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MC" sheetId="1" r:id="rId5"/>
    <sheet state="visible" name="Validaciones Cotizador" sheetId="2" r:id="rId6"/>
    <sheet state="visible" name="Cotizador" sheetId="3" r:id="rId7"/>
    <sheet state="visible" name="Compat_Vetado" sheetId="4" r:id="rId8"/>
    <sheet state="visible" name="Prod_Prop" sheetId="5" r:id="rId9"/>
    <sheet state="visible" name="Precio_Productos" sheetId="6" r:id="rId10"/>
    <sheet state="visible" name="Metricas Útiles" sheetId="7" r:id="rId11"/>
    <sheet state="visible" name="Propiedades" sheetId="8" r:id="rId12"/>
    <sheet state="visible" name="Lista Original" sheetId="9" r:id="rId13"/>
    <sheet state="visible" name="Prearmados" sheetId="10" r:id="rId14"/>
    <sheet state="visible" name="Estructuras" sheetId="11" r:id="rId15"/>
    <sheet state="visible" name="Comp Ejes - Rodados" sheetId="12" r:id="rId16"/>
    <sheet state="visible" name="Implementos" sheetId="13" r:id="rId17"/>
    <sheet state="visible" name="Familias" sheetId="14" r:id="rId18"/>
    <sheet state="visible" name="Productos" sheetId="15" r:id="rId19"/>
  </sheets>
  <definedNames>
    <definedName hidden="1" localSheetId="3" name="_xlnm._FilterDatabase">Compat_Vetado!$A$1:$H$998</definedName>
    <definedName hidden="1" localSheetId="4" name="_xlnm._FilterDatabase">Prod_Prop!$A$1:$L$996</definedName>
    <definedName hidden="1" localSheetId="10" name="_xlnm._FilterDatabase">Estructuras!$A$1:$H$998</definedName>
    <definedName hidden="1" localSheetId="13" name="_xlnm._FilterDatabase">Familias!$A$1:$H$1007</definedName>
    <definedName hidden="1" localSheetId="14" name="_xlnm._FilterDatabase">Productos!$A$1:$J$1002</definedName>
  </definedNames>
  <calcPr/>
</workbook>
</file>

<file path=xl/sharedStrings.xml><?xml version="1.0" encoding="utf-8"?>
<sst xmlns="http://schemas.openxmlformats.org/spreadsheetml/2006/main" count="2591" uniqueCount="530">
  <si>
    <t>Prearmados</t>
  </si>
  <si>
    <t>Faltan Precios</t>
  </si>
  <si>
    <t>Falta Estructura</t>
  </si>
  <si>
    <t>Productos en 0</t>
  </si>
  <si>
    <t>Estructuras Comunes</t>
  </si>
  <si>
    <t>Implemento</t>
  </si>
  <si>
    <t>Ordenes</t>
  </si>
  <si>
    <t>Indice</t>
  </si>
  <si>
    <t>Cantidad</t>
  </si>
  <si>
    <t>Superpocisión</t>
  </si>
  <si>
    <t>Dejar Vacío</t>
  </si>
  <si>
    <t>Seleccionado</t>
  </si>
  <si>
    <t>Variable</t>
  </si>
  <si>
    <t>Dimension</t>
  </si>
  <si>
    <t>ID_Filtro</t>
  </si>
  <si>
    <t>Orden</t>
  </si>
  <si>
    <t>Unidad</t>
  </si>
  <si>
    <t>Código</t>
  </si>
  <si>
    <t>Cant</t>
  </si>
  <si>
    <t>Check_Comp</t>
  </si>
  <si>
    <t>Check_Prop</t>
  </si>
  <si>
    <t>Descripcion</t>
  </si>
  <si>
    <t>Minimo</t>
  </si>
  <si>
    <t>Máximo</t>
  </si>
  <si>
    <t>Familia</t>
  </si>
  <si>
    <t>Codigo</t>
  </si>
  <si>
    <t>Producto</t>
  </si>
  <si>
    <t>Precio</t>
  </si>
  <si>
    <t>Acoplados Rurales</t>
  </si>
  <si>
    <t>Tanque Combustible 4000 lts Alto</t>
  </si>
  <si>
    <t>Tanque Plastico Horizontal 750 Lts</t>
  </si>
  <si>
    <t>-</t>
  </si>
  <si>
    <t>Baulera Standard - 750</t>
  </si>
  <si>
    <t>ID_ASIG</t>
  </si>
  <si>
    <t>ID_Produ_PAD</t>
  </si>
  <si>
    <t>ID_Produ_HIJ</t>
  </si>
  <si>
    <t>ID_Prop</t>
  </si>
  <si>
    <t>Producto Padre</t>
  </si>
  <si>
    <t>Producto Hijo</t>
  </si>
  <si>
    <t>Propiedad</t>
  </si>
  <si>
    <t>Chasis Grua G1500 Standard</t>
  </si>
  <si>
    <t>Llanta 16" Dual Agrícola Centro 152</t>
  </si>
  <si>
    <t>Vetado</t>
  </si>
  <si>
    <t>Llanta 17" Dual Agrícola Centro 152</t>
  </si>
  <si>
    <t>Chasis Grua G2000 Standard</t>
  </si>
  <si>
    <t>Llanta 17" Simple Agrícola Centro 92</t>
  </si>
  <si>
    <t>ID_Produ</t>
  </si>
  <si>
    <t>ID_Imp</t>
  </si>
  <si>
    <t>Prioridad</t>
  </si>
  <si>
    <t>Validacion</t>
  </si>
  <si>
    <t>Tipo</t>
  </si>
  <si>
    <t>Magnitud</t>
  </si>
  <si>
    <t>Neto</t>
  </si>
  <si>
    <t>Tanque Combustible 1500 lts Standard</t>
  </si>
  <si>
    <t>Capacidad</t>
  </si>
  <si>
    <t>Exacto</t>
  </si>
  <si>
    <t>Peso</t>
  </si>
  <si>
    <t>Longitud</t>
  </si>
  <si>
    <t>Altura</t>
  </si>
  <si>
    <t>Tanque Combustible 2000 lts Standard</t>
  </si>
  <si>
    <t>Tanque Combustible 2000 lts Bajo</t>
  </si>
  <si>
    <t>Tanque Combustible 3000 lts Standard</t>
  </si>
  <si>
    <t>lts</t>
  </si>
  <si>
    <t>kg</t>
  </si>
  <si>
    <t>mts</t>
  </si>
  <si>
    <t>Tanque Combustible 4000 lts Standard</t>
  </si>
  <si>
    <t>Tanque Combustible 5000 lts Standard</t>
  </si>
  <si>
    <t>Tanque Combustible 5000 lts Alto</t>
  </si>
  <si>
    <t>Tanque Combustible 2000 lts Alto</t>
  </si>
  <si>
    <t>Tanque Combustible 3000 lts Alto</t>
  </si>
  <si>
    <t>Tanque Combustible 1800 lts Standard</t>
  </si>
  <si>
    <t>Tanque Combustible 1100 lts Bajo</t>
  </si>
  <si>
    <t>Baulera Standard - 1700 - C/Laterales</t>
  </si>
  <si>
    <t>Baulera Standard - 1000 - C/Laterales</t>
  </si>
  <si>
    <t>Baulera Standard - 750 - C/Laterales</t>
  </si>
  <si>
    <t>Baulera Standard - 1300 - C/Laterales</t>
  </si>
  <si>
    <t>Baulera Alta - 750</t>
  </si>
  <si>
    <t>Baulera Alta - 1500 - C/Laterales</t>
  </si>
  <si>
    <t>Baulera Extendida 1700 - C/Laterales</t>
  </si>
  <si>
    <t>Cajón Herramientas Standard Derecho</t>
  </si>
  <si>
    <t>LongitudLat</t>
  </si>
  <si>
    <t>Cajón Herramientas Standard Izquierdo</t>
  </si>
  <si>
    <t>Cajón Herramientas Corto Derecho</t>
  </si>
  <si>
    <t>Cajón Herramientas Corto Izquierdo</t>
  </si>
  <si>
    <t>Cajón Herramientas Mediano Derecho</t>
  </si>
  <si>
    <t>Bajo/Standard/Alto</t>
  </si>
  <si>
    <t>Cajón Herramientas Mediano Izquierdo</t>
  </si>
  <si>
    <t>Taller Móvil - 1500 x 1500 x 1700</t>
  </si>
  <si>
    <t>Medio Tanque Plastico Superior 700 Lts</t>
  </si>
  <si>
    <t>Base Desmalezadora 1,50</t>
  </si>
  <si>
    <t>Base Desmalezadora 2,00</t>
  </si>
  <si>
    <t>Acople 3P Desmalezadora 1,50</t>
  </si>
  <si>
    <t>Acople 3P Desmalezadora 2,00</t>
  </si>
  <si>
    <t>Tren de Arrastre Desmalezadora 1,50</t>
  </si>
  <si>
    <t>Tren de Arrastre Desmalezadora 2,00</t>
  </si>
  <si>
    <t>Cilindro con mangueras para Desm de Arrastre</t>
  </si>
  <si>
    <t>Rueda Trasera de Apoyo y Criquet para Desm 3P</t>
  </si>
  <si>
    <t>Chasis Acoplado 2 Ejes L3000</t>
  </si>
  <si>
    <t>Elásticos</t>
  </si>
  <si>
    <t>Chasis Acoplado 2 Ejes L3750</t>
  </si>
  <si>
    <t>Chasis Acoplado 2 Ejes L4000</t>
  </si>
  <si>
    <t>Chasis Acoplado 2 Ejes L4000 Reforzado</t>
  </si>
  <si>
    <t>Chasis Acoplado 2 Ejes L4750</t>
  </si>
  <si>
    <t>Chasis Acoplado 2 Ejes L4750 Reforzado</t>
  </si>
  <si>
    <t>Chasis Acoplado 2 Ejes L4750 Reforzado R. Camion</t>
  </si>
  <si>
    <t>Chasis Acoplado 2 Ejes L5000</t>
  </si>
  <si>
    <t>Chasis Acoplado 2 Ejes L5750</t>
  </si>
  <si>
    <t>Chasis Acoplado 2 Ejes L6400</t>
  </si>
  <si>
    <t>Chasis Acoplado 2 Ejes L4500</t>
  </si>
  <si>
    <t>Chasis Acoplado 1 Eje L1500</t>
  </si>
  <si>
    <t>Chasis Acoplado 1 Eje L1800</t>
  </si>
  <si>
    <t>Chasis Acoplado 1 Eje L1400</t>
  </si>
  <si>
    <t>Chasis Acoplado Balancin L3000</t>
  </si>
  <si>
    <t>Chasis Acoplado Balancin L3000 Lanza Corta</t>
  </si>
  <si>
    <t>Chasis Acoplado Balancin L2000 Lanza Corta</t>
  </si>
  <si>
    <t>Chasis Acoplado Balancin L3200 Lanza Corta</t>
  </si>
  <si>
    <t>Chasis Acoplado Balancin L3200 Lanza Recta</t>
  </si>
  <si>
    <t>Chasis Acoplado Balancin L3200 Bajo Lanza Recta</t>
  </si>
  <si>
    <t>Llantas</t>
  </si>
  <si>
    <t>Ejes</t>
  </si>
  <si>
    <t>Chasis Acoplado Balancin L4000 Lanza Recta</t>
  </si>
  <si>
    <t>Paquete de Elasticos 50 mm x 8 mm x 10 Hojas L850</t>
  </si>
  <si>
    <t>Paquete de Elasticos 63 mm x 8 mm x 10 Hojas L950</t>
  </si>
  <si>
    <t>Paquete de Elasticos 50 mm x 7 mm x 9 Hojas L850</t>
  </si>
  <si>
    <t>Paquete de Elasticos 63 mm x 8 mm x 8 Hojas L850</t>
  </si>
  <si>
    <t>Paquete de Elasticos 63 mm x 10 mm x 10 Hojas L950</t>
  </si>
  <si>
    <t>Paquete de Elasticos 63 mm x 10 mm x 13 Hojas L975</t>
  </si>
  <si>
    <t>Paquete de Elasticos 50 mm x 7 mm x 9 Hojas L650</t>
  </si>
  <si>
    <t>Paquete de Elásticos 50 mm x 8 mm x 12 Hojas</t>
  </si>
  <si>
    <t>Llanta 16" Simple Agrícola Centro 92</t>
  </si>
  <si>
    <t>Llanta 16" Dual Agrícola Centro 92</t>
  </si>
  <si>
    <t>Llanta 17" Dual Agrícola Centro 92</t>
  </si>
  <si>
    <t>Llanta simple Agrícola 750x20 centro 152</t>
  </si>
  <si>
    <t>Eje Acoplado 2" x 1600 (06/08) Agrícola Centro 92</t>
  </si>
  <si>
    <t>Eje Acoplado 2 1/2" x 1600 (07/09) Agrícola Centro 92</t>
  </si>
  <si>
    <t>Eje Acoplado 2 1/2" x 1600 (09/11) Agrícola Centro 150</t>
  </si>
  <si>
    <t>Eje Acoplado 3" x 1600 (10/13) Agrícola Centro 150</t>
  </si>
  <si>
    <t>Eje Acoplado 2 1/2" x 2140 (07/09) Agrícola Centro 92</t>
  </si>
  <si>
    <t>Eje Acoplado 2" x 1400 (06/08) Agrícola Centro 92</t>
  </si>
  <si>
    <t>Eje Acoplado 2 1/2" x 1500 (07/09) Agrícola Centro 92</t>
  </si>
  <si>
    <t>Eje Acoplado 2 1/2" x 2000 (07/09) Agrícola Centro 92</t>
  </si>
  <si>
    <t>Eje Acoplado 2 1/2" x 2100 (09/11) Agrícola Centro 150</t>
  </si>
  <si>
    <t>Eje Acoplado 2" x 1600 (05/07) Agrícola Centro 92</t>
  </si>
  <si>
    <t>Centro</t>
  </si>
  <si>
    <t>Base Retroexcavadora RT-210</t>
  </si>
  <si>
    <t>Base Retroexcavadora RT-290</t>
  </si>
  <si>
    <t>Acople 3P Clase 1</t>
  </si>
  <si>
    <t>Acople 3P Clase 2</t>
  </si>
  <si>
    <t>Acople 3P Clase 3</t>
  </si>
  <si>
    <t>Llanta 15" Simple Agrícola Centro 92</t>
  </si>
  <si>
    <t>Cilindros Pies Grua G2000</t>
  </si>
  <si>
    <t>Prearmado</t>
  </si>
  <si>
    <t>Precio Lista</t>
  </si>
  <si>
    <t>Cant Est</t>
  </si>
  <si>
    <t>Precio Estructura</t>
  </si>
  <si>
    <t>Diferencia</t>
  </si>
  <si>
    <t>% Dif</t>
  </si>
  <si>
    <t>Descripción</t>
  </si>
  <si>
    <t>Retroexcavadora RT-290 3P Cat 3</t>
  </si>
  <si>
    <t>Paquete de Elásticos 50x8x12</t>
  </si>
  <si>
    <t>Plataforma Playo 4.00 x 1.90 x 0.45 Lateral Simple Baranda Fija</t>
  </si>
  <si>
    <t>Plataforma Playo 4.00 x 1.90 x 0.45 Lateral Doble Baranda Ventilada</t>
  </si>
  <si>
    <t>Plataforma Playo 3.00 x 1.90 x 0.45 Lateral Simple Baranda Ventilada</t>
  </si>
  <si>
    <t>Plataforma Playo 4.00 x 1.90 x 0.45 Lateral Doble Baranda Fija</t>
  </si>
  <si>
    <t>Chasis Elevador Frontal M1000</t>
  </si>
  <si>
    <t>Cuchara chica pala M1000</t>
  </si>
  <si>
    <t>Acople especial</t>
  </si>
  <si>
    <t>Chasis Elevador Frontal M1001</t>
  </si>
  <si>
    <t>Cuchara común</t>
  </si>
  <si>
    <t>Chasis Elevador Frontal M1000.5</t>
  </si>
  <si>
    <t>Chasis Elevador Frontal C/Paralelogramo M1002</t>
  </si>
  <si>
    <t>Chasis Elevador Frontal con Cilindro 3" M1003</t>
  </si>
  <si>
    <t>Chasis Elevador Frontal C/Paralelogramo y Cilindro 3" M1004</t>
  </si>
  <si>
    <t>Brazo Extendido Grua de Arrastre</t>
  </si>
  <si>
    <t>Niveladora de Arrastre Base</t>
  </si>
  <si>
    <t>Llanta simple 750x20 centro 150</t>
  </si>
  <si>
    <t>Giro Cuchilla Hidráulico Niveladora</t>
  </si>
  <si>
    <t>Acople Para Tractor Retroexcavadora</t>
  </si>
  <si>
    <t>Central Hidráulica para Toma de Fuerza</t>
  </si>
  <si>
    <t>Carro de Arrastre con Bomba para Retroexcavadora</t>
  </si>
  <si>
    <t>Avantren Enganche Niveladora</t>
  </si>
  <si>
    <t>Central Hidráulica con Motor a Explosión</t>
  </si>
  <si>
    <t>Barquilla Grua de Arrastre</t>
  </si>
  <si>
    <t>Levanta Pallet Grua de Arrastre</t>
  </si>
  <si>
    <t>Cajón de Herramientas Mediano adelante</t>
  </si>
  <si>
    <t>Acople doble tracción</t>
  </si>
  <si>
    <t>Juego cajas negras</t>
  </si>
  <si>
    <t>Acople hasta la manga</t>
  </si>
  <si>
    <t>Juego de cuchillas 1,60</t>
  </si>
  <si>
    <t>Juego de cuchillas 1,80</t>
  </si>
  <si>
    <t>Juego de cuchillas 2,10</t>
  </si>
  <si>
    <t>Repuesto Cuchilla para Desmalezadora por Unidad</t>
  </si>
  <si>
    <t>Cuchara silera</t>
  </si>
  <si>
    <t>Cuchara silera 1,80</t>
  </si>
  <si>
    <t>Cuchara grande 1,80</t>
  </si>
  <si>
    <t>Cuchara grande 2,10</t>
  </si>
  <si>
    <t>Levanta rollo o palletera</t>
  </si>
  <si>
    <t>Levanta bolsones</t>
  </si>
  <si>
    <t>Canasto con tapa</t>
  </si>
  <si>
    <t>Púas sileras</t>
  </si>
  <si>
    <t>Tapa de cuchara</t>
  </si>
  <si>
    <t>Accesorio para mega fardos</t>
  </si>
  <si>
    <t>Refuerzo palas M1001 / M1002 y Cilindro 3"</t>
  </si>
  <si>
    <t>Válvula dos comandos</t>
  </si>
  <si>
    <t>Válvula tres comandos</t>
  </si>
  <si>
    <t>Joystick mecánico</t>
  </si>
  <si>
    <t>Joystick electrónico</t>
  </si>
  <si>
    <t>Adaptador para Joystick Case o New Holland</t>
  </si>
  <si>
    <t>Acople común</t>
  </si>
  <si>
    <t>Metrica</t>
  </si>
  <si>
    <t>Valor</t>
  </si>
  <si>
    <t>Peso Especifico</t>
  </si>
  <si>
    <t>Combustible</t>
  </si>
  <si>
    <t>Capacidad Baulera</t>
  </si>
  <si>
    <t>Bajo</t>
  </si>
  <si>
    <t>Baulera</t>
  </si>
  <si>
    <t>Capacidad Cajon</t>
  </si>
  <si>
    <t>Capacidad Taller</t>
  </si>
  <si>
    <t>Explicación</t>
  </si>
  <si>
    <t>Standard</t>
  </si>
  <si>
    <t>Alto</t>
  </si>
  <si>
    <t>Extendido</t>
  </si>
  <si>
    <t>Arrastre (Desma)</t>
  </si>
  <si>
    <t>3P (Desma)</t>
  </si>
  <si>
    <t>Define el Largo del Accesorio para ver si entra en el implemento</t>
  </si>
  <si>
    <t>Define el peso de un elemento para calcular su esfuerzo sobre un chasis</t>
  </si>
  <si>
    <t>Define la capacidad del implemento</t>
  </si>
  <si>
    <t>mm</t>
  </si>
  <si>
    <t>Define el alto para determinar compatibilidad de Accesorios</t>
  </si>
  <si>
    <t>Potencia</t>
  </si>
  <si>
    <t>hp</t>
  </si>
  <si>
    <t>Determina la potencia máxima que Soporta un Elevador Frontal</t>
  </si>
  <si>
    <t>Define el Largo del Accesorio para ver si entra en el lateral del Implemento</t>
  </si>
  <si>
    <t>unidades</t>
  </si>
  <si>
    <t>Cantidad de Elásticos que lleva un implemento</t>
  </si>
  <si>
    <t>Cantidad de Ejes que lleva un Implemento</t>
  </si>
  <si>
    <t>Cantidad de Llantas que lleva un Implemento</t>
  </si>
  <si>
    <t>Dimensiona el Centro de Llantas y mazas</t>
  </si>
  <si>
    <t>CÒDIG DESCRIPCIÒN</t>
  </si>
  <si>
    <t>DESCRIPCIÓN</t>
  </si>
  <si>
    <t>CONC.</t>
  </si>
  <si>
    <t>ELEVADOR FRONTAL</t>
  </si>
  <si>
    <t>ELEVADOR FRONTAL C/PARALELOGRAMO</t>
  </si>
  <si>
    <t>ELEVADOR FRONTAL CON CILINDRO 3"</t>
  </si>
  <si>
    <t>Elevador Frontal C/Paralelogramo y Cilindro 3"</t>
  </si>
  <si>
    <t>ELEVADOR FRONTAL CHICO</t>
  </si>
  <si>
    <t>NUEVO</t>
  </si>
  <si>
    <t>Acople especial: Deutz 55-65-6.110 y similares</t>
  </si>
  <si>
    <t>adaptador para Joystick Case o New Holland</t>
  </si>
  <si>
    <t>Cuchara silera 1,60 mts. ( 1/2 m3) diferencia</t>
  </si>
  <si>
    <t>Cuchara 1,80 mts.( 0,60 m3) diferencia</t>
  </si>
  <si>
    <t>Cuchara 1,80 mts. ( 3/4 m3) diferencia</t>
  </si>
  <si>
    <t>Cuchara 2,10 mts ( 1m3) diferencia</t>
  </si>
  <si>
    <t>Niveladora</t>
  </si>
  <si>
    <t>DESMALEZADORA DE ARRASTRE 1,50</t>
  </si>
  <si>
    <t>DESMALEZADORA DE TRES PUNTOS 1,50</t>
  </si>
  <si>
    <t>DESMALEZADORA DE ARRASTRE 2,00</t>
  </si>
  <si>
    <t>DESMALEZADORA DE TRES PUNTOS 2,00</t>
  </si>
  <si>
    <t>ACOPLADO RURAL PLAYO 3 TT</t>
  </si>
  <si>
    <t>ACOPLADO RURAL PLAYO 4 TT</t>
  </si>
  <si>
    <t>ACOPLADO RURAL PLAYO 4 TT b/baja</t>
  </si>
  <si>
    <t>ACOPLADO RURAL PLAYO 4 TT c/balancin</t>
  </si>
  <si>
    <t>TANQUE COMBUSTIBLE 1100 LTS.</t>
  </si>
  <si>
    <t>TANQUE COMBUSTIBLE 1500 LTS.</t>
  </si>
  <si>
    <t>TANQUE COMBUSTIBLE 1800 LTS.</t>
  </si>
  <si>
    <t>TANQUE COMBUSTIBLE 2000 LTS. DOS EJES</t>
  </si>
  <si>
    <t>TANQUE COMBUSTIBLE 3000 LTS.</t>
  </si>
  <si>
    <t>TANQUE COMBUSTIBLE 3000 LTS. PLÁSTICO</t>
  </si>
  <si>
    <t>TANQUE COMBUSTIBLE 3500 LTS. PLÁSTICO</t>
  </si>
  <si>
    <t>TANQUE COMBINADO 2000 LTS.</t>
  </si>
  <si>
    <t>TANQUE COMBINADO 3000 LTS.</t>
  </si>
  <si>
    <t>TANQUE COMBINADO PLASTICO</t>
  </si>
  <si>
    <t>TANQUE COMBINADO 4000 LITROS</t>
  </si>
  <si>
    <t>TANQUE COMBINADO 5000 LITROS</t>
  </si>
  <si>
    <t>TANQUE COMBUSTIBLE 3000 LTS C/BAUL</t>
  </si>
  <si>
    <t>TANQUE COMBUSTIBLE 2000 LTS C/BAUL</t>
  </si>
  <si>
    <t>TANQUE COMBUSTIBLE 4000 LTS.</t>
  </si>
  <si>
    <t>TANQUE COMBUSTIBLE 5000 LTS.</t>
  </si>
  <si>
    <t>TANQUE 8000 LITROS</t>
  </si>
  <si>
    <t>TANQUE COMBINADO 3000 LTS CON TALLER</t>
  </si>
  <si>
    <t>TANQUE COMBINADO 4000 LTS CON TALLER</t>
  </si>
  <si>
    <t>ACOPLADO VOLCADOR BILATERAL 4TT</t>
  </si>
  <si>
    <t>ACOPLADO VOLCADOR TRASERO 4TT</t>
  </si>
  <si>
    <t>DIFERENCIA DUALES</t>
  </si>
  <si>
    <t>DIFERENCIA LLANTAS 17 CADA UNA</t>
  </si>
  <si>
    <t>CAJONES LATERALES</t>
  </si>
  <si>
    <t>COLOCACIÓN SISTEMA DE LUCES</t>
  </si>
  <si>
    <t>OPCIONAL TANQUE 750 LITROS</t>
  </si>
  <si>
    <t>ACOPLADO CON GRÚA</t>
  </si>
  <si>
    <t>GRÚA PARA CAMIÓN 6,75</t>
  </si>
  <si>
    <t>GRÚA PARA CAMIÓN 10 METROS</t>
  </si>
  <si>
    <t>NIVELADORA DE ARRASTRE</t>
  </si>
  <si>
    <t>AVAN TREN</t>
  </si>
  <si>
    <t>BALANCÍN TRASERO</t>
  </si>
  <si>
    <t>OPCIONAL HIDRAULICO</t>
  </si>
  <si>
    <t>GRÚA DE ARRASTRE MULTIF. G-1500</t>
  </si>
  <si>
    <t>GRÚA DE ARRASTRE MULTIF. G-2000</t>
  </si>
  <si>
    <t>DIFERENCIA DUALES 17 X 4</t>
  </si>
  <si>
    <t>BARQUILLA</t>
  </si>
  <si>
    <t>ALARGUE GRÚA</t>
  </si>
  <si>
    <t>OPCIONAL CILINDROS PIES</t>
  </si>
  <si>
    <t>LEVANTA PALLETS GRÚA</t>
  </si>
  <si>
    <t>RETROEXCAVADORA RT-210 CAT 1 Y 2</t>
  </si>
  <si>
    <t>RETROEXCAVADORA RT-290 CAT 2</t>
  </si>
  <si>
    <t>RETROEXCAVADORA RT-290 CAT 3</t>
  </si>
  <si>
    <t>RETROEXCAVADORA RT-290 CON BOMBA</t>
  </si>
  <si>
    <t>CARRO BOMBA</t>
  </si>
  <si>
    <t>ACOPLE RETRO</t>
  </si>
  <si>
    <t>ESTIERCOLERA MOD. E-8000</t>
  </si>
  <si>
    <t>ESTIERCOLERA MOD. E-8000 COMBINADA</t>
  </si>
  <si>
    <t>CUBIERTAS</t>
  </si>
  <si>
    <t>DESCUENTOS:</t>
  </si>
  <si>
    <t>5 % CONTADO</t>
  </si>
  <si>
    <t>15 % BONIFICACIÓN</t>
  </si>
  <si>
    <t>IVA 10,5%</t>
  </si>
  <si>
    <t>Check1</t>
  </si>
  <si>
    <t>Cant Faltante</t>
  </si>
  <si>
    <t>Check</t>
  </si>
  <si>
    <t>% Diferencia</t>
  </si>
  <si>
    <t>ID_Prearmado</t>
  </si>
  <si>
    <t>Cod Comercio</t>
  </si>
  <si>
    <t>Plano</t>
  </si>
  <si>
    <t>Cod Factura</t>
  </si>
  <si>
    <t>Precio Referencia</t>
  </si>
  <si>
    <t>Tanque Combustible 1100 lts</t>
  </si>
  <si>
    <t>Tanque Combustible 1500 lts</t>
  </si>
  <si>
    <t>Tanque Combustible 1800 lts</t>
  </si>
  <si>
    <t>Tanque Combustible 2000 lts Dos Ejes</t>
  </si>
  <si>
    <t>Tanque Combustible 3000 lts</t>
  </si>
  <si>
    <t>Tanque Combustible 3000 lts Plastico</t>
  </si>
  <si>
    <t>Tanque Combustible 3500 lts Plastico</t>
  </si>
  <si>
    <t>Tanque Combinado 2000 lts</t>
  </si>
  <si>
    <t>Tanque Combinado 3000 lts</t>
  </si>
  <si>
    <t>Tanque Combinado Plastico</t>
  </si>
  <si>
    <t>Tanque Combinado 4000 lts</t>
  </si>
  <si>
    <t>Tanque Combinado 5000 lts</t>
  </si>
  <si>
    <t>Tanque Combustible 3000 lts C/Baulera</t>
  </si>
  <si>
    <t>Tanque Combustible 2000 lts C/Baulera</t>
  </si>
  <si>
    <t>Tanque Combustible 4000 lts</t>
  </si>
  <si>
    <t>Tanque Combustible 5000 lts</t>
  </si>
  <si>
    <t>Tanque 8000 lts</t>
  </si>
  <si>
    <t>Tanque Combinado 3000 lts C/Taller</t>
  </si>
  <si>
    <t>Tanque Combinado 4000 lts C/Taller</t>
  </si>
  <si>
    <t>Tanque Combinado 3000 lts.doble Baulera std.</t>
  </si>
  <si>
    <t>Acoplado Rural Playo 3 TT</t>
  </si>
  <si>
    <t>Acoplado Rural Playo 4 TT</t>
  </si>
  <si>
    <t>Acoplado Rural Playo 4 TT b/baja</t>
  </si>
  <si>
    <t>Acoplado Rural Playo 4 TT c/balancin</t>
  </si>
  <si>
    <t>Elevador Frontal M1000</t>
  </si>
  <si>
    <t>Elevadores Frontales</t>
  </si>
  <si>
    <t>Elevador Frontal M1000.5</t>
  </si>
  <si>
    <t>Elevador Frontal M1001</t>
  </si>
  <si>
    <t>Elevador Frontal C/Paralelogramo M1002</t>
  </si>
  <si>
    <t>Elevador Frontal con Cilindro 3" M1003</t>
  </si>
  <si>
    <t>Elevador Frontal C/Paralelogramo y Cilindro 3" M1004</t>
  </si>
  <si>
    <t>Elevador Frontal M1001 Reforzado</t>
  </si>
  <si>
    <t>Elevador Frontal C/Paralelogramo M1002 Reforzado</t>
  </si>
  <si>
    <t>Grua de Arrastre G1500</t>
  </si>
  <si>
    <t>Gruas</t>
  </si>
  <si>
    <t>Grua de Arrastre G2000 Manual</t>
  </si>
  <si>
    <t>Grua de Arrastre G2000 Hidráulica</t>
  </si>
  <si>
    <t>Grua de Arrastre G2000 Manual con extensión</t>
  </si>
  <si>
    <t>Grúa de Arrastre G2000 Hidráulica con extensión</t>
  </si>
  <si>
    <t>Desmalezadora de Arrastre 1,50</t>
  </si>
  <si>
    <t>Desmalezadoras</t>
  </si>
  <si>
    <t>Desmalezadora de Tres Puntos 1,50</t>
  </si>
  <si>
    <t>Desmalezadora de Arrastre 2,00</t>
  </si>
  <si>
    <t>Desmalezadora de Tres Puntos 2,00</t>
  </si>
  <si>
    <t>Desmalezadora de Tres Puntos 1,50 C/Rueda Trasera</t>
  </si>
  <si>
    <t>Desmalezadora de Tres Puntos 2,00 C/Rueda Trasera</t>
  </si>
  <si>
    <t>Desmalezadora de Arrastre 1,50 C/Cilindro Hidraulico</t>
  </si>
  <si>
    <t>Desmalezadora de Arrastre 2,00 C/Cilindro Hidraulico</t>
  </si>
  <si>
    <t>Niveladora de Arrastre Manual</t>
  </si>
  <si>
    <t>Niveladoras</t>
  </si>
  <si>
    <t>Niveladora de Arrastre Hidráulica</t>
  </si>
  <si>
    <t>Retroexcavadora RT-210 3P Cat 1</t>
  </si>
  <si>
    <t>Retroexcavadoras</t>
  </si>
  <si>
    <t>Retroexcavadora RT-210 3P Cat 2</t>
  </si>
  <si>
    <t>Retroexcavadora RT-290 3P Cat 2</t>
  </si>
  <si>
    <t>ID_Estructura</t>
  </si>
  <si>
    <t>ID_Producto</t>
  </si>
  <si>
    <t>Base Desmalezadora 2,50</t>
  </si>
  <si>
    <t>Descripción Implemento</t>
  </si>
  <si>
    <t>Accesorios</t>
  </si>
  <si>
    <t>Nivel Rod</t>
  </si>
  <si>
    <t>Estado</t>
  </si>
  <si>
    <t>OK</t>
  </si>
  <si>
    <t>Rodados</t>
  </si>
  <si>
    <t>Acoplados Trailer</t>
  </si>
  <si>
    <t>Acoplados Viñateros</t>
  </si>
  <si>
    <t>Acoplados Volcadores</t>
  </si>
  <si>
    <t>Repuestos</t>
  </si>
  <si>
    <t>ID_FAM</t>
  </si>
  <si>
    <t>Y/O</t>
  </si>
  <si>
    <t>SI/NO</t>
  </si>
  <si>
    <t>ELB</t>
  </si>
  <si>
    <t>Brazos Elevadores Frontales</t>
  </si>
  <si>
    <t>O</t>
  </si>
  <si>
    <t>SI</t>
  </si>
  <si>
    <t>ELC</t>
  </si>
  <si>
    <t>Cucharas y Accesorios Elevadores</t>
  </si>
  <si>
    <t>Y</t>
  </si>
  <si>
    <t>NO</t>
  </si>
  <si>
    <t>ELC-O</t>
  </si>
  <si>
    <t>Opcionales Cucharas</t>
  </si>
  <si>
    <t>ELB-O</t>
  </si>
  <si>
    <t>Opcionales Elevadores</t>
  </si>
  <si>
    <t>AXX</t>
  </si>
  <si>
    <t>Acoples Elevadores</t>
  </si>
  <si>
    <t>ELB-R</t>
  </si>
  <si>
    <t>Repuestos Elevadores</t>
  </si>
  <si>
    <t>CAV-1</t>
  </si>
  <si>
    <t>Chasis Acoplados 1 Ejes</t>
  </si>
  <si>
    <t>CAV-2</t>
  </si>
  <si>
    <t>Chasis Acoplados 2 Ejes</t>
  </si>
  <si>
    <t>CAV-B</t>
  </si>
  <si>
    <t>Chasis Acoplados Balancin</t>
  </si>
  <si>
    <t>ATR</t>
  </si>
  <si>
    <t>Chasis Acoplado Trailer</t>
  </si>
  <si>
    <t>VNO</t>
  </si>
  <si>
    <t>Chasis Acoplado Viñatero</t>
  </si>
  <si>
    <t>AVL</t>
  </si>
  <si>
    <t>Chasis Acoplado Volcador</t>
  </si>
  <si>
    <t>CJN-S</t>
  </si>
  <si>
    <t>Cajones para Acoplados</t>
  </si>
  <si>
    <t>CJN-L</t>
  </si>
  <si>
    <t>Cajones Laterales para Acoplados</t>
  </si>
  <si>
    <t>TNQ-M</t>
  </si>
  <si>
    <t>Tanques Metálicos para Acoplados</t>
  </si>
  <si>
    <t>TNQ-P</t>
  </si>
  <si>
    <t>Tanques Plásticos para Acoplados</t>
  </si>
  <si>
    <t>CAP</t>
  </si>
  <si>
    <t>Playos para Acoplados</t>
  </si>
  <si>
    <t>DMZ</t>
  </si>
  <si>
    <t>Ancho Desmalezadora</t>
  </si>
  <si>
    <t>DMZ-O</t>
  </si>
  <si>
    <t>Opcionales Desmalezadoras</t>
  </si>
  <si>
    <t>DMZ-R</t>
  </si>
  <si>
    <t>Repuestos Desmalezadoras</t>
  </si>
  <si>
    <t>GRA</t>
  </si>
  <si>
    <t>Gruas de Arrastre</t>
  </si>
  <si>
    <t>NVL</t>
  </si>
  <si>
    <t>Niveladoras de Arrastre</t>
  </si>
  <si>
    <t>RTO</t>
  </si>
  <si>
    <t>RDS</t>
  </si>
  <si>
    <t>EJS</t>
  </si>
  <si>
    <t>ELS</t>
  </si>
  <si>
    <t>Accesorios Gruas</t>
  </si>
  <si>
    <t>Opcionales Niveladora</t>
  </si>
  <si>
    <t>Acoples Retroexcavadoras</t>
  </si>
  <si>
    <t>Accesorios Retroexcavadoras</t>
  </si>
  <si>
    <t>Acople Desmalezadoras</t>
  </si>
  <si>
    <t>ID_Articulo</t>
  </si>
  <si>
    <t>Propiedades</t>
  </si>
  <si>
    <t>M1000</t>
  </si>
  <si>
    <t>M1000.5</t>
  </si>
  <si>
    <t>1000.5</t>
  </si>
  <si>
    <t>M1001</t>
  </si>
  <si>
    <t>M1002</t>
  </si>
  <si>
    <t>M1003</t>
  </si>
  <si>
    <t>M1004</t>
  </si>
  <si>
    <t>TNQ-S001_K</t>
  </si>
  <si>
    <t>TNQ-S001_A</t>
  </si>
  <si>
    <t>TNQ-S001_J</t>
  </si>
  <si>
    <t>TNQ-S001_C</t>
  </si>
  <si>
    <t>TNQ-S001_B</t>
  </si>
  <si>
    <t>TNQ-S001_D</t>
  </si>
  <si>
    <t>TNQ-S001_I</t>
  </si>
  <si>
    <t>TNQ-S001_E</t>
  </si>
  <si>
    <t>TNQ-S001_F</t>
  </si>
  <si>
    <t>TNQ-S001_G</t>
  </si>
  <si>
    <t>TNQ-S001_H</t>
  </si>
  <si>
    <t>TNQ-S001_L</t>
  </si>
  <si>
    <t>CJN-S004_A</t>
  </si>
  <si>
    <t>CJN-S004_A-1</t>
  </si>
  <si>
    <t>CJN-S004_A-2</t>
  </si>
  <si>
    <t>CJN-S004_A-3</t>
  </si>
  <si>
    <t>CJN-S004_A-4</t>
  </si>
  <si>
    <t>CJN-S004_B</t>
  </si>
  <si>
    <t>CJN-S004_B-1</t>
  </si>
  <si>
    <t>CJN-S004_C-1</t>
  </si>
  <si>
    <t>CJN-S011</t>
  </si>
  <si>
    <t>CJN-S007_A-DE</t>
  </si>
  <si>
    <t>CJN-S007_A-IZ</t>
  </si>
  <si>
    <t>CJN-S007_B-DE</t>
  </si>
  <si>
    <t>CJN-S007_B-IZ</t>
  </si>
  <si>
    <t>CJN-S007_C-DE</t>
  </si>
  <si>
    <t>CJN-S007_C-IZ</t>
  </si>
  <si>
    <t>CAV-S001_A</t>
  </si>
  <si>
    <t>CAV-S001_B</t>
  </si>
  <si>
    <t>CAV-S001_C</t>
  </si>
  <si>
    <t>CAV-S001_C-R1</t>
  </si>
  <si>
    <t>CAV-S001_D</t>
  </si>
  <si>
    <t>CAV-S001_D-R1</t>
  </si>
  <si>
    <t>CAV-S001_D-R2</t>
  </si>
  <si>
    <t>CAV-S001_E</t>
  </si>
  <si>
    <t>CAV-S001_F</t>
  </si>
  <si>
    <t>CAV-S001_G</t>
  </si>
  <si>
    <t>CAV-S001_H</t>
  </si>
  <si>
    <t>CAV-S015</t>
  </si>
  <si>
    <t>CAV-S024</t>
  </si>
  <si>
    <t>CAV-S036</t>
  </si>
  <si>
    <t>CAV-S032_A</t>
  </si>
  <si>
    <t>CAV-S032_B</t>
  </si>
  <si>
    <t>CAV-S032_C</t>
  </si>
  <si>
    <t>CAV-S032_D</t>
  </si>
  <si>
    <t>CAV-S032_E</t>
  </si>
  <si>
    <t>CAV-S032_F</t>
  </si>
  <si>
    <t>CAP-S000_A</t>
  </si>
  <si>
    <t>CAP-S000_A-0</t>
  </si>
  <si>
    <t>Plataforma Playo 4.00 x 1.90 x 0.45 Lateral Simple Baranda Ventilada</t>
  </si>
  <si>
    <t>CAP-S000_A-1</t>
  </si>
  <si>
    <t>CAP-S000_A-2</t>
  </si>
  <si>
    <t>CAP-S000_B</t>
  </si>
  <si>
    <t>Plataforma Playo 4.00 x 1.90 x 0.72 Lateral Simple Baranda Fija</t>
  </si>
  <si>
    <t>CAP-S000_B-1</t>
  </si>
  <si>
    <t>Plataforma Playo 4.00 x 1.90 x 0.72 Lateral Doble Baranda Fija</t>
  </si>
  <si>
    <t>CAP-S000_C</t>
  </si>
  <si>
    <t>Plataforma Playo 5.00 x 2.20 x 0.60 Lateral Doble Trasera Rebatible</t>
  </si>
  <si>
    <t>CAP-S000_C-1-T</t>
  </si>
  <si>
    <t>Plataforma Playo 5.00 x 2.20 x 0.60 Lateral Doble Baranda Fija C/Toldo</t>
  </si>
  <si>
    <t>CAP-S000_D</t>
  </si>
  <si>
    <t>Plataforma Playo 3.00 x 1.90 x 0.45 Lateral Simple Baranda Fija</t>
  </si>
  <si>
    <t>CAP-S000_D-0</t>
  </si>
  <si>
    <t>CAP-S000_E</t>
  </si>
  <si>
    <t>Plataforma Playo 2.00 x 1.90 x 0.45 Lateral Simple Baranda Fija</t>
  </si>
  <si>
    <t>CAP-S000_F</t>
  </si>
  <si>
    <t>Plataforma Playo 5.00 x 1.90 x 0.60 Lateral Doble Baranda Fija</t>
  </si>
  <si>
    <t>CAP-S000_G</t>
  </si>
  <si>
    <t>Plataforma Playo 6.40 x 2.70 x 0.72 Lateral Doble Baranda Fija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</si>
</sst>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 % &quot;Aum&quot;"/>
    <numFmt numFmtId="165" formatCode="N° 0"/>
    <numFmt numFmtId="166" formatCode="dd&quot;/&quot;mm&quot;/&quot;yyyy"/>
    <numFmt numFmtId="167" formatCode="&quot;Lista N°&quot; 0"/>
    <numFmt numFmtId="168" formatCode="yyyy.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2.0"/>
      <color theme="1"/>
      <name val="&quot;Century Gothic&quot;"/>
    </font>
    <font>
      <b/>
      <u/>
      <sz val="12.0"/>
      <color theme="1"/>
      <name val="&quot;Century Gothic&quot;"/>
    </font>
    <font>
      <sz val="12.0"/>
      <color theme="1"/>
      <name val="&quot;Century Gothic&quot;"/>
    </font>
    <font>
      <b/>
      <u/>
      <sz val="12.0"/>
      <color theme="1"/>
      <name val="&quot;Century Gothic&quot;"/>
    </font>
    <font>
      <b/>
      <u/>
      <sz val="12.0"/>
      <color theme="1"/>
      <name val="&quot;Century Gothic&quot;"/>
    </font>
    <font>
      <b/>
      <sz val="12.0"/>
      <color theme="1"/>
      <name val="&quot;Century Gothic&quot;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4" xfId="0" applyAlignment="1" applyFont="1" applyNumberFormat="1">
      <alignment horizontal="center"/>
    </xf>
    <xf borderId="0" fillId="0" fontId="2" numFmtId="4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44" xfId="0" applyFont="1" applyNumberFormat="1"/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3" fontId="1" numFmtId="4" xfId="0" applyAlignment="1" applyFont="1" applyNumberFormat="1">
      <alignment horizontal="center" readingOrder="0"/>
    </xf>
    <xf borderId="0" fillId="3" fontId="1" numFmtId="4" xfId="0" applyAlignment="1" applyFont="1" applyNumberFormat="1">
      <alignment horizont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0" fillId="4" fontId="1" numFmtId="165" xfId="0" applyAlignment="1" applyFill="1" applyFont="1" applyNumberFormat="1">
      <alignment horizontal="center" readingOrder="0"/>
    </xf>
    <xf borderId="0" fillId="4" fontId="1" numFmtId="166" xfId="0" applyAlignment="1" applyFont="1" applyNumberFormat="1">
      <alignment horizontal="center" readingOrder="0" vertical="center"/>
    </xf>
    <xf borderId="0" fillId="3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3" fontId="1" numFmtId="0" xfId="0" applyAlignment="1" applyFont="1">
      <alignment horizontal="left" readingOrder="0" vertical="center"/>
    </xf>
    <xf borderId="0" fillId="0" fontId="1" numFmtId="44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/>
    </xf>
    <xf borderId="0" fillId="4" fontId="1" numFmtId="166" xfId="0" applyAlignment="1" applyFont="1" applyNumberFormat="1">
      <alignment horizontal="center" readingOrder="0"/>
    </xf>
    <xf borderId="0" fillId="3" fontId="1" numFmtId="166" xfId="0" applyAlignment="1" applyFont="1" applyNumberFormat="1">
      <alignment horizontal="center" readingOrder="0" vertical="center"/>
    </xf>
    <xf borderId="0" fillId="5" fontId="1" numFmtId="166" xfId="0" applyAlignment="1" applyFill="1" applyFont="1" applyNumberFormat="1">
      <alignment horizontal="center" readingOrder="0" vertical="center"/>
    </xf>
    <xf borderId="0" fillId="5" fontId="1" numFmtId="166" xfId="0" applyAlignment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left" readingOrder="0"/>
    </xf>
    <xf borderId="0" fillId="3" fontId="1" numFmtId="44" xfId="0" applyAlignment="1" applyFont="1" applyNumberFormat="1">
      <alignment horizontal="center" readingOrder="0" vertical="center"/>
    </xf>
    <xf borderId="0" fillId="0" fontId="1" numFmtId="44" xfId="0" applyAlignment="1" applyFont="1" applyNumberFormat="1">
      <alignment readingOrder="0"/>
    </xf>
    <xf borderId="0" fillId="4" fontId="1" numFmtId="44" xfId="0" applyAlignment="1" applyFont="1" applyNumberFormat="1">
      <alignment readingOrder="0"/>
    </xf>
    <xf borderId="0" fillId="4" fontId="1" numFmtId="0" xfId="0" applyAlignment="1" applyFont="1">
      <alignment horizontal="center"/>
    </xf>
    <xf borderId="0" fillId="3" fontId="1" numFmtId="44" xfId="0" applyAlignment="1" applyFont="1" applyNumberFormat="1">
      <alignment readingOrder="0"/>
    </xf>
    <xf borderId="0" fillId="0" fontId="1" numFmtId="44" xfId="0" applyAlignment="1" applyFont="1" applyNumberFormat="1">
      <alignment horizontal="left" readingOrder="0"/>
    </xf>
    <xf borderId="0" fillId="0" fontId="1" numFmtId="166" xfId="0" applyAlignment="1" applyFont="1" applyNumberFormat="1">
      <alignment readingOrder="0"/>
    </xf>
    <xf borderId="0" fillId="3" fontId="1" numFmtId="44" xfId="0" applyAlignment="1" applyFont="1" applyNumberFormat="1">
      <alignment horizontal="left" readingOrder="0"/>
    </xf>
    <xf borderId="0" fillId="0" fontId="1" numFmtId="166" xfId="0" applyFont="1" applyNumberFormat="1"/>
    <xf borderId="0" fillId="3" fontId="1" numFmtId="4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horizontal="center" shrinkToFit="0" vertical="bottom" wrapText="0"/>
    </xf>
    <xf borderId="5" fillId="3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7" fillId="3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6" fontId="5" numFmtId="0" xfId="0" applyAlignment="1" applyFill="1" applyFont="1">
      <alignment horizontal="center" shrinkToFit="0" vertical="bottom" wrapText="0"/>
    </xf>
    <xf borderId="0" fillId="6" fontId="7" numFmtId="0" xfId="0" applyAlignment="1" applyFont="1">
      <alignment readingOrder="0" shrinkToFit="0" vertical="bottom" wrapText="0"/>
    </xf>
    <xf borderId="0" fillId="6" fontId="5" numFmtId="0" xfId="0" applyAlignment="1" applyFont="1">
      <alignment shrinkToFit="0" vertical="bottom" wrapText="0"/>
    </xf>
    <xf borderId="0" fillId="6" fontId="8" numFmtId="0" xfId="0" applyAlignment="1" applyFont="1">
      <alignment readingOrder="0" shrinkToFit="0" vertical="bottom" wrapText="0"/>
    </xf>
    <xf borderId="0" fillId="0" fontId="2" numFmtId="167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/>
    </xf>
    <xf borderId="0" fillId="0" fontId="1" numFmtId="10" xfId="0" applyFont="1" applyNumberFormat="1"/>
    <xf borderId="0" fillId="0" fontId="9" numFmtId="0" xfId="0" applyAlignment="1" applyFont="1">
      <alignment readingOrder="0" vertical="bottom"/>
    </xf>
    <xf borderId="0" fillId="4" fontId="1" numFmtId="0" xfId="0" applyAlignment="1" applyFont="1">
      <alignment horizontal="center" readingOrder="0"/>
    </xf>
    <xf borderId="0" fillId="4" fontId="1" numFmtId="44" xfId="0" applyAlignment="1" applyFont="1" applyNumberFormat="1">
      <alignment horizontal="center" readingOrder="0"/>
    </xf>
    <xf borderId="0" fillId="4" fontId="1" numFmtId="44" xfId="0" applyFont="1" applyNumberFormat="1"/>
    <xf borderId="0" fillId="3" fontId="1" numFmtId="0" xfId="0" applyAlignment="1" applyFont="1">
      <alignment readingOrder="0"/>
    </xf>
    <xf borderId="0" fillId="4" fontId="1" numFmtId="0" xfId="0" applyFont="1"/>
    <xf borderId="0" fillId="3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44" xfId="0" applyAlignment="1" applyFont="1" applyNumberFormat="1">
      <alignment horizontal="center" readingOrder="0"/>
    </xf>
    <xf borderId="0" fillId="0" fontId="1" numFmtId="44" xfId="0" applyAlignment="1" applyFont="1" applyNumberFormat="1">
      <alignment horizontal="center"/>
    </xf>
    <xf borderId="0" fillId="0" fontId="1" numFmtId="168" xfId="0" applyAlignment="1" applyFont="1" applyNumberFormat="1">
      <alignment horizontal="center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31.63"/>
    <col customWidth="1" min="4" max="4" width="30.75"/>
    <col customWidth="1" min="5" max="5" width="28.0"/>
    <col customWidth="1" min="8" max="8" width="13.5"/>
    <col customWidth="1" min="9" max="9" width="23.25"/>
    <col customWidth="1" min="10" max="10" width="30.13"/>
    <col customWidth="1" min="11" max="11" width="38.63"/>
    <col customWidth="1" min="12" max="17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B2" s="3" t="str">
        <f>IFERROR(__xludf.DUMMYFUNCTION("sort(filter(Prearmados!$E:$E,Prearmados!$I:$I=B1),filter(Prearmados!$J:$J,Prearmados!$I:$I=B1),1)"),"#N/A")</f>
        <v>#N/A</v>
      </c>
      <c r="C2" s="3" t="str">
        <f>IFERROR(__xludf.DUMMYFUNCTION("unique(filter(Prearmados!$E:$E,Prearmados!$I:$I=C1))"),"Tanque Combustible 3000 lts Plastico")</f>
        <v>Tanque Combustible 3000 lts Plastico</v>
      </c>
      <c r="D2" s="3" t="str">
        <f>IFERROR(__xludf.DUMMYFUNCTION("unique(filter(Precio_Productos!B3:B17,Precio_Productos!E3:E17=0))"),"#N/A")</f>
        <v>#N/A</v>
      </c>
      <c r="E2" s="3" t="str">
        <f>IFERROR(__xludf.DUMMYFUNCTION("unique(filter(Estructuras!F:F,Estructuras!C:C=Precio_Productos!A18))"),"Tanque Combinado 3000 lts C/Taller")</f>
        <v>Tanque Combinado 3000 lts C/Taller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C3" s="3" t="str">
        <f>IFERROR(__xludf.DUMMYFUNCTION("""COMPUTED_VALUE"""),"Tanque Combustible 3500 lts Plastico")</f>
        <v>Tanque Combustible 3500 lts Plastico</v>
      </c>
      <c r="E3" s="3" t="str">
        <f>IFERROR(__xludf.DUMMYFUNCTION("""COMPUTED_VALUE"""),"Tanque Combinado 4000 lts C/Taller")</f>
        <v>Tanque Combinado 4000 lts C/Taller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C4" s="3" t="str">
        <f>IFERROR(__xludf.DUMMYFUNCTION("""COMPUTED_VALUE"""),"Tanque Combinado Plastico")</f>
        <v>Tanque Combinado Plastico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C5" s="3" t="str">
        <f>IFERROR(__xludf.DUMMYFUNCTION("""COMPUTED_VALUE"""),"Tanque 8000 lts")</f>
        <v>Tanque 8000 lts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C6" s="3" t="str">
        <f>IFERROR(__xludf.DUMMYFUNCTION("""COMPUTED_VALUE"""),"Elevador Frontal M1001 Reforzado")</f>
        <v>Elevador Frontal M1001 Reforzado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C7" s="3" t="str">
        <f>IFERROR(__xludf.DUMMYFUNCTION("""COMPUTED_VALUE"""),"Elevador Frontal C/Paralelogramo M1002 Reforzado")</f>
        <v>Elevador Frontal C/Paralelogramo M1002 Reforzado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C8" s="3" t="str">
        <f>IFERROR(__xludf.DUMMYFUNCTION("""COMPUTED_VALUE"""),"Desmalezadora de Arrastre 2,00")</f>
        <v>Desmalezadora de Arrastre 2,00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12" max="12" width="15.0"/>
    <col customWidth="1" min="13" max="14" width="8.13"/>
    <col customWidth="1" min="15" max="16" width="6.63"/>
    <col customWidth="1" min="17" max="18" width="6.25"/>
    <col customWidth="1" min="19" max="19" width="11.75"/>
    <col customWidth="1" min="20" max="20" width="10.75"/>
    <col customWidth="1" min="21" max="21" width="54.0"/>
  </cols>
  <sheetData>
    <row r="1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6" t="s">
        <v>10</v>
      </c>
      <c r="G1" s="5" t="s">
        <v>11</v>
      </c>
      <c r="H1" s="7"/>
      <c r="I1" s="5" t="s">
        <v>12</v>
      </c>
      <c r="J1" s="5" t="s">
        <v>13</v>
      </c>
      <c r="K1" s="7"/>
      <c r="L1" s="5" t="s">
        <v>5</v>
      </c>
      <c r="M1" s="5" t="s">
        <v>14</v>
      </c>
      <c r="N1" s="5" t="s">
        <v>15</v>
      </c>
      <c r="O1" s="5" t="s">
        <v>7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>
        <v>1.0</v>
      </c>
      <c r="W1" s="5" t="s">
        <v>22</v>
      </c>
      <c r="X1" s="5" t="s">
        <v>23</v>
      </c>
      <c r="Y1" s="5">
        <v>2.0</v>
      </c>
      <c r="Z1" s="5" t="s">
        <v>22</v>
      </c>
      <c r="AA1" s="5" t="s">
        <v>23</v>
      </c>
      <c r="AB1" s="5">
        <v>3.0</v>
      </c>
      <c r="AC1" s="5" t="s">
        <v>22</v>
      </c>
      <c r="AD1" s="5" t="s">
        <v>23</v>
      </c>
      <c r="AE1" s="7"/>
      <c r="AF1" s="7"/>
      <c r="AG1" s="7"/>
      <c r="AH1" s="7"/>
      <c r="AI1" s="7"/>
      <c r="AJ1" s="7"/>
      <c r="AK1" s="7"/>
      <c r="AL1" s="7"/>
      <c r="AM1" s="7"/>
    </row>
    <row r="2">
      <c r="A2" s="4" t="str">
        <f t="array" ref="A2">IF(COUNTIF(A$1:A1,Cotizador!F$2)=maxifs(Familias!E:E,Familias!D:D,Cotizador!F$2),IF(COUNTIF(A$1:A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>Acoplados Rurales</v>
      </c>
      <c r="B2" s="4">
        <f t="shared" ref="B2:B1000" si="1">IF(A2="","",COUNTIF(A$1:A2,A2))</f>
        <v>1</v>
      </c>
      <c r="C2" s="4">
        <f t="array" ref="C2">IF(B2="","",IF(A2=XLOOKUP(A$2,Implementos!B:B,Implementos!C:C,"",0,1),B2+maxifs(B$1:B1,A$1:A1,A$2),B2))</f>
        <v>1</v>
      </c>
      <c r="D2" s="4">
        <f>IF(B2="","", COUNTIFS(Productos!F:F,A2,Productos!H:H,B2)+IF(F2="SI",0,1))</f>
        <v>28</v>
      </c>
      <c r="E2" s="4" t="str">
        <f>IFERROR(__xludf.DUMMYFUNCTION("IF($B2="""","""",INDEX(filter(Familias!F:F,Familias!$D:$D=$A2,Familias!$E:$E=$B2),1))"),"Y")</f>
        <v>Y</v>
      </c>
      <c r="F2" s="4" t="str">
        <f>IFERROR(__xludf.DUMMYFUNCTION("IF($B2="""","""",INDEX(filter(Familias!G:G,Familias!$D:$D=$A2,Familias!$E:$E=$B2),1))"),"NO")</f>
        <v>NO</v>
      </c>
      <c r="G2" s="4">
        <f t="array" ref="G2">IF(C2=1,XLOOKUP(C2,Cotizador!D:D,Cotizador!E:E,"",0,1),"")</f>
        <v>56</v>
      </c>
      <c r="I2" s="4" t="str">
        <f>IFERROR(__xludf.DUMMYFUNCTION("TRANSPOSE(filter(Cotizador!I1:V1,Cotizador!I2:V2&gt;0))"),"Capacidad")</f>
        <v>Capacidad</v>
      </c>
      <c r="J2" s="8">
        <f>IF(I2="","",SUMIF(Cotizador!I$1:V$1,I2,Cotizador!I$2:V$2))</f>
        <v>5575</v>
      </c>
      <c r="L2" s="4" t="str">
        <f t="array" ref="L2">IF(COUNTIF(L$1:L1,A$2)=SUMIF(A:A,A$2,D:D),IF(COUNTIF(L$1:L1,XLOOKUP(A$2,Implementos!B:B,Implementos!C:C,"",0,1))=SUMIF(A:A,XLOOKUP(A$2,Implementos!B:B,Implementos!C:C,"",0,1),D:D),"",XLOOKUP(A$2,Implementos!B:B,Implementos!C:C,"",0,1)),A$2)</f>
        <v>Acoplados Rurales</v>
      </c>
      <c r="M2" s="4">
        <f t="shared" ref="M2:M1000" si="2">IF(L2="","",max(M$1:M1)+1)</f>
        <v>1</v>
      </c>
      <c r="N2" s="4">
        <f t="shared" ref="N2:N1000" si="3">IF(L2="","",IF(N1="Orden",1,IF(COUNTIFS(N$1:N1,N1,L$1:L1,L2)=SUMIFS(D:D,B:B,N1,A:A,L2),IF(N1=maxifs(B:B,A:A,L2),"",maxifs(N$1:N1,L$1:L1,L2)+1),N1)))</f>
        <v>1</v>
      </c>
      <c r="O2" s="4">
        <f t="shared" ref="O2:O1000" si="4">IF(N2="","",SUMIFS(C:C,B:B,N2,A:A,L2))</f>
        <v>1</v>
      </c>
      <c r="P2" s="4">
        <f t="shared" ref="P2:P1000" si="5">IF(N2="","",COUNTIFS(N$1:N2,N2,L$1:L2,L2))</f>
        <v>1</v>
      </c>
      <c r="Q2" s="4">
        <f>IF(U2="","",SUMIF(Productos!E:E,U2,Productos!A:A))</f>
        <v>45</v>
      </c>
      <c r="R2" s="4">
        <f t="array" ref="R2">IF(L2="","", max(1,SUMIF(I:I,XLOOKUP(U2,Productos!E:E,Productos!G:G,"",0,1),J:J)))</f>
        <v>1</v>
      </c>
      <c r="S2" s="4" t="str">
        <f>IF(Q2="","",IF(SUMIFS(Compat_Vetado!D:D,Compat_Vetado!B:B,SUM(G:G),Compat_Vetado!C:C,Q2)=1,"SI",IF(OR(SUMIF(Cotizador!E:E,Q2,Cotizador!G:G)&gt;0,SUMIFS(Compat_Vetado!D:D,Compat_Vetado!B:B,SUM(G:G),Compat_Vetado!C:C,Q2)=-1),"NO","")))</f>
        <v/>
      </c>
      <c r="T2" s="4" t="str">
        <f t="shared" ref="T2:T1000" si="6">IF(Q2="","",IF(S2="SI","x",IF(S2="NO","",IF(AND(OR(V2="",AND(W2&lt;=SUMIF(I:I,V2,J:J),SUMIF(I:I,V2,J:J)&lt;=X2)),OR(Y2="",AND(Z2&lt;=SUMIF(I:I,Y2,J:J),SUMIF(I:I,Y2,J:J)&lt;=AA2)),OR(AB2="",AND(AC2&lt;=SUMIF(I:I,AB2,J:J),SUMIF(I:I,AB2,J:J)&lt;=AD2))),"x",""))))</f>
        <v>x</v>
      </c>
      <c r="U2" s="4" t="str">
        <f>IFERROR(__xludf.DUMMYFUNCTION("IF(P2="""","""",IFERROR(INDEX(filter(Productos!E:E,Productos!F:F=L2,Productos!H:H=N2),P2),IF(M2=SUM(D:D),""Finalizar"",""-"")))"),"Tanque Combustible 1100 lts Bajo")</f>
        <v>Tanque Combustible 1100 lts Bajo</v>
      </c>
      <c r="V2" s="4" t="str">
        <f>IFERROR(__xludf.DUMMYFUNCTION("IF(OR($U2="""",COUNTIF($I:$I,IFERROR(unique(filter(Prod_Prop!$H:$H,Prod_Prop!$G:$G=$U2,Prod_Prop!$E:$E=V$1)),""Check""))=0),"""",IFERROR(unique(filter(Prod_Prop!$H:$H,Prod_Prop!$G:$G=$U2,Prod_Prop!$E:$E=V$1)),""""))"),"")</f>
        <v/>
      </c>
      <c r="W2" s="4" t="str">
        <f>IF(V2="","",SUMIFS(Prod_Prop!$J:$J,Prod_Prop!$B:$B,$Q2,Prod_Prop!$H:$H,V2,Prod_Prop!$I:$I,W$1)*IF(V2="Peso",$R2,1))</f>
        <v/>
      </c>
      <c r="X2" s="4" t="str">
        <f>IF(V2="","",SUMIFS(Prod_Prop!$J:$J,Prod_Prop!$B:$B,$Q2,Prod_Prop!$H:$H,V2,Prod_Prop!$I:$I,X$1)*IF(V2="Peso",$R2,1))</f>
        <v/>
      </c>
      <c r="Y2" s="4" t="str">
        <f>IFERROR(__xludf.DUMMYFUNCTION("IF(OR($U2="""",COUNTIF($I:$I,IFERROR(unique(filter(Prod_Prop!$H:$H,Prod_Prop!$G:$G=$U2,Prod_Prop!$E:$E=Y$1)),""Check""))=0),"""",IFERROR(unique(filter(Prod_Prop!$H:$H,Prod_Prop!$G:$G=$U2,Prod_Prop!$E:$E=Y$1)),""""))"),"")</f>
        <v/>
      </c>
      <c r="Z2" s="4" t="str">
        <f>IF(Y2="","",SUMIFS(Prod_Prop!$J:$J,Prod_Prop!$B:$B,$Q2,Prod_Prop!$H:$H,Y2,Prod_Prop!$I:$I,Z$1)*IF(Y2="Peso",$R2,1))</f>
        <v/>
      </c>
      <c r="AA2" s="4" t="str">
        <f>IF(Y2="","",SUMIFS(Prod_Prop!$J:$J,Prod_Prop!$B:$B,$Q2,Prod_Prop!$H:$H,Y2,Prod_Prop!$I:$I,AA$1)*IF(Y2="Peso",$R2,1))</f>
        <v/>
      </c>
      <c r="AB2" s="4" t="str">
        <f>IFERROR(__xludf.DUMMYFUNCTION("IF(OR($U2="""",COUNTIF($I:$I,IFERROR(unique(filter(Prod_Prop!$H:$H,Prod_Prop!$G:$G=$U2,Prod_Prop!$E:$E=AB$1)),""Check""))=0),"""",IFERROR(unique(filter(Prod_Prop!$H:$H,Prod_Prop!$G:$G=$U2,Prod_Prop!$E:$E=AB$1)),""""))"),"")</f>
        <v/>
      </c>
      <c r="AC2" s="4" t="str">
        <f>IF(AB2="","",SUMIFS(Prod_Prop!$J:$J,Prod_Prop!$B:$B,$Q2,Prod_Prop!$H:$H,AB2,Prod_Prop!$I:$I,AC$1)*IF(AB2="Peso",$R2,1))</f>
        <v/>
      </c>
      <c r="AD2" s="4" t="str">
        <f>IF(AB2="","",SUMIFS(Prod_Prop!$J:$J,Prod_Prop!$B:$B,$Q2,Prod_Prop!$H:$H,AB2,Prod_Prop!$I:$I,AD$1)*IF(AB2="Peso",$R2,1))</f>
        <v/>
      </c>
    </row>
    <row r="3">
      <c r="A3" s="4" t="str">
        <f t="array" ref="A3">IF(COUNTIF(A$1:A2,Cotizador!F$2)=maxifs(Familias!E:E,Familias!D:D,Cotizador!F$2),IF(COUNTIF(A$1:A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>Acoplados Rurales</v>
      </c>
      <c r="B3" s="4">
        <f t="shared" si="1"/>
        <v>2</v>
      </c>
      <c r="C3" s="4">
        <f t="array" ref="C3">IF(B3="","",IF(A3=XLOOKUP(A$2,Implementos!B:B,Implementos!C:C,"",0,1),B3+maxifs(B$1:B2,A$1:A2,A$2),B3))</f>
        <v>2</v>
      </c>
      <c r="D3" s="4">
        <f>IF(B3="","", COUNTIFS(Productos!F:F,A3,Productos!H:H,B3)+IF(F3="SI",0,1))</f>
        <v>11</v>
      </c>
      <c r="E3" s="4" t="str">
        <f>IFERROR(__xludf.DUMMYFUNCTION("IF($B3="""","""",INDEX(filter(Familias!F:F,Familias!$D:$D=$A3,Familias!$E:$E=$B3),1))"),"Y")</f>
        <v>Y</v>
      </c>
      <c r="F3" s="4" t="str">
        <f>IFERROR(__xludf.DUMMYFUNCTION("IF($B3="""","""",INDEX(filter(Familias!G:G,Familias!$D:$D=$A3,Familias!$E:$E=$B3),1))"),"NO")</f>
        <v>NO</v>
      </c>
      <c r="G3" s="4" t="str">
        <f t="array" ref="G3">IF(C3=1,XLOOKUP(C3,Cotizador!D:D,Cotizador!E:E,"",0,1),"")</f>
        <v/>
      </c>
      <c r="I3" s="2" t="str">
        <f>IFERROR(__xludf.DUMMYFUNCTION("""COMPUTED_VALUE"""),"Peso")</f>
        <v>Peso</v>
      </c>
      <c r="J3" s="8">
        <f>IF(I3="","",SUMIF(Cotizador!I$1:V$1,I3,Cotizador!I$2:V$2))</f>
        <v>4841.25</v>
      </c>
      <c r="L3" s="4" t="str">
        <f t="array" ref="L3">IF(COUNTIF(L$1:L2,A$2)=SUMIF(A:A,A$2,D:D),IF(COUNTIF(L$1:L2,XLOOKUP(A$2,Implementos!B:B,Implementos!C:C,"",0,1))=SUMIF(A:A,XLOOKUP(A$2,Implementos!B:B,Implementos!C:C,"",0,1),D:D),"",XLOOKUP(A$2,Implementos!B:B,Implementos!C:C,"",0,1)),A$2)</f>
        <v>Acoplados Rurales</v>
      </c>
      <c r="M3" s="4">
        <f t="shared" si="2"/>
        <v>2</v>
      </c>
      <c r="N3" s="4">
        <f t="shared" si="3"/>
        <v>1</v>
      </c>
      <c r="O3" s="4">
        <f t="shared" si="4"/>
        <v>1</v>
      </c>
      <c r="P3" s="4">
        <f t="shared" si="5"/>
        <v>2</v>
      </c>
      <c r="Q3" s="4">
        <f>IF(U3="","",SUMIF(Productos!E:E,U3,Productos!A:A))</f>
        <v>46</v>
      </c>
      <c r="R3" s="4">
        <f t="array" ref="R3">IF(L3="","", max(1,SUMIF(I:I,XLOOKUP(U3,Productos!E:E,Productos!G:G,"",0,1),J:J)))</f>
        <v>1</v>
      </c>
      <c r="S3" s="4" t="str">
        <f>IF(Q3="","",IF(SUMIFS(Compat_Vetado!D:D,Compat_Vetado!B:B,SUM(G:G),Compat_Vetado!C:C,Q3)=1,"SI",IF(OR(SUMIF(Cotizador!E:E,Q3,Cotizador!G:G)&gt;0,SUMIFS(Compat_Vetado!D:D,Compat_Vetado!B:B,SUM(G:G),Compat_Vetado!C:C,Q3)=-1),"NO","")))</f>
        <v/>
      </c>
      <c r="T3" s="4" t="str">
        <f t="shared" si="6"/>
        <v>x</v>
      </c>
      <c r="U3" s="4" t="str">
        <f>IFERROR(__xludf.DUMMYFUNCTION("IF(P3="""","""",IFERROR(INDEX(filter(Productos!E:E,Productos!F:F=L3,Productos!H:H=N3),P3),IF(M3=SUM(D:D),""Finalizar"",""-"")))"),"Tanque Combustible 1500 lts Standard")</f>
        <v>Tanque Combustible 1500 lts Standard</v>
      </c>
      <c r="V3" s="4" t="str">
        <f>IFERROR(__xludf.DUMMYFUNCTION("IF(OR($U3="""",COUNTIF($I:$I,IFERROR(unique(filter(Prod_Prop!$H:$H,Prod_Prop!$G:$G=$U3,Prod_Prop!$E:$E=V$1)),""Check""))=0),"""",IFERROR(unique(filter(Prod_Prop!$H:$H,Prod_Prop!$G:$G=$U3,Prod_Prop!$E:$E=V$1)),""""))"),"")</f>
        <v/>
      </c>
      <c r="W3" s="4" t="str">
        <f>IF(V3="","",SUMIFS(Prod_Prop!$J:$J,Prod_Prop!$B:$B,$Q3,Prod_Prop!$H:$H,V3,Prod_Prop!$I:$I,W$1)*IF(V3="Peso",$R3,1))</f>
        <v/>
      </c>
      <c r="X3" s="4" t="str">
        <f>IF(V3="","",SUMIFS(Prod_Prop!$J:$J,Prod_Prop!$B:$B,$Q3,Prod_Prop!$H:$H,V3,Prod_Prop!$I:$I,X$1)*IF(V3="Peso",$R3,1))</f>
        <v/>
      </c>
      <c r="Y3" s="4" t="str">
        <f>IFERROR(__xludf.DUMMYFUNCTION("IF(OR($U3="""",COUNTIF($I:$I,IFERROR(unique(filter(Prod_Prop!$H:$H,Prod_Prop!$G:$G=$U3,Prod_Prop!$E:$E=Y$1)),""Check""))=0),"""",IFERROR(unique(filter(Prod_Prop!$H:$H,Prod_Prop!$G:$G=$U3,Prod_Prop!$E:$E=Y$1)),""""))"),"")</f>
        <v/>
      </c>
      <c r="Z3" s="4" t="str">
        <f>IF(Y3="","",SUMIFS(Prod_Prop!$J:$J,Prod_Prop!$B:$B,$Q3,Prod_Prop!$H:$H,Y3,Prod_Prop!$I:$I,Z$1)*IF(Y3="Peso",$R3,1))</f>
        <v/>
      </c>
      <c r="AA3" s="4" t="str">
        <f>IF(Y3="","",SUMIFS(Prod_Prop!$J:$J,Prod_Prop!$B:$B,$Q3,Prod_Prop!$H:$H,Y3,Prod_Prop!$I:$I,AA$1)*IF(Y3="Peso",$R3,1))</f>
        <v/>
      </c>
      <c r="AB3" s="4" t="str">
        <f>IFERROR(__xludf.DUMMYFUNCTION("IF(OR($U3="""",COUNTIF($I:$I,IFERROR(unique(filter(Prod_Prop!$H:$H,Prod_Prop!$G:$G=$U3,Prod_Prop!$E:$E=AB$1)),""Check""))=0),"""",IFERROR(unique(filter(Prod_Prop!$H:$H,Prod_Prop!$G:$G=$U3,Prod_Prop!$E:$E=AB$1)),""""))"),"")</f>
        <v/>
      </c>
      <c r="AC3" s="4" t="str">
        <f>IF(AB3="","",SUMIFS(Prod_Prop!$J:$J,Prod_Prop!$B:$B,$Q3,Prod_Prop!$H:$H,AB3,Prod_Prop!$I:$I,AC$1)*IF(AB3="Peso",$R3,1))</f>
        <v/>
      </c>
      <c r="AD3" s="4" t="str">
        <f>IF(AB3="","",SUMIFS(Prod_Prop!$J:$J,Prod_Prop!$B:$B,$Q3,Prod_Prop!$H:$H,AB3,Prod_Prop!$I:$I,AD$1)*IF(AB3="Peso",$R3,1))</f>
        <v/>
      </c>
    </row>
    <row r="4">
      <c r="A4" s="4" t="str">
        <f t="array" ref="A4">IF(COUNTIF(A$1:A3,Cotizador!F$2)=maxifs(Familias!E:E,Familias!D:D,Cotizador!F$2),IF(COUNTIF(A$1:A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>Acoplados Rurales</v>
      </c>
      <c r="B4" s="4">
        <f t="shared" si="1"/>
        <v>3</v>
      </c>
      <c r="C4" s="4">
        <f t="array" ref="C4">IF(B4="","",IF(A4=XLOOKUP(A$2,Implementos!B:B,Implementos!C:C,"",0,1),B4+maxifs(B$1:B3,A$1:A3,A$2),B4))</f>
        <v>3</v>
      </c>
      <c r="D4" s="4">
        <f>IF(B4="","", COUNTIFS(Productos!F:F,A4,Productos!H:H,B4)+IF(F4="SI",0,1))</f>
        <v>21</v>
      </c>
      <c r="E4" s="4" t="str">
        <f>IFERROR(__xludf.DUMMYFUNCTION("IF($B4="""","""",INDEX(filter(Familias!F:F,Familias!$D:$D=$A4,Familias!$E:$E=$B4),1))"),"O")</f>
        <v>O</v>
      </c>
      <c r="F4" s="4" t="str">
        <f>IFERROR(__xludf.DUMMYFUNCTION("IF($B4="""","""",INDEX(filter(Familias!G:G,Familias!$D:$D=$A4,Familias!$E:$E=$B4),1))"),"SI")</f>
        <v>SI</v>
      </c>
      <c r="G4" s="4" t="str">
        <f t="array" ref="G4">IF(C4=1,XLOOKUP(C4,Cotizador!D:D,Cotizador!E:E,"",0,1),"")</f>
        <v/>
      </c>
      <c r="I4" s="4" t="str">
        <f>IFERROR(__xludf.DUMMYFUNCTION("""COMPUTED_VALUE"""),"Longitud")</f>
        <v>Longitud</v>
      </c>
      <c r="J4" s="8">
        <f>IF(I4="","",SUMIF(Cotizador!I$1:V$1,I4,Cotizador!I$2:V$2))</f>
        <v>4.95</v>
      </c>
      <c r="L4" s="4" t="str">
        <f t="array" ref="L4">IF(COUNTIF(L$1:L3,A$2)=SUMIF(A:A,A$2,D:D),IF(COUNTIF(L$1:L3,XLOOKUP(A$2,Implementos!B:B,Implementos!C:C,"",0,1))=SUMIF(A:A,XLOOKUP(A$2,Implementos!B:B,Implementos!C:C,"",0,1),D:D),"",XLOOKUP(A$2,Implementos!B:B,Implementos!C:C,"",0,1)),A$2)</f>
        <v>Acoplados Rurales</v>
      </c>
      <c r="M4" s="4">
        <f t="shared" si="2"/>
        <v>3</v>
      </c>
      <c r="N4" s="4">
        <f t="shared" si="3"/>
        <v>1</v>
      </c>
      <c r="O4" s="4">
        <f t="shared" si="4"/>
        <v>1</v>
      </c>
      <c r="P4" s="4">
        <f t="shared" si="5"/>
        <v>3</v>
      </c>
      <c r="Q4" s="4">
        <f>IF(U4="","",SUMIF(Productos!E:E,U4,Productos!A:A))</f>
        <v>47</v>
      </c>
      <c r="R4" s="4">
        <f t="array" ref="R4">IF(L4="","", max(1,SUMIF(I:I,XLOOKUP(U4,Productos!E:E,Productos!G:G,"",0,1),J:J)))</f>
        <v>1</v>
      </c>
      <c r="S4" s="4" t="str">
        <f>IF(Q4="","",IF(SUMIFS(Compat_Vetado!D:D,Compat_Vetado!B:B,SUM(G:G),Compat_Vetado!C:C,Q4)=1,"SI",IF(OR(SUMIF(Cotizador!E:E,Q4,Cotizador!G:G)&gt;0,SUMIFS(Compat_Vetado!D:D,Compat_Vetado!B:B,SUM(G:G),Compat_Vetado!C:C,Q4)=-1),"NO","")))</f>
        <v/>
      </c>
      <c r="T4" s="4" t="str">
        <f t="shared" si="6"/>
        <v>x</v>
      </c>
      <c r="U4" s="4" t="str">
        <f>IFERROR(__xludf.DUMMYFUNCTION("IF(P4="""","""",IFERROR(INDEX(filter(Productos!E:E,Productos!F:F=L4,Productos!H:H=N4),P4),IF(M4=SUM(D:D),""Finalizar"",""-"")))"),"Tanque Combustible 1800 lts Standard")</f>
        <v>Tanque Combustible 1800 lts Standard</v>
      </c>
      <c r="V4" s="4" t="str">
        <f>IFERROR(__xludf.DUMMYFUNCTION("IF(OR($U4="""",COUNTIF($I:$I,IFERROR(unique(filter(Prod_Prop!$H:$H,Prod_Prop!$G:$G=$U4,Prod_Prop!$E:$E=V$1)),""Check""))=0),"""",IFERROR(unique(filter(Prod_Prop!$H:$H,Prod_Prop!$G:$G=$U4,Prod_Prop!$E:$E=V$1)),""""))"),"")</f>
        <v/>
      </c>
      <c r="W4" s="4" t="str">
        <f>IF(V4="","",SUMIFS(Prod_Prop!$J:$J,Prod_Prop!$B:$B,$Q4,Prod_Prop!$H:$H,V4,Prod_Prop!$I:$I,W$1)*IF(V4="Peso",$R4,1))</f>
        <v/>
      </c>
      <c r="X4" s="4" t="str">
        <f>IF(V4="","",SUMIFS(Prod_Prop!$J:$J,Prod_Prop!$B:$B,$Q4,Prod_Prop!$H:$H,V4,Prod_Prop!$I:$I,X$1)*IF(V4="Peso",$R4,1))</f>
        <v/>
      </c>
      <c r="Y4" s="4" t="str">
        <f>IFERROR(__xludf.DUMMYFUNCTION("IF(OR($U4="""",COUNTIF($I:$I,IFERROR(unique(filter(Prod_Prop!$H:$H,Prod_Prop!$G:$G=$U4,Prod_Prop!$E:$E=Y$1)),""Check""))=0),"""",IFERROR(unique(filter(Prod_Prop!$H:$H,Prod_Prop!$G:$G=$U4,Prod_Prop!$E:$E=Y$1)),""""))"),"")</f>
        <v/>
      </c>
      <c r="Z4" s="4" t="str">
        <f>IF(Y4="","",SUMIFS(Prod_Prop!$J:$J,Prod_Prop!$B:$B,$Q4,Prod_Prop!$H:$H,Y4,Prod_Prop!$I:$I,Z$1)*IF(Y4="Peso",$R4,1))</f>
        <v/>
      </c>
      <c r="AA4" s="4" t="str">
        <f>IF(Y4="","",SUMIFS(Prod_Prop!$J:$J,Prod_Prop!$B:$B,$Q4,Prod_Prop!$H:$H,Y4,Prod_Prop!$I:$I,AA$1)*IF(Y4="Peso",$R4,1))</f>
        <v/>
      </c>
      <c r="AB4" s="4" t="str">
        <f>IFERROR(__xludf.DUMMYFUNCTION("IF(OR($U4="""",COUNTIF($I:$I,IFERROR(unique(filter(Prod_Prop!$H:$H,Prod_Prop!$G:$G=$U4,Prod_Prop!$E:$E=AB$1)),""Check""))=0),"""",IFERROR(unique(filter(Prod_Prop!$H:$H,Prod_Prop!$G:$G=$U4,Prod_Prop!$E:$E=AB$1)),""""))"),"")</f>
        <v/>
      </c>
      <c r="AC4" s="4" t="str">
        <f>IF(AB4="","",SUMIFS(Prod_Prop!$J:$J,Prod_Prop!$B:$B,$Q4,Prod_Prop!$H:$H,AB4,Prod_Prop!$I:$I,AC$1)*IF(AB4="Peso",$R4,1))</f>
        <v/>
      </c>
      <c r="AD4" s="4" t="str">
        <f>IF(AB4="","",SUMIFS(Prod_Prop!$J:$J,Prod_Prop!$B:$B,$Q4,Prod_Prop!$H:$H,AB4,Prod_Prop!$I:$I,AD$1)*IF(AB4="Peso",$R4,1))</f>
        <v/>
      </c>
    </row>
    <row r="5">
      <c r="A5" s="4" t="str">
        <f t="array" ref="A5">IF(COUNTIF(A$1:A4,Cotizador!F$2)=maxifs(Familias!E:E,Familias!D:D,Cotizador!F$2),IF(COUNTIF(A$1:A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>Acoplados Rurales</v>
      </c>
      <c r="B5" s="4">
        <f t="shared" si="1"/>
        <v>4</v>
      </c>
      <c r="C5" s="4">
        <f t="array" ref="C5">IF(B5="","",IF(A5=XLOOKUP(A$2,Implementos!B:B,Implementos!C:C,"",0,1),B5+maxifs(B$1:B4,A$1:A4,A$2),B5))</f>
        <v>4</v>
      </c>
      <c r="D5" s="4">
        <f>IF(B5="","", COUNTIFS(Productos!F:F,A5,Productos!H:H,B5)+IF(F5="SI",0,1))</f>
        <v>7</v>
      </c>
      <c r="E5" s="4" t="str">
        <f>IFERROR(__xludf.DUMMYFUNCTION("IF($B5="""","""",INDEX(filter(Familias!F:F,Familias!$D:$D=$A5,Familias!$E:$E=$B5),1))"),"Y")</f>
        <v>Y</v>
      </c>
      <c r="F5" s="4" t="str">
        <f>IFERROR(__xludf.DUMMYFUNCTION("IF($B5="""","""",INDEX(filter(Familias!G:G,Familias!$D:$D=$A5,Familias!$E:$E=$B5),1))"),"NO")</f>
        <v>NO</v>
      </c>
      <c r="G5" s="4" t="str">
        <f t="array" ref="G5">IF(C5=1,XLOOKUP(C5,Cotizador!D:D,Cotizador!E:E,"",0,1),"")</f>
        <v/>
      </c>
      <c r="I5" s="4" t="str">
        <f>IFERROR(__xludf.DUMMYFUNCTION("""COMPUTED_VALUE"""),"Altura")</f>
        <v>Altura</v>
      </c>
      <c r="J5" s="8">
        <f>IF(I5="","",SUMIF(Cotizador!I$1:V$1,I5,Cotizador!I$2:V$2))</f>
        <v>870</v>
      </c>
      <c r="L5" s="4" t="str">
        <f t="array" ref="L5">IF(COUNTIF(L$1:L4,A$2)=SUMIF(A:A,A$2,D:D),IF(COUNTIF(L$1:L4,XLOOKUP(A$2,Implementos!B:B,Implementos!C:C,"",0,1))=SUMIF(A:A,XLOOKUP(A$2,Implementos!B:B,Implementos!C:C,"",0,1),D:D),"",XLOOKUP(A$2,Implementos!B:B,Implementos!C:C,"",0,1)),A$2)</f>
        <v>Acoplados Rurales</v>
      </c>
      <c r="M5" s="4">
        <f t="shared" si="2"/>
        <v>4</v>
      </c>
      <c r="N5" s="4">
        <f t="shared" si="3"/>
        <v>1</v>
      </c>
      <c r="O5" s="4">
        <f t="shared" si="4"/>
        <v>1</v>
      </c>
      <c r="P5" s="4">
        <f t="shared" si="5"/>
        <v>4</v>
      </c>
      <c r="Q5" s="4">
        <f>IF(U5="","",SUMIF(Productos!E:E,U5,Productos!A:A))</f>
        <v>48</v>
      </c>
      <c r="R5" s="4">
        <f t="array" ref="R5">IF(L5="","", max(1,SUMIF(I:I,XLOOKUP(U5,Productos!E:E,Productos!G:G,"",0,1),J:J)))</f>
        <v>1</v>
      </c>
      <c r="S5" s="4" t="str">
        <f>IF(Q5="","",IF(SUMIFS(Compat_Vetado!D:D,Compat_Vetado!B:B,SUM(G:G),Compat_Vetado!C:C,Q5)=1,"SI",IF(OR(SUMIF(Cotizador!E:E,Q5,Cotizador!G:G)&gt;0,SUMIFS(Compat_Vetado!D:D,Compat_Vetado!B:B,SUM(G:G),Compat_Vetado!C:C,Q5)=-1),"NO","")))</f>
        <v/>
      </c>
      <c r="T5" s="4" t="str">
        <f t="shared" si="6"/>
        <v>x</v>
      </c>
      <c r="U5" s="4" t="str">
        <f>IFERROR(__xludf.DUMMYFUNCTION("IF(P5="""","""",IFERROR(INDEX(filter(Productos!E:E,Productos!F:F=L5,Productos!H:H=N5),P5),IF(M5=SUM(D:D),""Finalizar"",""-"")))"),"Tanque Combustible 2000 lts Bajo")</f>
        <v>Tanque Combustible 2000 lts Bajo</v>
      </c>
      <c r="V5" s="4" t="str">
        <f>IFERROR(__xludf.DUMMYFUNCTION("IF(OR($U5="""",COUNTIF($I:$I,IFERROR(unique(filter(Prod_Prop!$H:$H,Prod_Prop!$G:$G=$U5,Prod_Prop!$E:$E=V$1)),""Check""))=0),"""",IFERROR(unique(filter(Prod_Prop!$H:$H,Prod_Prop!$G:$G=$U5,Prod_Prop!$E:$E=V$1)),""""))"),"")</f>
        <v/>
      </c>
      <c r="W5" s="4" t="str">
        <f>IF(V5="","",SUMIFS(Prod_Prop!$J:$J,Prod_Prop!$B:$B,$Q5,Prod_Prop!$H:$H,V5,Prod_Prop!$I:$I,W$1)*IF(V5="Peso",$R5,1))</f>
        <v/>
      </c>
      <c r="X5" s="4" t="str">
        <f>IF(V5="","",SUMIFS(Prod_Prop!$J:$J,Prod_Prop!$B:$B,$Q5,Prod_Prop!$H:$H,V5,Prod_Prop!$I:$I,X$1)*IF(V5="Peso",$R5,1))</f>
        <v/>
      </c>
      <c r="Y5" s="4" t="str">
        <f>IFERROR(__xludf.DUMMYFUNCTION("IF(OR($U5="""",COUNTIF($I:$I,IFERROR(unique(filter(Prod_Prop!$H:$H,Prod_Prop!$G:$G=$U5,Prod_Prop!$E:$E=Y$1)),""Check""))=0),"""",IFERROR(unique(filter(Prod_Prop!$H:$H,Prod_Prop!$G:$G=$U5,Prod_Prop!$E:$E=Y$1)),""""))"),"")</f>
        <v/>
      </c>
      <c r="Z5" s="4" t="str">
        <f>IF(Y5="","",SUMIFS(Prod_Prop!$J:$J,Prod_Prop!$B:$B,$Q5,Prod_Prop!$H:$H,Y5,Prod_Prop!$I:$I,Z$1)*IF(Y5="Peso",$R5,1))</f>
        <v/>
      </c>
      <c r="AA5" s="4" t="str">
        <f>IF(Y5="","",SUMIFS(Prod_Prop!$J:$J,Prod_Prop!$B:$B,$Q5,Prod_Prop!$H:$H,Y5,Prod_Prop!$I:$I,AA$1)*IF(Y5="Peso",$R5,1))</f>
        <v/>
      </c>
      <c r="AB5" s="4" t="str">
        <f>IFERROR(__xludf.DUMMYFUNCTION("IF(OR($U5="""",COUNTIF($I:$I,IFERROR(unique(filter(Prod_Prop!$H:$H,Prod_Prop!$G:$G=$U5,Prod_Prop!$E:$E=AB$1)),""Check""))=0),"""",IFERROR(unique(filter(Prod_Prop!$H:$H,Prod_Prop!$G:$G=$U5,Prod_Prop!$E:$E=AB$1)),""""))"),"")</f>
        <v/>
      </c>
      <c r="AC5" s="4" t="str">
        <f>IF(AB5="","",SUMIFS(Prod_Prop!$J:$J,Prod_Prop!$B:$B,$Q5,Prod_Prop!$H:$H,AB5,Prod_Prop!$I:$I,AC$1)*IF(AB5="Peso",$R5,1))</f>
        <v/>
      </c>
      <c r="AD5" s="4" t="str">
        <f>IF(AB5="","",SUMIFS(Prod_Prop!$J:$J,Prod_Prop!$B:$B,$Q5,Prod_Prop!$H:$H,AB5,Prod_Prop!$I:$I,AD$1)*IF(AB5="Peso",$R5,1))</f>
        <v/>
      </c>
    </row>
    <row r="6">
      <c r="A6" s="4" t="str">
        <f t="array" ref="A6">IF(COUNTIF(A$1:A5,Cotizador!F$2)=maxifs(Familias!E:E,Familias!D:D,Cotizador!F$2),IF(COUNTIF(A$1:A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>Rodados</v>
      </c>
      <c r="B6" s="4">
        <f t="shared" si="1"/>
        <v>1</v>
      </c>
      <c r="C6" s="4">
        <f t="array" ref="C6">IF(B6="","",IF(A6=XLOOKUP(A$2,Implementos!B:B,Implementos!C:C,"",0,1),B6+maxifs(B$1:B5,A$1:A5,A$2),B6))</f>
        <v>5</v>
      </c>
      <c r="D6" s="4">
        <f>IF(B6="","", COUNTIFS(Productos!F:F,A6,Productos!H:H,B6)+IF(F6="SI",0,1))</f>
        <v>8</v>
      </c>
      <c r="E6" s="4" t="str">
        <f>IFERROR(__xludf.DUMMYFUNCTION("IF($B6="""","""",INDEX(filter(Familias!F:F,Familias!$D:$D=$A6,Familias!$E:$E=$B6),1))"),"O")</f>
        <v>O</v>
      </c>
      <c r="F6" s="4" t="str">
        <f>IFERROR(__xludf.DUMMYFUNCTION("IF($B6="""","""",INDEX(filter(Familias!G:G,Familias!$D:$D=$A6,Familias!$E:$E=$B6),1))"),"SI")</f>
        <v>SI</v>
      </c>
      <c r="G6" s="4" t="str">
        <f t="array" ref="G6">IF(C6=1,XLOOKUP(C6,Cotizador!D:D,Cotizador!E:E,"",0,1),"")</f>
        <v/>
      </c>
      <c r="I6" s="4"/>
      <c r="J6" s="8" t="str">
        <f>IF(I6="","",SUMIF(Cotizador!I$1:V$1,I6,Cotizador!I$2:V$2))</f>
        <v/>
      </c>
      <c r="L6" s="4" t="str">
        <f t="array" ref="L6">IF(COUNTIF(L$1:L5,A$2)=SUMIF(A:A,A$2,D:D),IF(COUNTIF(L$1:L5,XLOOKUP(A$2,Implementos!B:B,Implementos!C:C,"",0,1))=SUMIF(A:A,XLOOKUP(A$2,Implementos!B:B,Implementos!C:C,"",0,1),D:D),"",XLOOKUP(A$2,Implementos!B:B,Implementos!C:C,"",0,1)),A$2)</f>
        <v>Acoplados Rurales</v>
      </c>
      <c r="M6" s="4">
        <f t="shared" si="2"/>
        <v>5</v>
      </c>
      <c r="N6" s="4">
        <f t="shared" si="3"/>
        <v>1</v>
      </c>
      <c r="O6" s="4">
        <f t="shared" si="4"/>
        <v>1</v>
      </c>
      <c r="P6" s="4">
        <f t="shared" si="5"/>
        <v>5</v>
      </c>
      <c r="Q6" s="4">
        <f>IF(U6="","",SUMIF(Productos!E:E,U6,Productos!A:A))</f>
        <v>49</v>
      </c>
      <c r="R6" s="4">
        <f t="array" ref="R6">IF(L6="","", max(1,SUMIF(I:I,XLOOKUP(U6,Productos!E:E,Productos!G:G,"",0,1),J:J)))</f>
        <v>1</v>
      </c>
      <c r="S6" s="4" t="str">
        <f>IF(Q6="","",IF(SUMIFS(Compat_Vetado!D:D,Compat_Vetado!B:B,SUM(G:G),Compat_Vetado!C:C,Q6)=1,"SI",IF(OR(SUMIF(Cotizador!E:E,Q6,Cotizador!G:G)&gt;0,SUMIFS(Compat_Vetado!D:D,Compat_Vetado!B:B,SUM(G:G),Compat_Vetado!C:C,Q6)=-1),"NO","")))</f>
        <v/>
      </c>
      <c r="T6" s="4" t="str">
        <f t="shared" si="6"/>
        <v>x</v>
      </c>
      <c r="U6" s="4" t="str">
        <f>IFERROR(__xludf.DUMMYFUNCTION("IF(P6="""","""",IFERROR(INDEX(filter(Productos!E:E,Productos!F:F=L6,Productos!H:H=N6),P6),IF(M6=SUM(D:D),""Finalizar"",""-"")))"),"Tanque Combustible 2000 lts Standard")</f>
        <v>Tanque Combustible 2000 lts Standard</v>
      </c>
      <c r="V6" s="4" t="str">
        <f>IFERROR(__xludf.DUMMYFUNCTION("IF(OR($U6="""",COUNTIF($I:$I,IFERROR(unique(filter(Prod_Prop!$H:$H,Prod_Prop!$G:$G=$U6,Prod_Prop!$E:$E=V$1)),""Check""))=0),"""",IFERROR(unique(filter(Prod_Prop!$H:$H,Prod_Prop!$G:$G=$U6,Prod_Prop!$E:$E=V$1)),""""))"),"")</f>
        <v/>
      </c>
      <c r="W6" s="4" t="str">
        <f>IF(V6="","",SUMIFS(Prod_Prop!$J:$J,Prod_Prop!$B:$B,$Q6,Prod_Prop!$H:$H,V6,Prod_Prop!$I:$I,W$1)*IF(V6="Peso",$R6,1))</f>
        <v/>
      </c>
      <c r="X6" s="4" t="str">
        <f>IF(V6="","",SUMIFS(Prod_Prop!$J:$J,Prod_Prop!$B:$B,$Q6,Prod_Prop!$H:$H,V6,Prod_Prop!$I:$I,X$1)*IF(V6="Peso",$R6,1))</f>
        <v/>
      </c>
      <c r="Y6" s="4" t="str">
        <f>IFERROR(__xludf.DUMMYFUNCTION("IF(OR($U6="""",COUNTIF($I:$I,IFERROR(unique(filter(Prod_Prop!$H:$H,Prod_Prop!$G:$G=$U6,Prod_Prop!$E:$E=Y$1)),""Check""))=0),"""",IFERROR(unique(filter(Prod_Prop!$H:$H,Prod_Prop!$G:$G=$U6,Prod_Prop!$E:$E=Y$1)),""""))"),"")</f>
        <v/>
      </c>
      <c r="Z6" s="4" t="str">
        <f>IF(Y6="","",SUMIFS(Prod_Prop!$J:$J,Prod_Prop!$B:$B,$Q6,Prod_Prop!$H:$H,Y6,Prod_Prop!$I:$I,Z$1)*IF(Y6="Peso",$R6,1))</f>
        <v/>
      </c>
      <c r="AA6" s="4" t="str">
        <f>IF(Y6="","",SUMIFS(Prod_Prop!$J:$J,Prod_Prop!$B:$B,$Q6,Prod_Prop!$H:$H,Y6,Prod_Prop!$I:$I,AA$1)*IF(Y6="Peso",$R6,1))</f>
        <v/>
      </c>
      <c r="AB6" s="4" t="str">
        <f>IFERROR(__xludf.DUMMYFUNCTION("IF(OR($U6="""",COUNTIF($I:$I,IFERROR(unique(filter(Prod_Prop!$H:$H,Prod_Prop!$G:$G=$U6,Prod_Prop!$E:$E=AB$1)),""Check""))=0),"""",IFERROR(unique(filter(Prod_Prop!$H:$H,Prod_Prop!$G:$G=$U6,Prod_Prop!$E:$E=AB$1)),""""))"),"")</f>
        <v/>
      </c>
      <c r="AC6" s="4" t="str">
        <f>IF(AB6="","",SUMIFS(Prod_Prop!$J:$J,Prod_Prop!$B:$B,$Q6,Prod_Prop!$H:$H,AB6,Prod_Prop!$I:$I,AC$1)*IF(AB6="Peso",$R6,1))</f>
        <v/>
      </c>
      <c r="AD6" s="4" t="str">
        <f>IF(AB6="","",SUMIFS(Prod_Prop!$J:$J,Prod_Prop!$B:$B,$Q6,Prod_Prop!$H:$H,AB6,Prod_Prop!$I:$I,AD$1)*IF(AB6="Peso",$R6,1))</f>
        <v/>
      </c>
    </row>
    <row r="7">
      <c r="A7" s="4" t="str">
        <f t="array" ref="A7">IF(COUNTIF(A$1:A6,Cotizador!F$2)=maxifs(Familias!E:E,Familias!D:D,Cotizador!F$2),IF(COUNTIF(A$1:A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>Rodados</v>
      </c>
      <c r="B7" s="4">
        <f t="shared" si="1"/>
        <v>2</v>
      </c>
      <c r="C7" s="4">
        <f t="array" ref="C7">IF(B7="","",IF(A7=XLOOKUP(A$2,Implementos!B:B,Implementos!C:C,"",0,1),B7+maxifs(B$1:B6,A$1:A6,A$2),B7))</f>
        <v>6</v>
      </c>
      <c r="D7" s="4">
        <f>IF(B7="","", COUNTIFS(Productos!F:F,A7,Productos!H:H,B7)+IF(F7="SI",0,1))</f>
        <v>10</v>
      </c>
      <c r="E7" s="4" t="str">
        <f>IFERROR(__xludf.DUMMYFUNCTION("IF($B7="""","""",INDEX(filter(Familias!F:F,Familias!$D:$D=$A7,Familias!$E:$E=$B7),1))"),"O")</f>
        <v>O</v>
      </c>
      <c r="F7" s="4" t="str">
        <f>IFERROR(__xludf.DUMMYFUNCTION("IF($B7="""","""",INDEX(filter(Familias!G:G,Familias!$D:$D=$A7,Familias!$E:$E=$B7),1))"),"SI")</f>
        <v>SI</v>
      </c>
      <c r="G7" s="4" t="str">
        <f t="array" ref="G7">IF(C7=1,XLOOKUP(C7,Cotizador!D:D,Cotizador!E:E,"",0,1),"")</f>
        <v/>
      </c>
      <c r="I7" s="4"/>
      <c r="J7" s="8" t="str">
        <f>IF(I7="","",SUMIF(Cotizador!I$1:V$1,I7,Cotizador!I$2:V$2))</f>
        <v/>
      </c>
      <c r="L7" s="4" t="str">
        <f t="array" ref="L7">IF(COUNTIF(L$1:L6,A$2)=SUMIF(A:A,A$2,D:D),IF(COUNTIF(L$1:L6,XLOOKUP(A$2,Implementos!B:B,Implementos!C:C,"",0,1))=SUMIF(A:A,XLOOKUP(A$2,Implementos!B:B,Implementos!C:C,"",0,1),D:D),"",XLOOKUP(A$2,Implementos!B:B,Implementos!C:C,"",0,1)),A$2)</f>
        <v>Acoplados Rurales</v>
      </c>
      <c r="M7" s="4">
        <f t="shared" si="2"/>
        <v>6</v>
      </c>
      <c r="N7" s="4">
        <f t="shared" si="3"/>
        <v>1</v>
      </c>
      <c r="O7" s="4">
        <f t="shared" si="4"/>
        <v>1</v>
      </c>
      <c r="P7" s="4">
        <f t="shared" si="5"/>
        <v>6</v>
      </c>
      <c r="Q7" s="4">
        <f>IF(U7="","",SUMIF(Productos!E:E,U7,Productos!A:A))</f>
        <v>50</v>
      </c>
      <c r="R7" s="4">
        <f t="array" ref="R7">IF(L7="","", max(1,SUMIF(I:I,XLOOKUP(U7,Productos!E:E,Productos!G:G,"",0,1),J:J)))</f>
        <v>1</v>
      </c>
      <c r="S7" s="4" t="str">
        <f>IF(Q7="","",IF(SUMIFS(Compat_Vetado!D:D,Compat_Vetado!B:B,SUM(G:G),Compat_Vetado!C:C,Q7)=1,"SI",IF(OR(SUMIF(Cotizador!E:E,Q7,Cotizador!G:G)&gt;0,SUMIFS(Compat_Vetado!D:D,Compat_Vetado!B:B,SUM(G:G),Compat_Vetado!C:C,Q7)=-1),"NO","")))</f>
        <v/>
      </c>
      <c r="T7" s="4" t="str">
        <f t="shared" si="6"/>
        <v>x</v>
      </c>
      <c r="U7" s="4" t="str">
        <f>IFERROR(__xludf.DUMMYFUNCTION("IF(P7="""","""",IFERROR(INDEX(filter(Productos!E:E,Productos!F:F=L7,Productos!H:H=N7),P7),IF(M7=SUM(D:D),""Finalizar"",""-"")))"),"Tanque Combustible 3000 lts Standard")</f>
        <v>Tanque Combustible 3000 lts Standard</v>
      </c>
      <c r="V7" s="4" t="str">
        <f>IFERROR(__xludf.DUMMYFUNCTION("IF(OR($U7="""",COUNTIF($I:$I,IFERROR(unique(filter(Prod_Prop!$H:$H,Prod_Prop!$G:$G=$U7,Prod_Prop!$E:$E=V$1)),""Check""))=0),"""",IFERROR(unique(filter(Prod_Prop!$H:$H,Prod_Prop!$G:$G=$U7,Prod_Prop!$E:$E=V$1)),""""))"),"")</f>
        <v/>
      </c>
      <c r="W7" s="4" t="str">
        <f>IF(V7="","",SUMIFS(Prod_Prop!$J:$J,Prod_Prop!$B:$B,$Q7,Prod_Prop!$H:$H,V7,Prod_Prop!$I:$I,W$1)*IF(V7="Peso",$R7,1))</f>
        <v/>
      </c>
      <c r="X7" s="4" t="str">
        <f>IF(V7="","",SUMIFS(Prod_Prop!$J:$J,Prod_Prop!$B:$B,$Q7,Prod_Prop!$H:$H,V7,Prod_Prop!$I:$I,X$1)*IF(V7="Peso",$R7,1))</f>
        <v/>
      </c>
      <c r="Y7" s="4" t="str">
        <f>IFERROR(__xludf.DUMMYFUNCTION("IF(OR($U7="""",COUNTIF($I:$I,IFERROR(unique(filter(Prod_Prop!$H:$H,Prod_Prop!$G:$G=$U7,Prod_Prop!$E:$E=Y$1)),""Check""))=0),"""",IFERROR(unique(filter(Prod_Prop!$H:$H,Prod_Prop!$G:$G=$U7,Prod_Prop!$E:$E=Y$1)),""""))"),"")</f>
        <v/>
      </c>
      <c r="Z7" s="4" t="str">
        <f>IF(Y7="","",SUMIFS(Prod_Prop!$J:$J,Prod_Prop!$B:$B,$Q7,Prod_Prop!$H:$H,Y7,Prod_Prop!$I:$I,Z$1)*IF(Y7="Peso",$R7,1))</f>
        <v/>
      </c>
      <c r="AA7" s="4" t="str">
        <f>IF(Y7="","",SUMIFS(Prod_Prop!$J:$J,Prod_Prop!$B:$B,$Q7,Prod_Prop!$H:$H,Y7,Prod_Prop!$I:$I,AA$1)*IF(Y7="Peso",$R7,1))</f>
        <v/>
      </c>
      <c r="AB7" s="4" t="str">
        <f>IFERROR(__xludf.DUMMYFUNCTION("IF(OR($U7="""",COUNTIF($I:$I,IFERROR(unique(filter(Prod_Prop!$H:$H,Prod_Prop!$G:$G=$U7,Prod_Prop!$E:$E=AB$1)),""Check""))=0),"""",IFERROR(unique(filter(Prod_Prop!$H:$H,Prod_Prop!$G:$G=$U7,Prod_Prop!$E:$E=AB$1)),""""))"),"")</f>
        <v/>
      </c>
      <c r="AC7" s="4" t="str">
        <f>IF(AB7="","",SUMIFS(Prod_Prop!$J:$J,Prod_Prop!$B:$B,$Q7,Prod_Prop!$H:$H,AB7,Prod_Prop!$I:$I,AC$1)*IF(AB7="Peso",$R7,1))</f>
        <v/>
      </c>
      <c r="AD7" s="4" t="str">
        <f>IF(AB7="","",SUMIFS(Prod_Prop!$J:$J,Prod_Prop!$B:$B,$Q7,Prod_Prop!$H:$H,AB7,Prod_Prop!$I:$I,AD$1)*IF(AB7="Peso",$R7,1))</f>
        <v/>
      </c>
    </row>
    <row r="8">
      <c r="A8" s="4" t="str">
        <f t="array" ref="A8">IF(COUNTIF(A$1:A7,Cotizador!F$2)=maxifs(Familias!E:E,Familias!D:D,Cotizador!F$2),IF(COUNTIF(A$1:A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>Rodados</v>
      </c>
      <c r="B8" s="4">
        <f t="shared" si="1"/>
        <v>3</v>
      </c>
      <c r="C8" s="4">
        <f t="array" ref="C8">IF(B8="","",IF(A8=XLOOKUP(A$2,Implementos!B:B,Implementos!C:C,"",0,1),B8+maxifs(B$1:B7,A$1:A7,A$2),B8))</f>
        <v>7</v>
      </c>
      <c r="D8" s="4">
        <f>IF(B8="","", COUNTIFS(Productos!F:F,A8,Productos!H:H,B8)+IF(F8="SI",0,1))</f>
        <v>8</v>
      </c>
      <c r="E8" s="4" t="str">
        <f>IFERROR(__xludf.DUMMYFUNCTION("IF($B8="""","""",INDEX(filter(Familias!F:F,Familias!$D:$D=$A8,Familias!$E:$E=$B8),1))"),"O")</f>
        <v>O</v>
      </c>
      <c r="F8" s="4" t="str">
        <f>IFERROR(__xludf.DUMMYFUNCTION("IF($B8="""","""",INDEX(filter(Familias!G:G,Familias!$D:$D=$A8,Familias!$E:$E=$B8),1))"),"SI")</f>
        <v>SI</v>
      </c>
      <c r="G8" s="4" t="str">
        <f t="array" ref="G8">IF(C8=1,XLOOKUP(C8,Cotizador!D:D,Cotizador!E:E,"",0,1),"")</f>
        <v/>
      </c>
      <c r="I8" s="4"/>
      <c r="J8" s="8" t="str">
        <f>IF(I8="","",SUMIF(Cotizador!I$1:V$1,I8,Cotizador!I$2:V$2))</f>
        <v/>
      </c>
      <c r="L8" s="4" t="str">
        <f t="array" ref="L8">IF(COUNTIF(L$1:L7,A$2)=SUMIF(A:A,A$2,D:D),IF(COUNTIF(L$1:L7,XLOOKUP(A$2,Implementos!B:B,Implementos!C:C,"",0,1))=SUMIF(A:A,XLOOKUP(A$2,Implementos!B:B,Implementos!C:C,"",0,1),D:D),"",XLOOKUP(A$2,Implementos!B:B,Implementos!C:C,"",0,1)),A$2)</f>
        <v>Acoplados Rurales</v>
      </c>
      <c r="M8" s="4">
        <f t="shared" si="2"/>
        <v>7</v>
      </c>
      <c r="N8" s="4">
        <f t="shared" si="3"/>
        <v>1</v>
      </c>
      <c r="O8" s="4">
        <f t="shared" si="4"/>
        <v>1</v>
      </c>
      <c r="P8" s="4">
        <f t="shared" si="5"/>
        <v>7</v>
      </c>
      <c r="Q8" s="4">
        <f>IF(U8="","",SUMIF(Productos!E:E,U8,Productos!A:A))</f>
        <v>51</v>
      </c>
      <c r="R8" s="4">
        <f t="array" ref="R8">IF(L8="","", max(1,SUMIF(I:I,XLOOKUP(U8,Productos!E:E,Productos!G:G,"",0,1),J:J)))</f>
        <v>1</v>
      </c>
      <c r="S8" s="4" t="str">
        <f>IF(Q8="","",IF(SUMIFS(Compat_Vetado!D:D,Compat_Vetado!B:B,SUM(G:G),Compat_Vetado!C:C,Q8)=1,"SI",IF(OR(SUMIF(Cotizador!E:E,Q8,Cotizador!G:G)&gt;0,SUMIFS(Compat_Vetado!D:D,Compat_Vetado!B:B,SUM(G:G),Compat_Vetado!C:C,Q8)=-1),"NO","")))</f>
        <v/>
      </c>
      <c r="T8" s="4" t="str">
        <f t="shared" si="6"/>
        <v>x</v>
      </c>
      <c r="U8" s="4" t="str">
        <f>IFERROR(__xludf.DUMMYFUNCTION("IF(P8="""","""",IFERROR(INDEX(filter(Productos!E:E,Productos!F:F=L8,Productos!H:H=N8),P8),IF(M8=SUM(D:D),""Finalizar"",""-"")))"),"Tanque Combustible 3000 lts Alto")</f>
        <v>Tanque Combustible 3000 lts Alto</v>
      </c>
      <c r="V8" s="4" t="str">
        <f>IFERROR(__xludf.DUMMYFUNCTION("IF(OR($U8="""",COUNTIF($I:$I,IFERROR(unique(filter(Prod_Prop!$H:$H,Prod_Prop!$G:$G=$U8,Prod_Prop!$E:$E=V$1)),""Check""))=0),"""",IFERROR(unique(filter(Prod_Prop!$H:$H,Prod_Prop!$G:$G=$U8,Prod_Prop!$E:$E=V$1)),""""))"),"")</f>
        <v/>
      </c>
      <c r="W8" s="4" t="str">
        <f>IF(V8="","",SUMIFS(Prod_Prop!$J:$J,Prod_Prop!$B:$B,$Q8,Prod_Prop!$H:$H,V8,Prod_Prop!$I:$I,W$1)*IF(V8="Peso",$R8,1))</f>
        <v/>
      </c>
      <c r="X8" s="4" t="str">
        <f>IF(V8="","",SUMIFS(Prod_Prop!$J:$J,Prod_Prop!$B:$B,$Q8,Prod_Prop!$H:$H,V8,Prod_Prop!$I:$I,X$1)*IF(V8="Peso",$R8,1))</f>
        <v/>
      </c>
      <c r="Y8" s="4" t="str">
        <f>IFERROR(__xludf.DUMMYFUNCTION("IF(OR($U8="""",COUNTIF($I:$I,IFERROR(unique(filter(Prod_Prop!$H:$H,Prod_Prop!$G:$G=$U8,Prod_Prop!$E:$E=Y$1)),""Check""))=0),"""",IFERROR(unique(filter(Prod_Prop!$H:$H,Prod_Prop!$G:$G=$U8,Prod_Prop!$E:$E=Y$1)),""""))"),"")</f>
        <v/>
      </c>
      <c r="Z8" s="4" t="str">
        <f>IF(Y8="","",SUMIFS(Prod_Prop!$J:$J,Prod_Prop!$B:$B,$Q8,Prod_Prop!$H:$H,Y8,Prod_Prop!$I:$I,Z$1)*IF(Y8="Peso",$R8,1))</f>
        <v/>
      </c>
      <c r="AA8" s="4" t="str">
        <f>IF(Y8="","",SUMIFS(Prod_Prop!$J:$J,Prod_Prop!$B:$B,$Q8,Prod_Prop!$H:$H,Y8,Prod_Prop!$I:$I,AA$1)*IF(Y8="Peso",$R8,1))</f>
        <v/>
      </c>
      <c r="AB8" s="4" t="str">
        <f>IFERROR(__xludf.DUMMYFUNCTION("IF(OR($U8="""",COUNTIF($I:$I,IFERROR(unique(filter(Prod_Prop!$H:$H,Prod_Prop!$G:$G=$U8,Prod_Prop!$E:$E=AB$1)),""Check""))=0),"""",IFERROR(unique(filter(Prod_Prop!$H:$H,Prod_Prop!$G:$G=$U8,Prod_Prop!$E:$E=AB$1)),""""))"),"")</f>
        <v/>
      </c>
      <c r="AC8" s="4" t="str">
        <f>IF(AB8="","",SUMIFS(Prod_Prop!$J:$J,Prod_Prop!$B:$B,$Q8,Prod_Prop!$H:$H,AB8,Prod_Prop!$I:$I,AC$1)*IF(AB8="Peso",$R8,1))</f>
        <v/>
      </c>
      <c r="AD8" s="4" t="str">
        <f>IF(AB8="","",SUMIFS(Prod_Prop!$J:$J,Prod_Prop!$B:$B,$Q8,Prod_Prop!$H:$H,AB8,Prod_Prop!$I:$I,AD$1)*IF(AB8="Peso",$R8,1))</f>
        <v/>
      </c>
    </row>
    <row r="9">
      <c r="A9" s="4" t="str">
        <f t="array" ref="A9">IF(COUNTIF(A$1:A8,Cotizador!F$2)=maxifs(Familias!E:E,Familias!D:D,Cotizador!F$2),IF(COUNTIF(A$1:A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" s="4" t="str">
        <f t="shared" si="1"/>
        <v/>
      </c>
      <c r="C9" s="4" t="str">
        <f t="array" ref="C9">IF(B9="","",IF(A9=XLOOKUP(A$2,Implementos!B:B,Implementos!C:C,"",0,1),B9+maxifs(B$1:B8,A$1:A8,A$2),B9))</f>
        <v/>
      </c>
      <c r="D9" s="4" t="str">
        <f>IF(B9="","", COUNTIFS(Productos!F:F,A9,Productos!H:H,B9)+IF(F9="SI",0,1))</f>
        <v/>
      </c>
      <c r="E9" s="4" t="str">
        <f>IFERROR(__xludf.DUMMYFUNCTION("IF($B9="""","""",INDEX(filter(Familias!F:F,Familias!$D:$D=$A9,Familias!$E:$E=$B9),1))"),"")</f>
        <v/>
      </c>
      <c r="F9" s="4" t="str">
        <f>IFERROR(__xludf.DUMMYFUNCTION("IF($B9="""","""",INDEX(filter(Familias!G:G,Familias!$D:$D=$A9,Familias!$E:$E=$B9),1))"),"")</f>
        <v/>
      </c>
      <c r="G9" s="4" t="str">
        <f t="array" ref="G9">IF(C9=1,XLOOKUP(C9,Cotizador!D:D,Cotizador!E:E,"",0,1),"")</f>
        <v/>
      </c>
      <c r="I9" s="4"/>
      <c r="J9" s="8" t="str">
        <f>IF(I9="","",SUMIF(Cotizador!I$1:V$1,I9,Cotizador!I$2:V$2))</f>
        <v/>
      </c>
      <c r="L9" s="4" t="str">
        <f t="array" ref="L9">IF(COUNTIF(L$1:L8,A$2)=SUMIF(A:A,A$2,D:D),IF(COUNTIF(L$1:L8,XLOOKUP(A$2,Implementos!B:B,Implementos!C:C,"",0,1))=SUMIF(A:A,XLOOKUP(A$2,Implementos!B:B,Implementos!C:C,"",0,1),D:D),"",XLOOKUP(A$2,Implementos!B:B,Implementos!C:C,"",0,1)),A$2)</f>
        <v>Acoplados Rurales</v>
      </c>
      <c r="M9" s="4">
        <f t="shared" si="2"/>
        <v>8</v>
      </c>
      <c r="N9" s="4">
        <f t="shared" si="3"/>
        <v>1</v>
      </c>
      <c r="O9" s="4">
        <f t="shared" si="4"/>
        <v>1</v>
      </c>
      <c r="P9" s="4">
        <f t="shared" si="5"/>
        <v>8</v>
      </c>
      <c r="Q9" s="4">
        <f>IF(U9="","",SUMIF(Productos!E:E,U9,Productos!A:A))</f>
        <v>52</v>
      </c>
      <c r="R9" s="4">
        <f t="array" ref="R9">IF(L9="","", max(1,SUMIF(I:I,XLOOKUP(U9,Productos!E:E,Productos!G:G,"",0,1),J:J)))</f>
        <v>1</v>
      </c>
      <c r="S9" s="4" t="str">
        <f>IF(Q9="","",IF(SUMIFS(Compat_Vetado!D:D,Compat_Vetado!B:B,SUM(G:G),Compat_Vetado!C:C,Q9)=1,"SI",IF(OR(SUMIF(Cotizador!E:E,Q9,Cotizador!G:G)&gt;0,SUMIFS(Compat_Vetado!D:D,Compat_Vetado!B:B,SUM(G:G),Compat_Vetado!C:C,Q9)=-1),"NO","")))</f>
        <v/>
      </c>
      <c r="T9" s="4" t="str">
        <f t="shared" si="6"/>
        <v>x</v>
      </c>
      <c r="U9" s="4" t="str">
        <f>IFERROR(__xludf.DUMMYFUNCTION("IF(P9="""","""",IFERROR(INDEX(filter(Productos!E:E,Productos!F:F=L9,Productos!H:H=N9),P9),IF(M9=SUM(D:D),""Finalizar"",""-"")))"),"Tanque Combustible 4000 lts Standard")</f>
        <v>Tanque Combustible 4000 lts Standard</v>
      </c>
      <c r="V9" s="4" t="str">
        <f>IFERROR(__xludf.DUMMYFUNCTION("IF(OR($U9="""",COUNTIF($I:$I,IFERROR(unique(filter(Prod_Prop!$H:$H,Prod_Prop!$G:$G=$U9,Prod_Prop!$E:$E=V$1)),""Check""))=0),"""",IFERROR(unique(filter(Prod_Prop!$H:$H,Prod_Prop!$G:$G=$U9,Prod_Prop!$E:$E=V$1)),""""))"),"")</f>
        <v/>
      </c>
      <c r="W9" s="4" t="str">
        <f>IF(V9="","",SUMIFS(Prod_Prop!$J:$J,Prod_Prop!$B:$B,$Q9,Prod_Prop!$H:$H,V9,Prod_Prop!$I:$I,W$1)*IF(V9="Peso",$R9,1))</f>
        <v/>
      </c>
      <c r="X9" s="4" t="str">
        <f>IF(V9="","",SUMIFS(Prod_Prop!$J:$J,Prod_Prop!$B:$B,$Q9,Prod_Prop!$H:$H,V9,Prod_Prop!$I:$I,X$1)*IF(V9="Peso",$R9,1))</f>
        <v/>
      </c>
      <c r="Y9" s="4" t="str">
        <f>IFERROR(__xludf.DUMMYFUNCTION("IF(OR($U9="""",COUNTIF($I:$I,IFERROR(unique(filter(Prod_Prop!$H:$H,Prod_Prop!$G:$G=$U9,Prod_Prop!$E:$E=Y$1)),""Check""))=0),"""",IFERROR(unique(filter(Prod_Prop!$H:$H,Prod_Prop!$G:$G=$U9,Prod_Prop!$E:$E=Y$1)),""""))"),"")</f>
        <v/>
      </c>
      <c r="Z9" s="4" t="str">
        <f>IF(Y9="","",SUMIFS(Prod_Prop!$J:$J,Prod_Prop!$B:$B,$Q9,Prod_Prop!$H:$H,Y9,Prod_Prop!$I:$I,Z$1)*IF(Y9="Peso",$R9,1))</f>
        <v/>
      </c>
      <c r="AA9" s="4" t="str">
        <f>IF(Y9="","",SUMIFS(Prod_Prop!$J:$J,Prod_Prop!$B:$B,$Q9,Prod_Prop!$H:$H,Y9,Prod_Prop!$I:$I,AA$1)*IF(Y9="Peso",$R9,1))</f>
        <v/>
      </c>
      <c r="AB9" s="4" t="str">
        <f>IFERROR(__xludf.DUMMYFUNCTION("IF(OR($U9="""",COUNTIF($I:$I,IFERROR(unique(filter(Prod_Prop!$H:$H,Prod_Prop!$G:$G=$U9,Prod_Prop!$E:$E=AB$1)),""Check""))=0),"""",IFERROR(unique(filter(Prod_Prop!$H:$H,Prod_Prop!$G:$G=$U9,Prod_Prop!$E:$E=AB$1)),""""))"),"")</f>
        <v/>
      </c>
      <c r="AC9" s="4" t="str">
        <f>IF(AB9="","",SUMIFS(Prod_Prop!$J:$J,Prod_Prop!$B:$B,$Q9,Prod_Prop!$H:$H,AB9,Prod_Prop!$I:$I,AC$1)*IF(AB9="Peso",$R9,1))</f>
        <v/>
      </c>
      <c r="AD9" s="4" t="str">
        <f>IF(AB9="","",SUMIFS(Prod_Prop!$J:$J,Prod_Prop!$B:$B,$Q9,Prod_Prop!$H:$H,AB9,Prod_Prop!$I:$I,AD$1)*IF(AB9="Peso",$R9,1))</f>
        <v/>
      </c>
    </row>
    <row r="10">
      <c r="A10" s="4" t="str">
        <f t="array" ref="A10">IF(COUNTIF(A$1:A9,Cotizador!F$2)=maxifs(Familias!E:E,Familias!D:D,Cotizador!F$2),IF(COUNTIF(A$1:A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" s="4" t="str">
        <f t="shared" si="1"/>
        <v/>
      </c>
      <c r="C10" s="4" t="str">
        <f t="array" ref="C10">IF(B10="","",IF(A10=XLOOKUP(A$2,Implementos!B:B,Implementos!C:C,"",0,1),B10+maxifs(B$1:B9,A$1:A9,A$2),B10))</f>
        <v/>
      </c>
      <c r="D10" s="4" t="str">
        <f>IF(B10="","", COUNTIFS(Productos!F:F,A10,Productos!H:H,B10)+IF(F10="SI",0,1))</f>
        <v/>
      </c>
      <c r="E10" s="4" t="str">
        <f>IFERROR(__xludf.DUMMYFUNCTION("IF($B10="""","""",INDEX(filter(Familias!F:F,Familias!$D:$D=$A10,Familias!$E:$E=$B10),1))"),"")</f>
        <v/>
      </c>
      <c r="F10" s="4" t="str">
        <f>IFERROR(__xludf.DUMMYFUNCTION("IF($B10="""","""",INDEX(filter(Familias!G:G,Familias!$D:$D=$A10,Familias!$E:$E=$B10),1))"),"")</f>
        <v/>
      </c>
      <c r="G10" s="4" t="str">
        <f t="array" ref="G10">IF(C10=1,XLOOKUP(C10,Cotizador!D:D,Cotizador!E:E,"",0,1),"")</f>
        <v/>
      </c>
      <c r="I10" s="4"/>
      <c r="J10" s="8" t="str">
        <f>IF(I10="","",SUMIF(Cotizador!I$1:V$1,I10,Cotizador!I$2:V$2))</f>
        <v/>
      </c>
      <c r="L10" s="4" t="str">
        <f t="array" ref="L10">IF(COUNTIF(L$1:L9,A$2)=SUMIF(A:A,A$2,D:D),IF(COUNTIF(L$1:L9,XLOOKUP(A$2,Implementos!B:B,Implementos!C:C,"",0,1))=SUMIF(A:A,XLOOKUP(A$2,Implementos!B:B,Implementos!C:C,"",0,1),D:D),"",XLOOKUP(A$2,Implementos!B:B,Implementos!C:C,"",0,1)),A$2)</f>
        <v>Acoplados Rurales</v>
      </c>
      <c r="M10" s="4">
        <f t="shared" si="2"/>
        <v>9</v>
      </c>
      <c r="N10" s="4">
        <f t="shared" si="3"/>
        <v>1</v>
      </c>
      <c r="O10" s="4">
        <f t="shared" si="4"/>
        <v>1</v>
      </c>
      <c r="P10" s="4">
        <f t="shared" si="5"/>
        <v>9</v>
      </c>
      <c r="Q10" s="4">
        <f>IF(U10="","",SUMIF(Productos!E:E,U10,Productos!A:A))</f>
        <v>53</v>
      </c>
      <c r="R10" s="4">
        <f t="array" ref="R10">IF(L10="","", max(1,SUMIF(I:I,XLOOKUP(U10,Productos!E:E,Productos!G:G,"",0,1),J:J)))</f>
        <v>1</v>
      </c>
      <c r="S10" s="4" t="str">
        <f>IF(Q10="","",IF(SUMIFS(Compat_Vetado!D:D,Compat_Vetado!B:B,SUM(G:G),Compat_Vetado!C:C,Q10)=1,"SI",IF(OR(SUMIF(Cotizador!E:E,Q10,Cotizador!G:G)&gt;0,SUMIFS(Compat_Vetado!D:D,Compat_Vetado!B:B,SUM(G:G),Compat_Vetado!C:C,Q10)=-1),"NO","")))</f>
        <v/>
      </c>
      <c r="T10" s="4" t="str">
        <f t="shared" si="6"/>
        <v>x</v>
      </c>
      <c r="U10" s="4" t="str">
        <f>IFERROR(__xludf.DUMMYFUNCTION("IF(P10="""","""",IFERROR(INDEX(filter(Productos!E:E,Productos!F:F=L10,Productos!H:H=N10),P10),IF(M10=SUM(D:D),""Finalizar"",""-"")))"),"Tanque Combustible 5000 lts Standard")</f>
        <v>Tanque Combustible 5000 lts Standard</v>
      </c>
      <c r="V10" s="4" t="str">
        <f>IFERROR(__xludf.DUMMYFUNCTION("IF(OR($U10="""",COUNTIF($I:$I,IFERROR(unique(filter(Prod_Prop!$H:$H,Prod_Prop!$G:$G=$U10,Prod_Prop!$E:$E=V$1)),""Check""))=0),"""",IFERROR(unique(filter(Prod_Prop!$H:$H,Prod_Prop!$G:$G=$U10,Prod_Prop!$E:$E=V$1)),""""))"),"")</f>
        <v/>
      </c>
      <c r="W10" s="4" t="str">
        <f>IF(V10="","",SUMIFS(Prod_Prop!$J:$J,Prod_Prop!$B:$B,$Q10,Prod_Prop!$H:$H,V10,Prod_Prop!$I:$I,W$1)*IF(V10="Peso",$R10,1))</f>
        <v/>
      </c>
      <c r="X10" s="4" t="str">
        <f>IF(V10="","",SUMIFS(Prod_Prop!$J:$J,Prod_Prop!$B:$B,$Q10,Prod_Prop!$H:$H,V10,Prod_Prop!$I:$I,X$1)*IF(V10="Peso",$R10,1))</f>
        <v/>
      </c>
      <c r="Y10" s="4" t="str">
        <f>IFERROR(__xludf.DUMMYFUNCTION("IF(OR($U10="""",COUNTIF($I:$I,IFERROR(unique(filter(Prod_Prop!$H:$H,Prod_Prop!$G:$G=$U10,Prod_Prop!$E:$E=Y$1)),""Check""))=0),"""",IFERROR(unique(filter(Prod_Prop!$H:$H,Prod_Prop!$G:$G=$U10,Prod_Prop!$E:$E=Y$1)),""""))"),"")</f>
        <v/>
      </c>
      <c r="Z10" s="4" t="str">
        <f>IF(Y10="","",SUMIFS(Prod_Prop!$J:$J,Prod_Prop!$B:$B,$Q10,Prod_Prop!$H:$H,Y10,Prod_Prop!$I:$I,Z$1)*IF(Y10="Peso",$R10,1))</f>
        <v/>
      </c>
      <c r="AA10" s="4" t="str">
        <f>IF(Y10="","",SUMIFS(Prod_Prop!$J:$J,Prod_Prop!$B:$B,$Q10,Prod_Prop!$H:$H,Y10,Prod_Prop!$I:$I,AA$1)*IF(Y10="Peso",$R10,1))</f>
        <v/>
      </c>
      <c r="AB10" s="4" t="str">
        <f>IFERROR(__xludf.DUMMYFUNCTION("IF(OR($U10="""",COUNTIF($I:$I,IFERROR(unique(filter(Prod_Prop!$H:$H,Prod_Prop!$G:$G=$U10,Prod_Prop!$E:$E=AB$1)),""Check""))=0),"""",IFERROR(unique(filter(Prod_Prop!$H:$H,Prod_Prop!$G:$G=$U10,Prod_Prop!$E:$E=AB$1)),""""))"),"")</f>
        <v/>
      </c>
      <c r="AC10" s="4" t="str">
        <f>IF(AB10="","",SUMIFS(Prod_Prop!$J:$J,Prod_Prop!$B:$B,$Q10,Prod_Prop!$H:$H,AB10,Prod_Prop!$I:$I,AC$1)*IF(AB10="Peso",$R10,1))</f>
        <v/>
      </c>
      <c r="AD10" s="4" t="str">
        <f>IF(AB10="","",SUMIFS(Prod_Prop!$J:$J,Prod_Prop!$B:$B,$Q10,Prod_Prop!$H:$H,AB10,Prod_Prop!$I:$I,AD$1)*IF(AB10="Peso",$R10,1))</f>
        <v/>
      </c>
    </row>
    <row r="11">
      <c r="A11" s="4" t="str">
        <f t="array" ref="A11">IF(COUNTIF(A$1:A10,Cotizador!F$2)=maxifs(Familias!E:E,Familias!D:D,Cotizador!F$2),IF(COUNTIF(A$1:A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" s="4" t="str">
        <f t="shared" si="1"/>
        <v/>
      </c>
      <c r="C11" s="4" t="str">
        <f t="array" ref="C11">IF(B11="","",IF(A11=XLOOKUP(A$2,Implementos!B:B,Implementos!C:C,"",0,1),B11+maxifs(B$1:B10,A$1:A10,A$2),B11))</f>
        <v/>
      </c>
      <c r="D11" s="4" t="str">
        <f>IF(B11="","", COUNTIFS(Productos!F:F,A11,Productos!H:H,B11)+IF(F11="SI",0,1))</f>
        <v/>
      </c>
      <c r="E11" s="4" t="str">
        <f>IFERROR(__xludf.DUMMYFUNCTION("IF($B11="""","""",INDEX(filter(Familias!F:F,Familias!$D:$D=$A11,Familias!$E:$E=$B11),1))"),"")</f>
        <v/>
      </c>
      <c r="F11" s="4" t="str">
        <f>IFERROR(__xludf.DUMMYFUNCTION("IF($B11="""","""",INDEX(filter(Familias!G:G,Familias!$D:$D=$A11,Familias!$E:$E=$B11),1))"),"")</f>
        <v/>
      </c>
      <c r="G11" s="4" t="str">
        <f t="array" ref="G11">IF(C11=1,XLOOKUP(C11,Cotizador!D:D,Cotizador!E:E,"",0,1),"")</f>
        <v/>
      </c>
      <c r="I11" s="4"/>
      <c r="J11" s="8" t="str">
        <f>IF(I11="","",SUMIF(Cotizador!I$1:V$1,I11,Cotizador!I$2:V$2))</f>
        <v/>
      </c>
      <c r="L11" s="4" t="str">
        <f t="array" ref="L11">IF(COUNTIF(L$1:L10,A$2)=SUMIF(A:A,A$2,D:D),IF(COUNTIF(L$1:L10,XLOOKUP(A$2,Implementos!B:B,Implementos!C:C,"",0,1))=SUMIF(A:A,XLOOKUP(A$2,Implementos!B:B,Implementos!C:C,"",0,1),D:D),"",XLOOKUP(A$2,Implementos!B:B,Implementos!C:C,"",0,1)),A$2)</f>
        <v>Acoplados Rurales</v>
      </c>
      <c r="M11" s="4">
        <f t="shared" si="2"/>
        <v>10</v>
      </c>
      <c r="N11" s="4">
        <f t="shared" si="3"/>
        <v>1</v>
      </c>
      <c r="O11" s="4">
        <f t="shared" si="4"/>
        <v>1</v>
      </c>
      <c r="P11" s="4">
        <f t="shared" si="5"/>
        <v>10</v>
      </c>
      <c r="Q11" s="4">
        <f>IF(U11="","",SUMIF(Productos!E:E,U11,Productos!A:A))</f>
        <v>54</v>
      </c>
      <c r="R11" s="4">
        <f t="array" ref="R11">IF(L11="","", max(1,SUMIF(I:I,XLOOKUP(U11,Productos!E:E,Productos!G:G,"",0,1),J:J)))</f>
        <v>1</v>
      </c>
      <c r="S11" s="4" t="str">
        <f>IF(Q11="","",IF(SUMIFS(Compat_Vetado!D:D,Compat_Vetado!B:B,SUM(G:G),Compat_Vetado!C:C,Q11)=1,"SI",IF(OR(SUMIF(Cotizador!E:E,Q11,Cotizador!G:G)&gt;0,SUMIFS(Compat_Vetado!D:D,Compat_Vetado!B:B,SUM(G:G),Compat_Vetado!C:C,Q11)=-1),"NO","")))</f>
        <v/>
      </c>
      <c r="T11" s="4" t="str">
        <f t="shared" si="6"/>
        <v>x</v>
      </c>
      <c r="U11" s="4" t="str">
        <f>IFERROR(__xludf.DUMMYFUNCTION("IF(P11="""","""",IFERROR(INDEX(filter(Productos!E:E,Productos!F:F=L11,Productos!H:H=N11),P11),IF(M11=SUM(D:D),""Finalizar"",""-"")))"),"Tanque Combustible 5000 lts Alto")</f>
        <v>Tanque Combustible 5000 lts Alto</v>
      </c>
      <c r="V11" s="4" t="str">
        <f>IFERROR(__xludf.DUMMYFUNCTION("IF(OR($U11="""",COUNTIF($I:$I,IFERROR(unique(filter(Prod_Prop!$H:$H,Prod_Prop!$G:$G=$U11,Prod_Prop!$E:$E=V$1)),""Check""))=0),"""",IFERROR(unique(filter(Prod_Prop!$H:$H,Prod_Prop!$G:$G=$U11,Prod_Prop!$E:$E=V$1)),""""))"),"")</f>
        <v/>
      </c>
      <c r="W11" s="4" t="str">
        <f>IF(V11="","",SUMIFS(Prod_Prop!$J:$J,Prod_Prop!$B:$B,$Q11,Prod_Prop!$H:$H,V11,Prod_Prop!$I:$I,W$1)*IF(V11="Peso",$R11,1))</f>
        <v/>
      </c>
      <c r="X11" s="4" t="str">
        <f>IF(V11="","",SUMIFS(Prod_Prop!$J:$J,Prod_Prop!$B:$B,$Q11,Prod_Prop!$H:$H,V11,Prod_Prop!$I:$I,X$1)*IF(V11="Peso",$R11,1))</f>
        <v/>
      </c>
      <c r="Y11" s="4" t="str">
        <f>IFERROR(__xludf.DUMMYFUNCTION("IF(OR($U11="""",COUNTIF($I:$I,IFERROR(unique(filter(Prod_Prop!$H:$H,Prod_Prop!$G:$G=$U11,Prod_Prop!$E:$E=Y$1)),""Check""))=0),"""",IFERROR(unique(filter(Prod_Prop!$H:$H,Prod_Prop!$G:$G=$U11,Prod_Prop!$E:$E=Y$1)),""""))"),"")</f>
        <v/>
      </c>
      <c r="Z11" s="4" t="str">
        <f>IF(Y11="","",SUMIFS(Prod_Prop!$J:$J,Prod_Prop!$B:$B,$Q11,Prod_Prop!$H:$H,Y11,Prod_Prop!$I:$I,Z$1)*IF(Y11="Peso",$R11,1))</f>
        <v/>
      </c>
      <c r="AA11" s="4" t="str">
        <f>IF(Y11="","",SUMIFS(Prod_Prop!$J:$J,Prod_Prop!$B:$B,$Q11,Prod_Prop!$H:$H,Y11,Prod_Prop!$I:$I,AA$1)*IF(Y11="Peso",$R11,1))</f>
        <v/>
      </c>
      <c r="AB11" s="4" t="str">
        <f>IFERROR(__xludf.DUMMYFUNCTION("IF(OR($U11="""",COUNTIF($I:$I,IFERROR(unique(filter(Prod_Prop!$H:$H,Prod_Prop!$G:$G=$U11,Prod_Prop!$E:$E=AB$1)),""Check""))=0),"""",IFERROR(unique(filter(Prod_Prop!$H:$H,Prod_Prop!$G:$G=$U11,Prod_Prop!$E:$E=AB$1)),""""))"),"")</f>
        <v/>
      </c>
      <c r="AC11" s="4" t="str">
        <f>IF(AB11="","",SUMIFS(Prod_Prop!$J:$J,Prod_Prop!$B:$B,$Q11,Prod_Prop!$H:$H,AB11,Prod_Prop!$I:$I,AC$1)*IF(AB11="Peso",$R11,1))</f>
        <v/>
      </c>
      <c r="AD11" s="4" t="str">
        <f>IF(AB11="","",SUMIFS(Prod_Prop!$J:$J,Prod_Prop!$B:$B,$Q11,Prod_Prop!$H:$H,AB11,Prod_Prop!$I:$I,AD$1)*IF(AB11="Peso",$R11,1))</f>
        <v/>
      </c>
    </row>
    <row r="12">
      <c r="A12" s="4" t="str">
        <f t="array" ref="A12">IF(COUNTIF(A$1:A11,Cotizador!F$2)=maxifs(Familias!E:E,Familias!D:D,Cotizador!F$2),IF(COUNTIF(A$1:A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" s="4" t="str">
        <f t="shared" si="1"/>
        <v/>
      </c>
      <c r="C12" s="4" t="str">
        <f t="array" ref="C12">IF(B12="","",IF(A12=XLOOKUP(A$2,Implementos!B:B,Implementos!C:C,"",0,1),B12+maxifs(B$1:B11,A$1:A11,A$2),B12))</f>
        <v/>
      </c>
      <c r="D12" s="4" t="str">
        <f>IF(B12="","", COUNTIFS(Productos!F:F,A12,Productos!H:H,B12)+IF(F12="SI",0,1))</f>
        <v/>
      </c>
      <c r="E12" s="4" t="str">
        <f>IFERROR(__xludf.DUMMYFUNCTION("IF($B12="""","""",INDEX(filter(Familias!F:F,Familias!$D:$D=$A12,Familias!$E:$E=$B12),1))"),"")</f>
        <v/>
      </c>
      <c r="F12" s="4" t="str">
        <f>IFERROR(__xludf.DUMMYFUNCTION("IF($B12="""","""",INDEX(filter(Familias!G:G,Familias!$D:$D=$A12,Familias!$E:$E=$B12),1))"),"")</f>
        <v/>
      </c>
      <c r="G12" s="4" t="str">
        <f t="array" ref="G12">IF(C12=1,XLOOKUP(C12,Cotizador!D:D,Cotizador!E:E,"",0,1),"")</f>
        <v/>
      </c>
      <c r="I12" s="4"/>
      <c r="J12" s="8" t="str">
        <f>IF(I12="","",SUMIF(Cotizador!I$1:V$1,I12,Cotizador!I$2:V$2))</f>
        <v/>
      </c>
      <c r="L12" s="4" t="str">
        <f t="array" ref="L12">IF(COUNTIF(L$1:L11,A$2)=SUMIF(A:A,A$2,D:D),IF(COUNTIF(L$1:L11,XLOOKUP(A$2,Implementos!B:B,Implementos!C:C,"",0,1))=SUMIF(A:A,XLOOKUP(A$2,Implementos!B:B,Implementos!C:C,"",0,1),D:D),"",XLOOKUP(A$2,Implementos!B:B,Implementos!C:C,"",0,1)),A$2)</f>
        <v>Acoplados Rurales</v>
      </c>
      <c r="M12" s="4">
        <f t="shared" si="2"/>
        <v>11</v>
      </c>
      <c r="N12" s="4">
        <f t="shared" si="3"/>
        <v>1</v>
      </c>
      <c r="O12" s="4">
        <f t="shared" si="4"/>
        <v>1</v>
      </c>
      <c r="P12" s="4">
        <f t="shared" si="5"/>
        <v>11</v>
      </c>
      <c r="Q12" s="4">
        <f>IF(U12="","",SUMIF(Productos!E:E,U12,Productos!A:A))</f>
        <v>55</v>
      </c>
      <c r="R12" s="4">
        <f t="array" ref="R12">IF(L12="","", max(1,SUMIF(I:I,XLOOKUP(U12,Productos!E:E,Productos!G:G,"",0,1),J:J)))</f>
        <v>1</v>
      </c>
      <c r="S12" s="4" t="str">
        <f>IF(Q12="","",IF(SUMIFS(Compat_Vetado!D:D,Compat_Vetado!B:B,SUM(G:G),Compat_Vetado!C:C,Q12)=1,"SI",IF(OR(SUMIF(Cotizador!E:E,Q12,Cotizador!G:G)&gt;0,SUMIFS(Compat_Vetado!D:D,Compat_Vetado!B:B,SUM(G:G),Compat_Vetado!C:C,Q12)=-1),"NO","")))</f>
        <v/>
      </c>
      <c r="T12" s="4" t="str">
        <f t="shared" si="6"/>
        <v>x</v>
      </c>
      <c r="U12" s="4" t="str">
        <f>IFERROR(__xludf.DUMMYFUNCTION("IF(P12="""","""",IFERROR(INDEX(filter(Productos!E:E,Productos!F:F=L12,Productos!H:H=N12),P12),IF(M12=SUM(D:D),""Finalizar"",""-"")))"),"Tanque Combustible 2000 lts Alto")</f>
        <v>Tanque Combustible 2000 lts Alto</v>
      </c>
      <c r="V12" s="4" t="str">
        <f>IFERROR(__xludf.DUMMYFUNCTION("IF(OR($U12="""",COUNTIF($I:$I,IFERROR(unique(filter(Prod_Prop!$H:$H,Prod_Prop!$G:$G=$U12,Prod_Prop!$E:$E=V$1)),""Check""))=0),"""",IFERROR(unique(filter(Prod_Prop!$H:$H,Prod_Prop!$G:$G=$U12,Prod_Prop!$E:$E=V$1)),""""))"),"")</f>
        <v/>
      </c>
      <c r="W12" s="4" t="str">
        <f>IF(V12="","",SUMIFS(Prod_Prop!$J:$J,Prod_Prop!$B:$B,$Q12,Prod_Prop!$H:$H,V12,Prod_Prop!$I:$I,W$1)*IF(V12="Peso",$R12,1))</f>
        <v/>
      </c>
      <c r="X12" s="4" t="str">
        <f>IF(V12="","",SUMIFS(Prod_Prop!$J:$J,Prod_Prop!$B:$B,$Q12,Prod_Prop!$H:$H,V12,Prod_Prop!$I:$I,X$1)*IF(V12="Peso",$R12,1))</f>
        <v/>
      </c>
      <c r="Y12" s="4" t="str">
        <f>IFERROR(__xludf.DUMMYFUNCTION("IF(OR($U12="""",COUNTIF($I:$I,IFERROR(unique(filter(Prod_Prop!$H:$H,Prod_Prop!$G:$G=$U12,Prod_Prop!$E:$E=Y$1)),""Check""))=0),"""",IFERROR(unique(filter(Prod_Prop!$H:$H,Prod_Prop!$G:$G=$U12,Prod_Prop!$E:$E=Y$1)),""""))"),"")</f>
        <v/>
      </c>
      <c r="Z12" s="4" t="str">
        <f>IF(Y12="","",SUMIFS(Prod_Prop!$J:$J,Prod_Prop!$B:$B,$Q12,Prod_Prop!$H:$H,Y12,Prod_Prop!$I:$I,Z$1)*IF(Y12="Peso",$R12,1))</f>
        <v/>
      </c>
      <c r="AA12" s="4" t="str">
        <f>IF(Y12="","",SUMIFS(Prod_Prop!$J:$J,Prod_Prop!$B:$B,$Q12,Prod_Prop!$H:$H,Y12,Prod_Prop!$I:$I,AA$1)*IF(Y12="Peso",$R12,1))</f>
        <v/>
      </c>
      <c r="AB12" s="4" t="str">
        <f>IFERROR(__xludf.DUMMYFUNCTION("IF(OR($U12="""",COUNTIF($I:$I,IFERROR(unique(filter(Prod_Prop!$H:$H,Prod_Prop!$G:$G=$U12,Prod_Prop!$E:$E=AB$1)),""Check""))=0),"""",IFERROR(unique(filter(Prod_Prop!$H:$H,Prod_Prop!$G:$G=$U12,Prod_Prop!$E:$E=AB$1)),""""))"),"")</f>
        <v/>
      </c>
      <c r="AC12" s="4" t="str">
        <f>IF(AB12="","",SUMIFS(Prod_Prop!$J:$J,Prod_Prop!$B:$B,$Q12,Prod_Prop!$H:$H,AB12,Prod_Prop!$I:$I,AC$1)*IF(AB12="Peso",$R12,1))</f>
        <v/>
      </c>
      <c r="AD12" s="4" t="str">
        <f>IF(AB12="","",SUMIFS(Prod_Prop!$J:$J,Prod_Prop!$B:$B,$Q12,Prod_Prop!$H:$H,AB12,Prod_Prop!$I:$I,AD$1)*IF(AB12="Peso",$R12,1))</f>
        <v/>
      </c>
    </row>
    <row r="13">
      <c r="A13" s="4" t="str">
        <f t="array" ref="A13">IF(COUNTIF(A$1:A12,Cotizador!F$2)=maxifs(Familias!E:E,Familias!D:D,Cotizador!F$2),IF(COUNTIF(A$1:A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" s="4" t="str">
        <f t="shared" si="1"/>
        <v/>
      </c>
      <c r="C13" s="4" t="str">
        <f t="array" ref="C13">IF(B13="","",IF(A13=XLOOKUP(A$2,Implementos!B:B,Implementos!C:C,"",0,1),B13+maxifs(B$1:B12,A$1:A12,A$2),B13))</f>
        <v/>
      </c>
      <c r="D13" s="4" t="str">
        <f>IF(B13="","", COUNTIFS(Productos!F:F,A13,Productos!H:H,B13)+IF(F13="SI",0,1))</f>
        <v/>
      </c>
      <c r="E13" s="4" t="str">
        <f>IFERROR(__xludf.DUMMYFUNCTION("IF($B13="""","""",INDEX(filter(Familias!F:F,Familias!$D:$D=$A13,Familias!$E:$E=$B13),1))"),"")</f>
        <v/>
      </c>
      <c r="F13" s="4" t="str">
        <f>IFERROR(__xludf.DUMMYFUNCTION("IF($B13="""","""",INDEX(filter(Familias!G:G,Familias!$D:$D=$A13,Familias!$E:$E=$B13),1))"),"")</f>
        <v/>
      </c>
      <c r="G13" s="4" t="str">
        <f t="array" ref="G13">IF(C13=1,XLOOKUP(C13,Cotizador!D:D,Cotizador!E:E,"",0,1),"")</f>
        <v/>
      </c>
      <c r="I13" s="4"/>
      <c r="J13" s="8" t="str">
        <f>IF(I13="","",SUMIF(Cotizador!I$1:V$1,I13,Cotizador!I$2:V$2))</f>
        <v/>
      </c>
      <c r="L13" s="4" t="str">
        <f t="array" ref="L13">IF(COUNTIF(L$1:L12,A$2)=SUMIF(A:A,A$2,D:D),IF(COUNTIF(L$1:L12,XLOOKUP(A$2,Implementos!B:B,Implementos!C:C,"",0,1))=SUMIF(A:A,XLOOKUP(A$2,Implementos!B:B,Implementos!C:C,"",0,1),D:D),"",XLOOKUP(A$2,Implementos!B:B,Implementos!C:C,"",0,1)),A$2)</f>
        <v>Acoplados Rurales</v>
      </c>
      <c r="M13" s="4">
        <f t="shared" si="2"/>
        <v>12</v>
      </c>
      <c r="N13" s="4">
        <f t="shared" si="3"/>
        <v>1</v>
      </c>
      <c r="O13" s="4">
        <f t="shared" si="4"/>
        <v>1</v>
      </c>
      <c r="P13" s="4">
        <f t="shared" si="5"/>
        <v>12</v>
      </c>
      <c r="Q13" s="4">
        <f>IF(U13="","",SUMIF(Productos!E:E,U13,Productos!A:A))</f>
        <v>56</v>
      </c>
      <c r="R13" s="4">
        <f t="array" ref="R13">IF(L13="","", max(1,SUMIF(I:I,XLOOKUP(U13,Productos!E:E,Productos!G:G,"",0,1),J:J)))</f>
        <v>1</v>
      </c>
      <c r="S13" s="4" t="str">
        <f>IF(Q13="","",IF(SUMIFS(Compat_Vetado!D:D,Compat_Vetado!B:B,SUM(G:G),Compat_Vetado!C:C,Q13)=1,"SI",IF(OR(SUMIF(Cotizador!E:E,Q13,Cotizador!G:G)&gt;0,SUMIFS(Compat_Vetado!D:D,Compat_Vetado!B:B,SUM(G:G),Compat_Vetado!C:C,Q13)=-1),"NO","")))</f>
        <v>NO</v>
      </c>
      <c r="T13" s="4" t="str">
        <f t="shared" si="6"/>
        <v/>
      </c>
      <c r="U13" s="4" t="str">
        <f>IFERROR(__xludf.DUMMYFUNCTION("IF(P13="""","""",IFERROR(INDEX(filter(Productos!E:E,Productos!F:F=L13,Productos!H:H=N13),P13),IF(M13=SUM(D:D),""Finalizar"",""-"")))"),"Tanque Combustible 4000 lts Alto")</f>
        <v>Tanque Combustible 4000 lts Alto</v>
      </c>
      <c r="V13" s="4" t="str">
        <f>IFERROR(__xludf.DUMMYFUNCTION("IF(OR($U13="""",COUNTIF($I:$I,IFERROR(unique(filter(Prod_Prop!$H:$H,Prod_Prop!$G:$G=$U13,Prod_Prop!$E:$E=V$1)),""Check""))=0),"""",IFERROR(unique(filter(Prod_Prop!$H:$H,Prod_Prop!$G:$G=$U13,Prod_Prop!$E:$E=V$1)),""""))"),"")</f>
        <v/>
      </c>
      <c r="W13" s="4" t="str">
        <f>IF(V13="","",SUMIFS(Prod_Prop!$J:$J,Prod_Prop!$B:$B,$Q13,Prod_Prop!$H:$H,V13,Prod_Prop!$I:$I,W$1)*IF(V13="Peso",$R13,1))</f>
        <v/>
      </c>
      <c r="X13" s="4" t="str">
        <f>IF(V13="","",SUMIFS(Prod_Prop!$J:$J,Prod_Prop!$B:$B,$Q13,Prod_Prop!$H:$H,V13,Prod_Prop!$I:$I,X$1)*IF(V13="Peso",$R13,1))</f>
        <v/>
      </c>
      <c r="Y13" s="4" t="str">
        <f>IFERROR(__xludf.DUMMYFUNCTION("IF(OR($U13="""",COUNTIF($I:$I,IFERROR(unique(filter(Prod_Prop!$H:$H,Prod_Prop!$G:$G=$U13,Prod_Prop!$E:$E=Y$1)),""Check""))=0),"""",IFERROR(unique(filter(Prod_Prop!$H:$H,Prod_Prop!$G:$G=$U13,Prod_Prop!$E:$E=Y$1)),""""))"),"")</f>
        <v/>
      </c>
      <c r="Z13" s="4" t="str">
        <f>IF(Y13="","",SUMIFS(Prod_Prop!$J:$J,Prod_Prop!$B:$B,$Q13,Prod_Prop!$H:$H,Y13,Prod_Prop!$I:$I,Z$1)*IF(Y13="Peso",$R13,1))</f>
        <v/>
      </c>
      <c r="AA13" s="4" t="str">
        <f>IF(Y13="","",SUMIFS(Prod_Prop!$J:$J,Prod_Prop!$B:$B,$Q13,Prod_Prop!$H:$H,Y13,Prod_Prop!$I:$I,AA$1)*IF(Y13="Peso",$R13,1))</f>
        <v/>
      </c>
      <c r="AB13" s="4" t="str">
        <f>IFERROR(__xludf.DUMMYFUNCTION("IF(OR($U13="""",COUNTIF($I:$I,IFERROR(unique(filter(Prod_Prop!$H:$H,Prod_Prop!$G:$G=$U13,Prod_Prop!$E:$E=AB$1)),""Check""))=0),"""",IFERROR(unique(filter(Prod_Prop!$H:$H,Prod_Prop!$G:$G=$U13,Prod_Prop!$E:$E=AB$1)),""""))"),"")</f>
        <v/>
      </c>
      <c r="AC13" s="4" t="str">
        <f>IF(AB13="","",SUMIFS(Prod_Prop!$J:$J,Prod_Prop!$B:$B,$Q13,Prod_Prop!$H:$H,AB13,Prod_Prop!$I:$I,AC$1)*IF(AB13="Peso",$R13,1))</f>
        <v/>
      </c>
      <c r="AD13" s="4" t="str">
        <f>IF(AB13="","",SUMIFS(Prod_Prop!$J:$J,Prod_Prop!$B:$B,$Q13,Prod_Prop!$H:$H,AB13,Prod_Prop!$I:$I,AD$1)*IF(AB13="Peso",$R13,1))</f>
        <v/>
      </c>
    </row>
    <row r="14">
      <c r="A14" s="4" t="str">
        <f t="array" ref="A14">IF(COUNTIF(A$1:A13,Cotizador!F$2)=maxifs(Familias!E:E,Familias!D:D,Cotizador!F$2),IF(COUNTIF(A$1:A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" s="4" t="str">
        <f t="shared" si="1"/>
        <v/>
      </c>
      <c r="C14" s="4" t="str">
        <f t="array" ref="C14">IF(B14="","",IF(A14=XLOOKUP(A$2,Implementos!B:B,Implementos!C:C,"",0,1),B14+maxifs(B$1:B13,A$1:A13,A$2),B14))</f>
        <v/>
      </c>
      <c r="D14" s="4" t="str">
        <f>IF(B14="","", COUNTIFS(Productos!F:F,A14,Productos!H:H,B14)+IF(F14="SI",0,1))</f>
        <v/>
      </c>
      <c r="E14" s="4" t="str">
        <f>IFERROR(__xludf.DUMMYFUNCTION("IF($B14="""","""",INDEX(filter(Familias!F:F,Familias!$D:$D=$A14,Familias!$E:$E=$B14),1))"),"")</f>
        <v/>
      </c>
      <c r="F14" s="4" t="str">
        <f>IFERROR(__xludf.DUMMYFUNCTION("IF($B14="""","""",INDEX(filter(Familias!G:G,Familias!$D:$D=$A14,Familias!$E:$E=$B14),1))"),"")</f>
        <v/>
      </c>
      <c r="G14" s="4" t="str">
        <f t="array" ref="G14">IF(C14=1,XLOOKUP(C14,Cotizador!D:D,Cotizador!E:E,"",0,1),"")</f>
        <v/>
      </c>
      <c r="I14" s="4"/>
      <c r="J14" s="8" t="str">
        <f>IF(I14="","",SUMIF(Cotizador!I$1:V$1,I14,Cotizador!I$2:V$2))</f>
        <v/>
      </c>
      <c r="L14" s="4" t="str">
        <f t="array" ref="L14">IF(COUNTIF(L$1:L13,A$2)=SUMIF(A:A,A$2,D:D),IF(COUNTIF(L$1:L13,XLOOKUP(A$2,Implementos!B:B,Implementos!C:C,"",0,1))=SUMIF(A:A,XLOOKUP(A$2,Implementos!B:B,Implementos!C:C,"",0,1),D:D),"",XLOOKUP(A$2,Implementos!B:B,Implementos!C:C,"",0,1)),A$2)</f>
        <v>Acoplados Rurales</v>
      </c>
      <c r="M14" s="4">
        <f t="shared" si="2"/>
        <v>13</v>
      </c>
      <c r="N14" s="4">
        <f t="shared" si="3"/>
        <v>1</v>
      </c>
      <c r="O14" s="4">
        <f t="shared" si="4"/>
        <v>1</v>
      </c>
      <c r="P14" s="4">
        <f t="shared" si="5"/>
        <v>13</v>
      </c>
      <c r="Q14" s="4">
        <f>IF(U14="","",SUMIF(Productos!E:E,U14,Productos!A:A))</f>
        <v>92</v>
      </c>
      <c r="R14" s="4">
        <f t="array" ref="R14">IF(L14="","", max(1,SUMIF(I:I,XLOOKUP(U14,Productos!E:E,Productos!G:G,"",0,1),J:J)))</f>
        <v>1</v>
      </c>
      <c r="S14" s="4" t="str">
        <f>IF(Q14="","",IF(SUMIFS(Compat_Vetado!D:D,Compat_Vetado!B:B,SUM(G:G),Compat_Vetado!C:C,Q14)=1,"SI",IF(OR(SUMIF(Cotizador!E:E,Q14,Cotizador!G:G)&gt;0,SUMIFS(Compat_Vetado!D:D,Compat_Vetado!B:B,SUM(G:G),Compat_Vetado!C:C,Q14)=-1),"NO","")))</f>
        <v>NO</v>
      </c>
      <c r="T14" s="4" t="str">
        <f t="shared" si="6"/>
        <v/>
      </c>
      <c r="U14" s="4" t="str">
        <f>IFERROR(__xludf.DUMMYFUNCTION("IF(P14="""","""",IFERROR(INDEX(filter(Productos!E:E,Productos!F:F=L14,Productos!H:H=N14),P14),IF(M14=SUM(D:D),""Finalizar"",""-"")))"),"Tanque Plastico Horizontal 750 Lts")</f>
        <v>Tanque Plastico Horizontal 750 Lts</v>
      </c>
      <c r="V14" s="4" t="str">
        <f>IFERROR(__xludf.DUMMYFUNCTION("IF(OR($U14="""",COUNTIF($I:$I,IFERROR(unique(filter(Prod_Prop!$H:$H,Prod_Prop!$G:$G=$U14,Prod_Prop!$E:$E=V$1)),""Check""))=0),"""",IFERROR(unique(filter(Prod_Prop!$H:$H,Prod_Prop!$G:$G=$U14,Prod_Prop!$E:$E=V$1)),""""))"),"")</f>
        <v/>
      </c>
      <c r="W14" s="4" t="str">
        <f>IF(V14="","",SUMIFS(Prod_Prop!$J:$J,Prod_Prop!$B:$B,$Q14,Prod_Prop!$H:$H,V14,Prod_Prop!$I:$I,W$1)*IF(V14="Peso",$R14,1))</f>
        <v/>
      </c>
      <c r="X14" s="4" t="str">
        <f>IF(V14="","",SUMIFS(Prod_Prop!$J:$J,Prod_Prop!$B:$B,$Q14,Prod_Prop!$H:$H,V14,Prod_Prop!$I:$I,X$1)*IF(V14="Peso",$R14,1))</f>
        <v/>
      </c>
      <c r="Y14" s="4" t="str">
        <f>IFERROR(__xludf.DUMMYFUNCTION("IF(OR($U14="""",COUNTIF($I:$I,IFERROR(unique(filter(Prod_Prop!$H:$H,Prod_Prop!$G:$G=$U14,Prod_Prop!$E:$E=Y$1)),""Check""))=0),"""",IFERROR(unique(filter(Prod_Prop!$H:$H,Prod_Prop!$G:$G=$U14,Prod_Prop!$E:$E=Y$1)),""""))"),"")</f>
        <v/>
      </c>
      <c r="Z14" s="4" t="str">
        <f>IF(Y14="","",SUMIFS(Prod_Prop!$J:$J,Prod_Prop!$B:$B,$Q14,Prod_Prop!$H:$H,Y14,Prod_Prop!$I:$I,Z$1)*IF(Y14="Peso",$R14,1))</f>
        <v/>
      </c>
      <c r="AA14" s="4" t="str">
        <f>IF(Y14="","",SUMIFS(Prod_Prop!$J:$J,Prod_Prop!$B:$B,$Q14,Prod_Prop!$H:$H,Y14,Prod_Prop!$I:$I,AA$1)*IF(Y14="Peso",$R14,1))</f>
        <v/>
      </c>
      <c r="AB14" s="4" t="str">
        <f>IFERROR(__xludf.DUMMYFUNCTION("IF(OR($U14="""",COUNTIF($I:$I,IFERROR(unique(filter(Prod_Prop!$H:$H,Prod_Prop!$G:$G=$U14,Prod_Prop!$E:$E=AB$1)),""Check""))=0),"""",IFERROR(unique(filter(Prod_Prop!$H:$H,Prod_Prop!$G:$G=$U14,Prod_Prop!$E:$E=AB$1)),""""))"),"")</f>
        <v/>
      </c>
      <c r="AC14" s="4" t="str">
        <f>IF(AB14="","",SUMIFS(Prod_Prop!$J:$J,Prod_Prop!$B:$B,$Q14,Prod_Prop!$H:$H,AB14,Prod_Prop!$I:$I,AC$1)*IF(AB14="Peso",$R14,1))</f>
        <v/>
      </c>
      <c r="AD14" s="4" t="str">
        <f>IF(AB14="","",SUMIFS(Prod_Prop!$J:$J,Prod_Prop!$B:$B,$Q14,Prod_Prop!$H:$H,AB14,Prod_Prop!$I:$I,AD$1)*IF(AB14="Peso",$R14,1))</f>
        <v/>
      </c>
    </row>
    <row r="15">
      <c r="A15" s="4" t="str">
        <f t="array" ref="A15">IF(COUNTIF(A$1:A14,Cotizador!F$2)=maxifs(Familias!E:E,Familias!D:D,Cotizador!F$2),IF(COUNTIF(A$1:A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" s="4" t="str">
        <f t="shared" si="1"/>
        <v/>
      </c>
      <c r="C15" s="4" t="str">
        <f t="array" ref="C15">IF(B15="","",IF(A15=XLOOKUP(A$2,Implementos!B:B,Implementos!C:C,"",0,1),B15+maxifs(B$1:B14,A$1:A14,A$2),B15))</f>
        <v/>
      </c>
      <c r="D15" s="4" t="str">
        <f>IF(B15="","", COUNTIFS(Productos!F:F,A15,Productos!H:H,B15)+IF(F15="SI",0,1))</f>
        <v/>
      </c>
      <c r="E15" s="4" t="str">
        <f>IFERROR(__xludf.DUMMYFUNCTION("IF($B15="""","""",INDEX(filter(Familias!F:F,Familias!$D:$D=$A15,Familias!$E:$E=$B15),1))"),"")</f>
        <v/>
      </c>
      <c r="F15" s="4" t="str">
        <f>IFERROR(__xludf.DUMMYFUNCTION("IF($B15="""","""",INDEX(filter(Familias!G:G,Familias!$D:$D=$A15,Familias!$E:$E=$B15),1))"),"")</f>
        <v/>
      </c>
      <c r="G15" s="4" t="str">
        <f t="array" ref="G15">IF(C15=1,XLOOKUP(C15,Cotizador!D:D,Cotizador!E:E,"",0,1),"")</f>
        <v/>
      </c>
      <c r="I15" s="4"/>
      <c r="J15" s="8" t="str">
        <f>IF(I15="","",SUMIF(Cotizador!I$1:V$1,I15,Cotizador!I$2:V$2))</f>
        <v/>
      </c>
      <c r="L15" s="4" t="str">
        <f t="array" ref="L15">IF(COUNTIF(L$1:L14,A$2)=SUMIF(A:A,A$2,D:D),IF(COUNTIF(L$1:L14,XLOOKUP(A$2,Implementos!B:B,Implementos!C:C,"",0,1))=SUMIF(A:A,XLOOKUP(A$2,Implementos!B:B,Implementos!C:C,"",0,1),D:D),"",XLOOKUP(A$2,Implementos!B:B,Implementos!C:C,"",0,1)),A$2)</f>
        <v>Acoplados Rurales</v>
      </c>
      <c r="M15" s="4">
        <f t="shared" si="2"/>
        <v>14</v>
      </c>
      <c r="N15" s="4">
        <f t="shared" si="3"/>
        <v>1</v>
      </c>
      <c r="O15" s="4">
        <f t="shared" si="4"/>
        <v>1</v>
      </c>
      <c r="P15" s="4">
        <f t="shared" si="5"/>
        <v>14</v>
      </c>
      <c r="Q15" s="4">
        <f>IF(U15="","",SUMIF(Productos!E:E,U15,Productos!A:A))</f>
        <v>93</v>
      </c>
      <c r="R15" s="4">
        <f t="array" ref="R15">IF(L15="","", max(1,SUMIF(I:I,XLOOKUP(U15,Productos!E:E,Productos!G:G,"",0,1),J:J)))</f>
        <v>1</v>
      </c>
      <c r="S15" s="4" t="str">
        <f>IF(Q15="","",IF(SUMIFS(Compat_Vetado!D:D,Compat_Vetado!B:B,SUM(G:G),Compat_Vetado!C:C,Q15)=1,"SI",IF(OR(SUMIF(Cotizador!E:E,Q15,Cotizador!G:G)&gt;0,SUMIFS(Compat_Vetado!D:D,Compat_Vetado!B:B,SUM(G:G),Compat_Vetado!C:C,Q15)=-1),"NO","")))</f>
        <v/>
      </c>
      <c r="T15" s="4" t="str">
        <f t="shared" si="6"/>
        <v>x</v>
      </c>
      <c r="U15" s="4" t="str">
        <f>IFERROR(__xludf.DUMMYFUNCTION("IF(P15="""","""",IFERROR(INDEX(filter(Productos!E:E,Productos!F:F=L15,Productos!H:H=N15),P15),IF(M15=SUM(D:D),""Finalizar"",""-"")))"),"Medio Tanque Plastico Superior 700 Lts")</f>
        <v>Medio Tanque Plastico Superior 700 Lts</v>
      </c>
      <c r="V15" s="4" t="str">
        <f>IFERROR(__xludf.DUMMYFUNCTION("IF(OR($U15="""",COUNTIF($I:$I,IFERROR(unique(filter(Prod_Prop!$H:$H,Prod_Prop!$G:$G=$U15,Prod_Prop!$E:$E=V$1)),""Check""))=0),"""",IFERROR(unique(filter(Prod_Prop!$H:$H,Prod_Prop!$G:$G=$U15,Prod_Prop!$E:$E=V$1)),""""))"),"")</f>
        <v/>
      </c>
      <c r="W15" s="4" t="str">
        <f>IF(V15="","",SUMIFS(Prod_Prop!$J:$J,Prod_Prop!$B:$B,$Q15,Prod_Prop!$H:$H,V15,Prod_Prop!$I:$I,W$1)*IF(V15="Peso",$R15,1))</f>
        <v/>
      </c>
      <c r="X15" s="4" t="str">
        <f>IF(V15="","",SUMIFS(Prod_Prop!$J:$J,Prod_Prop!$B:$B,$Q15,Prod_Prop!$H:$H,V15,Prod_Prop!$I:$I,X$1)*IF(V15="Peso",$R15,1))</f>
        <v/>
      </c>
      <c r="Y15" s="4" t="str">
        <f>IFERROR(__xludf.DUMMYFUNCTION("IF(OR($U15="""",COUNTIF($I:$I,IFERROR(unique(filter(Prod_Prop!$H:$H,Prod_Prop!$G:$G=$U15,Prod_Prop!$E:$E=Y$1)),""Check""))=0),"""",IFERROR(unique(filter(Prod_Prop!$H:$H,Prod_Prop!$G:$G=$U15,Prod_Prop!$E:$E=Y$1)),""""))"),"")</f>
        <v/>
      </c>
      <c r="Z15" s="4" t="str">
        <f>IF(Y15="","",SUMIFS(Prod_Prop!$J:$J,Prod_Prop!$B:$B,$Q15,Prod_Prop!$H:$H,Y15,Prod_Prop!$I:$I,Z$1)*IF(Y15="Peso",$R15,1))</f>
        <v/>
      </c>
      <c r="AA15" s="4" t="str">
        <f>IF(Y15="","",SUMIFS(Prod_Prop!$J:$J,Prod_Prop!$B:$B,$Q15,Prod_Prop!$H:$H,Y15,Prod_Prop!$I:$I,AA$1)*IF(Y15="Peso",$R15,1))</f>
        <v/>
      </c>
      <c r="AB15" s="4" t="str">
        <f>IFERROR(__xludf.DUMMYFUNCTION("IF(OR($U15="""",COUNTIF($I:$I,IFERROR(unique(filter(Prod_Prop!$H:$H,Prod_Prop!$G:$G=$U15,Prod_Prop!$E:$E=AB$1)),""Check""))=0),"""",IFERROR(unique(filter(Prod_Prop!$H:$H,Prod_Prop!$G:$G=$U15,Prod_Prop!$E:$E=AB$1)),""""))"),"")</f>
        <v/>
      </c>
      <c r="AC15" s="4" t="str">
        <f>IF(AB15="","",SUMIFS(Prod_Prop!$J:$J,Prod_Prop!$B:$B,$Q15,Prod_Prop!$H:$H,AB15,Prod_Prop!$I:$I,AC$1)*IF(AB15="Peso",$R15,1))</f>
        <v/>
      </c>
      <c r="AD15" s="4" t="str">
        <f>IF(AB15="","",SUMIFS(Prod_Prop!$J:$J,Prod_Prop!$B:$B,$Q15,Prod_Prop!$H:$H,AB15,Prod_Prop!$I:$I,AD$1)*IF(AB15="Peso",$R15,1))</f>
        <v/>
      </c>
    </row>
    <row r="16">
      <c r="A16" s="4" t="str">
        <f t="array" ref="A16">IF(COUNTIF(A$1:A15,Cotizador!F$2)=maxifs(Familias!E:E,Familias!D:D,Cotizador!F$2),IF(COUNTIF(A$1:A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" s="4" t="str">
        <f t="shared" si="1"/>
        <v/>
      </c>
      <c r="C16" s="4" t="str">
        <f t="array" ref="C16">IF(B16="","",IF(A16=XLOOKUP(A$2,Implementos!B:B,Implementos!C:C,"",0,1),B16+maxifs(B$1:B15,A$1:A15,A$2),B16))</f>
        <v/>
      </c>
      <c r="D16" s="4" t="str">
        <f>IF(B16="","", COUNTIFS(Productos!F:F,A16,Productos!H:H,B16)+IF(F16="SI",0,1))</f>
        <v/>
      </c>
      <c r="E16" s="4" t="str">
        <f>IFERROR(__xludf.DUMMYFUNCTION("IF($B16="""","""",INDEX(filter(Familias!F:F,Familias!$D:$D=$A16,Familias!$E:$E=$B16),1))"),"")</f>
        <v/>
      </c>
      <c r="F16" s="4" t="str">
        <f>IFERROR(__xludf.DUMMYFUNCTION("IF($B16="""","""",INDEX(filter(Familias!G:G,Familias!$D:$D=$A16,Familias!$E:$E=$B16),1))"),"")</f>
        <v/>
      </c>
      <c r="G16" s="4" t="str">
        <f t="array" ref="G16">IF(C16=1,XLOOKUP(C16,Cotizador!D:D,Cotizador!E:E,"",0,1),"")</f>
        <v/>
      </c>
      <c r="I16" s="4"/>
      <c r="J16" s="8" t="str">
        <f>IF(I16="","",SUMIF(Cotizador!I$1:V$1,I16,Cotizador!I$2:V$2))</f>
        <v/>
      </c>
      <c r="L16" s="4" t="str">
        <f t="array" ref="L16">IF(COUNTIF(L$1:L15,A$2)=SUMIF(A:A,A$2,D:D),IF(COUNTIF(L$1:L15,XLOOKUP(A$2,Implementos!B:B,Implementos!C:C,"",0,1))=SUMIF(A:A,XLOOKUP(A$2,Implementos!B:B,Implementos!C:C,"",0,1),D:D),"",XLOOKUP(A$2,Implementos!B:B,Implementos!C:C,"",0,1)),A$2)</f>
        <v>Acoplados Rurales</v>
      </c>
      <c r="M16" s="4">
        <f t="shared" si="2"/>
        <v>15</v>
      </c>
      <c r="N16" s="4">
        <f t="shared" si="3"/>
        <v>1</v>
      </c>
      <c r="O16" s="4">
        <f t="shared" si="4"/>
        <v>1</v>
      </c>
      <c r="P16" s="4">
        <f t="shared" si="5"/>
        <v>15</v>
      </c>
      <c r="Q16" s="4">
        <f>IF(U16="","",SUMIF(Productos!E:E,U16,Productos!A:A))</f>
        <v>118</v>
      </c>
      <c r="R16" s="4">
        <f t="array" ref="R16">IF(L16="","", max(1,SUMIF(I:I,XLOOKUP(U16,Productos!E:E,Productos!G:G,"",0,1),J:J)))</f>
        <v>1</v>
      </c>
      <c r="S16" s="4" t="str">
        <f>IF(Q16="","",IF(SUMIFS(Compat_Vetado!D:D,Compat_Vetado!B:B,SUM(G:G),Compat_Vetado!C:C,Q16)=1,"SI",IF(OR(SUMIF(Cotizador!E:E,Q16,Cotizador!G:G)&gt;0,SUMIFS(Compat_Vetado!D:D,Compat_Vetado!B:B,SUM(G:G),Compat_Vetado!C:C,Q16)=-1),"NO","")))</f>
        <v/>
      </c>
      <c r="T16" s="4" t="str">
        <f t="shared" si="6"/>
        <v>x</v>
      </c>
      <c r="U16" s="4" t="str">
        <f>IFERROR(__xludf.DUMMYFUNCTION("IF(P16="""","""",IFERROR(INDEX(filter(Productos!E:E,Productos!F:F=L16,Productos!H:H=N16),P16),IF(M16=SUM(D:D),""Finalizar"",""-"")))"),"Plataforma Playo 4.00 x 1.90 x 0.45 Lateral Simple Baranda Fija")</f>
        <v>Plataforma Playo 4.00 x 1.90 x 0.45 Lateral Simple Baranda Fija</v>
      </c>
      <c r="V16" s="4" t="str">
        <f>IFERROR(__xludf.DUMMYFUNCTION("IF(OR($U16="""",COUNTIF($I:$I,IFERROR(unique(filter(Prod_Prop!$H:$H,Prod_Prop!$G:$G=$U16,Prod_Prop!$E:$E=V$1)),""Check""))=0),"""",IFERROR(unique(filter(Prod_Prop!$H:$H,Prod_Prop!$G:$G=$U16,Prod_Prop!$E:$E=V$1)),""""))"),"")</f>
        <v/>
      </c>
      <c r="W16" s="4" t="str">
        <f>IF(V16="","",SUMIFS(Prod_Prop!$J:$J,Prod_Prop!$B:$B,$Q16,Prod_Prop!$H:$H,V16,Prod_Prop!$I:$I,W$1)*IF(V16="Peso",$R16,1))</f>
        <v/>
      </c>
      <c r="X16" s="4" t="str">
        <f>IF(V16="","",SUMIFS(Prod_Prop!$J:$J,Prod_Prop!$B:$B,$Q16,Prod_Prop!$H:$H,V16,Prod_Prop!$I:$I,X$1)*IF(V16="Peso",$R16,1))</f>
        <v/>
      </c>
      <c r="Y16" s="4" t="str">
        <f>IFERROR(__xludf.DUMMYFUNCTION("IF(OR($U16="""",COUNTIF($I:$I,IFERROR(unique(filter(Prod_Prop!$H:$H,Prod_Prop!$G:$G=$U16,Prod_Prop!$E:$E=Y$1)),""Check""))=0),"""",IFERROR(unique(filter(Prod_Prop!$H:$H,Prod_Prop!$G:$G=$U16,Prod_Prop!$E:$E=Y$1)),""""))"),"")</f>
        <v/>
      </c>
      <c r="Z16" s="4" t="str">
        <f>IF(Y16="","",SUMIFS(Prod_Prop!$J:$J,Prod_Prop!$B:$B,$Q16,Prod_Prop!$H:$H,Y16,Prod_Prop!$I:$I,Z$1)*IF(Y16="Peso",$R16,1))</f>
        <v/>
      </c>
      <c r="AA16" s="4" t="str">
        <f>IF(Y16="","",SUMIFS(Prod_Prop!$J:$J,Prod_Prop!$B:$B,$Q16,Prod_Prop!$H:$H,Y16,Prod_Prop!$I:$I,AA$1)*IF(Y16="Peso",$R16,1))</f>
        <v/>
      </c>
      <c r="AB16" s="4" t="str">
        <f>IFERROR(__xludf.DUMMYFUNCTION("IF(OR($U16="""",COUNTIF($I:$I,IFERROR(unique(filter(Prod_Prop!$H:$H,Prod_Prop!$G:$G=$U16,Prod_Prop!$E:$E=AB$1)),""Check""))=0),"""",IFERROR(unique(filter(Prod_Prop!$H:$H,Prod_Prop!$G:$G=$U16,Prod_Prop!$E:$E=AB$1)),""""))"),"")</f>
        <v/>
      </c>
      <c r="AC16" s="4" t="str">
        <f>IF(AB16="","",SUMIFS(Prod_Prop!$J:$J,Prod_Prop!$B:$B,$Q16,Prod_Prop!$H:$H,AB16,Prod_Prop!$I:$I,AC$1)*IF(AB16="Peso",$R16,1))</f>
        <v/>
      </c>
      <c r="AD16" s="4" t="str">
        <f>IF(AB16="","",SUMIFS(Prod_Prop!$J:$J,Prod_Prop!$B:$B,$Q16,Prod_Prop!$H:$H,AB16,Prod_Prop!$I:$I,AD$1)*IF(AB16="Peso",$R16,1))</f>
        <v/>
      </c>
    </row>
    <row r="17">
      <c r="A17" s="4" t="str">
        <f t="array" ref="A17">IF(COUNTIF(A$1:A16,Cotizador!F$2)=maxifs(Familias!E:E,Familias!D:D,Cotizador!F$2),IF(COUNTIF(A$1:A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" s="4" t="str">
        <f t="shared" si="1"/>
        <v/>
      </c>
      <c r="C17" s="4" t="str">
        <f t="array" ref="C17">IF(B17="","",IF(A17=XLOOKUP(A$2,Implementos!B:B,Implementos!C:C,"",0,1),B17+maxifs(B$1:B16,A$1:A16,A$2),B17))</f>
        <v/>
      </c>
      <c r="D17" s="4" t="str">
        <f>IF(B17="","", COUNTIFS(Productos!F:F,A17,Productos!H:H,B17)+IF(F17="SI",0,1))</f>
        <v/>
      </c>
      <c r="E17" s="4" t="str">
        <f>IFERROR(__xludf.DUMMYFUNCTION("IF($B17="""","""",INDEX(filter(Familias!F:F,Familias!$D:$D=$A17,Familias!$E:$E=$B17),1))"),"")</f>
        <v/>
      </c>
      <c r="F17" s="4" t="str">
        <f>IFERROR(__xludf.DUMMYFUNCTION("IF($B17="""","""",INDEX(filter(Familias!G:G,Familias!$D:$D=$A17,Familias!$E:$E=$B17),1))"),"")</f>
        <v/>
      </c>
      <c r="G17" s="4" t="str">
        <f t="array" ref="G17">IF(C17=1,XLOOKUP(C17,Cotizador!D:D,Cotizador!E:E,"",0,1),"")</f>
        <v/>
      </c>
      <c r="I17" s="4"/>
      <c r="J17" s="8" t="str">
        <f>IF(I17="","",SUMIF(Cotizador!I$1:V$1,I17,Cotizador!I$2:V$2))</f>
        <v/>
      </c>
      <c r="L17" s="4" t="str">
        <f t="array" ref="L17">IF(COUNTIF(L$1:L16,A$2)=SUMIF(A:A,A$2,D:D),IF(COUNTIF(L$1:L16,XLOOKUP(A$2,Implementos!B:B,Implementos!C:C,"",0,1))=SUMIF(A:A,XLOOKUP(A$2,Implementos!B:B,Implementos!C:C,"",0,1),D:D),"",XLOOKUP(A$2,Implementos!B:B,Implementos!C:C,"",0,1)),A$2)</f>
        <v>Acoplados Rurales</v>
      </c>
      <c r="M17" s="4">
        <f t="shared" si="2"/>
        <v>16</v>
      </c>
      <c r="N17" s="4">
        <f t="shared" si="3"/>
        <v>1</v>
      </c>
      <c r="O17" s="4">
        <f t="shared" si="4"/>
        <v>1</v>
      </c>
      <c r="P17" s="4">
        <f t="shared" si="5"/>
        <v>16</v>
      </c>
      <c r="Q17" s="4">
        <f>IF(U17="","",SUMIF(Productos!E:E,U17,Productos!A:A))</f>
        <v>119</v>
      </c>
      <c r="R17" s="4">
        <f t="array" ref="R17">IF(L17="","", max(1,SUMIF(I:I,XLOOKUP(U17,Productos!E:E,Productos!G:G,"",0,1),J:J)))</f>
        <v>1</v>
      </c>
      <c r="S17" s="4" t="str">
        <f>IF(Q17="","",IF(SUMIFS(Compat_Vetado!D:D,Compat_Vetado!B:B,SUM(G:G),Compat_Vetado!C:C,Q17)=1,"SI",IF(OR(SUMIF(Cotizador!E:E,Q17,Cotizador!G:G)&gt;0,SUMIFS(Compat_Vetado!D:D,Compat_Vetado!B:B,SUM(G:G),Compat_Vetado!C:C,Q17)=-1),"NO","")))</f>
        <v/>
      </c>
      <c r="T17" s="4" t="str">
        <f t="shared" si="6"/>
        <v>x</v>
      </c>
      <c r="U17" s="4" t="str">
        <f>IFERROR(__xludf.DUMMYFUNCTION("IF(P17="""","""",IFERROR(INDEX(filter(Productos!E:E,Productos!F:F=L17,Productos!H:H=N17),P17),IF(M17=SUM(D:D),""Finalizar"",""-"")))"),"Plataforma Playo 4.00 x 1.90 x 0.45 Lateral Simple Baranda Ventilada")</f>
        <v>Plataforma Playo 4.00 x 1.90 x 0.45 Lateral Simple Baranda Ventilada</v>
      </c>
      <c r="V17" s="4" t="str">
        <f>IFERROR(__xludf.DUMMYFUNCTION("IF(OR($U17="""",COUNTIF($I:$I,IFERROR(unique(filter(Prod_Prop!$H:$H,Prod_Prop!$G:$G=$U17,Prod_Prop!$E:$E=V$1)),""Check""))=0),"""",IFERROR(unique(filter(Prod_Prop!$H:$H,Prod_Prop!$G:$G=$U17,Prod_Prop!$E:$E=V$1)),""""))"),"")</f>
        <v/>
      </c>
      <c r="W17" s="4" t="str">
        <f>IF(V17="","",SUMIFS(Prod_Prop!$J:$J,Prod_Prop!$B:$B,$Q17,Prod_Prop!$H:$H,V17,Prod_Prop!$I:$I,W$1)*IF(V17="Peso",$R17,1))</f>
        <v/>
      </c>
      <c r="X17" s="4" t="str">
        <f>IF(V17="","",SUMIFS(Prod_Prop!$J:$J,Prod_Prop!$B:$B,$Q17,Prod_Prop!$H:$H,V17,Prod_Prop!$I:$I,X$1)*IF(V17="Peso",$R17,1))</f>
        <v/>
      </c>
      <c r="Y17" s="4" t="str">
        <f>IFERROR(__xludf.DUMMYFUNCTION("IF(OR($U17="""",COUNTIF($I:$I,IFERROR(unique(filter(Prod_Prop!$H:$H,Prod_Prop!$G:$G=$U17,Prod_Prop!$E:$E=Y$1)),""Check""))=0),"""",IFERROR(unique(filter(Prod_Prop!$H:$H,Prod_Prop!$G:$G=$U17,Prod_Prop!$E:$E=Y$1)),""""))"),"")</f>
        <v/>
      </c>
      <c r="Z17" s="4" t="str">
        <f>IF(Y17="","",SUMIFS(Prod_Prop!$J:$J,Prod_Prop!$B:$B,$Q17,Prod_Prop!$H:$H,Y17,Prod_Prop!$I:$I,Z$1)*IF(Y17="Peso",$R17,1))</f>
        <v/>
      </c>
      <c r="AA17" s="4" t="str">
        <f>IF(Y17="","",SUMIFS(Prod_Prop!$J:$J,Prod_Prop!$B:$B,$Q17,Prod_Prop!$H:$H,Y17,Prod_Prop!$I:$I,AA$1)*IF(Y17="Peso",$R17,1))</f>
        <v/>
      </c>
      <c r="AB17" s="4" t="str">
        <f>IFERROR(__xludf.DUMMYFUNCTION("IF(OR($U17="""",COUNTIF($I:$I,IFERROR(unique(filter(Prod_Prop!$H:$H,Prod_Prop!$G:$G=$U17,Prod_Prop!$E:$E=AB$1)),""Check""))=0),"""",IFERROR(unique(filter(Prod_Prop!$H:$H,Prod_Prop!$G:$G=$U17,Prod_Prop!$E:$E=AB$1)),""""))"),"")</f>
        <v/>
      </c>
      <c r="AC17" s="4" t="str">
        <f>IF(AB17="","",SUMIFS(Prod_Prop!$J:$J,Prod_Prop!$B:$B,$Q17,Prod_Prop!$H:$H,AB17,Prod_Prop!$I:$I,AC$1)*IF(AB17="Peso",$R17,1))</f>
        <v/>
      </c>
      <c r="AD17" s="4" t="str">
        <f>IF(AB17="","",SUMIFS(Prod_Prop!$J:$J,Prod_Prop!$B:$B,$Q17,Prod_Prop!$H:$H,AB17,Prod_Prop!$I:$I,AD$1)*IF(AB17="Peso",$R17,1))</f>
        <v/>
      </c>
    </row>
    <row r="18">
      <c r="A18" s="4" t="str">
        <f t="array" ref="A18">IF(COUNTIF(A$1:A17,Cotizador!F$2)=maxifs(Familias!E:E,Familias!D:D,Cotizador!F$2),IF(COUNTIF(A$1:A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" s="4" t="str">
        <f t="shared" si="1"/>
        <v/>
      </c>
      <c r="C18" s="4" t="str">
        <f t="array" ref="C18">IF(B18="","",IF(A18=XLOOKUP(A$2,Implementos!B:B,Implementos!C:C,"",0,1),B18+maxifs(B$1:B17,A$1:A17,A$2),B18))</f>
        <v/>
      </c>
      <c r="D18" s="4" t="str">
        <f>IF(B18="","", COUNTIFS(Productos!F:F,A18,Productos!H:H,B18)+IF(F18="SI",0,1))</f>
        <v/>
      </c>
      <c r="E18" s="4" t="str">
        <f>IFERROR(__xludf.DUMMYFUNCTION("IF($B18="""","""",INDEX(filter(Familias!F:F,Familias!$D:$D=$A18,Familias!$E:$E=$B18),1))"),"")</f>
        <v/>
      </c>
      <c r="F18" s="4" t="str">
        <f>IFERROR(__xludf.DUMMYFUNCTION("IF($B18="""","""",INDEX(filter(Familias!G:G,Familias!$D:$D=$A18,Familias!$E:$E=$B18),1))"),"")</f>
        <v/>
      </c>
      <c r="G18" s="4" t="str">
        <f t="array" ref="G18">IF(C18=1,XLOOKUP(C18,Cotizador!D:D,Cotizador!E:E,"",0,1),"")</f>
        <v/>
      </c>
      <c r="I18" s="4"/>
      <c r="J18" s="8" t="str">
        <f>IF(I18="","",SUMIF(Cotizador!I$1:V$1,I18,Cotizador!I$2:V$2))</f>
        <v/>
      </c>
      <c r="L18" s="4" t="str">
        <f t="array" ref="L18">IF(COUNTIF(L$1:L17,A$2)=SUMIF(A:A,A$2,D:D),IF(COUNTIF(L$1:L17,XLOOKUP(A$2,Implementos!B:B,Implementos!C:C,"",0,1))=SUMIF(A:A,XLOOKUP(A$2,Implementos!B:B,Implementos!C:C,"",0,1),D:D),"",XLOOKUP(A$2,Implementos!B:B,Implementos!C:C,"",0,1)),A$2)</f>
        <v>Acoplados Rurales</v>
      </c>
      <c r="M18" s="4">
        <f t="shared" si="2"/>
        <v>17</v>
      </c>
      <c r="N18" s="4">
        <f t="shared" si="3"/>
        <v>1</v>
      </c>
      <c r="O18" s="4">
        <f t="shared" si="4"/>
        <v>1</v>
      </c>
      <c r="P18" s="4">
        <f t="shared" si="5"/>
        <v>17</v>
      </c>
      <c r="Q18" s="4">
        <f>IF(U18="","",SUMIF(Productos!E:E,U18,Productos!A:A))</f>
        <v>120</v>
      </c>
      <c r="R18" s="4">
        <f t="array" ref="R18">IF(L18="","", max(1,SUMIF(I:I,XLOOKUP(U18,Productos!E:E,Productos!G:G,"",0,1),J:J)))</f>
        <v>1</v>
      </c>
      <c r="S18" s="4" t="str">
        <f>IF(Q18="","",IF(SUMIFS(Compat_Vetado!D:D,Compat_Vetado!B:B,SUM(G:G),Compat_Vetado!C:C,Q18)=1,"SI",IF(OR(SUMIF(Cotizador!E:E,Q18,Cotizador!G:G)&gt;0,SUMIFS(Compat_Vetado!D:D,Compat_Vetado!B:B,SUM(G:G),Compat_Vetado!C:C,Q18)=-1),"NO","")))</f>
        <v/>
      </c>
      <c r="T18" s="4" t="str">
        <f t="shared" si="6"/>
        <v>x</v>
      </c>
      <c r="U18" s="4" t="str">
        <f>IFERROR(__xludf.DUMMYFUNCTION("IF(P18="""","""",IFERROR(INDEX(filter(Productos!E:E,Productos!F:F=L18,Productos!H:H=N18),P18),IF(M18=SUM(D:D),""Finalizar"",""-"")))"),"Plataforma Playo 4.00 x 1.90 x 0.45 Lateral Doble Baranda Ventilada")</f>
        <v>Plataforma Playo 4.00 x 1.90 x 0.45 Lateral Doble Baranda Ventilada</v>
      </c>
      <c r="V18" s="4" t="str">
        <f>IFERROR(__xludf.DUMMYFUNCTION("IF(OR($U18="""",COUNTIF($I:$I,IFERROR(unique(filter(Prod_Prop!$H:$H,Prod_Prop!$G:$G=$U18,Prod_Prop!$E:$E=V$1)),""Check""))=0),"""",IFERROR(unique(filter(Prod_Prop!$H:$H,Prod_Prop!$G:$G=$U18,Prod_Prop!$E:$E=V$1)),""""))"),"")</f>
        <v/>
      </c>
      <c r="W18" s="4" t="str">
        <f>IF(V18="","",SUMIFS(Prod_Prop!$J:$J,Prod_Prop!$B:$B,$Q18,Prod_Prop!$H:$H,V18,Prod_Prop!$I:$I,W$1)*IF(V18="Peso",$R18,1))</f>
        <v/>
      </c>
      <c r="X18" s="4" t="str">
        <f>IF(V18="","",SUMIFS(Prod_Prop!$J:$J,Prod_Prop!$B:$B,$Q18,Prod_Prop!$H:$H,V18,Prod_Prop!$I:$I,X$1)*IF(V18="Peso",$R18,1))</f>
        <v/>
      </c>
      <c r="Y18" s="4" t="str">
        <f>IFERROR(__xludf.DUMMYFUNCTION("IF(OR($U18="""",COUNTIF($I:$I,IFERROR(unique(filter(Prod_Prop!$H:$H,Prod_Prop!$G:$G=$U18,Prod_Prop!$E:$E=Y$1)),""Check""))=0),"""",IFERROR(unique(filter(Prod_Prop!$H:$H,Prod_Prop!$G:$G=$U18,Prod_Prop!$E:$E=Y$1)),""""))"),"")</f>
        <v/>
      </c>
      <c r="Z18" s="4" t="str">
        <f>IF(Y18="","",SUMIFS(Prod_Prop!$J:$J,Prod_Prop!$B:$B,$Q18,Prod_Prop!$H:$H,Y18,Prod_Prop!$I:$I,Z$1)*IF(Y18="Peso",$R18,1))</f>
        <v/>
      </c>
      <c r="AA18" s="4" t="str">
        <f>IF(Y18="","",SUMIFS(Prod_Prop!$J:$J,Prod_Prop!$B:$B,$Q18,Prod_Prop!$H:$H,Y18,Prod_Prop!$I:$I,AA$1)*IF(Y18="Peso",$R18,1))</f>
        <v/>
      </c>
      <c r="AB18" s="4" t="str">
        <f>IFERROR(__xludf.DUMMYFUNCTION("IF(OR($U18="""",COUNTIF($I:$I,IFERROR(unique(filter(Prod_Prop!$H:$H,Prod_Prop!$G:$G=$U18,Prod_Prop!$E:$E=AB$1)),""Check""))=0),"""",IFERROR(unique(filter(Prod_Prop!$H:$H,Prod_Prop!$G:$G=$U18,Prod_Prop!$E:$E=AB$1)),""""))"),"")</f>
        <v/>
      </c>
      <c r="AC18" s="4" t="str">
        <f>IF(AB18="","",SUMIFS(Prod_Prop!$J:$J,Prod_Prop!$B:$B,$Q18,Prod_Prop!$H:$H,AB18,Prod_Prop!$I:$I,AC$1)*IF(AB18="Peso",$R18,1))</f>
        <v/>
      </c>
      <c r="AD18" s="4" t="str">
        <f>IF(AB18="","",SUMIFS(Prod_Prop!$J:$J,Prod_Prop!$B:$B,$Q18,Prod_Prop!$H:$H,AB18,Prod_Prop!$I:$I,AD$1)*IF(AB18="Peso",$R18,1))</f>
        <v/>
      </c>
    </row>
    <row r="19">
      <c r="A19" s="4" t="str">
        <f t="array" ref="A19">IF(COUNTIF(A$1:A18,Cotizador!F$2)=maxifs(Familias!E:E,Familias!D:D,Cotizador!F$2),IF(COUNTIF(A$1:A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" s="4" t="str">
        <f t="shared" si="1"/>
        <v/>
      </c>
      <c r="C19" s="4" t="str">
        <f t="array" ref="C19">IF(B19="","",IF(A19=XLOOKUP(A$2,Implementos!B:B,Implementos!C:C,"",0,1),B19+maxifs(B$1:B18,A$1:A18,A$2),B19))</f>
        <v/>
      </c>
      <c r="D19" s="4" t="str">
        <f>IF(B19="","", COUNTIFS(Productos!F:F,A19,Productos!H:H,B19)+IF(F19="SI",0,1))</f>
        <v/>
      </c>
      <c r="E19" s="4" t="str">
        <f>IFERROR(__xludf.DUMMYFUNCTION("IF($B19="""","""",INDEX(filter(Familias!F:F,Familias!$D:$D=$A19,Familias!$E:$E=$B19),1))"),"")</f>
        <v/>
      </c>
      <c r="F19" s="4" t="str">
        <f>IFERROR(__xludf.DUMMYFUNCTION("IF($B19="""","""",INDEX(filter(Familias!G:G,Familias!$D:$D=$A19,Familias!$E:$E=$B19),1))"),"")</f>
        <v/>
      </c>
      <c r="G19" s="4" t="str">
        <f t="array" ref="G19">IF(C19=1,XLOOKUP(C19,Cotizador!D:D,Cotizador!E:E,"",0,1),"")</f>
        <v/>
      </c>
      <c r="I19" s="4"/>
      <c r="J19" s="8" t="str">
        <f>IF(I19="","",SUMIF(Cotizador!I$1:V$1,I19,Cotizador!I$2:V$2))</f>
        <v/>
      </c>
      <c r="L19" s="4" t="str">
        <f t="array" ref="L19">IF(COUNTIF(L$1:L18,A$2)=SUMIF(A:A,A$2,D:D),IF(COUNTIF(L$1:L18,XLOOKUP(A$2,Implementos!B:B,Implementos!C:C,"",0,1))=SUMIF(A:A,XLOOKUP(A$2,Implementos!B:B,Implementos!C:C,"",0,1),D:D),"",XLOOKUP(A$2,Implementos!B:B,Implementos!C:C,"",0,1)),A$2)</f>
        <v>Acoplados Rurales</v>
      </c>
      <c r="M19" s="4">
        <f t="shared" si="2"/>
        <v>18</v>
      </c>
      <c r="N19" s="4">
        <f t="shared" si="3"/>
        <v>1</v>
      </c>
      <c r="O19" s="4">
        <f t="shared" si="4"/>
        <v>1</v>
      </c>
      <c r="P19" s="4">
        <f t="shared" si="5"/>
        <v>18</v>
      </c>
      <c r="Q19" s="4">
        <f>IF(U19="","",SUMIF(Productos!E:E,U19,Productos!A:A))</f>
        <v>121</v>
      </c>
      <c r="R19" s="4">
        <f t="array" ref="R19">IF(L19="","", max(1,SUMIF(I:I,XLOOKUP(U19,Productos!E:E,Productos!G:G,"",0,1),J:J)))</f>
        <v>1</v>
      </c>
      <c r="S19" s="4" t="str">
        <f>IF(Q19="","",IF(SUMIFS(Compat_Vetado!D:D,Compat_Vetado!B:B,SUM(G:G),Compat_Vetado!C:C,Q19)=1,"SI",IF(OR(SUMIF(Cotizador!E:E,Q19,Cotizador!G:G)&gt;0,SUMIFS(Compat_Vetado!D:D,Compat_Vetado!B:B,SUM(G:G),Compat_Vetado!C:C,Q19)=-1),"NO","")))</f>
        <v/>
      </c>
      <c r="T19" s="4" t="str">
        <f t="shared" si="6"/>
        <v>x</v>
      </c>
      <c r="U19" s="4" t="str">
        <f>IFERROR(__xludf.DUMMYFUNCTION("IF(P19="""","""",IFERROR(INDEX(filter(Productos!E:E,Productos!F:F=L19,Productos!H:H=N19),P19),IF(M19=SUM(D:D),""Finalizar"",""-"")))"),"Plataforma Playo 4.00 x 1.90 x 0.45 Lateral Doble Baranda Fija")</f>
        <v>Plataforma Playo 4.00 x 1.90 x 0.45 Lateral Doble Baranda Fija</v>
      </c>
      <c r="V19" s="4" t="str">
        <f>IFERROR(__xludf.DUMMYFUNCTION("IF(OR($U19="""",COUNTIF($I:$I,IFERROR(unique(filter(Prod_Prop!$H:$H,Prod_Prop!$G:$G=$U19,Prod_Prop!$E:$E=V$1)),""Check""))=0),"""",IFERROR(unique(filter(Prod_Prop!$H:$H,Prod_Prop!$G:$G=$U19,Prod_Prop!$E:$E=V$1)),""""))"),"")</f>
        <v/>
      </c>
      <c r="W19" s="4" t="str">
        <f>IF(V19="","",SUMIFS(Prod_Prop!$J:$J,Prod_Prop!$B:$B,$Q19,Prod_Prop!$H:$H,V19,Prod_Prop!$I:$I,W$1)*IF(V19="Peso",$R19,1))</f>
        <v/>
      </c>
      <c r="X19" s="4" t="str">
        <f>IF(V19="","",SUMIFS(Prod_Prop!$J:$J,Prod_Prop!$B:$B,$Q19,Prod_Prop!$H:$H,V19,Prod_Prop!$I:$I,X$1)*IF(V19="Peso",$R19,1))</f>
        <v/>
      </c>
      <c r="Y19" s="4" t="str">
        <f>IFERROR(__xludf.DUMMYFUNCTION("IF(OR($U19="""",COUNTIF($I:$I,IFERROR(unique(filter(Prod_Prop!$H:$H,Prod_Prop!$G:$G=$U19,Prod_Prop!$E:$E=Y$1)),""Check""))=0),"""",IFERROR(unique(filter(Prod_Prop!$H:$H,Prod_Prop!$G:$G=$U19,Prod_Prop!$E:$E=Y$1)),""""))"),"")</f>
        <v/>
      </c>
      <c r="Z19" s="4" t="str">
        <f>IF(Y19="","",SUMIFS(Prod_Prop!$J:$J,Prod_Prop!$B:$B,$Q19,Prod_Prop!$H:$H,Y19,Prod_Prop!$I:$I,Z$1)*IF(Y19="Peso",$R19,1))</f>
        <v/>
      </c>
      <c r="AA19" s="4" t="str">
        <f>IF(Y19="","",SUMIFS(Prod_Prop!$J:$J,Prod_Prop!$B:$B,$Q19,Prod_Prop!$H:$H,Y19,Prod_Prop!$I:$I,AA$1)*IF(Y19="Peso",$R19,1))</f>
        <v/>
      </c>
      <c r="AB19" s="4" t="str">
        <f>IFERROR(__xludf.DUMMYFUNCTION("IF(OR($U19="""",COUNTIF($I:$I,IFERROR(unique(filter(Prod_Prop!$H:$H,Prod_Prop!$G:$G=$U19,Prod_Prop!$E:$E=AB$1)),""Check""))=0),"""",IFERROR(unique(filter(Prod_Prop!$H:$H,Prod_Prop!$G:$G=$U19,Prod_Prop!$E:$E=AB$1)),""""))"),"")</f>
        <v/>
      </c>
      <c r="AC19" s="4" t="str">
        <f>IF(AB19="","",SUMIFS(Prod_Prop!$J:$J,Prod_Prop!$B:$B,$Q19,Prod_Prop!$H:$H,AB19,Prod_Prop!$I:$I,AC$1)*IF(AB19="Peso",$R19,1))</f>
        <v/>
      </c>
      <c r="AD19" s="4" t="str">
        <f>IF(AB19="","",SUMIFS(Prod_Prop!$J:$J,Prod_Prop!$B:$B,$Q19,Prod_Prop!$H:$H,AB19,Prod_Prop!$I:$I,AD$1)*IF(AB19="Peso",$R19,1))</f>
        <v/>
      </c>
    </row>
    <row r="20">
      <c r="A20" s="4" t="str">
        <f t="array" ref="A20">IF(COUNTIF(A$1:A19,Cotizador!F$2)=maxifs(Familias!E:E,Familias!D:D,Cotizador!F$2),IF(COUNTIF(A$1:A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" s="4" t="str">
        <f t="shared" si="1"/>
        <v/>
      </c>
      <c r="C20" s="4" t="str">
        <f t="array" ref="C20">IF(B20="","",IF(A20=XLOOKUP(A$2,Implementos!B:B,Implementos!C:C,"",0,1),B20+maxifs(B$1:B19,A$1:A19,A$2),B20))</f>
        <v/>
      </c>
      <c r="D20" s="4" t="str">
        <f>IF(B20="","", COUNTIFS(Productos!F:F,A20,Productos!H:H,B20)+IF(F20="SI",0,1))</f>
        <v/>
      </c>
      <c r="E20" s="4" t="str">
        <f>IFERROR(__xludf.DUMMYFUNCTION("IF($B20="""","""",INDEX(filter(Familias!F:F,Familias!$D:$D=$A20,Familias!$E:$E=$B20),1))"),"")</f>
        <v/>
      </c>
      <c r="F20" s="4" t="str">
        <f>IFERROR(__xludf.DUMMYFUNCTION("IF($B20="""","""",INDEX(filter(Familias!G:G,Familias!$D:$D=$A20,Familias!$E:$E=$B20),1))"),"")</f>
        <v/>
      </c>
      <c r="G20" s="4" t="str">
        <f t="array" ref="G20">IF(C20=1,XLOOKUP(C20,Cotizador!D:D,Cotizador!E:E,"",0,1),"")</f>
        <v/>
      </c>
      <c r="I20" s="4"/>
      <c r="J20" s="8" t="str">
        <f>IF(I20="","",SUMIF(Cotizador!I$1:V$1,I20,Cotizador!I$2:V$2))</f>
        <v/>
      </c>
      <c r="L20" s="4" t="str">
        <f t="array" ref="L20">IF(COUNTIF(L$1:L19,A$2)=SUMIF(A:A,A$2,D:D),IF(COUNTIF(L$1:L19,XLOOKUP(A$2,Implementos!B:B,Implementos!C:C,"",0,1))=SUMIF(A:A,XLOOKUP(A$2,Implementos!B:B,Implementos!C:C,"",0,1),D:D),"",XLOOKUP(A$2,Implementos!B:B,Implementos!C:C,"",0,1)),A$2)</f>
        <v>Acoplados Rurales</v>
      </c>
      <c r="M20" s="4">
        <f t="shared" si="2"/>
        <v>19</v>
      </c>
      <c r="N20" s="4">
        <f t="shared" si="3"/>
        <v>1</v>
      </c>
      <c r="O20" s="4">
        <f t="shared" si="4"/>
        <v>1</v>
      </c>
      <c r="P20" s="4">
        <f t="shared" si="5"/>
        <v>19</v>
      </c>
      <c r="Q20" s="4">
        <f>IF(U20="","",SUMIF(Productos!E:E,U20,Productos!A:A))</f>
        <v>122</v>
      </c>
      <c r="R20" s="4">
        <f t="array" ref="R20">IF(L20="","", max(1,SUMIF(I:I,XLOOKUP(U20,Productos!E:E,Productos!G:G,"",0,1),J:J)))</f>
        <v>1</v>
      </c>
      <c r="S20" s="4" t="str">
        <f>IF(Q20="","",IF(SUMIFS(Compat_Vetado!D:D,Compat_Vetado!B:B,SUM(G:G),Compat_Vetado!C:C,Q20)=1,"SI",IF(OR(SUMIF(Cotizador!E:E,Q20,Cotizador!G:G)&gt;0,SUMIFS(Compat_Vetado!D:D,Compat_Vetado!B:B,SUM(G:G),Compat_Vetado!C:C,Q20)=-1),"NO","")))</f>
        <v/>
      </c>
      <c r="T20" s="4" t="str">
        <f t="shared" si="6"/>
        <v>x</v>
      </c>
      <c r="U20" s="4" t="str">
        <f>IFERROR(__xludf.DUMMYFUNCTION("IF(P20="""","""",IFERROR(INDEX(filter(Productos!E:E,Productos!F:F=L20,Productos!H:H=N20),P20),IF(M20=SUM(D:D),""Finalizar"",""-"")))"),"Plataforma Playo 4.00 x 1.90 x 0.72 Lateral Simple Baranda Fija")</f>
        <v>Plataforma Playo 4.00 x 1.90 x 0.72 Lateral Simple Baranda Fija</v>
      </c>
      <c r="V20" s="4" t="str">
        <f>IFERROR(__xludf.DUMMYFUNCTION("IF(OR($U20="""",COUNTIF($I:$I,IFERROR(unique(filter(Prod_Prop!$H:$H,Prod_Prop!$G:$G=$U20,Prod_Prop!$E:$E=V$1)),""Check""))=0),"""",IFERROR(unique(filter(Prod_Prop!$H:$H,Prod_Prop!$G:$G=$U20,Prod_Prop!$E:$E=V$1)),""""))"),"")</f>
        <v/>
      </c>
      <c r="W20" s="4" t="str">
        <f>IF(V20="","",SUMIFS(Prod_Prop!$J:$J,Prod_Prop!$B:$B,$Q20,Prod_Prop!$H:$H,V20,Prod_Prop!$I:$I,W$1)*IF(V20="Peso",$R20,1))</f>
        <v/>
      </c>
      <c r="X20" s="4" t="str">
        <f>IF(V20="","",SUMIFS(Prod_Prop!$J:$J,Prod_Prop!$B:$B,$Q20,Prod_Prop!$H:$H,V20,Prod_Prop!$I:$I,X$1)*IF(V20="Peso",$R20,1))</f>
        <v/>
      </c>
      <c r="Y20" s="4" t="str">
        <f>IFERROR(__xludf.DUMMYFUNCTION("IF(OR($U20="""",COUNTIF($I:$I,IFERROR(unique(filter(Prod_Prop!$H:$H,Prod_Prop!$G:$G=$U20,Prod_Prop!$E:$E=Y$1)),""Check""))=0),"""",IFERROR(unique(filter(Prod_Prop!$H:$H,Prod_Prop!$G:$G=$U20,Prod_Prop!$E:$E=Y$1)),""""))"),"")</f>
        <v/>
      </c>
      <c r="Z20" s="4" t="str">
        <f>IF(Y20="","",SUMIFS(Prod_Prop!$J:$J,Prod_Prop!$B:$B,$Q20,Prod_Prop!$H:$H,Y20,Prod_Prop!$I:$I,Z$1)*IF(Y20="Peso",$R20,1))</f>
        <v/>
      </c>
      <c r="AA20" s="4" t="str">
        <f>IF(Y20="","",SUMIFS(Prod_Prop!$J:$J,Prod_Prop!$B:$B,$Q20,Prod_Prop!$H:$H,Y20,Prod_Prop!$I:$I,AA$1)*IF(Y20="Peso",$R20,1))</f>
        <v/>
      </c>
      <c r="AB20" s="4" t="str">
        <f>IFERROR(__xludf.DUMMYFUNCTION("IF(OR($U20="""",COUNTIF($I:$I,IFERROR(unique(filter(Prod_Prop!$H:$H,Prod_Prop!$G:$G=$U20,Prod_Prop!$E:$E=AB$1)),""Check""))=0),"""",IFERROR(unique(filter(Prod_Prop!$H:$H,Prod_Prop!$G:$G=$U20,Prod_Prop!$E:$E=AB$1)),""""))"),"")</f>
        <v/>
      </c>
      <c r="AC20" s="4" t="str">
        <f>IF(AB20="","",SUMIFS(Prod_Prop!$J:$J,Prod_Prop!$B:$B,$Q20,Prod_Prop!$H:$H,AB20,Prod_Prop!$I:$I,AC$1)*IF(AB20="Peso",$R20,1))</f>
        <v/>
      </c>
      <c r="AD20" s="4" t="str">
        <f>IF(AB20="","",SUMIFS(Prod_Prop!$J:$J,Prod_Prop!$B:$B,$Q20,Prod_Prop!$H:$H,AB20,Prod_Prop!$I:$I,AD$1)*IF(AB20="Peso",$R20,1))</f>
        <v/>
      </c>
    </row>
    <row r="21">
      <c r="A21" s="4" t="str">
        <f t="array" ref="A21">IF(COUNTIF(A$1:A20,Cotizador!F$2)=maxifs(Familias!E:E,Familias!D:D,Cotizador!F$2),IF(COUNTIF(A$1:A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" s="4" t="str">
        <f t="shared" si="1"/>
        <v/>
      </c>
      <c r="C21" s="4" t="str">
        <f t="array" ref="C21">IF(B21="","",IF(A21=XLOOKUP(A$2,Implementos!B:B,Implementos!C:C,"",0,1),B21+maxifs(B$1:B20,A$1:A20,A$2),B21))</f>
        <v/>
      </c>
      <c r="D21" s="4" t="str">
        <f>IF(B21="","", COUNTIFS(Productos!F:F,A21,Productos!H:H,B21)+IF(F21="SI",0,1))</f>
        <v/>
      </c>
      <c r="E21" s="4" t="str">
        <f>IFERROR(__xludf.DUMMYFUNCTION("IF($B21="""","""",INDEX(filter(Familias!F:F,Familias!$D:$D=$A21,Familias!$E:$E=$B21),1))"),"")</f>
        <v/>
      </c>
      <c r="F21" s="4" t="str">
        <f>IFERROR(__xludf.DUMMYFUNCTION("IF($B21="""","""",INDEX(filter(Familias!G:G,Familias!$D:$D=$A21,Familias!$E:$E=$B21),1))"),"")</f>
        <v/>
      </c>
      <c r="G21" s="4" t="str">
        <f t="array" ref="G21">IF(C21=1,XLOOKUP(C21,Cotizador!D:D,Cotizador!E:E,"",0,1),"")</f>
        <v/>
      </c>
      <c r="I21" s="4"/>
      <c r="J21" s="8" t="str">
        <f>IF(I21="","",SUMIF(Cotizador!I$1:V$1,I21,Cotizador!I$2:V$2))</f>
        <v/>
      </c>
      <c r="L21" s="4" t="str">
        <f t="array" ref="L21">IF(COUNTIF(L$1:L20,A$2)=SUMIF(A:A,A$2,D:D),IF(COUNTIF(L$1:L20,XLOOKUP(A$2,Implementos!B:B,Implementos!C:C,"",0,1))=SUMIF(A:A,XLOOKUP(A$2,Implementos!B:B,Implementos!C:C,"",0,1),D:D),"",XLOOKUP(A$2,Implementos!B:B,Implementos!C:C,"",0,1)),A$2)</f>
        <v>Acoplados Rurales</v>
      </c>
      <c r="M21" s="4">
        <f t="shared" si="2"/>
        <v>20</v>
      </c>
      <c r="N21" s="4">
        <f t="shared" si="3"/>
        <v>1</v>
      </c>
      <c r="O21" s="4">
        <f t="shared" si="4"/>
        <v>1</v>
      </c>
      <c r="P21" s="4">
        <f t="shared" si="5"/>
        <v>20</v>
      </c>
      <c r="Q21" s="4">
        <f>IF(U21="","",SUMIF(Productos!E:E,U21,Productos!A:A))</f>
        <v>123</v>
      </c>
      <c r="R21" s="4">
        <f t="array" ref="R21">IF(L21="","", max(1,SUMIF(I:I,XLOOKUP(U21,Productos!E:E,Productos!G:G,"",0,1),J:J)))</f>
        <v>1</v>
      </c>
      <c r="S21" s="4" t="str">
        <f>IF(Q21="","",IF(SUMIFS(Compat_Vetado!D:D,Compat_Vetado!B:B,SUM(G:G),Compat_Vetado!C:C,Q21)=1,"SI",IF(OR(SUMIF(Cotizador!E:E,Q21,Cotizador!G:G)&gt;0,SUMIFS(Compat_Vetado!D:D,Compat_Vetado!B:B,SUM(G:G),Compat_Vetado!C:C,Q21)=-1),"NO","")))</f>
        <v/>
      </c>
      <c r="T21" s="4" t="str">
        <f t="shared" si="6"/>
        <v>x</v>
      </c>
      <c r="U21" s="4" t="str">
        <f>IFERROR(__xludf.DUMMYFUNCTION("IF(P21="""","""",IFERROR(INDEX(filter(Productos!E:E,Productos!F:F=L21,Productos!H:H=N21),P21),IF(M21=SUM(D:D),""Finalizar"",""-"")))"),"Plataforma Playo 4.00 x 1.90 x 0.72 Lateral Doble Baranda Fija")</f>
        <v>Plataforma Playo 4.00 x 1.90 x 0.72 Lateral Doble Baranda Fija</v>
      </c>
      <c r="V21" s="4" t="str">
        <f>IFERROR(__xludf.DUMMYFUNCTION("IF(OR($U21="""",COUNTIF($I:$I,IFERROR(unique(filter(Prod_Prop!$H:$H,Prod_Prop!$G:$G=$U21,Prod_Prop!$E:$E=V$1)),""Check""))=0),"""",IFERROR(unique(filter(Prod_Prop!$H:$H,Prod_Prop!$G:$G=$U21,Prod_Prop!$E:$E=V$1)),""""))"),"")</f>
        <v/>
      </c>
      <c r="W21" s="4" t="str">
        <f>IF(V21="","",SUMIFS(Prod_Prop!$J:$J,Prod_Prop!$B:$B,$Q21,Prod_Prop!$H:$H,V21,Prod_Prop!$I:$I,W$1)*IF(V21="Peso",$R21,1))</f>
        <v/>
      </c>
      <c r="X21" s="4" t="str">
        <f>IF(V21="","",SUMIFS(Prod_Prop!$J:$J,Prod_Prop!$B:$B,$Q21,Prod_Prop!$H:$H,V21,Prod_Prop!$I:$I,X$1)*IF(V21="Peso",$R21,1))</f>
        <v/>
      </c>
      <c r="Y21" s="4" t="str">
        <f>IFERROR(__xludf.DUMMYFUNCTION("IF(OR($U21="""",COUNTIF($I:$I,IFERROR(unique(filter(Prod_Prop!$H:$H,Prod_Prop!$G:$G=$U21,Prod_Prop!$E:$E=Y$1)),""Check""))=0),"""",IFERROR(unique(filter(Prod_Prop!$H:$H,Prod_Prop!$G:$G=$U21,Prod_Prop!$E:$E=Y$1)),""""))"),"")</f>
        <v/>
      </c>
      <c r="Z21" s="4" t="str">
        <f>IF(Y21="","",SUMIFS(Prod_Prop!$J:$J,Prod_Prop!$B:$B,$Q21,Prod_Prop!$H:$H,Y21,Prod_Prop!$I:$I,Z$1)*IF(Y21="Peso",$R21,1))</f>
        <v/>
      </c>
      <c r="AA21" s="4" t="str">
        <f>IF(Y21="","",SUMIFS(Prod_Prop!$J:$J,Prod_Prop!$B:$B,$Q21,Prod_Prop!$H:$H,Y21,Prod_Prop!$I:$I,AA$1)*IF(Y21="Peso",$R21,1))</f>
        <v/>
      </c>
      <c r="AB21" s="4" t="str">
        <f>IFERROR(__xludf.DUMMYFUNCTION("IF(OR($U21="""",COUNTIF($I:$I,IFERROR(unique(filter(Prod_Prop!$H:$H,Prod_Prop!$G:$G=$U21,Prod_Prop!$E:$E=AB$1)),""Check""))=0),"""",IFERROR(unique(filter(Prod_Prop!$H:$H,Prod_Prop!$G:$G=$U21,Prod_Prop!$E:$E=AB$1)),""""))"),"")</f>
        <v/>
      </c>
      <c r="AC21" s="4" t="str">
        <f>IF(AB21="","",SUMIFS(Prod_Prop!$J:$J,Prod_Prop!$B:$B,$Q21,Prod_Prop!$H:$H,AB21,Prod_Prop!$I:$I,AC$1)*IF(AB21="Peso",$R21,1))</f>
        <v/>
      </c>
      <c r="AD21" s="4" t="str">
        <f>IF(AB21="","",SUMIFS(Prod_Prop!$J:$J,Prod_Prop!$B:$B,$Q21,Prod_Prop!$H:$H,AB21,Prod_Prop!$I:$I,AD$1)*IF(AB21="Peso",$R21,1))</f>
        <v/>
      </c>
    </row>
    <row r="22">
      <c r="A22" s="4" t="str">
        <f t="array" ref="A22">IF(COUNTIF(A$1:A21,Cotizador!F$2)=maxifs(Familias!E:E,Familias!D:D,Cotizador!F$2),IF(COUNTIF(A$1:A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" s="4" t="str">
        <f t="shared" si="1"/>
        <v/>
      </c>
      <c r="C22" s="4" t="str">
        <f t="array" ref="C22">IF(B22="","",IF(A22=XLOOKUP(A$2,Implementos!B:B,Implementos!C:C,"",0,1),B22+maxifs(B$1:B21,A$1:A21,A$2),B22))</f>
        <v/>
      </c>
      <c r="D22" s="4" t="str">
        <f>IF(B22="","", COUNTIFS(Productos!F:F,A22,Productos!H:H,B22)+IF(F22="SI",0,1))</f>
        <v/>
      </c>
      <c r="E22" s="4" t="str">
        <f>IFERROR(__xludf.DUMMYFUNCTION("IF($B22="""","""",INDEX(filter(Familias!F:F,Familias!$D:$D=$A22,Familias!$E:$E=$B22),1))"),"")</f>
        <v/>
      </c>
      <c r="F22" s="4" t="str">
        <f>IFERROR(__xludf.DUMMYFUNCTION("IF($B22="""","""",INDEX(filter(Familias!G:G,Familias!$D:$D=$A22,Familias!$E:$E=$B22),1))"),"")</f>
        <v/>
      </c>
      <c r="G22" s="4" t="str">
        <f t="array" ref="G22">IF(C22=1,XLOOKUP(C22,Cotizador!D:D,Cotizador!E:E,"",0,1),"")</f>
        <v/>
      </c>
      <c r="I22" s="4"/>
      <c r="J22" s="8" t="str">
        <f>IF(I22="","",SUMIF(Cotizador!I$1:V$1,I22,Cotizador!I$2:V$2))</f>
        <v/>
      </c>
      <c r="L22" s="4" t="str">
        <f t="array" ref="L22">IF(COUNTIF(L$1:L21,A$2)=SUMIF(A:A,A$2,D:D),IF(COUNTIF(L$1:L21,XLOOKUP(A$2,Implementos!B:B,Implementos!C:C,"",0,1))=SUMIF(A:A,XLOOKUP(A$2,Implementos!B:B,Implementos!C:C,"",0,1),D:D),"",XLOOKUP(A$2,Implementos!B:B,Implementos!C:C,"",0,1)),A$2)</f>
        <v>Acoplados Rurales</v>
      </c>
      <c r="M22" s="4">
        <f t="shared" si="2"/>
        <v>21</v>
      </c>
      <c r="N22" s="4">
        <f t="shared" si="3"/>
        <v>1</v>
      </c>
      <c r="O22" s="4">
        <f t="shared" si="4"/>
        <v>1</v>
      </c>
      <c r="P22" s="4">
        <f t="shared" si="5"/>
        <v>21</v>
      </c>
      <c r="Q22" s="4">
        <f>IF(U22="","",SUMIF(Productos!E:E,U22,Productos!A:A))</f>
        <v>124</v>
      </c>
      <c r="R22" s="4">
        <f t="array" ref="R22">IF(L22="","", max(1,SUMIF(I:I,XLOOKUP(U22,Productos!E:E,Productos!G:G,"",0,1),J:J)))</f>
        <v>1</v>
      </c>
      <c r="S22" s="4" t="str">
        <f>IF(Q22="","",IF(SUMIFS(Compat_Vetado!D:D,Compat_Vetado!B:B,SUM(G:G),Compat_Vetado!C:C,Q22)=1,"SI",IF(OR(SUMIF(Cotizador!E:E,Q22,Cotizador!G:G)&gt;0,SUMIFS(Compat_Vetado!D:D,Compat_Vetado!B:B,SUM(G:G),Compat_Vetado!C:C,Q22)=-1),"NO","")))</f>
        <v/>
      </c>
      <c r="T22" s="4" t="str">
        <f t="shared" si="6"/>
        <v>x</v>
      </c>
      <c r="U22" s="4" t="str">
        <f>IFERROR(__xludf.DUMMYFUNCTION("IF(P22="""","""",IFERROR(INDEX(filter(Productos!E:E,Productos!F:F=L22,Productos!H:H=N22),P22),IF(M22=SUM(D:D),""Finalizar"",""-"")))"),"Plataforma Playo 5.00 x 2.20 x 0.60 Lateral Doble Trasera Rebatible")</f>
        <v>Plataforma Playo 5.00 x 2.20 x 0.60 Lateral Doble Trasera Rebatible</v>
      </c>
      <c r="V22" s="4" t="str">
        <f>IFERROR(__xludf.DUMMYFUNCTION("IF(OR($U22="""",COUNTIF($I:$I,IFERROR(unique(filter(Prod_Prop!$H:$H,Prod_Prop!$G:$G=$U22,Prod_Prop!$E:$E=V$1)),""Check""))=0),"""",IFERROR(unique(filter(Prod_Prop!$H:$H,Prod_Prop!$G:$G=$U22,Prod_Prop!$E:$E=V$1)),""""))"),"")</f>
        <v/>
      </c>
      <c r="W22" s="4" t="str">
        <f>IF(V22="","",SUMIFS(Prod_Prop!$J:$J,Prod_Prop!$B:$B,$Q22,Prod_Prop!$H:$H,V22,Prod_Prop!$I:$I,W$1)*IF(V22="Peso",$R22,1))</f>
        <v/>
      </c>
      <c r="X22" s="4" t="str">
        <f>IF(V22="","",SUMIFS(Prod_Prop!$J:$J,Prod_Prop!$B:$B,$Q22,Prod_Prop!$H:$H,V22,Prod_Prop!$I:$I,X$1)*IF(V22="Peso",$R22,1))</f>
        <v/>
      </c>
      <c r="Y22" s="4" t="str">
        <f>IFERROR(__xludf.DUMMYFUNCTION("IF(OR($U22="""",COUNTIF($I:$I,IFERROR(unique(filter(Prod_Prop!$H:$H,Prod_Prop!$G:$G=$U22,Prod_Prop!$E:$E=Y$1)),""Check""))=0),"""",IFERROR(unique(filter(Prod_Prop!$H:$H,Prod_Prop!$G:$G=$U22,Prod_Prop!$E:$E=Y$1)),""""))"),"")</f>
        <v/>
      </c>
      <c r="Z22" s="4" t="str">
        <f>IF(Y22="","",SUMIFS(Prod_Prop!$J:$J,Prod_Prop!$B:$B,$Q22,Prod_Prop!$H:$H,Y22,Prod_Prop!$I:$I,Z$1)*IF(Y22="Peso",$R22,1))</f>
        <v/>
      </c>
      <c r="AA22" s="4" t="str">
        <f>IF(Y22="","",SUMIFS(Prod_Prop!$J:$J,Prod_Prop!$B:$B,$Q22,Prod_Prop!$H:$H,Y22,Prod_Prop!$I:$I,AA$1)*IF(Y22="Peso",$R22,1))</f>
        <v/>
      </c>
      <c r="AB22" s="4" t="str">
        <f>IFERROR(__xludf.DUMMYFUNCTION("IF(OR($U22="""",COUNTIF($I:$I,IFERROR(unique(filter(Prod_Prop!$H:$H,Prod_Prop!$G:$G=$U22,Prod_Prop!$E:$E=AB$1)),""Check""))=0),"""",IFERROR(unique(filter(Prod_Prop!$H:$H,Prod_Prop!$G:$G=$U22,Prod_Prop!$E:$E=AB$1)),""""))"),"")</f>
        <v/>
      </c>
      <c r="AC22" s="4" t="str">
        <f>IF(AB22="","",SUMIFS(Prod_Prop!$J:$J,Prod_Prop!$B:$B,$Q22,Prod_Prop!$H:$H,AB22,Prod_Prop!$I:$I,AC$1)*IF(AB22="Peso",$R22,1))</f>
        <v/>
      </c>
      <c r="AD22" s="4" t="str">
        <f>IF(AB22="","",SUMIFS(Prod_Prop!$J:$J,Prod_Prop!$B:$B,$Q22,Prod_Prop!$H:$H,AB22,Prod_Prop!$I:$I,AD$1)*IF(AB22="Peso",$R22,1))</f>
        <v/>
      </c>
    </row>
    <row r="23">
      <c r="A23" s="4" t="str">
        <f t="array" ref="A23">IF(COUNTIF(A$1:A22,Cotizador!F$2)=maxifs(Familias!E:E,Familias!D:D,Cotizador!F$2),IF(COUNTIF(A$1:A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" s="4" t="str">
        <f t="shared" si="1"/>
        <v/>
      </c>
      <c r="C23" s="4" t="str">
        <f t="array" ref="C23">IF(B23="","",IF(A23=XLOOKUP(A$2,Implementos!B:B,Implementos!C:C,"",0,1),B23+maxifs(B$1:B22,A$1:A22,A$2),B23))</f>
        <v/>
      </c>
      <c r="D23" s="4" t="str">
        <f>IF(B23="","", COUNTIFS(Productos!F:F,A23,Productos!H:H,B23)+IF(F23="SI",0,1))</f>
        <v/>
      </c>
      <c r="E23" s="4" t="str">
        <f>IFERROR(__xludf.DUMMYFUNCTION("IF($B23="""","""",INDEX(filter(Familias!F:F,Familias!$D:$D=$A23,Familias!$E:$E=$B23),1))"),"")</f>
        <v/>
      </c>
      <c r="F23" s="4" t="str">
        <f>IFERROR(__xludf.DUMMYFUNCTION("IF($B23="""","""",INDEX(filter(Familias!G:G,Familias!$D:$D=$A23,Familias!$E:$E=$B23),1))"),"")</f>
        <v/>
      </c>
      <c r="G23" s="4" t="str">
        <f t="array" ref="G23">IF(C23=1,XLOOKUP(C23,Cotizador!D:D,Cotizador!E:E,"",0,1),"")</f>
        <v/>
      </c>
      <c r="I23" s="4"/>
      <c r="J23" s="8" t="str">
        <f>IF(I23="","",SUMIF(Cotizador!I$1:V$1,I23,Cotizador!I$2:V$2))</f>
        <v/>
      </c>
      <c r="L23" s="4" t="str">
        <f t="array" ref="L23">IF(COUNTIF(L$1:L22,A$2)=SUMIF(A:A,A$2,D:D),IF(COUNTIF(L$1:L22,XLOOKUP(A$2,Implementos!B:B,Implementos!C:C,"",0,1))=SUMIF(A:A,XLOOKUP(A$2,Implementos!B:B,Implementos!C:C,"",0,1),D:D),"",XLOOKUP(A$2,Implementos!B:B,Implementos!C:C,"",0,1)),A$2)</f>
        <v>Acoplados Rurales</v>
      </c>
      <c r="M23" s="4">
        <f t="shared" si="2"/>
        <v>22</v>
      </c>
      <c r="N23" s="4">
        <f t="shared" si="3"/>
        <v>1</v>
      </c>
      <c r="O23" s="4">
        <f t="shared" si="4"/>
        <v>1</v>
      </c>
      <c r="P23" s="4">
        <f t="shared" si="5"/>
        <v>22</v>
      </c>
      <c r="Q23" s="4">
        <f>IF(U23="","",SUMIF(Productos!E:E,U23,Productos!A:A))</f>
        <v>125</v>
      </c>
      <c r="R23" s="4">
        <f t="array" ref="R23">IF(L23="","", max(1,SUMIF(I:I,XLOOKUP(U23,Productos!E:E,Productos!G:G,"",0,1),J:J)))</f>
        <v>1</v>
      </c>
      <c r="S23" s="4" t="str">
        <f>IF(Q23="","",IF(SUMIFS(Compat_Vetado!D:D,Compat_Vetado!B:B,SUM(G:G),Compat_Vetado!C:C,Q23)=1,"SI",IF(OR(SUMIF(Cotizador!E:E,Q23,Cotizador!G:G)&gt;0,SUMIFS(Compat_Vetado!D:D,Compat_Vetado!B:B,SUM(G:G),Compat_Vetado!C:C,Q23)=-1),"NO","")))</f>
        <v/>
      </c>
      <c r="T23" s="4" t="str">
        <f t="shared" si="6"/>
        <v>x</v>
      </c>
      <c r="U23" s="4" t="str">
        <f>IFERROR(__xludf.DUMMYFUNCTION("IF(P23="""","""",IFERROR(INDEX(filter(Productos!E:E,Productos!F:F=L23,Productos!H:H=N23),P23),IF(M23=SUM(D:D),""Finalizar"",""-"")))"),"Plataforma Playo 5.00 x 2.20 x 0.60 Lateral Doble Baranda Fija C/Toldo")</f>
        <v>Plataforma Playo 5.00 x 2.20 x 0.60 Lateral Doble Baranda Fija C/Toldo</v>
      </c>
      <c r="V23" s="4" t="str">
        <f>IFERROR(__xludf.DUMMYFUNCTION("IF(OR($U23="""",COUNTIF($I:$I,IFERROR(unique(filter(Prod_Prop!$H:$H,Prod_Prop!$G:$G=$U23,Prod_Prop!$E:$E=V$1)),""Check""))=0),"""",IFERROR(unique(filter(Prod_Prop!$H:$H,Prod_Prop!$G:$G=$U23,Prod_Prop!$E:$E=V$1)),""""))"),"")</f>
        <v/>
      </c>
      <c r="W23" s="4" t="str">
        <f>IF(V23="","",SUMIFS(Prod_Prop!$J:$J,Prod_Prop!$B:$B,$Q23,Prod_Prop!$H:$H,V23,Prod_Prop!$I:$I,W$1)*IF(V23="Peso",$R23,1))</f>
        <v/>
      </c>
      <c r="X23" s="4" t="str">
        <f>IF(V23="","",SUMIFS(Prod_Prop!$J:$J,Prod_Prop!$B:$B,$Q23,Prod_Prop!$H:$H,V23,Prod_Prop!$I:$I,X$1)*IF(V23="Peso",$R23,1))</f>
        <v/>
      </c>
      <c r="Y23" s="4" t="str">
        <f>IFERROR(__xludf.DUMMYFUNCTION("IF(OR($U23="""",COUNTIF($I:$I,IFERROR(unique(filter(Prod_Prop!$H:$H,Prod_Prop!$G:$G=$U23,Prod_Prop!$E:$E=Y$1)),""Check""))=0),"""",IFERROR(unique(filter(Prod_Prop!$H:$H,Prod_Prop!$G:$G=$U23,Prod_Prop!$E:$E=Y$1)),""""))"),"")</f>
        <v/>
      </c>
      <c r="Z23" s="4" t="str">
        <f>IF(Y23="","",SUMIFS(Prod_Prop!$J:$J,Prod_Prop!$B:$B,$Q23,Prod_Prop!$H:$H,Y23,Prod_Prop!$I:$I,Z$1)*IF(Y23="Peso",$R23,1))</f>
        <v/>
      </c>
      <c r="AA23" s="4" t="str">
        <f>IF(Y23="","",SUMIFS(Prod_Prop!$J:$J,Prod_Prop!$B:$B,$Q23,Prod_Prop!$H:$H,Y23,Prod_Prop!$I:$I,AA$1)*IF(Y23="Peso",$R23,1))</f>
        <v/>
      </c>
      <c r="AB23" s="4" t="str">
        <f>IFERROR(__xludf.DUMMYFUNCTION("IF(OR($U23="""",COUNTIF($I:$I,IFERROR(unique(filter(Prod_Prop!$H:$H,Prod_Prop!$G:$G=$U23,Prod_Prop!$E:$E=AB$1)),""Check""))=0),"""",IFERROR(unique(filter(Prod_Prop!$H:$H,Prod_Prop!$G:$G=$U23,Prod_Prop!$E:$E=AB$1)),""""))"),"")</f>
        <v/>
      </c>
      <c r="AC23" s="4" t="str">
        <f>IF(AB23="","",SUMIFS(Prod_Prop!$J:$J,Prod_Prop!$B:$B,$Q23,Prod_Prop!$H:$H,AB23,Prod_Prop!$I:$I,AC$1)*IF(AB23="Peso",$R23,1))</f>
        <v/>
      </c>
      <c r="AD23" s="4" t="str">
        <f>IF(AB23="","",SUMIFS(Prod_Prop!$J:$J,Prod_Prop!$B:$B,$Q23,Prod_Prop!$H:$H,AB23,Prod_Prop!$I:$I,AD$1)*IF(AB23="Peso",$R23,1))</f>
        <v/>
      </c>
    </row>
    <row r="24">
      <c r="A24" s="4" t="str">
        <f t="array" ref="A24">IF(COUNTIF(A$1:A23,Cotizador!F$2)=maxifs(Familias!E:E,Familias!D:D,Cotizador!F$2),IF(COUNTIF(A$1:A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" s="4" t="str">
        <f t="shared" si="1"/>
        <v/>
      </c>
      <c r="C24" s="4" t="str">
        <f t="array" ref="C24">IF(B24="","",IF(A24=XLOOKUP(A$2,Implementos!B:B,Implementos!C:C,"",0,1),B24+maxifs(B$1:B23,A$1:A23,A$2),B24))</f>
        <v/>
      </c>
      <c r="D24" s="4" t="str">
        <f>IF(B24="","", COUNTIFS(Productos!F:F,A24,Productos!H:H,B24)+IF(F24="SI",0,1))</f>
        <v/>
      </c>
      <c r="E24" s="4" t="str">
        <f>IFERROR(__xludf.DUMMYFUNCTION("IF($B24="""","""",INDEX(filter(Familias!F:F,Familias!$D:$D=$A24,Familias!$E:$E=$B24),1))"),"")</f>
        <v/>
      </c>
      <c r="F24" s="4" t="str">
        <f>IFERROR(__xludf.DUMMYFUNCTION("IF($B24="""","""",INDEX(filter(Familias!G:G,Familias!$D:$D=$A24,Familias!$E:$E=$B24),1))"),"")</f>
        <v/>
      </c>
      <c r="G24" s="4" t="str">
        <f t="array" ref="G24">IF(C24=1,XLOOKUP(C24,Cotizador!D:D,Cotizador!E:E,"",0,1),"")</f>
        <v/>
      </c>
      <c r="I24" s="4"/>
      <c r="J24" s="8" t="str">
        <f>IF(I24="","",SUMIF(Cotizador!I$1:V$1,I24,Cotizador!I$2:V$2))</f>
        <v/>
      </c>
      <c r="L24" s="4" t="str">
        <f t="array" ref="L24">IF(COUNTIF(L$1:L23,A$2)=SUMIF(A:A,A$2,D:D),IF(COUNTIF(L$1:L23,XLOOKUP(A$2,Implementos!B:B,Implementos!C:C,"",0,1))=SUMIF(A:A,XLOOKUP(A$2,Implementos!B:B,Implementos!C:C,"",0,1),D:D),"",XLOOKUP(A$2,Implementos!B:B,Implementos!C:C,"",0,1)),A$2)</f>
        <v>Acoplados Rurales</v>
      </c>
      <c r="M24" s="4">
        <f t="shared" si="2"/>
        <v>23</v>
      </c>
      <c r="N24" s="4">
        <f t="shared" si="3"/>
        <v>1</v>
      </c>
      <c r="O24" s="4">
        <f t="shared" si="4"/>
        <v>1</v>
      </c>
      <c r="P24" s="4">
        <f t="shared" si="5"/>
        <v>23</v>
      </c>
      <c r="Q24" s="4">
        <f>IF(U24="","",SUMIF(Productos!E:E,U24,Productos!A:A))</f>
        <v>126</v>
      </c>
      <c r="R24" s="4">
        <f t="array" ref="R24">IF(L24="","", max(1,SUMIF(I:I,XLOOKUP(U24,Productos!E:E,Productos!G:G,"",0,1),J:J)))</f>
        <v>1</v>
      </c>
      <c r="S24" s="4" t="str">
        <f>IF(Q24="","",IF(SUMIFS(Compat_Vetado!D:D,Compat_Vetado!B:B,SUM(G:G),Compat_Vetado!C:C,Q24)=1,"SI",IF(OR(SUMIF(Cotizador!E:E,Q24,Cotizador!G:G)&gt;0,SUMIFS(Compat_Vetado!D:D,Compat_Vetado!B:B,SUM(G:G),Compat_Vetado!C:C,Q24)=-1),"NO","")))</f>
        <v/>
      </c>
      <c r="T24" s="4" t="str">
        <f t="shared" si="6"/>
        <v>x</v>
      </c>
      <c r="U24" s="4" t="str">
        <f>IFERROR(__xludf.DUMMYFUNCTION("IF(P24="""","""",IFERROR(INDEX(filter(Productos!E:E,Productos!F:F=L24,Productos!H:H=N24),P24),IF(M24=SUM(D:D),""Finalizar"",""-"")))"),"Plataforma Playo 3.00 x 1.90 x 0.45 Lateral Simple Baranda Fija")</f>
        <v>Plataforma Playo 3.00 x 1.90 x 0.45 Lateral Simple Baranda Fija</v>
      </c>
      <c r="V24" s="4" t="str">
        <f>IFERROR(__xludf.DUMMYFUNCTION("IF(OR($U24="""",COUNTIF($I:$I,IFERROR(unique(filter(Prod_Prop!$H:$H,Prod_Prop!$G:$G=$U24,Prod_Prop!$E:$E=V$1)),""Check""))=0),"""",IFERROR(unique(filter(Prod_Prop!$H:$H,Prod_Prop!$G:$G=$U24,Prod_Prop!$E:$E=V$1)),""""))"),"")</f>
        <v/>
      </c>
      <c r="W24" s="4" t="str">
        <f>IF(V24="","",SUMIFS(Prod_Prop!$J:$J,Prod_Prop!$B:$B,$Q24,Prod_Prop!$H:$H,V24,Prod_Prop!$I:$I,W$1)*IF(V24="Peso",$R24,1))</f>
        <v/>
      </c>
      <c r="X24" s="4" t="str">
        <f>IF(V24="","",SUMIFS(Prod_Prop!$J:$J,Prod_Prop!$B:$B,$Q24,Prod_Prop!$H:$H,V24,Prod_Prop!$I:$I,X$1)*IF(V24="Peso",$R24,1))</f>
        <v/>
      </c>
      <c r="Y24" s="4" t="str">
        <f>IFERROR(__xludf.DUMMYFUNCTION("IF(OR($U24="""",COUNTIF($I:$I,IFERROR(unique(filter(Prod_Prop!$H:$H,Prod_Prop!$G:$G=$U24,Prod_Prop!$E:$E=Y$1)),""Check""))=0),"""",IFERROR(unique(filter(Prod_Prop!$H:$H,Prod_Prop!$G:$G=$U24,Prod_Prop!$E:$E=Y$1)),""""))"),"")</f>
        <v/>
      </c>
      <c r="Z24" s="4" t="str">
        <f>IF(Y24="","",SUMIFS(Prod_Prop!$J:$J,Prod_Prop!$B:$B,$Q24,Prod_Prop!$H:$H,Y24,Prod_Prop!$I:$I,Z$1)*IF(Y24="Peso",$R24,1))</f>
        <v/>
      </c>
      <c r="AA24" s="4" t="str">
        <f>IF(Y24="","",SUMIFS(Prod_Prop!$J:$J,Prod_Prop!$B:$B,$Q24,Prod_Prop!$H:$H,Y24,Prod_Prop!$I:$I,AA$1)*IF(Y24="Peso",$R24,1))</f>
        <v/>
      </c>
      <c r="AB24" s="4" t="str">
        <f>IFERROR(__xludf.DUMMYFUNCTION("IF(OR($U24="""",COUNTIF($I:$I,IFERROR(unique(filter(Prod_Prop!$H:$H,Prod_Prop!$G:$G=$U24,Prod_Prop!$E:$E=AB$1)),""Check""))=0),"""",IFERROR(unique(filter(Prod_Prop!$H:$H,Prod_Prop!$G:$G=$U24,Prod_Prop!$E:$E=AB$1)),""""))"),"")</f>
        <v/>
      </c>
      <c r="AC24" s="4" t="str">
        <f>IF(AB24="","",SUMIFS(Prod_Prop!$J:$J,Prod_Prop!$B:$B,$Q24,Prod_Prop!$H:$H,AB24,Prod_Prop!$I:$I,AC$1)*IF(AB24="Peso",$R24,1))</f>
        <v/>
      </c>
      <c r="AD24" s="4" t="str">
        <f>IF(AB24="","",SUMIFS(Prod_Prop!$J:$J,Prod_Prop!$B:$B,$Q24,Prod_Prop!$H:$H,AB24,Prod_Prop!$I:$I,AD$1)*IF(AB24="Peso",$R24,1))</f>
        <v/>
      </c>
    </row>
    <row r="25">
      <c r="A25" s="4" t="str">
        <f t="array" ref="A25">IF(COUNTIF(A$1:A24,Cotizador!F$2)=maxifs(Familias!E:E,Familias!D:D,Cotizador!F$2),IF(COUNTIF(A$1:A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" s="4" t="str">
        <f t="shared" si="1"/>
        <v/>
      </c>
      <c r="C25" s="4" t="str">
        <f t="array" ref="C25">IF(B25="","",IF(A25=XLOOKUP(A$2,Implementos!B:B,Implementos!C:C,"",0,1),B25+maxifs(B$1:B24,A$1:A24,A$2),B25))</f>
        <v/>
      </c>
      <c r="D25" s="4" t="str">
        <f>IF(B25="","", COUNTIFS(Productos!F:F,A25,Productos!H:H,B25)+IF(F25="SI",0,1))</f>
        <v/>
      </c>
      <c r="E25" s="4" t="str">
        <f>IFERROR(__xludf.DUMMYFUNCTION("IF($B25="""","""",INDEX(filter(Familias!F:F,Familias!$D:$D=$A25,Familias!$E:$E=$B25),1))"),"")</f>
        <v/>
      </c>
      <c r="F25" s="4" t="str">
        <f>IFERROR(__xludf.DUMMYFUNCTION("IF($B25="""","""",INDEX(filter(Familias!G:G,Familias!$D:$D=$A25,Familias!$E:$E=$B25),1))"),"")</f>
        <v/>
      </c>
      <c r="G25" s="4" t="str">
        <f t="array" ref="G25">IF(C25=1,XLOOKUP(C25,Cotizador!D:D,Cotizador!E:E,"",0,1),"")</f>
        <v/>
      </c>
      <c r="I25" s="4"/>
      <c r="J25" s="8" t="str">
        <f>IF(I25="","",SUMIF(Cotizador!I$1:V$1,I25,Cotizador!I$2:V$2))</f>
        <v/>
      </c>
      <c r="L25" s="4" t="str">
        <f t="array" ref="L25">IF(COUNTIF(L$1:L24,A$2)=SUMIF(A:A,A$2,D:D),IF(COUNTIF(L$1:L24,XLOOKUP(A$2,Implementos!B:B,Implementos!C:C,"",0,1))=SUMIF(A:A,XLOOKUP(A$2,Implementos!B:B,Implementos!C:C,"",0,1),D:D),"",XLOOKUP(A$2,Implementos!B:B,Implementos!C:C,"",0,1)),A$2)</f>
        <v>Acoplados Rurales</v>
      </c>
      <c r="M25" s="4">
        <f t="shared" si="2"/>
        <v>24</v>
      </c>
      <c r="N25" s="4">
        <f t="shared" si="3"/>
        <v>1</v>
      </c>
      <c r="O25" s="4">
        <f t="shared" si="4"/>
        <v>1</v>
      </c>
      <c r="P25" s="4">
        <f t="shared" si="5"/>
        <v>24</v>
      </c>
      <c r="Q25" s="4">
        <f>IF(U25="","",SUMIF(Productos!E:E,U25,Productos!A:A))</f>
        <v>127</v>
      </c>
      <c r="R25" s="4">
        <f t="array" ref="R25">IF(L25="","", max(1,SUMIF(I:I,XLOOKUP(U25,Productos!E:E,Productos!G:G,"",0,1),J:J)))</f>
        <v>1</v>
      </c>
      <c r="S25" s="4" t="str">
        <f>IF(Q25="","",IF(SUMIFS(Compat_Vetado!D:D,Compat_Vetado!B:B,SUM(G:G),Compat_Vetado!C:C,Q25)=1,"SI",IF(OR(SUMIF(Cotizador!E:E,Q25,Cotizador!G:G)&gt;0,SUMIFS(Compat_Vetado!D:D,Compat_Vetado!B:B,SUM(G:G),Compat_Vetado!C:C,Q25)=-1),"NO","")))</f>
        <v/>
      </c>
      <c r="T25" s="4" t="str">
        <f t="shared" si="6"/>
        <v>x</v>
      </c>
      <c r="U25" s="4" t="str">
        <f>IFERROR(__xludf.DUMMYFUNCTION("IF(P25="""","""",IFERROR(INDEX(filter(Productos!E:E,Productos!F:F=L25,Productos!H:H=N25),P25),IF(M25=SUM(D:D),""Finalizar"",""-"")))"),"Plataforma Playo 3.00 x 1.90 x 0.45 Lateral Simple Baranda Ventilada")</f>
        <v>Plataforma Playo 3.00 x 1.90 x 0.45 Lateral Simple Baranda Ventilada</v>
      </c>
      <c r="V25" s="4" t="str">
        <f>IFERROR(__xludf.DUMMYFUNCTION("IF(OR($U25="""",COUNTIF($I:$I,IFERROR(unique(filter(Prod_Prop!$H:$H,Prod_Prop!$G:$G=$U25,Prod_Prop!$E:$E=V$1)),""Check""))=0),"""",IFERROR(unique(filter(Prod_Prop!$H:$H,Prod_Prop!$G:$G=$U25,Prod_Prop!$E:$E=V$1)),""""))"),"")</f>
        <v/>
      </c>
      <c r="W25" s="4" t="str">
        <f>IF(V25="","",SUMIFS(Prod_Prop!$J:$J,Prod_Prop!$B:$B,$Q25,Prod_Prop!$H:$H,V25,Prod_Prop!$I:$I,W$1)*IF(V25="Peso",$R25,1))</f>
        <v/>
      </c>
      <c r="X25" s="4" t="str">
        <f>IF(V25="","",SUMIFS(Prod_Prop!$J:$J,Prod_Prop!$B:$B,$Q25,Prod_Prop!$H:$H,V25,Prod_Prop!$I:$I,X$1)*IF(V25="Peso",$R25,1))</f>
        <v/>
      </c>
      <c r="Y25" s="4" t="str">
        <f>IFERROR(__xludf.DUMMYFUNCTION("IF(OR($U25="""",COUNTIF($I:$I,IFERROR(unique(filter(Prod_Prop!$H:$H,Prod_Prop!$G:$G=$U25,Prod_Prop!$E:$E=Y$1)),""Check""))=0),"""",IFERROR(unique(filter(Prod_Prop!$H:$H,Prod_Prop!$G:$G=$U25,Prod_Prop!$E:$E=Y$1)),""""))"),"")</f>
        <v/>
      </c>
      <c r="Z25" s="4" t="str">
        <f>IF(Y25="","",SUMIFS(Prod_Prop!$J:$J,Prod_Prop!$B:$B,$Q25,Prod_Prop!$H:$H,Y25,Prod_Prop!$I:$I,Z$1)*IF(Y25="Peso",$R25,1))</f>
        <v/>
      </c>
      <c r="AA25" s="4" t="str">
        <f>IF(Y25="","",SUMIFS(Prod_Prop!$J:$J,Prod_Prop!$B:$B,$Q25,Prod_Prop!$H:$H,Y25,Prod_Prop!$I:$I,AA$1)*IF(Y25="Peso",$R25,1))</f>
        <v/>
      </c>
      <c r="AB25" s="4" t="str">
        <f>IFERROR(__xludf.DUMMYFUNCTION("IF(OR($U25="""",COUNTIF($I:$I,IFERROR(unique(filter(Prod_Prop!$H:$H,Prod_Prop!$G:$G=$U25,Prod_Prop!$E:$E=AB$1)),""Check""))=0),"""",IFERROR(unique(filter(Prod_Prop!$H:$H,Prod_Prop!$G:$G=$U25,Prod_Prop!$E:$E=AB$1)),""""))"),"")</f>
        <v/>
      </c>
      <c r="AC25" s="4" t="str">
        <f>IF(AB25="","",SUMIFS(Prod_Prop!$J:$J,Prod_Prop!$B:$B,$Q25,Prod_Prop!$H:$H,AB25,Prod_Prop!$I:$I,AC$1)*IF(AB25="Peso",$R25,1))</f>
        <v/>
      </c>
      <c r="AD25" s="4" t="str">
        <f>IF(AB25="","",SUMIFS(Prod_Prop!$J:$J,Prod_Prop!$B:$B,$Q25,Prod_Prop!$H:$H,AB25,Prod_Prop!$I:$I,AD$1)*IF(AB25="Peso",$R25,1))</f>
        <v/>
      </c>
    </row>
    <row r="26">
      <c r="A26" s="4" t="str">
        <f t="array" ref="A26">IF(COUNTIF(A$1:A25,Cotizador!F$2)=maxifs(Familias!E:E,Familias!D:D,Cotizador!F$2),IF(COUNTIF(A$1:A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" s="4" t="str">
        <f t="shared" si="1"/>
        <v/>
      </c>
      <c r="C26" s="4" t="str">
        <f t="array" ref="C26">IF(B26="","",IF(A26=XLOOKUP(A$2,Implementos!B:B,Implementos!C:C,"",0,1),B26+maxifs(B$1:B25,A$1:A25,A$2),B26))</f>
        <v/>
      </c>
      <c r="D26" s="4" t="str">
        <f>IF(B26="","", COUNTIFS(Productos!F:F,A26,Productos!H:H,B26)+IF(F26="SI",0,1))</f>
        <v/>
      </c>
      <c r="E26" s="4" t="str">
        <f>IFERROR(__xludf.DUMMYFUNCTION("IF($B26="""","""",INDEX(filter(Familias!F:F,Familias!$D:$D=$A26,Familias!$E:$E=$B26),1))"),"")</f>
        <v/>
      </c>
      <c r="F26" s="4" t="str">
        <f>IFERROR(__xludf.DUMMYFUNCTION("IF($B26="""","""",INDEX(filter(Familias!G:G,Familias!$D:$D=$A26,Familias!$E:$E=$B26),1))"),"")</f>
        <v/>
      </c>
      <c r="G26" s="4" t="str">
        <f t="array" ref="G26">IF(C26=1,XLOOKUP(C26,Cotizador!D:D,Cotizador!E:E,"",0,1),"")</f>
        <v/>
      </c>
      <c r="I26" s="4"/>
      <c r="J26" s="8" t="str">
        <f>IF(I26="","",SUMIF(Cotizador!I$1:V$1,I26,Cotizador!I$2:V$2))</f>
        <v/>
      </c>
      <c r="L26" s="4" t="str">
        <f t="array" ref="L26">IF(COUNTIF(L$1:L25,A$2)=SUMIF(A:A,A$2,D:D),IF(COUNTIF(L$1:L25,XLOOKUP(A$2,Implementos!B:B,Implementos!C:C,"",0,1))=SUMIF(A:A,XLOOKUP(A$2,Implementos!B:B,Implementos!C:C,"",0,1),D:D),"",XLOOKUP(A$2,Implementos!B:B,Implementos!C:C,"",0,1)),A$2)</f>
        <v>Acoplados Rurales</v>
      </c>
      <c r="M26" s="4">
        <f t="shared" si="2"/>
        <v>25</v>
      </c>
      <c r="N26" s="4">
        <f t="shared" si="3"/>
        <v>1</v>
      </c>
      <c r="O26" s="4">
        <f t="shared" si="4"/>
        <v>1</v>
      </c>
      <c r="P26" s="4">
        <f t="shared" si="5"/>
        <v>25</v>
      </c>
      <c r="Q26" s="4">
        <f>IF(U26="","",SUMIF(Productos!E:E,U26,Productos!A:A))</f>
        <v>128</v>
      </c>
      <c r="R26" s="4">
        <f t="array" ref="R26">IF(L26="","", max(1,SUMIF(I:I,XLOOKUP(U26,Productos!E:E,Productos!G:G,"",0,1),J:J)))</f>
        <v>1</v>
      </c>
      <c r="S26" s="4" t="str">
        <f>IF(Q26="","",IF(SUMIFS(Compat_Vetado!D:D,Compat_Vetado!B:B,SUM(G:G),Compat_Vetado!C:C,Q26)=1,"SI",IF(OR(SUMIF(Cotizador!E:E,Q26,Cotizador!G:G)&gt;0,SUMIFS(Compat_Vetado!D:D,Compat_Vetado!B:B,SUM(G:G),Compat_Vetado!C:C,Q26)=-1),"NO","")))</f>
        <v/>
      </c>
      <c r="T26" s="4" t="str">
        <f t="shared" si="6"/>
        <v>x</v>
      </c>
      <c r="U26" s="4" t="str">
        <f>IFERROR(__xludf.DUMMYFUNCTION("IF(P26="""","""",IFERROR(INDEX(filter(Productos!E:E,Productos!F:F=L26,Productos!H:H=N26),P26),IF(M26=SUM(D:D),""Finalizar"",""-"")))"),"Plataforma Playo 2.00 x 1.90 x 0.45 Lateral Simple Baranda Fija")</f>
        <v>Plataforma Playo 2.00 x 1.90 x 0.45 Lateral Simple Baranda Fija</v>
      </c>
      <c r="V26" s="4" t="str">
        <f>IFERROR(__xludf.DUMMYFUNCTION("IF(OR($U26="""",COUNTIF($I:$I,IFERROR(unique(filter(Prod_Prop!$H:$H,Prod_Prop!$G:$G=$U26,Prod_Prop!$E:$E=V$1)),""Check""))=0),"""",IFERROR(unique(filter(Prod_Prop!$H:$H,Prod_Prop!$G:$G=$U26,Prod_Prop!$E:$E=V$1)),""""))"),"")</f>
        <v/>
      </c>
      <c r="W26" s="4" t="str">
        <f>IF(V26="","",SUMIFS(Prod_Prop!$J:$J,Prod_Prop!$B:$B,$Q26,Prod_Prop!$H:$H,V26,Prod_Prop!$I:$I,W$1)*IF(V26="Peso",$R26,1))</f>
        <v/>
      </c>
      <c r="X26" s="4" t="str">
        <f>IF(V26="","",SUMIFS(Prod_Prop!$J:$J,Prod_Prop!$B:$B,$Q26,Prod_Prop!$H:$H,V26,Prod_Prop!$I:$I,X$1)*IF(V26="Peso",$R26,1))</f>
        <v/>
      </c>
      <c r="Y26" s="4" t="str">
        <f>IFERROR(__xludf.DUMMYFUNCTION("IF(OR($U26="""",COUNTIF($I:$I,IFERROR(unique(filter(Prod_Prop!$H:$H,Prod_Prop!$G:$G=$U26,Prod_Prop!$E:$E=Y$1)),""Check""))=0),"""",IFERROR(unique(filter(Prod_Prop!$H:$H,Prod_Prop!$G:$G=$U26,Prod_Prop!$E:$E=Y$1)),""""))"),"")</f>
        <v/>
      </c>
      <c r="Z26" s="4" t="str">
        <f>IF(Y26="","",SUMIFS(Prod_Prop!$J:$J,Prod_Prop!$B:$B,$Q26,Prod_Prop!$H:$H,Y26,Prod_Prop!$I:$I,Z$1)*IF(Y26="Peso",$R26,1))</f>
        <v/>
      </c>
      <c r="AA26" s="4" t="str">
        <f>IF(Y26="","",SUMIFS(Prod_Prop!$J:$J,Prod_Prop!$B:$B,$Q26,Prod_Prop!$H:$H,Y26,Prod_Prop!$I:$I,AA$1)*IF(Y26="Peso",$R26,1))</f>
        <v/>
      </c>
      <c r="AB26" s="4" t="str">
        <f>IFERROR(__xludf.DUMMYFUNCTION("IF(OR($U26="""",COUNTIF($I:$I,IFERROR(unique(filter(Prod_Prop!$H:$H,Prod_Prop!$G:$G=$U26,Prod_Prop!$E:$E=AB$1)),""Check""))=0),"""",IFERROR(unique(filter(Prod_Prop!$H:$H,Prod_Prop!$G:$G=$U26,Prod_Prop!$E:$E=AB$1)),""""))"),"")</f>
        <v/>
      </c>
      <c r="AC26" s="4" t="str">
        <f>IF(AB26="","",SUMIFS(Prod_Prop!$J:$J,Prod_Prop!$B:$B,$Q26,Prod_Prop!$H:$H,AB26,Prod_Prop!$I:$I,AC$1)*IF(AB26="Peso",$R26,1))</f>
        <v/>
      </c>
      <c r="AD26" s="4" t="str">
        <f>IF(AB26="","",SUMIFS(Prod_Prop!$J:$J,Prod_Prop!$B:$B,$Q26,Prod_Prop!$H:$H,AB26,Prod_Prop!$I:$I,AD$1)*IF(AB26="Peso",$R26,1))</f>
        <v/>
      </c>
    </row>
    <row r="27">
      <c r="A27" s="4" t="str">
        <f t="array" ref="A27">IF(COUNTIF(A$1:A26,Cotizador!F$2)=maxifs(Familias!E:E,Familias!D:D,Cotizador!F$2),IF(COUNTIF(A$1:A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" s="4" t="str">
        <f t="shared" si="1"/>
        <v/>
      </c>
      <c r="C27" s="4" t="str">
        <f t="array" ref="C27">IF(B27="","",IF(A27=XLOOKUP(A$2,Implementos!B:B,Implementos!C:C,"",0,1),B27+maxifs(B$1:B26,A$1:A26,A$2),B27))</f>
        <v/>
      </c>
      <c r="D27" s="4" t="str">
        <f>IF(B27="","", COUNTIFS(Productos!F:F,A27,Productos!H:H,B27)+IF(F27="SI",0,1))</f>
        <v/>
      </c>
      <c r="E27" s="4" t="str">
        <f>IFERROR(__xludf.DUMMYFUNCTION("IF($B27="""","""",INDEX(filter(Familias!F:F,Familias!$D:$D=$A27,Familias!$E:$E=$B27),1))"),"")</f>
        <v/>
      </c>
      <c r="F27" s="4" t="str">
        <f>IFERROR(__xludf.DUMMYFUNCTION("IF($B27="""","""",INDEX(filter(Familias!G:G,Familias!$D:$D=$A27,Familias!$E:$E=$B27),1))"),"")</f>
        <v/>
      </c>
      <c r="G27" s="4" t="str">
        <f t="array" ref="G27">IF(C27=1,XLOOKUP(C27,Cotizador!D:D,Cotizador!E:E,"",0,1),"")</f>
        <v/>
      </c>
      <c r="I27" s="4"/>
      <c r="J27" s="8" t="str">
        <f>IF(I27="","",SUMIF(Cotizador!I$1:V$1,I27,Cotizador!I$2:V$2))</f>
        <v/>
      </c>
      <c r="L27" s="4" t="str">
        <f t="array" ref="L27">IF(COUNTIF(L$1:L26,A$2)=SUMIF(A:A,A$2,D:D),IF(COUNTIF(L$1:L26,XLOOKUP(A$2,Implementos!B:B,Implementos!C:C,"",0,1))=SUMIF(A:A,XLOOKUP(A$2,Implementos!B:B,Implementos!C:C,"",0,1),D:D),"",XLOOKUP(A$2,Implementos!B:B,Implementos!C:C,"",0,1)),A$2)</f>
        <v>Acoplados Rurales</v>
      </c>
      <c r="M27" s="4">
        <f t="shared" si="2"/>
        <v>26</v>
      </c>
      <c r="N27" s="4">
        <f t="shared" si="3"/>
        <v>1</v>
      </c>
      <c r="O27" s="4">
        <f t="shared" si="4"/>
        <v>1</v>
      </c>
      <c r="P27" s="4">
        <f t="shared" si="5"/>
        <v>26</v>
      </c>
      <c r="Q27" s="4">
        <f>IF(U27="","",SUMIF(Productos!E:E,U27,Productos!A:A))</f>
        <v>129</v>
      </c>
      <c r="R27" s="4">
        <f t="array" ref="R27">IF(L27="","", max(1,SUMIF(I:I,XLOOKUP(U27,Productos!E:E,Productos!G:G,"",0,1),J:J)))</f>
        <v>1</v>
      </c>
      <c r="S27" s="4" t="str">
        <f>IF(Q27="","",IF(SUMIFS(Compat_Vetado!D:D,Compat_Vetado!B:B,SUM(G:G),Compat_Vetado!C:C,Q27)=1,"SI",IF(OR(SUMIF(Cotizador!E:E,Q27,Cotizador!G:G)&gt;0,SUMIFS(Compat_Vetado!D:D,Compat_Vetado!B:B,SUM(G:G),Compat_Vetado!C:C,Q27)=-1),"NO","")))</f>
        <v/>
      </c>
      <c r="T27" s="4" t="str">
        <f t="shared" si="6"/>
        <v>x</v>
      </c>
      <c r="U27" s="4" t="str">
        <f>IFERROR(__xludf.DUMMYFUNCTION("IF(P27="""","""",IFERROR(INDEX(filter(Productos!E:E,Productos!F:F=L27,Productos!H:H=N27),P27),IF(M27=SUM(D:D),""Finalizar"",""-"")))"),"Plataforma Playo 5.00 x 1.90 x 0.60 Lateral Doble Baranda Fija")</f>
        <v>Plataforma Playo 5.00 x 1.90 x 0.60 Lateral Doble Baranda Fija</v>
      </c>
      <c r="V27" s="4" t="str">
        <f>IFERROR(__xludf.DUMMYFUNCTION("IF(OR($U27="""",COUNTIF($I:$I,IFERROR(unique(filter(Prod_Prop!$H:$H,Prod_Prop!$G:$G=$U27,Prod_Prop!$E:$E=V$1)),""Check""))=0),"""",IFERROR(unique(filter(Prod_Prop!$H:$H,Prod_Prop!$G:$G=$U27,Prod_Prop!$E:$E=V$1)),""""))"),"")</f>
        <v/>
      </c>
      <c r="W27" s="4" t="str">
        <f>IF(V27="","",SUMIFS(Prod_Prop!$J:$J,Prod_Prop!$B:$B,$Q27,Prod_Prop!$H:$H,V27,Prod_Prop!$I:$I,W$1)*IF(V27="Peso",$R27,1))</f>
        <v/>
      </c>
      <c r="X27" s="4" t="str">
        <f>IF(V27="","",SUMIFS(Prod_Prop!$J:$J,Prod_Prop!$B:$B,$Q27,Prod_Prop!$H:$H,V27,Prod_Prop!$I:$I,X$1)*IF(V27="Peso",$R27,1))</f>
        <v/>
      </c>
      <c r="Y27" s="4" t="str">
        <f>IFERROR(__xludf.DUMMYFUNCTION("IF(OR($U27="""",COUNTIF($I:$I,IFERROR(unique(filter(Prod_Prop!$H:$H,Prod_Prop!$G:$G=$U27,Prod_Prop!$E:$E=Y$1)),""Check""))=0),"""",IFERROR(unique(filter(Prod_Prop!$H:$H,Prod_Prop!$G:$G=$U27,Prod_Prop!$E:$E=Y$1)),""""))"),"")</f>
        <v/>
      </c>
      <c r="Z27" s="4" t="str">
        <f>IF(Y27="","",SUMIFS(Prod_Prop!$J:$J,Prod_Prop!$B:$B,$Q27,Prod_Prop!$H:$H,Y27,Prod_Prop!$I:$I,Z$1)*IF(Y27="Peso",$R27,1))</f>
        <v/>
      </c>
      <c r="AA27" s="4" t="str">
        <f>IF(Y27="","",SUMIFS(Prod_Prop!$J:$J,Prod_Prop!$B:$B,$Q27,Prod_Prop!$H:$H,Y27,Prod_Prop!$I:$I,AA$1)*IF(Y27="Peso",$R27,1))</f>
        <v/>
      </c>
      <c r="AB27" s="4" t="str">
        <f>IFERROR(__xludf.DUMMYFUNCTION("IF(OR($U27="""",COUNTIF($I:$I,IFERROR(unique(filter(Prod_Prop!$H:$H,Prod_Prop!$G:$G=$U27,Prod_Prop!$E:$E=AB$1)),""Check""))=0),"""",IFERROR(unique(filter(Prod_Prop!$H:$H,Prod_Prop!$G:$G=$U27,Prod_Prop!$E:$E=AB$1)),""""))"),"")</f>
        <v/>
      </c>
      <c r="AC27" s="4" t="str">
        <f>IF(AB27="","",SUMIFS(Prod_Prop!$J:$J,Prod_Prop!$B:$B,$Q27,Prod_Prop!$H:$H,AB27,Prod_Prop!$I:$I,AC$1)*IF(AB27="Peso",$R27,1))</f>
        <v/>
      </c>
      <c r="AD27" s="4" t="str">
        <f>IF(AB27="","",SUMIFS(Prod_Prop!$J:$J,Prod_Prop!$B:$B,$Q27,Prod_Prop!$H:$H,AB27,Prod_Prop!$I:$I,AD$1)*IF(AB27="Peso",$R27,1))</f>
        <v/>
      </c>
    </row>
    <row r="28">
      <c r="A28" s="4" t="str">
        <f t="array" ref="A28">IF(COUNTIF(A$1:A27,Cotizador!F$2)=maxifs(Familias!E:E,Familias!D:D,Cotizador!F$2),IF(COUNTIF(A$1:A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" s="4" t="str">
        <f t="shared" si="1"/>
        <v/>
      </c>
      <c r="C28" s="4" t="str">
        <f t="array" ref="C28">IF(B28="","",IF(A28=XLOOKUP(A$2,Implementos!B:B,Implementos!C:C,"",0,1),B28+maxifs(B$1:B27,A$1:A27,A$2),B28))</f>
        <v/>
      </c>
      <c r="D28" s="4" t="str">
        <f>IF(B28="","", COUNTIFS(Productos!F:F,A28,Productos!H:H,B28)+IF(F28="SI",0,1))</f>
        <v/>
      </c>
      <c r="E28" s="4" t="str">
        <f>IFERROR(__xludf.DUMMYFUNCTION("IF($B28="""","""",INDEX(filter(Familias!F:F,Familias!$D:$D=$A28,Familias!$E:$E=$B28),1))"),"")</f>
        <v/>
      </c>
      <c r="F28" s="4" t="str">
        <f>IFERROR(__xludf.DUMMYFUNCTION("IF($B28="""","""",INDEX(filter(Familias!G:G,Familias!$D:$D=$A28,Familias!$E:$E=$B28),1))"),"")</f>
        <v/>
      </c>
      <c r="G28" s="4" t="str">
        <f t="array" ref="G28">IF(C28=1,XLOOKUP(C28,Cotizador!D:D,Cotizador!E:E,"",0,1),"")</f>
        <v/>
      </c>
      <c r="I28" s="4"/>
      <c r="J28" s="8" t="str">
        <f>IF(I28="","",SUMIF(Cotizador!I$1:V$1,I28,Cotizador!I$2:V$2))</f>
        <v/>
      </c>
      <c r="L28" s="4" t="str">
        <f t="array" ref="L28">IF(COUNTIF(L$1:L27,A$2)=SUMIF(A:A,A$2,D:D),IF(COUNTIF(L$1:L27,XLOOKUP(A$2,Implementos!B:B,Implementos!C:C,"",0,1))=SUMIF(A:A,XLOOKUP(A$2,Implementos!B:B,Implementos!C:C,"",0,1),D:D),"",XLOOKUP(A$2,Implementos!B:B,Implementos!C:C,"",0,1)),A$2)</f>
        <v>Acoplados Rurales</v>
      </c>
      <c r="M28" s="4">
        <f t="shared" si="2"/>
        <v>27</v>
      </c>
      <c r="N28" s="4">
        <f t="shared" si="3"/>
        <v>1</v>
      </c>
      <c r="O28" s="4">
        <f t="shared" si="4"/>
        <v>1</v>
      </c>
      <c r="P28" s="4">
        <f t="shared" si="5"/>
        <v>27</v>
      </c>
      <c r="Q28" s="4">
        <f>IF(U28="","",SUMIF(Productos!E:E,U28,Productos!A:A))</f>
        <v>130</v>
      </c>
      <c r="R28" s="4">
        <f t="array" ref="R28">IF(L28="","", max(1,SUMIF(I:I,XLOOKUP(U28,Productos!E:E,Productos!G:G,"",0,1),J:J)))</f>
        <v>1</v>
      </c>
      <c r="S28" s="4" t="str">
        <f>IF(Q28="","",IF(SUMIFS(Compat_Vetado!D:D,Compat_Vetado!B:B,SUM(G:G),Compat_Vetado!C:C,Q28)=1,"SI",IF(OR(SUMIF(Cotizador!E:E,Q28,Cotizador!G:G)&gt;0,SUMIFS(Compat_Vetado!D:D,Compat_Vetado!B:B,SUM(G:G),Compat_Vetado!C:C,Q28)=-1),"NO","")))</f>
        <v/>
      </c>
      <c r="T28" s="4" t="str">
        <f t="shared" si="6"/>
        <v>x</v>
      </c>
      <c r="U28" s="4" t="str">
        <f>IFERROR(__xludf.DUMMYFUNCTION("IF(P28="""","""",IFERROR(INDEX(filter(Productos!E:E,Productos!F:F=L28,Productos!H:H=N28),P28),IF(M28=SUM(D:D),""Finalizar"",""-"")))"),"Plataforma Playo 6.40 x 2.70 x 0.72 Lateral Doble Baranda Fija")</f>
        <v>Plataforma Playo 6.40 x 2.70 x 0.72 Lateral Doble Baranda Fija</v>
      </c>
      <c r="V28" s="4" t="str">
        <f>IFERROR(__xludf.DUMMYFUNCTION("IF(OR($U28="""",COUNTIF($I:$I,IFERROR(unique(filter(Prod_Prop!$H:$H,Prod_Prop!$G:$G=$U28,Prod_Prop!$E:$E=V$1)),""Check""))=0),"""",IFERROR(unique(filter(Prod_Prop!$H:$H,Prod_Prop!$G:$G=$U28,Prod_Prop!$E:$E=V$1)),""""))"),"")</f>
        <v/>
      </c>
      <c r="W28" s="4" t="str">
        <f>IF(V28="","",SUMIFS(Prod_Prop!$J:$J,Prod_Prop!$B:$B,$Q28,Prod_Prop!$H:$H,V28,Prod_Prop!$I:$I,W$1)*IF(V28="Peso",$R28,1))</f>
        <v/>
      </c>
      <c r="X28" s="4" t="str">
        <f>IF(V28="","",SUMIFS(Prod_Prop!$J:$J,Prod_Prop!$B:$B,$Q28,Prod_Prop!$H:$H,V28,Prod_Prop!$I:$I,X$1)*IF(V28="Peso",$R28,1))</f>
        <v/>
      </c>
      <c r="Y28" s="4" t="str">
        <f>IFERROR(__xludf.DUMMYFUNCTION("IF(OR($U28="""",COUNTIF($I:$I,IFERROR(unique(filter(Prod_Prop!$H:$H,Prod_Prop!$G:$G=$U28,Prod_Prop!$E:$E=Y$1)),""Check""))=0),"""",IFERROR(unique(filter(Prod_Prop!$H:$H,Prod_Prop!$G:$G=$U28,Prod_Prop!$E:$E=Y$1)),""""))"),"")</f>
        <v/>
      </c>
      <c r="Z28" s="4" t="str">
        <f>IF(Y28="","",SUMIFS(Prod_Prop!$J:$J,Prod_Prop!$B:$B,$Q28,Prod_Prop!$H:$H,Y28,Prod_Prop!$I:$I,Z$1)*IF(Y28="Peso",$R28,1))</f>
        <v/>
      </c>
      <c r="AA28" s="4" t="str">
        <f>IF(Y28="","",SUMIFS(Prod_Prop!$J:$J,Prod_Prop!$B:$B,$Q28,Prod_Prop!$H:$H,Y28,Prod_Prop!$I:$I,AA$1)*IF(Y28="Peso",$R28,1))</f>
        <v/>
      </c>
      <c r="AB28" s="4" t="str">
        <f>IFERROR(__xludf.DUMMYFUNCTION("IF(OR($U28="""",COUNTIF($I:$I,IFERROR(unique(filter(Prod_Prop!$H:$H,Prod_Prop!$G:$G=$U28,Prod_Prop!$E:$E=AB$1)),""Check""))=0),"""",IFERROR(unique(filter(Prod_Prop!$H:$H,Prod_Prop!$G:$G=$U28,Prod_Prop!$E:$E=AB$1)),""""))"),"")</f>
        <v/>
      </c>
      <c r="AC28" s="4" t="str">
        <f>IF(AB28="","",SUMIFS(Prod_Prop!$J:$J,Prod_Prop!$B:$B,$Q28,Prod_Prop!$H:$H,AB28,Prod_Prop!$I:$I,AC$1)*IF(AB28="Peso",$R28,1))</f>
        <v/>
      </c>
      <c r="AD28" s="4" t="str">
        <f>IF(AB28="","",SUMIFS(Prod_Prop!$J:$J,Prod_Prop!$B:$B,$Q28,Prod_Prop!$H:$H,AB28,Prod_Prop!$I:$I,AD$1)*IF(AB28="Peso",$R28,1))</f>
        <v/>
      </c>
    </row>
    <row r="29">
      <c r="A29" s="4" t="str">
        <f t="array" ref="A29">IF(COUNTIF(A$1:A28,Cotizador!F$2)=maxifs(Familias!E:E,Familias!D:D,Cotizador!F$2),IF(COUNTIF(A$1:A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" s="4" t="str">
        <f t="shared" si="1"/>
        <v/>
      </c>
      <c r="C29" s="4" t="str">
        <f t="array" ref="C29">IF(B29="","",IF(A29=XLOOKUP(A$2,Implementos!B:B,Implementos!C:C,"",0,1),B29+maxifs(B$1:B28,A$1:A28,A$2),B29))</f>
        <v/>
      </c>
      <c r="D29" s="4" t="str">
        <f>IF(B29="","", COUNTIFS(Productos!F:F,A29,Productos!H:H,B29)+IF(F29="SI",0,1))</f>
        <v/>
      </c>
      <c r="E29" s="4" t="str">
        <f>IFERROR(__xludf.DUMMYFUNCTION("IF($B29="""","""",INDEX(filter(Familias!F:F,Familias!$D:$D=$A29,Familias!$E:$E=$B29),1))"),"")</f>
        <v/>
      </c>
      <c r="F29" s="4" t="str">
        <f>IFERROR(__xludf.DUMMYFUNCTION("IF($B29="""","""",INDEX(filter(Familias!G:G,Familias!$D:$D=$A29,Familias!$E:$E=$B29),1))"),"")</f>
        <v/>
      </c>
      <c r="G29" s="4" t="str">
        <f t="array" ref="G29">IF(C29=1,XLOOKUP(C29,Cotizador!D:D,Cotizador!E:E,"",0,1),"")</f>
        <v/>
      </c>
      <c r="I29" s="4"/>
      <c r="J29" s="8" t="str">
        <f>IF(I29="","",SUMIF(Cotizador!I$1:V$1,I29,Cotizador!I$2:V$2))</f>
        <v/>
      </c>
      <c r="L29" s="4" t="str">
        <f t="array" ref="L29">IF(COUNTIF(L$1:L28,A$2)=SUMIF(A:A,A$2,D:D),IF(COUNTIF(L$1:L28,XLOOKUP(A$2,Implementos!B:B,Implementos!C:C,"",0,1))=SUMIF(A:A,XLOOKUP(A$2,Implementos!B:B,Implementos!C:C,"",0,1),D:D),"",XLOOKUP(A$2,Implementos!B:B,Implementos!C:C,"",0,1)),A$2)</f>
        <v>Acoplados Rurales</v>
      </c>
      <c r="M29" s="4">
        <f t="shared" si="2"/>
        <v>28</v>
      </c>
      <c r="N29" s="4">
        <f t="shared" si="3"/>
        <v>1</v>
      </c>
      <c r="O29" s="4">
        <f t="shared" si="4"/>
        <v>1</v>
      </c>
      <c r="P29" s="4">
        <f t="shared" si="5"/>
        <v>28</v>
      </c>
      <c r="Q29" s="4">
        <f>IF(U29="","",SUMIF(Productos!E:E,U29,Productos!A:A))</f>
        <v>0</v>
      </c>
      <c r="R29" s="4">
        <f t="array" ref="R29">IF(L29="","", max(1,SUMIF(I:I,XLOOKUP(U29,Productos!E:E,Productos!G:G,"",0,1),J:J)))</f>
        <v>1</v>
      </c>
      <c r="S29" s="4" t="str">
        <f>IF(Q29="","",IF(SUMIFS(Compat_Vetado!D:D,Compat_Vetado!B:B,SUM(G:G),Compat_Vetado!C:C,Q29)=1,"SI",IF(OR(SUMIF(Cotizador!E:E,Q29,Cotizador!G:G)&gt;0,SUMIFS(Compat_Vetado!D:D,Compat_Vetado!B:B,SUM(G:G),Compat_Vetado!C:C,Q29)=-1),"NO","")))</f>
        <v/>
      </c>
      <c r="T29" s="4" t="str">
        <f t="shared" si="6"/>
        <v>x</v>
      </c>
      <c r="U29" s="4" t="str">
        <f>IFERROR(__xludf.DUMMYFUNCTION("IF(P29="""","""",IFERROR(INDEX(filter(Productos!E:E,Productos!F:F=L29,Productos!H:H=N29),P29),IF(M29=SUM(D:D),""Finalizar"",""-"")))"),"-")</f>
        <v>-</v>
      </c>
      <c r="V29" s="4" t="str">
        <f>IFERROR(__xludf.DUMMYFUNCTION("IF(OR($U29="""",COUNTIF($I:$I,IFERROR(unique(filter(Prod_Prop!$H:$H,Prod_Prop!$G:$G=$U29,Prod_Prop!$E:$E=V$1)),""Check""))=0),"""",IFERROR(unique(filter(Prod_Prop!$H:$H,Prod_Prop!$G:$G=$U29,Prod_Prop!$E:$E=V$1)),""""))"),"")</f>
        <v/>
      </c>
      <c r="W29" s="4" t="str">
        <f>IF(V29="","",SUMIFS(Prod_Prop!$J:$J,Prod_Prop!$B:$B,$Q29,Prod_Prop!$H:$H,V29,Prod_Prop!$I:$I,W$1)*IF(V29="Peso",$R29,1))</f>
        <v/>
      </c>
      <c r="X29" s="4" t="str">
        <f>IF(V29="","",SUMIFS(Prod_Prop!$J:$J,Prod_Prop!$B:$B,$Q29,Prod_Prop!$H:$H,V29,Prod_Prop!$I:$I,X$1)*IF(V29="Peso",$R29,1))</f>
        <v/>
      </c>
      <c r="Y29" s="4" t="str">
        <f>IFERROR(__xludf.DUMMYFUNCTION("IF(OR($U29="""",COUNTIF($I:$I,IFERROR(unique(filter(Prod_Prop!$H:$H,Prod_Prop!$G:$G=$U29,Prod_Prop!$E:$E=Y$1)),""Check""))=0),"""",IFERROR(unique(filter(Prod_Prop!$H:$H,Prod_Prop!$G:$G=$U29,Prod_Prop!$E:$E=Y$1)),""""))"),"")</f>
        <v/>
      </c>
      <c r="Z29" s="4" t="str">
        <f>IF(Y29="","",SUMIFS(Prod_Prop!$J:$J,Prod_Prop!$B:$B,$Q29,Prod_Prop!$H:$H,Y29,Prod_Prop!$I:$I,Z$1)*IF(Y29="Peso",$R29,1))</f>
        <v/>
      </c>
      <c r="AA29" s="4" t="str">
        <f>IF(Y29="","",SUMIFS(Prod_Prop!$J:$J,Prod_Prop!$B:$B,$Q29,Prod_Prop!$H:$H,Y29,Prod_Prop!$I:$I,AA$1)*IF(Y29="Peso",$R29,1))</f>
        <v/>
      </c>
      <c r="AB29" s="4" t="str">
        <f>IFERROR(__xludf.DUMMYFUNCTION("IF(OR($U29="""",COUNTIF($I:$I,IFERROR(unique(filter(Prod_Prop!$H:$H,Prod_Prop!$G:$G=$U29,Prod_Prop!$E:$E=AB$1)),""Check""))=0),"""",IFERROR(unique(filter(Prod_Prop!$H:$H,Prod_Prop!$G:$G=$U29,Prod_Prop!$E:$E=AB$1)),""""))"),"")</f>
        <v/>
      </c>
      <c r="AC29" s="4" t="str">
        <f>IF(AB29="","",SUMIFS(Prod_Prop!$J:$J,Prod_Prop!$B:$B,$Q29,Prod_Prop!$H:$H,AB29,Prod_Prop!$I:$I,AC$1)*IF(AB29="Peso",$R29,1))</f>
        <v/>
      </c>
      <c r="AD29" s="4" t="str">
        <f>IF(AB29="","",SUMIFS(Prod_Prop!$J:$J,Prod_Prop!$B:$B,$Q29,Prod_Prop!$H:$H,AB29,Prod_Prop!$I:$I,AD$1)*IF(AB29="Peso",$R29,1))</f>
        <v/>
      </c>
    </row>
    <row r="30">
      <c r="A30" s="4" t="str">
        <f t="array" ref="A30">IF(COUNTIF(A$1:A29,Cotizador!F$2)=maxifs(Familias!E:E,Familias!D:D,Cotizador!F$2),IF(COUNTIF(A$1:A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" s="4" t="str">
        <f t="shared" si="1"/>
        <v/>
      </c>
      <c r="C30" s="4" t="str">
        <f t="array" ref="C30">IF(B30="","",IF(A30=XLOOKUP(A$2,Implementos!B:B,Implementos!C:C,"",0,1),B30+maxifs(B$1:B29,A$1:A29,A$2),B30))</f>
        <v/>
      </c>
      <c r="D30" s="4" t="str">
        <f>IF(B30="","", COUNTIFS(Productos!F:F,A30,Productos!H:H,B30)+IF(F30="SI",0,1))</f>
        <v/>
      </c>
      <c r="E30" s="4" t="str">
        <f>IFERROR(__xludf.DUMMYFUNCTION("IF($B30="""","""",INDEX(filter(Familias!F:F,Familias!$D:$D=$A30,Familias!$E:$E=$B30),1))"),"")</f>
        <v/>
      </c>
      <c r="F30" s="4" t="str">
        <f>IFERROR(__xludf.DUMMYFUNCTION("IF($B30="""","""",INDEX(filter(Familias!G:G,Familias!$D:$D=$A30,Familias!$E:$E=$B30),1))"),"")</f>
        <v/>
      </c>
      <c r="G30" s="4" t="str">
        <f t="array" ref="G30">IF(C30=1,XLOOKUP(C30,Cotizador!D:D,Cotizador!E:E,"",0,1),"")</f>
        <v/>
      </c>
      <c r="I30" s="4"/>
      <c r="J30" s="8" t="str">
        <f>IF(I30="","",SUMIF(Cotizador!I$1:V$1,I30,Cotizador!I$2:V$2))</f>
        <v/>
      </c>
      <c r="L30" s="4" t="str">
        <f t="array" ref="L30">IF(COUNTIF(L$1:L29,A$2)=SUMIF(A:A,A$2,D:D),IF(COUNTIF(L$1:L29,XLOOKUP(A$2,Implementos!B:B,Implementos!C:C,"",0,1))=SUMIF(A:A,XLOOKUP(A$2,Implementos!B:B,Implementos!C:C,"",0,1),D:D),"",XLOOKUP(A$2,Implementos!B:B,Implementos!C:C,"",0,1)),A$2)</f>
        <v>Acoplados Rurales</v>
      </c>
      <c r="M30" s="4">
        <f t="shared" si="2"/>
        <v>29</v>
      </c>
      <c r="N30" s="4">
        <f t="shared" si="3"/>
        <v>2</v>
      </c>
      <c r="O30" s="4">
        <f t="shared" si="4"/>
        <v>2</v>
      </c>
      <c r="P30" s="4">
        <f t="shared" si="5"/>
        <v>1</v>
      </c>
      <c r="Q30" s="4">
        <f>IF(U30="","",SUMIF(Productos!E:E,U30,Productos!A:A))</f>
        <v>57</v>
      </c>
      <c r="R30" s="4">
        <f t="array" ref="R30">IF(L30="","", max(1,SUMIF(I:I,XLOOKUP(U30,Productos!E:E,Productos!G:G,"",0,1),J:J)))</f>
        <v>1</v>
      </c>
      <c r="S30" s="4" t="str">
        <f>IF(Q30="","",IF(SUMIFS(Compat_Vetado!D:D,Compat_Vetado!B:B,SUM(G:G),Compat_Vetado!C:C,Q30)=1,"SI",IF(OR(SUMIF(Cotizador!E:E,Q30,Cotizador!G:G)&gt;0,SUMIFS(Compat_Vetado!D:D,Compat_Vetado!B:B,SUM(G:G),Compat_Vetado!C:C,Q30)=-1),"NO","")))</f>
        <v>NO</v>
      </c>
      <c r="T30" s="4" t="str">
        <f t="shared" si="6"/>
        <v/>
      </c>
      <c r="U30" s="4" t="str">
        <f>IFERROR(__xludf.DUMMYFUNCTION("IF(P30="""","""",IFERROR(INDEX(filter(Productos!E:E,Productos!F:F=L30,Productos!H:H=N30),P30),IF(M30=SUM(D:D),""Finalizar"",""-"")))"),"Baulera Standard - 750")</f>
        <v>Baulera Standard - 750</v>
      </c>
      <c r="V30" s="4" t="str">
        <f>IFERROR(__xludf.DUMMYFUNCTION("IF(OR($U30="""",COUNTIF($I:$I,IFERROR(unique(filter(Prod_Prop!$H:$H,Prod_Prop!$G:$G=$U30,Prod_Prop!$E:$E=V$1)),""Check""))=0),"""",IFERROR(unique(filter(Prod_Prop!$H:$H,Prod_Prop!$G:$G=$U30,Prod_Prop!$E:$E=V$1)),""""))"),"")</f>
        <v/>
      </c>
      <c r="W30" s="4" t="str">
        <f>IF(V30="","",SUMIFS(Prod_Prop!$J:$J,Prod_Prop!$B:$B,$Q30,Prod_Prop!$H:$H,V30,Prod_Prop!$I:$I,W$1)*IF(V30="Peso",$R30,1))</f>
        <v/>
      </c>
      <c r="X30" s="4" t="str">
        <f>IF(V30="","",SUMIFS(Prod_Prop!$J:$J,Prod_Prop!$B:$B,$Q30,Prod_Prop!$H:$H,V30,Prod_Prop!$I:$I,X$1)*IF(V30="Peso",$R30,1))</f>
        <v/>
      </c>
      <c r="Y30" s="4" t="str">
        <f>IFERROR(__xludf.DUMMYFUNCTION("IF(OR($U30="""",COUNTIF($I:$I,IFERROR(unique(filter(Prod_Prop!$H:$H,Prod_Prop!$G:$G=$U30,Prod_Prop!$E:$E=Y$1)),""Check""))=0),"""",IFERROR(unique(filter(Prod_Prop!$H:$H,Prod_Prop!$G:$G=$U30,Prod_Prop!$E:$E=Y$1)),""""))"),"")</f>
        <v/>
      </c>
      <c r="Z30" s="4" t="str">
        <f>IF(Y30="","",SUMIFS(Prod_Prop!$J:$J,Prod_Prop!$B:$B,$Q30,Prod_Prop!$H:$H,Y30,Prod_Prop!$I:$I,Z$1)*IF(Y30="Peso",$R30,1))</f>
        <v/>
      </c>
      <c r="AA30" s="4" t="str">
        <f>IF(Y30="","",SUMIFS(Prod_Prop!$J:$J,Prod_Prop!$B:$B,$Q30,Prod_Prop!$H:$H,Y30,Prod_Prop!$I:$I,AA$1)*IF(Y30="Peso",$R30,1))</f>
        <v/>
      </c>
      <c r="AB30" s="4" t="str">
        <f>IFERROR(__xludf.DUMMYFUNCTION("IF(OR($U30="""",COUNTIF($I:$I,IFERROR(unique(filter(Prod_Prop!$H:$H,Prod_Prop!$G:$G=$U30,Prod_Prop!$E:$E=AB$1)),""Check""))=0),"""",IFERROR(unique(filter(Prod_Prop!$H:$H,Prod_Prop!$G:$G=$U30,Prod_Prop!$E:$E=AB$1)),""""))"),"")</f>
        <v/>
      </c>
      <c r="AC30" s="4" t="str">
        <f>IF(AB30="","",SUMIFS(Prod_Prop!$J:$J,Prod_Prop!$B:$B,$Q30,Prod_Prop!$H:$H,AB30,Prod_Prop!$I:$I,AC$1)*IF(AB30="Peso",$R30,1))</f>
        <v/>
      </c>
      <c r="AD30" s="4" t="str">
        <f>IF(AB30="","",SUMIFS(Prod_Prop!$J:$J,Prod_Prop!$B:$B,$Q30,Prod_Prop!$H:$H,AB30,Prod_Prop!$I:$I,AD$1)*IF(AB30="Peso",$R30,1))</f>
        <v/>
      </c>
    </row>
    <row r="31">
      <c r="A31" s="4" t="str">
        <f t="array" ref="A31">IF(COUNTIF(A$1:A30,Cotizador!F$2)=maxifs(Familias!E:E,Familias!D:D,Cotizador!F$2),IF(COUNTIF(A$1:A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" s="4" t="str">
        <f t="shared" si="1"/>
        <v/>
      </c>
      <c r="C31" s="4" t="str">
        <f t="array" ref="C31">IF(B31="","",IF(A31=XLOOKUP(A$2,Implementos!B:B,Implementos!C:C,"",0,1),B31+maxifs(B$1:B30,A$1:A30,A$2),B31))</f>
        <v/>
      </c>
      <c r="D31" s="4" t="str">
        <f>IF(B31="","", COUNTIFS(Productos!F:F,A31,Productos!H:H,B31)+IF(F31="SI",0,1))</f>
        <v/>
      </c>
      <c r="E31" s="4" t="str">
        <f>IFERROR(__xludf.DUMMYFUNCTION("IF($B31="""","""",INDEX(filter(Familias!F:F,Familias!$D:$D=$A31,Familias!$E:$E=$B31),1))"),"")</f>
        <v/>
      </c>
      <c r="F31" s="4" t="str">
        <f>IFERROR(__xludf.DUMMYFUNCTION("IF($B31="""","""",INDEX(filter(Familias!G:G,Familias!$D:$D=$A31,Familias!$E:$E=$B31),1))"),"")</f>
        <v/>
      </c>
      <c r="G31" s="4" t="str">
        <f t="array" ref="G31">IF(C31=1,XLOOKUP(C31,Cotizador!D:D,Cotizador!E:E,"",0,1),"")</f>
        <v/>
      </c>
      <c r="I31" s="4"/>
      <c r="J31" s="8" t="str">
        <f>IF(I31="","",SUMIF(Cotizador!I$1:V$1,I31,Cotizador!I$2:V$2))</f>
        <v/>
      </c>
      <c r="L31" s="4" t="str">
        <f t="array" ref="L31">IF(COUNTIF(L$1:L30,A$2)=SUMIF(A:A,A$2,D:D),IF(COUNTIF(L$1:L30,XLOOKUP(A$2,Implementos!B:B,Implementos!C:C,"",0,1))=SUMIF(A:A,XLOOKUP(A$2,Implementos!B:B,Implementos!C:C,"",0,1),D:D),"",XLOOKUP(A$2,Implementos!B:B,Implementos!C:C,"",0,1)),A$2)</f>
        <v>Acoplados Rurales</v>
      </c>
      <c r="M31" s="4">
        <f t="shared" si="2"/>
        <v>30</v>
      </c>
      <c r="N31" s="4">
        <f t="shared" si="3"/>
        <v>2</v>
      </c>
      <c r="O31" s="4">
        <f t="shared" si="4"/>
        <v>2</v>
      </c>
      <c r="P31" s="4">
        <f t="shared" si="5"/>
        <v>2</v>
      </c>
      <c r="Q31" s="4">
        <f>IF(U31="","",SUMIF(Productos!E:E,U31,Productos!A:A))</f>
        <v>58</v>
      </c>
      <c r="R31" s="4">
        <f t="array" ref="R31">IF(L31="","", max(1,SUMIF(I:I,XLOOKUP(U31,Productos!E:E,Productos!G:G,"",0,1),J:J)))</f>
        <v>1</v>
      </c>
      <c r="S31" s="4" t="str">
        <f>IF(Q31="","",IF(SUMIFS(Compat_Vetado!D:D,Compat_Vetado!B:B,SUM(G:G),Compat_Vetado!C:C,Q31)=1,"SI",IF(OR(SUMIF(Cotizador!E:E,Q31,Cotizador!G:G)&gt;0,SUMIFS(Compat_Vetado!D:D,Compat_Vetado!B:B,SUM(G:G),Compat_Vetado!C:C,Q31)=-1),"NO","")))</f>
        <v/>
      </c>
      <c r="T31" s="4" t="str">
        <f t="shared" si="6"/>
        <v>x</v>
      </c>
      <c r="U31" s="4" t="str">
        <f>IFERROR(__xludf.DUMMYFUNCTION("IF(P31="""","""",IFERROR(INDEX(filter(Productos!E:E,Productos!F:F=L31,Productos!H:H=N31),P31),IF(M31=SUM(D:D),""Finalizar"",""-"")))"),"Baulera Standard - 1700 - C/Laterales")</f>
        <v>Baulera Standard - 1700 - C/Laterales</v>
      </c>
      <c r="V31" s="4" t="str">
        <f>IFERROR(__xludf.DUMMYFUNCTION("IF(OR($U31="""",COUNTIF($I:$I,IFERROR(unique(filter(Prod_Prop!$H:$H,Prod_Prop!$G:$G=$U31,Prod_Prop!$E:$E=V$1)),""Check""))=0),"""",IFERROR(unique(filter(Prod_Prop!$H:$H,Prod_Prop!$G:$G=$U31,Prod_Prop!$E:$E=V$1)),""""))"),"")</f>
        <v/>
      </c>
      <c r="W31" s="4" t="str">
        <f>IF(V31="","",SUMIFS(Prod_Prop!$J:$J,Prod_Prop!$B:$B,$Q31,Prod_Prop!$H:$H,V31,Prod_Prop!$I:$I,W$1)*IF(V31="Peso",$R31,1))</f>
        <v/>
      </c>
      <c r="X31" s="4" t="str">
        <f>IF(V31="","",SUMIFS(Prod_Prop!$J:$J,Prod_Prop!$B:$B,$Q31,Prod_Prop!$H:$H,V31,Prod_Prop!$I:$I,X$1)*IF(V31="Peso",$R31,1))</f>
        <v/>
      </c>
      <c r="Y31" s="4" t="str">
        <f>IFERROR(__xludf.DUMMYFUNCTION("IF(OR($U31="""",COUNTIF($I:$I,IFERROR(unique(filter(Prod_Prop!$H:$H,Prod_Prop!$G:$G=$U31,Prod_Prop!$E:$E=Y$1)),""Check""))=0),"""",IFERROR(unique(filter(Prod_Prop!$H:$H,Prod_Prop!$G:$G=$U31,Prod_Prop!$E:$E=Y$1)),""""))"),"")</f>
        <v/>
      </c>
      <c r="Z31" s="4" t="str">
        <f>IF(Y31="","",SUMIFS(Prod_Prop!$J:$J,Prod_Prop!$B:$B,$Q31,Prod_Prop!$H:$H,Y31,Prod_Prop!$I:$I,Z$1)*IF(Y31="Peso",$R31,1))</f>
        <v/>
      </c>
      <c r="AA31" s="4" t="str">
        <f>IF(Y31="","",SUMIFS(Prod_Prop!$J:$J,Prod_Prop!$B:$B,$Q31,Prod_Prop!$H:$H,Y31,Prod_Prop!$I:$I,AA$1)*IF(Y31="Peso",$R31,1))</f>
        <v/>
      </c>
      <c r="AB31" s="4" t="str">
        <f>IFERROR(__xludf.DUMMYFUNCTION("IF(OR($U31="""",COUNTIF($I:$I,IFERROR(unique(filter(Prod_Prop!$H:$H,Prod_Prop!$G:$G=$U31,Prod_Prop!$E:$E=AB$1)),""Check""))=0),"""",IFERROR(unique(filter(Prod_Prop!$H:$H,Prod_Prop!$G:$G=$U31,Prod_Prop!$E:$E=AB$1)),""""))"),"")</f>
        <v/>
      </c>
      <c r="AC31" s="4" t="str">
        <f>IF(AB31="","",SUMIFS(Prod_Prop!$J:$J,Prod_Prop!$B:$B,$Q31,Prod_Prop!$H:$H,AB31,Prod_Prop!$I:$I,AC$1)*IF(AB31="Peso",$R31,1))</f>
        <v/>
      </c>
      <c r="AD31" s="4" t="str">
        <f>IF(AB31="","",SUMIFS(Prod_Prop!$J:$J,Prod_Prop!$B:$B,$Q31,Prod_Prop!$H:$H,AB31,Prod_Prop!$I:$I,AD$1)*IF(AB31="Peso",$R31,1))</f>
        <v/>
      </c>
    </row>
    <row r="32">
      <c r="A32" s="4" t="str">
        <f t="array" ref="A32">IF(COUNTIF(A$1:A31,Cotizador!F$2)=maxifs(Familias!E:E,Familias!D:D,Cotizador!F$2),IF(COUNTIF(A$1:A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" s="4" t="str">
        <f t="shared" si="1"/>
        <v/>
      </c>
      <c r="C32" s="4" t="str">
        <f t="array" ref="C32">IF(B32="","",IF(A32=XLOOKUP(A$2,Implementos!B:B,Implementos!C:C,"",0,1),B32+maxifs(B$1:B31,A$1:A31,A$2),B32))</f>
        <v/>
      </c>
      <c r="D32" s="4" t="str">
        <f>IF(B32="","", COUNTIFS(Productos!F:F,A32,Productos!H:H,B32)+IF(F32="SI",0,1))</f>
        <v/>
      </c>
      <c r="E32" s="4" t="str">
        <f>IFERROR(__xludf.DUMMYFUNCTION("IF($B32="""","""",INDEX(filter(Familias!F:F,Familias!$D:$D=$A32,Familias!$E:$E=$B32),1))"),"")</f>
        <v/>
      </c>
      <c r="F32" s="4" t="str">
        <f>IFERROR(__xludf.DUMMYFUNCTION("IF($B32="""","""",INDEX(filter(Familias!G:G,Familias!$D:$D=$A32,Familias!$E:$E=$B32),1))"),"")</f>
        <v/>
      </c>
      <c r="G32" s="4" t="str">
        <f t="array" ref="G32">IF(C32=1,XLOOKUP(C32,Cotizador!D:D,Cotizador!E:E,"",0,1),"")</f>
        <v/>
      </c>
      <c r="I32" s="4"/>
      <c r="J32" s="8" t="str">
        <f>IF(I32="","",SUMIF(Cotizador!I$1:V$1,I32,Cotizador!I$2:V$2))</f>
        <v/>
      </c>
      <c r="L32" s="4" t="str">
        <f t="array" ref="L32">IF(COUNTIF(L$1:L31,A$2)=SUMIF(A:A,A$2,D:D),IF(COUNTIF(L$1:L31,XLOOKUP(A$2,Implementos!B:B,Implementos!C:C,"",0,1))=SUMIF(A:A,XLOOKUP(A$2,Implementos!B:B,Implementos!C:C,"",0,1),D:D),"",XLOOKUP(A$2,Implementos!B:B,Implementos!C:C,"",0,1)),A$2)</f>
        <v>Acoplados Rurales</v>
      </c>
      <c r="M32" s="4">
        <f t="shared" si="2"/>
        <v>31</v>
      </c>
      <c r="N32" s="4">
        <f t="shared" si="3"/>
        <v>2</v>
      </c>
      <c r="O32" s="4">
        <f t="shared" si="4"/>
        <v>2</v>
      </c>
      <c r="P32" s="4">
        <f t="shared" si="5"/>
        <v>3</v>
      </c>
      <c r="Q32" s="4">
        <f>IF(U32="","",SUMIF(Productos!E:E,U32,Productos!A:A))</f>
        <v>59</v>
      </c>
      <c r="R32" s="4">
        <f t="array" ref="R32">IF(L32="","", max(1,SUMIF(I:I,XLOOKUP(U32,Productos!E:E,Productos!G:G,"",0,1),J:J)))</f>
        <v>1</v>
      </c>
      <c r="S32" s="4" t="str">
        <f>IF(Q32="","",IF(SUMIFS(Compat_Vetado!D:D,Compat_Vetado!B:B,SUM(G:G),Compat_Vetado!C:C,Q32)=1,"SI",IF(OR(SUMIF(Cotizador!E:E,Q32,Cotizador!G:G)&gt;0,SUMIFS(Compat_Vetado!D:D,Compat_Vetado!B:B,SUM(G:G),Compat_Vetado!C:C,Q32)=-1),"NO","")))</f>
        <v/>
      </c>
      <c r="T32" s="4" t="str">
        <f t="shared" si="6"/>
        <v>x</v>
      </c>
      <c r="U32" s="4" t="str">
        <f>IFERROR(__xludf.DUMMYFUNCTION("IF(P32="""","""",IFERROR(INDEX(filter(Productos!E:E,Productos!F:F=L32,Productos!H:H=N32),P32),IF(M32=SUM(D:D),""Finalizar"",""-"")))"),"Baulera Standard - 1000 - C/Laterales")</f>
        <v>Baulera Standard - 1000 - C/Laterales</v>
      </c>
      <c r="V32" s="4" t="str">
        <f>IFERROR(__xludf.DUMMYFUNCTION("IF(OR($U32="""",COUNTIF($I:$I,IFERROR(unique(filter(Prod_Prop!$H:$H,Prod_Prop!$G:$G=$U32,Prod_Prop!$E:$E=V$1)),""Check""))=0),"""",IFERROR(unique(filter(Prod_Prop!$H:$H,Prod_Prop!$G:$G=$U32,Prod_Prop!$E:$E=V$1)),""""))"),"")</f>
        <v/>
      </c>
      <c r="W32" s="4" t="str">
        <f>IF(V32="","",SUMIFS(Prod_Prop!$J:$J,Prod_Prop!$B:$B,$Q32,Prod_Prop!$H:$H,V32,Prod_Prop!$I:$I,W$1)*IF(V32="Peso",$R32,1))</f>
        <v/>
      </c>
      <c r="X32" s="4" t="str">
        <f>IF(V32="","",SUMIFS(Prod_Prop!$J:$J,Prod_Prop!$B:$B,$Q32,Prod_Prop!$H:$H,V32,Prod_Prop!$I:$I,X$1)*IF(V32="Peso",$R32,1))</f>
        <v/>
      </c>
      <c r="Y32" s="4" t="str">
        <f>IFERROR(__xludf.DUMMYFUNCTION("IF(OR($U32="""",COUNTIF($I:$I,IFERROR(unique(filter(Prod_Prop!$H:$H,Prod_Prop!$G:$G=$U32,Prod_Prop!$E:$E=Y$1)),""Check""))=0),"""",IFERROR(unique(filter(Prod_Prop!$H:$H,Prod_Prop!$G:$G=$U32,Prod_Prop!$E:$E=Y$1)),""""))"),"")</f>
        <v/>
      </c>
      <c r="Z32" s="4" t="str">
        <f>IF(Y32="","",SUMIFS(Prod_Prop!$J:$J,Prod_Prop!$B:$B,$Q32,Prod_Prop!$H:$H,Y32,Prod_Prop!$I:$I,Z$1)*IF(Y32="Peso",$R32,1))</f>
        <v/>
      </c>
      <c r="AA32" s="4" t="str">
        <f>IF(Y32="","",SUMIFS(Prod_Prop!$J:$J,Prod_Prop!$B:$B,$Q32,Prod_Prop!$H:$H,Y32,Prod_Prop!$I:$I,AA$1)*IF(Y32="Peso",$R32,1))</f>
        <v/>
      </c>
      <c r="AB32" s="4" t="str">
        <f>IFERROR(__xludf.DUMMYFUNCTION("IF(OR($U32="""",COUNTIF($I:$I,IFERROR(unique(filter(Prod_Prop!$H:$H,Prod_Prop!$G:$G=$U32,Prod_Prop!$E:$E=AB$1)),""Check""))=0),"""",IFERROR(unique(filter(Prod_Prop!$H:$H,Prod_Prop!$G:$G=$U32,Prod_Prop!$E:$E=AB$1)),""""))"),"")</f>
        <v/>
      </c>
      <c r="AC32" s="4" t="str">
        <f>IF(AB32="","",SUMIFS(Prod_Prop!$J:$J,Prod_Prop!$B:$B,$Q32,Prod_Prop!$H:$H,AB32,Prod_Prop!$I:$I,AC$1)*IF(AB32="Peso",$R32,1))</f>
        <v/>
      </c>
      <c r="AD32" s="4" t="str">
        <f>IF(AB32="","",SUMIFS(Prod_Prop!$J:$J,Prod_Prop!$B:$B,$Q32,Prod_Prop!$H:$H,AB32,Prod_Prop!$I:$I,AD$1)*IF(AB32="Peso",$R32,1))</f>
        <v/>
      </c>
    </row>
    <row r="33">
      <c r="A33" s="4" t="str">
        <f t="array" ref="A33">IF(COUNTIF(A$1:A32,Cotizador!F$2)=maxifs(Familias!E:E,Familias!D:D,Cotizador!F$2),IF(COUNTIF(A$1:A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" s="4" t="str">
        <f t="shared" si="1"/>
        <v/>
      </c>
      <c r="C33" s="4" t="str">
        <f t="array" ref="C33">IF(B33="","",IF(A33=XLOOKUP(A$2,Implementos!B:B,Implementos!C:C,"",0,1),B33+maxifs(B$1:B32,A$1:A32,A$2),B33))</f>
        <v/>
      </c>
      <c r="D33" s="4" t="str">
        <f>IF(B33="","", COUNTIFS(Productos!F:F,A33,Productos!H:H,B33)+IF(F33="SI",0,1))</f>
        <v/>
      </c>
      <c r="E33" s="4" t="str">
        <f>IFERROR(__xludf.DUMMYFUNCTION("IF($B33="""","""",INDEX(filter(Familias!F:F,Familias!$D:$D=$A33,Familias!$E:$E=$B33),1))"),"")</f>
        <v/>
      </c>
      <c r="F33" s="4" t="str">
        <f>IFERROR(__xludf.DUMMYFUNCTION("IF($B33="""","""",INDEX(filter(Familias!G:G,Familias!$D:$D=$A33,Familias!$E:$E=$B33),1))"),"")</f>
        <v/>
      </c>
      <c r="G33" s="4" t="str">
        <f t="array" ref="G33">IF(C33=1,XLOOKUP(C33,Cotizador!D:D,Cotizador!E:E,"",0,1),"")</f>
        <v/>
      </c>
      <c r="I33" s="4"/>
      <c r="J33" s="8" t="str">
        <f>IF(I33="","",SUMIF(Cotizador!I$1:V$1,I33,Cotizador!I$2:V$2))</f>
        <v/>
      </c>
      <c r="L33" s="4" t="str">
        <f t="array" ref="L33">IF(COUNTIF(L$1:L32,A$2)=SUMIF(A:A,A$2,D:D),IF(COUNTIF(L$1:L32,XLOOKUP(A$2,Implementos!B:B,Implementos!C:C,"",0,1))=SUMIF(A:A,XLOOKUP(A$2,Implementos!B:B,Implementos!C:C,"",0,1),D:D),"",XLOOKUP(A$2,Implementos!B:B,Implementos!C:C,"",0,1)),A$2)</f>
        <v>Acoplados Rurales</v>
      </c>
      <c r="M33" s="4">
        <f t="shared" si="2"/>
        <v>32</v>
      </c>
      <c r="N33" s="4">
        <f t="shared" si="3"/>
        <v>2</v>
      </c>
      <c r="O33" s="4">
        <f t="shared" si="4"/>
        <v>2</v>
      </c>
      <c r="P33" s="4">
        <f t="shared" si="5"/>
        <v>4</v>
      </c>
      <c r="Q33" s="4">
        <f>IF(U33="","",SUMIF(Productos!E:E,U33,Productos!A:A))</f>
        <v>60</v>
      </c>
      <c r="R33" s="4">
        <f t="array" ref="R33">IF(L33="","", max(1,SUMIF(I:I,XLOOKUP(U33,Productos!E:E,Productos!G:G,"",0,1),J:J)))</f>
        <v>1</v>
      </c>
      <c r="S33" s="4" t="str">
        <f>IF(Q33="","",IF(SUMIFS(Compat_Vetado!D:D,Compat_Vetado!B:B,SUM(G:G),Compat_Vetado!C:C,Q33)=1,"SI",IF(OR(SUMIF(Cotizador!E:E,Q33,Cotizador!G:G)&gt;0,SUMIFS(Compat_Vetado!D:D,Compat_Vetado!B:B,SUM(G:G),Compat_Vetado!C:C,Q33)=-1),"NO","")))</f>
        <v/>
      </c>
      <c r="T33" s="4" t="str">
        <f t="shared" si="6"/>
        <v>x</v>
      </c>
      <c r="U33" s="4" t="str">
        <f>IFERROR(__xludf.DUMMYFUNCTION("IF(P33="""","""",IFERROR(INDEX(filter(Productos!E:E,Productos!F:F=L33,Productos!H:H=N33),P33),IF(M33=SUM(D:D),""Finalizar"",""-"")))"),"Baulera Standard - 750 - C/Laterales")</f>
        <v>Baulera Standard - 750 - C/Laterales</v>
      </c>
      <c r="V33" s="4" t="str">
        <f>IFERROR(__xludf.DUMMYFUNCTION("IF(OR($U33="""",COUNTIF($I:$I,IFERROR(unique(filter(Prod_Prop!$H:$H,Prod_Prop!$G:$G=$U33,Prod_Prop!$E:$E=V$1)),""Check""))=0),"""",IFERROR(unique(filter(Prod_Prop!$H:$H,Prod_Prop!$G:$G=$U33,Prod_Prop!$E:$E=V$1)),""""))"),"")</f>
        <v/>
      </c>
      <c r="W33" s="4" t="str">
        <f>IF(V33="","",SUMIFS(Prod_Prop!$J:$J,Prod_Prop!$B:$B,$Q33,Prod_Prop!$H:$H,V33,Prod_Prop!$I:$I,W$1)*IF(V33="Peso",$R33,1))</f>
        <v/>
      </c>
      <c r="X33" s="4" t="str">
        <f>IF(V33="","",SUMIFS(Prod_Prop!$J:$J,Prod_Prop!$B:$B,$Q33,Prod_Prop!$H:$H,V33,Prod_Prop!$I:$I,X$1)*IF(V33="Peso",$R33,1))</f>
        <v/>
      </c>
      <c r="Y33" s="4" t="str">
        <f>IFERROR(__xludf.DUMMYFUNCTION("IF(OR($U33="""",COUNTIF($I:$I,IFERROR(unique(filter(Prod_Prop!$H:$H,Prod_Prop!$G:$G=$U33,Prod_Prop!$E:$E=Y$1)),""Check""))=0),"""",IFERROR(unique(filter(Prod_Prop!$H:$H,Prod_Prop!$G:$G=$U33,Prod_Prop!$E:$E=Y$1)),""""))"),"")</f>
        <v/>
      </c>
      <c r="Z33" s="4" t="str">
        <f>IF(Y33="","",SUMIFS(Prod_Prop!$J:$J,Prod_Prop!$B:$B,$Q33,Prod_Prop!$H:$H,Y33,Prod_Prop!$I:$I,Z$1)*IF(Y33="Peso",$R33,1))</f>
        <v/>
      </c>
      <c r="AA33" s="4" t="str">
        <f>IF(Y33="","",SUMIFS(Prod_Prop!$J:$J,Prod_Prop!$B:$B,$Q33,Prod_Prop!$H:$H,Y33,Prod_Prop!$I:$I,AA$1)*IF(Y33="Peso",$R33,1))</f>
        <v/>
      </c>
      <c r="AB33" s="4" t="str">
        <f>IFERROR(__xludf.DUMMYFUNCTION("IF(OR($U33="""",COUNTIF($I:$I,IFERROR(unique(filter(Prod_Prop!$H:$H,Prod_Prop!$G:$G=$U33,Prod_Prop!$E:$E=AB$1)),""Check""))=0),"""",IFERROR(unique(filter(Prod_Prop!$H:$H,Prod_Prop!$G:$G=$U33,Prod_Prop!$E:$E=AB$1)),""""))"),"")</f>
        <v/>
      </c>
      <c r="AC33" s="4" t="str">
        <f>IF(AB33="","",SUMIFS(Prod_Prop!$J:$J,Prod_Prop!$B:$B,$Q33,Prod_Prop!$H:$H,AB33,Prod_Prop!$I:$I,AC$1)*IF(AB33="Peso",$R33,1))</f>
        <v/>
      </c>
      <c r="AD33" s="4" t="str">
        <f>IF(AB33="","",SUMIFS(Prod_Prop!$J:$J,Prod_Prop!$B:$B,$Q33,Prod_Prop!$H:$H,AB33,Prod_Prop!$I:$I,AD$1)*IF(AB33="Peso",$R33,1))</f>
        <v/>
      </c>
    </row>
    <row r="34">
      <c r="A34" s="4" t="str">
        <f t="array" ref="A34">IF(COUNTIF(A$1:A33,Cotizador!F$2)=maxifs(Familias!E:E,Familias!D:D,Cotizador!F$2),IF(COUNTIF(A$1:A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" s="4" t="str">
        <f t="shared" si="1"/>
        <v/>
      </c>
      <c r="C34" s="4" t="str">
        <f t="array" ref="C34">IF(B34="","",IF(A34=XLOOKUP(A$2,Implementos!B:B,Implementos!C:C,"",0,1),B34+maxifs(B$1:B33,A$1:A33,A$2),B34))</f>
        <v/>
      </c>
      <c r="D34" s="4" t="str">
        <f>IF(B34="","", COUNTIFS(Productos!F:F,A34,Productos!H:H,B34)+IF(F34="SI",0,1))</f>
        <v/>
      </c>
      <c r="E34" s="4" t="str">
        <f>IFERROR(__xludf.DUMMYFUNCTION("IF($B34="""","""",INDEX(filter(Familias!F:F,Familias!$D:$D=$A34,Familias!$E:$E=$B34),1))"),"")</f>
        <v/>
      </c>
      <c r="F34" s="4" t="str">
        <f>IFERROR(__xludf.DUMMYFUNCTION("IF($B34="""","""",INDEX(filter(Familias!G:G,Familias!$D:$D=$A34,Familias!$E:$E=$B34),1))"),"")</f>
        <v/>
      </c>
      <c r="G34" s="4" t="str">
        <f t="array" ref="G34">IF(C34=1,XLOOKUP(C34,Cotizador!D:D,Cotizador!E:E,"",0,1),"")</f>
        <v/>
      </c>
      <c r="I34" s="4"/>
      <c r="J34" s="8" t="str">
        <f>IF(I34="","",SUMIF(Cotizador!I$1:V$1,I34,Cotizador!I$2:V$2))</f>
        <v/>
      </c>
      <c r="L34" s="4" t="str">
        <f t="array" ref="L34">IF(COUNTIF(L$1:L33,A$2)=SUMIF(A:A,A$2,D:D),IF(COUNTIF(L$1:L33,XLOOKUP(A$2,Implementos!B:B,Implementos!C:C,"",0,1))=SUMIF(A:A,XLOOKUP(A$2,Implementos!B:B,Implementos!C:C,"",0,1),D:D),"",XLOOKUP(A$2,Implementos!B:B,Implementos!C:C,"",0,1)),A$2)</f>
        <v>Acoplados Rurales</v>
      </c>
      <c r="M34" s="4">
        <f t="shared" si="2"/>
        <v>33</v>
      </c>
      <c r="N34" s="4">
        <f t="shared" si="3"/>
        <v>2</v>
      </c>
      <c r="O34" s="4">
        <f t="shared" si="4"/>
        <v>2</v>
      </c>
      <c r="P34" s="4">
        <f t="shared" si="5"/>
        <v>5</v>
      </c>
      <c r="Q34" s="4">
        <f>IF(U34="","",SUMIF(Productos!E:E,U34,Productos!A:A))</f>
        <v>61</v>
      </c>
      <c r="R34" s="4">
        <f t="array" ref="R34">IF(L34="","", max(1,SUMIF(I:I,XLOOKUP(U34,Productos!E:E,Productos!G:G,"",0,1),J:J)))</f>
        <v>1</v>
      </c>
      <c r="S34" s="4" t="str">
        <f>IF(Q34="","",IF(SUMIFS(Compat_Vetado!D:D,Compat_Vetado!B:B,SUM(G:G),Compat_Vetado!C:C,Q34)=1,"SI",IF(OR(SUMIF(Cotizador!E:E,Q34,Cotizador!G:G)&gt;0,SUMIFS(Compat_Vetado!D:D,Compat_Vetado!B:B,SUM(G:G),Compat_Vetado!C:C,Q34)=-1),"NO","")))</f>
        <v/>
      </c>
      <c r="T34" s="4" t="str">
        <f t="shared" si="6"/>
        <v>x</v>
      </c>
      <c r="U34" s="4" t="str">
        <f>IFERROR(__xludf.DUMMYFUNCTION("IF(P34="""","""",IFERROR(INDEX(filter(Productos!E:E,Productos!F:F=L34,Productos!H:H=N34),P34),IF(M34=SUM(D:D),""Finalizar"",""-"")))"),"Baulera Standard - 1300 - C/Laterales")</f>
        <v>Baulera Standard - 1300 - C/Laterales</v>
      </c>
      <c r="V34" s="4" t="str">
        <f>IFERROR(__xludf.DUMMYFUNCTION("IF(OR($U34="""",COUNTIF($I:$I,IFERROR(unique(filter(Prod_Prop!$H:$H,Prod_Prop!$G:$G=$U34,Prod_Prop!$E:$E=V$1)),""Check""))=0),"""",IFERROR(unique(filter(Prod_Prop!$H:$H,Prod_Prop!$G:$G=$U34,Prod_Prop!$E:$E=V$1)),""""))"),"")</f>
        <v/>
      </c>
      <c r="W34" s="4" t="str">
        <f>IF(V34="","",SUMIFS(Prod_Prop!$J:$J,Prod_Prop!$B:$B,$Q34,Prod_Prop!$H:$H,V34,Prod_Prop!$I:$I,W$1)*IF(V34="Peso",$R34,1))</f>
        <v/>
      </c>
      <c r="X34" s="4" t="str">
        <f>IF(V34="","",SUMIFS(Prod_Prop!$J:$J,Prod_Prop!$B:$B,$Q34,Prod_Prop!$H:$H,V34,Prod_Prop!$I:$I,X$1)*IF(V34="Peso",$R34,1))</f>
        <v/>
      </c>
      <c r="Y34" s="4" t="str">
        <f>IFERROR(__xludf.DUMMYFUNCTION("IF(OR($U34="""",COUNTIF($I:$I,IFERROR(unique(filter(Prod_Prop!$H:$H,Prod_Prop!$G:$G=$U34,Prod_Prop!$E:$E=Y$1)),""Check""))=0),"""",IFERROR(unique(filter(Prod_Prop!$H:$H,Prod_Prop!$G:$G=$U34,Prod_Prop!$E:$E=Y$1)),""""))"),"")</f>
        <v/>
      </c>
      <c r="Z34" s="4" t="str">
        <f>IF(Y34="","",SUMIFS(Prod_Prop!$J:$J,Prod_Prop!$B:$B,$Q34,Prod_Prop!$H:$H,Y34,Prod_Prop!$I:$I,Z$1)*IF(Y34="Peso",$R34,1))</f>
        <v/>
      </c>
      <c r="AA34" s="4" t="str">
        <f>IF(Y34="","",SUMIFS(Prod_Prop!$J:$J,Prod_Prop!$B:$B,$Q34,Prod_Prop!$H:$H,Y34,Prod_Prop!$I:$I,AA$1)*IF(Y34="Peso",$R34,1))</f>
        <v/>
      </c>
      <c r="AB34" s="4" t="str">
        <f>IFERROR(__xludf.DUMMYFUNCTION("IF(OR($U34="""",COUNTIF($I:$I,IFERROR(unique(filter(Prod_Prop!$H:$H,Prod_Prop!$G:$G=$U34,Prod_Prop!$E:$E=AB$1)),""Check""))=0),"""",IFERROR(unique(filter(Prod_Prop!$H:$H,Prod_Prop!$G:$G=$U34,Prod_Prop!$E:$E=AB$1)),""""))"),"")</f>
        <v/>
      </c>
      <c r="AC34" s="4" t="str">
        <f>IF(AB34="","",SUMIFS(Prod_Prop!$J:$J,Prod_Prop!$B:$B,$Q34,Prod_Prop!$H:$H,AB34,Prod_Prop!$I:$I,AC$1)*IF(AB34="Peso",$R34,1))</f>
        <v/>
      </c>
      <c r="AD34" s="4" t="str">
        <f>IF(AB34="","",SUMIFS(Prod_Prop!$J:$J,Prod_Prop!$B:$B,$Q34,Prod_Prop!$H:$H,AB34,Prod_Prop!$I:$I,AD$1)*IF(AB34="Peso",$R34,1))</f>
        <v/>
      </c>
    </row>
    <row r="35">
      <c r="A35" s="4" t="str">
        <f t="array" ref="A35">IF(COUNTIF(A$1:A34,Cotizador!F$2)=maxifs(Familias!E:E,Familias!D:D,Cotizador!F$2),IF(COUNTIF(A$1:A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" s="4" t="str">
        <f t="shared" si="1"/>
        <v/>
      </c>
      <c r="C35" s="4" t="str">
        <f t="array" ref="C35">IF(B35="","",IF(A35=XLOOKUP(A$2,Implementos!B:B,Implementos!C:C,"",0,1),B35+maxifs(B$1:B34,A$1:A34,A$2),B35))</f>
        <v/>
      </c>
      <c r="D35" s="4" t="str">
        <f>IF(B35="","", COUNTIFS(Productos!F:F,A35,Productos!H:H,B35)+IF(F35="SI",0,1))</f>
        <v/>
      </c>
      <c r="E35" s="4" t="str">
        <f>IFERROR(__xludf.DUMMYFUNCTION("IF($B35="""","""",INDEX(filter(Familias!F:F,Familias!$D:$D=$A35,Familias!$E:$E=$B35),1))"),"")</f>
        <v/>
      </c>
      <c r="F35" s="4" t="str">
        <f>IFERROR(__xludf.DUMMYFUNCTION("IF($B35="""","""",INDEX(filter(Familias!G:G,Familias!$D:$D=$A35,Familias!$E:$E=$B35),1))"),"")</f>
        <v/>
      </c>
      <c r="G35" s="4" t="str">
        <f t="array" ref="G35">IF(C35=1,XLOOKUP(C35,Cotizador!D:D,Cotizador!E:E,"",0,1),"")</f>
        <v/>
      </c>
      <c r="I35" s="4"/>
      <c r="J35" s="8" t="str">
        <f>IF(I35="","",SUMIF(Cotizador!I$1:V$1,I35,Cotizador!I$2:V$2))</f>
        <v/>
      </c>
      <c r="L35" s="4" t="str">
        <f t="array" ref="L35">IF(COUNTIF(L$1:L34,A$2)=SUMIF(A:A,A$2,D:D),IF(COUNTIF(L$1:L34,XLOOKUP(A$2,Implementos!B:B,Implementos!C:C,"",0,1))=SUMIF(A:A,XLOOKUP(A$2,Implementos!B:B,Implementos!C:C,"",0,1),D:D),"",XLOOKUP(A$2,Implementos!B:B,Implementos!C:C,"",0,1)),A$2)</f>
        <v>Acoplados Rurales</v>
      </c>
      <c r="M35" s="4">
        <f t="shared" si="2"/>
        <v>34</v>
      </c>
      <c r="N35" s="4">
        <f t="shared" si="3"/>
        <v>2</v>
      </c>
      <c r="O35" s="4">
        <f t="shared" si="4"/>
        <v>2</v>
      </c>
      <c r="P35" s="4">
        <f t="shared" si="5"/>
        <v>6</v>
      </c>
      <c r="Q35" s="4">
        <f>IF(U35="","",SUMIF(Productos!E:E,U35,Productos!A:A))</f>
        <v>62</v>
      </c>
      <c r="R35" s="4">
        <f t="array" ref="R35">IF(L35="","", max(1,SUMIF(I:I,XLOOKUP(U35,Productos!E:E,Productos!G:G,"",0,1),J:J)))</f>
        <v>1</v>
      </c>
      <c r="S35" s="4" t="str">
        <f>IF(Q35="","",IF(SUMIFS(Compat_Vetado!D:D,Compat_Vetado!B:B,SUM(G:G),Compat_Vetado!C:C,Q35)=1,"SI",IF(OR(SUMIF(Cotizador!E:E,Q35,Cotizador!G:G)&gt;0,SUMIFS(Compat_Vetado!D:D,Compat_Vetado!B:B,SUM(G:G),Compat_Vetado!C:C,Q35)=-1),"NO","")))</f>
        <v/>
      </c>
      <c r="T35" s="4" t="str">
        <f t="shared" si="6"/>
        <v>x</v>
      </c>
      <c r="U35" s="4" t="str">
        <f>IFERROR(__xludf.DUMMYFUNCTION("IF(P35="""","""",IFERROR(INDEX(filter(Productos!E:E,Productos!F:F=L35,Productos!H:H=N35),P35),IF(M35=SUM(D:D),""Finalizar"",""-"")))"),"Baulera Alta - 750")</f>
        <v>Baulera Alta - 750</v>
      </c>
      <c r="V35" s="4" t="str">
        <f>IFERROR(__xludf.DUMMYFUNCTION("IF(OR($U35="""",COUNTIF($I:$I,IFERROR(unique(filter(Prod_Prop!$H:$H,Prod_Prop!$G:$G=$U35,Prod_Prop!$E:$E=V$1)),""Check""))=0),"""",IFERROR(unique(filter(Prod_Prop!$H:$H,Prod_Prop!$G:$G=$U35,Prod_Prop!$E:$E=V$1)),""""))"),"")</f>
        <v/>
      </c>
      <c r="W35" s="4" t="str">
        <f>IF(V35="","",SUMIFS(Prod_Prop!$J:$J,Prod_Prop!$B:$B,$Q35,Prod_Prop!$H:$H,V35,Prod_Prop!$I:$I,W$1)*IF(V35="Peso",$R35,1))</f>
        <v/>
      </c>
      <c r="X35" s="4" t="str">
        <f>IF(V35="","",SUMIFS(Prod_Prop!$J:$J,Prod_Prop!$B:$B,$Q35,Prod_Prop!$H:$H,V35,Prod_Prop!$I:$I,X$1)*IF(V35="Peso",$R35,1))</f>
        <v/>
      </c>
      <c r="Y35" s="4" t="str">
        <f>IFERROR(__xludf.DUMMYFUNCTION("IF(OR($U35="""",COUNTIF($I:$I,IFERROR(unique(filter(Prod_Prop!$H:$H,Prod_Prop!$G:$G=$U35,Prod_Prop!$E:$E=Y$1)),""Check""))=0),"""",IFERROR(unique(filter(Prod_Prop!$H:$H,Prod_Prop!$G:$G=$U35,Prod_Prop!$E:$E=Y$1)),""""))"),"")</f>
        <v/>
      </c>
      <c r="Z35" s="4" t="str">
        <f>IF(Y35="","",SUMIFS(Prod_Prop!$J:$J,Prod_Prop!$B:$B,$Q35,Prod_Prop!$H:$H,Y35,Prod_Prop!$I:$I,Z$1)*IF(Y35="Peso",$R35,1))</f>
        <v/>
      </c>
      <c r="AA35" s="4" t="str">
        <f>IF(Y35="","",SUMIFS(Prod_Prop!$J:$J,Prod_Prop!$B:$B,$Q35,Prod_Prop!$H:$H,Y35,Prod_Prop!$I:$I,AA$1)*IF(Y35="Peso",$R35,1))</f>
        <v/>
      </c>
      <c r="AB35" s="4" t="str">
        <f>IFERROR(__xludf.DUMMYFUNCTION("IF(OR($U35="""",COUNTIF($I:$I,IFERROR(unique(filter(Prod_Prop!$H:$H,Prod_Prop!$G:$G=$U35,Prod_Prop!$E:$E=AB$1)),""Check""))=0),"""",IFERROR(unique(filter(Prod_Prop!$H:$H,Prod_Prop!$G:$G=$U35,Prod_Prop!$E:$E=AB$1)),""""))"),"")</f>
        <v/>
      </c>
      <c r="AC35" s="4" t="str">
        <f>IF(AB35="","",SUMIFS(Prod_Prop!$J:$J,Prod_Prop!$B:$B,$Q35,Prod_Prop!$H:$H,AB35,Prod_Prop!$I:$I,AC$1)*IF(AB35="Peso",$R35,1))</f>
        <v/>
      </c>
      <c r="AD35" s="4" t="str">
        <f>IF(AB35="","",SUMIFS(Prod_Prop!$J:$J,Prod_Prop!$B:$B,$Q35,Prod_Prop!$H:$H,AB35,Prod_Prop!$I:$I,AD$1)*IF(AB35="Peso",$R35,1))</f>
        <v/>
      </c>
    </row>
    <row r="36">
      <c r="A36" s="4" t="str">
        <f t="array" ref="A36">IF(COUNTIF(A$1:A35,Cotizador!F$2)=maxifs(Familias!E:E,Familias!D:D,Cotizador!F$2),IF(COUNTIF(A$1:A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" s="4" t="str">
        <f t="shared" si="1"/>
        <v/>
      </c>
      <c r="C36" s="4" t="str">
        <f t="array" ref="C36">IF(B36="","",IF(A36=XLOOKUP(A$2,Implementos!B:B,Implementos!C:C,"",0,1),B36+maxifs(B$1:B35,A$1:A35,A$2),B36))</f>
        <v/>
      </c>
      <c r="D36" s="4" t="str">
        <f>IF(B36="","", COUNTIFS(Productos!F:F,A36,Productos!H:H,B36)+IF(F36="SI",0,1))</f>
        <v/>
      </c>
      <c r="E36" s="4" t="str">
        <f>IFERROR(__xludf.DUMMYFUNCTION("IF($B36="""","""",INDEX(filter(Familias!F:F,Familias!$D:$D=$A36,Familias!$E:$E=$B36),1))"),"")</f>
        <v/>
      </c>
      <c r="F36" s="4" t="str">
        <f>IFERROR(__xludf.DUMMYFUNCTION("IF($B36="""","""",INDEX(filter(Familias!G:G,Familias!$D:$D=$A36,Familias!$E:$E=$B36),1))"),"")</f>
        <v/>
      </c>
      <c r="G36" s="4" t="str">
        <f t="array" ref="G36">IF(C36=1,XLOOKUP(C36,Cotizador!D:D,Cotizador!E:E,"",0,1),"")</f>
        <v/>
      </c>
      <c r="I36" s="4"/>
      <c r="J36" s="8" t="str">
        <f>IF(I36="","",SUMIF(Cotizador!I$1:V$1,I36,Cotizador!I$2:V$2))</f>
        <v/>
      </c>
      <c r="L36" s="4" t="str">
        <f t="array" ref="L36">IF(COUNTIF(L$1:L35,A$2)=SUMIF(A:A,A$2,D:D),IF(COUNTIF(L$1:L35,XLOOKUP(A$2,Implementos!B:B,Implementos!C:C,"",0,1))=SUMIF(A:A,XLOOKUP(A$2,Implementos!B:B,Implementos!C:C,"",0,1),D:D),"",XLOOKUP(A$2,Implementos!B:B,Implementos!C:C,"",0,1)),A$2)</f>
        <v>Acoplados Rurales</v>
      </c>
      <c r="M36" s="4">
        <f t="shared" si="2"/>
        <v>35</v>
      </c>
      <c r="N36" s="4">
        <f t="shared" si="3"/>
        <v>2</v>
      </c>
      <c r="O36" s="4">
        <f t="shared" si="4"/>
        <v>2</v>
      </c>
      <c r="P36" s="4">
        <f t="shared" si="5"/>
        <v>7</v>
      </c>
      <c r="Q36" s="4">
        <f>IF(U36="","",SUMIF(Productos!E:E,U36,Productos!A:A))</f>
        <v>63</v>
      </c>
      <c r="R36" s="4">
        <f t="array" ref="R36">IF(L36="","", max(1,SUMIF(I:I,XLOOKUP(U36,Productos!E:E,Productos!G:G,"",0,1),J:J)))</f>
        <v>1</v>
      </c>
      <c r="S36" s="4" t="str">
        <f>IF(Q36="","",IF(SUMIFS(Compat_Vetado!D:D,Compat_Vetado!B:B,SUM(G:G),Compat_Vetado!C:C,Q36)=1,"SI",IF(OR(SUMIF(Cotizador!E:E,Q36,Cotizador!G:G)&gt;0,SUMIFS(Compat_Vetado!D:D,Compat_Vetado!B:B,SUM(G:G),Compat_Vetado!C:C,Q36)=-1),"NO","")))</f>
        <v/>
      </c>
      <c r="T36" s="4" t="str">
        <f t="shared" si="6"/>
        <v>x</v>
      </c>
      <c r="U36" s="4" t="str">
        <f>IFERROR(__xludf.DUMMYFUNCTION("IF(P36="""","""",IFERROR(INDEX(filter(Productos!E:E,Productos!F:F=L36,Productos!H:H=N36),P36),IF(M36=SUM(D:D),""Finalizar"",""-"")))"),"Baulera Alta - 1500 - C/Laterales")</f>
        <v>Baulera Alta - 1500 - C/Laterales</v>
      </c>
      <c r="V36" s="4" t="str">
        <f>IFERROR(__xludf.DUMMYFUNCTION("IF(OR($U36="""",COUNTIF($I:$I,IFERROR(unique(filter(Prod_Prop!$H:$H,Prod_Prop!$G:$G=$U36,Prod_Prop!$E:$E=V$1)),""Check""))=0),"""",IFERROR(unique(filter(Prod_Prop!$H:$H,Prod_Prop!$G:$G=$U36,Prod_Prop!$E:$E=V$1)),""""))"),"")</f>
        <v/>
      </c>
      <c r="W36" s="4" t="str">
        <f>IF(V36="","",SUMIFS(Prod_Prop!$J:$J,Prod_Prop!$B:$B,$Q36,Prod_Prop!$H:$H,V36,Prod_Prop!$I:$I,W$1)*IF(V36="Peso",$R36,1))</f>
        <v/>
      </c>
      <c r="X36" s="4" t="str">
        <f>IF(V36="","",SUMIFS(Prod_Prop!$J:$J,Prod_Prop!$B:$B,$Q36,Prod_Prop!$H:$H,V36,Prod_Prop!$I:$I,X$1)*IF(V36="Peso",$R36,1))</f>
        <v/>
      </c>
      <c r="Y36" s="4" t="str">
        <f>IFERROR(__xludf.DUMMYFUNCTION("IF(OR($U36="""",COUNTIF($I:$I,IFERROR(unique(filter(Prod_Prop!$H:$H,Prod_Prop!$G:$G=$U36,Prod_Prop!$E:$E=Y$1)),""Check""))=0),"""",IFERROR(unique(filter(Prod_Prop!$H:$H,Prod_Prop!$G:$G=$U36,Prod_Prop!$E:$E=Y$1)),""""))"),"")</f>
        <v/>
      </c>
      <c r="Z36" s="4" t="str">
        <f>IF(Y36="","",SUMIFS(Prod_Prop!$J:$J,Prod_Prop!$B:$B,$Q36,Prod_Prop!$H:$H,Y36,Prod_Prop!$I:$I,Z$1)*IF(Y36="Peso",$R36,1))</f>
        <v/>
      </c>
      <c r="AA36" s="4" t="str">
        <f>IF(Y36="","",SUMIFS(Prod_Prop!$J:$J,Prod_Prop!$B:$B,$Q36,Prod_Prop!$H:$H,Y36,Prod_Prop!$I:$I,AA$1)*IF(Y36="Peso",$R36,1))</f>
        <v/>
      </c>
      <c r="AB36" s="4" t="str">
        <f>IFERROR(__xludf.DUMMYFUNCTION("IF(OR($U36="""",COUNTIF($I:$I,IFERROR(unique(filter(Prod_Prop!$H:$H,Prod_Prop!$G:$G=$U36,Prod_Prop!$E:$E=AB$1)),""Check""))=0),"""",IFERROR(unique(filter(Prod_Prop!$H:$H,Prod_Prop!$G:$G=$U36,Prod_Prop!$E:$E=AB$1)),""""))"),"")</f>
        <v/>
      </c>
      <c r="AC36" s="4" t="str">
        <f>IF(AB36="","",SUMIFS(Prod_Prop!$J:$J,Prod_Prop!$B:$B,$Q36,Prod_Prop!$H:$H,AB36,Prod_Prop!$I:$I,AC$1)*IF(AB36="Peso",$R36,1))</f>
        <v/>
      </c>
      <c r="AD36" s="4" t="str">
        <f>IF(AB36="","",SUMIFS(Prod_Prop!$J:$J,Prod_Prop!$B:$B,$Q36,Prod_Prop!$H:$H,AB36,Prod_Prop!$I:$I,AD$1)*IF(AB36="Peso",$R36,1))</f>
        <v/>
      </c>
    </row>
    <row r="37">
      <c r="A37" s="4" t="str">
        <f t="array" ref="A37">IF(COUNTIF(A$1:A36,Cotizador!F$2)=maxifs(Familias!E:E,Familias!D:D,Cotizador!F$2),IF(COUNTIF(A$1:A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" s="4" t="str">
        <f t="shared" si="1"/>
        <v/>
      </c>
      <c r="C37" s="4" t="str">
        <f t="array" ref="C37">IF(B37="","",IF(A37=XLOOKUP(A$2,Implementos!B:B,Implementos!C:C,"",0,1),B37+maxifs(B$1:B36,A$1:A36,A$2),B37))</f>
        <v/>
      </c>
      <c r="D37" s="4" t="str">
        <f>IF(B37="","", COUNTIFS(Productos!F:F,A37,Productos!H:H,B37)+IF(F37="SI",0,1))</f>
        <v/>
      </c>
      <c r="E37" s="4" t="str">
        <f>IFERROR(__xludf.DUMMYFUNCTION("IF($B37="""","""",INDEX(filter(Familias!F:F,Familias!$D:$D=$A37,Familias!$E:$E=$B37),1))"),"")</f>
        <v/>
      </c>
      <c r="F37" s="4" t="str">
        <f>IFERROR(__xludf.DUMMYFUNCTION("IF($B37="""","""",INDEX(filter(Familias!G:G,Familias!$D:$D=$A37,Familias!$E:$E=$B37),1))"),"")</f>
        <v/>
      </c>
      <c r="G37" s="4" t="str">
        <f t="array" ref="G37">IF(C37=1,XLOOKUP(C37,Cotizador!D:D,Cotizador!E:E,"",0,1),"")</f>
        <v/>
      </c>
      <c r="I37" s="4"/>
      <c r="J37" s="8" t="str">
        <f>IF(I37="","",SUMIF(Cotizador!I$1:V$1,I37,Cotizador!I$2:V$2))</f>
        <v/>
      </c>
      <c r="L37" s="4" t="str">
        <f t="array" ref="L37">IF(COUNTIF(L$1:L36,A$2)=SUMIF(A:A,A$2,D:D),IF(COUNTIF(L$1:L36,XLOOKUP(A$2,Implementos!B:B,Implementos!C:C,"",0,1))=SUMIF(A:A,XLOOKUP(A$2,Implementos!B:B,Implementos!C:C,"",0,1),D:D),"",XLOOKUP(A$2,Implementos!B:B,Implementos!C:C,"",0,1)),A$2)</f>
        <v>Acoplados Rurales</v>
      </c>
      <c r="M37" s="4">
        <f t="shared" si="2"/>
        <v>36</v>
      </c>
      <c r="N37" s="4">
        <f t="shared" si="3"/>
        <v>2</v>
      </c>
      <c r="O37" s="4">
        <f t="shared" si="4"/>
        <v>2</v>
      </c>
      <c r="P37" s="4">
        <f t="shared" si="5"/>
        <v>8</v>
      </c>
      <c r="Q37" s="4">
        <f>IF(U37="","",SUMIF(Productos!E:E,U37,Productos!A:A))</f>
        <v>64</v>
      </c>
      <c r="R37" s="4">
        <f t="array" ref="R37">IF(L37="","", max(1,SUMIF(I:I,XLOOKUP(U37,Productos!E:E,Productos!G:G,"",0,1),J:J)))</f>
        <v>1</v>
      </c>
      <c r="S37" s="4" t="str">
        <f>IF(Q37="","",IF(SUMIFS(Compat_Vetado!D:D,Compat_Vetado!B:B,SUM(G:G),Compat_Vetado!C:C,Q37)=1,"SI",IF(OR(SUMIF(Cotizador!E:E,Q37,Cotizador!G:G)&gt;0,SUMIFS(Compat_Vetado!D:D,Compat_Vetado!B:B,SUM(G:G),Compat_Vetado!C:C,Q37)=-1),"NO","")))</f>
        <v/>
      </c>
      <c r="T37" s="4" t="str">
        <f t="shared" si="6"/>
        <v>x</v>
      </c>
      <c r="U37" s="4" t="str">
        <f>IFERROR(__xludf.DUMMYFUNCTION("IF(P37="""","""",IFERROR(INDEX(filter(Productos!E:E,Productos!F:F=L37,Productos!H:H=N37),P37),IF(M37=SUM(D:D),""Finalizar"",""-"")))"),"Baulera Extendida 1700 - C/Laterales")</f>
        <v>Baulera Extendida 1700 - C/Laterales</v>
      </c>
      <c r="V37" s="4" t="str">
        <f>IFERROR(__xludf.DUMMYFUNCTION("IF(OR($U37="""",COUNTIF($I:$I,IFERROR(unique(filter(Prod_Prop!$H:$H,Prod_Prop!$G:$G=$U37,Prod_Prop!$E:$E=V$1)),""Check""))=0),"""",IFERROR(unique(filter(Prod_Prop!$H:$H,Prod_Prop!$G:$G=$U37,Prod_Prop!$E:$E=V$1)),""""))"),"")</f>
        <v/>
      </c>
      <c r="W37" s="4" t="str">
        <f>IF(V37="","",SUMIFS(Prod_Prop!$J:$J,Prod_Prop!$B:$B,$Q37,Prod_Prop!$H:$H,V37,Prod_Prop!$I:$I,W$1)*IF(V37="Peso",$R37,1))</f>
        <v/>
      </c>
      <c r="X37" s="4" t="str">
        <f>IF(V37="","",SUMIFS(Prod_Prop!$J:$J,Prod_Prop!$B:$B,$Q37,Prod_Prop!$H:$H,V37,Prod_Prop!$I:$I,X$1)*IF(V37="Peso",$R37,1))</f>
        <v/>
      </c>
      <c r="Y37" s="4" t="str">
        <f>IFERROR(__xludf.DUMMYFUNCTION("IF(OR($U37="""",COUNTIF($I:$I,IFERROR(unique(filter(Prod_Prop!$H:$H,Prod_Prop!$G:$G=$U37,Prod_Prop!$E:$E=Y$1)),""Check""))=0),"""",IFERROR(unique(filter(Prod_Prop!$H:$H,Prod_Prop!$G:$G=$U37,Prod_Prop!$E:$E=Y$1)),""""))"),"")</f>
        <v/>
      </c>
      <c r="Z37" s="4" t="str">
        <f>IF(Y37="","",SUMIFS(Prod_Prop!$J:$J,Prod_Prop!$B:$B,$Q37,Prod_Prop!$H:$H,Y37,Prod_Prop!$I:$I,Z$1)*IF(Y37="Peso",$R37,1))</f>
        <v/>
      </c>
      <c r="AA37" s="4" t="str">
        <f>IF(Y37="","",SUMIFS(Prod_Prop!$J:$J,Prod_Prop!$B:$B,$Q37,Prod_Prop!$H:$H,Y37,Prod_Prop!$I:$I,AA$1)*IF(Y37="Peso",$R37,1))</f>
        <v/>
      </c>
      <c r="AB37" s="4" t="str">
        <f>IFERROR(__xludf.DUMMYFUNCTION("IF(OR($U37="""",COUNTIF($I:$I,IFERROR(unique(filter(Prod_Prop!$H:$H,Prod_Prop!$G:$G=$U37,Prod_Prop!$E:$E=AB$1)),""Check""))=0),"""",IFERROR(unique(filter(Prod_Prop!$H:$H,Prod_Prop!$G:$G=$U37,Prod_Prop!$E:$E=AB$1)),""""))"),"")</f>
        <v/>
      </c>
      <c r="AC37" s="4" t="str">
        <f>IF(AB37="","",SUMIFS(Prod_Prop!$J:$J,Prod_Prop!$B:$B,$Q37,Prod_Prop!$H:$H,AB37,Prod_Prop!$I:$I,AC$1)*IF(AB37="Peso",$R37,1))</f>
        <v/>
      </c>
      <c r="AD37" s="4" t="str">
        <f>IF(AB37="","",SUMIFS(Prod_Prop!$J:$J,Prod_Prop!$B:$B,$Q37,Prod_Prop!$H:$H,AB37,Prod_Prop!$I:$I,AD$1)*IF(AB37="Peso",$R37,1))</f>
        <v/>
      </c>
    </row>
    <row r="38">
      <c r="A38" s="4" t="str">
        <f t="array" ref="A38">IF(COUNTIF(A$1:A37,Cotizador!F$2)=maxifs(Familias!E:E,Familias!D:D,Cotizador!F$2),IF(COUNTIF(A$1:A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" s="4" t="str">
        <f t="shared" si="1"/>
        <v/>
      </c>
      <c r="C38" s="4" t="str">
        <f t="array" ref="C38">IF(B38="","",IF(A38=XLOOKUP(A$2,Implementos!B:B,Implementos!C:C,"",0,1),B38+maxifs(B$1:B37,A$1:A37,A$2),B38))</f>
        <v/>
      </c>
      <c r="D38" s="4" t="str">
        <f>IF(B38="","", COUNTIFS(Productos!F:F,A38,Productos!H:H,B38)+IF(F38="SI",0,1))</f>
        <v/>
      </c>
      <c r="E38" s="4" t="str">
        <f>IFERROR(__xludf.DUMMYFUNCTION("IF($B38="""","""",INDEX(filter(Familias!F:F,Familias!$D:$D=$A38,Familias!$E:$E=$B38),1))"),"")</f>
        <v/>
      </c>
      <c r="F38" s="4" t="str">
        <f>IFERROR(__xludf.DUMMYFUNCTION("IF($B38="""","""",INDEX(filter(Familias!G:G,Familias!$D:$D=$A38,Familias!$E:$E=$B38),1))"),"")</f>
        <v/>
      </c>
      <c r="G38" s="4" t="str">
        <f t="array" ref="G38">IF(C38=1,XLOOKUP(C38,Cotizador!D:D,Cotizador!E:E,"",0,1),"")</f>
        <v/>
      </c>
      <c r="I38" s="4"/>
      <c r="J38" s="8" t="str">
        <f>IF(I38="","",SUMIF(Cotizador!I$1:V$1,I38,Cotizador!I$2:V$2))</f>
        <v/>
      </c>
      <c r="L38" s="4" t="str">
        <f t="array" ref="L38">IF(COUNTIF(L$1:L37,A$2)=SUMIF(A:A,A$2,D:D),IF(COUNTIF(L$1:L37,XLOOKUP(A$2,Implementos!B:B,Implementos!C:C,"",0,1))=SUMIF(A:A,XLOOKUP(A$2,Implementos!B:B,Implementos!C:C,"",0,1),D:D),"",XLOOKUP(A$2,Implementos!B:B,Implementos!C:C,"",0,1)),A$2)</f>
        <v>Acoplados Rurales</v>
      </c>
      <c r="M38" s="4">
        <f t="shared" si="2"/>
        <v>37</v>
      </c>
      <c r="N38" s="4">
        <f t="shared" si="3"/>
        <v>2</v>
      </c>
      <c r="O38" s="4">
        <f t="shared" si="4"/>
        <v>2</v>
      </c>
      <c r="P38" s="4">
        <f t="shared" si="5"/>
        <v>9</v>
      </c>
      <c r="Q38" s="4">
        <f>IF(U38="","",SUMIF(Productos!E:E,U38,Productos!A:A))</f>
        <v>65</v>
      </c>
      <c r="R38" s="4">
        <f t="array" ref="R38">IF(L38="","", max(1,SUMIF(I:I,XLOOKUP(U38,Productos!E:E,Productos!G:G,"",0,1),J:J)))</f>
        <v>1</v>
      </c>
      <c r="S38" s="4" t="str">
        <f>IF(Q38="","",IF(SUMIFS(Compat_Vetado!D:D,Compat_Vetado!B:B,SUM(G:G),Compat_Vetado!C:C,Q38)=1,"SI",IF(OR(SUMIF(Cotizador!E:E,Q38,Cotizador!G:G)&gt;0,SUMIFS(Compat_Vetado!D:D,Compat_Vetado!B:B,SUM(G:G),Compat_Vetado!C:C,Q38)=-1),"NO","")))</f>
        <v/>
      </c>
      <c r="T38" s="4" t="str">
        <f t="shared" si="6"/>
        <v>x</v>
      </c>
      <c r="U38" s="4" t="str">
        <f>IFERROR(__xludf.DUMMYFUNCTION("IF(P38="""","""",IFERROR(INDEX(filter(Productos!E:E,Productos!F:F=L38,Productos!H:H=N38),P38),IF(M38=SUM(D:D),""Finalizar"",""-"")))"),"Taller Móvil - 1500 x 1500 x 1700")</f>
        <v>Taller Móvil - 1500 x 1500 x 1700</v>
      </c>
      <c r="V38" s="4" t="str">
        <f>IFERROR(__xludf.DUMMYFUNCTION("IF(OR($U38="""",COUNTIF($I:$I,IFERROR(unique(filter(Prod_Prop!$H:$H,Prod_Prop!$G:$G=$U38,Prod_Prop!$E:$E=V$1)),""Check""))=0),"""",IFERROR(unique(filter(Prod_Prop!$H:$H,Prod_Prop!$G:$G=$U38,Prod_Prop!$E:$E=V$1)),""""))"),"")</f>
        <v/>
      </c>
      <c r="W38" s="4" t="str">
        <f>IF(V38="","",SUMIFS(Prod_Prop!$J:$J,Prod_Prop!$B:$B,$Q38,Prod_Prop!$H:$H,V38,Prod_Prop!$I:$I,W$1)*IF(V38="Peso",$R38,1))</f>
        <v/>
      </c>
      <c r="X38" s="4" t="str">
        <f>IF(V38="","",SUMIFS(Prod_Prop!$J:$J,Prod_Prop!$B:$B,$Q38,Prod_Prop!$H:$H,V38,Prod_Prop!$I:$I,X$1)*IF(V38="Peso",$R38,1))</f>
        <v/>
      </c>
      <c r="Y38" s="4" t="str">
        <f>IFERROR(__xludf.DUMMYFUNCTION("IF(OR($U38="""",COUNTIF($I:$I,IFERROR(unique(filter(Prod_Prop!$H:$H,Prod_Prop!$G:$G=$U38,Prod_Prop!$E:$E=Y$1)),""Check""))=0),"""",IFERROR(unique(filter(Prod_Prop!$H:$H,Prod_Prop!$G:$G=$U38,Prod_Prop!$E:$E=Y$1)),""""))"),"")</f>
        <v/>
      </c>
      <c r="Z38" s="4" t="str">
        <f>IF(Y38="","",SUMIFS(Prod_Prop!$J:$J,Prod_Prop!$B:$B,$Q38,Prod_Prop!$H:$H,Y38,Prod_Prop!$I:$I,Z$1)*IF(Y38="Peso",$R38,1))</f>
        <v/>
      </c>
      <c r="AA38" s="4" t="str">
        <f>IF(Y38="","",SUMIFS(Prod_Prop!$J:$J,Prod_Prop!$B:$B,$Q38,Prod_Prop!$H:$H,Y38,Prod_Prop!$I:$I,AA$1)*IF(Y38="Peso",$R38,1))</f>
        <v/>
      </c>
      <c r="AB38" s="4" t="str">
        <f>IFERROR(__xludf.DUMMYFUNCTION("IF(OR($U38="""",COUNTIF($I:$I,IFERROR(unique(filter(Prod_Prop!$H:$H,Prod_Prop!$G:$G=$U38,Prod_Prop!$E:$E=AB$1)),""Check""))=0),"""",IFERROR(unique(filter(Prod_Prop!$H:$H,Prod_Prop!$G:$G=$U38,Prod_Prop!$E:$E=AB$1)),""""))"),"")</f>
        <v/>
      </c>
      <c r="AC38" s="4" t="str">
        <f>IF(AB38="","",SUMIFS(Prod_Prop!$J:$J,Prod_Prop!$B:$B,$Q38,Prod_Prop!$H:$H,AB38,Prod_Prop!$I:$I,AC$1)*IF(AB38="Peso",$R38,1))</f>
        <v/>
      </c>
      <c r="AD38" s="4" t="str">
        <f>IF(AB38="","",SUMIFS(Prod_Prop!$J:$J,Prod_Prop!$B:$B,$Q38,Prod_Prop!$H:$H,AB38,Prod_Prop!$I:$I,AD$1)*IF(AB38="Peso",$R38,1))</f>
        <v/>
      </c>
    </row>
    <row r="39">
      <c r="A39" s="4" t="str">
        <f t="array" ref="A39">IF(COUNTIF(A$1:A38,Cotizador!F$2)=maxifs(Familias!E:E,Familias!D:D,Cotizador!F$2),IF(COUNTIF(A$1:A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" s="4" t="str">
        <f t="shared" si="1"/>
        <v/>
      </c>
      <c r="C39" s="4" t="str">
        <f t="array" ref="C39">IF(B39="","",IF(A39=XLOOKUP(A$2,Implementos!B:B,Implementos!C:C,"",0,1),B39+maxifs(B$1:B38,A$1:A38,A$2),B39))</f>
        <v/>
      </c>
      <c r="D39" s="4" t="str">
        <f>IF(B39="","", COUNTIFS(Productos!F:F,A39,Productos!H:H,B39)+IF(F39="SI",0,1))</f>
        <v/>
      </c>
      <c r="E39" s="4" t="str">
        <f>IFERROR(__xludf.DUMMYFUNCTION("IF($B39="""","""",INDEX(filter(Familias!F:F,Familias!$D:$D=$A39,Familias!$E:$E=$B39),1))"),"")</f>
        <v/>
      </c>
      <c r="F39" s="4" t="str">
        <f>IFERROR(__xludf.DUMMYFUNCTION("IF($B39="""","""",INDEX(filter(Familias!G:G,Familias!$D:$D=$A39,Familias!$E:$E=$B39),1))"),"")</f>
        <v/>
      </c>
      <c r="G39" s="4" t="str">
        <f t="array" ref="G39">IF(C39=1,XLOOKUP(C39,Cotizador!D:D,Cotizador!E:E,"",0,1),"")</f>
        <v/>
      </c>
      <c r="I39" s="4"/>
      <c r="J39" s="8" t="str">
        <f>IF(I39="","",SUMIF(Cotizador!I$1:V$1,I39,Cotizador!I$2:V$2))</f>
        <v/>
      </c>
      <c r="L39" s="4" t="str">
        <f t="array" ref="L39">IF(COUNTIF(L$1:L38,A$2)=SUMIF(A:A,A$2,D:D),IF(COUNTIF(L$1:L38,XLOOKUP(A$2,Implementos!B:B,Implementos!C:C,"",0,1))=SUMIF(A:A,XLOOKUP(A$2,Implementos!B:B,Implementos!C:C,"",0,1),D:D),"",XLOOKUP(A$2,Implementos!B:B,Implementos!C:C,"",0,1)),A$2)</f>
        <v>Acoplados Rurales</v>
      </c>
      <c r="M39" s="4">
        <f t="shared" si="2"/>
        <v>38</v>
      </c>
      <c r="N39" s="4">
        <f t="shared" si="3"/>
        <v>2</v>
      </c>
      <c r="O39" s="4">
        <f t="shared" si="4"/>
        <v>2</v>
      </c>
      <c r="P39" s="4">
        <f t="shared" si="5"/>
        <v>10</v>
      </c>
      <c r="Q39" s="4">
        <f>IF(U39="","",SUMIF(Productos!E:E,U39,Productos!A:A))</f>
        <v>152</v>
      </c>
      <c r="R39" s="4">
        <f t="array" ref="R39">IF(L39="","", max(1,SUMIF(I:I,XLOOKUP(U39,Productos!E:E,Productos!G:G,"",0,1),J:J)))</f>
        <v>1</v>
      </c>
      <c r="S39" s="4" t="str">
        <f>IF(Q39="","",IF(SUMIFS(Compat_Vetado!D:D,Compat_Vetado!B:B,SUM(G:G),Compat_Vetado!C:C,Q39)=1,"SI",IF(OR(SUMIF(Cotizador!E:E,Q39,Cotizador!G:G)&gt;0,SUMIFS(Compat_Vetado!D:D,Compat_Vetado!B:B,SUM(G:G),Compat_Vetado!C:C,Q39)=-1),"NO","")))</f>
        <v/>
      </c>
      <c r="T39" s="4" t="str">
        <f t="shared" si="6"/>
        <v>x</v>
      </c>
      <c r="U39" s="4" t="str">
        <f>IFERROR(__xludf.DUMMYFUNCTION("IF(P39="""","""",IFERROR(INDEX(filter(Productos!E:E,Productos!F:F=L39,Productos!H:H=N39),P39),IF(M39=SUM(D:D),""Finalizar"",""-"")))"),"Cajón de Herramientas Mediano adelante")</f>
        <v>Cajón de Herramientas Mediano adelante</v>
      </c>
      <c r="V39" s="4" t="str">
        <f>IFERROR(__xludf.DUMMYFUNCTION("IF(OR($U39="""",COUNTIF($I:$I,IFERROR(unique(filter(Prod_Prop!$H:$H,Prod_Prop!$G:$G=$U39,Prod_Prop!$E:$E=V$1)),""Check""))=0),"""",IFERROR(unique(filter(Prod_Prop!$H:$H,Prod_Prop!$G:$G=$U39,Prod_Prop!$E:$E=V$1)),""""))"),"")</f>
        <v/>
      </c>
      <c r="W39" s="4" t="str">
        <f>IF(V39="","",SUMIFS(Prod_Prop!$J:$J,Prod_Prop!$B:$B,$Q39,Prod_Prop!$H:$H,V39,Prod_Prop!$I:$I,W$1)*IF(V39="Peso",$R39,1))</f>
        <v/>
      </c>
      <c r="X39" s="4" t="str">
        <f>IF(V39="","",SUMIFS(Prod_Prop!$J:$J,Prod_Prop!$B:$B,$Q39,Prod_Prop!$H:$H,V39,Prod_Prop!$I:$I,X$1)*IF(V39="Peso",$R39,1))</f>
        <v/>
      </c>
      <c r="Y39" s="4" t="str">
        <f>IFERROR(__xludf.DUMMYFUNCTION("IF(OR($U39="""",COUNTIF($I:$I,IFERROR(unique(filter(Prod_Prop!$H:$H,Prod_Prop!$G:$G=$U39,Prod_Prop!$E:$E=Y$1)),""Check""))=0),"""",IFERROR(unique(filter(Prod_Prop!$H:$H,Prod_Prop!$G:$G=$U39,Prod_Prop!$E:$E=Y$1)),""""))"),"")</f>
        <v/>
      </c>
      <c r="Z39" s="4" t="str">
        <f>IF(Y39="","",SUMIFS(Prod_Prop!$J:$J,Prod_Prop!$B:$B,$Q39,Prod_Prop!$H:$H,Y39,Prod_Prop!$I:$I,Z$1)*IF(Y39="Peso",$R39,1))</f>
        <v/>
      </c>
      <c r="AA39" s="4" t="str">
        <f>IF(Y39="","",SUMIFS(Prod_Prop!$J:$J,Prod_Prop!$B:$B,$Q39,Prod_Prop!$H:$H,Y39,Prod_Prop!$I:$I,AA$1)*IF(Y39="Peso",$R39,1))</f>
        <v/>
      </c>
      <c r="AB39" s="4" t="str">
        <f>IFERROR(__xludf.DUMMYFUNCTION("IF(OR($U39="""",COUNTIF($I:$I,IFERROR(unique(filter(Prod_Prop!$H:$H,Prod_Prop!$G:$G=$U39,Prod_Prop!$E:$E=AB$1)),""Check""))=0),"""",IFERROR(unique(filter(Prod_Prop!$H:$H,Prod_Prop!$G:$G=$U39,Prod_Prop!$E:$E=AB$1)),""""))"),"")</f>
        <v/>
      </c>
      <c r="AC39" s="4" t="str">
        <f>IF(AB39="","",SUMIFS(Prod_Prop!$J:$J,Prod_Prop!$B:$B,$Q39,Prod_Prop!$H:$H,AB39,Prod_Prop!$I:$I,AC$1)*IF(AB39="Peso",$R39,1))</f>
        <v/>
      </c>
      <c r="AD39" s="4" t="str">
        <f>IF(AB39="","",SUMIFS(Prod_Prop!$J:$J,Prod_Prop!$B:$B,$Q39,Prod_Prop!$H:$H,AB39,Prod_Prop!$I:$I,AD$1)*IF(AB39="Peso",$R39,1))</f>
        <v/>
      </c>
    </row>
    <row r="40">
      <c r="A40" s="4" t="str">
        <f t="array" ref="A40">IF(COUNTIF(A$1:A39,Cotizador!F$2)=maxifs(Familias!E:E,Familias!D:D,Cotizador!F$2),IF(COUNTIF(A$1:A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" s="4" t="str">
        <f t="shared" si="1"/>
        <v/>
      </c>
      <c r="C40" s="4" t="str">
        <f t="array" ref="C40">IF(B40="","",IF(A40=XLOOKUP(A$2,Implementos!B:B,Implementos!C:C,"",0,1),B40+maxifs(B$1:B39,A$1:A39,A$2),B40))</f>
        <v/>
      </c>
      <c r="D40" s="4" t="str">
        <f>IF(B40="","", COUNTIFS(Productos!F:F,A40,Productos!H:H,B40)+IF(F40="SI",0,1))</f>
        <v/>
      </c>
      <c r="E40" s="4" t="str">
        <f>IFERROR(__xludf.DUMMYFUNCTION("IF($B40="""","""",INDEX(filter(Familias!F:F,Familias!$D:$D=$A40,Familias!$E:$E=$B40),1))"),"")</f>
        <v/>
      </c>
      <c r="F40" s="4" t="str">
        <f>IFERROR(__xludf.DUMMYFUNCTION("IF($B40="""","""",INDEX(filter(Familias!G:G,Familias!$D:$D=$A40,Familias!$E:$E=$B40),1))"),"")</f>
        <v/>
      </c>
      <c r="G40" s="4" t="str">
        <f t="array" ref="G40">IF(C40=1,XLOOKUP(C40,Cotizador!D:D,Cotizador!E:E,"",0,1),"")</f>
        <v/>
      </c>
      <c r="I40" s="4"/>
      <c r="J40" s="8" t="str">
        <f>IF(I40="","",SUMIF(Cotizador!I$1:V$1,I40,Cotizador!I$2:V$2))</f>
        <v/>
      </c>
      <c r="L40" s="4" t="str">
        <f t="array" ref="L40">IF(COUNTIF(L$1:L39,A$2)=SUMIF(A:A,A$2,D:D),IF(COUNTIF(L$1:L39,XLOOKUP(A$2,Implementos!B:B,Implementos!C:C,"",0,1))=SUMIF(A:A,XLOOKUP(A$2,Implementos!B:B,Implementos!C:C,"",0,1),D:D),"",XLOOKUP(A$2,Implementos!B:B,Implementos!C:C,"",0,1)),A$2)</f>
        <v>Acoplados Rurales</v>
      </c>
      <c r="M40" s="4">
        <f t="shared" si="2"/>
        <v>39</v>
      </c>
      <c r="N40" s="4">
        <f t="shared" si="3"/>
        <v>2</v>
      </c>
      <c r="O40" s="4">
        <f t="shared" si="4"/>
        <v>2</v>
      </c>
      <c r="P40" s="4">
        <f t="shared" si="5"/>
        <v>11</v>
      </c>
      <c r="Q40" s="4">
        <f>IF(U40="","",SUMIF(Productos!E:E,U40,Productos!A:A))</f>
        <v>0</v>
      </c>
      <c r="R40" s="4">
        <f t="array" ref="R40">IF(L40="","", max(1,SUMIF(I:I,XLOOKUP(U40,Productos!E:E,Productos!G:G,"",0,1),J:J)))</f>
        <v>1</v>
      </c>
      <c r="S40" s="4" t="str">
        <f>IF(Q40="","",IF(SUMIFS(Compat_Vetado!D:D,Compat_Vetado!B:B,SUM(G:G),Compat_Vetado!C:C,Q40)=1,"SI",IF(OR(SUMIF(Cotizador!E:E,Q40,Cotizador!G:G)&gt;0,SUMIFS(Compat_Vetado!D:D,Compat_Vetado!B:B,SUM(G:G),Compat_Vetado!C:C,Q40)=-1),"NO","")))</f>
        <v/>
      </c>
      <c r="T40" s="4" t="str">
        <f t="shared" si="6"/>
        <v>x</v>
      </c>
      <c r="U40" s="4" t="str">
        <f>IFERROR(__xludf.DUMMYFUNCTION("IF(P40="""","""",IFERROR(INDEX(filter(Productos!E:E,Productos!F:F=L40,Productos!H:H=N40),P40),IF(M40=SUM(D:D),""Finalizar"",""-"")))"),"-")</f>
        <v>-</v>
      </c>
      <c r="V40" s="4" t="str">
        <f>IFERROR(__xludf.DUMMYFUNCTION("IF(OR($U40="""",COUNTIF($I:$I,IFERROR(unique(filter(Prod_Prop!$H:$H,Prod_Prop!$G:$G=$U40,Prod_Prop!$E:$E=V$1)),""Check""))=0),"""",IFERROR(unique(filter(Prod_Prop!$H:$H,Prod_Prop!$G:$G=$U40,Prod_Prop!$E:$E=V$1)),""""))"),"")</f>
        <v/>
      </c>
      <c r="W40" s="4" t="str">
        <f>IF(V40="","",SUMIFS(Prod_Prop!$J:$J,Prod_Prop!$B:$B,$Q40,Prod_Prop!$H:$H,V40,Prod_Prop!$I:$I,W$1)*IF(V40="Peso",$R40,1))</f>
        <v/>
      </c>
      <c r="X40" s="4" t="str">
        <f>IF(V40="","",SUMIFS(Prod_Prop!$J:$J,Prod_Prop!$B:$B,$Q40,Prod_Prop!$H:$H,V40,Prod_Prop!$I:$I,X$1)*IF(V40="Peso",$R40,1))</f>
        <v/>
      </c>
      <c r="Y40" s="4" t="str">
        <f>IFERROR(__xludf.DUMMYFUNCTION("IF(OR($U40="""",COUNTIF($I:$I,IFERROR(unique(filter(Prod_Prop!$H:$H,Prod_Prop!$G:$G=$U40,Prod_Prop!$E:$E=Y$1)),""Check""))=0),"""",IFERROR(unique(filter(Prod_Prop!$H:$H,Prod_Prop!$G:$G=$U40,Prod_Prop!$E:$E=Y$1)),""""))"),"")</f>
        <v/>
      </c>
      <c r="Z40" s="4" t="str">
        <f>IF(Y40="","",SUMIFS(Prod_Prop!$J:$J,Prod_Prop!$B:$B,$Q40,Prod_Prop!$H:$H,Y40,Prod_Prop!$I:$I,Z$1)*IF(Y40="Peso",$R40,1))</f>
        <v/>
      </c>
      <c r="AA40" s="4" t="str">
        <f>IF(Y40="","",SUMIFS(Prod_Prop!$J:$J,Prod_Prop!$B:$B,$Q40,Prod_Prop!$H:$H,Y40,Prod_Prop!$I:$I,AA$1)*IF(Y40="Peso",$R40,1))</f>
        <v/>
      </c>
      <c r="AB40" s="4" t="str">
        <f>IFERROR(__xludf.DUMMYFUNCTION("IF(OR($U40="""",COUNTIF($I:$I,IFERROR(unique(filter(Prod_Prop!$H:$H,Prod_Prop!$G:$G=$U40,Prod_Prop!$E:$E=AB$1)),""Check""))=0),"""",IFERROR(unique(filter(Prod_Prop!$H:$H,Prod_Prop!$G:$G=$U40,Prod_Prop!$E:$E=AB$1)),""""))"),"")</f>
        <v/>
      </c>
      <c r="AC40" s="4" t="str">
        <f>IF(AB40="","",SUMIFS(Prod_Prop!$J:$J,Prod_Prop!$B:$B,$Q40,Prod_Prop!$H:$H,AB40,Prod_Prop!$I:$I,AC$1)*IF(AB40="Peso",$R40,1))</f>
        <v/>
      </c>
      <c r="AD40" s="4" t="str">
        <f>IF(AB40="","",SUMIFS(Prod_Prop!$J:$J,Prod_Prop!$B:$B,$Q40,Prod_Prop!$H:$H,AB40,Prod_Prop!$I:$I,AD$1)*IF(AB40="Peso",$R40,1))</f>
        <v/>
      </c>
    </row>
    <row r="41">
      <c r="A41" s="4" t="str">
        <f t="array" ref="A41">IF(COUNTIF(A$1:A40,Cotizador!F$2)=maxifs(Familias!E:E,Familias!D:D,Cotizador!F$2),IF(COUNTIF(A$1:A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" s="4" t="str">
        <f t="shared" si="1"/>
        <v/>
      </c>
      <c r="C41" s="4" t="str">
        <f t="array" ref="C41">IF(B41="","",IF(A41=XLOOKUP(A$2,Implementos!B:B,Implementos!C:C,"",0,1),B41+maxifs(B$1:B40,A$1:A40,A$2),B41))</f>
        <v/>
      </c>
      <c r="D41" s="4" t="str">
        <f>IF(B41="","", COUNTIFS(Productos!F:F,A41,Productos!H:H,B41)+IF(F41="SI",0,1))</f>
        <v/>
      </c>
      <c r="E41" s="4" t="str">
        <f>IFERROR(__xludf.DUMMYFUNCTION("IF($B41="""","""",INDEX(filter(Familias!F:F,Familias!$D:$D=$A41,Familias!$E:$E=$B41),1))"),"")</f>
        <v/>
      </c>
      <c r="F41" s="4" t="str">
        <f>IFERROR(__xludf.DUMMYFUNCTION("IF($B41="""","""",INDEX(filter(Familias!G:G,Familias!$D:$D=$A41,Familias!$E:$E=$B41),1))"),"")</f>
        <v/>
      </c>
      <c r="G41" s="4" t="str">
        <f t="array" ref="G41">IF(C41=1,XLOOKUP(C41,Cotizador!D:D,Cotizador!E:E,"",0,1),"")</f>
        <v/>
      </c>
      <c r="I41" s="4"/>
      <c r="J41" s="8" t="str">
        <f>IF(I41="","",SUMIF(Cotizador!I$1:V$1,I41,Cotizador!I$2:V$2))</f>
        <v/>
      </c>
      <c r="L41" s="4" t="str">
        <f t="array" ref="L41">IF(COUNTIF(L$1:L40,A$2)=SUMIF(A:A,A$2,D:D),IF(COUNTIF(L$1:L40,XLOOKUP(A$2,Implementos!B:B,Implementos!C:C,"",0,1))=SUMIF(A:A,XLOOKUP(A$2,Implementos!B:B,Implementos!C:C,"",0,1),D:D),"",XLOOKUP(A$2,Implementos!B:B,Implementos!C:C,"",0,1)),A$2)</f>
        <v>Acoplados Rurales</v>
      </c>
      <c r="M41" s="4">
        <f t="shared" si="2"/>
        <v>40</v>
      </c>
      <c r="N41" s="4">
        <f t="shared" si="3"/>
        <v>3</v>
      </c>
      <c r="O41" s="4">
        <f t="shared" si="4"/>
        <v>3</v>
      </c>
      <c r="P41" s="4">
        <f t="shared" si="5"/>
        <v>1</v>
      </c>
      <c r="Q41" s="4">
        <f>IF(U41="","",SUMIF(Productos!E:E,U41,Productos!A:A))</f>
        <v>72</v>
      </c>
      <c r="R41" s="4">
        <f t="array" ref="R41">IF(L41="","", max(1,SUMIF(I:I,XLOOKUP(U41,Productos!E:E,Productos!G:G,"",0,1),J:J)))</f>
        <v>1</v>
      </c>
      <c r="S41" s="4" t="str">
        <f>IF(Q41="","",IF(SUMIFS(Compat_Vetado!D:D,Compat_Vetado!B:B,SUM(G:G),Compat_Vetado!C:C,Q41)=1,"SI",IF(OR(SUMIF(Cotizador!E:E,Q41,Cotizador!G:G)&gt;0,SUMIFS(Compat_Vetado!D:D,Compat_Vetado!B:B,SUM(G:G),Compat_Vetado!C:C,Q41)=-1),"NO","")))</f>
        <v/>
      </c>
      <c r="T41" s="4" t="str">
        <f t="shared" si="6"/>
        <v/>
      </c>
      <c r="U41" s="4" t="str">
        <f>IFERROR(__xludf.DUMMYFUNCTION("IF(P41="""","""",IFERROR(INDEX(filter(Productos!E:E,Productos!F:F=L41,Productos!H:H=N41),P41),IF(M41=SUM(D:D),""Finalizar"",""-"")))"),"Chasis Acoplado 2 Ejes L3000")</f>
        <v>Chasis Acoplado 2 Ejes L3000</v>
      </c>
      <c r="V41" s="4" t="str">
        <f>IFERROR(__xludf.DUMMYFUNCTION("IF(OR($U41="""",COUNTIF($I:$I,IFERROR(unique(filter(Prod_Prop!$H:$H,Prod_Prop!$G:$G=$U41,Prod_Prop!$E:$E=V$1)),""Check""))=0),"""",IFERROR(unique(filter(Prod_Prop!$H:$H,Prod_Prop!$G:$G=$U41,Prod_Prop!$E:$E=V$1)),""""))"),"Longitud")</f>
        <v>Longitud</v>
      </c>
      <c r="W41" s="4">
        <f>IF(V41="","",SUMIFS(Prod_Prop!$J:$J,Prod_Prop!$B:$B,$Q41,Prod_Prop!$H:$H,V41,Prod_Prop!$I:$I,W$1)*IF(V41="Peso",$R41,1))</f>
        <v>2.8</v>
      </c>
      <c r="X41" s="4">
        <f>IF(V41="","",SUMIFS(Prod_Prop!$J:$J,Prod_Prop!$B:$B,$Q41,Prod_Prop!$H:$H,V41,Prod_Prop!$I:$I,X$1)*IF(V41="Peso",$R41,1))</f>
        <v>3</v>
      </c>
      <c r="Y41" s="4" t="str">
        <f>IFERROR(__xludf.DUMMYFUNCTION("IF(OR($U41="""",COUNTIF($I:$I,IFERROR(unique(filter(Prod_Prop!$H:$H,Prod_Prop!$G:$G=$U41,Prod_Prop!$E:$E=Y$1)),""Check""))=0),"""",IFERROR(unique(filter(Prod_Prop!$H:$H,Prod_Prop!$G:$G=$U41,Prod_Prop!$E:$E=Y$1)),""""))"),"")</f>
        <v/>
      </c>
      <c r="Z41" s="4" t="str">
        <f>IF(Y41="","",SUMIFS(Prod_Prop!$J:$J,Prod_Prop!$B:$B,$Q41,Prod_Prop!$H:$H,Y41,Prod_Prop!$I:$I,Z$1)*IF(Y41="Peso",$R41,1))</f>
        <v/>
      </c>
      <c r="AA41" s="4" t="str">
        <f>IF(Y41="","",SUMIFS(Prod_Prop!$J:$J,Prod_Prop!$B:$B,$Q41,Prod_Prop!$H:$H,Y41,Prod_Prop!$I:$I,AA$1)*IF(Y41="Peso",$R41,1))</f>
        <v/>
      </c>
      <c r="AB41" s="4" t="str">
        <f>IFERROR(__xludf.DUMMYFUNCTION("IF(OR($U41="""",COUNTIF($I:$I,IFERROR(unique(filter(Prod_Prop!$H:$H,Prod_Prop!$G:$G=$U41,Prod_Prop!$E:$E=AB$1)),""Check""))=0),"""",IFERROR(unique(filter(Prod_Prop!$H:$H,Prod_Prop!$G:$G=$U41,Prod_Prop!$E:$E=AB$1)),""""))"),"")</f>
        <v/>
      </c>
      <c r="AC41" s="4" t="str">
        <f>IF(AB41="","",SUMIFS(Prod_Prop!$J:$J,Prod_Prop!$B:$B,$Q41,Prod_Prop!$H:$H,AB41,Prod_Prop!$I:$I,AC$1)*IF(AB41="Peso",$R41,1))</f>
        <v/>
      </c>
      <c r="AD41" s="4" t="str">
        <f>IF(AB41="","",SUMIFS(Prod_Prop!$J:$J,Prod_Prop!$B:$B,$Q41,Prod_Prop!$H:$H,AB41,Prod_Prop!$I:$I,AD$1)*IF(AB41="Peso",$R41,1))</f>
        <v/>
      </c>
    </row>
    <row r="42">
      <c r="A42" s="4" t="str">
        <f t="array" ref="A42">IF(COUNTIF(A$1:A41,Cotizador!F$2)=maxifs(Familias!E:E,Familias!D:D,Cotizador!F$2),IF(COUNTIF(A$1:A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" s="4" t="str">
        <f t="shared" si="1"/>
        <v/>
      </c>
      <c r="C42" s="4" t="str">
        <f t="array" ref="C42">IF(B42="","",IF(A42=XLOOKUP(A$2,Implementos!B:B,Implementos!C:C,"",0,1),B42+maxifs(B$1:B41,A$1:A41,A$2),B42))</f>
        <v/>
      </c>
      <c r="D42" s="4" t="str">
        <f>IF(B42="","", COUNTIFS(Productos!F:F,A42,Productos!H:H,B42)+IF(F42="SI",0,1))</f>
        <v/>
      </c>
      <c r="E42" s="4" t="str">
        <f>IFERROR(__xludf.DUMMYFUNCTION("IF($B42="""","""",INDEX(filter(Familias!F:F,Familias!$D:$D=$A42,Familias!$E:$E=$B42),1))"),"")</f>
        <v/>
      </c>
      <c r="F42" s="4" t="str">
        <f>IFERROR(__xludf.DUMMYFUNCTION("IF($B42="""","""",INDEX(filter(Familias!G:G,Familias!$D:$D=$A42,Familias!$E:$E=$B42),1))"),"")</f>
        <v/>
      </c>
      <c r="G42" s="4" t="str">
        <f t="array" ref="G42">IF(C42=1,XLOOKUP(C42,Cotizador!D:D,Cotizador!E:E,"",0,1),"")</f>
        <v/>
      </c>
      <c r="I42" s="4"/>
      <c r="J42" s="8" t="str">
        <f>IF(I42="","",SUMIF(Cotizador!I$1:V$1,I42,Cotizador!I$2:V$2))</f>
        <v/>
      </c>
      <c r="L42" s="4" t="str">
        <f t="array" ref="L42">IF(COUNTIF(L$1:L41,A$2)=SUMIF(A:A,A$2,D:D),IF(COUNTIF(L$1:L41,XLOOKUP(A$2,Implementos!B:B,Implementos!C:C,"",0,1))=SUMIF(A:A,XLOOKUP(A$2,Implementos!B:B,Implementos!C:C,"",0,1),D:D),"",XLOOKUP(A$2,Implementos!B:B,Implementos!C:C,"",0,1)),A$2)</f>
        <v>Acoplados Rurales</v>
      </c>
      <c r="M42" s="4">
        <f t="shared" si="2"/>
        <v>41</v>
      </c>
      <c r="N42" s="4">
        <f t="shared" si="3"/>
        <v>3</v>
      </c>
      <c r="O42" s="4">
        <f t="shared" si="4"/>
        <v>3</v>
      </c>
      <c r="P42" s="4">
        <f t="shared" si="5"/>
        <v>2</v>
      </c>
      <c r="Q42" s="4">
        <f>IF(U42="","",SUMIF(Productos!E:E,U42,Productos!A:A))</f>
        <v>73</v>
      </c>
      <c r="R42" s="4">
        <f t="array" ref="R42">IF(L42="","", max(1,SUMIF(I:I,XLOOKUP(U42,Productos!E:E,Productos!G:G,"",0,1),J:J)))</f>
        <v>1</v>
      </c>
      <c r="S42" s="4" t="str">
        <f>IF(Q42="","",IF(SUMIFS(Compat_Vetado!D:D,Compat_Vetado!B:B,SUM(G:G),Compat_Vetado!C:C,Q42)=1,"SI",IF(OR(SUMIF(Cotizador!E:E,Q42,Cotizador!G:G)&gt;0,SUMIFS(Compat_Vetado!D:D,Compat_Vetado!B:B,SUM(G:G),Compat_Vetado!C:C,Q42)=-1),"NO","")))</f>
        <v/>
      </c>
      <c r="T42" s="4" t="str">
        <f t="shared" si="6"/>
        <v/>
      </c>
      <c r="U42" s="4" t="str">
        <f>IFERROR(__xludf.DUMMYFUNCTION("IF(P42="""","""",IFERROR(INDEX(filter(Productos!E:E,Productos!F:F=L42,Productos!H:H=N42),P42),IF(M42=SUM(D:D),""Finalizar"",""-"")))"),"Chasis Acoplado 2 Ejes L3750")</f>
        <v>Chasis Acoplado 2 Ejes L3750</v>
      </c>
      <c r="V42" s="4" t="str">
        <f>IFERROR(__xludf.DUMMYFUNCTION("IF(OR($U42="""",COUNTIF($I:$I,IFERROR(unique(filter(Prod_Prop!$H:$H,Prod_Prop!$G:$G=$U42,Prod_Prop!$E:$E=V$1)),""Check""))=0),"""",IFERROR(unique(filter(Prod_Prop!$H:$H,Prod_Prop!$G:$G=$U42,Prod_Prop!$E:$E=V$1)),""""))"),"Longitud")</f>
        <v>Longitud</v>
      </c>
      <c r="W42" s="4">
        <f>IF(V42="","",SUMIFS(Prod_Prop!$J:$J,Prod_Prop!$B:$B,$Q42,Prod_Prop!$H:$H,V42,Prod_Prop!$I:$I,W$1)*IF(V42="Peso",$R42,1))</f>
        <v>3.55</v>
      </c>
      <c r="X42" s="4">
        <f>IF(V42="","",SUMIFS(Prod_Prop!$J:$J,Prod_Prop!$B:$B,$Q42,Prod_Prop!$H:$H,V42,Prod_Prop!$I:$I,X$1)*IF(V42="Peso",$R42,1))</f>
        <v>3.75</v>
      </c>
      <c r="Y42" s="4" t="str">
        <f>IFERROR(__xludf.DUMMYFUNCTION("IF(OR($U42="""",COUNTIF($I:$I,IFERROR(unique(filter(Prod_Prop!$H:$H,Prod_Prop!$G:$G=$U42,Prod_Prop!$E:$E=Y$1)),""Check""))=0),"""",IFERROR(unique(filter(Prod_Prop!$H:$H,Prod_Prop!$G:$G=$U42,Prod_Prop!$E:$E=Y$1)),""""))"),"")</f>
        <v/>
      </c>
      <c r="Z42" s="4" t="str">
        <f>IF(Y42="","",SUMIFS(Prod_Prop!$J:$J,Prod_Prop!$B:$B,$Q42,Prod_Prop!$H:$H,Y42,Prod_Prop!$I:$I,Z$1)*IF(Y42="Peso",$R42,1))</f>
        <v/>
      </c>
      <c r="AA42" s="4" t="str">
        <f>IF(Y42="","",SUMIFS(Prod_Prop!$J:$J,Prod_Prop!$B:$B,$Q42,Prod_Prop!$H:$H,Y42,Prod_Prop!$I:$I,AA$1)*IF(Y42="Peso",$R42,1))</f>
        <v/>
      </c>
      <c r="AB42" s="4" t="str">
        <f>IFERROR(__xludf.DUMMYFUNCTION("IF(OR($U42="""",COUNTIF($I:$I,IFERROR(unique(filter(Prod_Prop!$H:$H,Prod_Prop!$G:$G=$U42,Prod_Prop!$E:$E=AB$1)),""Check""))=0),"""",IFERROR(unique(filter(Prod_Prop!$H:$H,Prod_Prop!$G:$G=$U42,Prod_Prop!$E:$E=AB$1)),""""))"),"")</f>
        <v/>
      </c>
      <c r="AC42" s="4" t="str">
        <f>IF(AB42="","",SUMIFS(Prod_Prop!$J:$J,Prod_Prop!$B:$B,$Q42,Prod_Prop!$H:$H,AB42,Prod_Prop!$I:$I,AC$1)*IF(AB42="Peso",$R42,1))</f>
        <v/>
      </c>
      <c r="AD42" s="4" t="str">
        <f>IF(AB42="","",SUMIFS(Prod_Prop!$J:$J,Prod_Prop!$B:$B,$Q42,Prod_Prop!$H:$H,AB42,Prod_Prop!$I:$I,AD$1)*IF(AB42="Peso",$R42,1))</f>
        <v/>
      </c>
    </row>
    <row r="43">
      <c r="A43" s="4" t="str">
        <f t="array" ref="A43">IF(COUNTIF(A$1:A42,Cotizador!F$2)=maxifs(Familias!E:E,Familias!D:D,Cotizador!F$2),IF(COUNTIF(A$1:A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" s="4" t="str">
        <f t="shared" si="1"/>
        <v/>
      </c>
      <c r="C43" s="4" t="str">
        <f t="array" ref="C43">IF(B43="","",IF(A43=XLOOKUP(A$2,Implementos!B:B,Implementos!C:C,"",0,1),B43+maxifs(B$1:B42,A$1:A42,A$2),B43))</f>
        <v/>
      </c>
      <c r="D43" s="4" t="str">
        <f>IF(B43="","", COUNTIFS(Productos!F:F,A43,Productos!H:H,B43)+IF(F43="SI",0,1))</f>
        <v/>
      </c>
      <c r="E43" s="4" t="str">
        <f>IFERROR(__xludf.DUMMYFUNCTION("IF($B43="""","""",INDEX(filter(Familias!F:F,Familias!$D:$D=$A43,Familias!$E:$E=$B43),1))"),"")</f>
        <v/>
      </c>
      <c r="F43" s="4" t="str">
        <f>IFERROR(__xludf.DUMMYFUNCTION("IF($B43="""","""",INDEX(filter(Familias!G:G,Familias!$D:$D=$A43,Familias!$E:$E=$B43),1))"),"")</f>
        <v/>
      </c>
      <c r="G43" s="4" t="str">
        <f t="array" ref="G43">IF(C43=1,XLOOKUP(C43,Cotizador!D:D,Cotizador!E:E,"",0,1),"")</f>
        <v/>
      </c>
      <c r="I43" s="4"/>
      <c r="J43" s="8" t="str">
        <f>IF(I43="","",SUMIF(Cotizador!I$1:V$1,I43,Cotizador!I$2:V$2))</f>
        <v/>
      </c>
      <c r="L43" s="4" t="str">
        <f t="array" ref="L43">IF(COUNTIF(L$1:L42,A$2)=SUMIF(A:A,A$2,D:D),IF(COUNTIF(L$1:L42,XLOOKUP(A$2,Implementos!B:B,Implementos!C:C,"",0,1))=SUMIF(A:A,XLOOKUP(A$2,Implementos!B:B,Implementos!C:C,"",0,1),D:D),"",XLOOKUP(A$2,Implementos!B:B,Implementos!C:C,"",0,1)),A$2)</f>
        <v>Acoplados Rurales</v>
      </c>
      <c r="M43" s="4">
        <f t="shared" si="2"/>
        <v>42</v>
      </c>
      <c r="N43" s="4">
        <f t="shared" si="3"/>
        <v>3</v>
      </c>
      <c r="O43" s="4">
        <f t="shared" si="4"/>
        <v>3</v>
      </c>
      <c r="P43" s="4">
        <f t="shared" si="5"/>
        <v>3</v>
      </c>
      <c r="Q43" s="4">
        <f>IF(U43="","",SUMIF(Productos!E:E,U43,Productos!A:A))</f>
        <v>74</v>
      </c>
      <c r="R43" s="4">
        <f t="array" ref="R43">IF(L43="","", max(1,SUMIF(I:I,XLOOKUP(U43,Productos!E:E,Productos!G:G,"",0,1),J:J)))</f>
        <v>1</v>
      </c>
      <c r="S43" s="4" t="str">
        <f>IF(Q43="","",IF(SUMIFS(Compat_Vetado!D:D,Compat_Vetado!B:B,SUM(G:G),Compat_Vetado!C:C,Q43)=1,"SI",IF(OR(SUMIF(Cotizador!E:E,Q43,Cotizador!G:G)&gt;0,SUMIFS(Compat_Vetado!D:D,Compat_Vetado!B:B,SUM(G:G),Compat_Vetado!C:C,Q43)=-1),"NO","")))</f>
        <v/>
      </c>
      <c r="T43" s="4" t="str">
        <f t="shared" si="6"/>
        <v/>
      </c>
      <c r="U43" s="4" t="str">
        <f>IFERROR(__xludf.DUMMYFUNCTION("IF(P43="""","""",IFERROR(INDEX(filter(Productos!E:E,Productos!F:F=L43,Productos!H:H=N43),P43),IF(M43=SUM(D:D),""Finalizar"",""-"")))"),"Chasis Acoplado 2 Ejes L4000")</f>
        <v>Chasis Acoplado 2 Ejes L4000</v>
      </c>
      <c r="V43" s="4" t="str">
        <f>IFERROR(__xludf.DUMMYFUNCTION("IF(OR($U43="""",COUNTIF($I:$I,IFERROR(unique(filter(Prod_Prop!$H:$H,Prod_Prop!$G:$G=$U43,Prod_Prop!$E:$E=V$1)),""Check""))=0),"""",IFERROR(unique(filter(Prod_Prop!$H:$H,Prod_Prop!$G:$G=$U43,Prod_Prop!$E:$E=V$1)),""""))"),"Longitud")</f>
        <v>Longitud</v>
      </c>
      <c r="W43" s="4">
        <f>IF(V43="","",SUMIFS(Prod_Prop!$J:$J,Prod_Prop!$B:$B,$Q43,Prod_Prop!$H:$H,V43,Prod_Prop!$I:$I,W$1)*IF(V43="Peso",$R43,1))</f>
        <v>3.8</v>
      </c>
      <c r="X43" s="4">
        <f>IF(V43="","",SUMIFS(Prod_Prop!$J:$J,Prod_Prop!$B:$B,$Q43,Prod_Prop!$H:$H,V43,Prod_Prop!$I:$I,X$1)*IF(V43="Peso",$R43,1))</f>
        <v>4</v>
      </c>
      <c r="Y43" s="4" t="str">
        <f>IFERROR(__xludf.DUMMYFUNCTION("IF(OR($U43="""",COUNTIF($I:$I,IFERROR(unique(filter(Prod_Prop!$H:$H,Prod_Prop!$G:$G=$U43,Prod_Prop!$E:$E=Y$1)),""Check""))=0),"""",IFERROR(unique(filter(Prod_Prop!$H:$H,Prod_Prop!$G:$G=$U43,Prod_Prop!$E:$E=Y$1)),""""))"),"")</f>
        <v/>
      </c>
      <c r="Z43" s="4" t="str">
        <f>IF(Y43="","",SUMIFS(Prod_Prop!$J:$J,Prod_Prop!$B:$B,$Q43,Prod_Prop!$H:$H,Y43,Prod_Prop!$I:$I,Z$1)*IF(Y43="Peso",$R43,1))</f>
        <v/>
      </c>
      <c r="AA43" s="4" t="str">
        <f>IF(Y43="","",SUMIFS(Prod_Prop!$J:$J,Prod_Prop!$B:$B,$Q43,Prod_Prop!$H:$H,Y43,Prod_Prop!$I:$I,AA$1)*IF(Y43="Peso",$R43,1))</f>
        <v/>
      </c>
      <c r="AB43" s="4" t="str">
        <f>IFERROR(__xludf.DUMMYFUNCTION("IF(OR($U43="""",COUNTIF($I:$I,IFERROR(unique(filter(Prod_Prop!$H:$H,Prod_Prop!$G:$G=$U43,Prod_Prop!$E:$E=AB$1)),""Check""))=0),"""",IFERROR(unique(filter(Prod_Prop!$H:$H,Prod_Prop!$G:$G=$U43,Prod_Prop!$E:$E=AB$1)),""""))"),"")</f>
        <v/>
      </c>
      <c r="AC43" s="4" t="str">
        <f>IF(AB43="","",SUMIFS(Prod_Prop!$J:$J,Prod_Prop!$B:$B,$Q43,Prod_Prop!$H:$H,AB43,Prod_Prop!$I:$I,AC$1)*IF(AB43="Peso",$R43,1))</f>
        <v/>
      </c>
      <c r="AD43" s="4" t="str">
        <f>IF(AB43="","",SUMIFS(Prod_Prop!$J:$J,Prod_Prop!$B:$B,$Q43,Prod_Prop!$H:$H,AB43,Prod_Prop!$I:$I,AD$1)*IF(AB43="Peso",$R43,1))</f>
        <v/>
      </c>
    </row>
    <row r="44">
      <c r="A44" s="4" t="str">
        <f t="array" ref="A44">IF(COUNTIF(A$1:A43,Cotizador!F$2)=maxifs(Familias!E:E,Familias!D:D,Cotizador!F$2),IF(COUNTIF(A$1:A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" s="4" t="str">
        <f t="shared" si="1"/>
        <v/>
      </c>
      <c r="C44" s="4" t="str">
        <f t="array" ref="C44">IF(B44="","",IF(A44=XLOOKUP(A$2,Implementos!B:B,Implementos!C:C,"",0,1),B44+maxifs(B$1:B43,A$1:A43,A$2),B44))</f>
        <v/>
      </c>
      <c r="D44" s="4" t="str">
        <f>IF(B44="","", COUNTIFS(Productos!F:F,A44,Productos!H:H,B44)+IF(F44="SI",0,1))</f>
        <v/>
      </c>
      <c r="E44" s="4" t="str">
        <f>IFERROR(__xludf.DUMMYFUNCTION("IF($B44="""","""",INDEX(filter(Familias!F:F,Familias!$D:$D=$A44,Familias!$E:$E=$B44),1))"),"")</f>
        <v/>
      </c>
      <c r="F44" s="4" t="str">
        <f>IFERROR(__xludf.DUMMYFUNCTION("IF($B44="""","""",INDEX(filter(Familias!G:G,Familias!$D:$D=$A44,Familias!$E:$E=$B44),1))"),"")</f>
        <v/>
      </c>
      <c r="G44" s="4" t="str">
        <f t="array" ref="G44">IF(C44=1,XLOOKUP(C44,Cotizador!D:D,Cotizador!E:E,"",0,1),"")</f>
        <v/>
      </c>
      <c r="I44" s="4"/>
      <c r="J44" s="8" t="str">
        <f>IF(I44="","",SUMIF(Cotizador!I$1:V$1,I44,Cotizador!I$2:V$2))</f>
        <v/>
      </c>
      <c r="L44" s="4" t="str">
        <f t="array" ref="L44">IF(COUNTIF(L$1:L43,A$2)=SUMIF(A:A,A$2,D:D),IF(COUNTIF(L$1:L43,XLOOKUP(A$2,Implementos!B:B,Implementos!C:C,"",0,1))=SUMIF(A:A,XLOOKUP(A$2,Implementos!B:B,Implementos!C:C,"",0,1),D:D),"",XLOOKUP(A$2,Implementos!B:B,Implementos!C:C,"",0,1)),A$2)</f>
        <v>Acoplados Rurales</v>
      </c>
      <c r="M44" s="4">
        <f t="shared" si="2"/>
        <v>43</v>
      </c>
      <c r="N44" s="4">
        <f t="shared" si="3"/>
        <v>3</v>
      </c>
      <c r="O44" s="4">
        <f t="shared" si="4"/>
        <v>3</v>
      </c>
      <c r="P44" s="4">
        <f t="shared" si="5"/>
        <v>4</v>
      </c>
      <c r="Q44" s="4">
        <f>IF(U44="","",SUMIF(Productos!E:E,U44,Productos!A:A))</f>
        <v>75</v>
      </c>
      <c r="R44" s="4">
        <f t="array" ref="R44">IF(L44="","", max(1,SUMIF(I:I,XLOOKUP(U44,Productos!E:E,Productos!G:G,"",0,1),J:J)))</f>
        <v>1</v>
      </c>
      <c r="S44" s="4" t="str">
        <f>IF(Q44="","",IF(SUMIFS(Compat_Vetado!D:D,Compat_Vetado!B:B,SUM(G:G),Compat_Vetado!C:C,Q44)=1,"SI",IF(OR(SUMIF(Cotizador!E:E,Q44,Cotizador!G:G)&gt;0,SUMIFS(Compat_Vetado!D:D,Compat_Vetado!B:B,SUM(G:G),Compat_Vetado!C:C,Q44)=-1),"NO","")))</f>
        <v/>
      </c>
      <c r="T44" s="4" t="str">
        <f t="shared" si="6"/>
        <v/>
      </c>
      <c r="U44" s="4" t="str">
        <f>IFERROR(__xludf.DUMMYFUNCTION("IF(P44="""","""",IFERROR(INDEX(filter(Productos!E:E,Productos!F:F=L44,Productos!H:H=N44),P44),IF(M44=SUM(D:D),""Finalizar"",""-"")))"),"Chasis Acoplado 2 Ejes L4000 Reforzado")</f>
        <v>Chasis Acoplado 2 Ejes L4000 Reforzado</v>
      </c>
      <c r="V44" s="4" t="str">
        <f>IFERROR(__xludf.DUMMYFUNCTION("IF(OR($U44="""",COUNTIF($I:$I,IFERROR(unique(filter(Prod_Prop!$H:$H,Prod_Prop!$G:$G=$U44,Prod_Prop!$E:$E=V$1)),""Check""))=0),"""",IFERROR(unique(filter(Prod_Prop!$H:$H,Prod_Prop!$G:$G=$U44,Prod_Prop!$E:$E=V$1)),""""))"),"Longitud")</f>
        <v>Longitud</v>
      </c>
      <c r="W44" s="4">
        <f>IF(V44="","",SUMIFS(Prod_Prop!$J:$J,Prod_Prop!$B:$B,$Q44,Prod_Prop!$H:$H,V44,Prod_Prop!$I:$I,W$1)*IF(V44="Peso",$R44,1))</f>
        <v>3.8</v>
      </c>
      <c r="X44" s="4">
        <f>IF(V44="","",SUMIFS(Prod_Prop!$J:$J,Prod_Prop!$B:$B,$Q44,Prod_Prop!$H:$H,V44,Prod_Prop!$I:$I,X$1)*IF(V44="Peso",$R44,1))</f>
        <v>4</v>
      </c>
      <c r="Y44" s="4" t="str">
        <f>IFERROR(__xludf.DUMMYFUNCTION("IF(OR($U44="""",COUNTIF($I:$I,IFERROR(unique(filter(Prod_Prop!$H:$H,Prod_Prop!$G:$G=$U44,Prod_Prop!$E:$E=Y$1)),""Check""))=0),"""",IFERROR(unique(filter(Prod_Prop!$H:$H,Prod_Prop!$G:$G=$U44,Prod_Prop!$E:$E=Y$1)),""""))"),"")</f>
        <v/>
      </c>
      <c r="Z44" s="4" t="str">
        <f>IF(Y44="","",SUMIFS(Prod_Prop!$J:$J,Prod_Prop!$B:$B,$Q44,Prod_Prop!$H:$H,Y44,Prod_Prop!$I:$I,Z$1)*IF(Y44="Peso",$R44,1))</f>
        <v/>
      </c>
      <c r="AA44" s="4" t="str">
        <f>IF(Y44="","",SUMIFS(Prod_Prop!$J:$J,Prod_Prop!$B:$B,$Q44,Prod_Prop!$H:$H,Y44,Prod_Prop!$I:$I,AA$1)*IF(Y44="Peso",$R44,1))</f>
        <v/>
      </c>
      <c r="AB44" s="4" t="str">
        <f>IFERROR(__xludf.DUMMYFUNCTION("IF(OR($U44="""",COUNTIF($I:$I,IFERROR(unique(filter(Prod_Prop!$H:$H,Prod_Prop!$G:$G=$U44,Prod_Prop!$E:$E=AB$1)),""Check""))=0),"""",IFERROR(unique(filter(Prod_Prop!$H:$H,Prod_Prop!$G:$G=$U44,Prod_Prop!$E:$E=AB$1)),""""))"),"")</f>
        <v/>
      </c>
      <c r="AC44" s="4" t="str">
        <f>IF(AB44="","",SUMIFS(Prod_Prop!$J:$J,Prod_Prop!$B:$B,$Q44,Prod_Prop!$H:$H,AB44,Prod_Prop!$I:$I,AC$1)*IF(AB44="Peso",$R44,1))</f>
        <v/>
      </c>
      <c r="AD44" s="4" t="str">
        <f>IF(AB44="","",SUMIFS(Prod_Prop!$J:$J,Prod_Prop!$B:$B,$Q44,Prod_Prop!$H:$H,AB44,Prod_Prop!$I:$I,AD$1)*IF(AB44="Peso",$R44,1))</f>
        <v/>
      </c>
    </row>
    <row r="45">
      <c r="A45" s="4" t="str">
        <f t="array" ref="A45">IF(COUNTIF(A$1:A44,Cotizador!F$2)=maxifs(Familias!E:E,Familias!D:D,Cotizador!F$2),IF(COUNTIF(A$1:A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" s="4" t="str">
        <f t="shared" si="1"/>
        <v/>
      </c>
      <c r="C45" s="4" t="str">
        <f t="array" ref="C45">IF(B45="","",IF(A45=XLOOKUP(A$2,Implementos!B:B,Implementos!C:C,"",0,1),B45+maxifs(B$1:B44,A$1:A44,A$2),B45))</f>
        <v/>
      </c>
      <c r="D45" s="4" t="str">
        <f>IF(B45="","", COUNTIFS(Productos!F:F,A45,Productos!H:H,B45)+IF(F45="SI",0,1))</f>
        <v/>
      </c>
      <c r="E45" s="4" t="str">
        <f>IFERROR(__xludf.DUMMYFUNCTION("IF($B45="""","""",INDEX(filter(Familias!F:F,Familias!$D:$D=$A45,Familias!$E:$E=$B45),1))"),"")</f>
        <v/>
      </c>
      <c r="F45" s="4" t="str">
        <f>IFERROR(__xludf.DUMMYFUNCTION("IF($B45="""","""",INDEX(filter(Familias!G:G,Familias!$D:$D=$A45,Familias!$E:$E=$B45),1))"),"")</f>
        <v/>
      </c>
      <c r="G45" s="4" t="str">
        <f t="array" ref="G45">IF(C45=1,XLOOKUP(C45,Cotizador!D:D,Cotizador!E:E,"",0,1),"")</f>
        <v/>
      </c>
      <c r="I45" s="4"/>
      <c r="J45" s="8" t="str">
        <f>IF(I45="","",SUMIF(Cotizador!I$1:V$1,I45,Cotizador!I$2:V$2))</f>
        <v/>
      </c>
      <c r="L45" s="4" t="str">
        <f t="array" ref="L45">IF(COUNTIF(L$1:L44,A$2)=SUMIF(A:A,A$2,D:D),IF(COUNTIF(L$1:L44,XLOOKUP(A$2,Implementos!B:B,Implementos!C:C,"",0,1))=SUMIF(A:A,XLOOKUP(A$2,Implementos!B:B,Implementos!C:C,"",0,1),D:D),"",XLOOKUP(A$2,Implementos!B:B,Implementos!C:C,"",0,1)),A$2)</f>
        <v>Acoplados Rurales</v>
      </c>
      <c r="M45" s="4">
        <f t="shared" si="2"/>
        <v>44</v>
      </c>
      <c r="N45" s="4">
        <f t="shared" si="3"/>
        <v>3</v>
      </c>
      <c r="O45" s="4">
        <f t="shared" si="4"/>
        <v>3</v>
      </c>
      <c r="P45" s="4">
        <f t="shared" si="5"/>
        <v>5</v>
      </c>
      <c r="Q45" s="4">
        <f>IF(U45="","",SUMIF(Productos!E:E,U45,Productos!A:A))</f>
        <v>76</v>
      </c>
      <c r="R45" s="4">
        <f t="array" ref="R45">IF(L45="","", max(1,SUMIF(I:I,XLOOKUP(U45,Productos!E:E,Productos!G:G,"",0,1),J:J)))</f>
        <v>1</v>
      </c>
      <c r="S45" s="4" t="str">
        <f>IF(Q45="","",IF(SUMIFS(Compat_Vetado!D:D,Compat_Vetado!B:B,SUM(G:G),Compat_Vetado!C:C,Q45)=1,"SI",IF(OR(SUMIF(Cotizador!E:E,Q45,Cotizador!G:G)&gt;0,SUMIFS(Compat_Vetado!D:D,Compat_Vetado!B:B,SUM(G:G),Compat_Vetado!C:C,Q45)=-1),"NO","")))</f>
        <v/>
      </c>
      <c r="T45" s="4" t="str">
        <f t="shared" si="6"/>
        <v/>
      </c>
      <c r="U45" s="4" t="str">
        <f>IFERROR(__xludf.DUMMYFUNCTION("IF(P45="""","""",IFERROR(INDEX(filter(Productos!E:E,Productos!F:F=L45,Productos!H:H=N45),P45),IF(M45=SUM(D:D),""Finalizar"",""-"")))"),"Chasis Acoplado 2 Ejes L4750")</f>
        <v>Chasis Acoplado 2 Ejes L4750</v>
      </c>
      <c r="V45" s="4" t="str">
        <f>IFERROR(__xludf.DUMMYFUNCTION("IF(OR($U45="""",COUNTIF($I:$I,IFERROR(unique(filter(Prod_Prop!$H:$H,Prod_Prop!$G:$G=$U45,Prod_Prop!$E:$E=V$1)),""Check""))=0),"""",IFERROR(unique(filter(Prod_Prop!$H:$H,Prod_Prop!$G:$G=$U45,Prod_Prop!$E:$E=V$1)),""""))"),"Longitud")</f>
        <v>Longitud</v>
      </c>
      <c r="W45" s="4">
        <f>IF(V45="","",SUMIFS(Prod_Prop!$J:$J,Prod_Prop!$B:$B,$Q45,Prod_Prop!$H:$H,V45,Prod_Prop!$I:$I,W$1)*IF(V45="Peso",$R45,1))</f>
        <v>4.55</v>
      </c>
      <c r="X45" s="4">
        <f>IF(V45="","",SUMIFS(Prod_Prop!$J:$J,Prod_Prop!$B:$B,$Q45,Prod_Prop!$H:$H,V45,Prod_Prop!$I:$I,X$1)*IF(V45="Peso",$R45,1))</f>
        <v>4.75</v>
      </c>
      <c r="Y45" s="4" t="str">
        <f>IFERROR(__xludf.DUMMYFUNCTION("IF(OR($U45="""",COUNTIF($I:$I,IFERROR(unique(filter(Prod_Prop!$H:$H,Prod_Prop!$G:$G=$U45,Prod_Prop!$E:$E=Y$1)),""Check""))=0),"""",IFERROR(unique(filter(Prod_Prop!$H:$H,Prod_Prop!$G:$G=$U45,Prod_Prop!$E:$E=Y$1)),""""))"),"")</f>
        <v/>
      </c>
      <c r="Z45" s="4" t="str">
        <f>IF(Y45="","",SUMIFS(Prod_Prop!$J:$J,Prod_Prop!$B:$B,$Q45,Prod_Prop!$H:$H,Y45,Prod_Prop!$I:$I,Z$1)*IF(Y45="Peso",$R45,1))</f>
        <v/>
      </c>
      <c r="AA45" s="4" t="str">
        <f>IF(Y45="","",SUMIFS(Prod_Prop!$J:$J,Prod_Prop!$B:$B,$Q45,Prod_Prop!$H:$H,Y45,Prod_Prop!$I:$I,AA$1)*IF(Y45="Peso",$R45,1))</f>
        <v/>
      </c>
      <c r="AB45" s="4" t="str">
        <f>IFERROR(__xludf.DUMMYFUNCTION("IF(OR($U45="""",COUNTIF($I:$I,IFERROR(unique(filter(Prod_Prop!$H:$H,Prod_Prop!$G:$G=$U45,Prod_Prop!$E:$E=AB$1)),""Check""))=0),"""",IFERROR(unique(filter(Prod_Prop!$H:$H,Prod_Prop!$G:$G=$U45,Prod_Prop!$E:$E=AB$1)),""""))"),"")</f>
        <v/>
      </c>
      <c r="AC45" s="4" t="str">
        <f>IF(AB45="","",SUMIFS(Prod_Prop!$J:$J,Prod_Prop!$B:$B,$Q45,Prod_Prop!$H:$H,AB45,Prod_Prop!$I:$I,AC$1)*IF(AB45="Peso",$R45,1))</f>
        <v/>
      </c>
      <c r="AD45" s="4" t="str">
        <f>IF(AB45="","",SUMIFS(Prod_Prop!$J:$J,Prod_Prop!$B:$B,$Q45,Prod_Prop!$H:$H,AB45,Prod_Prop!$I:$I,AD$1)*IF(AB45="Peso",$R45,1))</f>
        <v/>
      </c>
    </row>
    <row r="46">
      <c r="A46" s="4" t="str">
        <f t="array" ref="A46">IF(COUNTIF(A$1:A45,Cotizador!F$2)=maxifs(Familias!E:E,Familias!D:D,Cotizador!F$2),IF(COUNTIF(A$1:A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" s="4" t="str">
        <f t="shared" si="1"/>
        <v/>
      </c>
      <c r="C46" s="4" t="str">
        <f t="array" ref="C46">IF(B46="","",IF(A46=XLOOKUP(A$2,Implementos!B:B,Implementos!C:C,"",0,1),B46+maxifs(B$1:B45,A$1:A45,A$2),B46))</f>
        <v/>
      </c>
      <c r="D46" s="4" t="str">
        <f>IF(B46="","", COUNTIFS(Productos!F:F,A46,Productos!H:H,B46)+IF(F46="SI",0,1))</f>
        <v/>
      </c>
      <c r="E46" s="4" t="str">
        <f>IFERROR(__xludf.DUMMYFUNCTION("IF($B46="""","""",INDEX(filter(Familias!F:F,Familias!$D:$D=$A46,Familias!$E:$E=$B46),1))"),"")</f>
        <v/>
      </c>
      <c r="F46" s="4" t="str">
        <f>IFERROR(__xludf.DUMMYFUNCTION("IF($B46="""","""",INDEX(filter(Familias!G:G,Familias!$D:$D=$A46,Familias!$E:$E=$B46),1))"),"")</f>
        <v/>
      </c>
      <c r="G46" s="4" t="str">
        <f t="array" ref="G46">IF(C46=1,XLOOKUP(C46,Cotizador!D:D,Cotizador!E:E,"",0,1),"")</f>
        <v/>
      </c>
      <c r="I46" s="4"/>
      <c r="J46" s="8" t="str">
        <f>IF(I46="","",SUMIF(Cotizador!I$1:V$1,I46,Cotizador!I$2:V$2))</f>
        <v/>
      </c>
      <c r="L46" s="4" t="str">
        <f t="array" ref="L46">IF(COUNTIF(L$1:L45,A$2)=SUMIF(A:A,A$2,D:D),IF(COUNTIF(L$1:L45,XLOOKUP(A$2,Implementos!B:B,Implementos!C:C,"",0,1))=SUMIF(A:A,XLOOKUP(A$2,Implementos!B:B,Implementos!C:C,"",0,1),D:D),"",XLOOKUP(A$2,Implementos!B:B,Implementos!C:C,"",0,1)),A$2)</f>
        <v>Acoplados Rurales</v>
      </c>
      <c r="M46" s="4">
        <f t="shared" si="2"/>
        <v>45</v>
      </c>
      <c r="N46" s="4">
        <f t="shared" si="3"/>
        <v>3</v>
      </c>
      <c r="O46" s="4">
        <f t="shared" si="4"/>
        <v>3</v>
      </c>
      <c r="P46" s="4">
        <f t="shared" si="5"/>
        <v>6</v>
      </c>
      <c r="Q46" s="4">
        <f>IF(U46="","",SUMIF(Productos!E:E,U46,Productos!A:A))</f>
        <v>77</v>
      </c>
      <c r="R46" s="4">
        <f t="array" ref="R46">IF(L46="","", max(1,SUMIF(I:I,XLOOKUP(U46,Productos!E:E,Productos!G:G,"",0,1),J:J)))</f>
        <v>1</v>
      </c>
      <c r="S46" s="4" t="str">
        <f>IF(Q46="","",IF(SUMIFS(Compat_Vetado!D:D,Compat_Vetado!B:B,SUM(G:G),Compat_Vetado!C:C,Q46)=1,"SI",IF(OR(SUMIF(Cotizador!E:E,Q46,Cotizador!G:G)&gt;0,SUMIFS(Compat_Vetado!D:D,Compat_Vetado!B:B,SUM(G:G),Compat_Vetado!C:C,Q46)=-1),"NO","")))</f>
        <v/>
      </c>
      <c r="T46" s="4" t="str">
        <f t="shared" si="6"/>
        <v/>
      </c>
      <c r="U46" s="4" t="str">
        <f>IFERROR(__xludf.DUMMYFUNCTION("IF(P46="""","""",IFERROR(INDEX(filter(Productos!E:E,Productos!F:F=L46,Productos!H:H=N46),P46),IF(M46=SUM(D:D),""Finalizar"",""-"")))"),"Chasis Acoplado 2 Ejes L4750 Reforzado")</f>
        <v>Chasis Acoplado 2 Ejes L4750 Reforzado</v>
      </c>
      <c r="V46" s="4" t="str">
        <f>IFERROR(__xludf.DUMMYFUNCTION("IF(OR($U46="""",COUNTIF($I:$I,IFERROR(unique(filter(Prod_Prop!$H:$H,Prod_Prop!$G:$G=$U46,Prod_Prop!$E:$E=V$1)),""Check""))=0),"""",IFERROR(unique(filter(Prod_Prop!$H:$H,Prod_Prop!$G:$G=$U46,Prod_Prop!$E:$E=V$1)),""""))"),"Longitud")</f>
        <v>Longitud</v>
      </c>
      <c r="W46" s="4">
        <f>IF(V46="","",SUMIFS(Prod_Prop!$J:$J,Prod_Prop!$B:$B,$Q46,Prod_Prop!$H:$H,V46,Prod_Prop!$I:$I,W$1)*IF(V46="Peso",$R46,1))</f>
        <v>4.55</v>
      </c>
      <c r="X46" s="4">
        <f>IF(V46="","",SUMIFS(Prod_Prop!$J:$J,Prod_Prop!$B:$B,$Q46,Prod_Prop!$H:$H,V46,Prod_Prop!$I:$I,X$1)*IF(V46="Peso",$R46,1))</f>
        <v>4.75</v>
      </c>
      <c r="Y46" s="4" t="str">
        <f>IFERROR(__xludf.DUMMYFUNCTION("IF(OR($U46="""",COUNTIF($I:$I,IFERROR(unique(filter(Prod_Prop!$H:$H,Prod_Prop!$G:$G=$U46,Prod_Prop!$E:$E=Y$1)),""Check""))=0),"""",IFERROR(unique(filter(Prod_Prop!$H:$H,Prod_Prop!$G:$G=$U46,Prod_Prop!$E:$E=Y$1)),""""))"),"")</f>
        <v/>
      </c>
      <c r="Z46" s="4" t="str">
        <f>IF(Y46="","",SUMIFS(Prod_Prop!$J:$J,Prod_Prop!$B:$B,$Q46,Prod_Prop!$H:$H,Y46,Prod_Prop!$I:$I,Z$1)*IF(Y46="Peso",$R46,1))</f>
        <v/>
      </c>
      <c r="AA46" s="4" t="str">
        <f>IF(Y46="","",SUMIFS(Prod_Prop!$J:$J,Prod_Prop!$B:$B,$Q46,Prod_Prop!$H:$H,Y46,Prod_Prop!$I:$I,AA$1)*IF(Y46="Peso",$R46,1))</f>
        <v/>
      </c>
      <c r="AB46" s="4" t="str">
        <f>IFERROR(__xludf.DUMMYFUNCTION("IF(OR($U46="""",COUNTIF($I:$I,IFERROR(unique(filter(Prod_Prop!$H:$H,Prod_Prop!$G:$G=$U46,Prod_Prop!$E:$E=AB$1)),""Check""))=0),"""",IFERROR(unique(filter(Prod_Prop!$H:$H,Prod_Prop!$G:$G=$U46,Prod_Prop!$E:$E=AB$1)),""""))"),"")</f>
        <v/>
      </c>
      <c r="AC46" s="4" t="str">
        <f>IF(AB46="","",SUMIFS(Prod_Prop!$J:$J,Prod_Prop!$B:$B,$Q46,Prod_Prop!$H:$H,AB46,Prod_Prop!$I:$I,AC$1)*IF(AB46="Peso",$R46,1))</f>
        <v/>
      </c>
      <c r="AD46" s="4" t="str">
        <f>IF(AB46="","",SUMIFS(Prod_Prop!$J:$J,Prod_Prop!$B:$B,$Q46,Prod_Prop!$H:$H,AB46,Prod_Prop!$I:$I,AD$1)*IF(AB46="Peso",$R46,1))</f>
        <v/>
      </c>
    </row>
    <row r="47">
      <c r="A47" s="4" t="str">
        <f t="array" ref="A47">IF(COUNTIF(A$1:A46,Cotizador!F$2)=maxifs(Familias!E:E,Familias!D:D,Cotizador!F$2),IF(COUNTIF(A$1:A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" s="4" t="str">
        <f t="shared" si="1"/>
        <v/>
      </c>
      <c r="C47" s="4" t="str">
        <f t="array" ref="C47">IF(B47="","",IF(A47=XLOOKUP(A$2,Implementos!B:B,Implementos!C:C,"",0,1),B47+maxifs(B$1:B46,A$1:A46,A$2),B47))</f>
        <v/>
      </c>
      <c r="D47" s="4" t="str">
        <f>IF(B47="","", COUNTIFS(Productos!F:F,A47,Productos!H:H,B47)+IF(F47="SI",0,1))</f>
        <v/>
      </c>
      <c r="E47" s="4" t="str">
        <f>IFERROR(__xludf.DUMMYFUNCTION("IF($B47="""","""",INDEX(filter(Familias!F:F,Familias!$D:$D=$A47,Familias!$E:$E=$B47),1))"),"")</f>
        <v/>
      </c>
      <c r="F47" s="4" t="str">
        <f>IFERROR(__xludf.DUMMYFUNCTION("IF($B47="""","""",INDEX(filter(Familias!G:G,Familias!$D:$D=$A47,Familias!$E:$E=$B47),1))"),"")</f>
        <v/>
      </c>
      <c r="G47" s="4" t="str">
        <f t="array" ref="G47">IF(C47=1,XLOOKUP(C47,Cotizador!D:D,Cotizador!E:E,"",0,1),"")</f>
        <v/>
      </c>
      <c r="I47" s="4"/>
      <c r="J47" s="8" t="str">
        <f>IF(I47="","",SUMIF(Cotizador!I$1:V$1,I47,Cotizador!I$2:V$2))</f>
        <v/>
      </c>
      <c r="L47" s="4" t="str">
        <f t="array" ref="L47">IF(COUNTIF(L$1:L46,A$2)=SUMIF(A:A,A$2,D:D),IF(COUNTIF(L$1:L46,XLOOKUP(A$2,Implementos!B:B,Implementos!C:C,"",0,1))=SUMIF(A:A,XLOOKUP(A$2,Implementos!B:B,Implementos!C:C,"",0,1),D:D),"",XLOOKUP(A$2,Implementos!B:B,Implementos!C:C,"",0,1)),A$2)</f>
        <v>Acoplados Rurales</v>
      </c>
      <c r="M47" s="4">
        <f t="shared" si="2"/>
        <v>46</v>
      </c>
      <c r="N47" s="4">
        <f t="shared" si="3"/>
        <v>3</v>
      </c>
      <c r="O47" s="4">
        <f t="shared" si="4"/>
        <v>3</v>
      </c>
      <c r="P47" s="4">
        <f t="shared" si="5"/>
        <v>7</v>
      </c>
      <c r="Q47" s="4">
        <f>IF(U47="","",SUMIF(Productos!E:E,U47,Productos!A:A))</f>
        <v>78</v>
      </c>
      <c r="R47" s="4">
        <f t="array" ref="R47">IF(L47="","", max(1,SUMIF(I:I,XLOOKUP(U47,Productos!E:E,Productos!G:G,"",0,1),J:J)))</f>
        <v>1</v>
      </c>
      <c r="S47" s="4" t="str">
        <f>IF(Q47="","",IF(SUMIFS(Compat_Vetado!D:D,Compat_Vetado!B:B,SUM(G:G),Compat_Vetado!C:C,Q47)=1,"SI",IF(OR(SUMIF(Cotizador!E:E,Q47,Cotizador!G:G)&gt;0,SUMIFS(Compat_Vetado!D:D,Compat_Vetado!B:B,SUM(G:G),Compat_Vetado!C:C,Q47)=-1),"NO","")))</f>
        <v/>
      </c>
      <c r="T47" s="4" t="str">
        <f t="shared" si="6"/>
        <v/>
      </c>
      <c r="U47" s="4" t="str">
        <f>IFERROR(__xludf.DUMMYFUNCTION("IF(P47="""","""",IFERROR(INDEX(filter(Productos!E:E,Productos!F:F=L47,Productos!H:H=N47),P47),IF(M47=SUM(D:D),""Finalizar"",""-"")))"),"Chasis Acoplado 2 Ejes L4750 Reforzado R. Camion")</f>
        <v>Chasis Acoplado 2 Ejes L4750 Reforzado R. Camion</v>
      </c>
      <c r="V47" s="4" t="str">
        <f>IFERROR(__xludf.DUMMYFUNCTION("IF(OR($U47="""",COUNTIF($I:$I,IFERROR(unique(filter(Prod_Prop!$H:$H,Prod_Prop!$G:$G=$U47,Prod_Prop!$E:$E=V$1)),""Check""))=0),"""",IFERROR(unique(filter(Prod_Prop!$H:$H,Prod_Prop!$G:$G=$U47,Prod_Prop!$E:$E=V$1)),""""))"),"Longitud")</f>
        <v>Longitud</v>
      </c>
      <c r="W47" s="4">
        <f>IF(V47="","",SUMIFS(Prod_Prop!$J:$J,Prod_Prop!$B:$B,$Q47,Prod_Prop!$H:$H,V47,Prod_Prop!$I:$I,W$1)*IF(V47="Peso",$R47,1))</f>
        <v>4.55</v>
      </c>
      <c r="X47" s="4">
        <f>IF(V47="","",SUMIFS(Prod_Prop!$J:$J,Prod_Prop!$B:$B,$Q47,Prod_Prop!$H:$H,V47,Prod_Prop!$I:$I,X$1)*IF(V47="Peso",$R47,1))</f>
        <v>4.75</v>
      </c>
      <c r="Y47" s="4" t="str">
        <f>IFERROR(__xludf.DUMMYFUNCTION("IF(OR($U47="""",COUNTIF($I:$I,IFERROR(unique(filter(Prod_Prop!$H:$H,Prod_Prop!$G:$G=$U47,Prod_Prop!$E:$E=Y$1)),""Check""))=0),"""",IFERROR(unique(filter(Prod_Prop!$H:$H,Prod_Prop!$G:$G=$U47,Prod_Prop!$E:$E=Y$1)),""""))"),"")</f>
        <v/>
      </c>
      <c r="Z47" s="4" t="str">
        <f>IF(Y47="","",SUMIFS(Prod_Prop!$J:$J,Prod_Prop!$B:$B,$Q47,Prod_Prop!$H:$H,Y47,Prod_Prop!$I:$I,Z$1)*IF(Y47="Peso",$R47,1))</f>
        <v/>
      </c>
      <c r="AA47" s="4" t="str">
        <f>IF(Y47="","",SUMIFS(Prod_Prop!$J:$J,Prod_Prop!$B:$B,$Q47,Prod_Prop!$H:$H,Y47,Prod_Prop!$I:$I,AA$1)*IF(Y47="Peso",$R47,1))</f>
        <v/>
      </c>
      <c r="AB47" s="4" t="str">
        <f>IFERROR(__xludf.DUMMYFUNCTION("IF(OR($U47="""",COUNTIF($I:$I,IFERROR(unique(filter(Prod_Prop!$H:$H,Prod_Prop!$G:$G=$U47,Prod_Prop!$E:$E=AB$1)),""Check""))=0),"""",IFERROR(unique(filter(Prod_Prop!$H:$H,Prod_Prop!$G:$G=$U47,Prod_Prop!$E:$E=AB$1)),""""))"),"")</f>
        <v/>
      </c>
      <c r="AC47" s="4" t="str">
        <f>IF(AB47="","",SUMIFS(Prod_Prop!$J:$J,Prod_Prop!$B:$B,$Q47,Prod_Prop!$H:$H,AB47,Prod_Prop!$I:$I,AC$1)*IF(AB47="Peso",$R47,1))</f>
        <v/>
      </c>
      <c r="AD47" s="4" t="str">
        <f>IF(AB47="","",SUMIFS(Prod_Prop!$J:$J,Prod_Prop!$B:$B,$Q47,Prod_Prop!$H:$H,AB47,Prod_Prop!$I:$I,AD$1)*IF(AB47="Peso",$R47,1))</f>
        <v/>
      </c>
    </row>
    <row r="48">
      <c r="A48" s="4" t="str">
        <f t="array" ref="A48">IF(COUNTIF(A$1:A47,Cotizador!F$2)=maxifs(Familias!E:E,Familias!D:D,Cotizador!F$2),IF(COUNTIF(A$1:A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" s="4" t="str">
        <f t="shared" si="1"/>
        <v/>
      </c>
      <c r="C48" s="4" t="str">
        <f t="array" ref="C48">IF(B48="","",IF(A48=XLOOKUP(A$2,Implementos!B:B,Implementos!C:C,"",0,1),B48+maxifs(B$1:B47,A$1:A47,A$2),B48))</f>
        <v/>
      </c>
      <c r="D48" s="4" t="str">
        <f>IF(B48="","", COUNTIFS(Productos!F:F,A48,Productos!H:H,B48)+IF(F48="SI",0,1))</f>
        <v/>
      </c>
      <c r="E48" s="4" t="str">
        <f>IFERROR(__xludf.DUMMYFUNCTION("IF($B48="""","""",INDEX(filter(Familias!F:F,Familias!$D:$D=$A48,Familias!$E:$E=$B48),1))"),"")</f>
        <v/>
      </c>
      <c r="F48" s="4" t="str">
        <f>IFERROR(__xludf.DUMMYFUNCTION("IF($B48="""","""",INDEX(filter(Familias!G:G,Familias!$D:$D=$A48,Familias!$E:$E=$B48),1))"),"")</f>
        <v/>
      </c>
      <c r="G48" s="4" t="str">
        <f t="array" ref="G48">IF(C48=1,XLOOKUP(C48,Cotizador!D:D,Cotizador!E:E,"",0,1),"")</f>
        <v/>
      </c>
      <c r="I48" s="4"/>
      <c r="J48" s="8" t="str">
        <f>IF(I48="","",SUMIF(Cotizador!I$1:V$1,I48,Cotizador!I$2:V$2))</f>
        <v/>
      </c>
      <c r="L48" s="4" t="str">
        <f t="array" ref="L48">IF(COUNTIF(L$1:L47,A$2)=SUMIF(A:A,A$2,D:D),IF(COUNTIF(L$1:L47,XLOOKUP(A$2,Implementos!B:B,Implementos!C:C,"",0,1))=SUMIF(A:A,XLOOKUP(A$2,Implementos!B:B,Implementos!C:C,"",0,1),D:D),"",XLOOKUP(A$2,Implementos!B:B,Implementos!C:C,"",0,1)),A$2)</f>
        <v>Acoplados Rurales</v>
      </c>
      <c r="M48" s="4">
        <f t="shared" si="2"/>
        <v>47</v>
      </c>
      <c r="N48" s="4">
        <f t="shared" si="3"/>
        <v>3</v>
      </c>
      <c r="O48" s="4">
        <f t="shared" si="4"/>
        <v>3</v>
      </c>
      <c r="P48" s="4">
        <f t="shared" si="5"/>
        <v>8</v>
      </c>
      <c r="Q48" s="4">
        <f>IF(U48="","",SUMIF(Productos!E:E,U48,Productos!A:A))</f>
        <v>79</v>
      </c>
      <c r="R48" s="4">
        <f t="array" ref="R48">IF(L48="","", max(1,SUMIF(I:I,XLOOKUP(U48,Productos!E:E,Productos!G:G,"",0,1),J:J)))</f>
        <v>1</v>
      </c>
      <c r="S48" s="4" t="str">
        <f>IF(Q48="","",IF(SUMIFS(Compat_Vetado!D:D,Compat_Vetado!B:B,SUM(G:G),Compat_Vetado!C:C,Q48)=1,"SI",IF(OR(SUMIF(Cotizador!E:E,Q48,Cotizador!G:G)&gt;0,SUMIFS(Compat_Vetado!D:D,Compat_Vetado!B:B,SUM(G:G),Compat_Vetado!C:C,Q48)=-1),"NO","")))</f>
        <v/>
      </c>
      <c r="T48" s="4" t="str">
        <f t="shared" si="6"/>
        <v>x</v>
      </c>
      <c r="U48" s="4" t="str">
        <f>IFERROR(__xludf.DUMMYFUNCTION("IF(P48="""","""",IFERROR(INDEX(filter(Productos!E:E,Productos!F:F=L48,Productos!H:H=N48),P48),IF(M48=SUM(D:D),""Finalizar"",""-"")))"),"Chasis Acoplado 2 Ejes L5000")</f>
        <v>Chasis Acoplado 2 Ejes L5000</v>
      </c>
      <c r="V48" s="4" t="str">
        <f>IFERROR(__xludf.DUMMYFUNCTION("IF(OR($U48="""",COUNTIF($I:$I,IFERROR(unique(filter(Prod_Prop!$H:$H,Prod_Prop!$G:$G=$U48,Prod_Prop!$E:$E=V$1)),""Check""))=0),"""",IFERROR(unique(filter(Prod_Prop!$H:$H,Prod_Prop!$G:$G=$U48,Prod_Prop!$E:$E=V$1)),""""))"),"Longitud")</f>
        <v>Longitud</v>
      </c>
      <c r="W48" s="4">
        <f>IF(V48="","",SUMIFS(Prod_Prop!$J:$J,Prod_Prop!$B:$B,$Q48,Prod_Prop!$H:$H,V48,Prod_Prop!$I:$I,W$1)*IF(V48="Peso",$R48,1))</f>
        <v>4.8</v>
      </c>
      <c r="X48" s="4">
        <f>IF(V48="","",SUMIFS(Prod_Prop!$J:$J,Prod_Prop!$B:$B,$Q48,Prod_Prop!$H:$H,V48,Prod_Prop!$I:$I,X$1)*IF(V48="Peso",$R48,1))</f>
        <v>5</v>
      </c>
      <c r="Y48" s="4" t="str">
        <f>IFERROR(__xludf.DUMMYFUNCTION("IF(OR($U48="""",COUNTIF($I:$I,IFERROR(unique(filter(Prod_Prop!$H:$H,Prod_Prop!$G:$G=$U48,Prod_Prop!$E:$E=Y$1)),""Check""))=0),"""",IFERROR(unique(filter(Prod_Prop!$H:$H,Prod_Prop!$G:$G=$U48,Prod_Prop!$E:$E=Y$1)),""""))"),"")</f>
        <v/>
      </c>
      <c r="Z48" s="4" t="str">
        <f>IF(Y48="","",SUMIFS(Prod_Prop!$J:$J,Prod_Prop!$B:$B,$Q48,Prod_Prop!$H:$H,Y48,Prod_Prop!$I:$I,Z$1)*IF(Y48="Peso",$R48,1))</f>
        <v/>
      </c>
      <c r="AA48" s="4" t="str">
        <f>IF(Y48="","",SUMIFS(Prod_Prop!$J:$J,Prod_Prop!$B:$B,$Q48,Prod_Prop!$H:$H,Y48,Prod_Prop!$I:$I,AA$1)*IF(Y48="Peso",$R48,1))</f>
        <v/>
      </c>
      <c r="AB48" s="4" t="str">
        <f>IFERROR(__xludf.DUMMYFUNCTION("IF(OR($U48="""",COUNTIF($I:$I,IFERROR(unique(filter(Prod_Prop!$H:$H,Prod_Prop!$G:$G=$U48,Prod_Prop!$E:$E=AB$1)),""Check""))=0),"""",IFERROR(unique(filter(Prod_Prop!$H:$H,Prod_Prop!$G:$G=$U48,Prod_Prop!$E:$E=AB$1)),""""))"),"")</f>
        <v/>
      </c>
      <c r="AC48" s="4" t="str">
        <f>IF(AB48="","",SUMIFS(Prod_Prop!$J:$J,Prod_Prop!$B:$B,$Q48,Prod_Prop!$H:$H,AB48,Prod_Prop!$I:$I,AC$1)*IF(AB48="Peso",$R48,1))</f>
        <v/>
      </c>
      <c r="AD48" s="4" t="str">
        <f>IF(AB48="","",SUMIFS(Prod_Prop!$J:$J,Prod_Prop!$B:$B,$Q48,Prod_Prop!$H:$H,AB48,Prod_Prop!$I:$I,AD$1)*IF(AB48="Peso",$R48,1))</f>
        <v/>
      </c>
    </row>
    <row r="49">
      <c r="A49" s="4" t="str">
        <f t="array" ref="A49">IF(COUNTIF(A$1:A48,Cotizador!F$2)=maxifs(Familias!E:E,Familias!D:D,Cotizador!F$2),IF(COUNTIF(A$1:A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" s="4" t="str">
        <f t="shared" si="1"/>
        <v/>
      </c>
      <c r="C49" s="4" t="str">
        <f t="array" ref="C49">IF(B49="","",IF(A49=XLOOKUP(A$2,Implementos!B:B,Implementos!C:C,"",0,1),B49+maxifs(B$1:B48,A$1:A48,A$2),B49))</f>
        <v/>
      </c>
      <c r="D49" s="4" t="str">
        <f>IF(B49="","", COUNTIFS(Productos!F:F,A49,Productos!H:H,B49)+IF(F49="SI",0,1))</f>
        <v/>
      </c>
      <c r="E49" s="4" t="str">
        <f>IFERROR(__xludf.DUMMYFUNCTION("IF($B49="""","""",INDEX(filter(Familias!F:F,Familias!$D:$D=$A49,Familias!$E:$E=$B49),1))"),"")</f>
        <v/>
      </c>
      <c r="F49" s="4" t="str">
        <f>IFERROR(__xludf.DUMMYFUNCTION("IF($B49="""","""",INDEX(filter(Familias!G:G,Familias!$D:$D=$A49,Familias!$E:$E=$B49),1))"),"")</f>
        <v/>
      </c>
      <c r="G49" s="4" t="str">
        <f t="array" ref="G49">IF(C49=1,XLOOKUP(C49,Cotizador!D:D,Cotizador!E:E,"",0,1),"")</f>
        <v/>
      </c>
      <c r="I49" s="4"/>
      <c r="J49" s="8" t="str">
        <f>IF(I49="","",SUMIF(Cotizador!I$1:V$1,I49,Cotizador!I$2:V$2))</f>
        <v/>
      </c>
      <c r="L49" s="4" t="str">
        <f t="array" ref="L49">IF(COUNTIF(L$1:L48,A$2)=SUMIF(A:A,A$2,D:D),IF(COUNTIF(L$1:L48,XLOOKUP(A$2,Implementos!B:B,Implementos!C:C,"",0,1))=SUMIF(A:A,XLOOKUP(A$2,Implementos!B:B,Implementos!C:C,"",0,1),D:D),"",XLOOKUP(A$2,Implementos!B:B,Implementos!C:C,"",0,1)),A$2)</f>
        <v>Acoplados Rurales</v>
      </c>
      <c r="M49" s="4">
        <f t="shared" si="2"/>
        <v>48</v>
      </c>
      <c r="N49" s="4">
        <f t="shared" si="3"/>
        <v>3</v>
      </c>
      <c r="O49" s="4">
        <f t="shared" si="4"/>
        <v>3</v>
      </c>
      <c r="P49" s="4">
        <f t="shared" si="5"/>
        <v>9</v>
      </c>
      <c r="Q49" s="4">
        <f>IF(U49="","",SUMIF(Productos!E:E,U49,Productos!A:A))</f>
        <v>80</v>
      </c>
      <c r="R49" s="4">
        <f t="array" ref="R49">IF(L49="","", max(1,SUMIF(I:I,XLOOKUP(U49,Productos!E:E,Productos!G:G,"",0,1),J:J)))</f>
        <v>1</v>
      </c>
      <c r="S49" s="4" t="str">
        <f>IF(Q49="","",IF(SUMIFS(Compat_Vetado!D:D,Compat_Vetado!B:B,SUM(G:G),Compat_Vetado!C:C,Q49)=1,"SI",IF(OR(SUMIF(Cotizador!E:E,Q49,Cotizador!G:G)&gt;0,SUMIFS(Compat_Vetado!D:D,Compat_Vetado!B:B,SUM(G:G),Compat_Vetado!C:C,Q49)=-1),"NO","")))</f>
        <v/>
      </c>
      <c r="T49" s="4" t="str">
        <f t="shared" si="6"/>
        <v/>
      </c>
      <c r="U49" s="4" t="str">
        <f>IFERROR(__xludf.DUMMYFUNCTION("IF(P49="""","""",IFERROR(INDEX(filter(Productos!E:E,Productos!F:F=L49,Productos!H:H=N49),P49),IF(M49=SUM(D:D),""Finalizar"",""-"")))"),"Chasis Acoplado 2 Ejes L5750")</f>
        <v>Chasis Acoplado 2 Ejes L5750</v>
      </c>
      <c r="V49" s="4" t="str">
        <f>IFERROR(__xludf.DUMMYFUNCTION("IF(OR($U49="""",COUNTIF($I:$I,IFERROR(unique(filter(Prod_Prop!$H:$H,Prod_Prop!$G:$G=$U49,Prod_Prop!$E:$E=V$1)),""Check""))=0),"""",IFERROR(unique(filter(Prod_Prop!$H:$H,Prod_Prop!$G:$G=$U49,Prod_Prop!$E:$E=V$1)),""""))"),"Longitud")</f>
        <v>Longitud</v>
      </c>
      <c r="W49" s="4">
        <f>IF(V49="","",SUMIFS(Prod_Prop!$J:$J,Prod_Prop!$B:$B,$Q49,Prod_Prop!$H:$H,V49,Prod_Prop!$I:$I,W$1)*IF(V49="Peso",$R49,1))</f>
        <v>5.55</v>
      </c>
      <c r="X49" s="4">
        <f>IF(V49="","",SUMIFS(Prod_Prop!$J:$J,Prod_Prop!$B:$B,$Q49,Prod_Prop!$H:$H,V49,Prod_Prop!$I:$I,X$1)*IF(V49="Peso",$R49,1))</f>
        <v>5.75</v>
      </c>
      <c r="Y49" s="4" t="str">
        <f>IFERROR(__xludf.DUMMYFUNCTION("IF(OR($U49="""",COUNTIF($I:$I,IFERROR(unique(filter(Prod_Prop!$H:$H,Prod_Prop!$G:$G=$U49,Prod_Prop!$E:$E=Y$1)),""Check""))=0),"""",IFERROR(unique(filter(Prod_Prop!$H:$H,Prod_Prop!$G:$G=$U49,Prod_Prop!$E:$E=Y$1)),""""))"),"")</f>
        <v/>
      </c>
      <c r="Z49" s="4" t="str">
        <f>IF(Y49="","",SUMIFS(Prod_Prop!$J:$J,Prod_Prop!$B:$B,$Q49,Prod_Prop!$H:$H,Y49,Prod_Prop!$I:$I,Z$1)*IF(Y49="Peso",$R49,1))</f>
        <v/>
      </c>
      <c r="AA49" s="4" t="str">
        <f>IF(Y49="","",SUMIFS(Prod_Prop!$J:$J,Prod_Prop!$B:$B,$Q49,Prod_Prop!$H:$H,Y49,Prod_Prop!$I:$I,AA$1)*IF(Y49="Peso",$R49,1))</f>
        <v/>
      </c>
      <c r="AB49" s="4" t="str">
        <f>IFERROR(__xludf.DUMMYFUNCTION("IF(OR($U49="""",COUNTIF($I:$I,IFERROR(unique(filter(Prod_Prop!$H:$H,Prod_Prop!$G:$G=$U49,Prod_Prop!$E:$E=AB$1)),""Check""))=0),"""",IFERROR(unique(filter(Prod_Prop!$H:$H,Prod_Prop!$G:$G=$U49,Prod_Prop!$E:$E=AB$1)),""""))"),"")</f>
        <v/>
      </c>
      <c r="AC49" s="4" t="str">
        <f>IF(AB49="","",SUMIFS(Prod_Prop!$J:$J,Prod_Prop!$B:$B,$Q49,Prod_Prop!$H:$H,AB49,Prod_Prop!$I:$I,AC$1)*IF(AB49="Peso",$R49,1))</f>
        <v/>
      </c>
      <c r="AD49" s="4" t="str">
        <f>IF(AB49="","",SUMIFS(Prod_Prop!$J:$J,Prod_Prop!$B:$B,$Q49,Prod_Prop!$H:$H,AB49,Prod_Prop!$I:$I,AD$1)*IF(AB49="Peso",$R49,1))</f>
        <v/>
      </c>
    </row>
    <row r="50">
      <c r="A50" s="4" t="str">
        <f t="array" ref="A50">IF(COUNTIF(A$1:A49,Cotizador!F$2)=maxifs(Familias!E:E,Familias!D:D,Cotizador!F$2),IF(COUNTIF(A$1:A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" s="4" t="str">
        <f t="shared" si="1"/>
        <v/>
      </c>
      <c r="C50" s="4" t="str">
        <f t="array" ref="C50">IF(B50="","",IF(A50=XLOOKUP(A$2,Implementos!B:B,Implementos!C:C,"",0,1),B50+maxifs(B$1:B49,A$1:A49,A$2),B50))</f>
        <v/>
      </c>
      <c r="D50" s="4" t="str">
        <f>IF(B50="","", COUNTIFS(Productos!F:F,A50,Productos!H:H,B50)+IF(F50="SI",0,1))</f>
        <v/>
      </c>
      <c r="E50" s="4" t="str">
        <f>IFERROR(__xludf.DUMMYFUNCTION("IF($B50="""","""",INDEX(filter(Familias!F:F,Familias!$D:$D=$A50,Familias!$E:$E=$B50),1))"),"")</f>
        <v/>
      </c>
      <c r="F50" s="4" t="str">
        <f>IFERROR(__xludf.DUMMYFUNCTION("IF($B50="""","""",INDEX(filter(Familias!G:G,Familias!$D:$D=$A50,Familias!$E:$E=$B50),1))"),"")</f>
        <v/>
      </c>
      <c r="G50" s="4" t="str">
        <f t="array" ref="G50">IF(C50=1,XLOOKUP(C50,Cotizador!D:D,Cotizador!E:E,"",0,1),"")</f>
        <v/>
      </c>
      <c r="I50" s="4"/>
      <c r="J50" s="8" t="str">
        <f>IF(I50="","",SUMIF(Cotizador!I$1:V$1,I50,Cotizador!I$2:V$2))</f>
        <v/>
      </c>
      <c r="L50" s="4" t="str">
        <f t="array" ref="L50">IF(COUNTIF(L$1:L49,A$2)=SUMIF(A:A,A$2,D:D),IF(COUNTIF(L$1:L49,XLOOKUP(A$2,Implementos!B:B,Implementos!C:C,"",0,1))=SUMIF(A:A,XLOOKUP(A$2,Implementos!B:B,Implementos!C:C,"",0,1),D:D),"",XLOOKUP(A$2,Implementos!B:B,Implementos!C:C,"",0,1)),A$2)</f>
        <v>Acoplados Rurales</v>
      </c>
      <c r="M50" s="4">
        <f t="shared" si="2"/>
        <v>49</v>
      </c>
      <c r="N50" s="4">
        <f t="shared" si="3"/>
        <v>3</v>
      </c>
      <c r="O50" s="4">
        <f t="shared" si="4"/>
        <v>3</v>
      </c>
      <c r="P50" s="4">
        <f t="shared" si="5"/>
        <v>10</v>
      </c>
      <c r="Q50" s="4">
        <f>IF(U50="","",SUMIF(Productos!E:E,U50,Productos!A:A))</f>
        <v>81</v>
      </c>
      <c r="R50" s="4">
        <f t="array" ref="R50">IF(L50="","", max(1,SUMIF(I:I,XLOOKUP(U50,Productos!E:E,Productos!G:G,"",0,1),J:J)))</f>
        <v>1</v>
      </c>
      <c r="S50" s="4" t="str">
        <f>IF(Q50="","",IF(SUMIFS(Compat_Vetado!D:D,Compat_Vetado!B:B,SUM(G:G),Compat_Vetado!C:C,Q50)=1,"SI",IF(OR(SUMIF(Cotizador!E:E,Q50,Cotizador!G:G)&gt;0,SUMIFS(Compat_Vetado!D:D,Compat_Vetado!B:B,SUM(G:G),Compat_Vetado!C:C,Q50)=-1),"NO","")))</f>
        <v/>
      </c>
      <c r="T50" s="4" t="str">
        <f t="shared" si="6"/>
        <v/>
      </c>
      <c r="U50" s="4" t="str">
        <f>IFERROR(__xludf.DUMMYFUNCTION("IF(P50="""","""",IFERROR(INDEX(filter(Productos!E:E,Productos!F:F=L50,Productos!H:H=N50),P50),IF(M50=SUM(D:D),""Finalizar"",""-"")))"),"Chasis Acoplado 2 Ejes L6400")</f>
        <v>Chasis Acoplado 2 Ejes L6400</v>
      </c>
      <c r="V50" s="4" t="str">
        <f>IFERROR(__xludf.DUMMYFUNCTION("IF(OR($U50="""",COUNTIF($I:$I,IFERROR(unique(filter(Prod_Prop!$H:$H,Prod_Prop!$G:$G=$U50,Prod_Prop!$E:$E=V$1)),""Check""))=0),"""",IFERROR(unique(filter(Prod_Prop!$H:$H,Prod_Prop!$G:$G=$U50,Prod_Prop!$E:$E=V$1)),""""))"),"Longitud")</f>
        <v>Longitud</v>
      </c>
      <c r="W50" s="4">
        <f>IF(V50="","",SUMIFS(Prod_Prop!$J:$J,Prod_Prop!$B:$B,$Q50,Prod_Prop!$H:$H,V50,Prod_Prop!$I:$I,W$1)*IF(V50="Peso",$R50,1))</f>
        <v>6.2</v>
      </c>
      <c r="X50" s="4">
        <f>IF(V50="","",SUMIFS(Prod_Prop!$J:$J,Prod_Prop!$B:$B,$Q50,Prod_Prop!$H:$H,V50,Prod_Prop!$I:$I,X$1)*IF(V50="Peso",$R50,1))</f>
        <v>6.4</v>
      </c>
      <c r="Y50" s="4" t="str">
        <f>IFERROR(__xludf.DUMMYFUNCTION("IF(OR($U50="""",COUNTIF($I:$I,IFERROR(unique(filter(Prod_Prop!$H:$H,Prod_Prop!$G:$G=$U50,Prod_Prop!$E:$E=Y$1)),""Check""))=0),"""",IFERROR(unique(filter(Prod_Prop!$H:$H,Prod_Prop!$G:$G=$U50,Prod_Prop!$E:$E=Y$1)),""""))"),"")</f>
        <v/>
      </c>
      <c r="Z50" s="4" t="str">
        <f>IF(Y50="","",SUMIFS(Prod_Prop!$J:$J,Prod_Prop!$B:$B,$Q50,Prod_Prop!$H:$H,Y50,Prod_Prop!$I:$I,Z$1)*IF(Y50="Peso",$R50,1))</f>
        <v/>
      </c>
      <c r="AA50" s="4" t="str">
        <f>IF(Y50="","",SUMIFS(Prod_Prop!$J:$J,Prod_Prop!$B:$B,$Q50,Prod_Prop!$H:$H,Y50,Prod_Prop!$I:$I,AA$1)*IF(Y50="Peso",$R50,1))</f>
        <v/>
      </c>
      <c r="AB50" s="4" t="str">
        <f>IFERROR(__xludf.DUMMYFUNCTION("IF(OR($U50="""",COUNTIF($I:$I,IFERROR(unique(filter(Prod_Prop!$H:$H,Prod_Prop!$G:$G=$U50,Prod_Prop!$E:$E=AB$1)),""Check""))=0),"""",IFERROR(unique(filter(Prod_Prop!$H:$H,Prod_Prop!$G:$G=$U50,Prod_Prop!$E:$E=AB$1)),""""))"),"")</f>
        <v/>
      </c>
      <c r="AC50" s="4" t="str">
        <f>IF(AB50="","",SUMIFS(Prod_Prop!$J:$J,Prod_Prop!$B:$B,$Q50,Prod_Prop!$H:$H,AB50,Prod_Prop!$I:$I,AC$1)*IF(AB50="Peso",$R50,1))</f>
        <v/>
      </c>
      <c r="AD50" s="4" t="str">
        <f>IF(AB50="","",SUMIFS(Prod_Prop!$J:$J,Prod_Prop!$B:$B,$Q50,Prod_Prop!$H:$H,AB50,Prod_Prop!$I:$I,AD$1)*IF(AB50="Peso",$R50,1))</f>
        <v/>
      </c>
    </row>
    <row r="51">
      <c r="A51" s="4" t="str">
        <f t="array" ref="A51">IF(COUNTIF(A$1:A50,Cotizador!F$2)=maxifs(Familias!E:E,Familias!D:D,Cotizador!F$2),IF(COUNTIF(A$1:A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" s="4" t="str">
        <f t="shared" si="1"/>
        <v/>
      </c>
      <c r="C51" s="4" t="str">
        <f t="array" ref="C51">IF(B51="","",IF(A51=XLOOKUP(A$2,Implementos!B:B,Implementos!C:C,"",0,1),B51+maxifs(B$1:B50,A$1:A50,A$2),B51))</f>
        <v/>
      </c>
      <c r="D51" s="4" t="str">
        <f>IF(B51="","", COUNTIFS(Productos!F:F,A51,Productos!H:H,B51)+IF(F51="SI",0,1))</f>
        <v/>
      </c>
      <c r="E51" s="4" t="str">
        <f>IFERROR(__xludf.DUMMYFUNCTION("IF($B51="""","""",INDEX(filter(Familias!F:F,Familias!$D:$D=$A51,Familias!$E:$E=$B51),1))"),"")</f>
        <v/>
      </c>
      <c r="F51" s="4" t="str">
        <f>IFERROR(__xludf.DUMMYFUNCTION("IF($B51="""","""",INDEX(filter(Familias!G:G,Familias!$D:$D=$A51,Familias!$E:$E=$B51),1))"),"")</f>
        <v/>
      </c>
      <c r="G51" s="4" t="str">
        <f t="array" ref="G51">IF(C51=1,XLOOKUP(C51,Cotizador!D:D,Cotizador!E:E,"",0,1),"")</f>
        <v/>
      </c>
      <c r="I51" s="4"/>
      <c r="J51" s="8" t="str">
        <f>IF(I51="","",SUMIF(Cotizador!I$1:V$1,I51,Cotizador!I$2:V$2))</f>
        <v/>
      </c>
      <c r="L51" s="4" t="str">
        <f t="array" ref="L51">IF(COUNTIF(L$1:L50,A$2)=SUMIF(A:A,A$2,D:D),IF(COUNTIF(L$1:L50,XLOOKUP(A$2,Implementos!B:B,Implementos!C:C,"",0,1))=SUMIF(A:A,XLOOKUP(A$2,Implementos!B:B,Implementos!C:C,"",0,1),D:D),"",XLOOKUP(A$2,Implementos!B:B,Implementos!C:C,"",0,1)),A$2)</f>
        <v>Acoplados Rurales</v>
      </c>
      <c r="M51" s="4">
        <f t="shared" si="2"/>
        <v>50</v>
      </c>
      <c r="N51" s="4">
        <f t="shared" si="3"/>
        <v>3</v>
      </c>
      <c r="O51" s="4">
        <f t="shared" si="4"/>
        <v>3</v>
      </c>
      <c r="P51" s="4">
        <f t="shared" si="5"/>
        <v>11</v>
      </c>
      <c r="Q51" s="4">
        <f>IF(U51="","",SUMIF(Productos!E:E,U51,Productos!A:A))</f>
        <v>82</v>
      </c>
      <c r="R51" s="4">
        <f t="array" ref="R51">IF(L51="","", max(1,SUMIF(I:I,XLOOKUP(U51,Productos!E:E,Productos!G:G,"",0,1),J:J)))</f>
        <v>1</v>
      </c>
      <c r="S51" s="4" t="str">
        <f>IF(Q51="","",IF(SUMIFS(Compat_Vetado!D:D,Compat_Vetado!B:B,SUM(G:G),Compat_Vetado!C:C,Q51)=1,"SI",IF(OR(SUMIF(Cotizador!E:E,Q51,Cotizador!G:G)&gt;0,SUMIFS(Compat_Vetado!D:D,Compat_Vetado!B:B,SUM(G:G),Compat_Vetado!C:C,Q51)=-1),"NO","")))</f>
        <v/>
      </c>
      <c r="T51" s="4" t="str">
        <f t="shared" si="6"/>
        <v/>
      </c>
      <c r="U51" s="4" t="str">
        <f>IFERROR(__xludf.DUMMYFUNCTION("IF(P51="""","""",IFERROR(INDEX(filter(Productos!E:E,Productos!F:F=L51,Productos!H:H=N51),P51),IF(M51=SUM(D:D),""Finalizar"",""-"")))"),"Chasis Acoplado 2 Ejes L4500")</f>
        <v>Chasis Acoplado 2 Ejes L4500</v>
      </c>
      <c r="V51" s="4" t="str">
        <f>IFERROR(__xludf.DUMMYFUNCTION("IF(OR($U51="""",COUNTIF($I:$I,IFERROR(unique(filter(Prod_Prop!$H:$H,Prod_Prop!$G:$G=$U51,Prod_Prop!$E:$E=V$1)),""Check""))=0),"""",IFERROR(unique(filter(Prod_Prop!$H:$H,Prod_Prop!$G:$G=$U51,Prod_Prop!$E:$E=V$1)),""""))"),"Longitud")</f>
        <v>Longitud</v>
      </c>
      <c r="W51" s="4">
        <f>IF(V51="","",SUMIFS(Prod_Prop!$J:$J,Prod_Prop!$B:$B,$Q51,Prod_Prop!$H:$H,V51,Prod_Prop!$I:$I,W$1)*IF(V51="Peso",$R51,1))</f>
        <v>4.3</v>
      </c>
      <c r="X51" s="4">
        <f>IF(V51="","",SUMIFS(Prod_Prop!$J:$J,Prod_Prop!$B:$B,$Q51,Prod_Prop!$H:$H,V51,Prod_Prop!$I:$I,X$1)*IF(V51="Peso",$R51,1))</f>
        <v>4.5</v>
      </c>
      <c r="Y51" s="4" t="str">
        <f>IFERROR(__xludf.DUMMYFUNCTION("IF(OR($U51="""",COUNTIF($I:$I,IFERROR(unique(filter(Prod_Prop!$H:$H,Prod_Prop!$G:$G=$U51,Prod_Prop!$E:$E=Y$1)),""Check""))=0),"""",IFERROR(unique(filter(Prod_Prop!$H:$H,Prod_Prop!$G:$G=$U51,Prod_Prop!$E:$E=Y$1)),""""))"),"")</f>
        <v/>
      </c>
      <c r="Z51" s="4" t="str">
        <f>IF(Y51="","",SUMIFS(Prod_Prop!$J:$J,Prod_Prop!$B:$B,$Q51,Prod_Prop!$H:$H,Y51,Prod_Prop!$I:$I,Z$1)*IF(Y51="Peso",$R51,1))</f>
        <v/>
      </c>
      <c r="AA51" s="4" t="str">
        <f>IF(Y51="","",SUMIFS(Prod_Prop!$J:$J,Prod_Prop!$B:$B,$Q51,Prod_Prop!$H:$H,Y51,Prod_Prop!$I:$I,AA$1)*IF(Y51="Peso",$R51,1))</f>
        <v/>
      </c>
      <c r="AB51" s="4" t="str">
        <f>IFERROR(__xludf.DUMMYFUNCTION("IF(OR($U51="""",COUNTIF($I:$I,IFERROR(unique(filter(Prod_Prop!$H:$H,Prod_Prop!$G:$G=$U51,Prod_Prop!$E:$E=AB$1)),""Check""))=0),"""",IFERROR(unique(filter(Prod_Prop!$H:$H,Prod_Prop!$G:$G=$U51,Prod_Prop!$E:$E=AB$1)),""""))"),"")</f>
        <v/>
      </c>
      <c r="AC51" s="4" t="str">
        <f>IF(AB51="","",SUMIFS(Prod_Prop!$J:$J,Prod_Prop!$B:$B,$Q51,Prod_Prop!$H:$H,AB51,Prod_Prop!$I:$I,AC$1)*IF(AB51="Peso",$R51,1))</f>
        <v/>
      </c>
      <c r="AD51" s="4" t="str">
        <f>IF(AB51="","",SUMIFS(Prod_Prop!$J:$J,Prod_Prop!$B:$B,$Q51,Prod_Prop!$H:$H,AB51,Prod_Prop!$I:$I,AD$1)*IF(AB51="Peso",$R51,1))</f>
        <v/>
      </c>
    </row>
    <row r="52">
      <c r="A52" s="4" t="str">
        <f t="array" ref="A52">IF(COUNTIF(A$1:A51,Cotizador!F$2)=maxifs(Familias!E:E,Familias!D:D,Cotizador!F$2),IF(COUNTIF(A$1:A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" s="4" t="str">
        <f t="shared" si="1"/>
        <v/>
      </c>
      <c r="C52" s="4" t="str">
        <f t="array" ref="C52">IF(B52="","",IF(A52=XLOOKUP(A$2,Implementos!B:B,Implementos!C:C,"",0,1),B52+maxifs(B$1:B51,A$1:A51,A$2),B52))</f>
        <v/>
      </c>
      <c r="D52" s="4" t="str">
        <f>IF(B52="","", COUNTIFS(Productos!F:F,A52,Productos!H:H,B52)+IF(F52="SI",0,1))</f>
        <v/>
      </c>
      <c r="E52" s="4" t="str">
        <f>IFERROR(__xludf.DUMMYFUNCTION("IF($B52="""","""",INDEX(filter(Familias!F:F,Familias!$D:$D=$A52,Familias!$E:$E=$B52),1))"),"")</f>
        <v/>
      </c>
      <c r="F52" s="4" t="str">
        <f>IFERROR(__xludf.DUMMYFUNCTION("IF($B52="""","""",INDEX(filter(Familias!G:G,Familias!$D:$D=$A52,Familias!$E:$E=$B52),1))"),"")</f>
        <v/>
      </c>
      <c r="G52" s="4" t="str">
        <f t="array" ref="G52">IF(C52=1,XLOOKUP(C52,Cotizador!D:D,Cotizador!E:E,"",0,1),"")</f>
        <v/>
      </c>
      <c r="I52" s="4"/>
      <c r="J52" s="8" t="str">
        <f>IF(I52="","",SUMIF(Cotizador!I$1:V$1,I52,Cotizador!I$2:V$2))</f>
        <v/>
      </c>
      <c r="L52" s="4" t="str">
        <f t="array" ref="L52">IF(COUNTIF(L$1:L51,A$2)=SUMIF(A:A,A$2,D:D),IF(COUNTIF(L$1:L51,XLOOKUP(A$2,Implementos!B:B,Implementos!C:C,"",0,1))=SUMIF(A:A,XLOOKUP(A$2,Implementos!B:B,Implementos!C:C,"",0,1),D:D),"",XLOOKUP(A$2,Implementos!B:B,Implementos!C:C,"",0,1)),A$2)</f>
        <v>Acoplados Rurales</v>
      </c>
      <c r="M52" s="4">
        <f t="shared" si="2"/>
        <v>51</v>
      </c>
      <c r="N52" s="4">
        <f t="shared" si="3"/>
        <v>3</v>
      </c>
      <c r="O52" s="4">
        <f t="shared" si="4"/>
        <v>3</v>
      </c>
      <c r="P52" s="4">
        <f t="shared" si="5"/>
        <v>12</v>
      </c>
      <c r="Q52" s="4">
        <f>IF(U52="","",SUMIF(Productos!E:E,U52,Productos!A:A))</f>
        <v>83</v>
      </c>
      <c r="R52" s="4">
        <f t="array" ref="R52">IF(L52="","", max(1,SUMIF(I:I,XLOOKUP(U52,Productos!E:E,Productos!G:G,"",0,1),J:J)))</f>
        <v>1</v>
      </c>
      <c r="S52" s="4" t="str">
        <f>IF(Q52="","",IF(SUMIFS(Compat_Vetado!D:D,Compat_Vetado!B:B,SUM(G:G),Compat_Vetado!C:C,Q52)=1,"SI",IF(OR(SUMIF(Cotizador!E:E,Q52,Cotizador!G:G)&gt;0,SUMIFS(Compat_Vetado!D:D,Compat_Vetado!B:B,SUM(G:G),Compat_Vetado!C:C,Q52)=-1),"NO","")))</f>
        <v/>
      </c>
      <c r="T52" s="4" t="str">
        <f t="shared" si="6"/>
        <v/>
      </c>
      <c r="U52" s="4" t="str">
        <f>IFERROR(__xludf.DUMMYFUNCTION("IF(P52="""","""",IFERROR(INDEX(filter(Productos!E:E,Productos!F:F=L52,Productos!H:H=N52),P52),IF(M52=SUM(D:D),""Finalizar"",""-"")))"),"Chasis Acoplado 1 Eje L1500")</f>
        <v>Chasis Acoplado 1 Eje L1500</v>
      </c>
      <c r="V52" s="4" t="str">
        <f>IFERROR(__xludf.DUMMYFUNCTION("IF(OR($U52="""",COUNTIF($I:$I,IFERROR(unique(filter(Prod_Prop!$H:$H,Prod_Prop!$G:$G=$U52,Prod_Prop!$E:$E=V$1)),""Check""))=0),"""",IFERROR(unique(filter(Prod_Prop!$H:$H,Prod_Prop!$G:$G=$U52,Prod_Prop!$E:$E=V$1)),""""))"),"Longitud")</f>
        <v>Longitud</v>
      </c>
      <c r="W52" s="4">
        <f>IF(V52="","",SUMIFS(Prod_Prop!$J:$J,Prod_Prop!$B:$B,$Q52,Prod_Prop!$H:$H,V52,Prod_Prop!$I:$I,W$1)*IF(V52="Peso",$R52,1))</f>
        <v>1.45</v>
      </c>
      <c r="X52" s="4">
        <f>IF(V52="","",SUMIFS(Prod_Prop!$J:$J,Prod_Prop!$B:$B,$Q52,Prod_Prop!$H:$H,V52,Prod_Prop!$I:$I,X$1)*IF(V52="Peso",$R52,1))</f>
        <v>1.5</v>
      </c>
      <c r="Y52" s="4" t="str">
        <f>IFERROR(__xludf.DUMMYFUNCTION("IF(OR($U52="""",COUNTIF($I:$I,IFERROR(unique(filter(Prod_Prop!$H:$H,Prod_Prop!$G:$G=$U52,Prod_Prop!$E:$E=Y$1)),""Check""))=0),"""",IFERROR(unique(filter(Prod_Prop!$H:$H,Prod_Prop!$G:$G=$U52,Prod_Prop!$E:$E=Y$1)),""""))"),"")</f>
        <v/>
      </c>
      <c r="Z52" s="4" t="str">
        <f>IF(Y52="","",SUMIFS(Prod_Prop!$J:$J,Prod_Prop!$B:$B,$Q52,Prod_Prop!$H:$H,Y52,Prod_Prop!$I:$I,Z$1)*IF(Y52="Peso",$R52,1))</f>
        <v/>
      </c>
      <c r="AA52" s="4" t="str">
        <f>IF(Y52="","",SUMIFS(Prod_Prop!$J:$J,Prod_Prop!$B:$B,$Q52,Prod_Prop!$H:$H,Y52,Prod_Prop!$I:$I,AA$1)*IF(Y52="Peso",$R52,1))</f>
        <v/>
      </c>
      <c r="AB52" s="4" t="str">
        <f>IFERROR(__xludf.DUMMYFUNCTION("IF(OR($U52="""",COUNTIF($I:$I,IFERROR(unique(filter(Prod_Prop!$H:$H,Prod_Prop!$G:$G=$U52,Prod_Prop!$E:$E=AB$1)),""Check""))=0),"""",IFERROR(unique(filter(Prod_Prop!$H:$H,Prod_Prop!$G:$G=$U52,Prod_Prop!$E:$E=AB$1)),""""))"),"")</f>
        <v/>
      </c>
      <c r="AC52" s="4" t="str">
        <f>IF(AB52="","",SUMIFS(Prod_Prop!$J:$J,Prod_Prop!$B:$B,$Q52,Prod_Prop!$H:$H,AB52,Prod_Prop!$I:$I,AC$1)*IF(AB52="Peso",$R52,1))</f>
        <v/>
      </c>
      <c r="AD52" s="4" t="str">
        <f>IF(AB52="","",SUMIFS(Prod_Prop!$J:$J,Prod_Prop!$B:$B,$Q52,Prod_Prop!$H:$H,AB52,Prod_Prop!$I:$I,AD$1)*IF(AB52="Peso",$R52,1))</f>
        <v/>
      </c>
    </row>
    <row r="53">
      <c r="A53" s="4" t="str">
        <f t="array" ref="A53">IF(COUNTIF(A$1:A52,Cotizador!F$2)=maxifs(Familias!E:E,Familias!D:D,Cotizador!F$2),IF(COUNTIF(A$1:A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" s="4" t="str">
        <f t="shared" si="1"/>
        <v/>
      </c>
      <c r="C53" s="4" t="str">
        <f t="array" ref="C53">IF(B53="","",IF(A53=XLOOKUP(A$2,Implementos!B:B,Implementos!C:C,"",0,1),B53+maxifs(B$1:B52,A$1:A52,A$2),B53))</f>
        <v/>
      </c>
      <c r="D53" s="4" t="str">
        <f>IF(B53="","", COUNTIFS(Productos!F:F,A53,Productos!H:H,B53)+IF(F53="SI",0,1))</f>
        <v/>
      </c>
      <c r="E53" s="4" t="str">
        <f>IFERROR(__xludf.DUMMYFUNCTION("IF($B53="""","""",INDEX(filter(Familias!F:F,Familias!$D:$D=$A53,Familias!$E:$E=$B53),1))"),"")</f>
        <v/>
      </c>
      <c r="F53" s="4" t="str">
        <f>IFERROR(__xludf.DUMMYFUNCTION("IF($B53="""","""",INDEX(filter(Familias!G:G,Familias!$D:$D=$A53,Familias!$E:$E=$B53),1))"),"")</f>
        <v/>
      </c>
      <c r="G53" s="4" t="str">
        <f t="array" ref="G53">IF(C53=1,XLOOKUP(C53,Cotizador!D:D,Cotizador!E:E,"",0,1),"")</f>
        <v/>
      </c>
      <c r="I53" s="4"/>
      <c r="J53" s="8" t="str">
        <f>IF(I53="","",SUMIF(Cotizador!I$1:V$1,I53,Cotizador!I$2:V$2))</f>
        <v/>
      </c>
      <c r="L53" s="4" t="str">
        <f t="array" ref="L53">IF(COUNTIF(L$1:L52,A$2)=SUMIF(A:A,A$2,D:D),IF(COUNTIF(L$1:L52,XLOOKUP(A$2,Implementos!B:B,Implementos!C:C,"",0,1))=SUMIF(A:A,XLOOKUP(A$2,Implementos!B:B,Implementos!C:C,"",0,1),D:D),"",XLOOKUP(A$2,Implementos!B:B,Implementos!C:C,"",0,1)),A$2)</f>
        <v>Acoplados Rurales</v>
      </c>
      <c r="M53" s="4">
        <f t="shared" si="2"/>
        <v>52</v>
      </c>
      <c r="N53" s="4">
        <f t="shared" si="3"/>
        <v>3</v>
      </c>
      <c r="O53" s="4">
        <f t="shared" si="4"/>
        <v>3</v>
      </c>
      <c r="P53" s="4">
        <f t="shared" si="5"/>
        <v>13</v>
      </c>
      <c r="Q53" s="4">
        <f>IF(U53="","",SUMIF(Productos!E:E,U53,Productos!A:A))</f>
        <v>84</v>
      </c>
      <c r="R53" s="4">
        <f t="array" ref="R53">IF(L53="","", max(1,SUMIF(I:I,XLOOKUP(U53,Productos!E:E,Productos!G:G,"",0,1),J:J)))</f>
        <v>1</v>
      </c>
      <c r="S53" s="4" t="str">
        <f>IF(Q53="","",IF(SUMIFS(Compat_Vetado!D:D,Compat_Vetado!B:B,SUM(G:G),Compat_Vetado!C:C,Q53)=1,"SI",IF(OR(SUMIF(Cotizador!E:E,Q53,Cotizador!G:G)&gt;0,SUMIFS(Compat_Vetado!D:D,Compat_Vetado!B:B,SUM(G:G),Compat_Vetado!C:C,Q53)=-1),"NO","")))</f>
        <v/>
      </c>
      <c r="T53" s="4" t="str">
        <f t="shared" si="6"/>
        <v/>
      </c>
      <c r="U53" s="4" t="str">
        <f>IFERROR(__xludf.DUMMYFUNCTION("IF(P53="""","""",IFERROR(INDEX(filter(Productos!E:E,Productos!F:F=L53,Productos!H:H=N53),P53),IF(M53=SUM(D:D),""Finalizar"",""-"")))"),"Chasis Acoplado 1 Eje L1800")</f>
        <v>Chasis Acoplado 1 Eje L1800</v>
      </c>
      <c r="V53" s="4" t="str">
        <f>IFERROR(__xludf.DUMMYFUNCTION("IF(OR($U53="""",COUNTIF($I:$I,IFERROR(unique(filter(Prod_Prop!$H:$H,Prod_Prop!$G:$G=$U53,Prod_Prop!$E:$E=V$1)),""Check""))=0),"""",IFERROR(unique(filter(Prod_Prop!$H:$H,Prod_Prop!$G:$G=$U53,Prod_Prop!$E:$E=V$1)),""""))"),"Longitud")</f>
        <v>Longitud</v>
      </c>
      <c r="W53" s="4">
        <f>IF(V53="","",SUMIFS(Prod_Prop!$J:$J,Prod_Prop!$B:$B,$Q53,Prod_Prop!$H:$H,V53,Prod_Prop!$I:$I,W$1)*IF(V53="Peso",$R53,1))</f>
        <v>1.75</v>
      </c>
      <c r="X53" s="4">
        <f>IF(V53="","",SUMIFS(Prod_Prop!$J:$J,Prod_Prop!$B:$B,$Q53,Prod_Prop!$H:$H,V53,Prod_Prop!$I:$I,X$1)*IF(V53="Peso",$R53,1))</f>
        <v>1.8</v>
      </c>
      <c r="Y53" s="4" t="str">
        <f>IFERROR(__xludf.DUMMYFUNCTION("IF(OR($U53="""",COUNTIF($I:$I,IFERROR(unique(filter(Prod_Prop!$H:$H,Prod_Prop!$G:$G=$U53,Prod_Prop!$E:$E=Y$1)),""Check""))=0),"""",IFERROR(unique(filter(Prod_Prop!$H:$H,Prod_Prop!$G:$G=$U53,Prod_Prop!$E:$E=Y$1)),""""))"),"")</f>
        <v/>
      </c>
      <c r="Z53" s="4" t="str">
        <f>IF(Y53="","",SUMIFS(Prod_Prop!$J:$J,Prod_Prop!$B:$B,$Q53,Prod_Prop!$H:$H,Y53,Prod_Prop!$I:$I,Z$1)*IF(Y53="Peso",$R53,1))</f>
        <v/>
      </c>
      <c r="AA53" s="4" t="str">
        <f>IF(Y53="","",SUMIFS(Prod_Prop!$J:$J,Prod_Prop!$B:$B,$Q53,Prod_Prop!$H:$H,Y53,Prod_Prop!$I:$I,AA$1)*IF(Y53="Peso",$R53,1))</f>
        <v/>
      </c>
      <c r="AB53" s="4" t="str">
        <f>IFERROR(__xludf.DUMMYFUNCTION("IF(OR($U53="""",COUNTIF($I:$I,IFERROR(unique(filter(Prod_Prop!$H:$H,Prod_Prop!$G:$G=$U53,Prod_Prop!$E:$E=AB$1)),""Check""))=0),"""",IFERROR(unique(filter(Prod_Prop!$H:$H,Prod_Prop!$G:$G=$U53,Prod_Prop!$E:$E=AB$1)),""""))"),"")</f>
        <v/>
      </c>
      <c r="AC53" s="4" t="str">
        <f>IF(AB53="","",SUMIFS(Prod_Prop!$J:$J,Prod_Prop!$B:$B,$Q53,Prod_Prop!$H:$H,AB53,Prod_Prop!$I:$I,AC$1)*IF(AB53="Peso",$R53,1))</f>
        <v/>
      </c>
      <c r="AD53" s="4" t="str">
        <f>IF(AB53="","",SUMIFS(Prod_Prop!$J:$J,Prod_Prop!$B:$B,$Q53,Prod_Prop!$H:$H,AB53,Prod_Prop!$I:$I,AD$1)*IF(AB53="Peso",$R53,1))</f>
        <v/>
      </c>
    </row>
    <row r="54">
      <c r="A54" s="4" t="str">
        <f t="array" ref="A54">IF(COUNTIF(A$1:A53,Cotizador!F$2)=maxifs(Familias!E:E,Familias!D:D,Cotizador!F$2),IF(COUNTIF(A$1:A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" s="4" t="str">
        <f t="shared" si="1"/>
        <v/>
      </c>
      <c r="C54" s="4" t="str">
        <f t="array" ref="C54">IF(B54="","",IF(A54=XLOOKUP(A$2,Implementos!B:B,Implementos!C:C,"",0,1),B54+maxifs(B$1:B53,A$1:A53,A$2),B54))</f>
        <v/>
      </c>
      <c r="D54" s="4" t="str">
        <f>IF(B54="","", COUNTIFS(Productos!F:F,A54,Productos!H:H,B54)+IF(F54="SI",0,1))</f>
        <v/>
      </c>
      <c r="E54" s="4" t="str">
        <f>IFERROR(__xludf.DUMMYFUNCTION("IF($B54="""","""",INDEX(filter(Familias!F:F,Familias!$D:$D=$A54,Familias!$E:$E=$B54),1))"),"")</f>
        <v/>
      </c>
      <c r="F54" s="4" t="str">
        <f>IFERROR(__xludf.DUMMYFUNCTION("IF($B54="""","""",INDEX(filter(Familias!G:G,Familias!$D:$D=$A54,Familias!$E:$E=$B54),1))"),"")</f>
        <v/>
      </c>
      <c r="G54" s="4" t="str">
        <f t="array" ref="G54">IF(C54=1,XLOOKUP(C54,Cotizador!D:D,Cotizador!E:E,"",0,1),"")</f>
        <v/>
      </c>
      <c r="I54" s="4"/>
      <c r="J54" s="8" t="str">
        <f>IF(I54="","",SUMIF(Cotizador!I$1:V$1,I54,Cotizador!I$2:V$2))</f>
        <v/>
      </c>
      <c r="L54" s="4" t="str">
        <f t="array" ref="L54">IF(COUNTIF(L$1:L53,A$2)=SUMIF(A:A,A$2,D:D),IF(COUNTIF(L$1:L53,XLOOKUP(A$2,Implementos!B:B,Implementos!C:C,"",0,1))=SUMIF(A:A,XLOOKUP(A$2,Implementos!B:B,Implementos!C:C,"",0,1),D:D),"",XLOOKUP(A$2,Implementos!B:B,Implementos!C:C,"",0,1)),A$2)</f>
        <v>Acoplados Rurales</v>
      </c>
      <c r="M54" s="4">
        <f t="shared" si="2"/>
        <v>53</v>
      </c>
      <c r="N54" s="4">
        <f t="shared" si="3"/>
        <v>3</v>
      </c>
      <c r="O54" s="4">
        <f t="shared" si="4"/>
        <v>3</v>
      </c>
      <c r="P54" s="4">
        <f t="shared" si="5"/>
        <v>14</v>
      </c>
      <c r="Q54" s="4">
        <f>IF(U54="","",SUMIF(Productos!E:E,U54,Productos!A:A))</f>
        <v>85</v>
      </c>
      <c r="R54" s="4">
        <f t="array" ref="R54">IF(L54="","", max(1,SUMIF(I:I,XLOOKUP(U54,Productos!E:E,Productos!G:G,"",0,1),J:J)))</f>
        <v>1</v>
      </c>
      <c r="S54" s="4" t="str">
        <f>IF(Q54="","",IF(SUMIFS(Compat_Vetado!D:D,Compat_Vetado!B:B,SUM(G:G),Compat_Vetado!C:C,Q54)=1,"SI",IF(OR(SUMIF(Cotizador!E:E,Q54,Cotizador!G:G)&gt;0,SUMIFS(Compat_Vetado!D:D,Compat_Vetado!B:B,SUM(G:G),Compat_Vetado!C:C,Q54)=-1),"NO","")))</f>
        <v/>
      </c>
      <c r="T54" s="4" t="str">
        <f t="shared" si="6"/>
        <v/>
      </c>
      <c r="U54" s="4" t="str">
        <f>IFERROR(__xludf.DUMMYFUNCTION("IF(P54="""","""",IFERROR(INDEX(filter(Productos!E:E,Productos!F:F=L54,Productos!H:H=N54),P54),IF(M54=SUM(D:D),""Finalizar"",""-"")))"),"Chasis Acoplado 1 Eje L1400")</f>
        <v>Chasis Acoplado 1 Eje L1400</v>
      </c>
      <c r="V54" s="4" t="str">
        <f>IFERROR(__xludf.DUMMYFUNCTION("IF(OR($U54="""",COUNTIF($I:$I,IFERROR(unique(filter(Prod_Prop!$H:$H,Prod_Prop!$G:$G=$U54,Prod_Prop!$E:$E=V$1)),""Check""))=0),"""",IFERROR(unique(filter(Prod_Prop!$H:$H,Prod_Prop!$G:$G=$U54,Prod_Prop!$E:$E=V$1)),""""))"),"Longitud")</f>
        <v>Longitud</v>
      </c>
      <c r="W54" s="4">
        <f>IF(V54="","",SUMIFS(Prod_Prop!$J:$J,Prod_Prop!$B:$B,$Q54,Prod_Prop!$H:$H,V54,Prod_Prop!$I:$I,W$1)*IF(V54="Peso",$R54,1))</f>
        <v>1.25</v>
      </c>
      <c r="X54" s="4">
        <f>IF(V54="","",SUMIFS(Prod_Prop!$J:$J,Prod_Prop!$B:$B,$Q54,Prod_Prop!$H:$H,V54,Prod_Prop!$I:$I,X$1)*IF(V54="Peso",$R54,1))</f>
        <v>1.4</v>
      </c>
      <c r="Y54" s="4" t="str">
        <f>IFERROR(__xludf.DUMMYFUNCTION("IF(OR($U54="""",COUNTIF($I:$I,IFERROR(unique(filter(Prod_Prop!$H:$H,Prod_Prop!$G:$G=$U54,Prod_Prop!$E:$E=Y$1)),""Check""))=0),"""",IFERROR(unique(filter(Prod_Prop!$H:$H,Prod_Prop!$G:$G=$U54,Prod_Prop!$E:$E=Y$1)),""""))"),"")</f>
        <v/>
      </c>
      <c r="Z54" s="4" t="str">
        <f>IF(Y54="","",SUMIFS(Prod_Prop!$J:$J,Prod_Prop!$B:$B,$Q54,Prod_Prop!$H:$H,Y54,Prod_Prop!$I:$I,Z$1)*IF(Y54="Peso",$R54,1))</f>
        <v/>
      </c>
      <c r="AA54" s="4" t="str">
        <f>IF(Y54="","",SUMIFS(Prod_Prop!$J:$J,Prod_Prop!$B:$B,$Q54,Prod_Prop!$H:$H,Y54,Prod_Prop!$I:$I,AA$1)*IF(Y54="Peso",$R54,1))</f>
        <v/>
      </c>
      <c r="AB54" s="4" t="str">
        <f>IFERROR(__xludf.DUMMYFUNCTION("IF(OR($U54="""",COUNTIF($I:$I,IFERROR(unique(filter(Prod_Prop!$H:$H,Prod_Prop!$G:$G=$U54,Prod_Prop!$E:$E=AB$1)),""Check""))=0),"""",IFERROR(unique(filter(Prod_Prop!$H:$H,Prod_Prop!$G:$G=$U54,Prod_Prop!$E:$E=AB$1)),""""))"),"")</f>
        <v/>
      </c>
      <c r="AC54" s="4" t="str">
        <f>IF(AB54="","",SUMIFS(Prod_Prop!$J:$J,Prod_Prop!$B:$B,$Q54,Prod_Prop!$H:$H,AB54,Prod_Prop!$I:$I,AC$1)*IF(AB54="Peso",$R54,1))</f>
        <v/>
      </c>
      <c r="AD54" s="4" t="str">
        <f>IF(AB54="","",SUMIFS(Prod_Prop!$J:$J,Prod_Prop!$B:$B,$Q54,Prod_Prop!$H:$H,AB54,Prod_Prop!$I:$I,AD$1)*IF(AB54="Peso",$R54,1))</f>
        <v/>
      </c>
    </row>
    <row r="55">
      <c r="A55" s="4" t="str">
        <f t="array" ref="A55">IF(COUNTIF(A$1:A54,Cotizador!F$2)=maxifs(Familias!E:E,Familias!D:D,Cotizador!F$2),IF(COUNTIF(A$1:A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" s="4" t="str">
        <f t="shared" si="1"/>
        <v/>
      </c>
      <c r="C55" s="4" t="str">
        <f t="array" ref="C55">IF(B55="","",IF(A55=XLOOKUP(A$2,Implementos!B:B,Implementos!C:C,"",0,1),B55+maxifs(B$1:B54,A$1:A54,A$2),B55))</f>
        <v/>
      </c>
      <c r="D55" s="4" t="str">
        <f>IF(B55="","", COUNTIFS(Productos!F:F,A55,Productos!H:H,B55)+IF(F55="SI",0,1))</f>
        <v/>
      </c>
      <c r="E55" s="4" t="str">
        <f>IFERROR(__xludf.DUMMYFUNCTION("IF($B55="""","""",INDEX(filter(Familias!F:F,Familias!$D:$D=$A55,Familias!$E:$E=$B55),1))"),"")</f>
        <v/>
      </c>
      <c r="F55" s="4" t="str">
        <f>IFERROR(__xludf.DUMMYFUNCTION("IF($B55="""","""",INDEX(filter(Familias!G:G,Familias!$D:$D=$A55,Familias!$E:$E=$B55),1))"),"")</f>
        <v/>
      </c>
      <c r="G55" s="4" t="str">
        <f t="array" ref="G55">IF(C55=1,XLOOKUP(C55,Cotizador!D:D,Cotizador!E:E,"",0,1),"")</f>
        <v/>
      </c>
      <c r="I55" s="4"/>
      <c r="J55" s="8" t="str">
        <f>IF(I55="","",SUMIF(Cotizador!I$1:V$1,I55,Cotizador!I$2:V$2))</f>
        <v/>
      </c>
      <c r="L55" s="4" t="str">
        <f t="array" ref="L55">IF(COUNTIF(L$1:L54,A$2)=SUMIF(A:A,A$2,D:D),IF(COUNTIF(L$1:L54,XLOOKUP(A$2,Implementos!B:B,Implementos!C:C,"",0,1))=SUMIF(A:A,XLOOKUP(A$2,Implementos!B:B,Implementos!C:C,"",0,1),D:D),"",XLOOKUP(A$2,Implementos!B:B,Implementos!C:C,"",0,1)),A$2)</f>
        <v>Acoplados Rurales</v>
      </c>
      <c r="M55" s="4">
        <f t="shared" si="2"/>
        <v>54</v>
      </c>
      <c r="N55" s="4">
        <f t="shared" si="3"/>
        <v>3</v>
      </c>
      <c r="O55" s="4">
        <f t="shared" si="4"/>
        <v>3</v>
      </c>
      <c r="P55" s="4">
        <f t="shared" si="5"/>
        <v>15</v>
      </c>
      <c r="Q55" s="4">
        <f>IF(U55="","",SUMIF(Productos!E:E,U55,Productos!A:A))</f>
        <v>86</v>
      </c>
      <c r="R55" s="4">
        <f t="array" ref="R55">IF(L55="","", max(1,SUMIF(I:I,XLOOKUP(U55,Productos!E:E,Productos!G:G,"",0,1),J:J)))</f>
        <v>1</v>
      </c>
      <c r="S55" s="4" t="str">
        <f>IF(Q55="","",IF(SUMIFS(Compat_Vetado!D:D,Compat_Vetado!B:B,SUM(G:G),Compat_Vetado!C:C,Q55)=1,"SI",IF(OR(SUMIF(Cotizador!E:E,Q55,Cotizador!G:G)&gt;0,SUMIFS(Compat_Vetado!D:D,Compat_Vetado!B:B,SUM(G:G),Compat_Vetado!C:C,Q55)=-1),"NO","")))</f>
        <v/>
      </c>
      <c r="T55" s="4" t="str">
        <f t="shared" si="6"/>
        <v/>
      </c>
      <c r="U55" s="4" t="str">
        <f>IFERROR(__xludf.DUMMYFUNCTION("IF(P55="""","""",IFERROR(INDEX(filter(Productos!E:E,Productos!F:F=L55,Productos!H:H=N55),P55),IF(M55=SUM(D:D),""Finalizar"",""-"")))"),"Chasis Acoplado Balancin L3000")</f>
        <v>Chasis Acoplado Balancin L3000</v>
      </c>
      <c r="V55" s="4" t="str">
        <f>IFERROR(__xludf.DUMMYFUNCTION("IF(OR($U55="""",COUNTIF($I:$I,IFERROR(unique(filter(Prod_Prop!$H:$H,Prod_Prop!$G:$G=$U55,Prod_Prop!$E:$E=V$1)),""Check""))=0),"""",IFERROR(unique(filter(Prod_Prop!$H:$H,Prod_Prop!$G:$G=$U55,Prod_Prop!$E:$E=V$1)),""""))"),"Longitud")</f>
        <v>Longitud</v>
      </c>
      <c r="W55" s="4">
        <f>IF(V55="","",SUMIFS(Prod_Prop!$J:$J,Prod_Prop!$B:$B,$Q55,Prod_Prop!$H:$H,V55,Prod_Prop!$I:$I,W$1)*IF(V55="Peso",$R55,1))</f>
        <v>2.8</v>
      </c>
      <c r="X55" s="4">
        <f>IF(V55="","",SUMIFS(Prod_Prop!$J:$J,Prod_Prop!$B:$B,$Q55,Prod_Prop!$H:$H,V55,Prod_Prop!$I:$I,X$1)*IF(V55="Peso",$R55,1))</f>
        <v>3</v>
      </c>
      <c r="Y55" s="4" t="str">
        <f>IFERROR(__xludf.DUMMYFUNCTION("IF(OR($U55="""",COUNTIF($I:$I,IFERROR(unique(filter(Prod_Prop!$H:$H,Prod_Prop!$G:$G=$U55,Prod_Prop!$E:$E=Y$1)),""Check""))=0),"""",IFERROR(unique(filter(Prod_Prop!$H:$H,Prod_Prop!$G:$G=$U55,Prod_Prop!$E:$E=Y$1)),""""))"),"")</f>
        <v/>
      </c>
      <c r="Z55" s="4" t="str">
        <f>IF(Y55="","",SUMIFS(Prod_Prop!$J:$J,Prod_Prop!$B:$B,$Q55,Prod_Prop!$H:$H,Y55,Prod_Prop!$I:$I,Z$1)*IF(Y55="Peso",$R55,1))</f>
        <v/>
      </c>
      <c r="AA55" s="4" t="str">
        <f>IF(Y55="","",SUMIFS(Prod_Prop!$J:$J,Prod_Prop!$B:$B,$Q55,Prod_Prop!$H:$H,Y55,Prod_Prop!$I:$I,AA$1)*IF(Y55="Peso",$R55,1))</f>
        <v/>
      </c>
      <c r="AB55" s="4" t="str">
        <f>IFERROR(__xludf.DUMMYFUNCTION("IF(OR($U55="""",COUNTIF($I:$I,IFERROR(unique(filter(Prod_Prop!$H:$H,Prod_Prop!$G:$G=$U55,Prod_Prop!$E:$E=AB$1)),""Check""))=0),"""",IFERROR(unique(filter(Prod_Prop!$H:$H,Prod_Prop!$G:$G=$U55,Prod_Prop!$E:$E=AB$1)),""""))"),"")</f>
        <v/>
      </c>
      <c r="AC55" s="4" t="str">
        <f>IF(AB55="","",SUMIFS(Prod_Prop!$J:$J,Prod_Prop!$B:$B,$Q55,Prod_Prop!$H:$H,AB55,Prod_Prop!$I:$I,AC$1)*IF(AB55="Peso",$R55,1))</f>
        <v/>
      </c>
      <c r="AD55" s="4" t="str">
        <f>IF(AB55="","",SUMIFS(Prod_Prop!$J:$J,Prod_Prop!$B:$B,$Q55,Prod_Prop!$H:$H,AB55,Prod_Prop!$I:$I,AD$1)*IF(AB55="Peso",$R55,1))</f>
        <v/>
      </c>
    </row>
    <row r="56">
      <c r="A56" s="4" t="str">
        <f t="array" ref="A56">IF(COUNTIF(A$1:A55,Cotizador!F$2)=maxifs(Familias!E:E,Familias!D:D,Cotizador!F$2),IF(COUNTIF(A$1:A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" s="4" t="str">
        <f t="shared" si="1"/>
        <v/>
      </c>
      <c r="C56" s="4" t="str">
        <f t="array" ref="C56">IF(B56="","",IF(A56=XLOOKUP(A$2,Implementos!B:B,Implementos!C:C,"",0,1),B56+maxifs(B$1:B55,A$1:A55,A$2),B56))</f>
        <v/>
      </c>
      <c r="D56" s="4" t="str">
        <f>IF(B56="","", COUNTIFS(Productos!F:F,A56,Productos!H:H,B56)+IF(F56="SI",0,1))</f>
        <v/>
      </c>
      <c r="E56" s="4" t="str">
        <f>IFERROR(__xludf.DUMMYFUNCTION("IF($B56="""","""",INDEX(filter(Familias!F:F,Familias!$D:$D=$A56,Familias!$E:$E=$B56),1))"),"")</f>
        <v/>
      </c>
      <c r="F56" s="4" t="str">
        <f>IFERROR(__xludf.DUMMYFUNCTION("IF($B56="""","""",INDEX(filter(Familias!G:G,Familias!$D:$D=$A56,Familias!$E:$E=$B56),1))"),"")</f>
        <v/>
      </c>
      <c r="G56" s="4" t="str">
        <f t="array" ref="G56">IF(C56=1,XLOOKUP(C56,Cotizador!D:D,Cotizador!E:E,"",0,1),"")</f>
        <v/>
      </c>
      <c r="I56" s="4"/>
      <c r="J56" s="8" t="str">
        <f>IF(I56="","",SUMIF(Cotizador!I$1:V$1,I56,Cotizador!I$2:V$2))</f>
        <v/>
      </c>
      <c r="L56" s="4" t="str">
        <f t="array" ref="L56">IF(COUNTIF(L$1:L55,A$2)=SUMIF(A:A,A$2,D:D),IF(COUNTIF(L$1:L55,XLOOKUP(A$2,Implementos!B:B,Implementos!C:C,"",0,1))=SUMIF(A:A,XLOOKUP(A$2,Implementos!B:B,Implementos!C:C,"",0,1),D:D),"",XLOOKUP(A$2,Implementos!B:B,Implementos!C:C,"",0,1)),A$2)</f>
        <v>Acoplados Rurales</v>
      </c>
      <c r="M56" s="4">
        <f t="shared" si="2"/>
        <v>55</v>
      </c>
      <c r="N56" s="4">
        <f t="shared" si="3"/>
        <v>3</v>
      </c>
      <c r="O56" s="4">
        <f t="shared" si="4"/>
        <v>3</v>
      </c>
      <c r="P56" s="4">
        <f t="shared" si="5"/>
        <v>16</v>
      </c>
      <c r="Q56" s="4">
        <f>IF(U56="","",SUMIF(Productos!E:E,U56,Productos!A:A))</f>
        <v>87</v>
      </c>
      <c r="R56" s="4">
        <f t="array" ref="R56">IF(L56="","", max(1,SUMIF(I:I,XLOOKUP(U56,Productos!E:E,Productos!G:G,"",0,1),J:J)))</f>
        <v>1</v>
      </c>
      <c r="S56" s="4" t="str">
        <f>IF(Q56="","",IF(SUMIFS(Compat_Vetado!D:D,Compat_Vetado!B:B,SUM(G:G),Compat_Vetado!C:C,Q56)=1,"SI",IF(OR(SUMIF(Cotizador!E:E,Q56,Cotizador!G:G)&gt;0,SUMIFS(Compat_Vetado!D:D,Compat_Vetado!B:B,SUM(G:G),Compat_Vetado!C:C,Q56)=-1),"NO","")))</f>
        <v/>
      </c>
      <c r="T56" s="4" t="str">
        <f t="shared" si="6"/>
        <v/>
      </c>
      <c r="U56" s="4" t="str">
        <f>IFERROR(__xludf.DUMMYFUNCTION("IF(P56="""","""",IFERROR(INDEX(filter(Productos!E:E,Productos!F:F=L56,Productos!H:H=N56),P56),IF(M56=SUM(D:D),""Finalizar"",""-"")))"),"Chasis Acoplado Balancin L3000 Lanza Corta")</f>
        <v>Chasis Acoplado Balancin L3000 Lanza Corta</v>
      </c>
      <c r="V56" s="4" t="str">
        <f>IFERROR(__xludf.DUMMYFUNCTION("IF(OR($U56="""",COUNTIF($I:$I,IFERROR(unique(filter(Prod_Prop!$H:$H,Prod_Prop!$G:$G=$U56,Prod_Prop!$E:$E=V$1)),""Check""))=0),"""",IFERROR(unique(filter(Prod_Prop!$H:$H,Prod_Prop!$G:$G=$U56,Prod_Prop!$E:$E=V$1)),""""))"),"Longitud")</f>
        <v>Longitud</v>
      </c>
      <c r="W56" s="4">
        <f>IF(V56="","",SUMIFS(Prod_Prop!$J:$J,Prod_Prop!$B:$B,$Q56,Prod_Prop!$H:$H,V56,Prod_Prop!$I:$I,W$1)*IF(V56="Peso",$R56,1))</f>
        <v>2.8</v>
      </c>
      <c r="X56" s="4">
        <f>IF(V56="","",SUMIFS(Prod_Prop!$J:$J,Prod_Prop!$B:$B,$Q56,Prod_Prop!$H:$H,V56,Prod_Prop!$I:$I,X$1)*IF(V56="Peso",$R56,1))</f>
        <v>3</v>
      </c>
      <c r="Y56" s="4" t="str">
        <f>IFERROR(__xludf.DUMMYFUNCTION("IF(OR($U56="""",COUNTIF($I:$I,IFERROR(unique(filter(Prod_Prop!$H:$H,Prod_Prop!$G:$G=$U56,Prod_Prop!$E:$E=Y$1)),""Check""))=0),"""",IFERROR(unique(filter(Prod_Prop!$H:$H,Prod_Prop!$G:$G=$U56,Prod_Prop!$E:$E=Y$1)),""""))"),"")</f>
        <v/>
      </c>
      <c r="Z56" s="4" t="str">
        <f>IF(Y56="","",SUMIFS(Prod_Prop!$J:$J,Prod_Prop!$B:$B,$Q56,Prod_Prop!$H:$H,Y56,Prod_Prop!$I:$I,Z$1)*IF(Y56="Peso",$R56,1))</f>
        <v/>
      </c>
      <c r="AA56" s="4" t="str">
        <f>IF(Y56="","",SUMIFS(Prod_Prop!$J:$J,Prod_Prop!$B:$B,$Q56,Prod_Prop!$H:$H,Y56,Prod_Prop!$I:$I,AA$1)*IF(Y56="Peso",$R56,1))</f>
        <v/>
      </c>
      <c r="AB56" s="4" t="str">
        <f>IFERROR(__xludf.DUMMYFUNCTION("IF(OR($U56="""",COUNTIF($I:$I,IFERROR(unique(filter(Prod_Prop!$H:$H,Prod_Prop!$G:$G=$U56,Prod_Prop!$E:$E=AB$1)),""Check""))=0),"""",IFERROR(unique(filter(Prod_Prop!$H:$H,Prod_Prop!$G:$G=$U56,Prod_Prop!$E:$E=AB$1)),""""))"),"")</f>
        <v/>
      </c>
      <c r="AC56" s="4" t="str">
        <f>IF(AB56="","",SUMIFS(Prod_Prop!$J:$J,Prod_Prop!$B:$B,$Q56,Prod_Prop!$H:$H,AB56,Prod_Prop!$I:$I,AC$1)*IF(AB56="Peso",$R56,1))</f>
        <v/>
      </c>
      <c r="AD56" s="4" t="str">
        <f>IF(AB56="","",SUMIFS(Prod_Prop!$J:$J,Prod_Prop!$B:$B,$Q56,Prod_Prop!$H:$H,AB56,Prod_Prop!$I:$I,AD$1)*IF(AB56="Peso",$R56,1))</f>
        <v/>
      </c>
    </row>
    <row r="57">
      <c r="A57" s="4" t="str">
        <f t="array" ref="A57">IF(COUNTIF(A$1:A56,Cotizador!F$2)=maxifs(Familias!E:E,Familias!D:D,Cotizador!F$2),IF(COUNTIF(A$1:A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" s="4" t="str">
        <f t="shared" si="1"/>
        <v/>
      </c>
      <c r="C57" s="4" t="str">
        <f t="array" ref="C57">IF(B57="","",IF(A57=XLOOKUP(A$2,Implementos!B:B,Implementos!C:C,"",0,1),B57+maxifs(B$1:B56,A$1:A56,A$2),B57))</f>
        <v/>
      </c>
      <c r="D57" s="4" t="str">
        <f>IF(B57="","", COUNTIFS(Productos!F:F,A57,Productos!H:H,B57)+IF(F57="SI",0,1))</f>
        <v/>
      </c>
      <c r="E57" s="4" t="str">
        <f>IFERROR(__xludf.DUMMYFUNCTION("IF($B57="""","""",INDEX(filter(Familias!F:F,Familias!$D:$D=$A57,Familias!$E:$E=$B57),1))"),"")</f>
        <v/>
      </c>
      <c r="F57" s="4" t="str">
        <f>IFERROR(__xludf.DUMMYFUNCTION("IF($B57="""","""",INDEX(filter(Familias!G:G,Familias!$D:$D=$A57,Familias!$E:$E=$B57),1))"),"")</f>
        <v/>
      </c>
      <c r="G57" s="4" t="str">
        <f t="array" ref="G57">IF(C57=1,XLOOKUP(C57,Cotizador!D:D,Cotizador!E:E,"",0,1),"")</f>
        <v/>
      </c>
      <c r="I57" s="4"/>
      <c r="J57" s="8" t="str">
        <f>IF(I57="","",SUMIF(Cotizador!I$1:V$1,I57,Cotizador!I$2:V$2))</f>
        <v/>
      </c>
      <c r="L57" s="4" t="str">
        <f t="array" ref="L57">IF(COUNTIF(L$1:L56,A$2)=SUMIF(A:A,A$2,D:D),IF(COUNTIF(L$1:L56,XLOOKUP(A$2,Implementos!B:B,Implementos!C:C,"",0,1))=SUMIF(A:A,XLOOKUP(A$2,Implementos!B:B,Implementos!C:C,"",0,1),D:D),"",XLOOKUP(A$2,Implementos!B:B,Implementos!C:C,"",0,1)),A$2)</f>
        <v>Acoplados Rurales</v>
      </c>
      <c r="M57" s="4">
        <f t="shared" si="2"/>
        <v>56</v>
      </c>
      <c r="N57" s="4">
        <f t="shared" si="3"/>
        <v>3</v>
      </c>
      <c r="O57" s="4">
        <f t="shared" si="4"/>
        <v>3</v>
      </c>
      <c r="P57" s="4">
        <f t="shared" si="5"/>
        <v>17</v>
      </c>
      <c r="Q57" s="4">
        <f>IF(U57="","",SUMIF(Productos!E:E,U57,Productos!A:A))</f>
        <v>88</v>
      </c>
      <c r="R57" s="4">
        <f t="array" ref="R57">IF(L57="","", max(1,SUMIF(I:I,XLOOKUP(U57,Productos!E:E,Productos!G:G,"",0,1),J:J)))</f>
        <v>1</v>
      </c>
      <c r="S57" s="4" t="str">
        <f>IF(Q57="","",IF(SUMIFS(Compat_Vetado!D:D,Compat_Vetado!B:B,SUM(G:G),Compat_Vetado!C:C,Q57)=1,"SI",IF(OR(SUMIF(Cotizador!E:E,Q57,Cotizador!G:G)&gt;0,SUMIFS(Compat_Vetado!D:D,Compat_Vetado!B:B,SUM(G:G),Compat_Vetado!C:C,Q57)=-1),"NO","")))</f>
        <v/>
      </c>
      <c r="T57" s="4" t="str">
        <f t="shared" si="6"/>
        <v/>
      </c>
      <c r="U57" s="4" t="str">
        <f>IFERROR(__xludf.DUMMYFUNCTION("IF(P57="""","""",IFERROR(INDEX(filter(Productos!E:E,Productos!F:F=L57,Productos!H:H=N57),P57),IF(M57=SUM(D:D),""Finalizar"",""-"")))"),"Chasis Acoplado Balancin L2000 Lanza Corta")</f>
        <v>Chasis Acoplado Balancin L2000 Lanza Corta</v>
      </c>
      <c r="V57" s="4" t="str">
        <f>IFERROR(__xludf.DUMMYFUNCTION("IF(OR($U57="""",COUNTIF($I:$I,IFERROR(unique(filter(Prod_Prop!$H:$H,Prod_Prop!$G:$G=$U57,Prod_Prop!$E:$E=V$1)),""Check""))=0),"""",IFERROR(unique(filter(Prod_Prop!$H:$H,Prod_Prop!$G:$G=$U57,Prod_Prop!$E:$E=V$1)),""""))"),"Longitud")</f>
        <v>Longitud</v>
      </c>
      <c r="W57" s="4">
        <f>IF(V57="","",SUMIFS(Prod_Prop!$J:$J,Prod_Prop!$B:$B,$Q57,Prod_Prop!$H:$H,V57,Prod_Prop!$I:$I,W$1)*IF(V57="Peso",$R57,1))</f>
        <v>1.8</v>
      </c>
      <c r="X57" s="4">
        <f>IF(V57="","",SUMIFS(Prod_Prop!$J:$J,Prod_Prop!$B:$B,$Q57,Prod_Prop!$H:$H,V57,Prod_Prop!$I:$I,X$1)*IF(V57="Peso",$R57,1))</f>
        <v>2</v>
      </c>
      <c r="Y57" s="4" t="str">
        <f>IFERROR(__xludf.DUMMYFUNCTION("IF(OR($U57="""",COUNTIF($I:$I,IFERROR(unique(filter(Prod_Prop!$H:$H,Prod_Prop!$G:$G=$U57,Prod_Prop!$E:$E=Y$1)),""Check""))=0),"""",IFERROR(unique(filter(Prod_Prop!$H:$H,Prod_Prop!$G:$G=$U57,Prod_Prop!$E:$E=Y$1)),""""))"),"")</f>
        <v/>
      </c>
      <c r="Z57" s="4" t="str">
        <f>IF(Y57="","",SUMIFS(Prod_Prop!$J:$J,Prod_Prop!$B:$B,$Q57,Prod_Prop!$H:$H,Y57,Prod_Prop!$I:$I,Z$1)*IF(Y57="Peso",$R57,1))</f>
        <v/>
      </c>
      <c r="AA57" s="4" t="str">
        <f>IF(Y57="","",SUMIFS(Prod_Prop!$J:$J,Prod_Prop!$B:$B,$Q57,Prod_Prop!$H:$H,Y57,Prod_Prop!$I:$I,AA$1)*IF(Y57="Peso",$R57,1))</f>
        <v/>
      </c>
      <c r="AB57" s="4" t="str">
        <f>IFERROR(__xludf.DUMMYFUNCTION("IF(OR($U57="""",COUNTIF($I:$I,IFERROR(unique(filter(Prod_Prop!$H:$H,Prod_Prop!$G:$G=$U57,Prod_Prop!$E:$E=AB$1)),""Check""))=0),"""",IFERROR(unique(filter(Prod_Prop!$H:$H,Prod_Prop!$G:$G=$U57,Prod_Prop!$E:$E=AB$1)),""""))"),"")</f>
        <v/>
      </c>
      <c r="AC57" s="4" t="str">
        <f>IF(AB57="","",SUMIFS(Prod_Prop!$J:$J,Prod_Prop!$B:$B,$Q57,Prod_Prop!$H:$H,AB57,Prod_Prop!$I:$I,AC$1)*IF(AB57="Peso",$R57,1))</f>
        <v/>
      </c>
      <c r="AD57" s="4" t="str">
        <f>IF(AB57="","",SUMIFS(Prod_Prop!$J:$J,Prod_Prop!$B:$B,$Q57,Prod_Prop!$H:$H,AB57,Prod_Prop!$I:$I,AD$1)*IF(AB57="Peso",$R57,1))</f>
        <v/>
      </c>
    </row>
    <row r="58">
      <c r="A58" s="4" t="str">
        <f t="array" ref="A58">IF(COUNTIF(A$1:A57,Cotizador!F$2)=maxifs(Familias!E:E,Familias!D:D,Cotizador!F$2),IF(COUNTIF(A$1:A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" s="4" t="str">
        <f t="shared" si="1"/>
        <v/>
      </c>
      <c r="C58" s="4" t="str">
        <f t="array" ref="C58">IF(B58="","",IF(A58=XLOOKUP(A$2,Implementos!B:B,Implementos!C:C,"",0,1),B58+maxifs(B$1:B57,A$1:A57,A$2),B58))</f>
        <v/>
      </c>
      <c r="D58" s="4" t="str">
        <f>IF(B58="","", COUNTIFS(Productos!F:F,A58,Productos!H:H,B58)+IF(F58="SI",0,1))</f>
        <v/>
      </c>
      <c r="E58" s="4" t="str">
        <f>IFERROR(__xludf.DUMMYFUNCTION("IF($B58="""","""",INDEX(filter(Familias!F:F,Familias!$D:$D=$A58,Familias!$E:$E=$B58),1))"),"")</f>
        <v/>
      </c>
      <c r="F58" s="4" t="str">
        <f>IFERROR(__xludf.DUMMYFUNCTION("IF($B58="""","""",INDEX(filter(Familias!G:G,Familias!$D:$D=$A58,Familias!$E:$E=$B58),1))"),"")</f>
        <v/>
      </c>
      <c r="G58" s="4" t="str">
        <f t="array" ref="G58">IF(C58=1,XLOOKUP(C58,Cotizador!D:D,Cotizador!E:E,"",0,1),"")</f>
        <v/>
      </c>
      <c r="I58" s="4"/>
      <c r="J58" s="8" t="str">
        <f>IF(I58="","",SUMIF(Cotizador!I$1:V$1,I58,Cotizador!I$2:V$2))</f>
        <v/>
      </c>
      <c r="L58" s="4" t="str">
        <f t="array" ref="L58">IF(COUNTIF(L$1:L57,A$2)=SUMIF(A:A,A$2,D:D),IF(COUNTIF(L$1:L57,XLOOKUP(A$2,Implementos!B:B,Implementos!C:C,"",0,1))=SUMIF(A:A,XLOOKUP(A$2,Implementos!B:B,Implementos!C:C,"",0,1),D:D),"",XLOOKUP(A$2,Implementos!B:B,Implementos!C:C,"",0,1)),A$2)</f>
        <v>Acoplados Rurales</v>
      </c>
      <c r="M58" s="4">
        <f t="shared" si="2"/>
        <v>57</v>
      </c>
      <c r="N58" s="4">
        <f t="shared" si="3"/>
        <v>3</v>
      </c>
      <c r="O58" s="4">
        <f t="shared" si="4"/>
        <v>3</v>
      </c>
      <c r="P58" s="4">
        <f t="shared" si="5"/>
        <v>18</v>
      </c>
      <c r="Q58" s="4">
        <f>IF(U58="","",SUMIF(Productos!E:E,U58,Productos!A:A))</f>
        <v>89</v>
      </c>
      <c r="R58" s="4">
        <f t="array" ref="R58">IF(L58="","", max(1,SUMIF(I:I,XLOOKUP(U58,Productos!E:E,Productos!G:G,"",0,1),J:J)))</f>
        <v>1</v>
      </c>
      <c r="S58" s="4" t="str">
        <f>IF(Q58="","",IF(SUMIFS(Compat_Vetado!D:D,Compat_Vetado!B:B,SUM(G:G),Compat_Vetado!C:C,Q58)=1,"SI",IF(OR(SUMIF(Cotizador!E:E,Q58,Cotizador!G:G)&gt;0,SUMIFS(Compat_Vetado!D:D,Compat_Vetado!B:B,SUM(G:G),Compat_Vetado!C:C,Q58)=-1),"NO","")))</f>
        <v/>
      </c>
      <c r="T58" s="4" t="str">
        <f t="shared" si="6"/>
        <v/>
      </c>
      <c r="U58" s="4" t="str">
        <f>IFERROR(__xludf.DUMMYFUNCTION("IF(P58="""","""",IFERROR(INDEX(filter(Productos!E:E,Productos!F:F=L58,Productos!H:H=N58),P58),IF(M58=SUM(D:D),""Finalizar"",""-"")))"),"Chasis Acoplado Balancin L3200 Lanza Corta")</f>
        <v>Chasis Acoplado Balancin L3200 Lanza Corta</v>
      </c>
      <c r="V58" s="4" t="str">
        <f>IFERROR(__xludf.DUMMYFUNCTION("IF(OR($U58="""",COUNTIF($I:$I,IFERROR(unique(filter(Prod_Prop!$H:$H,Prod_Prop!$G:$G=$U58,Prod_Prop!$E:$E=V$1)),""Check""))=0),"""",IFERROR(unique(filter(Prod_Prop!$H:$H,Prod_Prop!$G:$G=$U58,Prod_Prop!$E:$E=V$1)),""""))"),"Longitud")</f>
        <v>Longitud</v>
      </c>
      <c r="W58" s="4">
        <f>IF(V58="","",SUMIFS(Prod_Prop!$J:$J,Prod_Prop!$B:$B,$Q58,Prod_Prop!$H:$H,V58,Prod_Prop!$I:$I,W$1)*IF(V58="Peso",$R58,1))</f>
        <v>3.1</v>
      </c>
      <c r="X58" s="4">
        <f>IF(V58="","",SUMIFS(Prod_Prop!$J:$J,Prod_Prop!$B:$B,$Q58,Prod_Prop!$H:$H,V58,Prod_Prop!$I:$I,X$1)*IF(V58="Peso",$R58,1))</f>
        <v>3.2</v>
      </c>
      <c r="Y58" s="4" t="str">
        <f>IFERROR(__xludf.DUMMYFUNCTION("IF(OR($U58="""",COUNTIF($I:$I,IFERROR(unique(filter(Prod_Prop!$H:$H,Prod_Prop!$G:$G=$U58,Prod_Prop!$E:$E=Y$1)),""Check""))=0),"""",IFERROR(unique(filter(Prod_Prop!$H:$H,Prod_Prop!$G:$G=$U58,Prod_Prop!$E:$E=Y$1)),""""))"),"")</f>
        <v/>
      </c>
      <c r="Z58" s="4" t="str">
        <f>IF(Y58="","",SUMIFS(Prod_Prop!$J:$J,Prod_Prop!$B:$B,$Q58,Prod_Prop!$H:$H,Y58,Prod_Prop!$I:$I,Z$1)*IF(Y58="Peso",$R58,1))</f>
        <v/>
      </c>
      <c r="AA58" s="4" t="str">
        <f>IF(Y58="","",SUMIFS(Prod_Prop!$J:$J,Prod_Prop!$B:$B,$Q58,Prod_Prop!$H:$H,Y58,Prod_Prop!$I:$I,AA$1)*IF(Y58="Peso",$R58,1))</f>
        <v/>
      </c>
      <c r="AB58" s="4" t="str">
        <f>IFERROR(__xludf.DUMMYFUNCTION("IF(OR($U58="""",COUNTIF($I:$I,IFERROR(unique(filter(Prod_Prop!$H:$H,Prod_Prop!$G:$G=$U58,Prod_Prop!$E:$E=AB$1)),""Check""))=0),"""",IFERROR(unique(filter(Prod_Prop!$H:$H,Prod_Prop!$G:$G=$U58,Prod_Prop!$E:$E=AB$1)),""""))"),"")</f>
        <v/>
      </c>
      <c r="AC58" s="4" t="str">
        <f>IF(AB58="","",SUMIFS(Prod_Prop!$J:$J,Prod_Prop!$B:$B,$Q58,Prod_Prop!$H:$H,AB58,Prod_Prop!$I:$I,AC$1)*IF(AB58="Peso",$R58,1))</f>
        <v/>
      </c>
      <c r="AD58" s="4" t="str">
        <f>IF(AB58="","",SUMIFS(Prod_Prop!$J:$J,Prod_Prop!$B:$B,$Q58,Prod_Prop!$H:$H,AB58,Prod_Prop!$I:$I,AD$1)*IF(AB58="Peso",$R58,1))</f>
        <v/>
      </c>
    </row>
    <row r="59">
      <c r="A59" s="4" t="str">
        <f t="array" ref="A59">IF(COUNTIF(A$1:A58,Cotizador!F$2)=maxifs(Familias!E:E,Familias!D:D,Cotizador!F$2),IF(COUNTIF(A$1:A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" s="4" t="str">
        <f t="shared" si="1"/>
        <v/>
      </c>
      <c r="C59" s="4" t="str">
        <f t="array" ref="C59">IF(B59="","",IF(A59=XLOOKUP(A$2,Implementos!B:B,Implementos!C:C,"",0,1),B59+maxifs(B$1:B58,A$1:A58,A$2),B59))</f>
        <v/>
      </c>
      <c r="D59" s="4" t="str">
        <f>IF(B59="","", COUNTIFS(Productos!F:F,A59,Productos!H:H,B59)+IF(F59="SI",0,1))</f>
        <v/>
      </c>
      <c r="E59" s="4" t="str">
        <f>IFERROR(__xludf.DUMMYFUNCTION("IF($B59="""","""",INDEX(filter(Familias!F:F,Familias!$D:$D=$A59,Familias!$E:$E=$B59),1))"),"")</f>
        <v/>
      </c>
      <c r="F59" s="4" t="str">
        <f>IFERROR(__xludf.DUMMYFUNCTION("IF($B59="""","""",INDEX(filter(Familias!G:G,Familias!$D:$D=$A59,Familias!$E:$E=$B59),1))"),"")</f>
        <v/>
      </c>
      <c r="G59" s="4" t="str">
        <f t="array" ref="G59">IF(C59=1,XLOOKUP(C59,Cotizador!D:D,Cotizador!E:E,"",0,1),"")</f>
        <v/>
      </c>
      <c r="I59" s="4"/>
      <c r="J59" s="8" t="str">
        <f>IF(I59="","",SUMIF(Cotizador!I$1:V$1,I59,Cotizador!I$2:V$2))</f>
        <v/>
      </c>
      <c r="L59" s="4" t="str">
        <f t="array" ref="L59">IF(COUNTIF(L$1:L58,A$2)=SUMIF(A:A,A$2,D:D),IF(COUNTIF(L$1:L58,XLOOKUP(A$2,Implementos!B:B,Implementos!C:C,"",0,1))=SUMIF(A:A,XLOOKUP(A$2,Implementos!B:B,Implementos!C:C,"",0,1),D:D),"",XLOOKUP(A$2,Implementos!B:B,Implementos!C:C,"",0,1)),A$2)</f>
        <v>Acoplados Rurales</v>
      </c>
      <c r="M59" s="4">
        <f t="shared" si="2"/>
        <v>58</v>
      </c>
      <c r="N59" s="4">
        <f t="shared" si="3"/>
        <v>3</v>
      </c>
      <c r="O59" s="4">
        <f t="shared" si="4"/>
        <v>3</v>
      </c>
      <c r="P59" s="4">
        <f t="shared" si="5"/>
        <v>19</v>
      </c>
      <c r="Q59" s="4">
        <f>IF(U59="","",SUMIF(Productos!E:E,U59,Productos!A:A))</f>
        <v>90</v>
      </c>
      <c r="R59" s="4">
        <f t="array" ref="R59">IF(L59="","", max(1,SUMIF(I:I,XLOOKUP(U59,Productos!E:E,Productos!G:G,"",0,1),J:J)))</f>
        <v>1</v>
      </c>
      <c r="S59" s="4" t="str">
        <f>IF(Q59="","",IF(SUMIFS(Compat_Vetado!D:D,Compat_Vetado!B:B,SUM(G:G),Compat_Vetado!C:C,Q59)=1,"SI",IF(OR(SUMIF(Cotizador!E:E,Q59,Cotizador!G:G)&gt;0,SUMIFS(Compat_Vetado!D:D,Compat_Vetado!B:B,SUM(G:G),Compat_Vetado!C:C,Q59)=-1),"NO","")))</f>
        <v/>
      </c>
      <c r="T59" s="4" t="str">
        <f t="shared" si="6"/>
        <v/>
      </c>
      <c r="U59" s="4" t="str">
        <f>IFERROR(__xludf.DUMMYFUNCTION("IF(P59="""","""",IFERROR(INDEX(filter(Productos!E:E,Productos!F:F=L59,Productos!H:H=N59),P59),IF(M59=SUM(D:D),""Finalizar"",""-"")))"),"Chasis Acoplado Balancin L3200 Lanza Recta")</f>
        <v>Chasis Acoplado Balancin L3200 Lanza Recta</v>
      </c>
      <c r="V59" s="4" t="str">
        <f>IFERROR(__xludf.DUMMYFUNCTION("IF(OR($U59="""",COUNTIF($I:$I,IFERROR(unique(filter(Prod_Prop!$H:$H,Prod_Prop!$G:$G=$U59,Prod_Prop!$E:$E=V$1)),""Check""))=0),"""",IFERROR(unique(filter(Prod_Prop!$H:$H,Prod_Prop!$G:$G=$U59,Prod_Prop!$E:$E=V$1)),""""))"),"Longitud")</f>
        <v>Longitud</v>
      </c>
      <c r="W59" s="4">
        <f>IF(V59="","",SUMIFS(Prod_Prop!$J:$J,Prod_Prop!$B:$B,$Q59,Prod_Prop!$H:$H,V59,Prod_Prop!$I:$I,W$1)*IF(V59="Peso",$R59,1))</f>
        <v>3.1</v>
      </c>
      <c r="X59" s="4">
        <f>IF(V59="","",SUMIFS(Prod_Prop!$J:$J,Prod_Prop!$B:$B,$Q59,Prod_Prop!$H:$H,V59,Prod_Prop!$I:$I,X$1)*IF(V59="Peso",$R59,1))</f>
        <v>3.2</v>
      </c>
      <c r="Y59" s="4" t="str">
        <f>IFERROR(__xludf.DUMMYFUNCTION("IF(OR($U59="""",COUNTIF($I:$I,IFERROR(unique(filter(Prod_Prop!$H:$H,Prod_Prop!$G:$G=$U59,Prod_Prop!$E:$E=Y$1)),""Check""))=0),"""",IFERROR(unique(filter(Prod_Prop!$H:$H,Prod_Prop!$G:$G=$U59,Prod_Prop!$E:$E=Y$1)),""""))"),"")</f>
        <v/>
      </c>
      <c r="Z59" s="4" t="str">
        <f>IF(Y59="","",SUMIFS(Prod_Prop!$J:$J,Prod_Prop!$B:$B,$Q59,Prod_Prop!$H:$H,Y59,Prod_Prop!$I:$I,Z$1)*IF(Y59="Peso",$R59,1))</f>
        <v/>
      </c>
      <c r="AA59" s="4" t="str">
        <f>IF(Y59="","",SUMIFS(Prod_Prop!$J:$J,Prod_Prop!$B:$B,$Q59,Prod_Prop!$H:$H,Y59,Prod_Prop!$I:$I,AA$1)*IF(Y59="Peso",$R59,1))</f>
        <v/>
      </c>
      <c r="AB59" s="4" t="str">
        <f>IFERROR(__xludf.DUMMYFUNCTION("IF(OR($U59="""",COUNTIF($I:$I,IFERROR(unique(filter(Prod_Prop!$H:$H,Prod_Prop!$G:$G=$U59,Prod_Prop!$E:$E=AB$1)),""Check""))=0),"""",IFERROR(unique(filter(Prod_Prop!$H:$H,Prod_Prop!$G:$G=$U59,Prod_Prop!$E:$E=AB$1)),""""))"),"")</f>
        <v/>
      </c>
      <c r="AC59" s="4" t="str">
        <f>IF(AB59="","",SUMIFS(Prod_Prop!$J:$J,Prod_Prop!$B:$B,$Q59,Prod_Prop!$H:$H,AB59,Prod_Prop!$I:$I,AC$1)*IF(AB59="Peso",$R59,1))</f>
        <v/>
      </c>
      <c r="AD59" s="4" t="str">
        <f>IF(AB59="","",SUMIFS(Prod_Prop!$J:$J,Prod_Prop!$B:$B,$Q59,Prod_Prop!$H:$H,AB59,Prod_Prop!$I:$I,AD$1)*IF(AB59="Peso",$R59,1))</f>
        <v/>
      </c>
    </row>
    <row r="60">
      <c r="A60" s="4" t="str">
        <f t="array" ref="A60">IF(COUNTIF(A$1:A59,Cotizador!F$2)=maxifs(Familias!E:E,Familias!D:D,Cotizador!F$2),IF(COUNTIF(A$1:A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" s="4" t="str">
        <f t="shared" si="1"/>
        <v/>
      </c>
      <c r="C60" s="4" t="str">
        <f t="array" ref="C60">IF(B60="","",IF(A60=XLOOKUP(A$2,Implementos!B:B,Implementos!C:C,"",0,1),B60+maxifs(B$1:B59,A$1:A59,A$2),B60))</f>
        <v/>
      </c>
      <c r="D60" s="4" t="str">
        <f>IF(B60="","", COUNTIFS(Productos!F:F,A60,Productos!H:H,B60)+IF(F60="SI",0,1))</f>
        <v/>
      </c>
      <c r="E60" s="4" t="str">
        <f>IFERROR(__xludf.DUMMYFUNCTION("IF($B60="""","""",INDEX(filter(Familias!F:F,Familias!$D:$D=$A60,Familias!$E:$E=$B60),1))"),"")</f>
        <v/>
      </c>
      <c r="F60" s="4" t="str">
        <f>IFERROR(__xludf.DUMMYFUNCTION("IF($B60="""","""",INDEX(filter(Familias!G:G,Familias!$D:$D=$A60,Familias!$E:$E=$B60),1))"),"")</f>
        <v/>
      </c>
      <c r="G60" s="4" t="str">
        <f t="array" ref="G60">IF(C60=1,XLOOKUP(C60,Cotizador!D:D,Cotizador!E:E,"",0,1),"")</f>
        <v/>
      </c>
      <c r="I60" s="4"/>
      <c r="J60" s="8" t="str">
        <f>IF(I60="","",SUMIF(Cotizador!I$1:V$1,I60,Cotizador!I$2:V$2))</f>
        <v/>
      </c>
      <c r="L60" s="4" t="str">
        <f t="array" ref="L60">IF(COUNTIF(L$1:L59,A$2)=SUMIF(A:A,A$2,D:D),IF(COUNTIF(L$1:L59,XLOOKUP(A$2,Implementos!B:B,Implementos!C:C,"",0,1))=SUMIF(A:A,XLOOKUP(A$2,Implementos!B:B,Implementos!C:C,"",0,1),D:D),"",XLOOKUP(A$2,Implementos!B:B,Implementos!C:C,"",0,1)),A$2)</f>
        <v>Acoplados Rurales</v>
      </c>
      <c r="M60" s="4">
        <f t="shared" si="2"/>
        <v>59</v>
      </c>
      <c r="N60" s="4">
        <f t="shared" si="3"/>
        <v>3</v>
      </c>
      <c r="O60" s="4">
        <f t="shared" si="4"/>
        <v>3</v>
      </c>
      <c r="P60" s="4">
        <f t="shared" si="5"/>
        <v>20</v>
      </c>
      <c r="Q60" s="4">
        <f>IF(U60="","",SUMIF(Productos!E:E,U60,Productos!A:A))</f>
        <v>91</v>
      </c>
      <c r="R60" s="4">
        <f t="array" ref="R60">IF(L60="","", max(1,SUMIF(I:I,XLOOKUP(U60,Productos!E:E,Productos!G:G,"",0,1),J:J)))</f>
        <v>1</v>
      </c>
      <c r="S60" s="4" t="str">
        <f>IF(Q60="","",IF(SUMIFS(Compat_Vetado!D:D,Compat_Vetado!B:B,SUM(G:G),Compat_Vetado!C:C,Q60)=1,"SI",IF(OR(SUMIF(Cotizador!E:E,Q60,Cotizador!G:G)&gt;0,SUMIFS(Compat_Vetado!D:D,Compat_Vetado!B:B,SUM(G:G),Compat_Vetado!C:C,Q60)=-1),"NO","")))</f>
        <v/>
      </c>
      <c r="T60" s="4" t="str">
        <f t="shared" si="6"/>
        <v/>
      </c>
      <c r="U60" s="4" t="str">
        <f>IFERROR(__xludf.DUMMYFUNCTION("IF(P60="""","""",IFERROR(INDEX(filter(Productos!E:E,Productos!F:F=L60,Productos!H:H=N60),P60),IF(M60=SUM(D:D),""Finalizar"",""-"")))"),"Chasis Acoplado Balancin L3200 Bajo Lanza Recta")</f>
        <v>Chasis Acoplado Balancin L3200 Bajo Lanza Recta</v>
      </c>
      <c r="V60" s="4" t="str">
        <f>IFERROR(__xludf.DUMMYFUNCTION("IF(OR($U60="""",COUNTIF($I:$I,IFERROR(unique(filter(Prod_Prop!$H:$H,Prod_Prop!$G:$G=$U60,Prod_Prop!$E:$E=V$1)),""Check""))=0),"""",IFERROR(unique(filter(Prod_Prop!$H:$H,Prod_Prop!$G:$G=$U60,Prod_Prop!$E:$E=V$1)),""""))"),"Longitud")</f>
        <v>Longitud</v>
      </c>
      <c r="W60" s="4">
        <f>IF(V60="","",SUMIFS(Prod_Prop!$J:$J,Prod_Prop!$B:$B,$Q60,Prod_Prop!$H:$H,V60,Prod_Prop!$I:$I,W$1)*IF(V60="Peso",$R60,1))</f>
        <v>3.1</v>
      </c>
      <c r="X60" s="4">
        <f>IF(V60="","",SUMIFS(Prod_Prop!$J:$J,Prod_Prop!$B:$B,$Q60,Prod_Prop!$H:$H,V60,Prod_Prop!$I:$I,X$1)*IF(V60="Peso",$R60,1))</f>
        <v>3.2</v>
      </c>
      <c r="Y60" s="4" t="str">
        <f>IFERROR(__xludf.DUMMYFUNCTION("IF(OR($U60="""",COUNTIF($I:$I,IFERROR(unique(filter(Prod_Prop!$H:$H,Prod_Prop!$G:$G=$U60,Prod_Prop!$E:$E=Y$1)),""Check""))=0),"""",IFERROR(unique(filter(Prod_Prop!$H:$H,Prod_Prop!$G:$G=$U60,Prod_Prop!$E:$E=Y$1)),""""))"),"")</f>
        <v/>
      </c>
      <c r="Z60" s="4" t="str">
        <f>IF(Y60="","",SUMIFS(Prod_Prop!$J:$J,Prod_Prop!$B:$B,$Q60,Prod_Prop!$H:$H,Y60,Prod_Prop!$I:$I,Z$1)*IF(Y60="Peso",$R60,1))</f>
        <v/>
      </c>
      <c r="AA60" s="4" t="str">
        <f>IF(Y60="","",SUMIFS(Prod_Prop!$J:$J,Prod_Prop!$B:$B,$Q60,Prod_Prop!$H:$H,Y60,Prod_Prop!$I:$I,AA$1)*IF(Y60="Peso",$R60,1))</f>
        <v/>
      </c>
      <c r="AB60" s="4" t="str">
        <f>IFERROR(__xludf.DUMMYFUNCTION("IF(OR($U60="""",COUNTIF($I:$I,IFERROR(unique(filter(Prod_Prop!$H:$H,Prod_Prop!$G:$G=$U60,Prod_Prop!$E:$E=AB$1)),""Check""))=0),"""",IFERROR(unique(filter(Prod_Prop!$H:$H,Prod_Prop!$G:$G=$U60,Prod_Prop!$E:$E=AB$1)),""""))"),"")</f>
        <v/>
      </c>
      <c r="AC60" s="4" t="str">
        <f>IF(AB60="","",SUMIFS(Prod_Prop!$J:$J,Prod_Prop!$B:$B,$Q60,Prod_Prop!$H:$H,AB60,Prod_Prop!$I:$I,AC$1)*IF(AB60="Peso",$R60,1))</f>
        <v/>
      </c>
      <c r="AD60" s="4" t="str">
        <f>IF(AB60="","",SUMIFS(Prod_Prop!$J:$J,Prod_Prop!$B:$B,$Q60,Prod_Prop!$H:$H,AB60,Prod_Prop!$I:$I,AD$1)*IF(AB60="Peso",$R60,1))</f>
        <v/>
      </c>
    </row>
    <row r="61">
      <c r="A61" s="4" t="str">
        <f t="array" ref="A61">IF(COUNTIF(A$1:A60,Cotizador!F$2)=maxifs(Familias!E:E,Familias!D:D,Cotizador!F$2),IF(COUNTIF(A$1:A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" s="4" t="str">
        <f t="shared" si="1"/>
        <v/>
      </c>
      <c r="C61" s="4" t="str">
        <f t="array" ref="C61">IF(B61="","",IF(A61=XLOOKUP(A$2,Implementos!B:B,Implementos!C:C,"",0,1),B61+maxifs(B$1:B60,A$1:A60,A$2),B61))</f>
        <v/>
      </c>
      <c r="D61" s="4" t="str">
        <f>IF(B61="","", COUNTIFS(Productos!F:F,A61,Productos!H:H,B61)+IF(F61="SI",0,1))</f>
        <v/>
      </c>
      <c r="E61" s="4" t="str">
        <f>IFERROR(__xludf.DUMMYFUNCTION("IF($B61="""","""",INDEX(filter(Familias!F:F,Familias!$D:$D=$A61,Familias!$E:$E=$B61),1))"),"")</f>
        <v/>
      </c>
      <c r="F61" s="4" t="str">
        <f>IFERROR(__xludf.DUMMYFUNCTION("IF($B61="""","""",INDEX(filter(Familias!G:G,Familias!$D:$D=$A61,Familias!$E:$E=$B61),1))"),"")</f>
        <v/>
      </c>
      <c r="G61" s="4" t="str">
        <f t="array" ref="G61">IF(C61=1,XLOOKUP(C61,Cotizador!D:D,Cotizador!E:E,"",0,1),"")</f>
        <v/>
      </c>
      <c r="I61" s="4"/>
      <c r="J61" s="8" t="str">
        <f>IF(I61="","",SUMIF(Cotizador!I$1:V$1,I61,Cotizador!I$2:V$2))</f>
        <v/>
      </c>
      <c r="L61" s="4" t="str">
        <f t="array" ref="L61">IF(COUNTIF(L$1:L60,A$2)=SUMIF(A:A,A$2,D:D),IF(COUNTIF(L$1:L60,XLOOKUP(A$2,Implementos!B:B,Implementos!C:C,"",0,1))=SUMIF(A:A,XLOOKUP(A$2,Implementos!B:B,Implementos!C:C,"",0,1),D:D),"",XLOOKUP(A$2,Implementos!B:B,Implementos!C:C,"",0,1)),A$2)</f>
        <v>Acoplados Rurales</v>
      </c>
      <c r="M61" s="4">
        <f t="shared" si="2"/>
        <v>60</v>
      </c>
      <c r="N61" s="4">
        <f t="shared" si="3"/>
        <v>3</v>
      </c>
      <c r="O61" s="4">
        <f t="shared" si="4"/>
        <v>3</v>
      </c>
      <c r="P61" s="4">
        <f t="shared" si="5"/>
        <v>21</v>
      </c>
      <c r="Q61" s="4">
        <f>IF(U61="","",SUMIF(Productos!E:E,U61,Productos!A:A))</f>
        <v>131</v>
      </c>
      <c r="R61" s="4">
        <f t="array" ref="R61">IF(L61="","", max(1,SUMIF(I:I,XLOOKUP(U61,Productos!E:E,Productos!G:G,"",0,1),J:J)))</f>
        <v>1</v>
      </c>
      <c r="S61" s="4" t="str">
        <f>IF(Q61="","",IF(SUMIFS(Compat_Vetado!D:D,Compat_Vetado!B:B,SUM(G:G),Compat_Vetado!C:C,Q61)=1,"SI",IF(OR(SUMIF(Cotizador!E:E,Q61,Cotizador!G:G)&gt;0,SUMIFS(Compat_Vetado!D:D,Compat_Vetado!B:B,SUM(G:G),Compat_Vetado!C:C,Q61)=-1),"NO","")))</f>
        <v/>
      </c>
      <c r="T61" s="4" t="str">
        <f t="shared" si="6"/>
        <v/>
      </c>
      <c r="U61" s="4" t="str">
        <f>IFERROR(__xludf.DUMMYFUNCTION("IF(P61="""","""",IFERROR(INDEX(filter(Productos!E:E,Productos!F:F=L61,Productos!H:H=N61),P61),IF(M61=SUM(D:D),""Finalizar"",""-"")))"),"Chasis Acoplado Balancin L4000 Lanza Recta")</f>
        <v>Chasis Acoplado Balancin L4000 Lanza Recta</v>
      </c>
      <c r="V61" s="4" t="str">
        <f>IFERROR(__xludf.DUMMYFUNCTION("IF(OR($U61="""",COUNTIF($I:$I,IFERROR(unique(filter(Prod_Prop!$H:$H,Prod_Prop!$G:$G=$U61,Prod_Prop!$E:$E=V$1)),""Check""))=0),"""",IFERROR(unique(filter(Prod_Prop!$H:$H,Prod_Prop!$G:$G=$U61,Prod_Prop!$E:$E=V$1)),""""))"),"Longitud")</f>
        <v>Longitud</v>
      </c>
      <c r="W61" s="4">
        <f>IF(V61="","",SUMIFS(Prod_Prop!$J:$J,Prod_Prop!$B:$B,$Q61,Prod_Prop!$H:$H,V61,Prod_Prop!$I:$I,W$1)*IF(V61="Peso",$R61,1))</f>
        <v>3.8</v>
      </c>
      <c r="X61" s="4">
        <f>IF(V61="","",SUMIFS(Prod_Prop!$J:$J,Prod_Prop!$B:$B,$Q61,Prod_Prop!$H:$H,V61,Prod_Prop!$I:$I,X$1)*IF(V61="Peso",$R61,1))</f>
        <v>4</v>
      </c>
      <c r="Y61" s="4" t="str">
        <f>IFERROR(__xludf.DUMMYFUNCTION("IF(OR($U61="""",COUNTIF($I:$I,IFERROR(unique(filter(Prod_Prop!$H:$H,Prod_Prop!$G:$G=$U61,Prod_Prop!$E:$E=Y$1)),""Check""))=0),"""",IFERROR(unique(filter(Prod_Prop!$H:$H,Prod_Prop!$G:$G=$U61,Prod_Prop!$E:$E=Y$1)),""""))"),"")</f>
        <v/>
      </c>
      <c r="Z61" s="4" t="str">
        <f>IF(Y61="","",SUMIFS(Prod_Prop!$J:$J,Prod_Prop!$B:$B,$Q61,Prod_Prop!$H:$H,Y61,Prod_Prop!$I:$I,Z$1)*IF(Y61="Peso",$R61,1))</f>
        <v/>
      </c>
      <c r="AA61" s="4" t="str">
        <f>IF(Y61="","",SUMIFS(Prod_Prop!$J:$J,Prod_Prop!$B:$B,$Q61,Prod_Prop!$H:$H,Y61,Prod_Prop!$I:$I,AA$1)*IF(Y61="Peso",$R61,1))</f>
        <v/>
      </c>
      <c r="AB61" s="4" t="str">
        <f>IFERROR(__xludf.DUMMYFUNCTION("IF(OR($U61="""",COUNTIF($I:$I,IFERROR(unique(filter(Prod_Prop!$H:$H,Prod_Prop!$G:$G=$U61,Prod_Prop!$E:$E=AB$1)),""Check""))=0),"""",IFERROR(unique(filter(Prod_Prop!$H:$H,Prod_Prop!$G:$G=$U61,Prod_Prop!$E:$E=AB$1)),""""))"),"")</f>
        <v/>
      </c>
      <c r="AC61" s="4" t="str">
        <f>IF(AB61="","",SUMIFS(Prod_Prop!$J:$J,Prod_Prop!$B:$B,$Q61,Prod_Prop!$H:$H,AB61,Prod_Prop!$I:$I,AC$1)*IF(AB61="Peso",$R61,1))</f>
        <v/>
      </c>
      <c r="AD61" s="4" t="str">
        <f>IF(AB61="","",SUMIFS(Prod_Prop!$J:$J,Prod_Prop!$B:$B,$Q61,Prod_Prop!$H:$H,AB61,Prod_Prop!$I:$I,AD$1)*IF(AB61="Peso",$R61,1))</f>
        <v/>
      </c>
    </row>
    <row r="62">
      <c r="A62" s="4" t="str">
        <f t="array" ref="A62">IF(COUNTIF(A$1:A61,Cotizador!F$2)=maxifs(Familias!E:E,Familias!D:D,Cotizador!F$2),IF(COUNTIF(A$1:A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" s="4" t="str">
        <f t="shared" si="1"/>
        <v/>
      </c>
      <c r="C62" s="4" t="str">
        <f t="array" ref="C62">IF(B62="","",IF(A62=XLOOKUP(A$2,Implementos!B:B,Implementos!C:C,"",0,1),B62+maxifs(B$1:B61,A$1:A61,A$2),B62))</f>
        <v/>
      </c>
      <c r="D62" s="4" t="str">
        <f>IF(B62="","", COUNTIFS(Productos!F:F,A62,Productos!H:H,B62)+IF(F62="SI",0,1))</f>
        <v/>
      </c>
      <c r="E62" s="4" t="str">
        <f>IFERROR(__xludf.DUMMYFUNCTION("IF($B62="""","""",INDEX(filter(Familias!F:F,Familias!$D:$D=$A62,Familias!$E:$E=$B62),1))"),"")</f>
        <v/>
      </c>
      <c r="F62" s="4" t="str">
        <f>IFERROR(__xludf.DUMMYFUNCTION("IF($B62="""","""",INDEX(filter(Familias!G:G,Familias!$D:$D=$A62,Familias!$E:$E=$B62),1))"),"")</f>
        <v/>
      </c>
      <c r="G62" s="4" t="str">
        <f t="array" ref="G62">IF(C62=1,XLOOKUP(C62,Cotizador!D:D,Cotizador!E:E,"",0,1),"")</f>
        <v/>
      </c>
      <c r="I62" s="4"/>
      <c r="J62" s="8" t="str">
        <f>IF(I62="","",SUMIF(Cotizador!I$1:V$1,I62,Cotizador!I$2:V$2))</f>
        <v/>
      </c>
      <c r="L62" s="4" t="str">
        <f t="array" ref="L62">IF(COUNTIF(L$1:L61,A$2)=SUMIF(A:A,A$2,D:D),IF(COUNTIF(L$1:L61,XLOOKUP(A$2,Implementos!B:B,Implementos!C:C,"",0,1))=SUMIF(A:A,XLOOKUP(A$2,Implementos!B:B,Implementos!C:C,"",0,1),D:D),"",XLOOKUP(A$2,Implementos!B:B,Implementos!C:C,"",0,1)),A$2)</f>
        <v>Acoplados Rurales</v>
      </c>
      <c r="M62" s="4">
        <f t="shared" si="2"/>
        <v>61</v>
      </c>
      <c r="N62" s="4">
        <f t="shared" si="3"/>
        <v>4</v>
      </c>
      <c r="O62" s="4">
        <f t="shared" si="4"/>
        <v>4</v>
      </c>
      <c r="P62" s="4">
        <f t="shared" si="5"/>
        <v>1</v>
      </c>
      <c r="Q62" s="4">
        <f>IF(U62="","",SUMIF(Productos!E:E,U62,Productos!A:A))</f>
        <v>66</v>
      </c>
      <c r="R62" s="4">
        <f t="array" ref="R62">IF(L62="","", max(1,SUMIF(I:I,XLOOKUP(U62,Productos!E:E,Productos!G:G,"",0,1),J:J)))</f>
        <v>1</v>
      </c>
      <c r="S62" s="4" t="str">
        <f>IF(Q62="","",IF(SUMIFS(Compat_Vetado!D:D,Compat_Vetado!B:B,SUM(G:G),Compat_Vetado!C:C,Q62)=1,"SI",IF(OR(SUMIF(Cotizador!E:E,Q62,Cotizador!G:G)&gt;0,SUMIFS(Compat_Vetado!D:D,Compat_Vetado!B:B,SUM(G:G),Compat_Vetado!C:C,Q62)=-1),"NO","")))</f>
        <v/>
      </c>
      <c r="T62" s="4" t="str">
        <f t="shared" si="6"/>
        <v>x</v>
      </c>
      <c r="U62" s="4" t="str">
        <f>IFERROR(__xludf.DUMMYFUNCTION("IF(P62="""","""",IFERROR(INDEX(filter(Productos!E:E,Productos!F:F=L62,Productos!H:H=N62),P62),IF(M62=SUM(D:D),""Finalizar"",""-"")))"),"Cajón Herramientas Standard Derecho")</f>
        <v>Cajón Herramientas Standard Derecho</v>
      </c>
      <c r="V62" s="4" t="str">
        <f>IFERROR(__xludf.DUMMYFUNCTION("IF(OR($U62="""",COUNTIF($I:$I,IFERROR(unique(filter(Prod_Prop!$H:$H,Prod_Prop!$G:$G=$U62,Prod_Prop!$E:$E=V$1)),""Check""))=0),"""",IFERROR(unique(filter(Prod_Prop!$H:$H,Prod_Prop!$G:$G=$U62,Prod_Prop!$E:$E=V$1)),""""))"),"")</f>
        <v/>
      </c>
      <c r="W62" s="4" t="str">
        <f>IF(V62="","",SUMIFS(Prod_Prop!$J:$J,Prod_Prop!$B:$B,$Q62,Prod_Prop!$H:$H,V62,Prod_Prop!$I:$I,W$1)*IF(V62="Peso",$R62,1))</f>
        <v/>
      </c>
      <c r="X62" s="4" t="str">
        <f>IF(V62="","",SUMIFS(Prod_Prop!$J:$J,Prod_Prop!$B:$B,$Q62,Prod_Prop!$H:$H,V62,Prod_Prop!$I:$I,X$1)*IF(V62="Peso",$R62,1))</f>
        <v/>
      </c>
      <c r="Y62" s="4" t="str">
        <f>IFERROR(__xludf.DUMMYFUNCTION("IF(OR($U62="""",COUNTIF($I:$I,IFERROR(unique(filter(Prod_Prop!$H:$H,Prod_Prop!$G:$G=$U62,Prod_Prop!$E:$E=Y$1)),""Check""))=0),"""",IFERROR(unique(filter(Prod_Prop!$H:$H,Prod_Prop!$G:$G=$U62,Prod_Prop!$E:$E=Y$1)),""""))"),"")</f>
        <v/>
      </c>
      <c r="Z62" s="4" t="str">
        <f>IF(Y62="","",SUMIFS(Prod_Prop!$J:$J,Prod_Prop!$B:$B,$Q62,Prod_Prop!$H:$H,Y62,Prod_Prop!$I:$I,Z$1)*IF(Y62="Peso",$R62,1))</f>
        <v/>
      </c>
      <c r="AA62" s="4" t="str">
        <f>IF(Y62="","",SUMIFS(Prod_Prop!$J:$J,Prod_Prop!$B:$B,$Q62,Prod_Prop!$H:$H,Y62,Prod_Prop!$I:$I,AA$1)*IF(Y62="Peso",$R62,1))</f>
        <v/>
      </c>
      <c r="AB62" s="4" t="str">
        <f>IFERROR(__xludf.DUMMYFUNCTION("IF(OR($U62="""",COUNTIF($I:$I,IFERROR(unique(filter(Prod_Prop!$H:$H,Prod_Prop!$G:$G=$U62,Prod_Prop!$E:$E=AB$1)),""Check""))=0),"""",IFERROR(unique(filter(Prod_Prop!$H:$H,Prod_Prop!$G:$G=$U62,Prod_Prop!$E:$E=AB$1)),""""))"),"")</f>
        <v/>
      </c>
      <c r="AC62" s="4" t="str">
        <f>IF(AB62="","",SUMIFS(Prod_Prop!$J:$J,Prod_Prop!$B:$B,$Q62,Prod_Prop!$H:$H,AB62,Prod_Prop!$I:$I,AC$1)*IF(AB62="Peso",$R62,1))</f>
        <v/>
      </c>
      <c r="AD62" s="4" t="str">
        <f>IF(AB62="","",SUMIFS(Prod_Prop!$J:$J,Prod_Prop!$B:$B,$Q62,Prod_Prop!$H:$H,AB62,Prod_Prop!$I:$I,AD$1)*IF(AB62="Peso",$R62,1))</f>
        <v/>
      </c>
    </row>
    <row r="63">
      <c r="A63" s="4" t="str">
        <f t="array" ref="A63">IF(COUNTIF(A$1:A62,Cotizador!F$2)=maxifs(Familias!E:E,Familias!D:D,Cotizador!F$2),IF(COUNTIF(A$1:A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" s="4" t="str">
        <f t="shared" si="1"/>
        <v/>
      </c>
      <c r="C63" s="4" t="str">
        <f t="array" ref="C63">IF(B63="","",IF(A63=XLOOKUP(A$2,Implementos!B:B,Implementos!C:C,"",0,1),B63+maxifs(B$1:B62,A$1:A62,A$2),B63))</f>
        <v/>
      </c>
      <c r="D63" s="4" t="str">
        <f>IF(B63="","", COUNTIFS(Productos!F:F,A63,Productos!H:H,B63)+IF(F63="SI",0,1))</f>
        <v/>
      </c>
      <c r="E63" s="4" t="str">
        <f>IFERROR(__xludf.DUMMYFUNCTION("IF($B63="""","""",INDEX(filter(Familias!F:F,Familias!$D:$D=$A63,Familias!$E:$E=$B63),1))"),"")</f>
        <v/>
      </c>
      <c r="F63" s="4" t="str">
        <f>IFERROR(__xludf.DUMMYFUNCTION("IF($B63="""","""",INDEX(filter(Familias!G:G,Familias!$D:$D=$A63,Familias!$E:$E=$B63),1))"),"")</f>
        <v/>
      </c>
      <c r="G63" s="4" t="str">
        <f t="array" ref="G63">IF(C63=1,XLOOKUP(C63,Cotizador!D:D,Cotizador!E:E,"",0,1),"")</f>
        <v/>
      </c>
      <c r="I63" s="4"/>
      <c r="J63" s="8" t="str">
        <f>IF(I63="","",SUMIF(Cotizador!I$1:V$1,I63,Cotizador!I$2:V$2))</f>
        <v/>
      </c>
      <c r="L63" s="4" t="str">
        <f t="array" ref="L63">IF(COUNTIF(L$1:L62,A$2)=SUMIF(A:A,A$2,D:D),IF(COUNTIF(L$1:L62,XLOOKUP(A$2,Implementos!B:B,Implementos!C:C,"",0,1))=SUMIF(A:A,XLOOKUP(A$2,Implementos!B:B,Implementos!C:C,"",0,1),D:D),"",XLOOKUP(A$2,Implementos!B:B,Implementos!C:C,"",0,1)),A$2)</f>
        <v>Acoplados Rurales</v>
      </c>
      <c r="M63" s="4">
        <f t="shared" si="2"/>
        <v>62</v>
      </c>
      <c r="N63" s="4">
        <f t="shared" si="3"/>
        <v>4</v>
      </c>
      <c r="O63" s="4">
        <f t="shared" si="4"/>
        <v>4</v>
      </c>
      <c r="P63" s="4">
        <f t="shared" si="5"/>
        <v>2</v>
      </c>
      <c r="Q63" s="4">
        <f>IF(U63="","",SUMIF(Productos!E:E,U63,Productos!A:A))</f>
        <v>67</v>
      </c>
      <c r="R63" s="4">
        <f t="array" ref="R63">IF(L63="","", max(1,SUMIF(I:I,XLOOKUP(U63,Productos!E:E,Productos!G:G,"",0,1),J:J)))</f>
        <v>1</v>
      </c>
      <c r="S63" s="4" t="str">
        <f>IF(Q63="","",IF(SUMIFS(Compat_Vetado!D:D,Compat_Vetado!B:B,SUM(G:G),Compat_Vetado!C:C,Q63)=1,"SI",IF(OR(SUMIF(Cotizador!E:E,Q63,Cotizador!G:G)&gt;0,SUMIFS(Compat_Vetado!D:D,Compat_Vetado!B:B,SUM(G:G),Compat_Vetado!C:C,Q63)=-1),"NO","")))</f>
        <v/>
      </c>
      <c r="T63" s="4" t="str">
        <f t="shared" si="6"/>
        <v>x</v>
      </c>
      <c r="U63" s="4" t="str">
        <f>IFERROR(__xludf.DUMMYFUNCTION("IF(P63="""","""",IFERROR(INDEX(filter(Productos!E:E,Productos!F:F=L63,Productos!H:H=N63),P63),IF(M63=SUM(D:D),""Finalizar"",""-"")))"),"Cajón Herramientas Standard Izquierdo")</f>
        <v>Cajón Herramientas Standard Izquierdo</v>
      </c>
      <c r="V63" s="4" t="str">
        <f>IFERROR(__xludf.DUMMYFUNCTION("IF(OR($U63="""",COUNTIF($I:$I,IFERROR(unique(filter(Prod_Prop!$H:$H,Prod_Prop!$G:$G=$U63,Prod_Prop!$E:$E=V$1)),""Check""))=0),"""",IFERROR(unique(filter(Prod_Prop!$H:$H,Prod_Prop!$G:$G=$U63,Prod_Prop!$E:$E=V$1)),""""))"),"")</f>
        <v/>
      </c>
      <c r="W63" s="4" t="str">
        <f>IF(V63="","",SUMIFS(Prod_Prop!$J:$J,Prod_Prop!$B:$B,$Q63,Prod_Prop!$H:$H,V63,Prod_Prop!$I:$I,W$1)*IF(V63="Peso",$R63,1))</f>
        <v/>
      </c>
      <c r="X63" s="4" t="str">
        <f>IF(V63="","",SUMIFS(Prod_Prop!$J:$J,Prod_Prop!$B:$B,$Q63,Prod_Prop!$H:$H,V63,Prod_Prop!$I:$I,X$1)*IF(V63="Peso",$R63,1))</f>
        <v/>
      </c>
      <c r="Y63" s="4" t="str">
        <f>IFERROR(__xludf.DUMMYFUNCTION("IF(OR($U63="""",COUNTIF($I:$I,IFERROR(unique(filter(Prod_Prop!$H:$H,Prod_Prop!$G:$G=$U63,Prod_Prop!$E:$E=Y$1)),""Check""))=0),"""",IFERROR(unique(filter(Prod_Prop!$H:$H,Prod_Prop!$G:$G=$U63,Prod_Prop!$E:$E=Y$1)),""""))"),"")</f>
        <v/>
      </c>
      <c r="Z63" s="4" t="str">
        <f>IF(Y63="","",SUMIFS(Prod_Prop!$J:$J,Prod_Prop!$B:$B,$Q63,Prod_Prop!$H:$H,Y63,Prod_Prop!$I:$I,Z$1)*IF(Y63="Peso",$R63,1))</f>
        <v/>
      </c>
      <c r="AA63" s="4" t="str">
        <f>IF(Y63="","",SUMIFS(Prod_Prop!$J:$J,Prod_Prop!$B:$B,$Q63,Prod_Prop!$H:$H,Y63,Prod_Prop!$I:$I,AA$1)*IF(Y63="Peso",$R63,1))</f>
        <v/>
      </c>
      <c r="AB63" s="4" t="str">
        <f>IFERROR(__xludf.DUMMYFUNCTION("IF(OR($U63="""",COUNTIF($I:$I,IFERROR(unique(filter(Prod_Prop!$H:$H,Prod_Prop!$G:$G=$U63,Prod_Prop!$E:$E=AB$1)),""Check""))=0),"""",IFERROR(unique(filter(Prod_Prop!$H:$H,Prod_Prop!$G:$G=$U63,Prod_Prop!$E:$E=AB$1)),""""))"),"")</f>
        <v/>
      </c>
      <c r="AC63" s="4" t="str">
        <f>IF(AB63="","",SUMIFS(Prod_Prop!$J:$J,Prod_Prop!$B:$B,$Q63,Prod_Prop!$H:$H,AB63,Prod_Prop!$I:$I,AC$1)*IF(AB63="Peso",$R63,1))</f>
        <v/>
      </c>
      <c r="AD63" s="4" t="str">
        <f>IF(AB63="","",SUMIFS(Prod_Prop!$J:$J,Prod_Prop!$B:$B,$Q63,Prod_Prop!$H:$H,AB63,Prod_Prop!$I:$I,AD$1)*IF(AB63="Peso",$R63,1))</f>
        <v/>
      </c>
    </row>
    <row r="64">
      <c r="A64" s="4" t="str">
        <f t="array" ref="A64">IF(COUNTIF(A$1:A63,Cotizador!F$2)=maxifs(Familias!E:E,Familias!D:D,Cotizador!F$2),IF(COUNTIF(A$1:A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" s="4" t="str">
        <f t="shared" si="1"/>
        <v/>
      </c>
      <c r="C64" s="4" t="str">
        <f t="array" ref="C64">IF(B64="","",IF(A64=XLOOKUP(A$2,Implementos!B:B,Implementos!C:C,"",0,1),B64+maxifs(B$1:B63,A$1:A63,A$2),B64))</f>
        <v/>
      </c>
      <c r="D64" s="4" t="str">
        <f>IF(B64="","", COUNTIFS(Productos!F:F,A64,Productos!H:H,B64)+IF(F64="SI",0,1))</f>
        <v/>
      </c>
      <c r="E64" s="4" t="str">
        <f>IFERROR(__xludf.DUMMYFUNCTION("IF($B64="""","""",INDEX(filter(Familias!F:F,Familias!$D:$D=$A64,Familias!$E:$E=$B64),1))"),"")</f>
        <v/>
      </c>
      <c r="F64" s="4" t="str">
        <f>IFERROR(__xludf.DUMMYFUNCTION("IF($B64="""","""",INDEX(filter(Familias!G:G,Familias!$D:$D=$A64,Familias!$E:$E=$B64),1))"),"")</f>
        <v/>
      </c>
      <c r="G64" s="4" t="str">
        <f t="array" ref="G64">IF(C64=1,XLOOKUP(C64,Cotizador!D:D,Cotizador!E:E,"",0,1),"")</f>
        <v/>
      </c>
      <c r="I64" s="4"/>
      <c r="J64" s="8" t="str">
        <f>IF(I64="","",SUMIF(Cotizador!I$1:V$1,I64,Cotizador!I$2:V$2))</f>
        <v/>
      </c>
      <c r="L64" s="4" t="str">
        <f t="array" ref="L64">IF(COUNTIF(L$1:L63,A$2)=SUMIF(A:A,A$2,D:D),IF(COUNTIF(L$1:L63,XLOOKUP(A$2,Implementos!B:B,Implementos!C:C,"",0,1))=SUMIF(A:A,XLOOKUP(A$2,Implementos!B:B,Implementos!C:C,"",0,1),D:D),"",XLOOKUP(A$2,Implementos!B:B,Implementos!C:C,"",0,1)),A$2)</f>
        <v>Acoplados Rurales</v>
      </c>
      <c r="M64" s="4">
        <f t="shared" si="2"/>
        <v>63</v>
      </c>
      <c r="N64" s="4">
        <f t="shared" si="3"/>
        <v>4</v>
      </c>
      <c r="O64" s="4">
        <f t="shared" si="4"/>
        <v>4</v>
      </c>
      <c r="P64" s="4">
        <f t="shared" si="5"/>
        <v>3</v>
      </c>
      <c r="Q64" s="4">
        <f>IF(U64="","",SUMIF(Productos!E:E,U64,Productos!A:A))</f>
        <v>68</v>
      </c>
      <c r="R64" s="4">
        <f t="array" ref="R64">IF(L64="","", max(1,SUMIF(I:I,XLOOKUP(U64,Productos!E:E,Productos!G:G,"",0,1),J:J)))</f>
        <v>1</v>
      </c>
      <c r="S64" s="4" t="str">
        <f>IF(Q64="","",IF(SUMIFS(Compat_Vetado!D:D,Compat_Vetado!B:B,SUM(G:G),Compat_Vetado!C:C,Q64)=1,"SI",IF(OR(SUMIF(Cotizador!E:E,Q64,Cotizador!G:G)&gt;0,SUMIFS(Compat_Vetado!D:D,Compat_Vetado!B:B,SUM(G:G),Compat_Vetado!C:C,Q64)=-1),"NO","")))</f>
        <v/>
      </c>
      <c r="T64" s="4" t="str">
        <f t="shared" si="6"/>
        <v>x</v>
      </c>
      <c r="U64" s="4" t="str">
        <f>IFERROR(__xludf.DUMMYFUNCTION("IF(P64="""","""",IFERROR(INDEX(filter(Productos!E:E,Productos!F:F=L64,Productos!H:H=N64),P64),IF(M64=SUM(D:D),""Finalizar"",""-"")))"),"Cajón Herramientas Corto Derecho")</f>
        <v>Cajón Herramientas Corto Derecho</v>
      </c>
      <c r="V64" s="4" t="str">
        <f>IFERROR(__xludf.DUMMYFUNCTION("IF(OR($U64="""",COUNTIF($I:$I,IFERROR(unique(filter(Prod_Prop!$H:$H,Prod_Prop!$G:$G=$U64,Prod_Prop!$E:$E=V$1)),""Check""))=0),"""",IFERROR(unique(filter(Prod_Prop!$H:$H,Prod_Prop!$G:$G=$U64,Prod_Prop!$E:$E=V$1)),""""))"),"")</f>
        <v/>
      </c>
      <c r="W64" s="4" t="str">
        <f>IF(V64="","",SUMIFS(Prod_Prop!$J:$J,Prod_Prop!$B:$B,$Q64,Prod_Prop!$H:$H,V64,Prod_Prop!$I:$I,W$1)*IF(V64="Peso",$R64,1))</f>
        <v/>
      </c>
      <c r="X64" s="4" t="str">
        <f>IF(V64="","",SUMIFS(Prod_Prop!$J:$J,Prod_Prop!$B:$B,$Q64,Prod_Prop!$H:$H,V64,Prod_Prop!$I:$I,X$1)*IF(V64="Peso",$R64,1))</f>
        <v/>
      </c>
      <c r="Y64" s="4" t="str">
        <f>IFERROR(__xludf.DUMMYFUNCTION("IF(OR($U64="""",COUNTIF($I:$I,IFERROR(unique(filter(Prod_Prop!$H:$H,Prod_Prop!$G:$G=$U64,Prod_Prop!$E:$E=Y$1)),""Check""))=0),"""",IFERROR(unique(filter(Prod_Prop!$H:$H,Prod_Prop!$G:$G=$U64,Prod_Prop!$E:$E=Y$1)),""""))"),"")</f>
        <v/>
      </c>
      <c r="Z64" s="4" t="str">
        <f>IF(Y64="","",SUMIFS(Prod_Prop!$J:$J,Prod_Prop!$B:$B,$Q64,Prod_Prop!$H:$H,Y64,Prod_Prop!$I:$I,Z$1)*IF(Y64="Peso",$R64,1))</f>
        <v/>
      </c>
      <c r="AA64" s="4" t="str">
        <f>IF(Y64="","",SUMIFS(Prod_Prop!$J:$J,Prod_Prop!$B:$B,$Q64,Prod_Prop!$H:$H,Y64,Prod_Prop!$I:$I,AA$1)*IF(Y64="Peso",$R64,1))</f>
        <v/>
      </c>
      <c r="AB64" s="4" t="str">
        <f>IFERROR(__xludf.DUMMYFUNCTION("IF(OR($U64="""",COUNTIF($I:$I,IFERROR(unique(filter(Prod_Prop!$H:$H,Prod_Prop!$G:$G=$U64,Prod_Prop!$E:$E=AB$1)),""Check""))=0),"""",IFERROR(unique(filter(Prod_Prop!$H:$H,Prod_Prop!$G:$G=$U64,Prod_Prop!$E:$E=AB$1)),""""))"),"")</f>
        <v/>
      </c>
      <c r="AC64" s="4" t="str">
        <f>IF(AB64="","",SUMIFS(Prod_Prop!$J:$J,Prod_Prop!$B:$B,$Q64,Prod_Prop!$H:$H,AB64,Prod_Prop!$I:$I,AC$1)*IF(AB64="Peso",$R64,1))</f>
        <v/>
      </c>
      <c r="AD64" s="4" t="str">
        <f>IF(AB64="","",SUMIFS(Prod_Prop!$J:$J,Prod_Prop!$B:$B,$Q64,Prod_Prop!$H:$H,AB64,Prod_Prop!$I:$I,AD$1)*IF(AB64="Peso",$R64,1))</f>
        <v/>
      </c>
    </row>
    <row r="65">
      <c r="A65" s="4" t="str">
        <f t="array" ref="A65">IF(COUNTIF(A$1:A64,Cotizador!F$2)=maxifs(Familias!E:E,Familias!D:D,Cotizador!F$2),IF(COUNTIF(A$1:A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" s="4" t="str">
        <f t="shared" si="1"/>
        <v/>
      </c>
      <c r="C65" s="4" t="str">
        <f t="array" ref="C65">IF(B65="","",IF(A65=XLOOKUP(A$2,Implementos!B:B,Implementos!C:C,"",0,1),B65+maxifs(B$1:B64,A$1:A64,A$2),B65))</f>
        <v/>
      </c>
      <c r="D65" s="4" t="str">
        <f>IF(B65="","", COUNTIFS(Productos!F:F,A65,Productos!H:H,B65)+IF(F65="SI",0,1))</f>
        <v/>
      </c>
      <c r="E65" s="4" t="str">
        <f>IFERROR(__xludf.DUMMYFUNCTION("IF($B65="""","""",INDEX(filter(Familias!F:F,Familias!$D:$D=$A65,Familias!$E:$E=$B65),1))"),"")</f>
        <v/>
      </c>
      <c r="F65" s="4" t="str">
        <f>IFERROR(__xludf.DUMMYFUNCTION("IF($B65="""","""",INDEX(filter(Familias!G:G,Familias!$D:$D=$A65,Familias!$E:$E=$B65),1))"),"")</f>
        <v/>
      </c>
      <c r="G65" s="4" t="str">
        <f t="array" ref="G65">IF(C65=1,XLOOKUP(C65,Cotizador!D:D,Cotizador!E:E,"",0,1),"")</f>
        <v/>
      </c>
      <c r="I65" s="4"/>
      <c r="J65" s="8" t="str">
        <f>IF(I65="","",SUMIF(Cotizador!I$1:V$1,I65,Cotizador!I$2:V$2))</f>
        <v/>
      </c>
      <c r="L65" s="4" t="str">
        <f t="array" ref="L65">IF(COUNTIF(L$1:L64,A$2)=SUMIF(A:A,A$2,D:D),IF(COUNTIF(L$1:L64,XLOOKUP(A$2,Implementos!B:B,Implementos!C:C,"",0,1))=SUMIF(A:A,XLOOKUP(A$2,Implementos!B:B,Implementos!C:C,"",0,1),D:D),"",XLOOKUP(A$2,Implementos!B:B,Implementos!C:C,"",0,1)),A$2)</f>
        <v>Acoplados Rurales</v>
      </c>
      <c r="M65" s="4">
        <f t="shared" si="2"/>
        <v>64</v>
      </c>
      <c r="N65" s="4">
        <f t="shared" si="3"/>
        <v>4</v>
      </c>
      <c r="O65" s="4">
        <f t="shared" si="4"/>
        <v>4</v>
      </c>
      <c r="P65" s="4">
        <f t="shared" si="5"/>
        <v>4</v>
      </c>
      <c r="Q65" s="4">
        <f>IF(U65="","",SUMIF(Productos!E:E,U65,Productos!A:A))</f>
        <v>69</v>
      </c>
      <c r="R65" s="4">
        <f t="array" ref="R65">IF(L65="","", max(1,SUMIF(I:I,XLOOKUP(U65,Productos!E:E,Productos!G:G,"",0,1),J:J)))</f>
        <v>1</v>
      </c>
      <c r="S65" s="4" t="str">
        <f>IF(Q65="","",IF(SUMIFS(Compat_Vetado!D:D,Compat_Vetado!B:B,SUM(G:G),Compat_Vetado!C:C,Q65)=1,"SI",IF(OR(SUMIF(Cotizador!E:E,Q65,Cotizador!G:G)&gt;0,SUMIFS(Compat_Vetado!D:D,Compat_Vetado!B:B,SUM(G:G),Compat_Vetado!C:C,Q65)=-1),"NO","")))</f>
        <v/>
      </c>
      <c r="T65" s="4" t="str">
        <f t="shared" si="6"/>
        <v>x</v>
      </c>
      <c r="U65" s="4" t="str">
        <f>IFERROR(__xludf.DUMMYFUNCTION("IF(P65="""","""",IFERROR(INDEX(filter(Productos!E:E,Productos!F:F=L65,Productos!H:H=N65),P65),IF(M65=SUM(D:D),""Finalizar"",""-"")))"),"Cajón Herramientas Corto Izquierdo")</f>
        <v>Cajón Herramientas Corto Izquierdo</v>
      </c>
      <c r="V65" s="4" t="str">
        <f>IFERROR(__xludf.DUMMYFUNCTION("IF(OR($U65="""",COUNTIF($I:$I,IFERROR(unique(filter(Prod_Prop!$H:$H,Prod_Prop!$G:$G=$U65,Prod_Prop!$E:$E=V$1)),""Check""))=0),"""",IFERROR(unique(filter(Prod_Prop!$H:$H,Prod_Prop!$G:$G=$U65,Prod_Prop!$E:$E=V$1)),""""))"),"")</f>
        <v/>
      </c>
      <c r="W65" s="4" t="str">
        <f>IF(V65="","",SUMIFS(Prod_Prop!$J:$J,Prod_Prop!$B:$B,$Q65,Prod_Prop!$H:$H,V65,Prod_Prop!$I:$I,W$1)*IF(V65="Peso",$R65,1))</f>
        <v/>
      </c>
      <c r="X65" s="4" t="str">
        <f>IF(V65="","",SUMIFS(Prod_Prop!$J:$J,Prod_Prop!$B:$B,$Q65,Prod_Prop!$H:$H,V65,Prod_Prop!$I:$I,X$1)*IF(V65="Peso",$R65,1))</f>
        <v/>
      </c>
      <c r="Y65" s="4" t="str">
        <f>IFERROR(__xludf.DUMMYFUNCTION("IF(OR($U65="""",COUNTIF($I:$I,IFERROR(unique(filter(Prod_Prop!$H:$H,Prod_Prop!$G:$G=$U65,Prod_Prop!$E:$E=Y$1)),""Check""))=0),"""",IFERROR(unique(filter(Prod_Prop!$H:$H,Prod_Prop!$G:$G=$U65,Prod_Prop!$E:$E=Y$1)),""""))"),"")</f>
        <v/>
      </c>
      <c r="Z65" s="4" t="str">
        <f>IF(Y65="","",SUMIFS(Prod_Prop!$J:$J,Prod_Prop!$B:$B,$Q65,Prod_Prop!$H:$H,Y65,Prod_Prop!$I:$I,Z$1)*IF(Y65="Peso",$R65,1))</f>
        <v/>
      </c>
      <c r="AA65" s="4" t="str">
        <f>IF(Y65="","",SUMIFS(Prod_Prop!$J:$J,Prod_Prop!$B:$B,$Q65,Prod_Prop!$H:$H,Y65,Prod_Prop!$I:$I,AA$1)*IF(Y65="Peso",$R65,1))</f>
        <v/>
      </c>
      <c r="AB65" s="4" t="str">
        <f>IFERROR(__xludf.DUMMYFUNCTION("IF(OR($U65="""",COUNTIF($I:$I,IFERROR(unique(filter(Prod_Prop!$H:$H,Prod_Prop!$G:$G=$U65,Prod_Prop!$E:$E=AB$1)),""Check""))=0),"""",IFERROR(unique(filter(Prod_Prop!$H:$H,Prod_Prop!$G:$G=$U65,Prod_Prop!$E:$E=AB$1)),""""))"),"")</f>
        <v/>
      </c>
      <c r="AC65" s="4" t="str">
        <f>IF(AB65="","",SUMIFS(Prod_Prop!$J:$J,Prod_Prop!$B:$B,$Q65,Prod_Prop!$H:$H,AB65,Prod_Prop!$I:$I,AC$1)*IF(AB65="Peso",$R65,1))</f>
        <v/>
      </c>
      <c r="AD65" s="4" t="str">
        <f>IF(AB65="","",SUMIFS(Prod_Prop!$J:$J,Prod_Prop!$B:$B,$Q65,Prod_Prop!$H:$H,AB65,Prod_Prop!$I:$I,AD$1)*IF(AB65="Peso",$R65,1))</f>
        <v/>
      </c>
    </row>
    <row r="66">
      <c r="A66" s="4" t="str">
        <f t="array" ref="A66">IF(COUNTIF(A$1:A65,Cotizador!F$2)=maxifs(Familias!E:E,Familias!D:D,Cotizador!F$2),IF(COUNTIF(A$1:A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" s="4" t="str">
        <f t="shared" si="1"/>
        <v/>
      </c>
      <c r="C66" s="4" t="str">
        <f t="array" ref="C66">IF(B66="","",IF(A66=XLOOKUP(A$2,Implementos!B:B,Implementos!C:C,"",0,1),B66+maxifs(B$1:B65,A$1:A65,A$2),B66))</f>
        <v/>
      </c>
      <c r="D66" s="4" t="str">
        <f>IF(B66="","", COUNTIFS(Productos!F:F,A66,Productos!H:H,B66)+IF(F66="SI",0,1))</f>
        <v/>
      </c>
      <c r="E66" s="4" t="str">
        <f>IFERROR(__xludf.DUMMYFUNCTION("IF($B66="""","""",INDEX(filter(Familias!F:F,Familias!$D:$D=$A66,Familias!$E:$E=$B66),1))"),"")</f>
        <v/>
      </c>
      <c r="F66" s="4" t="str">
        <f>IFERROR(__xludf.DUMMYFUNCTION("IF($B66="""","""",INDEX(filter(Familias!G:G,Familias!$D:$D=$A66,Familias!$E:$E=$B66),1))"),"")</f>
        <v/>
      </c>
      <c r="G66" s="4" t="str">
        <f t="array" ref="G66">IF(C66=1,XLOOKUP(C66,Cotizador!D:D,Cotizador!E:E,"",0,1),"")</f>
        <v/>
      </c>
      <c r="I66" s="4"/>
      <c r="J66" s="8" t="str">
        <f>IF(I66="","",SUMIF(Cotizador!I$1:V$1,I66,Cotizador!I$2:V$2))</f>
        <v/>
      </c>
      <c r="L66" s="4" t="str">
        <f t="array" ref="L66">IF(COUNTIF(L$1:L65,A$2)=SUMIF(A:A,A$2,D:D),IF(COUNTIF(L$1:L65,XLOOKUP(A$2,Implementos!B:B,Implementos!C:C,"",0,1))=SUMIF(A:A,XLOOKUP(A$2,Implementos!B:B,Implementos!C:C,"",0,1),D:D),"",XLOOKUP(A$2,Implementos!B:B,Implementos!C:C,"",0,1)),A$2)</f>
        <v>Acoplados Rurales</v>
      </c>
      <c r="M66" s="4">
        <f t="shared" si="2"/>
        <v>65</v>
      </c>
      <c r="N66" s="4">
        <f t="shared" si="3"/>
        <v>4</v>
      </c>
      <c r="O66" s="4">
        <f t="shared" si="4"/>
        <v>4</v>
      </c>
      <c r="P66" s="4">
        <f t="shared" si="5"/>
        <v>5</v>
      </c>
      <c r="Q66" s="4">
        <f>IF(U66="","",SUMIF(Productos!E:E,U66,Productos!A:A))</f>
        <v>70</v>
      </c>
      <c r="R66" s="4">
        <f t="array" ref="R66">IF(L66="","", max(1,SUMIF(I:I,XLOOKUP(U66,Productos!E:E,Productos!G:G,"",0,1),J:J)))</f>
        <v>1</v>
      </c>
      <c r="S66" s="4" t="str">
        <f>IF(Q66="","",IF(SUMIFS(Compat_Vetado!D:D,Compat_Vetado!B:B,SUM(G:G),Compat_Vetado!C:C,Q66)=1,"SI",IF(OR(SUMIF(Cotizador!E:E,Q66,Cotizador!G:G)&gt;0,SUMIFS(Compat_Vetado!D:D,Compat_Vetado!B:B,SUM(G:G),Compat_Vetado!C:C,Q66)=-1),"NO","")))</f>
        <v/>
      </c>
      <c r="T66" s="4" t="str">
        <f t="shared" si="6"/>
        <v>x</v>
      </c>
      <c r="U66" s="4" t="str">
        <f>IFERROR(__xludf.DUMMYFUNCTION("IF(P66="""","""",IFERROR(INDEX(filter(Productos!E:E,Productos!F:F=L66,Productos!H:H=N66),P66),IF(M66=SUM(D:D),""Finalizar"",""-"")))"),"Cajón Herramientas Mediano Derecho")</f>
        <v>Cajón Herramientas Mediano Derecho</v>
      </c>
      <c r="V66" s="4" t="str">
        <f>IFERROR(__xludf.DUMMYFUNCTION("IF(OR($U66="""",COUNTIF($I:$I,IFERROR(unique(filter(Prod_Prop!$H:$H,Prod_Prop!$G:$G=$U66,Prod_Prop!$E:$E=V$1)),""Check""))=0),"""",IFERROR(unique(filter(Prod_Prop!$H:$H,Prod_Prop!$G:$G=$U66,Prod_Prop!$E:$E=V$1)),""""))"),"")</f>
        <v/>
      </c>
      <c r="W66" s="4" t="str">
        <f>IF(V66="","",SUMIFS(Prod_Prop!$J:$J,Prod_Prop!$B:$B,$Q66,Prod_Prop!$H:$H,V66,Prod_Prop!$I:$I,W$1)*IF(V66="Peso",$R66,1))</f>
        <v/>
      </c>
      <c r="X66" s="4" t="str">
        <f>IF(V66="","",SUMIFS(Prod_Prop!$J:$J,Prod_Prop!$B:$B,$Q66,Prod_Prop!$H:$H,V66,Prod_Prop!$I:$I,X$1)*IF(V66="Peso",$R66,1))</f>
        <v/>
      </c>
      <c r="Y66" s="4" t="str">
        <f>IFERROR(__xludf.DUMMYFUNCTION("IF(OR($U66="""",COUNTIF($I:$I,IFERROR(unique(filter(Prod_Prop!$H:$H,Prod_Prop!$G:$G=$U66,Prod_Prop!$E:$E=Y$1)),""Check""))=0),"""",IFERROR(unique(filter(Prod_Prop!$H:$H,Prod_Prop!$G:$G=$U66,Prod_Prop!$E:$E=Y$1)),""""))"),"")</f>
        <v/>
      </c>
      <c r="Z66" s="4" t="str">
        <f>IF(Y66="","",SUMIFS(Prod_Prop!$J:$J,Prod_Prop!$B:$B,$Q66,Prod_Prop!$H:$H,Y66,Prod_Prop!$I:$I,Z$1)*IF(Y66="Peso",$R66,1))</f>
        <v/>
      </c>
      <c r="AA66" s="4" t="str">
        <f>IF(Y66="","",SUMIFS(Prod_Prop!$J:$J,Prod_Prop!$B:$B,$Q66,Prod_Prop!$H:$H,Y66,Prod_Prop!$I:$I,AA$1)*IF(Y66="Peso",$R66,1))</f>
        <v/>
      </c>
      <c r="AB66" s="4" t="str">
        <f>IFERROR(__xludf.DUMMYFUNCTION("IF(OR($U66="""",COUNTIF($I:$I,IFERROR(unique(filter(Prod_Prop!$H:$H,Prod_Prop!$G:$G=$U66,Prod_Prop!$E:$E=AB$1)),""Check""))=0),"""",IFERROR(unique(filter(Prod_Prop!$H:$H,Prod_Prop!$G:$G=$U66,Prod_Prop!$E:$E=AB$1)),""""))"),"")</f>
        <v/>
      </c>
      <c r="AC66" s="4" t="str">
        <f>IF(AB66="","",SUMIFS(Prod_Prop!$J:$J,Prod_Prop!$B:$B,$Q66,Prod_Prop!$H:$H,AB66,Prod_Prop!$I:$I,AC$1)*IF(AB66="Peso",$R66,1))</f>
        <v/>
      </c>
      <c r="AD66" s="4" t="str">
        <f>IF(AB66="","",SUMIFS(Prod_Prop!$J:$J,Prod_Prop!$B:$B,$Q66,Prod_Prop!$H:$H,AB66,Prod_Prop!$I:$I,AD$1)*IF(AB66="Peso",$R66,1))</f>
        <v/>
      </c>
    </row>
    <row r="67">
      <c r="A67" s="4" t="str">
        <f t="array" ref="A67">IF(COUNTIF(A$1:A66,Cotizador!F$2)=maxifs(Familias!E:E,Familias!D:D,Cotizador!F$2),IF(COUNTIF(A$1:A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" s="4" t="str">
        <f t="shared" si="1"/>
        <v/>
      </c>
      <c r="C67" s="4" t="str">
        <f t="array" ref="C67">IF(B67="","",IF(A67=XLOOKUP(A$2,Implementos!B:B,Implementos!C:C,"",0,1),B67+maxifs(B$1:B66,A$1:A66,A$2),B67))</f>
        <v/>
      </c>
      <c r="D67" s="4" t="str">
        <f>IF(B67="","", COUNTIFS(Productos!F:F,A67,Productos!H:H,B67)+IF(F67="SI",0,1))</f>
        <v/>
      </c>
      <c r="E67" s="4" t="str">
        <f>IFERROR(__xludf.DUMMYFUNCTION("IF($B67="""","""",INDEX(filter(Familias!F:F,Familias!$D:$D=$A67,Familias!$E:$E=$B67),1))"),"")</f>
        <v/>
      </c>
      <c r="F67" s="4" t="str">
        <f>IFERROR(__xludf.DUMMYFUNCTION("IF($B67="""","""",INDEX(filter(Familias!G:G,Familias!$D:$D=$A67,Familias!$E:$E=$B67),1))"),"")</f>
        <v/>
      </c>
      <c r="G67" s="4" t="str">
        <f t="array" ref="G67">IF(C67=1,XLOOKUP(C67,Cotizador!D:D,Cotizador!E:E,"",0,1),"")</f>
        <v/>
      </c>
      <c r="I67" s="4"/>
      <c r="J67" s="8" t="str">
        <f>IF(I67="","",SUMIF(Cotizador!I$1:V$1,I67,Cotizador!I$2:V$2))</f>
        <v/>
      </c>
      <c r="L67" s="4" t="str">
        <f t="array" ref="L67">IF(COUNTIF(L$1:L66,A$2)=SUMIF(A:A,A$2,D:D),IF(COUNTIF(L$1:L66,XLOOKUP(A$2,Implementos!B:B,Implementos!C:C,"",0,1))=SUMIF(A:A,XLOOKUP(A$2,Implementos!B:B,Implementos!C:C,"",0,1),D:D),"",XLOOKUP(A$2,Implementos!B:B,Implementos!C:C,"",0,1)),A$2)</f>
        <v>Acoplados Rurales</v>
      </c>
      <c r="M67" s="4">
        <f t="shared" si="2"/>
        <v>66</v>
      </c>
      <c r="N67" s="4">
        <f t="shared" si="3"/>
        <v>4</v>
      </c>
      <c r="O67" s="4">
        <f t="shared" si="4"/>
        <v>4</v>
      </c>
      <c r="P67" s="4">
        <f t="shared" si="5"/>
        <v>6</v>
      </c>
      <c r="Q67" s="4">
        <f>IF(U67="","",SUMIF(Productos!E:E,U67,Productos!A:A))</f>
        <v>71</v>
      </c>
      <c r="R67" s="4">
        <f t="array" ref="R67">IF(L67="","", max(1,SUMIF(I:I,XLOOKUP(U67,Productos!E:E,Productos!G:G,"",0,1),J:J)))</f>
        <v>1</v>
      </c>
      <c r="S67" s="4" t="str">
        <f>IF(Q67="","",IF(SUMIFS(Compat_Vetado!D:D,Compat_Vetado!B:B,SUM(G:G),Compat_Vetado!C:C,Q67)=1,"SI",IF(OR(SUMIF(Cotizador!E:E,Q67,Cotizador!G:G)&gt;0,SUMIFS(Compat_Vetado!D:D,Compat_Vetado!B:B,SUM(G:G),Compat_Vetado!C:C,Q67)=-1),"NO","")))</f>
        <v/>
      </c>
      <c r="T67" s="4" t="str">
        <f t="shared" si="6"/>
        <v>x</v>
      </c>
      <c r="U67" s="4" t="str">
        <f>IFERROR(__xludf.DUMMYFUNCTION("IF(P67="""","""",IFERROR(INDEX(filter(Productos!E:E,Productos!F:F=L67,Productos!H:H=N67),P67),IF(M67=SUM(D:D),""Finalizar"",""-"")))"),"Cajón Herramientas Mediano Izquierdo")</f>
        <v>Cajón Herramientas Mediano Izquierdo</v>
      </c>
      <c r="V67" s="4" t="str">
        <f>IFERROR(__xludf.DUMMYFUNCTION("IF(OR($U67="""",COUNTIF($I:$I,IFERROR(unique(filter(Prod_Prop!$H:$H,Prod_Prop!$G:$G=$U67,Prod_Prop!$E:$E=V$1)),""Check""))=0),"""",IFERROR(unique(filter(Prod_Prop!$H:$H,Prod_Prop!$G:$G=$U67,Prod_Prop!$E:$E=V$1)),""""))"),"")</f>
        <v/>
      </c>
      <c r="W67" s="4" t="str">
        <f>IF(V67="","",SUMIFS(Prod_Prop!$J:$J,Prod_Prop!$B:$B,$Q67,Prod_Prop!$H:$H,V67,Prod_Prop!$I:$I,W$1)*IF(V67="Peso",$R67,1))</f>
        <v/>
      </c>
      <c r="X67" s="4" t="str">
        <f>IF(V67="","",SUMIFS(Prod_Prop!$J:$J,Prod_Prop!$B:$B,$Q67,Prod_Prop!$H:$H,V67,Prod_Prop!$I:$I,X$1)*IF(V67="Peso",$R67,1))</f>
        <v/>
      </c>
      <c r="Y67" s="4" t="str">
        <f>IFERROR(__xludf.DUMMYFUNCTION("IF(OR($U67="""",COUNTIF($I:$I,IFERROR(unique(filter(Prod_Prop!$H:$H,Prod_Prop!$G:$G=$U67,Prod_Prop!$E:$E=Y$1)),""Check""))=0),"""",IFERROR(unique(filter(Prod_Prop!$H:$H,Prod_Prop!$G:$G=$U67,Prod_Prop!$E:$E=Y$1)),""""))"),"")</f>
        <v/>
      </c>
      <c r="Z67" s="4" t="str">
        <f>IF(Y67="","",SUMIFS(Prod_Prop!$J:$J,Prod_Prop!$B:$B,$Q67,Prod_Prop!$H:$H,Y67,Prod_Prop!$I:$I,Z$1)*IF(Y67="Peso",$R67,1))</f>
        <v/>
      </c>
      <c r="AA67" s="4" t="str">
        <f>IF(Y67="","",SUMIFS(Prod_Prop!$J:$J,Prod_Prop!$B:$B,$Q67,Prod_Prop!$H:$H,Y67,Prod_Prop!$I:$I,AA$1)*IF(Y67="Peso",$R67,1))</f>
        <v/>
      </c>
      <c r="AB67" s="4" t="str">
        <f>IFERROR(__xludf.DUMMYFUNCTION("IF(OR($U67="""",COUNTIF($I:$I,IFERROR(unique(filter(Prod_Prop!$H:$H,Prod_Prop!$G:$G=$U67,Prod_Prop!$E:$E=AB$1)),""Check""))=0),"""",IFERROR(unique(filter(Prod_Prop!$H:$H,Prod_Prop!$G:$G=$U67,Prod_Prop!$E:$E=AB$1)),""""))"),"")</f>
        <v/>
      </c>
      <c r="AC67" s="4" t="str">
        <f>IF(AB67="","",SUMIFS(Prod_Prop!$J:$J,Prod_Prop!$B:$B,$Q67,Prod_Prop!$H:$H,AB67,Prod_Prop!$I:$I,AC$1)*IF(AB67="Peso",$R67,1))</f>
        <v/>
      </c>
      <c r="AD67" s="4" t="str">
        <f>IF(AB67="","",SUMIFS(Prod_Prop!$J:$J,Prod_Prop!$B:$B,$Q67,Prod_Prop!$H:$H,AB67,Prod_Prop!$I:$I,AD$1)*IF(AB67="Peso",$R67,1))</f>
        <v/>
      </c>
    </row>
    <row r="68">
      <c r="A68" s="4" t="str">
        <f t="array" ref="A68">IF(COUNTIF(A$1:A67,Cotizador!F$2)=maxifs(Familias!E:E,Familias!D:D,Cotizador!F$2),IF(COUNTIF(A$1:A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" s="4" t="str">
        <f t="shared" si="1"/>
        <v/>
      </c>
      <c r="C68" s="4" t="str">
        <f t="array" ref="C68">IF(B68="","",IF(A68=XLOOKUP(A$2,Implementos!B:B,Implementos!C:C,"",0,1),B68+maxifs(B$1:B67,A$1:A67,A$2),B68))</f>
        <v/>
      </c>
      <c r="D68" s="4" t="str">
        <f>IF(B68="","", COUNTIFS(Productos!F:F,A68,Productos!H:H,B68)+IF(F68="SI",0,1))</f>
        <v/>
      </c>
      <c r="E68" s="4" t="str">
        <f>IFERROR(__xludf.DUMMYFUNCTION("IF($B68="""","""",INDEX(filter(Familias!F:F,Familias!$D:$D=$A68,Familias!$E:$E=$B68),1))"),"")</f>
        <v/>
      </c>
      <c r="F68" s="4" t="str">
        <f>IFERROR(__xludf.DUMMYFUNCTION("IF($B68="""","""",INDEX(filter(Familias!G:G,Familias!$D:$D=$A68,Familias!$E:$E=$B68),1))"),"")</f>
        <v/>
      </c>
      <c r="G68" s="4" t="str">
        <f t="array" ref="G68">IF(C68=1,XLOOKUP(C68,Cotizador!D:D,Cotizador!E:E,"",0,1),"")</f>
        <v/>
      </c>
      <c r="I68" s="4"/>
      <c r="J68" s="8" t="str">
        <f>IF(I68="","",SUMIF(Cotizador!I$1:V$1,I68,Cotizador!I$2:V$2))</f>
        <v/>
      </c>
      <c r="L68" s="4" t="str">
        <f t="array" ref="L68">IF(COUNTIF(L$1:L67,A$2)=SUMIF(A:A,A$2,D:D),IF(COUNTIF(L$1:L67,XLOOKUP(A$2,Implementos!B:B,Implementos!C:C,"",0,1))=SUMIF(A:A,XLOOKUP(A$2,Implementos!B:B,Implementos!C:C,"",0,1),D:D),"",XLOOKUP(A$2,Implementos!B:B,Implementos!C:C,"",0,1)),A$2)</f>
        <v>Acoplados Rurales</v>
      </c>
      <c r="M68" s="4">
        <f t="shared" si="2"/>
        <v>67</v>
      </c>
      <c r="N68" s="4">
        <f t="shared" si="3"/>
        <v>4</v>
      </c>
      <c r="O68" s="4">
        <f t="shared" si="4"/>
        <v>4</v>
      </c>
      <c r="P68" s="4">
        <f t="shared" si="5"/>
        <v>7</v>
      </c>
      <c r="Q68" s="4">
        <f>IF(U68="","",SUMIF(Productos!E:E,U68,Productos!A:A))</f>
        <v>0</v>
      </c>
      <c r="R68" s="4">
        <f t="array" ref="R68">IF(L68="","", max(1,SUMIF(I:I,XLOOKUP(U68,Productos!E:E,Productos!G:G,"",0,1),J:J)))</f>
        <v>1</v>
      </c>
      <c r="S68" s="4" t="str">
        <f>IF(Q68="","",IF(SUMIFS(Compat_Vetado!D:D,Compat_Vetado!B:B,SUM(G:G),Compat_Vetado!C:C,Q68)=1,"SI",IF(OR(SUMIF(Cotizador!E:E,Q68,Cotizador!G:G)&gt;0,SUMIFS(Compat_Vetado!D:D,Compat_Vetado!B:B,SUM(G:G),Compat_Vetado!C:C,Q68)=-1),"NO","")))</f>
        <v/>
      </c>
      <c r="T68" s="4" t="str">
        <f t="shared" si="6"/>
        <v>x</v>
      </c>
      <c r="U68" s="4" t="str">
        <f>IFERROR(__xludf.DUMMYFUNCTION("IF(P68="""","""",IFERROR(INDEX(filter(Productos!E:E,Productos!F:F=L68,Productos!H:H=N68),P68),IF(M68=SUM(D:D),""Finalizar"",""-"")))"),"-")</f>
        <v>-</v>
      </c>
      <c r="V68" s="4" t="str">
        <f>IFERROR(__xludf.DUMMYFUNCTION("IF(OR($U68="""",COUNTIF($I:$I,IFERROR(unique(filter(Prod_Prop!$H:$H,Prod_Prop!$G:$G=$U68,Prod_Prop!$E:$E=V$1)),""Check""))=0),"""",IFERROR(unique(filter(Prod_Prop!$H:$H,Prod_Prop!$G:$G=$U68,Prod_Prop!$E:$E=V$1)),""""))"),"")</f>
        <v/>
      </c>
      <c r="W68" s="4" t="str">
        <f>IF(V68="","",SUMIFS(Prod_Prop!$J:$J,Prod_Prop!$B:$B,$Q68,Prod_Prop!$H:$H,V68,Prod_Prop!$I:$I,W$1)*IF(V68="Peso",$R68,1))</f>
        <v/>
      </c>
      <c r="X68" s="4" t="str">
        <f>IF(V68="","",SUMIFS(Prod_Prop!$J:$J,Prod_Prop!$B:$B,$Q68,Prod_Prop!$H:$H,V68,Prod_Prop!$I:$I,X$1)*IF(V68="Peso",$R68,1))</f>
        <v/>
      </c>
      <c r="Y68" s="4" t="str">
        <f>IFERROR(__xludf.DUMMYFUNCTION("IF(OR($U68="""",COUNTIF($I:$I,IFERROR(unique(filter(Prod_Prop!$H:$H,Prod_Prop!$G:$G=$U68,Prod_Prop!$E:$E=Y$1)),""Check""))=0),"""",IFERROR(unique(filter(Prod_Prop!$H:$H,Prod_Prop!$G:$G=$U68,Prod_Prop!$E:$E=Y$1)),""""))"),"")</f>
        <v/>
      </c>
      <c r="Z68" s="4" t="str">
        <f>IF(Y68="","",SUMIFS(Prod_Prop!$J:$J,Prod_Prop!$B:$B,$Q68,Prod_Prop!$H:$H,Y68,Prod_Prop!$I:$I,Z$1)*IF(Y68="Peso",$R68,1))</f>
        <v/>
      </c>
      <c r="AA68" s="4" t="str">
        <f>IF(Y68="","",SUMIFS(Prod_Prop!$J:$J,Prod_Prop!$B:$B,$Q68,Prod_Prop!$H:$H,Y68,Prod_Prop!$I:$I,AA$1)*IF(Y68="Peso",$R68,1))</f>
        <v/>
      </c>
      <c r="AB68" s="4" t="str">
        <f>IFERROR(__xludf.DUMMYFUNCTION("IF(OR($U68="""",COUNTIF($I:$I,IFERROR(unique(filter(Prod_Prop!$H:$H,Prod_Prop!$G:$G=$U68,Prod_Prop!$E:$E=AB$1)),""Check""))=0),"""",IFERROR(unique(filter(Prod_Prop!$H:$H,Prod_Prop!$G:$G=$U68,Prod_Prop!$E:$E=AB$1)),""""))"),"")</f>
        <v/>
      </c>
      <c r="AC68" s="4" t="str">
        <f>IF(AB68="","",SUMIFS(Prod_Prop!$J:$J,Prod_Prop!$B:$B,$Q68,Prod_Prop!$H:$H,AB68,Prod_Prop!$I:$I,AC$1)*IF(AB68="Peso",$R68,1))</f>
        <v/>
      </c>
      <c r="AD68" s="4" t="str">
        <f>IF(AB68="","",SUMIFS(Prod_Prop!$J:$J,Prod_Prop!$B:$B,$Q68,Prod_Prop!$H:$H,AB68,Prod_Prop!$I:$I,AD$1)*IF(AB68="Peso",$R68,1))</f>
        <v/>
      </c>
    </row>
    <row r="69">
      <c r="A69" s="4" t="str">
        <f t="array" ref="A69">IF(COUNTIF(A$1:A68,Cotizador!F$2)=maxifs(Familias!E:E,Familias!D:D,Cotizador!F$2),IF(COUNTIF(A$1:A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" s="4" t="str">
        <f t="shared" si="1"/>
        <v/>
      </c>
      <c r="C69" s="4" t="str">
        <f t="array" ref="C69">IF(B69="","",IF(A69=XLOOKUP(A$2,Implementos!B:B,Implementos!C:C,"",0,1),B69+maxifs(B$1:B68,A$1:A68,A$2),B69))</f>
        <v/>
      </c>
      <c r="D69" s="4" t="str">
        <f>IF(B69="","", COUNTIFS(Productos!F:F,A69,Productos!H:H,B69)+IF(F69="SI",0,1))</f>
        <v/>
      </c>
      <c r="E69" s="4" t="str">
        <f>IFERROR(__xludf.DUMMYFUNCTION("IF($B69="""","""",INDEX(filter(Familias!F:F,Familias!$D:$D=$A69,Familias!$E:$E=$B69),1))"),"")</f>
        <v/>
      </c>
      <c r="F69" s="4" t="str">
        <f>IFERROR(__xludf.DUMMYFUNCTION("IF($B69="""","""",INDEX(filter(Familias!G:G,Familias!$D:$D=$A69,Familias!$E:$E=$B69),1))"),"")</f>
        <v/>
      </c>
      <c r="G69" s="4" t="str">
        <f t="array" ref="G69">IF(C69=1,XLOOKUP(C69,Cotizador!D:D,Cotizador!E:E,"",0,1),"")</f>
        <v/>
      </c>
      <c r="I69" s="4"/>
      <c r="J69" s="8" t="str">
        <f>IF(I69="","",SUMIF(Cotizador!I$1:V$1,I69,Cotizador!I$2:V$2))</f>
        <v/>
      </c>
      <c r="L69" s="4" t="str">
        <f t="array" ref="L69">IF(COUNTIF(L$1:L68,A$2)=SUMIF(A:A,A$2,D:D),IF(COUNTIF(L$1:L68,XLOOKUP(A$2,Implementos!B:B,Implementos!C:C,"",0,1))=SUMIF(A:A,XLOOKUP(A$2,Implementos!B:B,Implementos!C:C,"",0,1),D:D),"",XLOOKUP(A$2,Implementos!B:B,Implementos!C:C,"",0,1)),A$2)</f>
        <v>Rodados</v>
      </c>
      <c r="M69" s="4">
        <f t="shared" si="2"/>
        <v>68</v>
      </c>
      <c r="N69" s="4">
        <f t="shared" si="3"/>
        <v>1</v>
      </c>
      <c r="O69" s="4">
        <f t="shared" si="4"/>
        <v>5</v>
      </c>
      <c r="P69" s="4">
        <f t="shared" si="5"/>
        <v>1</v>
      </c>
      <c r="Q69" s="4">
        <f>IF(U69="","",SUMIF(Productos!E:E,U69,Productos!A:A))</f>
        <v>110</v>
      </c>
      <c r="R69" s="4">
        <f t="array" ref="R69">IF(L69="","", max(1,SUMIF(I:I,XLOOKUP(U69,Productos!E:E,Productos!G:G,"",0,1),J:J)))</f>
        <v>1</v>
      </c>
      <c r="S69" s="4" t="str">
        <f>IF(Q69="","",IF(SUMIFS(Compat_Vetado!D:D,Compat_Vetado!B:B,SUM(G:G),Compat_Vetado!C:C,Q69)=1,"SI",IF(OR(SUMIF(Cotizador!E:E,Q69,Cotizador!G:G)&gt;0,SUMIFS(Compat_Vetado!D:D,Compat_Vetado!B:B,SUM(G:G),Compat_Vetado!C:C,Q69)=-1),"NO","")))</f>
        <v/>
      </c>
      <c r="T69" s="4" t="str">
        <f t="shared" si="6"/>
        <v/>
      </c>
      <c r="U69" s="4" t="str">
        <f>IFERROR(__xludf.DUMMYFUNCTION("IF(P69="""","""",IFERROR(INDEX(filter(Productos!E:E,Productos!F:F=L69,Productos!H:H=N69),P69),IF(M69=SUM(D:D),""Finalizar"",""-"")))"),"Llanta 16"" Simple Agrícola Centro 92")</f>
        <v>Llanta 16" Simple Agrícola Centro 92</v>
      </c>
      <c r="V69" s="4" t="str">
        <f>IFERROR(__xludf.DUMMYFUNCTION("IF(OR($U69="""",COUNTIF($I:$I,IFERROR(unique(filter(Prod_Prop!$H:$H,Prod_Prop!$G:$G=$U69,Prod_Prop!$E:$E=V$1)),""Check""))=0),"""",IFERROR(unique(filter(Prod_Prop!$H:$H,Prod_Prop!$G:$G=$U69,Prod_Prop!$E:$E=V$1)),""""))"),"Peso")</f>
        <v>Peso</v>
      </c>
      <c r="W69" s="4">
        <f>IF(V69="","",SUMIFS(Prod_Prop!$J:$J,Prod_Prop!$B:$B,$Q69,Prod_Prop!$H:$H,V69,Prod_Prop!$I:$I,W$1)*IF(V69="Peso",$R69,1))</f>
        <v>160</v>
      </c>
      <c r="X69" s="4">
        <f>IF(V69="","",SUMIFS(Prod_Prop!$J:$J,Prod_Prop!$B:$B,$Q69,Prod_Prop!$H:$H,V69,Prod_Prop!$I:$I,X$1)*IF(V69="Peso",$R69,1))</f>
        <v>400</v>
      </c>
      <c r="Y69" s="4" t="str">
        <f>IFERROR(__xludf.DUMMYFUNCTION("IF(OR($U69="""",COUNTIF($I:$I,IFERROR(unique(filter(Prod_Prop!$H:$H,Prod_Prop!$G:$G=$U69,Prod_Prop!$E:$E=Y$1)),""Check""))=0),"""",IFERROR(unique(filter(Prod_Prop!$H:$H,Prod_Prop!$G:$G=$U69,Prod_Prop!$E:$E=Y$1)),""""))"),"")</f>
        <v/>
      </c>
      <c r="Z69" s="4" t="str">
        <f>IF(Y69="","",SUMIFS(Prod_Prop!$J:$J,Prod_Prop!$B:$B,$Q69,Prod_Prop!$H:$H,Y69,Prod_Prop!$I:$I,Z$1)*IF(Y69="Peso",$R69,1))</f>
        <v/>
      </c>
      <c r="AA69" s="4" t="str">
        <f>IF(Y69="","",SUMIFS(Prod_Prop!$J:$J,Prod_Prop!$B:$B,$Q69,Prod_Prop!$H:$H,Y69,Prod_Prop!$I:$I,AA$1)*IF(Y69="Peso",$R69,1))</f>
        <v/>
      </c>
      <c r="AB69" s="4" t="str">
        <f>IFERROR(__xludf.DUMMYFUNCTION("IF(OR($U69="""",COUNTIF($I:$I,IFERROR(unique(filter(Prod_Prop!$H:$H,Prod_Prop!$G:$G=$U69,Prod_Prop!$E:$E=AB$1)),""Check""))=0),"""",IFERROR(unique(filter(Prod_Prop!$H:$H,Prod_Prop!$G:$G=$U69,Prod_Prop!$E:$E=AB$1)),""""))"),"")</f>
        <v/>
      </c>
      <c r="AC69" s="4" t="str">
        <f>IF(AB69="","",SUMIFS(Prod_Prop!$J:$J,Prod_Prop!$B:$B,$Q69,Prod_Prop!$H:$H,AB69,Prod_Prop!$I:$I,AC$1)*IF(AB69="Peso",$R69,1))</f>
        <v/>
      </c>
      <c r="AD69" s="4" t="str">
        <f>IF(AB69="","",SUMIFS(Prod_Prop!$J:$J,Prod_Prop!$B:$B,$Q69,Prod_Prop!$H:$H,AB69,Prod_Prop!$I:$I,AD$1)*IF(AB69="Peso",$R69,1))</f>
        <v/>
      </c>
    </row>
    <row r="70">
      <c r="A70" s="4" t="str">
        <f t="array" ref="A70">IF(COUNTIF(A$1:A69,Cotizador!F$2)=maxifs(Familias!E:E,Familias!D:D,Cotizador!F$2),IF(COUNTIF(A$1:A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" s="4" t="str">
        <f t="shared" si="1"/>
        <v/>
      </c>
      <c r="C70" s="4" t="str">
        <f t="array" ref="C70">IF(B70="","",IF(A70=XLOOKUP(A$2,Implementos!B:B,Implementos!C:C,"",0,1),B70+maxifs(B$1:B69,A$1:A69,A$2),B70))</f>
        <v/>
      </c>
      <c r="D70" s="4" t="str">
        <f>IF(B70="","", COUNTIFS(Productos!F:F,A70,Productos!H:H,B70)+IF(F70="SI",0,1))</f>
        <v/>
      </c>
      <c r="E70" s="4" t="str">
        <f>IFERROR(__xludf.DUMMYFUNCTION("IF($B70="""","""",INDEX(filter(Familias!F:F,Familias!$D:$D=$A70,Familias!$E:$E=$B70),1))"),"")</f>
        <v/>
      </c>
      <c r="F70" s="4" t="str">
        <f>IFERROR(__xludf.DUMMYFUNCTION("IF($B70="""","""",INDEX(filter(Familias!G:G,Familias!$D:$D=$A70,Familias!$E:$E=$B70),1))"),"")</f>
        <v/>
      </c>
      <c r="G70" s="4" t="str">
        <f t="array" ref="G70">IF(C70=1,XLOOKUP(C70,Cotizador!D:D,Cotizador!E:E,"",0,1),"")</f>
        <v/>
      </c>
      <c r="I70" s="4"/>
      <c r="J70" s="8" t="str">
        <f>IF(I70="","",SUMIF(Cotizador!I$1:V$1,I70,Cotizador!I$2:V$2))</f>
        <v/>
      </c>
      <c r="L70" s="4" t="str">
        <f t="array" ref="L70">IF(COUNTIF(L$1:L69,A$2)=SUMIF(A:A,A$2,D:D),IF(COUNTIF(L$1:L69,XLOOKUP(A$2,Implementos!B:B,Implementos!C:C,"",0,1))=SUMIF(A:A,XLOOKUP(A$2,Implementos!B:B,Implementos!C:C,"",0,1),D:D),"",XLOOKUP(A$2,Implementos!B:B,Implementos!C:C,"",0,1)),A$2)</f>
        <v>Rodados</v>
      </c>
      <c r="M70" s="4">
        <f t="shared" si="2"/>
        <v>69</v>
      </c>
      <c r="N70" s="4">
        <f t="shared" si="3"/>
        <v>1</v>
      </c>
      <c r="O70" s="4">
        <f t="shared" si="4"/>
        <v>5</v>
      </c>
      <c r="P70" s="4">
        <f t="shared" si="5"/>
        <v>2</v>
      </c>
      <c r="Q70" s="4">
        <f>IF(U70="","",SUMIF(Productos!E:E,U70,Productos!A:A))</f>
        <v>111</v>
      </c>
      <c r="R70" s="4">
        <f t="array" ref="R70">IF(L70="","", max(1,SUMIF(I:I,XLOOKUP(U70,Productos!E:E,Productos!G:G,"",0,1),J:J)))</f>
        <v>1</v>
      </c>
      <c r="S70" s="4" t="str">
        <f>IF(Q70="","",IF(SUMIFS(Compat_Vetado!D:D,Compat_Vetado!B:B,SUM(G:G),Compat_Vetado!C:C,Q70)=1,"SI",IF(OR(SUMIF(Cotizador!E:E,Q70,Cotizador!G:G)&gt;0,SUMIFS(Compat_Vetado!D:D,Compat_Vetado!B:B,SUM(G:G),Compat_Vetado!C:C,Q70)=-1),"NO","")))</f>
        <v/>
      </c>
      <c r="T70" s="4" t="str">
        <f t="shared" si="6"/>
        <v/>
      </c>
      <c r="U70" s="4" t="str">
        <f>IFERROR(__xludf.DUMMYFUNCTION("IF(P70="""","""",IFERROR(INDEX(filter(Productos!E:E,Productos!F:F=L70,Productos!H:H=N70),P70),IF(M70=SUM(D:D),""Finalizar"",""-"")))"),"Llanta 16"" Dual Agrícola Centro 92")</f>
        <v>Llanta 16" Dual Agrícola Centro 92</v>
      </c>
      <c r="V70" s="4" t="str">
        <f>IFERROR(__xludf.DUMMYFUNCTION("IF(OR($U70="""",COUNTIF($I:$I,IFERROR(unique(filter(Prod_Prop!$H:$H,Prod_Prop!$G:$G=$U70,Prod_Prop!$E:$E=V$1)),""Check""))=0),"""",IFERROR(unique(filter(Prod_Prop!$H:$H,Prod_Prop!$G:$G=$U70,Prod_Prop!$E:$E=V$1)),""""))"),"Peso")</f>
        <v>Peso</v>
      </c>
      <c r="W70" s="4">
        <f>IF(V70="","",SUMIFS(Prod_Prop!$J:$J,Prod_Prop!$B:$B,$Q70,Prod_Prop!$H:$H,V70,Prod_Prop!$I:$I,W$1)*IF(V70="Peso",$R70,1))</f>
        <v>500</v>
      </c>
      <c r="X70" s="4">
        <f>IF(V70="","",SUMIFS(Prod_Prop!$J:$J,Prod_Prop!$B:$B,$Q70,Prod_Prop!$H:$H,V70,Prod_Prop!$I:$I,X$1)*IF(V70="Peso",$R70,1))</f>
        <v>1250</v>
      </c>
      <c r="Y70" s="4" t="str">
        <f>IFERROR(__xludf.DUMMYFUNCTION("IF(OR($U70="""",COUNTIF($I:$I,IFERROR(unique(filter(Prod_Prop!$H:$H,Prod_Prop!$G:$G=$U70,Prod_Prop!$E:$E=Y$1)),""Check""))=0),"""",IFERROR(unique(filter(Prod_Prop!$H:$H,Prod_Prop!$G:$G=$U70,Prod_Prop!$E:$E=Y$1)),""""))"),"")</f>
        <v/>
      </c>
      <c r="Z70" s="4" t="str">
        <f>IF(Y70="","",SUMIFS(Prod_Prop!$J:$J,Prod_Prop!$B:$B,$Q70,Prod_Prop!$H:$H,Y70,Prod_Prop!$I:$I,Z$1)*IF(Y70="Peso",$R70,1))</f>
        <v/>
      </c>
      <c r="AA70" s="4" t="str">
        <f>IF(Y70="","",SUMIFS(Prod_Prop!$J:$J,Prod_Prop!$B:$B,$Q70,Prod_Prop!$H:$H,Y70,Prod_Prop!$I:$I,AA$1)*IF(Y70="Peso",$R70,1))</f>
        <v/>
      </c>
      <c r="AB70" s="4" t="str">
        <f>IFERROR(__xludf.DUMMYFUNCTION("IF(OR($U70="""",COUNTIF($I:$I,IFERROR(unique(filter(Prod_Prop!$H:$H,Prod_Prop!$G:$G=$U70,Prod_Prop!$E:$E=AB$1)),""Check""))=0),"""",IFERROR(unique(filter(Prod_Prop!$H:$H,Prod_Prop!$G:$G=$U70,Prod_Prop!$E:$E=AB$1)),""""))"),"")</f>
        <v/>
      </c>
      <c r="AC70" s="4" t="str">
        <f>IF(AB70="","",SUMIFS(Prod_Prop!$J:$J,Prod_Prop!$B:$B,$Q70,Prod_Prop!$H:$H,AB70,Prod_Prop!$I:$I,AC$1)*IF(AB70="Peso",$R70,1))</f>
        <v/>
      </c>
      <c r="AD70" s="4" t="str">
        <f>IF(AB70="","",SUMIFS(Prod_Prop!$J:$J,Prod_Prop!$B:$B,$Q70,Prod_Prop!$H:$H,AB70,Prod_Prop!$I:$I,AD$1)*IF(AB70="Peso",$R70,1))</f>
        <v/>
      </c>
    </row>
    <row r="71">
      <c r="A71" s="4" t="str">
        <f t="array" ref="A71">IF(COUNTIF(A$1:A70,Cotizador!F$2)=maxifs(Familias!E:E,Familias!D:D,Cotizador!F$2),IF(COUNTIF(A$1:A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" s="4" t="str">
        <f t="shared" si="1"/>
        <v/>
      </c>
      <c r="C71" s="4" t="str">
        <f t="array" ref="C71">IF(B71="","",IF(A71=XLOOKUP(A$2,Implementos!B:B,Implementos!C:C,"",0,1),B71+maxifs(B$1:B70,A$1:A70,A$2),B71))</f>
        <v/>
      </c>
      <c r="D71" s="4" t="str">
        <f>IF(B71="","", COUNTIFS(Productos!F:F,A71,Productos!H:H,B71)+IF(F71="SI",0,1))</f>
        <v/>
      </c>
      <c r="E71" s="4" t="str">
        <f>IFERROR(__xludf.DUMMYFUNCTION("IF($B71="""","""",INDEX(filter(Familias!F:F,Familias!$D:$D=$A71,Familias!$E:$E=$B71),1))"),"")</f>
        <v/>
      </c>
      <c r="F71" s="4" t="str">
        <f>IFERROR(__xludf.DUMMYFUNCTION("IF($B71="""","""",INDEX(filter(Familias!G:G,Familias!$D:$D=$A71,Familias!$E:$E=$B71),1))"),"")</f>
        <v/>
      </c>
      <c r="G71" s="4" t="str">
        <f t="array" ref="G71">IF(C71=1,XLOOKUP(C71,Cotizador!D:D,Cotizador!E:E,"",0,1),"")</f>
        <v/>
      </c>
      <c r="I71" s="4"/>
      <c r="J71" s="8" t="str">
        <f>IF(I71="","",SUMIF(Cotizador!I$1:V$1,I71,Cotizador!I$2:V$2))</f>
        <v/>
      </c>
      <c r="L71" s="4" t="str">
        <f t="array" ref="L71">IF(COUNTIF(L$1:L70,A$2)=SUMIF(A:A,A$2,D:D),IF(COUNTIF(L$1:L70,XLOOKUP(A$2,Implementos!B:B,Implementos!C:C,"",0,1))=SUMIF(A:A,XLOOKUP(A$2,Implementos!B:B,Implementos!C:C,"",0,1),D:D),"",XLOOKUP(A$2,Implementos!B:B,Implementos!C:C,"",0,1)),A$2)</f>
        <v>Rodados</v>
      </c>
      <c r="M71" s="4">
        <f t="shared" si="2"/>
        <v>70</v>
      </c>
      <c r="N71" s="4">
        <f t="shared" si="3"/>
        <v>1</v>
      </c>
      <c r="O71" s="4">
        <f t="shared" si="4"/>
        <v>5</v>
      </c>
      <c r="P71" s="4">
        <f t="shared" si="5"/>
        <v>3</v>
      </c>
      <c r="Q71" s="4">
        <f>IF(U71="","",SUMIF(Productos!E:E,U71,Productos!A:A))</f>
        <v>112</v>
      </c>
      <c r="R71" s="4">
        <f t="array" ref="R71">IF(L71="","", max(1,SUMIF(I:I,XLOOKUP(U71,Productos!E:E,Productos!G:G,"",0,1),J:J)))</f>
        <v>1</v>
      </c>
      <c r="S71" s="4" t="str">
        <f>IF(Q71="","",IF(SUMIFS(Compat_Vetado!D:D,Compat_Vetado!B:B,SUM(G:G),Compat_Vetado!C:C,Q71)=1,"SI",IF(OR(SUMIF(Cotizador!E:E,Q71,Cotizador!G:G)&gt;0,SUMIFS(Compat_Vetado!D:D,Compat_Vetado!B:B,SUM(G:G),Compat_Vetado!C:C,Q71)=-1),"NO","")))</f>
        <v/>
      </c>
      <c r="T71" s="4" t="str">
        <f t="shared" si="6"/>
        <v/>
      </c>
      <c r="U71" s="4" t="str">
        <f>IFERROR(__xludf.DUMMYFUNCTION("IF(P71="""","""",IFERROR(INDEX(filter(Productos!E:E,Productos!F:F=L71,Productos!H:H=N71),P71),IF(M71=SUM(D:D),""Finalizar"",""-"")))"),"Llanta 17"" Simple Agrícola Centro 92")</f>
        <v>Llanta 17" Simple Agrícola Centro 92</v>
      </c>
      <c r="V71" s="4" t="str">
        <f>IFERROR(__xludf.DUMMYFUNCTION("IF(OR($U71="""",COUNTIF($I:$I,IFERROR(unique(filter(Prod_Prop!$H:$H,Prod_Prop!$G:$G=$U71,Prod_Prop!$E:$E=V$1)),""Check""))=0),"""",IFERROR(unique(filter(Prod_Prop!$H:$H,Prod_Prop!$G:$G=$U71,Prod_Prop!$E:$E=V$1)),""""))"),"Peso")</f>
        <v>Peso</v>
      </c>
      <c r="W71" s="4">
        <f>IF(V71="","",SUMIFS(Prod_Prop!$J:$J,Prod_Prop!$B:$B,$Q71,Prod_Prop!$H:$H,V71,Prod_Prop!$I:$I,W$1)*IF(V71="Peso",$R71,1))</f>
        <v>240</v>
      </c>
      <c r="X71" s="4">
        <f>IF(V71="","",SUMIFS(Prod_Prop!$J:$J,Prod_Prop!$B:$B,$Q71,Prod_Prop!$H:$H,V71,Prod_Prop!$I:$I,X$1)*IF(V71="Peso",$R71,1))</f>
        <v>900</v>
      </c>
      <c r="Y71" s="4" t="str">
        <f>IFERROR(__xludf.DUMMYFUNCTION("IF(OR($U71="""",COUNTIF($I:$I,IFERROR(unique(filter(Prod_Prop!$H:$H,Prod_Prop!$G:$G=$U71,Prod_Prop!$E:$E=Y$1)),""Check""))=0),"""",IFERROR(unique(filter(Prod_Prop!$H:$H,Prod_Prop!$G:$G=$U71,Prod_Prop!$E:$E=Y$1)),""""))"),"")</f>
        <v/>
      </c>
      <c r="Z71" s="4" t="str">
        <f>IF(Y71="","",SUMIFS(Prod_Prop!$J:$J,Prod_Prop!$B:$B,$Q71,Prod_Prop!$H:$H,Y71,Prod_Prop!$I:$I,Z$1)*IF(Y71="Peso",$R71,1))</f>
        <v/>
      </c>
      <c r="AA71" s="4" t="str">
        <f>IF(Y71="","",SUMIFS(Prod_Prop!$J:$J,Prod_Prop!$B:$B,$Q71,Prod_Prop!$H:$H,Y71,Prod_Prop!$I:$I,AA$1)*IF(Y71="Peso",$R71,1))</f>
        <v/>
      </c>
      <c r="AB71" s="4" t="str">
        <f>IFERROR(__xludf.DUMMYFUNCTION("IF(OR($U71="""",COUNTIF($I:$I,IFERROR(unique(filter(Prod_Prop!$H:$H,Prod_Prop!$G:$G=$U71,Prod_Prop!$E:$E=AB$1)),""Check""))=0),"""",IFERROR(unique(filter(Prod_Prop!$H:$H,Prod_Prop!$G:$G=$U71,Prod_Prop!$E:$E=AB$1)),""""))"),"")</f>
        <v/>
      </c>
      <c r="AC71" s="4" t="str">
        <f>IF(AB71="","",SUMIFS(Prod_Prop!$J:$J,Prod_Prop!$B:$B,$Q71,Prod_Prop!$H:$H,AB71,Prod_Prop!$I:$I,AC$1)*IF(AB71="Peso",$R71,1))</f>
        <v/>
      </c>
      <c r="AD71" s="4" t="str">
        <f>IF(AB71="","",SUMIFS(Prod_Prop!$J:$J,Prod_Prop!$B:$B,$Q71,Prod_Prop!$H:$H,AB71,Prod_Prop!$I:$I,AD$1)*IF(AB71="Peso",$R71,1))</f>
        <v/>
      </c>
    </row>
    <row r="72">
      <c r="A72" s="4" t="str">
        <f t="array" ref="A72">IF(COUNTIF(A$1:A71,Cotizador!F$2)=maxifs(Familias!E:E,Familias!D:D,Cotizador!F$2),IF(COUNTIF(A$1:A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" s="4" t="str">
        <f t="shared" si="1"/>
        <v/>
      </c>
      <c r="C72" s="4" t="str">
        <f t="array" ref="C72">IF(B72="","",IF(A72=XLOOKUP(A$2,Implementos!B:B,Implementos!C:C,"",0,1),B72+maxifs(B$1:B71,A$1:A71,A$2),B72))</f>
        <v/>
      </c>
      <c r="D72" s="4" t="str">
        <f>IF(B72="","", COUNTIFS(Productos!F:F,A72,Productos!H:H,B72)+IF(F72="SI",0,1))</f>
        <v/>
      </c>
      <c r="E72" s="4" t="str">
        <f>IFERROR(__xludf.DUMMYFUNCTION("IF($B72="""","""",INDEX(filter(Familias!F:F,Familias!$D:$D=$A72,Familias!$E:$E=$B72),1))"),"")</f>
        <v/>
      </c>
      <c r="F72" s="4" t="str">
        <f>IFERROR(__xludf.DUMMYFUNCTION("IF($B72="""","""",INDEX(filter(Familias!G:G,Familias!$D:$D=$A72,Familias!$E:$E=$B72),1))"),"")</f>
        <v/>
      </c>
      <c r="G72" s="4" t="str">
        <f t="array" ref="G72">IF(C72=1,XLOOKUP(C72,Cotizador!D:D,Cotizador!E:E,"",0,1),"")</f>
        <v/>
      </c>
      <c r="I72" s="4"/>
      <c r="J72" s="8" t="str">
        <f>IF(I72="","",SUMIF(Cotizador!I$1:V$1,I72,Cotizador!I$2:V$2))</f>
        <v/>
      </c>
      <c r="L72" s="4" t="str">
        <f t="array" ref="L72">IF(COUNTIF(L$1:L71,A$2)=SUMIF(A:A,A$2,D:D),IF(COUNTIF(L$1:L71,XLOOKUP(A$2,Implementos!B:B,Implementos!C:C,"",0,1))=SUMIF(A:A,XLOOKUP(A$2,Implementos!B:B,Implementos!C:C,"",0,1),D:D),"",XLOOKUP(A$2,Implementos!B:B,Implementos!C:C,"",0,1)),A$2)</f>
        <v>Rodados</v>
      </c>
      <c r="M72" s="4">
        <f t="shared" si="2"/>
        <v>71</v>
      </c>
      <c r="N72" s="4">
        <f t="shared" si="3"/>
        <v>1</v>
      </c>
      <c r="O72" s="4">
        <f t="shared" si="4"/>
        <v>5</v>
      </c>
      <c r="P72" s="4">
        <f t="shared" si="5"/>
        <v>4</v>
      </c>
      <c r="Q72" s="4">
        <f>IF(U72="","",SUMIF(Productos!E:E,U72,Productos!A:A))</f>
        <v>113</v>
      </c>
      <c r="R72" s="4">
        <f t="array" ref="R72">IF(L72="","", max(1,SUMIF(I:I,XLOOKUP(U72,Productos!E:E,Productos!G:G,"",0,1),J:J)))</f>
        <v>1</v>
      </c>
      <c r="S72" s="4" t="str">
        <f>IF(Q72="","",IF(SUMIFS(Compat_Vetado!D:D,Compat_Vetado!B:B,SUM(G:G),Compat_Vetado!C:C,Q72)=1,"SI",IF(OR(SUMIF(Cotizador!E:E,Q72,Cotizador!G:G)&gt;0,SUMIFS(Compat_Vetado!D:D,Compat_Vetado!B:B,SUM(G:G),Compat_Vetado!C:C,Q72)=-1),"NO","")))</f>
        <v/>
      </c>
      <c r="T72" s="4" t="str">
        <f t="shared" si="6"/>
        <v/>
      </c>
      <c r="U72" s="4" t="str">
        <f>IFERROR(__xludf.DUMMYFUNCTION("IF(P72="""","""",IFERROR(INDEX(filter(Productos!E:E,Productos!F:F=L72,Productos!H:H=N72),P72),IF(M72=SUM(D:D),""Finalizar"",""-"")))"),"Llanta 17"" Dual Agrícola Centro 92")</f>
        <v>Llanta 17" Dual Agrícola Centro 92</v>
      </c>
      <c r="V72" s="4" t="str">
        <f>IFERROR(__xludf.DUMMYFUNCTION("IF(OR($U72="""",COUNTIF($I:$I,IFERROR(unique(filter(Prod_Prop!$H:$H,Prod_Prop!$G:$G=$U72,Prod_Prop!$E:$E=V$1)),""Check""))=0),"""",IFERROR(unique(filter(Prod_Prop!$H:$H,Prod_Prop!$G:$G=$U72,Prod_Prop!$E:$E=V$1)),""""))"),"Peso")</f>
        <v>Peso</v>
      </c>
      <c r="W72" s="4">
        <f>IF(V72="","",SUMIFS(Prod_Prop!$J:$J,Prod_Prop!$B:$B,$Q72,Prod_Prop!$H:$H,V72,Prod_Prop!$I:$I,W$1)*IF(V72="Peso",$R72,1))</f>
        <v>560</v>
      </c>
      <c r="X72" s="4">
        <f>IF(V72="","",SUMIFS(Prod_Prop!$J:$J,Prod_Prop!$B:$B,$Q72,Prod_Prop!$H:$H,V72,Prod_Prop!$I:$I,X$1)*IF(V72="Peso",$R72,1))</f>
        <v>1400</v>
      </c>
      <c r="Y72" s="4" t="str">
        <f>IFERROR(__xludf.DUMMYFUNCTION("IF(OR($U72="""",COUNTIF($I:$I,IFERROR(unique(filter(Prod_Prop!$H:$H,Prod_Prop!$G:$G=$U72,Prod_Prop!$E:$E=Y$1)),""Check""))=0),"""",IFERROR(unique(filter(Prod_Prop!$H:$H,Prod_Prop!$G:$G=$U72,Prod_Prop!$E:$E=Y$1)),""""))"),"")</f>
        <v/>
      </c>
      <c r="Z72" s="4" t="str">
        <f>IF(Y72="","",SUMIFS(Prod_Prop!$J:$J,Prod_Prop!$B:$B,$Q72,Prod_Prop!$H:$H,Y72,Prod_Prop!$I:$I,Z$1)*IF(Y72="Peso",$R72,1))</f>
        <v/>
      </c>
      <c r="AA72" s="4" t="str">
        <f>IF(Y72="","",SUMIFS(Prod_Prop!$J:$J,Prod_Prop!$B:$B,$Q72,Prod_Prop!$H:$H,Y72,Prod_Prop!$I:$I,AA$1)*IF(Y72="Peso",$R72,1))</f>
        <v/>
      </c>
      <c r="AB72" s="4" t="str">
        <f>IFERROR(__xludf.DUMMYFUNCTION("IF(OR($U72="""",COUNTIF($I:$I,IFERROR(unique(filter(Prod_Prop!$H:$H,Prod_Prop!$G:$G=$U72,Prod_Prop!$E:$E=AB$1)),""Check""))=0),"""",IFERROR(unique(filter(Prod_Prop!$H:$H,Prod_Prop!$G:$G=$U72,Prod_Prop!$E:$E=AB$1)),""""))"),"")</f>
        <v/>
      </c>
      <c r="AC72" s="4" t="str">
        <f>IF(AB72="","",SUMIFS(Prod_Prop!$J:$J,Prod_Prop!$B:$B,$Q72,Prod_Prop!$H:$H,AB72,Prod_Prop!$I:$I,AC$1)*IF(AB72="Peso",$R72,1))</f>
        <v/>
      </c>
      <c r="AD72" s="4" t="str">
        <f>IF(AB72="","",SUMIFS(Prod_Prop!$J:$J,Prod_Prop!$B:$B,$Q72,Prod_Prop!$H:$H,AB72,Prod_Prop!$I:$I,AD$1)*IF(AB72="Peso",$R72,1))</f>
        <v/>
      </c>
    </row>
    <row r="73">
      <c r="A73" s="4" t="str">
        <f t="array" ref="A73">IF(COUNTIF(A$1:A72,Cotizador!F$2)=maxifs(Familias!E:E,Familias!D:D,Cotizador!F$2),IF(COUNTIF(A$1:A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" s="4" t="str">
        <f t="shared" si="1"/>
        <v/>
      </c>
      <c r="C73" s="4" t="str">
        <f t="array" ref="C73">IF(B73="","",IF(A73=XLOOKUP(A$2,Implementos!B:B,Implementos!C:C,"",0,1),B73+maxifs(B$1:B72,A$1:A72,A$2),B73))</f>
        <v/>
      </c>
      <c r="D73" s="4" t="str">
        <f>IF(B73="","", COUNTIFS(Productos!F:F,A73,Productos!H:H,B73)+IF(F73="SI",0,1))</f>
        <v/>
      </c>
      <c r="E73" s="4" t="str">
        <f>IFERROR(__xludf.DUMMYFUNCTION("IF($B73="""","""",INDEX(filter(Familias!F:F,Familias!$D:$D=$A73,Familias!$E:$E=$B73),1))"),"")</f>
        <v/>
      </c>
      <c r="F73" s="4" t="str">
        <f>IFERROR(__xludf.DUMMYFUNCTION("IF($B73="""","""",INDEX(filter(Familias!G:G,Familias!$D:$D=$A73,Familias!$E:$E=$B73),1))"),"")</f>
        <v/>
      </c>
      <c r="G73" s="4" t="str">
        <f t="array" ref="G73">IF(C73=1,XLOOKUP(C73,Cotizador!D:D,Cotizador!E:E,"",0,1),"")</f>
        <v/>
      </c>
      <c r="I73" s="4"/>
      <c r="J73" s="8" t="str">
        <f>IF(I73="","",SUMIF(Cotizador!I$1:V$1,I73,Cotizador!I$2:V$2))</f>
        <v/>
      </c>
      <c r="L73" s="4" t="str">
        <f t="array" ref="L73">IF(COUNTIF(L$1:L72,A$2)=SUMIF(A:A,A$2,D:D),IF(COUNTIF(L$1:L72,XLOOKUP(A$2,Implementos!B:B,Implementos!C:C,"",0,1))=SUMIF(A:A,XLOOKUP(A$2,Implementos!B:B,Implementos!C:C,"",0,1),D:D),"",XLOOKUP(A$2,Implementos!B:B,Implementos!C:C,"",0,1)),A$2)</f>
        <v>Rodados</v>
      </c>
      <c r="M73" s="4">
        <f t="shared" si="2"/>
        <v>72</v>
      </c>
      <c r="N73" s="4">
        <f t="shared" si="3"/>
        <v>1</v>
      </c>
      <c r="O73" s="4">
        <f t="shared" si="4"/>
        <v>5</v>
      </c>
      <c r="P73" s="4">
        <f t="shared" si="5"/>
        <v>5</v>
      </c>
      <c r="Q73" s="4">
        <f>IF(U73="","",SUMIF(Productos!E:E,U73,Productos!A:A))</f>
        <v>114</v>
      </c>
      <c r="R73" s="4">
        <f t="array" ref="R73">IF(L73="","", max(1,SUMIF(I:I,XLOOKUP(U73,Productos!E:E,Productos!G:G,"",0,1),J:J)))</f>
        <v>1</v>
      </c>
      <c r="S73" s="4" t="str">
        <f>IF(Q73="","",IF(SUMIFS(Compat_Vetado!D:D,Compat_Vetado!B:B,SUM(G:G),Compat_Vetado!C:C,Q73)=1,"SI",IF(OR(SUMIF(Cotizador!E:E,Q73,Cotizador!G:G)&gt;0,SUMIFS(Compat_Vetado!D:D,Compat_Vetado!B:B,SUM(G:G),Compat_Vetado!C:C,Q73)=-1),"NO","")))</f>
        <v/>
      </c>
      <c r="T73" s="4" t="str">
        <f t="shared" si="6"/>
        <v/>
      </c>
      <c r="U73" s="4" t="str">
        <f>IFERROR(__xludf.DUMMYFUNCTION("IF(P73="""","""",IFERROR(INDEX(filter(Productos!E:E,Productos!F:F=L73,Productos!H:H=N73),P73),IF(M73=SUM(D:D),""Finalizar"",""-"")))"),"Llanta 16"" Dual Agrícola Centro 152")</f>
        <v>Llanta 16" Dual Agrícola Centro 152</v>
      </c>
      <c r="V73" s="4" t="str">
        <f>IFERROR(__xludf.DUMMYFUNCTION("IF(OR($U73="""",COUNTIF($I:$I,IFERROR(unique(filter(Prod_Prop!$H:$H,Prod_Prop!$G:$G=$U73,Prod_Prop!$E:$E=V$1)),""Check""))=0),"""",IFERROR(unique(filter(Prod_Prop!$H:$H,Prod_Prop!$G:$G=$U73,Prod_Prop!$E:$E=V$1)),""""))"),"Peso")</f>
        <v>Peso</v>
      </c>
      <c r="W73" s="4">
        <f>IF(V73="","",SUMIFS(Prod_Prop!$J:$J,Prod_Prop!$B:$B,$Q73,Prod_Prop!$H:$H,V73,Prod_Prop!$I:$I,W$1)*IF(V73="Peso",$R73,1))</f>
        <v>540</v>
      </c>
      <c r="X73" s="4">
        <f>IF(V73="","",SUMIFS(Prod_Prop!$J:$J,Prod_Prop!$B:$B,$Q73,Prod_Prop!$H:$H,V73,Prod_Prop!$I:$I,X$1)*IF(V73="Peso",$R73,1))</f>
        <v>1350</v>
      </c>
      <c r="Y73" s="4" t="str">
        <f>IFERROR(__xludf.DUMMYFUNCTION("IF(OR($U73="""",COUNTIF($I:$I,IFERROR(unique(filter(Prod_Prop!$H:$H,Prod_Prop!$G:$G=$U73,Prod_Prop!$E:$E=Y$1)),""Check""))=0),"""",IFERROR(unique(filter(Prod_Prop!$H:$H,Prod_Prop!$G:$G=$U73,Prod_Prop!$E:$E=Y$1)),""""))"),"")</f>
        <v/>
      </c>
      <c r="Z73" s="4" t="str">
        <f>IF(Y73="","",SUMIFS(Prod_Prop!$J:$J,Prod_Prop!$B:$B,$Q73,Prod_Prop!$H:$H,Y73,Prod_Prop!$I:$I,Z$1)*IF(Y73="Peso",$R73,1))</f>
        <v/>
      </c>
      <c r="AA73" s="4" t="str">
        <f>IF(Y73="","",SUMIFS(Prod_Prop!$J:$J,Prod_Prop!$B:$B,$Q73,Prod_Prop!$H:$H,Y73,Prod_Prop!$I:$I,AA$1)*IF(Y73="Peso",$R73,1))</f>
        <v/>
      </c>
      <c r="AB73" s="4" t="str">
        <f>IFERROR(__xludf.DUMMYFUNCTION("IF(OR($U73="""",COUNTIF($I:$I,IFERROR(unique(filter(Prod_Prop!$H:$H,Prod_Prop!$G:$G=$U73,Prod_Prop!$E:$E=AB$1)),""Check""))=0),"""",IFERROR(unique(filter(Prod_Prop!$H:$H,Prod_Prop!$G:$G=$U73,Prod_Prop!$E:$E=AB$1)),""""))"),"")</f>
        <v/>
      </c>
      <c r="AC73" s="4" t="str">
        <f>IF(AB73="","",SUMIFS(Prod_Prop!$J:$J,Prod_Prop!$B:$B,$Q73,Prod_Prop!$H:$H,AB73,Prod_Prop!$I:$I,AC$1)*IF(AB73="Peso",$R73,1))</f>
        <v/>
      </c>
      <c r="AD73" s="4" t="str">
        <f>IF(AB73="","",SUMIFS(Prod_Prop!$J:$J,Prod_Prop!$B:$B,$Q73,Prod_Prop!$H:$H,AB73,Prod_Prop!$I:$I,AD$1)*IF(AB73="Peso",$R73,1))</f>
        <v/>
      </c>
    </row>
    <row r="74">
      <c r="A74" s="4" t="str">
        <f t="array" ref="A74">IF(COUNTIF(A$1:A73,Cotizador!F$2)=maxifs(Familias!E:E,Familias!D:D,Cotizador!F$2),IF(COUNTIF(A$1:A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" s="4" t="str">
        <f t="shared" si="1"/>
        <v/>
      </c>
      <c r="C74" s="4" t="str">
        <f t="array" ref="C74">IF(B74="","",IF(A74=XLOOKUP(A$2,Implementos!B:B,Implementos!C:C,"",0,1),B74+maxifs(B$1:B73,A$1:A73,A$2),B74))</f>
        <v/>
      </c>
      <c r="D74" s="4" t="str">
        <f>IF(B74="","", COUNTIFS(Productos!F:F,A74,Productos!H:H,B74)+IF(F74="SI",0,1))</f>
        <v/>
      </c>
      <c r="E74" s="4" t="str">
        <f>IFERROR(__xludf.DUMMYFUNCTION("IF($B74="""","""",INDEX(filter(Familias!F:F,Familias!$D:$D=$A74,Familias!$E:$E=$B74),1))"),"")</f>
        <v/>
      </c>
      <c r="F74" s="4" t="str">
        <f>IFERROR(__xludf.DUMMYFUNCTION("IF($B74="""","""",INDEX(filter(Familias!G:G,Familias!$D:$D=$A74,Familias!$E:$E=$B74),1))"),"")</f>
        <v/>
      </c>
      <c r="G74" s="4" t="str">
        <f t="array" ref="G74">IF(C74=1,XLOOKUP(C74,Cotizador!D:D,Cotizador!E:E,"",0,1),"")</f>
        <v/>
      </c>
      <c r="I74" s="4"/>
      <c r="J74" s="8" t="str">
        <f>IF(I74="","",SUMIF(Cotizador!I$1:V$1,I74,Cotizador!I$2:V$2))</f>
        <v/>
      </c>
      <c r="L74" s="4" t="str">
        <f t="array" ref="L74">IF(COUNTIF(L$1:L73,A$2)=SUMIF(A:A,A$2,D:D),IF(COUNTIF(L$1:L73,XLOOKUP(A$2,Implementos!B:B,Implementos!C:C,"",0,1))=SUMIF(A:A,XLOOKUP(A$2,Implementos!B:B,Implementos!C:C,"",0,1),D:D),"",XLOOKUP(A$2,Implementos!B:B,Implementos!C:C,"",0,1)),A$2)</f>
        <v>Rodados</v>
      </c>
      <c r="M74" s="4">
        <f t="shared" si="2"/>
        <v>73</v>
      </c>
      <c r="N74" s="4">
        <f t="shared" si="3"/>
        <v>1</v>
      </c>
      <c r="O74" s="4">
        <f t="shared" si="4"/>
        <v>5</v>
      </c>
      <c r="P74" s="4">
        <f t="shared" si="5"/>
        <v>6</v>
      </c>
      <c r="Q74" s="4">
        <f>IF(U74="","",SUMIF(Productos!E:E,U74,Productos!A:A))</f>
        <v>115</v>
      </c>
      <c r="R74" s="4">
        <f t="array" ref="R74">IF(L74="","", max(1,SUMIF(I:I,XLOOKUP(U74,Productos!E:E,Productos!G:G,"",0,1),J:J)))</f>
        <v>1</v>
      </c>
      <c r="S74" s="4" t="str">
        <f>IF(Q74="","",IF(SUMIFS(Compat_Vetado!D:D,Compat_Vetado!B:B,SUM(G:G),Compat_Vetado!C:C,Q74)=1,"SI",IF(OR(SUMIF(Cotizador!E:E,Q74,Cotizador!G:G)&gt;0,SUMIFS(Compat_Vetado!D:D,Compat_Vetado!B:B,SUM(G:G),Compat_Vetado!C:C,Q74)=-1),"NO","")))</f>
        <v/>
      </c>
      <c r="T74" s="4" t="str">
        <f t="shared" si="6"/>
        <v/>
      </c>
      <c r="U74" s="4" t="str">
        <f>IFERROR(__xludf.DUMMYFUNCTION("IF(P74="""","""",IFERROR(INDEX(filter(Productos!E:E,Productos!F:F=L74,Productos!H:H=N74),P74),IF(M74=SUM(D:D),""Finalizar"",""-"")))"),"Llanta 17"" Dual Agrícola Centro 152")</f>
        <v>Llanta 17" Dual Agrícola Centro 152</v>
      </c>
      <c r="V74" s="4" t="str">
        <f>IFERROR(__xludf.DUMMYFUNCTION("IF(OR($U74="""",COUNTIF($I:$I,IFERROR(unique(filter(Prod_Prop!$H:$H,Prod_Prop!$G:$G=$U74,Prod_Prop!$E:$E=V$1)),""Check""))=0),"""",IFERROR(unique(filter(Prod_Prop!$H:$H,Prod_Prop!$G:$G=$U74,Prod_Prop!$E:$E=V$1)),""""))"),"Peso")</f>
        <v>Peso</v>
      </c>
      <c r="W74" s="4">
        <f>IF(V74="","",SUMIFS(Prod_Prop!$J:$J,Prod_Prop!$B:$B,$Q74,Prod_Prop!$H:$H,V74,Prod_Prop!$I:$I,W$1)*IF(V74="Peso",$R74,1))</f>
        <v>660</v>
      </c>
      <c r="X74" s="4">
        <f>IF(V74="","",SUMIFS(Prod_Prop!$J:$J,Prod_Prop!$B:$B,$Q74,Prod_Prop!$H:$H,V74,Prod_Prop!$I:$I,X$1)*IF(V74="Peso",$R74,1))</f>
        <v>1650</v>
      </c>
      <c r="Y74" s="4" t="str">
        <f>IFERROR(__xludf.DUMMYFUNCTION("IF(OR($U74="""",COUNTIF($I:$I,IFERROR(unique(filter(Prod_Prop!$H:$H,Prod_Prop!$G:$G=$U74,Prod_Prop!$E:$E=Y$1)),""Check""))=0),"""",IFERROR(unique(filter(Prod_Prop!$H:$H,Prod_Prop!$G:$G=$U74,Prod_Prop!$E:$E=Y$1)),""""))"),"")</f>
        <v/>
      </c>
      <c r="Z74" s="4" t="str">
        <f>IF(Y74="","",SUMIFS(Prod_Prop!$J:$J,Prod_Prop!$B:$B,$Q74,Prod_Prop!$H:$H,Y74,Prod_Prop!$I:$I,Z$1)*IF(Y74="Peso",$R74,1))</f>
        <v/>
      </c>
      <c r="AA74" s="4" t="str">
        <f>IF(Y74="","",SUMIFS(Prod_Prop!$J:$J,Prod_Prop!$B:$B,$Q74,Prod_Prop!$H:$H,Y74,Prod_Prop!$I:$I,AA$1)*IF(Y74="Peso",$R74,1))</f>
        <v/>
      </c>
      <c r="AB74" s="4" t="str">
        <f>IFERROR(__xludf.DUMMYFUNCTION("IF(OR($U74="""",COUNTIF($I:$I,IFERROR(unique(filter(Prod_Prop!$H:$H,Prod_Prop!$G:$G=$U74,Prod_Prop!$E:$E=AB$1)),""Check""))=0),"""",IFERROR(unique(filter(Prod_Prop!$H:$H,Prod_Prop!$G:$G=$U74,Prod_Prop!$E:$E=AB$1)),""""))"),"")</f>
        <v/>
      </c>
      <c r="AC74" s="4" t="str">
        <f>IF(AB74="","",SUMIFS(Prod_Prop!$J:$J,Prod_Prop!$B:$B,$Q74,Prod_Prop!$H:$H,AB74,Prod_Prop!$I:$I,AC$1)*IF(AB74="Peso",$R74,1))</f>
        <v/>
      </c>
      <c r="AD74" s="4" t="str">
        <f>IF(AB74="","",SUMIFS(Prod_Prop!$J:$J,Prod_Prop!$B:$B,$Q74,Prod_Prop!$H:$H,AB74,Prod_Prop!$I:$I,AD$1)*IF(AB74="Peso",$R74,1))</f>
        <v/>
      </c>
    </row>
    <row r="75">
      <c r="A75" s="4" t="str">
        <f t="array" ref="A75">IF(COUNTIF(A$1:A74,Cotizador!F$2)=maxifs(Familias!E:E,Familias!D:D,Cotizador!F$2),IF(COUNTIF(A$1:A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" s="4" t="str">
        <f t="shared" si="1"/>
        <v/>
      </c>
      <c r="C75" s="4" t="str">
        <f t="array" ref="C75">IF(B75="","",IF(A75=XLOOKUP(A$2,Implementos!B:B,Implementos!C:C,"",0,1),B75+maxifs(B$1:B74,A$1:A74,A$2),B75))</f>
        <v/>
      </c>
      <c r="D75" s="4" t="str">
        <f>IF(B75="","", COUNTIFS(Productos!F:F,A75,Productos!H:H,B75)+IF(F75="SI",0,1))</f>
        <v/>
      </c>
      <c r="E75" s="4" t="str">
        <f>IFERROR(__xludf.DUMMYFUNCTION("IF($B75="""","""",INDEX(filter(Familias!F:F,Familias!$D:$D=$A75,Familias!$E:$E=$B75),1))"),"")</f>
        <v/>
      </c>
      <c r="F75" s="4" t="str">
        <f>IFERROR(__xludf.DUMMYFUNCTION("IF($B75="""","""",INDEX(filter(Familias!G:G,Familias!$D:$D=$A75,Familias!$E:$E=$B75),1))"),"")</f>
        <v/>
      </c>
      <c r="G75" s="4" t="str">
        <f t="array" ref="G75">IF(C75=1,XLOOKUP(C75,Cotizador!D:D,Cotizador!E:E,"",0,1),"")</f>
        <v/>
      </c>
      <c r="I75" s="4"/>
      <c r="J75" s="8" t="str">
        <f>IF(I75="","",SUMIF(Cotizador!I$1:V$1,I75,Cotizador!I$2:V$2))</f>
        <v/>
      </c>
      <c r="L75" s="4" t="str">
        <f t="array" ref="L75">IF(COUNTIF(L$1:L74,A$2)=SUMIF(A:A,A$2,D:D),IF(COUNTIF(L$1:L74,XLOOKUP(A$2,Implementos!B:B,Implementos!C:C,"",0,1))=SUMIF(A:A,XLOOKUP(A$2,Implementos!B:B,Implementos!C:C,"",0,1),D:D),"",XLOOKUP(A$2,Implementos!B:B,Implementos!C:C,"",0,1)),A$2)</f>
        <v>Rodados</v>
      </c>
      <c r="M75" s="4">
        <f t="shared" si="2"/>
        <v>74</v>
      </c>
      <c r="N75" s="4">
        <f t="shared" si="3"/>
        <v>1</v>
      </c>
      <c r="O75" s="4">
        <f t="shared" si="4"/>
        <v>5</v>
      </c>
      <c r="P75" s="4">
        <f t="shared" si="5"/>
        <v>7</v>
      </c>
      <c r="Q75" s="4">
        <f>IF(U75="","",SUMIF(Productos!E:E,U75,Productos!A:A))</f>
        <v>151</v>
      </c>
      <c r="R75" s="4">
        <f t="array" ref="R75">IF(L75="","", max(1,SUMIF(I:I,XLOOKUP(U75,Productos!E:E,Productos!G:G,"",0,1),J:J)))</f>
        <v>1</v>
      </c>
      <c r="S75" s="4" t="str">
        <f>IF(Q75="","",IF(SUMIFS(Compat_Vetado!D:D,Compat_Vetado!B:B,SUM(G:G),Compat_Vetado!C:C,Q75)=1,"SI",IF(OR(SUMIF(Cotizador!E:E,Q75,Cotizador!G:G)&gt;0,SUMIFS(Compat_Vetado!D:D,Compat_Vetado!B:B,SUM(G:G),Compat_Vetado!C:C,Q75)=-1),"NO","")))</f>
        <v/>
      </c>
      <c r="T75" s="4" t="str">
        <f t="shared" si="6"/>
        <v/>
      </c>
      <c r="U75" s="4" t="str">
        <f>IFERROR(__xludf.DUMMYFUNCTION("IF(P75="""","""",IFERROR(INDEX(filter(Productos!E:E,Productos!F:F=L75,Productos!H:H=N75),P75),IF(M75=SUM(D:D),""Finalizar"",""-"")))"),"Llanta simple Agrícola 750x20 centro 152")</f>
        <v>Llanta simple Agrícola 750x20 centro 152</v>
      </c>
      <c r="V75" s="4" t="str">
        <f>IFERROR(__xludf.DUMMYFUNCTION("IF(OR($U75="""",COUNTIF($I:$I,IFERROR(unique(filter(Prod_Prop!$H:$H,Prod_Prop!$G:$G=$U75,Prod_Prop!$E:$E=V$1)),""Check""))=0),"""",IFERROR(unique(filter(Prod_Prop!$H:$H,Prod_Prop!$G:$G=$U75,Prod_Prop!$E:$E=V$1)),""""))"),"Peso")</f>
        <v>Peso</v>
      </c>
      <c r="W75" s="4">
        <f>IF(V75="","",SUMIFS(Prod_Prop!$J:$J,Prod_Prop!$B:$B,$Q75,Prod_Prop!$H:$H,V75,Prod_Prop!$I:$I,W$1)*IF(V75="Peso",$R75,1))</f>
        <v>720</v>
      </c>
      <c r="X75" s="4">
        <f>IF(V75="","",SUMIFS(Prod_Prop!$J:$J,Prod_Prop!$B:$B,$Q75,Prod_Prop!$H:$H,V75,Prod_Prop!$I:$I,X$1)*IF(V75="Peso",$R75,1))</f>
        <v>1800</v>
      </c>
      <c r="Y75" s="4" t="str">
        <f>IFERROR(__xludf.DUMMYFUNCTION("IF(OR($U75="""",COUNTIF($I:$I,IFERROR(unique(filter(Prod_Prop!$H:$H,Prod_Prop!$G:$G=$U75,Prod_Prop!$E:$E=Y$1)),""Check""))=0),"""",IFERROR(unique(filter(Prod_Prop!$H:$H,Prod_Prop!$G:$G=$U75,Prod_Prop!$E:$E=Y$1)),""""))"),"")</f>
        <v/>
      </c>
      <c r="Z75" s="4" t="str">
        <f>IF(Y75="","",SUMIFS(Prod_Prop!$J:$J,Prod_Prop!$B:$B,$Q75,Prod_Prop!$H:$H,Y75,Prod_Prop!$I:$I,Z$1)*IF(Y75="Peso",$R75,1))</f>
        <v/>
      </c>
      <c r="AA75" s="4" t="str">
        <f>IF(Y75="","",SUMIFS(Prod_Prop!$J:$J,Prod_Prop!$B:$B,$Q75,Prod_Prop!$H:$H,Y75,Prod_Prop!$I:$I,AA$1)*IF(Y75="Peso",$R75,1))</f>
        <v/>
      </c>
      <c r="AB75" s="4" t="str">
        <f>IFERROR(__xludf.DUMMYFUNCTION("IF(OR($U75="""",COUNTIF($I:$I,IFERROR(unique(filter(Prod_Prop!$H:$H,Prod_Prop!$G:$G=$U75,Prod_Prop!$E:$E=AB$1)),""Check""))=0),"""",IFERROR(unique(filter(Prod_Prop!$H:$H,Prod_Prop!$G:$G=$U75,Prod_Prop!$E:$E=AB$1)),""""))"),"")</f>
        <v/>
      </c>
      <c r="AC75" s="4" t="str">
        <f>IF(AB75="","",SUMIFS(Prod_Prop!$J:$J,Prod_Prop!$B:$B,$Q75,Prod_Prop!$H:$H,AB75,Prod_Prop!$I:$I,AC$1)*IF(AB75="Peso",$R75,1))</f>
        <v/>
      </c>
      <c r="AD75" s="4" t="str">
        <f>IF(AB75="","",SUMIFS(Prod_Prop!$J:$J,Prod_Prop!$B:$B,$Q75,Prod_Prop!$H:$H,AB75,Prod_Prop!$I:$I,AD$1)*IF(AB75="Peso",$R75,1))</f>
        <v/>
      </c>
    </row>
    <row r="76">
      <c r="A76" s="4" t="str">
        <f t="array" ref="A76">IF(COUNTIF(A$1:A75,Cotizador!F$2)=maxifs(Familias!E:E,Familias!D:D,Cotizador!F$2),IF(COUNTIF(A$1:A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" s="4" t="str">
        <f t="shared" si="1"/>
        <v/>
      </c>
      <c r="C76" s="4" t="str">
        <f t="array" ref="C76">IF(B76="","",IF(A76=XLOOKUP(A$2,Implementos!B:B,Implementos!C:C,"",0,1),B76+maxifs(B$1:B75,A$1:A75,A$2),B76))</f>
        <v/>
      </c>
      <c r="D76" s="4" t="str">
        <f>IF(B76="","", COUNTIFS(Productos!F:F,A76,Productos!H:H,B76)+IF(F76="SI",0,1))</f>
        <v/>
      </c>
      <c r="E76" s="4" t="str">
        <f>IFERROR(__xludf.DUMMYFUNCTION("IF($B76="""","""",INDEX(filter(Familias!F:F,Familias!$D:$D=$A76,Familias!$E:$E=$B76),1))"),"")</f>
        <v/>
      </c>
      <c r="F76" s="4" t="str">
        <f>IFERROR(__xludf.DUMMYFUNCTION("IF($B76="""","""",INDEX(filter(Familias!G:G,Familias!$D:$D=$A76,Familias!$E:$E=$B76),1))"),"")</f>
        <v/>
      </c>
      <c r="G76" s="4" t="str">
        <f t="array" ref="G76">IF(C76=1,XLOOKUP(C76,Cotizador!D:D,Cotizador!E:E,"",0,1),"")</f>
        <v/>
      </c>
      <c r="I76" s="4"/>
      <c r="J76" s="8" t="str">
        <f>IF(I76="","",SUMIF(Cotizador!I$1:V$1,I76,Cotizador!I$2:V$2))</f>
        <v/>
      </c>
      <c r="L76" s="4" t="str">
        <f t="array" ref="L76">IF(COUNTIF(L$1:L75,A$2)=SUMIF(A:A,A$2,D:D),IF(COUNTIF(L$1:L75,XLOOKUP(A$2,Implementos!B:B,Implementos!C:C,"",0,1))=SUMIF(A:A,XLOOKUP(A$2,Implementos!B:B,Implementos!C:C,"",0,1),D:D),"",XLOOKUP(A$2,Implementos!B:B,Implementos!C:C,"",0,1)),A$2)</f>
        <v>Rodados</v>
      </c>
      <c r="M76" s="4">
        <f t="shared" si="2"/>
        <v>75</v>
      </c>
      <c r="N76" s="4">
        <f t="shared" si="3"/>
        <v>1</v>
      </c>
      <c r="O76" s="4">
        <f t="shared" si="4"/>
        <v>5</v>
      </c>
      <c r="P76" s="4">
        <f t="shared" si="5"/>
        <v>8</v>
      </c>
      <c r="Q76" s="4">
        <f>IF(U76="","",SUMIF(Productos!E:E,U76,Productos!A:A))</f>
        <v>153</v>
      </c>
      <c r="R76" s="4">
        <f t="array" ref="R76">IF(L76="","", max(1,SUMIF(I:I,XLOOKUP(U76,Productos!E:E,Productos!G:G,"",0,1),J:J)))</f>
        <v>1</v>
      </c>
      <c r="S76" s="4" t="str">
        <f>IF(Q76="","",IF(SUMIFS(Compat_Vetado!D:D,Compat_Vetado!B:B,SUM(G:G),Compat_Vetado!C:C,Q76)=1,"SI",IF(OR(SUMIF(Cotizador!E:E,Q76,Cotizador!G:G)&gt;0,SUMIFS(Compat_Vetado!D:D,Compat_Vetado!B:B,SUM(G:G),Compat_Vetado!C:C,Q76)=-1),"NO","")))</f>
        <v/>
      </c>
      <c r="T76" s="4" t="str">
        <f t="shared" si="6"/>
        <v/>
      </c>
      <c r="U76" s="4" t="str">
        <f>IFERROR(__xludf.DUMMYFUNCTION("IF(P76="""","""",IFERROR(INDEX(filter(Productos!E:E,Productos!F:F=L76,Productos!H:H=N76),P76),IF(M76=SUM(D:D),""Finalizar"",""-"")))"),"Llanta 15"" Simple Agrícola Centro 92")</f>
        <v>Llanta 15" Simple Agrícola Centro 92</v>
      </c>
      <c r="V76" s="4" t="str">
        <f>IFERROR(__xludf.DUMMYFUNCTION("IF(OR($U76="""",COUNTIF($I:$I,IFERROR(unique(filter(Prod_Prop!$H:$H,Prod_Prop!$G:$G=$U76,Prod_Prop!$E:$E=V$1)),""Check""))=0),"""",IFERROR(unique(filter(Prod_Prop!$H:$H,Prod_Prop!$G:$G=$U76,Prod_Prop!$E:$E=V$1)),""""))"),"Peso")</f>
        <v>Peso</v>
      </c>
      <c r="W76" s="4">
        <f>IF(V76="","",SUMIFS(Prod_Prop!$J:$J,Prod_Prop!$B:$B,$Q76,Prod_Prop!$H:$H,V76,Prod_Prop!$I:$I,W$1)*IF(V76="Peso",$R76,1))</f>
        <v>120</v>
      </c>
      <c r="X76" s="4">
        <f>IF(V76="","",SUMIFS(Prod_Prop!$J:$J,Prod_Prop!$B:$B,$Q76,Prod_Prop!$H:$H,V76,Prod_Prop!$I:$I,X$1)*IF(V76="Peso",$R76,1))</f>
        <v>240</v>
      </c>
      <c r="Y76" s="4" t="str">
        <f>IFERROR(__xludf.DUMMYFUNCTION("IF(OR($U76="""",COUNTIF($I:$I,IFERROR(unique(filter(Prod_Prop!$H:$H,Prod_Prop!$G:$G=$U76,Prod_Prop!$E:$E=Y$1)),""Check""))=0),"""",IFERROR(unique(filter(Prod_Prop!$H:$H,Prod_Prop!$G:$G=$U76,Prod_Prop!$E:$E=Y$1)),""""))"),"")</f>
        <v/>
      </c>
      <c r="Z76" s="4" t="str">
        <f>IF(Y76="","",SUMIFS(Prod_Prop!$J:$J,Prod_Prop!$B:$B,$Q76,Prod_Prop!$H:$H,Y76,Prod_Prop!$I:$I,Z$1)*IF(Y76="Peso",$R76,1))</f>
        <v/>
      </c>
      <c r="AA76" s="4" t="str">
        <f>IF(Y76="","",SUMIFS(Prod_Prop!$J:$J,Prod_Prop!$B:$B,$Q76,Prod_Prop!$H:$H,Y76,Prod_Prop!$I:$I,AA$1)*IF(Y76="Peso",$R76,1))</f>
        <v/>
      </c>
      <c r="AB76" s="4" t="str">
        <f>IFERROR(__xludf.DUMMYFUNCTION("IF(OR($U76="""",COUNTIF($I:$I,IFERROR(unique(filter(Prod_Prop!$H:$H,Prod_Prop!$G:$G=$U76,Prod_Prop!$E:$E=AB$1)),""Check""))=0),"""",IFERROR(unique(filter(Prod_Prop!$H:$H,Prod_Prop!$G:$G=$U76,Prod_Prop!$E:$E=AB$1)),""""))"),"")</f>
        <v/>
      </c>
      <c r="AC76" s="4" t="str">
        <f>IF(AB76="","",SUMIFS(Prod_Prop!$J:$J,Prod_Prop!$B:$B,$Q76,Prod_Prop!$H:$H,AB76,Prod_Prop!$I:$I,AC$1)*IF(AB76="Peso",$R76,1))</f>
        <v/>
      </c>
      <c r="AD76" s="4" t="str">
        <f>IF(AB76="","",SUMIFS(Prod_Prop!$J:$J,Prod_Prop!$B:$B,$Q76,Prod_Prop!$H:$H,AB76,Prod_Prop!$I:$I,AD$1)*IF(AB76="Peso",$R76,1))</f>
        <v/>
      </c>
    </row>
    <row r="77">
      <c r="A77" s="4" t="str">
        <f t="array" ref="A77">IF(COUNTIF(A$1:A76,Cotizador!F$2)=maxifs(Familias!E:E,Familias!D:D,Cotizador!F$2),IF(COUNTIF(A$1:A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" s="4" t="str">
        <f t="shared" si="1"/>
        <v/>
      </c>
      <c r="C77" s="4" t="str">
        <f t="array" ref="C77">IF(B77="","",IF(A77=XLOOKUP(A$2,Implementos!B:B,Implementos!C:C,"",0,1),B77+maxifs(B$1:B76,A$1:A76,A$2),B77))</f>
        <v/>
      </c>
      <c r="D77" s="4" t="str">
        <f>IF(B77="","", COUNTIFS(Productos!F:F,A77,Productos!H:H,B77)+IF(F77="SI",0,1))</f>
        <v/>
      </c>
      <c r="E77" s="4" t="str">
        <f>IFERROR(__xludf.DUMMYFUNCTION("IF($B77="""","""",INDEX(filter(Familias!F:F,Familias!$D:$D=$A77,Familias!$E:$E=$B77),1))"),"")</f>
        <v/>
      </c>
      <c r="F77" s="4" t="str">
        <f>IFERROR(__xludf.DUMMYFUNCTION("IF($B77="""","""",INDEX(filter(Familias!G:G,Familias!$D:$D=$A77,Familias!$E:$E=$B77),1))"),"")</f>
        <v/>
      </c>
      <c r="G77" s="4" t="str">
        <f t="array" ref="G77">IF(C77=1,XLOOKUP(C77,Cotizador!D:D,Cotizador!E:E,"",0,1),"")</f>
        <v/>
      </c>
      <c r="I77" s="4"/>
      <c r="J77" s="8" t="str">
        <f>IF(I77="","",SUMIF(Cotizador!I$1:V$1,I77,Cotizador!I$2:V$2))</f>
        <v/>
      </c>
      <c r="L77" s="4" t="str">
        <f t="array" ref="L77">IF(COUNTIF(L$1:L76,A$2)=SUMIF(A:A,A$2,D:D),IF(COUNTIF(L$1:L76,XLOOKUP(A$2,Implementos!B:B,Implementos!C:C,"",0,1))=SUMIF(A:A,XLOOKUP(A$2,Implementos!B:B,Implementos!C:C,"",0,1),D:D),"",XLOOKUP(A$2,Implementos!B:B,Implementos!C:C,"",0,1)),A$2)</f>
        <v>Rodados</v>
      </c>
      <c r="M77" s="4">
        <f t="shared" si="2"/>
        <v>76</v>
      </c>
      <c r="N77" s="4">
        <f t="shared" si="3"/>
        <v>2</v>
      </c>
      <c r="O77" s="4">
        <f t="shared" si="4"/>
        <v>6</v>
      </c>
      <c r="P77" s="4">
        <f t="shared" si="5"/>
        <v>1</v>
      </c>
      <c r="Q77" s="4">
        <f>IF(U77="","",SUMIF(Productos!E:E,U77,Productos!A:A))</f>
        <v>101</v>
      </c>
      <c r="R77" s="4">
        <f t="array" ref="R77">IF(L77="","", max(1,SUMIF(I:I,XLOOKUP(U77,Productos!E:E,Productos!G:G,"",0,1),J:J)))</f>
        <v>1</v>
      </c>
      <c r="S77" s="4" t="str">
        <f>IF(Q77="","",IF(SUMIFS(Compat_Vetado!D:D,Compat_Vetado!B:B,SUM(G:G),Compat_Vetado!C:C,Q77)=1,"SI",IF(OR(SUMIF(Cotizador!E:E,Q77,Cotizador!G:G)&gt;0,SUMIFS(Compat_Vetado!D:D,Compat_Vetado!B:B,SUM(G:G),Compat_Vetado!C:C,Q77)=-1),"NO","")))</f>
        <v/>
      </c>
      <c r="T77" s="4" t="str">
        <f t="shared" si="6"/>
        <v/>
      </c>
      <c r="U77" s="4" t="str">
        <f>IFERROR(__xludf.DUMMYFUNCTION("IF(P77="""","""",IFERROR(INDEX(filter(Productos!E:E,Productos!F:F=L77,Productos!H:H=N77),P77),IF(M77=SUM(D:D),""Finalizar"",""-"")))"),"Eje Acoplado 2"" x 1600 (06/08) Agrícola Centro 92")</f>
        <v>Eje Acoplado 2" x 1600 (06/08) Agrícola Centro 92</v>
      </c>
      <c r="V77" s="4" t="str">
        <f>IFERROR(__xludf.DUMMYFUNCTION("IF(OR($U77="""",COUNTIF($I:$I,IFERROR(unique(filter(Prod_Prop!$H:$H,Prod_Prop!$G:$G=$U77,Prod_Prop!$E:$E=V$1)),""Check""))=0),"""",IFERROR(unique(filter(Prod_Prop!$H:$H,Prod_Prop!$G:$G=$U77,Prod_Prop!$E:$E=V$1)),""""))"),"Peso")</f>
        <v>Peso</v>
      </c>
      <c r="W77" s="4">
        <f>IF(V77="","",SUMIFS(Prod_Prop!$J:$J,Prod_Prop!$B:$B,$Q77,Prod_Prop!$H:$H,V77,Prod_Prop!$I:$I,W$1)*IF(V77="Peso",$R77,1))</f>
        <v>600</v>
      </c>
      <c r="X77" s="4">
        <f>IF(V77="","",SUMIFS(Prod_Prop!$J:$J,Prod_Prop!$B:$B,$Q77,Prod_Prop!$H:$H,V77,Prod_Prop!$I:$I,X$1)*IF(V77="Peso",$R77,1))</f>
        <v>1500</v>
      </c>
      <c r="Y77" s="4" t="str">
        <f>IFERROR(__xludf.DUMMYFUNCTION("IF(OR($U77="""",COUNTIF($I:$I,IFERROR(unique(filter(Prod_Prop!$H:$H,Prod_Prop!$G:$G=$U77,Prod_Prop!$E:$E=Y$1)),""Check""))=0),"""",IFERROR(unique(filter(Prod_Prop!$H:$H,Prod_Prop!$G:$G=$U77,Prod_Prop!$E:$E=Y$1)),""""))"),"")</f>
        <v/>
      </c>
      <c r="Z77" s="4" t="str">
        <f>IF(Y77="","",SUMIFS(Prod_Prop!$J:$J,Prod_Prop!$B:$B,$Q77,Prod_Prop!$H:$H,Y77,Prod_Prop!$I:$I,Z$1)*IF(Y77="Peso",$R77,1))</f>
        <v/>
      </c>
      <c r="AA77" s="4" t="str">
        <f>IF(Y77="","",SUMIFS(Prod_Prop!$J:$J,Prod_Prop!$B:$B,$Q77,Prod_Prop!$H:$H,Y77,Prod_Prop!$I:$I,AA$1)*IF(Y77="Peso",$R77,1))</f>
        <v/>
      </c>
      <c r="AB77" s="4" t="str">
        <f>IFERROR(__xludf.DUMMYFUNCTION("IF(OR($U77="""",COUNTIF($I:$I,IFERROR(unique(filter(Prod_Prop!$H:$H,Prod_Prop!$G:$G=$U77,Prod_Prop!$E:$E=AB$1)),""Check""))=0),"""",IFERROR(unique(filter(Prod_Prop!$H:$H,Prod_Prop!$G:$G=$U77,Prod_Prop!$E:$E=AB$1)),""""))"),"")</f>
        <v/>
      </c>
      <c r="AC77" s="4" t="str">
        <f>IF(AB77="","",SUMIFS(Prod_Prop!$J:$J,Prod_Prop!$B:$B,$Q77,Prod_Prop!$H:$H,AB77,Prod_Prop!$I:$I,AC$1)*IF(AB77="Peso",$R77,1))</f>
        <v/>
      </c>
      <c r="AD77" s="4" t="str">
        <f>IF(AB77="","",SUMIFS(Prod_Prop!$J:$J,Prod_Prop!$B:$B,$Q77,Prod_Prop!$H:$H,AB77,Prod_Prop!$I:$I,AD$1)*IF(AB77="Peso",$R77,1))</f>
        <v/>
      </c>
    </row>
    <row r="78">
      <c r="A78" s="4" t="str">
        <f t="array" ref="A78">IF(COUNTIF(A$1:A77,Cotizador!F$2)=maxifs(Familias!E:E,Familias!D:D,Cotizador!F$2),IF(COUNTIF(A$1:A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" s="4" t="str">
        <f t="shared" si="1"/>
        <v/>
      </c>
      <c r="C78" s="4" t="str">
        <f t="array" ref="C78">IF(B78="","",IF(A78=XLOOKUP(A$2,Implementos!B:B,Implementos!C:C,"",0,1),B78+maxifs(B$1:B77,A$1:A77,A$2),B78))</f>
        <v/>
      </c>
      <c r="D78" s="4" t="str">
        <f>IF(B78="","", COUNTIFS(Productos!F:F,A78,Productos!H:H,B78)+IF(F78="SI",0,1))</f>
        <v/>
      </c>
      <c r="E78" s="4" t="str">
        <f>IFERROR(__xludf.DUMMYFUNCTION("IF($B78="""","""",INDEX(filter(Familias!F:F,Familias!$D:$D=$A78,Familias!$E:$E=$B78),1))"),"")</f>
        <v/>
      </c>
      <c r="F78" s="4" t="str">
        <f>IFERROR(__xludf.DUMMYFUNCTION("IF($B78="""","""",INDEX(filter(Familias!G:G,Familias!$D:$D=$A78,Familias!$E:$E=$B78),1))"),"")</f>
        <v/>
      </c>
      <c r="G78" s="4" t="str">
        <f t="array" ref="G78">IF(C78=1,XLOOKUP(C78,Cotizador!D:D,Cotizador!E:E,"",0,1),"")</f>
        <v/>
      </c>
      <c r="I78" s="4"/>
      <c r="J78" s="8" t="str">
        <f>IF(I78="","",SUMIF(Cotizador!I$1:V$1,I78,Cotizador!I$2:V$2))</f>
        <v/>
      </c>
      <c r="L78" s="4" t="str">
        <f t="array" ref="L78">IF(COUNTIF(L$1:L77,A$2)=SUMIF(A:A,A$2,D:D),IF(COUNTIF(L$1:L77,XLOOKUP(A$2,Implementos!B:B,Implementos!C:C,"",0,1))=SUMIF(A:A,XLOOKUP(A$2,Implementos!B:B,Implementos!C:C,"",0,1),D:D),"",XLOOKUP(A$2,Implementos!B:B,Implementos!C:C,"",0,1)),A$2)</f>
        <v>Rodados</v>
      </c>
      <c r="M78" s="4">
        <f t="shared" si="2"/>
        <v>77</v>
      </c>
      <c r="N78" s="4">
        <f t="shared" si="3"/>
        <v>2</v>
      </c>
      <c r="O78" s="4">
        <f t="shared" si="4"/>
        <v>6</v>
      </c>
      <c r="P78" s="4">
        <f t="shared" si="5"/>
        <v>2</v>
      </c>
      <c r="Q78" s="4">
        <f>IF(U78="","",SUMIF(Productos!E:E,U78,Productos!A:A))</f>
        <v>102</v>
      </c>
      <c r="R78" s="4">
        <f t="array" ref="R78">IF(L78="","", max(1,SUMIF(I:I,XLOOKUP(U78,Productos!E:E,Productos!G:G,"",0,1),J:J)))</f>
        <v>1</v>
      </c>
      <c r="S78" s="4" t="str">
        <f>IF(Q78="","",IF(SUMIFS(Compat_Vetado!D:D,Compat_Vetado!B:B,SUM(G:G),Compat_Vetado!C:C,Q78)=1,"SI",IF(OR(SUMIF(Cotizador!E:E,Q78,Cotizador!G:G)&gt;0,SUMIFS(Compat_Vetado!D:D,Compat_Vetado!B:B,SUM(G:G),Compat_Vetado!C:C,Q78)=-1),"NO","")))</f>
        <v/>
      </c>
      <c r="T78" s="4" t="str">
        <f t="shared" si="6"/>
        <v/>
      </c>
      <c r="U78" s="4" t="str">
        <f>IFERROR(__xludf.DUMMYFUNCTION("IF(P78="""","""",IFERROR(INDEX(filter(Productos!E:E,Productos!F:F=L78,Productos!H:H=N78),P78),IF(M78=SUM(D:D),""Finalizar"",""-"")))"),"Eje Acoplado 2 1/2"" x 1600 (07/09) Agrícola Centro 92")</f>
        <v>Eje Acoplado 2 1/2" x 1600 (07/09) Agrícola Centro 92</v>
      </c>
      <c r="V78" s="4" t="str">
        <f>IFERROR(__xludf.DUMMYFUNCTION("IF(OR($U78="""",COUNTIF($I:$I,IFERROR(unique(filter(Prod_Prop!$H:$H,Prod_Prop!$G:$G=$U78,Prod_Prop!$E:$E=V$1)),""Check""))=0),"""",IFERROR(unique(filter(Prod_Prop!$H:$H,Prod_Prop!$G:$G=$U78,Prod_Prop!$E:$E=V$1)),""""))"),"Peso")</f>
        <v>Peso</v>
      </c>
      <c r="W78" s="4">
        <f>IF(V78="","",SUMIFS(Prod_Prop!$J:$J,Prod_Prop!$B:$B,$Q78,Prod_Prop!$H:$H,V78,Prod_Prop!$I:$I,W$1)*IF(V78="Peso",$R78,1))</f>
        <v>1000</v>
      </c>
      <c r="X78" s="4">
        <f>IF(V78="","",SUMIFS(Prod_Prop!$J:$J,Prod_Prop!$B:$B,$Q78,Prod_Prop!$H:$H,V78,Prod_Prop!$I:$I,X$1)*IF(V78="Peso",$R78,1))</f>
        <v>2500</v>
      </c>
      <c r="Y78" s="4" t="str">
        <f>IFERROR(__xludf.DUMMYFUNCTION("IF(OR($U78="""",COUNTIF($I:$I,IFERROR(unique(filter(Prod_Prop!$H:$H,Prod_Prop!$G:$G=$U78,Prod_Prop!$E:$E=Y$1)),""Check""))=0),"""",IFERROR(unique(filter(Prod_Prop!$H:$H,Prod_Prop!$G:$G=$U78,Prod_Prop!$E:$E=Y$1)),""""))"),"")</f>
        <v/>
      </c>
      <c r="Z78" s="4" t="str">
        <f>IF(Y78="","",SUMIFS(Prod_Prop!$J:$J,Prod_Prop!$B:$B,$Q78,Prod_Prop!$H:$H,Y78,Prod_Prop!$I:$I,Z$1)*IF(Y78="Peso",$R78,1))</f>
        <v/>
      </c>
      <c r="AA78" s="4" t="str">
        <f>IF(Y78="","",SUMIFS(Prod_Prop!$J:$J,Prod_Prop!$B:$B,$Q78,Prod_Prop!$H:$H,Y78,Prod_Prop!$I:$I,AA$1)*IF(Y78="Peso",$R78,1))</f>
        <v/>
      </c>
      <c r="AB78" s="4" t="str">
        <f>IFERROR(__xludf.DUMMYFUNCTION("IF(OR($U78="""",COUNTIF($I:$I,IFERROR(unique(filter(Prod_Prop!$H:$H,Prod_Prop!$G:$G=$U78,Prod_Prop!$E:$E=AB$1)),""Check""))=0),"""",IFERROR(unique(filter(Prod_Prop!$H:$H,Prod_Prop!$G:$G=$U78,Prod_Prop!$E:$E=AB$1)),""""))"),"")</f>
        <v/>
      </c>
      <c r="AC78" s="4" t="str">
        <f>IF(AB78="","",SUMIFS(Prod_Prop!$J:$J,Prod_Prop!$B:$B,$Q78,Prod_Prop!$H:$H,AB78,Prod_Prop!$I:$I,AC$1)*IF(AB78="Peso",$R78,1))</f>
        <v/>
      </c>
      <c r="AD78" s="4" t="str">
        <f>IF(AB78="","",SUMIFS(Prod_Prop!$J:$J,Prod_Prop!$B:$B,$Q78,Prod_Prop!$H:$H,AB78,Prod_Prop!$I:$I,AD$1)*IF(AB78="Peso",$R78,1))</f>
        <v/>
      </c>
    </row>
    <row r="79">
      <c r="A79" s="4" t="str">
        <f t="array" ref="A79">IF(COUNTIF(A$1:A78,Cotizador!F$2)=maxifs(Familias!E:E,Familias!D:D,Cotizador!F$2),IF(COUNTIF(A$1:A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" s="4" t="str">
        <f t="shared" si="1"/>
        <v/>
      </c>
      <c r="C79" s="4" t="str">
        <f t="array" ref="C79">IF(B79="","",IF(A79=XLOOKUP(A$2,Implementos!B:B,Implementos!C:C,"",0,1),B79+maxifs(B$1:B78,A$1:A78,A$2),B79))</f>
        <v/>
      </c>
      <c r="D79" s="4" t="str">
        <f>IF(B79="","", COUNTIFS(Productos!F:F,A79,Productos!H:H,B79)+IF(F79="SI",0,1))</f>
        <v/>
      </c>
      <c r="E79" s="4" t="str">
        <f>IFERROR(__xludf.DUMMYFUNCTION("IF($B79="""","""",INDEX(filter(Familias!F:F,Familias!$D:$D=$A79,Familias!$E:$E=$B79),1))"),"")</f>
        <v/>
      </c>
      <c r="F79" s="4" t="str">
        <f>IFERROR(__xludf.DUMMYFUNCTION("IF($B79="""","""",INDEX(filter(Familias!G:G,Familias!$D:$D=$A79,Familias!$E:$E=$B79),1))"),"")</f>
        <v/>
      </c>
      <c r="G79" s="4" t="str">
        <f t="array" ref="G79">IF(C79=1,XLOOKUP(C79,Cotizador!D:D,Cotizador!E:E,"",0,1),"")</f>
        <v/>
      </c>
      <c r="I79" s="4"/>
      <c r="J79" s="8" t="str">
        <f>IF(I79="","",SUMIF(Cotizador!I$1:V$1,I79,Cotizador!I$2:V$2))</f>
        <v/>
      </c>
      <c r="L79" s="4" t="str">
        <f t="array" ref="L79">IF(COUNTIF(L$1:L78,A$2)=SUMIF(A:A,A$2,D:D),IF(COUNTIF(L$1:L78,XLOOKUP(A$2,Implementos!B:B,Implementos!C:C,"",0,1))=SUMIF(A:A,XLOOKUP(A$2,Implementos!B:B,Implementos!C:C,"",0,1),D:D),"",XLOOKUP(A$2,Implementos!B:B,Implementos!C:C,"",0,1)),A$2)</f>
        <v>Rodados</v>
      </c>
      <c r="M79" s="4">
        <f t="shared" si="2"/>
        <v>78</v>
      </c>
      <c r="N79" s="4">
        <f t="shared" si="3"/>
        <v>2</v>
      </c>
      <c r="O79" s="4">
        <f t="shared" si="4"/>
        <v>6</v>
      </c>
      <c r="P79" s="4">
        <f t="shared" si="5"/>
        <v>3</v>
      </c>
      <c r="Q79" s="4">
        <f>IF(U79="","",SUMIF(Productos!E:E,U79,Productos!A:A))</f>
        <v>103</v>
      </c>
      <c r="R79" s="4">
        <f t="array" ref="R79">IF(L79="","", max(1,SUMIF(I:I,XLOOKUP(U79,Productos!E:E,Productos!G:G,"",0,1),J:J)))</f>
        <v>1</v>
      </c>
      <c r="S79" s="4" t="str">
        <f>IF(Q79="","",IF(SUMIFS(Compat_Vetado!D:D,Compat_Vetado!B:B,SUM(G:G),Compat_Vetado!C:C,Q79)=1,"SI",IF(OR(SUMIF(Cotizador!E:E,Q79,Cotizador!G:G)&gt;0,SUMIFS(Compat_Vetado!D:D,Compat_Vetado!B:B,SUM(G:G),Compat_Vetado!C:C,Q79)=-1),"NO","")))</f>
        <v/>
      </c>
      <c r="T79" s="4" t="str">
        <f t="shared" si="6"/>
        <v/>
      </c>
      <c r="U79" s="4" t="str">
        <f>IFERROR(__xludf.DUMMYFUNCTION("IF(P79="""","""",IFERROR(INDEX(filter(Productos!E:E,Productos!F:F=L79,Productos!H:H=N79),P79),IF(M79=SUM(D:D),""Finalizar"",""-"")))"),"Eje Acoplado 2 1/2"" x 1600 (09/11) Agrícola Centro 150")</f>
        <v>Eje Acoplado 2 1/2" x 1600 (09/11) Agrícola Centro 150</v>
      </c>
      <c r="V79" s="4" t="str">
        <f>IFERROR(__xludf.DUMMYFUNCTION("IF(OR($U79="""",COUNTIF($I:$I,IFERROR(unique(filter(Prod_Prop!$H:$H,Prod_Prop!$G:$G=$U79,Prod_Prop!$E:$E=V$1)),""Check""))=0),"""",IFERROR(unique(filter(Prod_Prop!$H:$H,Prod_Prop!$G:$G=$U79,Prod_Prop!$E:$E=V$1)),""""))"),"Peso")</f>
        <v>Peso</v>
      </c>
      <c r="W79" s="4">
        <f>IF(V79="","",SUMIFS(Prod_Prop!$J:$J,Prod_Prop!$B:$B,$Q79,Prod_Prop!$H:$H,V79,Prod_Prop!$I:$I,W$1)*IF(V79="Peso",$R79,1))</f>
        <v>1600</v>
      </c>
      <c r="X79" s="4">
        <f>IF(V79="","",SUMIFS(Prod_Prop!$J:$J,Prod_Prop!$B:$B,$Q79,Prod_Prop!$H:$H,V79,Prod_Prop!$I:$I,X$1)*IF(V79="Peso",$R79,1))</f>
        <v>4000</v>
      </c>
      <c r="Y79" s="4" t="str">
        <f>IFERROR(__xludf.DUMMYFUNCTION("IF(OR($U79="""",COUNTIF($I:$I,IFERROR(unique(filter(Prod_Prop!$H:$H,Prod_Prop!$G:$G=$U79,Prod_Prop!$E:$E=Y$1)),""Check""))=0),"""",IFERROR(unique(filter(Prod_Prop!$H:$H,Prod_Prop!$G:$G=$U79,Prod_Prop!$E:$E=Y$1)),""""))"),"")</f>
        <v/>
      </c>
      <c r="Z79" s="4" t="str">
        <f>IF(Y79="","",SUMIFS(Prod_Prop!$J:$J,Prod_Prop!$B:$B,$Q79,Prod_Prop!$H:$H,Y79,Prod_Prop!$I:$I,Z$1)*IF(Y79="Peso",$R79,1))</f>
        <v/>
      </c>
      <c r="AA79" s="4" t="str">
        <f>IF(Y79="","",SUMIFS(Prod_Prop!$J:$J,Prod_Prop!$B:$B,$Q79,Prod_Prop!$H:$H,Y79,Prod_Prop!$I:$I,AA$1)*IF(Y79="Peso",$R79,1))</f>
        <v/>
      </c>
      <c r="AB79" s="4" t="str">
        <f>IFERROR(__xludf.DUMMYFUNCTION("IF(OR($U79="""",COUNTIF($I:$I,IFERROR(unique(filter(Prod_Prop!$H:$H,Prod_Prop!$G:$G=$U79,Prod_Prop!$E:$E=AB$1)),""Check""))=0),"""",IFERROR(unique(filter(Prod_Prop!$H:$H,Prod_Prop!$G:$G=$U79,Prod_Prop!$E:$E=AB$1)),""""))"),"")</f>
        <v/>
      </c>
      <c r="AC79" s="4" t="str">
        <f>IF(AB79="","",SUMIFS(Prod_Prop!$J:$J,Prod_Prop!$B:$B,$Q79,Prod_Prop!$H:$H,AB79,Prod_Prop!$I:$I,AC$1)*IF(AB79="Peso",$R79,1))</f>
        <v/>
      </c>
      <c r="AD79" s="4" t="str">
        <f>IF(AB79="","",SUMIFS(Prod_Prop!$J:$J,Prod_Prop!$B:$B,$Q79,Prod_Prop!$H:$H,AB79,Prod_Prop!$I:$I,AD$1)*IF(AB79="Peso",$R79,1))</f>
        <v/>
      </c>
    </row>
    <row r="80">
      <c r="A80" s="4" t="str">
        <f t="array" ref="A80">IF(COUNTIF(A$1:A79,Cotizador!F$2)=maxifs(Familias!E:E,Familias!D:D,Cotizador!F$2),IF(COUNTIF(A$1:A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" s="4" t="str">
        <f t="shared" si="1"/>
        <v/>
      </c>
      <c r="C80" s="4" t="str">
        <f t="array" ref="C80">IF(B80="","",IF(A80=XLOOKUP(A$2,Implementos!B:B,Implementos!C:C,"",0,1),B80+maxifs(B$1:B79,A$1:A79,A$2),B80))</f>
        <v/>
      </c>
      <c r="D80" s="4" t="str">
        <f>IF(B80="","", COUNTIFS(Productos!F:F,A80,Productos!H:H,B80)+IF(F80="SI",0,1))</f>
        <v/>
      </c>
      <c r="E80" s="4" t="str">
        <f>IFERROR(__xludf.DUMMYFUNCTION("IF($B80="""","""",INDEX(filter(Familias!F:F,Familias!$D:$D=$A80,Familias!$E:$E=$B80),1))"),"")</f>
        <v/>
      </c>
      <c r="F80" s="4" t="str">
        <f>IFERROR(__xludf.DUMMYFUNCTION("IF($B80="""","""",INDEX(filter(Familias!G:G,Familias!$D:$D=$A80,Familias!$E:$E=$B80),1))"),"")</f>
        <v/>
      </c>
      <c r="G80" s="4" t="str">
        <f t="array" ref="G80">IF(C80=1,XLOOKUP(C80,Cotizador!D:D,Cotizador!E:E,"",0,1),"")</f>
        <v/>
      </c>
      <c r="I80" s="4"/>
      <c r="J80" s="8" t="str">
        <f>IF(I80="","",SUMIF(Cotizador!I$1:V$1,I80,Cotizador!I$2:V$2))</f>
        <v/>
      </c>
      <c r="L80" s="4" t="str">
        <f t="array" ref="L80">IF(COUNTIF(L$1:L79,A$2)=SUMIF(A:A,A$2,D:D),IF(COUNTIF(L$1:L79,XLOOKUP(A$2,Implementos!B:B,Implementos!C:C,"",0,1))=SUMIF(A:A,XLOOKUP(A$2,Implementos!B:B,Implementos!C:C,"",0,1),D:D),"",XLOOKUP(A$2,Implementos!B:B,Implementos!C:C,"",0,1)),A$2)</f>
        <v>Rodados</v>
      </c>
      <c r="M80" s="4">
        <f t="shared" si="2"/>
        <v>79</v>
      </c>
      <c r="N80" s="4">
        <f t="shared" si="3"/>
        <v>2</v>
      </c>
      <c r="O80" s="4">
        <f t="shared" si="4"/>
        <v>6</v>
      </c>
      <c r="P80" s="4">
        <f t="shared" si="5"/>
        <v>4</v>
      </c>
      <c r="Q80" s="4">
        <f>IF(U80="","",SUMIF(Productos!E:E,U80,Productos!A:A))</f>
        <v>104</v>
      </c>
      <c r="R80" s="4">
        <f t="array" ref="R80">IF(L80="","", max(1,SUMIF(I:I,XLOOKUP(U80,Productos!E:E,Productos!G:G,"",0,1),J:J)))</f>
        <v>1</v>
      </c>
      <c r="S80" s="4" t="str">
        <f>IF(Q80="","",IF(SUMIFS(Compat_Vetado!D:D,Compat_Vetado!B:B,SUM(G:G),Compat_Vetado!C:C,Q80)=1,"SI",IF(OR(SUMIF(Cotizador!E:E,Q80,Cotizador!G:G)&gt;0,SUMIFS(Compat_Vetado!D:D,Compat_Vetado!B:B,SUM(G:G),Compat_Vetado!C:C,Q80)=-1),"NO","")))</f>
        <v/>
      </c>
      <c r="T80" s="4" t="str">
        <f t="shared" si="6"/>
        <v>x</v>
      </c>
      <c r="U80" s="4" t="str">
        <f>IFERROR(__xludf.DUMMYFUNCTION("IF(P80="""","""",IFERROR(INDEX(filter(Productos!E:E,Productos!F:F=L80,Productos!H:H=N80),P80),IF(M80=SUM(D:D),""Finalizar"",""-"")))"),"Eje Acoplado 3"" x 1600 (10/13) Agrícola Centro 150")</f>
        <v>Eje Acoplado 3" x 1600 (10/13) Agrícola Centro 150</v>
      </c>
      <c r="V80" s="4" t="str">
        <f>IFERROR(__xludf.DUMMYFUNCTION("IF(OR($U80="""",COUNTIF($I:$I,IFERROR(unique(filter(Prod_Prop!$H:$H,Prod_Prop!$G:$G=$U80,Prod_Prop!$E:$E=V$1)),""Check""))=0),"""",IFERROR(unique(filter(Prod_Prop!$H:$H,Prod_Prop!$G:$G=$U80,Prod_Prop!$E:$E=V$1)),""""))"),"Peso")</f>
        <v>Peso</v>
      </c>
      <c r="W80" s="4">
        <f>IF(V80="","",SUMIFS(Prod_Prop!$J:$J,Prod_Prop!$B:$B,$Q80,Prod_Prop!$H:$H,V80,Prod_Prop!$I:$I,W$1)*IF(V80="Peso",$R80,1))</f>
        <v>2800</v>
      </c>
      <c r="X80" s="4">
        <f>IF(V80="","",SUMIFS(Prod_Prop!$J:$J,Prod_Prop!$B:$B,$Q80,Prod_Prop!$H:$H,V80,Prod_Prop!$I:$I,X$1)*IF(V80="Peso",$R80,1))</f>
        <v>7000</v>
      </c>
      <c r="Y80" s="4" t="str">
        <f>IFERROR(__xludf.DUMMYFUNCTION("IF(OR($U80="""",COUNTIF($I:$I,IFERROR(unique(filter(Prod_Prop!$H:$H,Prod_Prop!$G:$G=$U80,Prod_Prop!$E:$E=Y$1)),""Check""))=0),"""",IFERROR(unique(filter(Prod_Prop!$H:$H,Prod_Prop!$G:$G=$U80,Prod_Prop!$E:$E=Y$1)),""""))"),"")</f>
        <v/>
      </c>
      <c r="Z80" s="4" t="str">
        <f>IF(Y80="","",SUMIFS(Prod_Prop!$J:$J,Prod_Prop!$B:$B,$Q80,Prod_Prop!$H:$H,Y80,Prod_Prop!$I:$I,Z$1)*IF(Y80="Peso",$R80,1))</f>
        <v/>
      </c>
      <c r="AA80" s="4" t="str">
        <f>IF(Y80="","",SUMIFS(Prod_Prop!$J:$J,Prod_Prop!$B:$B,$Q80,Prod_Prop!$H:$H,Y80,Prod_Prop!$I:$I,AA$1)*IF(Y80="Peso",$R80,1))</f>
        <v/>
      </c>
      <c r="AB80" s="4" t="str">
        <f>IFERROR(__xludf.DUMMYFUNCTION("IF(OR($U80="""",COUNTIF($I:$I,IFERROR(unique(filter(Prod_Prop!$H:$H,Prod_Prop!$G:$G=$U80,Prod_Prop!$E:$E=AB$1)),""Check""))=0),"""",IFERROR(unique(filter(Prod_Prop!$H:$H,Prod_Prop!$G:$G=$U80,Prod_Prop!$E:$E=AB$1)),""""))"),"")</f>
        <v/>
      </c>
      <c r="AC80" s="4" t="str">
        <f>IF(AB80="","",SUMIFS(Prod_Prop!$J:$J,Prod_Prop!$B:$B,$Q80,Prod_Prop!$H:$H,AB80,Prod_Prop!$I:$I,AC$1)*IF(AB80="Peso",$R80,1))</f>
        <v/>
      </c>
      <c r="AD80" s="4" t="str">
        <f>IF(AB80="","",SUMIFS(Prod_Prop!$J:$J,Prod_Prop!$B:$B,$Q80,Prod_Prop!$H:$H,AB80,Prod_Prop!$I:$I,AD$1)*IF(AB80="Peso",$R80,1))</f>
        <v/>
      </c>
    </row>
    <row r="81">
      <c r="A81" s="4" t="str">
        <f t="array" ref="A81">IF(COUNTIF(A$1:A80,Cotizador!F$2)=maxifs(Familias!E:E,Familias!D:D,Cotizador!F$2),IF(COUNTIF(A$1:A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" s="4" t="str">
        <f t="shared" si="1"/>
        <v/>
      </c>
      <c r="C81" s="4" t="str">
        <f t="array" ref="C81">IF(B81="","",IF(A81=XLOOKUP(A$2,Implementos!B:B,Implementos!C:C,"",0,1),B81+maxifs(B$1:B80,A$1:A80,A$2),B81))</f>
        <v/>
      </c>
      <c r="D81" s="4" t="str">
        <f>IF(B81="","", COUNTIFS(Productos!F:F,A81,Productos!H:H,B81)+IF(F81="SI",0,1))</f>
        <v/>
      </c>
      <c r="E81" s="4" t="str">
        <f>IFERROR(__xludf.DUMMYFUNCTION("IF($B81="""","""",INDEX(filter(Familias!F:F,Familias!$D:$D=$A81,Familias!$E:$E=$B81),1))"),"")</f>
        <v/>
      </c>
      <c r="F81" s="4" t="str">
        <f>IFERROR(__xludf.DUMMYFUNCTION("IF($B81="""","""",INDEX(filter(Familias!G:G,Familias!$D:$D=$A81,Familias!$E:$E=$B81),1))"),"")</f>
        <v/>
      </c>
      <c r="G81" s="4" t="str">
        <f t="array" ref="G81">IF(C81=1,XLOOKUP(C81,Cotizador!D:D,Cotizador!E:E,"",0,1),"")</f>
        <v/>
      </c>
      <c r="I81" s="4"/>
      <c r="J81" s="8" t="str">
        <f>IF(I81="","",SUMIF(Cotizador!I$1:V$1,I81,Cotizador!I$2:V$2))</f>
        <v/>
      </c>
      <c r="L81" s="4" t="str">
        <f t="array" ref="L81">IF(COUNTIF(L$1:L80,A$2)=SUMIF(A:A,A$2,D:D),IF(COUNTIF(L$1:L80,XLOOKUP(A$2,Implementos!B:B,Implementos!C:C,"",0,1))=SUMIF(A:A,XLOOKUP(A$2,Implementos!B:B,Implementos!C:C,"",0,1),D:D),"",XLOOKUP(A$2,Implementos!B:B,Implementos!C:C,"",0,1)),A$2)</f>
        <v>Rodados</v>
      </c>
      <c r="M81" s="4">
        <f t="shared" si="2"/>
        <v>80</v>
      </c>
      <c r="N81" s="4">
        <f t="shared" si="3"/>
        <v>2</v>
      </c>
      <c r="O81" s="4">
        <f t="shared" si="4"/>
        <v>6</v>
      </c>
      <c r="P81" s="4">
        <f t="shared" si="5"/>
        <v>5</v>
      </c>
      <c r="Q81" s="4">
        <f>IF(U81="","",SUMIF(Productos!E:E,U81,Productos!A:A))</f>
        <v>105</v>
      </c>
      <c r="R81" s="4">
        <f t="array" ref="R81">IF(L81="","", max(1,SUMIF(I:I,XLOOKUP(U81,Productos!E:E,Productos!G:G,"",0,1),J:J)))</f>
        <v>1</v>
      </c>
      <c r="S81" s="4" t="str">
        <f>IF(Q81="","",IF(SUMIFS(Compat_Vetado!D:D,Compat_Vetado!B:B,SUM(G:G),Compat_Vetado!C:C,Q81)=1,"SI",IF(OR(SUMIF(Cotizador!E:E,Q81,Cotizador!G:G)&gt;0,SUMIFS(Compat_Vetado!D:D,Compat_Vetado!B:B,SUM(G:G),Compat_Vetado!C:C,Q81)=-1),"NO","")))</f>
        <v/>
      </c>
      <c r="T81" s="4" t="str">
        <f t="shared" si="6"/>
        <v/>
      </c>
      <c r="U81" s="4" t="str">
        <f>IFERROR(__xludf.DUMMYFUNCTION("IF(P81="""","""",IFERROR(INDEX(filter(Productos!E:E,Productos!F:F=L81,Productos!H:H=N81),P81),IF(M81=SUM(D:D),""Finalizar"",""-"")))"),"Eje Acoplado 2 1/2"" x 2140 (07/09) Agrícola Centro 92")</f>
        <v>Eje Acoplado 2 1/2" x 2140 (07/09) Agrícola Centro 92</v>
      </c>
      <c r="V81" s="4" t="str">
        <f>IFERROR(__xludf.DUMMYFUNCTION("IF(OR($U81="""",COUNTIF($I:$I,IFERROR(unique(filter(Prod_Prop!$H:$H,Prod_Prop!$G:$G=$U81,Prod_Prop!$E:$E=V$1)),""Check""))=0),"""",IFERROR(unique(filter(Prod_Prop!$H:$H,Prod_Prop!$G:$G=$U81,Prod_Prop!$E:$E=V$1)),""""))"),"Peso")</f>
        <v>Peso</v>
      </c>
      <c r="W81" s="4">
        <f>IF(V81="","",SUMIFS(Prod_Prop!$J:$J,Prod_Prop!$B:$B,$Q81,Prod_Prop!$H:$H,V81,Prod_Prop!$I:$I,W$1)*IF(V81="Peso",$R81,1))</f>
        <v>1000</v>
      </c>
      <c r="X81" s="4">
        <f>IF(V81="","",SUMIFS(Prod_Prop!$J:$J,Prod_Prop!$B:$B,$Q81,Prod_Prop!$H:$H,V81,Prod_Prop!$I:$I,X$1)*IF(V81="Peso",$R81,1))</f>
        <v>2500</v>
      </c>
      <c r="Y81" s="4" t="str">
        <f>IFERROR(__xludf.DUMMYFUNCTION("IF(OR($U81="""",COUNTIF($I:$I,IFERROR(unique(filter(Prod_Prop!$H:$H,Prod_Prop!$G:$G=$U81,Prod_Prop!$E:$E=Y$1)),""Check""))=0),"""",IFERROR(unique(filter(Prod_Prop!$H:$H,Prod_Prop!$G:$G=$U81,Prod_Prop!$E:$E=Y$1)),""""))"),"")</f>
        <v/>
      </c>
      <c r="Z81" s="4" t="str">
        <f>IF(Y81="","",SUMIFS(Prod_Prop!$J:$J,Prod_Prop!$B:$B,$Q81,Prod_Prop!$H:$H,Y81,Prod_Prop!$I:$I,Z$1)*IF(Y81="Peso",$R81,1))</f>
        <v/>
      </c>
      <c r="AA81" s="4" t="str">
        <f>IF(Y81="","",SUMIFS(Prod_Prop!$J:$J,Prod_Prop!$B:$B,$Q81,Prod_Prop!$H:$H,Y81,Prod_Prop!$I:$I,AA$1)*IF(Y81="Peso",$R81,1))</f>
        <v/>
      </c>
      <c r="AB81" s="4" t="str">
        <f>IFERROR(__xludf.DUMMYFUNCTION("IF(OR($U81="""",COUNTIF($I:$I,IFERROR(unique(filter(Prod_Prop!$H:$H,Prod_Prop!$G:$G=$U81,Prod_Prop!$E:$E=AB$1)),""Check""))=0),"""",IFERROR(unique(filter(Prod_Prop!$H:$H,Prod_Prop!$G:$G=$U81,Prod_Prop!$E:$E=AB$1)),""""))"),"")</f>
        <v/>
      </c>
      <c r="AC81" s="4" t="str">
        <f>IF(AB81="","",SUMIFS(Prod_Prop!$J:$J,Prod_Prop!$B:$B,$Q81,Prod_Prop!$H:$H,AB81,Prod_Prop!$I:$I,AC$1)*IF(AB81="Peso",$R81,1))</f>
        <v/>
      </c>
      <c r="AD81" s="4" t="str">
        <f>IF(AB81="","",SUMIFS(Prod_Prop!$J:$J,Prod_Prop!$B:$B,$Q81,Prod_Prop!$H:$H,AB81,Prod_Prop!$I:$I,AD$1)*IF(AB81="Peso",$R81,1))</f>
        <v/>
      </c>
    </row>
    <row r="82">
      <c r="A82" s="4" t="str">
        <f t="array" ref="A82">IF(COUNTIF(A$1:A81,Cotizador!F$2)=maxifs(Familias!E:E,Familias!D:D,Cotizador!F$2),IF(COUNTIF(A$1:A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" s="4" t="str">
        <f t="shared" si="1"/>
        <v/>
      </c>
      <c r="C82" s="4" t="str">
        <f t="array" ref="C82">IF(B82="","",IF(A82=XLOOKUP(A$2,Implementos!B:B,Implementos!C:C,"",0,1),B82+maxifs(B$1:B81,A$1:A81,A$2),B82))</f>
        <v/>
      </c>
      <c r="D82" s="4" t="str">
        <f>IF(B82="","", COUNTIFS(Productos!F:F,A82,Productos!H:H,B82)+IF(F82="SI",0,1))</f>
        <v/>
      </c>
      <c r="E82" s="4" t="str">
        <f>IFERROR(__xludf.DUMMYFUNCTION("IF($B82="""","""",INDEX(filter(Familias!F:F,Familias!$D:$D=$A82,Familias!$E:$E=$B82),1))"),"")</f>
        <v/>
      </c>
      <c r="F82" s="4" t="str">
        <f>IFERROR(__xludf.DUMMYFUNCTION("IF($B82="""","""",INDEX(filter(Familias!G:G,Familias!$D:$D=$A82,Familias!$E:$E=$B82),1))"),"")</f>
        <v/>
      </c>
      <c r="G82" s="4" t="str">
        <f t="array" ref="G82">IF(C82=1,XLOOKUP(C82,Cotizador!D:D,Cotizador!E:E,"",0,1),"")</f>
        <v/>
      </c>
      <c r="I82" s="4"/>
      <c r="J82" s="8" t="str">
        <f>IF(I82="","",SUMIF(Cotizador!I$1:V$1,I82,Cotizador!I$2:V$2))</f>
        <v/>
      </c>
      <c r="L82" s="4" t="str">
        <f t="array" ref="L82">IF(COUNTIF(L$1:L81,A$2)=SUMIF(A:A,A$2,D:D),IF(COUNTIF(L$1:L81,XLOOKUP(A$2,Implementos!B:B,Implementos!C:C,"",0,1))=SUMIF(A:A,XLOOKUP(A$2,Implementos!B:B,Implementos!C:C,"",0,1),D:D),"",XLOOKUP(A$2,Implementos!B:B,Implementos!C:C,"",0,1)),A$2)</f>
        <v>Rodados</v>
      </c>
      <c r="M82" s="4">
        <f t="shared" si="2"/>
        <v>81</v>
      </c>
      <c r="N82" s="4">
        <f t="shared" si="3"/>
        <v>2</v>
      </c>
      <c r="O82" s="4">
        <f t="shared" si="4"/>
        <v>6</v>
      </c>
      <c r="P82" s="4">
        <f t="shared" si="5"/>
        <v>6</v>
      </c>
      <c r="Q82" s="4">
        <f>IF(U82="","",SUMIF(Productos!E:E,U82,Productos!A:A))</f>
        <v>106</v>
      </c>
      <c r="R82" s="4">
        <f t="array" ref="R82">IF(L82="","", max(1,SUMIF(I:I,XLOOKUP(U82,Productos!E:E,Productos!G:G,"",0,1),J:J)))</f>
        <v>1</v>
      </c>
      <c r="S82" s="4" t="str">
        <f>IF(Q82="","",IF(SUMIFS(Compat_Vetado!D:D,Compat_Vetado!B:B,SUM(G:G),Compat_Vetado!C:C,Q82)=1,"SI",IF(OR(SUMIF(Cotizador!E:E,Q82,Cotizador!G:G)&gt;0,SUMIFS(Compat_Vetado!D:D,Compat_Vetado!B:B,SUM(G:G),Compat_Vetado!C:C,Q82)=-1),"NO","")))</f>
        <v/>
      </c>
      <c r="T82" s="4" t="str">
        <f t="shared" si="6"/>
        <v/>
      </c>
      <c r="U82" s="4" t="str">
        <f>IFERROR(__xludf.DUMMYFUNCTION("IF(P82="""","""",IFERROR(INDEX(filter(Productos!E:E,Productos!F:F=L82,Productos!H:H=N82),P82),IF(M82=SUM(D:D),""Finalizar"",""-"")))"),"Eje Acoplado 2"" x 1400 (06/08) Agrícola Centro 92")</f>
        <v>Eje Acoplado 2" x 1400 (06/08) Agrícola Centro 92</v>
      </c>
      <c r="V82" s="4" t="str">
        <f>IFERROR(__xludf.DUMMYFUNCTION("IF(OR($U82="""",COUNTIF($I:$I,IFERROR(unique(filter(Prod_Prop!$H:$H,Prod_Prop!$G:$G=$U82,Prod_Prop!$E:$E=V$1)),""Check""))=0),"""",IFERROR(unique(filter(Prod_Prop!$H:$H,Prod_Prop!$G:$G=$U82,Prod_Prop!$E:$E=V$1)),""""))"),"Peso")</f>
        <v>Peso</v>
      </c>
      <c r="W82" s="4">
        <f>IF(V82="","",SUMIFS(Prod_Prop!$J:$J,Prod_Prop!$B:$B,$Q82,Prod_Prop!$H:$H,V82,Prod_Prop!$I:$I,W$1)*IF(V82="Peso",$R82,1))</f>
        <v>600</v>
      </c>
      <c r="X82" s="4">
        <f>IF(V82="","",SUMIFS(Prod_Prop!$J:$J,Prod_Prop!$B:$B,$Q82,Prod_Prop!$H:$H,V82,Prod_Prop!$I:$I,X$1)*IF(V82="Peso",$R82,1))</f>
        <v>1500</v>
      </c>
      <c r="Y82" s="4" t="str">
        <f>IFERROR(__xludf.DUMMYFUNCTION("IF(OR($U82="""",COUNTIF($I:$I,IFERROR(unique(filter(Prod_Prop!$H:$H,Prod_Prop!$G:$G=$U82,Prod_Prop!$E:$E=Y$1)),""Check""))=0),"""",IFERROR(unique(filter(Prod_Prop!$H:$H,Prod_Prop!$G:$G=$U82,Prod_Prop!$E:$E=Y$1)),""""))"),"")</f>
        <v/>
      </c>
      <c r="Z82" s="4" t="str">
        <f>IF(Y82="","",SUMIFS(Prod_Prop!$J:$J,Prod_Prop!$B:$B,$Q82,Prod_Prop!$H:$H,Y82,Prod_Prop!$I:$I,Z$1)*IF(Y82="Peso",$R82,1))</f>
        <v/>
      </c>
      <c r="AA82" s="4" t="str">
        <f>IF(Y82="","",SUMIFS(Prod_Prop!$J:$J,Prod_Prop!$B:$B,$Q82,Prod_Prop!$H:$H,Y82,Prod_Prop!$I:$I,AA$1)*IF(Y82="Peso",$R82,1))</f>
        <v/>
      </c>
      <c r="AB82" s="4" t="str">
        <f>IFERROR(__xludf.DUMMYFUNCTION("IF(OR($U82="""",COUNTIF($I:$I,IFERROR(unique(filter(Prod_Prop!$H:$H,Prod_Prop!$G:$G=$U82,Prod_Prop!$E:$E=AB$1)),""Check""))=0),"""",IFERROR(unique(filter(Prod_Prop!$H:$H,Prod_Prop!$G:$G=$U82,Prod_Prop!$E:$E=AB$1)),""""))"),"")</f>
        <v/>
      </c>
      <c r="AC82" s="4" t="str">
        <f>IF(AB82="","",SUMIFS(Prod_Prop!$J:$J,Prod_Prop!$B:$B,$Q82,Prod_Prop!$H:$H,AB82,Prod_Prop!$I:$I,AC$1)*IF(AB82="Peso",$R82,1))</f>
        <v/>
      </c>
      <c r="AD82" s="4" t="str">
        <f>IF(AB82="","",SUMIFS(Prod_Prop!$J:$J,Prod_Prop!$B:$B,$Q82,Prod_Prop!$H:$H,AB82,Prod_Prop!$I:$I,AD$1)*IF(AB82="Peso",$R82,1))</f>
        <v/>
      </c>
    </row>
    <row r="83">
      <c r="A83" s="4" t="str">
        <f t="array" ref="A83">IF(COUNTIF(A$1:A82,Cotizador!F$2)=maxifs(Familias!E:E,Familias!D:D,Cotizador!F$2),IF(COUNTIF(A$1:A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" s="4" t="str">
        <f t="shared" si="1"/>
        <v/>
      </c>
      <c r="C83" s="4" t="str">
        <f t="array" ref="C83">IF(B83="","",IF(A83=XLOOKUP(A$2,Implementos!B:B,Implementos!C:C,"",0,1),B83+maxifs(B$1:B82,A$1:A82,A$2),B83))</f>
        <v/>
      </c>
      <c r="D83" s="4" t="str">
        <f>IF(B83="","", COUNTIFS(Productos!F:F,A83,Productos!H:H,B83)+IF(F83="SI",0,1))</f>
        <v/>
      </c>
      <c r="E83" s="4" t="str">
        <f>IFERROR(__xludf.DUMMYFUNCTION("IF($B83="""","""",INDEX(filter(Familias!F:F,Familias!$D:$D=$A83,Familias!$E:$E=$B83),1))"),"")</f>
        <v/>
      </c>
      <c r="F83" s="4" t="str">
        <f>IFERROR(__xludf.DUMMYFUNCTION("IF($B83="""","""",INDEX(filter(Familias!G:G,Familias!$D:$D=$A83,Familias!$E:$E=$B83),1))"),"")</f>
        <v/>
      </c>
      <c r="G83" s="4" t="str">
        <f t="array" ref="G83">IF(C83=1,XLOOKUP(C83,Cotizador!D:D,Cotizador!E:E,"",0,1),"")</f>
        <v/>
      </c>
      <c r="I83" s="4"/>
      <c r="J83" s="8" t="str">
        <f>IF(I83="","",SUMIF(Cotizador!I$1:V$1,I83,Cotizador!I$2:V$2))</f>
        <v/>
      </c>
      <c r="L83" s="4" t="str">
        <f t="array" ref="L83">IF(COUNTIF(L$1:L82,A$2)=SUMIF(A:A,A$2,D:D),IF(COUNTIF(L$1:L82,XLOOKUP(A$2,Implementos!B:B,Implementos!C:C,"",0,1))=SUMIF(A:A,XLOOKUP(A$2,Implementos!B:B,Implementos!C:C,"",0,1),D:D),"",XLOOKUP(A$2,Implementos!B:B,Implementos!C:C,"",0,1)),A$2)</f>
        <v>Rodados</v>
      </c>
      <c r="M83" s="4">
        <f t="shared" si="2"/>
        <v>82</v>
      </c>
      <c r="N83" s="4">
        <f t="shared" si="3"/>
        <v>2</v>
      </c>
      <c r="O83" s="4">
        <f t="shared" si="4"/>
        <v>6</v>
      </c>
      <c r="P83" s="4">
        <f t="shared" si="5"/>
        <v>7</v>
      </c>
      <c r="Q83" s="4">
        <f>IF(U83="","",SUMIF(Productos!E:E,U83,Productos!A:A))</f>
        <v>107</v>
      </c>
      <c r="R83" s="4">
        <f t="array" ref="R83">IF(L83="","", max(1,SUMIF(I:I,XLOOKUP(U83,Productos!E:E,Productos!G:G,"",0,1),J:J)))</f>
        <v>1</v>
      </c>
      <c r="S83" s="4" t="str">
        <f>IF(Q83="","",IF(SUMIFS(Compat_Vetado!D:D,Compat_Vetado!B:B,SUM(G:G),Compat_Vetado!C:C,Q83)=1,"SI",IF(OR(SUMIF(Cotizador!E:E,Q83,Cotizador!G:G)&gt;0,SUMIFS(Compat_Vetado!D:D,Compat_Vetado!B:B,SUM(G:G),Compat_Vetado!C:C,Q83)=-1),"NO","")))</f>
        <v/>
      </c>
      <c r="T83" s="4" t="str">
        <f t="shared" si="6"/>
        <v/>
      </c>
      <c r="U83" s="4" t="str">
        <f>IFERROR(__xludf.DUMMYFUNCTION("IF(P83="""","""",IFERROR(INDEX(filter(Productos!E:E,Productos!F:F=L83,Productos!H:H=N83),P83),IF(M83=SUM(D:D),""Finalizar"",""-"")))"),"Eje Acoplado 2 1/2"" x 1500 (07/09) Agrícola Centro 92")</f>
        <v>Eje Acoplado 2 1/2" x 1500 (07/09) Agrícola Centro 92</v>
      </c>
      <c r="V83" s="4" t="str">
        <f>IFERROR(__xludf.DUMMYFUNCTION("IF(OR($U83="""",COUNTIF($I:$I,IFERROR(unique(filter(Prod_Prop!$H:$H,Prod_Prop!$G:$G=$U83,Prod_Prop!$E:$E=V$1)),""Check""))=0),"""",IFERROR(unique(filter(Prod_Prop!$H:$H,Prod_Prop!$G:$G=$U83,Prod_Prop!$E:$E=V$1)),""""))"),"Peso")</f>
        <v>Peso</v>
      </c>
      <c r="W83" s="4">
        <f>IF(V83="","",SUMIFS(Prod_Prop!$J:$J,Prod_Prop!$B:$B,$Q83,Prod_Prop!$H:$H,V83,Prod_Prop!$I:$I,W$1)*IF(V83="Peso",$R83,1))</f>
        <v>1000</v>
      </c>
      <c r="X83" s="4">
        <f>IF(V83="","",SUMIFS(Prod_Prop!$J:$J,Prod_Prop!$B:$B,$Q83,Prod_Prop!$H:$H,V83,Prod_Prop!$I:$I,X$1)*IF(V83="Peso",$R83,1))</f>
        <v>2500</v>
      </c>
      <c r="Y83" s="4" t="str">
        <f>IFERROR(__xludf.DUMMYFUNCTION("IF(OR($U83="""",COUNTIF($I:$I,IFERROR(unique(filter(Prod_Prop!$H:$H,Prod_Prop!$G:$G=$U83,Prod_Prop!$E:$E=Y$1)),""Check""))=0),"""",IFERROR(unique(filter(Prod_Prop!$H:$H,Prod_Prop!$G:$G=$U83,Prod_Prop!$E:$E=Y$1)),""""))"),"")</f>
        <v/>
      </c>
      <c r="Z83" s="4" t="str">
        <f>IF(Y83="","",SUMIFS(Prod_Prop!$J:$J,Prod_Prop!$B:$B,$Q83,Prod_Prop!$H:$H,Y83,Prod_Prop!$I:$I,Z$1)*IF(Y83="Peso",$R83,1))</f>
        <v/>
      </c>
      <c r="AA83" s="4" t="str">
        <f>IF(Y83="","",SUMIFS(Prod_Prop!$J:$J,Prod_Prop!$B:$B,$Q83,Prod_Prop!$H:$H,Y83,Prod_Prop!$I:$I,AA$1)*IF(Y83="Peso",$R83,1))</f>
        <v/>
      </c>
      <c r="AB83" s="4" t="str">
        <f>IFERROR(__xludf.DUMMYFUNCTION("IF(OR($U83="""",COUNTIF($I:$I,IFERROR(unique(filter(Prod_Prop!$H:$H,Prod_Prop!$G:$G=$U83,Prod_Prop!$E:$E=AB$1)),""Check""))=0),"""",IFERROR(unique(filter(Prod_Prop!$H:$H,Prod_Prop!$G:$G=$U83,Prod_Prop!$E:$E=AB$1)),""""))"),"")</f>
        <v/>
      </c>
      <c r="AC83" s="4" t="str">
        <f>IF(AB83="","",SUMIFS(Prod_Prop!$J:$J,Prod_Prop!$B:$B,$Q83,Prod_Prop!$H:$H,AB83,Prod_Prop!$I:$I,AC$1)*IF(AB83="Peso",$R83,1))</f>
        <v/>
      </c>
      <c r="AD83" s="4" t="str">
        <f>IF(AB83="","",SUMIFS(Prod_Prop!$J:$J,Prod_Prop!$B:$B,$Q83,Prod_Prop!$H:$H,AB83,Prod_Prop!$I:$I,AD$1)*IF(AB83="Peso",$R83,1))</f>
        <v/>
      </c>
    </row>
    <row r="84">
      <c r="A84" s="4" t="str">
        <f t="array" ref="A84">IF(COUNTIF(A$1:A83,Cotizador!F$2)=maxifs(Familias!E:E,Familias!D:D,Cotizador!F$2),IF(COUNTIF(A$1:A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" s="4" t="str">
        <f t="shared" si="1"/>
        <v/>
      </c>
      <c r="C84" s="4" t="str">
        <f t="array" ref="C84">IF(B84="","",IF(A84=XLOOKUP(A$2,Implementos!B:B,Implementos!C:C,"",0,1),B84+maxifs(B$1:B83,A$1:A83,A$2),B84))</f>
        <v/>
      </c>
      <c r="D84" s="4" t="str">
        <f>IF(B84="","", COUNTIFS(Productos!F:F,A84,Productos!H:H,B84)+IF(F84="SI",0,1))</f>
        <v/>
      </c>
      <c r="E84" s="4" t="str">
        <f>IFERROR(__xludf.DUMMYFUNCTION("IF($B84="""","""",INDEX(filter(Familias!F:F,Familias!$D:$D=$A84,Familias!$E:$E=$B84),1))"),"")</f>
        <v/>
      </c>
      <c r="F84" s="4" t="str">
        <f>IFERROR(__xludf.DUMMYFUNCTION("IF($B84="""","""",INDEX(filter(Familias!G:G,Familias!$D:$D=$A84,Familias!$E:$E=$B84),1))"),"")</f>
        <v/>
      </c>
      <c r="G84" s="4" t="str">
        <f t="array" ref="G84">IF(C84=1,XLOOKUP(C84,Cotizador!D:D,Cotizador!E:E,"",0,1),"")</f>
        <v/>
      </c>
      <c r="I84" s="4"/>
      <c r="J84" s="8" t="str">
        <f>IF(I84="","",SUMIF(Cotizador!I$1:V$1,I84,Cotizador!I$2:V$2))</f>
        <v/>
      </c>
      <c r="L84" s="4" t="str">
        <f t="array" ref="L84">IF(COUNTIF(L$1:L83,A$2)=SUMIF(A:A,A$2,D:D),IF(COUNTIF(L$1:L83,XLOOKUP(A$2,Implementos!B:B,Implementos!C:C,"",0,1))=SUMIF(A:A,XLOOKUP(A$2,Implementos!B:B,Implementos!C:C,"",0,1),D:D),"",XLOOKUP(A$2,Implementos!B:B,Implementos!C:C,"",0,1)),A$2)</f>
        <v>Rodados</v>
      </c>
      <c r="M84" s="4">
        <f t="shared" si="2"/>
        <v>83</v>
      </c>
      <c r="N84" s="4">
        <f t="shared" si="3"/>
        <v>2</v>
      </c>
      <c r="O84" s="4">
        <f t="shared" si="4"/>
        <v>6</v>
      </c>
      <c r="P84" s="4">
        <f t="shared" si="5"/>
        <v>8</v>
      </c>
      <c r="Q84" s="4">
        <f>IF(U84="","",SUMIF(Productos!E:E,U84,Productos!A:A))</f>
        <v>108</v>
      </c>
      <c r="R84" s="4">
        <f t="array" ref="R84">IF(L84="","", max(1,SUMIF(I:I,XLOOKUP(U84,Productos!E:E,Productos!G:G,"",0,1),J:J)))</f>
        <v>1</v>
      </c>
      <c r="S84" s="4" t="str">
        <f>IF(Q84="","",IF(SUMIFS(Compat_Vetado!D:D,Compat_Vetado!B:B,SUM(G:G),Compat_Vetado!C:C,Q84)=1,"SI",IF(OR(SUMIF(Cotizador!E:E,Q84,Cotizador!G:G)&gt;0,SUMIFS(Compat_Vetado!D:D,Compat_Vetado!B:B,SUM(G:G),Compat_Vetado!C:C,Q84)=-1),"NO","")))</f>
        <v/>
      </c>
      <c r="T84" s="4" t="str">
        <f t="shared" si="6"/>
        <v/>
      </c>
      <c r="U84" s="4" t="str">
        <f>IFERROR(__xludf.DUMMYFUNCTION("IF(P84="""","""",IFERROR(INDEX(filter(Productos!E:E,Productos!F:F=L84,Productos!H:H=N84),P84),IF(M84=SUM(D:D),""Finalizar"",""-"")))"),"Eje Acoplado 2 1/2"" x 2000 (07/09) Agrícola Centro 92")</f>
        <v>Eje Acoplado 2 1/2" x 2000 (07/09) Agrícola Centro 92</v>
      </c>
      <c r="V84" s="4" t="str">
        <f>IFERROR(__xludf.DUMMYFUNCTION("IF(OR($U84="""",COUNTIF($I:$I,IFERROR(unique(filter(Prod_Prop!$H:$H,Prod_Prop!$G:$G=$U84,Prod_Prop!$E:$E=V$1)),""Check""))=0),"""",IFERROR(unique(filter(Prod_Prop!$H:$H,Prod_Prop!$G:$G=$U84,Prod_Prop!$E:$E=V$1)),""""))"),"Peso")</f>
        <v>Peso</v>
      </c>
      <c r="W84" s="4">
        <f>IF(V84="","",SUMIFS(Prod_Prop!$J:$J,Prod_Prop!$B:$B,$Q84,Prod_Prop!$H:$H,V84,Prod_Prop!$I:$I,W$1)*IF(V84="Peso",$R84,1))</f>
        <v>1000</v>
      </c>
      <c r="X84" s="4">
        <f>IF(V84="","",SUMIFS(Prod_Prop!$J:$J,Prod_Prop!$B:$B,$Q84,Prod_Prop!$H:$H,V84,Prod_Prop!$I:$I,X$1)*IF(V84="Peso",$R84,1))</f>
        <v>2500</v>
      </c>
      <c r="Y84" s="4" t="str">
        <f>IFERROR(__xludf.DUMMYFUNCTION("IF(OR($U84="""",COUNTIF($I:$I,IFERROR(unique(filter(Prod_Prop!$H:$H,Prod_Prop!$G:$G=$U84,Prod_Prop!$E:$E=Y$1)),""Check""))=0),"""",IFERROR(unique(filter(Prod_Prop!$H:$H,Prod_Prop!$G:$G=$U84,Prod_Prop!$E:$E=Y$1)),""""))"),"")</f>
        <v/>
      </c>
      <c r="Z84" s="4" t="str">
        <f>IF(Y84="","",SUMIFS(Prod_Prop!$J:$J,Prod_Prop!$B:$B,$Q84,Prod_Prop!$H:$H,Y84,Prod_Prop!$I:$I,Z$1)*IF(Y84="Peso",$R84,1))</f>
        <v/>
      </c>
      <c r="AA84" s="4" t="str">
        <f>IF(Y84="","",SUMIFS(Prod_Prop!$J:$J,Prod_Prop!$B:$B,$Q84,Prod_Prop!$H:$H,Y84,Prod_Prop!$I:$I,AA$1)*IF(Y84="Peso",$R84,1))</f>
        <v/>
      </c>
      <c r="AB84" s="4" t="str">
        <f>IFERROR(__xludf.DUMMYFUNCTION("IF(OR($U84="""",COUNTIF($I:$I,IFERROR(unique(filter(Prod_Prop!$H:$H,Prod_Prop!$G:$G=$U84,Prod_Prop!$E:$E=AB$1)),""Check""))=0),"""",IFERROR(unique(filter(Prod_Prop!$H:$H,Prod_Prop!$G:$G=$U84,Prod_Prop!$E:$E=AB$1)),""""))"),"")</f>
        <v/>
      </c>
      <c r="AC84" s="4" t="str">
        <f>IF(AB84="","",SUMIFS(Prod_Prop!$J:$J,Prod_Prop!$B:$B,$Q84,Prod_Prop!$H:$H,AB84,Prod_Prop!$I:$I,AC$1)*IF(AB84="Peso",$R84,1))</f>
        <v/>
      </c>
      <c r="AD84" s="4" t="str">
        <f>IF(AB84="","",SUMIFS(Prod_Prop!$J:$J,Prod_Prop!$B:$B,$Q84,Prod_Prop!$H:$H,AB84,Prod_Prop!$I:$I,AD$1)*IF(AB84="Peso",$R84,1))</f>
        <v/>
      </c>
    </row>
    <row r="85">
      <c r="A85" s="4" t="str">
        <f t="array" ref="A85">IF(COUNTIF(A$1:A84,Cotizador!F$2)=maxifs(Familias!E:E,Familias!D:D,Cotizador!F$2),IF(COUNTIF(A$1:A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" s="4" t="str">
        <f t="shared" si="1"/>
        <v/>
      </c>
      <c r="C85" s="4" t="str">
        <f t="array" ref="C85">IF(B85="","",IF(A85=XLOOKUP(A$2,Implementos!B:B,Implementos!C:C,"",0,1),B85+maxifs(B$1:B84,A$1:A84,A$2),B85))</f>
        <v/>
      </c>
      <c r="D85" s="4" t="str">
        <f>IF(B85="","", COUNTIFS(Productos!F:F,A85,Productos!H:H,B85)+IF(F85="SI",0,1))</f>
        <v/>
      </c>
      <c r="E85" s="4" t="str">
        <f>IFERROR(__xludf.DUMMYFUNCTION("IF($B85="""","""",INDEX(filter(Familias!F:F,Familias!$D:$D=$A85,Familias!$E:$E=$B85),1))"),"")</f>
        <v/>
      </c>
      <c r="F85" s="4" t="str">
        <f>IFERROR(__xludf.DUMMYFUNCTION("IF($B85="""","""",INDEX(filter(Familias!G:G,Familias!$D:$D=$A85,Familias!$E:$E=$B85),1))"),"")</f>
        <v/>
      </c>
      <c r="G85" s="4" t="str">
        <f t="array" ref="G85">IF(C85=1,XLOOKUP(C85,Cotizador!D:D,Cotizador!E:E,"",0,1),"")</f>
        <v/>
      </c>
      <c r="I85" s="4"/>
      <c r="J85" s="8" t="str">
        <f>IF(I85="","",SUMIF(Cotizador!I$1:V$1,I85,Cotizador!I$2:V$2))</f>
        <v/>
      </c>
      <c r="L85" s="4" t="str">
        <f t="array" ref="L85">IF(COUNTIF(L$1:L84,A$2)=SUMIF(A:A,A$2,D:D),IF(COUNTIF(L$1:L84,XLOOKUP(A$2,Implementos!B:B,Implementos!C:C,"",0,1))=SUMIF(A:A,XLOOKUP(A$2,Implementos!B:B,Implementos!C:C,"",0,1),D:D),"",XLOOKUP(A$2,Implementos!B:B,Implementos!C:C,"",0,1)),A$2)</f>
        <v>Rodados</v>
      </c>
      <c r="M85" s="4">
        <f t="shared" si="2"/>
        <v>84</v>
      </c>
      <c r="N85" s="4">
        <f t="shared" si="3"/>
        <v>2</v>
      </c>
      <c r="O85" s="4">
        <f t="shared" si="4"/>
        <v>6</v>
      </c>
      <c r="P85" s="4">
        <f t="shared" si="5"/>
        <v>9</v>
      </c>
      <c r="Q85" s="4">
        <f>IF(U85="","",SUMIF(Productos!E:E,U85,Productos!A:A))</f>
        <v>109</v>
      </c>
      <c r="R85" s="4">
        <f t="array" ref="R85">IF(L85="","", max(1,SUMIF(I:I,XLOOKUP(U85,Productos!E:E,Productos!G:G,"",0,1),J:J)))</f>
        <v>1</v>
      </c>
      <c r="S85" s="4" t="str">
        <f>IF(Q85="","",IF(SUMIFS(Compat_Vetado!D:D,Compat_Vetado!B:B,SUM(G:G),Compat_Vetado!C:C,Q85)=1,"SI",IF(OR(SUMIF(Cotizador!E:E,Q85,Cotizador!G:G)&gt;0,SUMIFS(Compat_Vetado!D:D,Compat_Vetado!B:B,SUM(G:G),Compat_Vetado!C:C,Q85)=-1),"NO","")))</f>
        <v/>
      </c>
      <c r="T85" s="4" t="str">
        <f t="shared" si="6"/>
        <v/>
      </c>
      <c r="U85" s="4" t="str">
        <f>IFERROR(__xludf.DUMMYFUNCTION("IF(P85="""","""",IFERROR(INDEX(filter(Productos!E:E,Productos!F:F=L85,Productos!H:H=N85),P85),IF(M85=SUM(D:D),""Finalizar"",""-"")))"),"Eje Acoplado 2 1/2"" x 2100 (09/11) Agrícola Centro 150")</f>
        <v>Eje Acoplado 2 1/2" x 2100 (09/11) Agrícola Centro 150</v>
      </c>
      <c r="V85" s="4" t="str">
        <f>IFERROR(__xludf.DUMMYFUNCTION("IF(OR($U85="""",COUNTIF($I:$I,IFERROR(unique(filter(Prod_Prop!$H:$H,Prod_Prop!$G:$G=$U85,Prod_Prop!$E:$E=V$1)),""Check""))=0),"""",IFERROR(unique(filter(Prod_Prop!$H:$H,Prod_Prop!$G:$G=$U85,Prod_Prop!$E:$E=V$1)),""""))"),"Peso")</f>
        <v>Peso</v>
      </c>
      <c r="W85" s="4">
        <f>IF(V85="","",SUMIFS(Prod_Prop!$J:$J,Prod_Prop!$B:$B,$Q85,Prod_Prop!$H:$H,V85,Prod_Prop!$I:$I,W$1)*IF(V85="Peso",$R85,1))</f>
        <v>1600</v>
      </c>
      <c r="X85" s="4">
        <f>IF(V85="","",SUMIFS(Prod_Prop!$J:$J,Prod_Prop!$B:$B,$Q85,Prod_Prop!$H:$H,V85,Prod_Prop!$I:$I,X$1)*IF(V85="Peso",$R85,1))</f>
        <v>4000</v>
      </c>
      <c r="Y85" s="4" t="str">
        <f>IFERROR(__xludf.DUMMYFUNCTION("IF(OR($U85="""",COUNTIF($I:$I,IFERROR(unique(filter(Prod_Prop!$H:$H,Prod_Prop!$G:$G=$U85,Prod_Prop!$E:$E=Y$1)),""Check""))=0),"""",IFERROR(unique(filter(Prod_Prop!$H:$H,Prod_Prop!$G:$G=$U85,Prod_Prop!$E:$E=Y$1)),""""))"),"")</f>
        <v/>
      </c>
      <c r="Z85" s="4" t="str">
        <f>IF(Y85="","",SUMIFS(Prod_Prop!$J:$J,Prod_Prop!$B:$B,$Q85,Prod_Prop!$H:$H,Y85,Prod_Prop!$I:$I,Z$1)*IF(Y85="Peso",$R85,1))</f>
        <v/>
      </c>
      <c r="AA85" s="4" t="str">
        <f>IF(Y85="","",SUMIFS(Prod_Prop!$J:$J,Prod_Prop!$B:$B,$Q85,Prod_Prop!$H:$H,Y85,Prod_Prop!$I:$I,AA$1)*IF(Y85="Peso",$R85,1))</f>
        <v/>
      </c>
      <c r="AB85" s="4" t="str">
        <f>IFERROR(__xludf.DUMMYFUNCTION("IF(OR($U85="""",COUNTIF($I:$I,IFERROR(unique(filter(Prod_Prop!$H:$H,Prod_Prop!$G:$G=$U85,Prod_Prop!$E:$E=AB$1)),""Check""))=0),"""",IFERROR(unique(filter(Prod_Prop!$H:$H,Prod_Prop!$G:$G=$U85,Prod_Prop!$E:$E=AB$1)),""""))"),"")</f>
        <v/>
      </c>
      <c r="AC85" s="4" t="str">
        <f>IF(AB85="","",SUMIFS(Prod_Prop!$J:$J,Prod_Prop!$B:$B,$Q85,Prod_Prop!$H:$H,AB85,Prod_Prop!$I:$I,AC$1)*IF(AB85="Peso",$R85,1))</f>
        <v/>
      </c>
      <c r="AD85" s="4" t="str">
        <f>IF(AB85="","",SUMIFS(Prod_Prop!$J:$J,Prod_Prop!$B:$B,$Q85,Prod_Prop!$H:$H,AB85,Prod_Prop!$I:$I,AD$1)*IF(AB85="Peso",$R85,1))</f>
        <v/>
      </c>
    </row>
    <row r="86">
      <c r="A86" s="4" t="str">
        <f t="array" ref="A86">IF(COUNTIF(A$1:A85,Cotizador!F$2)=maxifs(Familias!E:E,Familias!D:D,Cotizador!F$2),IF(COUNTIF(A$1:A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" s="4" t="str">
        <f t="shared" si="1"/>
        <v/>
      </c>
      <c r="C86" s="4" t="str">
        <f t="array" ref="C86">IF(B86="","",IF(A86=XLOOKUP(A$2,Implementos!B:B,Implementos!C:C,"",0,1),B86+maxifs(B$1:B85,A$1:A85,A$2),B86))</f>
        <v/>
      </c>
      <c r="D86" s="4" t="str">
        <f>IF(B86="","", COUNTIFS(Productos!F:F,A86,Productos!H:H,B86)+IF(F86="SI",0,1))</f>
        <v/>
      </c>
      <c r="E86" s="4" t="str">
        <f>IFERROR(__xludf.DUMMYFUNCTION("IF($B86="""","""",INDEX(filter(Familias!F:F,Familias!$D:$D=$A86,Familias!$E:$E=$B86),1))"),"")</f>
        <v/>
      </c>
      <c r="F86" s="4" t="str">
        <f>IFERROR(__xludf.DUMMYFUNCTION("IF($B86="""","""",INDEX(filter(Familias!G:G,Familias!$D:$D=$A86,Familias!$E:$E=$B86),1))"),"")</f>
        <v/>
      </c>
      <c r="G86" s="4" t="str">
        <f t="array" ref="G86">IF(C86=1,XLOOKUP(C86,Cotizador!D:D,Cotizador!E:E,"",0,1),"")</f>
        <v/>
      </c>
      <c r="I86" s="4"/>
      <c r="J86" s="8" t="str">
        <f>IF(I86="","",SUMIF(Cotizador!I$1:V$1,I86,Cotizador!I$2:V$2))</f>
        <v/>
      </c>
      <c r="L86" s="4" t="str">
        <f t="array" ref="L86">IF(COUNTIF(L$1:L85,A$2)=SUMIF(A:A,A$2,D:D),IF(COUNTIF(L$1:L85,XLOOKUP(A$2,Implementos!B:B,Implementos!C:C,"",0,1))=SUMIF(A:A,XLOOKUP(A$2,Implementos!B:B,Implementos!C:C,"",0,1),D:D),"",XLOOKUP(A$2,Implementos!B:B,Implementos!C:C,"",0,1)),A$2)</f>
        <v>Rodados</v>
      </c>
      <c r="M86" s="4">
        <f t="shared" si="2"/>
        <v>85</v>
      </c>
      <c r="N86" s="4">
        <f t="shared" si="3"/>
        <v>2</v>
      </c>
      <c r="O86" s="4">
        <f t="shared" si="4"/>
        <v>6</v>
      </c>
      <c r="P86" s="4">
        <f t="shared" si="5"/>
        <v>10</v>
      </c>
      <c r="Q86" s="4">
        <f>IF(U86="","",SUMIF(Productos!E:E,U86,Productos!A:A))</f>
        <v>116</v>
      </c>
      <c r="R86" s="4">
        <f t="array" ref="R86">IF(L86="","", max(1,SUMIF(I:I,XLOOKUP(U86,Productos!E:E,Productos!G:G,"",0,1),J:J)))</f>
        <v>1</v>
      </c>
      <c r="S86" s="4" t="str">
        <f>IF(Q86="","",IF(SUMIFS(Compat_Vetado!D:D,Compat_Vetado!B:B,SUM(G:G),Compat_Vetado!C:C,Q86)=1,"SI",IF(OR(SUMIF(Cotizador!E:E,Q86,Cotizador!G:G)&gt;0,SUMIFS(Compat_Vetado!D:D,Compat_Vetado!B:B,SUM(G:G),Compat_Vetado!C:C,Q86)=-1),"NO","")))</f>
        <v/>
      </c>
      <c r="T86" s="4" t="str">
        <f t="shared" si="6"/>
        <v/>
      </c>
      <c r="U86" s="4" t="str">
        <f>IFERROR(__xludf.DUMMYFUNCTION("IF(P86="""","""",IFERROR(INDEX(filter(Productos!E:E,Productos!F:F=L86,Productos!H:H=N86),P86),IF(M86=SUM(D:D),""Finalizar"",""-"")))"),"Eje Acoplado 2"" x 1600 (05/07) Agrícola Centro 92")</f>
        <v>Eje Acoplado 2" x 1600 (05/07) Agrícola Centro 92</v>
      </c>
      <c r="V86" s="4" t="str">
        <f>IFERROR(__xludf.DUMMYFUNCTION("IF(OR($U86="""",COUNTIF($I:$I,IFERROR(unique(filter(Prod_Prop!$H:$H,Prod_Prop!$G:$G=$U86,Prod_Prop!$E:$E=V$1)),""Check""))=0),"""",IFERROR(unique(filter(Prod_Prop!$H:$H,Prod_Prop!$G:$G=$U86,Prod_Prop!$E:$E=V$1)),""""))"),"Peso")</f>
        <v>Peso</v>
      </c>
      <c r="W86" s="4">
        <f>IF(V86="","",SUMIFS(Prod_Prop!$J:$J,Prod_Prop!$B:$B,$Q86,Prod_Prop!$H:$H,V86,Prod_Prop!$I:$I,W$1)*IF(V86="Peso",$R86,1))</f>
        <v>500</v>
      </c>
      <c r="X86" s="4">
        <f>IF(V86="","",SUMIFS(Prod_Prop!$J:$J,Prod_Prop!$B:$B,$Q86,Prod_Prop!$H:$H,V86,Prod_Prop!$I:$I,X$1)*IF(V86="Peso",$R86,1))</f>
        <v>1250</v>
      </c>
      <c r="Y86" s="4" t="str">
        <f>IFERROR(__xludf.DUMMYFUNCTION("IF(OR($U86="""",COUNTIF($I:$I,IFERROR(unique(filter(Prod_Prop!$H:$H,Prod_Prop!$G:$G=$U86,Prod_Prop!$E:$E=Y$1)),""Check""))=0),"""",IFERROR(unique(filter(Prod_Prop!$H:$H,Prod_Prop!$G:$G=$U86,Prod_Prop!$E:$E=Y$1)),""""))"),"")</f>
        <v/>
      </c>
      <c r="Z86" s="4" t="str">
        <f>IF(Y86="","",SUMIFS(Prod_Prop!$J:$J,Prod_Prop!$B:$B,$Q86,Prod_Prop!$H:$H,Y86,Prod_Prop!$I:$I,Z$1)*IF(Y86="Peso",$R86,1))</f>
        <v/>
      </c>
      <c r="AA86" s="4" t="str">
        <f>IF(Y86="","",SUMIFS(Prod_Prop!$J:$J,Prod_Prop!$B:$B,$Q86,Prod_Prop!$H:$H,Y86,Prod_Prop!$I:$I,AA$1)*IF(Y86="Peso",$R86,1))</f>
        <v/>
      </c>
      <c r="AB86" s="4" t="str">
        <f>IFERROR(__xludf.DUMMYFUNCTION("IF(OR($U86="""",COUNTIF($I:$I,IFERROR(unique(filter(Prod_Prop!$H:$H,Prod_Prop!$G:$G=$U86,Prod_Prop!$E:$E=AB$1)),""Check""))=0),"""",IFERROR(unique(filter(Prod_Prop!$H:$H,Prod_Prop!$G:$G=$U86,Prod_Prop!$E:$E=AB$1)),""""))"),"")</f>
        <v/>
      </c>
      <c r="AC86" s="4" t="str">
        <f>IF(AB86="","",SUMIFS(Prod_Prop!$J:$J,Prod_Prop!$B:$B,$Q86,Prod_Prop!$H:$H,AB86,Prod_Prop!$I:$I,AC$1)*IF(AB86="Peso",$R86,1))</f>
        <v/>
      </c>
      <c r="AD86" s="4" t="str">
        <f>IF(AB86="","",SUMIFS(Prod_Prop!$J:$J,Prod_Prop!$B:$B,$Q86,Prod_Prop!$H:$H,AB86,Prod_Prop!$I:$I,AD$1)*IF(AB86="Peso",$R86,1))</f>
        <v/>
      </c>
    </row>
    <row r="87">
      <c r="A87" s="4" t="str">
        <f t="array" ref="A87">IF(COUNTIF(A$1:A86,Cotizador!F$2)=maxifs(Familias!E:E,Familias!D:D,Cotizador!F$2),IF(COUNTIF(A$1:A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" s="4" t="str">
        <f t="shared" si="1"/>
        <v/>
      </c>
      <c r="C87" s="4" t="str">
        <f t="array" ref="C87">IF(B87="","",IF(A87=XLOOKUP(A$2,Implementos!B:B,Implementos!C:C,"",0,1),B87+maxifs(B$1:B86,A$1:A86,A$2),B87))</f>
        <v/>
      </c>
      <c r="D87" s="4" t="str">
        <f>IF(B87="","", COUNTIFS(Productos!F:F,A87,Productos!H:H,B87)+IF(F87="SI",0,1))</f>
        <v/>
      </c>
      <c r="E87" s="4" t="str">
        <f>IFERROR(__xludf.DUMMYFUNCTION("IF($B87="""","""",INDEX(filter(Familias!F:F,Familias!$D:$D=$A87,Familias!$E:$E=$B87),1))"),"")</f>
        <v/>
      </c>
      <c r="F87" s="4" t="str">
        <f>IFERROR(__xludf.DUMMYFUNCTION("IF($B87="""","""",INDEX(filter(Familias!G:G,Familias!$D:$D=$A87,Familias!$E:$E=$B87),1))"),"")</f>
        <v/>
      </c>
      <c r="G87" s="4" t="str">
        <f t="array" ref="G87">IF(C87=1,XLOOKUP(C87,Cotizador!D:D,Cotizador!E:E,"",0,1),"")</f>
        <v/>
      </c>
      <c r="I87" s="4"/>
      <c r="J87" s="8" t="str">
        <f>IF(I87="","",SUMIF(Cotizador!I$1:V$1,I87,Cotizador!I$2:V$2))</f>
        <v/>
      </c>
      <c r="L87" s="4" t="str">
        <f t="array" ref="L87">IF(COUNTIF(L$1:L86,A$2)=SUMIF(A:A,A$2,D:D),IF(COUNTIF(L$1:L86,XLOOKUP(A$2,Implementos!B:B,Implementos!C:C,"",0,1))=SUMIF(A:A,XLOOKUP(A$2,Implementos!B:B,Implementos!C:C,"",0,1),D:D),"",XLOOKUP(A$2,Implementos!B:B,Implementos!C:C,"",0,1)),A$2)</f>
        <v>Rodados</v>
      </c>
      <c r="M87" s="4">
        <f t="shared" si="2"/>
        <v>86</v>
      </c>
      <c r="N87" s="4">
        <f t="shared" si="3"/>
        <v>3</v>
      </c>
      <c r="O87" s="4">
        <f t="shared" si="4"/>
        <v>7</v>
      </c>
      <c r="P87" s="4">
        <f t="shared" si="5"/>
        <v>1</v>
      </c>
      <c r="Q87" s="4">
        <f>IF(U87="","",SUMIF(Productos!E:E,U87,Productos!A:A))</f>
        <v>94</v>
      </c>
      <c r="R87" s="4">
        <f t="array" ref="R87">IF(L87="","", max(1,SUMIF(I:I,XLOOKUP(U87,Productos!E:E,Productos!G:G,"",0,1),J:J)))</f>
        <v>1</v>
      </c>
      <c r="S87" s="4" t="str">
        <f>IF(Q87="","",IF(SUMIFS(Compat_Vetado!D:D,Compat_Vetado!B:B,SUM(G:G),Compat_Vetado!C:C,Q87)=1,"SI",IF(OR(SUMIF(Cotizador!E:E,Q87,Cotizador!G:G)&gt;0,SUMIFS(Compat_Vetado!D:D,Compat_Vetado!B:B,SUM(G:G),Compat_Vetado!C:C,Q87)=-1),"NO","")))</f>
        <v/>
      </c>
      <c r="T87" s="4" t="str">
        <f t="shared" si="6"/>
        <v/>
      </c>
      <c r="U87" s="4" t="str">
        <f>IFERROR(__xludf.DUMMYFUNCTION("IF(P87="""","""",IFERROR(INDEX(filter(Productos!E:E,Productos!F:F=L87,Productos!H:H=N87),P87),IF(M87=SUM(D:D),""Finalizar"",""-"")))"),"Paquete de Elasticos 50 mm x 8 mm x 10 Hojas L850")</f>
        <v>Paquete de Elasticos 50 mm x 8 mm x 10 Hojas L850</v>
      </c>
      <c r="V87" s="4" t="str">
        <f>IFERROR(__xludf.DUMMYFUNCTION("IF(OR($U87="""",COUNTIF($I:$I,IFERROR(unique(filter(Prod_Prop!$H:$H,Prod_Prop!$G:$G=$U87,Prod_Prop!$E:$E=V$1)),""Check""))=0),"""",IFERROR(unique(filter(Prod_Prop!$H:$H,Prod_Prop!$G:$G=$U87,Prod_Prop!$E:$E=V$1)),""""))"),"Peso")</f>
        <v>Peso</v>
      </c>
      <c r="W87" s="4">
        <f>IF(V87="","",SUMIFS(Prod_Prop!$J:$J,Prod_Prop!$B:$B,$Q87,Prod_Prop!$H:$H,V87,Prod_Prop!$I:$I,W$1)*IF(V87="Peso",$R87,1))</f>
        <v>600</v>
      </c>
      <c r="X87" s="4">
        <f>IF(V87="","",SUMIFS(Prod_Prop!$J:$J,Prod_Prop!$B:$B,$Q87,Prod_Prop!$H:$H,V87,Prod_Prop!$I:$I,X$1)*IF(V87="Peso",$R87,1))</f>
        <v>1000</v>
      </c>
      <c r="Y87" s="4" t="str">
        <f>IFERROR(__xludf.DUMMYFUNCTION("IF(OR($U87="""",COUNTIF($I:$I,IFERROR(unique(filter(Prod_Prop!$H:$H,Prod_Prop!$G:$G=$U87,Prod_Prop!$E:$E=Y$1)),""Check""))=0),"""",IFERROR(unique(filter(Prod_Prop!$H:$H,Prod_Prop!$G:$G=$U87,Prod_Prop!$E:$E=Y$1)),""""))"),"")</f>
        <v/>
      </c>
      <c r="Z87" s="4" t="str">
        <f>IF(Y87="","",SUMIFS(Prod_Prop!$J:$J,Prod_Prop!$B:$B,$Q87,Prod_Prop!$H:$H,Y87,Prod_Prop!$I:$I,Z$1)*IF(Y87="Peso",$R87,1))</f>
        <v/>
      </c>
      <c r="AA87" s="4" t="str">
        <f>IF(Y87="","",SUMIFS(Prod_Prop!$J:$J,Prod_Prop!$B:$B,$Q87,Prod_Prop!$H:$H,Y87,Prod_Prop!$I:$I,AA$1)*IF(Y87="Peso",$R87,1))</f>
        <v/>
      </c>
      <c r="AB87" s="4" t="str">
        <f>IFERROR(__xludf.DUMMYFUNCTION("IF(OR($U87="""",COUNTIF($I:$I,IFERROR(unique(filter(Prod_Prop!$H:$H,Prod_Prop!$G:$G=$U87,Prod_Prop!$E:$E=AB$1)),""Check""))=0),"""",IFERROR(unique(filter(Prod_Prop!$H:$H,Prod_Prop!$G:$G=$U87,Prod_Prop!$E:$E=AB$1)),""""))"),"")</f>
        <v/>
      </c>
      <c r="AC87" s="4" t="str">
        <f>IF(AB87="","",SUMIFS(Prod_Prop!$J:$J,Prod_Prop!$B:$B,$Q87,Prod_Prop!$H:$H,AB87,Prod_Prop!$I:$I,AC$1)*IF(AB87="Peso",$R87,1))</f>
        <v/>
      </c>
      <c r="AD87" s="4" t="str">
        <f>IF(AB87="","",SUMIFS(Prod_Prop!$J:$J,Prod_Prop!$B:$B,$Q87,Prod_Prop!$H:$H,AB87,Prod_Prop!$I:$I,AD$1)*IF(AB87="Peso",$R87,1))</f>
        <v/>
      </c>
    </row>
    <row r="88">
      <c r="A88" s="4" t="str">
        <f t="array" ref="A88">IF(COUNTIF(A$1:A87,Cotizador!F$2)=maxifs(Familias!E:E,Familias!D:D,Cotizador!F$2),IF(COUNTIF(A$1:A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" s="4" t="str">
        <f t="shared" si="1"/>
        <v/>
      </c>
      <c r="C88" s="4" t="str">
        <f t="array" ref="C88">IF(B88="","",IF(A88=XLOOKUP(A$2,Implementos!B:B,Implementos!C:C,"",0,1),B88+maxifs(B$1:B87,A$1:A87,A$2),B88))</f>
        <v/>
      </c>
      <c r="D88" s="4" t="str">
        <f>IF(B88="","", COUNTIFS(Productos!F:F,A88,Productos!H:H,B88)+IF(F88="SI",0,1))</f>
        <v/>
      </c>
      <c r="E88" s="4" t="str">
        <f>IFERROR(__xludf.DUMMYFUNCTION("IF($B88="""","""",INDEX(filter(Familias!F:F,Familias!$D:$D=$A88,Familias!$E:$E=$B88),1))"),"")</f>
        <v/>
      </c>
      <c r="F88" s="4" t="str">
        <f>IFERROR(__xludf.DUMMYFUNCTION("IF($B88="""","""",INDEX(filter(Familias!G:G,Familias!$D:$D=$A88,Familias!$E:$E=$B88),1))"),"")</f>
        <v/>
      </c>
      <c r="G88" s="4" t="str">
        <f t="array" ref="G88">IF(C88=1,XLOOKUP(C88,Cotizador!D:D,Cotizador!E:E,"",0,1),"")</f>
        <v/>
      </c>
      <c r="I88" s="4"/>
      <c r="J88" s="8" t="str">
        <f>IF(I88="","",SUMIF(Cotizador!I$1:V$1,I88,Cotizador!I$2:V$2))</f>
        <v/>
      </c>
      <c r="L88" s="4" t="str">
        <f t="array" ref="L88">IF(COUNTIF(L$1:L87,A$2)=SUMIF(A:A,A$2,D:D),IF(COUNTIF(L$1:L87,XLOOKUP(A$2,Implementos!B:B,Implementos!C:C,"",0,1))=SUMIF(A:A,XLOOKUP(A$2,Implementos!B:B,Implementos!C:C,"",0,1),D:D),"",XLOOKUP(A$2,Implementos!B:B,Implementos!C:C,"",0,1)),A$2)</f>
        <v>Rodados</v>
      </c>
      <c r="M88" s="4">
        <f t="shared" si="2"/>
        <v>87</v>
      </c>
      <c r="N88" s="4">
        <f t="shared" si="3"/>
        <v>3</v>
      </c>
      <c r="O88" s="4">
        <f t="shared" si="4"/>
        <v>7</v>
      </c>
      <c r="P88" s="4">
        <f t="shared" si="5"/>
        <v>2</v>
      </c>
      <c r="Q88" s="4">
        <f>IF(U88="","",SUMIF(Productos!E:E,U88,Productos!A:A))</f>
        <v>95</v>
      </c>
      <c r="R88" s="4">
        <f t="array" ref="R88">IF(L88="","", max(1,SUMIF(I:I,XLOOKUP(U88,Productos!E:E,Productos!G:G,"",0,1),J:J)))</f>
        <v>1</v>
      </c>
      <c r="S88" s="4" t="str">
        <f>IF(Q88="","",IF(SUMIFS(Compat_Vetado!D:D,Compat_Vetado!B:B,SUM(G:G),Compat_Vetado!C:C,Q88)=1,"SI",IF(OR(SUMIF(Cotizador!E:E,Q88,Cotizador!G:G)&gt;0,SUMIFS(Compat_Vetado!D:D,Compat_Vetado!B:B,SUM(G:G),Compat_Vetado!C:C,Q88)=-1),"NO","")))</f>
        <v/>
      </c>
      <c r="T88" s="4" t="str">
        <f t="shared" si="6"/>
        <v/>
      </c>
      <c r="U88" s="4" t="str">
        <f>IFERROR(__xludf.DUMMYFUNCTION("IF(P88="""","""",IFERROR(INDEX(filter(Productos!E:E,Productos!F:F=L88,Productos!H:H=N88),P88),IF(M88=SUM(D:D),""Finalizar"",""-"")))"),"Paquete de Elasticos 63 mm x 8 mm x 10 Hojas L950")</f>
        <v>Paquete de Elasticos 63 mm x 8 mm x 10 Hojas L950</v>
      </c>
      <c r="V88" s="4" t="str">
        <f>IFERROR(__xludf.DUMMYFUNCTION("IF(OR($U88="""",COUNTIF($I:$I,IFERROR(unique(filter(Prod_Prop!$H:$H,Prod_Prop!$G:$G=$U88,Prod_Prop!$E:$E=V$1)),""Check""))=0),"""",IFERROR(unique(filter(Prod_Prop!$H:$H,Prod_Prop!$G:$G=$U88,Prod_Prop!$E:$E=V$1)),""""))"),"Peso")</f>
        <v>Peso</v>
      </c>
      <c r="W88" s="4">
        <f>IF(V88="","",SUMIFS(Prod_Prop!$J:$J,Prod_Prop!$B:$B,$Q88,Prod_Prop!$H:$H,V88,Prod_Prop!$I:$I,W$1)*IF(V88="Peso",$R88,1))</f>
        <v>900</v>
      </c>
      <c r="X88" s="4">
        <f>IF(V88="","",SUMIFS(Prod_Prop!$J:$J,Prod_Prop!$B:$B,$Q88,Prod_Prop!$H:$H,V88,Prod_Prop!$I:$I,X$1)*IF(V88="Peso",$R88,1))</f>
        <v>1500</v>
      </c>
      <c r="Y88" s="4" t="str">
        <f>IFERROR(__xludf.DUMMYFUNCTION("IF(OR($U88="""",COUNTIF($I:$I,IFERROR(unique(filter(Prod_Prop!$H:$H,Prod_Prop!$G:$G=$U88,Prod_Prop!$E:$E=Y$1)),""Check""))=0),"""",IFERROR(unique(filter(Prod_Prop!$H:$H,Prod_Prop!$G:$G=$U88,Prod_Prop!$E:$E=Y$1)),""""))"),"")</f>
        <v/>
      </c>
      <c r="Z88" s="4" t="str">
        <f>IF(Y88="","",SUMIFS(Prod_Prop!$J:$J,Prod_Prop!$B:$B,$Q88,Prod_Prop!$H:$H,Y88,Prod_Prop!$I:$I,Z$1)*IF(Y88="Peso",$R88,1))</f>
        <v/>
      </c>
      <c r="AA88" s="4" t="str">
        <f>IF(Y88="","",SUMIFS(Prod_Prop!$J:$J,Prod_Prop!$B:$B,$Q88,Prod_Prop!$H:$H,Y88,Prod_Prop!$I:$I,AA$1)*IF(Y88="Peso",$R88,1))</f>
        <v/>
      </c>
      <c r="AB88" s="4" t="str">
        <f>IFERROR(__xludf.DUMMYFUNCTION("IF(OR($U88="""",COUNTIF($I:$I,IFERROR(unique(filter(Prod_Prop!$H:$H,Prod_Prop!$G:$G=$U88,Prod_Prop!$E:$E=AB$1)),""Check""))=0),"""",IFERROR(unique(filter(Prod_Prop!$H:$H,Prod_Prop!$G:$G=$U88,Prod_Prop!$E:$E=AB$1)),""""))"),"")</f>
        <v/>
      </c>
      <c r="AC88" s="4" t="str">
        <f>IF(AB88="","",SUMIFS(Prod_Prop!$J:$J,Prod_Prop!$B:$B,$Q88,Prod_Prop!$H:$H,AB88,Prod_Prop!$I:$I,AC$1)*IF(AB88="Peso",$R88,1))</f>
        <v/>
      </c>
      <c r="AD88" s="4" t="str">
        <f>IF(AB88="","",SUMIFS(Prod_Prop!$J:$J,Prod_Prop!$B:$B,$Q88,Prod_Prop!$H:$H,AB88,Prod_Prop!$I:$I,AD$1)*IF(AB88="Peso",$R88,1))</f>
        <v/>
      </c>
    </row>
    <row r="89">
      <c r="A89" s="4" t="str">
        <f t="array" ref="A89">IF(COUNTIF(A$1:A88,Cotizador!F$2)=maxifs(Familias!E:E,Familias!D:D,Cotizador!F$2),IF(COUNTIF(A$1:A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" s="4" t="str">
        <f t="shared" si="1"/>
        <v/>
      </c>
      <c r="C89" s="4" t="str">
        <f t="array" ref="C89">IF(B89="","",IF(A89=XLOOKUP(A$2,Implementos!B:B,Implementos!C:C,"",0,1),B89+maxifs(B$1:B88,A$1:A88,A$2),B89))</f>
        <v/>
      </c>
      <c r="D89" s="4" t="str">
        <f>IF(B89="","", COUNTIFS(Productos!F:F,A89,Productos!H:H,B89)+IF(F89="SI",0,1))</f>
        <v/>
      </c>
      <c r="E89" s="4" t="str">
        <f>IFERROR(__xludf.DUMMYFUNCTION("IF($B89="""","""",INDEX(filter(Familias!F:F,Familias!$D:$D=$A89,Familias!$E:$E=$B89),1))"),"")</f>
        <v/>
      </c>
      <c r="F89" s="4" t="str">
        <f>IFERROR(__xludf.DUMMYFUNCTION("IF($B89="""","""",INDEX(filter(Familias!G:G,Familias!$D:$D=$A89,Familias!$E:$E=$B89),1))"),"")</f>
        <v/>
      </c>
      <c r="G89" s="4" t="str">
        <f t="array" ref="G89">IF(C89=1,XLOOKUP(C89,Cotizador!D:D,Cotizador!E:E,"",0,1),"")</f>
        <v/>
      </c>
      <c r="I89" s="4"/>
      <c r="J89" s="8" t="str">
        <f>IF(I89="","",SUMIF(Cotizador!I$1:V$1,I89,Cotizador!I$2:V$2))</f>
        <v/>
      </c>
      <c r="L89" s="4" t="str">
        <f t="array" ref="L89">IF(COUNTIF(L$1:L88,A$2)=SUMIF(A:A,A$2,D:D),IF(COUNTIF(L$1:L88,XLOOKUP(A$2,Implementos!B:B,Implementos!C:C,"",0,1))=SUMIF(A:A,XLOOKUP(A$2,Implementos!B:B,Implementos!C:C,"",0,1),D:D),"",XLOOKUP(A$2,Implementos!B:B,Implementos!C:C,"",0,1)),A$2)</f>
        <v>Rodados</v>
      </c>
      <c r="M89" s="4">
        <f t="shared" si="2"/>
        <v>88</v>
      </c>
      <c r="N89" s="4">
        <f t="shared" si="3"/>
        <v>3</v>
      </c>
      <c r="O89" s="4">
        <f t="shared" si="4"/>
        <v>7</v>
      </c>
      <c r="P89" s="4">
        <f t="shared" si="5"/>
        <v>3</v>
      </c>
      <c r="Q89" s="4">
        <f>IF(U89="","",SUMIF(Productos!E:E,U89,Productos!A:A))</f>
        <v>96</v>
      </c>
      <c r="R89" s="4">
        <f t="array" ref="R89">IF(L89="","", max(1,SUMIF(I:I,XLOOKUP(U89,Productos!E:E,Productos!G:G,"",0,1),J:J)))</f>
        <v>1</v>
      </c>
      <c r="S89" s="4" t="str">
        <f>IF(Q89="","",IF(SUMIFS(Compat_Vetado!D:D,Compat_Vetado!B:B,SUM(G:G),Compat_Vetado!C:C,Q89)=1,"SI",IF(OR(SUMIF(Cotizador!E:E,Q89,Cotizador!G:G)&gt;0,SUMIFS(Compat_Vetado!D:D,Compat_Vetado!B:B,SUM(G:G),Compat_Vetado!C:C,Q89)=-1),"NO","")))</f>
        <v/>
      </c>
      <c r="T89" s="4" t="str">
        <f t="shared" si="6"/>
        <v/>
      </c>
      <c r="U89" s="4" t="str">
        <f>IFERROR(__xludf.DUMMYFUNCTION("IF(P89="""","""",IFERROR(INDEX(filter(Productos!E:E,Productos!F:F=L89,Productos!H:H=N89),P89),IF(M89=SUM(D:D),""Finalizar"",""-"")))"),"Paquete de Elasticos 50 mm x 7 mm x 9 Hojas L850")</f>
        <v>Paquete de Elasticos 50 mm x 7 mm x 9 Hojas L850</v>
      </c>
      <c r="V89" s="4" t="str">
        <f>IFERROR(__xludf.DUMMYFUNCTION("IF(OR($U89="""",COUNTIF($I:$I,IFERROR(unique(filter(Prod_Prop!$H:$H,Prod_Prop!$G:$G=$U89,Prod_Prop!$E:$E=V$1)),""Check""))=0),"""",IFERROR(unique(filter(Prod_Prop!$H:$H,Prod_Prop!$G:$G=$U89,Prod_Prop!$E:$E=V$1)),""""))"),"Peso")</f>
        <v>Peso</v>
      </c>
      <c r="W89" s="4">
        <f>IF(V89="","",SUMIFS(Prod_Prop!$J:$J,Prod_Prop!$B:$B,$Q89,Prod_Prop!$H:$H,V89,Prod_Prop!$I:$I,W$1)*IF(V89="Peso",$R89,1))</f>
        <v>450</v>
      </c>
      <c r="X89" s="4">
        <f>IF(V89="","",SUMIFS(Prod_Prop!$J:$J,Prod_Prop!$B:$B,$Q89,Prod_Prop!$H:$H,V89,Prod_Prop!$I:$I,X$1)*IF(V89="Peso",$R89,1))</f>
        <v>750</v>
      </c>
      <c r="Y89" s="4" t="str">
        <f>IFERROR(__xludf.DUMMYFUNCTION("IF(OR($U89="""",COUNTIF($I:$I,IFERROR(unique(filter(Prod_Prop!$H:$H,Prod_Prop!$G:$G=$U89,Prod_Prop!$E:$E=Y$1)),""Check""))=0),"""",IFERROR(unique(filter(Prod_Prop!$H:$H,Prod_Prop!$G:$G=$U89,Prod_Prop!$E:$E=Y$1)),""""))"),"")</f>
        <v/>
      </c>
      <c r="Z89" s="4" t="str">
        <f>IF(Y89="","",SUMIFS(Prod_Prop!$J:$J,Prod_Prop!$B:$B,$Q89,Prod_Prop!$H:$H,Y89,Prod_Prop!$I:$I,Z$1)*IF(Y89="Peso",$R89,1))</f>
        <v/>
      </c>
      <c r="AA89" s="4" t="str">
        <f>IF(Y89="","",SUMIFS(Prod_Prop!$J:$J,Prod_Prop!$B:$B,$Q89,Prod_Prop!$H:$H,Y89,Prod_Prop!$I:$I,AA$1)*IF(Y89="Peso",$R89,1))</f>
        <v/>
      </c>
      <c r="AB89" s="4" t="str">
        <f>IFERROR(__xludf.DUMMYFUNCTION("IF(OR($U89="""",COUNTIF($I:$I,IFERROR(unique(filter(Prod_Prop!$H:$H,Prod_Prop!$G:$G=$U89,Prod_Prop!$E:$E=AB$1)),""Check""))=0),"""",IFERROR(unique(filter(Prod_Prop!$H:$H,Prod_Prop!$G:$G=$U89,Prod_Prop!$E:$E=AB$1)),""""))"),"")</f>
        <v/>
      </c>
      <c r="AC89" s="4" t="str">
        <f>IF(AB89="","",SUMIFS(Prod_Prop!$J:$J,Prod_Prop!$B:$B,$Q89,Prod_Prop!$H:$H,AB89,Prod_Prop!$I:$I,AC$1)*IF(AB89="Peso",$R89,1))</f>
        <v/>
      </c>
      <c r="AD89" s="4" t="str">
        <f>IF(AB89="","",SUMIFS(Prod_Prop!$J:$J,Prod_Prop!$B:$B,$Q89,Prod_Prop!$H:$H,AB89,Prod_Prop!$I:$I,AD$1)*IF(AB89="Peso",$R89,1))</f>
        <v/>
      </c>
    </row>
    <row r="90">
      <c r="A90" s="4" t="str">
        <f t="array" ref="A90">IF(COUNTIF(A$1:A89,Cotizador!F$2)=maxifs(Familias!E:E,Familias!D:D,Cotizador!F$2),IF(COUNTIF(A$1:A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" s="4" t="str">
        <f t="shared" si="1"/>
        <v/>
      </c>
      <c r="C90" s="4" t="str">
        <f t="array" ref="C90">IF(B90="","",IF(A90=XLOOKUP(A$2,Implementos!B:B,Implementos!C:C,"",0,1),B90+maxifs(B$1:B89,A$1:A89,A$2),B90))</f>
        <v/>
      </c>
      <c r="D90" s="4" t="str">
        <f>IF(B90="","", COUNTIFS(Productos!F:F,A90,Productos!H:H,B90)+IF(F90="SI",0,1))</f>
        <v/>
      </c>
      <c r="E90" s="4" t="str">
        <f>IFERROR(__xludf.DUMMYFUNCTION("IF($B90="""","""",INDEX(filter(Familias!F:F,Familias!$D:$D=$A90,Familias!$E:$E=$B90),1))"),"")</f>
        <v/>
      </c>
      <c r="F90" s="4" t="str">
        <f>IFERROR(__xludf.DUMMYFUNCTION("IF($B90="""","""",INDEX(filter(Familias!G:G,Familias!$D:$D=$A90,Familias!$E:$E=$B90),1))"),"")</f>
        <v/>
      </c>
      <c r="G90" s="4" t="str">
        <f t="array" ref="G90">IF(C90=1,XLOOKUP(C90,Cotizador!D:D,Cotizador!E:E,"",0,1),"")</f>
        <v/>
      </c>
      <c r="I90" s="4"/>
      <c r="J90" s="8" t="str">
        <f>IF(I90="","",SUMIF(Cotizador!I$1:V$1,I90,Cotizador!I$2:V$2))</f>
        <v/>
      </c>
      <c r="L90" s="4" t="str">
        <f t="array" ref="L90">IF(COUNTIF(L$1:L89,A$2)=SUMIF(A:A,A$2,D:D),IF(COUNTIF(L$1:L89,XLOOKUP(A$2,Implementos!B:B,Implementos!C:C,"",0,1))=SUMIF(A:A,XLOOKUP(A$2,Implementos!B:B,Implementos!C:C,"",0,1),D:D),"",XLOOKUP(A$2,Implementos!B:B,Implementos!C:C,"",0,1)),A$2)</f>
        <v>Rodados</v>
      </c>
      <c r="M90" s="4">
        <f t="shared" si="2"/>
        <v>89</v>
      </c>
      <c r="N90" s="4">
        <f t="shared" si="3"/>
        <v>3</v>
      </c>
      <c r="O90" s="4">
        <f t="shared" si="4"/>
        <v>7</v>
      </c>
      <c r="P90" s="4">
        <f t="shared" si="5"/>
        <v>4</v>
      </c>
      <c r="Q90" s="4">
        <f>IF(U90="","",SUMIF(Productos!E:E,U90,Productos!A:A))</f>
        <v>97</v>
      </c>
      <c r="R90" s="4">
        <f t="array" ref="R90">IF(L90="","", max(1,SUMIF(I:I,XLOOKUP(U90,Productos!E:E,Productos!G:G,"",0,1),J:J)))</f>
        <v>1</v>
      </c>
      <c r="S90" s="4" t="str">
        <f>IF(Q90="","",IF(SUMIFS(Compat_Vetado!D:D,Compat_Vetado!B:B,SUM(G:G),Compat_Vetado!C:C,Q90)=1,"SI",IF(OR(SUMIF(Cotizador!E:E,Q90,Cotizador!G:G)&gt;0,SUMIFS(Compat_Vetado!D:D,Compat_Vetado!B:B,SUM(G:G),Compat_Vetado!C:C,Q90)=-1),"NO","")))</f>
        <v/>
      </c>
      <c r="T90" s="4" t="str">
        <f t="shared" si="6"/>
        <v/>
      </c>
      <c r="U90" s="4" t="str">
        <f>IFERROR(__xludf.DUMMYFUNCTION("IF(P90="""","""",IFERROR(INDEX(filter(Productos!E:E,Productos!F:F=L90,Productos!H:H=N90),P90),IF(M90=SUM(D:D),""Finalizar"",""-"")))"),"Paquete de Elasticos 63 mm x 8 mm x 8 Hojas L850")</f>
        <v>Paquete de Elasticos 63 mm x 8 mm x 8 Hojas L850</v>
      </c>
      <c r="V90" s="4" t="str">
        <f>IFERROR(__xludf.DUMMYFUNCTION("IF(OR($U90="""",COUNTIF($I:$I,IFERROR(unique(filter(Prod_Prop!$H:$H,Prod_Prop!$G:$G=$U90,Prod_Prop!$E:$E=V$1)),""Check""))=0),"""",IFERROR(unique(filter(Prod_Prop!$H:$H,Prod_Prop!$G:$G=$U90,Prod_Prop!$E:$E=V$1)),""""))"),"Peso")</f>
        <v>Peso</v>
      </c>
      <c r="W90" s="4">
        <f>IF(V90="","",SUMIFS(Prod_Prop!$J:$J,Prod_Prop!$B:$B,$Q90,Prod_Prop!$H:$H,V90,Prod_Prop!$I:$I,W$1)*IF(V90="Peso",$R90,1))</f>
        <v>750</v>
      </c>
      <c r="X90" s="4">
        <f>IF(V90="","",SUMIFS(Prod_Prop!$J:$J,Prod_Prop!$B:$B,$Q90,Prod_Prop!$H:$H,V90,Prod_Prop!$I:$I,X$1)*IF(V90="Peso",$R90,1))</f>
        <v>1250</v>
      </c>
      <c r="Y90" s="4" t="str">
        <f>IFERROR(__xludf.DUMMYFUNCTION("IF(OR($U90="""",COUNTIF($I:$I,IFERROR(unique(filter(Prod_Prop!$H:$H,Prod_Prop!$G:$G=$U90,Prod_Prop!$E:$E=Y$1)),""Check""))=0),"""",IFERROR(unique(filter(Prod_Prop!$H:$H,Prod_Prop!$G:$G=$U90,Prod_Prop!$E:$E=Y$1)),""""))"),"")</f>
        <v/>
      </c>
      <c r="Z90" s="4" t="str">
        <f>IF(Y90="","",SUMIFS(Prod_Prop!$J:$J,Prod_Prop!$B:$B,$Q90,Prod_Prop!$H:$H,Y90,Prod_Prop!$I:$I,Z$1)*IF(Y90="Peso",$R90,1))</f>
        <v/>
      </c>
      <c r="AA90" s="4" t="str">
        <f>IF(Y90="","",SUMIFS(Prod_Prop!$J:$J,Prod_Prop!$B:$B,$Q90,Prod_Prop!$H:$H,Y90,Prod_Prop!$I:$I,AA$1)*IF(Y90="Peso",$R90,1))</f>
        <v/>
      </c>
      <c r="AB90" s="4" t="str">
        <f>IFERROR(__xludf.DUMMYFUNCTION("IF(OR($U90="""",COUNTIF($I:$I,IFERROR(unique(filter(Prod_Prop!$H:$H,Prod_Prop!$G:$G=$U90,Prod_Prop!$E:$E=AB$1)),""Check""))=0),"""",IFERROR(unique(filter(Prod_Prop!$H:$H,Prod_Prop!$G:$G=$U90,Prod_Prop!$E:$E=AB$1)),""""))"),"")</f>
        <v/>
      </c>
      <c r="AC90" s="4" t="str">
        <f>IF(AB90="","",SUMIFS(Prod_Prop!$J:$J,Prod_Prop!$B:$B,$Q90,Prod_Prop!$H:$H,AB90,Prod_Prop!$I:$I,AC$1)*IF(AB90="Peso",$R90,1))</f>
        <v/>
      </c>
      <c r="AD90" s="4" t="str">
        <f>IF(AB90="","",SUMIFS(Prod_Prop!$J:$J,Prod_Prop!$B:$B,$Q90,Prod_Prop!$H:$H,AB90,Prod_Prop!$I:$I,AD$1)*IF(AB90="Peso",$R90,1))</f>
        <v/>
      </c>
    </row>
    <row r="91">
      <c r="A91" s="4" t="str">
        <f t="array" ref="A91">IF(COUNTIF(A$1:A90,Cotizador!F$2)=maxifs(Familias!E:E,Familias!D:D,Cotizador!F$2),IF(COUNTIF(A$1:A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" s="4" t="str">
        <f t="shared" si="1"/>
        <v/>
      </c>
      <c r="C91" s="4" t="str">
        <f t="array" ref="C91">IF(B91="","",IF(A91=XLOOKUP(A$2,Implementos!B:B,Implementos!C:C,"",0,1),B91+maxifs(B$1:B90,A$1:A90,A$2),B91))</f>
        <v/>
      </c>
      <c r="D91" s="4" t="str">
        <f>IF(B91="","", COUNTIFS(Productos!F:F,A91,Productos!H:H,B91)+IF(F91="SI",0,1))</f>
        <v/>
      </c>
      <c r="E91" s="4" t="str">
        <f>IFERROR(__xludf.DUMMYFUNCTION("IF($B91="""","""",INDEX(filter(Familias!F:F,Familias!$D:$D=$A91,Familias!$E:$E=$B91),1))"),"")</f>
        <v/>
      </c>
      <c r="F91" s="4" t="str">
        <f>IFERROR(__xludf.DUMMYFUNCTION("IF($B91="""","""",INDEX(filter(Familias!G:G,Familias!$D:$D=$A91,Familias!$E:$E=$B91),1))"),"")</f>
        <v/>
      </c>
      <c r="G91" s="4" t="str">
        <f t="array" ref="G91">IF(C91=1,XLOOKUP(C91,Cotizador!D:D,Cotizador!E:E,"",0,1),"")</f>
        <v/>
      </c>
      <c r="I91" s="4"/>
      <c r="J91" s="8" t="str">
        <f>IF(I91="","",SUMIF(Cotizador!I$1:V$1,I91,Cotizador!I$2:V$2))</f>
        <v/>
      </c>
      <c r="L91" s="4" t="str">
        <f t="array" ref="L91">IF(COUNTIF(L$1:L90,A$2)=SUMIF(A:A,A$2,D:D),IF(COUNTIF(L$1:L90,XLOOKUP(A$2,Implementos!B:B,Implementos!C:C,"",0,1))=SUMIF(A:A,XLOOKUP(A$2,Implementos!B:B,Implementos!C:C,"",0,1),D:D),"",XLOOKUP(A$2,Implementos!B:B,Implementos!C:C,"",0,1)),A$2)</f>
        <v>Rodados</v>
      </c>
      <c r="M91" s="4">
        <f t="shared" si="2"/>
        <v>90</v>
      </c>
      <c r="N91" s="4">
        <f t="shared" si="3"/>
        <v>3</v>
      </c>
      <c r="O91" s="4">
        <f t="shared" si="4"/>
        <v>7</v>
      </c>
      <c r="P91" s="4">
        <f t="shared" si="5"/>
        <v>5</v>
      </c>
      <c r="Q91" s="4">
        <f>IF(U91="","",SUMIF(Productos!E:E,U91,Productos!A:A))</f>
        <v>98</v>
      </c>
      <c r="R91" s="4">
        <f t="array" ref="R91">IF(L91="","", max(1,SUMIF(I:I,XLOOKUP(U91,Productos!E:E,Productos!G:G,"",0,1),J:J)))</f>
        <v>1</v>
      </c>
      <c r="S91" s="4" t="str">
        <f>IF(Q91="","",IF(SUMIFS(Compat_Vetado!D:D,Compat_Vetado!B:B,SUM(G:G),Compat_Vetado!C:C,Q91)=1,"SI",IF(OR(SUMIF(Cotizador!E:E,Q91,Cotizador!G:G)&gt;0,SUMIFS(Compat_Vetado!D:D,Compat_Vetado!B:B,SUM(G:G),Compat_Vetado!C:C,Q91)=-1),"NO","")))</f>
        <v/>
      </c>
      <c r="T91" s="4" t="str">
        <f t="shared" si="6"/>
        <v/>
      </c>
      <c r="U91" s="4" t="str">
        <f>IFERROR(__xludf.DUMMYFUNCTION("IF(P91="""","""",IFERROR(INDEX(filter(Productos!E:E,Productos!F:F=L91,Productos!H:H=N91),P91),IF(M91=SUM(D:D),""Finalizar"",""-"")))"),"Paquete de Elasticos 63 mm x 10 mm x 10 Hojas L950")</f>
        <v>Paquete de Elasticos 63 mm x 10 mm x 10 Hojas L950</v>
      </c>
      <c r="V91" s="4" t="str">
        <f>IFERROR(__xludf.DUMMYFUNCTION("IF(OR($U91="""",COUNTIF($I:$I,IFERROR(unique(filter(Prod_Prop!$H:$H,Prod_Prop!$G:$G=$U91,Prod_Prop!$E:$E=V$1)),""Check""))=0),"""",IFERROR(unique(filter(Prod_Prop!$H:$H,Prod_Prop!$G:$G=$U91,Prod_Prop!$E:$E=V$1)),""""))"),"Peso")</f>
        <v>Peso</v>
      </c>
      <c r="W91" s="4">
        <f>IF(V91="","",SUMIFS(Prod_Prop!$J:$J,Prod_Prop!$B:$B,$Q91,Prod_Prop!$H:$H,V91,Prod_Prop!$I:$I,W$1)*IF(V91="Peso",$R91,1))</f>
        <v>1500</v>
      </c>
      <c r="X91" s="4">
        <f>IF(V91="","",SUMIFS(Prod_Prop!$J:$J,Prod_Prop!$B:$B,$Q91,Prod_Prop!$H:$H,V91,Prod_Prop!$I:$I,X$1)*IF(V91="Peso",$R91,1))</f>
        <v>2500</v>
      </c>
      <c r="Y91" s="4" t="str">
        <f>IFERROR(__xludf.DUMMYFUNCTION("IF(OR($U91="""",COUNTIF($I:$I,IFERROR(unique(filter(Prod_Prop!$H:$H,Prod_Prop!$G:$G=$U91,Prod_Prop!$E:$E=Y$1)),""Check""))=0),"""",IFERROR(unique(filter(Prod_Prop!$H:$H,Prod_Prop!$G:$G=$U91,Prod_Prop!$E:$E=Y$1)),""""))"),"")</f>
        <v/>
      </c>
      <c r="Z91" s="4" t="str">
        <f>IF(Y91="","",SUMIFS(Prod_Prop!$J:$J,Prod_Prop!$B:$B,$Q91,Prod_Prop!$H:$H,Y91,Prod_Prop!$I:$I,Z$1)*IF(Y91="Peso",$R91,1))</f>
        <v/>
      </c>
      <c r="AA91" s="4" t="str">
        <f>IF(Y91="","",SUMIFS(Prod_Prop!$J:$J,Prod_Prop!$B:$B,$Q91,Prod_Prop!$H:$H,Y91,Prod_Prop!$I:$I,AA$1)*IF(Y91="Peso",$R91,1))</f>
        <v/>
      </c>
      <c r="AB91" s="4" t="str">
        <f>IFERROR(__xludf.DUMMYFUNCTION("IF(OR($U91="""",COUNTIF($I:$I,IFERROR(unique(filter(Prod_Prop!$H:$H,Prod_Prop!$G:$G=$U91,Prod_Prop!$E:$E=AB$1)),""Check""))=0),"""",IFERROR(unique(filter(Prod_Prop!$H:$H,Prod_Prop!$G:$G=$U91,Prod_Prop!$E:$E=AB$1)),""""))"),"")</f>
        <v/>
      </c>
      <c r="AC91" s="4" t="str">
        <f>IF(AB91="","",SUMIFS(Prod_Prop!$J:$J,Prod_Prop!$B:$B,$Q91,Prod_Prop!$H:$H,AB91,Prod_Prop!$I:$I,AC$1)*IF(AB91="Peso",$R91,1))</f>
        <v/>
      </c>
      <c r="AD91" s="4" t="str">
        <f>IF(AB91="","",SUMIFS(Prod_Prop!$J:$J,Prod_Prop!$B:$B,$Q91,Prod_Prop!$H:$H,AB91,Prod_Prop!$I:$I,AD$1)*IF(AB91="Peso",$R91,1))</f>
        <v/>
      </c>
    </row>
    <row r="92">
      <c r="A92" s="4" t="str">
        <f t="array" ref="A92">IF(COUNTIF(A$1:A91,Cotizador!F$2)=maxifs(Familias!E:E,Familias!D:D,Cotizador!F$2),IF(COUNTIF(A$1:A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" s="4" t="str">
        <f t="shared" si="1"/>
        <v/>
      </c>
      <c r="C92" s="4" t="str">
        <f t="array" ref="C92">IF(B92="","",IF(A92=XLOOKUP(A$2,Implementos!B:B,Implementos!C:C,"",0,1),B92+maxifs(B$1:B91,A$1:A91,A$2),B92))</f>
        <v/>
      </c>
      <c r="D92" s="4" t="str">
        <f>IF(B92="","", COUNTIFS(Productos!F:F,A92,Productos!H:H,B92)+IF(F92="SI",0,1))</f>
        <v/>
      </c>
      <c r="E92" s="4" t="str">
        <f>IFERROR(__xludf.DUMMYFUNCTION("IF($B92="""","""",INDEX(filter(Familias!F:F,Familias!$D:$D=$A92,Familias!$E:$E=$B92),1))"),"")</f>
        <v/>
      </c>
      <c r="F92" s="4" t="str">
        <f>IFERROR(__xludf.DUMMYFUNCTION("IF($B92="""","""",INDEX(filter(Familias!G:G,Familias!$D:$D=$A92,Familias!$E:$E=$B92),1))"),"")</f>
        <v/>
      </c>
      <c r="G92" s="4" t="str">
        <f t="array" ref="G92">IF(C92=1,XLOOKUP(C92,Cotizador!D:D,Cotizador!E:E,"",0,1),"")</f>
        <v/>
      </c>
      <c r="I92" s="4"/>
      <c r="J92" s="8" t="str">
        <f>IF(I92="","",SUMIF(Cotizador!I$1:V$1,I92,Cotizador!I$2:V$2))</f>
        <v/>
      </c>
      <c r="L92" s="4" t="str">
        <f t="array" ref="L92">IF(COUNTIF(L$1:L91,A$2)=SUMIF(A:A,A$2,D:D),IF(COUNTIF(L$1:L91,XLOOKUP(A$2,Implementos!B:B,Implementos!C:C,"",0,1))=SUMIF(A:A,XLOOKUP(A$2,Implementos!B:B,Implementos!C:C,"",0,1),D:D),"",XLOOKUP(A$2,Implementos!B:B,Implementos!C:C,"",0,1)),A$2)</f>
        <v>Rodados</v>
      </c>
      <c r="M92" s="4">
        <f t="shared" si="2"/>
        <v>91</v>
      </c>
      <c r="N92" s="4">
        <f t="shared" si="3"/>
        <v>3</v>
      </c>
      <c r="O92" s="4">
        <f t="shared" si="4"/>
        <v>7</v>
      </c>
      <c r="P92" s="4">
        <f t="shared" si="5"/>
        <v>6</v>
      </c>
      <c r="Q92" s="4">
        <f>IF(U92="","",SUMIF(Productos!E:E,U92,Productos!A:A))</f>
        <v>99</v>
      </c>
      <c r="R92" s="4">
        <f t="array" ref="R92">IF(L92="","", max(1,SUMIF(I:I,XLOOKUP(U92,Productos!E:E,Productos!G:G,"",0,1),J:J)))</f>
        <v>1</v>
      </c>
      <c r="S92" s="4" t="str">
        <f>IF(Q92="","",IF(SUMIFS(Compat_Vetado!D:D,Compat_Vetado!B:B,SUM(G:G),Compat_Vetado!C:C,Q92)=1,"SI",IF(OR(SUMIF(Cotizador!E:E,Q92,Cotizador!G:G)&gt;0,SUMIFS(Compat_Vetado!D:D,Compat_Vetado!B:B,SUM(G:G),Compat_Vetado!C:C,Q92)=-1),"NO","")))</f>
        <v/>
      </c>
      <c r="T92" s="4" t="str">
        <f t="shared" si="6"/>
        <v/>
      </c>
      <c r="U92" s="4" t="str">
        <f>IFERROR(__xludf.DUMMYFUNCTION("IF(P92="""","""",IFERROR(INDEX(filter(Productos!E:E,Productos!F:F=L92,Productos!H:H=N92),P92),IF(M92=SUM(D:D),""Finalizar"",""-"")))"),"Paquete de Elasticos 63 mm x 10 mm x 13 Hojas L975")</f>
        <v>Paquete de Elasticos 63 mm x 10 mm x 13 Hojas L975</v>
      </c>
      <c r="V92" s="4" t="str">
        <f>IFERROR(__xludf.DUMMYFUNCTION("IF(OR($U92="""",COUNTIF($I:$I,IFERROR(unique(filter(Prod_Prop!$H:$H,Prod_Prop!$G:$G=$U92,Prod_Prop!$E:$E=V$1)),""Check""))=0),"""",IFERROR(unique(filter(Prod_Prop!$H:$H,Prod_Prop!$G:$G=$U92,Prod_Prop!$E:$E=V$1)),""""))"),"Peso")</f>
        <v>Peso</v>
      </c>
      <c r="W92" s="4">
        <f>IF(V92="","",SUMIFS(Prod_Prop!$J:$J,Prod_Prop!$B:$B,$Q92,Prod_Prop!$H:$H,V92,Prod_Prop!$I:$I,W$1)*IF(V92="Peso",$R92,1))</f>
        <v>1800</v>
      </c>
      <c r="X92" s="4">
        <f>IF(V92="","",SUMIFS(Prod_Prop!$J:$J,Prod_Prop!$B:$B,$Q92,Prod_Prop!$H:$H,V92,Prod_Prop!$I:$I,X$1)*IF(V92="Peso",$R92,1))</f>
        <v>3000</v>
      </c>
      <c r="Y92" s="4" t="str">
        <f>IFERROR(__xludf.DUMMYFUNCTION("IF(OR($U92="""",COUNTIF($I:$I,IFERROR(unique(filter(Prod_Prop!$H:$H,Prod_Prop!$G:$G=$U92,Prod_Prop!$E:$E=Y$1)),""Check""))=0),"""",IFERROR(unique(filter(Prod_Prop!$H:$H,Prod_Prop!$G:$G=$U92,Prod_Prop!$E:$E=Y$1)),""""))"),"")</f>
        <v/>
      </c>
      <c r="Z92" s="4" t="str">
        <f>IF(Y92="","",SUMIFS(Prod_Prop!$J:$J,Prod_Prop!$B:$B,$Q92,Prod_Prop!$H:$H,Y92,Prod_Prop!$I:$I,Z$1)*IF(Y92="Peso",$R92,1))</f>
        <v/>
      </c>
      <c r="AA92" s="4" t="str">
        <f>IF(Y92="","",SUMIFS(Prod_Prop!$J:$J,Prod_Prop!$B:$B,$Q92,Prod_Prop!$H:$H,Y92,Prod_Prop!$I:$I,AA$1)*IF(Y92="Peso",$R92,1))</f>
        <v/>
      </c>
      <c r="AB92" s="4" t="str">
        <f>IFERROR(__xludf.DUMMYFUNCTION("IF(OR($U92="""",COUNTIF($I:$I,IFERROR(unique(filter(Prod_Prop!$H:$H,Prod_Prop!$G:$G=$U92,Prod_Prop!$E:$E=AB$1)),""Check""))=0),"""",IFERROR(unique(filter(Prod_Prop!$H:$H,Prod_Prop!$G:$G=$U92,Prod_Prop!$E:$E=AB$1)),""""))"),"")</f>
        <v/>
      </c>
      <c r="AC92" s="4" t="str">
        <f>IF(AB92="","",SUMIFS(Prod_Prop!$J:$J,Prod_Prop!$B:$B,$Q92,Prod_Prop!$H:$H,AB92,Prod_Prop!$I:$I,AC$1)*IF(AB92="Peso",$R92,1))</f>
        <v/>
      </c>
      <c r="AD92" s="4" t="str">
        <f>IF(AB92="","",SUMIFS(Prod_Prop!$J:$J,Prod_Prop!$B:$B,$Q92,Prod_Prop!$H:$H,AB92,Prod_Prop!$I:$I,AD$1)*IF(AB92="Peso",$R92,1))</f>
        <v/>
      </c>
    </row>
    <row r="93">
      <c r="A93" s="4" t="str">
        <f t="array" ref="A93">IF(COUNTIF(A$1:A92,Cotizador!F$2)=maxifs(Familias!E:E,Familias!D:D,Cotizador!F$2),IF(COUNTIF(A$1:A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" s="4" t="str">
        <f t="shared" si="1"/>
        <v/>
      </c>
      <c r="C93" s="4" t="str">
        <f t="array" ref="C93">IF(B93="","",IF(A93=XLOOKUP(A$2,Implementos!B:B,Implementos!C:C,"",0,1),B93+maxifs(B$1:B92,A$1:A92,A$2),B93))</f>
        <v/>
      </c>
      <c r="D93" s="4" t="str">
        <f>IF(B93="","", COUNTIFS(Productos!F:F,A93,Productos!H:H,B93)+IF(F93="SI",0,1))</f>
        <v/>
      </c>
      <c r="E93" s="4" t="str">
        <f>IFERROR(__xludf.DUMMYFUNCTION("IF($B93="""","""",INDEX(filter(Familias!F:F,Familias!$D:$D=$A93,Familias!$E:$E=$B93),1))"),"")</f>
        <v/>
      </c>
      <c r="F93" s="4" t="str">
        <f>IFERROR(__xludf.DUMMYFUNCTION("IF($B93="""","""",INDEX(filter(Familias!G:G,Familias!$D:$D=$A93,Familias!$E:$E=$B93),1))"),"")</f>
        <v/>
      </c>
      <c r="G93" s="4" t="str">
        <f t="array" ref="G93">IF(C93=1,XLOOKUP(C93,Cotizador!D:D,Cotizador!E:E,"",0,1),"")</f>
        <v/>
      </c>
      <c r="I93" s="4"/>
      <c r="J93" s="8" t="str">
        <f>IF(I93="","",SUMIF(Cotizador!I$1:V$1,I93,Cotizador!I$2:V$2))</f>
        <v/>
      </c>
      <c r="L93" s="4" t="str">
        <f t="array" ref="L93">IF(COUNTIF(L$1:L92,A$2)=SUMIF(A:A,A$2,D:D),IF(COUNTIF(L$1:L92,XLOOKUP(A$2,Implementos!B:B,Implementos!C:C,"",0,1))=SUMIF(A:A,XLOOKUP(A$2,Implementos!B:B,Implementos!C:C,"",0,1),D:D),"",XLOOKUP(A$2,Implementos!B:B,Implementos!C:C,"",0,1)),A$2)</f>
        <v>Rodados</v>
      </c>
      <c r="M93" s="4">
        <f t="shared" si="2"/>
        <v>92</v>
      </c>
      <c r="N93" s="4">
        <f t="shared" si="3"/>
        <v>3</v>
      </c>
      <c r="O93" s="4">
        <f t="shared" si="4"/>
        <v>7</v>
      </c>
      <c r="P93" s="4">
        <f t="shared" si="5"/>
        <v>7</v>
      </c>
      <c r="Q93" s="4">
        <f>IF(U93="","",SUMIF(Productos!E:E,U93,Productos!A:A))</f>
        <v>100</v>
      </c>
      <c r="R93" s="4">
        <f t="array" ref="R93">IF(L93="","", max(1,SUMIF(I:I,XLOOKUP(U93,Productos!E:E,Productos!G:G,"",0,1),J:J)))</f>
        <v>1</v>
      </c>
      <c r="S93" s="4" t="str">
        <f>IF(Q93="","",IF(SUMIFS(Compat_Vetado!D:D,Compat_Vetado!B:B,SUM(G:G),Compat_Vetado!C:C,Q93)=1,"SI",IF(OR(SUMIF(Cotizador!E:E,Q93,Cotizador!G:G)&gt;0,SUMIFS(Compat_Vetado!D:D,Compat_Vetado!B:B,SUM(G:G),Compat_Vetado!C:C,Q93)=-1),"NO","")))</f>
        <v/>
      </c>
      <c r="T93" s="4" t="str">
        <f t="shared" si="6"/>
        <v/>
      </c>
      <c r="U93" s="4" t="str">
        <f>IFERROR(__xludf.DUMMYFUNCTION("IF(P93="""","""",IFERROR(INDEX(filter(Productos!E:E,Productos!F:F=L93,Productos!H:H=N93),P93),IF(M93=SUM(D:D),""Finalizar"",""-"")))"),"Paquete de Elasticos 50 mm x 7 mm x 9 Hojas L650")</f>
        <v>Paquete de Elasticos 50 mm x 7 mm x 9 Hojas L650</v>
      </c>
      <c r="V93" s="4" t="str">
        <f>IFERROR(__xludf.DUMMYFUNCTION("IF(OR($U93="""",COUNTIF($I:$I,IFERROR(unique(filter(Prod_Prop!$H:$H,Prod_Prop!$G:$G=$U93,Prod_Prop!$E:$E=V$1)),""Check""))=0),"""",IFERROR(unique(filter(Prod_Prop!$H:$H,Prod_Prop!$G:$G=$U93,Prod_Prop!$E:$E=V$1)),""""))"),"Peso")</f>
        <v>Peso</v>
      </c>
      <c r="W93" s="4">
        <f>IF(V93="","",SUMIFS(Prod_Prop!$J:$J,Prod_Prop!$B:$B,$Q93,Prod_Prop!$H:$H,V93,Prod_Prop!$I:$I,W$1)*IF(V93="Peso",$R93,1))</f>
        <v>450</v>
      </c>
      <c r="X93" s="4">
        <f>IF(V93="","",SUMIFS(Prod_Prop!$J:$J,Prod_Prop!$B:$B,$Q93,Prod_Prop!$H:$H,V93,Prod_Prop!$I:$I,X$1)*IF(V93="Peso",$R93,1))</f>
        <v>750</v>
      </c>
      <c r="Y93" s="4" t="str">
        <f>IFERROR(__xludf.DUMMYFUNCTION("IF(OR($U93="""",COUNTIF($I:$I,IFERROR(unique(filter(Prod_Prop!$H:$H,Prod_Prop!$G:$G=$U93,Prod_Prop!$E:$E=Y$1)),""Check""))=0),"""",IFERROR(unique(filter(Prod_Prop!$H:$H,Prod_Prop!$G:$G=$U93,Prod_Prop!$E:$E=Y$1)),""""))"),"")</f>
        <v/>
      </c>
      <c r="Z93" s="4" t="str">
        <f>IF(Y93="","",SUMIFS(Prod_Prop!$J:$J,Prod_Prop!$B:$B,$Q93,Prod_Prop!$H:$H,Y93,Prod_Prop!$I:$I,Z$1)*IF(Y93="Peso",$R93,1))</f>
        <v/>
      </c>
      <c r="AA93" s="4" t="str">
        <f>IF(Y93="","",SUMIFS(Prod_Prop!$J:$J,Prod_Prop!$B:$B,$Q93,Prod_Prop!$H:$H,Y93,Prod_Prop!$I:$I,AA$1)*IF(Y93="Peso",$R93,1))</f>
        <v/>
      </c>
      <c r="AB93" s="4" t="str">
        <f>IFERROR(__xludf.DUMMYFUNCTION("IF(OR($U93="""",COUNTIF($I:$I,IFERROR(unique(filter(Prod_Prop!$H:$H,Prod_Prop!$G:$G=$U93,Prod_Prop!$E:$E=AB$1)),""Check""))=0),"""",IFERROR(unique(filter(Prod_Prop!$H:$H,Prod_Prop!$G:$G=$U93,Prod_Prop!$E:$E=AB$1)),""""))"),"")</f>
        <v/>
      </c>
      <c r="AC93" s="4" t="str">
        <f>IF(AB93="","",SUMIFS(Prod_Prop!$J:$J,Prod_Prop!$B:$B,$Q93,Prod_Prop!$H:$H,AB93,Prod_Prop!$I:$I,AC$1)*IF(AB93="Peso",$R93,1))</f>
        <v/>
      </c>
      <c r="AD93" s="4" t="str">
        <f>IF(AB93="","",SUMIFS(Prod_Prop!$J:$J,Prod_Prop!$B:$B,$Q93,Prod_Prop!$H:$H,AB93,Prod_Prop!$I:$I,AD$1)*IF(AB93="Peso",$R93,1))</f>
        <v/>
      </c>
    </row>
    <row r="94">
      <c r="A94" s="4" t="str">
        <f t="array" ref="A94">IF(COUNTIF(A$1:A93,Cotizador!F$2)=maxifs(Familias!E:E,Familias!D:D,Cotizador!F$2),IF(COUNTIF(A$1:A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" s="4" t="str">
        <f t="shared" si="1"/>
        <v/>
      </c>
      <c r="C94" s="4" t="str">
        <f t="array" ref="C94">IF(B94="","",IF(A94=XLOOKUP(A$2,Implementos!B:B,Implementos!C:C,"",0,1),B94+maxifs(B$1:B93,A$1:A93,A$2),B94))</f>
        <v/>
      </c>
      <c r="D94" s="4" t="str">
        <f>IF(B94="","", COUNTIFS(Productos!F:F,A94,Productos!H:H,B94)+IF(F94="SI",0,1))</f>
        <v/>
      </c>
      <c r="E94" s="4" t="str">
        <f>IFERROR(__xludf.DUMMYFUNCTION("IF($B94="""","""",INDEX(filter(Familias!F:F,Familias!$D:$D=$A94,Familias!$E:$E=$B94),1))"),"")</f>
        <v/>
      </c>
      <c r="F94" s="4" t="str">
        <f>IFERROR(__xludf.DUMMYFUNCTION("IF($B94="""","""",INDEX(filter(Familias!G:G,Familias!$D:$D=$A94,Familias!$E:$E=$B94),1))"),"")</f>
        <v/>
      </c>
      <c r="G94" s="4" t="str">
        <f t="array" ref="G94">IF(C94=1,XLOOKUP(C94,Cotizador!D:D,Cotizador!E:E,"",0,1),"")</f>
        <v/>
      </c>
      <c r="I94" s="4"/>
      <c r="J94" s="8" t="str">
        <f>IF(I94="","",SUMIF(Cotizador!I$1:V$1,I94,Cotizador!I$2:V$2))</f>
        <v/>
      </c>
      <c r="L94" s="4" t="str">
        <f t="array" ref="L94">IF(COUNTIF(L$1:L93,A$2)=SUMIF(A:A,A$2,D:D),IF(COUNTIF(L$1:L93,XLOOKUP(A$2,Implementos!B:B,Implementos!C:C,"",0,1))=SUMIF(A:A,XLOOKUP(A$2,Implementos!B:B,Implementos!C:C,"",0,1),D:D),"",XLOOKUP(A$2,Implementos!B:B,Implementos!C:C,"",0,1)),A$2)</f>
        <v>Rodados</v>
      </c>
      <c r="M94" s="4">
        <f t="shared" si="2"/>
        <v>93</v>
      </c>
      <c r="N94" s="4">
        <f t="shared" si="3"/>
        <v>3</v>
      </c>
      <c r="O94" s="4">
        <f t="shared" si="4"/>
        <v>7</v>
      </c>
      <c r="P94" s="4">
        <f t="shared" si="5"/>
        <v>8</v>
      </c>
      <c r="Q94" s="4">
        <f>IF(U94="","",SUMIF(Productos!E:E,U94,Productos!A:A))</f>
        <v>117</v>
      </c>
      <c r="R94" s="4">
        <f t="array" ref="R94">IF(L94="","", max(1,SUMIF(I:I,XLOOKUP(U94,Productos!E:E,Productos!G:G,"",0,1),J:J)))</f>
        <v>1</v>
      </c>
      <c r="S94" s="4" t="str">
        <f>IF(Q94="","",IF(SUMIFS(Compat_Vetado!D:D,Compat_Vetado!B:B,SUM(G:G),Compat_Vetado!C:C,Q94)=1,"SI",IF(OR(SUMIF(Cotizador!E:E,Q94,Cotizador!G:G)&gt;0,SUMIFS(Compat_Vetado!D:D,Compat_Vetado!B:B,SUM(G:G),Compat_Vetado!C:C,Q94)=-1),"NO","")))</f>
        <v/>
      </c>
      <c r="T94" s="4" t="str">
        <f t="shared" si="6"/>
        <v/>
      </c>
      <c r="U94" s="4" t="str">
        <f>IFERROR(__xludf.DUMMYFUNCTION("IF(P94="""","""",IFERROR(INDEX(filter(Productos!E:E,Productos!F:F=L94,Productos!H:H=N94),P94),IF(M94=SUM(D:D),""Finalizar"",""-"")))"),"Paquete de Elásticos 50 mm x 8 mm x 12 Hojas")</f>
        <v>Paquete de Elásticos 50 mm x 8 mm x 12 Hojas</v>
      </c>
      <c r="V94" s="4" t="str">
        <f>IFERROR(__xludf.DUMMYFUNCTION("IF(OR($U94="""",COUNTIF($I:$I,IFERROR(unique(filter(Prod_Prop!$H:$H,Prod_Prop!$G:$G=$U94,Prod_Prop!$E:$E=V$1)),""Check""))=0),"""",IFERROR(unique(filter(Prod_Prop!$H:$H,Prod_Prop!$G:$G=$U94,Prod_Prop!$E:$E=V$1)),""""))"),"Peso")</f>
        <v>Peso</v>
      </c>
      <c r="W94" s="4">
        <f>IF(V94="","",SUMIFS(Prod_Prop!$J:$J,Prod_Prop!$B:$B,$Q94,Prod_Prop!$H:$H,V94,Prod_Prop!$I:$I,W$1)*IF(V94="Peso",$R94,1))</f>
        <v>720</v>
      </c>
      <c r="X94" s="4">
        <f>IF(V94="","",SUMIFS(Prod_Prop!$J:$J,Prod_Prop!$B:$B,$Q94,Prod_Prop!$H:$H,V94,Prod_Prop!$I:$I,X$1)*IF(V94="Peso",$R94,1))</f>
        <v>1200</v>
      </c>
      <c r="Y94" s="4" t="str">
        <f>IFERROR(__xludf.DUMMYFUNCTION("IF(OR($U94="""",COUNTIF($I:$I,IFERROR(unique(filter(Prod_Prop!$H:$H,Prod_Prop!$G:$G=$U94,Prod_Prop!$E:$E=Y$1)),""Check""))=0),"""",IFERROR(unique(filter(Prod_Prop!$H:$H,Prod_Prop!$G:$G=$U94,Prod_Prop!$E:$E=Y$1)),""""))"),"")</f>
        <v/>
      </c>
      <c r="Z94" s="4" t="str">
        <f>IF(Y94="","",SUMIFS(Prod_Prop!$J:$J,Prod_Prop!$B:$B,$Q94,Prod_Prop!$H:$H,Y94,Prod_Prop!$I:$I,Z$1)*IF(Y94="Peso",$R94,1))</f>
        <v/>
      </c>
      <c r="AA94" s="4" t="str">
        <f>IF(Y94="","",SUMIFS(Prod_Prop!$J:$J,Prod_Prop!$B:$B,$Q94,Prod_Prop!$H:$H,Y94,Prod_Prop!$I:$I,AA$1)*IF(Y94="Peso",$R94,1))</f>
        <v/>
      </c>
      <c r="AB94" s="4" t="str">
        <f>IFERROR(__xludf.DUMMYFUNCTION("IF(OR($U94="""",COUNTIF($I:$I,IFERROR(unique(filter(Prod_Prop!$H:$H,Prod_Prop!$G:$G=$U94,Prod_Prop!$E:$E=AB$1)),""Check""))=0),"""",IFERROR(unique(filter(Prod_Prop!$H:$H,Prod_Prop!$G:$G=$U94,Prod_Prop!$E:$E=AB$1)),""""))"),"")</f>
        <v/>
      </c>
      <c r="AC94" s="4" t="str">
        <f>IF(AB94="","",SUMIFS(Prod_Prop!$J:$J,Prod_Prop!$B:$B,$Q94,Prod_Prop!$H:$H,AB94,Prod_Prop!$I:$I,AC$1)*IF(AB94="Peso",$R94,1))</f>
        <v/>
      </c>
      <c r="AD94" s="4" t="str">
        <f>IF(AB94="","",SUMIFS(Prod_Prop!$J:$J,Prod_Prop!$B:$B,$Q94,Prod_Prop!$H:$H,AB94,Prod_Prop!$I:$I,AD$1)*IF(AB94="Peso",$R94,1))</f>
        <v/>
      </c>
    </row>
    <row r="95">
      <c r="A95" s="4" t="str">
        <f t="array" ref="A95">IF(COUNTIF(A$1:A94,Cotizador!F$2)=maxifs(Familias!E:E,Familias!D:D,Cotizador!F$2),IF(COUNTIF(A$1:A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" s="4" t="str">
        <f t="shared" si="1"/>
        <v/>
      </c>
      <c r="C95" s="4" t="str">
        <f t="array" ref="C95">IF(B95="","",IF(A95=XLOOKUP(A$2,Implementos!B:B,Implementos!C:C,"",0,1),B95+maxifs(B$1:B94,A$1:A94,A$2),B95))</f>
        <v/>
      </c>
      <c r="D95" s="4" t="str">
        <f>IF(B95="","", COUNTIFS(Productos!F:F,A95,Productos!H:H,B95)+IF(F95="SI",0,1))</f>
        <v/>
      </c>
      <c r="E95" s="4" t="str">
        <f>IFERROR(__xludf.DUMMYFUNCTION("IF($B95="""","""",INDEX(filter(Familias!F:F,Familias!$D:$D=$A95,Familias!$E:$E=$B95),1))"),"")</f>
        <v/>
      </c>
      <c r="F95" s="4" t="str">
        <f>IFERROR(__xludf.DUMMYFUNCTION("IF($B95="""","""",INDEX(filter(Familias!G:G,Familias!$D:$D=$A95,Familias!$E:$E=$B95),1))"),"")</f>
        <v/>
      </c>
      <c r="G95" s="4" t="str">
        <f t="array" ref="G95">IF(C95=1,XLOOKUP(C95,Cotizador!D:D,Cotizador!E:E,"",0,1),"")</f>
        <v/>
      </c>
      <c r="I95" s="4"/>
      <c r="J95" s="8" t="str">
        <f>IF(I95="","",SUMIF(Cotizador!I$1:V$1,I95,Cotizador!I$2:V$2))</f>
        <v/>
      </c>
      <c r="L95" s="4" t="str">
        <f t="array" ref="L95">IF(COUNTIF(L$1:L94,A$2)=SUMIF(A:A,A$2,D:D),IF(COUNTIF(L$1:L94,XLOOKUP(A$2,Implementos!B:B,Implementos!C:C,"",0,1))=SUMIF(A:A,XLOOKUP(A$2,Implementos!B:B,Implementos!C:C,"",0,1),D:D),"",XLOOKUP(A$2,Implementos!B:B,Implementos!C:C,"",0,1)),A$2)</f>
        <v/>
      </c>
      <c r="M95" s="4" t="str">
        <f t="shared" si="2"/>
        <v/>
      </c>
      <c r="N95" s="4" t="str">
        <f t="shared" si="3"/>
        <v/>
      </c>
      <c r="O95" s="4" t="str">
        <f t="shared" si="4"/>
        <v/>
      </c>
      <c r="P95" s="4" t="str">
        <f t="shared" si="5"/>
        <v/>
      </c>
      <c r="Q95" s="4" t="str">
        <f>IF(U95="","",SUMIF(Productos!E:E,U95,Productos!A:A))</f>
        <v/>
      </c>
      <c r="R95" s="4" t="str">
        <f t="array" ref="R95">IF(L95="","", max(1,SUMIF(I:I,XLOOKUP(U95,Productos!E:E,Productos!G:G,"",0,1),J:J)))</f>
        <v/>
      </c>
      <c r="S95" s="4" t="str">
        <f>IF(Q95="","",IF(SUMIFS(Compat_Vetado!D:D,Compat_Vetado!B:B,SUM(G:G),Compat_Vetado!C:C,Q95)=1,"SI",IF(OR(SUMIF(Cotizador!E:E,Q95,Cotizador!G:G)&gt;0,SUMIFS(Compat_Vetado!D:D,Compat_Vetado!B:B,SUM(G:G),Compat_Vetado!C:C,Q95)=-1),"NO","")))</f>
        <v/>
      </c>
      <c r="T95" s="4" t="str">
        <f t="shared" si="6"/>
        <v/>
      </c>
      <c r="U95" s="4" t="str">
        <f>IFERROR(__xludf.DUMMYFUNCTION("IF(P95="""","""",IFERROR(INDEX(filter(Productos!E:E,Productos!F:F=L95,Productos!H:H=N95),P95),IF(M95=SUM(D:D),""Finalizar"",""-"")))"),"")</f>
        <v/>
      </c>
      <c r="V95" s="4" t="str">
        <f>IFERROR(__xludf.DUMMYFUNCTION("IF(OR($U95="""",COUNTIF($I:$I,IFERROR(unique(filter(Prod_Prop!$H:$H,Prod_Prop!$G:$G=$U95,Prod_Prop!$E:$E=V$1)),""Check""))=0),"""",IFERROR(unique(filter(Prod_Prop!$H:$H,Prod_Prop!$G:$G=$U95,Prod_Prop!$E:$E=V$1)),""""))"),"")</f>
        <v/>
      </c>
      <c r="W95" s="4" t="str">
        <f>IF(V95="","",SUMIFS(Prod_Prop!$J:$J,Prod_Prop!$B:$B,$Q95,Prod_Prop!$H:$H,V95,Prod_Prop!$I:$I,W$1)*IF(V95="Peso",$R95,1))</f>
        <v/>
      </c>
      <c r="X95" s="4" t="str">
        <f>IF(V95="","",SUMIFS(Prod_Prop!$J:$J,Prod_Prop!$B:$B,$Q95,Prod_Prop!$H:$H,V95,Prod_Prop!$I:$I,X$1)*IF(V95="Peso",$R95,1))</f>
        <v/>
      </c>
      <c r="Y95" s="4" t="str">
        <f>IFERROR(__xludf.DUMMYFUNCTION("IF(OR($U95="""",COUNTIF($I:$I,IFERROR(unique(filter(Prod_Prop!$H:$H,Prod_Prop!$G:$G=$U95,Prod_Prop!$E:$E=Y$1)),""Check""))=0),"""",IFERROR(unique(filter(Prod_Prop!$H:$H,Prod_Prop!$G:$G=$U95,Prod_Prop!$E:$E=Y$1)),""""))"),"")</f>
        <v/>
      </c>
      <c r="Z95" s="4" t="str">
        <f>IF(Y95="","",SUMIFS(Prod_Prop!$J:$J,Prod_Prop!$B:$B,$Q95,Prod_Prop!$H:$H,Y95,Prod_Prop!$I:$I,Z$1)*IF(Y95="Peso",$R95,1))</f>
        <v/>
      </c>
      <c r="AA95" s="4" t="str">
        <f>IF(Y95="","",SUMIFS(Prod_Prop!$J:$J,Prod_Prop!$B:$B,$Q95,Prod_Prop!$H:$H,Y95,Prod_Prop!$I:$I,AA$1)*IF(Y95="Peso",$R95,1))</f>
        <v/>
      </c>
      <c r="AB95" s="4" t="str">
        <f>IFERROR(__xludf.DUMMYFUNCTION("IF(OR($U95="""",COUNTIF($I:$I,IFERROR(unique(filter(Prod_Prop!$H:$H,Prod_Prop!$G:$G=$U95,Prod_Prop!$E:$E=AB$1)),""Check""))=0),"""",IFERROR(unique(filter(Prod_Prop!$H:$H,Prod_Prop!$G:$G=$U95,Prod_Prop!$E:$E=AB$1)),""""))"),"")</f>
        <v/>
      </c>
      <c r="AC95" s="4" t="str">
        <f>IF(AB95="","",SUMIFS(Prod_Prop!$J:$J,Prod_Prop!$B:$B,$Q95,Prod_Prop!$H:$H,AB95,Prod_Prop!$I:$I,AC$1)*IF(AB95="Peso",$R95,1))</f>
        <v/>
      </c>
      <c r="AD95" s="4" t="str">
        <f>IF(AB95="","",SUMIFS(Prod_Prop!$J:$J,Prod_Prop!$B:$B,$Q95,Prod_Prop!$H:$H,AB95,Prod_Prop!$I:$I,AD$1)*IF(AB95="Peso",$R95,1))</f>
        <v/>
      </c>
    </row>
    <row r="96">
      <c r="A96" s="4" t="str">
        <f t="array" ref="A96">IF(COUNTIF(A$1:A95,Cotizador!F$2)=maxifs(Familias!E:E,Familias!D:D,Cotizador!F$2),IF(COUNTIF(A$1:A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" s="4" t="str">
        <f t="shared" si="1"/>
        <v/>
      </c>
      <c r="C96" s="4" t="str">
        <f t="array" ref="C96">IF(B96="","",IF(A96=XLOOKUP(A$2,Implementos!B:B,Implementos!C:C,"",0,1),B96+maxifs(B$1:B95,A$1:A95,A$2),B96))</f>
        <v/>
      </c>
      <c r="D96" s="4" t="str">
        <f>IF(B96="","", COUNTIFS(Productos!F:F,A96,Productos!H:H,B96)+IF(F96="SI",0,1))</f>
        <v/>
      </c>
      <c r="E96" s="4" t="str">
        <f>IFERROR(__xludf.DUMMYFUNCTION("IF($B96="""","""",INDEX(filter(Familias!F:F,Familias!$D:$D=$A96,Familias!$E:$E=$B96),1))"),"")</f>
        <v/>
      </c>
      <c r="F96" s="4" t="str">
        <f>IFERROR(__xludf.DUMMYFUNCTION("IF($B96="""","""",INDEX(filter(Familias!G:G,Familias!$D:$D=$A96,Familias!$E:$E=$B96),1))"),"")</f>
        <v/>
      </c>
      <c r="G96" s="4" t="str">
        <f t="array" ref="G96">IF(C96=1,XLOOKUP(C96,Cotizador!D:D,Cotizador!E:E,"",0,1),"")</f>
        <v/>
      </c>
      <c r="I96" s="4"/>
      <c r="J96" s="8" t="str">
        <f>IF(I96="","",SUMIF(Cotizador!I$1:V$1,I96,Cotizador!I$2:V$2))</f>
        <v/>
      </c>
      <c r="L96" s="4" t="str">
        <f t="array" ref="L96">IF(COUNTIF(L$1:L95,A$2)=SUMIF(A:A,A$2,D:D),IF(COUNTIF(L$1:L95,XLOOKUP(A$2,Implementos!B:B,Implementos!C:C,"",0,1))=SUMIF(A:A,XLOOKUP(A$2,Implementos!B:B,Implementos!C:C,"",0,1),D:D),"",XLOOKUP(A$2,Implementos!B:B,Implementos!C:C,"",0,1)),A$2)</f>
        <v/>
      </c>
      <c r="M96" s="4" t="str">
        <f t="shared" si="2"/>
        <v/>
      </c>
      <c r="N96" s="4" t="str">
        <f t="shared" si="3"/>
        <v/>
      </c>
      <c r="O96" s="4" t="str">
        <f t="shared" si="4"/>
        <v/>
      </c>
      <c r="P96" s="4" t="str">
        <f t="shared" si="5"/>
        <v/>
      </c>
      <c r="Q96" s="4" t="str">
        <f>IF(U96="","",SUMIF(Productos!E:E,U96,Productos!A:A))</f>
        <v/>
      </c>
      <c r="R96" s="4" t="str">
        <f t="array" ref="R96">IF(L96="","", max(1,SUMIF(I:I,XLOOKUP(U96,Productos!E:E,Productos!G:G,"",0,1),J:J)))</f>
        <v/>
      </c>
      <c r="S96" s="4" t="str">
        <f>IF(Q96="","",IF(SUMIFS(Compat_Vetado!D:D,Compat_Vetado!B:B,SUM(G:G),Compat_Vetado!C:C,Q96)=1,"SI",IF(OR(SUMIF(Cotizador!E:E,Q96,Cotizador!G:G)&gt;0,SUMIFS(Compat_Vetado!D:D,Compat_Vetado!B:B,SUM(G:G),Compat_Vetado!C:C,Q96)=-1),"NO","")))</f>
        <v/>
      </c>
      <c r="T96" s="4" t="str">
        <f t="shared" si="6"/>
        <v/>
      </c>
      <c r="U96" s="4" t="str">
        <f>IFERROR(__xludf.DUMMYFUNCTION("IF(P96="""","""",IFERROR(INDEX(filter(Productos!E:E,Productos!F:F=L96,Productos!H:H=N96),P96),IF(M96=SUM(D:D),""Finalizar"",""-"")))"),"")</f>
        <v/>
      </c>
      <c r="V96" s="4" t="str">
        <f>IFERROR(__xludf.DUMMYFUNCTION("IF(OR($U96="""",COUNTIF($I:$I,IFERROR(unique(filter(Prod_Prop!$H:$H,Prod_Prop!$G:$G=$U96,Prod_Prop!$E:$E=V$1)),""Check""))=0),"""",IFERROR(unique(filter(Prod_Prop!$H:$H,Prod_Prop!$G:$G=$U96,Prod_Prop!$E:$E=V$1)),""""))"),"")</f>
        <v/>
      </c>
      <c r="W96" s="4" t="str">
        <f>IF(V96="","",SUMIFS(Prod_Prop!$J:$J,Prod_Prop!$B:$B,$Q96,Prod_Prop!$H:$H,V96,Prod_Prop!$I:$I,W$1)*IF(V96="Peso",$R96,1))</f>
        <v/>
      </c>
      <c r="X96" s="4" t="str">
        <f>IF(V96="","",SUMIFS(Prod_Prop!$J:$J,Prod_Prop!$B:$B,$Q96,Prod_Prop!$H:$H,V96,Prod_Prop!$I:$I,X$1)*IF(V96="Peso",$R96,1))</f>
        <v/>
      </c>
      <c r="Y96" s="4" t="str">
        <f>IFERROR(__xludf.DUMMYFUNCTION("IF(OR($U96="""",COUNTIF($I:$I,IFERROR(unique(filter(Prod_Prop!$H:$H,Prod_Prop!$G:$G=$U96,Prod_Prop!$E:$E=Y$1)),""Check""))=0),"""",IFERROR(unique(filter(Prod_Prop!$H:$H,Prod_Prop!$G:$G=$U96,Prod_Prop!$E:$E=Y$1)),""""))"),"")</f>
        <v/>
      </c>
      <c r="Z96" s="4" t="str">
        <f>IF(Y96="","",SUMIFS(Prod_Prop!$J:$J,Prod_Prop!$B:$B,$Q96,Prod_Prop!$H:$H,Y96,Prod_Prop!$I:$I,Z$1)*IF(Y96="Peso",$R96,1))</f>
        <v/>
      </c>
      <c r="AA96" s="4" t="str">
        <f>IF(Y96="","",SUMIFS(Prod_Prop!$J:$J,Prod_Prop!$B:$B,$Q96,Prod_Prop!$H:$H,Y96,Prod_Prop!$I:$I,AA$1)*IF(Y96="Peso",$R96,1))</f>
        <v/>
      </c>
      <c r="AB96" s="4" t="str">
        <f>IFERROR(__xludf.DUMMYFUNCTION("IF(OR($U96="""",COUNTIF($I:$I,IFERROR(unique(filter(Prod_Prop!$H:$H,Prod_Prop!$G:$G=$U96,Prod_Prop!$E:$E=AB$1)),""Check""))=0),"""",IFERROR(unique(filter(Prod_Prop!$H:$H,Prod_Prop!$G:$G=$U96,Prod_Prop!$E:$E=AB$1)),""""))"),"")</f>
        <v/>
      </c>
      <c r="AC96" s="4" t="str">
        <f>IF(AB96="","",SUMIFS(Prod_Prop!$J:$J,Prod_Prop!$B:$B,$Q96,Prod_Prop!$H:$H,AB96,Prod_Prop!$I:$I,AC$1)*IF(AB96="Peso",$R96,1))</f>
        <v/>
      </c>
      <c r="AD96" s="4" t="str">
        <f>IF(AB96="","",SUMIFS(Prod_Prop!$J:$J,Prod_Prop!$B:$B,$Q96,Prod_Prop!$H:$H,AB96,Prod_Prop!$I:$I,AD$1)*IF(AB96="Peso",$R96,1))</f>
        <v/>
      </c>
    </row>
    <row r="97">
      <c r="A97" s="4" t="str">
        <f t="array" ref="A97">IF(COUNTIF(A$1:A96,Cotizador!F$2)=maxifs(Familias!E:E,Familias!D:D,Cotizador!F$2),IF(COUNTIF(A$1:A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" s="4" t="str">
        <f t="shared" si="1"/>
        <v/>
      </c>
      <c r="C97" s="4" t="str">
        <f t="array" ref="C97">IF(B97="","",IF(A97=XLOOKUP(A$2,Implementos!B:B,Implementos!C:C,"",0,1),B97+maxifs(B$1:B96,A$1:A96,A$2),B97))</f>
        <v/>
      </c>
      <c r="D97" s="4" t="str">
        <f>IF(B97="","", COUNTIFS(Productos!F:F,A97,Productos!H:H,B97)+IF(F97="SI",0,1))</f>
        <v/>
      </c>
      <c r="E97" s="4" t="str">
        <f>IFERROR(__xludf.DUMMYFUNCTION("IF($B97="""","""",INDEX(filter(Familias!F:F,Familias!$D:$D=$A97,Familias!$E:$E=$B97),1))"),"")</f>
        <v/>
      </c>
      <c r="F97" s="4" t="str">
        <f>IFERROR(__xludf.DUMMYFUNCTION("IF($B97="""","""",INDEX(filter(Familias!G:G,Familias!$D:$D=$A97,Familias!$E:$E=$B97),1))"),"")</f>
        <v/>
      </c>
      <c r="G97" s="4" t="str">
        <f t="array" ref="G97">IF(C97=1,XLOOKUP(C97,Cotizador!D:D,Cotizador!E:E,"",0,1),"")</f>
        <v/>
      </c>
      <c r="I97" s="4"/>
      <c r="J97" s="8" t="str">
        <f>IF(I97="","",SUMIF(Cotizador!I$1:V$1,I97,Cotizador!I$2:V$2))</f>
        <v/>
      </c>
      <c r="L97" s="4" t="str">
        <f t="array" ref="L97">IF(COUNTIF(L$1:L96,A$2)=SUMIF(A:A,A$2,D:D),IF(COUNTIF(L$1:L96,XLOOKUP(A$2,Implementos!B:B,Implementos!C:C,"",0,1))=SUMIF(A:A,XLOOKUP(A$2,Implementos!B:B,Implementos!C:C,"",0,1),D:D),"",XLOOKUP(A$2,Implementos!B:B,Implementos!C:C,"",0,1)),A$2)</f>
        <v/>
      </c>
      <c r="M97" s="4" t="str">
        <f t="shared" si="2"/>
        <v/>
      </c>
      <c r="N97" s="4" t="str">
        <f t="shared" si="3"/>
        <v/>
      </c>
      <c r="O97" s="4" t="str">
        <f t="shared" si="4"/>
        <v/>
      </c>
      <c r="P97" s="4" t="str">
        <f t="shared" si="5"/>
        <v/>
      </c>
      <c r="Q97" s="4" t="str">
        <f>IF(U97="","",SUMIF(Productos!E:E,U97,Productos!A:A))</f>
        <v/>
      </c>
      <c r="R97" s="4" t="str">
        <f t="array" ref="R97">IF(L97="","", max(1,SUMIF(I:I,XLOOKUP(U97,Productos!E:E,Productos!G:G,"",0,1),J:J)))</f>
        <v/>
      </c>
      <c r="S97" s="4" t="str">
        <f>IF(Q97="","",IF(SUMIFS(Compat_Vetado!D:D,Compat_Vetado!B:B,SUM(G:G),Compat_Vetado!C:C,Q97)=1,"SI",IF(OR(SUMIF(Cotizador!E:E,Q97,Cotizador!G:G)&gt;0,SUMIFS(Compat_Vetado!D:D,Compat_Vetado!B:B,SUM(G:G),Compat_Vetado!C:C,Q97)=-1),"NO","")))</f>
        <v/>
      </c>
      <c r="T97" s="4" t="str">
        <f t="shared" si="6"/>
        <v/>
      </c>
      <c r="U97" s="4" t="str">
        <f>IFERROR(__xludf.DUMMYFUNCTION("IF(P97="""","""",IFERROR(INDEX(filter(Productos!E:E,Productos!F:F=L97,Productos!H:H=N97),P97),IF(M97=SUM(D:D),""Finalizar"",""-"")))"),"")</f>
        <v/>
      </c>
      <c r="V97" s="4" t="str">
        <f>IFERROR(__xludf.DUMMYFUNCTION("IF(OR($U97="""",COUNTIF($I:$I,IFERROR(unique(filter(Prod_Prop!$H:$H,Prod_Prop!$G:$G=$U97,Prod_Prop!$E:$E=V$1)),""Check""))=0),"""",IFERROR(unique(filter(Prod_Prop!$H:$H,Prod_Prop!$G:$G=$U97,Prod_Prop!$E:$E=V$1)),""""))"),"")</f>
        <v/>
      </c>
      <c r="W97" s="4" t="str">
        <f>IF(V97="","",SUMIFS(Prod_Prop!$J:$J,Prod_Prop!$B:$B,$Q97,Prod_Prop!$H:$H,V97,Prod_Prop!$I:$I,W$1)*IF(V97="Peso",$R97,1))</f>
        <v/>
      </c>
      <c r="X97" s="4" t="str">
        <f>IF(V97="","",SUMIFS(Prod_Prop!$J:$J,Prod_Prop!$B:$B,$Q97,Prod_Prop!$H:$H,V97,Prod_Prop!$I:$I,X$1)*IF(V97="Peso",$R97,1))</f>
        <v/>
      </c>
      <c r="Y97" s="4" t="str">
        <f>IFERROR(__xludf.DUMMYFUNCTION("IF(OR($U97="""",COUNTIF($I:$I,IFERROR(unique(filter(Prod_Prop!$H:$H,Prod_Prop!$G:$G=$U97,Prod_Prop!$E:$E=Y$1)),""Check""))=0),"""",IFERROR(unique(filter(Prod_Prop!$H:$H,Prod_Prop!$G:$G=$U97,Prod_Prop!$E:$E=Y$1)),""""))"),"")</f>
        <v/>
      </c>
      <c r="Z97" s="4" t="str">
        <f>IF(Y97="","",SUMIFS(Prod_Prop!$J:$J,Prod_Prop!$B:$B,$Q97,Prod_Prop!$H:$H,Y97,Prod_Prop!$I:$I,Z$1)*IF(Y97="Peso",$R97,1))</f>
        <v/>
      </c>
      <c r="AA97" s="4" t="str">
        <f>IF(Y97="","",SUMIFS(Prod_Prop!$J:$J,Prod_Prop!$B:$B,$Q97,Prod_Prop!$H:$H,Y97,Prod_Prop!$I:$I,AA$1)*IF(Y97="Peso",$R97,1))</f>
        <v/>
      </c>
      <c r="AB97" s="4" t="str">
        <f>IFERROR(__xludf.DUMMYFUNCTION("IF(OR($U97="""",COUNTIF($I:$I,IFERROR(unique(filter(Prod_Prop!$H:$H,Prod_Prop!$G:$G=$U97,Prod_Prop!$E:$E=AB$1)),""Check""))=0),"""",IFERROR(unique(filter(Prod_Prop!$H:$H,Prod_Prop!$G:$G=$U97,Prod_Prop!$E:$E=AB$1)),""""))"),"")</f>
        <v/>
      </c>
      <c r="AC97" s="4" t="str">
        <f>IF(AB97="","",SUMIFS(Prod_Prop!$J:$J,Prod_Prop!$B:$B,$Q97,Prod_Prop!$H:$H,AB97,Prod_Prop!$I:$I,AC$1)*IF(AB97="Peso",$R97,1))</f>
        <v/>
      </c>
      <c r="AD97" s="4" t="str">
        <f>IF(AB97="","",SUMIFS(Prod_Prop!$J:$J,Prod_Prop!$B:$B,$Q97,Prod_Prop!$H:$H,AB97,Prod_Prop!$I:$I,AD$1)*IF(AB97="Peso",$R97,1))</f>
        <v/>
      </c>
    </row>
    <row r="98">
      <c r="A98" s="4" t="str">
        <f t="array" ref="A98">IF(COUNTIF(A$1:A97,Cotizador!F$2)=maxifs(Familias!E:E,Familias!D:D,Cotizador!F$2),IF(COUNTIF(A$1:A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" s="4" t="str">
        <f t="shared" si="1"/>
        <v/>
      </c>
      <c r="C98" s="4" t="str">
        <f t="array" ref="C98">IF(B98="","",IF(A98=XLOOKUP(A$2,Implementos!B:B,Implementos!C:C,"",0,1),B98+maxifs(B$1:B97,A$1:A97,A$2),B98))</f>
        <v/>
      </c>
      <c r="D98" s="4" t="str">
        <f>IF(B98="","", COUNTIFS(Productos!F:F,A98,Productos!H:H,B98)+IF(F98="SI",0,1))</f>
        <v/>
      </c>
      <c r="E98" s="4" t="str">
        <f>IFERROR(__xludf.DUMMYFUNCTION("IF($B98="""","""",INDEX(filter(Familias!F:F,Familias!$D:$D=$A98,Familias!$E:$E=$B98),1))"),"")</f>
        <v/>
      </c>
      <c r="F98" s="4" t="str">
        <f>IFERROR(__xludf.DUMMYFUNCTION("IF($B98="""","""",INDEX(filter(Familias!G:G,Familias!$D:$D=$A98,Familias!$E:$E=$B98),1))"),"")</f>
        <v/>
      </c>
      <c r="G98" s="4" t="str">
        <f t="array" ref="G98">IF(C98=1,XLOOKUP(C98,Cotizador!D:D,Cotizador!E:E,"",0,1),"")</f>
        <v/>
      </c>
      <c r="I98" s="4"/>
      <c r="J98" s="8" t="str">
        <f>IF(I98="","",SUMIF(Cotizador!I$1:V$1,I98,Cotizador!I$2:V$2))</f>
        <v/>
      </c>
      <c r="L98" s="4" t="str">
        <f t="array" ref="L98">IF(COUNTIF(L$1:L97,A$2)=SUMIF(A:A,A$2,D:D),IF(COUNTIF(L$1:L97,XLOOKUP(A$2,Implementos!B:B,Implementos!C:C,"",0,1))=SUMIF(A:A,XLOOKUP(A$2,Implementos!B:B,Implementos!C:C,"",0,1),D:D),"",XLOOKUP(A$2,Implementos!B:B,Implementos!C:C,"",0,1)),A$2)</f>
        <v/>
      </c>
      <c r="M98" s="4" t="str">
        <f t="shared" si="2"/>
        <v/>
      </c>
      <c r="N98" s="4" t="str">
        <f t="shared" si="3"/>
        <v/>
      </c>
      <c r="O98" s="4" t="str">
        <f t="shared" si="4"/>
        <v/>
      </c>
      <c r="P98" s="4" t="str">
        <f t="shared" si="5"/>
        <v/>
      </c>
      <c r="Q98" s="4" t="str">
        <f>IF(U98="","",SUMIF(Productos!E:E,U98,Productos!A:A))</f>
        <v/>
      </c>
      <c r="R98" s="4" t="str">
        <f t="array" ref="R98">IF(L98="","", max(1,SUMIF(I:I,XLOOKUP(U98,Productos!E:E,Productos!G:G,"",0,1),J:J)))</f>
        <v/>
      </c>
      <c r="S98" s="4" t="str">
        <f>IF(Q98="","",IF(SUMIFS(Compat_Vetado!D:D,Compat_Vetado!B:B,SUM(G:G),Compat_Vetado!C:C,Q98)=1,"SI",IF(OR(SUMIF(Cotizador!E:E,Q98,Cotizador!G:G)&gt;0,SUMIFS(Compat_Vetado!D:D,Compat_Vetado!B:B,SUM(G:G),Compat_Vetado!C:C,Q98)=-1),"NO","")))</f>
        <v/>
      </c>
      <c r="T98" s="4" t="str">
        <f t="shared" si="6"/>
        <v/>
      </c>
      <c r="U98" s="4" t="str">
        <f>IFERROR(__xludf.DUMMYFUNCTION("IF(P98="""","""",IFERROR(INDEX(filter(Productos!E:E,Productos!F:F=L98,Productos!H:H=N98),P98),IF(M98=SUM(D:D),""Finalizar"",""-"")))"),"")</f>
        <v/>
      </c>
      <c r="V98" s="4" t="str">
        <f>IFERROR(__xludf.DUMMYFUNCTION("IF(OR($U98="""",COUNTIF($I:$I,IFERROR(unique(filter(Prod_Prop!$H:$H,Prod_Prop!$G:$G=$U98,Prod_Prop!$E:$E=V$1)),""Check""))=0),"""",IFERROR(unique(filter(Prod_Prop!$H:$H,Prod_Prop!$G:$G=$U98,Prod_Prop!$E:$E=V$1)),""""))"),"")</f>
        <v/>
      </c>
      <c r="W98" s="4" t="str">
        <f>IF(V98="","",SUMIFS(Prod_Prop!$J:$J,Prod_Prop!$B:$B,$Q98,Prod_Prop!$H:$H,V98,Prod_Prop!$I:$I,W$1)*IF(V98="Peso",$R98,1))</f>
        <v/>
      </c>
      <c r="X98" s="4" t="str">
        <f>IF(V98="","",SUMIFS(Prod_Prop!$J:$J,Prod_Prop!$B:$B,$Q98,Prod_Prop!$H:$H,V98,Prod_Prop!$I:$I,X$1)*IF(V98="Peso",$R98,1))</f>
        <v/>
      </c>
      <c r="Y98" s="4" t="str">
        <f>IFERROR(__xludf.DUMMYFUNCTION("IF(OR($U98="""",COUNTIF($I:$I,IFERROR(unique(filter(Prod_Prop!$H:$H,Prod_Prop!$G:$G=$U98,Prod_Prop!$E:$E=Y$1)),""Check""))=0),"""",IFERROR(unique(filter(Prod_Prop!$H:$H,Prod_Prop!$G:$G=$U98,Prod_Prop!$E:$E=Y$1)),""""))"),"")</f>
        <v/>
      </c>
      <c r="Z98" s="4" t="str">
        <f>IF(Y98="","",SUMIFS(Prod_Prop!$J:$J,Prod_Prop!$B:$B,$Q98,Prod_Prop!$H:$H,Y98,Prod_Prop!$I:$I,Z$1)*IF(Y98="Peso",$R98,1))</f>
        <v/>
      </c>
      <c r="AA98" s="4" t="str">
        <f>IF(Y98="","",SUMIFS(Prod_Prop!$J:$J,Prod_Prop!$B:$B,$Q98,Prod_Prop!$H:$H,Y98,Prod_Prop!$I:$I,AA$1)*IF(Y98="Peso",$R98,1))</f>
        <v/>
      </c>
      <c r="AB98" s="4" t="str">
        <f>IFERROR(__xludf.DUMMYFUNCTION("IF(OR($U98="""",COUNTIF($I:$I,IFERROR(unique(filter(Prod_Prop!$H:$H,Prod_Prop!$G:$G=$U98,Prod_Prop!$E:$E=AB$1)),""Check""))=0),"""",IFERROR(unique(filter(Prod_Prop!$H:$H,Prod_Prop!$G:$G=$U98,Prod_Prop!$E:$E=AB$1)),""""))"),"")</f>
        <v/>
      </c>
      <c r="AC98" s="4" t="str">
        <f>IF(AB98="","",SUMIFS(Prod_Prop!$J:$J,Prod_Prop!$B:$B,$Q98,Prod_Prop!$H:$H,AB98,Prod_Prop!$I:$I,AC$1)*IF(AB98="Peso",$R98,1))</f>
        <v/>
      </c>
      <c r="AD98" s="4" t="str">
        <f>IF(AB98="","",SUMIFS(Prod_Prop!$J:$J,Prod_Prop!$B:$B,$Q98,Prod_Prop!$H:$H,AB98,Prod_Prop!$I:$I,AD$1)*IF(AB98="Peso",$R98,1))</f>
        <v/>
      </c>
    </row>
    <row r="99">
      <c r="A99" s="4" t="str">
        <f t="array" ref="A99">IF(COUNTIF(A$1:A98,Cotizador!F$2)=maxifs(Familias!E:E,Familias!D:D,Cotizador!F$2),IF(COUNTIF(A$1:A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" s="4" t="str">
        <f t="shared" si="1"/>
        <v/>
      </c>
      <c r="C99" s="4" t="str">
        <f t="array" ref="C99">IF(B99="","",IF(A99=XLOOKUP(A$2,Implementos!B:B,Implementos!C:C,"",0,1),B99+maxifs(B$1:B98,A$1:A98,A$2),B99))</f>
        <v/>
      </c>
      <c r="D99" s="4" t="str">
        <f>IF(B99="","", COUNTIFS(Productos!F:F,A99,Productos!H:H,B99)+IF(F99="SI",0,1))</f>
        <v/>
      </c>
      <c r="E99" s="4" t="str">
        <f>IFERROR(__xludf.DUMMYFUNCTION("IF($B99="""","""",INDEX(filter(Familias!F:F,Familias!$D:$D=$A99,Familias!$E:$E=$B99),1))"),"")</f>
        <v/>
      </c>
      <c r="F99" s="4" t="str">
        <f>IFERROR(__xludf.DUMMYFUNCTION("IF($B99="""","""",INDEX(filter(Familias!G:G,Familias!$D:$D=$A99,Familias!$E:$E=$B99),1))"),"")</f>
        <v/>
      </c>
      <c r="G99" s="4" t="str">
        <f t="array" ref="G99">IF(C99=1,XLOOKUP(C99,Cotizador!D:D,Cotizador!E:E,"",0,1),"")</f>
        <v/>
      </c>
      <c r="I99" s="4"/>
      <c r="J99" s="8" t="str">
        <f>IF(I99="","",SUMIF(Cotizador!I$1:V$1,I99,Cotizador!I$2:V$2))</f>
        <v/>
      </c>
      <c r="L99" s="4" t="str">
        <f t="array" ref="L99">IF(COUNTIF(L$1:L98,A$2)=SUMIF(A:A,A$2,D:D),IF(COUNTIF(L$1:L98,XLOOKUP(A$2,Implementos!B:B,Implementos!C:C,"",0,1))=SUMIF(A:A,XLOOKUP(A$2,Implementos!B:B,Implementos!C:C,"",0,1),D:D),"",XLOOKUP(A$2,Implementos!B:B,Implementos!C:C,"",0,1)),A$2)</f>
        <v/>
      </c>
      <c r="M99" s="4" t="str">
        <f t="shared" si="2"/>
        <v/>
      </c>
      <c r="N99" s="4" t="str">
        <f t="shared" si="3"/>
        <v/>
      </c>
      <c r="O99" s="4" t="str">
        <f t="shared" si="4"/>
        <v/>
      </c>
      <c r="P99" s="4" t="str">
        <f t="shared" si="5"/>
        <v/>
      </c>
      <c r="Q99" s="4" t="str">
        <f>IF(U99="","",SUMIF(Productos!E:E,U99,Productos!A:A))</f>
        <v/>
      </c>
      <c r="R99" s="4" t="str">
        <f t="array" ref="R99">IF(L99="","", max(1,SUMIF(I:I,XLOOKUP(U99,Productos!E:E,Productos!G:G,"",0,1),J:J)))</f>
        <v/>
      </c>
      <c r="S99" s="4" t="str">
        <f>IF(Q99="","",IF(SUMIFS(Compat_Vetado!D:D,Compat_Vetado!B:B,SUM(G:G),Compat_Vetado!C:C,Q99)=1,"SI",IF(OR(SUMIF(Cotizador!E:E,Q99,Cotizador!G:G)&gt;0,SUMIFS(Compat_Vetado!D:D,Compat_Vetado!B:B,SUM(G:G),Compat_Vetado!C:C,Q99)=-1),"NO","")))</f>
        <v/>
      </c>
      <c r="T99" s="4" t="str">
        <f t="shared" si="6"/>
        <v/>
      </c>
      <c r="U99" s="4" t="str">
        <f>IFERROR(__xludf.DUMMYFUNCTION("IF(P99="""","""",IFERROR(INDEX(filter(Productos!E:E,Productos!F:F=L99,Productos!H:H=N99),P99),IF(M99=SUM(D:D),""Finalizar"",""-"")))"),"")</f>
        <v/>
      </c>
      <c r="V99" s="4" t="str">
        <f>IFERROR(__xludf.DUMMYFUNCTION("IF(OR($U99="""",COUNTIF($I:$I,IFERROR(unique(filter(Prod_Prop!$H:$H,Prod_Prop!$G:$G=$U99,Prod_Prop!$E:$E=V$1)),""Check""))=0),"""",IFERROR(unique(filter(Prod_Prop!$H:$H,Prod_Prop!$G:$G=$U99,Prod_Prop!$E:$E=V$1)),""""))"),"")</f>
        <v/>
      </c>
      <c r="W99" s="4" t="str">
        <f>IF(V99="","",SUMIFS(Prod_Prop!$J:$J,Prod_Prop!$B:$B,$Q99,Prod_Prop!$H:$H,V99,Prod_Prop!$I:$I,W$1)*IF(V99="Peso",$R99,1))</f>
        <v/>
      </c>
      <c r="X99" s="4" t="str">
        <f>IF(V99="","",SUMIFS(Prod_Prop!$J:$J,Prod_Prop!$B:$B,$Q99,Prod_Prop!$H:$H,V99,Prod_Prop!$I:$I,X$1)*IF(V99="Peso",$R99,1))</f>
        <v/>
      </c>
      <c r="Y99" s="4" t="str">
        <f>IFERROR(__xludf.DUMMYFUNCTION("IF(OR($U99="""",COUNTIF($I:$I,IFERROR(unique(filter(Prod_Prop!$H:$H,Prod_Prop!$G:$G=$U99,Prod_Prop!$E:$E=Y$1)),""Check""))=0),"""",IFERROR(unique(filter(Prod_Prop!$H:$H,Prod_Prop!$G:$G=$U99,Prod_Prop!$E:$E=Y$1)),""""))"),"")</f>
        <v/>
      </c>
      <c r="Z99" s="4" t="str">
        <f>IF(Y99="","",SUMIFS(Prod_Prop!$J:$J,Prod_Prop!$B:$B,$Q99,Prod_Prop!$H:$H,Y99,Prod_Prop!$I:$I,Z$1)*IF(Y99="Peso",$R99,1))</f>
        <v/>
      </c>
      <c r="AA99" s="4" t="str">
        <f>IF(Y99="","",SUMIFS(Prod_Prop!$J:$J,Prod_Prop!$B:$B,$Q99,Prod_Prop!$H:$H,Y99,Prod_Prop!$I:$I,AA$1)*IF(Y99="Peso",$R99,1))</f>
        <v/>
      </c>
      <c r="AB99" s="4" t="str">
        <f>IFERROR(__xludf.DUMMYFUNCTION("IF(OR($U99="""",COUNTIF($I:$I,IFERROR(unique(filter(Prod_Prop!$H:$H,Prod_Prop!$G:$G=$U99,Prod_Prop!$E:$E=AB$1)),""Check""))=0),"""",IFERROR(unique(filter(Prod_Prop!$H:$H,Prod_Prop!$G:$G=$U99,Prod_Prop!$E:$E=AB$1)),""""))"),"")</f>
        <v/>
      </c>
      <c r="AC99" s="4" t="str">
        <f>IF(AB99="","",SUMIFS(Prod_Prop!$J:$J,Prod_Prop!$B:$B,$Q99,Prod_Prop!$H:$H,AB99,Prod_Prop!$I:$I,AC$1)*IF(AB99="Peso",$R99,1))</f>
        <v/>
      </c>
      <c r="AD99" s="4" t="str">
        <f>IF(AB99="","",SUMIFS(Prod_Prop!$J:$J,Prod_Prop!$B:$B,$Q99,Prod_Prop!$H:$H,AB99,Prod_Prop!$I:$I,AD$1)*IF(AB99="Peso",$R99,1))</f>
        <v/>
      </c>
    </row>
    <row r="100">
      <c r="A100" s="4" t="str">
        <f t="array" ref="A100">IF(COUNTIF(A$1:A99,Cotizador!F$2)=maxifs(Familias!E:E,Familias!D:D,Cotizador!F$2),IF(COUNTIF(A$1:A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0" s="4" t="str">
        <f t="shared" si="1"/>
        <v/>
      </c>
      <c r="C100" s="4" t="str">
        <f t="array" ref="C100">IF(B100="","",IF(A100=XLOOKUP(A$2,Implementos!B:B,Implementos!C:C,"",0,1),B100+maxifs(B$1:B99,A$1:A99,A$2),B100))</f>
        <v/>
      </c>
      <c r="D100" s="4" t="str">
        <f>IF(B100="","", COUNTIFS(Productos!F:F,A100,Productos!H:H,B100)+IF(F100="SI",0,1))</f>
        <v/>
      </c>
      <c r="E100" s="4" t="str">
        <f>IFERROR(__xludf.DUMMYFUNCTION("IF($B100="""","""",INDEX(filter(Familias!F:F,Familias!$D:$D=$A100,Familias!$E:$E=$B100),1))"),"")</f>
        <v/>
      </c>
      <c r="F100" s="4" t="str">
        <f>IFERROR(__xludf.DUMMYFUNCTION("IF($B100="""","""",INDEX(filter(Familias!G:G,Familias!$D:$D=$A100,Familias!$E:$E=$B100),1))"),"")</f>
        <v/>
      </c>
      <c r="G100" s="4" t="str">
        <f t="array" ref="G100">IF(C100=1,XLOOKUP(C100,Cotizador!D:D,Cotizador!E:E,"",0,1),"")</f>
        <v/>
      </c>
      <c r="I100" s="4"/>
      <c r="J100" s="8" t="str">
        <f>IF(I100="","",SUMIF(Cotizador!I$1:V$1,I100,Cotizador!I$2:V$2))</f>
        <v/>
      </c>
      <c r="L100" s="4" t="str">
        <f t="array" ref="L100">IF(COUNTIF(L$1:L99,A$2)=SUMIF(A:A,A$2,D:D),IF(COUNTIF(L$1:L99,XLOOKUP(A$2,Implementos!B:B,Implementos!C:C,"",0,1))=SUMIF(A:A,XLOOKUP(A$2,Implementos!B:B,Implementos!C:C,"",0,1),D:D),"",XLOOKUP(A$2,Implementos!B:B,Implementos!C:C,"",0,1)),A$2)</f>
        <v/>
      </c>
      <c r="M100" s="4" t="str">
        <f t="shared" si="2"/>
        <v/>
      </c>
      <c r="N100" s="4" t="str">
        <f t="shared" si="3"/>
        <v/>
      </c>
      <c r="O100" s="4" t="str">
        <f t="shared" si="4"/>
        <v/>
      </c>
      <c r="P100" s="4" t="str">
        <f t="shared" si="5"/>
        <v/>
      </c>
      <c r="Q100" s="4" t="str">
        <f>IF(U100="","",SUMIF(Productos!E:E,U100,Productos!A:A))</f>
        <v/>
      </c>
      <c r="R100" s="4" t="str">
        <f t="array" ref="R100">IF(L100="","", max(1,SUMIF(I:I,XLOOKUP(U100,Productos!E:E,Productos!G:G,"",0,1),J:J)))</f>
        <v/>
      </c>
      <c r="S100" s="4" t="str">
        <f>IF(Q100="","",IF(SUMIFS(Compat_Vetado!D:D,Compat_Vetado!B:B,SUM(G:G),Compat_Vetado!C:C,Q100)=1,"SI",IF(OR(SUMIF(Cotizador!E:E,Q100,Cotizador!G:G)&gt;0,SUMIFS(Compat_Vetado!D:D,Compat_Vetado!B:B,SUM(G:G),Compat_Vetado!C:C,Q100)=-1),"NO","")))</f>
        <v/>
      </c>
      <c r="T100" s="4" t="str">
        <f t="shared" si="6"/>
        <v/>
      </c>
      <c r="U100" s="4" t="str">
        <f>IFERROR(__xludf.DUMMYFUNCTION("IF(P100="""","""",IFERROR(INDEX(filter(Productos!E:E,Productos!F:F=L100,Productos!H:H=N100),P100),IF(M100=SUM(D:D),""Finalizar"",""-"")))"),"")</f>
        <v/>
      </c>
      <c r="V100" s="4" t="str">
        <f>IFERROR(__xludf.DUMMYFUNCTION("IF(OR($U100="""",COUNTIF($I:$I,IFERROR(unique(filter(Prod_Prop!$H:$H,Prod_Prop!$G:$G=$U100,Prod_Prop!$E:$E=V$1)),""Check""))=0),"""",IFERROR(unique(filter(Prod_Prop!$H:$H,Prod_Prop!$G:$G=$U100,Prod_Prop!$E:$E=V$1)),""""))"),"")</f>
        <v/>
      </c>
      <c r="W100" s="4" t="str">
        <f>IF(V100="","",SUMIFS(Prod_Prop!$J:$J,Prod_Prop!$B:$B,$Q100,Prod_Prop!$H:$H,V100,Prod_Prop!$I:$I,W$1)*IF(V100="Peso",$R100,1))</f>
        <v/>
      </c>
      <c r="X100" s="4" t="str">
        <f>IF(V100="","",SUMIFS(Prod_Prop!$J:$J,Prod_Prop!$B:$B,$Q100,Prod_Prop!$H:$H,V100,Prod_Prop!$I:$I,X$1)*IF(V100="Peso",$R100,1))</f>
        <v/>
      </c>
      <c r="Y100" s="4" t="str">
        <f>IFERROR(__xludf.DUMMYFUNCTION("IF(OR($U100="""",COUNTIF($I:$I,IFERROR(unique(filter(Prod_Prop!$H:$H,Prod_Prop!$G:$G=$U100,Prod_Prop!$E:$E=Y$1)),""Check""))=0),"""",IFERROR(unique(filter(Prod_Prop!$H:$H,Prod_Prop!$G:$G=$U100,Prod_Prop!$E:$E=Y$1)),""""))"),"")</f>
        <v/>
      </c>
      <c r="Z100" s="4" t="str">
        <f>IF(Y100="","",SUMIFS(Prod_Prop!$J:$J,Prod_Prop!$B:$B,$Q100,Prod_Prop!$H:$H,Y100,Prod_Prop!$I:$I,Z$1)*IF(Y100="Peso",$R100,1))</f>
        <v/>
      </c>
      <c r="AA100" s="4" t="str">
        <f>IF(Y100="","",SUMIFS(Prod_Prop!$J:$J,Prod_Prop!$B:$B,$Q100,Prod_Prop!$H:$H,Y100,Prod_Prop!$I:$I,AA$1)*IF(Y100="Peso",$R100,1))</f>
        <v/>
      </c>
      <c r="AB100" s="4" t="str">
        <f>IFERROR(__xludf.DUMMYFUNCTION("IF(OR($U100="""",COUNTIF($I:$I,IFERROR(unique(filter(Prod_Prop!$H:$H,Prod_Prop!$G:$G=$U100,Prod_Prop!$E:$E=AB$1)),""Check""))=0),"""",IFERROR(unique(filter(Prod_Prop!$H:$H,Prod_Prop!$G:$G=$U100,Prod_Prop!$E:$E=AB$1)),""""))"),"")</f>
        <v/>
      </c>
      <c r="AC100" s="4" t="str">
        <f>IF(AB100="","",SUMIFS(Prod_Prop!$J:$J,Prod_Prop!$B:$B,$Q100,Prod_Prop!$H:$H,AB100,Prod_Prop!$I:$I,AC$1)*IF(AB100="Peso",$R100,1))</f>
        <v/>
      </c>
      <c r="AD100" s="4" t="str">
        <f>IF(AB100="","",SUMIFS(Prod_Prop!$J:$J,Prod_Prop!$B:$B,$Q100,Prod_Prop!$H:$H,AB100,Prod_Prop!$I:$I,AD$1)*IF(AB100="Peso",$R100,1))</f>
        <v/>
      </c>
    </row>
    <row r="101">
      <c r="A101" s="4" t="str">
        <f t="array" ref="A101">IF(COUNTIF(A$1:A100,Cotizador!F$2)=maxifs(Familias!E:E,Familias!D:D,Cotizador!F$2),IF(COUNTIF(A$1:A100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1" s="4" t="str">
        <f t="shared" si="1"/>
        <v/>
      </c>
      <c r="C101" s="4" t="str">
        <f t="array" ref="C101">IF(B101="","",IF(A101=XLOOKUP(A$2,Implementos!B:B,Implementos!C:C,"",0,1),B101+maxifs(B$1:B100,A$1:A100,A$2),B101))</f>
        <v/>
      </c>
      <c r="D101" s="4" t="str">
        <f>IF(B101="","", COUNTIFS(Productos!F:F,A101,Productos!H:H,B101)+IF(F101="SI",0,1))</f>
        <v/>
      </c>
      <c r="E101" s="4" t="str">
        <f>IFERROR(__xludf.DUMMYFUNCTION("IF($B101="""","""",INDEX(filter(Familias!F:F,Familias!$D:$D=$A101,Familias!$E:$E=$B101),1))"),"")</f>
        <v/>
      </c>
      <c r="F101" s="4" t="str">
        <f>IFERROR(__xludf.DUMMYFUNCTION("IF($B101="""","""",INDEX(filter(Familias!G:G,Familias!$D:$D=$A101,Familias!$E:$E=$B101),1))"),"")</f>
        <v/>
      </c>
      <c r="G101" s="4" t="str">
        <f t="array" ref="G101">IF(C101=1,XLOOKUP(C101,Cotizador!D:D,Cotizador!E:E,"",0,1),"")</f>
        <v/>
      </c>
      <c r="I101" s="4"/>
      <c r="J101" s="8" t="str">
        <f>IF(I101="","",SUMIF(Cotizador!I$1:V$1,I101,Cotizador!I$2:V$2))</f>
        <v/>
      </c>
      <c r="L101" s="4" t="str">
        <f t="array" ref="L101">IF(COUNTIF(L$1:L100,A$2)=SUMIF(A:A,A$2,D:D),IF(COUNTIF(L$1:L100,XLOOKUP(A$2,Implementos!B:B,Implementos!C:C,"",0,1))=SUMIF(A:A,XLOOKUP(A$2,Implementos!B:B,Implementos!C:C,"",0,1),D:D),"",XLOOKUP(A$2,Implementos!B:B,Implementos!C:C,"",0,1)),A$2)</f>
        <v/>
      </c>
      <c r="M101" s="4" t="str">
        <f t="shared" si="2"/>
        <v/>
      </c>
      <c r="N101" s="4" t="str">
        <f t="shared" si="3"/>
        <v/>
      </c>
      <c r="O101" s="4" t="str">
        <f t="shared" si="4"/>
        <v/>
      </c>
      <c r="P101" s="4" t="str">
        <f t="shared" si="5"/>
        <v/>
      </c>
      <c r="Q101" s="4" t="str">
        <f>IF(U101="","",SUMIF(Productos!E:E,U101,Productos!A:A))</f>
        <v/>
      </c>
      <c r="R101" s="4" t="str">
        <f t="array" ref="R101">IF(L101="","", max(1,SUMIF(I:I,XLOOKUP(U101,Productos!E:E,Productos!G:G,"",0,1),J:J)))</f>
        <v/>
      </c>
      <c r="S101" s="4" t="str">
        <f>IF(Q101="","",IF(SUMIFS(Compat_Vetado!D:D,Compat_Vetado!B:B,SUM(G:G),Compat_Vetado!C:C,Q101)=1,"SI",IF(OR(SUMIF(Cotizador!E:E,Q101,Cotizador!G:G)&gt;0,SUMIFS(Compat_Vetado!D:D,Compat_Vetado!B:B,SUM(G:G),Compat_Vetado!C:C,Q101)=-1),"NO","")))</f>
        <v/>
      </c>
      <c r="T101" s="4" t="str">
        <f t="shared" si="6"/>
        <v/>
      </c>
      <c r="U101" s="4" t="str">
        <f>IFERROR(__xludf.DUMMYFUNCTION("IF(P101="""","""",IFERROR(INDEX(filter(Productos!E:E,Productos!F:F=L101,Productos!H:H=N101),P101),IF(M101=SUM(D:D),""Finalizar"",""-"")))"),"")</f>
        <v/>
      </c>
      <c r="V101" s="4" t="str">
        <f>IFERROR(__xludf.DUMMYFUNCTION("IF(OR($U101="""",COUNTIF($I:$I,IFERROR(unique(filter(Prod_Prop!$H:$H,Prod_Prop!$G:$G=$U101,Prod_Prop!$E:$E=V$1)),""Check""))=0),"""",IFERROR(unique(filter(Prod_Prop!$H:$H,Prod_Prop!$G:$G=$U101,Prod_Prop!$E:$E=V$1)),""""))"),"")</f>
        <v/>
      </c>
      <c r="W101" s="4" t="str">
        <f>IF(V101="","",SUMIFS(Prod_Prop!$J:$J,Prod_Prop!$B:$B,$Q101,Prod_Prop!$H:$H,V101,Prod_Prop!$I:$I,W$1)*IF(V101="Peso",$R101,1))</f>
        <v/>
      </c>
      <c r="X101" s="4" t="str">
        <f>IF(V101="","",SUMIFS(Prod_Prop!$J:$J,Prod_Prop!$B:$B,$Q101,Prod_Prop!$H:$H,V101,Prod_Prop!$I:$I,X$1)*IF(V101="Peso",$R101,1))</f>
        <v/>
      </c>
      <c r="Y101" s="4" t="str">
        <f>IFERROR(__xludf.DUMMYFUNCTION("IF(OR($U101="""",COUNTIF($I:$I,IFERROR(unique(filter(Prod_Prop!$H:$H,Prod_Prop!$G:$G=$U101,Prod_Prop!$E:$E=Y$1)),""Check""))=0),"""",IFERROR(unique(filter(Prod_Prop!$H:$H,Prod_Prop!$G:$G=$U101,Prod_Prop!$E:$E=Y$1)),""""))"),"")</f>
        <v/>
      </c>
      <c r="Z101" s="4" t="str">
        <f>IF(Y101="","",SUMIFS(Prod_Prop!$J:$J,Prod_Prop!$B:$B,$Q101,Prod_Prop!$H:$H,Y101,Prod_Prop!$I:$I,Z$1)*IF(Y101="Peso",$R101,1))</f>
        <v/>
      </c>
      <c r="AA101" s="4" t="str">
        <f>IF(Y101="","",SUMIFS(Prod_Prop!$J:$J,Prod_Prop!$B:$B,$Q101,Prod_Prop!$H:$H,Y101,Prod_Prop!$I:$I,AA$1)*IF(Y101="Peso",$R101,1))</f>
        <v/>
      </c>
      <c r="AB101" s="4" t="str">
        <f>IFERROR(__xludf.DUMMYFUNCTION("IF(OR($U101="""",COUNTIF($I:$I,IFERROR(unique(filter(Prod_Prop!$H:$H,Prod_Prop!$G:$G=$U101,Prod_Prop!$E:$E=AB$1)),""Check""))=0),"""",IFERROR(unique(filter(Prod_Prop!$H:$H,Prod_Prop!$G:$G=$U101,Prod_Prop!$E:$E=AB$1)),""""))"),"")</f>
        <v/>
      </c>
      <c r="AC101" s="4" t="str">
        <f>IF(AB101="","",SUMIFS(Prod_Prop!$J:$J,Prod_Prop!$B:$B,$Q101,Prod_Prop!$H:$H,AB101,Prod_Prop!$I:$I,AC$1)*IF(AB101="Peso",$R101,1))</f>
        <v/>
      </c>
      <c r="AD101" s="4" t="str">
        <f>IF(AB101="","",SUMIFS(Prod_Prop!$J:$J,Prod_Prop!$B:$B,$Q101,Prod_Prop!$H:$H,AB101,Prod_Prop!$I:$I,AD$1)*IF(AB101="Peso",$R101,1))</f>
        <v/>
      </c>
    </row>
    <row r="102">
      <c r="A102" s="4" t="str">
        <f t="array" ref="A102">IF(COUNTIF(A$1:A101,Cotizador!F$2)=maxifs(Familias!E:E,Familias!D:D,Cotizador!F$2),IF(COUNTIF(A$1:A101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2" s="4" t="str">
        <f t="shared" si="1"/>
        <v/>
      </c>
      <c r="C102" s="4" t="str">
        <f t="array" ref="C102">IF(B102="","",IF(A102=XLOOKUP(A$2,Implementos!B:B,Implementos!C:C,"",0,1),B102+maxifs(B$1:B101,A$1:A101,A$2),B102))</f>
        <v/>
      </c>
      <c r="D102" s="4" t="str">
        <f>IF(B102="","", COUNTIFS(Productos!F:F,A102,Productos!H:H,B102)+IF(F102="SI",0,1))</f>
        <v/>
      </c>
      <c r="E102" s="4" t="str">
        <f>IFERROR(__xludf.DUMMYFUNCTION("IF($B102="""","""",INDEX(filter(Familias!F:F,Familias!$D:$D=$A102,Familias!$E:$E=$B102),1))"),"")</f>
        <v/>
      </c>
      <c r="F102" s="4" t="str">
        <f>IFERROR(__xludf.DUMMYFUNCTION("IF($B102="""","""",INDEX(filter(Familias!G:G,Familias!$D:$D=$A102,Familias!$E:$E=$B102),1))"),"")</f>
        <v/>
      </c>
      <c r="G102" s="4" t="str">
        <f t="array" ref="G102">IF(C102=1,XLOOKUP(C102,Cotizador!D:D,Cotizador!E:E,"",0,1),"")</f>
        <v/>
      </c>
      <c r="I102" s="4"/>
      <c r="J102" s="8" t="str">
        <f>IF(I102="","",SUMIF(Cotizador!I$1:V$1,I102,Cotizador!I$2:V$2))</f>
        <v/>
      </c>
      <c r="L102" s="4" t="str">
        <f t="array" ref="L102">IF(COUNTIF(L$1:L101,A$2)=SUMIF(A:A,A$2,D:D),IF(COUNTIF(L$1:L101,XLOOKUP(A$2,Implementos!B:B,Implementos!C:C,"",0,1))=SUMIF(A:A,XLOOKUP(A$2,Implementos!B:B,Implementos!C:C,"",0,1),D:D),"",XLOOKUP(A$2,Implementos!B:B,Implementos!C:C,"",0,1)),A$2)</f>
        <v/>
      </c>
      <c r="M102" s="4" t="str">
        <f t="shared" si="2"/>
        <v/>
      </c>
      <c r="N102" s="4" t="str">
        <f t="shared" si="3"/>
        <v/>
      </c>
      <c r="O102" s="4" t="str">
        <f t="shared" si="4"/>
        <v/>
      </c>
      <c r="P102" s="4" t="str">
        <f t="shared" si="5"/>
        <v/>
      </c>
      <c r="Q102" s="4" t="str">
        <f>IF(U102="","",SUMIF(Productos!E:E,U102,Productos!A:A))</f>
        <v/>
      </c>
      <c r="R102" s="4" t="str">
        <f t="array" ref="R102">IF(L102="","", max(1,SUMIF(I:I,XLOOKUP(U102,Productos!E:E,Productos!G:G,"",0,1),J:J)))</f>
        <v/>
      </c>
      <c r="S102" s="4" t="str">
        <f>IF(Q102="","",IF(SUMIFS(Compat_Vetado!D:D,Compat_Vetado!B:B,SUM(G:G),Compat_Vetado!C:C,Q102)=1,"SI",IF(OR(SUMIF(Cotizador!E:E,Q102,Cotizador!G:G)&gt;0,SUMIFS(Compat_Vetado!D:D,Compat_Vetado!B:B,SUM(G:G),Compat_Vetado!C:C,Q102)=-1),"NO","")))</f>
        <v/>
      </c>
      <c r="T102" s="4" t="str">
        <f t="shared" si="6"/>
        <v/>
      </c>
      <c r="U102" s="4" t="str">
        <f>IFERROR(__xludf.DUMMYFUNCTION("IF(P102="""","""",IFERROR(INDEX(filter(Productos!E:E,Productos!F:F=L102,Productos!H:H=N102),P102),IF(M102=SUM(D:D),""Finalizar"",""-"")))"),"")</f>
        <v/>
      </c>
      <c r="V102" s="4" t="str">
        <f>IFERROR(__xludf.DUMMYFUNCTION("IF(OR($U102="""",COUNTIF($I:$I,IFERROR(unique(filter(Prod_Prop!$H:$H,Prod_Prop!$G:$G=$U102,Prod_Prop!$E:$E=V$1)),""Check""))=0),"""",IFERROR(unique(filter(Prod_Prop!$H:$H,Prod_Prop!$G:$G=$U102,Prod_Prop!$E:$E=V$1)),""""))"),"")</f>
        <v/>
      </c>
      <c r="W102" s="4" t="str">
        <f>IF(V102="","",SUMIFS(Prod_Prop!$J:$J,Prod_Prop!$B:$B,$Q102,Prod_Prop!$H:$H,V102,Prod_Prop!$I:$I,W$1)*IF(V102="Peso",$R102,1))</f>
        <v/>
      </c>
      <c r="X102" s="4" t="str">
        <f>IF(V102="","",SUMIFS(Prod_Prop!$J:$J,Prod_Prop!$B:$B,$Q102,Prod_Prop!$H:$H,V102,Prod_Prop!$I:$I,X$1)*IF(V102="Peso",$R102,1))</f>
        <v/>
      </c>
      <c r="Y102" s="4" t="str">
        <f>IFERROR(__xludf.DUMMYFUNCTION("IF(OR($U102="""",COUNTIF($I:$I,IFERROR(unique(filter(Prod_Prop!$H:$H,Prod_Prop!$G:$G=$U102,Prod_Prop!$E:$E=Y$1)),""Check""))=0),"""",IFERROR(unique(filter(Prod_Prop!$H:$H,Prod_Prop!$G:$G=$U102,Prod_Prop!$E:$E=Y$1)),""""))"),"")</f>
        <v/>
      </c>
      <c r="Z102" s="4" t="str">
        <f>IF(Y102="","",SUMIFS(Prod_Prop!$J:$J,Prod_Prop!$B:$B,$Q102,Prod_Prop!$H:$H,Y102,Prod_Prop!$I:$I,Z$1)*IF(Y102="Peso",$R102,1))</f>
        <v/>
      </c>
      <c r="AA102" s="4" t="str">
        <f>IF(Y102="","",SUMIFS(Prod_Prop!$J:$J,Prod_Prop!$B:$B,$Q102,Prod_Prop!$H:$H,Y102,Prod_Prop!$I:$I,AA$1)*IF(Y102="Peso",$R102,1))</f>
        <v/>
      </c>
      <c r="AB102" s="4" t="str">
        <f>IFERROR(__xludf.DUMMYFUNCTION("IF(OR($U102="""",COUNTIF($I:$I,IFERROR(unique(filter(Prod_Prop!$H:$H,Prod_Prop!$G:$G=$U102,Prod_Prop!$E:$E=AB$1)),""Check""))=0),"""",IFERROR(unique(filter(Prod_Prop!$H:$H,Prod_Prop!$G:$G=$U102,Prod_Prop!$E:$E=AB$1)),""""))"),"")</f>
        <v/>
      </c>
      <c r="AC102" s="4" t="str">
        <f>IF(AB102="","",SUMIFS(Prod_Prop!$J:$J,Prod_Prop!$B:$B,$Q102,Prod_Prop!$H:$H,AB102,Prod_Prop!$I:$I,AC$1)*IF(AB102="Peso",$R102,1))</f>
        <v/>
      </c>
      <c r="AD102" s="4" t="str">
        <f>IF(AB102="","",SUMIFS(Prod_Prop!$J:$J,Prod_Prop!$B:$B,$Q102,Prod_Prop!$H:$H,AB102,Prod_Prop!$I:$I,AD$1)*IF(AB102="Peso",$R102,1))</f>
        <v/>
      </c>
    </row>
    <row r="103">
      <c r="A103" s="4" t="str">
        <f t="array" ref="A103">IF(COUNTIF(A$1:A102,Cotizador!F$2)=maxifs(Familias!E:E,Familias!D:D,Cotizador!F$2),IF(COUNTIF(A$1:A102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3" s="4" t="str">
        <f t="shared" si="1"/>
        <v/>
      </c>
      <c r="C103" s="4" t="str">
        <f t="array" ref="C103">IF(B103="","",IF(A103=XLOOKUP(A$2,Implementos!B:B,Implementos!C:C,"",0,1),B103+maxifs(B$1:B102,A$1:A102,A$2),B103))</f>
        <v/>
      </c>
      <c r="D103" s="4" t="str">
        <f>IF(B103="","", COUNTIFS(Productos!F:F,A103,Productos!H:H,B103)+IF(F103="SI",0,1))</f>
        <v/>
      </c>
      <c r="E103" s="4" t="str">
        <f>IFERROR(__xludf.DUMMYFUNCTION("IF($B103="""","""",INDEX(filter(Familias!F:F,Familias!$D:$D=$A103,Familias!$E:$E=$B103),1))"),"")</f>
        <v/>
      </c>
      <c r="F103" s="4" t="str">
        <f>IFERROR(__xludf.DUMMYFUNCTION("IF($B103="""","""",INDEX(filter(Familias!G:G,Familias!$D:$D=$A103,Familias!$E:$E=$B103),1))"),"")</f>
        <v/>
      </c>
      <c r="G103" s="4" t="str">
        <f t="array" ref="G103">IF(C103=1,XLOOKUP(C103,Cotizador!D:D,Cotizador!E:E,"",0,1),"")</f>
        <v/>
      </c>
      <c r="I103" s="4"/>
      <c r="J103" s="8" t="str">
        <f>IF(I103="","",SUMIF(Cotizador!I$1:V$1,I103,Cotizador!I$2:V$2))</f>
        <v/>
      </c>
      <c r="L103" s="4" t="str">
        <f t="array" ref="L103">IF(COUNTIF(L$1:L102,A$2)=SUMIF(A:A,A$2,D:D),IF(COUNTIF(L$1:L102,XLOOKUP(A$2,Implementos!B:B,Implementos!C:C,"",0,1))=SUMIF(A:A,XLOOKUP(A$2,Implementos!B:B,Implementos!C:C,"",0,1),D:D),"",XLOOKUP(A$2,Implementos!B:B,Implementos!C:C,"",0,1)),A$2)</f>
        <v/>
      </c>
      <c r="M103" s="4" t="str">
        <f t="shared" si="2"/>
        <v/>
      </c>
      <c r="N103" s="4" t="str">
        <f t="shared" si="3"/>
        <v/>
      </c>
      <c r="O103" s="4" t="str">
        <f t="shared" si="4"/>
        <v/>
      </c>
      <c r="P103" s="4" t="str">
        <f t="shared" si="5"/>
        <v/>
      </c>
      <c r="Q103" s="4" t="str">
        <f>IF(U103="","",SUMIF(Productos!E:E,U103,Productos!A:A))</f>
        <v/>
      </c>
      <c r="R103" s="4" t="str">
        <f t="array" ref="R103">IF(L103="","", max(1,SUMIF(I:I,XLOOKUP(U103,Productos!E:E,Productos!G:G,"",0,1),J:J)))</f>
        <v/>
      </c>
      <c r="S103" s="4" t="str">
        <f>IF(Q103="","",IF(SUMIFS(Compat_Vetado!D:D,Compat_Vetado!B:B,SUM(G:G),Compat_Vetado!C:C,Q103)=1,"SI",IF(OR(SUMIF(Cotizador!E:E,Q103,Cotizador!G:G)&gt;0,SUMIFS(Compat_Vetado!D:D,Compat_Vetado!B:B,SUM(G:G),Compat_Vetado!C:C,Q103)=-1),"NO","")))</f>
        <v/>
      </c>
      <c r="T103" s="4" t="str">
        <f t="shared" si="6"/>
        <v/>
      </c>
      <c r="U103" s="4" t="str">
        <f>IFERROR(__xludf.DUMMYFUNCTION("IF(P103="""","""",IFERROR(INDEX(filter(Productos!E:E,Productos!F:F=L103,Productos!H:H=N103),P103),IF(M103=SUM(D:D),""Finalizar"",""-"")))"),"")</f>
        <v/>
      </c>
      <c r="V103" s="4" t="str">
        <f>IFERROR(__xludf.DUMMYFUNCTION("IF(OR($U103="""",COUNTIF($I:$I,IFERROR(unique(filter(Prod_Prop!$H:$H,Prod_Prop!$G:$G=$U103,Prod_Prop!$E:$E=V$1)),""Check""))=0),"""",IFERROR(unique(filter(Prod_Prop!$H:$H,Prod_Prop!$G:$G=$U103,Prod_Prop!$E:$E=V$1)),""""))"),"")</f>
        <v/>
      </c>
      <c r="W103" s="4" t="str">
        <f>IF(V103="","",SUMIFS(Prod_Prop!$J:$J,Prod_Prop!$B:$B,$Q103,Prod_Prop!$H:$H,V103,Prod_Prop!$I:$I,W$1)*IF(V103="Peso",$R103,1))</f>
        <v/>
      </c>
      <c r="X103" s="4" t="str">
        <f>IF(V103="","",SUMIFS(Prod_Prop!$J:$J,Prod_Prop!$B:$B,$Q103,Prod_Prop!$H:$H,V103,Prod_Prop!$I:$I,X$1)*IF(V103="Peso",$R103,1))</f>
        <v/>
      </c>
      <c r="Y103" s="4" t="str">
        <f>IFERROR(__xludf.DUMMYFUNCTION("IF(OR($U103="""",COUNTIF($I:$I,IFERROR(unique(filter(Prod_Prop!$H:$H,Prod_Prop!$G:$G=$U103,Prod_Prop!$E:$E=Y$1)),""Check""))=0),"""",IFERROR(unique(filter(Prod_Prop!$H:$H,Prod_Prop!$G:$G=$U103,Prod_Prop!$E:$E=Y$1)),""""))"),"")</f>
        <v/>
      </c>
      <c r="Z103" s="4" t="str">
        <f>IF(Y103="","",SUMIFS(Prod_Prop!$J:$J,Prod_Prop!$B:$B,$Q103,Prod_Prop!$H:$H,Y103,Prod_Prop!$I:$I,Z$1)*IF(Y103="Peso",$R103,1))</f>
        <v/>
      </c>
      <c r="AA103" s="4" t="str">
        <f>IF(Y103="","",SUMIFS(Prod_Prop!$J:$J,Prod_Prop!$B:$B,$Q103,Prod_Prop!$H:$H,Y103,Prod_Prop!$I:$I,AA$1)*IF(Y103="Peso",$R103,1))</f>
        <v/>
      </c>
      <c r="AB103" s="4" t="str">
        <f>IFERROR(__xludf.DUMMYFUNCTION("IF(OR($U103="""",COUNTIF($I:$I,IFERROR(unique(filter(Prod_Prop!$H:$H,Prod_Prop!$G:$G=$U103,Prod_Prop!$E:$E=AB$1)),""Check""))=0),"""",IFERROR(unique(filter(Prod_Prop!$H:$H,Prod_Prop!$G:$G=$U103,Prod_Prop!$E:$E=AB$1)),""""))"),"")</f>
        <v/>
      </c>
      <c r="AC103" s="4" t="str">
        <f>IF(AB103="","",SUMIFS(Prod_Prop!$J:$J,Prod_Prop!$B:$B,$Q103,Prod_Prop!$H:$H,AB103,Prod_Prop!$I:$I,AC$1)*IF(AB103="Peso",$R103,1))</f>
        <v/>
      </c>
      <c r="AD103" s="4" t="str">
        <f>IF(AB103="","",SUMIFS(Prod_Prop!$J:$J,Prod_Prop!$B:$B,$Q103,Prod_Prop!$H:$H,AB103,Prod_Prop!$I:$I,AD$1)*IF(AB103="Peso",$R103,1))</f>
        <v/>
      </c>
    </row>
    <row r="104">
      <c r="A104" s="4" t="str">
        <f t="array" ref="A104">IF(COUNTIF(A$1:A103,Cotizador!F$2)=maxifs(Familias!E:E,Familias!D:D,Cotizador!F$2),IF(COUNTIF(A$1:A103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4" s="4" t="str">
        <f t="shared" si="1"/>
        <v/>
      </c>
      <c r="C104" s="4" t="str">
        <f t="array" ref="C104">IF(B104="","",IF(A104=XLOOKUP(A$2,Implementos!B:B,Implementos!C:C,"",0,1),B104+maxifs(B$1:B103,A$1:A103,A$2),B104))</f>
        <v/>
      </c>
      <c r="D104" s="4" t="str">
        <f>IF(B104="","", COUNTIFS(Productos!F:F,A104,Productos!H:H,B104)+IF(F104="SI",0,1))</f>
        <v/>
      </c>
      <c r="E104" s="4" t="str">
        <f>IFERROR(__xludf.DUMMYFUNCTION("IF($B104="""","""",INDEX(filter(Familias!F:F,Familias!$D:$D=$A104,Familias!$E:$E=$B104),1))"),"")</f>
        <v/>
      </c>
      <c r="F104" s="4" t="str">
        <f>IFERROR(__xludf.DUMMYFUNCTION("IF($B104="""","""",INDEX(filter(Familias!G:G,Familias!$D:$D=$A104,Familias!$E:$E=$B104),1))"),"")</f>
        <v/>
      </c>
      <c r="G104" s="4" t="str">
        <f t="array" ref="G104">IF(C104=1,XLOOKUP(C104,Cotizador!D:D,Cotizador!E:E,"",0,1),"")</f>
        <v/>
      </c>
      <c r="I104" s="4"/>
      <c r="J104" s="8" t="str">
        <f>IF(I104="","",SUMIF(Cotizador!I$1:V$1,I104,Cotizador!I$2:V$2))</f>
        <v/>
      </c>
      <c r="L104" s="4" t="str">
        <f t="array" ref="L104">IF(COUNTIF(L$1:L103,A$2)=SUMIF(A:A,A$2,D:D),IF(COUNTIF(L$1:L103,XLOOKUP(A$2,Implementos!B:B,Implementos!C:C,"",0,1))=SUMIF(A:A,XLOOKUP(A$2,Implementos!B:B,Implementos!C:C,"",0,1),D:D),"",XLOOKUP(A$2,Implementos!B:B,Implementos!C:C,"",0,1)),A$2)</f>
        <v/>
      </c>
      <c r="M104" s="4" t="str">
        <f t="shared" si="2"/>
        <v/>
      </c>
      <c r="N104" s="4" t="str">
        <f t="shared" si="3"/>
        <v/>
      </c>
      <c r="O104" s="4" t="str">
        <f t="shared" si="4"/>
        <v/>
      </c>
      <c r="P104" s="4" t="str">
        <f t="shared" si="5"/>
        <v/>
      </c>
      <c r="Q104" s="4" t="str">
        <f>IF(U104="","",SUMIF(Productos!E:E,U104,Productos!A:A))</f>
        <v/>
      </c>
      <c r="R104" s="4" t="str">
        <f t="array" ref="R104">IF(L104="","", max(1,SUMIF(I:I,XLOOKUP(U104,Productos!E:E,Productos!G:G,"",0,1),J:J)))</f>
        <v/>
      </c>
      <c r="S104" s="4" t="str">
        <f>IF(Q104="","",IF(SUMIFS(Compat_Vetado!D:D,Compat_Vetado!B:B,SUM(G:G),Compat_Vetado!C:C,Q104)=1,"SI",IF(OR(SUMIF(Cotizador!E:E,Q104,Cotizador!G:G)&gt;0,SUMIFS(Compat_Vetado!D:D,Compat_Vetado!B:B,SUM(G:G),Compat_Vetado!C:C,Q104)=-1),"NO","")))</f>
        <v/>
      </c>
      <c r="T104" s="4" t="str">
        <f t="shared" si="6"/>
        <v/>
      </c>
      <c r="U104" s="4" t="str">
        <f>IFERROR(__xludf.DUMMYFUNCTION("IF(P104="""","""",IFERROR(INDEX(filter(Productos!E:E,Productos!F:F=L104,Productos!H:H=N104),P104),IF(M104=SUM(D:D),""Finalizar"",""-"")))"),"")</f>
        <v/>
      </c>
      <c r="V104" s="4" t="str">
        <f>IFERROR(__xludf.DUMMYFUNCTION("IF(OR($U104="""",COUNTIF($I:$I,IFERROR(unique(filter(Prod_Prop!$H:$H,Prod_Prop!$G:$G=$U104,Prod_Prop!$E:$E=V$1)),""Check""))=0),"""",IFERROR(unique(filter(Prod_Prop!$H:$H,Prod_Prop!$G:$G=$U104,Prod_Prop!$E:$E=V$1)),""""))"),"")</f>
        <v/>
      </c>
      <c r="W104" s="4" t="str">
        <f>IF(V104="","",SUMIFS(Prod_Prop!$J:$J,Prod_Prop!$B:$B,$Q104,Prod_Prop!$H:$H,V104,Prod_Prop!$I:$I,W$1)*IF(V104="Peso",$R104,1))</f>
        <v/>
      </c>
      <c r="X104" s="4" t="str">
        <f>IF(V104="","",SUMIFS(Prod_Prop!$J:$J,Prod_Prop!$B:$B,$Q104,Prod_Prop!$H:$H,V104,Prod_Prop!$I:$I,X$1)*IF(V104="Peso",$R104,1))</f>
        <v/>
      </c>
      <c r="Y104" s="4" t="str">
        <f>IFERROR(__xludf.DUMMYFUNCTION("IF(OR($U104="""",COUNTIF($I:$I,IFERROR(unique(filter(Prod_Prop!$H:$H,Prod_Prop!$G:$G=$U104,Prod_Prop!$E:$E=Y$1)),""Check""))=0),"""",IFERROR(unique(filter(Prod_Prop!$H:$H,Prod_Prop!$G:$G=$U104,Prod_Prop!$E:$E=Y$1)),""""))"),"")</f>
        <v/>
      </c>
      <c r="Z104" s="4" t="str">
        <f>IF(Y104="","",SUMIFS(Prod_Prop!$J:$J,Prod_Prop!$B:$B,$Q104,Prod_Prop!$H:$H,Y104,Prod_Prop!$I:$I,Z$1)*IF(Y104="Peso",$R104,1))</f>
        <v/>
      </c>
      <c r="AA104" s="4" t="str">
        <f>IF(Y104="","",SUMIFS(Prod_Prop!$J:$J,Prod_Prop!$B:$B,$Q104,Prod_Prop!$H:$H,Y104,Prod_Prop!$I:$I,AA$1)*IF(Y104="Peso",$R104,1))</f>
        <v/>
      </c>
      <c r="AB104" s="4" t="str">
        <f>IFERROR(__xludf.DUMMYFUNCTION("IF(OR($U104="""",COUNTIF($I:$I,IFERROR(unique(filter(Prod_Prop!$H:$H,Prod_Prop!$G:$G=$U104,Prod_Prop!$E:$E=AB$1)),""Check""))=0),"""",IFERROR(unique(filter(Prod_Prop!$H:$H,Prod_Prop!$G:$G=$U104,Prod_Prop!$E:$E=AB$1)),""""))"),"")</f>
        <v/>
      </c>
      <c r="AC104" s="4" t="str">
        <f>IF(AB104="","",SUMIFS(Prod_Prop!$J:$J,Prod_Prop!$B:$B,$Q104,Prod_Prop!$H:$H,AB104,Prod_Prop!$I:$I,AC$1)*IF(AB104="Peso",$R104,1))</f>
        <v/>
      </c>
      <c r="AD104" s="4" t="str">
        <f>IF(AB104="","",SUMIFS(Prod_Prop!$J:$J,Prod_Prop!$B:$B,$Q104,Prod_Prop!$H:$H,AB104,Prod_Prop!$I:$I,AD$1)*IF(AB104="Peso",$R104,1))</f>
        <v/>
      </c>
    </row>
    <row r="105">
      <c r="A105" s="4" t="str">
        <f t="array" ref="A105">IF(COUNTIF(A$1:A104,Cotizador!F$2)=maxifs(Familias!E:E,Familias!D:D,Cotizador!F$2),IF(COUNTIF(A$1:A104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5" s="4" t="str">
        <f t="shared" si="1"/>
        <v/>
      </c>
      <c r="C105" s="4" t="str">
        <f t="array" ref="C105">IF(B105="","",IF(A105=XLOOKUP(A$2,Implementos!B:B,Implementos!C:C,"",0,1),B105+maxifs(B$1:B104,A$1:A104,A$2),B105))</f>
        <v/>
      </c>
      <c r="D105" s="4" t="str">
        <f>IF(B105="","", COUNTIFS(Productos!F:F,A105,Productos!H:H,B105)+IF(F105="SI",0,1))</f>
        <v/>
      </c>
      <c r="E105" s="4" t="str">
        <f>IFERROR(__xludf.DUMMYFUNCTION("IF($B105="""","""",INDEX(filter(Familias!F:F,Familias!$D:$D=$A105,Familias!$E:$E=$B105),1))"),"")</f>
        <v/>
      </c>
      <c r="F105" s="4" t="str">
        <f>IFERROR(__xludf.DUMMYFUNCTION("IF($B105="""","""",INDEX(filter(Familias!G:G,Familias!$D:$D=$A105,Familias!$E:$E=$B105),1))"),"")</f>
        <v/>
      </c>
      <c r="G105" s="4" t="str">
        <f t="array" ref="G105">IF(C105=1,XLOOKUP(C105,Cotizador!D:D,Cotizador!E:E,"",0,1),"")</f>
        <v/>
      </c>
      <c r="I105" s="4"/>
      <c r="J105" s="8" t="str">
        <f>IF(I105="","",SUMIF(Cotizador!I$1:V$1,I105,Cotizador!I$2:V$2))</f>
        <v/>
      </c>
      <c r="L105" s="4" t="str">
        <f t="array" ref="L105">IF(COUNTIF(L$1:L104,A$2)=SUMIF(A:A,A$2,D:D),IF(COUNTIF(L$1:L104,XLOOKUP(A$2,Implementos!B:B,Implementos!C:C,"",0,1))=SUMIF(A:A,XLOOKUP(A$2,Implementos!B:B,Implementos!C:C,"",0,1),D:D),"",XLOOKUP(A$2,Implementos!B:B,Implementos!C:C,"",0,1)),A$2)</f>
        <v/>
      </c>
      <c r="M105" s="4" t="str">
        <f t="shared" si="2"/>
        <v/>
      </c>
      <c r="N105" s="4" t="str">
        <f t="shared" si="3"/>
        <v/>
      </c>
      <c r="O105" s="4" t="str">
        <f t="shared" si="4"/>
        <v/>
      </c>
      <c r="P105" s="4" t="str">
        <f t="shared" si="5"/>
        <v/>
      </c>
      <c r="Q105" s="4" t="str">
        <f>IF(U105="","",SUMIF(Productos!E:E,U105,Productos!A:A))</f>
        <v/>
      </c>
      <c r="R105" s="4" t="str">
        <f t="array" ref="R105">IF(L105="","", max(1,SUMIF(I:I,XLOOKUP(U105,Productos!E:E,Productos!G:G,"",0,1),J:J)))</f>
        <v/>
      </c>
      <c r="S105" s="4" t="str">
        <f>IF(Q105="","",IF(SUMIFS(Compat_Vetado!D:D,Compat_Vetado!B:B,SUM(G:G),Compat_Vetado!C:C,Q105)=1,"SI",IF(OR(SUMIF(Cotizador!E:E,Q105,Cotizador!G:G)&gt;0,SUMIFS(Compat_Vetado!D:D,Compat_Vetado!B:B,SUM(G:G),Compat_Vetado!C:C,Q105)=-1),"NO","")))</f>
        <v/>
      </c>
      <c r="T105" s="4" t="str">
        <f t="shared" si="6"/>
        <v/>
      </c>
      <c r="U105" s="4" t="str">
        <f>IFERROR(__xludf.DUMMYFUNCTION("IF(P105="""","""",IFERROR(INDEX(filter(Productos!E:E,Productos!F:F=L105,Productos!H:H=N105),P105),IF(M105=SUM(D:D),""Finalizar"",""-"")))"),"")</f>
        <v/>
      </c>
      <c r="V105" s="4" t="str">
        <f>IFERROR(__xludf.DUMMYFUNCTION("IF(OR($U105="""",COUNTIF($I:$I,IFERROR(unique(filter(Prod_Prop!$H:$H,Prod_Prop!$G:$G=$U105,Prod_Prop!$E:$E=V$1)),""Check""))=0),"""",IFERROR(unique(filter(Prod_Prop!$H:$H,Prod_Prop!$G:$G=$U105,Prod_Prop!$E:$E=V$1)),""""))"),"")</f>
        <v/>
      </c>
      <c r="W105" s="4" t="str">
        <f>IF(V105="","",SUMIFS(Prod_Prop!$J:$J,Prod_Prop!$B:$B,$Q105,Prod_Prop!$H:$H,V105,Prod_Prop!$I:$I,W$1)*IF(V105="Peso",$R105,1))</f>
        <v/>
      </c>
      <c r="X105" s="4" t="str">
        <f>IF(V105="","",SUMIFS(Prod_Prop!$J:$J,Prod_Prop!$B:$B,$Q105,Prod_Prop!$H:$H,V105,Prod_Prop!$I:$I,X$1)*IF(V105="Peso",$R105,1))</f>
        <v/>
      </c>
      <c r="Y105" s="4" t="str">
        <f>IFERROR(__xludf.DUMMYFUNCTION("IF(OR($U105="""",COUNTIF($I:$I,IFERROR(unique(filter(Prod_Prop!$H:$H,Prod_Prop!$G:$G=$U105,Prod_Prop!$E:$E=Y$1)),""Check""))=0),"""",IFERROR(unique(filter(Prod_Prop!$H:$H,Prod_Prop!$G:$G=$U105,Prod_Prop!$E:$E=Y$1)),""""))"),"")</f>
        <v/>
      </c>
      <c r="Z105" s="4" t="str">
        <f>IF(Y105="","",SUMIFS(Prod_Prop!$J:$J,Prod_Prop!$B:$B,$Q105,Prod_Prop!$H:$H,Y105,Prod_Prop!$I:$I,Z$1)*IF(Y105="Peso",$R105,1))</f>
        <v/>
      </c>
      <c r="AA105" s="4" t="str">
        <f>IF(Y105="","",SUMIFS(Prod_Prop!$J:$J,Prod_Prop!$B:$B,$Q105,Prod_Prop!$H:$H,Y105,Prod_Prop!$I:$I,AA$1)*IF(Y105="Peso",$R105,1))</f>
        <v/>
      </c>
      <c r="AB105" s="4" t="str">
        <f>IFERROR(__xludf.DUMMYFUNCTION("IF(OR($U105="""",COUNTIF($I:$I,IFERROR(unique(filter(Prod_Prop!$H:$H,Prod_Prop!$G:$G=$U105,Prod_Prop!$E:$E=AB$1)),""Check""))=0),"""",IFERROR(unique(filter(Prod_Prop!$H:$H,Prod_Prop!$G:$G=$U105,Prod_Prop!$E:$E=AB$1)),""""))"),"")</f>
        <v/>
      </c>
      <c r="AC105" s="4" t="str">
        <f>IF(AB105="","",SUMIFS(Prod_Prop!$J:$J,Prod_Prop!$B:$B,$Q105,Prod_Prop!$H:$H,AB105,Prod_Prop!$I:$I,AC$1)*IF(AB105="Peso",$R105,1))</f>
        <v/>
      </c>
      <c r="AD105" s="4" t="str">
        <f>IF(AB105="","",SUMIFS(Prod_Prop!$J:$J,Prod_Prop!$B:$B,$Q105,Prod_Prop!$H:$H,AB105,Prod_Prop!$I:$I,AD$1)*IF(AB105="Peso",$R105,1))</f>
        <v/>
      </c>
    </row>
    <row r="106">
      <c r="A106" s="4" t="str">
        <f t="array" ref="A106">IF(COUNTIF(A$1:A105,Cotizador!F$2)=maxifs(Familias!E:E,Familias!D:D,Cotizador!F$2),IF(COUNTIF(A$1:A105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6" s="4" t="str">
        <f t="shared" si="1"/>
        <v/>
      </c>
      <c r="C106" s="4" t="str">
        <f t="array" ref="C106">IF(B106="","",IF(A106=XLOOKUP(A$2,Implementos!B:B,Implementos!C:C,"",0,1),B106+maxifs(B$1:B105,A$1:A105,A$2),B106))</f>
        <v/>
      </c>
      <c r="D106" s="4" t="str">
        <f>IF(B106="","", COUNTIFS(Productos!F:F,A106,Productos!H:H,B106)+IF(F106="SI",0,1))</f>
        <v/>
      </c>
      <c r="E106" s="4" t="str">
        <f>IFERROR(__xludf.DUMMYFUNCTION("IF($B106="""","""",INDEX(filter(Familias!F:F,Familias!$D:$D=$A106,Familias!$E:$E=$B106),1))"),"")</f>
        <v/>
      </c>
      <c r="F106" s="4" t="str">
        <f>IFERROR(__xludf.DUMMYFUNCTION("IF($B106="""","""",INDEX(filter(Familias!G:G,Familias!$D:$D=$A106,Familias!$E:$E=$B106),1))"),"")</f>
        <v/>
      </c>
      <c r="G106" s="4" t="str">
        <f t="array" ref="G106">IF(C106=1,XLOOKUP(C106,Cotizador!D:D,Cotizador!E:E,"",0,1),"")</f>
        <v/>
      </c>
      <c r="I106" s="4"/>
      <c r="J106" s="8" t="str">
        <f>IF(I106="","",SUMIF(Cotizador!I$1:V$1,I106,Cotizador!I$2:V$2))</f>
        <v/>
      </c>
      <c r="L106" s="4" t="str">
        <f t="array" ref="L106">IF(COUNTIF(L$1:L105,A$2)=SUMIF(A:A,A$2,D:D),IF(COUNTIF(L$1:L105,XLOOKUP(A$2,Implementos!B:B,Implementos!C:C,"",0,1))=SUMIF(A:A,XLOOKUP(A$2,Implementos!B:B,Implementos!C:C,"",0,1),D:D),"",XLOOKUP(A$2,Implementos!B:B,Implementos!C:C,"",0,1)),A$2)</f>
        <v/>
      </c>
      <c r="M106" s="4" t="str">
        <f t="shared" si="2"/>
        <v/>
      </c>
      <c r="N106" s="4" t="str">
        <f t="shared" si="3"/>
        <v/>
      </c>
      <c r="O106" s="4" t="str">
        <f t="shared" si="4"/>
        <v/>
      </c>
      <c r="P106" s="4" t="str">
        <f t="shared" si="5"/>
        <v/>
      </c>
      <c r="Q106" s="4" t="str">
        <f>IF(U106="","",SUMIF(Productos!E:E,U106,Productos!A:A))</f>
        <v/>
      </c>
      <c r="R106" s="4" t="str">
        <f t="array" ref="R106">IF(L106="","", max(1,SUMIF(I:I,XLOOKUP(U106,Productos!E:E,Productos!G:G,"",0,1),J:J)))</f>
        <v/>
      </c>
      <c r="S106" s="4" t="str">
        <f>IF(Q106="","",IF(SUMIFS(Compat_Vetado!D:D,Compat_Vetado!B:B,SUM(G:G),Compat_Vetado!C:C,Q106)=1,"SI",IF(OR(SUMIF(Cotizador!E:E,Q106,Cotizador!G:G)&gt;0,SUMIFS(Compat_Vetado!D:D,Compat_Vetado!B:B,SUM(G:G),Compat_Vetado!C:C,Q106)=-1),"NO","")))</f>
        <v/>
      </c>
      <c r="T106" s="4" t="str">
        <f t="shared" si="6"/>
        <v/>
      </c>
      <c r="U106" s="4" t="str">
        <f>IFERROR(__xludf.DUMMYFUNCTION("IF(P106="""","""",IFERROR(INDEX(filter(Productos!E:E,Productos!F:F=L106,Productos!H:H=N106),P106),IF(M106=SUM(D:D),""Finalizar"",""-"")))"),"")</f>
        <v/>
      </c>
      <c r="V106" s="4" t="str">
        <f>IFERROR(__xludf.DUMMYFUNCTION("IF(OR($U106="""",COUNTIF($I:$I,IFERROR(unique(filter(Prod_Prop!$H:$H,Prod_Prop!$G:$G=$U106,Prod_Prop!$E:$E=V$1)),""Check""))=0),"""",IFERROR(unique(filter(Prod_Prop!$H:$H,Prod_Prop!$G:$G=$U106,Prod_Prop!$E:$E=V$1)),""""))"),"")</f>
        <v/>
      </c>
      <c r="W106" s="4" t="str">
        <f>IF(V106="","",SUMIFS(Prod_Prop!$J:$J,Prod_Prop!$B:$B,$Q106,Prod_Prop!$H:$H,V106,Prod_Prop!$I:$I,W$1)*IF(V106="Peso",$R106,1))</f>
        <v/>
      </c>
      <c r="X106" s="4" t="str">
        <f>IF(V106="","",SUMIFS(Prod_Prop!$J:$J,Prod_Prop!$B:$B,$Q106,Prod_Prop!$H:$H,V106,Prod_Prop!$I:$I,X$1)*IF(V106="Peso",$R106,1))</f>
        <v/>
      </c>
      <c r="Y106" s="4" t="str">
        <f>IFERROR(__xludf.DUMMYFUNCTION("IF(OR($U106="""",COUNTIF($I:$I,IFERROR(unique(filter(Prod_Prop!$H:$H,Prod_Prop!$G:$G=$U106,Prod_Prop!$E:$E=Y$1)),""Check""))=0),"""",IFERROR(unique(filter(Prod_Prop!$H:$H,Prod_Prop!$G:$G=$U106,Prod_Prop!$E:$E=Y$1)),""""))"),"")</f>
        <v/>
      </c>
      <c r="Z106" s="4" t="str">
        <f>IF(Y106="","",SUMIFS(Prod_Prop!$J:$J,Prod_Prop!$B:$B,$Q106,Prod_Prop!$H:$H,Y106,Prod_Prop!$I:$I,Z$1)*IF(Y106="Peso",$R106,1))</f>
        <v/>
      </c>
      <c r="AA106" s="4" t="str">
        <f>IF(Y106="","",SUMIFS(Prod_Prop!$J:$J,Prod_Prop!$B:$B,$Q106,Prod_Prop!$H:$H,Y106,Prod_Prop!$I:$I,AA$1)*IF(Y106="Peso",$R106,1))</f>
        <v/>
      </c>
      <c r="AB106" s="4" t="str">
        <f>IFERROR(__xludf.DUMMYFUNCTION("IF(OR($U106="""",COUNTIF($I:$I,IFERROR(unique(filter(Prod_Prop!$H:$H,Prod_Prop!$G:$G=$U106,Prod_Prop!$E:$E=AB$1)),""Check""))=0),"""",IFERROR(unique(filter(Prod_Prop!$H:$H,Prod_Prop!$G:$G=$U106,Prod_Prop!$E:$E=AB$1)),""""))"),"")</f>
        <v/>
      </c>
      <c r="AC106" s="4" t="str">
        <f>IF(AB106="","",SUMIFS(Prod_Prop!$J:$J,Prod_Prop!$B:$B,$Q106,Prod_Prop!$H:$H,AB106,Prod_Prop!$I:$I,AC$1)*IF(AB106="Peso",$R106,1))</f>
        <v/>
      </c>
      <c r="AD106" s="4" t="str">
        <f>IF(AB106="","",SUMIFS(Prod_Prop!$J:$J,Prod_Prop!$B:$B,$Q106,Prod_Prop!$H:$H,AB106,Prod_Prop!$I:$I,AD$1)*IF(AB106="Peso",$R106,1))</f>
        <v/>
      </c>
    </row>
    <row r="107">
      <c r="A107" s="4" t="str">
        <f t="array" ref="A107">IF(COUNTIF(A$1:A106,Cotizador!F$2)=maxifs(Familias!E:E,Familias!D:D,Cotizador!F$2),IF(COUNTIF(A$1:A106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7" s="4" t="str">
        <f t="shared" si="1"/>
        <v/>
      </c>
      <c r="C107" s="4" t="str">
        <f t="array" ref="C107">IF(B107="","",IF(A107=XLOOKUP(A$2,Implementos!B:B,Implementos!C:C,"",0,1),B107+maxifs(B$1:B106,A$1:A106,A$2),B107))</f>
        <v/>
      </c>
      <c r="D107" s="4" t="str">
        <f>IF(B107="","", COUNTIFS(Productos!F:F,A107,Productos!H:H,B107)+IF(F107="SI",0,1))</f>
        <v/>
      </c>
      <c r="E107" s="4" t="str">
        <f>IFERROR(__xludf.DUMMYFUNCTION("IF($B107="""","""",INDEX(filter(Familias!F:F,Familias!$D:$D=$A107,Familias!$E:$E=$B107),1))"),"")</f>
        <v/>
      </c>
      <c r="F107" s="4" t="str">
        <f>IFERROR(__xludf.DUMMYFUNCTION("IF($B107="""","""",INDEX(filter(Familias!G:G,Familias!$D:$D=$A107,Familias!$E:$E=$B107),1))"),"")</f>
        <v/>
      </c>
      <c r="G107" s="4" t="str">
        <f t="array" ref="G107">IF(C107=1,XLOOKUP(C107,Cotizador!D:D,Cotizador!E:E,"",0,1),"")</f>
        <v/>
      </c>
      <c r="I107" s="4"/>
      <c r="J107" s="8" t="str">
        <f>IF(I107="","",SUMIF(Cotizador!I$1:V$1,I107,Cotizador!I$2:V$2))</f>
        <v/>
      </c>
      <c r="L107" s="4" t="str">
        <f t="array" ref="L107">IF(COUNTIF(L$1:L106,A$2)=SUMIF(A:A,A$2,D:D),IF(COUNTIF(L$1:L106,XLOOKUP(A$2,Implementos!B:B,Implementos!C:C,"",0,1))=SUMIF(A:A,XLOOKUP(A$2,Implementos!B:B,Implementos!C:C,"",0,1),D:D),"",XLOOKUP(A$2,Implementos!B:B,Implementos!C:C,"",0,1)),A$2)</f>
        <v/>
      </c>
      <c r="M107" s="4" t="str">
        <f t="shared" si="2"/>
        <v/>
      </c>
      <c r="N107" s="4" t="str">
        <f t="shared" si="3"/>
        <v/>
      </c>
      <c r="O107" s="4" t="str">
        <f t="shared" si="4"/>
        <v/>
      </c>
      <c r="P107" s="4" t="str">
        <f t="shared" si="5"/>
        <v/>
      </c>
      <c r="Q107" s="4" t="str">
        <f>IF(U107="","",SUMIF(Productos!E:E,U107,Productos!A:A))</f>
        <v/>
      </c>
      <c r="R107" s="4" t="str">
        <f t="array" ref="R107">IF(L107="","", max(1,SUMIF(I:I,XLOOKUP(U107,Productos!E:E,Productos!G:G,"",0,1),J:J)))</f>
        <v/>
      </c>
      <c r="S107" s="4" t="str">
        <f>IF(Q107="","",IF(SUMIFS(Compat_Vetado!D:D,Compat_Vetado!B:B,SUM(G:G),Compat_Vetado!C:C,Q107)=1,"SI",IF(OR(SUMIF(Cotizador!E:E,Q107,Cotizador!G:G)&gt;0,SUMIFS(Compat_Vetado!D:D,Compat_Vetado!B:B,SUM(G:G),Compat_Vetado!C:C,Q107)=-1),"NO","")))</f>
        <v/>
      </c>
      <c r="T107" s="4" t="str">
        <f t="shared" si="6"/>
        <v/>
      </c>
      <c r="U107" s="4" t="str">
        <f>IFERROR(__xludf.DUMMYFUNCTION("IF(P107="""","""",IFERROR(INDEX(filter(Productos!E:E,Productos!F:F=L107,Productos!H:H=N107),P107),IF(M107=SUM(D:D),""Finalizar"",""-"")))"),"")</f>
        <v/>
      </c>
      <c r="V107" s="4" t="str">
        <f>IFERROR(__xludf.DUMMYFUNCTION("IF(OR($U107="""",COUNTIF($I:$I,IFERROR(unique(filter(Prod_Prop!$H:$H,Prod_Prop!$G:$G=$U107,Prod_Prop!$E:$E=V$1)),""Check""))=0),"""",IFERROR(unique(filter(Prod_Prop!$H:$H,Prod_Prop!$G:$G=$U107,Prod_Prop!$E:$E=V$1)),""""))"),"")</f>
        <v/>
      </c>
      <c r="W107" s="4" t="str">
        <f>IF(V107="","",SUMIFS(Prod_Prop!$J:$J,Prod_Prop!$B:$B,$Q107,Prod_Prop!$H:$H,V107,Prod_Prop!$I:$I,W$1)*IF(V107="Peso",$R107,1))</f>
        <v/>
      </c>
      <c r="X107" s="4" t="str">
        <f>IF(V107="","",SUMIFS(Prod_Prop!$J:$J,Prod_Prop!$B:$B,$Q107,Prod_Prop!$H:$H,V107,Prod_Prop!$I:$I,X$1)*IF(V107="Peso",$R107,1))</f>
        <v/>
      </c>
      <c r="Y107" s="4" t="str">
        <f>IFERROR(__xludf.DUMMYFUNCTION("IF(OR($U107="""",COUNTIF($I:$I,IFERROR(unique(filter(Prod_Prop!$H:$H,Prod_Prop!$G:$G=$U107,Prod_Prop!$E:$E=Y$1)),""Check""))=0),"""",IFERROR(unique(filter(Prod_Prop!$H:$H,Prod_Prop!$G:$G=$U107,Prod_Prop!$E:$E=Y$1)),""""))"),"")</f>
        <v/>
      </c>
      <c r="Z107" s="4" t="str">
        <f>IF(Y107="","",SUMIFS(Prod_Prop!$J:$J,Prod_Prop!$B:$B,$Q107,Prod_Prop!$H:$H,Y107,Prod_Prop!$I:$I,Z$1)*IF(Y107="Peso",$R107,1))</f>
        <v/>
      </c>
      <c r="AA107" s="4" t="str">
        <f>IF(Y107="","",SUMIFS(Prod_Prop!$J:$J,Prod_Prop!$B:$B,$Q107,Prod_Prop!$H:$H,Y107,Prod_Prop!$I:$I,AA$1)*IF(Y107="Peso",$R107,1))</f>
        <v/>
      </c>
      <c r="AB107" s="4" t="str">
        <f>IFERROR(__xludf.DUMMYFUNCTION("IF(OR($U107="""",COUNTIF($I:$I,IFERROR(unique(filter(Prod_Prop!$H:$H,Prod_Prop!$G:$G=$U107,Prod_Prop!$E:$E=AB$1)),""Check""))=0),"""",IFERROR(unique(filter(Prod_Prop!$H:$H,Prod_Prop!$G:$G=$U107,Prod_Prop!$E:$E=AB$1)),""""))"),"")</f>
        <v/>
      </c>
      <c r="AC107" s="4" t="str">
        <f>IF(AB107="","",SUMIFS(Prod_Prop!$J:$J,Prod_Prop!$B:$B,$Q107,Prod_Prop!$H:$H,AB107,Prod_Prop!$I:$I,AC$1)*IF(AB107="Peso",$R107,1))</f>
        <v/>
      </c>
      <c r="AD107" s="4" t="str">
        <f>IF(AB107="","",SUMIFS(Prod_Prop!$J:$J,Prod_Prop!$B:$B,$Q107,Prod_Prop!$H:$H,AB107,Prod_Prop!$I:$I,AD$1)*IF(AB107="Peso",$R107,1))</f>
        <v/>
      </c>
    </row>
    <row r="108">
      <c r="A108" s="4" t="str">
        <f t="array" ref="A108">IF(COUNTIF(A$1:A107,Cotizador!F$2)=maxifs(Familias!E:E,Familias!D:D,Cotizador!F$2),IF(COUNTIF(A$1:A107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8" s="4" t="str">
        <f t="shared" si="1"/>
        <v/>
      </c>
      <c r="C108" s="4" t="str">
        <f t="array" ref="C108">IF(B108="","",IF(A108=XLOOKUP(A$2,Implementos!B:B,Implementos!C:C,"",0,1),B108+maxifs(B$1:B107,A$1:A107,A$2),B108))</f>
        <v/>
      </c>
      <c r="D108" s="4" t="str">
        <f>IF(B108="","", COUNTIFS(Productos!F:F,A108,Productos!H:H,B108)+IF(F108="SI",0,1))</f>
        <v/>
      </c>
      <c r="E108" s="4" t="str">
        <f>IFERROR(__xludf.DUMMYFUNCTION("IF($B108="""","""",INDEX(filter(Familias!F:F,Familias!$D:$D=$A108,Familias!$E:$E=$B108),1))"),"")</f>
        <v/>
      </c>
      <c r="F108" s="4" t="str">
        <f>IFERROR(__xludf.DUMMYFUNCTION("IF($B108="""","""",INDEX(filter(Familias!G:G,Familias!$D:$D=$A108,Familias!$E:$E=$B108),1))"),"")</f>
        <v/>
      </c>
      <c r="G108" s="4" t="str">
        <f t="array" ref="G108">IF(C108=1,XLOOKUP(C108,Cotizador!D:D,Cotizador!E:E,"",0,1),"")</f>
        <v/>
      </c>
      <c r="I108" s="4"/>
      <c r="J108" s="8" t="str">
        <f>IF(I108="","",SUMIF(Cotizador!I$1:V$1,I108,Cotizador!I$2:V$2))</f>
        <v/>
      </c>
      <c r="L108" s="4" t="str">
        <f t="array" ref="L108">IF(COUNTIF(L$1:L107,A$2)=SUMIF(A:A,A$2,D:D),IF(COUNTIF(L$1:L107,XLOOKUP(A$2,Implementos!B:B,Implementos!C:C,"",0,1))=SUMIF(A:A,XLOOKUP(A$2,Implementos!B:B,Implementos!C:C,"",0,1),D:D),"",XLOOKUP(A$2,Implementos!B:B,Implementos!C:C,"",0,1)),A$2)</f>
        <v/>
      </c>
      <c r="M108" s="4" t="str">
        <f t="shared" si="2"/>
        <v/>
      </c>
      <c r="N108" s="4" t="str">
        <f t="shared" si="3"/>
        <v/>
      </c>
      <c r="O108" s="4" t="str">
        <f t="shared" si="4"/>
        <v/>
      </c>
      <c r="P108" s="4" t="str">
        <f t="shared" si="5"/>
        <v/>
      </c>
      <c r="Q108" s="4" t="str">
        <f>IF(U108="","",SUMIF(Productos!E:E,U108,Productos!A:A))</f>
        <v/>
      </c>
      <c r="R108" s="4" t="str">
        <f t="array" ref="R108">IF(L108="","", max(1,SUMIF(I:I,XLOOKUP(U108,Productos!E:E,Productos!G:G,"",0,1),J:J)))</f>
        <v/>
      </c>
      <c r="S108" s="4" t="str">
        <f>IF(Q108="","",IF(SUMIFS(Compat_Vetado!D:D,Compat_Vetado!B:B,SUM(G:G),Compat_Vetado!C:C,Q108)=1,"SI",IF(OR(SUMIF(Cotizador!E:E,Q108,Cotizador!G:G)&gt;0,SUMIFS(Compat_Vetado!D:D,Compat_Vetado!B:B,SUM(G:G),Compat_Vetado!C:C,Q108)=-1),"NO","")))</f>
        <v/>
      </c>
      <c r="T108" s="4" t="str">
        <f t="shared" si="6"/>
        <v/>
      </c>
      <c r="U108" s="4" t="str">
        <f>IFERROR(__xludf.DUMMYFUNCTION("IF(P108="""","""",IFERROR(INDEX(filter(Productos!E:E,Productos!F:F=L108,Productos!H:H=N108),P108),IF(M108=SUM(D:D),""Finalizar"",""-"")))"),"")</f>
        <v/>
      </c>
      <c r="V108" s="4" t="str">
        <f>IFERROR(__xludf.DUMMYFUNCTION("IF(OR($U108="""",COUNTIF($I:$I,IFERROR(unique(filter(Prod_Prop!$H:$H,Prod_Prop!$G:$G=$U108,Prod_Prop!$E:$E=V$1)),""Check""))=0),"""",IFERROR(unique(filter(Prod_Prop!$H:$H,Prod_Prop!$G:$G=$U108,Prod_Prop!$E:$E=V$1)),""""))"),"")</f>
        <v/>
      </c>
      <c r="W108" s="4" t="str">
        <f>IF(V108="","",SUMIFS(Prod_Prop!$J:$J,Prod_Prop!$B:$B,$Q108,Prod_Prop!$H:$H,V108,Prod_Prop!$I:$I,W$1)*IF(V108="Peso",$R108,1))</f>
        <v/>
      </c>
      <c r="X108" s="4" t="str">
        <f>IF(V108="","",SUMIFS(Prod_Prop!$J:$J,Prod_Prop!$B:$B,$Q108,Prod_Prop!$H:$H,V108,Prod_Prop!$I:$I,X$1)*IF(V108="Peso",$R108,1))</f>
        <v/>
      </c>
      <c r="Y108" s="4" t="str">
        <f>IFERROR(__xludf.DUMMYFUNCTION("IF(OR($U108="""",COUNTIF($I:$I,IFERROR(unique(filter(Prod_Prop!$H:$H,Prod_Prop!$G:$G=$U108,Prod_Prop!$E:$E=Y$1)),""Check""))=0),"""",IFERROR(unique(filter(Prod_Prop!$H:$H,Prod_Prop!$G:$G=$U108,Prod_Prop!$E:$E=Y$1)),""""))"),"")</f>
        <v/>
      </c>
      <c r="Z108" s="4" t="str">
        <f>IF(Y108="","",SUMIFS(Prod_Prop!$J:$J,Prod_Prop!$B:$B,$Q108,Prod_Prop!$H:$H,Y108,Prod_Prop!$I:$I,Z$1)*IF(Y108="Peso",$R108,1))</f>
        <v/>
      </c>
      <c r="AA108" s="4" t="str">
        <f>IF(Y108="","",SUMIFS(Prod_Prop!$J:$J,Prod_Prop!$B:$B,$Q108,Prod_Prop!$H:$H,Y108,Prod_Prop!$I:$I,AA$1)*IF(Y108="Peso",$R108,1))</f>
        <v/>
      </c>
      <c r="AB108" s="4" t="str">
        <f>IFERROR(__xludf.DUMMYFUNCTION("IF(OR($U108="""",COUNTIF($I:$I,IFERROR(unique(filter(Prod_Prop!$H:$H,Prod_Prop!$G:$G=$U108,Prod_Prop!$E:$E=AB$1)),""Check""))=0),"""",IFERROR(unique(filter(Prod_Prop!$H:$H,Prod_Prop!$G:$G=$U108,Prod_Prop!$E:$E=AB$1)),""""))"),"")</f>
        <v/>
      </c>
      <c r="AC108" s="4" t="str">
        <f>IF(AB108="","",SUMIFS(Prod_Prop!$J:$J,Prod_Prop!$B:$B,$Q108,Prod_Prop!$H:$H,AB108,Prod_Prop!$I:$I,AC$1)*IF(AB108="Peso",$R108,1))</f>
        <v/>
      </c>
      <c r="AD108" s="4" t="str">
        <f>IF(AB108="","",SUMIFS(Prod_Prop!$J:$J,Prod_Prop!$B:$B,$Q108,Prod_Prop!$H:$H,AB108,Prod_Prop!$I:$I,AD$1)*IF(AB108="Peso",$R108,1))</f>
        <v/>
      </c>
    </row>
    <row r="109">
      <c r="A109" s="4" t="str">
        <f t="array" ref="A109">IF(COUNTIF(A$1:A108,Cotizador!F$2)=maxifs(Familias!E:E,Familias!D:D,Cotizador!F$2),IF(COUNTIF(A$1:A108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9" s="4" t="str">
        <f t="shared" si="1"/>
        <v/>
      </c>
      <c r="C109" s="4" t="str">
        <f t="array" ref="C109">IF(B109="","",IF(A109=XLOOKUP(A$2,Implementos!B:B,Implementos!C:C,"",0,1),B109+maxifs(B$1:B108,A$1:A108,A$2),B109))</f>
        <v/>
      </c>
      <c r="D109" s="4" t="str">
        <f>IF(B109="","", COUNTIFS(Productos!F:F,A109,Productos!H:H,B109)+IF(F109="SI",0,1))</f>
        <v/>
      </c>
      <c r="E109" s="4" t="str">
        <f>IFERROR(__xludf.DUMMYFUNCTION("IF($B109="""","""",INDEX(filter(Familias!F:F,Familias!$D:$D=$A109,Familias!$E:$E=$B109),1))"),"")</f>
        <v/>
      </c>
      <c r="F109" s="4" t="str">
        <f>IFERROR(__xludf.DUMMYFUNCTION("IF($B109="""","""",INDEX(filter(Familias!G:G,Familias!$D:$D=$A109,Familias!$E:$E=$B109),1))"),"")</f>
        <v/>
      </c>
      <c r="G109" s="4" t="str">
        <f t="array" ref="G109">IF(C109=1,XLOOKUP(C109,Cotizador!D:D,Cotizador!E:E,"",0,1),"")</f>
        <v/>
      </c>
      <c r="I109" s="4"/>
      <c r="J109" s="8" t="str">
        <f>IF(I109="","",SUMIF(Cotizador!I$1:V$1,I109,Cotizador!I$2:V$2))</f>
        <v/>
      </c>
      <c r="L109" s="4" t="str">
        <f t="array" ref="L109">IF(COUNTIF(L$1:L108,A$2)=SUMIF(A:A,A$2,D:D),IF(COUNTIF(L$1:L108,XLOOKUP(A$2,Implementos!B:B,Implementos!C:C,"",0,1))=SUMIF(A:A,XLOOKUP(A$2,Implementos!B:B,Implementos!C:C,"",0,1),D:D),"",XLOOKUP(A$2,Implementos!B:B,Implementos!C:C,"",0,1)),A$2)</f>
        <v/>
      </c>
      <c r="M109" s="4" t="str">
        <f t="shared" si="2"/>
        <v/>
      </c>
      <c r="N109" s="4" t="str">
        <f t="shared" si="3"/>
        <v/>
      </c>
      <c r="O109" s="4" t="str">
        <f t="shared" si="4"/>
        <v/>
      </c>
      <c r="P109" s="4" t="str">
        <f t="shared" si="5"/>
        <v/>
      </c>
      <c r="Q109" s="4" t="str">
        <f>IF(U109="","",SUMIF(Productos!E:E,U109,Productos!A:A))</f>
        <v/>
      </c>
      <c r="R109" s="4" t="str">
        <f t="array" ref="R109">IF(L109="","", max(1,SUMIF(I:I,XLOOKUP(U109,Productos!E:E,Productos!G:G,"",0,1),J:J)))</f>
        <v/>
      </c>
      <c r="S109" s="4" t="str">
        <f>IF(Q109="","",IF(SUMIFS(Compat_Vetado!D:D,Compat_Vetado!B:B,SUM(G:G),Compat_Vetado!C:C,Q109)=1,"SI",IF(OR(SUMIF(Cotizador!E:E,Q109,Cotizador!G:G)&gt;0,SUMIFS(Compat_Vetado!D:D,Compat_Vetado!B:B,SUM(G:G),Compat_Vetado!C:C,Q109)=-1),"NO","")))</f>
        <v/>
      </c>
      <c r="T109" s="4" t="str">
        <f t="shared" si="6"/>
        <v/>
      </c>
      <c r="U109" s="4" t="str">
        <f>IFERROR(__xludf.DUMMYFUNCTION("IF(P109="""","""",IFERROR(INDEX(filter(Productos!E:E,Productos!F:F=L109,Productos!H:H=N109),P109),IF(M109=SUM(D:D),""Finalizar"",""-"")))"),"")</f>
        <v/>
      </c>
      <c r="V109" s="4" t="str">
        <f>IFERROR(__xludf.DUMMYFUNCTION("IF(OR($U109="""",COUNTIF($I:$I,IFERROR(unique(filter(Prod_Prop!$H:$H,Prod_Prop!$G:$G=$U109,Prod_Prop!$E:$E=V$1)),""Check""))=0),"""",IFERROR(unique(filter(Prod_Prop!$H:$H,Prod_Prop!$G:$G=$U109,Prod_Prop!$E:$E=V$1)),""""))"),"")</f>
        <v/>
      </c>
      <c r="W109" s="4" t="str">
        <f>IF(V109="","",SUMIFS(Prod_Prop!$J:$J,Prod_Prop!$B:$B,$Q109,Prod_Prop!$H:$H,V109,Prod_Prop!$I:$I,W$1)*IF(V109="Peso",$R109,1))</f>
        <v/>
      </c>
      <c r="X109" s="4" t="str">
        <f>IF(V109="","",SUMIFS(Prod_Prop!$J:$J,Prod_Prop!$B:$B,$Q109,Prod_Prop!$H:$H,V109,Prod_Prop!$I:$I,X$1)*IF(V109="Peso",$R109,1))</f>
        <v/>
      </c>
      <c r="Y109" s="4" t="str">
        <f>IFERROR(__xludf.DUMMYFUNCTION("IF(OR($U109="""",COUNTIF($I:$I,IFERROR(unique(filter(Prod_Prop!$H:$H,Prod_Prop!$G:$G=$U109,Prod_Prop!$E:$E=Y$1)),""Check""))=0),"""",IFERROR(unique(filter(Prod_Prop!$H:$H,Prod_Prop!$G:$G=$U109,Prod_Prop!$E:$E=Y$1)),""""))"),"")</f>
        <v/>
      </c>
      <c r="Z109" s="4" t="str">
        <f>IF(Y109="","",SUMIFS(Prod_Prop!$J:$J,Prod_Prop!$B:$B,$Q109,Prod_Prop!$H:$H,Y109,Prod_Prop!$I:$I,Z$1)*IF(Y109="Peso",$R109,1))</f>
        <v/>
      </c>
      <c r="AA109" s="4" t="str">
        <f>IF(Y109="","",SUMIFS(Prod_Prop!$J:$J,Prod_Prop!$B:$B,$Q109,Prod_Prop!$H:$H,Y109,Prod_Prop!$I:$I,AA$1)*IF(Y109="Peso",$R109,1))</f>
        <v/>
      </c>
      <c r="AB109" s="4" t="str">
        <f>IFERROR(__xludf.DUMMYFUNCTION("IF(OR($U109="""",COUNTIF($I:$I,IFERROR(unique(filter(Prod_Prop!$H:$H,Prod_Prop!$G:$G=$U109,Prod_Prop!$E:$E=AB$1)),""Check""))=0),"""",IFERROR(unique(filter(Prod_Prop!$H:$H,Prod_Prop!$G:$G=$U109,Prod_Prop!$E:$E=AB$1)),""""))"),"")</f>
        <v/>
      </c>
      <c r="AC109" s="4" t="str">
        <f>IF(AB109="","",SUMIFS(Prod_Prop!$J:$J,Prod_Prop!$B:$B,$Q109,Prod_Prop!$H:$H,AB109,Prod_Prop!$I:$I,AC$1)*IF(AB109="Peso",$R109,1))</f>
        <v/>
      </c>
      <c r="AD109" s="4" t="str">
        <f>IF(AB109="","",SUMIFS(Prod_Prop!$J:$J,Prod_Prop!$B:$B,$Q109,Prod_Prop!$H:$H,AB109,Prod_Prop!$I:$I,AD$1)*IF(AB109="Peso",$R109,1))</f>
        <v/>
      </c>
    </row>
    <row r="110">
      <c r="A110" s="4" t="str">
        <f t="array" ref="A110">IF(COUNTIF(A$1:A109,Cotizador!F$2)=maxifs(Familias!E:E,Familias!D:D,Cotizador!F$2),IF(COUNTIF(A$1:A109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0" s="4" t="str">
        <f t="shared" si="1"/>
        <v/>
      </c>
      <c r="C110" s="4" t="str">
        <f t="array" ref="C110">IF(B110="","",IF(A110=XLOOKUP(A$2,Implementos!B:B,Implementos!C:C,"",0,1),B110+maxifs(B$1:B109,A$1:A109,A$2),B110))</f>
        <v/>
      </c>
      <c r="D110" s="4" t="str">
        <f>IF(B110="","", COUNTIFS(Productos!F:F,A110,Productos!H:H,B110)+IF(F110="SI",0,1))</f>
        <v/>
      </c>
      <c r="E110" s="4" t="str">
        <f>IFERROR(__xludf.DUMMYFUNCTION("IF($B110="""","""",INDEX(filter(Familias!F:F,Familias!$D:$D=$A110,Familias!$E:$E=$B110),1))"),"")</f>
        <v/>
      </c>
      <c r="F110" s="4" t="str">
        <f>IFERROR(__xludf.DUMMYFUNCTION("IF($B110="""","""",INDEX(filter(Familias!G:G,Familias!$D:$D=$A110,Familias!$E:$E=$B110),1))"),"")</f>
        <v/>
      </c>
      <c r="G110" s="4" t="str">
        <f t="array" ref="G110">IF(C110=1,XLOOKUP(C110,Cotizador!D:D,Cotizador!E:E,"",0,1),"")</f>
        <v/>
      </c>
      <c r="I110" s="4"/>
      <c r="J110" s="8" t="str">
        <f>IF(I110="","",SUMIF(Cotizador!I$1:V$1,I110,Cotizador!I$2:V$2))</f>
        <v/>
      </c>
      <c r="L110" s="4" t="str">
        <f t="array" ref="L110">IF(COUNTIF(L$1:L109,A$2)=SUMIF(A:A,A$2,D:D),IF(COUNTIF(L$1:L109,XLOOKUP(A$2,Implementos!B:B,Implementos!C:C,"",0,1))=SUMIF(A:A,XLOOKUP(A$2,Implementos!B:B,Implementos!C:C,"",0,1),D:D),"",XLOOKUP(A$2,Implementos!B:B,Implementos!C:C,"",0,1)),A$2)</f>
        <v/>
      </c>
      <c r="M110" s="4" t="str">
        <f t="shared" si="2"/>
        <v/>
      </c>
      <c r="N110" s="4" t="str">
        <f t="shared" si="3"/>
        <v/>
      </c>
      <c r="O110" s="4" t="str">
        <f t="shared" si="4"/>
        <v/>
      </c>
      <c r="P110" s="4" t="str">
        <f t="shared" si="5"/>
        <v/>
      </c>
      <c r="Q110" s="4" t="str">
        <f>IF(U110="","",SUMIF(Productos!E:E,U110,Productos!A:A))</f>
        <v/>
      </c>
      <c r="R110" s="4" t="str">
        <f t="array" ref="R110">IF(L110="","", max(1,SUMIF(I:I,XLOOKUP(U110,Productos!E:E,Productos!G:G,"",0,1),J:J)))</f>
        <v/>
      </c>
      <c r="S110" s="4" t="str">
        <f>IF(Q110="","",IF(SUMIFS(Compat_Vetado!D:D,Compat_Vetado!B:B,SUM(G:G),Compat_Vetado!C:C,Q110)=1,"SI",IF(OR(SUMIF(Cotizador!E:E,Q110,Cotizador!G:G)&gt;0,SUMIFS(Compat_Vetado!D:D,Compat_Vetado!B:B,SUM(G:G),Compat_Vetado!C:C,Q110)=-1),"NO","")))</f>
        <v/>
      </c>
      <c r="T110" s="4" t="str">
        <f t="shared" si="6"/>
        <v/>
      </c>
      <c r="U110" s="4" t="str">
        <f>IFERROR(__xludf.DUMMYFUNCTION("IF(P110="""","""",IFERROR(INDEX(filter(Productos!E:E,Productos!F:F=L110,Productos!H:H=N110),P110),IF(M110=SUM(D:D),""Finalizar"",""-"")))"),"")</f>
        <v/>
      </c>
      <c r="V110" s="4" t="str">
        <f>IFERROR(__xludf.DUMMYFUNCTION("IF(OR($U110="""",COUNTIF($I:$I,IFERROR(unique(filter(Prod_Prop!$H:$H,Prod_Prop!$G:$G=$U110,Prod_Prop!$E:$E=V$1)),""Check""))=0),"""",IFERROR(unique(filter(Prod_Prop!$H:$H,Prod_Prop!$G:$G=$U110,Prod_Prop!$E:$E=V$1)),""""))"),"")</f>
        <v/>
      </c>
      <c r="W110" s="4" t="str">
        <f>IF(V110="","",SUMIFS(Prod_Prop!$J:$J,Prod_Prop!$B:$B,$Q110,Prod_Prop!$H:$H,V110,Prod_Prop!$I:$I,W$1)*IF(V110="Peso",$R110,1))</f>
        <v/>
      </c>
      <c r="X110" s="4" t="str">
        <f>IF(V110="","",SUMIFS(Prod_Prop!$J:$J,Prod_Prop!$B:$B,$Q110,Prod_Prop!$H:$H,V110,Prod_Prop!$I:$I,X$1)*IF(V110="Peso",$R110,1))</f>
        <v/>
      </c>
      <c r="Y110" s="4" t="str">
        <f>IFERROR(__xludf.DUMMYFUNCTION("IF(OR($U110="""",COUNTIF($I:$I,IFERROR(unique(filter(Prod_Prop!$H:$H,Prod_Prop!$G:$G=$U110,Prod_Prop!$E:$E=Y$1)),""Check""))=0),"""",IFERROR(unique(filter(Prod_Prop!$H:$H,Prod_Prop!$G:$G=$U110,Prod_Prop!$E:$E=Y$1)),""""))"),"")</f>
        <v/>
      </c>
      <c r="Z110" s="4" t="str">
        <f>IF(Y110="","",SUMIFS(Prod_Prop!$J:$J,Prod_Prop!$B:$B,$Q110,Prod_Prop!$H:$H,Y110,Prod_Prop!$I:$I,Z$1)*IF(Y110="Peso",$R110,1))</f>
        <v/>
      </c>
      <c r="AA110" s="4" t="str">
        <f>IF(Y110="","",SUMIFS(Prod_Prop!$J:$J,Prod_Prop!$B:$B,$Q110,Prod_Prop!$H:$H,Y110,Prod_Prop!$I:$I,AA$1)*IF(Y110="Peso",$R110,1))</f>
        <v/>
      </c>
      <c r="AB110" s="4" t="str">
        <f>IFERROR(__xludf.DUMMYFUNCTION("IF(OR($U110="""",COUNTIF($I:$I,IFERROR(unique(filter(Prod_Prop!$H:$H,Prod_Prop!$G:$G=$U110,Prod_Prop!$E:$E=AB$1)),""Check""))=0),"""",IFERROR(unique(filter(Prod_Prop!$H:$H,Prod_Prop!$G:$G=$U110,Prod_Prop!$E:$E=AB$1)),""""))"),"")</f>
        <v/>
      </c>
      <c r="AC110" s="4" t="str">
        <f>IF(AB110="","",SUMIFS(Prod_Prop!$J:$J,Prod_Prop!$B:$B,$Q110,Prod_Prop!$H:$H,AB110,Prod_Prop!$I:$I,AC$1)*IF(AB110="Peso",$R110,1))</f>
        <v/>
      </c>
      <c r="AD110" s="4" t="str">
        <f>IF(AB110="","",SUMIFS(Prod_Prop!$J:$J,Prod_Prop!$B:$B,$Q110,Prod_Prop!$H:$H,AB110,Prod_Prop!$I:$I,AD$1)*IF(AB110="Peso",$R110,1))</f>
        <v/>
      </c>
    </row>
    <row r="111">
      <c r="A111" s="4" t="str">
        <f t="array" ref="A111">IF(COUNTIF(A$1:A110,Cotizador!F$2)=maxifs(Familias!E:E,Familias!D:D,Cotizador!F$2),IF(COUNTIF(A$1:A110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1" s="4" t="str">
        <f t="shared" si="1"/>
        <v/>
      </c>
      <c r="C111" s="4" t="str">
        <f t="array" ref="C111">IF(B111="","",IF(A111=XLOOKUP(A$2,Implementos!B:B,Implementos!C:C,"",0,1),B111+maxifs(B$1:B110,A$1:A110,A$2),B111))</f>
        <v/>
      </c>
      <c r="D111" s="4" t="str">
        <f>IF(B111="","", COUNTIFS(Productos!F:F,A111,Productos!H:H,B111)+IF(F111="SI",0,1))</f>
        <v/>
      </c>
      <c r="E111" s="4" t="str">
        <f>IFERROR(__xludf.DUMMYFUNCTION("IF($B111="""","""",INDEX(filter(Familias!F:F,Familias!$D:$D=$A111,Familias!$E:$E=$B111),1))"),"")</f>
        <v/>
      </c>
      <c r="F111" s="4" t="str">
        <f>IFERROR(__xludf.DUMMYFUNCTION("IF($B111="""","""",INDEX(filter(Familias!G:G,Familias!$D:$D=$A111,Familias!$E:$E=$B111),1))"),"")</f>
        <v/>
      </c>
      <c r="G111" s="4" t="str">
        <f t="array" ref="G111">IF(C111=1,XLOOKUP(C111,Cotizador!D:D,Cotizador!E:E,"",0,1),"")</f>
        <v/>
      </c>
      <c r="I111" s="4"/>
      <c r="J111" s="8" t="str">
        <f>IF(I111="","",SUMIF(Cotizador!I$1:V$1,I111,Cotizador!I$2:V$2))</f>
        <v/>
      </c>
      <c r="L111" s="4" t="str">
        <f t="array" ref="L111">IF(COUNTIF(L$1:L110,A$2)=SUMIF(A:A,A$2,D:D),IF(COUNTIF(L$1:L110,XLOOKUP(A$2,Implementos!B:B,Implementos!C:C,"",0,1))=SUMIF(A:A,XLOOKUP(A$2,Implementos!B:B,Implementos!C:C,"",0,1),D:D),"",XLOOKUP(A$2,Implementos!B:B,Implementos!C:C,"",0,1)),A$2)</f>
        <v/>
      </c>
      <c r="M111" s="4" t="str">
        <f t="shared" si="2"/>
        <v/>
      </c>
      <c r="N111" s="4" t="str">
        <f t="shared" si="3"/>
        <v/>
      </c>
      <c r="O111" s="4" t="str">
        <f t="shared" si="4"/>
        <v/>
      </c>
      <c r="P111" s="4" t="str">
        <f t="shared" si="5"/>
        <v/>
      </c>
      <c r="Q111" s="4" t="str">
        <f>IF(U111="","",SUMIF(Productos!E:E,U111,Productos!A:A))</f>
        <v/>
      </c>
      <c r="R111" s="4" t="str">
        <f t="array" ref="R111">IF(L111="","", max(1,SUMIF(I:I,XLOOKUP(U111,Productos!E:E,Productos!G:G,"",0,1),J:J)))</f>
        <v/>
      </c>
      <c r="S111" s="4" t="str">
        <f>IF(Q111="","",IF(SUMIFS(Compat_Vetado!D:D,Compat_Vetado!B:B,SUM(G:G),Compat_Vetado!C:C,Q111)=1,"SI",IF(OR(SUMIF(Cotizador!E:E,Q111,Cotizador!G:G)&gt;0,SUMIFS(Compat_Vetado!D:D,Compat_Vetado!B:B,SUM(G:G),Compat_Vetado!C:C,Q111)=-1),"NO","")))</f>
        <v/>
      </c>
      <c r="T111" s="4" t="str">
        <f t="shared" si="6"/>
        <v/>
      </c>
      <c r="U111" s="4" t="str">
        <f>IFERROR(__xludf.DUMMYFUNCTION("IF(P111="""","""",IFERROR(INDEX(filter(Productos!E:E,Productos!F:F=L111,Productos!H:H=N111),P111),IF(M111=SUM(D:D),""Finalizar"",""-"")))"),"")</f>
        <v/>
      </c>
      <c r="V111" s="4" t="str">
        <f>IFERROR(__xludf.DUMMYFUNCTION("IF(OR($U111="""",COUNTIF($I:$I,IFERROR(unique(filter(Prod_Prop!$H:$H,Prod_Prop!$G:$G=$U111,Prod_Prop!$E:$E=V$1)),""Check""))=0),"""",IFERROR(unique(filter(Prod_Prop!$H:$H,Prod_Prop!$G:$G=$U111,Prod_Prop!$E:$E=V$1)),""""))"),"")</f>
        <v/>
      </c>
      <c r="W111" s="4" t="str">
        <f>IF(V111="","",SUMIFS(Prod_Prop!$J:$J,Prod_Prop!$B:$B,$Q111,Prod_Prop!$H:$H,V111,Prod_Prop!$I:$I,W$1)*IF(V111="Peso",$R111,1))</f>
        <v/>
      </c>
      <c r="X111" s="4" t="str">
        <f>IF(V111="","",SUMIFS(Prod_Prop!$J:$J,Prod_Prop!$B:$B,$Q111,Prod_Prop!$H:$H,V111,Prod_Prop!$I:$I,X$1)*IF(V111="Peso",$R111,1))</f>
        <v/>
      </c>
      <c r="Y111" s="4" t="str">
        <f>IFERROR(__xludf.DUMMYFUNCTION("IF(OR($U111="""",COUNTIF($I:$I,IFERROR(unique(filter(Prod_Prop!$H:$H,Prod_Prop!$G:$G=$U111,Prod_Prop!$E:$E=Y$1)),""Check""))=0),"""",IFERROR(unique(filter(Prod_Prop!$H:$H,Prod_Prop!$G:$G=$U111,Prod_Prop!$E:$E=Y$1)),""""))"),"")</f>
        <v/>
      </c>
      <c r="Z111" s="4" t="str">
        <f>IF(Y111="","",SUMIFS(Prod_Prop!$J:$J,Prod_Prop!$B:$B,$Q111,Prod_Prop!$H:$H,Y111,Prod_Prop!$I:$I,Z$1)*IF(Y111="Peso",$R111,1))</f>
        <v/>
      </c>
      <c r="AA111" s="4" t="str">
        <f>IF(Y111="","",SUMIFS(Prod_Prop!$J:$J,Prod_Prop!$B:$B,$Q111,Prod_Prop!$H:$H,Y111,Prod_Prop!$I:$I,AA$1)*IF(Y111="Peso",$R111,1))</f>
        <v/>
      </c>
      <c r="AB111" s="4" t="str">
        <f>IFERROR(__xludf.DUMMYFUNCTION("IF(OR($U111="""",COUNTIF($I:$I,IFERROR(unique(filter(Prod_Prop!$H:$H,Prod_Prop!$G:$G=$U111,Prod_Prop!$E:$E=AB$1)),""Check""))=0),"""",IFERROR(unique(filter(Prod_Prop!$H:$H,Prod_Prop!$G:$G=$U111,Prod_Prop!$E:$E=AB$1)),""""))"),"")</f>
        <v/>
      </c>
      <c r="AC111" s="4" t="str">
        <f>IF(AB111="","",SUMIFS(Prod_Prop!$J:$J,Prod_Prop!$B:$B,$Q111,Prod_Prop!$H:$H,AB111,Prod_Prop!$I:$I,AC$1)*IF(AB111="Peso",$R111,1))</f>
        <v/>
      </c>
      <c r="AD111" s="4" t="str">
        <f>IF(AB111="","",SUMIFS(Prod_Prop!$J:$J,Prod_Prop!$B:$B,$Q111,Prod_Prop!$H:$H,AB111,Prod_Prop!$I:$I,AD$1)*IF(AB111="Peso",$R111,1))</f>
        <v/>
      </c>
    </row>
    <row r="112">
      <c r="A112" s="4" t="str">
        <f t="array" ref="A112">IF(COUNTIF(A$1:A111,Cotizador!F$2)=maxifs(Familias!E:E,Familias!D:D,Cotizador!F$2),IF(COUNTIF(A$1:A111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2" s="4" t="str">
        <f t="shared" si="1"/>
        <v/>
      </c>
      <c r="C112" s="4" t="str">
        <f t="array" ref="C112">IF(B112="","",IF(A112=XLOOKUP(A$2,Implementos!B:B,Implementos!C:C,"",0,1),B112+maxifs(B$1:B111,A$1:A111,A$2),B112))</f>
        <v/>
      </c>
      <c r="D112" s="4" t="str">
        <f>IF(B112="","", COUNTIFS(Productos!F:F,A112,Productos!H:H,B112)+IF(F112="SI",0,1))</f>
        <v/>
      </c>
      <c r="E112" s="4" t="str">
        <f>IFERROR(__xludf.DUMMYFUNCTION("IF($B112="""","""",INDEX(filter(Familias!F:F,Familias!$D:$D=$A112,Familias!$E:$E=$B112),1))"),"")</f>
        <v/>
      </c>
      <c r="F112" s="4" t="str">
        <f>IFERROR(__xludf.DUMMYFUNCTION("IF($B112="""","""",INDEX(filter(Familias!G:G,Familias!$D:$D=$A112,Familias!$E:$E=$B112),1))"),"")</f>
        <v/>
      </c>
      <c r="G112" s="4" t="str">
        <f t="array" ref="G112">IF(C112=1,XLOOKUP(C112,Cotizador!D:D,Cotizador!E:E,"",0,1),"")</f>
        <v/>
      </c>
      <c r="I112" s="4"/>
      <c r="J112" s="8" t="str">
        <f>IF(I112="","",SUMIF(Cotizador!I$1:V$1,I112,Cotizador!I$2:V$2))</f>
        <v/>
      </c>
      <c r="L112" s="4" t="str">
        <f t="array" ref="L112">IF(COUNTIF(L$1:L111,A$2)=SUMIF(A:A,A$2,D:D),IF(COUNTIF(L$1:L111,XLOOKUP(A$2,Implementos!B:B,Implementos!C:C,"",0,1))=SUMIF(A:A,XLOOKUP(A$2,Implementos!B:B,Implementos!C:C,"",0,1),D:D),"",XLOOKUP(A$2,Implementos!B:B,Implementos!C:C,"",0,1)),A$2)</f>
        <v/>
      </c>
      <c r="M112" s="4" t="str">
        <f t="shared" si="2"/>
        <v/>
      </c>
      <c r="N112" s="4" t="str">
        <f t="shared" si="3"/>
        <v/>
      </c>
      <c r="O112" s="4" t="str">
        <f t="shared" si="4"/>
        <v/>
      </c>
      <c r="P112" s="4" t="str">
        <f t="shared" si="5"/>
        <v/>
      </c>
      <c r="Q112" s="4" t="str">
        <f>IF(U112="","",SUMIF(Productos!E:E,U112,Productos!A:A))</f>
        <v/>
      </c>
      <c r="R112" s="4" t="str">
        <f t="array" ref="R112">IF(L112="","", max(1,SUMIF(I:I,XLOOKUP(U112,Productos!E:E,Productos!G:G,"",0,1),J:J)))</f>
        <v/>
      </c>
      <c r="S112" s="4" t="str">
        <f>IF(Q112="","",IF(SUMIFS(Compat_Vetado!D:D,Compat_Vetado!B:B,SUM(G:G),Compat_Vetado!C:C,Q112)=1,"SI",IF(OR(SUMIF(Cotizador!E:E,Q112,Cotizador!G:G)&gt;0,SUMIFS(Compat_Vetado!D:D,Compat_Vetado!B:B,SUM(G:G),Compat_Vetado!C:C,Q112)=-1),"NO","")))</f>
        <v/>
      </c>
      <c r="T112" s="4" t="str">
        <f t="shared" si="6"/>
        <v/>
      </c>
      <c r="U112" s="4" t="str">
        <f>IFERROR(__xludf.DUMMYFUNCTION("IF(P112="""","""",IFERROR(INDEX(filter(Productos!E:E,Productos!F:F=L112,Productos!H:H=N112),P112),IF(M112=SUM(D:D),""Finalizar"",""-"")))"),"")</f>
        <v/>
      </c>
      <c r="V112" s="4" t="str">
        <f>IFERROR(__xludf.DUMMYFUNCTION("IF(OR($U112="""",COUNTIF($I:$I,IFERROR(unique(filter(Prod_Prop!$H:$H,Prod_Prop!$G:$G=$U112,Prod_Prop!$E:$E=V$1)),""Check""))=0),"""",IFERROR(unique(filter(Prod_Prop!$H:$H,Prod_Prop!$G:$G=$U112,Prod_Prop!$E:$E=V$1)),""""))"),"")</f>
        <v/>
      </c>
      <c r="W112" s="4" t="str">
        <f>IF(V112="","",SUMIFS(Prod_Prop!$J:$J,Prod_Prop!$B:$B,$Q112,Prod_Prop!$H:$H,V112,Prod_Prop!$I:$I,W$1)*IF(V112="Peso",$R112,1))</f>
        <v/>
      </c>
      <c r="X112" s="4" t="str">
        <f>IF(V112="","",SUMIFS(Prod_Prop!$J:$J,Prod_Prop!$B:$B,$Q112,Prod_Prop!$H:$H,V112,Prod_Prop!$I:$I,X$1)*IF(V112="Peso",$R112,1))</f>
        <v/>
      </c>
      <c r="Y112" s="4" t="str">
        <f>IFERROR(__xludf.DUMMYFUNCTION("IF(OR($U112="""",COUNTIF($I:$I,IFERROR(unique(filter(Prod_Prop!$H:$H,Prod_Prop!$G:$G=$U112,Prod_Prop!$E:$E=Y$1)),""Check""))=0),"""",IFERROR(unique(filter(Prod_Prop!$H:$H,Prod_Prop!$G:$G=$U112,Prod_Prop!$E:$E=Y$1)),""""))"),"")</f>
        <v/>
      </c>
      <c r="Z112" s="4" t="str">
        <f>IF(Y112="","",SUMIFS(Prod_Prop!$J:$J,Prod_Prop!$B:$B,$Q112,Prod_Prop!$H:$H,Y112,Prod_Prop!$I:$I,Z$1)*IF(Y112="Peso",$R112,1))</f>
        <v/>
      </c>
      <c r="AA112" s="4" t="str">
        <f>IF(Y112="","",SUMIFS(Prod_Prop!$J:$J,Prod_Prop!$B:$B,$Q112,Prod_Prop!$H:$H,Y112,Prod_Prop!$I:$I,AA$1)*IF(Y112="Peso",$R112,1))</f>
        <v/>
      </c>
      <c r="AB112" s="4" t="str">
        <f>IFERROR(__xludf.DUMMYFUNCTION("IF(OR($U112="""",COUNTIF($I:$I,IFERROR(unique(filter(Prod_Prop!$H:$H,Prod_Prop!$G:$G=$U112,Prod_Prop!$E:$E=AB$1)),""Check""))=0),"""",IFERROR(unique(filter(Prod_Prop!$H:$H,Prod_Prop!$G:$G=$U112,Prod_Prop!$E:$E=AB$1)),""""))"),"")</f>
        <v/>
      </c>
      <c r="AC112" s="4" t="str">
        <f>IF(AB112="","",SUMIFS(Prod_Prop!$J:$J,Prod_Prop!$B:$B,$Q112,Prod_Prop!$H:$H,AB112,Prod_Prop!$I:$I,AC$1)*IF(AB112="Peso",$R112,1))</f>
        <v/>
      </c>
      <c r="AD112" s="4" t="str">
        <f>IF(AB112="","",SUMIFS(Prod_Prop!$J:$J,Prod_Prop!$B:$B,$Q112,Prod_Prop!$H:$H,AB112,Prod_Prop!$I:$I,AD$1)*IF(AB112="Peso",$R112,1))</f>
        <v/>
      </c>
    </row>
    <row r="113">
      <c r="A113" s="4" t="str">
        <f t="array" ref="A113">IF(COUNTIF(A$1:A112,Cotizador!F$2)=maxifs(Familias!E:E,Familias!D:D,Cotizador!F$2),IF(COUNTIF(A$1:A112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3" s="4" t="str">
        <f t="shared" si="1"/>
        <v/>
      </c>
      <c r="C113" s="4" t="str">
        <f t="array" ref="C113">IF(B113="","",IF(A113=XLOOKUP(A$2,Implementos!B:B,Implementos!C:C,"",0,1),B113+maxifs(B$1:B112,A$1:A112,A$2),B113))</f>
        <v/>
      </c>
      <c r="D113" s="4" t="str">
        <f>IF(B113="","", COUNTIFS(Productos!F:F,A113,Productos!H:H,B113)+IF(F113="SI",0,1))</f>
        <v/>
      </c>
      <c r="E113" s="4" t="str">
        <f>IFERROR(__xludf.DUMMYFUNCTION("IF($B113="""","""",INDEX(filter(Familias!F:F,Familias!$D:$D=$A113,Familias!$E:$E=$B113),1))"),"")</f>
        <v/>
      </c>
      <c r="F113" s="4" t="str">
        <f>IFERROR(__xludf.DUMMYFUNCTION("IF($B113="""","""",INDEX(filter(Familias!G:G,Familias!$D:$D=$A113,Familias!$E:$E=$B113),1))"),"")</f>
        <v/>
      </c>
      <c r="G113" s="4" t="str">
        <f t="array" ref="G113">IF(C113=1,XLOOKUP(C113,Cotizador!D:D,Cotizador!E:E,"",0,1),"")</f>
        <v/>
      </c>
      <c r="I113" s="4"/>
      <c r="J113" s="8" t="str">
        <f>IF(I113="","",SUMIF(Cotizador!I$1:V$1,I113,Cotizador!I$2:V$2))</f>
        <v/>
      </c>
      <c r="L113" s="4" t="str">
        <f t="array" ref="L113">IF(COUNTIF(L$1:L112,A$2)=SUMIF(A:A,A$2,D:D),IF(COUNTIF(L$1:L112,XLOOKUP(A$2,Implementos!B:B,Implementos!C:C,"",0,1))=SUMIF(A:A,XLOOKUP(A$2,Implementos!B:B,Implementos!C:C,"",0,1),D:D),"",XLOOKUP(A$2,Implementos!B:B,Implementos!C:C,"",0,1)),A$2)</f>
        <v/>
      </c>
      <c r="M113" s="4" t="str">
        <f t="shared" si="2"/>
        <v/>
      </c>
      <c r="N113" s="4" t="str">
        <f t="shared" si="3"/>
        <v/>
      </c>
      <c r="O113" s="4" t="str">
        <f t="shared" si="4"/>
        <v/>
      </c>
      <c r="P113" s="4" t="str">
        <f t="shared" si="5"/>
        <v/>
      </c>
      <c r="Q113" s="4" t="str">
        <f>IF(U113="","",SUMIF(Productos!E:E,U113,Productos!A:A))</f>
        <v/>
      </c>
      <c r="R113" s="4" t="str">
        <f t="array" ref="R113">IF(L113="","", max(1,SUMIF(I:I,XLOOKUP(U113,Productos!E:E,Productos!G:G,"",0,1),J:J)))</f>
        <v/>
      </c>
      <c r="S113" s="4" t="str">
        <f>IF(Q113="","",IF(SUMIFS(Compat_Vetado!D:D,Compat_Vetado!B:B,SUM(G:G),Compat_Vetado!C:C,Q113)=1,"SI",IF(OR(SUMIF(Cotizador!E:E,Q113,Cotizador!G:G)&gt;0,SUMIFS(Compat_Vetado!D:D,Compat_Vetado!B:B,SUM(G:G),Compat_Vetado!C:C,Q113)=-1),"NO","")))</f>
        <v/>
      </c>
      <c r="T113" s="4" t="str">
        <f t="shared" si="6"/>
        <v/>
      </c>
      <c r="U113" s="4" t="str">
        <f>IFERROR(__xludf.DUMMYFUNCTION("IF(P113="""","""",IFERROR(INDEX(filter(Productos!E:E,Productos!F:F=L113,Productos!H:H=N113),P113),IF(M113=SUM(D:D),""Finalizar"",""-"")))"),"")</f>
        <v/>
      </c>
      <c r="V113" s="4" t="str">
        <f>IFERROR(__xludf.DUMMYFUNCTION("IF(OR($U113="""",COUNTIF($I:$I,IFERROR(unique(filter(Prod_Prop!$H:$H,Prod_Prop!$G:$G=$U113,Prod_Prop!$E:$E=V$1)),""Check""))=0),"""",IFERROR(unique(filter(Prod_Prop!$H:$H,Prod_Prop!$G:$G=$U113,Prod_Prop!$E:$E=V$1)),""""))"),"")</f>
        <v/>
      </c>
      <c r="W113" s="4" t="str">
        <f>IF(V113="","",SUMIFS(Prod_Prop!$J:$J,Prod_Prop!$B:$B,$Q113,Prod_Prop!$H:$H,V113,Prod_Prop!$I:$I,W$1)*IF(V113="Peso",$R113,1))</f>
        <v/>
      </c>
      <c r="X113" s="4" t="str">
        <f>IF(V113="","",SUMIFS(Prod_Prop!$J:$J,Prod_Prop!$B:$B,$Q113,Prod_Prop!$H:$H,V113,Prod_Prop!$I:$I,X$1)*IF(V113="Peso",$R113,1))</f>
        <v/>
      </c>
      <c r="Y113" s="4" t="str">
        <f>IFERROR(__xludf.DUMMYFUNCTION("IF(OR($U113="""",COUNTIF($I:$I,IFERROR(unique(filter(Prod_Prop!$H:$H,Prod_Prop!$G:$G=$U113,Prod_Prop!$E:$E=Y$1)),""Check""))=0),"""",IFERROR(unique(filter(Prod_Prop!$H:$H,Prod_Prop!$G:$G=$U113,Prod_Prop!$E:$E=Y$1)),""""))"),"")</f>
        <v/>
      </c>
      <c r="Z113" s="4" t="str">
        <f>IF(Y113="","",SUMIFS(Prod_Prop!$J:$J,Prod_Prop!$B:$B,$Q113,Prod_Prop!$H:$H,Y113,Prod_Prop!$I:$I,Z$1)*IF(Y113="Peso",$R113,1))</f>
        <v/>
      </c>
      <c r="AA113" s="4" t="str">
        <f>IF(Y113="","",SUMIFS(Prod_Prop!$J:$J,Prod_Prop!$B:$B,$Q113,Prod_Prop!$H:$H,Y113,Prod_Prop!$I:$I,AA$1)*IF(Y113="Peso",$R113,1))</f>
        <v/>
      </c>
      <c r="AB113" s="4" t="str">
        <f>IFERROR(__xludf.DUMMYFUNCTION("IF(OR($U113="""",COUNTIF($I:$I,IFERROR(unique(filter(Prod_Prop!$H:$H,Prod_Prop!$G:$G=$U113,Prod_Prop!$E:$E=AB$1)),""Check""))=0),"""",IFERROR(unique(filter(Prod_Prop!$H:$H,Prod_Prop!$G:$G=$U113,Prod_Prop!$E:$E=AB$1)),""""))"),"")</f>
        <v/>
      </c>
      <c r="AC113" s="4" t="str">
        <f>IF(AB113="","",SUMIFS(Prod_Prop!$J:$J,Prod_Prop!$B:$B,$Q113,Prod_Prop!$H:$H,AB113,Prod_Prop!$I:$I,AC$1)*IF(AB113="Peso",$R113,1))</f>
        <v/>
      </c>
      <c r="AD113" s="4" t="str">
        <f>IF(AB113="","",SUMIFS(Prod_Prop!$J:$J,Prod_Prop!$B:$B,$Q113,Prod_Prop!$H:$H,AB113,Prod_Prop!$I:$I,AD$1)*IF(AB113="Peso",$R113,1))</f>
        <v/>
      </c>
    </row>
    <row r="114">
      <c r="A114" s="4" t="str">
        <f t="array" ref="A114">IF(COUNTIF(A$1:A113,Cotizador!F$2)=maxifs(Familias!E:E,Familias!D:D,Cotizador!F$2),IF(COUNTIF(A$1:A113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4" s="4" t="str">
        <f t="shared" si="1"/>
        <v/>
      </c>
      <c r="C114" s="4" t="str">
        <f t="array" ref="C114">IF(B114="","",IF(A114=XLOOKUP(A$2,Implementos!B:B,Implementos!C:C,"",0,1),B114+maxifs(B$1:B113,A$1:A113,A$2),B114))</f>
        <v/>
      </c>
      <c r="D114" s="4" t="str">
        <f>IF(B114="","", COUNTIFS(Productos!F:F,A114,Productos!H:H,B114)+IF(F114="SI",0,1))</f>
        <v/>
      </c>
      <c r="E114" s="4" t="str">
        <f>IFERROR(__xludf.DUMMYFUNCTION("IF($B114="""","""",INDEX(filter(Familias!F:F,Familias!$D:$D=$A114,Familias!$E:$E=$B114),1))"),"")</f>
        <v/>
      </c>
      <c r="F114" s="4" t="str">
        <f>IFERROR(__xludf.DUMMYFUNCTION("IF($B114="""","""",INDEX(filter(Familias!G:G,Familias!$D:$D=$A114,Familias!$E:$E=$B114),1))"),"")</f>
        <v/>
      </c>
      <c r="G114" s="4" t="str">
        <f t="array" ref="G114">IF(C114=1,XLOOKUP(C114,Cotizador!D:D,Cotizador!E:E,"",0,1),"")</f>
        <v/>
      </c>
      <c r="I114" s="4"/>
      <c r="J114" s="8" t="str">
        <f>IF(I114="","",SUMIF(Cotizador!I$1:V$1,I114,Cotizador!I$2:V$2))</f>
        <v/>
      </c>
      <c r="L114" s="4" t="str">
        <f t="array" ref="L114">IF(COUNTIF(L$1:L113,A$2)=SUMIF(A:A,A$2,D:D),IF(COUNTIF(L$1:L113,XLOOKUP(A$2,Implementos!B:B,Implementos!C:C,"",0,1))=SUMIF(A:A,XLOOKUP(A$2,Implementos!B:B,Implementos!C:C,"",0,1),D:D),"",XLOOKUP(A$2,Implementos!B:B,Implementos!C:C,"",0,1)),A$2)</f>
        <v/>
      </c>
      <c r="M114" s="4" t="str">
        <f t="shared" si="2"/>
        <v/>
      </c>
      <c r="N114" s="4" t="str">
        <f t="shared" si="3"/>
        <v/>
      </c>
      <c r="O114" s="4" t="str">
        <f t="shared" si="4"/>
        <v/>
      </c>
      <c r="P114" s="4" t="str">
        <f t="shared" si="5"/>
        <v/>
      </c>
      <c r="Q114" s="4" t="str">
        <f>IF(U114="","",SUMIF(Productos!E:E,U114,Productos!A:A))</f>
        <v/>
      </c>
      <c r="R114" s="4" t="str">
        <f t="array" ref="R114">IF(L114="","", max(1,SUMIF(I:I,XLOOKUP(U114,Productos!E:E,Productos!G:G,"",0,1),J:J)))</f>
        <v/>
      </c>
      <c r="S114" s="4" t="str">
        <f>IF(Q114="","",IF(SUMIFS(Compat_Vetado!D:D,Compat_Vetado!B:B,SUM(G:G),Compat_Vetado!C:C,Q114)=1,"SI",IF(OR(SUMIF(Cotizador!E:E,Q114,Cotizador!G:G)&gt;0,SUMIFS(Compat_Vetado!D:D,Compat_Vetado!B:B,SUM(G:G),Compat_Vetado!C:C,Q114)=-1),"NO","")))</f>
        <v/>
      </c>
      <c r="T114" s="4" t="str">
        <f t="shared" si="6"/>
        <v/>
      </c>
      <c r="U114" s="4" t="str">
        <f>IFERROR(__xludf.DUMMYFUNCTION("IF(P114="""","""",IFERROR(INDEX(filter(Productos!E:E,Productos!F:F=L114,Productos!H:H=N114),P114),IF(M114=SUM(D:D),""Finalizar"",""-"")))"),"")</f>
        <v/>
      </c>
      <c r="V114" s="4" t="str">
        <f>IFERROR(__xludf.DUMMYFUNCTION("IF(OR($U114="""",COUNTIF($I:$I,IFERROR(unique(filter(Prod_Prop!$H:$H,Prod_Prop!$G:$G=$U114,Prod_Prop!$E:$E=V$1)),""Check""))=0),"""",IFERROR(unique(filter(Prod_Prop!$H:$H,Prod_Prop!$G:$G=$U114,Prod_Prop!$E:$E=V$1)),""""))"),"")</f>
        <v/>
      </c>
      <c r="W114" s="4" t="str">
        <f>IF(V114="","",SUMIFS(Prod_Prop!$J:$J,Prod_Prop!$B:$B,$Q114,Prod_Prop!$H:$H,V114,Prod_Prop!$I:$I,W$1)*IF(V114="Peso",$R114,1))</f>
        <v/>
      </c>
      <c r="X114" s="4" t="str">
        <f>IF(V114="","",SUMIFS(Prod_Prop!$J:$J,Prod_Prop!$B:$B,$Q114,Prod_Prop!$H:$H,V114,Prod_Prop!$I:$I,X$1)*IF(V114="Peso",$R114,1))</f>
        <v/>
      </c>
      <c r="Y114" s="4" t="str">
        <f>IFERROR(__xludf.DUMMYFUNCTION("IF(OR($U114="""",COUNTIF($I:$I,IFERROR(unique(filter(Prod_Prop!$H:$H,Prod_Prop!$G:$G=$U114,Prod_Prop!$E:$E=Y$1)),""Check""))=0),"""",IFERROR(unique(filter(Prod_Prop!$H:$H,Prod_Prop!$G:$G=$U114,Prod_Prop!$E:$E=Y$1)),""""))"),"")</f>
        <v/>
      </c>
      <c r="Z114" s="4" t="str">
        <f>IF(Y114="","",SUMIFS(Prod_Prop!$J:$J,Prod_Prop!$B:$B,$Q114,Prod_Prop!$H:$H,Y114,Prod_Prop!$I:$I,Z$1)*IF(Y114="Peso",$R114,1))</f>
        <v/>
      </c>
      <c r="AA114" s="4" t="str">
        <f>IF(Y114="","",SUMIFS(Prod_Prop!$J:$J,Prod_Prop!$B:$B,$Q114,Prod_Prop!$H:$H,Y114,Prod_Prop!$I:$I,AA$1)*IF(Y114="Peso",$R114,1))</f>
        <v/>
      </c>
      <c r="AB114" s="4" t="str">
        <f>IFERROR(__xludf.DUMMYFUNCTION("IF(OR($U114="""",COUNTIF($I:$I,IFERROR(unique(filter(Prod_Prop!$H:$H,Prod_Prop!$G:$G=$U114,Prod_Prop!$E:$E=AB$1)),""Check""))=0),"""",IFERROR(unique(filter(Prod_Prop!$H:$H,Prod_Prop!$G:$G=$U114,Prod_Prop!$E:$E=AB$1)),""""))"),"")</f>
        <v/>
      </c>
      <c r="AC114" s="4" t="str">
        <f>IF(AB114="","",SUMIFS(Prod_Prop!$J:$J,Prod_Prop!$B:$B,$Q114,Prod_Prop!$H:$H,AB114,Prod_Prop!$I:$I,AC$1)*IF(AB114="Peso",$R114,1))</f>
        <v/>
      </c>
      <c r="AD114" s="4" t="str">
        <f>IF(AB114="","",SUMIFS(Prod_Prop!$J:$J,Prod_Prop!$B:$B,$Q114,Prod_Prop!$H:$H,AB114,Prod_Prop!$I:$I,AD$1)*IF(AB114="Peso",$R114,1))</f>
        <v/>
      </c>
    </row>
    <row r="115">
      <c r="A115" s="4" t="str">
        <f t="array" ref="A115">IF(COUNTIF(A$1:A114,Cotizador!F$2)=maxifs(Familias!E:E,Familias!D:D,Cotizador!F$2),IF(COUNTIF(A$1:A114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5" s="4" t="str">
        <f t="shared" si="1"/>
        <v/>
      </c>
      <c r="C115" s="4" t="str">
        <f t="array" ref="C115">IF(B115="","",IF(A115=XLOOKUP(A$2,Implementos!B:B,Implementos!C:C,"",0,1),B115+maxifs(B$1:B114,A$1:A114,A$2),B115))</f>
        <v/>
      </c>
      <c r="D115" s="4" t="str">
        <f>IF(B115="","", COUNTIFS(Productos!F:F,A115,Productos!H:H,B115)+IF(F115="SI",0,1))</f>
        <v/>
      </c>
      <c r="E115" s="4" t="str">
        <f>IFERROR(__xludf.DUMMYFUNCTION("IF($B115="""","""",INDEX(filter(Familias!F:F,Familias!$D:$D=$A115,Familias!$E:$E=$B115),1))"),"")</f>
        <v/>
      </c>
      <c r="F115" s="4" t="str">
        <f>IFERROR(__xludf.DUMMYFUNCTION("IF($B115="""","""",INDEX(filter(Familias!G:G,Familias!$D:$D=$A115,Familias!$E:$E=$B115),1))"),"")</f>
        <v/>
      </c>
      <c r="G115" s="4" t="str">
        <f t="array" ref="G115">IF(C115=1,XLOOKUP(C115,Cotizador!D:D,Cotizador!E:E,"",0,1),"")</f>
        <v/>
      </c>
      <c r="I115" s="4"/>
      <c r="J115" s="8" t="str">
        <f>IF(I115="","",SUMIF(Cotizador!I$1:V$1,I115,Cotizador!I$2:V$2))</f>
        <v/>
      </c>
      <c r="L115" s="4" t="str">
        <f t="array" ref="L115">IF(COUNTIF(L$1:L114,A$2)=SUMIF(A:A,A$2,D:D),IF(COUNTIF(L$1:L114,XLOOKUP(A$2,Implementos!B:B,Implementos!C:C,"",0,1))=SUMIF(A:A,XLOOKUP(A$2,Implementos!B:B,Implementos!C:C,"",0,1),D:D),"",XLOOKUP(A$2,Implementos!B:B,Implementos!C:C,"",0,1)),A$2)</f>
        <v/>
      </c>
      <c r="M115" s="4" t="str">
        <f t="shared" si="2"/>
        <v/>
      </c>
      <c r="N115" s="4" t="str">
        <f t="shared" si="3"/>
        <v/>
      </c>
      <c r="O115" s="4" t="str">
        <f t="shared" si="4"/>
        <v/>
      </c>
      <c r="P115" s="4" t="str">
        <f t="shared" si="5"/>
        <v/>
      </c>
      <c r="Q115" s="4" t="str">
        <f>IF(U115="","",SUMIF(Productos!E:E,U115,Productos!A:A))</f>
        <v/>
      </c>
      <c r="R115" s="4" t="str">
        <f t="array" ref="R115">IF(L115="","", max(1,SUMIF(I:I,XLOOKUP(U115,Productos!E:E,Productos!G:G,"",0,1),J:J)))</f>
        <v/>
      </c>
      <c r="S115" s="4" t="str">
        <f>IF(Q115="","",IF(SUMIFS(Compat_Vetado!D:D,Compat_Vetado!B:B,SUM(G:G),Compat_Vetado!C:C,Q115)=1,"SI",IF(OR(SUMIF(Cotizador!E:E,Q115,Cotizador!G:G)&gt;0,SUMIFS(Compat_Vetado!D:D,Compat_Vetado!B:B,SUM(G:G),Compat_Vetado!C:C,Q115)=-1),"NO","")))</f>
        <v/>
      </c>
      <c r="T115" s="4" t="str">
        <f t="shared" si="6"/>
        <v/>
      </c>
      <c r="U115" s="4" t="str">
        <f>IFERROR(__xludf.DUMMYFUNCTION("IF(P115="""","""",IFERROR(INDEX(filter(Productos!E:E,Productos!F:F=L115,Productos!H:H=N115),P115),IF(M115=SUM(D:D),""Finalizar"",""-"")))"),"")</f>
        <v/>
      </c>
      <c r="V115" s="4" t="str">
        <f>IFERROR(__xludf.DUMMYFUNCTION("IF(OR($U115="""",COUNTIF($I:$I,IFERROR(unique(filter(Prod_Prop!$H:$H,Prod_Prop!$G:$G=$U115,Prod_Prop!$E:$E=V$1)),""Check""))=0),"""",IFERROR(unique(filter(Prod_Prop!$H:$H,Prod_Prop!$G:$G=$U115,Prod_Prop!$E:$E=V$1)),""""))"),"")</f>
        <v/>
      </c>
      <c r="W115" s="4" t="str">
        <f>IF(V115="","",SUMIFS(Prod_Prop!$J:$J,Prod_Prop!$B:$B,$Q115,Prod_Prop!$H:$H,V115,Prod_Prop!$I:$I,W$1)*IF(V115="Peso",$R115,1))</f>
        <v/>
      </c>
      <c r="X115" s="4" t="str">
        <f>IF(V115="","",SUMIFS(Prod_Prop!$J:$J,Prod_Prop!$B:$B,$Q115,Prod_Prop!$H:$H,V115,Prod_Prop!$I:$I,X$1)*IF(V115="Peso",$R115,1))</f>
        <v/>
      </c>
      <c r="Y115" s="4" t="str">
        <f>IFERROR(__xludf.DUMMYFUNCTION("IF(OR($U115="""",COUNTIF($I:$I,IFERROR(unique(filter(Prod_Prop!$H:$H,Prod_Prop!$G:$G=$U115,Prod_Prop!$E:$E=Y$1)),""Check""))=0),"""",IFERROR(unique(filter(Prod_Prop!$H:$H,Prod_Prop!$G:$G=$U115,Prod_Prop!$E:$E=Y$1)),""""))"),"")</f>
        <v/>
      </c>
      <c r="Z115" s="4" t="str">
        <f>IF(Y115="","",SUMIFS(Prod_Prop!$J:$J,Prod_Prop!$B:$B,$Q115,Prod_Prop!$H:$H,Y115,Prod_Prop!$I:$I,Z$1)*IF(Y115="Peso",$R115,1))</f>
        <v/>
      </c>
      <c r="AA115" s="4" t="str">
        <f>IF(Y115="","",SUMIFS(Prod_Prop!$J:$J,Prod_Prop!$B:$B,$Q115,Prod_Prop!$H:$H,Y115,Prod_Prop!$I:$I,AA$1)*IF(Y115="Peso",$R115,1))</f>
        <v/>
      </c>
      <c r="AB115" s="4" t="str">
        <f>IFERROR(__xludf.DUMMYFUNCTION("IF(OR($U115="""",COUNTIF($I:$I,IFERROR(unique(filter(Prod_Prop!$H:$H,Prod_Prop!$G:$G=$U115,Prod_Prop!$E:$E=AB$1)),""Check""))=0),"""",IFERROR(unique(filter(Prod_Prop!$H:$H,Prod_Prop!$G:$G=$U115,Prod_Prop!$E:$E=AB$1)),""""))"),"")</f>
        <v/>
      </c>
      <c r="AC115" s="4" t="str">
        <f>IF(AB115="","",SUMIFS(Prod_Prop!$J:$J,Prod_Prop!$B:$B,$Q115,Prod_Prop!$H:$H,AB115,Prod_Prop!$I:$I,AC$1)*IF(AB115="Peso",$R115,1))</f>
        <v/>
      </c>
      <c r="AD115" s="4" t="str">
        <f>IF(AB115="","",SUMIFS(Prod_Prop!$J:$J,Prod_Prop!$B:$B,$Q115,Prod_Prop!$H:$H,AB115,Prod_Prop!$I:$I,AD$1)*IF(AB115="Peso",$R115,1))</f>
        <v/>
      </c>
    </row>
    <row r="116">
      <c r="A116" s="4" t="str">
        <f t="array" ref="A116">IF(COUNTIF(A$1:A115,Cotizador!F$2)=maxifs(Familias!E:E,Familias!D:D,Cotizador!F$2),IF(COUNTIF(A$1:A115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6" s="4" t="str">
        <f t="shared" si="1"/>
        <v/>
      </c>
      <c r="C116" s="4" t="str">
        <f t="array" ref="C116">IF(B116="","",IF(A116=XLOOKUP(A$2,Implementos!B:B,Implementos!C:C,"",0,1),B116+maxifs(B$1:B115,A$1:A115,A$2),B116))</f>
        <v/>
      </c>
      <c r="D116" s="4" t="str">
        <f>IF(B116="","", COUNTIFS(Productos!F:F,A116,Productos!H:H,B116)+IF(F116="SI",0,1))</f>
        <v/>
      </c>
      <c r="E116" s="4" t="str">
        <f>IFERROR(__xludf.DUMMYFUNCTION("IF($B116="""","""",INDEX(filter(Familias!F:F,Familias!$D:$D=$A116,Familias!$E:$E=$B116),1))"),"")</f>
        <v/>
      </c>
      <c r="F116" s="4" t="str">
        <f>IFERROR(__xludf.DUMMYFUNCTION("IF($B116="""","""",INDEX(filter(Familias!G:G,Familias!$D:$D=$A116,Familias!$E:$E=$B116),1))"),"")</f>
        <v/>
      </c>
      <c r="G116" s="4" t="str">
        <f t="array" ref="G116">IF(C116=1,XLOOKUP(C116,Cotizador!D:D,Cotizador!E:E,"",0,1),"")</f>
        <v/>
      </c>
      <c r="I116" s="4"/>
      <c r="J116" s="8" t="str">
        <f>IF(I116="","",SUMIF(Cotizador!I$1:V$1,I116,Cotizador!I$2:V$2))</f>
        <v/>
      </c>
      <c r="L116" s="4" t="str">
        <f t="array" ref="L116">IF(COUNTIF(L$1:L115,A$2)=SUMIF(A:A,A$2,D:D),IF(COUNTIF(L$1:L115,XLOOKUP(A$2,Implementos!B:B,Implementos!C:C,"",0,1))=SUMIF(A:A,XLOOKUP(A$2,Implementos!B:B,Implementos!C:C,"",0,1),D:D),"",XLOOKUP(A$2,Implementos!B:B,Implementos!C:C,"",0,1)),A$2)</f>
        <v/>
      </c>
      <c r="M116" s="4" t="str">
        <f t="shared" si="2"/>
        <v/>
      </c>
      <c r="N116" s="4" t="str">
        <f t="shared" si="3"/>
        <v/>
      </c>
      <c r="O116" s="4" t="str">
        <f t="shared" si="4"/>
        <v/>
      </c>
      <c r="P116" s="4" t="str">
        <f t="shared" si="5"/>
        <v/>
      </c>
      <c r="Q116" s="4" t="str">
        <f>IF(U116="","",SUMIF(Productos!E:E,U116,Productos!A:A))</f>
        <v/>
      </c>
      <c r="R116" s="4" t="str">
        <f t="array" ref="R116">IF(L116="","", max(1,SUMIF(I:I,XLOOKUP(U116,Productos!E:E,Productos!G:G,"",0,1),J:J)))</f>
        <v/>
      </c>
      <c r="S116" s="4" t="str">
        <f>IF(Q116="","",IF(SUMIFS(Compat_Vetado!D:D,Compat_Vetado!B:B,SUM(G:G),Compat_Vetado!C:C,Q116)=1,"SI",IF(OR(SUMIF(Cotizador!E:E,Q116,Cotizador!G:G)&gt;0,SUMIFS(Compat_Vetado!D:D,Compat_Vetado!B:B,SUM(G:G),Compat_Vetado!C:C,Q116)=-1),"NO","")))</f>
        <v/>
      </c>
      <c r="T116" s="4" t="str">
        <f t="shared" si="6"/>
        <v/>
      </c>
      <c r="U116" s="4" t="str">
        <f>IFERROR(__xludf.DUMMYFUNCTION("IF(P116="""","""",IFERROR(INDEX(filter(Productos!E:E,Productos!F:F=L116,Productos!H:H=N116),P116),IF(M116=SUM(D:D),""Finalizar"",""-"")))"),"")</f>
        <v/>
      </c>
      <c r="V116" s="4" t="str">
        <f>IFERROR(__xludf.DUMMYFUNCTION("IF(OR($U116="""",COUNTIF($I:$I,IFERROR(unique(filter(Prod_Prop!$H:$H,Prod_Prop!$G:$G=$U116,Prod_Prop!$E:$E=V$1)),""Check""))=0),"""",IFERROR(unique(filter(Prod_Prop!$H:$H,Prod_Prop!$G:$G=$U116,Prod_Prop!$E:$E=V$1)),""""))"),"")</f>
        <v/>
      </c>
      <c r="W116" s="4" t="str">
        <f>IF(V116="","",SUMIFS(Prod_Prop!$J:$J,Prod_Prop!$B:$B,$Q116,Prod_Prop!$H:$H,V116,Prod_Prop!$I:$I,W$1)*IF(V116="Peso",$R116,1))</f>
        <v/>
      </c>
      <c r="X116" s="4" t="str">
        <f>IF(V116="","",SUMIFS(Prod_Prop!$J:$J,Prod_Prop!$B:$B,$Q116,Prod_Prop!$H:$H,V116,Prod_Prop!$I:$I,X$1)*IF(V116="Peso",$R116,1))</f>
        <v/>
      </c>
      <c r="Y116" s="4" t="str">
        <f>IFERROR(__xludf.DUMMYFUNCTION("IF(OR($U116="""",COUNTIF($I:$I,IFERROR(unique(filter(Prod_Prop!$H:$H,Prod_Prop!$G:$G=$U116,Prod_Prop!$E:$E=Y$1)),""Check""))=0),"""",IFERROR(unique(filter(Prod_Prop!$H:$H,Prod_Prop!$G:$G=$U116,Prod_Prop!$E:$E=Y$1)),""""))"),"")</f>
        <v/>
      </c>
      <c r="Z116" s="4" t="str">
        <f>IF(Y116="","",SUMIFS(Prod_Prop!$J:$J,Prod_Prop!$B:$B,$Q116,Prod_Prop!$H:$H,Y116,Prod_Prop!$I:$I,Z$1)*IF(Y116="Peso",$R116,1))</f>
        <v/>
      </c>
      <c r="AA116" s="4" t="str">
        <f>IF(Y116="","",SUMIFS(Prod_Prop!$J:$J,Prod_Prop!$B:$B,$Q116,Prod_Prop!$H:$H,Y116,Prod_Prop!$I:$I,AA$1)*IF(Y116="Peso",$R116,1))</f>
        <v/>
      </c>
      <c r="AB116" s="4" t="str">
        <f>IFERROR(__xludf.DUMMYFUNCTION("IF(OR($U116="""",COUNTIF($I:$I,IFERROR(unique(filter(Prod_Prop!$H:$H,Prod_Prop!$G:$G=$U116,Prod_Prop!$E:$E=AB$1)),""Check""))=0),"""",IFERROR(unique(filter(Prod_Prop!$H:$H,Prod_Prop!$G:$G=$U116,Prod_Prop!$E:$E=AB$1)),""""))"),"")</f>
        <v/>
      </c>
      <c r="AC116" s="4" t="str">
        <f>IF(AB116="","",SUMIFS(Prod_Prop!$J:$J,Prod_Prop!$B:$B,$Q116,Prod_Prop!$H:$H,AB116,Prod_Prop!$I:$I,AC$1)*IF(AB116="Peso",$R116,1))</f>
        <v/>
      </c>
      <c r="AD116" s="4" t="str">
        <f>IF(AB116="","",SUMIFS(Prod_Prop!$J:$J,Prod_Prop!$B:$B,$Q116,Prod_Prop!$H:$H,AB116,Prod_Prop!$I:$I,AD$1)*IF(AB116="Peso",$R116,1))</f>
        <v/>
      </c>
    </row>
    <row r="117">
      <c r="A117" s="4" t="str">
        <f t="array" ref="A117">IF(COUNTIF(A$1:A116,Cotizador!F$2)=maxifs(Familias!E:E,Familias!D:D,Cotizador!F$2),IF(COUNTIF(A$1:A116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7" s="4" t="str">
        <f t="shared" si="1"/>
        <v/>
      </c>
      <c r="C117" s="4" t="str">
        <f t="array" ref="C117">IF(B117="","",IF(A117=XLOOKUP(A$2,Implementos!B:B,Implementos!C:C,"",0,1),B117+maxifs(B$1:B116,A$1:A116,A$2),B117))</f>
        <v/>
      </c>
      <c r="D117" s="4" t="str">
        <f>IF(B117="","", COUNTIFS(Productos!F:F,A117,Productos!H:H,B117)+IF(F117="SI",0,1))</f>
        <v/>
      </c>
      <c r="E117" s="4" t="str">
        <f>IFERROR(__xludf.DUMMYFUNCTION("IF($B117="""","""",INDEX(filter(Familias!F:F,Familias!$D:$D=$A117,Familias!$E:$E=$B117),1))"),"")</f>
        <v/>
      </c>
      <c r="F117" s="4" t="str">
        <f>IFERROR(__xludf.DUMMYFUNCTION("IF($B117="""","""",INDEX(filter(Familias!G:G,Familias!$D:$D=$A117,Familias!$E:$E=$B117),1))"),"")</f>
        <v/>
      </c>
      <c r="G117" s="4" t="str">
        <f t="array" ref="G117">IF(C117=1,XLOOKUP(C117,Cotizador!D:D,Cotizador!E:E,"",0,1),"")</f>
        <v/>
      </c>
      <c r="I117" s="4"/>
      <c r="J117" s="8" t="str">
        <f>IF(I117="","",SUMIF(Cotizador!I$1:V$1,I117,Cotizador!I$2:V$2))</f>
        <v/>
      </c>
      <c r="L117" s="4" t="str">
        <f t="array" ref="L117">IF(COUNTIF(L$1:L116,A$2)=SUMIF(A:A,A$2,D:D),IF(COUNTIF(L$1:L116,XLOOKUP(A$2,Implementos!B:B,Implementos!C:C,"",0,1))=SUMIF(A:A,XLOOKUP(A$2,Implementos!B:B,Implementos!C:C,"",0,1),D:D),"",XLOOKUP(A$2,Implementos!B:B,Implementos!C:C,"",0,1)),A$2)</f>
        <v/>
      </c>
      <c r="M117" s="4" t="str">
        <f t="shared" si="2"/>
        <v/>
      </c>
      <c r="N117" s="4" t="str">
        <f t="shared" si="3"/>
        <v/>
      </c>
      <c r="O117" s="4" t="str">
        <f t="shared" si="4"/>
        <v/>
      </c>
      <c r="P117" s="4" t="str">
        <f t="shared" si="5"/>
        <v/>
      </c>
      <c r="Q117" s="4" t="str">
        <f>IF(U117="","",SUMIF(Productos!E:E,U117,Productos!A:A))</f>
        <v/>
      </c>
      <c r="R117" s="4" t="str">
        <f t="array" ref="R117">IF(L117="","", max(1,SUMIF(I:I,XLOOKUP(U117,Productos!E:E,Productos!G:G,"",0,1),J:J)))</f>
        <v/>
      </c>
      <c r="S117" s="4" t="str">
        <f>IF(Q117="","",IF(SUMIFS(Compat_Vetado!D:D,Compat_Vetado!B:B,SUM(G:G),Compat_Vetado!C:C,Q117)=1,"SI",IF(OR(SUMIF(Cotizador!E:E,Q117,Cotizador!G:G)&gt;0,SUMIFS(Compat_Vetado!D:D,Compat_Vetado!B:B,SUM(G:G),Compat_Vetado!C:C,Q117)=-1),"NO","")))</f>
        <v/>
      </c>
      <c r="T117" s="4" t="str">
        <f t="shared" si="6"/>
        <v/>
      </c>
      <c r="U117" s="4" t="str">
        <f>IFERROR(__xludf.DUMMYFUNCTION("IF(P117="""","""",IFERROR(INDEX(filter(Productos!E:E,Productos!F:F=L117,Productos!H:H=N117),P117),IF(M117=SUM(D:D),""Finalizar"",""-"")))"),"")</f>
        <v/>
      </c>
      <c r="V117" s="4" t="str">
        <f>IFERROR(__xludf.DUMMYFUNCTION("IF(OR($U117="""",COUNTIF($I:$I,IFERROR(unique(filter(Prod_Prop!$H:$H,Prod_Prop!$G:$G=$U117,Prod_Prop!$E:$E=V$1)),""Check""))=0),"""",IFERROR(unique(filter(Prod_Prop!$H:$H,Prod_Prop!$G:$G=$U117,Prod_Prop!$E:$E=V$1)),""""))"),"")</f>
        <v/>
      </c>
      <c r="W117" s="4" t="str">
        <f>IF(V117="","",SUMIFS(Prod_Prop!$J:$J,Prod_Prop!$B:$B,$Q117,Prod_Prop!$H:$H,V117,Prod_Prop!$I:$I,W$1)*IF(V117="Peso",$R117,1))</f>
        <v/>
      </c>
      <c r="X117" s="4" t="str">
        <f>IF(V117="","",SUMIFS(Prod_Prop!$J:$J,Prod_Prop!$B:$B,$Q117,Prod_Prop!$H:$H,V117,Prod_Prop!$I:$I,X$1)*IF(V117="Peso",$R117,1))</f>
        <v/>
      </c>
      <c r="Y117" s="4" t="str">
        <f>IFERROR(__xludf.DUMMYFUNCTION("IF(OR($U117="""",COUNTIF($I:$I,IFERROR(unique(filter(Prod_Prop!$H:$H,Prod_Prop!$G:$G=$U117,Prod_Prop!$E:$E=Y$1)),""Check""))=0),"""",IFERROR(unique(filter(Prod_Prop!$H:$H,Prod_Prop!$G:$G=$U117,Prod_Prop!$E:$E=Y$1)),""""))"),"")</f>
        <v/>
      </c>
      <c r="Z117" s="4" t="str">
        <f>IF(Y117="","",SUMIFS(Prod_Prop!$J:$J,Prod_Prop!$B:$B,$Q117,Prod_Prop!$H:$H,Y117,Prod_Prop!$I:$I,Z$1)*IF(Y117="Peso",$R117,1))</f>
        <v/>
      </c>
      <c r="AA117" s="4" t="str">
        <f>IF(Y117="","",SUMIFS(Prod_Prop!$J:$J,Prod_Prop!$B:$B,$Q117,Prod_Prop!$H:$H,Y117,Prod_Prop!$I:$I,AA$1)*IF(Y117="Peso",$R117,1))</f>
        <v/>
      </c>
      <c r="AB117" s="4" t="str">
        <f>IFERROR(__xludf.DUMMYFUNCTION("IF(OR($U117="""",COUNTIF($I:$I,IFERROR(unique(filter(Prod_Prop!$H:$H,Prod_Prop!$G:$G=$U117,Prod_Prop!$E:$E=AB$1)),""Check""))=0),"""",IFERROR(unique(filter(Prod_Prop!$H:$H,Prod_Prop!$G:$G=$U117,Prod_Prop!$E:$E=AB$1)),""""))"),"")</f>
        <v/>
      </c>
      <c r="AC117" s="4" t="str">
        <f>IF(AB117="","",SUMIFS(Prod_Prop!$J:$J,Prod_Prop!$B:$B,$Q117,Prod_Prop!$H:$H,AB117,Prod_Prop!$I:$I,AC$1)*IF(AB117="Peso",$R117,1))</f>
        <v/>
      </c>
      <c r="AD117" s="4" t="str">
        <f>IF(AB117="","",SUMIFS(Prod_Prop!$J:$J,Prod_Prop!$B:$B,$Q117,Prod_Prop!$H:$H,AB117,Prod_Prop!$I:$I,AD$1)*IF(AB117="Peso",$R117,1))</f>
        <v/>
      </c>
    </row>
    <row r="118">
      <c r="A118" s="4" t="str">
        <f t="array" ref="A118">IF(COUNTIF(A$1:A117,Cotizador!F$2)=maxifs(Familias!E:E,Familias!D:D,Cotizador!F$2),IF(COUNTIF(A$1:A117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8" s="4" t="str">
        <f t="shared" si="1"/>
        <v/>
      </c>
      <c r="C118" s="4" t="str">
        <f t="array" ref="C118">IF(B118="","",IF(A118=XLOOKUP(A$2,Implementos!B:B,Implementos!C:C,"",0,1),B118+maxifs(B$1:B117,A$1:A117,A$2),B118))</f>
        <v/>
      </c>
      <c r="D118" s="4" t="str">
        <f>IF(B118="","", COUNTIFS(Productos!F:F,A118,Productos!H:H,B118)+IF(F118="SI",0,1))</f>
        <v/>
      </c>
      <c r="E118" s="4" t="str">
        <f>IFERROR(__xludf.DUMMYFUNCTION("IF($B118="""","""",INDEX(filter(Familias!F:F,Familias!$D:$D=$A118,Familias!$E:$E=$B118),1))"),"")</f>
        <v/>
      </c>
      <c r="F118" s="4" t="str">
        <f>IFERROR(__xludf.DUMMYFUNCTION("IF($B118="""","""",INDEX(filter(Familias!G:G,Familias!$D:$D=$A118,Familias!$E:$E=$B118),1))"),"")</f>
        <v/>
      </c>
      <c r="G118" s="4" t="str">
        <f t="array" ref="G118">IF(C118=1,XLOOKUP(C118,Cotizador!D:D,Cotizador!E:E,"",0,1),"")</f>
        <v/>
      </c>
      <c r="I118" s="4"/>
      <c r="J118" s="8" t="str">
        <f>IF(I118="","",SUMIF(Cotizador!I$1:V$1,I118,Cotizador!I$2:V$2))</f>
        <v/>
      </c>
      <c r="L118" s="4" t="str">
        <f t="array" ref="L118">IF(COUNTIF(L$1:L117,A$2)=SUMIF(A:A,A$2,D:D),IF(COUNTIF(L$1:L117,XLOOKUP(A$2,Implementos!B:B,Implementos!C:C,"",0,1))=SUMIF(A:A,XLOOKUP(A$2,Implementos!B:B,Implementos!C:C,"",0,1),D:D),"",XLOOKUP(A$2,Implementos!B:B,Implementos!C:C,"",0,1)),A$2)</f>
        <v/>
      </c>
      <c r="M118" s="4" t="str">
        <f t="shared" si="2"/>
        <v/>
      </c>
      <c r="N118" s="4" t="str">
        <f t="shared" si="3"/>
        <v/>
      </c>
      <c r="O118" s="4" t="str">
        <f t="shared" si="4"/>
        <v/>
      </c>
      <c r="P118" s="4" t="str">
        <f t="shared" si="5"/>
        <v/>
      </c>
      <c r="Q118" s="4" t="str">
        <f>IF(U118="","",SUMIF(Productos!E:E,U118,Productos!A:A))</f>
        <v/>
      </c>
      <c r="R118" s="4" t="str">
        <f t="array" ref="R118">IF(L118="","", max(1,SUMIF(I:I,XLOOKUP(U118,Productos!E:E,Productos!G:G,"",0,1),J:J)))</f>
        <v/>
      </c>
      <c r="S118" s="4" t="str">
        <f>IF(Q118="","",IF(SUMIFS(Compat_Vetado!D:D,Compat_Vetado!B:B,SUM(G:G),Compat_Vetado!C:C,Q118)=1,"SI",IF(OR(SUMIF(Cotizador!E:E,Q118,Cotizador!G:G)&gt;0,SUMIFS(Compat_Vetado!D:D,Compat_Vetado!B:B,SUM(G:G),Compat_Vetado!C:C,Q118)=-1),"NO","")))</f>
        <v/>
      </c>
      <c r="T118" s="4" t="str">
        <f t="shared" si="6"/>
        <v/>
      </c>
      <c r="U118" s="4" t="str">
        <f>IFERROR(__xludf.DUMMYFUNCTION("IF(P118="""","""",IFERROR(INDEX(filter(Productos!E:E,Productos!F:F=L118,Productos!H:H=N118),P118),IF(M118=SUM(D:D),""Finalizar"",""-"")))"),"")</f>
        <v/>
      </c>
      <c r="V118" s="4" t="str">
        <f>IFERROR(__xludf.DUMMYFUNCTION("IF(OR($U118="""",COUNTIF($I:$I,IFERROR(unique(filter(Prod_Prop!$H:$H,Prod_Prop!$G:$G=$U118,Prod_Prop!$E:$E=V$1)),""Check""))=0),"""",IFERROR(unique(filter(Prod_Prop!$H:$H,Prod_Prop!$G:$G=$U118,Prod_Prop!$E:$E=V$1)),""""))"),"")</f>
        <v/>
      </c>
      <c r="W118" s="4" t="str">
        <f>IF(V118="","",SUMIFS(Prod_Prop!$J:$J,Prod_Prop!$B:$B,$Q118,Prod_Prop!$H:$H,V118,Prod_Prop!$I:$I,W$1)*IF(V118="Peso",$R118,1))</f>
        <v/>
      </c>
      <c r="X118" s="4" t="str">
        <f>IF(V118="","",SUMIFS(Prod_Prop!$J:$J,Prod_Prop!$B:$B,$Q118,Prod_Prop!$H:$H,V118,Prod_Prop!$I:$I,X$1)*IF(V118="Peso",$R118,1))</f>
        <v/>
      </c>
      <c r="Y118" s="4" t="str">
        <f>IFERROR(__xludf.DUMMYFUNCTION("IF(OR($U118="""",COUNTIF($I:$I,IFERROR(unique(filter(Prod_Prop!$H:$H,Prod_Prop!$G:$G=$U118,Prod_Prop!$E:$E=Y$1)),""Check""))=0),"""",IFERROR(unique(filter(Prod_Prop!$H:$H,Prod_Prop!$G:$G=$U118,Prod_Prop!$E:$E=Y$1)),""""))"),"")</f>
        <v/>
      </c>
      <c r="Z118" s="4" t="str">
        <f>IF(Y118="","",SUMIFS(Prod_Prop!$J:$J,Prod_Prop!$B:$B,$Q118,Prod_Prop!$H:$H,Y118,Prod_Prop!$I:$I,Z$1)*IF(Y118="Peso",$R118,1))</f>
        <v/>
      </c>
      <c r="AA118" s="4" t="str">
        <f>IF(Y118="","",SUMIFS(Prod_Prop!$J:$J,Prod_Prop!$B:$B,$Q118,Prod_Prop!$H:$H,Y118,Prod_Prop!$I:$I,AA$1)*IF(Y118="Peso",$R118,1))</f>
        <v/>
      </c>
      <c r="AB118" s="4" t="str">
        <f>IFERROR(__xludf.DUMMYFUNCTION("IF(OR($U118="""",COUNTIF($I:$I,IFERROR(unique(filter(Prod_Prop!$H:$H,Prod_Prop!$G:$G=$U118,Prod_Prop!$E:$E=AB$1)),""Check""))=0),"""",IFERROR(unique(filter(Prod_Prop!$H:$H,Prod_Prop!$G:$G=$U118,Prod_Prop!$E:$E=AB$1)),""""))"),"")</f>
        <v/>
      </c>
      <c r="AC118" s="4" t="str">
        <f>IF(AB118="","",SUMIFS(Prod_Prop!$J:$J,Prod_Prop!$B:$B,$Q118,Prod_Prop!$H:$H,AB118,Prod_Prop!$I:$I,AC$1)*IF(AB118="Peso",$R118,1))</f>
        <v/>
      </c>
      <c r="AD118" s="4" t="str">
        <f>IF(AB118="","",SUMIFS(Prod_Prop!$J:$J,Prod_Prop!$B:$B,$Q118,Prod_Prop!$H:$H,AB118,Prod_Prop!$I:$I,AD$1)*IF(AB118="Peso",$R118,1))</f>
        <v/>
      </c>
    </row>
    <row r="119">
      <c r="A119" s="4" t="str">
        <f t="array" ref="A119">IF(COUNTIF(A$1:A118,Cotizador!F$2)=maxifs(Familias!E:E,Familias!D:D,Cotizador!F$2),IF(COUNTIF(A$1:A118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19" s="4" t="str">
        <f t="shared" si="1"/>
        <v/>
      </c>
      <c r="C119" s="4" t="str">
        <f t="array" ref="C119">IF(B119="","",IF(A119=XLOOKUP(A$2,Implementos!B:B,Implementos!C:C,"",0,1),B119+maxifs(B$1:B118,A$1:A118,A$2),B119))</f>
        <v/>
      </c>
      <c r="D119" s="4" t="str">
        <f>IF(B119="","", COUNTIFS(Productos!F:F,A119,Productos!H:H,B119)+IF(F119="SI",0,1))</f>
        <v/>
      </c>
      <c r="E119" s="4" t="str">
        <f>IFERROR(__xludf.DUMMYFUNCTION("IF($B119="""","""",INDEX(filter(Familias!F:F,Familias!$D:$D=$A119,Familias!$E:$E=$B119),1))"),"")</f>
        <v/>
      </c>
      <c r="F119" s="4" t="str">
        <f>IFERROR(__xludf.DUMMYFUNCTION("IF($B119="""","""",INDEX(filter(Familias!G:G,Familias!$D:$D=$A119,Familias!$E:$E=$B119),1))"),"")</f>
        <v/>
      </c>
      <c r="G119" s="4" t="str">
        <f t="array" ref="G119">IF(C119=1,XLOOKUP(C119,Cotizador!D:D,Cotizador!E:E,"",0,1),"")</f>
        <v/>
      </c>
      <c r="I119" s="4"/>
      <c r="J119" s="8" t="str">
        <f>IF(I119="","",SUMIF(Cotizador!I$1:V$1,I119,Cotizador!I$2:V$2))</f>
        <v/>
      </c>
      <c r="L119" s="4" t="str">
        <f t="array" ref="L119">IF(COUNTIF(L$1:L118,A$2)=SUMIF(A:A,A$2,D:D),IF(COUNTIF(L$1:L118,XLOOKUP(A$2,Implementos!B:B,Implementos!C:C,"",0,1))=SUMIF(A:A,XLOOKUP(A$2,Implementos!B:B,Implementos!C:C,"",0,1),D:D),"",XLOOKUP(A$2,Implementos!B:B,Implementos!C:C,"",0,1)),A$2)</f>
        <v/>
      </c>
      <c r="M119" s="4" t="str">
        <f t="shared" si="2"/>
        <v/>
      </c>
      <c r="N119" s="4" t="str">
        <f t="shared" si="3"/>
        <v/>
      </c>
      <c r="O119" s="4" t="str">
        <f t="shared" si="4"/>
        <v/>
      </c>
      <c r="P119" s="4" t="str">
        <f t="shared" si="5"/>
        <v/>
      </c>
      <c r="Q119" s="4" t="str">
        <f>IF(U119="","",SUMIF(Productos!E:E,U119,Productos!A:A))</f>
        <v/>
      </c>
      <c r="R119" s="4" t="str">
        <f t="array" ref="R119">IF(L119="","", max(1,SUMIF(I:I,XLOOKUP(U119,Productos!E:E,Productos!G:G,"",0,1),J:J)))</f>
        <v/>
      </c>
      <c r="S119" s="4" t="str">
        <f>IF(Q119="","",IF(SUMIFS(Compat_Vetado!D:D,Compat_Vetado!B:B,SUM(G:G),Compat_Vetado!C:C,Q119)=1,"SI",IF(OR(SUMIF(Cotizador!E:E,Q119,Cotizador!G:G)&gt;0,SUMIFS(Compat_Vetado!D:D,Compat_Vetado!B:B,SUM(G:G),Compat_Vetado!C:C,Q119)=-1),"NO","")))</f>
        <v/>
      </c>
      <c r="T119" s="4" t="str">
        <f t="shared" si="6"/>
        <v/>
      </c>
      <c r="U119" s="4" t="str">
        <f>IFERROR(__xludf.DUMMYFUNCTION("IF(P119="""","""",IFERROR(INDEX(filter(Productos!E:E,Productos!F:F=L119,Productos!H:H=N119),P119),IF(M119=SUM(D:D),""Finalizar"",""-"")))"),"")</f>
        <v/>
      </c>
      <c r="V119" s="4" t="str">
        <f>IFERROR(__xludf.DUMMYFUNCTION("IF(OR($U119="""",COUNTIF($I:$I,IFERROR(unique(filter(Prod_Prop!$H:$H,Prod_Prop!$G:$G=$U119,Prod_Prop!$E:$E=V$1)),""Check""))=0),"""",IFERROR(unique(filter(Prod_Prop!$H:$H,Prod_Prop!$G:$G=$U119,Prod_Prop!$E:$E=V$1)),""""))"),"")</f>
        <v/>
      </c>
      <c r="W119" s="4" t="str">
        <f>IF(V119="","",SUMIFS(Prod_Prop!$J:$J,Prod_Prop!$B:$B,$Q119,Prod_Prop!$H:$H,V119,Prod_Prop!$I:$I,W$1)*IF(V119="Peso",$R119,1))</f>
        <v/>
      </c>
      <c r="X119" s="4" t="str">
        <f>IF(V119="","",SUMIFS(Prod_Prop!$J:$J,Prod_Prop!$B:$B,$Q119,Prod_Prop!$H:$H,V119,Prod_Prop!$I:$I,X$1)*IF(V119="Peso",$R119,1))</f>
        <v/>
      </c>
      <c r="Y119" s="4" t="str">
        <f>IFERROR(__xludf.DUMMYFUNCTION("IF(OR($U119="""",COUNTIF($I:$I,IFERROR(unique(filter(Prod_Prop!$H:$H,Prod_Prop!$G:$G=$U119,Prod_Prop!$E:$E=Y$1)),""Check""))=0),"""",IFERROR(unique(filter(Prod_Prop!$H:$H,Prod_Prop!$G:$G=$U119,Prod_Prop!$E:$E=Y$1)),""""))"),"")</f>
        <v/>
      </c>
      <c r="Z119" s="4" t="str">
        <f>IF(Y119="","",SUMIFS(Prod_Prop!$J:$J,Prod_Prop!$B:$B,$Q119,Prod_Prop!$H:$H,Y119,Prod_Prop!$I:$I,Z$1)*IF(Y119="Peso",$R119,1))</f>
        <v/>
      </c>
      <c r="AA119" s="4" t="str">
        <f>IF(Y119="","",SUMIFS(Prod_Prop!$J:$J,Prod_Prop!$B:$B,$Q119,Prod_Prop!$H:$H,Y119,Prod_Prop!$I:$I,AA$1)*IF(Y119="Peso",$R119,1))</f>
        <v/>
      </c>
      <c r="AB119" s="4" t="str">
        <f>IFERROR(__xludf.DUMMYFUNCTION("IF(OR($U119="""",COUNTIF($I:$I,IFERROR(unique(filter(Prod_Prop!$H:$H,Prod_Prop!$G:$G=$U119,Prod_Prop!$E:$E=AB$1)),""Check""))=0),"""",IFERROR(unique(filter(Prod_Prop!$H:$H,Prod_Prop!$G:$G=$U119,Prod_Prop!$E:$E=AB$1)),""""))"),"")</f>
        <v/>
      </c>
      <c r="AC119" s="4" t="str">
        <f>IF(AB119="","",SUMIFS(Prod_Prop!$J:$J,Prod_Prop!$B:$B,$Q119,Prod_Prop!$H:$H,AB119,Prod_Prop!$I:$I,AC$1)*IF(AB119="Peso",$R119,1))</f>
        <v/>
      </c>
      <c r="AD119" s="4" t="str">
        <f>IF(AB119="","",SUMIFS(Prod_Prop!$J:$J,Prod_Prop!$B:$B,$Q119,Prod_Prop!$H:$H,AB119,Prod_Prop!$I:$I,AD$1)*IF(AB119="Peso",$R119,1))</f>
        <v/>
      </c>
    </row>
    <row r="120">
      <c r="A120" s="4" t="str">
        <f t="array" ref="A120">IF(COUNTIF(A$1:A119,Cotizador!F$2)=maxifs(Familias!E:E,Familias!D:D,Cotizador!F$2),IF(COUNTIF(A$1:A119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0" s="4" t="str">
        <f t="shared" si="1"/>
        <v/>
      </c>
      <c r="C120" s="4" t="str">
        <f t="array" ref="C120">IF(B120="","",IF(A120=XLOOKUP(A$2,Implementos!B:B,Implementos!C:C,"",0,1),B120+maxifs(B$1:B119,A$1:A119,A$2),B120))</f>
        <v/>
      </c>
      <c r="D120" s="4" t="str">
        <f>IF(B120="","", COUNTIFS(Productos!F:F,A120,Productos!H:H,B120)+IF(F120="SI",0,1))</f>
        <v/>
      </c>
      <c r="E120" s="4" t="str">
        <f>IFERROR(__xludf.DUMMYFUNCTION("IF($B120="""","""",INDEX(filter(Familias!F:F,Familias!$D:$D=$A120,Familias!$E:$E=$B120),1))"),"")</f>
        <v/>
      </c>
      <c r="F120" s="4" t="str">
        <f>IFERROR(__xludf.DUMMYFUNCTION("IF($B120="""","""",INDEX(filter(Familias!G:G,Familias!$D:$D=$A120,Familias!$E:$E=$B120),1))"),"")</f>
        <v/>
      </c>
      <c r="G120" s="4" t="str">
        <f t="array" ref="G120">IF(C120=1,XLOOKUP(C120,Cotizador!D:D,Cotizador!E:E,"",0,1),"")</f>
        <v/>
      </c>
      <c r="I120" s="4"/>
      <c r="J120" s="8" t="str">
        <f>IF(I120="","",SUMIF(Cotizador!I$1:V$1,I120,Cotizador!I$2:V$2))</f>
        <v/>
      </c>
      <c r="L120" s="4" t="str">
        <f t="array" ref="L120">IF(COUNTIF(L$1:L119,A$2)=SUMIF(A:A,A$2,D:D),IF(COUNTIF(L$1:L119,XLOOKUP(A$2,Implementos!B:B,Implementos!C:C,"",0,1))=SUMIF(A:A,XLOOKUP(A$2,Implementos!B:B,Implementos!C:C,"",0,1),D:D),"",XLOOKUP(A$2,Implementos!B:B,Implementos!C:C,"",0,1)),A$2)</f>
        <v/>
      </c>
      <c r="M120" s="4" t="str">
        <f t="shared" si="2"/>
        <v/>
      </c>
      <c r="N120" s="4" t="str">
        <f t="shared" si="3"/>
        <v/>
      </c>
      <c r="O120" s="4" t="str">
        <f t="shared" si="4"/>
        <v/>
      </c>
      <c r="P120" s="4" t="str">
        <f t="shared" si="5"/>
        <v/>
      </c>
      <c r="Q120" s="4" t="str">
        <f>IF(U120="","",SUMIF(Productos!E:E,U120,Productos!A:A))</f>
        <v/>
      </c>
      <c r="R120" s="4" t="str">
        <f t="array" ref="R120">IF(L120="","", max(1,SUMIF(I:I,XLOOKUP(U120,Productos!E:E,Productos!G:G,"",0,1),J:J)))</f>
        <v/>
      </c>
      <c r="S120" s="4" t="str">
        <f>IF(Q120="","",IF(SUMIFS(Compat_Vetado!D:D,Compat_Vetado!B:B,SUM(G:G),Compat_Vetado!C:C,Q120)=1,"SI",IF(OR(SUMIF(Cotizador!E:E,Q120,Cotizador!G:G)&gt;0,SUMIFS(Compat_Vetado!D:D,Compat_Vetado!B:B,SUM(G:G),Compat_Vetado!C:C,Q120)=-1),"NO","")))</f>
        <v/>
      </c>
      <c r="T120" s="4" t="str">
        <f t="shared" si="6"/>
        <v/>
      </c>
      <c r="U120" s="4" t="str">
        <f>IFERROR(__xludf.DUMMYFUNCTION("IF(P120="""","""",IFERROR(INDEX(filter(Productos!E:E,Productos!F:F=L120,Productos!H:H=N120),P120),IF(M120=SUM(D:D),""Finalizar"",""-"")))"),"")</f>
        <v/>
      </c>
      <c r="V120" s="4" t="str">
        <f>IFERROR(__xludf.DUMMYFUNCTION("IF(OR($U120="""",COUNTIF($I:$I,IFERROR(unique(filter(Prod_Prop!$H:$H,Prod_Prop!$G:$G=$U120,Prod_Prop!$E:$E=V$1)),""Check""))=0),"""",IFERROR(unique(filter(Prod_Prop!$H:$H,Prod_Prop!$G:$G=$U120,Prod_Prop!$E:$E=V$1)),""""))"),"")</f>
        <v/>
      </c>
      <c r="W120" s="4" t="str">
        <f>IF(V120="","",SUMIFS(Prod_Prop!$J:$J,Prod_Prop!$B:$B,$Q120,Prod_Prop!$H:$H,V120,Prod_Prop!$I:$I,W$1)*IF(V120="Peso",$R120,1))</f>
        <v/>
      </c>
      <c r="X120" s="4" t="str">
        <f>IF(V120="","",SUMIFS(Prod_Prop!$J:$J,Prod_Prop!$B:$B,$Q120,Prod_Prop!$H:$H,V120,Prod_Prop!$I:$I,X$1)*IF(V120="Peso",$R120,1))</f>
        <v/>
      </c>
      <c r="Y120" s="4" t="str">
        <f>IFERROR(__xludf.DUMMYFUNCTION("IF(OR($U120="""",COUNTIF($I:$I,IFERROR(unique(filter(Prod_Prop!$H:$H,Prod_Prop!$G:$G=$U120,Prod_Prop!$E:$E=Y$1)),""Check""))=0),"""",IFERROR(unique(filter(Prod_Prop!$H:$H,Prod_Prop!$G:$G=$U120,Prod_Prop!$E:$E=Y$1)),""""))"),"")</f>
        <v/>
      </c>
      <c r="Z120" s="4" t="str">
        <f>IF(Y120="","",SUMIFS(Prod_Prop!$J:$J,Prod_Prop!$B:$B,$Q120,Prod_Prop!$H:$H,Y120,Prod_Prop!$I:$I,Z$1)*IF(Y120="Peso",$R120,1))</f>
        <v/>
      </c>
      <c r="AA120" s="4" t="str">
        <f>IF(Y120="","",SUMIFS(Prod_Prop!$J:$J,Prod_Prop!$B:$B,$Q120,Prod_Prop!$H:$H,Y120,Prod_Prop!$I:$I,AA$1)*IF(Y120="Peso",$R120,1))</f>
        <v/>
      </c>
      <c r="AB120" s="4" t="str">
        <f>IFERROR(__xludf.DUMMYFUNCTION("IF(OR($U120="""",COUNTIF($I:$I,IFERROR(unique(filter(Prod_Prop!$H:$H,Prod_Prop!$G:$G=$U120,Prod_Prop!$E:$E=AB$1)),""Check""))=0),"""",IFERROR(unique(filter(Prod_Prop!$H:$H,Prod_Prop!$G:$G=$U120,Prod_Prop!$E:$E=AB$1)),""""))"),"")</f>
        <v/>
      </c>
      <c r="AC120" s="4" t="str">
        <f>IF(AB120="","",SUMIFS(Prod_Prop!$J:$J,Prod_Prop!$B:$B,$Q120,Prod_Prop!$H:$H,AB120,Prod_Prop!$I:$I,AC$1)*IF(AB120="Peso",$R120,1))</f>
        <v/>
      </c>
      <c r="AD120" s="4" t="str">
        <f>IF(AB120="","",SUMIFS(Prod_Prop!$J:$J,Prod_Prop!$B:$B,$Q120,Prod_Prop!$H:$H,AB120,Prod_Prop!$I:$I,AD$1)*IF(AB120="Peso",$R120,1))</f>
        <v/>
      </c>
    </row>
    <row r="121">
      <c r="A121" s="4" t="str">
        <f t="array" ref="A121">IF(COUNTIF(A$1:A120,Cotizador!F$2)=maxifs(Familias!E:E,Familias!D:D,Cotizador!F$2),IF(COUNTIF(A$1:A120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1" s="4" t="str">
        <f t="shared" si="1"/>
        <v/>
      </c>
      <c r="C121" s="4" t="str">
        <f t="array" ref="C121">IF(B121="","",IF(A121=XLOOKUP(A$2,Implementos!B:B,Implementos!C:C,"",0,1),B121+maxifs(B$1:B120,A$1:A120,A$2),B121))</f>
        <v/>
      </c>
      <c r="D121" s="4" t="str">
        <f>IF(B121="","", COUNTIFS(Productos!F:F,A121,Productos!H:H,B121)+IF(F121="SI",0,1))</f>
        <v/>
      </c>
      <c r="E121" s="4" t="str">
        <f>IFERROR(__xludf.DUMMYFUNCTION("IF($B121="""","""",INDEX(filter(Familias!F:F,Familias!$D:$D=$A121,Familias!$E:$E=$B121),1))"),"")</f>
        <v/>
      </c>
      <c r="F121" s="4" t="str">
        <f>IFERROR(__xludf.DUMMYFUNCTION("IF($B121="""","""",INDEX(filter(Familias!G:G,Familias!$D:$D=$A121,Familias!$E:$E=$B121),1))"),"")</f>
        <v/>
      </c>
      <c r="G121" s="4" t="str">
        <f t="array" ref="G121">IF(C121=1,XLOOKUP(C121,Cotizador!D:D,Cotizador!E:E,"",0,1),"")</f>
        <v/>
      </c>
      <c r="I121" s="4"/>
      <c r="J121" s="8" t="str">
        <f>IF(I121="","",SUMIF(Cotizador!I$1:V$1,I121,Cotizador!I$2:V$2))</f>
        <v/>
      </c>
      <c r="L121" s="4" t="str">
        <f t="array" ref="L121">IF(COUNTIF(L$1:L120,A$2)=SUMIF(A:A,A$2,D:D),IF(COUNTIF(L$1:L120,XLOOKUP(A$2,Implementos!B:B,Implementos!C:C,"",0,1))=SUMIF(A:A,XLOOKUP(A$2,Implementos!B:B,Implementos!C:C,"",0,1),D:D),"",XLOOKUP(A$2,Implementos!B:B,Implementos!C:C,"",0,1)),A$2)</f>
        <v/>
      </c>
      <c r="M121" s="4" t="str">
        <f t="shared" si="2"/>
        <v/>
      </c>
      <c r="N121" s="4" t="str">
        <f t="shared" si="3"/>
        <v/>
      </c>
      <c r="O121" s="4" t="str">
        <f t="shared" si="4"/>
        <v/>
      </c>
      <c r="P121" s="4" t="str">
        <f t="shared" si="5"/>
        <v/>
      </c>
      <c r="Q121" s="4" t="str">
        <f>IF(U121="","",SUMIF(Productos!E:E,U121,Productos!A:A))</f>
        <v/>
      </c>
      <c r="R121" s="4" t="str">
        <f t="array" ref="R121">IF(L121="","", max(1,SUMIF(I:I,XLOOKUP(U121,Productos!E:E,Productos!G:G,"",0,1),J:J)))</f>
        <v/>
      </c>
      <c r="S121" s="4" t="str">
        <f>IF(Q121="","",IF(SUMIFS(Compat_Vetado!D:D,Compat_Vetado!B:B,SUM(G:G),Compat_Vetado!C:C,Q121)=1,"SI",IF(OR(SUMIF(Cotizador!E:E,Q121,Cotizador!G:G)&gt;0,SUMIFS(Compat_Vetado!D:D,Compat_Vetado!B:B,SUM(G:G),Compat_Vetado!C:C,Q121)=-1),"NO","")))</f>
        <v/>
      </c>
      <c r="T121" s="4" t="str">
        <f t="shared" si="6"/>
        <v/>
      </c>
      <c r="U121" s="4" t="str">
        <f>IFERROR(__xludf.DUMMYFUNCTION("IF(P121="""","""",IFERROR(INDEX(filter(Productos!E:E,Productos!F:F=L121,Productos!H:H=N121),P121),IF(M121=SUM(D:D),""Finalizar"",""-"")))"),"")</f>
        <v/>
      </c>
      <c r="V121" s="4" t="str">
        <f>IFERROR(__xludf.DUMMYFUNCTION("IF(OR($U121="""",COUNTIF($I:$I,IFERROR(unique(filter(Prod_Prop!$H:$H,Prod_Prop!$G:$G=$U121,Prod_Prop!$E:$E=V$1)),""Check""))=0),"""",IFERROR(unique(filter(Prod_Prop!$H:$H,Prod_Prop!$G:$G=$U121,Prod_Prop!$E:$E=V$1)),""""))"),"")</f>
        <v/>
      </c>
      <c r="W121" s="4" t="str">
        <f>IF(V121="","",SUMIFS(Prod_Prop!$J:$J,Prod_Prop!$B:$B,$Q121,Prod_Prop!$H:$H,V121,Prod_Prop!$I:$I,W$1)*IF(V121="Peso",$R121,1))</f>
        <v/>
      </c>
      <c r="X121" s="4" t="str">
        <f>IF(V121="","",SUMIFS(Prod_Prop!$J:$J,Prod_Prop!$B:$B,$Q121,Prod_Prop!$H:$H,V121,Prod_Prop!$I:$I,X$1)*IF(V121="Peso",$R121,1))</f>
        <v/>
      </c>
      <c r="Y121" s="4" t="str">
        <f>IFERROR(__xludf.DUMMYFUNCTION("IF(OR($U121="""",COUNTIF($I:$I,IFERROR(unique(filter(Prod_Prop!$H:$H,Prod_Prop!$G:$G=$U121,Prod_Prop!$E:$E=Y$1)),""Check""))=0),"""",IFERROR(unique(filter(Prod_Prop!$H:$H,Prod_Prop!$G:$G=$U121,Prod_Prop!$E:$E=Y$1)),""""))"),"")</f>
        <v/>
      </c>
      <c r="Z121" s="4" t="str">
        <f>IF(Y121="","",SUMIFS(Prod_Prop!$J:$J,Prod_Prop!$B:$B,$Q121,Prod_Prop!$H:$H,Y121,Prod_Prop!$I:$I,Z$1)*IF(Y121="Peso",$R121,1))</f>
        <v/>
      </c>
      <c r="AA121" s="4" t="str">
        <f>IF(Y121="","",SUMIFS(Prod_Prop!$J:$J,Prod_Prop!$B:$B,$Q121,Prod_Prop!$H:$H,Y121,Prod_Prop!$I:$I,AA$1)*IF(Y121="Peso",$R121,1))</f>
        <v/>
      </c>
      <c r="AB121" s="4" t="str">
        <f>IFERROR(__xludf.DUMMYFUNCTION("IF(OR($U121="""",COUNTIF($I:$I,IFERROR(unique(filter(Prod_Prop!$H:$H,Prod_Prop!$G:$G=$U121,Prod_Prop!$E:$E=AB$1)),""Check""))=0),"""",IFERROR(unique(filter(Prod_Prop!$H:$H,Prod_Prop!$G:$G=$U121,Prod_Prop!$E:$E=AB$1)),""""))"),"")</f>
        <v/>
      </c>
      <c r="AC121" s="4" t="str">
        <f>IF(AB121="","",SUMIFS(Prod_Prop!$J:$J,Prod_Prop!$B:$B,$Q121,Prod_Prop!$H:$H,AB121,Prod_Prop!$I:$I,AC$1)*IF(AB121="Peso",$R121,1))</f>
        <v/>
      </c>
      <c r="AD121" s="4" t="str">
        <f>IF(AB121="","",SUMIFS(Prod_Prop!$J:$J,Prod_Prop!$B:$B,$Q121,Prod_Prop!$H:$H,AB121,Prod_Prop!$I:$I,AD$1)*IF(AB121="Peso",$R121,1))</f>
        <v/>
      </c>
    </row>
    <row r="122">
      <c r="A122" s="4" t="str">
        <f t="array" ref="A122">IF(COUNTIF(A$1:A121,Cotizador!F$2)=maxifs(Familias!E:E,Familias!D:D,Cotizador!F$2),IF(COUNTIF(A$1:A121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2" s="4" t="str">
        <f t="shared" si="1"/>
        <v/>
      </c>
      <c r="C122" s="4" t="str">
        <f t="array" ref="C122">IF(B122="","",IF(A122=XLOOKUP(A$2,Implementos!B:B,Implementos!C:C,"",0,1),B122+maxifs(B$1:B121,A$1:A121,A$2),B122))</f>
        <v/>
      </c>
      <c r="D122" s="4" t="str">
        <f>IF(B122="","", COUNTIFS(Productos!F:F,A122,Productos!H:H,B122)+IF(F122="SI",0,1))</f>
        <v/>
      </c>
      <c r="E122" s="4" t="str">
        <f>IFERROR(__xludf.DUMMYFUNCTION("IF($B122="""","""",INDEX(filter(Familias!F:F,Familias!$D:$D=$A122,Familias!$E:$E=$B122),1))"),"")</f>
        <v/>
      </c>
      <c r="F122" s="4" t="str">
        <f>IFERROR(__xludf.DUMMYFUNCTION("IF($B122="""","""",INDEX(filter(Familias!G:G,Familias!$D:$D=$A122,Familias!$E:$E=$B122),1))"),"")</f>
        <v/>
      </c>
      <c r="G122" s="4" t="str">
        <f t="array" ref="G122">IF(C122=1,XLOOKUP(C122,Cotizador!D:D,Cotizador!E:E,"",0,1),"")</f>
        <v/>
      </c>
      <c r="I122" s="4"/>
      <c r="J122" s="8" t="str">
        <f>IF(I122="","",SUMIF(Cotizador!I$1:V$1,I122,Cotizador!I$2:V$2))</f>
        <v/>
      </c>
      <c r="L122" s="4" t="str">
        <f t="array" ref="L122">IF(COUNTIF(L$1:L121,A$2)=SUMIF(A:A,A$2,D:D),IF(COUNTIF(L$1:L121,XLOOKUP(A$2,Implementos!B:B,Implementos!C:C,"",0,1))=SUMIF(A:A,XLOOKUP(A$2,Implementos!B:B,Implementos!C:C,"",0,1),D:D),"",XLOOKUP(A$2,Implementos!B:B,Implementos!C:C,"",0,1)),A$2)</f>
        <v/>
      </c>
      <c r="M122" s="4" t="str">
        <f t="shared" si="2"/>
        <v/>
      </c>
      <c r="N122" s="4" t="str">
        <f t="shared" si="3"/>
        <v/>
      </c>
      <c r="O122" s="4" t="str">
        <f t="shared" si="4"/>
        <v/>
      </c>
      <c r="P122" s="4" t="str">
        <f t="shared" si="5"/>
        <v/>
      </c>
      <c r="Q122" s="4" t="str">
        <f>IF(U122="","",SUMIF(Productos!E:E,U122,Productos!A:A))</f>
        <v/>
      </c>
      <c r="R122" s="4" t="str">
        <f t="array" ref="R122">IF(L122="","", max(1,SUMIF(I:I,XLOOKUP(U122,Productos!E:E,Productos!G:G,"",0,1),J:J)))</f>
        <v/>
      </c>
      <c r="S122" s="4" t="str">
        <f>IF(Q122="","",IF(SUMIFS(Compat_Vetado!D:D,Compat_Vetado!B:B,SUM(G:G),Compat_Vetado!C:C,Q122)=1,"SI",IF(OR(SUMIF(Cotizador!E:E,Q122,Cotizador!G:G)&gt;0,SUMIFS(Compat_Vetado!D:D,Compat_Vetado!B:B,SUM(G:G),Compat_Vetado!C:C,Q122)=-1),"NO","")))</f>
        <v/>
      </c>
      <c r="T122" s="4" t="str">
        <f t="shared" si="6"/>
        <v/>
      </c>
      <c r="U122" s="4" t="str">
        <f>IFERROR(__xludf.DUMMYFUNCTION("IF(P122="""","""",IFERROR(INDEX(filter(Productos!E:E,Productos!F:F=L122,Productos!H:H=N122),P122),IF(M122=SUM(D:D),""Finalizar"",""-"")))"),"")</f>
        <v/>
      </c>
      <c r="V122" s="4" t="str">
        <f>IFERROR(__xludf.DUMMYFUNCTION("IF(OR($U122="""",COUNTIF($I:$I,IFERROR(unique(filter(Prod_Prop!$H:$H,Prod_Prop!$G:$G=$U122,Prod_Prop!$E:$E=V$1)),""Check""))=0),"""",IFERROR(unique(filter(Prod_Prop!$H:$H,Prod_Prop!$G:$G=$U122,Prod_Prop!$E:$E=V$1)),""""))"),"")</f>
        <v/>
      </c>
      <c r="W122" s="4" t="str">
        <f>IF(V122="","",SUMIFS(Prod_Prop!$J:$J,Prod_Prop!$B:$B,$Q122,Prod_Prop!$H:$H,V122,Prod_Prop!$I:$I,W$1)*IF(V122="Peso",$R122,1))</f>
        <v/>
      </c>
      <c r="X122" s="4" t="str">
        <f>IF(V122="","",SUMIFS(Prod_Prop!$J:$J,Prod_Prop!$B:$B,$Q122,Prod_Prop!$H:$H,V122,Prod_Prop!$I:$I,X$1)*IF(V122="Peso",$R122,1))</f>
        <v/>
      </c>
      <c r="Y122" s="4" t="str">
        <f>IFERROR(__xludf.DUMMYFUNCTION("IF(OR($U122="""",COUNTIF($I:$I,IFERROR(unique(filter(Prod_Prop!$H:$H,Prod_Prop!$G:$G=$U122,Prod_Prop!$E:$E=Y$1)),""Check""))=0),"""",IFERROR(unique(filter(Prod_Prop!$H:$H,Prod_Prop!$G:$G=$U122,Prod_Prop!$E:$E=Y$1)),""""))"),"")</f>
        <v/>
      </c>
      <c r="Z122" s="4" t="str">
        <f>IF(Y122="","",SUMIFS(Prod_Prop!$J:$J,Prod_Prop!$B:$B,$Q122,Prod_Prop!$H:$H,Y122,Prod_Prop!$I:$I,Z$1)*IF(Y122="Peso",$R122,1))</f>
        <v/>
      </c>
      <c r="AA122" s="4" t="str">
        <f>IF(Y122="","",SUMIFS(Prod_Prop!$J:$J,Prod_Prop!$B:$B,$Q122,Prod_Prop!$H:$H,Y122,Prod_Prop!$I:$I,AA$1)*IF(Y122="Peso",$R122,1))</f>
        <v/>
      </c>
      <c r="AB122" s="4" t="str">
        <f>IFERROR(__xludf.DUMMYFUNCTION("IF(OR($U122="""",COUNTIF($I:$I,IFERROR(unique(filter(Prod_Prop!$H:$H,Prod_Prop!$G:$G=$U122,Prod_Prop!$E:$E=AB$1)),""Check""))=0),"""",IFERROR(unique(filter(Prod_Prop!$H:$H,Prod_Prop!$G:$G=$U122,Prod_Prop!$E:$E=AB$1)),""""))"),"")</f>
        <v/>
      </c>
      <c r="AC122" s="4" t="str">
        <f>IF(AB122="","",SUMIFS(Prod_Prop!$J:$J,Prod_Prop!$B:$B,$Q122,Prod_Prop!$H:$H,AB122,Prod_Prop!$I:$I,AC$1)*IF(AB122="Peso",$R122,1))</f>
        <v/>
      </c>
      <c r="AD122" s="4" t="str">
        <f>IF(AB122="","",SUMIFS(Prod_Prop!$J:$J,Prod_Prop!$B:$B,$Q122,Prod_Prop!$H:$H,AB122,Prod_Prop!$I:$I,AD$1)*IF(AB122="Peso",$R122,1))</f>
        <v/>
      </c>
    </row>
    <row r="123">
      <c r="A123" s="4" t="str">
        <f t="array" ref="A123">IF(COUNTIF(A$1:A122,Cotizador!F$2)=maxifs(Familias!E:E,Familias!D:D,Cotizador!F$2),IF(COUNTIF(A$1:A122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3" s="4" t="str">
        <f t="shared" si="1"/>
        <v/>
      </c>
      <c r="C123" s="4" t="str">
        <f t="array" ref="C123">IF(B123="","",IF(A123=XLOOKUP(A$2,Implementos!B:B,Implementos!C:C,"",0,1),B123+maxifs(B$1:B122,A$1:A122,A$2),B123))</f>
        <v/>
      </c>
      <c r="D123" s="4" t="str">
        <f>IF(B123="","", COUNTIFS(Productos!F:F,A123,Productos!H:H,B123)+IF(F123="SI",0,1))</f>
        <v/>
      </c>
      <c r="E123" s="4" t="str">
        <f>IFERROR(__xludf.DUMMYFUNCTION("IF($B123="""","""",INDEX(filter(Familias!F:F,Familias!$D:$D=$A123,Familias!$E:$E=$B123),1))"),"")</f>
        <v/>
      </c>
      <c r="F123" s="4" t="str">
        <f>IFERROR(__xludf.DUMMYFUNCTION("IF($B123="""","""",INDEX(filter(Familias!G:G,Familias!$D:$D=$A123,Familias!$E:$E=$B123),1))"),"")</f>
        <v/>
      </c>
      <c r="G123" s="4" t="str">
        <f t="array" ref="G123">IF(C123=1,XLOOKUP(C123,Cotizador!D:D,Cotizador!E:E,"",0,1),"")</f>
        <v/>
      </c>
      <c r="I123" s="4"/>
      <c r="J123" s="8" t="str">
        <f>IF(I123="","",SUMIF(Cotizador!I$1:V$1,I123,Cotizador!I$2:V$2))</f>
        <v/>
      </c>
      <c r="L123" s="4" t="str">
        <f t="array" ref="L123">IF(COUNTIF(L$1:L122,A$2)=SUMIF(A:A,A$2,D:D),IF(COUNTIF(L$1:L122,XLOOKUP(A$2,Implementos!B:B,Implementos!C:C,"",0,1))=SUMIF(A:A,XLOOKUP(A$2,Implementos!B:B,Implementos!C:C,"",0,1),D:D),"",XLOOKUP(A$2,Implementos!B:B,Implementos!C:C,"",0,1)),A$2)</f>
        <v/>
      </c>
      <c r="M123" s="4" t="str">
        <f t="shared" si="2"/>
        <v/>
      </c>
      <c r="N123" s="4" t="str">
        <f t="shared" si="3"/>
        <v/>
      </c>
      <c r="O123" s="4" t="str">
        <f t="shared" si="4"/>
        <v/>
      </c>
      <c r="P123" s="4" t="str">
        <f t="shared" si="5"/>
        <v/>
      </c>
      <c r="Q123" s="4" t="str">
        <f>IF(U123="","",SUMIF(Productos!E:E,U123,Productos!A:A))</f>
        <v/>
      </c>
      <c r="R123" s="4" t="str">
        <f t="array" ref="R123">IF(L123="","", max(1,SUMIF(I:I,XLOOKUP(U123,Productos!E:E,Productos!G:G,"",0,1),J:J)))</f>
        <v/>
      </c>
      <c r="S123" s="4" t="str">
        <f>IF(Q123="","",IF(SUMIFS(Compat_Vetado!D:D,Compat_Vetado!B:B,SUM(G:G),Compat_Vetado!C:C,Q123)=1,"SI",IF(OR(SUMIF(Cotizador!E:E,Q123,Cotizador!G:G)&gt;0,SUMIFS(Compat_Vetado!D:D,Compat_Vetado!B:B,SUM(G:G),Compat_Vetado!C:C,Q123)=-1),"NO","")))</f>
        <v/>
      </c>
      <c r="T123" s="4" t="str">
        <f t="shared" si="6"/>
        <v/>
      </c>
      <c r="U123" s="4" t="str">
        <f>IFERROR(__xludf.DUMMYFUNCTION("IF(P123="""","""",IFERROR(INDEX(filter(Productos!E:E,Productos!F:F=L123,Productos!H:H=N123),P123),IF(M123=SUM(D:D),""Finalizar"",""-"")))"),"")</f>
        <v/>
      </c>
      <c r="V123" s="4" t="str">
        <f>IFERROR(__xludf.DUMMYFUNCTION("IF(OR($U123="""",COUNTIF($I:$I,IFERROR(unique(filter(Prod_Prop!$H:$H,Prod_Prop!$G:$G=$U123,Prod_Prop!$E:$E=V$1)),""Check""))=0),"""",IFERROR(unique(filter(Prod_Prop!$H:$H,Prod_Prop!$G:$G=$U123,Prod_Prop!$E:$E=V$1)),""""))"),"")</f>
        <v/>
      </c>
      <c r="W123" s="4" t="str">
        <f>IF(V123="","",SUMIFS(Prod_Prop!$J:$J,Prod_Prop!$B:$B,$Q123,Prod_Prop!$H:$H,V123,Prod_Prop!$I:$I,W$1)*IF(V123="Peso",$R123,1))</f>
        <v/>
      </c>
      <c r="X123" s="4" t="str">
        <f>IF(V123="","",SUMIFS(Prod_Prop!$J:$J,Prod_Prop!$B:$B,$Q123,Prod_Prop!$H:$H,V123,Prod_Prop!$I:$I,X$1)*IF(V123="Peso",$R123,1))</f>
        <v/>
      </c>
      <c r="Y123" s="4" t="str">
        <f>IFERROR(__xludf.DUMMYFUNCTION("IF(OR($U123="""",COUNTIF($I:$I,IFERROR(unique(filter(Prod_Prop!$H:$H,Prod_Prop!$G:$G=$U123,Prod_Prop!$E:$E=Y$1)),""Check""))=0),"""",IFERROR(unique(filter(Prod_Prop!$H:$H,Prod_Prop!$G:$G=$U123,Prod_Prop!$E:$E=Y$1)),""""))"),"")</f>
        <v/>
      </c>
      <c r="Z123" s="4" t="str">
        <f>IF(Y123="","",SUMIFS(Prod_Prop!$J:$J,Prod_Prop!$B:$B,$Q123,Prod_Prop!$H:$H,Y123,Prod_Prop!$I:$I,Z$1)*IF(Y123="Peso",$R123,1))</f>
        <v/>
      </c>
      <c r="AA123" s="4" t="str">
        <f>IF(Y123="","",SUMIFS(Prod_Prop!$J:$J,Prod_Prop!$B:$B,$Q123,Prod_Prop!$H:$H,Y123,Prod_Prop!$I:$I,AA$1)*IF(Y123="Peso",$R123,1))</f>
        <v/>
      </c>
      <c r="AB123" s="4" t="str">
        <f>IFERROR(__xludf.DUMMYFUNCTION("IF(OR($U123="""",COUNTIF($I:$I,IFERROR(unique(filter(Prod_Prop!$H:$H,Prod_Prop!$G:$G=$U123,Prod_Prop!$E:$E=AB$1)),""Check""))=0),"""",IFERROR(unique(filter(Prod_Prop!$H:$H,Prod_Prop!$G:$G=$U123,Prod_Prop!$E:$E=AB$1)),""""))"),"")</f>
        <v/>
      </c>
      <c r="AC123" s="4" t="str">
        <f>IF(AB123="","",SUMIFS(Prod_Prop!$J:$J,Prod_Prop!$B:$B,$Q123,Prod_Prop!$H:$H,AB123,Prod_Prop!$I:$I,AC$1)*IF(AB123="Peso",$R123,1))</f>
        <v/>
      </c>
      <c r="AD123" s="4" t="str">
        <f>IF(AB123="","",SUMIFS(Prod_Prop!$J:$J,Prod_Prop!$B:$B,$Q123,Prod_Prop!$H:$H,AB123,Prod_Prop!$I:$I,AD$1)*IF(AB123="Peso",$R123,1))</f>
        <v/>
      </c>
    </row>
    <row r="124">
      <c r="A124" s="4" t="str">
        <f t="array" ref="A124">IF(COUNTIF(A$1:A123,Cotizador!F$2)=maxifs(Familias!E:E,Familias!D:D,Cotizador!F$2),IF(COUNTIF(A$1:A123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4" s="4" t="str">
        <f t="shared" si="1"/>
        <v/>
      </c>
      <c r="C124" s="4" t="str">
        <f t="array" ref="C124">IF(B124="","",IF(A124=XLOOKUP(A$2,Implementos!B:B,Implementos!C:C,"",0,1),B124+maxifs(B$1:B123,A$1:A123,A$2),B124))</f>
        <v/>
      </c>
      <c r="D124" s="4" t="str">
        <f>IF(B124="","", COUNTIFS(Productos!F:F,A124,Productos!H:H,B124)+IF(F124="SI",0,1))</f>
        <v/>
      </c>
      <c r="E124" s="4" t="str">
        <f>IFERROR(__xludf.DUMMYFUNCTION("IF($B124="""","""",INDEX(filter(Familias!F:F,Familias!$D:$D=$A124,Familias!$E:$E=$B124),1))"),"")</f>
        <v/>
      </c>
      <c r="F124" s="4" t="str">
        <f>IFERROR(__xludf.DUMMYFUNCTION("IF($B124="""","""",INDEX(filter(Familias!G:G,Familias!$D:$D=$A124,Familias!$E:$E=$B124),1))"),"")</f>
        <v/>
      </c>
      <c r="G124" s="4" t="str">
        <f t="array" ref="G124">IF(C124=1,XLOOKUP(C124,Cotizador!D:D,Cotizador!E:E,"",0,1),"")</f>
        <v/>
      </c>
      <c r="I124" s="4"/>
      <c r="J124" s="8" t="str">
        <f>IF(I124="","",SUMIF(Cotizador!I$1:V$1,I124,Cotizador!I$2:V$2))</f>
        <v/>
      </c>
      <c r="L124" s="4" t="str">
        <f t="array" ref="L124">IF(COUNTIF(L$1:L123,A$2)=SUMIF(A:A,A$2,D:D),IF(COUNTIF(L$1:L123,XLOOKUP(A$2,Implementos!B:B,Implementos!C:C,"",0,1))=SUMIF(A:A,XLOOKUP(A$2,Implementos!B:B,Implementos!C:C,"",0,1),D:D),"",XLOOKUP(A$2,Implementos!B:B,Implementos!C:C,"",0,1)),A$2)</f>
        <v/>
      </c>
      <c r="M124" s="4" t="str">
        <f t="shared" si="2"/>
        <v/>
      </c>
      <c r="N124" s="4" t="str">
        <f t="shared" si="3"/>
        <v/>
      </c>
      <c r="O124" s="4" t="str">
        <f t="shared" si="4"/>
        <v/>
      </c>
      <c r="P124" s="4" t="str">
        <f t="shared" si="5"/>
        <v/>
      </c>
      <c r="Q124" s="4" t="str">
        <f>IF(U124="","",SUMIF(Productos!E:E,U124,Productos!A:A))</f>
        <v/>
      </c>
      <c r="R124" s="4" t="str">
        <f t="array" ref="R124">IF(L124="","", max(1,SUMIF(I:I,XLOOKUP(U124,Productos!E:E,Productos!G:G,"",0,1),J:J)))</f>
        <v/>
      </c>
      <c r="S124" s="4" t="str">
        <f>IF(Q124="","",IF(SUMIFS(Compat_Vetado!D:D,Compat_Vetado!B:B,SUM(G:G),Compat_Vetado!C:C,Q124)=1,"SI",IF(OR(SUMIF(Cotizador!E:E,Q124,Cotizador!G:G)&gt;0,SUMIFS(Compat_Vetado!D:D,Compat_Vetado!B:B,SUM(G:G),Compat_Vetado!C:C,Q124)=-1),"NO","")))</f>
        <v/>
      </c>
      <c r="T124" s="4" t="str">
        <f t="shared" si="6"/>
        <v/>
      </c>
      <c r="U124" s="4" t="str">
        <f>IFERROR(__xludf.DUMMYFUNCTION("IF(P124="""","""",IFERROR(INDEX(filter(Productos!E:E,Productos!F:F=L124,Productos!H:H=N124),P124),IF(M124=SUM(D:D),""Finalizar"",""-"")))"),"")</f>
        <v/>
      </c>
      <c r="V124" s="4" t="str">
        <f>IFERROR(__xludf.DUMMYFUNCTION("IF(OR($U124="""",COUNTIF($I:$I,IFERROR(unique(filter(Prod_Prop!$H:$H,Prod_Prop!$G:$G=$U124,Prod_Prop!$E:$E=V$1)),""Check""))=0),"""",IFERROR(unique(filter(Prod_Prop!$H:$H,Prod_Prop!$G:$G=$U124,Prod_Prop!$E:$E=V$1)),""""))"),"")</f>
        <v/>
      </c>
      <c r="W124" s="4" t="str">
        <f>IF(V124="","",SUMIFS(Prod_Prop!$J:$J,Prod_Prop!$B:$B,$Q124,Prod_Prop!$H:$H,V124,Prod_Prop!$I:$I,W$1)*IF(V124="Peso",$R124,1))</f>
        <v/>
      </c>
      <c r="X124" s="4" t="str">
        <f>IF(V124="","",SUMIFS(Prod_Prop!$J:$J,Prod_Prop!$B:$B,$Q124,Prod_Prop!$H:$H,V124,Prod_Prop!$I:$I,X$1)*IF(V124="Peso",$R124,1))</f>
        <v/>
      </c>
      <c r="Y124" s="4" t="str">
        <f>IFERROR(__xludf.DUMMYFUNCTION("IF(OR($U124="""",COUNTIF($I:$I,IFERROR(unique(filter(Prod_Prop!$H:$H,Prod_Prop!$G:$G=$U124,Prod_Prop!$E:$E=Y$1)),""Check""))=0),"""",IFERROR(unique(filter(Prod_Prop!$H:$H,Prod_Prop!$G:$G=$U124,Prod_Prop!$E:$E=Y$1)),""""))"),"")</f>
        <v/>
      </c>
      <c r="Z124" s="4" t="str">
        <f>IF(Y124="","",SUMIFS(Prod_Prop!$J:$J,Prod_Prop!$B:$B,$Q124,Prod_Prop!$H:$H,Y124,Prod_Prop!$I:$I,Z$1)*IF(Y124="Peso",$R124,1))</f>
        <v/>
      </c>
      <c r="AA124" s="4" t="str">
        <f>IF(Y124="","",SUMIFS(Prod_Prop!$J:$J,Prod_Prop!$B:$B,$Q124,Prod_Prop!$H:$H,Y124,Prod_Prop!$I:$I,AA$1)*IF(Y124="Peso",$R124,1))</f>
        <v/>
      </c>
      <c r="AB124" s="4" t="str">
        <f>IFERROR(__xludf.DUMMYFUNCTION("IF(OR($U124="""",COUNTIF($I:$I,IFERROR(unique(filter(Prod_Prop!$H:$H,Prod_Prop!$G:$G=$U124,Prod_Prop!$E:$E=AB$1)),""Check""))=0),"""",IFERROR(unique(filter(Prod_Prop!$H:$H,Prod_Prop!$G:$G=$U124,Prod_Prop!$E:$E=AB$1)),""""))"),"")</f>
        <v/>
      </c>
      <c r="AC124" s="4" t="str">
        <f>IF(AB124="","",SUMIFS(Prod_Prop!$J:$J,Prod_Prop!$B:$B,$Q124,Prod_Prop!$H:$H,AB124,Prod_Prop!$I:$I,AC$1)*IF(AB124="Peso",$R124,1))</f>
        <v/>
      </c>
      <c r="AD124" s="4" t="str">
        <f>IF(AB124="","",SUMIFS(Prod_Prop!$J:$J,Prod_Prop!$B:$B,$Q124,Prod_Prop!$H:$H,AB124,Prod_Prop!$I:$I,AD$1)*IF(AB124="Peso",$R124,1))</f>
        <v/>
      </c>
    </row>
    <row r="125">
      <c r="A125" s="4" t="str">
        <f t="array" ref="A125">IF(COUNTIF(A$1:A124,Cotizador!F$2)=maxifs(Familias!E:E,Familias!D:D,Cotizador!F$2),IF(COUNTIF(A$1:A124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5" s="4" t="str">
        <f t="shared" si="1"/>
        <v/>
      </c>
      <c r="C125" s="4" t="str">
        <f t="array" ref="C125">IF(B125="","",IF(A125=XLOOKUP(A$2,Implementos!B:B,Implementos!C:C,"",0,1),B125+maxifs(B$1:B124,A$1:A124,A$2),B125))</f>
        <v/>
      </c>
      <c r="D125" s="4" t="str">
        <f>IF(B125="","", COUNTIFS(Productos!F:F,A125,Productos!H:H,B125)+IF(F125="SI",0,1))</f>
        <v/>
      </c>
      <c r="E125" s="4" t="str">
        <f>IFERROR(__xludf.DUMMYFUNCTION("IF($B125="""","""",INDEX(filter(Familias!F:F,Familias!$D:$D=$A125,Familias!$E:$E=$B125),1))"),"")</f>
        <v/>
      </c>
      <c r="F125" s="4" t="str">
        <f>IFERROR(__xludf.DUMMYFUNCTION("IF($B125="""","""",INDEX(filter(Familias!G:G,Familias!$D:$D=$A125,Familias!$E:$E=$B125),1))"),"")</f>
        <v/>
      </c>
      <c r="G125" s="4" t="str">
        <f t="array" ref="G125">IF(C125=1,XLOOKUP(C125,Cotizador!D:D,Cotizador!E:E,"",0,1),"")</f>
        <v/>
      </c>
      <c r="I125" s="4"/>
      <c r="J125" s="8" t="str">
        <f>IF(I125="","",SUMIF(Cotizador!I$1:V$1,I125,Cotizador!I$2:V$2))</f>
        <v/>
      </c>
      <c r="L125" s="4" t="str">
        <f t="array" ref="L125">IF(COUNTIF(L$1:L124,A$2)=SUMIF(A:A,A$2,D:D),IF(COUNTIF(L$1:L124,XLOOKUP(A$2,Implementos!B:B,Implementos!C:C,"",0,1))=SUMIF(A:A,XLOOKUP(A$2,Implementos!B:B,Implementos!C:C,"",0,1),D:D),"",XLOOKUP(A$2,Implementos!B:B,Implementos!C:C,"",0,1)),A$2)</f>
        <v/>
      </c>
      <c r="M125" s="4" t="str">
        <f t="shared" si="2"/>
        <v/>
      </c>
      <c r="N125" s="4" t="str">
        <f t="shared" si="3"/>
        <v/>
      </c>
      <c r="O125" s="4" t="str">
        <f t="shared" si="4"/>
        <v/>
      </c>
      <c r="P125" s="4" t="str">
        <f t="shared" si="5"/>
        <v/>
      </c>
      <c r="Q125" s="4" t="str">
        <f>IF(U125="","",SUMIF(Productos!E:E,U125,Productos!A:A))</f>
        <v/>
      </c>
      <c r="R125" s="4" t="str">
        <f t="array" ref="R125">IF(L125="","", max(1,SUMIF(I:I,XLOOKUP(U125,Productos!E:E,Productos!G:G,"",0,1),J:J)))</f>
        <v/>
      </c>
      <c r="S125" s="4" t="str">
        <f>IF(Q125="","",IF(SUMIFS(Compat_Vetado!D:D,Compat_Vetado!B:B,SUM(G:G),Compat_Vetado!C:C,Q125)=1,"SI",IF(OR(SUMIF(Cotizador!E:E,Q125,Cotizador!G:G)&gt;0,SUMIFS(Compat_Vetado!D:D,Compat_Vetado!B:B,SUM(G:G),Compat_Vetado!C:C,Q125)=-1),"NO","")))</f>
        <v/>
      </c>
      <c r="T125" s="4" t="str">
        <f t="shared" si="6"/>
        <v/>
      </c>
      <c r="U125" s="4" t="str">
        <f>IFERROR(__xludf.DUMMYFUNCTION("IF(P125="""","""",IFERROR(INDEX(filter(Productos!E:E,Productos!F:F=L125,Productos!H:H=N125),P125),IF(M125=SUM(D:D),""Finalizar"",""-"")))"),"")</f>
        <v/>
      </c>
      <c r="V125" s="4" t="str">
        <f>IFERROR(__xludf.DUMMYFUNCTION("IF(OR($U125="""",COUNTIF($I:$I,IFERROR(unique(filter(Prod_Prop!$H:$H,Prod_Prop!$G:$G=$U125,Prod_Prop!$E:$E=V$1)),""Check""))=0),"""",IFERROR(unique(filter(Prod_Prop!$H:$H,Prod_Prop!$G:$G=$U125,Prod_Prop!$E:$E=V$1)),""""))"),"")</f>
        <v/>
      </c>
      <c r="W125" s="4" t="str">
        <f>IF(V125="","",SUMIFS(Prod_Prop!$J:$J,Prod_Prop!$B:$B,$Q125,Prod_Prop!$H:$H,V125,Prod_Prop!$I:$I,W$1)*IF(V125="Peso",$R125,1))</f>
        <v/>
      </c>
      <c r="X125" s="4" t="str">
        <f>IF(V125="","",SUMIFS(Prod_Prop!$J:$J,Prod_Prop!$B:$B,$Q125,Prod_Prop!$H:$H,V125,Prod_Prop!$I:$I,X$1)*IF(V125="Peso",$R125,1))</f>
        <v/>
      </c>
      <c r="Y125" s="4" t="str">
        <f>IFERROR(__xludf.DUMMYFUNCTION("IF(OR($U125="""",COUNTIF($I:$I,IFERROR(unique(filter(Prod_Prop!$H:$H,Prod_Prop!$G:$G=$U125,Prod_Prop!$E:$E=Y$1)),""Check""))=0),"""",IFERROR(unique(filter(Prod_Prop!$H:$H,Prod_Prop!$G:$G=$U125,Prod_Prop!$E:$E=Y$1)),""""))"),"")</f>
        <v/>
      </c>
      <c r="Z125" s="4" t="str">
        <f>IF(Y125="","",SUMIFS(Prod_Prop!$J:$J,Prod_Prop!$B:$B,$Q125,Prod_Prop!$H:$H,Y125,Prod_Prop!$I:$I,Z$1)*IF(Y125="Peso",$R125,1))</f>
        <v/>
      </c>
      <c r="AA125" s="4" t="str">
        <f>IF(Y125="","",SUMIFS(Prod_Prop!$J:$J,Prod_Prop!$B:$B,$Q125,Prod_Prop!$H:$H,Y125,Prod_Prop!$I:$I,AA$1)*IF(Y125="Peso",$R125,1))</f>
        <v/>
      </c>
      <c r="AB125" s="4" t="str">
        <f>IFERROR(__xludf.DUMMYFUNCTION("IF(OR($U125="""",COUNTIF($I:$I,IFERROR(unique(filter(Prod_Prop!$H:$H,Prod_Prop!$G:$G=$U125,Prod_Prop!$E:$E=AB$1)),""Check""))=0),"""",IFERROR(unique(filter(Prod_Prop!$H:$H,Prod_Prop!$G:$G=$U125,Prod_Prop!$E:$E=AB$1)),""""))"),"")</f>
        <v/>
      </c>
      <c r="AC125" s="4" t="str">
        <f>IF(AB125="","",SUMIFS(Prod_Prop!$J:$J,Prod_Prop!$B:$B,$Q125,Prod_Prop!$H:$H,AB125,Prod_Prop!$I:$I,AC$1)*IF(AB125="Peso",$R125,1))</f>
        <v/>
      </c>
      <c r="AD125" s="4" t="str">
        <f>IF(AB125="","",SUMIFS(Prod_Prop!$J:$J,Prod_Prop!$B:$B,$Q125,Prod_Prop!$H:$H,AB125,Prod_Prop!$I:$I,AD$1)*IF(AB125="Peso",$R125,1))</f>
        <v/>
      </c>
    </row>
    <row r="126">
      <c r="A126" s="4" t="str">
        <f t="array" ref="A126">IF(COUNTIF(A$1:A125,Cotizador!F$2)=maxifs(Familias!E:E,Familias!D:D,Cotizador!F$2),IF(COUNTIF(A$1:A125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6" s="4" t="str">
        <f t="shared" si="1"/>
        <v/>
      </c>
      <c r="C126" s="4" t="str">
        <f t="array" ref="C126">IF(B126="","",IF(A126=XLOOKUP(A$2,Implementos!B:B,Implementos!C:C,"",0,1),B126+maxifs(B$1:B125,A$1:A125,A$2),B126))</f>
        <v/>
      </c>
      <c r="D126" s="4" t="str">
        <f>IF(B126="","", COUNTIFS(Productos!F:F,A126,Productos!H:H,B126)+IF(F126="SI",0,1))</f>
        <v/>
      </c>
      <c r="E126" s="4" t="str">
        <f>IFERROR(__xludf.DUMMYFUNCTION("IF($B126="""","""",INDEX(filter(Familias!F:F,Familias!$D:$D=$A126,Familias!$E:$E=$B126),1))"),"")</f>
        <v/>
      </c>
      <c r="F126" s="4" t="str">
        <f>IFERROR(__xludf.DUMMYFUNCTION("IF($B126="""","""",INDEX(filter(Familias!G:G,Familias!$D:$D=$A126,Familias!$E:$E=$B126),1))"),"")</f>
        <v/>
      </c>
      <c r="G126" s="4" t="str">
        <f t="array" ref="G126">IF(C126=1,XLOOKUP(C126,Cotizador!D:D,Cotizador!E:E,"",0,1),"")</f>
        <v/>
      </c>
      <c r="I126" s="4"/>
      <c r="J126" s="8" t="str">
        <f>IF(I126="","",SUMIF(Cotizador!I$1:V$1,I126,Cotizador!I$2:V$2))</f>
        <v/>
      </c>
      <c r="L126" s="4" t="str">
        <f t="array" ref="L126">IF(COUNTIF(L$1:L125,A$2)=SUMIF(A:A,A$2,D:D),IF(COUNTIF(L$1:L125,XLOOKUP(A$2,Implementos!B:B,Implementos!C:C,"",0,1))=SUMIF(A:A,XLOOKUP(A$2,Implementos!B:B,Implementos!C:C,"",0,1),D:D),"",XLOOKUP(A$2,Implementos!B:B,Implementos!C:C,"",0,1)),A$2)</f>
        <v/>
      </c>
      <c r="M126" s="4" t="str">
        <f t="shared" si="2"/>
        <v/>
      </c>
      <c r="N126" s="4" t="str">
        <f t="shared" si="3"/>
        <v/>
      </c>
      <c r="O126" s="4" t="str">
        <f t="shared" si="4"/>
        <v/>
      </c>
      <c r="P126" s="4" t="str">
        <f t="shared" si="5"/>
        <v/>
      </c>
      <c r="Q126" s="4" t="str">
        <f>IF(U126="","",SUMIF(Productos!E:E,U126,Productos!A:A))</f>
        <v/>
      </c>
      <c r="R126" s="4" t="str">
        <f t="array" ref="R126">IF(L126="","", max(1,SUMIF(I:I,XLOOKUP(U126,Productos!E:E,Productos!G:G,"",0,1),J:J)))</f>
        <v/>
      </c>
      <c r="S126" s="4" t="str">
        <f>IF(Q126="","",IF(SUMIFS(Compat_Vetado!D:D,Compat_Vetado!B:B,SUM(G:G),Compat_Vetado!C:C,Q126)=1,"SI",IF(OR(SUMIF(Cotizador!E:E,Q126,Cotizador!G:G)&gt;0,SUMIFS(Compat_Vetado!D:D,Compat_Vetado!B:B,SUM(G:G),Compat_Vetado!C:C,Q126)=-1),"NO","")))</f>
        <v/>
      </c>
      <c r="T126" s="4" t="str">
        <f t="shared" si="6"/>
        <v/>
      </c>
      <c r="U126" s="4" t="str">
        <f>IFERROR(__xludf.DUMMYFUNCTION("IF(P126="""","""",IFERROR(INDEX(filter(Productos!E:E,Productos!F:F=L126,Productos!H:H=N126),P126),IF(M126=SUM(D:D),""Finalizar"",""-"")))"),"")</f>
        <v/>
      </c>
      <c r="V126" s="4" t="str">
        <f>IFERROR(__xludf.DUMMYFUNCTION("IF(OR($U126="""",COUNTIF($I:$I,IFERROR(unique(filter(Prod_Prop!$H:$H,Prod_Prop!$G:$G=$U126,Prod_Prop!$E:$E=V$1)),""Check""))=0),"""",IFERROR(unique(filter(Prod_Prop!$H:$H,Prod_Prop!$G:$G=$U126,Prod_Prop!$E:$E=V$1)),""""))"),"")</f>
        <v/>
      </c>
      <c r="W126" s="4" t="str">
        <f>IF(V126="","",SUMIFS(Prod_Prop!$J:$J,Prod_Prop!$B:$B,$Q126,Prod_Prop!$H:$H,V126,Prod_Prop!$I:$I,W$1)*IF(V126="Peso",$R126,1))</f>
        <v/>
      </c>
      <c r="X126" s="4" t="str">
        <f>IF(V126="","",SUMIFS(Prod_Prop!$J:$J,Prod_Prop!$B:$B,$Q126,Prod_Prop!$H:$H,V126,Prod_Prop!$I:$I,X$1)*IF(V126="Peso",$R126,1))</f>
        <v/>
      </c>
      <c r="Y126" s="4" t="str">
        <f>IFERROR(__xludf.DUMMYFUNCTION("IF(OR($U126="""",COUNTIF($I:$I,IFERROR(unique(filter(Prod_Prop!$H:$H,Prod_Prop!$G:$G=$U126,Prod_Prop!$E:$E=Y$1)),""Check""))=0),"""",IFERROR(unique(filter(Prod_Prop!$H:$H,Prod_Prop!$G:$G=$U126,Prod_Prop!$E:$E=Y$1)),""""))"),"")</f>
        <v/>
      </c>
      <c r="Z126" s="4" t="str">
        <f>IF(Y126="","",SUMIFS(Prod_Prop!$J:$J,Prod_Prop!$B:$B,$Q126,Prod_Prop!$H:$H,Y126,Prod_Prop!$I:$I,Z$1)*IF(Y126="Peso",$R126,1))</f>
        <v/>
      </c>
      <c r="AA126" s="4" t="str">
        <f>IF(Y126="","",SUMIFS(Prod_Prop!$J:$J,Prod_Prop!$B:$B,$Q126,Prod_Prop!$H:$H,Y126,Prod_Prop!$I:$I,AA$1)*IF(Y126="Peso",$R126,1))</f>
        <v/>
      </c>
      <c r="AB126" s="4" t="str">
        <f>IFERROR(__xludf.DUMMYFUNCTION("IF(OR($U126="""",COUNTIF($I:$I,IFERROR(unique(filter(Prod_Prop!$H:$H,Prod_Prop!$G:$G=$U126,Prod_Prop!$E:$E=AB$1)),""Check""))=0),"""",IFERROR(unique(filter(Prod_Prop!$H:$H,Prod_Prop!$G:$G=$U126,Prod_Prop!$E:$E=AB$1)),""""))"),"")</f>
        <v/>
      </c>
      <c r="AC126" s="4" t="str">
        <f>IF(AB126="","",SUMIFS(Prod_Prop!$J:$J,Prod_Prop!$B:$B,$Q126,Prod_Prop!$H:$H,AB126,Prod_Prop!$I:$I,AC$1)*IF(AB126="Peso",$R126,1))</f>
        <v/>
      </c>
      <c r="AD126" s="4" t="str">
        <f>IF(AB126="","",SUMIFS(Prod_Prop!$J:$J,Prod_Prop!$B:$B,$Q126,Prod_Prop!$H:$H,AB126,Prod_Prop!$I:$I,AD$1)*IF(AB126="Peso",$R126,1))</f>
        <v/>
      </c>
    </row>
    <row r="127">
      <c r="A127" s="4" t="str">
        <f t="array" ref="A127">IF(COUNTIF(A$1:A126,Cotizador!F$2)=maxifs(Familias!E:E,Familias!D:D,Cotizador!F$2),IF(COUNTIF(A$1:A126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7" s="4" t="str">
        <f t="shared" si="1"/>
        <v/>
      </c>
      <c r="C127" s="4" t="str">
        <f t="array" ref="C127">IF(B127="","",IF(A127=XLOOKUP(A$2,Implementos!B:B,Implementos!C:C,"",0,1),B127+maxifs(B$1:B126,A$1:A126,A$2),B127))</f>
        <v/>
      </c>
      <c r="D127" s="4" t="str">
        <f>IF(B127="","", COUNTIFS(Productos!F:F,A127,Productos!H:H,B127)+IF(F127="SI",0,1))</f>
        <v/>
      </c>
      <c r="E127" s="4" t="str">
        <f>IFERROR(__xludf.DUMMYFUNCTION("IF($B127="""","""",INDEX(filter(Familias!F:F,Familias!$D:$D=$A127,Familias!$E:$E=$B127),1))"),"")</f>
        <v/>
      </c>
      <c r="F127" s="4" t="str">
        <f>IFERROR(__xludf.DUMMYFUNCTION("IF($B127="""","""",INDEX(filter(Familias!G:G,Familias!$D:$D=$A127,Familias!$E:$E=$B127),1))"),"")</f>
        <v/>
      </c>
      <c r="G127" s="4" t="str">
        <f t="array" ref="G127">IF(C127=1,XLOOKUP(C127,Cotizador!D:D,Cotizador!E:E,"",0,1),"")</f>
        <v/>
      </c>
      <c r="I127" s="4"/>
      <c r="J127" s="8" t="str">
        <f>IF(I127="","",SUMIF(Cotizador!I$1:V$1,I127,Cotizador!I$2:V$2))</f>
        <v/>
      </c>
      <c r="L127" s="4" t="str">
        <f t="array" ref="L127">IF(COUNTIF(L$1:L126,A$2)=SUMIF(A:A,A$2,D:D),IF(COUNTIF(L$1:L126,XLOOKUP(A$2,Implementos!B:B,Implementos!C:C,"",0,1))=SUMIF(A:A,XLOOKUP(A$2,Implementos!B:B,Implementos!C:C,"",0,1),D:D),"",XLOOKUP(A$2,Implementos!B:B,Implementos!C:C,"",0,1)),A$2)</f>
        <v/>
      </c>
      <c r="M127" s="4" t="str">
        <f t="shared" si="2"/>
        <v/>
      </c>
      <c r="N127" s="4" t="str">
        <f t="shared" si="3"/>
        <v/>
      </c>
      <c r="O127" s="4" t="str">
        <f t="shared" si="4"/>
        <v/>
      </c>
      <c r="P127" s="4" t="str">
        <f t="shared" si="5"/>
        <v/>
      </c>
      <c r="Q127" s="4" t="str">
        <f>IF(U127="","",SUMIF(Productos!E:E,U127,Productos!A:A))</f>
        <v/>
      </c>
      <c r="R127" s="4" t="str">
        <f t="array" ref="R127">IF(L127="","", max(1,SUMIF(I:I,XLOOKUP(U127,Productos!E:E,Productos!G:G,"",0,1),J:J)))</f>
        <v/>
      </c>
      <c r="S127" s="4" t="str">
        <f>IF(Q127="","",IF(SUMIFS(Compat_Vetado!D:D,Compat_Vetado!B:B,SUM(G:G),Compat_Vetado!C:C,Q127)=1,"SI",IF(OR(SUMIF(Cotizador!E:E,Q127,Cotizador!G:G)&gt;0,SUMIFS(Compat_Vetado!D:D,Compat_Vetado!B:B,SUM(G:G),Compat_Vetado!C:C,Q127)=-1),"NO","")))</f>
        <v/>
      </c>
      <c r="T127" s="4" t="str">
        <f t="shared" si="6"/>
        <v/>
      </c>
      <c r="U127" s="4" t="str">
        <f>IFERROR(__xludf.DUMMYFUNCTION("IF(P127="""","""",IFERROR(INDEX(filter(Productos!E:E,Productos!F:F=L127,Productos!H:H=N127),P127),IF(M127=SUM(D:D),""Finalizar"",""-"")))"),"")</f>
        <v/>
      </c>
      <c r="V127" s="4" t="str">
        <f>IFERROR(__xludf.DUMMYFUNCTION("IF(OR($U127="""",COUNTIF($I:$I,IFERROR(unique(filter(Prod_Prop!$H:$H,Prod_Prop!$G:$G=$U127,Prod_Prop!$E:$E=V$1)),""Check""))=0),"""",IFERROR(unique(filter(Prod_Prop!$H:$H,Prod_Prop!$G:$G=$U127,Prod_Prop!$E:$E=V$1)),""""))"),"")</f>
        <v/>
      </c>
      <c r="W127" s="4" t="str">
        <f>IF(V127="","",SUMIFS(Prod_Prop!$J:$J,Prod_Prop!$B:$B,$Q127,Prod_Prop!$H:$H,V127,Prod_Prop!$I:$I,W$1)*IF(V127="Peso",$R127,1))</f>
        <v/>
      </c>
      <c r="X127" s="4" t="str">
        <f>IF(V127="","",SUMIFS(Prod_Prop!$J:$J,Prod_Prop!$B:$B,$Q127,Prod_Prop!$H:$H,V127,Prod_Prop!$I:$I,X$1)*IF(V127="Peso",$R127,1))</f>
        <v/>
      </c>
      <c r="Y127" s="4" t="str">
        <f>IFERROR(__xludf.DUMMYFUNCTION("IF(OR($U127="""",COUNTIF($I:$I,IFERROR(unique(filter(Prod_Prop!$H:$H,Prod_Prop!$G:$G=$U127,Prod_Prop!$E:$E=Y$1)),""Check""))=0),"""",IFERROR(unique(filter(Prod_Prop!$H:$H,Prod_Prop!$G:$G=$U127,Prod_Prop!$E:$E=Y$1)),""""))"),"")</f>
        <v/>
      </c>
      <c r="Z127" s="4" t="str">
        <f>IF(Y127="","",SUMIFS(Prod_Prop!$J:$J,Prod_Prop!$B:$B,$Q127,Prod_Prop!$H:$H,Y127,Prod_Prop!$I:$I,Z$1)*IF(Y127="Peso",$R127,1))</f>
        <v/>
      </c>
      <c r="AA127" s="4" t="str">
        <f>IF(Y127="","",SUMIFS(Prod_Prop!$J:$J,Prod_Prop!$B:$B,$Q127,Prod_Prop!$H:$H,Y127,Prod_Prop!$I:$I,AA$1)*IF(Y127="Peso",$R127,1))</f>
        <v/>
      </c>
      <c r="AB127" s="4" t="str">
        <f>IFERROR(__xludf.DUMMYFUNCTION("IF(OR($U127="""",COUNTIF($I:$I,IFERROR(unique(filter(Prod_Prop!$H:$H,Prod_Prop!$G:$G=$U127,Prod_Prop!$E:$E=AB$1)),""Check""))=0),"""",IFERROR(unique(filter(Prod_Prop!$H:$H,Prod_Prop!$G:$G=$U127,Prod_Prop!$E:$E=AB$1)),""""))"),"")</f>
        <v/>
      </c>
      <c r="AC127" s="4" t="str">
        <f>IF(AB127="","",SUMIFS(Prod_Prop!$J:$J,Prod_Prop!$B:$B,$Q127,Prod_Prop!$H:$H,AB127,Prod_Prop!$I:$I,AC$1)*IF(AB127="Peso",$R127,1))</f>
        <v/>
      </c>
      <c r="AD127" s="4" t="str">
        <f>IF(AB127="","",SUMIFS(Prod_Prop!$J:$J,Prod_Prop!$B:$B,$Q127,Prod_Prop!$H:$H,AB127,Prod_Prop!$I:$I,AD$1)*IF(AB127="Peso",$R127,1))</f>
        <v/>
      </c>
    </row>
    <row r="128">
      <c r="A128" s="4" t="str">
        <f t="array" ref="A128">IF(COUNTIF(A$1:A127,Cotizador!F$2)=maxifs(Familias!E:E,Familias!D:D,Cotizador!F$2),IF(COUNTIF(A$1:A127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8" s="4" t="str">
        <f t="shared" si="1"/>
        <v/>
      </c>
      <c r="C128" s="4" t="str">
        <f t="array" ref="C128">IF(B128="","",IF(A128=XLOOKUP(A$2,Implementos!B:B,Implementos!C:C,"",0,1),B128+maxifs(B$1:B127,A$1:A127,A$2),B128))</f>
        <v/>
      </c>
      <c r="D128" s="4" t="str">
        <f>IF(B128="","", COUNTIFS(Productos!F:F,A128,Productos!H:H,B128)+IF(F128="SI",0,1))</f>
        <v/>
      </c>
      <c r="E128" s="4" t="str">
        <f>IFERROR(__xludf.DUMMYFUNCTION("IF($B128="""","""",INDEX(filter(Familias!F:F,Familias!$D:$D=$A128,Familias!$E:$E=$B128),1))"),"")</f>
        <v/>
      </c>
      <c r="F128" s="4" t="str">
        <f>IFERROR(__xludf.DUMMYFUNCTION("IF($B128="""","""",INDEX(filter(Familias!G:G,Familias!$D:$D=$A128,Familias!$E:$E=$B128),1))"),"")</f>
        <v/>
      </c>
      <c r="G128" s="4" t="str">
        <f t="array" ref="G128">IF(C128=1,XLOOKUP(C128,Cotizador!D:D,Cotizador!E:E,"",0,1),"")</f>
        <v/>
      </c>
      <c r="I128" s="4"/>
      <c r="J128" s="8" t="str">
        <f>IF(I128="","",SUMIF(Cotizador!I$1:V$1,I128,Cotizador!I$2:V$2))</f>
        <v/>
      </c>
      <c r="L128" s="4" t="str">
        <f t="array" ref="L128">IF(COUNTIF(L$1:L127,A$2)=SUMIF(A:A,A$2,D:D),IF(COUNTIF(L$1:L127,XLOOKUP(A$2,Implementos!B:B,Implementos!C:C,"",0,1))=SUMIF(A:A,XLOOKUP(A$2,Implementos!B:B,Implementos!C:C,"",0,1),D:D),"",XLOOKUP(A$2,Implementos!B:B,Implementos!C:C,"",0,1)),A$2)</f>
        <v/>
      </c>
      <c r="M128" s="4" t="str">
        <f t="shared" si="2"/>
        <v/>
      </c>
      <c r="N128" s="4" t="str">
        <f t="shared" si="3"/>
        <v/>
      </c>
      <c r="O128" s="4" t="str">
        <f t="shared" si="4"/>
        <v/>
      </c>
      <c r="P128" s="4" t="str">
        <f t="shared" si="5"/>
        <v/>
      </c>
      <c r="Q128" s="4" t="str">
        <f>IF(U128="","",SUMIF(Productos!E:E,U128,Productos!A:A))</f>
        <v/>
      </c>
      <c r="R128" s="4" t="str">
        <f t="array" ref="R128">IF(L128="","", max(1,SUMIF(I:I,XLOOKUP(U128,Productos!E:E,Productos!G:G,"",0,1),J:J)))</f>
        <v/>
      </c>
      <c r="S128" s="4" t="str">
        <f>IF(Q128="","",IF(SUMIFS(Compat_Vetado!D:D,Compat_Vetado!B:B,SUM(G:G),Compat_Vetado!C:C,Q128)=1,"SI",IF(OR(SUMIF(Cotizador!E:E,Q128,Cotizador!G:G)&gt;0,SUMIFS(Compat_Vetado!D:D,Compat_Vetado!B:B,SUM(G:G),Compat_Vetado!C:C,Q128)=-1),"NO","")))</f>
        <v/>
      </c>
      <c r="T128" s="4" t="str">
        <f t="shared" si="6"/>
        <v/>
      </c>
      <c r="U128" s="4" t="str">
        <f>IFERROR(__xludf.DUMMYFUNCTION("IF(P128="""","""",IFERROR(INDEX(filter(Productos!E:E,Productos!F:F=L128,Productos!H:H=N128),P128),IF(M128=SUM(D:D),""Finalizar"",""-"")))"),"")</f>
        <v/>
      </c>
      <c r="V128" s="4" t="str">
        <f>IFERROR(__xludf.DUMMYFUNCTION("IF(OR($U128="""",COUNTIF($I:$I,IFERROR(unique(filter(Prod_Prop!$H:$H,Prod_Prop!$G:$G=$U128,Prod_Prop!$E:$E=V$1)),""Check""))=0),"""",IFERROR(unique(filter(Prod_Prop!$H:$H,Prod_Prop!$G:$G=$U128,Prod_Prop!$E:$E=V$1)),""""))"),"")</f>
        <v/>
      </c>
      <c r="W128" s="4" t="str">
        <f>IF(V128="","",SUMIFS(Prod_Prop!$J:$J,Prod_Prop!$B:$B,$Q128,Prod_Prop!$H:$H,V128,Prod_Prop!$I:$I,W$1)*IF(V128="Peso",$R128,1))</f>
        <v/>
      </c>
      <c r="X128" s="4" t="str">
        <f>IF(V128="","",SUMIFS(Prod_Prop!$J:$J,Prod_Prop!$B:$B,$Q128,Prod_Prop!$H:$H,V128,Prod_Prop!$I:$I,X$1)*IF(V128="Peso",$R128,1))</f>
        <v/>
      </c>
      <c r="Y128" s="4" t="str">
        <f>IFERROR(__xludf.DUMMYFUNCTION("IF(OR($U128="""",COUNTIF($I:$I,IFERROR(unique(filter(Prod_Prop!$H:$H,Prod_Prop!$G:$G=$U128,Prod_Prop!$E:$E=Y$1)),""Check""))=0),"""",IFERROR(unique(filter(Prod_Prop!$H:$H,Prod_Prop!$G:$G=$U128,Prod_Prop!$E:$E=Y$1)),""""))"),"")</f>
        <v/>
      </c>
      <c r="Z128" s="4" t="str">
        <f>IF(Y128="","",SUMIFS(Prod_Prop!$J:$J,Prod_Prop!$B:$B,$Q128,Prod_Prop!$H:$H,Y128,Prod_Prop!$I:$I,Z$1)*IF(Y128="Peso",$R128,1))</f>
        <v/>
      </c>
      <c r="AA128" s="4" t="str">
        <f>IF(Y128="","",SUMIFS(Prod_Prop!$J:$J,Prod_Prop!$B:$B,$Q128,Prod_Prop!$H:$H,Y128,Prod_Prop!$I:$I,AA$1)*IF(Y128="Peso",$R128,1))</f>
        <v/>
      </c>
      <c r="AB128" s="4" t="str">
        <f>IFERROR(__xludf.DUMMYFUNCTION("IF(OR($U128="""",COUNTIF($I:$I,IFERROR(unique(filter(Prod_Prop!$H:$H,Prod_Prop!$G:$G=$U128,Prod_Prop!$E:$E=AB$1)),""Check""))=0),"""",IFERROR(unique(filter(Prod_Prop!$H:$H,Prod_Prop!$G:$G=$U128,Prod_Prop!$E:$E=AB$1)),""""))"),"")</f>
        <v/>
      </c>
      <c r="AC128" s="4" t="str">
        <f>IF(AB128="","",SUMIFS(Prod_Prop!$J:$J,Prod_Prop!$B:$B,$Q128,Prod_Prop!$H:$H,AB128,Prod_Prop!$I:$I,AC$1)*IF(AB128="Peso",$R128,1))</f>
        <v/>
      </c>
      <c r="AD128" s="4" t="str">
        <f>IF(AB128="","",SUMIFS(Prod_Prop!$J:$J,Prod_Prop!$B:$B,$Q128,Prod_Prop!$H:$H,AB128,Prod_Prop!$I:$I,AD$1)*IF(AB128="Peso",$R128,1))</f>
        <v/>
      </c>
    </row>
    <row r="129">
      <c r="A129" s="4" t="str">
        <f t="array" ref="A129">IF(COUNTIF(A$1:A128,Cotizador!F$2)=maxifs(Familias!E:E,Familias!D:D,Cotizador!F$2),IF(COUNTIF(A$1:A128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29" s="4" t="str">
        <f t="shared" si="1"/>
        <v/>
      </c>
      <c r="C129" s="4" t="str">
        <f t="array" ref="C129">IF(B129="","",IF(A129=XLOOKUP(A$2,Implementos!B:B,Implementos!C:C,"",0,1),B129+maxifs(B$1:B128,A$1:A128,A$2),B129))</f>
        <v/>
      </c>
      <c r="D129" s="4" t="str">
        <f>IF(B129="","", COUNTIFS(Productos!F:F,A129,Productos!H:H,B129)+IF(F129="SI",0,1))</f>
        <v/>
      </c>
      <c r="E129" s="4" t="str">
        <f>IFERROR(__xludf.DUMMYFUNCTION("IF($B129="""","""",INDEX(filter(Familias!F:F,Familias!$D:$D=$A129,Familias!$E:$E=$B129),1))"),"")</f>
        <v/>
      </c>
      <c r="F129" s="4" t="str">
        <f>IFERROR(__xludf.DUMMYFUNCTION("IF($B129="""","""",INDEX(filter(Familias!G:G,Familias!$D:$D=$A129,Familias!$E:$E=$B129),1))"),"")</f>
        <v/>
      </c>
      <c r="G129" s="4" t="str">
        <f t="array" ref="G129">IF(C129=1,XLOOKUP(C129,Cotizador!D:D,Cotizador!E:E,"",0,1),"")</f>
        <v/>
      </c>
      <c r="I129" s="4"/>
      <c r="J129" s="8" t="str">
        <f>IF(I129="","",SUMIF(Cotizador!I$1:V$1,I129,Cotizador!I$2:V$2))</f>
        <v/>
      </c>
      <c r="L129" s="4" t="str">
        <f t="array" ref="L129">IF(COUNTIF(L$1:L128,A$2)=SUMIF(A:A,A$2,D:D),IF(COUNTIF(L$1:L128,XLOOKUP(A$2,Implementos!B:B,Implementos!C:C,"",0,1))=SUMIF(A:A,XLOOKUP(A$2,Implementos!B:B,Implementos!C:C,"",0,1),D:D),"",XLOOKUP(A$2,Implementos!B:B,Implementos!C:C,"",0,1)),A$2)</f>
        <v/>
      </c>
      <c r="M129" s="4" t="str">
        <f t="shared" si="2"/>
        <v/>
      </c>
      <c r="N129" s="4" t="str">
        <f t="shared" si="3"/>
        <v/>
      </c>
      <c r="O129" s="4" t="str">
        <f t="shared" si="4"/>
        <v/>
      </c>
      <c r="P129" s="4" t="str">
        <f t="shared" si="5"/>
        <v/>
      </c>
      <c r="Q129" s="4" t="str">
        <f>IF(U129="","",SUMIF(Productos!E:E,U129,Productos!A:A))</f>
        <v/>
      </c>
      <c r="R129" s="4" t="str">
        <f t="array" ref="R129">IF(L129="","", max(1,SUMIF(I:I,XLOOKUP(U129,Productos!E:E,Productos!G:G,"",0,1),J:J)))</f>
        <v/>
      </c>
      <c r="S129" s="4" t="str">
        <f>IF(Q129="","",IF(SUMIFS(Compat_Vetado!D:D,Compat_Vetado!B:B,SUM(G:G),Compat_Vetado!C:C,Q129)=1,"SI",IF(OR(SUMIF(Cotizador!E:E,Q129,Cotizador!G:G)&gt;0,SUMIFS(Compat_Vetado!D:D,Compat_Vetado!B:B,SUM(G:G),Compat_Vetado!C:C,Q129)=-1),"NO","")))</f>
        <v/>
      </c>
      <c r="T129" s="4" t="str">
        <f t="shared" si="6"/>
        <v/>
      </c>
      <c r="U129" s="4" t="str">
        <f>IFERROR(__xludf.DUMMYFUNCTION("IF(P129="""","""",IFERROR(INDEX(filter(Productos!E:E,Productos!F:F=L129,Productos!H:H=N129),P129),IF(M129=SUM(D:D),""Finalizar"",""-"")))"),"")</f>
        <v/>
      </c>
      <c r="V129" s="4" t="str">
        <f>IFERROR(__xludf.DUMMYFUNCTION("IF(OR($U129="""",COUNTIF($I:$I,IFERROR(unique(filter(Prod_Prop!$H:$H,Prod_Prop!$G:$G=$U129,Prod_Prop!$E:$E=V$1)),""Check""))=0),"""",IFERROR(unique(filter(Prod_Prop!$H:$H,Prod_Prop!$G:$G=$U129,Prod_Prop!$E:$E=V$1)),""""))"),"")</f>
        <v/>
      </c>
      <c r="W129" s="4" t="str">
        <f>IF(V129="","",SUMIFS(Prod_Prop!$J:$J,Prod_Prop!$B:$B,$Q129,Prod_Prop!$H:$H,V129,Prod_Prop!$I:$I,W$1)*IF(V129="Peso",$R129,1))</f>
        <v/>
      </c>
      <c r="X129" s="4" t="str">
        <f>IF(V129="","",SUMIFS(Prod_Prop!$J:$J,Prod_Prop!$B:$B,$Q129,Prod_Prop!$H:$H,V129,Prod_Prop!$I:$I,X$1)*IF(V129="Peso",$R129,1))</f>
        <v/>
      </c>
      <c r="Y129" s="4" t="str">
        <f>IFERROR(__xludf.DUMMYFUNCTION("IF(OR($U129="""",COUNTIF($I:$I,IFERROR(unique(filter(Prod_Prop!$H:$H,Prod_Prop!$G:$G=$U129,Prod_Prop!$E:$E=Y$1)),""Check""))=0),"""",IFERROR(unique(filter(Prod_Prop!$H:$H,Prod_Prop!$G:$G=$U129,Prod_Prop!$E:$E=Y$1)),""""))"),"")</f>
        <v/>
      </c>
      <c r="Z129" s="4" t="str">
        <f>IF(Y129="","",SUMIFS(Prod_Prop!$J:$J,Prod_Prop!$B:$B,$Q129,Prod_Prop!$H:$H,Y129,Prod_Prop!$I:$I,Z$1)*IF(Y129="Peso",$R129,1))</f>
        <v/>
      </c>
      <c r="AA129" s="4" t="str">
        <f>IF(Y129="","",SUMIFS(Prod_Prop!$J:$J,Prod_Prop!$B:$B,$Q129,Prod_Prop!$H:$H,Y129,Prod_Prop!$I:$I,AA$1)*IF(Y129="Peso",$R129,1))</f>
        <v/>
      </c>
      <c r="AB129" s="4" t="str">
        <f>IFERROR(__xludf.DUMMYFUNCTION("IF(OR($U129="""",COUNTIF($I:$I,IFERROR(unique(filter(Prod_Prop!$H:$H,Prod_Prop!$G:$G=$U129,Prod_Prop!$E:$E=AB$1)),""Check""))=0),"""",IFERROR(unique(filter(Prod_Prop!$H:$H,Prod_Prop!$G:$G=$U129,Prod_Prop!$E:$E=AB$1)),""""))"),"")</f>
        <v/>
      </c>
      <c r="AC129" s="4" t="str">
        <f>IF(AB129="","",SUMIFS(Prod_Prop!$J:$J,Prod_Prop!$B:$B,$Q129,Prod_Prop!$H:$H,AB129,Prod_Prop!$I:$I,AC$1)*IF(AB129="Peso",$R129,1))</f>
        <v/>
      </c>
      <c r="AD129" s="4" t="str">
        <f>IF(AB129="","",SUMIFS(Prod_Prop!$J:$J,Prod_Prop!$B:$B,$Q129,Prod_Prop!$H:$H,AB129,Prod_Prop!$I:$I,AD$1)*IF(AB129="Peso",$R129,1))</f>
        <v/>
      </c>
    </row>
    <row r="130">
      <c r="A130" s="4" t="str">
        <f t="array" ref="A130">IF(COUNTIF(A$1:A129,Cotizador!F$2)=maxifs(Familias!E:E,Familias!D:D,Cotizador!F$2),IF(COUNTIF(A$1:A129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0" s="4" t="str">
        <f t="shared" si="1"/>
        <v/>
      </c>
      <c r="C130" s="4" t="str">
        <f t="array" ref="C130">IF(B130="","",IF(A130=XLOOKUP(A$2,Implementos!B:B,Implementos!C:C,"",0,1),B130+maxifs(B$1:B129,A$1:A129,A$2),B130))</f>
        <v/>
      </c>
      <c r="D130" s="4" t="str">
        <f>IF(B130="","", COUNTIFS(Productos!F:F,A130,Productos!H:H,B130)+IF(F130="SI",0,1))</f>
        <v/>
      </c>
      <c r="E130" s="4" t="str">
        <f>IFERROR(__xludf.DUMMYFUNCTION("IF($B130="""","""",INDEX(filter(Familias!F:F,Familias!$D:$D=$A130,Familias!$E:$E=$B130),1))"),"")</f>
        <v/>
      </c>
      <c r="F130" s="4" t="str">
        <f>IFERROR(__xludf.DUMMYFUNCTION("IF($B130="""","""",INDEX(filter(Familias!G:G,Familias!$D:$D=$A130,Familias!$E:$E=$B130),1))"),"")</f>
        <v/>
      </c>
      <c r="G130" s="4" t="str">
        <f t="array" ref="G130">IF(C130=1,XLOOKUP(C130,Cotizador!D:D,Cotizador!E:E,"",0,1),"")</f>
        <v/>
      </c>
      <c r="I130" s="4"/>
      <c r="J130" s="8" t="str">
        <f>IF(I130="","",SUMIF(Cotizador!I$1:V$1,I130,Cotizador!I$2:V$2))</f>
        <v/>
      </c>
      <c r="L130" s="4" t="str">
        <f t="array" ref="L130">IF(COUNTIF(L$1:L129,A$2)=SUMIF(A:A,A$2,D:D),IF(COUNTIF(L$1:L129,XLOOKUP(A$2,Implementos!B:B,Implementos!C:C,"",0,1))=SUMIF(A:A,XLOOKUP(A$2,Implementos!B:B,Implementos!C:C,"",0,1),D:D),"",XLOOKUP(A$2,Implementos!B:B,Implementos!C:C,"",0,1)),A$2)</f>
        <v/>
      </c>
      <c r="M130" s="4" t="str">
        <f t="shared" si="2"/>
        <v/>
      </c>
      <c r="N130" s="4" t="str">
        <f t="shared" si="3"/>
        <v/>
      </c>
      <c r="O130" s="4" t="str">
        <f t="shared" si="4"/>
        <v/>
      </c>
      <c r="P130" s="4" t="str">
        <f t="shared" si="5"/>
        <v/>
      </c>
      <c r="Q130" s="4" t="str">
        <f>IF(U130="","",SUMIF(Productos!E:E,U130,Productos!A:A))</f>
        <v/>
      </c>
      <c r="R130" s="4" t="str">
        <f t="array" ref="R130">IF(L130="","", max(1,SUMIF(I:I,XLOOKUP(U130,Productos!E:E,Productos!G:G,"",0,1),J:J)))</f>
        <v/>
      </c>
      <c r="S130" s="4" t="str">
        <f>IF(Q130="","",IF(SUMIFS(Compat_Vetado!D:D,Compat_Vetado!B:B,SUM(G:G),Compat_Vetado!C:C,Q130)=1,"SI",IF(OR(SUMIF(Cotizador!E:E,Q130,Cotizador!G:G)&gt;0,SUMIFS(Compat_Vetado!D:D,Compat_Vetado!B:B,SUM(G:G),Compat_Vetado!C:C,Q130)=-1),"NO","")))</f>
        <v/>
      </c>
      <c r="T130" s="4" t="str">
        <f t="shared" si="6"/>
        <v/>
      </c>
      <c r="U130" s="4" t="str">
        <f>IFERROR(__xludf.DUMMYFUNCTION("IF(P130="""","""",IFERROR(INDEX(filter(Productos!E:E,Productos!F:F=L130,Productos!H:H=N130),P130),IF(M130=SUM(D:D),""Finalizar"",""-"")))"),"")</f>
        <v/>
      </c>
      <c r="V130" s="4" t="str">
        <f>IFERROR(__xludf.DUMMYFUNCTION("IF(OR($U130="""",COUNTIF($I:$I,IFERROR(unique(filter(Prod_Prop!$H:$H,Prod_Prop!$G:$G=$U130,Prod_Prop!$E:$E=V$1)),""Check""))=0),"""",IFERROR(unique(filter(Prod_Prop!$H:$H,Prod_Prop!$G:$G=$U130,Prod_Prop!$E:$E=V$1)),""""))"),"")</f>
        <v/>
      </c>
      <c r="W130" s="4" t="str">
        <f>IF(V130="","",SUMIFS(Prod_Prop!$J:$J,Prod_Prop!$B:$B,$Q130,Prod_Prop!$H:$H,V130,Prod_Prop!$I:$I,W$1)*IF(V130="Peso",$R130,1))</f>
        <v/>
      </c>
      <c r="X130" s="4" t="str">
        <f>IF(V130="","",SUMIFS(Prod_Prop!$J:$J,Prod_Prop!$B:$B,$Q130,Prod_Prop!$H:$H,V130,Prod_Prop!$I:$I,X$1)*IF(V130="Peso",$R130,1))</f>
        <v/>
      </c>
      <c r="Y130" s="4" t="str">
        <f>IFERROR(__xludf.DUMMYFUNCTION("IF(OR($U130="""",COUNTIF($I:$I,IFERROR(unique(filter(Prod_Prop!$H:$H,Prod_Prop!$G:$G=$U130,Prod_Prop!$E:$E=Y$1)),""Check""))=0),"""",IFERROR(unique(filter(Prod_Prop!$H:$H,Prod_Prop!$G:$G=$U130,Prod_Prop!$E:$E=Y$1)),""""))"),"")</f>
        <v/>
      </c>
      <c r="Z130" s="4" t="str">
        <f>IF(Y130="","",SUMIFS(Prod_Prop!$J:$J,Prod_Prop!$B:$B,$Q130,Prod_Prop!$H:$H,Y130,Prod_Prop!$I:$I,Z$1)*IF(Y130="Peso",$R130,1))</f>
        <v/>
      </c>
      <c r="AA130" s="4" t="str">
        <f>IF(Y130="","",SUMIFS(Prod_Prop!$J:$J,Prod_Prop!$B:$B,$Q130,Prod_Prop!$H:$H,Y130,Prod_Prop!$I:$I,AA$1)*IF(Y130="Peso",$R130,1))</f>
        <v/>
      </c>
      <c r="AB130" s="4" t="str">
        <f>IFERROR(__xludf.DUMMYFUNCTION("IF(OR($U130="""",COUNTIF($I:$I,IFERROR(unique(filter(Prod_Prop!$H:$H,Prod_Prop!$G:$G=$U130,Prod_Prop!$E:$E=AB$1)),""Check""))=0),"""",IFERROR(unique(filter(Prod_Prop!$H:$H,Prod_Prop!$G:$G=$U130,Prod_Prop!$E:$E=AB$1)),""""))"),"")</f>
        <v/>
      </c>
      <c r="AC130" s="4" t="str">
        <f>IF(AB130="","",SUMIFS(Prod_Prop!$J:$J,Prod_Prop!$B:$B,$Q130,Prod_Prop!$H:$H,AB130,Prod_Prop!$I:$I,AC$1)*IF(AB130="Peso",$R130,1))</f>
        <v/>
      </c>
      <c r="AD130" s="4" t="str">
        <f>IF(AB130="","",SUMIFS(Prod_Prop!$J:$J,Prod_Prop!$B:$B,$Q130,Prod_Prop!$H:$H,AB130,Prod_Prop!$I:$I,AD$1)*IF(AB130="Peso",$R130,1))</f>
        <v/>
      </c>
    </row>
    <row r="131">
      <c r="A131" s="4" t="str">
        <f t="array" ref="A131">IF(COUNTIF(A$1:A130,Cotizador!F$2)=maxifs(Familias!E:E,Familias!D:D,Cotizador!F$2),IF(COUNTIF(A$1:A130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1" s="4" t="str">
        <f t="shared" si="1"/>
        <v/>
      </c>
      <c r="C131" s="4" t="str">
        <f t="array" ref="C131">IF(B131="","",IF(A131=XLOOKUP(A$2,Implementos!B:B,Implementos!C:C,"",0,1),B131+maxifs(B$1:B130,A$1:A130,A$2),B131))</f>
        <v/>
      </c>
      <c r="D131" s="4" t="str">
        <f>IF(B131="","", COUNTIFS(Productos!F:F,A131,Productos!H:H,B131)+IF(F131="SI",0,1))</f>
        <v/>
      </c>
      <c r="E131" s="4" t="str">
        <f>IFERROR(__xludf.DUMMYFUNCTION("IF($B131="""","""",INDEX(filter(Familias!F:F,Familias!$D:$D=$A131,Familias!$E:$E=$B131),1))"),"")</f>
        <v/>
      </c>
      <c r="F131" s="4" t="str">
        <f>IFERROR(__xludf.DUMMYFUNCTION("IF($B131="""","""",INDEX(filter(Familias!G:G,Familias!$D:$D=$A131,Familias!$E:$E=$B131),1))"),"")</f>
        <v/>
      </c>
      <c r="G131" s="4" t="str">
        <f t="array" ref="G131">IF(C131=1,XLOOKUP(C131,Cotizador!D:D,Cotizador!E:E,"",0,1),"")</f>
        <v/>
      </c>
      <c r="I131" s="4"/>
      <c r="J131" s="8" t="str">
        <f>IF(I131="","",SUMIF(Cotizador!I$1:V$1,I131,Cotizador!I$2:V$2))</f>
        <v/>
      </c>
      <c r="L131" s="4" t="str">
        <f t="array" ref="L131">IF(COUNTIF(L$1:L130,A$2)=SUMIF(A:A,A$2,D:D),IF(COUNTIF(L$1:L130,XLOOKUP(A$2,Implementos!B:B,Implementos!C:C,"",0,1))=SUMIF(A:A,XLOOKUP(A$2,Implementos!B:B,Implementos!C:C,"",0,1),D:D),"",XLOOKUP(A$2,Implementos!B:B,Implementos!C:C,"",0,1)),A$2)</f>
        <v/>
      </c>
      <c r="M131" s="4" t="str">
        <f t="shared" si="2"/>
        <v/>
      </c>
      <c r="N131" s="4" t="str">
        <f t="shared" si="3"/>
        <v/>
      </c>
      <c r="O131" s="4" t="str">
        <f t="shared" si="4"/>
        <v/>
      </c>
      <c r="P131" s="4" t="str">
        <f t="shared" si="5"/>
        <v/>
      </c>
      <c r="Q131" s="4" t="str">
        <f>IF(U131="","",SUMIF(Productos!E:E,U131,Productos!A:A))</f>
        <v/>
      </c>
      <c r="R131" s="4" t="str">
        <f t="array" ref="R131">IF(L131="","", max(1,SUMIF(I:I,XLOOKUP(U131,Productos!E:E,Productos!G:G,"",0,1),J:J)))</f>
        <v/>
      </c>
      <c r="S131" s="4" t="str">
        <f>IF(Q131="","",IF(SUMIFS(Compat_Vetado!D:D,Compat_Vetado!B:B,SUM(G:G),Compat_Vetado!C:C,Q131)=1,"SI",IF(OR(SUMIF(Cotizador!E:E,Q131,Cotizador!G:G)&gt;0,SUMIFS(Compat_Vetado!D:D,Compat_Vetado!B:B,SUM(G:G),Compat_Vetado!C:C,Q131)=-1),"NO","")))</f>
        <v/>
      </c>
      <c r="T131" s="4" t="str">
        <f t="shared" si="6"/>
        <v/>
      </c>
      <c r="U131" s="4" t="str">
        <f>IFERROR(__xludf.DUMMYFUNCTION("IF(P131="""","""",IFERROR(INDEX(filter(Productos!E:E,Productos!F:F=L131,Productos!H:H=N131),P131),IF(M131=SUM(D:D),""Finalizar"",""-"")))"),"")</f>
        <v/>
      </c>
      <c r="V131" s="4" t="str">
        <f>IFERROR(__xludf.DUMMYFUNCTION("IF(OR($U131="""",COUNTIF($I:$I,IFERROR(unique(filter(Prod_Prop!$H:$H,Prod_Prop!$G:$G=$U131,Prod_Prop!$E:$E=V$1)),""Check""))=0),"""",IFERROR(unique(filter(Prod_Prop!$H:$H,Prod_Prop!$G:$G=$U131,Prod_Prop!$E:$E=V$1)),""""))"),"")</f>
        <v/>
      </c>
      <c r="W131" s="4" t="str">
        <f>IF(V131="","",SUMIFS(Prod_Prop!$J:$J,Prod_Prop!$B:$B,$Q131,Prod_Prop!$H:$H,V131,Prod_Prop!$I:$I,W$1)*IF(V131="Peso",$R131,1))</f>
        <v/>
      </c>
      <c r="X131" s="4" t="str">
        <f>IF(V131="","",SUMIFS(Prod_Prop!$J:$J,Prod_Prop!$B:$B,$Q131,Prod_Prop!$H:$H,V131,Prod_Prop!$I:$I,X$1)*IF(V131="Peso",$R131,1))</f>
        <v/>
      </c>
      <c r="Y131" s="4" t="str">
        <f>IFERROR(__xludf.DUMMYFUNCTION("IF(OR($U131="""",COUNTIF($I:$I,IFERROR(unique(filter(Prod_Prop!$H:$H,Prod_Prop!$G:$G=$U131,Prod_Prop!$E:$E=Y$1)),""Check""))=0),"""",IFERROR(unique(filter(Prod_Prop!$H:$H,Prod_Prop!$G:$G=$U131,Prod_Prop!$E:$E=Y$1)),""""))"),"")</f>
        <v/>
      </c>
      <c r="Z131" s="4" t="str">
        <f>IF(Y131="","",SUMIFS(Prod_Prop!$J:$J,Prod_Prop!$B:$B,$Q131,Prod_Prop!$H:$H,Y131,Prod_Prop!$I:$I,Z$1)*IF(Y131="Peso",$R131,1))</f>
        <v/>
      </c>
      <c r="AA131" s="4" t="str">
        <f>IF(Y131="","",SUMIFS(Prod_Prop!$J:$J,Prod_Prop!$B:$B,$Q131,Prod_Prop!$H:$H,Y131,Prod_Prop!$I:$I,AA$1)*IF(Y131="Peso",$R131,1))</f>
        <v/>
      </c>
      <c r="AB131" s="4" t="str">
        <f>IFERROR(__xludf.DUMMYFUNCTION("IF(OR($U131="""",COUNTIF($I:$I,IFERROR(unique(filter(Prod_Prop!$H:$H,Prod_Prop!$G:$G=$U131,Prod_Prop!$E:$E=AB$1)),""Check""))=0),"""",IFERROR(unique(filter(Prod_Prop!$H:$H,Prod_Prop!$G:$G=$U131,Prod_Prop!$E:$E=AB$1)),""""))"),"")</f>
        <v/>
      </c>
      <c r="AC131" s="4" t="str">
        <f>IF(AB131="","",SUMIFS(Prod_Prop!$J:$J,Prod_Prop!$B:$B,$Q131,Prod_Prop!$H:$H,AB131,Prod_Prop!$I:$I,AC$1)*IF(AB131="Peso",$R131,1))</f>
        <v/>
      </c>
      <c r="AD131" s="4" t="str">
        <f>IF(AB131="","",SUMIFS(Prod_Prop!$J:$J,Prod_Prop!$B:$B,$Q131,Prod_Prop!$H:$H,AB131,Prod_Prop!$I:$I,AD$1)*IF(AB131="Peso",$R131,1))</f>
        <v/>
      </c>
    </row>
    <row r="132">
      <c r="A132" s="4" t="str">
        <f t="array" ref="A132">IF(COUNTIF(A$1:A131,Cotizador!F$2)=maxifs(Familias!E:E,Familias!D:D,Cotizador!F$2),IF(COUNTIF(A$1:A131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2" s="4" t="str">
        <f t="shared" si="1"/>
        <v/>
      </c>
      <c r="C132" s="4" t="str">
        <f t="array" ref="C132">IF(B132="","",IF(A132=XLOOKUP(A$2,Implementos!B:B,Implementos!C:C,"",0,1),B132+maxifs(B$1:B131,A$1:A131,A$2),B132))</f>
        <v/>
      </c>
      <c r="D132" s="4" t="str">
        <f>IF(B132="","", COUNTIFS(Productos!F:F,A132,Productos!H:H,B132)+IF(F132="SI",0,1))</f>
        <v/>
      </c>
      <c r="E132" s="4" t="str">
        <f>IFERROR(__xludf.DUMMYFUNCTION("IF($B132="""","""",INDEX(filter(Familias!F:F,Familias!$D:$D=$A132,Familias!$E:$E=$B132),1))"),"")</f>
        <v/>
      </c>
      <c r="F132" s="4" t="str">
        <f>IFERROR(__xludf.DUMMYFUNCTION("IF($B132="""","""",INDEX(filter(Familias!G:G,Familias!$D:$D=$A132,Familias!$E:$E=$B132),1))"),"")</f>
        <v/>
      </c>
      <c r="G132" s="4" t="str">
        <f t="array" ref="G132">IF(C132=1,XLOOKUP(C132,Cotizador!D:D,Cotizador!E:E,"",0,1),"")</f>
        <v/>
      </c>
      <c r="I132" s="4"/>
      <c r="J132" s="8" t="str">
        <f>IF(I132="","",SUMIF(Cotizador!I$1:V$1,I132,Cotizador!I$2:V$2))</f>
        <v/>
      </c>
      <c r="L132" s="4" t="str">
        <f t="array" ref="L132">IF(COUNTIF(L$1:L131,A$2)=SUMIF(A:A,A$2,D:D),IF(COUNTIF(L$1:L131,XLOOKUP(A$2,Implementos!B:B,Implementos!C:C,"",0,1))=SUMIF(A:A,XLOOKUP(A$2,Implementos!B:B,Implementos!C:C,"",0,1),D:D),"",XLOOKUP(A$2,Implementos!B:B,Implementos!C:C,"",0,1)),A$2)</f>
        <v/>
      </c>
      <c r="M132" s="4" t="str">
        <f t="shared" si="2"/>
        <v/>
      </c>
      <c r="N132" s="4" t="str">
        <f t="shared" si="3"/>
        <v/>
      </c>
      <c r="O132" s="4" t="str">
        <f t="shared" si="4"/>
        <v/>
      </c>
      <c r="P132" s="4" t="str">
        <f t="shared" si="5"/>
        <v/>
      </c>
      <c r="Q132" s="4" t="str">
        <f>IF(U132="","",SUMIF(Productos!E:E,U132,Productos!A:A))</f>
        <v/>
      </c>
      <c r="R132" s="4" t="str">
        <f t="array" ref="R132">IF(L132="","", max(1,SUMIF(I:I,XLOOKUP(U132,Productos!E:E,Productos!G:G,"",0,1),J:J)))</f>
        <v/>
      </c>
      <c r="S132" s="4" t="str">
        <f>IF(Q132="","",IF(SUMIFS(Compat_Vetado!D:D,Compat_Vetado!B:B,SUM(G:G),Compat_Vetado!C:C,Q132)=1,"SI",IF(OR(SUMIF(Cotizador!E:E,Q132,Cotizador!G:G)&gt;0,SUMIFS(Compat_Vetado!D:D,Compat_Vetado!B:B,SUM(G:G),Compat_Vetado!C:C,Q132)=-1),"NO","")))</f>
        <v/>
      </c>
      <c r="T132" s="4" t="str">
        <f t="shared" si="6"/>
        <v/>
      </c>
      <c r="U132" s="4" t="str">
        <f>IFERROR(__xludf.DUMMYFUNCTION("IF(P132="""","""",IFERROR(INDEX(filter(Productos!E:E,Productos!F:F=L132,Productos!H:H=N132),P132),IF(M132=SUM(D:D),""Finalizar"",""-"")))"),"")</f>
        <v/>
      </c>
      <c r="V132" s="4" t="str">
        <f>IFERROR(__xludf.DUMMYFUNCTION("IF(OR($U132="""",COUNTIF($I:$I,IFERROR(unique(filter(Prod_Prop!$H:$H,Prod_Prop!$G:$G=$U132,Prod_Prop!$E:$E=V$1)),""Check""))=0),"""",IFERROR(unique(filter(Prod_Prop!$H:$H,Prod_Prop!$G:$G=$U132,Prod_Prop!$E:$E=V$1)),""""))"),"")</f>
        <v/>
      </c>
      <c r="W132" s="4" t="str">
        <f>IF(V132="","",SUMIFS(Prod_Prop!$J:$J,Prod_Prop!$B:$B,$Q132,Prod_Prop!$H:$H,V132,Prod_Prop!$I:$I,W$1)*IF(V132="Peso",$R132,1))</f>
        <v/>
      </c>
      <c r="X132" s="4" t="str">
        <f>IF(V132="","",SUMIFS(Prod_Prop!$J:$J,Prod_Prop!$B:$B,$Q132,Prod_Prop!$H:$H,V132,Prod_Prop!$I:$I,X$1)*IF(V132="Peso",$R132,1))</f>
        <v/>
      </c>
      <c r="Y132" s="4" t="str">
        <f>IFERROR(__xludf.DUMMYFUNCTION("IF(OR($U132="""",COUNTIF($I:$I,IFERROR(unique(filter(Prod_Prop!$H:$H,Prod_Prop!$G:$G=$U132,Prod_Prop!$E:$E=Y$1)),""Check""))=0),"""",IFERROR(unique(filter(Prod_Prop!$H:$H,Prod_Prop!$G:$G=$U132,Prod_Prop!$E:$E=Y$1)),""""))"),"")</f>
        <v/>
      </c>
      <c r="Z132" s="4" t="str">
        <f>IF(Y132="","",SUMIFS(Prod_Prop!$J:$J,Prod_Prop!$B:$B,$Q132,Prod_Prop!$H:$H,Y132,Prod_Prop!$I:$I,Z$1)*IF(Y132="Peso",$R132,1))</f>
        <v/>
      </c>
      <c r="AA132" s="4" t="str">
        <f>IF(Y132="","",SUMIFS(Prod_Prop!$J:$J,Prod_Prop!$B:$B,$Q132,Prod_Prop!$H:$H,Y132,Prod_Prop!$I:$I,AA$1)*IF(Y132="Peso",$R132,1))</f>
        <v/>
      </c>
      <c r="AB132" s="4" t="str">
        <f>IFERROR(__xludf.DUMMYFUNCTION("IF(OR($U132="""",COUNTIF($I:$I,IFERROR(unique(filter(Prod_Prop!$H:$H,Prod_Prop!$G:$G=$U132,Prod_Prop!$E:$E=AB$1)),""Check""))=0),"""",IFERROR(unique(filter(Prod_Prop!$H:$H,Prod_Prop!$G:$G=$U132,Prod_Prop!$E:$E=AB$1)),""""))"),"")</f>
        <v/>
      </c>
      <c r="AC132" s="4" t="str">
        <f>IF(AB132="","",SUMIFS(Prod_Prop!$J:$J,Prod_Prop!$B:$B,$Q132,Prod_Prop!$H:$H,AB132,Prod_Prop!$I:$I,AC$1)*IF(AB132="Peso",$R132,1))</f>
        <v/>
      </c>
      <c r="AD132" s="4" t="str">
        <f>IF(AB132="","",SUMIFS(Prod_Prop!$J:$J,Prod_Prop!$B:$B,$Q132,Prod_Prop!$H:$H,AB132,Prod_Prop!$I:$I,AD$1)*IF(AB132="Peso",$R132,1))</f>
        <v/>
      </c>
    </row>
    <row r="133">
      <c r="A133" s="4" t="str">
        <f t="array" ref="A133">IF(COUNTIF(A$1:A132,Cotizador!F$2)=maxifs(Familias!E:E,Familias!D:D,Cotizador!F$2),IF(COUNTIF(A$1:A132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3" s="4" t="str">
        <f t="shared" si="1"/>
        <v/>
      </c>
      <c r="C133" s="4" t="str">
        <f t="array" ref="C133">IF(B133="","",IF(A133=XLOOKUP(A$2,Implementos!B:B,Implementos!C:C,"",0,1),B133+maxifs(B$1:B132,A$1:A132,A$2),B133))</f>
        <v/>
      </c>
      <c r="D133" s="4" t="str">
        <f>IF(B133="","", COUNTIFS(Productos!F:F,A133,Productos!H:H,B133)+IF(F133="SI",0,1))</f>
        <v/>
      </c>
      <c r="E133" s="4" t="str">
        <f>IFERROR(__xludf.DUMMYFUNCTION("IF($B133="""","""",INDEX(filter(Familias!F:F,Familias!$D:$D=$A133,Familias!$E:$E=$B133),1))"),"")</f>
        <v/>
      </c>
      <c r="F133" s="4" t="str">
        <f>IFERROR(__xludf.DUMMYFUNCTION("IF($B133="""","""",INDEX(filter(Familias!G:G,Familias!$D:$D=$A133,Familias!$E:$E=$B133),1))"),"")</f>
        <v/>
      </c>
      <c r="G133" s="4" t="str">
        <f t="array" ref="G133">IF(C133=1,XLOOKUP(C133,Cotizador!D:D,Cotizador!E:E,"",0,1),"")</f>
        <v/>
      </c>
      <c r="I133" s="4"/>
      <c r="J133" s="8" t="str">
        <f>IF(I133="","",SUMIF(Cotizador!I$1:V$1,I133,Cotizador!I$2:V$2))</f>
        <v/>
      </c>
      <c r="L133" s="4" t="str">
        <f t="array" ref="L133">IF(COUNTIF(L$1:L132,A$2)=SUMIF(A:A,A$2,D:D),IF(COUNTIF(L$1:L132,XLOOKUP(A$2,Implementos!B:B,Implementos!C:C,"",0,1))=SUMIF(A:A,XLOOKUP(A$2,Implementos!B:B,Implementos!C:C,"",0,1),D:D),"",XLOOKUP(A$2,Implementos!B:B,Implementos!C:C,"",0,1)),A$2)</f>
        <v/>
      </c>
      <c r="M133" s="4" t="str">
        <f t="shared" si="2"/>
        <v/>
      </c>
      <c r="N133" s="4" t="str">
        <f t="shared" si="3"/>
        <v/>
      </c>
      <c r="O133" s="4" t="str">
        <f t="shared" si="4"/>
        <v/>
      </c>
      <c r="P133" s="4" t="str">
        <f t="shared" si="5"/>
        <v/>
      </c>
      <c r="Q133" s="4" t="str">
        <f>IF(U133="","",SUMIF(Productos!E:E,U133,Productos!A:A))</f>
        <v/>
      </c>
      <c r="R133" s="4" t="str">
        <f t="array" ref="R133">IF(L133="","", max(1,SUMIF(I:I,XLOOKUP(U133,Productos!E:E,Productos!G:G,"",0,1),J:J)))</f>
        <v/>
      </c>
      <c r="S133" s="4" t="str">
        <f>IF(Q133="","",IF(SUMIFS(Compat_Vetado!D:D,Compat_Vetado!B:B,SUM(G:G),Compat_Vetado!C:C,Q133)=1,"SI",IF(OR(SUMIF(Cotizador!E:E,Q133,Cotizador!G:G)&gt;0,SUMIFS(Compat_Vetado!D:D,Compat_Vetado!B:B,SUM(G:G),Compat_Vetado!C:C,Q133)=-1),"NO","")))</f>
        <v/>
      </c>
      <c r="T133" s="4" t="str">
        <f t="shared" si="6"/>
        <v/>
      </c>
      <c r="U133" s="4" t="str">
        <f>IFERROR(__xludf.DUMMYFUNCTION("IF(P133="""","""",IFERROR(INDEX(filter(Productos!E:E,Productos!F:F=L133,Productos!H:H=N133),P133),IF(M133=SUM(D:D),""Finalizar"",""-"")))"),"")</f>
        <v/>
      </c>
      <c r="V133" s="4" t="str">
        <f>IFERROR(__xludf.DUMMYFUNCTION("IF(OR($U133="""",COUNTIF($I:$I,IFERROR(unique(filter(Prod_Prop!$H:$H,Prod_Prop!$G:$G=$U133,Prod_Prop!$E:$E=V$1)),""Check""))=0),"""",IFERROR(unique(filter(Prod_Prop!$H:$H,Prod_Prop!$G:$G=$U133,Prod_Prop!$E:$E=V$1)),""""))"),"")</f>
        <v/>
      </c>
      <c r="W133" s="4" t="str">
        <f>IF(V133="","",SUMIFS(Prod_Prop!$J:$J,Prod_Prop!$B:$B,$Q133,Prod_Prop!$H:$H,V133,Prod_Prop!$I:$I,W$1)*IF(V133="Peso",$R133,1))</f>
        <v/>
      </c>
      <c r="X133" s="4" t="str">
        <f>IF(V133="","",SUMIFS(Prod_Prop!$J:$J,Prod_Prop!$B:$B,$Q133,Prod_Prop!$H:$H,V133,Prod_Prop!$I:$I,X$1)*IF(V133="Peso",$R133,1))</f>
        <v/>
      </c>
      <c r="Y133" s="4" t="str">
        <f>IFERROR(__xludf.DUMMYFUNCTION("IF(OR($U133="""",COUNTIF($I:$I,IFERROR(unique(filter(Prod_Prop!$H:$H,Prod_Prop!$G:$G=$U133,Prod_Prop!$E:$E=Y$1)),""Check""))=0),"""",IFERROR(unique(filter(Prod_Prop!$H:$H,Prod_Prop!$G:$G=$U133,Prod_Prop!$E:$E=Y$1)),""""))"),"")</f>
        <v/>
      </c>
      <c r="Z133" s="4" t="str">
        <f>IF(Y133="","",SUMIFS(Prod_Prop!$J:$J,Prod_Prop!$B:$B,$Q133,Prod_Prop!$H:$H,Y133,Prod_Prop!$I:$I,Z$1)*IF(Y133="Peso",$R133,1))</f>
        <v/>
      </c>
      <c r="AA133" s="4" t="str">
        <f>IF(Y133="","",SUMIFS(Prod_Prop!$J:$J,Prod_Prop!$B:$B,$Q133,Prod_Prop!$H:$H,Y133,Prod_Prop!$I:$I,AA$1)*IF(Y133="Peso",$R133,1))</f>
        <v/>
      </c>
      <c r="AB133" s="4" t="str">
        <f>IFERROR(__xludf.DUMMYFUNCTION("IF(OR($U133="""",COUNTIF($I:$I,IFERROR(unique(filter(Prod_Prop!$H:$H,Prod_Prop!$G:$G=$U133,Prod_Prop!$E:$E=AB$1)),""Check""))=0),"""",IFERROR(unique(filter(Prod_Prop!$H:$H,Prod_Prop!$G:$G=$U133,Prod_Prop!$E:$E=AB$1)),""""))"),"")</f>
        <v/>
      </c>
      <c r="AC133" s="4" t="str">
        <f>IF(AB133="","",SUMIFS(Prod_Prop!$J:$J,Prod_Prop!$B:$B,$Q133,Prod_Prop!$H:$H,AB133,Prod_Prop!$I:$I,AC$1)*IF(AB133="Peso",$R133,1))</f>
        <v/>
      </c>
      <c r="AD133" s="4" t="str">
        <f>IF(AB133="","",SUMIFS(Prod_Prop!$J:$J,Prod_Prop!$B:$B,$Q133,Prod_Prop!$H:$H,AB133,Prod_Prop!$I:$I,AD$1)*IF(AB133="Peso",$R133,1))</f>
        <v/>
      </c>
    </row>
    <row r="134">
      <c r="A134" s="4" t="str">
        <f t="array" ref="A134">IF(COUNTIF(A$1:A133,Cotizador!F$2)=maxifs(Familias!E:E,Familias!D:D,Cotizador!F$2),IF(COUNTIF(A$1:A133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4" s="4" t="str">
        <f t="shared" si="1"/>
        <v/>
      </c>
      <c r="C134" s="4" t="str">
        <f t="array" ref="C134">IF(B134="","",IF(A134=XLOOKUP(A$2,Implementos!B:B,Implementos!C:C,"",0,1),B134+maxifs(B$1:B133,A$1:A133,A$2),B134))</f>
        <v/>
      </c>
      <c r="D134" s="4" t="str">
        <f>IF(B134="","", COUNTIFS(Productos!F:F,A134,Productos!H:H,B134)+IF(F134="SI",0,1))</f>
        <v/>
      </c>
      <c r="E134" s="4" t="str">
        <f>IFERROR(__xludf.DUMMYFUNCTION("IF($B134="""","""",INDEX(filter(Familias!F:F,Familias!$D:$D=$A134,Familias!$E:$E=$B134),1))"),"")</f>
        <v/>
      </c>
      <c r="F134" s="4" t="str">
        <f>IFERROR(__xludf.DUMMYFUNCTION("IF($B134="""","""",INDEX(filter(Familias!G:G,Familias!$D:$D=$A134,Familias!$E:$E=$B134),1))"),"")</f>
        <v/>
      </c>
      <c r="G134" s="4" t="str">
        <f t="array" ref="G134">IF(C134=1,XLOOKUP(C134,Cotizador!D:D,Cotizador!E:E,"",0,1),"")</f>
        <v/>
      </c>
      <c r="I134" s="4"/>
      <c r="J134" s="8" t="str">
        <f>IF(I134="","",SUMIF(Cotizador!I$1:V$1,I134,Cotizador!I$2:V$2))</f>
        <v/>
      </c>
      <c r="L134" s="4" t="str">
        <f t="array" ref="L134">IF(COUNTIF(L$1:L133,A$2)=SUMIF(A:A,A$2,D:D),IF(COUNTIF(L$1:L133,XLOOKUP(A$2,Implementos!B:B,Implementos!C:C,"",0,1))=SUMIF(A:A,XLOOKUP(A$2,Implementos!B:B,Implementos!C:C,"",0,1),D:D),"",XLOOKUP(A$2,Implementos!B:B,Implementos!C:C,"",0,1)),A$2)</f>
        <v/>
      </c>
      <c r="M134" s="4" t="str">
        <f t="shared" si="2"/>
        <v/>
      </c>
      <c r="N134" s="4" t="str">
        <f t="shared" si="3"/>
        <v/>
      </c>
      <c r="O134" s="4" t="str">
        <f t="shared" si="4"/>
        <v/>
      </c>
      <c r="P134" s="4" t="str">
        <f t="shared" si="5"/>
        <v/>
      </c>
      <c r="Q134" s="4" t="str">
        <f>IF(U134="","",SUMIF(Productos!E:E,U134,Productos!A:A))</f>
        <v/>
      </c>
      <c r="R134" s="4" t="str">
        <f t="array" ref="R134">IF(L134="","", max(1,SUMIF(I:I,XLOOKUP(U134,Productos!E:E,Productos!G:G,"",0,1),J:J)))</f>
        <v/>
      </c>
      <c r="S134" s="4" t="str">
        <f>IF(Q134="","",IF(SUMIFS(Compat_Vetado!D:D,Compat_Vetado!B:B,SUM(G:G),Compat_Vetado!C:C,Q134)=1,"SI",IF(OR(SUMIF(Cotizador!E:E,Q134,Cotizador!G:G)&gt;0,SUMIFS(Compat_Vetado!D:D,Compat_Vetado!B:B,SUM(G:G),Compat_Vetado!C:C,Q134)=-1),"NO","")))</f>
        <v/>
      </c>
      <c r="T134" s="4" t="str">
        <f t="shared" si="6"/>
        <v/>
      </c>
      <c r="U134" s="4" t="str">
        <f>IFERROR(__xludf.DUMMYFUNCTION("IF(P134="""","""",IFERROR(INDEX(filter(Productos!E:E,Productos!F:F=L134,Productos!H:H=N134),P134),IF(M134=SUM(D:D),""Finalizar"",""-"")))"),"")</f>
        <v/>
      </c>
      <c r="V134" s="4" t="str">
        <f>IFERROR(__xludf.DUMMYFUNCTION("IF(OR($U134="""",COUNTIF($I:$I,IFERROR(unique(filter(Prod_Prop!$H:$H,Prod_Prop!$G:$G=$U134,Prod_Prop!$E:$E=V$1)),""Check""))=0),"""",IFERROR(unique(filter(Prod_Prop!$H:$H,Prod_Prop!$G:$G=$U134,Prod_Prop!$E:$E=V$1)),""""))"),"")</f>
        <v/>
      </c>
      <c r="W134" s="4" t="str">
        <f>IF(V134="","",SUMIFS(Prod_Prop!$J:$J,Prod_Prop!$B:$B,$Q134,Prod_Prop!$H:$H,V134,Prod_Prop!$I:$I,W$1)*IF(V134="Peso",$R134,1))</f>
        <v/>
      </c>
      <c r="X134" s="4" t="str">
        <f>IF(V134="","",SUMIFS(Prod_Prop!$J:$J,Prod_Prop!$B:$B,$Q134,Prod_Prop!$H:$H,V134,Prod_Prop!$I:$I,X$1)*IF(V134="Peso",$R134,1))</f>
        <v/>
      </c>
      <c r="Y134" s="4" t="str">
        <f>IFERROR(__xludf.DUMMYFUNCTION("IF(OR($U134="""",COUNTIF($I:$I,IFERROR(unique(filter(Prod_Prop!$H:$H,Prod_Prop!$G:$G=$U134,Prod_Prop!$E:$E=Y$1)),""Check""))=0),"""",IFERROR(unique(filter(Prod_Prop!$H:$H,Prod_Prop!$G:$G=$U134,Prod_Prop!$E:$E=Y$1)),""""))"),"")</f>
        <v/>
      </c>
      <c r="Z134" s="4" t="str">
        <f>IF(Y134="","",SUMIFS(Prod_Prop!$J:$J,Prod_Prop!$B:$B,$Q134,Prod_Prop!$H:$H,Y134,Prod_Prop!$I:$I,Z$1)*IF(Y134="Peso",$R134,1))</f>
        <v/>
      </c>
      <c r="AA134" s="4" t="str">
        <f>IF(Y134="","",SUMIFS(Prod_Prop!$J:$J,Prod_Prop!$B:$B,$Q134,Prod_Prop!$H:$H,Y134,Prod_Prop!$I:$I,AA$1)*IF(Y134="Peso",$R134,1))</f>
        <v/>
      </c>
      <c r="AB134" s="4" t="str">
        <f>IFERROR(__xludf.DUMMYFUNCTION("IF(OR($U134="""",COUNTIF($I:$I,IFERROR(unique(filter(Prod_Prop!$H:$H,Prod_Prop!$G:$G=$U134,Prod_Prop!$E:$E=AB$1)),""Check""))=0),"""",IFERROR(unique(filter(Prod_Prop!$H:$H,Prod_Prop!$G:$G=$U134,Prod_Prop!$E:$E=AB$1)),""""))"),"")</f>
        <v/>
      </c>
      <c r="AC134" s="4" t="str">
        <f>IF(AB134="","",SUMIFS(Prod_Prop!$J:$J,Prod_Prop!$B:$B,$Q134,Prod_Prop!$H:$H,AB134,Prod_Prop!$I:$I,AC$1)*IF(AB134="Peso",$R134,1))</f>
        <v/>
      </c>
      <c r="AD134" s="4" t="str">
        <f>IF(AB134="","",SUMIFS(Prod_Prop!$J:$J,Prod_Prop!$B:$B,$Q134,Prod_Prop!$H:$H,AB134,Prod_Prop!$I:$I,AD$1)*IF(AB134="Peso",$R134,1))</f>
        <v/>
      </c>
    </row>
    <row r="135">
      <c r="A135" s="4" t="str">
        <f t="array" ref="A135">IF(COUNTIF(A$1:A134,Cotizador!F$2)=maxifs(Familias!E:E,Familias!D:D,Cotizador!F$2),IF(COUNTIF(A$1:A134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5" s="4" t="str">
        <f t="shared" si="1"/>
        <v/>
      </c>
      <c r="C135" s="4" t="str">
        <f t="array" ref="C135">IF(B135="","",IF(A135=XLOOKUP(A$2,Implementos!B:B,Implementos!C:C,"",0,1),B135+maxifs(B$1:B134,A$1:A134,A$2),B135))</f>
        <v/>
      </c>
      <c r="D135" s="4" t="str">
        <f>IF(B135="","", COUNTIFS(Productos!F:F,A135,Productos!H:H,B135)+IF(F135="SI",0,1))</f>
        <v/>
      </c>
      <c r="E135" s="4" t="str">
        <f>IFERROR(__xludf.DUMMYFUNCTION("IF($B135="""","""",INDEX(filter(Familias!F:F,Familias!$D:$D=$A135,Familias!$E:$E=$B135),1))"),"")</f>
        <v/>
      </c>
      <c r="F135" s="4" t="str">
        <f>IFERROR(__xludf.DUMMYFUNCTION("IF($B135="""","""",INDEX(filter(Familias!G:G,Familias!$D:$D=$A135,Familias!$E:$E=$B135),1))"),"")</f>
        <v/>
      </c>
      <c r="G135" s="4" t="str">
        <f t="array" ref="G135">IF(C135=1,XLOOKUP(C135,Cotizador!D:D,Cotizador!E:E,"",0,1),"")</f>
        <v/>
      </c>
      <c r="I135" s="4"/>
      <c r="J135" s="8" t="str">
        <f>IF(I135="","",SUMIF(Cotizador!I$1:V$1,I135,Cotizador!I$2:V$2))</f>
        <v/>
      </c>
      <c r="L135" s="4" t="str">
        <f t="array" ref="L135">IF(COUNTIF(L$1:L134,A$2)=SUMIF(A:A,A$2,D:D),IF(COUNTIF(L$1:L134,XLOOKUP(A$2,Implementos!B:B,Implementos!C:C,"",0,1))=SUMIF(A:A,XLOOKUP(A$2,Implementos!B:B,Implementos!C:C,"",0,1),D:D),"",XLOOKUP(A$2,Implementos!B:B,Implementos!C:C,"",0,1)),A$2)</f>
        <v/>
      </c>
      <c r="M135" s="4" t="str">
        <f t="shared" si="2"/>
        <v/>
      </c>
      <c r="N135" s="4" t="str">
        <f t="shared" si="3"/>
        <v/>
      </c>
      <c r="O135" s="4" t="str">
        <f t="shared" si="4"/>
        <v/>
      </c>
      <c r="P135" s="4" t="str">
        <f t="shared" si="5"/>
        <v/>
      </c>
      <c r="Q135" s="4" t="str">
        <f>IF(U135="","",SUMIF(Productos!E:E,U135,Productos!A:A))</f>
        <v/>
      </c>
      <c r="R135" s="4" t="str">
        <f t="array" ref="R135">IF(L135="","", max(1,SUMIF(I:I,XLOOKUP(U135,Productos!E:E,Productos!G:G,"",0,1),J:J)))</f>
        <v/>
      </c>
      <c r="S135" s="4" t="str">
        <f>IF(Q135="","",IF(SUMIFS(Compat_Vetado!D:D,Compat_Vetado!B:B,SUM(G:G),Compat_Vetado!C:C,Q135)=1,"SI",IF(OR(SUMIF(Cotizador!E:E,Q135,Cotizador!G:G)&gt;0,SUMIFS(Compat_Vetado!D:D,Compat_Vetado!B:B,SUM(G:G),Compat_Vetado!C:C,Q135)=-1),"NO","")))</f>
        <v/>
      </c>
      <c r="T135" s="4" t="str">
        <f t="shared" si="6"/>
        <v/>
      </c>
      <c r="U135" s="4" t="str">
        <f>IFERROR(__xludf.DUMMYFUNCTION("IF(P135="""","""",IFERROR(INDEX(filter(Productos!E:E,Productos!F:F=L135,Productos!H:H=N135),P135),IF(M135=SUM(D:D),""Finalizar"",""-"")))"),"")</f>
        <v/>
      </c>
      <c r="V135" s="4" t="str">
        <f>IFERROR(__xludf.DUMMYFUNCTION("IF(OR($U135="""",COUNTIF($I:$I,IFERROR(unique(filter(Prod_Prop!$H:$H,Prod_Prop!$G:$G=$U135,Prod_Prop!$E:$E=V$1)),""Check""))=0),"""",IFERROR(unique(filter(Prod_Prop!$H:$H,Prod_Prop!$G:$G=$U135,Prod_Prop!$E:$E=V$1)),""""))"),"")</f>
        <v/>
      </c>
      <c r="W135" s="4" t="str">
        <f>IF(V135="","",SUMIFS(Prod_Prop!$J:$J,Prod_Prop!$B:$B,$Q135,Prod_Prop!$H:$H,V135,Prod_Prop!$I:$I,W$1)*IF(V135="Peso",$R135,1))</f>
        <v/>
      </c>
      <c r="X135" s="4" t="str">
        <f>IF(V135="","",SUMIFS(Prod_Prop!$J:$J,Prod_Prop!$B:$B,$Q135,Prod_Prop!$H:$H,V135,Prod_Prop!$I:$I,X$1)*IF(V135="Peso",$R135,1))</f>
        <v/>
      </c>
      <c r="Y135" s="4" t="str">
        <f>IFERROR(__xludf.DUMMYFUNCTION("IF(OR($U135="""",COUNTIF($I:$I,IFERROR(unique(filter(Prod_Prop!$H:$H,Prod_Prop!$G:$G=$U135,Prod_Prop!$E:$E=Y$1)),""Check""))=0),"""",IFERROR(unique(filter(Prod_Prop!$H:$H,Prod_Prop!$G:$G=$U135,Prod_Prop!$E:$E=Y$1)),""""))"),"")</f>
        <v/>
      </c>
      <c r="Z135" s="4" t="str">
        <f>IF(Y135="","",SUMIFS(Prod_Prop!$J:$J,Prod_Prop!$B:$B,$Q135,Prod_Prop!$H:$H,Y135,Prod_Prop!$I:$I,Z$1)*IF(Y135="Peso",$R135,1))</f>
        <v/>
      </c>
      <c r="AA135" s="4" t="str">
        <f>IF(Y135="","",SUMIFS(Prod_Prop!$J:$J,Prod_Prop!$B:$B,$Q135,Prod_Prop!$H:$H,Y135,Prod_Prop!$I:$I,AA$1)*IF(Y135="Peso",$R135,1))</f>
        <v/>
      </c>
      <c r="AB135" s="4" t="str">
        <f>IFERROR(__xludf.DUMMYFUNCTION("IF(OR($U135="""",COUNTIF($I:$I,IFERROR(unique(filter(Prod_Prop!$H:$H,Prod_Prop!$G:$G=$U135,Prod_Prop!$E:$E=AB$1)),""Check""))=0),"""",IFERROR(unique(filter(Prod_Prop!$H:$H,Prod_Prop!$G:$G=$U135,Prod_Prop!$E:$E=AB$1)),""""))"),"")</f>
        <v/>
      </c>
      <c r="AC135" s="4" t="str">
        <f>IF(AB135="","",SUMIFS(Prod_Prop!$J:$J,Prod_Prop!$B:$B,$Q135,Prod_Prop!$H:$H,AB135,Prod_Prop!$I:$I,AC$1)*IF(AB135="Peso",$R135,1))</f>
        <v/>
      </c>
      <c r="AD135" s="4" t="str">
        <f>IF(AB135="","",SUMIFS(Prod_Prop!$J:$J,Prod_Prop!$B:$B,$Q135,Prod_Prop!$H:$H,AB135,Prod_Prop!$I:$I,AD$1)*IF(AB135="Peso",$R135,1))</f>
        <v/>
      </c>
    </row>
    <row r="136">
      <c r="A136" s="4" t="str">
        <f t="array" ref="A136">IF(COUNTIF(A$1:A135,Cotizador!F$2)=maxifs(Familias!E:E,Familias!D:D,Cotizador!F$2),IF(COUNTIF(A$1:A135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6" s="4" t="str">
        <f t="shared" si="1"/>
        <v/>
      </c>
      <c r="C136" s="4" t="str">
        <f t="array" ref="C136">IF(B136="","",IF(A136=XLOOKUP(A$2,Implementos!B:B,Implementos!C:C,"",0,1),B136+maxifs(B$1:B135,A$1:A135,A$2),B136))</f>
        <v/>
      </c>
      <c r="D136" s="4" t="str">
        <f>IF(B136="","", COUNTIFS(Productos!F:F,A136,Productos!H:H,B136)+IF(F136="SI",0,1))</f>
        <v/>
      </c>
      <c r="E136" s="4" t="str">
        <f>IFERROR(__xludf.DUMMYFUNCTION("IF($B136="""","""",INDEX(filter(Familias!F:F,Familias!$D:$D=$A136,Familias!$E:$E=$B136),1))"),"")</f>
        <v/>
      </c>
      <c r="F136" s="4" t="str">
        <f>IFERROR(__xludf.DUMMYFUNCTION("IF($B136="""","""",INDEX(filter(Familias!G:G,Familias!$D:$D=$A136,Familias!$E:$E=$B136),1))"),"")</f>
        <v/>
      </c>
      <c r="G136" s="4" t="str">
        <f t="array" ref="G136">IF(C136=1,XLOOKUP(C136,Cotizador!D:D,Cotizador!E:E,"",0,1),"")</f>
        <v/>
      </c>
      <c r="I136" s="4"/>
      <c r="J136" s="8" t="str">
        <f>IF(I136="","",SUMIF(Cotizador!I$1:V$1,I136,Cotizador!I$2:V$2))</f>
        <v/>
      </c>
      <c r="L136" s="4" t="str">
        <f t="array" ref="L136">IF(COUNTIF(L$1:L135,A$2)=SUMIF(A:A,A$2,D:D),IF(COUNTIF(L$1:L135,XLOOKUP(A$2,Implementos!B:B,Implementos!C:C,"",0,1))=SUMIF(A:A,XLOOKUP(A$2,Implementos!B:B,Implementos!C:C,"",0,1),D:D),"",XLOOKUP(A$2,Implementos!B:B,Implementos!C:C,"",0,1)),A$2)</f>
        <v/>
      </c>
      <c r="M136" s="4" t="str">
        <f t="shared" si="2"/>
        <v/>
      </c>
      <c r="N136" s="4" t="str">
        <f t="shared" si="3"/>
        <v/>
      </c>
      <c r="O136" s="4" t="str">
        <f t="shared" si="4"/>
        <v/>
      </c>
      <c r="P136" s="4" t="str">
        <f t="shared" si="5"/>
        <v/>
      </c>
      <c r="Q136" s="4" t="str">
        <f>IF(U136="","",SUMIF(Productos!E:E,U136,Productos!A:A))</f>
        <v/>
      </c>
      <c r="R136" s="4" t="str">
        <f t="array" ref="R136">IF(L136="","", max(1,SUMIF(I:I,XLOOKUP(U136,Productos!E:E,Productos!G:G,"",0,1),J:J)))</f>
        <v/>
      </c>
      <c r="S136" s="4" t="str">
        <f>IF(Q136="","",IF(SUMIFS(Compat_Vetado!D:D,Compat_Vetado!B:B,SUM(G:G),Compat_Vetado!C:C,Q136)=1,"SI",IF(OR(SUMIF(Cotizador!E:E,Q136,Cotizador!G:G)&gt;0,SUMIFS(Compat_Vetado!D:D,Compat_Vetado!B:B,SUM(G:G),Compat_Vetado!C:C,Q136)=-1),"NO","")))</f>
        <v/>
      </c>
      <c r="T136" s="4" t="str">
        <f t="shared" si="6"/>
        <v/>
      </c>
      <c r="U136" s="4" t="str">
        <f>IFERROR(__xludf.DUMMYFUNCTION("IF(P136="""","""",IFERROR(INDEX(filter(Productos!E:E,Productos!F:F=L136,Productos!H:H=N136),P136),IF(M136=SUM(D:D),""Finalizar"",""-"")))"),"")</f>
        <v/>
      </c>
      <c r="V136" s="4" t="str">
        <f>IFERROR(__xludf.DUMMYFUNCTION("IF(OR($U136="""",COUNTIF($I:$I,IFERROR(unique(filter(Prod_Prop!$H:$H,Prod_Prop!$G:$G=$U136,Prod_Prop!$E:$E=V$1)),""Check""))=0),"""",IFERROR(unique(filter(Prod_Prop!$H:$H,Prod_Prop!$G:$G=$U136,Prod_Prop!$E:$E=V$1)),""""))"),"")</f>
        <v/>
      </c>
      <c r="W136" s="4" t="str">
        <f>IF(V136="","",SUMIFS(Prod_Prop!$J:$J,Prod_Prop!$B:$B,$Q136,Prod_Prop!$H:$H,V136,Prod_Prop!$I:$I,W$1)*IF(V136="Peso",$R136,1))</f>
        <v/>
      </c>
      <c r="X136" s="4" t="str">
        <f>IF(V136="","",SUMIFS(Prod_Prop!$J:$J,Prod_Prop!$B:$B,$Q136,Prod_Prop!$H:$H,V136,Prod_Prop!$I:$I,X$1)*IF(V136="Peso",$R136,1))</f>
        <v/>
      </c>
      <c r="Y136" s="4" t="str">
        <f>IFERROR(__xludf.DUMMYFUNCTION("IF(OR($U136="""",COUNTIF($I:$I,IFERROR(unique(filter(Prod_Prop!$H:$H,Prod_Prop!$G:$G=$U136,Prod_Prop!$E:$E=Y$1)),""Check""))=0),"""",IFERROR(unique(filter(Prod_Prop!$H:$H,Prod_Prop!$G:$G=$U136,Prod_Prop!$E:$E=Y$1)),""""))"),"")</f>
        <v/>
      </c>
      <c r="Z136" s="4" t="str">
        <f>IF(Y136="","",SUMIFS(Prod_Prop!$J:$J,Prod_Prop!$B:$B,$Q136,Prod_Prop!$H:$H,Y136,Prod_Prop!$I:$I,Z$1)*IF(Y136="Peso",$R136,1))</f>
        <v/>
      </c>
      <c r="AA136" s="4" t="str">
        <f>IF(Y136="","",SUMIFS(Prod_Prop!$J:$J,Prod_Prop!$B:$B,$Q136,Prod_Prop!$H:$H,Y136,Prod_Prop!$I:$I,AA$1)*IF(Y136="Peso",$R136,1))</f>
        <v/>
      </c>
      <c r="AB136" s="4" t="str">
        <f>IFERROR(__xludf.DUMMYFUNCTION("IF(OR($U136="""",COUNTIF($I:$I,IFERROR(unique(filter(Prod_Prop!$H:$H,Prod_Prop!$G:$G=$U136,Prod_Prop!$E:$E=AB$1)),""Check""))=0),"""",IFERROR(unique(filter(Prod_Prop!$H:$H,Prod_Prop!$G:$G=$U136,Prod_Prop!$E:$E=AB$1)),""""))"),"")</f>
        <v/>
      </c>
      <c r="AC136" s="4" t="str">
        <f>IF(AB136="","",SUMIFS(Prod_Prop!$J:$J,Prod_Prop!$B:$B,$Q136,Prod_Prop!$H:$H,AB136,Prod_Prop!$I:$I,AC$1)*IF(AB136="Peso",$R136,1))</f>
        <v/>
      </c>
      <c r="AD136" s="4" t="str">
        <f>IF(AB136="","",SUMIFS(Prod_Prop!$J:$J,Prod_Prop!$B:$B,$Q136,Prod_Prop!$H:$H,AB136,Prod_Prop!$I:$I,AD$1)*IF(AB136="Peso",$R136,1))</f>
        <v/>
      </c>
    </row>
    <row r="137">
      <c r="A137" s="4" t="str">
        <f t="array" ref="A137">IF(COUNTIF(A$1:A136,Cotizador!F$2)=maxifs(Familias!E:E,Familias!D:D,Cotizador!F$2),IF(COUNTIF(A$1:A136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7" s="4" t="str">
        <f t="shared" si="1"/>
        <v/>
      </c>
      <c r="C137" s="4" t="str">
        <f t="array" ref="C137">IF(B137="","",IF(A137=XLOOKUP(A$2,Implementos!B:B,Implementos!C:C,"",0,1),B137+maxifs(B$1:B136,A$1:A136,A$2),B137))</f>
        <v/>
      </c>
      <c r="D137" s="4" t="str">
        <f>IF(B137="","", COUNTIFS(Productos!F:F,A137,Productos!H:H,B137)+IF(F137="SI",0,1))</f>
        <v/>
      </c>
      <c r="E137" s="4" t="str">
        <f>IFERROR(__xludf.DUMMYFUNCTION("IF($B137="""","""",INDEX(filter(Familias!F:F,Familias!$D:$D=$A137,Familias!$E:$E=$B137),1))"),"")</f>
        <v/>
      </c>
      <c r="F137" s="4" t="str">
        <f>IFERROR(__xludf.DUMMYFUNCTION("IF($B137="""","""",INDEX(filter(Familias!G:G,Familias!$D:$D=$A137,Familias!$E:$E=$B137),1))"),"")</f>
        <v/>
      </c>
      <c r="G137" s="4" t="str">
        <f t="array" ref="G137">IF(C137=1,XLOOKUP(C137,Cotizador!D:D,Cotizador!E:E,"",0,1),"")</f>
        <v/>
      </c>
      <c r="I137" s="4"/>
      <c r="J137" s="8" t="str">
        <f>IF(I137="","",SUMIF(Cotizador!I$1:V$1,I137,Cotizador!I$2:V$2))</f>
        <v/>
      </c>
      <c r="L137" s="4" t="str">
        <f t="array" ref="L137">IF(COUNTIF(L$1:L136,A$2)=SUMIF(A:A,A$2,D:D),IF(COUNTIF(L$1:L136,XLOOKUP(A$2,Implementos!B:B,Implementos!C:C,"",0,1))=SUMIF(A:A,XLOOKUP(A$2,Implementos!B:B,Implementos!C:C,"",0,1),D:D),"",XLOOKUP(A$2,Implementos!B:B,Implementos!C:C,"",0,1)),A$2)</f>
        <v/>
      </c>
      <c r="M137" s="4" t="str">
        <f t="shared" si="2"/>
        <v/>
      </c>
      <c r="N137" s="4" t="str">
        <f t="shared" si="3"/>
        <v/>
      </c>
      <c r="O137" s="4" t="str">
        <f t="shared" si="4"/>
        <v/>
      </c>
      <c r="P137" s="4" t="str">
        <f t="shared" si="5"/>
        <v/>
      </c>
      <c r="Q137" s="4" t="str">
        <f>IF(U137="","",SUMIF(Productos!E:E,U137,Productos!A:A))</f>
        <v/>
      </c>
      <c r="R137" s="4" t="str">
        <f t="array" ref="R137">IF(L137="","", max(1,SUMIF(I:I,XLOOKUP(U137,Productos!E:E,Productos!G:G,"",0,1),J:J)))</f>
        <v/>
      </c>
      <c r="S137" s="4" t="str">
        <f>IF(Q137="","",IF(SUMIFS(Compat_Vetado!D:D,Compat_Vetado!B:B,SUM(G:G),Compat_Vetado!C:C,Q137)=1,"SI",IF(OR(SUMIF(Cotizador!E:E,Q137,Cotizador!G:G)&gt;0,SUMIFS(Compat_Vetado!D:D,Compat_Vetado!B:B,SUM(G:G),Compat_Vetado!C:C,Q137)=-1),"NO","")))</f>
        <v/>
      </c>
      <c r="T137" s="4" t="str">
        <f t="shared" si="6"/>
        <v/>
      </c>
      <c r="U137" s="4" t="str">
        <f>IFERROR(__xludf.DUMMYFUNCTION("IF(P137="""","""",IFERROR(INDEX(filter(Productos!E:E,Productos!F:F=L137,Productos!H:H=N137),P137),IF(M137=SUM(D:D),""Finalizar"",""-"")))"),"")</f>
        <v/>
      </c>
      <c r="V137" s="4" t="str">
        <f>IFERROR(__xludf.DUMMYFUNCTION("IF(OR($U137="""",COUNTIF($I:$I,IFERROR(unique(filter(Prod_Prop!$H:$H,Prod_Prop!$G:$G=$U137,Prod_Prop!$E:$E=V$1)),""Check""))=0),"""",IFERROR(unique(filter(Prod_Prop!$H:$H,Prod_Prop!$G:$G=$U137,Prod_Prop!$E:$E=V$1)),""""))"),"")</f>
        <v/>
      </c>
      <c r="W137" s="4" t="str">
        <f>IF(V137="","",SUMIFS(Prod_Prop!$J:$J,Prod_Prop!$B:$B,$Q137,Prod_Prop!$H:$H,V137,Prod_Prop!$I:$I,W$1)*IF(V137="Peso",$R137,1))</f>
        <v/>
      </c>
      <c r="X137" s="4" t="str">
        <f>IF(V137="","",SUMIFS(Prod_Prop!$J:$J,Prod_Prop!$B:$B,$Q137,Prod_Prop!$H:$H,V137,Prod_Prop!$I:$I,X$1)*IF(V137="Peso",$R137,1))</f>
        <v/>
      </c>
      <c r="Y137" s="4" t="str">
        <f>IFERROR(__xludf.DUMMYFUNCTION("IF(OR($U137="""",COUNTIF($I:$I,IFERROR(unique(filter(Prod_Prop!$H:$H,Prod_Prop!$G:$G=$U137,Prod_Prop!$E:$E=Y$1)),""Check""))=0),"""",IFERROR(unique(filter(Prod_Prop!$H:$H,Prod_Prop!$G:$G=$U137,Prod_Prop!$E:$E=Y$1)),""""))"),"")</f>
        <v/>
      </c>
      <c r="Z137" s="4" t="str">
        <f>IF(Y137="","",SUMIFS(Prod_Prop!$J:$J,Prod_Prop!$B:$B,$Q137,Prod_Prop!$H:$H,Y137,Prod_Prop!$I:$I,Z$1)*IF(Y137="Peso",$R137,1))</f>
        <v/>
      </c>
      <c r="AA137" s="4" t="str">
        <f>IF(Y137="","",SUMIFS(Prod_Prop!$J:$J,Prod_Prop!$B:$B,$Q137,Prod_Prop!$H:$H,Y137,Prod_Prop!$I:$I,AA$1)*IF(Y137="Peso",$R137,1))</f>
        <v/>
      </c>
      <c r="AB137" s="4" t="str">
        <f>IFERROR(__xludf.DUMMYFUNCTION("IF(OR($U137="""",COUNTIF($I:$I,IFERROR(unique(filter(Prod_Prop!$H:$H,Prod_Prop!$G:$G=$U137,Prod_Prop!$E:$E=AB$1)),""Check""))=0),"""",IFERROR(unique(filter(Prod_Prop!$H:$H,Prod_Prop!$G:$G=$U137,Prod_Prop!$E:$E=AB$1)),""""))"),"")</f>
        <v/>
      </c>
      <c r="AC137" s="4" t="str">
        <f>IF(AB137="","",SUMIFS(Prod_Prop!$J:$J,Prod_Prop!$B:$B,$Q137,Prod_Prop!$H:$H,AB137,Prod_Prop!$I:$I,AC$1)*IF(AB137="Peso",$R137,1))</f>
        <v/>
      </c>
      <c r="AD137" s="4" t="str">
        <f>IF(AB137="","",SUMIFS(Prod_Prop!$J:$J,Prod_Prop!$B:$B,$Q137,Prod_Prop!$H:$H,AB137,Prod_Prop!$I:$I,AD$1)*IF(AB137="Peso",$R137,1))</f>
        <v/>
      </c>
    </row>
    <row r="138">
      <c r="A138" s="4" t="str">
        <f t="array" ref="A138">IF(COUNTIF(A$1:A137,Cotizador!F$2)=maxifs(Familias!E:E,Familias!D:D,Cotizador!F$2),IF(COUNTIF(A$1:A137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8" s="4" t="str">
        <f t="shared" si="1"/>
        <v/>
      </c>
      <c r="C138" s="4" t="str">
        <f t="array" ref="C138">IF(B138="","",IF(A138=XLOOKUP(A$2,Implementos!B:B,Implementos!C:C,"",0,1),B138+maxifs(B$1:B137,A$1:A137,A$2),B138))</f>
        <v/>
      </c>
      <c r="D138" s="4" t="str">
        <f>IF(B138="","", COUNTIFS(Productos!F:F,A138,Productos!H:H,B138)+IF(F138="SI",0,1))</f>
        <v/>
      </c>
      <c r="E138" s="4" t="str">
        <f>IFERROR(__xludf.DUMMYFUNCTION("IF($B138="""","""",INDEX(filter(Familias!F:F,Familias!$D:$D=$A138,Familias!$E:$E=$B138),1))"),"")</f>
        <v/>
      </c>
      <c r="F138" s="4" t="str">
        <f>IFERROR(__xludf.DUMMYFUNCTION("IF($B138="""","""",INDEX(filter(Familias!G:G,Familias!$D:$D=$A138,Familias!$E:$E=$B138),1))"),"")</f>
        <v/>
      </c>
      <c r="G138" s="4" t="str">
        <f t="array" ref="G138">IF(C138=1,XLOOKUP(C138,Cotizador!D:D,Cotizador!E:E,"",0,1),"")</f>
        <v/>
      </c>
      <c r="I138" s="4"/>
      <c r="J138" s="8" t="str">
        <f>IF(I138="","",SUMIF(Cotizador!I$1:V$1,I138,Cotizador!I$2:V$2))</f>
        <v/>
      </c>
      <c r="L138" s="4" t="str">
        <f t="array" ref="L138">IF(COUNTIF(L$1:L137,A$2)=SUMIF(A:A,A$2,D:D),IF(COUNTIF(L$1:L137,XLOOKUP(A$2,Implementos!B:B,Implementos!C:C,"",0,1))=SUMIF(A:A,XLOOKUP(A$2,Implementos!B:B,Implementos!C:C,"",0,1),D:D),"",XLOOKUP(A$2,Implementos!B:B,Implementos!C:C,"",0,1)),A$2)</f>
        <v/>
      </c>
      <c r="M138" s="4" t="str">
        <f t="shared" si="2"/>
        <v/>
      </c>
      <c r="N138" s="4" t="str">
        <f t="shared" si="3"/>
        <v/>
      </c>
      <c r="O138" s="4" t="str">
        <f t="shared" si="4"/>
        <v/>
      </c>
      <c r="P138" s="4" t="str">
        <f t="shared" si="5"/>
        <v/>
      </c>
      <c r="Q138" s="4" t="str">
        <f>IF(U138="","",SUMIF(Productos!E:E,U138,Productos!A:A))</f>
        <v/>
      </c>
      <c r="R138" s="4" t="str">
        <f t="array" ref="R138">IF(L138="","", max(1,SUMIF(I:I,XLOOKUP(U138,Productos!E:E,Productos!G:G,"",0,1),J:J)))</f>
        <v/>
      </c>
      <c r="S138" s="4" t="str">
        <f>IF(Q138="","",IF(SUMIFS(Compat_Vetado!D:D,Compat_Vetado!B:B,SUM(G:G),Compat_Vetado!C:C,Q138)=1,"SI",IF(OR(SUMIF(Cotizador!E:E,Q138,Cotizador!G:G)&gt;0,SUMIFS(Compat_Vetado!D:D,Compat_Vetado!B:B,SUM(G:G),Compat_Vetado!C:C,Q138)=-1),"NO","")))</f>
        <v/>
      </c>
      <c r="T138" s="4" t="str">
        <f t="shared" si="6"/>
        <v/>
      </c>
      <c r="U138" s="4" t="str">
        <f>IFERROR(__xludf.DUMMYFUNCTION("IF(P138="""","""",IFERROR(INDEX(filter(Productos!E:E,Productos!F:F=L138,Productos!H:H=N138),P138),IF(M138=SUM(D:D),""Finalizar"",""-"")))"),"")</f>
        <v/>
      </c>
      <c r="V138" s="4" t="str">
        <f>IFERROR(__xludf.DUMMYFUNCTION("IF(OR($U138="""",COUNTIF($I:$I,IFERROR(unique(filter(Prod_Prop!$H:$H,Prod_Prop!$G:$G=$U138,Prod_Prop!$E:$E=V$1)),""Check""))=0),"""",IFERROR(unique(filter(Prod_Prop!$H:$H,Prod_Prop!$G:$G=$U138,Prod_Prop!$E:$E=V$1)),""""))"),"")</f>
        <v/>
      </c>
      <c r="W138" s="4" t="str">
        <f>IF(V138="","",SUMIFS(Prod_Prop!$J:$J,Prod_Prop!$B:$B,$Q138,Prod_Prop!$H:$H,V138,Prod_Prop!$I:$I,W$1)*IF(V138="Peso",$R138,1))</f>
        <v/>
      </c>
      <c r="X138" s="4" t="str">
        <f>IF(V138="","",SUMIFS(Prod_Prop!$J:$J,Prod_Prop!$B:$B,$Q138,Prod_Prop!$H:$H,V138,Prod_Prop!$I:$I,X$1)*IF(V138="Peso",$R138,1))</f>
        <v/>
      </c>
      <c r="Y138" s="4" t="str">
        <f>IFERROR(__xludf.DUMMYFUNCTION("IF(OR($U138="""",COUNTIF($I:$I,IFERROR(unique(filter(Prod_Prop!$H:$H,Prod_Prop!$G:$G=$U138,Prod_Prop!$E:$E=Y$1)),""Check""))=0),"""",IFERROR(unique(filter(Prod_Prop!$H:$H,Prod_Prop!$G:$G=$U138,Prod_Prop!$E:$E=Y$1)),""""))"),"")</f>
        <v/>
      </c>
      <c r="Z138" s="4" t="str">
        <f>IF(Y138="","",SUMIFS(Prod_Prop!$J:$J,Prod_Prop!$B:$B,$Q138,Prod_Prop!$H:$H,Y138,Prod_Prop!$I:$I,Z$1)*IF(Y138="Peso",$R138,1))</f>
        <v/>
      </c>
      <c r="AA138" s="4" t="str">
        <f>IF(Y138="","",SUMIFS(Prod_Prop!$J:$J,Prod_Prop!$B:$B,$Q138,Prod_Prop!$H:$H,Y138,Prod_Prop!$I:$I,AA$1)*IF(Y138="Peso",$R138,1))</f>
        <v/>
      </c>
      <c r="AB138" s="4" t="str">
        <f>IFERROR(__xludf.DUMMYFUNCTION("IF(OR($U138="""",COUNTIF($I:$I,IFERROR(unique(filter(Prod_Prop!$H:$H,Prod_Prop!$G:$G=$U138,Prod_Prop!$E:$E=AB$1)),""Check""))=0),"""",IFERROR(unique(filter(Prod_Prop!$H:$H,Prod_Prop!$G:$G=$U138,Prod_Prop!$E:$E=AB$1)),""""))"),"")</f>
        <v/>
      </c>
      <c r="AC138" s="4" t="str">
        <f>IF(AB138="","",SUMIFS(Prod_Prop!$J:$J,Prod_Prop!$B:$B,$Q138,Prod_Prop!$H:$H,AB138,Prod_Prop!$I:$I,AC$1)*IF(AB138="Peso",$R138,1))</f>
        <v/>
      </c>
      <c r="AD138" s="4" t="str">
        <f>IF(AB138="","",SUMIFS(Prod_Prop!$J:$J,Prod_Prop!$B:$B,$Q138,Prod_Prop!$H:$H,AB138,Prod_Prop!$I:$I,AD$1)*IF(AB138="Peso",$R138,1))</f>
        <v/>
      </c>
    </row>
    <row r="139">
      <c r="A139" s="4" t="str">
        <f t="array" ref="A139">IF(COUNTIF(A$1:A138,Cotizador!F$2)=maxifs(Familias!E:E,Familias!D:D,Cotizador!F$2),IF(COUNTIF(A$1:A138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39" s="4" t="str">
        <f t="shared" si="1"/>
        <v/>
      </c>
      <c r="C139" s="4" t="str">
        <f t="array" ref="C139">IF(B139="","",IF(A139=XLOOKUP(A$2,Implementos!B:B,Implementos!C:C,"",0,1),B139+maxifs(B$1:B138,A$1:A138,A$2),B139))</f>
        <v/>
      </c>
      <c r="D139" s="4" t="str">
        <f>IF(B139="","", COUNTIFS(Productos!F:F,A139,Productos!H:H,B139)+IF(F139="SI",0,1))</f>
        <v/>
      </c>
      <c r="E139" s="4" t="str">
        <f>IFERROR(__xludf.DUMMYFUNCTION("IF($B139="""","""",INDEX(filter(Familias!F:F,Familias!$D:$D=$A139,Familias!$E:$E=$B139),1))"),"")</f>
        <v/>
      </c>
      <c r="F139" s="4" t="str">
        <f>IFERROR(__xludf.DUMMYFUNCTION("IF($B139="""","""",INDEX(filter(Familias!G:G,Familias!$D:$D=$A139,Familias!$E:$E=$B139),1))"),"")</f>
        <v/>
      </c>
      <c r="G139" s="4" t="str">
        <f t="array" ref="G139">IF(C139=1,XLOOKUP(C139,Cotizador!D:D,Cotizador!E:E,"",0,1),"")</f>
        <v/>
      </c>
      <c r="I139" s="4"/>
      <c r="J139" s="8" t="str">
        <f>IF(I139="","",SUMIF(Cotizador!I$1:V$1,I139,Cotizador!I$2:V$2))</f>
        <v/>
      </c>
      <c r="L139" s="4" t="str">
        <f t="array" ref="L139">IF(COUNTIF(L$1:L138,A$2)=SUMIF(A:A,A$2,D:D),IF(COUNTIF(L$1:L138,XLOOKUP(A$2,Implementos!B:B,Implementos!C:C,"",0,1))=SUMIF(A:A,XLOOKUP(A$2,Implementos!B:B,Implementos!C:C,"",0,1),D:D),"",XLOOKUP(A$2,Implementos!B:B,Implementos!C:C,"",0,1)),A$2)</f>
        <v/>
      </c>
      <c r="M139" s="4" t="str">
        <f t="shared" si="2"/>
        <v/>
      </c>
      <c r="N139" s="4" t="str">
        <f t="shared" si="3"/>
        <v/>
      </c>
      <c r="O139" s="4" t="str">
        <f t="shared" si="4"/>
        <v/>
      </c>
      <c r="P139" s="4" t="str">
        <f t="shared" si="5"/>
        <v/>
      </c>
      <c r="Q139" s="4" t="str">
        <f>IF(U139="","",SUMIF(Productos!E:E,U139,Productos!A:A))</f>
        <v/>
      </c>
      <c r="R139" s="4" t="str">
        <f t="array" ref="R139">IF(L139="","", max(1,SUMIF(I:I,XLOOKUP(U139,Productos!E:E,Productos!G:G,"",0,1),J:J)))</f>
        <v/>
      </c>
      <c r="S139" s="4" t="str">
        <f>IF(Q139="","",IF(SUMIFS(Compat_Vetado!D:D,Compat_Vetado!B:B,SUM(G:G),Compat_Vetado!C:C,Q139)=1,"SI",IF(OR(SUMIF(Cotizador!E:E,Q139,Cotizador!G:G)&gt;0,SUMIFS(Compat_Vetado!D:D,Compat_Vetado!B:B,SUM(G:G),Compat_Vetado!C:C,Q139)=-1),"NO","")))</f>
        <v/>
      </c>
      <c r="T139" s="4" t="str">
        <f t="shared" si="6"/>
        <v/>
      </c>
      <c r="U139" s="4" t="str">
        <f>IFERROR(__xludf.DUMMYFUNCTION("IF(P139="""","""",IFERROR(INDEX(filter(Productos!E:E,Productos!F:F=L139,Productos!H:H=N139),P139),IF(M139=SUM(D:D),""Finalizar"",""-"")))"),"")</f>
        <v/>
      </c>
      <c r="V139" s="4" t="str">
        <f>IFERROR(__xludf.DUMMYFUNCTION("IF(OR($U139="""",COUNTIF($I:$I,IFERROR(unique(filter(Prod_Prop!$H:$H,Prod_Prop!$G:$G=$U139,Prod_Prop!$E:$E=V$1)),""Check""))=0),"""",IFERROR(unique(filter(Prod_Prop!$H:$H,Prod_Prop!$G:$G=$U139,Prod_Prop!$E:$E=V$1)),""""))"),"")</f>
        <v/>
      </c>
      <c r="W139" s="4" t="str">
        <f>IF(V139="","",SUMIFS(Prod_Prop!$J:$J,Prod_Prop!$B:$B,$Q139,Prod_Prop!$H:$H,V139,Prod_Prop!$I:$I,W$1)*IF(V139="Peso",$R139,1))</f>
        <v/>
      </c>
      <c r="X139" s="4" t="str">
        <f>IF(V139="","",SUMIFS(Prod_Prop!$J:$J,Prod_Prop!$B:$B,$Q139,Prod_Prop!$H:$H,V139,Prod_Prop!$I:$I,X$1)*IF(V139="Peso",$R139,1))</f>
        <v/>
      </c>
      <c r="Y139" s="4" t="str">
        <f>IFERROR(__xludf.DUMMYFUNCTION("IF(OR($U139="""",COUNTIF($I:$I,IFERROR(unique(filter(Prod_Prop!$H:$H,Prod_Prop!$G:$G=$U139,Prod_Prop!$E:$E=Y$1)),""Check""))=0),"""",IFERROR(unique(filter(Prod_Prop!$H:$H,Prod_Prop!$G:$G=$U139,Prod_Prop!$E:$E=Y$1)),""""))"),"")</f>
        <v/>
      </c>
      <c r="Z139" s="4" t="str">
        <f>IF(Y139="","",SUMIFS(Prod_Prop!$J:$J,Prod_Prop!$B:$B,$Q139,Prod_Prop!$H:$H,Y139,Prod_Prop!$I:$I,Z$1)*IF(Y139="Peso",$R139,1))</f>
        <v/>
      </c>
      <c r="AA139" s="4" t="str">
        <f>IF(Y139="","",SUMIFS(Prod_Prop!$J:$J,Prod_Prop!$B:$B,$Q139,Prod_Prop!$H:$H,Y139,Prod_Prop!$I:$I,AA$1)*IF(Y139="Peso",$R139,1))</f>
        <v/>
      </c>
      <c r="AB139" s="4" t="str">
        <f>IFERROR(__xludf.DUMMYFUNCTION("IF(OR($U139="""",COUNTIF($I:$I,IFERROR(unique(filter(Prod_Prop!$H:$H,Prod_Prop!$G:$G=$U139,Prod_Prop!$E:$E=AB$1)),""Check""))=0),"""",IFERROR(unique(filter(Prod_Prop!$H:$H,Prod_Prop!$G:$G=$U139,Prod_Prop!$E:$E=AB$1)),""""))"),"")</f>
        <v/>
      </c>
      <c r="AC139" s="4" t="str">
        <f>IF(AB139="","",SUMIFS(Prod_Prop!$J:$J,Prod_Prop!$B:$B,$Q139,Prod_Prop!$H:$H,AB139,Prod_Prop!$I:$I,AC$1)*IF(AB139="Peso",$R139,1))</f>
        <v/>
      </c>
      <c r="AD139" s="4" t="str">
        <f>IF(AB139="","",SUMIFS(Prod_Prop!$J:$J,Prod_Prop!$B:$B,$Q139,Prod_Prop!$H:$H,AB139,Prod_Prop!$I:$I,AD$1)*IF(AB139="Peso",$R139,1))</f>
        <v/>
      </c>
    </row>
    <row r="140">
      <c r="A140" s="4" t="str">
        <f t="array" ref="A140">IF(COUNTIF(A$1:A139,Cotizador!F$2)=maxifs(Familias!E:E,Familias!D:D,Cotizador!F$2),IF(COUNTIF(A$1:A139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0" s="4" t="str">
        <f t="shared" si="1"/>
        <v/>
      </c>
      <c r="C140" s="4" t="str">
        <f t="array" ref="C140">IF(B140="","",IF(A140=XLOOKUP(A$2,Implementos!B:B,Implementos!C:C,"",0,1),B140+maxifs(B$1:B139,A$1:A139,A$2),B140))</f>
        <v/>
      </c>
      <c r="D140" s="4" t="str">
        <f>IF(B140="","", COUNTIFS(Productos!F:F,A140,Productos!H:H,B140)+IF(F140="SI",0,1))</f>
        <v/>
      </c>
      <c r="E140" s="4" t="str">
        <f>IFERROR(__xludf.DUMMYFUNCTION("IF($B140="""","""",INDEX(filter(Familias!F:F,Familias!$D:$D=$A140,Familias!$E:$E=$B140),1))"),"")</f>
        <v/>
      </c>
      <c r="F140" s="4" t="str">
        <f>IFERROR(__xludf.DUMMYFUNCTION("IF($B140="""","""",INDEX(filter(Familias!G:G,Familias!$D:$D=$A140,Familias!$E:$E=$B140),1))"),"")</f>
        <v/>
      </c>
      <c r="G140" s="4" t="str">
        <f t="array" ref="G140">IF(C140=1,XLOOKUP(C140,Cotizador!D:D,Cotizador!E:E,"",0,1),"")</f>
        <v/>
      </c>
      <c r="I140" s="4"/>
      <c r="J140" s="8" t="str">
        <f>IF(I140="","",SUMIF(Cotizador!I$1:V$1,I140,Cotizador!I$2:V$2))</f>
        <v/>
      </c>
      <c r="L140" s="4" t="str">
        <f t="array" ref="L140">IF(COUNTIF(L$1:L139,A$2)=SUMIF(A:A,A$2,D:D),IF(COUNTIF(L$1:L139,XLOOKUP(A$2,Implementos!B:B,Implementos!C:C,"",0,1))=SUMIF(A:A,XLOOKUP(A$2,Implementos!B:B,Implementos!C:C,"",0,1),D:D),"",XLOOKUP(A$2,Implementos!B:B,Implementos!C:C,"",0,1)),A$2)</f>
        <v/>
      </c>
      <c r="M140" s="4" t="str">
        <f t="shared" si="2"/>
        <v/>
      </c>
      <c r="N140" s="4" t="str">
        <f t="shared" si="3"/>
        <v/>
      </c>
      <c r="O140" s="4" t="str">
        <f t="shared" si="4"/>
        <v/>
      </c>
      <c r="P140" s="4" t="str">
        <f t="shared" si="5"/>
        <v/>
      </c>
      <c r="Q140" s="4" t="str">
        <f>IF(U140="","",SUMIF(Productos!E:E,U140,Productos!A:A))</f>
        <v/>
      </c>
      <c r="R140" s="4" t="str">
        <f t="array" ref="R140">IF(L140="","", max(1,SUMIF(I:I,XLOOKUP(U140,Productos!E:E,Productos!G:G,"",0,1),J:J)))</f>
        <v/>
      </c>
      <c r="S140" s="4" t="str">
        <f>IF(Q140="","",IF(SUMIFS(Compat_Vetado!D:D,Compat_Vetado!B:B,SUM(G:G),Compat_Vetado!C:C,Q140)=1,"SI",IF(OR(SUMIF(Cotizador!E:E,Q140,Cotizador!G:G)&gt;0,SUMIFS(Compat_Vetado!D:D,Compat_Vetado!B:B,SUM(G:G),Compat_Vetado!C:C,Q140)=-1),"NO","")))</f>
        <v/>
      </c>
      <c r="T140" s="4" t="str">
        <f t="shared" si="6"/>
        <v/>
      </c>
      <c r="U140" s="4" t="str">
        <f>IFERROR(__xludf.DUMMYFUNCTION("IF(P140="""","""",IFERROR(INDEX(filter(Productos!E:E,Productos!F:F=L140,Productos!H:H=N140),P140),IF(M140=SUM(D:D),""Finalizar"",""-"")))"),"")</f>
        <v/>
      </c>
      <c r="V140" s="4" t="str">
        <f>IFERROR(__xludf.DUMMYFUNCTION("IF(OR($U140="""",COUNTIF($I:$I,IFERROR(unique(filter(Prod_Prop!$H:$H,Prod_Prop!$G:$G=$U140,Prod_Prop!$E:$E=V$1)),""Check""))=0),"""",IFERROR(unique(filter(Prod_Prop!$H:$H,Prod_Prop!$G:$G=$U140,Prod_Prop!$E:$E=V$1)),""""))"),"")</f>
        <v/>
      </c>
      <c r="W140" s="4" t="str">
        <f>IF(V140="","",SUMIFS(Prod_Prop!$J:$J,Prod_Prop!$B:$B,$Q140,Prod_Prop!$H:$H,V140,Prod_Prop!$I:$I,W$1)*IF(V140="Peso",$R140,1))</f>
        <v/>
      </c>
      <c r="X140" s="4" t="str">
        <f>IF(V140="","",SUMIFS(Prod_Prop!$J:$J,Prod_Prop!$B:$B,$Q140,Prod_Prop!$H:$H,V140,Prod_Prop!$I:$I,X$1)*IF(V140="Peso",$R140,1))</f>
        <v/>
      </c>
      <c r="Y140" s="4" t="str">
        <f>IFERROR(__xludf.DUMMYFUNCTION("IF(OR($U140="""",COUNTIF($I:$I,IFERROR(unique(filter(Prod_Prop!$H:$H,Prod_Prop!$G:$G=$U140,Prod_Prop!$E:$E=Y$1)),""Check""))=0),"""",IFERROR(unique(filter(Prod_Prop!$H:$H,Prod_Prop!$G:$G=$U140,Prod_Prop!$E:$E=Y$1)),""""))"),"")</f>
        <v/>
      </c>
      <c r="Z140" s="4" t="str">
        <f>IF(Y140="","",SUMIFS(Prod_Prop!$J:$J,Prod_Prop!$B:$B,$Q140,Prod_Prop!$H:$H,Y140,Prod_Prop!$I:$I,Z$1)*IF(Y140="Peso",$R140,1))</f>
        <v/>
      </c>
      <c r="AA140" s="4" t="str">
        <f>IF(Y140="","",SUMIFS(Prod_Prop!$J:$J,Prod_Prop!$B:$B,$Q140,Prod_Prop!$H:$H,Y140,Prod_Prop!$I:$I,AA$1)*IF(Y140="Peso",$R140,1))</f>
        <v/>
      </c>
      <c r="AB140" s="4" t="str">
        <f>IFERROR(__xludf.DUMMYFUNCTION("IF(OR($U140="""",COUNTIF($I:$I,IFERROR(unique(filter(Prod_Prop!$H:$H,Prod_Prop!$G:$G=$U140,Prod_Prop!$E:$E=AB$1)),""Check""))=0),"""",IFERROR(unique(filter(Prod_Prop!$H:$H,Prod_Prop!$G:$G=$U140,Prod_Prop!$E:$E=AB$1)),""""))"),"")</f>
        <v/>
      </c>
      <c r="AC140" s="4" t="str">
        <f>IF(AB140="","",SUMIFS(Prod_Prop!$J:$J,Prod_Prop!$B:$B,$Q140,Prod_Prop!$H:$H,AB140,Prod_Prop!$I:$I,AC$1)*IF(AB140="Peso",$R140,1))</f>
        <v/>
      </c>
      <c r="AD140" s="4" t="str">
        <f>IF(AB140="","",SUMIFS(Prod_Prop!$J:$J,Prod_Prop!$B:$B,$Q140,Prod_Prop!$H:$H,AB140,Prod_Prop!$I:$I,AD$1)*IF(AB140="Peso",$R140,1))</f>
        <v/>
      </c>
    </row>
    <row r="141">
      <c r="A141" s="4" t="str">
        <f t="array" ref="A141">IF(COUNTIF(A$1:A140,Cotizador!F$2)=maxifs(Familias!E:E,Familias!D:D,Cotizador!F$2),IF(COUNTIF(A$1:A140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1" s="4" t="str">
        <f t="shared" si="1"/>
        <v/>
      </c>
      <c r="C141" s="4" t="str">
        <f t="array" ref="C141">IF(B141="","",IF(A141=XLOOKUP(A$2,Implementos!B:B,Implementos!C:C,"",0,1),B141+maxifs(B$1:B140,A$1:A140,A$2),B141))</f>
        <v/>
      </c>
      <c r="D141" s="4" t="str">
        <f>IF(B141="","", COUNTIFS(Productos!F:F,A141,Productos!H:H,B141)+IF(F141="SI",0,1))</f>
        <v/>
      </c>
      <c r="E141" s="4" t="str">
        <f>IFERROR(__xludf.DUMMYFUNCTION("IF($B141="""","""",INDEX(filter(Familias!F:F,Familias!$D:$D=$A141,Familias!$E:$E=$B141),1))"),"")</f>
        <v/>
      </c>
      <c r="F141" s="4" t="str">
        <f>IFERROR(__xludf.DUMMYFUNCTION("IF($B141="""","""",INDEX(filter(Familias!G:G,Familias!$D:$D=$A141,Familias!$E:$E=$B141),1))"),"")</f>
        <v/>
      </c>
      <c r="G141" s="4" t="str">
        <f t="array" ref="G141">IF(C141=1,XLOOKUP(C141,Cotizador!D:D,Cotizador!E:E,"",0,1),"")</f>
        <v/>
      </c>
      <c r="I141" s="4"/>
      <c r="J141" s="8" t="str">
        <f>IF(I141="","",SUMIF(Cotizador!I$1:V$1,I141,Cotizador!I$2:V$2))</f>
        <v/>
      </c>
      <c r="L141" s="4" t="str">
        <f t="array" ref="L141">IF(COUNTIF(L$1:L140,A$2)=SUMIF(A:A,A$2,D:D),IF(COUNTIF(L$1:L140,XLOOKUP(A$2,Implementos!B:B,Implementos!C:C,"",0,1))=SUMIF(A:A,XLOOKUP(A$2,Implementos!B:B,Implementos!C:C,"",0,1),D:D),"",XLOOKUP(A$2,Implementos!B:B,Implementos!C:C,"",0,1)),A$2)</f>
        <v/>
      </c>
      <c r="M141" s="4" t="str">
        <f t="shared" si="2"/>
        <v/>
      </c>
      <c r="N141" s="4" t="str">
        <f t="shared" si="3"/>
        <v/>
      </c>
      <c r="O141" s="4" t="str">
        <f t="shared" si="4"/>
        <v/>
      </c>
      <c r="P141" s="4" t="str">
        <f t="shared" si="5"/>
        <v/>
      </c>
      <c r="Q141" s="4" t="str">
        <f>IF(U141="","",SUMIF(Productos!E:E,U141,Productos!A:A))</f>
        <v/>
      </c>
      <c r="R141" s="4" t="str">
        <f t="array" ref="R141">IF(L141="","", max(1,SUMIF(I:I,XLOOKUP(U141,Productos!E:E,Productos!G:G,"",0,1),J:J)))</f>
        <v/>
      </c>
      <c r="S141" s="4" t="str">
        <f>IF(Q141="","",IF(SUMIFS(Compat_Vetado!D:D,Compat_Vetado!B:B,SUM(G:G),Compat_Vetado!C:C,Q141)=1,"SI",IF(OR(SUMIF(Cotizador!E:E,Q141,Cotizador!G:G)&gt;0,SUMIFS(Compat_Vetado!D:D,Compat_Vetado!B:B,SUM(G:G),Compat_Vetado!C:C,Q141)=-1),"NO","")))</f>
        <v/>
      </c>
      <c r="T141" s="4" t="str">
        <f t="shared" si="6"/>
        <v/>
      </c>
      <c r="U141" s="4" t="str">
        <f>IFERROR(__xludf.DUMMYFUNCTION("IF(P141="""","""",IFERROR(INDEX(filter(Productos!E:E,Productos!F:F=L141,Productos!H:H=N141),P141),IF(M141=SUM(D:D),""Finalizar"",""-"")))"),"")</f>
        <v/>
      </c>
      <c r="V141" s="4" t="str">
        <f>IFERROR(__xludf.DUMMYFUNCTION("IF(OR($U141="""",COUNTIF($I:$I,IFERROR(unique(filter(Prod_Prop!$H:$H,Prod_Prop!$G:$G=$U141,Prod_Prop!$E:$E=V$1)),""Check""))=0),"""",IFERROR(unique(filter(Prod_Prop!$H:$H,Prod_Prop!$G:$G=$U141,Prod_Prop!$E:$E=V$1)),""""))"),"")</f>
        <v/>
      </c>
      <c r="W141" s="4" t="str">
        <f>IF(V141="","",SUMIFS(Prod_Prop!$J:$J,Prod_Prop!$B:$B,$Q141,Prod_Prop!$H:$H,V141,Prod_Prop!$I:$I,W$1)*IF(V141="Peso",$R141,1))</f>
        <v/>
      </c>
      <c r="X141" s="4" t="str">
        <f>IF(V141="","",SUMIFS(Prod_Prop!$J:$J,Prod_Prop!$B:$B,$Q141,Prod_Prop!$H:$H,V141,Prod_Prop!$I:$I,X$1)*IF(V141="Peso",$R141,1))</f>
        <v/>
      </c>
      <c r="Y141" s="4" t="str">
        <f>IFERROR(__xludf.DUMMYFUNCTION("IF(OR($U141="""",COUNTIF($I:$I,IFERROR(unique(filter(Prod_Prop!$H:$H,Prod_Prop!$G:$G=$U141,Prod_Prop!$E:$E=Y$1)),""Check""))=0),"""",IFERROR(unique(filter(Prod_Prop!$H:$H,Prod_Prop!$G:$G=$U141,Prod_Prop!$E:$E=Y$1)),""""))"),"")</f>
        <v/>
      </c>
      <c r="Z141" s="4" t="str">
        <f>IF(Y141="","",SUMIFS(Prod_Prop!$J:$J,Prod_Prop!$B:$B,$Q141,Prod_Prop!$H:$H,Y141,Prod_Prop!$I:$I,Z$1)*IF(Y141="Peso",$R141,1))</f>
        <v/>
      </c>
      <c r="AA141" s="4" t="str">
        <f>IF(Y141="","",SUMIFS(Prod_Prop!$J:$J,Prod_Prop!$B:$B,$Q141,Prod_Prop!$H:$H,Y141,Prod_Prop!$I:$I,AA$1)*IF(Y141="Peso",$R141,1))</f>
        <v/>
      </c>
      <c r="AB141" s="4" t="str">
        <f>IFERROR(__xludf.DUMMYFUNCTION("IF(OR($U141="""",COUNTIF($I:$I,IFERROR(unique(filter(Prod_Prop!$H:$H,Prod_Prop!$G:$G=$U141,Prod_Prop!$E:$E=AB$1)),""Check""))=0),"""",IFERROR(unique(filter(Prod_Prop!$H:$H,Prod_Prop!$G:$G=$U141,Prod_Prop!$E:$E=AB$1)),""""))"),"")</f>
        <v/>
      </c>
      <c r="AC141" s="4" t="str">
        <f>IF(AB141="","",SUMIFS(Prod_Prop!$J:$J,Prod_Prop!$B:$B,$Q141,Prod_Prop!$H:$H,AB141,Prod_Prop!$I:$I,AC$1)*IF(AB141="Peso",$R141,1))</f>
        <v/>
      </c>
      <c r="AD141" s="4" t="str">
        <f>IF(AB141="","",SUMIFS(Prod_Prop!$J:$J,Prod_Prop!$B:$B,$Q141,Prod_Prop!$H:$H,AB141,Prod_Prop!$I:$I,AD$1)*IF(AB141="Peso",$R141,1))</f>
        <v/>
      </c>
    </row>
    <row r="142">
      <c r="A142" s="4" t="str">
        <f t="array" ref="A142">IF(COUNTIF(A$1:A141,Cotizador!F$2)=maxifs(Familias!E:E,Familias!D:D,Cotizador!F$2),IF(COUNTIF(A$1:A141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2" s="4" t="str">
        <f t="shared" si="1"/>
        <v/>
      </c>
      <c r="C142" s="4" t="str">
        <f t="array" ref="C142">IF(B142="","",IF(A142=XLOOKUP(A$2,Implementos!B:B,Implementos!C:C,"",0,1),B142+maxifs(B$1:B141,A$1:A141,A$2),B142))</f>
        <v/>
      </c>
      <c r="D142" s="4" t="str">
        <f>IF(B142="","", COUNTIFS(Productos!F:F,A142,Productos!H:H,B142)+IF(F142="SI",0,1))</f>
        <v/>
      </c>
      <c r="E142" s="4" t="str">
        <f>IFERROR(__xludf.DUMMYFUNCTION("IF($B142="""","""",INDEX(filter(Familias!F:F,Familias!$D:$D=$A142,Familias!$E:$E=$B142),1))"),"")</f>
        <v/>
      </c>
      <c r="F142" s="4" t="str">
        <f>IFERROR(__xludf.DUMMYFUNCTION("IF($B142="""","""",INDEX(filter(Familias!G:G,Familias!$D:$D=$A142,Familias!$E:$E=$B142),1))"),"")</f>
        <v/>
      </c>
      <c r="G142" s="4" t="str">
        <f t="array" ref="G142">IF(C142=1,XLOOKUP(C142,Cotizador!D:D,Cotizador!E:E,"",0,1),"")</f>
        <v/>
      </c>
      <c r="I142" s="4"/>
      <c r="J142" s="8" t="str">
        <f>IF(I142="","",SUMIF(Cotizador!I$1:V$1,I142,Cotizador!I$2:V$2))</f>
        <v/>
      </c>
      <c r="L142" s="4" t="str">
        <f t="array" ref="L142">IF(COUNTIF(L$1:L141,A$2)=SUMIF(A:A,A$2,D:D),IF(COUNTIF(L$1:L141,XLOOKUP(A$2,Implementos!B:B,Implementos!C:C,"",0,1))=SUMIF(A:A,XLOOKUP(A$2,Implementos!B:B,Implementos!C:C,"",0,1),D:D),"",XLOOKUP(A$2,Implementos!B:B,Implementos!C:C,"",0,1)),A$2)</f>
        <v/>
      </c>
      <c r="M142" s="4" t="str">
        <f t="shared" si="2"/>
        <v/>
      </c>
      <c r="N142" s="4" t="str">
        <f t="shared" si="3"/>
        <v/>
      </c>
      <c r="O142" s="4" t="str">
        <f t="shared" si="4"/>
        <v/>
      </c>
      <c r="P142" s="4" t="str">
        <f t="shared" si="5"/>
        <v/>
      </c>
      <c r="Q142" s="4" t="str">
        <f>IF(U142="","",SUMIF(Productos!E:E,U142,Productos!A:A))</f>
        <v/>
      </c>
      <c r="R142" s="4" t="str">
        <f t="array" ref="R142">IF(L142="","", max(1,SUMIF(I:I,XLOOKUP(U142,Productos!E:E,Productos!G:G,"",0,1),J:J)))</f>
        <v/>
      </c>
      <c r="S142" s="4" t="str">
        <f>IF(Q142="","",IF(SUMIFS(Compat_Vetado!D:D,Compat_Vetado!B:B,SUM(G:G),Compat_Vetado!C:C,Q142)=1,"SI",IF(OR(SUMIF(Cotizador!E:E,Q142,Cotizador!G:G)&gt;0,SUMIFS(Compat_Vetado!D:D,Compat_Vetado!B:B,SUM(G:G),Compat_Vetado!C:C,Q142)=-1),"NO","")))</f>
        <v/>
      </c>
      <c r="T142" s="4" t="str">
        <f t="shared" si="6"/>
        <v/>
      </c>
      <c r="U142" s="4" t="str">
        <f>IFERROR(__xludf.DUMMYFUNCTION("IF(P142="""","""",IFERROR(INDEX(filter(Productos!E:E,Productos!F:F=L142,Productos!H:H=N142),P142),IF(M142=SUM(D:D),""Finalizar"",""-"")))"),"")</f>
        <v/>
      </c>
      <c r="V142" s="4" t="str">
        <f>IFERROR(__xludf.DUMMYFUNCTION("IF(OR($U142="""",COUNTIF($I:$I,IFERROR(unique(filter(Prod_Prop!$H:$H,Prod_Prop!$G:$G=$U142,Prod_Prop!$E:$E=V$1)),""Check""))=0),"""",IFERROR(unique(filter(Prod_Prop!$H:$H,Prod_Prop!$G:$G=$U142,Prod_Prop!$E:$E=V$1)),""""))"),"")</f>
        <v/>
      </c>
      <c r="W142" s="4" t="str">
        <f>IF(V142="","",SUMIFS(Prod_Prop!$J:$J,Prod_Prop!$B:$B,$Q142,Prod_Prop!$H:$H,V142,Prod_Prop!$I:$I,W$1)*IF(V142="Peso",$R142,1))</f>
        <v/>
      </c>
      <c r="X142" s="4" t="str">
        <f>IF(V142="","",SUMIFS(Prod_Prop!$J:$J,Prod_Prop!$B:$B,$Q142,Prod_Prop!$H:$H,V142,Prod_Prop!$I:$I,X$1)*IF(V142="Peso",$R142,1))</f>
        <v/>
      </c>
      <c r="Y142" s="4" t="str">
        <f>IFERROR(__xludf.DUMMYFUNCTION("IF(OR($U142="""",COUNTIF($I:$I,IFERROR(unique(filter(Prod_Prop!$H:$H,Prod_Prop!$G:$G=$U142,Prod_Prop!$E:$E=Y$1)),""Check""))=0),"""",IFERROR(unique(filter(Prod_Prop!$H:$H,Prod_Prop!$G:$G=$U142,Prod_Prop!$E:$E=Y$1)),""""))"),"")</f>
        <v/>
      </c>
      <c r="Z142" s="4" t="str">
        <f>IF(Y142="","",SUMIFS(Prod_Prop!$J:$J,Prod_Prop!$B:$B,$Q142,Prod_Prop!$H:$H,Y142,Prod_Prop!$I:$I,Z$1)*IF(Y142="Peso",$R142,1))</f>
        <v/>
      </c>
      <c r="AA142" s="4" t="str">
        <f>IF(Y142="","",SUMIFS(Prod_Prop!$J:$J,Prod_Prop!$B:$B,$Q142,Prod_Prop!$H:$H,Y142,Prod_Prop!$I:$I,AA$1)*IF(Y142="Peso",$R142,1))</f>
        <v/>
      </c>
      <c r="AB142" s="4" t="str">
        <f>IFERROR(__xludf.DUMMYFUNCTION("IF(OR($U142="""",COUNTIF($I:$I,IFERROR(unique(filter(Prod_Prop!$H:$H,Prod_Prop!$G:$G=$U142,Prod_Prop!$E:$E=AB$1)),""Check""))=0),"""",IFERROR(unique(filter(Prod_Prop!$H:$H,Prod_Prop!$G:$G=$U142,Prod_Prop!$E:$E=AB$1)),""""))"),"")</f>
        <v/>
      </c>
      <c r="AC142" s="4" t="str">
        <f>IF(AB142="","",SUMIFS(Prod_Prop!$J:$J,Prod_Prop!$B:$B,$Q142,Prod_Prop!$H:$H,AB142,Prod_Prop!$I:$I,AC$1)*IF(AB142="Peso",$R142,1))</f>
        <v/>
      </c>
      <c r="AD142" s="4" t="str">
        <f>IF(AB142="","",SUMIFS(Prod_Prop!$J:$J,Prod_Prop!$B:$B,$Q142,Prod_Prop!$H:$H,AB142,Prod_Prop!$I:$I,AD$1)*IF(AB142="Peso",$R142,1))</f>
        <v/>
      </c>
    </row>
    <row r="143">
      <c r="A143" s="4" t="str">
        <f t="array" ref="A143">IF(COUNTIF(A$1:A142,Cotizador!F$2)=maxifs(Familias!E:E,Familias!D:D,Cotizador!F$2),IF(COUNTIF(A$1:A142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3" s="4" t="str">
        <f t="shared" si="1"/>
        <v/>
      </c>
      <c r="C143" s="4" t="str">
        <f t="array" ref="C143">IF(B143="","",IF(A143=XLOOKUP(A$2,Implementos!B:B,Implementos!C:C,"",0,1),B143+maxifs(B$1:B142,A$1:A142,A$2),B143))</f>
        <v/>
      </c>
      <c r="D143" s="4" t="str">
        <f>IF(B143="","", COUNTIFS(Productos!F:F,A143,Productos!H:H,B143)+IF(F143="SI",0,1))</f>
        <v/>
      </c>
      <c r="E143" s="4" t="str">
        <f>IFERROR(__xludf.DUMMYFUNCTION("IF($B143="""","""",INDEX(filter(Familias!F:F,Familias!$D:$D=$A143,Familias!$E:$E=$B143),1))"),"")</f>
        <v/>
      </c>
      <c r="F143" s="4" t="str">
        <f>IFERROR(__xludf.DUMMYFUNCTION("IF($B143="""","""",INDEX(filter(Familias!G:G,Familias!$D:$D=$A143,Familias!$E:$E=$B143),1))"),"")</f>
        <v/>
      </c>
      <c r="G143" s="4" t="str">
        <f t="array" ref="G143">IF(C143=1,XLOOKUP(C143,Cotizador!D:D,Cotizador!E:E,"",0,1),"")</f>
        <v/>
      </c>
      <c r="I143" s="4"/>
      <c r="J143" s="8" t="str">
        <f>IF(I143="","",SUMIF(Cotizador!I$1:V$1,I143,Cotizador!I$2:V$2))</f>
        <v/>
      </c>
      <c r="L143" s="4" t="str">
        <f t="array" ref="L143">IF(COUNTIF(L$1:L142,A$2)=SUMIF(A:A,A$2,D:D),IF(COUNTIF(L$1:L142,XLOOKUP(A$2,Implementos!B:B,Implementos!C:C,"",0,1))=SUMIF(A:A,XLOOKUP(A$2,Implementos!B:B,Implementos!C:C,"",0,1),D:D),"",XLOOKUP(A$2,Implementos!B:B,Implementos!C:C,"",0,1)),A$2)</f>
        <v/>
      </c>
      <c r="M143" s="4" t="str">
        <f t="shared" si="2"/>
        <v/>
      </c>
      <c r="N143" s="4" t="str">
        <f t="shared" si="3"/>
        <v/>
      </c>
      <c r="O143" s="4" t="str">
        <f t="shared" si="4"/>
        <v/>
      </c>
      <c r="P143" s="4" t="str">
        <f t="shared" si="5"/>
        <v/>
      </c>
      <c r="Q143" s="4" t="str">
        <f>IF(U143="","",SUMIF(Productos!E:E,U143,Productos!A:A))</f>
        <v/>
      </c>
      <c r="R143" s="4" t="str">
        <f t="array" ref="R143">IF(L143="","", max(1,SUMIF(I:I,XLOOKUP(U143,Productos!E:E,Productos!G:G,"",0,1),J:J)))</f>
        <v/>
      </c>
      <c r="S143" s="4" t="str">
        <f>IF(Q143="","",IF(SUMIFS(Compat_Vetado!D:D,Compat_Vetado!B:B,SUM(G:G),Compat_Vetado!C:C,Q143)=1,"SI",IF(OR(SUMIF(Cotizador!E:E,Q143,Cotizador!G:G)&gt;0,SUMIFS(Compat_Vetado!D:D,Compat_Vetado!B:B,SUM(G:G),Compat_Vetado!C:C,Q143)=-1),"NO","")))</f>
        <v/>
      </c>
      <c r="T143" s="4" t="str">
        <f t="shared" si="6"/>
        <v/>
      </c>
      <c r="U143" s="4" t="str">
        <f>IFERROR(__xludf.DUMMYFUNCTION("IF(P143="""","""",IFERROR(INDEX(filter(Productos!E:E,Productos!F:F=L143,Productos!H:H=N143),P143),IF(M143=SUM(D:D),""Finalizar"",""-"")))"),"")</f>
        <v/>
      </c>
      <c r="V143" s="4" t="str">
        <f>IFERROR(__xludf.DUMMYFUNCTION("IF(OR($U143="""",COUNTIF($I:$I,IFERROR(unique(filter(Prod_Prop!$H:$H,Prod_Prop!$G:$G=$U143,Prod_Prop!$E:$E=V$1)),""Check""))=0),"""",IFERROR(unique(filter(Prod_Prop!$H:$H,Prod_Prop!$G:$G=$U143,Prod_Prop!$E:$E=V$1)),""""))"),"")</f>
        <v/>
      </c>
      <c r="W143" s="4" t="str">
        <f>IF(V143="","",SUMIFS(Prod_Prop!$J:$J,Prod_Prop!$B:$B,$Q143,Prod_Prop!$H:$H,V143,Prod_Prop!$I:$I,W$1)*IF(V143="Peso",$R143,1))</f>
        <v/>
      </c>
      <c r="X143" s="4" t="str">
        <f>IF(V143="","",SUMIFS(Prod_Prop!$J:$J,Prod_Prop!$B:$B,$Q143,Prod_Prop!$H:$H,V143,Prod_Prop!$I:$I,X$1)*IF(V143="Peso",$R143,1))</f>
        <v/>
      </c>
      <c r="Y143" s="4" t="str">
        <f>IFERROR(__xludf.DUMMYFUNCTION("IF(OR($U143="""",COUNTIF($I:$I,IFERROR(unique(filter(Prod_Prop!$H:$H,Prod_Prop!$G:$G=$U143,Prod_Prop!$E:$E=Y$1)),""Check""))=0),"""",IFERROR(unique(filter(Prod_Prop!$H:$H,Prod_Prop!$G:$G=$U143,Prod_Prop!$E:$E=Y$1)),""""))"),"")</f>
        <v/>
      </c>
      <c r="Z143" s="4" t="str">
        <f>IF(Y143="","",SUMIFS(Prod_Prop!$J:$J,Prod_Prop!$B:$B,$Q143,Prod_Prop!$H:$H,Y143,Prod_Prop!$I:$I,Z$1)*IF(Y143="Peso",$R143,1))</f>
        <v/>
      </c>
      <c r="AA143" s="4" t="str">
        <f>IF(Y143="","",SUMIFS(Prod_Prop!$J:$J,Prod_Prop!$B:$B,$Q143,Prod_Prop!$H:$H,Y143,Prod_Prop!$I:$I,AA$1)*IF(Y143="Peso",$R143,1))</f>
        <v/>
      </c>
      <c r="AB143" s="4" t="str">
        <f>IFERROR(__xludf.DUMMYFUNCTION("IF(OR($U143="""",COUNTIF($I:$I,IFERROR(unique(filter(Prod_Prop!$H:$H,Prod_Prop!$G:$G=$U143,Prod_Prop!$E:$E=AB$1)),""Check""))=0),"""",IFERROR(unique(filter(Prod_Prop!$H:$H,Prod_Prop!$G:$G=$U143,Prod_Prop!$E:$E=AB$1)),""""))"),"")</f>
        <v/>
      </c>
      <c r="AC143" s="4" t="str">
        <f>IF(AB143="","",SUMIFS(Prod_Prop!$J:$J,Prod_Prop!$B:$B,$Q143,Prod_Prop!$H:$H,AB143,Prod_Prop!$I:$I,AC$1)*IF(AB143="Peso",$R143,1))</f>
        <v/>
      </c>
      <c r="AD143" s="4" t="str">
        <f>IF(AB143="","",SUMIFS(Prod_Prop!$J:$J,Prod_Prop!$B:$B,$Q143,Prod_Prop!$H:$H,AB143,Prod_Prop!$I:$I,AD$1)*IF(AB143="Peso",$R143,1))</f>
        <v/>
      </c>
    </row>
    <row r="144">
      <c r="A144" s="4" t="str">
        <f t="array" ref="A144">IF(COUNTIF(A$1:A143,Cotizador!F$2)=maxifs(Familias!E:E,Familias!D:D,Cotizador!F$2),IF(COUNTIF(A$1:A143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4" s="4" t="str">
        <f t="shared" si="1"/>
        <v/>
      </c>
      <c r="C144" s="4" t="str">
        <f t="array" ref="C144">IF(B144="","",IF(A144=XLOOKUP(A$2,Implementos!B:B,Implementos!C:C,"",0,1),B144+maxifs(B$1:B143,A$1:A143,A$2),B144))</f>
        <v/>
      </c>
      <c r="D144" s="4" t="str">
        <f>IF(B144="","", COUNTIFS(Productos!F:F,A144,Productos!H:H,B144)+IF(F144="SI",0,1))</f>
        <v/>
      </c>
      <c r="E144" s="4" t="str">
        <f>IFERROR(__xludf.DUMMYFUNCTION("IF($B144="""","""",INDEX(filter(Familias!F:F,Familias!$D:$D=$A144,Familias!$E:$E=$B144),1))"),"")</f>
        <v/>
      </c>
      <c r="F144" s="4" t="str">
        <f>IFERROR(__xludf.DUMMYFUNCTION("IF($B144="""","""",INDEX(filter(Familias!G:G,Familias!$D:$D=$A144,Familias!$E:$E=$B144),1))"),"")</f>
        <v/>
      </c>
      <c r="G144" s="4" t="str">
        <f t="array" ref="G144">IF(C144=1,XLOOKUP(C144,Cotizador!D:D,Cotizador!E:E,"",0,1),"")</f>
        <v/>
      </c>
      <c r="I144" s="4"/>
      <c r="J144" s="8" t="str">
        <f>IF(I144="","",SUMIF(Cotizador!I$1:V$1,I144,Cotizador!I$2:V$2))</f>
        <v/>
      </c>
      <c r="L144" s="4" t="str">
        <f t="array" ref="L144">IF(COUNTIF(L$1:L143,A$2)=SUMIF(A:A,A$2,D:D),IF(COUNTIF(L$1:L143,XLOOKUP(A$2,Implementos!B:B,Implementos!C:C,"",0,1))=SUMIF(A:A,XLOOKUP(A$2,Implementos!B:B,Implementos!C:C,"",0,1),D:D),"",XLOOKUP(A$2,Implementos!B:B,Implementos!C:C,"",0,1)),A$2)</f>
        <v/>
      </c>
      <c r="M144" s="4" t="str">
        <f t="shared" si="2"/>
        <v/>
      </c>
      <c r="N144" s="4" t="str">
        <f t="shared" si="3"/>
        <v/>
      </c>
      <c r="O144" s="4" t="str">
        <f t="shared" si="4"/>
        <v/>
      </c>
      <c r="P144" s="4" t="str">
        <f t="shared" si="5"/>
        <v/>
      </c>
      <c r="Q144" s="4" t="str">
        <f>IF(U144="","",SUMIF(Productos!E:E,U144,Productos!A:A))</f>
        <v/>
      </c>
      <c r="R144" s="4" t="str">
        <f t="array" ref="R144">IF(L144="","", max(1,SUMIF(I:I,XLOOKUP(U144,Productos!E:E,Productos!G:G,"",0,1),J:J)))</f>
        <v/>
      </c>
      <c r="S144" s="4" t="str">
        <f>IF(Q144="","",IF(SUMIFS(Compat_Vetado!D:D,Compat_Vetado!B:B,SUM(G:G),Compat_Vetado!C:C,Q144)=1,"SI",IF(OR(SUMIF(Cotizador!E:E,Q144,Cotizador!G:G)&gt;0,SUMIFS(Compat_Vetado!D:D,Compat_Vetado!B:B,SUM(G:G),Compat_Vetado!C:C,Q144)=-1),"NO","")))</f>
        <v/>
      </c>
      <c r="T144" s="4" t="str">
        <f t="shared" si="6"/>
        <v/>
      </c>
      <c r="U144" s="4" t="str">
        <f>IFERROR(__xludf.DUMMYFUNCTION("IF(P144="""","""",IFERROR(INDEX(filter(Productos!E:E,Productos!F:F=L144,Productos!H:H=N144),P144),IF(M144=SUM(D:D),""Finalizar"",""-"")))"),"")</f>
        <v/>
      </c>
      <c r="V144" s="4" t="str">
        <f>IFERROR(__xludf.DUMMYFUNCTION("IF(OR($U144="""",COUNTIF($I:$I,IFERROR(unique(filter(Prod_Prop!$H:$H,Prod_Prop!$G:$G=$U144,Prod_Prop!$E:$E=V$1)),""Check""))=0),"""",IFERROR(unique(filter(Prod_Prop!$H:$H,Prod_Prop!$G:$G=$U144,Prod_Prop!$E:$E=V$1)),""""))"),"")</f>
        <v/>
      </c>
      <c r="W144" s="4" t="str">
        <f>IF(V144="","",SUMIFS(Prod_Prop!$J:$J,Prod_Prop!$B:$B,$Q144,Prod_Prop!$H:$H,V144,Prod_Prop!$I:$I,W$1)*IF(V144="Peso",$R144,1))</f>
        <v/>
      </c>
      <c r="X144" s="4" t="str">
        <f>IF(V144="","",SUMIFS(Prod_Prop!$J:$J,Prod_Prop!$B:$B,$Q144,Prod_Prop!$H:$H,V144,Prod_Prop!$I:$I,X$1)*IF(V144="Peso",$R144,1))</f>
        <v/>
      </c>
      <c r="Y144" s="4" t="str">
        <f>IFERROR(__xludf.DUMMYFUNCTION("IF(OR($U144="""",COUNTIF($I:$I,IFERROR(unique(filter(Prod_Prop!$H:$H,Prod_Prop!$G:$G=$U144,Prod_Prop!$E:$E=Y$1)),""Check""))=0),"""",IFERROR(unique(filter(Prod_Prop!$H:$H,Prod_Prop!$G:$G=$U144,Prod_Prop!$E:$E=Y$1)),""""))"),"")</f>
        <v/>
      </c>
      <c r="Z144" s="4" t="str">
        <f>IF(Y144="","",SUMIFS(Prod_Prop!$J:$J,Prod_Prop!$B:$B,$Q144,Prod_Prop!$H:$H,Y144,Prod_Prop!$I:$I,Z$1)*IF(Y144="Peso",$R144,1))</f>
        <v/>
      </c>
      <c r="AA144" s="4" t="str">
        <f>IF(Y144="","",SUMIFS(Prod_Prop!$J:$J,Prod_Prop!$B:$B,$Q144,Prod_Prop!$H:$H,Y144,Prod_Prop!$I:$I,AA$1)*IF(Y144="Peso",$R144,1))</f>
        <v/>
      </c>
      <c r="AB144" s="4" t="str">
        <f>IFERROR(__xludf.DUMMYFUNCTION("IF(OR($U144="""",COUNTIF($I:$I,IFERROR(unique(filter(Prod_Prop!$H:$H,Prod_Prop!$G:$G=$U144,Prod_Prop!$E:$E=AB$1)),""Check""))=0),"""",IFERROR(unique(filter(Prod_Prop!$H:$H,Prod_Prop!$G:$G=$U144,Prod_Prop!$E:$E=AB$1)),""""))"),"")</f>
        <v/>
      </c>
      <c r="AC144" s="4" t="str">
        <f>IF(AB144="","",SUMIFS(Prod_Prop!$J:$J,Prod_Prop!$B:$B,$Q144,Prod_Prop!$H:$H,AB144,Prod_Prop!$I:$I,AC$1)*IF(AB144="Peso",$R144,1))</f>
        <v/>
      </c>
      <c r="AD144" s="4" t="str">
        <f>IF(AB144="","",SUMIFS(Prod_Prop!$J:$J,Prod_Prop!$B:$B,$Q144,Prod_Prop!$H:$H,AB144,Prod_Prop!$I:$I,AD$1)*IF(AB144="Peso",$R144,1))</f>
        <v/>
      </c>
    </row>
    <row r="145">
      <c r="A145" s="4" t="str">
        <f t="array" ref="A145">IF(COUNTIF(A$1:A144,Cotizador!F$2)=maxifs(Familias!E:E,Familias!D:D,Cotizador!F$2),IF(COUNTIF(A$1:A144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5" s="4" t="str">
        <f t="shared" si="1"/>
        <v/>
      </c>
      <c r="C145" s="4" t="str">
        <f t="array" ref="C145">IF(B145="","",IF(A145=XLOOKUP(A$2,Implementos!B:B,Implementos!C:C,"",0,1),B145+maxifs(B$1:B144,A$1:A144,A$2),B145))</f>
        <v/>
      </c>
      <c r="D145" s="4" t="str">
        <f>IF(B145="","", COUNTIFS(Productos!F:F,A145,Productos!H:H,B145)+IF(F145="SI",0,1))</f>
        <v/>
      </c>
      <c r="E145" s="4" t="str">
        <f>IFERROR(__xludf.DUMMYFUNCTION("IF($B145="""","""",INDEX(filter(Familias!F:F,Familias!$D:$D=$A145,Familias!$E:$E=$B145),1))"),"")</f>
        <v/>
      </c>
      <c r="F145" s="4" t="str">
        <f>IFERROR(__xludf.DUMMYFUNCTION("IF($B145="""","""",INDEX(filter(Familias!G:G,Familias!$D:$D=$A145,Familias!$E:$E=$B145),1))"),"")</f>
        <v/>
      </c>
      <c r="G145" s="4" t="str">
        <f t="array" ref="G145">IF(C145=1,XLOOKUP(C145,Cotizador!D:D,Cotizador!E:E,"",0,1),"")</f>
        <v/>
      </c>
      <c r="I145" s="4"/>
      <c r="J145" s="8" t="str">
        <f>IF(I145="","",SUMIF(Cotizador!I$1:V$1,I145,Cotizador!I$2:V$2))</f>
        <v/>
      </c>
      <c r="L145" s="4" t="str">
        <f t="array" ref="L145">IF(COUNTIF(L$1:L144,A$2)=SUMIF(A:A,A$2,D:D),IF(COUNTIF(L$1:L144,XLOOKUP(A$2,Implementos!B:B,Implementos!C:C,"",0,1))=SUMIF(A:A,XLOOKUP(A$2,Implementos!B:B,Implementos!C:C,"",0,1),D:D),"",XLOOKUP(A$2,Implementos!B:B,Implementos!C:C,"",0,1)),A$2)</f>
        <v/>
      </c>
      <c r="M145" s="4" t="str">
        <f t="shared" si="2"/>
        <v/>
      </c>
      <c r="N145" s="4" t="str">
        <f t="shared" si="3"/>
        <v/>
      </c>
      <c r="O145" s="4" t="str">
        <f t="shared" si="4"/>
        <v/>
      </c>
      <c r="P145" s="4" t="str">
        <f t="shared" si="5"/>
        <v/>
      </c>
      <c r="Q145" s="4" t="str">
        <f>IF(U145="","",SUMIF(Productos!E:E,U145,Productos!A:A))</f>
        <v/>
      </c>
      <c r="R145" s="4" t="str">
        <f t="array" ref="R145">IF(L145="","", max(1,SUMIF(I:I,XLOOKUP(U145,Productos!E:E,Productos!G:G,"",0,1),J:J)))</f>
        <v/>
      </c>
      <c r="S145" s="4" t="str">
        <f>IF(Q145="","",IF(SUMIFS(Compat_Vetado!D:D,Compat_Vetado!B:B,SUM(G:G),Compat_Vetado!C:C,Q145)=1,"SI",IF(OR(SUMIF(Cotizador!E:E,Q145,Cotizador!G:G)&gt;0,SUMIFS(Compat_Vetado!D:D,Compat_Vetado!B:B,SUM(G:G),Compat_Vetado!C:C,Q145)=-1),"NO","")))</f>
        <v/>
      </c>
      <c r="T145" s="4" t="str">
        <f t="shared" si="6"/>
        <v/>
      </c>
      <c r="U145" s="4" t="str">
        <f>IFERROR(__xludf.DUMMYFUNCTION("IF(P145="""","""",IFERROR(INDEX(filter(Productos!E:E,Productos!F:F=L145,Productos!H:H=N145),P145),IF(M145=SUM(D:D),""Finalizar"",""-"")))"),"")</f>
        <v/>
      </c>
      <c r="V145" s="4" t="str">
        <f>IFERROR(__xludf.DUMMYFUNCTION("IF(OR($U145="""",COUNTIF($I:$I,IFERROR(unique(filter(Prod_Prop!$H:$H,Prod_Prop!$G:$G=$U145,Prod_Prop!$E:$E=V$1)),""Check""))=0),"""",IFERROR(unique(filter(Prod_Prop!$H:$H,Prod_Prop!$G:$G=$U145,Prod_Prop!$E:$E=V$1)),""""))"),"")</f>
        <v/>
      </c>
      <c r="W145" s="4" t="str">
        <f>IF(V145="","",SUMIFS(Prod_Prop!$J:$J,Prod_Prop!$B:$B,$Q145,Prod_Prop!$H:$H,V145,Prod_Prop!$I:$I,W$1)*IF(V145="Peso",$R145,1))</f>
        <v/>
      </c>
      <c r="X145" s="4" t="str">
        <f>IF(V145="","",SUMIFS(Prod_Prop!$J:$J,Prod_Prop!$B:$B,$Q145,Prod_Prop!$H:$H,V145,Prod_Prop!$I:$I,X$1)*IF(V145="Peso",$R145,1))</f>
        <v/>
      </c>
      <c r="Y145" s="4" t="str">
        <f>IFERROR(__xludf.DUMMYFUNCTION("IF(OR($U145="""",COUNTIF($I:$I,IFERROR(unique(filter(Prod_Prop!$H:$H,Prod_Prop!$G:$G=$U145,Prod_Prop!$E:$E=Y$1)),""Check""))=0),"""",IFERROR(unique(filter(Prod_Prop!$H:$H,Prod_Prop!$G:$G=$U145,Prod_Prop!$E:$E=Y$1)),""""))"),"")</f>
        <v/>
      </c>
      <c r="Z145" s="4" t="str">
        <f>IF(Y145="","",SUMIFS(Prod_Prop!$J:$J,Prod_Prop!$B:$B,$Q145,Prod_Prop!$H:$H,Y145,Prod_Prop!$I:$I,Z$1)*IF(Y145="Peso",$R145,1))</f>
        <v/>
      </c>
      <c r="AA145" s="4" t="str">
        <f>IF(Y145="","",SUMIFS(Prod_Prop!$J:$J,Prod_Prop!$B:$B,$Q145,Prod_Prop!$H:$H,Y145,Prod_Prop!$I:$I,AA$1)*IF(Y145="Peso",$R145,1))</f>
        <v/>
      </c>
      <c r="AB145" s="4" t="str">
        <f>IFERROR(__xludf.DUMMYFUNCTION("IF(OR($U145="""",COUNTIF($I:$I,IFERROR(unique(filter(Prod_Prop!$H:$H,Prod_Prop!$G:$G=$U145,Prod_Prop!$E:$E=AB$1)),""Check""))=0),"""",IFERROR(unique(filter(Prod_Prop!$H:$H,Prod_Prop!$G:$G=$U145,Prod_Prop!$E:$E=AB$1)),""""))"),"")</f>
        <v/>
      </c>
      <c r="AC145" s="4" t="str">
        <f>IF(AB145="","",SUMIFS(Prod_Prop!$J:$J,Prod_Prop!$B:$B,$Q145,Prod_Prop!$H:$H,AB145,Prod_Prop!$I:$I,AC$1)*IF(AB145="Peso",$R145,1))</f>
        <v/>
      </c>
      <c r="AD145" s="4" t="str">
        <f>IF(AB145="","",SUMIFS(Prod_Prop!$J:$J,Prod_Prop!$B:$B,$Q145,Prod_Prop!$H:$H,AB145,Prod_Prop!$I:$I,AD$1)*IF(AB145="Peso",$R145,1))</f>
        <v/>
      </c>
    </row>
    <row r="146">
      <c r="A146" s="4" t="str">
        <f t="array" ref="A146">IF(COUNTIF(A$1:A145,Cotizador!F$2)=maxifs(Familias!E:E,Familias!D:D,Cotizador!F$2),IF(COUNTIF(A$1:A145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6" s="4" t="str">
        <f t="shared" si="1"/>
        <v/>
      </c>
      <c r="C146" s="4" t="str">
        <f t="array" ref="C146">IF(B146="","",IF(A146=XLOOKUP(A$2,Implementos!B:B,Implementos!C:C,"",0,1),B146+maxifs(B$1:B145,A$1:A145,A$2),B146))</f>
        <v/>
      </c>
      <c r="D146" s="4" t="str">
        <f>IF(B146="","", COUNTIFS(Productos!F:F,A146,Productos!H:H,B146)+IF(F146="SI",0,1))</f>
        <v/>
      </c>
      <c r="E146" s="4" t="str">
        <f>IFERROR(__xludf.DUMMYFUNCTION("IF($B146="""","""",INDEX(filter(Familias!F:F,Familias!$D:$D=$A146,Familias!$E:$E=$B146),1))"),"")</f>
        <v/>
      </c>
      <c r="F146" s="4" t="str">
        <f>IFERROR(__xludf.DUMMYFUNCTION("IF($B146="""","""",INDEX(filter(Familias!G:G,Familias!$D:$D=$A146,Familias!$E:$E=$B146),1))"),"")</f>
        <v/>
      </c>
      <c r="G146" s="4" t="str">
        <f t="array" ref="G146">IF(C146=1,XLOOKUP(C146,Cotizador!D:D,Cotizador!E:E,"",0,1),"")</f>
        <v/>
      </c>
      <c r="I146" s="4"/>
      <c r="J146" s="8" t="str">
        <f>IF(I146="","",SUMIF(Cotizador!I$1:V$1,I146,Cotizador!I$2:V$2))</f>
        <v/>
      </c>
      <c r="L146" s="4" t="str">
        <f t="array" ref="L146">IF(COUNTIF(L$1:L145,A$2)=SUMIF(A:A,A$2,D:D),IF(COUNTIF(L$1:L145,XLOOKUP(A$2,Implementos!B:B,Implementos!C:C,"",0,1))=SUMIF(A:A,XLOOKUP(A$2,Implementos!B:B,Implementos!C:C,"",0,1),D:D),"",XLOOKUP(A$2,Implementos!B:B,Implementos!C:C,"",0,1)),A$2)</f>
        <v/>
      </c>
      <c r="M146" s="4" t="str">
        <f t="shared" si="2"/>
        <v/>
      </c>
      <c r="N146" s="4" t="str">
        <f t="shared" si="3"/>
        <v/>
      </c>
      <c r="O146" s="4" t="str">
        <f t="shared" si="4"/>
        <v/>
      </c>
      <c r="P146" s="4" t="str">
        <f t="shared" si="5"/>
        <v/>
      </c>
      <c r="Q146" s="4" t="str">
        <f>IF(U146="","",SUMIF(Productos!E:E,U146,Productos!A:A))</f>
        <v/>
      </c>
      <c r="R146" s="4" t="str">
        <f t="array" ref="R146">IF(L146="","", max(1,SUMIF(I:I,XLOOKUP(U146,Productos!E:E,Productos!G:G,"",0,1),J:J)))</f>
        <v/>
      </c>
      <c r="S146" s="4" t="str">
        <f>IF(Q146="","",IF(SUMIFS(Compat_Vetado!D:D,Compat_Vetado!B:B,SUM(G:G),Compat_Vetado!C:C,Q146)=1,"SI",IF(OR(SUMIF(Cotizador!E:E,Q146,Cotizador!G:G)&gt;0,SUMIFS(Compat_Vetado!D:D,Compat_Vetado!B:B,SUM(G:G),Compat_Vetado!C:C,Q146)=-1),"NO","")))</f>
        <v/>
      </c>
      <c r="T146" s="4" t="str">
        <f t="shared" si="6"/>
        <v/>
      </c>
      <c r="U146" s="4" t="str">
        <f>IFERROR(__xludf.DUMMYFUNCTION("IF(P146="""","""",IFERROR(INDEX(filter(Productos!E:E,Productos!F:F=L146,Productos!H:H=N146),P146),IF(M146=SUM(D:D),""Finalizar"",""-"")))"),"")</f>
        <v/>
      </c>
      <c r="V146" s="4" t="str">
        <f>IFERROR(__xludf.DUMMYFUNCTION("IF(OR($U146="""",COUNTIF($I:$I,IFERROR(unique(filter(Prod_Prop!$H:$H,Prod_Prop!$G:$G=$U146,Prod_Prop!$E:$E=V$1)),""Check""))=0),"""",IFERROR(unique(filter(Prod_Prop!$H:$H,Prod_Prop!$G:$G=$U146,Prod_Prop!$E:$E=V$1)),""""))"),"")</f>
        <v/>
      </c>
      <c r="W146" s="4" t="str">
        <f>IF(V146="","",SUMIFS(Prod_Prop!$J:$J,Prod_Prop!$B:$B,$Q146,Prod_Prop!$H:$H,V146,Prod_Prop!$I:$I,W$1)*IF(V146="Peso",$R146,1))</f>
        <v/>
      </c>
      <c r="X146" s="4" t="str">
        <f>IF(V146="","",SUMIFS(Prod_Prop!$J:$J,Prod_Prop!$B:$B,$Q146,Prod_Prop!$H:$H,V146,Prod_Prop!$I:$I,X$1)*IF(V146="Peso",$R146,1))</f>
        <v/>
      </c>
      <c r="Y146" s="4" t="str">
        <f>IFERROR(__xludf.DUMMYFUNCTION("IF(OR($U146="""",COUNTIF($I:$I,IFERROR(unique(filter(Prod_Prop!$H:$H,Prod_Prop!$G:$G=$U146,Prod_Prop!$E:$E=Y$1)),""Check""))=0),"""",IFERROR(unique(filter(Prod_Prop!$H:$H,Prod_Prop!$G:$G=$U146,Prod_Prop!$E:$E=Y$1)),""""))"),"")</f>
        <v/>
      </c>
      <c r="Z146" s="4" t="str">
        <f>IF(Y146="","",SUMIFS(Prod_Prop!$J:$J,Prod_Prop!$B:$B,$Q146,Prod_Prop!$H:$H,Y146,Prod_Prop!$I:$I,Z$1)*IF(Y146="Peso",$R146,1))</f>
        <v/>
      </c>
      <c r="AA146" s="4" t="str">
        <f>IF(Y146="","",SUMIFS(Prod_Prop!$J:$J,Prod_Prop!$B:$B,$Q146,Prod_Prop!$H:$H,Y146,Prod_Prop!$I:$I,AA$1)*IF(Y146="Peso",$R146,1))</f>
        <v/>
      </c>
      <c r="AB146" s="4" t="str">
        <f>IFERROR(__xludf.DUMMYFUNCTION("IF(OR($U146="""",COUNTIF($I:$I,IFERROR(unique(filter(Prod_Prop!$H:$H,Prod_Prop!$G:$G=$U146,Prod_Prop!$E:$E=AB$1)),""Check""))=0),"""",IFERROR(unique(filter(Prod_Prop!$H:$H,Prod_Prop!$G:$G=$U146,Prod_Prop!$E:$E=AB$1)),""""))"),"")</f>
        <v/>
      </c>
      <c r="AC146" s="4" t="str">
        <f>IF(AB146="","",SUMIFS(Prod_Prop!$J:$J,Prod_Prop!$B:$B,$Q146,Prod_Prop!$H:$H,AB146,Prod_Prop!$I:$I,AC$1)*IF(AB146="Peso",$R146,1))</f>
        <v/>
      </c>
      <c r="AD146" s="4" t="str">
        <f>IF(AB146="","",SUMIFS(Prod_Prop!$J:$J,Prod_Prop!$B:$B,$Q146,Prod_Prop!$H:$H,AB146,Prod_Prop!$I:$I,AD$1)*IF(AB146="Peso",$R146,1))</f>
        <v/>
      </c>
    </row>
    <row r="147">
      <c r="A147" s="4" t="str">
        <f t="array" ref="A147">IF(COUNTIF(A$1:A146,Cotizador!F$2)=maxifs(Familias!E:E,Familias!D:D,Cotizador!F$2),IF(COUNTIF(A$1:A146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7" s="4" t="str">
        <f t="shared" si="1"/>
        <v/>
      </c>
      <c r="C147" s="4" t="str">
        <f t="array" ref="C147">IF(B147="","",IF(A147=XLOOKUP(A$2,Implementos!B:B,Implementos!C:C,"",0,1),B147+maxifs(B$1:B146,A$1:A146,A$2),B147))</f>
        <v/>
      </c>
      <c r="D147" s="4" t="str">
        <f>IF(B147="","", COUNTIFS(Productos!F:F,A147,Productos!H:H,B147)+IF(F147="SI",0,1))</f>
        <v/>
      </c>
      <c r="E147" s="4" t="str">
        <f>IFERROR(__xludf.DUMMYFUNCTION("IF($B147="""","""",INDEX(filter(Familias!F:F,Familias!$D:$D=$A147,Familias!$E:$E=$B147),1))"),"")</f>
        <v/>
      </c>
      <c r="F147" s="4" t="str">
        <f>IFERROR(__xludf.DUMMYFUNCTION("IF($B147="""","""",INDEX(filter(Familias!G:G,Familias!$D:$D=$A147,Familias!$E:$E=$B147),1))"),"")</f>
        <v/>
      </c>
      <c r="G147" s="4" t="str">
        <f t="array" ref="G147">IF(C147=1,XLOOKUP(C147,Cotizador!D:D,Cotizador!E:E,"",0,1),"")</f>
        <v/>
      </c>
      <c r="I147" s="4"/>
      <c r="J147" s="8" t="str">
        <f>IF(I147="","",SUMIF(Cotizador!I$1:V$1,I147,Cotizador!I$2:V$2))</f>
        <v/>
      </c>
      <c r="L147" s="4" t="str">
        <f t="array" ref="L147">IF(COUNTIF(L$1:L146,A$2)=SUMIF(A:A,A$2,D:D),IF(COUNTIF(L$1:L146,XLOOKUP(A$2,Implementos!B:B,Implementos!C:C,"",0,1))=SUMIF(A:A,XLOOKUP(A$2,Implementos!B:B,Implementos!C:C,"",0,1),D:D),"",XLOOKUP(A$2,Implementos!B:B,Implementos!C:C,"",0,1)),A$2)</f>
        <v/>
      </c>
      <c r="M147" s="4" t="str">
        <f t="shared" si="2"/>
        <v/>
      </c>
      <c r="N147" s="4" t="str">
        <f t="shared" si="3"/>
        <v/>
      </c>
      <c r="O147" s="4" t="str">
        <f t="shared" si="4"/>
        <v/>
      </c>
      <c r="P147" s="4" t="str">
        <f t="shared" si="5"/>
        <v/>
      </c>
      <c r="Q147" s="4" t="str">
        <f>IF(U147="","",SUMIF(Productos!E:E,U147,Productos!A:A))</f>
        <v/>
      </c>
      <c r="R147" s="4" t="str">
        <f t="array" ref="R147">IF(L147="","", max(1,SUMIF(I:I,XLOOKUP(U147,Productos!E:E,Productos!G:G,"",0,1),J:J)))</f>
        <v/>
      </c>
      <c r="S147" s="4" t="str">
        <f>IF(Q147="","",IF(SUMIFS(Compat_Vetado!D:D,Compat_Vetado!B:B,SUM(G:G),Compat_Vetado!C:C,Q147)=1,"SI",IF(OR(SUMIF(Cotizador!E:E,Q147,Cotizador!G:G)&gt;0,SUMIFS(Compat_Vetado!D:D,Compat_Vetado!B:B,SUM(G:G),Compat_Vetado!C:C,Q147)=-1),"NO","")))</f>
        <v/>
      </c>
      <c r="T147" s="4" t="str">
        <f t="shared" si="6"/>
        <v/>
      </c>
      <c r="U147" s="4" t="str">
        <f>IFERROR(__xludf.DUMMYFUNCTION("IF(P147="""","""",IFERROR(INDEX(filter(Productos!E:E,Productos!F:F=L147,Productos!H:H=N147),P147),IF(M147=SUM(D:D),""Finalizar"",""-"")))"),"")</f>
        <v/>
      </c>
      <c r="V147" s="4" t="str">
        <f>IFERROR(__xludf.DUMMYFUNCTION("IF(OR($U147="""",COUNTIF($I:$I,IFERROR(unique(filter(Prod_Prop!$H:$H,Prod_Prop!$G:$G=$U147,Prod_Prop!$E:$E=V$1)),""Check""))=0),"""",IFERROR(unique(filter(Prod_Prop!$H:$H,Prod_Prop!$G:$G=$U147,Prod_Prop!$E:$E=V$1)),""""))"),"")</f>
        <v/>
      </c>
      <c r="W147" s="4" t="str">
        <f>IF(V147="","",SUMIFS(Prod_Prop!$J:$J,Prod_Prop!$B:$B,$Q147,Prod_Prop!$H:$H,V147,Prod_Prop!$I:$I,W$1)*IF(V147="Peso",$R147,1))</f>
        <v/>
      </c>
      <c r="X147" s="4" t="str">
        <f>IF(V147="","",SUMIFS(Prod_Prop!$J:$J,Prod_Prop!$B:$B,$Q147,Prod_Prop!$H:$H,V147,Prod_Prop!$I:$I,X$1)*IF(V147="Peso",$R147,1))</f>
        <v/>
      </c>
      <c r="Y147" s="4" t="str">
        <f>IFERROR(__xludf.DUMMYFUNCTION("IF(OR($U147="""",COUNTIF($I:$I,IFERROR(unique(filter(Prod_Prop!$H:$H,Prod_Prop!$G:$G=$U147,Prod_Prop!$E:$E=Y$1)),""Check""))=0),"""",IFERROR(unique(filter(Prod_Prop!$H:$H,Prod_Prop!$G:$G=$U147,Prod_Prop!$E:$E=Y$1)),""""))"),"")</f>
        <v/>
      </c>
      <c r="Z147" s="4" t="str">
        <f>IF(Y147="","",SUMIFS(Prod_Prop!$J:$J,Prod_Prop!$B:$B,$Q147,Prod_Prop!$H:$H,Y147,Prod_Prop!$I:$I,Z$1)*IF(Y147="Peso",$R147,1))</f>
        <v/>
      </c>
      <c r="AA147" s="4" t="str">
        <f>IF(Y147="","",SUMIFS(Prod_Prop!$J:$J,Prod_Prop!$B:$B,$Q147,Prod_Prop!$H:$H,Y147,Prod_Prop!$I:$I,AA$1)*IF(Y147="Peso",$R147,1))</f>
        <v/>
      </c>
      <c r="AB147" s="4" t="str">
        <f>IFERROR(__xludf.DUMMYFUNCTION("IF(OR($U147="""",COUNTIF($I:$I,IFERROR(unique(filter(Prod_Prop!$H:$H,Prod_Prop!$G:$G=$U147,Prod_Prop!$E:$E=AB$1)),""Check""))=0),"""",IFERROR(unique(filter(Prod_Prop!$H:$H,Prod_Prop!$G:$G=$U147,Prod_Prop!$E:$E=AB$1)),""""))"),"")</f>
        <v/>
      </c>
      <c r="AC147" s="4" t="str">
        <f>IF(AB147="","",SUMIFS(Prod_Prop!$J:$J,Prod_Prop!$B:$B,$Q147,Prod_Prop!$H:$H,AB147,Prod_Prop!$I:$I,AC$1)*IF(AB147="Peso",$R147,1))</f>
        <v/>
      </c>
      <c r="AD147" s="4" t="str">
        <f>IF(AB147="","",SUMIFS(Prod_Prop!$J:$J,Prod_Prop!$B:$B,$Q147,Prod_Prop!$H:$H,AB147,Prod_Prop!$I:$I,AD$1)*IF(AB147="Peso",$R147,1))</f>
        <v/>
      </c>
    </row>
    <row r="148">
      <c r="A148" s="4" t="str">
        <f t="array" ref="A148">IF(COUNTIF(A$1:A147,Cotizador!F$2)=maxifs(Familias!E:E,Familias!D:D,Cotizador!F$2),IF(COUNTIF(A$1:A147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8" s="4" t="str">
        <f t="shared" si="1"/>
        <v/>
      </c>
      <c r="C148" s="4" t="str">
        <f t="array" ref="C148">IF(B148="","",IF(A148=XLOOKUP(A$2,Implementos!B:B,Implementos!C:C,"",0,1),B148+maxifs(B$1:B147,A$1:A147,A$2),B148))</f>
        <v/>
      </c>
      <c r="D148" s="4" t="str">
        <f>IF(B148="","", COUNTIFS(Productos!F:F,A148,Productos!H:H,B148)+IF(F148="SI",0,1))</f>
        <v/>
      </c>
      <c r="E148" s="4" t="str">
        <f>IFERROR(__xludf.DUMMYFUNCTION("IF($B148="""","""",INDEX(filter(Familias!F:F,Familias!$D:$D=$A148,Familias!$E:$E=$B148),1))"),"")</f>
        <v/>
      </c>
      <c r="F148" s="4" t="str">
        <f>IFERROR(__xludf.DUMMYFUNCTION("IF($B148="""","""",INDEX(filter(Familias!G:G,Familias!$D:$D=$A148,Familias!$E:$E=$B148),1))"),"")</f>
        <v/>
      </c>
      <c r="G148" s="4" t="str">
        <f t="array" ref="G148">IF(C148=1,XLOOKUP(C148,Cotizador!D:D,Cotizador!E:E,"",0,1),"")</f>
        <v/>
      </c>
      <c r="I148" s="4"/>
      <c r="J148" s="8" t="str">
        <f>IF(I148="","",SUMIF(Cotizador!I$1:V$1,I148,Cotizador!I$2:V$2))</f>
        <v/>
      </c>
      <c r="L148" s="4" t="str">
        <f t="array" ref="L148">IF(COUNTIF(L$1:L147,A$2)=SUMIF(A:A,A$2,D:D),IF(COUNTIF(L$1:L147,XLOOKUP(A$2,Implementos!B:B,Implementos!C:C,"",0,1))=SUMIF(A:A,XLOOKUP(A$2,Implementos!B:B,Implementos!C:C,"",0,1),D:D),"",XLOOKUP(A$2,Implementos!B:B,Implementos!C:C,"",0,1)),A$2)</f>
        <v/>
      </c>
      <c r="M148" s="4" t="str">
        <f t="shared" si="2"/>
        <v/>
      </c>
      <c r="N148" s="4" t="str">
        <f t="shared" si="3"/>
        <v/>
      </c>
      <c r="O148" s="4" t="str">
        <f t="shared" si="4"/>
        <v/>
      </c>
      <c r="P148" s="4" t="str">
        <f t="shared" si="5"/>
        <v/>
      </c>
      <c r="Q148" s="4" t="str">
        <f>IF(U148="","",SUMIF(Productos!E:E,U148,Productos!A:A))</f>
        <v/>
      </c>
      <c r="R148" s="4" t="str">
        <f t="array" ref="R148">IF(L148="","", max(1,SUMIF(I:I,XLOOKUP(U148,Productos!E:E,Productos!G:G,"",0,1),J:J)))</f>
        <v/>
      </c>
      <c r="S148" s="4" t="str">
        <f>IF(Q148="","",IF(SUMIFS(Compat_Vetado!D:D,Compat_Vetado!B:B,SUM(G:G),Compat_Vetado!C:C,Q148)=1,"SI",IF(OR(SUMIF(Cotizador!E:E,Q148,Cotizador!G:G)&gt;0,SUMIFS(Compat_Vetado!D:D,Compat_Vetado!B:B,SUM(G:G),Compat_Vetado!C:C,Q148)=-1),"NO","")))</f>
        <v/>
      </c>
      <c r="T148" s="4" t="str">
        <f t="shared" si="6"/>
        <v/>
      </c>
      <c r="U148" s="4" t="str">
        <f>IFERROR(__xludf.DUMMYFUNCTION("IF(P148="""","""",IFERROR(INDEX(filter(Productos!E:E,Productos!F:F=L148,Productos!H:H=N148),P148),IF(M148=SUM(D:D),""Finalizar"",""-"")))"),"")</f>
        <v/>
      </c>
      <c r="V148" s="4" t="str">
        <f>IFERROR(__xludf.DUMMYFUNCTION("IF(OR($U148="""",COUNTIF($I:$I,IFERROR(unique(filter(Prod_Prop!$H:$H,Prod_Prop!$G:$G=$U148,Prod_Prop!$E:$E=V$1)),""Check""))=0),"""",IFERROR(unique(filter(Prod_Prop!$H:$H,Prod_Prop!$G:$G=$U148,Prod_Prop!$E:$E=V$1)),""""))"),"")</f>
        <v/>
      </c>
      <c r="W148" s="4" t="str">
        <f>IF(V148="","",SUMIFS(Prod_Prop!$J:$J,Prod_Prop!$B:$B,$Q148,Prod_Prop!$H:$H,V148,Prod_Prop!$I:$I,W$1)*IF(V148="Peso",$R148,1))</f>
        <v/>
      </c>
      <c r="X148" s="4" t="str">
        <f>IF(V148="","",SUMIFS(Prod_Prop!$J:$J,Prod_Prop!$B:$B,$Q148,Prod_Prop!$H:$H,V148,Prod_Prop!$I:$I,X$1)*IF(V148="Peso",$R148,1))</f>
        <v/>
      </c>
      <c r="Y148" s="4" t="str">
        <f>IFERROR(__xludf.DUMMYFUNCTION("IF(OR($U148="""",COUNTIF($I:$I,IFERROR(unique(filter(Prod_Prop!$H:$H,Prod_Prop!$G:$G=$U148,Prod_Prop!$E:$E=Y$1)),""Check""))=0),"""",IFERROR(unique(filter(Prod_Prop!$H:$H,Prod_Prop!$G:$G=$U148,Prod_Prop!$E:$E=Y$1)),""""))"),"")</f>
        <v/>
      </c>
      <c r="Z148" s="4" t="str">
        <f>IF(Y148="","",SUMIFS(Prod_Prop!$J:$J,Prod_Prop!$B:$B,$Q148,Prod_Prop!$H:$H,Y148,Prod_Prop!$I:$I,Z$1)*IF(Y148="Peso",$R148,1))</f>
        <v/>
      </c>
      <c r="AA148" s="4" t="str">
        <f>IF(Y148="","",SUMIFS(Prod_Prop!$J:$J,Prod_Prop!$B:$B,$Q148,Prod_Prop!$H:$H,Y148,Prod_Prop!$I:$I,AA$1)*IF(Y148="Peso",$R148,1))</f>
        <v/>
      </c>
      <c r="AB148" s="4" t="str">
        <f>IFERROR(__xludf.DUMMYFUNCTION("IF(OR($U148="""",COUNTIF($I:$I,IFERROR(unique(filter(Prod_Prop!$H:$H,Prod_Prop!$G:$G=$U148,Prod_Prop!$E:$E=AB$1)),""Check""))=0),"""",IFERROR(unique(filter(Prod_Prop!$H:$H,Prod_Prop!$G:$G=$U148,Prod_Prop!$E:$E=AB$1)),""""))"),"")</f>
        <v/>
      </c>
      <c r="AC148" s="4" t="str">
        <f>IF(AB148="","",SUMIFS(Prod_Prop!$J:$J,Prod_Prop!$B:$B,$Q148,Prod_Prop!$H:$H,AB148,Prod_Prop!$I:$I,AC$1)*IF(AB148="Peso",$R148,1))</f>
        <v/>
      </c>
      <c r="AD148" s="4" t="str">
        <f>IF(AB148="","",SUMIFS(Prod_Prop!$J:$J,Prod_Prop!$B:$B,$Q148,Prod_Prop!$H:$H,AB148,Prod_Prop!$I:$I,AD$1)*IF(AB148="Peso",$R148,1))</f>
        <v/>
      </c>
    </row>
    <row r="149">
      <c r="A149" s="4" t="str">
        <f t="array" ref="A149">IF(COUNTIF(A$1:A148,Cotizador!F$2)=maxifs(Familias!E:E,Familias!D:D,Cotizador!F$2),IF(COUNTIF(A$1:A148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49" s="4" t="str">
        <f t="shared" si="1"/>
        <v/>
      </c>
      <c r="C149" s="4" t="str">
        <f t="array" ref="C149">IF(B149="","",IF(A149=XLOOKUP(A$2,Implementos!B:B,Implementos!C:C,"",0,1),B149+maxifs(B$1:B148,A$1:A148,A$2),B149))</f>
        <v/>
      </c>
      <c r="D149" s="4" t="str">
        <f>IF(B149="","", COUNTIFS(Productos!F:F,A149,Productos!H:H,B149)+IF(F149="SI",0,1))</f>
        <v/>
      </c>
      <c r="E149" s="4" t="str">
        <f>IFERROR(__xludf.DUMMYFUNCTION("IF($B149="""","""",INDEX(filter(Familias!F:F,Familias!$D:$D=$A149,Familias!$E:$E=$B149),1))"),"")</f>
        <v/>
      </c>
      <c r="F149" s="4" t="str">
        <f>IFERROR(__xludf.DUMMYFUNCTION("IF($B149="""","""",INDEX(filter(Familias!G:G,Familias!$D:$D=$A149,Familias!$E:$E=$B149),1))"),"")</f>
        <v/>
      </c>
      <c r="G149" s="4" t="str">
        <f t="array" ref="G149">IF(C149=1,XLOOKUP(C149,Cotizador!D:D,Cotizador!E:E,"",0,1),"")</f>
        <v/>
      </c>
      <c r="I149" s="4"/>
      <c r="J149" s="8" t="str">
        <f>IF(I149="","",SUMIF(Cotizador!I$1:V$1,I149,Cotizador!I$2:V$2))</f>
        <v/>
      </c>
      <c r="L149" s="4" t="str">
        <f t="array" ref="L149">IF(COUNTIF(L$1:L148,A$2)=SUMIF(A:A,A$2,D:D),IF(COUNTIF(L$1:L148,XLOOKUP(A$2,Implementos!B:B,Implementos!C:C,"",0,1))=SUMIF(A:A,XLOOKUP(A$2,Implementos!B:B,Implementos!C:C,"",0,1),D:D),"",XLOOKUP(A$2,Implementos!B:B,Implementos!C:C,"",0,1)),A$2)</f>
        <v/>
      </c>
      <c r="M149" s="4" t="str">
        <f t="shared" si="2"/>
        <v/>
      </c>
      <c r="N149" s="4" t="str">
        <f t="shared" si="3"/>
        <v/>
      </c>
      <c r="O149" s="4" t="str">
        <f t="shared" si="4"/>
        <v/>
      </c>
      <c r="P149" s="4" t="str">
        <f t="shared" si="5"/>
        <v/>
      </c>
      <c r="Q149" s="4" t="str">
        <f>IF(U149="","",SUMIF(Productos!E:E,U149,Productos!A:A))</f>
        <v/>
      </c>
      <c r="R149" s="4" t="str">
        <f t="array" ref="R149">IF(L149="","", max(1,SUMIF(I:I,XLOOKUP(U149,Productos!E:E,Productos!G:G,"",0,1),J:J)))</f>
        <v/>
      </c>
      <c r="S149" s="4" t="str">
        <f>IF(Q149="","",IF(SUMIFS(Compat_Vetado!D:D,Compat_Vetado!B:B,SUM(G:G),Compat_Vetado!C:C,Q149)=1,"SI",IF(OR(SUMIF(Cotizador!E:E,Q149,Cotizador!G:G)&gt;0,SUMIFS(Compat_Vetado!D:D,Compat_Vetado!B:B,SUM(G:G),Compat_Vetado!C:C,Q149)=-1),"NO","")))</f>
        <v/>
      </c>
      <c r="T149" s="4" t="str">
        <f t="shared" si="6"/>
        <v/>
      </c>
      <c r="U149" s="4" t="str">
        <f>IFERROR(__xludf.DUMMYFUNCTION("IF(P149="""","""",IFERROR(INDEX(filter(Productos!E:E,Productos!F:F=L149,Productos!H:H=N149),P149),IF(M149=SUM(D:D),""Finalizar"",""-"")))"),"")</f>
        <v/>
      </c>
      <c r="V149" s="4" t="str">
        <f>IFERROR(__xludf.DUMMYFUNCTION("IF(OR($U149="""",COUNTIF($I:$I,IFERROR(unique(filter(Prod_Prop!$H:$H,Prod_Prop!$G:$G=$U149,Prod_Prop!$E:$E=V$1)),""Check""))=0),"""",IFERROR(unique(filter(Prod_Prop!$H:$H,Prod_Prop!$G:$G=$U149,Prod_Prop!$E:$E=V$1)),""""))"),"")</f>
        <v/>
      </c>
      <c r="W149" s="4" t="str">
        <f>IF(V149="","",SUMIFS(Prod_Prop!$J:$J,Prod_Prop!$B:$B,$Q149,Prod_Prop!$H:$H,V149,Prod_Prop!$I:$I,W$1)*IF(V149="Peso",$R149,1))</f>
        <v/>
      </c>
      <c r="X149" s="4" t="str">
        <f>IF(V149="","",SUMIFS(Prod_Prop!$J:$J,Prod_Prop!$B:$B,$Q149,Prod_Prop!$H:$H,V149,Prod_Prop!$I:$I,X$1)*IF(V149="Peso",$R149,1))</f>
        <v/>
      </c>
      <c r="Y149" s="4" t="str">
        <f>IFERROR(__xludf.DUMMYFUNCTION("IF(OR($U149="""",COUNTIF($I:$I,IFERROR(unique(filter(Prod_Prop!$H:$H,Prod_Prop!$G:$G=$U149,Prod_Prop!$E:$E=Y$1)),""Check""))=0),"""",IFERROR(unique(filter(Prod_Prop!$H:$H,Prod_Prop!$G:$G=$U149,Prod_Prop!$E:$E=Y$1)),""""))"),"")</f>
        <v/>
      </c>
      <c r="Z149" s="4" t="str">
        <f>IF(Y149="","",SUMIFS(Prod_Prop!$J:$J,Prod_Prop!$B:$B,$Q149,Prod_Prop!$H:$H,Y149,Prod_Prop!$I:$I,Z$1)*IF(Y149="Peso",$R149,1))</f>
        <v/>
      </c>
      <c r="AA149" s="4" t="str">
        <f>IF(Y149="","",SUMIFS(Prod_Prop!$J:$J,Prod_Prop!$B:$B,$Q149,Prod_Prop!$H:$H,Y149,Prod_Prop!$I:$I,AA$1)*IF(Y149="Peso",$R149,1))</f>
        <v/>
      </c>
      <c r="AB149" s="4" t="str">
        <f>IFERROR(__xludf.DUMMYFUNCTION("IF(OR($U149="""",COUNTIF($I:$I,IFERROR(unique(filter(Prod_Prop!$H:$H,Prod_Prop!$G:$G=$U149,Prod_Prop!$E:$E=AB$1)),""Check""))=0),"""",IFERROR(unique(filter(Prod_Prop!$H:$H,Prod_Prop!$G:$G=$U149,Prod_Prop!$E:$E=AB$1)),""""))"),"")</f>
        <v/>
      </c>
      <c r="AC149" s="4" t="str">
        <f>IF(AB149="","",SUMIFS(Prod_Prop!$J:$J,Prod_Prop!$B:$B,$Q149,Prod_Prop!$H:$H,AB149,Prod_Prop!$I:$I,AC$1)*IF(AB149="Peso",$R149,1))</f>
        <v/>
      </c>
      <c r="AD149" s="4" t="str">
        <f>IF(AB149="","",SUMIFS(Prod_Prop!$J:$J,Prod_Prop!$B:$B,$Q149,Prod_Prop!$H:$H,AB149,Prod_Prop!$I:$I,AD$1)*IF(AB149="Peso",$R149,1))</f>
        <v/>
      </c>
    </row>
    <row r="150">
      <c r="A150" s="4" t="str">
        <f t="array" ref="A150">IF(COUNTIF(A$1:A149,Cotizador!F$2)=maxifs(Familias!E:E,Familias!D:D,Cotizador!F$2),IF(COUNTIF(A$1:A149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0" s="4" t="str">
        <f t="shared" si="1"/>
        <v/>
      </c>
      <c r="C150" s="4" t="str">
        <f t="array" ref="C150">IF(B150="","",IF(A150=XLOOKUP(A$2,Implementos!B:B,Implementos!C:C,"",0,1),B150+maxifs(B$1:B149,A$1:A149,A$2),B150))</f>
        <v/>
      </c>
      <c r="D150" s="4" t="str">
        <f>IF(B150="","", COUNTIFS(Productos!F:F,A150,Productos!H:H,B150)+IF(F150="SI",0,1))</f>
        <v/>
      </c>
      <c r="E150" s="4" t="str">
        <f>IFERROR(__xludf.DUMMYFUNCTION("IF($B150="""","""",INDEX(filter(Familias!F:F,Familias!$D:$D=$A150,Familias!$E:$E=$B150),1))"),"")</f>
        <v/>
      </c>
      <c r="F150" s="4" t="str">
        <f>IFERROR(__xludf.DUMMYFUNCTION("IF($B150="""","""",INDEX(filter(Familias!G:G,Familias!$D:$D=$A150,Familias!$E:$E=$B150),1))"),"")</f>
        <v/>
      </c>
      <c r="G150" s="4" t="str">
        <f t="array" ref="G150">IF(C150=1,XLOOKUP(C150,Cotizador!D:D,Cotizador!E:E,"",0,1),"")</f>
        <v/>
      </c>
      <c r="I150" s="4"/>
      <c r="J150" s="8" t="str">
        <f>IF(I150="","",SUMIF(Cotizador!I$1:V$1,I150,Cotizador!I$2:V$2))</f>
        <v/>
      </c>
      <c r="L150" s="4" t="str">
        <f t="array" ref="L150">IF(COUNTIF(L$1:L149,A$2)=SUMIF(A:A,A$2,D:D),IF(COUNTIF(L$1:L149,XLOOKUP(A$2,Implementos!B:B,Implementos!C:C,"",0,1))=SUMIF(A:A,XLOOKUP(A$2,Implementos!B:B,Implementos!C:C,"",0,1),D:D),"",XLOOKUP(A$2,Implementos!B:B,Implementos!C:C,"",0,1)),A$2)</f>
        <v/>
      </c>
      <c r="M150" s="4" t="str">
        <f t="shared" si="2"/>
        <v/>
      </c>
      <c r="N150" s="4" t="str">
        <f t="shared" si="3"/>
        <v/>
      </c>
      <c r="O150" s="4" t="str">
        <f t="shared" si="4"/>
        <v/>
      </c>
      <c r="P150" s="4" t="str">
        <f t="shared" si="5"/>
        <v/>
      </c>
      <c r="Q150" s="4" t="str">
        <f>IF(U150="","",SUMIF(Productos!E:E,U150,Productos!A:A))</f>
        <v/>
      </c>
      <c r="R150" s="4" t="str">
        <f t="array" ref="R150">IF(L150="","", max(1,SUMIF(I:I,XLOOKUP(U150,Productos!E:E,Productos!G:G,"",0,1),J:J)))</f>
        <v/>
      </c>
      <c r="S150" s="4" t="str">
        <f>IF(Q150="","",IF(SUMIFS(Compat_Vetado!D:D,Compat_Vetado!B:B,SUM(G:G),Compat_Vetado!C:C,Q150)=1,"SI",IF(OR(SUMIF(Cotizador!E:E,Q150,Cotizador!G:G)&gt;0,SUMIFS(Compat_Vetado!D:D,Compat_Vetado!B:B,SUM(G:G),Compat_Vetado!C:C,Q150)=-1),"NO","")))</f>
        <v/>
      </c>
      <c r="T150" s="4" t="str">
        <f t="shared" si="6"/>
        <v/>
      </c>
      <c r="U150" s="4" t="str">
        <f>IFERROR(__xludf.DUMMYFUNCTION("IF(P150="""","""",IFERROR(INDEX(filter(Productos!E:E,Productos!F:F=L150,Productos!H:H=N150),P150),IF(M150=SUM(D:D),""Finalizar"",""-"")))"),"")</f>
        <v/>
      </c>
      <c r="V150" s="4" t="str">
        <f>IFERROR(__xludf.DUMMYFUNCTION("IF(OR($U150="""",COUNTIF($I:$I,IFERROR(unique(filter(Prod_Prop!$H:$H,Prod_Prop!$G:$G=$U150,Prod_Prop!$E:$E=V$1)),""Check""))=0),"""",IFERROR(unique(filter(Prod_Prop!$H:$H,Prod_Prop!$G:$G=$U150,Prod_Prop!$E:$E=V$1)),""""))"),"")</f>
        <v/>
      </c>
      <c r="W150" s="4" t="str">
        <f>IF(V150="","",SUMIFS(Prod_Prop!$J:$J,Prod_Prop!$B:$B,$Q150,Prod_Prop!$H:$H,V150,Prod_Prop!$I:$I,W$1)*IF(V150="Peso",$R150,1))</f>
        <v/>
      </c>
      <c r="X150" s="4" t="str">
        <f>IF(V150="","",SUMIFS(Prod_Prop!$J:$J,Prod_Prop!$B:$B,$Q150,Prod_Prop!$H:$H,V150,Prod_Prop!$I:$I,X$1)*IF(V150="Peso",$R150,1))</f>
        <v/>
      </c>
      <c r="Y150" s="4" t="str">
        <f>IFERROR(__xludf.DUMMYFUNCTION("IF(OR($U150="""",COUNTIF($I:$I,IFERROR(unique(filter(Prod_Prop!$H:$H,Prod_Prop!$G:$G=$U150,Prod_Prop!$E:$E=Y$1)),""Check""))=0),"""",IFERROR(unique(filter(Prod_Prop!$H:$H,Prod_Prop!$G:$G=$U150,Prod_Prop!$E:$E=Y$1)),""""))"),"")</f>
        <v/>
      </c>
      <c r="Z150" s="4" t="str">
        <f>IF(Y150="","",SUMIFS(Prod_Prop!$J:$J,Prod_Prop!$B:$B,$Q150,Prod_Prop!$H:$H,Y150,Prod_Prop!$I:$I,Z$1)*IF(Y150="Peso",$R150,1))</f>
        <v/>
      </c>
      <c r="AA150" s="4" t="str">
        <f>IF(Y150="","",SUMIFS(Prod_Prop!$J:$J,Prod_Prop!$B:$B,$Q150,Prod_Prop!$H:$H,Y150,Prod_Prop!$I:$I,AA$1)*IF(Y150="Peso",$R150,1))</f>
        <v/>
      </c>
      <c r="AB150" s="4" t="str">
        <f>IFERROR(__xludf.DUMMYFUNCTION("IF(OR($U150="""",COUNTIF($I:$I,IFERROR(unique(filter(Prod_Prop!$H:$H,Prod_Prop!$G:$G=$U150,Prod_Prop!$E:$E=AB$1)),""Check""))=0),"""",IFERROR(unique(filter(Prod_Prop!$H:$H,Prod_Prop!$G:$G=$U150,Prod_Prop!$E:$E=AB$1)),""""))"),"")</f>
        <v/>
      </c>
      <c r="AC150" s="4" t="str">
        <f>IF(AB150="","",SUMIFS(Prod_Prop!$J:$J,Prod_Prop!$B:$B,$Q150,Prod_Prop!$H:$H,AB150,Prod_Prop!$I:$I,AC$1)*IF(AB150="Peso",$R150,1))</f>
        <v/>
      </c>
      <c r="AD150" s="4" t="str">
        <f>IF(AB150="","",SUMIFS(Prod_Prop!$J:$J,Prod_Prop!$B:$B,$Q150,Prod_Prop!$H:$H,AB150,Prod_Prop!$I:$I,AD$1)*IF(AB150="Peso",$R150,1))</f>
        <v/>
      </c>
    </row>
    <row r="151">
      <c r="A151" s="4" t="str">
        <f t="array" ref="A151">IF(COUNTIF(A$1:A150,Cotizador!F$2)=maxifs(Familias!E:E,Familias!D:D,Cotizador!F$2),IF(COUNTIF(A$1:A150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1" s="4" t="str">
        <f t="shared" si="1"/>
        <v/>
      </c>
      <c r="C151" s="4" t="str">
        <f t="array" ref="C151">IF(B151="","",IF(A151=XLOOKUP(A$2,Implementos!B:B,Implementos!C:C,"",0,1),B151+maxifs(B$1:B150,A$1:A150,A$2),B151))</f>
        <v/>
      </c>
      <c r="D151" s="4" t="str">
        <f>IF(B151="","", COUNTIFS(Productos!F:F,A151,Productos!H:H,B151)+IF(F151="SI",0,1))</f>
        <v/>
      </c>
      <c r="E151" s="4" t="str">
        <f>IFERROR(__xludf.DUMMYFUNCTION("IF($B151="""","""",INDEX(filter(Familias!F:F,Familias!$D:$D=$A151,Familias!$E:$E=$B151),1))"),"")</f>
        <v/>
      </c>
      <c r="F151" s="4" t="str">
        <f>IFERROR(__xludf.DUMMYFUNCTION("IF($B151="""","""",INDEX(filter(Familias!G:G,Familias!$D:$D=$A151,Familias!$E:$E=$B151),1))"),"")</f>
        <v/>
      </c>
      <c r="G151" s="4" t="str">
        <f t="array" ref="G151">IF(C151=1,XLOOKUP(C151,Cotizador!D:D,Cotizador!E:E,"",0,1),"")</f>
        <v/>
      </c>
      <c r="I151" s="4"/>
      <c r="J151" s="8" t="str">
        <f>IF(I151="","",SUMIF(Cotizador!I$1:V$1,I151,Cotizador!I$2:V$2))</f>
        <v/>
      </c>
      <c r="L151" s="4" t="str">
        <f t="array" ref="L151">IF(COUNTIF(L$1:L150,A$2)=SUMIF(A:A,A$2,D:D),IF(COUNTIF(L$1:L150,XLOOKUP(A$2,Implementos!B:B,Implementos!C:C,"",0,1))=SUMIF(A:A,XLOOKUP(A$2,Implementos!B:B,Implementos!C:C,"",0,1),D:D),"",XLOOKUP(A$2,Implementos!B:B,Implementos!C:C,"",0,1)),A$2)</f>
        <v/>
      </c>
      <c r="M151" s="4" t="str">
        <f t="shared" si="2"/>
        <v/>
      </c>
      <c r="N151" s="4" t="str">
        <f t="shared" si="3"/>
        <v/>
      </c>
      <c r="O151" s="4" t="str">
        <f t="shared" si="4"/>
        <v/>
      </c>
      <c r="P151" s="4" t="str">
        <f t="shared" si="5"/>
        <v/>
      </c>
      <c r="Q151" s="4" t="str">
        <f>IF(U151="","",SUMIF(Productos!E:E,U151,Productos!A:A))</f>
        <v/>
      </c>
      <c r="R151" s="4" t="str">
        <f t="array" ref="R151">IF(L151="","", max(1,SUMIF(I:I,XLOOKUP(U151,Productos!E:E,Productos!G:G,"",0,1),J:J)))</f>
        <v/>
      </c>
      <c r="S151" s="4" t="str">
        <f>IF(Q151="","",IF(SUMIFS(Compat_Vetado!D:D,Compat_Vetado!B:B,SUM(G:G),Compat_Vetado!C:C,Q151)=1,"SI",IF(OR(SUMIF(Cotizador!E:E,Q151,Cotizador!G:G)&gt;0,SUMIFS(Compat_Vetado!D:D,Compat_Vetado!B:B,SUM(G:G),Compat_Vetado!C:C,Q151)=-1),"NO","")))</f>
        <v/>
      </c>
      <c r="T151" s="4" t="str">
        <f t="shared" si="6"/>
        <v/>
      </c>
      <c r="U151" s="4" t="str">
        <f>IFERROR(__xludf.DUMMYFUNCTION("IF(P151="""","""",IFERROR(INDEX(filter(Productos!E:E,Productos!F:F=L151,Productos!H:H=N151),P151),IF(M151=SUM(D:D),""Finalizar"",""-"")))"),"")</f>
        <v/>
      </c>
      <c r="V151" s="4" t="str">
        <f>IFERROR(__xludf.DUMMYFUNCTION("IF(OR($U151="""",COUNTIF($I:$I,IFERROR(unique(filter(Prod_Prop!$H:$H,Prod_Prop!$G:$G=$U151,Prod_Prop!$E:$E=V$1)),""Check""))=0),"""",IFERROR(unique(filter(Prod_Prop!$H:$H,Prod_Prop!$G:$G=$U151,Prod_Prop!$E:$E=V$1)),""""))"),"")</f>
        <v/>
      </c>
      <c r="W151" s="4" t="str">
        <f>IF(V151="","",SUMIFS(Prod_Prop!$J:$J,Prod_Prop!$B:$B,$Q151,Prod_Prop!$H:$H,V151,Prod_Prop!$I:$I,W$1)*IF(V151="Peso",$R151,1))</f>
        <v/>
      </c>
      <c r="X151" s="4" t="str">
        <f>IF(V151="","",SUMIFS(Prod_Prop!$J:$J,Prod_Prop!$B:$B,$Q151,Prod_Prop!$H:$H,V151,Prod_Prop!$I:$I,X$1)*IF(V151="Peso",$R151,1))</f>
        <v/>
      </c>
      <c r="Y151" s="4" t="str">
        <f>IFERROR(__xludf.DUMMYFUNCTION("IF(OR($U151="""",COUNTIF($I:$I,IFERROR(unique(filter(Prod_Prop!$H:$H,Prod_Prop!$G:$G=$U151,Prod_Prop!$E:$E=Y$1)),""Check""))=0),"""",IFERROR(unique(filter(Prod_Prop!$H:$H,Prod_Prop!$G:$G=$U151,Prod_Prop!$E:$E=Y$1)),""""))"),"")</f>
        <v/>
      </c>
      <c r="Z151" s="4" t="str">
        <f>IF(Y151="","",SUMIFS(Prod_Prop!$J:$J,Prod_Prop!$B:$B,$Q151,Prod_Prop!$H:$H,Y151,Prod_Prop!$I:$I,Z$1)*IF(Y151="Peso",$R151,1))</f>
        <v/>
      </c>
      <c r="AA151" s="4" t="str">
        <f>IF(Y151="","",SUMIFS(Prod_Prop!$J:$J,Prod_Prop!$B:$B,$Q151,Prod_Prop!$H:$H,Y151,Prod_Prop!$I:$I,AA$1)*IF(Y151="Peso",$R151,1))</f>
        <v/>
      </c>
      <c r="AB151" s="4" t="str">
        <f>IFERROR(__xludf.DUMMYFUNCTION("IF(OR($U151="""",COUNTIF($I:$I,IFERROR(unique(filter(Prod_Prop!$H:$H,Prod_Prop!$G:$G=$U151,Prod_Prop!$E:$E=AB$1)),""Check""))=0),"""",IFERROR(unique(filter(Prod_Prop!$H:$H,Prod_Prop!$G:$G=$U151,Prod_Prop!$E:$E=AB$1)),""""))"),"")</f>
        <v/>
      </c>
      <c r="AC151" s="4" t="str">
        <f>IF(AB151="","",SUMIFS(Prod_Prop!$J:$J,Prod_Prop!$B:$B,$Q151,Prod_Prop!$H:$H,AB151,Prod_Prop!$I:$I,AC$1)*IF(AB151="Peso",$R151,1))</f>
        <v/>
      </c>
      <c r="AD151" s="4" t="str">
        <f>IF(AB151="","",SUMIFS(Prod_Prop!$J:$J,Prod_Prop!$B:$B,$Q151,Prod_Prop!$H:$H,AB151,Prod_Prop!$I:$I,AD$1)*IF(AB151="Peso",$R151,1))</f>
        <v/>
      </c>
    </row>
    <row r="152">
      <c r="A152" s="4" t="str">
        <f t="array" ref="A152">IF(COUNTIF(A$1:A151,Cotizador!F$2)=maxifs(Familias!E:E,Familias!D:D,Cotizador!F$2),IF(COUNTIF(A$1:A151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2" s="4" t="str">
        <f t="shared" si="1"/>
        <v/>
      </c>
      <c r="C152" s="4" t="str">
        <f t="array" ref="C152">IF(B152="","",IF(A152=XLOOKUP(A$2,Implementos!B:B,Implementos!C:C,"",0,1),B152+maxifs(B$1:B151,A$1:A151,A$2),B152))</f>
        <v/>
      </c>
      <c r="D152" s="4" t="str">
        <f>IF(B152="","", COUNTIFS(Productos!F:F,A152,Productos!H:H,B152)+IF(F152="SI",0,1))</f>
        <v/>
      </c>
      <c r="E152" s="4" t="str">
        <f>IFERROR(__xludf.DUMMYFUNCTION("IF($B152="""","""",INDEX(filter(Familias!F:F,Familias!$D:$D=$A152,Familias!$E:$E=$B152),1))"),"")</f>
        <v/>
      </c>
      <c r="F152" s="4" t="str">
        <f>IFERROR(__xludf.DUMMYFUNCTION("IF($B152="""","""",INDEX(filter(Familias!G:G,Familias!$D:$D=$A152,Familias!$E:$E=$B152),1))"),"")</f>
        <v/>
      </c>
      <c r="G152" s="4" t="str">
        <f t="array" ref="G152">IF(C152=1,XLOOKUP(C152,Cotizador!D:D,Cotizador!E:E,"",0,1),"")</f>
        <v/>
      </c>
      <c r="I152" s="4"/>
      <c r="J152" s="8" t="str">
        <f>IF(I152="","",SUMIF(Cotizador!I$1:V$1,I152,Cotizador!I$2:V$2))</f>
        <v/>
      </c>
      <c r="L152" s="4" t="str">
        <f t="array" ref="L152">IF(COUNTIF(L$1:L151,A$2)=SUMIF(A:A,A$2,D:D),IF(COUNTIF(L$1:L151,XLOOKUP(A$2,Implementos!B:B,Implementos!C:C,"",0,1))=SUMIF(A:A,XLOOKUP(A$2,Implementos!B:B,Implementos!C:C,"",0,1),D:D),"",XLOOKUP(A$2,Implementos!B:B,Implementos!C:C,"",0,1)),A$2)</f>
        <v/>
      </c>
      <c r="M152" s="4" t="str">
        <f t="shared" si="2"/>
        <v/>
      </c>
      <c r="N152" s="4" t="str">
        <f t="shared" si="3"/>
        <v/>
      </c>
      <c r="O152" s="4" t="str">
        <f t="shared" si="4"/>
        <v/>
      </c>
      <c r="P152" s="4" t="str">
        <f t="shared" si="5"/>
        <v/>
      </c>
      <c r="Q152" s="4" t="str">
        <f>IF(U152="","",SUMIF(Productos!E:E,U152,Productos!A:A))</f>
        <v/>
      </c>
      <c r="R152" s="4" t="str">
        <f t="array" ref="R152">IF(L152="","", max(1,SUMIF(I:I,XLOOKUP(U152,Productos!E:E,Productos!G:G,"",0,1),J:J)))</f>
        <v/>
      </c>
      <c r="S152" s="4" t="str">
        <f>IF(Q152="","",IF(SUMIFS(Compat_Vetado!D:D,Compat_Vetado!B:B,SUM(G:G),Compat_Vetado!C:C,Q152)=1,"SI",IF(OR(SUMIF(Cotizador!E:E,Q152,Cotizador!G:G)&gt;0,SUMIFS(Compat_Vetado!D:D,Compat_Vetado!B:B,SUM(G:G),Compat_Vetado!C:C,Q152)=-1),"NO","")))</f>
        <v/>
      </c>
      <c r="T152" s="4" t="str">
        <f t="shared" si="6"/>
        <v/>
      </c>
      <c r="U152" s="4" t="str">
        <f>IFERROR(__xludf.DUMMYFUNCTION("IF(P152="""","""",IFERROR(INDEX(filter(Productos!E:E,Productos!F:F=L152,Productos!H:H=N152),P152),IF(M152=SUM(D:D),""Finalizar"",""-"")))"),"")</f>
        <v/>
      </c>
      <c r="V152" s="4" t="str">
        <f>IFERROR(__xludf.DUMMYFUNCTION("IF(OR($U152="""",COUNTIF($I:$I,IFERROR(unique(filter(Prod_Prop!$H:$H,Prod_Prop!$G:$G=$U152,Prod_Prop!$E:$E=V$1)),""Check""))=0),"""",IFERROR(unique(filter(Prod_Prop!$H:$H,Prod_Prop!$G:$G=$U152,Prod_Prop!$E:$E=V$1)),""""))"),"")</f>
        <v/>
      </c>
      <c r="W152" s="4" t="str">
        <f>IF(V152="","",SUMIFS(Prod_Prop!$J:$J,Prod_Prop!$B:$B,$Q152,Prod_Prop!$H:$H,V152,Prod_Prop!$I:$I,W$1)*IF(V152="Peso",$R152,1))</f>
        <v/>
      </c>
      <c r="X152" s="4" t="str">
        <f>IF(V152="","",SUMIFS(Prod_Prop!$J:$J,Prod_Prop!$B:$B,$Q152,Prod_Prop!$H:$H,V152,Prod_Prop!$I:$I,X$1)*IF(V152="Peso",$R152,1))</f>
        <v/>
      </c>
      <c r="Y152" s="4" t="str">
        <f>IFERROR(__xludf.DUMMYFUNCTION("IF(OR($U152="""",COUNTIF($I:$I,IFERROR(unique(filter(Prod_Prop!$H:$H,Prod_Prop!$G:$G=$U152,Prod_Prop!$E:$E=Y$1)),""Check""))=0),"""",IFERROR(unique(filter(Prod_Prop!$H:$H,Prod_Prop!$G:$G=$U152,Prod_Prop!$E:$E=Y$1)),""""))"),"")</f>
        <v/>
      </c>
      <c r="Z152" s="4" t="str">
        <f>IF(Y152="","",SUMIFS(Prod_Prop!$J:$J,Prod_Prop!$B:$B,$Q152,Prod_Prop!$H:$H,Y152,Prod_Prop!$I:$I,Z$1)*IF(Y152="Peso",$R152,1))</f>
        <v/>
      </c>
      <c r="AA152" s="4" t="str">
        <f>IF(Y152="","",SUMIFS(Prod_Prop!$J:$J,Prod_Prop!$B:$B,$Q152,Prod_Prop!$H:$H,Y152,Prod_Prop!$I:$I,AA$1)*IF(Y152="Peso",$R152,1))</f>
        <v/>
      </c>
      <c r="AB152" s="4" t="str">
        <f>IFERROR(__xludf.DUMMYFUNCTION("IF(OR($U152="""",COUNTIF($I:$I,IFERROR(unique(filter(Prod_Prop!$H:$H,Prod_Prop!$G:$G=$U152,Prod_Prop!$E:$E=AB$1)),""Check""))=0),"""",IFERROR(unique(filter(Prod_Prop!$H:$H,Prod_Prop!$G:$G=$U152,Prod_Prop!$E:$E=AB$1)),""""))"),"")</f>
        <v/>
      </c>
      <c r="AC152" s="4" t="str">
        <f>IF(AB152="","",SUMIFS(Prod_Prop!$J:$J,Prod_Prop!$B:$B,$Q152,Prod_Prop!$H:$H,AB152,Prod_Prop!$I:$I,AC$1)*IF(AB152="Peso",$R152,1))</f>
        <v/>
      </c>
      <c r="AD152" s="4" t="str">
        <f>IF(AB152="","",SUMIFS(Prod_Prop!$J:$J,Prod_Prop!$B:$B,$Q152,Prod_Prop!$H:$H,AB152,Prod_Prop!$I:$I,AD$1)*IF(AB152="Peso",$R152,1))</f>
        <v/>
      </c>
    </row>
    <row r="153">
      <c r="A153" s="4" t="str">
        <f t="array" ref="A153">IF(COUNTIF(A$1:A152,Cotizador!F$2)=maxifs(Familias!E:E,Familias!D:D,Cotizador!F$2),IF(COUNTIF(A$1:A152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3" s="4" t="str">
        <f t="shared" si="1"/>
        <v/>
      </c>
      <c r="C153" s="4" t="str">
        <f t="array" ref="C153">IF(B153="","",IF(A153=XLOOKUP(A$2,Implementos!B:B,Implementos!C:C,"",0,1),B153+maxifs(B$1:B152,A$1:A152,A$2),B153))</f>
        <v/>
      </c>
      <c r="D153" s="4" t="str">
        <f>IF(B153="","", COUNTIFS(Productos!F:F,A153,Productos!H:H,B153)+IF(F153="SI",0,1))</f>
        <v/>
      </c>
      <c r="E153" s="4" t="str">
        <f>IFERROR(__xludf.DUMMYFUNCTION("IF($B153="""","""",INDEX(filter(Familias!F:F,Familias!$D:$D=$A153,Familias!$E:$E=$B153),1))"),"")</f>
        <v/>
      </c>
      <c r="F153" s="4" t="str">
        <f>IFERROR(__xludf.DUMMYFUNCTION("IF($B153="""","""",INDEX(filter(Familias!G:G,Familias!$D:$D=$A153,Familias!$E:$E=$B153),1))"),"")</f>
        <v/>
      </c>
      <c r="G153" s="4" t="str">
        <f t="array" ref="G153">IF(C153=1,XLOOKUP(C153,Cotizador!D:D,Cotizador!E:E,"",0,1),"")</f>
        <v/>
      </c>
      <c r="I153" s="4"/>
      <c r="J153" s="8" t="str">
        <f>IF(I153="","",SUMIF(Cotizador!I$1:V$1,I153,Cotizador!I$2:V$2))</f>
        <v/>
      </c>
      <c r="L153" s="4" t="str">
        <f t="array" ref="L153">IF(COUNTIF(L$1:L152,A$2)=SUMIF(A:A,A$2,D:D),IF(COUNTIF(L$1:L152,XLOOKUP(A$2,Implementos!B:B,Implementos!C:C,"",0,1))=SUMIF(A:A,XLOOKUP(A$2,Implementos!B:B,Implementos!C:C,"",0,1),D:D),"",XLOOKUP(A$2,Implementos!B:B,Implementos!C:C,"",0,1)),A$2)</f>
        <v/>
      </c>
      <c r="M153" s="4" t="str">
        <f t="shared" si="2"/>
        <v/>
      </c>
      <c r="N153" s="4" t="str">
        <f t="shared" si="3"/>
        <v/>
      </c>
      <c r="O153" s="4" t="str">
        <f t="shared" si="4"/>
        <v/>
      </c>
      <c r="P153" s="4" t="str">
        <f t="shared" si="5"/>
        <v/>
      </c>
      <c r="Q153" s="4" t="str">
        <f>IF(U153="","",SUMIF(Productos!E:E,U153,Productos!A:A))</f>
        <v/>
      </c>
      <c r="R153" s="4" t="str">
        <f t="array" ref="R153">IF(L153="","", max(1,SUMIF(I:I,XLOOKUP(U153,Productos!E:E,Productos!G:G,"",0,1),J:J)))</f>
        <v/>
      </c>
      <c r="S153" s="4" t="str">
        <f>IF(Q153="","",IF(SUMIFS(Compat_Vetado!D:D,Compat_Vetado!B:B,SUM(G:G),Compat_Vetado!C:C,Q153)=1,"SI",IF(OR(SUMIF(Cotizador!E:E,Q153,Cotizador!G:G)&gt;0,SUMIFS(Compat_Vetado!D:D,Compat_Vetado!B:B,SUM(G:G),Compat_Vetado!C:C,Q153)=-1),"NO","")))</f>
        <v/>
      </c>
      <c r="T153" s="4" t="str">
        <f t="shared" si="6"/>
        <v/>
      </c>
      <c r="U153" s="4" t="str">
        <f>IFERROR(__xludf.DUMMYFUNCTION("IF(P153="""","""",IFERROR(INDEX(filter(Productos!E:E,Productos!F:F=L153,Productos!H:H=N153),P153),IF(M153=SUM(D:D),""Finalizar"",""-"")))"),"")</f>
        <v/>
      </c>
      <c r="V153" s="4" t="str">
        <f>IFERROR(__xludf.DUMMYFUNCTION("IF(OR($U153="""",COUNTIF($I:$I,IFERROR(unique(filter(Prod_Prop!$H:$H,Prod_Prop!$G:$G=$U153,Prod_Prop!$E:$E=V$1)),""Check""))=0),"""",IFERROR(unique(filter(Prod_Prop!$H:$H,Prod_Prop!$G:$G=$U153,Prod_Prop!$E:$E=V$1)),""""))"),"")</f>
        <v/>
      </c>
      <c r="W153" s="4" t="str">
        <f>IF(V153="","",SUMIFS(Prod_Prop!$J:$J,Prod_Prop!$B:$B,$Q153,Prod_Prop!$H:$H,V153,Prod_Prop!$I:$I,W$1)*IF(V153="Peso",$R153,1))</f>
        <v/>
      </c>
      <c r="X153" s="4" t="str">
        <f>IF(V153="","",SUMIFS(Prod_Prop!$J:$J,Prod_Prop!$B:$B,$Q153,Prod_Prop!$H:$H,V153,Prod_Prop!$I:$I,X$1)*IF(V153="Peso",$R153,1))</f>
        <v/>
      </c>
      <c r="Y153" s="4" t="str">
        <f>IFERROR(__xludf.DUMMYFUNCTION("IF(OR($U153="""",COUNTIF($I:$I,IFERROR(unique(filter(Prod_Prop!$H:$H,Prod_Prop!$G:$G=$U153,Prod_Prop!$E:$E=Y$1)),""Check""))=0),"""",IFERROR(unique(filter(Prod_Prop!$H:$H,Prod_Prop!$G:$G=$U153,Prod_Prop!$E:$E=Y$1)),""""))"),"")</f>
        <v/>
      </c>
      <c r="Z153" s="4" t="str">
        <f>IF(Y153="","",SUMIFS(Prod_Prop!$J:$J,Prod_Prop!$B:$B,$Q153,Prod_Prop!$H:$H,Y153,Prod_Prop!$I:$I,Z$1)*IF(Y153="Peso",$R153,1))</f>
        <v/>
      </c>
      <c r="AA153" s="4" t="str">
        <f>IF(Y153="","",SUMIFS(Prod_Prop!$J:$J,Prod_Prop!$B:$B,$Q153,Prod_Prop!$H:$H,Y153,Prod_Prop!$I:$I,AA$1)*IF(Y153="Peso",$R153,1))</f>
        <v/>
      </c>
      <c r="AB153" s="4" t="str">
        <f>IFERROR(__xludf.DUMMYFUNCTION("IF(OR($U153="""",COUNTIF($I:$I,IFERROR(unique(filter(Prod_Prop!$H:$H,Prod_Prop!$G:$G=$U153,Prod_Prop!$E:$E=AB$1)),""Check""))=0),"""",IFERROR(unique(filter(Prod_Prop!$H:$H,Prod_Prop!$G:$G=$U153,Prod_Prop!$E:$E=AB$1)),""""))"),"")</f>
        <v/>
      </c>
      <c r="AC153" s="4" t="str">
        <f>IF(AB153="","",SUMIFS(Prod_Prop!$J:$J,Prod_Prop!$B:$B,$Q153,Prod_Prop!$H:$H,AB153,Prod_Prop!$I:$I,AC$1)*IF(AB153="Peso",$R153,1))</f>
        <v/>
      </c>
      <c r="AD153" s="4" t="str">
        <f>IF(AB153="","",SUMIFS(Prod_Prop!$J:$J,Prod_Prop!$B:$B,$Q153,Prod_Prop!$H:$H,AB153,Prod_Prop!$I:$I,AD$1)*IF(AB153="Peso",$R153,1))</f>
        <v/>
      </c>
    </row>
    <row r="154">
      <c r="A154" s="4" t="str">
        <f t="array" ref="A154">IF(COUNTIF(A$1:A153,Cotizador!F$2)=maxifs(Familias!E:E,Familias!D:D,Cotizador!F$2),IF(COUNTIF(A$1:A153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4" s="4" t="str">
        <f t="shared" si="1"/>
        <v/>
      </c>
      <c r="C154" s="4" t="str">
        <f t="array" ref="C154">IF(B154="","",IF(A154=XLOOKUP(A$2,Implementos!B:B,Implementos!C:C,"",0,1),B154+maxifs(B$1:B153,A$1:A153,A$2),B154))</f>
        <v/>
      </c>
      <c r="D154" s="4" t="str">
        <f>IF(B154="","", COUNTIFS(Productos!F:F,A154,Productos!H:H,B154)+IF(F154="SI",0,1))</f>
        <v/>
      </c>
      <c r="E154" s="4" t="str">
        <f>IFERROR(__xludf.DUMMYFUNCTION("IF($B154="""","""",INDEX(filter(Familias!F:F,Familias!$D:$D=$A154,Familias!$E:$E=$B154),1))"),"")</f>
        <v/>
      </c>
      <c r="F154" s="4" t="str">
        <f>IFERROR(__xludf.DUMMYFUNCTION("IF($B154="""","""",INDEX(filter(Familias!G:G,Familias!$D:$D=$A154,Familias!$E:$E=$B154),1))"),"")</f>
        <v/>
      </c>
      <c r="G154" s="4" t="str">
        <f t="array" ref="G154">IF(C154=1,XLOOKUP(C154,Cotizador!D:D,Cotizador!E:E,"",0,1),"")</f>
        <v/>
      </c>
      <c r="I154" s="4"/>
      <c r="J154" s="8" t="str">
        <f>IF(I154="","",SUMIF(Cotizador!I$1:V$1,I154,Cotizador!I$2:V$2))</f>
        <v/>
      </c>
      <c r="L154" s="4" t="str">
        <f t="array" ref="L154">IF(COUNTIF(L$1:L153,A$2)=SUMIF(A:A,A$2,D:D),IF(COUNTIF(L$1:L153,XLOOKUP(A$2,Implementos!B:B,Implementos!C:C,"",0,1))=SUMIF(A:A,XLOOKUP(A$2,Implementos!B:B,Implementos!C:C,"",0,1),D:D),"",XLOOKUP(A$2,Implementos!B:B,Implementos!C:C,"",0,1)),A$2)</f>
        <v/>
      </c>
      <c r="M154" s="4" t="str">
        <f t="shared" si="2"/>
        <v/>
      </c>
      <c r="N154" s="4" t="str">
        <f t="shared" si="3"/>
        <v/>
      </c>
      <c r="O154" s="4" t="str">
        <f t="shared" si="4"/>
        <v/>
      </c>
      <c r="P154" s="4" t="str">
        <f t="shared" si="5"/>
        <v/>
      </c>
      <c r="Q154" s="4" t="str">
        <f>IF(U154="","",SUMIF(Productos!E:E,U154,Productos!A:A))</f>
        <v/>
      </c>
      <c r="R154" s="4" t="str">
        <f t="array" ref="R154">IF(L154="","", max(1,SUMIF(I:I,XLOOKUP(U154,Productos!E:E,Productos!G:G,"",0,1),J:J)))</f>
        <v/>
      </c>
      <c r="S154" s="4" t="str">
        <f>IF(Q154="","",IF(SUMIFS(Compat_Vetado!D:D,Compat_Vetado!B:B,SUM(G:G),Compat_Vetado!C:C,Q154)=1,"SI",IF(OR(SUMIF(Cotizador!E:E,Q154,Cotizador!G:G)&gt;0,SUMIFS(Compat_Vetado!D:D,Compat_Vetado!B:B,SUM(G:G),Compat_Vetado!C:C,Q154)=-1),"NO","")))</f>
        <v/>
      </c>
      <c r="T154" s="4" t="str">
        <f t="shared" si="6"/>
        <v/>
      </c>
      <c r="U154" s="4" t="str">
        <f>IFERROR(__xludf.DUMMYFUNCTION("IF(P154="""","""",IFERROR(INDEX(filter(Productos!E:E,Productos!F:F=L154,Productos!H:H=N154),P154),IF(M154=SUM(D:D),""Finalizar"",""-"")))"),"")</f>
        <v/>
      </c>
      <c r="V154" s="4" t="str">
        <f>IFERROR(__xludf.DUMMYFUNCTION("IF(OR($U154="""",COUNTIF($I:$I,IFERROR(unique(filter(Prod_Prop!$H:$H,Prod_Prop!$G:$G=$U154,Prod_Prop!$E:$E=V$1)),""Check""))=0),"""",IFERROR(unique(filter(Prod_Prop!$H:$H,Prod_Prop!$G:$G=$U154,Prod_Prop!$E:$E=V$1)),""""))"),"")</f>
        <v/>
      </c>
      <c r="W154" s="4" t="str">
        <f>IF(V154="","",SUMIFS(Prod_Prop!$J:$J,Prod_Prop!$B:$B,$Q154,Prod_Prop!$H:$H,V154,Prod_Prop!$I:$I,W$1)*IF(V154="Peso",$R154,1))</f>
        <v/>
      </c>
      <c r="X154" s="4" t="str">
        <f>IF(V154="","",SUMIFS(Prod_Prop!$J:$J,Prod_Prop!$B:$B,$Q154,Prod_Prop!$H:$H,V154,Prod_Prop!$I:$I,X$1)*IF(V154="Peso",$R154,1))</f>
        <v/>
      </c>
      <c r="Y154" s="4" t="str">
        <f>IFERROR(__xludf.DUMMYFUNCTION("IF(OR($U154="""",COUNTIF($I:$I,IFERROR(unique(filter(Prod_Prop!$H:$H,Prod_Prop!$G:$G=$U154,Prod_Prop!$E:$E=Y$1)),""Check""))=0),"""",IFERROR(unique(filter(Prod_Prop!$H:$H,Prod_Prop!$G:$G=$U154,Prod_Prop!$E:$E=Y$1)),""""))"),"")</f>
        <v/>
      </c>
      <c r="Z154" s="4" t="str">
        <f>IF(Y154="","",SUMIFS(Prod_Prop!$J:$J,Prod_Prop!$B:$B,$Q154,Prod_Prop!$H:$H,Y154,Prod_Prop!$I:$I,Z$1)*IF(Y154="Peso",$R154,1))</f>
        <v/>
      </c>
      <c r="AA154" s="4" t="str">
        <f>IF(Y154="","",SUMIFS(Prod_Prop!$J:$J,Prod_Prop!$B:$B,$Q154,Prod_Prop!$H:$H,Y154,Prod_Prop!$I:$I,AA$1)*IF(Y154="Peso",$R154,1))</f>
        <v/>
      </c>
      <c r="AB154" s="4" t="str">
        <f>IFERROR(__xludf.DUMMYFUNCTION("IF(OR($U154="""",COUNTIF($I:$I,IFERROR(unique(filter(Prod_Prop!$H:$H,Prod_Prop!$G:$G=$U154,Prod_Prop!$E:$E=AB$1)),""Check""))=0),"""",IFERROR(unique(filter(Prod_Prop!$H:$H,Prod_Prop!$G:$G=$U154,Prod_Prop!$E:$E=AB$1)),""""))"),"")</f>
        <v/>
      </c>
      <c r="AC154" s="4" t="str">
        <f>IF(AB154="","",SUMIFS(Prod_Prop!$J:$J,Prod_Prop!$B:$B,$Q154,Prod_Prop!$H:$H,AB154,Prod_Prop!$I:$I,AC$1)*IF(AB154="Peso",$R154,1))</f>
        <v/>
      </c>
      <c r="AD154" s="4" t="str">
        <f>IF(AB154="","",SUMIFS(Prod_Prop!$J:$J,Prod_Prop!$B:$B,$Q154,Prod_Prop!$H:$H,AB154,Prod_Prop!$I:$I,AD$1)*IF(AB154="Peso",$R154,1))</f>
        <v/>
      </c>
    </row>
    <row r="155">
      <c r="A155" s="4" t="str">
        <f t="array" ref="A155">IF(COUNTIF(A$1:A154,Cotizador!F$2)=maxifs(Familias!E:E,Familias!D:D,Cotizador!F$2),IF(COUNTIF(A$1:A154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5" s="4" t="str">
        <f t="shared" si="1"/>
        <v/>
      </c>
      <c r="C155" s="4" t="str">
        <f t="array" ref="C155">IF(B155="","",IF(A155=XLOOKUP(A$2,Implementos!B:B,Implementos!C:C,"",0,1),B155+maxifs(B$1:B154,A$1:A154,A$2),B155))</f>
        <v/>
      </c>
      <c r="D155" s="4" t="str">
        <f>IF(B155="","", COUNTIFS(Productos!F:F,A155,Productos!H:H,B155)+IF(F155="SI",0,1))</f>
        <v/>
      </c>
      <c r="E155" s="4" t="str">
        <f>IFERROR(__xludf.DUMMYFUNCTION("IF($B155="""","""",INDEX(filter(Familias!F:F,Familias!$D:$D=$A155,Familias!$E:$E=$B155),1))"),"")</f>
        <v/>
      </c>
      <c r="F155" s="4" t="str">
        <f>IFERROR(__xludf.DUMMYFUNCTION("IF($B155="""","""",INDEX(filter(Familias!G:G,Familias!$D:$D=$A155,Familias!$E:$E=$B155),1))"),"")</f>
        <v/>
      </c>
      <c r="G155" s="4" t="str">
        <f t="array" ref="G155">IF(C155=1,XLOOKUP(C155,Cotizador!D:D,Cotizador!E:E,"",0,1),"")</f>
        <v/>
      </c>
      <c r="I155" s="4"/>
      <c r="J155" s="8" t="str">
        <f>IF(I155="","",SUMIF(Cotizador!I$1:V$1,I155,Cotizador!I$2:V$2))</f>
        <v/>
      </c>
      <c r="L155" s="4" t="str">
        <f t="array" ref="L155">IF(COUNTIF(L$1:L154,A$2)=SUMIF(A:A,A$2,D:D),IF(COUNTIF(L$1:L154,XLOOKUP(A$2,Implementos!B:B,Implementos!C:C,"",0,1))=SUMIF(A:A,XLOOKUP(A$2,Implementos!B:B,Implementos!C:C,"",0,1),D:D),"",XLOOKUP(A$2,Implementos!B:B,Implementos!C:C,"",0,1)),A$2)</f>
        <v/>
      </c>
      <c r="M155" s="4" t="str">
        <f t="shared" si="2"/>
        <v/>
      </c>
      <c r="N155" s="4" t="str">
        <f t="shared" si="3"/>
        <v/>
      </c>
      <c r="O155" s="4" t="str">
        <f t="shared" si="4"/>
        <v/>
      </c>
      <c r="P155" s="4" t="str">
        <f t="shared" si="5"/>
        <v/>
      </c>
      <c r="Q155" s="4" t="str">
        <f>IF(U155="","",SUMIF(Productos!E:E,U155,Productos!A:A))</f>
        <v/>
      </c>
      <c r="R155" s="4" t="str">
        <f t="array" ref="R155">IF(L155="","", max(1,SUMIF(I:I,XLOOKUP(U155,Productos!E:E,Productos!G:G,"",0,1),J:J)))</f>
        <v/>
      </c>
      <c r="S155" s="4" t="str">
        <f>IF(Q155="","",IF(SUMIFS(Compat_Vetado!D:D,Compat_Vetado!B:B,SUM(G:G),Compat_Vetado!C:C,Q155)=1,"SI",IF(OR(SUMIF(Cotizador!E:E,Q155,Cotizador!G:G)&gt;0,SUMIFS(Compat_Vetado!D:D,Compat_Vetado!B:B,SUM(G:G),Compat_Vetado!C:C,Q155)=-1),"NO","")))</f>
        <v/>
      </c>
      <c r="T155" s="4" t="str">
        <f t="shared" si="6"/>
        <v/>
      </c>
      <c r="U155" s="4" t="str">
        <f>IFERROR(__xludf.DUMMYFUNCTION("IF(P155="""","""",IFERROR(INDEX(filter(Productos!E:E,Productos!F:F=L155,Productos!H:H=N155),P155),IF(M155=SUM(D:D),""Finalizar"",""-"")))"),"")</f>
        <v/>
      </c>
      <c r="V155" s="4" t="str">
        <f>IFERROR(__xludf.DUMMYFUNCTION("IF(OR($U155="""",COUNTIF($I:$I,IFERROR(unique(filter(Prod_Prop!$H:$H,Prod_Prop!$G:$G=$U155,Prod_Prop!$E:$E=V$1)),""Check""))=0),"""",IFERROR(unique(filter(Prod_Prop!$H:$H,Prod_Prop!$G:$G=$U155,Prod_Prop!$E:$E=V$1)),""""))"),"")</f>
        <v/>
      </c>
      <c r="W155" s="4" t="str">
        <f>IF(V155="","",SUMIFS(Prod_Prop!$J:$J,Prod_Prop!$B:$B,$Q155,Prod_Prop!$H:$H,V155,Prod_Prop!$I:$I,W$1)*IF(V155="Peso",$R155,1))</f>
        <v/>
      </c>
      <c r="X155" s="4" t="str">
        <f>IF(V155="","",SUMIFS(Prod_Prop!$J:$J,Prod_Prop!$B:$B,$Q155,Prod_Prop!$H:$H,V155,Prod_Prop!$I:$I,X$1)*IF(V155="Peso",$R155,1))</f>
        <v/>
      </c>
      <c r="Y155" s="4" t="str">
        <f>IFERROR(__xludf.DUMMYFUNCTION("IF(OR($U155="""",COUNTIF($I:$I,IFERROR(unique(filter(Prod_Prop!$H:$H,Prod_Prop!$G:$G=$U155,Prod_Prop!$E:$E=Y$1)),""Check""))=0),"""",IFERROR(unique(filter(Prod_Prop!$H:$H,Prod_Prop!$G:$G=$U155,Prod_Prop!$E:$E=Y$1)),""""))"),"")</f>
        <v/>
      </c>
      <c r="Z155" s="4" t="str">
        <f>IF(Y155="","",SUMIFS(Prod_Prop!$J:$J,Prod_Prop!$B:$B,$Q155,Prod_Prop!$H:$H,Y155,Prod_Prop!$I:$I,Z$1)*IF(Y155="Peso",$R155,1))</f>
        <v/>
      </c>
      <c r="AA155" s="4" t="str">
        <f>IF(Y155="","",SUMIFS(Prod_Prop!$J:$J,Prod_Prop!$B:$B,$Q155,Prod_Prop!$H:$H,Y155,Prod_Prop!$I:$I,AA$1)*IF(Y155="Peso",$R155,1))</f>
        <v/>
      </c>
      <c r="AB155" s="4" t="str">
        <f>IFERROR(__xludf.DUMMYFUNCTION("IF(OR($U155="""",COUNTIF($I:$I,IFERROR(unique(filter(Prod_Prop!$H:$H,Prod_Prop!$G:$G=$U155,Prod_Prop!$E:$E=AB$1)),""Check""))=0),"""",IFERROR(unique(filter(Prod_Prop!$H:$H,Prod_Prop!$G:$G=$U155,Prod_Prop!$E:$E=AB$1)),""""))"),"")</f>
        <v/>
      </c>
      <c r="AC155" s="4" t="str">
        <f>IF(AB155="","",SUMIFS(Prod_Prop!$J:$J,Prod_Prop!$B:$B,$Q155,Prod_Prop!$H:$H,AB155,Prod_Prop!$I:$I,AC$1)*IF(AB155="Peso",$R155,1))</f>
        <v/>
      </c>
      <c r="AD155" s="4" t="str">
        <f>IF(AB155="","",SUMIFS(Prod_Prop!$J:$J,Prod_Prop!$B:$B,$Q155,Prod_Prop!$H:$H,AB155,Prod_Prop!$I:$I,AD$1)*IF(AB155="Peso",$R155,1))</f>
        <v/>
      </c>
    </row>
    <row r="156">
      <c r="A156" s="4" t="str">
        <f t="array" ref="A156">IF(COUNTIF(A$1:A155,Cotizador!F$2)=maxifs(Familias!E:E,Familias!D:D,Cotizador!F$2),IF(COUNTIF(A$1:A155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6" s="4" t="str">
        <f t="shared" si="1"/>
        <v/>
      </c>
      <c r="C156" s="4" t="str">
        <f t="array" ref="C156">IF(B156="","",IF(A156=XLOOKUP(A$2,Implementos!B:B,Implementos!C:C,"",0,1),B156+maxifs(B$1:B155,A$1:A155,A$2),B156))</f>
        <v/>
      </c>
      <c r="D156" s="4" t="str">
        <f>IF(B156="","", COUNTIFS(Productos!F:F,A156,Productos!H:H,B156)+IF(F156="SI",0,1))</f>
        <v/>
      </c>
      <c r="E156" s="4" t="str">
        <f>IFERROR(__xludf.DUMMYFUNCTION("IF($B156="""","""",INDEX(filter(Familias!F:F,Familias!$D:$D=$A156,Familias!$E:$E=$B156),1))"),"")</f>
        <v/>
      </c>
      <c r="F156" s="4" t="str">
        <f>IFERROR(__xludf.DUMMYFUNCTION("IF($B156="""","""",INDEX(filter(Familias!G:G,Familias!$D:$D=$A156,Familias!$E:$E=$B156),1))"),"")</f>
        <v/>
      </c>
      <c r="G156" s="4" t="str">
        <f t="array" ref="G156">IF(C156=1,XLOOKUP(C156,Cotizador!D:D,Cotizador!E:E,"",0,1),"")</f>
        <v/>
      </c>
      <c r="I156" s="4"/>
      <c r="J156" s="8" t="str">
        <f>IF(I156="","",SUMIF(Cotizador!I$1:V$1,I156,Cotizador!I$2:V$2))</f>
        <v/>
      </c>
      <c r="L156" s="4" t="str">
        <f t="array" ref="L156">IF(COUNTIF(L$1:L155,A$2)=SUMIF(A:A,A$2,D:D),IF(COUNTIF(L$1:L155,XLOOKUP(A$2,Implementos!B:B,Implementos!C:C,"",0,1))=SUMIF(A:A,XLOOKUP(A$2,Implementos!B:B,Implementos!C:C,"",0,1),D:D),"",XLOOKUP(A$2,Implementos!B:B,Implementos!C:C,"",0,1)),A$2)</f>
        <v/>
      </c>
      <c r="M156" s="4" t="str">
        <f t="shared" si="2"/>
        <v/>
      </c>
      <c r="N156" s="4" t="str">
        <f t="shared" si="3"/>
        <v/>
      </c>
      <c r="O156" s="4" t="str">
        <f t="shared" si="4"/>
        <v/>
      </c>
      <c r="P156" s="4" t="str">
        <f t="shared" si="5"/>
        <v/>
      </c>
      <c r="Q156" s="4" t="str">
        <f>IF(U156="","",SUMIF(Productos!E:E,U156,Productos!A:A))</f>
        <v/>
      </c>
      <c r="R156" s="4" t="str">
        <f t="array" ref="R156">IF(L156="","", max(1,SUMIF(I:I,XLOOKUP(U156,Productos!E:E,Productos!G:G,"",0,1),J:J)))</f>
        <v/>
      </c>
      <c r="S156" s="4" t="str">
        <f>IF(Q156="","",IF(SUMIFS(Compat_Vetado!D:D,Compat_Vetado!B:B,SUM(G:G),Compat_Vetado!C:C,Q156)=1,"SI",IF(OR(SUMIF(Cotizador!E:E,Q156,Cotizador!G:G)&gt;0,SUMIFS(Compat_Vetado!D:D,Compat_Vetado!B:B,SUM(G:G),Compat_Vetado!C:C,Q156)=-1),"NO","")))</f>
        <v/>
      </c>
      <c r="T156" s="4" t="str">
        <f t="shared" si="6"/>
        <v/>
      </c>
      <c r="U156" s="4" t="str">
        <f>IFERROR(__xludf.DUMMYFUNCTION("IF(P156="""","""",IFERROR(INDEX(filter(Productos!E:E,Productos!F:F=L156,Productos!H:H=N156),P156),IF(M156=SUM(D:D),""Finalizar"",""-"")))"),"")</f>
        <v/>
      </c>
      <c r="V156" s="4" t="str">
        <f>IFERROR(__xludf.DUMMYFUNCTION("IF(OR($U156="""",COUNTIF($I:$I,IFERROR(unique(filter(Prod_Prop!$H:$H,Prod_Prop!$G:$G=$U156,Prod_Prop!$E:$E=V$1)),""Check""))=0),"""",IFERROR(unique(filter(Prod_Prop!$H:$H,Prod_Prop!$G:$G=$U156,Prod_Prop!$E:$E=V$1)),""""))"),"")</f>
        <v/>
      </c>
      <c r="W156" s="4" t="str">
        <f>IF(V156="","",SUMIFS(Prod_Prop!$J:$J,Prod_Prop!$B:$B,$Q156,Prod_Prop!$H:$H,V156,Prod_Prop!$I:$I,W$1)*IF(V156="Peso",$R156,1))</f>
        <v/>
      </c>
      <c r="X156" s="4" t="str">
        <f>IF(V156="","",SUMIFS(Prod_Prop!$J:$J,Prod_Prop!$B:$B,$Q156,Prod_Prop!$H:$H,V156,Prod_Prop!$I:$I,X$1)*IF(V156="Peso",$R156,1))</f>
        <v/>
      </c>
      <c r="Y156" s="4" t="str">
        <f>IFERROR(__xludf.DUMMYFUNCTION("IF(OR($U156="""",COUNTIF($I:$I,IFERROR(unique(filter(Prod_Prop!$H:$H,Prod_Prop!$G:$G=$U156,Prod_Prop!$E:$E=Y$1)),""Check""))=0),"""",IFERROR(unique(filter(Prod_Prop!$H:$H,Prod_Prop!$G:$G=$U156,Prod_Prop!$E:$E=Y$1)),""""))"),"")</f>
        <v/>
      </c>
      <c r="Z156" s="4" t="str">
        <f>IF(Y156="","",SUMIFS(Prod_Prop!$J:$J,Prod_Prop!$B:$B,$Q156,Prod_Prop!$H:$H,Y156,Prod_Prop!$I:$I,Z$1)*IF(Y156="Peso",$R156,1))</f>
        <v/>
      </c>
      <c r="AA156" s="4" t="str">
        <f>IF(Y156="","",SUMIFS(Prod_Prop!$J:$J,Prod_Prop!$B:$B,$Q156,Prod_Prop!$H:$H,Y156,Prod_Prop!$I:$I,AA$1)*IF(Y156="Peso",$R156,1))</f>
        <v/>
      </c>
      <c r="AB156" s="4" t="str">
        <f>IFERROR(__xludf.DUMMYFUNCTION("IF(OR($U156="""",COUNTIF($I:$I,IFERROR(unique(filter(Prod_Prop!$H:$H,Prod_Prop!$G:$G=$U156,Prod_Prop!$E:$E=AB$1)),""Check""))=0),"""",IFERROR(unique(filter(Prod_Prop!$H:$H,Prod_Prop!$G:$G=$U156,Prod_Prop!$E:$E=AB$1)),""""))"),"")</f>
        <v/>
      </c>
      <c r="AC156" s="4" t="str">
        <f>IF(AB156="","",SUMIFS(Prod_Prop!$J:$J,Prod_Prop!$B:$B,$Q156,Prod_Prop!$H:$H,AB156,Prod_Prop!$I:$I,AC$1)*IF(AB156="Peso",$R156,1))</f>
        <v/>
      </c>
      <c r="AD156" s="4" t="str">
        <f>IF(AB156="","",SUMIFS(Prod_Prop!$J:$J,Prod_Prop!$B:$B,$Q156,Prod_Prop!$H:$H,AB156,Prod_Prop!$I:$I,AD$1)*IF(AB156="Peso",$R156,1))</f>
        <v/>
      </c>
    </row>
    <row r="157">
      <c r="A157" s="4" t="str">
        <f t="array" ref="A157">IF(COUNTIF(A$1:A156,Cotizador!F$2)=maxifs(Familias!E:E,Familias!D:D,Cotizador!F$2),IF(COUNTIF(A$1:A156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7" s="4" t="str">
        <f t="shared" si="1"/>
        <v/>
      </c>
      <c r="C157" s="4" t="str">
        <f t="array" ref="C157">IF(B157="","",IF(A157=XLOOKUP(A$2,Implementos!B:B,Implementos!C:C,"",0,1),B157+maxifs(B$1:B156,A$1:A156,A$2),B157))</f>
        <v/>
      </c>
      <c r="D157" s="4" t="str">
        <f>IF(B157="","", COUNTIFS(Productos!F:F,A157,Productos!H:H,B157)+IF(F157="SI",0,1))</f>
        <v/>
      </c>
      <c r="E157" s="4" t="str">
        <f>IFERROR(__xludf.DUMMYFUNCTION("IF($B157="""","""",INDEX(filter(Familias!F:F,Familias!$D:$D=$A157,Familias!$E:$E=$B157),1))"),"")</f>
        <v/>
      </c>
      <c r="F157" s="4" t="str">
        <f>IFERROR(__xludf.DUMMYFUNCTION("IF($B157="""","""",INDEX(filter(Familias!G:G,Familias!$D:$D=$A157,Familias!$E:$E=$B157),1))"),"")</f>
        <v/>
      </c>
      <c r="G157" s="4" t="str">
        <f t="array" ref="G157">IF(C157=1,XLOOKUP(C157,Cotizador!D:D,Cotizador!E:E,"",0,1),"")</f>
        <v/>
      </c>
      <c r="I157" s="4"/>
      <c r="J157" s="8" t="str">
        <f>IF(I157="","",SUMIF(Cotizador!I$1:V$1,I157,Cotizador!I$2:V$2))</f>
        <v/>
      </c>
      <c r="L157" s="4" t="str">
        <f t="array" ref="L157">IF(COUNTIF(L$1:L156,A$2)=SUMIF(A:A,A$2,D:D),IF(COUNTIF(L$1:L156,XLOOKUP(A$2,Implementos!B:B,Implementos!C:C,"",0,1))=SUMIF(A:A,XLOOKUP(A$2,Implementos!B:B,Implementos!C:C,"",0,1),D:D),"",XLOOKUP(A$2,Implementos!B:B,Implementos!C:C,"",0,1)),A$2)</f>
        <v/>
      </c>
      <c r="M157" s="4" t="str">
        <f t="shared" si="2"/>
        <v/>
      </c>
      <c r="N157" s="4" t="str">
        <f t="shared" si="3"/>
        <v/>
      </c>
      <c r="O157" s="4" t="str">
        <f t="shared" si="4"/>
        <v/>
      </c>
      <c r="P157" s="4" t="str">
        <f t="shared" si="5"/>
        <v/>
      </c>
      <c r="Q157" s="4" t="str">
        <f>IF(U157="","",SUMIF(Productos!E:E,U157,Productos!A:A))</f>
        <v/>
      </c>
      <c r="R157" s="4" t="str">
        <f t="array" ref="R157">IF(L157="","", max(1,SUMIF(I:I,XLOOKUP(U157,Productos!E:E,Productos!G:G,"",0,1),J:J)))</f>
        <v/>
      </c>
      <c r="S157" s="4" t="str">
        <f>IF(Q157="","",IF(SUMIFS(Compat_Vetado!D:D,Compat_Vetado!B:B,SUM(G:G),Compat_Vetado!C:C,Q157)=1,"SI",IF(OR(SUMIF(Cotizador!E:E,Q157,Cotizador!G:G)&gt;0,SUMIFS(Compat_Vetado!D:D,Compat_Vetado!B:B,SUM(G:G),Compat_Vetado!C:C,Q157)=-1),"NO","")))</f>
        <v/>
      </c>
      <c r="T157" s="4" t="str">
        <f t="shared" si="6"/>
        <v/>
      </c>
      <c r="U157" s="4" t="str">
        <f>IFERROR(__xludf.DUMMYFUNCTION("IF(P157="""","""",IFERROR(INDEX(filter(Productos!E:E,Productos!F:F=L157,Productos!H:H=N157),P157),IF(M157=SUM(D:D),""Finalizar"",""-"")))"),"")</f>
        <v/>
      </c>
      <c r="V157" s="4" t="str">
        <f>IFERROR(__xludf.DUMMYFUNCTION("IF(OR($U157="""",COUNTIF($I:$I,IFERROR(unique(filter(Prod_Prop!$H:$H,Prod_Prop!$G:$G=$U157,Prod_Prop!$E:$E=V$1)),""Check""))=0),"""",IFERROR(unique(filter(Prod_Prop!$H:$H,Prod_Prop!$G:$G=$U157,Prod_Prop!$E:$E=V$1)),""""))"),"")</f>
        <v/>
      </c>
      <c r="W157" s="4" t="str">
        <f>IF(V157="","",SUMIFS(Prod_Prop!$J:$J,Prod_Prop!$B:$B,$Q157,Prod_Prop!$H:$H,V157,Prod_Prop!$I:$I,W$1)*IF(V157="Peso",$R157,1))</f>
        <v/>
      </c>
      <c r="X157" s="4" t="str">
        <f>IF(V157="","",SUMIFS(Prod_Prop!$J:$J,Prod_Prop!$B:$B,$Q157,Prod_Prop!$H:$H,V157,Prod_Prop!$I:$I,X$1)*IF(V157="Peso",$R157,1))</f>
        <v/>
      </c>
      <c r="Y157" s="4" t="str">
        <f>IFERROR(__xludf.DUMMYFUNCTION("IF(OR($U157="""",COUNTIF($I:$I,IFERROR(unique(filter(Prod_Prop!$H:$H,Prod_Prop!$G:$G=$U157,Prod_Prop!$E:$E=Y$1)),""Check""))=0),"""",IFERROR(unique(filter(Prod_Prop!$H:$H,Prod_Prop!$G:$G=$U157,Prod_Prop!$E:$E=Y$1)),""""))"),"")</f>
        <v/>
      </c>
      <c r="Z157" s="4" t="str">
        <f>IF(Y157="","",SUMIFS(Prod_Prop!$J:$J,Prod_Prop!$B:$B,$Q157,Prod_Prop!$H:$H,Y157,Prod_Prop!$I:$I,Z$1)*IF(Y157="Peso",$R157,1))</f>
        <v/>
      </c>
      <c r="AA157" s="4" t="str">
        <f>IF(Y157="","",SUMIFS(Prod_Prop!$J:$J,Prod_Prop!$B:$B,$Q157,Prod_Prop!$H:$H,Y157,Prod_Prop!$I:$I,AA$1)*IF(Y157="Peso",$R157,1))</f>
        <v/>
      </c>
      <c r="AB157" s="4" t="str">
        <f>IFERROR(__xludf.DUMMYFUNCTION("IF(OR($U157="""",COUNTIF($I:$I,IFERROR(unique(filter(Prod_Prop!$H:$H,Prod_Prop!$G:$G=$U157,Prod_Prop!$E:$E=AB$1)),""Check""))=0),"""",IFERROR(unique(filter(Prod_Prop!$H:$H,Prod_Prop!$G:$G=$U157,Prod_Prop!$E:$E=AB$1)),""""))"),"")</f>
        <v/>
      </c>
      <c r="AC157" s="4" t="str">
        <f>IF(AB157="","",SUMIFS(Prod_Prop!$J:$J,Prod_Prop!$B:$B,$Q157,Prod_Prop!$H:$H,AB157,Prod_Prop!$I:$I,AC$1)*IF(AB157="Peso",$R157,1))</f>
        <v/>
      </c>
      <c r="AD157" s="4" t="str">
        <f>IF(AB157="","",SUMIFS(Prod_Prop!$J:$J,Prod_Prop!$B:$B,$Q157,Prod_Prop!$H:$H,AB157,Prod_Prop!$I:$I,AD$1)*IF(AB157="Peso",$R157,1))</f>
        <v/>
      </c>
    </row>
    <row r="158">
      <c r="A158" s="4" t="str">
        <f t="array" ref="A158">IF(COUNTIF(A$1:A157,Cotizador!F$2)=maxifs(Familias!E:E,Familias!D:D,Cotizador!F$2),IF(COUNTIF(A$1:A157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8" s="4" t="str">
        <f t="shared" si="1"/>
        <v/>
      </c>
      <c r="C158" s="4" t="str">
        <f t="array" ref="C158">IF(B158="","",IF(A158=XLOOKUP(A$2,Implementos!B:B,Implementos!C:C,"",0,1),B158+maxifs(B$1:B157,A$1:A157,A$2),B158))</f>
        <v/>
      </c>
      <c r="D158" s="4" t="str">
        <f>IF(B158="","", COUNTIFS(Productos!F:F,A158,Productos!H:H,B158)+IF(F158="SI",0,1))</f>
        <v/>
      </c>
      <c r="E158" s="4" t="str">
        <f>IFERROR(__xludf.DUMMYFUNCTION("IF($B158="""","""",INDEX(filter(Familias!F:F,Familias!$D:$D=$A158,Familias!$E:$E=$B158),1))"),"")</f>
        <v/>
      </c>
      <c r="F158" s="4" t="str">
        <f>IFERROR(__xludf.DUMMYFUNCTION("IF($B158="""","""",INDEX(filter(Familias!G:G,Familias!$D:$D=$A158,Familias!$E:$E=$B158),1))"),"")</f>
        <v/>
      </c>
      <c r="G158" s="4" t="str">
        <f t="array" ref="G158">IF(C158=1,XLOOKUP(C158,Cotizador!D:D,Cotizador!E:E,"",0,1),"")</f>
        <v/>
      </c>
      <c r="I158" s="4"/>
      <c r="J158" s="8" t="str">
        <f>IF(I158="","",SUMIF(Cotizador!I$1:V$1,I158,Cotizador!I$2:V$2))</f>
        <v/>
      </c>
      <c r="L158" s="4" t="str">
        <f t="array" ref="L158">IF(COUNTIF(L$1:L157,A$2)=SUMIF(A:A,A$2,D:D),IF(COUNTIF(L$1:L157,XLOOKUP(A$2,Implementos!B:B,Implementos!C:C,"",0,1))=SUMIF(A:A,XLOOKUP(A$2,Implementos!B:B,Implementos!C:C,"",0,1),D:D),"",XLOOKUP(A$2,Implementos!B:B,Implementos!C:C,"",0,1)),A$2)</f>
        <v/>
      </c>
      <c r="M158" s="4" t="str">
        <f t="shared" si="2"/>
        <v/>
      </c>
      <c r="N158" s="4" t="str">
        <f t="shared" si="3"/>
        <v/>
      </c>
      <c r="O158" s="4" t="str">
        <f t="shared" si="4"/>
        <v/>
      </c>
      <c r="P158" s="4" t="str">
        <f t="shared" si="5"/>
        <v/>
      </c>
      <c r="Q158" s="4" t="str">
        <f>IF(U158="","",SUMIF(Productos!E:E,U158,Productos!A:A))</f>
        <v/>
      </c>
      <c r="R158" s="4" t="str">
        <f t="array" ref="R158">IF(L158="","", max(1,SUMIF(I:I,XLOOKUP(U158,Productos!E:E,Productos!G:G,"",0,1),J:J)))</f>
        <v/>
      </c>
      <c r="S158" s="4" t="str">
        <f>IF(Q158="","",IF(SUMIFS(Compat_Vetado!D:D,Compat_Vetado!B:B,SUM(G:G),Compat_Vetado!C:C,Q158)=1,"SI",IF(OR(SUMIF(Cotizador!E:E,Q158,Cotizador!G:G)&gt;0,SUMIFS(Compat_Vetado!D:D,Compat_Vetado!B:B,SUM(G:G),Compat_Vetado!C:C,Q158)=-1),"NO","")))</f>
        <v/>
      </c>
      <c r="T158" s="4" t="str">
        <f t="shared" si="6"/>
        <v/>
      </c>
      <c r="U158" s="4" t="str">
        <f>IFERROR(__xludf.DUMMYFUNCTION("IF(P158="""","""",IFERROR(INDEX(filter(Productos!E:E,Productos!F:F=L158,Productos!H:H=N158),P158),IF(M158=SUM(D:D),""Finalizar"",""-"")))"),"")</f>
        <v/>
      </c>
      <c r="V158" s="4" t="str">
        <f>IFERROR(__xludf.DUMMYFUNCTION("IF(OR($U158="""",COUNTIF($I:$I,IFERROR(unique(filter(Prod_Prop!$H:$H,Prod_Prop!$G:$G=$U158,Prod_Prop!$E:$E=V$1)),""Check""))=0),"""",IFERROR(unique(filter(Prod_Prop!$H:$H,Prod_Prop!$G:$G=$U158,Prod_Prop!$E:$E=V$1)),""""))"),"")</f>
        <v/>
      </c>
      <c r="W158" s="4" t="str">
        <f>IF(V158="","",SUMIFS(Prod_Prop!$J:$J,Prod_Prop!$B:$B,$Q158,Prod_Prop!$H:$H,V158,Prod_Prop!$I:$I,W$1)*IF(V158="Peso",$R158,1))</f>
        <v/>
      </c>
      <c r="X158" s="4" t="str">
        <f>IF(V158="","",SUMIFS(Prod_Prop!$J:$J,Prod_Prop!$B:$B,$Q158,Prod_Prop!$H:$H,V158,Prod_Prop!$I:$I,X$1)*IF(V158="Peso",$R158,1))</f>
        <v/>
      </c>
      <c r="Y158" s="4" t="str">
        <f>IFERROR(__xludf.DUMMYFUNCTION("IF(OR($U158="""",COUNTIF($I:$I,IFERROR(unique(filter(Prod_Prop!$H:$H,Prod_Prop!$G:$G=$U158,Prod_Prop!$E:$E=Y$1)),""Check""))=0),"""",IFERROR(unique(filter(Prod_Prop!$H:$H,Prod_Prop!$G:$G=$U158,Prod_Prop!$E:$E=Y$1)),""""))"),"")</f>
        <v/>
      </c>
      <c r="Z158" s="4" t="str">
        <f>IF(Y158="","",SUMIFS(Prod_Prop!$J:$J,Prod_Prop!$B:$B,$Q158,Prod_Prop!$H:$H,Y158,Prod_Prop!$I:$I,Z$1)*IF(Y158="Peso",$R158,1))</f>
        <v/>
      </c>
      <c r="AA158" s="4" t="str">
        <f>IF(Y158="","",SUMIFS(Prod_Prop!$J:$J,Prod_Prop!$B:$B,$Q158,Prod_Prop!$H:$H,Y158,Prod_Prop!$I:$I,AA$1)*IF(Y158="Peso",$R158,1))</f>
        <v/>
      </c>
      <c r="AB158" s="4" t="str">
        <f>IFERROR(__xludf.DUMMYFUNCTION("IF(OR($U158="""",COUNTIF($I:$I,IFERROR(unique(filter(Prod_Prop!$H:$H,Prod_Prop!$G:$G=$U158,Prod_Prop!$E:$E=AB$1)),""Check""))=0),"""",IFERROR(unique(filter(Prod_Prop!$H:$H,Prod_Prop!$G:$G=$U158,Prod_Prop!$E:$E=AB$1)),""""))"),"")</f>
        <v/>
      </c>
      <c r="AC158" s="4" t="str">
        <f>IF(AB158="","",SUMIFS(Prod_Prop!$J:$J,Prod_Prop!$B:$B,$Q158,Prod_Prop!$H:$H,AB158,Prod_Prop!$I:$I,AC$1)*IF(AB158="Peso",$R158,1))</f>
        <v/>
      </c>
      <c r="AD158" s="4" t="str">
        <f>IF(AB158="","",SUMIFS(Prod_Prop!$J:$J,Prod_Prop!$B:$B,$Q158,Prod_Prop!$H:$H,AB158,Prod_Prop!$I:$I,AD$1)*IF(AB158="Peso",$R158,1))</f>
        <v/>
      </c>
    </row>
    <row r="159">
      <c r="A159" s="4" t="str">
        <f t="array" ref="A159">IF(COUNTIF(A$1:A158,Cotizador!F$2)=maxifs(Familias!E:E,Familias!D:D,Cotizador!F$2),IF(COUNTIF(A$1:A158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59" s="4" t="str">
        <f t="shared" si="1"/>
        <v/>
      </c>
      <c r="C159" s="4" t="str">
        <f t="array" ref="C159">IF(B159="","",IF(A159=XLOOKUP(A$2,Implementos!B:B,Implementos!C:C,"",0,1),B159+maxifs(B$1:B158,A$1:A158,A$2),B159))</f>
        <v/>
      </c>
      <c r="D159" s="4" t="str">
        <f>IF(B159="","", COUNTIFS(Productos!F:F,A159,Productos!H:H,B159)+IF(F159="SI",0,1))</f>
        <v/>
      </c>
      <c r="E159" s="4" t="str">
        <f>IFERROR(__xludf.DUMMYFUNCTION("IF($B159="""","""",INDEX(filter(Familias!F:F,Familias!$D:$D=$A159,Familias!$E:$E=$B159),1))"),"")</f>
        <v/>
      </c>
      <c r="F159" s="4" t="str">
        <f>IFERROR(__xludf.DUMMYFUNCTION("IF($B159="""","""",INDEX(filter(Familias!G:G,Familias!$D:$D=$A159,Familias!$E:$E=$B159),1))"),"")</f>
        <v/>
      </c>
      <c r="G159" s="4" t="str">
        <f t="array" ref="G159">IF(C159=1,XLOOKUP(C159,Cotizador!D:D,Cotizador!E:E,"",0,1),"")</f>
        <v/>
      </c>
      <c r="I159" s="4"/>
      <c r="J159" s="8" t="str">
        <f>IF(I159="","",SUMIF(Cotizador!I$1:V$1,I159,Cotizador!I$2:V$2))</f>
        <v/>
      </c>
      <c r="L159" s="4" t="str">
        <f t="array" ref="L159">IF(COUNTIF(L$1:L158,A$2)=SUMIF(A:A,A$2,D:D),IF(COUNTIF(L$1:L158,XLOOKUP(A$2,Implementos!B:B,Implementos!C:C,"",0,1))=SUMIF(A:A,XLOOKUP(A$2,Implementos!B:B,Implementos!C:C,"",0,1),D:D),"",XLOOKUP(A$2,Implementos!B:B,Implementos!C:C,"",0,1)),A$2)</f>
        <v/>
      </c>
      <c r="M159" s="4" t="str">
        <f t="shared" si="2"/>
        <v/>
      </c>
      <c r="N159" s="4" t="str">
        <f t="shared" si="3"/>
        <v/>
      </c>
      <c r="O159" s="4" t="str">
        <f t="shared" si="4"/>
        <v/>
      </c>
      <c r="P159" s="4" t="str">
        <f t="shared" si="5"/>
        <v/>
      </c>
      <c r="Q159" s="4" t="str">
        <f>IF(U159="","",SUMIF(Productos!E:E,U159,Productos!A:A))</f>
        <v/>
      </c>
      <c r="R159" s="4" t="str">
        <f t="array" ref="R159">IF(L159="","", max(1,SUMIF(I:I,XLOOKUP(U159,Productos!E:E,Productos!G:G,"",0,1),J:J)))</f>
        <v/>
      </c>
      <c r="S159" s="4" t="str">
        <f>IF(Q159="","",IF(SUMIFS(Compat_Vetado!D:D,Compat_Vetado!B:B,SUM(G:G),Compat_Vetado!C:C,Q159)=1,"SI",IF(OR(SUMIF(Cotizador!E:E,Q159,Cotizador!G:G)&gt;0,SUMIFS(Compat_Vetado!D:D,Compat_Vetado!B:B,SUM(G:G),Compat_Vetado!C:C,Q159)=-1),"NO","")))</f>
        <v/>
      </c>
      <c r="T159" s="4" t="str">
        <f t="shared" si="6"/>
        <v/>
      </c>
      <c r="U159" s="4" t="str">
        <f>IFERROR(__xludf.DUMMYFUNCTION("IF(P159="""","""",IFERROR(INDEX(filter(Productos!E:E,Productos!F:F=L159,Productos!H:H=N159),P159),IF(M159=SUM(D:D),""Finalizar"",""-"")))"),"")</f>
        <v/>
      </c>
      <c r="V159" s="4" t="str">
        <f>IFERROR(__xludf.DUMMYFUNCTION("IF(OR($U159="""",COUNTIF($I:$I,IFERROR(unique(filter(Prod_Prop!$H:$H,Prod_Prop!$G:$G=$U159,Prod_Prop!$E:$E=V$1)),""Check""))=0),"""",IFERROR(unique(filter(Prod_Prop!$H:$H,Prod_Prop!$G:$G=$U159,Prod_Prop!$E:$E=V$1)),""""))"),"")</f>
        <v/>
      </c>
      <c r="W159" s="4" t="str">
        <f>IF(V159="","",SUMIFS(Prod_Prop!$J:$J,Prod_Prop!$B:$B,$Q159,Prod_Prop!$H:$H,V159,Prod_Prop!$I:$I,W$1)*IF(V159="Peso",$R159,1))</f>
        <v/>
      </c>
      <c r="X159" s="4" t="str">
        <f>IF(V159="","",SUMIFS(Prod_Prop!$J:$J,Prod_Prop!$B:$B,$Q159,Prod_Prop!$H:$H,V159,Prod_Prop!$I:$I,X$1)*IF(V159="Peso",$R159,1))</f>
        <v/>
      </c>
      <c r="Y159" s="4" t="str">
        <f>IFERROR(__xludf.DUMMYFUNCTION("IF(OR($U159="""",COUNTIF($I:$I,IFERROR(unique(filter(Prod_Prop!$H:$H,Prod_Prop!$G:$G=$U159,Prod_Prop!$E:$E=Y$1)),""Check""))=0),"""",IFERROR(unique(filter(Prod_Prop!$H:$H,Prod_Prop!$G:$G=$U159,Prod_Prop!$E:$E=Y$1)),""""))"),"")</f>
        <v/>
      </c>
      <c r="Z159" s="4" t="str">
        <f>IF(Y159="","",SUMIFS(Prod_Prop!$J:$J,Prod_Prop!$B:$B,$Q159,Prod_Prop!$H:$H,Y159,Prod_Prop!$I:$I,Z$1)*IF(Y159="Peso",$R159,1))</f>
        <v/>
      </c>
      <c r="AA159" s="4" t="str">
        <f>IF(Y159="","",SUMIFS(Prod_Prop!$J:$J,Prod_Prop!$B:$B,$Q159,Prod_Prop!$H:$H,Y159,Prod_Prop!$I:$I,AA$1)*IF(Y159="Peso",$R159,1))</f>
        <v/>
      </c>
      <c r="AB159" s="4" t="str">
        <f>IFERROR(__xludf.DUMMYFUNCTION("IF(OR($U159="""",COUNTIF($I:$I,IFERROR(unique(filter(Prod_Prop!$H:$H,Prod_Prop!$G:$G=$U159,Prod_Prop!$E:$E=AB$1)),""Check""))=0),"""",IFERROR(unique(filter(Prod_Prop!$H:$H,Prod_Prop!$G:$G=$U159,Prod_Prop!$E:$E=AB$1)),""""))"),"")</f>
        <v/>
      </c>
      <c r="AC159" s="4" t="str">
        <f>IF(AB159="","",SUMIFS(Prod_Prop!$J:$J,Prod_Prop!$B:$B,$Q159,Prod_Prop!$H:$H,AB159,Prod_Prop!$I:$I,AC$1)*IF(AB159="Peso",$R159,1))</f>
        <v/>
      </c>
      <c r="AD159" s="4" t="str">
        <f>IF(AB159="","",SUMIFS(Prod_Prop!$J:$J,Prod_Prop!$B:$B,$Q159,Prod_Prop!$H:$H,AB159,Prod_Prop!$I:$I,AD$1)*IF(AB159="Peso",$R159,1))</f>
        <v/>
      </c>
    </row>
    <row r="160">
      <c r="A160" s="4" t="str">
        <f t="array" ref="A160">IF(COUNTIF(A$1:A159,Cotizador!F$2)=maxifs(Familias!E:E,Familias!D:D,Cotizador!F$2),IF(COUNTIF(A$1:A159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0" s="4" t="str">
        <f t="shared" si="1"/>
        <v/>
      </c>
      <c r="C160" s="4" t="str">
        <f t="array" ref="C160">IF(B160="","",IF(A160=XLOOKUP(A$2,Implementos!B:B,Implementos!C:C,"",0,1),B160+maxifs(B$1:B159,A$1:A159,A$2),B160))</f>
        <v/>
      </c>
      <c r="D160" s="4" t="str">
        <f>IF(B160="","", COUNTIFS(Productos!F:F,A160,Productos!H:H,B160)+IF(F160="SI",0,1))</f>
        <v/>
      </c>
      <c r="E160" s="4" t="str">
        <f>IFERROR(__xludf.DUMMYFUNCTION("IF($B160="""","""",INDEX(filter(Familias!F:F,Familias!$D:$D=$A160,Familias!$E:$E=$B160),1))"),"")</f>
        <v/>
      </c>
      <c r="F160" s="4" t="str">
        <f>IFERROR(__xludf.DUMMYFUNCTION("IF($B160="""","""",INDEX(filter(Familias!G:G,Familias!$D:$D=$A160,Familias!$E:$E=$B160),1))"),"")</f>
        <v/>
      </c>
      <c r="G160" s="4" t="str">
        <f t="array" ref="G160">IF(C160=1,XLOOKUP(C160,Cotizador!D:D,Cotizador!E:E,"",0,1),"")</f>
        <v/>
      </c>
      <c r="I160" s="4"/>
      <c r="J160" s="8" t="str">
        <f>IF(I160="","",SUMIF(Cotizador!I$1:V$1,I160,Cotizador!I$2:V$2))</f>
        <v/>
      </c>
      <c r="L160" s="4" t="str">
        <f t="array" ref="L160">IF(COUNTIF(L$1:L159,A$2)=SUMIF(A:A,A$2,D:D),IF(COUNTIF(L$1:L159,XLOOKUP(A$2,Implementos!B:B,Implementos!C:C,"",0,1))=SUMIF(A:A,XLOOKUP(A$2,Implementos!B:B,Implementos!C:C,"",0,1),D:D),"",XLOOKUP(A$2,Implementos!B:B,Implementos!C:C,"",0,1)),A$2)</f>
        <v/>
      </c>
      <c r="M160" s="4" t="str">
        <f t="shared" si="2"/>
        <v/>
      </c>
      <c r="N160" s="4" t="str">
        <f t="shared" si="3"/>
        <v/>
      </c>
      <c r="O160" s="4" t="str">
        <f t="shared" si="4"/>
        <v/>
      </c>
      <c r="P160" s="4" t="str">
        <f t="shared" si="5"/>
        <v/>
      </c>
      <c r="Q160" s="4" t="str">
        <f>IF(U160="","",SUMIF(Productos!E:E,U160,Productos!A:A))</f>
        <v/>
      </c>
      <c r="R160" s="4" t="str">
        <f t="array" ref="R160">IF(L160="","", max(1,SUMIF(I:I,XLOOKUP(U160,Productos!E:E,Productos!G:G,"",0,1),J:J)))</f>
        <v/>
      </c>
      <c r="S160" s="4" t="str">
        <f>IF(Q160="","",IF(SUMIFS(Compat_Vetado!D:D,Compat_Vetado!B:B,SUM(G:G),Compat_Vetado!C:C,Q160)=1,"SI",IF(OR(SUMIF(Cotizador!E:E,Q160,Cotizador!G:G)&gt;0,SUMIFS(Compat_Vetado!D:D,Compat_Vetado!B:B,SUM(G:G),Compat_Vetado!C:C,Q160)=-1),"NO","")))</f>
        <v/>
      </c>
      <c r="T160" s="4" t="str">
        <f t="shared" si="6"/>
        <v/>
      </c>
      <c r="U160" s="4" t="str">
        <f>IFERROR(__xludf.DUMMYFUNCTION("IF(P160="""","""",IFERROR(INDEX(filter(Productos!E:E,Productos!F:F=L160,Productos!H:H=N160),P160),IF(M160=SUM(D:D),""Finalizar"",""-"")))"),"")</f>
        <v/>
      </c>
      <c r="V160" s="4" t="str">
        <f>IFERROR(__xludf.DUMMYFUNCTION("IF(OR($U160="""",COUNTIF($I:$I,IFERROR(unique(filter(Prod_Prop!$H:$H,Prod_Prop!$G:$G=$U160,Prod_Prop!$E:$E=V$1)),""Check""))=0),"""",IFERROR(unique(filter(Prod_Prop!$H:$H,Prod_Prop!$G:$G=$U160,Prod_Prop!$E:$E=V$1)),""""))"),"")</f>
        <v/>
      </c>
      <c r="W160" s="4" t="str">
        <f>IF(V160="","",SUMIFS(Prod_Prop!$J:$J,Prod_Prop!$B:$B,$Q160,Prod_Prop!$H:$H,V160,Prod_Prop!$I:$I,W$1)*IF(V160="Peso",$R160,1))</f>
        <v/>
      </c>
      <c r="X160" s="4" t="str">
        <f>IF(V160="","",SUMIFS(Prod_Prop!$J:$J,Prod_Prop!$B:$B,$Q160,Prod_Prop!$H:$H,V160,Prod_Prop!$I:$I,X$1)*IF(V160="Peso",$R160,1))</f>
        <v/>
      </c>
      <c r="Y160" s="4" t="str">
        <f>IFERROR(__xludf.DUMMYFUNCTION("IF(OR($U160="""",COUNTIF($I:$I,IFERROR(unique(filter(Prod_Prop!$H:$H,Prod_Prop!$G:$G=$U160,Prod_Prop!$E:$E=Y$1)),""Check""))=0),"""",IFERROR(unique(filter(Prod_Prop!$H:$H,Prod_Prop!$G:$G=$U160,Prod_Prop!$E:$E=Y$1)),""""))"),"")</f>
        <v/>
      </c>
      <c r="Z160" s="4" t="str">
        <f>IF(Y160="","",SUMIFS(Prod_Prop!$J:$J,Prod_Prop!$B:$B,$Q160,Prod_Prop!$H:$H,Y160,Prod_Prop!$I:$I,Z$1)*IF(Y160="Peso",$R160,1))</f>
        <v/>
      </c>
      <c r="AA160" s="4" t="str">
        <f>IF(Y160="","",SUMIFS(Prod_Prop!$J:$J,Prod_Prop!$B:$B,$Q160,Prod_Prop!$H:$H,Y160,Prod_Prop!$I:$I,AA$1)*IF(Y160="Peso",$R160,1))</f>
        <v/>
      </c>
      <c r="AB160" s="4" t="str">
        <f>IFERROR(__xludf.DUMMYFUNCTION("IF(OR($U160="""",COUNTIF($I:$I,IFERROR(unique(filter(Prod_Prop!$H:$H,Prod_Prop!$G:$G=$U160,Prod_Prop!$E:$E=AB$1)),""Check""))=0),"""",IFERROR(unique(filter(Prod_Prop!$H:$H,Prod_Prop!$G:$G=$U160,Prod_Prop!$E:$E=AB$1)),""""))"),"")</f>
        <v/>
      </c>
      <c r="AC160" s="4" t="str">
        <f>IF(AB160="","",SUMIFS(Prod_Prop!$J:$J,Prod_Prop!$B:$B,$Q160,Prod_Prop!$H:$H,AB160,Prod_Prop!$I:$I,AC$1)*IF(AB160="Peso",$R160,1))</f>
        <v/>
      </c>
      <c r="AD160" s="4" t="str">
        <f>IF(AB160="","",SUMIFS(Prod_Prop!$J:$J,Prod_Prop!$B:$B,$Q160,Prod_Prop!$H:$H,AB160,Prod_Prop!$I:$I,AD$1)*IF(AB160="Peso",$R160,1))</f>
        <v/>
      </c>
    </row>
    <row r="161">
      <c r="A161" s="4" t="str">
        <f t="array" ref="A161">IF(COUNTIF(A$1:A160,Cotizador!F$2)=maxifs(Familias!E:E,Familias!D:D,Cotizador!F$2),IF(COUNTIF(A$1:A160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1" s="4" t="str">
        <f t="shared" si="1"/>
        <v/>
      </c>
      <c r="C161" s="4" t="str">
        <f t="array" ref="C161">IF(B161="","",IF(A161=XLOOKUP(A$2,Implementos!B:B,Implementos!C:C,"",0,1),B161+maxifs(B$1:B160,A$1:A160,A$2),B161))</f>
        <v/>
      </c>
      <c r="D161" s="4" t="str">
        <f>IF(B161="","", COUNTIFS(Productos!F:F,A161,Productos!H:H,B161)+IF(F161="SI",0,1))</f>
        <v/>
      </c>
      <c r="E161" s="4" t="str">
        <f>IFERROR(__xludf.DUMMYFUNCTION("IF($B161="""","""",INDEX(filter(Familias!F:F,Familias!$D:$D=$A161,Familias!$E:$E=$B161),1))"),"")</f>
        <v/>
      </c>
      <c r="F161" s="4" t="str">
        <f>IFERROR(__xludf.DUMMYFUNCTION("IF($B161="""","""",INDEX(filter(Familias!G:G,Familias!$D:$D=$A161,Familias!$E:$E=$B161),1))"),"")</f>
        <v/>
      </c>
      <c r="G161" s="4" t="str">
        <f t="array" ref="G161">IF(C161=1,XLOOKUP(C161,Cotizador!D:D,Cotizador!E:E,"",0,1),"")</f>
        <v/>
      </c>
      <c r="I161" s="4"/>
      <c r="J161" s="8" t="str">
        <f>IF(I161="","",SUMIF(Cotizador!I$1:V$1,I161,Cotizador!I$2:V$2))</f>
        <v/>
      </c>
      <c r="L161" s="4" t="str">
        <f t="array" ref="L161">IF(COUNTIF(L$1:L160,A$2)=SUMIF(A:A,A$2,D:D),IF(COUNTIF(L$1:L160,XLOOKUP(A$2,Implementos!B:B,Implementos!C:C,"",0,1))=SUMIF(A:A,XLOOKUP(A$2,Implementos!B:B,Implementos!C:C,"",0,1),D:D),"",XLOOKUP(A$2,Implementos!B:B,Implementos!C:C,"",0,1)),A$2)</f>
        <v/>
      </c>
      <c r="M161" s="4" t="str">
        <f t="shared" si="2"/>
        <v/>
      </c>
      <c r="N161" s="4" t="str">
        <f t="shared" si="3"/>
        <v/>
      </c>
      <c r="O161" s="4" t="str">
        <f t="shared" si="4"/>
        <v/>
      </c>
      <c r="P161" s="4" t="str">
        <f t="shared" si="5"/>
        <v/>
      </c>
      <c r="Q161" s="4" t="str">
        <f>IF(U161="","",SUMIF(Productos!E:E,U161,Productos!A:A))</f>
        <v/>
      </c>
      <c r="R161" s="4" t="str">
        <f t="array" ref="R161">IF(L161="","", max(1,SUMIF(I:I,XLOOKUP(U161,Productos!E:E,Productos!G:G,"",0,1),J:J)))</f>
        <v/>
      </c>
      <c r="S161" s="4" t="str">
        <f>IF(Q161="","",IF(SUMIFS(Compat_Vetado!D:D,Compat_Vetado!B:B,SUM(G:G),Compat_Vetado!C:C,Q161)=1,"SI",IF(OR(SUMIF(Cotizador!E:E,Q161,Cotizador!G:G)&gt;0,SUMIFS(Compat_Vetado!D:D,Compat_Vetado!B:B,SUM(G:G),Compat_Vetado!C:C,Q161)=-1),"NO","")))</f>
        <v/>
      </c>
      <c r="T161" s="4" t="str">
        <f t="shared" si="6"/>
        <v/>
      </c>
      <c r="U161" s="4" t="str">
        <f>IFERROR(__xludf.DUMMYFUNCTION("IF(P161="""","""",IFERROR(INDEX(filter(Productos!E:E,Productos!F:F=L161,Productos!H:H=N161),P161),IF(M161=SUM(D:D),""Finalizar"",""-"")))"),"")</f>
        <v/>
      </c>
      <c r="V161" s="4" t="str">
        <f>IFERROR(__xludf.DUMMYFUNCTION("IF(OR($U161="""",COUNTIF($I:$I,IFERROR(unique(filter(Prod_Prop!$H:$H,Prod_Prop!$G:$G=$U161,Prod_Prop!$E:$E=V$1)),""Check""))=0),"""",IFERROR(unique(filter(Prod_Prop!$H:$H,Prod_Prop!$G:$G=$U161,Prod_Prop!$E:$E=V$1)),""""))"),"")</f>
        <v/>
      </c>
      <c r="W161" s="4" t="str">
        <f>IF(V161="","",SUMIFS(Prod_Prop!$J:$J,Prod_Prop!$B:$B,$Q161,Prod_Prop!$H:$H,V161,Prod_Prop!$I:$I,W$1)*IF(V161="Peso",$R161,1))</f>
        <v/>
      </c>
      <c r="X161" s="4" t="str">
        <f>IF(V161="","",SUMIFS(Prod_Prop!$J:$J,Prod_Prop!$B:$B,$Q161,Prod_Prop!$H:$H,V161,Prod_Prop!$I:$I,X$1)*IF(V161="Peso",$R161,1))</f>
        <v/>
      </c>
      <c r="Y161" s="4" t="str">
        <f>IFERROR(__xludf.DUMMYFUNCTION("IF(OR($U161="""",COUNTIF($I:$I,IFERROR(unique(filter(Prod_Prop!$H:$H,Prod_Prop!$G:$G=$U161,Prod_Prop!$E:$E=Y$1)),""Check""))=0),"""",IFERROR(unique(filter(Prod_Prop!$H:$H,Prod_Prop!$G:$G=$U161,Prod_Prop!$E:$E=Y$1)),""""))"),"")</f>
        <v/>
      </c>
      <c r="Z161" s="4" t="str">
        <f>IF(Y161="","",SUMIFS(Prod_Prop!$J:$J,Prod_Prop!$B:$B,$Q161,Prod_Prop!$H:$H,Y161,Prod_Prop!$I:$I,Z$1)*IF(Y161="Peso",$R161,1))</f>
        <v/>
      </c>
      <c r="AA161" s="4" t="str">
        <f>IF(Y161="","",SUMIFS(Prod_Prop!$J:$J,Prod_Prop!$B:$B,$Q161,Prod_Prop!$H:$H,Y161,Prod_Prop!$I:$I,AA$1)*IF(Y161="Peso",$R161,1))</f>
        <v/>
      </c>
      <c r="AB161" s="4" t="str">
        <f>IFERROR(__xludf.DUMMYFUNCTION("IF(OR($U161="""",COUNTIF($I:$I,IFERROR(unique(filter(Prod_Prop!$H:$H,Prod_Prop!$G:$G=$U161,Prod_Prop!$E:$E=AB$1)),""Check""))=0),"""",IFERROR(unique(filter(Prod_Prop!$H:$H,Prod_Prop!$G:$G=$U161,Prod_Prop!$E:$E=AB$1)),""""))"),"")</f>
        <v/>
      </c>
      <c r="AC161" s="4" t="str">
        <f>IF(AB161="","",SUMIFS(Prod_Prop!$J:$J,Prod_Prop!$B:$B,$Q161,Prod_Prop!$H:$H,AB161,Prod_Prop!$I:$I,AC$1)*IF(AB161="Peso",$R161,1))</f>
        <v/>
      </c>
      <c r="AD161" s="4" t="str">
        <f>IF(AB161="","",SUMIFS(Prod_Prop!$J:$J,Prod_Prop!$B:$B,$Q161,Prod_Prop!$H:$H,AB161,Prod_Prop!$I:$I,AD$1)*IF(AB161="Peso",$R161,1))</f>
        <v/>
      </c>
    </row>
    <row r="162">
      <c r="A162" s="4" t="str">
        <f t="array" ref="A162">IF(COUNTIF(A$1:A161,Cotizador!F$2)=maxifs(Familias!E:E,Familias!D:D,Cotizador!F$2),IF(COUNTIF(A$1:A161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2" s="4" t="str">
        <f t="shared" si="1"/>
        <v/>
      </c>
      <c r="C162" s="4" t="str">
        <f t="array" ref="C162">IF(B162="","",IF(A162=XLOOKUP(A$2,Implementos!B:B,Implementos!C:C,"",0,1),B162+maxifs(B$1:B161,A$1:A161,A$2),B162))</f>
        <v/>
      </c>
      <c r="D162" s="4" t="str">
        <f>IF(B162="","", COUNTIFS(Productos!F:F,A162,Productos!H:H,B162)+IF(F162="SI",0,1))</f>
        <v/>
      </c>
      <c r="E162" s="4" t="str">
        <f>IFERROR(__xludf.DUMMYFUNCTION("IF($B162="""","""",INDEX(filter(Familias!F:F,Familias!$D:$D=$A162,Familias!$E:$E=$B162),1))"),"")</f>
        <v/>
      </c>
      <c r="F162" s="4" t="str">
        <f>IFERROR(__xludf.DUMMYFUNCTION("IF($B162="""","""",INDEX(filter(Familias!G:G,Familias!$D:$D=$A162,Familias!$E:$E=$B162),1))"),"")</f>
        <v/>
      </c>
      <c r="G162" s="4" t="str">
        <f t="array" ref="G162">IF(C162=1,XLOOKUP(C162,Cotizador!D:D,Cotizador!E:E,"",0,1),"")</f>
        <v/>
      </c>
      <c r="I162" s="4"/>
      <c r="J162" s="8" t="str">
        <f>IF(I162="","",SUMIF(Cotizador!I$1:V$1,I162,Cotizador!I$2:V$2))</f>
        <v/>
      </c>
      <c r="L162" s="4" t="str">
        <f t="array" ref="L162">IF(COUNTIF(L$1:L161,A$2)=SUMIF(A:A,A$2,D:D),IF(COUNTIF(L$1:L161,XLOOKUP(A$2,Implementos!B:B,Implementos!C:C,"",0,1))=SUMIF(A:A,XLOOKUP(A$2,Implementos!B:B,Implementos!C:C,"",0,1),D:D),"",XLOOKUP(A$2,Implementos!B:B,Implementos!C:C,"",0,1)),A$2)</f>
        <v/>
      </c>
      <c r="M162" s="4" t="str">
        <f t="shared" si="2"/>
        <v/>
      </c>
      <c r="N162" s="4" t="str">
        <f t="shared" si="3"/>
        <v/>
      </c>
      <c r="O162" s="4" t="str">
        <f t="shared" si="4"/>
        <v/>
      </c>
      <c r="P162" s="4" t="str">
        <f t="shared" si="5"/>
        <v/>
      </c>
      <c r="Q162" s="4" t="str">
        <f>IF(U162="","",SUMIF(Productos!E:E,U162,Productos!A:A))</f>
        <v/>
      </c>
      <c r="R162" s="4" t="str">
        <f t="array" ref="R162">IF(L162="","", max(1,SUMIF(I:I,XLOOKUP(U162,Productos!E:E,Productos!G:G,"",0,1),J:J)))</f>
        <v/>
      </c>
      <c r="S162" s="4" t="str">
        <f>IF(Q162="","",IF(SUMIFS(Compat_Vetado!D:D,Compat_Vetado!B:B,SUM(G:G),Compat_Vetado!C:C,Q162)=1,"SI",IF(OR(SUMIF(Cotizador!E:E,Q162,Cotizador!G:G)&gt;0,SUMIFS(Compat_Vetado!D:D,Compat_Vetado!B:B,SUM(G:G),Compat_Vetado!C:C,Q162)=-1),"NO","")))</f>
        <v/>
      </c>
      <c r="T162" s="4" t="str">
        <f t="shared" si="6"/>
        <v/>
      </c>
      <c r="U162" s="4" t="str">
        <f>IFERROR(__xludf.DUMMYFUNCTION("IF(P162="""","""",IFERROR(INDEX(filter(Productos!E:E,Productos!F:F=L162,Productos!H:H=N162),P162),IF(M162=SUM(D:D),""Finalizar"",""-"")))"),"")</f>
        <v/>
      </c>
      <c r="V162" s="4" t="str">
        <f>IFERROR(__xludf.DUMMYFUNCTION("IF(OR($U162="""",COUNTIF($I:$I,IFERROR(unique(filter(Prod_Prop!$H:$H,Prod_Prop!$G:$G=$U162,Prod_Prop!$E:$E=V$1)),""Check""))=0),"""",IFERROR(unique(filter(Prod_Prop!$H:$H,Prod_Prop!$G:$G=$U162,Prod_Prop!$E:$E=V$1)),""""))"),"")</f>
        <v/>
      </c>
      <c r="W162" s="4" t="str">
        <f>IF(V162="","",SUMIFS(Prod_Prop!$J:$J,Prod_Prop!$B:$B,$Q162,Prod_Prop!$H:$H,V162,Prod_Prop!$I:$I,W$1)*IF(V162="Peso",$R162,1))</f>
        <v/>
      </c>
      <c r="X162" s="4" t="str">
        <f>IF(V162="","",SUMIFS(Prod_Prop!$J:$J,Prod_Prop!$B:$B,$Q162,Prod_Prop!$H:$H,V162,Prod_Prop!$I:$I,X$1)*IF(V162="Peso",$R162,1))</f>
        <v/>
      </c>
      <c r="Y162" s="4" t="str">
        <f>IFERROR(__xludf.DUMMYFUNCTION("IF(OR($U162="""",COUNTIF($I:$I,IFERROR(unique(filter(Prod_Prop!$H:$H,Prod_Prop!$G:$G=$U162,Prod_Prop!$E:$E=Y$1)),""Check""))=0),"""",IFERROR(unique(filter(Prod_Prop!$H:$H,Prod_Prop!$G:$G=$U162,Prod_Prop!$E:$E=Y$1)),""""))"),"")</f>
        <v/>
      </c>
      <c r="Z162" s="4" t="str">
        <f>IF(Y162="","",SUMIFS(Prod_Prop!$J:$J,Prod_Prop!$B:$B,$Q162,Prod_Prop!$H:$H,Y162,Prod_Prop!$I:$I,Z$1)*IF(Y162="Peso",$R162,1))</f>
        <v/>
      </c>
      <c r="AA162" s="4" t="str">
        <f>IF(Y162="","",SUMIFS(Prod_Prop!$J:$J,Prod_Prop!$B:$B,$Q162,Prod_Prop!$H:$H,Y162,Prod_Prop!$I:$I,AA$1)*IF(Y162="Peso",$R162,1))</f>
        <v/>
      </c>
      <c r="AB162" s="4" t="str">
        <f>IFERROR(__xludf.DUMMYFUNCTION("IF(OR($U162="""",COUNTIF($I:$I,IFERROR(unique(filter(Prod_Prop!$H:$H,Prod_Prop!$G:$G=$U162,Prod_Prop!$E:$E=AB$1)),""Check""))=0),"""",IFERROR(unique(filter(Prod_Prop!$H:$H,Prod_Prop!$G:$G=$U162,Prod_Prop!$E:$E=AB$1)),""""))"),"")</f>
        <v/>
      </c>
      <c r="AC162" s="4" t="str">
        <f>IF(AB162="","",SUMIFS(Prod_Prop!$J:$J,Prod_Prop!$B:$B,$Q162,Prod_Prop!$H:$H,AB162,Prod_Prop!$I:$I,AC$1)*IF(AB162="Peso",$R162,1))</f>
        <v/>
      </c>
      <c r="AD162" s="4" t="str">
        <f>IF(AB162="","",SUMIFS(Prod_Prop!$J:$J,Prod_Prop!$B:$B,$Q162,Prod_Prop!$H:$H,AB162,Prod_Prop!$I:$I,AD$1)*IF(AB162="Peso",$R162,1))</f>
        <v/>
      </c>
    </row>
    <row r="163">
      <c r="A163" s="4" t="str">
        <f t="array" ref="A163">IF(COUNTIF(A$1:A162,Cotizador!F$2)=maxifs(Familias!E:E,Familias!D:D,Cotizador!F$2),IF(COUNTIF(A$1:A162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3" s="4" t="str">
        <f t="shared" si="1"/>
        <v/>
      </c>
      <c r="C163" s="4" t="str">
        <f t="array" ref="C163">IF(B163="","",IF(A163=XLOOKUP(A$2,Implementos!B:B,Implementos!C:C,"",0,1),B163+maxifs(B$1:B162,A$1:A162,A$2),B163))</f>
        <v/>
      </c>
      <c r="D163" s="4" t="str">
        <f>IF(B163="","", COUNTIFS(Productos!F:F,A163,Productos!H:H,B163)+IF(F163="SI",0,1))</f>
        <v/>
      </c>
      <c r="E163" s="4" t="str">
        <f>IFERROR(__xludf.DUMMYFUNCTION("IF($B163="""","""",INDEX(filter(Familias!F:F,Familias!$D:$D=$A163,Familias!$E:$E=$B163),1))"),"")</f>
        <v/>
      </c>
      <c r="F163" s="4" t="str">
        <f>IFERROR(__xludf.DUMMYFUNCTION("IF($B163="""","""",INDEX(filter(Familias!G:G,Familias!$D:$D=$A163,Familias!$E:$E=$B163),1))"),"")</f>
        <v/>
      </c>
      <c r="G163" s="4" t="str">
        <f t="array" ref="G163">IF(C163=1,XLOOKUP(C163,Cotizador!D:D,Cotizador!E:E,"",0,1),"")</f>
        <v/>
      </c>
      <c r="I163" s="4"/>
      <c r="J163" s="8" t="str">
        <f>IF(I163="","",SUMIF(Cotizador!I$1:V$1,I163,Cotizador!I$2:V$2))</f>
        <v/>
      </c>
      <c r="L163" s="4" t="str">
        <f t="array" ref="L163">IF(COUNTIF(L$1:L162,A$2)=SUMIF(A:A,A$2,D:D),IF(COUNTIF(L$1:L162,XLOOKUP(A$2,Implementos!B:B,Implementos!C:C,"",0,1))=SUMIF(A:A,XLOOKUP(A$2,Implementos!B:B,Implementos!C:C,"",0,1),D:D),"",XLOOKUP(A$2,Implementos!B:B,Implementos!C:C,"",0,1)),A$2)</f>
        <v/>
      </c>
      <c r="M163" s="4" t="str">
        <f t="shared" si="2"/>
        <v/>
      </c>
      <c r="N163" s="4" t="str">
        <f t="shared" si="3"/>
        <v/>
      </c>
      <c r="O163" s="4" t="str">
        <f t="shared" si="4"/>
        <v/>
      </c>
      <c r="P163" s="4" t="str">
        <f t="shared" si="5"/>
        <v/>
      </c>
      <c r="Q163" s="4" t="str">
        <f>IF(U163="","",SUMIF(Productos!E:E,U163,Productos!A:A))</f>
        <v/>
      </c>
      <c r="R163" s="4" t="str">
        <f t="array" ref="R163">IF(L163="","", max(1,SUMIF(I:I,XLOOKUP(U163,Productos!E:E,Productos!G:G,"",0,1),J:J)))</f>
        <v/>
      </c>
      <c r="S163" s="4" t="str">
        <f>IF(Q163="","",IF(SUMIFS(Compat_Vetado!D:D,Compat_Vetado!B:B,SUM(G:G),Compat_Vetado!C:C,Q163)=1,"SI",IF(OR(SUMIF(Cotizador!E:E,Q163,Cotizador!G:G)&gt;0,SUMIFS(Compat_Vetado!D:D,Compat_Vetado!B:B,SUM(G:G),Compat_Vetado!C:C,Q163)=-1),"NO","")))</f>
        <v/>
      </c>
      <c r="T163" s="4" t="str">
        <f t="shared" si="6"/>
        <v/>
      </c>
      <c r="U163" s="4" t="str">
        <f>IFERROR(__xludf.DUMMYFUNCTION("IF(P163="""","""",IFERROR(INDEX(filter(Productos!E:E,Productos!F:F=L163,Productos!H:H=N163),P163),IF(M163=SUM(D:D),""Finalizar"",""-"")))"),"")</f>
        <v/>
      </c>
      <c r="V163" s="4" t="str">
        <f>IFERROR(__xludf.DUMMYFUNCTION("IF(OR($U163="""",COUNTIF($I:$I,IFERROR(unique(filter(Prod_Prop!$H:$H,Prod_Prop!$G:$G=$U163,Prod_Prop!$E:$E=V$1)),""Check""))=0),"""",IFERROR(unique(filter(Prod_Prop!$H:$H,Prod_Prop!$G:$G=$U163,Prod_Prop!$E:$E=V$1)),""""))"),"")</f>
        <v/>
      </c>
      <c r="W163" s="4" t="str">
        <f>IF(V163="","",SUMIFS(Prod_Prop!$J:$J,Prod_Prop!$B:$B,$Q163,Prod_Prop!$H:$H,V163,Prod_Prop!$I:$I,W$1)*IF(V163="Peso",$R163,1))</f>
        <v/>
      </c>
      <c r="X163" s="4" t="str">
        <f>IF(V163="","",SUMIFS(Prod_Prop!$J:$J,Prod_Prop!$B:$B,$Q163,Prod_Prop!$H:$H,V163,Prod_Prop!$I:$I,X$1)*IF(V163="Peso",$R163,1))</f>
        <v/>
      </c>
      <c r="Y163" s="4" t="str">
        <f>IFERROR(__xludf.DUMMYFUNCTION("IF(OR($U163="""",COUNTIF($I:$I,IFERROR(unique(filter(Prod_Prop!$H:$H,Prod_Prop!$G:$G=$U163,Prod_Prop!$E:$E=Y$1)),""Check""))=0),"""",IFERROR(unique(filter(Prod_Prop!$H:$H,Prod_Prop!$G:$G=$U163,Prod_Prop!$E:$E=Y$1)),""""))"),"")</f>
        <v/>
      </c>
      <c r="Z163" s="4" t="str">
        <f>IF(Y163="","",SUMIFS(Prod_Prop!$J:$J,Prod_Prop!$B:$B,$Q163,Prod_Prop!$H:$H,Y163,Prod_Prop!$I:$I,Z$1)*IF(Y163="Peso",$R163,1))</f>
        <v/>
      </c>
      <c r="AA163" s="4" t="str">
        <f>IF(Y163="","",SUMIFS(Prod_Prop!$J:$J,Prod_Prop!$B:$B,$Q163,Prod_Prop!$H:$H,Y163,Prod_Prop!$I:$I,AA$1)*IF(Y163="Peso",$R163,1))</f>
        <v/>
      </c>
      <c r="AB163" s="4" t="str">
        <f>IFERROR(__xludf.DUMMYFUNCTION("IF(OR($U163="""",COUNTIF($I:$I,IFERROR(unique(filter(Prod_Prop!$H:$H,Prod_Prop!$G:$G=$U163,Prod_Prop!$E:$E=AB$1)),""Check""))=0),"""",IFERROR(unique(filter(Prod_Prop!$H:$H,Prod_Prop!$G:$G=$U163,Prod_Prop!$E:$E=AB$1)),""""))"),"")</f>
        <v/>
      </c>
      <c r="AC163" s="4" t="str">
        <f>IF(AB163="","",SUMIFS(Prod_Prop!$J:$J,Prod_Prop!$B:$B,$Q163,Prod_Prop!$H:$H,AB163,Prod_Prop!$I:$I,AC$1)*IF(AB163="Peso",$R163,1))</f>
        <v/>
      </c>
      <c r="AD163" s="4" t="str">
        <f>IF(AB163="","",SUMIFS(Prod_Prop!$J:$J,Prod_Prop!$B:$B,$Q163,Prod_Prop!$H:$H,AB163,Prod_Prop!$I:$I,AD$1)*IF(AB163="Peso",$R163,1))</f>
        <v/>
      </c>
    </row>
    <row r="164">
      <c r="A164" s="4" t="str">
        <f t="array" ref="A164">IF(COUNTIF(A$1:A163,Cotizador!F$2)=maxifs(Familias!E:E,Familias!D:D,Cotizador!F$2),IF(COUNTIF(A$1:A163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4" s="4" t="str">
        <f t="shared" si="1"/>
        <v/>
      </c>
      <c r="C164" s="4" t="str">
        <f t="array" ref="C164">IF(B164="","",IF(A164=XLOOKUP(A$2,Implementos!B:B,Implementos!C:C,"",0,1),B164+maxifs(B$1:B163,A$1:A163,A$2),B164))</f>
        <v/>
      </c>
      <c r="D164" s="4" t="str">
        <f>IF(B164="","", COUNTIFS(Productos!F:F,A164,Productos!H:H,B164)+IF(F164="SI",0,1))</f>
        <v/>
      </c>
      <c r="E164" s="4" t="str">
        <f>IFERROR(__xludf.DUMMYFUNCTION("IF($B164="""","""",INDEX(filter(Familias!F:F,Familias!$D:$D=$A164,Familias!$E:$E=$B164),1))"),"")</f>
        <v/>
      </c>
      <c r="F164" s="4" t="str">
        <f>IFERROR(__xludf.DUMMYFUNCTION("IF($B164="""","""",INDEX(filter(Familias!G:G,Familias!$D:$D=$A164,Familias!$E:$E=$B164),1))"),"")</f>
        <v/>
      </c>
      <c r="G164" s="4" t="str">
        <f t="array" ref="G164">IF(C164=1,XLOOKUP(C164,Cotizador!D:D,Cotizador!E:E,"",0,1),"")</f>
        <v/>
      </c>
      <c r="I164" s="4"/>
      <c r="J164" s="8" t="str">
        <f>IF(I164="","",SUMIF(Cotizador!I$1:V$1,I164,Cotizador!I$2:V$2))</f>
        <v/>
      </c>
      <c r="L164" s="4" t="str">
        <f t="array" ref="L164">IF(COUNTIF(L$1:L163,A$2)=SUMIF(A:A,A$2,D:D),IF(COUNTIF(L$1:L163,XLOOKUP(A$2,Implementos!B:B,Implementos!C:C,"",0,1))=SUMIF(A:A,XLOOKUP(A$2,Implementos!B:B,Implementos!C:C,"",0,1),D:D),"",XLOOKUP(A$2,Implementos!B:B,Implementos!C:C,"",0,1)),A$2)</f>
        <v/>
      </c>
      <c r="M164" s="4" t="str">
        <f t="shared" si="2"/>
        <v/>
      </c>
      <c r="N164" s="4" t="str">
        <f t="shared" si="3"/>
        <v/>
      </c>
      <c r="O164" s="4" t="str">
        <f t="shared" si="4"/>
        <v/>
      </c>
      <c r="P164" s="4" t="str">
        <f t="shared" si="5"/>
        <v/>
      </c>
      <c r="Q164" s="4" t="str">
        <f>IF(U164="","",SUMIF(Productos!E:E,U164,Productos!A:A))</f>
        <v/>
      </c>
      <c r="R164" s="4" t="str">
        <f t="array" ref="R164">IF(L164="","", max(1,SUMIF(I:I,XLOOKUP(U164,Productos!E:E,Productos!G:G,"",0,1),J:J)))</f>
        <v/>
      </c>
      <c r="S164" s="4" t="str">
        <f>IF(Q164="","",IF(SUMIFS(Compat_Vetado!D:D,Compat_Vetado!B:B,SUM(G:G),Compat_Vetado!C:C,Q164)=1,"SI",IF(OR(SUMIF(Cotizador!E:E,Q164,Cotizador!G:G)&gt;0,SUMIFS(Compat_Vetado!D:D,Compat_Vetado!B:B,SUM(G:G),Compat_Vetado!C:C,Q164)=-1),"NO","")))</f>
        <v/>
      </c>
      <c r="T164" s="4" t="str">
        <f t="shared" si="6"/>
        <v/>
      </c>
      <c r="U164" s="4" t="str">
        <f>IFERROR(__xludf.DUMMYFUNCTION("IF(P164="""","""",IFERROR(INDEX(filter(Productos!E:E,Productos!F:F=L164,Productos!H:H=N164),P164),IF(M164=SUM(D:D),""Finalizar"",""-"")))"),"")</f>
        <v/>
      </c>
      <c r="V164" s="4" t="str">
        <f>IFERROR(__xludf.DUMMYFUNCTION("IF(OR($U164="""",COUNTIF($I:$I,IFERROR(unique(filter(Prod_Prop!$H:$H,Prod_Prop!$G:$G=$U164,Prod_Prop!$E:$E=V$1)),""Check""))=0),"""",IFERROR(unique(filter(Prod_Prop!$H:$H,Prod_Prop!$G:$G=$U164,Prod_Prop!$E:$E=V$1)),""""))"),"")</f>
        <v/>
      </c>
      <c r="W164" s="4" t="str">
        <f>IF(V164="","",SUMIFS(Prod_Prop!$J:$J,Prod_Prop!$B:$B,$Q164,Prod_Prop!$H:$H,V164,Prod_Prop!$I:$I,W$1)*IF(V164="Peso",$R164,1))</f>
        <v/>
      </c>
      <c r="X164" s="4" t="str">
        <f>IF(V164="","",SUMIFS(Prod_Prop!$J:$J,Prod_Prop!$B:$B,$Q164,Prod_Prop!$H:$H,V164,Prod_Prop!$I:$I,X$1)*IF(V164="Peso",$R164,1))</f>
        <v/>
      </c>
      <c r="Y164" s="4" t="str">
        <f>IFERROR(__xludf.DUMMYFUNCTION("IF(OR($U164="""",COUNTIF($I:$I,IFERROR(unique(filter(Prod_Prop!$H:$H,Prod_Prop!$G:$G=$U164,Prod_Prop!$E:$E=Y$1)),""Check""))=0),"""",IFERROR(unique(filter(Prod_Prop!$H:$H,Prod_Prop!$G:$G=$U164,Prod_Prop!$E:$E=Y$1)),""""))"),"")</f>
        <v/>
      </c>
      <c r="Z164" s="4" t="str">
        <f>IF(Y164="","",SUMIFS(Prod_Prop!$J:$J,Prod_Prop!$B:$B,$Q164,Prod_Prop!$H:$H,Y164,Prod_Prop!$I:$I,Z$1)*IF(Y164="Peso",$R164,1))</f>
        <v/>
      </c>
      <c r="AA164" s="4" t="str">
        <f>IF(Y164="","",SUMIFS(Prod_Prop!$J:$J,Prod_Prop!$B:$B,$Q164,Prod_Prop!$H:$H,Y164,Prod_Prop!$I:$I,AA$1)*IF(Y164="Peso",$R164,1))</f>
        <v/>
      </c>
      <c r="AB164" s="4" t="str">
        <f>IFERROR(__xludf.DUMMYFUNCTION("IF(OR($U164="""",COUNTIF($I:$I,IFERROR(unique(filter(Prod_Prop!$H:$H,Prod_Prop!$G:$G=$U164,Prod_Prop!$E:$E=AB$1)),""Check""))=0),"""",IFERROR(unique(filter(Prod_Prop!$H:$H,Prod_Prop!$G:$G=$U164,Prod_Prop!$E:$E=AB$1)),""""))"),"")</f>
        <v/>
      </c>
      <c r="AC164" s="4" t="str">
        <f>IF(AB164="","",SUMIFS(Prod_Prop!$J:$J,Prod_Prop!$B:$B,$Q164,Prod_Prop!$H:$H,AB164,Prod_Prop!$I:$I,AC$1)*IF(AB164="Peso",$R164,1))</f>
        <v/>
      </c>
      <c r="AD164" s="4" t="str">
        <f>IF(AB164="","",SUMIFS(Prod_Prop!$J:$J,Prod_Prop!$B:$B,$Q164,Prod_Prop!$H:$H,AB164,Prod_Prop!$I:$I,AD$1)*IF(AB164="Peso",$R164,1))</f>
        <v/>
      </c>
    </row>
    <row r="165">
      <c r="A165" s="4" t="str">
        <f t="array" ref="A165">IF(COUNTIF(A$1:A164,Cotizador!F$2)=maxifs(Familias!E:E,Familias!D:D,Cotizador!F$2),IF(COUNTIF(A$1:A164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5" s="4" t="str">
        <f t="shared" si="1"/>
        <v/>
      </c>
      <c r="C165" s="4" t="str">
        <f t="array" ref="C165">IF(B165="","",IF(A165=XLOOKUP(A$2,Implementos!B:B,Implementos!C:C,"",0,1),B165+maxifs(B$1:B164,A$1:A164,A$2),B165))</f>
        <v/>
      </c>
      <c r="D165" s="4" t="str">
        <f>IF(B165="","", COUNTIFS(Productos!F:F,A165,Productos!H:H,B165)+IF(F165="SI",0,1))</f>
        <v/>
      </c>
      <c r="E165" s="4" t="str">
        <f>IFERROR(__xludf.DUMMYFUNCTION("IF($B165="""","""",INDEX(filter(Familias!F:F,Familias!$D:$D=$A165,Familias!$E:$E=$B165),1))"),"")</f>
        <v/>
      </c>
      <c r="F165" s="4" t="str">
        <f>IFERROR(__xludf.DUMMYFUNCTION("IF($B165="""","""",INDEX(filter(Familias!G:G,Familias!$D:$D=$A165,Familias!$E:$E=$B165),1))"),"")</f>
        <v/>
      </c>
      <c r="G165" s="4" t="str">
        <f t="array" ref="G165">IF(C165=1,XLOOKUP(C165,Cotizador!D:D,Cotizador!E:E,"",0,1),"")</f>
        <v/>
      </c>
      <c r="I165" s="4"/>
      <c r="J165" s="8" t="str">
        <f>IF(I165="","",SUMIF(Cotizador!I$1:V$1,I165,Cotizador!I$2:V$2))</f>
        <v/>
      </c>
      <c r="L165" s="4" t="str">
        <f t="array" ref="L165">IF(COUNTIF(L$1:L164,A$2)=SUMIF(A:A,A$2,D:D),IF(COUNTIF(L$1:L164,XLOOKUP(A$2,Implementos!B:B,Implementos!C:C,"",0,1))=SUMIF(A:A,XLOOKUP(A$2,Implementos!B:B,Implementos!C:C,"",0,1),D:D),"",XLOOKUP(A$2,Implementos!B:B,Implementos!C:C,"",0,1)),A$2)</f>
        <v/>
      </c>
      <c r="M165" s="4" t="str">
        <f t="shared" si="2"/>
        <v/>
      </c>
      <c r="N165" s="4" t="str">
        <f t="shared" si="3"/>
        <v/>
      </c>
      <c r="O165" s="4" t="str">
        <f t="shared" si="4"/>
        <v/>
      </c>
      <c r="P165" s="4" t="str">
        <f t="shared" si="5"/>
        <v/>
      </c>
      <c r="Q165" s="4" t="str">
        <f>IF(U165="","",SUMIF(Productos!E:E,U165,Productos!A:A))</f>
        <v/>
      </c>
      <c r="R165" s="4" t="str">
        <f t="array" ref="R165">IF(L165="","", max(1,SUMIF(I:I,XLOOKUP(U165,Productos!E:E,Productos!G:G,"",0,1),J:J)))</f>
        <v/>
      </c>
      <c r="S165" s="4" t="str">
        <f>IF(Q165="","",IF(SUMIFS(Compat_Vetado!D:D,Compat_Vetado!B:B,SUM(G:G),Compat_Vetado!C:C,Q165)=1,"SI",IF(OR(SUMIF(Cotizador!E:E,Q165,Cotizador!G:G)&gt;0,SUMIFS(Compat_Vetado!D:D,Compat_Vetado!B:B,SUM(G:G),Compat_Vetado!C:C,Q165)=-1),"NO","")))</f>
        <v/>
      </c>
      <c r="T165" s="4" t="str">
        <f t="shared" si="6"/>
        <v/>
      </c>
      <c r="U165" s="4" t="str">
        <f>IFERROR(__xludf.DUMMYFUNCTION("IF(P165="""","""",IFERROR(INDEX(filter(Productos!E:E,Productos!F:F=L165,Productos!H:H=N165),P165),IF(M165=SUM(D:D),""Finalizar"",""-"")))"),"")</f>
        <v/>
      </c>
      <c r="V165" s="4" t="str">
        <f>IFERROR(__xludf.DUMMYFUNCTION("IF(OR($U165="""",COUNTIF($I:$I,IFERROR(unique(filter(Prod_Prop!$H:$H,Prod_Prop!$G:$G=$U165,Prod_Prop!$E:$E=V$1)),""Check""))=0),"""",IFERROR(unique(filter(Prod_Prop!$H:$H,Prod_Prop!$G:$G=$U165,Prod_Prop!$E:$E=V$1)),""""))"),"")</f>
        <v/>
      </c>
      <c r="W165" s="4" t="str">
        <f>IF(V165="","",SUMIFS(Prod_Prop!$J:$J,Prod_Prop!$B:$B,$Q165,Prod_Prop!$H:$H,V165,Prod_Prop!$I:$I,W$1)*IF(V165="Peso",$R165,1))</f>
        <v/>
      </c>
      <c r="X165" s="4" t="str">
        <f>IF(V165="","",SUMIFS(Prod_Prop!$J:$J,Prod_Prop!$B:$B,$Q165,Prod_Prop!$H:$H,V165,Prod_Prop!$I:$I,X$1)*IF(V165="Peso",$R165,1))</f>
        <v/>
      </c>
      <c r="Y165" s="4" t="str">
        <f>IFERROR(__xludf.DUMMYFUNCTION("IF(OR($U165="""",COUNTIF($I:$I,IFERROR(unique(filter(Prod_Prop!$H:$H,Prod_Prop!$G:$G=$U165,Prod_Prop!$E:$E=Y$1)),""Check""))=0),"""",IFERROR(unique(filter(Prod_Prop!$H:$H,Prod_Prop!$G:$G=$U165,Prod_Prop!$E:$E=Y$1)),""""))"),"")</f>
        <v/>
      </c>
      <c r="Z165" s="4" t="str">
        <f>IF(Y165="","",SUMIFS(Prod_Prop!$J:$J,Prod_Prop!$B:$B,$Q165,Prod_Prop!$H:$H,Y165,Prod_Prop!$I:$I,Z$1)*IF(Y165="Peso",$R165,1))</f>
        <v/>
      </c>
      <c r="AA165" s="4" t="str">
        <f>IF(Y165="","",SUMIFS(Prod_Prop!$J:$J,Prod_Prop!$B:$B,$Q165,Prod_Prop!$H:$H,Y165,Prod_Prop!$I:$I,AA$1)*IF(Y165="Peso",$R165,1))</f>
        <v/>
      </c>
      <c r="AB165" s="4" t="str">
        <f>IFERROR(__xludf.DUMMYFUNCTION("IF(OR($U165="""",COUNTIF($I:$I,IFERROR(unique(filter(Prod_Prop!$H:$H,Prod_Prop!$G:$G=$U165,Prod_Prop!$E:$E=AB$1)),""Check""))=0),"""",IFERROR(unique(filter(Prod_Prop!$H:$H,Prod_Prop!$G:$G=$U165,Prod_Prop!$E:$E=AB$1)),""""))"),"")</f>
        <v/>
      </c>
      <c r="AC165" s="4" t="str">
        <f>IF(AB165="","",SUMIFS(Prod_Prop!$J:$J,Prod_Prop!$B:$B,$Q165,Prod_Prop!$H:$H,AB165,Prod_Prop!$I:$I,AC$1)*IF(AB165="Peso",$R165,1))</f>
        <v/>
      </c>
      <c r="AD165" s="4" t="str">
        <f>IF(AB165="","",SUMIFS(Prod_Prop!$J:$J,Prod_Prop!$B:$B,$Q165,Prod_Prop!$H:$H,AB165,Prod_Prop!$I:$I,AD$1)*IF(AB165="Peso",$R165,1))</f>
        <v/>
      </c>
    </row>
    <row r="166">
      <c r="A166" s="4" t="str">
        <f t="array" ref="A166">IF(COUNTIF(A$1:A165,Cotizador!F$2)=maxifs(Familias!E:E,Familias!D:D,Cotizador!F$2),IF(COUNTIF(A$1:A165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6" s="4" t="str">
        <f t="shared" si="1"/>
        <v/>
      </c>
      <c r="C166" s="4" t="str">
        <f t="array" ref="C166">IF(B166="","",IF(A166=XLOOKUP(A$2,Implementos!B:B,Implementos!C:C,"",0,1),B166+maxifs(B$1:B165,A$1:A165,A$2),B166))</f>
        <v/>
      </c>
      <c r="D166" s="4" t="str">
        <f>IF(B166="","", COUNTIFS(Productos!F:F,A166,Productos!H:H,B166)+IF(F166="SI",0,1))</f>
        <v/>
      </c>
      <c r="E166" s="4" t="str">
        <f>IFERROR(__xludf.DUMMYFUNCTION("IF($B166="""","""",INDEX(filter(Familias!F:F,Familias!$D:$D=$A166,Familias!$E:$E=$B166),1))"),"")</f>
        <v/>
      </c>
      <c r="F166" s="4" t="str">
        <f>IFERROR(__xludf.DUMMYFUNCTION("IF($B166="""","""",INDEX(filter(Familias!G:G,Familias!$D:$D=$A166,Familias!$E:$E=$B166),1))"),"")</f>
        <v/>
      </c>
      <c r="G166" s="4" t="str">
        <f t="array" ref="G166">IF(C166=1,XLOOKUP(C166,Cotizador!D:D,Cotizador!E:E,"",0,1),"")</f>
        <v/>
      </c>
      <c r="I166" s="4"/>
      <c r="J166" s="8" t="str">
        <f>IF(I166="","",SUMIF(Cotizador!I$1:V$1,I166,Cotizador!I$2:V$2))</f>
        <v/>
      </c>
      <c r="L166" s="4" t="str">
        <f t="array" ref="L166">IF(COUNTIF(L$1:L165,A$2)=SUMIF(A:A,A$2,D:D),IF(COUNTIF(L$1:L165,XLOOKUP(A$2,Implementos!B:B,Implementos!C:C,"",0,1))=SUMIF(A:A,XLOOKUP(A$2,Implementos!B:B,Implementos!C:C,"",0,1),D:D),"",XLOOKUP(A$2,Implementos!B:B,Implementos!C:C,"",0,1)),A$2)</f>
        <v/>
      </c>
      <c r="M166" s="4" t="str">
        <f t="shared" si="2"/>
        <v/>
      </c>
      <c r="N166" s="4" t="str">
        <f t="shared" si="3"/>
        <v/>
      </c>
      <c r="O166" s="4" t="str">
        <f t="shared" si="4"/>
        <v/>
      </c>
      <c r="P166" s="4" t="str">
        <f t="shared" si="5"/>
        <v/>
      </c>
      <c r="Q166" s="4" t="str">
        <f>IF(U166="","",SUMIF(Productos!E:E,U166,Productos!A:A))</f>
        <v/>
      </c>
      <c r="R166" s="4" t="str">
        <f t="array" ref="R166">IF(L166="","", max(1,SUMIF(I:I,XLOOKUP(U166,Productos!E:E,Productos!G:G,"",0,1),J:J)))</f>
        <v/>
      </c>
      <c r="S166" s="4" t="str">
        <f>IF(Q166="","",IF(SUMIFS(Compat_Vetado!D:D,Compat_Vetado!B:B,SUM(G:G),Compat_Vetado!C:C,Q166)=1,"SI",IF(OR(SUMIF(Cotizador!E:E,Q166,Cotizador!G:G)&gt;0,SUMIFS(Compat_Vetado!D:D,Compat_Vetado!B:B,SUM(G:G),Compat_Vetado!C:C,Q166)=-1),"NO","")))</f>
        <v/>
      </c>
      <c r="T166" s="4" t="str">
        <f t="shared" si="6"/>
        <v/>
      </c>
      <c r="U166" s="4" t="str">
        <f>IFERROR(__xludf.DUMMYFUNCTION("IF(P166="""","""",IFERROR(INDEX(filter(Productos!E:E,Productos!F:F=L166,Productos!H:H=N166),P166),IF(M166=SUM(D:D),""Finalizar"",""-"")))"),"")</f>
        <v/>
      </c>
      <c r="V166" s="4" t="str">
        <f>IFERROR(__xludf.DUMMYFUNCTION("IF(OR($U166="""",COUNTIF($I:$I,IFERROR(unique(filter(Prod_Prop!$H:$H,Prod_Prop!$G:$G=$U166,Prod_Prop!$E:$E=V$1)),""Check""))=0),"""",IFERROR(unique(filter(Prod_Prop!$H:$H,Prod_Prop!$G:$G=$U166,Prod_Prop!$E:$E=V$1)),""""))"),"")</f>
        <v/>
      </c>
      <c r="W166" s="4" t="str">
        <f>IF(V166="","",SUMIFS(Prod_Prop!$J:$J,Prod_Prop!$B:$B,$Q166,Prod_Prop!$H:$H,V166,Prod_Prop!$I:$I,W$1)*IF(V166="Peso",$R166,1))</f>
        <v/>
      </c>
      <c r="X166" s="4" t="str">
        <f>IF(V166="","",SUMIFS(Prod_Prop!$J:$J,Prod_Prop!$B:$B,$Q166,Prod_Prop!$H:$H,V166,Prod_Prop!$I:$I,X$1)*IF(V166="Peso",$R166,1))</f>
        <v/>
      </c>
      <c r="Y166" s="4" t="str">
        <f>IFERROR(__xludf.DUMMYFUNCTION("IF(OR($U166="""",COUNTIF($I:$I,IFERROR(unique(filter(Prod_Prop!$H:$H,Prod_Prop!$G:$G=$U166,Prod_Prop!$E:$E=Y$1)),""Check""))=0),"""",IFERROR(unique(filter(Prod_Prop!$H:$H,Prod_Prop!$G:$G=$U166,Prod_Prop!$E:$E=Y$1)),""""))"),"")</f>
        <v/>
      </c>
      <c r="Z166" s="4" t="str">
        <f>IF(Y166="","",SUMIFS(Prod_Prop!$J:$J,Prod_Prop!$B:$B,$Q166,Prod_Prop!$H:$H,Y166,Prod_Prop!$I:$I,Z$1)*IF(Y166="Peso",$R166,1))</f>
        <v/>
      </c>
      <c r="AA166" s="4" t="str">
        <f>IF(Y166="","",SUMIFS(Prod_Prop!$J:$J,Prod_Prop!$B:$B,$Q166,Prod_Prop!$H:$H,Y166,Prod_Prop!$I:$I,AA$1)*IF(Y166="Peso",$R166,1))</f>
        <v/>
      </c>
      <c r="AB166" s="4" t="str">
        <f>IFERROR(__xludf.DUMMYFUNCTION("IF(OR($U166="""",COUNTIF($I:$I,IFERROR(unique(filter(Prod_Prop!$H:$H,Prod_Prop!$G:$G=$U166,Prod_Prop!$E:$E=AB$1)),""Check""))=0),"""",IFERROR(unique(filter(Prod_Prop!$H:$H,Prod_Prop!$G:$G=$U166,Prod_Prop!$E:$E=AB$1)),""""))"),"")</f>
        <v/>
      </c>
      <c r="AC166" s="4" t="str">
        <f>IF(AB166="","",SUMIFS(Prod_Prop!$J:$J,Prod_Prop!$B:$B,$Q166,Prod_Prop!$H:$H,AB166,Prod_Prop!$I:$I,AC$1)*IF(AB166="Peso",$R166,1))</f>
        <v/>
      </c>
      <c r="AD166" s="4" t="str">
        <f>IF(AB166="","",SUMIFS(Prod_Prop!$J:$J,Prod_Prop!$B:$B,$Q166,Prod_Prop!$H:$H,AB166,Prod_Prop!$I:$I,AD$1)*IF(AB166="Peso",$R166,1))</f>
        <v/>
      </c>
    </row>
    <row r="167">
      <c r="A167" s="4" t="str">
        <f t="array" ref="A167">IF(COUNTIF(A$1:A166,Cotizador!F$2)=maxifs(Familias!E:E,Familias!D:D,Cotizador!F$2),IF(COUNTIF(A$1:A166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7" s="4" t="str">
        <f t="shared" si="1"/>
        <v/>
      </c>
      <c r="C167" s="4" t="str">
        <f t="array" ref="C167">IF(B167="","",IF(A167=XLOOKUP(A$2,Implementos!B:B,Implementos!C:C,"",0,1),B167+maxifs(B$1:B166,A$1:A166,A$2),B167))</f>
        <v/>
      </c>
      <c r="D167" s="4" t="str">
        <f>IF(B167="","", COUNTIFS(Productos!F:F,A167,Productos!H:H,B167)+IF(F167="SI",0,1))</f>
        <v/>
      </c>
      <c r="E167" s="4" t="str">
        <f>IFERROR(__xludf.DUMMYFUNCTION("IF($B167="""","""",INDEX(filter(Familias!F:F,Familias!$D:$D=$A167,Familias!$E:$E=$B167),1))"),"")</f>
        <v/>
      </c>
      <c r="F167" s="4" t="str">
        <f>IFERROR(__xludf.DUMMYFUNCTION("IF($B167="""","""",INDEX(filter(Familias!G:G,Familias!$D:$D=$A167,Familias!$E:$E=$B167),1))"),"")</f>
        <v/>
      </c>
      <c r="G167" s="4" t="str">
        <f t="array" ref="G167">IF(C167=1,XLOOKUP(C167,Cotizador!D:D,Cotizador!E:E,"",0,1),"")</f>
        <v/>
      </c>
      <c r="I167" s="4"/>
      <c r="J167" s="8" t="str">
        <f>IF(I167="","",SUMIF(Cotizador!I$1:V$1,I167,Cotizador!I$2:V$2))</f>
        <v/>
      </c>
      <c r="L167" s="4" t="str">
        <f t="array" ref="L167">IF(COUNTIF(L$1:L166,A$2)=SUMIF(A:A,A$2,D:D),IF(COUNTIF(L$1:L166,XLOOKUP(A$2,Implementos!B:B,Implementos!C:C,"",0,1))=SUMIF(A:A,XLOOKUP(A$2,Implementos!B:B,Implementos!C:C,"",0,1),D:D),"",XLOOKUP(A$2,Implementos!B:B,Implementos!C:C,"",0,1)),A$2)</f>
        <v/>
      </c>
      <c r="M167" s="4" t="str">
        <f t="shared" si="2"/>
        <v/>
      </c>
      <c r="N167" s="4" t="str">
        <f t="shared" si="3"/>
        <v/>
      </c>
      <c r="O167" s="4" t="str">
        <f t="shared" si="4"/>
        <v/>
      </c>
      <c r="P167" s="4" t="str">
        <f t="shared" si="5"/>
        <v/>
      </c>
      <c r="Q167" s="4" t="str">
        <f>IF(U167="","",SUMIF(Productos!E:E,U167,Productos!A:A))</f>
        <v/>
      </c>
      <c r="R167" s="4" t="str">
        <f t="array" ref="R167">IF(L167="","", max(1,SUMIF(I:I,XLOOKUP(U167,Productos!E:E,Productos!G:G,"",0,1),J:J)))</f>
        <v/>
      </c>
      <c r="S167" s="4" t="str">
        <f>IF(Q167="","",IF(SUMIFS(Compat_Vetado!D:D,Compat_Vetado!B:B,SUM(G:G),Compat_Vetado!C:C,Q167)=1,"SI",IF(OR(SUMIF(Cotizador!E:E,Q167,Cotizador!G:G)&gt;0,SUMIFS(Compat_Vetado!D:D,Compat_Vetado!B:B,SUM(G:G),Compat_Vetado!C:C,Q167)=-1),"NO","")))</f>
        <v/>
      </c>
      <c r="T167" s="4" t="str">
        <f t="shared" si="6"/>
        <v/>
      </c>
      <c r="U167" s="4" t="str">
        <f>IFERROR(__xludf.DUMMYFUNCTION("IF(P167="""","""",IFERROR(INDEX(filter(Productos!E:E,Productos!F:F=L167,Productos!H:H=N167),P167),IF(M167=SUM(D:D),""Finalizar"",""-"")))"),"")</f>
        <v/>
      </c>
      <c r="V167" s="4" t="str">
        <f>IFERROR(__xludf.DUMMYFUNCTION("IF(OR($U167="""",COUNTIF($I:$I,IFERROR(unique(filter(Prod_Prop!$H:$H,Prod_Prop!$G:$G=$U167,Prod_Prop!$E:$E=V$1)),""Check""))=0),"""",IFERROR(unique(filter(Prod_Prop!$H:$H,Prod_Prop!$G:$G=$U167,Prod_Prop!$E:$E=V$1)),""""))"),"")</f>
        <v/>
      </c>
      <c r="W167" s="4" t="str">
        <f>IF(V167="","",SUMIFS(Prod_Prop!$J:$J,Prod_Prop!$B:$B,$Q167,Prod_Prop!$H:$H,V167,Prod_Prop!$I:$I,W$1)*IF(V167="Peso",$R167,1))</f>
        <v/>
      </c>
      <c r="X167" s="4" t="str">
        <f>IF(V167="","",SUMIFS(Prod_Prop!$J:$J,Prod_Prop!$B:$B,$Q167,Prod_Prop!$H:$H,V167,Prod_Prop!$I:$I,X$1)*IF(V167="Peso",$R167,1))</f>
        <v/>
      </c>
      <c r="Y167" s="4" t="str">
        <f>IFERROR(__xludf.DUMMYFUNCTION("IF(OR($U167="""",COUNTIF($I:$I,IFERROR(unique(filter(Prod_Prop!$H:$H,Prod_Prop!$G:$G=$U167,Prod_Prop!$E:$E=Y$1)),""Check""))=0),"""",IFERROR(unique(filter(Prod_Prop!$H:$H,Prod_Prop!$G:$G=$U167,Prod_Prop!$E:$E=Y$1)),""""))"),"")</f>
        <v/>
      </c>
      <c r="Z167" s="4" t="str">
        <f>IF(Y167="","",SUMIFS(Prod_Prop!$J:$J,Prod_Prop!$B:$B,$Q167,Prod_Prop!$H:$H,Y167,Prod_Prop!$I:$I,Z$1)*IF(Y167="Peso",$R167,1))</f>
        <v/>
      </c>
      <c r="AA167" s="4" t="str">
        <f>IF(Y167="","",SUMIFS(Prod_Prop!$J:$J,Prod_Prop!$B:$B,$Q167,Prod_Prop!$H:$H,Y167,Prod_Prop!$I:$I,AA$1)*IF(Y167="Peso",$R167,1))</f>
        <v/>
      </c>
      <c r="AB167" s="4" t="str">
        <f>IFERROR(__xludf.DUMMYFUNCTION("IF(OR($U167="""",COUNTIF($I:$I,IFERROR(unique(filter(Prod_Prop!$H:$H,Prod_Prop!$G:$G=$U167,Prod_Prop!$E:$E=AB$1)),""Check""))=0),"""",IFERROR(unique(filter(Prod_Prop!$H:$H,Prod_Prop!$G:$G=$U167,Prod_Prop!$E:$E=AB$1)),""""))"),"")</f>
        <v/>
      </c>
      <c r="AC167" s="4" t="str">
        <f>IF(AB167="","",SUMIFS(Prod_Prop!$J:$J,Prod_Prop!$B:$B,$Q167,Prod_Prop!$H:$H,AB167,Prod_Prop!$I:$I,AC$1)*IF(AB167="Peso",$R167,1))</f>
        <v/>
      </c>
      <c r="AD167" s="4" t="str">
        <f>IF(AB167="","",SUMIFS(Prod_Prop!$J:$J,Prod_Prop!$B:$B,$Q167,Prod_Prop!$H:$H,AB167,Prod_Prop!$I:$I,AD$1)*IF(AB167="Peso",$R167,1))</f>
        <v/>
      </c>
    </row>
    <row r="168">
      <c r="A168" s="4" t="str">
        <f t="array" ref="A168">IF(COUNTIF(A$1:A167,Cotizador!F$2)=maxifs(Familias!E:E,Familias!D:D,Cotizador!F$2),IF(COUNTIF(A$1:A167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8" s="4" t="str">
        <f t="shared" si="1"/>
        <v/>
      </c>
      <c r="C168" s="4" t="str">
        <f t="array" ref="C168">IF(B168="","",IF(A168=XLOOKUP(A$2,Implementos!B:B,Implementos!C:C,"",0,1),B168+maxifs(B$1:B167,A$1:A167,A$2),B168))</f>
        <v/>
      </c>
      <c r="D168" s="4" t="str">
        <f>IF(B168="","", COUNTIFS(Productos!F:F,A168,Productos!H:H,B168)+IF(F168="SI",0,1))</f>
        <v/>
      </c>
      <c r="E168" s="4" t="str">
        <f>IFERROR(__xludf.DUMMYFUNCTION("IF($B168="""","""",INDEX(filter(Familias!F:F,Familias!$D:$D=$A168,Familias!$E:$E=$B168),1))"),"")</f>
        <v/>
      </c>
      <c r="F168" s="4" t="str">
        <f>IFERROR(__xludf.DUMMYFUNCTION("IF($B168="""","""",INDEX(filter(Familias!G:G,Familias!$D:$D=$A168,Familias!$E:$E=$B168),1))"),"")</f>
        <v/>
      </c>
      <c r="G168" s="4" t="str">
        <f t="array" ref="G168">IF(C168=1,XLOOKUP(C168,Cotizador!D:D,Cotizador!E:E,"",0,1),"")</f>
        <v/>
      </c>
      <c r="I168" s="4"/>
      <c r="J168" s="8" t="str">
        <f>IF(I168="","",SUMIF(Cotizador!I$1:V$1,I168,Cotizador!I$2:V$2))</f>
        <v/>
      </c>
      <c r="L168" s="4" t="str">
        <f t="array" ref="L168">IF(COUNTIF(L$1:L167,A$2)=SUMIF(A:A,A$2,D:D),IF(COUNTIF(L$1:L167,XLOOKUP(A$2,Implementos!B:B,Implementos!C:C,"",0,1))=SUMIF(A:A,XLOOKUP(A$2,Implementos!B:B,Implementos!C:C,"",0,1),D:D),"",XLOOKUP(A$2,Implementos!B:B,Implementos!C:C,"",0,1)),A$2)</f>
        <v/>
      </c>
      <c r="M168" s="4" t="str">
        <f t="shared" si="2"/>
        <v/>
      </c>
      <c r="N168" s="4" t="str">
        <f t="shared" si="3"/>
        <v/>
      </c>
      <c r="O168" s="4" t="str">
        <f t="shared" si="4"/>
        <v/>
      </c>
      <c r="P168" s="4" t="str">
        <f t="shared" si="5"/>
        <v/>
      </c>
      <c r="Q168" s="4" t="str">
        <f>IF(U168="","",SUMIF(Productos!E:E,U168,Productos!A:A))</f>
        <v/>
      </c>
      <c r="R168" s="4" t="str">
        <f t="array" ref="R168">IF(L168="","", max(1,SUMIF(I:I,XLOOKUP(U168,Productos!E:E,Productos!G:G,"",0,1),J:J)))</f>
        <v/>
      </c>
      <c r="S168" s="4" t="str">
        <f>IF(Q168="","",IF(SUMIFS(Compat_Vetado!D:D,Compat_Vetado!B:B,SUM(G:G),Compat_Vetado!C:C,Q168)=1,"SI",IF(OR(SUMIF(Cotizador!E:E,Q168,Cotizador!G:G)&gt;0,SUMIFS(Compat_Vetado!D:D,Compat_Vetado!B:B,SUM(G:G),Compat_Vetado!C:C,Q168)=-1),"NO","")))</f>
        <v/>
      </c>
      <c r="T168" s="4" t="str">
        <f t="shared" si="6"/>
        <v/>
      </c>
      <c r="U168" s="4" t="str">
        <f>IFERROR(__xludf.DUMMYFUNCTION("IF(P168="""","""",IFERROR(INDEX(filter(Productos!E:E,Productos!F:F=L168,Productos!H:H=N168),P168),IF(M168=SUM(D:D),""Finalizar"",""-"")))"),"")</f>
        <v/>
      </c>
      <c r="V168" s="4" t="str">
        <f>IFERROR(__xludf.DUMMYFUNCTION("IF(OR($U168="""",COUNTIF($I:$I,IFERROR(unique(filter(Prod_Prop!$H:$H,Prod_Prop!$G:$G=$U168,Prod_Prop!$E:$E=V$1)),""Check""))=0),"""",IFERROR(unique(filter(Prod_Prop!$H:$H,Prod_Prop!$G:$G=$U168,Prod_Prop!$E:$E=V$1)),""""))"),"")</f>
        <v/>
      </c>
      <c r="W168" s="4" t="str">
        <f>IF(V168="","",SUMIFS(Prod_Prop!$J:$J,Prod_Prop!$B:$B,$Q168,Prod_Prop!$H:$H,V168,Prod_Prop!$I:$I,W$1)*IF(V168="Peso",$R168,1))</f>
        <v/>
      </c>
      <c r="X168" s="4" t="str">
        <f>IF(V168="","",SUMIFS(Prod_Prop!$J:$J,Prod_Prop!$B:$B,$Q168,Prod_Prop!$H:$H,V168,Prod_Prop!$I:$I,X$1)*IF(V168="Peso",$R168,1))</f>
        <v/>
      </c>
      <c r="Y168" s="4" t="str">
        <f>IFERROR(__xludf.DUMMYFUNCTION("IF(OR($U168="""",COUNTIF($I:$I,IFERROR(unique(filter(Prod_Prop!$H:$H,Prod_Prop!$G:$G=$U168,Prod_Prop!$E:$E=Y$1)),""Check""))=0),"""",IFERROR(unique(filter(Prod_Prop!$H:$H,Prod_Prop!$G:$G=$U168,Prod_Prop!$E:$E=Y$1)),""""))"),"")</f>
        <v/>
      </c>
      <c r="Z168" s="4" t="str">
        <f>IF(Y168="","",SUMIFS(Prod_Prop!$J:$J,Prod_Prop!$B:$B,$Q168,Prod_Prop!$H:$H,Y168,Prod_Prop!$I:$I,Z$1)*IF(Y168="Peso",$R168,1))</f>
        <v/>
      </c>
      <c r="AA168" s="4" t="str">
        <f>IF(Y168="","",SUMIFS(Prod_Prop!$J:$J,Prod_Prop!$B:$B,$Q168,Prod_Prop!$H:$H,Y168,Prod_Prop!$I:$I,AA$1)*IF(Y168="Peso",$R168,1))</f>
        <v/>
      </c>
      <c r="AB168" s="4" t="str">
        <f>IFERROR(__xludf.DUMMYFUNCTION("IF(OR($U168="""",COUNTIF($I:$I,IFERROR(unique(filter(Prod_Prop!$H:$H,Prod_Prop!$G:$G=$U168,Prod_Prop!$E:$E=AB$1)),""Check""))=0),"""",IFERROR(unique(filter(Prod_Prop!$H:$H,Prod_Prop!$G:$G=$U168,Prod_Prop!$E:$E=AB$1)),""""))"),"")</f>
        <v/>
      </c>
      <c r="AC168" s="4" t="str">
        <f>IF(AB168="","",SUMIFS(Prod_Prop!$J:$J,Prod_Prop!$B:$B,$Q168,Prod_Prop!$H:$H,AB168,Prod_Prop!$I:$I,AC$1)*IF(AB168="Peso",$R168,1))</f>
        <v/>
      </c>
      <c r="AD168" s="4" t="str">
        <f>IF(AB168="","",SUMIFS(Prod_Prop!$J:$J,Prod_Prop!$B:$B,$Q168,Prod_Prop!$H:$H,AB168,Prod_Prop!$I:$I,AD$1)*IF(AB168="Peso",$R168,1))</f>
        <v/>
      </c>
    </row>
    <row r="169">
      <c r="A169" s="4" t="str">
        <f t="array" ref="A169">IF(COUNTIF(A$1:A168,Cotizador!F$2)=maxifs(Familias!E:E,Familias!D:D,Cotizador!F$2),IF(COUNTIF(A$1:A168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69" s="4" t="str">
        <f t="shared" si="1"/>
        <v/>
      </c>
      <c r="C169" s="4" t="str">
        <f t="array" ref="C169">IF(B169="","",IF(A169=XLOOKUP(A$2,Implementos!B:B,Implementos!C:C,"",0,1),B169+maxifs(B$1:B168,A$1:A168,A$2),B169))</f>
        <v/>
      </c>
      <c r="D169" s="4" t="str">
        <f>IF(B169="","", COUNTIFS(Productos!F:F,A169,Productos!H:H,B169)+IF(F169="SI",0,1))</f>
        <v/>
      </c>
      <c r="E169" s="4" t="str">
        <f>IFERROR(__xludf.DUMMYFUNCTION("IF($B169="""","""",INDEX(filter(Familias!F:F,Familias!$D:$D=$A169,Familias!$E:$E=$B169),1))"),"")</f>
        <v/>
      </c>
      <c r="F169" s="4" t="str">
        <f>IFERROR(__xludf.DUMMYFUNCTION("IF($B169="""","""",INDEX(filter(Familias!G:G,Familias!$D:$D=$A169,Familias!$E:$E=$B169),1))"),"")</f>
        <v/>
      </c>
      <c r="G169" s="4" t="str">
        <f t="array" ref="G169">IF(C169=1,XLOOKUP(C169,Cotizador!D:D,Cotizador!E:E,"",0,1),"")</f>
        <v/>
      </c>
      <c r="I169" s="4"/>
      <c r="J169" s="8" t="str">
        <f>IF(I169="","",SUMIF(Cotizador!I$1:V$1,I169,Cotizador!I$2:V$2))</f>
        <v/>
      </c>
      <c r="L169" s="4" t="str">
        <f t="array" ref="L169">IF(COUNTIF(L$1:L168,A$2)=SUMIF(A:A,A$2,D:D),IF(COUNTIF(L$1:L168,XLOOKUP(A$2,Implementos!B:B,Implementos!C:C,"",0,1))=SUMIF(A:A,XLOOKUP(A$2,Implementos!B:B,Implementos!C:C,"",0,1),D:D),"",XLOOKUP(A$2,Implementos!B:B,Implementos!C:C,"",0,1)),A$2)</f>
        <v/>
      </c>
      <c r="M169" s="4" t="str">
        <f t="shared" si="2"/>
        <v/>
      </c>
      <c r="N169" s="4" t="str">
        <f t="shared" si="3"/>
        <v/>
      </c>
      <c r="O169" s="4" t="str">
        <f t="shared" si="4"/>
        <v/>
      </c>
      <c r="P169" s="4" t="str">
        <f t="shared" si="5"/>
        <v/>
      </c>
      <c r="Q169" s="4" t="str">
        <f>IF(U169="","",SUMIF(Productos!E:E,U169,Productos!A:A))</f>
        <v/>
      </c>
      <c r="R169" s="4" t="str">
        <f t="array" ref="R169">IF(L169="","", max(1,SUMIF(I:I,XLOOKUP(U169,Productos!E:E,Productos!G:G,"",0,1),J:J)))</f>
        <v/>
      </c>
      <c r="S169" s="4" t="str">
        <f>IF(Q169="","",IF(SUMIFS(Compat_Vetado!D:D,Compat_Vetado!B:B,SUM(G:G),Compat_Vetado!C:C,Q169)=1,"SI",IF(OR(SUMIF(Cotizador!E:E,Q169,Cotizador!G:G)&gt;0,SUMIFS(Compat_Vetado!D:D,Compat_Vetado!B:B,SUM(G:G),Compat_Vetado!C:C,Q169)=-1),"NO","")))</f>
        <v/>
      </c>
      <c r="T169" s="4" t="str">
        <f t="shared" si="6"/>
        <v/>
      </c>
      <c r="U169" s="4" t="str">
        <f>IFERROR(__xludf.DUMMYFUNCTION("IF(P169="""","""",IFERROR(INDEX(filter(Productos!E:E,Productos!F:F=L169,Productos!H:H=N169),P169),IF(M169=SUM(D:D),""Finalizar"",""-"")))"),"")</f>
        <v/>
      </c>
      <c r="V169" s="4" t="str">
        <f>IFERROR(__xludf.DUMMYFUNCTION("IF(OR($U169="""",COUNTIF($I:$I,IFERROR(unique(filter(Prod_Prop!$H:$H,Prod_Prop!$G:$G=$U169,Prod_Prop!$E:$E=V$1)),""Check""))=0),"""",IFERROR(unique(filter(Prod_Prop!$H:$H,Prod_Prop!$G:$G=$U169,Prod_Prop!$E:$E=V$1)),""""))"),"")</f>
        <v/>
      </c>
      <c r="W169" s="4" t="str">
        <f>IF(V169="","",SUMIFS(Prod_Prop!$J:$J,Prod_Prop!$B:$B,$Q169,Prod_Prop!$H:$H,V169,Prod_Prop!$I:$I,W$1)*IF(V169="Peso",$R169,1))</f>
        <v/>
      </c>
      <c r="X169" s="4" t="str">
        <f>IF(V169="","",SUMIFS(Prod_Prop!$J:$J,Prod_Prop!$B:$B,$Q169,Prod_Prop!$H:$H,V169,Prod_Prop!$I:$I,X$1)*IF(V169="Peso",$R169,1))</f>
        <v/>
      </c>
      <c r="Y169" s="4" t="str">
        <f>IFERROR(__xludf.DUMMYFUNCTION("IF(OR($U169="""",COUNTIF($I:$I,IFERROR(unique(filter(Prod_Prop!$H:$H,Prod_Prop!$G:$G=$U169,Prod_Prop!$E:$E=Y$1)),""Check""))=0),"""",IFERROR(unique(filter(Prod_Prop!$H:$H,Prod_Prop!$G:$G=$U169,Prod_Prop!$E:$E=Y$1)),""""))"),"")</f>
        <v/>
      </c>
      <c r="Z169" s="4" t="str">
        <f>IF(Y169="","",SUMIFS(Prod_Prop!$J:$J,Prod_Prop!$B:$B,$Q169,Prod_Prop!$H:$H,Y169,Prod_Prop!$I:$I,Z$1)*IF(Y169="Peso",$R169,1))</f>
        <v/>
      </c>
      <c r="AA169" s="4" t="str">
        <f>IF(Y169="","",SUMIFS(Prod_Prop!$J:$J,Prod_Prop!$B:$B,$Q169,Prod_Prop!$H:$H,Y169,Prod_Prop!$I:$I,AA$1)*IF(Y169="Peso",$R169,1))</f>
        <v/>
      </c>
      <c r="AB169" s="4" t="str">
        <f>IFERROR(__xludf.DUMMYFUNCTION("IF(OR($U169="""",COUNTIF($I:$I,IFERROR(unique(filter(Prod_Prop!$H:$H,Prod_Prop!$G:$G=$U169,Prod_Prop!$E:$E=AB$1)),""Check""))=0),"""",IFERROR(unique(filter(Prod_Prop!$H:$H,Prod_Prop!$G:$G=$U169,Prod_Prop!$E:$E=AB$1)),""""))"),"")</f>
        <v/>
      </c>
      <c r="AC169" s="4" t="str">
        <f>IF(AB169="","",SUMIFS(Prod_Prop!$J:$J,Prod_Prop!$B:$B,$Q169,Prod_Prop!$H:$H,AB169,Prod_Prop!$I:$I,AC$1)*IF(AB169="Peso",$R169,1))</f>
        <v/>
      </c>
      <c r="AD169" s="4" t="str">
        <f>IF(AB169="","",SUMIFS(Prod_Prop!$J:$J,Prod_Prop!$B:$B,$Q169,Prod_Prop!$H:$H,AB169,Prod_Prop!$I:$I,AD$1)*IF(AB169="Peso",$R169,1))</f>
        <v/>
      </c>
    </row>
    <row r="170">
      <c r="A170" s="4" t="str">
        <f t="array" ref="A170">IF(COUNTIF(A$1:A169,Cotizador!F$2)=maxifs(Familias!E:E,Familias!D:D,Cotizador!F$2),IF(COUNTIF(A$1:A169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0" s="4" t="str">
        <f t="shared" si="1"/>
        <v/>
      </c>
      <c r="C170" s="4" t="str">
        <f t="array" ref="C170">IF(B170="","",IF(A170=XLOOKUP(A$2,Implementos!B:B,Implementos!C:C,"",0,1),B170+maxifs(B$1:B169,A$1:A169,A$2),B170))</f>
        <v/>
      </c>
      <c r="D170" s="4" t="str">
        <f>IF(B170="","", COUNTIFS(Productos!F:F,A170,Productos!H:H,B170)+IF(F170="SI",0,1))</f>
        <v/>
      </c>
      <c r="E170" s="4" t="str">
        <f>IFERROR(__xludf.DUMMYFUNCTION("IF($B170="""","""",INDEX(filter(Familias!F:F,Familias!$D:$D=$A170,Familias!$E:$E=$B170),1))"),"")</f>
        <v/>
      </c>
      <c r="F170" s="4" t="str">
        <f>IFERROR(__xludf.DUMMYFUNCTION("IF($B170="""","""",INDEX(filter(Familias!G:G,Familias!$D:$D=$A170,Familias!$E:$E=$B170),1))"),"")</f>
        <v/>
      </c>
      <c r="G170" s="4" t="str">
        <f t="array" ref="G170">IF(C170=1,XLOOKUP(C170,Cotizador!D:D,Cotizador!E:E,"",0,1),"")</f>
        <v/>
      </c>
      <c r="I170" s="4"/>
      <c r="J170" s="8" t="str">
        <f>IF(I170="","",SUMIF(Cotizador!I$1:V$1,I170,Cotizador!I$2:V$2))</f>
        <v/>
      </c>
      <c r="L170" s="4" t="str">
        <f t="array" ref="L170">IF(COUNTIF(L$1:L169,A$2)=SUMIF(A:A,A$2,D:D),IF(COUNTIF(L$1:L169,XLOOKUP(A$2,Implementos!B:B,Implementos!C:C,"",0,1))=SUMIF(A:A,XLOOKUP(A$2,Implementos!B:B,Implementos!C:C,"",0,1),D:D),"",XLOOKUP(A$2,Implementos!B:B,Implementos!C:C,"",0,1)),A$2)</f>
        <v/>
      </c>
      <c r="M170" s="4" t="str">
        <f t="shared" si="2"/>
        <v/>
      </c>
      <c r="N170" s="4" t="str">
        <f t="shared" si="3"/>
        <v/>
      </c>
      <c r="O170" s="4" t="str">
        <f t="shared" si="4"/>
        <v/>
      </c>
      <c r="P170" s="4" t="str">
        <f t="shared" si="5"/>
        <v/>
      </c>
      <c r="Q170" s="4" t="str">
        <f>IF(U170="","",SUMIF(Productos!E:E,U170,Productos!A:A))</f>
        <v/>
      </c>
      <c r="R170" s="4" t="str">
        <f t="array" ref="R170">IF(L170="","", max(1,SUMIF(I:I,XLOOKUP(U170,Productos!E:E,Productos!G:G,"",0,1),J:J)))</f>
        <v/>
      </c>
      <c r="S170" s="4" t="str">
        <f>IF(Q170="","",IF(SUMIFS(Compat_Vetado!D:D,Compat_Vetado!B:B,SUM(G:G),Compat_Vetado!C:C,Q170)=1,"SI",IF(OR(SUMIF(Cotizador!E:E,Q170,Cotizador!G:G)&gt;0,SUMIFS(Compat_Vetado!D:D,Compat_Vetado!B:B,SUM(G:G),Compat_Vetado!C:C,Q170)=-1),"NO","")))</f>
        <v/>
      </c>
      <c r="T170" s="4" t="str">
        <f t="shared" si="6"/>
        <v/>
      </c>
      <c r="U170" s="4" t="str">
        <f>IFERROR(__xludf.DUMMYFUNCTION("IF(P170="""","""",IFERROR(INDEX(filter(Productos!E:E,Productos!F:F=L170,Productos!H:H=N170),P170),IF(M170=SUM(D:D),""Finalizar"",""-"")))"),"")</f>
        <v/>
      </c>
      <c r="V170" s="4" t="str">
        <f>IFERROR(__xludf.DUMMYFUNCTION("IF(OR($U170="""",COUNTIF($I:$I,IFERROR(unique(filter(Prod_Prop!$H:$H,Prod_Prop!$G:$G=$U170,Prod_Prop!$E:$E=V$1)),""Check""))=0),"""",IFERROR(unique(filter(Prod_Prop!$H:$H,Prod_Prop!$G:$G=$U170,Prod_Prop!$E:$E=V$1)),""""))"),"")</f>
        <v/>
      </c>
      <c r="W170" s="4" t="str">
        <f>IF(V170="","",SUMIFS(Prod_Prop!$J:$J,Prod_Prop!$B:$B,$Q170,Prod_Prop!$H:$H,V170,Prod_Prop!$I:$I,W$1)*IF(V170="Peso",$R170,1))</f>
        <v/>
      </c>
      <c r="X170" s="4" t="str">
        <f>IF(V170="","",SUMIFS(Prod_Prop!$J:$J,Prod_Prop!$B:$B,$Q170,Prod_Prop!$H:$H,V170,Prod_Prop!$I:$I,X$1)*IF(V170="Peso",$R170,1))</f>
        <v/>
      </c>
      <c r="Y170" s="4" t="str">
        <f>IFERROR(__xludf.DUMMYFUNCTION("IF(OR($U170="""",COUNTIF($I:$I,IFERROR(unique(filter(Prod_Prop!$H:$H,Prod_Prop!$G:$G=$U170,Prod_Prop!$E:$E=Y$1)),""Check""))=0),"""",IFERROR(unique(filter(Prod_Prop!$H:$H,Prod_Prop!$G:$G=$U170,Prod_Prop!$E:$E=Y$1)),""""))"),"")</f>
        <v/>
      </c>
      <c r="Z170" s="4" t="str">
        <f>IF(Y170="","",SUMIFS(Prod_Prop!$J:$J,Prod_Prop!$B:$B,$Q170,Prod_Prop!$H:$H,Y170,Prod_Prop!$I:$I,Z$1)*IF(Y170="Peso",$R170,1))</f>
        <v/>
      </c>
      <c r="AA170" s="4" t="str">
        <f>IF(Y170="","",SUMIFS(Prod_Prop!$J:$J,Prod_Prop!$B:$B,$Q170,Prod_Prop!$H:$H,Y170,Prod_Prop!$I:$I,AA$1)*IF(Y170="Peso",$R170,1))</f>
        <v/>
      </c>
      <c r="AB170" s="4" t="str">
        <f>IFERROR(__xludf.DUMMYFUNCTION("IF(OR($U170="""",COUNTIF($I:$I,IFERROR(unique(filter(Prod_Prop!$H:$H,Prod_Prop!$G:$G=$U170,Prod_Prop!$E:$E=AB$1)),""Check""))=0),"""",IFERROR(unique(filter(Prod_Prop!$H:$H,Prod_Prop!$G:$G=$U170,Prod_Prop!$E:$E=AB$1)),""""))"),"")</f>
        <v/>
      </c>
      <c r="AC170" s="4" t="str">
        <f>IF(AB170="","",SUMIFS(Prod_Prop!$J:$J,Prod_Prop!$B:$B,$Q170,Prod_Prop!$H:$H,AB170,Prod_Prop!$I:$I,AC$1)*IF(AB170="Peso",$R170,1))</f>
        <v/>
      </c>
      <c r="AD170" s="4" t="str">
        <f>IF(AB170="","",SUMIFS(Prod_Prop!$J:$J,Prod_Prop!$B:$B,$Q170,Prod_Prop!$H:$H,AB170,Prod_Prop!$I:$I,AD$1)*IF(AB170="Peso",$R170,1))</f>
        <v/>
      </c>
    </row>
    <row r="171">
      <c r="A171" s="4" t="str">
        <f t="array" ref="A171">IF(COUNTIF(A$1:A170,Cotizador!F$2)=maxifs(Familias!E:E,Familias!D:D,Cotizador!F$2),IF(COUNTIF(A$1:A170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1" s="4" t="str">
        <f t="shared" si="1"/>
        <v/>
      </c>
      <c r="C171" s="4" t="str">
        <f t="array" ref="C171">IF(B171="","",IF(A171=XLOOKUP(A$2,Implementos!B:B,Implementos!C:C,"",0,1),B171+maxifs(B$1:B170,A$1:A170,A$2),B171))</f>
        <v/>
      </c>
      <c r="D171" s="4" t="str">
        <f>IF(B171="","", COUNTIFS(Productos!F:F,A171,Productos!H:H,B171)+IF(F171="SI",0,1))</f>
        <v/>
      </c>
      <c r="E171" s="4" t="str">
        <f>IFERROR(__xludf.DUMMYFUNCTION("IF($B171="""","""",INDEX(filter(Familias!F:F,Familias!$D:$D=$A171,Familias!$E:$E=$B171),1))"),"")</f>
        <v/>
      </c>
      <c r="F171" s="4" t="str">
        <f>IFERROR(__xludf.DUMMYFUNCTION("IF($B171="""","""",INDEX(filter(Familias!G:G,Familias!$D:$D=$A171,Familias!$E:$E=$B171),1))"),"")</f>
        <v/>
      </c>
      <c r="G171" s="4" t="str">
        <f t="array" ref="G171">IF(C171=1,XLOOKUP(C171,Cotizador!D:D,Cotizador!E:E,"",0,1),"")</f>
        <v/>
      </c>
      <c r="I171" s="4"/>
      <c r="J171" s="8" t="str">
        <f>IF(I171="","",SUMIF(Cotizador!I$1:V$1,I171,Cotizador!I$2:V$2))</f>
        <v/>
      </c>
      <c r="L171" s="4" t="str">
        <f t="array" ref="L171">IF(COUNTIF(L$1:L170,A$2)=SUMIF(A:A,A$2,D:D),IF(COUNTIF(L$1:L170,XLOOKUP(A$2,Implementos!B:B,Implementos!C:C,"",0,1))=SUMIF(A:A,XLOOKUP(A$2,Implementos!B:B,Implementos!C:C,"",0,1),D:D),"",XLOOKUP(A$2,Implementos!B:B,Implementos!C:C,"",0,1)),A$2)</f>
        <v/>
      </c>
      <c r="M171" s="4" t="str">
        <f t="shared" si="2"/>
        <v/>
      </c>
      <c r="N171" s="4" t="str">
        <f t="shared" si="3"/>
        <v/>
      </c>
      <c r="O171" s="4" t="str">
        <f t="shared" si="4"/>
        <v/>
      </c>
      <c r="P171" s="4" t="str">
        <f t="shared" si="5"/>
        <v/>
      </c>
      <c r="Q171" s="4" t="str">
        <f>IF(U171="","",SUMIF(Productos!E:E,U171,Productos!A:A))</f>
        <v/>
      </c>
      <c r="R171" s="4" t="str">
        <f t="array" ref="R171">IF(L171="","", max(1,SUMIF(I:I,XLOOKUP(U171,Productos!E:E,Productos!G:G,"",0,1),J:J)))</f>
        <v/>
      </c>
      <c r="S171" s="4" t="str">
        <f>IF(Q171="","",IF(SUMIFS(Compat_Vetado!D:D,Compat_Vetado!B:B,SUM(G:G),Compat_Vetado!C:C,Q171)=1,"SI",IF(OR(SUMIF(Cotizador!E:E,Q171,Cotizador!G:G)&gt;0,SUMIFS(Compat_Vetado!D:D,Compat_Vetado!B:B,SUM(G:G),Compat_Vetado!C:C,Q171)=-1),"NO","")))</f>
        <v/>
      </c>
      <c r="T171" s="4" t="str">
        <f t="shared" si="6"/>
        <v/>
      </c>
      <c r="U171" s="4" t="str">
        <f>IFERROR(__xludf.DUMMYFUNCTION("IF(P171="""","""",IFERROR(INDEX(filter(Productos!E:E,Productos!F:F=L171,Productos!H:H=N171),P171),IF(M171=SUM(D:D),""Finalizar"",""-"")))"),"")</f>
        <v/>
      </c>
      <c r="V171" s="4" t="str">
        <f>IFERROR(__xludf.DUMMYFUNCTION("IF(OR($U171="""",COUNTIF($I:$I,IFERROR(unique(filter(Prod_Prop!$H:$H,Prod_Prop!$G:$G=$U171,Prod_Prop!$E:$E=V$1)),""Check""))=0),"""",IFERROR(unique(filter(Prod_Prop!$H:$H,Prod_Prop!$G:$G=$U171,Prod_Prop!$E:$E=V$1)),""""))"),"")</f>
        <v/>
      </c>
      <c r="W171" s="4" t="str">
        <f>IF(V171="","",SUMIFS(Prod_Prop!$J:$J,Prod_Prop!$B:$B,$Q171,Prod_Prop!$H:$H,V171,Prod_Prop!$I:$I,W$1)*IF(V171="Peso",$R171,1))</f>
        <v/>
      </c>
      <c r="X171" s="4" t="str">
        <f>IF(V171="","",SUMIFS(Prod_Prop!$J:$J,Prod_Prop!$B:$B,$Q171,Prod_Prop!$H:$H,V171,Prod_Prop!$I:$I,X$1)*IF(V171="Peso",$R171,1))</f>
        <v/>
      </c>
      <c r="Y171" s="4" t="str">
        <f>IFERROR(__xludf.DUMMYFUNCTION("IF(OR($U171="""",COUNTIF($I:$I,IFERROR(unique(filter(Prod_Prop!$H:$H,Prod_Prop!$G:$G=$U171,Prod_Prop!$E:$E=Y$1)),""Check""))=0),"""",IFERROR(unique(filter(Prod_Prop!$H:$H,Prod_Prop!$G:$G=$U171,Prod_Prop!$E:$E=Y$1)),""""))"),"")</f>
        <v/>
      </c>
      <c r="Z171" s="4" t="str">
        <f>IF(Y171="","",SUMIFS(Prod_Prop!$J:$J,Prod_Prop!$B:$B,$Q171,Prod_Prop!$H:$H,Y171,Prod_Prop!$I:$I,Z$1)*IF(Y171="Peso",$R171,1))</f>
        <v/>
      </c>
      <c r="AA171" s="4" t="str">
        <f>IF(Y171="","",SUMIFS(Prod_Prop!$J:$J,Prod_Prop!$B:$B,$Q171,Prod_Prop!$H:$H,Y171,Prod_Prop!$I:$I,AA$1)*IF(Y171="Peso",$R171,1))</f>
        <v/>
      </c>
      <c r="AB171" s="4" t="str">
        <f>IFERROR(__xludf.DUMMYFUNCTION("IF(OR($U171="""",COUNTIF($I:$I,IFERROR(unique(filter(Prod_Prop!$H:$H,Prod_Prop!$G:$G=$U171,Prod_Prop!$E:$E=AB$1)),""Check""))=0),"""",IFERROR(unique(filter(Prod_Prop!$H:$H,Prod_Prop!$G:$G=$U171,Prod_Prop!$E:$E=AB$1)),""""))"),"")</f>
        <v/>
      </c>
      <c r="AC171" s="4" t="str">
        <f>IF(AB171="","",SUMIFS(Prod_Prop!$J:$J,Prod_Prop!$B:$B,$Q171,Prod_Prop!$H:$H,AB171,Prod_Prop!$I:$I,AC$1)*IF(AB171="Peso",$R171,1))</f>
        <v/>
      </c>
      <c r="AD171" s="4" t="str">
        <f>IF(AB171="","",SUMIFS(Prod_Prop!$J:$J,Prod_Prop!$B:$B,$Q171,Prod_Prop!$H:$H,AB171,Prod_Prop!$I:$I,AD$1)*IF(AB171="Peso",$R171,1))</f>
        <v/>
      </c>
    </row>
    <row r="172">
      <c r="A172" s="4" t="str">
        <f t="array" ref="A172">IF(COUNTIF(A$1:A171,Cotizador!F$2)=maxifs(Familias!E:E,Familias!D:D,Cotizador!F$2),IF(COUNTIF(A$1:A171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2" s="4" t="str">
        <f t="shared" si="1"/>
        <v/>
      </c>
      <c r="C172" s="4" t="str">
        <f t="array" ref="C172">IF(B172="","",IF(A172=XLOOKUP(A$2,Implementos!B:B,Implementos!C:C,"",0,1),B172+maxifs(B$1:B171,A$1:A171,A$2),B172))</f>
        <v/>
      </c>
      <c r="D172" s="4" t="str">
        <f>IF(B172="","", COUNTIFS(Productos!F:F,A172,Productos!H:H,B172)+IF(F172="SI",0,1))</f>
        <v/>
      </c>
      <c r="E172" s="4" t="str">
        <f>IFERROR(__xludf.DUMMYFUNCTION("IF($B172="""","""",INDEX(filter(Familias!F:F,Familias!$D:$D=$A172,Familias!$E:$E=$B172),1))"),"")</f>
        <v/>
      </c>
      <c r="F172" s="4" t="str">
        <f>IFERROR(__xludf.DUMMYFUNCTION("IF($B172="""","""",INDEX(filter(Familias!G:G,Familias!$D:$D=$A172,Familias!$E:$E=$B172),1))"),"")</f>
        <v/>
      </c>
      <c r="G172" s="4" t="str">
        <f t="array" ref="G172">IF(C172=1,XLOOKUP(C172,Cotizador!D:D,Cotizador!E:E,"",0,1),"")</f>
        <v/>
      </c>
      <c r="I172" s="4"/>
      <c r="J172" s="8" t="str">
        <f>IF(I172="","",SUMIF(Cotizador!I$1:V$1,I172,Cotizador!I$2:V$2))</f>
        <v/>
      </c>
      <c r="L172" s="4" t="str">
        <f t="array" ref="L172">IF(COUNTIF(L$1:L171,A$2)=SUMIF(A:A,A$2,D:D),IF(COUNTIF(L$1:L171,XLOOKUP(A$2,Implementos!B:B,Implementos!C:C,"",0,1))=SUMIF(A:A,XLOOKUP(A$2,Implementos!B:B,Implementos!C:C,"",0,1),D:D),"",XLOOKUP(A$2,Implementos!B:B,Implementos!C:C,"",0,1)),A$2)</f>
        <v/>
      </c>
      <c r="M172" s="4" t="str">
        <f t="shared" si="2"/>
        <v/>
      </c>
      <c r="N172" s="4" t="str">
        <f t="shared" si="3"/>
        <v/>
      </c>
      <c r="O172" s="4" t="str">
        <f t="shared" si="4"/>
        <v/>
      </c>
      <c r="P172" s="4" t="str">
        <f t="shared" si="5"/>
        <v/>
      </c>
      <c r="Q172" s="4" t="str">
        <f>IF(U172="","",SUMIF(Productos!E:E,U172,Productos!A:A))</f>
        <v/>
      </c>
      <c r="R172" s="4" t="str">
        <f t="array" ref="R172">IF(L172="","", max(1,SUMIF(I:I,XLOOKUP(U172,Productos!E:E,Productos!G:G,"",0,1),J:J)))</f>
        <v/>
      </c>
      <c r="S172" s="4" t="str">
        <f>IF(Q172="","",IF(SUMIFS(Compat_Vetado!D:D,Compat_Vetado!B:B,SUM(G:G),Compat_Vetado!C:C,Q172)=1,"SI",IF(OR(SUMIF(Cotizador!E:E,Q172,Cotizador!G:G)&gt;0,SUMIFS(Compat_Vetado!D:D,Compat_Vetado!B:B,SUM(G:G),Compat_Vetado!C:C,Q172)=-1),"NO","")))</f>
        <v/>
      </c>
      <c r="T172" s="4" t="str">
        <f t="shared" si="6"/>
        <v/>
      </c>
      <c r="U172" s="4" t="str">
        <f>IFERROR(__xludf.DUMMYFUNCTION("IF(P172="""","""",IFERROR(INDEX(filter(Productos!E:E,Productos!F:F=L172,Productos!H:H=N172),P172),IF(M172=SUM(D:D),""Finalizar"",""-"")))"),"")</f>
        <v/>
      </c>
      <c r="V172" s="4" t="str">
        <f>IFERROR(__xludf.DUMMYFUNCTION("IF(OR($U172="""",COUNTIF($I:$I,IFERROR(unique(filter(Prod_Prop!$H:$H,Prod_Prop!$G:$G=$U172,Prod_Prop!$E:$E=V$1)),""Check""))=0),"""",IFERROR(unique(filter(Prod_Prop!$H:$H,Prod_Prop!$G:$G=$U172,Prod_Prop!$E:$E=V$1)),""""))"),"")</f>
        <v/>
      </c>
      <c r="W172" s="4" t="str">
        <f>IF(V172="","",SUMIFS(Prod_Prop!$J:$J,Prod_Prop!$B:$B,$Q172,Prod_Prop!$H:$H,V172,Prod_Prop!$I:$I,W$1)*IF(V172="Peso",$R172,1))</f>
        <v/>
      </c>
      <c r="X172" s="4" t="str">
        <f>IF(V172="","",SUMIFS(Prod_Prop!$J:$J,Prod_Prop!$B:$B,$Q172,Prod_Prop!$H:$H,V172,Prod_Prop!$I:$I,X$1)*IF(V172="Peso",$R172,1))</f>
        <v/>
      </c>
      <c r="Y172" s="4" t="str">
        <f>IFERROR(__xludf.DUMMYFUNCTION("IF(OR($U172="""",COUNTIF($I:$I,IFERROR(unique(filter(Prod_Prop!$H:$H,Prod_Prop!$G:$G=$U172,Prod_Prop!$E:$E=Y$1)),""Check""))=0),"""",IFERROR(unique(filter(Prod_Prop!$H:$H,Prod_Prop!$G:$G=$U172,Prod_Prop!$E:$E=Y$1)),""""))"),"")</f>
        <v/>
      </c>
      <c r="Z172" s="4" t="str">
        <f>IF(Y172="","",SUMIFS(Prod_Prop!$J:$J,Prod_Prop!$B:$B,$Q172,Prod_Prop!$H:$H,Y172,Prod_Prop!$I:$I,Z$1)*IF(Y172="Peso",$R172,1))</f>
        <v/>
      </c>
      <c r="AA172" s="4" t="str">
        <f>IF(Y172="","",SUMIFS(Prod_Prop!$J:$J,Prod_Prop!$B:$B,$Q172,Prod_Prop!$H:$H,Y172,Prod_Prop!$I:$I,AA$1)*IF(Y172="Peso",$R172,1))</f>
        <v/>
      </c>
      <c r="AB172" s="4" t="str">
        <f>IFERROR(__xludf.DUMMYFUNCTION("IF(OR($U172="""",COUNTIF($I:$I,IFERROR(unique(filter(Prod_Prop!$H:$H,Prod_Prop!$G:$G=$U172,Prod_Prop!$E:$E=AB$1)),""Check""))=0),"""",IFERROR(unique(filter(Prod_Prop!$H:$H,Prod_Prop!$G:$G=$U172,Prod_Prop!$E:$E=AB$1)),""""))"),"")</f>
        <v/>
      </c>
      <c r="AC172" s="4" t="str">
        <f>IF(AB172="","",SUMIFS(Prod_Prop!$J:$J,Prod_Prop!$B:$B,$Q172,Prod_Prop!$H:$H,AB172,Prod_Prop!$I:$I,AC$1)*IF(AB172="Peso",$R172,1))</f>
        <v/>
      </c>
      <c r="AD172" s="4" t="str">
        <f>IF(AB172="","",SUMIFS(Prod_Prop!$J:$J,Prod_Prop!$B:$B,$Q172,Prod_Prop!$H:$H,AB172,Prod_Prop!$I:$I,AD$1)*IF(AB172="Peso",$R172,1))</f>
        <v/>
      </c>
    </row>
    <row r="173">
      <c r="A173" s="4" t="str">
        <f t="array" ref="A173">IF(COUNTIF(A$1:A172,Cotizador!F$2)=maxifs(Familias!E:E,Familias!D:D,Cotizador!F$2),IF(COUNTIF(A$1:A172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3" s="4" t="str">
        <f t="shared" si="1"/>
        <v/>
      </c>
      <c r="C173" s="4" t="str">
        <f t="array" ref="C173">IF(B173="","",IF(A173=XLOOKUP(A$2,Implementos!B:B,Implementos!C:C,"",0,1),B173+maxifs(B$1:B172,A$1:A172,A$2),B173))</f>
        <v/>
      </c>
      <c r="D173" s="4" t="str">
        <f>IF(B173="","", COUNTIFS(Productos!F:F,A173,Productos!H:H,B173)+IF(F173="SI",0,1))</f>
        <v/>
      </c>
      <c r="E173" s="4" t="str">
        <f>IFERROR(__xludf.DUMMYFUNCTION("IF($B173="""","""",INDEX(filter(Familias!F:F,Familias!$D:$D=$A173,Familias!$E:$E=$B173),1))"),"")</f>
        <v/>
      </c>
      <c r="F173" s="4" t="str">
        <f>IFERROR(__xludf.DUMMYFUNCTION("IF($B173="""","""",INDEX(filter(Familias!G:G,Familias!$D:$D=$A173,Familias!$E:$E=$B173),1))"),"")</f>
        <v/>
      </c>
      <c r="G173" s="4" t="str">
        <f t="array" ref="G173">IF(C173=1,XLOOKUP(C173,Cotizador!D:D,Cotizador!E:E,"",0,1),"")</f>
        <v/>
      </c>
      <c r="I173" s="4"/>
      <c r="J173" s="8" t="str">
        <f>IF(I173="","",SUMIF(Cotizador!I$1:V$1,I173,Cotizador!I$2:V$2))</f>
        <v/>
      </c>
      <c r="L173" s="4" t="str">
        <f t="array" ref="L173">IF(COUNTIF(L$1:L172,A$2)=SUMIF(A:A,A$2,D:D),IF(COUNTIF(L$1:L172,XLOOKUP(A$2,Implementos!B:B,Implementos!C:C,"",0,1))=SUMIF(A:A,XLOOKUP(A$2,Implementos!B:B,Implementos!C:C,"",0,1),D:D),"",XLOOKUP(A$2,Implementos!B:B,Implementos!C:C,"",0,1)),A$2)</f>
        <v/>
      </c>
      <c r="M173" s="4" t="str">
        <f t="shared" si="2"/>
        <v/>
      </c>
      <c r="N173" s="4" t="str">
        <f t="shared" si="3"/>
        <v/>
      </c>
      <c r="O173" s="4" t="str">
        <f t="shared" si="4"/>
        <v/>
      </c>
      <c r="P173" s="4" t="str">
        <f t="shared" si="5"/>
        <v/>
      </c>
      <c r="Q173" s="4" t="str">
        <f>IF(U173="","",SUMIF(Productos!E:E,U173,Productos!A:A))</f>
        <v/>
      </c>
      <c r="R173" s="4" t="str">
        <f t="array" ref="R173">IF(L173="","", max(1,SUMIF(I:I,XLOOKUP(U173,Productos!E:E,Productos!G:G,"",0,1),J:J)))</f>
        <v/>
      </c>
      <c r="S173" s="4" t="str">
        <f>IF(Q173="","",IF(SUMIFS(Compat_Vetado!D:D,Compat_Vetado!B:B,SUM(G:G),Compat_Vetado!C:C,Q173)=1,"SI",IF(OR(SUMIF(Cotizador!E:E,Q173,Cotizador!G:G)&gt;0,SUMIFS(Compat_Vetado!D:D,Compat_Vetado!B:B,SUM(G:G),Compat_Vetado!C:C,Q173)=-1),"NO","")))</f>
        <v/>
      </c>
      <c r="T173" s="4" t="str">
        <f t="shared" si="6"/>
        <v/>
      </c>
      <c r="U173" s="4" t="str">
        <f>IFERROR(__xludf.DUMMYFUNCTION("IF(P173="""","""",IFERROR(INDEX(filter(Productos!E:E,Productos!F:F=L173,Productos!H:H=N173),P173),IF(M173=SUM(D:D),""Finalizar"",""-"")))"),"")</f>
        <v/>
      </c>
      <c r="V173" s="4" t="str">
        <f>IFERROR(__xludf.DUMMYFUNCTION("IF(OR($U173="""",COUNTIF($I:$I,IFERROR(unique(filter(Prod_Prop!$H:$H,Prod_Prop!$G:$G=$U173,Prod_Prop!$E:$E=V$1)),""Check""))=0),"""",IFERROR(unique(filter(Prod_Prop!$H:$H,Prod_Prop!$G:$G=$U173,Prod_Prop!$E:$E=V$1)),""""))"),"")</f>
        <v/>
      </c>
      <c r="W173" s="4" t="str">
        <f>IF(V173="","",SUMIFS(Prod_Prop!$J:$J,Prod_Prop!$B:$B,$Q173,Prod_Prop!$H:$H,V173,Prod_Prop!$I:$I,W$1)*IF(V173="Peso",$R173,1))</f>
        <v/>
      </c>
      <c r="X173" s="4" t="str">
        <f>IF(V173="","",SUMIFS(Prod_Prop!$J:$J,Prod_Prop!$B:$B,$Q173,Prod_Prop!$H:$H,V173,Prod_Prop!$I:$I,X$1)*IF(V173="Peso",$R173,1))</f>
        <v/>
      </c>
      <c r="Y173" s="4" t="str">
        <f>IFERROR(__xludf.DUMMYFUNCTION("IF(OR($U173="""",COUNTIF($I:$I,IFERROR(unique(filter(Prod_Prop!$H:$H,Prod_Prop!$G:$G=$U173,Prod_Prop!$E:$E=Y$1)),""Check""))=0),"""",IFERROR(unique(filter(Prod_Prop!$H:$H,Prod_Prop!$G:$G=$U173,Prod_Prop!$E:$E=Y$1)),""""))"),"")</f>
        <v/>
      </c>
      <c r="Z173" s="4" t="str">
        <f>IF(Y173="","",SUMIFS(Prod_Prop!$J:$J,Prod_Prop!$B:$B,$Q173,Prod_Prop!$H:$H,Y173,Prod_Prop!$I:$I,Z$1)*IF(Y173="Peso",$R173,1))</f>
        <v/>
      </c>
      <c r="AA173" s="4" t="str">
        <f>IF(Y173="","",SUMIFS(Prod_Prop!$J:$J,Prod_Prop!$B:$B,$Q173,Prod_Prop!$H:$H,Y173,Prod_Prop!$I:$I,AA$1)*IF(Y173="Peso",$R173,1))</f>
        <v/>
      </c>
      <c r="AB173" s="4" t="str">
        <f>IFERROR(__xludf.DUMMYFUNCTION("IF(OR($U173="""",COUNTIF($I:$I,IFERROR(unique(filter(Prod_Prop!$H:$H,Prod_Prop!$G:$G=$U173,Prod_Prop!$E:$E=AB$1)),""Check""))=0),"""",IFERROR(unique(filter(Prod_Prop!$H:$H,Prod_Prop!$G:$G=$U173,Prod_Prop!$E:$E=AB$1)),""""))"),"")</f>
        <v/>
      </c>
      <c r="AC173" s="4" t="str">
        <f>IF(AB173="","",SUMIFS(Prod_Prop!$J:$J,Prod_Prop!$B:$B,$Q173,Prod_Prop!$H:$H,AB173,Prod_Prop!$I:$I,AC$1)*IF(AB173="Peso",$R173,1))</f>
        <v/>
      </c>
      <c r="AD173" s="4" t="str">
        <f>IF(AB173="","",SUMIFS(Prod_Prop!$J:$J,Prod_Prop!$B:$B,$Q173,Prod_Prop!$H:$H,AB173,Prod_Prop!$I:$I,AD$1)*IF(AB173="Peso",$R173,1))</f>
        <v/>
      </c>
    </row>
    <row r="174">
      <c r="A174" s="4" t="str">
        <f t="array" ref="A174">IF(COUNTIF(A$1:A173,Cotizador!F$2)=maxifs(Familias!E:E,Familias!D:D,Cotizador!F$2),IF(COUNTIF(A$1:A173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4" s="4" t="str">
        <f t="shared" si="1"/>
        <v/>
      </c>
      <c r="C174" s="4" t="str">
        <f t="array" ref="C174">IF(B174="","",IF(A174=XLOOKUP(A$2,Implementos!B:B,Implementos!C:C,"",0,1),B174+maxifs(B$1:B173,A$1:A173,A$2),B174))</f>
        <v/>
      </c>
      <c r="D174" s="4" t="str">
        <f>IF(B174="","", COUNTIFS(Productos!F:F,A174,Productos!H:H,B174)+IF(F174="SI",0,1))</f>
        <v/>
      </c>
      <c r="E174" s="4" t="str">
        <f>IFERROR(__xludf.DUMMYFUNCTION("IF($B174="""","""",INDEX(filter(Familias!F:F,Familias!$D:$D=$A174,Familias!$E:$E=$B174),1))"),"")</f>
        <v/>
      </c>
      <c r="F174" s="4" t="str">
        <f>IFERROR(__xludf.DUMMYFUNCTION("IF($B174="""","""",INDEX(filter(Familias!G:G,Familias!$D:$D=$A174,Familias!$E:$E=$B174),1))"),"")</f>
        <v/>
      </c>
      <c r="G174" s="4" t="str">
        <f t="array" ref="G174">IF(C174=1,XLOOKUP(C174,Cotizador!D:D,Cotizador!E:E,"",0,1),"")</f>
        <v/>
      </c>
      <c r="I174" s="4"/>
      <c r="J174" s="8" t="str">
        <f>IF(I174="","",SUMIF(Cotizador!I$1:V$1,I174,Cotizador!I$2:V$2))</f>
        <v/>
      </c>
      <c r="L174" s="4" t="str">
        <f t="array" ref="L174">IF(COUNTIF(L$1:L173,A$2)=SUMIF(A:A,A$2,D:D),IF(COUNTIF(L$1:L173,XLOOKUP(A$2,Implementos!B:B,Implementos!C:C,"",0,1))=SUMIF(A:A,XLOOKUP(A$2,Implementos!B:B,Implementos!C:C,"",0,1),D:D),"",XLOOKUP(A$2,Implementos!B:B,Implementos!C:C,"",0,1)),A$2)</f>
        <v/>
      </c>
      <c r="M174" s="4" t="str">
        <f t="shared" si="2"/>
        <v/>
      </c>
      <c r="N174" s="4" t="str">
        <f t="shared" si="3"/>
        <v/>
      </c>
      <c r="O174" s="4" t="str">
        <f t="shared" si="4"/>
        <v/>
      </c>
      <c r="P174" s="4" t="str">
        <f t="shared" si="5"/>
        <v/>
      </c>
      <c r="Q174" s="4" t="str">
        <f>IF(U174="","",SUMIF(Productos!E:E,U174,Productos!A:A))</f>
        <v/>
      </c>
      <c r="R174" s="4" t="str">
        <f t="array" ref="R174">IF(L174="","", max(1,SUMIF(I:I,XLOOKUP(U174,Productos!E:E,Productos!G:G,"",0,1),J:J)))</f>
        <v/>
      </c>
      <c r="S174" s="4" t="str">
        <f>IF(Q174="","",IF(SUMIFS(Compat_Vetado!D:D,Compat_Vetado!B:B,SUM(G:G),Compat_Vetado!C:C,Q174)=1,"SI",IF(OR(SUMIF(Cotizador!E:E,Q174,Cotizador!G:G)&gt;0,SUMIFS(Compat_Vetado!D:D,Compat_Vetado!B:B,SUM(G:G),Compat_Vetado!C:C,Q174)=-1),"NO","")))</f>
        <v/>
      </c>
      <c r="T174" s="4" t="str">
        <f t="shared" si="6"/>
        <v/>
      </c>
      <c r="U174" s="4" t="str">
        <f>IFERROR(__xludf.DUMMYFUNCTION("IF(P174="""","""",IFERROR(INDEX(filter(Productos!E:E,Productos!F:F=L174,Productos!H:H=N174),P174),IF(M174=SUM(D:D),""Finalizar"",""-"")))"),"")</f>
        <v/>
      </c>
      <c r="V174" s="4" t="str">
        <f>IFERROR(__xludf.DUMMYFUNCTION("IF(OR($U174="""",COUNTIF($I:$I,IFERROR(unique(filter(Prod_Prop!$H:$H,Prod_Prop!$G:$G=$U174,Prod_Prop!$E:$E=V$1)),""Check""))=0),"""",IFERROR(unique(filter(Prod_Prop!$H:$H,Prod_Prop!$G:$G=$U174,Prod_Prop!$E:$E=V$1)),""""))"),"")</f>
        <v/>
      </c>
      <c r="W174" s="4" t="str">
        <f>IF(V174="","",SUMIFS(Prod_Prop!$J:$J,Prod_Prop!$B:$B,$Q174,Prod_Prop!$H:$H,V174,Prod_Prop!$I:$I,W$1)*IF(V174="Peso",$R174,1))</f>
        <v/>
      </c>
      <c r="X174" s="4" t="str">
        <f>IF(V174="","",SUMIFS(Prod_Prop!$J:$J,Prod_Prop!$B:$B,$Q174,Prod_Prop!$H:$H,V174,Prod_Prop!$I:$I,X$1)*IF(V174="Peso",$R174,1))</f>
        <v/>
      </c>
      <c r="Y174" s="4" t="str">
        <f>IFERROR(__xludf.DUMMYFUNCTION("IF(OR($U174="""",COUNTIF($I:$I,IFERROR(unique(filter(Prod_Prop!$H:$H,Prod_Prop!$G:$G=$U174,Prod_Prop!$E:$E=Y$1)),""Check""))=0),"""",IFERROR(unique(filter(Prod_Prop!$H:$H,Prod_Prop!$G:$G=$U174,Prod_Prop!$E:$E=Y$1)),""""))"),"")</f>
        <v/>
      </c>
      <c r="Z174" s="4" t="str">
        <f>IF(Y174="","",SUMIFS(Prod_Prop!$J:$J,Prod_Prop!$B:$B,$Q174,Prod_Prop!$H:$H,Y174,Prod_Prop!$I:$I,Z$1)*IF(Y174="Peso",$R174,1))</f>
        <v/>
      </c>
      <c r="AA174" s="4" t="str">
        <f>IF(Y174="","",SUMIFS(Prod_Prop!$J:$J,Prod_Prop!$B:$B,$Q174,Prod_Prop!$H:$H,Y174,Prod_Prop!$I:$I,AA$1)*IF(Y174="Peso",$R174,1))</f>
        <v/>
      </c>
      <c r="AB174" s="4" t="str">
        <f>IFERROR(__xludf.DUMMYFUNCTION("IF(OR($U174="""",COUNTIF($I:$I,IFERROR(unique(filter(Prod_Prop!$H:$H,Prod_Prop!$G:$G=$U174,Prod_Prop!$E:$E=AB$1)),""Check""))=0),"""",IFERROR(unique(filter(Prod_Prop!$H:$H,Prod_Prop!$G:$G=$U174,Prod_Prop!$E:$E=AB$1)),""""))"),"")</f>
        <v/>
      </c>
      <c r="AC174" s="4" t="str">
        <f>IF(AB174="","",SUMIFS(Prod_Prop!$J:$J,Prod_Prop!$B:$B,$Q174,Prod_Prop!$H:$H,AB174,Prod_Prop!$I:$I,AC$1)*IF(AB174="Peso",$R174,1))</f>
        <v/>
      </c>
      <c r="AD174" s="4" t="str">
        <f>IF(AB174="","",SUMIFS(Prod_Prop!$J:$J,Prod_Prop!$B:$B,$Q174,Prod_Prop!$H:$H,AB174,Prod_Prop!$I:$I,AD$1)*IF(AB174="Peso",$R174,1))</f>
        <v/>
      </c>
    </row>
    <row r="175">
      <c r="A175" s="4" t="str">
        <f t="array" ref="A175">IF(COUNTIF(A$1:A174,Cotizador!F$2)=maxifs(Familias!E:E,Familias!D:D,Cotizador!F$2),IF(COUNTIF(A$1:A174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5" s="4" t="str">
        <f t="shared" si="1"/>
        <v/>
      </c>
      <c r="C175" s="4" t="str">
        <f t="array" ref="C175">IF(B175="","",IF(A175=XLOOKUP(A$2,Implementos!B:B,Implementos!C:C,"",0,1),B175+maxifs(B$1:B174,A$1:A174,A$2),B175))</f>
        <v/>
      </c>
      <c r="D175" s="4" t="str">
        <f>IF(B175="","", COUNTIFS(Productos!F:F,A175,Productos!H:H,B175)+IF(F175="SI",0,1))</f>
        <v/>
      </c>
      <c r="E175" s="4" t="str">
        <f>IFERROR(__xludf.DUMMYFUNCTION("IF($B175="""","""",INDEX(filter(Familias!F:F,Familias!$D:$D=$A175,Familias!$E:$E=$B175),1))"),"")</f>
        <v/>
      </c>
      <c r="F175" s="4" t="str">
        <f>IFERROR(__xludf.DUMMYFUNCTION("IF($B175="""","""",INDEX(filter(Familias!G:G,Familias!$D:$D=$A175,Familias!$E:$E=$B175),1))"),"")</f>
        <v/>
      </c>
      <c r="G175" s="4" t="str">
        <f t="array" ref="G175">IF(C175=1,XLOOKUP(C175,Cotizador!D:D,Cotizador!E:E,"",0,1),"")</f>
        <v/>
      </c>
      <c r="I175" s="4"/>
      <c r="J175" s="8" t="str">
        <f>IF(I175="","",SUMIF(Cotizador!I$1:V$1,I175,Cotizador!I$2:V$2))</f>
        <v/>
      </c>
      <c r="L175" s="4" t="str">
        <f t="array" ref="L175">IF(COUNTIF(L$1:L174,A$2)=SUMIF(A:A,A$2,D:D),IF(COUNTIF(L$1:L174,XLOOKUP(A$2,Implementos!B:B,Implementos!C:C,"",0,1))=SUMIF(A:A,XLOOKUP(A$2,Implementos!B:B,Implementos!C:C,"",0,1),D:D),"",XLOOKUP(A$2,Implementos!B:B,Implementos!C:C,"",0,1)),A$2)</f>
        <v/>
      </c>
      <c r="M175" s="4" t="str">
        <f t="shared" si="2"/>
        <v/>
      </c>
      <c r="N175" s="4" t="str">
        <f t="shared" si="3"/>
        <v/>
      </c>
      <c r="O175" s="4" t="str">
        <f t="shared" si="4"/>
        <v/>
      </c>
      <c r="P175" s="4" t="str">
        <f t="shared" si="5"/>
        <v/>
      </c>
      <c r="Q175" s="4" t="str">
        <f>IF(U175="","",SUMIF(Productos!E:E,U175,Productos!A:A))</f>
        <v/>
      </c>
      <c r="R175" s="4" t="str">
        <f t="array" ref="R175">IF(L175="","", max(1,SUMIF(I:I,XLOOKUP(U175,Productos!E:E,Productos!G:G,"",0,1),J:J)))</f>
        <v/>
      </c>
      <c r="S175" s="4" t="str">
        <f>IF(Q175="","",IF(SUMIFS(Compat_Vetado!D:D,Compat_Vetado!B:B,SUM(G:G),Compat_Vetado!C:C,Q175)=1,"SI",IF(OR(SUMIF(Cotizador!E:E,Q175,Cotizador!G:G)&gt;0,SUMIFS(Compat_Vetado!D:D,Compat_Vetado!B:B,SUM(G:G),Compat_Vetado!C:C,Q175)=-1),"NO","")))</f>
        <v/>
      </c>
      <c r="T175" s="4" t="str">
        <f t="shared" si="6"/>
        <v/>
      </c>
      <c r="U175" s="4" t="str">
        <f>IFERROR(__xludf.DUMMYFUNCTION("IF(P175="""","""",IFERROR(INDEX(filter(Productos!E:E,Productos!F:F=L175,Productos!H:H=N175),P175),IF(M175=SUM(D:D),""Finalizar"",""-"")))"),"")</f>
        <v/>
      </c>
      <c r="V175" s="4" t="str">
        <f>IFERROR(__xludf.DUMMYFUNCTION("IF(OR($U175="""",COUNTIF($I:$I,IFERROR(unique(filter(Prod_Prop!$H:$H,Prod_Prop!$G:$G=$U175,Prod_Prop!$E:$E=V$1)),""Check""))=0),"""",IFERROR(unique(filter(Prod_Prop!$H:$H,Prod_Prop!$G:$G=$U175,Prod_Prop!$E:$E=V$1)),""""))"),"")</f>
        <v/>
      </c>
      <c r="W175" s="4" t="str">
        <f>IF(V175="","",SUMIFS(Prod_Prop!$J:$J,Prod_Prop!$B:$B,$Q175,Prod_Prop!$H:$H,V175,Prod_Prop!$I:$I,W$1)*IF(V175="Peso",$R175,1))</f>
        <v/>
      </c>
      <c r="X175" s="4" t="str">
        <f>IF(V175="","",SUMIFS(Prod_Prop!$J:$J,Prod_Prop!$B:$B,$Q175,Prod_Prop!$H:$H,V175,Prod_Prop!$I:$I,X$1)*IF(V175="Peso",$R175,1))</f>
        <v/>
      </c>
      <c r="Y175" s="4" t="str">
        <f>IFERROR(__xludf.DUMMYFUNCTION("IF(OR($U175="""",COUNTIF($I:$I,IFERROR(unique(filter(Prod_Prop!$H:$H,Prod_Prop!$G:$G=$U175,Prod_Prop!$E:$E=Y$1)),""Check""))=0),"""",IFERROR(unique(filter(Prod_Prop!$H:$H,Prod_Prop!$G:$G=$U175,Prod_Prop!$E:$E=Y$1)),""""))"),"")</f>
        <v/>
      </c>
      <c r="Z175" s="4" t="str">
        <f>IF(Y175="","",SUMIFS(Prod_Prop!$J:$J,Prod_Prop!$B:$B,$Q175,Prod_Prop!$H:$H,Y175,Prod_Prop!$I:$I,Z$1)*IF(Y175="Peso",$R175,1))</f>
        <v/>
      </c>
      <c r="AA175" s="4" t="str">
        <f>IF(Y175="","",SUMIFS(Prod_Prop!$J:$J,Prod_Prop!$B:$B,$Q175,Prod_Prop!$H:$H,Y175,Prod_Prop!$I:$I,AA$1)*IF(Y175="Peso",$R175,1))</f>
        <v/>
      </c>
      <c r="AB175" s="4" t="str">
        <f>IFERROR(__xludf.DUMMYFUNCTION("IF(OR($U175="""",COUNTIF($I:$I,IFERROR(unique(filter(Prod_Prop!$H:$H,Prod_Prop!$G:$G=$U175,Prod_Prop!$E:$E=AB$1)),""Check""))=0),"""",IFERROR(unique(filter(Prod_Prop!$H:$H,Prod_Prop!$G:$G=$U175,Prod_Prop!$E:$E=AB$1)),""""))"),"")</f>
        <v/>
      </c>
      <c r="AC175" s="4" t="str">
        <f>IF(AB175="","",SUMIFS(Prod_Prop!$J:$J,Prod_Prop!$B:$B,$Q175,Prod_Prop!$H:$H,AB175,Prod_Prop!$I:$I,AC$1)*IF(AB175="Peso",$R175,1))</f>
        <v/>
      </c>
      <c r="AD175" s="4" t="str">
        <f>IF(AB175="","",SUMIFS(Prod_Prop!$J:$J,Prod_Prop!$B:$B,$Q175,Prod_Prop!$H:$H,AB175,Prod_Prop!$I:$I,AD$1)*IF(AB175="Peso",$R175,1))</f>
        <v/>
      </c>
    </row>
    <row r="176">
      <c r="A176" s="4" t="str">
        <f t="array" ref="A176">IF(COUNTIF(A$1:A175,Cotizador!F$2)=maxifs(Familias!E:E,Familias!D:D,Cotizador!F$2),IF(COUNTIF(A$1:A175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6" s="4" t="str">
        <f t="shared" si="1"/>
        <v/>
      </c>
      <c r="C176" s="4" t="str">
        <f t="array" ref="C176">IF(B176="","",IF(A176=XLOOKUP(A$2,Implementos!B:B,Implementos!C:C,"",0,1),B176+maxifs(B$1:B175,A$1:A175,A$2),B176))</f>
        <v/>
      </c>
      <c r="D176" s="4" t="str">
        <f>IF(B176="","", COUNTIFS(Productos!F:F,A176,Productos!H:H,B176)+IF(F176="SI",0,1))</f>
        <v/>
      </c>
      <c r="E176" s="4" t="str">
        <f>IFERROR(__xludf.DUMMYFUNCTION("IF($B176="""","""",INDEX(filter(Familias!F:F,Familias!$D:$D=$A176,Familias!$E:$E=$B176),1))"),"")</f>
        <v/>
      </c>
      <c r="F176" s="4" t="str">
        <f>IFERROR(__xludf.DUMMYFUNCTION("IF($B176="""","""",INDEX(filter(Familias!G:G,Familias!$D:$D=$A176,Familias!$E:$E=$B176),1))"),"")</f>
        <v/>
      </c>
      <c r="G176" s="4" t="str">
        <f t="array" ref="G176">IF(C176=1,XLOOKUP(C176,Cotizador!D:D,Cotizador!E:E,"",0,1),"")</f>
        <v/>
      </c>
      <c r="I176" s="4"/>
      <c r="J176" s="8" t="str">
        <f>IF(I176="","",SUMIF(Cotizador!I$1:V$1,I176,Cotizador!I$2:V$2))</f>
        <v/>
      </c>
      <c r="L176" s="4" t="str">
        <f t="array" ref="L176">IF(COUNTIF(L$1:L175,A$2)=SUMIF(A:A,A$2,D:D),IF(COUNTIF(L$1:L175,XLOOKUP(A$2,Implementos!B:B,Implementos!C:C,"",0,1))=SUMIF(A:A,XLOOKUP(A$2,Implementos!B:B,Implementos!C:C,"",0,1),D:D),"",XLOOKUP(A$2,Implementos!B:B,Implementos!C:C,"",0,1)),A$2)</f>
        <v/>
      </c>
      <c r="M176" s="4" t="str">
        <f t="shared" si="2"/>
        <v/>
      </c>
      <c r="N176" s="4" t="str">
        <f t="shared" si="3"/>
        <v/>
      </c>
      <c r="O176" s="4" t="str">
        <f t="shared" si="4"/>
        <v/>
      </c>
      <c r="P176" s="4" t="str">
        <f t="shared" si="5"/>
        <v/>
      </c>
      <c r="Q176" s="4" t="str">
        <f>IF(U176="","",SUMIF(Productos!E:E,U176,Productos!A:A))</f>
        <v/>
      </c>
      <c r="R176" s="4" t="str">
        <f t="array" ref="R176">IF(L176="","", max(1,SUMIF(I:I,XLOOKUP(U176,Productos!E:E,Productos!G:G,"",0,1),J:J)))</f>
        <v/>
      </c>
      <c r="S176" s="4" t="str">
        <f>IF(Q176="","",IF(SUMIFS(Compat_Vetado!D:D,Compat_Vetado!B:B,SUM(G:G),Compat_Vetado!C:C,Q176)=1,"SI",IF(OR(SUMIF(Cotizador!E:E,Q176,Cotizador!G:G)&gt;0,SUMIFS(Compat_Vetado!D:D,Compat_Vetado!B:B,SUM(G:G),Compat_Vetado!C:C,Q176)=-1),"NO","")))</f>
        <v/>
      </c>
      <c r="T176" s="4" t="str">
        <f t="shared" si="6"/>
        <v/>
      </c>
      <c r="U176" s="4" t="str">
        <f>IFERROR(__xludf.DUMMYFUNCTION("IF(P176="""","""",IFERROR(INDEX(filter(Productos!E:E,Productos!F:F=L176,Productos!H:H=N176),P176),IF(M176=SUM(D:D),""Finalizar"",""-"")))"),"")</f>
        <v/>
      </c>
      <c r="V176" s="4" t="str">
        <f>IFERROR(__xludf.DUMMYFUNCTION("IF(OR($U176="""",COUNTIF($I:$I,IFERROR(unique(filter(Prod_Prop!$H:$H,Prod_Prop!$G:$G=$U176,Prod_Prop!$E:$E=V$1)),""Check""))=0),"""",IFERROR(unique(filter(Prod_Prop!$H:$H,Prod_Prop!$G:$G=$U176,Prod_Prop!$E:$E=V$1)),""""))"),"")</f>
        <v/>
      </c>
      <c r="W176" s="4" t="str">
        <f>IF(V176="","",SUMIFS(Prod_Prop!$J:$J,Prod_Prop!$B:$B,$Q176,Prod_Prop!$H:$H,V176,Prod_Prop!$I:$I,W$1)*IF(V176="Peso",$R176,1))</f>
        <v/>
      </c>
      <c r="X176" s="4" t="str">
        <f>IF(V176="","",SUMIFS(Prod_Prop!$J:$J,Prod_Prop!$B:$B,$Q176,Prod_Prop!$H:$H,V176,Prod_Prop!$I:$I,X$1)*IF(V176="Peso",$R176,1))</f>
        <v/>
      </c>
      <c r="Y176" s="4" t="str">
        <f>IFERROR(__xludf.DUMMYFUNCTION("IF(OR($U176="""",COUNTIF($I:$I,IFERROR(unique(filter(Prod_Prop!$H:$H,Prod_Prop!$G:$G=$U176,Prod_Prop!$E:$E=Y$1)),""Check""))=0),"""",IFERROR(unique(filter(Prod_Prop!$H:$H,Prod_Prop!$G:$G=$U176,Prod_Prop!$E:$E=Y$1)),""""))"),"")</f>
        <v/>
      </c>
      <c r="Z176" s="4" t="str">
        <f>IF(Y176="","",SUMIFS(Prod_Prop!$J:$J,Prod_Prop!$B:$B,$Q176,Prod_Prop!$H:$H,Y176,Prod_Prop!$I:$I,Z$1)*IF(Y176="Peso",$R176,1))</f>
        <v/>
      </c>
      <c r="AA176" s="4" t="str">
        <f>IF(Y176="","",SUMIFS(Prod_Prop!$J:$J,Prod_Prop!$B:$B,$Q176,Prod_Prop!$H:$H,Y176,Prod_Prop!$I:$I,AA$1)*IF(Y176="Peso",$R176,1))</f>
        <v/>
      </c>
      <c r="AB176" s="4" t="str">
        <f>IFERROR(__xludf.DUMMYFUNCTION("IF(OR($U176="""",COUNTIF($I:$I,IFERROR(unique(filter(Prod_Prop!$H:$H,Prod_Prop!$G:$G=$U176,Prod_Prop!$E:$E=AB$1)),""Check""))=0),"""",IFERROR(unique(filter(Prod_Prop!$H:$H,Prod_Prop!$G:$G=$U176,Prod_Prop!$E:$E=AB$1)),""""))"),"")</f>
        <v/>
      </c>
      <c r="AC176" s="4" t="str">
        <f>IF(AB176="","",SUMIFS(Prod_Prop!$J:$J,Prod_Prop!$B:$B,$Q176,Prod_Prop!$H:$H,AB176,Prod_Prop!$I:$I,AC$1)*IF(AB176="Peso",$R176,1))</f>
        <v/>
      </c>
      <c r="AD176" s="4" t="str">
        <f>IF(AB176="","",SUMIFS(Prod_Prop!$J:$J,Prod_Prop!$B:$B,$Q176,Prod_Prop!$H:$H,AB176,Prod_Prop!$I:$I,AD$1)*IF(AB176="Peso",$R176,1))</f>
        <v/>
      </c>
    </row>
    <row r="177">
      <c r="A177" s="4" t="str">
        <f t="array" ref="A177">IF(COUNTIF(A$1:A176,Cotizador!F$2)=maxifs(Familias!E:E,Familias!D:D,Cotizador!F$2),IF(COUNTIF(A$1:A176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7" s="4" t="str">
        <f t="shared" si="1"/>
        <v/>
      </c>
      <c r="C177" s="4" t="str">
        <f t="array" ref="C177">IF(B177="","",IF(A177=XLOOKUP(A$2,Implementos!B:B,Implementos!C:C,"",0,1),B177+maxifs(B$1:B176,A$1:A176,A$2),B177))</f>
        <v/>
      </c>
      <c r="D177" s="4" t="str">
        <f>IF(B177="","", COUNTIFS(Productos!F:F,A177,Productos!H:H,B177)+IF(F177="SI",0,1))</f>
        <v/>
      </c>
      <c r="E177" s="4" t="str">
        <f>IFERROR(__xludf.DUMMYFUNCTION("IF($B177="""","""",INDEX(filter(Familias!F:F,Familias!$D:$D=$A177,Familias!$E:$E=$B177),1))"),"")</f>
        <v/>
      </c>
      <c r="F177" s="4" t="str">
        <f>IFERROR(__xludf.DUMMYFUNCTION("IF($B177="""","""",INDEX(filter(Familias!G:G,Familias!$D:$D=$A177,Familias!$E:$E=$B177),1))"),"")</f>
        <v/>
      </c>
      <c r="G177" s="4" t="str">
        <f t="array" ref="G177">IF(C177=1,XLOOKUP(C177,Cotizador!D:D,Cotizador!E:E,"",0,1),"")</f>
        <v/>
      </c>
      <c r="I177" s="4"/>
      <c r="J177" s="8" t="str">
        <f>IF(I177="","",SUMIF(Cotizador!I$1:V$1,I177,Cotizador!I$2:V$2))</f>
        <v/>
      </c>
      <c r="L177" s="4" t="str">
        <f t="array" ref="L177">IF(COUNTIF(L$1:L176,A$2)=SUMIF(A:A,A$2,D:D),IF(COUNTIF(L$1:L176,XLOOKUP(A$2,Implementos!B:B,Implementos!C:C,"",0,1))=SUMIF(A:A,XLOOKUP(A$2,Implementos!B:B,Implementos!C:C,"",0,1),D:D),"",XLOOKUP(A$2,Implementos!B:B,Implementos!C:C,"",0,1)),A$2)</f>
        <v/>
      </c>
      <c r="M177" s="4" t="str">
        <f t="shared" si="2"/>
        <v/>
      </c>
      <c r="N177" s="4" t="str">
        <f t="shared" si="3"/>
        <v/>
      </c>
      <c r="O177" s="4" t="str">
        <f t="shared" si="4"/>
        <v/>
      </c>
      <c r="P177" s="4" t="str">
        <f t="shared" si="5"/>
        <v/>
      </c>
      <c r="Q177" s="4" t="str">
        <f>IF(U177="","",SUMIF(Productos!E:E,U177,Productos!A:A))</f>
        <v/>
      </c>
      <c r="R177" s="4" t="str">
        <f t="array" ref="R177">IF(L177="","", max(1,SUMIF(I:I,XLOOKUP(U177,Productos!E:E,Productos!G:G,"",0,1),J:J)))</f>
        <v/>
      </c>
      <c r="S177" s="4" t="str">
        <f>IF(Q177="","",IF(SUMIFS(Compat_Vetado!D:D,Compat_Vetado!B:B,SUM(G:G),Compat_Vetado!C:C,Q177)=1,"SI",IF(OR(SUMIF(Cotizador!E:E,Q177,Cotizador!G:G)&gt;0,SUMIFS(Compat_Vetado!D:D,Compat_Vetado!B:B,SUM(G:G),Compat_Vetado!C:C,Q177)=-1),"NO","")))</f>
        <v/>
      </c>
      <c r="T177" s="4" t="str">
        <f t="shared" si="6"/>
        <v/>
      </c>
      <c r="U177" s="4" t="str">
        <f>IFERROR(__xludf.DUMMYFUNCTION("IF(P177="""","""",IFERROR(INDEX(filter(Productos!E:E,Productos!F:F=L177,Productos!H:H=N177),P177),IF(M177=SUM(D:D),""Finalizar"",""-"")))"),"")</f>
        <v/>
      </c>
      <c r="V177" s="4" t="str">
        <f>IFERROR(__xludf.DUMMYFUNCTION("IF(OR($U177="""",COUNTIF($I:$I,IFERROR(unique(filter(Prod_Prop!$H:$H,Prod_Prop!$G:$G=$U177,Prod_Prop!$E:$E=V$1)),""Check""))=0),"""",IFERROR(unique(filter(Prod_Prop!$H:$H,Prod_Prop!$G:$G=$U177,Prod_Prop!$E:$E=V$1)),""""))"),"")</f>
        <v/>
      </c>
      <c r="W177" s="4" t="str">
        <f>IF(V177="","",SUMIFS(Prod_Prop!$J:$J,Prod_Prop!$B:$B,$Q177,Prod_Prop!$H:$H,V177,Prod_Prop!$I:$I,W$1)*IF(V177="Peso",$R177,1))</f>
        <v/>
      </c>
      <c r="X177" s="4" t="str">
        <f>IF(V177="","",SUMIFS(Prod_Prop!$J:$J,Prod_Prop!$B:$B,$Q177,Prod_Prop!$H:$H,V177,Prod_Prop!$I:$I,X$1)*IF(V177="Peso",$R177,1))</f>
        <v/>
      </c>
      <c r="Y177" s="4" t="str">
        <f>IFERROR(__xludf.DUMMYFUNCTION("IF(OR($U177="""",COUNTIF($I:$I,IFERROR(unique(filter(Prod_Prop!$H:$H,Prod_Prop!$G:$G=$U177,Prod_Prop!$E:$E=Y$1)),""Check""))=0),"""",IFERROR(unique(filter(Prod_Prop!$H:$H,Prod_Prop!$G:$G=$U177,Prod_Prop!$E:$E=Y$1)),""""))"),"")</f>
        <v/>
      </c>
      <c r="Z177" s="4" t="str">
        <f>IF(Y177="","",SUMIFS(Prod_Prop!$J:$J,Prod_Prop!$B:$B,$Q177,Prod_Prop!$H:$H,Y177,Prod_Prop!$I:$I,Z$1)*IF(Y177="Peso",$R177,1))</f>
        <v/>
      </c>
      <c r="AA177" s="4" t="str">
        <f>IF(Y177="","",SUMIFS(Prod_Prop!$J:$J,Prod_Prop!$B:$B,$Q177,Prod_Prop!$H:$H,Y177,Prod_Prop!$I:$I,AA$1)*IF(Y177="Peso",$R177,1))</f>
        <v/>
      </c>
      <c r="AB177" s="4" t="str">
        <f>IFERROR(__xludf.DUMMYFUNCTION("IF(OR($U177="""",COUNTIF($I:$I,IFERROR(unique(filter(Prod_Prop!$H:$H,Prod_Prop!$G:$G=$U177,Prod_Prop!$E:$E=AB$1)),""Check""))=0),"""",IFERROR(unique(filter(Prod_Prop!$H:$H,Prod_Prop!$G:$G=$U177,Prod_Prop!$E:$E=AB$1)),""""))"),"")</f>
        <v/>
      </c>
      <c r="AC177" s="4" t="str">
        <f>IF(AB177="","",SUMIFS(Prod_Prop!$J:$J,Prod_Prop!$B:$B,$Q177,Prod_Prop!$H:$H,AB177,Prod_Prop!$I:$I,AC$1)*IF(AB177="Peso",$R177,1))</f>
        <v/>
      </c>
      <c r="AD177" s="4" t="str">
        <f>IF(AB177="","",SUMIFS(Prod_Prop!$J:$J,Prod_Prop!$B:$B,$Q177,Prod_Prop!$H:$H,AB177,Prod_Prop!$I:$I,AD$1)*IF(AB177="Peso",$R177,1))</f>
        <v/>
      </c>
    </row>
    <row r="178">
      <c r="A178" s="4" t="str">
        <f t="array" ref="A178">IF(COUNTIF(A$1:A177,Cotizador!F$2)=maxifs(Familias!E:E,Familias!D:D,Cotizador!F$2),IF(COUNTIF(A$1:A177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8" s="4" t="str">
        <f t="shared" si="1"/>
        <v/>
      </c>
      <c r="C178" s="4" t="str">
        <f t="array" ref="C178">IF(B178="","",IF(A178=XLOOKUP(A$2,Implementos!B:B,Implementos!C:C,"",0,1),B178+maxifs(B$1:B177,A$1:A177,A$2),B178))</f>
        <v/>
      </c>
      <c r="D178" s="4" t="str">
        <f>IF(B178="","", COUNTIFS(Productos!F:F,A178,Productos!H:H,B178)+IF(F178="SI",0,1))</f>
        <v/>
      </c>
      <c r="E178" s="4" t="str">
        <f>IFERROR(__xludf.DUMMYFUNCTION("IF($B178="""","""",INDEX(filter(Familias!F:F,Familias!$D:$D=$A178,Familias!$E:$E=$B178),1))"),"")</f>
        <v/>
      </c>
      <c r="F178" s="4" t="str">
        <f>IFERROR(__xludf.DUMMYFUNCTION("IF($B178="""","""",INDEX(filter(Familias!G:G,Familias!$D:$D=$A178,Familias!$E:$E=$B178),1))"),"")</f>
        <v/>
      </c>
      <c r="G178" s="4" t="str">
        <f t="array" ref="G178">IF(C178=1,XLOOKUP(C178,Cotizador!D:D,Cotizador!E:E,"",0,1),"")</f>
        <v/>
      </c>
      <c r="I178" s="4"/>
      <c r="J178" s="8" t="str">
        <f>IF(I178="","",SUMIF(Cotizador!I$1:V$1,I178,Cotizador!I$2:V$2))</f>
        <v/>
      </c>
      <c r="L178" s="4" t="str">
        <f t="array" ref="L178">IF(COUNTIF(L$1:L177,A$2)=SUMIF(A:A,A$2,D:D),IF(COUNTIF(L$1:L177,XLOOKUP(A$2,Implementos!B:B,Implementos!C:C,"",0,1))=SUMIF(A:A,XLOOKUP(A$2,Implementos!B:B,Implementos!C:C,"",0,1),D:D),"",XLOOKUP(A$2,Implementos!B:B,Implementos!C:C,"",0,1)),A$2)</f>
        <v/>
      </c>
      <c r="M178" s="4" t="str">
        <f t="shared" si="2"/>
        <v/>
      </c>
      <c r="N178" s="4" t="str">
        <f t="shared" si="3"/>
        <v/>
      </c>
      <c r="O178" s="4" t="str">
        <f t="shared" si="4"/>
        <v/>
      </c>
      <c r="P178" s="4" t="str">
        <f t="shared" si="5"/>
        <v/>
      </c>
      <c r="Q178" s="4" t="str">
        <f>IF(U178="","",SUMIF(Productos!E:E,U178,Productos!A:A))</f>
        <v/>
      </c>
      <c r="R178" s="4" t="str">
        <f t="array" ref="R178">IF(L178="","", max(1,SUMIF(I:I,XLOOKUP(U178,Productos!E:E,Productos!G:G,"",0,1),J:J)))</f>
        <v/>
      </c>
      <c r="S178" s="4" t="str">
        <f>IF(Q178="","",IF(SUMIFS(Compat_Vetado!D:D,Compat_Vetado!B:B,SUM(G:G),Compat_Vetado!C:C,Q178)=1,"SI",IF(OR(SUMIF(Cotizador!E:E,Q178,Cotizador!G:G)&gt;0,SUMIFS(Compat_Vetado!D:D,Compat_Vetado!B:B,SUM(G:G),Compat_Vetado!C:C,Q178)=-1),"NO","")))</f>
        <v/>
      </c>
      <c r="T178" s="4" t="str">
        <f t="shared" si="6"/>
        <v/>
      </c>
      <c r="U178" s="4" t="str">
        <f>IFERROR(__xludf.DUMMYFUNCTION("IF(P178="""","""",IFERROR(INDEX(filter(Productos!E:E,Productos!F:F=L178,Productos!H:H=N178),P178),IF(M178=SUM(D:D),""Finalizar"",""-"")))"),"")</f>
        <v/>
      </c>
      <c r="V178" s="4" t="str">
        <f>IFERROR(__xludf.DUMMYFUNCTION("IF(OR($U178="""",COUNTIF($I:$I,IFERROR(unique(filter(Prod_Prop!$H:$H,Prod_Prop!$G:$G=$U178,Prod_Prop!$E:$E=V$1)),""Check""))=0),"""",IFERROR(unique(filter(Prod_Prop!$H:$H,Prod_Prop!$G:$G=$U178,Prod_Prop!$E:$E=V$1)),""""))"),"")</f>
        <v/>
      </c>
      <c r="W178" s="4" t="str">
        <f>IF(V178="","",SUMIFS(Prod_Prop!$J:$J,Prod_Prop!$B:$B,$Q178,Prod_Prop!$H:$H,V178,Prod_Prop!$I:$I,W$1)*IF(V178="Peso",$R178,1))</f>
        <v/>
      </c>
      <c r="X178" s="4" t="str">
        <f>IF(V178="","",SUMIFS(Prod_Prop!$J:$J,Prod_Prop!$B:$B,$Q178,Prod_Prop!$H:$H,V178,Prod_Prop!$I:$I,X$1)*IF(V178="Peso",$R178,1))</f>
        <v/>
      </c>
      <c r="Y178" s="4" t="str">
        <f>IFERROR(__xludf.DUMMYFUNCTION("IF(OR($U178="""",COUNTIF($I:$I,IFERROR(unique(filter(Prod_Prop!$H:$H,Prod_Prop!$G:$G=$U178,Prod_Prop!$E:$E=Y$1)),""Check""))=0),"""",IFERROR(unique(filter(Prod_Prop!$H:$H,Prod_Prop!$G:$G=$U178,Prod_Prop!$E:$E=Y$1)),""""))"),"")</f>
        <v/>
      </c>
      <c r="Z178" s="4" t="str">
        <f>IF(Y178="","",SUMIFS(Prod_Prop!$J:$J,Prod_Prop!$B:$B,$Q178,Prod_Prop!$H:$H,Y178,Prod_Prop!$I:$I,Z$1)*IF(Y178="Peso",$R178,1))</f>
        <v/>
      </c>
      <c r="AA178" s="4" t="str">
        <f>IF(Y178="","",SUMIFS(Prod_Prop!$J:$J,Prod_Prop!$B:$B,$Q178,Prod_Prop!$H:$H,Y178,Prod_Prop!$I:$I,AA$1)*IF(Y178="Peso",$R178,1))</f>
        <v/>
      </c>
      <c r="AB178" s="4" t="str">
        <f>IFERROR(__xludf.DUMMYFUNCTION("IF(OR($U178="""",COUNTIF($I:$I,IFERROR(unique(filter(Prod_Prop!$H:$H,Prod_Prop!$G:$G=$U178,Prod_Prop!$E:$E=AB$1)),""Check""))=0),"""",IFERROR(unique(filter(Prod_Prop!$H:$H,Prod_Prop!$G:$G=$U178,Prod_Prop!$E:$E=AB$1)),""""))"),"")</f>
        <v/>
      </c>
      <c r="AC178" s="4" t="str">
        <f>IF(AB178="","",SUMIFS(Prod_Prop!$J:$J,Prod_Prop!$B:$B,$Q178,Prod_Prop!$H:$H,AB178,Prod_Prop!$I:$I,AC$1)*IF(AB178="Peso",$R178,1))</f>
        <v/>
      </c>
      <c r="AD178" s="4" t="str">
        <f>IF(AB178="","",SUMIFS(Prod_Prop!$J:$J,Prod_Prop!$B:$B,$Q178,Prod_Prop!$H:$H,AB178,Prod_Prop!$I:$I,AD$1)*IF(AB178="Peso",$R178,1))</f>
        <v/>
      </c>
    </row>
    <row r="179">
      <c r="A179" s="4" t="str">
        <f t="array" ref="A179">IF(COUNTIF(A$1:A178,Cotizador!F$2)=maxifs(Familias!E:E,Familias!D:D,Cotizador!F$2),IF(COUNTIF(A$1:A178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79" s="4" t="str">
        <f t="shared" si="1"/>
        <v/>
      </c>
      <c r="C179" s="4" t="str">
        <f t="array" ref="C179">IF(B179="","",IF(A179=XLOOKUP(A$2,Implementos!B:B,Implementos!C:C,"",0,1),B179+maxifs(B$1:B178,A$1:A178,A$2),B179))</f>
        <v/>
      </c>
      <c r="D179" s="4" t="str">
        <f>IF(B179="","", COUNTIFS(Productos!F:F,A179,Productos!H:H,B179)+IF(F179="SI",0,1))</f>
        <v/>
      </c>
      <c r="E179" s="4" t="str">
        <f>IFERROR(__xludf.DUMMYFUNCTION("IF($B179="""","""",INDEX(filter(Familias!F:F,Familias!$D:$D=$A179,Familias!$E:$E=$B179),1))"),"")</f>
        <v/>
      </c>
      <c r="F179" s="4" t="str">
        <f>IFERROR(__xludf.DUMMYFUNCTION("IF($B179="""","""",INDEX(filter(Familias!G:G,Familias!$D:$D=$A179,Familias!$E:$E=$B179),1))"),"")</f>
        <v/>
      </c>
      <c r="G179" s="4" t="str">
        <f t="array" ref="G179">IF(C179=1,XLOOKUP(C179,Cotizador!D:D,Cotizador!E:E,"",0,1),"")</f>
        <v/>
      </c>
      <c r="I179" s="4"/>
      <c r="J179" s="8" t="str">
        <f>IF(I179="","",SUMIF(Cotizador!I$1:V$1,I179,Cotizador!I$2:V$2))</f>
        <v/>
      </c>
      <c r="L179" s="4" t="str">
        <f t="array" ref="L179">IF(COUNTIF(L$1:L178,A$2)=SUMIF(A:A,A$2,D:D),IF(COUNTIF(L$1:L178,XLOOKUP(A$2,Implementos!B:B,Implementos!C:C,"",0,1))=SUMIF(A:A,XLOOKUP(A$2,Implementos!B:B,Implementos!C:C,"",0,1),D:D),"",XLOOKUP(A$2,Implementos!B:B,Implementos!C:C,"",0,1)),A$2)</f>
        <v/>
      </c>
      <c r="M179" s="4" t="str">
        <f t="shared" si="2"/>
        <v/>
      </c>
      <c r="N179" s="4" t="str">
        <f t="shared" si="3"/>
        <v/>
      </c>
      <c r="O179" s="4" t="str">
        <f t="shared" si="4"/>
        <v/>
      </c>
      <c r="P179" s="4" t="str">
        <f t="shared" si="5"/>
        <v/>
      </c>
      <c r="Q179" s="4" t="str">
        <f>IF(U179="","",SUMIF(Productos!E:E,U179,Productos!A:A))</f>
        <v/>
      </c>
      <c r="R179" s="4" t="str">
        <f t="array" ref="R179">IF(L179="","", max(1,SUMIF(I:I,XLOOKUP(U179,Productos!E:E,Productos!G:G,"",0,1),J:J)))</f>
        <v/>
      </c>
      <c r="S179" s="4" t="str">
        <f>IF(Q179="","",IF(SUMIFS(Compat_Vetado!D:D,Compat_Vetado!B:B,SUM(G:G),Compat_Vetado!C:C,Q179)=1,"SI",IF(OR(SUMIF(Cotizador!E:E,Q179,Cotizador!G:G)&gt;0,SUMIFS(Compat_Vetado!D:D,Compat_Vetado!B:B,SUM(G:G),Compat_Vetado!C:C,Q179)=-1),"NO","")))</f>
        <v/>
      </c>
      <c r="T179" s="4" t="str">
        <f t="shared" si="6"/>
        <v/>
      </c>
      <c r="U179" s="4" t="str">
        <f>IFERROR(__xludf.DUMMYFUNCTION("IF(P179="""","""",IFERROR(INDEX(filter(Productos!E:E,Productos!F:F=L179,Productos!H:H=N179),P179),IF(M179=SUM(D:D),""Finalizar"",""-"")))"),"")</f>
        <v/>
      </c>
      <c r="V179" s="4" t="str">
        <f>IFERROR(__xludf.DUMMYFUNCTION("IF(OR($U179="""",COUNTIF($I:$I,IFERROR(unique(filter(Prod_Prop!$H:$H,Prod_Prop!$G:$G=$U179,Prod_Prop!$E:$E=V$1)),""Check""))=0),"""",IFERROR(unique(filter(Prod_Prop!$H:$H,Prod_Prop!$G:$G=$U179,Prod_Prop!$E:$E=V$1)),""""))"),"")</f>
        <v/>
      </c>
      <c r="W179" s="4" t="str">
        <f>IF(V179="","",SUMIFS(Prod_Prop!$J:$J,Prod_Prop!$B:$B,$Q179,Prod_Prop!$H:$H,V179,Prod_Prop!$I:$I,W$1)*IF(V179="Peso",$R179,1))</f>
        <v/>
      </c>
      <c r="X179" s="4" t="str">
        <f>IF(V179="","",SUMIFS(Prod_Prop!$J:$J,Prod_Prop!$B:$B,$Q179,Prod_Prop!$H:$H,V179,Prod_Prop!$I:$I,X$1)*IF(V179="Peso",$R179,1))</f>
        <v/>
      </c>
      <c r="Y179" s="4" t="str">
        <f>IFERROR(__xludf.DUMMYFUNCTION("IF(OR($U179="""",COUNTIF($I:$I,IFERROR(unique(filter(Prod_Prop!$H:$H,Prod_Prop!$G:$G=$U179,Prod_Prop!$E:$E=Y$1)),""Check""))=0),"""",IFERROR(unique(filter(Prod_Prop!$H:$H,Prod_Prop!$G:$G=$U179,Prod_Prop!$E:$E=Y$1)),""""))"),"")</f>
        <v/>
      </c>
      <c r="Z179" s="4" t="str">
        <f>IF(Y179="","",SUMIFS(Prod_Prop!$J:$J,Prod_Prop!$B:$B,$Q179,Prod_Prop!$H:$H,Y179,Prod_Prop!$I:$I,Z$1)*IF(Y179="Peso",$R179,1))</f>
        <v/>
      </c>
      <c r="AA179" s="4" t="str">
        <f>IF(Y179="","",SUMIFS(Prod_Prop!$J:$J,Prod_Prop!$B:$B,$Q179,Prod_Prop!$H:$H,Y179,Prod_Prop!$I:$I,AA$1)*IF(Y179="Peso",$R179,1))</f>
        <v/>
      </c>
      <c r="AB179" s="4" t="str">
        <f>IFERROR(__xludf.DUMMYFUNCTION("IF(OR($U179="""",COUNTIF($I:$I,IFERROR(unique(filter(Prod_Prop!$H:$H,Prod_Prop!$G:$G=$U179,Prod_Prop!$E:$E=AB$1)),""Check""))=0),"""",IFERROR(unique(filter(Prod_Prop!$H:$H,Prod_Prop!$G:$G=$U179,Prod_Prop!$E:$E=AB$1)),""""))"),"")</f>
        <v/>
      </c>
      <c r="AC179" s="4" t="str">
        <f>IF(AB179="","",SUMIFS(Prod_Prop!$J:$J,Prod_Prop!$B:$B,$Q179,Prod_Prop!$H:$H,AB179,Prod_Prop!$I:$I,AC$1)*IF(AB179="Peso",$R179,1))</f>
        <v/>
      </c>
      <c r="AD179" s="4" t="str">
        <f>IF(AB179="","",SUMIFS(Prod_Prop!$J:$J,Prod_Prop!$B:$B,$Q179,Prod_Prop!$H:$H,AB179,Prod_Prop!$I:$I,AD$1)*IF(AB179="Peso",$R179,1))</f>
        <v/>
      </c>
    </row>
    <row r="180">
      <c r="A180" s="4" t="str">
        <f t="array" ref="A180">IF(COUNTIF(A$1:A179,Cotizador!F$2)=maxifs(Familias!E:E,Familias!D:D,Cotizador!F$2),IF(COUNTIF(A$1:A179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0" s="4" t="str">
        <f t="shared" si="1"/>
        <v/>
      </c>
      <c r="C180" s="4" t="str">
        <f t="array" ref="C180">IF(B180="","",IF(A180=XLOOKUP(A$2,Implementos!B:B,Implementos!C:C,"",0,1),B180+maxifs(B$1:B179,A$1:A179,A$2),B180))</f>
        <v/>
      </c>
      <c r="D180" s="4" t="str">
        <f>IF(B180="","", COUNTIFS(Productos!F:F,A180,Productos!H:H,B180)+IF(F180="SI",0,1))</f>
        <v/>
      </c>
      <c r="E180" s="4" t="str">
        <f>IFERROR(__xludf.DUMMYFUNCTION("IF($B180="""","""",INDEX(filter(Familias!F:F,Familias!$D:$D=$A180,Familias!$E:$E=$B180),1))"),"")</f>
        <v/>
      </c>
      <c r="F180" s="4" t="str">
        <f>IFERROR(__xludf.DUMMYFUNCTION("IF($B180="""","""",INDEX(filter(Familias!G:G,Familias!$D:$D=$A180,Familias!$E:$E=$B180),1))"),"")</f>
        <v/>
      </c>
      <c r="G180" s="4" t="str">
        <f t="array" ref="G180">IF(C180=1,XLOOKUP(C180,Cotizador!D:D,Cotizador!E:E,"",0,1),"")</f>
        <v/>
      </c>
      <c r="I180" s="4"/>
      <c r="J180" s="8" t="str">
        <f>IF(I180="","",SUMIF(Cotizador!I$1:V$1,I180,Cotizador!I$2:V$2))</f>
        <v/>
      </c>
      <c r="L180" s="4" t="str">
        <f t="array" ref="L180">IF(COUNTIF(L$1:L179,A$2)=SUMIF(A:A,A$2,D:D),IF(COUNTIF(L$1:L179,XLOOKUP(A$2,Implementos!B:B,Implementos!C:C,"",0,1))=SUMIF(A:A,XLOOKUP(A$2,Implementos!B:B,Implementos!C:C,"",0,1),D:D),"",XLOOKUP(A$2,Implementos!B:B,Implementos!C:C,"",0,1)),A$2)</f>
        <v/>
      </c>
      <c r="M180" s="4" t="str">
        <f t="shared" si="2"/>
        <v/>
      </c>
      <c r="N180" s="4" t="str">
        <f t="shared" si="3"/>
        <v/>
      </c>
      <c r="O180" s="4" t="str">
        <f t="shared" si="4"/>
        <v/>
      </c>
      <c r="P180" s="4" t="str">
        <f t="shared" si="5"/>
        <v/>
      </c>
      <c r="Q180" s="4" t="str">
        <f>IF(U180="","",SUMIF(Productos!E:E,U180,Productos!A:A))</f>
        <v/>
      </c>
      <c r="R180" s="4" t="str">
        <f t="array" ref="R180">IF(L180="","", max(1,SUMIF(I:I,XLOOKUP(U180,Productos!E:E,Productos!G:G,"",0,1),J:J)))</f>
        <v/>
      </c>
      <c r="S180" s="4" t="str">
        <f>IF(Q180="","",IF(SUMIFS(Compat_Vetado!D:D,Compat_Vetado!B:B,SUM(G:G),Compat_Vetado!C:C,Q180)=1,"SI",IF(OR(SUMIF(Cotizador!E:E,Q180,Cotizador!G:G)&gt;0,SUMIFS(Compat_Vetado!D:D,Compat_Vetado!B:B,SUM(G:G),Compat_Vetado!C:C,Q180)=-1),"NO","")))</f>
        <v/>
      </c>
      <c r="T180" s="4" t="str">
        <f t="shared" si="6"/>
        <v/>
      </c>
      <c r="U180" s="4" t="str">
        <f>IFERROR(__xludf.DUMMYFUNCTION("IF(P180="""","""",IFERROR(INDEX(filter(Productos!E:E,Productos!F:F=L180,Productos!H:H=N180),P180),IF(M180=SUM(D:D),""Finalizar"",""-"")))"),"")</f>
        <v/>
      </c>
      <c r="V180" s="4" t="str">
        <f>IFERROR(__xludf.DUMMYFUNCTION("IF(OR($U180="""",COUNTIF($I:$I,IFERROR(unique(filter(Prod_Prop!$H:$H,Prod_Prop!$G:$G=$U180,Prod_Prop!$E:$E=V$1)),""Check""))=0),"""",IFERROR(unique(filter(Prod_Prop!$H:$H,Prod_Prop!$G:$G=$U180,Prod_Prop!$E:$E=V$1)),""""))"),"")</f>
        <v/>
      </c>
      <c r="W180" s="4" t="str">
        <f>IF(V180="","",SUMIFS(Prod_Prop!$J:$J,Prod_Prop!$B:$B,$Q180,Prod_Prop!$H:$H,V180,Prod_Prop!$I:$I,W$1)*IF(V180="Peso",$R180,1))</f>
        <v/>
      </c>
      <c r="X180" s="4" t="str">
        <f>IF(V180="","",SUMIFS(Prod_Prop!$J:$J,Prod_Prop!$B:$B,$Q180,Prod_Prop!$H:$H,V180,Prod_Prop!$I:$I,X$1)*IF(V180="Peso",$R180,1))</f>
        <v/>
      </c>
      <c r="Y180" s="4" t="str">
        <f>IFERROR(__xludf.DUMMYFUNCTION("IF(OR($U180="""",COUNTIF($I:$I,IFERROR(unique(filter(Prod_Prop!$H:$H,Prod_Prop!$G:$G=$U180,Prod_Prop!$E:$E=Y$1)),""Check""))=0),"""",IFERROR(unique(filter(Prod_Prop!$H:$H,Prod_Prop!$G:$G=$U180,Prod_Prop!$E:$E=Y$1)),""""))"),"")</f>
        <v/>
      </c>
      <c r="Z180" s="4" t="str">
        <f>IF(Y180="","",SUMIFS(Prod_Prop!$J:$J,Prod_Prop!$B:$B,$Q180,Prod_Prop!$H:$H,Y180,Prod_Prop!$I:$I,Z$1)*IF(Y180="Peso",$R180,1))</f>
        <v/>
      </c>
      <c r="AA180" s="4" t="str">
        <f>IF(Y180="","",SUMIFS(Prod_Prop!$J:$J,Prod_Prop!$B:$B,$Q180,Prod_Prop!$H:$H,Y180,Prod_Prop!$I:$I,AA$1)*IF(Y180="Peso",$R180,1))</f>
        <v/>
      </c>
      <c r="AB180" s="4" t="str">
        <f>IFERROR(__xludf.DUMMYFUNCTION("IF(OR($U180="""",COUNTIF($I:$I,IFERROR(unique(filter(Prod_Prop!$H:$H,Prod_Prop!$G:$G=$U180,Prod_Prop!$E:$E=AB$1)),""Check""))=0),"""",IFERROR(unique(filter(Prod_Prop!$H:$H,Prod_Prop!$G:$G=$U180,Prod_Prop!$E:$E=AB$1)),""""))"),"")</f>
        <v/>
      </c>
      <c r="AC180" s="4" t="str">
        <f>IF(AB180="","",SUMIFS(Prod_Prop!$J:$J,Prod_Prop!$B:$B,$Q180,Prod_Prop!$H:$H,AB180,Prod_Prop!$I:$I,AC$1)*IF(AB180="Peso",$R180,1))</f>
        <v/>
      </c>
      <c r="AD180" s="4" t="str">
        <f>IF(AB180="","",SUMIFS(Prod_Prop!$J:$J,Prod_Prop!$B:$B,$Q180,Prod_Prop!$H:$H,AB180,Prod_Prop!$I:$I,AD$1)*IF(AB180="Peso",$R180,1))</f>
        <v/>
      </c>
    </row>
    <row r="181">
      <c r="A181" s="4" t="str">
        <f t="array" ref="A181">IF(COUNTIF(A$1:A180,Cotizador!F$2)=maxifs(Familias!E:E,Familias!D:D,Cotizador!F$2),IF(COUNTIF(A$1:A180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1" s="4" t="str">
        <f t="shared" si="1"/>
        <v/>
      </c>
      <c r="C181" s="4" t="str">
        <f t="array" ref="C181">IF(B181="","",IF(A181=XLOOKUP(A$2,Implementos!B:B,Implementos!C:C,"",0,1),B181+maxifs(B$1:B180,A$1:A180,A$2),B181))</f>
        <v/>
      </c>
      <c r="D181" s="4" t="str">
        <f>IF(B181="","", COUNTIFS(Productos!F:F,A181,Productos!H:H,B181)+IF(F181="SI",0,1))</f>
        <v/>
      </c>
      <c r="E181" s="4" t="str">
        <f>IFERROR(__xludf.DUMMYFUNCTION("IF($B181="""","""",INDEX(filter(Familias!F:F,Familias!$D:$D=$A181,Familias!$E:$E=$B181),1))"),"")</f>
        <v/>
      </c>
      <c r="F181" s="4" t="str">
        <f>IFERROR(__xludf.DUMMYFUNCTION("IF($B181="""","""",INDEX(filter(Familias!G:G,Familias!$D:$D=$A181,Familias!$E:$E=$B181),1))"),"")</f>
        <v/>
      </c>
      <c r="G181" s="4" t="str">
        <f t="array" ref="G181">IF(C181=1,XLOOKUP(C181,Cotizador!D:D,Cotizador!E:E,"",0,1),"")</f>
        <v/>
      </c>
      <c r="I181" s="4"/>
      <c r="J181" s="8" t="str">
        <f>IF(I181="","",SUMIF(Cotizador!I$1:V$1,I181,Cotizador!I$2:V$2))</f>
        <v/>
      </c>
      <c r="L181" s="4" t="str">
        <f t="array" ref="L181">IF(COUNTIF(L$1:L180,A$2)=SUMIF(A:A,A$2,D:D),IF(COUNTIF(L$1:L180,XLOOKUP(A$2,Implementos!B:B,Implementos!C:C,"",0,1))=SUMIF(A:A,XLOOKUP(A$2,Implementos!B:B,Implementos!C:C,"",0,1),D:D),"",XLOOKUP(A$2,Implementos!B:B,Implementos!C:C,"",0,1)),A$2)</f>
        <v/>
      </c>
      <c r="M181" s="4" t="str">
        <f t="shared" si="2"/>
        <v/>
      </c>
      <c r="N181" s="4" t="str">
        <f t="shared" si="3"/>
        <v/>
      </c>
      <c r="O181" s="4" t="str">
        <f t="shared" si="4"/>
        <v/>
      </c>
      <c r="P181" s="4" t="str">
        <f t="shared" si="5"/>
        <v/>
      </c>
      <c r="Q181" s="4" t="str">
        <f>IF(U181="","",SUMIF(Productos!E:E,U181,Productos!A:A))</f>
        <v/>
      </c>
      <c r="R181" s="4" t="str">
        <f t="array" ref="R181">IF(L181="","", max(1,SUMIF(I:I,XLOOKUP(U181,Productos!E:E,Productos!G:G,"",0,1),J:J)))</f>
        <v/>
      </c>
      <c r="S181" s="4" t="str">
        <f>IF(Q181="","",IF(SUMIFS(Compat_Vetado!D:D,Compat_Vetado!B:B,SUM(G:G),Compat_Vetado!C:C,Q181)=1,"SI",IF(OR(SUMIF(Cotizador!E:E,Q181,Cotizador!G:G)&gt;0,SUMIFS(Compat_Vetado!D:D,Compat_Vetado!B:B,SUM(G:G),Compat_Vetado!C:C,Q181)=-1),"NO","")))</f>
        <v/>
      </c>
      <c r="T181" s="4" t="str">
        <f t="shared" si="6"/>
        <v/>
      </c>
      <c r="U181" s="4" t="str">
        <f>IFERROR(__xludf.DUMMYFUNCTION("IF(P181="""","""",IFERROR(INDEX(filter(Productos!E:E,Productos!F:F=L181,Productos!H:H=N181),P181),IF(M181=SUM(D:D),""Finalizar"",""-"")))"),"")</f>
        <v/>
      </c>
      <c r="V181" s="4" t="str">
        <f>IFERROR(__xludf.DUMMYFUNCTION("IF(OR($U181="""",COUNTIF($I:$I,IFERROR(unique(filter(Prod_Prop!$H:$H,Prod_Prop!$G:$G=$U181,Prod_Prop!$E:$E=V$1)),""Check""))=0),"""",IFERROR(unique(filter(Prod_Prop!$H:$H,Prod_Prop!$G:$G=$U181,Prod_Prop!$E:$E=V$1)),""""))"),"")</f>
        <v/>
      </c>
      <c r="W181" s="4" t="str">
        <f>IF(V181="","",SUMIFS(Prod_Prop!$J:$J,Prod_Prop!$B:$B,$Q181,Prod_Prop!$H:$H,V181,Prod_Prop!$I:$I,W$1)*IF(V181="Peso",$R181,1))</f>
        <v/>
      </c>
      <c r="X181" s="4" t="str">
        <f>IF(V181="","",SUMIFS(Prod_Prop!$J:$J,Prod_Prop!$B:$B,$Q181,Prod_Prop!$H:$H,V181,Prod_Prop!$I:$I,X$1)*IF(V181="Peso",$R181,1))</f>
        <v/>
      </c>
      <c r="Y181" s="4" t="str">
        <f>IFERROR(__xludf.DUMMYFUNCTION("IF(OR($U181="""",COUNTIF($I:$I,IFERROR(unique(filter(Prod_Prop!$H:$H,Prod_Prop!$G:$G=$U181,Prod_Prop!$E:$E=Y$1)),""Check""))=0),"""",IFERROR(unique(filter(Prod_Prop!$H:$H,Prod_Prop!$G:$G=$U181,Prod_Prop!$E:$E=Y$1)),""""))"),"")</f>
        <v/>
      </c>
      <c r="Z181" s="4" t="str">
        <f>IF(Y181="","",SUMIFS(Prod_Prop!$J:$J,Prod_Prop!$B:$B,$Q181,Prod_Prop!$H:$H,Y181,Prod_Prop!$I:$I,Z$1)*IF(Y181="Peso",$R181,1))</f>
        <v/>
      </c>
      <c r="AA181" s="4" t="str">
        <f>IF(Y181="","",SUMIFS(Prod_Prop!$J:$J,Prod_Prop!$B:$B,$Q181,Prod_Prop!$H:$H,Y181,Prod_Prop!$I:$I,AA$1)*IF(Y181="Peso",$R181,1))</f>
        <v/>
      </c>
      <c r="AB181" s="4" t="str">
        <f>IFERROR(__xludf.DUMMYFUNCTION("IF(OR($U181="""",COUNTIF($I:$I,IFERROR(unique(filter(Prod_Prop!$H:$H,Prod_Prop!$G:$G=$U181,Prod_Prop!$E:$E=AB$1)),""Check""))=0),"""",IFERROR(unique(filter(Prod_Prop!$H:$H,Prod_Prop!$G:$G=$U181,Prod_Prop!$E:$E=AB$1)),""""))"),"")</f>
        <v/>
      </c>
      <c r="AC181" s="4" t="str">
        <f>IF(AB181="","",SUMIFS(Prod_Prop!$J:$J,Prod_Prop!$B:$B,$Q181,Prod_Prop!$H:$H,AB181,Prod_Prop!$I:$I,AC$1)*IF(AB181="Peso",$R181,1))</f>
        <v/>
      </c>
      <c r="AD181" s="4" t="str">
        <f>IF(AB181="","",SUMIFS(Prod_Prop!$J:$J,Prod_Prop!$B:$B,$Q181,Prod_Prop!$H:$H,AB181,Prod_Prop!$I:$I,AD$1)*IF(AB181="Peso",$R181,1))</f>
        <v/>
      </c>
    </row>
    <row r="182">
      <c r="A182" s="4" t="str">
        <f t="array" ref="A182">IF(COUNTIF(A$1:A181,Cotizador!F$2)=maxifs(Familias!E:E,Familias!D:D,Cotizador!F$2),IF(COUNTIF(A$1:A181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2" s="4" t="str">
        <f t="shared" si="1"/>
        <v/>
      </c>
      <c r="C182" s="4" t="str">
        <f t="array" ref="C182">IF(B182="","",IF(A182=XLOOKUP(A$2,Implementos!B:B,Implementos!C:C,"",0,1),B182+maxifs(B$1:B181,A$1:A181,A$2),B182))</f>
        <v/>
      </c>
      <c r="D182" s="4" t="str">
        <f>IF(B182="","", COUNTIFS(Productos!F:F,A182,Productos!H:H,B182)+IF(F182="SI",0,1))</f>
        <v/>
      </c>
      <c r="E182" s="4" t="str">
        <f>IFERROR(__xludf.DUMMYFUNCTION("IF($B182="""","""",INDEX(filter(Familias!F:F,Familias!$D:$D=$A182,Familias!$E:$E=$B182),1))"),"")</f>
        <v/>
      </c>
      <c r="F182" s="4" t="str">
        <f>IFERROR(__xludf.DUMMYFUNCTION("IF($B182="""","""",INDEX(filter(Familias!G:G,Familias!$D:$D=$A182,Familias!$E:$E=$B182),1))"),"")</f>
        <v/>
      </c>
      <c r="G182" s="4" t="str">
        <f t="array" ref="G182">IF(C182=1,XLOOKUP(C182,Cotizador!D:D,Cotizador!E:E,"",0,1),"")</f>
        <v/>
      </c>
      <c r="I182" s="4"/>
      <c r="J182" s="8" t="str">
        <f>IF(I182="","",SUMIF(Cotizador!I$1:V$1,I182,Cotizador!I$2:V$2))</f>
        <v/>
      </c>
      <c r="L182" s="4" t="str">
        <f t="array" ref="L182">IF(COUNTIF(L$1:L181,A$2)=SUMIF(A:A,A$2,D:D),IF(COUNTIF(L$1:L181,XLOOKUP(A$2,Implementos!B:B,Implementos!C:C,"",0,1))=SUMIF(A:A,XLOOKUP(A$2,Implementos!B:B,Implementos!C:C,"",0,1),D:D),"",XLOOKUP(A$2,Implementos!B:B,Implementos!C:C,"",0,1)),A$2)</f>
        <v/>
      </c>
      <c r="M182" s="4" t="str">
        <f t="shared" si="2"/>
        <v/>
      </c>
      <c r="N182" s="4" t="str">
        <f t="shared" si="3"/>
        <v/>
      </c>
      <c r="O182" s="4" t="str">
        <f t="shared" si="4"/>
        <v/>
      </c>
      <c r="P182" s="4" t="str">
        <f t="shared" si="5"/>
        <v/>
      </c>
      <c r="Q182" s="4" t="str">
        <f>IF(U182="","",SUMIF(Productos!E:E,U182,Productos!A:A))</f>
        <v/>
      </c>
      <c r="R182" s="4" t="str">
        <f t="array" ref="R182">IF(L182="","", max(1,SUMIF(I:I,XLOOKUP(U182,Productos!E:E,Productos!G:G,"",0,1),J:J)))</f>
        <v/>
      </c>
      <c r="S182" s="4" t="str">
        <f>IF(Q182="","",IF(SUMIFS(Compat_Vetado!D:D,Compat_Vetado!B:B,SUM(G:G),Compat_Vetado!C:C,Q182)=1,"SI",IF(OR(SUMIF(Cotizador!E:E,Q182,Cotizador!G:G)&gt;0,SUMIFS(Compat_Vetado!D:D,Compat_Vetado!B:B,SUM(G:G),Compat_Vetado!C:C,Q182)=-1),"NO","")))</f>
        <v/>
      </c>
      <c r="T182" s="4" t="str">
        <f t="shared" si="6"/>
        <v/>
      </c>
      <c r="U182" s="4" t="str">
        <f>IFERROR(__xludf.DUMMYFUNCTION("IF(P182="""","""",IFERROR(INDEX(filter(Productos!E:E,Productos!F:F=L182,Productos!H:H=N182),P182),IF(M182=SUM(D:D),""Finalizar"",""-"")))"),"")</f>
        <v/>
      </c>
      <c r="V182" s="4" t="str">
        <f>IFERROR(__xludf.DUMMYFUNCTION("IF(OR($U182="""",COUNTIF($I:$I,IFERROR(unique(filter(Prod_Prop!$H:$H,Prod_Prop!$G:$G=$U182,Prod_Prop!$E:$E=V$1)),""Check""))=0),"""",IFERROR(unique(filter(Prod_Prop!$H:$H,Prod_Prop!$G:$G=$U182,Prod_Prop!$E:$E=V$1)),""""))"),"")</f>
        <v/>
      </c>
      <c r="W182" s="4" t="str">
        <f>IF(V182="","",SUMIFS(Prod_Prop!$J:$J,Prod_Prop!$B:$B,$Q182,Prod_Prop!$H:$H,V182,Prod_Prop!$I:$I,W$1)*IF(V182="Peso",$R182,1))</f>
        <v/>
      </c>
      <c r="X182" s="4" t="str">
        <f>IF(V182="","",SUMIFS(Prod_Prop!$J:$J,Prod_Prop!$B:$B,$Q182,Prod_Prop!$H:$H,V182,Prod_Prop!$I:$I,X$1)*IF(V182="Peso",$R182,1))</f>
        <v/>
      </c>
      <c r="Y182" s="4" t="str">
        <f>IFERROR(__xludf.DUMMYFUNCTION("IF(OR($U182="""",COUNTIF($I:$I,IFERROR(unique(filter(Prod_Prop!$H:$H,Prod_Prop!$G:$G=$U182,Prod_Prop!$E:$E=Y$1)),""Check""))=0),"""",IFERROR(unique(filter(Prod_Prop!$H:$H,Prod_Prop!$G:$G=$U182,Prod_Prop!$E:$E=Y$1)),""""))"),"")</f>
        <v/>
      </c>
      <c r="Z182" s="4" t="str">
        <f>IF(Y182="","",SUMIFS(Prod_Prop!$J:$J,Prod_Prop!$B:$B,$Q182,Prod_Prop!$H:$H,Y182,Prod_Prop!$I:$I,Z$1)*IF(Y182="Peso",$R182,1))</f>
        <v/>
      </c>
      <c r="AA182" s="4" t="str">
        <f>IF(Y182="","",SUMIFS(Prod_Prop!$J:$J,Prod_Prop!$B:$B,$Q182,Prod_Prop!$H:$H,Y182,Prod_Prop!$I:$I,AA$1)*IF(Y182="Peso",$R182,1))</f>
        <v/>
      </c>
      <c r="AB182" s="4" t="str">
        <f>IFERROR(__xludf.DUMMYFUNCTION("IF(OR($U182="""",COUNTIF($I:$I,IFERROR(unique(filter(Prod_Prop!$H:$H,Prod_Prop!$G:$G=$U182,Prod_Prop!$E:$E=AB$1)),""Check""))=0),"""",IFERROR(unique(filter(Prod_Prop!$H:$H,Prod_Prop!$G:$G=$U182,Prod_Prop!$E:$E=AB$1)),""""))"),"")</f>
        <v/>
      </c>
      <c r="AC182" s="4" t="str">
        <f>IF(AB182="","",SUMIFS(Prod_Prop!$J:$J,Prod_Prop!$B:$B,$Q182,Prod_Prop!$H:$H,AB182,Prod_Prop!$I:$I,AC$1)*IF(AB182="Peso",$R182,1))</f>
        <v/>
      </c>
      <c r="AD182" s="4" t="str">
        <f>IF(AB182="","",SUMIFS(Prod_Prop!$J:$J,Prod_Prop!$B:$B,$Q182,Prod_Prop!$H:$H,AB182,Prod_Prop!$I:$I,AD$1)*IF(AB182="Peso",$R182,1))</f>
        <v/>
      </c>
    </row>
    <row r="183">
      <c r="A183" s="4" t="str">
        <f t="array" ref="A183">IF(COUNTIF(A$1:A182,Cotizador!F$2)=maxifs(Familias!E:E,Familias!D:D,Cotizador!F$2),IF(COUNTIF(A$1:A182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3" s="4" t="str">
        <f t="shared" si="1"/>
        <v/>
      </c>
      <c r="C183" s="4" t="str">
        <f t="array" ref="C183">IF(B183="","",IF(A183=XLOOKUP(A$2,Implementos!B:B,Implementos!C:C,"",0,1),B183+maxifs(B$1:B182,A$1:A182,A$2),B183))</f>
        <v/>
      </c>
      <c r="D183" s="4" t="str">
        <f>IF(B183="","", COUNTIFS(Productos!F:F,A183,Productos!H:H,B183)+IF(F183="SI",0,1))</f>
        <v/>
      </c>
      <c r="E183" s="4" t="str">
        <f>IFERROR(__xludf.DUMMYFUNCTION("IF($B183="""","""",INDEX(filter(Familias!F:F,Familias!$D:$D=$A183,Familias!$E:$E=$B183),1))"),"")</f>
        <v/>
      </c>
      <c r="F183" s="4" t="str">
        <f>IFERROR(__xludf.DUMMYFUNCTION("IF($B183="""","""",INDEX(filter(Familias!G:G,Familias!$D:$D=$A183,Familias!$E:$E=$B183),1))"),"")</f>
        <v/>
      </c>
      <c r="G183" s="4" t="str">
        <f t="array" ref="G183">IF(C183=1,XLOOKUP(C183,Cotizador!D:D,Cotizador!E:E,"",0,1),"")</f>
        <v/>
      </c>
      <c r="I183" s="4"/>
      <c r="J183" s="8" t="str">
        <f>IF(I183="","",SUMIF(Cotizador!I$1:V$1,I183,Cotizador!I$2:V$2))</f>
        <v/>
      </c>
      <c r="L183" s="4" t="str">
        <f t="array" ref="L183">IF(COUNTIF(L$1:L182,A$2)=SUMIF(A:A,A$2,D:D),IF(COUNTIF(L$1:L182,XLOOKUP(A$2,Implementos!B:B,Implementos!C:C,"",0,1))=SUMIF(A:A,XLOOKUP(A$2,Implementos!B:B,Implementos!C:C,"",0,1),D:D),"",XLOOKUP(A$2,Implementos!B:B,Implementos!C:C,"",0,1)),A$2)</f>
        <v/>
      </c>
      <c r="M183" s="4" t="str">
        <f t="shared" si="2"/>
        <v/>
      </c>
      <c r="N183" s="4" t="str">
        <f t="shared" si="3"/>
        <v/>
      </c>
      <c r="O183" s="4" t="str">
        <f t="shared" si="4"/>
        <v/>
      </c>
      <c r="P183" s="4" t="str">
        <f t="shared" si="5"/>
        <v/>
      </c>
      <c r="Q183" s="4" t="str">
        <f>IF(U183="","",SUMIF(Productos!E:E,U183,Productos!A:A))</f>
        <v/>
      </c>
      <c r="R183" s="4" t="str">
        <f t="array" ref="R183">IF(L183="","", max(1,SUMIF(I:I,XLOOKUP(U183,Productos!E:E,Productos!G:G,"",0,1),J:J)))</f>
        <v/>
      </c>
      <c r="S183" s="4" t="str">
        <f>IF(Q183="","",IF(SUMIFS(Compat_Vetado!D:D,Compat_Vetado!B:B,SUM(G:G),Compat_Vetado!C:C,Q183)=1,"SI",IF(OR(SUMIF(Cotizador!E:E,Q183,Cotizador!G:G)&gt;0,SUMIFS(Compat_Vetado!D:D,Compat_Vetado!B:B,SUM(G:G),Compat_Vetado!C:C,Q183)=-1),"NO","")))</f>
        <v/>
      </c>
      <c r="T183" s="4" t="str">
        <f t="shared" si="6"/>
        <v/>
      </c>
      <c r="U183" s="4" t="str">
        <f>IFERROR(__xludf.DUMMYFUNCTION("IF(P183="""","""",IFERROR(INDEX(filter(Productos!E:E,Productos!F:F=L183,Productos!H:H=N183),P183),IF(M183=SUM(D:D),""Finalizar"",""-"")))"),"")</f>
        <v/>
      </c>
      <c r="V183" s="4" t="str">
        <f>IFERROR(__xludf.DUMMYFUNCTION("IF(OR($U183="""",COUNTIF($I:$I,IFERROR(unique(filter(Prod_Prop!$H:$H,Prod_Prop!$G:$G=$U183,Prod_Prop!$E:$E=V$1)),""Check""))=0),"""",IFERROR(unique(filter(Prod_Prop!$H:$H,Prod_Prop!$G:$G=$U183,Prod_Prop!$E:$E=V$1)),""""))"),"")</f>
        <v/>
      </c>
      <c r="W183" s="4" t="str">
        <f>IF(V183="","",SUMIFS(Prod_Prop!$J:$J,Prod_Prop!$B:$B,$Q183,Prod_Prop!$H:$H,V183,Prod_Prop!$I:$I,W$1)*IF(V183="Peso",$R183,1))</f>
        <v/>
      </c>
      <c r="X183" s="4" t="str">
        <f>IF(V183="","",SUMIFS(Prod_Prop!$J:$J,Prod_Prop!$B:$B,$Q183,Prod_Prop!$H:$H,V183,Prod_Prop!$I:$I,X$1)*IF(V183="Peso",$R183,1))</f>
        <v/>
      </c>
      <c r="Y183" s="4" t="str">
        <f>IFERROR(__xludf.DUMMYFUNCTION("IF(OR($U183="""",COUNTIF($I:$I,IFERROR(unique(filter(Prod_Prop!$H:$H,Prod_Prop!$G:$G=$U183,Prod_Prop!$E:$E=Y$1)),""Check""))=0),"""",IFERROR(unique(filter(Prod_Prop!$H:$H,Prod_Prop!$G:$G=$U183,Prod_Prop!$E:$E=Y$1)),""""))"),"")</f>
        <v/>
      </c>
      <c r="Z183" s="4" t="str">
        <f>IF(Y183="","",SUMIFS(Prod_Prop!$J:$J,Prod_Prop!$B:$B,$Q183,Prod_Prop!$H:$H,Y183,Prod_Prop!$I:$I,Z$1)*IF(Y183="Peso",$R183,1))</f>
        <v/>
      </c>
      <c r="AA183" s="4" t="str">
        <f>IF(Y183="","",SUMIFS(Prod_Prop!$J:$J,Prod_Prop!$B:$B,$Q183,Prod_Prop!$H:$H,Y183,Prod_Prop!$I:$I,AA$1)*IF(Y183="Peso",$R183,1))</f>
        <v/>
      </c>
      <c r="AB183" s="4" t="str">
        <f>IFERROR(__xludf.DUMMYFUNCTION("IF(OR($U183="""",COUNTIF($I:$I,IFERROR(unique(filter(Prod_Prop!$H:$H,Prod_Prop!$G:$G=$U183,Prod_Prop!$E:$E=AB$1)),""Check""))=0),"""",IFERROR(unique(filter(Prod_Prop!$H:$H,Prod_Prop!$G:$G=$U183,Prod_Prop!$E:$E=AB$1)),""""))"),"")</f>
        <v/>
      </c>
      <c r="AC183" s="4" t="str">
        <f>IF(AB183="","",SUMIFS(Prod_Prop!$J:$J,Prod_Prop!$B:$B,$Q183,Prod_Prop!$H:$H,AB183,Prod_Prop!$I:$I,AC$1)*IF(AB183="Peso",$R183,1))</f>
        <v/>
      </c>
      <c r="AD183" s="4" t="str">
        <f>IF(AB183="","",SUMIFS(Prod_Prop!$J:$J,Prod_Prop!$B:$B,$Q183,Prod_Prop!$H:$H,AB183,Prod_Prop!$I:$I,AD$1)*IF(AB183="Peso",$R183,1))</f>
        <v/>
      </c>
    </row>
    <row r="184">
      <c r="A184" s="4" t="str">
        <f t="array" ref="A184">IF(COUNTIF(A$1:A183,Cotizador!F$2)=maxifs(Familias!E:E,Familias!D:D,Cotizador!F$2),IF(COUNTIF(A$1:A183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4" s="4" t="str">
        <f t="shared" si="1"/>
        <v/>
      </c>
      <c r="C184" s="4" t="str">
        <f t="array" ref="C184">IF(B184="","",IF(A184=XLOOKUP(A$2,Implementos!B:B,Implementos!C:C,"",0,1),B184+maxifs(B$1:B183,A$1:A183,A$2),B184))</f>
        <v/>
      </c>
      <c r="D184" s="4" t="str">
        <f>IF(B184="","", COUNTIFS(Productos!F:F,A184,Productos!H:H,B184)+IF(F184="SI",0,1))</f>
        <v/>
      </c>
      <c r="E184" s="4" t="str">
        <f>IFERROR(__xludf.DUMMYFUNCTION("IF($B184="""","""",INDEX(filter(Familias!F:F,Familias!$D:$D=$A184,Familias!$E:$E=$B184),1))"),"")</f>
        <v/>
      </c>
      <c r="F184" s="4" t="str">
        <f>IFERROR(__xludf.DUMMYFUNCTION("IF($B184="""","""",INDEX(filter(Familias!G:G,Familias!$D:$D=$A184,Familias!$E:$E=$B184),1))"),"")</f>
        <v/>
      </c>
      <c r="G184" s="4" t="str">
        <f t="array" ref="G184">IF(C184=1,XLOOKUP(C184,Cotizador!D:D,Cotizador!E:E,"",0,1),"")</f>
        <v/>
      </c>
      <c r="I184" s="4"/>
      <c r="J184" s="8" t="str">
        <f>IF(I184="","",SUMIF(Cotizador!I$1:V$1,I184,Cotizador!I$2:V$2))</f>
        <v/>
      </c>
      <c r="L184" s="4" t="str">
        <f t="array" ref="L184">IF(COUNTIF(L$1:L183,A$2)=SUMIF(A:A,A$2,D:D),IF(COUNTIF(L$1:L183,XLOOKUP(A$2,Implementos!B:B,Implementos!C:C,"",0,1))=SUMIF(A:A,XLOOKUP(A$2,Implementos!B:B,Implementos!C:C,"",0,1),D:D),"",XLOOKUP(A$2,Implementos!B:B,Implementos!C:C,"",0,1)),A$2)</f>
        <v/>
      </c>
      <c r="M184" s="4" t="str">
        <f t="shared" si="2"/>
        <v/>
      </c>
      <c r="N184" s="4" t="str">
        <f t="shared" si="3"/>
        <v/>
      </c>
      <c r="O184" s="4" t="str">
        <f t="shared" si="4"/>
        <v/>
      </c>
      <c r="P184" s="4" t="str">
        <f t="shared" si="5"/>
        <v/>
      </c>
      <c r="Q184" s="4" t="str">
        <f>IF(U184="","",SUMIF(Productos!E:E,U184,Productos!A:A))</f>
        <v/>
      </c>
      <c r="R184" s="4" t="str">
        <f t="array" ref="R184">IF(L184="","", max(1,SUMIF(I:I,XLOOKUP(U184,Productos!E:E,Productos!G:G,"",0,1),J:J)))</f>
        <v/>
      </c>
      <c r="S184" s="4" t="str">
        <f>IF(Q184="","",IF(SUMIFS(Compat_Vetado!D:D,Compat_Vetado!B:B,SUM(G:G),Compat_Vetado!C:C,Q184)=1,"SI",IF(OR(SUMIF(Cotizador!E:E,Q184,Cotizador!G:G)&gt;0,SUMIFS(Compat_Vetado!D:D,Compat_Vetado!B:B,SUM(G:G),Compat_Vetado!C:C,Q184)=-1),"NO","")))</f>
        <v/>
      </c>
      <c r="T184" s="4" t="str">
        <f t="shared" si="6"/>
        <v/>
      </c>
      <c r="U184" s="4" t="str">
        <f>IFERROR(__xludf.DUMMYFUNCTION("IF(P184="""","""",IFERROR(INDEX(filter(Productos!E:E,Productos!F:F=L184,Productos!H:H=N184),P184),IF(M184=SUM(D:D),""Finalizar"",""-"")))"),"")</f>
        <v/>
      </c>
      <c r="V184" s="4" t="str">
        <f>IFERROR(__xludf.DUMMYFUNCTION("IF(OR($U184="""",COUNTIF($I:$I,IFERROR(unique(filter(Prod_Prop!$H:$H,Prod_Prop!$G:$G=$U184,Prod_Prop!$E:$E=V$1)),""Check""))=0),"""",IFERROR(unique(filter(Prod_Prop!$H:$H,Prod_Prop!$G:$G=$U184,Prod_Prop!$E:$E=V$1)),""""))"),"")</f>
        <v/>
      </c>
      <c r="W184" s="4" t="str">
        <f>IF(V184="","",SUMIFS(Prod_Prop!$J:$J,Prod_Prop!$B:$B,$Q184,Prod_Prop!$H:$H,V184,Prod_Prop!$I:$I,W$1)*IF(V184="Peso",$R184,1))</f>
        <v/>
      </c>
      <c r="X184" s="4" t="str">
        <f>IF(V184="","",SUMIFS(Prod_Prop!$J:$J,Prod_Prop!$B:$B,$Q184,Prod_Prop!$H:$H,V184,Prod_Prop!$I:$I,X$1)*IF(V184="Peso",$R184,1))</f>
        <v/>
      </c>
      <c r="Y184" s="4" t="str">
        <f>IFERROR(__xludf.DUMMYFUNCTION("IF(OR($U184="""",COUNTIF($I:$I,IFERROR(unique(filter(Prod_Prop!$H:$H,Prod_Prop!$G:$G=$U184,Prod_Prop!$E:$E=Y$1)),""Check""))=0),"""",IFERROR(unique(filter(Prod_Prop!$H:$H,Prod_Prop!$G:$G=$U184,Prod_Prop!$E:$E=Y$1)),""""))"),"")</f>
        <v/>
      </c>
      <c r="Z184" s="4" t="str">
        <f>IF(Y184="","",SUMIFS(Prod_Prop!$J:$J,Prod_Prop!$B:$B,$Q184,Prod_Prop!$H:$H,Y184,Prod_Prop!$I:$I,Z$1)*IF(Y184="Peso",$R184,1))</f>
        <v/>
      </c>
      <c r="AA184" s="4" t="str">
        <f>IF(Y184="","",SUMIFS(Prod_Prop!$J:$J,Prod_Prop!$B:$B,$Q184,Prod_Prop!$H:$H,Y184,Prod_Prop!$I:$I,AA$1)*IF(Y184="Peso",$R184,1))</f>
        <v/>
      </c>
      <c r="AB184" s="4" t="str">
        <f>IFERROR(__xludf.DUMMYFUNCTION("IF(OR($U184="""",COUNTIF($I:$I,IFERROR(unique(filter(Prod_Prop!$H:$H,Prod_Prop!$G:$G=$U184,Prod_Prop!$E:$E=AB$1)),""Check""))=0),"""",IFERROR(unique(filter(Prod_Prop!$H:$H,Prod_Prop!$G:$G=$U184,Prod_Prop!$E:$E=AB$1)),""""))"),"")</f>
        <v/>
      </c>
      <c r="AC184" s="4" t="str">
        <f>IF(AB184="","",SUMIFS(Prod_Prop!$J:$J,Prod_Prop!$B:$B,$Q184,Prod_Prop!$H:$H,AB184,Prod_Prop!$I:$I,AC$1)*IF(AB184="Peso",$R184,1))</f>
        <v/>
      </c>
      <c r="AD184" s="4" t="str">
        <f>IF(AB184="","",SUMIFS(Prod_Prop!$J:$J,Prod_Prop!$B:$B,$Q184,Prod_Prop!$H:$H,AB184,Prod_Prop!$I:$I,AD$1)*IF(AB184="Peso",$R184,1))</f>
        <v/>
      </c>
    </row>
    <row r="185">
      <c r="A185" s="4" t="str">
        <f t="array" ref="A185">IF(COUNTIF(A$1:A184,Cotizador!F$2)=maxifs(Familias!E:E,Familias!D:D,Cotizador!F$2),IF(COUNTIF(A$1:A184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5" s="4" t="str">
        <f t="shared" si="1"/>
        <v/>
      </c>
      <c r="C185" s="4" t="str">
        <f t="array" ref="C185">IF(B185="","",IF(A185=XLOOKUP(A$2,Implementos!B:B,Implementos!C:C,"",0,1),B185+maxifs(B$1:B184,A$1:A184,A$2),B185))</f>
        <v/>
      </c>
      <c r="D185" s="4" t="str">
        <f>IF(B185="","", COUNTIFS(Productos!F:F,A185,Productos!H:H,B185)+IF(F185="SI",0,1))</f>
        <v/>
      </c>
      <c r="E185" s="4" t="str">
        <f>IFERROR(__xludf.DUMMYFUNCTION("IF($B185="""","""",INDEX(filter(Familias!F:F,Familias!$D:$D=$A185,Familias!$E:$E=$B185),1))"),"")</f>
        <v/>
      </c>
      <c r="F185" s="4" t="str">
        <f>IFERROR(__xludf.DUMMYFUNCTION("IF($B185="""","""",INDEX(filter(Familias!G:G,Familias!$D:$D=$A185,Familias!$E:$E=$B185),1))"),"")</f>
        <v/>
      </c>
      <c r="G185" s="4" t="str">
        <f t="array" ref="G185">IF(C185=1,XLOOKUP(C185,Cotizador!D:D,Cotizador!E:E,"",0,1),"")</f>
        <v/>
      </c>
      <c r="I185" s="4"/>
      <c r="J185" s="8" t="str">
        <f>IF(I185="","",SUMIF(Cotizador!I$1:V$1,I185,Cotizador!I$2:V$2))</f>
        <v/>
      </c>
      <c r="L185" s="4" t="str">
        <f t="array" ref="L185">IF(COUNTIF(L$1:L184,A$2)=SUMIF(A:A,A$2,D:D),IF(COUNTIF(L$1:L184,XLOOKUP(A$2,Implementos!B:B,Implementos!C:C,"",0,1))=SUMIF(A:A,XLOOKUP(A$2,Implementos!B:B,Implementos!C:C,"",0,1),D:D),"",XLOOKUP(A$2,Implementos!B:B,Implementos!C:C,"",0,1)),A$2)</f>
        <v/>
      </c>
      <c r="M185" s="4" t="str">
        <f t="shared" si="2"/>
        <v/>
      </c>
      <c r="N185" s="4" t="str">
        <f t="shared" si="3"/>
        <v/>
      </c>
      <c r="O185" s="4" t="str">
        <f t="shared" si="4"/>
        <v/>
      </c>
      <c r="P185" s="4" t="str">
        <f t="shared" si="5"/>
        <v/>
      </c>
      <c r="Q185" s="4" t="str">
        <f>IF(U185="","",SUMIF(Productos!E:E,U185,Productos!A:A))</f>
        <v/>
      </c>
      <c r="R185" s="4" t="str">
        <f t="array" ref="R185">IF(L185="","", max(1,SUMIF(I:I,XLOOKUP(U185,Productos!E:E,Productos!G:G,"",0,1),J:J)))</f>
        <v/>
      </c>
      <c r="S185" s="4" t="str">
        <f>IF(Q185="","",IF(SUMIFS(Compat_Vetado!D:D,Compat_Vetado!B:B,SUM(G:G),Compat_Vetado!C:C,Q185)=1,"SI",IF(OR(SUMIF(Cotizador!E:E,Q185,Cotizador!G:G)&gt;0,SUMIFS(Compat_Vetado!D:D,Compat_Vetado!B:B,SUM(G:G),Compat_Vetado!C:C,Q185)=-1),"NO","")))</f>
        <v/>
      </c>
      <c r="T185" s="4" t="str">
        <f t="shared" si="6"/>
        <v/>
      </c>
      <c r="U185" s="4" t="str">
        <f>IFERROR(__xludf.DUMMYFUNCTION("IF(P185="""","""",IFERROR(INDEX(filter(Productos!E:E,Productos!F:F=L185,Productos!H:H=N185),P185),IF(M185=SUM(D:D),""Finalizar"",""-"")))"),"")</f>
        <v/>
      </c>
      <c r="V185" s="4" t="str">
        <f>IFERROR(__xludf.DUMMYFUNCTION("IF(OR($U185="""",COUNTIF($I:$I,IFERROR(unique(filter(Prod_Prop!$H:$H,Prod_Prop!$G:$G=$U185,Prod_Prop!$E:$E=V$1)),""Check""))=0),"""",IFERROR(unique(filter(Prod_Prop!$H:$H,Prod_Prop!$G:$G=$U185,Prod_Prop!$E:$E=V$1)),""""))"),"")</f>
        <v/>
      </c>
      <c r="W185" s="4" t="str">
        <f>IF(V185="","",SUMIFS(Prod_Prop!$J:$J,Prod_Prop!$B:$B,$Q185,Prod_Prop!$H:$H,V185,Prod_Prop!$I:$I,W$1)*IF(V185="Peso",$R185,1))</f>
        <v/>
      </c>
      <c r="X185" s="4" t="str">
        <f>IF(V185="","",SUMIFS(Prod_Prop!$J:$J,Prod_Prop!$B:$B,$Q185,Prod_Prop!$H:$H,V185,Prod_Prop!$I:$I,X$1)*IF(V185="Peso",$R185,1))</f>
        <v/>
      </c>
      <c r="Y185" s="4" t="str">
        <f>IFERROR(__xludf.DUMMYFUNCTION("IF(OR($U185="""",COUNTIF($I:$I,IFERROR(unique(filter(Prod_Prop!$H:$H,Prod_Prop!$G:$G=$U185,Prod_Prop!$E:$E=Y$1)),""Check""))=0),"""",IFERROR(unique(filter(Prod_Prop!$H:$H,Prod_Prop!$G:$G=$U185,Prod_Prop!$E:$E=Y$1)),""""))"),"")</f>
        <v/>
      </c>
      <c r="Z185" s="4" t="str">
        <f>IF(Y185="","",SUMIFS(Prod_Prop!$J:$J,Prod_Prop!$B:$B,$Q185,Prod_Prop!$H:$H,Y185,Prod_Prop!$I:$I,Z$1)*IF(Y185="Peso",$R185,1))</f>
        <v/>
      </c>
      <c r="AA185" s="4" t="str">
        <f>IF(Y185="","",SUMIFS(Prod_Prop!$J:$J,Prod_Prop!$B:$B,$Q185,Prod_Prop!$H:$H,Y185,Prod_Prop!$I:$I,AA$1)*IF(Y185="Peso",$R185,1))</f>
        <v/>
      </c>
      <c r="AB185" s="4" t="str">
        <f>IFERROR(__xludf.DUMMYFUNCTION("IF(OR($U185="""",COUNTIF($I:$I,IFERROR(unique(filter(Prod_Prop!$H:$H,Prod_Prop!$G:$G=$U185,Prod_Prop!$E:$E=AB$1)),""Check""))=0),"""",IFERROR(unique(filter(Prod_Prop!$H:$H,Prod_Prop!$G:$G=$U185,Prod_Prop!$E:$E=AB$1)),""""))"),"")</f>
        <v/>
      </c>
      <c r="AC185" s="4" t="str">
        <f>IF(AB185="","",SUMIFS(Prod_Prop!$J:$J,Prod_Prop!$B:$B,$Q185,Prod_Prop!$H:$H,AB185,Prod_Prop!$I:$I,AC$1)*IF(AB185="Peso",$R185,1))</f>
        <v/>
      </c>
      <c r="AD185" s="4" t="str">
        <f>IF(AB185="","",SUMIFS(Prod_Prop!$J:$J,Prod_Prop!$B:$B,$Q185,Prod_Prop!$H:$H,AB185,Prod_Prop!$I:$I,AD$1)*IF(AB185="Peso",$R185,1))</f>
        <v/>
      </c>
    </row>
    <row r="186">
      <c r="A186" s="4" t="str">
        <f t="array" ref="A186">IF(COUNTIF(A$1:A185,Cotizador!F$2)=maxifs(Familias!E:E,Familias!D:D,Cotizador!F$2),IF(COUNTIF(A$1:A185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6" s="4" t="str">
        <f t="shared" si="1"/>
        <v/>
      </c>
      <c r="C186" s="4" t="str">
        <f t="array" ref="C186">IF(B186="","",IF(A186=XLOOKUP(A$2,Implementos!B:B,Implementos!C:C,"",0,1),B186+maxifs(B$1:B185,A$1:A185,A$2),B186))</f>
        <v/>
      </c>
      <c r="D186" s="4" t="str">
        <f>IF(B186="","", COUNTIFS(Productos!F:F,A186,Productos!H:H,B186)+IF(F186="SI",0,1))</f>
        <v/>
      </c>
      <c r="E186" s="4" t="str">
        <f>IFERROR(__xludf.DUMMYFUNCTION("IF($B186="""","""",INDEX(filter(Familias!F:F,Familias!$D:$D=$A186,Familias!$E:$E=$B186),1))"),"")</f>
        <v/>
      </c>
      <c r="F186" s="4" t="str">
        <f>IFERROR(__xludf.DUMMYFUNCTION("IF($B186="""","""",INDEX(filter(Familias!G:G,Familias!$D:$D=$A186,Familias!$E:$E=$B186),1))"),"")</f>
        <v/>
      </c>
      <c r="G186" s="4" t="str">
        <f t="array" ref="G186">IF(C186=1,XLOOKUP(C186,Cotizador!D:D,Cotizador!E:E,"",0,1),"")</f>
        <v/>
      </c>
      <c r="I186" s="4"/>
      <c r="J186" s="8" t="str">
        <f>IF(I186="","",SUMIF(Cotizador!I$1:V$1,I186,Cotizador!I$2:V$2))</f>
        <v/>
      </c>
      <c r="L186" s="4" t="str">
        <f t="array" ref="L186">IF(COUNTIF(L$1:L185,A$2)=SUMIF(A:A,A$2,D:D),IF(COUNTIF(L$1:L185,XLOOKUP(A$2,Implementos!B:B,Implementos!C:C,"",0,1))=SUMIF(A:A,XLOOKUP(A$2,Implementos!B:B,Implementos!C:C,"",0,1),D:D),"",XLOOKUP(A$2,Implementos!B:B,Implementos!C:C,"",0,1)),A$2)</f>
        <v/>
      </c>
      <c r="M186" s="4" t="str">
        <f t="shared" si="2"/>
        <v/>
      </c>
      <c r="N186" s="4" t="str">
        <f t="shared" si="3"/>
        <v/>
      </c>
      <c r="O186" s="4" t="str">
        <f t="shared" si="4"/>
        <v/>
      </c>
      <c r="P186" s="4" t="str">
        <f t="shared" si="5"/>
        <v/>
      </c>
      <c r="Q186" s="4" t="str">
        <f>IF(U186="","",SUMIF(Productos!E:E,U186,Productos!A:A))</f>
        <v/>
      </c>
      <c r="R186" s="4" t="str">
        <f t="array" ref="R186">IF(L186="","", max(1,SUMIF(I:I,XLOOKUP(U186,Productos!E:E,Productos!G:G,"",0,1),J:J)))</f>
        <v/>
      </c>
      <c r="S186" s="4" t="str">
        <f>IF(Q186="","",IF(SUMIFS(Compat_Vetado!D:D,Compat_Vetado!B:B,SUM(G:G),Compat_Vetado!C:C,Q186)=1,"SI",IF(OR(SUMIF(Cotizador!E:E,Q186,Cotizador!G:G)&gt;0,SUMIFS(Compat_Vetado!D:D,Compat_Vetado!B:B,SUM(G:G),Compat_Vetado!C:C,Q186)=-1),"NO","")))</f>
        <v/>
      </c>
      <c r="T186" s="4" t="str">
        <f t="shared" si="6"/>
        <v/>
      </c>
      <c r="U186" s="4" t="str">
        <f>IFERROR(__xludf.DUMMYFUNCTION("IF(P186="""","""",IFERROR(INDEX(filter(Productos!E:E,Productos!F:F=L186,Productos!H:H=N186),P186),IF(M186=SUM(D:D),""Finalizar"",""-"")))"),"")</f>
        <v/>
      </c>
      <c r="V186" s="4" t="str">
        <f>IFERROR(__xludf.DUMMYFUNCTION("IF(OR($U186="""",COUNTIF($I:$I,IFERROR(unique(filter(Prod_Prop!$H:$H,Prod_Prop!$G:$G=$U186,Prod_Prop!$E:$E=V$1)),""Check""))=0),"""",IFERROR(unique(filter(Prod_Prop!$H:$H,Prod_Prop!$G:$G=$U186,Prod_Prop!$E:$E=V$1)),""""))"),"")</f>
        <v/>
      </c>
      <c r="W186" s="4" t="str">
        <f>IF(V186="","",SUMIFS(Prod_Prop!$J:$J,Prod_Prop!$B:$B,$Q186,Prod_Prop!$H:$H,V186,Prod_Prop!$I:$I,W$1)*IF(V186="Peso",$R186,1))</f>
        <v/>
      </c>
      <c r="X186" s="4" t="str">
        <f>IF(V186="","",SUMIFS(Prod_Prop!$J:$J,Prod_Prop!$B:$B,$Q186,Prod_Prop!$H:$H,V186,Prod_Prop!$I:$I,X$1)*IF(V186="Peso",$R186,1))</f>
        <v/>
      </c>
      <c r="Y186" s="4" t="str">
        <f>IFERROR(__xludf.DUMMYFUNCTION("IF(OR($U186="""",COUNTIF($I:$I,IFERROR(unique(filter(Prod_Prop!$H:$H,Prod_Prop!$G:$G=$U186,Prod_Prop!$E:$E=Y$1)),""Check""))=0),"""",IFERROR(unique(filter(Prod_Prop!$H:$H,Prod_Prop!$G:$G=$U186,Prod_Prop!$E:$E=Y$1)),""""))"),"")</f>
        <v/>
      </c>
      <c r="Z186" s="4" t="str">
        <f>IF(Y186="","",SUMIFS(Prod_Prop!$J:$J,Prod_Prop!$B:$B,$Q186,Prod_Prop!$H:$H,Y186,Prod_Prop!$I:$I,Z$1)*IF(Y186="Peso",$R186,1))</f>
        <v/>
      </c>
      <c r="AA186" s="4" t="str">
        <f>IF(Y186="","",SUMIFS(Prod_Prop!$J:$J,Prod_Prop!$B:$B,$Q186,Prod_Prop!$H:$H,Y186,Prod_Prop!$I:$I,AA$1)*IF(Y186="Peso",$R186,1))</f>
        <v/>
      </c>
      <c r="AB186" s="4" t="str">
        <f>IFERROR(__xludf.DUMMYFUNCTION("IF(OR($U186="""",COUNTIF($I:$I,IFERROR(unique(filter(Prod_Prop!$H:$H,Prod_Prop!$G:$G=$U186,Prod_Prop!$E:$E=AB$1)),""Check""))=0),"""",IFERROR(unique(filter(Prod_Prop!$H:$H,Prod_Prop!$G:$G=$U186,Prod_Prop!$E:$E=AB$1)),""""))"),"")</f>
        <v/>
      </c>
      <c r="AC186" s="4" t="str">
        <f>IF(AB186="","",SUMIFS(Prod_Prop!$J:$J,Prod_Prop!$B:$B,$Q186,Prod_Prop!$H:$H,AB186,Prod_Prop!$I:$I,AC$1)*IF(AB186="Peso",$R186,1))</f>
        <v/>
      </c>
      <c r="AD186" s="4" t="str">
        <f>IF(AB186="","",SUMIFS(Prod_Prop!$J:$J,Prod_Prop!$B:$B,$Q186,Prod_Prop!$H:$H,AB186,Prod_Prop!$I:$I,AD$1)*IF(AB186="Peso",$R186,1))</f>
        <v/>
      </c>
    </row>
    <row r="187">
      <c r="A187" s="4" t="str">
        <f t="array" ref="A187">IF(COUNTIF(A$1:A186,Cotizador!F$2)=maxifs(Familias!E:E,Familias!D:D,Cotizador!F$2),IF(COUNTIF(A$1:A186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7" s="4" t="str">
        <f t="shared" si="1"/>
        <v/>
      </c>
      <c r="C187" s="4" t="str">
        <f t="array" ref="C187">IF(B187="","",IF(A187=XLOOKUP(A$2,Implementos!B:B,Implementos!C:C,"",0,1),B187+maxifs(B$1:B186,A$1:A186,A$2),B187))</f>
        <v/>
      </c>
      <c r="D187" s="4" t="str">
        <f>IF(B187="","", COUNTIFS(Productos!F:F,A187,Productos!H:H,B187)+IF(F187="SI",0,1))</f>
        <v/>
      </c>
      <c r="E187" s="4" t="str">
        <f>IFERROR(__xludf.DUMMYFUNCTION("IF($B187="""","""",INDEX(filter(Familias!F:F,Familias!$D:$D=$A187,Familias!$E:$E=$B187),1))"),"")</f>
        <v/>
      </c>
      <c r="F187" s="4" t="str">
        <f>IFERROR(__xludf.DUMMYFUNCTION("IF($B187="""","""",INDEX(filter(Familias!G:G,Familias!$D:$D=$A187,Familias!$E:$E=$B187),1))"),"")</f>
        <v/>
      </c>
      <c r="G187" s="4" t="str">
        <f t="array" ref="G187">IF(C187=1,XLOOKUP(C187,Cotizador!D:D,Cotizador!E:E,"",0,1),"")</f>
        <v/>
      </c>
      <c r="I187" s="4"/>
      <c r="J187" s="8" t="str">
        <f>IF(I187="","",SUMIF(Cotizador!I$1:V$1,I187,Cotizador!I$2:V$2))</f>
        <v/>
      </c>
      <c r="L187" s="4" t="str">
        <f t="array" ref="L187">IF(COUNTIF(L$1:L186,A$2)=SUMIF(A:A,A$2,D:D),IF(COUNTIF(L$1:L186,XLOOKUP(A$2,Implementos!B:B,Implementos!C:C,"",0,1))=SUMIF(A:A,XLOOKUP(A$2,Implementos!B:B,Implementos!C:C,"",0,1),D:D),"",XLOOKUP(A$2,Implementos!B:B,Implementos!C:C,"",0,1)),A$2)</f>
        <v/>
      </c>
      <c r="M187" s="4" t="str">
        <f t="shared" si="2"/>
        <v/>
      </c>
      <c r="N187" s="4" t="str">
        <f t="shared" si="3"/>
        <v/>
      </c>
      <c r="O187" s="4" t="str">
        <f t="shared" si="4"/>
        <v/>
      </c>
      <c r="P187" s="4" t="str">
        <f t="shared" si="5"/>
        <v/>
      </c>
      <c r="Q187" s="4" t="str">
        <f>IF(U187="","",SUMIF(Productos!E:E,U187,Productos!A:A))</f>
        <v/>
      </c>
      <c r="R187" s="4" t="str">
        <f t="array" ref="R187">IF(L187="","", max(1,SUMIF(I:I,XLOOKUP(U187,Productos!E:E,Productos!G:G,"",0,1),J:J)))</f>
        <v/>
      </c>
      <c r="S187" s="4" t="str">
        <f>IF(Q187="","",IF(SUMIFS(Compat_Vetado!D:D,Compat_Vetado!B:B,SUM(G:G),Compat_Vetado!C:C,Q187)=1,"SI",IF(OR(SUMIF(Cotizador!E:E,Q187,Cotizador!G:G)&gt;0,SUMIFS(Compat_Vetado!D:D,Compat_Vetado!B:B,SUM(G:G),Compat_Vetado!C:C,Q187)=-1),"NO","")))</f>
        <v/>
      </c>
      <c r="T187" s="4" t="str">
        <f t="shared" si="6"/>
        <v/>
      </c>
      <c r="U187" s="4" t="str">
        <f>IFERROR(__xludf.DUMMYFUNCTION("IF(P187="""","""",IFERROR(INDEX(filter(Productos!E:E,Productos!F:F=L187,Productos!H:H=N187),P187),IF(M187=SUM(D:D),""Finalizar"",""-"")))"),"")</f>
        <v/>
      </c>
      <c r="V187" s="4" t="str">
        <f>IFERROR(__xludf.DUMMYFUNCTION("IF(OR($U187="""",COUNTIF($I:$I,IFERROR(unique(filter(Prod_Prop!$H:$H,Prod_Prop!$G:$G=$U187,Prod_Prop!$E:$E=V$1)),""Check""))=0),"""",IFERROR(unique(filter(Prod_Prop!$H:$H,Prod_Prop!$G:$G=$U187,Prod_Prop!$E:$E=V$1)),""""))"),"")</f>
        <v/>
      </c>
      <c r="W187" s="4" t="str">
        <f>IF(V187="","",SUMIFS(Prod_Prop!$J:$J,Prod_Prop!$B:$B,$Q187,Prod_Prop!$H:$H,V187,Prod_Prop!$I:$I,W$1)*IF(V187="Peso",$R187,1))</f>
        <v/>
      </c>
      <c r="X187" s="4" t="str">
        <f>IF(V187="","",SUMIFS(Prod_Prop!$J:$J,Prod_Prop!$B:$B,$Q187,Prod_Prop!$H:$H,V187,Prod_Prop!$I:$I,X$1)*IF(V187="Peso",$R187,1))</f>
        <v/>
      </c>
      <c r="Y187" s="4" t="str">
        <f>IFERROR(__xludf.DUMMYFUNCTION("IF(OR($U187="""",COUNTIF($I:$I,IFERROR(unique(filter(Prod_Prop!$H:$H,Prod_Prop!$G:$G=$U187,Prod_Prop!$E:$E=Y$1)),""Check""))=0),"""",IFERROR(unique(filter(Prod_Prop!$H:$H,Prod_Prop!$G:$G=$U187,Prod_Prop!$E:$E=Y$1)),""""))"),"")</f>
        <v/>
      </c>
      <c r="Z187" s="4" t="str">
        <f>IF(Y187="","",SUMIFS(Prod_Prop!$J:$J,Prod_Prop!$B:$B,$Q187,Prod_Prop!$H:$H,Y187,Prod_Prop!$I:$I,Z$1)*IF(Y187="Peso",$R187,1))</f>
        <v/>
      </c>
      <c r="AA187" s="4" t="str">
        <f>IF(Y187="","",SUMIFS(Prod_Prop!$J:$J,Prod_Prop!$B:$B,$Q187,Prod_Prop!$H:$H,Y187,Prod_Prop!$I:$I,AA$1)*IF(Y187="Peso",$R187,1))</f>
        <v/>
      </c>
      <c r="AB187" s="4" t="str">
        <f>IFERROR(__xludf.DUMMYFUNCTION("IF(OR($U187="""",COUNTIF($I:$I,IFERROR(unique(filter(Prod_Prop!$H:$H,Prod_Prop!$G:$G=$U187,Prod_Prop!$E:$E=AB$1)),""Check""))=0),"""",IFERROR(unique(filter(Prod_Prop!$H:$H,Prod_Prop!$G:$G=$U187,Prod_Prop!$E:$E=AB$1)),""""))"),"")</f>
        <v/>
      </c>
      <c r="AC187" s="4" t="str">
        <f>IF(AB187="","",SUMIFS(Prod_Prop!$J:$J,Prod_Prop!$B:$B,$Q187,Prod_Prop!$H:$H,AB187,Prod_Prop!$I:$I,AC$1)*IF(AB187="Peso",$R187,1))</f>
        <v/>
      </c>
      <c r="AD187" s="4" t="str">
        <f>IF(AB187="","",SUMIFS(Prod_Prop!$J:$J,Prod_Prop!$B:$B,$Q187,Prod_Prop!$H:$H,AB187,Prod_Prop!$I:$I,AD$1)*IF(AB187="Peso",$R187,1))</f>
        <v/>
      </c>
    </row>
    <row r="188">
      <c r="A188" s="4" t="str">
        <f t="array" ref="A188">IF(COUNTIF(A$1:A187,Cotizador!F$2)=maxifs(Familias!E:E,Familias!D:D,Cotizador!F$2),IF(COUNTIF(A$1:A187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8" s="4" t="str">
        <f t="shared" si="1"/>
        <v/>
      </c>
      <c r="C188" s="4" t="str">
        <f t="array" ref="C188">IF(B188="","",IF(A188=XLOOKUP(A$2,Implementos!B:B,Implementos!C:C,"",0,1),B188+maxifs(B$1:B187,A$1:A187,A$2),B188))</f>
        <v/>
      </c>
      <c r="D188" s="4" t="str">
        <f>IF(B188="","", COUNTIFS(Productos!F:F,A188,Productos!H:H,B188)+IF(F188="SI",0,1))</f>
        <v/>
      </c>
      <c r="E188" s="4" t="str">
        <f>IFERROR(__xludf.DUMMYFUNCTION("IF($B188="""","""",INDEX(filter(Familias!F:F,Familias!$D:$D=$A188,Familias!$E:$E=$B188),1))"),"")</f>
        <v/>
      </c>
      <c r="F188" s="4" t="str">
        <f>IFERROR(__xludf.DUMMYFUNCTION("IF($B188="""","""",INDEX(filter(Familias!G:G,Familias!$D:$D=$A188,Familias!$E:$E=$B188),1))"),"")</f>
        <v/>
      </c>
      <c r="G188" s="4" t="str">
        <f t="array" ref="G188">IF(C188=1,XLOOKUP(C188,Cotizador!D:D,Cotizador!E:E,"",0,1),"")</f>
        <v/>
      </c>
      <c r="I188" s="4"/>
      <c r="J188" s="8" t="str">
        <f>IF(I188="","",SUMIF(Cotizador!I$1:V$1,I188,Cotizador!I$2:V$2))</f>
        <v/>
      </c>
      <c r="L188" s="4" t="str">
        <f t="array" ref="L188">IF(COUNTIF(L$1:L187,A$2)=SUMIF(A:A,A$2,D:D),IF(COUNTIF(L$1:L187,XLOOKUP(A$2,Implementos!B:B,Implementos!C:C,"",0,1))=SUMIF(A:A,XLOOKUP(A$2,Implementos!B:B,Implementos!C:C,"",0,1),D:D),"",XLOOKUP(A$2,Implementos!B:B,Implementos!C:C,"",0,1)),A$2)</f>
        <v/>
      </c>
      <c r="M188" s="4" t="str">
        <f t="shared" si="2"/>
        <v/>
      </c>
      <c r="N188" s="4" t="str">
        <f t="shared" si="3"/>
        <v/>
      </c>
      <c r="O188" s="4" t="str">
        <f t="shared" si="4"/>
        <v/>
      </c>
      <c r="P188" s="4" t="str">
        <f t="shared" si="5"/>
        <v/>
      </c>
      <c r="Q188" s="4" t="str">
        <f>IF(U188="","",SUMIF(Productos!E:E,U188,Productos!A:A))</f>
        <v/>
      </c>
      <c r="R188" s="4" t="str">
        <f t="array" ref="R188">IF(L188="","", max(1,SUMIF(I:I,XLOOKUP(U188,Productos!E:E,Productos!G:G,"",0,1),J:J)))</f>
        <v/>
      </c>
      <c r="S188" s="4" t="str">
        <f>IF(Q188="","",IF(SUMIFS(Compat_Vetado!D:D,Compat_Vetado!B:B,SUM(G:G),Compat_Vetado!C:C,Q188)=1,"SI",IF(OR(SUMIF(Cotizador!E:E,Q188,Cotizador!G:G)&gt;0,SUMIFS(Compat_Vetado!D:D,Compat_Vetado!B:B,SUM(G:G),Compat_Vetado!C:C,Q188)=-1),"NO","")))</f>
        <v/>
      </c>
      <c r="T188" s="4" t="str">
        <f t="shared" si="6"/>
        <v/>
      </c>
      <c r="U188" s="4" t="str">
        <f>IFERROR(__xludf.DUMMYFUNCTION("IF(P188="""","""",IFERROR(INDEX(filter(Productos!E:E,Productos!F:F=L188,Productos!H:H=N188),P188),IF(M188=SUM(D:D),""Finalizar"",""-"")))"),"")</f>
        <v/>
      </c>
      <c r="V188" s="4" t="str">
        <f>IFERROR(__xludf.DUMMYFUNCTION("IF(OR($U188="""",COUNTIF($I:$I,IFERROR(unique(filter(Prod_Prop!$H:$H,Prod_Prop!$G:$G=$U188,Prod_Prop!$E:$E=V$1)),""Check""))=0),"""",IFERROR(unique(filter(Prod_Prop!$H:$H,Prod_Prop!$G:$G=$U188,Prod_Prop!$E:$E=V$1)),""""))"),"")</f>
        <v/>
      </c>
      <c r="W188" s="4" t="str">
        <f>IF(V188="","",SUMIFS(Prod_Prop!$J:$J,Prod_Prop!$B:$B,$Q188,Prod_Prop!$H:$H,V188,Prod_Prop!$I:$I,W$1)*IF(V188="Peso",$R188,1))</f>
        <v/>
      </c>
      <c r="X188" s="4" t="str">
        <f>IF(V188="","",SUMIFS(Prod_Prop!$J:$J,Prod_Prop!$B:$B,$Q188,Prod_Prop!$H:$H,V188,Prod_Prop!$I:$I,X$1)*IF(V188="Peso",$R188,1))</f>
        <v/>
      </c>
      <c r="Y188" s="4" t="str">
        <f>IFERROR(__xludf.DUMMYFUNCTION("IF(OR($U188="""",COUNTIF($I:$I,IFERROR(unique(filter(Prod_Prop!$H:$H,Prod_Prop!$G:$G=$U188,Prod_Prop!$E:$E=Y$1)),""Check""))=0),"""",IFERROR(unique(filter(Prod_Prop!$H:$H,Prod_Prop!$G:$G=$U188,Prod_Prop!$E:$E=Y$1)),""""))"),"")</f>
        <v/>
      </c>
      <c r="Z188" s="4" t="str">
        <f>IF(Y188="","",SUMIFS(Prod_Prop!$J:$J,Prod_Prop!$B:$B,$Q188,Prod_Prop!$H:$H,Y188,Prod_Prop!$I:$I,Z$1)*IF(Y188="Peso",$R188,1))</f>
        <v/>
      </c>
      <c r="AA188" s="4" t="str">
        <f>IF(Y188="","",SUMIFS(Prod_Prop!$J:$J,Prod_Prop!$B:$B,$Q188,Prod_Prop!$H:$H,Y188,Prod_Prop!$I:$I,AA$1)*IF(Y188="Peso",$R188,1))</f>
        <v/>
      </c>
      <c r="AB188" s="4" t="str">
        <f>IFERROR(__xludf.DUMMYFUNCTION("IF(OR($U188="""",COUNTIF($I:$I,IFERROR(unique(filter(Prod_Prop!$H:$H,Prod_Prop!$G:$G=$U188,Prod_Prop!$E:$E=AB$1)),""Check""))=0),"""",IFERROR(unique(filter(Prod_Prop!$H:$H,Prod_Prop!$G:$G=$U188,Prod_Prop!$E:$E=AB$1)),""""))"),"")</f>
        <v/>
      </c>
      <c r="AC188" s="4" t="str">
        <f>IF(AB188="","",SUMIFS(Prod_Prop!$J:$J,Prod_Prop!$B:$B,$Q188,Prod_Prop!$H:$H,AB188,Prod_Prop!$I:$I,AC$1)*IF(AB188="Peso",$R188,1))</f>
        <v/>
      </c>
      <c r="AD188" s="4" t="str">
        <f>IF(AB188="","",SUMIFS(Prod_Prop!$J:$J,Prod_Prop!$B:$B,$Q188,Prod_Prop!$H:$H,AB188,Prod_Prop!$I:$I,AD$1)*IF(AB188="Peso",$R188,1))</f>
        <v/>
      </c>
    </row>
    <row r="189">
      <c r="A189" s="4" t="str">
        <f t="array" ref="A189">IF(COUNTIF(A$1:A188,Cotizador!F$2)=maxifs(Familias!E:E,Familias!D:D,Cotizador!F$2),IF(COUNTIF(A$1:A188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89" s="4" t="str">
        <f t="shared" si="1"/>
        <v/>
      </c>
      <c r="C189" s="4" t="str">
        <f t="array" ref="C189">IF(B189="","",IF(A189=XLOOKUP(A$2,Implementos!B:B,Implementos!C:C,"",0,1),B189+maxifs(B$1:B188,A$1:A188,A$2),B189))</f>
        <v/>
      </c>
      <c r="D189" s="4" t="str">
        <f>IF(B189="","", COUNTIFS(Productos!F:F,A189,Productos!H:H,B189)+IF(F189="SI",0,1))</f>
        <v/>
      </c>
      <c r="E189" s="4" t="str">
        <f>IFERROR(__xludf.DUMMYFUNCTION("IF($B189="""","""",INDEX(filter(Familias!F:F,Familias!$D:$D=$A189,Familias!$E:$E=$B189),1))"),"")</f>
        <v/>
      </c>
      <c r="F189" s="4" t="str">
        <f>IFERROR(__xludf.DUMMYFUNCTION("IF($B189="""","""",INDEX(filter(Familias!G:G,Familias!$D:$D=$A189,Familias!$E:$E=$B189),1))"),"")</f>
        <v/>
      </c>
      <c r="G189" s="4" t="str">
        <f t="array" ref="G189">IF(C189=1,XLOOKUP(C189,Cotizador!D:D,Cotizador!E:E,"",0,1),"")</f>
        <v/>
      </c>
      <c r="I189" s="4"/>
      <c r="J189" s="8" t="str">
        <f>IF(I189="","",SUMIF(Cotizador!I$1:V$1,I189,Cotizador!I$2:V$2))</f>
        <v/>
      </c>
      <c r="L189" s="4" t="str">
        <f t="array" ref="L189">IF(COUNTIF(L$1:L188,A$2)=SUMIF(A:A,A$2,D:D),IF(COUNTIF(L$1:L188,XLOOKUP(A$2,Implementos!B:B,Implementos!C:C,"",0,1))=SUMIF(A:A,XLOOKUP(A$2,Implementos!B:B,Implementos!C:C,"",0,1),D:D),"",XLOOKUP(A$2,Implementos!B:B,Implementos!C:C,"",0,1)),A$2)</f>
        <v/>
      </c>
      <c r="M189" s="4" t="str">
        <f t="shared" si="2"/>
        <v/>
      </c>
      <c r="N189" s="4" t="str">
        <f t="shared" si="3"/>
        <v/>
      </c>
      <c r="O189" s="4" t="str">
        <f t="shared" si="4"/>
        <v/>
      </c>
      <c r="P189" s="4" t="str">
        <f t="shared" si="5"/>
        <v/>
      </c>
      <c r="Q189" s="4" t="str">
        <f>IF(U189="","",SUMIF(Productos!E:E,U189,Productos!A:A))</f>
        <v/>
      </c>
      <c r="R189" s="4" t="str">
        <f t="array" ref="R189">IF(L189="","", max(1,SUMIF(I:I,XLOOKUP(U189,Productos!E:E,Productos!G:G,"",0,1),J:J)))</f>
        <v/>
      </c>
      <c r="S189" s="4" t="str">
        <f>IF(Q189="","",IF(SUMIFS(Compat_Vetado!D:D,Compat_Vetado!B:B,SUM(G:G),Compat_Vetado!C:C,Q189)=1,"SI",IF(OR(SUMIF(Cotizador!E:E,Q189,Cotizador!G:G)&gt;0,SUMIFS(Compat_Vetado!D:D,Compat_Vetado!B:B,SUM(G:G),Compat_Vetado!C:C,Q189)=-1),"NO","")))</f>
        <v/>
      </c>
      <c r="T189" s="4" t="str">
        <f t="shared" si="6"/>
        <v/>
      </c>
      <c r="U189" s="4" t="str">
        <f>IFERROR(__xludf.DUMMYFUNCTION("IF(P189="""","""",IFERROR(INDEX(filter(Productos!E:E,Productos!F:F=L189,Productos!H:H=N189),P189),IF(M189=SUM(D:D),""Finalizar"",""-"")))"),"")</f>
        <v/>
      </c>
      <c r="V189" s="4" t="str">
        <f>IFERROR(__xludf.DUMMYFUNCTION("IF(OR($U189="""",COUNTIF($I:$I,IFERROR(unique(filter(Prod_Prop!$H:$H,Prod_Prop!$G:$G=$U189,Prod_Prop!$E:$E=V$1)),""Check""))=0),"""",IFERROR(unique(filter(Prod_Prop!$H:$H,Prod_Prop!$G:$G=$U189,Prod_Prop!$E:$E=V$1)),""""))"),"")</f>
        <v/>
      </c>
      <c r="W189" s="4" t="str">
        <f>IF(V189="","",SUMIFS(Prod_Prop!$J:$J,Prod_Prop!$B:$B,$Q189,Prod_Prop!$H:$H,V189,Prod_Prop!$I:$I,W$1)*IF(V189="Peso",$R189,1))</f>
        <v/>
      </c>
      <c r="X189" s="4" t="str">
        <f>IF(V189="","",SUMIFS(Prod_Prop!$J:$J,Prod_Prop!$B:$B,$Q189,Prod_Prop!$H:$H,V189,Prod_Prop!$I:$I,X$1)*IF(V189="Peso",$R189,1))</f>
        <v/>
      </c>
      <c r="Y189" s="4" t="str">
        <f>IFERROR(__xludf.DUMMYFUNCTION("IF(OR($U189="""",COUNTIF($I:$I,IFERROR(unique(filter(Prod_Prop!$H:$H,Prod_Prop!$G:$G=$U189,Prod_Prop!$E:$E=Y$1)),""Check""))=0),"""",IFERROR(unique(filter(Prod_Prop!$H:$H,Prod_Prop!$G:$G=$U189,Prod_Prop!$E:$E=Y$1)),""""))"),"")</f>
        <v/>
      </c>
      <c r="Z189" s="4" t="str">
        <f>IF(Y189="","",SUMIFS(Prod_Prop!$J:$J,Prod_Prop!$B:$B,$Q189,Prod_Prop!$H:$H,Y189,Prod_Prop!$I:$I,Z$1)*IF(Y189="Peso",$R189,1))</f>
        <v/>
      </c>
      <c r="AA189" s="4" t="str">
        <f>IF(Y189="","",SUMIFS(Prod_Prop!$J:$J,Prod_Prop!$B:$B,$Q189,Prod_Prop!$H:$H,Y189,Prod_Prop!$I:$I,AA$1)*IF(Y189="Peso",$R189,1))</f>
        <v/>
      </c>
      <c r="AB189" s="4" t="str">
        <f>IFERROR(__xludf.DUMMYFUNCTION("IF(OR($U189="""",COUNTIF($I:$I,IFERROR(unique(filter(Prod_Prop!$H:$H,Prod_Prop!$G:$G=$U189,Prod_Prop!$E:$E=AB$1)),""Check""))=0),"""",IFERROR(unique(filter(Prod_Prop!$H:$H,Prod_Prop!$G:$G=$U189,Prod_Prop!$E:$E=AB$1)),""""))"),"")</f>
        <v/>
      </c>
      <c r="AC189" s="4" t="str">
        <f>IF(AB189="","",SUMIFS(Prod_Prop!$J:$J,Prod_Prop!$B:$B,$Q189,Prod_Prop!$H:$H,AB189,Prod_Prop!$I:$I,AC$1)*IF(AB189="Peso",$R189,1))</f>
        <v/>
      </c>
      <c r="AD189" s="4" t="str">
        <f>IF(AB189="","",SUMIFS(Prod_Prop!$J:$J,Prod_Prop!$B:$B,$Q189,Prod_Prop!$H:$H,AB189,Prod_Prop!$I:$I,AD$1)*IF(AB189="Peso",$R189,1))</f>
        <v/>
      </c>
    </row>
    <row r="190">
      <c r="A190" s="4" t="str">
        <f t="array" ref="A190">IF(COUNTIF(A$1:A189,Cotizador!F$2)=maxifs(Familias!E:E,Familias!D:D,Cotizador!F$2),IF(COUNTIF(A$1:A189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0" s="4" t="str">
        <f t="shared" si="1"/>
        <v/>
      </c>
      <c r="C190" s="4" t="str">
        <f t="array" ref="C190">IF(B190="","",IF(A190=XLOOKUP(A$2,Implementos!B:B,Implementos!C:C,"",0,1),B190+maxifs(B$1:B189,A$1:A189,A$2),B190))</f>
        <v/>
      </c>
      <c r="D190" s="4" t="str">
        <f>IF(B190="","", COUNTIFS(Productos!F:F,A190,Productos!H:H,B190)+IF(F190="SI",0,1))</f>
        <v/>
      </c>
      <c r="E190" s="4" t="str">
        <f>IFERROR(__xludf.DUMMYFUNCTION("IF($B190="""","""",INDEX(filter(Familias!F:F,Familias!$D:$D=$A190,Familias!$E:$E=$B190),1))"),"")</f>
        <v/>
      </c>
      <c r="F190" s="4" t="str">
        <f>IFERROR(__xludf.DUMMYFUNCTION("IF($B190="""","""",INDEX(filter(Familias!G:G,Familias!$D:$D=$A190,Familias!$E:$E=$B190),1))"),"")</f>
        <v/>
      </c>
      <c r="G190" s="4" t="str">
        <f t="array" ref="G190">IF(C190=1,XLOOKUP(C190,Cotizador!D:D,Cotizador!E:E,"",0,1),"")</f>
        <v/>
      </c>
      <c r="I190" s="4"/>
      <c r="J190" s="8" t="str">
        <f>IF(I190="","",SUMIF(Cotizador!I$1:V$1,I190,Cotizador!I$2:V$2))</f>
        <v/>
      </c>
      <c r="L190" s="4" t="str">
        <f t="array" ref="L190">IF(COUNTIF(L$1:L189,A$2)=SUMIF(A:A,A$2,D:D),IF(COUNTIF(L$1:L189,XLOOKUP(A$2,Implementos!B:B,Implementos!C:C,"",0,1))=SUMIF(A:A,XLOOKUP(A$2,Implementos!B:B,Implementos!C:C,"",0,1),D:D),"",XLOOKUP(A$2,Implementos!B:B,Implementos!C:C,"",0,1)),A$2)</f>
        <v/>
      </c>
      <c r="M190" s="4" t="str">
        <f t="shared" si="2"/>
        <v/>
      </c>
      <c r="N190" s="4" t="str">
        <f t="shared" si="3"/>
        <v/>
      </c>
      <c r="O190" s="4" t="str">
        <f t="shared" si="4"/>
        <v/>
      </c>
      <c r="P190" s="4" t="str">
        <f t="shared" si="5"/>
        <v/>
      </c>
      <c r="Q190" s="4" t="str">
        <f>IF(U190="","",SUMIF(Productos!E:E,U190,Productos!A:A))</f>
        <v/>
      </c>
      <c r="R190" s="4" t="str">
        <f t="array" ref="R190">IF(L190="","", max(1,SUMIF(I:I,XLOOKUP(U190,Productos!E:E,Productos!G:G,"",0,1),J:J)))</f>
        <v/>
      </c>
      <c r="S190" s="4" t="str">
        <f>IF(Q190="","",IF(SUMIFS(Compat_Vetado!D:D,Compat_Vetado!B:B,SUM(G:G),Compat_Vetado!C:C,Q190)=1,"SI",IF(OR(SUMIF(Cotizador!E:E,Q190,Cotizador!G:G)&gt;0,SUMIFS(Compat_Vetado!D:D,Compat_Vetado!B:B,SUM(G:G),Compat_Vetado!C:C,Q190)=-1),"NO","")))</f>
        <v/>
      </c>
      <c r="T190" s="4" t="str">
        <f t="shared" si="6"/>
        <v/>
      </c>
      <c r="U190" s="4" t="str">
        <f>IFERROR(__xludf.DUMMYFUNCTION("IF(P190="""","""",IFERROR(INDEX(filter(Productos!E:E,Productos!F:F=L190,Productos!H:H=N190),P190),IF(M190=SUM(D:D),""Finalizar"",""-"")))"),"")</f>
        <v/>
      </c>
      <c r="V190" s="4" t="str">
        <f>IFERROR(__xludf.DUMMYFUNCTION("IF(OR($U190="""",COUNTIF($I:$I,IFERROR(unique(filter(Prod_Prop!$H:$H,Prod_Prop!$G:$G=$U190,Prod_Prop!$E:$E=V$1)),""Check""))=0),"""",IFERROR(unique(filter(Prod_Prop!$H:$H,Prod_Prop!$G:$G=$U190,Prod_Prop!$E:$E=V$1)),""""))"),"")</f>
        <v/>
      </c>
      <c r="W190" s="4" t="str">
        <f>IF(V190="","",SUMIFS(Prod_Prop!$J:$J,Prod_Prop!$B:$B,$Q190,Prod_Prop!$H:$H,V190,Prod_Prop!$I:$I,W$1)*IF(V190="Peso",$R190,1))</f>
        <v/>
      </c>
      <c r="X190" s="4" t="str">
        <f>IF(V190="","",SUMIFS(Prod_Prop!$J:$J,Prod_Prop!$B:$B,$Q190,Prod_Prop!$H:$H,V190,Prod_Prop!$I:$I,X$1)*IF(V190="Peso",$R190,1))</f>
        <v/>
      </c>
      <c r="Y190" s="4" t="str">
        <f>IFERROR(__xludf.DUMMYFUNCTION("IF(OR($U190="""",COUNTIF($I:$I,IFERROR(unique(filter(Prod_Prop!$H:$H,Prod_Prop!$G:$G=$U190,Prod_Prop!$E:$E=Y$1)),""Check""))=0),"""",IFERROR(unique(filter(Prod_Prop!$H:$H,Prod_Prop!$G:$G=$U190,Prod_Prop!$E:$E=Y$1)),""""))"),"")</f>
        <v/>
      </c>
      <c r="Z190" s="4" t="str">
        <f>IF(Y190="","",SUMIFS(Prod_Prop!$J:$J,Prod_Prop!$B:$B,$Q190,Prod_Prop!$H:$H,Y190,Prod_Prop!$I:$I,Z$1)*IF(Y190="Peso",$R190,1))</f>
        <v/>
      </c>
      <c r="AA190" s="4" t="str">
        <f>IF(Y190="","",SUMIFS(Prod_Prop!$J:$J,Prod_Prop!$B:$B,$Q190,Prod_Prop!$H:$H,Y190,Prod_Prop!$I:$I,AA$1)*IF(Y190="Peso",$R190,1))</f>
        <v/>
      </c>
      <c r="AB190" s="4" t="str">
        <f>IFERROR(__xludf.DUMMYFUNCTION("IF(OR($U190="""",COUNTIF($I:$I,IFERROR(unique(filter(Prod_Prop!$H:$H,Prod_Prop!$G:$G=$U190,Prod_Prop!$E:$E=AB$1)),""Check""))=0),"""",IFERROR(unique(filter(Prod_Prop!$H:$H,Prod_Prop!$G:$G=$U190,Prod_Prop!$E:$E=AB$1)),""""))"),"")</f>
        <v/>
      </c>
      <c r="AC190" s="4" t="str">
        <f>IF(AB190="","",SUMIFS(Prod_Prop!$J:$J,Prod_Prop!$B:$B,$Q190,Prod_Prop!$H:$H,AB190,Prod_Prop!$I:$I,AC$1)*IF(AB190="Peso",$R190,1))</f>
        <v/>
      </c>
      <c r="AD190" s="4" t="str">
        <f>IF(AB190="","",SUMIFS(Prod_Prop!$J:$J,Prod_Prop!$B:$B,$Q190,Prod_Prop!$H:$H,AB190,Prod_Prop!$I:$I,AD$1)*IF(AB190="Peso",$R190,1))</f>
        <v/>
      </c>
    </row>
    <row r="191">
      <c r="A191" s="4" t="str">
        <f t="array" ref="A191">IF(COUNTIF(A$1:A190,Cotizador!F$2)=maxifs(Familias!E:E,Familias!D:D,Cotizador!F$2),IF(COUNTIF(A$1:A190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1" s="4" t="str">
        <f t="shared" si="1"/>
        <v/>
      </c>
      <c r="C191" s="4" t="str">
        <f t="array" ref="C191">IF(B191="","",IF(A191=XLOOKUP(A$2,Implementos!B:B,Implementos!C:C,"",0,1),B191+maxifs(B$1:B190,A$1:A190,A$2),B191))</f>
        <v/>
      </c>
      <c r="D191" s="4" t="str">
        <f>IF(B191="","", COUNTIFS(Productos!F:F,A191,Productos!H:H,B191)+IF(F191="SI",0,1))</f>
        <v/>
      </c>
      <c r="E191" s="4" t="str">
        <f>IFERROR(__xludf.DUMMYFUNCTION("IF($B191="""","""",INDEX(filter(Familias!F:F,Familias!$D:$D=$A191,Familias!$E:$E=$B191),1))"),"")</f>
        <v/>
      </c>
      <c r="F191" s="4" t="str">
        <f>IFERROR(__xludf.DUMMYFUNCTION("IF($B191="""","""",INDEX(filter(Familias!G:G,Familias!$D:$D=$A191,Familias!$E:$E=$B191),1))"),"")</f>
        <v/>
      </c>
      <c r="G191" s="4" t="str">
        <f t="array" ref="G191">IF(C191=1,XLOOKUP(C191,Cotizador!D:D,Cotizador!E:E,"",0,1),"")</f>
        <v/>
      </c>
      <c r="I191" s="4"/>
      <c r="J191" s="8" t="str">
        <f>IF(I191="","",SUMIF(Cotizador!I$1:V$1,I191,Cotizador!I$2:V$2))</f>
        <v/>
      </c>
      <c r="L191" s="4" t="str">
        <f t="array" ref="L191">IF(COUNTIF(L$1:L190,A$2)=SUMIF(A:A,A$2,D:D),IF(COUNTIF(L$1:L190,XLOOKUP(A$2,Implementos!B:B,Implementos!C:C,"",0,1))=SUMIF(A:A,XLOOKUP(A$2,Implementos!B:B,Implementos!C:C,"",0,1),D:D),"",XLOOKUP(A$2,Implementos!B:B,Implementos!C:C,"",0,1)),A$2)</f>
        <v/>
      </c>
      <c r="M191" s="4" t="str">
        <f t="shared" si="2"/>
        <v/>
      </c>
      <c r="N191" s="4" t="str">
        <f t="shared" si="3"/>
        <v/>
      </c>
      <c r="O191" s="4" t="str">
        <f t="shared" si="4"/>
        <v/>
      </c>
      <c r="P191" s="4" t="str">
        <f t="shared" si="5"/>
        <v/>
      </c>
      <c r="Q191" s="4" t="str">
        <f>IF(U191="","",SUMIF(Productos!E:E,U191,Productos!A:A))</f>
        <v/>
      </c>
      <c r="R191" s="4" t="str">
        <f t="array" ref="R191">IF(L191="","", max(1,SUMIF(I:I,XLOOKUP(U191,Productos!E:E,Productos!G:G,"",0,1),J:J)))</f>
        <v/>
      </c>
      <c r="S191" s="4" t="str">
        <f>IF(Q191="","",IF(SUMIFS(Compat_Vetado!D:D,Compat_Vetado!B:B,SUM(G:G),Compat_Vetado!C:C,Q191)=1,"SI",IF(OR(SUMIF(Cotizador!E:E,Q191,Cotizador!G:G)&gt;0,SUMIFS(Compat_Vetado!D:D,Compat_Vetado!B:B,SUM(G:G),Compat_Vetado!C:C,Q191)=-1),"NO","")))</f>
        <v/>
      </c>
      <c r="T191" s="4" t="str">
        <f t="shared" si="6"/>
        <v/>
      </c>
      <c r="U191" s="4" t="str">
        <f>IFERROR(__xludf.DUMMYFUNCTION("IF(P191="""","""",IFERROR(INDEX(filter(Productos!E:E,Productos!F:F=L191,Productos!H:H=N191),P191),IF(M191=SUM(D:D),""Finalizar"",""-"")))"),"")</f>
        <v/>
      </c>
      <c r="V191" s="4" t="str">
        <f>IFERROR(__xludf.DUMMYFUNCTION("IF(OR($U191="""",COUNTIF($I:$I,IFERROR(unique(filter(Prod_Prop!$H:$H,Prod_Prop!$G:$G=$U191,Prod_Prop!$E:$E=V$1)),""Check""))=0),"""",IFERROR(unique(filter(Prod_Prop!$H:$H,Prod_Prop!$G:$G=$U191,Prod_Prop!$E:$E=V$1)),""""))"),"")</f>
        <v/>
      </c>
      <c r="W191" s="4" t="str">
        <f>IF(V191="","",SUMIFS(Prod_Prop!$J:$J,Prod_Prop!$B:$B,$Q191,Prod_Prop!$H:$H,V191,Prod_Prop!$I:$I,W$1)*IF(V191="Peso",$R191,1))</f>
        <v/>
      </c>
      <c r="X191" s="4" t="str">
        <f>IF(V191="","",SUMIFS(Prod_Prop!$J:$J,Prod_Prop!$B:$B,$Q191,Prod_Prop!$H:$H,V191,Prod_Prop!$I:$I,X$1)*IF(V191="Peso",$R191,1))</f>
        <v/>
      </c>
      <c r="Y191" s="4" t="str">
        <f>IFERROR(__xludf.DUMMYFUNCTION("IF(OR($U191="""",COUNTIF($I:$I,IFERROR(unique(filter(Prod_Prop!$H:$H,Prod_Prop!$G:$G=$U191,Prod_Prop!$E:$E=Y$1)),""Check""))=0),"""",IFERROR(unique(filter(Prod_Prop!$H:$H,Prod_Prop!$G:$G=$U191,Prod_Prop!$E:$E=Y$1)),""""))"),"")</f>
        <v/>
      </c>
      <c r="Z191" s="4" t="str">
        <f>IF(Y191="","",SUMIFS(Prod_Prop!$J:$J,Prod_Prop!$B:$B,$Q191,Prod_Prop!$H:$H,Y191,Prod_Prop!$I:$I,Z$1)*IF(Y191="Peso",$R191,1))</f>
        <v/>
      </c>
      <c r="AA191" s="4" t="str">
        <f>IF(Y191="","",SUMIFS(Prod_Prop!$J:$J,Prod_Prop!$B:$B,$Q191,Prod_Prop!$H:$H,Y191,Prod_Prop!$I:$I,AA$1)*IF(Y191="Peso",$R191,1))</f>
        <v/>
      </c>
      <c r="AB191" s="4" t="str">
        <f>IFERROR(__xludf.DUMMYFUNCTION("IF(OR($U191="""",COUNTIF($I:$I,IFERROR(unique(filter(Prod_Prop!$H:$H,Prod_Prop!$G:$G=$U191,Prod_Prop!$E:$E=AB$1)),""Check""))=0),"""",IFERROR(unique(filter(Prod_Prop!$H:$H,Prod_Prop!$G:$G=$U191,Prod_Prop!$E:$E=AB$1)),""""))"),"")</f>
        <v/>
      </c>
      <c r="AC191" s="4" t="str">
        <f>IF(AB191="","",SUMIFS(Prod_Prop!$J:$J,Prod_Prop!$B:$B,$Q191,Prod_Prop!$H:$H,AB191,Prod_Prop!$I:$I,AC$1)*IF(AB191="Peso",$R191,1))</f>
        <v/>
      </c>
      <c r="AD191" s="4" t="str">
        <f>IF(AB191="","",SUMIFS(Prod_Prop!$J:$J,Prod_Prop!$B:$B,$Q191,Prod_Prop!$H:$H,AB191,Prod_Prop!$I:$I,AD$1)*IF(AB191="Peso",$R191,1))</f>
        <v/>
      </c>
    </row>
    <row r="192">
      <c r="A192" s="4" t="str">
        <f t="array" ref="A192">IF(COUNTIF(A$1:A191,Cotizador!F$2)=maxifs(Familias!E:E,Familias!D:D,Cotizador!F$2),IF(COUNTIF(A$1:A191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2" s="4" t="str">
        <f t="shared" si="1"/>
        <v/>
      </c>
      <c r="C192" s="4" t="str">
        <f t="array" ref="C192">IF(B192="","",IF(A192=XLOOKUP(A$2,Implementos!B:B,Implementos!C:C,"",0,1),B192+maxifs(B$1:B191,A$1:A191,A$2),B192))</f>
        <v/>
      </c>
      <c r="D192" s="4" t="str">
        <f>IF(B192="","", COUNTIFS(Productos!F:F,A192,Productos!H:H,B192)+IF(F192="SI",0,1))</f>
        <v/>
      </c>
      <c r="E192" s="4" t="str">
        <f>IFERROR(__xludf.DUMMYFUNCTION("IF($B192="""","""",INDEX(filter(Familias!F:F,Familias!$D:$D=$A192,Familias!$E:$E=$B192),1))"),"")</f>
        <v/>
      </c>
      <c r="F192" s="4" t="str">
        <f>IFERROR(__xludf.DUMMYFUNCTION("IF($B192="""","""",INDEX(filter(Familias!G:G,Familias!$D:$D=$A192,Familias!$E:$E=$B192),1))"),"")</f>
        <v/>
      </c>
      <c r="G192" s="4" t="str">
        <f t="array" ref="G192">IF(C192=1,XLOOKUP(C192,Cotizador!D:D,Cotizador!E:E,"",0,1),"")</f>
        <v/>
      </c>
      <c r="I192" s="4"/>
      <c r="J192" s="8" t="str">
        <f>IF(I192="","",SUMIF(Cotizador!I$1:V$1,I192,Cotizador!I$2:V$2))</f>
        <v/>
      </c>
      <c r="L192" s="4" t="str">
        <f t="array" ref="L192">IF(COUNTIF(L$1:L191,A$2)=SUMIF(A:A,A$2,D:D),IF(COUNTIF(L$1:L191,XLOOKUP(A$2,Implementos!B:B,Implementos!C:C,"",0,1))=SUMIF(A:A,XLOOKUP(A$2,Implementos!B:B,Implementos!C:C,"",0,1),D:D),"",XLOOKUP(A$2,Implementos!B:B,Implementos!C:C,"",0,1)),A$2)</f>
        <v/>
      </c>
      <c r="M192" s="4" t="str">
        <f t="shared" si="2"/>
        <v/>
      </c>
      <c r="N192" s="4" t="str">
        <f t="shared" si="3"/>
        <v/>
      </c>
      <c r="O192" s="4" t="str">
        <f t="shared" si="4"/>
        <v/>
      </c>
      <c r="P192" s="4" t="str">
        <f t="shared" si="5"/>
        <v/>
      </c>
      <c r="Q192" s="4" t="str">
        <f>IF(U192="","",SUMIF(Productos!E:E,U192,Productos!A:A))</f>
        <v/>
      </c>
      <c r="R192" s="4" t="str">
        <f t="array" ref="R192">IF(L192="","", max(1,SUMIF(I:I,XLOOKUP(U192,Productos!E:E,Productos!G:G,"",0,1),J:J)))</f>
        <v/>
      </c>
      <c r="S192" s="4" t="str">
        <f>IF(Q192="","",IF(SUMIFS(Compat_Vetado!D:D,Compat_Vetado!B:B,SUM(G:G),Compat_Vetado!C:C,Q192)=1,"SI",IF(OR(SUMIF(Cotizador!E:E,Q192,Cotizador!G:G)&gt;0,SUMIFS(Compat_Vetado!D:D,Compat_Vetado!B:B,SUM(G:G),Compat_Vetado!C:C,Q192)=-1),"NO","")))</f>
        <v/>
      </c>
      <c r="T192" s="4" t="str">
        <f t="shared" si="6"/>
        <v/>
      </c>
      <c r="U192" s="4" t="str">
        <f>IFERROR(__xludf.DUMMYFUNCTION("IF(P192="""","""",IFERROR(INDEX(filter(Productos!E:E,Productos!F:F=L192,Productos!H:H=N192),P192),IF(M192=SUM(D:D),""Finalizar"",""-"")))"),"")</f>
        <v/>
      </c>
      <c r="V192" s="4" t="str">
        <f>IFERROR(__xludf.DUMMYFUNCTION("IF(OR($U192="""",COUNTIF($I:$I,IFERROR(unique(filter(Prod_Prop!$H:$H,Prod_Prop!$G:$G=$U192,Prod_Prop!$E:$E=V$1)),""Check""))=0),"""",IFERROR(unique(filter(Prod_Prop!$H:$H,Prod_Prop!$G:$G=$U192,Prod_Prop!$E:$E=V$1)),""""))"),"")</f>
        <v/>
      </c>
      <c r="W192" s="4" t="str">
        <f>IF(V192="","",SUMIFS(Prod_Prop!$J:$J,Prod_Prop!$B:$B,$Q192,Prod_Prop!$H:$H,V192,Prod_Prop!$I:$I,W$1)*IF(V192="Peso",$R192,1))</f>
        <v/>
      </c>
      <c r="X192" s="4" t="str">
        <f>IF(V192="","",SUMIFS(Prod_Prop!$J:$J,Prod_Prop!$B:$B,$Q192,Prod_Prop!$H:$H,V192,Prod_Prop!$I:$I,X$1)*IF(V192="Peso",$R192,1))</f>
        <v/>
      </c>
      <c r="Y192" s="4" t="str">
        <f>IFERROR(__xludf.DUMMYFUNCTION("IF(OR($U192="""",COUNTIF($I:$I,IFERROR(unique(filter(Prod_Prop!$H:$H,Prod_Prop!$G:$G=$U192,Prod_Prop!$E:$E=Y$1)),""Check""))=0),"""",IFERROR(unique(filter(Prod_Prop!$H:$H,Prod_Prop!$G:$G=$U192,Prod_Prop!$E:$E=Y$1)),""""))"),"")</f>
        <v/>
      </c>
      <c r="Z192" s="4" t="str">
        <f>IF(Y192="","",SUMIFS(Prod_Prop!$J:$J,Prod_Prop!$B:$B,$Q192,Prod_Prop!$H:$H,Y192,Prod_Prop!$I:$I,Z$1)*IF(Y192="Peso",$R192,1))</f>
        <v/>
      </c>
      <c r="AA192" s="4" t="str">
        <f>IF(Y192="","",SUMIFS(Prod_Prop!$J:$J,Prod_Prop!$B:$B,$Q192,Prod_Prop!$H:$H,Y192,Prod_Prop!$I:$I,AA$1)*IF(Y192="Peso",$R192,1))</f>
        <v/>
      </c>
      <c r="AB192" s="4" t="str">
        <f>IFERROR(__xludf.DUMMYFUNCTION("IF(OR($U192="""",COUNTIF($I:$I,IFERROR(unique(filter(Prod_Prop!$H:$H,Prod_Prop!$G:$G=$U192,Prod_Prop!$E:$E=AB$1)),""Check""))=0),"""",IFERROR(unique(filter(Prod_Prop!$H:$H,Prod_Prop!$G:$G=$U192,Prod_Prop!$E:$E=AB$1)),""""))"),"")</f>
        <v/>
      </c>
      <c r="AC192" s="4" t="str">
        <f>IF(AB192="","",SUMIFS(Prod_Prop!$J:$J,Prod_Prop!$B:$B,$Q192,Prod_Prop!$H:$H,AB192,Prod_Prop!$I:$I,AC$1)*IF(AB192="Peso",$R192,1))</f>
        <v/>
      </c>
      <c r="AD192" s="4" t="str">
        <f>IF(AB192="","",SUMIFS(Prod_Prop!$J:$J,Prod_Prop!$B:$B,$Q192,Prod_Prop!$H:$H,AB192,Prod_Prop!$I:$I,AD$1)*IF(AB192="Peso",$R192,1))</f>
        <v/>
      </c>
    </row>
    <row r="193">
      <c r="A193" s="4" t="str">
        <f t="array" ref="A193">IF(COUNTIF(A$1:A192,Cotizador!F$2)=maxifs(Familias!E:E,Familias!D:D,Cotizador!F$2),IF(COUNTIF(A$1:A192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3" s="4" t="str">
        <f t="shared" si="1"/>
        <v/>
      </c>
      <c r="C193" s="4" t="str">
        <f t="array" ref="C193">IF(B193="","",IF(A193=XLOOKUP(A$2,Implementos!B:B,Implementos!C:C,"",0,1),B193+maxifs(B$1:B192,A$1:A192,A$2),B193))</f>
        <v/>
      </c>
      <c r="D193" s="4" t="str">
        <f>IF(B193="","", COUNTIFS(Productos!F:F,A193,Productos!H:H,B193)+IF(F193="SI",0,1))</f>
        <v/>
      </c>
      <c r="E193" s="4" t="str">
        <f>IFERROR(__xludf.DUMMYFUNCTION("IF($B193="""","""",INDEX(filter(Familias!F:F,Familias!$D:$D=$A193,Familias!$E:$E=$B193),1))"),"")</f>
        <v/>
      </c>
      <c r="F193" s="4" t="str">
        <f>IFERROR(__xludf.DUMMYFUNCTION("IF($B193="""","""",INDEX(filter(Familias!G:G,Familias!$D:$D=$A193,Familias!$E:$E=$B193),1))"),"")</f>
        <v/>
      </c>
      <c r="G193" s="4" t="str">
        <f t="array" ref="G193">IF(C193=1,XLOOKUP(C193,Cotizador!D:D,Cotizador!E:E,"",0,1),"")</f>
        <v/>
      </c>
      <c r="I193" s="4"/>
      <c r="J193" s="8" t="str">
        <f>IF(I193="","",SUMIF(Cotizador!I$1:V$1,I193,Cotizador!I$2:V$2))</f>
        <v/>
      </c>
      <c r="L193" s="4" t="str">
        <f t="array" ref="L193">IF(COUNTIF(L$1:L192,A$2)=SUMIF(A:A,A$2,D:D),IF(COUNTIF(L$1:L192,XLOOKUP(A$2,Implementos!B:B,Implementos!C:C,"",0,1))=SUMIF(A:A,XLOOKUP(A$2,Implementos!B:B,Implementos!C:C,"",0,1),D:D),"",XLOOKUP(A$2,Implementos!B:B,Implementos!C:C,"",0,1)),A$2)</f>
        <v/>
      </c>
      <c r="M193" s="4" t="str">
        <f t="shared" si="2"/>
        <v/>
      </c>
      <c r="N193" s="4" t="str">
        <f t="shared" si="3"/>
        <v/>
      </c>
      <c r="O193" s="4" t="str">
        <f t="shared" si="4"/>
        <v/>
      </c>
      <c r="P193" s="4" t="str">
        <f t="shared" si="5"/>
        <v/>
      </c>
      <c r="Q193" s="4" t="str">
        <f>IF(U193="","",SUMIF(Productos!E:E,U193,Productos!A:A))</f>
        <v/>
      </c>
      <c r="R193" s="4" t="str">
        <f t="array" ref="R193">IF(L193="","", max(1,SUMIF(I:I,XLOOKUP(U193,Productos!E:E,Productos!G:G,"",0,1),J:J)))</f>
        <v/>
      </c>
      <c r="S193" s="4" t="str">
        <f>IF(Q193="","",IF(SUMIFS(Compat_Vetado!D:D,Compat_Vetado!B:B,SUM(G:G),Compat_Vetado!C:C,Q193)=1,"SI",IF(OR(SUMIF(Cotizador!E:E,Q193,Cotizador!G:G)&gt;0,SUMIFS(Compat_Vetado!D:D,Compat_Vetado!B:B,SUM(G:G),Compat_Vetado!C:C,Q193)=-1),"NO","")))</f>
        <v/>
      </c>
      <c r="T193" s="4" t="str">
        <f t="shared" si="6"/>
        <v/>
      </c>
      <c r="U193" s="4" t="str">
        <f>IFERROR(__xludf.DUMMYFUNCTION("IF(P193="""","""",IFERROR(INDEX(filter(Productos!E:E,Productos!F:F=L193,Productos!H:H=N193),P193),IF(M193=SUM(D:D),""Finalizar"",""-"")))"),"")</f>
        <v/>
      </c>
      <c r="V193" s="4" t="str">
        <f>IFERROR(__xludf.DUMMYFUNCTION("IF(OR($U193="""",COUNTIF($I:$I,IFERROR(unique(filter(Prod_Prop!$H:$H,Prod_Prop!$G:$G=$U193,Prod_Prop!$E:$E=V$1)),""Check""))=0),"""",IFERROR(unique(filter(Prod_Prop!$H:$H,Prod_Prop!$G:$G=$U193,Prod_Prop!$E:$E=V$1)),""""))"),"")</f>
        <v/>
      </c>
      <c r="W193" s="4" t="str">
        <f>IF(V193="","",SUMIFS(Prod_Prop!$J:$J,Prod_Prop!$B:$B,$Q193,Prod_Prop!$H:$H,V193,Prod_Prop!$I:$I,W$1)*IF(V193="Peso",$R193,1))</f>
        <v/>
      </c>
      <c r="X193" s="4" t="str">
        <f>IF(V193="","",SUMIFS(Prod_Prop!$J:$J,Prod_Prop!$B:$B,$Q193,Prod_Prop!$H:$H,V193,Prod_Prop!$I:$I,X$1)*IF(V193="Peso",$R193,1))</f>
        <v/>
      </c>
      <c r="Y193" s="4" t="str">
        <f>IFERROR(__xludf.DUMMYFUNCTION("IF(OR($U193="""",COUNTIF($I:$I,IFERROR(unique(filter(Prod_Prop!$H:$H,Prod_Prop!$G:$G=$U193,Prod_Prop!$E:$E=Y$1)),""Check""))=0),"""",IFERROR(unique(filter(Prod_Prop!$H:$H,Prod_Prop!$G:$G=$U193,Prod_Prop!$E:$E=Y$1)),""""))"),"")</f>
        <v/>
      </c>
      <c r="Z193" s="4" t="str">
        <f>IF(Y193="","",SUMIFS(Prod_Prop!$J:$J,Prod_Prop!$B:$B,$Q193,Prod_Prop!$H:$H,Y193,Prod_Prop!$I:$I,Z$1)*IF(Y193="Peso",$R193,1))</f>
        <v/>
      </c>
      <c r="AA193" s="4" t="str">
        <f>IF(Y193="","",SUMIFS(Prod_Prop!$J:$J,Prod_Prop!$B:$B,$Q193,Prod_Prop!$H:$H,Y193,Prod_Prop!$I:$I,AA$1)*IF(Y193="Peso",$R193,1))</f>
        <v/>
      </c>
      <c r="AB193" s="4" t="str">
        <f>IFERROR(__xludf.DUMMYFUNCTION("IF(OR($U193="""",COUNTIF($I:$I,IFERROR(unique(filter(Prod_Prop!$H:$H,Prod_Prop!$G:$G=$U193,Prod_Prop!$E:$E=AB$1)),""Check""))=0),"""",IFERROR(unique(filter(Prod_Prop!$H:$H,Prod_Prop!$G:$G=$U193,Prod_Prop!$E:$E=AB$1)),""""))"),"")</f>
        <v/>
      </c>
      <c r="AC193" s="4" t="str">
        <f>IF(AB193="","",SUMIFS(Prod_Prop!$J:$J,Prod_Prop!$B:$B,$Q193,Prod_Prop!$H:$H,AB193,Prod_Prop!$I:$I,AC$1)*IF(AB193="Peso",$R193,1))</f>
        <v/>
      </c>
      <c r="AD193" s="4" t="str">
        <f>IF(AB193="","",SUMIFS(Prod_Prop!$J:$J,Prod_Prop!$B:$B,$Q193,Prod_Prop!$H:$H,AB193,Prod_Prop!$I:$I,AD$1)*IF(AB193="Peso",$R193,1))</f>
        <v/>
      </c>
    </row>
    <row r="194">
      <c r="A194" s="4" t="str">
        <f t="array" ref="A194">IF(COUNTIF(A$1:A193,Cotizador!F$2)=maxifs(Familias!E:E,Familias!D:D,Cotizador!F$2),IF(COUNTIF(A$1:A193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4" s="4" t="str">
        <f t="shared" si="1"/>
        <v/>
      </c>
      <c r="C194" s="4" t="str">
        <f t="array" ref="C194">IF(B194="","",IF(A194=XLOOKUP(A$2,Implementos!B:B,Implementos!C:C,"",0,1),B194+maxifs(B$1:B193,A$1:A193,A$2),B194))</f>
        <v/>
      </c>
      <c r="D194" s="4" t="str">
        <f>IF(B194="","", COUNTIFS(Productos!F:F,A194,Productos!H:H,B194)+IF(F194="SI",0,1))</f>
        <v/>
      </c>
      <c r="E194" s="4" t="str">
        <f>IFERROR(__xludf.DUMMYFUNCTION("IF($B194="""","""",INDEX(filter(Familias!F:F,Familias!$D:$D=$A194,Familias!$E:$E=$B194),1))"),"")</f>
        <v/>
      </c>
      <c r="F194" s="4" t="str">
        <f>IFERROR(__xludf.DUMMYFUNCTION("IF($B194="""","""",INDEX(filter(Familias!G:G,Familias!$D:$D=$A194,Familias!$E:$E=$B194),1))"),"")</f>
        <v/>
      </c>
      <c r="G194" s="4" t="str">
        <f t="array" ref="G194">IF(C194=1,XLOOKUP(C194,Cotizador!D:D,Cotizador!E:E,"",0,1),"")</f>
        <v/>
      </c>
      <c r="I194" s="4"/>
      <c r="J194" s="8" t="str">
        <f>IF(I194="","",SUMIF(Cotizador!I$1:V$1,I194,Cotizador!I$2:V$2))</f>
        <v/>
      </c>
      <c r="L194" s="4" t="str">
        <f t="array" ref="L194">IF(COUNTIF(L$1:L193,A$2)=SUMIF(A:A,A$2,D:D),IF(COUNTIF(L$1:L193,XLOOKUP(A$2,Implementos!B:B,Implementos!C:C,"",0,1))=SUMIF(A:A,XLOOKUP(A$2,Implementos!B:B,Implementos!C:C,"",0,1),D:D),"",XLOOKUP(A$2,Implementos!B:B,Implementos!C:C,"",0,1)),A$2)</f>
        <v/>
      </c>
      <c r="M194" s="4" t="str">
        <f t="shared" si="2"/>
        <v/>
      </c>
      <c r="N194" s="4" t="str">
        <f t="shared" si="3"/>
        <v/>
      </c>
      <c r="O194" s="4" t="str">
        <f t="shared" si="4"/>
        <v/>
      </c>
      <c r="P194" s="4" t="str">
        <f t="shared" si="5"/>
        <v/>
      </c>
      <c r="Q194" s="4" t="str">
        <f>IF(U194="","",SUMIF(Productos!E:E,U194,Productos!A:A))</f>
        <v/>
      </c>
      <c r="R194" s="4" t="str">
        <f t="array" ref="R194">IF(L194="","", max(1,SUMIF(I:I,XLOOKUP(U194,Productos!E:E,Productos!G:G,"",0,1),J:J)))</f>
        <v/>
      </c>
      <c r="S194" s="4" t="str">
        <f>IF(Q194="","",IF(SUMIFS(Compat_Vetado!D:D,Compat_Vetado!B:B,SUM(G:G),Compat_Vetado!C:C,Q194)=1,"SI",IF(OR(SUMIF(Cotizador!E:E,Q194,Cotizador!G:G)&gt;0,SUMIFS(Compat_Vetado!D:D,Compat_Vetado!B:B,SUM(G:G),Compat_Vetado!C:C,Q194)=-1),"NO","")))</f>
        <v/>
      </c>
      <c r="T194" s="4" t="str">
        <f t="shared" si="6"/>
        <v/>
      </c>
      <c r="U194" s="4" t="str">
        <f>IFERROR(__xludf.DUMMYFUNCTION("IF(P194="""","""",IFERROR(INDEX(filter(Productos!E:E,Productos!F:F=L194,Productos!H:H=N194),P194),IF(M194=SUM(D:D),""Finalizar"",""-"")))"),"")</f>
        <v/>
      </c>
      <c r="V194" s="4" t="str">
        <f>IFERROR(__xludf.DUMMYFUNCTION("IF(OR($U194="""",COUNTIF($I:$I,IFERROR(unique(filter(Prod_Prop!$H:$H,Prod_Prop!$G:$G=$U194,Prod_Prop!$E:$E=V$1)),""Check""))=0),"""",IFERROR(unique(filter(Prod_Prop!$H:$H,Prod_Prop!$G:$G=$U194,Prod_Prop!$E:$E=V$1)),""""))"),"")</f>
        <v/>
      </c>
      <c r="W194" s="4" t="str">
        <f>IF(V194="","",SUMIFS(Prod_Prop!$J:$J,Prod_Prop!$B:$B,$Q194,Prod_Prop!$H:$H,V194,Prod_Prop!$I:$I,W$1)*IF(V194="Peso",$R194,1))</f>
        <v/>
      </c>
      <c r="X194" s="4" t="str">
        <f>IF(V194="","",SUMIFS(Prod_Prop!$J:$J,Prod_Prop!$B:$B,$Q194,Prod_Prop!$H:$H,V194,Prod_Prop!$I:$I,X$1)*IF(V194="Peso",$R194,1))</f>
        <v/>
      </c>
      <c r="Y194" s="4" t="str">
        <f>IFERROR(__xludf.DUMMYFUNCTION("IF(OR($U194="""",COUNTIF($I:$I,IFERROR(unique(filter(Prod_Prop!$H:$H,Prod_Prop!$G:$G=$U194,Prod_Prop!$E:$E=Y$1)),""Check""))=0),"""",IFERROR(unique(filter(Prod_Prop!$H:$H,Prod_Prop!$G:$G=$U194,Prod_Prop!$E:$E=Y$1)),""""))"),"")</f>
        <v/>
      </c>
      <c r="Z194" s="4" t="str">
        <f>IF(Y194="","",SUMIFS(Prod_Prop!$J:$J,Prod_Prop!$B:$B,$Q194,Prod_Prop!$H:$H,Y194,Prod_Prop!$I:$I,Z$1)*IF(Y194="Peso",$R194,1))</f>
        <v/>
      </c>
      <c r="AA194" s="4" t="str">
        <f>IF(Y194="","",SUMIFS(Prod_Prop!$J:$J,Prod_Prop!$B:$B,$Q194,Prod_Prop!$H:$H,Y194,Prod_Prop!$I:$I,AA$1)*IF(Y194="Peso",$R194,1))</f>
        <v/>
      </c>
      <c r="AB194" s="4" t="str">
        <f>IFERROR(__xludf.DUMMYFUNCTION("IF(OR($U194="""",COUNTIF($I:$I,IFERROR(unique(filter(Prod_Prop!$H:$H,Prod_Prop!$G:$G=$U194,Prod_Prop!$E:$E=AB$1)),""Check""))=0),"""",IFERROR(unique(filter(Prod_Prop!$H:$H,Prod_Prop!$G:$G=$U194,Prod_Prop!$E:$E=AB$1)),""""))"),"")</f>
        <v/>
      </c>
      <c r="AC194" s="4" t="str">
        <f>IF(AB194="","",SUMIFS(Prod_Prop!$J:$J,Prod_Prop!$B:$B,$Q194,Prod_Prop!$H:$H,AB194,Prod_Prop!$I:$I,AC$1)*IF(AB194="Peso",$R194,1))</f>
        <v/>
      </c>
      <c r="AD194" s="4" t="str">
        <f>IF(AB194="","",SUMIFS(Prod_Prop!$J:$J,Prod_Prop!$B:$B,$Q194,Prod_Prop!$H:$H,AB194,Prod_Prop!$I:$I,AD$1)*IF(AB194="Peso",$R194,1))</f>
        <v/>
      </c>
    </row>
    <row r="195">
      <c r="A195" s="4" t="str">
        <f t="array" ref="A195">IF(COUNTIF(A$1:A194,Cotizador!F$2)=maxifs(Familias!E:E,Familias!D:D,Cotizador!F$2),IF(COUNTIF(A$1:A194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5" s="4" t="str">
        <f t="shared" si="1"/>
        <v/>
      </c>
      <c r="C195" s="4" t="str">
        <f t="array" ref="C195">IF(B195="","",IF(A195=XLOOKUP(A$2,Implementos!B:B,Implementos!C:C,"",0,1),B195+maxifs(B$1:B194,A$1:A194,A$2),B195))</f>
        <v/>
      </c>
      <c r="D195" s="4" t="str">
        <f>IF(B195="","", COUNTIFS(Productos!F:F,A195,Productos!H:H,B195)+IF(F195="SI",0,1))</f>
        <v/>
      </c>
      <c r="E195" s="4" t="str">
        <f>IFERROR(__xludf.DUMMYFUNCTION("IF($B195="""","""",INDEX(filter(Familias!F:F,Familias!$D:$D=$A195,Familias!$E:$E=$B195),1))"),"")</f>
        <v/>
      </c>
      <c r="F195" s="4" t="str">
        <f>IFERROR(__xludf.DUMMYFUNCTION("IF($B195="""","""",INDEX(filter(Familias!G:G,Familias!$D:$D=$A195,Familias!$E:$E=$B195),1))"),"")</f>
        <v/>
      </c>
      <c r="G195" s="4" t="str">
        <f t="array" ref="G195">IF(C195=1,XLOOKUP(C195,Cotizador!D:D,Cotizador!E:E,"",0,1),"")</f>
        <v/>
      </c>
      <c r="I195" s="4"/>
      <c r="J195" s="8" t="str">
        <f>IF(I195="","",SUMIF(Cotizador!I$1:V$1,I195,Cotizador!I$2:V$2))</f>
        <v/>
      </c>
      <c r="L195" s="4" t="str">
        <f t="array" ref="L195">IF(COUNTIF(L$1:L194,A$2)=SUMIF(A:A,A$2,D:D),IF(COUNTIF(L$1:L194,XLOOKUP(A$2,Implementos!B:B,Implementos!C:C,"",0,1))=SUMIF(A:A,XLOOKUP(A$2,Implementos!B:B,Implementos!C:C,"",0,1),D:D),"",XLOOKUP(A$2,Implementos!B:B,Implementos!C:C,"",0,1)),A$2)</f>
        <v/>
      </c>
      <c r="M195" s="4" t="str">
        <f t="shared" si="2"/>
        <v/>
      </c>
      <c r="N195" s="4" t="str">
        <f t="shared" si="3"/>
        <v/>
      </c>
      <c r="O195" s="4" t="str">
        <f t="shared" si="4"/>
        <v/>
      </c>
      <c r="P195" s="4" t="str">
        <f t="shared" si="5"/>
        <v/>
      </c>
      <c r="Q195" s="4" t="str">
        <f>IF(U195="","",SUMIF(Productos!E:E,U195,Productos!A:A))</f>
        <v/>
      </c>
      <c r="R195" s="4" t="str">
        <f t="array" ref="R195">IF(L195="","", max(1,SUMIF(I:I,XLOOKUP(U195,Productos!E:E,Productos!G:G,"",0,1),J:J)))</f>
        <v/>
      </c>
      <c r="S195" s="4" t="str">
        <f>IF(Q195="","",IF(SUMIFS(Compat_Vetado!D:D,Compat_Vetado!B:B,SUM(G:G),Compat_Vetado!C:C,Q195)=1,"SI",IF(OR(SUMIF(Cotizador!E:E,Q195,Cotizador!G:G)&gt;0,SUMIFS(Compat_Vetado!D:D,Compat_Vetado!B:B,SUM(G:G),Compat_Vetado!C:C,Q195)=-1),"NO","")))</f>
        <v/>
      </c>
      <c r="T195" s="4" t="str">
        <f t="shared" si="6"/>
        <v/>
      </c>
      <c r="U195" s="4" t="str">
        <f>IFERROR(__xludf.DUMMYFUNCTION("IF(P195="""","""",IFERROR(INDEX(filter(Productos!E:E,Productos!F:F=L195,Productos!H:H=N195),P195),IF(M195=SUM(D:D),""Finalizar"",""-"")))"),"")</f>
        <v/>
      </c>
      <c r="V195" s="4" t="str">
        <f>IFERROR(__xludf.DUMMYFUNCTION("IF(OR($U195="""",COUNTIF($I:$I,IFERROR(unique(filter(Prod_Prop!$H:$H,Prod_Prop!$G:$G=$U195,Prod_Prop!$E:$E=V$1)),""Check""))=0),"""",IFERROR(unique(filter(Prod_Prop!$H:$H,Prod_Prop!$G:$G=$U195,Prod_Prop!$E:$E=V$1)),""""))"),"")</f>
        <v/>
      </c>
      <c r="W195" s="4" t="str">
        <f>IF(V195="","",SUMIFS(Prod_Prop!$J:$J,Prod_Prop!$B:$B,$Q195,Prod_Prop!$H:$H,V195,Prod_Prop!$I:$I,W$1)*IF(V195="Peso",$R195,1))</f>
        <v/>
      </c>
      <c r="X195" s="4" t="str">
        <f>IF(V195="","",SUMIFS(Prod_Prop!$J:$J,Prod_Prop!$B:$B,$Q195,Prod_Prop!$H:$H,V195,Prod_Prop!$I:$I,X$1)*IF(V195="Peso",$R195,1))</f>
        <v/>
      </c>
      <c r="Y195" s="4" t="str">
        <f>IFERROR(__xludf.DUMMYFUNCTION("IF(OR($U195="""",COUNTIF($I:$I,IFERROR(unique(filter(Prod_Prop!$H:$H,Prod_Prop!$G:$G=$U195,Prod_Prop!$E:$E=Y$1)),""Check""))=0),"""",IFERROR(unique(filter(Prod_Prop!$H:$H,Prod_Prop!$G:$G=$U195,Prod_Prop!$E:$E=Y$1)),""""))"),"")</f>
        <v/>
      </c>
      <c r="Z195" s="4" t="str">
        <f>IF(Y195="","",SUMIFS(Prod_Prop!$J:$J,Prod_Prop!$B:$B,$Q195,Prod_Prop!$H:$H,Y195,Prod_Prop!$I:$I,Z$1)*IF(Y195="Peso",$R195,1))</f>
        <v/>
      </c>
      <c r="AA195" s="4" t="str">
        <f>IF(Y195="","",SUMIFS(Prod_Prop!$J:$J,Prod_Prop!$B:$B,$Q195,Prod_Prop!$H:$H,Y195,Prod_Prop!$I:$I,AA$1)*IF(Y195="Peso",$R195,1))</f>
        <v/>
      </c>
      <c r="AB195" s="4" t="str">
        <f>IFERROR(__xludf.DUMMYFUNCTION("IF(OR($U195="""",COUNTIF($I:$I,IFERROR(unique(filter(Prod_Prop!$H:$H,Prod_Prop!$G:$G=$U195,Prod_Prop!$E:$E=AB$1)),""Check""))=0),"""",IFERROR(unique(filter(Prod_Prop!$H:$H,Prod_Prop!$G:$G=$U195,Prod_Prop!$E:$E=AB$1)),""""))"),"")</f>
        <v/>
      </c>
      <c r="AC195" s="4" t="str">
        <f>IF(AB195="","",SUMIFS(Prod_Prop!$J:$J,Prod_Prop!$B:$B,$Q195,Prod_Prop!$H:$H,AB195,Prod_Prop!$I:$I,AC$1)*IF(AB195="Peso",$R195,1))</f>
        <v/>
      </c>
      <c r="AD195" s="4" t="str">
        <f>IF(AB195="","",SUMIFS(Prod_Prop!$J:$J,Prod_Prop!$B:$B,$Q195,Prod_Prop!$H:$H,AB195,Prod_Prop!$I:$I,AD$1)*IF(AB195="Peso",$R195,1))</f>
        <v/>
      </c>
    </row>
    <row r="196">
      <c r="A196" s="4" t="str">
        <f t="array" ref="A196">IF(COUNTIF(A$1:A195,Cotizador!F$2)=maxifs(Familias!E:E,Familias!D:D,Cotizador!F$2),IF(COUNTIF(A$1:A195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6" s="4" t="str">
        <f t="shared" si="1"/>
        <v/>
      </c>
      <c r="C196" s="4" t="str">
        <f t="array" ref="C196">IF(B196="","",IF(A196=XLOOKUP(A$2,Implementos!B:B,Implementos!C:C,"",0,1),B196+maxifs(B$1:B195,A$1:A195,A$2),B196))</f>
        <v/>
      </c>
      <c r="D196" s="4" t="str">
        <f>IF(B196="","", COUNTIFS(Productos!F:F,A196,Productos!H:H,B196)+IF(F196="SI",0,1))</f>
        <v/>
      </c>
      <c r="E196" s="4" t="str">
        <f>IFERROR(__xludf.DUMMYFUNCTION("IF($B196="""","""",INDEX(filter(Familias!F:F,Familias!$D:$D=$A196,Familias!$E:$E=$B196),1))"),"")</f>
        <v/>
      </c>
      <c r="F196" s="4" t="str">
        <f>IFERROR(__xludf.DUMMYFUNCTION("IF($B196="""","""",INDEX(filter(Familias!G:G,Familias!$D:$D=$A196,Familias!$E:$E=$B196),1))"),"")</f>
        <v/>
      </c>
      <c r="G196" s="4" t="str">
        <f t="array" ref="G196">IF(C196=1,XLOOKUP(C196,Cotizador!D:D,Cotizador!E:E,"",0,1),"")</f>
        <v/>
      </c>
      <c r="I196" s="4"/>
      <c r="J196" s="8" t="str">
        <f>IF(I196="","",SUMIF(Cotizador!I$1:V$1,I196,Cotizador!I$2:V$2))</f>
        <v/>
      </c>
      <c r="L196" s="4" t="str">
        <f t="array" ref="L196">IF(COUNTIF(L$1:L195,A$2)=SUMIF(A:A,A$2,D:D),IF(COUNTIF(L$1:L195,XLOOKUP(A$2,Implementos!B:B,Implementos!C:C,"",0,1))=SUMIF(A:A,XLOOKUP(A$2,Implementos!B:B,Implementos!C:C,"",0,1),D:D),"",XLOOKUP(A$2,Implementos!B:B,Implementos!C:C,"",0,1)),A$2)</f>
        <v/>
      </c>
      <c r="M196" s="4" t="str">
        <f t="shared" si="2"/>
        <v/>
      </c>
      <c r="N196" s="4" t="str">
        <f t="shared" si="3"/>
        <v/>
      </c>
      <c r="O196" s="4" t="str">
        <f t="shared" si="4"/>
        <v/>
      </c>
      <c r="P196" s="4" t="str">
        <f t="shared" si="5"/>
        <v/>
      </c>
      <c r="Q196" s="4" t="str">
        <f>IF(U196="","",SUMIF(Productos!E:E,U196,Productos!A:A))</f>
        <v/>
      </c>
      <c r="R196" s="4" t="str">
        <f t="array" ref="R196">IF(L196="","", max(1,SUMIF(I:I,XLOOKUP(U196,Productos!E:E,Productos!G:G,"",0,1),J:J)))</f>
        <v/>
      </c>
      <c r="S196" s="4" t="str">
        <f>IF(Q196="","",IF(SUMIFS(Compat_Vetado!D:D,Compat_Vetado!B:B,SUM(G:G),Compat_Vetado!C:C,Q196)=1,"SI",IF(OR(SUMIF(Cotizador!E:E,Q196,Cotizador!G:G)&gt;0,SUMIFS(Compat_Vetado!D:D,Compat_Vetado!B:B,SUM(G:G),Compat_Vetado!C:C,Q196)=-1),"NO","")))</f>
        <v/>
      </c>
      <c r="T196" s="4" t="str">
        <f t="shared" si="6"/>
        <v/>
      </c>
      <c r="U196" s="4" t="str">
        <f>IFERROR(__xludf.DUMMYFUNCTION("IF(P196="""","""",IFERROR(INDEX(filter(Productos!E:E,Productos!F:F=L196,Productos!H:H=N196),P196),IF(M196=SUM(D:D),""Finalizar"",""-"")))"),"")</f>
        <v/>
      </c>
      <c r="V196" s="4" t="str">
        <f>IFERROR(__xludf.DUMMYFUNCTION("IF(OR($U196="""",COUNTIF($I:$I,IFERROR(unique(filter(Prod_Prop!$H:$H,Prod_Prop!$G:$G=$U196,Prod_Prop!$E:$E=V$1)),""Check""))=0),"""",IFERROR(unique(filter(Prod_Prop!$H:$H,Prod_Prop!$G:$G=$U196,Prod_Prop!$E:$E=V$1)),""""))"),"")</f>
        <v/>
      </c>
      <c r="W196" s="4" t="str">
        <f>IF(V196="","",SUMIFS(Prod_Prop!$J:$J,Prod_Prop!$B:$B,$Q196,Prod_Prop!$H:$H,V196,Prod_Prop!$I:$I,W$1)*IF(V196="Peso",$R196,1))</f>
        <v/>
      </c>
      <c r="X196" s="4" t="str">
        <f>IF(V196="","",SUMIFS(Prod_Prop!$J:$J,Prod_Prop!$B:$B,$Q196,Prod_Prop!$H:$H,V196,Prod_Prop!$I:$I,X$1)*IF(V196="Peso",$R196,1))</f>
        <v/>
      </c>
      <c r="Y196" s="4" t="str">
        <f>IFERROR(__xludf.DUMMYFUNCTION("IF(OR($U196="""",COUNTIF($I:$I,IFERROR(unique(filter(Prod_Prop!$H:$H,Prod_Prop!$G:$G=$U196,Prod_Prop!$E:$E=Y$1)),""Check""))=0),"""",IFERROR(unique(filter(Prod_Prop!$H:$H,Prod_Prop!$G:$G=$U196,Prod_Prop!$E:$E=Y$1)),""""))"),"")</f>
        <v/>
      </c>
      <c r="Z196" s="4" t="str">
        <f>IF(Y196="","",SUMIFS(Prod_Prop!$J:$J,Prod_Prop!$B:$B,$Q196,Prod_Prop!$H:$H,Y196,Prod_Prop!$I:$I,Z$1)*IF(Y196="Peso",$R196,1))</f>
        <v/>
      </c>
      <c r="AA196" s="4" t="str">
        <f>IF(Y196="","",SUMIFS(Prod_Prop!$J:$J,Prod_Prop!$B:$B,$Q196,Prod_Prop!$H:$H,Y196,Prod_Prop!$I:$I,AA$1)*IF(Y196="Peso",$R196,1))</f>
        <v/>
      </c>
      <c r="AB196" s="4" t="str">
        <f>IFERROR(__xludf.DUMMYFUNCTION("IF(OR($U196="""",COUNTIF($I:$I,IFERROR(unique(filter(Prod_Prop!$H:$H,Prod_Prop!$G:$G=$U196,Prod_Prop!$E:$E=AB$1)),""Check""))=0),"""",IFERROR(unique(filter(Prod_Prop!$H:$H,Prod_Prop!$G:$G=$U196,Prod_Prop!$E:$E=AB$1)),""""))"),"")</f>
        <v/>
      </c>
      <c r="AC196" s="4" t="str">
        <f>IF(AB196="","",SUMIFS(Prod_Prop!$J:$J,Prod_Prop!$B:$B,$Q196,Prod_Prop!$H:$H,AB196,Prod_Prop!$I:$I,AC$1)*IF(AB196="Peso",$R196,1))</f>
        <v/>
      </c>
      <c r="AD196" s="4" t="str">
        <f>IF(AB196="","",SUMIFS(Prod_Prop!$J:$J,Prod_Prop!$B:$B,$Q196,Prod_Prop!$H:$H,AB196,Prod_Prop!$I:$I,AD$1)*IF(AB196="Peso",$R196,1))</f>
        <v/>
      </c>
    </row>
    <row r="197">
      <c r="A197" s="4" t="str">
        <f t="array" ref="A197">IF(COUNTIF(A$1:A196,Cotizador!F$2)=maxifs(Familias!E:E,Familias!D:D,Cotizador!F$2),IF(COUNTIF(A$1:A196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7" s="4" t="str">
        <f t="shared" si="1"/>
        <v/>
      </c>
      <c r="C197" s="4" t="str">
        <f t="array" ref="C197">IF(B197="","",IF(A197=XLOOKUP(A$2,Implementos!B:B,Implementos!C:C,"",0,1),B197+maxifs(B$1:B196,A$1:A196,A$2),B197))</f>
        <v/>
      </c>
      <c r="D197" s="4" t="str">
        <f>IF(B197="","", COUNTIFS(Productos!F:F,A197,Productos!H:H,B197)+IF(F197="SI",0,1))</f>
        <v/>
      </c>
      <c r="E197" s="4" t="str">
        <f>IFERROR(__xludf.DUMMYFUNCTION("IF($B197="""","""",INDEX(filter(Familias!F:F,Familias!$D:$D=$A197,Familias!$E:$E=$B197),1))"),"")</f>
        <v/>
      </c>
      <c r="F197" s="4" t="str">
        <f>IFERROR(__xludf.DUMMYFUNCTION("IF($B197="""","""",INDEX(filter(Familias!G:G,Familias!$D:$D=$A197,Familias!$E:$E=$B197),1))"),"")</f>
        <v/>
      </c>
      <c r="G197" s="4" t="str">
        <f t="array" ref="G197">IF(C197=1,XLOOKUP(C197,Cotizador!D:D,Cotizador!E:E,"",0,1),"")</f>
        <v/>
      </c>
      <c r="I197" s="4"/>
      <c r="J197" s="8" t="str">
        <f>IF(I197="","",SUMIF(Cotizador!I$1:V$1,I197,Cotizador!I$2:V$2))</f>
        <v/>
      </c>
      <c r="L197" s="4" t="str">
        <f t="array" ref="L197">IF(COUNTIF(L$1:L196,A$2)=SUMIF(A:A,A$2,D:D),IF(COUNTIF(L$1:L196,XLOOKUP(A$2,Implementos!B:B,Implementos!C:C,"",0,1))=SUMIF(A:A,XLOOKUP(A$2,Implementos!B:B,Implementos!C:C,"",0,1),D:D),"",XLOOKUP(A$2,Implementos!B:B,Implementos!C:C,"",0,1)),A$2)</f>
        <v/>
      </c>
      <c r="M197" s="4" t="str">
        <f t="shared" si="2"/>
        <v/>
      </c>
      <c r="N197" s="4" t="str">
        <f t="shared" si="3"/>
        <v/>
      </c>
      <c r="O197" s="4" t="str">
        <f t="shared" si="4"/>
        <v/>
      </c>
      <c r="P197" s="4" t="str">
        <f t="shared" si="5"/>
        <v/>
      </c>
      <c r="Q197" s="4" t="str">
        <f>IF(U197="","",SUMIF(Productos!E:E,U197,Productos!A:A))</f>
        <v/>
      </c>
      <c r="R197" s="4" t="str">
        <f t="array" ref="R197">IF(L197="","", max(1,SUMIF(I:I,XLOOKUP(U197,Productos!E:E,Productos!G:G,"",0,1),J:J)))</f>
        <v/>
      </c>
      <c r="S197" s="4" t="str">
        <f>IF(Q197="","",IF(SUMIFS(Compat_Vetado!D:D,Compat_Vetado!B:B,SUM(G:G),Compat_Vetado!C:C,Q197)=1,"SI",IF(OR(SUMIF(Cotizador!E:E,Q197,Cotizador!G:G)&gt;0,SUMIFS(Compat_Vetado!D:D,Compat_Vetado!B:B,SUM(G:G),Compat_Vetado!C:C,Q197)=-1),"NO","")))</f>
        <v/>
      </c>
      <c r="T197" s="4" t="str">
        <f t="shared" si="6"/>
        <v/>
      </c>
      <c r="U197" s="4" t="str">
        <f>IFERROR(__xludf.DUMMYFUNCTION("IF(P197="""","""",IFERROR(INDEX(filter(Productos!E:E,Productos!F:F=L197,Productos!H:H=N197),P197),IF(M197=SUM(D:D),""Finalizar"",""-"")))"),"")</f>
        <v/>
      </c>
      <c r="V197" s="4" t="str">
        <f>IFERROR(__xludf.DUMMYFUNCTION("IF(OR($U197="""",COUNTIF($I:$I,IFERROR(unique(filter(Prod_Prop!$H:$H,Prod_Prop!$G:$G=$U197,Prod_Prop!$E:$E=V$1)),""Check""))=0),"""",IFERROR(unique(filter(Prod_Prop!$H:$H,Prod_Prop!$G:$G=$U197,Prod_Prop!$E:$E=V$1)),""""))"),"")</f>
        <v/>
      </c>
      <c r="W197" s="4" t="str">
        <f>IF(V197="","",SUMIFS(Prod_Prop!$J:$J,Prod_Prop!$B:$B,$Q197,Prod_Prop!$H:$H,V197,Prod_Prop!$I:$I,W$1)*IF(V197="Peso",$R197,1))</f>
        <v/>
      </c>
      <c r="X197" s="4" t="str">
        <f>IF(V197="","",SUMIFS(Prod_Prop!$J:$J,Prod_Prop!$B:$B,$Q197,Prod_Prop!$H:$H,V197,Prod_Prop!$I:$I,X$1)*IF(V197="Peso",$R197,1))</f>
        <v/>
      </c>
      <c r="Y197" s="4" t="str">
        <f>IFERROR(__xludf.DUMMYFUNCTION("IF(OR($U197="""",COUNTIF($I:$I,IFERROR(unique(filter(Prod_Prop!$H:$H,Prod_Prop!$G:$G=$U197,Prod_Prop!$E:$E=Y$1)),""Check""))=0),"""",IFERROR(unique(filter(Prod_Prop!$H:$H,Prod_Prop!$G:$G=$U197,Prod_Prop!$E:$E=Y$1)),""""))"),"")</f>
        <v/>
      </c>
      <c r="Z197" s="4" t="str">
        <f>IF(Y197="","",SUMIFS(Prod_Prop!$J:$J,Prod_Prop!$B:$B,$Q197,Prod_Prop!$H:$H,Y197,Prod_Prop!$I:$I,Z$1)*IF(Y197="Peso",$R197,1))</f>
        <v/>
      </c>
      <c r="AA197" s="4" t="str">
        <f>IF(Y197="","",SUMIFS(Prod_Prop!$J:$J,Prod_Prop!$B:$B,$Q197,Prod_Prop!$H:$H,Y197,Prod_Prop!$I:$I,AA$1)*IF(Y197="Peso",$R197,1))</f>
        <v/>
      </c>
      <c r="AB197" s="4" t="str">
        <f>IFERROR(__xludf.DUMMYFUNCTION("IF(OR($U197="""",COUNTIF($I:$I,IFERROR(unique(filter(Prod_Prop!$H:$H,Prod_Prop!$G:$G=$U197,Prod_Prop!$E:$E=AB$1)),""Check""))=0),"""",IFERROR(unique(filter(Prod_Prop!$H:$H,Prod_Prop!$G:$G=$U197,Prod_Prop!$E:$E=AB$1)),""""))"),"")</f>
        <v/>
      </c>
      <c r="AC197" s="4" t="str">
        <f>IF(AB197="","",SUMIFS(Prod_Prop!$J:$J,Prod_Prop!$B:$B,$Q197,Prod_Prop!$H:$H,AB197,Prod_Prop!$I:$I,AC$1)*IF(AB197="Peso",$R197,1))</f>
        <v/>
      </c>
      <c r="AD197" s="4" t="str">
        <f>IF(AB197="","",SUMIFS(Prod_Prop!$J:$J,Prod_Prop!$B:$B,$Q197,Prod_Prop!$H:$H,AB197,Prod_Prop!$I:$I,AD$1)*IF(AB197="Peso",$R197,1))</f>
        <v/>
      </c>
    </row>
    <row r="198">
      <c r="A198" s="4" t="str">
        <f t="array" ref="A198">IF(COUNTIF(A$1:A197,Cotizador!F$2)=maxifs(Familias!E:E,Familias!D:D,Cotizador!F$2),IF(COUNTIF(A$1:A197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8" s="4" t="str">
        <f t="shared" si="1"/>
        <v/>
      </c>
      <c r="C198" s="4" t="str">
        <f t="array" ref="C198">IF(B198="","",IF(A198=XLOOKUP(A$2,Implementos!B:B,Implementos!C:C,"",0,1),B198+maxifs(B$1:B197,A$1:A197,A$2),B198))</f>
        <v/>
      </c>
      <c r="D198" s="4" t="str">
        <f>IF(B198="","", COUNTIFS(Productos!F:F,A198,Productos!H:H,B198)+IF(F198="SI",0,1))</f>
        <v/>
      </c>
      <c r="E198" s="4" t="str">
        <f>IFERROR(__xludf.DUMMYFUNCTION("IF($B198="""","""",INDEX(filter(Familias!F:F,Familias!$D:$D=$A198,Familias!$E:$E=$B198),1))"),"")</f>
        <v/>
      </c>
      <c r="F198" s="4" t="str">
        <f>IFERROR(__xludf.DUMMYFUNCTION("IF($B198="""","""",INDEX(filter(Familias!G:G,Familias!$D:$D=$A198,Familias!$E:$E=$B198),1))"),"")</f>
        <v/>
      </c>
      <c r="G198" s="4" t="str">
        <f t="array" ref="G198">IF(C198=1,XLOOKUP(C198,Cotizador!D:D,Cotizador!E:E,"",0,1),"")</f>
        <v/>
      </c>
      <c r="I198" s="4"/>
      <c r="J198" s="8" t="str">
        <f>IF(I198="","",SUMIF(Cotizador!I$1:V$1,I198,Cotizador!I$2:V$2))</f>
        <v/>
      </c>
      <c r="L198" s="4" t="str">
        <f t="array" ref="L198">IF(COUNTIF(L$1:L197,A$2)=SUMIF(A:A,A$2,D:D),IF(COUNTIF(L$1:L197,XLOOKUP(A$2,Implementos!B:B,Implementos!C:C,"",0,1))=SUMIF(A:A,XLOOKUP(A$2,Implementos!B:B,Implementos!C:C,"",0,1),D:D),"",XLOOKUP(A$2,Implementos!B:B,Implementos!C:C,"",0,1)),A$2)</f>
        <v/>
      </c>
      <c r="M198" s="4" t="str">
        <f t="shared" si="2"/>
        <v/>
      </c>
      <c r="N198" s="4" t="str">
        <f t="shared" si="3"/>
        <v/>
      </c>
      <c r="O198" s="4" t="str">
        <f t="shared" si="4"/>
        <v/>
      </c>
      <c r="P198" s="4" t="str">
        <f t="shared" si="5"/>
        <v/>
      </c>
      <c r="Q198" s="4" t="str">
        <f>IF(U198="","",SUMIF(Productos!E:E,U198,Productos!A:A))</f>
        <v/>
      </c>
      <c r="R198" s="4" t="str">
        <f t="array" ref="R198">IF(L198="","", max(1,SUMIF(I:I,XLOOKUP(U198,Productos!E:E,Productos!G:G,"",0,1),J:J)))</f>
        <v/>
      </c>
      <c r="S198" s="4" t="str">
        <f>IF(Q198="","",IF(SUMIFS(Compat_Vetado!D:D,Compat_Vetado!B:B,SUM(G:G),Compat_Vetado!C:C,Q198)=1,"SI",IF(OR(SUMIF(Cotizador!E:E,Q198,Cotizador!G:G)&gt;0,SUMIFS(Compat_Vetado!D:D,Compat_Vetado!B:B,SUM(G:G),Compat_Vetado!C:C,Q198)=-1),"NO","")))</f>
        <v/>
      </c>
      <c r="T198" s="4" t="str">
        <f t="shared" si="6"/>
        <v/>
      </c>
      <c r="U198" s="4" t="str">
        <f>IFERROR(__xludf.DUMMYFUNCTION("IF(P198="""","""",IFERROR(INDEX(filter(Productos!E:E,Productos!F:F=L198,Productos!H:H=N198),P198),IF(M198=SUM(D:D),""Finalizar"",""-"")))"),"")</f>
        <v/>
      </c>
      <c r="V198" s="4" t="str">
        <f>IFERROR(__xludf.DUMMYFUNCTION("IF(OR($U198="""",COUNTIF($I:$I,IFERROR(unique(filter(Prod_Prop!$H:$H,Prod_Prop!$G:$G=$U198,Prod_Prop!$E:$E=V$1)),""Check""))=0),"""",IFERROR(unique(filter(Prod_Prop!$H:$H,Prod_Prop!$G:$G=$U198,Prod_Prop!$E:$E=V$1)),""""))"),"")</f>
        <v/>
      </c>
      <c r="W198" s="4" t="str">
        <f>IF(V198="","",SUMIFS(Prod_Prop!$J:$J,Prod_Prop!$B:$B,$Q198,Prod_Prop!$H:$H,V198,Prod_Prop!$I:$I,W$1)*IF(V198="Peso",$R198,1))</f>
        <v/>
      </c>
      <c r="X198" s="4" t="str">
        <f>IF(V198="","",SUMIFS(Prod_Prop!$J:$J,Prod_Prop!$B:$B,$Q198,Prod_Prop!$H:$H,V198,Prod_Prop!$I:$I,X$1)*IF(V198="Peso",$R198,1))</f>
        <v/>
      </c>
      <c r="Y198" s="4" t="str">
        <f>IFERROR(__xludf.DUMMYFUNCTION("IF(OR($U198="""",COUNTIF($I:$I,IFERROR(unique(filter(Prod_Prop!$H:$H,Prod_Prop!$G:$G=$U198,Prod_Prop!$E:$E=Y$1)),""Check""))=0),"""",IFERROR(unique(filter(Prod_Prop!$H:$H,Prod_Prop!$G:$G=$U198,Prod_Prop!$E:$E=Y$1)),""""))"),"")</f>
        <v/>
      </c>
      <c r="Z198" s="4" t="str">
        <f>IF(Y198="","",SUMIFS(Prod_Prop!$J:$J,Prod_Prop!$B:$B,$Q198,Prod_Prop!$H:$H,Y198,Prod_Prop!$I:$I,Z$1)*IF(Y198="Peso",$R198,1))</f>
        <v/>
      </c>
      <c r="AA198" s="4" t="str">
        <f>IF(Y198="","",SUMIFS(Prod_Prop!$J:$J,Prod_Prop!$B:$B,$Q198,Prod_Prop!$H:$H,Y198,Prod_Prop!$I:$I,AA$1)*IF(Y198="Peso",$R198,1))</f>
        <v/>
      </c>
      <c r="AB198" s="4" t="str">
        <f>IFERROR(__xludf.DUMMYFUNCTION("IF(OR($U198="""",COUNTIF($I:$I,IFERROR(unique(filter(Prod_Prop!$H:$H,Prod_Prop!$G:$G=$U198,Prod_Prop!$E:$E=AB$1)),""Check""))=0),"""",IFERROR(unique(filter(Prod_Prop!$H:$H,Prod_Prop!$G:$G=$U198,Prod_Prop!$E:$E=AB$1)),""""))"),"")</f>
        <v/>
      </c>
      <c r="AC198" s="4" t="str">
        <f>IF(AB198="","",SUMIFS(Prod_Prop!$J:$J,Prod_Prop!$B:$B,$Q198,Prod_Prop!$H:$H,AB198,Prod_Prop!$I:$I,AC$1)*IF(AB198="Peso",$R198,1))</f>
        <v/>
      </c>
      <c r="AD198" s="4" t="str">
        <f>IF(AB198="","",SUMIFS(Prod_Prop!$J:$J,Prod_Prop!$B:$B,$Q198,Prod_Prop!$H:$H,AB198,Prod_Prop!$I:$I,AD$1)*IF(AB198="Peso",$R198,1))</f>
        <v/>
      </c>
    </row>
    <row r="199">
      <c r="A199" s="4" t="str">
        <f t="array" ref="A199">IF(COUNTIF(A$1:A198,Cotizador!F$2)=maxifs(Familias!E:E,Familias!D:D,Cotizador!F$2),IF(COUNTIF(A$1:A198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99" s="4" t="str">
        <f t="shared" si="1"/>
        <v/>
      </c>
      <c r="C199" s="4" t="str">
        <f t="array" ref="C199">IF(B199="","",IF(A199=XLOOKUP(A$2,Implementos!B:B,Implementos!C:C,"",0,1),B199+maxifs(B$1:B198,A$1:A198,A$2),B199))</f>
        <v/>
      </c>
      <c r="D199" s="4" t="str">
        <f>IF(B199="","", COUNTIFS(Productos!F:F,A199,Productos!H:H,B199)+IF(F199="SI",0,1))</f>
        <v/>
      </c>
      <c r="E199" s="4" t="str">
        <f>IFERROR(__xludf.DUMMYFUNCTION("IF($B199="""","""",INDEX(filter(Familias!F:F,Familias!$D:$D=$A199,Familias!$E:$E=$B199),1))"),"")</f>
        <v/>
      </c>
      <c r="F199" s="4" t="str">
        <f>IFERROR(__xludf.DUMMYFUNCTION("IF($B199="""","""",INDEX(filter(Familias!G:G,Familias!$D:$D=$A199,Familias!$E:$E=$B199),1))"),"")</f>
        <v/>
      </c>
      <c r="G199" s="4" t="str">
        <f t="array" ref="G199">IF(C199=1,XLOOKUP(C199,Cotizador!D:D,Cotizador!E:E,"",0,1),"")</f>
        <v/>
      </c>
      <c r="I199" s="4"/>
      <c r="J199" s="8" t="str">
        <f>IF(I199="","",SUMIF(Cotizador!I$1:V$1,I199,Cotizador!I$2:V$2))</f>
        <v/>
      </c>
      <c r="L199" s="4" t="str">
        <f t="array" ref="L199">IF(COUNTIF(L$1:L198,A$2)=SUMIF(A:A,A$2,D:D),IF(COUNTIF(L$1:L198,XLOOKUP(A$2,Implementos!B:B,Implementos!C:C,"",0,1))=SUMIF(A:A,XLOOKUP(A$2,Implementos!B:B,Implementos!C:C,"",0,1),D:D),"",XLOOKUP(A$2,Implementos!B:B,Implementos!C:C,"",0,1)),A$2)</f>
        <v/>
      </c>
      <c r="M199" s="4" t="str">
        <f t="shared" si="2"/>
        <v/>
      </c>
      <c r="N199" s="4" t="str">
        <f t="shared" si="3"/>
        <v/>
      </c>
      <c r="O199" s="4" t="str">
        <f t="shared" si="4"/>
        <v/>
      </c>
      <c r="P199" s="4" t="str">
        <f t="shared" si="5"/>
        <v/>
      </c>
      <c r="Q199" s="4" t="str">
        <f>IF(U199="","",SUMIF(Productos!E:E,U199,Productos!A:A))</f>
        <v/>
      </c>
      <c r="R199" s="4" t="str">
        <f t="array" ref="R199">IF(L199="","", max(1,SUMIF(I:I,XLOOKUP(U199,Productos!E:E,Productos!G:G,"",0,1),J:J)))</f>
        <v/>
      </c>
      <c r="S199" s="4" t="str">
        <f>IF(Q199="","",IF(SUMIFS(Compat_Vetado!D:D,Compat_Vetado!B:B,SUM(G:G),Compat_Vetado!C:C,Q199)=1,"SI",IF(OR(SUMIF(Cotizador!E:E,Q199,Cotizador!G:G)&gt;0,SUMIFS(Compat_Vetado!D:D,Compat_Vetado!B:B,SUM(G:G),Compat_Vetado!C:C,Q199)=-1),"NO","")))</f>
        <v/>
      </c>
      <c r="T199" s="4" t="str">
        <f t="shared" si="6"/>
        <v/>
      </c>
      <c r="U199" s="4" t="str">
        <f>IFERROR(__xludf.DUMMYFUNCTION("IF(P199="""","""",IFERROR(INDEX(filter(Productos!E:E,Productos!F:F=L199,Productos!H:H=N199),P199),IF(M199=SUM(D:D),""Finalizar"",""-"")))"),"")</f>
        <v/>
      </c>
      <c r="V199" s="4" t="str">
        <f>IFERROR(__xludf.DUMMYFUNCTION("IF(OR($U199="""",COUNTIF($I:$I,IFERROR(unique(filter(Prod_Prop!$H:$H,Prod_Prop!$G:$G=$U199,Prod_Prop!$E:$E=V$1)),""Check""))=0),"""",IFERROR(unique(filter(Prod_Prop!$H:$H,Prod_Prop!$G:$G=$U199,Prod_Prop!$E:$E=V$1)),""""))"),"")</f>
        <v/>
      </c>
      <c r="W199" s="4" t="str">
        <f>IF(V199="","",SUMIFS(Prod_Prop!$J:$J,Prod_Prop!$B:$B,$Q199,Prod_Prop!$H:$H,V199,Prod_Prop!$I:$I,W$1)*IF(V199="Peso",$R199,1))</f>
        <v/>
      </c>
      <c r="X199" s="4" t="str">
        <f>IF(V199="","",SUMIFS(Prod_Prop!$J:$J,Prod_Prop!$B:$B,$Q199,Prod_Prop!$H:$H,V199,Prod_Prop!$I:$I,X$1)*IF(V199="Peso",$R199,1))</f>
        <v/>
      </c>
      <c r="Y199" s="4" t="str">
        <f>IFERROR(__xludf.DUMMYFUNCTION("IF(OR($U199="""",COUNTIF($I:$I,IFERROR(unique(filter(Prod_Prop!$H:$H,Prod_Prop!$G:$G=$U199,Prod_Prop!$E:$E=Y$1)),""Check""))=0),"""",IFERROR(unique(filter(Prod_Prop!$H:$H,Prod_Prop!$G:$G=$U199,Prod_Prop!$E:$E=Y$1)),""""))"),"")</f>
        <v/>
      </c>
      <c r="Z199" s="4" t="str">
        <f>IF(Y199="","",SUMIFS(Prod_Prop!$J:$J,Prod_Prop!$B:$B,$Q199,Prod_Prop!$H:$H,Y199,Prod_Prop!$I:$I,Z$1)*IF(Y199="Peso",$R199,1))</f>
        <v/>
      </c>
      <c r="AA199" s="4" t="str">
        <f>IF(Y199="","",SUMIFS(Prod_Prop!$J:$J,Prod_Prop!$B:$B,$Q199,Prod_Prop!$H:$H,Y199,Prod_Prop!$I:$I,AA$1)*IF(Y199="Peso",$R199,1))</f>
        <v/>
      </c>
      <c r="AB199" s="4" t="str">
        <f>IFERROR(__xludf.DUMMYFUNCTION("IF(OR($U199="""",COUNTIF($I:$I,IFERROR(unique(filter(Prod_Prop!$H:$H,Prod_Prop!$G:$G=$U199,Prod_Prop!$E:$E=AB$1)),""Check""))=0),"""",IFERROR(unique(filter(Prod_Prop!$H:$H,Prod_Prop!$G:$G=$U199,Prod_Prop!$E:$E=AB$1)),""""))"),"")</f>
        <v/>
      </c>
      <c r="AC199" s="4" t="str">
        <f>IF(AB199="","",SUMIFS(Prod_Prop!$J:$J,Prod_Prop!$B:$B,$Q199,Prod_Prop!$H:$H,AB199,Prod_Prop!$I:$I,AC$1)*IF(AB199="Peso",$R199,1))</f>
        <v/>
      </c>
      <c r="AD199" s="4" t="str">
        <f>IF(AB199="","",SUMIFS(Prod_Prop!$J:$J,Prod_Prop!$B:$B,$Q199,Prod_Prop!$H:$H,AB199,Prod_Prop!$I:$I,AD$1)*IF(AB199="Peso",$R199,1))</f>
        <v/>
      </c>
    </row>
    <row r="200">
      <c r="A200" s="4" t="str">
        <f t="array" ref="A200">IF(COUNTIF(A$1:A199,Cotizador!F$2)=maxifs(Familias!E:E,Familias!D:D,Cotizador!F$2),IF(COUNTIF(A$1:A199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0" s="4" t="str">
        <f t="shared" si="1"/>
        <v/>
      </c>
      <c r="C200" s="4" t="str">
        <f t="array" ref="C200">IF(B200="","",IF(A200=XLOOKUP(A$2,Implementos!B:B,Implementos!C:C,"",0,1),B200+maxifs(B$1:B199,A$1:A199,A$2),B200))</f>
        <v/>
      </c>
      <c r="D200" s="4" t="str">
        <f>IF(B200="","", COUNTIFS(Productos!F:F,A200,Productos!H:H,B200)+IF(F200="SI",0,1))</f>
        <v/>
      </c>
      <c r="E200" s="4" t="str">
        <f>IFERROR(__xludf.DUMMYFUNCTION("IF($B200="""","""",INDEX(filter(Familias!F:F,Familias!$D:$D=$A200,Familias!$E:$E=$B200),1))"),"")</f>
        <v/>
      </c>
      <c r="F200" s="4" t="str">
        <f>IFERROR(__xludf.DUMMYFUNCTION("IF($B200="""","""",INDEX(filter(Familias!G:G,Familias!$D:$D=$A200,Familias!$E:$E=$B200),1))"),"")</f>
        <v/>
      </c>
      <c r="G200" s="4" t="str">
        <f t="array" ref="G200">IF(C200=1,XLOOKUP(C200,Cotizador!D:D,Cotizador!E:E,"",0,1),"")</f>
        <v/>
      </c>
      <c r="I200" s="4"/>
      <c r="J200" s="8" t="str">
        <f>IF(I200="","",SUMIF(Cotizador!I$1:V$1,I200,Cotizador!I$2:V$2))</f>
        <v/>
      </c>
      <c r="L200" s="4" t="str">
        <f t="array" ref="L200">IF(COUNTIF(L$1:L199,A$2)=SUMIF(A:A,A$2,D:D),IF(COUNTIF(L$1:L199,XLOOKUP(A$2,Implementos!B:B,Implementos!C:C,"",0,1))=SUMIF(A:A,XLOOKUP(A$2,Implementos!B:B,Implementos!C:C,"",0,1),D:D),"",XLOOKUP(A$2,Implementos!B:B,Implementos!C:C,"",0,1)),A$2)</f>
        <v/>
      </c>
      <c r="M200" s="4" t="str">
        <f t="shared" si="2"/>
        <v/>
      </c>
      <c r="N200" s="4" t="str">
        <f t="shared" si="3"/>
        <v/>
      </c>
      <c r="O200" s="4" t="str">
        <f t="shared" si="4"/>
        <v/>
      </c>
      <c r="P200" s="4" t="str">
        <f t="shared" si="5"/>
        <v/>
      </c>
      <c r="Q200" s="4" t="str">
        <f>IF(U200="","",SUMIF(Productos!E:E,U200,Productos!A:A))</f>
        <v/>
      </c>
      <c r="R200" s="4" t="str">
        <f t="array" ref="R200">IF(L200="","", max(1,SUMIF(I:I,XLOOKUP(U200,Productos!E:E,Productos!G:G,"",0,1),J:J)))</f>
        <v/>
      </c>
      <c r="S200" s="4" t="str">
        <f>IF(Q200="","",IF(SUMIFS(Compat_Vetado!D:D,Compat_Vetado!B:B,SUM(G:G),Compat_Vetado!C:C,Q200)=1,"SI",IF(OR(SUMIF(Cotizador!E:E,Q200,Cotizador!G:G)&gt;0,SUMIFS(Compat_Vetado!D:D,Compat_Vetado!B:B,SUM(G:G),Compat_Vetado!C:C,Q200)=-1),"NO","")))</f>
        <v/>
      </c>
      <c r="T200" s="4" t="str">
        <f t="shared" si="6"/>
        <v/>
      </c>
      <c r="U200" s="4" t="str">
        <f>IFERROR(__xludf.DUMMYFUNCTION("IF(P200="""","""",IFERROR(INDEX(filter(Productos!E:E,Productos!F:F=L200,Productos!H:H=N200),P200),IF(M200=SUM(D:D),""Finalizar"",""-"")))"),"")</f>
        <v/>
      </c>
      <c r="V200" s="4" t="str">
        <f>IFERROR(__xludf.DUMMYFUNCTION("IF(OR($U200="""",COUNTIF($I:$I,IFERROR(unique(filter(Prod_Prop!$H:$H,Prod_Prop!$G:$G=$U200,Prod_Prop!$E:$E=V$1)),""Check""))=0),"""",IFERROR(unique(filter(Prod_Prop!$H:$H,Prod_Prop!$G:$G=$U200,Prod_Prop!$E:$E=V$1)),""""))"),"")</f>
        <v/>
      </c>
      <c r="W200" s="4" t="str">
        <f>IF(V200="","",SUMIFS(Prod_Prop!$J:$J,Prod_Prop!$B:$B,$Q200,Prod_Prop!$H:$H,V200,Prod_Prop!$I:$I,W$1)*IF(V200="Peso",$R200,1))</f>
        <v/>
      </c>
      <c r="X200" s="4" t="str">
        <f>IF(V200="","",SUMIFS(Prod_Prop!$J:$J,Prod_Prop!$B:$B,$Q200,Prod_Prop!$H:$H,V200,Prod_Prop!$I:$I,X$1)*IF(V200="Peso",$R200,1))</f>
        <v/>
      </c>
      <c r="Y200" s="4" t="str">
        <f>IFERROR(__xludf.DUMMYFUNCTION("IF(OR($U200="""",COUNTIF($I:$I,IFERROR(unique(filter(Prod_Prop!$H:$H,Prod_Prop!$G:$G=$U200,Prod_Prop!$E:$E=Y$1)),""Check""))=0),"""",IFERROR(unique(filter(Prod_Prop!$H:$H,Prod_Prop!$G:$G=$U200,Prod_Prop!$E:$E=Y$1)),""""))"),"")</f>
        <v/>
      </c>
      <c r="Z200" s="4" t="str">
        <f>IF(Y200="","",SUMIFS(Prod_Prop!$J:$J,Prod_Prop!$B:$B,$Q200,Prod_Prop!$H:$H,Y200,Prod_Prop!$I:$I,Z$1)*IF(Y200="Peso",$R200,1))</f>
        <v/>
      </c>
      <c r="AA200" s="4" t="str">
        <f>IF(Y200="","",SUMIFS(Prod_Prop!$J:$J,Prod_Prop!$B:$B,$Q200,Prod_Prop!$H:$H,Y200,Prod_Prop!$I:$I,AA$1)*IF(Y200="Peso",$R200,1))</f>
        <v/>
      </c>
      <c r="AB200" s="4" t="str">
        <f>IFERROR(__xludf.DUMMYFUNCTION("IF(OR($U200="""",COUNTIF($I:$I,IFERROR(unique(filter(Prod_Prop!$H:$H,Prod_Prop!$G:$G=$U200,Prod_Prop!$E:$E=AB$1)),""Check""))=0),"""",IFERROR(unique(filter(Prod_Prop!$H:$H,Prod_Prop!$G:$G=$U200,Prod_Prop!$E:$E=AB$1)),""""))"),"")</f>
        <v/>
      </c>
      <c r="AC200" s="4" t="str">
        <f>IF(AB200="","",SUMIFS(Prod_Prop!$J:$J,Prod_Prop!$B:$B,$Q200,Prod_Prop!$H:$H,AB200,Prod_Prop!$I:$I,AC$1)*IF(AB200="Peso",$R200,1))</f>
        <v/>
      </c>
      <c r="AD200" s="4" t="str">
        <f>IF(AB200="","",SUMIFS(Prod_Prop!$J:$J,Prod_Prop!$B:$B,$Q200,Prod_Prop!$H:$H,AB200,Prod_Prop!$I:$I,AD$1)*IF(AB200="Peso",$R200,1))</f>
        <v/>
      </c>
    </row>
    <row r="201">
      <c r="A201" s="4" t="str">
        <f t="array" ref="A201">IF(COUNTIF(A$1:A200,Cotizador!F$2)=maxifs(Familias!E:E,Familias!D:D,Cotizador!F$2),IF(COUNTIF(A$1:A200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1" s="4" t="str">
        <f t="shared" si="1"/>
        <v/>
      </c>
      <c r="C201" s="4" t="str">
        <f t="array" ref="C201">IF(B201="","",IF(A201=XLOOKUP(A$2,Implementos!B:B,Implementos!C:C,"",0,1),B201+maxifs(B$1:B200,A$1:A200,A$2),B201))</f>
        <v/>
      </c>
      <c r="D201" s="4" t="str">
        <f>IF(B201="","", COUNTIFS(Productos!F:F,A201,Productos!H:H,B201)+IF(F201="SI",0,1))</f>
        <v/>
      </c>
      <c r="E201" s="4" t="str">
        <f>IFERROR(__xludf.DUMMYFUNCTION("IF($B201="""","""",INDEX(filter(Familias!F:F,Familias!$D:$D=$A201,Familias!$E:$E=$B201),1))"),"")</f>
        <v/>
      </c>
      <c r="F201" s="4" t="str">
        <f>IFERROR(__xludf.DUMMYFUNCTION("IF($B201="""","""",INDEX(filter(Familias!G:G,Familias!$D:$D=$A201,Familias!$E:$E=$B201),1))"),"")</f>
        <v/>
      </c>
      <c r="G201" s="4" t="str">
        <f t="array" ref="G201">IF(C201=1,XLOOKUP(C201,Cotizador!D:D,Cotizador!E:E,"",0,1),"")</f>
        <v/>
      </c>
      <c r="I201" s="4"/>
      <c r="J201" s="8" t="str">
        <f>IF(I201="","",SUMIF(Cotizador!I$1:V$1,I201,Cotizador!I$2:V$2))</f>
        <v/>
      </c>
      <c r="L201" s="4" t="str">
        <f t="array" ref="L201">IF(COUNTIF(L$1:L200,A$2)=SUMIF(A:A,A$2,D:D),IF(COUNTIF(L$1:L200,XLOOKUP(A$2,Implementos!B:B,Implementos!C:C,"",0,1))=SUMIF(A:A,XLOOKUP(A$2,Implementos!B:B,Implementos!C:C,"",0,1),D:D),"",XLOOKUP(A$2,Implementos!B:B,Implementos!C:C,"",0,1)),A$2)</f>
        <v/>
      </c>
      <c r="M201" s="4" t="str">
        <f t="shared" si="2"/>
        <v/>
      </c>
      <c r="N201" s="4" t="str">
        <f t="shared" si="3"/>
        <v/>
      </c>
      <c r="O201" s="4" t="str">
        <f t="shared" si="4"/>
        <v/>
      </c>
      <c r="P201" s="4" t="str">
        <f t="shared" si="5"/>
        <v/>
      </c>
      <c r="Q201" s="4" t="str">
        <f>IF(U201="","",SUMIF(Productos!E:E,U201,Productos!A:A))</f>
        <v/>
      </c>
      <c r="R201" s="4" t="str">
        <f t="array" ref="R201">IF(L201="","", max(1,SUMIF(I:I,XLOOKUP(U201,Productos!E:E,Productos!G:G,"",0,1),J:J)))</f>
        <v/>
      </c>
      <c r="S201" s="4" t="str">
        <f>IF(Q201="","",IF(SUMIFS(Compat_Vetado!D:D,Compat_Vetado!B:B,SUM(G:G),Compat_Vetado!C:C,Q201)=1,"SI",IF(OR(SUMIF(Cotizador!E:E,Q201,Cotizador!G:G)&gt;0,SUMIFS(Compat_Vetado!D:D,Compat_Vetado!B:B,SUM(G:G),Compat_Vetado!C:C,Q201)=-1),"NO","")))</f>
        <v/>
      </c>
      <c r="T201" s="4" t="str">
        <f t="shared" si="6"/>
        <v/>
      </c>
      <c r="U201" s="4" t="str">
        <f>IFERROR(__xludf.DUMMYFUNCTION("IF(P201="""","""",IFERROR(INDEX(filter(Productos!E:E,Productos!F:F=L201,Productos!H:H=N201),P201),IF(M201=SUM(D:D),""Finalizar"",""-"")))"),"")</f>
        <v/>
      </c>
      <c r="V201" s="4" t="str">
        <f>IFERROR(__xludf.DUMMYFUNCTION("IF(OR($U201="""",COUNTIF($I:$I,IFERROR(unique(filter(Prod_Prop!$H:$H,Prod_Prop!$G:$G=$U201,Prod_Prop!$E:$E=V$1)),""Check""))=0),"""",IFERROR(unique(filter(Prod_Prop!$H:$H,Prod_Prop!$G:$G=$U201,Prod_Prop!$E:$E=V$1)),""""))"),"")</f>
        <v/>
      </c>
      <c r="W201" s="4" t="str">
        <f>IF(V201="","",SUMIFS(Prod_Prop!$J:$J,Prod_Prop!$B:$B,$Q201,Prod_Prop!$H:$H,V201,Prod_Prop!$I:$I,W$1)*IF(V201="Peso",$R201,1))</f>
        <v/>
      </c>
      <c r="X201" s="4" t="str">
        <f>IF(V201="","",SUMIFS(Prod_Prop!$J:$J,Prod_Prop!$B:$B,$Q201,Prod_Prop!$H:$H,V201,Prod_Prop!$I:$I,X$1)*IF(V201="Peso",$R201,1))</f>
        <v/>
      </c>
      <c r="Y201" s="4" t="str">
        <f>IFERROR(__xludf.DUMMYFUNCTION("IF(OR($U201="""",COUNTIF($I:$I,IFERROR(unique(filter(Prod_Prop!$H:$H,Prod_Prop!$G:$G=$U201,Prod_Prop!$E:$E=Y$1)),""Check""))=0),"""",IFERROR(unique(filter(Prod_Prop!$H:$H,Prod_Prop!$G:$G=$U201,Prod_Prop!$E:$E=Y$1)),""""))"),"")</f>
        <v/>
      </c>
      <c r="Z201" s="4" t="str">
        <f>IF(Y201="","",SUMIFS(Prod_Prop!$J:$J,Prod_Prop!$B:$B,$Q201,Prod_Prop!$H:$H,Y201,Prod_Prop!$I:$I,Z$1)*IF(Y201="Peso",$R201,1))</f>
        <v/>
      </c>
      <c r="AA201" s="4" t="str">
        <f>IF(Y201="","",SUMIFS(Prod_Prop!$J:$J,Prod_Prop!$B:$B,$Q201,Prod_Prop!$H:$H,Y201,Prod_Prop!$I:$I,AA$1)*IF(Y201="Peso",$R201,1))</f>
        <v/>
      </c>
      <c r="AB201" s="4" t="str">
        <f>IFERROR(__xludf.DUMMYFUNCTION("IF(OR($U201="""",COUNTIF($I:$I,IFERROR(unique(filter(Prod_Prop!$H:$H,Prod_Prop!$G:$G=$U201,Prod_Prop!$E:$E=AB$1)),""Check""))=0),"""",IFERROR(unique(filter(Prod_Prop!$H:$H,Prod_Prop!$G:$G=$U201,Prod_Prop!$E:$E=AB$1)),""""))"),"")</f>
        <v/>
      </c>
      <c r="AC201" s="4" t="str">
        <f>IF(AB201="","",SUMIFS(Prod_Prop!$J:$J,Prod_Prop!$B:$B,$Q201,Prod_Prop!$H:$H,AB201,Prod_Prop!$I:$I,AC$1)*IF(AB201="Peso",$R201,1))</f>
        <v/>
      </c>
      <c r="AD201" s="4" t="str">
        <f>IF(AB201="","",SUMIFS(Prod_Prop!$J:$J,Prod_Prop!$B:$B,$Q201,Prod_Prop!$H:$H,AB201,Prod_Prop!$I:$I,AD$1)*IF(AB201="Peso",$R201,1))</f>
        <v/>
      </c>
    </row>
    <row r="202">
      <c r="A202" s="4" t="str">
        <f t="array" ref="A202">IF(COUNTIF(A$1:A201,Cotizador!F$2)=maxifs(Familias!E:E,Familias!D:D,Cotizador!F$2),IF(COUNTIF(A$1:A201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2" s="4" t="str">
        <f t="shared" si="1"/>
        <v/>
      </c>
      <c r="C202" s="4" t="str">
        <f t="array" ref="C202">IF(B202="","",IF(A202=XLOOKUP(A$2,Implementos!B:B,Implementos!C:C,"",0,1),B202+maxifs(B$1:B201,A$1:A201,A$2),B202))</f>
        <v/>
      </c>
      <c r="D202" s="4" t="str">
        <f>IF(B202="","", COUNTIFS(Productos!F:F,A202,Productos!H:H,B202)+IF(F202="SI",0,1))</f>
        <v/>
      </c>
      <c r="E202" s="4" t="str">
        <f>IFERROR(__xludf.DUMMYFUNCTION("IF($B202="""","""",INDEX(filter(Familias!F:F,Familias!$D:$D=$A202,Familias!$E:$E=$B202),1))"),"")</f>
        <v/>
      </c>
      <c r="F202" s="4" t="str">
        <f>IFERROR(__xludf.DUMMYFUNCTION("IF($B202="""","""",INDEX(filter(Familias!G:G,Familias!$D:$D=$A202,Familias!$E:$E=$B202),1))"),"")</f>
        <v/>
      </c>
      <c r="G202" s="4" t="str">
        <f t="array" ref="G202">IF(C202=1,XLOOKUP(C202,Cotizador!D:D,Cotizador!E:E,"",0,1),"")</f>
        <v/>
      </c>
      <c r="I202" s="4"/>
      <c r="J202" s="8" t="str">
        <f>IF(I202="","",SUMIF(Cotizador!I$1:V$1,I202,Cotizador!I$2:V$2))</f>
        <v/>
      </c>
      <c r="L202" s="4" t="str">
        <f t="array" ref="L202">IF(COUNTIF(L$1:L201,A$2)=SUMIF(A:A,A$2,D:D),IF(COUNTIF(L$1:L201,XLOOKUP(A$2,Implementos!B:B,Implementos!C:C,"",0,1))=SUMIF(A:A,XLOOKUP(A$2,Implementos!B:B,Implementos!C:C,"",0,1),D:D),"",XLOOKUP(A$2,Implementos!B:B,Implementos!C:C,"",0,1)),A$2)</f>
        <v/>
      </c>
      <c r="M202" s="4" t="str">
        <f t="shared" si="2"/>
        <v/>
      </c>
      <c r="N202" s="4" t="str">
        <f t="shared" si="3"/>
        <v/>
      </c>
      <c r="O202" s="4" t="str">
        <f t="shared" si="4"/>
        <v/>
      </c>
      <c r="P202" s="4" t="str">
        <f t="shared" si="5"/>
        <v/>
      </c>
      <c r="Q202" s="4" t="str">
        <f>IF(U202="","",SUMIF(Productos!E:E,U202,Productos!A:A))</f>
        <v/>
      </c>
      <c r="R202" s="4" t="str">
        <f t="array" ref="R202">IF(L202="","", max(1,SUMIF(I:I,XLOOKUP(U202,Productos!E:E,Productos!G:G,"",0,1),J:J)))</f>
        <v/>
      </c>
      <c r="S202" s="4" t="str">
        <f>IF(Q202="","",IF(SUMIFS(Compat_Vetado!D:D,Compat_Vetado!B:B,SUM(G:G),Compat_Vetado!C:C,Q202)=1,"SI",IF(OR(SUMIF(Cotizador!E:E,Q202,Cotizador!G:G)&gt;0,SUMIFS(Compat_Vetado!D:D,Compat_Vetado!B:B,SUM(G:G),Compat_Vetado!C:C,Q202)=-1),"NO","")))</f>
        <v/>
      </c>
      <c r="T202" s="4" t="str">
        <f t="shared" si="6"/>
        <v/>
      </c>
      <c r="U202" s="4" t="str">
        <f>IFERROR(__xludf.DUMMYFUNCTION("IF(P202="""","""",IFERROR(INDEX(filter(Productos!E:E,Productos!F:F=L202,Productos!H:H=N202),P202),IF(M202=SUM(D:D),""Finalizar"",""-"")))"),"")</f>
        <v/>
      </c>
      <c r="V202" s="4" t="str">
        <f>IFERROR(__xludf.DUMMYFUNCTION("IF(OR($U202="""",COUNTIF($I:$I,IFERROR(unique(filter(Prod_Prop!$H:$H,Prod_Prop!$G:$G=$U202,Prod_Prop!$E:$E=V$1)),""Check""))=0),"""",IFERROR(unique(filter(Prod_Prop!$H:$H,Prod_Prop!$G:$G=$U202,Prod_Prop!$E:$E=V$1)),""""))"),"")</f>
        <v/>
      </c>
      <c r="W202" s="4" t="str">
        <f>IF(V202="","",SUMIFS(Prod_Prop!$J:$J,Prod_Prop!$B:$B,$Q202,Prod_Prop!$H:$H,V202,Prod_Prop!$I:$I,W$1)*IF(V202="Peso",$R202,1))</f>
        <v/>
      </c>
      <c r="X202" s="4" t="str">
        <f>IF(V202="","",SUMIFS(Prod_Prop!$J:$J,Prod_Prop!$B:$B,$Q202,Prod_Prop!$H:$H,V202,Prod_Prop!$I:$I,X$1)*IF(V202="Peso",$R202,1))</f>
        <v/>
      </c>
      <c r="Y202" s="4" t="str">
        <f>IFERROR(__xludf.DUMMYFUNCTION("IF(OR($U202="""",COUNTIF($I:$I,IFERROR(unique(filter(Prod_Prop!$H:$H,Prod_Prop!$G:$G=$U202,Prod_Prop!$E:$E=Y$1)),""Check""))=0),"""",IFERROR(unique(filter(Prod_Prop!$H:$H,Prod_Prop!$G:$G=$U202,Prod_Prop!$E:$E=Y$1)),""""))"),"")</f>
        <v/>
      </c>
      <c r="Z202" s="4" t="str">
        <f>IF(Y202="","",SUMIFS(Prod_Prop!$J:$J,Prod_Prop!$B:$B,$Q202,Prod_Prop!$H:$H,Y202,Prod_Prop!$I:$I,Z$1)*IF(Y202="Peso",$R202,1))</f>
        <v/>
      </c>
      <c r="AA202" s="4" t="str">
        <f>IF(Y202="","",SUMIFS(Prod_Prop!$J:$J,Prod_Prop!$B:$B,$Q202,Prod_Prop!$H:$H,Y202,Prod_Prop!$I:$I,AA$1)*IF(Y202="Peso",$R202,1))</f>
        <v/>
      </c>
      <c r="AB202" s="4" t="str">
        <f>IFERROR(__xludf.DUMMYFUNCTION("IF(OR($U202="""",COUNTIF($I:$I,IFERROR(unique(filter(Prod_Prop!$H:$H,Prod_Prop!$G:$G=$U202,Prod_Prop!$E:$E=AB$1)),""Check""))=0),"""",IFERROR(unique(filter(Prod_Prop!$H:$H,Prod_Prop!$G:$G=$U202,Prod_Prop!$E:$E=AB$1)),""""))"),"")</f>
        <v/>
      </c>
      <c r="AC202" s="4" t="str">
        <f>IF(AB202="","",SUMIFS(Prod_Prop!$J:$J,Prod_Prop!$B:$B,$Q202,Prod_Prop!$H:$H,AB202,Prod_Prop!$I:$I,AC$1)*IF(AB202="Peso",$R202,1))</f>
        <v/>
      </c>
      <c r="AD202" s="4" t="str">
        <f>IF(AB202="","",SUMIFS(Prod_Prop!$J:$J,Prod_Prop!$B:$B,$Q202,Prod_Prop!$H:$H,AB202,Prod_Prop!$I:$I,AD$1)*IF(AB202="Peso",$R202,1))</f>
        <v/>
      </c>
    </row>
    <row r="203">
      <c r="A203" s="4" t="str">
        <f t="array" ref="A203">IF(COUNTIF(A$1:A202,Cotizador!F$2)=maxifs(Familias!E:E,Familias!D:D,Cotizador!F$2),IF(COUNTIF(A$1:A202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3" s="4" t="str">
        <f t="shared" si="1"/>
        <v/>
      </c>
      <c r="C203" s="4" t="str">
        <f t="array" ref="C203">IF(B203="","",IF(A203=XLOOKUP(A$2,Implementos!B:B,Implementos!C:C,"",0,1),B203+maxifs(B$1:B202,A$1:A202,A$2),B203))</f>
        <v/>
      </c>
      <c r="D203" s="4" t="str">
        <f>IF(B203="","", COUNTIFS(Productos!F:F,A203,Productos!H:H,B203)+IF(F203="SI",0,1))</f>
        <v/>
      </c>
      <c r="E203" s="4" t="str">
        <f>IFERROR(__xludf.DUMMYFUNCTION("IF($B203="""","""",INDEX(filter(Familias!F:F,Familias!$D:$D=$A203,Familias!$E:$E=$B203),1))"),"")</f>
        <v/>
      </c>
      <c r="F203" s="4" t="str">
        <f>IFERROR(__xludf.DUMMYFUNCTION("IF($B203="""","""",INDEX(filter(Familias!G:G,Familias!$D:$D=$A203,Familias!$E:$E=$B203),1))"),"")</f>
        <v/>
      </c>
      <c r="G203" s="4" t="str">
        <f t="array" ref="G203">IF(C203=1,XLOOKUP(C203,Cotizador!D:D,Cotizador!E:E,"",0,1),"")</f>
        <v/>
      </c>
      <c r="I203" s="4"/>
      <c r="J203" s="8" t="str">
        <f>IF(I203="","",SUMIF(Cotizador!I$1:V$1,I203,Cotizador!I$2:V$2))</f>
        <v/>
      </c>
      <c r="L203" s="4" t="str">
        <f t="array" ref="L203">IF(COUNTIF(L$1:L202,A$2)=SUMIF(A:A,A$2,D:D),IF(COUNTIF(L$1:L202,XLOOKUP(A$2,Implementos!B:B,Implementos!C:C,"",0,1))=SUMIF(A:A,XLOOKUP(A$2,Implementos!B:B,Implementos!C:C,"",0,1),D:D),"",XLOOKUP(A$2,Implementos!B:B,Implementos!C:C,"",0,1)),A$2)</f>
        <v/>
      </c>
      <c r="M203" s="4" t="str">
        <f t="shared" si="2"/>
        <v/>
      </c>
      <c r="N203" s="4" t="str">
        <f t="shared" si="3"/>
        <v/>
      </c>
      <c r="O203" s="4" t="str">
        <f t="shared" si="4"/>
        <v/>
      </c>
      <c r="P203" s="4" t="str">
        <f t="shared" si="5"/>
        <v/>
      </c>
      <c r="Q203" s="4" t="str">
        <f>IF(U203="","",SUMIF(Productos!E:E,U203,Productos!A:A))</f>
        <v/>
      </c>
      <c r="R203" s="4" t="str">
        <f t="array" ref="R203">IF(L203="","", max(1,SUMIF(I:I,XLOOKUP(U203,Productos!E:E,Productos!G:G,"",0,1),J:J)))</f>
        <v/>
      </c>
      <c r="S203" s="4" t="str">
        <f>IF(Q203="","",IF(SUMIFS(Compat_Vetado!D:D,Compat_Vetado!B:B,SUM(G:G),Compat_Vetado!C:C,Q203)=1,"SI",IF(OR(SUMIF(Cotizador!E:E,Q203,Cotizador!G:G)&gt;0,SUMIFS(Compat_Vetado!D:D,Compat_Vetado!B:B,SUM(G:G),Compat_Vetado!C:C,Q203)=-1),"NO","")))</f>
        <v/>
      </c>
      <c r="T203" s="4" t="str">
        <f t="shared" si="6"/>
        <v/>
      </c>
      <c r="U203" s="4" t="str">
        <f>IFERROR(__xludf.DUMMYFUNCTION("IF(P203="""","""",IFERROR(INDEX(filter(Productos!E:E,Productos!F:F=L203,Productos!H:H=N203),P203),IF(M203=SUM(D:D),""Finalizar"",""-"")))"),"")</f>
        <v/>
      </c>
      <c r="V203" s="4" t="str">
        <f>IFERROR(__xludf.DUMMYFUNCTION("IF(OR($U203="""",COUNTIF($I:$I,IFERROR(unique(filter(Prod_Prop!$H:$H,Prod_Prop!$G:$G=$U203,Prod_Prop!$E:$E=V$1)),""Check""))=0),"""",IFERROR(unique(filter(Prod_Prop!$H:$H,Prod_Prop!$G:$G=$U203,Prod_Prop!$E:$E=V$1)),""""))"),"")</f>
        <v/>
      </c>
      <c r="W203" s="4" t="str">
        <f>IF(V203="","",SUMIFS(Prod_Prop!$J:$J,Prod_Prop!$B:$B,$Q203,Prod_Prop!$H:$H,V203,Prod_Prop!$I:$I,W$1)*IF(V203="Peso",$R203,1))</f>
        <v/>
      </c>
      <c r="X203" s="4" t="str">
        <f>IF(V203="","",SUMIFS(Prod_Prop!$J:$J,Prod_Prop!$B:$B,$Q203,Prod_Prop!$H:$H,V203,Prod_Prop!$I:$I,X$1)*IF(V203="Peso",$R203,1))</f>
        <v/>
      </c>
      <c r="Y203" s="4" t="str">
        <f>IFERROR(__xludf.DUMMYFUNCTION("IF(OR($U203="""",COUNTIF($I:$I,IFERROR(unique(filter(Prod_Prop!$H:$H,Prod_Prop!$G:$G=$U203,Prod_Prop!$E:$E=Y$1)),""Check""))=0),"""",IFERROR(unique(filter(Prod_Prop!$H:$H,Prod_Prop!$G:$G=$U203,Prod_Prop!$E:$E=Y$1)),""""))"),"")</f>
        <v/>
      </c>
      <c r="Z203" s="4" t="str">
        <f>IF(Y203="","",SUMIFS(Prod_Prop!$J:$J,Prod_Prop!$B:$B,$Q203,Prod_Prop!$H:$H,Y203,Prod_Prop!$I:$I,Z$1)*IF(Y203="Peso",$R203,1))</f>
        <v/>
      </c>
      <c r="AA203" s="4" t="str">
        <f>IF(Y203="","",SUMIFS(Prod_Prop!$J:$J,Prod_Prop!$B:$B,$Q203,Prod_Prop!$H:$H,Y203,Prod_Prop!$I:$I,AA$1)*IF(Y203="Peso",$R203,1))</f>
        <v/>
      </c>
      <c r="AB203" s="4" t="str">
        <f>IFERROR(__xludf.DUMMYFUNCTION("IF(OR($U203="""",COUNTIF($I:$I,IFERROR(unique(filter(Prod_Prop!$H:$H,Prod_Prop!$G:$G=$U203,Prod_Prop!$E:$E=AB$1)),""Check""))=0),"""",IFERROR(unique(filter(Prod_Prop!$H:$H,Prod_Prop!$G:$G=$U203,Prod_Prop!$E:$E=AB$1)),""""))"),"")</f>
        <v/>
      </c>
      <c r="AC203" s="4" t="str">
        <f>IF(AB203="","",SUMIFS(Prod_Prop!$J:$J,Prod_Prop!$B:$B,$Q203,Prod_Prop!$H:$H,AB203,Prod_Prop!$I:$I,AC$1)*IF(AB203="Peso",$R203,1))</f>
        <v/>
      </c>
      <c r="AD203" s="4" t="str">
        <f>IF(AB203="","",SUMIFS(Prod_Prop!$J:$J,Prod_Prop!$B:$B,$Q203,Prod_Prop!$H:$H,AB203,Prod_Prop!$I:$I,AD$1)*IF(AB203="Peso",$R203,1))</f>
        <v/>
      </c>
    </row>
    <row r="204">
      <c r="A204" s="4" t="str">
        <f t="array" ref="A204">IF(COUNTIF(A$1:A203,Cotizador!F$2)=maxifs(Familias!E:E,Familias!D:D,Cotizador!F$2),IF(COUNTIF(A$1:A203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4" s="4" t="str">
        <f t="shared" si="1"/>
        <v/>
      </c>
      <c r="C204" s="4" t="str">
        <f t="array" ref="C204">IF(B204="","",IF(A204=XLOOKUP(A$2,Implementos!B:B,Implementos!C:C,"",0,1),B204+maxifs(B$1:B203,A$1:A203,A$2),B204))</f>
        <v/>
      </c>
      <c r="D204" s="4" t="str">
        <f>IF(B204="","", COUNTIFS(Productos!F:F,A204,Productos!H:H,B204)+IF(F204="SI",0,1))</f>
        <v/>
      </c>
      <c r="E204" s="4" t="str">
        <f>IFERROR(__xludf.DUMMYFUNCTION("IF($B204="""","""",INDEX(filter(Familias!F:F,Familias!$D:$D=$A204,Familias!$E:$E=$B204),1))"),"")</f>
        <v/>
      </c>
      <c r="F204" s="4" t="str">
        <f>IFERROR(__xludf.DUMMYFUNCTION("IF($B204="""","""",INDEX(filter(Familias!G:G,Familias!$D:$D=$A204,Familias!$E:$E=$B204),1))"),"")</f>
        <v/>
      </c>
      <c r="G204" s="4" t="str">
        <f t="array" ref="G204">IF(C204=1,XLOOKUP(C204,Cotizador!D:D,Cotizador!E:E,"",0,1),"")</f>
        <v/>
      </c>
      <c r="I204" s="4"/>
      <c r="J204" s="8" t="str">
        <f>IF(I204="","",SUMIF(Cotizador!I$1:V$1,I204,Cotizador!I$2:V$2))</f>
        <v/>
      </c>
      <c r="L204" s="4" t="str">
        <f t="array" ref="L204">IF(COUNTIF(L$1:L203,A$2)=SUMIF(A:A,A$2,D:D),IF(COUNTIF(L$1:L203,XLOOKUP(A$2,Implementos!B:B,Implementos!C:C,"",0,1))=SUMIF(A:A,XLOOKUP(A$2,Implementos!B:B,Implementos!C:C,"",0,1),D:D),"",XLOOKUP(A$2,Implementos!B:B,Implementos!C:C,"",0,1)),A$2)</f>
        <v/>
      </c>
      <c r="M204" s="4" t="str">
        <f t="shared" si="2"/>
        <v/>
      </c>
      <c r="N204" s="4" t="str">
        <f t="shared" si="3"/>
        <v/>
      </c>
      <c r="O204" s="4" t="str">
        <f t="shared" si="4"/>
        <v/>
      </c>
      <c r="P204" s="4" t="str">
        <f t="shared" si="5"/>
        <v/>
      </c>
      <c r="Q204" s="4" t="str">
        <f>IF(U204="","",SUMIF(Productos!E:E,U204,Productos!A:A))</f>
        <v/>
      </c>
      <c r="R204" s="4" t="str">
        <f t="array" ref="R204">IF(L204="","", max(1,SUMIF(I:I,XLOOKUP(U204,Productos!E:E,Productos!G:G,"",0,1),J:J)))</f>
        <v/>
      </c>
      <c r="S204" s="4" t="str">
        <f>IF(Q204="","",IF(SUMIFS(Compat_Vetado!D:D,Compat_Vetado!B:B,SUM(G:G),Compat_Vetado!C:C,Q204)=1,"SI",IF(OR(SUMIF(Cotizador!E:E,Q204,Cotizador!G:G)&gt;0,SUMIFS(Compat_Vetado!D:D,Compat_Vetado!B:B,SUM(G:G),Compat_Vetado!C:C,Q204)=-1),"NO","")))</f>
        <v/>
      </c>
      <c r="T204" s="4" t="str">
        <f t="shared" si="6"/>
        <v/>
      </c>
      <c r="U204" s="4" t="str">
        <f>IFERROR(__xludf.DUMMYFUNCTION("IF(P204="""","""",IFERROR(INDEX(filter(Productos!E:E,Productos!F:F=L204,Productos!H:H=N204),P204),IF(M204=SUM(D:D),""Finalizar"",""-"")))"),"")</f>
        <v/>
      </c>
      <c r="V204" s="4" t="str">
        <f>IFERROR(__xludf.DUMMYFUNCTION("IF(OR($U204="""",COUNTIF($I:$I,IFERROR(unique(filter(Prod_Prop!$H:$H,Prod_Prop!$G:$G=$U204,Prod_Prop!$E:$E=V$1)),""Check""))=0),"""",IFERROR(unique(filter(Prod_Prop!$H:$H,Prod_Prop!$G:$G=$U204,Prod_Prop!$E:$E=V$1)),""""))"),"")</f>
        <v/>
      </c>
      <c r="W204" s="4" t="str">
        <f>IF(V204="","",SUMIFS(Prod_Prop!$J:$J,Prod_Prop!$B:$B,$Q204,Prod_Prop!$H:$H,V204,Prod_Prop!$I:$I,W$1)*IF(V204="Peso",$R204,1))</f>
        <v/>
      </c>
      <c r="X204" s="4" t="str">
        <f>IF(V204="","",SUMIFS(Prod_Prop!$J:$J,Prod_Prop!$B:$B,$Q204,Prod_Prop!$H:$H,V204,Prod_Prop!$I:$I,X$1)*IF(V204="Peso",$R204,1))</f>
        <v/>
      </c>
      <c r="Y204" s="4" t="str">
        <f>IFERROR(__xludf.DUMMYFUNCTION("IF(OR($U204="""",COUNTIF($I:$I,IFERROR(unique(filter(Prod_Prop!$H:$H,Prod_Prop!$G:$G=$U204,Prod_Prop!$E:$E=Y$1)),""Check""))=0),"""",IFERROR(unique(filter(Prod_Prop!$H:$H,Prod_Prop!$G:$G=$U204,Prod_Prop!$E:$E=Y$1)),""""))"),"")</f>
        <v/>
      </c>
      <c r="Z204" s="4" t="str">
        <f>IF(Y204="","",SUMIFS(Prod_Prop!$J:$J,Prod_Prop!$B:$B,$Q204,Prod_Prop!$H:$H,Y204,Prod_Prop!$I:$I,Z$1)*IF(Y204="Peso",$R204,1))</f>
        <v/>
      </c>
      <c r="AA204" s="4" t="str">
        <f>IF(Y204="","",SUMIFS(Prod_Prop!$J:$J,Prod_Prop!$B:$B,$Q204,Prod_Prop!$H:$H,Y204,Prod_Prop!$I:$I,AA$1)*IF(Y204="Peso",$R204,1))</f>
        <v/>
      </c>
      <c r="AB204" s="4" t="str">
        <f>IFERROR(__xludf.DUMMYFUNCTION("IF(OR($U204="""",COUNTIF($I:$I,IFERROR(unique(filter(Prod_Prop!$H:$H,Prod_Prop!$G:$G=$U204,Prod_Prop!$E:$E=AB$1)),""Check""))=0),"""",IFERROR(unique(filter(Prod_Prop!$H:$H,Prod_Prop!$G:$G=$U204,Prod_Prop!$E:$E=AB$1)),""""))"),"")</f>
        <v/>
      </c>
      <c r="AC204" s="4" t="str">
        <f>IF(AB204="","",SUMIFS(Prod_Prop!$J:$J,Prod_Prop!$B:$B,$Q204,Prod_Prop!$H:$H,AB204,Prod_Prop!$I:$I,AC$1)*IF(AB204="Peso",$R204,1))</f>
        <v/>
      </c>
      <c r="AD204" s="4" t="str">
        <f>IF(AB204="","",SUMIFS(Prod_Prop!$J:$J,Prod_Prop!$B:$B,$Q204,Prod_Prop!$H:$H,AB204,Prod_Prop!$I:$I,AD$1)*IF(AB204="Peso",$R204,1))</f>
        <v/>
      </c>
    </row>
    <row r="205">
      <c r="A205" s="4" t="str">
        <f t="array" ref="A205">IF(COUNTIF(A$1:A204,Cotizador!F$2)=maxifs(Familias!E:E,Familias!D:D,Cotizador!F$2),IF(COUNTIF(A$1:A204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5" s="4" t="str">
        <f t="shared" si="1"/>
        <v/>
      </c>
      <c r="C205" s="4" t="str">
        <f t="array" ref="C205">IF(B205="","",IF(A205=XLOOKUP(A$2,Implementos!B:B,Implementos!C:C,"",0,1),B205+maxifs(B$1:B204,A$1:A204,A$2),B205))</f>
        <v/>
      </c>
      <c r="D205" s="4" t="str">
        <f>IF(B205="","", COUNTIFS(Productos!F:F,A205,Productos!H:H,B205)+IF(F205="SI",0,1))</f>
        <v/>
      </c>
      <c r="E205" s="4" t="str">
        <f>IFERROR(__xludf.DUMMYFUNCTION("IF($B205="""","""",INDEX(filter(Familias!F:F,Familias!$D:$D=$A205,Familias!$E:$E=$B205),1))"),"")</f>
        <v/>
      </c>
      <c r="F205" s="4" t="str">
        <f>IFERROR(__xludf.DUMMYFUNCTION("IF($B205="""","""",INDEX(filter(Familias!G:G,Familias!$D:$D=$A205,Familias!$E:$E=$B205),1))"),"")</f>
        <v/>
      </c>
      <c r="G205" s="4" t="str">
        <f t="array" ref="G205">IF(C205=1,XLOOKUP(C205,Cotizador!D:D,Cotizador!E:E,"",0,1),"")</f>
        <v/>
      </c>
      <c r="I205" s="4"/>
      <c r="J205" s="8" t="str">
        <f>IF(I205="","",SUMIF(Cotizador!I$1:V$1,I205,Cotizador!I$2:V$2))</f>
        <v/>
      </c>
      <c r="L205" s="4" t="str">
        <f t="array" ref="L205">IF(COUNTIF(L$1:L204,A$2)=SUMIF(A:A,A$2,D:D),IF(COUNTIF(L$1:L204,XLOOKUP(A$2,Implementos!B:B,Implementos!C:C,"",0,1))=SUMIF(A:A,XLOOKUP(A$2,Implementos!B:B,Implementos!C:C,"",0,1),D:D),"",XLOOKUP(A$2,Implementos!B:B,Implementos!C:C,"",0,1)),A$2)</f>
        <v/>
      </c>
      <c r="M205" s="4" t="str">
        <f t="shared" si="2"/>
        <v/>
      </c>
      <c r="N205" s="4" t="str">
        <f t="shared" si="3"/>
        <v/>
      </c>
      <c r="O205" s="4" t="str">
        <f t="shared" si="4"/>
        <v/>
      </c>
      <c r="P205" s="4" t="str">
        <f t="shared" si="5"/>
        <v/>
      </c>
      <c r="Q205" s="4" t="str">
        <f>IF(U205="","",SUMIF(Productos!E:E,U205,Productos!A:A))</f>
        <v/>
      </c>
      <c r="R205" s="4" t="str">
        <f t="array" ref="R205">IF(L205="","", max(1,SUMIF(I:I,XLOOKUP(U205,Productos!E:E,Productos!G:G,"",0,1),J:J)))</f>
        <v/>
      </c>
      <c r="S205" s="4" t="str">
        <f>IF(Q205="","",IF(SUMIFS(Compat_Vetado!D:D,Compat_Vetado!B:B,SUM(G:G),Compat_Vetado!C:C,Q205)=1,"SI",IF(OR(SUMIF(Cotizador!E:E,Q205,Cotizador!G:G)&gt;0,SUMIFS(Compat_Vetado!D:D,Compat_Vetado!B:B,SUM(G:G),Compat_Vetado!C:C,Q205)=-1),"NO","")))</f>
        <v/>
      </c>
      <c r="T205" s="4" t="str">
        <f t="shared" si="6"/>
        <v/>
      </c>
      <c r="U205" s="4" t="str">
        <f>IFERROR(__xludf.DUMMYFUNCTION("IF(P205="""","""",IFERROR(INDEX(filter(Productos!E:E,Productos!F:F=L205,Productos!H:H=N205),P205),IF(M205=SUM(D:D),""Finalizar"",""-"")))"),"")</f>
        <v/>
      </c>
      <c r="V205" s="4" t="str">
        <f>IFERROR(__xludf.DUMMYFUNCTION("IF(OR($U205="""",COUNTIF($I:$I,IFERROR(unique(filter(Prod_Prop!$H:$H,Prod_Prop!$G:$G=$U205,Prod_Prop!$E:$E=V$1)),""Check""))=0),"""",IFERROR(unique(filter(Prod_Prop!$H:$H,Prod_Prop!$G:$G=$U205,Prod_Prop!$E:$E=V$1)),""""))"),"")</f>
        <v/>
      </c>
      <c r="W205" s="4" t="str">
        <f>IF(V205="","",SUMIFS(Prod_Prop!$J:$J,Prod_Prop!$B:$B,$Q205,Prod_Prop!$H:$H,V205,Prod_Prop!$I:$I,W$1)*IF(V205="Peso",$R205,1))</f>
        <v/>
      </c>
      <c r="X205" s="4" t="str">
        <f>IF(V205="","",SUMIFS(Prod_Prop!$J:$J,Prod_Prop!$B:$B,$Q205,Prod_Prop!$H:$H,V205,Prod_Prop!$I:$I,X$1)*IF(V205="Peso",$R205,1))</f>
        <v/>
      </c>
      <c r="Y205" s="4" t="str">
        <f>IFERROR(__xludf.DUMMYFUNCTION("IF(OR($U205="""",COUNTIF($I:$I,IFERROR(unique(filter(Prod_Prop!$H:$H,Prod_Prop!$G:$G=$U205,Prod_Prop!$E:$E=Y$1)),""Check""))=0),"""",IFERROR(unique(filter(Prod_Prop!$H:$H,Prod_Prop!$G:$G=$U205,Prod_Prop!$E:$E=Y$1)),""""))"),"")</f>
        <v/>
      </c>
      <c r="Z205" s="4" t="str">
        <f>IF(Y205="","",SUMIFS(Prod_Prop!$J:$J,Prod_Prop!$B:$B,$Q205,Prod_Prop!$H:$H,Y205,Prod_Prop!$I:$I,Z$1)*IF(Y205="Peso",$R205,1))</f>
        <v/>
      </c>
      <c r="AA205" s="4" t="str">
        <f>IF(Y205="","",SUMIFS(Prod_Prop!$J:$J,Prod_Prop!$B:$B,$Q205,Prod_Prop!$H:$H,Y205,Prod_Prop!$I:$I,AA$1)*IF(Y205="Peso",$R205,1))</f>
        <v/>
      </c>
      <c r="AB205" s="4" t="str">
        <f>IFERROR(__xludf.DUMMYFUNCTION("IF(OR($U205="""",COUNTIF($I:$I,IFERROR(unique(filter(Prod_Prop!$H:$H,Prod_Prop!$G:$G=$U205,Prod_Prop!$E:$E=AB$1)),""Check""))=0),"""",IFERROR(unique(filter(Prod_Prop!$H:$H,Prod_Prop!$G:$G=$U205,Prod_Prop!$E:$E=AB$1)),""""))"),"")</f>
        <v/>
      </c>
      <c r="AC205" s="4" t="str">
        <f>IF(AB205="","",SUMIFS(Prod_Prop!$J:$J,Prod_Prop!$B:$B,$Q205,Prod_Prop!$H:$H,AB205,Prod_Prop!$I:$I,AC$1)*IF(AB205="Peso",$R205,1))</f>
        <v/>
      </c>
      <c r="AD205" s="4" t="str">
        <f>IF(AB205="","",SUMIFS(Prod_Prop!$J:$J,Prod_Prop!$B:$B,$Q205,Prod_Prop!$H:$H,AB205,Prod_Prop!$I:$I,AD$1)*IF(AB205="Peso",$R205,1))</f>
        <v/>
      </c>
    </row>
    <row r="206">
      <c r="A206" s="4" t="str">
        <f t="array" ref="A206">IF(COUNTIF(A$1:A205,Cotizador!F$2)=maxifs(Familias!E:E,Familias!D:D,Cotizador!F$2),IF(COUNTIF(A$1:A205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6" s="4" t="str">
        <f t="shared" si="1"/>
        <v/>
      </c>
      <c r="C206" s="4" t="str">
        <f t="array" ref="C206">IF(B206="","",IF(A206=XLOOKUP(A$2,Implementos!B:B,Implementos!C:C,"",0,1),B206+maxifs(B$1:B205,A$1:A205,A$2),B206))</f>
        <v/>
      </c>
      <c r="D206" s="4" t="str">
        <f>IF(B206="","", COUNTIFS(Productos!F:F,A206,Productos!H:H,B206)+IF(F206="SI",0,1))</f>
        <v/>
      </c>
      <c r="E206" s="4" t="str">
        <f>IFERROR(__xludf.DUMMYFUNCTION("IF($B206="""","""",INDEX(filter(Familias!F:F,Familias!$D:$D=$A206,Familias!$E:$E=$B206),1))"),"")</f>
        <v/>
      </c>
      <c r="F206" s="4" t="str">
        <f>IFERROR(__xludf.DUMMYFUNCTION("IF($B206="""","""",INDEX(filter(Familias!G:G,Familias!$D:$D=$A206,Familias!$E:$E=$B206),1))"),"")</f>
        <v/>
      </c>
      <c r="G206" s="4" t="str">
        <f t="array" ref="G206">IF(C206=1,XLOOKUP(C206,Cotizador!D:D,Cotizador!E:E,"",0,1),"")</f>
        <v/>
      </c>
      <c r="I206" s="4"/>
      <c r="J206" s="8" t="str">
        <f>IF(I206="","",SUMIF(Cotizador!I$1:V$1,I206,Cotizador!I$2:V$2))</f>
        <v/>
      </c>
      <c r="L206" s="4" t="str">
        <f t="array" ref="L206">IF(COUNTIF(L$1:L205,A$2)=SUMIF(A:A,A$2,D:D),IF(COUNTIF(L$1:L205,XLOOKUP(A$2,Implementos!B:B,Implementos!C:C,"",0,1))=SUMIF(A:A,XLOOKUP(A$2,Implementos!B:B,Implementos!C:C,"",0,1),D:D),"",XLOOKUP(A$2,Implementos!B:B,Implementos!C:C,"",0,1)),A$2)</f>
        <v/>
      </c>
      <c r="M206" s="4" t="str">
        <f t="shared" si="2"/>
        <v/>
      </c>
      <c r="N206" s="4" t="str">
        <f t="shared" si="3"/>
        <v/>
      </c>
      <c r="O206" s="4" t="str">
        <f t="shared" si="4"/>
        <v/>
      </c>
      <c r="P206" s="4" t="str">
        <f t="shared" si="5"/>
        <v/>
      </c>
      <c r="Q206" s="4" t="str">
        <f>IF(U206="","",SUMIF(Productos!E:E,U206,Productos!A:A))</f>
        <v/>
      </c>
      <c r="R206" s="4" t="str">
        <f t="array" ref="R206">IF(L206="","", max(1,SUMIF(I:I,XLOOKUP(U206,Productos!E:E,Productos!G:G,"",0,1),J:J)))</f>
        <v/>
      </c>
      <c r="S206" s="4" t="str">
        <f>IF(Q206="","",IF(SUMIFS(Compat_Vetado!D:D,Compat_Vetado!B:B,SUM(G:G),Compat_Vetado!C:C,Q206)=1,"SI",IF(OR(SUMIF(Cotizador!E:E,Q206,Cotizador!G:G)&gt;0,SUMIFS(Compat_Vetado!D:D,Compat_Vetado!B:B,SUM(G:G),Compat_Vetado!C:C,Q206)=-1),"NO","")))</f>
        <v/>
      </c>
      <c r="T206" s="4" t="str">
        <f t="shared" si="6"/>
        <v/>
      </c>
      <c r="U206" s="4" t="str">
        <f>IFERROR(__xludf.DUMMYFUNCTION("IF(P206="""","""",IFERROR(INDEX(filter(Productos!E:E,Productos!F:F=L206,Productos!H:H=N206),P206),IF(M206=SUM(D:D),""Finalizar"",""-"")))"),"")</f>
        <v/>
      </c>
      <c r="V206" s="4" t="str">
        <f>IFERROR(__xludf.DUMMYFUNCTION("IF(OR($U206="""",COUNTIF($I:$I,IFERROR(unique(filter(Prod_Prop!$H:$H,Prod_Prop!$G:$G=$U206,Prod_Prop!$E:$E=V$1)),""Check""))=0),"""",IFERROR(unique(filter(Prod_Prop!$H:$H,Prod_Prop!$G:$G=$U206,Prod_Prop!$E:$E=V$1)),""""))"),"")</f>
        <v/>
      </c>
      <c r="W206" s="4" t="str">
        <f>IF(V206="","",SUMIFS(Prod_Prop!$J:$J,Prod_Prop!$B:$B,$Q206,Prod_Prop!$H:$H,V206,Prod_Prop!$I:$I,W$1)*IF(V206="Peso",$R206,1))</f>
        <v/>
      </c>
      <c r="X206" s="4" t="str">
        <f>IF(V206="","",SUMIFS(Prod_Prop!$J:$J,Prod_Prop!$B:$B,$Q206,Prod_Prop!$H:$H,V206,Prod_Prop!$I:$I,X$1)*IF(V206="Peso",$R206,1))</f>
        <v/>
      </c>
      <c r="Y206" s="4" t="str">
        <f>IFERROR(__xludf.DUMMYFUNCTION("IF(OR($U206="""",COUNTIF($I:$I,IFERROR(unique(filter(Prod_Prop!$H:$H,Prod_Prop!$G:$G=$U206,Prod_Prop!$E:$E=Y$1)),""Check""))=0),"""",IFERROR(unique(filter(Prod_Prop!$H:$H,Prod_Prop!$G:$G=$U206,Prod_Prop!$E:$E=Y$1)),""""))"),"")</f>
        <v/>
      </c>
      <c r="Z206" s="4" t="str">
        <f>IF(Y206="","",SUMIFS(Prod_Prop!$J:$J,Prod_Prop!$B:$B,$Q206,Prod_Prop!$H:$H,Y206,Prod_Prop!$I:$I,Z$1)*IF(Y206="Peso",$R206,1))</f>
        <v/>
      </c>
      <c r="AA206" s="4" t="str">
        <f>IF(Y206="","",SUMIFS(Prod_Prop!$J:$J,Prod_Prop!$B:$B,$Q206,Prod_Prop!$H:$H,Y206,Prod_Prop!$I:$I,AA$1)*IF(Y206="Peso",$R206,1))</f>
        <v/>
      </c>
      <c r="AB206" s="4" t="str">
        <f>IFERROR(__xludf.DUMMYFUNCTION("IF(OR($U206="""",COUNTIF($I:$I,IFERROR(unique(filter(Prod_Prop!$H:$H,Prod_Prop!$G:$G=$U206,Prod_Prop!$E:$E=AB$1)),""Check""))=0),"""",IFERROR(unique(filter(Prod_Prop!$H:$H,Prod_Prop!$G:$G=$U206,Prod_Prop!$E:$E=AB$1)),""""))"),"")</f>
        <v/>
      </c>
      <c r="AC206" s="4" t="str">
        <f>IF(AB206="","",SUMIFS(Prod_Prop!$J:$J,Prod_Prop!$B:$B,$Q206,Prod_Prop!$H:$H,AB206,Prod_Prop!$I:$I,AC$1)*IF(AB206="Peso",$R206,1))</f>
        <v/>
      </c>
      <c r="AD206" s="4" t="str">
        <f>IF(AB206="","",SUMIFS(Prod_Prop!$J:$J,Prod_Prop!$B:$B,$Q206,Prod_Prop!$H:$H,AB206,Prod_Prop!$I:$I,AD$1)*IF(AB206="Peso",$R206,1))</f>
        <v/>
      </c>
    </row>
    <row r="207">
      <c r="A207" s="4" t="str">
        <f t="array" ref="A207">IF(COUNTIF(A$1:A206,Cotizador!F$2)=maxifs(Familias!E:E,Familias!D:D,Cotizador!F$2),IF(COUNTIF(A$1:A206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7" s="4" t="str">
        <f t="shared" si="1"/>
        <v/>
      </c>
      <c r="C207" s="4" t="str">
        <f t="array" ref="C207">IF(B207="","",IF(A207=XLOOKUP(A$2,Implementos!B:B,Implementos!C:C,"",0,1),B207+maxifs(B$1:B206,A$1:A206,A$2),B207))</f>
        <v/>
      </c>
      <c r="D207" s="4" t="str">
        <f>IF(B207="","", COUNTIFS(Productos!F:F,A207,Productos!H:H,B207)+IF(F207="SI",0,1))</f>
        <v/>
      </c>
      <c r="E207" s="4" t="str">
        <f>IFERROR(__xludf.DUMMYFUNCTION("IF($B207="""","""",INDEX(filter(Familias!F:F,Familias!$D:$D=$A207,Familias!$E:$E=$B207),1))"),"")</f>
        <v/>
      </c>
      <c r="F207" s="4" t="str">
        <f>IFERROR(__xludf.DUMMYFUNCTION("IF($B207="""","""",INDEX(filter(Familias!G:G,Familias!$D:$D=$A207,Familias!$E:$E=$B207),1))"),"")</f>
        <v/>
      </c>
      <c r="G207" s="4" t="str">
        <f t="array" ref="G207">IF(C207=1,XLOOKUP(C207,Cotizador!D:D,Cotizador!E:E,"",0,1),"")</f>
        <v/>
      </c>
      <c r="I207" s="4"/>
      <c r="J207" s="8" t="str">
        <f>IF(I207="","",SUMIF(Cotizador!I$1:V$1,I207,Cotizador!I$2:V$2))</f>
        <v/>
      </c>
      <c r="L207" s="4" t="str">
        <f t="array" ref="L207">IF(COUNTIF(L$1:L206,A$2)=SUMIF(A:A,A$2,D:D),IF(COUNTIF(L$1:L206,XLOOKUP(A$2,Implementos!B:B,Implementos!C:C,"",0,1))=SUMIF(A:A,XLOOKUP(A$2,Implementos!B:B,Implementos!C:C,"",0,1),D:D),"",XLOOKUP(A$2,Implementos!B:B,Implementos!C:C,"",0,1)),A$2)</f>
        <v/>
      </c>
      <c r="M207" s="4" t="str">
        <f t="shared" si="2"/>
        <v/>
      </c>
      <c r="N207" s="4" t="str">
        <f t="shared" si="3"/>
        <v/>
      </c>
      <c r="O207" s="4" t="str">
        <f t="shared" si="4"/>
        <v/>
      </c>
      <c r="P207" s="4" t="str">
        <f t="shared" si="5"/>
        <v/>
      </c>
      <c r="Q207" s="4" t="str">
        <f>IF(U207="","",SUMIF(Productos!E:E,U207,Productos!A:A))</f>
        <v/>
      </c>
      <c r="R207" s="4" t="str">
        <f t="array" ref="R207">IF(L207="","", max(1,SUMIF(I:I,XLOOKUP(U207,Productos!E:E,Productos!G:G,"",0,1),J:J)))</f>
        <v/>
      </c>
      <c r="S207" s="4" t="str">
        <f>IF(Q207="","",IF(SUMIFS(Compat_Vetado!D:D,Compat_Vetado!B:B,SUM(G:G),Compat_Vetado!C:C,Q207)=1,"SI",IF(OR(SUMIF(Cotizador!E:E,Q207,Cotizador!G:G)&gt;0,SUMIFS(Compat_Vetado!D:D,Compat_Vetado!B:B,SUM(G:G),Compat_Vetado!C:C,Q207)=-1),"NO","")))</f>
        <v/>
      </c>
      <c r="T207" s="4" t="str">
        <f t="shared" si="6"/>
        <v/>
      </c>
      <c r="U207" s="4" t="str">
        <f>IFERROR(__xludf.DUMMYFUNCTION("IF(P207="""","""",IFERROR(INDEX(filter(Productos!E:E,Productos!F:F=L207,Productos!H:H=N207),P207),IF(M207=SUM(D:D),""Finalizar"",""-"")))"),"")</f>
        <v/>
      </c>
      <c r="V207" s="4" t="str">
        <f>IFERROR(__xludf.DUMMYFUNCTION("IF(OR($U207="""",COUNTIF($I:$I,IFERROR(unique(filter(Prod_Prop!$H:$H,Prod_Prop!$G:$G=$U207,Prod_Prop!$E:$E=V$1)),""Check""))=0),"""",IFERROR(unique(filter(Prod_Prop!$H:$H,Prod_Prop!$G:$G=$U207,Prod_Prop!$E:$E=V$1)),""""))"),"")</f>
        <v/>
      </c>
      <c r="W207" s="4" t="str">
        <f>IF(V207="","",SUMIFS(Prod_Prop!$J:$J,Prod_Prop!$B:$B,$Q207,Prod_Prop!$H:$H,V207,Prod_Prop!$I:$I,W$1)*IF(V207="Peso",$R207,1))</f>
        <v/>
      </c>
      <c r="X207" s="4" t="str">
        <f>IF(V207="","",SUMIFS(Prod_Prop!$J:$J,Prod_Prop!$B:$B,$Q207,Prod_Prop!$H:$H,V207,Prod_Prop!$I:$I,X$1)*IF(V207="Peso",$R207,1))</f>
        <v/>
      </c>
      <c r="Y207" s="4" t="str">
        <f>IFERROR(__xludf.DUMMYFUNCTION("IF(OR($U207="""",COUNTIF($I:$I,IFERROR(unique(filter(Prod_Prop!$H:$H,Prod_Prop!$G:$G=$U207,Prod_Prop!$E:$E=Y$1)),""Check""))=0),"""",IFERROR(unique(filter(Prod_Prop!$H:$H,Prod_Prop!$G:$G=$U207,Prod_Prop!$E:$E=Y$1)),""""))"),"")</f>
        <v/>
      </c>
      <c r="Z207" s="4" t="str">
        <f>IF(Y207="","",SUMIFS(Prod_Prop!$J:$J,Prod_Prop!$B:$B,$Q207,Prod_Prop!$H:$H,Y207,Prod_Prop!$I:$I,Z$1)*IF(Y207="Peso",$R207,1))</f>
        <v/>
      </c>
      <c r="AA207" s="4" t="str">
        <f>IF(Y207="","",SUMIFS(Prod_Prop!$J:$J,Prod_Prop!$B:$B,$Q207,Prod_Prop!$H:$H,Y207,Prod_Prop!$I:$I,AA$1)*IF(Y207="Peso",$R207,1))</f>
        <v/>
      </c>
      <c r="AB207" s="4" t="str">
        <f>IFERROR(__xludf.DUMMYFUNCTION("IF(OR($U207="""",COUNTIF($I:$I,IFERROR(unique(filter(Prod_Prop!$H:$H,Prod_Prop!$G:$G=$U207,Prod_Prop!$E:$E=AB$1)),""Check""))=0),"""",IFERROR(unique(filter(Prod_Prop!$H:$H,Prod_Prop!$G:$G=$U207,Prod_Prop!$E:$E=AB$1)),""""))"),"")</f>
        <v/>
      </c>
      <c r="AC207" s="4" t="str">
        <f>IF(AB207="","",SUMIFS(Prod_Prop!$J:$J,Prod_Prop!$B:$B,$Q207,Prod_Prop!$H:$H,AB207,Prod_Prop!$I:$I,AC$1)*IF(AB207="Peso",$R207,1))</f>
        <v/>
      </c>
      <c r="AD207" s="4" t="str">
        <f>IF(AB207="","",SUMIFS(Prod_Prop!$J:$J,Prod_Prop!$B:$B,$Q207,Prod_Prop!$H:$H,AB207,Prod_Prop!$I:$I,AD$1)*IF(AB207="Peso",$R207,1))</f>
        <v/>
      </c>
    </row>
    <row r="208">
      <c r="A208" s="4" t="str">
        <f t="array" ref="A208">IF(COUNTIF(A$1:A207,Cotizador!F$2)=maxifs(Familias!E:E,Familias!D:D,Cotizador!F$2),IF(COUNTIF(A$1:A207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8" s="4" t="str">
        <f t="shared" si="1"/>
        <v/>
      </c>
      <c r="C208" s="4" t="str">
        <f t="array" ref="C208">IF(B208="","",IF(A208=XLOOKUP(A$2,Implementos!B:B,Implementos!C:C,"",0,1),B208+maxifs(B$1:B207,A$1:A207,A$2),B208))</f>
        <v/>
      </c>
      <c r="D208" s="4" t="str">
        <f>IF(B208="","", COUNTIFS(Productos!F:F,A208,Productos!H:H,B208)+IF(F208="SI",0,1))</f>
        <v/>
      </c>
      <c r="E208" s="4" t="str">
        <f>IFERROR(__xludf.DUMMYFUNCTION("IF($B208="""","""",INDEX(filter(Familias!F:F,Familias!$D:$D=$A208,Familias!$E:$E=$B208),1))"),"")</f>
        <v/>
      </c>
      <c r="F208" s="4" t="str">
        <f>IFERROR(__xludf.DUMMYFUNCTION("IF($B208="""","""",INDEX(filter(Familias!G:G,Familias!$D:$D=$A208,Familias!$E:$E=$B208),1))"),"")</f>
        <v/>
      </c>
      <c r="G208" s="4" t="str">
        <f t="array" ref="G208">IF(C208=1,XLOOKUP(C208,Cotizador!D:D,Cotizador!E:E,"",0,1),"")</f>
        <v/>
      </c>
      <c r="I208" s="4"/>
      <c r="J208" s="8" t="str">
        <f>IF(I208="","",SUMIF(Cotizador!I$1:V$1,I208,Cotizador!I$2:V$2))</f>
        <v/>
      </c>
      <c r="L208" s="4" t="str">
        <f t="array" ref="L208">IF(COUNTIF(L$1:L207,A$2)=SUMIF(A:A,A$2,D:D),IF(COUNTIF(L$1:L207,XLOOKUP(A$2,Implementos!B:B,Implementos!C:C,"",0,1))=SUMIF(A:A,XLOOKUP(A$2,Implementos!B:B,Implementos!C:C,"",0,1),D:D),"",XLOOKUP(A$2,Implementos!B:B,Implementos!C:C,"",0,1)),A$2)</f>
        <v/>
      </c>
      <c r="M208" s="4" t="str">
        <f t="shared" si="2"/>
        <v/>
      </c>
      <c r="N208" s="4" t="str">
        <f t="shared" si="3"/>
        <v/>
      </c>
      <c r="O208" s="4" t="str">
        <f t="shared" si="4"/>
        <v/>
      </c>
      <c r="P208" s="4" t="str">
        <f t="shared" si="5"/>
        <v/>
      </c>
      <c r="Q208" s="4" t="str">
        <f>IF(U208="","",SUMIF(Productos!E:E,U208,Productos!A:A))</f>
        <v/>
      </c>
      <c r="R208" s="4" t="str">
        <f t="array" ref="R208">IF(L208="","", max(1,SUMIF(I:I,XLOOKUP(U208,Productos!E:E,Productos!G:G,"",0,1),J:J)))</f>
        <v/>
      </c>
      <c r="S208" s="4" t="str">
        <f>IF(Q208="","",IF(SUMIFS(Compat_Vetado!D:D,Compat_Vetado!B:B,SUM(G:G),Compat_Vetado!C:C,Q208)=1,"SI",IF(OR(SUMIF(Cotizador!E:E,Q208,Cotizador!G:G)&gt;0,SUMIFS(Compat_Vetado!D:D,Compat_Vetado!B:B,SUM(G:G),Compat_Vetado!C:C,Q208)=-1),"NO","")))</f>
        <v/>
      </c>
      <c r="T208" s="4" t="str">
        <f t="shared" si="6"/>
        <v/>
      </c>
      <c r="U208" s="4" t="str">
        <f>IFERROR(__xludf.DUMMYFUNCTION("IF(P208="""","""",IFERROR(INDEX(filter(Productos!E:E,Productos!F:F=L208,Productos!H:H=N208),P208),IF(M208=SUM(D:D),""Finalizar"",""-"")))"),"")</f>
        <v/>
      </c>
      <c r="V208" s="4" t="str">
        <f>IFERROR(__xludf.DUMMYFUNCTION("IF(OR($U208="""",COUNTIF($I:$I,IFERROR(unique(filter(Prod_Prop!$H:$H,Prod_Prop!$G:$G=$U208,Prod_Prop!$E:$E=V$1)),""Check""))=0),"""",IFERROR(unique(filter(Prod_Prop!$H:$H,Prod_Prop!$G:$G=$U208,Prod_Prop!$E:$E=V$1)),""""))"),"")</f>
        <v/>
      </c>
      <c r="W208" s="4" t="str">
        <f>IF(V208="","",SUMIFS(Prod_Prop!$J:$J,Prod_Prop!$B:$B,$Q208,Prod_Prop!$H:$H,V208,Prod_Prop!$I:$I,W$1)*IF(V208="Peso",$R208,1))</f>
        <v/>
      </c>
      <c r="X208" s="4" t="str">
        <f>IF(V208="","",SUMIFS(Prod_Prop!$J:$J,Prod_Prop!$B:$B,$Q208,Prod_Prop!$H:$H,V208,Prod_Prop!$I:$I,X$1)*IF(V208="Peso",$R208,1))</f>
        <v/>
      </c>
      <c r="Y208" s="4" t="str">
        <f>IFERROR(__xludf.DUMMYFUNCTION("IF(OR($U208="""",COUNTIF($I:$I,IFERROR(unique(filter(Prod_Prop!$H:$H,Prod_Prop!$G:$G=$U208,Prod_Prop!$E:$E=Y$1)),""Check""))=0),"""",IFERROR(unique(filter(Prod_Prop!$H:$H,Prod_Prop!$G:$G=$U208,Prod_Prop!$E:$E=Y$1)),""""))"),"")</f>
        <v/>
      </c>
      <c r="Z208" s="4" t="str">
        <f>IF(Y208="","",SUMIFS(Prod_Prop!$J:$J,Prod_Prop!$B:$B,$Q208,Prod_Prop!$H:$H,Y208,Prod_Prop!$I:$I,Z$1)*IF(Y208="Peso",$R208,1))</f>
        <v/>
      </c>
      <c r="AA208" s="4" t="str">
        <f>IF(Y208="","",SUMIFS(Prod_Prop!$J:$J,Prod_Prop!$B:$B,$Q208,Prod_Prop!$H:$H,Y208,Prod_Prop!$I:$I,AA$1)*IF(Y208="Peso",$R208,1))</f>
        <v/>
      </c>
      <c r="AB208" s="4" t="str">
        <f>IFERROR(__xludf.DUMMYFUNCTION("IF(OR($U208="""",COUNTIF($I:$I,IFERROR(unique(filter(Prod_Prop!$H:$H,Prod_Prop!$G:$G=$U208,Prod_Prop!$E:$E=AB$1)),""Check""))=0),"""",IFERROR(unique(filter(Prod_Prop!$H:$H,Prod_Prop!$G:$G=$U208,Prod_Prop!$E:$E=AB$1)),""""))"),"")</f>
        <v/>
      </c>
      <c r="AC208" s="4" t="str">
        <f>IF(AB208="","",SUMIFS(Prod_Prop!$J:$J,Prod_Prop!$B:$B,$Q208,Prod_Prop!$H:$H,AB208,Prod_Prop!$I:$I,AC$1)*IF(AB208="Peso",$R208,1))</f>
        <v/>
      </c>
      <c r="AD208" s="4" t="str">
        <f>IF(AB208="","",SUMIFS(Prod_Prop!$J:$J,Prod_Prop!$B:$B,$Q208,Prod_Prop!$H:$H,AB208,Prod_Prop!$I:$I,AD$1)*IF(AB208="Peso",$R208,1))</f>
        <v/>
      </c>
    </row>
    <row r="209">
      <c r="A209" s="4" t="str">
        <f t="array" ref="A209">IF(COUNTIF(A$1:A208,Cotizador!F$2)=maxifs(Familias!E:E,Familias!D:D,Cotizador!F$2),IF(COUNTIF(A$1:A208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09" s="4" t="str">
        <f t="shared" si="1"/>
        <v/>
      </c>
      <c r="C209" s="4" t="str">
        <f t="array" ref="C209">IF(B209="","",IF(A209=XLOOKUP(A$2,Implementos!B:B,Implementos!C:C,"",0,1),B209+maxifs(B$1:B208,A$1:A208,A$2),B209))</f>
        <v/>
      </c>
      <c r="D209" s="4" t="str">
        <f>IF(B209="","", COUNTIFS(Productos!F:F,A209,Productos!H:H,B209)+IF(F209="SI",0,1))</f>
        <v/>
      </c>
      <c r="E209" s="4" t="str">
        <f>IFERROR(__xludf.DUMMYFUNCTION("IF($B209="""","""",INDEX(filter(Familias!F:F,Familias!$D:$D=$A209,Familias!$E:$E=$B209),1))"),"")</f>
        <v/>
      </c>
      <c r="F209" s="4" t="str">
        <f>IFERROR(__xludf.DUMMYFUNCTION("IF($B209="""","""",INDEX(filter(Familias!G:G,Familias!$D:$D=$A209,Familias!$E:$E=$B209),1))"),"")</f>
        <v/>
      </c>
      <c r="G209" s="4" t="str">
        <f t="array" ref="G209">IF(C209=1,XLOOKUP(C209,Cotizador!D:D,Cotizador!E:E,"",0,1),"")</f>
        <v/>
      </c>
      <c r="I209" s="4"/>
      <c r="J209" s="8" t="str">
        <f>IF(I209="","",SUMIF(Cotizador!I$1:V$1,I209,Cotizador!I$2:V$2))</f>
        <v/>
      </c>
      <c r="L209" s="4" t="str">
        <f t="array" ref="L209">IF(COUNTIF(L$1:L208,A$2)=SUMIF(A:A,A$2,D:D),IF(COUNTIF(L$1:L208,XLOOKUP(A$2,Implementos!B:B,Implementos!C:C,"",0,1))=SUMIF(A:A,XLOOKUP(A$2,Implementos!B:B,Implementos!C:C,"",0,1),D:D),"",XLOOKUP(A$2,Implementos!B:B,Implementos!C:C,"",0,1)),A$2)</f>
        <v/>
      </c>
      <c r="M209" s="4" t="str">
        <f t="shared" si="2"/>
        <v/>
      </c>
      <c r="N209" s="4" t="str">
        <f t="shared" si="3"/>
        <v/>
      </c>
      <c r="O209" s="4" t="str">
        <f t="shared" si="4"/>
        <v/>
      </c>
      <c r="P209" s="4" t="str">
        <f t="shared" si="5"/>
        <v/>
      </c>
      <c r="Q209" s="4" t="str">
        <f>IF(U209="","",SUMIF(Productos!E:E,U209,Productos!A:A))</f>
        <v/>
      </c>
      <c r="R209" s="4" t="str">
        <f t="array" ref="R209">IF(L209="","", max(1,SUMIF(I:I,XLOOKUP(U209,Productos!E:E,Productos!G:G,"",0,1),J:J)))</f>
        <v/>
      </c>
      <c r="S209" s="4" t="str">
        <f>IF(Q209="","",IF(SUMIFS(Compat_Vetado!D:D,Compat_Vetado!B:B,SUM(G:G),Compat_Vetado!C:C,Q209)=1,"SI",IF(OR(SUMIF(Cotizador!E:E,Q209,Cotizador!G:G)&gt;0,SUMIFS(Compat_Vetado!D:D,Compat_Vetado!B:B,SUM(G:G),Compat_Vetado!C:C,Q209)=-1),"NO","")))</f>
        <v/>
      </c>
      <c r="T209" s="4" t="str">
        <f t="shared" si="6"/>
        <v/>
      </c>
      <c r="U209" s="4" t="str">
        <f>IFERROR(__xludf.DUMMYFUNCTION("IF(P209="""","""",IFERROR(INDEX(filter(Productos!E:E,Productos!F:F=L209,Productos!H:H=N209),P209),IF(M209=SUM(D:D),""Finalizar"",""-"")))"),"")</f>
        <v/>
      </c>
      <c r="V209" s="4" t="str">
        <f>IFERROR(__xludf.DUMMYFUNCTION("IF(OR($U209="""",COUNTIF($I:$I,IFERROR(unique(filter(Prod_Prop!$H:$H,Prod_Prop!$G:$G=$U209,Prod_Prop!$E:$E=V$1)),""Check""))=0),"""",IFERROR(unique(filter(Prod_Prop!$H:$H,Prod_Prop!$G:$G=$U209,Prod_Prop!$E:$E=V$1)),""""))"),"")</f>
        <v/>
      </c>
      <c r="W209" s="4" t="str">
        <f>IF(V209="","",SUMIFS(Prod_Prop!$J:$J,Prod_Prop!$B:$B,$Q209,Prod_Prop!$H:$H,V209,Prod_Prop!$I:$I,W$1)*IF(V209="Peso",$R209,1))</f>
        <v/>
      </c>
      <c r="X209" s="4" t="str">
        <f>IF(V209="","",SUMIFS(Prod_Prop!$J:$J,Prod_Prop!$B:$B,$Q209,Prod_Prop!$H:$H,V209,Prod_Prop!$I:$I,X$1)*IF(V209="Peso",$R209,1))</f>
        <v/>
      </c>
      <c r="Y209" s="4" t="str">
        <f>IFERROR(__xludf.DUMMYFUNCTION("IF(OR($U209="""",COUNTIF($I:$I,IFERROR(unique(filter(Prod_Prop!$H:$H,Prod_Prop!$G:$G=$U209,Prod_Prop!$E:$E=Y$1)),""Check""))=0),"""",IFERROR(unique(filter(Prod_Prop!$H:$H,Prod_Prop!$G:$G=$U209,Prod_Prop!$E:$E=Y$1)),""""))"),"")</f>
        <v/>
      </c>
      <c r="Z209" s="4" t="str">
        <f>IF(Y209="","",SUMIFS(Prod_Prop!$J:$J,Prod_Prop!$B:$B,$Q209,Prod_Prop!$H:$H,Y209,Prod_Prop!$I:$I,Z$1)*IF(Y209="Peso",$R209,1))</f>
        <v/>
      </c>
      <c r="AA209" s="4" t="str">
        <f>IF(Y209="","",SUMIFS(Prod_Prop!$J:$J,Prod_Prop!$B:$B,$Q209,Prod_Prop!$H:$H,Y209,Prod_Prop!$I:$I,AA$1)*IF(Y209="Peso",$R209,1))</f>
        <v/>
      </c>
      <c r="AB209" s="4" t="str">
        <f>IFERROR(__xludf.DUMMYFUNCTION("IF(OR($U209="""",COUNTIF($I:$I,IFERROR(unique(filter(Prod_Prop!$H:$H,Prod_Prop!$G:$G=$U209,Prod_Prop!$E:$E=AB$1)),""Check""))=0),"""",IFERROR(unique(filter(Prod_Prop!$H:$H,Prod_Prop!$G:$G=$U209,Prod_Prop!$E:$E=AB$1)),""""))"),"")</f>
        <v/>
      </c>
      <c r="AC209" s="4" t="str">
        <f>IF(AB209="","",SUMIFS(Prod_Prop!$J:$J,Prod_Prop!$B:$B,$Q209,Prod_Prop!$H:$H,AB209,Prod_Prop!$I:$I,AC$1)*IF(AB209="Peso",$R209,1))</f>
        <v/>
      </c>
      <c r="AD209" s="4" t="str">
        <f>IF(AB209="","",SUMIFS(Prod_Prop!$J:$J,Prod_Prop!$B:$B,$Q209,Prod_Prop!$H:$H,AB209,Prod_Prop!$I:$I,AD$1)*IF(AB209="Peso",$R209,1))</f>
        <v/>
      </c>
    </row>
    <row r="210">
      <c r="A210" s="4" t="str">
        <f t="array" ref="A210">IF(COUNTIF(A$1:A209,Cotizador!F$2)=maxifs(Familias!E:E,Familias!D:D,Cotizador!F$2),IF(COUNTIF(A$1:A209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0" s="4" t="str">
        <f t="shared" si="1"/>
        <v/>
      </c>
      <c r="C210" s="4" t="str">
        <f t="array" ref="C210">IF(B210="","",IF(A210=XLOOKUP(A$2,Implementos!B:B,Implementos!C:C,"",0,1),B210+maxifs(B$1:B209,A$1:A209,A$2),B210))</f>
        <v/>
      </c>
      <c r="D210" s="4" t="str">
        <f>IF(B210="","", COUNTIFS(Productos!F:F,A210,Productos!H:H,B210)+IF(F210="SI",0,1))</f>
        <v/>
      </c>
      <c r="E210" s="4" t="str">
        <f>IFERROR(__xludf.DUMMYFUNCTION("IF($B210="""","""",INDEX(filter(Familias!F:F,Familias!$D:$D=$A210,Familias!$E:$E=$B210),1))"),"")</f>
        <v/>
      </c>
      <c r="F210" s="4" t="str">
        <f>IFERROR(__xludf.DUMMYFUNCTION("IF($B210="""","""",INDEX(filter(Familias!G:G,Familias!$D:$D=$A210,Familias!$E:$E=$B210),1))"),"")</f>
        <v/>
      </c>
      <c r="G210" s="4" t="str">
        <f t="array" ref="G210">IF(C210=1,XLOOKUP(C210,Cotizador!D:D,Cotizador!E:E,"",0,1),"")</f>
        <v/>
      </c>
      <c r="I210" s="4"/>
      <c r="J210" s="8" t="str">
        <f>IF(I210="","",SUMIF(Cotizador!I$1:V$1,I210,Cotizador!I$2:V$2))</f>
        <v/>
      </c>
      <c r="L210" s="4" t="str">
        <f t="array" ref="L210">IF(COUNTIF(L$1:L209,A$2)=SUMIF(A:A,A$2,D:D),IF(COUNTIF(L$1:L209,XLOOKUP(A$2,Implementos!B:B,Implementos!C:C,"",0,1))=SUMIF(A:A,XLOOKUP(A$2,Implementos!B:B,Implementos!C:C,"",0,1),D:D),"",XLOOKUP(A$2,Implementos!B:B,Implementos!C:C,"",0,1)),A$2)</f>
        <v/>
      </c>
      <c r="M210" s="4" t="str">
        <f t="shared" si="2"/>
        <v/>
      </c>
      <c r="N210" s="4" t="str">
        <f t="shared" si="3"/>
        <v/>
      </c>
      <c r="O210" s="4" t="str">
        <f t="shared" si="4"/>
        <v/>
      </c>
      <c r="P210" s="4" t="str">
        <f t="shared" si="5"/>
        <v/>
      </c>
      <c r="Q210" s="4" t="str">
        <f>IF(U210="","",SUMIF(Productos!E:E,U210,Productos!A:A))</f>
        <v/>
      </c>
      <c r="R210" s="4" t="str">
        <f t="array" ref="R210">IF(L210="","", max(1,SUMIF(I:I,XLOOKUP(U210,Productos!E:E,Productos!G:G,"",0,1),J:J)))</f>
        <v/>
      </c>
      <c r="S210" s="4" t="str">
        <f>IF(Q210="","",IF(SUMIFS(Compat_Vetado!D:D,Compat_Vetado!B:B,SUM(G:G),Compat_Vetado!C:C,Q210)=1,"SI",IF(OR(SUMIF(Cotizador!E:E,Q210,Cotizador!G:G)&gt;0,SUMIFS(Compat_Vetado!D:D,Compat_Vetado!B:B,SUM(G:G),Compat_Vetado!C:C,Q210)=-1),"NO","")))</f>
        <v/>
      </c>
      <c r="T210" s="4" t="str">
        <f t="shared" si="6"/>
        <v/>
      </c>
      <c r="U210" s="4" t="str">
        <f>IFERROR(__xludf.DUMMYFUNCTION("IF(P210="""","""",IFERROR(INDEX(filter(Productos!E:E,Productos!F:F=L210,Productos!H:H=N210),P210),IF(M210=SUM(D:D),""Finalizar"",""-"")))"),"")</f>
        <v/>
      </c>
      <c r="V210" s="4" t="str">
        <f>IFERROR(__xludf.DUMMYFUNCTION("IF(OR($U210="""",COUNTIF($I:$I,IFERROR(unique(filter(Prod_Prop!$H:$H,Prod_Prop!$G:$G=$U210,Prod_Prop!$E:$E=V$1)),""Check""))=0),"""",IFERROR(unique(filter(Prod_Prop!$H:$H,Prod_Prop!$G:$G=$U210,Prod_Prop!$E:$E=V$1)),""""))"),"")</f>
        <v/>
      </c>
      <c r="W210" s="4" t="str">
        <f>IF(V210="","",SUMIFS(Prod_Prop!$J:$J,Prod_Prop!$B:$B,$Q210,Prod_Prop!$H:$H,V210,Prod_Prop!$I:$I,W$1)*IF(V210="Peso",$R210,1))</f>
        <v/>
      </c>
      <c r="X210" s="4" t="str">
        <f>IF(V210="","",SUMIFS(Prod_Prop!$J:$J,Prod_Prop!$B:$B,$Q210,Prod_Prop!$H:$H,V210,Prod_Prop!$I:$I,X$1)*IF(V210="Peso",$R210,1))</f>
        <v/>
      </c>
      <c r="Y210" s="4" t="str">
        <f>IFERROR(__xludf.DUMMYFUNCTION("IF(OR($U210="""",COUNTIF($I:$I,IFERROR(unique(filter(Prod_Prop!$H:$H,Prod_Prop!$G:$G=$U210,Prod_Prop!$E:$E=Y$1)),""Check""))=0),"""",IFERROR(unique(filter(Prod_Prop!$H:$H,Prod_Prop!$G:$G=$U210,Prod_Prop!$E:$E=Y$1)),""""))"),"")</f>
        <v/>
      </c>
      <c r="Z210" s="4" t="str">
        <f>IF(Y210="","",SUMIFS(Prod_Prop!$J:$J,Prod_Prop!$B:$B,$Q210,Prod_Prop!$H:$H,Y210,Prod_Prop!$I:$I,Z$1)*IF(Y210="Peso",$R210,1))</f>
        <v/>
      </c>
      <c r="AA210" s="4" t="str">
        <f>IF(Y210="","",SUMIFS(Prod_Prop!$J:$J,Prod_Prop!$B:$B,$Q210,Prod_Prop!$H:$H,Y210,Prod_Prop!$I:$I,AA$1)*IF(Y210="Peso",$R210,1))</f>
        <v/>
      </c>
      <c r="AB210" s="4" t="str">
        <f>IFERROR(__xludf.DUMMYFUNCTION("IF(OR($U210="""",COUNTIF($I:$I,IFERROR(unique(filter(Prod_Prop!$H:$H,Prod_Prop!$G:$G=$U210,Prod_Prop!$E:$E=AB$1)),""Check""))=0),"""",IFERROR(unique(filter(Prod_Prop!$H:$H,Prod_Prop!$G:$G=$U210,Prod_Prop!$E:$E=AB$1)),""""))"),"")</f>
        <v/>
      </c>
      <c r="AC210" s="4" t="str">
        <f>IF(AB210="","",SUMIFS(Prod_Prop!$J:$J,Prod_Prop!$B:$B,$Q210,Prod_Prop!$H:$H,AB210,Prod_Prop!$I:$I,AC$1)*IF(AB210="Peso",$R210,1))</f>
        <v/>
      </c>
      <c r="AD210" s="4" t="str">
        <f>IF(AB210="","",SUMIFS(Prod_Prop!$J:$J,Prod_Prop!$B:$B,$Q210,Prod_Prop!$H:$H,AB210,Prod_Prop!$I:$I,AD$1)*IF(AB210="Peso",$R210,1))</f>
        <v/>
      </c>
    </row>
    <row r="211">
      <c r="A211" s="4" t="str">
        <f t="array" ref="A211">IF(COUNTIF(A$1:A210,Cotizador!F$2)=maxifs(Familias!E:E,Familias!D:D,Cotizador!F$2),IF(COUNTIF(A$1:A210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1" s="4" t="str">
        <f t="shared" si="1"/>
        <v/>
      </c>
      <c r="C211" s="4" t="str">
        <f t="array" ref="C211">IF(B211="","",IF(A211=XLOOKUP(A$2,Implementos!B:B,Implementos!C:C,"",0,1),B211+maxifs(B$1:B210,A$1:A210,A$2),B211))</f>
        <v/>
      </c>
      <c r="D211" s="4" t="str">
        <f>IF(B211="","", COUNTIFS(Productos!F:F,A211,Productos!H:H,B211)+IF(F211="SI",0,1))</f>
        <v/>
      </c>
      <c r="E211" s="4" t="str">
        <f>IFERROR(__xludf.DUMMYFUNCTION("IF($B211="""","""",INDEX(filter(Familias!F:F,Familias!$D:$D=$A211,Familias!$E:$E=$B211),1))"),"")</f>
        <v/>
      </c>
      <c r="F211" s="4" t="str">
        <f>IFERROR(__xludf.DUMMYFUNCTION("IF($B211="""","""",INDEX(filter(Familias!G:G,Familias!$D:$D=$A211,Familias!$E:$E=$B211),1))"),"")</f>
        <v/>
      </c>
      <c r="G211" s="4" t="str">
        <f t="array" ref="G211">IF(C211=1,XLOOKUP(C211,Cotizador!D:D,Cotizador!E:E,"",0,1),"")</f>
        <v/>
      </c>
      <c r="I211" s="4"/>
      <c r="J211" s="8" t="str">
        <f>IF(I211="","",SUMIF(Cotizador!I$1:V$1,I211,Cotizador!I$2:V$2))</f>
        <v/>
      </c>
      <c r="L211" s="4" t="str">
        <f t="array" ref="L211">IF(COUNTIF(L$1:L210,A$2)=SUMIF(A:A,A$2,D:D),IF(COUNTIF(L$1:L210,XLOOKUP(A$2,Implementos!B:B,Implementos!C:C,"",0,1))=SUMIF(A:A,XLOOKUP(A$2,Implementos!B:B,Implementos!C:C,"",0,1),D:D),"",XLOOKUP(A$2,Implementos!B:B,Implementos!C:C,"",0,1)),A$2)</f>
        <v/>
      </c>
      <c r="M211" s="4" t="str">
        <f t="shared" si="2"/>
        <v/>
      </c>
      <c r="N211" s="4" t="str">
        <f t="shared" si="3"/>
        <v/>
      </c>
      <c r="O211" s="4" t="str">
        <f t="shared" si="4"/>
        <v/>
      </c>
      <c r="P211" s="4" t="str">
        <f t="shared" si="5"/>
        <v/>
      </c>
      <c r="Q211" s="4" t="str">
        <f>IF(U211="","",SUMIF(Productos!E:E,U211,Productos!A:A))</f>
        <v/>
      </c>
      <c r="R211" s="4" t="str">
        <f t="array" ref="R211">IF(L211="","", max(1,SUMIF(I:I,XLOOKUP(U211,Productos!E:E,Productos!G:G,"",0,1),J:J)))</f>
        <v/>
      </c>
      <c r="S211" s="4" t="str">
        <f>IF(Q211="","",IF(SUMIFS(Compat_Vetado!D:D,Compat_Vetado!B:B,SUM(G:G),Compat_Vetado!C:C,Q211)=1,"SI",IF(OR(SUMIF(Cotizador!E:E,Q211,Cotizador!G:G)&gt;0,SUMIFS(Compat_Vetado!D:D,Compat_Vetado!B:B,SUM(G:G),Compat_Vetado!C:C,Q211)=-1),"NO","")))</f>
        <v/>
      </c>
      <c r="T211" s="4" t="str">
        <f t="shared" si="6"/>
        <v/>
      </c>
      <c r="U211" s="4" t="str">
        <f>IFERROR(__xludf.DUMMYFUNCTION("IF(P211="""","""",IFERROR(INDEX(filter(Productos!E:E,Productos!F:F=L211,Productos!H:H=N211),P211),IF(M211=SUM(D:D),""Finalizar"",""-"")))"),"")</f>
        <v/>
      </c>
      <c r="V211" s="4" t="str">
        <f>IFERROR(__xludf.DUMMYFUNCTION("IF(OR($U211="""",COUNTIF($I:$I,IFERROR(unique(filter(Prod_Prop!$H:$H,Prod_Prop!$G:$G=$U211,Prod_Prop!$E:$E=V$1)),""Check""))=0),"""",IFERROR(unique(filter(Prod_Prop!$H:$H,Prod_Prop!$G:$G=$U211,Prod_Prop!$E:$E=V$1)),""""))"),"")</f>
        <v/>
      </c>
      <c r="W211" s="4" t="str">
        <f>IF(V211="","",SUMIFS(Prod_Prop!$J:$J,Prod_Prop!$B:$B,$Q211,Prod_Prop!$H:$H,V211,Prod_Prop!$I:$I,W$1)*IF(V211="Peso",$R211,1))</f>
        <v/>
      </c>
      <c r="X211" s="4" t="str">
        <f>IF(V211="","",SUMIFS(Prod_Prop!$J:$J,Prod_Prop!$B:$B,$Q211,Prod_Prop!$H:$H,V211,Prod_Prop!$I:$I,X$1)*IF(V211="Peso",$R211,1))</f>
        <v/>
      </c>
      <c r="Y211" s="4" t="str">
        <f>IFERROR(__xludf.DUMMYFUNCTION("IF(OR($U211="""",COUNTIF($I:$I,IFERROR(unique(filter(Prod_Prop!$H:$H,Prod_Prop!$G:$G=$U211,Prod_Prop!$E:$E=Y$1)),""Check""))=0),"""",IFERROR(unique(filter(Prod_Prop!$H:$H,Prod_Prop!$G:$G=$U211,Prod_Prop!$E:$E=Y$1)),""""))"),"")</f>
        <v/>
      </c>
      <c r="Z211" s="4" t="str">
        <f>IF(Y211="","",SUMIFS(Prod_Prop!$J:$J,Prod_Prop!$B:$B,$Q211,Prod_Prop!$H:$H,Y211,Prod_Prop!$I:$I,Z$1)*IF(Y211="Peso",$R211,1))</f>
        <v/>
      </c>
      <c r="AA211" s="4" t="str">
        <f>IF(Y211="","",SUMIFS(Prod_Prop!$J:$J,Prod_Prop!$B:$B,$Q211,Prod_Prop!$H:$H,Y211,Prod_Prop!$I:$I,AA$1)*IF(Y211="Peso",$R211,1))</f>
        <v/>
      </c>
      <c r="AB211" s="4" t="str">
        <f>IFERROR(__xludf.DUMMYFUNCTION("IF(OR($U211="""",COUNTIF($I:$I,IFERROR(unique(filter(Prod_Prop!$H:$H,Prod_Prop!$G:$G=$U211,Prod_Prop!$E:$E=AB$1)),""Check""))=0),"""",IFERROR(unique(filter(Prod_Prop!$H:$H,Prod_Prop!$G:$G=$U211,Prod_Prop!$E:$E=AB$1)),""""))"),"")</f>
        <v/>
      </c>
      <c r="AC211" s="4" t="str">
        <f>IF(AB211="","",SUMIFS(Prod_Prop!$J:$J,Prod_Prop!$B:$B,$Q211,Prod_Prop!$H:$H,AB211,Prod_Prop!$I:$I,AC$1)*IF(AB211="Peso",$R211,1))</f>
        <v/>
      </c>
      <c r="AD211" s="4" t="str">
        <f>IF(AB211="","",SUMIFS(Prod_Prop!$J:$J,Prod_Prop!$B:$B,$Q211,Prod_Prop!$H:$H,AB211,Prod_Prop!$I:$I,AD$1)*IF(AB211="Peso",$R211,1))</f>
        <v/>
      </c>
    </row>
    <row r="212">
      <c r="A212" s="4" t="str">
        <f t="array" ref="A212">IF(COUNTIF(A$1:A211,Cotizador!F$2)=maxifs(Familias!E:E,Familias!D:D,Cotizador!F$2),IF(COUNTIF(A$1:A211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2" s="4" t="str">
        <f t="shared" si="1"/>
        <v/>
      </c>
      <c r="C212" s="4" t="str">
        <f t="array" ref="C212">IF(B212="","",IF(A212=XLOOKUP(A$2,Implementos!B:B,Implementos!C:C,"",0,1),B212+maxifs(B$1:B211,A$1:A211,A$2),B212))</f>
        <v/>
      </c>
      <c r="D212" s="4" t="str">
        <f>IF(B212="","", COUNTIFS(Productos!F:F,A212,Productos!H:H,B212)+IF(F212="SI",0,1))</f>
        <v/>
      </c>
      <c r="E212" s="4" t="str">
        <f>IFERROR(__xludf.DUMMYFUNCTION("IF($B212="""","""",INDEX(filter(Familias!F:F,Familias!$D:$D=$A212,Familias!$E:$E=$B212),1))"),"")</f>
        <v/>
      </c>
      <c r="F212" s="4" t="str">
        <f>IFERROR(__xludf.DUMMYFUNCTION("IF($B212="""","""",INDEX(filter(Familias!G:G,Familias!$D:$D=$A212,Familias!$E:$E=$B212),1))"),"")</f>
        <v/>
      </c>
      <c r="G212" s="4" t="str">
        <f t="array" ref="G212">IF(C212=1,XLOOKUP(C212,Cotizador!D:D,Cotizador!E:E,"",0,1),"")</f>
        <v/>
      </c>
      <c r="I212" s="4"/>
      <c r="J212" s="8" t="str">
        <f>IF(I212="","",SUMIF(Cotizador!I$1:V$1,I212,Cotizador!I$2:V$2))</f>
        <v/>
      </c>
      <c r="L212" s="4" t="str">
        <f t="array" ref="L212">IF(COUNTIF(L$1:L211,A$2)=SUMIF(A:A,A$2,D:D),IF(COUNTIF(L$1:L211,XLOOKUP(A$2,Implementos!B:B,Implementos!C:C,"",0,1))=SUMIF(A:A,XLOOKUP(A$2,Implementos!B:B,Implementos!C:C,"",0,1),D:D),"",XLOOKUP(A$2,Implementos!B:B,Implementos!C:C,"",0,1)),A$2)</f>
        <v/>
      </c>
      <c r="M212" s="4" t="str">
        <f t="shared" si="2"/>
        <v/>
      </c>
      <c r="N212" s="4" t="str">
        <f t="shared" si="3"/>
        <v/>
      </c>
      <c r="O212" s="4" t="str">
        <f t="shared" si="4"/>
        <v/>
      </c>
      <c r="P212" s="4" t="str">
        <f t="shared" si="5"/>
        <v/>
      </c>
      <c r="Q212" s="4" t="str">
        <f>IF(U212="","",SUMIF(Productos!E:E,U212,Productos!A:A))</f>
        <v/>
      </c>
      <c r="R212" s="4" t="str">
        <f t="array" ref="R212">IF(L212="","", max(1,SUMIF(I:I,XLOOKUP(U212,Productos!E:E,Productos!G:G,"",0,1),J:J)))</f>
        <v/>
      </c>
      <c r="S212" s="4" t="str">
        <f>IF(Q212="","",IF(SUMIFS(Compat_Vetado!D:D,Compat_Vetado!B:B,SUM(G:G),Compat_Vetado!C:C,Q212)=1,"SI",IF(OR(SUMIF(Cotizador!E:E,Q212,Cotizador!G:G)&gt;0,SUMIFS(Compat_Vetado!D:D,Compat_Vetado!B:B,SUM(G:G),Compat_Vetado!C:C,Q212)=-1),"NO","")))</f>
        <v/>
      </c>
      <c r="T212" s="4" t="str">
        <f t="shared" si="6"/>
        <v/>
      </c>
      <c r="U212" s="4" t="str">
        <f>IFERROR(__xludf.DUMMYFUNCTION("IF(P212="""","""",IFERROR(INDEX(filter(Productos!E:E,Productos!F:F=L212,Productos!H:H=N212),P212),IF(M212=SUM(D:D),""Finalizar"",""-"")))"),"")</f>
        <v/>
      </c>
      <c r="V212" s="4" t="str">
        <f>IFERROR(__xludf.DUMMYFUNCTION("IF(OR($U212="""",COUNTIF($I:$I,IFERROR(unique(filter(Prod_Prop!$H:$H,Prod_Prop!$G:$G=$U212,Prod_Prop!$E:$E=V$1)),""Check""))=0),"""",IFERROR(unique(filter(Prod_Prop!$H:$H,Prod_Prop!$G:$G=$U212,Prod_Prop!$E:$E=V$1)),""""))"),"")</f>
        <v/>
      </c>
      <c r="W212" s="4" t="str">
        <f>IF(V212="","",SUMIFS(Prod_Prop!$J:$J,Prod_Prop!$B:$B,$Q212,Prod_Prop!$H:$H,V212,Prod_Prop!$I:$I,W$1)*IF(V212="Peso",$R212,1))</f>
        <v/>
      </c>
      <c r="X212" s="4" t="str">
        <f>IF(V212="","",SUMIFS(Prod_Prop!$J:$J,Prod_Prop!$B:$B,$Q212,Prod_Prop!$H:$H,V212,Prod_Prop!$I:$I,X$1)*IF(V212="Peso",$R212,1))</f>
        <v/>
      </c>
      <c r="Y212" s="4" t="str">
        <f>IFERROR(__xludf.DUMMYFUNCTION("IF(OR($U212="""",COUNTIF($I:$I,IFERROR(unique(filter(Prod_Prop!$H:$H,Prod_Prop!$G:$G=$U212,Prod_Prop!$E:$E=Y$1)),""Check""))=0),"""",IFERROR(unique(filter(Prod_Prop!$H:$H,Prod_Prop!$G:$G=$U212,Prod_Prop!$E:$E=Y$1)),""""))"),"")</f>
        <v/>
      </c>
      <c r="Z212" s="4" t="str">
        <f>IF(Y212="","",SUMIFS(Prod_Prop!$J:$J,Prod_Prop!$B:$B,$Q212,Prod_Prop!$H:$H,Y212,Prod_Prop!$I:$I,Z$1)*IF(Y212="Peso",$R212,1))</f>
        <v/>
      </c>
      <c r="AA212" s="4" t="str">
        <f>IF(Y212="","",SUMIFS(Prod_Prop!$J:$J,Prod_Prop!$B:$B,$Q212,Prod_Prop!$H:$H,Y212,Prod_Prop!$I:$I,AA$1)*IF(Y212="Peso",$R212,1))</f>
        <v/>
      </c>
      <c r="AB212" s="4" t="str">
        <f>IFERROR(__xludf.DUMMYFUNCTION("IF(OR($U212="""",COUNTIF($I:$I,IFERROR(unique(filter(Prod_Prop!$H:$H,Prod_Prop!$G:$G=$U212,Prod_Prop!$E:$E=AB$1)),""Check""))=0),"""",IFERROR(unique(filter(Prod_Prop!$H:$H,Prod_Prop!$G:$G=$U212,Prod_Prop!$E:$E=AB$1)),""""))"),"")</f>
        <v/>
      </c>
      <c r="AC212" s="4" t="str">
        <f>IF(AB212="","",SUMIFS(Prod_Prop!$J:$J,Prod_Prop!$B:$B,$Q212,Prod_Prop!$H:$H,AB212,Prod_Prop!$I:$I,AC$1)*IF(AB212="Peso",$R212,1))</f>
        <v/>
      </c>
      <c r="AD212" s="4" t="str">
        <f>IF(AB212="","",SUMIFS(Prod_Prop!$J:$J,Prod_Prop!$B:$B,$Q212,Prod_Prop!$H:$H,AB212,Prod_Prop!$I:$I,AD$1)*IF(AB212="Peso",$R212,1))</f>
        <v/>
      </c>
    </row>
    <row r="213">
      <c r="A213" s="4" t="str">
        <f t="array" ref="A213">IF(COUNTIF(A$1:A212,Cotizador!F$2)=maxifs(Familias!E:E,Familias!D:D,Cotizador!F$2),IF(COUNTIF(A$1:A212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3" s="4" t="str">
        <f t="shared" si="1"/>
        <v/>
      </c>
      <c r="C213" s="4" t="str">
        <f t="array" ref="C213">IF(B213="","",IF(A213=XLOOKUP(A$2,Implementos!B:B,Implementos!C:C,"",0,1),B213+maxifs(B$1:B212,A$1:A212,A$2),B213))</f>
        <v/>
      </c>
      <c r="D213" s="4" t="str">
        <f>IF(B213="","", COUNTIFS(Productos!F:F,A213,Productos!H:H,B213)+IF(F213="SI",0,1))</f>
        <v/>
      </c>
      <c r="E213" s="4" t="str">
        <f>IFERROR(__xludf.DUMMYFUNCTION("IF($B213="""","""",INDEX(filter(Familias!F:F,Familias!$D:$D=$A213,Familias!$E:$E=$B213),1))"),"")</f>
        <v/>
      </c>
      <c r="F213" s="4" t="str">
        <f>IFERROR(__xludf.DUMMYFUNCTION("IF($B213="""","""",INDEX(filter(Familias!G:G,Familias!$D:$D=$A213,Familias!$E:$E=$B213),1))"),"")</f>
        <v/>
      </c>
      <c r="G213" s="4" t="str">
        <f t="array" ref="G213">IF(C213=1,XLOOKUP(C213,Cotizador!D:D,Cotizador!E:E,"",0,1),"")</f>
        <v/>
      </c>
      <c r="I213" s="4"/>
      <c r="J213" s="8" t="str">
        <f>IF(I213="","",SUMIF(Cotizador!I$1:V$1,I213,Cotizador!I$2:V$2))</f>
        <v/>
      </c>
      <c r="L213" s="4" t="str">
        <f t="array" ref="L213">IF(COUNTIF(L$1:L212,A$2)=SUMIF(A:A,A$2,D:D),IF(COUNTIF(L$1:L212,XLOOKUP(A$2,Implementos!B:B,Implementos!C:C,"",0,1))=SUMIF(A:A,XLOOKUP(A$2,Implementos!B:B,Implementos!C:C,"",0,1),D:D),"",XLOOKUP(A$2,Implementos!B:B,Implementos!C:C,"",0,1)),A$2)</f>
        <v/>
      </c>
      <c r="M213" s="4" t="str">
        <f t="shared" si="2"/>
        <v/>
      </c>
      <c r="N213" s="4" t="str">
        <f t="shared" si="3"/>
        <v/>
      </c>
      <c r="O213" s="4" t="str">
        <f t="shared" si="4"/>
        <v/>
      </c>
      <c r="P213" s="4" t="str">
        <f t="shared" si="5"/>
        <v/>
      </c>
      <c r="Q213" s="4" t="str">
        <f>IF(U213="","",SUMIF(Productos!E:E,U213,Productos!A:A))</f>
        <v/>
      </c>
      <c r="R213" s="4" t="str">
        <f t="array" ref="R213">IF(L213="","", max(1,SUMIF(I:I,XLOOKUP(U213,Productos!E:E,Productos!G:G,"",0,1),J:J)))</f>
        <v/>
      </c>
      <c r="S213" s="4" t="str">
        <f>IF(Q213="","",IF(SUMIFS(Compat_Vetado!D:D,Compat_Vetado!B:B,SUM(G:G),Compat_Vetado!C:C,Q213)=1,"SI",IF(OR(SUMIF(Cotizador!E:E,Q213,Cotizador!G:G)&gt;0,SUMIFS(Compat_Vetado!D:D,Compat_Vetado!B:B,SUM(G:G),Compat_Vetado!C:C,Q213)=-1),"NO","")))</f>
        <v/>
      </c>
      <c r="T213" s="4" t="str">
        <f t="shared" si="6"/>
        <v/>
      </c>
      <c r="U213" s="4" t="str">
        <f>IFERROR(__xludf.DUMMYFUNCTION("IF(P213="""","""",IFERROR(INDEX(filter(Productos!E:E,Productos!F:F=L213,Productos!H:H=N213),P213),IF(M213=SUM(D:D),""Finalizar"",""-"")))"),"")</f>
        <v/>
      </c>
      <c r="V213" s="4" t="str">
        <f>IFERROR(__xludf.DUMMYFUNCTION("IF(OR($U213="""",COUNTIF($I:$I,IFERROR(unique(filter(Prod_Prop!$H:$H,Prod_Prop!$G:$G=$U213,Prod_Prop!$E:$E=V$1)),""Check""))=0),"""",IFERROR(unique(filter(Prod_Prop!$H:$H,Prod_Prop!$G:$G=$U213,Prod_Prop!$E:$E=V$1)),""""))"),"")</f>
        <v/>
      </c>
      <c r="W213" s="4" t="str">
        <f>IF(V213="","",SUMIFS(Prod_Prop!$J:$J,Prod_Prop!$B:$B,$Q213,Prod_Prop!$H:$H,V213,Prod_Prop!$I:$I,W$1)*IF(V213="Peso",$R213,1))</f>
        <v/>
      </c>
      <c r="X213" s="4" t="str">
        <f>IF(V213="","",SUMIFS(Prod_Prop!$J:$J,Prod_Prop!$B:$B,$Q213,Prod_Prop!$H:$H,V213,Prod_Prop!$I:$I,X$1)*IF(V213="Peso",$R213,1))</f>
        <v/>
      </c>
      <c r="Y213" s="4" t="str">
        <f>IFERROR(__xludf.DUMMYFUNCTION("IF(OR($U213="""",COUNTIF($I:$I,IFERROR(unique(filter(Prod_Prop!$H:$H,Prod_Prop!$G:$G=$U213,Prod_Prop!$E:$E=Y$1)),""Check""))=0),"""",IFERROR(unique(filter(Prod_Prop!$H:$H,Prod_Prop!$G:$G=$U213,Prod_Prop!$E:$E=Y$1)),""""))"),"")</f>
        <v/>
      </c>
      <c r="Z213" s="4" t="str">
        <f>IF(Y213="","",SUMIFS(Prod_Prop!$J:$J,Prod_Prop!$B:$B,$Q213,Prod_Prop!$H:$H,Y213,Prod_Prop!$I:$I,Z$1)*IF(Y213="Peso",$R213,1))</f>
        <v/>
      </c>
      <c r="AA213" s="4" t="str">
        <f>IF(Y213="","",SUMIFS(Prod_Prop!$J:$J,Prod_Prop!$B:$B,$Q213,Prod_Prop!$H:$H,Y213,Prod_Prop!$I:$I,AA$1)*IF(Y213="Peso",$R213,1))</f>
        <v/>
      </c>
      <c r="AB213" s="4" t="str">
        <f>IFERROR(__xludf.DUMMYFUNCTION("IF(OR($U213="""",COUNTIF($I:$I,IFERROR(unique(filter(Prod_Prop!$H:$H,Prod_Prop!$G:$G=$U213,Prod_Prop!$E:$E=AB$1)),""Check""))=0),"""",IFERROR(unique(filter(Prod_Prop!$H:$H,Prod_Prop!$G:$G=$U213,Prod_Prop!$E:$E=AB$1)),""""))"),"")</f>
        <v/>
      </c>
      <c r="AC213" s="4" t="str">
        <f>IF(AB213="","",SUMIFS(Prod_Prop!$J:$J,Prod_Prop!$B:$B,$Q213,Prod_Prop!$H:$H,AB213,Prod_Prop!$I:$I,AC$1)*IF(AB213="Peso",$R213,1))</f>
        <v/>
      </c>
      <c r="AD213" s="4" t="str">
        <f>IF(AB213="","",SUMIFS(Prod_Prop!$J:$J,Prod_Prop!$B:$B,$Q213,Prod_Prop!$H:$H,AB213,Prod_Prop!$I:$I,AD$1)*IF(AB213="Peso",$R213,1))</f>
        <v/>
      </c>
    </row>
    <row r="214">
      <c r="A214" s="4" t="str">
        <f t="array" ref="A214">IF(COUNTIF(A$1:A213,Cotizador!F$2)=maxifs(Familias!E:E,Familias!D:D,Cotizador!F$2),IF(COUNTIF(A$1:A213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4" s="4" t="str">
        <f t="shared" si="1"/>
        <v/>
      </c>
      <c r="C214" s="4" t="str">
        <f t="array" ref="C214">IF(B214="","",IF(A214=XLOOKUP(A$2,Implementos!B:B,Implementos!C:C,"",0,1),B214+maxifs(B$1:B213,A$1:A213,A$2),B214))</f>
        <v/>
      </c>
      <c r="D214" s="4" t="str">
        <f>IF(B214="","", COUNTIFS(Productos!F:F,A214,Productos!H:H,B214)+IF(F214="SI",0,1))</f>
        <v/>
      </c>
      <c r="E214" s="4" t="str">
        <f>IFERROR(__xludf.DUMMYFUNCTION("IF($B214="""","""",INDEX(filter(Familias!F:F,Familias!$D:$D=$A214,Familias!$E:$E=$B214),1))"),"")</f>
        <v/>
      </c>
      <c r="F214" s="4" t="str">
        <f>IFERROR(__xludf.DUMMYFUNCTION("IF($B214="""","""",INDEX(filter(Familias!G:G,Familias!$D:$D=$A214,Familias!$E:$E=$B214),1))"),"")</f>
        <v/>
      </c>
      <c r="G214" s="4" t="str">
        <f t="array" ref="G214">IF(C214=1,XLOOKUP(C214,Cotizador!D:D,Cotizador!E:E,"",0,1),"")</f>
        <v/>
      </c>
      <c r="I214" s="4"/>
      <c r="J214" s="8" t="str">
        <f>IF(I214="","",SUMIF(Cotizador!I$1:V$1,I214,Cotizador!I$2:V$2))</f>
        <v/>
      </c>
      <c r="L214" s="4" t="str">
        <f t="array" ref="L214">IF(COUNTIF(L$1:L213,A$2)=SUMIF(A:A,A$2,D:D),IF(COUNTIF(L$1:L213,XLOOKUP(A$2,Implementos!B:B,Implementos!C:C,"",0,1))=SUMIF(A:A,XLOOKUP(A$2,Implementos!B:B,Implementos!C:C,"",0,1),D:D),"",XLOOKUP(A$2,Implementos!B:B,Implementos!C:C,"",0,1)),A$2)</f>
        <v/>
      </c>
      <c r="M214" s="4" t="str">
        <f t="shared" si="2"/>
        <v/>
      </c>
      <c r="N214" s="4" t="str">
        <f t="shared" si="3"/>
        <v/>
      </c>
      <c r="O214" s="4" t="str">
        <f t="shared" si="4"/>
        <v/>
      </c>
      <c r="P214" s="4" t="str">
        <f t="shared" si="5"/>
        <v/>
      </c>
      <c r="Q214" s="4" t="str">
        <f>IF(U214="","",SUMIF(Productos!E:E,U214,Productos!A:A))</f>
        <v/>
      </c>
      <c r="R214" s="4" t="str">
        <f t="array" ref="R214">IF(L214="","", max(1,SUMIF(I:I,XLOOKUP(U214,Productos!E:E,Productos!G:G,"",0,1),J:J)))</f>
        <v/>
      </c>
      <c r="S214" s="4" t="str">
        <f>IF(Q214="","",IF(SUMIFS(Compat_Vetado!D:D,Compat_Vetado!B:B,SUM(G:G),Compat_Vetado!C:C,Q214)=1,"SI",IF(OR(SUMIF(Cotizador!E:E,Q214,Cotizador!G:G)&gt;0,SUMIFS(Compat_Vetado!D:D,Compat_Vetado!B:B,SUM(G:G),Compat_Vetado!C:C,Q214)=-1),"NO","")))</f>
        <v/>
      </c>
      <c r="T214" s="4" t="str">
        <f t="shared" si="6"/>
        <v/>
      </c>
      <c r="U214" s="4" t="str">
        <f>IFERROR(__xludf.DUMMYFUNCTION("IF(P214="""","""",IFERROR(INDEX(filter(Productos!E:E,Productos!F:F=L214,Productos!H:H=N214),P214),IF(M214=SUM(D:D),""Finalizar"",""-"")))"),"")</f>
        <v/>
      </c>
      <c r="V214" s="4" t="str">
        <f>IFERROR(__xludf.DUMMYFUNCTION("IF(OR($U214="""",COUNTIF($I:$I,IFERROR(unique(filter(Prod_Prop!$H:$H,Prod_Prop!$G:$G=$U214,Prod_Prop!$E:$E=V$1)),""Check""))=0),"""",IFERROR(unique(filter(Prod_Prop!$H:$H,Prod_Prop!$G:$G=$U214,Prod_Prop!$E:$E=V$1)),""""))"),"")</f>
        <v/>
      </c>
      <c r="W214" s="4" t="str">
        <f>IF(V214="","",SUMIFS(Prod_Prop!$J:$J,Prod_Prop!$B:$B,$Q214,Prod_Prop!$H:$H,V214,Prod_Prop!$I:$I,W$1)*IF(V214="Peso",$R214,1))</f>
        <v/>
      </c>
      <c r="X214" s="4" t="str">
        <f>IF(V214="","",SUMIFS(Prod_Prop!$J:$J,Prod_Prop!$B:$B,$Q214,Prod_Prop!$H:$H,V214,Prod_Prop!$I:$I,X$1)*IF(V214="Peso",$R214,1))</f>
        <v/>
      </c>
      <c r="Y214" s="4" t="str">
        <f>IFERROR(__xludf.DUMMYFUNCTION("IF(OR($U214="""",COUNTIF($I:$I,IFERROR(unique(filter(Prod_Prop!$H:$H,Prod_Prop!$G:$G=$U214,Prod_Prop!$E:$E=Y$1)),""Check""))=0),"""",IFERROR(unique(filter(Prod_Prop!$H:$H,Prod_Prop!$G:$G=$U214,Prod_Prop!$E:$E=Y$1)),""""))"),"")</f>
        <v/>
      </c>
      <c r="Z214" s="4" t="str">
        <f>IF(Y214="","",SUMIFS(Prod_Prop!$J:$J,Prod_Prop!$B:$B,$Q214,Prod_Prop!$H:$H,Y214,Prod_Prop!$I:$I,Z$1)*IF(Y214="Peso",$R214,1))</f>
        <v/>
      </c>
      <c r="AA214" s="4" t="str">
        <f>IF(Y214="","",SUMIFS(Prod_Prop!$J:$J,Prod_Prop!$B:$B,$Q214,Prod_Prop!$H:$H,Y214,Prod_Prop!$I:$I,AA$1)*IF(Y214="Peso",$R214,1))</f>
        <v/>
      </c>
      <c r="AB214" s="4" t="str">
        <f>IFERROR(__xludf.DUMMYFUNCTION("IF(OR($U214="""",COUNTIF($I:$I,IFERROR(unique(filter(Prod_Prop!$H:$H,Prod_Prop!$G:$G=$U214,Prod_Prop!$E:$E=AB$1)),""Check""))=0),"""",IFERROR(unique(filter(Prod_Prop!$H:$H,Prod_Prop!$G:$G=$U214,Prod_Prop!$E:$E=AB$1)),""""))"),"")</f>
        <v/>
      </c>
      <c r="AC214" s="4" t="str">
        <f>IF(AB214="","",SUMIFS(Prod_Prop!$J:$J,Prod_Prop!$B:$B,$Q214,Prod_Prop!$H:$H,AB214,Prod_Prop!$I:$I,AC$1)*IF(AB214="Peso",$R214,1))</f>
        <v/>
      </c>
      <c r="AD214" s="4" t="str">
        <f>IF(AB214="","",SUMIFS(Prod_Prop!$J:$J,Prod_Prop!$B:$B,$Q214,Prod_Prop!$H:$H,AB214,Prod_Prop!$I:$I,AD$1)*IF(AB214="Peso",$R214,1))</f>
        <v/>
      </c>
    </row>
    <row r="215">
      <c r="A215" s="4" t="str">
        <f t="array" ref="A215">IF(COUNTIF(A$1:A214,Cotizador!F$2)=maxifs(Familias!E:E,Familias!D:D,Cotizador!F$2),IF(COUNTIF(A$1:A214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5" s="4" t="str">
        <f t="shared" si="1"/>
        <v/>
      </c>
      <c r="C215" s="4" t="str">
        <f t="array" ref="C215">IF(B215="","",IF(A215=XLOOKUP(A$2,Implementos!B:B,Implementos!C:C,"",0,1),B215+maxifs(B$1:B214,A$1:A214,A$2),B215))</f>
        <v/>
      </c>
      <c r="D215" s="4" t="str">
        <f>IF(B215="","", COUNTIFS(Productos!F:F,A215,Productos!H:H,B215)+IF(F215="SI",0,1))</f>
        <v/>
      </c>
      <c r="E215" s="4" t="str">
        <f>IFERROR(__xludf.DUMMYFUNCTION("IF($B215="""","""",INDEX(filter(Familias!F:F,Familias!$D:$D=$A215,Familias!$E:$E=$B215),1))"),"")</f>
        <v/>
      </c>
      <c r="F215" s="4" t="str">
        <f>IFERROR(__xludf.DUMMYFUNCTION("IF($B215="""","""",INDEX(filter(Familias!G:G,Familias!$D:$D=$A215,Familias!$E:$E=$B215),1))"),"")</f>
        <v/>
      </c>
      <c r="G215" s="4" t="str">
        <f t="array" ref="G215">IF(C215=1,XLOOKUP(C215,Cotizador!D:D,Cotizador!E:E,"",0,1),"")</f>
        <v/>
      </c>
      <c r="I215" s="4"/>
      <c r="J215" s="8" t="str">
        <f>IF(I215="","",SUMIF(Cotizador!I$1:V$1,I215,Cotizador!I$2:V$2))</f>
        <v/>
      </c>
      <c r="L215" s="4" t="str">
        <f t="array" ref="L215">IF(COUNTIF(L$1:L214,A$2)=SUMIF(A:A,A$2,D:D),IF(COUNTIF(L$1:L214,XLOOKUP(A$2,Implementos!B:B,Implementos!C:C,"",0,1))=SUMIF(A:A,XLOOKUP(A$2,Implementos!B:B,Implementos!C:C,"",0,1),D:D),"",XLOOKUP(A$2,Implementos!B:B,Implementos!C:C,"",0,1)),A$2)</f>
        <v/>
      </c>
      <c r="M215" s="4" t="str">
        <f t="shared" si="2"/>
        <v/>
      </c>
      <c r="N215" s="4" t="str">
        <f t="shared" si="3"/>
        <v/>
      </c>
      <c r="O215" s="4" t="str">
        <f t="shared" si="4"/>
        <v/>
      </c>
      <c r="P215" s="4" t="str">
        <f t="shared" si="5"/>
        <v/>
      </c>
      <c r="Q215" s="4" t="str">
        <f>IF(U215="","",SUMIF(Productos!E:E,U215,Productos!A:A))</f>
        <v/>
      </c>
      <c r="R215" s="4" t="str">
        <f t="array" ref="R215">IF(L215="","", max(1,SUMIF(I:I,XLOOKUP(U215,Productos!E:E,Productos!G:G,"",0,1),J:J)))</f>
        <v/>
      </c>
      <c r="S215" s="4" t="str">
        <f>IF(Q215="","",IF(SUMIFS(Compat_Vetado!D:D,Compat_Vetado!B:B,SUM(G:G),Compat_Vetado!C:C,Q215)=1,"SI",IF(OR(SUMIF(Cotizador!E:E,Q215,Cotizador!G:G)&gt;0,SUMIFS(Compat_Vetado!D:D,Compat_Vetado!B:B,SUM(G:G),Compat_Vetado!C:C,Q215)=-1),"NO","")))</f>
        <v/>
      </c>
      <c r="T215" s="4" t="str">
        <f t="shared" si="6"/>
        <v/>
      </c>
      <c r="U215" s="4" t="str">
        <f>IFERROR(__xludf.DUMMYFUNCTION("IF(P215="""","""",IFERROR(INDEX(filter(Productos!E:E,Productos!F:F=L215,Productos!H:H=N215),P215),IF(M215=SUM(D:D),""Finalizar"",""-"")))"),"")</f>
        <v/>
      </c>
      <c r="V215" s="4" t="str">
        <f>IFERROR(__xludf.DUMMYFUNCTION("IF(OR($U215="""",COUNTIF($I:$I,IFERROR(unique(filter(Prod_Prop!$H:$H,Prod_Prop!$G:$G=$U215,Prod_Prop!$E:$E=V$1)),""Check""))=0),"""",IFERROR(unique(filter(Prod_Prop!$H:$H,Prod_Prop!$G:$G=$U215,Prod_Prop!$E:$E=V$1)),""""))"),"")</f>
        <v/>
      </c>
      <c r="W215" s="4" t="str">
        <f>IF(V215="","",SUMIFS(Prod_Prop!$J:$J,Prod_Prop!$B:$B,$Q215,Prod_Prop!$H:$H,V215,Prod_Prop!$I:$I,W$1)*IF(V215="Peso",$R215,1))</f>
        <v/>
      </c>
      <c r="X215" s="4" t="str">
        <f>IF(V215="","",SUMIFS(Prod_Prop!$J:$J,Prod_Prop!$B:$B,$Q215,Prod_Prop!$H:$H,V215,Prod_Prop!$I:$I,X$1)*IF(V215="Peso",$R215,1))</f>
        <v/>
      </c>
      <c r="Y215" s="4" t="str">
        <f>IFERROR(__xludf.DUMMYFUNCTION("IF(OR($U215="""",COUNTIF($I:$I,IFERROR(unique(filter(Prod_Prop!$H:$H,Prod_Prop!$G:$G=$U215,Prod_Prop!$E:$E=Y$1)),""Check""))=0),"""",IFERROR(unique(filter(Prod_Prop!$H:$H,Prod_Prop!$G:$G=$U215,Prod_Prop!$E:$E=Y$1)),""""))"),"")</f>
        <v/>
      </c>
      <c r="Z215" s="4" t="str">
        <f>IF(Y215="","",SUMIFS(Prod_Prop!$J:$J,Prod_Prop!$B:$B,$Q215,Prod_Prop!$H:$H,Y215,Prod_Prop!$I:$I,Z$1)*IF(Y215="Peso",$R215,1))</f>
        <v/>
      </c>
      <c r="AA215" s="4" t="str">
        <f>IF(Y215="","",SUMIFS(Prod_Prop!$J:$J,Prod_Prop!$B:$B,$Q215,Prod_Prop!$H:$H,Y215,Prod_Prop!$I:$I,AA$1)*IF(Y215="Peso",$R215,1))</f>
        <v/>
      </c>
      <c r="AB215" s="4" t="str">
        <f>IFERROR(__xludf.DUMMYFUNCTION("IF(OR($U215="""",COUNTIF($I:$I,IFERROR(unique(filter(Prod_Prop!$H:$H,Prod_Prop!$G:$G=$U215,Prod_Prop!$E:$E=AB$1)),""Check""))=0),"""",IFERROR(unique(filter(Prod_Prop!$H:$H,Prod_Prop!$G:$G=$U215,Prod_Prop!$E:$E=AB$1)),""""))"),"")</f>
        <v/>
      </c>
      <c r="AC215" s="4" t="str">
        <f>IF(AB215="","",SUMIFS(Prod_Prop!$J:$J,Prod_Prop!$B:$B,$Q215,Prod_Prop!$H:$H,AB215,Prod_Prop!$I:$I,AC$1)*IF(AB215="Peso",$R215,1))</f>
        <v/>
      </c>
      <c r="AD215" s="4" t="str">
        <f>IF(AB215="","",SUMIFS(Prod_Prop!$J:$J,Prod_Prop!$B:$B,$Q215,Prod_Prop!$H:$H,AB215,Prod_Prop!$I:$I,AD$1)*IF(AB215="Peso",$R215,1))</f>
        <v/>
      </c>
    </row>
    <row r="216">
      <c r="A216" s="4" t="str">
        <f t="array" ref="A216">IF(COUNTIF(A$1:A215,Cotizador!F$2)=maxifs(Familias!E:E,Familias!D:D,Cotizador!F$2),IF(COUNTIF(A$1:A215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6" s="4" t="str">
        <f t="shared" si="1"/>
        <v/>
      </c>
      <c r="C216" s="4" t="str">
        <f t="array" ref="C216">IF(B216="","",IF(A216=XLOOKUP(A$2,Implementos!B:B,Implementos!C:C,"",0,1),B216+maxifs(B$1:B215,A$1:A215,A$2),B216))</f>
        <v/>
      </c>
      <c r="D216" s="4" t="str">
        <f>IF(B216="","", COUNTIFS(Productos!F:F,A216,Productos!H:H,B216)+IF(F216="SI",0,1))</f>
        <v/>
      </c>
      <c r="E216" s="4" t="str">
        <f>IFERROR(__xludf.DUMMYFUNCTION("IF($B216="""","""",INDEX(filter(Familias!F:F,Familias!$D:$D=$A216,Familias!$E:$E=$B216),1))"),"")</f>
        <v/>
      </c>
      <c r="F216" s="4" t="str">
        <f>IFERROR(__xludf.DUMMYFUNCTION("IF($B216="""","""",INDEX(filter(Familias!G:G,Familias!$D:$D=$A216,Familias!$E:$E=$B216),1))"),"")</f>
        <v/>
      </c>
      <c r="G216" s="4" t="str">
        <f t="array" ref="G216">IF(C216=1,XLOOKUP(C216,Cotizador!D:D,Cotizador!E:E,"",0,1),"")</f>
        <v/>
      </c>
      <c r="I216" s="4"/>
      <c r="J216" s="8" t="str">
        <f>IF(I216="","",SUMIF(Cotizador!I$1:V$1,I216,Cotizador!I$2:V$2))</f>
        <v/>
      </c>
      <c r="L216" s="4" t="str">
        <f t="array" ref="L216">IF(COUNTIF(L$1:L215,A$2)=SUMIF(A:A,A$2,D:D),IF(COUNTIF(L$1:L215,XLOOKUP(A$2,Implementos!B:B,Implementos!C:C,"",0,1))=SUMIF(A:A,XLOOKUP(A$2,Implementos!B:B,Implementos!C:C,"",0,1),D:D),"",XLOOKUP(A$2,Implementos!B:B,Implementos!C:C,"",0,1)),A$2)</f>
        <v/>
      </c>
      <c r="M216" s="4" t="str">
        <f t="shared" si="2"/>
        <v/>
      </c>
      <c r="N216" s="4" t="str">
        <f t="shared" si="3"/>
        <v/>
      </c>
      <c r="O216" s="4" t="str">
        <f t="shared" si="4"/>
        <v/>
      </c>
      <c r="P216" s="4" t="str">
        <f t="shared" si="5"/>
        <v/>
      </c>
      <c r="Q216" s="4" t="str">
        <f>IF(U216="","",SUMIF(Productos!E:E,U216,Productos!A:A))</f>
        <v/>
      </c>
      <c r="R216" s="4" t="str">
        <f t="array" ref="R216">IF(L216="","", max(1,SUMIF(I:I,XLOOKUP(U216,Productos!E:E,Productos!G:G,"",0,1),J:J)))</f>
        <v/>
      </c>
      <c r="S216" s="4" t="str">
        <f>IF(Q216="","",IF(SUMIFS(Compat_Vetado!D:D,Compat_Vetado!B:B,SUM(G:G),Compat_Vetado!C:C,Q216)=1,"SI",IF(OR(SUMIF(Cotizador!E:E,Q216,Cotizador!G:G)&gt;0,SUMIFS(Compat_Vetado!D:D,Compat_Vetado!B:B,SUM(G:G),Compat_Vetado!C:C,Q216)=-1),"NO","")))</f>
        <v/>
      </c>
      <c r="T216" s="4" t="str">
        <f t="shared" si="6"/>
        <v/>
      </c>
      <c r="U216" s="4" t="str">
        <f>IFERROR(__xludf.DUMMYFUNCTION("IF(P216="""","""",IFERROR(INDEX(filter(Productos!E:E,Productos!F:F=L216,Productos!H:H=N216),P216),IF(M216=SUM(D:D),""Finalizar"",""-"")))"),"")</f>
        <v/>
      </c>
      <c r="V216" s="4" t="str">
        <f>IFERROR(__xludf.DUMMYFUNCTION("IF(OR($U216="""",COUNTIF($I:$I,IFERROR(unique(filter(Prod_Prop!$H:$H,Prod_Prop!$G:$G=$U216,Prod_Prop!$E:$E=V$1)),""Check""))=0),"""",IFERROR(unique(filter(Prod_Prop!$H:$H,Prod_Prop!$G:$G=$U216,Prod_Prop!$E:$E=V$1)),""""))"),"")</f>
        <v/>
      </c>
      <c r="W216" s="4" t="str">
        <f>IF(V216="","",SUMIFS(Prod_Prop!$J:$J,Prod_Prop!$B:$B,$Q216,Prod_Prop!$H:$H,V216,Prod_Prop!$I:$I,W$1)*IF(V216="Peso",$R216,1))</f>
        <v/>
      </c>
      <c r="X216" s="4" t="str">
        <f>IF(V216="","",SUMIFS(Prod_Prop!$J:$J,Prod_Prop!$B:$B,$Q216,Prod_Prop!$H:$H,V216,Prod_Prop!$I:$I,X$1)*IF(V216="Peso",$R216,1))</f>
        <v/>
      </c>
      <c r="Y216" s="4" t="str">
        <f>IFERROR(__xludf.DUMMYFUNCTION("IF(OR($U216="""",COUNTIF($I:$I,IFERROR(unique(filter(Prod_Prop!$H:$H,Prod_Prop!$G:$G=$U216,Prod_Prop!$E:$E=Y$1)),""Check""))=0),"""",IFERROR(unique(filter(Prod_Prop!$H:$H,Prod_Prop!$G:$G=$U216,Prod_Prop!$E:$E=Y$1)),""""))"),"")</f>
        <v/>
      </c>
      <c r="Z216" s="4" t="str">
        <f>IF(Y216="","",SUMIFS(Prod_Prop!$J:$J,Prod_Prop!$B:$B,$Q216,Prod_Prop!$H:$H,Y216,Prod_Prop!$I:$I,Z$1)*IF(Y216="Peso",$R216,1))</f>
        <v/>
      </c>
      <c r="AA216" s="4" t="str">
        <f>IF(Y216="","",SUMIFS(Prod_Prop!$J:$J,Prod_Prop!$B:$B,$Q216,Prod_Prop!$H:$H,Y216,Prod_Prop!$I:$I,AA$1)*IF(Y216="Peso",$R216,1))</f>
        <v/>
      </c>
      <c r="AB216" s="4" t="str">
        <f>IFERROR(__xludf.DUMMYFUNCTION("IF(OR($U216="""",COUNTIF($I:$I,IFERROR(unique(filter(Prod_Prop!$H:$H,Prod_Prop!$G:$G=$U216,Prod_Prop!$E:$E=AB$1)),""Check""))=0),"""",IFERROR(unique(filter(Prod_Prop!$H:$H,Prod_Prop!$G:$G=$U216,Prod_Prop!$E:$E=AB$1)),""""))"),"")</f>
        <v/>
      </c>
      <c r="AC216" s="4" t="str">
        <f>IF(AB216="","",SUMIFS(Prod_Prop!$J:$J,Prod_Prop!$B:$B,$Q216,Prod_Prop!$H:$H,AB216,Prod_Prop!$I:$I,AC$1)*IF(AB216="Peso",$R216,1))</f>
        <v/>
      </c>
      <c r="AD216" s="4" t="str">
        <f>IF(AB216="","",SUMIFS(Prod_Prop!$J:$J,Prod_Prop!$B:$B,$Q216,Prod_Prop!$H:$H,AB216,Prod_Prop!$I:$I,AD$1)*IF(AB216="Peso",$R216,1))</f>
        <v/>
      </c>
    </row>
    <row r="217">
      <c r="A217" s="4" t="str">
        <f t="array" ref="A217">IF(COUNTIF(A$1:A216,Cotizador!F$2)=maxifs(Familias!E:E,Familias!D:D,Cotizador!F$2),IF(COUNTIF(A$1:A216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7" s="4" t="str">
        <f t="shared" si="1"/>
        <v/>
      </c>
      <c r="C217" s="4" t="str">
        <f t="array" ref="C217">IF(B217="","",IF(A217=XLOOKUP(A$2,Implementos!B:B,Implementos!C:C,"",0,1),B217+maxifs(B$1:B216,A$1:A216,A$2),B217))</f>
        <v/>
      </c>
      <c r="D217" s="4" t="str">
        <f>IF(B217="","", COUNTIFS(Productos!F:F,A217,Productos!H:H,B217)+IF(F217="SI",0,1))</f>
        <v/>
      </c>
      <c r="E217" s="4" t="str">
        <f>IFERROR(__xludf.DUMMYFUNCTION("IF($B217="""","""",INDEX(filter(Familias!F:F,Familias!$D:$D=$A217,Familias!$E:$E=$B217),1))"),"")</f>
        <v/>
      </c>
      <c r="F217" s="4" t="str">
        <f>IFERROR(__xludf.DUMMYFUNCTION("IF($B217="""","""",INDEX(filter(Familias!G:G,Familias!$D:$D=$A217,Familias!$E:$E=$B217),1))"),"")</f>
        <v/>
      </c>
      <c r="G217" s="4" t="str">
        <f t="array" ref="G217">IF(C217=1,XLOOKUP(C217,Cotizador!D:D,Cotizador!E:E,"",0,1),"")</f>
        <v/>
      </c>
      <c r="I217" s="4"/>
      <c r="J217" s="8" t="str">
        <f>IF(I217="","",SUMIF(Cotizador!I$1:V$1,I217,Cotizador!I$2:V$2))</f>
        <v/>
      </c>
      <c r="L217" s="4" t="str">
        <f t="array" ref="L217">IF(COUNTIF(L$1:L216,A$2)=SUMIF(A:A,A$2,D:D),IF(COUNTIF(L$1:L216,XLOOKUP(A$2,Implementos!B:B,Implementos!C:C,"",0,1))=SUMIF(A:A,XLOOKUP(A$2,Implementos!B:B,Implementos!C:C,"",0,1),D:D),"",XLOOKUP(A$2,Implementos!B:B,Implementos!C:C,"",0,1)),A$2)</f>
        <v/>
      </c>
      <c r="M217" s="4" t="str">
        <f t="shared" si="2"/>
        <v/>
      </c>
      <c r="N217" s="4" t="str">
        <f t="shared" si="3"/>
        <v/>
      </c>
      <c r="O217" s="4" t="str">
        <f t="shared" si="4"/>
        <v/>
      </c>
      <c r="P217" s="4" t="str">
        <f t="shared" si="5"/>
        <v/>
      </c>
      <c r="Q217" s="4" t="str">
        <f>IF(U217="","",SUMIF(Productos!E:E,U217,Productos!A:A))</f>
        <v/>
      </c>
      <c r="R217" s="4" t="str">
        <f t="array" ref="R217">IF(L217="","", max(1,SUMIF(I:I,XLOOKUP(U217,Productos!E:E,Productos!G:G,"",0,1),J:J)))</f>
        <v/>
      </c>
      <c r="S217" s="4" t="str">
        <f>IF(Q217="","",IF(SUMIFS(Compat_Vetado!D:D,Compat_Vetado!B:B,SUM(G:G),Compat_Vetado!C:C,Q217)=1,"SI",IF(OR(SUMIF(Cotizador!E:E,Q217,Cotizador!G:G)&gt;0,SUMIFS(Compat_Vetado!D:D,Compat_Vetado!B:B,SUM(G:G),Compat_Vetado!C:C,Q217)=-1),"NO","")))</f>
        <v/>
      </c>
      <c r="T217" s="4" t="str">
        <f t="shared" si="6"/>
        <v/>
      </c>
      <c r="U217" s="4" t="str">
        <f>IFERROR(__xludf.DUMMYFUNCTION("IF(P217="""","""",IFERROR(INDEX(filter(Productos!E:E,Productos!F:F=L217,Productos!H:H=N217),P217),IF(M217=SUM(D:D),""Finalizar"",""-"")))"),"")</f>
        <v/>
      </c>
      <c r="V217" s="4" t="str">
        <f>IFERROR(__xludf.DUMMYFUNCTION("IF(OR($U217="""",COUNTIF($I:$I,IFERROR(unique(filter(Prod_Prop!$H:$H,Prod_Prop!$G:$G=$U217,Prod_Prop!$E:$E=V$1)),""Check""))=0),"""",IFERROR(unique(filter(Prod_Prop!$H:$H,Prod_Prop!$G:$G=$U217,Prod_Prop!$E:$E=V$1)),""""))"),"")</f>
        <v/>
      </c>
      <c r="W217" s="4" t="str">
        <f>IF(V217="","",SUMIFS(Prod_Prop!$J:$J,Prod_Prop!$B:$B,$Q217,Prod_Prop!$H:$H,V217,Prod_Prop!$I:$I,W$1)*IF(V217="Peso",$R217,1))</f>
        <v/>
      </c>
      <c r="X217" s="4" t="str">
        <f>IF(V217="","",SUMIFS(Prod_Prop!$J:$J,Prod_Prop!$B:$B,$Q217,Prod_Prop!$H:$H,V217,Prod_Prop!$I:$I,X$1)*IF(V217="Peso",$R217,1))</f>
        <v/>
      </c>
      <c r="Y217" s="4" t="str">
        <f>IFERROR(__xludf.DUMMYFUNCTION("IF(OR($U217="""",COUNTIF($I:$I,IFERROR(unique(filter(Prod_Prop!$H:$H,Prod_Prop!$G:$G=$U217,Prod_Prop!$E:$E=Y$1)),""Check""))=0),"""",IFERROR(unique(filter(Prod_Prop!$H:$H,Prod_Prop!$G:$G=$U217,Prod_Prop!$E:$E=Y$1)),""""))"),"")</f>
        <v/>
      </c>
      <c r="Z217" s="4" t="str">
        <f>IF(Y217="","",SUMIFS(Prod_Prop!$J:$J,Prod_Prop!$B:$B,$Q217,Prod_Prop!$H:$H,Y217,Prod_Prop!$I:$I,Z$1)*IF(Y217="Peso",$R217,1))</f>
        <v/>
      </c>
      <c r="AA217" s="4" t="str">
        <f>IF(Y217="","",SUMIFS(Prod_Prop!$J:$J,Prod_Prop!$B:$B,$Q217,Prod_Prop!$H:$H,Y217,Prod_Prop!$I:$I,AA$1)*IF(Y217="Peso",$R217,1))</f>
        <v/>
      </c>
      <c r="AB217" s="4" t="str">
        <f>IFERROR(__xludf.DUMMYFUNCTION("IF(OR($U217="""",COUNTIF($I:$I,IFERROR(unique(filter(Prod_Prop!$H:$H,Prod_Prop!$G:$G=$U217,Prod_Prop!$E:$E=AB$1)),""Check""))=0),"""",IFERROR(unique(filter(Prod_Prop!$H:$H,Prod_Prop!$G:$G=$U217,Prod_Prop!$E:$E=AB$1)),""""))"),"")</f>
        <v/>
      </c>
      <c r="AC217" s="4" t="str">
        <f>IF(AB217="","",SUMIFS(Prod_Prop!$J:$J,Prod_Prop!$B:$B,$Q217,Prod_Prop!$H:$H,AB217,Prod_Prop!$I:$I,AC$1)*IF(AB217="Peso",$R217,1))</f>
        <v/>
      </c>
      <c r="AD217" s="4" t="str">
        <f>IF(AB217="","",SUMIFS(Prod_Prop!$J:$J,Prod_Prop!$B:$B,$Q217,Prod_Prop!$H:$H,AB217,Prod_Prop!$I:$I,AD$1)*IF(AB217="Peso",$R217,1))</f>
        <v/>
      </c>
    </row>
    <row r="218">
      <c r="A218" s="4" t="str">
        <f t="array" ref="A218">IF(COUNTIF(A$1:A217,Cotizador!F$2)=maxifs(Familias!E:E,Familias!D:D,Cotizador!F$2),IF(COUNTIF(A$1:A217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8" s="4" t="str">
        <f t="shared" si="1"/>
        <v/>
      </c>
      <c r="C218" s="4" t="str">
        <f t="array" ref="C218">IF(B218="","",IF(A218=XLOOKUP(A$2,Implementos!B:B,Implementos!C:C,"",0,1),B218+maxifs(B$1:B217,A$1:A217,A$2),B218))</f>
        <v/>
      </c>
      <c r="D218" s="4" t="str">
        <f>IF(B218="","", COUNTIFS(Productos!F:F,A218,Productos!H:H,B218)+IF(F218="SI",0,1))</f>
        <v/>
      </c>
      <c r="E218" s="4" t="str">
        <f>IFERROR(__xludf.DUMMYFUNCTION("IF($B218="""","""",INDEX(filter(Familias!F:F,Familias!$D:$D=$A218,Familias!$E:$E=$B218),1))"),"")</f>
        <v/>
      </c>
      <c r="F218" s="4" t="str">
        <f>IFERROR(__xludf.DUMMYFUNCTION("IF($B218="""","""",INDEX(filter(Familias!G:G,Familias!$D:$D=$A218,Familias!$E:$E=$B218),1))"),"")</f>
        <v/>
      </c>
      <c r="G218" s="4" t="str">
        <f t="array" ref="G218">IF(C218=1,XLOOKUP(C218,Cotizador!D:D,Cotizador!E:E,"",0,1),"")</f>
        <v/>
      </c>
      <c r="I218" s="4"/>
      <c r="J218" s="8" t="str">
        <f>IF(I218="","",SUMIF(Cotizador!I$1:V$1,I218,Cotizador!I$2:V$2))</f>
        <v/>
      </c>
      <c r="L218" s="4" t="str">
        <f t="array" ref="L218">IF(COUNTIF(L$1:L217,A$2)=SUMIF(A:A,A$2,D:D),IF(COUNTIF(L$1:L217,XLOOKUP(A$2,Implementos!B:B,Implementos!C:C,"",0,1))=SUMIF(A:A,XLOOKUP(A$2,Implementos!B:B,Implementos!C:C,"",0,1),D:D),"",XLOOKUP(A$2,Implementos!B:B,Implementos!C:C,"",0,1)),A$2)</f>
        <v/>
      </c>
      <c r="M218" s="4" t="str">
        <f t="shared" si="2"/>
        <v/>
      </c>
      <c r="N218" s="4" t="str">
        <f t="shared" si="3"/>
        <v/>
      </c>
      <c r="O218" s="4" t="str">
        <f t="shared" si="4"/>
        <v/>
      </c>
      <c r="P218" s="4" t="str">
        <f t="shared" si="5"/>
        <v/>
      </c>
      <c r="Q218" s="4" t="str">
        <f>IF(U218="","",SUMIF(Productos!E:E,U218,Productos!A:A))</f>
        <v/>
      </c>
      <c r="R218" s="4" t="str">
        <f t="array" ref="R218">IF(L218="","", max(1,SUMIF(I:I,XLOOKUP(U218,Productos!E:E,Productos!G:G,"",0,1),J:J)))</f>
        <v/>
      </c>
      <c r="S218" s="4" t="str">
        <f>IF(Q218="","",IF(SUMIFS(Compat_Vetado!D:D,Compat_Vetado!B:B,SUM(G:G),Compat_Vetado!C:C,Q218)=1,"SI",IF(OR(SUMIF(Cotizador!E:E,Q218,Cotizador!G:G)&gt;0,SUMIFS(Compat_Vetado!D:D,Compat_Vetado!B:B,SUM(G:G),Compat_Vetado!C:C,Q218)=-1),"NO","")))</f>
        <v/>
      </c>
      <c r="T218" s="4" t="str">
        <f t="shared" si="6"/>
        <v/>
      </c>
      <c r="U218" s="4" t="str">
        <f>IFERROR(__xludf.DUMMYFUNCTION("IF(P218="""","""",IFERROR(INDEX(filter(Productos!E:E,Productos!F:F=L218,Productos!H:H=N218),P218),IF(M218=SUM(D:D),""Finalizar"",""-"")))"),"")</f>
        <v/>
      </c>
      <c r="V218" s="4" t="str">
        <f>IFERROR(__xludf.DUMMYFUNCTION("IF(OR($U218="""",COUNTIF($I:$I,IFERROR(unique(filter(Prod_Prop!$H:$H,Prod_Prop!$G:$G=$U218,Prod_Prop!$E:$E=V$1)),""Check""))=0),"""",IFERROR(unique(filter(Prod_Prop!$H:$H,Prod_Prop!$G:$G=$U218,Prod_Prop!$E:$E=V$1)),""""))"),"")</f>
        <v/>
      </c>
      <c r="W218" s="4" t="str">
        <f>IF(V218="","",SUMIFS(Prod_Prop!$J:$J,Prod_Prop!$B:$B,$Q218,Prod_Prop!$H:$H,V218,Prod_Prop!$I:$I,W$1)*IF(V218="Peso",$R218,1))</f>
        <v/>
      </c>
      <c r="X218" s="4" t="str">
        <f>IF(V218="","",SUMIFS(Prod_Prop!$J:$J,Prod_Prop!$B:$B,$Q218,Prod_Prop!$H:$H,V218,Prod_Prop!$I:$I,X$1)*IF(V218="Peso",$R218,1))</f>
        <v/>
      </c>
      <c r="Y218" s="4" t="str">
        <f>IFERROR(__xludf.DUMMYFUNCTION("IF(OR($U218="""",COUNTIF($I:$I,IFERROR(unique(filter(Prod_Prop!$H:$H,Prod_Prop!$G:$G=$U218,Prod_Prop!$E:$E=Y$1)),""Check""))=0),"""",IFERROR(unique(filter(Prod_Prop!$H:$H,Prod_Prop!$G:$G=$U218,Prod_Prop!$E:$E=Y$1)),""""))"),"")</f>
        <v/>
      </c>
      <c r="Z218" s="4" t="str">
        <f>IF(Y218="","",SUMIFS(Prod_Prop!$J:$J,Prod_Prop!$B:$B,$Q218,Prod_Prop!$H:$H,Y218,Prod_Prop!$I:$I,Z$1)*IF(Y218="Peso",$R218,1))</f>
        <v/>
      </c>
      <c r="AA218" s="4" t="str">
        <f>IF(Y218="","",SUMIFS(Prod_Prop!$J:$J,Prod_Prop!$B:$B,$Q218,Prod_Prop!$H:$H,Y218,Prod_Prop!$I:$I,AA$1)*IF(Y218="Peso",$R218,1))</f>
        <v/>
      </c>
      <c r="AB218" s="4" t="str">
        <f>IFERROR(__xludf.DUMMYFUNCTION("IF(OR($U218="""",COUNTIF($I:$I,IFERROR(unique(filter(Prod_Prop!$H:$H,Prod_Prop!$G:$G=$U218,Prod_Prop!$E:$E=AB$1)),""Check""))=0),"""",IFERROR(unique(filter(Prod_Prop!$H:$H,Prod_Prop!$G:$G=$U218,Prod_Prop!$E:$E=AB$1)),""""))"),"")</f>
        <v/>
      </c>
      <c r="AC218" s="4" t="str">
        <f>IF(AB218="","",SUMIFS(Prod_Prop!$J:$J,Prod_Prop!$B:$B,$Q218,Prod_Prop!$H:$H,AB218,Prod_Prop!$I:$I,AC$1)*IF(AB218="Peso",$R218,1))</f>
        <v/>
      </c>
      <c r="AD218" s="4" t="str">
        <f>IF(AB218="","",SUMIFS(Prod_Prop!$J:$J,Prod_Prop!$B:$B,$Q218,Prod_Prop!$H:$H,AB218,Prod_Prop!$I:$I,AD$1)*IF(AB218="Peso",$R218,1))</f>
        <v/>
      </c>
    </row>
    <row r="219">
      <c r="A219" s="4" t="str">
        <f t="array" ref="A219">IF(COUNTIF(A$1:A218,Cotizador!F$2)=maxifs(Familias!E:E,Familias!D:D,Cotizador!F$2),IF(COUNTIF(A$1:A218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19" s="4" t="str">
        <f t="shared" si="1"/>
        <v/>
      </c>
      <c r="C219" s="4" t="str">
        <f t="array" ref="C219">IF(B219="","",IF(A219=XLOOKUP(A$2,Implementos!B:B,Implementos!C:C,"",0,1),B219+maxifs(B$1:B218,A$1:A218,A$2),B219))</f>
        <v/>
      </c>
      <c r="D219" s="4" t="str">
        <f>IF(B219="","", COUNTIFS(Productos!F:F,A219,Productos!H:H,B219)+IF(F219="SI",0,1))</f>
        <v/>
      </c>
      <c r="E219" s="4" t="str">
        <f>IFERROR(__xludf.DUMMYFUNCTION("IF($B219="""","""",INDEX(filter(Familias!F:F,Familias!$D:$D=$A219,Familias!$E:$E=$B219),1))"),"")</f>
        <v/>
      </c>
      <c r="F219" s="4" t="str">
        <f>IFERROR(__xludf.DUMMYFUNCTION("IF($B219="""","""",INDEX(filter(Familias!G:G,Familias!$D:$D=$A219,Familias!$E:$E=$B219),1))"),"")</f>
        <v/>
      </c>
      <c r="G219" s="4" t="str">
        <f t="array" ref="G219">IF(C219=1,XLOOKUP(C219,Cotizador!D:D,Cotizador!E:E,"",0,1),"")</f>
        <v/>
      </c>
      <c r="I219" s="4"/>
      <c r="J219" s="8" t="str">
        <f>IF(I219="","",SUMIF(Cotizador!I$1:V$1,I219,Cotizador!I$2:V$2))</f>
        <v/>
      </c>
      <c r="L219" s="4" t="str">
        <f t="array" ref="L219">IF(COUNTIF(L$1:L218,A$2)=SUMIF(A:A,A$2,D:D),IF(COUNTIF(L$1:L218,XLOOKUP(A$2,Implementos!B:B,Implementos!C:C,"",0,1))=SUMIF(A:A,XLOOKUP(A$2,Implementos!B:B,Implementos!C:C,"",0,1),D:D),"",XLOOKUP(A$2,Implementos!B:B,Implementos!C:C,"",0,1)),A$2)</f>
        <v/>
      </c>
      <c r="M219" s="4" t="str">
        <f t="shared" si="2"/>
        <v/>
      </c>
      <c r="N219" s="4" t="str">
        <f t="shared" si="3"/>
        <v/>
      </c>
      <c r="O219" s="4" t="str">
        <f t="shared" si="4"/>
        <v/>
      </c>
      <c r="P219" s="4" t="str">
        <f t="shared" si="5"/>
        <v/>
      </c>
      <c r="Q219" s="4" t="str">
        <f>IF(U219="","",SUMIF(Productos!E:E,U219,Productos!A:A))</f>
        <v/>
      </c>
      <c r="R219" s="4" t="str">
        <f t="array" ref="R219">IF(L219="","", max(1,SUMIF(I:I,XLOOKUP(U219,Productos!E:E,Productos!G:G,"",0,1),J:J)))</f>
        <v/>
      </c>
      <c r="S219" s="4" t="str">
        <f>IF(Q219="","",IF(SUMIFS(Compat_Vetado!D:D,Compat_Vetado!B:B,SUM(G:G),Compat_Vetado!C:C,Q219)=1,"SI",IF(OR(SUMIF(Cotizador!E:E,Q219,Cotizador!G:G)&gt;0,SUMIFS(Compat_Vetado!D:D,Compat_Vetado!B:B,SUM(G:G),Compat_Vetado!C:C,Q219)=-1),"NO","")))</f>
        <v/>
      </c>
      <c r="T219" s="4" t="str">
        <f t="shared" si="6"/>
        <v/>
      </c>
      <c r="U219" s="4" t="str">
        <f>IFERROR(__xludf.DUMMYFUNCTION("IF(P219="""","""",IFERROR(INDEX(filter(Productos!E:E,Productos!F:F=L219,Productos!H:H=N219),P219),IF(M219=SUM(D:D),""Finalizar"",""-"")))"),"")</f>
        <v/>
      </c>
      <c r="V219" s="4" t="str">
        <f>IFERROR(__xludf.DUMMYFUNCTION("IF(OR($U219="""",COUNTIF($I:$I,IFERROR(unique(filter(Prod_Prop!$H:$H,Prod_Prop!$G:$G=$U219,Prod_Prop!$E:$E=V$1)),""Check""))=0),"""",IFERROR(unique(filter(Prod_Prop!$H:$H,Prod_Prop!$G:$G=$U219,Prod_Prop!$E:$E=V$1)),""""))"),"")</f>
        <v/>
      </c>
      <c r="W219" s="4" t="str">
        <f>IF(V219="","",SUMIFS(Prod_Prop!$J:$J,Prod_Prop!$B:$B,$Q219,Prod_Prop!$H:$H,V219,Prod_Prop!$I:$I,W$1)*IF(V219="Peso",$R219,1))</f>
        <v/>
      </c>
      <c r="X219" s="4" t="str">
        <f>IF(V219="","",SUMIFS(Prod_Prop!$J:$J,Prod_Prop!$B:$B,$Q219,Prod_Prop!$H:$H,V219,Prod_Prop!$I:$I,X$1)*IF(V219="Peso",$R219,1))</f>
        <v/>
      </c>
      <c r="Y219" s="4" t="str">
        <f>IFERROR(__xludf.DUMMYFUNCTION("IF(OR($U219="""",COUNTIF($I:$I,IFERROR(unique(filter(Prod_Prop!$H:$H,Prod_Prop!$G:$G=$U219,Prod_Prop!$E:$E=Y$1)),""Check""))=0),"""",IFERROR(unique(filter(Prod_Prop!$H:$H,Prod_Prop!$G:$G=$U219,Prod_Prop!$E:$E=Y$1)),""""))"),"")</f>
        <v/>
      </c>
      <c r="Z219" s="4" t="str">
        <f>IF(Y219="","",SUMIFS(Prod_Prop!$J:$J,Prod_Prop!$B:$B,$Q219,Prod_Prop!$H:$H,Y219,Prod_Prop!$I:$I,Z$1)*IF(Y219="Peso",$R219,1))</f>
        <v/>
      </c>
      <c r="AA219" s="4" t="str">
        <f>IF(Y219="","",SUMIFS(Prod_Prop!$J:$J,Prod_Prop!$B:$B,$Q219,Prod_Prop!$H:$H,Y219,Prod_Prop!$I:$I,AA$1)*IF(Y219="Peso",$R219,1))</f>
        <v/>
      </c>
      <c r="AB219" s="4" t="str">
        <f>IFERROR(__xludf.DUMMYFUNCTION("IF(OR($U219="""",COUNTIF($I:$I,IFERROR(unique(filter(Prod_Prop!$H:$H,Prod_Prop!$G:$G=$U219,Prod_Prop!$E:$E=AB$1)),""Check""))=0),"""",IFERROR(unique(filter(Prod_Prop!$H:$H,Prod_Prop!$G:$G=$U219,Prod_Prop!$E:$E=AB$1)),""""))"),"")</f>
        <v/>
      </c>
      <c r="AC219" s="4" t="str">
        <f>IF(AB219="","",SUMIFS(Prod_Prop!$J:$J,Prod_Prop!$B:$B,$Q219,Prod_Prop!$H:$H,AB219,Prod_Prop!$I:$I,AC$1)*IF(AB219="Peso",$R219,1))</f>
        <v/>
      </c>
      <c r="AD219" s="4" t="str">
        <f>IF(AB219="","",SUMIFS(Prod_Prop!$J:$J,Prod_Prop!$B:$B,$Q219,Prod_Prop!$H:$H,AB219,Prod_Prop!$I:$I,AD$1)*IF(AB219="Peso",$R219,1))</f>
        <v/>
      </c>
    </row>
    <row r="220">
      <c r="A220" s="4" t="str">
        <f t="array" ref="A220">IF(COUNTIF(A$1:A219,Cotizador!F$2)=maxifs(Familias!E:E,Familias!D:D,Cotizador!F$2),IF(COUNTIF(A$1:A219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0" s="4" t="str">
        <f t="shared" si="1"/>
        <v/>
      </c>
      <c r="C220" s="4" t="str">
        <f t="array" ref="C220">IF(B220="","",IF(A220=XLOOKUP(A$2,Implementos!B:B,Implementos!C:C,"",0,1),B220+maxifs(B$1:B219,A$1:A219,A$2),B220))</f>
        <v/>
      </c>
      <c r="D220" s="4" t="str">
        <f>IF(B220="","", COUNTIFS(Productos!F:F,A220,Productos!H:H,B220)+IF(F220="SI",0,1))</f>
        <v/>
      </c>
      <c r="E220" s="4" t="str">
        <f>IFERROR(__xludf.DUMMYFUNCTION("IF($B220="""","""",INDEX(filter(Familias!F:F,Familias!$D:$D=$A220,Familias!$E:$E=$B220),1))"),"")</f>
        <v/>
      </c>
      <c r="F220" s="4" t="str">
        <f>IFERROR(__xludf.DUMMYFUNCTION("IF($B220="""","""",INDEX(filter(Familias!G:G,Familias!$D:$D=$A220,Familias!$E:$E=$B220),1))"),"")</f>
        <v/>
      </c>
      <c r="G220" s="4" t="str">
        <f t="array" ref="G220">IF(C220=1,XLOOKUP(C220,Cotizador!D:D,Cotizador!E:E,"",0,1),"")</f>
        <v/>
      </c>
      <c r="I220" s="4"/>
      <c r="J220" s="8" t="str">
        <f>IF(I220="","",SUMIF(Cotizador!I$1:V$1,I220,Cotizador!I$2:V$2))</f>
        <v/>
      </c>
      <c r="L220" s="4" t="str">
        <f t="array" ref="L220">IF(COUNTIF(L$1:L219,A$2)=SUMIF(A:A,A$2,D:D),IF(COUNTIF(L$1:L219,XLOOKUP(A$2,Implementos!B:B,Implementos!C:C,"",0,1))=SUMIF(A:A,XLOOKUP(A$2,Implementos!B:B,Implementos!C:C,"",0,1),D:D),"",XLOOKUP(A$2,Implementos!B:B,Implementos!C:C,"",0,1)),A$2)</f>
        <v/>
      </c>
      <c r="M220" s="4" t="str">
        <f t="shared" si="2"/>
        <v/>
      </c>
      <c r="N220" s="4" t="str">
        <f t="shared" si="3"/>
        <v/>
      </c>
      <c r="O220" s="4" t="str">
        <f t="shared" si="4"/>
        <v/>
      </c>
      <c r="P220" s="4" t="str">
        <f t="shared" si="5"/>
        <v/>
      </c>
      <c r="Q220" s="4" t="str">
        <f>IF(U220="","",SUMIF(Productos!E:E,U220,Productos!A:A))</f>
        <v/>
      </c>
      <c r="R220" s="4" t="str">
        <f t="array" ref="R220">IF(L220="","", max(1,SUMIF(I:I,XLOOKUP(U220,Productos!E:E,Productos!G:G,"",0,1),J:J)))</f>
        <v/>
      </c>
      <c r="S220" s="4" t="str">
        <f>IF(Q220="","",IF(SUMIFS(Compat_Vetado!D:D,Compat_Vetado!B:B,SUM(G:G),Compat_Vetado!C:C,Q220)=1,"SI",IF(OR(SUMIF(Cotizador!E:E,Q220,Cotizador!G:G)&gt;0,SUMIFS(Compat_Vetado!D:D,Compat_Vetado!B:B,SUM(G:G),Compat_Vetado!C:C,Q220)=-1),"NO","")))</f>
        <v/>
      </c>
      <c r="T220" s="4" t="str">
        <f t="shared" si="6"/>
        <v/>
      </c>
      <c r="U220" s="4" t="str">
        <f>IFERROR(__xludf.DUMMYFUNCTION("IF(P220="""","""",IFERROR(INDEX(filter(Productos!E:E,Productos!F:F=L220,Productos!H:H=N220),P220),IF(M220=SUM(D:D),""Finalizar"",""-"")))"),"")</f>
        <v/>
      </c>
      <c r="V220" s="4" t="str">
        <f>IFERROR(__xludf.DUMMYFUNCTION("IF(OR($U220="""",COUNTIF($I:$I,IFERROR(unique(filter(Prod_Prop!$H:$H,Prod_Prop!$G:$G=$U220,Prod_Prop!$E:$E=V$1)),""Check""))=0),"""",IFERROR(unique(filter(Prod_Prop!$H:$H,Prod_Prop!$G:$G=$U220,Prod_Prop!$E:$E=V$1)),""""))"),"")</f>
        <v/>
      </c>
      <c r="W220" s="4" t="str">
        <f>IF(V220="","",SUMIFS(Prod_Prop!$J:$J,Prod_Prop!$B:$B,$Q220,Prod_Prop!$H:$H,V220,Prod_Prop!$I:$I,W$1)*IF(V220="Peso",$R220,1))</f>
        <v/>
      </c>
      <c r="X220" s="4" t="str">
        <f>IF(V220="","",SUMIFS(Prod_Prop!$J:$J,Prod_Prop!$B:$B,$Q220,Prod_Prop!$H:$H,V220,Prod_Prop!$I:$I,X$1)*IF(V220="Peso",$R220,1))</f>
        <v/>
      </c>
      <c r="Y220" s="4" t="str">
        <f>IFERROR(__xludf.DUMMYFUNCTION("IF(OR($U220="""",COUNTIF($I:$I,IFERROR(unique(filter(Prod_Prop!$H:$H,Prod_Prop!$G:$G=$U220,Prod_Prop!$E:$E=Y$1)),""Check""))=0),"""",IFERROR(unique(filter(Prod_Prop!$H:$H,Prod_Prop!$G:$G=$U220,Prod_Prop!$E:$E=Y$1)),""""))"),"")</f>
        <v/>
      </c>
      <c r="Z220" s="4" t="str">
        <f>IF(Y220="","",SUMIFS(Prod_Prop!$J:$J,Prod_Prop!$B:$B,$Q220,Prod_Prop!$H:$H,Y220,Prod_Prop!$I:$I,Z$1)*IF(Y220="Peso",$R220,1))</f>
        <v/>
      </c>
      <c r="AA220" s="4" t="str">
        <f>IF(Y220="","",SUMIFS(Prod_Prop!$J:$J,Prod_Prop!$B:$B,$Q220,Prod_Prop!$H:$H,Y220,Prod_Prop!$I:$I,AA$1)*IF(Y220="Peso",$R220,1))</f>
        <v/>
      </c>
      <c r="AB220" s="4" t="str">
        <f>IFERROR(__xludf.DUMMYFUNCTION("IF(OR($U220="""",COUNTIF($I:$I,IFERROR(unique(filter(Prod_Prop!$H:$H,Prod_Prop!$G:$G=$U220,Prod_Prop!$E:$E=AB$1)),""Check""))=0),"""",IFERROR(unique(filter(Prod_Prop!$H:$H,Prod_Prop!$G:$G=$U220,Prod_Prop!$E:$E=AB$1)),""""))"),"")</f>
        <v/>
      </c>
      <c r="AC220" s="4" t="str">
        <f>IF(AB220="","",SUMIFS(Prod_Prop!$J:$J,Prod_Prop!$B:$B,$Q220,Prod_Prop!$H:$H,AB220,Prod_Prop!$I:$I,AC$1)*IF(AB220="Peso",$R220,1))</f>
        <v/>
      </c>
      <c r="AD220" s="4" t="str">
        <f>IF(AB220="","",SUMIFS(Prod_Prop!$J:$J,Prod_Prop!$B:$B,$Q220,Prod_Prop!$H:$H,AB220,Prod_Prop!$I:$I,AD$1)*IF(AB220="Peso",$R220,1))</f>
        <v/>
      </c>
    </row>
    <row r="221">
      <c r="A221" s="4" t="str">
        <f t="array" ref="A221">IF(COUNTIF(A$1:A220,Cotizador!F$2)=maxifs(Familias!E:E,Familias!D:D,Cotizador!F$2),IF(COUNTIF(A$1:A220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1" s="4" t="str">
        <f t="shared" si="1"/>
        <v/>
      </c>
      <c r="C221" s="4" t="str">
        <f t="array" ref="C221">IF(B221="","",IF(A221=XLOOKUP(A$2,Implementos!B:B,Implementos!C:C,"",0,1),B221+maxifs(B$1:B220,A$1:A220,A$2),B221))</f>
        <v/>
      </c>
      <c r="D221" s="4" t="str">
        <f>IF(B221="","", COUNTIFS(Productos!F:F,A221,Productos!H:H,B221)+IF(F221="SI",0,1))</f>
        <v/>
      </c>
      <c r="E221" s="4" t="str">
        <f>IFERROR(__xludf.DUMMYFUNCTION("IF($B221="""","""",INDEX(filter(Familias!F:F,Familias!$D:$D=$A221,Familias!$E:$E=$B221),1))"),"")</f>
        <v/>
      </c>
      <c r="F221" s="4" t="str">
        <f>IFERROR(__xludf.DUMMYFUNCTION("IF($B221="""","""",INDEX(filter(Familias!G:G,Familias!$D:$D=$A221,Familias!$E:$E=$B221),1))"),"")</f>
        <v/>
      </c>
      <c r="G221" s="4" t="str">
        <f t="array" ref="G221">IF(C221=1,XLOOKUP(C221,Cotizador!D:D,Cotizador!E:E,"",0,1),"")</f>
        <v/>
      </c>
      <c r="I221" s="4"/>
      <c r="J221" s="8" t="str">
        <f>IF(I221="","",SUMIF(Cotizador!I$1:V$1,I221,Cotizador!I$2:V$2))</f>
        <v/>
      </c>
      <c r="L221" s="4" t="str">
        <f t="array" ref="L221">IF(COUNTIF(L$1:L220,A$2)=SUMIF(A:A,A$2,D:D),IF(COUNTIF(L$1:L220,XLOOKUP(A$2,Implementos!B:B,Implementos!C:C,"",0,1))=SUMIF(A:A,XLOOKUP(A$2,Implementos!B:B,Implementos!C:C,"",0,1),D:D),"",XLOOKUP(A$2,Implementos!B:B,Implementos!C:C,"",0,1)),A$2)</f>
        <v/>
      </c>
      <c r="M221" s="4" t="str">
        <f t="shared" si="2"/>
        <v/>
      </c>
      <c r="N221" s="4" t="str">
        <f t="shared" si="3"/>
        <v/>
      </c>
      <c r="O221" s="4" t="str">
        <f t="shared" si="4"/>
        <v/>
      </c>
      <c r="P221" s="4" t="str">
        <f t="shared" si="5"/>
        <v/>
      </c>
      <c r="Q221" s="4" t="str">
        <f>IF(U221="","",SUMIF(Productos!E:E,U221,Productos!A:A))</f>
        <v/>
      </c>
      <c r="R221" s="4" t="str">
        <f t="array" ref="R221">IF(L221="","", max(1,SUMIF(I:I,XLOOKUP(U221,Productos!E:E,Productos!G:G,"",0,1),J:J)))</f>
        <v/>
      </c>
      <c r="S221" s="4" t="str">
        <f>IF(Q221="","",IF(SUMIFS(Compat_Vetado!D:D,Compat_Vetado!B:B,SUM(G:G),Compat_Vetado!C:C,Q221)=1,"SI",IF(OR(SUMIF(Cotizador!E:E,Q221,Cotizador!G:G)&gt;0,SUMIFS(Compat_Vetado!D:D,Compat_Vetado!B:B,SUM(G:G),Compat_Vetado!C:C,Q221)=-1),"NO","")))</f>
        <v/>
      </c>
      <c r="T221" s="4" t="str">
        <f t="shared" si="6"/>
        <v/>
      </c>
      <c r="U221" s="4" t="str">
        <f>IFERROR(__xludf.DUMMYFUNCTION("IF(P221="""","""",IFERROR(INDEX(filter(Productos!E:E,Productos!F:F=L221,Productos!H:H=N221),P221),IF(M221=SUM(D:D),""Finalizar"",""-"")))"),"")</f>
        <v/>
      </c>
      <c r="V221" s="4" t="str">
        <f>IFERROR(__xludf.DUMMYFUNCTION("IF(OR($U221="""",COUNTIF($I:$I,IFERROR(unique(filter(Prod_Prop!$H:$H,Prod_Prop!$G:$G=$U221,Prod_Prop!$E:$E=V$1)),""Check""))=0),"""",IFERROR(unique(filter(Prod_Prop!$H:$H,Prod_Prop!$G:$G=$U221,Prod_Prop!$E:$E=V$1)),""""))"),"")</f>
        <v/>
      </c>
      <c r="W221" s="4" t="str">
        <f>IF(V221="","",SUMIFS(Prod_Prop!$J:$J,Prod_Prop!$B:$B,$Q221,Prod_Prop!$H:$H,V221,Prod_Prop!$I:$I,W$1)*IF(V221="Peso",$R221,1))</f>
        <v/>
      </c>
      <c r="X221" s="4" t="str">
        <f>IF(V221="","",SUMIFS(Prod_Prop!$J:$J,Prod_Prop!$B:$B,$Q221,Prod_Prop!$H:$H,V221,Prod_Prop!$I:$I,X$1)*IF(V221="Peso",$R221,1))</f>
        <v/>
      </c>
      <c r="Y221" s="4" t="str">
        <f>IFERROR(__xludf.DUMMYFUNCTION("IF(OR($U221="""",COUNTIF($I:$I,IFERROR(unique(filter(Prod_Prop!$H:$H,Prod_Prop!$G:$G=$U221,Prod_Prop!$E:$E=Y$1)),""Check""))=0),"""",IFERROR(unique(filter(Prod_Prop!$H:$H,Prod_Prop!$G:$G=$U221,Prod_Prop!$E:$E=Y$1)),""""))"),"")</f>
        <v/>
      </c>
      <c r="Z221" s="4" t="str">
        <f>IF(Y221="","",SUMIFS(Prod_Prop!$J:$J,Prod_Prop!$B:$B,$Q221,Prod_Prop!$H:$H,Y221,Prod_Prop!$I:$I,Z$1)*IF(Y221="Peso",$R221,1))</f>
        <v/>
      </c>
      <c r="AA221" s="4" t="str">
        <f>IF(Y221="","",SUMIFS(Prod_Prop!$J:$J,Prod_Prop!$B:$B,$Q221,Prod_Prop!$H:$H,Y221,Prod_Prop!$I:$I,AA$1)*IF(Y221="Peso",$R221,1))</f>
        <v/>
      </c>
      <c r="AB221" s="4" t="str">
        <f>IFERROR(__xludf.DUMMYFUNCTION("IF(OR($U221="""",COUNTIF($I:$I,IFERROR(unique(filter(Prod_Prop!$H:$H,Prod_Prop!$G:$G=$U221,Prod_Prop!$E:$E=AB$1)),""Check""))=0),"""",IFERROR(unique(filter(Prod_Prop!$H:$H,Prod_Prop!$G:$G=$U221,Prod_Prop!$E:$E=AB$1)),""""))"),"")</f>
        <v/>
      </c>
      <c r="AC221" s="4" t="str">
        <f>IF(AB221="","",SUMIFS(Prod_Prop!$J:$J,Prod_Prop!$B:$B,$Q221,Prod_Prop!$H:$H,AB221,Prod_Prop!$I:$I,AC$1)*IF(AB221="Peso",$R221,1))</f>
        <v/>
      </c>
      <c r="AD221" s="4" t="str">
        <f>IF(AB221="","",SUMIFS(Prod_Prop!$J:$J,Prod_Prop!$B:$B,$Q221,Prod_Prop!$H:$H,AB221,Prod_Prop!$I:$I,AD$1)*IF(AB221="Peso",$R221,1))</f>
        <v/>
      </c>
    </row>
    <row r="222">
      <c r="A222" s="4" t="str">
        <f t="array" ref="A222">IF(COUNTIF(A$1:A221,Cotizador!F$2)=maxifs(Familias!E:E,Familias!D:D,Cotizador!F$2),IF(COUNTIF(A$1:A221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2" s="4" t="str">
        <f t="shared" si="1"/>
        <v/>
      </c>
      <c r="C222" s="4" t="str">
        <f t="array" ref="C222">IF(B222="","",IF(A222=XLOOKUP(A$2,Implementos!B:B,Implementos!C:C,"",0,1),B222+maxifs(B$1:B221,A$1:A221,A$2),B222))</f>
        <v/>
      </c>
      <c r="D222" s="4" t="str">
        <f>IF(B222="","", COUNTIFS(Productos!F:F,A222,Productos!H:H,B222)+IF(F222="SI",0,1))</f>
        <v/>
      </c>
      <c r="E222" s="4" t="str">
        <f>IFERROR(__xludf.DUMMYFUNCTION("IF($B222="""","""",INDEX(filter(Familias!F:F,Familias!$D:$D=$A222,Familias!$E:$E=$B222),1))"),"")</f>
        <v/>
      </c>
      <c r="F222" s="4" t="str">
        <f>IFERROR(__xludf.DUMMYFUNCTION("IF($B222="""","""",INDEX(filter(Familias!G:G,Familias!$D:$D=$A222,Familias!$E:$E=$B222),1))"),"")</f>
        <v/>
      </c>
      <c r="G222" s="4" t="str">
        <f t="array" ref="G222">IF(C222=1,XLOOKUP(C222,Cotizador!D:D,Cotizador!E:E,"",0,1),"")</f>
        <v/>
      </c>
      <c r="I222" s="4"/>
      <c r="J222" s="8" t="str">
        <f>IF(I222="","",SUMIF(Cotizador!I$1:V$1,I222,Cotizador!I$2:V$2))</f>
        <v/>
      </c>
      <c r="L222" s="4" t="str">
        <f t="array" ref="L222">IF(COUNTIF(L$1:L221,A$2)=SUMIF(A:A,A$2,D:D),IF(COUNTIF(L$1:L221,XLOOKUP(A$2,Implementos!B:B,Implementos!C:C,"",0,1))=SUMIF(A:A,XLOOKUP(A$2,Implementos!B:B,Implementos!C:C,"",0,1),D:D),"",XLOOKUP(A$2,Implementos!B:B,Implementos!C:C,"",0,1)),A$2)</f>
        <v/>
      </c>
      <c r="M222" s="4" t="str">
        <f t="shared" si="2"/>
        <v/>
      </c>
      <c r="N222" s="4" t="str">
        <f t="shared" si="3"/>
        <v/>
      </c>
      <c r="O222" s="4" t="str">
        <f t="shared" si="4"/>
        <v/>
      </c>
      <c r="P222" s="4" t="str">
        <f t="shared" si="5"/>
        <v/>
      </c>
      <c r="Q222" s="4" t="str">
        <f>IF(U222="","",SUMIF(Productos!E:E,U222,Productos!A:A))</f>
        <v/>
      </c>
      <c r="R222" s="4" t="str">
        <f t="array" ref="R222">IF(L222="","", max(1,SUMIF(I:I,XLOOKUP(U222,Productos!E:E,Productos!G:G,"",0,1),J:J)))</f>
        <v/>
      </c>
      <c r="S222" s="4" t="str">
        <f>IF(Q222="","",IF(SUMIFS(Compat_Vetado!D:D,Compat_Vetado!B:B,SUM(G:G),Compat_Vetado!C:C,Q222)=1,"SI",IF(OR(SUMIF(Cotizador!E:E,Q222,Cotizador!G:G)&gt;0,SUMIFS(Compat_Vetado!D:D,Compat_Vetado!B:B,SUM(G:G),Compat_Vetado!C:C,Q222)=-1),"NO","")))</f>
        <v/>
      </c>
      <c r="T222" s="4" t="str">
        <f t="shared" si="6"/>
        <v/>
      </c>
      <c r="U222" s="4" t="str">
        <f>IFERROR(__xludf.DUMMYFUNCTION("IF(P222="""","""",IFERROR(INDEX(filter(Productos!E:E,Productos!F:F=L222,Productos!H:H=N222),P222),IF(M222=SUM(D:D),""Finalizar"",""-"")))"),"")</f>
        <v/>
      </c>
      <c r="V222" s="4" t="str">
        <f>IFERROR(__xludf.DUMMYFUNCTION("IF(OR($U222="""",COUNTIF($I:$I,IFERROR(unique(filter(Prod_Prop!$H:$H,Prod_Prop!$G:$G=$U222,Prod_Prop!$E:$E=V$1)),""Check""))=0),"""",IFERROR(unique(filter(Prod_Prop!$H:$H,Prod_Prop!$G:$G=$U222,Prod_Prop!$E:$E=V$1)),""""))"),"")</f>
        <v/>
      </c>
      <c r="W222" s="4" t="str">
        <f>IF(V222="","",SUMIFS(Prod_Prop!$J:$J,Prod_Prop!$B:$B,$Q222,Prod_Prop!$H:$H,V222,Prod_Prop!$I:$I,W$1)*IF(V222="Peso",$R222,1))</f>
        <v/>
      </c>
      <c r="X222" s="4" t="str">
        <f>IF(V222="","",SUMIFS(Prod_Prop!$J:$J,Prod_Prop!$B:$B,$Q222,Prod_Prop!$H:$H,V222,Prod_Prop!$I:$I,X$1)*IF(V222="Peso",$R222,1))</f>
        <v/>
      </c>
      <c r="Y222" s="4" t="str">
        <f>IFERROR(__xludf.DUMMYFUNCTION("IF(OR($U222="""",COUNTIF($I:$I,IFERROR(unique(filter(Prod_Prop!$H:$H,Prod_Prop!$G:$G=$U222,Prod_Prop!$E:$E=Y$1)),""Check""))=0),"""",IFERROR(unique(filter(Prod_Prop!$H:$H,Prod_Prop!$G:$G=$U222,Prod_Prop!$E:$E=Y$1)),""""))"),"")</f>
        <v/>
      </c>
      <c r="Z222" s="4" t="str">
        <f>IF(Y222="","",SUMIFS(Prod_Prop!$J:$J,Prod_Prop!$B:$B,$Q222,Prod_Prop!$H:$H,Y222,Prod_Prop!$I:$I,Z$1)*IF(Y222="Peso",$R222,1))</f>
        <v/>
      </c>
      <c r="AA222" s="4" t="str">
        <f>IF(Y222="","",SUMIFS(Prod_Prop!$J:$J,Prod_Prop!$B:$B,$Q222,Prod_Prop!$H:$H,Y222,Prod_Prop!$I:$I,AA$1)*IF(Y222="Peso",$R222,1))</f>
        <v/>
      </c>
      <c r="AB222" s="4" t="str">
        <f>IFERROR(__xludf.DUMMYFUNCTION("IF(OR($U222="""",COUNTIF($I:$I,IFERROR(unique(filter(Prod_Prop!$H:$H,Prod_Prop!$G:$G=$U222,Prod_Prop!$E:$E=AB$1)),""Check""))=0),"""",IFERROR(unique(filter(Prod_Prop!$H:$H,Prod_Prop!$G:$G=$U222,Prod_Prop!$E:$E=AB$1)),""""))"),"")</f>
        <v/>
      </c>
      <c r="AC222" s="4" t="str">
        <f>IF(AB222="","",SUMIFS(Prod_Prop!$J:$J,Prod_Prop!$B:$B,$Q222,Prod_Prop!$H:$H,AB222,Prod_Prop!$I:$I,AC$1)*IF(AB222="Peso",$R222,1))</f>
        <v/>
      </c>
      <c r="AD222" s="4" t="str">
        <f>IF(AB222="","",SUMIFS(Prod_Prop!$J:$J,Prod_Prop!$B:$B,$Q222,Prod_Prop!$H:$H,AB222,Prod_Prop!$I:$I,AD$1)*IF(AB222="Peso",$R222,1))</f>
        <v/>
      </c>
    </row>
    <row r="223">
      <c r="A223" s="4" t="str">
        <f t="array" ref="A223">IF(COUNTIF(A$1:A222,Cotizador!F$2)=maxifs(Familias!E:E,Familias!D:D,Cotizador!F$2),IF(COUNTIF(A$1:A222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3" s="4" t="str">
        <f t="shared" si="1"/>
        <v/>
      </c>
      <c r="C223" s="4" t="str">
        <f t="array" ref="C223">IF(B223="","",IF(A223=XLOOKUP(A$2,Implementos!B:B,Implementos!C:C,"",0,1),B223+maxifs(B$1:B222,A$1:A222,A$2),B223))</f>
        <v/>
      </c>
      <c r="D223" s="4" t="str">
        <f>IF(B223="","", COUNTIFS(Productos!F:F,A223,Productos!H:H,B223)+IF(F223="SI",0,1))</f>
        <v/>
      </c>
      <c r="E223" s="4" t="str">
        <f>IFERROR(__xludf.DUMMYFUNCTION("IF($B223="""","""",INDEX(filter(Familias!F:F,Familias!$D:$D=$A223,Familias!$E:$E=$B223),1))"),"")</f>
        <v/>
      </c>
      <c r="F223" s="4" t="str">
        <f>IFERROR(__xludf.DUMMYFUNCTION("IF($B223="""","""",INDEX(filter(Familias!G:G,Familias!$D:$D=$A223,Familias!$E:$E=$B223),1))"),"")</f>
        <v/>
      </c>
      <c r="G223" s="4" t="str">
        <f t="array" ref="G223">IF(C223=1,XLOOKUP(C223,Cotizador!D:D,Cotizador!E:E,"",0,1),"")</f>
        <v/>
      </c>
      <c r="I223" s="4"/>
      <c r="J223" s="8" t="str">
        <f>IF(I223="","",SUMIF(Cotizador!I$1:V$1,I223,Cotizador!I$2:V$2))</f>
        <v/>
      </c>
      <c r="L223" s="4" t="str">
        <f t="array" ref="L223">IF(COUNTIF(L$1:L222,A$2)=SUMIF(A:A,A$2,D:D),IF(COUNTIF(L$1:L222,XLOOKUP(A$2,Implementos!B:B,Implementos!C:C,"",0,1))=SUMIF(A:A,XLOOKUP(A$2,Implementos!B:B,Implementos!C:C,"",0,1),D:D),"",XLOOKUP(A$2,Implementos!B:B,Implementos!C:C,"",0,1)),A$2)</f>
        <v/>
      </c>
      <c r="M223" s="4" t="str">
        <f t="shared" si="2"/>
        <v/>
      </c>
      <c r="N223" s="4" t="str">
        <f t="shared" si="3"/>
        <v/>
      </c>
      <c r="O223" s="4" t="str">
        <f t="shared" si="4"/>
        <v/>
      </c>
      <c r="P223" s="4" t="str">
        <f t="shared" si="5"/>
        <v/>
      </c>
      <c r="Q223" s="4" t="str">
        <f>IF(U223="","",SUMIF(Productos!E:E,U223,Productos!A:A))</f>
        <v/>
      </c>
      <c r="R223" s="4" t="str">
        <f t="array" ref="R223">IF(L223="","", max(1,SUMIF(I:I,XLOOKUP(U223,Productos!E:E,Productos!G:G,"",0,1),J:J)))</f>
        <v/>
      </c>
      <c r="S223" s="4" t="str">
        <f>IF(Q223="","",IF(SUMIFS(Compat_Vetado!D:D,Compat_Vetado!B:B,SUM(G:G),Compat_Vetado!C:C,Q223)=1,"SI",IF(OR(SUMIF(Cotizador!E:E,Q223,Cotizador!G:G)&gt;0,SUMIFS(Compat_Vetado!D:D,Compat_Vetado!B:B,SUM(G:G),Compat_Vetado!C:C,Q223)=-1),"NO","")))</f>
        <v/>
      </c>
      <c r="T223" s="4" t="str">
        <f t="shared" si="6"/>
        <v/>
      </c>
      <c r="U223" s="4" t="str">
        <f>IFERROR(__xludf.DUMMYFUNCTION("IF(P223="""","""",IFERROR(INDEX(filter(Productos!E:E,Productos!F:F=L223,Productos!H:H=N223),P223),IF(M223=SUM(D:D),""Finalizar"",""-"")))"),"")</f>
        <v/>
      </c>
      <c r="V223" s="4" t="str">
        <f>IFERROR(__xludf.DUMMYFUNCTION("IF(OR($U223="""",COUNTIF($I:$I,IFERROR(unique(filter(Prod_Prop!$H:$H,Prod_Prop!$G:$G=$U223,Prod_Prop!$E:$E=V$1)),""Check""))=0),"""",IFERROR(unique(filter(Prod_Prop!$H:$H,Prod_Prop!$G:$G=$U223,Prod_Prop!$E:$E=V$1)),""""))"),"")</f>
        <v/>
      </c>
      <c r="W223" s="4" t="str">
        <f>IF(V223="","",SUMIFS(Prod_Prop!$J:$J,Prod_Prop!$B:$B,$Q223,Prod_Prop!$H:$H,V223,Prod_Prop!$I:$I,W$1)*IF(V223="Peso",$R223,1))</f>
        <v/>
      </c>
      <c r="X223" s="4" t="str">
        <f>IF(V223="","",SUMIFS(Prod_Prop!$J:$J,Prod_Prop!$B:$B,$Q223,Prod_Prop!$H:$H,V223,Prod_Prop!$I:$I,X$1)*IF(V223="Peso",$R223,1))</f>
        <v/>
      </c>
      <c r="Y223" s="4" t="str">
        <f>IFERROR(__xludf.DUMMYFUNCTION("IF(OR($U223="""",COUNTIF($I:$I,IFERROR(unique(filter(Prod_Prop!$H:$H,Prod_Prop!$G:$G=$U223,Prod_Prop!$E:$E=Y$1)),""Check""))=0),"""",IFERROR(unique(filter(Prod_Prop!$H:$H,Prod_Prop!$G:$G=$U223,Prod_Prop!$E:$E=Y$1)),""""))"),"")</f>
        <v/>
      </c>
      <c r="Z223" s="4" t="str">
        <f>IF(Y223="","",SUMIFS(Prod_Prop!$J:$J,Prod_Prop!$B:$B,$Q223,Prod_Prop!$H:$H,Y223,Prod_Prop!$I:$I,Z$1)*IF(Y223="Peso",$R223,1))</f>
        <v/>
      </c>
      <c r="AA223" s="4" t="str">
        <f>IF(Y223="","",SUMIFS(Prod_Prop!$J:$J,Prod_Prop!$B:$B,$Q223,Prod_Prop!$H:$H,Y223,Prod_Prop!$I:$I,AA$1)*IF(Y223="Peso",$R223,1))</f>
        <v/>
      </c>
      <c r="AB223" s="4" t="str">
        <f>IFERROR(__xludf.DUMMYFUNCTION("IF(OR($U223="""",COUNTIF($I:$I,IFERROR(unique(filter(Prod_Prop!$H:$H,Prod_Prop!$G:$G=$U223,Prod_Prop!$E:$E=AB$1)),""Check""))=0),"""",IFERROR(unique(filter(Prod_Prop!$H:$H,Prod_Prop!$G:$G=$U223,Prod_Prop!$E:$E=AB$1)),""""))"),"")</f>
        <v/>
      </c>
      <c r="AC223" s="4" t="str">
        <f>IF(AB223="","",SUMIFS(Prod_Prop!$J:$J,Prod_Prop!$B:$B,$Q223,Prod_Prop!$H:$H,AB223,Prod_Prop!$I:$I,AC$1)*IF(AB223="Peso",$R223,1))</f>
        <v/>
      </c>
      <c r="AD223" s="4" t="str">
        <f>IF(AB223="","",SUMIFS(Prod_Prop!$J:$J,Prod_Prop!$B:$B,$Q223,Prod_Prop!$H:$H,AB223,Prod_Prop!$I:$I,AD$1)*IF(AB223="Peso",$R223,1))</f>
        <v/>
      </c>
    </row>
    <row r="224">
      <c r="A224" s="4" t="str">
        <f t="array" ref="A224">IF(COUNTIF(A$1:A223,Cotizador!F$2)=maxifs(Familias!E:E,Familias!D:D,Cotizador!F$2),IF(COUNTIF(A$1:A223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4" s="4" t="str">
        <f t="shared" si="1"/>
        <v/>
      </c>
      <c r="C224" s="4" t="str">
        <f t="array" ref="C224">IF(B224="","",IF(A224=XLOOKUP(A$2,Implementos!B:B,Implementos!C:C,"",0,1),B224+maxifs(B$1:B223,A$1:A223,A$2),B224))</f>
        <v/>
      </c>
      <c r="D224" s="4" t="str">
        <f>IF(B224="","", COUNTIFS(Productos!F:F,A224,Productos!H:H,B224)+IF(F224="SI",0,1))</f>
        <v/>
      </c>
      <c r="E224" s="4" t="str">
        <f>IFERROR(__xludf.DUMMYFUNCTION("IF($B224="""","""",INDEX(filter(Familias!F:F,Familias!$D:$D=$A224,Familias!$E:$E=$B224),1))"),"")</f>
        <v/>
      </c>
      <c r="F224" s="4" t="str">
        <f>IFERROR(__xludf.DUMMYFUNCTION("IF($B224="""","""",INDEX(filter(Familias!G:G,Familias!$D:$D=$A224,Familias!$E:$E=$B224),1))"),"")</f>
        <v/>
      </c>
      <c r="G224" s="4" t="str">
        <f t="array" ref="G224">IF(C224=1,XLOOKUP(C224,Cotizador!D:D,Cotizador!E:E,"",0,1),"")</f>
        <v/>
      </c>
      <c r="I224" s="4"/>
      <c r="J224" s="8" t="str">
        <f>IF(I224="","",SUMIF(Cotizador!I$1:V$1,I224,Cotizador!I$2:V$2))</f>
        <v/>
      </c>
      <c r="L224" s="4" t="str">
        <f t="array" ref="L224">IF(COUNTIF(L$1:L223,A$2)=SUMIF(A:A,A$2,D:D),IF(COUNTIF(L$1:L223,XLOOKUP(A$2,Implementos!B:B,Implementos!C:C,"",0,1))=SUMIF(A:A,XLOOKUP(A$2,Implementos!B:B,Implementos!C:C,"",0,1),D:D),"",XLOOKUP(A$2,Implementos!B:B,Implementos!C:C,"",0,1)),A$2)</f>
        <v/>
      </c>
      <c r="M224" s="4" t="str">
        <f t="shared" si="2"/>
        <v/>
      </c>
      <c r="N224" s="4" t="str">
        <f t="shared" si="3"/>
        <v/>
      </c>
      <c r="O224" s="4" t="str">
        <f t="shared" si="4"/>
        <v/>
      </c>
      <c r="P224" s="4" t="str">
        <f t="shared" si="5"/>
        <v/>
      </c>
      <c r="Q224" s="4" t="str">
        <f>IF(U224="","",SUMIF(Productos!E:E,U224,Productos!A:A))</f>
        <v/>
      </c>
      <c r="R224" s="4" t="str">
        <f t="array" ref="R224">IF(L224="","", max(1,SUMIF(I:I,XLOOKUP(U224,Productos!E:E,Productos!G:G,"",0,1),J:J)))</f>
        <v/>
      </c>
      <c r="S224" s="4" t="str">
        <f>IF(Q224="","",IF(SUMIFS(Compat_Vetado!D:D,Compat_Vetado!B:B,SUM(G:G),Compat_Vetado!C:C,Q224)=1,"SI",IF(OR(SUMIF(Cotizador!E:E,Q224,Cotizador!G:G)&gt;0,SUMIFS(Compat_Vetado!D:D,Compat_Vetado!B:B,SUM(G:G),Compat_Vetado!C:C,Q224)=-1),"NO","")))</f>
        <v/>
      </c>
      <c r="T224" s="4" t="str">
        <f t="shared" si="6"/>
        <v/>
      </c>
      <c r="U224" s="4" t="str">
        <f>IFERROR(__xludf.DUMMYFUNCTION("IF(P224="""","""",IFERROR(INDEX(filter(Productos!E:E,Productos!F:F=L224,Productos!H:H=N224),P224),IF(M224=SUM(D:D),""Finalizar"",""-"")))"),"")</f>
        <v/>
      </c>
      <c r="V224" s="4" t="str">
        <f>IFERROR(__xludf.DUMMYFUNCTION("IF(OR($U224="""",COUNTIF($I:$I,IFERROR(unique(filter(Prod_Prop!$H:$H,Prod_Prop!$G:$G=$U224,Prod_Prop!$E:$E=V$1)),""Check""))=0),"""",IFERROR(unique(filter(Prod_Prop!$H:$H,Prod_Prop!$G:$G=$U224,Prod_Prop!$E:$E=V$1)),""""))"),"")</f>
        <v/>
      </c>
      <c r="W224" s="4" t="str">
        <f>IF(V224="","",SUMIFS(Prod_Prop!$J:$J,Prod_Prop!$B:$B,$Q224,Prod_Prop!$H:$H,V224,Prod_Prop!$I:$I,W$1)*IF(V224="Peso",$R224,1))</f>
        <v/>
      </c>
      <c r="X224" s="4" t="str">
        <f>IF(V224="","",SUMIFS(Prod_Prop!$J:$J,Prod_Prop!$B:$B,$Q224,Prod_Prop!$H:$H,V224,Prod_Prop!$I:$I,X$1)*IF(V224="Peso",$R224,1))</f>
        <v/>
      </c>
      <c r="Y224" s="4" t="str">
        <f>IFERROR(__xludf.DUMMYFUNCTION("IF(OR($U224="""",COUNTIF($I:$I,IFERROR(unique(filter(Prod_Prop!$H:$H,Prod_Prop!$G:$G=$U224,Prod_Prop!$E:$E=Y$1)),""Check""))=0),"""",IFERROR(unique(filter(Prod_Prop!$H:$H,Prod_Prop!$G:$G=$U224,Prod_Prop!$E:$E=Y$1)),""""))"),"")</f>
        <v/>
      </c>
      <c r="Z224" s="4" t="str">
        <f>IF(Y224="","",SUMIFS(Prod_Prop!$J:$J,Prod_Prop!$B:$B,$Q224,Prod_Prop!$H:$H,Y224,Prod_Prop!$I:$I,Z$1)*IF(Y224="Peso",$R224,1))</f>
        <v/>
      </c>
      <c r="AA224" s="4" t="str">
        <f>IF(Y224="","",SUMIFS(Prod_Prop!$J:$J,Prod_Prop!$B:$B,$Q224,Prod_Prop!$H:$H,Y224,Prod_Prop!$I:$I,AA$1)*IF(Y224="Peso",$R224,1))</f>
        <v/>
      </c>
      <c r="AB224" s="4" t="str">
        <f>IFERROR(__xludf.DUMMYFUNCTION("IF(OR($U224="""",COUNTIF($I:$I,IFERROR(unique(filter(Prod_Prop!$H:$H,Prod_Prop!$G:$G=$U224,Prod_Prop!$E:$E=AB$1)),""Check""))=0),"""",IFERROR(unique(filter(Prod_Prop!$H:$H,Prod_Prop!$G:$G=$U224,Prod_Prop!$E:$E=AB$1)),""""))"),"")</f>
        <v/>
      </c>
      <c r="AC224" s="4" t="str">
        <f>IF(AB224="","",SUMIFS(Prod_Prop!$J:$J,Prod_Prop!$B:$B,$Q224,Prod_Prop!$H:$H,AB224,Prod_Prop!$I:$I,AC$1)*IF(AB224="Peso",$R224,1))</f>
        <v/>
      </c>
      <c r="AD224" s="4" t="str">
        <f>IF(AB224="","",SUMIFS(Prod_Prop!$J:$J,Prod_Prop!$B:$B,$Q224,Prod_Prop!$H:$H,AB224,Prod_Prop!$I:$I,AD$1)*IF(AB224="Peso",$R224,1))</f>
        <v/>
      </c>
    </row>
    <row r="225">
      <c r="A225" s="4" t="str">
        <f t="array" ref="A225">IF(COUNTIF(A$1:A224,Cotizador!F$2)=maxifs(Familias!E:E,Familias!D:D,Cotizador!F$2),IF(COUNTIF(A$1:A224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5" s="4" t="str">
        <f t="shared" si="1"/>
        <v/>
      </c>
      <c r="C225" s="4" t="str">
        <f t="array" ref="C225">IF(B225="","",IF(A225=XLOOKUP(A$2,Implementos!B:B,Implementos!C:C,"",0,1),B225+maxifs(B$1:B224,A$1:A224,A$2),B225))</f>
        <v/>
      </c>
      <c r="D225" s="4" t="str">
        <f>IF(B225="","", COUNTIFS(Productos!F:F,A225,Productos!H:H,B225)+IF(F225="SI",0,1))</f>
        <v/>
      </c>
      <c r="E225" s="4" t="str">
        <f>IFERROR(__xludf.DUMMYFUNCTION("IF($B225="""","""",INDEX(filter(Familias!F:F,Familias!$D:$D=$A225,Familias!$E:$E=$B225),1))"),"")</f>
        <v/>
      </c>
      <c r="F225" s="4" t="str">
        <f>IFERROR(__xludf.DUMMYFUNCTION("IF($B225="""","""",INDEX(filter(Familias!G:G,Familias!$D:$D=$A225,Familias!$E:$E=$B225),1))"),"")</f>
        <v/>
      </c>
      <c r="G225" s="4" t="str">
        <f t="array" ref="G225">IF(C225=1,XLOOKUP(C225,Cotizador!D:D,Cotizador!E:E,"",0,1),"")</f>
        <v/>
      </c>
      <c r="I225" s="4"/>
      <c r="J225" s="8" t="str">
        <f>IF(I225="","",SUMIF(Cotizador!I$1:V$1,I225,Cotizador!I$2:V$2))</f>
        <v/>
      </c>
      <c r="L225" s="4" t="str">
        <f t="array" ref="L225">IF(COUNTIF(L$1:L224,A$2)=SUMIF(A:A,A$2,D:D),IF(COUNTIF(L$1:L224,XLOOKUP(A$2,Implementos!B:B,Implementos!C:C,"",0,1))=SUMIF(A:A,XLOOKUP(A$2,Implementos!B:B,Implementos!C:C,"",0,1),D:D),"",XLOOKUP(A$2,Implementos!B:B,Implementos!C:C,"",0,1)),A$2)</f>
        <v/>
      </c>
      <c r="M225" s="4" t="str">
        <f t="shared" si="2"/>
        <v/>
      </c>
      <c r="N225" s="4" t="str">
        <f t="shared" si="3"/>
        <v/>
      </c>
      <c r="O225" s="4" t="str">
        <f t="shared" si="4"/>
        <v/>
      </c>
      <c r="P225" s="4" t="str">
        <f t="shared" si="5"/>
        <v/>
      </c>
      <c r="Q225" s="4" t="str">
        <f>IF(U225="","",SUMIF(Productos!E:E,U225,Productos!A:A))</f>
        <v/>
      </c>
      <c r="R225" s="4" t="str">
        <f t="array" ref="R225">IF(L225="","", max(1,SUMIF(I:I,XLOOKUP(U225,Productos!E:E,Productos!G:G,"",0,1),J:J)))</f>
        <v/>
      </c>
      <c r="S225" s="4" t="str">
        <f>IF(Q225="","",IF(SUMIFS(Compat_Vetado!D:D,Compat_Vetado!B:B,SUM(G:G),Compat_Vetado!C:C,Q225)=1,"SI",IF(OR(SUMIF(Cotizador!E:E,Q225,Cotizador!G:G)&gt;0,SUMIFS(Compat_Vetado!D:D,Compat_Vetado!B:B,SUM(G:G),Compat_Vetado!C:C,Q225)=-1),"NO","")))</f>
        <v/>
      </c>
      <c r="T225" s="4" t="str">
        <f t="shared" si="6"/>
        <v/>
      </c>
      <c r="U225" s="4" t="str">
        <f>IFERROR(__xludf.DUMMYFUNCTION("IF(P225="""","""",IFERROR(INDEX(filter(Productos!E:E,Productos!F:F=L225,Productos!H:H=N225),P225),IF(M225=SUM(D:D),""Finalizar"",""-"")))"),"")</f>
        <v/>
      </c>
      <c r="V225" s="4" t="str">
        <f>IFERROR(__xludf.DUMMYFUNCTION("IF(OR($U225="""",COUNTIF($I:$I,IFERROR(unique(filter(Prod_Prop!$H:$H,Prod_Prop!$G:$G=$U225,Prod_Prop!$E:$E=V$1)),""Check""))=0),"""",IFERROR(unique(filter(Prod_Prop!$H:$H,Prod_Prop!$G:$G=$U225,Prod_Prop!$E:$E=V$1)),""""))"),"")</f>
        <v/>
      </c>
      <c r="W225" s="4" t="str">
        <f>IF(V225="","",SUMIFS(Prod_Prop!$J:$J,Prod_Prop!$B:$B,$Q225,Prod_Prop!$H:$H,V225,Prod_Prop!$I:$I,W$1)*IF(V225="Peso",$R225,1))</f>
        <v/>
      </c>
      <c r="X225" s="4" t="str">
        <f>IF(V225="","",SUMIFS(Prod_Prop!$J:$J,Prod_Prop!$B:$B,$Q225,Prod_Prop!$H:$H,V225,Prod_Prop!$I:$I,X$1)*IF(V225="Peso",$R225,1))</f>
        <v/>
      </c>
      <c r="Y225" s="4" t="str">
        <f>IFERROR(__xludf.DUMMYFUNCTION("IF(OR($U225="""",COUNTIF($I:$I,IFERROR(unique(filter(Prod_Prop!$H:$H,Prod_Prop!$G:$G=$U225,Prod_Prop!$E:$E=Y$1)),""Check""))=0),"""",IFERROR(unique(filter(Prod_Prop!$H:$H,Prod_Prop!$G:$G=$U225,Prod_Prop!$E:$E=Y$1)),""""))"),"")</f>
        <v/>
      </c>
      <c r="Z225" s="4" t="str">
        <f>IF(Y225="","",SUMIFS(Prod_Prop!$J:$J,Prod_Prop!$B:$B,$Q225,Prod_Prop!$H:$H,Y225,Prod_Prop!$I:$I,Z$1)*IF(Y225="Peso",$R225,1))</f>
        <v/>
      </c>
      <c r="AA225" s="4" t="str">
        <f>IF(Y225="","",SUMIFS(Prod_Prop!$J:$J,Prod_Prop!$B:$B,$Q225,Prod_Prop!$H:$H,Y225,Prod_Prop!$I:$I,AA$1)*IF(Y225="Peso",$R225,1))</f>
        <v/>
      </c>
      <c r="AB225" s="4" t="str">
        <f>IFERROR(__xludf.DUMMYFUNCTION("IF(OR($U225="""",COUNTIF($I:$I,IFERROR(unique(filter(Prod_Prop!$H:$H,Prod_Prop!$G:$G=$U225,Prod_Prop!$E:$E=AB$1)),""Check""))=0),"""",IFERROR(unique(filter(Prod_Prop!$H:$H,Prod_Prop!$G:$G=$U225,Prod_Prop!$E:$E=AB$1)),""""))"),"")</f>
        <v/>
      </c>
      <c r="AC225" s="4" t="str">
        <f>IF(AB225="","",SUMIFS(Prod_Prop!$J:$J,Prod_Prop!$B:$B,$Q225,Prod_Prop!$H:$H,AB225,Prod_Prop!$I:$I,AC$1)*IF(AB225="Peso",$R225,1))</f>
        <v/>
      </c>
      <c r="AD225" s="4" t="str">
        <f>IF(AB225="","",SUMIFS(Prod_Prop!$J:$J,Prod_Prop!$B:$B,$Q225,Prod_Prop!$H:$H,AB225,Prod_Prop!$I:$I,AD$1)*IF(AB225="Peso",$R225,1))</f>
        <v/>
      </c>
    </row>
    <row r="226">
      <c r="A226" s="4" t="str">
        <f t="array" ref="A226">IF(COUNTIF(A$1:A225,Cotizador!F$2)=maxifs(Familias!E:E,Familias!D:D,Cotizador!F$2),IF(COUNTIF(A$1:A225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6" s="4" t="str">
        <f t="shared" si="1"/>
        <v/>
      </c>
      <c r="C226" s="4" t="str">
        <f t="array" ref="C226">IF(B226="","",IF(A226=XLOOKUP(A$2,Implementos!B:B,Implementos!C:C,"",0,1),B226+maxifs(B$1:B225,A$1:A225,A$2),B226))</f>
        <v/>
      </c>
      <c r="D226" s="4" t="str">
        <f>IF(B226="","", COUNTIFS(Productos!F:F,A226,Productos!H:H,B226)+IF(F226="SI",0,1))</f>
        <v/>
      </c>
      <c r="E226" s="4" t="str">
        <f>IFERROR(__xludf.DUMMYFUNCTION("IF($B226="""","""",INDEX(filter(Familias!F:F,Familias!$D:$D=$A226,Familias!$E:$E=$B226),1))"),"")</f>
        <v/>
      </c>
      <c r="F226" s="4" t="str">
        <f>IFERROR(__xludf.DUMMYFUNCTION("IF($B226="""","""",INDEX(filter(Familias!G:G,Familias!$D:$D=$A226,Familias!$E:$E=$B226),1))"),"")</f>
        <v/>
      </c>
      <c r="G226" s="4" t="str">
        <f t="array" ref="G226">IF(C226=1,XLOOKUP(C226,Cotizador!D:D,Cotizador!E:E,"",0,1),"")</f>
        <v/>
      </c>
      <c r="I226" s="4"/>
      <c r="J226" s="8" t="str">
        <f>IF(I226="","",SUMIF(Cotizador!I$1:V$1,I226,Cotizador!I$2:V$2))</f>
        <v/>
      </c>
      <c r="L226" s="4" t="str">
        <f t="array" ref="L226">IF(COUNTIF(L$1:L225,A$2)=SUMIF(A:A,A$2,D:D),IF(COUNTIF(L$1:L225,XLOOKUP(A$2,Implementos!B:B,Implementos!C:C,"",0,1))=SUMIF(A:A,XLOOKUP(A$2,Implementos!B:B,Implementos!C:C,"",0,1),D:D),"",XLOOKUP(A$2,Implementos!B:B,Implementos!C:C,"",0,1)),A$2)</f>
        <v/>
      </c>
      <c r="M226" s="4" t="str">
        <f t="shared" si="2"/>
        <v/>
      </c>
      <c r="N226" s="4" t="str">
        <f t="shared" si="3"/>
        <v/>
      </c>
      <c r="O226" s="4" t="str">
        <f t="shared" si="4"/>
        <v/>
      </c>
      <c r="P226" s="4" t="str">
        <f t="shared" si="5"/>
        <v/>
      </c>
      <c r="Q226" s="4" t="str">
        <f>IF(U226="","",SUMIF(Productos!E:E,U226,Productos!A:A))</f>
        <v/>
      </c>
      <c r="R226" s="4" t="str">
        <f t="array" ref="R226">IF(L226="","", max(1,SUMIF(I:I,XLOOKUP(U226,Productos!E:E,Productos!G:G,"",0,1),J:J)))</f>
        <v/>
      </c>
      <c r="S226" s="4" t="str">
        <f>IF(Q226="","",IF(SUMIFS(Compat_Vetado!D:D,Compat_Vetado!B:B,SUM(G:G),Compat_Vetado!C:C,Q226)=1,"SI",IF(OR(SUMIF(Cotizador!E:E,Q226,Cotizador!G:G)&gt;0,SUMIFS(Compat_Vetado!D:D,Compat_Vetado!B:B,SUM(G:G),Compat_Vetado!C:C,Q226)=-1),"NO","")))</f>
        <v/>
      </c>
      <c r="T226" s="4" t="str">
        <f t="shared" si="6"/>
        <v/>
      </c>
      <c r="U226" s="4" t="str">
        <f>IFERROR(__xludf.DUMMYFUNCTION("IF(P226="""","""",IFERROR(INDEX(filter(Productos!E:E,Productos!F:F=L226,Productos!H:H=N226),P226),IF(M226=SUM(D:D),""Finalizar"",""-"")))"),"")</f>
        <v/>
      </c>
      <c r="V226" s="4" t="str">
        <f>IFERROR(__xludf.DUMMYFUNCTION("IF(OR($U226="""",COUNTIF($I:$I,IFERROR(unique(filter(Prod_Prop!$H:$H,Prod_Prop!$G:$G=$U226,Prod_Prop!$E:$E=V$1)),""Check""))=0),"""",IFERROR(unique(filter(Prod_Prop!$H:$H,Prod_Prop!$G:$G=$U226,Prod_Prop!$E:$E=V$1)),""""))"),"")</f>
        <v/>
      </c>
      <c r="W226" s="4" t="str">
        <f>IF(V226="","",SUMIFS(Prod_Prop!$J:$J,Prod_Prop!$B:$B,$Q226,Prod_Prop!$H:$H,V226,Prod_Prop!$I:$I,W$1)*IF(V226="Peso",$R226,1))</f>
        <v/>
      </c>
      <c r="X226" s="4" t="str">
        <f>IF(V226="","",SUMIFS(Prod_Prop!$J:$J,Prod_Prop!$B:$B,$Q226,Prod_Prop!$H:$H,V226,Prod_Prop!$I:$I,X$1)*IF(V226="Peso",$R226,1))</f>
        <v/>
      </c>
      <c r="Y226" s="4" t="str">
        <f>IFERROR(__xludf.DUMMYFUNCTION("IF(OR($U226="""",COUNTIF($I:$I,IFERROR(unique(filter(Prod_Prop!$H:$H,Prod_Prop!$G:$G=$U226,Prod_Prop!$E:$E=Y$1)),""Check""))=0),"""",IFERROR(unique(filter(Prod_Prop!$H:$H,Prod_Prop!$G:$G=$U226,Prod_Prop!$E:$E=Y$1)),""""))"),"")</f>
        <v/>
      </c>
      <c r="Z226" s="4" t="str">
        <f>IF(Y226="","",SUMIFS(Prod_Prop!$J:$J,Prod_Prop!$B:$B,$Q226,Prod_Prop!$H:$H,Y226,Prod_Prop!$I:$I,Z$1)*IF(Y226="Peso",$R226,1))</f>
        <v/>
      </c>
      <c r="AA226" s="4" t="str">
        <f>IF(Y226="","",SUMIFS(Prod_Prop!$J:$J,Prod_Prop!$B:$B,$Q226,Prod_Prop!$H:$H,Y226,Prod_Prop!$I:$I,AA$1)*IF(Y226="Peso",$R226,1))</f>
        <v/>
      </c>
      <c r="AB226" s="4" t="str">
        <f>IFERROR(__xludf.DUMMYFUNCTION("IF(OR($U226="""",COUNTIF($I:$I,IFERROR(unique(filter(Prod_Prop!$H:$H,Prod_Prop!$G:$G=$U226,Prod_Prop!$E:$E=AB$1)),""Check""))=0),"""",IFERROR(unique(filter(Prod_Prop!$H:$H,Prod_Prop!$G:$G=$U226,Prod_Prop!$E:$E=AB$1)),""""))"),"")</f>
        <v/>
      </c>
      <c r="AC226" s="4" t="str">
        <f>IF(AB226="","",SUMIFS(Prod_Prop!$J:$J,Prod_Prop!$B:$B,$Q226,Prod_Prop!$H:$H,AB226,Prod_Prop!$I:$I,AC$1)*IF(AB226="Peso",$R226,1))</f>
        <v/>
      </c>
      <c r="AD226" s="4" t="str">
        <f>IF(AB226="","",SUMIFS(Prod_Prop!$J:$J,Prod_Prop!$B:$B,$Q226,Prod_Prop!$H:$H,AB226,Prod_Prop!$I:$I,AD$1)*IF(AB226="Peso",$R226,1))</f>
        <v/>
      </c>
    </row>
    <row r="227">
      <c r="A227" s="4" t="str">
        <f t="array" ref="A227">IF(COUNTIF(A$1:A226,Cotizador!F$2)=maxifs(Familias!E:E,Familias!D:D,Cotizador!F$2),IF(COUNTIF(A$1:A226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7" s="4" t="str">
        <f t="shared" si="1"/>
        <v/>
      </c>
      <c r="C227" s="4" t="str">
        <f t="array" ref="C227">IF(B227="","",IF(A227=XLOOKUP(A$2,Implementos!B:B,Implementos!C:C,"",0,1),B227+maxifs(B$1:B226,A$1:A226,A$2),B227))</f>
        <v/>
      </c>
      <c r="D227" s="4" t="str">
        <f>IF(B227="","", COUNTIFS(Productos!F:F,A227,Productos!H:H,B227)+IF(F227="SI",0,1))</f>
        <v/>
      </c>
      <c r="E227" s="4" t="str">
        <f>IFERROR(__xludf.DUMMYFUNCTION("IF($B227="""","""",INDEX(filter(Familias!F:F,Familias!$D:$D=$A227,Familias!$E:$E=$B227),1))"),"")</f>
        <v/>
      </c>
      <c r="F227" s="4" t="str">
        <f>IFERROR(__xludf.DUMMYFUNCTION("IF($B227="""","""",INDEX(filter(Familias!G:G,Familias!$D:$D=$A227,Familias!$E:$E=$B227),1))"),"")</f>
        <v/>
      </c>
      <c r="G227" s="4" t="str">
        <f t="array" ref="G227">IF(C227=1,XLOOKUP(C227,Cotizador!D:D,Cotizador!E:E,"",0,1),"")</f>
        <v/>
      </c>
      <c r="I227" s="4"/>
      <c r="J227" s="8" t="str">
        <f>IF(I227="","",SUMIF(Cotizador!I$1:V$1,I227,Cotizador!I$2:V$2))</f>
        <v/>
      </c>
      <c r="L227" s="4" t="str">
        <f t="array" ref="L227">IF(COUNTIF(L$1:L226,A$2)=SUMIF(A:A,A$2,D:D),IF(COUNTIF(L$1:L226,XLOOKUP(A$2,Implementos!B:B,Implementos!C:C,"",0,1))=SUMIF(A:A,XLOOKUP(A$2,Implementos!B:B,Implementos!C:C,"",0,1),D:D),"",XLOOKUP(A$2,Implementos!B:B,Implementos!C:C,"",0,1)),A$2)</f>
        <v/>
      </c>
      <c r="M227" s="4" t="str">
        <f t="shared" si="2"/>
        <v/>
      </c>
      <c r="N227" s="4" t="str">
        <f t="shared" si="3"/>
        <v/>
      </c>
      <c r="O227" s="4" t="str">
        <f t="shared" si="4"/>
        <v/>
      </c>
      <c r="P227" s="4" t="str">
        <f t="shared" si="5"/>
        <v/>
      </c>
      <c r="Q227" s="4" t="str">
        <f>IF(U227="","",SUMIF(Productos!E:E,U227,Productos!A:A))</f>
        <v/>
      </c>
      <c r="R227" s="4" t="str">
        <f t="array" ref="R227">IF(L227="","", max(1,SUMIF(I:I,XLOOKUP(U227,Productos!E:E,Productos!G:G,"",0,1),J:J)))</f>
        <v/>
      </c>
      <c r="S227" s="4" t="str">
        <f>IF(Q227="","",IF(SUMIFS(Compat_Vetado!D:D,Compat_Vetado!B:B,SUM(G:G),Compat_Vetado!C:C,Q227)=1,"SI",IF(OR(SUMIF(Cotizador!E:E,Q227,Cotizador!G:G)&gt;0,SUMIFS(Compat_Vetado!D:D,Compat_Vetado!B:B,SUM(G:G),Compat_Vetado!C:C,Q227)=-1),"NO","")))</f>
        <v/>
      </c>
      <c r="T227" s="4" t="str">
        <f t="shared" si="6"/>
        <v/>
      </c>
      <c r="U227" s="4" t="str">
        <f>IFERROR(__xludf.DUMMYFUNCTION("IF(P227="""","""",IFERROR(INDEX(filter(Productos!E:E,Productos!F:F=L227,Productos!H:H=N227),P227),IF(M227=SUM(D:D),""Finalizar"",""-"")))"),"")</f>
        <v/>
      </c>
      <c r="V227" s="4" t="str">
        <f>IFERROR(__xludf.DUMMYFUNCTION("IF(OR($U227="""",COUNTIF($I:$I,IFERROR(unique(filter(Prod_Prop!$H:$H,Prod_Prop!$G:$G=$U227,Prod_Prop!$E:$E=V$1)),""Check""))=0),"""",IFERROR(unique(filter(Prod_Prop!$H:$H,Prod_Prop!$G:$G=$U227,Prod_Prop!$E:$E=V$1)),""""))"),"")</f>
        <v/>
      </c>
      <c r="W227" s="4" t="str">
        <f>IF(V227="","",SUMIFS(Prod_Prop!$J:$J,Prod_Prop!$B:$B,$Q227,Prod_Prop!$H:$H,V227,Prod_Prop!$I:$I,W$1)*IF(V227="Peso",$R227,1))</f>
        <v/>
      </c>
      <c r="X227" s="4" t="str">
        <f>IF(V227="","",SUMIFS(Prod_Prop!$J:$J,Prod_Prop!$B:$B,$Q227,Prod_Prop!$H:$H,V227,Prod_Prop!$I:$I,X$1)*IF(V227="Peso",$R227,1))</f>
        <v/>
      </c>
      <c r="Y227" s="4" t="str">
        <f>IFERROR(__xludf.DUMMYFUNCTION("IF(OR($U227="""",COUNTIF($I:$I,IFERROR(unique(filter(Prod_Prop!$H:$H,Prod_Prop!$G:$G=$U227,Prod_Prop!$E:$E=Y$1)),""Check""))=0),"""",IFERROR(unique(filter(Prod_Prop!$H:$H,Prod_Prop!$G:$G=$U227,Prod_Prop!$E:$E=Y$1)),""""))"),"")</f>
        <v/>
      </c>
      <c r="Z227" s="4" t="str">
        <f>IF(Y227="","",SUMIFS(Prod_Prop!$J:$J,Prod_Prop!$B:$B,$Q227,Prod_Prop!$H:$H,Y227,Prod_Prop!$I:$I,Z$1)*IF(Y227="Peso",$R227,1))</f>
        <v/>
      </c>
      <c r="AA227" s="4" t="str">
        <f>IF(Y227="","",SUMIFS(Prod_Prop!$J:$J,Prod_Prop!$B:$B,$Q227,Prod_Prop!$H:$H,Y227,Prod_Prop!$I:$I,AA$1)*IF(Y227="Peso",$R227,1))</f>
        <v/>
      </c>
      <c r="AB227" s="4" t="str">
        <f>IFERROR(__xludf.DUMMYFUNCTION("IF(OR($U227="""",COUNTIF($I:$I,IFERROR(unique(filter(Prod_Prop!$H:$H,Prod_Prop!$G:$G=$U227,Prod_Prop!$E:$E=AB$1)),""Check""))=0),"""",IFERROR(unique(filter(Prod_Prop!$H:$H,Prod_Prop!$G:$G=$U227,Prod_Prop!$E:$E=AB$1)),""""))"),"")</f>
        <v/>
      </c>
      <c r="AC227" s="4" t="str">
        <f>IF(AB227="","",SUMIFS(Prod_Prop!$J:$J,Prod_Prop!$B:$B,$Q227,Prod_Prop!$H:$H,AB227,Prod_Prop!$I:$I,AC$1)*IF(AB227="Peso",$R227,1))</f>
        <v/>
      </c>
      <c r="AD227" s="4" t="str">
        <f>IF(AB227="","",SUMIFS(Prod_Prop!$J:$J,Prod_Prop!$B:$B,$Q227,Prod_Prop!$H:$H,AB227,Prod_Prop!$I:$I,AD$1)*IF(AB227="Peso",$R227,1))</f>
        <v/>
      </c>
    </row>
    <row r="228">
      <c r="A228" s="4" t="str">
        <f t="array" ref="A228">IF(COUNTIF(A$1:A227,Cotizador!F$2)=maxifs(Familias!E:E,Familias!D:D,Cotizador!F$2),IF(COUNTIF(A$1:A227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8" s="4" t="str">
        <f t="shared" si="1"/>
        <v/>
      </c>
      <c r="C228" s="4" t="str">
        <f t="array" ref="C228">IF(B228="","",IF(A228=XLOOKUP(A$2,Implementos!B:B,Implementos!C:C,"",0,1),B228+maxifs(B$1:B227,A$1:A227,A$2),B228))</f>
        <v/>
      </c>
      <c r="D228" s="4" t="str">
        <f>IF(B228="","", COUNTIFS(Productos!F:F,A228,Productos!H:H,B228)+IF(F228="SI",0,1))</f>
        <v/>
      </c>
      <c r="E228" s="4" t="str">
        <f>IFERROR(__xludf.DUMMYFUNCTION("IF($B228="""","""",INDEX(filter(Familias!F:F,Familias!$D:$D=$A228,Familias!$E:$E=$B228),1))"),"")</f>
        <v/>
      </c>
      <c r="F228" s="4" t="str">
        <f>IFERROR(__xludf.DUMMYFUNCTION("IF($B228="""","""",INDEX(filter(Familias!G:G,Familias!$D:$D=$A228,Familias!$E:$E=$B228),1))"),"")</f>
        <v/>
      </c>
      <c r="G228" s="4" t="str">
        <f t="array" ref="G228">IF(C228=1,XLOOKUP(C228,Cotizador!D:D,Cotizador!E:E,"",0,1),"")</f>
        <v/>
      </c>
      <c r="I228" s="4"/>
      <c r="J228" s="8" t="str">
        <f>IF(I228="","",SUMIF(Cotizador!I$1:V$1,I228,Cotizador!I$2:V$2))</f>
        <v/>
      </c>
      <c r="L228" s="4" t="str">
        <f t="array" ref="L228">IF(COUNTIF(L$1:L227,A$2)=SUMIF(A:A,A$2,D:D),IF(COUNTIF(L$1:L227,XLOOKUP(A$2,Implementos!B:B,Implementos!C:C,"",0,1))=SUMIF(A:A,XLOOKUP(A$2,Implementos!B:B,Implementos!C:C,"",0,1),D:D),"",XLOOKUP(A$2,Implementos!B:B,Implementos!C:C,"",0,1)),A$2)</f>
        <v/>
      </c>
      <c r="M228" s="4" t="str">
        <f t="shared" si="2"/>
        <v/>
      </c>
      <c r="N228" s="4" t="str">
        <f t="shared" si="3"/>
        <v/>
      </c>
      <c r="O228" s="4" t="str">
        <f t="shared" si="4"/>
        <v/>
      </c>
      <c r="P228" s="4" t="str">
        <f t="shared" si="5"/>
        <v/>
      </c>
      <c r="Q228" s="4" t="str">
        <f>IF(U228="","",SUMIF(Productos!E:E,U228,Productos!A:A))</f>
        <v/>
      </c>
      <c r="R228" s="4" t="str">
        <f t="array" ref="R228">IF(L228="","", max(1,SUMIF(I:I,XLOOKUP(U228,Productos!E:E,Productos!G:G,"",0,1),J:J)))</f>
        <v/>
      </c>
      <c r="S228" s="4" t="str">
        <f>IF(Q228="","",IF(SUMIFS(Compat_Vetado!D:D,Compat_Vetado!B:B,SUM(G:G),Compat_Vetado!C:C,Q228)=1,"SI",IF(OR(SUMIF(Cotizador!E:E,Q228,Cotizador!G:G)&gt;0,SUMIFS(Compat_Vetado!D:D,Compat_Vetado!B:B,SUM(G:G),Compat_Vetado!C:C,Q228)=-1),"NO","")))</f>
        <v/>
      </c>
      <c r="T228" s="4" t="str">
        <f t="shared" si="6"/>
        <v/>
      </c>
      <c r="U228" s="4" t="str">
        <f>IFERROR(__xludf.DUMMYFUNCTION("IF(P228="""","""",IFERROR(INDEX(filter(Productos!E:E,Productos!F:F=L228,Productos!H:H=N228),P228),IF(M228=SUM(D:D),""Finalizar"",""-"")))"),"")</f>
        <v/>
      </c>
      <c r="V228" s="4" t="str">
        <f>IFERROR(__xludf.DUMMYFUNCTION("IF(OR($U228="""",COUNTIF($I:$I,IFERROR(unique(filter(Prod_Prop!$H:$H,Prod_Prop!$G:$G=$U228,Prod_Prop!$E:$E=V$1)),""Check""))=0),"""",IFERROR(unique(filter(Prod_Prop!$H:$H,Prod_Prop!$G:$G=$U228,Prod_Prop!$E:$E=V$1)),""""))"),"")</f>
        <v/>
      </c>
      <c r="W228" s="4" t="str">
        <f>IF(V228="","",SUMIFS(Prod_Prop!$J:$J,Prod_Prop!$B:$B,$Q228,Prod_Prop!$H:$H,V228,Prod_Prop!$I:$I,W$1)*IF(V228="Peso",$R228,1))</f>
        <v/>
      </c>
      <c r="X228" s="4" t="str">
        <f>IF(V228="","",SUMIFS(Prod_Prop!$J:$J,Prod_Prop!$B:$B,$Q228,Prod_Prop!$H:$H,V228,Prod_Prop!$I:$I,X$1)*IF(V228="Peso",$R228,1))</f>
        <v/>
      </c>
      <c r="Y228" s="4" t="str">
        <f>IFERROR(__xludf.DUMMYFUNCTION("IF(OR($U228="""",COUNTIF($I:$I,IFERROR(unique(filter(Prod_Prop!$H:$H,Prod_Prop!$G:$G=$U228,Prod_Prop!$E:$E=Y$1)),""Check""))=0),"""",IFERROR(unique(filter(Prod_Prop!$H:$H,Prod_Prop!$G:$G=$U228,Prod_Prop!$E:$E=Y$1)),""""))"),"")</f>
        <v/>
      </c>
      <c r="Z228" s="4" t="str">
        <f>IF(Y228="","",SUMIFS(Prod_Prop!$J:$J,Prod_Prop!$B:$B,$Q228,Prod_Prop!$H:$H,Y228,Prod_Prop!$I:$I,Z$1)*IF(Y228="Peso",$R228,1))</f>
        <v/>
      </c>
      <c r="AA228" s="4" t="str">
        <f>IF(Y228="","",SUMIFS(Prod_Prop!$J:$J,Prod_Prop!$B:$B,$Q228,Prod_Prop!$H:$H,Y228,Prod_Prop!$I:$I,AA$1)*IF(Y228="Peso",$R228,1))</f>
        <v/>
      </c>
      <c r="AB228" s="4" t="str">
        <f>IFERROR(__xludf.DUMMYFUNCTION("IF(OR($U228="""",COUNTIF($I:$I,IFERROR(unique(filter(Prod_Prop!$H:$H,Prod_Prop!$G:$G=$U228,Prod_Prop!$E:$E=AB$1)),""Check""))=0),"""",IFERROR(unique(filter(Prod_Prop!$H:$H,Prod_Prop!$G:$G=$U228,Prod_Prop!$E:$E=AB$1)),""""))"),"")</f>
        <v/>
      </c>
      <c r="AC228" s="4" t="str">
        <f>IF(AB228="","",SUMIFS(Prod_Prop!$J:$J,Prod_Prop!$B:$B,$Q228,Prod_Prop!$H:$H,AB228,Prod_Prop!$I:$I,AC$1)*IF(AB228="Peso",$R228,1))</f>
        <v/>
      </c>
      <c r="AD228" s="4" t="str">
        <f>IF(AB228="","",SUMIFS(Prod_Prop!$J:$J,Prod_Prop!$B:$B,$Q228,Prod_Prop!$H:$H,AB228,Prod_Prop!$I:$I,AD$1)*IF(AB228="Peso",$R228,1))</f>
        <v/>
      </c>
    </row>
    <row r="229">
      <c r="A229" s="4" t="str">
        <f t="array" ref="A229">IF(COUNTIF(A$1:A228,Cotizador!F$2)=maxifs(Familias!E:E,Familias!D:D,Cotizador!F$2),IF(COUNTIF(A$1:A228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29" s="4" t="str">
        <f t="shared" si="1"/>
        <v/>
      </c>
      <c r="C229" s="4" t="str">
        <f t="array" ref="C229">IF(B229="","",IF(A229=XLOOKUP(A$2,Implementos!B:B,Implementos!C:C,"",0,1),B229+maxifs(B$1:B228,A$1:A228,A$2),B229))</f>
        <v/>
      </c>
      <c r="D229" s="4" t="str">
        <f>IF(B229="","", COUNTIFS(Productos!F:F,A229,Productos!H:H,B229)+IF(F229="SI",0,1))</f>
        <v/>
      </c>
      <c r="E229" s="4" t="str">
        <f>IFERROR(__xludf.DUMMYFUNCTION("IF($B229="""","""",INDEX(filter(Familias!F:F,Familias!$D:$D=$A229,Familias!$E:$E=$B229),1))"),"")</f>
        <v/>
      </c>
      <c r="F229" s="4" t="str">
        <f>IFERROR(__xludf.DUMMYFUNCTION("IF($B229="""","""",INDEX(filter(Familias!G:G,Familias!$D:$D=$A229,Familias!$E:$E=$B229),1))"),"")</f>
        <v/>
      </c>
      <c r="G229" s="4" t="str">
        <f t="array" ref="G229">IF(C229=1,XLOOKUP(C229,Cotizador!D:D,Cotizador!E:E,"",0,1),"")</f>
        <v/>
      </c>
      <c r="I229" s="4"/>
      <c r="J229" s="8" t="str">
        <f>IF(I229="","",SUMIF(Cotizador!I$1:V$1,I229,Cotizador!I$2:V$2))</f>
        <v/>
      </c>
      <c r="L229" s="4" t="str">
        <f t="array" ref="L229">IF(COUNTIF(L$1:L228,A$2)=SUMIF(A:A,A$2,D:D),IF(COUNTIF(L$1:L228,XLOOKUP(A$2,Implementos!B:B,Implementos!C:C,"",0,1))=SUMIF(A:A,XLOOKUP(A$2,Implementos!B:B,Implementos!C:C,"",0,1),D:D),"",XLOOKUP(A$2,Implementos!B:B,Implementos!C:C,"",0,1)),A$2)</f>
        <v/>
      </c>
      <c r="M229" s="4" t="str">
        <f t="shared" si="2"/>
        <v/>
      </c>
      <c r="N229" s="4" t="str">
        <f t="shared" si="3"/>
        <v/>
      </c>
      <c r="O229" s="4" t="str">
        <f t="shared" si="4"/>
        <v/>
      </c>
      <c r="P229" s="4" t="str">
        <f t="shared" si="5"/>
        <v/>
      </c>
      <c r="Q229" s="4" t="str">
        <f>IF(U229="","",SUMIF(Productos!E:E,U229,Productos!A:A))</f>
        <v/>
      </c>
      <c r="R229" s="4" t="str">
        <f t="array" ref="R229">IF(L229="","", max(1,SUMIF(I:I,XLOOKUP(U229,Productos!E:E,Productos!G:G,"",0,1),J:J)))</f>
        <v/>
      </c>
      <c r="S229" s="4" t="str">
        <f>IF(Q229="","",IF(SUMIFS(Compat_Vetado!D:D,Compat_Vetado!B:B,SUM(G:G),Compat_Vetado!C:C,Q229)=1,"SI",IF(OR(SUMIF(Cotizador!E:E,Q229,Cotizador!G:G)&gt;0,SUMIFS(Compat_Vetado!D:D,Compat_Vetado!B:B,SUM(G:G),Compat_Vetado!C:C,Q229)=-1),"NO","")))</f>
        <v/>
      </c>
      <c r="T229" s="4" t="str">
        <f t="shared" si="6"/>
        <v/>
      </c>
      <c r="U229" s="4" t="str">
        <f>IFERROR(__xludf.DUMMYFUNCTION("IF(P229="""","""",IFERROR(INDEX(filter(Productos!E:E,Productos!F:F=L229,Productos!H:H=N229),P229),IF(M229=SUM(D:D),""Finalizar"",""-"")))"),"")</f>
        <v/>
      </c>
      <c r="V229" s="4" t="str">
        <f>IFERROR(__xludf.DUMMYFUNCTION("IF(OR($U229="""",COUNTIF($I:$I,IFERROR(unique(filter(Prod_Prop!$H:$H,Prod_Prop!$G:$G=$U229,Prod_Prop!$E:$E=V$1)),""Check""))=0),"""",IFERROR(unique(filter(Prod_Prop!$H:$H,Prod_Prop!$G:$G=$U229,Prod_Prop!$E:$E=V$1)),""""))"),"")</f>
        <v/>
      </c>
      <c r="W229" s="4" t="str">
        <f>IF(V229="","",SUMIFS(Prod_Prop!$J:$J,Prod_Prop!$B:$B,$Q229,Prod_Prop!$H:$H,V229,Prod_Prop!$I:$I,W$1)*IF(V229="Peso",$R229,1))</f>
        <v/>
      </c>
      <c r="X229" s="4" t="str">
        <f>IF(V229="","",SUMIFS(Prod_Prop!$J:$J,Prod_Prop!$B:$B,$Q229,Prod_Prop!$H:$H,V229,Prod_Prop!$I:$I,X$1)*IF(V229="Peso",$R229,1))</f>
        <v/>
      </c>
      <c r="Y229" s="4" t="str">
        <f>IFERROR(__xludf.DUMMYFUNCTION("IF(OR($U229="""",COUNTIF($I:$I,IFERROR(unique(filter(Prod_Prop!$H:$H,Prod_Prop!$G:$G=$U229,Prod_Prop!$E:$E=Y$1)),""Check""))=0),"""",IFERROR(unique(filter(Prod_Prop!$H:$H,Prod_Prop!$G:$G=$U229,Prod_Prop!$E:$E=Y$1)),""""))"),"")</f>
        <v/>
      </c>
      <c r="Z229" s="4" t="str">
        <f>IF(Y229="","",SUMIFS(Prod_Prop!$J:$J,Prod_Prop!$B:$B,$Q229,Prod_Prop!$H:$H,Y229,Prod_Prop!$I:$I,Z$1)*IF(Y229="Peso",$R229,1))</f>
        <v/>
      </c>
      <c r="AA229" s="4" t="str">
        <f>IF(Y229="","",SUMIFS(Prod_Prop!$J:$J,Prod_Prop!$B:$B,$Q229,Prod_Prop!$H:$H,Y229,Prod_Prop!$I:$I,AA$1)*IF(Y229="Peso",$R229,1))</f>
        <v/>
      </c>
      <c r="AB229" s="4" t="str">
        <f>IFERROR(__xludf.DUMMYFUNCTION("IF(OR($U229="""",COUNTIF($I:$I,IFERROR(unique(filter(Prod_Prop!$H:$H,Prod_Prop!$G:$G=$U229,Prod_Prop!$E:$E=AB$1)),""Check""))=0),"""",IFERROR(unique(filter(Prod_Prop!$H:$H,Prod_Prop!$G:$G=$U229,Prod_Prop!$E:$E=AB$1)),""""))"),"")</f>
        <v/>
      </c>
      <c r="AC229" s="4" t="str">
        <f>IF(AB229="","",SUMIFS(Prod_Prop!$J:$J,Prod_Prop!$B:$B,$Q229,Prod_Prop!$H:$H,AB229,Prod_Prop!$I:$I,AC$1)*IF(AB229="Peso",$R229,1))</f>
        <v/>
      </c>
      <c r="AD229" s="4" t="str">
        <f>IF(AB229="","",SUMIFS(Prod_Prop!$J:$J,Prod_Prop!$B:$B,$Q229,Prod_Prop!$H:$H,AB229,Prod_Prop!$I:$I,AD$1)*IF(AB229="Peso",$R229,1))</f>
        <v/>
      </c>
    </row>
    <row r="230">
      <c r="A230" s="4" t="str">
        <f t="array" ref="A230">IF(COUNTIF(A$1:A229,Cotizador!F$2)=maxifs(Familias!E:E,Familias!D:D,Cotizador!F$2),IF(COUNTIF(A$1:A229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0" s="4" t="str">
        <f t="shared" si="1"/>
        <v/>
      </c>
      <c r="C230" s="4" t="str">
        <f t="array" ref="C230">IF(B230="","",IF(A230=XLOOKUP(A$2,Implementos!B:B,Implementos!C:C,"",0,1),B230+maxifs(B$1:B229,A$1:A229,A$2),B230))</f>
        <v/>
      </c>
      <c r="D230" s="4" t="str">
        <f>IF(B230="","", COUNTIFS(Productos!F:F,A230,Productos!H:H,B230)+IF(F230="SI",0,1))</f>
        <v/>
      </c>
      <c r="E230" s="4" t="str">
        <f>IFERROR(__xludf.DUMMYFUNCTION("IF($B230="""","""",INDEX(filter(Familias!F:F,Familias!$D:$D=$A230,Familias!$E:$E=$B230),1))"),"")</f>
        <v/>
      </c>
      <c r="F230" s="4" t="str">
        <f>IFERROR(__xludf.DUMMYFUNCTION("IF($B230="""","""",INDEX(filter(Familias!G:G,Familias!$D:$D=$A230,Familias!$E:$E=$B230),1))"),"")</f>
        <v/>
      </c>
      <c r="G230" s="4" t="str">
        <f t="array" ref="G230">IF(C230=1,XLOOKUP(C230,Cotizador!D:D,Cotizador!E:E,"",0,1),"")</f>
        <v/>
      </c>
      <c r="I230" s="4"/>
      <c r="J230" s="8" t="str">
        <f>IF(I230="","",SUMIF(Cotizador!I$1:V$1,I230,Cotizador!I$2:V$2))</f>
        <v/>
      </c>
      <c r="L230" s="4" t="str">
        <f t="array" ref="L230">IF(COUNTIF(L$1:L229,A$2)=SUMIF(A:A,A$2,D:D),IF(COUNTIF(L$1:L229,XLOOKUP(A$2,Implementos!B:B,Implementos!C:C,"",0,1))=SUMIF(A:A,XLOOKUP(A$2,Implementos!B:B,Implementos!C:C,"",0,1),D:D),"",XLOOKUP(A$2,Implementos!B:B,Implementos!C:C,"",0,1)),A$2)</f>
        <v/>
      </c>
      <c r="M230" s="4" t="str">
        <f t="shared" si="2"/>
        <v/>
      </c>
      <c r="N230" s="4" t="str">
        <f t="shared" si="3"/>
        <v/>
      </c>
      <c r="O230" s="4" t="str">
        <f t="shared" si="4"/>
        <v/>
      </c>
      <c r="P230" s="4" t="str">
        <f t="shared" si="5"/>
        <v/>
      </c>
      <c r="Q230" s="4" t="str">
        <f>IF(U230="","",SUMIF(Productos!E:E,U230,Productos!A:A))</f>
        <v/>
      </c>
      <c r="R230" s="4" t="str">
        <f t="array" ref="R230">IF(L230="","", max(1,SUMIF(I:I,XLOOKUP(U230,Productos!E:E,Productos!G:G,"",0,1),J:J)))</f>
        <v/>
      </c>
      <c r="S230" s="4" t="str">
        <f>IF(Q230="","",IF(SUMIFS(Compat_Vetado!D:D,Compat_Vetado!B:B,SUM(G:G),Compat_Vetado!C:C,Q230)=1,"SI",IF(OR(SUMIF(Cotizador!E:E,Q230,Cotizador!G:G)&gt;0,SUMIFS(Compat_Vetado!D:D,Compat_Vetado!B:B,SUM(G:G),Compat_Vetado!C:C,Q230)=-1),"NO","")))</f>
        <v/>
      </c>
      <c r="T230" s="4" t="str">
        <f t="shared" si="6"/>
        <v/>
      </c>
      <c r="U230" s="4" t="str">
        <f>IFERROR(__xludf.DUMMYFUNCTION("IF(P230="""","""",IFERROR(INDEX(filter(Productos!E:E,Productos!F:F=L230,Productos!H:H=N230),P230),IF(M230=SUM(D:D),""Finalizar"",""-"")))"),"")</f>
        <v/>
      </c>
      <c r="V230" s="4" t="str">
        <f>IFERROR(__xludf.DUMMYFUNCTION("IF(OR($U230="""",COUNTIF($I:$I,IFERROR(unique(filter(Prod_Prop!$H:$H,Prod_Prop!$G:$G=$U230,Prod_Prop!$E:$E=V$1)),""Check""))=0),"""",IFERROR(unique(filter(Prod_Prop!$H:$H,Prod_Prop!$G:$G=$U230,Prod_Prop!$E:$E=V$1)),""""))"),"")</f>
        <v/>
      </c>
      <c r="W230" s="4" t="str">
        <f>IF(V230="","",SUMIFS(Prod_Prop!$J:$J,Prod_Prop!$B:$B,$Q230,Prod_Prop!$H:$H,V230,Prod_Prop!$I:$I,W$1)*IF(V230="Peso",$R230,1))</f>
        <v/>
      </c>
      <c r="X230" s="4" t="str">
        <f>IF(V230="","",SUMIFS(Prod_Prop!$J:$J,Prod_Prop!$B:$B,$Q230,Prod_Prop!$H:$H,V230,Prod_Prop!$I:$I,X$1)*IF(V230="Peso",$R230,1))</f>
        <v/>
      </c>
      <c r="Y230" s="4" t="str">
        <f>IFERROR(__xludf.DUMMYFUNCTION("IF(OR($U230="""",COUNTIF($I:$I,IFERROR(unique(filter(Prod_Prop!$H:$H,Prod_Prop!$G:$G=$U230,Prod_Prop!$E:$E=Y$1)),""Check""))=0),"""",IFERROR(unique(filter(Prod_Prop!$H:$H,Prod_Prop!$G:$G=$U230,Prod_Prop!$E:$E=Y$1)),""""))"),"")</f>
        <v/>
      </c>
      <c r="Z230" s="4" t="str">
        <f>IF(Y230="","",SUMIFS(Prod_Prop!$J:$J,Prod_Prop!$B:$B,$Q230,Prod_Prop!$H:$H,Y230,Prod_Prop!$I:$I,Z$1)*IF(Y230="Peso",$R230,1))</f>
        <v/>
      </c>
      <c r="AA230" s="4" t="str">
        <f>IF(Y230="","",SUMIFS(Prod_Prop!$J:$J,Prod_Prop!$B:$B,$Q230,Prod_Prop!$H:$H,Y230,Prod_Prop!$I:$I,AA$1)*IF(Y230="Peso",$R230,1))</f>
        <v/>
      </c>
      <c r="AB230" s="4" t="str">
        <f>IFERROR(__xludf.DUMMYFUNCTION("IF(OR($U230="""",COUNTIF($I:$I,IFERROR(unique(filter(Prod_Prop!$H:$H,Prod_Prop!$G:$G=$U230,Prod_Prop!$E:$E=AB$1)),""Check""))=0),"""",IFERROR(unique(filter(Prod_Prop!$H:$H,Prod_Prop!$G:$G=$U230,Prod_Prop!$E:$E=AB$1)),""""))"),"")</f>
        <v/>
      </c>
      <c r="AC230" s="4" t="str">
        <f>IF(AB230="","",SUMIFS(Prod_Prop!$J:$J,Prod_Prop!$B:$B,$Q230,Prod_Prop!$H:$H,AB230,Prod_Prop!$I:$I,AC$1)*IF(AB230="Peso",$R230,1))</f>
        <v/>
      </c>
      <c r="AD230" s="4" t="str">
        <f>IF(AB230="","",SUMIFS(Prod_Prop!$J:$J,Prod_Prop!$B:$B,$Q230,Prod_Prop!$H:$H,AB230,Prod_Prop!$I:$I,AD$1)*IF(AB230="Peso",$R230,1))</f>
        <v/>
      </c>
    </row>
    <row r="231">
      <c r="A231" s="4" t="str">
        <f t="array" ref="A231">IF(COUNTIF(A$1:A230,Cotizador!F$2)=maxifs(Familias!E:E,Familias!D:D,Cotizador!F$2),IF(COUNTIF(A$1:A230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1" s="4" t="str">
        <f t="shared" si="1"/>
        <v/>
      </c>
      <c r="C231" s="4" t="str">
        <f t="array" ref="C231">IF(B231="","",IF(A231=XLOOKUP(A$2,Implementos!B:B,Implementos!C:C,"",0,1),B231+maxifs(B$1:B230,A$1:A230,A$2),B231))</f>
        <v/>
      </c>
      <c r="D231" s="4" t="str">
        <f>IF(B231="","", COUNTIFS(Productos!F:F,A231,Productos!H:H,B231)+IF(F231="SI",0,1))</f>
        <v/>
      </c>
      <c r="E231" s="4" t="str">
        <f>IFERROR(__xludf.DUMMYFUNCTION("IF($B231="""","""",INDEX(filter(Familias!F:F,Familias!$D:$D=$A231,Familias!$E:$E=$B231),1))"),"")</f>
        <v/>
      </c>
      <c r="F231" s="4" t="str">
        <f>IFERROR(__xludf.DUMMYFUNCTION("IF($B231="""","""",INDEX(filter(Familias!G:G,Familias!$D:$D=$A231,Familias!$E:$E=$B231),1))"),"")</f>
        <v/>
      </c>
      <c r="G231" s="4" t="str">
        <f t="array" ref="G231">IF(C231=1,XLOOKUP(C231,Cotizador!D:D,Cotizador!E:E,"",0,1),"")</f>
        <v/>
      </c>
      <c r="I231" s="4"/>
      <c r="J231" s="8" t="str">
        <f>IF(I231="","",SUMIF(Cotizador!I$1:V$1,I231,Cotizador!I$2:V$2))</f>
        <v/>
      </c>
      <c r="L231" s="4" t="str">
        <f t="array" ref="L231">IF(COUNTIF(L$1:L230,A$2)=SUMIF(A:A,A$2,D:D),IF(COUNTIF(L$1:L230,XLOOKUP(A$2,Implementos!B:B,Implementos!C:C,"",0,1))=SUMIF(A:A,XLOOKUP(A$2,Implementos!B:B,Implementos!C:C,"",0,1),D:D),"",XLOOKUP(A$2,Implementos!B:B,Implementos!C:C,"",0,1)),A$2)</f>
        <v/>
      </c>
      <c r="M231" s="4" t="str">
        <f t="shared" si="2"/>
        <v/>
      </c>
      <c r="N231" s="4" t="str">
        <f t="shared" si="3"/>
        <v/>
      </c>
      <c r="O231" s="4" t="str">
        <f t="shared" si="4"/>
        <v/>
      </c>
      <c r="P231" s="4" t="str">
        <f t="shared" si="5"/>
        <v/>
      </c>
      <c r="Q231" s="4" t="str">
        <f>IF(U231="","",SUMIF(Productos!E:E,U231,Productos!A:A))</f>
        <v/>
      </c>
      <c r="R231" s="4" t="str">
        <f t="array" ref="R231">IF(L231="","", max(1,SUMIF(I:I,XLOOKUP(U231,Productos!E:E,Productos!G:G,"",0,1),J:J)))</f>
        <v/>
      </c>
      <c r="S231" s="4" t="str">
        <f>IF(Q231="","",IF(SUMIFS(Compat_Vetado!D:D,Compat_Vetado!B:B,SUM(G:G),Compat_Vetado!C:C,Q231)=1,"SI",IF(OR(SUMIF(Cotizador!E:E,Q231,Cotizador!G:G)&gt;0,SUMIFS(Compat_Vetado!D:D,Compat_Vetado!B:B,SUM(G:G),Compat_Vetado!C:C,Q231)=-1),"NO","")))</f>
        <v/>
      </c>
      <c r="T231" s="4" t="str">
        <f t="shared" si="6"/>
        <v/>
      </c>
      <c r="U231" s="4" t="str">
        <f>IFERROR(__xludf.DUMMYFUNCTION("IF(P231="""","""",IFERROR(INDEX(filter(Productos!E:E,Productos!F:F=L231,Productos!H:H=N231),P231),IF(M231=SUM(D:D),""Finalizar"",""-"")))"),"")</f>
        <v/>
      </c>
      <c r="V231" s="4" t="str">
        <f>IFERROR(__xludf.DUMMYFUNCTION("IF(OR($U231="""",COUNTIF($I:$I,IFERROR(unique(filter(Prod_Prop!$H:$H,Prod_Prop!$G:$G=$U231,Prod_Prop!$E:$E=V$1)),""Check""))=0),"""",IFERROR(unique(filter(Prod_Prop!$H:$H,Prod_Prop!$G:$G=$U231,Prod_Prop!$E:$E=V$1)),""""))"),"")</f>
        <v/>
      </c>
      <c r="W231" s="4" t="str">
        <f>IF(V231="","",SUMIFS(Prod_Prop!$J:$J,Prod_Prop!$B:$B,$Q231,Prod_Prop!$H:$H,V231,Prod_Prop!$I:$I,W$1)*IF(V231="Peso",$R231,1))</f>
        <v/>
      </c>
      <c r="X231" s="4" t="str">
        <f>IF(V231="","",SUMIFS(Prod_Prop!$J:$J,Prod_Prop!$B:$B,$Q231,Prod_Prop!$H:$H,V231,Prod_Prop!$I:$I,X$1)*IF(V231="Peso",$R231,1))</f>
        <v/>
      </c>
      <c r="Y231" s="4" t="str">
        <f>IFERROR(__xludf.DUMMYFUNCTION("IF(OR($U231="""",COUNTIF($I:$I,IFERROR(unique(filter(Prod_Prop!$H:$H,Prod_Prop!$G:$G=$U231,Prod_Prop!$E:$E=Y$1)),""Check""))=0),"""",IFERROR(unique(filter(Prod_Prop!$H:$H,Prod_Prop!$G:$G=$U231,Prod_Prop!$E:$E=Y$1)),""""))"),"")</f>
        <v/>
      </c>
      <c r="Z231" s="4" t="str">
        <f>IF(Y231="","",SUMIFS(Prod_Prop!$J:$J,Prod_Prop!$B:$B,$Q231,Prod_Prop!$H:$H,Y231,Prod_Prop!$I:$I,Z$1)*IF(Y231="Peso",$R231,1))</f>
        <v/>
      </c>
      <c r="AA231" s="4" t="str">
        <f>IF(Y231="","",SUMIFS(Prod_Prop!$J:$J,Prod_Prop!$B:$B,$Q231,Prod_Prop!$H:$H,Y231,Prod_Prop!$I:$I,AA$1)*IF(Y231="Peso",$R231,1))</f>
        <v/>
      </c>
      <c r="AB231" s="4" t="str">
        <f>IFERROR(__xludf.DUMMYFUNCTION("IF(OR($U231="""",COUNTIF($I:$I,IFERROR(unique(filter(Prod_Prop!$H:$H,Prod_Prop!$G:$G=$U231,Prod_Prop!$E:$E=AB$1)),""Check""))=0),"""",IFERROR(unique(filter(Prod_Prop!$H:$H,Prod_Prop!$G:$G=$U231,Prod_Prop!$E:$E=AB$1)),""""))"),"")</f>
        <v/>
      </c>
      <c r="AC231" s="4" t="str">
        <f>IF(AB231="","",SUMIFS(Prod_Prop!$J:$J,Prod_Prop!$B:$B,$Q231,Prod_Prop!$H:$H,AB231,Prod_Prop!$I:$I,AC$1)*IF(AB231="Peso",$R231,1))</f>
        <v/>
      </c>
      <c r="AD231" s="4" t="str">
        <f>IF(AB231="","",SUMIFS(Prod_Prop!$J:$J,Prod_Prop!$B:$B,$Q231,Prod_Prop!$H:$H,AB231,Prod_Prop!$I:$I,AD$1)*IF(AB231="Peso",$R231,1))</f>
        <v/>
      </c>
    </row>
    <row r="232">
      <c r="A232" s="4" t="str">
        <f t="array" ref="A232">IF(COUNTIF(A$1:A231,Cotizador!F$2)=maxifs(Familias!E:E,Familias!D:D,Cotizador!F$2),IF(COUNTIF(A$1:A231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2" s="4" t="str">
        <f t="shared" si="1"/>
        <v/>
      </c>
      <c r="C232" s="4" t="str">
        <f t="array" ref="C232">IF(B232="","",IF(A232=XLOOKUP(A$2,Implementos!B:B,Implementos!C:C,"",0,1),B232+maxifs(B$1:B231,A$1:A231,A$2),B232))</f>
        <v/>
      </c>
      <c r="D232" s="4" t="str">
        <f>IF(B232="","", COUNTIFS(Productos!F:F,A232,Productos!H:H,B232)+IF(F232="SI",0,1))</f>
        <v/>
      </c>
      <c r="E232" s="4" t="str">
        <f>IFERROR(__xludf.DUMMYFUNCTION("IF($B232="""","""",INDEX(filter(Familias!F:F,Familias!$D:$D=$A232,Familias!$E:$E=$B232),1))"),"")</f>
        <v/>
      </c>
      <c r="F232" s="4" t="str">
        <f>IFERROR(__xludf.DUMMYFUNCTION("IF($B232="""","""",INDEX(filter(Familias!G:G,Familias!$D:$D=$A232,Familias!$E:$E=$B232),1))"),"")</f>
        <v/>
      </c>
      <c r="G232" s="4" t="str">
        <f t="array" ref="G232">IF(C232=1,XLOOKUP(C232,Cotizador!D:D,Cotizador!E:E,"",0,1),"")</f>
        <v/>
      </c>
      <c r="I232" s="4"/>
      <c r="J232" s="8" t="str">
        <f>IF(I232="","",SUMIF(Cotizador!I$1:V$1,I232,Cotizador!I$2:V$2))</f>
        <v/>
      </c>
      <c r="L232" s="4" t="str">
        <f t="array" ref="L232">IF(COUNTIF(L$1:L231,A$2)=SUMIF(A:A,A$2,D:D),IF(COUNTIF(L$1:L231,XLOOKUP(A$2,Implementos!B:B,Implementos!C:C,"",0,1))=SUMIF(A:A,XLOOKUP(A$2,Implementos!B:B,Implementos!C:C,"",0,1),D:D),"",XLOOKUP(A$2,Implementos!B:B,Implementos!C:C,"",0,1)),A$2)</f>
        <v/>
      </c>
      <c r="M232" s="4" t="str">
        <f t="shared" si="2"/>
        <v/>
      </c>
      <c r="N232" s="4" t="str">
        <f t="shared" si="3"/>
        <v/>
      </c>
      <c r="O232" s="4" t="str">
        <f t="shared" si="4"/>
        <v/>
      </c>
      <c r="P232" s="4" t="str">
        <f t="shared" si="5"/>
        <v/>
      </c>
      <c r="Q232" s="4" t="str">
        <f>IF(U232="","",SUMIF(Productos!E:E,U232,Productos!A:A))</f>
        <v/>
      </c>
      <c r="R232" s="4" t="str">
        <f t="array" ref="R232">IF(L232="","", max(1,SUMIF(I:I,XLOOKUP(U232,Productos!E:E,Productos!G:G,"",0,1),J:J)))</f>
        <v/>
      </c>
      <c r="S232" s="4" t="str">
        <f>IF(Q232="","",IF(SUMIFS(Compat_Vetado!D:D,Compat_Vetado!B:B,SUM(G:G),Compat_Vetado!C:C,Q232)=1,"SI",IF(OR(SUMIF(Cotizador!E:E,Q232,Cotizador!G:G)&gt;0,SUMIFS(Compat_Vetado!D:D,Compat_Vetado!B:B,SUM(G:G),Compat_Vetado!C:C,Q232)=-1),"NO","")))</f>
        <v/>
      </c>
      <c r="T232" s="4" t="str">
        <f t="shared" si="6"/>
        <v/>
      </c>
      <c r="U232" s="4" t="str">
        <f>IFERROR(__xludf.DUMMYFUNCTION("IF(P232="""","""",IFERROR(INDEX(filter(Productos!E:E,Productos!F:F=L232,Productos!H:H=N232),P232),IF(M232=SUM(D:D),""Finalizar"",""-"")))"),"")</f>
        <v/>
      </c>
      <c r="V232" s="4" t="str">
        <f>IFERROR(__xludf.DUMMYFUNCTION("IF(OR($U232="""",COUNTIF($I:$I,IFERROR(unique(filter(Prod_Prop!$H:$H,Prod_Prop!$G:$G=$U232,Prod_Prop!$E:$E=V$1)),""Check""))=0),"""",IFERROR(unique(filter(Prod_Prop!$H:$H,Prod_Prop!$G:$G=$U232,Prod_Prop!$E:$E=V$1)),""""))"),"")</f>
        <v/>
      </c>
      <c r="W232" s="4" t="str">
        <f>IF(V232="","",SUMIFS(Prod_Prop!$J:$J,Prod_Prop!$B:$B,$Q232,Prod_Prop!$H:$H,V232,Prod_Prop!$I:$I,W$1)*IF(V232="Peso",$R232,1))</f>
        <v/>
      </c>
      <c r="X232" s="4" t="str">
        <f>IF(V232="","",SUMIFS(Prod_Prop!$J:$J,Prod_Prop!$B:$B,$Q232,Prod_Prop!$H:$H,V232,Prod_Prop!$I:$I,X$1)*IF(V232="Peso",$R232,1))</f>
        <v/>
      </c>
      <c r="Y232" s="4" t="str">
        <f>IFERROR(__xludf.DUMMYFUNCTION("IF(OR($U232="""",COUNTIF($I:$I,IFERROR(unique(filter(Prod_Prop!$H:$H,Prod_Prop!$G:$G=$U232,Prod_Prop!$E:$E=Y$1)),""Check""))=0),"""",IFERROR(unique(filter(Prod_Prop!$H:$H,Prod_Prop!$G:$G=$U232,Prod_Prop!$E:$E=Y$1)),""""))"),"")</f>
        <v/>
      </c>
      <c r="Z232" s="4" t="str">
        <f>IF(Y232="","",SUMIFS(Prod_Prop!$J:$J,Prod_Prop!$B:$B,$Q232,Prod_Prop!$H:$H,Y232,Prod_Prop!$I:$I,Z$1)*IF(Y232="Peso",$R232,1))</f>
        <v/>
      </c>
      <c r="AA232" s="4" t="str">
        <f>IF(Y232="","",SUMIFS(Prod_Prop!$J:$J,Prod_Prop!$B:$B,$Q232,Prod_Prop!$H:$H,Y232,Prod_Prop!$I:$I,AA$1)*IF(Y232="Peso",$R232,1))</f>
        <v/>
      </c>
      <c r="AB232" s="4" t="str">
        <f>IFERROR(__xludf.DUMMYFUNCTION("IF(OR($U232="""",COUNTIF($I:$I,IFERROR(unique(filter(Prod_Prop!$H:$H,Prod_Prop!$G:$G=$U232,Prod_Prop!$E:$E=AB$1)),""Check""))=0),"""",IFERROR(unique(filter(Prod_Prop!$H:$H,Prod_Prop!$G:$G=$U232,Prod_Prop!$E:$E=AB$1)),""""))"),"")</f>
        <v/>
      </c>
      <c r="AC232" s="4" t="str">
        <f>IF(AB232="","",SUMIFS(Prod_Prop!$J:$J,Prod_Prop!$B:$B,$Q232,Prod_Prop!$H:$H,AB232,Prod_Prop!$I:$I,AC$1)*IF(AB232="Peso",$R232,1))</f>
        <v/>
      </c>
      <c r="AD232" s="4" t="str">
        <f>IF(AB232="","",SUMIFS(Prod_Prop!$J:$J,Prod_Prop!$B:$B,$Q232,Prod_Prop!$H:$H,AB232,Prod_Prop!$I:$I,AD$1)*IF(AB232="Peso",$R232,1))</f>
        <v/>
      </c>
    </row>
    <row r="233">
      <c r="A233" s="4" t="str">
        <f t="array" ref="A233">IF(COUNTIF(A$1:A232,Cotizador!F$2)=maxifs(Familias!E:E,Familias!D:D,Cotizador!F$2),IF(COUNTIF(A$1:A232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3" s="4" t="str">
        <f t="shared" si="1"/>
        <v/>
      </c>
      <c r="C233" s="4" t="str">
        <f t="array" ref="C233">IF(B233="","",IF(A233=XLOOKUP(A$2,Implementos!B:B,Implementos!C:C,"",0,1),B233+maxifs(B$1:B232,A$1:A232,A$2),B233))</f>
        <v/>
      </c>
      <c r="D233" s="4" t="str">
        <f>IF(B233="","", COUNTIFS(Productos!F:F,A233,Productos!H:H,B233)+IF(F233="SI",0,1))</f>
        <v/>
      </c>
      <c r="E233" s="4" t="str">
        <f>IFERROR(__xludf.DUMMYFUNCTION("IF($B233="""","""",INDEX(filter(Familias!F:F,Familias!$D:$D=$A233,Familias!$E:$E=$B233),1))"),"")</f>
        <v/>
      </c>
      <c r="F233" s="4" t="str">
        <f>IFERROR(__xludf.DUMMYFUNCTION("IF($B233="""","""",INDEX(filter(Familias!G:G,Familias!$D:$D=$A233,Familias!$E:$E=$B233),1))"),"")</f>
        <v/>
      </c>
      <c r="G233" s="4" t="str">
        <f t="array" ref="G233">IF(C233=1,XLOOKUP(C233,Cotizador!D:D,Cotizador!E:E,"",0,1),"")</f>
        <v/>
      </c>
      <c r="I233" s="4"/>
      <c r="J233" s="8" t="str">
        <f>IF(I233="","",SUMIF(Cotizador!I$1:V$1,I233,Cotizador!I$2:V$2))</f>
        <v/>
      </c>
      <c r="L233" s="4" t="str">
        <f t="array" ref="L233">IF(COUNTIF(L$1:L232,A$2)=SUMIF(A:A,A$2,D:D),IF(COUNTIF(L$1:L232,XLOOKUP(A$2,Implementos!B:B,Implementos!C:C,"",0,1))=SUMIF(A:A,XLOOKUP(A$2,Implementos!B:B,Implementos!C:C,"",0,1),D:D),"",XLOOKUP(A$2,Implementos!B:B,Implementos!C:C,"",0,1)),A$2)</f>
        <v/>
      </c>
      <c r="M233" s="4" t="str">
        <f t="shared" si="2"/>
        <v/>
      </c>
      <c r="N233" s="4" t="str">
        <f t="shared" si="3"/>
        <v/>
      </c>
      <c r="O233" s="4" t="str">
        <f t="shared" si="4"/>
        <v/>
      </c>
      <c r="P233" s="4" t="str">
        <f t="shared" si="5"/>
        <v/>
      </c>
      <c r="Q233" s="4" t="str">
        <f>IF(U233="","",SUMIF(Productos!E:E,U233,Productos!A:A))</f>
        <v/>
      </c>
      <c r="R233" s="4" t="str">
        <f t="array" ref="R233">IF(L233="","", max(1,SUMIF(I:I,XLOOKUP(U233,Productos!E:E,Productos!G:G,"",0,1),J:J)))</f>
        <v/>
      </c>
      <c r="S233" s="4" t="str">
        <f>IF(Q233="","",IF(SUMIFS(Compat_Vetado!D:D,Compat_Vetado!B:B,SUM(G:G),Compat_Vetado!C:C,Q233)=1,"SI",IF(OR(SUMIF(Cotizador!E:E,Q233,Cotizador!G:G)&gt;0,SUMIFS(Compat_Vetado!D:D,Compat_Vetado!B:B,SUM(G:G),Compat_Vetado!C:C,Q233)=-1),"NO","")))</f>
        <v/>
      </c>
      <c r="T233" s="4" t="str">
        <f t="shared" si="6"/>
        <v/>
      </c>
      <c r="U233" s="4" t="str">
        <f>IFERROR(__xludf.DUMMYFUNCTION("IF(P233="""","""",IFERROR(INDEX(filter(Productos!E:E,Productos!F:F=L233,Productos!H:H=N233),P233),IF(M233=SUM(D:D),""Finalizar"",""-"")))"),"")</f>
        <v/>
      </c>
      <c r="V233" s="4" t="str">
        <f>IFERROR(__xludf.DUMMYFUNCTION("IF(OR($U233="""",COUNTIF($I:$I,IFERROR(unique(filter(Prod_Prop!$H:$H,Prod_Prop!$G:$G=$U233,Prod_Prop!$E:$E=V$1)),""Check""))=0),"""",IFERROR(unique(filter(Prod_Prop!$H:$H,Prod_Prop!$G:$G=$U233,Prod_Prop!$E:$E=V$1)),""""))"),"")</f>
        <v/>
      </c>
      <c r="W233" s="4" t="str">
        <f>IF(V233="","",SUMIFS(Prod_Prop!$J:$J,Prod_Prop!$B:$B,$Q233,Prod_Prop!$H:$H,V233,Prod_Prop!$I:$I,W$1)*IF(V233="Peso",$R233,1))</f>
        <v/>
      </c>
      <c r="X233" s="4" t="str">
        <f>IF(V233="","",SUMIFS(Prod_Prop!$J:$J,Prod_Prop!$B:$B,$Q233,Prod_Prop!$H:$H,V233,Prod_Prop!$I:$I,X$1)*IF(V233="Peso",$R233,1))</f>
        <v/>
      </c>
      <c r="Y233" s="4" t="str">
        <f>IFERROR(__xludf.DUMMYFUNCTION("IF(OR($U233="""",COUNTIF($I:$I,IFERROR(unique(filter(Prod_Prop!$H:$H,Prod_Prop!$G:$G=$U233,Prod_Prop!$E:$E=Y$1)),""Check""))=0),"""",IFERROR(unique(filter(Prod_Prop!$H:$H,Prod_Prop!$G:$G=$U233,Prod_Prop!$E:$E=Y$1)),""""))"),"")</f>
        <v/>
      </c>
      <c r="Z233" s="4" t="str">
        <f>IF(Y233="","",SUMIFS(Prod_Prop!$J:$J,Prod_Prop!$B:$B,$Q233,Prod_Prop!$H:$H,Y233,Prod_Prop!$I:$I,Z$1)*IF(Y233="Peso",$R233,1))</f>
        <v/>
      </c>
      <c r="AA233" s="4" t="str">
        <f>IF(Y233="","",SUMIFS(Prod_Prop!$J:$J,Prod_Prop!$B:$B,$Q233,Prod_Prop!$H:$H,Y233,Prod_Prop!$I:$I,AA$1)*IF(Y233="Peso",$R233,1))</f>
        <v/>
      </c>
      <c r="AB233" s="4" t="str">
        <f>IFERROR(__xludf.DUMMYFUNCTION("IF(OR($U233="""",COUNTIF($I:$I,IFERROR(unique(filter(Prod_Prop!$H:$H,Prod_Prop!$G:$G=$U233,Prod_Prop!$E:$E=AB$1)),""Check""))=0),"""",IFERROR(unique(filter(Prod_Prop!$H:$H,Prod_Prop!$G:$G=$U233,Prod_Prop!$E:$E=AB$1)),""""))"),"")</f>
        <v/>
      </c>
      <c r="AC233" s="4" t="str">
        <f>IF(AB233="","",SUMIFS(Prod_Prop!$J:$J,Prod_Prop!$B:$B,$Q233,Prod_Prop!$H:$H,AB233,Prod_Prop!$I:$I,AC$1)*IF(AB233="Peso",$R233,1))</f>
        <v/>
      </c>
      <c r="AD233" s="4" t="str">
        <f>IF(AB233="","",SUMIFS(Prod_Prop!$J:$J,Prod_Prop!$B:$B,$Q233,Prod_Prop!$H:$H,AB233,Prod_Prop!$I:$I,AD$1)*IF(AB233="Peso",$R233,1))</f>
        <v/>
      </c>
    </row>
    <row r="234">
      <c r="A234" s="4" t="str">
        <f t="array" ref="A234">IF(COUNTIF(A$1:A233,Cotizador!F$2)=maxifs(Familias!E:E,Familias!D:D,Cotizador!F$2),IF(COUNTIF(A$1:A233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4" s="4" t="str">
        <f t="shared" si="1"/>
        <v/>
      </c>
      <c r="C234" s="4" t="str">
        <f t="array" ref="C234">IF(B234="","",IF(A234=XLOOKUP(A$2,Implementos!B:B,Implementos!C:C,"",0,1),B234+maxifs(B$1:B233,A$1:A233,A$2),B234))</f>
        <v/>
      </c>
      <c r="D234" s="4" t="str">
        <f>IF(B234="","", COUNTIFS(Productos!F:F,A234,Productos!H:H,B234)+IF(F234="SI",0,1))</f>
        <v/>
      </c>
      <c r="E234" s="4" t="str">
        <f>IFERROR(__xludf.DUMMYFUNCTION("IF($B234="""","""",INDEX(filter(Familias!F:F,Familias!$D:$D=$A234,Familias!$E:$E=$B234),1))"),"")</f>
        <v/>
      </c>
      <c r="F234" s="4" t="str">
        <f>IFERROR(__xludf.DUMMYFUNCTION("IF($B234="""","""",INDEX(filter(Familias!G:G,Familias!$D:$D=$A234,Familias!$E:$E=$B234),1))"),"")</f>
        <v/>
      </c>
      <c r="G234" s="4" t="str">
        <f t="array" ref="G234">IF(C234=1,XLOOKUP(C234,Cotizador!D:D,Cotizador!E:E,"",0,1),"")</f>
        <v/>
      </c>
      <c r="I234" s="4"/>
      <c r="J234" s="8" t="str">
        <f>IF(I234="","",SUMIF(Cotizador!I$1:V$1,I234,Cotizador!I$2:V$2))</f>
        <v/>
      </c>
      <c r="L234" s="4" t="str">
        <f t="array" ref="L234">IF(COUNTIF(L$1:L233,A$2)=SUMIF(A:A,A$2,D:D),IF(COUNTIF(L$1:L233,XLOOKUP(A$2,Implementos!B:B,Implementos!C:C,"",0,1))=SUMIF(A:A,XLOOKUP(A$2,Implementos!B:B,Implementos!C:C,"",0,1),D:D),"",XLOOKUP(A$2,Implementos!B:B,Implementos!C:C,"",0,1)),A$2)</f>
        <v/>
      </c>
      <c r="M234" s="4" t="str">
        <f t="shared" si="2"/>
        <v/>
      </c>
      <c r="N234" s="4" t="str">
        <f t="shared" si="3"/>
        <v/>
      </c>
      <c r="O234" s="4" t="str">
        <f t="shared" si="4"/>
        <v/>
      </c>
      <c r="P234" s="4" t="str">
        <f t="shared" si="5"/>
        <v/>
      </c>
      <c r="Q234" s="4" t="str">
        <f>IF(U234="","",SUMIF(Productos!E:E,U234,Productos!A:A))</f>
        <v/>
      </c>
      <c r="R234" s="4" t="str">
        <f t="array" ref="R234">IF(L234="","", max(1,SUMIF(I:I,XLOOKUP(U234,Productos!E:E,Productos!G:G,"",0,1),J:J)))</f>
        <v/>
      </c>
      <c r="S234" s="4" t="str">
        <f>IF(Q234="","",IF(SUMIFS(Compat_Vetado!D:D,Compat_Vetado!B:B,SUM(G:G),Compat_Vetado!C:C,Q234)=1,"SI",IF(OR(SUMIF(Cotizador!E:E,Q234,Cotizador!G:G)&gt;0,SUMIFS(Compat_Vetado!D:D,Compat_Vetado!B:B,SUM(G:G),Compat_Vetado!C:C,Q234)=-1),"NO","")))</f>
        <v/>
      </c>
      <c r="T234" s="4" t="str">
        <f t="shared" si="6"/>
        <v/>
      </c>
      <c r="U234" s="4" t="str">
        <f>IFERROR(__xludf.DUMMYFUNCTION("IF(P234="""","""",IFERROR(INDEX(filter(Productos!E:E,Productos!F:F=L234,Productos!H:H=N234),P234),IF(M234=SUM(D:D),""Finalizar"",""-"")))"),"")</f>
        <v/>
      </c>
      <c r="V234" s="4" t="str">
        <f>IFERROR(__xludf.DUMMYFUNCTION("IF(OR($U234="""",COUNTIF($I:$I,IFERROR(unique(filter(Prod_Prop!$H:$H,Prod_Prop!$G:$G=$U234,Prod_Prop!$E:$E=V$1)),""Check""))=0),"""",IFERROR(unique(filter(Prod_Prop!$H:$H,Prod_Prop!$G:$G=$U234,Prod_Prop!$E:$E=V$1)),""""))"),"")</f>
        <v/>
      </c>
      <c r="W234" s="4" t="str">
        <f>IF(V234="","",SUMIFS(Prod_Prop!$J:$J,Prod_Prop!$B:$B,$Q234,Prod_Prop!$H:$H,V234,Prod_Prop!$I:$I,W$1)*IF(V234="Peso",$R234,1))</f>
        <v/>
      </c>
      <c r="X234" s="4" t="str">
        <f>IF(V234="","",SUMIFS(Prod_Prop!$J:$J,Prod_Prop!$B:$B,$Q234,Prod_Prop!$H:$H,V234,Prod_Prop!$I:$I,X$1)*IF(V234="Peso",$R234,1))</f>
        <v/>
      </c>
      <c r="Y234" s="4" t="str">
        <f>IFERROR(__xludf.DUMMYFUNCTION("IF(OR($U234="""",COUNTIF($I:$I,IFERROR(unique(filter(Prod_Prop!$H:$H,Prod_Prop!$G:$G=$U234,Prod_Prop!$E:$E=Y$1)),""Check""))=0),"""",IFERROR(unique(filter(Prod_Prop!$H:$H,Prod_Prop!$G:$G=$U234,Prod_Prop!$E:$E=Y$1)),""""))"),"")</f>
        <v/>
      </c>
      <c r="Z234" s="4" t="str">
        <f>IF(Y234="","",SUMIFS(Prod_Prop!$J:$J,Prod_Prop!$B:$B,$Q234,Prod_Prop!$H:$H,Y234,Prod_Prop!$I:$I,Z$1)*IF(Y234="Peso",$R234,1))</f>
        <v/>
      </c>
      <c r="AA234" s="4" t="str">
        <f>IF(Y234="","",SUMIFS(Prod_Prop!$J:$J,Prod_Prop!$B:$B,$Q234,Prod_Prop!$H:$H,Y234,Prod_Prop!$I:$I,AA$1)*IF(Y234="Peso",$R234,1))</f>
        <v/>
      </c>
      <c r="AB234" s="4" t="str">
        <f>IFERROR(__xludf.DUMMYFUNCTION("IF(OR($U234="""",COUNTIF($I:$I,IFERROR(unique(filter(Prod_Prop!$H:$H,Prod_Prop!$G:$G=$U234,Prod_Prop!$E:$E=AB$1)),""Check""))=0),"""",IFERROR(unique(filter(Prod_Prop!$H:$H,Prod_Prop!$G:$G=$U234,Prod_Prop!$E:$E=AB$1)),""""))"),"")</f>
        <v/>
      </c>
      <c r="AC234" s="4" t="str">
        <f>IF(AB234="","",SUMIFS(Prod_Prop!$J:$J,Prod_Prop!$B:$B,$Q234,Prod_Prop!$H:$H,AB234,Prod_Prop!$I:$I,AC$1)*IF(AB234="Peso",$R234,1))</f>
        <v/>
      </c>
      <c r="AD234" s="4" t="str">
        <f>IF(AB234="","",SUMIFS(Prod_Prop!$J:$J,Prod_Prop!$B:$B,$Q234,Prod_Prop!$H:$H,AB234,Prod_Prop!$I:$I,AD$1)*IF(AB234="Peso",$R234,1))</f>
        <v/>
      </c>
    </row>
    <row r="235">
      <c r="A235" s="4" t="str">
        <f t="array" ref="A235">IF(COUNTIF(A$1:A234,Cotizador!F$2)=maxifs(Familias!E:E,Familias!D:D,Cotizador!F$2),IF(COUNTIF(A$1:A234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5" s="4" t="str">
        <f t="shared" si="1"/>
        <v/>
      </c>
      <c r="C235" s="4" t="str">
        <f t="array" ref="C235">IF(B235="","",IF(A235=XLOOKUP(A$2,Implementos!B:B,Implementos!C:C,"",0,1),B235+maxifs(B$1:B234,A$1:A234,A$2),B235))</f>
        <v/>
      </c>
      <c r="D235" s="4" t="str">
        <f>IF(B235="","", COUNTIFS(Productos!F:F,A235,Productos!H:H,B235)+IF(F235="SI",0,1))</f>
        <v/>
      </c>
      <c r="E235" s="4" t="str">
        <f>IFERROR(__xludf.DUMMYFUNCTION("IF($B235="""","""",INDEX(filter(Familias!F:F,Familias!$D:$D=$A235,Familias!$E:$E=$B235),1))"),"")</f>
        <v/>
      </c>
      <c r="F235" s="4" t="str">
        <f>IFERROR(__xludf.DUMMYFUNCTION("IF($B235="""","""",INDEX(filter(Familias!G:G,Familias!$D:$D=$A235,Familias!$E:$E=$B235),1))"),"")</f>
        <v/>
      </c>
      <c r="G235" s="4" t="str">
        <f t="array" ref="G235">IF(C235=1,XLOOKUP(C235,Cotizador!D:D,Cotizador!E:E,"",0,1),"")</f>
        <v/>
      </c>
      <c r="I235" s="4"/>
      <c r="J235" s="8" t="str">
        <f>IF(I235="","",SUMIF(Cotizador!I$1:V$1,I235,Cotizador!I$2:V$2))</f>
        <v/>
      </c>
      <c r="L235" s="4" t="str">
        <f t="array" ref="L235">IF(COUNTIF(L$1:L234,A$2)=SUMIF(A:A,A$2,D:D),IF(COUNTIF(L$1:L234,XLOOKUP(A$2,Implementos!B:B,Implementos!C:C,"",0,1))=SUMIF(A:A,XLOOKUP(A$2,Implementos!B:B,Implementos!C:C,"",0,1),D:D),"",XLOOKUP(A$2,Implementos!B:B,Implementos!C:C,"",0,1)),A$2)</f>
        <v/>
      </c>
      <c r="M235" s="4" t="str">
        <f t="shared" si="2"/>
        <v/>
      </c>
      <c r="N235" s="4" t="str">
        <f t="shared" si="3"/>
        <v/>
      </c>
      <c r="O235" s="4" t="str">
        <f t="shared" si="4"/>
        <v/>
      </c>
      <c r="P235" s="4" t="str">
        <f t="shared" si="5"/>
        <v/>
      </c>
      <c r="Q235" s="4" t="str">
        <f>IF(U235="","",SUMIF(Productos!E:E,U235,Productos!A:A))</f>
        <v/>
      </c>
      <c r="R235" s="4" t="str">
        <f t="array" ref="R235">IF(L235="","", max(1,SUMIF(I:I,XLOOKUP(U235,Productos!E:E,Productos!G:G,"",0,1),J:J)))</f>
        <v/>
      </c>
      <c r="S235" s="4" t="str">
        <f>IF(Q235="","",IF(SUMIFS(Compat_Vetado!D:D,Compat_Vetado!B:B,SUM(G:G),Compat_Vetado!C:C,Q235)=1,"SI",IF(OR(SUMIF(Cotizador!E:E,Q235,Cotizador!G:G)&gt;0,SUMIFS(Compat_Vetado!D:D,Compat_Vetado!B:B,SUM(G:G),Compat_Vetado!C:C,Q235)=-1),"NO","")))</f>
        <v/>
      </c>
      <c r="T235" s="4" t="str">
        <f t="shared" si="6"/>
        <v/>
      </c>
      <c r="U235" s="4" t="str">
        <f>IFERROR(__xludf.DUMMYFUNCTION("IF(P235="""","""",IFERROR(INDEX(filter(Productos!E:E,Productos!F:F=L235,Productos!H:H=N235),P235),IF(M235=SUM(D:D),""Finalizar"",""-"")))"),"")</f>
        <v/>
      </c>
      <c r="V235" s="4" t="str">
        <f>IFERROR(__xludf.DUMMYFUNCTION("IF(OR($U235="""",COUNTIF($I:$I,IFERROR(unique(filter(Prod_Prop!$H:$H,Prod_Prop!$G:$G=$U235,Prod_Prop!$E:$E=V$1)),""Check""))=0),"""",IFERROR(unique(filter(Prod_Prop!$H:$H,Prod_Prop!$G:$G=$U235,Prod_Prop!$E:$E=V$1)),""""))"),"")</f>
        <v/>
      </c>
      <c r="W235" s="4" t="str">
        <f>IF(V235="","",SUMIFS(Prod_Prop!$J:$J,Prod_Prop!$B:$B,$Q235,Prod_Prop!$H:$H,V235,Prod_Prop!$I:$I,W$1)*IF(V235="Peso",$R235,1))</f>
        <v/>
      </c>
      <c r="X235" s="4" t="str">
        <f>IF(V235="","",SUMIFS(Prod_Prop!$J:$J,Prod_Prop!$B:$B,$Q235,Prod_Prop!$H:$H,V235,Prod_Prop!$I:$I,X$1)*IF(V235="Peso",$R235,1))</f>
        <v/>
      </c>
      <c r="Y235" s="4" t="str">
        <f>IFERROR(__xludf.DUMMYFUNCTION("IF(OR($U235="""",COUNTIF($I:$I,IFERROR(unique(filter(Prod_Prop!$H:$H,Prod_Prop!$G:$G=$U235,Prod_Prop!$E:$E=Y$1)),""Check""))=0),"""",IFERROR(unique(filter(Prod_Prop!$H:$H,Prod_Prop!$G:$G=$U235,Prod_Prop!$E:$E=Y$1)),""""))"),"")</f>
        <v/>
      </c>
      <c r="Z235" s="4" t="str">
        <f>IF(Y235="","",SUMIFS(Prod_Prop!$J:$J,Prod_Prop!$B:$B,$Q235,Prod_Prop!$H:$H,Y235,Prod_Prop!$I:$I,Z$1)*IF(Y235="Peso",$R235,1))</f>
        <v/>
      </c>
      <c r="AA235" s="4" t="str">
        <f>IF(Y235="","",SUMIFS(Prod_Prop!$J:$J,Prod_Prop!$B:$B,$Q235,Prod_Prop!$H:$H,Y235,Prod_Prop!$I:$I,AA$1)*IF(Y235="Peso",$R235,1))</f>
        <v/>
      </c>
      <c r="AB235" s="4" t="str">
        <f>IFERROR(__xludf.DUMMYFUNCTION("IF(OR($U235="""",COUNTIF($I:$I,IFERROR(unique(filter(Prod_Prop!$H:$H,Prod_Prop!$G:$G=$U235,Prod_Prop!$E:$E=AB$1)),""Check""))=0),"""",IFERROR(unique(filter(Prod_Prop!$H:$H,Prod_Prop!$G:$G=$U235,Prod_Prop!$E:$E=AB$1)),""""))"),"")</f>
        <v/>
      </c>
      <c r="AC235" s="4" t="str">
        <f>IF(AB235="","",SUMIFS(Prod_Prop!$J:$J,Prod_Prop!$B:$B,$Q235,Prod_Prop!$H:$H,AB235,Prod_Prop!$I:$I,AC$1)*IF(AB235="Peso",$R235,1))</f>
        <v/>
      </c>
      <c r="AD235" s="4" t="str">
        <f>IF(AB235="","",SUMIFS(Prod_Prop!$J:$J,Prod_Prop!$B:$B,$Q235,Prod_Prop!$H:$H,AB235,Prod_Prop!$I:$I,AD$1)*IF(AB235="Peso",$R235,1))</f>
        <v/>
      </c>
    </row>
    <row r="236">
      <c r="A236" s="4" t="str">
        <f t="array" ref="A236">IF(COUNTIF(A$1:A235,Cotizador!F$2)=maxifs(Familias!E:E,Familias!D:D,Cotizador!F$2),IF(COUNTIF(A$1:A235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6" s="4" t="str">
        <f t="shared" si="1"/>
        <v/>
      </c>
      <c r="C236" s="4" t="str">
        <f t="array" ref="C236">IF(B236="","",IF(A236=XLOOKUP(A$2,Implementos!B:B,Implementos!C:C,"",0,1),B236+maxifs(B$1:B235,A$1:A235,A$2),B236))</f>
        <v/>
      </c>
      <c r="D236" s="4" t="str">
        <f>IF(B236="","", COUNTIFS(Productos!F:F,A236,Productos!H:H,B236)+IF(F236="SI",0,1))</f>
        <v/>
      </c>
      <c r="E236" s="4" t="str">
        <f>IFERROR(__xludf.DUMMYFUNCTION("IF($B236="""","""",INDEX(filter(Familias!F:F,Familias!$D:$D=$A236,Familias!$E:$E=$B236),1))"),"")</f>
        <v/>
      </c>
      <c r="F236" s="4" t="str">
        <f>IFERROR(__xludf.DUMMYFUNCTION("IF($B236="""","""",INDEX(filter(Familias!G:G,Familias!$D:$D=$A236,Familias!$E:$E=$B236),1))"),"")</f>
        <v/>
      </c>
      <c r="G236" s="4" t="str">
        <f t="array" ref="G236">IF(C236=1,XLOOKUP(C236,Cotizador!D:D,Cotizador!E:E,"",0,1),"")</f>
        <v/>
      </c>
      <c r="I236" s="4"/>
      <c r="J236" s="8" t="str">
        <f>IF(I236="","",SUMIF(Cotizador!I$1:V$1,I236,Cotizador!I$2:V$2))</f>
        <v/>
      </c>
      <c r="L236" s="4" t="str">
        <f t="array" ref="L236">IF(COUNTIF(L$1:L235,A$2)=SUMIF(A:A,A$2,D:D),IF(COUNTIF(L$1:L235,XLOOKUP(A$2,Implementos!B:B,Implementos!C:C,"",0,1))=SUMIF(A:A,XLOOKUP(A$2,Implementos!B:B,Implementos!C:C,"",0,1),D:D),"",XLOOKUP(A$2,Implementos!B:B,Implementos!C:C,"",0,1)),A$2)</f>
        <v/>
      </c>
      <c r="M236" s="4" t="str">
        <f t="shared" si="2"/>
        <v/>
      </c>
      <c r="N236" s="4" t="str">
        <f t="shared" si="3"/>
        <v/>
      </c>
      <c r="O236" s="4" t="str">
        <f t="shared" si="4"/>
        <v/>
      </c>
      <c r="P236" s="4" t="str">
        <f t="shared" si="5"/>
        <v/>
      </c>
      <c r="Q236" s="4" t="str">
        <f>IF(U236="","",SUMIF(Productos!E:E,U236,Productos!A:A))</f>
        <v/>
      </c>
      <c r="R236" s="4" t="str">
        <f t="array" ref="R236">IF(L236="","", max(1,SUMIF(I:I,XLOOKUP(U236,Productos!E:E,Productos!G:G,"",0,1),J:J)))</f>
        <v/>
      </c>
      <c r="S236" s="4" t="str">
        <f>IF(Q236="","",IF(SUMIFS(Compat_Vetado!D:D,Compat_Vetado!B:B,SUM(G:G),Compat_Vetado!C:C,Q236)=1,"SI",IF(OR(SUMIF(Cotizador!E:E,Q236,Cotizador!G:G)&gt;0,SUMIFS(Compat_Vetado!D:D,Compat_Vetado!B:B,SUM(G:G),Compat_Vetado!C:C,Q236)=-1),"NO","")))</f>
        <v/>
      </c>
      <c r="T236" s="4" t="str">
        <f t="shared" si="6"/>
        <v/>
      </c>
      <c r="U236" s="4" t="str">
        <f>IFERROR(__xludf.DUMMYFUNCTION("IF(P236="""","""",IFERROR(INDEX(filter(Productos!E:E,Productos!F:F=L236,Productos!H:H=N236),P236),IF(M236=SUM(D:D),""Finalizar"",""-"")))"),"")</f>
        <v/>
      </c>
      <c r="V236" s="4" t="str">
        <f>IFERROR(__xludf.DUMMYFUNCTION("IF(OR($U236="""",COUNTIF($I:$I,IFERROR(unique(filter(Prod_Prop!$H:$H,Prod_Prop!$G:$G=$U236,Prod_Prop!$E:$E=V$1)),""Check""))=0),"""",IFERROR(unique(filter(Prod_Prop!$H:$H,Prod_Prop!$G:$G=$U236,Prod_Prop!$E:$E=V$1)),""""))"),"")</f>
        <v/>
      </c>
      <c r="W236" s="4" t="str">
        <f>IF(V236="","",SUMIFS(Prod_Prop!$J:$J,Prod_Prop!$B:$B,$Q236,Prod_Prop!$H:$H,V236,Prod_Prop!$I:$I,W$1)*IF(V236="Peso",$R236,1))</f>
        <v/>
      </c>
      <c r="X236" s="4" t="str">
        <f>IF(V236="","",SUMIFS(Prod_Prop!$J:$J,Prod_Prop!$B:$B,$Q236,Prod_Prop!$H:$H,V236,Prod_Prop!$I:$I,X$1)*IF(V236="Peso",$R236,1))</f>
        <v/>
      </c>
      <c r="Y236" s="4" t="str">
        <f>IFERROR(__xludf.DUMMYFUNCTION("IF(OR($U236="""",COUNTIF($I:$I,IFERROR(unique(filter(Prod_Prop!$H:$H,Prod_Prop!$G:$G=$U236,Prod_Prop!$E:$E=Y$1)),""Check""))=0),"""",IFERROR(unique(filter(Prod_Prop!$H:$H,Prod_Prop!$G:$G=$U236,Prod_Prop!$E:$E=Y$1)),""""))"),"")</f>
        <v/>
      </c>
      <c r="Z236" s="4" t="str">
        <f>IF(Y236="","",SUMIFS(Prod_Prop!$J:$J,Prod_Prop!$B:$B,$Q236,Prod_Prop!$H:$H,Y236,Prod_Prop!$I:$I,Z$1)*IF(Y236="Peso",$R236,1))</f>
        <v/>
      </c>
      <c r="AA236" s="4" t="str">
        <f>IF(Y236="","",SUMIFS(Prod_Prop!$J:$J,Prod_Prop!$B:$B,$Q236,Prod_Prop!$H:$H,Y236,Prod_Prop!$I:$I,AA$1)*IF(Y236="Peso",$R236,1))</f>
        <v/>
      </c>
      <c r="AB236" s="4" t="str">
        <f>IFERROR(__xludf.DUMMYFUNCTION("IF(OR($U236="""",COUNTIF($I:$I,IFERROR(unique(filter(Prod_Prop!$H:$H,Prod_Prop!$G:$G=$U236,Prod_Prop!$E:$E=AB$1)),""Check""))=0),"""",IFERROR(unique(filter(Prod_Prop!$H:$H,Prod_Prop!$G:$G=$U236,Prod_Prop!$E:$E=AB$1)),""""))"),"")</f>
        <v/>
      </c>
      <c r="AC236" s="4" t="str">
        <f>IF(AB236="","",SUMIFS(Prod_Prop!$J:$J,Prod_Prop!$B:$B,$Q236,Prod_Prop!$H:$H,AB236,Prod_Prop!$I:$I,AC$1)*IF(AB236="Peso",$R236,1))</f>
        <v/>
      </c>
      <c r="AD236" s="4" t="str">
        <f>IF(AB236="","",SUMIFS(Prod_Prop!$J:$J,Prod_Prop!$B:$B,$Q236,Prod_Prop!$H:$H,AB236,Prod_Prop!$I:$I,AD$1)*IF(AB236="Peso",$R236,1))</f>
        <v/>
      </c>
    </row>
    <row r="237">
      <c r="A237" s="4" t="str">
        <f t="array" ref="A237">IF(COUNTIF(A$1:A236,Cotizador!F$2)=maxifs(Familias!E:E,Familias!D:D,Cotizador!F$2),IF(COUNTIF(A$1:A236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7" s="4" t="str">
        <f t="shared" si="1"/>
        <v/>
      </c>
      <c r="C237" s="4" t="str">
        <f t="array" ref="C237">IF(B237="","",IF(A237=XLOOKUP(A$2,Implementos!B:B,Implementos!C:C,"",0,1),B237+maxifs(B$1:B236,A$1:A236,A$2),B237))</f>
        <v/>
      </c>
      <c r="D237" s="4" t="str">
        <f>IF(B237="","", COUNTIFS(Productos!F:F,A237,Productos!H:H,B237)+IF(F237="SI",0,1))</f>
        <v/>
      </c>
      <c r="E237" s="4" t="str">
        <f>IFERROR(__xludf.DUMMYFUNCTION("IF($B237="""","""",INDEX(filter(Familias!F:F,Familias!$D:$D=$A237,Familias!$E:$E=$B237),1))"),"")</f>
        <v/>
      </c>
      <c r="F237" s="4" t="str">
        <f>IFERROR(__xludf.DUMMYFUNCTION("IF($B237="""","""",INDEX(filter(Familias!G:G,Familias!$D:$D=$A237,Familias!$E:$E=$B237),1))"),"")</f>
        <v/>
      </c>
      <c r="G237" s="4" t="str">
        <f t="array" ref="G237">IF(C237=1,XLOOKUP(C237,Cotizador!D:D,Cotizador!E:E,"",0,1),"")</f>
        <v/>
      </c>
      <c r="I237" s="4"/>
      <c r="J237" s="8" t="str">
        <f>IF(I237="","",SUMIF(Cotizador!I$1:V$1,I237,Cotizador!I$2:V$2))</f>
        <v/>
      </c>
      <c r="L237" s="4" t="str">
        <f t="array" ref="L237">IF(COUNTIF(L$1:L236,A$2)=SUMIF(A:A,A$2,D:D),IF(COUNTIF(L$1:L236,XLOOKUP(A$2,Implementos!B:B,Implementos!C:C,"",0,1))=SUMIF(A:A,XLOOKUP(A$2,Implementos!B:B,Implementos!C:C,"",0,1),D:D),"",XLOOKUP(A$2,Implementos!B:B,Implementos!C:C,"",0,1)),A$2)</f>
        <v/>
      </c>
      <c r="M237" s="4" t="str">
        <f t="shared" si="2"/>
        <v/>
      </c>
      <c r="N237" s="4" t="str">
        <f t="shared" si="3"/>
        <v/>
      </c>
      <c r="O237" s="4" t="str">
        <f t="shared" si="4"/>
        <v/>
      </c>
      <c r="P237" s="4" t="str">
        <f t="shared" si="5"/>
        <v/>
      </c>
      <c r="Q237" s="4" t="str">
        <f>IF(U237="","",SUMIF(Productos!E:E,U237,Productos!A:A))</f>
        <v/>
      </c>
      <c r="R237" s="4" t="str">
        <f t="array" ref="R237">IF(L237="","", max(1,SUMIF(I:I,XLOOKUP(U237,Productos!E:E,Productos!G:G,"",0,1),J:J)))</f>
        <v/>
      </c>
      <c r="S237" s="4" t="str">
        <f>IF(Q237="","",IF(SUMIFS(Compat_Vetado!D:D,Compat_Vetado!B:B,SUM(G:G),Compat_Vetado!C:C,Q237)=1,"SI",IF(OR(SUMIF(Cotizador!E:E,Q237,Cotizador!G:G)&gt;0,SUMIFS(Compat_Vetado!D:D,Compat_Vetado!B:B,SUM(G:G),Compat_Vetado!C:C,Q237)=-1),"NO","")))</f>
        <v/>
      </c>
      <c r="T237" s="4" t="str">
        <f t="shared" si="6"/>
        <v/>
      </c>
      <c r="U237" s="4" t="str">
        <f>IFERROR(__xludf.DUMMYFUNCTION("IF(P237="""","""",IFERROR(INDEX(filter(Productos!E:E,Productos!F:F=L237,Productos!H:H=N237),P237),IF(M237=SUM(D:D),""Finalizar"",""-"")))"),"")</f>
        <v/>
      </c>
      <c r="V237" s="4" t="str">
        <f>IFERROR(__xludf.DUMMYFUNCTION("IF(OR($U237="""",COUNTIF($I:$I,IFERROR(unique(filter(Prod_Prop!$H:$H,Prod_Prop!$G:$G=$U237,Prod_Prop!$E:$E=V$1)),""Check""))=0),"""",IFERROR(unique(filter(Prod_Prop!$H:$H,Prod_Prop!$G:$G=$U237,Prod_Prop!$E:$E=V$1)),""""))"),"")</f>
        <v/>
      </c>
      <c r="W237" s="4" t="str">
        <f>IF(V237="","",SUMIFS(Prod_Prop!$J:$J,Prod_Prop!$B:$B,$Q237,Prod_Prop!$H:$H,V237,Prod_Prop!$I:$I,W$1)*IF(V237="Peso",$R237,1))</f>
        <v/>
      </c>
      <c r="X237" s="4" t="str">
        <f>IF(V237="","",SUMIFS(Prod_Prop!$J:$J,Prod_Prop!$B:$B,$Q237,Prod_Prop!$H:$H,V237,Prod_Prop!$I:$I,X$1)*IF(V237="Peso",$R237,1))</f>
        <v/>
      </c>
      <c r="Y237" s="4" t="str">
        <f>IFERROR(__xludf.DUMMYFUNCTION("IF(OR($U237="""",COUNTIF($I:$I,IFERROR(unique(filter(Prod_Prop!$H:$H,Prod_Prop!$G:$G=$U237,Prod_Prop!$E:$E=Y$1)),""Check""))=0),"""",IFERROR(unique(filter(Prod_Prop!$H:$H,Prod_Prop!$G:$G=$U237,Prod_Prop!$E:$E=Y$1)),""""))"),"")</f>
        <v/>
      </c>
      <c r="Z237" s="4" t="str">
        <f>IF(Y237="","",SUMIFS(Prod_Prop!$J:$J,Prod_Prop!$B:$B,$Q237,Prod_Prop!$H:$H,Y237,Prod_Prop!$I:$I,Z$1)*IF(Y237="Peso",$R237,1))</f>
        <v/>
      </c>
      <c r="AA237" s="4" t="str">
        <f>IF(Y237="","",SUMIFS(Prod_Prop!$J:$J,Prod_Prop!$B:$B,$Q237,Prod_Prop!$H:$H,Y237,Prod_Prop!$I:$I,AA$1)*IF(Y237="Peso",$R237,1))</f>
        <v/>
      </c>
      <c r="AB237" s="4" t="str">
        <f>IFERROR(__xludf.DUMMYFUNCTION("IF(OR($U237="""",COUNTIF($I:$I,IFERROR(unique(filter(Prod_Prop!$H:$H,Prod_Prop!$G:$G=$U237,Prod_Prop!$E:$E=AB$1)),""Check""))=0),"""",IFERROR(unique(filter(Prod_Prop!$H:$H,Prod_Prop!$G:$G=$U237,Prod_Prop!$E:$E=AB$1)),""""))"),"")</f>
        <v/>
      </c>
      <c r="AC237" s="4" t="str">
        <f>IF(AB237="","",SUMIFS(Prod_Prop!$J:$J,Prod_Prop!$B:$B,$Q237,Prod_Prop!$H:$H,AB237,Prod_Prop!$I:$I,AC$1)*IF(AB237="Peso",$R237,1))</f>
        <v/>
      </c>
      <c r="AD237" s="4" t="str">
        <f>IF(AB237="","",SUMIFS(Prod_Prop!$J:$J,Prod_Prop!$B:$B,$Q237,Prod_Prop!$H:$H,AB237,Prod_Prop!$I:$I,AD$1)*IF(AB237="Peso",$R237,1))</f>
        <v/>
      </c>
    </row>
    <row r="238">
      <c r="A238" s="4" t="str">
        <f t="array" ref="A238">IF(COUNTIF(A$1:A237,Cotizador!F$2)=maxifs(Familias!E:E,Familias!D:D,Cotizador!F$2),IF(COUNTIF(A$1:A237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8" s="4" t="str">
        <f t="shared" si="1"/>
        <v/>
      </c>
      <c r="C238" s="4" t="str">
        <f t="array" ref="C238">IF(B238="","",IF(A238=XLOOKUP(A$2,Implementos!B:B,Implementos!C:C,"",0,1),B238+maxifs(B$1:B237,A$1:A237,A$2),B238))</f>
        <v/>
      </c>
      <c r="D238" s="4" t="str">
        <f>IF(B238="","", COUNTIFS(Productos!F:F,A238,Productos!H:H,B238)+IF(F238="SI",0,1))</f>
        <v/>
      </c>
      <c r="E238" s="4" t="str">
        <f>IFERROR(__xludf.DUMMYFUNCTION("IF($B238="""","""",INDEX(filter(Familias!F:F,Familias!$D:$D=$A238,Familias!$E:$E=$B238),1))"),"")</f>
        <v/>
      </c>
      <c r="F238" s="4" t="str">
        <f>IFERROR(__xludf.DUMMYFUNCTION("IF($B238="""","""",INDEX(filter(Familias!G:G,Familias!$D:$D=$A238,Familias!$E:$E=$B238),1))"),"")</f>
        <v/>
      </c>
      <c r="G238" s="4" t="str">
        <f t="array" ref="G238">IF(C238=1,XLOOKUP(C238,Cotizador!D:D,Cotizador!E:E,"",0,1),"")</f>
        <v/>
      </c>
      <c r="I238" s="4"/>
      <c r="J238" s="8" t="str">
        <f>IF(I238="","",SUMIF(Cotizador!I$1:V$1,I238,Cotizador!I$2:V$2))</f>
        <v/>
      </c>
      <c r="L238" s="4" t="str">
        <f t="array" ref="L238">IF(COUNTIF(L$1:L237,A$2)=SUMIF(A:A,A$2,D:D),IF(COUNTIF(L$1:L237,XLOOKUP(A$2,Implementos!B:B,Implementos!C:C,"",0,1))=SUMIF(A:A,XLOOKUP(A$2,Implementos!B:B,Implementos!C:C,"",0,1),D:D),"",XLOOKUP(A$2,Implementos!B:B,Implementos!C:C,"",0,1)),A$2)</f>
        <v/>
      </c>
      <c r="M238" s="4" t="str">
        <f t="shared" si="2"/>
        <v/>
      </c>
      <c r="N238" s="4" t="str">
        <f t="shared" si="3"/>
        <v/>
      </c>
      <c r="O238" s="4" t="str">
        <f t="shared" si="4"/>
        <v/>
      </c>
      <c r="P238" s="4" t="str">
        <f t="shared" si="5"/>
        <v/>
      </c>
      <c r="Q238" s="4" t="str">
        <f>IF(U238="","",SUMIF(Productos!E:E,U238,Productos!A:A))</f>
        <v/>
      </c>
      <c r="R238" s="4" t="str">
        <f t="array" ref="R238">IF(L238="","", max(1,SUMIF(I:I,XLOOKUP(U238,Productos!E:E,Productos!G:G,"",0,1),J:J)))</f>
        <v/>
      </c>
      <c r="S238" s="4" t="str">
        <f>IF(Q238="","",IF(SUMIFS(Compat_Vetado!D:D,Compat_Vetado!B:B,SUM(G:G),Compat_Vetado!C:C,Q238)=1,"SI",IF(OR(SUMIF(Cotizador!E:E,Q238,Cotizador!G:G)&gt;0,SUMIFS(Compat_Vetado!D:D,Compat_Vetado!B:B,SUM(G:G),Compat_Vetado!C:C,Q238)=-1),"NO","")))</f>
        <v/>
      </c>
      <c r="T238" s="4" t="str">
        <f t="shared" si="6"/>
        <v/>
      </c>
      <c r="U238" s="4" t="str">
        <f>IFERROR(__xludf.DUMMYFUNCTION("IF(P238="""","""",IFERROR(INDEX(filter(Productos!E:E,Productos!F:F=L238,Productos!H:H=N238),P238),IF(M238=SUM(D:D),""Finalizar"",""-"")))"),"")</f>
        <v/>
      </c>
      <c r="V238" s="4" t="str">
        <f>IFERROR(__xludf.DUMMYFUNCTION("IF(OR($U238="""",COUNTIF($I:$I,IFERROR(unique(filter(Prod_Prop!$H:$H,Prod_Prop!$G:$G=$U238,Prod_Prop!$E:$E=V$1)),""Check""))=0),"""",IFERROR(unique(filter(Prod_Prop!$H:$H,Prod_Prop!$G:$G=$U238,Prod_Prop!$E:$E=V$1)),""""))"),"")</f>
        <v/>
      </c>
      <c r="W238" s="4" t="str">
        <f>IF(V238="","",SUMIFS(Prod_Prop!$J:$J,Prod_Prop!$B:$B,$Q238,Prod_Prop!$H:$H,V238,Prod_Prop!$I:$I,W$1)*IF(V238="Peso",$R238,1))</f>
        <v/>
      </c>
      <c r="X238" s="4" t="str">
        <f>IF(V238="","",SUMIFS(Prod_Prop!$J:$J,Prod_Prop!$B:$B,$Q238,Prod_Prop!$H:$H,V238,Prod_Prop!$I:$I,X$1)*IF(V238="Peso",$R238,1))</f>
        <v/>
      </c>
      <c r="Y238" s="4" t="str">
        <f>IFERROR(__xludf.DUMMYFUNCTION("IF(OR($U238="""",COUNTIF($I:$I,IFERROR(unique(filter(Prod_Prop!$H:$H,Prod_Prop!$G:$G=$U238,Prod_Prop!$E:$E=Y$1)),""Check""))=0),"""",IFERROR(unique(filter(Prod_Prop!$H:$H,Prod_Prop!$G:$G=$U238,Prod_Prop!$E:$E=Y$1)),""""))"),"")</f>
        <v/>
      </c>
      <c r="Z238" s="4" t="str">
        <f>IF(Y238="","",SUMIFS(Prod_Prop!$J:$J,Prod_Prop!$B:$B,$Q238,Prod_Prop!$H:$H,Y238,Prod_Prop!$I:$I,Z$1)*IF(Y238="Peso",$R238,1))</f>
        <v/>
      </c>
      <c r="AA238" s="4" t="str">
        <f>IF(Y238="","",SUMIFS(Prod_Prop!$J:$J,Prod_Prop!$B:$B,$Q238,Prod_Prop!$H:$H,Y238,Prod_Prop!$I:$I,AA$1)*IF(Y238="Peso",$R238,1))</f>
        <v/>
      </c>
      <c r="AB238" s="4" t="str">
        <f>IFERROR(__xludf.DUMMYFUNCTION("IF(OR($U238="""",COUNTIF($I:$I,IFERROR(unique(filter(Prod_Prop!$H:$H,Prod_Prop!$G:$G=$U238,Prod_Prop!$E:$E=AB$1)),""Check""))=0),"""",IFERROR(unique(filter(Prod_Prop!$H:$H,Prod_Prop!$G:$G=$U238,Prod_Prop!$E:$E=AB$1)),""""))"),"")</f>
        <v/>
      </c>
      <c r="AC238" s="4" t="str">
        <f>IF(AB238="","",SUMIFS(Prod_Prop!$J:$J,Prod_Prop!$B:$B,$Q238,Prod_Prop!$H:$H,AB238,Prod_Prop!$I:$I,AC$1)*IF(AB238="Peso",$R238,1))</f>
        <v/>
      </c>
      <c r="AD238" s="4" t="str">
        <f>IF(AB238="","",SUMIFS(Prod_Prop!$J:$J,Prod_Prop!$B:$B,$Q238,Prod_Prop!$H:$H,AB238,Prod_Prop!$I:$I,AD$1)*IF(AB238="Peso",$R238,1))</f>
        <v/>
      </c>
    </row>
    <row r="239">
      <c r="A239" s="4" t="str">
        <f t="array" ref="A239">IF(COUNTIF(A$1:A238,Cotizador!F$2)=maxifs(Familias!E:E,Familias!D:D,Cotizador!F$2),IF(COUNTIF(A$1:A238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39" s="4" t="str">
        <f t="shared" si="1"/>
        <v/>
      </c>
      <c r="C239" s="4" t="str">
        <f t="array" ref="C239">IF(B239="","",IF(A239=XLOOKUP(A$2,Implementos!B:B,Implementos!C:C,"",0,1),B239+maxifs(B$1:B238,A$1:A238,A$2),B239))</f>
        <v/>
      </c>
      <c r="D239" s="4" t="str">
        <f>IF(B239="","", COUNTIFS(Productos!F:F,A239,Productos!H:H,B239)+IF(F239="SI",0,1))</f>
        <v/>
      </c>
      <c r="E239" s="4" t="str">
        <f>IFERROR(__xludf.DUMMYFUNCTION("IF($B239="""","""",INDEX(filter(Familias!F:F,Familias!$D:$D=$A239,Familias!$E:$E=$B239),1))"),"")</f>
        <v/>
      </c>
      <c r="F239" s="4" t="str">
        <f>IFERROR(__xludf.DUMMYFUNCTION("IF($B239="""","""",INDEX(filter(Familias!G:G,Familias!$D:$D=$A239,Familias!$E:$E=$B239),1))"),"")</f>
        <v/>
      </c>
      <c r="G239" s="4" t="str">
        <f t="array" ref="G239">IF(C239=1,XLOOKUP(C239,Cotizador!D:D,Cotizador!E:E,"",0,1),"")</f>
        <v/>
      </c>
      <c r="I239" s="4"/>
      <c r="J239" s="8" t="str">
        <f>IF(I239="","",SUMIF(Cotizador!I$1:V$1,I239,Cotizador!I$2:V$2))</f>
        <v/>
      </c>
      <c r="L239" s="4" t="str">
        <f t="array" ref="L239">IF(COUNTIF(L$1:L238,A$2)=SUMIF(A:A,A$2,D:D),IF(COUNTIF(L$1:L238,XLOOKUP(A$2,Implementos!B:B,Implementos!C:C,"",0,1))=SUMIF(A:A,XLOOKUP(A$2,Implementos!B:B,Implementos!C:C,"",0,1),D:D),"",XLOOKUP(A$2,Implementos!B:B,Implementos!C:C,"",0,1)),A$2)</f>
        <v/>
      </c>
      <c r="M239" s="4" t="str">
        <f t="shared" si="2"/>
        <v/>
      </c>
      <c r="N239" s="4" t="str">
        <f t="shared" si="3"/>
        <v/>
      </c>
      <c r="O239" s="4" t="str">
        <f t="shared" si="4"/>
        <v/>
      </c>
      <c r="P239" s="4" t="str">
        <f t="shared" si="5"/>
        <v/>
      </c>
      <c r="Q239" s="4" t="str">
        <f>IF(U239="","",SUMIF(Productos!E:E,U239,Productos!A:A))</f>
        <v/>
      </c>
      <c r="R239" s="4" t="str">
        <f t="array" ref="R239">IF(L239="","", max(1,SUMIF(I:I,XLOOKUP(U239,Productos!E:E,Productos!G:G,"",0,1),J:J)))</f>
        <v/>
      </c>
      <c r="S239" s="4" t="str">
        <f>IF(Q239="","",IF(SUMIFS(Compat_Vetado!D:D,Compat_Vetado!B:B,SUM(G:G),Compat_Vetado!C:C,Q239)=1,"SI",IF(OR(SUMIF(Cotizador!E:E,Q239,Cotizador!G:G)&gt;0,SUMIFS(Compat_Vetado!D:D,Compat_Vetado!B:B,SUM(G:G),Compat_Vetado!C:C,Q239)=-1),"NO","")))</f>
        <v/>
      </c>
      <c r="T239" s="4" t="str">
        <f t="shared" si="6"/>
        <v/>
      </c>
      <c r="U239" s="4" t="str">
        <f>IFERROR(__xludf.DUMMYFUNCTION("IF(P239="""","""",IFERROR(INDEX(filter(Productos!E:E,Productos!F:F=L239,Productos!H:H=N239),P239),IF(M239=SUM(D:D),""Finalizar"",""-"")))"),"")</f>
        <v/>
      </c>
      <c r="V239" s="4" t="str">
        <f>IFERROR(__xludf.DUMMYFUNCTION("IF(OR($U239="""",COUNTIF($I:$I,IFERROR(unique(filter(Prod_Prop!$H:$H,Prod_Prop!$G:$G=$U239,Prod_Prop!$E:$E=V$1)),""Check""))=0),"""",IFERROR(unique(filter(Prod_Prop!$H:$H,Prod_Prop!$G:$G=$U239,Prod_Prop!$E:$E=V$1)),""""))"),"")</f>
        <v/>
      </c>
      <c r="W239" s="4" t="str">
        <f>IF(V239="","",SUMIFS(Prod_Prop!$J:$J,Prod_Prop!$B:$B,$Q239,Prod_Prop!$H:$H,V239,Prod_Prop!$I:$I,W$1)*IF(V239="Peso",$R239,1))</f>
        <v/>
      </c>
      <c r="X239" s="4" t="str">
        <f>IF(V239="","",SUMIFS(Prod_Prop!$J:$J,Prod_Prop!$B:$B,$Q239,Prod_Prop!$H:$H,V239,Prod_Prop!$I:$I,X$1)*IF(V239="Peso",$R239,1))</f>
        <v/>
      </c>
      <c r="Y239" s="4" t="str">
        <f>IFERROR(__xludf.DUMMYFUNCTION("IF(OR($U239="""",COUNTIF($I:$I,IFERROR(unique(filter(Prod_Prop!$H:$H,Prod_Prop!$G:$G=$U239,Prod_Prop!$E:$E=Y$1)),""Check""))=0),"""",IFERROR(unique(filter(Prod_Prop!$H:$H,Prod_Prop!$G:$G=$U239,Prod_Prop!$E:$E=Y$1)),""""))"),"")</f>
        <v/>
      </c>
      <c r="Z239" s="4" t="str">
        <f>IF(Y239="","",SUMIFS(Prod_Prop!$J:$J,Prod_Prop!$B:$B,$Q239,Prod_Prop!$H:$H,Y239,Prod_Prop!$I:$I,Z$1)*IF(Y239="Peso",$R239,1))</f>
        <v/>
      </c>
      <c r="AA239" s="4" t="str">
        <f>IF(Y239="","",SUMIFS(Prod_Prop!$J:$J,Prod_Prop!$B:$B,$Q239,Prod_Prop!$H:$H,Y239,Prod_Prop!$I:$I,AA$1)*IF(Y239="Peso",$R239,1))</f>
        <v/>
      </c>
      <c r="AB239" s="4" t="str">
        <f>IFERROR(__xludf.DUMMYFUNCTION("IF(OR($U239="""",COUNTIF($I:$I,IFERROR(unique(filter(Prod_Prop!$H:$H,Prod_Prop!$G:$G=$U239,Prod_Prop!$E:$E=AB$1)),""Check""))=0),"""",IFERROR(unique(filter(Prod_Prop!$H:$H,Prod_Prop!$G:$G=$U239,Prod_Prop!$E:$E=AB$1)),""""))"),"")</f>
        <v/>
      </c>
      <c r="AC239" s="4" t="str">
        <f>IF(AB239="","",SUMIFS(Prod_Prop!$J:$J,Prod_Prop!$B:$B,$Q239,Prod_Prop!$H:$H,AB239,Prod_Prop!$I:$I,AC$1)*IF(AB239="Peso",$R239,1))</f>
        <v/>
      </c>
      <c r="AD239" s="4" t="str">
        <f>IF(AB239="","",SUMIFS(Prod_Prop!$J:$J,Prod_Prop!$B:$B,$Q239,Prod_Prop!$H:$H,AB239,Prod_Prop!$I:$I,AD$1)*IF(AB239="Peso",$R239,1))</f>
        <v/>
      </c>
    </row>
    <row r="240">
      <c r="A240" s="4" t="str">
        <f t="array" ref="A240">IF(COUNTIF(A$1:A239,Cotizador!F$2)=maxifs(Familias!E:E,Familias!D:D,Cotizador!F$2),IF(COUNTIF(A$1:A239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0" s="4" t="str">
        <f t="shared" si="1"/>
        <v/>
      </c>
      <c r="C240" s="4" t="str">
        <f t="array" ref="C240">IF(B240="","",IF(A240=XLOOKUP(A$2,Implementos!B:B,Implementos!C:C,"",0,1),B240+maxifs(B$1:B239,A$1:A239,A$2),B240))</f>
        <v/>
      </c>
      <c r="D240" s="4" t="str">
        <f>IF(B240="","", COUNTIFS(Productos!F:F,A240,Productos!H:H,B240)+IF(F240="SI",0,1))</f>
        <v/>
      </c>
      <c r="E240" s="4" t="str">
        <f>IFERROR(__xludf.DUMMYFUNCTION("IF($B240="""","""",INDEX(filter(Familias!F:F,Familias!$D:$D=$A240,Familias!$E:$E=$B240),1))"),"")</f>
        <v/>
      </c>
      <c r="F240" s="4" t="str">
        <f>IFERROR(__xludf.DUMMYFUNCTION("IF($B240="""","""",INDEX(filter(Familias!G:G,Familias!$D:$D=$A240,Familias!$E:$E=$B240),1))"),"")</f>
        <v/>
      </c>
      <c r="G240" s="4" t="str">
        <f t="array" ref="G240">IF(C240=1,XLOOKUP(C240,Cotizador!D:D,Cotizador!E:E,"",0,1),"")</f>
        <v/>
      </c>
      <c r="I240" s="4"/>
      <c r="J240" s="8" t="str">
        <f>IF(I240="","",SUMIF(Cotizador!I$1:V$1,I240,Cotizador!I$2:V$2))</f>
        <v/>
      </c>
      <c r="L240" s="4" t="str">
        <f t="array" ref="L240">IF(COUNTIF(L$1:L239,A$2)=SUMIF(A:A,A$2,D:D),IF(COUNTIF(L$1:L239,XLOOKUP(A$2,Implementos!B:B,Implementos!C:C,"",0,1))=SUMIF(A:A,XLOOKUP(A$2,Implementos!B:B,Implementos!C:C,"",0,1),D:D),"",XLOOKUP(A$2,Implementos!B:B,Implementos!C:C,"",0,1)),A$2)</f>
        <v/>
      </c>
      <c r="M240" s="4" t="str">
        <f t="shared" si="2"/>
        <v/>
      </c>
      <c r="N240" s="4" t="str">
        <f t="shared" si="3"/>
        <v/>
      </c>
      <c r="O240" s="4" t="str">
        <f t="shared" si="4"/>
        <v/>
      </c>
      <c r="P240" s="4" t="str">
        <f t="shared" si="5"/>
        <v/>
      </c>
      <c r="Q240" s="4" t="str">
        <f>IF(U240="","",SUMIF(Productos!E:E,U240,Productos!A:A))</f>
        <v/>
      </c>
      <c r="R240" s="4" t="str">
        <f t="array" ref="R240">IF(L240="","", max(1,SUMIF(I:I,XLOOKUP(U240,Productos!E:E,Productos!G:G,"",0,1),J:J)))</f>
        <v/>
      </c>
      <c r="S240" s="4" t="str">
        <f>IF(Q240="","",IF(SUMIFS(Compat_Vetado!D:D,Compat_Vetado!B:B,SUM(G:G),Compat_Vetado!C:C,Q240)=1,"SI",IF(OR(SUMIF(Cotizador!E:E,Q240,Cotizador!G:G)&gt;0,SUMIFS(Compat_Vetado!D:D,Compat_Vetado!B:B,SUM(G:G),Compat_Vetado!C:C,Q240)=-1),"NO","")))</f>
        <v/>
      </c>
      <c r="T240" s="4" t="str">
        <f t="shared" si="6"/>
        <v/>
      </c>
      <c r="U240" s="4" t="str">
        <f>IFERROR(__xludf.DUMMYFUNCTION("IF(P240="""","""",IFERROR(INDEX(filter(Productos!E:E,Productos!F:F=L240,Productos!H:H=N240),P240),IF(M240=SUM(D:D),""Finalizar"",""-"")))"),"")</f>
        <v/>
      </c>
      <c r="V240" s="4" t="str">
        <f>IFERROR(__xludf.DUMMYFUNCTION("IF(OR($U240="""",COUNTIF($I:$I,IFERROR(unique(filter(Prod_Prop!$H:$H,Prod_Prop!$G:$G=$U240,Prod_Prop!$E:$E=V$1)),""Check""))=0),"""",IFERROR(unique(filter(Prod_Prop!$H:$H,Prod_Prop!$G:$G=$U240,Prod_Prop!$E:$E=V$1)),""""))"),"")</f>
        <v/>
      </c>
      <c r="W240" s="4" t="str">
        <f>IF(V240="","",SUMIFS(Prod_Prop!$J:$J,Prod_Prop!$B:$B,$Q240,Prod_Prop!$H:$H,V240,Prod_Prop!$I:$I,W$1)*IF(V240="Peso",$R240,1))</f>
        <v/>
      </c>
      <c r="X240" s="4" t="str">
        <f>IF(V240="","",SUMIFS(Prod_Prop!$J:$J,Prod_Prop!$B:$B,$Q240,Prod_Prop!$H:$H,V240,Prod_Prop!$I:$I,X$1)*IF(V240="Peso",$R240,1))</f>
        <v/>
      </c>
      <c r="Y240" s="4" t="str">
        <f>IFERROR(__xludf.DUMMYFUNCTION("IF(OR($U240="""",COUNTIF($I:$I,IFERROR(unique(filter(Prod_Prop!$H:$H,Prod_Prop!$G:$G=$U240,Prod_Prop!$E:$E=Y$1)),""Check""))=0),"""",IFERROR(unique(filter(Prod_Prop!$H:$H,Prod_Prop!$G:$G=$U240,Prod_Prop!$E:$E=Y$1)),""""))"),"")</f>
        <v/>
      </c>
      <c r="Z240" s="4" t="str">
        <f>IF(Y240="","",SUMIFS(Prod_Prop!$J:$J,Prod_Prop!$B:$B,$Q240,Prod_Prop!$H:$H,Y240,Prod_Prop!$I:$I,Z$1)*IF(Y240="Peso",$R240,1))</f>
        <v/>
      </c>
      <c r="AA240" s="4" t="str">
        <f>IF(Y240="","",SUMIFS(Prod_Prop!$J:$J,Prod_Prop!$B:$B,$Q240,Prod_Prop!$H:$H,Y240,Prod_Prop!$I:$I,AA$1)*IF(Y240="Peso",$R240,1))</f>
        <v/>
      </c>
      <c r="AB240" s="4" t="str">
        <f>IFERROR(__xludf.DUMMYFUNCTION("IF(OR($U240="""",COUNTIF($I:$I,IFERROR(unique(filter(Prod_Prop!$H:$H,Prod_Prop!$G:$G=$U240,Prod_Prop!$E:$E=AB$1)),""Check""))=0),"""",IFERROR(unique(filter(Prod_Prop!$H:$H,Prod_Prop!$G:$G=$U240,Prod_Prop!$E:$E=AB$1)),""""))"),"")</f>
        <v/>
      </c>
      <c r="AC240" s="4" t="str">
        <f>IF(AB240="","",SUMIFS(Prod_Prop!$J:$J,Prod_Prop!$B:$B,$Q240,Prod_Prop!$H:$H,AB240,Prod_Prop!$I:$I,AC$1)*IF(AB240="Peso",$R240,1))</f>
        <v/>
      </c>
      <c r="AD240" s="4" t="str">
        <f>IF(AB240="","",SUMIFS(Prod_Prop!$J:$J,Prod_Prop!$B:$B,$Q240,Prod_Prop!$H:$H,AB240,Prod_Prop!$I:$I,AD$1)*IF(AB240="Peso",$R240,1))</f>
        <v/>
      </c>
    </row>
    <row r="241">
      <c r="A241" s="4" t="str">
        <f t="array" ref="A241">IF(COUNTIF(A$1:A240,Cotizador!F$2)=maxifs(Familias!E:E,Familias!D:D,Cotizador!F$2),IF(COUNTIF(A$1:A240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1" s="4" t="str">
        <f t="shared" si="1"/>
        <v/>
      </c>
      <c r="C241" s="4" t="str">
        <f t="array" ref="C241">IF(B241="","",IF(A241=XLOOKUP(A$2,Implementos!B:B,Implementos!C:C,"",0,1),B241+maxifs(B$1:B240,A$1:A240,A$2),B241))</f>
        <v/>
      </c>
      <c r="D241" s="4" t="str">
        <f>IF(B241="","", COUNTIFS(Productos!F:F,A241,Productos!H:H,B241)+IF(F241="SI",0,1))</f>
        <v/>
      </c>
      <c r="E241" s="4" t="str">
        <f>IFERROR(__xludf.DUMMYFUNCTION("IF($B241="""","""",INDEX(filter(Familias!F:F,Familias!$D:$D=$A241,Familias!$E:$E=$B241),1))"),"")</f>
        <v/>
      </c>
      <c r="F241" s="4" t="str">
        <f>IFERROR(__xludf.DUMMYFUNCTION("IF($B241="""","""",INDEX(filter(Familias!G:G,Familias!$D:$D=$A241,Familias!$E:$E=$B241),1))"),"")</f>
        <v/>
      </c>
      <c r="G241" s="4" t="str">
        <f t="array" ref="G241">IF(C241=1,XLOOKUP(C241,Cotizador!D:D,Cotizador!E:E,"",0,1),"")</f>
        <v/>
      </c>
      <c r="I241" s="4"/>
      <c r="J241" s="8" t="str">
        <f>IF(I241="","",SUMIF(Cotizador!I$1:V$1,I241,Cotizador!I$2:V$2))</f>
        <v/>
      </c>
      <c r="L241" s="4" t="str">
        <f t="array" ref="L241">IF(COUNTIF(L$1:L240,A$2)=SUMIF(A:A,A$2,D:D),IF(COUNTIF(L$1:L240,XLOOKUP(A$2,Implementos!B:B,Implementos!C:C,"",0,1))=SUMIF(A:A,XLOOKUP(A$2,Implementos!B:B,Implementos!C:C,"",0,1),D:D),"",XLOOKUP(A$2,Implementos!B:B,Implementos!C:C,"",0,1)),A$2)</f>
        <v/>
      </c>
      <c r="M241" s="4" t="str">
        <f t="shared" si="2"/>
        <v/>
      </c>
      <c r="N241" s="4" t="str">
        <f t="shared" si="3"/>
        <v/>
      </c>
      <c r="O241" s="4" t="str">
        <f t="shared" si="4"/>
        <v/>
      </c>
      <c r="P241" s="4" t="str">
        <f t="shared" si="5"/>
        <v/>
      </c>
      <c r="Q241" s="4" t="str">
        <f>IF(U241="","",SUMIF(Productos!E:E,U241,Productos!A:A))</f>
        <v/>
      </c>
      <c r="R241" s="4" t="str">
        <f t="array" ref="R241">IF(L241="","", max(1,SUMIF(I:I,XLOOKUP(U241,Productos!E:E,Productos!G:G,"",0,1),J:J)))</f>
        <v/>
      </c>
      <c r="S241" s="4" t="str">
        <f>IF(Q241="","",IF(SUMIFS(Compat_Vetado!D:D,Compat_Vetado!B:B,SUM(G:G),Compat_Vetado!C:C,Q241)=1,"SI",IF(OR(SUMIF(Cotizador!E:E,Q241,Cotizador!G:G)&gt;0,SUMIFS(Compat_Vetado!D:D,Compat_Vetado!B:B,SUM(G:G),Compat_Vetado!C:C,Q241)=-1),"NO","")))</f>
        <v/>
      </c>
      <c r="T241" s="4" t="str">
        <f t="shared" si="6"/>
        <v/>
      </c>
      <c r="U241" s="4" t="str">
        <f>IFERROR(__xludf.DUMMYFUNCTION("IF(P241="""","""",IFERROR(INDEX(filter(Productos!E:E,Productos!F:F=L241,Productos!H:H=N241),P241),IF(M241=SUM(D:D),""Finalizar"",""-"")))"),"")</f>
        <v/>
      </c>
      <c r="V241" s="4" t="str">
        <f>IFERROR(__xludf.DUMMYFUNCTION("IF(OR($U241="""",COUNTIF($I:$I,IFERROR(unique(filter(Prod_Prop!$H:$H,Prod_Prop!$G:$G=$U241,Prod_Prop!$E:$E=V$1)),""Check""))=0),"""",IFERROR(unique(filter(Prod_Prop!$H:$H,Prod_Prop!$G:$G=$U241,Prod_Prop!$E:$E=V$1)),""""))"),"")</f>
        <v/>
      </c>
      <c r="W241" s="4" t="str">
        <f>IF(V241="","",SUMIFS(Prod_Prop!$J:$J,Prod_Prop!$B:$B,$Q241,Prod_Prop!$H:$H,V241,Prod_Prop!$I:$I,W$1)*IF(V241="Peso",$R241,1))</f>
        <v/>
      </c>
      <c r="X241" s="4" t="str">
        <f>IF(V241="","",SUMIFS(Prod_Prop!$J:$J,Prod_Prop!$B:$B,$Q241,Prod_Prop!$H:$H,V241,Prod_Prop!$I:$I,X$1)*IF(V241="Peso",$R241,1))</f>
        <v/>
      </c>
      <c r="Y241" s="4" t="str">
        <f>IFERROR(__xludf.DUMMYFUNCTION("IF(OR($U241="""",COUNTIF($I:$I,IFERROR(unique(filter(Prod_Prop!$H:$H,Prod_Prop!$G:$G=$U241,Prod_Prop!$E:$E=Y$1)),""Check""))=0),"""",IFERROR(unique(filter(Prod_Prop!$H:$H,Prod_Prop!$G:$G=$U241,Prod_Prop!$E:$E=Y$1)),""""))"),"")</f>
        <v/>
      </c>
      <c r="Z241" s="4" t="str">
        <f>IF(Y241="","",SUMIFS(Prod_Prop!$J:$J,Prod_Prop!$B:$B,$Q241,Prod_Prop!$H:$H,Y241,Prod_Prop!$I:$I,Z$1)*IF(Y241="Peso",$R241,1))</f>
        <v/>
      </c>
      <c r="AA241" s="4" t="str">
        <f>IF(Y241="","",SUMIFS(Prod_Prop!$J:$J,Prod_Prop!$B:$B,$Q241,Prod_Prop!$H:$H,Y241,Prod_Prop!$I:$I,AA$1)*IF(Y241="Peso",$R241,1))</f>
        <v/>
      </c>
      <c r="AB241" s="4" t="str">
        <f>IFERROR(__xludf.DUMMYFUNCTION("IF(OR($U241="""",COUNTIF($I:$I,IFERROR(unique(filter(Prod_Prop!$H:$H,Prod_Prop!$G:$G=$U241,Prod_Prop!$E:$E=AB$1)),""Check""))=0),"""",IFERROR(unique(filter(Prod_Prop!$H:$H,Prod_Prop!$G:$G=$U241,Prod_Prop!$E:$E=AB$1)),""""))"),"")</f>
        <v/>
      </c>
      <c r="AC241" s="4" t="str">
        <f>IF(AB241="","",SUMIFS(Prod_Prop!$J:$J,Prod_Prop!$B:$B,$Q241,Prod_Prop!$H:$H,AB241,Prod_Prop!$I:$I,AC$1)*IF(AB241="Peso",$R241,1))</f>
        <v/>
      </c>
      <c r="AD241" s="4" t="str">
        <f>IF(AB241="","",SUMIFS(Prod_Prop!$J:$J,Prod_Prop!$B:$B,$Q241,Prod_Prop!$H:$H,AB241,Prod_Prop!$I:$I,AD$1)*IF(AB241="Peso",$R241,1))</f>
        <v/>
      </c>
    </row>
    <row r="242">
      <c r="A242" s="4" t="str">
        <f t="array" ref="A242">IF(COUNTIF(A$1:A241,Cotizador!F$2)=maxifs(Familias!E:E,Familias!D:D,Cotizador!F$2),IF(COUNTIF(A$1:A241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2" s="4" t="str">
        <f t="shared" si="1"/>
        <v/>
      </c>
      <c r="C242" s="4" t="str">
        <f t="array" ref="C242">IF(B242="","",IF(A242=XLOOKUP(A$2,Implementos!B:B,Implementos!C:C,"",0,1),B242+maxifs(B$1:B241,A$1:A241,A$2),B242))</f>
        <v/>
      </c>
      <c r="D242" s="4" t="str">
        <f>IF(B242="","", COUNTIFS(Productos!F:F,A242,Productos!H:H,B242)+IF(F242="SI",0,1))</f>
        <v/>
      </c>
      <c r="E242" s="4" t="str">
        <f>IFERROR(__xludf.DUMMYFUNCTION("IF($B242="""","""",INDEX(filter(Familias!F:F,Familias!$D:$D=$A242,Familias!$E:$E=$B242),1))"),"")</f>
        <v/>
      </c>
      <c r="F242" s="4" t="str">
        <f>IFERROR(__xludf.DUMMYFUNCTION("IF($B242="""","""",INDEX(filter(Familias!G:G,Familias!$D:$D=$A242,Familias!$E:$E=$B242),1))"),"")</f>
        <v/>
      </c>
      <c r="G242" s="4" t="str">
        <f t="array" ref="G242">IF(C242=1,XLOOKUP(C242,Cotizador!D:D,Cotizador!E:E,"",0,1),"")</f>
        <v/>
      </c>
      <c r="I242" s="4"/>
      <c r="J242" s="8" t="str">
        <f>IF(I242="","",SUMIF(Cotizador!I$1:V$1,I242,Cotizador!I$2:V$2))</f>
        <v/>
      </c>
      <c r="L242" s="4" t="str">
        <f t="array" ref="L242">IF(COUNTIF(L$1:L241,A$2)=SUMIF(A:A,A$2,D:D),IF(COUNTIF(L$1:L241,XLOOKUP(A$2,Implementos!B:B,Implementos!C:C,"",0,1))=SUMIF(A:A,XLOOKUP(A$2,Implementos!B:B,Implementos!C:C,"",0,1),D:D),"",XLOOKUP(A$2,Implementos!B:B,Implementos!C:C,"",0,1)),A$2)</f>
        <v/>
      </c>
      <c r="M242" s="4" t="str">
        <f t="shared" si="2"/>
        <v/>
      </c>
      <c r="N242" s="4" t="str">
        <f t="shared" si="3"/>
        <v/>
      </c>
      <c r="O242" s="4" t="str">
        <f t="shared" si="4"/>
        <v/>
      </c>
      <c r="P242" s="4" t="str">
        <f t="shared" si="5"/>
        <v/>
      </c>
      <c r="Q242" s="4" t="str">
        <f>IF(U242="","",SUMIF(Productos!E:E,U242,Productos!A:A))</f>
        <v/>
      </c>
      <c r="R242" s="4" t="str">
        <f t="array" ref="R242">IF(L242="","", max(1,SUMIF(I:I,XLOOKUP(U242,Productos!E:E,Productos!G:G,"",0,1),J:J)))</f>
        <v/>
      </c>
      <c r="S242" s="4" t="str">
        <f>IF(Q242="","",IF(SUMIFS(Compat_Vetado!D:D,Compat_Vetado!B:B,SUM(G:G),Compat_Vetado!C:C,Q242)=1,"SI",IF(OR(SUMIF(Cotizador!E:E,Q242,Cotizador!G:G)&gt;0,SUMIFS(Compat_Vetado!D:D,Compat_Vetado!B:B,SUM(G:G),Compat_Vetado!C:C,Q242)=-1),"NO","")))</f>
        <v/>
      </c>
      <c r="T242" s="4" t="str">
        <f t="shared" si="6"/>
        <v/>
      </c>
      <c r="U242" s="4" t="str">
        <f>IFERROR(__xludf.DUMMYFUNCTION("IF(P242="""","""",IFERROR(INDEX(filter(Productos!E:E,Productos!F:F=L242,Productos!H:H=N242),P242),IF(M242=SUM(D:D),""Finalizar"",""-"")))"),"")</f>
        <v/>
      </c>
      <c r="V242" s="4" t="str">
        <f>IFERROR(__xludf.DUMMYFUNCTION("IF(OR($U242="""",COUNTIF($I:$I,IFERROR(unique(filter(Prod_Prop!$H:$H,Prod_Prop!$G:$G=$U242,Prod_Prop!$E:$E=V$1)),""Check""))=0),"""",IFERROR(unique(filter(Prod_Prop!$H:$H,Prod_Prop!$G:$G=$U242,Prod_Prop!$E:$E=V$1)),""""))"),"")</f>
        <v/>
      </c>
      <c r="W242" s="4" t="str">
        <f>IF(V242="","",SUMIFS(Prod_Prop!$J:$J,Prod_Prop!$B:$B,$Q242,Prod_Prop!$H:$H,V242,Prod_Prop!$I:$I,W$1)*IF(V242="Peso",$R242,1))</f>
        <v/>
      </c>
      <c r="X242" s="4" t="str">
        <f>IF(V242="","",SUMIFS(Prod_Prop!$J:$J,Prod_Prop!$B:$B,$Q242,Prod_Prop!$H:$H,V242,Prod_Prop!$I:$I,X$1)*IF(V242="Peso",$R242,1))</f>
        <v/>
      </c>
      <c r="Y242" s="4" t="str">
        <f>IFERROR(__xludf.DUMMYFUNCTION("IF(OR($U242="""",COUNTIF($I:$I,IFERROR(unique(filter(Prod_Prop!$H:$H,Prod_Prop!$G:$G=$U242,Prod_Prop!$E:$E=Y$1)),""Check""))=0),"""",IFERROR(unique(filter(Prod_Prop!$H:$H,Prod_Prop!$G:$G=$U242,Prod_Prop!$E:$E=Y$1)),""""))"),"")</f>
        <v/>
      </c>
      <c r="Z242" s="4" t="str">
        <f>IF(Y242="","",SUMIFS(Prod_Prop!$J:$J,Prod_Prop!$B:$B,$Q242,Prod_Prop!$H:$H,Y242,Prod_Prop!$I:$I,Z$1)*IF(Y242="Peso",$R242,1))</f>
        <v/>
      </c>
      <c r="AA242" s="4" t="str">
        <f>IF(Y242="","",SUMIFS(Prod_Prop!$J:$J,Prod_Prop!$B:$B,$Q242,Prod_Prop!$H:$H,Y242,Prod_Prop!$I:$I,AA$1)*IF(Y242="Peso",$R242,1))</f>
        <v/>
      </c>
      <c r="AB242" s="4" t="str">
        <f>IFERROR(__xludf.DUMMYFUNCTION("IF(OR($U242="""",COUNTIF($I:$I,IFERROR(unique(filter(Prod_Prop!$H:$H,Prod_Prop!$G:$G=$U242,Prod_Prop!$E:$E=AB$1)),""Check""))=0),"""",IFERROR(unique(filter(Prod_Prop!$H:$H,Prod_Prop!$G:$G=$U242,Prod_Prop!$E:$E=AB$1)),""""))"),"")</f>
        <v/>
      </c>
      <c r="AC242" s="4" t="str">
        <f>IF(AB242="","",SUMIFS(Prod_Prop!$J:$J,Prod_Prop!$B:$B,$Q242,Prod_Prop!$H:$H,AB242,Prod_Prop!$I:$I,AC$1)*IF(AB242="Peso",$R242,1))</f>
        <v/>
      </c>
      <c r="AD242" s="4" t="str">
        <f>IF(AB242="","",SUMIFS(Prod_Prop!$J:$J,Prod_Prop!$B:$B,$Q242,Prod_Prop!$H:$H,AB242,Prod_Prop!$I:$I,AD$1)*IF(AB242="Peso",$R242,1))</f>
        <v/>
      </c>
    </row>
    <row r="243">
      <c r="A243" s="4" t="str">
        <f t="array" ref="A243">IF(COUNTIF(A$1:A242,Cotizador!F$2)=maxifs(Familias!E:E,Familias!D:D,Cotizador!F$2),IF(COUNTIF(A$1:A242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3" s="4" t="str">
        <f t="shared" si="1"/>
        <v/>
      </c>
      <c r="C243" s="4" t="str">
        <f t="array" ref="C243">IF(B243="","",IF(A243=XLOOKUP(A$2,Implementos!B:B,Implementos!C:C,"",0,1),B243+maxifs(B$1:B242,A$1:A242,A$2),B243))</f>
        <v/>
      </c>
      <c r="D243" s="4" t="str">
        <f>IF(B243="","", COUNTIFS(Productos!F:F,A243,Productos!H:H,B243)+IF(F243="SI",0,1))</f>
        <v/>
      </c>
      <c r="E243" s="4" t="str">
        <f>IFERROR(__xludf.DUMMYFUNCTION("IF($B243="""","""",INDEX(filter(Familias!F:F,Familias!$D:$D=$A243,Familias!$E:$E=$B243),1))"),"")</f>
        <v/>
      </c>
      <c r="F243" s="4" t="str">
        <f>IFERROR(__xludf.DUMMYFUNCTION("IF($B243="""","""",INDEX(filter(Familias!G:G,Familias!$D:$D=$A243,Familias!$E:$E=$B243),1))"),"")</f>
        <v/>
      </c>
      <c r="G243" s="4" t="str">
        <f t="array" ref="G243">IF(C243=1,XLOOKUP(C243,Cotizador!D:D,Cotizador!E:E,"",0,1),"")</f>
        <v/>
      </c>
      <c r="I243" s="4"/>
      <c r="J243" s="8" t="str">
        <f>IF(I243="","",SUMIF(Cotizador!I$1:V$1,I243,Cotizador!I$2:V$2))</f>
        <v/>
      </c>
      <c r="L243" s="4" t="str">
        <f t="array" ref="L243">IF(COUNTIF(L$1:L242,A$2)=SUMIF(A:A,A$2,D:D),IF(COUNTIF(L$1:L242,XLOOKUP(A$2,Implementos!B:B,Implementos!C:C,"",0,1))=SUMIF(A:A,XLOOKUP(A$2,Implementos!B:B,Implementos!C:C,"",0,1),D:D),"",XLOOKUP(A$2,Implementos!B:B,Implementos!C:C,"",0,1)),A$2)</f>
        <v/>
      </c>
      <c r="M243" s="4" t="str">
        <f t="shared" si="2"/>
        <v/>
      </c>
      <c r="N243" s="4" t="str">
        <f t="shared" si="3"/>
        <v/>
      </c>
      <c r="O243" s="4" t="str">
        <f t="shared" si="4"/>
        <v/>
      </c>
      <c r="P243" s="4" t="str">
        <f t="shared" si="5"/>
        <v/>
      </c>
      <c r="Q243" s="4" t="str">
        <f>IF(U243="","",SUMIF(Productos!E:E,U243,Productos!A:A))</f>
        <v/>
      </c>
      <c r="R243" s="4" t="str">
        <f t="array" ref="R243">IF(L243="","", max(1,SUMIF(I:I,XLOOKUP(U243,Productos!E:E,Productos!G:G,"",0,1),J:J)))</f>
        <v/>
      </c>
      <c r="S243" s="4" t="str">
        <f>IF(Q243="","",IF(SUMIFS(Compat_Vetado!D:D,Compat_Vetado!B:B,SUM(G:G),Compat_Vetado!C:C,Q243)=1,"SI",IF(OR(SUMIF(Cotizador!E:E,Q243,Cotizador!G:G)&gt;0,SUMIFS(Compat_Vetado!D:D,Compat_Vetado!B:B,SUM(G:G),Compat_Vetado!C:C,Q243)=-1),"NO","")))</f>
        <v/>
      </c>
      <c r="T243" s="4" t="str">
        <f t="shared" si="6"/>
        <v/>
      </c>
      <c r="U243" s="4" t="str">
        <f>IFERROR(__xludf.DUMMYFUNCTION("IF(P243="""","""",IFERROR(INDEX(filter(Productos!E:E,Productos!F:F=L243,Productos!H:H=N243),P243),IF(M243=SUM(D:D),""Finalizar"",""-"")))"),"")</f>
        <v/>
      </c>
      <c r="V243" s="4" t="str">
        <f>IFERROR(__xludf.DUMMYFUNCTION("IF(OR($U243="""",COUNTIF($I:$I,IFERROR(unique(filter(Prod_Prop!$H:$H,Prod_Prop!$G:$G=$U243,Prod_Prop!$E:$E=V$1)),""Check""))=0),"""",IFERROR(unique(filter(Prod_Prop!$H:$H,Prod_Prop!$G:$G=$U243,Prod_Prop!$E:$E=V$1)),""""))"),"")</f>
        <v/>
      </c>
      <c r="W243" s="4" t="str">
        <f>IF(V243="","",SUMIFS(Prod_Prop!$J:$J,Prod_Prop!$B:$B,$Q243,Prod_Prop!$H:$H,V243,Prod_Prop!$I:$I,W$1)*IF(V243="Peso",$R243,1))</f>
        <v/>
      </c>
      <c r="X243" s="4" t="str">
        <f>IF(V243="","",SUMIFS(Prod_Prop!$J:$J,Prod_Prop!$B:$B,$Q243,Prod_Prop!$H:$H,V243,Prod_Prop!$I:$I,X$1)*IF(V243="Peso",$R243,1))</f>
        <v/>
      </c>
      <c r="Y243" s="4" t="str">
        <f>IFERROR(__xludf.DUMMYFUNCTION("IF(OR($U243="""",COUNTIF($I:$I,IFERROR(unique(filter(Prod_Prop!$H:$H,Prod_Prop!$G:$G=$U243,Prod_Prop!$E:$E=Y$1)),""Check""))=0),"""",IFERROR(unique(filter(Prod_Prop!$H:$H,Prod_Prop!$G:$G=$U243,Prod_Prop!$E:$E=Y$1)),""""))"),"")</f>
        <v/>
      </c>
      <c r="Z243" s="4" t="str">
        <f>IF(Y243="","",SUMIFS(Prod_Prop!$J:$J,Prod_Prop!$B:$B,$Q243,Prod_Prop!$H:$H,Y243,Prod_Prop!$I:$I,Z$1)*IF(Y243="Peso",$R243,1))</f>
        <v/>
      </c>
      <c r="AA243" s="4" t="str">
        <f>IF(Y243="","",SUMIFS(Prod_Prop!$J:$J,Prod_Prop!$B:$B,$Q243,Prod_Prop!$H:$H,Y243,Prod_Prop!$I:$I,AA$1)*IF(Y243="Peso",$R243,1))</f>
        <v/>
      </c>
      <c r="AB243" s="4" t="str">
        <f>IFERROR(__xludf.DUMMYFUNCTION("IF(OR($U243="""",COUNTIF($I:$I,IFERROR(unique(filter(Prod_Prop!$H:$H,Prod_Prop!$G:$G=$U243,Prod_Prop!$E:$E=AB$1)),""Check""))=0),"""",IFERROR(unique(filter(Prod_Prop!$H:$H,Prod_Prop!$G:$G=$U243,Prod_Prop!$E:$E=AB$1)),""""))"),"")</f>
        <v/>
      </c>
      <c r="AC243" s="4" t="str">
        <f>IF(AB243="","",SUMIFS(Prod_Prop!$J:$J,Prod_Prop!$B:$B,$Q243,Prod_Prop!$H:$H,AB243,Prod_Prop!$I:$I,AC$1)*IF(AB243="Peso",$R243,1))</f>
        <v/>
      </c>
      <c r="AD243" s="4" t="str">
        <f>IF(AB243="","",SUMIFS(Prod_Prop!$J:$J,Prod_Prop!$B:$B,$Q243,Prod_Prop!$H:$H,AB243,Prod_Prop!$I:$I,AD$1)*IF(AB243="Peso",$R243,1))</f>
        <v/>
      </c>
    </row>
    <row r="244">
      <c r="A244" s="4" t="str">
        <f t="array" ref="A244">IF(COUNTIF(A$1:A243,Cotizador!F$2)=maxifs(Familias!E:E,Familias!D:D,Cotizador!F$2),IF(COUNTIF(A$1:A243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4" s="4" t="str">
        <f t="shared" si="1"/>
        <v/>
      </c>
      <c r="C244" s="4" t="str">
        <f t="array" ref="C244">IF(B244="","",IF(A244=XLOOKUP(A$2,Implementos!B:B,Implementos!C:C,"",0,1),B244+maxifs(B$1:B243,A$1:A243,A$2),B244))</f>
        <v/>
      </c>
      <c r="D244" s="4" t="str">
        <f>IF(B244="","", COUNTIFS(Productos!F:F,A244,Productos!H:H,B244)+IF(F244="SI",0,1))</f>
        <v/>
      </c>
      <c r="E244" s="4" t="str">
        <f>IFERROR(__xludf.DUMMYFUNCTION("IF($B244="""","""",INDEX(filter(Familias!F:F,Familias!$D:$D=$A244,Familias!$E:$E=$B244),1))"),"")</f>
        <v/>
      </c>
      <c r="F244" s="4" t="str">
        <f>IFERROR(__xludf.DUMMYFUNCTION("IF($B244="""","""",INDEX(filter(Familias!G:G,Familias!$D:$D=$A244,Familias!$E:$E=$B244),1))"),"")</f>
        <v/>
      </c>
      <c r="G244" s="4" t="str">
        <f t="array" ref="G244">IF(C244=1,XLOOKUP(C244,Cotizador!D:D,Cotizador!E:E,"",0,1),"")</f>
        <v/>
      </c>
      <c r="I244" s="4"/>
      <c r="J244" s="8" t="str">
        <f>IF(I244="","",SUMIF(Cotizador!I$1:V$1,I244,Cotizador!I$2:V$2))</f>
        <v/>
      </c>
      <c r="L244" s="4" t="str">
        <f t="array" ref="L244">IF(COUNTIF(L$1:L243,A$2)=SUMIF(A:A,A$2,D:D),IF(COUNTIF(L$1:L243,XLOOKUP(A$2,Implementos!B:B,Implementos!C:C,"",0,1))=SUMIF(A:A,XLOOKUP(A$2,Implementos!B:B,Implementos!C:C,"",0,1),D:D),"",XLOOKUP(A$2,Implementos!B:B,Implementos!C:C,"",0,1)),A$2)</f>
        <v/>
      </c>
      <c r="M244" s="4" t="str">
        <f t="shared" si="2"/>
        <v/>
      </c>
      <c r="N244" s="4" t="str">
        <f t="shared" si="3"/>
        <v/>
      </c>
      <c r="O244" s="4" t="str">
        <f t="shared" si="4"/>
        <v/>
      </c>
      <c r="P244" s="4" t="str">
        <f t="shared" si="5"/>
        <v/>
      </c>
      <c r="Q244" s="4" t="str">
        <f>IF(U244="","",SUMIF(Productos!E:E,U244,Productos!A:A))</f>
        <v/>
      </c>
      <c r="R244" s="4" t="str">
        <f t="array" ref="R244">IF(L244="","", max(1,SUMIF(I:I,XLOOKUP(U244,Productos!E:E,Productos!G:G,"",0,1),J:J)))</f>
        <v/>
      </c>
      <c r="S244" s="4" t="str">
        <f>IF(Q244="","",IF(SUMIFS(Compat_Vetado!D:D,Compat_Vetado!B:B,SUM(G:G),Compat_Vetado!C:C,Q244)=1,"SI",IF(OR(SUMIF(Cotizador!E:E,Q244,Cotizador!G:G)&gt;0,SUMIFS(Compat_Vetado!D:D,Compat_Vetado!B:B,SUM(G:G),Compat_Vetado!C:C,Q244)=-1),"NO","")))</f>
        <v/>
      </c>
      <c r="T244" s="4" t="str">
        <f t="shared" si="6"/>
        <v/>
      </c>
      <c r="U244" s="4" t="str">
        <f>IFERROR(__xludf.DUMMYFUNCTION("IF(P244="""","""",IFERROR(INDEX(filter(Productos!E:E,Productos!F:F=L244,Productos!H:H=N244),P244),IF(M244=SUM(D:D),""Finalizar"",""-"")))"),"")</f>
        <v/>
      </c>
      <c r="V244" s="4" t="str">
        <f>IFERROR(__xludf.DUMMYFUNCTION("IF(OR($U244="""",COUNTIF($I:$I,IFERROR(unique(filter(Prod_Prop!$H:$H,Prod_Prop!$G:$G=$U244,Prod_Prop!$E:$E=V$1)),""Check""))=0),"""",IFERROR(unique(filter(Prod_Prop!$H:$H,Prod_Prop!$G:$G=$U244,Prod_Prop!$E:$E=V$1)),""""))"),"")</f>
        <v/>
      </c>
      <c r="W244" s="4" t="str">
        <f>IF(V244="","",SUMIFS(Prod_Prop!$J:$J,Prod_Prop!$B:$B,$Q244,Prod_Prop!$H:$H,V244,Prod_Prop!$I:$I,W$1)*IF(V244="Peso",$R244,1))</f>
        <v/>
      </c>
      <c r="X244" s="4" t="str">
        <f>IF(V244="","",SUMIFS(Prod_Prop!$J:$J,Prod_Prop!$B:$B,$Q244,Prod_Prop!$H:$H,V244,Prod_Prop!$I:$I,X$1)*IF(V244="Peso",$R244,1))</f>
        <v/>
      </c>
      <c r="Y244" s="4" t="str">
        <f>IFERROR(__xludf.DUMMYFUNCTION("IF(OR($U244="""",COUNTIF($I:$I,IFERROR(unique(filter(Prod_Prop!$H:$H,Prod_Prop!$G:$G=$U244,Prod_Prop!$E:$E=Y$1)),""Check""))=0),"""",IFERROR(unique(filter(Prod_Prop!$H:$H,Prod_Prop!$G:$G=$U244,Prod_Prop!$E:$E=Y$1)),""""))"),"")</f>
        <v/>
      </c>
      <c r="Z244" s="4" t="str">
        <f>IF(Y244="","",SUMIFS(Prod_Prop!$J:$J,Prod_Prop!$B:$B,$Q244,Prod_Prop!$H:$H,Y244,Prod_Prop!$I:$I,Z$1)*IF(Y244="Peso",$R244,1))</f>
        <v/>
      </c>
      <c r="AA244" s="4" t="str">
        <f>IF(Y244="","",SUMIFS(Prod_Prop!$J:$J,Prod_Prop!$B:$B,$Q244,Prod_Prop!$H:$H,Y244,Prod_Prop!$I:$I,AA$1)*IF(Y244="Peso",$R244,1))</f>
        <v/>
      </c>
      <c r="AB244" s="4" t="str">
        <f>IFERROR(__xludf.DUMMYFUNCTION("IF(OR($U244="""",COUNTIF($I:$I,IFERROR(unique(filter(Prod_Prop!$H:$H,Prod_Prop!$G:$G=$U244,Prod_Prop!$E:$E=AB$1)),""Check""))=0),"""",IFERROR(unique(filter(Prod_Prop!$H:$H,Prod_Prop!$G:$G=$U244,Prod_Prop!$E:$E=AB$1)),""""))"),"")</f>
        <v/>
      </c>
      <c r="AC244" s="4" t="str">
        <f>IF(AB244="","",SUMIFS(Prod_Prop!$J:$J,Prod_Prop!$B:$B,$Q244,Prod_Prop!$H:$H,AB244,Prod_Prop!$I:$I,AC$1)*IF(AB244="Peso",$R244,1))</f>
        <v/>
      </c>
      <c r="AD244" s="4" t="str">
        <f>IF(AB244="","",SUMIFS(Prod_Prop!$J:$J,Prod_Prop!$B:$B,$Q244,Prod_Prop!$H:$H,AB244,Prod_Prop!$I:$I,AD$1)*IF(AB244="Peso",$R244,1))</f>
        <v/>
      </c>
    </row>
    <row r="245">
      <c r="A245" s="4" t="str">
        <f t="array" ref="A245">IF(COUNTIF(A$1:A244,Cotizador!F$2)=maxifs(Familias!E:E,Familias!D:D,Cotizador!F$2),IF(COUNTIF(A$1:A244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5" s="4" t="str">
        <f t="shared" si="1"/>
        <v/>
      </c>
      <c r="C245" s="4" t="str">
        <f t="array" ref="C245">IF(B245="","",IF(A245=XLOOKUP(A$2,Implementos!B:B,Implementos!C:C,"",0,1),B245+maxifs(B$1:B244,A$1:A244,A$2),B245))</f>
        <v/>
      </c>
      <c r="D245" s="4" t="str">
        <f>IF(B245="","", COUNTIFS(Productos!F:F,A245,Productos!H:H,B245)+IF(F245="SI",0,1))</f>
        <v/>
      </c>
      <c r="E245" s="4" t="str">
        <f>IFERROR(__xludf.DUMMYFUNCTION("IF($B245="""","""",INDEX(filter(Familias!F:F,Familias!$D:$D=$A245,Familias!$E:$E=$B245),1))"),"")</f>
        <v/>
      </c>
      <c r="F245" s="4" t="str">
        <f>IFERROR(__xludf.DUMMYFUNCTION("IF($B245="""","""",INDEX(filter(Familias!G:G,Familias!$D:$D=$A245,Familias!$E:$E=$B245),1))"),"")</f>
        <v/>
      </c>
      <c r="G245" s="4" t="str">
        <f t="array" ref="G245">IF(C245=1,XLOOKUP(C245,Cotizador!D:D,Cotizador!E:E,"",0,1),"")</f>
        <v/>
      </c>
      <c r="I245" s="4"/>
      <c r="J245" s="8" t="str">
        <f>IF(I245="","",SUMIF(Cotizador!I$1:V$1,I245,Cotizador!I$2:V$2))</f>
        <v/>
      </c>
      <c r="L245" s="4" t="str">
        <f t="array" ref="L245">IF(COUNTIF(L$1:L244,A$2)=SUMIF(A:A,A$2,D:D),IF(COUNTIF(L$1:L244,XLOOKUP(A$2,Implementos!B:B,Implementos!C:C,"",0,1))=SUMIF(A:A,XLOOKUP(A$2,Implementos!B:B,Implementos!C:C,"",0,1),D:D),"",XLOOKUP(A$2,Implementos!B:B,Implementos!C:C,"",0,1)),A$2)</f>
        <v/>
      </c>
      <c r="M245" s="4" t="str">
        <f t="shared" si="2"/>
        <v/>
      </c>
      <c r="N245" s="4" t="str">
        <f t="shared" si="3"/>
        <v/>
      </c>
      <c r="O245" s="4" t="str">
        <f t="shared" si="4"/>
        <v/>
      </c>
      <c r="P245" s="4" t="str">
        <f t="shared" si="5"/>
        <v/>
      </c>
      <c r="Q245" s="4" t="str">
        <f>IF(U245="","",SUMIF(Productos!E:E,U245,Productos!A:A))</f>
        <v/>
      </c>
      <c r="R245" s="4" t="str">
        <f t="array" ref="R245">IF(L245="","", max(1,SUMIF(I:I,XLOOKUP(U245,Productos!E:E,Productos!G:G,"",0,1),J:J)))</f>
        <v/>
      </c>
      <c r="S245" s="4" t="str">
        <f>IF(Q245="","",IF(SUMIFS(Compat_Vetado!D:D,Compat_Vetado!B:B,SUM(G:G),Compat_Vetado!C:C,Q245)=1,"SI",IF(OR(SUMIF(Cotizador!E:E,Q245,Cotizador!G:G)&gt;0,SUMIFS(Compat_Vetado!D:D,Compat_Vetado!B:B,SUM(G:G),Compat_Vetado!C:C,Q245)=-1),"NO","")))</f>
        <v/>
      </c>
      <c r="T245" s="4" t="str">
        <f t="shared" si="6"/>
        <v/>
      </c>
      <c r="U245" s="4" t="str">
        <f>IFERROR(__xludf.DUMMYFUNCTION("IF(P245="""","""",IFERROR(INDEX(filter(Productos!E:E,Productos!F:F=L245,Productos!H:H=N245),P245),IF(M245=SUM(D:D),""Finalizar"",""-"")))"),"")</f>
        <v/>
      </c>
      <c r="V245" s="4" t="str">
        <f>IFERROR(__xludf.DUMMYFUNCTION("IF(OR($U245="""",COUNTIF($I:$I,IFERROR(unique(filter(Prod_Prop!$H:$H,Prod_Prop!$G:$G=$U245,Prod_Prop!$E:$E=V$1)),""Check""))=0),"""",IFERROR(unique(filter(Prod_Prop!$H:$H,Prod_Prop!$G:$G=$U245,Prod_Prop!$E:$E=V$1)),""""))"),"")</f>
        <v/>
      </c>
      <c r="W245" s="4" t="str">
        <f>IF(V245="","",SUMIFS(Prod_Prop!$J:$J,Prod_Prop!$B:$B,$Q245,Prod_Prop!$H:$H,V245,Prod_Prop!$I:$I,W$1)*IF(V245="Peso",$R245,1))</f>
        <v/>
      </c>
      <c r="X245" s="4" t="str">
        <f>IF(V245="","",SUMIFS(Prod_Prop!$J:$J,Prod_Prop!$B:$B,$Q245,Prod_Prop!$H:$H,V245,Prod_Prop!$I:$I,X$1)*IF(V245="Peso",$R245,1))</f>
        <v/>
      </c>
      <c r="Y245" s="4" t="str">
        <f>IFERROR(__xludf.DUMMYFUNCTION("IF(OR($U245="""",COUNTIF($I:$I,IFERROR(unique(filter(Prod_Prop!$H:$H,Prod_Prop!$G:$G=$U245,Prod_Prop!$E:$E=Y$1)),""Check""))=0),"""",IFERROR(unique(filter(Prod_Prop!$H:$H,Prod_Prop!$G:$G=$U245,Prod_Prop!$E:$E=Y$1)),""""))"),"")</f>
        <v/>
      </c>
      <c r="Z245" s="4" t="str">
        <f>IF(Y245="","",SUMIFS(Prod_Prop!$J:$J,Prod_Prop!$B:$B,$Q245,Prod_Prop!$H:$H,Y245,Prod_Prop!$I:$I,Z$1)*IF(Y245="Peso",$R245,1))</f>
        <v/>
      </c>
      <c r="AA245" s="4" t="str">
        <f>IF(Y245="","",SUMIFS(Prod_Prop!$J:$J,Prod_Prop!$B:$B,$Q245,Prod_Prop!$H:$H,Y245,Prod_Prop!$I:$I,AA$1)*IF(Y245="Peso",$R245,1))</f>
        <v/>
      </c>
      <c r="AB245" s="4" t="str">
        <f>IFERROR(__xludf.DUMMYFUNCTION("IF(OR($U245="""",COUNTIF($I:$I,IFERROR(unique(filter(Prod_Prop!$H:$H,Prod_Prop!$G:$G=$U245,Prod_Prop!$E:$E=AB$1)),""Check""))=0),"""",IFERROR(unique(filter(Prod_Prop!$H:$H,Prod_Prop!$G:$G=$U245,Prod_Prop!$E:$E=AB$1)),""""))"),"")</f>
        <v/>
      </c>
      <c r="AC245" s="4" t="str">
        <f>IF(AB245="","",SUMIFS(Prod_Prop!$J:$J,Prod_Prop!$B:$B,$Q245,Prod_Prop!$H:$H,AB245,Prod_Prop!$I:$I,AC$1)*IF(AB245="Peso",$R245,1))</f>
        <v/>
      </c>
      <c r="AD245" s="4" t="str">
        <f>IF(AB245="","",SUMIFS(Prod_Prop!$J:$J,Prod_Prop!$B:$B,$Q245,Prod_Prop!$H:$H,AB245,Prod_Prop!$I:$I,AD$1)*IF(AB245="Peso",$R245,1))</f>
        <v/>
      </c>
    </row>
    <row r="246">
      <c r="A246" s="4" t="str">
        <f t="array" ref="A246">IF(COUNTIF(A$1:A245,Cotizador!F$2)=maxifs(Familias!E:E,Familias!D:D,Cotizador!F$2),IF(COUNTIF(A$1:A245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6" s="4" t="str">
        <f t="shared" si="1"/>
        <v/>
      </c>
      <c r="C246" s="4" t="str">
        <f t="array" ref="C246">IF(B246="","",IF(A246=XLOOKUP(A$2,Implementos!B:B,Implementos!C:C,"",0,1),B246+maxifs(B$1:B245,A$1:A245,A$2),B246))</f>
        <v/>
      </c>
      <c r="D246" s="4" t="str">
        <f>IF(B246="","", COUNTIFS(Productos!F:F,A246,Productos!H:H,B246)+IF(F246="SI",0,1))</f>
        <v/>
      </c>
      <c r="E246" s="4" t="str">
        <f>IFERROR(__xludf.DUMMYFUNCTION("IF($B246="""","""",INDEX(filter(Familias!F:F,Familias!$D:$D=$A246,Familias!$E:$E=$B246),1))"),"")</f>
        <v/>
      </c>
      <c r="F246" s="4" t="str">
        <f>IFERROR(__xludf.DUMMYFUNCTION("IF($B246="""","""",INDEX(filter(Familias!G:G,Familias!$D:$D=$A246,Familias!$E:$E=$B246),1))"),"")</f>
        <v/>
      </c>
      <c r="G246" s="4" t="str">
        <f t="array" ref="G246">IF(C246=1,XLOOKUP(C246,Cotizador!D:D,Cotizador!E:E,"",0,1),"")</f>
        <v/>
      </c>
      <c r="I246" s="4"/>
      <c r="J246" s="8" t="str">
        <f>IF(I246="","",SUMIF(Cotizador!I$1:V$1,I246,Cotizador!I$2:V$2))</f>
        <v/>
      </c>
      <c r="L246" s="4" t="str">
        <f t="array" ref="L246">IF(COUNTIF(L$1:L245,A$2)=SUMIF(A:A,A$2,D:D),IF(COUNTIF(L$1:L245,XLOOKUP(A$2,Implementos!B:B,Implementos!C:C,"",0,1))=SUMIF(A:A,XLOOKUP(A$2,Implementos!B:B,Implementos!C:C,"",0,1),D:D),"",XLOOKUP(A$2,Implementos!B:B,Implementos!C:C,"",0,1)),A$2)</f>
        <v/>
      </c>
      <c r="M246" s="4" t="str">
        <f t="shared" si="2"/>
        <v/>
      </c>
      <c r="N246" s="4" t="str">
        <f t="shared" si="3"/>
        <v/>
      </c>
      <c r="O246" s="4" t="str">
        <f t="shared" si="4"/>
        <v/>
      </c>
      <c r="P246" s="4" t="str">
        <f t="shared" si="5"/>
        <v/>
      </c>
      <c r="Q246" s="4" t="str">
        <f>IF(U246="","",SUMIF(Productos!E:E,U246,Productos!A:A))</f>
        <v/>
      </c>
      <c r="R246" s="4" t="str">
        <f t="array" ref="R246">IF(L246="","", max(1,SUMIF(I:I,XLOOKUP(U246,Productos!E:E,Productos!G:G,"",0,1),J:J)))</f>
        <v/>
      </c>
      <c r="S246" s="4" t="str">
        <f>IF(Q246="","",IF(SUMIFS(Compat_Vetado!D:D,Compat_Vetado!B:B,SUM(G:G),Compat_Vetado!C:C,Q246)=1,"SI",IF(OR(SUMIF(Cotizador!E:E,Q246,Cotizador!G:G)&gt;0,SUMIFS(Compat_Vetado!D:D,Compat_Vetado!B:B,SUM(G:G),Compat_Vetado!C:C,Q246)=-1),"NO","")))</f>
        <v/>
      </c>
      <c r="T246" s="4" t="str">
        <f t="shared" si="6"/>
        <v/>
      </c>
      <c r="U246" s="4" t="str">
        <f>IFERROR(__xludf.DUMMYFUNCTION("IF(P246="""","""",IFERROR(INDEX(filter(Productos!E:E,Productos!F:F=L246,Productos!H:H=N246),P246),IF(M246=SUM(D:D),""Finalizar"",""-"")))"),"")</f>
        <v/>
      </c>
      <c r="V246" s="4" t="str">
        <f>IFERROR(__xludf.DUMMYFUNCTION("IF(OR($U246="""",COUNTIF($I:$I,IFERROR(unique(filter(Prod_Prop!$H:$H,Prod_Prop!$G:$G=$U246,Prod_Prop!$E:$E=V$1)),""Check""))=0),"""",IFERROR(unique(filter(Prod_Prop!$H:$H,Prod_Prop!$G:$G=$U246,Prod_Prop!$E:$E=V$1)),""""))"),"")</f>
        <v/>
      </c>
      <c r="W246" s="4" t="str">
        <f>IF(V246="","",SUMIFS(Prod_Prop!$J:$J,Prod_Prop!$B:$B,$Q246,Prod_Prop!$H:$H,V246,Prod_Prop!$I:$I,W$1)*IF(V246="Peso",$R246,1))</f>
        <v/>
      </c>
      <c r="X246" s="4" t="str">
        <f>IF(V246="","",SUMIFS(Prod_Prop!$J:$J,Prod_Prop!$B:$B,$Q246,Prod_Prop!$H:$H,V246,Prod_Prop!$I:$I,X$1)*IF(V246="Peso",$R246,1))</f>
        <v/>
      </c>
      <c r="Y246" s="4" t="str">
        <f>IFERROR(__xludf.DUMMYFUNCTION("IF(OR($U246="""",COUNTIF($I:$I,IFERROR(unique(filter(Prod_Prop!$H:$H,Prod_Prop!$G:$G=$U246,Prod_Prop!$E:$E=Y$1)),""Check""))=0),"""",IFERROR(unique(filter(Prod_Prop!$H:$H,Prod_Prop!$G:$G=$U246,Prod_Prop!$E:$E=Y$1)),""""))"),"")</f>
        <v/>
      </c>
      <c r="Z246" s="4" t="str">
        <f>IF(Y246="","",SUMIFS(Prod_Prop!$J:$J,Prod_Prop!$B:$B,$Q246,Prod_Prop!$H:$H,Y246,Prod_Prop!$I:$I,Z$1)*IF(Y246="Peso",$R246,1))</f>
        <v/>
      </c>
      <c r="AA246" s="4" t="str">
        <f>IF(Y246="","",SUMIFS(Prod_Prop!$J:$J,Prod_Prop!$B:$B,$Q246,Prod_Prop!$H:$H,Y246,Prod_Prop!$I:$I,AA$1)*IF(Y246="Peso",$R246,1))</f>
        <v/>
      </c>
      <c r="AB246" s="4" t="str">
        <f>IFERROR(__xludf.DUMMYFUNCTION("IF(OR($U246="""",COUNTIF($I:$I,IFERROR(unique(filter(Prod_Prop!$H:$H,Prod_Prop!$G:$G=$U246,Prod_Prop!$E:$E=AB$1)),""Check""))=0),"""",IFERROR(unique(filter(Prod_Prop!$H:$H,Prod_Prop!$G:$G=$U246,Prod_Prop!$E:$E=AB$1)),""""))"),"")</f>
        <v/>
      </c>
      <c r="AC246" s="4" t="str">
        <f>IF(AB246="","",SUMIFS(Prod_Prop!$J:$J,Prod_Prop!$B:$B,$Q246,Prod_Prop!$H:$H,AB246,Prod_Prop!$I:$I,AC$1)*IF(AB246="Peso",$R246,1))</f>
        <v/>
      </c>
      <c r="AD246" s="4" t="str">
        <f>IF(AB246="","",SUMIFS(Prod_Prop!$J:$J,Prod_Prop!$B:$B,$Q246,Prod_Prop!$H:$H,AB246,Prod_Prop!$I:$I,AD$1)*IF(AB246="Peso",$R246,1))</f>
        <v/>
      </c>
    </row>
    <row r="247">
      <c r="A247" s="4" t="str">
        <f t="array" ref="A247">IF(COUNTIF(A$1:A246,Cotizador!F$2)=maxifs(Familias!E:E,Familias!D:D,Cotizador!F$2),IF(COUNTIF(A$1:A246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7" s="4" t="str">
        <f t="shared" si="1"/>
        <v/>
      </c>
      <c r="C247" s="4" t="str">
        <f t="array" ref="C247">IF(B247="","",IF(A247=XLOOKUP(A$2,Implementos!B:B,Implementos!C:C,"",0,1),B247+maxifs(B$1:B246,A$1:A246,A$2),B247))</f>
        <v/>
      </c>
      <c r="D247" s="4" t="str">
        <f>IF(B247="","", COUNTIFS(Productos!F:F,A247,Productos!H:H,B247)+IF(F247="SI",0,1))</f>
        <v/>
      </c>
      <c r="E247" s="4" t="str">
        <f>IFERROR(__xludf.DUMMYFUNCTION("IF($B247="""","""",INDEX(filter(Familias!F:F,Familias!$D:$D=$A247,Familias!$E:$E=$B247),1))"),"")</f>
        <v/>
      </c>
      <c r="F247" s="4" t="str">
        <f>IFERROR(__xludf.DUMMYFUNCTION("IF($B247="""","""",INDEX(filter(Familias!G:G,Familias!$D:$D=$A247,Familias!$E:$E=$B247),1))"),"")</f>
        <v/>
      </c>
      <c r="G247" s="4" t="str">
        <f t="array" ref="G247">IF(C247=1,XLOOKUP(C247,Cotizador!D:D,Cotizador!E:E,"",0,1),"")</f>
        <v/>
      </c>
      <c r="I247" s="4"/>
      <c r="J247" s="8" t="str">
        <f>IF(I247="","",SUMIF(Cotizador!I$1:V$1,I247,Cotizador!I$2:V$2))</f>
        <v/>
      </c>
      <c r="L247" s="4" t="str">
        <f t="array" ref="L247">IF(COUNTIF(L$1:L246,A$2)=SUMIF(A:A,A$2,D:D),IF(COUNTIF(L$1:L246,XLOOKUP(A$2,Implementos!B:B,Implementos!C:C,"",0,1))=SUMIF(A:A,XLOOKUP(A$2,Implementos!B:B,Implementos!C:C,"",0,1),D:D),"",XLOOKUP(A$2,Implementos!B:B,Implementos!C:C,"",0,1)),A$2)</f>
        <v/>
      </c>
      <c r="M247" s="4" t="str">
        <f t="shared" si="2"/>
        <v/>
      </c>
      <c r="N247" s="4" t="str">
        <f t="shared" si="3"/>
        <v/>
      </c>
      <c r="O247" s="4" t="str">
        <f t="shared" si="4"/>
        <v/>
      </c>
      <c r="P247" s="4" t="str">
        <f t="shared" si="5"/>
        <v/>
      </c>
      <c r="Q247" s="4" t="str">
        <f>IF(U247="","",SUMIF(Productos!E:E,U247,Productos!A:A))</f>
        <v/>
      </c>
      <c r="R247" s="4" t="str">
        <f t="array" ref="R247">IF(L247="","", max(1,SUMIF(I:I,XLOOKUP(U247,Productos!E:E,Productos!G:G,"",0,1),J:J)))</f>
        <v/>
      </c>
      <c r="S247" s="4" t="str">
        <f>IF(Q247="","",IF(SUMIFS(Compat_Vetado!D:D,Compat_Vetado!B:B,SUM(G:G),Compat_Vetado!C:C,Q247)=1,"SI",IF(OR(SUMIF(Cotizador!E:E,Q247,Cotizador!G:G)&gt;0,SUMIFS(Compat_Vetado!D:D,Compat_Vetado!B:B,SUM(G:G),Compat_Vetado!C:C,Q247)=-1),"NO","")))</f>
        <v/>
      </c>
      <c r="T247" s="4" t="str">
        <f t="shared" si="6"/>
        <v/>
      </c>
      <c r="U247" s="4" t="str">
        <f>IFERROR(__xludf.DUMMYFUNCTION("IF(P247="""","""",IFERROR(INDEX(filter(Productos!E:E,Productos!F:F=L247,Productos!H:H=N247),P247),IF(M247=SUM(D:D),""Finalizar"",""-"")))"),"")</f>
        <v/>
      </c>
      <c r="V247" s="4" t="str">
        <f>IFERROR(__xludf.DUMMYFUNCTION("IF(OR($U247="""",COUNTIF($I:$I,IFERROR(unique(filter(Prod_Prop!$H:$H,Prod_Prop!$G:$G=$U247,Prod_Prop!$E:$E=V$1)),""Check""))=0),"""",IFERROR(unique(filter(Prod_Prop!$H:$H,Prod_Prop!$G:$G=$U247,Prod_Prop!$E:$E=V$1)),""""))"),"")</f>
        <v/>
      </c>
      <c r="W247" s="4" t="str">
        <f>IF(V247="","",SUMIFS(Prod_Prop!$J:$J,Prod_Prop!$B:$B,$Q247,Prod_Prop!$H:$H,V247,Prod_Prop!$I:$I,W$1)*IF(V247="Peso",$R247,1))</f>
        <v/>
      </c>
      <c r="X247" s="4" t="str">
        <f>IF(V247="","",SUMIFS(Prod_Prop!$J:$J,Prod_Prop!$B:$B,$Q247,Prod_Prop!$H:$H,V247,Prod_Prop!$I:$I,X$1)*IF(V247="Peso",$R247,1))</f>
        <v/>
      </c>
      <c r="Y247" s="4" t="str">
        <f>IFERROR(__xludf.DUMMYFUNCTION("IF(OR($U247="""",COUNTIF($I:$I,IFERROR(unique(filter(Prod_Prop!$H:$H,Prod_Prop!$G:$G=$U247,Prod_Prop!$E:$E=Y$1)),""Check""))=0),"""",IFERROR(unique(filter(Prod_Prop!$H:$H,Prod_Prop!$G:$G=$U247,Prod_Prop!$E:$E=Y$1)),""""))"),"")</f>
        <v/>
      </c>
      <c r="Z247" s="4" t="str">
        <f>IF(Y247="","",SUMIFS(Prod_Prop!$J:$J,Prod_Prop!$B:$B,$Q247,Prod_Prop!$H:$H,Y247,Prod_Prop!$I:$I,Z$1)*IF(Y247="Peso",$R247,1))</f>
        <v/>
      </c>
      <c r="AA247" s="4" t="str">
        <f>IF(Y247="","",SUMIFS(Prod_Prop!$J:$J,Prod_Prop!$B:$B,$Q247,Prod_Prop!$H:$H,Y247,Prod_Prop!$I:$I,AA$1)*IF(Y247="Peso",$R247,1))</f>
        <v/>
      </c>
      <c r="AB247" s="4" t="str">
        <f>IFERROR(__xludf.DUMMYFUNCTION("IF(OR($U247="""",COUNTIF($I:$I,IFERROR(unique(filter(Prod_Prop!$H:$H,Prod_Prop!$G:$G=$U247,Prod_Prop!$E:$E=AB$1)),""Check""))=0),"""",IFERROR(unique(filter(Prod_Prop!$H:$H,Prod_Prop!$G:$G=$U247,Prod_Prop!$E:$E=AB$1)),""""))"),"")</f>
        <v/>
      </c>
      <c r="AC247" s="4" t="str">
        <f>IF(AB247="","",SUMIFS(Prod_Prop!$J:$J,Prod_Prop!$B:$B,$Q247,Prod_Prop!$H:$H,AB247,Prod_Prop!$I:$I,AC$1)*IF(AB247="Peso",$R247,1))</f>
        <v/>
      </c>
      <c r="AD247" s="4" t="str">
        <f>IF(AB247="","",SUMIFS(Prod_Prop!$J:$J,Prod_Prop!$B:$B,$Q247,Prod_Prop!$H:$H,AB247,Prod_Prop!$I:$I,AD$1)*IF(AB247="Peso",$R247,1))</f>
        <v/>
      </c>
    </row>
    <row r="248">
      <c r="A248" s="4" t="str">
        <f t="array" ref="A248">IF(COUNTIF(A$1:A247,Cotizador!F$2)=maxifs(Familias!E:E,Familias!D:D,Cotizador!F$2),IF(COUNTIF(A$1:A247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8" s="4" t="str">
        <f t="shared" si="1"/>
        <v/>
      </c>
      <c r="C248" s="4" t="str">
        <f t="array" ref="C248">IF(B248="","",IF(A248=XLOOKUP(A$2,Implementos!B:B,Implementos!C:C,"",0,1),B248+maxifs(B$1:B247,A$1:A247,A$2),B248))</f>
        <v/>
      </c>
      <c r="D248" s="4" t="str">
        <f>IF(B248="","", COUNTIFS(Productos!F:F,A248,Productos!H:H,B248)+IF(F248="SI",0,1))</f>
        <v/>
      </c>
      <c r="E248" s="4" t="str">
        <f>IFERROR(__xludf.DUMMYFUNCTION("IF($B248="""","""",INDEX(filter(Familias!F:F,Familias!$D:$D=$A248,Familias!$E:$E=$B248),1))"),"")</f>
        <v/>
      </c>
      <c r="F248" s="4" t="str">
        <f>IFERROR(__xludf.DUMMYFUNCTION("IF($B248="""","""",INDEX(filter(Familias!G:G,Familias!$D:$D=$A248,Familias!$E:$E=$B248),1))"),"")</f>
        <v/>
      </c>
      <c r="G248" s="4" t="str">
        <f t="array" ref="G248">IF(C248=1,XLOOKUP(C248,Cotizador!D:D,Cotizador!E:E,"",0,1),"")</f>
        <v/>
      </c>
      <c r="I248" s="4"/>
      <c r="J248" s="8" t="str">
        <f>IF(I248="","",SUMIF(Cotizador!I$1:V$1,I248,Cotizador!I$2:V$2))</f>
        <v/>
      </c>
      <c r="L248" s="4" t="str">
        <f t="array" ref="L248">IF(COUNTIF(L$1:L247,A$2)=SUMIF(A:A,A$2,D:D),IF(COUNTIF(L$1:L247,XLOOKUP(A$2,Implementos!B:B,Implementos!C:C,"",0,1))=SUMIF(A:A,XLOOKUP(A$2,Implementos!B:B,Implementos!C:C,"",0,1),D:D),"",XLOOKUP(A$2,Implementos!B:B,Implementos!C:C,"",0,1)),A$2)</f>
        <v/>
      </c>
      <c r="M248" s="4" t="str">
        <f t="shared" si="2"/>
        <v/>
      </c>
      <c r="N248" s="4" t="str">
        <f t="shared" si="3"/>
        <v/>
      </c>
      <c r="O248" s="4" t="str">
        <f t="shared" si="4"/>
        <v/>
      </c>
      <c r="P248" s="4" t="str">
        <f t="shared" si="5"/>
        <v/>
      </c>
      <c r="Q248" s="4" t="str">
        <f>IF(U248="","",SUMIF(Productos!E:E,U248,Productos!A:A))</f>
        <v/>
      </c>
      <c r="R248" s="4" t="str">
        <f t="array" ref="R248">IF(L248="","", max(1,SUMIF(I:I,XLOOKUP(U248,Productos!E:E,Productos!G:G,"",0,1),J:J)))</f>
        <v/>
      </c>
      <c r="S248" s="4" t="str">
        <f>IF(Q248="","",IF(SUMIFS(Compat_Vetado!D:D,Compat_Vetado!B:B,SUM(G:G),Compat_Vetado!C:C,Q248)=1,"SI",IF(OR(SUMIF(Cotizador!E:E,Q248,Cotizador!G:G)&gt;0,SUMIFS(Compat_Vetado!D:D,Compat_Vetado!B:B,SUM(G:G),Compat_Vetado!C:C,Q248)=-1),"NO","")))</f>
        <v/>
      </c>
      <c r="T248" s="4" t="str">
        <f t="shared" si="6"/>
        <v/>
      </c>
      <c r="U248" s="4" t="str">
        <f>IFERROR(__xludf.DUMMYFUNCTION("IF(P248="""","""",IFERROR(INDEX(filter(Productos!E:E,Productos!F:F=L248,Productos!H:H=N248),P248),IF(M248=SUM(D:D),""Finalizar"",""-"")))"),"")</f>
        <v/>
      </c>
      <c r="V248" s="4" t="str">
        <f>IFERROR(__xludf.DUMMYFUNCTION("IF(OR($U248="""",COUNTIF($I:$I,IFERROR(unique(filter(Prod_Prop!$H:$H,Prod_Prop!$G:$G=$U248,Prod_Prop!$E:$E=V$1)),""Check""))=0),"""",IFERROR(unique(filter(Prod_Prop!$H:$H,Prod_Prop!$G:$G=$U248,Prod_Prop!$E:$E=V$1)),""""))"),"")</f>
        <v/>
      </c>
      <c r="W248" s="4" t="str">
        <f>IF(V248="","",SUMIFS(Prod_Prop!$J:$J,Prod_Prop!$B:$B,$Q248,Prod_Prop!$H:$H,V248,Prod_Prop!$I:$I,W$1)*IF(V248="Peso",$R248,1))</f>
        <v/>
      </c>
      <c r="X248" s="4" t="str">
        <f>IF(V248="","",SUMIFS(Prod_Prop!$J:$J,Prod_Prop!$B:$B,$Q248,Prod_Prop!$H:$H,V248,Prod_Prop!$I:$I,X$1)*IF(V248="Peso",$R248,1))</f>
        <v/>
      </c>
      <c r="Y248" s="4" t="str">
        <f>IFERROR(__xludf.DUMMYFUNCTION("IF(OR($U248="""",COUNTIF($I:$I,IFERROR(unique(filter(Prod_Prop!$H:$H,Prod_Prop!$G:$G=$U248,Prod_Prop!$E:$E=Y$1)),""Check""))=0),"""",IFERROR(unique(filter(Prod_Prop!$H:$H,Prod_Prop!$G:$G=$U248,Prod_Prop!$E:$E=Y$1)),""""))"),"")</f>
        <v/>
      </c>
      <c r="Z248" s="4" t="str">
        <f>IF(Y248="","",SUMIFS(Prod_Prop!$J:$J,Prod_Prop!$B:$B,$Q248,Prod_Prop!$H:$H,Y248,Prod_Prop!$I:$I,Z$1)*IF(Y248="Peso",$R248,1))</f>
        <v/>
      </c>
      <c r="AA248" s="4" t="str">
        <f>IF(Y248="","",SUMIFS(Prod_Prop!$J:$J,Prod_Prop!$B:$B,$Q248,Prod_Prop!$H:$H,Y248,Prod_Prop!$I:$I,AA$1)*IF(Y248="Peso",$R248,1))</f>
        <v/>
      </c>
      <c r="AB248" s="4" t="str">
        <f>IFERROR(__xludf.DUMMYFUNCTION("IF(OR($U248="""",COUNTIF($I:$I,IFERROR(unique(filter(Prod_Prop!$H:$H,Prod_Prop!$G:$G=$U248,Prod_Prop!$E:$E=AB$1)),""Check""))=0),"""",IFERROR(unique(filter(Prod_Prop!$H:$H,Prod_Prop!$G:$G=$U248,Prod_Prop!$E:$E=AB$1)),""""))"),"")</f>
        <v/>
      </c>
      <c r="AC248" s="4" t="str">
        <f>IF(AB248="","",SUMIFS(Prod_Prop!$J:$J,Prod_Prop!$B:$B,$Q248,Prod_Prop!$H:$H,AB248,Prod_Prop!$I:$I,AC$1)*IF(AB248="Peso",$R248,1))</f>
        <v/>
      </c>
      <c r="AD248" s="4" t="str">
        <f>IF(AB248="","",SUMIFS(Prod_Prop!$J:$J,Prod_Prop!$B:$B,$Q248,Prod_Prop!$H:$H,AB248,Prod_Prop!$I:$I,AD$1)*IF(AB248="Peso",$R248,1))</f>
        <v/>
      </c>
    </row>
    <row r="249">
      <c r="A249" s="4" t="str">
        <f t="array" ref="A249">IF(COUNTIF(A$1:A248,Cotizador!F$2)=maxifs(Familias!E:E,Familias!D:D,Cotizador!F$2),IF(COUNTIF(A$1:A248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49" s="4" t="str">
        <f t="shared" si="1"/>
        <v/>
      </c>
      <c r="C249" s="4" t="str">
        <f t="array" ref="C249">IF(B249="","",IF(A249=XLOOKUP(A$2,Implementos!B:B,Implementos!C:C,"",0,1),B249+maxifs(B$1:B248,A$1:A248,A$2),B249))</f>
        <v/>
      </c>
      <c r="D249" s="4" t="str">
        <f>IF(B249="","", COUNTIFS(Productos!F:F,A249,Productos!H:H,B249)+IF(F249="SI",0,1))</f>
        <v/>
      </c>
      <c r="E249" s="4" t="str">
        <f>IFERROR(__xludf.DUMMYFUNCTION("IF($B249="""","""",INDEX(filter(Familias!F:F,Familias!$D:$D=$A249,Familias!$E:$E=$B249),1))"),"")</f>
        <v/>
      </c>
      <c r="F249" s="4" t="str">
        <f>IFERROR(__xludf.DUMMYFUNCTION("IF($B249="""","""",INDEX(filter(Familias!G:G,Familias!$D:$D=$A249,Familias!$E:$E=$B249),1))"),"")</f>
        <v/>
      </c>
      <c r="G249" s="4" t="str">
        <f t="array" ref="G249">IF(C249=1,XLOOKUP(C249,Cotizador!D:D,Cotizador!E:E,"",0,1),"")</f>
        <v/>
      </c>
      <c r="I249" s="4"/>
      <c r="J249" s="8" t="str">
        <f>IF(I249="","",SUMIF(Cotizador!I$1:V$1,I249,Cotizador!I$2:V$2))</f>
        <v/>
      </c>
      <c r="L249" s="4" t="str">
        <f t="array" ref="L249">IF(COUNTIF(L$1:L248,A$2)=SUMIF(A:A,A$2,D:D),IF(COUNTIF(L$1:L248,XLOOKUP(A$2,Implementos!B:B,Implementos!C:C,"",0,1))=SUMIF(A:A,XLOOKUP(A$2,Implementos!B:B,Implementos!C:C,"",0,1),D:D),"",XLOOKUP(A$2,Implementos!B:B,Implementos!C:C,"",0,1)),A$2)</f>
        <v/>
      </c>
      <c r="M249" s="4" t="str">
        <f t="shared" si="2"/>
        <v/>
      </c>
      <c r="N249" s="4" t="str">
        <f t="shared" si="3"/>
        <v/>
      </c>
      <c r="O249" s="4" t="str">
        <f t="shared" si="4"/>
        <v/>
      </c>
      <c r="P249" s="4" t="str">
        <f t="shared" si="5"/>
        <v/>
      </c>
      <c r="Q249" s="4" t="str">
        <f>IF(U249="","",SUMIF(Productos!E:E,U249,Productos!A:A))</f>
        <v/>
      </c>
      <c r="R249" s="4" t="str">
        <f t="array" ref="R249">IF(L249="","", max(1,SUMIF(I:I,XLOOKUP(U249,Productos!E:E,Productos!G:G,"",0,1),J:J)))</f>
        <v/>
      </c>
      <c r="S249" s="4" t="str">
        <f>IF(Q249="","",IF(SUMIFS(Compat_Vetado!D:D,Compat_Vetado!B:B,SUM(G:G),Compat_Vetado!C:C,Q249)=1,"SI",IF(OR(SUMIF(Cotizador!E:E,Q249,Cotizador!G:G)&gt;0,SUMIFS(Compat_Vetado!D:D,Compat_Vetado!B:B,SUM(G:G),Compat_Vetado!C:C,Q249)=-1),"NO","")))</f>
        <v/>
      </c>
      <c r="T249" s="4" t="str">
        <f t="shared" si="6"/>
        <v/>
      </c>
      <c r="U249" s="4" t="str">
        <f>IFERROR(__xludf.DUMMYFUNCTION("IF(P249="""","""",IFERROR(INDEX(filter(Productos!E:E,Productos!F:F=L249,Productos!H:H=N249),P249),IF(M249=SUM(D:D),""Finalizar"",""-"")))"),"")</f>
        <v/>
      </c>
      <c r="V249" s="4" t="str">
        <f>IFERROR(__xludf.DUMMYFUNCTION("IF(OR($U249="""",COUNTIF($I:$I,IFERROR(unique(filter(Prod_Prop!$H:$H,Prod_Prop!$G:$G=$U249,Prod_Prop!$E:$E=V$1)),""Check""))=0),"""",IFERROR(unique(filter(Prod_Prop!$H:$H,Prod_Prop!$G:$G=$U249,Prod_Prop!$E:$E=V$1)),""""))"),"")</f>
        <v/>
      </c>
      <c r="W249" s="4" t="str">
        <f>IF(V249="","",SUMIFS(Prod_Prop!$J:$J,Prod_Prop!$B:$B,$Q249,Prod_Prop!$H:$H,V249,Prod_Prop!$I:$I,W$1)*IF(V249="Peso",$R249,1))</f>
        <v/>
      </c>
      <c r="X249" s="4" t="str">
        <f>IF(V249="","",SUMIFS(Prod_Prop!$J:$J,Prod_Prop!$B:$B,$Q249,Prod_Prop!$H:$H,V249,Prod_Prop!$I:$I,X$1)*IF(V249="Peso",$R249,1))</f>
        <v/>
      </c>
      <c r="Y249" s="4" t="str">
        <f>IFERROR(__xludf.DUMMYFUNCTION("IF(OR($U249="""",COUNTIF($I:$I,IFERROR(unique(filter(Prod_Prop!$H:$H,Prod_Prop!$G:$G=$U249,Prod_Prop!$E:$E=Y$1)),""Check""))=0),"""",IFERROR(unique(filter(Prod_Prop!$H:$H,Prod_Prop!$G:$G=$U249,Prod_Prop!$E:$E=Y$1)),""""))"),"")</f>
        <v/>
      </c>
      <c r="Z249" s="4" t="str">
        <f>IF(Y249="","",SUMIFS(Prod_Prop!$J:$J,Prod_Prop!$B:$B,$Q249,Prod_Prop!$H:$H,Y249,Prod_Prop!$I:$I,Z$1)*IF(Y249="Peso",$R249,1))</f>
        <v/>
      </c>
      <c r="AA249" s="4" t="str">
        <f>IF(Y249="","",SUMIFS(Prod_Prop!$J:$J,Prod_Prop!$B:$B,$Q249,Prod_Prop!$H:$H,Y249,Prod_Prop!$I:$I,AA$1)*IF(Y249="Peso",$R249,1))</f>
        <v/>
      </c>
      <c r="AB249" s="4" t="str">
        <f>IFERROR(__xludf.DUMMYFUNCTION("IF(OR($U249="""",COUNTIF($I:$I,IFERROR(unique(filter(Prod_Prop!$H:$H,Prod_Prop!$G:$G=$U249,Prod_Prop!$E:$E=AB$1)),""Check""))=0),"""",IFERROR(unique(filter(Prod_Prop!$H:$H,Prod_Prop!$G:$G=$U249,Prod_Prop!$E:$E=AB$1)),""""))"),"")</f>
        <v/>
      </c>
      <c r="AC249" s="4" t="str">
        <f>IF(AB249="","",SUMIFS(Prod_Prop!$J:$J,Prod_Prop!$B:$B,$Q249,Prod_Prop!$H:$H,AB249,Prod_Prop!$I:$I,AC$1)*IF(AB249="Peso",$R249,1))</f>
        <v/>
      </c>
      <c r="AD249" s="4" t="str">
        <f>IF(AB249="","",SUMIFS(Prod_Prop!$J:$J,Prod_Prop!$B:$B,$Q249,Prod_Prop!$H:$H,AB249,Prod_Prop!$I:$I,AD$1)*IF(AB249="Peso",$R249,1))</f>
        <v/>
      </c>
    </row>
    <row r="250">
      <c r="A250" s="4" t="str">
        <f t="array" ref="A250">IF(COUNTIF(A$1:A249,Cotizador!F$2)=maxifs(Familias!E:E,Familias!D:D,Cotizador!F$2),IF(COUNTIF(A$1:A249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0" s="4" t="str">
        <f t="shared" si="1"/>
        <v/>
      </c>
      <c r="C250" s="4" t="str">
        <f t="array" ref="C250">IF(B250="","",IF(A250=XLOOKUP(A$2,Implementos!B:B,Implementos!C:C,"",0,1),B250+maxifs(B$1:B249,A$1:A249,A$2),B250))</f>
        <v/>
      </c>
      <c r="D250" s="4" t="str">
        <f>IF(B250="","", COUNTIFS(Productos!F:F,A250,Productos!H:H,B250)+IF(F250="SI",0,1))</f>
        <v/>
      </c>
      <c r="E250" s="4" t="str">
        <f>IFERROR(__xludf.DUMMYFUNCTION("IF($B250="""","""",INDEX(filter(Familias!F:F,Familias!$D:$D=$A250,Familias!$E:$E=$B250),1))"),"")</f>
        <v/>
      </c>
      <c r="F250" s="4" t="str">
        <f>IFERROR(__xludf.DUMMYFUNCTION("IF($B250="""","""",INDEX(filter(Familias!G:G,Familias!$D:$D=$A250,Familias!$E:$E=$B250),1))"),"")</f>
        <v/>
      </c>
      <c r="G250" s="4" t="str">
        <f t="array" ref="G250">IF(C250=1,XLOOKUP(C250,Cotizador!D:D,Cotizador!E:E,"",0,1),"")</f>
        <v/>
      </c>
      <c r="I250" s="4"/>
      <c r="J250" s="8" t="str">
        <f>IF(I250="","",SUMIF(Cotizador!I$1:V$1,I250,Cotizador!I$2:V$2))</f>
        <v/>
      </c>
      <c r="L250" s="4" t="str">
        <f t="array" ref="L250">IF(COUNTIF(L$1:L249,A$2)=SUMIF(A:A,A$2,D:D),IF(COUNTIF(L$1:L249,XLOOKUP(A$2,Implementos!B:B,Implementos!C:C,"",0,1))=SUMIF(A:A,XLOOKUP(A$2,Implementos!B:B,Implementos!C:C,"",0,1),D:D),"",XLOOKUP(A$2,Implementos!B:B,Implementos!C:C,"",0,1)),A$2)</f>
        <v/>
      </c>
      <c r="M250" s="4" t="str">
        <f t="shared" si="2"/>
        <v/>
      </c>
      <c r="N250" s="4" t="str">
        <f t="shared" si="3"/>
        <v/>
      </c>
      <c r="O250" s="4" t="str">
        <f t="shared" si="4"/>
        <v/>
      </c>
      <c r="P250" s="4" t="str">
        <f t="shared" si="5"/>
        <v/>
      </c>
      <c r="Q250" s="4" t="str">
        <f>IF(U250="","",SUMIF(Productos!E:E,U250,Productos!A:A))</f>
        <v/>
      </c>
      <c r="R250" s="4" t="str">
        <f t="array" ref="R250">IF(L250="","", max(1,SUMIF(I:I,XLOOKUP(U250,Productos!E:E,Productos!G:G,"",0,1),J:J)))</f>
        <v/>
      </c>
      <c r="S250" s="4" t="str">
        <f>IF(Q250="","",IF(SUMIFS(Compat_Vetado!D:D,Compat_Vetado!B:B,SUM(G:G),Compat_Vetado!C:C,Q250)=1,"SI",IF(OR(SUMIF(Cotizador!E:E,Q250,Cotizador!G:G)&gt;0,SUMIFS(Compat_Vetado!D:D,Compat_Vetado!B:B,SUM(G:G),Compat_Vetado!C:C,Q250)=-1),"NO","")))</f>
        <v/>
      </c>
      <c r="T250" s="4" t="str">
        <f t="shared" si="6"/>
        <v/>
      </c>
      <c r="U250" s="4" t="str">
        <f>IFERROR(__xludf.DUMMYFUNCTION("IF(P250="""","""",IFERROR(INDEX(filter(Productos!E:E,Productos!F:F=L250,Productos!H:H=N250),P250),IF(M250=SUM(D:D),""Finalizar"",""-"")))"),"")</f>
        <v/>
      </c>
      <c r="V250" s="4" t="str">
        <f>IFERROR(__xludf.DUMMYFUNCTION("IF(OR($U250="""",COUNTIF($I:$I,IFERROR(unique(filter(Prod_Prop!$H:$H,Prod_Prop!$G:$G=$U250,Prod_Prop!$E:$E=V$1)),""Check""))=0),"""",IFERROR(unique(filter(Prod_Prop!$H:$H,Prod_Prop!$G:$G=$U250,Prod_Prop!$E:$E=V$1)),""""))"),"")</f>
        <v/>
      </c>
      <c r="W250" s="4" t="str">
        <f>IF(V250="","",SUMIFS(Prod_Prop!$J:$J,Prod_Prop!$B:$B,$Q250,Prod_Prop!$H:$H,V250,Prod_Prop!$I:$I,W$1)*IF(V250="Peso",$R250,1))</f>
        <v/>
      </c>
      <c r="X250" s="4" t="str">
        <f>IF(V250="","",SUMIFS(Prod_Prop!$J:$J,Prod_Prop!$B:$B,$Q250,Prod_Prop!$H:$H,V250,Prod_Prop!$I:$I,X$1)*IF(V250="Peso",$R250,1))</f>
        <v/>
      </c>
      <c r="Y250" s="4" t="str">
        <f>IFERROR(__xludf.DUMMYFUNCTION("IF(OR($U250="""",COUNTIF($I:$I,IFERROR(unique(filter(Prod_Prop!$H:$H,Prod_Prop!$G:$G=$U250,Prod_Prop!$E:$E=Y$1)),""Check""))=0),"""",IFERROR(unique(filter(Prod_Prop!$H:$H,Prod_Prop!$G:$G=$U250,Prod_Prop!$E:$E=Y$1)),""""))"),"")</f>
        <v/>
      </c>
      <c r="Z250" s="4" t="str">
        <f>IF(Y250="","",SUMIFS(Prod_Prop!$J:$J,Prod_Prop!$B:$B,$Q250,Prod_Prop!$H:$H,Y250,Prod_Prop!$I:$I,Z$1)*IF(Y250="Peso",$R250,1))</f>
        <v/>
      </c>
      <c r="AA250" s="4" t="str">
        <f>IF(Y250="","",SUMIFS(Prod_Prop!$J:$J,Prod_Prop!$B:$B,$Q250,Prod_Prop!$H:$H,Y250,Prod_Prop!$I:$I,AA$1)*IF(Y250="Peso",$R250,1))</f>
        <v/>
      </c>
      <c r="AB250" s="4" t="str">
        <f>IFERROR(__xludf.DUMMYFUNCTION("IF(OR($U250="""",COUNTIF($I:$I,IFERROR(unique(filter(Prod_Prop!$H:$H,Prod_Prop!$G:$G=$U250,Prod_Prop!$E:$E=AB$1)),""Check""))=0),"""",IFERROR(unique(filter(Prod_Prop!$H:$H,Prod_Prop!$G:$G=$U250,Prod_Prop!$E:$E=AB$1)),""""))"),"")</f>
        <v/>
      </c>
      <c r="AC250" s="4" t="str">
        <f>IF(AB250="","",SUMIFS(Prod_Prop!$J:$J,Prod_Prop!$B:$B,$Q250,Prod_Prop!$H:$H,AB250,Prod_Prop!$I:$I,AC$1)*IF(AB250="Peso",$R250,1))</f>
        <v/>
      </c>
      <c r="AD250" s="4" t="str">
        <f>IF(AB250="","",SUMIFS(Prod_Prop!$J:$J,Prod_Prop!$B:$B,$Q250,Prod_Prop!$H:$H,AB250,Prod_Prop!$I:$I,AD$1)*IF(AB250="Peso",$R250,1))</f>
        <v/>
      </c>
    </row>
    <row r="251">
      <c r="A251" s="4" t="str">
        <f t="array" ref="A251">IF(COUNTIF(A$1:A250,Cotizador!F$2)=maxifs(Familias!E:E,Familias!D:D,Cotizador!F$2),IF(COUNTIF(A$1:A250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1" s="4" t="str">
        <f t="shared" si="1"/>
        <v/>
      </c>
      <c r="C251" s="4" t="str">
        <f t="array" ref="C251">IF(B251="","",IF(A251=XLOOKUP(A$2,Implementos!B:B,Implementos!C:C,"",0,1),B251+maxifs(B$1:B250,A$1:A250,A$2),B251))</f>
        <v/>
      </c>
      <c r="D251" s="4" t="str">
        <f>IF(B251="","", COUNTIFS(Productos!F:F,A251,Productos!H:H,B251)+IF(F251="SI",0,1))</f>
        <v/>
      </c>
      <c r="E251" s="4" t="str">
        <f>IFERROR(__xludf.DUMMYFUNCTION("IF($B251="""","""",INDEX(filter(Familias!F:F,Familias!$D:$D=$A251,Familias!$E:$E=$B251),1))"),"")</f>
        <v/>
      </c>
      <c r="F251" s="4" t="str">
        <f>IFERROR(__xludf.DUMMYFUNCTION("IF($B251="""","""",INDEX(filter(Familias!G:G,Familias!$D:$D=$A251,Familias!$E:$E=$B251),1))"),"")</f>
        <v/>
      </c>
      <c r="G251" s="4" t="str">
        <f t="array" ref="G251">IF(C251=1,XLOOKUP(C251,Cotizador!D:D,Cotizador!E:E,"",0,1),"")</f>
        <v/>
      </c>
      <c r="I251" s="4"/>
      <c r="J251" s="8" t="str">
        <f>IF(I251="","",SUMIF(Cotizador!I$1:V$1,I251,Cotizador!I$2:V$2))</f>
        <v/>
      </c>
      <c r="L251" s="4" t="str">
        <f t="array" ref="L251">IF(COUNTIF(L$1:L250,A$2)=SUMIF(A:A,A$2,D:D),IF(COUNTIF(L$1:L250,XLOOKUP(A$2,Implementos!B:B,Implementos!C:C,"",0,1))=SUMIF(A:A,XLOOKUP(A$2,Implementos!B:B,Implementos!C:C,"",0,1),D:D),"",XLOOKUP(A$2,Implementos!B:B,Implementos!C:C,"",0,1)),A$2)</f>
        <v/>
      </c>
      <c r="M251" s="4" t="str">
        <f t="shared" si="2"/>
        <v/>
      </c>
      <c r="N251" s="4" t="str">
        <f t="shared" si="3"/>
        <v/>
      </c>
      <c r="O251" s="4" t="str">
        <f t="shared" si="4"/>
        <v/>
      </c>
      <c r="P251" s="4" t="str">
        <f t="shared" si="5"/>
        <v/>
      </c>
      <c r="Q251" s="4" t="str">
        <f>IF(U251="","",SUMIF(Productos!E:E,U251,Productos!A:A))</f>
        <v/>
      </c>
      <c r="R251" s="4" t="str">
        <f t="array" ref="R251">IF(L251="","", max(1,SUMIF(I:I,XLOOKUP(U251,Productos!E:E,Productos!G:G,"",0,1),J:J)))</f>
        <v/>
      </c>
      <c r="S251" s="4" t="str">
        <f>IF(Q251="","",IF(SUMIFS(Compat_Vetado!D:D,Compat_Vetado!B:B,SUM(G:G),Compat_Vetado!C:C,Q251)=1,"SI",IF(OR(SUMIF(Cotizador!E:E,Q251,Cotizador!G:G)&gt;0,SUMIFS(Compat_Vetado!D:D,Compat_Vetado!B:B,SUM(G:G),Compat_Vetado!C:C,Q251)=-1),"NO","")))</f>
        <v/>
      </c>
      <c r="T251" s="4" t="str">
        <f t="shared" si="6"/>
        <v/>
      </c>
      <c r="U251" s="4" t="str">
        <f>IFERROR(__xludf.DUMMYFUNCTION("IF(P251="""","""",IFERROR(INDEX(filter(Productos!E:E,Productos!F:F=L251,Productos!H:H=N251),P251),IF(M251=SUM(D:D),""Finalizar"",""-"")))"),"")</f>
        <v/>
      </c>
      <c r="V251" s="4" t="str">
        <f>IFERROR(__xludf.DUMMYFUNCTION("IF(OR($U251="""",COUNTIF($I:$I,IFERROR(unique(filter(Prod_Prop!$H:$H,Prod_Prop!$G:$G=$U251,Prod_Prop!$E:$E=V$1)),""Check""))=0),"""",IFERROR(unique(filter(Prod_Prop!$H:$H,Prod_Prop!$G:$G=$U251,Prod_Prop!$E:$E=V$1)),""""))"),"")</f>
        <v/>
      </c>
      <c r="W251" s="4" t="str">
        <f>IF(V251="","",SUMIFS(Prod_Prop!$J:$J,Prod_Prop!$B:$B,$Q251,Prod_Prop!$H:$H,V251,Prod_Prop!$I:$I,W$1)*IF(V251="Peso",$R251,1))</f>
        <v/>
      </c>
      <c r="X251" s="4" t="str">
        <f>IF(V251="","",SUMIFS(Prod_Prop!$J:$J,Prod_Prop!$B:$B,$Q251,Prod_Prop!$H:$H,V251,Prod_Prop!$I:$I,X$1)*IF(V251="Peso",$R251,1))</f>
        <v/>
      </c>
      <c r="Y251" s="4" t="str">
        <f>IFERROR(__xludf.DUMMYFUNCTION("IF(OR($U251="""",COUNTIF($I:$I,IFERROR(unique(filter(Prod_Prop!$H:$H,Prod_Prop!$G:$G=$U251,Prod_Prop!$E:$E=Y$1)),""Check""))=0),"""",IFERROR(unique(filter(Prod_Prop!$H:$H,Prod_Prop!$G:$G=$U251,Prod_Prop!$E:$E=Y$1)),""""))"),"")</f>
        <v/>
      </c>
      <c r="Z251" s="4" t="str">
        <f>IF(Y251="","",SUMIFS(Prod_Prop!$J:$J,Prod_Prop!$B:$B,$Q251,Prod_Prop!$H:$H,Y251,Prod_Prop!$I:$I,Z$1)*IF(Y251="Peso",$R251,1))</f>
        <v/>
      </c>
      <c r="AA251" s="4" t="str">
        <f>IF(Y251="","",SUMIFS(Prod_Prop!$J:$J,Prod_Prop!$B:$B,$Q251,Prod_Prop!$H:$H,Y251,Prod_Prop!$I:$I,AA$1)*IF(Y251="Peso",$R251,1))</f>
        <v/>
      </c>
      <c r="AB251" s="4" t="str">
        <f>IFERROR(__xludf.DUMMYFUNCTION("IF(OR($U251="""",COUNTIF($I:$I,IFERROR(unique(filter(Prod_Prop!$H:$H,Prod_Prop!$G:$G=$U251,Prod_Prop!$E:$E=AB$1)),""Check""))=0),"""",IFERROR(unique(filter(Prod_Prop!$H:$H,Prod_Prop!$G:$G=$U251,Prod_Prop!$E:$E=AB$1)),""""))"),"")</f>
        <v/>
      </c>
      <c r="AC251" s="4" t="str">
        <f>IF(AB251="","",SUMIFS(Prod_Prop!$J:$J,Prod_Prop!$B:$B,$Q251,Prod_Prop!$H:$H,AB251,Prod_Prop!$I:$I,AC$1)*IF(AB251="Peso",$R251,1))</f>
        <v/>
      </c>
      <c r="AD251" s="4" t="str">
        <f>IF(AB251="","",SUMIFS(Prod_Prop!$J:$J,Prod_Prop!$B:$B,$Q251,Prod_Prop!$H:$H,AB251,Prod_Prop!$I:$I,AD$1)*IF(AB251="Peso",$R251,1))</f>
        <v/>
      </c>
    </row>
    <row r="252">
      <c r="A252" s="4" t="str">
        <f t="array" ref="A252">IF(COUNTIF(A$1:A251,Cotizador!F$2)=maxifs(Familias!E:E,Familias!D:D,Cotizador!F$2),IF(COUNTIF(A$1:A251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2" s="4" t="str">
        <f t="shared" si="1"/>
        <v/>
      </c>
      <c r="C252" s="4" t="str">
        <f t="array" ref="C252">IF(B252="","",IF(A252=XLOOKUP(A$2,Implementos!B:B,Implementos!C:C,"",0,1),B252+maxifs(B$1:B251,A$1:A251,A$2),B252))</f>
        <v/>
      </c>
      <c r="D252" s="4" t="str">
        <f>IF(B252="","", COUNTIFS(Productos!F:F,A252,Productos!H:H,B252)+IF(F252="SI",0,1))</f>
        <v/>
      </c>
      <c r="E252" s="4" t="str">
        <f>IFERROR(__xludf.DUMMYFUNCTION("IF($B252="""","""",INDEX(filter(Familias!F:F,Familias!$D:$D=$A252,Familias!$E:$E=$B252),1))"),"")</f>
        <v/>
      </c>
      <c r="F252" s="4" t="str">
        <f>IFERROR(__xludf.DUMMYFUNCTION("IF($B252="""","""",INDEX(filter(Familias!G:G,Familias!$D:$D=$A252,Familias!$E:$E=$B252),1))"),"")</f>
        <v/>
      </c>
      <c r="G252" s="4" t="str">
        <f t="array" ref="G252">IF(C252=1,XLOOKUP(C252,Cotizador!D:D,Cotizador!E:E,"",0,1),"")</f>
        <v/>
      </c>
      <c r="I252" s="4"/>
      <c r="J252" s="8" t="str">
        <f>IF(I252="","",SUMIF(Cotizador!I$1:V$1,I252,Cotizador!I$2:V$2))</f>
        <v/>
      </c>
      <c r="L252" s="4" t="str">
        <f t="array" ref="L252">IF(COUNTIF(L$1:L251,A$2)=SUMIF(A:A,A$2,D:D),IF(COUNTIF(L$1:L251,XLOOKUP(A$2,Implementos!B:B,Implementos!C:C,"",0,1))=SUMIF(A:A,XLOOKUP(A$2,Implementos!B:B,Implementos!C:C,"",0,1),D:D),"",XLOOKUP(A$2,Implementos!B:B,Implementos!C:C,"",0,1)),A$2)</f>
        <v/>
      </c>
      <c r="M252" s="4" t="str">
        <f t="shared" si="2"/>
        <v/>
      </c>
      <c r="N252" s="4" t="str">
        <f t="shared" si="3"/>
        <v/>
      </c>
      <c r="O252" s="4" t="str">
        <f t="shared" si="4"/>
        <v/>
      </c>
      <c r="P252" s="4" t="str">
        <f t="shared" si="5"/>
        <v/>
      </c>
      <c r="Q252" s="4" t="str">
        <f>IF(U252="","",SUMIF(Productos!E:E,U252,Productos!A:A))</f>
        <v/>
      </c>
      <c r="R252" s="4" t="str">
        <f t="array" ref="R252">IF(L252="","", max(1,SUMIF(I:I,XLOOKUP(U252,Productos!E:E,Productos!G:G,"",0,1),J:J)))</f>
        <v/>
      </c>
      <c r="S252" s="4" t="str">
        <f>IF(Q252="","",IF(SUMIFS(Compat_Vetado!D:D,Compat_Vetado!B:B,SUM(G:G),Compat_Vetado!C:C,Q252)=1,"SI",IF(OR(SUMIF(Cotizador!E:E,Q252,Cotizador!G:G)&gt;0,SUMIFS(Compat_Vetado!D:D,Compat_Vetado!B:B,SUM(G:G),Compat_Vetado!C:C,Q252)=-1),"NO","")))</f>
        <v/>
      </c>
      <c r="T252" s="4" t="str">
        <f t="shared" si="6"/>
        <v/>
      </c>
      <c r="U252" s="4" t="str">
        <f>IFERROR(__xludf.DUMMYFUNCTION("IF(P252="""","""",IFERROR(INDEX(filter(Productos!E:E,Productos!F:F=L252,Productos!H:H=N252),P252),IF(M252=SUM(D:D),""Finalizar"",""-"")))"),"")</f>
        <v/>
      </c>
      <c r="V252" s="4" t="str">
        <f>IFERROR(__xludf.DUMMYFUNCTION("IF(OR($U252="""",COUNTIF($I:$I,IFERROR(unique(filter(Prod_Prop!$H:$H,Prod_Prop!$G:$G=$U252,Prod_Prop!$E:$E=V$1)),""Check""))=0),"""",IFERROR(unique(filter(Prod_Prop!$H:$H,Prod_Prop!$G:$G=$U252,Prod_Prop!$E:$E=V$1)),""""))"),"")</f>
        <v/>
      </c>
      <c r="W252" s="4" t="str">
        <f>IF(V252="","",SUMIFS(Prod_Prop!$J:$J,Prod_Prop!$B:$B,$Q252,Prod_Prop!$H:$H,V252,Prod_Prop!$I:$I,W$1)*IF(V252="Peso",$R252,1))</f>
        <v/>
      </c>
      <c r="X252" s="4" t="str">
        <f>IF(V252="","",SUMIFS(Prod_Prop!$J:$J,Prod_Prop!$B:$B,$Q252,Prod_Prop!$H:$H,V252,Prod_Prop!$I:$I,X$1)*IF(V252="Peso",$R252,1))</f>
        <v/>
      </c>
      <c r="Y252" s="4" t="str">
        <f>IFERROR(__xludf.DUMMYFUNCTION("IF(OR($U252="""",COUNTIF($I:$I,IFERROR(unique(filter(Prod_Prop!$H:$H,Prod_Prop!$G:$G=$U252,Prod_Prop!$E:$E=Y$1)),""Check""))=0),"""",IFERROR(unique(filter(Prod_Prop!$H:$H,Prod_Prop!$G:$G=$U252,Prod_Prop!$E:$E=Y$1)),""""))"),"")</f>
        <v/>
      </c>
      <c r="Z252" s="4" t="str">
        <f>IF(Y252="","",SUMIFS(Prod_Prop!$J:$J,Prod_Prop!$B:$B,$Q252,Prod_Prop!$H:$H,Y252,Prod_Prop!$I:$I,Z$1)*IF(Y252="Peso",$R252,1))</f>
        <v/>
      </c>
      <c r="AA252" s="4" t="str">
        <f>IF(Y252="","",SUMIFS(Prod_Prop!$J:$J,Prod_Prop!$B:$B,$Q252,Prod_Prop!$H:$H,Y252,Prod_Prop!$I:$I,AA$1)*IF(Y252="Peso",$R252,1))</f>
        <v/>
      </c>
      <c r="AB252" s="4" t="str">
        <f>IFERROR(__xludf.DUMMYFUNCTION("IF(OR($U252="""",COUNTIF($I:$I,IFERROR(unique(filter(Prod_Prop!$H:$H,Prod_Prop!$G:$G=$U252,Prod_Prop!$E:$E=AB$1)),""Check""))=0),"""",IFERROR(unique(filter(Prod_Prop!$H:$H,Prod_Prop!$G:$G=$U252,Prod_Prop!$E:$E=AB$1)),""""))"),"")</f>
        <v/>
      </c>
      <c r="AC252" s="4" t="str">
        <f>IF(AB252="","",SUMIFS(Prod_Prop!$J:$J,Prod_Prop!$B:$B,$Q252,Prod_Prop!$H:$H,AB252,Prod_Prop!$I:$I,AC$1)*IF(AB252="Peso",$R252,1))</f>
        <v/>
      </c>
      <c r="AD252" s="4" t="str">
        <f>IF(AB252="","",SUMIFS(Prod_Prop!$J:$J,Prod_Prop!$B:$B,$Q252,Prod_Prop!$H:$H,AB252,Prod_Prop!$I:$I,AD$1)*IF(AB252="Peso",$R252,1))</f>
        <v/>
      </c>
    </row>
    <row r="253">
      <c r="A253" s="4" t="str">
        <f t="array" ref="A253">IF(COUNTIF(A$1:A252,Cotizador!F$2)=maxifs(Familias!E:E,Familias!D:D,Cotizador!F$2),IF(COUNTIF(A$1:A252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3" s="4" t="str">
        <f t="shared" si="1"/>
        <v/>
      </c>
      <c r="C253" s="4" t="str">
        <f t="array" ref="C253">IF(B253="","",IF(A253=XLOOKUP(A$2,Implementos!B:B,Implementos!C:C,"",0,1),B253+maxifs(B$1:B252,A$1:A252,A$2),B253))</f>
        <v/>
      </c>
      <c r="D253" s="4" t="str">
        <f>IF(B253="","", COUNTIFS(Productos!F:F,A253,Productos!H:H,B253)+IF(F253="SI",0,1))</f>
        <v/>
      </c>
      <c r="E253" s="4" t="str">
        <f>IFERROR(__xludf.DUMMYFUNCTION("IF($B253="""","""",INDEX(filter(Familias!F:F,Familias!$D:$D=$A253,Familias!$E:$E=$B253),1))"),"")</f>
        <v/>
      </c>
      <c r="F253" s="4" t="str">
        <f>IFERROR(__xludf.DUMMYFUNCTION("IF($B253="""","""",INDEX(filter(Familias!G:G,Familias!$D:$D=$A253,Familias!$E:$E=$B253),1))"),"")</f>
        <v/>
      </c>
      <c r="G253" s="4" t="str">
        <f t="array" ref="G253">IF(C253=1,XLOOKUP(C253,Cotizador!D:D,Cotizador!E:E,"",0,1),"")</f>
        <v/>
      </c>
      <c r="I253" s="4"/>
      <c r="J253" s="8" t="str">
        <f>IF(I253="","",SUMIF(Cotizador!I$1:V$1,I253,Cotizador!I$2:V$2))</f>
        <v/>
      </c>
      <c r="L253" s="4" t="str">
        <f t="array" ref="L253">IF(COUNTIF(L$1:L252,A$2)=SUMIF(A:A,A$2,D:D),IF(COUNTIF(L$1:L252,XLOOKUP(A$2,Implementos!B:B,Implementos!C:C,"",0,1))=SUMIF(A:A,XLOOKUP(A$2,Implementos!B:B,Implementos!C:C,"",0,1),D:D),"",XLOOKUP(A$2,Implementos!B:B,Implementos!C:C,"",0,1)),A$2)</f>
        <v/>
      </c>
      <c r="M253" s="4" t="str">
        <f t="shared" si="2"/>
        <v/>
      </c>
      <c r="N253" s="4" t="str">
        <f t="shared" si="3"/>
        <v/>
      </c>
      <c r="O253" s="4" t="str">
        <f t="shared" si="4"/>
        <v/>
      </c>
      <c r="P253" s="4" t="str">
        <f t="shared" si="5"/>
        <v/>
      </c>
      <c r="Q253" s="4" t="str">
        <f>IF(U253="","",SUMIF(Productos!E:E,U253,Productos!A:A))</f>
        <v/>
      </c>
      <c r="R253" s="4" t="str">
        <f t="array" ref="R253">IF(L253="","", max(1,SUMIF(I:I,XLOOKUP(U253,Productos!E:E,Productos!G:G,"",0,1),J:J)))</f>
        <v/>
      </c>
      <c r="S253" s="4" t="str">
        <f>IF(Q253="","",IF(SUMIFS(Compat_Vetado!D:D,Compat_Vetado!B:B,SUM(G:G),Compat_Vetado!C:C,Q253)=1,"SI",IF(OR(SUMIF(Cotizador!E:E,Q253,Cotizador!G:G)&gt;0,SUMIFS(Compat_Vetado!D:D,Compat_Vetado!B:B,SUM(G:G),Compat_Vetado!C:C,Q253)=-1),"NO","")))</f>
        <v/>
      </c>
      <c r="T253" s="4" t="str">
        <f t="shared" si="6"/>
        <v/>
      </c>
      <c r="U253" s="4" t="str">
        <f>IFERROR(__xludf.DUMMYFUNCTION("IF(P253="""","""",IFERROR(INDEX(filter(Productos!E:E,Productos!F:F=L253,Productos!H:H=N253),P253),IF(M253=SUM(D:D),""Finalizar"",""-"")))"),"")</f>
        <v/>
      </c>
      <c r="V253" s="4" t="str">
        <f>IFERROR(__xludf.DUMMYFUNCTION("IF(OR($U253="""",COUNTIF($I:$I,IFERROR(unique(filter(Prod_Prop!$H:$H,Prod_Prop!$G:$G=$U253,Prod_Prop!$E:$E=V$1)),""Check""))=0),"""",IFERROR(unique(filter(Prod_Prop!$H:$H,Prod_Prop!$G:$G=$U253,Prod_Prop!$E:$E=V$1)),""""))"),"")</f>
        <v/>
      </c>
      <c r="W253" s="4" t="str">
        <f>IF(V253="","",SUMIFS(Prod_Prop!$J:$J,Prod_Prop!$B:$B,$Q253,Prod_Prop!$H:$H,V253,Prod_Prop!$I:$I,W$1)*IF(V253="Peso",$R253,1))</f>
        <v/>
      </c>
      <c r="X253" s="4" t="str">
        <f>IF(V253="","",SUMIFS(Prod_Prop!$J:$J,Prod_Prop!$B:$B,$Q253,Prod_Prop!$H:$H,V253,Prod_Prop!$I:$I,X$1)*IF(V253="Peso",$R253,1))</f>
        <v/>
      </c>
      <c r="Y253" s="4" t="str">
        <f>IFERROR(__xludf.DUMMYFUNCTION("IF(OR($U253="""",COUNTIF($I:$I,IFERROR(unique(filter(Prod_Prop!$H:$H,Prod_Prop!$G:$G=$U253,Prod_Prop!$E:$E=Y$1)),""Check""))=0),"""",IFERROR(unique(filter(Prod_Prop!$H:$H,Prod_Prop!$G:$G=$U253,Prod_Prop!$E:$E=Y$1)),""""))"),"")</f>
        <v/>
      </c>
      <c r="Z253" s="4" t="str">
        <f>IF(Y253="","",SUMIFS(Prod_Prop!$J:$J,Prod_Prop!$B:$B,$Q253,Prod_Prop!$H:$H,Y253,Prod_Prop!$I:$I,Z$1)*IF(Y253="Peso",$R253,1))</f>
        <v/>
      </c>
      <c r="AA253" s="4" t="str">
        <f>IF(Y253="","",SUMIFS(Prod_Prop!$J:$J,Prod_Prop!$B:$B,$Q253,Prod_Prop!$H:$H,Y253,Prod_Prop!$I:$I,AA$1)*IF(Y253="Peso",$R253,1))</f>
        <v/>
      </c>
      <c r="AB253" s="4" t="str">
        <f>IFERROR(__xludf.DUMMYFUNCTION("IF(OR($U253="""",COUNTIF($I:$I,IFERROR(unique(filter(Prod_Prop!$H:$H,Prod_Prop!$G:$G=$U253,Prod_Prop!$E:$E=AB$1)),""Check""))=0),"""",IFERROR(unique(filter(Prod_Prop!$H:$H,Prod_Prop!$G:$G=$U253,Prod_Prop!$E:$E=AB$1)),""""))"),"")</f>
        <v/>
      </c>
      <c r="AC253" s="4" t="str">
        <f>IF(AB253="","",SUMIFS(Prod_Prop!$J:$J,Prod_Prop!$B:$B,$Q253,Prod_Prop!$H:$H,AB253,Prod_Prop!$I:$I,AC$1)*IF(AB253="Peso",$R253,1))</f>
        <v/>
      </c>
      <c r="AD253" s="4" t="str">
        <f>IF(AB253="","",SUMIFS(Prod_Prop!$J:$J,Prod_Prop!$B:$B,$Q253,Prod_Prop!$H:$H,AB253,Prod_Prop!$I:$I,AD$1)*IF(AB253="Peso",$R253,1))</f>
        <v/>
      </c>
    </row>
    <row r="254">
      <c r="A254" s="4" t="str">
        <f t="array" ref="A254">IF(COUNTIF(A$1:A253,Cotizador!F$2)=maxifs(Familias!E:E,Familias!D:D,Cotizador!F$2),IF(COUNTIF(A$1:A253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4" s="4" t="str">
        <f t="shared" si="1"/>
        <v/>
      </c>
      <c r="C254" s="4" t="str">
        <f t="array" ref="C254">IF(B254="","",IF(A254=XLOOKUP(A$2,Implementos!B:B,Implementos!C:C,"",0,1),B254+maxifs(B$1:B253,A$1:A253,A$2),B254))</f>
        <v/>
      </c>
      <c r="D254" s="4" t="str">
        <f>IF(B254="","", COUNTIFS(Productos!F:F,A254,Productos!H:H,B254)+IF(F254="SI",0,1))</f>
        <v/>
      </c>
      <c r="E254" s="4" t="str">
        <f>IFERROR(__xludf.DUMMYFUNCTION("IF($B254="""","""",INDEX(filter(Familias!F:F,Familias!$D:$D=$A254,Familias!$E:$E=$B254),1))"),"")</f>
        <v/>
      </c>
      <c r="F254" s="4" t="str">
        <f>IFERROR(__xludf.DUMMYFUNCTION("IF($B254="""","""",INDEX(filter(Familias!G:G,Familias!$D:$D=$A254,Familias!$E:$E=$B254),1))"),"")</f>
        <v/>
      </c>
      <c r="G254" s="4" t="str">
        <f t="array" ref="G254">IF(C254=1,XLOOKUP(C254,Cotizador!D:D,Cotizador!E:E,"",0,1),"")</f>
        <v/>
      </c>
      <c r="I254" s="4"/>
      <c r="J254" s="8" t="str">
        <f>IF(I254="","",SUMIF(Cotizador!I$1:V$1,I254,Cotizador!I$2:V$2))</f>
        <v/>
      </c>
      <c r="L254" s="4" t="str">
        <f t="array" ref="L254">IF(COUNTIF(L$1:L253,A$2)=SUMIF(A:A,A$2,D:D),IF(COUNTIF(L$1:L253,XLOOKUP(A$2,Implementos!B:B,Implementos!C:C,"",0,1))=SUMIF(A:A,XLOOKUP(A$2,Implementos!B:B,Implementos!C:C,"",0,1),D:D),"",XLOOKUP(A$2,Implementos!B:B,Implementos!C:C,"",0,1)),A$2)</f>
        <v/>
      </c>
      <c r="M254" s="4" t="str">
        <f t="shared" si="2"/>
        <v/>
      </c>
      <c r="N254" s="4" t="str">
        <f t="shared" si="3"/>
        <v/>
      </c>
      <c r="O254" s="4" t="str">
        <f t="shared" si="4"/>
        <v/>
      </c>
      <c r="P254" s="4" t="str">
        <f t="shared" si="5"/>
        <v/>
      </c>
      <c r="Q254" s="4" t="str">
        <f>IF(U254="","",SUMIF(Productos!E:E,U254,Productos!A:A))</f>
        <v/>
      </c>
      <c r="R254" s="4" t="str">
        <f t="array" ref="R254">IF(L254="","", max(1,SUMIF(I:I,XLOOKUP(U254,Productos!E:E,Productos!G:G,"",0,1),J:J)))</f>
        <v/>
      </c>
      <c r="S254" s="4" t="str">
        <f>IF(Q254="","",IF(SUMIFS(Compat_Vetado!D:D,Compat_Vetado!B:B,SUM(G:G),Compat_Vetado!C:C,Q254)=1,"SI",IF(OR(SUMIF(Cotizador!E:E,Q254,Cotizador!G:G)&gt;0,SUMIFS(Compat_Vetado!D:D,Compat_Vetado!B:B,SUM(G:G),Compat_Vetado!C:C,Q254)=-1),"NO","")))</f>
        <v/>
      </c>
      <c r="T254" s="4" t="str">
        <f t="shared" si="6"/>
        <v/>
      </c>
      <c r="U254" s="4" t="str">
        <f>IFERROR(__xludf.DUMMYFUNCTION("IF(P254="""","""",IFERROR(INDEX(filter(Productos!E:E,Productos!F:F=L254,Productos!H:H=N254),P254),IF(M254=SUM(D:D),""Finalizar"",""-"")))"),"")</f>
        <v/>
      </c>
      <c r="V254" s="4" t="str">
        <f>IFERROR(__xludf.DUMMYFUNCTION("IF(OR($U254="""",COUNTIF($I:$I,IFERROR(unique(filter(Prod_Prop!$H:$H,Prod_Prop!$G:$G=$U254,Prod_Prop!$E:$E=V$1)),""Check""))=0),"""",IFERROR(unique(filter(Prod_Prop!$H:$H,Prod_Prop!$G:$G=$U254,Prod_Prop!$E:$E=V$1)),""""))"),"")</f>
        <v/>
      </c>
      <c r="W254" s="4" t="str">
        <f>IF(V254="","",SUMIFS(Prod_Prop!$J:$J,Prod_Prop!$B:$B,$Q254,Prod_Prop!$H:$H,V254,Prod_Prop!$I:$I,W$1)*IF(V254="Peso",$R254,1))</f>
        <v/>
      </c>
      <c r="X254" s="4" t="str">
        <f>IF(V254="","",SUMIFS(Prod_Prop!$J:$J,Prod_Prop!$B:$B,$Q254,Prod_Prop!$H:$H,V254,Prod_Prop!$I:$I,X$1)*IF(V254="Peso",$R254,1))</f>
        <v/>
      </c>
      <c r="Y254" s="4" t="str">
        <f>IFERROR(__xludf.DUMMYFUNCTION("IF(OR($U254="""",COUNTIF($I:$I,IFERROR(unique(filter(Prod_Prop!$H:$H,Prod_Prop!$G:$G=$U254,Prod_Prop!$E:$E=Y$1)),""Check""))=0),"""",IFERROR(unique(filter(Prod_Prop!$H:$H,Prod_Prop!$G:$G=$U254,Prod_Prop!$E:$E=Y$1)),""""))"),"")</f>
        <v/>
      </c>
      <c r="Z254" s="4" t="str">
        <f>IF(Y254="","",SUMIFS(Prod_Prop!$J:$J,Prod_Prop!$B:$B,$Q254,Prod_Prop!$H:$H,Y254,Prod_Prop!$I:$I,Z$1)*IF(Y254="Peso",$R254,1))</f>
        <v/>
      </c>
      <c r="AA254" s="4" t="str">
        <f>IF(Y254="","",SUMIFS(Prod_Prop!$J:$J,Prod_Prop!$B:$B,$Q254,Prod_Prop!$H:$H,Y254,Prod_Prop!$I:$I,AA$1)*IF(Y254="Peso",$R254,1))</f>
        <v/>
      </c>
      <c r="AB254" s="4" t="str">
        <f>IFERROR(__xludf.DUMMYFUNCTION("IF(OR($U254="""",COUNTIF($I:$I,IFERROR(unique(filter(Prod_Prop!$H:$H,Prod_Prop!$G:$G=$U254,Prod_Prop!$E:$E=AB$1)),""Check""))=0),"""",IFERROR(unique(filter(Prod_Prop!$H:$H,Prod_Prop!$G:$G=$U254,Prod_Prop!$E:$E=AB$1)),""""))"),"")</f>
        <v/>
      </c>
      <c r="AC254" s="4" t="str">
        <f>IF(AB254="","",SUMIFS(Prod_Prop!$J:$J,Prod_Prop!$B:$B,$Q254,Prod_Prop!$H:$H,AB254,Prod_Prop!$I:$I,AC$1)*IF(AB254="Peso",$R254,1))</f>
        <v/>
      </c>
      <c r="AD254" s="4" t="str">
        <f>IF(AB254="","",SUMIFS(Prod_Prop!$J:$J,Prod_Prop!$B:$B,$Q254,Prod_Prop!$H:$H,AB254,Prod_Prop!$I:$I,AD$1)*IF(AB254="Peso",$R254,1))</f>
        <v/>
      </c>
    </row>
    <row r="255">
      <c r="A255" s="4" t="str">
        <f t="array" ref="A255">IF(COUNTIF(A$1:A254,Cotizador!F$2)=maxifs(Familias!E:E,Familias!D:D,Cotizador!F$2),IF(COUNTIF(A$1:A254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5" s="4" t="str">
        <f t="shared" si="1"/>
        <v/>
      </c>
      <c r="C255" s="4" t="str">
        <f t="array" ref="C255">IF(B255="","",IF(A255=XLOOKUP(A$2,Implementos!B:B,Implementos!C:C,"",0,1),B255+maxifs(B$1:B254,A$1:A254,A$2),B255))</f>
        <v/>
      </c>
      <c r="D255" s="4" t="str">
        <f>IF(B255="","", COUNTIFS(Productos!F:F,A255,Productos!H:H,B255)+IF(F255="SI",0,1))</f>
        <v/>
      </c>
      <c r="E255" s="4" t="str">
        <f>IFERROR(__xludf.DUMMYFUNCTION("IF($B255="""","""",INDEX(filter(Familias!F:F,Familias!$D:$D=$A255,Familias!$E:$E=$B255),1))"),"")</f>
        <v/>
      </c>
      <c r="F255" s="4" t="str">
        <f>IFERROR(__xludf.DUMMYFUNCTION("IF($B255="""","""",INDEX(filter(Familias!G:G,Familias!$D:$D=$A255,Familias!$E:$E=$B255),1))"),"")</f>
        <v/>
      </c>
      <c r="G255" s="4" t="str">
        <f t="array" ref="G255">IF(C255=1,XLOOKUP(C255,Cotizador!D:D,Cotizador!E:E,"",0,1),"")</f>
        <v/>
      </c>
      <c r="I255" s="4"/>
      <c r="J255" s="8" t="str">
        <f>IF(I255="","",SUMIF(Cotizador!I$1:V$1,I255,Cotizador!I$2:V$2))</f>
        <v/>
      </c>
      <c r="L255" s="4" t="str">
        <f t="array" ref="L255">IF(COUNTIF(L$1:L254,A$2)=SUMIF(A:A,A$2,D:D),IF(COUNTIF(L$1:L254,XLOOKUP(A$2,Implementos!B:B,Implementos!C:C,"",0,1))=SUMIF(A:A,XLOOKUP(A$2,Implementos!B:B,Implementos!C:C,"",0,1),D:D),"",XLOOKUP(A$2,Implementos!B:B,Implementos!C:C,"",0,1)),A$2)</f>
        <v/>
      </c>
      <c r="M255" s="4" t="str">
        <f t="shared" si="2"/>
        <v/>
      </c>
      <c r="N255" s="4" t="str">
        <f t="shared" si="3"/>
        <v/>
      </c>
      <c r="O255" s="4" t="str">
        <f t="shared" si="4"/>
        <v/>
      </c>
      <c r="P255" s="4" t="str">
        <f t="shared" si="5"/>
        <v/>
      </c>
      <c r="Q255" s="4" t="str">
        <f>IF(U255="","",SUMIF(Productos!E:E,U255,Productos!A:A))</f>
        <v/>
      </c>
      <c r="R255" s="4" t="str">
        <f t="array" ref="R255">IF(L255="","", max(1,SUMIF(I:I,XLOOKUP(U255,Productos!E:E,Productos!G:G,"",0,1),J:J)))</f>
        <v/>
      </c>
      <c r="S255" s="4" t="str">
        <f>IF(Q255="","",IF(SUMIFS(Compat_Vetado!D:D,Compat_Vetado!B:B,SUM(G:G),Compat_Vetado!C:C,Q255)=1,"SI",IF(OR(SUMIF(Cotizador!E:E,Q255,Cotizador!G:G)&gt;0,SUMIFS(Compat_Vetado!D:D,Compat_Vetado!B:B,SUM(G:G),Compat_Vetado!C:C,Q255)=-1),"NO","")))</f>
        <v/>
      </c>
      <c r="T255" s="4" t="str">
        <f t="shared" si="6"/>
        <v/>
      </c>
      <c r="U255" s="4" t="str">
        <f>IFERROR(__xludf.DUMMYFUNCTION("IF(P255="""","""",IFERROR(INDEX(filter(Productos!E:E,Productos!F:F=L255,Productos!H:H=N255),P255),IF(M255=SUM(D:D),""Finalizar"",""-"")))"),"")</f>
        <v/>
      </c>
      <c r="V255" s="4" t="str">
        <f>IFERROR(__xludf.DUMMYFUNCTION("IF(OR($U255="""",COUNTIF($I:$I,IFERROR(unique(filter(Prod_Prop!$H:$H,Prod_Prop!$G:$G=$U255,Prod_Prop!$E:$E=V$1)),""Check""))=0),"""",IFERROR(unique(filter(Prod_Prop!$H:$H,Prod_Prop!$G:$G=$U255,Prod_Prop!$E:$E=V$1)),""""))"),"")</f>
        <v/>
      </c>
      <c r="W255" s="4" t="str">
        <f>IF(V255="","",SUMIFS(Prod_Prop!$J:$J,Prod_Prop!$B:$B,$Q255,Prod_Prop!$H:$H,V255,Prod_Prop!$I:$I,W$1)*IF(V255="Peso",$R255,1))</f>
        <v/>
      </c>
      <c r="X255" s="4" t="str">
        <f>IF(V255="","",SUMIFS(Prod_Prop!$J:$J,Prod_Prop!$B:$B,$Q255,Prod_Prop!$H:$H,V255,Prod_Prop!$I:$I,X$1)*IF(V255="Peso",$R255,1))</f>
        <v/>
      </c>
      <c r="Y255" s="4" t="str">
        <f>IFERROR(__xludf.DUMMYFUNCTION("IF(OR($U255="""",COUNTIF($I:$I,IFERROR(unique(filter(Prod_Prop!$H:$H,Prod_Prop!$G:$G=$U255,Prod_Prop!$E:$E=Y$1)),""Check""))=0),"""",IFERROR(unique(filter(Prod_Prop!$H:$H,Prod_Prop!$G:$G=$U255,Prod_Prop!$E:$E=Y$1)),""""))"),"")</f>
        <v/>
      </c>
      <c r="Z255" s="4" t="str">
        <f>IF(Y255="","",SUMIFS(Prod_Prop!$J:$J,Prod_Prop!$B:$B,$Q255,Prod_Prop!$H:$H,Y255,Prod_Prop!$I:$I,Z$1)*IF(Y255="Peso",$R255,1))</f>
        <v/>
      </c>
      <c r="AA255" s="4" t="str">
        <f>IF(Y255="","",SUMIFS(Prod_Prop!$J:$J,Prod_Prop!$B:$B,$Q255,Prod_Prop!$H:$H,Y255,Prod_Prop!$I:$I,AA$1)*IF(Y255="Peso",$R255,1))</f>
        <v/>
      </c>
      <c r="AB255" s="4" t="str">
        <f>IFERROR(__xludf.DUMMYFUNCTION("IF(OR($U255="""",COUNTIF($I:$I,IFERROR(unique(filter(Prod_Prop!$H:$H,Prod_Prop!$G:$G=$U255,Prod_Prop!$E:$E=AB$1)),""Check""))=0),"""",IFERROR(unique(filter(Prod_Prop!$H:$H,Prod_Prop!$G:$G=$U255,Prod_Prop!$E:$E=AB$1)),""""))"),"")</f>
        <v/>
      </c>
      <c r="AC255" s="4" t="str">
        <f>IF(AB255="","",SUMIFS(Prod_Prop!$J:$J,Prod_Prop!$B:$B,$Q255,Prod_Prop!$H:$H,AB255,Prod_Prop!$I:$I,AC$1)*IF(AB255="Peso",$R255,1))</f>
        <v/>
      </c>
      <c r="AD255" s="4" t="str">
        <f>IF(AB255="","",SUMIFS(Prod_Prop!$J:$J,Prod_Prop!$B:$B,$Q255,Prod_Prop!$H:$H,AB255,Prod_Prop!$I:$I,AD$1)*IF(AB255="Peso",$R255,1))</f>
        <v/>
      </c>
    </row>
    <row r="256">
      <c r="A256" s="4" t="str">
        <f t="array" ref="A256">IF(COUNTIF(A$1:A255,Cotizador!F$2)=maxifs(Familias!E:E,Familias!D:D,Cotizador!F$2),IF(COUNTIF(A$1:A255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6" s="4" t="str">
        <f t="shared" si="1"/>
        <v/>
      </c>
      <c r="C256" s="4" t="str">
        <f t="array" ref="C256">IF(B256="","",IF(A256=XLOOKUP(A$2,Implementos!B:B,Implementos!C:C,"",0,1),B256+maxifs(B$1:B255,A$1:A255,A$2),B256))</f>
        <v/>
      </c>
      <c r="D256" s="4" t="str">
        <f>IF(B256="","", COUNTIFS(Productos!F:F,A256,Productos!H:H,B256)+IF(F256="SI",0,1))</f>
        <v/>
      </c>
      <c r="E256" s="4" t="str">
        <f>IFERROR(__xludf.DUMMYFUNCTION("IF($B256="""","""",INDEX(filter(Familias!F:F,Familias!$D:$D=$A256,Familias!$E:$E=$B256),1))"),"")</f>
        <v/>
      </c>
      <c r="F256" s="4" t="str">
        <f>IFERROR(__xludf.DUMMYFUNCTION("IF($B256="""","""",INDEX(filter(Familias!G:G,Familias!$D:$D=$A256,Familias!$E:$E=$B256),1))"),"")</f>
        <v/>
      </c>
      <c r="G256" s="4" t="str">
        <f t="array" ref="G256">IF(C256=1,XLOOKUP(C256,Cotizador!D:D,Cotizador!E:E,"",0,1),"")</f>
        <v/>
      </c>
      <c r="I256" s="4"/>
      <c r="J256" s="8" t="str">
        <f>IF(I256="","",SUMIF(Cotizador!I$1:V$1,I256,Cotizador!I$2:V$2))</f>
        <v/>
      </c>
      <c r="L256" s="4" t="str">
        <f t="array" ref="L256">IF(COUNTIF(L$1:L255,A$2)=SUMIF(A:A,A$2,D:D),IF(COUNTIF(L$1:L255,XLOOKUP(A$2,Implementos!B:B,Implementos!C:C,"",0,1))=SUMIF(A:A,XLOOKUP(A$2,Implementos!B:B,Implementos!C:C,"",0,1),D:D),"",XLOOKUP(A$2,Implementos!B:B,Implementos!C:C,"",0,1)),A$2)</f>
        <v/>
      </c>
      <c r="M256" s="4" t="str">
        <f t="shared" si="2"/>
        <v/>
      </c>
      <c r="N256" s="4" t="str">
        <f t="shared" si="3"/>
        <v/>
      </c>
      <c r="O256" s="4" t="str">
        <f t="shared" si="4"/>
        <v/>
      </c>
      <c r="P256" s="4" t="str">
        <f t="shared" si="5"/>
        <v/>
      </c>
      <c r="Q256" s="4" t="str">
        <f>IF(U256="","",SUMIF(Productos!E:E,U256,Productos!A:A))</f>
        <v/>
      </c>
      <c r="R256" s="4" t="str">
        <f t="array" ref="R256">IF(L256="","", max(1,SUMIF(I:I,XLOOKUP(U256,Productos!E:E,Productos!G:G,"",0,1),J:J)))</f>
        <v/>
      </c>
      <c r="S256" s="4" t="str">
        <f>IF(Q256="","",IF(SUMIFS(Compat_Vetado!D:D,Compat_Vetado!B:B,SUM(G:G),Compat_Vetado!C:C,Q256)=1,"SI",IF(OR(SUMIF(Cotizador!E:E,Q256,Cotizador!G:G)&gt;0,SUMIFS(Compat_Vetado!D:D,Compat_Vetado!B:B,SUM(G:G),Compat_Vetado!C:C,Q256)=-1),"NO","")))</f>
        <v/>
      </c>
      <c r="T256" s="4" t="str">
        <f t="shared" si="6"/>
        <v/>
      </c>
      <c r="U256" s="4" t="str">
        <f>IFERROR(__xludf.DUMMYFUNCTION("IF(P256="""","""",IFERROR(INDEX(filter(Productos!E:E,Productos!F:F=L256,Productos!H:H=N256),P256),IF(M256=SUM(D:D),""Finalizar"",""-"")))"),"")</f>
        <v/>
      </c>
      <c r="V256" s="4" t="str">
        <f>IFERROR(__xludf.DUMMYFUNCTION("IF(OR($U256="""",COUNTIF($I:$I,IFERROR(unique(filter(Prod_Prop!$H:$H,Prod_Prop!$G:$G=$U256,Prod_Prop!$E:$E=V$1)),""Check""))=0),"""",IFERROR(unique(filter(Prod_Prop!$H:$H,Prod_Prop!$G:$G=$U256,Prod_Prop!$E:$E=V$1)),""""))"),"")</f>
        <v/>
      </c>
      <c r="W256" s="4" t="str">
        <f>IF(V256="","",SUMIFS(Prod_Prop!$J:$J,Prod_Prop!$B:$B,$Q256,Prod_Prop!$H:$H,V256,Prod_Prop!$I:$I,W$1)*IF(V256="Peso",$R256,1))</f>
        <v/>
      </c>
      <c r="X256" s="4" t="str">
        <f>IF(V256="","",SUMIFS(Prod_Prop!$J:$J,Prod_Prop!$B:$B,$Q256,Prod_Prop!$H:$H,V256,Prod_Prop!$I:$I,X$1)*IF(V256="Peso",$R256,1))</f>
        <v/>
      </c>
      <c r="Y256" s="4" t="str">
        <f>IFERROR(__xludf.DUMMYFUNCTION("IF(OR($U256="""",COUNTIF($I:$I,IFERROR(unique(filter(Prod_Prop!$H:$H,Prod_Prop!$G:$G=$U256,Prod_Prop!$E:$E=Y$1)),""Check""))=0),"""",IFERROR(unique(filter(Prod_Prop!$H:$H,Prod_Prop!$G:$G=$U256,Prod_Prop!$E:$E=Y$1)),""""))"),"")</f>
        <v/>
      </c>
      <c r="Z256" s="4" t="str">
        <f>IF(Y256="","",SUMIFS(Prod_Prop!$J:$J,Prod_Prop!$B:$B,$Q256,Prod_Prop!$H:$H,Y256,Prod_Prop!$I:$I,Z$1)*IF(Y256="Peso",$R256,1))</f>
        <v/>
      </c>
      <c r="AA256" s="4" t="str">
        <f>IF(Y256="","",SUMIFS(Prod_Prop!$J:$J,Prod_Prop!$B:$B,$Q256,Prod_Prop!$H:$H,Y256,Prod_Prop!$I:$I,AA$1)*IF(Y256="Peso",$R256,1))</f>
        <v/>
      </c>
      <c r="AB256" s="4" t="str">
        <f>IFERROR(__xludf.DUMMYFUNCTION("IF(OR($U256="""",COUNTIF($I:$I,IFERROR(unique(filter(Prod_Prop!$H:$H,Prod_Prop!$G:$G=$U256,Prod_Prop!$E:$E=AB$1)),""Check""))=0),"""",IFERROR(unique(filter(Prod_Prop!$H:$H,Prod_Prop!$G:$G=$U256,Prod_Prop!$E:$E=AB$1)),""""))"),"")</f>
        <v/>
      </c>
      <c r="AC256" s="4" t="str">
        <f>IF(AB256="","",SUMIFS(Prod_Prop!$J:$J,Prod_Prop!$B:$B,$Q256,Prod_Prop!$H:$H,AB256,Prod_Prop!$I:$I,AC$1)*IF(AB256="Peso",$R256,1))</f>
        <v/>
      </c>
      <c r="AD256" s="4" t="str">
        <f>IF(AB256="","",SUMIFS(Prod_Prop!$J:$J,Prod_Prop!$B:$B,$Q256,Prod_Prop!$H:$H,AB256,Prod_Prop!$I:$I,AD$1)*IF(AB256="Peso",$R256,1))</f>
        <v/>
      </c>
    </row>
    <row r="257">
      <c r="A257" s="4" t="str">
        <f t="array" ref="A257">IF(COUNTIF(A$1:A256,Cotizador!F$2)=maxifs(Familias!E:E,Familias!D:D,Cotizador!F$2),IF(COUNTIF(A$1:A256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7" s="4" t="str">
        <f t="shared" si="1"/>
        <v/>
      </c>
      <c r="C257" s="4" t="str">
        <f t="array" ref="C257">IF(B257="","",IF(A257=XLOOKUP(A$2,Implementos!B:B,Implementos!C:C,"",0,1),B257+maxifs(B$1:B256,A$1:A256,A$2),B257))</f>
        <v/>
      </c>
      <c r="D257" s="4" t="str">
        <f>IF(B257="","", COUNTIFS(Productos!F:F,A257,Productos!H:H,B257)+IF(F257="SI",0,1))</f>
        <v/>
      </c>
      <c r="E257" s="4" t="str">
        <f>IFERROR(__xludf.DUMMYFUNCTION("IF($B257="""","""",INDEX(filter(Familias!F:F,Familias!$D:$D=$A257,Familias!$E:$E=$B257),1))"),"")</f>
        <v/>
      </c>
      <c r="F257" s="4" t="str">
        <f>IFERROR(__xludf.DUMMYFUNCTION("IF($B257="""","""",INDEX(filter(Familias!G:G,Familias!$D:$D=$A257,Familias!$E:$E=$B257),1))"),"")</f>
        <v/>
      </c>
      <c r="G257" s="4" t="str">
        <f t="array" ref="G257">IF(C257=1,XLOOKUP(C257,Cotizador!D:D,Cotizador!E:E,"",0,1),"")</f>
        <v/>
      </c>
      <c r="I257" s="4"/>
      <c r="J257" s="8" t="str">
        <f>IF(I257="","",SUMIF(Cotizador!I$1:V$1,I257,Cotizador!I$2:V$2))</f>
        <v/>
      </c>
      <c r="L257" s="4" t="str">
        <f t="array" ref="L257">IF(COUNTIF(L$1:L256,A$2)=SUMIF(A:A,A$2,D:D),IF(COUNTIF(L$1:L256,XLOOKUP(A$2,Implementos!B:B,Implementos!C:C,"",0,1))=SUMIF(A:A,XLOOKUP(A$2,Implementos!B:B,Implementos!C:C,"",0,1),D:D),"",XLOOKUP(A$2,Implementos!B:B,Implementos!C:C,"",0,1)),A$2)</f>
        <v/>
      </c>
      <c r="M257" s="4" t="str">
        <f t="shared" si="2"/>
        <v/>
      </c>
      <c r="N257" s="4" t="str">
        <f t="shared" si="3"/>
        <v/>
      </c>
      <c r="O257" s="4" t="str">
        <f t="shared" si="4"/>
        <v/>
      </c>
      <c r="P257" s="4" t="str">
        <f t="shared" si="5"/>
        <v/>
      </c>
      <c r="Q257" s="4" t="str">
        <f>IF(U257="","",SUMIF(Productos!E:E,U257,Productos!A:A))</f>
        <v/>
      </c>
      <c r="R257" s="4" t="str">
        <f t="array" ref="R257">IF(L257="","", max(1,SUMIF(I:I,XLOOKUP(U257,Productos!E:E,Productos!G:G,"",0,1),J:J)))</f>
        <v/>
      </c>
      <c r="S257" s="4" t="str">
        <f>IF(Q257="","",IF(SUMIFS(Compat_Vetado!D:D,Compat_Vetado!B:B,SUM(G:G),Compat_Vetado!C:C,Q257)=1,"SI",IF(OR(SUMIF(Cotizador!E:E,Q257,Cotizador!G:G)&gt;0,SUMIFS(Compat_Vetado!D:D,Compat_Vetado!B:B,SUM(G:G),Compat_Vetado!C:C,Q257)=-1),"NO","")))</f>
        <v/>
      </c>
      <c r="T257" s="4" t="str">
        <f t="shared" si="6"/>
        <v/>
      </c>
      <c r="U257" s="4" t="str">
        <f>IFERROR(__xludf.DUMMYFUNCTION("IF(P257="""","""",IFERROR(INDEX(filter(Productos!E:E,Productos!F:F=L257,Productos!H:H=N257),P257),IF(M257=SUM(D:D),""Finalizar"",""-"")))"),"")</f>
        <v/>
      </c>
      <c r="V257" s="4" t="str">
        <f>IFERROR(__xludf.DUMMYFUNCTION("IF(OR($U257="""",COUNTIF($I:$I,IFERROR(unique(filter(Prod_Prop!$H:$H,Prod_Prop!$G:$G=$U257,Prod_Prop!$E:$E=V$1)),""Check""))=0),"""",IFERROR(unique(filter(Prod_Prop!$H:$H,Prod_Prop!$G:$G=$U257,Prod_Prop!$E:$E=V$1)),""""))"),"")</f>
        <v/>
      </c>
      <c r="W257" s="4" t="str">
        <f>IF(V257="","",SUMIFS(Prod_Prop!$J:$J,Prod_Prop!$B:$B,$Q257,Prod_Prop!$H:$H,V257,Prod_Prop!$I:$I,W$1)*IF(V257="Peso",$R257,1))</f>
        <v/>
      </c>
      <c r="X257" s="4" t="str">
        <f>IF(V257="","",SUMIFS(Prod_Prop!$J:$J,Prod_Prop!$B:$B,$Q257,Prod_Prop!$H:$H,V257,Prod_Prop!$I:$I,X$1)*IF(V257="Peso",$R257,1))</f>
        <v/>
      </c>
      <c r="Y257" s="4" t="str">
        <f>IFERROR(__xludf.DUMMYFUNCTION("IF(OR($U257="""",COUNTIF($I:$I,IFERROR(unique(filter(Prod_Prop!$H:$H,Prod_Prop!$G:$G=$U257,Prod_Prop!$E:$E=Y$1)),""Check""))=0),"""",IFERROR(unique(filter(Prod_Prop!$H:$H,Prod_Prop!$G:$G=$U257,Prod_Prop!$E:$E=Y$1)),""""))"),"")</f>
        <v/>
      </c>
      <c r="Z257" s="4" t="str">
        <f>IF(Y257="","",SUMIFS(Prod_Prop!$J:$J,Prod_Prop!$B:$B,$Q257,Prod_Prop!$H:$H,Y257,Prod_Prop!$I:$I,Z$1)*IF(Y257="Peso",$R257,1))</f>
        <v/>
      </c>
      <c r="AA257" s="4" t="str">
        <f>IF(Y257="","",SUMIFS(Prod_Prop!$J:$J,Prod_Prop!$B:$B,$Q257,Prod_Prop!$H:$H,Y257,Prod_Prop!$I:$I,AA$1)*IF(Y257="Peso",$R257,1))</f>
        <v/>
      </c>
      <c r="AB257" s="4" t="str">
        <f>IFERROR(__xludf.DUMMYFUNCTION("IF(OR($U257="""",COUNTIF($I:$I,IFERROR(unique(filter(Prod_Prop!$H:$H,Prod_Prop!$G:$G=$U257,Prod_Prop!$E:$E=AB$1)),""Check""))=0),"""",IFERROR(unique(filter(Prod_Prop!$H:$H,Prod_Prop!$G:$G=$U257,Prod_Prop!$E:$E=AB$1)),""""))"),"")</f>
        <v/>
      </c>
      <c r="AC257" s="4" t="str">
        <f>IF(AB257="","",SUMIFS(Prod_Prop!$J:$J,Prod_Prop!$B:$B,$Q257,Prod_Prop!$H:$H,AB257,Prod_Prop!$I:$I,AC$1)*IF(AB257="Peso",$R257,1))</f>
        <v/>
      </c>
      <c r="AD257" s="4" t="str">
        <f>IF(AB257="","",SUMIFS(Prod_Prop!$J:$J,Prod_Prop!$B:$B,$Q257,Prod_Prop!$H:$H,AB257,Prod_Prop!$I:$I,AD$1)*IF(AB257="Peso",$R257,1))</f>
        <v/>
      </c>
    </row>
    <row r="258">
      <c r="A258" s="4" t="str">
        <f t="array" ref="A258">IF(COUNTIF(A$1:A257,Cotizador!F$2)=maxifs(Familias!E:E,Familias!D:D,Cotizador!F$2),IF(COUNTIF(A$1:A257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8" s="4" t="str">
        <f t="shared" si="1"/>
        <v/>
      </c>
      <c r="C258" s="4" t="str">
        <f t="array" ref="C258">IF(B258="","",IF(A258=XLOOKUP(A$2,Implementos!B:B,Implementos!C:C,"",0,1),B258+maxifs(B$1:B257,A$1:A257,A$2),B258))</f>
        <v/>
      </c>
      <c r="D258" s="4" t="str">
        <f>IF(B258="","", COUNTIFS(Productos!F:F,A258,Productos!H:H,B258)+IF(F258="SI",0,1))</f>
        <v/>
      </c>
      <c r="E258" s="4" t="str">
        <f>IFERROR(__xludf.DUMMYFUNCTION("IF($B258="""","""",INDEX(filter(Familias!F:F,Familias!$D:$D=$A258,Familias!$E:$E=$B258),1))"),"")</f>
        <v/>
      </c>
      <c r="F258" s="4" t="str">
        <f>IFERROR(__xludf.DUMMYFUNCTION("IF($B258="""","""",INDEX(filter(Familias!G:G,Familias!$D:$D=$A258,Familias!$E:$E=$B258),1))"),"")</f>
        <v/>
      </c>
      <c r="G258" s="4" t="str">
        <f t="array" ref="G258">IF(C258=1,XLOOKUP(C258,Cotizador!D:D,Cotizador!E:E,"",0,1),"")</f>
        <v/>
      </c>
      <c r="I258" s="4"/>
      <c r="J258" s="8" t="str">
        <f>IF(I258="","",SUMIF(Cotizador!I$1:V$1,I258,Cotizador!I$2:V$2))</f>
        <v/>
      </c>
      <c r="L258" s="4" t="str">
        <f t="array" ref="L258">IF(COUNTIF(L$1:L257,A$2)=SUMIF(A:A,A$2,D:D),IF(COUNTIF(L$1:L257,XLOOKUP(A$2,Implementos!B:B,Implementos!C:C,"",0,1))=SUMIF(A:A,XLOOKUP(A$2,Implementos!B:B,Implementos!C:C,"",0,1),D:D),"",XLOOKUP(A$2,Implementos!B:B,Implementos!C:C,"",0,1)),A$2)</f>
        <v/>
      </c>
      <c r="M258" s="4" t="str">
        <f t="shared" si="2"/>
        <v/>
      </c>
      <c r="N258" s="4" t="str">
        <f t="shared" si="3"/>
        <v/>
      </c>
      <c r="O258" s="4" t="str">
        <f t="shared" si="4"/>
        <v/>
      </c>
      <c r="P258" s="4" t="str">
        <f t="shared" si="5"/>
        <v/>
      </c>
      <c r="Q258" s="4" t="str">
        <f>IF(U258="","",SUMIF(Productos!E:E,U258,Productos!A:A))</f>
        <v/>
      </c>
      <c r="R258" s="4" t="str">
        <f t="array" ref="R258">IF(L258="","", max(1,SUMIF(I:I,XLOOKUP(U258,Productos!E:E,Productos!G:G,"",0,1),J:J)))</f>
        <v/>
      </c>
      <c r="S258" s="4" t="str">
        <f>IF(Q258="","",IF(SUMIFS(Compat_Vetado!D:D,Compat_Vetado!B:B,SUM(G:G),Compat_Vetado!C:C,Q258)=1,"SI",IF(OR(SUMIF(Cotizador!E:E,Q258,Cotizador!G:G)&gt;0,SUMIFS(Compat_Vetado!D:D,Compat_Vetado!B:B,SUM(G:G),Compat_Vetado!C:C,Q258)=-1),"NO","")))</f>
        <v/>
      </c>
      <c r="T258" s="4" t="str">
        <f t="shared" si="6"/>
        <v/>
      </c>
      <c r="U258" s="4" t="str">
        <f>IFERROR(__xludf.DUMMYFUNCTION("IF(P258="""","""",IFERROR(INDEX(filter(Productos!E:E,Productos!F:F=L258,Productos!H:H=N258),P258),IF(M258=SUM(D:D),""Finalizar"",""-"")))"),"")</f>
        <v/>
      </c>
      <c r="V258" s="4" t="str">
        <f>IFERROR(__xludf.DUMMYFUNCTION("IF(OR($U258="""",COUNTIF($I:$I,IFERROR(unique(filter(Prod_Prop!$H:$H,Prod_Prop!$G:$G=$U258,Prod_Prop!$E:$E=V$1)),""Check""))=0),"""",IFERROR(unique(filter(Prod_Prop!$H:$H,Prod_Prop!$G:$G=$U258,Prod_Prop!$E:$E=V$1)),""""))"),"")</f>
        <v/>
      </c>
      <c r="W258" s="4" t="str">
        <f>IF(V258="","",SUMIFS(Prod_Prop!$J:$J,Prod_Prop!$B:$B,$Q258,Prod_Prop!$H:$H,V258,Prod_Prop!$I:$I,W$1)*IF(V258="Peso",$R258,1))</f>
        <v/>
      </c>
      <c r="X258" s="4" t="str">
        <f>IF(V258="","",SUMIFS(Prod_Prop!$J:$J,Prod_Prop!$B:$B,$Q258,Prod_Prop!$H:$H,V258,Prod_Prop!$I:$I,X$1)*IF(V258="Peso",$R258,1))</f>
        <v/>
      </c>
      <c r="Y258" s="4" t="str">
        <f>IFERROR(__xludf.DUMMYFUNCTION("IF(OR($U258="""",COUNTIF($I:$I,IFERROR(unique(filter(Prod_Prop!$H:$H,Prod_Prop!$G:$G=$U258,Prod_Prop!$E:$E=Y$1)),""Check""))=0),"""",IFERROR(unique(filter(Prod_Prop!$H:$H,Prod_Prop!$G:$G=$U258,Prod_Prop!$E:$E=Y$1)),""""))"),"")</f>
        <v/>
      </c>
      <c r="Z258" s="4" t="str">
        <f>IF(Y258="","",SUMIFS(Prod_Prop!$J:$J,Prod_Prop!$B:$B,$Q258,Prod_Prop!$H:$H,Y258,Prod_Prop!$I:$I,Z$1)*IF(Y258="Peso",$R258,1))</f>
        <v/>
      </c>
      <c r="AA258" s="4" t="str">
        <f>IF(Y258="","",SUMIFS(Prod_Prop!$J:$J,Prod_Prop!$B:$B,$Q258,Prod_Prop!$H:$H,Y258,Prod_Prop!$I:$I,AA$1)*IF(Y258="Peso",$R258,1))</f>
        <v/>
      </c>
      <c r="AB258" s="4" t="str">
        <f>IFERROR(__xludf.DUMMYFUNCTION("IF(OR($U258="""",COUNTIF($I:$I,IFERROR(unique(filter(Prod_Prop!$H:$H,Prod_Prop!$G:$G=$U258,Prod_Prop!$E:$E=AB$1)),""Check""))=0),"""",IFERROR(unique(filter(Prod_Prop!$H:$H,Prod_Prop!$G:$G=$U258,Prod_Prop!$E:$E=AB$1)),""""))"),"")</f>
        <v/>
      </c>
      <c r="AC258" s="4" t="str">
        <f>IF(AB258="","",SUMIFS(Prod_Prop!$J:$J,Prod_Prop!$B:$B,$Q258,Prod_Prop!$H:$H,AB258,Prod_Prop!$I:$I,AC$1)*IF(AB258="Peso",$R258,1))</f>
        <v/>
      </c>
      <c r="AD258" s="4" t="str">
        <f>IF(AB258="","",SUMIFS(Prod_Prop!$J:$J,Prod_Prop!$B:$B,$Q258,Prod_Prop!$H:$H,AB258,Prod_Prop!$I:$I,AD$1)*IF(AB258="Peso",$R258,1))</f>
        <v/>
      </c>
    </row>
    <row r="259">
      <c r="A259" s="4" t="str">
        <f t="array" ref="A259">IF(COUNTIF(A$1:A258,Cotizador!F$2)=maxifs(Familias!E:E,Familias!D:D,Cotizador!F$2),IF(COUNTIF(A$1:A258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59" s="4" t="str">
        <f t="shared" si="1"/>
        <v/>
      </c>
      <c r="C259" s="4" t="str">
        <f t="array" ref="C259">IF(B259="","",IF(A259=XLOOKUP(A$2,Implementos!B:B,Implementos!C:C,"",0,1),B259+maxifs(B$1:B258,A$1:A258,A$2),B259))</f>
        <v/>
      </c>
      <c r="D259" s="4" t="str">
        <f>IF(B259="","", COUNTIFS(Productos!F:F,A259,Productos!H:H,B259)+IF(F259="SI",0,1))</f>
        <v/>
      </c>
      <c r="E259" s="4" t="str">
        <f>IFERROR(__xludf.DUMMYFUNCTION("IF($B259="""","""",INDEX(filter(Familias!F:F,Familias!$D:$D=$A259,Familias!$E:$E=$B259),1))"),"")</f>
        <v/>
      </c>
      <c r="F259" s="4" t="str">
        <f>IFERROR(__xludf.DUMMYFUNCTION("IF($B259="""","""",INDEX(filter(Familias!G:G,Familias!$D:$D=$A259,Familias!$E:$E=$B259),1))"),"")</f>
        <v/>
      </c>
      <c r="G259" s="4" t="str">
        <f t="array" ref="G259">IF(C259=1,XLOOKUP(C259,Cotizador!D:D,Cotizador!E:E,"",0,1),"")</f>
        <v/>
      </c>
      <c r="I259" s="4"/>
      <c r="J259" s="8" t="str">
        <f>IF(I259="","",SUMIF(Cotizador!I$1:V$1,I259,Cotizador!I$2:V$2))</f>
        <v/>
      </c>
      <c r="L259" s="4" t="str">
        <f t="array" ref="L259">IF(COUNTIF(L$1:L258,A$2)=SUMIF(A:A,A$2,D:D),IF(COUNTIF(L$1:L258,XLOOKUP(A$2,Implementos!B:B,Implementos!C:C,"",0,1))=SUMIF(A:A,XLOOKUP(A$2,Implementos!B:B,Implementos!C:C,"",0,1),D:D),"",XLOOKUP(A$2,Implementos!B:B,Implementos!C:C,"",0,1)),A$2)</f>
        <v/>
      </c>
      <c r="M259" s="4" t="str">
        <f t="shared" si="2"/>
        <v/>
      </c>
      <c r="N259" s="4" t="str">
        <f t="shared" si="3"/>
        <v/>
      </c>
      <c r="O259" s="4" t="str">
        <f t="shared" si="4"/>
        <v/>
      </c>
      <c r="P259" s="4" t="str">
        <f t="shared" si="5"/>
        <v/>
      </c>
      <c r="Q259" s="4" t="str">
        <f>IF(U259="","",SUMIF(Productos!E:E,U259,Productos!A:A))</f>
        <v/>
      </c>
      <c r="R259" s="4" t="str">
        <f t="array" ref="R259">IF(L259="","", max(1,SUMIF(I:I,XLOOKUP(U259,Productos!E:E,Productos!G:G,"",0,1),J:J)))</f>
        <v/>
      </c>
      <c r="S259" s="4" t="str">
        <f>IF(Q259="","",IF(SUMIFS(Compat_Vetado!D:D,Compat_Vetado!B:B,SUM(G:G),Compat_Vetado!C:C,Q259)=1,"SI",IF(OR(SUMIF(Cotizador!E:E,Q259,Cotizador!G:G)&gt;0,SUMIFS(Compat_Vetado!D:D,Compat_Vetado!B:B,SUM(G:G),Compat_Vetado!C:C,Q259)=-1),"NO","")))</f>
        <v/>
      </c>
      <c r="T259" s="4" t="str">
        <f t="shared" si="6"/>
        <v/>
      </c>
      <c r="U259" s="4" t="str">
        <f>IFERROR(__xludf.DUMMYFUNCTION("IF(P259="""","""",IFERROR(INDEX(filter(Productos!E:E,Productos!F:F=L259,Productos!H:H=N259),P259),IF(M259=SUM(D:D),""Finalizar"",""-"")))"),"")</f>
        <v/>
      </c>
      <c r="V259" s="4" t="str">
        <f>IFERROR(__xludf.DUMMYFUNCTION("IF(OR($U259="""",COUNTIF($I:$I,IFERROR(unique(filter(Prod_Prop!$H:$H,Prod_Prop!$G:$G=$U259,Prod_Prop!$E:$E=V$1)),""Check""))=0),"""",IFERROR(unique(filter(Prod_Prop!$H:$H,Prod_Prop!$G:$G=$U259,Prod_Prop!$E:$E=V$1)),""""))"),"")</f>
        <v/>
      </c>
      <c r="W259" s="4" t="str">
        <f>IF(V259="","",SUMIFS(Prod_Prop!$J:$J,Prod_Prop!$B:$B,$Q259,Prod_Prop!$H:$H,V259,Prod_Prop!$I:$I,W$1)*IF(V259="Peso",$R259,1))</f>
        <v/>
      </c>
      <c r="X259" s="4" t="str">
        <f>IF(V259="","",SUMIFS(Prod_Prop!$J:$J,Prod_Prop!$B:$B,$Q259,Prod_Prop!$H:$H,V259,Prod_Prop!$I:$I,X$1)*IF(V259="Peso",$R259,1))</f>
        <v/>
      </c>
      <c r="Y259" s="4" t="str">
        <f>IFERROR(__xludf.DUMMYFUNCTION("IF(OR($U259="""",COUNTIF($I:$I,IFERROR(unique(filter(Prod_Prop!$H:$H,Prod_Prop!$G:$G=$U259,Prod_Prop!$E:$E=Y$1)),""Check""))=0),"""",IFERROR(unique(filter(Prod_Prop!$H:$H,Prod_Prop!$G:$G=$U259,Prod_Prop!$E:$E=Y$1)),""""))"),"")</f>
        <v/>
      </c>
      <c r="Z259" s="4" t="str">
        <f>IF(Y259="","",SUMIFS(Prod_Prop!$J:$J,Prod_Prop!$B:$B,$Q259,Prod_Prop!$H:$H,Y259,Prod_Prop!$I:$I,Z$1)*IF(Y259="Peso",$R259,1))</f>
        <v/>
      </c>
      <c r="AA259" s="4" t="str">
        <f>IF(Y259="","",SUMIFS(Prod_Prop!$J:$J,Prod_Prop!$B:$B,$Q259,Prod_Prop!$H:$H,Y259,Prod_Prop!$I:$I,AA$1)*IF(Y259="Peso",$R259,1))</f>
        <v/>
      </c>
      <c r="AB259" s="4" t="str">
        <f>IFERROR(__xludf.DUMMYFUNCTION("IF(OR($U259="""",COUNTIF($I:$I,IFERROR(unique(filter(Prod_Prop!$H:$H,Prod_Prop!$G:$G=$U259,Prod_Prop!$E:$E=AB$1)),""Check""))=0),"""",IFERROR(unique(filter(Prod_Prop!$H:$H,Prod_Prop!$G:$G=$U259,Prod_Prop!$E:$E=AB$1)),""""))"),"")</f>
        <v/>
      </c>
      <c r="AC259" s="4" t="str">
        <f>IF(AB259="","",SUMIFS(Prod_Prop!$J:$J,Prod_Prop!$B:$B,$Q259,Prod_Prop!$H:$H,AB259,Prod_Prop!$I:$I,AC$1)*IF(AB259="Peso",$R259,1))</f>
        <v/>
      </c>
      <c r="AD259" s="4" t="str">
        <f>IF(AB259="","",SUMIFS(Prod_Prop!$J:$J,Prod_Prop!$B:$B,$Q259,Prod_Prop!$H:$H,AB259,Prod_Prop!$I:$I,AD$1)*IF(AB259="Peso",$R259,1))</f>
        <v/>
      </c>
    </row>
    <row r="260">
      <c r="A260" s="4" t="str">
        <f t="array" ref="A260">IF(COUNTIF(A$1:A259,Cotizador!F$2)=maxifs(Familias!E:E,Familias!D:D,Cotizador!F$2),IF(COUNTIF(A$1:A259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0" s="4" t="str">
        <f t="shared" si="1"/>
        <v/>
      </c>
      <c r="C260" s="4" t="str">
        <f t="array" ref="C260">IF(B260="","",IF(A260=XLOOKUP(A$2,Implementos!B:B,Implementos!C:C,"",0,1),B260+maxifs(B$1:B259,A$1:A259,A$2),B260))</f>
        <v/>
      </c>
      <c r="D260" s="4" t="str">
        <f>IF(B260="","", COUNTIFS(Productos!F:F,A260,Productos!H:H,B260)+IF(F260="SI",0,1))</f>
        <v/>
      </c>
      <c r="E260" s="4" t="str">
        <f>IFERROR(__xludf.DUMMYFUNCTION("IF($B260="""","""",INDEX(filter(Familias!F:F,Familias!$D:$D=$A260,Familias!$E:$E=$B260),1))"),"")</f>
        <v/>
      </c>
      <c r="F260" s="4" t="str">
        <f>IFERROR(__xludf.DUMMYFUNCTION("IF($B260="""","""",INDEX(filter(Familias!G:G,Familias!$D:$D=$A260,Familias!$E:$E=$B260),1))"),"")</f>
        <v/>
      </c>
      <c r="G260" s="4" t="str">
        <f t="array" ref="G260">IF(C260=1,XLOOKUP(C260,Cotizador!D:D,Cotizador!E:E,"",0,1),"")</f>
        <v/>
      </c>
      <c r="I260" s="4"/>
      <c r="J260" s="8" t="str">
        <f>IF(I260="","",SUMIF(Cotizador!I$1:V$1,I260,Cotizador!I$2:V$2))</f>
        <v/>
      </c>
      <c r="L260" s="4" t="str">
        <f t="array" ref="L260">IF(COUNTIF(L$1:L259,A$2)=SUMIF(A:A,A$2,D:D),IF(COUNTIF(L$1:L259,XLOOKUP(A$2,Implementos!B:B,Implementos!C:C,"",0,1))=SUMIF(A:A,XLOOKUP(A$2,Implementos!B:B,Implementos!C:C,"",0,1),D:D),"",XLOOKUP(A$2,Implementos!B:B,Implementos!C:C,"",0,1)),A$2)</f>
        <v/>
      </c>
      <c r="M260" s="4" t="str">
        <f t="shared" si="2"/>
        <v/>
      </c>
      <c r="N260" s="4" t="str">
        <f t="shared" si="3"/>
        <v/>
      </c>
      <c r="O260" s="4" t="str">
        <f t="shared" si="4"/>
        <v/>
      </c>
      <c r="P260" s="4" t="str">
        <f t="shared" si="5"/>
        <v/>
      </c>
      <c r="Q260" s="4" t="str">
        <f>IF(U260="","",SUMIF(Productos!E:E,U260,Productos!A:A))</f>
        <v/>
      </c>
      <c r="R260" s="4" t="str">
        <f t="array" ref="R260">IF(L260="","", max(1,SUMIF(I:I,XLOOKUP(U260,Productos!E:E,Productos!G:G,"",0,1),J:J)))</f>
        <v/>
      </c>
      <c r="S260" s="4" t="str">
        <f>IF(Q260="","",IF(SUMIFS(Compat_Vetado!D:D,Compat_Vetado!B:B,SUM(G:G),Compat_Vetado!C:C,Q260)=1,"SI",IF(OR(SUMIF(Cotizador!E:E,Q260,Cotizador!G:G)&gt;0,SUMIFS(Compat_Vetado!D:D,Compat_Vetado!B:B,SUM(G:G),Compat_Vetado!C:C,Q260)=-1),"NO","")))</f>
        <v/>
      </c>
      <c r="T260" s="4" t="str">
        <f t="shared" si="6"/>
        <v/>
      </c>
      <c r="U260" s="4" t="str">
        <f>IFERROR(__xludf.DUMMYFUNCTION("IF(P260="""","""",IFERROR(INDEX(filter(Productos!E:E,Productos!F:F=L260,Productos!H:H=N260),P260),IF(M260=SUM(D:D),""Finalizar"",""-"")))"),"")</f>
        <v/>
      </c>
      <c r="V260" s="4" t="str">
        <f>IFERROR(__xludf.DUMMYFUNCTION("IF(OR($U260="""",COUNTIF($I:$I,IFERROR(unique(filter(Prod_Prop!$H:$H,Prod_Prop!$G:$G=$U260,Prod_Prop!$E:$E=V$1)),""Check""))=0),"""",IFERROR(unique(filter(Prod_Prop!$H:$H,Prod_Prop!$G:$G=$U260,Prod_Prop!$E:$E=V$1)),""""))"),"")</f>
        <v/>
      </c>
      <c r="W260" s="4" t="str">
        <f>IF(V260="","",SUMIFS(Prod_Prop!$J:$J,Prod_Prop!$B:$B,$Q260,Prod_Prop!$H:$H,V260,Prod_Prop!$I:$I,W$1)*IF(V260="Peso",$R260,1))</f>
        <v/>
      </c>
      <c r="X260" s="4" t="str">
        <f>IF(V260="","",SUMIFS(Prod_Prop!$J:$J,Prod_Prop!$B:$B,$Q260,Prod_Prop!$H:$H,V260,Prod_Prop!$I:$I,X$1)*IF(V260="Peso",$R260,1))</f>
        <v/>
      </c>
      <c r="Y260" s="4" t="str">
        <f>IFERROR(__xludf.DUMMYFUNCTION("IF(OR($U260="""",COUNTIF($I:$I,IFERROR(unique(filter(Prod_Prop!$H:$H,Prod_Prop!$G:$G=$U260,Prod_Prop!$E:$E=Y$1)),""Check""))=0),"""",IFERROR(unique(filter(Prod_Prop!$H:$H,Prod_Prop!$G:$G=$U260,Prod_Prop!$E:$E=Y$1)),""""))"),"")</f>
        <v/>
      </c>
      <c r="Z260" s="4" t="str">
        <f>IF(Y260="","",SUMIFS(Prod_Prop!$J:$J,Prod_Prop!$B:$B,$Q260,Prod_Prop!$H:$H,Y260,Prod_Prop!$I:$I,Z$1)*IF(Y260="Peso",$R260,1))</f>
        <v/>
      </c>
      <c r="AA260" s="4" t="str">
        <f>IF(Y260="","",SUMIFS(Prod_Prop!$J:$J,Prod_Prop!$B:$B,$Q260,Prod_Prop!$H:$H,Y260,Prod_Prop!$I:$I,AA$1)*IF(Y260="Peso",$R260,1))</f>
        <v/>
      </c>
      <c r="AB260" s="4" t="str">
        <f>IFERROR(__xludf.DUMMYFUNCTION("IF(OR($U260="""",COUNTIF($I:$I,IFERROR(unique(filter(Prod_Prop!$H:$H,Prod_Prop!$G:$G=$U260,Prod_Prop!$E:$E=AB$1)),""Check""))=0),"""",IFERROR(unique(filter(Prod_Prop!$H:$H,Prod_Prop!$G:$G=$U260,Prod_Prop!$E:$E=AB$1)),""""))"),"")</f>
        <v/>
      </c>
      <c r="AC260" s="4" t="str">
        <f>IF(AB260="","",SUMIFS(Prod_Prop!$J:$J,Prod_Prop!$B:$B,$Q260,Prod_Prop!$H:$H,AB260,Prod_Prop!$I:$I,AC$1)*IF(AB260="Peso",$R260,1))</f>
        <v/>
      </c>
      <c r="AD260" s="4" t="str">
        <f>IF(AB260="","",SUMIFS(Prod_Prop!$J:$J,Prod_Prop!$B:$B,$Q260,Prod_Prop!$H:$H,AB260,Prod_Prop!$I:$I,AD$1)*IF(AB260="Peso",$R260,1))</f>
        <v/>
      </c>
    </row>
    <row r="261">
      <c r="A261" s="4" t="str">
        <f t="array" ref="A261">IF(COUNTIF(A$1:A260,Cotizador!F$2)=maxifs(Familias!E:E,Familias!D:D,Cotizador!F$2),IF(COUNTIF(A$1:A260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1" s="4" t="str">
        <f t="shared" si="1"/>
        <v/>
      </c>
      <c r="C261" s="4" t="str">
        <f t="array" ref="C261">IF(B261="","",IF(A261=XLOOKUP(A$2,Implementos!B:B,Implementos!C:C,"",0,1),B261+maxifs(B$1:B260,A$1:A260,A$2),B261))</f>
        <v/>
      </c>
      <c r="D261" s="4" t="str">
        <f>IF(B261="","", COUNTIFS(Productos!F:F,A261,Productos!H:H,B261)+IF(F261="SI",0,1))</f>
        <v/>
      </c>
      <c r="E261" s="4" t="str">
        <f>IFERROR(__xludf.DUMMYFUNCTION("IF($B261="""","""",INDEX(filter(Familias!F:F,Familias!$D:$D=$A261,Familias!$E:$E=$B261),1))"),"")</f>
        <v/>
      </c>
      <c r="F261" s="4" t="str">
        <f>IFERROR(__xludf.DUMMYFUNCTION("IF($B261="""","""",INDEX(filter(Familias!G:G,Familias!$D:$D=$A261,Familias!$E:$E=$B261),1))"),"")</f>
        <v/>
      </c>
      <c r="G261" s="4" t="str">
        <f t="array" ref="G261">IF(C261=1,XLOOKUP(C261,Cotizador!D:D,Cotizador!E:E,"",0,1),"")</f>
        <v/>
      </c>
      <c r="I261" s="4"/>
      <c r="J261" s="8" t="str">
        <f>IF(I261="","",SUMIF(Cotizador!I$1:V$1,I261,Cotizador!I$2:V$2))</f>
        <v/>
      </c>
      <c r="L261" s="4" t="str">
        <f t="array" ref="L261">IF(COUNTIF(L$1:L260,A$2)=SUMIF(A:A,A$2,D:D),IF(COUNTIF(L$1:L260,XLOOKUP(A$2,Implementos!B:B,Implementos!C:C,"",0,1))=SUMIF(A:A,XLOOKUP(A$2,Implementos!B:B,Implementos!C:C,"",0,1),D:D),"",XLOOKUP(A$2,Implementos!B:B,Implementos!C:C,"",0,1)),A$2)</f>
        <v/>
      </c>
      <c r="M261" s="4" t="str">
        <f t="shared" si="2"/>
        <v/>
      </c>
      <c r="N261" s="4" t="str">
        <f t="shared" si="3"/>
        <v/>
      </c>
      <c r="O261" s="4" t="str">
        <f t="shared" si="4"/>
        <v/>
      </c>
      <c r="P261" s="4" t="str">
        <f t="shared" si="5"/>
        <v/>
      </c>
      <c r="Q261" s="4" t="str">
        <f>IF(U261="","",SUMIF(Productos!E:E,U261,Productos!A:A))</f>
        <v/>
      </c>
      <c r="R261" s="4" t="str">
        <f t="array" ref="R261">IF(L261="","", max(1,SUMIF(I:I,XLOOKUP(U261,Productos!E:E,Productos!G:G,"",0,1),J:J)))</f>
        <v/>
      </c>
      <c r="S261" s="4" t="str">
        <f>IF(Q261="","",IF(SUMIFS(Compat_Vetado!D:D,Compat_Vetado!B:B,SUM(G:G),Compat_Vetado!C:C,Q261)=1,"SI",IF(OR(SUMIF(Cotizador!E:E,Q261,Cotizador!G:G)&gt;0,SUMIFS(Compat_Vetado!D:D,Compat_Vetado!B:B,SUM(G:G),Compat_Vetado!C:C,Q261)=-1),"NO","")))</f>
        <v/>
      </c>
      <c r="T261" s="4" t="str">
        <f t="shared" si="6"/>
        <v/>
      </c>
      <c r="U261" s="4" t="str">
        <f>IFERROR(__xludf.DUMMYFUNCTION("IF(P261="""","""",IFERROR(INDEX(filter(Productos!E:E,Productos!F:F=L261,Productos!H:H=N261),P261),IF(M261=SUM(D:D),""Finalizar"",""-"")))"),"")</f>
        <v/>
      </c>
      <c r="V261" s="4" t="str">
        <f>IFERROR(__xludf.DUMMYFUNCTION("IF(OR($U261="""",COUNTIF($I:$I,IFERROR(unique(filter(Prod_Prop!$H:$H,Prod_Prop!$G:$G=$U261,Prod_Prop!$E:$E=V$1)),""Check""))=0),"""",IFERROR(unique(filter(Prod_Prop!$H:$H,Prod_Prop!$G:$G=$U261,Prod_Prop!$E:$E=V$1)),""""))"),"")</f>
        <v/>
      </c>
      <c r="W261" s="4" t="str">
        <f>IF(V261="","",SUMIFS(Prod_Prop!$J:$J,Prod_Prop!$B:$B,$Q261,Prod_Prop!$H:$H,V261,Prod_Prop!$I:$I,W$1)*IF(V261="Peso",$R261,1))</f>
        <v/>
      </c>
      <c r="X261" s="4" t="str">
        <f>IF(V261="","",SUMIFS(Prod_Prop!$J:$J,Prod_Prop!$B:$B,$Q261,Prod_Prop!$H:$H,V261,Prod_Prop!$I:$I,X$1)*IF(V261="Peso",$R261,1))</f>
        <v/>
      </c>
      <c r="Y261" s="4" t="str">
        <f>IFERROR(__xludf.DUMMYFUNCTION("IF(OR($U261="""",COUNTIF($I:$I,IFERROR(unique(filter(Prod_Prop!$H:$H,Prod_Prop!$G:$G=$U261,Prod_Prop!$E:$E=Y$1)),""Check""))=0),"""",IFERROR(unique(filter(Prod_Prop!$H:$H,Prod_Prop!$G:$G=$U261,Prod_Prop!$E:$E=Y$1)),""""))"),"")</f>
        <v/>
      </c>
      <c r="Z261" s="4" t="str">
        <f>IF(Y261="","",SUMIFS(Prod_Prop!$J:$J,Prod_Prop!$B:$B,$Q261,Prod_Prop!$H:$H,Y261,Prod_Prop!$I:$I,Z$1)*IF(Y261="Peso",$R261,1))</f>
        <v/>
      </c>
      <c r="AA261" s="4" t="str">
        <f>IF(Y261="","",SUMIFS(Prod_Prop!$J:$J,Prod_Prop!$B:$B,$Q261,Prod_Prop!$H:$H,Y261,Prod_Prop!$I:$I,AA$1)*IF(Y261="Peso",$R261,1))</f>
        <v/>
      </c>
      <c r="AB261" s="4" t="str">
        <f>IFERROR(__xludf.DUMMYFUNCTION("IF(OR($U261="""",COUNTIF($I:$I,IFERROR(unique(filter(Prod_Prop!$H:$H,Prod_Prop!$G:$G=$U261,Prod_Prop!$E:$E=AB$1)),""Check""))=0),"""",IFERROR(unique(filter(Prod_Prop!$H:$H,Prod_Prop!$G:$G=$U261,Prod_Prop!$E:$E=AB$1)),""""))"),"")</f>
        <v/>
      </c>
      <c r="AC261" s="4" t="str">
        <f>IF(AB261="","",SUMIFS(Prod_Prop!$J:$J,Prod_Prop!$B:$B,$Q261,Prod_Prop!$H:$H,AB261,Prod_Prop!$I:$I,AC$1)*IF(AB261="Peso",$R261,1))</f>
        <v/>
      </c>
      <c r="AD261" s="4" t="str">
        <f>IF(AB261="","",SUMIFS(Prod_Prop!$J:$J,Prod_Prop!$B:$B,$Q261,Prod_Prop!$H:$H,AB261,Prod_Prop!$I:$I,AD$1)*IF(AB261="Peso",$R261,1))</f>
        <v/>
      </c>
    </row>
    <row r="262">
      <c r="A262" s="4" t="str">
        <f t="array" ref="A262">IF(COUNTIF(A$1:A261,Cotizador!F$2)=maxifs(Familias!E:E,Familias!D:D,Cotizador!F$2),IF(COUNTIF(A$1:A261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2" s="4" t="str">
        <f t="shared" si="1"/>
        <v/>
      </c>
      <c r="C262" s="4" t="str">
        <f t="array" ref="C262">IF(B262="","",IF(A262=XLOOKUP(A$2,Implementos!B:B,Implementos!C:C,"",0,1),B262+maxifs(B$1:B261,A$1:A261,A$2),B262))</f>
        <v/>
      </c>
      <c r="D262" s="4" t="str">
        <f>IF(B262="","", COUNTIFS(Productos!F:F,A262,Productos!H:H,B262)+IF(F262="SI",0,1))</f>
        <v/>
      </c>
      <c r="E262" s="4" t="str">
        <f>IFERROR(__xludf.DUMMYFUNCTION("IF($B262="""","""",INDEX(filter(Familias!F:F,Familias!$D:$D=$A262,Familias!$E:$E=$B262),1))"),"")</f>
        <v/>
      </c>
      <c r="F262" s="4" t="str">
        <f>IFERROR(__xludf.DUMMYFUNCTION("IF($B262="""","""",INDEX(filter(Familias!G:G,Familias!$D:$D=$A262,Familias!$E:$E=$B262),1))"),"")</f>
        <v/>
      </c>
      <c r="G262" s="4" t="str">
        <f t="array" ref="G262">IF(C262=1,XLOOKUP(C262,Cotizador!D:D,Cotizador!E:E,"",0,1),"")</f>
        <v/>
      </c>
      <c r="I262" s="4"/>
      <c r="J262" s="8" t="str">
        <f>IF(I262="","",SUMIF(Cotizador!I$1:V$1,I262,Cotizador!I$2:V$2))</f>
        <v/>
      </c>
      <c r="L262" s="4" t="str">
        <f t="array" ref="L262">IF(COUNTIF(L$1:L261,A$2)=SUMIF(A:A,A$2,D:D),IF(COUNTIF(L$1:L261,XLOOKUP(A$2,Implementos!B:B,Implementos!C:C,"",0,1))=SUMIF(A:A,XLOOKUP(A$2,Implementos!B:B,Implementos!C:C,"",0,1),D:D),"",XLOOKUP(A$2,Implementos!B:B,Implementos!C:C,"",0,1)),A$2)</f>
        <v/>
      </c>
      <c r="M262" s="4" t="str">
        <f t="shared" si="2"/>
        <v/>
      </c>
      <c r="N262" s="4" t="str">
        <f t="shared" si="3"/>
        <v/>
      </c>
      <c r="O262" s="4" t="str">
        <f t="shared" si="4"/>
        <v/>
      </c>
      <c r="P262" s="4" t="str">
        <f t="shared" si="5"/>
        <v/>
      </c>
      <c r="Q262" s="4" t="str">
        <f>IF(U262="","",SUMIF(Productos!E:E,U262,Productos!A:A))</f>
        <v/>
      </c>
      <c r="R262" s="4" t="str">
        <f t="array" ref="R262">IF(L262="","", max(1,SUMIF(I:I,XLOOKUP(U262,Productos!E:E,Productos!G:G,"",0,1),J:J)))</f>
        <v/>
      </c>
      <c r="S262" s="4" t="str">
        <f>IF(Q262="","",IF(SUMIFS(Compat_Vetado!D:D,Compat_Vetado!B:B,SUM(G:G),Compat_Vetado!C:C,Q262)=1,"SI",IF(OR(SUMIF(Cotizador!E:E,Q262,Cotizador!G:G)&gt;0,SUMIFS(Compat_Vetado!D:D,Compat_Vetado!B:B,SUM(G:G),Compat_Vetado!C:C,Q262)=-1),"NO","")))</f>
        <v/>
      </c>
      <c r="T262" s="4" t="str">
        <f t="shared" si="6"/>
        <v/>
      </c>
      <c r="U262" s="4" t="str">
        <f>IFERROR(__xludf.DUMMYFUNCTION("IF(P262="""","""",IFERROR(INDEX(filter(Productos!E:E,Productos!F:F=L262,Productos!H:H=N262),P262),IF(M262=SUM(D:D),""Finalizar"",""-"")))"),"")</f>
        <v/>
      </c>
      <c r="V262" s="4" t="str">
        <f>IFERROR(__xludf.DUMMYFUNCTION("IF(OR($U262="""",COUNTIF($I:$I,IFERROR(unique(filter(Prod_Prop!$H:$H,Prod_Prop!$G:$G=$U262,Prod_Prop!$E:$E=V$1)),""Check""))=0),"""",IFERROR(unique(filter(Prod_Prop!$H:$H,Prod_Prop!$G:$G=$U262,Prod_Prop!$E:$E=V$1)),""""))"),"")</f>
        <v/>
      </c>
      <c r="W262" s="4" t="str">
        <f>IF(V262="","",SUMIFS(Prod_Prop!$J:$J,Prod_Prop!$B:$B,$Q262,Prod_Prop!$H:$H,V262,Prod_Prop!$I:$I,W$1)*IF(V262="Peso",$R262,1))</f>
        <v/>
      </c>
      <c r="X262" s="4" t="str">
        <f>IF(V262="","",SUMIFS(Prod_Prop!$J:$J,Prod_Prop!$B:$B,$Q262,Prod_Prop!$H:$H,V262,Prod_Prop!$I:$I,X$1)*IF(V262="Peso",$R262,1))</f>
        <v/>
      </c>
      <c r="Y262" s="4" t="str">
        <f>IFERROR(__xludf.DUMMYFUNCTION("IF(OR($U262="""",COUNTIF($I:$I,IFERROR(unique(filter(Prod_Prop!$H:$H,Prod_Prop!$G:$G=$U262,Prod_Prop!$E:$E=Y$1)),""Check""))=0),"""",IFERROR(unique(filter(Prod_Prop!$H:$H,Prod_Prop!$G:$G=$U262,Prod_Prop!$E:$E=Y$1)),""""))"),"")</f>
        <v/>
      </c>
      <c r="Z262" s="4" t="str">
        <f>IF(Y262="","",SUMIFS(Prod_Prop!$J:$J,Prod_Prop!$B:$B,$Q262,Prod_Prop!$H:$H,Y262,Prod_Prop!$I:$I,Z$1)*IF(Y262="Peso",$R262,1))</f>
        <v/>
      </c>
      <c r="AA262" s="4" t="str">
        <f>IF(Y262="","",SUMIFS(Prod_Prop!$J:$J,Prod_Prop!$B:$B,$Q262,Prod_Prop!$H:$H,Y262,Prod_Prop!$I:$I,AA$1)*IF(Y262="Peso",$R262,1))</f>
        <v/>
      </c>
      <c r="AB262" s="4" t="str">
        <f>IFERROR(__xludf.DUMMYFUNCTION("IF(OR($U262="""",COUNTIF($I:$I,IFERROR(unique(filter(Prod_Prop!$H:$H,Prod_Prop!$G:$G=$U262,Prod_Prop!$E:$E=AB$1)),""Check""))=0),"""",IFERROR(unique(filter(Prod_Prop!$H:$H,Prod_Prop!$G:$G=$U262,Prod_Prop!$E:$E=AB$1)),""""))"),"")</f>
        <v/>
      </c>
      <c r="AC262" s="4" t="str">
        <f>IF(AB262="","",SUMIFS(Prod_Prop!$J:$J,Prod_Prop!$B:$B,$Q262,Prod_Prop!$H:$H,AB262,Prod_Prop!$I:$I,AC$1)*IF(AB262="Peso",$R262,1))</f>
        <v/>
      </c>
      <c r="AD262" s="4" t="str">
        <f>IF(AB262="","",SUMIFS(Prod_Prop!$J:$J,Prod_Prop!$B:$B,$Q262,Prod_Prop!$H:$H,AB262,Prod_Prop!$I:$I,AD$1)*IF(AB262="Peso",$R262,1))</f>
        <v/>
      </c>
    </row>
    <row r="263">
      <c r="A263" s="4" t="str">
        <f t="array" ref="A263">IF(COUNTIF(A$1:A262,Cotizador!F$2)=maxifs(Familias!E:E,Familias!D:D,Cotizador!F$2),IF(COUNTIF(A$1:A262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3" s="4" t="str">
        <f t="shared" si="1"/>
        <v/>
      </c>
      <c r="C263" s="4" t="str">
        <f t="array" ref="C263">IF(B263="","",IF(A263=XLOOKUP(A$2,Implementos!B:B,Implementos!C:C,"",0,1),B263+maxifs(B$1:B262,A$1:A262,A$2),B263))</f>
        <v/>
      </c>
      <c r="D263" s="4" t="str">
        <f>IF(B263="","", COUNTIFS(Productos!F:F,A263,Productos!H:H,B263)+IF(F263="SI",0,1))</f>
        <v/>
      </c>
      <c r="E263" s="4" t="str">
        <f>IFERROR(__xludf.DUMMYFUNCTION("IF($B263="""","""",INDEX(filter(Familias!F:F,Familias!$D:$D=$A263,Familias!$E:$E=$B263),1))"),"")</f>
        <v/>
      </c>
      <c r="F263" s="4" t="str">
        <f>IFERROR(__xludf.DUMMYFUNCTION("IF($B263="""","""",INDEX(filter(Familias!G:G,Familias!$D:$D=$A263,Familias!$E:$E=$B263),1))"),"")</f>
        <v/>
      </c>
      <c r="G263" s="4" t="str">
        <f t="array" ref="G263">IF(C263=1,XLOOKUP(C263,Cotizador!D:D,Cotizador!E:E,"",0,1),"")</f>
        <v/>
      </c>
      <c r="I263" s="4"/>
      <c r="J263" s="8" t="str">
        <f>IF(I263="","",SUMIF(Cotizador!I$1:V$1,I263,Cotizador!I$2:V$2))</f>
        <v/>
      </c>
      <c r="L263" s="4" t="str">
        <f t="array" ref="L263">IF(COUNTIF(L$1:L262,A$2)=SUMIF(A:A,A$2,D:D),IF(COUNTIF(L$1:L262,XLOOKUP(A$2,Implementos!B:B,Implementos!C:C,"",0,1))=SUMIF(A:A,XLOOKUP(A$2,Implementos!B:B,Implementos!C:C,"",0,1),D:D),"",XLOOKUP(A$2,Implementos!B:B,Implementos!C:C,"",0,1)),A$2)</f>
        <v/>
      </c>
      <c r="M263" s="4" t="str">
        <f t="shared" si="2"/>
        <v/>
      </c>
      <c r="N263" s="4" t="str">
        <f t="shared" si="3"/>
        <v/>
      </c>
      <c r="O263" s="4" t="str">
        <f t="shared" si="4"/>
        <v/>
      </c>
      <c r="P263" s="4" t="str">
        <f t="shared" si="5"/>
        <v/>
      </c>
      <c r="Q263" s="4" t="str">
        <f>IF(U263="","",SUMIF(Productos!E:E,U263,Productos!A:A))</f>
        <v/>
      </c>
      <c r="R263" s="4" t="str">
        <f t="array" ref="R263">IF(L263="","", max(1,SUMIF(I:I,XLOOKUP(U263,Productos!E:E,Productos!G:G,"",0,1),J:J)))</f>
        <v/>
      </c>
      <c r="S263" s="4" t="str">
        <f>IF(Q263="","",IF(SUMIFS(Compat_Vetado!D:D,Compat_Vetado!B:B,SUM(G:G),Compat_Vetado!C:C,Q263)=1,"SI",IF(OR(SUMIF(Cotizador!E:E,Q263,Cotizador!G:G)&gt;0,SUMIFS(Compat_Vetado!D:D,Compat_Vetado!B:B,SUM(G:G),Compat_Vetado!C:C,Q263)=-1),"NO","")))</f>
        <v/>
      </c>
      <c r="T263" s="4" t="str">
        <f t="shared" si="6"/>
        <v/>
      </c>
      <c r="U263" s="4" t="str">
        <f>IFERROR(__xludf.DUMMYFUNCTION("IF(P263="""","""",IFERROR(INDEX(filter(Productos!E:E,Productos!F:F=L263,Productos!H:H=N263),P263),IF(M263=SUM(D:D),""Finalizar"",""-"")))"),"")</f>
        <v/>
      </c>
      <c r="V263" s="4" t="str">
        <f>IFERROR(__xludf.DUMMYFUNCTION("IF(OR($U263="""",COUNTIF($I:$I,IFERROR(unique(filter(Prod_Prop!$H:$H,Prod_Prop!$G:$G=$U263,Prod_Prop!$E:$E=V$1)),""Check""))=0),"""",IFERROR(unique(filter(Prod_Prop!$H:$H,Prod_Prop!$G:$G=$U263,Prod_Prop!$E:$E=V$1)),""""))"),"")</f>
        <v/>
      </c>
      <c r="W263" s="4" t="str">
        <f>IF(V263="","",SUMIFS(Prod_Prop!$J:$J,Prod_Prop!$B:$B,$Q263,Prod_Prop!$H:$H,V263,Prod_Prop!$I:$I,W$1)*IF(V263="Peso",$R263,1))</f>
        <v/>
      </c>
      <c r="X263" s="4" t="str">
        <f>IF(V263="","",SUMIFS(Prod_Prop!$J:$J,Prod_Prop!$B:$B,$Q263,Prod_Prop!$H:$H,V263,Prod_Prop!$I:$I,X$1)*IF(V263="Peso",$R263,1))</f>
        <v/>
      </c>
      <c r="Y263" s="4" t="str">
        <f>IFERROR(__xludf.DUMMYFUNCTION("IF(OR($U263="""",COUNTIF($I:$I,IFERROR(unique(filter(Prod_Prop!$H:$H,Prod_Prop!$G:$G=$U263,Prod_Prop!$E:$E=Y$1)),""Check""))=0),"""",IFERROR(unique(filter(Prod_Prop!$H:$H,Prod_Prop!$G:$G=$U263,Prod_Prop!$E:$E=Y$1)),""""))"),"")</f>
        <v/>
      </c>
      <c r="Z263" s="4" t="str">
        <f>IF(Y263="","",SUMIFS(Prod_Prop!$J:$J,Prod_Prop!$B:$B,$Q263,Prod_Prop!$H:$H,Y263,Prod_Prop!$I:$I,Z$1)*IF(Y263="Peso",$R263,1))</f>
        <v/>
      </c>
      <c r="AA263" s="4" t="str">
        <f>IF(Y263="","",SUMIFS(Prod_Prop!$J:$J,Prod_Prop!$B:$B,$Q263,Prod_Prop!$H:$H,Y263,Prod_Prop!$I:$I,AA$1)*IF(Y263="Peso",$R263,1))</f>
        <v/>
      </c>
      <c r="AB263" s="4" t="str">
        <f>IFERROR(__xludf.DUMMYFUNCTION("IF(OR($U263="""",COUNTIF($I:$I,IFERROR(unique(filter(Prod_Prop!$H:$H,Prod_Prop!$G:$G=$U263,Prod_Prop!$E:$E=AB$1)),""Check""))=0),"""",IFERROR(unique(filter(Prod_Prop!$H:$H,Prod_Prop!$G:$G=$U263,Prod_Prop!$E:$E=AB$1)),""""))"),"")</f>
        <v/>
      </c>
      <c r="AC263" s="4" t="str">
        <f>IF(AB263="","",SUMIFS(Prod_Prop!$J:$J,Prod_Prop!$B:$B,$Q263,Prod_Prop!$H:$H,AB263,Prod_Prop!$I:$I,AC$1)*IF(AB263="Peso",$R263,1))</f>
        <v/>
      </c>
      <c r="AD263" s="4" t="str">
        <f>IF(AB263="","",SUMIFS(Prod_Prop!$J:$J,Prod_Prop!$B:$B,$Q263,Prod_Prop!$H:$H,AB263,Prod_Prop!$I:$I,AD$1)*IF(AB263="Peso",$R263,1))</f>
        <v/>
      </c>
    </row>
    <row r="264">
      <c r="A264" s="4" t="str">
        <f t="array" ref="A264">IF(COUNTIF(A$1:A263,Cotizador!F$2)=maxifs(Familias!E:E,Familias!D:D,Cotizador!F$2),IF(COUNTIF(A$1:A263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4" s="4" t="str">
        <f t="shared" si="1"/>
        <v/>
      </c>
      <c r="C264" s="4" t="str">
        <f t="array" ref="C264">IF(B264="","",IF(A264=XLOOKUP(A$2,Implementos!B:B,Implementos!C:C,"",0,1),B264+maxifs(B$1:B263,A$1:A263,A$2),B264))</f>
        <v/>
      </c>
      <c r="D264" s="4" t="str">
        <f>IF(B264="","", COUNTIFS(Productos!F:F,A264,Productos!H:H,B264)+IF(F264="SI",0,1))</f>
        <v/>
      </c>
      <c r="E264" s="4" t="str">
        <f>IFERROR(__xludf.DUMMYFUNCTION("IF($B264="""","""",INDEX(filter(Familias!F:F,Familias!$D:$D=$A264,Familias!$E:$E=$B264),1))"),"")</f>
        <v/>
      </c>
      <c r="F264" s="4" t="str">
        <f>IFERROR(__xludf.DUMMYFUNCTION("IF($B264="""","""",INDEX(filter(Familias!G:G,Familias!$D:$D=$A264,Familias!$E:$E=$B264),1))"),"")</f>
        <v/>
      </c>
      <c r="G264" s="4" t="str">
        <f t="array" ref="G264">IF(C264=1,XLOOKUP(C264,Cotizador!D:D,Cotizador!E:E,"",0,1),"")</f>
        <v/>
      </c>
      <c r="I264" s="4"/>
      <c r="J264" s="8" t="str">
        <f>IF(I264="","",SUMIF(Cotizador!I$1:V$1,I264,Cotizador!I$2:V$2))</f>
        <v/>
      </c>
      <c r="L264" s="4" t="str">
        <f t="array" ref="L264">IF(COUNTIF(L$1:L263,A$2)=SUMIF(A:A,A$2,D:D),IF(COUNTIF(L$1:L263,XLOOKUP(A$2,Implementos!B:B,Implementos!C:C,"",0,1))=SUMIF(A:A,XLOOKUP(A$2,Implementos!B:B,Implementos!C:C,"",0,1),D:D),"",XLOOKUP(A$2,Implementos!B:B,Implementos!C:C,"",0,1)),A$2)</f>
        <v/>
      </c>
      <c r="M264" s="4" t="str">
        <f t="shared" si="2"/>
        <v/>
      </c>
      <c r="N264" s="4" t="str">
        <f t="shared" si="3"/>
        <v/>
      </c>
      <c r="O264" s="4" t="str">
        <f t="shared" si="4"/>
        <v/>
      </c>
      <c r="P264" s="4" t="str">
        <f t="shared" si="5"/>
        <v/>
      </c>
      <c r="Q264" s="4" t="str">
        <f>IF(U264="","",SUMIF(Productos!E:E,U264,Productos!A:A))</f>
        <v/>
      </c>
      <c r="R264" s="4" t="str">
        <f t="array" ref="R264">IF(L264="","", max(1,SUMIF(I:I,XLOOKUP(U264,Productos!E:E,Productos!G:G,"",0,1),J:J)))</f>
        <v/>
      </c>
      <c r="S264" s="4" t="str">
        <f>IF(Q264="","",IF(SUMIFS(Compat_Vetado!D:D,Compat_Vetado!B:B,SUM(G:G),Compat_Vetado!C:C,Q264)=1,"SI",IF(OR(SUMIF(Cotizador!E:E,Q264,Cotizador!G:G)&gt;0,SUMIFS(Compat_Vetado!D:D,Compat_Vetado!B:B,SUM(G:G),Compat_Vetado!C:C,Q264)=-1),"NO","")))</f>
        <v/>
      </c>
      <c r="T264" s="4" t="str">
        <f t="shared" si="6"/>
        <v/>
      </c>
      <c r="U264" s="4" t="str">
        <f>IFERROR(__xludf.DUMMYFUNCTION("IF(P264="""","""",IFERROR(INDEX(filter(Productos!E:E,Productos!F:F=L264,Productos!H:H=N264),P264),IF(M264=SUM(D:D),""Finalizar"",""-"")))"),"")</f>
        <v/>
      </c>
      <c r="V264" s="4" t="str">
        <f>IFERROR(__xludf.DUMMYFUNCTION("IF(OR($U264="""",COUNTIF($I:$I,IFERROR(unique(filter(Prod_Prop!$H:$H,Prod_Prop!$G:$G=$U264,Prod_Prop!$E:$E=V$1)),""Check""))=0),"""",IFERROR(unique(filter(Prod_Prop!$H:$H,Prod_Prop!$G:$G=$U264,Prod_Prop!$E:$E=V$1)),""""))"),"")</f>
        <v/>
      </c>
      <c r="W264" s="4" t="str">
        <f>IF(V264="","",SUMIFS(Prod_Prop!$J:$J,Prod_Prop!$B:$B,$Q264,Prod_Prop!$H:$H,V264,Prod_Prop!$I:$I,W$1)*IF(V264="Peso",$R264,1))</f>
        <v/>
      </c>
      <c r="X264" s="4" t="str">
        <f>IF(V264="","",SUMIFS(Prod_Prop!$J:$J,Prod_Prop!$B:$B,$Q264,Prod_Prop!$H:$H,V264,Prod_Prop!$I:$I,X$1)*IF(V264="Peso",$R264,1))</f>
        <v/>
      </c>
      <c r="Y264" s="4" t="str">
        <f>IFERROR(__xludf.DUMMYFUNCTION("IF(OR($U264="""",COUNTIF($I:$I,IFERROR(unique(filter(Prod_Prop!$H:$H,Prod_Prop!$G:$G=$U264,Prod_Prop!$E:$E=Y$1)),""Check""))=0),"""",IFERROR(unique(filter(Prod_Prop!$H:$H,Prod_Prop!$G:$G=$U264,Prod_Prop!$E:$E=Y$1)),""""))"),"")</f>
        <v/>
      </c>
      <c r="Z264" s="4" t="str">
        <f>IF(Y264="","",SUMIFS(Prod_Prop!$J:$J,Prod_Prop!$B:$B,$Q264,Prod_Prop!$H:$H,Y264,Prod_Prop!$I:$I,Z$1)*IF(Y264="Peso",$R264,1))</f>
        <v/>
      </c>
      <c r="AA264" s="4" t="str">
        <f>IF(Y264="","",SUMIFS(Prod_Prop!$J:$J,Prod_Prop!$B:$B,$Q264,Prod_Prop!$H:$H,Y264,Prod_Prop!$I:$I,AA$1)*IF(Y264="Peso",$R264,1))</f>
        <v/>
      </c>
      <c r="AB264" s="4" t="str">
        <f>IFERROR(__xludf.DUMMYFUNCTION("IF(OR($U264="""",COUNTIF($I:$I,IFERROR(unique(filter(Prod_Prop!$H:$H,Prod_Prop!$G:$G=$U264,Prod_Prop!$E:$E=AB$1)),""Check""))=0),"""",IFERROR(unique(filter(Prod_Prop!$H:$H,Prod_Prop!$G:$G=$U264,Prod_Prop!$E:$E=AB$1)),""""))"),"")</f>
        <v/>
      </c>
      <c r="AC264" s="4" t="str">
        <f>IF(AB264="","",SUMIFS(Prod_Prop!$J:$J,Prod_Prop!$B:$B,$Q264,Prod_Prop!$H:$H,AB264,Prod_Prop!$I:$I,AC$1)*IF(AB264="Peso",$R264,1))</f>
        <v/>
      </c>
      <c r="AD264" s="4" t="str">
        <f>IF(AB264="","",SUMIFS(Prod_Prop!$J:$J,Prod_Prop!$B:$B,$Q264,Prod_Prop!$H:$H,AB264,Prod_Prop!$I:$I,AD$1)*IF(AB264="Peso",$R264,1))</f>
        <v/>
      </c>
    </row>
    <row r="265">
      <c r="A265" s="4" t="str">
        <f t="array" ref="A265">IF(COUNTIF(A$1:A264,Cotizador!F$2)=maxifs(Familias!E:E,Familias!D:D,Cotizador!F$2),IF(COUNTIF(A$1:A264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5" s="4" t="str">
        <f t="shared" si="1"/>
        <v/>
      </c>
      <c r="C265" s="4" t="str">
        <f t="array" ref="C265">IF(B265="","",IF(A265=XLOOKUP(A$2,Implementos!B:B,Implementos!C:C,"",0,1),B265+maxifs(B$1:B264,A$1:A264,A$2),B265))</f>
        <v/>
      </c>
      <c r="D265" s="4" t="str">
        <f>IF(B265="","", COUNTIFS(Productos!F:F,A265,Productos!H:H,B265)+IF(F265="SI",0,1))</f>
        <v/>
      </c>
      <c r="E265" s="4" t="str">
        <f>IFERROR(__xludf.DUMMYFUNCTION("IF($B265="""","""",INDEX(filter(Familias!F:F,Familias!$D:$D=$A265,Familias!$E:$E=$B265),1))"),"")</f>
        <v/>
      </c>
      <c r="F265" s="4" t="str">
        <f>IFERROR(__xludf.DUMMYFUNCTION("IF($B265="""","""",INDEX(filter(Familias!G:G,Familias!$D:$D=$A265,Familias!$E:$E=$B265),1))"),"")</f>
        <v/>
      </c>
      <c r="G265" s="4" t="str">
        <f t="array" ref="G265">IF(C265=1,XLOOKUP(C265,Cotizador!D:D,Cotizador!E:E,"",0,1),"")</f>
        <v/>
      </c>
      <c r="I265" s="4"/>
      <c r="J265" s="8" t="str">
        <f>IF(I265="","",SUMIF(Cotizador!I$1:V$1,I265,Cotizador!I$2:V$2))</f>
        <v/>
      </c>
      <c r="L265" s="4" t="str">
        <f t="array" ref="L265">IF(COUNTIF(L$1:L264,A$2)=SUMIF(A:A,A$2,D:D),IF(COUNTIF(L$1:L264,XLOOKUP(A$2,Implementos!B:B,Implementos!C:C,"",0,1))=SUMIF(A:A,XLOOKUP(A$2,Implementos!B:B,Implementos!C:C,"",0,1),D:D),"",XLOOKUP(A$2,Implementos!B:B,Implementos!C:C,"",0,1)),A$2)</f>
        <v/>
      </c>
      <c r="M265" s="4" t="str">
        <f t="shared" si="2"/>
        <v/>
      </c>
      <c r="N265" s="4" t="str">
        <f t="shared" si="3"/>
        <v/>
      </c>
      <c r="O265" s="4" t="str">
        <f t="shared" si="4"/>
        <v/>
      </c>
      <c r="P265" s="4" t="str">
        <f t="shared" si="5"/>
        <v/>
      </c>
      <c r="Q265" s="4" t="str">
        <f>IF(U265="","",SUMIF(Productos!E:E,U265,Productos!A:A))</f>
        <v/>
      </c>
      <c r="R265" s="4" t="str">
        <f t="array" ref="R265">IF(L265="","", max(1,SUMIF(I:I,XLOOKUP(U265,Productos!E:E,Productos!G:G,"",0,1),J:J)))</f>
        <v/>
      </c>
      <c r="S265" s="4" t="str">
        <f>IF(Q265="","",IF(SUMIFS(Compat_Vetado!D:D,Compat_Vetado!B:B,SUM(G:G),Compat_Vetado!C:C,Q265)=1,"SI",IF(OR(SUMIF(Cotizador!E:E,Q265,Cotizador!G:G)&gt;0,SUMIFS(Compat_Vetado!D:D,Compat_Vetado!B:B,SUM(G:G),Compat_Vetado!C:C,Q265)=-1),"NO","")))</f>
        <v/>
      </c>
      <c r="T265" s="4" t="str">
        <f t="shared" si="6"/>
        <v/>
      </c>
      <c r="U265" s="4" t="str">
        <f>IFERROR(__xludf.DUMMYFUNCTION("IF(P265="""","""",IFERROR(INDEX(filter(Productos!E:E,Productos!F:F=L265,Productos!H:H=N265),P265),IF(M265=SUM(D:D),""Finalizar"",""-"")))"),"")</f>
        <v/>
      </c>
      <c r="V265" s="4" t="str">
        <f>IFERROR(__xludf.DUMMYFUNCTION("IF(OR($U265="""",COUNTIF($I:$I,IFERROR(unique(filter(Prod_Prop!$H:$H,Prod_Prop!$G:$G=$U265,Prod_Prop!$E:$E=V$1)),""Check""))=0),"""",IFERROR(unique(filter(Prod_Prop!$H:$H,Prod_Prop!$G:$G=$U265,Prod_Prop!$E:$E=V$1)),""""))"),"")</f>
        <v/>
      </c>
      <c r="W265" s="4" t="str">
        <f>IF(V265="","",SUMIFS(Prod_Prop!$J:$J,Prod_Prop!$B:$B,$Q265,Prod_Prop!$H:$H,V265,Prod_Prop!$I:$I,W$1)*IF(V265="Peso",$R265,1))</f>
        <v/>
      </c>
      <c r="X265" s="4" t="str">
        <f>IF(V265="","",SUMIFS(Prod_Prop!$J:$J,Prod_Prop!$B:$B,$Q265,Prod_Prop!$H:$H,V265,Prod_Prop!$I:$I,X$1)*IF(V265="Peso",$R265,1))</f>
        <v/>
      </c>
      <c r="Y265" s="4" t="str">
        <f>IFERROR(__xludf.DUMMYFUNCTION("IF(OR($U265="""",COUNTIF($I:$I,IFERROR(unique(filter(Prod_Prop!$H:$H,Prod_Prop!$G:$G=$U265,Prod_Prop!$E:$E=Y$1)),""Check""))=0),"""",IFERROR(unique(filter(Prod_Prop!$H:$H,Prod_Prop!$G:$G=$U265,Prod_Prop!$E:$E=Y$1)),""""))"),"")</f>
        <v/>
      </c>
      <c r="Z265" s="4" t="str">
        <f>IF(Y265="","",SUMIFS(Prod_Prop!$J:$J,Prod_Prop!$B:$B,$Q265,Prod_Prop!$H:$H,Y265,Prod_Prop!$I:$I,Z$1)*IF(Y265="Peso",$R265,1))</f>
        <v/>
      </c>
      <c r="AA265" s="4" t="str">
        <f>IF(Y265="","",SUMIFS(Prod_Prop!$J:$J,Prod_Prop!$B:$B,$Q265,Prod_Prop!$H:$H,Y265,Prod_Prop!$I:$I,AA$1)*IF(Y265="Peso",$R265,1))</f>
        <v/>
      </c>
      <c r="AB265" s="4" t="str">
        <f>IFERROR(__xludf.DUMMYFUNCTION("IF(OR($U265="""",COUNTIF($I:$I,IFERROR(unique(filter(Prod_Prop!$H:$H,Prod_Prop!$G:$G=$U265,Prod_Prop!$E:$E=AB$1)),""Check""))=0),"""",IFERROR(unique(filter(Prod_Prop!$H:$H,Prod_Prop!$G:$G=$U265,Prod_Prop!$E:$E=AB$1)),""""))"),"")</f>
        <v/>
      </c>
      <c r="AC265" s="4" t="str">
        <f>IF(AB265="","",SUMIFS(Prod_Prop!$J:$J,Prod_Prop!$B:$B,$Q265,Prod_Prop!$H:$H,AB265,Prod_Prop!$I:$I,AC$1)*IF(AB265="Peso",$R265,1))</f>
        <v/>
      </c>
      <c r="AD265" s="4" t="str">
        <f>IF(AB265="","",SUMIFS(Prod_Prop!$J:$J,Prod_Prop!$B:$B,$Q265,Prod_Prop!$H:$H,AB265,Prod_Prop!$I:$I,AD$1)*IF(AB265="Peso",$R265,1))</f>
        <v/>
      </c>
    </row>
    <row r="266">
      <c r="A266" s="4" t="str">
        <f t="array" ref="A266">IF(COUNTIF(A$1:A265,Cotizador!F$2)=maxifs(Familias!E:E,Familias!D:D,Cotizador!F$2),IF(COUNTIF(A$1:A265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6" s="4" t="str">
        <f t="shared" si="1"/>
        <v/>
      </c>
      <c r="C266" s="4" t="str">
        <f t="array" ref="C266">IF(B266="","",IF(A266=XLOOKUP(A$2,Implementos!B:B,Implementos!C:C,"",0,1),B266+maxifs(B$1:B265,A$1:A265,A$2),B266))</f>
        <v/>
      </c>
      <c r="D266" s="4" t="str">
        <f>IF(B266="","", COUNTIFS(Productos!F:F,A266,Productos!H:H,B266)+IF(F266="SI",0,1))</f>
        <v/>
      </c>
      <c r="E266" s="4" t="str">
        <f>IFERROR(__xludf.DUMMYFUNCTION("IF($B266="""","""",INDEX(filter(Familias!F:F,Familias!$D:$D=$A266,Familias!$E:$E=$B266),1))"),"")</f>
        <v/>
      </c>
      <c r="F266" s="4" t="str">
        <f>IFERROR(__xludf.DUMMYFUNCTION("IF($B266="""","""",INDEX(filter(Familias!G:G,Familias!$D:$D=$A266,Familias!$E:$E=$B266),1))"),"")</f>
        <v/>
      </c>
      <c r="G266" s="4" t="str">
        <f t="array" ref="G266">IF(C266=1,XLOOKUP(C266,Cotizador!D:D,Cotizador!E:E,"",0,1),"")</f>
        <v/>
      </c>
      <c r="I266" s="4"/>
      <c r="J266" s="8" t="str">
        <f>IF(I266="","",SUMIF(Cotizador!I$1:V$1,I266,Cotizador!I$2:V$2))</f>
        <v/>
      </c>
      <c r="L266" s="4" t="str">
        <f t="array" ref="L266">IF(COUNTIF(L$1:L265,A$2)=SUMIF(A:A,A$2,D:D),IF(COUNTIF(L$1:L265,XLOOKUP(A$2,Implementos!B:B,Implementos!C:C,"",0,1))=SUMIF(A:A,XLOOKUP(A$2,Implementos!B:B,Implementos!C:C,"",0,1),D:D),"",XLOOKUP(A$2,Implementos!B:B,Implementos!C:C,"",0,1)),A$2)</f>
        <v/>
      </c>
      <c r="M266" s="4" t="str">
        <f t="shared" si="2"/>
        <v/>
      </c>
      <c r="N266" s="4" t="str">
        <f t="shared" si="3"/>
        <v/>
      </c>
      <c r="O266" s="4" t="str">
        <f t="shared" si="4"/>
        <v/>
      </c>
      <c r="P266" s="4" t="str">
        <f t="shared" si="5"/>
        <v/>
      </c>
      <c r="Q266" s="4" t="str">
        <f>IF(U266="","",SUMIF(Productos!E:E,U266,Productos!A:A))</f>
        <v/>
      </c>
      <c r="R266" s="4" t="str">
        <f t="array" ref="R266">IF(L266="","", max(1,SUMIF(I:I,XLOOKUP(U266,Productos!E:E,Productos!G:G,"",0,1),J:J)))</f>
        <v/>
      </c>
      <c r="S266" s="4" t="str">
        <f>IF(Q266="","",IF(SUMIFS(Compat_Vetado!D:D,Compat_Vetado!B:B,SUM(G:G),Compat_Vetado!C:C,Q266)=1,"SI",IF(OR(SUMIF(Cotizador!E:E,Q266,Cotizador!G:G)&gt;0,SUMIFS(Compat_Vetado!D:D,Compat_Vetado!B:B,SUM(G:G),Compat_Vetado!C:C,Q266)=-1),"NO","")))</f>
        <v/>
      </c>
      <c r="T266" s="4" t="str">
        <f t="shared" si="6"/>
        <v/>
      </c>
      <c r="U266" s="4" t="str">
        <f>IFERROR(__xludf.DUMMYFUNCTION("IF(P266="""","""",IFERROR(INDEX(filter(Productos!E:E,Productos!F:F=L266,Productos!H:H=N266),P266),IF(M266=SUM(D:D),""Finalizar"",""-"")))"),"")</f>
        <v/>
      </c>
      <c r="V266" s="4" t="str">
        <f>IFERROR(__xludf.DUMMYFUNCTION("IF(OR($U266="""",COUNTIF($I:$I,IFERROR(unique(filter(Prod_Prop!$H:$H,Prod_Prop!$G:$G=$U266,Prod_Prop!$E:$E=V$1)),""Check""))=0),"""",IFERROR(unique(filter(Prod_Prop!$H:$H,Prod_Prop!$G:$G=$U266,Prod_Prop!$E:$E=V$1)),""""))"),"")</f>
        <v/>
      </c>
      <c r="W266" s="4" t="str">
        <f>IF(V266="","",SUMIFS(Prod_Prop!$J:$J,Prod_Prop!$B:$B,$Q266,Prod_Prop!$H:$H,V266,Prod_Prop!$I:$I,W$1)*IF(V266="Peso",$R266,1))</f>
        <v/>
      </c>
      <c r="X266" s="4" t="str">
        <f>IF(V266="","",SUMIFS(Prod_Prop!$J:$J,Prod_Prop!$B:$B,$Q266,Prod_Prop!$H:$H,V266,Prod_Prop!$I:$I,X$1)*IF(V266="Peso",$R266,1))</f>
        <v/>
      </c>
      <c r="Y266" s="4" t="str">
        <f>IFERROR(__xludf.DUMMYFUNCTION("IF(OR($U266="""",COUNTIF($I:$I,IFERROR(unique(filter(Prod_Prop!$H:$H,Prod_Prop!$G:$G=$U266,Prod_Prop!$E:$E=Y$1)),""Check""))=0),"""",IFERROR(unique(filter(Prod_Prop!$H:$H,Prod_Prop!$G:$G=$U266,Prod_Prop!$E:$E=Y$1)),""""))"),"")</f>
        <v/>
      </c>
      <c r="Z266" s="4" t="str">
        <f>IF(Y266="","",SUMIFS(Prod_Prop!$J:$J,Prod_Prop!$B:$B,$Q266,Prod_Prop!$H:$H,Y266,Prod_Prop!$I:$I,Z$1)*IF(Y266="Peso",$R266,1))</f>
        <v/>
      </c>
      <c r="AA266" s="4" t="str">
        <f>IF(Y266="","",SUMIFS(Prod_Prop!$J:$J,Prod_Prop!$B:$B,$Q266,Prod_Prop!$H:$H,Y266,Prod_Prop!$I:$I,AA$1)*IF(Y266="Peso",$R266,1))</f>
        <v/>
      </c>
      <c r="AB266" s="4" t="str">
        <f>IFERROR(__xludf.DUMMYFUNCTION("IF(OR($U266="""",COUNTIF($I:$I,IFERROR(unique(filter(Prod_Prop!$H:$H,Prod_Prop!$G:$G=$U266,Prod_Prop!$E:$E=AB$1)),""Check""))=0),"""",IFERROR(unique(filter(Prod_Prop!$H:$H,Prod_Prop!$G:$G=$U266,Prod_Prop!$E:$E=AB$1)),""""))"),"")</f>
        <v/>
      </c>
      <c r="AC266" s="4" t="str">
        <f>IF(AB266="","",SUMIFS(Prod_Prop!$J:$J,Prod_Prop!$B:$B,$Q266,Prod_Prop!$H:$H,AB266,Prod_Prop!$I:$I,AC$1)*IF(AB266="Peso",$R266,1))</f>
        <v/>
      </c>
      <c r="AD266" s="4" t="str">
        <f>IF(AB266="","",SUMIFS(Prod_Prop!$J:$J,Prod_Prop!$B:$B,$Q266,Prod_Prop!$H:$H,AB266,Prod_Prop!$I:$I,AD$1)*IF(AB266="Peso",$R266,1))</f>
        <v/>
      </c>
    </row>
    <row r="267">
      <c r="A267" s="4" t="str">
        <f t="array" ref="A267">IF(COUNTIF(A$1:A266,Cotizador!F$2)=maxifs(Familias!E:E,Familias!D:D,Cotizador!F$2),IF(COUNTIF(A$1:A266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7" s="4" t="str">
        <f t="shared" si="1"/>
        <v/>
      </c>
      <c r="C267" s="4" t="str">
        <f t="array" ref="C267">IF(B267="","",IF(A267=XLOOKUP(A$2,Implementos!B:B,Implementos!C:C,"",0,1),B267+maxifs(B$1:B266,A$1:A266,A$2),B267))</f>
        <v/>
      </c>
      <c r="D267" s="4" t="str">
        <f>IF(B267="","", COUNTIFS(Productos!F:F,A267,Productos!H:H,B267)+IF(F267="SI",0,1))</f>
        <v/>
      </c>
      <c r="E267" s="4" t="str">
        <f>IFERROR(__xludf.DUMMYFUNCTION("IF($B267="""","""",INDEX(filter(Familias!F:F,Familias!$D:$D=$A267,Familias!$E:$E=$B267),1))"),"")</f>
        <v/>
      </c>
      <c r="F267" s="4" t="str">
        <f>IFERROR(__xludf.DUMMYFUNCTION("IF($B267="""","""",INDEX(filter(Familias!G:G,Familias!$D:$D=$A267,Familias!$E:$E=$B267),1))"),"")</f>
        <v/>
      </c>
      <c r="G267" s="4" t="str">
        <f t="array" ref="G267">IF(C267=1,XLOOKUP(C267,Cotizador!D:D,Cotizador!E:E,"",0,1),"")</f>
        <v/>
      </c>
      <c r="I267" s="4"/>
      <c r="J267" s="8" t="str">
        <f>IF(I267="","",SUMIF(Cotizador!I$1:V$1,I267,Cotizador!I$2:V$2))</f>
        <v/>
      </c>
      <c r="L267" s="4" t="str">
        <f t="array" ref="L267">IF(COUNTIF(L$1:L266,A$2)=SUMIF(A:A,A$2,D:D),IF(COUNTIF(L$1:L266,XLOOKUP(A$2,Implementos!B:B,Implementos!C:C,"",0,1))=SUMIF(A:A,XLOOKUP(A$2,Implementos!B:B,Implementos!C:C,"",0,1),D:D),"",XLOOKUP(A$2,Implementos!B:B,Implementos!C:C,"",0,1)),A$2)</f>
        <v/>
      </c>
      <c r="M267" s="4" t="str">
        <f t="shared" si="2"/>
        <v/>
      </c>
      <c r="N267" s="4" t="str">
        <f t="shared" si="3"/>
        <v/>
      </c>
      <c r="O267" s="4" t="str">
        <f t="shared" si="4"/>
        <v/>
      </c>
      <c r="P267" s="4" t="str">
        <f t="shared" si="5"/>
        <v/>
      </c>
      <c r="Q267" s="4" t="str">
        <f>IF(U267="","",SUMIF(Productos!E:E,U267,Productos!A:A))</f>
        <v/>
      </c>
      <c r="R267" s="4" t="str">
        <f t="array" ref="R267">IF(L267="","", max(1,SUMIF(I:I,XLOOKUP(U267,Productos!E:E,Productos!G:G,"",0,1),J:J)))</f>
        <v/>
      </c>
      <c r="S267" s="4" t="str">
        <f>IF(Q267="","",IF(SUMIFS(Compat_Vetado!D:D,Compat_Vetado!B:B,SUM(G:G),Compat_Vetado!C:C,Q267)=1,"SI",IF(OR(SUMIF(Cotizador!E:E,Q267,Cotizador!G:G)&gt;0,SUMIFS(Compat_Vetado!D:D,Compat_Vetado!B:B,SUM(G:G),Compat_Vetado!C:C,Q267)=-1),"NO","")))</f>
        <v/>
      </c>
      <c r="T267" s="4" t="str">
        <f t="shared" si="6"/>
        <v/>
      </c>
      <c r="U267" s="4" t="str">
        <f>IFERROR(__xludf.DUMMYFUNCTION("IF(P267="""","""",IFERROR(INDEX(filter(Productos!E:E,Productos!F:F=L267,Productos!H:H=N267),P267),IF(M267=SUM(D:D),""Finalizar"",""-"")))"),"")</f>
        <v/>
      </c>
      <c r="V267" s="4" t="str">
        <f>IFERROR(__xludf.DUMMYFUNCTION("IF(OR($U267="""",COUNTIF($I:$I,IFERROR(unique(filter(Prod_Prop!$H:$H,Prod_Prop!$G:$G=$U267,Prod_Prop!$E:$E=V$1)),""Check""))=0),"""",IFERROR(unique(filter(Prod_Prop!$H:$H,Prod_Prop!$G:$G=$U267,Prod_Prop!$E:$E=V$1)),""""))"),"")</f>
        <v/>
      </c>
      <c r="W267" s="4" t="str">
        <f>IF(V267="","",SUMIFS(Prod_Prop!$J:$J,Prod_Prop!$B:$B,$Q267,Prod_Prop!$H:$H,V267,Prod_Prop!$I:$I,W$1)*IF(V267="Peso",$R267,1))</f>
        <v/>
      </c>
      <c r="X267" s="4" t="str">
        <f>IF(V267="","",SUMIFS(Prod_Prop!$J:$J,Prod_Prop!$B:$B,$Q267,Prod_Prop!$H:$H,V267,Prod_Prop!$I:$I,X$1)*IF(V267="Peso",$R267,1))</f>
        <v/>
      </c>
      <c r="Y267" s="4" t="str">
        <f>IFERROR(__xludf.DUMMYFUNCTION("IF(OR($U267="""",COUNTIF($I:$I,IFERROR(unique(filter(Prod_Prop!$H:$H,Prod_Prop!$G:$G=$U267,Prod_Prop!$E:$E=Y$1)),""Check""))=0),"""",IFERROR(unique(filter(Prod_Prop!$H:$H,Prod_Prop!$G:$G=$U267,Prod_Prop!$E:$E=Y$1)),""""))"),"")</f>
        <v/>
      </c>
      <c r="Z267" s="4" t="str">
        <f>IF(Y267="","",SUMIFS(Prod_Prop!$J:$J,Prod_Prop!$B:$B,$Q267,Prod_Prop!$H:$H,Y267,Prod_Prop!$I:$I,Z$1)*IF(Y267="Peso",$R267,1))</f>
        <v/>
      </c>
      <c r="AA267" s="4" t="str">
        <f>IF(Y267="","",SUMIFS(Prod_Prop!$J:$J,Prod_Prop!$B:$B,$Q267,Prod_Prop!$H:$H,Y267,Prod_Prop!$I:$I,AA$1)*IF(Y267="Peso",$R267,1))</f>
        <v/>
      </c>
      <c r="AB267" s="4" t="str">
        <f>IFERROR(__xludf.DUMMYFUNCTION("IF(OR($U267="""",COUNTIF($I:$I,IFERROR(unique(filter(Prod_Prop!$H:$H,Prod_Prop!$G:$G=$U267,Prod_Prop!$E:$E=AB$1)),""Check""))=0),"""",IFERROR(unique(filter(Prod_Prop!$H:$H,Prod_Prop!$G:$G=$U267,Prod_Prop!$E:$E=AB$1)),""""))"),"")</f>
        <v/>
      </c>
      <c r="AC267" s="4" t="str">
        <f>IF(AB267="","",SUMIFS(Prod_Prop!$J:$J,Prod_Prop!$B:$B,$Q267,Prod_Prop!$H:$H,AB267,Prod_Prop!$I:$I,AC$1)*IF(AB267="Peso",$R267,1))</f>
        <v/>
      </c>
      <c r="AD267" s="4" t="str">
        <f>IF(AB267="","",SUMIFS(Prod_Prop!$J:$J,Prod_Prop!$B:$B,$Q267,Prod_Prop!$H:$H,AB267,Prod_Prop!$I:$I,AD$1)*IF(AB267="Peso",$R267,1))</f>
        <v/>
      </c>
    </row>
    <row r="268">
      <c r="A268" s="4" t="str">
        <f t="array" ref="A268">IF(COUNTIF(A$1:A267,Cotizador!F$2)=maxifs(Familias!E:E,Familias!D:D,Cotizador!F$2),IF(COUNTIF(A$1:A267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8" s="4" t="str">
        <f t="shared" si="1"/>
        <v/>
      </c>
      <c r="C268" s="4" t="str">
        <f t="array" ref="C268">IF(B268="","",IF(A268=XLOOKUP(A$2,Implementos!B:B,Implementos!C:C,"",0,1),B268+maxifs(B$1:B267,A$1:A267,A$2),B268))</f>
        <v/>
      </c>
      <c r="D268" s="4" t="str">
        <f>IF(B268="","", COUNTIFS(Productos!F:F,A268,Productos!H:H,B268)+IF(F268="SI",0,1))</f>
        <v/>
      </c>
      <c r="E268" s="4" t="str">
        <f>IFERROR(__xludf.DUMMYFUNCTION("IF($B268="""","""",INDEX(filter(Familias!F:F,Familias!$D:$D=$A268,Familias!$E:$E=$B268),1))"),"")</f>
        <v/>
      </c>
      <c r="F268" s="4" t="str">
        <f>IFERROR(__xludf.DUMMYFUNCTION("IF($B268="""","""",INDEX(filter(Familias!G:G,Familias!$D:$D=$A268,Familias!$E:$E=$B268),1))"),"")</f>
        <v/>
      </c>
      <c r="G268" s="4" t="str">
        <f t="array" ref="G268">IF(C268=1,XLOOKUP(C268,Cotizador!D:D,Cotizador!E:E,"",0,1),"")</f>
        <v/>
      </c>
      <c r="I268" s="4"/>
      <c r="J268" s="8" t="str">
        <f>IF(I268="","",SUMIF(Cotizador!I$1:V$1,I268,Cotizador!I$2:V$2))</f>
        <v/>
      </c>
      <c r="L268" s="4" t="str">
        <f t="array" ref="L268">IF(COUNTIF(L$1:L267,A$2)=SUMIF(A:A,A$2,D:D),IF(COUNTIF(L$1:L267,XLOOKUP(A$2,Implementos!B:B,Implementos!C:C,"",0,1))=SUMIF(A:A,XLOOKUP(A$2,Implementos!B:B,Implementos!C:C,"",0,1),D:D),"",XLOOKUP(A$2,Implementos!B:B,Implementos!C:C,"",0,1)),A$2)</f>
        <v/>
      </c>
      <c r="M268" s="4" t="str">
        <f t="shared" si="2"/>
        <v/>
      </c>
      <c r="N268" s="4" t="str">
        <f t="shared" si="3"/>
        <v/>
      </c>
      <c r="O268" s="4" t="str">
        <f t="shared" si="4"/>
        <v/>
      </c>
      <c r="P268" s="4" t="str">
        <f t="shared" si="5"/>
        <v/>
      </c>
      <c r="Q268" s="4" t="str">
        <f>IF(U268="","",SUMIF(Productos!E:E,U268,Productos!A:A))</f>
        <v/>
      </c>
      <c r="R268" s="4" t="str">
        <f t="array" ref="R268">IF(L268="","", max(1,SUMIF(I:I,XLOOKUP(U268,Productos!E:E,Productos!G:G,"",0,1),J:J)))</f>
        <v/>
      </c>
      <c r="S268" s="4" t="str">
        <f>IF(Q268="","",IF(SUMIFS(Compat_Vetado!D:D,Compat_Vetado!B:B,SUM(G:G),Compat_Vetado!C:C,Q268)=1,"SI",IF(OR(SUMIF(Cotizador!E:E,Q268,Cotizador!G:G)&gt;0,SUMIFS(Compat_Vetado!D:D,Compat_Vetado!B:B,SUM(G:G),Compat_Vetado!C:C,Q268)=-1),"NO","")))</f>
        <v/>
      </c>
      <c r="T268" s="4" t="str">
        <f t="shared" si="6"/>
        <v/>
      </c>
      <c r="U268" s="4" t="str">
        <f>IFERROR(__xludf.DUMMYFUNCTION("IF(P268="""","""",IFERROR(INDEX(filter(Productos!E:E,Productos!F:F=L268,Productos!H:H=N268),P268),IF(M268=SUM(D:D),""Finalizar"",""-"")))"),"")</f>
        <v/>
      </c>
      <c r="V268" s="4" t="str">
        <f>IFERROR(__xludf.DUMMYFUNCTION("IF(OR($U268="""",COUNTIF($I:$I,IFERROR(unique(filter(Prod_Prop!$H:$H,Prod_Prop!$G:$G=$U268,Prod_Prop!$E:$E=V$1)),""Check""))=0),"""",IFERROR(unique(filter(Prod_Prop!$H:$H,Prod_Prop!$G:$G=$U268,Prod_Prop!$E:$E=V$1)),""""))"),"")</f>
        <v/>
      </c>
      <c r="W268" s="4" t="str">
        <f>IF(V268="","",SUMIFS(Prod_Prop!$J:$J,Prod_Prop!$B:$B,$Q268,Prod_Prop!$H:$H,V268,Prod_Prop!$I:$I,W$1)*IF(V268="Peso",$R268,1))</f>
        <v/>
      </c>
      <c r="X268" s="4" t="str">
        <f>IF(V268="","",SUMIFS(Prod_Prop!$J:$J,Prod_Prop!$B:$B,$Q268,Prod_Prop!$H:$H,V268,Prod_Prop!$I:$I,X$1)*IF(V268="Peso",$R268,1))</f>
        <v/>
      </c>
      <c r="Y268" s="4" t="str">
        <f>IFERROR(__xludf.DUMMYFUNCTION("IF(OR($U268="""",COUNTIF($I:$I,IFERROR(unique(filter(Prod_Prop!$H:$H,Prod_Prop!$G:$G=$U268,Prod_Prop!$E:$E=Y$1)),""Check""))=0),"""",IFERROR(unique(filter(Prod_Prop!$H:$H,Prod_Prop!$G:$G=$U268,Prod_Prop!$E:$E=Y$1)),""""))"),"")</f>
        <v/>
      </c>
      <c r="Z268" s="4" t="str">
        <f>IF(Y268="","",SUMIFS(Prod_Prop!$J:$J,Prod_Prop!$B:$B,$Q268,Prod_Prop!$H:$H,Y268,Prod_Prop!$I:$I,Z$1)*IF(Y268="Peso",$R268,1))</f>
        <v/>
      </c>
      <c r="AA268" s="4" t="str">
        <f>IF(Y268="","",SUMIFS(Prod_Prop!$J:$J,Prod_Prop!$B:$B,$Q268,Prod_Prop!$H:$H,Y268,Prod_Prop!$I:$I,AA$1)*IF(Y268="Peso",$R268,1))</f>
        <v/>
      </c>
      <c r="AB268" s="4" t="str">
        <f>IFERROR(__xludf.DUMMYFUNCTION("IF(OR($U268="""",COUNTIF($I:$I,IFERROR(unique(filter(Prod_Prop!$H:$H,Prod_Prop!$G:$G=$U268,Prod_Prop!$E:$E=AB$1)),""Check""))=0),"""",IFERROR(unique(filter(Prod_Prop!$H:$H,Prod_Prop!$G:$G=$U268,Prod_Prop!$E:$E=AB$1)),""""))"),"")</f>
        <v/>
      </c>
      <c r="AC268" s="4" t="str">
        <f>IF(AB268="","",SUMIFS(Prod_Prop!$J:$J,Prod_Prop!$B:$B,$Q268,Prod_Prop!$H:$H,AB268,Prod_Prop!$I:$I,AC$1)*IF(AB268="Peso",$R268,1))</f>
        <v/>
      </c>
      <c r="AD268" s="4" t="str">
        <f>IF(AB268="","",SUMIFS(Prod_Prop!$J:$J,Prod_Prop!$B:$B,$Q268,Prod_Prop!$H:$H,AB268,Prod_Prop!$I:$I,AD$1)*IF(AB268="Peso",$R268,1))</f>
        <v/>
      </c>
    </row>
    <row r="269">
      <c r="A269" s="4" t="str">
        <f t="array" ref="A269">IF(COUNTIF(A$1:A268,Cotizador!F$2)=maxifs(Familias!E:E,Familias!D:D,Cotizador!F$2),IF(COUNTIF(A$1:A268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69" s="4" t="str">
        <f t="shared" si="1"/>
        <v/>
      </c>
      <c r="C269" s="4" t="str">
        <f t="array" ref="C269">IF(B269="","",IF(A269=XLOOKUP(A$2,Implementos!B:B,Implementos!C:C,"",0,1),B269+maxifs(B$1:B268,A$1:A268,A$2),B269))</f>
        <v/>
      </c>
      <c r="D269" s="4" t="str">
        <f>IF(B269="","", COUNTIFS(Productos!F:F,A269,Productos!H:H,B269)+IF(F269="SI",0,1))</f>
        <v/>
      </c>
      <c r="E269" s="4" t="str">
        <f>IFERROR(__xludf.DUMMYFUNCTION("IF($B269="""","""",INDEX(filter(Familias!F:F,Familias!$D:$D=$A269,Familias!$E:$E=$B269),1))"),"")</f>
        <v/>
      </c>
      <c r="F269" s="4" t="str">
        <f>IFERROR(__xludf.DUMMYFUNCTION("IF($B269="""","""",INDEX(filter(Familias!G:G,Familias!$D:$D=$A269,Familias!$E:$E=$B269),1))"),"")</f>
        <v/>
      </c>
      <c r="G269" s="4" t="str">
        <f t="array" ref="G269">IF(C269=1,XLOOKUP(C269,Cotizador!D:D,Cotizador!E:E,"",0,1),"")</f>
        <v/>
      </c>
      <c r="I269" s="4"/>
      <c r="J269" s="8" t="str">
        <f>IF(I269="","",SUMIF(Cotizador!I$1:V$1,I269,Cotizador!I$2:V$2))</f>
        <v/>
      </c>
      <c r="L269" s="4" t="str">
        <f t="array" ref="L269">IF(COUNTIF(L$1:L268,A$2)=SUMIF(A:A,A$2,D:D),IF(COUNTIF(L$1:L268,XLOOKUP(A$2,Implementos!B:B,Implementos!C:C,"",0,1))=SUMIF(A:A,XLOOKUP(A$2,Implementos!B:B,Implementos!C:C,"",0,1),D:D),"",XLOOKUP(A$2,Implementos!B:B,Implementos!C:C,"",0,1)),A$2)</f>
        <v/>
      </c>
      <c r="M269" s="4" t="str">
        <f t="shared" si="2"/>
        <v/>
      </c>
      <c r="N269" s="4" t="str">
        <f t="shared" si="3"/>
        <v/>
      </c>
      <c r="O269" s="4" t="str">
        <f t="shared" si="4"/>
        <v/>
      </c>
      <c r="P269" s="4" t="str">
        <f t="shared" si="5"/>
        <v/>
      </c>
      <c r="Q269" s="4" t="str">
        <f>IF(U269="","",SUMIF(Productos!E:E,U269,Productos!A:A))</f>
        <v/>
      </c>
      <c r="R269" s="4" t="str">
        <f t="array" ref="R269">IF(L269="","", max(1,SUMIF(I:I,XLOOKUP(U269,Productos!E:E,Productos!G:G,"",0,1),J:J)))</f>
        <v/>
      </c>
      <c r="S269" s="4" t="str">
        <f>IF(Q269="","",IF(SUMIFS(Compat_Vetado!D:D,Compat_Vetado!B:B,SUM(G:G),Compat_Vetado!C:C,Q269)=1,"SI",IF(OR(SUMIF(Cotizador!E:E,Q269,Cotizador!G:G)&gt;0,SUMIFS(Compat_Vetado!D:D,Compat_Vetado!B:B,SUM(G:G),Compat_Vetado!C:C,Q269)=-1),"NO","")))</f>
        <v/>
      </c>
      <c r="T269" s="4" t="str">
        <f t="shared" si="6"/>
        <v/>
      </c>
      <c r="U269" s="4" t="str">
        <f>IFERROR(__xludf.DUMMYFUNCTION("IF(P269="""","""",IFERROR(INDEX(filter(Productos!E:E,Productos!F:F=L269,Productos!H:H=N269),P269),IF(M269=SUM(D:D),""Finalizar"",""-"")))"),"")</f>
        <v/>
      </c>
      <c r="V269" s="4" t="str">
        <f>IFERROR(__xludf.DUMMYFUNCTION("IF(OR($U269="""",COUNTIF($I:$I,IFERROR(unique(filter(Prod_Prop!$H:$H,Prod_Prop!$G:$G=$U269,Prod_Prop!$E:$E=V$1)),""Check""))=0),"""",IFERROR(unique(filter(Prod_Prop!$H:$H,Prod_Prop!$G:$G=$U269,Prod_Prop!$E:$E=V$1)),""""))"),"")</f>
        <v/>
      </c>
      <c r="W269" s="4" t="str">
        <f>IF(V269="","",SUMIFS(Prod_Prop!$J:$J,Prod_Prop!$B:$B,$Q269,Prod_Prop!$H:$H,V269,Prod_Prop!$I:$I,W$1)*IF(V269="Peso",$R269,1))</f>
        <v/>
      </c>
      <c r="X269" s="4" t="str">
        <f>IF(V269="","",SUMIFS(Prod_Prop!$J:$J,Prod_Prop!$B:$B,$Q269,Prod_Prop!$H:$H,V269,Prod_Prop!$I:$I,X$1)*IF(V269="Peso",$R269,1))</f>
        <v/>
      </c>
      <c r="Y269" s="4" t="str">
        <f>IFERROR(__xludf.DUMMYFUNCTION("IF(OR($U269="""",COUNTIF($I:$I,IFERROR(unique(filter(Prod_Prop!$H:$H,Prod_Prop!$G:$G=$U269,Prod_Prop!$E:$E=Y$1)),""Check""))=0),"""",IFERROR(unique(filter(Prod_Prop!$H:$H,Prod_Prop!$G:$G=$U269,Prod_Prop!$E:$E=Y$1)),""""))"),"")</f>
        <v/>
      </c>
      <c r="Z269" s="4" t="str">
        <f>IF(Y269="","",SUMIFS(Prod_Prop!$J:$J,Prod_Prop!$B:$B,$Q269,Prod_Prop!$H:$H,Y269,Prod_Prop!$I:$I,Z$1)*IF(Y269="Peso",$R269,1))</f>
        <v/>
      </c>
      <c r="AA269" s="4" t="str">
        <f>IF(Y269="","",SUMIFS(Prod_Prop!$J:$J,Prod_Prop!$B:$B,$Q269,Prod_Prop!$H:$H,Y269,Prod_Prop!$I:$I,AA$1)*IF(Y269="Peso",$R269,1))</f>
        <v/>
      </c>
      <c r="AB269" s="4" t="str">
        <f>IFERROR(__xludf.DUMMYFUNCTION("IF(OR($U269="""",COUNTIF($I:$I,IFERROR(unique(filter(Prod_Prop!$H:$H,Prod_Prop!$G:$G=$U269,Prod_Prop!$E:$E=AB$1)),""Check""))=0),"""",IFERROR(unique(filter(Prod_Prop!$H:$H,Prod_Prop!$G:$G=$U269,Prod_Prop!$E:$E=AB$1)),""""))"),"")</f>
        <v/>
      </c>
      <c r="AC269" s="4" t="str">
        <f>IF(AB269="","",SUMIFS(Prod_Prop!$J:$J,Prod_Prop!$B:$B,$Q269,Prod_Prop!$H:$H,AB269,Prod_Prop!$I:$I,AC$1)*IF(AB269="Peso",$R269,1))</f>
        <v/>
      </c>
      <c r="AD269" s="4" t="str">
        <f>IF(AB269="","",SUMIFS(Prod_Prop!$J:$J,Prod_Prop!$B:$B,$Q269,Prod_Prop!$H:$H,AB269,Prod_Prop!$I:$I,AD$1)*IF(AB269="Peso",$R269,1))</f>
        <v/>
      </c>
    </row>
    <row r="270">
      <c r="A270" s="4" t="str">
        <f t="array" ref="A270">IF(COUNTIF(A$1:A269,Cotizador!F$2)=maxifs(Familias!E:E,Familias!D:D,Cotizador!F$2),IF(COUNTIF(A$1:A269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0" s="4" t="str">
        <f t="shared" si="1"/>
        <v/>
      </c>
      <c r="C270" s="4" t="str">
        <f t="array" ref="C270">IF(B270="","",IF(A270=XLOOKUP(A$2,Implementos!B:B,Implementos!C:C,"",0,1),B270+maxifs(B$1:B269,A$1:A269,A$2),B270))</f>
        <v/>
      </c>
      <c r="D270" s="4" t="str">
        <f>IF(B270="","", COUNTIFS(Productos!F:F,A270,Productos!H:H,B270)+IF(F270="SI",0,1))</f>
        <v/>
      </c>
      <c r="E270" s="4" t="str">
        <f>IFERROR(__xludf.DUMMYFUNCTION("IF($B270="""","""",INDEX(filter(Familias!F:F,Familias!$D:$D=$A270,Familias!$E:$E=$B270),1))"),"")</f>
        <v/>
      </c>
      <c r="F270" s="4" t="str">
        <f>IFERROR(__xludf.DUMMYFUNCTION("IF($B270="""","""",INDEX(filter(Familias!G:G,Familias!$D:$D=$A270,Familias!$E:$E=$B270),1))"),"")</f>
        <v/>
      </c>
      <c r="G270" s="4" t="str">
        <f t="array" ref="G270">IF(C270=1,XLOOKUP(C270,Cotizador!D:D,Cotizador!E:E,"",0,1),"")</f>
        <v/>
      </c>
      <c r="I270" s="4"/>
      <c r="J270" s="8" t="str">
        <f>IF(I270="","",SUMIF(Cotizador!I$1:V$1,I270,Cotizador!I$2:V$2))</f>
        <v/>
      </c>
      <c r="L270" s="4" t="str">
        <f t="array" ref="L270">IF(COUNTIF(L$1:L269,A$2)=SUMIF(A:A,A$2,D:D),IF(COUNTIF(L$1:L269,XLOOKUP(A$2,Implementos!B:B,Implementos!C:C,"",0,1))=SUMIF(A:A,XLOOKUP(A$2,Implementos!B:B,Implementos!C:C,"",0,1),D:D),"",XLOOKUP(A$2,Implementos!B:B,Implementos!C:C,"",0,1)),A$2)</f>
        <v/>
      </c>
      <c r="M270" s="4" t="str">
        <f t="shared" si="2"/>
        <v/>
      </c>
      <c r="N270" s="4" t="str">
        <f t="shared" si="3"/>
        <v/>
      </c>
      <c r="O270" s="4" t="str">
        <f t="shared" si="4"/>
        <v/>
      </c>
      <c r="P270" s="4" t="str">
        <f t="shared" si="5"/>
        <v/>
      </c>
      <c r="Q270" s="4" t="str">
        <f>IF(U270="","",SUMIF(Productos!E:E,U270,Productos!A:A))</f>
        <v/>
      </c>
      <c r="R270" s="4" t="str">
        <f t="array" ref="R270">IF(L270="","", max(1,SUMIF(I:I,XLOOKUP(U270,Productos!E:E,Productos!G:G,"",0,1),J:J)))</f>
        <v/>
      </c>
      <c r="S270" s="4" t="str">
        <f>IF(Q270="","",IF(SUMIFS(Compat_Vetado!D:D,Compat_Vetado!B:B,SUM(G:G),Compat_Vetado!C:C,Q270)=1,"SI",IF(OR(SUMIF(Cotizador!E:E,Q270,Cotizador!G:G)&gt;0,SUMIFS(Compat_Vetado!D:D,Compat_Vetado!B:B,SUM(G:G),Compat_Vetado!C:C,Q270)=-1),"NO","")))</f>
        <v/>
      </c>
      <c r="T270" s="4" t="str">
        <f t="shared" si="6"/>
        <v/>
      </c>
      <c r="U270" s="4" t="str">
        <f>IFERROR(__xludf.DUMMYFUNCTION("IF(P270="""","""",IFERROR(INDEX(filter(Productos!E:E,Productos!F:F=L270,Productos!H:H=N270),P270),IF(M270=SUM(D:D),""Finalizar"",""-"")))"),"")</f>
        <v/>
      </c>
      <c r="V270" s="4" t="str">
        <f>IFERROR(__xludf.DUMMYFUNCTION("IF(OR($U270="""",COUNTIF($I:$I,IFERROR(unique(filter(Prod_Prop!$H:$H,Prod_Prop!$G:$G=$U270,Prod_Prop!$E:$E=V$1)),""Check""))=0),"""",IFERROR(unique(filter(Prod_Prop!$H:$H,Prod_Prop!$G:$G=$U270,Prod_Prop!$E:$E=V$1)),""""))"),"")</f>
        <v/>
      </c>
      <c r="W270" s="4" t="str">
        <f>IF(V270="","",SUMIFS(Prod_Prop!$J:$J,Prod_Prop!$B:$B,$Q270,Prod_Prop!$H:$H,V270,Prod_Prop!$I:$I,W$1)*IF(V270="Peso",$R270,1))</f>
        <v/>
      </c>
      <c r="X270" s="4" t="str">
        <f>IF(V270="","",SUMIFS(Prod_Prop!$J:$J,Prod_Prop!$B:$B,$Q270,Prod_Prop!$H:$H,V270,Prod_Prop!$I:$I,X$1)*IF(V270="Peso",$R270,1))</f>
        <v/>
      </c>
      <c r="Y270" s="4" t="str">
        <f>IFERROR(__xludf.DUMMYFUNCTION("IF(OR($U270="""",COUNTIF($I:$I,IFERROR(unique(filter(Prod_Prop!$H:$H,Prod_Prop!$G:$G=$U270,Prod_Prop!$E:$E=Y$1)),""Check""))=0),"""",IFERROR(unique(filter(Prod_Prop!$H:$H,Prod_Prop!$G:$G=$U270,Prod_Prop!$E:$E=Y$1)),""""))"),"")</f>
        <v/>
      </c>
      <c r="Z270" s="4" t="str">
        <f>IF(Y270="","",SUMIFS(Prod_Prop!$J:$J,Prod_Prop!$B:$B,$Q270,Prod_Prop!$H:$H,Y270,Prod_Prop!$I:$I,Z$1)*IF(Y270="Peso",$R270,1))</f>
        <v/>
      </c>
      <c r="AA270" s="4" t="str">
        <f>IF(Y270="","",SUMIFS(Prod_Prop!$J:$J,Prod_Prop!$B:$B,$Q270,Prod_Prop!$H:$H,Y270,Prod_Prop!$I:$I,AA$1)*IF(Y270="Peso",$R270,1))</f>
        <v/>
      </c>
      <c r="AB270" s="4" t="str">
        <f>IFERROR(__xludf.DUMMYFUNCTION("IF(OR($U270="""",COUNTIF($I:$I,IFERROR(unique(filter(Prod_Prop!$H:$H,Prod_Prop!$G:$G=$U270,Prod_Prop!$E:$E=AB$1)),""Check""))=0),"""",IFERROR(unique(filter(Prod_Prop!$H:$H,Prod_Prop!$G:$G=$U270,Prod_Prop!$E:$E=AB$1)),""""))"),"")</f>
        <v/>
      </c>
      <c r="AC270" s="4" t="str">
        <f>IF(AB270="","",SUMIFS(Prod_Prop!$J:$J,Prod_Prop!$B:$B,$Q270,Prod_Prop!$H:$H,AB270,Prod_Prop!$I:$I,AC$1)*IF(AB270="Peso",$R270,1))</f>
        <v/>
      </c>
      <c r="AD270" s="4" t="str">
        <f>IF(AB270="","",SUMIFS(Prod_Prop!$J:$J,Prod_Prop!$B:$B,$Q270,Prod_Prop!$H:$H,AB270,Prod_Prop!$I:$I,AD$1)*IF(AB270="Peso",$R270,1))</f>
        <v/>
      </c>
    </row>
    <row r="271">
      <c r="A271" s="4" t="str">
        <f t="array" ref="A271">IF(COUNTIF(A$1:A270,Cotizador!F$2)=maxifs(Familias!E:E,Familias!D:D,Cotizador!F$2),IF(COUNTIF(A$1:A270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1" s="4" t="str">
        <f t="shared" si="1"/>
        <v/>
      </c>
      <c r="C271" s="4" t="str">
        <f t="array" ref="C271">IF(B271="","",IF(A271=XLOOKUP(A$2,Implementos!B:B,Implementos!C:C,"",0,1),B271+maxifs(B$1:B270,A$1:A270,A$2),B271))</f>
        <v/>
      </c>
      <c r="D271" s="4" t="str">
        <f>IF(B271="","", COUNTIFS(Productos!F:F,A271,Productos!H:H,B271)+IF(F271="SI",0,1))</f>
        <v/>
      </c>
      <c r="E271" s="4" t="str">
        <f>IFERROR(__xludf.DUMMYFUNCTION("IF($B271="""","""",INDEX(filter(Familias!F:F,Familias!$D:$D=$A271,Familias!$E:$E=$B271),1))"),"")</f>
        <v/>
      </c>
      <c r="F271" s="4" t="str">
        <f>IFERROR(__xludf.DUMMYFUNCTION("IF($B271="""","""",INDEX(filter(Familias!G:G,Familias!$D:$D=$A271,Familias!$E:$E=$B271),1))"),"")</f>
        <v/>
      </c>
      <c r="G271" s="4" t="str">
        <f t="array" ref="G271">IF(C271=1,XLOOKUP(C271,Cotizador!D:D,Cotizador!E:E,"",0,1),"")</f>
        <v/>
      </c>
      <c r="I271" s="4"/>
      <c r="J271" s="8" t="str">
        <f>IF(I271="","",SUMIF(Cotizador!I$1:V$1,I271,Cotizador!I$2:V$2))</f>
        <v/>
      </c>
      <c r="L271" s="4" t="str">
        <f t="array" ref="L271">IF(COUNTIF(L$1:L270,A$2)=SUMIF(A:A,A$2,D:D),IF(COUNTIF(L$1:L270,XLOOKUP(A$2,Implementos!B:B,Implementos!C:C,"",0,1))=SUMIF(A:A,XLOOKUP(A$2,Implementos!B:B,Implementos!C:C,"",0,1),D:D),"",XLOOKUP(A$2,Implementos!B:B,Implementos!C:C,"",0,1)),A$2)</f>
        <v/>
      </c>
      <c r="M271" s="4" t="str">
        <f t="shared" si="2"/>
        <v/>
      </c>
      <c r="N271" s="4" t="str">
        <f t="shared" si="3"/>
        <v/>
      </c>
      <c r="O271" s="4" t="str">
        <f t="shared" si="4"/>
        <v/>
      </c>
      <c r="P271" s="4" t="str">
        <f t="shared" si="5"/>
        <v/>
      </c>
      <c r="Q271" s="4" t="str">
        <f>IF(U271="","",SUMIF(Productos!E:E,U271,Productos!A:A))</f>
        <v/>
      </c>
      <c r="R271" s="4" t="str">
        <f t="array" ref="R271">IF(L271="","", max(1,SUMIF(I:I,XLOOKUP(U271,Productos!E:E,Productos!G:G,"",0,1),J:J)))</f>
        <v/>
      </c>
      <c r="S271" s="4" t="str">
        <f>IF(Q271="","",IF(SUMIFS(Compat_Vetado!D:D,Compat_Vetado!B:B,SUM(G:G),Compat_Vetado!C:C,Q271)=1,"SI",IF(OR(SUMIF(Cotizador!E:E,Q271,Cotizador!G:G)&gt;0,SUMIFS(Compat_Vetado!D:D,Compat_Vetado!B:B,SUM(G:G),Compat_Vetado!C:C,Q271)=-1),"NO","")))</f>
        <v/>
      </c>
      <c r="T271" s="4" t="str">
        <f t="shared" si="6"/>
        <v/>
      </c>
      <c r="U271" s="4" t="str">
        <f>IFERROR(__xludf.DUMMYFUNCTION("IF(P271="""","""",IFERROR(INDEX(filter(Productos!E:E,Productos!F:F=L271,Productos!H:H=N271),P271),IF(M271=SUM(D:D),""Finalizar"",""-"")))"),"")</f>
        <v/>
      </c>
      <c r="V271" s="4" t="str">
        <f>IFERROR(__xludf.DUMMYFUNCTION("IF(OR($U271="""",COUNTIF($I:$I,IFERROR(unique(filter(Prod_Prop!$H:$H,Prod_Prop!$G:$G=$U271,Prod_Prop!$E:$E=V$1)),""Check""))=0),"""",IFERROR(unique(filter(Prod_Prop!$H:$H,Prod_Prop!$G:$G=$U271,Prod_Prop!$E:$E=V$1)),""""))"),"")</f>
        <v/>
      </c>
      <c r="W271" s="4" t="str">
        <f>IF(V271="","",SUMIFS(Prod_Prop!$J:$J,Prod_Prop!$B:$B,$Q271,Prod_Prop!$H:$H,V271,Prod_Prop!$I:$I,W$1)*IF(V271="Peso",$R271,1))</f>
        <v/>
      </c>
      <c r="X271" s="4" t="str">
        <f>IF(V271="","",SUMIFS(Prod_Prop!$J:$J,Prod_Prop!$B:$B,$Q271,Prod_Prop!$H:$H,V271,Prod_Prop!$I:$I,X$1)*IF(V271="Peso",$R271,1))</f>
        <v/>
      </c>
      <c r="Y271" s="4" t="str">
        <f>IFERROR(__xludf.DUMMYFUNCTION("IF(OR($U271="""",COUNTIF($I:$I,IFERROR(unique(filter(Prod_Prop!$H:$H,Prod_Prop!$G:$G=$U271,Prod_Prop!$E:$E=Y$1)),""Check""))=0),"""",IFERROR(unique(filter(Prod_Prop!$H:$H,Prod_Prop!$G:$G=$U271,Prod_Prop!$E:$E=Y$1)),""""))"),"")</f>
        <v/>
      </c>
      <c r="Z271" s="4" t="str">
        <f>IF(Y271="","",SUMIFS(Prod_Prop!$J:$J,Prod_Prop!$B:$B,$Q271,Prod_Prop!$H:$H,Y271,Prod_Prop!$I:$I,Z$1)*IF(Y271="Peso",$R271,1))</f>
        <v/>
      </c>
      <c r="AA271" s="4" t="str">
        <f>IF(Y271="","",SUMIFS(Prod_Prop!$J:$J,Prod_Prop!$B:$B,$Q271,Prod_Prop!$H:$H,Y271,Prod_Prop!$I:$I,AA$1)*IF(Y271="Peso",$R271,1))</f>
        <v/>
      </c>
      <c r="AB271" s="4" t="str">
        <f>IFERROR(__xludf.DUMMYFUNCTION("IF(OR($U271="""",COUNTIF($I:$I,IFERROR(unique(filter(Prod_Prop!$H:$H,Prod_Prop!$G:$G=$U271,Prod_Prop!$E:$E=AB$1)),""Check""))=0),"""",IFERROR(unique(filter(Prod_Prop!$H:$H,Prod_Prop!$G:$G=$U271,Prod_Prop!$E:$E=AB$1)),""""))"),"")</f>
        <v/>
      </c>
      <c r="AC271" s="4" t="str">
        <f>IF(AB271="","",SUMIFS(Prod_Prop!$J:$J,Prod_Prop!$B:$B,$Q271,Prod_Prop!$H:$H,AB271,Prod_Prop!$I:$I,AC$1)*IF(AB271="Peso",$R271,1))</f>
        <v/>
      </c>
      <c r="AD271" s="4" t="str">
        <f>IF(AB271="","",SUMIFS(Prod_Prop!$J:$J,Prod_Prop!$B:$B,$Q271,Prod_Prop!$H:$H,AB271,Prod_Prop!$I:$I,AD$1)*IF(AB271="Peso",$R271,1))</f>
        <v/>
      </c>
    </row>
    <row r="272">
      <c r="A272" s="4" t="str">
        <f t="array" ref="A272">IF(COUNTIF(A$1:A271,Cotizador!F$2)=maxifs(Familias!E:E,Familias!D:D,Cotizador!F$2),IF(COUNTIF(A$1:A271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2" s="4" t="str">
        <f t="shared" si="1"/>
        <v/>
      </c>
      <c r="C272" s="4" t="str">
        <f t="array" ref="C272">IF(B272="","",IF(A272=XLOOKUP(A$2,Implementos!B:B,Implementos!C:C,"",0,1),B272+maxifs(B$1:B271,A$1:A271,A$2),B272))</f>
        <v/>
      </c>
      <c r="D272" s="4" t="str">
        <f>IF(B272="","", COUNTIFS(Productos!F:F,A272,Productos!H:H,B272)+IF(F272="SI",0,1))</f>
        <v/>
      </c>
      <c r="E272" s="4" t="str">
        <f>IFERROR(__xludf.DUMMYFUNCTION("IF($B272="""","""",INDEX(filter(Familias!F:F,Familias!$D:$D=$A272,Familias!$E:$E=$B272),1))"),"")</f>
        <v/>
      </c>
      <c r="F272" s="4" t="str">
        <f>IFERROR(__xludf.DUMMYFUNCTION("IF($B272="""","""",INDEX(filter(Familias!G:G,Familias!$D:$D=$A272,Familias!$E:$E=$B272),1))"),"")</f>
        <v/>
      </c>
      <c r="G272" s="4" t="str">
        <f t="array" ref="G272">IF(C272=1,XLOOKUP(C272,Cotizador!D:D,Cotizador!E:E,"",0,1),"")</f>
        <v/>
      </c>
      <c r="I272" s="4"/>
      <c r="J272" s="8" t="str">
        <f>IF(I272="","",SUMIF(Cotizador!I$1:V$1,I272,Cotizador!I$2:V$2))</f>
        <v/>
      </c>
      <c r="L272" s="4" t="str">
        <f t="array" ref="L272">IF(COUNTIF(L$1:L271,A$2)=SUMIF(A:A,A$2,D:D),IF(COUNTIF(L$1:L271,XLOOKUP(A$2,Implementos!B:B,Implementos!C:C,"",0,1))=SUMIF(A:A,XLOOKUP(A$2,Implementos!B:B,Implementos!C:C,"",0,1),D:D),"",XLOOKUP(A$2,Implementos!B:B,Implementos!C:C,"",0,1)),A$2)</f>
        <v/>
      </c>
      <c r="M272" s="4" t="str">
        <f t="shared" si="2"/>
        <v/>
      </c>
      <c r="N272" s="4" t="str">
        <f t="shared" si="3"/>
        <v/>
      </c>
      <c r="O272" s="4" t="str">
        <f t="shared" si="4"/>
        <v/>
      </c>
      <c r="P272" s="4" t="str">
        <f t="shared" si="5"/>
        <v/>
      </c>
      <c r="Q272" s="4" t="str">
        <f>IF(U272="","",SUMIF(Productos!E:E,U272,Productos!A:A))</f>
        <v/>
      </c>
      <c r="R272" s="4" t="str">
        <f t="array" ref="R272">IF(L272="","", max(1,SUMIF(I:I,XLOOKUP(U272,Productos!E:E,Productos!G:G,"",0,1),J:J)))</f>
        <v/>
      </c>
      <c r="S272" s="4" t="str">
        <f>IF(Q272="","",IF(SUMIFS(Compat_Vetado!D:D,Compat_Vetado!B:B,SUM(G:G),Compat_Vetado!C:C,Q272)=1,"SI",IF(OR(SUMIF(Cotizador!E:E,Q272,Cotizador!G:G)&gt;0,SUMIFS(Compat_Vetado!D:D,Compat_Vetado!B:B,SUM(G:G),Compat_Vetado!C:C,Q272)=-1),"NO","")))</f>
        <v/>
      </c>
      <c r="T272" s="4" t="str">
        <f t="shared" si="6"/>
        <v/>
      </c>
      <c r="U272" s="4" t="str">
        <f>IFERROR(__xludf.DUMMYFUNCTION("IF(P272="""","""",IFERROR(INDEX(filter(Productos!E:E,Productos!F:F=L272,Productos!H:H=N272),P272),IF(M272=SUM(D:D),""Finalizar"",""-"")))"),"")</f>
        <v/>
      </c>
      <c r="V272" s="4" t="str">
        <f>IFERROR(__xludf.DUMMYFUNCTION("IF(OR($U272="""",COUNTIF($I:$I,IFERROR(unique(filter(Prod_Prop!$H:$H,Prod_Prop!$G:$G=$U272,Prod_Prop!$E:$E=V$1)),""Check""))=0),"""",IFERROR(unique(filter(Prod_Prop!$H:$H,Prod_Prop!$G:$G=$U272,Prod_Prop!$E:$E=V$1)),""""))"),"")</f>
        <v/>
      </c>
      <c r="W272" s="4" t="str">
        <f>IF(V272="","",SUMIFS(Prod_Prop!$J:$J,Prod_Prop!$B:$B,$Q272,Prod_Prop!$H:$H,V272,Prod_Prop!$I:$I,W$1)*IF(V272="Peso",$R272,1))</f>
        <v/>
      </c>
      <c r="X272" s="4" t="str">
        <f>IF(V272="","",SUMIFS(Prod_Prop!$J:$J,Prod_Prop!$B:$B,$Q272,Prod_Prop!$H:$H,V272,Prod_Prop!$I:$I,X$1)*IF(V272="Peso",$R272,1))</f>
        <v/>
      </c>
      <c r="Y272" s="4" t="str">
        <f>IFERROR(__xludf.DUMMYFUNCTION("IF(OR($U272="""",COUNTIF($I:$I,IFERROR(unique(filter(Prod_Prop!$H:$H,Prod_Prop!$G:$G=$U272,Prod_Prop!$E:$E=Y$1)),""Check""))=0),"""",IFERROR(unique(filter(Prod_Prop!$H:$H,Prod_Prop!$G:$G=$U272,Prod_Prop!$E:$E=Y$1)),""""))"),"")</f>
        <v/>
      </c>
      <c r="Z272" s="4" t="str">
        <f>IF(Y272="","",SUMIFS(Prod_Prop!$J:$J,Prod_Prop!$B:$B,$Q272,Prod_Prop!$H:$H,Y272,Prod_Prop!$I:$I,Z$1)*IF(Y272="Peso",$R272,1))</f>
        <v/>
      </c>
      <c r="AA272" s="4" t="str">
        <f>IF(Y272="","",SUMIFS(Prod_Prop!$J:$J,Prod_Prop!$B:$B,$Q272,Prod_Prop!$H:$H,Y272,Prod_Prop!$I:$I,AA$1)*IF(Y272="Peso",$R272,1))</f>
        <v/>
      </c>
      <c r="AB272" s="4" t="str">
        <f>IFERROR(__xludf.DUMMYFUNCTION("IF(OR($U272="""",COUNTIF($I:$I,IFERROR(unique(filter(Prod_Prop!$H:$H,Prod_Prop!$G:$G=$U272,Prod_Prop!$E:$E=AB$1)),""Check""))=0),"""",IFERROR(unique(filter(Prod_Prop!$H:$H,Prod_Prop!$G:$G=$U272,Prod_Prop!$E:$E=AB$1)),""""))"),"")</f>
        <v/>
      </c>
      <c r="AC272" s="4" t="str">
        <f>IF(AB272="","",SUMIFS(Prod_Prop!$J:$J,Prod_Prop!$B:$B,$Q272,Prod_Prop!$H:$H,AB272,Prod_Prop!$I:$I,AC$1)*IF(AB272="Peso",$R272,1))</f>
        <v/>
      </c>
      <c r="AD272" s="4" t="str">
        <f>IF(AB272="","",SUMIFS(Prod_Prop!$J:$J,Prod_Prop!$B:$B,$Q272,Prod_Prop!$H:$H,AB272,Prod_Prop!$I:$I,AD$1)*IF(AB272="Peso",$R272,1))</f>
        <v/>
      </c>
    </row>
    <row r="273">
      <c r="A273" s="4" t="str">
        <f t="array" ref="A273">IF(COUNTIF(A$1:A272,Cotizador!F$2)=maxifs(Familias!E:E,Familias!D:D,Cotizador!F$2),IF(COUNTIF(A$1:A272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3" s="4" t="str">
        <f t="shared" si="1"/>
        <v/>
      </c>
      <c r="C273" s="4" t="str">
        <f t="array" ref="C273">IF(B273="","",IF(A273=XLOOKUP(A$2,Implementos!B:B,Implementos!C:C,"",0,1),B273+maxifs(B$1:B272,A$1:A272,A$2),B273))</f>
        <v/>
      </c>
      <c r="D273" s="4" t="str">
        <f>IF(B273="","", COUNTIFS(Productos!F:F,A273,Productos!H:H,B273)+IF(F273="SI",0,1))</f>
        <v/>
      </c>
      <c r="E273" s="4" t="str">
        <f>IFERROR(__xludf.DUMMYFUNCTION("IF($B273="""","""",INDEX(filter(Familias!F:F,Familias!$D:$D=$A273,Familias!$E:$E=$B273),1))"),"")</f>
        <v/>
      </c>
      <c r="F273" s="4" t="str">
        <f>IFERROR(__xludf.DUMMYFUNCTION("IF($B273="""","""",INDEX(filter(Familias!G:G,Familias!$D:$D=$A273,Familias!$E:$E=$B273),1))"),"")</f>
        <v/>
      </c>
      <c r="G273" s="4" t="str">
        <f t="array" ref="G273">IF(C273=1,XLOOKUP(C273,Cotizador!D:D,Cotizador!E:E,"",0,1),"")</f>
        <v/>
      </c>
      <c r="I273" s="4"/>
      <c r="J273" s="8" t="str">
        <f>IF(I273="","",SUMIF(Cotizador!I$1:V$1,I273,Cotizador!I$2:V$2))</f>
        <v/>
      </c>
      <c r="L273" s="4" t="str">
        <f t="array" ref="L273">IF(COUNTIF(L$1:L272,A$2)=SUMIF(A:A,A$2,D:D),IF(COUNTIF(L$1:L272,XLOOKUP(A$2,Implementos!B:B,Implementos!C:C,"",0,1))=SUMIF(A:A,XLOOKUP(A$2,Implementos!B:B,Implementos!C:C,"",0,1),D:D),"",XLOOKUP(A$2,Implementos!B:B,Implementos!C:C,"",0,1)),A$2)</f>
        <v/>
      </c>
      <c r="M273" s="4" t="str">
        <f t="shared" si="2"/>
        <v/>
      </c>
      <c r="N273" s="4" t="str">
        <f t="shared" si="3"/>
        <v/>
      </c>
      <c r="O273" s="4" t="str">
        <f t="shared" si="4"/>
        <v/>
      </c>
      <c r="P273" s="4" t="str">
        <f t="shared" si="5"/>
        <v/>
      </c>
      <c r="Q273" s="4" t="str">
        <f>IF(U273="","",SUMIF(Productos!E:E,U273,Productos!A:A))</f>
        <v/>
      </c>
      <c r="R273" s="4" t="str">
        <f t="array" ref="R273">IF(L273="","", max(1,SUMIF(I:I,XLOOKUP(U273,Productos!E:E,Productos!G:G,"",0,1),J:J)))</f>
        <v/>
      </c>
      <c r="S273" s="4" t="str">
        <f>IF(Q273="","",IF(SUMIFS(Compat_Vetado!D:D,Compat_Vetado!B:B,SUM(G:G),Compat_Vetado!C:C,Q273)=1,"SI",IF(OR(SUMIF(Cotizador!E:E,Q273,Cotizador!G:G)&gt;0,SUMIFS(Compat_Vetado!D:D,Compat_Vetado!B:B,SUM(G:G),Compat_Vetado!C:C,Q273)=-1),"NO","")))</f>
        <v/>
      </c>
      <c r="T273" s="4" t="str">
        <f t="shared" si="6"/>
        <v/>
      </c>
      <c r="U273" s="4" t="str">
        <f>IFERROR(__xludf.DUMMYFUNCTION("IF(P273="""","""",IFERROR(INDEX(filter(Productos!E:E,Productos!F:F=L273,Productos!H:H=N273),P273),IF(M273=SUM(D:D),""Finalizar"",""-"")))"),"")</f>
        <v/>
      </c>
      <c r="V273" s="4" t="str">
        <f>IFERROR(__xludf.DUMMYFUNCTION("IF(OR($U273="""",COUNTIF($I:$I,IFERROR(unique(filter(Prod_Prop!$H:$H,Prod_Prop!$G:$G=$U273,Prod_Prop!$E:$E=V$1)),""Check""))=0),"""",IFERROR(unique(filter(Prod_Prop!$H:$H,Prod_Prop!$G:$G=$U273,Prod_Prop!$E:$E=V$1)),""""))"),"")</f>
        <v/>
      </c>
      <c r="W273" s="4" t="str">
        <f>IF(V273="","",SUMIFS(Prod_Prop!$J:$J,Prod_Prop!$B:$B,$Q273,Prod_Prop!$H:$H,V273,Prod_Prop!$I:$I,W$1)*IF(V273="Peso",$R273,1))</f>
        <v/>
      </c>
      <c r="X273" s="4" t="str">
        <f>IF(V273="","",SUMIFS(Prod_Prop!$J:$J,Prod_Prop!$B:$B,$Q273,Prod_Prop!$H:$H,V273,Prod_Prop!$I:$I,X$1)*IF(V273="Peso",$R273,1))</f>
        <v/>
      </c>
      <c r="Y273" s="4" t="str">
        <f>IFERROR(__xludf.DUMMYFUNCTION("IF(OR($U273="""",COUNTIF($I:$I,IFERROR(unique(filter(Prod_Prop!$H:$H,Prod_Prop!$G:$G=$U273,Prod_Prop!$E:$E=Y$1)),""Check""))=0),"""",IFERROR(unique(filter(Prod_Prop!$H:$H,Prod_Prop!$G:$G=$U273,Prod_Prop!$E:$E=Y$1)),""""))"),"")</f>
        <v/>
      </c>
      <c r="Z273" s="4" t="str">
        <f>IF(Y273="","",SUMIFS(Prod_Prop!$J:$J,Prod_Prop!$B:$B,$Q273,Prod_Prop!$H:$H,Y273,Prod_Prop!$I:$I,Z$1)*IF(Y273="Peso",$R273,1))</f>
        <v/>
      </c>
      <c r="AA273" s="4" t="str">
        <f>IF(Y273="","",SUMIFS(Prod_Prop!$J:$J,Prod_Prop!$B:$B,$Q273,Prod_Prop!$H:$H,Y273,Prod_Prop!$I:$I,AA$1)*IF(Y273="Peso",$R273,1))</f>
        <v/>
      </c>
      <c r="AB273" s="4" t="str">
        <f>IFERROR(__xludf.DUMMYFUNCTION("IF(OR($U273="""",COUNTIF($I:$I,IFERROR(unique(filter(Prod_Prop!$H:$H,Prod_Prop!$G:$G=$U273,Prod_Prop!$E:$E=AB$1)),""Check""))=0),"""",IFERROR(unique(filter(Prod_Prop!$H:$H,Prod_Prop!$G:$G=$U273,Prod_Prop!$E:$E=AB$1)),""""))"),"")</f>
        <v/>
      </c>
      <c r="AC273" s="4" t="str">
        <f>IF(AB273="","",SUMIFS(Prod_Prop!$J:$J,Prod_Prop!$B:$B,$Q273,Prod_Prop!$H:$H,AB273,Prod_Prop!$I:$I,AC$1)*IF(AB273="Peso",$R273,1))</f>
        <v/>
      </c>
      <c r="AD273" s="4" t="str">
        <f>IF(AB273="","",SUMIFS(Prod_Prop!$J:$J,Prod_Prop!$B:$B,$Q273,Prod_Prop!$H:$H,AB273,Prod_Prop!$I:$I,AD$1)*IF(AB273="Peso",$R273,1))</f>
        <v/>
      </c>
    </row>
    <row r="274">
      <c r="A274" s="4" t="str">
        <f t="array" ref="A274">IF(COUNTIF(A$1:A273,Cotizador!F$2)=maxifs(Familias!E:E,Familias!D:D,Cotizador!F$2),IF(COUNTIF(A$1:A273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4" s="4" t="str">
        <f t="shared" si="1"/>
        <v/>
      </c>
      <c r="C274" s="4" t="str">
        <f t="array" ref="C274">IF(B274="","",IF(A274=XLOOKUP(A$2,Implementos!B:B,Implementos!C:C,"",0,1),B274+maxifs(B$1:B273,A$1:A273,A$2),B274))</f>
        <v/>
      </c>
      <c r="D274" s="4" t="str">
        <f>IF(B274="","", COUNTIFS(Productos!F:F,A274,Productos!H:H,B274)+IF(F274="SI",0,1))</f>
        <v/>
      </c>
      <c r="E274" s="4" t="str">
        <f>IFERROR(__xludf.DUMMYFUNCTION("IF($B274="""","""",INDEX(filter(Familias!F:F,Familias!$D:$D=$A274,Familias!$E:$E=$B274),1))"),"")</f>
        <v/>
      </c>
      <c r="F274" s="4" t="str">
        <f>IFERROR(__xludf.DUMMYFUNCTION("IF($B274="""","""",INDEX(filter(Familias!G:G,Familias!$D:$D=$A274,Familias!$E:$E=$B274),1))"),"")</f>
        <v/>
      </c>
      <c r="G274" s="4" t="str">
        <f t="array" ref="G274">IF(C274=1,XLOOKUP(C274,Cotizador!D:D,Cotizador!E:E,"",0,1),"")</f>
        <v/>
      </c>
      <c r="I274" s="4"/>
      <c r="J274" s="8" t="str">
        <f>IF(I274="","",SUMIF(Cotizador!I$1:V$1,I274,Cotizador!I$2:V$2))</f>
        <v/>
      </c>
      <c r="L274" s="4" t="str">
        <f t="array" ref="L274">IF(COUNTIF(L$1:L273,A$2)=SUMIF(A:A,A$2,D:D),IF(COUNTIF(L$1:L273,XLOOKUP(A$2,Implementos!B:B,Implementos!C:C,"",0,1))=SUMIF(A:A,XLOOKUP(A$2,Implementos!B:B,Implementos!C:C,"",0,1),D:D),"",XLOOKUP(A$2,Implementos!B:B,Implementos!C:C,"",0,1)),A$2)</f>
        <v/>
      </c>
      <c r="M274" s="4" t="str">
        <f t="shared" si="2"/>
        <v/>
      </c>
      <c r="N274" s="4" t="str">
        <f t="shared" si="3"/>
        <v/>
      </c>
      <c r="O274" s="4" t="str">
        <f t="shared" si="4"/>
        <v/>
      </c>
      <c r="P274" s="4" t="str">
        <f t="shared" si="5"/>
        <v/>
      </c>
      <c r="Q274" s="4" t="str">
        <f>IF(U274="","",SUMIF(Productos!E:E,U274,Productos!A:A))</f>
        <v/>
      </c>
      <c r="R274" s="4" t="str">
        <f t="array" ref="R274">IF(L274="","", max(1,SUMIF(I:I,XLOOKUP(U274,Productos!E:E,Productos!G:G,"",0,1),J:J)))</f>
        <v/>
      </c>
      <c r="S274" s="4" t="str">
        <f>IF(Q274="","",IF(SUMIFS(Compat_Vetado!D:D,Compat_Vetado!B:B,SUM(G:G),Compat_Vetado!C:C,Q274)=1,"SI",IF(OR(SUMIF(Cotizador!E:E,Q274,Cotizador!G:G)&gt;0,SUMIFS(Compat_Vetado!D:D,Compat_Vetado!B:B,SUM(G:G),Compat_Vetado!C:C,Q274)=-1),"NO","")))</f>
        <v/>
      </c>
      <c r="T274" s="4" t="str">
        <f t="shared" si="6"/>
        <v/>
      </c>
      <c r="U274" s="4" t="str">
        <f>IFERROR(__xludf.DUMMYFUNCTION("IF(P274="""","""",IFERROR(INDEX(filter(Productos!E:E,Productos!F:F=L274,Productos!H:H=N274),P274),IF(M274=SUM(D:D),""Finalizar"",""-"")))"),"")</f>
        <v/>
      </c>
      <c r="V274" s="4" t="str">
        <f>IFERROR(__xludf.DUMMYFUNCTION("IF(OR($U274="""",COUNTIF($I:$I,IFERROR(unique(filter(Prod_Prop!$H:$H,Prod_Prop!$G:$G=$U274,Prod_Prop!$E:$E=V$1)),""Check""))=0),"""",IFERROR(unique(filter(Prod_Prop!$H:$H,Prod_Prop!$G:$G=$U274,Prod_Prop!$E:$E=V$1)),""""))"),"")</f>
        <v/>
      </c>
      <c r="W274" s="4" t="str">
        <f>IF(V274="","",SUMIFS(Prod_Prop!$J:$J,Prod_Prop!$B:$B,$Q274,Prod_Prop!$H:$H,V274,Prod_Prop!$I:$I,W$1)*IF(V274="Peso",$R274,1))</f>
        <v/>
      </c>
      <c r="X274" s="4" t="str">
        <f>IF(V274="","",SUMIFS(Prod_Prop!$J:$J,Prod_Prop!$B:$B,$Q274,Prod_Prop!$H:$H,V274,Prod_Prop!$I:$I,X$1)*IF(V274="Peso",$R274,1))</f>
        <v/>
      </c>
      <c r="Y274" s="4" t="str">
        <f>IFERROR(__xludf.DUMMYFUNCTION("IF(OR($U274="""",COUNTIF($I:$I,IFERROR(unique(filter(Prod_Prop!$H:$H,Prod_Prop!$G:$G=$U274,Prod_Prop!$E:$E=Y$1)),""Check""))=0),"""",IFERROR(unique(filter(Prod_Prop!$H:$H,Prod_Prop!$G:$G=$U274,Prod_Prop!$E:$E=Y$1)),""""))"),"")</f>
        <v/>
      </c>
      <c r="Z274" s="4" t="str">
        <f>IF(Y274="","",SUMIFS(Prod_Prop!$J:$J,Prod_Prop!$B:$B,$Q274,Prod_Prop!$H:$H,Y274,Prod_Prop!$I:$I,Z$1)*IF(Y274="Peso",$R274,1))</f>
        <v/>
      </c>
      <c r="AA274" s="4" t="str">
        <f>IF(Y274="","",SUMIFS(Prod_Prop!$J:$J,Prod_Prop!$B:$B,$Q274,Prod_Prop!$H:$H,Y274,Prod_Prop!$I:$I,AA$1)*IF(Y274="Peso",$R274,1))</f>
        <v/>
      </c>
      <c r="AB274" s="4" t="str">
        <f>IFERROR(__xludf.DUMMYFUNCTION("IF(OR($U274="""",COUNTIF($I:$I,IFERROR(unique(filter(Prod_Prop!$H:$H,Prod_Prop!$G:$G=$U274,Prod_Prop!$E:$E=AB$1)),""Check""))=0),"""",IFERROR(unique(filter(Prod_Prop!$H:$H,Prod_Prop!$G:$G=$U274,Prod_Prop!$E:$E=AB$1)),""""))"),"")</f>
        <v/>
      </c>
      <c r="AC274" s="4" t="str">
        <f>IF(AB274="","",SUMIFS(Prod_Prop!$J:$J,Prod_Prop!$B:$B,$Q274,Prod_Prop!$H:$H,AB274,Prod_Prop!$I:$I,AC$1)*IF(AB274="Peso",$R274,1))</f>
        <v/>
      </c>
      <c r="AD274" s="4" t="str">
        <f>IF(AB274="","",SUMIFS(Prod_Prop!$J:$J,Prod_Prop!$B:$B,$Q274,Prod_Prop!$H:$H,AB274,Prod_Prop!$I:$I,AD$1)*IF(AB274="Peso",$R274,1))</f>
        <v/>
      </c>
    </row>
    <row r="275">
      <c r="A275" s="4" t="str">
        <f t="array" ref="A275">IF(COUNTIF(A$1:A274,Cotizador!F$2)=maxifs(Familias!E:E,Familias!D:D,Cotizador!F$2),IF(COUNTIF(A$1:A274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5" s="4" t="str">
        <f t="shared" si="1"/>
        <v/>
      </c>
      <c r="C275" s="4" t="str">
        <f t="array" ref="C275">IF(B275="","",IF(A275=XLOOKUP(A$2,Implementos!B:B,Implementos!C:C,"",0,1),B275+maxifs(B$1:B274,A$1:A274,A$2),B275))</f>
        <v/>
      </c>
      <c r="D275" s="4" t="str">
        <f>IF(B275="","", COUNTIFS(Productos!F:F,A275,Productos!H:H,B275)+IF(F275="SI",0,1))</f>
        <v/>
      </c>
      <c r="E275" s="4" t="str">
        <f>IFERROR(__xludf.DUMMYFUNCTION("IF($B275="""","""",INDEX(filter(Familias!F:F,Familias!$D:$D=$A275,Familias!$E:$E=$B275),1))"),"")</f>
        <v/>
      </c>
      <c r="F275" s="4" t="str">
        <f>IFERROR(__xludf.DUMMYFUNCTION("IF($B275="""","""",INDEX(filter(Familias!G:G,Familias!$D:$D=$A275,Familias!$E:$E=$B275),1))"),"")</f>
        <v/>
      </c>
      <c r="G275" s="4" t="str">
        <f t="array" ref="G275">IF(C275=1,XLOOKUP(C275,Cotizador!D:D,Cotizador!E:E,"",0,1),"")</f>
        <v/>
      </c>
      <c r="I275" s="4"/>
      <c r="J275" s="8" t="str">
        <f>IF(I275="","",SUMIF(Cotizador!I$1:V$1,I275,Cotizador!I$2:V$2))</f>
        <v/>
      </c>
      <c r="L275" s="4" t="str">
        <f t="array" ref="L275">IF(COUNTIF(L$1:L274,A$2)=SUMIF(A:A,A$2,D:D),IF(COUNTIF(L$1:L274,XLOOKUP(A$2,Implementos!B:B,Implementos!C:C,"",0,1))=SUMIF(A:A,XLOOKUP(A$2,Implementos!B:B,Implementos!C:C,"",0,1),D:D),"",XLOOKUP(A$2,Implementos!B:B,Implementos!C:C,"",0,1)),A$2)</f>
        <v/>
      </c>
      <c r="M275" s="4" t="str">
        <f t="shared" si="2"/>
        <v/>
      </c>
      <c r="N275" s="4" t="str">
        <f t="shared" si="3"/>
        <v/>
      </c>
      <c r="O275" s="4" t="str">
        <f t="shared" si="4"/>
        <v/>
      </c>
      <c r="P275" s="4" t="str">
        <f t="shared" si="5"/>
        <v/>
      </c>
      <c r="Q275" s="4" t="str">
        <f>IF(U275="","",SUMIF(Productos!E:E,U275,Productos!A:A))</f>
        <v/>
      </c>
      <c r="R275" s="4" t="str">
        <f t="array" ref="R275">IF(L275="","", max(1,SUMIF(I:I,XLOOKUP(U275,Productos!E:E,Productos!G:G,"",0,1),J:J)))</f>
        <v/>
      </c>
      <c r="S275" s="4" t="str">
        <f>IF(Q275="","",IF(SUMIFS(Compat_Vetado!D:D,Compat_Vetado!B:B,SUM(G:G),Compat_Vetado!C:C,Q275)=1,"SI",IF(OR(SUMIF(Cotizador!E:E,Q275,Cotizador!G:G)&gt;0,SUMIFS(Compat_Vetado!D:D,Compat_Vetado!B:B,SUM(G:G),Compat_Vetado!C:C,Q275)=-1),"NO","")))</f>
        <v/>
      </c>
      <c r="T275" s="4" t="str">
        <f t="shared" si="6"/>
        <v/>
      </c>
      <c r="U275" s="4" t="str">
        <f>IFERROR(__xludf.DUMMYFUNCTION("IF(P275="""","""",IFERROR(INDEX(filter(Productos!E:E,Productos!F:F=L275,Productos!H:H=N275),P275),IF(M275=SUM(D:D),""Finalizar"",""-"")))"),"")</f>
        <v/>
      </c>
      <c r="V275" s="4" t="str">
        <f>IFERROR(__xludf.DUMMYFUNCTION("IF(OR($U275="""",COUNTIF($I:$I,IFERROR(unique(filter(Prod_Prop!$H:$H,Prod_Prop!$G:$G=$U275,Prod_Prop!$E:$E=V$1)),""Check""))=0),"""",IFERROR(unique(filter(Prod_Prop!$H:$H,Prod_Prop!$G:$G=$U275,Prod_Prop!$E:$E=V$1)),""""))"),"")</f>
        <v/>
      </c>
      <c r="W275" s="4" t="str">
        <f>IF(V275="","",SUMIFS(Prod_Prop!$J:$J,Prod_Prop!$B:$B,$Q275,Prod_Prop!$H:$H,V275,Prod_Prop!$I:$I,W$1)*IF(V275="Peso",$R275,1))</f>
        <v/>
      </c>
      <c r="X275" s="4" t="str">
        <f>IF(V275="","",SUMIFS(Prod_Prop!$J:$J,Prod_Prop!$B:$B,$Q275,Prod_Prop!$H:$H,V275,Prod_Prop!$I:$I,X$1)*IF(V275="Peso",$R275,1))</f>
        <v/>
      </c>
      <c r="Y275" s="4" t="str">
        <f>IFERROR(__xludf.DUMMYFUNCTION("IF(OR($U275="""",COUNTIF($I:$I,IFERROR(unique(filter(Prod_Prop!$H:$H,Prod_Prop!$G:$G=$U275,Prod_Prop!$E:$E=Y$1)),""Check""))=0),"""",IFERROR(unique(filter(Prod_Prop!$H:$H,Prod_Prop!$G:$G=$U275,Prod_Prop!$E:$E=Y$1)),""""))"),"")</f>
        <v/>
      </c>
      <c r="Z275" s="4" t="str">
        <f>IF(Y275="","",SUMIFS(Prod_Prop!$J:$J,Prod_Prop!$B:$B,$Q275,Prod_Prop!$H:$H,Y275,Prod_Prop!$I:$I,Z$1)*IF(Y275="Peso",$R275,1))</f>
        <v/>
      </c>
      <c r="AA275" s="4" t="str">
        <f>IF(Y275="","",SUMIFS(Prod_Prop!$J:$J,Prod_Prop!$B:$B,$Q275,Prod_Prop!$H:$H,Y275,Prod_Prop!$I:$I,AA$1)*IF(Y275="Peso",$R275,1))</f>
        <v/>
      </c>
      <c r="AB275" s="4" t="str">
        <f>IFERROR(__xludf.DUMMYFUNCTION("IF(OR($U275="""",COUNTIF($I:$I,IFERROR(unique(filter(Prod_Prop!$H:$H,Prod_Prop!$G:$G=$U275,Prod_Prop!$E:$E=AB$1)),""Check""))=0),"""",IFERROR(unique(filter(Prod_Prop!$H:$H,Prod_Prop!$G:$G=$U275,Prod_Prop!$E:$E=AB$1)),""""))"),"")</f>
        <v/>
      </c>
      <c r="AC275" s="4" t="str">
        <f>IF(AB275="","",SUMIFS(Prod_Prop!$J:$J,Prod_Prop!$B:$B,$Q275,Prod_Prop!$H:$H,AB275,Prod_Prop!$I:$I,AC$1)*IF(AB275="Peso",$R275,1))</f>
        <v/>
      </c>
      <c r="AD275" s="4" t="str">
        <f>IF(AB275="","",SUMIFS(Prod_Prop!$J:$J,Prod_Prop!$B:$B,$Q275,Prod_Prop!$H:$H,AB275,Prod_Prop!$I:$I,AD$1)*IF(AB275="Peso",$R275,1))</f>
        <v/>
      </c>
    </row>
    <row r="276">
      <c r="A276" s="4" t="str">
        <f t="array" ref="A276">IF(COUNTIF(A$1:A275,Cotizador!F$2)=maxifs(Familias!E:E,Familias!D:D,Cotizador!F$2),IF(COUNTIF(A$1:A275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6" s="4" t="str">
        <f t="shared" si="1"/>
        <v/>
      </c>
      <c r="C276" s="4" t="str">
        <f t="array" ref="C276">IF(B276="","",IF(A276=XLOOKUP(A$2,Implementos!B:B,Implementos!C:C,"",0,1),B276+maxifs(B$1:B275,A$1:A275,A$2),B276))</f>
        <v/>
      </c>
      <c r="D276" s="4" t="str">
        <f>IF(B276="","", COUNTIFS(Productos!F:F,A276,Productos!H:H,B276)+IF(F276="SI",0,1))</f>
        <v/>
      </c>
      <c r="E276" s="4" t="str">
        <f>IFERROR(__xludf.DUMMYFUNCTION("IF($B276="""","""",INDEX(filter(Familias!F:F,Familias!$D:$D=$A276,Familias!$E:$E=$B276),1))"),"")</f>
        <v/>
      </c>
      <c r="F276" s="4" t="str">
        <f>IFERROR(__xludf.DUMMYFUNCTION("IF($B276="""","""",INDEX(filter(Familias!G:G,Familias!$D:$D=$A276,Familias!$E:$E=$B276),1))"),"")</f>
        <v/>
      </c>
      <c r="G276" s="4" t="str">
        <f t="array" ref="G276">IF(C276=1,XLOOKUP(C276,Cotizador!D:D,Cotizador!E:E,"",0,1),"")</f>
        <v/>
      </c>
      <c r="I276" s="4"/>
      <c r="J276" s="8" t="str">
        <f>IF(I276="","",SUMIF(Cotizador!I$1:V$1,I276,Cotizador!I$2:V$2))</f>
        <v/>
      </c>
      <c r="L276" s="4" t="str">
        <f t="array" ref="L276">IF(COUNTIF(L$1:L275,A$2)=SUMIF(A:A,A$2,D:D),IF(COUNTIF(L$1:L275,XLOOKUP(A$2,Implementos!B:B,Implementos!C:C,"",0,1))=SUMIF(A:A,XLOOKUP(A$2,Implementos!B:B,Implementos!C:C,"",0,1),D:D),"",XLOOKUP(A$2,Implementos!B:B,Implementos!C:C,"",0,1)),A$2)</f>
        <v/>
      </c>
      <c r="M276" s="4" t="str">
        <f t="shared" si="2"/>
        <v/>
      </c>
      <c r="N276" s="4" t="str">
        <f t="shared" si="3"/>
        <v/>
      </c>
      <c r="O276" s="4" t="str">
        <f t="shared" si="4"/>
        <v/>
      </c>
      <c r="P276" s="4" t="str">
        <f t="shared" si="5"/>
        <v/>
      </c>
      <c r="Q276" s="4" t="str">
        <f>IF(U276="","",SUMIF(Productos!E:E,U276,Productos!A:A))</f>
        <v/>
      </c>
      <c r="R276" s="4" t="str">
        <f t="array" ref="R276">IF(L276="","", max(1,SUMIF(I:I,XLOOKUP(U276,Productos!E:E,Productos!G:G,"",0,1),J:J)))</f>
        <v/>
      </c>
      <c r="S276" s="4" t="str">
        <f>IF(Q276="","",IF(SUMIFS(Compat_Vetado!D:D,Compat_Vetado!B:B,SUM(G:G),Compat_Vetado!C:C,Q276)=1,"SI",IF(OR(SUMIF(Cotizador!E:E,Q276,Cotizador!G:G)&gt;0,SUMIFS(Compat_Vetado!D:D,Compat_Vetado!B:B,SUM(G:G),Compat_Vetado!C:C,Q276)=-1),"NO","")))</f>
        <v/>
      </c>
      <c r="T276" s="4" t="str">
        <f t="shared" si="6"/>
        <v/>
      </c>
      <c r="U276" s="4" t="str">
        <f>IFERROR(__xludf.DUMMYFUNCTION("IF(P276="""","""",IFERROR(INDEX(filter(Productos!E:E,Productos!F:F=L276,Productos!H:H=N276),P276),IF(M276=SUM(D:D),""Finalizar"",""-"")))"),"")</f>
        <v/>
      </c>
      <c r="V276" s="4" t="str">
        <f>IFERROR(__xludf.DUMMYFUNCTION("IF(OR($U276="""",COUNTIF($I:$I,IFERROR(unique(filter(Prod_Prop!$H:$H,Prod_Prop!$G:$G=$U276,Prod_Prop!$E:$E=V$1)),""Check""))=0),"""",IFERROR(unique(filter(Prod_Prop!$H:$H,Prod_Prop!$G:$G=$U276,Prod_Prop!$E:$E=V$1)),""""))"),"")</f>
        <v/>
      </c>
      <c r="W276" s="4" t="str">
        <f>IF(V276="","",SUMIFS(Prod_Prop!$J:$J,Prod_Prop!$B:$B,$Q276,Prod_Prop!$H:$H,V276,Prod_Prop!$I:$I,W$1)*IF(V276="Peso",$R276,1))</f>
        <v/>
      </c>
      <c r="X276" s="4" t="str">
        <f>IF(V276="","",SUMIFS(Prod_Prop!$J:$J,Prod_Prop!$B:$B,$Q276,Prod_Prop!$H:$H,V276,Prod_Prop!$I:$I,X$1)*IF(V276="Peso",$R276,1))</f>
        <v/>
      </c>
      <c r="Y276" s="4" t="str">
        <f>IFERROR(__xludf.DUMMYFUNCTION("IF(OR($U276="""",COUNTIF($I:$I,IFERROR(unique(filter(Prod_Prop!$H:$H,Prod_Prop!$G:$G=$U276,Prod_Prop!$E:$E=Y$1)),""Check""))=0),"""",IFERROR(unique(filter(Prod_Prop!$H:$H,Prod_Prop!$G:$G=$U276,Prod_Prop!$E:$E=Y$1)),""""))"),"")</f>
        <v/>
      </c>
      <c r="Z276" s="4" t="str">
        <f>IF(Y276="","",SUMIFS(Prod_Prop!$J:$J,Prod_Prop!$B:$B,$Q276,Prod_Prop!$H:$H,Y276,Prod_Prop!$I:$I,Z$1)*IF(Y276="Peso",$R276,1))</f>
        <v/>
      </c>
      <c r="AA276" s="4" t="str">
        <f>IF(Y276="","",SUMIFS(Prod_Prop!$J:$J,Prod_Prop!$B:$B,$Q276,Prod_Prop!$H:$H,Y276,Prod_Prop!$I:$I,AA$1)*IF(Y276="Peso",$R276,1))</f>
        <v/>
      </c>
      <c r="AB276" s="4" t="str">
        <f>IFERROR(__xludf.DUMMYFUNCTION("IF(OR($U276="""",COUNTIF($I:$I,IFERROR(unique(filter(Prod_Prop!$H:$H,Prod_Prop!$G:$G=$U276,Prod_Prop!$E:$E=AB$1)),""Check""))=0),"""",IFERROR(unique(filter(Prod_Prop!$H:$H,Prod_Prop!$G:$G=$U276,Prod_Prop!$E:$E=AB$1)),""""))"),"")</f>
        <v/>
      </c>
      <c r="AC276" s="4" t="str">
        <f>IF(AB276="","",SUMIFS(Prod_Prop!$J:$J,Prod_Prop!$B:$B,$Q276,Prod_Prop!$H:$H,AB276,Prod_Prop!$I:$I,AC$1)*IF(AB276="Peso",$R276,1))</f>
        <v/>
      </c>
      <c r="AD276" s="4" t="str">
        <f>IF(AB276="","",SUMIFS(Prod_Prop!$J:$J,Prod_Prop!$B:$B,$Q276,Prod_Prop!$H:$H,AB276,Prod_Prop!$I:$I,AD$1)*IF(AB276="Peso",$R276,1))</f>
        <v/>
      </c>
    </row>
    <row r="277">
      <c r="A277" s="4" t="str">
        <f t="array" ref="A277">IF(COUNTIF(A$1:A276,Cotizador!F$2)=maxifs(Familias!E:E,Familias!D:D,Cotizador!F$2),IF(COUNTIF(A$1:A276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7" s="4" t="str">
        <f t="shared" si="1"/>
        <v/>
      </c>
      <c r="C277" s="4" t="str">
        <f t="array" ref="C277">IF(B277="","",IF(A277=XLOOKUP(A$2,Implementos!B:B,Implementos!C:C,"",0,1),B277+maxifs(B$1:B276,A$1:A276,A$2),B277))</f>
        <v/>
      </c>
      <c r="D277" s="4" t="str">
        <f>IF(B277="","", COUNTIFS(Productos!F:F,A277,Productos!H:H,B277)+IF(F277="SI",0,1))</f>
        <v/>
      </c>
      <c r="E277" s="4" t="str">
        <f>IFERROR(__xludf.DUMMYFUNCTION("IF($B277="""","""",INDEX(filter(Familias!F:F,Familias!$D:$D=$A277,Familias!$E:$E=$B277),1))"),"")</f>
        <v/>
      </c>
      <c r="F277" s="4" t="str">
        <f>IFERROR(__xludf.DUMMYFUNCTION("IF($B277="""","""",INDEX(filter(Familias!G:G,Familias!$D:$D=$A277,Familias!$E:$E=$B277),1))"),"")</f>
        <v/>
      </c>
      <c r="G277" s="4" t="str">
        <f t="array" ref="G277">IF(C277=1,XLOOKUP(C277,Cotizador!D:D,Cotizador!E:E,"",0,1),"")</f>
        <v/>
      </c>
      <c r="I277" s="4"/>
      <c r="J277" s="8" t="str">
        <f>IF(I277="","",SUMIF(Cotizador!I$1:V$1,I277,Cotizador!I$2:V$2))</f>
        <v/>
      </c>
      <c r="L277" s="4" t="str">
        <f t="array" ref="L277">IF(COUNTIF(L$1:L276,A$2)=SUMIF(A:A,A$2,D:D),IF(COUNTIF(L$1:L276,XLOOKUP(A$2,Implementos!B:B,Implementos!C:C,"",0,1))=SUMIF(A:A,XLOOKUP(A$2,Implementos!B:B,Implementos!C:C,"",0,1),D:D),"",XLOOKUP(A$2,Implementos!B:B,Implementos!C:C,"",0,1)),A$2)</f>
        <v/>
      </c>
      <c r="M277" s="4" t="str">
        <f t="shared" si="2"/>
        <v/>
      </c>
      <c r="N277" s="4" t="str">
        <f t="shared" si="3"/>
        <v/>
      </c>
      <c r="O277" s="4" t="str">
        <f t="shared" si="4"/>
        <v/>
      </c>
      <c r="P277" s="4" t="str">
        <f t="shared" si="5"/>
        <v/>
      </c>
      <c r="Q277" s="4" t="str">
        <f>IF(U277="","",SUMIF(Productos!E:E,U277,Productos!A:A))</f>
        <v/>
      </c>
      <c r="R277" s="4" t="str">
        <f t="array" ref="R277">IF(L277="","", max(1,SUMIF(I:I,XLOOKUP(U277,Productos!E:E,Productos!G:G,"",0,1),J:J)))</f>
        <v/>
      </c>
      <c r="S277" s="4" t="str">
        <f>IF(Q277="","",IF(SUMIFS(Compat_Vetado!D:D,Compat_Vetado!B:B,SUM(G:G),Compat_Vetado!C:C,Q277)=1,"SI",IF(OR(SUMIF(Cotizador!E:E,Q277,Cotizador!G:G)&gt;0,SUMIFS(Compat_Vetado!D:D,Compat_Vetado!B:B,SUM(G:G),Compat_Vetado!C:C,Q277)=-1),"NO","")))</f>
        <v/>
      </c>
      <c r="T277" s="4" t="str">
        <f t="shared" si="6"/>
        <v/>
      </c>
      <c r="U277" s="4" t="str">
        <f>IFERROR(__xludf.DUMMYFUNCTION("IF(P277="""","""",IFERROR(INDEX(filter(Productos!E:E,Productos!F:F=L277,Productos!H:H=N277),P277),IF(M277=SUM(D:D),""Finalizar"",""-"")))"),"")</f>
        <v/>
      </c>
      <c r="V277" s="4" t="str">
        <f>IFERROR(__xludf.DUMMYFUNCTION("IF(OR($U277="""",COUNTIF($I:$I,IFERROR(unique(filter(Prod_Prop!$H:$H,Prod_Prop!$G:$G=$U277,Prod_Prop!$E:$E=V$1)),""Check""))=0),"""",IFERROR(unique(filter(Prod_Prop!$H:$H,Prod_Prop!$G:$G=$U277,Prod_Prop!$E:$E=V$1)),""""))"),"")</f>
        <v/>
      </c>
      <c r="W277" s="4" t="str">
        <f>IF(V277="","",SUMIFS(Prod_Prop!$J:$J,Prod_Prop!$B:$B,$Q277,Prod_Prop!$H:$H,V277,Prod_Prop!$I:$I,W$1)*IF(V277="Peso",$R277,1))</f>
        <v/>
      </c>
      <c r="X277" s="4" t="str">
        <f>IF(V277="","",SUMIFS(Prod_Prop!$J:$J,Prod_Prop!$B:$B,$Q277,Prod_Prop!$H:$H,V277,Prod_Prop!$I:$I,X$1)*IF(V277="Peso",$R277,1))</f>
        <v/>
      </c>
      <c r="Y277" s="4" t="str">
        <f>IFERROR(__xludf.DUMMYFUNCTION("IF(OR($U277="""",COUNTIF($I:$I,IFERROR(unique(filter(Prod_Prop!$H:$H,Prod_Prop!$G:$G=$U277,Prod_Prop!$E:$E=Y$1)),""Check""))=0),"""",IFERROR(unique(filter(Prod_Prop!$H:$H,Prod_Prop!$G:$G=$U277,Prod_Prop!$E:$E=Y$1)),""""))"),"")</f>
        <v/>
      </c>
      <c r="Z277" s="4" t="str">
        <f>IF(Y277="","",SUMIFS(Prod_Prop!$J:$J,Prod_Prop!$B:$B,$Q277,Prod_Prop!$H:$H,Y277,Prod_Prop!$I:$I,Z$1)*IF(Y277="Peso",$R277,1))</f>
        <v/>
      </c>
      <c r="AA277" s="4" t="str">
        <f>IF(Y277="","",SUMIFS(Prod_Prop!$J:$J,Prod_Prop!$B:$B,$Q277,Prod_Prop!$H:$H,Y277,Prod_Prop!$I:$I,AA$1)*IF(Y277="Peso",$R277,1))</f>
        <v/>
      </c>
      <c r="AB277" s="4" t="str">
        <f>IFERROR(__xludf.DUMMYFUNCTION("IF(OR($U277="""",COUNTIF($I:$I,IFERROR(unique(filter(Prod_Prop!$H:$H,Prod_Prop!$G:$G=$U277,Prod_Prop!$E:$E=AB$1)),""Check""))=0),"""",IFERROR(unique(filter(Prod_Prop!$H:$H,Prod_Prop!$G:$G=$U277,Prod_Prop!$E:$E=AB$1)),""""))"),"")</f>
        <v/>
      </c>
      <c r="AC277" s="4" t="str">
        <f>IF(AB277="","",SUMIFS(Prod_Prop!$J:$J,Prod_Prop!$B:$B,$Q277,Prod_Prop!$H:$H,AB277,Prod_Prop!$I:$I,AC$1)*IF(AB277="Peso",$R277,1))</f>
        <v/>
      </c>
      <c r="AD277" s="4" t="str">
        <f>IF(AB277="","",SUMIFS(Prod_Prop!$J:$J,Prod_Prop!$B:$B,$Q277,Prod_Prop!$H:$H,AB277,Prod_Prop!$I:$I,AD$1)*IF(AB277="Peso",$R277,1))</f>
        <v/>
      </c>
    </row>
    <row r="278">
      <c r="A278" s="4" t="str">
        <f t="array" ref="A278">IF(COUNTIF(A$1:A277,Cotizador!F$2)=maxifs(Familias!E:E,Familias!D:D,Cotizador!F$2),IF(COUNTIF(A$1:A277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8" s="4" t="str">
        <f t="shared" si="1"/>
        <v/>
      </c>
      <c r="C278" s="4" t="str">
        <f t="array" ref="C278">IF(B278="","",IF(A278=XLOOKUP(A$2,Implementos!B:B,Implementos!C:C,"",0,1),B278+maxifs(B$1:B277,A$1:A277,A$2),B278))</f>
        <v/>
      </c>
      <c r="D278" s="4" t="str">
        <f>IF(B278="","", COUNTIFS(Productos!F:F,A278,Productos!H:H,B278)+IF(F278="SI",0,1))</f>
        <v/>
      </c>
      <c r="E278" s="4" t="str">
        <f>IFERROR(__xludf.DUMMYFUNCTION("IF($B278="""","""",INDEX(filter(Familias!F:F,Familias!$D:$D=$A278,Familias!$E:$E=$B278),1))"),"")</f>
        <v/>
      </c>
      <c r="F278" s="4" t="str">
        <f>IFERROR(__xludf.DUMMYFUNCTION("IF($B278="""","""",INDEX(filter(Familias!G:G,Familias!$D:$D=$A278,Familias!$E:$E=$B278),1))"),"")</f>
        <v/>
      </c>
      <c r="G278" s="4" t="str">
        <f t="array" ref="G278">IF(C278=1,XLOOKUP(C278,Cotizador!D:D,Cotizador!E:E,"",0,1),"")</f>
        <v/>
      </c>
      <c r="I278" s="4"/>
      <c r="J278" s="8" t="str">
        <f>IF(I278="","",SUMIF(Cotizador!I$1:V$1,I278,Cotizador!I$2:V$2))</f>
        <v/>
      </c>
      <c r="L278" s="4" t="str">
        <f t="array" ref="L278">IF(COUNTIF(L$1:L277,A$2)=SUMIF(A:A,A$2,D:D),IF(COUNTIF(L$1:L277,XLOOKUP(A$2,Implementos!B:B,Implementos!C:C,"",0,1))=SUMIF(A:A,XLOOKUP(A$2,Implementos!B:B,Implementos!C:C,"",0,1),D:D),"",XLOOKUP(A$2,Implementos!B:B,Implementos!C:C,"",0,1)),A$2)</f>
        <v/>
      </c>
      <c r="M278" s="4" t="str">
        <f t="shared" si="2"/>
        <v/>
      </c>
      <c r="N278" s="4" t="str">
        <f t="shared" si="3"/>
        <v/>
      </c>
      <c r="O278" s="4" t="str">
        <f t="shared" si="4"/>
        <v/>
      </c>
      <c r="P278" s="4" t="str">
        <f t="shared" si="5"/>
        <v/>
      </c>
      <c r="Q278" s="4" t="str">
        <f>IF(U278="","",SUMIF(Productos!E:E,U278,Productos!A:A))</f>
        <v/>
      </c>
      <c r="R278" s="4" t="str">
        <f t="array" ref="R278">IF(L278="","", max(1,SUMIF(I:I,XLOOKUP(U278,Productos!E:E,Productos!G:G,"",0,1),J:J)))</f>
        <v/>
      </c>
      <c r="S278" s="4" t="str">
        <f>IF(Q278="","",IF(SUMIFS(Compat_Vetado!D:D,Compat_Vetado!B:B,SUM(G:G),Compat_Vetado!C:C,Q278)=1,"SI",IF(OR(SUMIF(Cotizador!E:E,Q278,Cotizador!G:G)&gt;0,SUMIFS(Compat_Vetado!D:D,Compat_Vetado!B:B,SUM(G:G),Compat_Vetado!C:C,Q278)=-1),"NO","")))</f>
        <v/>
      </c>
      <c r="T278" s="4" t="str">
        <f t="shared" si="6"/>
        <v/>
      </c>
      <c r="U278" s="4" t="str">
        <f>IFERROR(__xludf.DUMMYFUNCTION("IF(P278="""","""",IFERROR(INDEX(filter(Productos!E:E,Productos!F:F=L278,Productos!H:H=N278),P278),IF(M278=SUM(D:D),""Finalizar"",""-"")))"),"")</f>
        <v/>
      </c>
      <c r="V278" s="4" t="str">
        <f>IFERROR(__xludf.DUMMYFUNCTION("IF(OR($U278="""",COUNTIF($I:$I,IFERROR(unique(filter(Prod_Prop!$H:$H,Prod_Prop!$G:$G=$U278,Prod_Prop!$E:$E=V$1)),""Check""))=0),"""",IFERROR(unique(filter(Prod_Prop!$H:$H,Prod_Prop!$G:$G=$U278,Prod_Prop!$E:$E=V$1)),""""))"),"")</f>
        <v/>
      </c>
      <c r="W278" s="4" t="str">
        <f>IF(V278="","",SUMIFS(Prod_Prop!$J:$J,Prod_Prop!$B:$B,$Q278,Prod_Prop!$H:$H,V278,Prod_Prop!$I:$I,W$1)*IF(V278="Peso",$R278,1))</f>
        <v/>
      </c>
      <c r="X278" s="4" t="str">
        <f>IF(V278="","",SUMIFS(Prod_Prop!$J:$J,Prod_Prop!$B:$B,$Q278,Prod_Prop!$H:$H,V278,Prod_Prop!$I:$I,X$1)*IF(V278="Peso",$R278,1))</f>
        <v/>
      </c>
      <c r="Y278" s="4" t="str">
        <f>IFERROR(__xludf.DUMMYFUNCTION("IF(OR($U278="""",COUNTIF($I:$I,IFERROR(unique(filter(Prod_Prop!$H:$H,Prod_Prop!$G:$G=$U278,Prod_Prop!$E:$E=Y$1)),""Check""))=0),"""",IFERROR(unique(filter(Prod_Prop!$H:$H,Prod_Prop!$G:$G=$U278,Prod_Prop!$E:$E=Y$1)),""""))"),"")</f>
        <v/>
      </c>
      <c r="Z278" s="4" t="str">
        <f>IF(Y278="","",SUMIFS(Prod_Prop!$J:$J,Prod_Prop!$B:$B,$Q278,Prod_Prop!$H:$H,Y278,Prod_Prop!$I:$I,Z$1)*IF(Y278="Peso",$R278,1))</f>
        <v/>
      </c>
      <c r="AA278" s="4" t="str">
        <f>IF(Y278="","",SUMIFS(Prod_Prop!$J:$J,Prod_Prop!$B:$B,$Q278,Prod_Prop!$H:$H,Y278,Prod_Prop!$I:$I,AA$1)*IF(Y278="Peso",$R278,1))</f>
        <v/>
      </c>
      <c r="AB278" s="4" t="str">
        <f>IFERROR(__xludf.DUMMYFUNCTION("IF(OR($U278="""",COUNTIF($I:$I,IFERROR(unique(filter(Prod_Prop!$H:$H,Prod_Prop!$G:$G=$U278,Prod_Prop!$E:$E=AB$1)),""Check""))=0),"""",IFERROR(unique(filter(Prod_Prop!$H:$H,Prod_Prop!$G:$G=$U278,Prod_Prop!$E:$E=AB$1)),""""))"),"")</f>
        <v/>
      </c>
      <c r="AC278" s="4" t="str">
        <f>IF(AB278="","",SUMIFS(Prod_Prop!$J:$J,Prod_Prop!$B:$B,$Q278,Prod_Prop!$H:$H,AB278,Prod_Prop!$I:$I,AC$1)*IF(AB278="Peso",$R278,1))</f>
        <v/>
      </c>
      <c r="AD278" s="4" t="str">
        <f>IF(AB278="","",SUMIFS(Prod_Prop!$J:$J,Prod_Prop!$B:$B,$Q278,Prod_Prop!$H:$H,AB278,Prod_Prop!$I:$I,AD$1)*IF(AB278="Peso",$R278,1))</f>
        <v/>
      </c>
    </row>
    <row r="279">
      <c r="A279" s="4" t="str">
        <f t="array" ref="A279">IF(COUNTIF(A$1:A278,Cotizador!F$2)=maxifs(Familias!E:E,Familias!D:D,Cotizador!F$2),IF(COUNTIF(A$1:A278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79" s="4" t="str">
        <f t="shared" si="1"/>
        <v/>
      </c>
      <c r="C279" s="4" t="str">
        <f t="array" ref="C279">IF(B279="","",IF(A279=XLOOKUP(A$2,Implementos!B:B,Implementos!C:C,"",0,1),B279+maxifs(B$1:B278,A$1:A278,A$2),B279))</f>
        <v/>
      </c>
      <c r="D279" s="4" t="str">
        <f>IF(B279="","", COUNTIFS(Productos!F:F,A279,Productos!H:H,B279)+IF(F279="SI",0,1))</f>
        <v/>
      </c>
      <c r="E279" s="4" t="str">
        <f>IFERROR(__xludf.DUMMYFUNCTION("IF($B279="""","""",INDEX(filter(Familias!F:F,Familias!$D:$D=$A279,Familias!$E:$E=$B279),1))"),"")</f>
        <v/>
      </c>
      <c r="F279" s="4" t="str">
        <f>IFERROR(__xludf.DUMMYFUNCTION("IF($B279="""","""",INDEX(filter(Familias!G:G,Familias!$D:$D=$A279,Familias!$E:$E=$B279),1))"),"")</f>
        <v/>
      </c>
      <c r="G279" s="4" t="str">
        <f t="array" ref="G279">IF(C279=1,XLOOKUP(C279,Cotizador!D:D,Cotizador!E:E,"",0,1),"")</f>
        <v/>
      </c>
      <c r="I279" s="4"/>
      <c r="J279" s="8" t="str">
        <f>IF(I279="","",SUMIF(Cotizador!I$1:V$1,I279,Cotizador!I$2:V$2))</f>
        <v/>
      </c>
      <c r="L279" s="4" t="str">
        <f t="array" ref="L279">IF(COUNTIF(L$1:L278,A$2)=SUMIF(A:A,A$2,D:D),IF(COUNTIF(L$1:L278,XLOOKUP(A$2,Implementos!B:B,Implementos!C:C,"",0,1))=SUMIF(A:A,XLOOKUP(A$2,Implementos!B:B,Implementos!C:C,"",0,1),D:D),"",XLOOKUP(A$2,Implementos!B:B,Implementos!C:C,"",0,1)),A$2)</f>
        <v/>
      </c>
      <c r="M279" s="4" t="str">
        <f t="shared" si="2"/>
        <v/>
      </c>
      <c r="N279" s="4" t="str">
        <f t="shared" si="3"/>
        <v/>
      </c>
      <c r="O279" s="4" t="str">
        <f t="shared" si="4"/>
        <v/>
      </c>
      <c r="P279" s="4" t="str">
        <f t="shared" si="5"/>
        <v/>
      </c>
      <c r="Q279" s="4" t="str">
        <f>IF(U279="","",SUMIF(Productos!E:E,U279,Productos!A:A))</f>
        <v/>
      </c>
      <c r="R279" s="4" t="str">
        <f t="array" ref="R279">IF(L279="","", max(1,SUMIF(I:I,XLOOKUP(U279,Productos!E:E,Productos!G:G,"",0,1),J:J)))</f>
        <v/>
      </c>
      <c r="S279" s="4" t="str">
        <f>IF(Q279="","",IF(SUMIFS(Compat_Vetado!D:D,Compat_Vetado!B:B,SUM(G:G),Compat_Vetado!C:C,Q279)=1,"SI",IF(OR(SUMIF(Cotizador!E:E,Q279,Cotizador!G:G)&gt;0,SUMIFS(Compat_Vetado!D:D,Compat_Vetado!B:B,SUM(G:G),Compat_Vetado!C:C,Q279)=-1),"NO","")))</f>
        <v/>
      </c>
      <c r="T279" s="4" t="str">
        <f t="shared" si="6"/>
        <v/>
      </c>
      <c r="U279" s="4" t="str">
        <f>IFERROR(__xludf.DUMMYFUNCTION("IF(P279="""","""",IFERROR(INDEX(filter(Productos!E:E,Productos!F:F=L279,Productos!H:H=N279),P279),IF(M279=SUM(D:D),""Finalizar"",""-"")))"),"")</f>
        <v/>
      </c>
      <c r="V279" s="4" t="str">
        <f>IFERROR(__xludf.DUMMYFUNCTION("IF(OR($U279="""",COUNTIF($I:$I,IFERROR(unique(filter(Prod_Prop!$H:$H,Prod_Prop!$G:$G=$U279,Prod_Prop!$E:$E=V$1)),""Check""))=0),"""",IFERROR(unique(filter(Prod_Prop!$H:$H,Prod_Prop!$G:$G=$U279,Prod_Prop!$E:$E=V$1)),""""))"),"")</f>
        <v/>
      </c>
      <c r="W279" s="4" t="str">
        <f>IF(V279="","",SUMIFS(Prod_Prop!$J:$J,Prod_Prop!$B:$B,$Q279,Prod_Prop!$H:$H,V279,Prod_Prop!$I:$I,W$1)*IF(V279="Peso",$R279,1))</f>
        <v/>
      </c>
      <c r="X279" s="4" t="str">
        <f>IF(V279="","",SUMIFS(Prod_Prop!$J:$J,Prod_Prop!$B:$B,$Q279,Prod_Prop!$H:$H,V279,Prod_Prop!$I:$I,X$1)*IF(V279="Peso",$R279,1))</f>
        <v/>
      </c>
      <c r="Y279" s="4" t="str">
        <f>IFERROR(__xludf.DUMMYFUNCTION("IF(OR($U279="""",COUNTIF($I:$I,IFERROR(unique(filter(Prod_Prop!$H:$H,Prod_Prop!$G:$G=$U279,Prod_Prop!$E:$E=Y$1)),""Check""))=0),"""",IFERROR(unique(filter(Prod_Prop!$H:$H,Prod_Prop!$G:$G=$U279,Prod_Prop!$E:$E=Y$1)),""""))"),"")</f>
        <v/>
      </c>
      <c r="Z279" s="4" t="str">
        <f>IF(Y279="","",SUMIFS(Prod_Prop!$J:$J,Prod_Prop!$B:$B,$Q279,Prod_Prop!$H:$H,Y279,Prod_Prop!$I:$I,Z$1)*IF(Y279="Peso",$R279,1))</f>
        <v/>
      </c>
      <c r="AA279" s="4" t="str">
        <f>IF(Y279="","",SUMIFS(Prod_Prop!$J:$J,Prod_Prop!$B:$B,$Q279,Prod_Prop!$H:$H,Y279,Prod_Prop!$I:$I,AA$1)*IF(Y279="Peso",$R279,1))</f>
        <v/>
      </c>
      <c r="AB279" s="4" t="str">
        <f>IFERROR(__xludf.DUMMYFUNCTION("IF(OR($U279="""",COUNTIF($I:$I,IFERROR(unique(filter(Prod_Prop!$H:$H,Prod_Prop!$G:$G=$U279,Prod_Prop!$E:$E=AB$1)),""Check""))=0),"""",IFERROR(unique(filter(Prod_Prop!$H:$H,Prod_Prop!$G:$G=$U279,Prod_Prop!$E:$E=AB$1)),""""))"),"")</f>
        <v/>
      </c>
      <c r="AC279" s="4" t="str">
        <f>IF(AB279="","",SUMIFS(Prod_Prop!$J:$J,Prod_Prop!$B:$B,$Q279,Prod_Prop!$H:$H,AB279,Prod_Prop!$I:$I,AC$1)*IF(AB279="Peso",$R279,1))</f>
        <v/>
      </c>
      <c r="AD279" s="4" t="str">
        <f>IF(AB279="","",SUMIFS(Prod_Prop!$J:$J,Prod_Prop!$B:$B,$Q279,Prod_Prop!$H:$H,AB279,Prod_Prop!$I:$I,AD$1)*IF(AB279="Peso",$R279,1))</f>
        <v/>
      </c>
    </row>
    <row r="280">
      <c r="A280" s="4" t="str">
        <f t="array" ref="A280">IF(COUNTIF(A$1:A279,Cotizador!F$2)=maxifs(Familias!E:E,Familias!D:D,Cotizador!F$2),IF(COUNTIF(A$1:A279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0" s="4" t="str">
        <f t="shared" si="1"/>
        <v/>
      </c>
      <c r="C280" s="4" t="str">
        <f t="array" ref="C280">IF(B280="","",IF(A280=XLOOKUP(A$2,Implementos!B:B,Implementos!C:C,"",0,1),B280+maxifs(B$1:B279,A$1:A279,A$2),B280))</f>
        <v/>
      </c>
      <c r="D280" s="4" t="str">
        <f>IF(B280="","", COUNTIFS(Productos!F:F,A280,Productos!H:H,B280)+IF(F280="SI",0,1))</f>
        <v/>
      </c>
      <c r="E280" s="4" t="str">
        <f>IFERROR(__xludf.DUMMYFUNCTION("IF($B280="""","""",INDEX(filter(Familias!F:F,Familias!$D:$D=$A280,Familias!$E:$E=$B280),1))"),"")</f>
        <v/>
      </c>
      <c r="F280" s="4" t="str">
        <f>IFERROR(__xludf.DUMMYFUNCTION("IF($B280="""","""",INDEX(filter(Familias!G:G,Familias!$D:$D=$A280,Familias!$E:$E=$B280),1))"),"")</f>
        <v/>
      </c>
      <c r="G280" s="4" t="str">
        <f t="array" ref="G280">IF(C280=1,XLOOKUP(C280,Cotizador!D:D,Cotizador!E:E,"",0,1),"")</f>
        <v/>
      </c>
      <c r="I280" s="4"/>
      <c r="J280" s="8" t="str">
        <f>IF(I280="","",SUMIF(Cotizador!I$1:V$1,I280,Cotizador!I$2:V$2))</f>
        <v/>
      </c>
      <c r="L280" s="4" t="str">
        <f t="array" ref="L280">IF(COUNTIF(L$1:L279,A$2)=SUMIF(A:A,A$2,D:D),IF(COUNTIF(L$1:L279,XLOOKUP(A$2,Implementos!B:B,Implementos!C:C,"",0,1))=SUMIF(A:A,XLOOKUP(A$2,Implementos!B:B,Implementos!C:C,"",0,1),D:D),"",XLOOKUP(A$2,Implementos!B:B,Implementos!C:C,"",0,1)),A$2)</f>
        <v/>
      </c>
      <c r="M280" s="4" t="str">
        <f t="shared" si="2"/>
        <v/>
      </c>
      <c r="N280" s="4" t="str">
        <f t="shared" si="3"/>
        <v/>
      </c>
      <c r="O280" s="4" t="str">
        <f t="shared" si="4"/>
        <v/>
      </c>
      <c r="P280" s="4" t="str">
        <f t="shared" si="5"/>
        <v/>
      </c>
      <c r="Q280" s="4" t="str">
        <f>IF(U280="","",SUMIF(Productos!E:E,U280,Productos!A:A))</f>
        <v/>
      </c>
      <c r="R280" s="4" t="str">
        <f t="array" ref="R280">IF(L280="","", max(1,SUMIF(I:I,XLOOKUP(U280,Productos!E:E,Productos!G:G,"",0,1),J:J)))</f>
        <v/>
      </c>
      <c r="S280" s="4" t="str">
        <f>IF(Q280="","",IF(SUMIFS(Compat_Vetado!D:D,Compat_Vetado!B:B,SUM(G:G),Compat_Vetado!C:C,Q280)=1,"SI",IF(OR(SUMIF(Cotizador!E:E,Q280,Cotizador!G:G)&gt;0,SUMIFS(Compat_Vetado!D:D,Compat_Vetado!B:B,SUM(G:G),Compat_Vetado!C:C,Q280)=-1),"NO","")))</f>
        <v/>
      </c>
      <c r="T280" s="4" t="str">
        <f t="shared" si="6"/>
        <v/>
      </c>
      <c r="U280" s="4" t="str">
        <f>IFERROR(__xludf.DUMMYFUNCTION("IF(P280="""","""",IFERROR(INDEX(filter(Productos!E:E,Productos!F:F=L280,Productos!H:H=N280),P280),IF(M280=SUM(D:D),""Finalizar"",""-"")))"),"")</f>
        <v/>
      </c>
      <c r="V280" s="4" t="str">
        <f>IFERROR(__xludf.DUMMYFUNCTION("IF(OR($U280="""",COUNTIF($I:$I,IFERROR(unique(filter(Prod_Prop!$H:$H,Prod_Prop!$G:$G=$U280,Prod_Prop!$E:$E=V$1)),""Check""))=0),"""",IFERROR(unique(filter(Prod_Prop!$H:$H,Prod_Prop!$G:$G=$U280,Prod_Prop!$E:$E=V$1)),""""))"),"")</f>
        <v/>
      </c>
      <c r="W280" s="4" t="str">
        <f>IF(V280="","",SUMIFS(Prod_Prop!$J:$J,Prod_Prop!$B:$B,$Q280,Prod_Prop!$H:$H,V280,Prod_Prop!$I:$I,W$1)*IF(V280="Peso",$R280,1))</f>
        <v/>
      </c>
      <c r="X280" s="4" t="str">
        <f>IF(V280="","",SUMIFS(Prod_Prop!$J:$J,Prod_Prop!$B:$B,$Q280,Prod_Prop!$H:$H,V280,Prod_Prop!$I:$I,X$1)*IF(V280="Peso",$R280,1))</f>
        <v/>
      </c>
      <c r="Y280" s="4" t="str">
        <f>IFERROR(__xludf.DUMMYFUNCTION("IF(OR($U280="""",COUNTIF($I:$I,IFERROR(unique(filter(Prod_Prop!$H:$H,Prod_Prop!$G:$G=$U280,Prod_Prop!$E:$E=Y$1)),""Check""))=0),"""",IFERROR(unique(filter(Prod_Prop!$H:$H,Prod_Prop!$G:$G=$U280,Prod_Prop!$E:$E=Y$1)),""""))"),"")</f>
        <v/>
      </c>
      <c r="Z280" s="4" t="str">
        <f>IF(Y280="","",SUMIFS(Prod_Prop!$J:$J,Prod_Prop!$B:$B,$Q280,Prod_Prop!$H:$H,Y280,Prod_Prop!$I:$I,Z$1)*IF(Y280="Peso",$R280,1))</f>
        <v/>
      </c>
      <c r="AA280" s="4" t="str">
        <f>IF(Y280="","",SUMIFS(Prod_Prop!$J:$J,Prod_Prop!$B:$B,$Q280,Prod_Prop!$H:$H,Y280,Prod_Prop!$I:$I,AA$1)*IF(Y280="Peso",$R280,1))</f>
        <v/>
      </c>
      <c r="AB280" s="4" t="str">
        <f>IFERROR(__xludf.DUMMYFUNCTION("IF(OR($U280="""",COUNTIF($I:$I,IFERROR(unique(filter(Prod_Prop!$H:$H,Prod_Prop!$G:$G=$U280,Prod_Prop!$E:$E=AB$1)),""Check""))=0),"""",IFERROR(unique(filter(Prod_Prop!$H:$H,Prod_Prop!$G:$G=$U280,Prod_Prop!$E:$E=AB$1)),""""))"),"")</f>
        <v/>
      </c>
      <c r="AC280" s="4" t="str">
        <f>IF(AB280="","",SUMIFS(Prod_Prop!$J:$J,Prod_Prop!$B:$B,$Q280,Prod_Prop!$H:$H,AB280,Prod_Prop!$I:$I,AC$1)*IF(AB280="Peso",$R280,1))</f>
        <v/>
      </c>
      <c r="AD280" s="4" t="str">
        <f>IF(AB280="","",SUMIFS(Prod_Prop!$J:$J,Prod_Prop!$B:$B,$Q280,Prod_Prop!$H:$H,AB280,Prod_Prop!$I:$I,AD$1)*IF(AB280="Peso",$R280,1))</f>
        <v/>
      </c>
    </row>
    <row r="281">
      <c r="A281" s="4" t="str">
        <f t="array" ref="A281">IF(COUNTIF(A$1:A280,Cotizador!F$2)=maxifs(Familias!E:E,Familias!D:D,Cotizador!F$2),IF(COUNTIF(A$1:A280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1" s="4" t="str">
        <f t="shared" si="1"/>
        <v/>
      </c>
      <c r="C281" s="4" t="str">
        <f t="array" ref="C281">IF(B281="","",IF(A281=XLOOKUP(A$2,Implementos!B:B,Implementos!C:C,"",0,1),B281+maxifs(B$1:B280,A$1:A280,A$2),B281))</f>
        <v/>
      </c>
      <c r="D281" s="4" t="str">
        <f>IF(B281="","", COUNTIFS(Productos!F:F,A281,Productos!H:H,B281)+IF(F281="SI",0,1))</f>
        <v/>
      </c>
      <c r="E281" s="4" t="str">
        <f>IFERROR(__xludf.DUMMYFUNCTION("IF($B281="""","""",INDEX(filter(Familias!F:F,Familias!$D:$D=$A281,Familias!$E:$E=$B281),1))"),"")</f>
        <v/>
      </c>
      <c r="F281" s="4" t="str">
        <f>IFERROR(__xludf.DUMMYFUNCTION("IF($B281="""","""",INDEX(filter(Familias!G:G,Familias!$D:$D=$A281,Familias!$E:$E=$B281),1))"),"")</f>
        <v/>
      </c>
      <c r="G281" s="4" t="str">
        <f t="array" ref="G281">IF(C281=1,XLOOKUP(C281,Cotizador!D:D,Cotizador!E:E,"",0,1),"")</f>
        <v/>
      </c>
      <c r="I281" s="4"/>
      <c r="J281" s="8" t="str">
        <f>IF(I281="","",SUMIF(Cotizador!I$1:V$1,I281,Cotizador!I$2:V$2))</f>
        <v/>
      </c>
      <c r="L281" s="4" t="str">
        <f t="array" ref="L281">IF(COUNTIF(L$1:L280,A$2)=SUMIF(A:A,A$2,D:D),IF(COUNTIF(L$1:L280,XLOOKUP(A$2,Implementos!B:B,Implementos!C:C,"",0,1))=SUMIF(A:A,XLOOKUP(A$2,Implementos!B:B,Implementos!C:C,"",0,1),D:D),"",XLOOKUP(A$2,Implementos!B:B,Implementos!C:C,"",0,1)),A$2)</f>
        <v/>
      </c>
      <c r="M281" s="4" t="str">
        <f t="shared" si="2"/>
        <v/>
      </c>
      <c r="N281" s="4" t="str">
        <f t="shared" si="3"/>
        <v/>
      </c>
      <c r="O281" s="4" t="str">
        <f t="shared" si="4"/>
        <v/>
      </c>
      <c r="P281" s="4" t="str">
        <f t="shared" si="5"/>
        <v/>
      </c>
      <c r="Q281" s="4" t="str">
        <f>IF(U281="","",SUMIF(Productos!E:E,U281,Productos!A:A))</f>
        <v/>
      </c>
      <c r="R281" s="4" t="str">
        <f t="array" ref="R281">IF(L281="","", max(1,SUMIF(I:I,XLOOKUP(U281,Productos!E:E,Productos!G:G,"",0,1),J:J)))</f>
        <v/>
      </c>
      <c r="S281" s="4" t="str">
        <f>IF(Q281="","",IF(SUMIFS(Compat_Vetado!D:D,Compat_Vetado!B:B,SUM(G:G),Compat_Vetado!C:C,Q281)=1,"SI",IF(OR(SUMIF(Cotizador!E:E,Q281,Cotizador!G:G)&gt;0,SUMIFS(Compat_Vetado!D:D,Compat_Vetado!B:B,SUM(G:G),Compat_Vetado!C:C,Q281)=-1),"NO","")))</f>
        <v/>
      </c>
      <c r="T281" s="4" t="str">
        <f t="shared" si="6"/>
        <v/>
      </c>
      <c r="U281" s="4" t="str">
        <f>IFERROR(__xludf.DUMMYFUNCTION("IF(P281="""","""",IFERROR(INDEX(filter(Productos!E:E,Productos!F:F=L281,Productos!H:H=N281),P281),IF(M281=SUM(D:D),""Finalizar"",""-"")))"),"")</f>
        <v/>
      </c>
      <c r="V281" s="4" t="str">
        <f>IFERROR(__xludf.DUMMYFUNCTION("IF(OR($U281="""",COUNTIF($I:$I,IFERROR(unique(filter(Prod_Prop!$H:$H,Prod_Prop!$G:$G=$U281,Prod_Prop!$E:$E=V$1)),""Check""))=0),"""",IFERROR(unique(filter(Prod_Prop!$H:$H,Prod_Prop!$G:$G=$U281,Prod_Prop!$E:$E=V$1)),""""))"),"")</f>
        <v/>
      </c>
      <c r="W281" s="4" t="str">
        <f>IF(V281="","",SUMIFS(Prod_Prop!$J:$J,Prod_Prop!$B:$B,$Q281,Prod_Prop!$H:$H,V281,Prod_Prop!$I:$I,W$1)*IF(V281="Peso",$R281,1))</f>
        <v/>
      </c>
      <c r="X281" s="4" t="str">
        <f>IF(V281="","",SUMIFS(Prod_Prop!$J:$J,Prod_Prop!$B:$B,$Q281,Prod_Prop!$H:$H,V281,Prod_Prop!$I:$I,X$1)*IF(V281="Peso",$R281,1))</f>
        <v/>
      </c>
      <c r="Y281" s="4" t="str">
        <f>IFERROR(__xludf.DUMMYFUNCTION("IF(OR($U281="""",COUNTIF($I:$I,IFERROR(unique(filter(Prod_Prop!$H:$H,Prod_Prop!$G:$G=$U281,Prod_Prop!$E:$E=Y$1)),""Check""))=0),"""",IFERROR(unique(filter(Prod_Prop!$H:$H,Prod_Prop!$G:$G=$U281,Prod_Prop!$E:$E=Y$1)),""""))"),"")</f>
        <v/>
      </c>
      <c r="Z281" s="4" t="str">
        <f>IF(Y281="","",SUMIFS(Prod_Prop!$J:$J,Prod_Prop!$B:$B,$Q281,Prod_Prop!$H:$H,Y281,Prod_Prop!$I:$I,Z$1)*IF(Y281="Peso",$R281,1))</f>
        <v/>
      </c>
      <c r="AA281" s="4" t="str">
        <f>IF(Y281="","",SUMIFS(Prod_Prop!$J:$J,Prod_Prop!$B:$B,$Q281,Prod_Prop!$H:$H,Y281,Prod_Prop!$I:$I,AA$1)*IF(Y281="Peso",$R281,1))</f>
        <v/>
      </c>
      <c r="AB281" s="4" t="str">
        <f>IFERROR(__xludf.DUMMYFUNCTION("IF(OR($U281="""",COUNTIF($I:$I,IFERROR(unique(filter(Prod_Prop!$H:$H,Prod_Prop!$G:$G=$U281,Prod_Prop!$E:$E=AB$1)),""Check""))=0),"""",IFERROR(unique(filter(Prod_Prop!$H:$H,Prod_Prop!$G:$G=$U281,Prod_Prop!$E:$E=AB$1)),""""))"),"")</f>
        <v/>
      </c>
      <c r="AC281" s="4" t="str">
        <f>IF(AB281="","",SUMIFS(Prod_Prop!$J:$J,Prod_Prop!$B:$B,$Q281,Prod_Prop!$H:$H,AB281,Prod_Prop!$I:$I,AC$1)*IF(AB281="Peso",$R281,1))</f>
        <v/>
      </c>
      <c r="AD281" s="4" t="str">
        <f>IF(AB281="","",SUMIFS(Prod_Prop!$J:$J,Prod_Prop!$B:$B,$Q281,Prod_Prop!$H:$H,AB281,Prod_Prop!$I:$I,AD$1)*IF(AB281="Peso",$R281,1))</f>
        <v/>
      </c>
    </row>
    <row r="282">
      <c r="A282" s="4" t="str">
        <f t="array" ref="A282">IF(COUNTIF(A$1:A281,Cotizador!F$2)=maxifs(Familias!E:E,Familias!D:D,Cotizador!F$2),IF(COUNTIF(A$1:A281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2" s="4" t="str">
        <f t="shared" si="1"/>
        <v/>
      </c>
      <c r="C282" s="4" t="str">
        <f t="array" ref="C282">IF(B282="","",IF(A282=XLOOKUP(A$2,Implementos!B:B,Implementos!C:C,"",0,1),B282+maxifs(B$1:B281,A$1:A281,A$2),B282))</f>
        <v/>
      </c>
      <c r="D282" s="4" t="str">
        <f>IF(B282="","", COUNTIFS(Productos!F:F,A282,Productos!H:H,B282)+IF(F282="SI",0,1))</f>
        <v/>
      </c>
      <c r="E282" s="4" t="str">
        <f>IFERROR(__xludf.DUMMYFUNCTION("IF($B282="""","""",INDEX(filter(Familias!F:F,Familias!$D:$D=$A282,Familias!$E:$E=$B282),1))"),"")</f>
        <v/>
      </c>
      <c r="F282" s="4" t="str">
        <f>IFERROR(__xludf.DUMMYFUNCTION("IF($B282="""","""",INDEX(filter(Familias!G:G,Familias!$D:$D=$A282,Familias!$E:$E=$B282),1))"),"")</f>
        <v/>
      </c>
      <c r="G282" s="4" t="str">
        <f t="array" ref="G282">IF(C282=1,XLOOKUP(C282,Cotizador!D:D,Cotizador!E:E,"",0,1),"")</f>
        <v/>
      </c>
      <c r="I282" s="4"/>
      <c r="J282" s="8" t="str">
        <f>IF(I282="","",SUMIF(Cotizador!I$1:V$1,I282,Cotizador!I$2:V$2))</f>
        <v/>
      </c>
      <c r="L282" s="4" t="str">
        <f t="array" ref="L282">IF(COUNTIF(L$1:L281,A$2)=SUMIF(A:A,A$2,D:D),IF(COUNTIF(L$1:L281,XLOOKUP(A$2,Implementos!B:B,Implementos!C:C,"",0,1))=SUMIF(A:A,XLOOKUP(A$2,Implementos!B:B,Implementos!C:C,"",0,1),D:D),"",XLOOKUP(A$2,Implementos!B:B,Implementos!C:C,"",0,1)),A$2)</f>
        <v/>
      </c>
      <c r="M282" s="4" t="str">
        <f t="shared" si="2"/>
        <v/>
      </c>
      <c r="N282" s="4" t="str">
        <f t="shared" si="3"/>
        <v/>
      </c>
      <c r="O282" s="4" t="str">
        <f t="shared" si="4"/>
        <v/>
      </c>
      <c r="P282" s="4" t="str">
        <f t="shared" si="5"/>
        <v/>
      </c>
      <c r="Q282" s="4" t="str">
        <f>IF(U282="","",SUMIF(Productos!E:E,U282,Productos!A:A))</f>
        <v/>
      </c>
      <c r="R282" s="4" t="str">
        <f t="array" ref="R282">IF(L282="","", max(1,SUMIF(I:I,XLOOKUP(U282,Productos!E:E,Productos!G:G,"",0,1),J:J)))</f>
        <v/>
      </c>
      <c r="S282" s="4" t="str">
        <f>IF(Q282="","",IF(SUMIFS(Compat_Vetado!D:D,Compat_Vetado!B:B,SUM(G:G),Compat_Vetado!C:C,Q282)=1,"SI",IF(OR(SUMIF(Cotizador!E:E,Q282,Cotizador!G:G)&gt;0,SUMIFS(Compat_Vetado!D:D,Compat_Vetado!B:B,SUM(G:G),Compat_Vetado!C:C,Q282)=-1),"NO","")))</f>
        <v/>
      </c>
      <c r="T282" s="4" t="str">
        <f t="shared" si="6"/>
        <v/>
      </c>
      <c r="U282" s="4" t="str">
        <f>IFERROR(__xludf.DUMMYFUNCTION("IF(P282="""","""",IFERROR(INDEX(filter(Productos!E:E,Productos!F:F=L282,Productos!H:H=N282),P282),IF(M282=SUM(D:D),""Finalizar"",""-"")))"),"")</f>
        <v/>
      </c>
      <c r="V282" s="4" t="str">
        <f>IFERROR(__xludf.DUMMYFUNCTION("IF(OR($U282="""",COUNTIF($I:$I,IFERROR(unique(filter(Prod_Prop!$H:$H,Prod_Prop!$G:$G=$U282,Prod_Prop!$E:$E=V$1)),""Check""))=0),"""",IFERROR(unique(filter(Prod_Prop!$H:$H,Prod_Prop!$G:$G=$U282,Prod_Prop!$E:$E=V$1)),""""))"),"")</f>
        <v/>
      </c>
      <c r="W282" s="4" t="str">
        <f>IF(V282="","",SUMIFS(Prod_Prop!$J:$J,Prod_Prop!$B:$B,$Q282,Prod_Prop!$H:$H,V282,Prod_Prop!$I:$I,W$1)*IF(V282="Peso",$R282,1))</f>
        <v/>
      </c>
      <c r="X282" s="4" t="str">
        <f>IF(V282="","",SUMIFS(Prod_Prop!$J:$J,Prod_Prop!$B:$B,$Q282,Prod_Prop!$H:$H,V282,Prod_Prop!$I:$I,X$1)*IF(V282="Peso",$R282,1))</f>
        <v/>
      </c>
      <c r="Y282" s="4" t="str">
        <f>IFERROR(__xludf.DUMMYFUNCTION("IF(OR($U282="""",COUNTIF($I:$I,IFERROR(unique(filter(Prod_Prop!$H:$H,Prod_Prop!$G:$G=$U282,Prod_Prop!$E:$E=Y$1)),""Check""))=0),"""",IFERROR(unique(filter(Prod_Prop!$H:$H,Prod_Prop!$G:$G=$U282,Prod_Prop!$E:$E=Y$1)),""""))"),"")</f>
        <v/>
      </c>
      <c r="Z282" s="4" t="str">
        <f>IF(Y282="","",SUMIFS(Prod_Prop!$J:$J,Prod_Prop!$B:$B,$Q282,Prod_Prop!$H:$H,Y282,Prod_Prop!$I:$I,Z$1)*IF(Y282="Peso",$R282,1))</f>
        <v/>
      </c>
      <c r="AA282" s="4" t="str">
        <f>IF(Y282="","",SUMIFS(Prod_Prop!$J:$J,Prod_Prop!$B:$B,$Q282,Prod_Prop!$H:$H,Y282,Prod_Prop!$I:$I,AA$1)*IF(Y282="Peso",$R282,1))</f>
        <v/>
      </c>
      <c r="AB282" s="4" t="str">
        <f>IFERROR(__xludf.DUMMYFUNCTION("IF(OR($U282="""",COUNTIF($I:$I,IFERROR(unique(filter(Prod_Prop!$H:$H,Prod_Prop!$G:$G=$U282,Prod_Prop!$E:$E=AB$1)),""Check""))=0),"""",IFERROR(unique(filter(Prod_Prop!$H:$H,Prod_Prop!$G:$G=$U282,Prod_Prop!$E:$E=AB$1)),""""))"),"")</f>
        <v/>
      </c>
      <c r="AC282" s="4" t="str">
        <f>IF(AB282="","",SUMIFS(Prod_Prop!$J:$J,Prod_Prop!$B:$B,$Q282,Prod_Prop!$H:$H,AB282,Prod_Prop!$I:$I,AC$1)*IF(AB282="Peso",$R282,1))</f>
        <v/>
      </c>
      <c r="AD282" s="4" t="str">
        <f>IF(AB282="","",SUMIFS(Prod_Prop!$J:$J,Prod_Prop!$B:$B,$Q282,Prod_Prop!$H:$H,AB282,Prod_Prop!$I:$I,AD$1)*IF(AB282="Peso",$R282,1))</f>
        <v/>
      </c>
    </row>
    <row r="283">
      <c r="A283" s="4" t="str">
        <f t="array" ref="A283">IF(COUNTIF(A$1:A282,Cotizador!F$2)=maxifs(Familias!E:E,Familias!D:D,Cotizador!F$2),IF(COUNTIF(A$1:A282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3" s="4" t="str">
        <f t="shared" si="1"/>
        <v/>
      </c>
      <c r="C283" s="4" t="str">
        <f t="array" ref="C283">IF(B283="","",IF(A283=XLOOKUP(A$2,Implementos!B:B,Implementos!C:C,"",0,1),B283+maxifs(B$1:B282,A$1:A282,A$2),B283))</f>
        <v/>
      </c>
      <c r="D283" s="4" t="str">
        <f>IF(B283="","", COUNTIFS(Productos!F:F,A283,Productos!H:H,B283)+IF(F283="SI",0,1))</f>
        <v/>
      </c>
      <c r="E283" s="4" t="str">
        <f>IFERROR(__xludf.DUMMYFUNCTION("IF($B283="""","""",INDEX(filter(Familias!F:F,Familias!$D:$D=$A283,Familias!$E:$E=$B283),1))"),"")</f>
        <v/>
      </c>
      <c r="F283" s="4" t="str">
        <f>IFERROR(__xludf.DUMMYFUNCTION("IF($B283="""","""",INDEX(filter(Familias!G:G,Familias!$D:$D=$A283,Familias!$E:$E=$B283),1))"),"")</f>
        <v/>
      </c>
      <c r="G283" s="4" t="str">
        <f t="array" ref="G283">IF(C283=1,XLOOKUP(C283,Cotizador!D:D,Cotizador!E:E,"",0,1),"")</f>
        <v/>
      </c>
      <c r="I283" s="4"/>
      <c r="J283" s="8" t="str">
        <f>IF(I283="","",SUMIF(Cotizador!I$1:V$1,I283,Cotizador!I$2:V$2))</f>
        <v/>
      </c>
      <c r="L283" s="4" t="str">
        <f t="array" ref="L283">IF(COUNTIF(L$1:L282,A$2)=SUMIF(A:A,A$2,D:D),IF(COUNTIF(L$1:L282,XLOOKUP(A$2,Implementos!B:B,Implementos!C:C,"",0,1))=SUMIF(A:A,XLOOKUP(A$2,Implementos!B:B,Implementos!C:C,"",0,1),D:D),"",XLOOKUP(A$2,Implementos!B:B,Implementos!C:C,"",0,1)),A$2)</f>
        <v/>
      </c>
      <c r="M283" s="4" t="str">
        <f t="shared" si="2"/>
        <v/>
      </c>
      <c r="N283" s="4" t="str">
        <f t="shared" si="3"/>
        <v/>
      </c>
      <c r="O283" s="4" t="str">
        <f t="shared" si="4"/>
        <v/>
      </c>
      <c r="P283" s="4" t="str">
        <f t="shared" si="5"/>
        <v/>
      </c>
      <c r="Q283" s="4" t="str">
        <f>IF(U283="","",SUMIF(Productos!E:E,U283,Productos!A:A))</f>
        <v/>
      </c>
      <c r="R283" s="4" t="str">
        <f t="array" ref="R283">IF(L283="","", max(1,SUMIF(I:I,XLOOKUP(U283,Productos!E:E,Productos!G:G,"",0,1),J:J)))</f>
        <v/>
      </c>
      <c r="S283" s="4" t="str">
        <f>IF(Q283="","",IF(SUMIFS(Compat_Vetado!D:D,Compat_Vetado!B:B,SUM(G:G),Compat_Vetado!C:C,Q283)=1,"SI",IF(OR(SUMIF(Cotizador!E:E,Q283,Cotizador!G:G)&gt;0,SUMIFS(Compat_Vetado!D:D,Compat_Vetado!B:B,SUM(G:G),Compat_Vetado!C:C,Q283)=-1),"NO","")))</f>
        <v/>
      </c>
      <c r="T283" s="4" t="str">
        <f t="shared" si="6"/>
        <v/>
      </c>
      <c r="U283" s="4" t="str">
        <f>IFERROR(__xludf.DUMMYFUNCTION("IF(P283="""","""",IFERROR(INDEX(filter(Productos!E:E,Productos!F:F=L283,Productos!H:H=N283),P283),IF(M283=SUM(D:D),""Finalizar"",""-"")))"),"")</f>
        <v/>
      </c>
      <c r="V283" s="4" t="str">
        <f>IFERROR(__xludf.DUMMYFUNCTION("IF(OR($U283="""",COUNTIF($I:$I,IFERROR(unique(filter(Prod_Prop!$H:$H,Prod_Prop!$G:$G=$U283,Prod_Prop!$E:$E=V$1)),""Check""))=0),"""",IFERROR(unique(filter(Prod_Prop!$H:$H,Prod_Prop!$G:$G=$U283,Prod_Prop!$E:$E=V$1)),""""))"),"")</f>
        <v/>
      </c>
      <c r="W283" s="4" t="str">
        <f>IF(V283="","",SUMIFS(Prod_Prop!$J:$J,Prod_Prop!$B:$B,$Q283,Prod_Prop!$H:$H,V283,Prod_Prop!$I:$I,W$1)*IF(V283="Peso",$R283,1))</f>
        <v/>
      </c>
      <c r="X283" s="4" t="str">
        <f>IF(V283="","",SUMIFS(Prod_Prop!$J:$J,Prod_Prop!$B:$B,$Q283,Prod_Prop!$H:$H,V283,Prod_Prop!$I:$I,X$1)*IF(V283="Peso",$R283,1))</f>
        <v/>
      </c>
      <c r="Y283" s="4" t="str">
        <f>IFERROR(__xludf.DUMMYFUNCTION("IF(OR($U283="""",COUNTIF($I:$I,IFERROR(unique(filter(Prod_Prop!$H:$H,Prod_Prop!$G:$G=$U283,Prod_Prop!$E:$E=Y$1)),""Check""))=0),"""",IFERROR(unique(filter(Prod_Prop!$H:$H,Prod_Prop!$G:$G=$U283,Prod_Prop!$E:$E=Y$1)),""""))"),"")</f>
        <v/>
      </c>
      <c r="Z283" s="4" t="str">
        <f>IF(Y283="","",SUMIFS(Prod_Prop!$J:$J,Prod_Prop!$B:$B,$Q283,Prod_Prop!$H:$H,Y283,Prod_Prop!$I:$I,Z$1)*IF(Y283="Peso",$R283,1))</f>
        <v/>
      </c>
      <c r="AA283" s="4" t="str">
        <f>IF(Y283="","",SUMIFS(Prod_Prop!$J:$J,Prod_Prop!$B:$B,$Q283,Prod_Prop!$H:$H,Y283,Prod_Prop!$I:$I,AA$1)*IF(Y283="Peso",$R283,1))</f>
        <v/>
      </c>
      <c r="AB283" s="4" t="str">
        <f>IFERROR(__xludf.DUMMYFUNCTION("IF(OR($U283="""",COUNTIF($I:$I,IFERROR(unique(filter(Prod_Prop!$H:$H,Prod_Prop!$G:$G=$U283,Prod_Prop!$E:$E=AB$1)),""Check""))=0),"""",IFERROR(unique(filter(Prod_Prop!$H:$H,Prod_Prop!$G:$G=$U283,Prod_Prop!$E:$E=AB$1)),""""))"),"")</f>
        <v/>
      </c>
      <c r="AC283" s="4" t="str">
        <f>IF(AB283="","",SUMIFS(Prod_Prop!$J:$J,Prod_Prop!$B:$B,$Q283,Prod_Prop!$H:$H,AB283,Prod_Prop!$I:$I,AC$1)*IF(AB283="Peso",$R283,1))</f>
        <v/>
      </c>
      <c r="AD283" s="4" t="str">
        <f>IF(AB283="","",SUMIFS(Prod_Prop!$J:$J,Prod_Prop!$B:$B,$Q283,Prod_Prop!$H:$H,AB283,Prod_Prop!$I:$I,AD$1)*IF(AB283="Peso",$R283,1))</f>
        <v/>
      </c>
    </row>
    <row r="284">
      <c r="A284" s="4" t="str">
        <f t="array" ref="A284">IF(COUNTIF(A$1:A283,Cotizador!F$2)=maxifs(Familias!E:E,Familias!D:D,Cotizador!F$2),IF(COUNTIF(A$1:A283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4" s="4" t="str">
        <f t="shared" si="1"/>
        <v/>
      </c>
      <c r="C284" s="4" t="str">
        <f t="array" ref="C284">IF(B284="","",IF(A284=XLOOKUP(A$2,Implementos!B:B,Implementos!C:C,"",0,1),B284+maxifs(B$1:B283,A$1:A283,A$2),B284))</f>
        <v/>
      </c>
      <c r="D284" s="4" t="str">
        <f>IF(B284="","", COUNTIFS(Productos!F:F,A284,Productos!H:H,B284)+IF(F284="SI",0,1))</f>
        <v/>
      </c>
      <c r="E284" s="4" t="str">
        <f>IFERROR(__xludf.DUMMYFUNCTION("IF($B284="""","""",INDEX(filter(Familias!F:F,Familias!$D:$D=$A284,Familias!$E:$E=$B284),1))"),"")</f>
        <v/>
      </c>
      <c r="F284" s="4" t="str">
        <f>IFERROR(__xludf.DUMMYFUNCTION("IF($B284="""","""",INDEX(filter(Familias!G:G,Familias!$D:$D=$A284,Familias!$E:$E=$B284),1))"),"")</f>
        <v/>
      </c>
      <c r="G284" s="4" t="str">
        <f t="array" ref="G284">IF(C284=1,XLOOKUP(C284,Cotizador!D:D,Cotizador!E:E,"",0,1),"")</f>
        <v/>
      </c>
      <c r="I284" s="4"/>
      <c r="J284" s="8" t="str">
        <f>IF(I284="","",SUMIF(Cotizador!I$1:V$1,I284,Cotizador!I$2:V$2))</f>
        <v/>
      </c>
      <c r="L284" s="4" t="str">
        <f t="array" ref="L284">IF(COUNTIF(L$1:L283,A$2)=SUMIF(A:A,A$2,D:D),IF(COUNTIF(L$1:L283,XLOOKUP(A$2,Implementos!B:B,Implementos!C:C,"",0,1))=SUMIF(A:A,XLOOKUP(A$2,Implementos!B:B,Implementos!C:C,"",0,1),D:D),"",XLOOKUP(A$2,Implementos!B:B,Implementos!C:C,"",0,1)),A$2)</f>
        <v/>
      </c>
      <c r="M284" s="4" t="str">
        <f t="shared" si="2"/>
        <v/>
      </c>
      <c r="N284" s="4" t="str">
        <f t="shared" si="3"/>
        <v/>
      </c>
      <c r="O284" s="4" t="str">
        <f t="shared" si="4"/>
        <v/>
      </c>
      <c r="P284" s="4" t="str">
        <f t="shared" si="5"/>
        <v/>
      </c>
      <c r="Q284" s="4" t="str">
        <f>IF(U284="","",SUMIF(Productos!E:E,U284,Productos!A:A))</f>
        <v/>
      </c>
      <c r="R284" s="4" t="str">
        <f t="array" ref="R284">IF(L284="","", max(1,SUMIF(I:I,XLOOKUP(U284,Productos!E:E,Productos!G:G,"",0,1),J:J)))</f>
        <v/>
      </c>
      <c r="S284" s="4" t="str">
        <f>IF(Q284="","",IF(SUMIFS(Compat_Vetado!D:D,Compat_Vetado!B:B,SUM(G:G),Compat_Vetado!C:C,Q284)=1,"SI",IF(OR(SUMIF(Cotizador!E:E,Q284,Cotizador!G:G)&gt;0,SUMIFS(Compat_Vetado!D:D,Compat_Vetado!B:B,SUM(G:G),Compat_Vetado!C:C,Q284)=-1),"NO","")))</f>
        <v/>
      </c>
      <c r="T284" s="4" t="str">
        <f t="shared" si="6"/>
        <v/>
      </c>
      <c r="U284" s="4" t="str">
        <f>IFERROR(__xludf.DUMMYFUNCTION("IF(P284="""","""",IFERROR(INDEX(filter(Productos!E:E,Productos!F:F=L284,Productos!H:H=N284),P284),IF(M284=SUM(D:D),""Finalizar"",""-"")))"),"")</f>
        <v/>
      </c>
      <c r="V284" s="4" t="str">
        <f>IFERROR(__xludf.DUMMYFUNCTION("IF(OR($U284="""",COUNTIF($I:$I,IFERROR(unique(filter(Prod_Prop!$H:$H,Prod_Prop!$G:$G=$U284,Prod_Prop!$E:$E=V$1)),""Check""))=0),"""",IFERROR(unique(filter(Prod_Prop!$H:$H,Prod_Prop!$G:$G=$U284,Prod_Prop!$E:$E=V$1)),""""))"),"")</f>
        <v/>
      </c>
      <c r="W284" s="4" t="str">
        <f>IF(V284="","",SUMIFS(Prod_Prop!$J:$J,Prod_Prop!$B:$B,$Q284,Prod_Prop!$H:$H,V284,Prod_Prop!$I:$I,W$1)*IF(V284="Peso",$R284,1))</f>
        <v/>
      </c>
      <c r="X284" s="4" t="str">
        <f>IF(V284="","",SUMIFS(Prod_Prop!$J:$J,Prod_Prop!$B:$B,$Q284,Prod_Prop!$H:$H,V284,Prod_Prop!$I:$I,X$1)*IF(V284="Peso",$R284,1))</f>
        <v/>
      </c>
      <c r="Y284" s="4" t="str">
        <f>IFERROR(__xludf.DUMMYFUNCTION("IF(OR($U284="""",COUNTIF($I:$I,IFERROR(unique(filter(Prod_Prop!$H:$H,Prod_Prop!$G:$G=$U284,Prod_Prop!$E:$E=Y$1)),""Check""))=0),"""",IFERROR(unique(filter(Prod_Prop!$H:$H,Prod_Prop!$G:$G=$U284,Prod_Prop!$E:$E=Y$1)),""""))"),"")</f>
        <v/>
      </c>
      <c r="Z284" s="4" t="str">
        <f>IF(Y284="","",SUMIFS(Prod_Prop!$J:$J,Prod_Prop!$B:$B,$Q284,Prod_Prop!$H:$H,Y284,Prod_Prop!$I:$I,Z$1)*IF(Y284="Peso",$R284,1))</f>
        <v/>
      </c>
      <c r="AA284" s="4" t="str">
        <f>IF(Y284="","",SUMIFS(Prod_Prop!$J:$J,Prod_Prop!$B:$B,$Q284,Prod_Prop!$H:$H,Y284,Prod_Prop!$I:$I,AA$1)*IF(Y284="Peso",$R284,1))</f>
        <v/>
      </c>
      <c r="AB284" s="4" t="str">
        <f>IFERROR(__xludf.DUMMYFUNCTION("IF(OR($U284="""",COUNTIF($I:$I,IFERROR(unique(filter(Prod_Prop!$H:$H,Prod_Prop!$G:$G=$U284,Prod_Prop!$E:$E=AB$1)),""Check""))=0),"""",IFERROR(unique(filter(Prod_Prop!$H:$H,Prod_Prop!$G:$G=$U284,Prod_Prop!$E:$E=AB$1)),""""))"),"")</f>
        <v/>
      </c>
      <c r="AC284" s="4" t="str">
        <f>IF(AB284="","",SUMIFS(Prod_Prop!$J:$J,Prod_Prop!$B:$B,$Q284,Prod_Prop!$H:$H,AB284,Prod_Prop!$I:$I,AC$1)*IF(AB284="Peso",$R284,1))</f>
        <v/>
      </c>
      <c r="AD284" s="4" t="str">
        <f>IF(AB284="","",SUMIFS(Prod_Prop!$J:$J,Prod_Prop!$B:$B,$Q284,Prod_Prop!$H:$H,AB284,Prod_Prop!$I:$I,AD$1)*IF(AB284="Peso",$R284,1))</f>
        <v/>
      </c>
    </row>
    <row r="285">
      <c r="A285" s="4" t="str">
        <f t="array" ref="A285">IF(COUNTIF(A$1:A284,Cotizador!F$2)=maxifs(Familias!E:E,Familias!D:D,Cotizador!F$2),IF(COUNTIF(A$1:A284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5" s="4" t="str">
        <f t="shared" si="1"/>
        <v/>
      </c>
      <c r="C285" s="4" t="str">
        <f t="array" ref="C285">IF(B285="","",IF(A285=XLOOKUP(A$2,Implementos!B:B,Implementos!C:C,"",0,1),B285+maxifs(B$1:B284,A$1:A284,A$2),B285))</f>
        <v/>
      </c>
      <c r="D285" s="4" t="str">
        <f>IF(B285="","", COUNTIFS(Productos!F:F,A285,Productos!H:H,B285)+IF(F285="SI",0,1))</f>
        <v/>
      </c>
      <c r="E285" s="4" t="str">
        <f>IFERROR(__xludf.DUMMYFUNCTION("IF($B285="""","""",INDEX(filter(Familias!F:F,Familias!$D:$D=$A285,Familias!$E:$E=$B285),1))"),"")</f>
        <v/>
      </c>
      <c r="F285" s="4" t="str">
        <f>IFERROR(__xludf.DUMMYFUNCTION("IF($B285="""","""",INDEX(filter(Familias!G:G,Familias!$D:$D=$A285,Familias!$E:$E=$B285),1))"),"")</f>
        <v/>
      </c>
      <c r="G285" s="4" t="str">
        <f t="array" ref="G285">IF(C285=1,XLOOKUP(C285,Cotizador!D:D,Cotizador!E:E,"",0,1),"")</f>
        <v/>
      </c>
      <c r="I285" s="4"/>
      <c r="J285" s="8" t="str">
        <f>IF(I285="","",SUMIF(Cotizador!I$1:V$1,I285,Cotizador!I$2:V$2))</f>
        <v/>
      </c>
      <c r="L285" s="4" t="str">
        <f t="array" ref="L285">IF(COUNTIF(L$1:L284,A$2)=SUMIF(A:A,A$2,D:D),IF(COUNTIF(L$1:L284,XLOOKUP(A$2,Implementos!B:B,Implementos!C:C,"",0,1))=SUMIF(A:A,XLOOKUP(A$2,Implementos!B:B,Implementos!C:C,"",0,1),D:D),"",XLOOKUP(A$2,Implementos!B:B,Implementos!C:C,"",0,1)),A$2)</f>
        <v/>
      </c>
      <c r="M285" s="4" t="str">
        <f t="shared" si="2"/>
        <v/>
      </c>
      <c r="N285" s="4" t="str">
        <f t="shared" si="3"/>
        <v/>
      </c>
      <c r="O285" s="4" t="str">
        <f t="shared" si="4"/>
        <v/>
      </c>
      <c r="P285" s="4" t="str">
        <f t="shared" si="5"/>
        <v/>
      </c>
      <c r="Q285" s="4" t="str">
        <f>IF(U285="","",SUMIF(Productos!E:E,U285,Productos!A:A))</f>
        <v/>
      </c>
      <c r="R285" s="4" t="str">
        <f t="array" ref="R285">IF(L285="","", max(1,SUMIF(I:I,XLOOKUP(U285,Productos!E:E,Productos!G:G,"",0,1),J:J)))</f>
        <v/>
      </c>
      <c r="S285" s="4" t="str">
        <f>IF(Q285="","",IF(SUMIFS(Compat_Vetado!D:D,Compat_Vetado!B:B,SUM(G:G),Compat_Vetado!C:C,Q285)=1,"SI",IF(OR(SUMIF(Cotizador!E:E,Q285,Cotizador!G:G)&gt;0,SUMIFS(Compat_Vetado!D:D,Compat_Vetado!B:B,SUM(G:G),Compat_Vetado!C:C,Q285)=-1),"NO","")))</f>
        <v/>
      </c>
      <c r="T285" s="4" t="str">
        <f t="shared" si="6"/>
        <v/>
      </c>
      <c r="U285" s="4" t="str">
        <f>IFERROR(__xludf.DUMMYFUNCTION("IF(P285="""","""",IFERROR(INDEX(filter(Productos!E:E,Productos!F:F=L285,Productos!H:H=N285),P285),IF(M285=SUM(D:D),""Finalizar"",""-"")))"),"")</f>
        <v/>
      </c>
      <c r="V285" s="4" t="str">
        <f>IFERROR(__xludf.DUMMYFUNCTION("IF(OR($U285="""",COUNTIF($I:$I,IFERROR(unique(filter(Prod_Prop!$H:$H,Prod_Prop!$G:$G=$U285,Prod_Prop!$E:$E=V$1)),""Check""))=0),"""",IFERROR(unique(filter(Prod_Prop!$H:$H,Prod_Prop!$G:$G=$U285,Prod_Prop!$E:$E=V$1)),""""))"),"")</f>
        <v/>
      </c>
      <c r="W285" s="4" t="str">
        <f>IF(V285="","",SUMIFS(Prod_Prop!$J:$J,Prod_Prop!$B:$B,$Q285,Prod_Prop!$H:$H,V285,Prod_Prop!$I:$I,W$1)*IF(V285="Peso",$R285,1))</f>
        <v/>
      </c>
      <c r="X285" s="4" t="str">
        <f>IF(V285="","",SUMIFS(Prod_Prop!$J:$J,Prod_Prop!$B:$B,$Q285,Prod_Prop!$H:$H,V285,Prod_Prop!$I:$I,X$1)*IF(V285="Peso",$R285,1))</f>
        <v/>
      </c>
      <c r="Y285" s="4" t="str">
        <f>IFERROR(__xludf.DUMMYFUNCTION("IF(OR($U285="""",COUNTIF($I:$I,IFERROR(unique(filter(Prod_Prop!$H:$H,Prod_Prop!$G:$G=$U285,Prod_Prop!$E:$E=Y$1)),""Check""))=0),"""",IFERROR(unique(filter(Prod_Prop!$H:$H,Prod_Prop!$G:$G=$U285,Prod_Prop!$E:$E=Y$1)),""""))"),"")</f>
        <v/>
      </c>
      <c r="Z285" s="4" t="str">
        <f>IF(Y285="","",SUMIFS(Prod_Prop!$J:$J,Prod_Prop!$B:$B,$Q285,Prod_Prop!$H:$H,Y285,Prod_Prop!$I:$I,Z$1)*IF(Y285="Peso",$R285,1))</f>
        <v/>
      </c>
      <c r="AA285" s="4" t="str">
        <f>IF(Y285="","",SUMIFS(Prod_Prop!$J:$J,Prod_Prop!$B:$B,$Q285,Prod_Prop!$H:$H,Y285,Prod_Prop!$I:$I,AA$1)*IF(Y285="Peso",$R285,1))</f>
        <v/>
      </c>
      <c r="AB285" s="4" t="str">
        <f>IFERROR(__xludf.DUMMYFUNCTION("IF(OR($U285="""",COUNTIF($I:$I,IFERROR(unique(filter(Prod_Prop!$H:$H,Prod_Prop!$G:$G=$U285,Prod_Prop!$E:$E=AB$1)),""Check""))=0),"""",IFERROR(unique(filter(Prod_Prop!$H:$H,Prod_Prop!$G:$G=$U285,Prod_Prop!$E:$E=AB$1)),""""))"),"")</f>
        <v/>
      </c>
      <c r="AC285" s="4" t="str">
        <f>IF(AB285="","",SUMIFS(Prod_Prop!$J:$J,Prod_Prop!$B:$B,$Q285,Prod_Prop!$H:$H,AB285,Prod_Prop!$I:$I,AC$1)*IF(AB285="Peso",$R285,1))</f>
        <v/>
      </c>
      <c r="AD285" s="4" t="str">
        <f>IF(AB285="","",SUMIFS(Prod_Prop!$J:$J,Prod_Prop!$B:$B,$Q285,Prod_Prop!$H:$H,AB285,Prod_Prop!$I:$I,AD$1)*IF(AB285="Peso",$R285,1))</f>
        <v/>
      </c>
    </row>
    <row r="286">
      <c r="A286" s="4" t="str">
        <f t="array" ref="A286">IF(COUNTIF(A$1:A285,Cotizador!F$2)=maxifs(Familias!E:E,Familias!D:D,Cotizador!F$2),IF(COUNTIF(A$1:A285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6" s="4" t="str">
        <f t="shared" si="1"/>
        <v/>
      </c>
      <c r="C286" s="4" t="str">
        <f t="array" ref="C286">IF(B286="","",IF(A286=XLOOKUP(A$2,Implementos!B:B,Implementos!C:C,"",0,1),B286+maxifs(B$1:B285,A$1:A285,A$2),B286))</f>
        <v/>
      </c>
      <c r="D286" s="4" t="str">
        <f>IF(B286="","", COUNTIFS(Productos!F:F,A286,Productos!H:H,B286)+IF(F286="SI",0,1))</f>
        <v/>
      </c>
      <c r="E286" s="4" t="str">
        <f>IFERROR(__xludf.DUMMYFUNCTION("IF($B286="""","""",INDEX(filter(Familias!F:F,Familias!$D:$D=$A286,Familias!$E:$E=$B286),1))"),"")</f>
        <v/>
      </c>
      <c r="F286" s="4" t="str">
        <f>IFERROR(__xludf.DUMMYFUNCTION("IF($B286="""","""",INDEX(filter(Familias!G:G,Familias!$D:$D=$A286,Familias!$E:$E=$B286),1))"),"")</f>
        <v/>
      </c>
      <c r="G286" s="4" t="str">
        <f t="array" ref="G286">IF(C286=1,XLOOKUP(C286,Cotizador!D:D,Cotizador!E:E,"",0,1),"")</f>
        <v/>
      </c>
      <c r="I286" s="4"/>
      <c r="J286" s="8" t="str">
        <f>IF(I286="","",SUMIF(Cotizador!I$1:V$1,I286,Cotizador!I$2:V$2))</f>
        <v/>
      </c>
      <c r="L286" s="4" t="str">
        <f t="array" ref="L286">IF(COUNTIF(L$1:L285,A$2)=SUMIF(A:A,A$2,D:D),IF(COUNTIF(L$1:L285,XLOOKUP(A$2,Implementos!B:B,Implementos!C:C,"",0,1))=SUMIF(A:A,XLOOKUP(A$2,Implementos!B:B,Implementos!C:C,"",0,1),D:D),"",XLOOKUP(A$2,Implementos!B:B,Implementos!C:C,"",0,1)),A$2)</f>
        <v/>
      </c>
      <c r="M286" s="4" t="str">
        <f t="shared" si="2"/>
        <v/>
      </c>
      <c r="N286" s="4" t="str">
        <f t="shared" si="3"/>
        <v/>
      </c>
      <c r="O286" s="4" t="str">
        <f t="shared" si="4"/>
        <v/>
      </c>
      <c r="P286" s="4" t="str">
        <f t="shared" si="5"/>
        <v/>
      </c>
      <c r="Q286" s="4" t="str">
        <f>IF(U286="","",SUMIF(Productos!E:E,U286,Productos!A:A))</f>
        <v/>
      </c>
      <c r="R286" s="4" t="str">
        <f t="array" ref="R286">IF(L286="","", max(1,SUMIF(I:I,XLOOKUP(U286,Productos!E:E,Productos!G:G,"",0,1),J:J)))</f>
        <v/>
      </c>
      <c r="S286" s="4" t="str">
        <f>IF(Q286="","",IF(SUMIFS(Compat_Vetado!D:D,Compat_Vetado!B:B,SUM(G:G),Compat_Vetado!C:C,Q286)=1,"SI",IF(OR(SUMIF(Cotizador!E:E,Q286,Cotizador!G:G)&gt;0,SUMIFS(Compat_Vetado!D:D,Compat_Vetado!B:B,SUM(G:G),Compat_Vetado!C:C,Q286)=-1),"NO","")))</f>
        <v/>
      </c>
      <c r="T286" s="4" t="str">
        <f t="shared" si="6"/>
        <v/>
      </c>
      <c r="U286" s="4" t="str">
        <f>IFERROR(__xludf.DUMMYFUNCTION("IF(P286="""","""",IFERROR(INDEX(filter(Productos!E:E,Productos!F:F=L286,Productos!H:H=N286),P286),IF(M286=SUM(D:D),""Finalizar"",""-"")))"),"")</f>
        <v/>
      </c>
      <c r="V286" s="4" t="str">
        <f>IFERROR(__xludf.DUMMYFUNCTION("IF(OR($U286="""",COUNTIF($I:$I,IFERROR(unique(filter(Prod_Prop!$H:$H,Prod_Prop!$G:$G=$U286,Prod_Prop!$E:$E=V$1)),""Check""))=0),"""",IFERROR(unique(filter(Prod_Prop!$H:$H,Prod_Prop!$G:$G=$U286,Prod_Prop!$E:$E=V$1)),""""))"),"")</f>
        <v/>
      </c>
      <c r="W286" s="4" t="str">
        <f>IF(V286="","",SUMIFS(Prod_Prop!$J:$J,Prod_Prop!$B:$B,$Q286,Prod_Prop!$H:$H,V286,Prod_Prop!$I:$I,W$1)*IF(V286="Peso",$R286,1))</f>
        <v/>
      </c>
      <c r="X286" s="4" t="str">
        <f>IF(V286="","",SUMIFS(Prod_Prop!$J:$J,Prod_Prop!$B:$B,$Q286,Prod_Prop!$H:$H,V286,Prod_Prop!$I:$I,X$1)*IF(V286="Peso",$R286,1))</f>
        <v/>
      </c>
      <c r="Y286" s="4" t="str">
        <f>IFERROR(__xludf.DUMMYFUNCTION("IF(OR($U286="""",COUNTIF($I:$I,IFERROR(unique(filter(Prod_Prop!$H:$H,Prod_Prop!$G:$G=$U286,Prod_Prop!$E:$E=Y$1)),""Check""))=0),"""",IFERROR(unique(filter(Prod_Prop!$H:$H,Prod_Prop!$G:$G=$U286,Prod_Prop!$E:$E=Y$1)),""""))"),"")</f>
        <v/>
      </c>
      <c r="Z286" s="4" t="str">
        <f>IF(Y286="","",SUMIFS(Prod_Prop!$J:$J,Prod_Prop!$B:$B,$Q286,Prod_Prop!$H:$H,Y286,Prod_Prop!$I:$I,Z$1)*IF(Y286="Peso",$R286,1))</f>
        <v/>
      </c>
      <c r="AA286" s="4" t="str">
        <f>IF(Y286="","",SUMIFS(Prod_Prop!$J:$J,Prod_Prop!$B:$B,$Q286,Prod_Prop!$H:$H,Y286,Prod_Prop!$I:$I,AA$1)*IF(Y286="Peso",$R286,1))</f>
        <v/>
      </c>
      <c r="AB286" s="4" t="str">
        <f>IFERROR(__xludf.DUMMYFUNCTION("IF(OR($U286="""",COUNTIF($I:$I,IFERROR(unique(filter(Prod_Prop!$H:$H,Prod_Prop!$G:$G=$U286,Prod_Prop!$E:$E=AB$1)),""Check""))=0),"""",IFERROR(unique(filter(Prod_Prop!$H:$H,Prod_Prop!$G:$G=$U286,Prod_Prop!$E:$E=AB$1)),""""))"),"")</f>
        <v/>
      </c>
      <c r="AC286" s="4" t="str">
        <f>IF(AB286="","",SUMIFS(Prod_Prop!$J:$J,Prod_Prop!$B:$B,$Q286,Prod_Prop!$H:$H,AB286,Prod_Prop!$I:$I,AC$1)*IF(AB286="Peso",$R286,1))</f>
        <v/>
      </c>
      <c r="AD286" s="4" t="str">
        <f>IF(AB286="","",SUMIFS(Prod_Prop!$J:$J,Prod_Prop!$B:$B,$Q286,Prod_Prop!$H:$H,AB286,Prod_Prop!$I:$I,AD$1)*IF(AB286="Peso",$R286,1))</f>
        <v/>
      </c>
    </row>
    <row r="287">
      <c r="A287" s="4" t="str">
        <f t="array" ref="A287">IF(COUNTIF(A$1:A286,Cotizador!F$2)=maxifs(Familias!E:E,Familias!D:D,Cotizador!F$2),IF(COUNTIF(A$1:A286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7" s="4" t="str">
        <f t="shared" si="1"/>
        <v/>
      </c>
      <c r="C287" s="4" t="str">
        <f t="array" ref="C287">IF(B287="","",IF(A287=XLOOKUP(A$2,Implementos!B:B,Implementos!C:C,"",0,1),B287+maxifs(B$1:B286,A$1:A286,A$2),B287))</f>
        <v/>
      </c>
      <c r="D287" s="4" t="str">
        <f>IF(B287="","", COUNTIFS(Productos!F:F,A287,Productos!H:H,B287)+IF(F287="SI",0,1))</f>
        <v/>
      </c>
      <c r="E287" s="4" t="str">
        <f>IFERROR(__xludf.DUMMYFUNCTION("IF($B287="""","""",INDEX(filter(Familias!F:F,Familias!$D:$D=$A287,Familias!$E:$E=$B287),1))"),"")</f>
        <v/>
      </c>
      <c r="F287" s="4" t="str">
        <f>IFERROR(__xludf.DUMMYFUNCTION("IF($B287="""","""",INDEX(filter(Familias!G:G,Familias!$D:$D=$A287,Familias!$E:$E=$B287),1))"),"")</f>
        <v/>
      </c>
      <c r="G287" s="4" t="str">
        <f t="array" ref="G287">IF(C287=1,XLOOKUP(C287,Cotizador!D:D,Cotizador!E:E,"",0,1),"")</f>
        <v/>
      </c>
      <c r="I287" s="4"/>
      <c r="J287" s="8" t="str">
        <f>IF(I287="","",SUMIF(Cotizador!I$1:V$1,I287,Cotizador!I$2:V$2))</f>
        <v/>
      </c>
      <c r="L287" s="4" t="str">
        <f t="array" ref="L287">IF(COUNTIF(L$1:L286,A$2)=SUMIF(A:A,A$2,D:D),IF(COUNTIF(L$1:L286,XLOOKUP(A$2,Implementos!B:B,Implementos!C:C,"",0,1))=SUMIF(A:A,XLOOKUP(A$2,Implementos!B:B,Implementos!C:C,"",0,1),D:D),"",XLOOKUP(A$2,Implementos!B:B,Implementos!C:C,"",0,1)),A$2)</f>
        <v/>
      </c>
      <c r="M287" s="4" t="str">
        <f t="shared" si="2"/>
        <v/>
      </c>
      <c r="N287" s="4" t="str">
        <f t="shared" si="3"/>
        <v/>
      </c>
      <c r="O287" s="4" t="str">
        <f t="shared" si="4"/>
        <v/>
      </c>
      <c r="P287" s="4" t="str">
        <f t="shared" si="5"/>
        <v/>
      </c>
      <c r="Q287" s="4" t="str">
        <f>IF(U287="","",SUMIF(Productos!E:E,U287,Productos!A:A))</f>
        <v/>
      </c>
      <c r="R287" s="4" t="str">
        <f t="array" ref="R287">IF(L287="","", max(1,SUMIF(I:I,XLOOKUP(U287,Productos!E:E,Productos!G:G,"",0,1),J:J)))</f>
        <v/>
      </c>
      <c r="S287" s="4" t="str">
        <f>IF(Q287="","",IF(SUMIFS(Compat_Vetado!D:D,Compat_Vetado!B:B,SUM(G:G),Compat_Vetado!C:C,Q287)=1,"SI",IF(OR(SUMIF(Cotizador!E:E,Q287,Cotizador!G:G)&gt;0,SUMIFS(Compat_Vetado!D:D,Compat_Vetado!B:B,SUM(G:G),Compat_Vetado!C:C,Q287)=-1),"NO","")))</f>
        <v/>
      </c>
      <c r="T287" s="4" t="str">
        <f t="shared" si="6"/>
        <v/>
      </c>
      <c r="U287" s="4" t="str">
        <f>IFERROR(__xludf.DUMMYFUNCTION("IF(P287="""","""",IFERROR(INDEX(filter(Productos!E:E,Productos!F:F=L287,Productos!H:H=N287),P287),IF(M287=SUM(D:D),""Finalizar"",""-"")))"),"")</f>
        <v/>
      </c>
      <c r="V287" s="4" t="str">
        <f>IFERROR(__xludf.DUMMYFUNCTION("IF(OR($U287="""",COUNTIF($I:$I,IFERROR(unique(filter(Prod_Prop!$H:$H,Prod_Prop!$G:$G=$U287,Prod_Prop!$E:$E=V$1)),""Check""))=0),"""",IFERROR(unique(filter(Prod_Prop!$H:$H,Prod_Prop!$G:$G=$U287,Prod_Prop!$E:$E=V$1)),""""))"),"")</f>
        <v/>
      </c>
      <c r="W287" s="4" t="str">
        <f>IF(V287="","",SUMIFS(Prod_Prop!$J:$J,Prod_Prop!$B:$B,$Q287,Prod_Prop!$H:$H,V287,Prod_Prop!$I:$I,W$1)*IF(V287="Peso",$R287,1))</f>
        <v/>
      </c>
      <c r="X287" s="4" t="str">
        <f>IF(V287="","",SUMIFS(Prod_Prop!$J:$J,Prod_Prop!$B:$B,$Q287,Prod_Prop!$H:$H,V287,Prod_Prop!$I:$I,X$1)*IF(V287="Peso",$R287,1))</f>
        <v/>
      </c>
      <c r="Y287" s="4" t="str">
        <f>IFERROR(__xludf.DUMMYFUNCTION("IF(OR($U287="""",COUNTIF($I:$I,IFERROR(unique(filter(Prod_Prop!$H:$H,Prod_Prop!$G:$G=$U287,Prod_Prop!$E:$E=Y$1)),""Check""))=0),"""",IFERROR(unique(filter(Prod_Prop!$H:$H,Prod_Prop!$G:$G=$U287,Prod_Prop!$E:$E=Y$1)),""""))"),"")</f>
        <v/>
      </c>
      <c r="Z287" s="4" t="str">
        <f>IF(Y287="","",SUMIFS(Prod_Prop!$J:$J,Prod_Prop!$B:$B,$Q287,Prod_Prop!$H:$H,Y287,Prod_Prop!$I:$I,Z$1)*IF(Y287="Peso",$R287,1))</f>
        <v/>
      </c>
      <c r="AA287" s="4" t="str">
        <f>IF(Y287="","",SUMIFS(Prod_Prop!$J:$J,Prod_Prop!$B:$B,$Q287,Prod_Prop!$H:$H,Y287,Prod_Prop!$I:$I,AA$1)*IF(Y287="Peso",$R287,1))</f>
        <v/>
      </c>
      <c r="AB287" s="4" t="str">
        <f>IFERROR(__xludf.DUMMYFUNCTION("IF(OR($U287="""",COUNTIF($I:$I,IFERROR(unique(filter(Prod_Prop!$H:$H,Prod_Prop!$G:$G=$U287,Prod_Prop!$E:$E=AB$1)),""Check""))=0),"""",IFERROR(unique(filter(Prod_Prop!$H:$H,Prod_Prop!$G:$G=$U287,Prod_Prop!$E:$E=AB$1)),""""))"),"")</f>
        <v/>
      </c>
      <c r="AC287" s="4" t="str">
        <f>IF(AB287="","",SUMIFS(Prod_Prop!$J:$J,Prod_Prop!$B:$B,$Q287,Prod_Prop!$H:$H,AB287,Prod_Prop!$I:$I,AC$1)*IF(AB287="Peso",$R287,1))</f>
        <v/>
      </c>
      <c r="AD287" s="4" t="str">
        <f>IF(AB287="","",SUMIFS(Prod_Prop!$J:$J,Prod_Prop!$B:$B,$Q287,Prod_Prop!$H:$H,AB287,Prod_Prop!$I:$I,AD$1)*IF(AB287="Peso",$R287,1))</f>
        <v/>
      </c>
    </row>
    <row r="288">
      <c r="A288" s="4" t="str">
        <f t="array" ref="A288">IF(COUNTIF(A$1:A287,Cotizador!F$2)=maxifs(Familias!E:E,Familias!D:D,Cotizador!F$2),IF(COUNTIF(A$1:A287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8" s="4" t="str">
        <f t="shared" si="1"/>
        <v/>
      </c>
      <c r="C288" s="4" t="str">
        <f t="array" ref="C288">IF(B288="","",IF(A288=XLOOKUP(A$2,Implementos!B:B,Implementos!C:C,"",0,1),B288+maxifs(B$1:B287,A$1:A287,A$2),B288))</f>
        <v/>
      </c>
      <c r="D288" s="4" t="str">
        <f>IF(B288="","", COUNTIFS(Productos!F:F,A288,Productos!H:H,B288)+IF(F288="SI",0,1))</f>
        <v/>
      </c>
      <c r="E288" s="4" t="str">
        <f>IFERROR(__xludf.DUMMYFUNCTION("IF($B288="""","""",INDEX(filter(Familias!F:F,Familias!$D:$D=$A288,Familias!$E:$E=$B288),1))"),"")</f>
        <v/>
      </c>
      <c r="F288" s="4" t="str">
        <f>IFERROR(__xludf.DUMMYFUNCTION("IF($B288="""","""",INDEX(filter(Familias!G:G,Familias!$D:$D=$A288,Familias!$E:$E=$B288),1))"),"")</f>
        <v/>
      </c>
      <c r="G288" s="4" t="str">
        <f t="array" ref="G288">IF(C288=1,XLOOKUP(C288,Cotizador!D:D,Cotizador!E:E,"",0,1),"")</f>
        <v/>
      </c>
      <c r="I288" s="4"/>
      <c r="J288" s="8" t="str">
        <f>IF(I288="","",SUMIF(Cotizador!I$1:V$1,I288,Cotizador!I$2:V$2))</f>
        <v/>
      </c>
      <c r="L288" s="4" t="str">
        <f t="array" ref="L288">IF(COUNTIF(L$1:L287,A$2)=SUMIF(A:A,A$2,D:D),IF(COUNTIF(L$1:L287,XLOOKUP(A$2,Implementos!B:B,Implementos!C:C,"",0,1))=SUMIF(A:A,XLOOKUP(A$2,Implementos!B:B,Implementos!C:C,"",0,1),D:D),"",XLOOKUP(A$2,Implementos!B:B,Implementos!C:C,"",0,1)),A$2)</f>
        <v/>
      </c>
      <c r="M288" s="4" t="str">
        <f t="shared" si="2"/>
        <v/>
      </c>
      <c r="N288" s="4" t="str">
        <f t="shared" si="3"/>
        <v/>
      </c>
      <c r="O288" s="4" t="str">
        <f t="shared" si="4"/>
        <v/>
      </c>
      <c r="P288" s="4" t="str">
        <f t="shared" si="5"/>
        <v/>
      </c>
      <c r="Q288" s="4" t="str">
        <f>IF(U288="","",SUMIF(Productos!E:E,U288,Productos!A:A))</f>
        <v/>
      </c>
      <c r="R288" s="4" t="str">
        <f t="array" ref="R288">IF(L288="","", max(1,SUMIF(I:I,XLOOKUP(U288,Productos!E:E,Productos!G:G,"",0,1),J:J)))</f>
        <v/>
      </c>
      <c r="S288" s="4" t="str">
        <f>IF(Q288="","",IF(SUMIFS(Compat_Vetado!D:D,Compat_Vetado!B:B,SUM(G:G),Compat_Vetado!C:C,Q288)=1,"SI",IF(OR(SUMIF(Cotizador!E:E,Q288,Cotizador!G:G)&gt;0,SUMIFS(Compat_Vetado!D:D,Compat_Vetado!B:B,SUM(G:G),Compat_Vetado!C:C,Q288)=-1),"NO","")))</f>
        <v/>
      </c>
      <c r="T288" s="4" t="str">
        <f t="shared" si="6"/>
        <v/>
      </c>
      <c r="U288" s="4" t="str">
        <f>IFERROR(__xludf.DUMMYFUNCTION("IF(P288="""","""",IFERROR(INDEX(filter(Productos!E:E,Productos!F:F=L288,Productos!H:H=N288),P288),IF(M288=SUM(D:D),""Finalizar"",""-"")))"),"")</f>
        <v/>
      </c>
      <c r="V288" s="4" t="str">
        <f>IFERROR(__xludf.DUMMYFUNCTION("IF(OR($U288="""",COUNTIF($I:$I,IFERROR(unique(filter(Prod_Prop!$H:$H,Prod_Prop!$G:$G=$U288,Prod_Prop!$E:$E=V$1)),""Check""))=0),"""",IFERROR(unique(filter(Prod_Prop!$H:$H,Prod_Prop!$G:$G=$U288,Prod_Prop!$E:$E=V$1)),""""))"),"")</f>
        <v/>
      </c>
      <c r="W288" s="4" t="str">
        <f>IF(V288="","",SUMIFS(Prod_Prop!$J:$J,Prod_Prop!$B:$B,$Q288,Prod_Prop!$H:$H,V288,Prod_Prop!$I:$I,W$1)*IF(V288="Peso",$R288,1))</f>
        <v/>
      </c>
      <c r="X288" s="4" t="str">
        <f>IF(V288="","",SUMIFS(Prod_Prop!$J:$J,Prod_Prop!$B:$B,$Q288,Prod_Prop!$H:$H,V288,Prod_Prop!$I:$I,X$1)*IF(V288="Peso",$R288,1))</f>
        <v/>
      </c>
      <c r="Y288" s="4" t="str">
        <f>IFERROR(__xludf.DUMMYFUNCTION("IF(OR($U288="""",COUNTIF($I:$I,IFERROR(unique(filter(Prod_Prop!$H:$H,Prod_Prop!$G:$G=$U288,Prod_Prop!$E:$E=Y$1)),""Check""))=0),"""",IFERROR(unique(filter(Prod_Prop!$H:$H,Prod_Prop!$G:$G=$U288,Prod_Prop!$E:$E=Y$1)),""""))"),"")</f>
        <v/>
      </c>
      <c r="Z288" s="4" t="str">
        <f>IF(Y288="","",SUMIFS(Prod_Prop!$J:$J,Prod_Prop!$B:$B,$Q288,Prod_Prop!$H:$H,Y288,Prod_Prop!$I:$I,Z$1)*IF(Y288="Peso",$R288,1))</f>
        <v/>
      </c>
      <c r="AA288" s="4" t="str">
        <f>IF(Y288="","",SUMIFS(Prod_Prop!$J:$J,Prod_Prop!$B:$B,$Q288,Prod_Prop!$H:$H,Y288,Prod_Prop!$I:$I,AA$1)*IF(Y288="Peso",$R288,1))</f>
        <v/>
      </c>
      <c r="AB288" s="4" t="str">
        <f>IFERROR(__xludf.DUMMYFUNCTION("IF(OR($U288="""",COUNTIF($I:$I,IFERROR(unique(filter(Prod_Prop!$H:$H,Prod_Prop!$G:$G=$U288,Prod_Prop!$E:$E=AB$1)),""Check""))=0),"""",IFERROR(unique(filter(Prod_Prop!$H:$H,Prod_Prop!$G:$G=$U288,Prod_Prop!$E:$E=AB$1)),""""))"),"")</f>
        <v/>
      </c>
      <c r="AC288" s="4" t="str">
        <f>IF(AB288="","",SUMIFS(Prod_Prop!$J:$J,Prod_Prop!$B:$B,$Q288,Prod_Prop!$H:$H,AB288,Prod_Prop!$I:$I,AC$1)*IF(AB288="Peso",$R288,1))</f>
        <v/>
      </c>
      <c r="AD288" s="4" t="str">
        <f>IF(AB288="","",SUMIFS(Prod_Prop!$J:$J,Prod_Prop!$B:$B,$Q288,Prod_Prop!$H:$H,AB288,Prod_Prop!$I:$I,AD$1)*IF(AB288="Peso",$R288,1))</f>
        <v/>
      </c>
    </row>
    <row r="289">
      <c r="A289" s="4" t="str">
        <f t="array" ref="A289">IF(COUNTIF(A$1:A288,Cotizador!F$2)=maxifs(Familias!E:E,Familias!D:D,Cotizador!F$2),IF(COUNTIF(A$1:A288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89" s="4" t="str">
        <f t="shared" si="1"/>
        <v/>
      </c>
      <c r="C289" s="4" t="str">
        <f t="array" ref="C289">IF(B289="","",IF(A289=XLOOKUP(A$2,Implementos!B:B,Implementos!C:C,"",0,1),B289+maxifs(B$1:B288,A$1:A288,A$2),B289))</f>
        <v/>
      </c>
      <c r="D289" s="4" t="str">
        <f>IF(B289="","", COUNTIFS(Productos!F:F,A289,Productos!H:H,B289)+IF(F289="SI",0,1))</f>
        <v/>
      </c>
      <c r="E289" s="4" t="str">
        <f>IFERROR(__xludf.DUMMYFUNCTION("IF($B289="""","""",INDEX(filter(Familias!F:F,Familias!$D:$D=$A289,Familias!$E:$E=$B289),1))"),"")</f>
        <v/>
      </c>
      <c r="F289" s="4" t="str">
        <f>IFERROR(__xludf.DUMMYFUNCTION("IF($B289="""","""",INDEX(filter(Familias!G:G,Familias!$D:$D=$A289,Familias!$E:$E=$B289),1))"),"")</f>
        <v/>
      </c>
      <c r="G289" s="4" t="str">
        <f t="array" ref="G289">IF(C289=1,XLOOKUP(C289,Cotizador!D:D,Cotizador!E:E,"",0,1),"")</f>
        <v/>
      </c>
      <c r="I289" s="4"/>
      <c r="J289" s="8" t="str">
        <f>IF(I289="","",SUMIF(Cotizador!I$1:V$1,I289,Cotizador!I$2:V$2))</f>
        <v/>
      </c>
      <c r="L289" s="4" t="str">
        <f t="array" ref="L289">IF(COUNTIF(L$1:L288,A$2)=SUMIF(A:A,A$2,D:D),IF(COUNTIF(L$1:L288,XLOOKUP(A$2,Implementos!B:B,Implementos!C:C,"",0,1))=SUMIF(A:A,XLOOKUP(A$2,Implementos!B:B,Implementos!C:C,"",0,1),D:D),"",XLOOKUP(A$2,Implementos!B:B,Implementos!C:C,"",0,1)),A$2)</f>
        <v/>
      </c>
      <c r="M289" s="4" t="str">
        <f t="shared" si="2"/>
        <v/>
      </c>
      <c r="N289" s="4" t="str">
        <f t="shared" si="3"/>
        <v/>
      </c>
      <c r="O289" s="4" t="str">
        <f t="shared" si="4"/>
        <v/>
      </c>
      <c r="P289" s="4" t="str">
        <f t="shared" si="5"/>
        <v/>
      </c>
      <c r="Q289" s="4" t="str">
        <f>IF(U289="","",SUMIF(Productos!E:E,U289,Productos!A:A))</f>
        <v/>
      </c>
      <c r="R289" s="4" t="str">
        <f t="array" ref="R289">IF(L289="","", max(1,SUMIF(I:I,XLOOKUP(U289,Productos!E:E,Productos!G:G,"",0,1),J:J)))</f>
        <v/>
      </c>
      <c r="S289" s="4" t="str">
        <f>IF(Q289="","",IF(SUMIFS(Compat_Vetado!D:D,Compat_Vetado!B:B,SUM(G:G),Compat_Vetado!C:C,Q289)=1,"SI",IF(OR(SUMIF(Cotizador!E:E,Q289,Cotizador!G:G)&gt;0,SUMIFS(Compat_Vetado!D:D,Compat_Vetado!B:B,SUM(G:G),Compat_Vetado!C:C,Q289)=-1),"NO","")))</f>
        <v/>
      </c>
      <c r="T289" s="4" t="str">
        <f t="shared" si="6"/>
        <v/>
      </c>
      <c r="U289" s="4" t="str">
        <f>IFERROR(__xludf.DUMMYFUNCTION("IF(P289="""","""",IFERROR(INDEX(filter(Productos!E:E,Productos!F:F=L289,Productos!H:H=N289),P289),IF(M289=SUM(D:D),""Finalizar"",""-"")))"),"")</f>
        <v/>
      </c>
      <c r="V289" s="4" t="str">
        <f>IFERROR(__xludf.DUMMYFUNCTION("IF(OR($U289="""",COUNTIF($I:$I,IFERROR(unique(filter(Prod_Prop!$H:$H,Prod_Prop!$G:$G=$U289,Prod_Prop!$E:$E=V$1)),""Check""))=0),"""",IFERROR(unique(filter(Prod_Prop!$H:$H,Prod_Prop!$G:$G=$U289,Prod_Prop!$E:$E=V$1)),""""))"),"")</f>
        <v/>
      </c>
      <c r="W289" s="4" t="str">
        <f>IF(V289="","",SUMIFS(Prod_Prop!$J:$J,Prod_Prop!$B:$B,$Q289,Prod_Prop!$H:$H,V289,Prod_Prop!$I:$I,W$1)*IF(V289="Peso",$R289,1))</f>
        <v/>
      </c>
      <c r="X289" s="4" t="str">
        <f>IF(V289="","",SUMIFS(Prod_Prop!$J:$J,Prod_Prop!$B:$B,$Q289,Prod_Prop!$H:$H,V289,Prod_Prop!$I:$I,X$1)*IF(V289="Peso",$R289,1))</f>
        <v/>
      </c>
      <c r="Y289" s="4" t="str">
        <f>IFERROR(__xludf.DUMMYFUNCTION("IF(OR($U289="""",COUNTIF($I:$I,IFERROR(unique(filter(Prod_Prop!$H:$H,Prod_Prop!$G:$G=$U289,Prod_Prop!$E:$E=Y$1)),""Check""))=0),"""",IFERROR(unique(filter(Prod_Prop!$H:$H,Prod_Prop!$G:$G=$U289,Prod_Prop!$E:$E=Y$1)),""""))"),"")</f>
        <v/>
      </c>
      <c r="Z289" s="4" t="str">
        <f>IF(Y289="","",SUMIFS(Prod_Prop!$J:$J,Prod_Prop!$B:$B,$Q289,Prod_Prop!$H:$H,Y289,Prod_Prop!$I:$I,Z$1)*IF(Y289="Peso",$R289,1))</f>
        <v/>
      </c>
      <c r="AA289" s="4" t="str">
        <f>IF(Y289="","",SUMIFS(Prod_Prop!$J:$J,Prod_Prop!$B:$B,$Q289,Prod_Prop!$H:$H,Y289,Prod_Prop!$I:$I,AA$1)*IF(Y289="Peso",$R289,1))</f>
        <v/>
      </c>
      <c r="AB289" s="4" t="str">
        <f>IFERROR(__xludf.DUMMYFUNCTION("IF(OR($U289="""",COUNTIF($I:$I,IFERROR(unique(filter(Prod_Prop!$H:$H,Prod_Prop!$G:$G=$U289,Prod_Prop!$E:$E=AB$1)),""Check""))=0),"""",IFERROR(unique(filter(Prod_Prop!$H:$H,Prod_Prop!$G:$G=$U289,Prod_Prop!$E:$E=AB$1)),""""))"),"")</f>
        <v/>
      </c>
      <c r="AC289" s="4" t="str">
        <f>IF(AB289="","",SUMIFS(Prod_Prop!$J:$J,Prod_Prop!$B:$B,$Q289,Prod_Prop!$H:$H,AB289,Prod_Prop!$I:$I,AC$1)*IF(AB289="Peso",$R289,1))</f>
        <v/>
      </c>
      <c r="AD289" s="4" t="str">
        <f>IF(AB289="","",SUMIFS(Prod_Prop!$J:$J,Prod_Prop!$B:$B,$Q289,Prod_Prop!$H:$H,AB289,Prod_Prop!$I:$I,AD$1)*IF(AB289="Peso",$R289,1))</f>
        <v/>
      </c>
    </row>
    <row r="290">
      <c r="A290" s="4" t="str">
        <f t="array" ref="A290">IF(COUNTIF(A$1:A289,Cotizador!F$2)=maxifs(Familias!E:E,Familias!D:D,Cotizador!F$2),IF(COUNTIF(A$1:A289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0" s="4" t="str">
        <f t="shared" si="1"/>
        <v/>
      </c>
      <c r="C290" s="4" t="str">
        <f t="array" ref="C290">IF(B290="","",IF(A290=XLOOKUP(A$2,Implementos!B:B,Implementos!C:C,"",0,1),B290+maxifs(B$1:B289,A$1:A289,A$2),B290))</f>
        <v/>
      </c>
      <c r="D290" s="4" t="str">
        <f>IF(B290="","", COUNTIFS(Productos!F:F,A290,Productos!H:H,B290)+IF(F290="SI",0,1))</f>
        <v/>
      </c>
      <c r="E290" s="4" t="str">
        <f>IFERROR(__xludf.DUMMYFUNCTION("IF($B290="""","""",INDEX(filter(Familias!F:F,Familias!$D:$D=$A290,Familias!$E:$E=$B290),1))"),"")</f>
        <v/>
      </c>
      <c r="F290" s="4" t="str">
        <f>IFERROR(__xludf.DUMMYFUNCTION("IF($B290="""","""",INDEX(filter(Familias!G:G,Familias!$D:$D=$A290,Familias!$E:$E=$B290),1))"),"")</f>
        <v/>
      </c>
      <c r="G290" s="4" t="str">
        <f t="array" ref="G290">IF(C290=1,XLOOKUP(C290,Cotizador!D:D,Cotizador!E:E,"",0,1),"")</f>
        <v/>
      </c>
      <c r="I290" s="4"/>
      <c r="J290" s="8" t="str">
        <f>IF(I290="","",SUMIF(Cotizador!I$1:V$1,I290,Cotizador!I$2:V$2))</f>
        <v/>
      </c>
      <c r="L290" s="4" t="str">
        <f t="array" ref="L290">IF(COUNTIF(L$1:L289,A$2)=SUMIF(A:A,A$2,D:D),IF(COUNTIF(L$1:L289,XLOOKUP(A$2,Implementos!B:B,Implementos!C:C,"",0,1))=SUMIF(A:A,XLOOKUP(A$2,Implementos!B:B,Implementos!C:C,"",0,1),D:D),"",XLOOKUP(A$2,Implementos!B:B,Implementos!C:C,"",0,1)),A$2)</f>
        <v/>
      </c>
      <c r="M290" s="4" t="str">
        <f t="shared" si="2"/>
        <v/>
      </c>
      <c r="N290" s="4" t="str">
        <f t="shared" si="3"/>
        <v/>
      </c>
      <c r="O290" s="4" t="str">
        <f t="shared" si="4"/>
        <v/>
      </c>
      <c r="P290" s="4" t="str">
        <f t="shared" si="5"/>
        <v/>
      </c>
      <c r="Q290" s="4" t="str">
        <f>IF(U290="","",SUMIF(Productos!E:E,U290,Productos!A:A))</f>
        <v/>
      </c>
      <c r="R290" s="4" t="str">
        <f t="array" ref="R290">IF(L290="","", max(1,SUMIF(I:I,XLOOKUP(U290,Productos!E:E,Productos!G:G,"",0,1),J:J)))</f>
        <v/>
      </c>
      <c r="S290" s="4" t="str">
        <f>IF(Q290="","",IF(SUMIFS(Compat_Vetado!D:D,Compat_Vetado!B:B,SUM(G:G),Compat_Vetado!C:C,Q290)=1,"SI",IF(OR(SUMIF(Cotizador!E:E,Q290,Cotizador!G:G)&gt;0,SUMIFS(Compat_Vetado!D:D,Compat_Vetado!B:B,SUM(G:G),Compat_Vetado!C:C,Q290)=-1),"NO","")))</f>
        <v/>
      </c>
      <c r="T290" s="4" t="str">
        <f t="shared" si="6"/>
        <v/>
      </c>
      <c r="U290" s="4" t="str">
        <f>IFERROR(__xludf.DUMMYFUNCTION("IF(P290="""","""",IFERROR(INDEX(filter(Productos!E:E,Productos!F:F=L290,Productos!H:H=N290),P290),IF(M290=SUM(D:D),""Finalizar"",""-"")))"),"")</f>
        <v/>
      </c>
      <c r="V290" s="4" t="str">
        <f>IFERROR(__xludf.DUMMYFUNCTION("IF(OR($U290="""",COUNTIF($I:$I,IFERROR(unique(filter(Prod_Prop!$H:$H,Prod_Prop!$G:$G=$U290,Prod_Prop!$E:$E=V$1)),""Check""))=0),"""",IFERROR(unique(filter(Prod_Prop!$H:$H,Prod_Prop!$G:$G=$U290,Prod_Prop!$E:$E=V$1)),""""))"),"")</f>
        <v/>
      </c>
      <c r="W290" s="4" t="str">
        <f>IF(V290="","",SUMIFS(Prod_Prop!$J:$J,Prod_Prop!$B:$B,$Q290,Prod_Prop!$H:$H,V290,Prod_Prop!$I:$I,W$1)*IF(V290="Peso",$R290,1))</f>
        <v/>
      </c>
      <c r="X290" s="4" t="str">
        <f>IF(V290="","",SUMIFS(Prod_Prop!$J:$J,Prod_Prop!$B:$B,$Q290,Prod_Prop!$H:$H,V290,Prod_Prop!$I:$I,X$1)*IF(V290="Peso",$R290,1))</f>
        <v/>
      </c>
      <c r="Y290" s="4" t="str">
        <f>IFERROR(__xludf.DUMMYFUNCTION("IF(OR($U290="""",COUNTIF($I:$I,IFERROR(unique(filter(Prod_Prop!$H:$H,Prod_Prop!$G:$G=$U290,Prod_Prop!$E:$E=Y$1)),""Check""))=0),"""",IFERROR(unique(filter(Prod_Prop!$H:$H,Prod_Prop!$G:$G=$U290,Prod_Prop!$E:$E=Y$1)),""""))"),"")</f>
        <v/>
      </c>
      <c r="Z290" s="4" t="str">
        <f>IF(Y290="","",SUMIFS(Prod_Prop!$J:$J,Prod_Prop!$B:$B,$Q290,Prod_Prop!$H:$H,Y290,Prod_Prop!$I:$I,Z$1)*IF(Y290="Peso",$R290,1))</f>
        <v/>
      </c>
      <c r="AA290" s="4" t="str">
        <f>IF(Y290="","",SUMIFS(Prod_Prop!$J:$J,Prod_Prop!$B:$B,$Q290,Prod_Prop!$H:$H,Y290,Prod_Prop!$I:$I,AA$1)*IF(Y290="Peso",$R290,1))</f>
        <v/>
      </c>
      <c r="AB290" s="4" t="str">
        <f>IFERROR(__xludf.DUMMYFUNCTION("IF(OR($U290="""",COUNTIF($I:$I,IFERROR(unique(filter(Prod_Prop!$H:$H,Prod_Prop!$G:$G=$U290,Prod_Prop!$E:$E=AB$1)),""Check""))=0),"""",IFERROR(unique(filter(Prod_Prop!$H:$H,Prod_Prop!$G:$G=$U290,Prod_Prop!$E:$E=AB$1)),""""))"),"")</f>
        <v/>
      </c>
      <c r="AC290" s="4" t="str">
        <f>IF(AB290="","",SUMIFS(Prod_Prop!$J:$J,Prod_Prop!$B:$B,$Q290,Prod_Prop!$H:$H,AB290,Prod_Prop!$I:$I,AC$1)*IF(AB290="Peso",$R290,1))</f>
        <v/>
      </c>
      <c r="AD290" s="4" t="str">
        <f>IF(AB290="","",SUMIFS(Prod_Prop!$J:$J,Prod_Prop!$B:$B,$Q290,Prod_Prop!$H:$H,AB290,Prod_Prop!$I:$I,AD$1)*IF(AB290="Peso",$R290,1))</f>
        <v/>
      </c>
    </row>
    <row r="291">
      <c r="A291" s="4" t="str">
        <f t="array" ref="A291">IF(COUNTIF(A$1:A290,Cotizador!F$2)=maxifs(Familias!E:E,Familias!D:D,Cotizador!F$2),IF(COUNTIF(A$1:A290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1" s="4" t="str">
        <f t="shared" si="1"/>
        <v/>
      </c>
      <c r="C291" s="4" t="str">
        <f t="array" ref="C291">IF(B291="","",IF(A291=XLOOKUP(A$2,Implementos!B:B,Implementos!C:C,"",0,1),B291+maxifs(B$1:B290,A$1:A290,A$2),B291))</f>
        <v/>
      </c>
      <c r="D291" s="4" t="str">
        <f>IF(B291="","", COUNTIFS(Productos!F:F,A291,Productos!H:H,B291)+IF(F291="SI",0,1))</f>
        <v/>
      </c>
      <c r="E291" s="4" t="str">
        <f>IFERROR(__xludf.DUMMYFUNCTION("IF($B291="""","""",INDEX(filter(Familias!F:F,Familias!$D:$D=$A291,Familias!$E:$E=$B291),1))"),"")</f>
        <v/>
      </c>
      <c r="F291" s="4" t="str">
        <f>IFERROR(__xludf.DUMMYFUNCTION("IF($B291="""","""",INDEX(filter(Familias!G:G,Familias!$D:$D=$A291,Familias!$E:$E=$B291),1))"),"")</f>
        <v/>
      </c>
      <c r="G291" s="4" t="str">
        <f t="array" ref="G291">IF(C291=1,XLOOKUP(C291,Cotizador!D:D,Cotizador!E:E,"",0,1),"")</f>
        <v/>
      </c>
      <c r="I291" s="4"/>
      <c r="J291" s="8" t="str">
        <f>IF(I291="","",SUMIF(Cotizador!I$1:V$1,I291,Cotizador!I$2:V$2))</f>
        <v/>
      </c>
      <c r="L291" s="4" t="str">
        <f t="array" ref="L291">IF(COUNTIF(L$1:L290,A$2)=SUMIF(A:A,A$2,D:D),IF(COUNTIF(L$1:L290,XLOOKUP(A$2,Implementos!B:B,Implementos!C:C,"",0,1))=SUMIF(A:A,XLOOKUP(A$2,Implementos!B:B,Implementos!C:C,"",0,1),D:D),"",XLOOKUP(A$2,Implementos!B:B,Implementos!C:C,"",0,1)),A$2)</f>
        <v/>
      </c>
      <c r="M291" s="4" t="str">
        <f t="shared" si="2"/>
        <v/>
      </c>
      <c r="N291" s="4" t="str">
        <f t="shared" si="3"/>
        <v/>
      </c>
      <c r="O291" s="4" t="str">
        <f t="shared" si="4"/>
        <v/>
      </c>
      <c r="P291" s="4" t="str">
        <f t="shared" si="5"/>
        <v/>
      </c>
      <c r="Q291" s="4" t="str">
        <f>IF(U291="","",SUMIF(Productos!E:E,U291,Productos!A:A))</f>
        <v/>
      </c>
      <c r="R291" s="4" t="str">
        <f t="array" ref="R291">IF(L291="","", max(1,SUMIF(I:I,XLOOKUP(U291,Productos!E:E,Productos!G:G,"",0,1),J:J)))</f>
        <v/>
      </c>
      <c r="S291" s="4" t="str">
        <f>IF(Q291="","",IF(SUMIFS(Compat_Vetado!D:D,Compat_Vetado!B:B,SUM(G:G),Compat_Vetado!C:C,Q291)=1,"SI",IF(OR(SUMIF(Cotizador!E:E,Q291,Cotizador!G:G)&gt;0,SUMIFS(Compat_Vetado!D:D,Compat_Vetado!B:B,SUM(G:G),Compat_Vetado!C:C,Q291)=-1),"NO","")))</f>
        <v/>
      </c>
      <c r="T291" s="4" t="str">
        <f t="shared" si="6"/>
        <v/>
      </c>
      <c r="U291" s="4" t="str">
        <f>IFERROR(__xludf.DUMMYFUNCTION("IF(P291="""","""",IFERROR(INDEX(filter(Productos!E:E,Productos!F:F=L291,Productos!H:H=N291),P291),IF(M291=SUM(D:D),""Finalizar"",""-"")))"),"")</f>
        <v/>
      </c>
      <c r="V291" s="4" t="str">
        <f>IFERROR(__xludf.DUMMYFUNCTION("IF(OR($U291="""",COUNTIF($I:$I,IFERROR(unique(filter(Prod_Prop!$H:$H,Prod_Prop!$G:$G=$U291,Prod_Prop!$E:$E=V$1)),""Check""))=0),"""",IFERROR(unique(filter(Prod_Prop!$H:$H,Prod_Prop!$G:$G=$U291,Prod_Prop!$E:$E=V$1)),""""))"),"")</f>
        <v/>
      </c>
      <c r="W291" s="4" t="str">
        <f>IF(V291="","",SUMIFS(Prod_Prop!$J:$J,Prod_Prop!$B:$B,$Q291,Prod_Prop!$H:$H,V291,Prod_Prop!$I:$I,W$1)*IF(V291="Peso",$R291,1))</f>
        <v/>
      </c>
      <c r="X291" s="4" t="str">
        <f>IF(V291="","",SUMIFS(Prod_Prop!$J:$J,Prod_Prop!$B:$B,$Q291,Prod_Prop!$H:$H,V291,Prod_Prop!$I:$I,X$1)*IF(V291="Peso",$R291,1))</f>
        <v/>
      </c>
      <c r="Y291" s="4" t="str">
        <f>IFERROR(__xludf.DUMMYFUNCTION("IF(OR($U291="""",COUNTIF($I:$I,IFERROR(unique(filter(Prod_Prop!$H:$H,Prod_Prop!$G:$G=$U291,Prod_Prop!$E:$E=Y$1)),""Check""))=0),"""",IFERROR(unique(filter(Prod_Prop!$H:$H,Prod_Prop!$G:$G=$U291,Prod_Prop!$E:$E=Y$1)),""""))"),"")</f>
        <v/>
      </c>
      <c r="Z291" s="4" t="str">
        <f>IF(Y291="","",SUMIFS(Prod_Prop!$J:$J,Prod_Prop!$B:$B,$Q291,Prod_Prop!$H:$H,Y291,Prod_Prop!$I:$I,Z$1)*IF(Y291="Peso",$R291,1))</f>
        <v/>
      </c>
      <c r="AA291" s="4" t="str">
        <f>IF(Y291="","",SUMIFS(Prod_Prop!$J:$J,Prod_Prop!$B:$B,$Q291,Prod_Prop!$H:$H,Y291,Prod_Prop!$I:$I,AA$1)*IF(Y291="Peso",$R291,1))</f>
        <v/>
      </c>
      <c r="AB291" s="4" t="str">
        <f>IFERROR(__xludf.DUMMYFUNCTION("IF(OR($U291="""",COUNTIF($I:$I,IFERROR(unique(filter(Prod_Prop!$H:$H,Prod_Prop!$G:$G=$U291,Prod_Prop!$E:$E=AB$1)),""Check""))=0),"""",IFERROR(unique(filter(Prod_Prop!$H:$H,Prod_Prop!$G:$G=$U291,Prod_Prop!$E:$E=AB$1)),""""))"),"")</f>
        <v/>
      </c>
      <c r="AC291" s="4" t="str">
        <f>IF(AB291="","",SUMIFS(Prod_Prop!$J:$J,Prod_Prop!$B:$B,$Q291,Prod_Prop!$H:$H,AB291,Prod_Prop!$I:$I,AC$1)*IF(AB291="Peso",$R291,1))</f>
        <v/>
      </c>
      <c r="AD291" s="4" t="str">
        <f>IF(AB291="","",SUMIFS(Prod_Prop!$J:$J,Prod_Prop!$B:$B,$Q291,Prod_Prop!$H:$H,AB291,Prod_Prop!$I:$I,AD$1)*IF(AB291="Peso",$R291,1))</f>
        <v/>
      </c>
    </row>
    <row r="292">
      <c r="A292" s="4" t="str">
        <f t="array" ref="A292">IF(COUNTIF(A$1:A291,Cotizador!F$2)=maxifs(Familias!E:E,Familias!D:D,Cotizador!F$2),IF(COUNTIF(A$1:A291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2" s="4" t="str">
        <f t="shared" si="1"/>
        <v/>
      </c>
      <c r="C292" s="4" t="str">
        <f t="array" ref="C292">IF(B292="","",IF(A292=XLOOKUP(A$2,Implementos!B:B,Implementos!C:C,"",0,1),B292+maxifs(B$1:B291,A$1:A291,A$2),B292))</f>
        <v/>
      </c>
      <c r="D292" s="4" t="str">
        <f>IF(B292="","", COUNTIFS(Productos!F:F,A292,Productos!H:H,B292)+IF(F292="SI",0,1))</f>
        <v/>
      </c>
      <c r="E292" s="4" t="str">
        <f>IFERROR(__xludf.DUMMYFUNCTION("IF($B292="""","""",INDEX(filter(Familias!F:F,Familias!$D:$D=$A292,Familias!$E:$E=$B292),1))"),"")</f>
        <v/>
      </c>
      <c r="F292" s="4" t="str">
        <f>IFERROR(__xludf.DUMMYFUNCTION("IF($B292="""","""",INDEX(filter(Familias!G:G,Familias!$D:$D=$A292,Familias!$E:$E=$B292),1))"),"")</f>
        <v/>
      </c>
      <c r="G292" s="4" t="str">
        <f t="array" ref="G292">IF(C292=1,XLOOKUP(C292,Cotizador!D:D,Cotizador!E:E,"",0,1),"")</f>
        <v/>
      </c>
      <c r="I292" s="4"/>
      <c r="J292" s="8" t="str">
        <f>IF(I292="","",SUMIF(Cotizador!I$1:V$1,I292,Cotizador!I$2:V$2))</f>
        <v/>
      </c>
      <c r="L292" s="4" t="str">
        <f t="array" ref="L292">IF(COUNTIF(L$1:L291,A$2)=SUMIF(A:A,A$2,D:D),IF(COUNTIF(L$1:L291,XLOOKUP(A$2,Implementos!B:B,Implementos!C:C,"",0,1))=SUMIF(A:A,XLOOKUP(A$2,Implementos!B:B,Implementos!C:C,"",0,1),D:D),"",XLOOKUP(A$2,Implementos!B:B,Implementos!C:C,"",0,1)),A$2)</f>
        <v/>
      </c>
      <c r="M292" s="4" t="str">
        <f t="shared" si="2"/>
        <v/>
      </c>
      <c r="N292" s="4" t="str">
        <f t="shared" si="3"/>
        <v/>
      </c>
      <c r="O292" s="4" t="str">
        <f t="shared" si="4"/>
        <v/>
      </c>
      <c r="P292" s="4" t="str">
        <f t="shared" si="5"/>
        <v/>
      </c>
      <c r="Q292" s="4" t="str">
        <f>IF(U292="","",SUMIF(Productos!E:E,U292,Productos!A:A))</f>
        <v/>
      </c>
      <c r="R292" s="4" t="str">
        <f t="array" ref="R292">IF(L292="","", max(1,SUMIF(I:I,XLOOKUP(U292,Productos!E:E,Productos!G:G,"",0,1),J:J)))</f>
        <v/>
      </c>
      <c r="S292" s="4" t="str">
        <f>IF(Q292="","",IF(SUMIFS(Compat_Vetado!D:D,Compat_Vetado!B:B,SUM(G:G),Compat_Vetado!C:C,Q292)=1,"SI",IF(OR(SUMIF(Cotizador!E:E,Q292,Cotizador!G:G)&gt;0,SUMIFS(Compat_Vetado!D:D,Compat_Vetado!B:B,SUM(G:G),Compat_Vetado!C:C,Q292)=-1),"NO","")))</f>
        <v/>
      </c>
      <c r="T292" s="4" t="str">
        <f t="shared" si="6"/>
        <v/>
      </c>
      <c r="U292" s="4" t="str">
        <f>IFERROR(__xludf.DUMMYFUNCTION("IF(P292="""","""",IFERROR(INDEX(filter(Productos!E:E,Productos!F:F=L292,Productos!H:H=N292),P292),IF(M292=SUM(D:D),""Finalizar"",""-"")))"),"")</f>
        <v/>
      </c>
      <c r="V292" s="4" t="str">
        <f>IFERROR(__xludf.DUMMYFUNCTION("IF(OR($U292="""",COUNTIF($I:$I,IFERROR(unique(filter(Prod_Prop!$H:$H,Prod_Prop!$G:$G=$U292,Prod_Prop!$E:$E=V$1)),""Check""))=0),"""",IFERROR(unique(filter(Prod_Prop!$H:$H,Prod_Prop!$G:$G=$U292,Prod_Prop!$E:$E=V$1)),""""))"),"")</f>
        <v/>
      </c>
      <c r="W292" s="4" t="str">
        <f>IF(V292="","",SUMIFS(Prod_Prop!$J:$J,Prod_Prop!$B:$B,$Q292,Prod_Prop!$H:$H,V292,Prod_Prop!$I:$I,W$1)*IF(V292="Peso",$R292,1))</f>
        <v/>
      </c>
      <c r="X292" s="4" t="str">
        <f>IF(V292="","",SUMIFS(Prod_Prop!$J:$J,Prod_Prop!$B:$B,$Q292,Prod_Prop!$H:$H,V292,Prod_Prop!$I:$I,X$1)*IF(V292="Peso",$R292,1))</f>
        <v/>
      </c>
      <c r="Y292" s="4" t="str">
        <f>IFERROR(__xludf.DUMMYFUNCTION("IF(OR($U292="""",COUNTIF($I:$I,IFERROR(unique(filter(Prod_Prop!$H:$H,Prod_Prop!$G:$G=$U292,Prod_Prop!$E:$E=Y$1)),""Check""))=0),"""",IFERROR(unique(filter(Prod_Prop!$H:$H,Prod_Prop!$G:$G=$U292,Prod_Prop!$E:$E=Y$1)),""""))"),"")</f>
        <v/>
      </c>
      <c r="Z292" s="4" t="str">
        <f>IF(Y292="","",SUMIFS(Prod_Prop!$J:$J,Prod_Prop!$B:$B,$Q292,Prod_Prop!$H:$H,Y292,Prod_Prop!$I:$I,Z$1)*IF(Y292="Peso",$R292,1))</f>
        <v/>
      </c>
      <c r="AA292" s="4" t="str">
        <f>IF(Y292="","",SUMIFS(Prod_Prop!$J:$J,Prod_Prop!$B:$B,$Q292,Prod_Prop!$H:$H,Y292,Prod_Prop!$I:$I,AA$1)*IF(Y292="Peso",$R292,1))</f>
        <v/>
      </c>
      <c r="AB292" s="4" t="str">
        <f>IFERROR(__xludf.DUMMYFUNCTION("IF(OR($U292="""",COUNTIF($I:$I,IFERROR(unique(filter(Prod_Prop!$H:$H,Prod_Prop!$G:$G=$U292,Prod_Prop!$E:$E=AB$1)),""Check""))=0),"""",IFERROR(unique(filter(Prod_Prop!$H:$H,Prod_Prop!$G:$G=$U292,Prod_Prop!$E:$E=AB$1)),""""))"),"")</f>
        <v/>
      </c>
      <c r="AC292" s="4" t="str">
        <f>IF(AB292="","",SUMIFS(Prod_Prop!$J:$J,Prod_Prop!$B:$B,$Q292,Prod_Prop!$H:$H,AB292,Prod_Prop!$I:$I,AC$1)*IF(AB292="Peso",$R292,1))</f>
        <v/>
      </c>
      <c r="AD292" s="4" t="str">
        <f>IF(AB292="","",SUMIFS(Prod_Prop!$J:$J,Prod_Prop!$B:$B,$Q292,Prod_Prop!$H:$H,AB292,Prod_Prop!$I:$I,AD$1)*IF(AB292="Peso",$R292,1))</f>
        <v/>
      </c>
    </row>
    <row r="293">
      <c r="A293" s="4" t="str">
        <f t="array" ref="A293">IF(COUNTIF(A$1:A292,Cotizador!F$2)=maxifs(Familias!E:E,Familias!D:D,Cotizador!F$2),IF(COUNTIF(A$1:A292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3" s="4" t="str">
        <f t="shared" si="1"/>
        <v/>
      </c>
      <c r="C293" s="4" t="str">
        <f t="array" ref="C293">IF(B293="","",IF(A293=XLOOKUP(A$2,Implementos!B:B,Implementos!C:C,"",0,1),B293+maxifs(B$1:B292,A$1:A292,A$2),B293))</f>
        <v/>
      </c>
      <c r="D293" s="4" t="str">
        <f>IF(B293="","", COUNTIFS(Productos!F:F,A293,Productos!H:H,B293)+IF(F293="SI",0,1))</f>
        <v/>
      </c>
      <c r="E293" s="4" t="str">
        <f>IFERROR(__xludf.DUMMYFUNCTION("IF($B293="""","""",INDEX(filter(Familias!F:F,Familias!$D:$D=$A293,Familias!$E:$E=$B293),1))"),"")</f>
        <v/>
      </c>
      <c r="F293" s="4" t="str">
        <f>IFERROR(__xludf.DUMMYFUNCTION("IF($B293="""","""",INDEX(filter(Familias!G:G,Familias!$D:$D=$A293,Familias!$E:$E=$B293),1))"),"")</f>
        <v/>
      </c>
      <c r="G293" s="4" t="str">
        <f t="array" ref="G293">IF(C293=1,XLOOKUP(C293,Cotizador!D:D,Cotizador!E:E,"",0,1),"")</f>
        <v/>
      </c>
      <c r="I293" s="4"/>
      <c r="J293" s="8" t="str">
        <f>IF(I293="","",SUMIF(Cotizador!I$1:V$1,I293,Cotizador!I$2:V$2))</f>
        <v/>
      </c>
      <c r="L293" s="4" t="str">
        <f t="array" ref="L293">IF(COUNTIF(L$1:L292,A$2)=SUMIF(A:A,A$2,D:D),IF(COUNTIF(L$1:L292,XLOOKUP(A$2,Implementos!B:B,Implementos!C:C,"",0,1))=SUMIF(A:A,XLOOKUP(A$2,Implementos!B:B,Implementos!C:C,"",0,1),D:D),"",XLOOKUP(A$2,Implementos!B:B,Implementos!C:C,"",0,1)),A$2)</f>
        <v/>
      </c>
      <c r="M293" s="4" t="str">
        <f t="shared" si="2"/>
        <v/>
      </c>
      <c r="N293" s="4" t="str">
        <f t="shared" si="3"/>
        <v/>
      </c>
      <c r="O293" s="4" t="str">
        <f t="shared" si="4"/>
        <v/>
      </c>
      <c r="P293" s="4" t="str">
        <f t="shared" si="5"/>
        <v/>
      </c>
      <c r="Q293" s="4" t="str">
        <f>IF(U293="","",SUMIF(Productos!E:E,U293,Productos!A:A))</f>
        <v/>
      </c>
      <c r="R293" s="4" t="str">
        <f t="array" ref="R293">IF(L293="","", max(1,SUMIF(I:I,XLOOKUP(U293,Productos!E:E,Productos!G:G,"",0,1),J:J)))</f>
        <v/>
      </c>
      <c r="S293" s="4" t="str">
        <f>IF(Q293="","",IF(SUMIFS(Compat_Vetado!D:D,Compat_Vetado!B:B,SUM(G:G),Compat_Vetado!C:C,Q293)=1,"SI",IF(OR(SUMIF(Cotizador!E:E,Q293,Cotizador!G:G)&gt;0,SUMIFS(Compat_Vetado!D:D,Compat_Vetado!B:B,SUM(G:G),Compat_Vetado!C:C,Q293)=-1),"NO","")))</f>
        <v/>
      </c>
      <c r="T293" s="4" t="str">
        <f t="shared" si="6"/>
        <v/>
      </c>
      <c r="U293" s="4" t="str">
        <f>IFERROR(__xludf.DUMMYFUNCTION("IF(P293="""","""",IFERROR(INDEX(filter(Productos!E:E,Productos!F:F=L293,Productos!H:H=N293),P293),IF(M293=SUM(D:D),""Finalizar"",""-"")))"),"")</f>
        <v/>
      </c>
      <c r="V293" s="4" t="str">
        <f>IFERROR(__xludf.DUMMYFUNCTION("IF(OR($U293="""",COUNTIF($I:$I,IFERROR(unique(filter(Prod_Prop!$H:$H,Prod_Prop!$G:$G=$U293,Prod_Prop!$E:$E=V$1)),""Check""))=0),"""",IFERROR(unique(filter(Prod_Prop!$H:$H,Prod_Prop!$G:$G=$U293,Prod_Prop!$E:$E=V$1)),""""))"),"")</f>
        <v/>
      </c>
      <c r="W293" s="4" t="str">
        <f>IF(V293="","",SUMIFS(Prod_Prop!$J:$J,Prod_Prop!$B:$B,$Q293,Prod_Prop!$H:$H,V293,Prod_Prop!$I:$I,W$1)*IF(V293="Peso",$R293,1))</f>
        <v/>
      </c>
      <c r="X293" s="4" t="str">
        <f>IF(V293="","",SUMIFS(Prod_Prop!$J:$J,Prod_Prop!$B:$B,$Q293,Prod_Prop!$H:$H,V293,Prod_Prop!$I:$I,X$1)*IF(V293="Peso",$R293,1))</f>
        <v/>
      </c>
      <c r="Y293" s="4" t="str">
        <f>IFERROR(__xludf.DUMMYFUNCTION("IF(OR($U293="""",COUNTIF($I:$I,IFERROR(unique(filter(Prod_Prop!$H:$H,Prod_Prop!$G:$G=$U293,Prod_Prop!$E:$E=Y$1)),""Check""))=0),"""",IFERROR(unique(filter(Prod_Prop!$H:$H,Prod_Prop!$G:$G=$U293,Prod_Prop!$E:$E=Y$1)),""""))"),"")</f>
        <v/>
      </c>
      <c r="Z293" s="4" t="str">
        <f>IF(Y293="","",SUMIFS(Prod_Prop!$J:$J,Prod_Prop!$B:$B,$Q293,Prod_Prop!$H:$H,Y293,Prod_Prop!$I:$I,Z$1)*IF(Y293="Peso",$R293,1))</f>
        <v/>
      </c>
      <c r="AA293" s="4" t="str">
        <f>IF(Y293="","",SUMIFS(Prod_Prop!$J:$J,Prod_Prop!$B:$B,$Q293,Prod_Prop!$H:$H,Y293,Prod_Prop!$I:$I,AA$1)*IF(Y293="Peso",$R293,1))</f>
        <v/>
      </c>
      <c r="AB293" s="4" t="str">
        <f>IFERROR(__xludf.DUMMYFUNCTION("IF(OR($U293="""",COUNTIF($I:$I,IFERROR(unique(filter(Prod_Prop!$H:$H,Prod_Prop!$G:$G=$U293,Prod_Prop!$E:$E=AB$1)),""Check""))=0),"""",IFERROR(unique(filter(Prod_Prop!$H:$H,Prod_Prop!$G:$G=$U293,Prod_Prop!$E:$E=AB$1)),""""))"),"")</f>
        <v/>
      </c>
      <c r="AC293" s="4" t="str">
        <f>IF(AB293="","",SUMIFS(Prod_Prop!$J:$J,Prod_Prop!$B:$B,$Q293,Prod_Prop!$H:$H,AB293,Prod_Prop!$I:$I,AC$1)*IF(AB293="Peso",$R293,1))</f>
        <v/>
      </c>
      <c r="AD293" s="4" t="str">
        <f>IF(AB293="","",SUMIFS(Prod_Prop!$J:$J,Prod_Prop!$B:$B,$Q293,Prod_Prop!$H:$H,AB293,Prod_Prop!$I:$I,AD$1)*IF(AB293="Peso",$R293,1))</f>
        <v/>
      </c>
    </row>
    <row r="294">
      <c r="A294" s="4" t="str">
        <f t="array" ref="A294">IF(COUNTIF(A$1:A293,Cotizador!F$2)=maxifs(Familias!E:E,Familias!D:D,Cotizador!F$2),IF(COUNTIF(A$1:A293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4" s="4" t="str">
        <f t="shared" si="1"/>
        <v/>
      </c>
      <c r="C294" s="4" t="str">
        <f t="array" ref="C294">IF(B294="","",IF(A294=XLOOKUP(A$2,Implementos!B:B,Implementos!C:C,"",0,1),B294+maxifs(B$1:B293,A$1:A293,A$2),B294))</f>
        <v/>
      </c>
      <c r="D294" s="4" t="str">
        <f>IF(B294="","", COUNTIFS(Productos!F:F,A294,Productos!H:H,B294)+IF(F294="SI",0,1))</f>
        <v/>
      </c>
      <c r="E294" s="4" t="str">
        <f>IFERROR(__xludf.DUMMYFUNCTION("IF($B294="""","""",INDEX(filter(Familias!F:F,Familias!$D:$D=$A294,Familias!$E:$E=$B294),1))"),"")</f>
        <v/>
      </c>
      <c r="F294" s="4" t="str">
        <f>IFERROR(__xludf.DUMMYFUNCTION("IF($B294="""","""",INDEX(filter(Familias!G:G,Familias!$D:$D=$A294,Familias!$E:$E=$B294),1))"),"")</f>
        <v/>
      </c>
      <c r="G294" s="4" t="str">
        <f t="array" ref="G294">IF(C294=1,XLOOKUP(C294,Cotizador!D:D,Cotizador!E:E,"",0,1),"")</f>
        <v/>
      </c>
      <c r="I294" s="4"/>
      <c r="J294" s="8" t="str">
        <f>IF(I294="","",SUMIF(Cotizador!I$1:V$1,I294,Cotizador!I$2:V$2))</f>
        <v/>
      </c>
      <c r="L294" s="4" t="str">
        <f t="array" ref="L294">IF(COUNTIF(L$1:L293,A$2)=SUMIF(A:A,A$2,D:D),IF(COUNTIF(L$1:L293,XLOOKUP(A$2,Implementos!B:B,Implementos!C:C,"",0,1))=SUMIF(A:A,XLOOKUP(A$2,Implementos!B:B,Implementos!C:C,"",0,1),D:D),"",XLOOKUP(A$2,Implementos!B:B,Implementos!C:C,"",0,1)),A$2)</f>
        <v/>
      </c>
      <c r="M294" s="4" t="str">
        <f t="shared" si="2"/>
        <v/>
      </c>
      <c r="N294" s="4" t="str">
        <f t="shared" si="3"/>
        <v/>
      </c>
      <c r="O294" s="4" t="str">
        <f t="shared" si="4"/>
        <v/>
      </c>
      <c r="P294" s="4" t="str">
        <f t="shared" si="5"/>
        <v/>
      </c>
      <c r="Q294" s="4" t="str">
        <f>IF(U294="","",SUMIF(Productos!E:E,U294,Productos!A:A))</f>
        <v/>
      </c>
      <c r="R294" s="4" t="str">
        <f t="array" ref="R294">IF(L294="","", max(1,SUMIF(I:I,XLOOKUP(U294,Productos!E:E,Productos!G:G,"",0,1),J:J)))</f>
        <v/>
      </c>
      <c r="S294" s="4" t="str">
        <f>IF(Q294="","",IF(SUMIFS(Compat_Vetado!D:D,Compat_Vetado!B:B,SUM(G:G),Compat_Vetado!C:C,Q294)=1,"SI",IF(OR(SUMIF(Cotizador!E:E,Q294,Cotizador!G:G)&gt;0,SUMIFS(Compat_Vetado!D:D,Compat_Vetado!B:B,SUM(G:G),Compat_Vetado!C:C,Q294)=-1),"NO","")))</f>
        <v/>
      </c>
      <c r="T294" s="4" t="str">
        <f t="shared" si="6"/>
        <v/>
      </c>
      <c r="U294" s="4" t="str">
        <f>IFERROR(__xludf.DUMMYFUNCTION("IF(P294="""","""",IFERROR(INDEX(filter(Productos!E:E,Productos!F:F=L294,Productos!H:H=N294),P294),IF(M294=SUM(D:D),""Finalizar"",""-"")))"),"")</f>
        <v/>
      </c>
      <c r="V294" s="4" t="str">
        <f>IFERROR(__xludf.DUMMYFUNCTION("IF(OR($U294="""",COUNTIF($I:$I,IFERROR(unique(filter(Prod_Prop!$H:$H,Prod_Prop!$G:$G=$U294,Prod_Prop!$E:$E=V$1)),""Check""))=0),"""",IFERROR(unique(filter(Prod_Prop!$H:$H,Prod_Prop!$G:$G=$U294,Prod_Prop!$E:$E=V$1)),""""))"),"")</f>
        <v/>
      </c>
      <c r="W294" s="4" t="str">
        <f>IF(V294="","",SUMIFS(Prod_Prop!$J:$J,Prod_Prop!$B:$B,$Q294,Prod_Prop!$H:$H,V294,Prod_Prop!$I:$I,W$1)*IF(V294="Peso",$R294,1))</f>
        <v/>
      </c>
      <c r="X294" s="4" t="str">
        <f>IF(V294="","",SUMIFS(Prod_Prop!$J:$J,Prod_Prop!$B:$B,$Q294,Prod_Prop!$H:$H,V294,Prod_Prop!$I:$I,X$1)*IF(V294="Peso",$R294,1))</f>
        <v/>
      </c>
      <c r="Y294" s="4" t="str">
        <f>IFERROR(__xludf.DUMMYFUNCTION("IF(OR($U294="""",COUNTIF($I:$I,IFERROR(unique(filter(Prod_Prop!$H:$H,Prod_Prop!$G:$G=$U294,Prod_Prop!$E:$E=Y$1)),""Check""))=0),"""",IFERROR(unique(filter(Prod_Prop!$H:$H,Prod_Prop!$G:$G=$U294,Prod_Prop!$E:$E=Y$1)),""""))"),"")</f>
        <v/>
      </c>
      <c r="Z294" s="4" t="str">
        <f>IF(Y294="","",SUMIFS(Prod_Prop!$J:$J,Prod_Prop!$B:$B,$Q294,Prod_Prop!$H:$H,Y294,Prod_Prop!$I:$I,Z$1)*IF(Y294="Peso",$R294,1))</f>
        <v/>
      </c>
      <c r="AA294" s="4" t="str">
        <f>IF(Y294="","",SUMIFS(Prod_Prop!$J:$J,Prod_Prop!$B:$B,$Q294,Prod_Prop!$H:$H,Y294,Prod_Prop!$I:$I,AA$1)*IF(Y294="Peso",$R294,1))</f>
        <v/>
      </c>
      <c r="AB294" s="4" t="str">
        <f>IFERROR(__xludf.DUMMYFUNCTION("IF(OR($U294="""",COUNTIF($I:$I,IFERROR(unique(filter(Prod_Prop!$H:$H,Prod_Prop!$G:$G=$U294,Prod_Prop!$E:$E=AB$1)),""Check""))=0),"""",IFERROR(unique(filter(Prod_Prop!$H:$H,Prod_Prop!$G:$G=$U294,Prod_Prop!$E:$E=AB$1)),""""))"),"")</f>
        <v/>
      </c>
      <c r="AC294" s="4" t="str">
        <f>IF(AB294="","",SUMIFS(Prod_Prop!$J:$J,Prod_Prop!$B:$B,$Q294,Prod_Prop!$H:$H,AB294,Prod_Prop!$I:$I,AC$1)*IF(AB294="Peso",$R294,1))</f>
        <v/>
      </c>
      <c r="AD294" s="4" t="str">
        <f>IF(AB294="","",SUMIFS(Prod_Prop!$J:$J,Prod_Prop!$B:$B,$Q294,Prod_Prop!$H:$H,AB294,Prod_Prop!$I:$I,AD$1)*IF(AB294="Peso",$R294,1))</f>
        <v/>
      </c>
    </row>
    <row r="295">
      <c r="A295" s="4" t="str">
        <f t="array" ref="A295">IF(COUNTIF(A$1:A294,Cotizador!F$2)=maxifs(Familias!E:E,Familias!D:D,Cotizador!F$2),IF(COUNTIF(A$1:A294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5" s="4" t="str">
        <f t="shared" si="1"/>
        <v/>
      </c>
      <c r="C295" s="4" t="str">
        <f t="array" ref="C295">IF(B295="","",IF(A295=XLOOKUP(A$2,Implementos!B:B,Implementos!C:C,"",0,1),B295+maxifs(B$1:B294,A$1:A294,A$2),B295))</f>
        <v/>
      </c>
      <c r="D295" s="4" t="str">
        <f>IF(B295="","", COUNTIFS(Productos!F:F,A295,Productos!H:H,B295)+IF(F295="SI",0,1))</f>
        <v/>
      </c>
      <c r="E295" s="4" t="str">
        <f>IFERROR(__xludf.DUMMYFUNCTION("IF($B295="""","""",INDEX(filter(Familias!F:F,Familias!$D:$D=$A295,Familias!$E:$E=$B295),1))"),"")</f>
        <v/>
      </c>
      <c r="F295" s="4" t="str">
        <f>IFERROR(__xludf.DUMMYFUNCTION("IF($B295="""","""",INDEX(filter(Familias!G:G,Familias!$D:$D=$A295,Familias!$E:$E=$B295),1))"),"")</f>
        <v/>
      </c>
      <c r="G295" s="4" t="str">
        <f t="array" ref="G295">IF(C295=1,XLOOKUP(C295,Cotizador!D:D,Cotizador!E:E,"",0,1),"")</f>
        <v/>
      </c>
      <c r="I295" s="4"/>
      <c r="J295" s="8" t="str">
        <f>IF(I295="","",SUMIF(Cotizador!I$1:V$1,I295,Cotizador!I$2:V$2))</f>
        <v/>
      </c>
      <c r="L295" s="4" t="str">
        <f t="array" ref="L295">IF(COUNTIF(L$1:L294,A$2)=SUMIF(A:A,A$2,D:D),IF(COUNTIF(L$1:L294,XLOOKUP(A$2,Implementos!B:B,Implementos!C:C,"",0,1))=SUMIF(A:A,XLOOKUP(A$2,Implementos!B:B,Implementos!C:C,"",0,1),D:D),"",XLOOKUP(A$2,Implementos!B:B,Implementos!C:C,"",0,1)),A$2)</f>
        <v/>
      </c>
      <c r="M295" s="4" t="str">
        <f t="shared" si="2"/>
        <v/>
      </c>
      <c r="N295" s="4" t="str">
        <f t="shared" si="3"/>
        <v/>
      </c>
      <c r="O295" s="4" t="str">
        <f t="shared" si="4"/>
        <v/>
      </c>
      <c r="P295" s="4" t="str">
        <f t="shared" si="5"/>
        <v/>
      </c>
      <c r="Q295" s="4" t="str">
        <f>IF(U295="","",SUMIF(Productos!E:E,U295,Productos!A:A))</f>
        <v/>
      </c>
      <c r="R295" s="4" t="str">
        <f t="array" ref="R295">IF(L295="","", max(1,SUMIF(I:I,XLOOKUP(U295,Productos!E:E,Productos!G:G,"",0,1),J:J)))</f>
        <v/>
      </c>
      <c r="S295" s="4" t="str">
        <f>IF(Q295="","",IF(SUMIFS(Compat_Vetado!D:D,Compat_Vetado!B:B,SUM(G:G),Compat_Vetado!C:C,Q295)=1,"SI",IF(OR(SUMIF(Cotizador!E:E,Q295,Cotizador!G:G)&gt;0,SUMIFS(Compat_Vetado!D:D,Compat_Vetado!B:B,SUM(G:G),Compat_Vetado!C:C,Q295)=-1),"NO","")))</f>
        <v/>
      </c>
      <c r="T295" s="4" t="str">
        <f t="shared" si="6"/>
        <v/>
      </c>
      <c r="U295" s="4" t="str">
        <f>IFERROR(__xludf.DUMMYFUNCTION("IF(P295="""","""",IFERROR(INDEX(filter(Productos!E:E,Productos!F:F=L295,Productos!H:H=N295),P295),IF(M295=SUM(D:D),""Finalizar"",""-"")))"),"")</f>
        <v/>
      </c>
      <c r="V295" s="4" t="str">
        <f>IFERROR(__xludf.DUMMYFUNCTION("IF(OR($U295="""",COUNTIF($I:$I,IFERROR(unique(filter(Prod_Prop!$H:$H,Prod_Prop!$G:$G=$U295,Prod_Prop!$E:$E=V$1)),""Check""))=0),"""",IFERROR(unique(filter(Prod_Prop!$H:$H,Prod_Prop!$G:$G=$U295,Prod_Prop!$E:$E=V$1)),""""))"),"")</f>
        <v/>
      </c>
      <c r="W295" s="4" t="str">
        <f>IF(V295="","",SUMIFS(Prod_Prop!$J:$J,Prod_Prop!$B:$B,$Q295,Prod_Prop!$H:$H,V295,Prod_Prop!$I:$I,W$1)*IF(V295="Peso",$R295,1))</f>
        <v/>
      </c>
      <c r="X295" s="4" t="str">
        <f>IF(V295="","",SUMIFS(Prod_Prop!$J:$J,Prod_Prop!$B:$B,$Q295,Prod_Prop!$H:$H,V295,Prod_Prop!$I:$I,X$1)*IF(V295="Peso",$R295,1))</f>
        <v/>
      </c>
      <c r="Y295" s="4" t="str">
        <f>IFERROR(__xludf.DUMMYFUNCTION("IF(OR($U295="""",COUNTIF($I:$I,IFERROR(unique(filter(Prod_Prop!$H:$H,Prod_Prop!$G:$G=$U295,Prod_Prop!$E:$E=Y$1)),""Check""))=0),"""",IFERROR(unique(filter(Prod_Prop!$H:$H,Prod_Prop!$G:$G=$U295,Prod_Prop!$E:$E=Y$1)),""""))"),"")</f>
        <v/>
      </c>
      <c r="Z295" s="4" t="str">
        <f>IF(Y295="","",SUMIFS(Prod_Prop!$J:$J,Prod_Prop!$B:$B,$Q295,Prod_Prop!$H:$H,Y295,Prod_Prop!$I:$I,Z$1)*IF(Y295="Peso",$R295,1))</f>
        <v/>
      </c>
      <c r="AA295" s="4" t="str">
        <f>IF(Y295="","",SUMIFS(Prod_Prop!$J:$J,Prod_Prop!$B:$B,$Q295,Prod_Prop!$H:$H,Y295,Prod_Prop!$I:$I,AA$1)*IF(Y295="Peso",$R295,1))</f>
        <v/>
      </c>
      <c r="AB295" s="4" t="str">
        <f>IFERROR(__xludf.DUMMYFUNCTION("IF(OR($U295="""",COUNTIF($I:$I,IFERROR(unique(filter(Prod_Prop!$H:$H,Prod_Prop!$G:$G=$U295,Prod_Prop!$E:$E=AB$1)),""Check""))=0),"""",IFERROR(unique(filter(Prod_Prop!$H:$H,Prod_Prop!$G:$G=$U295,Prod_Prop!$E:$E=AB$1)),""""))"),"")</f>
        <v/>
      </c>
      <c r="AC295" s="4" t="str">
        <f>IF(AB295="","",SUMIFS(Prod_Prop!$J:$J,Prod_Prop!$B:$B,$Q295,Prod_Prop!$H:$H,AB295,Prod_Prop!$I:$I,AC$1)*IF(AB295="Peso",$R295,1))</f>
        <v/>
      </c>
      <c r="AD295" s="4" t="str">
        <f>IF(AB295="","",SUMIFS(Prod_Prop!$J:$J,Prod_Prop!$B:$B,$Q295,Prod_Prop!$H:$H,AB295,Prod_Prop!$I:$I,AD$1)*IF(AB295="Peso",$R295,1))</f>
        <v/>
      </c>
    </row>
    <row r="296">
      <c r="A296" s="4" t="str">
        <f t="array" ref="A296">IF(COUNTIF(A$1:A295,Cotizador!F$2)=maxifs(Familias!E:E,Familias!D:D,Cotizador!F$2),IF(COUNTIF(A$1:A295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6" s="4" t="str">
        <f t="shared" si="1"/>
        <v/>
      </c>
      <c r="C296" s="4" t="str">
        <f t="array" ref="C296">IF(B296="","",IF(A296=XLOOKUP(A$2,Implementos!B:B,Implementos!C:C,"",0,1),B296+maxifs(B$1:B295,A$1:A295,A$2),B296))</f>
        <v/>
      </c>
      <c r="D296" s="4" t="str">
        <f>IF(B296="","", COUNTIFS(Productos!F:F,A296,Productos!H:H,B296)+IF(F296="SI",0,1))</f>
        <v/>
      </c>
      <c r="E296" s="4" t="str">
        <f>IFERROR(__xludf.DUMMYFUNCTION("IF($B296="""","""",INDEX(filter(Familias!F:F,Familias!$D:$D=$A296,Familias!$E:$E=$B296),1))"),"")</f>
        <v/>
      </c>
      <c r="F296" s="4" t="str">
        <f>IFERROR(__xludf.DUMMYFUNCTION("IF($B296="""","""",INDEX(filter(Familias!G:G,Familias!$D:$D=$A296,Familias!$E:$E=$B296),1))"),"")</f>
        <v/>
      </c>
      <c r="G296" s="4" t="str">
        <f t="array" ref="G296">IF(C296=1,XLOOKUP(C296,Cotizador!D:D,Cotizador!E:E,"",0,1),"")</f>
        <v/>
      </c>
      <c r="I296" s="4"/>
      <c r="J296" s="8" t="str">
        <f>IF(I296="","",SUMIF(Cotizador!I$1:V$1,I296,Cotizador!I$2:V$2))</f>
        <v/>
      </c>
      <c r="L296" s="4" t="str">
        <f t="array" ref="L296">IF(COUNTIF(L$1:L295,A$2)=SUMIF(A:A,A$2,D:D),IF(COUNTIF(L$1:L295,XLOOKUP(A$2,Implementos!B:B,Implementos!C:C,"",0,1))=SUMIF(A:A,XLOOKUP(A$2,Implementos!B:B,Implementos!C:C,"",0,1),D:D),"",XLOOKUP(A$2,Implementos!B:B,Implementos!C:C,"",0,1)),A$2)</f>
        <v/>
      </c>
      <c r="M296" s="4" t="str">
        <f t="shared" si="2"/>
        <v/>
      </c>
      <c r="N296" s="4" t="str">
        <f t="shared" si="3"/>
        <v/>
      </c>
      <c r="O296" s="4" t="str">
        <f t="shared" si="4"/>
        <v/>
      </c>
      <c r="P296" s="4" t="str">
        <f t="shared" si="5"/>
        <v/>
      </c>
      <c r="Q296" s="4" t="str">
        <f>IF(U296="","",SUMIF(Productos!E:E,U296,Productos!A:A))</f>
        <v/>
      </c>
      <c r="R296" s="4" t="str">
        <f t="array" ref="R296">IF(L296="","", max(1,SUMIF(I:I,XLOOKUP(U296,Productos!E:E,Productos!G:G,"",0,1),J:J)))</f>
        <v/>
      </c>
      <c r="S296" s="4" t="str">
        <f>IF(Q296="","",IF(SUMIFS(Compat_Vetado!D:D,Compat_Vetado!B:B,SUM(G:G),Compat_Vetado!C:C,Q296)=1,"SI",IF(OR(SUMIF(Cotizador!E:E,Q296,Cotizador!G:G)&gt;0,SUMIFS(Compat_Vetado!D:D,Compat_Vetado!B:B,SUM(G:G),Compat_Vetado!C:C,Q296)=-1),"NO","")))</f>
        <v/>
      </c>
      <c r="T296" s="4" t="str">
        <f t="shared" si="6"/>
        <v/>
      </c>
      <c r="U296" s="4" t="str">
        <f>IFERROR(__xludf.DUMMYFUNCTION("IF(P296="""","""",IFERROR(INDEX(filter(Productos!E:E,Productos!F:F=L296,Productos!H:H=N296),P296),IF(M296=SUM(D:D),""Finalizar"",""-"")))"),"")</f>
        <v/>
      </c>
      <c r="V296" s="4" t="str">
        <f>IFERROR(__xludf.DUMMYFUNCTION("IF(OR($U296="""",COUNTIF($I:$I,IFERROR(unique(filter(Prod_Prop!$H:$H,Prod_Prop!$G:$G=$U296,Prod_Prop!$E:$E=V$1)),""Check""))=0),"""",IFERROR(unique(filter(Prod_Prop!$H:$H,Prod_Prop!$G:$G=$U296,Prod_Prop!$E:$E=V$1)),""""))"),"")</f>
        <v/>
      </c>
      <c r="W296" s="4" t="str">
        <f>IF(V296="","",SUMIFS(Prod_Prop!$J:$J,Prod_Prop!$B:$B,$Q296,Prod_Prop!$H:$H,V296,Prod_Prop!$I:$I,W$1)*IF(V296="Peso",$R296,1))</f>
        <v/>
      </c>
      <c r="X296" s="4" t="str">
        <f>IF(V296="","",SUMIFS(Prod_Prop!$J:$J,Prod_Prop!$B:$B,$Q296,Prod_Prop!$H:$H,V296,Prod_Prop!$I:$I,X$1)*IF(V296="Peso",$R296,1))</f>
        <v/>
      </c>
      <c r="Y296" s="4" t="str">
        <f>IFERROR(__xludf.DUMMYFUNCTION("IF(OR($U296="""",COUNTIF($I:$I,IFERROR(unique(filter(Prod_Prop!$H:$H,Prod_Prop!$G:$G=$U296,Prod_Prop!$E:$E=Y$1)),""Check""))=0),"""",IFERROR(unique(filter(Prod_Prop!$H:$H,Prod_Prop!$G:$G=$U296,Prod_Prop!$E:$E=Y$1)),""""))"),"")</f>
        <v/>
      </c>
      <c r="Z296" s="4" t="str">
        <f>IF(Y296="","",SUMIFS(Prod_Prop!$J:$J,Prod_Prop!$B:$B,$Q296,Prod_Prop!$H:$H,Y296,Prod_Prop!$I:$I,Z$1)*IF(Y296="Peso",$R296,1))</f>
        <v/>
      </c>
      <c r="AA296" s="4" t="str">
        <f>IF(Y296="","",SUMIFS(Prod_Prop!$J:$J,Prod_Prop!$B:$B,$Q296,Prod_Prop!$H:$H,Y296,Prod_Prop!$I:$I,AA$1)*IF(Y296="Peso",$R296,1))</f>
        <v/>
      </c>
      <c r="AB296" s="4" t="str">
        <f>IFERROR(__xludf.DUMMYFUNCTION("IF(OR($U296="""",COUNTIF($I:$I,IFERROR(unique(filter(Prod_Prop!$H:$H,Prod_Prop!$G:$G=$U296,Prod_Prop!$E:$E=AB$1)),""Check""))=0),"""",IFERROR(unique(filter(Prod_Prop!$H:$H,Prod_Prop!$G:$G=$U296,Prod_Prop!$E:$E=AB$1)),""""))"),"")</f>
        <v/>
      </c>
      <c r="AC296" s="4" t="str">
        <f>IF(AB296="","",SUMIFS(Prod_Prop!$J:$J,Prod_Prop!$B:$B,$Q296,Prod_Prop!$H:$H,AB296,Prod_Prop!$I:$I,AC$1)*IF(AB296="Peso",$R296,1))</f>
        <v/>
      </c>
      <c r="AD296" s="4" t="str">
        <f>IF(AB296="","",SUMIFS(Prod_Prop!$J:$J,Prod_Prop!$B:$B,$Q296,Prod_Prop!$H:$H,AB296,Prod_Prop!$I:$I,AD$1)*IF(AB296="Peso",$R296,1))</f>
        <v/>
      </c>
    </row>
    <row r="297">
      <c r="A297" s="4" t="str">
        <f t="array" ref="A297">IF(COUNTIF(A$1:A296,Cotizador!F$2)=maxifs(Familias!E:E,Familias!D:D,Cotizador!F$2),IF(COUNTIF(A$1:A296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7" s="4" t="str">
        <f t="shared" si="1"/>
        <v/>
      </c>
      <c r="C297" s="4" t="str">
        <f t="array" ref="C297">IF(B297="","",IF(A297=XLOOKUP(A$2,Implementos!B:B,Implementos!C:C,"",0,1),B297+maxifs(B$1:B296,A$1:A296,A$2),B297))</f>
        <v/>
      </c>
      <c r="D297" s="4" t="str">
        <f>IF(B297="","", COUNTIFS(Productos!F:F,A297,Productos!H:H,B297)+IF(F297="SI",0,1))</f>
        <v/>
      </c>
      <c r="E297" s="4" t="str">
        <f>IFERROR(__xludf.DUMMYFUNCTION("IF($B297="""","""",INDEX(filter(Familias!F:F,Familias!$D:$D=$A297,Familias!$E:$E=$B297),1))"),"")</f>
        <v/>
      </c>
      <c r="F297" s="4" t="str">
        <f>IFERROR(__xludf.DUMMYFUNCTION("IF($B297="""","""",INDEX(filter(Familias!G:G,Familias!$D:$D=$A297,Familias!$E:$E=$B297),1))"),"")</f>
        <v/>
      </c>
      <c r="G297" s="4" t="str">
        <f t="array" ref="G297">IF(C297=1,XLOOKUP(C297,Cotizador!D:D,Cotizador!E:E,"",0,1),"")</f>
        <v/>
      </c>
      <c r="I297" s="4"/>
      <c r="J297" s="8" t="str">
        <f>IF(I297="","",SUMIF(Cotizador!I$1:V$1,I297,Cotizador!I$2:V$2))</f>
        <v/>
      </c>
      <c r="L297" s="4" t="str">
        <f t="array" ref="L297">IF(COUNTIF(L$1:L296,A$2)=SUMIF(A:A,A$2,D:D),IF(COUNTIF(L$1:L296,XLOOKUP(A$2,Implementos!B:B,Implementos!C:C,"",0,1))=SUMIF(A:A,XLOOKUP(A$2,Implementos!B:B,Implementos!C:C,"",0,1),D:D),"",XLOOKUP(A$2,Implementos!B:B,Implementos!C:C,"",0,1)),A$2)</f>
        <v/>
      </c>
      <c r="M297" s="4" t="str">
        <f t="shared" si="2"/>
        <v/>
      </c>
      <c r="N297" s="4" t="str">
        <f t="shared" si="3"/>
        <v/>
      </c>
      <c r="O297" s="4" t="str">
        <f t="shared" si="4"/>
        <v/>
      </c>
      <c r="P297" s="4" t="str">
        <f t="shared" si="5"/>
        <v/>
      </c>
      <c r="Q297" s="4" t="str">
        <f>IF(U297="","",SUMIF(Productos!E:E,U297,Productos!A:A))</f>
        <v/>
      </c>
      <c r="R297" s="4" t="str">
        <f t="array" ref="R297">IF(L297="","", max(1,SUMIF(I:I,XLOOKUP(U297,Productos!E:E,Productos!G:G,"",0,1),J:J)))</f>
        <v/>
      </c>
      <c r="S297" s="4" t="str">
        <f>IF(Q297="","",IF(SUMIFS(Compat_Vetado!D:D,Compat_Vetado!B:B,SUM(G:G),Compat_Vetado!C:C,Q297)=1,"SI",IF(OR(SUMIF(Cotizador!E:E,Q297,Cotizador!G:G)&gt;0,SUMIFS(Compat_Vetado!D:D,Compat_Vetado!B:B,SUM(G:G),Compat_Vetado!C:C,Q297)=-1),"NO","")))</f>
        <v/>
      </c>
      <c r="T297" s="4" t="str">
        <f t="shared" si="6"/>
        <v/>
      </c>
      <c r="U297" s="4" t="str">
        <f>IFERROR(__xludf.DUMMYFUNCTION("IF(P297="""","""",IFERROR(INDEX(filter(Productos!E:E,Productos!F:F=L297,Productos!H:H=N297),P297),IF(M297=SUM(D:D),""Finalizar"",""-"")))"),"")</f>
        <v/>
      </c>
      <c r="V297" s="4" t="str">
        <f>IFERROR(__xludf.DUMMYFUNCTION("IF(OR($U297="""",COUNTIF($I:$I,IFERROR(unique(filter(Prod_Prop!$H:$H,Prod_Prop!$G:$G=$U297,Prod_Prop!$E:$E=V$1)),""Check""))=0),"""",IFERROR(unique(filter(Prod_Prop!$H:$H,Prod_Prop!$G:$G=$U297,Prod_Prop!$E:$E=V$1)),""""))"),"")</f>
        <v/>
      </c>
      <c r="W297" s="4" t="str">
        <f>IF(V297="","",SUMIFS(Prod_Prop!$J:$J,Prod_Prop!$B:$B,$Q297,Prod_Prop!$H:$H,V297,Prod_Prop!$I:$I,W$1)*IF(V297="Peso",$R297,1))</f>
        <v/>
      </c>
      <c r="X297" s="4" t="str">
        <f>IF(V297="","",SUMIFS(Prod_Prop!$J:$J,Prod_Prop!$B:$B,$Q297,Prod_Prop!$H:$H,V297,Prod_Prop!$I:$I,X$1)*IF(V297="Peso",$R297,1))</f>
        <v/>
      </c>
      <c r="Y297" s="4" t="str">
        <f>IFERROR(__xludf.DUMMYFUNCTION("IF(OR($U297="""",COUNTIF($I:$I,IFERROR(unique(filter(Prod_Prop!$H:$H,Prod_Prop!$G:$G=$U297,Prod_Prop!$E:$E=Y$1)),""Check""))=0),"""",IFERROR(unique(filter(Prod_Prop!$H:$H,Prod_Prop!$G:$G=$U297,Prod_Prop!$E:$E=Y$1)),""""))"),"")</f>
        <v/>
      </c>
      <c r="Z297" s="4" t="str">
        <f>IF(Y297="","",SUMIFS(Prod_Prop!$J:$J,Prod_Prop!$B:$B,$Q297,Prod_Prop!$H:$H,Y297,Prod_Prop!$I:$I,Z$1)*IF(Y297="Peso",$R297,1))</f>
        <v/>
      </c>
      <c r="AA297" s="4" t="str">
        <f>IF(Y297="","",SUMIFS(Prod_Prop!$J:$J,Prod_Prop!$B:$B,$Q297,Prod_Prop!$H:$H,Y297,Prod_Prop!$I:$I,AA$1)*IF(Y297="Peso",$R297,1))</f>
        <v/>
      </c>
      <c r="AB297" s="4" t="str">
        <f>IFERROR(__xludf.DUMMYFUNCTION("IF(OR($U297="""",COUNTIF($I:$I,IFERROR(unique(filter(Prod_Prop!$H:$H,Prod_Prop!$G:$G=$U297,Prod_Prop!$E:$E=AB$1)),""Check""))=0),"""",IFERROR(unique(filter(Prod_Prop!$H:$H,Prod_Prop!$G:$G=$U297,Prod_Prop!$E:$E=AB$1)),""""))"),"")</f>
        <v/>
      </c>
      <c r="AC297" s="4" t="str">
        <f>IF(AB297="","",SUMIFS(Prod_Prop!$J:$J,Prod_Prop!$B:$B,$Q297,Prod_Prop!$H:$H,AB297,Prod_Prop!$I:$I,AC$1)*IF(AB297="Peso",$R297,1))</f>
        <v/>
      </c>
      <c r="AD297" s="4" t="str">
        <f>IF(AB297="","",SUMIFS(Prod_Prop!$J:$J,Prod_Prop!$B:$B,$Q297,Prod_Prop!$H:$H,AB297,Prod_Prop!$I:$I,AD$1)*IF(AB297="Peso",$R297,1))</f>
        <v/>
      </c>
    </row>
    <row r="298">
      <c r="A298" s="4" t="str">
        <f t="array" ref="A298">IF(COUNTIF(A$1:A297,Cotizador!F$2)=maxifs(Familias!E:E,Familias!D:D,Cotizador!F$2),IF(COUNTIF(A$1:A297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8" s="4" t="str">
        <f t="shared" si="1"/>
        <v/>
      </c>
      <c r="C298" s="4" t="str">
        <f t="array" ref="C298">IF(B298="","",IF(A298=XLOOKUP(A$2,Implementos!B:B,Implementos!C:C,"",0,1),B298+maxifs(B$1:B297,A$1:A297,A$2),B298))</f>
        <v/>
      </c>
      <c r="D298" s="4" t="str">
        <f>IF(B298="","", COUNTIFS(Productos!F:F,A298,Productos!H:H,B298)+IF(F298="SI",0,1))</f>
        <v/>
      </c>
      <c r="E298" s="4" t="str">
        <f>IFERROR(__xludf.DUMMYFUNCTION("IF($B298="""","""",INDEX(filter(Familias!F:F,Familias!$D:$D=$A298,Familias!$E:$E=$B298),1))"),"")</f>
        <v/>
      </c>
      <c r="F298" s="4" t="str">
        <f>IFERROR(__xludf.DUMMYFUNCTION("IF($B298="""","""",INDEX(filter(Familias!G:G,Familias!$D:$D=$A298,Familias!$E:$E=$B298),1))"),"")</f>
        <v/>
      </c>
      <c r="G298" s="4" t="str">
        <f t="array" ref="G298">IF(C298=1,XLOOKUP(C298,Cotizador!D:D,Cotizador!E:E,"",0,1),"")</f>
        <v/>
      </c>
      <c r="I298" s="4"/>
      <c r="J298" s="8" t="str">
        <f>IF(I298="","",SUMIF(Cotizador!I$1:V$1,I298,Cotizador!I$2:V$2))</f>
        <v/>
      </c>
      <c r="L298" s="4" t="str">
        <f t="array" ref="L298">IF(COUNTIF(L$1:L297,A$2)=SUMIF(A:A,A$2,D:D),IF(COUNTIF(L$1:L297,XLOOKUP(A$2,Implementos!B:B,Implementos!C:C,"",0,1))=SUMIF(A:A,XLOOKUP(A$2,Implementos!B:B,Implementos!C:C,"",0,1),D:D),"",XLOOKUP(A$2,Implementos!B:B,Implementos!C:C,"",0,1)),A$2)</f>
        <v/>
      </c>
      <c r="M298" s="4" t="str">
        <f t="shared" si="2"/>
        <v/>
      </c>
      <c r="N298" s="4" t="str">
        <f t="shared" si="3"/>
        <v/>
      </c>
      <c r="O298" s="4" t="str">
        <f t="shared" si="4"/>
        <v/>
      </c>
      <c r="P298" s="4" t="str">
        <f t="shared" si="5"/>
        <v/>
      </c>
      <c r="Q298" s="4" t="str">
        <f>IF(U298="","",SUMIF(Productos!E:E,U298,Productos!A:A))</f>
        <v/>
      </c>
      <c r="R298" s="4" t="str">
        <f t="array" ref="R298">IF(L298="","", max(1,SUMIF(I:I,XLOOKUP(U298,Productos!E:E,Productos!G:G,"",0,1),J:J)))</f>
        <v/>
      </c>
      <c r="S298" s="4" t="str">
        <f>IF(Q298="","",IF(SUMIFS(Compat_Vetado!D:D,Compat_Vetado!B:B,SUM(G:G),Compat_Vetado!C:C,Q298)=1,"SI",IF(OR(SUMIF(Cotizador!E:E,Q298,Cotizador!G:G)&gt;0,SUMIFS(Compat_Vetado!D:D,Compat_Vetado!B:B,SUM(G:G),Compat_Vetado!C:C,Q298)=-1),"NO","")))</f>
        <v/>
      </c>
      <c r="T298" s="4" t="str">
        <f t="shared" si="6"/>
        <v/>
      </c>
      <c r="U298" s="4" t="str">
        <f>IFERROR(__xludf.DUMMYFUNCTION("IF(P298="""","""",IFERROR(INDEX(filter(Productos!E:E,Productos!F:F=L298,Productos!H:H=N298),P298),IF(M298=SUM(D:D),""Finalizar"",""-"")))"),"")</f>
        <v/>
      </c>
      <c r="V298" s="4" t="str">
        <f>IFERROR(__xludf.DUMMYFUNCTION("IF(OR($U298="""",COUNTIF($I:$I,IFERROR(unique(filter(Prod_Prop!$H:$H,Prod_Prop!$G:$G=$U298,Prod_Prop!$E:$E=V$1)),""Check""))=0),"""",IFERROR(unique(filter(Prod_Prop!$H:$H,Prod_Prop!$G:$G=$U298,Prod_Prop!$E:$E=V$1)),""""))"),"")</f>
        <v/>
      </c>
      <c r="W298" s="4" t="str">
        <f>IF(V298="","",SUMIFS(Prod_Prop!$J:$J,Prod_Prop!$B:$B,$Q298,Prod_Prop!$H:$H,V298,Prod_Prop!$I:$I,W$1)*IF(V298="Peso",$R298,1))</f>
        <v/>
      </c>
      <c r="X298" s="4" t="str">
        <f>IF(V298="","",SUMIFS(Prod_Prop!$J:$J,Prod_Prop!$B:$B,$Q298,Prod_Prop!$H:$H,V298,Prod_Prop!$I:$I,X$1)*IF(V298="Peso",$R298,1))</f>
        <v/>
      </c>
      <c r="Y298" s="4" t="str">
        <f>IFERROR(__xludf.DUMMYFUNCTION("IF(OR($U298="""",COUNTIF($I:$I,IFERROR(unique(filter(Prod_Prop!$H:$H,Prod_Prop!$G:$G=$U298,Prod_Prop!$E:$E=Y$1)),""Check""))=0),"""",IFERROR(unique(filter(Prod_Prop!$H:$H,Prod_Prop!$G:$G=$U298,Prod_Prop!$E:$E=Y$1)),""""))"),"")</f>
        <v/>
      </c>
      <c r="Z298" s="4" t="str">
        <f>IF(Y298="","",SUMIFS(Prod_Prop!$J:$J,Prod_Prop!$B:$B,$Q298,Prod_Prop!$H:$H,Y298,Prod_Prop!$I:$I,Z$1)*IF(Y298="Peso",$R298,1))</f>
        <v/>
      </c>
      <c r="AA298" s="4" t="str">
        <f>IF(Y298="","",SUMIFS(Prod_Prop!$J:$J,Prod_Prop!$B:$B,$Q298,Prod_Prop!$H:$H,Y298,Prod_Prop!$I:$I,AA$1)*IF(Y298="Peso",$R298,1))</f>
        <v/>
      </c>
      <c r="AB298" s="4" t="str">
        <f>IFERROR(__xludf.DUMMYFUNCTION("IF(OR($U298="""",COUNTIF($I:$I,IFERROR(unique(filter(Prod_Prop!$H:$H,Prod_Prop!$G:$G=$U298,Prod_Prop!$E:$E=AB$1)),""Check""))=0),"""",IFERROR(unique(filter(Prod_Prop!$H:$H,Prod_Prop!$G:$G=$U298,Prod_Prop!$E:$E=AB$1)),""""))"),"")</f>
        <v/>
      </c>
      <c r="AC298" s="4" t="str">
        <f>IF(AB298="","",SUMIFS(Prod_Prop!$J:$J,Prod_Prop!$B:$B,$Q298,Prod_Prop!$H:$H,AB298,Prod_Prop!$I:$I,AC$1)*IF(AB298="Peso",$R298,1))</f>
        <v/>
      </c>
      <c r="AD298" s="4" t="str">
        <f>IF(AB298="","",SUMIFS(Prod_Prop!$J:$J,Prod_Prop!$B:$B,$Q298,Prod_Prop!$H:$H,AB298,Prod_Prop!$I:$I,AD$1)*IF(AB298="Peso",$R298,1))</f>
        <v/>
      </c>
    </row>
    <row r="299">
      <c r="A299" s="4" t="str">
        <f t="array" ref="A299">IF(COUNTIF(A$1:A298,Cotizador!F$2)=maxifs(Familias!E:E,Familias!D:D,Cotizador!F$2),IF(COUNTIF(A$1:A298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299" s="4" t="str">
        <f t="shared" si="1"/>
        <v/>
      </c>
      <c r="C299" s="4" t="str">
        <f t="array" ref="C299">IF(B299="","",IF(A299=XLOOKUP(A$2,Implementos!B:B,Implementos!C:C,"",0,1),B299+maxifs(B$1:B298,A$1:A298,A$2),B299))</f>
        <v/>
      </c>
      <c r="D299" s="4" t="str">
        <f>IF(B299="","", COUNTIFS(Productos!F:F,A299,Productos!H:H,B299)+IF(F299="SI",0,1))</f>
        <v/>
      </c>
      <c r="E299" s="4" t="str">
        <f>IFERROR(__xludf.DUMMYFUNCTION("IF($B299="""","""",INDEX(filter(Familias!F:F,Familias!$D:$D=$A299,Familias!$E:$E=$B299),1))"),"")</f>
        <v/>
      </c>
      <c r="F299" s="4" t="str">
        <f>IFERROR(__xludf.DUMMYFUNCTION("IF($B299="""","""",INDEX(filter(Familias!G:G,Familias!$D:$D=$A299,Familias!$E:$E=$B299),1))"),"")</f>
        <v/>
      </c>
      <c r="G299" s="4" t="str">
        <f t="array" ref="G299">IF(C299=1,XLOOKUP(C299,Cotizador!D:D,Cotizador!E:E,"",0,1),"")</f>
        <v/>
      </c>
      <c r="I299" s="4"/>
      <c r="J299" s="8" t="str">
        <f>IF(I299="","",SUMIF(Cotizador!I$1:V$1,I299,Cotizador!I$2:V$2))</f>
        <v/>
      </c>
      <c r="L299" s="4" t="str">
        <f t="array" ref="L299">IF(COUNTIF(L$1:L298,A$2)=SUMIF(A:A,A$2,D:D),IF(COUNTIF(L$1:L298,XLOOKUP(A$2,Implementos!B:B,Implementos!C:C,"",0,1))=SUMIF(A:A,XLOOKUP(A$2,Implementos!B:B,Implementos!C:C,"",0,1),D:D),"",XLOOKUP(A$2,Implementos!B:B,Implementos!C:C,"",0,1)),A$2)</f>
        <v/>
      </c>
      <c r="M299" s="4" t="str">
        <f t="shared" si="2"/>
        <v/>
      </c>
      <c r="N299" s="4" t="str">
        <f t="shared" si="3"/>
        <v/>
      </c>
      <c r="O299" s="4" t="str">
        <f t="shared" si="4"/>
        <v/>
      </c>
      <c r="P299" s="4" t="str">
        <f t="shared" si="5"/>
        <v/>
      </c>
      <c r="Q299" s="4" t="str">
        <f>IF(U299="","",SUMIF(Productos!E:E,U299,Productos!A:A))</f>
        <v/>
      </c>
      <c r="R299" s="4" t="str">
        <f t="array" ref="R299">IF(L299="","", max(1,SUMIF(I:I,XLOOKUP(U299,Productos!E:E,Productos!G:G,"",0,1),J:J)))</f>
        <v/>
      </c>
      <c r="S299" s="4" t="str">
        <f>IF(Q299="","",IF(SUMIFS(Compat_Vetado!D:D,Compat_Vetado!B:B,SUM(G:G),Compat_Vetado!C:C,Q299)=1,"SI",IF(OR(SUMIF(Cotizador!E:E,Q299,Cotizador!G:G)&gt;0,SUMIFS(Compat_Vetado!D:D,Compat_Vetado!B:B,SUM(G:G),Compat_Vetado!C:C,Q299)=-1),"NO","")))</f>
        <v/>
      </c>
      <c r="T299" s="4" t="str">
        <f t="shared" si="6"/>
        <v/>
      </c>
      <c r="U299" s="4" t="str">
        <f>IFERROR(__xludf.DUMMYFUNCTION("IF(P299="""","""",IFERROR(INDEX(filter(Productos!E:E,Productos!F:F=L299,Productos!H:H=N299),P299),IF(M299=SUM(D:D),""Finalizar"",""-"")))"),"")</f>
        <v/>
      </c>
      <c r="V299" s="4" t="str">
        <f>IFERROR(__xludf.DUMMYFUNCTION("IF(OR($U299="""",COUNTIF($I:$I,IFERROR(unique(filter(Prod_Prop!$H:$H,Prod_Prop!$G:$G=$U299,Prod_Prop!$E:$E=V$1)),""Check""))=0),"""",IFERROR(unique(filter(Prod_Prop!$H:$H,Prod_Prop!$G:$G=$U299,Prod_Prop!$E:$E=V$1)),""""))"),"")</f>
        <v/>
      </c>
      <c r="W299" s="4" t="str">
        <f>IF(V299="","",SUMIFS(Prod_Prop!$J:$J,Prod_Prop!$B:$B,$Q299,Prod_Prop!$H:$H,V299,Prod_Prop!$I:$I,W$1)*IF(V299="Peso",$R299,1))</f>
        <v/>
      </c>
      <c r="X299" s="4" t="str">
        <f>IF(V299="","",SUMIFS(Prod_Prop!$J:$J,Prod_Prop!$B:$B,$Q299,Prod_Prop!$H:$H,V299,Prod_Prop!$I:$I,X$1)*IF(V299="Peso",$R299,1))</f>
        <v/>
      </c>
      <c r="Y299" s="4" t="str">
        <f>IFERROR(__xludf.DUMMYFUNCTION("IF(OR($U299="""",COUNTIF($I:$I,IFERROR(unique(filter(Prod_Prop!$H:$H,Prod_Prop!$G:$G=$U299,Prod_Prop!$E:$E=Y$1)),""Check""))=0),"""",IFERROR(unique(filter(Prod_Prop!$H:$H,Prod_Prop!$G:$G=$U299,Prod_Prop!$E:$E=Y$1)),""""))"),"")</f>
        <v/>
      </c>
      <c r="Z299" s="4" t="str">
        <f>IF(Y299="","",SUMIFS(Prod_Prop!$J:$J,Prod_Prop!$B:$B,$Q299,Prod_Prop!$H:$H,Y299,Prod_Prop!$I:$I,Z$1)*IF(Y299="Peso",$R299,1))</f>
        <v/>
      </c>
      <c r="AA299" s="4" t="str">
        <f>IF(Y299="","",SUMIFS(Prod_Prop!$J:$J,Prod_Prop!$B:$B,$Q299,Prod_Prop!$H:$H,Y299,Prod_Prop!$I:$I,AA$1)*IF(Y299="Peso",$R299,1))</f>
        <v/>
      </c>
      <c r="AB299" s="4" t="str">
        <f>IFERROR(__xludf.DUMMYFUNCTION("IF(OR($U299="""",COUNTIF($I:$I,IFERROR(unique(filter(Prod_Prop!$H:$H,Prod_Prop!$G:$G=$U299,Prod_Prop!$E:$E=AB$1)),""Check""))=0),"""",IFERROR(unique(filter(Prod_Prop!$H:$H,Prod_Prop!$G:$G=$U299,Prod_Prop!$E:$E=AB$1)),""""))"),"")</f>
        <v/>
      </c>
      <c r="AC299" s="4" t="str">
        <f>IF(AB299="","",SUMIFS(Prod_Prop!$J:$J,Prod_Prop!$B:$B,$Q299,Prod_Prop!$H:$H,AB299,Prod_Prop!$I:$I,AC$1)*IF(AB299="Peso",$R299,1))</f>
        <v/>
      </c>
      <c r="AD299" s="4" t="str">
        <f>IF(AB299="","",SUMIFS(Prod_Prop!$J:$J,Prod_Prop!$B:$B,$Q299,Prod_Prop!$H:$H,AB299,Prod_Prop!$I:$I,AD$1)*IF(AB299="Peso",$R299,1))</f>
        <v/>
      </c>
    </row>
    <row r="300">
      <c r="A300" s="4" t="str">
        <f t="array" ref="A300">IF(COUNTIF(A$1:A299,Cotizador!F$2)=maxifs(Familias!E:E,Familias!D:D,Cotizador!F$2),IF(COUNTIF(A$1:A299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0" s="4" t="str">
        <f t="shared" si="1"/>
        <v/>
      </c>
      <c r="C300" s="4" t="str">
        <f t="array" ref="C300">IF(B300="","",IF(A300=XLOOKUP(A$2,Implementos!B:B,Implementos!C:C,"",0,1),B300+maxifs(B$1:B299,A$1:A299,A$2),B300))</f>
        <v/>
      </c>
      <c r="D300" s="4" t="str">
        <f>IF(B300="","", COUNTIFS(Productos!F:F,A300,Productos!H:H,B300)+IF(F300="SI",0,1))</f>
        <v/>
      </c>
      <c r="E300" s="4" t="str">
        <f>IFERROR(__xludf.DUMMYFUNCTION("IF($B300="""","""",INDEX(filter(Familias!F:F,Familias!$D:$D=$A300,Familias!$E:$E=$B300),1))"),"")</f>
        <v/>
      </c>
      <c r="F300" s="4" t="str">
        <f>IFERROR(__xludf.DUMMYFUNCTION("IF($B300="""","""",INDEX(filter(Familias!G:G,Familias!$D:$D=$A300,Familias!$E:$E=$B300),1))"),"")</f>
        <v/>
      </c>
      <c r="G300" s="4" t="str">
        <f t="array" ref="G300">IF(C300=1,XLOOKUP(C300,Cotizador!D:D,Cotizador!E:E,"",0,1),"")</f>
        <v/>
      </c>
      <c r="I300" s="4"/>
      <c r="J300" s="8" t="str">
        <f>IF(I300="","",SUMIF(Cotizador!I$1:V$1,I300,Cotizador!I$2:V$2))</f>
        <v/>
      </c>
      <c r="L300" s="4" t="str">
        <f t="array" ref="L300">IF(COUNTIF(L$1:L299,A$2)=SUMIF(A:A,A$2,D:D),IF(COUNTIF(L$1:L299,XLOOKUP(A$2,Implementos!B:B,Implementos!C:C,"",0,1))=SUMIF(A:A,XLOOKUP(A$2,Implementos!B:B,Implementos!C:C,"",0,1),D:D),"",XLOOKUP(A$2,Implementos!B:B,Implementos!C:C,"",0,1)),A$2)</f>
        <v/>
      </c>
      <c r="M300" s="4" t="str">
        <f t="shared" si="2"/>
        <v/>
      </c>
      <c r="N300" s="4" t="str">
        <f t="shared" si="3"/>
        <v/>
      </c>
      <c r="O300" s="4" t="str">
        <f t="shared" si="4"/>
        <v/>
      </c>
      <c r="P300" s="4" t="str">
        <f t="shared" si="5"/>
        <v/>
      </c>
      <c r="Q300" s="4" t="str">
        <f>IF(U300="","",SUMIF(Productos!E:E,U300,Productos!A:A))</f>
        <v/>
      </c>
      <c r="R300" s="4" t="str">
        <f t="array" ref="R300">IF(L300="","", max(1,SUMIF(I:I,XLOOKUP(U300,Productos!E:E,Productos!G:G,"",0,1),J:J)))</f>
        <v/>
      </c>
      <c r="S300" s="4" t="str">
        <f>IF(Q300="","",IF(SUMIFS(Compat_Vetado!D:D,Compat_Vetado!B:B,SUM(G:G),Compat_Vetado!C:C,Q300)=1,"SI",IF(OR(SUMIF(Cotizador!E:E,Q300,Cotizador!G:G)&gt;0,SUMIFS(Compat_Vetado!D:D,Compat_Vetado!B:B,SUM(G:G),Compat_Vetado!C:C,Q300)=-1),"NO","")))</f>
        <v/>
      </c>
      <c r="T300" s="4" t="str">
        <f t="shared" si="6"/>
        <v/>
      </c>
      <c r="U300" s="4" t="str">
        <f>IFERROR(__xludf.DUMMYFUNCTION("IF(P300="""","""",IFERROR(INDEX(filter(Productos!E:E,Productos!F:F=L300,Productos!H:H=N300),P300),IF(M300=SUM(D:D),""Finalizar"",""-"")))"),"")</f>
        <v/>
      </c>
      <c r="V300" s="4" t="str">
        <f>IFERROR(__xludf.DUMMYFUNCTION("IF(OR($U300="""",COUNTIF($I:$I,IFERROR(unique(filter(Prod_Prop!$H:$H,Prod_Prop!$G:$G=$U300,Prod_Prop!$E:$E=V$1)),""Check""))=0),"""",IFERROR(unique(filter(Prod_Prop!$H:$H,Prod_Prop!$G:$G=$U300,Prod_Prop!$E:$E=V$1)),""""))"),"")</f>
        <v/>
      </c>
      <c r="W300" s="4" t="str">
        <f>IF(V300="","",SUMIFS(Prod_Prop!$J:$J,Prod_Prop!$B:$B,$Q300,Prod_Prop!$H:$H,V300,Prod_Prop!$I:$I,W$1)*IF(V300="Peso",$R300,1))</f>
        <v/>
      </c>
      <c r="X300" s="4" t="str">
        <f>IF(V300="","",SUMIFS(Prod_Prop!$J:$J,Prod_Prop!$B:$B,$Q300,Prod_Prop!$H:$H,V300,Prod_Prop!$I:$I,X$1)*IF(V300="Peso",$R300,1))</f>
        <v/>
      </c>
      <c r="Y300" s="4" t="str">
        <f>IFERROR(__xludf.DUMMYFUNCTION("IF(OR($U300="""",COUNTIF($I:$I,IFERROR(unique(filter(Prod_Prop!$H:$H,Prod_Prop!$G:$G=$U300,Prod_Prop!$E:$E=Y$1)),""Check""))=0),"""",IFERROR(unique(filter(Prod_Prop!$H:$H,Prod_Prop!$G:$G=$U300,Prod_Prop!$E:$E=Y$1)),""""))"),"")</f>
        <v/>
      </c>
      <c r="Z300" s="4" t="str">
        <f>IF(Y300="","",SUMIFS(Prod_Prop!$J:$J,Prod_Prop!$B:$B,$Q300,Prod_Prop!$H:$H,Y300,Prod_Prop!$I:$I,Z$1)*IF(Y300="Peso",$R300,1))</f>
        <v/>
      </c>
      <c r="AA300" s="4" t="str">
        <f>IF(Y300="","",SUMIFS(Prod_Prop!$J:$J,Prod_Prop!$B:$B,$Q300,Prod_Prop!$H:$H,Y300,Prod_Prop!$I:$I,AA$1)*IF(Y300="Peso",$R300,1))</f>
        <v/>
      </c>
      <c r="AB300" s="4" t="str">
        <f>IFERROR(__xludf.DUMMYFUNCTION("IF(OR($U300="""",COUNTIF($I:$I,IFERROR(unique(filter(Prod_Prop!$H:$H,Prod_Prop!$G:$G=$U300,Prod_Prop!$E:$E=AB$1)),""Check""))=0),"""",IFERROR(unique(filter(Prod_Prop!$H:$H,Prod_Prop!$G:$G=$U300,Prod_Prop!$E:$E=AB$1)),""""))"),"")</f>
        <v/>
      </c>
      <c r="AC300" s="4" t="str">
        <f>IF(AB300="","",SUMIFS(Prod_Prop!$J:$J,Prod_Prop!$B:$B,$Q300,Prod_Prop!$H:$H,AB300,Prod_Prop!$I:$I,AC$1)*IF(AB300="Peso",$R300,1))</f>
        <v/>
      </c>
      <c r="AD300" s="4" t="str">
        <f>IF(AB300="","",SUMIFS(Prod_Prop!$J:$J,Prod_Prop!$B:$B,$Q300,Prod_Prop!$H:$H,AB300,Prod_Prop!$I:$I,AD$1)*IF(AB300="Peso",$R300,1))</f>
        <v/>
      </c>
    </row>
    <row r="301">
      <c r="A301" s="4" t="str">
        <f t="array" ref="A301">IF(COUNTIF(A$1:A300,Cotizador!F$2)=maxifs(Familias!E:E,Familias!D:D,Cotizador!F$2),IF(COUNTIF(A$1:A300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1" s="4" t="str">
        <f t="shared" si="1"/>
        <v/>
      </c>
      <c r="C301" s="4" t="str">
        <f t="array" ref="C301">IF(B301="","",IF(A301=XLOOKUP(A$2,Implementos!B:B,Implementos!C:C,"",0,1),B301+maxifs(B$1:B300,A$1:A300,A$2),B301))</f>
        <v/>
      </c>
      <c r="D301" s="4" t="str">
        <f>IF(B301="","", COUNTIFS(Productos!F:F,A301,Productos!H:H,B301)+IF(F301="SI",0,1))</f>
        <v/>
      </c>
      <c r="E301" s="4" t="str">
        <f>IFERROR(__xludf.DUMMYFUNCTION("IF($B301="""","""",INDEX(filter(Familias!F:F,Familias!$D:$D=$A301,Familias!$E:$E=$B301),1))"),"")</f>
        <v/>
      </c>
      <c r="F301" s="4" t="str">
        <f>IFERROR(__xludf.DUMMYFUNCTION("IF($B301="""","""",INDEX(filter(Familias!G:G,Familias!$D:$D=$A301,Familias!$E:$E=$B301),1))"),"")</f>
        <v/>
      </c>
      <c r="G301" s="4" t="str">
        <f t="array" ref="G301">IF(C301=1,XLOOKUP(C301,Cotizador!D:D,Cotizador!E:E,"",0,1),"")</f>
        <v/>
      </c>
      <c r="I301" s="4"/>
      <c r="J301" s="8" t="str">
        <f>IF(I301="","",SUMIF(Cotizador!I$1:V$1,I301,Cotizador!I$2:V$2))</f>
        <v/>
      </c>
      <c r="L301" s="4" t="str">
        <f t="array" ref="L301">IF(COUNTIF(L$1:L300,A$2)=SUMIF(A:A,A$2,D:D),IF(COUNTIF(L$1:L300,XLOOKUP(A$2,Implementos!B:B,Implementos!C:C,"",0,1))=SUMIF(A:A,XLOOKUP(A$2,Implementos!B:B,Implementos!C:C,"",0,1),D:D),"",XLOOKUP(A$2,Implementos!B:B,Implementos!C:C,"",0,1)),A$2)</f>
        <v/>
      </c>
      <c r="M301" s="4" t="str">
        <f t="shared" si="2"/>
        <v/>
      </c>
      <c r="N301" s="4" t="str">
        <f t="shared" si="3"/>
        <v/>
      </c>
      <c r="O301" s="4" t="str">
        <f t="shared" si="4"/>
        <v/>
      </c>
      <c r="P301" s="4" t="str">
        <f t="shared" si="5"/>
        <v/>
      </c>
      <c r="Q301" s="4" t="str">
        <f>IF(U301="","",SUMIF(Productos!E:E,U301,Productos!A:A))</f>
        <v/>
      </c>
      <c r="R301" s="4" t="str">
        <f t="array" ref="R301">IF(L301="","", max(1,SUMIF(I:I,XLOOKUP(U301,Productos!E:E,Productos!G:G,"",0,1),J:J)))</f>
        <v/>
      </c>
      <c r="S301" s="4" t="str">
        <f>IF(Q301="","",IF(SUMIFS(Compat_Vetado!D:D,Compat_Vetado!B:B,SUM(G:G),Compat_Vetado!C:C,Q301)=1,"SI",IF(OR(SUMIF(Cotizador!E:E,Q301,Cotizador!G:G)&gt;0,SUMIFS(Compat_Vetado!D:D,Compat_Vetado!B:B,SUM(G:G),Compat_Vetado!C:C,Q301)=-1),"NO","")))</f>
        <v/>
      </c>
      <c r="T301" s="4" t="str">
        <f t="shared" si="6"/>
        <v/>
      </c>
      <c r="U301" s="4" t="str">
        <f>IFERROR(__xludf.DUMMYFUNCTION("IF(P301="""","""",IFERROR(INDEX(filter(Productos!E:E,Productos!F:F=L301,Productos!H:H=N301),P301),IF(M301=SUM(D:D),""Finalizar"",""-"")))"),"")</f>
        <v/>
      </c>
      <c r="V301" s="4" t="str">
        <f>IFERROR(__xludf.DUMMYFUNCTION("IF(OR($U301="""",COUNTIF($I:$I,IFERROR(unique(filter(Prod_Prop!$H:$H,Prod_Prop!$G:$G=$U301,Prod_Prop!$E:$E=V$1)),""Check""))=0),"""",IFERROR(unique(filter(Prod_Prop!$H:$H,Prod_Prop!$G:$G=$U301,Prod_Prop!$E:$E=V$1)),""""))"),"")</f>
        <v/>
      </c>
      <c r="W301" s="4" t="str">
        <f>IF(V301="","",SUMIFS(Prod_Prop!$J:$J,Prod_Prop!$B:$B,$Q301,Prod_Prop!$H:$H,V301,Prod_Prop!$I:$I,W$1)*IF(V301="Peso",$R301,1))</f>
        <v/>
      </c>
      <c r="X301" s="4" t="str">
        <f>IF(V301="","",SUMIFS(Prod_Prop!$J:$J,Prod_Prop!$B:$B,$Q301,Prod_Prop!$H:$H,V301,Prod_Prop!$I:$I,X$1)*IF(V301="Peso",$R301,1))</f>
        <v/>
      </c>
      <c r="Y301" s="4" t="str">
        <f>IFERROR(__xludf.DUMMYFUNCTION("IF(OR($U301="""",COUNTIF($I:$I,IFERROR(unique(filter(Prod_Prop!$H:$H,Prod_Prop!$G:$G=$U301,Prod_Prop!$E:$E=Y$1)),""Check""))=0),"""",IFERROR(unique(filter(Prod_Prop!$H:$H,Prod_Prop!$G:$G=$U301,Prod_Prop!$E:$E=Y$1)),""""))"),"")</f>
        <v/>
      </c>
      <c r="Z301" s="4" t="str">
        <f>IF(Y301="","",SUMIFS(Prod_Prop!$J:$J,Prod_Prop!$B:$B,$Q301,Prod_Prop!$H:$H,Y301,Prod_Prop!$I:$I,Z$1)*IF(Y301="Peso",$R301,1))</f>
        <v/>
      </c>
      <c r="AA301" s="4" t="str">
        <f>IF(Y301="","",SUMIFS(Prod_Prop!$J:$J,Prod_Prop!$B:$B,$Q301,Prod_Prop!$H:$H,Y301,Prod_Prop!$I:$I,AA$1)*IF(Y301="Peso",$R301,1))</f>
        <v/>
      </c>
      <c r="AB301" s="4" t="str">
        <f>IFERROR(__xludf.DUMMYFUNCTION("IF(OR($U301="""",COUNTIF($I:$I,IFERROR(unique(filter(Prod_Prop!$H:$H,Prod_Prop!$G:$G=$U301,Prod_Prop!$E:$E=AB$1)),""Check""))=0),"""",IFERROR(unique(filter(Prod_Prop!$H:$H,Prod_Prop!$G:$G=$U301,Prod_Prop!$E:$E=AB$1)),""""))"),"")</f>
        <v/>
      </c>
      <c r="AC301" s="4" t="str">
        <f>IF(AB301="","",SUMIFS(Prod_Prop!$J:$J,Prod_Prop!$B:$B,$Q301,Prod_Prop!$H:$H,AB301,Prod_Prop!$I:$I,AC$1)*IF(AB301="Peso",$R301,1))</f>
        <v/>
      </c>
      <c r="AD301" s="4" t="str">
        <f>IF(AB301="","",SUMIFS(Prod_Prop!$J:$J,Prod_Prop!$B:$B,$Q301,Prod_Prop!$H:$H,AB301,Prod_Prop!$I:$I,AD$1)*IF(AB301="Peso",$R301,1))</f>
        <v/>
      </c>
    </row>
    <row r="302">
      <c r="A302" s="4" t="str">
        <f t="array" ref="A302">IF(COUNTIF(A$1:A301,Cotizador!F$2)=maxifs(Familias!E:E,Familias!D:D,Cotizador!F$2),IF(COUNTIF(A$1:A301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2" s="4" t="str">
        <f t="shared" si="1"/>
        <v/>
      </c>
      <c r="C302" s="4" t="str">
        <f t="array" ref="C302">IF(B302="","",IF(A302=XLOOKUP(A$2,Implementos!B:B,Implementos!C:C,"",0,1),B302+maxifs(B$1:B301,A$1:A301,A$2),B302))</f>
        <v/>
      </c>
      <c r="D302" s="4" t="str">
        <f>IF(B302="","", COUNTIFS(Productos!F:F,A302,Productos!H:H,B302)+IF(F302="SI",0,1))</f>
        <v/>
      </c>
      <c r="E302" s="4" t="str">
        <f>IFERROR(__xludf.DUMMYFUNCTION("IF($B302="""","""",INDEX(filter(Familias!F:F,Familias!$D:$D=$A302,Familias!$E:$E=$B302),1))"),"")</f>
        <v/>
      </c>
      <c r="F302" s="4" t="str">
        <f>IFERROR(__xludf.DUMMYFUNCTION("IF($B302="""","""",INDEX(filter(Familias!G:G,Familias!$D:$D=$A302,Familias!$E:$E=$B302),1))"),"")</f>
        <v/>
      </c>
      <c r="G302" s="4" t="str">
        <f t="array" ref="G302">IF(C302=1,XLOOKUP(C302,Cotizador!D:D,Cotizador!E:E,"",0,1),"")</f>
        <v/>
      </c>
      <c r="I302" s="4"/>
      <c r="J302" s="8" t="str">
        <f>IF(I302="","",SUMIF(Cotizador!I$1:V$1,I302,Cotizador!I$2:V$2))</f>
        <v/>
      </c>
      <c r="L302" s="4" t="str">
        <f t="array" ref="L302">IF(COUNTIF(L$1:L301,A$2)=SUMIF(A:A,A$2,D:D),IF(COUNTIF(L$1:L301,XLOOKUP(A$2,Implementos!B:B,Implementos!C:C,"",0,1))=SUMIF(A:A,XLOOKUP(A$2,Implementos!B:B,Implementos!C:C,"",0,1),D:D),"",XLOOKUP(A$2,Implementos!B:B,Implementos!C:C,"",0,1)),A$2)</f>
        <v/>
      </c>
      <c r="M302" s="4" t="str">
        <f t="shared" si="2"/>
        <v/>
      </c>
      <c r="N302" s="4" t="str">
        <f t="shared" si="3"/>
        <v/>
      </c>
      <c r="O302" s="4" t="str">
        <f t="shared" si="4"/>
        <v/>
      </c>
      <c r="P302" s="4" t="str">
        <f t="shared" si="5"/>
        <v/>
      </c>
      <c r="Q302" s="4" t="str">
        <f>IF(U302="","",SUMIF(Productos!E:E,U302,Productos!A:A))</f>
        <v/>
      </c>
      <c r="R302" s="4" t="str">
        <f t="array" ref="R302">IF(L302="","", max(1,SUMIF(I:I,XLOOKUP(U302,Productos!E:E,Productos!G:G,"",0,1),J:J)))</f>
        <v/>
      </c>
      <c r="S302" s="4" t="str">
        <f>IF(Q302="","",IF(SUMIFS(Compat_Vetado!D:D,Compat_Vetado!B:B,SUM(G:G),Compat_Vetado!C:C,Q302)=1,"SI",IF(OR(SUMIF(Cotizador!E:E,Q302,Cotizador!G:G)&gt;0,SUMIFS(Compat_Vetado!D:D,Compat_Vetado!B:B,SUM(G:G),Compat_Vetado!C:C,Q302)=-1),"NO","")))</f>
        <v/>
      </c>
      <c r="T302" s="4" t="str">
        <f t="shared" si="6"/>
        <v/>
      </c>
      <c r="U302" s="4" t="str">
        <f>IFERROR(__xludf.DUMMYFUNCTION("IF(P302="""","""",IFERROR(INDEX(filter(Productos!E:E,Productos!F:F=L302,Productos!H:H=N302),P302),IF(M302=SUM(D:D),""Finalizar"",""-"")))"),"")</f>
        <v/>
      </c>
      <c r="V302" s="4" t="str">
        <f>IFERROR(__xludf.DUMMYFUNCTION("IF(OR($U302="""",COUNTIF($I:$I,IFERROR(unique(filter(Prod_Prop!$H:$H,Prod_Prop!$G:$G=$U302,Prod_Prop!$E:$E=V$1)),""Check""))=0),"""",IFERROR(unique(filter(Prod_Prop!$H:$H,Prod_Prop!$G:$G=$U302,Prod_Prop!$E:$E=V$1)),""""))"),"")</f>
        <v/>
      </c>
      <c r="W302" s="4" t="str">
        <f>IF(V302="","",SUMIFS(Prod_Prop!$J:$J,Prod_Prop!$B:$B,$Q302,Prod_Prop!$H:$H,V302,Prod_Prop!$I:$I,W$1)*IF(V302="Peso",$R302,1))</f>
        <v/>
      </c>
      <c r="X302" s="4" t="str">
        <f>IF(V302="","",SUMIFS(Prod_Prop!$J:$J,Prod_Prop!$B:$B,$Q302,Prod_Prop!$H:$H,V302,Prod_Prop!$I:$I,X$1)*IF(V302="Peso",$R302,1))</f>
        <v/>
      </c>
      <c r="Y302" s="4" t="str">
        <f>IFERROR(__xludf.DUMMYFUNCTION("IF(OR($U302="""",COUNTIF($I:$I,IFERROR(unique(filter(Prod_Prop!$H:$H,Prod_Prop!$G:$G=$U302,Prod_Prop!$E:$E=Y$1)),""Check""))=0),"""",IFERROR(unique(filter(Prod_Prop!$H:$H,Prod_Prop!$G:$G=$U302,Prod_Prop!$E:$E=Y$1)),""""))"),"")</f>
        <v/>
      </c>
      <c r="Z302" s="4" t="str">
        <f>IF(Y302="","",SUMIFS(Prod_Prop!$J:$J,Prod_Prop!$B:$B,$Q302,Prod_Prop!$H:$H,Y302,Prod_Prop!$I:$I,Z$1)*IF(Y302="Peso",$R302,1))</f>
        <v/>
      </c>
      <c r="AA302" s="4" t="str">
        <f>IF(Y302="","",SUMIFS(Prod_Prop!$J:$J,Prod_Prop!$B:$B,$Q302,Prod_Prop!$H:$H,Y302,Prod_Prop!$I:$I,AA$1)*IF(Y302="Peso",$R302,1))</f>
        <v/>
      </c>
      <c r="AB302" s="4" t="str">
        <f>IFERROR(__xludf.DUMMYFUNCTION("IF(OR($U302="""",COUNTIF($I:$I,IFERROR(unique(filter(Prod_Prop!$H:$H,Prod_Prop!$G:$G=$U302,Prod_Prop!$E:$E=AB$1)),""Check""))=0),"""",IFERROR(unique(filter(Prod_Prop!$H:$H,Prod_Prop!$G:$G=$U302,Prod_Prop!$E:$E=AB$1)),""""))"),"")</f>
        <v/>
      </c>
      <c r="AC302" s="4" t="str">
        <f>IF(AB302="","",SUMIFS(Prod_Prop!$J:$J,Prod_Prop!$B:$B,$Q302,Prod_Prop!$H:$H,AB302,Prod_Prop!$I:$I,AC$1)*IF(AB302="Peso",$R302,1))</f>
        <v/>
      </c>
      <c r="AD302" s="4" t="str">
        <f>IF(AB302="","",SUMIFS(Prod_Prop!$J:$J,Prod_Prop!$B:$B,$Q302,Prod_Prop!$H:$H,AB302,Prod_Prop!$I:$I,AD$1)*IF(AB302="Peso",$R302,1))</f>
        <v/>
      </c>
    </row>
    <row r="303">
      <c r="A303" s="4" t="str">
        <f t="array" ref="A303">IF(COUNTIF(A$1:A302,Cotizador!F$2)=maxifs(Familias!E:E,Familias!D:D,Cotizador!F$2),IF(COUNTIF(A$1:A302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3" s="4" t="str">
        <f t="shared" si="1"/>
        <v/>
      </c>
      <c r="C303" s="4" t="str">
        <f t="array" ref="C303">IF(B303="","",IF(A303=XLOOKUP(A$2,Implementos!B:B,Implementos!C:C,"",0,1),B303+maxifs(B$1:B302,A$1:A302,A$2),B303))</f>
        <v/>
      </c>
      <c r="D303" s="4" t="str">
        <f>IF(B303="","", COUNTIFS(Productos!F:F,A303,Productos!H:H,B303)+IF(F303="SI",0,1))</f>
        <v/>
      </c>
      <c r="E303" s="4" t="str">
        <f>IFERROR(__xludf.DUMMYFUNCTION("IF($B303="""","""",INDEX(filter(Familias!F:F,Familias!$D:$D=$A303,Familias!$E:$E=$B303),1))"),"")</f>
        <v/>
      </c>
      <c r="F303" s="4" t="str">
        <f>IFERROR(__xludf.DUMMYFUNCTION("IF($B303="""","""",INDEX(filter(Familias!G:G,Familias!$D:$D=$A303,Familias!$E:$E=$B303),1))"),"")</f>
        <v/>
      </c>
      <c r="G303" s="4" t="str">
        <f t="array" ref="G303">IF(C303=1,XLOOKUP(C303,Cotizador!D:D,Cotizador!E:E,"",0,1),"")</f>
        <v/>
      </c>
      <c r="I303" s="4"/>
      <c r="J303" s="8" t="str">
        <f>IF(I303="","",SUMIF(Cotizador!I$1:V$1,I303,Cotizador!I$2:V$2))</f>
        <v/>
      </c>
      <c r="L303" s="4" t="str">
        <f t="array" ref="L303">IF(COUNTIF(L$1:L302,A$2)=SUMIF(A:A,A$2,D:D),IF(COUNTIF(L$1:L302,XLOOKUP(A$2,Implementos!B:B,Implementos!C:C,"",0,1))=SUMIF(A:A,XLOOKUP(A$2,Implementos!B:B,Implementos!C:C,"",0,1),D:D),"",XLOOKUP(A$2,Implementos!B:B,Implementos!C:C,"",0,1)),A$2)</f>
        <v/>
      </c>
      <c r="M303" s="4" t="str">
        <f t="shared" si="2"/>
        <v/>
      </c>
      <c r="N303" s="4" t="str">
        <f t="shared" si="3"/>
        <v/>
      </c>
      <c r="O303" s="4" t="str">
        <f t="shared" si="4"/>
        <v/>
      </c>
      <c r="P303" s="4" t="str">
        <f t="shared" si="5"/>
        <v/>
      </c>
      <c r="Q303" s="4" t="str">
        <f>IF(U303="","",SUMIF(Productos!E:E,U303,Productos!A:A))</f>
        <v/>
      </c>
      <c r="R303" s="4" t="str">
        <f t="array" ref="R303">IF(L303="","", max(1,SUMIF(I:I,XLOOKUP(U303,Productos!E:E,Productos!G:G,"",0,1),J:J)))</f>
        <v/>
      </c>
      <c r="S303" s="4" t="str">
        <f>IF(Q303="","",IF(SUMIFS(Compat_Vetado!D:D,Compat_Vetado!B:B,SUM(G:G),Compat_Vetado!C:C,Q303)=1,"SI",IF(OR(SUMIF(Cotizador!E:E,Q303,Cotizador!G:G)&gt;0,SUMIFS(Compat_Vetado!D:D,Compat_Vetado!B:B,SUM(G:G),Compat_Vetado!C:C,Q303)=-1),"NO","")))</f>
        <v/>
      </c>
      <c r="T303" s="4" t="str">
        <f t="shared" si="6"/>
        <v/>
      </c>
      <c r="U303" s="4" t="str">
        <f>IFERROR(__xludf.DUMMYFUNCTION("IF(P303="""","""",IFERROR(INDEX(filter(Productos!E:E,Productos!F:F=L303,Productos!H:H=N303),P303),IF(M303=SUM(D:D),""Finalizar"",""-"")))"),"")</f>
        <v/>
      </c>
      <c r="V303" s="4" t="str">
        <f>IFERROR(__xludf.DUMMYFUNCTION("IF(OR($U303="""",COUNTIF($I:$I,IFERROR(unique(filter(Prod_Prop!$H:$H,Prod_Prop!$G:$G=$U303,Prod_Prop!$E:$E=V$1)),""Check""))=0),"""",IFERROR(unique(filter(Prod_Prop!$H:$H,Prod_Prop!$G:$G=$U303,Prod_Prop!$E:$E=V$1)),""""))"),"")</f>
        <v/>
      </c>
      <c r="W303" s="4" t="str">
        <f>IF(V303="","",SUMIFS(Prod_Prop!$J:$J,Prod_Prop!$B:$B,$Q303,Prod_Prop!$H:$H,V303,Prod_Prop!$I:$I,W$1)*IF(V303="Peso",$R303,1))</f>
        <v/>
      </c>
      <c r="X303" s="4" t="str">
        <f>IF(V303="","",SUMIFS(Prod_Prop!$J:$J,Prod_Prop!$B:$B,$Q303,Prod_Prop!$H:$H,V303,Prod_Prop!$I:$I,X$1)*IF(V303="Peso",$R303,1))</f>
        <v/>
      </c>
      <c r="Y303" s="4" t="str">
        <f>IFERROR(__xludf.DUMMYFUNCTION("IF(OR($U303="""",COUNTIF($I:$I,IFERROR(unique(filter(Prod_Prop!$H:$H,Prod_Prop!$G:$G=$U303,Prod_Prop!$E:$E=Y$1)),""Check""))=0),"""",IFERROR(unique(filter(Prod_Prop!$H:$H,Prod_Prop!$G:$G=$U303,Prod_Prop!$E:$E=Y$1)),""""))"),"")</f>
        <v/>
      </c>
      <c r="Z303" s="4" t="str">
        <f>IF(Y303="","",SUMIFS(Prod_Prop!$J:$J,Prod_Prop!$B:$B,$Q303,Prod_Prop!$H:$H,Y303,Prod_Prop!$I:$I,Z$1)*IF(Y303="Peso",$R303,1))</f>
        <v/>
      </c>
      <c r="AA303" s="4" t="str">
        <f>IF(Y303="","",SUMIFS(Prod_Prop!$J:$J,Prod_Prop!$B:$B,$Q303,Prod_Prop!$H:$H,Y303,Prod_Prop!$I:$I,AA$1)*IF(Y303="Peso",$R303,1))</f>
        <v/>
      </c>
      <c r="AB303" s="4" t="str">
        <f>IFERROR(__xludf.DUMMYFUNCTION("IF(OR($U303="""",COUNTIF($I:$I,IFERROR(unique(filter(Prod_Prop!$H:$H,Prod_Prop!$G:$G=$U303,Prod_Prop!$E:$E=AB$1)),""Check""))=0),"""",IFERROR(unique(filter(Prod_Prop!$H:$H,Prod_Prop!$G:$G=$U303,Prod_Prop!$E:$E=AB$1)),""""))"),"")</f>
        <v/>
      </c>
      <c r="AC303" s="4" t="str">
        <f>IF(AB303="","",SUMIFS(Prod_Prop!$J:$J,Prod_Prop!$B:$B,$Q303,Prod_Prop!$H:$H,AB303,Prod_Prop!$I:$I,AC$1)*IF(AB303="Peso",$R303,1))</f>
        <v/>
      </c>
      <c r="AD303" s="4" t="str">
        <f>IF(AB303="","",SUMIFS(Prod_Prop!$J:$J,Prod_Prop!$B:$B,$Q303,Prod_Prop!$H:$H,AB303,Prod_Prop!$I:$I,AD$1)*IF(AB303="Peso",$R303,1))</f>
        <v/>
      </c>
    </row>
    <row r="304">
      <c r="A304" s="4" t="str">
        <f t="array" ref="A304">IF(COUNTIF(A$1:A303,Cotizador!F$2)=maxifs(Familias!E:E,Familias!D:D,Cotizador!F$2),IF(COUNTIF(A$1:A303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4" s="4" t="str">
        <f t="shared" si="1"/>
        <v/>
      </c>
      <c r="C304" s="4" t="str">
        <f t="array" ref="C304">IF(B304="","",IF(A304=XLOOKUP(A$2,Implementos!B:B,Implementos!C:C,"",0,1),B304+maxifs(B$1:B303,A$1:A303,A$2),B304))</f>
        <v/>
      </c>
      <c r="D304" s="4" t="str">
        <f>IF(B304="","", COUNTIFS(Productos!F:F,A304,Productos!H:H,B304)+IF(F304="SI",0,1))</f>
        <v/>
      </c>
      <c r="E304" s="4" t="str">
        <f>IFERROR(__xludf.DUMMYFUNCTION("IF($B304="""","""",INDEX(filter(Familias!F:F,Familias!$D:$D=$A304,Familias!$E:$E=$B304),1))"),"")</f>
        <v/>
      </c>
      <c r="F304" s="4" t="str">
        <f>IFERROR(__xludf.DUMMYFUNCTION("IF($B304="""","""",INDEX(filter(Familias!G:G,Familias!$D:$D=$A304,Familias!$E:$E=$B304),1))"),"")</f>
        <v/>
      </c>
      <c r="G304" s="4" t="str">
        <f t="array" ref="G304">IF(C304=1,XLOOKUP(C304,Cotizador!D:D,Cotizador!E:E,"",0,1),"")</f>
        <v/>
      </c>
      <c r="I304" s="4"/>
      <c r="J304" s="8" t="str">
        <f>IF(I304="","",SUMIF(Cotizador!I$1:V$1,I304,Cotizador!I$2:V$2))</f>
        <v/>
      </c>
      <c r="L304" s="4" t="str">
        <f t="array" ref="L304">IF(COUNTIF(L$1:L303,A$2)=SUMIF(A:A,A$2,D:D),IF(COUNTIF(L$1:L303,XLOOKUP(A$2,Implementos!B:B,Implementos!C:C,"",0,1))=SUMIF(A:A,XLOOKUP(A$2,Implementos!B:B,Implementos!C:C,"",0,1),D:D),"",XLOOKUP(A$2,Implementos!B:B,Implementos!C:C,"",0,1)),A$2)</f>
        <v/>
      </c>
      <c r="M304" s="4" t="str">
        <f t="shared" si="2"/>
        <v/>
      </c>
      <c r="N304" s="4" t="str">
        <f t="shared" si="3"/>
        <v/>
      </c>
      <c r="O304" s="4" t="str">
        <f t="shared" si="4"/>
        <v/>
      </c>
      <c r="P304" s="4" t="str">
        <f t="shared" si="5"/>
        <v/>
      </c>
      <c r="Q304" s="4" t="str">
        <f>IF(U304="","",SUMIF(Productos!E:E,U304,Productos!A:A))</f>
        <v/>
      </c>
      <c r="R304" s="4" t="str">
        <f t="array" ref="R304">IF(L304="","", max(1,SUMIF(I:I,XLOOKUP(U304,Productos!E:E,Productos!G:G,"",0,1),J:J)))</f>
        <v/>
      </c>
      <c r="S304" s="4" t="str">
        <f>IF(Q304="","",IF(SUMIFS(Compat_Vetado!D:D,Compat_Vetado!B:B,SUM(G:G),Compat_Vetado!C:C,Q304)=1,"SI",IF(OR(SUMIF(Cotizador!E:E,Q304,Cotizador!G:G)&gt;0,SUMIFS(Compat_Vetado!D:D,Compat_Vetado!B:B,SUM(G:G),Compat_Vetado!C:C,Q304)=-1),"NO","")))</f>
        <v/>
      </c>
      <c r="T304" s="4" t="str">
        <f t="shared" si="6"/>
        <v/>
      </c>
      <c r="U304" s="4" t="str">
        <f>IFERROR(__xludf.DUMMYFUNCTION("IF(P304="""","""",IFERROR(INDEX(filter(Productos!E:E,Productos!F:F=L304,Productos!H:H=N304),P304),IF(M304=SUM(D:D),""Finalizar"",""-"")))"),"")</f>
        <v/>
      </c>
      <c r="V304" s="4" t="str">
        <f>IFERROR(__xludf.DUMMYFUNCTION("IF(OR($U304="""",COUNTIF($I:$I,IFERROR(unique(filter(Prod_Prop!$H:$H,Prod_Prop!$G:$G=$U304,Prod_Prop!$E:$E=V$1)),""Check""))=0),"""",IFERROR(unique(filter(Prod_Prop!$H:$H,Prod_Prop!$G:$G=$U304,Prod_Prop!$E:$E=V$1)),""""))"),"")</f>
        <v/>
      </c>
      <c r="W304" s="4" t="str">
        <f>IF(V304="","",SUMIFS(Prod_Prop!$J:$J,Prod_Prop!$B:$B,$Q304,Prod_Prop!$H:$H,V304,Prod_Prop!$I:$I,W$1)*IF(V304="Peso",$R304,1))</f>
        <v/>
      </c>
      <c r="X304" s="4" t="str">
        <f>IF(V304="","",SUMIFS(Prod_Prop!$J:$J,Prod_Prop!$B:$B,$Q304,Prod_Prop!$H:$H,V304,Prod_Prop!$I:$I,X$1)*IF(V304="Peso",$R304,1))</f>
        <v/>
      </c>
      <c r="Y304" s="4" t="str">
        <f>IFERROR(__xludf.DUMMYFUNCTION("IF(OR($U304="""",COUNTIF($I:$I,IFERROR(unique(filter(Prod_Prop!$H:$H,Prod_Prop!$G:$G=$U304,Prod_Prop!$E:$E=Y$1)),""Check""))=0),"""",IFERROR(unique(filter(Prod_Prop!$H:$H,Prod_Prop!$G:$G=$U304,Prod_Prop!$E:$E=Y$1)),""""))"),"")</f>
        <v/>
      </c>
      <c r="Z304" s="4" t="str">
        <f>IF(Y304="","",SUMIFS(Prod_Prop!$J:$J,Prod_Prop!$B:$B,$Q304,Prod_Prop!$H:$H,Y304,Prod_Prop!$I:$I,Z$1)*IF(Y304="Peso",$R304,1))</f>
        <v/>
      </c>
      <c r="AA304" s="4" t="str">
        <f>IF(Y304="","",SUMIFS(Prod_Prop!$J:$J,Prod_Prop!$B:$B,$Q304,Prod_Prop!$H:$H,Y304,Prod_Prop!$I:$I,AA$1)*IF(Y304="Peso",$R304,1))</f>
        <v/>
      </c>
      <c r="AB304" s="4" t="str">
        <f>IFERROR(__xludf.DUMMYFUNCTION("IF(OR($U304="""",COUNTIF($I:$I,IFERROR(unique(filter(Prod_Prop!$H:$H,Prod_Prop!$G:$G=$U304,Prod_Prop!$E:$E=AB$1)),""Check""))=0),"""",IFERROR(unique(filter(Prod_Prop!$H:$H,Prod_Prop!$G:$G=$U304,Prod_Prop!$E:$E=AB$1)),""""))"),"")</f>
        <v/>
      </c>
      <c r="AC304" s="4" t="str">
        <f>IF(AB304="","",SUMIFS(Prod_Prop!$J:$J,Prod_Prop!$B:$B,$Q304,Prod_Prop!$H:$H,AB304,Prod_Prop!$I:$I,AC$1)*IF(AB304="Peso",$R304,1))</f>
        <v/>
      </c>
      <c r="AD304" s="4" t="str">
        <f>IF(AB304="","",SUMIFS(Prod_Prop!$J:$J,Prod_Prop!$B:$B,$Q304,Prod_Prop!$H:$H,AB304,Prod_Prop!$I:$I,AD$1)*IF(AB304="Peso",$R304,1))</f>
        <v/>
      </c>
    </row>
    <row r="305">
      <c r="A305" s="4" t="str">
        <f t="array" ref="A305">IF(COUNTIF(A$1:A304,Cotizador!F$2)=maxifs(Familias!E:E,Familias!D:D,Cotizador!F$2),IF(COUNTIF(A$1:A304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5" s="4" t="str">
        <f t="shared" si="1"/>
        <v/>
      </c>
      <c r="C305" s="4" t="str">
        <f t="array" ref="C305">IF(B305="","",IF(A305=XLOOKUP(A$2,Implementos!B:B,Implementos!C:C,"",0,1),B305+maxifs(B$1:B304,A$1:A304,A$2),B305))</f>
        <v/>
      </c>
      <c r="D305" s="4" t="str">
        <f>IF(B305="","", COUNTIFS(Productos!F:F,A305,Productos!H:H,B305)+IF(F305="SI",0,1))</f>
        <v/>
      </c>
      <c r="E305" s="4" t="str">
        <f>IFERROR(__xludf.DUMMYFUNCTION("IF($B305="""","""",INDEX(filter(Familias!F:F,Familias!$D:$D=$A305,Familias!$E:$E=$B305),1))"),"")</f>
        <v/>
      </c>
      <c r="F305" s="4" t="str">
        <f>IFERROR(__xludf.DUMMYFUNCTION("IF($B305="""","""",INDEX(filter(Familias!G:G,Familias!$D:$D=$A305,Familias!$E:$E=$B305),1))"),"")</f>
        <v/>
      </c>
      <c r="G305" s="4" t="str">
        <f t="array" ref="G305">IF(C305=1,XLOOKUP(C305,Cotizador!D:D,Cotizador!E:E,"",0,1),"")</f>
        <v/>
      </c>
      <c r="I305" s="4"/>
      <c r="J305" s="8" t="str">
        <f>IF(I305="","",SUMIF(Cotizador!I$1:V$1,I305,Cotizador!I$2:V$2))</f>
        <v/>
      </c>
      <c r="L305" s="4" t="str">
        <f t="array" ref="L305">IF(COUNTIF(L$1:L304,A$2)=SUMIF(A:A,A$2,D:D),IF(COUNTIF(L$1:L304,XLOOKUP(A$2,Implementos!B:B,Implementos!C:C,"",0,1))=SUMIF(A:A,XLOOKUP(A$2,Implementos!B:B,Implementos!C:C,"",0,1),D:D),"",XLOOKUP(A$2,Implementos!B:B,Implementos!C:C,"",0,1)),A$2)</f>
        <v/>
      </c>
      <c r="M305" s="4" t="str">
        <f t="shared" si="2"/>
        <v/>
      </c>
      <c r="N305" s="4" t="str">
        <f t="shared" si="3"/>
        <v/>
      </c>
      <c r="O305" s="4" t="str">
        <f t="shared" si="4"/>
        <v/>
      </c>
      <c r="P305" s="4" t="str">
        <f t="shared" si="5"/>
        <v/>
      </c>
      <c r="Q305" s="4" t="str">
        <f>IF(U305="","",SUMIF(Productos!E:E,U305,Productos!A:A))</f>
        <v/>
      </c>
      <c r="R305" s="4" t="str">
        <f t="array" ref="R305">IF(L305="","", max(1,SUMIF(I:I,XLOOKUP(U305,Productos!E:E,Productos!G:G,"",0,1),J:J)))</f>
        <v/>
      </c>
      <c r="S305" s="4" t="str">
        <f>IF(Q305="","",IF(SUMIFS(Compat_Vetado!D:D,Compat_Vetado!B:B,SUM(G:G),Compat_Vetado!C:C,Q305)=1,"SI",IF(OR(SUMIF(Cotizador!E:E,Q305,Cotizador!G:G)&gt;0,SUMIFS(Compat_Vetado!D:D,Compat_Vetado!B:B,SUM(G:G),Compat_Vetado!C:C,Q305)=-1),"NO","")))</f>
        <v/>
      </c>
      <c r="T305" s="4" t="str">
        <f t="shared" si="6"/>
        <v/>
      </c>
      <c r="U305" s="4" t="str">
        <f>IFERROR(__xludf.DUMMYFUNCTION("IF(P305="""","""",IFERROR(INDEX(filter(Productos!E:E,Productos!F:F=L305,Productos!H:H=N305),P305),IF(M305=SUM(D:D),""Finalizar"",""-"")))"),"")</f>
        <v/>
      </c>
      <c r="V305" s="4" t="str">
        <f>IFERROR(__xludf.DUMMYFUNCTION("IF(OR($U305="""",COUNTIF($I:$I,IFERROR(unique(filter(Prod_Prop!$H:$H,Prod_Prop!$G:$G=$U305,Prod_Prop!$E:$E=V$1)),""Check""))=0),"""",IFERROR(unique(filter(Prod_Prop!$H:$H,Prod_Prop!$G:$G=$U305,Prod_Prop!$E:$E=V$1)),""""))"),"")</f>
        <v/>
      </c>
      <c r="W305" s="4" t="str">
        <f>IF(V305="","",SUMIFS(Prod_Prop!$J:$J,Prod_Prop!$B:$B,$Q305,Prod_Prop!$H:$H,V305,Prod_Prop!$I:$I,W$1)*IF(V305="Peso",$R305,1))</f>
        <v/>
      </c>
      <c r="X305" s="4" t="str">
        <f>IF(V305="","",SUMIFS(Prod_Prop!$J:$J,Prod_Prop!$B:$B,$Q305,Prod_Prop!$H:$H,V305,Prod_Prop!$I:$I,X$1)*IF(V305="Peso",$R305,1))</f>
        <v/>
      </c>
      <c r="Y305" s="4" t="str">
        <f>IFERROR(__xludf.DUMMYFUNCTION("IF(OR($U305="""",COUNTIF($I:$I,IFERROR(unique(filter(Prod_Prop!$H:$H,Prod_Prop!$G:$G=$U305,Prod_Prop!$E:$E=Y$1)),""Check""))=0),"""",IFERROR(unique(filter(Prod_Prop!$H:$H,Prod_Prop!$G:$G=$U305,Prod_Prop!$E:$E=Y$1)),""""))"),"")</f>
        <v/>
      </c>
      <c r="Z305" s="4" t="str">
        <f>IF(Y305="","",SUMIFS(Prod_Prop!$J:$J,Prod_Prop!$B:$B,$Q305,Prod_Prop!$H:$H,Y305,Prod_Prop!$I:$I,Z$1)*IF(Y305="Peso",$R305,1))</f>
        <v/>
      </c>
      <c r="AA305" s="4" t="str">
        <f>IF(Y305="","",SUMIFS(Prod_Prop!$J:$J,Prod_Prop!$B:$B,$Q305,Prod_Prop!$H:$H,Y305,Prod_Prop!$I:$I,AA$1)*IF(Y305="Peso",$R305,1))</f>
        <v/>
      </c>
      <c r="AB305" s="4" t="str">
        <f>IFERROR(__xludf.DUMMYFUNCTION("IF(OR($U305="""",COUNTIF($I:$I,IFERROR(unique(filter(Prod_Prop!$H:$H,Prod_Prop!$G:$G=$U305,Prod_Prop!$E:$E=AB$1)),""Check""))=0),"""",IFERROR(unique(filter(Prod_Prop!$H:$H,Prod_Prop!$G:$G=$U305,Prod_Prop!$E:$E=AB$1)),""""))"),"")</f>
        <v/>
      </c>
      <c r="AC305" s="4" t="str">
        <f>IF(AB305="","",SUMIFS(Prod_Prop!$J:$J,Prod_Prop!$B:$B,$Q305,Prod_Prop!$H:$H,AB305,Prod_Prop!$I:$I,AC$1)*IF(AB305="Peso",$R305,1))</f>
        <v/>
      </c>
      <c r="AD305" s="4" t="str">
        <f>IF(AB305="","",SUMIFS(Prod_Prop!$J:$J,Prod_Prop!$B:$B,$Q305,Prod_Prop!$H:$H,AB305,Prod_Prop!$I:$I,AD$1)*IF(AB305="Peso",$R305,1))</f>
        <v/>
      </c>
    </row>
    <row r="306">
      <c r="A306" s="4" t="str">
        <f t="array" ref="A306">IF(COUNTIF(A$1:A305,Cotizador!F$2)=maxifs(Familias!E:E,Familias!D:D,Cotizador!F$2),IF(COUNTIF(A$1:A305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6" s="4" t="str">
        <f t="shared" si="1"/>
        <v/>
      </c>
      <c r="C306" s="4" t="str">
        <f t="array" ref="C306">IF(B306="","",IF(A306=XLOOKUP(A$2,Implementos!B:B,Implementos!C:C,"",0,1),B306+maxifs(B$1:B305,A$1:A305,A$2),B306))</f>
        <v/>
      </c>
      <c r="D306" s="4" t="str">
        <f>IF(B306="","", COUNTIFS(Productos!F:F,A306,Productos!H:H,B306)+IF(F306="SI",0,1))</f>
        <v/>
      </c>
      <c r="E306" s="4" t="str">
        <f>IFERROR(__xludf.DUMMYFUNCTION("IF($B306="""","""",INDEX(filter(Familias!F:F,Familias!$D:$D=$A306,Familias!$E:$E=$B306),1))"),"")</f>
        <v/>
      </c>
      <c r="F306" s="4" t="str">
        <f>IFERROR(__xludf.DUMMYFUNCTION("IF($B306="""","""",INDEX(filter(Familias!G:G,Familias!$D:$D=$A306,Familias!$E:$E=$B306),1))"),"")</f>
        <v/>
      </c>
      <c r="G306" s="4" t="str">
        <f t="array" ref="G306">IF(C306=1,XLOOKUP(C306,Cotizador!D:D,Cotizador!E:E,"",0,1),"")</f>
        <v/>
      </c>
      <c r="I306" s="4"/>
      <c r="J306" s="8" t="str">
        <f>IF(I306="","",SUMIF(Cotizador!I$1:V$1,I306,Cotizador!I$2:V$2))</f>
        <v/>
      </c>
      <c r="L306" s="4" t="str">
        <f t="array" ref="L306">IF(COUNTIF(L$1:L305,A$2)=SUMIF(A:A,A$2,D:D),IF(COUNTIF(L$1:L305,XLOOKUP(A$2,Implementos!B:B,Implementos!C:C,"",0,1))=SUMIF(A:A,XLOOKUP(A$2,Implementos!B:B,Implementos!C:C,"",0,1),D:D),"",XLOOKUP(A$2,Implementos!B:B,Implementos!C:C,"",0,1)),A$2)</f>
        <v/>
      </c>
      <c r="M306" s="4" t="str">
        <f t="shared" si="2"/>
        <v/>
      </c>
      <c r="N306" s="4" t="str">
        <f t="shared" si="3"/>
        <v/>
      </c>
      <c r="O306" s="4" t="str">
        <f t="shared" si="4"/>
        <v/>
      </c>
      <c r="P306" s="4" t="str">
        <f t="shared" si="5"/>
        <v/>
      </c>
      <c r="Q306" s="4" t="str">
        <f>IF(U306="","",SUMIF(Productos!E:E,U306,Productos!A:A))</f>
        <v/>
      </c>
      <c r="R306" s="4" t="str">
        <f t="array" ref="R306">IF(L306="","", max(1,SUMIF(I:I,XLOOKUP(U306,Productos!E:E,Productos!G:G,"",0,1),J:J)))</f>
        <v/>
      </c>
      <c r="S306" s="4" t="str">
        <f>IF(Q306="","",IF(SUMIFS(Compat_Vetado!D:D,Compat_Vetado!B:B,SUM(G:G),Compat_Vetado!C:C,Q306)=1,"SI",IF(OR(SUMIF(Cotizador!E:E,Q306,Cotizador!G:G)&gt;0,SUMIFS(Compat_Vetado!D:D,Compat_Vetado!B:B,SUM(G:G),Compat_Vetado!C:C,Q306)=-1),"NO","")))</f>
        <v/>
      </c>
      <c r="T306" s="4" t="str">
        <f t="shared" si="6"/>
        <v/>
      </c>
      <c r="U306" s="4" t="str">
        <f>IFERROR(__xludf.DUMMYFUNCTION("IF(P306="""","""",IFERROR(INDEX(filter(Productos!E:E,Productos!F:F=L306,Productos!H:H=N306),P306),IF(M306=SUM(D:D),""Finalizar"",""-"")))"),"")</f>
        <v/>
      </c>
      <c r="V306" s="4" t="str">
        <f>IFERROR(__xludf.DUMMYFUNCTION("IF(OR($U306="""",COUNTIF($I:$I,IFERROR(unique(filter(Prod_Prop!$H:$H,Prod_Prop!$G:$G=$U306,Prod_Prop!$E:$E=V$1)),""Check""))=0),"""",IFERROR(unique(filter(Prod_Prop!$H:$H,Prod_Prop!$G:$G=$U306,Prod_Prop!$E:$E=V$1)),""""))"),"")</f>
        <v/>
      </c>
      <c r="W306" s="4" t="str">
        <f>IF(V306="","",SUMIFS(Prod_Prop!$J:$J,Prod_Prop!$B:$B,$Q306,Prod_Prop!$H:$H,V306,Prod_Prop!$I:$I,W$1)*IF(V306="Peso",$R306,1))</f>
        <v/>
      </c>
      <c r="X306" s="4" t="str">
        <f>IF(V306="","",SUMIFS(Prod_Prop!$J:$J,Prod_Prop!$B:$B,$Q306,Prod_Prop!$H:$H,V306,Prod_Prop!$I:$I,X$1)*IF(V306="Peso",$R306,1))</f>
        <v/>
      </c>
      <c r="Y306" s="4" t="str">
        <f>IFERROR(__xludf.DUMMYFUNCTION("IF(OR($U306="""",COUNTIF($I:$I,IFERROR(unique(filter(Prod_Prop!$H:$H,Prod_Prop!$G:$G=$U306,Prod_Prop!$E:$E=Y$1)),""Check""))=0),"""",IFERROR(unique(filter(Prod_Prop!$H:$H,Prod_Prop!$G:$G=$U306,Prod_Prop!$E:$E=Y$1)),""""))"),"")</f>
        <v/>
      </c>
      <c r="Z306" s="4" t="str">
        <f>IF(Y306="","",SUMIFS(Prod_Prop!$J:$J,Prod_Prop!$B:$B,$Q306,Prod_Prop!$H:$H,Y306,Prod_Prop!$I:$I,Z$1)*IF(Y306="Peso",$R306,1))</f>
        <v/>
      </c>
      <c r="AA306" s="4" t="str">
        <f>IF(Y306="","",SUMIFS(Prod_Prop!$J:$J,Prod_Prop!$B:$B,$Q306,Prod_Prop!$H:$H,Y306,Prod_Prop!$I:$I,AA$1)*IF(Y306="Peso",$R306,1))</f>
        <v/>
      </c>
      <c r="AB306" s="4" t="str">
        <f>IFERROR(__xludf.DUMMYFUNCTION("IF(OR($U306="""",COUNTIF($I:$I,IFERROR(unique(filter(Prod_Prop!$H:$H,Prod_Prop!$G:$G=$U306,Prod_Prop!$E:$E=AB$1)),""Check""))=0),"""",IFERROR(unique(filter(Prod_Prop!$H:$H,Prod_Prop!$G:$G=$U306,Prod_Prop!$E:$E=AB$1)),""""))"),"")</f>
        <v/>
      </c>
      <c r="AC306" s="4" t="str">
        <f>IF(AB306="","",SUMIFS(Prod_Prop!$J:$J,Prod_Prop!$B:$B,$Q306,Prod_Prop!$H:$H,AB306,Prod_Prop!$I:$I,AC$1)*IF(AB306="Peso",$R306,1))</f>
        <v/>
      </c>
      <c r="AD306" s="4" t="str">
        <f>IF(AB306="","",SUMIFS(Prod_Prop!$J:$J,Prod_Prop!$B:$B,$Q306,Prod_Prop!$H:$H,AB306,Prod_Prop!$I:$I,AD$1)*IF(AB306="Peso",$R306,1))</f>
        <v/>
      </c>
    </row>
    <row r="307">
      <c r="A307" s="4" t="str">
        <f t="array" ref="A307">IF(COUNTIF(A$1:A306,Cotizador!F$2)=maxifs(Familias!E:E,Familias!D:D,Cotizador!F$2),IF(COUNTIF(A$1:A306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7" s="4" t="str">
        <f t="shared" si="1"/>
        <v/>
      </c>
      <c r="C307" s="4" t="str">
        <f t="array" ref="C307">IF(B307="","",IF(A307=XLOOKUP(A$2,Implementos!B:B,Implementos!C:C,"",0,1),B307+maxifs(B$1:B306,A$1:A306,A$2),B307))</f>
        <v/>
      </c>
      <c r="D307" s="4" t="str">
        <f>IF(B307="","", COUNTIFS(Productos!F:F,A307,Productos!H:H,B307)+IF(F307="SI",0,1))</f>
        <v/>
      </c>
      <c r="E307" s="4" t="str">
        <f>IFERROR(__xludf.DUMMYFUNCTION("IF($B307="""","""",INDEX(filter(Familias!F:F,Familias!$D:$D=$A307,Familias!$E:$E=$B307),1))"),"")</f>
        <v/>
      </c>
      <c r="F307" s="4" t="str">
        <f>IFERROR(__xludf.DUMMYFUNCTION("IF($B307="""","""",INDEX(filter(Familias!G:G,Familias!$D:$D=$A307,Familias!$E:$E=$B307),1))"),"")</f>
        <v/>
      </c>
      <c r="G307" s="4" t="str">
        <f t="array" ref="G307">IF(C307=1,XLOOKUP(C307,Cotizador!D:D,Cotizador!E:E,"",0,1),"")</f>
        <v/>
      </c>
      <c r="I307" s="4"/>
      <c r="J307" s="8" t="str">
        <f>IF(I307="","",SUMIF(Cotizador!I$1:V$1,I307,Cotizador!I$2:V$2))</f>
        <v/>
      </c>
      <c r="L307" s="4" t="str">
        <f t="array" ref="L307">IF(COUNTIF(L$1:L306,A$2)=SUMIF(A:A,A$2,D:D),IF(COUNTIF(L$1:L306,XLOOKUP(A$2,Implementos!B:B,Implementos!C:C,"",0,1))=SUMIF(A:A,XLOOKUP(A$2,Implementos!B:B,Implementos!C:C,"",0,1),D:D),"",XLOOKUP(A$2,Implementos!B:B,Implementos!C:C,"",0,1)),A$2)</f>
        <v/>
      </c>
      <c r="M307" s="4" t="str">
        <f t="shared" si="2"/>
        <v/>
      </c>
      <c r="N307" s="4" t="str">
        <f t="shared" si="3"/>
        <v/>
      </c>
      <c r="O307" s="4" t="str">
        <f t="shared" si="4"/>
        <v/>
      </c>
      <c r="P307" s="4" t="str">
        <f t="shared" si="5"/>
        <v/>
      </c>
      <c r="Q307" s="4" t="str">
        <f>IF(U307="","",SUMIF(Productos!E:E,U307,Productos!A:A))</f>
        <v/>
      </c>
      <c r="R307" s="4" t="str">
        <f t="array" ref="R307">IF(L307="","", max(1,SUMIF(I:I,XLOOKUP(U307,Productos!E:E,Productos!G:G,"",0,1),J:J)))</f>
        <v/>
      </c>
      <c r="S307" s="4" t="str">
        <f>IF(Q307="","",IF(SUMIFS(Compat_Vetado!D:D,Compat_Vetado!B:B,SUM(G:G),Compat_Vetado!C:C,Q307)=1,"SI",IF(OR(SUMIF(Cotizador!E:E,Q307,Cotizador!G:G)&gt;0,SUMIFS(Compat_Vetado!D:D,Compat_Vetado!B:B,SUM(G:G),Compat_Vetado!C:C,Q307)=-1),"NO","")))</f>
        <v/>
      </c>
      <c r="T307" s="4" t="str">
        <f t="shared" si="6"/>
        <v/>
      </c>
      <c r="U307" s="4" t="str">
        <f>IFERROR(__xludf.DUMMYFUNCTION("IF(P307="""","""",IFERROR(INDEX(filter(Productos!E:E,Productos!F:F=L307,Productos!H:H=N307),P307),IF(M307=SUM(D:D),""Finalizar"",""-"")))"),"")</f>
        <v/>
      </c>
      <c r="V307" s="4" t="str">
        <f>IFERROR(__xludf.DUMMYFUNCTION("IF(OR($U307="""",COUNTIF($I:$I,IFERROR(unique(filter(Prod_Prop!$H:$H,Prod_Prop!$G:$G=$U307,Prod_Prop!$E:$E=V$1)),""Check""))=0),"""",IFERROR(unique(filter(Prod_Prop!$H:$H,Prod_Prop!$G:$G=$U307,Prod_Prop!$E:$E=V$1)),""""))"),"")</f>
        <v/>
      </c>
      <c r="W307" s="4" t="str">
        <f>IF(V307="","",SUMIFS(Prod_Prop!$J:$J,Prod_Prop!$B:$B,$Q307,Prod_Prop!$H:$H,V307,Prod_Prop!$I:$I,W$1)*IF(V307="Peso",$R307,1))</f>
        <v/>
      </c>
      <c r="X307" s="4" t="str">
        <f>IF(V307="","",SUMIFS(Prod_Prop!$J:$J,Prod_Prop!$B:$B,$Q307,Prod_Prop!$H:$H,V307,Prod_Prop!$I:$I,X$1)*IF(V307="Peso",$R307,1))</f>
        <v/>
      </c>
      <c r="Y307" s="4" t="str">
        <f>IFERROR(__xludf.DUMMYFUNCTION("IF(OR($U307="""",COUNTIF($I:$I,IFERROR(unique(filter(Prod_Prop!$H:$H,Prod_Prop!$G:$G=$U307,Prod_Prop!$E:$E=Y$1)),""Check""))=0),"""",IFERROR(unique(filter(Prod_Prop!$H:$H,Prod_Prop!$G:$G=$U307,Prod_Prop!$E:$E=Y$1)),""""))"),"")</f>
        <v/>
      </c>
      <c r="Z307" s="4" t="str">
        <f>IF(Y307="","",SUMIFS(Prod_Prop!$J:$J,Prod_Prop!$B:$B,$Q307,Prod_Prop!$H:$H,Y307,Prod_Prop!$I:$I,Z$1)*IF(Y307="Peso",$R307,1))</f>
        <v/>
      </c>
      <c r="AA307" s="4" t="str">
        <f>IF(Y307="","",SUMIFS(Prod_Prop!$J:$J,Prod_Prop!$B:$B,$Q307,Prod_Prop!$H:$H,Y307,Prod_Prop!$I:$I,AA$1)*IF(Y307="Peso",$R307,1))</f>
        <v/>
      </c>
      <c r="AB307" s="4" t="str">
        <f>IFERROR(__xludf.DUMMYFUNCTION("IF(OR($U307="""",COUNTIF($I:$I,IFERROR(unique(filter(Prod_Prop!$H:$H,Prod_Prop!$G:$G=$U307,Prod_Prop!$E:$E=AB$1)),""Check""))=0),"""",IFERROR(unique(filter(Prod_Prop!$H:$H,Prod_Prop!$G:$G=$U307,Prod_Prop!$E:$E=AB$1)),""""))"),"")</f>
        <v/>
      </c>
      <c r="AC307" s="4" t="str">
        <f>IF(AB307="","",SUMIFS(Prod_Prop!$J:$J,Prod_Prop!$B:$B,$Q307,Prod_Prop!$H:$H,AB307,Prod_Prop!$I:$I,AC$1)*IF(AB307="Peso",$R307,1))</f>
        <v/>
      </c>
      <c r="AD307" s="4" t="str">
        <f>IF(AB307="","",SUMIFS(Prod_Prop!$J:$J,Prod_Prop!$B:$B,$Q307,Prod_Prop!$H:$H,AB307,Prod_Prop!$I:$I,AD$1)*IF(AB307="Peso",$R307,1))</f>
        <v/>
      </c>
    </row>
    <row r="308">
      <c r="A308" s="4" t="str">
        <f t="array" ref="A308">IF(COUNTIF(A$1:A307,Cotizador!F$2)=maxifs(Familias!E:E,Familias!D:D,Cotizador!F$2),IF(COUNTIF(A$1:A307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8" s="4" t="str">
        <f t="shared" si="1"/>
        <v/>
      </c>
      <c r="C308" s="4" t="str">
        <f t="array" ref="C308">IF(B308="","",IF(A308=XLOOKUP(A$2,Implementos!B:B,Implementos!C:C,"",0,1),B308+maxifs(B$1:B307,A$1:A307,A$2),B308))</f>
        <v/>
      </c>
      <c r="D308" s="4" t="str">
        <f>IF(B308="","", COUNTIFS(Productos!F:F,A308,Productos!H:H,B308)+IF(F308="SI",0,1))</f>
        <v/>
      </c>
      <c r="E308" s="4" t="str">
        <f>IFERROR(__xludf.DUMMYFUNCTION("IF($B308="""","""",INDEX(filter(Familias!F:F,Familias!$D:$D=$A308,Familias!$E:$E=$B308),1))"),"")</f>
        <v/>
      </c>
      <c r="F308" s="4" t="str">
        <f>IFERROR(__xludf.DUMMYFUNCTION("IF($B308="""","""",INDEX(filter(Familias!G:G,Familias!$D:$D=$A308,Familias!$E:$E=$B308),1))"),"")</f>
        <v/>
      </c>
      <c r="G308" s="4" t="str">
        <f t="array" ref="G308">IF(C308=1,XLOOKUP(C308,Cotizador!D:D,Cotizador!E:E,"",0,1),"")</f>
        <v/>
      </c>
      <c r="I308" s="4"/>
      <c r="J308" s="8" t="str">
        <f>IF(I308="","",SUMIF(Cotizador!I$1:V$1,I308,Cotizador!I$2:V$2))</f>
        <v/>
      </c>
      <c r="L308" s="4" t="str">
        <f t="array" ref="L308">IF(COUNTIF(L$1:L307,A$2)=SUMIF(A:A,A$2,D:D),IF(COUNTIF(L$1:L307,XLOOKUP(A$2,Implementos!B:B,Implementos!C:C,"",0,1))=SUMIF(A:A,XLOOKUP(A$2,Implementos!B:B,Implementos!C:C,"",0,1),D:D),"",XLOOKUP(A$2,Implementos!B:B,Implementos!C:C,"",0,1)),A$2)</f>
        <v/>
      </c>
      <c r="M308" s="4" t="str">
        <f t="shared" si="2"/>
        <v/>
      </c>
      <c r="N308" s="4" t="str">
        <f t="shared" si="3"/>
        <v/>
      </c>
      <c r="O308" s="4" t="str">
        <f t="shared" si="4"/>
        <v/>
      </c>
      <c r="P308" s="4" t="str">
        <f t="shared" si="5"/>
        <v/>
      </c>
      <c r="Q308" s="4" t="str">
        <f>IF(U308="","",SUMIF(Productos!E:E,U308,Productos!A:A))</f>
        <v/>
      </c>
      <c r="R308" s="4" t="str">
        <f t="array" ref="R308">IF(L308="","", max(1,SUMIF(I:I,XLOOKUP(U308,Productos!E:E,Productos!G:G,"",0,1),J:J)))</f>
        <v/>
      </c>
      <c r="S308" s="4" t="str">
        <f>IF(Q308="","",IF(SUMIFS(Compat_Vetado!D:D,Compat_Vetado!B:B,SUM(G:G),Compat_Vetado!C:C,Q308)=1,"SI",IF(OR(SUMIF(Cotizador!E:E,Q308,Cotizador!G:G)&gt;0,SUMIFS(Compat_Vetado!D:D,Compat_Vetado!B:B,SUM(G:G),Compat_Vetado!C:C,Q308)=-1),"NO","")))</f>
        <v/>
      </c>
      <c r="T308" s="4" t="str">
        <f t="shared" si="6"/>
        <v/>
      </c>
      <c r="U308" s="4" t="str">
        <f>IFERROR(__xludf.DUMMYFUNCTION("IF(P308="""","""",IFERROR(INDEX(filter(Productos!E:E,Productos!F:F=L308,Productos!H:H=N308),P308),IF(M308=SUM(D:D),""Finalizar"",""-"")))"),"")</f>
        <v/>
      </c>
      <c r="V308" s="4" t="str">
        <f>IFERROR(__xludf.DUMMYFUNCTION("IF(OR($U308="""",COUNTIF($I:$I,IFERROR(unique(filter(Prod_Prop!$H:$H,Prod_Prop!$G:$G=$U308,Prod_Prop!$E:$E=V$1)),""Check""))=0),"""",IFERROR(unique(filter(Prod_Prop!$H:$H,Prod_Prop!$G:$G=$U308,Prod_Prop!$E:$E=V$1)),""""))"),"")</f>
        <v/>
      </c>
      <c r="W308" s="4" t="str">
        <f>IF(V308="","",SUMIFS(Prod_Prop!$J:$J,Prod_Prop!$B:$B,$Q308,Prod_Prop!$H:$H,V308,Prod_Prop!$I:$I,W$1)*IF(V308="Peso",$R308,1))</f>
        <v/>
      </c>
      <c r="X308" s="4" t="str">
        <f>IF(V308="","",SUMIFS(Prod_Prop!$J:$J,Prod_Prop!$B:$B,$Q308,Prod_Prop!$H:$H,V308,Prod_Prop!$I:$I,X$1)*IF(V308="Peso",$R308,1))</f>
        <v/>
      </c>
      <c r="Y308" s="4" t="str">
        <f>IFERROR(__xludf.DUMMYFUNCTION("IF(OR($U308="""",COUNTIF($I:$I,IFERROR(unique(filter(Prod_Prop!$H:$H,Prod_Prop!$G:$G=$U308,Prod_Prop!$E:$E=Y$1)),""Check""))=0),"""",IFERROR(unique(filter(Prod_Prop!$H:$H,Prod_Prop!$G:$G=$U308,Prod_Prop!$E:$E=Y$1)),""""))"),"")</f>
        <v/>
      </c>
      <c r="Z308" s="4" t="str">
        <f>IF(Y308="","",SUMIFS(Prod_Prop!$J:$J,Prod_Prop!$B:$B,$Q308,Prod_Prop!$H:$H,Y308,Prod_Prop!$I:$I,Z$1)*IF(Y308="Peso",$R308,1))</f>
        <v/>
      </c>
      <c r="AA308" s="4" t="str">
        <f>IF(Y308="","",SUMIFS(Prod_Prop!$J:$J,Prod_Prop!$B:$B,$Q308,Prod_Prop!$H:$H,Y308,Prod_Prop!$I:$I,AA$1)*IF(Y308="Peso",$R308,1))</f>
        <v/>
      </c>
      <c r="AB308" s="4" t="str">
        <f>IFERROR(__xludf.DUMMYFUNCTION("IF(OR($U308="""",COUNTIF($I:$I,IFERROR(unique(filter(Prod_Prop!$H:$H,Prod_Prop!$G:$G=$U308,Prod_Prop!$E:$E=AB$1)),""Check""))=0),"""",IFERROR(unique(filter(Prod_Prop!$H:$H,Prod_Prop!$G:$G=$U308,Prod_Prop!$E:$E=AB$1)),""""))"),"")</f>
        <v/>
      </c>
      <c r="AC308" s="4" t="str">
        <f>IF(AB308="","",SUMIFS(Prod_Prop!$J:$J,Prod_Prop!$B:$B,$Q308,Prod_Prop!$H:$H,AB308,Prod_Prop!$I:$I,AC$1)*IF(AB308="Peso",$R308,1))</f>
        <v/>
      </c>
      <c r="AD308" s="4" t="str">
        <f>IF(AB308="","",SUMIFS(Prod_Prop!$J:$J,Prod_Prop!$B:$B,$Q308,Prod_Prop!$H:$H,AB308,Prod_Prop!$I:$I,AD$1)*IF(AB308="Peso",$R308,1))</f>
        <v/>
      </c>
    </row>
    <row r="309">
      <c r="A309" s="4" t="str">
        <f t="array" ref="A309">IF(COUNTIF(A$1:A308,Cotizador!F$2)=maxifs(Familias!E:E,Familias!D:D,Cotizador!F$2),IF(COUNTIF(A$1:A308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09" s="4" t="str">
        <f t="shared" si="1"/>
        <v/>
      </c>
      <c r="C309" s="4" t="str">
        <f t="array" ref="C309">IF(B309="","",IF(A309=XLOOKUP(A$2,Implementos!B:B,Implementos!C:C,"",0,1),B309+maxifs(B$1:B308,A$1:A308,A$2),B309))</f>
        <v/>
      </c>
      <c r="D309" s="4" t="str">
        <f>IF(B309="","", COUNTIFS(Productos!F:F,A309,Productos!H:H,B309)+IF(F309="SI",0,1))</f>
        <v/>
      </c>
      <c r="E309" s="4" t="str">
        <f>IFERROR(__xludf.DUMMYFUNCTION("IF($B309="""","""",INDEX(filter(Familias!F:F,Familias!$D:$D=$A309,Familias!$E:$E=$B309),1))"),"")</f>
        <v/>
      </c>
      <c r="F309" s="4" t="str">
        <f>IFERROR(__xludf.DUMMYFUNCTION("IF($B309="""","""",INDEX(filter(Familias!G:G,Familias!$D:$D=$A309,Familias!$E:$E=$B309),1))"),"")</f>
        <v/>
      </c>
      <c r="G309" s="4" t="str">
        <f t="array" ref="G309">IF(C309=1,XLOOKUP(C309,Cotizador!D:D,Cotizador!E:E,"",0,1),"")</f>
        <v/>
      </c>
      <c r="I309" s="4"/>
      <c r="J309" s="8" t="str">
        <f>IF(I309="","",SUMIF(Cotizador!I$1:V$1,I309,Cotizador!I$2:V$2))</f>
        <v/>
      </c>
      <c r="L309" s="4" t="str">
        <f t="array" ref="L309">IF(COUNTIF(L$1:L308,A$2)=SUMIF(A:A,A$2,D:D),IF(COUNTIF(L$1:L308,XLOOKUP(A$2,Implementos!B:B,Implementos!C:C,"",0,1))=SUMIF(A:A,XLOOKUP(A$2,Implementos!B:B,Implementos!C:C,"",0,1),D:D),"",XLOOKUP(A$2,Implementos!B:B,Implementos!C:C,"",0,1)),A$2)</f>
        <v/>
      </c>
      <c r="M309" s="4" t="str">
        <f t="shared" si="2"/>
        <v/>
      </c>
      <c r="N309" s="4" t="str">
        <f t="shared" si="3"/>
        <v/>
      </c>
      <c r="O309" s="4" t="str">
        <f t="shared" si="4"/>
        <v/>
      </c>
      <c r="P309" s="4" t="str">
        <f t="shared" si="5"/>
        <v/>
      </c>
      <c r="Q309" s="4" t="str">
        <f>IF(U309="","",SUMIF(Productos!E:E,U309,Productos!A:A))</f>
        <v/>
      </c>
      <c r="R309" s="4" t="str">
        <f t="array" ref="R309">IF(L309="","", max(1,SUMIF(I:I,XLOOKUP(U309,Productos!E:E,Productos!G:G,"",0,1),J:J)))</f>
        <v/>
      </c>
      <c r="S309" s="4" t="str">
        <f>IF(Q309="","",IF(SUMIFS(Compat_Vetado!D:D,Compat_Vetado!B:B,SUM(G:G),Compat_Vetado!C:C,Q309)=1,"SI",IF(OR(SUMIF(Cotizador!E:E,Q309,Cotizador!G:G)&gt;0,SUMIFS(Compat_Vetado!D:D,Compat_Vetado!B:B,SUM(G:G),Compat_Vetado!C:C,Q309)=-1),"NO","")))</f>
        <v/>
      </c>
      <c r="T309" s="4" t="str">
        <f t="shared" si="6"/>
        <v/>
      </c>
      <c r="U309" s="4" t="str">
        <f>IFERROR(__xludf.DUMMYFUNCTION("IF(P309="""","""",IFERROR(INDEX(filter(Productos!E:E,Productos!F:F=L309,Productos!H:H=N309),P309),IF(M309=SUM(D:D),""Finalizar"",""-"")))"),"")</f>
        <v/>
      </c>
      <c r="V309" s="4" t="str">
        <f>IFERROR(__xludf.DUMMYFUNCTION("IF(OR($U309="""",COUNTIF($I:$I,IFERROR(unique(filter(Prod_Prop!$H:$H,Prod_Prop!$G:$G=$U309,Prod_Prop!$E:$E=V$1)),""Check""))=0),"""",IFERROR(unique(filter(Prod_Prop!$H:$H,Prod_Prop!$G:$G=$U309,Prod_Prop!$E:$E=V$1)),""""))"),"")</f>
        <v/>
      </c>
      <c r="W309" s="4" t="str">
        <f>IF(V309="","",SUMIFS(Prod_Prop!$J:$J,Prod_Prop!$B:$B,$Q309,Prod_Prop!$H:$H,V309,Prod_Prop!$I:$I,W$1)*IF(V309="Peso",$R309,1))</f>
        <v/>
      </c>
      <c r="X309" s="4" t="str">
        <f>IF(V309="","",SUMIFS(Prod_Prop!$J:$J,Prod_Prop!$B:$B,$Q309,Prod_Prop!$H:$H,V309,Prod_Prop!$I:$I,X$1)*IF(V309="Peso",$R309,1))</f>
        <v/>
      </c>
      <c r="Y309" s="4" t="str">
        <f>IFERROR(__xludf.DUMMYFUNCTION("IF(OR($U309="""",COUNTIF($I:$I,IFERROR(unique(filter(Prod_Prop!$H:$H,Prod_Prop!$G:$G=$U309,Prod_Prop!$E:$E=Y$1)),""Check""))=0),"""",IFERROR(unique(filter(Prod_Prop!$H:$H,Prod_Prop!$G:$G=$U309,Prod_Prop!$E:$E=Y$1)),""""))"),"")</f>
        <v/>
      </c>
      <c r="Z309" s="4" t="str">
        <f>IF(Y309="","",SUMIFS(Prod_Prop!$J:$J,Prod_Prop!$B:$B,$Q309,Prod_Prop!$H:$H,Y309,Prod_Prop!$I:$I,Z$1)*IF(Y309="Peso",$R309,1))</f>
        <v/>
      </c>
      <c r="AA309" s="4" t="str">
        <f>IF(Y309="","",SUMIFS(Prod_Prop!$J:$J,Prod_Prop!$B:$B,$Q309,Prod_Prop!$H:$H,Y309,Prod_Prop!$I:$I,AA$1)*IF(Y309="Peso",$R309,1))</f>
        <v/>
      </c>
      <c r="AB309" s="4" t="str">
        <f>IFERROR(__xludf.DUMMYFUNCTION("IF(OR($U309="""",COUNTIF($I:$I,IFERROR(unique(filter(Prod_Prop!$H:$H,Prod_Prop!$G:$G=$U309,Prod_Prop!$E:$E=AB$1)),""Check""))=0),"""",IFERROR(unique(filter(Prod_Prop!$H:$H,Prod_Prop!$G:$G=$U309,Prod_Prop!$E:$E=AB$1)),""""))"),"")</f>
        <v/>
      </c>
      <c r="AC309" s="4" t="str">
        <f>IF(AB309="","",SUMIFS(Prod_Prop!$J:$J,Prod_Prop!$B:$B,$Q309,Prod_Prop!$H:$H,AB309,Prod_Prop!$I:$I,AC$1)*IF(AB309="Peso",$R309,1))</f>
        <v/>
      </c>
      <c r="AD309" s="4" t="str">
        <f>IF(AB309="","",SUMIFS(Prod_Prop!$J:$J,Prod_Prop!$B:$B,$Q309,Prod_Prop!$H:$H,AB309,Prod_Prop!$I:$I,AD$1)*IF(AB309="Peso",$R309,1))</f>
        <v/>
      </c>
    </row>
    <row r="310">
      <c r="A310" s="4" t="str">
        <f t="array" ref="A310">IF(COUNTIF(A$1:A309,Cotizador!F$2)=maxifs(Familias!E:E,Familias!D:D,Cotizador!F$2),IF(COUNTIF(A$1:A309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0" s="4" t="str">
        <f t="shared" si="1"/>
        <v/>
      </c>
      <c r="C310" s="4" t="str">
        <f t="array" ref="C310">IF(B310="","",IF(A310=XLOOKUP(A$2,Implementos!B:B,Implementos!C:C,"",0,1),B310+maxifs(B$1:B309,A$1:A309,A$2),B310))</f>
        <v/>
      </c>
      <c r="D310" s="4" t="str">
        <f>IF(B310="","", COUNTIFS(Productos!F:F,A310,Productos!H:H,B310)+IF(F310="SI",0,1))</f>
        <v/>
      </c>
      <c r="E310" s="4" t="str">
        <f>IFERROR(__xludf.DUMMYFUNCTION("IF($B310="""","""",INDEX(filter(Familias!F:F,Familias!$D:$D=$A310,Familias!$E:$E=$B310),1))"),"")</f>
        <v/>
      </c>
      <c r="F310" s="4" t="str">
        <f>IFERROR(__xludf.DUMMYFUNCTION("IF($B310="""","""",INDEX(filter(Familias!G:G,Familias!$D:$D=$A310,Familias!$E:$E=$B310),1))"),"")</f>
        <v/>
      </c>
      <c r="G310" s="4" t="str">
        <f t="array" ref="G310">IF(C310=1,XLOOKUP(C310,Cotizador!D:D,Cotizador!E:E,"",0,1),"")</f>
        <v/>
      </c>
      <c r="I310" s="4"/>
      <c r="J310" s="8" t="str">
        <f>IF(I310="","",SUMIF(Cotizador!I$1:V$1,I310,Cotizador!I$2:V$2))</f>
        <v/>
      </c>
      <c r="L310" s="4" t="str">
        <f t="array" ref="L310">IF(COUNTIF(L$1:L309,A$2)=SUMIF(A:A,A$2,D:D),IF(COUNTIF(L$1:L309,XLOOKUP(A$2,Implementos!B:B,Implementos!C:C,"",0,1))=SUMIF(A:A,XLOOKUP(A$2,Implementos!B:B,Implementos!C:C,"",0,1),D:D),"",XLOOKUP(A$2,Implementos!B:B,Implementos!C:C,"",0,1)),A$2)</f>
        <v/>
      </c>
      <c r="M310" s="4" t="str">
        <f t="shared" si="2"/>
        <v/>
      </c>
      <c r="N310" s="4" t="str">
        <f t="shared" si="3"/>
        <v/>
      </c>
      <c r="O310" s="4" t="str">
        <f t="shared" si="4"/>
        <v/>
      </c>
      <c r="P310" s="4" t="str">
        <f t="shared" si="5"/>
        <v/>
      </c>
      <c r="Q310" s="4" t="str">
        <f>IF(U310="","",SUMIF(Productos!E:E,U310,Productos!A:A))</f>
        <v/>
      </c>
      <c r="R310" s="4" t="str">
        <f t="array" ref="R310">IF(L310="","", max(1,SUMIF(I:I,XLOOKUP(U310,Productos!E:E,Productos!G:G,"",0,1),J:J)))</f>
        <v/>
      </c>
      <c r="S310" s="4" t="str">
        <f>IF(Q310="","",IF(SUMIFS(Compat_Vetado!D:D,Compat_Vetado!B:B,SUM(G:G),Compat_Vetado!C:C,Q310)=1,"SI",IF(OR(SUMIF(Cotizador!E:E,Q310,Cotizador!G:G)&gt;0,SUMIFS(Compat_Vetado!D:D,Compat_Vetado!B:B,SUM(G:G),Compat_Vetado!C:C,Q310)=-1),"NO","")))</f>
        <v/>
      </c>
      <c r="T310" s="4" t="str">
        <f t="shared" si="6"/>
        <v/>
      </c>
      <c r="U310" s="4" t="str">
        <f>IFERROR(__xludf.DUMMYFUNCTION("IF(P310="""","""",IFERROR(INDEX(filter(Productos!E:E,Productos!F:F=L310,Productos!H:H=N310),P310),IF(M310=SUM(D:D),""Finalizar"",""-"")))"),"")</f>
        <v/>
      </c>
      <c r="V310" s="4" t="str">
        <f>IFERROR(__xludf.DUMMYFUNCTION("IF(OR($U310="""",COUNTIF($I:$I,IFERROR(unique(filter(Prod_Prop!$H:$H,Prod_Prop!$G:$G=$U310,Prod_Prop!$E:$E=V$1)),""Check""))=0),"""",IFERROR(unique(filter(Prod_Prop!$H:$H,Prod_Prop!$G:$G=$U310,Prod_Prop!$E:$E=V$1)),""""))"),"")</f>
        <v/>
      </c>
      <c r="W310" s="4" t="str">
        <f>IF(V310="","",SUMIFS(Prod_Prop!$J:$J,Prod_Prop!$B:$B,$Q310,Prod_Prop!$H:$H,V310,Prod_Prop!$I:$I,W$1)*IF(V310="Peso",$R310,1))</f>
        <v/>
      </c>
      <c r="X310" s="4" t="str">
        <f>IF(V310="","",SUMIFS(Prod_Prop!$J:$J,Prod_Prop!$B:$B,$Q310,Prod_Prop!$H:$H,V310,Prod_Prop!$I:$I,X$1)*IF(V310="Peso",$R310,1))</f>
        <v/>
      </c>
      <c r="Y310" s="4" t="str">
        <f>IFERROR(__xludf.DUMMYFUNCTION("IF(OR($U310="""",COUNTIF($I:$I,IFERROR(unique(filter(Prod_Prop!$H:$H,Prod_Prop!$G:$G=$U310,Prod_Prop!$E:$E=Y$1)),""Check""))=0),"""",IFERROR(unique(filter(Prod_Prop!$H:$H,Prod_Prop!$G:$G=$U310,Prod_Prop!$E:$E=Y$1)),""""))"),"")</f>
        <v/>
      </c>
      <c r="Z310" s="4" t="str">
        <f>IF(Y310="","",SUMIFS(Prod_Prop!$J:$J,Prod_Prop!$B:$B,$Q310,Prod_Prop!$H:$H,Y310,Prod_Prop!$I:$I,Z$1)*IF(Y310="Peso",$R310,1))</f>
        <v/>
      </c>
      <c r="AA310" s="4" t="str">
        <f>IF(Y310="","",SUMIFS(Prod_Prop!$J:$J,Prod_Prop!$B:$B,$Q310,Prod_Prop!$H:$H,Y310,Prod_Prop!$I:$I,AA$1)*IF(Y310="Peso",$R310,1))</f>
        <v/>
      </c>
      <c r="AB310" s="4" t="str">
        <f>IFERROR(__xludf.DUMMYFUNCTION("IF(OR($U310="""",COUNTIF($I:$I,IFERROR(unique(filter(Prod_Prop!$H:$H,Prod_Prop!$G:$G=$U310,Prod_Prop!$E:$E=AB$1)),""Check""))=0),"""",IFERROR(unique(filter(Prod_Prop!$H:$H,Prod_Prop!$G:$G=$U310,Prod_Prop!$E:$E=AB$1)),""""))"),"")</f>
        <v/>
      </c>
      <c r="AC310" s="4" t="str">
        <f>IF(AB310="","",SUMIFS(Prod_Prop!$J:$J,Prod_Prop!$B:$B,$Q310,Prod_Prop!$H:$H,AB310,Prod_Prop!$I:$I,AC$1)*IF(AB310="Peso",$R310,1))</f>
        <v/>
      </c>
      <c r="AD310" s="4" t="str">
        <f>IF(AB310="","",SUMIFS(Prod_Prop!$J:$J,Prod_Prop!$B:$B,$Q310,Prod_Prop!$H:$H,AB310,Prod_Prop!$I:$I,AD$1)*IF(AB310="Peso",$R310,1))</f>
        <v/>
      </c>
    </row>
    <row r="311">
      <c r="A311" s="4" t="str">
        <f t="array" ref="A311">IF(COUNTIF(A$1:A310,Cotizador!F$2)=maxifs(Familias!E:E,Familias!D:D,Cotizador!F$2),IF(COUNTIF(A$1:A310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1" s="4" t="str">
        <f t="shared" si="1"/>
        <v/>
      </c>
      <c r="C311" s="4" t="str">
        <f t="array" ref="C311">IF(B311="","",IF(A311=XLOOKUP(A$2,Implementos!B:B,Implementos!C:C,"",0,1),B311+maxifs(B$1:B310,A$1:A310,A$2),B311))</f>
        <v/>
      </c>
      <c r="D311" s="4" t="str">
        <f>IF(B311="","", COUNTIFS(Productos!F:F,A311,Productos!H:H,B311)+IF(F311="SI",0,1))</f>
        <v/>
      </c>
      <c r="E311" s="4" t="str">
        <f>IFERROR(__xludf.DUMMYFUNCTION("IF($B311="""","""",INDEX(filter(Familias!F:F,Familias!$D:$D=$A311,Familias!$E:$E=$B311),1))"),"")</f>
        <v/>
      </c>
      <c r="F311" s="4" t="str">
        <f>IFERROR(__xludf.DUMMYFUNCTION("IF($B311="""","""",INDEX(filter(Familias!G:G,Familias!$D:$D=$A311,Familias!$E:$E=$B311),1))"),"")</f>
        <v/>
      </c>
      <c r="G311" s="4" t="str">
        <f t="array" ref="G311">IF(C311=1,XLOOKUP(C311,Cotizador!D:D,Cotizador!E:E,"",0,1),"")</f>
        <v/>
      </c>
      <c r="I311" s="4"/>
      <c r="J311" s="8" t="str">
        <f>IF(I311="","",SUMIF(Cotizador!I$1:V$1,I311,Cotizador!I$2:V$2))</f>
        <v/>
      </c>
      <c r="L311" s="4" t="str">
        <f t="array" ref="L311">IF(COUNTIF(L$1:L310,A$2)=SUMIF(A:A,A$2,D:D),IF(COUNTIF(L$1:L310,XLOOKUP(A$2,Implementos!B:B,Implementos!C:C,"",0,1))=SUMIF(A:A,XLOOKUP(A$2,Implementos!B:B,Implementos!C:C,"",0,1),D:D),"",XLOOKUP(A$2,Implementos!B:B,Implementos!C:C,"",0,1)),A$2)</f>
        <v/>
      </c>
      <c r="M311" s="4" t="str">
        <f t="shared" si="2"/>
        <v/>
      </c>
      <c r="N311" s="4" t="str">
        <f t="shared" si="3"/>
        <v/>
      </c>
      <c r="O311" s="4" t="str">
        <f t="shared" si="4"/>
        <v/>
      </c>
      <c r="P311" s="4" t="str">
        <f t="shared" si="5"/>
        <v/>
      </c>
      <c r="Q311" s="4" t="str">
        <f>IF(U311="","",SUMIF(Productos!E:E,U311,Productos!A:A))</f>
        <v/>
      </c>
      <c r="R311" s="4" t="str">
        <f t="array" ref="R311">IF(L311="","", max(1,SUMIF(I:I,XLOOKUP(U311,Productos!E:E,Productos!G:G,"",0,1),J:J)))</f>
        <v/>
      </c>
      <c r="S311" s="4" t="str">
        <f>IF(Q311="","",IF(SUMIFS(Compat_Vetado!D:D,Compat_Vetado!B:B,SUM(G:G),Compat_Vetado!C:C,Q311)=1,"SI",IF(OR(SUMIF(Cotizador!E:E,Q311,Cotizador!G:G)&gt;0,SUMIFS(Compat_Vetado!D:D,Compat_Vetado!B:B,SUM(G:G),Compat_Vetado!C:C,Q311)=-1),"NO","")))</f>
        <v/>
      </c>
      <c r="T311" s="4" t="str">
        <f t="shared" si="6"/>
        <v/>
      </c>
      <c r="U311" s="4" t="str">
        <f>IFERROR(__xludf.DUMMYFUNCTION("IF(P311="""","""",IFERROR(INDEX(filter(Productos!E:E,Productos!F:F=L311,Productos!H:H=N311),P311),IF(M311=SUM(D:D),""Finalizar"",""-"")))"),"")</f>
        <v/>
      </c>
      <c r="V311" s="4" t="str">
        <f>IFERROR(__xludf.DUMMYFUNCTION("IF(OR($U311="""",COUNTIF($I:$I,IFERROR(unique(filter(Prod_Prop!$H:$H,Prod_Prop!$G:$G=$U311,Prod_Prop!$E:$E=V$1)),""Check""))=0),"""",IFERROR(unique(filter(Prod_Prop!$H:$H,Prod_Prop!$G:$G=$U311,Prod_Prop!$E:$E=V$1)),""""))"),"")</f>
        <v/>
      </c>
      <c r="W311" s="4" t="str">
        <f>IF(V311="","",SUMIFS(Prod_Prop!$J:$J,Prod_Prop!$B:$B,$Q311,Prod_Prop!$H:$H,V311,Prod_Prop!$I:$I,W$1)*IF(V311="Peso",$R311,1))</f>
        <v/>
      </c>
      <c r="X311" s="4" t="str">
        <f>IF(V311="","",SUMIFS(Prod_Prop!$J:$J,Prod_Prop!$B:$B,$Q311,Prod_Prop!$H:$H,V311,Prod_Prop!$I:$I,X$1)*IF(V311="Peso",$R311,1))</f>
        <v/>
      </c>
      <c r="Y311" s="4" t="str">
        <f>IFERROR(__xludf.DUMMYFUNCTION("IF(OR($U311="""",COUNTIF($I:$I,IFERROR(unique(filter(Prod_Prop!$H:$H,Prod_Prop!$G:$G=$U311,Prod_Prop!$E:$E=Y$1)),""Check""))=0),"""",IFERROR(unique(filter(Prod_Prop!$H:$H,Prod_Prop!$G:$G=$U311,Prod_Prop!$E:$E=Y$1)),""""))"),"")</f>
        <v/>
      </c>
      <c r="Z311" s="4" t="str">
        <f>IF(Y311="","",SUMIFS(Prod_Prop!$J:$J,Prod_Prop!$B:$B,$Q311,Prod_Prop!$H:$H,Y311,Prod_Prop!$I:$I,Z$1)*IF(Y311="Peso",$R311,1))</f>
        <v/>
      </c>
      <c r="AA311" s="4" t="str">
        <f>IF(Y311="","",SUMIFS(Prod_Prop!$J:$J,Prod_Prop!$B:$B,$Q311,Prod_Prop!$H:$H,Y311,Prod_Prop!$I:$I,AA$1)*IF(Y311="Peso",$R311,1))</f>
        <v/>
      </c>
      <c r="AB311" s="4" t="str">
        <f>IFERROR(__xludf.DUMMYFUNCTION("IF(OR($U311="""",COUNTIF($I:$I,IFERROR(unique(filter(Prod_Prop!$H:$H,Prod_Prop!$G:$G=$U311,Prod_Prop!$E:$E=AB$1)),""Check""))=0),"""",IFERROR(unique(filter(Prod_Prop!$H:$H,Prod_Prop!$G:$G=$U311,Prod_Prop!$E:$E=AB$1)),""""))"),"")</f>
        <v/>
      </c>
      <c r="AC311" s="4" t="str">
        <f>IF(AB311="","",SUMIFS(Prod_Prop!$J:$J,Prod_Prop!$B:$B,$Q311,Prod_Prop!$H:$H,AB311,Prod_Prop!$I:$I,AC$1)*IF(AB311="Peso",$R311,1))</f>
        <v/>
      </c>
      <c r="AD311" s="4" t="str">
        <f>IF(AB311="","",SUMIFS(Prod_Prop!$J:$J,Prod_Prop!$B:$B,$Q311,Prod_Prop!$H:$H,AB311,Prod_Prop!$I:$I,AD$1)*IF(AB311="Peso",$R311,1))</f>
        <v/>
      </c>
    </row>
    <row r="312">
      <c r="A312" s="4" t="str">
        <f t="array" ref="A312">IF(COUNTIF(A$1:A311,Cotizador!F$2)=maxifs(Familias!E:E,Familias!D:D,Cotizador!F$2),IF(COUNTIF(A$1:A311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2" s="4" t="str">
        <f t="shared" si="1"/>
        <v/>
      </c>
      <c r="C312" s="4" t="str">
        <f t="array" ref="C312">IF(B312="","",IF(A312=XLOOKUP(A$2,Implementos!B:B,Implementos!C:C,"",0,1),B312+maxifs(B$1:B311,A$1:A311,A$2),B312))</f>
        <v/>
      </c>
      <c r="D312" s="4" t="str">
        <f>IF(B312="","", COUNTIFS(Productos!F:F,A312,Productos!H:H,B312)+IF(F312="SI",0,1))</f>
        <v/>
      </c>
      <c r="E312" s="4" t="str">
        <f>IFERROR(__xludf.DUMMYFUNCTION("IF($B312="""","""",INDEX(filter(Familias!F:F,Familias!$D:$D=$A312,Familias!$E:$E=$B312),1))"),"")</f>
        <v/>
      </c>
      <c r="F312" s="4" t="str">
        <f>IFERROR(__xludf.DUMMYFUNCTION("IF($B312="""","""",INDEX(filter(Familias!G:G,Familias!$D:$D=$A312,Familias!$E:$E=$B312),1))"),"")</f>
        <v/>
      </c>
      <c r="G312" s="4" t="str">
        <f t="array" ref="G312">IF(C312=1,XLOOKUP(C312,Cotizador!D:D,Cotizador!E:E,"",0,1),"")</f>
        <v/>
      </c>
      <c r="I312" s="4"/>
      <c r="J312" s="8" t="str">
        <f>IF(I312="","",SUMIF(Cotizador!I$1:V$1,I312,Cotizador!I$2:V$2))</f>
        <v/>
      </c>
      <c r="L312" s="4" t="str">
        <f t="array" ref="L312">IF(COUNTIF(L$1:L311,A$2)=SUMIF(A:A,A$2,D:D),IF(COUNTIF(L$1:L311,XLOOKUP(A$2,Implementos!B:B,Implementos!C:C,"",0,1))=SUMIF(A:A,XLOOKUP(A$2,Implementos!B:B,Implementos!C:C,"",0,1),D:D),"",XLOOKUP(A$2,Implementos!B:B,Implementos!C:C,"",0,1)),A$2)</f>
        <v/>
      </c>
      <c r="M312" s="4" t="str">
        <f t="shared" si="2"/>
        <v/>
      </c>
      <c r="N312" s="4" t="str">
        <f t="shared" si="3"/>
        <v/>
      </c>
      <c r="O312" s="4" t="str">
        <f t="shared" si="4"/>
        <v/>
      </c>
      <c r="P312" s="4" t="str">
        <f t="shared" si="5"/>
        <v/>
      </c>
      <c r="Q312" s="4" t="str">
        <f>IF(U312="","",SUMIF(Productos!E:E,U312,Productos!A:A))</f>
        <v/>
      </c>
      <c r="R312" s="4" t="str">
        <f t="array" ref="R312">IF(L312="","", max(1,SUMIF(I:I,XLOOKUP(U312,Productos!E:E,Productos!G:G,"",0,1),J:J)))</f>
        <v/>
      </c>
      <c r="S312" s="4" t="str">
        <f>IF(Q312="","",IF(SUMIFS(Compat_Vetado!D:D,Compat_Vetado!B:B,SUM(G:G),Compat_Vetado!C:C,Q312)=1,"SI",IF(OR(SUMIF(Cotizador!E:E,Q312,Cotizador!G:G)&gt;0,SUMIFS(Compat_Vetado!D:D,Compat_Vetado!B:B,SUM(G:G),Compat_Vetado!C:C,Q312)=-1),"NO","")))</f>
        <v/>
      </c>
      <c r="T312" s="4" t="str">
        <f t="shared" si="6"/>
        <v/>
      </c>
      <c r="U312" s="4" t="str">
        <f>IFERROR(__xludf.DUMMYFUNCTION("IF(P312="""","""",IFERROR(INDEX(filter(Productos!E:E,Productos!F:F=L312,Productos!H:H=N312),P312),IF(M312=SUM(D:D),""Finalizar"",""-"")))"),"")</f>
        <v/>
      </c>
      <c r="V312" s="4" t="str">
        <f>IFERROR(__xludf.DUMMYFUNCTION("IF(OR($U312="""",COUNTIF($I:$I,IFERROR(unique(filter(Prod_Prop!$H:$H,Prod_Prop!$G:$G=$U312,Prod_Prop!$E:$E=V$1)),""Check""))=0),"""",IFERROR(unique(filter(Prod_Prop!$H:$H,Prod_Prop!$G:$G=$U312,Prod_Prop!$E:$E=V$1)),""""))"),"")</f>
        <v/>
      </c>
      <c r="W312" s="4" t="str">
        <f>IF(V312="","",SUMIFS(Prod_Prop!$J:$J,Prod_Prop!$B:$B,$Q312,Prod_Prop!$H:$H,V312,Prod_Prop!$I:$I,W$1)*IF(V312="Peso",$R312,1))</f>
        <v/>
      </c>
      <c r="X312" s="4" t="str">
        <f>IF(V312="","",SUMIFS(Prod_Prop!$J:$J,Prod_Prop!$B:$B,$Q312,Prod_Prop!$H:$H,V312,Prod_Prop!$I:$I,X$1)*IF(V312="Peso",$R312,1))</f>
        <v/>
      </c>
      <c r="Y312" s="4" t="str">
        <f>IFERROR(__xludf.DUMMYFUNCTION("IF(OR($U312="""",COUNTIF($I:$I,IFERROR(unique(filter(Prod_Prop!$H:$H,Prod_Prop!$G:$G=$U312,Prod_Prop!$E:$E=Y$1)),""Check""))=0),"""",IFERROR(unique(filter(Prod_Prop!$H:$H,Prod_Prop!$G:$G=$U312,Prod_Prop!$E:$E=Y$1)),""""))"),"")</f>
        <v/>
      </c>
      <c r="Z312" s="4" t="str">
        <f>IF(Y312="","",SUMIFS(Prod_Prop!$J:$J,Prod_Prop!$B:$B,$Q312,Prod_Prop!$H:$H,Y312,Prod_Prop!$I:$I,Z$1)*IF(Y312="Peso",$R312,1))</f>
        <v/>
      </c>
      <c r="AA312" s="4" t="str">
        <f>IF(Y312="","",SUMIFS(Prod_Prop!$J:$J,Prod_Prop!$B:$B,$Q312,Prod_Prop!$H:$H,Y312,Prod_Prop!$I:$I,AA$1)*IF(Y312="Peso",$R312,1))</f>
        <v/>
      </c>
      <c r="AB312" s="4" t="str">
        <f>IFERROR(__xludf.DUMMYFUNCTION("IF(OR($U312="""",COUNTIF($I:$I,IFERROR(unique(filter(Prod_Prop!$H:$H,Prod_Prop!$G:$G=$U312,Prod_Prop!$E:$E=AB$1)),""Check""))=0),"""",IFERROR(unique(filter(Prod_Prop!$H:$H,Prod_Prop!$G:$G=$U312,Prod_Prop!$E:$E=AB$1)),""""))"),"")</f>
        <v/>
      </c>
      <c r="AC312" s="4" t="str">
        <f>IF(AB312="","",SUMIFS(Prod_Prop!$J:$J,Prod_Prop!$B:$B,$Q312,Prod_Prop!$H:$H,AB312,Prod_Prop!$I:$I,AC$1)*IF(AB312="Peso",$R312,1))</f>
        <v/>
      </c>
      <c r="AD312" s="4" t="str">
        <f>IF(AB312="","",SUMIFS(Prod_Prop!$J:$J,Prod_Prop!$B:$B,$Q312,Prod_Prop!$H:$H,AB312,Prod_Prop!$I:$I,AD$1)*IF(AB312="Peso",$R312,1))</f>
        <v/>
      </c>
    </row>
    <row r="313">
      <c r="A313" s="4" t="str">
        <f t="array" ref="A313">IF(COUNTIF(A$1:A312,Cotizador!F$2)=maxifs(Familias!E:E,Familias!D:D,Cotizador!F$2),IF(COUNTIF(A$1:A312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3" s="4" t="str">
        <f t="shared" si="1"/>
        <v/>
      </c>
      <c r="C313" s="4" t="str">
        <f t="array" ref="C313">IF(B313="","",IF(A313=XLOOKUP(A$2,Implementos!B:B,Implementos!C:C,"",0,1),B313+maxifs(B$1:B312,A$1:A312,A$2),B313))</f>
        <v/>
      </c>
      <c r="D313" s="4" t="str">
        <f>IF(B313="","", COUNTIFS(Productos!F:F,A313,Productos!H:H,B313)+IF(F313="SI",0,1))</f>
        <v/>
      </c>
      <c r="E313" s="4" t="str">
        <f>IFERROR(__xludf.DUMMYFUNCTION("IF($B313="""","""",INDEX(filter(Familias!F:F,Familias!$D:$D=$A313,Familias!$E:$E=$B313),1))"),"")</f>
        <v/>
      </c>
      <c r="F313" s="4" t="str">
        <f>IFERROR(__xludf.DUMMYFUNCTION("IF($B313="""","""",INDEX(filter(Familias!G:G,Familias!$D:$D=$A313,Familias!$E:$E=$B313),1))"),"")</f>
        <v/>
      </c>
      <c r="G313" s="4" t="str">
        <f t="array" ref="G313">IF(C313=1,XLOOKUP(C313,Cotizador!D:D,Cotizador!E:E,"",0,1),"")</f>
        <v/>
      </c>
      <c r="I313" s="4"/>
      <c r="J313" s="8" t="str">
        <f>IF(I313="","",SUMIF(Cotizador!I$1:V$1,I313,Cotizador!I$2:V$2))</f>
        <v/>
      </c>
      <c r="L313" s="4" t="str">
        <f t="array" ref="L313">IF(COUNTIF(L$1:L312,A$2)=SUMIF(A:A,A$2,D:D),IF(COUNTIF(L$1:L312,XLOOKUP(A$2,Implementos!B:B,Implementos!C:C,"",0,1))=SUMIF(A:A,XLOOKUP(A$2,Implementos!B:B,Implementos!C:C,"",0,1),D:D),"",XLOOKUP(A$2,Implementos!B:B,Implementos!C:C,"",0,1)),A$2)</f>
        <v/>
      </c>
      <c r="M313" s="4" t="str">
        <f t="shared" si="2"/>
        <v/>
      </c>
      <c r="N313" s="4" t="str">
        <f t="shared" si="3"/>
        <v/>
      </c>
      <c r="O313" s="4" t="str">
        <f t="shared" si="4"/>
        <v/>
      </c>
      <c r="P313" s="4" t="str">
        <f t="shared" si="5"/>
        <v/>
      </c>
      <c r="Q313" s="4" t="str">
        <f>IF(U313="","",SUMIF(Productos!E:E,U313,Productos!A:A))</f>
        <v/>
      </c>
      <c r="R313" s="4" t="str">
        <f t="array" ref="R313">IF(L313="","", max(1,SUMIF(I:I,XLOOKUP(U313,Productos!E:E,Productos!G:G,"",0,1),J:J)))</f>
        <v/>
      </c>
      <c r="S313" s="4" t="str">
        <f>IF(Q313="","",IF(SUMIFS(Compat_Vetado!D:D,Compat_Vetado!B:B,SUM(G:G),Compat_Vetado!C:C,Q313)=1,"SI",IF(OR(SUMIF(Cotizador!E:E,Q313,Cotizador!G:G)&gt;0,SUMIFS(Compat_Vetado!D:D,Compat_Vetado!B:B,SUM(G:G),Compat_Vetado!C:C,Q313)=-1),"NO","")))</f>
        <v/>
      </c>
      <c r="T313" s="4" t="str">
        <f t="shared" si="6"/>
        <v/>
      </c>
      <c r="U313" s="4" t="str">
        <f>IFERROR(__xludf.DUMMYFUNCTION("IF(P313="""","""",IFERROR(INDEX(filter(Productos!E:E,Productos!F:F=L313,Productos!H:H=N313),P313),IF(M313=SUM(D:D),""Finalizar"",""-"")))"),"")</f>
        <v/>
      </c>
      <c r="V313" s="4" t="str">
        <f>IFERROR(__xludf.DUMMYFUNCTION("IF(OR($U313="""",COUNTIF($I:$I,IFERROR(unique(filter(Prod_Prop!$H:$H,Prod_Prop!$G:$G=$U313,Prod_Prop!$E:$E=V$1)),""Check""))=0),"""",IFERROR(unique(filter(Prod_Prop!$H:$H,Prod_Prop!$G:$G=$U313,Prod_Prop!$E:$E=V$1)),""""))"),"")</f>
        <v/>
      </c>
      <c r="W313" s="4" t="str">
        <f>IF(V313="","",SUMIFS(Prod_Prop!$J:$J,Prod_Prop!$B:$B,$Q313,Prod_Prop!$H:$H,V313,Prod_Prop!$I:$I,W$1)*IF(V313="Peso",$R313,1))</f>
        <v/>
      </c>
      <c r="X313" s="4" t="str">
        <f>IF(V313="","",SUMIFS(Prod_Prop!$J:$J,Prod_Prop!$B:$B,$Q313,Prod_Prop!$H:$H,V313,Prod_Prop!$I:$I,X$1)*IF(V313="Peso",$R313,1))</f>
        <v/>
      </c>
      <c r="Y313" s="4" t="str">
        <f>IFERROR(__xludf.DUMMYFUNCTION("IF(OR($U313="""",COUNTIF($I:$I,IFERROR(unique(filter(Prod_Prop!$H:$H,Prod_Prop!$G:$G=$U313,Prod_Prop!$E:$E=Y$1)),""Check""))=0),"""",IFERROR(unique(filter(Prod_Prop!$H:$H,Prod_Prop!$G:$G=$U313,Prod_Prop!$E:$E=Y$1)),""""))"),"")</f>
        <v/>
      </c>
      <c r="Z313" s="4" t="str">
        <f>IF(Y313="","",SUMIFS(Prod_Prop!$J:$J,Prod_Prop!$B:$B,$Q313,Prod_Prop!$H:$H,Y313,Prod_Prop!$I:$I,Z$1)*IF(Y313="Peso",$R313,1))</f>
        <v/>
      </c>
      <c r="AA313" s="4" t="str">
        <f>IF(Y313="","",SUMIFS(Prod_Prop!$J:$J,Prod_Prop!$B:$B,$Q313,Prod_Prop!$H:$H,Y313,Prod_Prop!$I:$I,AA$1)*IF(Y313="Peso",$R313,1))</f>
        <v/>
      </c>
      <c r="AB313" s="4" t="str">
        <f>IFERROR(__xludf.DUMMYFUNCTION("IF(OR($U313="""",COUNTIF($I:$I,IFERROR(unique(filter(Prod_Prop!$H:$H,Prod_Prop!$G:$G=$U313,Prod_Prop!$E:$E=AB$1)),""Check""))=0),"""",IFERROR(unique(filter(Prod_Prop!$H:$H,Prod_Prop!$G:$G=$U313,Prod_Prop!$E:$E=AB$1)),""""))"),"")</f>
        <v/>
      </c>
      <c r="AC313" s="4" t="str">
        <f>IF(AB313="","",SUMIFS(Prod_Prop!$J:$J,Prod_Prop!$B:$B,$Q313,Prod_Prop!$H:$H,AB313,Prod_Prop!$I:$I,AC$1)*IF(AB313="Peso",$R313,1))</f>
        <v/>
      </c>
      <c r="AD313" s="4" t="str">
        <f>IF(AB313="","",SUMIFS(Prod_Prop!$J:$J,Prod_Prop!$B:$B,$Q313,Prod_Prop!$H:$H,AB313,Prod_Prop!$I:$I,AD$1)*IF(AB313="Peso",$R313,1))</f>
        <v/>
      </c>
    </row>
    <row r="314">
      <c r="A314" s="4" t="str">
        <f t="array" ref="A314">IF(COUNTIF(A$1:A313,Cotizador!F$2)=maxifs(Familias!E:E,Familias!D:D,Cotizador!F$2),IF(COUNTIF(A$1:A313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4" s="4" t="str">
        <f t="shared" si="1"/>
        <v/>
      </c>
      <c r="C314" s="4" t="str">
        <f t="array" ref="C314">IF(B314="","",IF(A314=XLOOKUP(A$2,Implementos!B:B,Implementos!C:C,"",0,1),B314+maxifs(B$1:B313,A$1:A313,A$2),B314))</f>
        <v/>
      </c>
      <c r="D314" s="4" t="str">
        <f>IF(B314="","", COUNTIFS(Productos!F:F,A314,Productos!H:H,B314)+IF(F314="SI",0,1))</f>
        <v/>
      </c>
      <c r="E314" s="4" t="str">
        <f>IFERROR(__xludf.DUMMYFUNCTION("IF($B314="""","""",INDEX(filter(Familias!F:F,Familias!$D:$D=$A314,Familias!$E:$E=$B314),1))"),"")</f>
        <v/>
      </c>
      <c r="F314" s="4" t="str">
        <f>IFERROR(__xludf.DUMMYFUNCTION("IF($B314="""","""",INDEX(filter(Familias!G:G,Familias!$D:$D=$A314,Familias!$E:$E=$B314),1))"),"")</f>
        <v/>
      </c>
      <c r="G314" s="4" t="str">
        <f t="array" ref="G314">IF(C314=1,XLOOKUP(C314,Cotizador!D:D,Cotizador!E:E,"",0,1),"")</f>
        <v/>
      </c>
      <c r="I314" s="4"/>
      <c r="J314" s="8" t="str">
        <f>IF(I314="","",SUMIF(Cotizador!I$1:V$1,I314,Cotizador!I$2:V$2))</f>
        <v/>
      </c>
      <c r="L314" s="4" t="str">
        <f t="array" ref="L314">IF(COUNTIF(L$1:L313,A$2)=SUMIF(A:A,A$2,D:D),IF(COUNTIF(L$1:L313,XLOOKUP(A$2,Implementos!B:B,Implementos!C:C,"",0,1))=SUMIF(A:A,XLOOKUP(A$2,Implementos!B:B,Implementos!C:C,"",0,1),D:D),"",XLOOKUP(A$2,Implementos!B:B,Implementos!C:C,"",0,1)),A$2)</f>
        <v/>
      </c>
      <c r="M314" s="4" t="str">
        <f t="shared" si="2"/>
        <v/>
      </c>
      <c r="N314" s="4" t="str">
        <f t="shared" si="3"/>
        <v/>
      </c>
      <c r="O314" s="4" t="str">
        <f t="shared" si="4"/>
        <v/>
      </c>
      <c r="P314" s="4" t="str">
        <f t="shared" si="5"/>
        <v/>
      </c>
      <c r="Q314" s="4" t="str">
        <f>IF(U314="","",SUMIF(Productos!E:E,U314,Productos!A:A))</f>
        <v/>
      </c>
      <c r="R314" s="4" t="str">
        <f t="array" ref="R314">IF(L314="","", max(1,SUMIF(I:I,XLOOKUP(U314,Productos!E:E,Productos!G:G,"",0,1),J:J)))</f>
        <v/>
      </c>
      <c r="S314" s="4" t="str">
        <f>IF(Q314="","",IF(SUMIFS(Compat_Vetado!D:D,Compat_Vetado!B:B,SUM(G:G),Compat_Vetado!C:C,Q314)=1,"SI",IF(OR(SUMIF(Cotizador!E:E,Q314,Cotizador!G:G)&gt;0,SUMIFS(Compat_Vetado!D:D,Compat_Vetado!B:B,SUM(G:G),Compat_Vetado!C:C,Q314)=-1),"NO","")))</f>
        <v/>
      </c>
      <c r="T314" s="4" t="str">
        <f t="shared" si="6"/>
        <v/>
      </c>
      <c r="U314" s="4" t="str">
        <f>IFERROR(__xludf.DUMMYFUNCTION("IF(P314="""","""",IFERROR(INDEX(filter(Productos!E:E,Productos!F:F=L314,Productos!H:H=N314),P314),IF(M314=SUM(D:D),""Finalizar"",""-"")))"),"")</f>
        <v/>
      </c>
      <c r="V314" s="4" t="str">
        <f>IFERROR(__xludf.DUMMYFUNCTION("IF(OR($U314="""",COUNTIF($I:$I,IFERROR(unique(filter(Prod_Prop!$H:$H,Prod_Prop!$G:$G=$U314,Prod_Prop!$E:$E=V$1)),""Check""))=0),"""",IFERROR(unique(filter(Prod_Prop!$H:$H,Prod_Prop!$G:$G=$U314,Prod_Prop!$E:$E=V$1)),""""))"),"")</f>
        <v/>
      </c>
      <c r="W314" s="4" t="str">
        <f>IF(V314="","",SUMIFS(Prod_Prop!$J:$J,Prod_Prop!$B:$B,$Q314,Prod_Prop!$H:$H,V314,Prod_Prop!$I:$I,W$1)*IF(V314="Peso",$R314,1))</f>
        <v/>
      </c>
      <c r="X314" s="4" t="str">
        <f>IF(V314="","",SUMIFS(Prod_Prop!$J:$J,Prod_Prop!$B:$B,$Q314,Prod_Prop!$H:$H,V314,Prod_Prop!$I:$I,X$1)*IF(V314="Peso",$R314,1))</f>
        <v/>
      </c>
      <c r="Y314" s="4" t="str">
        <f>IFERROR(__xludf.DUMMYFUNCTION("IF(OR($U314="""",COUNTIF($I:$I,IFERROR(unique(filter(Prod_Prop!$H:$H,Prod_Prop!$G:$G=$U314,Prod_Prop!$E:$E=Y$1)),""Check""))=0),"""",IFERROR(unique(filter(Prod_Prop!$H:$H,Prod_Prop!$G:$G=$U314,Prod_Prop!$E:$E=Y$1)),""""))"),"")</f>
        <v/>
      </c>
      <c r="Z314" s="4" t="str">
        <f>IF(Y314="","",SUMIFS(Prod_Prop!$J:$J,Prod_Prop!$B:$B,$Q314,Prod_Prop!$H:$H,Y314,Prod_Prop!$I:$I,Z$1)*IF(Y314="Peso",$R314,1))</f>
        <v/>
      </c>
      <c r="AA314" s="4" t="str">
        <f>IF(Y314="","",SUMIFS(Prod_Prop!$J:$J,Prod_Prop!$B:$B,$Q314,Prod_Prop!$H:$H,Y314,Prod_Prop!$I:$I,AA$1)*IF(Y314="Peso",$R314,1))</f>
        <v/>
      </c>
      <c r="AB314" s="4" t="str">
        <f>IFERROR(__xludf.DUMMYFUNCTION("IF(OR($U314="""",COUNTIF($I:$I,IFERROR(unique(filter(Prod_Prop!$H:$H,Prod_Prop!$G:$G=$U314,Prod_Prop!$E:$E=AB$1)),""Check""))=0),"""",IFERROR(unique(filter(Prod_Prop!$H:$H,Prod_Prop!$G:$G=$U314,Prod_Prop!$E:$E=AB$1)),""""))"),"")</f>
        <v/>
      </c>
      <c r="AC314" s="4" t="str">
        <f>IF(AB314="","",SUMIFS(Prod_Prop!$J:$J,Prod_Prop!$B:$B,$Q314,Prod_Prop!$H:$H,AB314,Prod_Prop!$I:$I,AC$1)*IF(AB314="Peso",$R314,1))</f>
        <v/>
      </c>
      <c r="AD314" s="4" t="str">
        <f>IF(AB314="","",SUMIFS(Prod_Prop!$J:$J,Prod_Prop!$B:$B,$Q314,Prod_Prop!$H:$H,AB314,Prod_Prop!$I:$I,AD$1)*IF(AB314="Peso",$R314,1))</f>
        <v/>
      </c>
    </row>
    <row r="315">
      <c r="A315" s="4" t="str">
        <f t="array" ref="A315">IF(COUNTIF(A$1:A314,Cotizador!F$2)=maxifs(Familias!E:E,Familias!D:D,Cotizador!F$2),IF(COUNTIF(A$1:A314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5" s="4" t="str">
        <f t="shared" si="1"/>
        <v/>
      </c>
      <c r="C315" s="4" t="str">
        <f t="array" ref="C315">IF(B315="","",IF(A315=XLOOKUP(A$2,Implementos!B:B,Implementos!C:C,"",0,1),B315+maxifs(B$1:B314,A$1:A314,A$2),B315))</f>
        <v/>
      </c>
      <c r="D315" s="4" t="str">
        <f>IF(B315="","", COUNTIFS(Productos!F:F,A315,Productos!H:H,B315)+IF(F315="SI",0,1))</f>
        <v/>
      </c>
      <c r="E315" s="4" t="str">
        <f>IFERROR(__xludf.DUMMYFUNCTION("IF($B315="""","""",INDEX(filter(Familias!F:F,Familias!$D:$D=$A315,Familias!$E:$E=$B315),1))"),"")</f>
        <v/>
      </c>
      <c r="F315" s="4" t="str">
        <f>IFERROR(__xludf.DUMMYFUNCTION("IF($B315="""","""",INDEX(filter(Familias!G:G,Familias!$D:$D=$A315,Familias!$E:$E=$B315),1))"),"")</f>
        <v/>
      </c>
      <c r="G315" s="4" t="str">
        <f t="array" ref="G315">IF(C315=1,XLOOKUP(C315,Cotizador!D:D,Cotizador!E:E,"",0,1),"")</f>
        <v/>
      </c>
      <c r="I315" s="4"/>
      <c r="J315" s="8" t="str">
        <f>IF(I315="","",SUMIF(Cotizador!I$1:V$1,I315,Cotizador!I$2:V$2))</f>
        <v/>
      </c>
      <c r="L315" s="4" t="str">
        <f t="array" ref="L315">IF(COUNTIF(L$1:L314,A$2)=SUMIF(A:A,A$2,D:D),IF(COUNTIF(L$1:L314,XLOOKUP(A$2,Implementos!B:B,Implementos!C:C,"",0,1))=SUMIF(A:A,XLOOKUP(A$2,Implementos!B:B,Implementos!C:C,"",0,1),D:D),"",XLOOKUP(A$2,Implementos!B:B,Implementos!C:C,"",0,1)),A$2)</f>
        <v/>
      </c>
      <c r="M315" s="4" t="str">
        <f t="shared" si="2"/>
        <v/>
      </c>
      <c r="N315" s="4" t="str">
        <f t="shared" si="3"/>
        <v/>
      </c>
      <c r="O315" s="4" t="str">
        <f t="shared" si="4"/>
        <v/>
      </c>
      <c r="P315" s="4" t="str">
        <f t="shared" si="5"/>
        <v/>
      </c>
      <c r="Q315" s="4" t="str">
        <f>IF(U315="","",SUMIF(Productos!E:E,U315,Productos!A:A))</f>
        <v/>
      </c>
      <c r="R315" s="4" t="str">
        <f t="array" ref="R315">IF(L315="","", max(1,SUMIF(I:I,XLOOKUP(U315,Productos!E:E,Productos!G:G,"",0,1),J:J)))</f>
        <v/>
      </c>
      <c r="S315" s="4" t="str">
        <f>IF(Q315="","",IF(SUMIFS(Compat_Vetado!D:D,Compat_Vetado!B:B,SUM(G:G),Compat_Vetado!C:C,Q315)=1,"SI",IF(OR(SUMIF(Cotizador!E:E,Q315,Cotizador!G:G)&gt;0,SUMIFS(Compat_Vetado!D:D,Compat_Vetado!B:B,SUM(G:G),Compat_Vetado!C:C,Q315)=-1),"NO","")))</f>
        <v/>
      </c>
      <c r="T315" s="4" t="str">
        <f t="shared" si="6"/>
        <v/>
      </c>
      <c r="U315" s="4" t="str">
        <f>IFERROR(__xludf.DUMMYFUNCTION("IF(P315="""","""",IFERROR(INDEX(filter(Productos!E:E,Productos!F:F=L315,Productos!H:H=N315),P315),IF(M315=SUM(D:D),""Finalizar"",""-"")))"),"")</f>
        <v/>
      </c>
      <c r="V315" s="4" t="str">
        <f>IFERROR(__xludf.DUMMYFUNCTION("IF(OR($U315="""",COUNTIF($I:$I,IFERROR(unique(filter(Prod_Prop!$H:$H,Prod_Prop!$G:$G=$U315,Prod_Prop!$E:$E=V$1)),""Check""))=0),"""",IFERROR(unique(filter(Prod_Prop!$H:$H,Prod_Prop!$G:$G=$U315,Prod_Prop!$E:$E=V$1)),""""))"),"")</f>
        <v/>
      </c>
      <c r="W315" s="4" t="str">
        <f>IF(V315="","",SUMIFS(Prod_Prop!$J:$J,Prod_Prop!$B:$B,$Q315,Prod_Prop!$H:$H,V315,Prod_Prop!$I:$I,W$1)*IF(V315="Peso",$R315,1))</f>
        <v/>
      </c>
      <c r="X315" s="4" t="str">
        <f>IF(V315="","",SUMIFS(Prod_Prop!$J:$J,Prod_Prop!$B:$B,$Q315,Prod_Prop!$H:$H,V315,Prod_Prop!$I:$I,X$1)*IF(V315="Peso",$R315,1))</f>
        <v/>
      </c>
      <c r="Y315" s="4" t="str">
        <f>IFERROR(__xludf.DUMMYFUNCTION("IF(OR($U315="""",COUNTIF($I:$I,IFERROR(unique(filter(Prod_Prop!$H:$H,Prod_Prop!$G:$G=$U315,Prod_Prop!$E:$E=Y$1)),""Check""))=0),"""",IFERROR(unique(filter(Prod_Prop!$H:$H,Prod_Prop!$G:$G=$U315,Prod_Prop!$E:$E=Y$1)),""""))"),"")</f>
        <v/>
      </c>
      <c r="Z315" s="4" t="str">
        <f>IF(Y315="","",SUMIFS(Prod_Prop!$J:$J,Prod_Prop!$B:$B,$Q315,Prod_Prop!$H:$H,Y315,Prod_Prop!$I:$I,Z$1)*IF(Y315="Peso",$R315,1))</f>
        <v/>
      </c>
      <c r="AA315" s="4" t="str">
        <f>IF(Y315="","",SUMIFS(Prod_Prop!$J:$J,Prod_Prop!$B:$B,$Q315,Prod_Prop!$H:$H,Y315,Prod_Prop!$I:$I,AA$1)*IF(Y315="Peso",$R315,1))</f>
        <v/>
      </c>
      <c r="AB315" s="4" t="str">
        <f>IFERROR(__xludf.DUMMYFUNCTION("IF(OR($U315="""",COUNTIF($I:$I,IFERROR(unique(filter(Prod_Prop!$H:$H,Prod_Prop!$G:$G=$U315,Prod_Prop!$E:$E=AB$1)),""Check""))=0),"""",IFERROR(unique(filter(Prod_Prop!$H:$H,Prod_Prop!$G:$G=$U315,Prod_Prop!$E:$E=AB$1)),""""))"),"")</f>
        <v/>
      </c>
      <c r="AC315" s="4" t="str">
        <f>IF(AB315="","",SUMIFS(Prod_Prop!$J:$J,Prod_Prop!$B:$B,$Q315,Prod_Prop!$H:$H,AB315,Prod_Prop!$I:$I,AC$1)*IF(AB315="Peso",$R315,1))</f>
        <v/>
      </c>
      <c r="AD315" s="4" t="str">
        <f>IF(AB315="","",SUMIFS(Prod_Prop!$J:$J,Prod_Prop!$B:$B,$Q315,Prod_Prop!$H:$H,AB315,Prod_Prop!$I:$I,AD$1)*IF(AB315="Peso",$R315,1))</f>
        <v/>
      </c>
    </row>
    <row r="316">
      <c r="A316" s="4" t="str">
        <f t="array" ref="A316">IF(COUNTIF(A$1:A315,Cotizador!F$2)=maxifs(Familias!E:E,Familias!D:D,Cotizador!F$2),IF(COUNTIF(A$1:A315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6" s="4" t="str">
        <f t="shared" si="1"/>
        <v/>
      </c>
      <c r="C316" s="4" t="str">
        <f t="array" ref="C316">IF(B316="","",IF(A316=XLOOKUP(A$2,Implementos!B:B,Implementos!C:C,"",0,1),B316+maxifs(B$1:B315,A$1:A315,A$2),B316))</f>
        <v/>
      </c>
      <c r="D316" s="4" t="str">
        <f>IF(B316="","", COUNTIFS(Productos!F:F,A316,Productos!H:H,B316)+IF(F316="SI",0,1))</f>
        <v/>
      </c>
      <c r="E316" s="4" t="str">
        <f>IFERROR(__xludf.DUMMYFUNCTION("IF($B316="""","""",INDEX(filter(Familias!F:F,Familias!$D:$D=$A316,Familias!$E:$E=$B316),1))"),"")</f>
        <v/>
      </c>
      <c r="F316" s="4" t="str">
        <f>IFERROR(__xludf.DUMMYFUNCTION("IF($B316="""","""",INDEX(filter(Familias!G:G,Familias!$D:$D=$A316,Familias!$E:$E=$B316),1))"),"")</f>
        <v/>
      </c>
      <c r="G316" s="4" t="str">
        <f t="array" ref="G316">IF(C316=1,XLOOKUP(C316,Cotizador!D:D,Cotizador!E:E,"",0,1),"")</f>
        <v/>
      </c>
      <c r="I316" s="4"/>
      <c r="J316" s="8" t="str">
        <f>IF(I316="","",SUMIF(Cotizador!I$1:V$1,I316,Cotizador!I$2:V$2))</f>
        <v/>
      </c>
      <c r="L316" s="4" t="str">
        <f t="array" ref="L316">IF(COUNTIF(L$1:L315,A$2)=SUMIF(A:A,A$2,D:D),IF(COUNTIF(L$1:L315,XLOOKUP(A$2,Implementos!B:B,Implementos!C:C,"",0,1))=SUMIF(A:A,XLOOKUP(A$2,Implementos!B:B,Implementos!C:C,"",0,1),D:D),"",XLOOKUP(A$2,Implementos!B:B,Implementos!C:C,"",0,1)),A$2)</f>
        <v/>
      </c>
      <c r="M316" s="4" t="str">
        <f t="shared" si="2"/>
        <v/>
      </c>
      <c r="N316" s="4" t="str">
        <f t="shared" si="3"/>
        <v/>
      </c>
      <c r="O316" s="4" t="str">
        <f t="shared" si="4"/>
        <v/>
      </c>
      <c r="P316" s="4" t="str">
        <f t="shared" si="5"/>
        <v/>
      </c>
      <c r="Q316" s="4" t="str">
        <f>IF(U316="","",SUMIF(Productos!E:E,U316,Productos!A:A))</f>
        <v/>
      </c>
      <c r="R316" s="4" t="str">
        <f t="array" ref="R316">IF(L316="","", max(1,SUMIF(I:I,XLOOKUP(U316,Productos!E:E,Productos!G:G,"",0,1),J:J)))</f>
        <v/>
      </c>
      <c r="S316" s="4" t="str">
        <f>IF(Q316="","",IF(SUMIFS(Compat_Vetado!D:D,Compat_Vetado!B:B,SUM(G:G),Compat_Vetado!C:C,Q316)=1,"SI",IF(OR(SUMIF(Cotizador!E:E,Q316,Cotizador!G:G)&gt;0,SUMIFS(Compat_Vetado!D:D,Compat_Vetado!B:B,SUM(G:G),Compat_Vetado!C:C,Q316)=-1),"NO","")))</f>
        <v/>
      </c>
      <c r="T316" s="4" t="str">
        <f t="shared" si="6"/>
        <v/>
      </c>
      <c r="U316" s="4" t="str">
        <f>IFERROR(__xludf.DUMMYFUNCTION("IF(P316="""","""",IFERROR(INDEX(filter(Productos!E:E,Productos!F:F=L316,Productos!H:H=N316),P316),IF(M316=SUM(D:D),""Finalizar"",""-"")))"),"")</f>
        <v/>
      </c>
      <c r="V316" s="4" t="str">
        <f>IFERROR(__xludf.DUMMYFUNCTION("IF(OR($U316="""",COUNTIF($I:$I,IFERROR(unique(filter(Prod_Prop!$H:$H,Prod_Prop!$G:$G=$U316,Prod_Prop!$E:$E=V$1)),""Check""))=0),"""",IFERROR(unique(filter(Prod_Prop!$H:$H,Prod_Prop!$G:$G=$U316,Prod_Prop!$E:$E=V$1)),""""))"),"")</f>
        <v/>
      </c>
      <c r="W316" s="4" t="str">
        <f>IF(V316="","",SUMIFS(Prod_Prop!$J:$J,Prod_Prop!$B:$B,$Q316,Prod_Prop!$H:$H,V316,Prod_Prop!$I:$I,W$1)*IF(V316="Peso",$R316,1))</f>
        <v/>
      </c>
      <c r="X316" s="4" t="str">
        <f>IF(V316="","",SUMIFS(Prod_Prop!$J:$J,Prod_Prop!$B:$B,$Q316,Prod_Prop!$H:$H,V316,Prod_Prop!$I:$I,X$1)*IF(V316="Peso",$R316,1))</f>
        <v/>
      </c>
      <c r="Y316" s="4" t="str">
        <f>IFERROR(__xludf.DUMMYFUNCTION("IF(OR($U316="""",COUNTIF($I:$I,IFERROR(unique(filter(Prod_Prop!$H:$H,Prod_Prop!$G:$G=$U316,Prod_Prop!$E:$E=Y$1)),""Check""))=0),"""",IFERROR(unique(filter(Prod_Prop!$H:$H,Prod_Prop!$G:$G=$U316,Prod_Prop!$E:$E=Y$1)),""""))"),"")</f>
        <v/>
      </c>
      <c r="Z316" s="4" t="str">
        <f>IF(Y316="","",SUMIFS(Prod_Prop!$J:$J,Prod_Prop!$B:$B,$Q316,Prod_Prop!$H:$H,Y316,Prod_Prop!$I:$I,Z$1)*IF(Y316="Peso",$R316,1))</f>
        <v/>
      </c>
      <c r="AA316" s="4" t="str">
        <f>IF(Y316="","",SUMIFS(Prod_Prop!$J:$J,Prod_Prop!$B:$B,$Q316,Prod_Prop!$H:$H,Y316,Prod_Prop!$I:$I,AA$1)*IF(Y316="Peso",$R316,1))</f>
        <v/>
      </c>
      <c r="AB316" s="4" t="str">
        <f>IFERROR(__xludf.DUMMYFUNCTION("IF(OR($U316="""",COUNTIF($I:$I,IFERROR(unique(filter(Prod_Prop!$H:$H,Prod_Prop!$G:$G=$U316,Prod_Prop!$E:$E=AB$1)),""Check""))=0),"""",IFERROR(unique(filter(Prod_Prop!$H:$H,Prod_Prop!$G:$G=$U316,Prod_Prop!$E:$E=AB$1)),""""))"),"")</f>
        <v/>
      </c>
      <c r="AC316" s="4" t="str">
        <f>IF(AB316="","",SUMIFS(Prod_Prop!$J:$J,Prod_Prop!$B:$B,$Q316,Prod_Prop!$H:$H,AB316,Prod_Prop!$I:$I,AC$1)*IF(AB316="Peso",$R316,1))</f>
        <v/>
      </c>
      <c r="AD316" s="4" t="str">
        <f>IF(AB316="","",SUMIFS(Prod_Prop!$J:$J,Prod_Prop!$B:$B,$Q316,Prod_Prop!$H:$H,AB316,Prod_Prop!$I:$I,AD$1)*IF(AB316="Peso",$R316,1))</f>
        <v/>
      </c>
    </row>
    <row r="317">
      <c r="A317" s="4" t="str">
        <f t="array" ref="A317">IF(COUNTIF(A$1:A316,Cotizador!F$2)=maxifs(Familias!E:E,Familias!D:D,Cotizador!F$2),IF(COUNTIF(A$1:A316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7" s="4" t="str">
        <f t="shared" si="1"/>
        <v/>
      </c>
      <c r="C317" s="4" t="str">
        <f t="array" ref="C317">IF(B317="","",IF(A317=XLOOKUP(A$2,Implementos!B:B,Implementos!C:C,"",0,1),B317+maxifs(B$1:B316,A$1:A316,A$2),B317))</f>
        <v/>
      </c>
      <c r="D317" s="4" t="str">
        <f>IF(B317="","", COUNTIFS(Productos!F:F,A317,Productos!H:H,B317)+IF(F317="SI",0,1))</f>
        <v/>
      </c>
      <c r="E317" s="4" t="str">
        <f>IFERROR(__xludf.DUMMYFUNCTION("IF($B317="""","""",INDEX(filter(Familias!F:F,Familias!$D:$D=$A317,Familias!$E:$E=$B317),1))"),"")</f>
        <v/>
      </c>
      <c r="F317" s="4" t="str">
        <f>IFERROR(__xludf.DUMMYFUNCTION("IF($B317="""","""",INDEX(filter(Familias!G:G,Familias!$D:$D=$A317,Familias!$E:$E=$B317),1))"),"")</f>
        <v/>
      </c>
      <c r="G317" s="4" t="str">
        <f t="array" ref="G317">IF(C317=1,XLOOKUP(C317,Cotizador!D:D,Cotizador!E:E,"",0,1),"")</f>
        <v/>
      </c>
      <c r="I317" s="4"/>
      <c r="J317" s="8" t="str">
        <f>IF(I317="","",SUMIF(Cotizador!I$1:V$1,I317,Cotizador!I$2:V$2))</f>
        <v/>
      </c>
      <c r="L317" s="4" t="str">
        <f t="array" ref="L317">IF(COUNTIF(L$1:L316,A$2)=SUMIF(A:A,A$2,D:D),IF(COUNTIF(L$1:L316,XLOOKUP(A$2,Implementos!B:B,Implementos!C:C,"",0,1))=SUMIF(A:A,XLOOKUP(A$2,Implementos!B:B,Implementos!C:C,"",0,1),D:D),"",XLOOKUP(A$2,Implementos!B:B,Implementos!C:C,"",0,1)),A$2)</f>
        <v/>
      </c>
      <c r="M317" s="4" t="str">
        <f t="shared" si="2"/>
        <v/>
      </c>
      <c r="N317" s="4" t="str">
        <f t="shared" si="3"/>
        <v/>
      </c>
      <c r="O317" s="4" t="str">
        <f t="shared" si="4"/>
        <v/>
      </c>
      <c r="P317" s="4" t="str">
        <f t="shared" si="5"/>
        <v/>
      </c>
      <c r="Q317" s="4" t="str">
        <f>IF(U317="","",SUMIF(Productos!E:E,U317,Productos!A:A))</f>
        <v/>
      </c>
      <c r="R317" s="4" t="str">
        <f t="array" ref="R317">IF(L317="","", max(1,SUMIF(I:I,XLOOKUP(U317,Productos!E:E,Productos!G:G,"",0,1),J:J)))</f>
        <v/>
      </c>
      <c r="S317" s="4" t="str">
        <f>IF(Q317="","",IF(SUMIFS(Compat_Vetado!D:D,Compat_Vetado!B:B,SUM(G:G),Compat_Vetado!C:C,Q317)=1,"SI",IF(OR(SUMIF(Cotizador!E:E,Q317,Cotizador!G:G)&gt;0,SUMIFS(Compat_Vetado!D:D,Compat_Vetado!B:B,SUM(G:G),Compat_Vetado!C:C,Q317)=-1),"NO","")))</f>
        <v/>
      </c>
      <c r="T317" s="4" t="str">
        <f t="shared" si="6"/>
        <v/>
      </c>
      <c r="U317" s="4" t="str">
        <f>IFERROR(__xludf.DUMMYFUNCTION("IF(P317="""","""",IFERROR(INDEX(filter(Productos!E:E,Productos!F:F=L317,Productos!H:H=N317),P317),IF(M317=SUM(D:D),""Finalizar"",""-"")))"),"")</f>
        <v/>
      </c>
      <c r="V317" s="4" t="str">
        <f>IFERROR(__xludf.DUMMYFUNCTION("IF(OR($U317="""",COUNTIF($I:$I,IFERROR(unique(filter(Prod_Prop!$H:$H,Prod_Prop!$G:$G=$U317,Prod_Prop!$E:$E=V$1)),""Check""))=0),"""",IFERROR(unique(filter(Prod_Prop!$H:$H,Prod_Prop!$G:$G=$U317,Prod_Prop!$E:$E=V$1)),""""))"),"")</f>
        <v/>
      </c>
      <c r="W317" s="4" t="str">
        <f>IF(V317="","",SUMIFS(Prod_Prop!$J:$J,Prod_Prop!$B:$B,$Q317,Prod_Prop!$H:$H,V317,Prod_Prop!$I:$I,W$1)*IF(V317="Peso",$R317,1))</f>
        <v/>
      </c>
      <c r="X317" s="4" t="str">
        <f>IF(V317="","",SUMIFS(Prod_Prop!$J:$J,Prod_Prop!$B:$B,$Q317,Prod_Prop!$H:$H,V317,Prod_Prop!$I:$I,X$1)*IF(V317="Peso",$R317,1))</f>
        <v/>
      </c>
      <c r="Y317" s="4" t="str">
        <f>IFERROR(__xludf.DUMMYFUNCTION("IF(OR($U317="""",COUNTIF($I:$I,IFERROR(unique(filter(Prod_Prop!$H:$H,Prod_Prop!$G:$G=$U317,Prod_Prop!$E:$E=Y$1)),""Check""))=0),"""",IFERROR(unique(filter(Prod_Prop!$H:$H,Prod_Prop!$G:$G=$U317,Prod_Prop!$E:$E=Y$1)),""""))"),"")</f>
        <v/>
      </c>
      <c r="Z317" s="4" t="str">
        <f>IF(Y317="","",SUMIFS(Prod_Prop!$J:$J,Prod_Prop!$B:$B,$Q317,Prod_Prop!$H:$H,Y317,Prod_Prop!$I:$I,Z$1)*IF(Y317="Peso",$R317,1))</f>
        <v/>
      </c>
      <c r="AA317" s="4" t="str">
        <f>IF(Y317="","",SUMIFS(Prod_Prop!$J:$J,Prod_Prop!$B:$B,$Q317,Prod_Prop!$H:$H,Y317,Prod_Prop!$I:$I,AA$1)*IF(Y317="Peso",$R317,1))</f>
        <v/>
      </c>
      <c r="AB317" s="4" t="str">
        <f>IFERROR(__xludf.DUMMYFUNCTION("IF(OR($U317="""",COUNTIF($I:$I,IFERROR(unique(filter(Prod_Prop!$H:$H,Prod_Prop!$G:$G=$U317,Prod_Prop!$E:$E=AB$1)),""Check""))=0),"""",IFERROR(unique(filter(Prod_Prop!$H:$H,Prod_Prop!$G:$G=$U317,Prod_Prop!$E:$E=AB$1)),""""))"),"")</f>
        <v/>
      </c>
      <c r="AC317" s="4" t="str">
        <f>IF(AB317="","",SUMIFS(Prod_Prop!$J:$J,Prod_Prop!$B:$B,$Q317,Prod_Prop!$H:$H,AB317,Prod_Prop!$I:$I,AC$1)*IF(AB317="Peso",$R317,1))</f>
        <v/>
      </c>
      <c r="AD317" s="4" t="str">
        <f>IF(AB317="","",SUMIFS(Prod_Prop!$J:$J,Prod_Prop!$B:$B,$Q317,Prod_Prop!$H:$H,AB317,Prod_Prop!$I:$I,AD$1)*IF(AB317="Peso",$R317,1))</f>
        <v/>
      </c>
    </row>
    <row r="318">
      <c r="A318" s="4" t="str">
        <f t="array" ref="A318">IF(COUNTIF(A$1:A317,Cotizador!F$2)=maxifs(Familias!E:E,Familias!D:D,Cotizador!F$2),IF(COUNTIF(A$1:A317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8" s="4" t="str">
        <f t="shared" si="1"/>
        <v/>
      </c>
      <c r="C318" s="4" t="str">
        <f t="array" ref="C318">IF(B318="","",IF(A318=XLOOKUP(A$2,Implementos!B:B,Implementos!C:C,"",0,1),B318+maxifs(B$1:B317,A$1:A317,A$2),B318))</f>
        <v/>
      </c>
      <c r="D318" s="4" t="str">
        <f>IF(B318="","", COUNTIFS(Productos!F:F,A318,Productos!H:H,B318)+IF(F318="SI",0,1))</f>
        <v/>
      </c>
      <c r="E318" s="4" t="str">
        <f>IFERROR(__xludf.DUMMYFUNCTION("IF($B318="""","""",INDEX(filter(Familias!F:F,Familias!$D:$D=$A318,Familias!$E:$E=$B318),1))"),"")</f>
        <v/>
      </c>
      <c r="F318" s="4" t="str">
        <f>IFERROR(__xludf.DUMMYFUNCTION("IF($B318="""","""",INDEX(filter(Familias!G:G,Familias!$D:$D=$A318,Familias!$E:$E=$B318),1))"),"")</f>
        <v/>
      </c>
      <c r="G318" s="4" t="str">
        <f t="array" ref="G318">IF(C318=1,XLOOKUP(C318,Cotizador!D:D,Cotizador!E:E,"",0,1),"")</f>
        <v/>
      </c>
      <c r="I318" s="4"/>
      <c r="J318" s="8" t="str">
        <f>IF(I318="","",SUMIF(Cotizador!I$1:V$1,I318,Cotizador!I$2:V$2))</f>
        <v/>
      </c>
      <c r="L318" s="4" t="str">
        <f t="array" ref="L318">IF(COUNTIF(L$1:L317,A$2)=SUMIF(A:A,A$2,D:D),IF(COUNTIF(L$1:L317,XLOOKUP(A$2,Implementos!B:B,Implementos!C:C,"",0,1))=SUMIF(A:A,XLOOKUP(A$2,Implementos!B:B,Implementos!C:C,"",0,1),D:D),"",XLOOKUP(A$2,Implementos!B:B,Implementos!C:C,"",0,1)),A$2)</f>
        <v/>
      </c>
      <c r="M318" s="4" t="str">
        <f t="shared" si="2"/>
        <v/>
      </c>
      <c r="N318" s="4" t="str">
        <f t="shared" si="3"/>
        <v/>
      </c>
      <c r="O318" s="4" t="str">
        <f t="shared" si="4"/>
        <v/>
      </c>
      <c r="P318" s="4" t="str">
        <f t="shared" si="5"/>
        <v/>
      </c>
      <c r="Q318" s="4" t="str">
        <f>IF(U318="","",SUMIF(Productos!E:E,U318,Productos!A:A))</f>
        <v/>
      </c>
      <c r="R318" s="4" t="str">
        <f t="array" ref="R318">IF(L318="","", max(1,SUMIF(I:I,XLOOKUP(U318,Productos!E:E,Productos!G:G,"",0,1),J:J)))</f>
        <v/>
      </c>
      <c r="S318" s="4" t="str">
        <f>IF(Q318="","",IF(SUMIFS(Compat_Vetado!D:D,Compat_Vetado!B:B,SUM(G:G),Compat_Vetado!C:C,Q318)=1,"SI",IF(OR(SUMIF(Cotizador!E:E,Q318,Cotizador!G:G)&gt;0,SUMIFS(Compat_Vetado!D:D,Compat_Vetado!B:B,SUM(G:G),Compat_Vetado!C:C,Q318)=-1),"NO","")))</f>
        <v/>
      </c>
      <c r="T318" s="4" t="str">
        <f t="shared" si="6"/>
        <v/>
      </c>
      <c r="U318" s="4" t="str">
        <f>IFERROR(__xludf.DUMMYFUNCTION("IF(P318="""","""",IFERROR(INDEX(filter(Productos!E:E,Productos!F:F=L318,Productos!H:H=N318),P318),IF(M318=SUM(D:D),""Finalizar"",""-"")))"),"")</f>
        <v/>
      </c>
      <c r="V318" s="4" t="str">
        <f>IFERROR(__xludf.DUMMYFUNCTION("IF(OR($U318="""",COUNTIF($I:$I,IFERROR(unique(filter(Prod_Prop!$H:$H,Prod_Prop!$G:$G=$U318,Prod_Prop!$E:$E=V$1)),""Check""))=0),"""",IFERROR(unique(filter(Prod_Prop!$H:$H,Prod_Prop!$G:$G=$U318,Prod_Prop!$E:$E=V$1)),""""))"),"")</f>
        <v/>
      </c>
      <c r="W318" s="4" t="str">
        <f>IF(V318="","",SUMIFS(Prod_Prop!$J:$J,Prod_Prop!$B:$B,$Q318,Prod_Prop!$H:$H,V318,Prod_Prop!$I:$I,W$1)*IF(V318="Peso",$R318,1))</f>
        <v/>
      </c>
      <c r="X318" s="4" t="str">
        <f>IF(V318="","",SUMIFS(Prod_Prop!$J:$J,Prod_Prop!$B:$B,$Q318,Prod_Prop!$H:$H,V318,Prod_Prop!$I:$I,X$1)*IF(V318="Peso",$R318,1))</f>
        <v/>
      </c>
      <c r="Y318" s="4" t="str">
        <f>IFERROR(__xludf.DUMMYFUNCTION("IF(OR($U318="""",COUNTIF($I:$I,IFERROR(unique(filter(Prod_Prop!$H:$H,Prod_Prop!$G:$G=$U318,Prod_Prop!$E:$E=Y$1)),""Check""))=0),"""",IFERROR(unique(filter(Prod_Prop!$H:$H,Prod_Prop!$G:$G=$U318,Prod_Prop!$E:$E=Y$1)),""""))"),"")</f>
        <v/>
      </c>
      <c r="Z318" s="4" t="str">
        <f>IF(Y318="","",SUMIFS(Prod_Prop!$J:$J,Prod_Prop!$B:$B,$Q318,Prod_Prop!$H:$H,Y318,Prod_Prop!$I:$I,Z$1)*IF(Y318="Peso",$R318,1))</f>
        <v/>
      </c>
      <c r="AA318" s="4" t="str">
        <f>IF(Y318="","",SUMIFS(Prod_Prop!$J:$J,Prod_Prop!$B:$B,$Q318,Prod_Prop!$H:$H,Y318,Prod_Prop!$I:$I,AA$1)*IF(Y318="Peso",$R318,1))</f>
        <v/>
      </c>
      <c r="AB318" s="4" t="str">
        <f>IFERROR(__xludf.DUMMYFUNCTION("IF(OR($U318="""",COUNTIF($I:$I,IFERROR(unique(filter(Prod_Prop!$H:$H,Prod_Prop!$G:$G=$U318,Prod_Prop!$E:$E=AB$1)),""Check""))=0),"""",IFERROR(unique(filter(Prod_Prop!$H:$H,Prod_Prop!$G:$G=$U318,Prod_Prop!$E:$E=AB$1)),""""))"),"")</f>
        <v/>
      </c>
      <c r="AC318" s="4" t="str">
        <f>IF(AB318="","",SUMIFS(Prod_Prop!$J:$J,Prod_Prop!$B:$B,$Q318,Prod_Prop!$H:$H,AB318,Prod_Prop!$I:$I,AC$1)*IF(AB318="Peso",$R318,1))</f>
        <v/>
      </c>
      <c r="AD318" s="4" t="str">
        <f>IF(AB318="","",SUMIFS(Prod_Prop!$J:$J,Prod_Prop!$B:$B,$Q318,Prod_Prop!$H:$H,AB318,Prod_Prop!$I:$I,AD$1)*IF(AB318="Peso",$R318,1))</f>
        <v/>
      </c>
    </row>
    <row r="319">
      <c r="A319" s="4" t="str">
        <f t="array" ref="A319">IF(COUNTIF(A$1:A318,Cotizador!F$2)=maxifs(Familias!E:E,Familias!D:D,Cotizador!F$2),IF(COUNTIF(A$1:A318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19" s="4" t="str">
        <f t="shared" si="1"/>
        <v/>
      </c>
      <c r="C319" s="4" t="str">
        <f t="array" ref="C319">IF(B319="","",IF(A319=XLOOKUP(A$2,Implementos!B:B,Implementos!C:C,"",0,1),B319+maxifs(B$1:B318,A$1:A318,A$2),B319))</f>
        <v/>
      </c>
      <c r="D319" s="4" t="str">
        <f>IF(B319="","", COUNTIFS(Productos!F:F,A319,Productos!H:H,B319)+IF(F319="SI",0,1))</f>
        <v/>
      </c>
      <c r="E319" s="4" t="str">
        <f>IFERROR(__xludf.DUMMYFUNCTION("IF($B319="""","""",INDEX(filter(Familias!F:F,Familias!$D:$D=$A319,Familias!$E:$E=$B319),1))"),"")</f>
        <v/>
      </c>
      <c r="F319" s="4" t="str">
        <f>IFERROR(__xludf.DUMMYFUNCTION("IF($B319="""","""",INDEX(filter(Familias!G:G,Familias!$D:$D=$A319,Familias!$E:$E=$B319),1))"),"")</f>
        <v/>
      </c>
      <c r="G319" s="4" t="str">
        <f t="array" ref="G319">IF(C319=1,XLOOKUP(C319,Cotizador!D:D,Cotizador!E:E,"",0,1),"")</f>
        <v/>
      </c>
      <c r="I319" s="4"/>
      <c r="J319" s="8" t="str">
        <f>IF(I319="","",SUMIF(Cotizador!I$1:V$1,I319,Cotizador!I$2:V$2))</f>
        <v/>
      </c>
      <c r="L319" s="4" t="str">
        <f t="array" ref="L319">IF(COUNTIF(L$1:L318,A$2)=SUMIF(A:A,A$2,D:D),IF(COUNTIF(L$1:L318,XLOOKUP(A$2,Implementos!B:B,Implementos!C:C,"",0,1))=SUMIF(A:A,XLOOKUP(A$2,Implementos!B:B,Implementos!C:C,"",0,1),D:D),"",XLOOKUP(A$2,Implementos!B:B,Implementos!C:C,"",0,1)),A$2)</f>
        <v/>
      </c>
      <c r="M319" s="4" t="str">
        <f t="shared" si="2"/>
        <v/>
      </c>
      <c r="N319" s="4" t="str">
        <f t="shared" si="3"/>
        <v/>
      </c>
      <c r="O319" s="4" t="str">
        <f t="shared" si="4"/>
        <v/>
      </c>
      <c r="P319" s="4" t="str">
        <f t="shared" si="5"/>
        <v/>
      </c>
      <c r="Q319" s="4" t="str">
        <f>IF(U319="","",SUMIF(Productos!E:E,U319,Productos!A:A))</f>
        <v/>
      </c>
      <c r="R319" s="4" t="str">
        <f t="array" ref="R319">IF(L319="","", max(1,SUMIF(I:I,XLOOKUP(U319,Productos!E:E,Productos!G:G,"",0,1),J:J)))</f>
        <v/>
      </c>
      <c r="S319" s="4" t="str">
        <f>IF(Q319="","",IF(SUMIFS(Compat_Vetado!D:D,Compat_Vetado!B:B,SUM(G:G),Compat_Vetado!C:C,Q319)=1,"SI",IF(OR(SUMIF(Cotizador!E:E,Q319,Cotizador!G:G)&gt;0,SUMIFS(Compat_Vetado!D:D,Compat_Vetado!B:B,SUM(G:G),Compat_Vetado!C:C,Q319)=-1),"NO","")))</f>
        <v/>
      </c>
      <c r="T319" s="4" t="str">
        <f t="shared" si="6"/>
        <v/>
      </c>
      <c r="U319" s="4" t="str">
        <f>IFERROR(__xludf.DUMMYFUNCTION("IF(P319="""","""",IFERROR(INDEX(filter(Productos!E:E,Productos!F:F=L319,Productos!H:H=N319),P319),IF(M319=SUM(D:D),""Finalizar"",""-"")))"),"")</f>
        <v/>
      </c>
      <c r="V319" s="4" t="str">
        <f>IFERROR(__xludf.DUMMYFUNCTION("IF(OR($U319="""",COUNTIF($I:$I,IFERROR(unique(filter(Prod_Prop!$H:$H,Prod_Prop!$G:$G=$U319,Prod_Prop!$E:$E=V$1)),""Check""))=0),"""",IFERROR(unique(filter(Prod_Prop!$H:$H,Prod_Prop!$G:$G=$U319,Prod_Prop!$E:$E=V$1)),""""))"),"")</f>
        <v/>
      </c>
      <c r="W319" s="4" t="str">
        <f>IF(V319="","",SUMIFS(Prod_Prop!$J:$J,Prod_Prop!$B:$B,$Q319,Prod_Prop!$H:$H,V319,Prod_Prop!$I:$I,W$1)*IF(V319="Peso",$R319,1))</f>
        <v/>
      </c>
      <c r="X319" s="4" t="str">
        <f>IF(V319="","",SUMIFS(Prod_Prop!$J:$J,Prod_Prop!$B:$B,$Q319,Prod_Prop!$H:$H,V319,Prod_Prop!$I:$I,X$1)*IF(V319="Peso",$R319,1))</f>
        <v/>
      </c>
      <c r="Y319" s="4" t="str">
        <f>IFERROR(__xludf.DUMMYFUNCTION("IF(OR($U319="""",COUNTIF($I:$I,IFERROR(unique(filter(Prod_Prop!$H:$H,Prod_Prop!$G:$G=$U319,Prod_Prop!$E:$E=Y$1)),""Check""))=0),"""",IFERROR(unique(filter(Prod_Prop!$H:$H,Prod_Prop!$G:$G=$U319,Prod_Prop!$E:$E=Y$1)),""""))"),"")</f>
        <v/>
      </c>
      <c r="Z319" s="4" t="str">
        <f>IF(Y319="","",SUMIFS(Prod_Prop!$J:$J,Prod_Prop!$B:$B,$Q319,Prod_Prop!$H:$H,Y319,Prod_Prop!$I:$I,Z$1)*IF(Y319="Peso",$R319,1))</f>
        <v/>
      </c>
      <c r="AA319" s="4" t="str">
        <f>IF(Y319="","",SUMIFS(Prod_Prop!$J:$J,Prod_Prop!$B:$B,$Q319,Prod_Prop!$H:$H,Y319,Prod_Prop!$I:$I,AA$1)*IF(Y319="Peso",$R319,1))</f>
        <v/>
      </c>
      <c r="AB319" s="4" t="str">
        <f>IFERROR(__xludf.DUMMYFUNCTION("IF(OR($U319="""",COUNTIF($I:$I,IFERROR(unique(filter(Prod_Prop!$H:$H,Prod_Prop!$G:$G=$U319,Prod_Prop!$E:$E=AB$1)),""Check""))=0),"""",IFERROR(unique(filter(Prod_Prop!$H:$H,Prod_Prop!$G:$G=$U319,Prod_Prop!$E:$E=AB$1)),""""))"),"")</f>
        <v/>
      </c>
      <c r="AC319" s="4" t="str">
        <f>IF(AB319="","",SUMIFS(Prod_Prop!$J:$J,Prod_Prop!$B:$B,$Q319,Prod_Prop!$H:$H,AB319,Prod_Prop!$I:$I,AC$1)*IF(AB319="Peso",$R319,1))</f>
        <v/>
      </c>
      <c r="AD319" s="4" t="str">
        <f>IF(AB319="","",SUMIFS(Prod_Prop!$J:$J,Prod_Prop!$B:$B,$Q319,Prod_Prop!$H:$H,AB319,Prod_Prop!$I:$I,AD$1)*IF(AB319="Peso",$R319,1))</f>
        <v/>
      </c>
    </row>
    <row r="320">
      <c r="A320" s="4" t="str">
        <f t="array" ref="A320">IF(COUNTIF(A$1:A319,Cotizador!F$2)=maxifs(Familias!E:E,Familias!D:D,Cotizador!F$2),IF(COUNTIF(A$1:A319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0" s="4" t="str">
        <f t="shared" si="1"/>
        <v/>
      </c>
      <c r="C320" s="4" t="str">
        <f t="array" ref="C320">IF(B320="","",IF(A320=XLOOKUP(A$2,Implementos!B:B,Implementos!C:C,"",0,1),B320+maxifs(B$1:B319,A$1:A319,A$2),B320))</f>
        <v/>
      </c>
      <c r="D320" s="4" t="str">
        <f>IF(B320="","", COUNTIFS(Productos!F:F,A320,Productos!H:H,B320)+IF(F320="SI",0,1))</f>
        <v/>
      </c>
      <c r="E320" s="4" t="str">
        <f>IFERROR(__xludf.DUMMYFUNCTION("IF($B320="""","""",INDEX(filter(Familias!F:F,Familias!$D:$D=$A320,Familias!$E:$E=$B320),1))"),"")</f>
        <v/>
      </c>
      <c r="F320" s="4" t="str">
        <f>IFERROR(__xludf.DUMMYFUNCTION("IF($B320="""","""",INDEX(filter(Familias!G:G,Familias!$D:$D=$A320,Familias!$E:$E=$B320),1))"),"")</f>
        <v/>
      </c>
      <c r="G320" s="4" t="str">
        <f t="array" ref="G320">IF(C320=1,XLOOKUP(C320,Cotizador!D:D,Cotizador!E:E,"",0,1),"")</f>
        <v/>
      </c>
      <c r="I320" s="4"/>
      <c r="J320" s="8" t="str">
        <f>IF(I320="","",SUMIF(Cotizador!I$1:V$1,I320,Cotizador!I$2:V$2))</f>
        <v/>
      </c>
      <c r="L320" s="4" t="str">
        <f t="array" ref="L320">IF(COUNTIF(L$1:L319,A$2)=SUMIF(A:A,A$2,D:D),IF(COUNTIF(L$1:L319,XLOOKUP(A$2,Implementos!B:B,Implementos!C:C,"",0,1))=SUMIF(A:A,XLOOKUP(A$2,Implementos!B:B,Implementos!C:C,"",0,1),D:D),"",XLOOKUP(A$2,Implementos!B:B,Implementos!C:C,"",0,1)),A$2)</f>
        <v/>
      </c>
      <c r="M320" s="4" t="str">
        <f t="shared" si="2"/>
        <v/>
      </c>
      <c r="N320" s="4" t="str">
        <f t="shared" si="3"/>
        <v/>
      </c>
      <c r="O320" s="4" t="str">
        <f t="shared" si="4"/>
        <v/>
      </c>
      <c r="P320" s="4" t="str">
        <f t="shared" si="5"/>
        <v/>
      </c>
      <c r="Q320" s="4" t="str">
        <f>IF(U320="","",SUMIF(Productos!E:E,U320,Productos!A:A))</f>
        <v/>
      </c>
      <c r="R320" s="4" t="str">
        <f t="array" ref="R320">IF(L320="","", max(1,SUMIF(I:I,XLOOKUP(U320,Productos!E:E,Productos!G:G,"",0,1),J:J)))</f>
        <v/>
      </c>
      <c r="S320" s="4" t="str">
        <f>IF(Q320="","",IF(SUMIFS(Compat_Vetado!D:D,Compat_Vetado!B:B,SUM(G:G),Compat_Vetado!C:C,Q320)=1,"SI",IF(OR(SUMIF(Cotizador!E:E,Q320,Cotizador!G:G)&gt;0,SUMIFS(Compat_Vetado!D:D,Compat_Vetado!B:B,SUM(G:G),Compat_Vetado!C:C,Q320)=-1),"NO","")))</f>
        <v/>
      </c>
      <c r="T320" s="4" t="str">
        <f t="shared" si="6"/>
        <v/>
      </c>
      <c r="U320" s="4" t="str">
        <f>IFERROR(__xludf.DUMMYFUNCTION("IF(P320="""","""",IFERROR(INDEX(filter(Productos!E:E,Productos!F:F=L320,Productos!H:H=N320),P320),IF(M320=SUM(D:D),""Finalizar"",""-"")))"),"")</f>
        <v/>
      </c>
      <c r="V320" s="4" t="str">
        <f>IFERROR(__xludf.DUMMYFUNCTION("IF(OR($U320="""",COUNTIF($I:$I,IFERROR(unique(filter(Prod_Prop!$H:$H,Prod_Prop!$G:$G=$U320,Prod_Prop!$E:$E=V$1)),""Check""))=0),"""",IFERROR(unique(filter(Prod_Prop!$H:$H,Prod_Prop!$G:$G=$U320,Prod_Prop!$E:$E=V$1)),""""))"),"")</f>
        <v/>
      </c>
      <c r="W320" s="4" t="str">
        <f>IF(V320="","",SUMIFS(Prod_Prop!$J:$J,Prod_Prop!$B:$B,$Q320,Prod_Prop!$H:$H,V320,Prod_Prop!$I:$I,W$1)*IF(V320="Peso",$R320,1))</f>
        <v/>
      </c>
      <c r="X320" s="4" t="str">
        <f>IF(V320="","",SUMIFS(Prod_Prop!$J:$J,Prod_Prop!$B:$B,$Q320,Prod_Prop!$H:$H,V320,Prod_Prop!$I:$I,X$1)*IF(V320="Peso",$R320,1))</f>
        <v/>
      </c>
      <c r="Y320" s="4" t="str">
        <f>IFERROR(__xludf.DUMMYFUNCTION("IF(OR($U320="""",COUNTIF($I:$I,IFERROR(unique(filter(Prod_Prop!$H:$H,Prod_Prop!$G:$G=$U320,Prod_Prop!$E:$E=Y$1)),""Check""))=0),"""",IFERROR(unique(filter(Prod_Prop!$H:$H,Prod_Prop!$G:$G=$U320,Prod_Prop!$E:$E=Y$1)),""""))"),"")</f>
        <v/>
      </c>
      <c r="Z320" s="4" t="str">
        <f>IF(Y320="","",SUMIFS(Prod_Prop!$J:$J,Prod_Prop!$B:$B,$Q320,Prod_Prop!$H:$H,Y320,Prod_Prop!$I:$I,Z$1)*IF(Y320="Peso",$R320,1))</f>
        <v/>
      </c>
      <c r="AA320" s="4" t="str">
        <f>IF(Y320="","",SUMIFS(Prod_Prop!$J:$J,Prod_Prop!$B:$B,$Q320,Prod_Prop!$H:$H,Y320,Prod_Prop!$I:$I,AA$1)*IF(Y320="Peso",$R320,1))</f>
        <v/>
      </c>
      <c r="AB320" s="4" t="str">
        <f>IFERROR(__xludf.DUMMYFUNCTION("IF(OR($U320="""",COUNTIF($I:$I,IFERROR(unique(filter(Prod_Prop!$H:$H,Prod_Prop!$G:$G=$U320,Prod_Prop!$E:$E=AB$1)),""Check""))=0),"""",IFERROR(unique(filter(Prod_Prop!$H:$H,Prod_Prop!$G:$G=$U320,Prod_Prop!$E:$E=AB$1)),""""))"),"")</f>
        <v/>
      </c>
      <c r="AC320" s="4" t="str">
        <f>IF(AB320="","",SUMIFS(Prod_Prop!$J:$J,Prod_Prop!$B:$B,$Q320,Prod_Prop!$H:$H,AB320,Prod_Prop!$I:$I,AC$1)*IF(AB320="Peso",$R320,1))</f>
        <v/>
      </c>
      <c r="AD320" s="4" t="str">
        <f>IF(AB320="","",SUMIFS(Prod_Prop!$J:$J,Prod_Prop!$B:$B,$Q320,Prod_Prop!$H:$H,AB320,Prod_Prop!$I:$I,AD$1)*IF(AB320="Peso",$R320,1))</f>
        <v/>
      </c>
    </row>
    <row r="321">
      <c r="A321" s="4" t="str">
        <f t="array" ref="A321">IF(COUNTIF(A$1:A320,Cotizador!F$2)=maxifs(Familias!E:E,Familias!D:D,Cotizador!F$2),IF(COUNTIF(A$1:A320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1" s="4" t="str">
        <f t="shared" si="1"/>
        <v/>
      </c>
      <c r="C321" s="4" t="str">
        <f t="array" ref="C321">IF(B321="","",IF(A321=XLOOKUP(A$2,Implementos!B:B,Implementos!C:C,"",0,1),B321+maxifs(B$1:B320,A$1:A320,A$2),B321))</f>
        <v/>
      </c>
      <c r="D321" s="4" t="str">
        <f>IF(B321="","", COUNTIFS(Productos!F:F,A321,Productos!H:H,B321)+IF(F321="SI",0,1))</f>
        <v/>
      </c>
      <c r="E321" s="4" t="str">
        <f>IFERROR(__xludf.DUMMYFUNCTION("IF($B321="""","""",INDEX(filter(Familias!F:F,Familias!$D:$D=$A321,Familias!$E:$E=$B321),1))"),"")</f>
        <v/>
      </c>
      <c r="F321" s="4" t="str">
        <f>IFERROR(__xludf.DUMMYFUNCTION("IF($B321="""","""",INDEX(filter(Familias!G:G,Familias!$D:$D=$A321,Familias!$E:$E=$B321),1))"),"")</f>
        <v/>
      </c>
      <c r="G321" s="4" t="str">
        <f t="array" ref="G321">IF(C321=1,XLOOKUP(C321,Cotizador!D:D,Cotizador!E:E,"",0,1),"")</f>
        <v/>
      </c>
      <c r="I321" s="4"/>
      <c r="J321" s="8" t="str">
        <f>IF(I321="","",SUMIF(Cotizador!I$1:V$1,I321,Cotizador!I$2:V$2))</f>
        <v/>
      </c>
      <c r="L321" s="4" t="str">
        <f t="array" ref="L321">IF(COUNTIF(L$1:L320,A$2)=SUMIF(A:A,A$2,D:D),IF(COUNTIF(L$1:L320,XLOOKUP(A$2,Implementos!B:B,Implementos!C:C,"",0,1))=SUMIF(A:A,XLOOKUP(A$2,Implementos!B:B,Implementos!C:C,"",0,1),D:D),"",XLOOKUP(A$2,Implementos!B:B,Implementos!C:C,"",0,1)),A$2)</f>
        <v/>
      </c>
      <c r="M321" s="4" t="str">
        <f t="shared" si="2"/>
        <v/>
      </c>
      <c r="N321" s="4" t="str">
        <f t="shared" si="3"/>
        <v/>
      </c>
      <c r="O321" s="4" t="str">
        <f t="shared" si="4"/>
        <v/>
      </c>
      <c r="P321" s="4" t="str">
        <f t="shared" si="5"/>
        <v/>
      </c>
      <c r="Q321" s="4" t="str">
        <f>IF(U321="","",SUMIF(Productos!E:E,U321,Productos!A:A))</f>
        <v/>
      </c>
      <c r="R321" s="4" t="str">
        <f t="array" ref="R321">IF(L321="","", max(1,SUMIF(I:I,XLOOKUP(U321,Productos!E:E,Productos!G:G,"",0,1),J:J)))</f>
        <v/>
      </c>
      <c r="S321" s="4" t="str">
        <f>IF(Q321="","",IF(SUMIFS(Compat_Vetado!D:D,Compat_Vetado!B:B,SUM(G:G),Compat_Vetado!C:C,Q321)=1,"SI",IF(OR(SUMIF(Cotizador!E:E,Q321,Cotizador!G:G)&gt;0,SUMIFS(Compat_Vetado!D:D,Compat_Vetado!B:B,SUM(G:G),Compat_Vetado!C:C,Q321)=-1),"NO","")))</f>
        <v/>
      </c>
      <c r="T321" s="4" t="str">
        <f t="shared" si="6"/>
        <v/>
      </c>
      <c r="U321" s="4" t="str">
        <f>IFERROR(__xludf.DUMMYFUNCTION("IF(P321="""","""",IFERROR(INDEX(filter(Productos!E:E,Productos!F:F=L321,Productos!H:H=N321),P321),IF(M321=SUM(D:D),""Finalizar"",""-"")))"),"")</f>
        <v/>
      </c>
      <c r="V321" s="4" t="str">
        <f>IFERROR(__xludf.DUMMYFUNCTION("IF(OR($U321="""",COUNTIF($I:$I,IFERROR(unique(filter(Prod_Prop!$H:$H,Prod_Prop!$G:$G=$U321,Prod_Prop!$E:$E=V$1)),""Check""))=0),"""",IFERROR(unique(filter(Prod_Prop!$H:$H,Prod_Prop!$G:$G=$U321,Prod_Prop!$E:$E=V$1)),""""))"),"")</f>
        <v/>
      </c>
      <c r="W321" s="4" t="str">
        <f>IF(V321="","",SUMIFS(Prod_Prop!$J:$J,Prod_Prop!$B:$B,$Q321,Prod_Prop!$H:$H,V321,Prod_Prop!$I:$I,W$1)*IF(V321="Peso",$R321,1))</f>
        <v/>
      </c>
      <c r="X321" s="4" t="str">
        <f>IF(V321="","",SUMIFS(Prod_Prop!$J:$J,Prod_Prop!$B:$B,$Q321,Prod_Prop!$H:$H,V321,Prod_Prop!$I:$I,X$1)*IF(V321="Peso",$R321,1))</f>
        <v/>
      </c>
      <c r="Y321" s="4" t="str">
        <f>IFERROR(__xludf.DUMMYFUNCTION("IF(OR($U321="""",COUNTIF($I:$I,IFERROR(unique(filter(Prod_Prop!$H:$H,Prod_Prop!$G:$G=$U321,Prod_Prop!$E:$E=Y$1)),""Check""))=0),"""",IFERROR(unique(filter(Prod_Prop!$H:$H,Prod_Prop!$G:$G=$U321,Prod_Prop!$E:$E=Y$1)),""""))"),"")</f>
        <v/>
      </c>
      <c r="Z321" s="4" t="str">
        <f>IF(Y321="","",SUMIFS(Prod_Prop!$J:$J,Prod_Prop!$B:$B,$Q321,Prod_Prop!$H:$H,Y321,Prod_Prop!$I:$I,Z$1)*IF(Y321="Peso",$R321,1))</f>
        <v/>
      </c>
      <c r="AA321" s="4" t="str">
        <f>IF(Y321="","",SUMIFS(Prod_Prop!$J:$J,Prod_Prop!$B:$B,$Q321,Prod_Prop!$H:$H,Y321,Prod_Prop!$I:$I,AA$1)*IF(Y321="Peso",$R321,1))</f>
        <v/>
      </c>
      <c r="AB321" s="4" t="str">
        <f>IFERROR(__xludf.DUMMYFUNCTION("IF(OR($U321="""",COUNTIF($I:$I,IFERROR(unique(filter(Prod_Prop!$H:$H,Prod_Prop!$G:$G=$U321,Prod_Prop!$E:$E=AB$1)),""Check""))=0),"""",IFERROR(unique(filter(Prod_Prop!$H:$H,Prod_Prop!$G:$G=$U321,Prod_Prop!$E:$E=AB$1)),""""))"),"")</f>
        <v/>
      </c>
      <c r="AC321" s="4" t="str">
        <f>IF(AB321="","",SUMIFS(Prod_Prop!$J:$J,Prod_Prop!$B:$B,$Q321,Prod_Prop!$H:$H,AB321,Prod_Prop!$I:$I,AC$1)*IF(AB321="Peso",$R321,1))</f>
        <v/>
      </c>
      <c r="AD321" s="4" t="str">
        <f>IF(AB321="","",SUMIFS(Prod_Prop!$J:$J,Prod_Prop!$B:$B,$Q321,Prod_Prop!$H:$H,AB321,Prod_Prop!$I:$I,AD$1)*IF(AB321="Peso",$R321,1))</f>
        <v/>
      </c>
    </row>
    <row r="322">
      <c r="A322" s="4" t="str">
        <f t="array" ref="A322">IF(COUNTIF(A$1:A321,Cotizador!F$2)=maxifs(Familias!E:E,Familias!D:D,Cotizador!F$2),IF(COUNTIF(A$1:A321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2" s="4" t="str">
        <f t="shared" si="1"/>
        <v/>
      </c>
      <c r="C322" s="4" t="str">
        <f t="array" ref="C322">IF(B322="","",IF(A322=XLOOKUP(A$2,Implementos!B:B,Implementos!C:C,"",0,1),B322+maxifs(B$1:B321,A$1:A321,A$2),B322))</f>
        <v/>
      </c>
      <c r="D322" s="4" t="str">
        <f>IF(B322="","", COUNTIFS(Productos!F:F,A322,Productos!H:H,B322)+IF(F322="SI",0,1))</f>
        <v/>
      </c>
      <c r="E322" s="4" t="str">
        <f>IFERROR(__xludf.DUMMYFUNCTION("IF($B322="""","""",INDEX(filter(Familias!F:F,Familias!$D:$D=$A322,Familias!$E:$E=$B322),1))"),"")</f>
        <v/>
      </c>
      <c r="F322" s="4" t="str">
        <f>IFERROR(__xludf.DUMMYFUNCTION("IF($B322="""","""",INDEX(filter(Familias!G:G,Familias!$D:$D=$A322,Familias!$E:$E=$B322),1))"),"")</f>
        <v/>
      </c>
      <c r="G322" s="4" t="str">
        <f t="array" ref="G322">IF(C322=1,XLOOKUP(C322,Cotizador!D:D,Cotizador!E:E,"",0,1),"")</f>
        <v/>
      </c>
      <c r="I322" s="4"/>
      <c r="J322" s="8" t="str">
        <f>IF(I322="","",SUMIF(Cotizador!I$1:V$1,I322,Cotizador!I$2:V$2))</f>
        <v/>
      </c>
      <c r="L322" s="4" t="str">
        <f t="array" ref="L322">IF(COUNTIF(L$1:L321,A$2)=SUMIF(A:A,A$2,D:D),IF(COUNTIF(L$1:L321,XLOOKUP(A$2,Implementos!B:B,Implementos!C:C,"",0,1))=SUMIF(A:A,XLOOKUP(A$2,Implementos!B:B,Implementos!C:C,"",0,1),D:D),"",XLOOKUP(A$2,Implementos!B:B,Implementos!C:C,"",0,1)),A$2)</f>
        <v/>
      </c>
      <c r="M322" s="4" t="str">
        <f t="shared" si="2"/>
        <v/>
      </c>
      <c r="N322" s="4" t="str">
        <f t="shared" si="3"/>
        <v/>
      </c>
      <c r="O322" s="4" t="str">
        <f t="shared" si="4"/>
        <v/>
      </c>
      <c r="P322" s="4" t="str">
        <f t="shared" si="5"/>
        <v/>
      </c>
      <c r="Q322" s="4" t="str">
        <f>IF(U322="","",SUMIF(Productos!E:E,U322,Productos!A:A))</f>
        <v/>
      </c>
      <c r="R322" s="4" t="str">
        <f t="array" ref="R322">IF(L322="","", max(1,SUMIF(I:I,XLOOKUP(U322,Productos!E:E,Productos!G:G,"",0,1),J:J)))</f>
        <v/>
      </c>
      <c r="S322" s="4" t="str">
        <f>IF(Q322="","",IF(SUMIFS(Compat_Vetado!D:D,Compat_Vetado!B:B,SUM(G:G),Compat_Vetado!C:C,Q322)=1,"SI",IF(OR(SUMIF(Cotizador!E:E,Q322,Cotizador!G:G)&gt;0,SUMIFS(Compat_Vetado!D:D,Compat_Vetado!B:B,SUM(G:G),Compat_Vetado!C:C,Q322)=-1),"NO","")))</f>
        <v/>
      </c>
      <c r="T322" s="4" t="str">
        <f t="shared" si="6"/>
        <v/>
      </c>
      <c r="U322" s="4" t="str">
        <f>IFERROR(__xludf.DUMMYFUNCTION("IF(P322="""","""",IFERROR(INDEX(filter(Productos!E:E,Productos!F:F=L322,Productos!H:H=N322),P322),IF(M322=SUM(D:D),""Finalizar"",""-"")))"),"")</f>
        <v/>
      </c>
      <c r="V322" s="4" t="str">
        <f>IFERROR(__xludf.DUMMYFUNCTION("IF(OR($U322="""",COUNTIF($I:$I,IFERROR(unique(filter(Prod_Prop!$H:$H,Prod_Prop!$G:$G=$U322,Prod_Prop!$E:$E=V$1)),""Check""))=0),"""",IFERROR(unique(filter(Prod_Prop!$H:$H,Prod_Prop!$G:$G=$U322,Prod_Prop!$E:$E=V$1)),""""))"),"")</f>
        <v/>
      </c>
      <c r="W322" s="4" t="str">
        <f>IF(V322="","",SUMIFS(Prod_Prop!$J:$J,Prod_Prop!$B:$B,$Q322,Prod_Prop!$H:$H,V322,Prod_Prop!$I:$I,W$1)*IF(V322="Peso",$R322,1))</f>
        <v/>
      </c>
      <c r="X322" s="4" t="str">
        <f>IF(V322="","",SUMIFS(Prod_Prop!$J:$J,Prod_Prop!$B:$B,$Q322,Prod_Prop!$H:$H,V322,Prod_Prop!$I:$I,X$1)*IF(V322="Peso",$R322,1))</f>
        <v/>
      </c>
      <c r="Y322" s="4" t="str">
        <f>IFERROR(__xludf.DUMMYFUNCTION("IF(OR($U322="""",COUNTIF($I:$I,IFERROR(unique(filter(Prod_Prop!$H:$H,Prod_Prop!$G:$G=$U322,Prod_Prop!$E:$E=Y$1)),""Check""))=0),"""",IFERROR(unique(filter(Prod_Prop!$H:$H,Prod_Prop!$G:$G=$U322,Prod_Prop!$E:$E=Y$1)),""""))"),"")</f>
        <v/>
      </c>
      <c r="Z322" s="4" t="str">
        <f>IF(Y322="","",SUMIFS(Prod_Prop!$J:$J,Prod_Prop!$B:$B,$Q322,Prod_Prop!$H:$H,Y322,Prod_Prop!$I:$I,Z$1)*IF(Y322="Peso",$R322,1))</f>
        <v/>
      </c>
      <c r="AA322" s="4" t="str">
        <f>IF(Y322="","",SUMIFS(Prod_Prop!$J:$J,Prod_Prop!$B:$B,$Q322,Prod_Prop!$H:$H,Y322,Prod_Prop!$I:$I,AA$1)*IF(Y322="Peso",$R322,1))</f>
        <v/>
      </c>
      <c r="AB322" s="4" t="str">
        <f>IFERROR(__xludf.DUMMYFUNCTION("IF(OR($U322="""",COUNTIF($I:$I,IFERROR(unique(filter(Prod_Prop!$H:$H,Prod_Prop!$G:$G=$U322,Prod_Prop!$E:$E=AB$1)),""Check""))=0),"""",IFERROR(unique(filter(Prod_Prop!$H:$H,Prod_Prop!$G:$G=$U322,Prod_Prop!$E:$E=AB$1)),""""))"),"")</f>
        <v/>
      </c>
      <c r="AC322" s="4" t="str">
        <f>IF(AB322="","",SUMIFS(Prod_Prop!$J:$J,Prod_Prop!$B:$B,$Q322,Prod_Prop!$H:$H,AB322,Prod_Prop!$I:$I,AC$1)*IF(AB322="Peso",$R322,1))</f>
        <v/>
      </c>
      <c r="AD322" s="4" t="str">
        <f>IF(AB322="","",SUMIFS(Prod_Prop!$J:$J,Prod_Prop!$B:$B,$Q322,Prod_Prop!$H:$H,AB322,Prod_Prop!$I:$I,AD$1)*IF(AB322="Peso",$R322,1))</f>
        <v/>
      </c>
    </row>
    <row r="323">
      <c r="A323" s="4" t="str">
        <f t="array" ref="A323">IF(COUNTIF(A$1:A322,Cotizador!F$2)=maxifs(Familias!E:E,Familias!D:D,Cotizador!F$2),IF(COUNTIF(A$1:A322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3" s="4" t="str">
        <f t="shared" si="1"/>
        <v/>
      </c>
      <c r="C323" s="4" t="str">
        <f t="array" ref="C323">IF(B323="","",IF(A323=XLOOKUP(A$2,Implementos!B:B,Implementos!C:C,"",0,1),B323+maxifs(B$1:B322,A$1:A322,A$2),B323))</f>
        <v/>
      </c>
      <c r="D323" s="4" t="str">
        <f>IF(B323="","", COUNTIFS(Productos!F:F,A323,Productos!H:H,B323)+IF(F323="SI",0,1))</f>
        <v/>
      </c>
      <c r="E323" s="4" t="str">
        <f>IFERROR(__xludf.DUMMYFUNCTION("IF($B323="""","""",INDEX(filter(Familias!F:F,Familias!$D:$D=$A323,Familias!$E:$E=$B323),1))"),"")</f>
        <v/>
      </c>
      <c r="F323" s="4" t="str">
        <f>IFERROR(__xludf.DUMMYFUNCTION("IF($B323="""","""",INDEX(filter(Familias!G:G,Familias!$D:$D=$A323,Familias!$E:$E=$B323),1))"),"")</f>
        <v/>
      </c>
      <c r="G323" s="4" t="str">
        <f t="array" ref="G323">IF(C323=1,XLOOKUP(C323,Cotizador!D:D,Cotizador!E:E,"",0,1),"")</f>
        <v/>
      </c>
      <c r="I323" s="4"/>
      <c r="J323" s="8" t="str">
        <f>IF(I323="","",SUMIF(Cotizador!I$1:V$1,I323,Cotizador!I$2:V$2))</f>
        <v/>
      </c>
      <c r="L323" s="4" t="str">
        <f t="array" ref="L323">IF(COUNTIF(L$1:L322,A$2)=SUMIF(A:A,A$2,D:D),IF(COUNTIF(L$1:L322,XLOOKUP(A$2,Implementos!B:B,Implementos!C:C,"",0,1))=SUMIF(A:A,XLOOKUP(A$2,Implementos!B:B,Implementos!C:C,"",0,1),D:D),"",XLOOKUP(A$2,Implementos!B:B,Implementos!C:C,"",0,1)),A$2)</f>
        <v/>
      </c>
      <c r="M323" s="4" t="str">
        <f t="shared" si="2"/>
        <v/>
      </c>
      <c r="N323" s="4" t="str">
        <f t="shared" si="3"/>
        <v/>
      </c>
      <c r="O323" s="4" t="str">
        <f t="shared" si="4"/>
        <v/>
      </c>
      <c r="P323" s="4" t="str">
        <f t="shared" si="5"/>
        <v/>
      </c>
      <c r="Q323" s="4" t="str">
        <f>IF(U323="","",SUMIF(Productos!E:E,U323,Productos!A:A))</f>
        <v/>
      </c>
      <c r="R323" s="4" t="str">
        <f t="array" ref="R323">IF(L323="","", max(1,SUMIF(I:I,XLOOKUP(U323,Productos!E:E,Productos!G:G,"",0,1),J:J)))</f>
        <v/>
      </c>
      <c r="S323" s="4" t="str">
        <f>IF(Q323="","",IF(SUMIFS(Compat_Vetado!D:D,Compat_Vetado!B:B,SUM(G:G),Compat_Vetado!C:C,Q323)=1,"SI",IF(OR(SUMIF(Cotizador!E:E,Q323,Cotizador!G:G)&gt;0,SUMIFS(Compat_Vetado!D:D,Compat_Vetado!B:B,SUM(G:G),Compat_Vetado!C:C,Q323)=-1),"NO","")))</f>
        <v/>
      </c>
      <c r="T323" s="4" t="str">
        <f t="shared" si="6"/>
        <v/>
      </c>
      <c r="U323" s="4" t="str">
        <f>IFERROR(__xludf.DUMMYFUNCTION("IF(P323="""","""",IFERROR(INDEX(filter(Productos!E:E,Productos!F:F=L323,Productos!H:H=N323),P323),IF(M323=SUM(D:D),""Finalizar"",""-"")))"),"")</f>
        <v/>
      </c>
      <c r="V323" s="4" t="str">
        <f>IFERROR(__xludf.DUMMYFUNCTION("IF(OR($U323="""",COUNTIF($I:$I,IFERROR(unique(filter(Prod_Prop!$H:$H,Prod_Prop!$G:$G=$U323,Prod_Prop!$E:$E=V$1)),""Check""))=0),"""",IFERROR(unique(filter(Prod_Prop!$H:$H,Prod_Prop!$G:$G=$U323,Prod_Prop!$E:$E=V$1)),""""))"),"")</f>
        <v/>
      </c>
      <c r="W323" s="4" t="str">
        <f>IF(V323="","",SUMIFS(Prod_Prop!$J:$J,Prod_Prop!$B:$B,$Q323,Prod_Prop!$H:$H,V323,Prod_Prop!$I:$I,W$1)*IF(V323="Peso",$R323,1))</f>
        <v/>
      </c>
      <c r="X323" s="4" t="str">
        <f>IF(V323="","",SUMIFS(Prod_Prop!$J:$J,Prod_Prop!$B:$B,$Q323,Prod_Prop!$H:$H,V323,Prod_Prop!$I:$I,X$1)*IF(V323="Peso",$R323,1))</f>
        <v/>
      </c>
      <c r="Y323" s="4" t="str">
        <f>IFERROR(__xludf.DUMMYFUNCTION("IF(OR($U323="""",COUNTIF($I:$I,IFERROR(unique(filter(Prod_Prop!$H:$H,Prod_Prop!$G:$G=$U323,Prod_Prop!$E:$E=Y$1)),""Check""))=0),"""",IFERROR(unique(filter(Prod_Prop!$H:$H,Prod_Prop!$G:$G=$U323,Prod_Prop!$E:$E=Y$1)),""""))"),"")</f>
        <v/>
      </c>
      <c r="Z323" s="4" t="str">
        <f>IF(Y323="","",SUMIFS(Prod_Prop!$J:$J,Prod_Prop!$B:$B,$Q323,Prod_Prop!$H:$H,Y323,Prod_Prop!$I:$I,Z$1)*IF(Y323="Peso",$R323,1))</f>
        <v/>
      </c>
      <c r="AA323" s="4" t="str">
        <f>IF(Y323="","",SUMIFS(Prod_Prop!$J:$J,Prod_Prop!$B:$B,$Q323,Prod_Prop!$H:$H,Y323,Prod_Prop!$I:$I,AA$1)*IF(Y323="Peso",$R323,1))</f>
        <v/>
      </c>
      <c r="AB323" s="4" t="str">
        <f>IFERROR(__xludf.DUMMYFUNCTION("IF(OR($U323="""",COUNTIF($I:$I,IFERROR(unique(filter(Prod_Prop!$H:$H,Prod_Prop!$G:$G=$U323,Prod_Prop!$E:$E=AB$1)),""Check""))=0),"""",IFERROR(unique(filter(Prod_Prop!$H:$H,Prod_Prop!$G:$G=$U323,Prod_Prop!$E:$E=AB$1)),""""))"),"")</f>
        <v/>
      </c>
      <c r="AC323" s="4" t="str">
        <f>IF(AB323="","",SUMIFS(Prod_Prop!$J:$J,Prod_Prop!$B:$B,$Q323,Prod_Prop!$H:$H,AB323,Prod_Prop!$I:$I,AC$1)*IF(AB323="Peso",$R323,1))</f>
        <v/>
      </c>
      <c r="AD323" s="4" t="str">
        <f>IF(AB323="","",SUMIFS(Prod_Prop!$J:$J,Prod_Prop!$B:$B,$Q323,Prod_Prop!$H:$H,AB323,Prod_Prop!$I:$I,AD$1)*IF(AB323="Peso",$R323,1))</f>
        <v/>
      </c>
    </row>
    <row r="324">
      <c r="A324" s="4" t="str">
        <f t="array" ref="A324">IF(COUNTIF(A$1:A323,Cotizador!F$2)=maxifs(Familias!E:E,Familias!D:D,Cotizador!F$2),IF(COUNTIF(A$1:A323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4" s="4" t="str">
        <f t="shared" si="1"/>
        <v/>
      </c>
      <c r="C324" s="4" t="str">
        <f t="array" ref="C324">IF(B324="","",IF(A324=XLOOKUP(A$2,Implementos!B:B,Implementos!C:C,"",0,1),B324+maxifs(B$1:B323,A$1:A323,A$2),B324))</f>
        <v/>
      </c>
      <c r="D324" s="4" t="str">
        <f>IF(B324="","", COUNTIFS(Productos!F:F,A324,Productos!H:H,B324)+IF(F324="SI",0,1))</f>
        <v/>
      </c>
      <c r="E324" s="4" t="str">
        <f>IFERROR(__xludf.DUMMYFUNCTION("IF($B324="""","""",INDEX(filter(Familias!F:F,Familias!$D:$D=$A324,Familias!$E:$E=$B324),1))"),"")</f>
        <v/>
      </c>
      <c r="F324" s="4" t="str">
        <f>IFERROR(__xludf.DUMMYFUNCTION("IF($B324="""","""",INDEX(filter(Familias!G:G,Familias!$D:$D=$A324,Familias!$E:$E=$B324),1))"),"")</f>
        <v/>
      </c>
      <c r="G324" s="4" t="str">
        <f t="array" ref="G324">IF(C324=1,XLOOKUP(C324,Cotizador!D:D,Cotizador!E:E,"",0,1),"")</f>
        <v/>
      </c>
      <c r="I324" s="4"/>
      <c r="J324" s="8" t="str">
        <f>IF(I324="","",SUMIF(Cotizador!I$1:V$1,I324,Cotizador!I$2:V$2))</f>
        <v/>
      </c>
      <c r="L324" s="4" t="str">
        <f t="array" ref="L324">IF(COUNTIF(L$1:L323,A$2)=SUMIF(A:A,A$2,D:D),IF(COUNTIF(L$1:L323,XLOOKUP(A$2,Implementos!B:B,Implementos!C:C,"",0,1))=SUMIF(A:A,XLOOKUP(A$2,Implementos!B:B,Implementos!C:C,"",0,1),D:D),"",XLOOKUP(A$2,Implementos!B:B,Implementos!C:C,"",0,1)),A$2)</f>
        <v/>
      </c>
      <c r="M324" s="4" t="str">
        <f t="shared" si="2"/>
        <v/>
      </c>
      <c r="N324" s="4" t="str">
        <f t="shared" si="3"/>
        <v/>
      </c>
      <c r="O324" s="4" t="str">
        <f t="shared" si="4"/>
        <v/>
      </c>
      <c r="P324" s="4" t="str">
        <f t="shared" si="5"/>
        <v/>
      </c>
      <c r="Q324" s="4" t="str">
        <f>IF(U324="","",SUMIF(Productos!E:E,U324,Productos!A:A))</f>
        <v/>
      </c>
      <c r="R324" s="4" t="str">
        <f t="array" ref="R324">IF(L324="","", max(1,SUMIF(I:I,XLOOKUP(U324,Productos!E:E,Productos!G:G,"",0,1),J:J)))</f>
        <v/>
      </c>
      <c r="S324" s="4" t="str">
        <f>IF(Q324="","",IF(SUMIFS(Compat_Vetado!D:D,Compat_Vetado!B:B,SUM(G:G),Compat_Vetado!C:C,Q324)=1,"SI",IF(OR(SUMIF(Cotizador!E:E,Q324,Cotizador!G:G)&gt;0,SUMIFS(Compat_Vetado!D:D,Compat_Vetado!B:B,SUM(G:G),Compat_Vetado!C:C,Q324)=-1),"NO","")))</f>
        <v/>
      </c>
      <c r="T324" s="4" t="str">
        <f t="shared" si="6"/>
        <v/>
      </c>
      <c r="U324" s="4" t="str">
        <f>IFERROR(__xludf.DUMMYFUNCTION("IF(P324="""","""",IFERROR(INDEX(filter(Productos!E:E,Productos!F:F=L324,Productos!H:H=N324),P324),IF(M324=SUM(D:D),""Finalizar"",""-"")))"),"")</f>
        <v/>
      </c>
      <c r="V324" s="4" t="str">
        <f>IFERROR(__xludf.DUMMYFUNCTION("IF(OR($U324="""",COUNTIF($I:$I,IFERROR(unique(filter(Prod_Prop!$H:$H,Prod_Prop!$G:$G=$U324,Prod_Prop!$E:$E=V$1)),""Check""))=0),"""",IFERROR(unique(filter(Prod_Prop!$H:$H,Prod_Prop!$G:$G=$U324,Prod_Prop!$E:$E=V$1)),""""))"),"")</f>
        <v/>
      </c>
      <c r="W324" s="4" t="str">
        <f>IF(V324="","",SUMIFS(Prod_Prop!$J:$J,Prod_Prop!$B:$B,$Q324,Prod_Prop!$H:$H,V324,Prod_Prop!$I:$I,W$1)*IF(V324="Peso",$R324,1))</f>
        <v/>
      </c>
      <c r="X324" s="4" t="str">
        <f>IF(V324="","",SUMIFS(Prod_Prop!$J:$J,Prod_Prop!$B:$B,$Q324,Prod_Prop!$H:$H,V324,Prod_Prop!$I:$I,X$1)*IF(V324="Peso",$R324,1))</f>
        <v/>
      </c>
      <c r="Y324" s="4" t="str">
        <f>IFERROR(__xludf.DUMMYFUNCTION("IF(OR($U324="""",COUNTIF($I:$I,IFERROR(unique(filter(Prod_Prop!$H:$H,Prod_Prop!$G:$G=$U324,Prod_Prop!$E:$E=Y$1)),""Check""))=0),"""",IFERROR(unique(filter(Prod_Prop!$H:$H,Prod_Prop!$G:$G=$U324,Prod_Prop!$E:$E=Y$1)),""""))"),"")</f>
        <v/>
      </c>
      <c r="Z324" s="4" t="str">
        <f>IF(Y324="","",SUMIFS(Prod_Prop!$J:$J,Prod_Prop!$B:$B,$Q324,Prod_Prop!$H:$H,Y324,Prod_Prop!$I:$I,Z$1)*IF(Y324="Peso",$R324,1))</f>
        <v/>
      </c>
      <c r="AA324" s="4" t="str">
        <f>IF(Y324="","",SUMIFS(Prod_Prop!$J:$J,Prod_Prop!$B:$B,$Q324,Prod_Prop!$H:$H,Y324,Prod_Prop!$I:$I,AA$1)*IF(Y324="Peso",$R324,1))</f>
        <v/>
      </c>
      <c r="AB324" s="4" t="str">
        <f>IFERROR(__xludf.DUMMYFUNCTION("IF(OR($U324="""",COUNTIF($I:$I,IFERROR(unique(filter(Prod_Prop!$H:$H,Prod_Prop!$G:$G=$U324,Prod_Prop!$E:$E=AB$1)),""Check""))=0),"""",IFERROR(unique(filter(Prod_Prop!$H:$H,Prod_Prop!$G:$G=$U324,Prod_Prop!$E:$E=AB$1)),""""))"),"")</f>
        <v/>
      </c>
      <c r="AC324" s="4" t="str">
        <f>IF(AB324="","",SUMIFS(Prod_Prop!$J:$J,Prod_Prop!$B:$B,$Q324,Prod_Prop!$H:$H,AB324,Prod_Prop!$I:$I,AC$1)*IF(AB324="Peso",$R324,1))</f>
        <v/>
      </c>
      <c r="AD324" s="4" t="str">
        <f>IF(AB324="","",SUMIFS(Prod_Prop!$J:$J,Prod_Prop!$B:$B,$Q324,Prod_Prop!$H:$H,AB324,Prod_Prop!$I:$I,AD$1)*IF(AB324="Peso",$R324,1))</f>
        <v/>
      </c>
    </row>
    <row r="325">
      <c r="A325" s="4" t="str">
        <f t="array" ref="A325">IF(COUNTIF(A$1:A324,Cotizador!F$2)=maxifs(Familias!E:E,Familias!D:D,Cotizador!F$2),IF(COUNTIF(A$1:A324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5" s="4" t="str">
        <f t="shared" si="1"/>
        <v/>
      </c>
      <c r="C325" s="4" t="str">
        <f t="array" ref="C325">IF(B325="","",IF(A325=XLOOKUP(A$2,Implementos!B:B,Implementos!C:C,"",0,1),B325+maxifs(B$1:B324,A$1:A324,A$2),B325))</f>
        <v/>
      </c>
      <c r="D325" s="4" t="str">
        <f>IF(B325="","", COUNTIFS(Productos!F:F,A325,Productos!H:H,B325)+IF(F325="SI",0,1))</f>
        <v/>
      </c>
      <c r="E325" s="4" t="str">
        <f>IFERROR(__xludf.DUMMYFUNCTION("IF($B325="""","""",INDEX(filter(Familias!F:F,Familias!$D:$D=$A325,Familias!$E:$E=$B325),1))"),"")</f>
        <v/>
      </c>
      <c r="F325" s="4" t="str">
        <f>IFERROR(__xludf.DUMMYFUNCTION("IF($B325="""","""",INDEX(filter(Familias!G:G,Familias!$D:$D=$A325,Familias!$E:$E=$B325),1))"),"")</f>
        <v/>
      </c>
      <c r="G325" s="4" t="str">
        <f t="array" ref="G325">IF(C325=1,XLOOKUP(C325,Cotizador!D:D,Cotizador!E:E,"",0,1),"")</f>
        <v/>
      </c>
      <c r="I325" s="4"/>
      <c r="J325" s="8" t="str">
        <f>IF(I325="","",SUMIF(Cotizador!I$1:V$1,I325,Cotizador!I$2:V$2))</f>
        <v/>
      </c>
      <c r="L325" s="4" t="str">
        <f t="array" ref="L325">IF(COUNTIF(L$1:L324,A$2)=SUMIF(A:A,A$2,D:D),IF(COUNTIF(L$1:L324,XLOOKUP(A$2,Implementos!B:B,Implementos!C:C,"",0,1))=SUMIF(A:A,XLOOKUP(A$2,Implementos!B:B,Implementos!C:C,"",0,1),D:D),"",XLOOKUP(A$2,Implementos!B:B,Implementos!C:C,"",0,1)),A$2)</f>
        <v/>
      </c>
      <c r="M325" s="4" t="str">
        <f t="shared" si="2"/>
        <v/>
      </c>
      <c r="N325" s="4" t="str">
        <f t="shared" si="3"/>
        <v/>
      </c>
      <c r="O325" s="4" t="str">
        <f t="shared" si="4"/>
        <v/>
      </c>
      <c r="P325" s="4" t="str">
        <f t="shared" si="5"/>
        <v/>
      </c>
      <c r="Q325" s="4" t="str">
        <f>IF(U325="","",SUMIF(Productos!E:E,U325,Productos!A:A))</f>
        <v/>
      </c>
      <c r="R325" s="4" t="str">
        <f t="array" ref="R325">IF(L325="","", max(1,SUMIF(I:I,XLOOKUP(U325,Productos!E:E,Productos!G:G,"",0,1),J:J)))</f>
        <v/>
      </c>
      <c r="S325" s="4" t="str">
        <f>IF(Q325="","",IF(SUMIFS(Compat_Vetado!D:D,Compat_Vetado!B:B,SUM(G:G),Compat_Vetado!C:C,Q325)=1,"SI",IF(OR(SUMIF(Cotizador!E:E,Q325,Cotizador!G:G)&gt;0,SUMIFS(Compat_Vetado!D:D,Compat_Vetado!B:B,SUM(G:G),Compat_Vetado!C:C,Q325)=-1),"NO","")))</f>
        <v/>
      </c>
      <c r="T325" s="4" t="str">
        <f t="shared" si="6"/>
        <v/>
      </c>
      <c r="U325" s="4" t="str">
        <f>IFERROR(__xludf.DUMMYFUNCTION("IF(P325="""","""",IFERROR(INDEX(filter(Productos!E:E,Productos!F:F=L325,Productos!H:H=N325),P325),IF(M325=SUM(D:D),""Finalizar"",""-"")))"),"")</f>
        <v/>
      </c>
      <c r="V325" s="4" t="str">
        <f>IFERROR(__xludf.DUMMYFUNCTION("IF(OR($U325="""",COUNTIF($I:$I,IFERROR(unique(filter(Prod_Prop!$H:$H,Prod_Prop!$G:$G=$U325,Prod_Prop!$E:$E=V$1)),""Check""))=0),"""",IFERROR(unique(filter(Prod_Prop!$H:$H,Prod_Prop!$G:$G=$U325,Prod_Prop!$E:$E=V$1)),""""))"),"")</f>
        <v/>
      </c>
      <c r="W325" s="4" t="str">
        <f>IF(V325="","",SUMIFS(Prod_Prop!$J:$J,Prod_Prop!$B:$B,$Q325,Prod_Prop!$H:$H,V325,Prod_Prop!$I:$I,W$1)*IF(V325="Peso",$R325,1))</f>
        <v/>
      </c>
      <c r="X325" s="4" t="str">
        <f>IF(V325="","",SUMIFS(Prod_Prop!$J:$J,Prod_Prop!$B:$B,$Q325,Prod_Prop!$H:$H,V325,Prod_Prop!$I:$I,X$1)*IF(V325="Peso",$R325,1))</f>
        <v/>
      </c>
      <c r="Y325" s="4" t="str">
        <f>IFERROR(__xludf.DUMMYFUNCTION("IF(OR($U325="""",COUNTIF($I:$I,IFERROR(unique(filter(Prod_Prop!$H:$H,Prod_Prop!$G:$G=$U325,Prod_Prop!$E:$E=Y$1)),""Check""))=0),"""",IFERROR(unique(filter(Prod_Prop!$H:$H,Prod_Prop!$G:$G=$U325,Prod_Prop!$E:$E=Y$1)),""""))"),"")</f>
        <v/>
      </c>
      <c r="Z325" s="4" t="str">
        <f>IF(Y325="","",SUMIFS(Prod_Prop!$J:$J,Prod_Prop!$B:$B,$Q325,Prod_Prop!$H:$H,Y325,Prod_Prop!$I:$I,Z$1)*IF(Y325="Peso",$R325,1))</f>
        <v/>
      </c>
      <c r="AA325" s="4" t="str">
        <f>IF(Y325="","",SUMIFS(Prod_Prop!$J:$J,Prod_Prop!$B:$B,$Q325,Prod_Prop!$H:$H,Y325,Prod_Prop!$I:$I,AA$1)*IF(Y325="Peso",$R325,1))</f>
        <v/>
      </c>
      <c r="AB325" s="4" t="str">
        <f>IFERROR(__xludf.DUMMYFUNCTION("IF(OR($U325="""",COUNTIF($I:$I,IFERROR(unique(filter(Prod_Prop!$H:$H,Prod_Prop!$G:$G=$U325,Prod_Prop!$E:$E=AB$1)),""Check""))=0),"""",IFERROR(unique(filter(Prod_Prop!$H:$H,Prod_Prop!$G:$G=$U325,Prod_Prop!$E:$E=AB$1)),""""))"),"")</f>
        <v/>
      </c>
      <c r="AC325" s="4" t="str">
        <f>IF(AB325="","",SUMIFS(Prod_Prop!$J:$J,Prod_Prop!$B:$B,$Q325,Prod_Prop!$H:$H,AB325,Prod_Prop!$I:$I,AC$1)*IF(AB325="Peso",$R325,1))</f>
        <v/>
      </c>
      <c r="AD325" s="4" t="str">
        <f>IF(AB325="","",SUMIFS(Prod_Prop!$J:$J,Prod_Prop!$B:$B,$Q325,Prod_Prop!$H:$H,AB325,Prod_Prop!$I:$I,AD$1)*IF(AB325="Peso",$R325,1))</f>
        <v/>
      </c>
    </row>
    <row r="326">
      <c r="A326" s="4" t="str">
        <f t="array" ref="A326">IF(COUNTIF(A$1:A325,Cotizador!F$2)=maxifs(Familias!E:E,Familias!D:D,Cotizador!F$2),IF(COUNTIF(A$1:A325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6" s="4" t="str">
        <f t="shared" si="1"/>
        <v/>
      </c>
      <c r="C326" s="4" t="str">
        <f t="array" ref="C326">IF(B326="","",IF(A326=XLOOKUP(A$2,Implementos!B:B,Implementos!C:C,"",0,1),B326+maxifs(B$1:B325,A$1:A325,A$2),B326))</f>
        <v/>
      </c>
      <c r="D326" s="4" t="str">
        <f>IF(B326="","", COUNTIFS(Productos!F:F,A326,Productos!H:H,B326)+IF(F326="SI",0,1))</f>
        <v/>
      </c>
      <c r="E326" s="4" t="str">
        <f>IFERROR(__xludf.DUMMYFUNCTION("IF($B326="""","""",INDEX(filter(Familias!F:F,Familias!$D:$D=$A326,Familias!$E:$E=$B326),1))"),"")</f>
        <v/>
      </c>
      <c r="F326" s="4" t="str">
        <f>IFERROR(__xludf.DUMMYFUNCTION("IF($B326="""","""",INDEX(filter(Familias!G:G,Familias!$D:$D=$A326,Familias!$E:$E=$B326),1))"),"")</f>
        <v/>
      </c>
      <c r="G326" s="4" t="str">
        <f t="array" ref="G326">IF(C326=1,XLOOKUP(C326,Cotizador!D:D,Cotizador!E:E,"",0,1),"")</f>
        <v/>
      </c>
      <c r="I326" s="4"/>
      <c r="J326" s="8" t="str">
        <f>IF(I326="","",SUMIF(Cotizador!I$1:V$1,I326,Cotizador!I$2:V$2))</f>
        <v/>
      </c>
      <c r="L326" s="4" t="str">
        <f t="array" ref="L326">IF(COUNTIF(L$1:L325,A$2)=SUMIF(A:A,A$2,D:D),IF(COUNTIF(L$1:L325,XLOOKUP(A$2,Implementos!B:B,Implementos!C:C,"",0,1))=SUMIF(A:A,XLOOKUP(A$2,Implementos!B:B,Implementos!C:C,"",0,1),D:D),"",XLOOKUP(A$2,Implementos!B:B,Implementos!C:C,"",0,1)),A$2)</f>
        <v/>
      </c>
      <c r="M326" s="4" t="str">
        <f t="shared" si="2"/>
        <v/>
      </c>
      <c r="N326" s="4" t="str">
        <f t="shared" si="3"/>
        <v/>
      </c>
      <c r="O326" s="4" t="str">
        <f t="shared" si="4"/>
        <v/>
      </c>
      <c r="P326" s="4" t="str">
        <f t="shared" si="5"/>
        <v/>
      </c>
      <c r="Q326" s="4" t="str">
        <f>IF(U326="","",SUMIF(Productos!E:E,U326,Productos!A:A))</f>
        <v/>
      </c>
      <c r="R326" s="4" t="str">
        <f t="array" ref="R326">IF(L326="","", max(1,SUMIF(I:I,XLOOKUP(U326,Productos!E:E,Productos!G:G,"",0,1),J:J)))</f>
        <v/>
      </c>
      <c r="S326" s="4" t="str">
        <f>IF(Q326="","",IF(SUMIFS(Compat_Vetado!D:D,Compat_Vetado!B:B,SUM(G:G),Compat_Vetado!C:C,Q326)=1,"SI",IF(OR(SUMIF(Cotizador!E:E,Q326,Cotizador!G:G)&gt;0,SUMIFS(Compat_Vetado!D:D,Compat_Vetado!B:B,SUM(G:G),Compat_Vetado!C:C,Q326)=-1),"NO","")))</f>
        <v/>
      </c>
      <c r="T326" s="4" t="str">
        <f t="shared" si="6"/>
        <v/>
      </c>
      <c r="U326" s="4" t="str">
        <f>IFERROR(__xludf.DUMMYFUNCTION("IF(P326="""","""",IFERROR(INDEX(filter(Productos!E:E,Productos!F:F=L326,Productos!H:H=N326),P326),IF(M326=SUM(D:D),""Finalizar"",""-"")))"),"")</f>
        <v/>
      </c>
      <c r="V326" s="4" t="str">
        <f>IFERROR(__xludf.DUMMYFUNCTION("IF(OR($U326="""",COUNTIF($I:$I,IFERROR(unique(filter(Prod_Prop!$H:$H,Prod_Prop!$G:$G=$U326,Prod_Prop!$E:$E=V$1)),""Check""))=0),"""",IFERROR(unique(filter(Prod_Prop!$H:$H,Prod_Prop!$G:$G=$U326,Prod_Prop!$E:$E=V$1)),""""))"),"")</f>
        <v/>
      </c>
      <c r="W326" s="4" t="str">
        <f>IF(V326="","",SUMIFS(Prod_Prop!$J:$J,Prod_Prop!$B:$B,$Q326,Prod_Prop!$H:$H,V326,Prod_Prop!$I:$I,W$1)*IF(V326="Peso",$R326,1))</f>
        <v/>
      </c>
      <c r="X326" s="4" t="str">
        <f>IF(V326="","",SUMIFS(Prod_Prop!$J:$J,Prod_Prop!$B:$B,$Q326,Prod_Prop!$H:$H,V326,Prod_Prop!$I:$I,X$1)*IF(V326="Peso",$R326,1))</f>
        <v/>
      </c>
      <c r="Y326" s="4" t="str">
        <f>IFERROR(__xludf.DUMMYFUNCTION("IF(OR($U326="""",COUNTIF($I:$I,IFERROR(unique(filter(Prod_Prop!$H:$H,Prod_Prop!$G:$G=$U326,Prod_Prop!$E:$E=Y$1)),""Check""))=0),"""",IFERROR(unique(filter(Prod_Prop!$H:$H,Prod_Prop!$G:$G=$U326,Prod_Prop!$E:$E=Y$1)),""""))"),"")</f>
        <v/>
      </c>
      <c r="Z326" s="4" t="str">
        <f>IF(Y326="","",SUMIFS(Prod_Prop!$J:$J,Prod_Prop!$B:$B,$Q326,Prod_Prop!$H:$H,Y326,Prod_Prop!$I:$I,Z$1)*IF(Y326="Peso",$R326,1))</f>
        <v/>
      </c>
      <c r="AA326" s="4" t="str">
        <f>IF(Y326="","",SUMIFS(Prod_Prop!$J:$J,Prod_Prop!$B:$B,$Q326,Prod_Prop!$H:$H,Y326,Prod_Prop!$I:$I,AA$1)*IF(Y326="Peso",$R326,1))</f>
        <v/>
      </c>
      <c r="AB326" s="4" t="str">
        <f>IFERROR(__xludf.DUMMYFUNCTION("IF(OR($U326="""",COUNTIF($I:$I,IFERROR(unique(filter(Prod_Prop!$H:$H,Prod_Prop!$G:$G=$U326,Prod_Prop!$E:$E=AB$1)),""Check""))=0),"""",IFERROR(unique(filter(Prod_Prop!$H:$H,Prod_Prop!$G:$G=$U326,Prod_Prop!$E:$E=AB$1)),""""))"),"")</f>
        <v/>
      </c>
      <c r="AC326" s="4" t="str">
        <f>IF(AB326="","",SUMIFS(Prod_Prop!$J:$J,Prod_Prop!$B:$B,$Q326,Prod_Prop!$H:$H,AB326,Prod_Prop!$I:$I,AC$1)*IF(AB326="Peso",$R326,1))</f>
        <v/>
      </c>
      <c r="AD326" s="4" t="str">
        <f>IF(AB326="","",SUMIFS(Prod_Prop!$J:$J,Prod_Prop!$B:$B,$Q326,Prod_Prop!$H:$H,AB326,Prod_Prop!$I:$I,AD$1)*IF(AB326="Peso",$R326,1))</f>
        <v/>
      </c>
    </row>
    <row r="327">
      <c r="A327" s="4" t="str">
        <f t="array" ref="A327">IF(COUNTIF(A$1:A326,Cotizador!F$2)=maxifs(Familias!E:E,Familias!D:D,Cotizador!F$2),IF(COUNTIF(A$1:A326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7" s="4" t="str">
        <f t="shared" si="1"/>
        <v/>
      </c>
      <c r="C327" s="4" t="str">
        <f t="array" ref="C327">IF(B327="","",IF(A327=XLOOKUP(A$2,Implementos!B:B,Implementos!C:C,"",0,1),B327+maxifs(B$1:B326,A$1:A326,A$2),B327))</f>
        <v/>
      </c>
      <c r="D327" s="4" t="str">
        <f>IF(B327="","", COUNTIFS(Productos!F:F,A327,Productos!H:H,B327)+IF(F327="SI",0,1))</f>
        <v/>
      </c>
      <c r="E327" s="4" t="str">
        <f>IFERROR(__xludf.DUMMYFUNCTION("IF($B327="""","""",INDEX(filter(Familias!F:F,Familias!$D:$D=$A327,Familias!$E:$E=$B327),1))"),"")</f>
        <v/>
      </c>
      <c r="F327" s="4" t="str">
        <f>IFERROR(__xludf.DUMMYFUNCTION("IF($B327="""","""",INDEX(filter(Familias!G:G,Familias!$D:$D=$A327,Familias!$E:$E=$B327),1))"),"")</f>
        <v/>
      </c>
      <c r="G327" s="4" t="str">
        <f t="array" ref="G327">IF(C327=1,XLOOKUP(C327,Cotizador!D:D,Cotizador!E:E,"",0,1),"")</f>
        <v/>
      </c>
      <c r="I327" s="4"/>
      <c r="J327" s="8" t="str">
        <f>IF(I327="","",SUMIF(Cotizador!I$1:V$1,I327,Cotizador!I$2:V$2))</f>
        <v/>
      </c>
      <c r="L327" s="4" t="str">
        <f t="array" ref="L327">IF(COUNTIF(L$1:L326,A$2)=SUMIF(A:A,A$2,D:D),IF(COUNTIF(L$1:L326,XLOOKUP(A$2,Implementos!B:B,Implementos!C:C,"",0,1))=SUMIF(A:A,XLOOKUP(A$2,Implementos!B:B,Implementos!C:C,"",0,1),D:D),"",XLOOKUP(A$2,Implementos!B:B,Implementos!C:C,"",0,1)),A$2)</f>
        <v/>
      </c>
      <c r="M327" s="4" t="str">
        <f t="shared" si="2"/>
        <v/>
      </c>
      <c r="N327" s="4" t="str">
        <f t="shared" si="3"/>
        <v/>
      </c>
      <c r="O327" s="4" t="str">
        <f t="shared" si="4"/>
        <v/>
      </c>
      <c r="P327" s="4" t="str">
        <f t="shared" si="5"/>
        <v/>
      </c>
      <c r="Q327" s="4" t="str">
        <f>IF(U327="","",SUMIF(Productos!E:E,U327,Productos!A:A))</f>
        <v/>
      </c>
      <c r="R327" s="4" t="str">
        <f t="array" ref="R327">IF(L327="","", max(1,SUMIF(I:I,XLOOKUP(U327,Productos!E:E,Productos!G:G,"",0,1),J:J)))</f>
        <v/>
      </c>
      <c r="S327" s="4" t="str">
        <f>IF(Q327="","",IF(SUMIFS(Compat_Vetado!D:D,Compat_Vetado!B:B,SUM(G:G),Compat_Vetado!C:C,Q327)=1,"SI",IF(OR(SUMIF(Cotizador!E:E,Q327,Cotizador!G:G)&gt;0,SUMIFS(Compat_Vetado!D:D,Compat_Vetado!B:B,SUM(G:G),Compat_Vetado!C:C,Q327)=-1),"NO","")))</f>
        <v/>
      </c>
      <c r="T327" s="4" t="str">
        <f t="shared" si="6"/>
        <v/>
      </c>
      <c r="U327" s="4" t="str">
        <f>IFERROR(__xludf.DUMMYFUNCTION("IF(P327="""","""",IFERROR(INDEX(filter(Productos!E:E,Productos!F:F=L327,Productos!H:H=N327),P327),IF(M327=SUM(D:D),""Finalizar"",""-"")))"),"")</f>
        <v/>
      </c>
      <c r="V327" s="4" t="str">
        <f>IFERROR(__xludf.DUMMYFUNCTION("IF(OR($U327="""",COUNTIF($I:$I,IFERROR(unique(filter(Prod_Prop!$H:$H,Prod_Prop!$G:$G=$U327,Prod_Prop!$E:$E=V$1)),""Check""))=0),"""",IFERROR(unique(filter(Prod_Prop!$H:$H,Prod_Prop!$G:$G=$U327,Prod_Prop!$E:$E=V$1)),""""))"),"")</f>
        <v/>
      </c>
      <c r="W327" s="4" t="str">
        <f>IF(V327="","",SUMIFS(Prod_Prop!$J:$J,Prod_Prop!$B:$B,$Q327,Prod_Prop!$H:$H,V327,Prod_Prop!$I:$I,W$1)*IF(V327="Peso",$R327,1))</f>
        <v/>
      </c>
      <c r="X327" s="4" t="str">
        <f>IF(V327="","",SUMIFS(Prod_Prop!$J:$J,Prod_Prop!$B:$B,$Q327,Prod_Prop!$H:$H,V327,Prod_Prop!$I:$I,X$1)*IF(V327="Peso",$R327,1))</f>
        <v/>
      </c>
      <c r="Y327" s="4" t="str">
        <f>IFERROR(__xludf.DUMMYFUNCTION("IF(OR($U327="""",COUNTIF($I:$I,IFERROR(unique(filter(Prod_Prop!$H:$H,Prod_Prop!$G:$G=$U327,Prod_Prop!$E:$E=Y$1)),""Check""))=0),"""",IFERROR(unique(filter(Prod_Prop!$H:$H,Prod_Prop!$G:$G=$U327,Prod_Prop!$E:$E=Y$1)),""""))"),"")</f>
        <v/>
      </c>
      <c r="Z327" s="4" t="str">
        <f>IF(Y327="","",SUMIFS(Prod_Prop!$J:$J,Prod_Prop!$B:$B,$Q327,Prod_Prop!$H:$H,Y327,Prod_Prop!$I:$I,Z$1)*IF(Y327="Peso",$R327,1))</f>
        <v/>
      </c>
      <c r="AA327" s="4" t="str">
        <f>IF(Y327="","",SUMIFS(Prod_Prop!$J:$J,Prod_Prop!$B:$B,$Q327,Prod_Prop!$H:$H,Y327,Prod_Prop!$I:$I,AA$1)*IF(Y327="Peso",$R327,1))</f>
        <v/>
      </c>
      <c r="AB327" s="4" t="str">
        <f>IFERROR(__xludf.DUMMYFUNCTION("IF(OR($U327="""",COUNTIF($I:$I,IFERROR(unique(filter(Prod_Prop!$H:$H,Prod_Prop!$G:$G=$U327,Prod_Prop!$E:$E=AB$1)),""Check""))=0),"""",IFERROR(unique(filter(Prod_Prop!$H:$H,Prod_Prop!$G:$G=$U327,Prod_Prop!$E:$E=AB$1)),""""))"),"")</f>
        <v/>
      </c>
      <c r="AC327" s="4" t="str">
        <f>IF(AB327="","",SUMIFS(Prod_Prop!$J:$J,Prod_Prop!$B:$B,$Q327,Prod_Prop!$H:$H,AB327,Prod_Prop!$I:$I,AC$1)*IF(AB327="Peso",$R327,1))</f>
        <v/>
      </c>
      <c r="AD327" s="4" t="str">
        <f>IF(AB327="","",SUMIFS(Prod_Prop!$J:$J,Prod_Prop!$B:$B,$Q327,Prod_Prop!$H:$H,AB327,Prod_Prop!$I:$I,AD$1)*IF(AB327="Peso",$R327,1))</f>
        <v/>
      </c>
    </row>
    <row r="328">
      <c r="A328" s="4" t="str">
        <f t="array" ref="A328">IF(COUNTIF(A$1:A327,Cotizador!F$2)=maxifs(Familias!E:E,Familias!D:D,Cotizador!F$2),IF(COUNTIF(A$1:A327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8" s="4" t="str">
        <f t="shared" si="1"/>
        <v/>
      </c>
      <c r="C328" s="4" t="str">
        <f t="array" ref="C328">IF(B328="","",IF(A328=XLOOKUP(A$2,Implementos!B:B,Implementos!C:C,"",0,1),B328+maxifs(B$1:B327,A$1:A327,A$2),B328))</f>
        <v/>
      </c>
      <c r="D328" s="4" t="str">
        <f>IF(B328="","", COUNTIFS(Productos!F:F,A328,Productos!H:H,B328)+IF(F328="SI",0,1))</f>
        <v/>
      </c>
      <c r="E328" s="4" t="str">
        <f>IFERROR(__xludf.DUMMYFUNCTION("IF($B328="""","""",INDEX(filter(Familias!F:F,Familias!$D:$D=$A328,Familias!$E:$E=$B328),1))"),"")</f>
        <v/>
      </c>
      <c r="F328" s="4" t="str">
        <f>IFERROR(__xludf.DUMMYFUNCTION("IF($B328="""","""",INDEX(filter(Familias!G:G,Familias!$D:$D=$A328,Familias!$E:$E=$B328),1))"),"")</f>
        <v/>
      </c>
      <c r="G328" s="4" t="str">
        <f t="array" ref="G328">IF(C328=1,XLOOKUP(C328,Cotizador!D:D,Cotizador!E:E,"",0,1),"")</f>
        <v/>
      </c>
      <c r="I328" s="4"/>
      <c r="J328" s="8" t="str">
        <f>IF(I328="","",SUMIF(Cotizador!I$1:V$1,I328,Cotizador!I$2:V$2))</f>
        <v/>
      </c>
      <c r="L328" s="4" t="str">
        <f t="array" ref="L328">IF(COUNTIF(L$1:L327,A$2)=SUMIF(A:A,A$2,D:D),IF(COUNTIF(L$1:L327,XLOOKUP(A$2,Implementos!B:B,Implementos!C:C,"",0,1))=SUMIF(A:A,XLOOKUP(A$2,Implementos!B:B,Implementos!C:C,"",0,1),D:D),"",XLOOKUP(A$2,Implementos!B:B,Implementos!C:C,"",0,1)),A$2)</f>
        <v/>
      </c>
      <c r="M328" s="4" t="str">
        <f t="shared" si="2"/>
        <v/>
      </c>
      <c r="N328" s="4" t="str">
        <f t="shared" si="3"/>
        <v/>
      </c>
      <c r="O328" s="4" t="str">
        <f t="shared" si="4"/>
        <v/>
      </c>
      <c r="P328" s="4" t="str">
        <f t="shared" si="5"/>
        <v/>
      </c>
      <c r="Q328" s="4" t="str">
        <f>IF(U328="","",SUMIF(Productos!E:E,U328,Productos!A:A))</f>
        <v/>
      </c>
      <c r="R328" s="4" t="str">
        <f t="array" ref="R328">IF(L328="","", max(1,SUMIF(I:I,XLOOKUP(U328,Productos!E:E,Productos!G:G,"",0,1),J:J)))</f>
        <v/>
      </c>
      <c r="S328" s="4" t="str">
        <f>IF(Q328="","",IF(SUMIFS(Compat_Vetado!D:D,Compat_Vetado!B:B,SUM(G:G),Compat_Vetado!C:C,Q328)=1,"SI",IF(OR(SUMIF(Cotizador!E:E,Q328,Cotizador!G:G)&gt;0,SUMIFS(Compat_Vetado!D:D,Compat_Vetado!B:B,SUM(G:G),Compat_Vetado!C:C,Q328)=-1),"NO","")))</f>
        <v/>
      </c>
      <c r="T328" s="4" t="str">
        <f t="shared" si="6"/>
        <v/>
      </c>
      <c r="U328" s="4" t="str">
        <f>IFERROR(__xludf.DUMMYFUNCTION("IF(P328="""","""",IFERROR(INDEX(filter(Productos!E:E,Productos!F:F=L328,Productos!H:H=N328),P328),IF(M328=SUM(D:D),""Finalizar"",""-"")))"),"")</f>
        <v/>
      </c>
      <c r="V328" s="4" t="str">
        <f>IFERROR(__xludf.DUMMYFUNCTION("IF(OR($U328="""",COUNTIF($I:$I,IFERROR(unique(filter(Prod_Prop!$H:$H,Prod_Prop!$G:$G=$U328,Prod_Prop!$E:$E=V$1)),""Check""))=0),"""",IFERROR(unique(filter(Prod_Prop!$H:$H,Prod_Prop!$G:$G=$U328,Prod_Prop!$E:$E=V$1)),""""))"),"")</f>
        <v/>
      </c>
      <c r="W328" s="4" t="str">
        <f>IF(V328="","",SUMIFS(Prod_Prop!$J:$J,Prod_Prop!$B:$B,$Q328,Prod_Prop!$H:$H,V328,Prod_Prop!$I:$I,W$1)*IF(V328="Peso",$R328,1))</f>
        <v/>
      </c>
      <c r="X328" s="4" t="str">
        <f>IF(V328="","",SUMIFS(Prod_Prop!$J:$J,Prod_Prop!$B:$B,$Q328,Prod_Prop!$H:$H,V328,Prod_Prop!$I:$I,X$1)*IF(V328="Peso",$R328,1))</f>
        <v/>
      </c>
      <c r="Y328" s="4" t="str">
        <f>IFERROR(__xludf.DUMMYFUNCTION("IF(OR($U328="""",COUNTIF($I:$I,IFERROR(unique(filter(Prod_Prop!$H:$H,Prod_Prop!$G:$G=$U328,Prod_Prop!$E:$E=Y$1)),""Check""))=0),"""",IFERROR(unique(filter(Prod_Prop!$H:$H,Prod_Prop!$G:$G=$U328,Prod_Prop!$E:$E=Y$1)),""""))"),"")</f>
        <v/>
      </c>
      <c r="Z328" s="4" t="str">
        <f>IF(Y328="","",SUMIFS(Prod_Prop!$J:$J,Prod_Prop!$B:$B,$Q328,Prod_Prop!$H:$H,Y328,Prod_Prop!$I:$I,Z$1)*IF(Y328="Peso",$R328,1))</f>
        <v/>
      </c>
      <c r="AA328" s="4" t="str">
        <f>IF(Y328="","",SUMIFS(Prod_Prop!$J:$J,Prod_Prop!$B:$B,$Q328,Prod_Prop!$H:$H,Y328,Prod_Prop!$I:$I,AA$1)*IF(Y328="Peso",$R328,1))</f>
        <v/>
      </c>
      <c r="AB328" s="4" t="str">
        <f>IFERROR(__xludf.DUMMYFUNCTION("IF(OR($U328="""",COUNTIF($I:$I,IFERROR(unique(filter(Prod_Prop!$H:$H,Prod_Prop!$G:$G=$U328,Prod_Prop!$E:$E=AB$1)),""Check""))=0),"""",IFERROR(unique(filter(Prod_Prop!$H:$H,Prod_Prop!$G:$G=$U328,Prod_Prop!$E:$E=AB$1)),""""))"),"")</f>
        <v/>
      </c>
      <c r="AC328" s="4" t="str">
        <f>IF(AB328="","",SUMIFS(Prod_Prop!$J:$J,Prod_Prop!$B:$B,$Q328,Prod_Prop!$H:$H,AB328,Prod_Prop!$I:$I,AC$1)*IF(AB328="Peso",$R328,1))</f>
        <v/>
      </c>
      <c r="AD328" s="4" t="str">
        <f>IF(AB328="","",SUMIFS(Prod_Prop!$J:$J,Prod_Prop!$B:$B,$Q328,Prod_Prop!$H:$H,AB328,Prod_Prop!$I:$I,AD$1)*IF(AB328="Peso",$R328,1))</f>
        <v/>
      </c>
    </row>
    <row r="329">
      <c r="A329" s="4" t="str">
        <f t="array" ref="A329">IF(COUNTIF(A$1:A328,Cotizador!F$2)=maxifs(Familias!E:E,Familias!D:D,Cotizador!F$2),IF(COUNTIF(A$1:A328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29" s="4" t="str">
        <f t="shared" si="1"/>
        <v/>
      </c>
      <c r="C329" s="4" t="str">
        <f t="array" ref="C329">IF(B329="","",IF(A329=XLOOKUP(A$2,Implementos!B:B,Implementos!C:C,"",0,1),B329+maxifs(B$1:B328,A$1:A328,A$2),B329))</f>
        <v/>
      </c>
      <c r="D329" s="4" t="str">
        <f>IF(B329="","", COUNTIFS(Productos!F:F,A329,Productos!H:H,B329)+IF(F329="SI",0,1))</f>
        <v/>
      </c>
      <c r="E329" s="4" t="str">
        <f>IFERROR(__xludf.DUMMYFUNCTION("IF($B329="""","""",INDEX(filter(Familias!F:F,Familias!$D:$D=$A329,Familias!$E:$E=$B329),1))"),"")</f>
        <v/>
      </c>
      <c r="F329" s="4" t="str">
        <f>IFERROR(__xludf.DUMMYFUNCTION("IF($B329="""","""",INDEX(filter(Familias!G:G,Familias!$D:$D=$A329,Familias!$E:$E=$B329),1))"),"")</f>
        <v/>
      </c>
      <c r="G329" s="4" t="str">
        <f t="array" ref="G329">IF(C329=1,XLOOKUP(C329,Cotizador!D:D,Cotizador!E:E,"",0,1),"")</f>
        <v/>
      </c>
      <c r="I329" s="4"/>
      <c r="J329" s="8" t="str">
        <f>IF(I329="","",SUMIF(Cotizador!I$1:V$1,I329,Cotizador!I$2:V$2))</f>
        <v/>
      </c>
      <c r="L329" s="4" t="str">
        <f t="array" ref="L329">IF(COUNTIF(L$1:L328,A$2)=SUMIF(A:A,A$2,D:D),IF(COUNTIF(L$1:L328,XLOOKUP(A$2,Implementos!B:B,Implementos!C:C,"",0,1))=SUMIF(A:A,XLOOKUP(A$2,Implementos!B:B,Implementos!C:C,"",0,1),D:D),"",XLOOKUP(A$2,Implementos!B:B,Implementos!C:C,"",0,1)),A$2)</f>
        <v/>
      </c>
      <c r="M329" s="4" t="str">
        <f t="shared" si="2"/>
        <v/>
      </c>
      <c r="N329" s="4" t="str">
        <f t="shared" si="3"/>
        <v/>
      </c>
      <c r="O329" s="4" t="str">
        <f t="shared" si="4"/>
        <v/>
      </c>
      <c r="P329" s="4" t="str">
        <f t="shared" si="5"/>
        <v/>
      </c>
      <c r="Q329" s="4" t="str">
        <f>IF(U329="","",SUMIF(Productos!E:E,U329,Productos!A:A))</f>
        <v/>
      </c>
      <c r="R329" s="4" t="str">
        <f t="array" ref="R329">IF(L329="","", max(1,SUMIF(I:I,XLOOKUP(U329,Productos!E:E,Productos!G:G,"",0,1),J:J)))</f>
        <v/>
      </c>
      <c r="S329" s="4" t="str">
        <f>IF(Q329="","",IF(SUMIFS(Compat_Vetado!D:D,Compat_Vetado!B:B,SUM(G:G),Compat_Vetado!C:C,Q329)=1,"SI",IF(OR(SUMIF(Cotizador!E:E,Q329,Cotizador!G:G)&gt;0,SUMIFS(Compat_Vetado!D:D,Compat_Vetado!B:B,SUM(G:G),Compat_Vetado!C:C,Q329)=-1),"NO","")))</f>
        <v/>
      </c>
      <c r="T329" s="4" t="str">
        <f t="shared" si="6"/>
        <v/>
      </c>
      <c r="U329" s="4" t="str">
        <f>IFERROR(__xludf.DUMMYFUNCTION("IF(P329="""","""",IFERROR(INDEX(filter(Productos!E:E,Productos!F:F=L329,Productos!H:H=N329),P329),IF(M329=SUM(D:D),""Finalizar"",""-"")))"),"")</f>
        <v/>
      </c>
      <c r="V329" s="4" t="str">
        <f>IFERROR(__xludf.DUMMYFUNCTION("IF(OR($U329="""",COUNTIF($I:$I,IFERROR(unique(filter(Prod_Prop!$H:$H,Prod_Prop!$G:$G=$U329,Prod_Prop!$E:$E=V$1)),""Check""))=0),"""",IFERROR(unique(filter(Prod_Prop!$H:$H,Prod_Prop!$G:$G=$U329,Prod_Prop!$E:$E=V$1)),""""))"),"")</f>
        <v/>
      </c>
      <c r="W329" s="4" t="str">
        <f>IF(V329="","",SUMIFS(Prod_Prop!$J:$J,Prod_Prop!$B:$B,$Q329,Prod_Prop!$H:$H,V329,Prod_Prop!$I:$I,W$1)*IF(V329="Peso",$R329,1))</f>
        <v/>
      </c>
      <c r="X329" s="4" t="str">
        <f>IF(V329="","",SUMIFS(Prod_Prop!$J:$J,Prod_Prop!$B:$B,$Q329,Prod_Prop!$H:$H,V329,Prod_Prop!$I:$I,X$1)*IF(V329="Peso",$R329,1))</f>
        <v/>
      </c>
      <c r="Y329" s="4" t="str">
        <f>IFERROR(__xludf.DUMMYFUNCTION("IF(OR($U329="""",COUNTIF($I:$I,IFERROR(unique(filter(Prod_Prop!$H:$H,Prod_Prop!$G:$G=$U329,Prod_Prop!$E:$E=Y$1)),""Check""))=0),"""",IFERROR(unique(filter(Prod_Prop!$H:$H,Prod_Prop!$G:$G=$U329,Prod_Prop!$E:$E=Y$1)),""""))"),"")</f>
        <v/>
      </c>
      <c r="Z329" s="4" t="str">
        <f>IF(Y329="","",SUMIFS(Prod_Prop!$J:$J,Prod_Prop!$B:$B,$Q329,Prod_Prop!$H:$H,Y329,Prod_Prop!$I:$I,Z$1)*IF(Y329="Peso",$R329,1))</f>
        <v/>
      </c>
      <c r="AA329" s="4" t="str">
        <f>IF(Y329="","",SUMIFS(Prod_Prop!$J:$J,Prod_Prop!$B:$B,$Q329,Prod_Prop!$H:$H,Y329,Prod_Prop!$I:$I,AA$1)*IF(Y329="Peso",$R329,1))</f>
        <v/>
      </c>
      <c r="AB329" s="4" t="str">
        <f>IFERROR(__xludf.DUMMYFUNCTION("IF(OR($U329="""",COUNTIF($I:$I,IFERROR(unique(filter(Prod_Prop!$H:$H,Prod_Prop!$G:$G=$U329,Prod_Prop!$E:$E=AB$1)),""Check""))=0),"""",IFERROR(unique(filter(Prod_Prop!$H:$H,Prod_Prop!$G:$G=$U329,Prod_Prop!$E:$E=AB$1)),""""))"),"")</f>
        <v/>
      </c>
      <c r="AC329" s="4" t="str">
        <f>IF(AB329="","",SUMIFS(Prod_Prop!$J:$J,Prod_Prop!$B:$B,$Q329,Prod_Prop!$H:$H,AB329,Prod_Prop!$I:$I,AC$1)*IF(AB329="Peso",$R329,1))</f>
        <v/>
      </c>
      <c r="AD329" s="4" t="str">
        <f>IF(AB329="","",SUMIFS(Prod_Prop!$J:$J,Prod_Prop!$B:$B,$Q329,Prod_Prop!$H:$H,AB329,Prod_Prop!$I:$I,AD$1)*IF(AB329="Peso",$R329,1))</f>
        <v/>
      </c>
    </row>
    <row r="330">
      <c r="A330" s="4" t="str">
        <f t="array" ref="A330">IF(COUNTIF(A$1:A329,Cotizador!F$2)=maxifs(Familias!E:E,Familias!D:D,Cotizador!F$2),IF(COUNTIF(A$1:A329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0" s="4" t="str">
        <f t="shared" si="1"/>
        <v/>
      </c>
      <c r="C330" s="4" t="str">
        <f t="array" ref="C330">IF(B330="","",IF(A330=XLOOKUP(A$2,Implementos!B:B,Implementos!C:C,"",0,1),B330+maxifs(B$1:B329,A$1:A329,A$2),B330))</f>
        <v/>
      </c>
      <c r="D330" s="4" t="str">
        <f>IF(B330="","", COUNTIFS(Productos!F:F,A330,Productos!H:H,B330)+IF(F330="SI",0,1))</f>
        <v/>
      </c>
      <c r="E330" s="4" t="str">
        <f>IFERROR(__xludf.DUMMYFUNCTION("IF($B330="""","""",INDEX(filter(Familias!F:F,Familias!$D:$D=$A330,Familias!$E:$E=$B330),1))"),"")</f>
        <v/>
      </c>
      <c r="F330" s="4" t="str">
        <f>IFERROR(__xludf.DUMMYFUNCTION("IF($B330="""","""",INDEX(filter(Familias!G:G,Familias!$D:$D=$A330,Familias!$E:$E=$B330),1))"),"")</f>
        <v/>
      </c>
      <c r="G330" s="4" t="str">
        <f t="array" ref="G330">IF(C330=1,XLOOKUP(C330,Cotizador!D:D,Cotizador!E:E,"",0,1),"")</f>
        <v/>
      </c>
      <c r="I330" s="4"/>
      <c r="J330" s="8" t="str">
        <f>IF(I330="","",SUMIF(Cotizador!I$1:V$1,I330,Cotizador!I$2:V$2))</f>
        <v/>
      </c>
      <c r="L330" s="4" t="str">
        <f t="array" ref="L330">IF(COUNTIF(L$1:L329,A$2)=SUMIF(A:A,A$2,D:D),IF(COUNTIF(L$1:L329,XLOOKUP(A$2,Implementos!B:B,Implementos!C:C,"",0,1))=SUMIF(A:A,XLOOKUP(A$2,Implementos!B:B,Implementos!C:C,"",0,1),D:D),"",XLOOKUP(A$2,Implementos!B:B,Implementos!C:C,"",0,1)),A$2)</f>
        <v/>
      </c>
      <c r="M330" s="4" t="str">
        <f t="shared" si="2"/>
        <v/>
      </c>
      <c r="N330" s="4" t="str">
        <f t="shared" si="3"/>
        <v/>
      </c>
      <c r="O330" s="4" t="str">
        <f t="shared" si="4"/>
        <v/>
      </c>
      <c r="P330" s="4" t="str">
        <f t="shared" si="5"/>
        <v/>
      </c>
      <c r="Q330" s="4" t="str">
        <f>IF(U330="","",SUMIF(Productos!E:E,U330,Productos!A:A))</f>
        <v/>
      </c>
      <c r="R330" s="4" t="str">
        <f t="array" ref="R330">IF(L330="","", max(1,SUMIF(I:I,XLOOKUP(U330,Productos!E:E,Productos!G:G,"",0,1),J:J)))</f>
        <v/>
      </c>
      <c r="S330" s="4" t="str">
        <f>IF(Q330="","",IF(SUMIFS(Compat_Vetado!D:D,Compat_Vetado!B:B,SUM(G:G),Compat_Vetado!C:C,Q330)=1,"SI",IF(OR(SUMIF(Cotizador!E:E,Q330,Cotizador!G:G)&gt;0,SUMIFS(Compat_Vetado!D:D,Compat_Vetado!B:B,SUM(G:G),Compat_Vetado!C:C,Q330)=-1),"NO","")))</f>
        <v/>
      </c>
      <c r="T330" s="4" t="str">
        <f t="shared" si="6"/>
        <v/>
      </c>
      <c r="U330" s="4" t="str">
        <f>IFERROR(__xludf.DUMMYFUNCTION("IF(P330="""","""",IFERROR(INDEX(filter(Productos!E:E,Productos!F:F=L330,Productos!H:H=N330),P330),IF(M330=SUM(D:D),""Finalizar"",""-"")))"),"")</f>
        <v/>
      </c>
      <c r="V330" s="4" t="str">
        <f>IFERROR(__xludf.DUMMYFUNCTION("IF(OR($U330="""",COUNTIF($I:$I,IFERROR(unique(filter(Prod_Prop!$H:$H,Prod_Prop!$G:$G=$U330,Prod_Prop!$E:$E=V$1)),""Check""))=0),"""",IFERROR(unique(filter(Prod_Prop!$H:$H,Prod_Prop!$G:$G=$U330,Prod_Prop!$E:$E=V$1)),""""))"),"")</f>
        <v/>
      </c>
      <c r="W330" s="4" t="str">
        <f>IF(V330="","",SUMIFS(Prod_Prop!$J:$J,Prod_Prop!$B:$B,$Q330,Prod_Prop!$H:$H,V330,Prod_Prop!$I:$I,W$1)*IF(V330="Peso",$R330,1))</f>
        <v/>
      </c>
      <c r="X330" s="4" t="str">
        <f>IF(V330="","",SUMIFS(Prod_Prop!$J:$J,Prod_Prop!$B:$B,$Q330,Prod_Prop!$H:$H,V330,Prod_Prop!$I:$I,X$1)*IF(V330="Peso",$R330,1))</f>
        <v/>
      </c>
      <c r="Y330" s="4" t="str">
        <f>IFERROR(__xludf.DUMMYFUNCTION("IF(OR($U330="""",COUNTIF($I:$I,IFERROR(unique(filter(Prod_Prop!$H:$H,Prod_Prop!$G:$G=$U330,Prod_Prop!$E:$E=Y$1)),""Check""))=0),"""",IFERROR(unique(filter(Prod_Prop!$H:$H,Prod_Prop!$G:$G=$U330,Prod_Prop!$E:$E=Y$1)),""""))"),"")</f>
        <v/>
      </c>
      <c r="Z330" s="4" t="str">
        <f>IF(Y330="","",SUMIFS(Prod_Prop!$J:$J,Prod_Prop!$B:$B,$Q330,Prod_Prop!$H:$H,Y330,Prod_Prop!$I:$I,Z$1)*IF(Y330="Peso",$R330,1))</f>
        <v/>
      </c>
      <c r="AA330" s="4" t="str">
        <f>IF(Y330="","",SUMIFS(Prod_Prop!$J:$J,Prod_Prop!$B:$B,$Q330,Prod_Prop!$H:$H,Y330,Prod_Prop!$I:$I,AA$1)*IF(Y330="Peso",$R330,1))</f>
        <v/>
      </c>
      <c r="AB330" s="4" t="str">
        <f>IFERROR(__xludf.DUMMYFUNCTION("IF(OR($U330="""",COUNTIF($I:$I,IFERROR(unique(filter(Prod_Prop!$H:$H,Prod_Prop!$G:$G=$U330,Prod_Prop!$E:$E=AB$1)),""Check""))=0),"""",IFERROR(unique(filter(Prod_Prop!$H:$H,Prod_Prop!$G:$G=$U330,Prod_Prop!$E:$E=AB$1)),""""))"),"")</f>
        <v/>
      </c>
      <c r="AC330" s="4" t="str">
        <f>IF(AB330="","",SUMIFS(Prod_Prop!$J:$J,Prod_Prop!$B:$B,$Q330,Prod_Prop!$H:$H,AB330,Prod_Prop!$I:$I,AC$1)*IF(AB330="Peso",$R330,1))</f>
        <v/>
      </c>
      <c r="AD330" s="4" t="str">
        <f>IF(AB330="","",SUMIFS(Prod_Prop!$J:$J,Prod_Prop!$B:$B,$Q330,Prod_Prop!$H:$H,AB330,Prod_Prop!$I:$I,AD$1)*IF(AB330="Peso",$R330,1))</f>
        <v/>
      </c>
    </row>
    <row r="331">
      <c r="A331" s="4" t="str">
        <f t="array" ref="A331">IF(COUNTIF(A$1:A330,Cotizador!F$2)=maxifs(Familias!E:E,Familias!D:D,Cotizador!F$2),IF(COUNTIF(A$1:A330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1" s="4" t="str">
        <f t="shared" si="1"/>
        <v/>
      </c>
      <c r="C331" s="4" t="str">
        <f t="array" ref="C331">IF(B331="","",IF(A331=XLOOKUP(A$2,Implementos!B:B,Implementos!C:C,"",0,1),B331+maxifs(B$1:B330,A$1:A330,A$2),B331))</f>
        <v/>
      </c>
      <c r="D331" s="4" t="str">
        <f>IF(B331="","", COUNTIFS(Productos!F:F,A331,Productos!H:H,B331)+IF(F331="SI",0,1))</f>
        <v/>
      </c>
      <c r="E331" s="4" t="str">
        <f>IFERROR(__xludf.DUMMYFUNCTION("IF($B331="""","""",INDEX(filter(Familias!F:F,Familias!$D:$D=$A331,Familias!$E:$E=$B331),1))"),"")</f>
        <v/>
      </c>
      <c r="F331" s="4" t="str">
        <f>IFERROR(__xludf.DUMMYFUNCTION("IF($B331="""","""",INDEX(filter(Familias!G:G,Familias!$D:$D=$A331,Familias!$E:$E=$B331),1))"),"")</f>
        <v/>
      </c>
      <c r="G331" s="4" t="str">
        <f t="array" ref="G331">IF(C331=1,XLOOKUP(C331,Cotizador!D:D,Cotizador!E:E,"",0,1),"")</f>
        <v/>
      </c>
      <c r="I331" s="4"/>
      <c r="J331" s="8" t="str">
        <f>IF(I331="","",SUMIF(Cotizador!I$1:V$1,I331,Cotizador!I$2:V$2))</f>
        <v/>
      </c>
      <c r="L331" s="4" t="str">
        <f t="array" ref="L331">IF(COUNTIF(L$1:L330,A$2)=SUMIF(A:A,A$2,D:D),IF(COUNTIF(L$1:L330,XLOOKUP(A$2,Implementos!B:B,Implementos!C:C,"",0,1))=SUMIF(A:A,XLOOKUP(A$2,Implementos!B:B,Implementos!C:C,"",0,1),D:D),"",XLOOKUP(A$2,Implementos!B:B,Implementos!C:C,"",0,1)),A$2)</f>
        <v/>
      </c>
      <c r="M331" s="4" t="str">
        <f t="shared" si="2"/>
        <v/>
      </c>
      <c r="N331" s="4" t="str">
        <f t="shared" si="3"/>
        <v/>
      </c>
      <c r="O331" s="4" t="str">
        <f t="shared" si="4"/>
        <v/>
      </c>
      <c r="P331" s="4" t="str">
        <f t="shared" si="5"/>
        <v/>
      </c>
      <c r="Q331" s="4" t="str">
        <f>IF(U331="","",SUMIF(Productos!E:E,U331,Productos!A:A))</f>
        <v/>
      </c>
      <c r="R331" s="4" t="str">
        <f t="array" ref="R331">IF(L331="","", max(1,SUMIF(I:I,XLOOKUP(U331,Productos!E:E,Productos!G:G,"",0,1),J:J)))</f>
        <v/>
      </c>
      <c r="S331" s="4" t="str">
        <f>IF(Q331="","",IF(SUMIFS(Compat_Vetado!D:D,Compat_Vetado!B:B,SUM(G:G),Compat_Vetado!C:C,Q331)=1,"SI",IF(OR(SUMIF(Cotizador!E:E,Q331,Cotizador!G:G)&gt;0,SUMIFS(Compat_Vetado!D:D,Compat_Vetado!B:B,SUM(G:G),Compat_Vetado!C:C,Q331)=-1),"NO","")))</f>
        <v/>
      </c>
      <c r="T331" s="4" t="str">
        <f t="shared" si="6"/>
        <v/>
      </c>
      <c r="U331" s="4" t="str">
        <f>IFERROR(__xludf.DUMMYFUNCTION("IF(P331="""","""",IFERROR(INDEX(filter(Productos!E:E,Productos!F:F=L331,Productos!H:H=N331),P331),IF(M331=SUM(D:D),""Finalizar"",""-"")))"),"")</f>
        <v/>
      </c>
      <c r="V331" s="4" t="str">
        <f>IFERROR(__xludf.DUMMYFUNCTION("IF(OR($U331="""",COUNTIF($I:$I,IFERROR(unique(filter(Prod_Prop!$H:$H,Prod_Prop!$G:$G=$U331,Prod_Prop!$E:$E=V$1)),""Check""))=0),"""",IFERROR(unique(filter(Prod_Prop!$H:$H,Prod_Prop!$G:$G=$U331,Prod_Prop!$E:$E=V$1)),""""))"),"")</f>
        <v/>
      </c>
      <c r="W331" s="4" t="str">
        <f>IF(V331="","",SUMIFS(Prod_Prop!$J:$J,Prod_Prop!$B:$B,$Q331,Prod_Prop!$H:$H,V331,Prod_Prop!$I:$I,W$1)*IF(V331="Peso",$R331,1))</f>
        <v/>
      </c>
      <c r="X331" s="4" t="str">
        <f>IF(V331="","",SUMIFS(Prod_Prop!$J:$J,Prod_Prop!$B:$B,$Q331,Prod_Prop!$H:$H,V331,Prod_Prop!$I:$I,X$1)*IF(V331="Peso",$R331,1))</f>
        <v/>
      </c>
      <c r="Y331" s="4" t="str">
        <f>IFERROR(__xludf.DUMMYFUNCTION("IF(OR($U331="""",COUNTIF($I:$I,IFERROR(unique(filter(Prod_Prop!$H:$H,Prod_Prop!$G:$G=$U331,Prod_Prop!$E:$E=Y$1)),""Check""))=0),"""",IFERROR(unique(filter(Prod_Prop!$H:$H,Prod_Prop!$G:$G=$U331,Prod_Prop!$E:$E=Y$1)),""""))"),"")</f>
        <v/>
      </c>
      <c r="Z331" s="4" t="str">
        <f>IF(Y331="","",SUMIFS(Prod_Prop!$J:$J,Prod_Prop!$B:$B,$Q331,Prod_Prop!$H:$H,Y331,Prod_Prop!$I:$I,Z$1)*IF(Y331="Peso",$R331,1))</f>
        <v/>
      </c>
      <c r="AA331" s="4" t="str">
        <f>IF(Y331="","",SUMIFS(Prod_Prop!$J:$J,Prod_Prop!$B:$B,$Q331,Prod_Prop!$H:$H,Y331,Prod_Prop!$I:$I,AA$1)*IF(Y331="Peso",$R331,1))</f>
        <v/>
      </c>
      <c r="AB331" s="4" t="str">
        <f>IFERROR(__xludf.DUMMYFUNCTION("IF(OR($U331="""",COUNTIF($I:$I,IFERROR(unique(filter(Prod_Prop!$H:$H,Prod_Prop!$G:$G=$U331,Prod_Prop!$E:$E=AB$1)),""Check""))=0),"""",IFERROR(unique(filter(Prod_Prop!$H:$H,Prod_Prop!$G:$G=$U331,Prod_Prop!$E:$E=AB$1)),""""))"),"")</f>
        <v/>
      </c>
      <c r="AC331" s="4" t="str">
        <f>IF(AB331="","",SUMIFS(Prod_Prop!$J:$J,Prod_Prop!$B:$B,$Q331,Prod_Prop!$H:$H,AB331,Prod_Prop!$I:$I,AC$1)*IF(AB331="Peso",$R331,1))</f>
        <v/>
      </c>
      <c r="AD331" s="4" t="str">
        <f>IF(AB331="","",SUMIFS(Prod_Prop!$J:$J,Prod_Prop!$B:$B,$Q331,Prod_Prop!$H:$H,AB331,Prod_Prop!$I:$I,AD$1)*IF(AB331="Peso",$R331,1))</f>
        <v/>
      </c>
    </row>
    <row r="332">
      <c r="A332" s="4" t="str">
        <f t="array" ref="A332">IF(COUNTIF(A$1:A331,Cotizador!F$2)=maxifs(Familias!E:E,Familias!D:D,Cotizador!F$2),IF(COUNTIF(A$1:A331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2" s="4" t="str">
        <f t="shared" si="1"/>
        <v/>
      </c>
      <c r="C332" s="4" t="str">
        <f t="array" ref="C332">IF(B332="","",IF(A332=XLOOKUP(A$2,Implementos!B:B,Implementos!C:C,"",0,1),B332+maxifs(B$1:B331,A$1:A331,A$2),B332))</f>
        <v/>
      </c>
      <c r="D332" s="4" t="str">
        <f>IF(B332="","", COUNTIFS(Productos!F:F,A332,Productos!H:H,B332)+IF(F332="SI",0,1))</f>
        <v/>
      </c>
      <c r="E332" s="4" t="str">
        <f>IFERROR(__xludf.DUMMYFUNCTION("IF($B332="""","""",INDEX(filter(Familias!F:F,Familias!$D:$D=$A332,Familias!$E:$E=$B332),1))"),"")</f>
        <v/>
      </c>
      <c r="F332" s="4" t="str">
        <f>IFERROR(__xludf.DUMMYFUNCTION("IF($B332="""","""",INDEX(filter(Familias!G:G,Familias!$D:$D=$A332,Familias!$E:$E=$B332),1))"),"")</f>
        <v/>
      </c>
      <c r="G332" s="4" t="str">
        <f t="array" ref="G332">IF(C332=1,XLOOKUP(C332,Cotizador!D:D,Cotizador!E:E,"",0,1),"")</f>
        <v/>
      </c>
      <c r="I332" s="4"/>
      <c r="J332" s="8" t="str">
        <f>IF(I332="","",SUMIF(Cotizador!I$1:V$1,I332,Cotizador!I$2:V$2))</f>
        <v/>
      </c>
      <c r="L332" s="4" t="str">
        <f t="array" ref="L332">IF(COUNTIF(L$1:L331,A$2)=SUMIF(A:A,A$2,D:D),IF(COUNTIF(L$1:L331,XLOOKUP(A$2,Implementos!B:B,Implementos!C:C,"",0,1))=SUMIF(A:A,XLOOKUP(A$2,Implementos!B:B,Implementos!C:C,"",0,1),D:D),"",XLOOKUP(A$2,Implementos!B:B,Implementos!C:C,"",0,1)),A$2)</f>
        <v/>
      </c>
      <c r="M332" s="4" t="str">
        <f t="shared" si="2"/>
        <v/>
      </c>
      <c r="N332" s="4" t="str">
        <f t="shared" si="3"/>
        <v/>
      </c>
      <c r="O332" s="4" t="str">
        <f t="shared" si="4"/>
        <v/>
      </c>
      <c r="P332" s="4" t="str">
        <f t="shared" si="5"/>
        <v/>
      </c>
      <c r="Q332" s="4" t="str">
        <f>IF(U332="","",SUMIF(Productos!E:E,U332,Productos!A:A))</f>
        <v/>
      </c>
      <c r="R332" s="4" t="str">
        <f t="array" ref="R332">IF(L332="","", max(1,SUMIF(I:I,XLOOKUP(U332,Productos!E:E,Productos!G:G,"",0,1),J:J)))</f>
        <v/>
      </c>
      <c r="S332" s="4" t="str">
        <f>IF(Q332="","",IF(SUMIFS(Compat_Vetado!D:D,Compat_Vetado!B:B,SUM(G:G),Compat_Vetado!C:C,Q332)=1,"SI",IF(OR(SUMIF(Cotizador!E:E,Q332,Cotizador!G:G)&gt;0,SUMIFS(Compat_Vetado!D:D,Compat_Vetado!B:B,SUM(G:G),Compat_Vetado!C:C,Q332)=-1),"NO","")))</f>
        <v/>
      </c>
      <c r="T332" s="4" t="str">
        <f t="shared" si="6"/>
        <v/>
      </c>
      <c r="U332" s="4" t="str">
        <f>IFERROR(__xludf.DUMMYFUNCTION("IF(P332="""","""",IFERROR(INDEX(filter(Productos!E:E,Productos!F:F=L332,Productos!H:H=N332),P332),IF(M332=SUM(D:D),""Finalizar"",""-"")))"),"")</f>
        <v/>
      </c>
      <c r="V332" s="4" t="str">
        <f>IFERROR(__xludf.DUMMYFUNCTION("IF(OR($U332="""",COUNTIF($I:$I,IFERROR(unique(filter(Prod_Prop!$H:$H,Prod_Prop!$G:$G=$U332,Prod_Prop!$E:$E=V$1)),""Check""))=0),"""",IFERROR(unique(filter(Prod_Prop!$H:$H,Prod_Prop!$G:$G=$U332,Prod_Prop!$E:$E=V$1)),""""))"),"")</f>
        <v/>
      </c>
      <c r="W332" s="4" t="str">
        <f>IF(V332="","",SUMIFS(Prod_Prop!$J:$J,Prod_Prop!$B:$B,$Q332,Prod_Prop!$H:$H,V332,Prod_Prop!$I:$I,W$1)*IF(V332="Peso",$R332,1))</f>
        <v/>
      </c>
      <c r="X332" s="4" t="str">
        <f>IF(V332="","",SUMIFS(Prod_Prop!$J:$J,Prod_Prop!$B:$B,$Q332,Prod_Prop!$H:$H,V332,Prod_Prop!$I:$I,X$1)*IF(V332="Peso",$R332,1))</f>
        <v/>
      </c>
      <c r="Y332" s="4" t="str">
        <f>IFERROR(__xludf.DUMMYFUNCTION("IF(OR($U332="""",COUNTIF($I:$I,IFERROR(unique(filter(Prod_Prop!$H:$H,Prod_Prop!$G:$G=$U332,Prod_Prop!$E:$E=Y$1)),""Check""))=0),"""",IFERROR(unique(filter(Prod_Prop!$H:$H,Prod_Prop!$G:$G=$U332,Prod_Prop!$E:$E=Y$1)),""""))"),"")</f>
        <v/>
      </c>
      <c r="Z332" s="4" t="str">
        <f>IF(Y332="","",SUMIFS(Prod_Prop!$J:$J,Prod_Prop!$B:$B,$Q332,Prod_Prop!$H:$H,Y332,Prod_Prop!$I:$I,Z$1)*IF(Y332="Peso",$R332,1))</f>
        <v/>
      </c>
      <c r="AA332" s="4" t="str">
        <f>IF(Y332="","",SUMIFS(Prod_Prop!$J:$J,Prod_Prop!$B:$B,$Q332,Prod_Prop!$H:$H,Y332,Prod_Prop!$I:$I,AA$1)*IF(Y332="Peso",$R332,1))</f>
        <v/>
      </c>
      <c r="AB332" s="4" t="str">
        <f>IFERROR(__xludf.DUMMYFUNCTION("IF(OR($U332="""",COUNTIF($I:$I,IFERROR(unique(filter(Prod_Prop!$H:$H,Prod_Prop!$G:$G=$U332,Prod_Prop!$E:$E=AB$1)),""Check""))=0),"""",IFERROR(unique(filter(Prod_Prop!$H:$H,Prod_Prop!$G:$G=$U332,Prod_Prop!$E:$E=AB$1)),""""))"),"")</f>
        <v/>
      </c>
      <c r="AC332" s="4" t="str">
        <f>IF(AB332="","",SUMIFS(Prod_Prop!$J:$J,Prod_Prop!$B:$B,$Q332,Prod_Prop!$H:$H,AB332,Prod_Prop!$I:$I,AC$1)*IF(AB332="Peso",$R332,1))</f>
        <v/>
      </c>
      <c r="AD332" s="4" t="str">
        <f>IF(AB332="","",SUMIFS(Prod_Prop!$J:$J,Prod_Prop!$B:$B,$Q332,Prod_Prop!$H:$H,AB332,Prod_Prop!$I:$I,AD$1)*IF(AB332="Peso",$R332,1))</f>
        <v/>
      </c>
    </row>
    <row r="333">
      <c r="A333" s="4" t="str">
        <f t="array" ref="A333">IF(COUNTIF(A$1:A332,Cotizador!F$2)=maxifs(Familias!E:E,Familias!D:D,Cotizador!F$2),IF(COUNTIF(A$1:A332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3" s="4" t="str">
        <f t="shared" si="1"/>
        <v/>
      </c>
      <c r="C333" s="4" t="str">
        <f t="array" ref="C333">IF(B333="","",IF(A333=XLOOKUP(A$2,Implementos!B:B,Implementos!C:C,"",0,1),B333+maxifs(B$1:B332,A$1:A332,A$2),B333))</f>
        <v/>
      </c>
      <c r="D333" s="4" t="str">
        <f>IF(B333="","", COUNTIFS(Productos!F:F,A333,Productos!H:H,B333)+IF(F333="SI",0,1))</f>
        <v/>
      </c>
      <c r="E333" s="4" t="str">
        <f>IFERROR(__xludf.DUMMYFUNCTION("IF($B333="""","""",INDEX(filter(Familias!F:F,Familias!$D:$D=$A333,Familias!$E:$E=$B333),1))"),"")</f>
        <v/>
      </c>
      <c r="F333" s="4" t="str">
        <f>IFERROR(__xludf.DUMMYFUNCTION("IF($B333="""","""",INDEX(filter(Familias!G:G,Familias!$D:$D=$A333,Familias!$E:$E=$B333),1))"),"")</f>
        <v/>
      </c>
      <c r="G333" s="4" t="str">
        <f t="array" ref="G333">IF(C333=1,XLOOKUP(C333,Cotizador!D:D,Cotizador!E:E,"",0,1),"")</f>
        <v/>
      </c>
      <c r="I333" s="4"/>
      <c r="J333" s="8" t="str">
        <f>IF(I333="","",SUMIF(Cotizador!I$1:V$1,I333,Cotizador!I$2:V$2))</f>
        <v/>
      </c>
      <c r="L333" s="4" t="str">
        <f t="array" ref="L333">IF(COUNTIF(L$1:L332,A$2)=SUMIF(A:A,A$2,D:D),IF(COUNTIF(L$1:L332,XLOOKUP(A$2,Implementos!B:B,Implementos!C:C,"",0,1))=SUMIF(A:A,XLOOKUP(A$2,Implementos!B:B,Implementos!C:C,"",0,1),D:D),"",XLOOKUP(A$2,Implementos!B:B,Implementos!C:C,"",0,1)),A$2)</f>
        <v/>
      </c>
      <c r="M333" s="4" t="str">
        <f t="shared" si="2"/>
        <v/>
      </c>
      <c r="N333" s="4" t="str">
        <f t="shared" si="3"/>
        <v/>
      </c>
      <c r="O333" s="4" t="str">
        <f t="shared" si="4"/>
        <v/>
      </c>
      <c r="P333" s="4" t="str">
        <f t="shared" si="5"/>
        <v/>
      </c>
      <c r="Q333" s="4" t="str">
        <f>IF(U333="","",SUMIF(Productos!E:E,U333,Productos!A:A))</f>
        <v/>
      </c>
      <c r="R333" s="4" t="str">
        <f t="array" ref="R333">IF(L333="","", max(1,SUMIF(I:I,XLOOKUP(U333,Productos!E:E,Productos!G:G,"",0,1),J:J)))</f>
        <v/>
      </c>
      <c r="S333" s="4" t="str">
        <f>IF(Q333="","",IF(SUMIFS(Compat_Vetado!D:D,Compat_Vetado!B:B,SUM(G:G),Compat_Vetado!C:C,Q333)=1,"SI",IF(OR(SUMIF(Cotizador!E:E,Q333,Cotizador!G:G)&gt;0,SUMIFS(Compat_Vetado!D:D,Compat_Vetado!B:B,SUM(G:G),Compat_Vetado!C:C,Q333)=-1),"NO","")))</f>
        <v/>
      </c>
      <c r="T333" s="4" t="str">
        <f t="shared" si="6"/>
        <v/>
      </c>
      <c r="U333" s="4" t="str">
        <f>IFERROR(__xludf.DUMMYFUNCTION("IF(P333="""","""",IFERROR(INDEX(filter(Productos!E:E,Productos!F:F=L333,Productos!H:H=N333),P333),IF(M333=SUM(D:D),""Finalizar"",""-"")))"),"")</f>
        <v/>
      </c>
      <c r="V333" s="4" t="str">
        <f>IFERROR(__xludf.DUMMYFUNCTION("IF(OR($U333="""",COUNTIF($I:$I,IFERROR(unique(filter(Prod_Prop!$H:$H,Prod_Prop!$G:$G=$U333,Prod_Prop!$E:$E=V$1)),""Check""))=0),"""",IFERROR(unique(filter(Prod_Prop!$H:$H,Prod_Prop!$G:$G=$U333,Prod_Prop!$E:$E=V$1)),""""))"),"")</f>
        <v/>
      </c>
      <c r="W333" s="4" t="str">
        <f>IF(V333="","",SUMIFS(Prod_Prop!$J:$J,Prod_Prop!$B:$B,$Q333,Prod_Prop!$H:$H,V333,Prod_Prop!$I:$I,W$1)*IF(V333="Peso",$R333,1))</f>
        <v/>
      </c>
      <c r="X333" s="4" t="str">
        <f>IF(V333="","",SUMIFS(Prod_Prop!$J:$J,Prod_Prop!$B:$B,$Q333,Prod_Prop!$H:$H,V333,Prod_Prop!$I:$I,X$1)*IF(V333="Peso",$R333,1))</f>
        <v/>
      </c>
      <c r="Y333" s="4" t="str">
        <f>IFERROR(__xludf.DUMMYFUNCTION("IF(OR($U333="""",COUNTIF($I:$I,IFERROR(unique(filter(Prod_Prop!$H:$H,Prod_Prop!$G:$G=$U333,Prod_Prop!$E:$E=Y$1)),""Check""))=0),"""",IFERROR(unique(filter(Prod_Prop!$H:$H,Prod_Prop!$G:$G=$U333,Prod_Prop!$E:$E=Y$1)),""""))"),"")</f>
        <v/>
      </c>
      <c r="Z333" s="4" t="str">
        <f>IF(Y333="","",SUMIFS(Prod_Prop!$J:$J,Prod_Prop!$B:$B,$Q333,Prod_Prop!$H:$H,Y333,Prod_Prop!$I:$I,Z$1)*IF(Y333="Peso",$R333,1))</f>
        <v/>
      </c>
      <c r="AA333" s="4" t="str">
        <f>IF(Y333="","",SUMIFS(Prod_Prop!$J:$J,Prod_Prop!$B:$B,$Q333,Prod_Prop!$H:$H,Y333,Prod_Prop!$I:$I,AA$1)*IF(Y333="Peso",$R333,1))</f>
        <v/>
      </c>
      <c r="AB333" s="4" t="str">
        <f>IFERROR(__xludf.DUMMYFUNCTION("IF(OR($U333="""",COUNTIF($I:$I,IFERROR(unique(filter(Prod_Prop!$H:$H,Prod_Prop!$G:$G=$U333,Prod_Prop!$E:$E=AB$1)),""Check""))=0),"""",IFERROR(unique(filter(Prod_Prop!$H:$H,Prod_Prop!$G:$G=$U333,Prod_Prop!$E:$E=AB$1)),""""))"),"")</f>
        <v/>
      </c>
      <c r="AC333" s="4" t="str">
        <f>IF(AB333="","",SUMIFS(Prod_Prop!$J:$J,Prod_Prop!$B:$B,$Q333,Prod_Prop!$H:$H,AB333,Prod_Prop!$I:$I,AC$1)*IF(AB333="Peso",$R333,1))</f>
        <v/>
      </c>
      <c r="AD333" s="4" t="str">
        <f>IF(AB333="","",SUMIFS(Prod_Prop!$J:$J,Prod_Prop!$B:$B,$Q333,Prod_Prop!$H:$H,AB333,Prod_Prop!$I:$I,AD$1)*IF(AB333="Peso",$R333,1))</f>
        <v/>
      </c>
    </row>
    <row r="334">
      <c r="A334" s="4" t="str">
        <f t="array" ref="A334">IF(COUNTIF(A$1:A333,Cotizador!F$2)=maxifs(Familias!E:E,Familias!D:D,Cotizador!F$2),IF(COUNTIF(A$1:A333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4" s="4" t="str">
        <f t="shared" si="1"/>
        <v/>
      </c>
      <c r="C334" s="4" t="str">
        <f t="array" ref="C334">IF(B334="","",IF(A334=XLOOKUP(A$2,Implementos!B:B,Implementos!C:C,"",0,1),B334+maxifs(B$1:B333,A$1:A333,A$2),B334))</f>
        <v/>
      </c>
      <c r="D334" s="4" t="str">
        <f>IF(B334="","", COUNTIFS(Productos!F:F,A334,Productos!H:H,B334)+IF(F334="SI",0,1))</f>
        <v/>
      </c>
      <c r="E334" s="4" t="str">
        <f>IFERROR(__xludf.DUMMYFUNCTION("IF($B334="""","""",INDEX(filter(Familias!F:F,Familias!$D:$D=$A334,Familias!$E:$E=$B334),1))"),"")</f>
        <v/>
      </c>
      <c r="F334" s="4" t="str">
        <f>IFERROR(__xludf.DUMMYFUNCTION("IF($B334="""","""",INDEX(filter(Familias!G:G,Familias!$D:$D=$A334,Familias!$E:$E=$B334),1))"),"")</f>
        <v/>
      </c>
      <c r="G334" s="4" t="str">
        <f t="array" ref="G334">IF(C334=1,XLOOKUP(C334,Cotizador!D:D,Cotizador!E:E,"",0,1),"")</f>
        <v/>
      </c>
      <c r="I334" s="4"/>
      <c r="J334" s="8" t="str">
        <f>IF(I334="","",SUMIF(Cotizador!I$1:V$1,I334,Cotizador!I$2:V$2))</f>
        <v/>
      </c>
      <c r="L334" s="4" t="str">
        <f t="array" ref="L334">IF(COUNTIF(L$1:L333,A$2)=SUMIF(A:A,A$2,D:D),IF(COUNTIF(L$1:L333,XLOOKUP(A$2,Implementos!B:B,Implementos!C:C,"",0,1))=SUMIF(A:A,XLOOKUP(A$2,Implementos!B:B,Implementos!C:C,"",0,1),D:D),"",XLOOKUP(A$2,Implementos!B:B,Implementos!C:C,"",0,1)),A$2)</f>
        <v/>
      </c>
      <c r="M334" s="4" t="str">
        <f t="shared" si="2"/>
        <v/>
      </c>
      <c r="N334" s="4" t="str">
        <f t="shared" si="3"/>
        <v/>
      </c>
      <c r="O334" s="4" t="str">
        <f t="shared" si="4"/>
        <v/>
      </c>
      <c r="P334" s="4" t="str">
        <f t="shared" si="5"/>
        <v/>
      </c>
      <c r="Q334" s="4" t="str">
        <f>IF(U334="","",SUMIF(Productos!E:E,U334,Productos!A:A))</f>
        <v/>
      </c>
      <c r="R334" s="4" t="str">
        <f t="array" ref="R334">IF(L334="","", max(1,SUMIF(I:I,XLOOKUP(U334,Productos!E:E,Productos!G:G,"",0,1),J:J)))</f>
        <v/>
      </c>
      <c r="S334" s="4" t="str">
        <f>IF(Q334="","",IF(SUMIFS(Compat_Vetado!D:D,Compat_Vetado!B:B,SUM(G:G),Compat_Vetado!C:C,Q334)=1,"SI",IF(OR(SUMIF(Cotizador!E:E,Q334,Cotizador!G:G)&gt;0,SUMIFS(Compat_Vetado!D:D,Compat_Vetado!B:B,SUM(G:G),Compat_Vetado!C:C,Q334)=-1),"NO","")))</f>
        <v/>
      </c>
      <c r="T334" s="4" t="str">
        <f t="shared" si="6"/>
        <v/>
      </c>
      <c r="U334" s="4" t="str">
        <f>IFERROR(__xludf.DUMMYFUNCTION("IF(P334="""","""",IFERROR(INDEX(filter(Productos!E:E,Productos!F:F=L334,Productos!H:H=N334),P334),IF(M334=SUM(D:D),""Finalizar"",""-"")))"),"")</f>
        <v/>
      </c>
      <c r="V334" s="4" t="str">
        <f>IFERROR(__xludf.DUMMYFUNCTION("IF(OR($U334="""",COUNTIF($I:$I,IFERROR(unique(filter(Prod_Prop!$H:$H,Prod_Prop!$G:$G=$U334,Prod_Prop!$E:$E=V$1)),""Check""))=0),"""",IFERROR(unique(filter(Prod_Prop!$H:$H,Prod_Prop!$G:$G=$U334,Prod_Prop!$E:$E=V$1)),""""))"),"")</f>
        <v/>
      </c>
      <c r="W334" s="4" t="str">
        <f>IF(V334="","",SUMIFS(Prod_Prop!$J:$J,Prod_Prop!$B:$B,$Q334,Prod_Prop!$H:$H,V334,Prod_Prop!$I:$I,W$1)*IF(V334="Peso",$R334,1))</f>
        <v/>
      </c>
      <c r="X334" s="4" t="str">
        <f>IF(V334="","",SUMIFS(Prod_Prop!$J:$J,Prod_Prop!$B:$B,$Q334,Prod_Prop!$H:$H,V334,Prod_Prop!$I:$I,X$1)*IF(V334="Peso",$R334,1))</f>
        <v/>
      </c>
      <c r="Y334" s="4" t="str">
        <f>IFERROR(__xludf.DUMMYFUNCTION("IF(OR($U334="""",COUNTIF($I:$I,IFERROR(unique(filter(Prod_Prop!$H:$H,Prod_Prop!$G:$G=$U334,Prod_Prop!$E:$E=Y$1)),""Check""))=0),"""",IFERROR(unique(filter(Prod_Prop!$H:$H,Prod_Prop!$G:$G=$U334,Prod_Prop!$E:$E=Y$1)),""""))"),"")</f>
        <v/>
      </c>
      <c r="Z334" s="4" t="str">
        <f>IF(Y334="","",SUMIFS(Prod_Prop!$J:$J,Prod_Prop!$B:$B,$Q334,Prod_Prop!$H:$H,Y334,Prod_Prop!$I:$I,Z$1)*IF(Y334="Peso",$R334,1))</f>
        <v/>
      </c>
      <c r="AA334" s="4" t="str">
        <f>IF(Y334="","",SUMIFS(Prod_Prop!$J:$J,Prod_Prop!$B:$B,$Q334,Prod_Prop!$H:$H,Y334,Prod_Prop!$I:$I,AA$1)*IF(Y334="Peso",$R334,1))</f>
        <v/>
      </c>
      <c r="AB334" s="4" t="str">
        <f>IFERROR(__xludf.DUMMYFUNCTION("IF(OR($U334="""",COUNTIF($I:$I,IFERROR(unique(filter(Prod_Prop!$H:$H,Prod_Prop!$G:$G=$U334,Prod_Prop!$E:$E=AB$1)),""Check""))=0),"""",IFERROR(unique(filter(Prod_Prop!$H:$H,Prod_Prop!$G:$G=$U334,Prod_Prop!$E:$E=AB$1)),""""))"),"")</f>
        <v/>
      </c>
      <c r="AC334" s="4" t="str">
        <f>IF(AB334="","",SUMIFS(Prod_Prop!$J:$J,Prod_Prop!$B:$B,$Q334,Prod_Prop!$H:$H,AB334,Prod_Prop!$I:$I,AC$1)*IF(AB334="Peso",$R334,1))</f>
        <v/>
      </c>
      <c r="AD334" s="4" t="str">
        <f>IF(AB334="","",SUMIFS(Prod_Prop!$J:$J,Prod_Prop!$B:$B,$Q334,Prod_Prop!$H:$H,AB334,Prod_Prop!$I:$I,AD$1)*IF(AB334="Peso",$R334,1))</f>
        <v/>
      </c>
    </row>
    <row r="335">
      <c r="A335" s="4" t="str">
        <f t="array" ref="A335">IF(COUNTIF(A$1:A334,Cotizador!F$2)=maxifs(Familias!E:E,Familias!D:D,Cotizador!F$2),IF(COUNTIF(A$1:A334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5" s="4" t="str">
        <f t="shared" si="1"/>
        <v/>
      </c>
      <c r="C335" s="4" t="str">
        <f t="array" ref="C335">IF(B335="","",IF(A335=XLOOKUP(A$2,Implementos!B:B,Implementos!C:C,"",0,1),B335+maxifs(B$1:B334,A$1:A334,A$2),B335))</f>
        <v/>
      </c>
      <c r="D335" s="4" t="str">
        <f>IF(B335="","", COUNTIFS(Productos!F:F,A335,Productos!H:H,B335)+IF(F335="SI",0,1))</f>
        <v/>
      </c>
      <c r="E335" s="4" t="str">
        <f>IFERROR(__xludf.DUMMYFUNCTION("IF($B335="""","""",INDEX(filter(Familias!F:F,Familias!$D:$D=$A335,Familias!$E:$E=$B335),1))"),"")</f>
        <v/>
      </c>
      <c r="F335" s="4" t="str">
        <f>IFERROR(__xludf.DUMMYFUNCTION("IF($B335="""","""",INDEX(filter(Familias!G:G,Familias!$D:$D=$A335,Familias!$E:$E=$B335),1))"),"")</f>
        <v/>
      </c>
      <c r="G335" s="4" t="str">
        <f t="array" ref="G335">IF(C335=1,XLOOKUP(C335,Cotizador!D:D,Cotizador!E:E,"",0,1),"")</f>
        <v/>
      </c>
      <c r="I335" s="4"/>
      <c r="J335" s="8" t="str">
        <f>IF(I335="","",SUMIF(Cotizador!I$1:V$1,I335,Cotizador!I$2:V$2))</f>
        <v/>
      </c>
      <c r="L335" s="4" t="str">
        <f t="array" ref="L335">IF(COUNTIF(L$1:L334,A$2)=SUMIF(A:A,A$2,D:D),IF(COUNTIF(L$1:L334,XLOOKUP(A$2,Implementos!B:B,Implementos!C:C,"",0,1))=SUMIF(A:A,XLOOKUP(A$2,Implementos!B:B,Implementos!C:C,"",0,1),D:D),"",XLOOKUP(A$2,Implementos!B:B,Implementos!C:C,"",0,1)),A$2)</f>
        <v/>
      </c>
      <c r="M335" s="4" t="str">
        <f t="shared" si="2"/>
        <v/>
      </c>
      <c r="N335" s="4" t="str">
        <f t="shared" si="3"/>
        <v/>
      </c>
      <c r="O335" s="4" t="str">
        <f t="shared" si="4"/>
        <v/>
      </c>
      <c r="P335" s="4" t="str">
        <f t="shared" si="5"/>
        <v/>
      </c>
      <c r="Q335" s="4" t="str">
        <f>IF(U335="","",SUMIF(Productos!E:E,U335,Productos!A:A))</f>
        <v/>
      </c>
      <c r="R335" s="4" t="str">
        <f t="array" ref="R335">IF(L335="","", max(1,SUMIF(I:I,XLOOKUP(U335,Productos!E:E,Productos!G:G,"",0,1),J:J)))</f>
        <v/>
      </c>
      <c r="S335" s="4" t="str">
        <f>IF(Q335="","",IF(SUMIFS(Compat_Vetado!D:D,Compat_Vetado!B:B,SUM(G:G),Compat_Vetado!C:C,Q335)=1,"SI",IF(OR(SUMIF(Cotizador!E:E,Q335,Cotizador!G:G)&gt;0,SUMIFS(Compat_Vetado!D:D,Compat_Vetado!B:B,SUM(G:G),Compat_Vetado!C:C,Q335)=-1),"NO","")))</f>
        <v/>
      </c>
      <c r="T335" s="4" t="str">
        <f t="shared" si="6"/>
        <v/>
      </c>
      <c r="U335" s="4" t="str">
        <f>IFERROR(__xludf.DUMMYFUNCTION("IF(P335="""","""",IFERROR(INDEX(filter(Productos!E:E,Productos!F:F=L335,Productos!H:H=N335),P335),IF(M335=SUM(D:D),""Finalizar"",""-"")))"),"")</f>
        <v/>
      </c>
      <c r="V335" s="4" t="str">
        <f>IFERROR(__xludf.DUMMYFUNCTION("IF(OR($U335="""",COUNTIF($I:$I,IFERROR(unique(filter(Prod_Prop!$H:$H,Prod_Prop!$G:$G=$U335,Prod_Prop!$E:$E=V$1)),""Check""))=0),"""",IFERROR(unique(filter(Prod_Prop!$H:$H,Prod_Prop!$G:$G=$U335,Prod_Prop!$E:$E=V$1)),""""))"),"")</f>
        <v/>
      </c>
      <c r="W335" s="4" t="str">
        <f>IF(V335="","",SUMIFS(Prod_Prop!$J:$J,Prod_Prop!$B:$B,$Q335,Prod_Prop!$H:$H,V335,Prod_Prop!$I:$I,W$1)*IF(V335="Peso",$R335,1))</f>
        <v/>
      </c>
      <c r="X335" s="4" t="str">
        <f>IF(V335="","",SUMIFS(Prod_Prop!$J:$J,Prod_Prop!$B:$B,$Q335,Prod_Prop!$H:$H,V335,Prod_Prop!$I:$I,X$1)*IF(V335="Peso",$R335,1))</f>
        <v/>
      </c>
      <c r="Y335" s="4" t="str">
        <f>IFERROR(__xludf.DUMMYFUNCTION("IF(OR($U335="""",COUNTIF($I:$I,IFERROR(unique(filter(Prod_Prop!$H:$H,Prod_Prop!$G:$G=$U335,Prod_Prop!$E:$E=Y$1)),""Check""))=0),"""",IFERROR(unique(filter(Prod_Prop!$H:$H,Prod_Prop!$G:$G=$U335,Prod_Prop!$E:$E=Y$1)),""""))"),"")</f>
        <v/>
      </c>
      <c r="Z335" s="4" t="str">
        <f>IF(Y335="","",SUMIFS(Prod_Prop!$J:$J,Prod_Prop!$B:$B,$Q335,Prod_Prop!$H:$H,Y335,Prod_Prop!$I:$I,Z$1)*IF(Y335="Peso",$R335,1))</f>
        <v/>
      </c>
      <c r="AA335" s="4" t="str">
        <f>IF(Y335="","",SUMIFS(Prod_Prop!$J:$J,Prod_Prop!$B:$B,$Q335,Prod_Prop!$H:$H,Y335,Prod_Prop!$I:$I,AA$1)*IF(Y335="Peso",$R335,1))</f>
        <v/>
      </c>
      <c r="AB335" s="4" t="str">
        <f>IFERROR(__xludf.DUMMYFUNCTION("IF(OR($U335="""",COUNTIF($I:$I,IFERROR(unique(filter(Prod_Prop!$H:$H,Prod_Prop!$G:$G=$U335,Prod_Prop!$E:$E=AB$1)),""Check""))=0),"""",IFERROR(unique(filter(Prod_Prop!$H:$H,Prod_Prop!$G:$G=$U335,Prod_Prop!$E:$E=AB$1)),""""))"),"")</f>
        <v/>
      </c>
      <c r="AC335" s="4" t="str">
        <f>IF(AB335="","",SUMIFS(Prod_Prop!$J:$J,Prod_Prop!$B:$B,$Q335,Prod_Prop!$H:$H,AB335,Prod_Prop!$I:$I,AC$1)*IF(AB335="Peso",$R335,1))</f>
        <v/>
      </c>
      <c r="AD335" s="4" t="str">
        <f>IF(AB335="","",SUMIFS(Prod_Prop!$J:$J,Prod_Prop!$B:$B,$Q335,Prod_Prop!$H:$H,AB335,Prod_Prop!$I:$I,AD$1)*IF(AB335="Peso",$R335,1))</f>
        <v/>
      </c>
    </row>
    <row r="336">
      <c r="A336" s="4" t="str">
        <f t="array" ref="A336">IF(COUNTIF(A$1:A335,Cotizador!F$2)=maxifs(Familias!E:E,Familias!D:D,Cotizador!F$2),IF(COUNTIF(A$1:A335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6" s="4" t="str">
        <f t="shared" si="1"/>
        <v/>
      </c>
      <c r="C336" s="4" t="str">
        <f t="array" ref="C336">IF(B336="","",IF(A336=XLOOKUP(A$2,Implementos!B:B,Implementos!C:C,"",0,1),B336+maxifs(B$1:B335,A$1:A335,A$2),B336))</f>
        <v/>
      </c>
      <c r="D336" s="4" t="str">
        <f>IF(B336="","", COUNTIFS(Productos!F:F,A336,Productos!H:H,B336)+IF(F336="SI",0,1))</f>
        <v/>
      </c>
      <c r="E336" s="4" t="str">
        <f>IFERROR(__xludf.DUMMYFUNCTION("IF($B336="""","""",INDEX(filter(Familias!F:F,Familias!$D:$D=$A336,Familias!$E:$E=$B336),1))"),"")</f>
        <v/>
      </c>
      <c r="F336" s="4" t="str">
        <f>IFERROR(__xludf.DUMMYFUNCTION("IF($B336="""","""",INDEX(filter(Familias!G:G,Familias!$D:$D=$A336,Familias!$E:$E=$B336),1))"),"")</f>
        <v/>
      </c>
      <c r="G336" s="4" t="str">
        <f t="array" ref="G336">IF(C336=1,XLOOKUP(C336,Cotizador!D:D,Cotizador!E:E,"",0,1),"")</f>
        <v/>
      </c>
      <c r="I336" s="4"/>
      <c r="J336" s="8" t="str">
        <f>IF(I336="","",SUMIF(Cotizador!I$1:V$1,I336,Cotizador!I$2:V$2))</f>
        <v/>
      </c>
      <c r="L336" s="4" t="str">
        <f t="array" ref="L336">IF(COUNTIF(L$1:L335,A$2)=SUMIF(A:A,A$2,D:D),IF(COUNTIF(L$1:L335,XLOOKUP(A$2,Implementos!B:B,Implementos!C:C,"",0,1))=SUMIF(A:A,XLOOKUP(A$2,Implementos!B:B,Implementos!C:C,"",0,1),D:D),"",XLOOKUP(A$2,Implementos!B:B,Implementos!C:C,"",0,1)),A$2)</f>
        <v/>
      </c>
      <c r="M336" s="4" t="str">
        <f t="shared" si="2"/>
        <v/>
      </c>
      <c r="N336" s="4" t="str">
        <f t="shared" si="3"/>
        <v/>
      </c>
      <c r="O336" s="4" t="str">
        <f t="shared" si="4"/>
        <v/>
      </c>
      <c r="P336" s="4" t="str">
        <f t="shared" si="5"/>
        <v/>
      </c>
      <c r="Q336" s="4" t="str">
        <f>IF(U336="","",SUMIF(Productos!E:E,U336,Productos!A:A))</f>
        <v/>
      </c>
      <c r="R336" s="4" t="str">
        <f t="array" ref="R336">IF(L336="","", max(1,SUMIF(I:I,XLOOKUP(U336,Productos!E:E,Productos!G:G,"",0,1),J:J)))</f>
        <v/>
      </c>
      <c r="S336" s="4" t="str">
        <f>IF(Q336="","",IF(SUMIFS(Compat_Vetado!D:D,Compat_Vetado!B:B,SUM(G:G),Compat_Vetado!C:C,Q336)=1,"SI",IF(OR(SUMIF(Cotizador!E:E,Q336,Cotizador!G:G)&gt;0,SUMIFS(Compat_Vetado!D:D,Compat_Vetado!B:B,SUM(G:G),Compat_Vetado!C:C,Q336)=-1),"NO","")))</f>
        <v/>
      </c>
      <c r="T336" s="4" t="str">
        <f t="shared" si="6"/>
        <v/>
      </c>
      <c r="U336" s="4" t="str">
        <f>IFERROR(__xludf.DUMMYFUNCTION("IF(P336="""","""",IFERROR(INDEX(filter(Productos!E:E,Productos!F:F=L336,Productos!H:H=N336),P336),IF(M336=SUM(D:D),""Finalizar"",""-"")))"),"")</f>
        <v/>
      </c>
      <c r="V336" s="4" t="str">
        <f>IFERROR(__xludf.DUMMYFUNCTION("IF(OR($U336="""",COUNTIF($I:$I,IFERROR(unique(filter(Prod_Prop!$H:$H,Prod_Prop!$G:$G=$U336,Prod_Prop!$E:$E=V$1)),""Check""))=0),"""",IFERROR(unique(filter(Prod_Prop!$H:$H,Prod_Prop!$G:$G=$U336,Prod_Prop!$E:$E=V$1)),""""))"),"")</f>
        <v/>
      </c>
      <c r="W336" s="4" t="str">
        <f>IF(V336="","",SUMIFS(Prod_Prop!$J:$J,Prod_Prop!$B:$B,$Q336,Prod_Prop!$H:$H,V336,Prod_Prop!$I:$I,W$1)*IF(V336="Peso",$R336,1))</f>
        <v/>
      </c>
      <c r="X336" s="4" t="str">
        <f>IF(V336="","",SUMIFS(Prod_Prop!$J:$J,Prod_Prop!$B:$B,$Q336,Prod_Prop!$H:$H,V336,Prod_Prop!$I:$I,X$1)*IF(V336="Peso",$R336,1))</f>
        <v/>
      </c>
      <c r="Y336" s="4" t="str">
        <f>IFERROR(__xludf.DUMMYFUNCTION("IF(OR($U336="""",COUNTIF($I:$I,IFERROR(unique(filter(Prod_Prop!$H:$H,Prod_Prop!$G:$G=$U336,Prod_Prop!$E:$E=Y$1)),""Check""))=0),"""",IFERROR(unique(filter(Prod_Prop!$H:$H,Prod_Prop!$G:$G=$U336,Prod_Prop!$E:$E=Y$1)),""""))"),"")</f>
        <v/>
      </c>
      <c r="Z336" s="4" t="str">
        <f>IF(Y336="","",SUMIFS(Prod_Prop!$J:$J,Prod_Prop!$B:$B,$Q336,Prod_Prop!$H:$H,Y336,Prod_Prop!$I:$I,Z$1)*IF(Y336="Peso",$R336,1))</f>
        <v/>
      </c>
      <c r="AA336" s="4" t="str">
        <f>IF(Y336="","",SUMIFS(Prod_Prop!$J:$J,Prod_Prop!$B:$B,$Q336,Prod_Prop!$H:$H,Y336,Prod_Prop!$I:$I,AA$1)*IF(Y336="Peso",$R336,1))</f>
        <v/>
      </c>
      <c r="AB336" s="4" t="str">
        <f>IFERROR(__xludf.DUMMYFUNCTION("IF(OR($U336="""",COUNTIF($I:$I,IFERROR(unique(filter(Prod_Prop!$H:$H,Prod_Prop!$G:$G=$U336,Prod_Prop!$E:$E=AB$1)),""Check""))=0),"""",IFERROR(unique(filter(Prod_Prop!$H:$H,Prod_Prop!$G:$G=$U336,Prod_Prop!$E:$E=AB$1)),""""))"),"")</f>
        <v/>
      </c>
      <c r="AC336" s="4" t="str">
        <f>IF(AB336="","",SUMIFS(Prod_Prop!$J:$J,Prod_Prop!$B:$B,$Q336,Prod_Prop!$H:$H,AB336,Prod_Prop!$I:$I,AC$1)*IF(AB336="Peso",$R336,1))</f>
        <v/>
      </c>
      <c r="AD336" s="4" t="str">
        <f>IF(AB336="","",SUMIFS(Prod_Prop!$J:$J,Prod_Prop!$B:$B,$Q336,Prod_Prop!$H:$H,AB336,Prod_Prop!$I:$I,AD$1)*IF(AB336="Peso",$R336,1))</f>
        <v/>
      </c>
    </row>
    <row r="337">
      <c r="A337" s="4" t="str">
        <f t="array" ref="A337">IF(COUNTIF(A$1:A336,Cotizador!F$2)=maxifs(Familias!E:E,Familias!D:D,Cotizador!F$2),IF(COUNTIF(A$1:A336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7" s="4" t="str">
        <f t="shared" si="1"/>
        <v/>
      </c>
      <c r="C337" s="4" t="str">
        <f t="array" ref="C337">IF(B337="","",IF(A337=XLOOKUP(A$2,Implementos!B:B,Implementos!C:C,"",0,1),B337+maxifs(B$1:B336,A$1:A336,A$2),B337))</f>
        <v/>
      </c>
      <c r="D337" s="4" t="str">
        <f>IF(B337="","", COUNTIFS(Productos!F:F,A337,Productos!H:H,B337)+IF(F337="SI",0,1))</f>
        <v/>
      </c>
      <c r="E337" s="4" t="str">
        <f>IFERROR(__xludf.DUMMYFUNCTION("IF($B337="""","""",INDEX(filter(Familias!F:F,Familias!$D:$D=$A337,Familias!$E:$E=$B337),1))"),"")</f>
        <v/>
      </c>
      <c r="F337" s="4" t="str">
        <f>IFERROR(__xludf.DUMMYFUNCTION("IF($B337="""","""",INDEX(filter(Familias!G:G,Familias!$D:$D=$A337,Familias!$E:$E=$B337),1))"),"")</f>
        <v/>
      </c>
      <c r="G337" s="4" t="str">
        <f t="array" ref="G337">IF(C337=1,XLOOKUP(C337,Cotizador!D:D,Cotizador!E:E,"",0,1),"")</f>
        <v/>
      </c>
      <c r="I337" s="4"/>
      <c r="J337" s="8" t="str">
        <f>IF(I337="","",SUMIF(Cotizador!I$1:V$1,I337,Cotizador!I$2:V$2))</f>
        <v/>
      </c>
      <c r="L337" s="4" t="str">
        <f t="array" ref="L337">IF(COUNTIF(L$1:L336,A$2)=SUMIF(A:A,A$2,D:D),IF(COUNTIF(L$1:L336,XLOOKUP(A$2,Implementos!B:B,Implementos!C:C,"",0,1))=SUMIF(A:A,XLOOKUP(A$2,Implementos!B:B,Implementos!C:C,"",0,1),D:D),"",XLOOKUP(A$2,Implementos!B:B,Implementos!C:C,"",0,1)),A$2)</f>
        <v/>
      </c>
      <c r="M337" s="4" t="str">
        <f t="shared" si="2"/>
        <v/>
      </c>
      <c r="N337" s="4" t="str">
        <f t="shared" si="3"/>
        <v/>
      </c>
      <c r="O337" s="4" t="str">
        <f t="shared" si="4"/>
        <v/>
      </c>
      <c r="P337" s="4" t="str">
        <f t="shared" si="5"/>
        <v/>
      </c>
      <c r="Q337" s="4" t="str">
        <f>IF(U337="","",SUMIF(Productos!E:E,U337,Productos!A:A))</f>
        <v/>
      </c>
      <c r="R337" s="4" t="str">
        <f t="array" ref="R337">IF(L337="","", max(1,SUMIF(I:I,XLOOKUP(U337,Productos!E:E,Productos!G:G,"",0,1),J:J)))</f>
        <v/>
      </c>
      <c r="S337" s="4" t="str">
        <f>IF(Q337="","",IF(SUMIFS(Compat_Vetado!D:D,Compat_Vetado!B:B,SUM(G:G),Compat_Vetado!C:C,Q337)=1,"SI",IF(OR(SUMIF(Cotizador!E:E,Q337,Cotizador!G:G)&gt;0,SUMIFS(Compat_Vetado!D:D,Compat_Vetado!B:B,SUM(G:G),Compat_Vetado!C:C,Q337)=-1),"NO","")))</f>
        <v/>
      </c>
      <c r="T337" s="4" t="str">
        <f t="shared" si="6"/>
        <v/>
      </c>
      <c r="U337" s="4" t="str">
        <f>IFERROR(__xludf.DUMMYFUNCTION("IF(P337="""","""",IFERROR(INDEX(filter(Productos!E:E,Productos!F:F=L337,Productos!H:H=N337),P337),IF(M337=SUM(D:D),""Finalizar"",""-"")))"),"")</f>
        <v/>
      </c>
      <c r="V337" s="4" t="str">
        <f>IFERROR(__xludf.DUMMYFUNCTION("IF(OR($U337="""",COUNTIF($I:$I,IFERROR(unique(filter(Prod_Prop!$H:$H,Prod_Prop!$G:$G=$U337,Prod_Prop!$E:$E=V$1)),""Check""))=0),"""",IFERROR(unique(filter(Prod_Prop!$H:$H,Prod_Prop!$G:$G=$U337,Prod_Prop!$E:$E=V$1)),""""))"),"")</f>
        <v/>
      </c>
      <c r="W337" s="4" t="str">
        <f>IF(V337="","",SUMIFS(Prod_Prop!$J:$J,Prod_Prop!$B:$B,$Q337,Prod_Prop!$H:$H,V337,Prod_Prop!$I:$I,W$1)*IF(V337="Peso",$R337,1))</f>
        <v/>
      </c>
      <c r="X337" s="4" t="str">
        <f>IF(V337="","",SUMIFS(Prod_Prop!$J:$J,Prod_Prop!$B:$B,$Q337,Prod_Prop!$H:$H,V337,Prod_Prop!$I:$I,X$1)*IF(V337="Peso",$R337,1))</f>
        <v/>
      </c>
      <c r="Y337" s="4" t="str">
        <f>IFERROR(__xludf.DUMMYFUNCTION("IF(OR($U337="""",COUNTIF($I:$I,IFERROR(unique(filter(Prod_Prop!$H:$H,Prod_Prop!$G:$G=$U337,Prod_Prop!$E:$E=Y$1)),""Check""))=0),"""",IFERROR(unique(filter(Prod_Prop!$H:$H,Prod_Prop!$G:$G=$U337,Prod_Prop!$E:$E=Y$1)),""""))"),"")</f>
        <v/>
      </c>
      <c r="Z337" s="4" t="str">
        <f>IF(Y337="","",SUMIFS(Prod_Prop!$J:$J,Prod_Prop!$B:$B,$Q337,Prod_Prop!$H:$H,Y337,Prod_Prop!$I:$I,Z$1)*IF(Y337="Peso",$R337,1))</f>
        <v/>
      </c>
      <c r="AA337" s="4" t="str">
        <f>IF(Y337="","",SUMIFS(Prod_Prop!$J:$J,Prod_Prop!$B:$B,$Q337,Prod_Prop!$H:$H,Y337,Prod_Prop!$I:$I,AA$1)*IF(Y337="Peso",$R337,1))</f>
        <v/>
      </c>
      <c r="AB337" s="4" t="str">
        <f>IFERROR(__xludf.DUMMYFUNCTION("IF(OR($U337="""",COUNTIF($I:$I,IFERROR(unique(filter(Prod_Prop!$H:$H,Prod_Prop!$G:$G=$U337,Prod_Prop!$E:$E=AB$1)),""Check""))=0),"""",IFERROR(unique(filter(Prod_Prop!$H:$H,Prod_Prop!$G:$G=$U337,Prod_Prop!$E:$E=AB$1)),""""))"),"")</f>
        <v/>
      </c>
      <c r="AC337" s="4" t="str">
        <f>IF(AB337="","",SUMIFS(Prod_Prop!$J:$J,Prod_Prop!$B:$B,$Q337,Prod_Prop!$H:$H,AB337,Prod_Prop!$I:$I,AC$1)*IF(AB337="Peso",$R337,1))</f>
        <v/>
      </c>
      <c r="AD337" s="4" t="str">
        <f>IF(AB337="","",SUMIFS(Prod_Prop!$J:$J,Prod_Prop!$B:$B,$Q337,Prod_Prop!$H:$H,AB337,Prod_Prop!$I:$I,AD$1)*IF(AB337="Peso",$R337,1))</f>
        <v/>
      </c>
    </row>
    <row r="338">
      <c r="A338" s="4" t="str">
        <f t="array" ref="A338">IF(COUNTIF(A$1:A337,Cotizador!F$2)=maxifs(Familias!E:E,Familias!D:D,Cotizador!F$2),IF(COUNTIF(A$1:A337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8" s="4" t="str">
        <f t="shared" si="1"/>
        <v/>
      </c>
      <c r="C338" s="4" t="str">
        <f t="array" ref="C338">IF(B338="","",IF(A338=XLOOKUP(A$2,Implementos!B:B,Implementos!C:C,"",0,1),B338+maxifs(B$1:B337,A$1:A337,A$2),B338))</f>
        <v/>
      </c>
      <c r="D338" s="4" t="str">
        <f>IF(B338="","", COUNTIFS(Productos!F:F,A338,Productos!H:H,B338)+IF(F338="SI",0,1))</f>
        <v/>
      </c>
      <c r="E338" s="4" t="str">
        <f>IFERROR(__xludf.DUMMYFUNCTION("IF($B338="""","""",INDEX(filter(Familias!F:F,Familias!$D:$D=$A338,Familias!$E:$E=$B338),1))"),"")</f>
        <v/>
      </c>
      <c r="F338" s="4" t="str">
        <f>IFERROR(__xludf.DUMMYFUNCTION("IF($B338="""","""",INDEX(filter(Familias!G:G,Familias!$D:$D=$A338,Familias!$E:$E=$B338),1))"),"")</f>
        <v/>
      </c>
      <c r="G338" s="4" t="str">
        <f t="array" ref="G338">IF(C338=1,XLOOKUP(C338,Cotizador!D:D,Cotizador!E:E,"",0,1),"")</f>
        <v/>
      </c>
      <c r="I338" s="4"/>
      <c r="J338" s="8" t="str">
        <f>IF(I338="","",SUMIF(Cotizador!I$1:V$1,I338,Cotizador!I$2:V$2))</f>
        <v/>
      </c>
      <c r="L338" s="4" t="str">
        <f t="array" ref="L338">IF(COUNTIF(L$1:L337,A$2)=SUMIF(A:A,A$2,D:D),IF(COUNTIF(L$1:L337,XLOOKUP(A$2,Implementos!B:B,Implementos!C:C,"",0,1))=SUMIF(A:A,XLOOKUP(A$2,Implementos!B:B,Implementos!C:C,"",0,1),D:D),"",XLOOKUP(A$2,Implementos!B:B,Implementos!C:C,"",0,1)),A$2)</f>
        <v/>
      </c>
      <c r="M338" s="4" t="str">
        <f t="shared" si="2"/>
        <v/>
      </c>
      <c r="N338" s="4" t="str">
        <f t="shared" si="3"/>
        <v/>
      </c>
      <c r="O338" s="4" t="str">
        <f t="shared" si="4"/>
        <v/>
      </c>
      <c r="P338" s="4" t="str">
        <f t="shared" si="5"/>
        <v/>
      </c>
      <c r="Q338" s="4" t="str">
        <f>IF(U338="","",SUMIF(Productos!E:E,U338,Productos!A:A))</f>
        <v/>
      </c>
      <c r="R338" s="4" t="str">
        <f t="array" ref="R338">IF(L338="","", max(1,SUMIF(I:I,XLOOKUP(U338,Productos!E:E,Productos!G:G,"",0,1),J:J)))</f>
        <v/>
      </c>
      <c r="S338" s="4" t="str">
        <f>IF(Q338="","",IF(SUMIFS(Compat_Vetado!D:D,Compat_Vetado!B:B,SUM(G:G),Compat_Vetado!C:C,Q338)=1,"SI",IF(OR(SUMIF(Cotizador!E:E,Q338,Cotizador!G:G)&gt;0,SUMIFS(Compat_Vetado!D:D,Compat_Vetado!B:B,SUM(G:G),Compat_Vetado!C:C,Q338)=-1),"NO","")))</f>
        <v/>
      </c>
      <c r="T338" s="4" t="str">
        <f t="shared" si="6"/>
        <v/>
      </c>
      <c r="U338" s="4" t="str">
        <f>IFERROR(__xludf.DUMMYFUNCTION("IF(P338="""","""",IFERROR(INDEX(filter(Productos!E:E,Productos!F:F=L338,Productos!H:H=N338),P338),IF(M338=SUM(D:D),""Finalizar"",""-"")))"),"")</f>
        <v/>
      </c>
      <c r="V338" s="4" t="str">
        <f>IFERROR(__xludf.DUMMYFUNCTION("IF(OR($U338="""",COUNTIF($I:$I,IFERROR(unique(filter(Prod_Prop!$H:$H,Prod_Prop!$G:$G=$U338,Prod_Prop!$E:$E=V$1)),""Check""))=0),"""",IFERROR(unique(filter(Prod_Prop!$H:$H,Prod_Prop!$G:$G=$U338,Prod_Prop!$E:$E=V$1)),""""))"),"")</f>
        <v/>
      </c>
      <c r="W338" s="4" t="str">
        <f>IF(V338="","",SUMIFS(Prod_Prop!$J:$J,Prod_Prop!$B:$B,$Q338,Prod_Prop!$H:$H,V338,Prod_Prop!$I:$I,W$1)*IF(V338="Peso",$R338,1))</f>
        <v/>
      </c>
      <c r="X338" s="4" t="str">
        <f>IF(V338="","",SUMIFS(Prod_Prop!$J:$J,Prod_Prop!$B:$B,$Q338,Prod_Prop!$H:$H,V338,Prod_Prop!$I:$I,X$1)*IF(V338="Peso",$R338,1))</f>
        <v/>
      </c>
      <c r="Y338" s="4" t="str">
        <f>IFERROR(__xludf.DUMMYFUNCTION("IF(OR($U338="""",COUNTIF($I:$I,IFERROR(unique(filter(Prod_Prop!$H:$H,Prod_Prop!$G:$G=$U338,Prod_Prop!$E:$E=Y$1)),""Check""))=0),"""",IFERROR(unique(filter(Prod_Prop!$H:$H,Prod_Prop!$G:$G=$U338,Prod_Prop!$E:$E=Y$1)),""""))"),"")</f>
        <v/>
      </c>
      <c r="Z338" s="4" t="str">
        <f>IF(Y338="","",SUMIFS(Prod_Prop!$J:$J,Prod_Prop!$B:$B,$Q338,Prod_Prop!$H:$H,Y338,Prod_Prop!$I:$I,Z$1)*IF(Y338="Peso",$R338,1))</f>
        <v/>
      </c>
      <c r="AA338" s="4" t="str">
        <f>IF(Y338="","",SUMIFS(Prod_Prop!$J:$J,Prod_Prop!$B:$B,$Q338,Prod_Prop!$H:$H,Y338,Prod_Prop!$I:$I,AA$1)*IF(Y338="Peso",$R338,1))</f>
        <v/>
      </c>
      <c r="AB338" s="4" t="str">
        <f>IFERROR(__xludf.DUMMYFUNCTION("IF(OR($U338="""",COUNTIF($I:$I,IFERROR(unique(filter(Prod_Prop!$H:$H,Prod_Prop!$G:$G=$U338,Prod_Prop!$E:$E=AB$1)),""Check""))=0),"""",IFERROR(unique(filter(Prod_Prop!$H:$H,Prod_Prop!$G:$G=$U338,Prod_Prop!$E:$E=AB$1)),""""))"),"")</f>
        <v/>
      </c>
      <c r="AC338" s="4" t="str">
        <f>IF(AB338="","",SUMIFS(Prod_Prop!$J:$J,Prod_Prop!$B:$B,$Q338,Prod_Prop!$H:$H,AB338,Prod_Prop!$I:$I,AC$1)*IF(AB338="Peso",$R338,1))</f>
        <v/>
      </c>
      <c r="AD338" s="4" t="str">
        <f>IF(AB338="","",SUMIFS(Prod_Prop!$J:$J,Prod_Prop!$B:$B,$Q338,Prod_Prop!$H:$H,AB338,Prod_Prop!$I:$I,AD$1)*IF(AB338="Peso",$R338,1))</f>
        <v/>
      </c>
    </row>
    <row r="339">
      <c r="A339" s="4" t="str">
        <f t="array" ref="A339">IF(COUNTIF(A$1:A338,Cotizador!F$2)=maxifs(Familias!E:E,Familias!D:D,Cotizador!F$2),IF(COUNTIF(A$1:A338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39" s="4" t="str">
        <f t="shared" si="1"/>
        <v/>
      </c>
      <c r="C339" s="4" t="str">
        <f t="array" ref="C339">IF(B339="","",IF(A339=XLOOKUP(A$2,Implementos!B:B,Implementos!C:C,"",0,1),B339+maxifs(B$1:B338,A$1:A338,A$2),B339))</f>
        <v/>
      </c>
      <c r="D339" s="4" t="str">
        <f>IF(B339="","", COUNTIFS(Productos!F:F,A339,Productos!H:H,B339)+IF(F339="SI",0,1))</f>
        <v/>
      </c>
      <c r="E339" s="4" t="str">
        <f>IFERROR(__xludf.DUMMYFUNCTION("IF($B339="""","""",INDEX(filter(Familias!F:F,Familias!$D:$D=$A339,Familias!$E:$E=$B339),1))"),"")</f>
        <v/>
      </c>
      <c r="F339" s="4" t="str">
        <f>IFERROR(__xludf.DUMMYFUNCTION("IF($B339="""","""",INDEX(filter(Familias!G:G,Familias!$D:$D=$A339,Familias!$E:$E=$B339),1))"),"")</f>
        <v/>
      </c>
      <c r="G339" s="4" t="str">
        <f t="array" ref="G339">IF(C339=1,XLOOKUP(C339,Cotizador!D:D,Cotizador!E:E,"",0,1),"")</f>
        <v/>
      </c>
      <c r="I339" s="4"/>
      <c r="J339" s="8" t="str">
        <f>IF(I339="","",SUMIF(Cotizador!I$1:V$1,I339,Cotizador!I$2:V$2))</f>
        <v/>
      </c>
      <c r="L339" s="4" t="str">
        <f t="array" ref="L339">IF(COUNTIF(L$1:L338,A$2)=SUMIF(A:A,A$2,D:D),IF(COUNTIF(L$1:L338,XLOOKUP(A$2,Implementos!B:B,Implementos!C:C,"",0,1))=SUMIF(A:A,XLOOKUP(A$2,Implementos!B:B,Implementos!C:C,"",0,1),D:D),"",XLOOKUP(A$2,Implementos!B:B,Implementos!C:C,"",0,1)),A$2)</f>
        <v/>
      </c>
      <c r="M339" s="4" t="str">
        <f t="shared" si="2"/>
        <v/>
      </c>
      <c r="N339" s="4" t="str">
        <f t="shared" si="3"/>
        <v/>
      </c>
      <c r="O339" s="4" t="str">
        <f t="shared" si="4"/>
        <v/>
      </c>
      <c r="P339" s="4" t="str">
        <f t="shared" si="5"/>
        <v/>
      </c>
      <c r="Q339" s="4" t="str">
        <f>IF(U339="","",SUMIF(Productos!E:E,U339,Productos!A:A))</f>
        <v/>
      </c>
      <c r="R339" s="4" t="str">
        <f t="array" ref="R339">IF(L339="","", max(1,SUMIF(I:I,XLOOKUP(U339,Productos!E:E,Productos!G:G,"",0,1),J:J)))</f>
        <v/>
      </c>
      <c r="S339" s="4" t="str">
        <f>IF(Q339="","",IF(SUMIFS(Compat_Vetado!D:D,Compat_Vetado!B:B,SUM(G:G),Compat_Vetado!C:C,Q339)=1,"SI",IF(OR(SUMIF(Cotizador!E:E,Q339,Cotizador!G:G)&gt;0,SUMIFS(Compat_Vetado!D:D,Compat_Vetado!B:B,SUM(G:G),Compat_Vetado!C:C,Q339)=-1),"NO","")))</f>
        <v/>
      </c>
      <c r="T339" s="4" t="str">
        <f t="shared" si="6"/>
        <v/>
      </c>
      <c r="U339" s="4" t="str">
        <f>IFERROR(__xludf.DUMMYFUNCTION("IF(P339="""","""",IFERROR(INDEX(filter(Productos!E:E,Productos!F:F=L339,Productos!H:H=N339),P339),IF(M339=SUM(D:D),""Finalizar"",""-"")))"),"")</f>
        <v/>
      </c>
      <c r="V339" s="4" t="str">
        <f>IFERROR(__xludf.DUMMYFUNCTION("IF(OR($U339="""",COUNTIF($I:$I,IFERROR(unique(filter(Prod_Prop!$H:$H,Prod_Prop!$G:$G=$U339,Prod_Prop!$E:$E=V$1)),""Check""))=0),"""",IFERROR(unique(filter(Prod_Prop!$H:$H,Prod_Prop!$G:$G=$U339,Prod_Prop!$E:$E=V$1)),""""))"),"")</f>
        <v/>
      </c>
      <c r="W339" s="4" t="str">
        <f>IF(V339="","",SUMIFS(Prod_Prop!$J:$J,Prod_Prop!$B:$B,$Q339,Prod_Prop!$H:$H,V339,Prod_Prop!$I:$I,W$1)*IF(V339="Peso",$R339,1))</f>
        <v/>
      </c>
      <c r="X339" s="4" t="str">
        <f>IF(V339="","",SUMIFS(Prod_Prop!$J:$J,Prod_Prop!$B:$B,$Q339,Prod_Prop!$H:$H,V339,Prod_Prop!$I:$I,X$1)*IF(V339="Peso",$R339,1))</f>
        <v/>
      </c>
      <c r="Y339" s="4" t="str">
        <f>IFERROR(__xludf.DUMMYFUNCTION("IF(OR($U339="""",COUNTIF($I:$I,IFERROR(unique(filter(Prod_Prop!$H:$H,Prod_Prop!$G:$G=$U339,Prod_Prop!$E:$E=Y$1)),""Check""))=0),"""",IFERROR(unique(filter(Prod_Prop!$H:$H,Prod_Prop!$G:$G=$U339,Prod_Prop!$E:$E=Y$1)),""""))"),"")</f>
        <v/>
      </c>
      <c r="Z339" s="4" t="str">
        <f>IF(Y339="","",SUMIFS(Prod_Prop!$J:$J,Prod_Prop!$B:$B,$Q339,Prod_Prop!$H:$H,Y339,Prod_Prop!$I:$I,Z$1)*IF(Y339="Peso",$R339,1))</f>
        <v/>
      </c>
      <c r="AA339" s="4" t="str">
        <f>IF(Y339="","",SUMIFS(Prod_Prop!$J:$J,Prod_Prop!$B:$B,$Q339,Prod_Prop!$H:$H,Y339,Prod_Prop!$I:$I,AA$1)*IF(Y339="Peso",$R339,1))</f>
        <v/>
      </c>
      <c r="AB339" s="4" t="str">
        <f>IFERROR(__xludf.DUMMYFUNCTION("IF(OR($U339="""",COUNTIF($I:$I,IFERROR(unique(filter(Prod_Prop!$H:$H,Prod_Prop!$G:$G=$U339,Prod_Prop!$E:$E=AB$1)),""Check""))=0),"""",IFERROR(unique(filter(Prod_Prop!$H:$H,Prod_Prop!$G:$G=$U339,Prod_Prop!$E:$E=AB$1)),""""))"),"")</f>
        <v/>
      </c>
      <c r="AC339" s="4" t="str">
        <f>IF(AB339="","",SUMIFS(Prod_Prop!$J:$J,Prod_Prop!$B:$B,$Q339,Prod_Prop!$H:$H,AB339,Prod_Prop!$I:$I,AC$1)*IF(AB339="Peso",$R339,1))</f>
        <v/>
      </c>
      <c r="AD339" s="4" t="str">
        <f>IF(AB339="","",SUMIFS(Prod_Prop!$J:$J,Prod_Prop!$B:$B,$Q339,Prod_Prop!$H:$H,AB339,Prod_Prop!$I:$I,AD$1)*IF(AB339="Peso",$R339,1))</f>
        <v/>
      </c>
    </row>
    <row r="340">
      <c r="A340" s="4" t="str">
        <f t="array" ref="A340">IF(COUNTIF(A$1:A339,Cotizador!F$2)=maxifs(Familias!E:E,Familias!D:D,Cotizador!F$2),IF(COUNTIF(A$1:A339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0" s="4" t="str">
        <f t="shared" si="1"/>
        <v/>
      </c>
      <c r="C340" s="4" t="str">
        <f t="array" ref="C340">IF(B340="","",IF(A340=XLOOKUP(A$2,Implementos!B:B,Implementos!C:C,"",0,1),B340+maxifs(B$1:B339,A$1:A339,A$2),B340))</f>
        <v/>
      </c>
      <c r="D340" s="4" t="str">
        <f>IF(B340="","", COUNTIFS(Productos!F:F,A340,Productos!H:H,B340)+IF(F340="SI",0,1))</f>
        <v/>
      </c>
      <c r="E340" s="4" t="str">
        <f>IFERROR(__xludf.DUMMYFUNCTION("IF($B340="""","""",INDEX(filter(Familias!F:F,Familias!$D:$D=$A340,Familias!$E:$E=$B340),1))"),"")</f>
        <v/>
      </c>
      <c r="F340" s="4" t="str">
        <f>IFERROR(__xludf.DUMMYFUNCTION("IF($B340="""","""",INDEX(filter(Familias!G:G,Familias!$D:$D=$A340,Familias!$E:$E=$B340),1))"),"")</f>
        <v/>
      </c>
      <c r="G340" s="4" t="str">
        <f t="array" ref="G340">IF(C340=1,XLOOKUP(C340,Cotizador!D:D,Cotizador!E:E,"",0,1),"")</f>
        <v/>
      </c>
      <c r="I340" s="4"/>
      <c r="J340" s="8" t="str">
        <f>IF(I340="","",SUMIF(Cotizador!I$1:V$1,I340,Cotizador!I$2:V$2))</f>
        <v/>
      </c>
      <c r="L340" s="4" t="str">
        <f t="array" ref="L340">IF(COUNTIF(L$1:L339,A$2)=SUMIF(A:A,A$2,D:D),IF(COUNTIF(L$1:L339,XLOOKUP(A$2,Implementos!B:B,Implementos!C:C,"",0,1))=SUMIF(A:A,XLOOKUP(A$2,Implementos!B:B,Implementos!C:C,"",0,1),D:D),"",XLOOKUP(A$2,Implementos!B:B,Implementos!C:C,"",0,1)),A$2)</f>
        <v/>
      </c>
      <c r="M340" s="4" t="str">
        <f t="shared" si="2"/>
        <v/>
      </c>
      <c r="N340" s="4" t="str">
        <f t="shared" si="3"/>
        <v/>
      </c>
      <c r="O340" s="4" t="str">
        <f t="shared" si="4"/>
        <v/>
      </c>
      <c r="P340" s="4" t="str">
        <f t="shared" si="5"/>
        <v/>
      </c>
      <c r="Q340" s="4" t="str">
        <f>IF(U340="","",SUMIF(Productos!E:E,U340,Productos!A:A))</f>
        <v/>
      </c>
      <c r="R340" s="4" t="str">
        <f t="array" ref="R340">IF(L340="","", max(1,SUMIF(I:I,XLOOKUP(U340,Productos!E:E,Productos!G:G,"",0,1),J:J)))</f>
        <v/>
      </c>
      <c r="S340" s="4" t="str">
        <f>IF(Q340="","",IF(SUMIFS(Compat_Vetado!D:D,Compat_Vetado!B:B,SUM(G:G),Compat_Vetado!C:C,Q340)=1,"SI",IF(OR(SUMIF(Cotizador!E:E,Q340,Cotizador!G:G)&gt;0,SUMIFS(Compat_Vetado!D:D,Compat_Vetado!B:B,SUM(G:G),Compat_Vetado!C:C,Q340)=-1),"NO","")))</f>
        <v/>
      </c>
      <c r="T340" s="4" t="str">
        <f t="shared" si="6"/>
        <v/>
      </c>
      <c r="U340" s="4" t="str">
        <f>IFERROR(__xludf.DUMMYFUNCTION("IF(P340="""","""",IFERROR(INDEX(filter(Productos!E:E,Productos!F:F=L340,Productos!H:H=N340),P340),IF(M340=SUM(D:D),""Finalizar"",""-"")))"),"")</f>
        <v/>
      </c>
      <c r="V340" s="4" t="str">
        <f>IFERROR(__xludf.DUMMYFUNCTION("IF(OR($U340="""",COUNTIF($I:$I,IFERROR(unique(filter(Prod_Prop!$H:$H,Prod_Prop!$G:$G=$U340,Prod_Prop!$E:$E=V$1)),""Check""))=0),"""",IFERROR(unique(filter(Prod_Prop!$H:$H,Prod_Prop!$G:$G=$U340,Prod_Prop!$E:$E=V$1)),""""))"),"")</f>
        <v/>
      </c>
      <c r="W340" s="4" t="str">
        <f>IF(V340="","",SUMIFS(Prod_Prop!$J:$J,Prod_Prop!$B:$B,$Q340,Prod_Prop!$H:$H,V340,Prod_Prop!$I:$I,W$1)*IF(V340="Peso",$R340,1))</f>
        <v/>
      </c>
      <c r="X340" s="4" t="str">
        <f>IF(V340="","",SUMIFS(Prod_Prop!$J:$J,Prod_Prop!$B:$B,$Q340,Prod_Prop!$H:$H,V340,Prod_Prop!$I:$I,X$1)*IF(V340="Peso",$R340,1))</f>
        <v/>
      </c>
      <c r="Y340" s="4" t="str">
        <f>IFERROR(__xludf.DUMMYFUNCTION("IF(OR($U340="""",COUNTIF($I:$I,IFERROR(unique(filter(Prod_Prop!$H:$H,Prod_Prop!$G:$G=$U340,Prod_Prop!$E:$E=Y$1)),""Check""))=0),"""",IFERROR(unique(filter(Prod_Prop!$H:$H,Prod_Prop!$G:$G=$U340,Prod_Prop!$E:$E=Y$1)),""""))"),"")</f>
        <v/>
      </c>
      <c r="Z340" s="4" t="str">
        <f>IF(Y340="","",SUMIFS(Prod_Prop!$J:$J,Prod_Prop!$B:$B,$Q340,Prod_Prop!$H:$H,Y340,Prod_Prop!$I:$I,Z$1)*IF(Y340="Peso",$R340,1))</f>
        <v/>
      </c>
      <c r="AA340" s="4" t="str">
        <f>IF(Y340="","",SUMIFS(Prod_Prop!$J:$J,Prod_Prop!$B:$B,$Q340,Prod_Prop!$H:$H,Y340,Prod_Prop!$I:$I,AA$1)*IF(Y340="Peso",$R340,1))</f>
        <v/>
      </c>
      <c r="AB340" s="4" t="str">
        <f>IFERROR(__xludf.DUMMYFUNCTION("IF(OR($U340="""",COUNTIF($I:$I,IFERROR(unique(filter(Prod_Prop!$H:$H,Prod_Prop!$G:$G=$U340,Prod_Prop!$E:$E=AB$1)),""Check""))=0),"""",IFERROR(unique(filter(Prod_Prop!$H:$H,Prod_Prop!$G:$G=$U340,Prod_Prop!$E:$E=AB$1)),""""))"),"")</f>
        <v/>
      </c>
      <c r="AC340" s="4" t="str">
        <f>IF(AB340="","",SUMIFS(Prod_Prop!$J:$J,Prod_Prop!$B:$B,$Q340,Prod_Prop!$H:$H,AB340,Prod_Prop!$I:$I,AC$1)*IF(AB340="Peso",$R340,1))</f>
        <v/>
      </c>
      <c r="AD340" s="4" t="str">
        <f>IF(AB340="","",SUMIFS(Prod_Prop!$J:$J,Prod_Prop!$B:$B,$Q340,Prod_Prop!$H:$H,AB340,Prod_Prop!$I:$I,AD$1)*IF(AB340="Peso",$R340,1))</f>
        <v/>
      </c>
    </row>
    <row r="341">
      <c r="A341" s="4" t="str">
        <f t="array" ref="A341">IF(COUNTIF(A$1:A340,Cotizador!F$2)=maxifs(Familias!E:E,Familias!D:D,Cotizador!F$2),IF(COUNTIF(A$1:A340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1" s="4" t="str">
        <f t="shared" si="1"/>
        <v/>
      </c>
      <c r="C341" s="4" t="str">
        <f t="array" ref="C341">IF(B341="","",IF(A341=XLOOKUP(A$2,Implementos!B:B,Implementos!C:C,"",0,1),B341+maxifs(B$1:B340,A$1:A340,A$2),B341))</f>
        <v/>
      </c>
      <c r="D341" s="4" t="str">
        <f>IF(B341="","", COUNTIFS(Productos!F:F,A341,Productos!H:H,B341)+IF(F341="SI",0,1))</f>
        <v/>
      </c>
      <c r="E341" s="4" t="str">
        <f>IFERROR(__xludf.DUMMYFUNCTION("IF($B341="""","""",INDEX(filter(Familias!F:F,Familias!$D:$D=$A341,Familias!$E:$E=$B341),1))"),"")</f>
        <v/>
      </c>
      <c r="F341" s="4" t="str">
        <f>IFERROR(__xludf.DUMMYFUNCTION("IF($B341="""","""",INDEX(filter(Familias!G:G,Familias!$D:$D=$A341,Familias!$E:$E=$B341),1))"),"")</f>
        <v/>
      </c>
      <c r="G341" s="4" t="str">
        <f t="array" ref="G341">IF(C341=1,XLOOKUP(C341,Cotizador!D:D,Cotizador!E:E,"",0,1),"")</f>
        <v/>
      </c>
      <c r="I341" s="4"/>
      <c r="J341" s="8" t="str">
        <f>IF(I341="","",SUMIF(Cotizador!I$1:V$1,I341,Cotizador!I$2:V$2))</f>
        <v/>
      </c>
      <c r="L341" s="4" t="str">
        <f t="array" ref="L341">IF(COUNTIF(L$1:L340,A$2)=SUMIF(A:A,A$2,D:D),IF(COUNTIF(L$1:L340,XLOOKUP(A$2,Implementos!B:B,Implementos!C:C,"",0,1))=SUMIF(A:A,XLOOKUP(A$2,Implementos!B:B,Implementos!C:C,"",0,1),D:D),"",XLOOKUP(A$2,Implementos!B:B,Implementos!C:C,"",0,1)),A$2)</f>
        <v/>
      </c>
      <c r="M341" s="4" t="str">
        <f t="shared" si="2"/>
        <v/>
      </c>
      <c r="N341" s="4" t="str">
        <f t="shared" si="3"/>
        <v/>
      </c>
      <c r="O341" s="4" t="str">
        <f t="shared" si="4"/>
        <v/>
      </c>
      <c r="P341" s="4" t="str">
        <f t="shared" si="5"/>
        <v/>
      </c>
      <c r="Q341" s="4" t="str">
        <f>IF(U341="","",SUMIF(Productos!E:E,U341,Productos!A:A))</f>
        <v/>
      </c>
      <c r="R341" s="4" t="str">
        <f t="array" ref="R341">IF(L341="","", max(1,SUMIF(I:I,XLOOKUP(U341,Productos!E:E,Productos!G:G,"",0,1),J:J)))</f>
        <v/>
      </c>
      <c r="S341" s="4" t="str">
        <f>IF(Q341="","",IF(SUMIFS(Compat_Vetado!D:D,Compat_Vetado!B:B,SUM(G:G),Compat_Vetado!C:C,Q341)=1,"SI",IF(OR(SUMIF(Cotizador!E:E,Q341,Cotizador!G:G)&gt;0,SUMIFS(Compat_Vetado!D:D,Compat_Vetado!B:B,SUM(G:G),Compat_Vetado!C:C,Q341)=-1),"NO","")))</f>
        <v/>
      </c>
      <c r="T341" s="4" t="str">
        <f t="shared" si="6"/>
        <v/>
      </c>
      <c r="U341" s="4" t="str">
        <f>IFERROR(__xludf.DUMMYFUNCTION("IF(P341="""","""",IFERROR(INDEX(filter(Productos!E:E,Productos!F:F=L341,Productos!H:H=N341),P341),IF(M341=SUM(D:D),""Finalizar"",""-"")))"),"")</f>
        <v/>
      </c>
      <c r="V341" s="4" t="str">
        <f>IFERROR(__xludf.DUMMYFUNCTION("IF(OR($U341="""",COUNTIF($I:$I,IFERROR(unique(filter(Prod_Prop!$H:$H,Prod_Prop!$G:$G=$U341,Prod_Prop!$E:$E=V$1)),""Check""))=0),"""",IFERROR(unique(filter(Prod_Prop!$H:$H,Prod_Prop!$G:$G=$U341,Prod_Prop!$E:$E=V$1)),""""))"),"")</f>
        <v/>
      </c>
      <c r="W341" s="4" t="str">
        <f>IF(V341="","",SUMIFS(Prod_Prop!$J:$J,Prod_Prop!$B:$B,$Q341,Prod_Prop!$H:$H,V341,Prod_Prop!$I:$I,W$1)*IF(V341="Peso",$R341,1))</f>
        <v/>
      </c>
      <c r="X341" s="4" t="str">
        <f>IF(V341="","",SUMIFS(Prod_Prop!$J:$J,Prod_Prop!$B:$B,$Q341,Prod_Prop!$H:$H,V341,Prod_Prop!$I:$I,X$1)*IF(V341="Peso",$R341,1))</f>
        <v/>
      </c>
      <c r="Y341" s="4" t="str">
        <f>IFERROR(__xludf.DUMMYFUNCTION("IF(OR($U341="""",COUNTIF($I:$I,IFERROR(unique(filter(Prod_Prop!$H:$H,Prod_Prop!$G:$G=$U341,Prod_Prop!$E:$E=Y$1)),""Check""))=0),"""",IFERROR(unique(filter(Prod_Prop!$H:$H,Prod_Prop!$G:$G=$U341,Prod_Prop!$E:$E=Y$1)),""""))"),"")</f>
        <v/>
      </c>
      <c r="Z341" s="4" t="str">
        <f>IF(Y341="","",SUMIFS(Prod_Prop!$J:$J,Prod_Prop!$B:$B,$Q341,Prod_Prop!$H:$H,Y341,Prod_Prop!$I:$I,Z$1)*IF(Y341="Peso",$R341,1))</f>
        <v/>
      </c>
      <c r="AA341" s="4" t="str">
        <f>IF(Y341="","",SUMIFS(Prod_Prop!$J:$J,Prod_Prop!$B:$B,$Q341,Prod_Prop!$H:$H,Y341,Prod_Prop!$I:$I,AA$1)*IF(Y341="Peso",$R341,1))</f>
        <v/>
      </c>
      <c r="AB341" s="4" t="str">
        <f>IFERROR(__xludf.DUMMYFUNCTION("IF(OR($U341="""",COUNTIF($I:$I,IFERROR(unique(filter(Prod_Prop!$H:$H,Prod_Prop!$G:$G=$U341,Prod_Prop!$E:$E=AB$1)),""Check""))=0),"""",IFERROR(unique(filter(Prod_Prop!$H:$H,Prod_Prop!$G:$G=$U341,Prod_Prop!$E:$E=AB$1)),""""))"),"")</f>
        <v/>
      </c>
      <c r="AC341" s="4" t="str">
        <f>IF(AB341="","",SUMIFS(Prod_Prop!$J:$J,Prod_Prop!$B:$B,$Q341,Prod_Prop!$H:$H,AB341,Prod_Prop!$I:$I,AC$1)*IF(AB341="Peso",$R341,1))</f>
        <v/>
      </c>
      <c r="AD341" s="4" t="str">
        <f>IF(AB341="","",SUMIFS(Prod_Prop!$J:$J,Prod_Prop!$B:$B,$Q341,Prod_Prop!$H:$H,AB341,Prod_Prop!$I:$I,AD$1)*IF(AB341="Peso",$R341,1))</f>
        <v/>
      </c>
    </row>
    <row r="342">
      <c r="A342" s="4" t="str">
        <f t="array" ref="A342">IF(COUNTIF(A$1:A341,Cotizador!F$2)=maxifs(Familias!E:E,Familias!D:D,Cotizador!F$2),IF(COUNTIF(A$1:A341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2" s="4" t="str">
        <f t="shared" si="1"/>
        <v/>
      </c>
      <c r="C342" s="4" t="str">
        <f t="array" ref="C342">IF(B342="","",IF(A342=XLOOKUP(A$2,Implementos!B:B,Implementos!C:C,"",0,1),B342+maxifs(B$1:B341,A$1:A341,A$2),B342))</f>
        <v/>
      </c>
      <c r="D342" s="4" t="str">
        <f>IF(B342="","", COUNTIFS(Productos!F:F,A342,Productos!H:H,B342)+IF(F342="SI",0,1))</f>
        <v/>
      </c>
      <c r="E342" s="4" t="str">
        <f>IFERROR(__xludf.DUMMYFUNCTION("IF($B342="""","""",INDEX(filter(Familias!F:F,Familias!$D:$D=$A342,Familias!$E:$E=$B342),1))"),"")</f>
        <v/>
      </c>
      <c r="F342" s="4" t="str">
        <f>IFERROR(__xludf.DUMMYFUNCTION("IF($B342="""","""",INDEX(filter(Familias!G:G,Familias!$D:$D=$A342,Familias!$E:$E=$B342),1))"),"")</f>
        <v/>
      </c>
      <c r="G342" s="4" t="str">
        <f t="array" ref="G342">IF(C342=1,XLOOKUP(C342,Cotizador!D:D,Cotizador!E:E,"",0,1),"")</f>
        <v/>
      </c>
      <c r="I342" s="4"/>
      <c r="J342" s="8" t="str">
        <f>IF(I342="","",SUMIF(Cotizador!I$1:V$1,I342,Cotizador!I$2:V$2))</f>
        <v/>
      </c>
      <c r="L342" s="4" t="str">
        <f t="array" ref="L342">IF(COUNTIF(L$1:L341,A$2)=SUMIF(A:A,A$2,D:D),IF(COUNTIF(L$1:L341,XLOOKUP(A$2,Implementos!B:B,Implementos!C:C,"",0,1))=SUMIF(A:A,XLOOKUP(A$2,Implementos!B:B,Implementos!C:C,"",0,1),D:D),"",XLOOKUP(A$2,Implementos!B:B,Implementos!C:C,"",0,1)),A$2)</f>
        <v/>
      </c>
      <c r="M342" s="4" t="str">
        <f t="shared" si="2"/>
        <v/>
      </c>
      <c r="N342" s="4" t="str">
        <f t="shared" si="3"/>
        <v/>
      </c>
      <c r="O342" s="4" t="str">
        <f t="shared" si="4"/>
        <v/>
      </c>
      <c r="P342" s="4" t="str">
        <f t="shared" si="5"/>
        <v/>
      </c>
      <c r="Q342" s="4" t="str">
        <f>IF(U342="","",SUMIF(Productos!E:E,U342,Productos!A:A))</f>
        <v/>
      </c>
      <c r="R342" s="4" t="str">
        <f t="array" ref="R342">IF(L342="","", max(1,SUMIF(I:I,XLOOKUP(U342,Productos!E:E,Productos!G:G,"",0,1),J:J)))</f>
        <v/>
      </c>
      <c r="S342" s="4" t="str">
        <f>IF(Q342="","",IF(SUMIFS(Compat_Vetado!D:D,Compat_Vetado!B:B,SUM(G:G),Compat_Vetado!C:C,Q342)=1,"SI",IF(OR(SUMIF(Cotizador!E:E,Q342,Cotizador!G:G)&gt;0,SUMIFS(Compat_Vetado!D:D,Compat_Vetado!B:B,SUM(G:G),Compat_Vetado!C:C,Q342)=-1),"NO","")))</f>
        <v/>
      </c>
      <c r="T342" s="4" t="str">
        <f t="shared" si="6"/>
        <v/>
      </c>
      <c r="U342" s="4" t="str">
        <f>IFERROR(__xludf.DUMMYFUNCTION("IF(P342="""","""",IFERROR(INDEX(filter(Productos!E:E,Productos!F:F=L342,Productos!H:H=N342),P342),IF(M342=SUM(D:D),""Finalizar"",""-"")))"),"")</f>
        <v/>
      </c>
      <c r="V342" s="4" t="str">
        <f>IFERROR(__xludf.DUMMYFUNCTION("IF(OR($U342="""",COUNTIF($I:$I,IFERROR(unique(filter(Prod_Prop!$H:$H,Prod_Prop!$G:$G=$U342,Prod_Prop!$E:$E=V$1)),""Check""))=0),"""",IFERROR(unique(filter(Prod_Prop!$H:$H,Prod_Prop!$G:$G=$U342,Prod_Prop!$E:$E=V$1)),""""))"),"")</f>
        <v/>
      </c>
      <c r="W342" s="4" t="str">
        <f>IF(V342="","",SUMIFS(Prod_Prop!$J:$J,Prod_Prop!$B:$B,$Q342,Prod_Prop!$H:$H,V342,Prod_Prop!$I:$I,W$1)*IF(V342="Peso",$R342,1))</f>
        <v/>
      </c>
      <c r="X342" s="4" t="str">
        <f>IF(V342="","",SUMIFS(Prod_Prop!$J:$J,Prod_Prop!$B:$B,$Q342,Prod_Prop!$H:$H,V342,Prod_Prop!$I:$I,X$1)*IF(V342="Peso",$R342,1))</f>
        <v/>
      </c>
      <c r="Y342" s="4" t="str">
        <f>IFERROR(__xludf.DUMMYFUNCTION("IF(OR($U342="""",COUNTIF($I:$I,IFERROR(unique(filter(Prod_Prop!$H:$H,Prod_Prop!$G:$G=$U342,Prod_Prop!$E:$E=Y$1)),""Check""))=0),"""",IFERROR(unique(filter(Prod_Prop!$H:$H,Prod_Prop!$G:$G=$U342,Prod_Prop!$E:$E=Y$1)),""""))"),"")</f>
        <v/>
      </c>
      <c r="Z342" s="4" t="str">
        <f>IF(Y342="","",SUMIFS(Prod_Prop!$J:$J,Prod_Prop!$B:$B,$Q342,Prod_Prop!$H:$H,Y342,Prod_Prop!$I:$I,Z$1)*IF(Y342="Peso",$R342,1))</f>
        <v/>
      </c>
      <c r="AA342" s="4" t="str">
        <f>IF(Y342="","",SUMIFS(Prod_Prop!$J:$J,Prod_Prop!$B:$B,$Q342,Prod_Prop!$H:$H,Y342,Prod_Prop!$I:$I,AA$1)*IF(Y342="Peso",$R342,1))</f>
        <v/>
      </c>
      <c r="AB342" s="4" t="str">
        <f>IFERROR(__xludf.DUMMYFUNCTION("IF(OR($U342="""",COUNTIF($I:$I,IFERROR(unique(filter(Prod_Prop!$H:$H,Prod_Prop!$G:$G=$U342,Prod_Prop!$E:$E=AB$1)),""Check""))=0),"""",IFERROR(unique(filter(Prod_Prop!$H:$H,Prod_Prop!$G:$G=$U342,Prod_Prop!$E:$E=AB$1)),""""))"),"")</f>
        <v/>
      </c>
      <c r="AC342" s="4" t="str">
        <f>IF(AB342="","",SUMIFS(Prod_Prop!$J:$J,Prod_Prop!$B:$B,$Q342,Prod_Prop!$H:$H,AB342,Prod_Prop!$I:$I,AC$1)*IF(AB342="Peso",$R342,1))</f>
        <v/>
      </c>
      <c r="AD342" s="4" t="str">
        <f>IF(AB342="","",SUMIFS(Prod_Prop!$J:$J,Prod_Prop!$B:$B,$Q342,Prod_Prop!$H:$H,AB342,Prod_Prop!$I:$I,AD$1)*IF(AB342="Peso",$R342,1))</f>
        <v/>
      </c>
    </row>
    <row r="343">
      <c r="A343" s="4" t="str">
        <f t="array" ref="A343">IF(COUNTIF(A$1:A342,Cotizador!F$2)=maxifs(Familias!E:E,Familias!D:D,Cotizador!F$2),IF(COUNTIF(A$1:A342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3" s="4" t="str">
        <f t="shared" si="1"/>
        <v/>
      </c>
      <c r="C343" s="4" t="str">
        <f t="array" ref="C343">IF(B343="","",IF(A343=XLOOKUP(A$2,Implementos!B:B,Implementos!C:C,"",0,1),B343+maxifs(B$1:B342,A$1:A342,A$2),B343))</f>
        <v/>
      </c>
      <c r="D343" s="4" t="str">
        <f>IF(B343="","", COUNTIFS(Productos!F:F,A343,Productos!H:H,B343)+IF(F343="SI",0,1))</f>
        <v/>
      </c>
      <c r="E343" s="4" t="str">
        <f>IFERROR(__xludf.DUMMYFUNCTION("IF($B343="""","""",INDEX(filter(Familias!F:F,Familias!$D:$D=$A343,Familias!$E:$E=$B343),1))"),"")</f>
        <v/>
      </c>
      <c r="F343" s="4" t="str">
        <f>IFERROR(__xludf.DUMMYFUNCTION("IF($B343="""","""",INDEX(filter(Familias!G:G,Familias!$D:$D=$A343,Familias!$E:$E=$B343),1))"),"")</f>
        <v/>
      </c>
      <c r="G343" s="4" t="str">
        <f t="array" ref="G343">IF(C343=1,XLOOKUP(C343,Cotizador!D:D,Cotizador!E:E,"",0,1),"")</f>
        <v/>
      </c>
      <c r="I343" s="4"/>
      <c r="J343" s="8" t="str">
        <f>IF(I343="","",SUMIF(Cotizador!I$1:V$1,I343,Cotizador!I$2:V$2))</f>
        <v/>
      </c>
      <c r="L343" s="4" t="str">
        <f t="array" ref="L343">IF(COUNTIF(L$1:L342,A$2)=SUMIF(A:A,A$2,D:D),IF(COUNTIF(L$1:L342,XLOOKUP(A$2,Implementos!B:B,Implementos!C:C,"",0,1))=SUMIF(A:A,XLOOKUP(A$2,Implementos!B:B,Implementos!C:C,"",0,1),D:D),"",XLOOKUP(A$2,Implementos!B:B,Implementos!C:C,"",0,1)),A$2)</f>
        <v/>
      </c>
      <c r="M343" s="4" t="str">
        <f t="shared" si="2"/>
        <v/>
      </c>
      <c r="N343" s="4" t="str">
        <f t="shared" si="3"/>
        <v/>
      </c>
      <c r="O343" s="4" t="str">
        <f t="shared" si="4"/>
        <v/>
      </c>
      <c r="P343" s="4" t="str">
        <f t="shared" si="5"/>
        <v/>
      </c>
      <c r="Q343" s="4" t="str">
        <f>IF(U343="","",SUMIF(Productos!E:E,U343,Productos!A:A))</f>
        <v/>
      </c>
      <c r="R343" s="4" t="str">
        <f t="array" ref="R343">IF(L343="","", max(1,SUMIF(I:I,XLOOKUP(U343,Productos!E:E,Productos!G:G,"",0,1),J:J)))</f>
        <v/>
      </c>
      <c r="S343" s="4" t="str">
        <f>IF(Q343="","",IF(SUMIFS(Compat_Vetado!D:D,Compat_Vetado!B:B,SUM(G:G),Compat_Vetado!C:C,Q343)=1,"SI",IF(OR(SUMIF(Cotizador!E:E,Q343,Cotizador!G:G)&gt;0,SUMIFS(Compat_Vetado!D:D,Compat_Vetado!B:B,SUM(G:G),Compat_Vetado!C:C,Q343)=-1),"NO","")))</f>
        <v/>
      </c>
      <c r="T343" s="4" t="str">
        <f t="shared" si="6"/>
        <v/>
      </c>
      <c r="U343" s="4" t="str">
        <f>IFERROR(__xludf.DUMMYFUNCTION("IF(P343="""","""",IFERROR(INDEX(filter(Productos!E:E,Productos!F:F=L343,Productos!H:H=N343),P343),IF(M343=SUM(D:D),""Finalizar"",""-"")))"),"")</f>
        <v/>
      </c>
      <c r="V343" s="4" t="str">
        <f>IFERROR(__xludf.DUMMYFUNCTION("IF(OR($U343="""",COUNTIF($I:$I,IFERROR(unique(filter(Prod_Prop!$H:$H,Prod_Prop!$G:$G=$U343,Prod_Prop!$E:$E=V$1)),""Check""))=0),"""",IFERROR(unique(filter(Prod_Prop!$H:$H,Prod_Prop!$G:$G=$U343,Prod_Prop!$E:$E=V$1)),""""))"),"")</f>
        <v/>
      </c>
      <c r="W343" s="4" t="str">
        <f>IF(V343="","",SUMIFS(Prod_Prop!$J:$J,Prod_Prop!$B:$B,$Q343,Prod_Prop!$H:$H,V343,Prod_Prop!$I:$I,W$1)*IF(V343="Peso",$R343,1))</f>
        <v/>
      </c>
      <c r="X343" s="4" t="str">
        <f>IF(V343="","",SUMIFS(Prod_Prop!$J:$J,Prod_Prop!$B:$B,$Q343,Prod_Prop!$H:$H,V343,Prod_Prop!$I:$I,X$1)*IF(V343="Peso",$R343,1))</f>
        <v/>
      </c>
      <c r="Y343" s="4" t="str">
        <f>IFERROR(__xludf.DUMMYFUNCTION("IF(OR($U343="""",COUNTIF($I:$I,IFERROR(unique(filter(Prod_Prop!$H:$H,Prod_Prop!$G:$G=$U343,Prod_Prop!$E:$E=Y$1)),""Check""))=0),"""",IFERROR(unique(filter(Prod_Prop!$H:$H,Prod_Prop!$G:$G=$U343,Prod_Prop!$E:$E=Y$1)),""""))"),"")</f>
        <v/>
      </c>
      <c r="Z343" s="4" t="str">
        <f>IF(Y343="","",SUMIFS(Prod_Prop!$J:$J,Prod_Prop!$B:$B,$Q343,Prod_Prop!$H:$H,Y343,Prod_Prop!$I:$I,Z$1)*IF(Y343="Peso",$R343,1))</f>
        <v/>
      </c>
      <c r="AA343" s="4" t="str">
        <f>IF(Y343="","",SUMIFS(Prod_Prop!$J:$J,Prod_Prop!$B:$B,$Q343,Prod_Prop!$H:$H,Y343,Prod_Prop!$I:$I,AA$1)*IF(Y343="Peso",$R343,1))</f>
        <v/>
      </c>
      <c r="AB343" s="4" t="str">
        <f>IFERROR(__xludf.DUMMYFUNCTION("IF(OR($U343="""",COUNTIF($I:$I,IFERROR(unique(filter(Prod_Prop!$H:$H,Prod_Prop!$G:$G=$U343,Prod_Prop!$E:$E=AB$1)),""Check""))=0),"""",IFERROR(unique(filter(Prod_Prop!$H:$H,Prod_Prop!$G:$G=$U343,Prod_Prop!$E:$E=AB$1)),""""))"),"")</f>
        <v/>
      </c>
      <c r="AC343" s="4" t="str">
        <f>IF(AB343="","",SUMIFS(Prod_Prop!$J:$J,Prod_Prop!$B:$B,$Q343,Prod_Prop!$H:$H,AB343,Prod_Prop!$I:$I,AC$1)*IF(AB343="Peso",$R343,1))</f>
        <v/>
      </c>
      <c r="AD343" s="4" t="str">
        <f>IF(AB343="","",SUMIFS(Prod_Prop!$J:$J,Prod_Prop!$B:$B,$Q343,Prod_Prop!$H:$H,AB343,Prod_Prop!$I:$I,AD$1)*IF(AB343="Peso",$R343,1))</f>
        <v/>
      </c>
    </row>
    <row r="344">
      <c r="A344" s="4" t="str">
        <f t="array" ref="A344">IF(COUNTIF(A$1:A343,Cotizador!F$2)=maxifs(Familias!E:E,Familias!D:D,Cotizador!F$2),IF(COUNTIF(A$1:A343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4" s="4" t="str">
        <f t="shared" si="1"/>
        <v/>
      </c>
      <c r="C344" s="4" t="str">
        <f t="array" ref="C344">IF(B344="","",IF(A344=XLOOKUP(A$2,Implementos!B:B,Implementos!C:C,"",0,1),B344+maxifs(B$1:B343,A$1:A343,A$2),B344))</f>
        <v/>
      </c>
      <c r="D344" s="4" t="str">
        <f>IF(B344="","", COUNTIFS(Productos!F:F,A344,Productos!H:H,B344)+IF(F344="SI",0,1))</f>
        <v/>
      </c>
      <c r="E344" s="4" t="str">
        <f>IFERROR(__xludf.DUMMYFUNCTION("IF($B344="""","""",INDEX(filter(Familias!F:F,Familias!$D:$D=$A344,Familias!$E:$E=$B344),1))"),"")</f>
        <v/>
      </c>
      <c r="F344" s="4" t="str">
        <f>IFERROR(__xludf.DUMMYFUNCTION("IF($B344="""","""",INDEX(filter(Familias!G:G,Familias!$D:$D=$A344,Familias!$E:$E=$B344),1))"),"")</f>
        <v/>
      </c>
      <c r="G344" s="4" t="str">
        <f t="array" ref="G344">IF(C344=1,XLOOKUP(C344,Cotizador!D:D,Cotizador!E:E,"",0,1),"")</f>
        <v/>
      </c>
      <c r="I344" s="4"/>
      <c r="J344" s="8" t="str">
        <f>IF(I344="","",SUMIF(Cotizador!I$1:V$1,I344,Cotizador!I$2:V$2))</f>
        <v/>
      </c>
      <c r="L344" s="4" t="str">
        <f t="array" ref="L344">IF(COUNTIF(L$1:L343,A$2)=SUMIF(A:A,A$2,D:D),IF(COUNTIF(L$1:L343,XLOOKUP(A$2,Implementos!B:B,Implementos!C:C,"",0,1))=SUMIF(A:A,XLOOKUP(A$2,Implementos!B:B,Implementos!C:C,"",0,1),D:D),"",XLOOKUP(A$2,Implementos!B:B,Implementos!C:C,"",0,1)),A$2)</f>
        <v/>
      </c>
      <c r="M344" s="4" t="str">
        <f t="shared" si="2"/>
        <v/>
      </c>
      <c r="N344" s="4" t="str">
        <f t="shared" si="3"/>
        <v/>
      </c>
      <c r="O344" s="4" t="str">
        <f t="shared" si="4"/>
        <v/>
      </c>
      <c r="P344" s="4" t="str">
        <f t="shared" si="5"/>
        <v/>
      </c>
      <c r="Q344" s="4" t="str">
        <f>IF(U344="","",SUMIF(Productos!E:E,U344,Productos!A:A))</f>
        <v/>
      </c>
      <c r="R344" s="4" t="str">
        <f t="array" ref="R344">IF(L344="","", max(1,SUMIF(I:I,XLOOKUP(U344,Productos!E:E,Productos!G:G,"",0,1),J:J)))</f>
        <v/>
      </c>
      <c r="S344" s="4" t="str">
        <f>IF(Q344="","",IF(SUMIFS(Compat_Vetado!D:D,Compat_Vetado!B:B,SUM(G:G),Compat_Vetado!C:C,Q344)=1,"SI",IF(OR(SUMIF(Cotizador!E:E,Q344,Cotizador!G:G)&gt;0,SUMIFS(Compat_Vetado!D:D,Compat_Vetado!B:B,SUM(G:G),Compat_Vetado!C:C,Q344)=-1),"NO","")))</f>
        <v/>
      </c>
      <c r="T344" s="4" t="str">
        <f t="shared" si="6"/>
        <v/>
      </c>
      <c r="U344" s="4" t="str">
        <f>IFERROR(__xludf.DUMMYFUNCTION("IF(P344="""","""",IFERROR(INDEX(filter(Productos!E:E,Productos!F:F=L344,Productos!H:H=N344),P344),IF(M344=SUM(D:D),""Finalizar"",""-"")))"),"")</f>
        <v/>
      </c>
      <c r="V344" s="4" t="str">
        <f>IFERROR(__xludf.DUMMYFUNCTION("IF(OR($U344="""",COUNTIF($I:$I,IFERROR(unique(filter(Prod_Prop!$H:$H,Prod_Prop!$G:$G=$U344,Prod_Prop!$E:$E=V$1)),""Check""))=0),"""",IFERROR(unique(filter(Prod_Prop!$H:$H,Prod_Prop!$G:$G=$U344,Prod_Prop!$E:$E=V$1)),""""))"),"")</f>
        <v/>
      </c>
      <c r="W344" s="4" t="str">
        <f>IF(V344="","",SUMIFS(Prod_Prop!$J:$J,Prod_Prop!$B:$B,$Q344,Prod_Prop!$H:$H,V344,Prod_Prop!$I:$I,W$1)*IF(V344="Peso",$R344,1))</f>
        <v/>
      </c>
      <c r="X344" s="4" t="str">
        <f>IF(V344="","",SUMIFS(Prod_Prop!$J:$J,Prod_Prop!$B:$B,$Q344,Prod_Prop!$H:$H,V344,Prod_Prop!$I:$I,X$1)*IF(V344="Peso",$R344,1))</f>
        <v/>
      </c>
      <c r="Y344" s="4" t="str">
        <f>IFERROR(__xludf.DUMMYFUNCTION("IF(OR($U344="""",COUNTIF($I:$I,IFERROR(unique(filter(Prod_Prop!$H:$H,Prod_Prop!$G:$G=$U344,Prod_Prop!$E:$E=Y$1)),""Check""))=0),"""",IFERROR(unique(filter(Prod_Prop!$H:$H,Prod_Prop!$G:$G=$U344,Prod_Prop!$E:$E=Y$1)),""""))"),"")</f>
        <v/>
      </c>
      <c r="Z344" s="4" t="str">
        <f>IF(Y344="","",SUMIFS(Prod_Prop!$J:$J,Prod_Prop!$B:$B,$Q344,Prod_Prop!$H:$H,Y344,Prod_Prop!$I:$I,Z$1)*IF(Y344="Peso",$R344,1))</f>
        <v/>
      </c>
      <c r="AA344" s="4" t="str">
        <f>IF(Y344="","",SUMIFS(Prod_Prop!$J:$J,Prod_Prop!$B:$B,$Q344,Prod_Prop!$H:$H,Y344,Prod_Prop!$I:$I,AA$1)*IF(Y344="Peso",$R344,1))</f>
        <v/>
      </c>
      <c r="AB344" s="4" t="str">
        <f>IFERROR(__xludf.DUMMYFUNCTION("IF(OR($U344="""",COUNTIF($I:$I,IFERROR(unique(filter(Prod_Prop!$H:$H,Prod_Prop!$G:$G=$U344,Prod_Prop!$E:$E=AB$1)),""Check""))=0),"""",IFERROR(unique(filter(Prod_Prop!$H:$H,Prod_Prop!$G:$G=$U344,Prod_Prop!$E:$E=AB$1)),""""))"),"")</f>
        <v/>
      </c>
      <c r="AC344" s="4" t="str">
        <f>IF(AB344="","",SUMIFS(Prod_Prop!$J:$J,Prod_Prop!$B:$B,$Q344,Prod_Prop!$H:$H,AB344,Prod_Prop!$I:$I,AC$1)*IF(AB344="Peso",$R344,1))</f>
        <v/>
      </c>
      <c r="AD344" s="4" t="str">
        <f>IF(AB344="","",SUMIFS(Prod_Prop!$J:$J,Prod_Prop!$B:$B,$Q344,Prod_Prop!$H:$H,AB344,Prod_Prop!$I:$I,AD$1)*IF(AB344="Peso",$R344,1))</f>
        <v/>
      </c>
    </row>
    <row r="345">
      <c r="A345" s="4" t="str">
        <f t="array" ref="A345">IF(COUNTIF(A$1:A344,Cotizador!F$2)=maxifs(Familias!E:E,Familias!D:D,Cotizador!F$2),IF(COUNTIF(A$1:A344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5" s="4" t="str">
        <f t="shared" si="1"/>
        <v/>
      </c>
      <c r="C345" s="4" t="str">
        <f t="array" ref="C345">IF(B345="","",IF(A345=XLOOKUP(A$2,Implementos!B:B,Implementos!C:C,"",0,1),B345+maxifs(B$1:B344,A$1:A344,A$2),B345))</f>
        <v/>
      </c>
      <c r="D345" s="4" t="str">
        <f>IF(B345="","", COUNTIFS(Productos!F:F,A345,Productos!H:H,B345)+IF(F345="SI",0,1))</f>
        <v/>
      </c>
      <c r="E345" s="4" t="str">
        <f>IFERROR(__xludf.DUMMYFUNCTION("IF($B345="""","""",INDEX(filter(Familias!F:F,Familias!$D:$D=$A345,Familias!$E:$E=$B345),1))"),"")</f>
        <v/>
      </c>
      <c r="F345" s="4" t="str">
        <f>IFERROR(__xludf.DUMMYFUNCTION("IF($B345="""","""",INDEX(filter(Familias!G:G,Familias!$D:$D=$A345,Familias!$E:$E=$B345),1))"),"")</f>
        <v/>
      </c>
      <c r="G345" s="4" t="str">
        <f t="array" ref="G345">IF(C345=1,XLOOKUP(C345,Cotizador!D:D,Cotizador!E:E,"",0,1),"")</f>
        <v/>
      </c>
      <c r="I345" s="4"/>
      <c r="J345" s="8" t="str">
        <f>IF(I345="","",SUMIF(Cotizador!I$1:V$1,I345,Cotizador!I$2:V$2))</f>
        <v/>
      </c>
      <c r="L345" s="4" t="str">
        <f t="array" ref="L345">IF(COUNTIF(L$1:L344,A$2)=SUMIF(A:A,A$2,D:D),IF(COUNTIF(L$1:L344,XLOOKUP(A$2,Implementos!B:B,Implementos!C:C,"",0,1))=SUMIF(A:A,XLOOKUP(A$2,Implementos!B:B,Implementos!C:C,"",0,1),D:D),"",XLOOKUP(A$2,Implementos!B:B,Implementos!C:C,"",0,1)),A$2)</f>
        <v/>
      </c>
      <c r="M345" s="4" t="str">
        <f t="shared" si="2"/>
        <v/>
      </c>
      <c r="N345" s="4" t="str">
        <f t="shared" si="3"/>
        <v/>
      </c>
      <c r="O345" s="4" t="str">
        <f t="shared" si="4"/>
        <v/>
      </c>
      <c r="P345" s="4" t="str">
        <f t="shared" si="5"/>
        <v/>
      </c>
      <c r="Q345" s="4" t="str">
        <f>IF(U345="","",SUMIF(Productos!E:E,U345,Productos!A:A))</f>
        <v/>
      </c>
      <c r="R345" s="4" t="str">
        <f t="array" ref="R345">IF(L345="","", max(1,SUMIF(I:I,XLOOKUP(U345,Productos!E:E,Productos!G:G,"",0,1),J:J)))</f>
        <v/>
      </c>
      <c r="S345" s="4" t="str">
        <f>IF(Q345="","",IF(SUMIFS(Compat_Vetado!D:D,Compat_Vetado!B:B,SUM(G:G),Compat_Vetado!C:C,Q345)=1,"SI",IF(OR(SUMIF(Cotizador!E:E,Q345,Cotizador!G:G)&gt;0,SUMIFS(Compat_Vetado!D:D,Compat_Vetado!B:B,SUM(G:G),Compat_Vetado!C:C,Q345)=-1),"NO","")))</f>
        <v/>
      </c>
      <c r="T345" s="4" t="str">
        <f t="shared" si="6"/>
        <v/>
      </c>
      <c r="U345" s="4" t="str">
        <f>IFERROR(__xludf.DUMMYFUNCTION("IF(P345="""","""",IFERROR(INDEX(filter(Productos!E:E,Productos!F:F=L345,Productos!H:H=N345),P345),IF(M345=SUM(D:D),""Finalizar"",""-"")))"),"")</f>
        <v/>
      </c>
      <c r="V345" s="4" t="str">
        <f>IFERROR(__xludf.DUMMYFUNCTION("IF(OR($U345="""",COUNTIF($I:$I,IFERROR(unique(filter(Prod_Prop!$H:$H,Prod_Prop!$G:$G=$U345,Prod_Prop!$E:$E=V$1)),""Check""))=0),"""",IFERROR(unique(filter(Prod_Prop!$H:$H,Prod_Prop!$G:$G=$U345,Prod_Prop!$E:$E=V$1)),""""))"),"")</f>
        <v/>
      </c>
      <c r="W345" s="4" t="str">
        <f>IF(V345="","",SUMIFS(Prod_Prop!$J:$J,Prod_Prop!$B:$B,$Q345,Prod_Prop!$H:$H,V345,Prod_Prop!$I:$I,W$1)*IF(V345="Peso",$R345,1))</f>
        <v/>
      </c>
      <c r="X345" s="4" t="str">
        <f>IF(V345="","",SUMIFS(Prod_Prop!$J:$J,Prod_Prop!$B:$B,$Q345,Prod_Prop!$H:$H,V345,Prod_Prop!$I:$I,X$1)*IF(V345="Peso",$R345,1))</f>
        <v/>
      </c>
      <c r="Y345" s="4" t="str">
        <f>IFERROR(__xludf.DUMMYFUNCTION("IF(OR($U345="""",COUNTIF($I:$I,IFERROR(unique(filter(Prod_Prop!$H:$H,Prod_Prop!$G:$G=$U345,Prod_Prop!$E:$E=Y$1)),""Check""))=0),"""",IFERROR(unique(filter(Prod_Prop!$H:$H,Prod_Prop!$G:$G=$U345,Prod_Prop!$E:$E=Y$1)),""""))"),"")</f>
        <v/>
      </c>
      <c r="Z345" s="4" t="str">
        <f>IF(Y345="","",SUMIFS(Prod_Prop!$J:$J,Prod_Prop!$B:$B,$Q345,Prod_Prop!$H:$H,Y345,Prod_Prop!$I:$I,Z$1)*IF(Y345="Peso",$R345,1))</f>
        <v/>
      </c>
      <c r="AA345" s="4" t="str">
        <f>IF(Y345="","",SUMIFS(Prod_Prop!$J:$J,Prod_Prop!$B:$B,$Q345,Prod_Prop!$H:$H,Y345,Prod_Prop!$I:$I,AA$1)*IF(Y345="Peso",$R345,1))</f>
        <v/>
      </c>
      <c r="AB345" s="4" t="str">
        <f>IFERROR(__xludf.DUMMYFUNCTION("IF(OR($U345="""",COUNTIF($I:$I,IFERROR(unique(filter(Prod_Prop!$H:$H,Prod_Prop!$G:$G=$U345,Prod_Prop!$E:$E=AB$1)),""Check""))=0),"""",IFERROR(unique(filter(Prod_Prop!$H:$H,Prod_Prop!$G:$G=$U345,Prod_Prop!$E:$E=AB$1)),""""))"),"")</f>
        <v/>
      </c>
      <c r="AC345" s="4" t="str">
        <f>IF(AB345="","",SUMIFS(Prod_Prop!$J:$J,Prod_Prop!$B:$B,$Q345,Prod_Prop!$H:$H,AB345,Prod_Prop!$I:$I,AC$1)*IF(AB345="Peso",$R345,1))</f>
        <v/>
      </c>
      <c r="AD345" s="4" t="str">
        <f>IF(AB345="","",SUMIFS(Prod_Prop!$J:$J,Prod_Prop!$B:$B,$Q345,Prod_Prop!$H:$H,AB345,Prod_Prop!$I:$I,AD$1)*IF(AB345="Peso",$R345,1))</f>
        <v/>
      </c>
    </row>
    <row r="346">
      <c r="A346" s="4" t="str">
        <f t="array" ref="A346">IF(COUNTIF(A$1:A345,Cotizador!F$2)=maxifs(Familias!E:E,Familias!D:D,Cotizador!F$2),IF(COUNTIF(A$1:A345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6" s="4" t="str">
        <f t="shared" si="1"/>
        <v/>
      </c>
      <c r="C346" s="4" t="str">
        <f t="array" ref="C346">IF(B346="","",IF(A346=XLOOKUP(A$2,Implementos!B:B,Implementos!C:C,"",0,1),B346+maxifs(B$1:B345,A$1:A345,A$2),B346))</f>
        <v/>
      </c>
      <c r="D346" s="4" t="str">
        <f>IF(B346="","", COUNTIFS(Productos!F:F,A346,Productos!H:H,B346)+IF(F346="SI",0,1))</f>
        <v/>
      </c>
      <c r="E346" s="4" t="str">
        <f>IFERROR(__xludf.DUMMYFUNCTION("IF($B346="""","""",INDEX(filter(Familias!F:F,Familias!$D:$D=$A346,Familias!$E:$E=$B346),1))"),"")</f>
        <v/>
      </c>
      <c r="F346" s="4" t="str">
        <f>IFERROR(__xludf.DUMMYFUNCTION("IF($B346="""","""",INDEX(filter(Familias!G:G,Familias!$D:$D=$A346,Familias!$E:$E=$B346),1))"),"")</f>
        <v/>
      </c>
      <c r="G346" s="4" t="str">
        <f t="array" ref="G346">IF(C346=1,XLOOKUP(C346,Cotizador!D:D,Cotizador!E:E,"",0,1),"")</f>
        <v/>
      </c>
      <c r="I346" s="4"/>
      <c r="J346" s="8" t="str">
        <f>IF(I346="","",SUMIF(Cotizador!I$1:V$1,I346,Cotizador!I$2:V$2))</f>
        <v/>
      </c>
      <c r="L346" s="4" t="str">
        <f t="array" ref="L346">IF(COUNTIF(L$1:L345,A$2)=SUMIF(A:A,A$2,D:D),IF(COUNTIF(L$1:L345,XLOOKUP(A$2,Implementos!B:B,Implementos!C:C,"",0,1))=SUMIF(A:A,XLOOKUP(A$2,Implementos!B:B,Implementos!C:C,"",0,1),D:D),"",XLOOKUP(A$2,Implementos!B:B,Implementos!C:C,"",0,1)),A$2)</f>
        <v/>
      </c>
      <c r="M346" s="4" t="str">
        <f t="shared" si="2"/>
        <v/>
      </c>
      <c r="N346" s="4" t="str">
        <f t="shared" si="3"/>
        <v/>
      </c>
      <c r="O346" s="4" t="str">
        <f t="shared" si="4"/>
        <v/>
      </c>
      <c r="P346" s="4" t="str">
        <f t="shared" si="5"/>
        <v/>
      </c>
      <c r="Q346" s="4" t="str">
        <f>IF(U346="","",SUMIF(Productos!E:E,U346,Productos!A:A))</f>
        <v/>
      </c>
      <c r="R346" s="4" t="str">
        <f t="array" ref="R346">IF(L346="","", max(1,SUMIF(I:I,XLOOKUP(U346,Productos!E:E,Productos!G:G,"",0,1),J:J)))</f>
        <v/>
      </c>
      <c r="S346" s="4" t="str">
        <f>IF(Q346="","",IF(SUMIFS(Compat_Vetado!D:D,Compat_Vetado!B:B,SUM(G:G),Compat_Vetado!C:C,Q346)=1,"SI",IF(OR(SUMIF(Cotizador!E:E,Q346,Cotizador!G:G)&gt;0,SUMIFS(Compat_Vetado!D:D,Compat_Vetado!B:B,SUM(G:G),Compat_Vetado!C:C,Q346)=-1),"NO","")))</f>
        <v/>
      </c>
      <c r="T346" s="4" t="str">
        <f t="shared" si="6"/>
        <v/>
      </c>
      <c r="U346" s="4" t="str">
        <f>IFERROR(__xludf.DUMMYFUNCTION("IF(P346="""","""",IFERROR(INDEX(filter(Productos!E:E,Productos!F:F=L346,Productos!H:H=N346),P346),IF(M346=SUM(D:D),""Finalizar"",""-"")))"),"")</f>
        <v/>
      </c>
      <c r="V346" s="4" t="str">
        <f>IFERROR(__xludf.DUMMYFUNCTION("IF(OR($U346="""",COUNTIF($I:$I,IFERROR(unique(filter(Prod_Prop!$H:$H,Prod_Prop!$G:$G=$U346,Prod_Prop!$E:$E=V$1)),""Check""))=0),"""",IFERROR(unique(filter(Prod_Prop!$H:$H,Prod_Prop!$G:$G=$U346,Prod_Prop!$E:$E=V$1)),""""))"),"")</f>
        <v/>
      </c>
      <c r="W346" s="4" t="str">
        <f>IF(V346="","",SUMIFS(Prod_Prop!$J:$J,Prod_Prop!$B:$B,$Q346,Prod_Prop!$H:$H,V346,Prod_Prop!$I:$I,W$1)*IF(V346="Peso",$R346,1))</f>
        <v/>
      </c>
      <c r="X346" s="4" t="str">
        <f>IF(V346="","",SUMIFS(Prod_Prop!$J:$J,Prod_Prop!$B:$B,$Q346,Prod_Prop!$H:$H,V346,Prod_Prop!$I:$I,X$1)*IF(V346="Peso",$R346,1))</f>
        <v/>
      </c>
      <c r="Y346" s="4" t="str">
        <f>IFERROR(__xludf.DUMMYFUNCTION("IF(OR($U346="""",COUNTIF($I:$I,IFERROR(unique(filter(Prod_Prop!$H:$H,Prod_Prop!$G:$G=$U346,Prod_Prop!$E:$E=Y$1)),""Check""))=0),"""",IFERROR(unique(filter(Prod_Prop!$H:$H,Prod_Prop!$G:$G=$U346,Prod_Prop!$E:$E=Y$1)),""""))"),"")</f>
        <v/>
      </c>
      <c r="Z346" s="4" t="str">
        <f>IF(Y346="","",SUMIFS(Prod_Prop!$J:$J,Prod_Prop!$B:$B,$Q346,Prod_Prop!$H:$H,Y346,Prod_Prop!$I:$I,Z$1)*IF(Y346="Peso",$R346,1))</f>
        <v/>
      </c>
      <c r="AA346" s="4" t="str">
        <f>IF(Y346="","",SUMIFS(Prod_Prop!$J:$J,Prod_Prop!$B:$B,$Q346,Prod_Prop!$H:$H,Y346,Prod_Prop!$I:$I,AA$1)*IF(Y346="Peso",$R346,1))</f>
        <v/>
      </c>
      <c r="AB346" s="4" t="str">
        <f>IFERROR(__xludf.DUMMYFUNCTION("IF(OR($U346="""",COUNTIF($I:$I,IFERROR(unique(filter(Prod_Prop!$H:$H,Prod_Prop!$G:$G=$U346,Prod_Prop!$E:$E=AB$1)),""Check""))=0),"""",IFERROR(unique(filter(Prod_Prop!$H:$H,Prod_Prop!$G:$G=$U346,Prod_Prop!$E:$E=AB$1)),""""))"),"")</f>
        <v/>
      </c>
      <c r="AC346" s="4" t="str">
        <f>IF(AB346="","",SUMIFS(Prod_Prop!$J:$J,Prod_Prop!$B:$B,$Q346,Prod_Prop!$H:$H,AB346,Prod_Prop!$I:$I,AC$1)*IF(AB346="Peso",$R346,1))</f>
        <v/>
      </c>
      <c r="AD346" s="4" t="str">
        <f>IF(AB346="","",SUMIFS(Prod_Prop!$J:$J,Prod_Prop!$B:$B,$Q346,Prod_Prop!$H:$H,AB346,Prod_Prop!$I:$I,AD$1)*IF(AB346="Peso",$R346,1))</f>
        <v/>
      </c>
    </row>
    <row r="347">
      <c r="A347" s="4" t="str">
        <f t="array" ref="A347">IF(COUNTIF(A$1:A346,Cotizador!F$2)=maxifs(Familias!E:E,Familias!D:D,Cotizador!F$2),IF(COUNTIF(A$1:A346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7" s="4" t="str">
        <f t="shared" si="1"/>
        <v/>
      </c>
      <c r="C347" s="4" t="str">
        <f t="array" ref="C347">IF(B347="","",IF(A347=XLOOKUP(A$2,Implementos!B:B,Implementos!C:C,"",0,1),B347+maxifs(B$1:B346,A$1:A346,A$2),B347))</f>
        <v/>
      </c>
      <c r="D347" s="4" t="str">
        <f>IF(B347="","", COUNTIFS(Productos!F:F,A347,Productos!H:H,B347)+IF(F347="SI",0,1))</f>
        <v/>
      </c>
      <c r="E347" s="4" t="str">
        <f>IFERROR(__xludf.DUMMYFUNCTION("IF($B347="""","""",INDEX(filter(Familias!F:F,Familias!$D:$D=$A347,Familias!$E:$E=$B347),1))"),"")</f>
        <v/>
      </c>
      <c r="F347" s="4" t="str">
        <f>IFERROR(__xludf.DUMMYFUNCTION("IF($B347="""","""",INDEX(filter(Familias!G:G,Familias!$D:$D=$A347,Familias!$E:$E=$B347),1))"),"")</f>
        <v/>
      </c>
      <c r="G347" s="4" t="str">
        <f t="array" ref="G347">IF(C347=1,XLOOKUP(C347,Cotizador!D:D,Cotizador!E:E,"",0,1),"")</f>
        <v/>
      </c>
      <c r="I347" s="4"/>
      <c r="J347" s="8" t="str">
        <f>IF(I347="","",SUMIF(Cotizador!I$1:V$1,I347,Cotizador!I$2:V$2))</f>
        <v/>
      </c>
      <c r="L347" s="4" t="str">
        <f t="array" ref="L347">IF(COUNTIF(L$1:L346,A$2)=SUMIF(A:A,A$2,D:D),IF(COUNTIF(L$1:L346,XLOOKUP(A$2,Implementos!B:B,Implementos!C:C,"",0,1))=SUMIF(A:A,XLOOKUP(A$2,Implementos!B:B,Implementos!C:C,"",0,1),D:D),"",XLOOKUP(A$2,Implementos!B:B,Implementos!C:C,"",0,1)),A$2)</f>
        <v/>
      </c>
      <c r="M347" s="4" t="str">
        <f t="shared" si="2"/>
        <v/>
      </c>
      <c r="N347" s="4" t="str">
        <f t="shared" si="3"/>
        <v/>
      </c>
      <c r="O347" s="4" t="str">
        <f t="shared" si="4"/>
        <v/>
      </c>
      <c r="P347" s="4" t="str">
        <f t="shared" si="5"/>
        <v/>
      </c>
      <c r="Q347" s="4" t="str">
        <f>IF(U347="","",SUMIF(Productos!E:E,U347,Productos!A:A))</f>
        <v/>
      </c>
      <c r="R347" s="4" t="str">
        <f t="array" ref="R347">IF(L347="","", max(1,SUMIF(I:I,XLOOKUP(U347,Productos!E:E,Productos!G:G,"",0,1),J:J)))</f>
        <v/>
      </c>
      <c r="S347" s="4" t="str">
        <f>IF(Q347="","",IF(SUMIFS(Compat_Vetado!D:D,Compat_Vetado!B:B,SUM(G:G),Compat_Vetado!C:C,Q347)=1,"SI",IF(OR(SUMIF(Cotizador!E:E,Q347,Cotizador!G:G)&gt;0,SUMIFS(Compat_Vetado!D:D,Compat_Vetado!B:B,SUM(G:G),Compat_Vetado!C:C,Q347)=-1),"NO","")))</f>
        <v/>
      </c>
      <c r="T347" s="4" t="str">
        <f t="shared" si="6"/>
        <v/>
      </c>
      <c r="U347" s="4" t="str">
        <f>IFERROR(__xludf.DUMMYFUNCTION("IF(P347="""","""",IFERROR(INDEX(filter(Productos!E:E,Productos!F:F=L347,Productos!H:H=N347),P347),IF(M347=SUM(D:D),""Finalizar"",""-"")))"),"")</f>
        <v/>
      </c>
      <c r="V347" s="4" t="str">
        <f>IFERROR(__xludf.DUMMYFUNCTION("IF(OR($U347="""",COUNTIF($I:$I,IFERROR(unique(filter(Prod_Prop!$H:$H,Prod_Prop!$G:$G=$U347,Prod_Prop!$E:$E=V$1)),""Check""))=0),"""",IFERROR(unique(filter(Prod_Prop!$H:$H,Prod_Prop!$G:$G=$U347,Prod_Prop!$E:$E=V$1)),""""))"),"")</f>
        <v/>
      </c>
      <c r="W347" s="4" t="str">
        <f>IF(V347="","",SUMIFS(Prod_Prop!$J:$J,Prod_Prop!$B:$B,$Q347,Prod_Prop!$H:$H,V347,Prod_Prop!$I:$I,W$1)*IF(V347="Peso",$R347,1))</f>
        <v/>
      </c>
      <c r="X347" s="4" t="str">
        <f>IF(V347="","",SUMIFS(Prod_Prop!$J:$J,Prod_Prop!$B:$B,$Q347,Prod_Prop!$H:$H,V347,Prod_Prop!$I:$I,X$1)*IF(V347="Peso",$R347,1))</f>
        <v/>
      </c>
      <c r="Y347" s="4" t="str">
        <f>IFERROR(__xludf.DUMMYFUNCTION("IF(OR($U347="""",COUNTIF($I:$I,IFERROR(unique(filter(Prod_Prop!$H:$H,Prod_Prop!$G:$G=$U347,Prod_Prop!$E:$E=Y$1)),""Check""))=0),"""",IFERROR(unique(filter(Prod_Prop!$H:$H,Prod_Prop!$G:$G=$U347,Prod_Prop!$E:$E=Y$1)),""""))"),"")</f>
        <v/>
      </c>
      <c r="Z347" s="4" t="str">
        <f>IF(Y347="","",SUMIFS(Prod_Prop!$J:$J,Prod_Prop!$B:$B,$Q347,Prod_Prop!$H:$H,Y347,Prod_Prop!$I:$I,Z$1)*IF(Y347="Peso",$R347,1))</f>
        <v/>
      </c>
      <c r="AA347" s="4" t="str">
        <f>IF(Y347="","",SUMIFS(Prod_Prop!$J:$J,Prod_Prop!$B:$B,$Q347,Prod_Prop!$H:$H,Y347,Prod_Prop!$I:$I,AA$1)*IF(Y347="Peso",$R347,1))</f>
        <v/>
      </c>
      <c r="AB347" s="4" t="str">
        <f>IFERROR(__xludf.DUMMYFUNCTION("IF(OR($U347="""",COUNTIF($I:$I,IFERROR(unique(filter(Prod_Prop!$H:$H,Prod_Prop!$G:$G=$U347,Prod_Prop!$E:$E=AB$1)),""Check""))=0),"""",IFERROR(unique(filter(Prod_Prop!$H:$H,Prod_Prop!$G:$G=$U347,Prod_Prop!$E:$E=AB$1)),""""))"),"")</f>
        <v/>
      </c>
      <c r="AC347" s="4" t="str">
        <f>IF(AB347="","",SUMIFS(Prod_Prop!$J:$J,Prod_Prop!$B:$B,$Q347,Prod_Prop!$H:$H,AB347,Prod_Prop!$I:$I,AC$1)*IF(AB347="Peso",$R347,1))</f>
        <v/>
      </c>
      <c r="AD347" s="4" t="str">
        <f>IF(AB347="","",SUMIFS(Prod_Prop!$J:$J,Prod_Prop!$B:$B,$Q347,Prod_Prop!$H:$H,AB347,Prod_Prop!$I:$I,AD$1)*IF(AB347="Peso",$R347,1))</f>
        <v/>
      </c>
    </row>
    <row r="348">
      <c r="A348" s="4" t="str">
        <f t="array" ref="A348">IF(COUNTIF(A$1:A347,Cotizador!F$2)=maxifs(Familias!E:E,Familias!D:D,Cotizador!F$2),IF(COUNTIF(A$1:A347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8" s="4" t="str">
        <f t="shared" si="1"/>
        <v/>
      </c>
      <c r="C348" s="4" t="str">
        <f t="array" ref="C348">IF(B348="","",IF(A348=XLOOKUP(A$2,Implementos!B:B,Implementos!C:C,"",0,1),B348+maxifs(B$1:B347,A$1:A347,A$2),B348))</f>
        <v/>
      </c>
      <c r="D348" s="4" t="str">
        <f>IF(B348="","", COUNTIFS(Productos!F:F,A348,Productos!H:H,B348)+IF(F348="SI",0,1))</f>
        <v/>
      </c>
      <c r="E348" s="4" t="str">
        <f>IFERROR(__xludf.DUMMYFUNCTION("IF($B348="""","""",INDEX(filter(Familias!F:F,Familias!$D:$D=$A348,Familias!$E:$E=$B348),1))"),"")</f>
        <v/>
      </c>
      <c r="F348" s="4" t="str">
        <f>IFERROR(__xludf.DUMMYFUNCTION("IF($B348="""","""",INDEX(filter(Familias!G:G,Familias!$D:$D=$A348,Familias!$E:$E=$B348),1))"),"")</f>
        <v/>
      </c>
      <c r="G348" s="4" t="str">
        <f t="array" ref="G348">IF(C348=1,XLOOKUP(C348,Cotizador!D:D,Cotizador!E:E,"",0,1),"")</f>
        <v/>
      </c>
      <c r="I348" s="4"/>
      <c r="J348" s="8" t="str">
        <f>IF(I348="","",SUMIF(Cotizador!I$1:V$1,I348,Cotizador!I$2:V$2))</f>
        <v/>
      </c>
      <c r="L348" s="4" t="str">
        <f t="array" ref="L348">IF(COUNTIF(L$1:L347,A$2)=SUMIF(A:A,A$2,D:D),IF(COUNTIF(L$1:L347,XLOOKUP(A$2,Implementos!B:B,Implementos!C:C,"",0,1))=SUMIF(A:A,XLOOKUP(A$2,Implementos!B:B,Implementos!C:C,"",0,1),D:D),"",XLOOKUP(A$2,Implementos!B:B,Implementos!C:C,"",0,1)),A$2)</f>
        <v/>
      </c>
      <c r="M348" s="4" t="str">
        <f t="shared" si="2"/>
        <v/>
      </c>
      <c r="N348" s="4" t="str">
        <f t="shared" si="3"/>
        <v/>
      </c>
      <c r="O348" s="4" t="str">
        <f t="shared" si="4"/>
        <v/>
      </c>
      <c r="P348" s="4" t="str">
        <f t="shared" si="5"/>
        <v/>
      </c>
      <c r="Q348" s="4" t="str">
        <f>IF(U348="","",SUMIF(Productos!E:E,U348,Productos!A:A))</f>
        <v/>
      </c>
      <c r="R348" s="4" t="str">
        <f t="array" ref="R348">IF(L348="","", max(1,SUMIF(I:I,XLOOKUP(U348,Productos!E:E,Productos!G:G,"",0,1),J:J)))</f>
        <v/>
      </c>
      <c r="S348" s="4" t="str">
        <f>IF(Q348="","",IF(SUMIFS(Compat_Vetado!D:D,Compat_Vetado!B:B,SUM(G:G),Compat_Vetado!C:C,Q348)=1,"SI",IF(OR(SUMIF(Cotizador!E:E,Q348,Cotizador!G:G)&gt;0,SUMIFS(Compat_Vetado!D:D,Compat_Vetado!B:B,SUM(G:G),Compat_Vetado!C:C,Q348)=-1),"NO","")))</f>
        <v/>
      </c>
      <c r="T348" s="4" t="str">
        <f t="shared" si="6"/>
        <v/>
      </c>
      <c r="U348" s="4" t="str">
        <f>IFERROR(__xludf.DUMMYFUNCTION("IF(P348="""","""",IFERROR(INDEX(filter(Productos!E:E,Productos!F:F=L348,Productos!H:H=N348),P348),IF(M348=SUM(D:D),""Finalizar"",""-"")))"),"")</f>
        <v/>
      </c>
      <c r="V348" s="4" t="str">
        <f>IFERROR(__xludf.DUMMYFUNCTION("IF(OR($U348="""",COUNTIF($I:$I,IFERROR(unique(filter(Prod_Prop!$H:$H,Prod_Prop!$G:$G=$U348,Prod_Prop!$E:$E=V$1)),""Check""))=0),"""",IFERROR(unique(filter(Prod_Prop!$H:$H,Prod_Prop!$G:$G=$U348,Prod_Prop!$E:$E=V$1)),""""))"),"")</f>
        <v/>
      </c>
      <c r="W348" s="4" t="str">
        <f>IF(V348="","",SUMIFS(Prod_Prop!$J:$J,Prod_Prop!$B:$B,$Q348,Prod_Prop!$H:$H,V348,Prod_Prop!$I:$I,W$1)*IF(V348="Peso",$R348,1))</f>
        <v/>
      </c>
      <c r="X348" s="4" t="str">
        <f>IF(V348="","",SUMIFS(Prod_Prop!$J:$J,Prod_Prop!$B:$B,$Q348,Prod_Prop!$H:$H,V348,Prod_Prop!$I:$I,X$1)*IF(V348="Peso",$R348,1))</f>
        <v/>
      </c>
      <c r="Y348" s="4" t="str">
        <f>IFERROR(__xludf.DUMMYFUNCTION("IF(OR($U348="""",COUNTIF($I:$I,IFERROR(unique(filter(Prod_Prop!$H:$H,Prod_Prop!$G:$G=$U348,Prod_Prop!$E:$E=Y$1)),""Check""))=0),"""",IFERROR(unique(filter(Prod_Prop!$H:$H,Prod_Prop!$G:$G=$U348,Prod_Prop!$E:$E=Y$1)),""""))"),"")</f>
        <v/>
      </c>
      <c r="Z348" s="4" t="str">
        <f>IF(Y348="","",SUMIFS(Prod_Prop!$J:$J,Prod_Prop!$B:$B,$Q348,Prod_Prop!$H:$H,Y348,Prod_Prop!$I:$I,Z$1)*IF(Y348="Peso",$R348,1))</f>
        <v/>
      </c>
      <c r="AA348" s="4" t="str">
        <f>IF(Y348="","",SUMIFS(Prod_Prop!$J:$J,Prod_Prop!$B:$B,$Q348,Prod_Prop!$H:$H,Y348,Prod_Prop!$I:$I,AA$1)*IF(Y348="Peso",$R348,1))</f>
        <v/>
      </c>
      <c r="AB348" s="4" t="str">
        <f>IFERROR(__xludf.DUMMYFUNCTION("IF(OR($U348="""",COUNTIF($I:$I,IFERROR(unique(filter(Prod_Prop!$H:$H,Prod_Prop!$G:$G=$U348,Prod_Prop!$E:$E=AB$1)),""Check""))=0),"""",IFERROR(unique(filter(Prod_Prop!$H:$H,Prod_Prop!$G:$G=$U348,Prod_Prop!$E:$E=AB$1)),""""))"),"")</f>
        <v/>
      </c>
      <c r="AC348" s="4" t="str">
        <f>IF(AB348="","",SUMIFS(Prod_Prop!$J:$J,Prod_Prop!$B:$B,$Q348,Prod_Prop!$H:$H,AB348,Prod_Prop!$I:$I,AC$1)*IF(AB348="Peso",$R348,1))</f>
        <v/>
      </c>
      <c r="AD348" s="4" t="str">
        <f>IF(AB348="","",SUMIFS(Prod_Prop!$J:$J,Prod_Prop!$B:$B,$Q348,Prod_Prop!$H:$H,AB348,Prod_Prop!$I:$I,AD$1)*IF(AB348="Peso",$R348,1))</f>
        <v/>
      </c>
    </row>
    <row r="349">
      <c r="A349" s="4" t="str">
        <f t="array" ref="A349">IF(COUNTIF(A$1:A348,Cotizador!F$2)=maxifs(Familias!E:E,Familias!D:D,Cotizador!F$2),IF(COUNTIF(A$1:A348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49" s="4" t="str">
        <f t="shared" si="1"/>
        <v/>
      </c>
      <c r="C349" s="4" t="str">
        <f t="array" ref="C349">IF(B349="","",IF(A349=XLOOKUP(A$2,Implementos!B:B,Implementos!C:C,"",0,1),B349+maxifs(B$1:B348,A$1:A348,A$2),B349))</f>
        <v/>
      </c>
      <c r="D349" s="4" t="str">
        <f>IF(B349="","", COUNTIFS(Productos!F:F,A349,Productos!H:H,B349)+IF(F349="SI",0,1))</f>
        <v/>
      </c>
      <c r="E349" s="4" t="str">
        <f>IFERROR(__xludf.DUMMYFUNCTION("IF($B349="""","""",INDEX(filter(Familias!F:F,Familias!$D:$D=$A349,Familias!$E:$E=$B349),1))"),"")</f>
        <v/>
      </c>
      <c r="F349" s="4" t="str">
        <f>IFERROR(__xludf.DUMMYFUNCTION("IF($B349="""","""",INDEX(filter(Familias!G:G,Familias!$D:$D=$A349,Familias!$E:$E=$B349),1))"),"")</f>
        <v/>
      </c>
      <c r="G349" s="4" t="str">
        <f t="array" ref="G349">IF(C349=1,XLOOKUP(C349,Cotizador!D:D,Cotizador!E:E,"",0,1),"")</f>
        <v/>
      </c>
      <c r="I349" s="4"/>
      <c r="J349" s="8" t="str">
        <f>IF(I349="","",SUMIF(Cotizador!I$1:V$1,I349,Cotizador!I$2:V$2))</f>
        <v/>
      </c>
      <c r="L349" s="4" t="str">
        <f t="array" ref="L349">IF(COUNTIF(L$1:L348,A$2)=SUMIF(A:A,A$2,D:D),IF(COUNTIF(L$1:L348,XLOOKUP(A$2,Implementos!B:B,Implementos!C:C,"",0,1))=SUMIF(A:A,XLOOKUP(A$2,Implementos!B:B,Implementos!C:C,"",0,1),D:D),"",XLOOKUP(A$2,Implementos!B:B,Implementos!C:C,"",0,1)),A$2)</f>
        <v/>
      </c>
      <c r="M349" s="4" t="str">
        <f t="shared" si="2"/>
        <v/>
      </c>
      <c r="N349" s="4" t="str">
        <f t="shared" si="3"/>
        <v/>
      </c>
      <c r="O349" s="4" t="str">
        <f t="shared" si="4"/>
        <v/>
      </c>
      <c r="P349" s="4" t="str">
        <f t="shared" si="5"/>
        <v/>
      </c>
      <c r="Q349" s="4" t="str">
        <f>IF(U349="","",SUMIF(Productos!E:E,U349,Productos!A:A))</f>
        <v/>
      </c>
      <c r="R349" s="4" t="str">
        <f t="array" ref="R349">IF(L349="","", max(1,SUMIF(I:I,XLOOKUP(U349,Productos!E:E,Productos!G:G,"",0,1),J:J)))</f>
        <v/>
      </c>
      <c r="S349" s="4" t="str">
        <f>IF(Q349="","",IF(SUMIFS(Compat_Vetado!D:D,Compat_Vetado!B:B,SUM(G:G),Compat_Vetado!C:C,Q349)=1,"SI",IF(OR(SUMIF(Cotizador!E:E,Q349,Cotizador!G:G)&gt;0,SUMIFS(Compat_Vetado!D:D,Compat_Vetado!B:B,SUM(G:G),Compat_Vetado!C:C,Q349)=-1),"NO","")))</f>
        <v/>
      </c>
      <c r="T349" s="4" t="str">
        <f t="shared" si="6"/>
        <v/>
      </c>
      <c r="U349" s="4" t="str">
        <f>IFERROR(__xludf.DUMMYFUNCTION("IF(P349="""","""",IFERROR(INDEX(filter(Productos!E:E,Productos!F:F=L349,Productos!H:H=N349),P349),IF(M349=SUM(D:D),""Finalizar"",""-"")))"),"")</f>
        <v/>
      </c>
      <c r="V349" s="4" t="str">
        <f>IFERROR(__xludf.DUMMYFUNCTION("IF(OR($U349="""",COUNTIF($I:$I,IFERROR(unique(filter(Prod_Prop!$H:$H,Prod_Prop!$G:$G=$U349,Prod_Prop!$E:$E=V$1)),""Check""))=0),"""",IFERROR(unique(filter(Prod_Prop!$H:$H,Prod_Prop!$G:$G=$U349,Prod_Prop!$E:$E=V$1)),""""))"),"")</f>
        <v/>
      </c>
      <c r="W349" s="4" t="str">
        <f>IF(V349="","",SUMIFS(Prod_Prop!$J:$J,Prod_Prop!$B:$B,$Q349,Prod_Prop!$H:$H,V349,Prod_Prop!$I:$I,W$1)*IF(V349="Peso",$R349,1))</f>
        <v/>
      </c>
      <c r="X349" s="4" t="str">
        <f>IF(V349="","",SUMIFS(Prod_Prop!$J:$J,Prod_Prop!$B:$B,$Q349,Prod_Prop!$H:$H,V349,Prod_Prop!$I:$I,X$1)*IF(V349="Peso",$R349,1))</f>
        <v/>
      </c>
      <c r="Y349" s="4" t="str">
        <f>IFERROR(__xludf.DUMMYFUNCTION("IF(OR($U349="""",COUNTIF($I:$I,IFERROR(unique(filter(Prod_Prop!$H:$H,Prod_Prop!$G:$G=$U349,Prod_Prop!$E:$E=Y$1)),""Check""))=0),"""",IFERROR(unique(filter(Prod_Prop!$H:$H,Prod_Prop!$G:$G=$U349,Prod_Prop!$E:$E=Y$1)),""""))"),"")</f>
        <v/>
      </c>
      <c r="Z349" s="4" t="str">
        <f>IF(Y349="","",SUMIFS(Prod_Prop!$J:$J,Prod_Prop!$B:$B,$Q349,Prod_Prop!$H:$H,Y349,Prod_Prop!$I:$I,Z$1)*IF(Y349="Peso",$R349,1))</f>
        <v/>
      </c>
      <c r="AA349" s="4" t="str">
        <f>IF(Y349="","",SUMIFS(Prod_Prop!$J:$J,Prod_Prop!$B:$B,$Q349,Prod_Prop!$H:$H,Y349,Prod_Prop!$I:$I,AA$1)*IF(Y349="Peso",$R349,1))</f>
        <v/>
      </c>
      <c r="AB349" s="4" t="str">
        <f>IFERROR(__xludf.DUMMYFUNCTION("IF(OR($U349="""",COUNTIF($I:$I,IFERROR(unique(filter(Prod_Prop!$H:$H,Prod_Prop!$G:$G=$U349,Prod_Prop!$E:$E=AB$1)),""Check""))=0),"""",IFERROR(unique(filter(Prod_Prop!$H:$H,Prod_Prop!$G:$G=$U349,Prod_Prop!$E:$E=AB$1)),""""))"),"")</f>
        <v/>
      </c>
      <c r="AC349" s="4" t="str">
        <f>IF(AB349="","",SUMIFS(Prod_Prop!$J:$J,Prod_Prop!$B:$B,$Q349,Prod_Prop!$H:$H,AB349,Prod_Prop!$I:$I,AC$1)*IF(AB349="Peso",$R349,1))</f>
        <v/>
      </c>
      <c r="AD349" s="4" t="str">
        <f>IF(AB349="","",SUMIFS(Prod_Prop!$J:$J,Prod_Prop!$B:$B,$Q349,Prod_Prop!$H:$H,AB349,Prod_Prop!$I:$I,AD$1)*IF(AB349="Peso",$R349,1))</f>
        <v/>
      </c>
    </row>
    <row r="350">
      <c r="A350" s="4" t="str">
        <f t="array" ref="A350">IF(COUNTIF(A$1:A349,Cotizador!F$2)=maxifs(Familias!E:E,Familias!D:D,Cotizador!F$2),IF(COUNTIF(A$1:A349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0" s="4" t="str">
        <f t="shared" si="1"/>
        <v/>
      </c>
      <c r="C350" s="4" t="str">
        <f t="array" ref="C350">IF(B350="","",IF(A350=XLOOKUP(A$2,Implementos!B:B,Implementos!C:C,"",0,1),B350+maxifs(B$1:B349,A$1:A349,A$2),B350))</f>
        <v/>
      </c>
      <c r="D350" s="4" t="str">
        <f>IF(B350="","", COUNTIFS(Productos!F:F,A350,Productos!H:H,B350)+IF(F350="SI",0,1))</f>
        <v/>
      </c>
      <c r="E350" s="4" t="str">
        <f>IFERROR(__xludf.DUMMYFUNCTION("IF($B350="""","""",INDEX(filter(Familias!F:F,Familias!$D:$D=$A350,Familias!$E:$E=$B350),1))"),"")</f>
        <v/>
      </c>
      <c r="F350" s="4" t="str">
        <f>IFERROR(__xludf.DUMMYFUNCTION("IF($B350="""","""",INDEX(filter(Familias!G:G,Familias!$D:$D=$A350,Familias!$E:$E=$B350),1))"),"")</f>
        <v/>
      </c>
      <c r="G350" s="4" t="str">
        <f t="array" ref="G350">IF(C350=1,XLOOKUP(C350,Cotizador!D:D,Cotizador!E:E,"",0,1),"")</f>
        <v/>
      </c>
      <c r="I350" s="4"/>
      <c r="J350" s="8" t="str">
        <f>IF(I350="","",SUMIF(Cotizador!I$1:V$1,I350,Cotizador!I$2:V$2))</f>
        <v/>
      </c>
      <c r="L350" s="4" t="str">
        <f t="array" ref="L350">IF(COUNTIF(L$1:L349,A$2)=SUMIF(A:A,A$2,D:D),IF(COUNTIF(L$1:L349,XLOOKUP(A$2,Implementos!B:B,Implementos!C:C,"",0,1))=SUMIF(A:A,XLOOKUP(A$2,Implementos!B:B,Implementos!C:C,"",0,1),D:D),"",XLOOKUP(A$2,Implementos!B:B,Implementos!C:C,"",0,1)),A$2)</f>
        <v/>
      </c>
      <c r="M350" s="4" t="str">
        <f t="shared" si="2"/>
        <v/>
      </c>
      <c r="N350" s="4" t="str">
        <f t="shared" si="3"/>
        <v/>
      </c>
      <c r="O350" s="4" t="str">
        <f t="shared" si="4"/>
        <v/>
      </c>
      <c r="P350" s="4" t="str">
        <f t="shared" si="5"/>
        <v/>
      </c>
      <c r="Q350" s="4" t="str">
        <f>IF(U350="","",SUMIF(Productos!E:E,U350,Productos!A:A))</f>
        <v/>
      </c>
      <c r="R350" s="4" t="str">
        <f t="array" ref="R350">IF(L350="","", max(1,SUMIF(I:I,XLOOKUP(U350,Productos!E:E,Productos!G:G,"",0,1),J:J)))</f>
        <v/>
      </c>
      <c r="S350" s="4" t="str">
        <f>IF(Q350="","",IF(SUMIFS(Compat_Vetado!D:D,Compat_Vetado!B:B,SUM(G:G),Compat_Vetado!C:C,Q350)=1,"SI",IF(OR(SUMIF(Cotizador!E:E,Q350,Cotizador!G:G)&gt;0,SUMIFS(Compat_Vetado!D:D,Compat_Vetado!B:B,SUM(G:G),Compat_Vetado!C:C,Q350)=-1),"NO","")))</f>
        <v/>
      </c>
      <c r="T350" s="4" t="str">
        <f t="shared" si="6"/>
        <v/>
      </c>
      <c r="U350" s="4" t="str">
        <f>IFERROR(__xludf.DUMMYFUNCTION("IF(P350="""","""",IFERROR(INDEX(filter(Productos!E:E,Productos!F:F=L350,Productos!H:H=N350),P350),IF(M350=SUM(D:D),""Finalizar"",""-"")))"),"")</f>
        <v/>
      </c>
      <c r="V350" s="4" t="str">
        <f>IFERROR(__xludf.DUMMYFUNCTION("IF(OR($U350="""",COUNTIF($I:$I,IFERROR(unique(filter(Prod_Prop!$H:$H,Prod_Prop!$G:$G=$U350,Prod_Prop!$E:$E=V$1)),""Check""))=0),"""",IFERROR(unique(filter(Prod_Prop!$H:$H,Prod_Prop!$G:$G=$U350,Prod_Prop!$E:$E=V$1)),""""))"),"")</f>
        <v/>
      </c>
      <c r="W350" s="4" t="str">
        <f>IF(V350="","",SUMIFS(Prod_Prop!$J:$J,Prod_Prop!$B:$B,$Q350,Prod_Prop!$H:$H,V350,Prod_Prop!$I:$I,W$1)*IF(V350="Peso",$R350,1))</f>
        <v/>
      </c>
      <c r="X350" s="4" t="str">
        <f>IF(V350="","",SUMIFS(Prod_Prop!$J:$J,Prod_Prop!$B:$B,$Q350,Prod_Prop!$H:$H,V350,Prod_Prop!$I:$I,X$1)*IF(V350="Peso",$R350,1))</f>
        <v/>
      </c>
      <c r="Y350" s="4" t="str">
        <f>IFERROR(__xludf.DUMMYFUNCTION("IF(OR($U350="""",COUNTIF($I:$I,IFERROR(unique(filter(Prod_Prop!$H:$H,Prod_Prop!$G:$G=$U350,Prod_Prop!$E:$E=Y$1)),""Check""))=0),"""",IFERROR(unique(filter(Prod_Prop!$H:$H,Prod_Prop!$G:$G=$U350,Prod_Prop!$E:$E=Y$1)),""""))"),"")</f>
        <v/>
      </c>
      <c r="Z350" s="4" t="str">
        <f>IF(Y350="","",SUMIFS(Prod_Prop!$J:$J,Prod_Prop!$B:$B,$Q350,Prod_Prop!$H:$H,Y350,Prod_Prop!$I:$I,Z$1)*IF(Y350="Peso",$R350,1))</f>
        <v/>
      </c>
      <c r="AA350" s="4" t="str">
        <f>IF(Y350="","",SUMIFS(Prod_Prop!$J:$J,Prod_Prop!$B:$B,$Q350,Prod_Prop!$H:$H,Y350,Prod_Prop!$I:$I,AA$1)*IF(Y350="Peso",$R350,1))</f>
        <v/>
      </c>
      <c r="AB350" s="4" t="str">
        <f>IFERROR(__xludf.DUMMYFUNCTION("IF(OR($U350="""",COUNTIF($I:$I,IFERROR(unique(filter(Prod_Prop!$H:$H,Prod_Prop!$G:$G=$U350,Prod_Prop!$E:$E=AB$1)),""Check""))=0),"""",IFERROR(unique(filter(Prod_Prop!$H:$H,Prod_Prop!$G:$G=$U350,Prod_Prop!$E:$E=AB$1)),""""))"),"")</f>
        <v/>
      </c>
      <c r="AC350" s="4" t="str">
        <f>IF(AB350="","",SUMIFS(Prod_Prop!$J:$J,Prod_Prop!$B:$B,$Q350,Prod_Prop!$H:$H,AB350,Prod_Prop!$I:$I,AC$1)*IF(AB350="Peso",$R350,1))</f>
        <v/>
      </c>
      <c r="AD350" s="4" t="str">
        <f>IF(AB350="","",SUMIFS(Prod_Prop!$J:$J,Prod_Prop!$B:$B,$Q350,Prod_Prop!$H:$H,AB350,Prod_Prop!$I:$I,AD$1)*IF(AB350="Peso",$R350,1))</f>
        <v/>
      </c>
    </row>
    <row r="351">
      <c r="A351" s="4" t="str">
        <f t="array" ref="A351">IF(COUNTIF(A$1:A350,Cotizador!F$2)=maxifs(Familias!E:E,Familias!D:D,Cotizador!F$2),IF(COUNTIF(A$1:A350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1" s="4" t="str">
        <f t="shared" si="1"/>
        <v/>
      </c>
      <c r="C351" s="4" t="str">
        <f t="array" ref="C351">IF(B351="","",IF(A351=XLOOKUP(A$2,Implementos!B:B,Implementos!C:C,"",0,1),B351+maxifs(B$1:B350,A$1:A350,A$2),B351))</f>
        <v/>
      </c>
      <c r="D351" s="4" t="str">
        <f>IF(B351="","", COUNTIFS(Productos!F:F,A351,Productos!H:H,B351)+IF(F351="SI",0,1))</f>
        <v/>
      </c>
      <c r="E351" s="4" t="str">
        <f>IFERROR(__xludf.DUMMYFUNCTION("IF($B351="""","""",INDEX(filter(Familias!F:F,Familias!$D:$D=$A351,Familias!$E:$E=$B351),1))"),"")</f>
        <v/>
      </c>
      <c r="F351" s="4" t="str">
        <f>IFERROR(__xludf.DUMMYFUNCTION("IF($B351="""","""",INDEX(filter(Familias!G:G,Familias!$D:$D=$A351,Familias!$E:$E=$B351),1))"),"")</f>
        <v/>
      </c>
      <c r="G351" s="4" t="str">
        <f t="array" ref="G351">IF(C351=1,XLOOKUP(C351,Cotizador!D:D,Cotizador!E:E,"",0,1),"")</f>
        <v/>
      </c>
      <c r="I351" s="4"/>
      <c r="J351" s="8" t="str">
        <f>IF(I351="","",SUMIF(Cotizador!I$1:V$1,I351,Cotizador!I$2:V$2))</f>
        <v/>
      </c>
      <c r="L351" s="4" t="str">
        <f t="array" ref="L351">IF(COUNTIF(L$1:L350,A$2)=SUMIF(A:A,A$2,D:D),IF(COUNTIF(L$1:L350,XLOOKUP(A$2,Implementos!B:B,Implementos!C:C,"",0,1))=SUMIF(A:A,XLOOKUP(A$2,Implementos!B:B,Implementos!C:C,"",0,1),D:D),"",XLOOKUP(A$2,Implementos!B:B,Implementos!C:C,"",0,1)),A$2)</f>
        <v/>
      </c>
      <c r="M351" s="4" t="str">
        <f t="shared" si="2"/>
        <v/>
      </c>
      <c r="N351" s="4" t="str">
        <f t="shared" si="3"/>
        <v/>
      </c>
      <c r="O351" s="4" t="str">
        <f t="shared" si="4"/>
        <v/>
      </c>
      <c r="P351" s="4" t="str">
        <f t="shared" si="5"/>
        <v/>
      </c>
      <c r="Q351" s="4" t="str">
        <f>IF(U351="","",SUMIF(Productos!E:E,U351,Productos!A:A))</f>
        <v/>
      </c>
      <c r="R351" s="4" t="str">
        <f t="array" ref="R351">IF(L351="","", max(1,SUMIF(I:I,XLOOKUP(U351,Productos!E:E,Productos!G:G,"",0,1),J:J)))</f>
        <v/>
      </c>
      <c r="S351" s="4" t="str">
        <f>IF(Q351="","",IF(SUMIFS(Compat_Vetado!D:D,Compat_Vetado!B:B,SUM(G:G),Compat_Vetado!C:C,Q351)=1,"SI",IF(OR(SUMIF(Cotizador!E:E,Q351,Cotizador!G:G)&gt;0,SUMIFS(Compat_Vetado!D:D,Compat_Vetado!B:B,SUM(G:G),Compat_Vetado!C:C,Q351)=-1),"NO","")))</f>
        <v/>
      </c>
      <c r="T351" s="4" t="str">
        <f t="shared" si="6"/>
        <v/>
      </c>
      <c r="U351" s="4" t="str">
        <f>IFERROR(__xludf.DUMMYFUNCTION("IF(P351="""","""",IFERROR(INDEX(filter(Productos!E:E,Productos!F:F=L351,Productos!H:H=N351),P351),IF(M351=SUM(D:D),""Finalizar"",""-"")))"),"")</f>
        <v/>
      </c>
      <c r="V351" s="4" t="str">
        <f>IFERROR(__xludf.DUMMYFUNCTION("IF(OR($U351="""",COUNTIF($I:$I,IFERROR(unique(filter(Prod_Prop!$H:$H,Prod_Prop!$G:$G=$U351,Prod_Prop!$E:$E=V$1)),""Check""))=0),"""",IFERROR(unique(filter(Prod_Prop!$H:$H,Prod_Prop!$G:$G=$U351,Prod_Prop!$E:$E=V$1)),""""))"),"")</f>
        <v/>
      </c>
      <c r="W351" s="4" t="str">
        <f>IF(V351="","",SUMIFS(Prod_Prop!$J:$J,Prod_Prop!$B:$B,$Q351,Prod_Prop!$H:$H,V351,Prod_Prop!$I:$I,W$1)*IF(V351="Peso",$R351,1))</f>
        <v/>
      </c>
      <c r="X351" s="4" t="str">
        <f>IF(V351="","",SUMIFS(Prod_Prop!$J:$J,Prod_Prop!$B:$B,$Q351,Prod_Prop!$H:$H,V351,Prod_Prop!$I:$I,X$1)*IF(V351="Peso",$R351,1))</f>
        <v/>
      </c>
      <c r="Y351" s="4" t="str">
        <f>IFERROR(__xludf.DUMMYFUNCTION("IF(OR($U351="""",COUNTIF($I:$I,IFERROR(unique(filter(Prod_Prop!$H:$H,Prod_Prop!$G:$G=$U351,Prod_Prop!$E:$E=Y$1)),""Check""))=0),"""",IFERROR(unique(filter(Prod_Prop!$H:$H,Prod_Prop!$G:$G=$U351,Prod_Prop!$E:$E=Y$1)),""""))"),"")</f>
        <v/>
      </c>
      <c r="Z351" s="4" t="str">
        <f>IF(Y351="","",SUMIFS(Prod_Prop!$J:$J,Prod_Prop!$B:$B,$Q351,Prod_Prop!$H:$H,Y351,Prod_Prop!$I:$I,Z$1)*IF(Y351="Peso",$R351,1))</f>
        <v/>
      </c>
      <c r="AA351" s="4" t="str">
        <f>IF(Y351="","",SUMIFS(Prod_Prop!$J:$J,Prod_Prop!$B:$B,$Q351,Prod_Prop!$H:$H,Y351,Prod_Prop!$I:$I,AA$1)*IF(Y351="Peso",$R351,1))</f>
        <v/>
      </c>
      <c r="AB351" s="4" t="str">
        <f>IFERROR(__xludf.DUMMYFUNCTION("IF(OR($U351="""",COUNTIF($I:$I,IFERROR(unique(filter(Prod_Prop!$H:$H,Prod_Prop!$G:$G=$U351,Prod_Prop!$E:$E=AB$1)),""Check""))=0),"""",IFERROR(unique(filter(Prod_Prop!$H:$H,Prod_Prop!$G:$G=$U351,Prod_Prop!$E:$E=AB$1)),""""))"),"")</f>
        <v/>
      </c>
      <c r="AC351" s="4" t="str">
        <f>IF(AB351="","",SUMIFS(Prod_Prop!$J:$J,Prod_Prop!$B:$B,$Q351,Prod_Prop!$H:$H,AB351,Prod_Prop!$I:$I,AC$1)*IF(AB351="Peso",$R351,1))</f>
        <v/>
      </c>
      <c r="AD351" s="4" t="str">
        <f>IF(AB351="","",SUMIFS(Prod_Prop!$J:$J,Prod_Prop!$B:$B,$Q351,Prod_Prop!$H:$H,AB351,Prod_Prop!$I:$I,AD$1)*IF(AB351="Peso",$R351,1))</f>
        <v/>
      </c>
    </row>
    <row r="352">
      <c r="A352" s="4" t="str">
        <f t="array" ref="A352">IF(COUNTIF(A$1:A351,Cotizador!F$2)=maxifs(Familias!E:E,Familias!D:D,Cotizador!F$2),IF(COUNTIF(A$1:A351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2" s="4" t="str">
        <f t="shared" si="1"/>
        <v/>
      </c>
      <c r="C352" s="4" t="str">
        <f t="array" ref="C352">IF(B352="","",IF(A352=XLOOKUP(A$2,Implementos!B:B,Implementos!C:C,"",0,1),B352+maxifs(B$1:B351,A$1:A351,A$2),B352))</f>
        <v/>
      </c>
      <c r="D352" s="4" t="str">
        <f>IF(B352="","", COUNTIFS(Productos!F:F,A352,Productos!H:H,B352)+IF(F352="SI",0,1))</f>
        <v/>
      </c>
      <c r="E352" s="4" t="str">
        <f>IFERROR(__xludf.DUMMYFUNCTION("IF($B352="""","""",INDEX(filter(Familias!F:F,Familias!$D:$D=$A352,Familias!$E:$E=$B352),1))"),"")</f>
        <v/>
      </c>
      <c r="F352" s="4" t="str">
        <f>IFERROR(__xludf.DUMMYFUNCTION("IF($B352="""","""",INDEX(filter(Familias!G:G,Familias!$D:$D=$A352,Familias!$E:$E=$B352),1))"),"")</f>
        <v/>
      </c>
      <c r="G352" s="4" t="str">
        <f t="array" ref="G352">IF(C352=1,XLOOKUP(C352,Cotizador!D:D,Cotizador!E:E,"",0,1),"")</f>
        <v/>
      </c>
      <c r="I352" s="4"/>
      <c r="J352" s="8" t="str">
        <f>IF(I352="","",SUMIF(Cotizador!I$1:V$1,I352,Cotizador!I$2:V$2))</f>
        <v/>
      </c>
      <c r="L352" s="4" t="str">
        <f t="array" ref="L352">IF(COUNTIF(L$1:L351,A$2)=SUMIF(A:A,A$2,D:D),IF(COUNTIF(L$1:L351,XLOOKUP(A$2,Implementos!B:B,Implementos!C:C,"",0,1))=SUMIF(A:A,XLOOKUP(A$2,Implementos!B:B,Implementos!C:C,"",0,1),D:D),"",XLOOKUP(A$2,Implementos!B:B,Implementos!C:C,"",0,1)),A$2)</f>
        <v/>
      </c>
      <c r="M352" s="4" t="str">
        <f t="shared" si="2"/>
        <v/>
      </c>
      <c r="N352" s="4" t="str">
        <f t="shared" si="3"/>
        <v/>
      </c>
      <c r="O352" s="4" t="str">
        <f t="shared" si="4"/>
        <v/>
      </c>
      <c r="P352" s="4" t="str">
        <f t="shared" si="5"/>
        <v/>
      </c>
      <c r="Q352" s="4" t="str">
        <f>IF(U352="","",SUMIF(Productos!E:E,U352,Productos!A:A))</f>
        <v/>
      </c>
      <c r="R352" s="4" t="str">
        <f t="array" ref="R352">IF(L352="","", max(1,SUMIF(I:I,XLOOKUP(U352,Productos!E:E,Productos!G:G,"",0,1),J:J)))</f>
        <v/>
      </c>
      <c r="S352" s="4" t="str">
        <f>IF(Q352="","",IF(SUMIFS(Compat_Vetado!D:D,Compat_Vetado!B:B,SUM(G:G),Compat_Vetado!C:C,Q352)=1,"SI",IF(OR(SUMIF(Cotizador!E:E,Q352,Cotizador!G:G)&gt;0,SUMIFS(Compat_Vetado!D:D,Compat_Vetado!B:B,SUM(G:G),Compat_Vetado!C:C,Q352)=-1),"NO","")))</f>
        <v/>
      </c>
      <c r="T352" s="4" t="str">
        <f t="shared" si="6"/>
        <v/>
      </c>
      <c r="U352" s="4" t="str">
        <f>IFERROR(__xludf.DUMMYFUNCTION("IF(P352="""","""",IFERROR(INDEX(filter(Productos!E:E,Productos!F:F=L352,Productos!H:H=N352),P352),IF(M352=SUM(D:D),""Finalizar"",""-"")))"),"")</f>
        <v/>
      </c>
      <c r="V352" s="4" t="str">
        <f>IFERROR(__xludf.DUMMYFUNCTION("IF(OR($U352="""",COUNTIF($I:$I,IFERROR(unique(filter(Prod_Prop!$H:$H,Prod_Prop!$G:$G=$U352,Prod_Prop!$E:$E=V$1)),""Check""))=0),"""",IFERROR(unique(filter(Prod_Prop!$H:$H,Prod_Prop!$G:$G=$U352,Prod_Prop!$E:$E=V$1)),""""))"),"")</f>
        <v/>
      </c>
      <c r="W352" s="4" t="str">
        <f>IF(V352="","",SUMIFS(Prod_Prop!$J:$J,Prod_Prop!$B:$B,$Q352,Prod_Prop!$H:$H,V352,Prod_Prop!$I:$I,W$1)*IF(V352="Peso",$R352,1))</f>
        <v/>
      </c>
      <c r="X352" s="4" t="str">
        <f>IF(V352="","",SUMIFS(Prod_Prop!$J:$J,Prod_Prop!$B:$B,$Q352,Prod_Prop!$H:$H,V352,Prod_Prop!$I:$I,X$1)*IF(V352="Peso",$R352,1))</f>
        <v/>
      </c>
      <c r="Y352" s="4" t="str">
        <f>IFERROR(__xludf.DUMMYFUNCTION("IF(OR($U352="""",COUNTIF($I:$I,IFERROR(unique(filter(Prod_Prop!$H:$H,Prod_Prop!$G:$G=$U352,Prod_Prop!$E:$E=Y$1)),""Check""))=0),"""",IFERROR(unique(filter(Prod_Prop!$H:$H,Prod_Prop!$G:$G=$U352,Prod_Prop!$E:$E=Y$1)),""""))"),"")</f>
        <v/>
      </c>
      <c r="Z352" s="4" t="str">
        <f>IF(Y352="","",SUMIFS(Prod_Prop!$J:$J,Prod_Prop!$B:$B,$Q352,Prod_Prop!$H:$H,Y352,Prod_Prop!$I:$I,Z$1)*IF(Y352="Peso",$R352,1))</f>
        <v/>
      </c>
      <c r="AA352" s="4" t="str">
        <f>IF(Y352="","",SUMIFS(Prod_Prop!$J:$J,Prod_Prop!$B:$B,$Q352,Prod_Prop!$H:$H,Y352,Prod_Prop!$I:$I,AA$1)*IF(Y352="Peso",$R352,1))</f>
        <v/>
      </c>
      <c r="AB352" s="4" t="str">
        <f>IFERROR(__xludf.DUMMYFUNCTION("IF(OR($U352="""",COUNTIF($I:$I,IFERROR(unique(filter(Prod_Prop!$H:$H,Prod_Prop!$G:$G=$U352,Prod_Prop!$E:$E=AB$1)),""Check""))=0),"""",IFERROR(unique(filter(Prod_Prop!$H:$H,Prod_Prop!$G:$G=$U352,Prod_Prop!$E:$E=AB$1)),""""))"),"")</f>
        <v/>
      </c>
      <c r="AC352" s="4" t="str">
        <f>IF(AB352="","",SUMIFS(Prod_Prop!$J:$J,Prod_Prop!$B:$B,$Q352,Prod_Prop!$H:$H,AB352,Prod_Prop!$I:$I,AC$1)*IF(AB352="Peso",$R352,1))</f>
        <v/>
      </c>
      <c r="AD352" s="4" t="str">
        <f>IF(AB352="","",SUMIFS(Prod_Prop!$J:$J,Prod_Prop!$B:$B,$Q352,Prod_Prop!$H:$H,AB352,Prod_Prop!$I:$I,AD$1)*IF(AB352="Peso",$R352,1))</f>
        <v/>
      </c>
    </row>
    <row r="353">
      <c r="A353" s="4" t="str">
        <f t="array" ref="A353">IF(COUNTIF(A$1:A352,Cotizador!F$2)=maxifs(Familias!E:E,Familias!D:D,Cotizador!F$2),IF(COUNTIF(A$1:A352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3" s="4" t="str">
        <f t="shared" si="1"/>
        <v/>
      </c>
      <c r="C353" s="4" t="str">
        <f t="array" ref="C353">IF(B353="","",IF(A353=XLOOKUP(A$2,Implementos!B:B,Implementos!C:C,"",0,1),B353+maxifs(B$1:B352,A$1:A352,A$2),B353))</f>
        <v/>
      </c>
      <c r="D353" s="4" t="str">
        <f>IF(B353="","", COUNTIFS(Productos!F:F,A353,Productos!H:H,B353)+IF(F353="SI",0,1))</f>
        <v/>
      </c>
      <c r="E353" s="4" t="str">
        <f>IFERROR(__xludf.DUMMYFUNCTION("IF($B353="""","""",INDEX(filter(Familias!F:F,Familias!$D:$D=$A353,Familias!$E:$E=$B353),1))"),"")</f>
        <v/>
      </c>
      <c r="F353" s="4" t="str">
        <f>IFERROR(__xludf.DUMMYFUNCTION("IF($B353="""","""",INDEX(filter(Familias!G:G,Familias!$D:$D=$A353,Familias!$E:$E=$B353),1))"),"")</f>
        <v/>
      </c>
      <c r="G353" s="4" t="str">
        <f t="array" ref="G353">IF(C353=1,XLOOKUP(C353,Cotizador!D:D,Cotizador!E:E,"",0,1),"")</f>
        <v/>
      </c>
      <c r="I353" s="4"/>
      <c r="J353" s="8" t="str">
        <f>IF(I353="","",SUMIF(Cotizador!I$1:V$1,I353,Cotizador!I$2:V$2))</f>
        <v/>
      </c>
      <c r="L353" s="4" t="str">
        <f t="array" ref="L353">IF(COUNTIF(L$1:L352,A$2)=SUMIF(A:A,A$2,D:D),IF(COUNTIF(L$1:L352,XLOOKUP(A$2,Implementos!B:B,Implementos!C:C,"",0,1))=SUMIF(A:A,XLOOKUP(A$2,Implementos!B:B,Implementos!C:C,"",0,1),D:D),"",XLOOKUP(A$2,Implementos!B:B,Implementos!C:C,"",0,1)),A$2)</f>
        <v/>
      </c>
      <c r="M353" s="4" t="str">
        <f t="shared" si="2"/>
        <v/>
      </c>
      <c r="N353" s="4" t="str">
        <f t="shared" si="3"/>
        <v/>
      </c>
      <c r="O353" s="4" t="str">
        <f t="shared" si="4"/>
        <v/>
      </c>
      <c r="P353" s="4" t="str">
        <f t="shared" si="5"/>
        <v/>
      </c>
      <c r="Q353" s="4" t="str">
        <f>IF(U353="","",SUMIF(Productos!E:E,U353,Productos!A:A))</f>
        <v/>
      </c>
      <c r="R353" s="4" t="str">
        <f t="array" ref="R353">IF(L353="","", max(1,SUMIF(I:I,XLOOKUP(U353,Productos!E:E,Productos!G:G,"",0,1),J:J)))</f>
        <v/>
      </c>
      <c r="S353" s="4" t="str">
        <f>IF(Q353="","",IF(SUMIFS(Compat_Vetado!D:D,Compat_Vetado!B:B,SUM(G:G),Compat_Vetado!C:C,Q353)=1,"SI",IF(OR(SUMIF(Cotizador!E:E,Q353,Cotizador!G:G)&gt;0,SUMIFS(Compat_Vetado!D:D,Compat_Vetado!B:B,SUM(G:G),Compat_Vetado!C:C,Q353)=-1),"NO","")))</f>
        <v/>
      </c>
      <c r="T353" s="4" t="str">
        <f t="shared" si="6"/>
        <v/>
      </c>
      <c r="U353" s="4" t="str">
        <f>IFERROR(__xludf.DUMMYFUNCTION("IF(P353="""","""",IFERROR(INDEX(filter(Productos!E:E,Productos!F:F=L353,Productos!H:H=N353),P353),IF(M353=SUM(D:D),""Finalizar"",""-"")))"),"")</f>
        <v/>
      </c>
      <c r="V353" s="4" t="str">
        <f>IFERROR(__xludf.DUMMYFUNCTION("IF(OR($U353="""",COUNTIF($I:$I,IFERROR(unique(filter(Prod_Prop!$H:$H,Prod_Prop!$G:$G=$U353,Prod_Prop!$E:$E=V$1)),""Check""))=0),"""",IFERROR(unique(filter(Prod_Prop!$H:$H,Prod_Prop!$G:$G=$U353,Prod_Prop!$E:$E=V$1)),""""))"),"")</f>
        <v/>
      </c>
      <c r="W353" s="4" t="str">
        <f>IF(V353="","",SUMIFS(Prod_Prop!$J:$J,Prod_Prop!$B:$B,$Q353,Prod_Prop!$H:$H,V353,Prod_Prop!$I:$I,W$1)*IF(V353="Peso",$R353,1))</f>
        <v/>
      </c>
      <c r="X353" s="4" t="str">
        <f>IF(V353="","",SUMIFS(Prod_Prop!$J:$J,Prod_Prop!$B:$B,$Q353,Prod_Prop!$H:$H,V353,Prod_Prop!$I:$I,X$1)*IF(V353="Peso",$R353,1))</f>
        <v/>
      </c>
      <c r="Y353" s="4" t="str">
        <f>IFERROR(__xludf.DUMMYFUNCTION("IF(OR($U353="""",COUNTIF($I:$I,IFERROR(unique(filter(Prod_Prop!$H:$H,Prod_Prop!$G:$G=$U353,Prod_Prop!$E:$E=Y$1)),""Check""))=0),"""",IFERROR(unique(filter(Prod_Prop!$H:$H,Prod_Prop!$G:$G=$U353,Prod_Prop!$E:$E=Y$1)),""""))"),"")</f>
        <v/>
      </c>
      <c r="Z353" s="4" t="str">
        <f>IF(Y353="","",SUMIFS(Prod_Prop!$J:$J,Prod_Prop!$B:$B,$Q353,Prod_Prop!$H:$H,Y353,Prod_Prop!$I:$I,Z$1)*IF(Y353="Peso",$R353,1))</f>
        <v/>
      </c>
      <c r="AA353" s="4" t="str">
        <f>IF(Y353="","",SUMIFS(Prod_Prop!$J:$J,Prod_Prop!$B:$B,$Q353,Prod_Prop!$H:$H,Y353,Prod_Prop!$I:$I,AA$1)*IF(Y353="Peso",$R353,1))</f>
        <v/>
      </c>
      <c r="AB353" s="4" t="str">
        <f>IFERROR(__xludf.DUMMYFUNCTION("IF(OR($U353="""",COUNTIF($I:$I,IFERROR(unique(filter(Prod_Prop!$H:$H,Prod_Prop!$G:$G=$U353,Prod_Prop!$E:$E=AB$1)),""Check""))=0),"""",IFERROR(unique(filter(Prod_Prop!$H:$H,Prod_Prop!$G:$G=$U353,Prod_Prop!$E:$E=AB$1)),""""))"),"")</f>
        <v/>
      </c>
      <c r="AC353" s="4" t="str">
        <f>IF(AB353="","",SUMIFS(Prod_Prop!$J:$J,Prod_Prop!$B:$B,$Q353,Prod_Prop!$H:$H,AB353,Prod_Prop!$I:$I,AC$1)*IF(AB353="Peso",$R353,1))</f>
        <v/>
      </c>
      <c r="AD353" s="4" t="str">
        <f>IF(AB353="","",SUMIFS(Prod_Prop!$J:$J,Prod_Prop!$B:$B,$Q353,Prod_Prop!$H:$H,AB353,Prod_Prop!$I:$I,AD$1)*IF(AB353="Peso",$R353,1))</f>
        <v/>
      </c>
    </row>
    <row r="354">
      <c r="A354" s="4" t="str">
        <f t="array" ref="A354">IF(COUNTIF(A$1:A353,Cotizador!F$2)=maxifs(Familias!E:E,Familias!D:D,Cotizador!F$2),IF(COUNTIF(A$1:A353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4" s="4" t="str">
        <f t="shared" si="1"/>
        <v/>
      </c>
      <c r="C354" s="4" t="str">
        <f t="array" ref="C354">IF(B354="","",IF(A354=XLOOKUP(A$2,Implementos!B:B,Implementos!C:C,"",0,1),B354+maxifs(B$1:B353,A$1:A353,A$2),B354))</f>
        <v/>
      </c>
      <c r="D354" s="4" t="str">
        <f>IF(B354="","", COUNTIFS(Productos!F:F,A354,Productos!H:H,B354)+IF(F354="SI",0,1))</f>
        <v/>
      </c>
      <c r="E354" s="4" t="str">
        <f>IFERROR(__xludf.DUMMYFUNCTION("IF($B354="""","""",INDEX(filter(Familias!F:F,Familias!$D:$D=$A354,Familias!$E:$E=$B354),1))"),"")</f>
        <v/>
      </c>
      <c r="F354" s="4" t="str">
        <f>IFERROR(__xludf.DUMMYFUNCTION("IF($B354="""","""",INDEX(filter(Familias!G:G,Familias!$D:$D=$A354,Familias!$E:$E=$B354),1))"),"")</f>
        <v/>
      </c>
      <c r="G354" s="4" t="str">
        <f t="array" ref="G354">IF(C354=1,XLOOKUP(C354,Cotizador!D:D,Cotizador!E:E,"",0,1),"")</f>
        <v/>
      </c>
      <c r="I354" s="4"/>
      <c r="J354" s="8" t="str">
        <f>IF(I354="","",SUMIF(Cotizador!I$1:V$1,I354,Cotizador!I$2:V$2))</f>
        <v/>
      </c>
      <c r="L354" s="4" t="str">
        <f t="array" ref="L354">IF(COUNTIF(L$1:L353,A$2)=SUMIF(A:A,A$2,D:D),IF(COUNTIF(L$1:L353,XLOOKUP(A$2,Implementos!B:B,Implementos!C:C,"",0,1))=SUMIF(A:A,XLOOKUP(A$2,Implementos!B:B,Implementos!C:C,"",0,1),D:D),"",XLOOKUP(A$2,Implementos!B:B,Implementos!C:C,"",0,1)),A$2)</f>
        <v/>
      </c>
      <c r="M354" s="4" t="str">
        <f t="shared" si="2"/>
        <v/>
      </c>
      <c r="N354" s="4" t="str">
        <f t="shared" si="3"/>
        <v/>
      </c>
      <c r="O354" s="4" t="str">
        <f t="shared" si="4"/>
        <v/>
      </c>
      <c r="P354" s="4" t="str">
        <f t="shared" si="5"/>
        <v/>
      </c>
      <c r="Q354" s="4" t="str">
        <f>IF(U354="","",SUMIF(Productos!E:E,U354,Productos!A:A))</f>
        <v/>
      </c>
      <c r="R354" s="4" t="str">
        <f t="array" ref="R354">IF(L354="","", max(1,SUMIF(I:I,XLOOKUP(U354,Productos!E:E,Productos!G:G,"",0,1),J:J)))</f>
        <v/>
      </c>
      <c r="S354" s="4" t="str">
        <f>IF(Q354="","",IF(SUMIFS(Compat_Vetado!D:D,Compat_Vetado!B:B,SUM(G:G),Compat_Vetado!C:C,Q354)=1,"SI",IF(OR(SUMIF(Cotizador!E:E,Q354,Cotizador!G:G)&gt;0,SUMIFS(Compat_Vetado!D:D,Compat_Vetado!B:B,SUM(G:G),Compat_Vetado!C:C,Q354)=-1),"NO","")))</f>
        <v/>
      </c>
      <c r="T354" s="4" t="str">
        <f t="shared" si="6"/>
        <v/>
      </c>
      <c r="U354" s="4" t="str">
        <f>IFERROR(__xludf.DUMMYFUNCTION("IF(P354="""","""",IFERROR(INDEX(filter(Productos!E:E,Productos!F:F=L354,Productos!H:H=N354),P354),IF(M354=SUM(D:D),""Finalizar"",""-"")))"),"")</f>
        <v/>
      </c>
      <c r="V354" s="4" t="str">
        <f>IFERROR(__xludf.DUMMYFUNCTION("IF(OR($U354="""",COUNTIF($I:$I,IFERROR(unique(filter(Prod_Prop!$H:$H,Prod_Prop!$G:$G=$U354,Prod_Prop!$E:$E=V$1)),""Check""))=0),"""",IFERROR(unique(filter(Prod_Prop!$H:$H,Prod_Prop!$G:$G=$U354,Prod_Prop!$E:$E=V$1)),""""))"),"")</f>
        <v/>
      </c>
      <c r="W354" s="4" t="str">
        <f>IF(V354="","",SUMIFS(Prod_Prop!$J:$J,Prod_Prop!$B:$B,$Q354,Prod_Prop!$H:$H,V354,Prod_Prop!$I:$I,W$1)*IF(V354="Peso",$R354,1))</f>
        <v/>
      </c>
      <c r="X354" s="4" t="str">
        <f>IF(V354="","",SUMIFS(Prod_Prop!$J:$J,Prod_Prop!$B:$B,$Q354,Prod_Prop!$H:$H,V354,Prod_Prop!$I:$I,X$1)*IF(V354="Peso",$R354,1))</f>
        <v/>
      </c>
      <c r="Y354" s="4" t="str">
        <f>IFERROR(__xludf.DUMMYFUNCTION("IF(OR($U354="""",COUNTIF($I:$I,IFERROR(unique(filter(Prod_Prop!$H:$H,Prod_Prop!$G:$G=$U354,Prod_Prop!$E:$E=Y$1)),""Check""))=0),"""",IFERROR(unique(filter(Prod_Prop!$H:$H,Prod_Prop!$G:$G=$U354,Prod_Prop!$E:$E=Y$1)),""""))"),"")</f>
        <v/>
      </c>
      <c r="Z354" s="4" t="str">
        <f>IF(Y354="","",SUMIFS(Prod_Prop!$J:$J,Prod_Prop!$B:$B,$Q354,Prod_Prop!$H:$H,Y354,Prod_Prop!$I:$I,Z$1)*IF(Y354="Peso",$R354,1))</f>
        <v/>
      </c>
      <c r="AA354" s="4" t="str">
        <f>IF(Y354="","",SUMIFS(Prod_Prop!$J:$J,Prod_Prop!$B:$B,$Q354,Prod_Prop!$H:$H,Y354,Prod_Prop!$I:$I,AA$1)*IF(Y354="Peso",$R354,1))</f>
        <v/>
      </c>
      <c r="AB354" s="4" t="str">
        <f>IFERROR(__xludf.DUMMYFUNCTION("IF(OR($U354="""",COUNTIF($I:$I,IFERROR(unique(filter(Prod_Prop!$H:$H,Prod_Prop!$G:$G=$U354,Prod_Prop!$E:$E=AB$1)),""Check""))=0),"""",IFERROR(unique(filter(Prod_Prop!$H:$H,Prod_Prop!$G:$G=$U354,Prod_Prop!$E:$E=AB$1)),""""))"),"")</f>
        <v/>
      </c>
      <c r="AC354" s="4" t="str">
        <f>IF(AB354="","",SUMIFS(Prod_Prop!$J:$J,Prod_Prop!$B:$B,$Q354,Prod_Prop!$H:$H,AB354,Prod_Prop!$I:$I,AC$1)*IF(AB354="Peso",$R354,1))</f>
        <v/>
      </c>
      <c r="AD354" s="4" t="str">
        <f>IF(AB354="","",SUMIFS(Prod_Prop!$J:$J,Prod_Prop!$B:$B,$Q354,Prod_Prop!$H:$H,AB354,Prod_Prop!$I:$I,AD$1)*IF(AB354="Peso",$R354,1))</f>
        <v/>
      </c>
    </row>
    <row r="355">
      <c r="A355" s="4" t="str">
        <f t="array" ref="A355">IF(COUNTIF(A$1:A354,Cotizador!F$2)=maxifs(Familias!E:E,Familias!D:D,Cotizador!F$2),IF(COUNTIF(A$1:A354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5" s="4" t="str">
        <f t="shared" si="1"/>
        <v/>
      </c>
      <c r="C355" s="4" t="str">
        <f t="array" ref="C355">IF(B355="","",IF(A355=XLOOKUP(A$2,Implementos!B:B,Implementos!C:C,"",0,1),B355+maxifs(B$1:B354,A$1:A354,A$2),B355))</f>
        <v/>
      </c>
      <c r="D355" s="4" t="str">
        <f>IF(B355="","", COUNTIFS(Productos!F:F,A355,Productos!H:H,B355)+IF(F355="SI",0,1))</f>
        <v/>
      </c>
      <c r="E355" s="4" t="str">
        <f>IFERROR(__xludf.DUMMYFUNCTION("IF($B355="""","""",INDEX(filter(Familias!F:F,Familias!$D:$D=$A355,Familias!$E:$E=$B355),1))"),"")</f>
        <v/>
      </c>
      <c r="F355" s="4" t="str">
        <f>IFERROR(__xludf.DUMMYFUNCTION("IF($B355="""","""",INDEX(filter(Familias!G:G,Familias!$D:$D=$A355,Familias!$E:$E=$B355),1))"),"")</f>
        <v/>
      </c>
      <c r="G355" s="4" t="str">
        <f t="array" ref="G355">IF(C355=1,XLOOKUP(C355,Cotizador!D:D,Cotizador!E:E,"",0,1),"")</f>
        <v/>
      </c>
      <c r="I355" s="4"/>
      <c r="J355" s="8" t="str">
        <f>IF(I355="","",SUMIF(Cotizador!I$1:V$1,I355,Cotizador!I$2:V$2))</f>
        <v/>
      </c>
      <c r="L355" s="4" t="str">
        <f t="array" ref="L355">IF(COUNTIF(L$1:L354,A$2)=SUMIF(A:A,A$2,D:D),IF(COUNTIF(L$1:L354,XLOOKUP(A$2,Implementos!B:B,Implementos!C:C,"",0,1))=SUMIF(A:A,XLOOKUP(A$2,Implementos!B:B,Implementos!C:C,"",0,1),D:D),"",XLOOKUP(A$2,Implementos!B:B,Implementos!C:C,"",0,1)),A$2)</f>
        <v/>
      </c>
      <c r="M355" s="4" t="str">
        <f t="shared" si="2"/>
        <v/>
      </c>
      <c r="N355" s="4" t="str">
        <f t="shared" si="3"/>
        <v/>
      </c>
      <c r="O355" s="4" t="str">
        <f t="shared" si="4"/>
        <v/>
      </c>
      <c r="P355" s="4" t="str">
        <f t="shared" si="5"/>
        <v/>
      </c>
      <c r="Q355" s="4" t="str">
        <f>IF(U355="","",SUMIF(Productos!E:E,U355,Productos!A:A))</f>
        <v/>
      </c>
      <c r="R355" s="4" t="str">
        <f t="array" ref="R355">IF(L355="","", max(1,SUMIF(I:I,XLOOKUP(U355,Productos!E:E,Productos!G:G,"",0,1),J:J)))</f>
        <v/>
      </c>
      <c r="S355" s="4" t="str">
        <f>IF(Q355="","",IF(SUMIFS(Compat_Vetado!D:D,Compat_Vetado!B:B,SUM(G:G),Compat_Vetado!C:C,Q355)=1,"SI",IF(OR(SUMIF(Cotizador!E:E,Q355,Cotizador!G:G)&gt;0,SUMIFS(Compat_Vetado!D:D,Compat_Vetado!B:B,SUM(G:G),Compat_Vetado!C:C,Q355)=-1),"NO","")))</f>
        <v/>
      </c>
      <c r="T355" s="4" t="str">
        <f t="shared" si="6"/>
        <v/>
      </c>
      <c r="U355" s="4" t="str">
        <f>IFERROR(__xludf.DUMMYFUNCTION("IF(P355="""","""",IFERROR(INDEX(filter(Productos!E:E,Productos!F:F=L355,Productos!H:H=N355),P355),IF(M355=SUM(D:D),""Finalizar"",""-"")))"),"")</f>
        <v/>
      </c>
      <c r="V355" s="4" t="str">
        <f>IFERROR(__xludf.DUMMYFUNCTION("IF(OR($U355="""",COUNTIF($I:$I,IFERROR(unique(filter(Prod_Prop!$H:$H,Prod_Prop!$G:$G=$U355,Prod_Prop!$E:$E=V$1)),""Check""))=0),"""",IFERROR(unique(filter(Prod_Prop!$H:$H,Prod_Prop!$G:$G=$U355,Prod_Prop!$E:$E=V$1)),""""))"),"")</f>
        <v/>
      </c>
      <c r="W355" s="4" t="str">
        <f>IF(V355="","",SUMIFS(Prod_Prop!$J:$J,Prod_Prop!$B:$B,$Q355,Prod_Prop!$H:$H,V355,Prod_Prop!$I:$I,W$1)*IF(V355="Peso",$R355,1))</f>
        <v/>
      </c>
      <c r="X355" s="4" t="str">
        <f>IF(V355="","",SUMIFS(Prod_Prop!$J:$J,Prod_Prop!$B:$B,$Q355,Prod_Prop!$H:$H,V355,Prod_Prop!$I:$I,X$1)*IF(V355="Peso",$R355,1))</f>
        <v/>
      </c>
      <c r="Y355" s="4" t="str">
        <f>IFERROR(__xludf.DUMMYFUNCTION("IF(OR($U355="""",COUNTIF($I:$I,IFERROR(unique(filter(Prod_Prop!$H:$H,Prod_Prop!$G:$G=$U355,Prod_Prop!$E:$E=Y$1)),""Check""))=0),"""",IFERROR(unique(filter(Prod_Prop!$H:$H,Prod_Prop!$G:$G=$U355,Prod_Prop!$E:$E=Y$1)),""""))"),"")</f>
        <v/>
      </c>
      <c r="Z355" s="4" t="str">
        <f>IF(Y355="","",SUMIFS(Prod_Prop!$J:$J,Prod_Prop!$B:$B,$Q355,Prod_Prop!$H:$H,Y355,Prod_Prop!$I:$I,Z$1)*IF(Y355="Peso",$R355,1))</f>
        <v/>
      </c>
      <c r="AA355" s="4" t="str">
        <f>IF(Y355="","",SUMIFS(Prod_Prop!$J:$J,Prod_Prop!$B:$B,$Q355,Prod_Prop!$H:$H,Y355,Prod_Prop!$I:$I,AA$1)*IF(Y355="Peso",$R355,1))</f>
        <v/>
      </c>
      <c r="AB355" s="4" t="str">
        <f>IFERROR(__xludf.DUMMYFUNCTION("IF(OR($U355="""",COUNTIF($I:$I,IFERROR(unique(filter(Prod_Prop!$H:$H,Prod_Prop!$G:$G=$U355,Prod_Prop!$E:$E=AB$1)),""Check""))=0),"""",IFERROR(unique(filter(Prod_Prop!$H:$H,Prod_Prop!$G:$G=$U355,Prod_Prop!$E:$E=AB$1)),""""))"),"")</f>
        <v/>
      </c>
      <c r="AC355" s="4" t="str">
        <f>IF(AB355="","",SUMIFS(Prod_Prop!$J:$J,Prod_Prop!$B:$B,$Q355,Prod_Prop!$H:$H,AB355,Prod_Prop!$I:$I,AC$1)*IF(AB355="Peso",$R355,1))</f>
        <v/>
      </c>
      <c r="AD355" s="4" t="str">
        <f>IF(AB355="","",SUMIFS(Prod_Prop!$J:$J,Prod_Prop!$B:$B,$Q355,Prod_Prop!$H:$H,AB355,Prod_Prop!$I:$I,AD$1)*IF(AB355="Peso",$R355,1))</f>
        <v/>
      </c>
    </row>
    <row r="356">
      <c r="A356" s="4" t="str">
        <f t="array" ref="A356">IF(COUNTIF(A$1:A355,Cotizador!F$2)=maxifs(Familias!E:E,Familias!D:D,Cotizador!F$2),IF(COUNTIF(A$1:A355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6" s="4" t="str">
        <f t="shared" si="1"/>
        <v/>
      </c>
      <c r="C356" s="4" t="str">
        <f t="array" ref="C356">IF(B356="","",IF(A356=XLOOKUP(A$2,Implementos!B:B,Implementos!C:C,"",0,1),B356+maxifs(B$1:B355,A$1:A355,A$2),B356))</f>
        <v/>
      </c>
      <c r="D356" s="4" t="str">
        <f>IF(B356="","", COUNTIFS(Productos!F:F,A356,Productos!H:H,B356)+IF(F356="SI",0,1))</f>
        <v/>
      </c>
      <c r="E356" s="4" t="str">
        <f>IFERROR(__xludf.DUMMYFUNCTION("IF($B356="""","""",INDEX(filter(Familias!F:F,Familias!$D:$D=$A356,Familias!$E:$E=$B356),1))"),"")</f>
        <v/>
      </c>
      <c r="F356" s="4" t="str">
        <f>IFERROR(__xludf.DUMMYFUNCTION("IF($B356="""","""",INDEX(filter(Familias!G:G,Familias!$D:$D=$A356,Familias!$E:$E=$B356),1))"),"")</f>
        <v/>
      </c>
      <c r="G356" s="4" t="str">
        <f t="array" ref="G356">IF(C356=1,XLOOKUP(C356,Cotizador!D:D,Cotizador!E:E,"",0,1),"")</f>
        <v/>
      </c>
      <c r="I356" s="4"/>
      <c r="J356" s="8" t="str">
        <f>IF(I356="","",SUMIF(Cotizador!I$1:V$1,I356,Cotizador!I$2:V$2))</f>
        <v/>
      </c>
      <c r="L356" s="4" t="str">
        <f t="array" ref="L356">IF(COUNTIF(L$1:L355,A$2)=SUMIF(A:A,A$2,D:D),IF(COUNTIF(L$1:L355,XLOOKUP(A$2,Implementos!B:B,Implementos!C:C,"",0,1))=SUMIF(A:A,XLOOKUP(A$2,Implementos!B:B,Implementos!C:C,"",0,1),D:D),"",XLOOKUP(A$2,Implementos!B:B,Implementos!C:C,"",0,1)),A$2)</f>
        <v/>
      </c>
      <c r="M356" s="4" t="str">
        <f t="shared" si="2"/>
        <v/>
      </c>
      <c r="N356" s="4" t="str">
        <f t="shared" si="3"/>
        <v/>
      </c>
      <c r="O356" s="4" t="str">
        <f t="shared" si="4"/>
        <v/>
      </c>
      <c r="P356" s="4" t="str">
        <f t="shared" si="5"/>
        <v/>
      </c>
      <c r="Q356" s="4" t="str">
        <f>IF(U356="","",SUMIF(Productos!E:E,U356,Productos!A:A))</f>
        <v/>
      </c>
      <c r="R356" s="4" t="str">
        <f t="array" ref="R356">IF(L356="","", max(1,SUMIF(I:I,XLOOKUP(U356,Productos!E:E,Productos!G:G,"",0,1),J:J)))</f>
        <v/>
      </c>
      <c r="S356" s="4" t="str">
        <f>IF(Q356="","",IF(SUMIFS(Compat_Vetado!D:D,Compat_Vetado!B:B,SUM(G:G),Compat_Vetado!C:C,Q356)=1,"SI",IF(OR(SUMIF(Cotizador!E:E,Q356,Cotizador!G:G)&gt;0,SUMIFS(Compat_Vetado!D:D,Compat_Vetado!B:B,SUM(G:G),Compat_Vetado!C:C,Q356)=-1),"NO","")))</f>
        <v/>
      </c>
      <c r="T356" s="4" t="str">
        <f t="shared" si="6"/>
        <v/>
      </c>
      <c r="U356" s="4" t="str">
        <f>IFERROR(__xludf.DUMMYFUNCTION("IF(P356="""","""",IFERROR(INDEX(filter(Productos!E:E,Productos!F:F=L356,Productos!H:H=N356),P356),IF(M356=SUM(D:D),""Finalizar"",""-"")))"),"")</f>
        <v/>
      </c>
      <c r="V356" s="4" t="str">
        <f>IFERROR(__xludf.DUMMYFUNCTION("IF(OR($U356="""",COUNTIF($I:$I,IFERROR(unique(filter(Prod_Prop!$H:$H,Prod_Prop!$G:$G=$U356,Prod_Prop!$E:$E=V$1)),""Check""))=0),"""",IFERROR(unique(filter(Prod_Prop!$H:$H,Prod_Prop!$G:$G=$U356,Prod_Prop!$E:$E=V$1)),""""))"),"")</f>
        <v/>
      </c>
      <c r="W356" s="4" t="str">
        <f>IF(V356="","",SUMIFS(Prod_Prop!$J:$J,Prod_Prop!$B:$B,$Q356,Prod_Prop!$H:$H,V356,Prod_Prop!$I:$I,W$1)*IF(V356="Peso",$R356,1))</f>
        <v/>
      </c>
      <c r="X356" s="4" t="str">
        <f>IF(V356="","",SUMIFS(Prod_Prop!$J:$J,Prod_Prop!$B:$B,$Q356,Prod_Prop!$H:$H,V356,Prod_Prop!$I:$I,X$1)*IF(V356="Peso",$R356,1))</f>
        <v/>
      </c>
      <c r="Y356" s="4" t="str">
        <f>IFERROR(__xludf.DUMMYFUNCTION("IF(OR($U356="""",COUNTIF($I:$I,IFERROR(unique(filter(Prod_Prop!$H:$H,Prod_Prop!$G:$G=$U356,Prod_Prop!$E:$E=Y$1)),""Check""))=0),"""",IFERROR(unique(filter(Prod_Prop!$H:$H,Prod_Prop!$G:$G=$U356,Prod_Prop!$E:$E=Y$1)),""""))"),"")</f>
        <v/>
      </c>
      <c r="Z356" s="4" t="str">
        <f>IF(Y356="","",SUMIFS(Prod_Prop!$J:$J,Prod_Prop!$B:$B,$Q356,Prod_Prop!$H:$H,Y356,Prod_Prop!$I:$I,Z$1)*IF(Y356="Peso",$R356,1))</f>
        <v/>
      </c>
      <c r="AA356" s="4" t="str">
        <f>IF(Y356="","",SUMIFS(Prod_Prop!$J:$J,Prod_Prop!$B:$B,$Q356,Prod_Prop!$H:$H,Y356,Prod_Prop!$I:$I,AA$1)*IF(Y356="Peso",$R356,1))</f>
        <v/>
      </c>
      <c r="AB356" s="4" t="str">
        <f>IFERROR(__xludf.DUMMYFUNCTION("IF(OR($U356="""",COUNTIF($I:$I,IFERROR(unique(filter(Prod_Prop!$H:$H,Prod_Prop!$G:$G=$U356,Prod_Prop!$E:$E=AB$1)),""Check""))=0),"""",IFERROR(unique(filter(Prod_Prop!$H:$H,Prod_Prop!$G:$G=$U356,Prod_Prop!$E:$E=AB$1)),""""))"),"")</f>
        <v/>
      </c>
      <c r="AC356" s="4" t="str">
        <f>IF(AB356="","",SUMIFS(Prod_Prop!$J:$J,Prod_Prop!$B:$B,$Q356,Prod_Prop!$H:$H,AB356,Prod_Prop!$I:$I,AC$1)*IF(AB356="Peso",$R356,1))</f>
        <v/>
      </c>
      <c r="AD356" s="4" t="str">
        <f>IF(AB356="","",SUMIFS(Prod_Prop!$J:$J,Prod_Prop!$B:$B,$Q356,Prod_Prop!$H:$H,AB356,Prod_Prop!$I:$I,AD$1)*IF(AB356="Peso",$R356,1))</f>
        <v/>
      </c>
    </row>
    <row r="357">
      <c r="A357" s="4" t="str">
        <f t="array" ref="A357">IF(COUNTIF(A$1:A356,Cotizador!F$2)=maxifs(Familias!E:E,Familias!D:D,Cotizador!F$2),IF(COUNTIF(A$1:A356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7" s="4" t="str">
        <f t="shared" si="1"/>
        <v/>
      </c>
      <c r="C357" s="4" t="str">
        <f t="array" ref="C357">IF(B357="","",IF(A357=XLOOKUP(A$2,Implementos!B:B,Implementos!C:C,"",0,1),B357+maxifs(B$1:B356,A$1:A356,A$2),B357))</f>
        <v/>
      </c>
      <c r="D357" s="4" t="str">
        <f>IF(B357="","", COUNTIFS(Productos!F:F,A357,Productos!H:H,B357)+IF(F357="SI",0,1))</f>
        <v/>
      </c>
      <c r="E357" s="4" t="str">
        <f>IFERROR(__xludf.DUMMYFUNCTION("IF($B357="""","""",INDEX(filter(Familias!F:F,Familias!$D:$D=$A357,Familias!$E:$E=$B357),1))"),"")</f>
        <v/>
      </c>
      <c r="F357" s="4" t="str">
        <f>IFERROR(__xludf.DUMMYFUNCTION("IF($B357="""","""",INDEX(filter(Familias!G:G,Familias!$D:$D=$A357,Familias!$E:$E=$B357),1))"),"")</f>
        <v/>
      </c>
      <c r="G357" s="4" t="str">
        <f t="array" ref="G357">IF(C357=1,XLOOKUP(C357,Cotizador!D:D,Cotizador!E:E,"",0,1),"")</f>
        <v/>
      </c>
      <c r="I357" s="4"/>
      <c r="J357" s="8" t="str">
        <f>IF(I357="","",SUMIF(Cotizador!I$1:V$1,I357,Cotizador!I$2:V$2))</f>
        <v/>
      </c>
      <c r="L357" s="4" t="str">
        <f t="array" ref="L357">IF(COUNTIF(L$1:L356,A$2)=SUMIF(A:A,A$2,D:D),IF(COUNTIF(L$1:L356,XLOOKUP(A$2,Implementos!B:B,Implementos!C:C,"",0,1))=SUMIF(A:A,XLOOKUP(A$2,Implementos!B:B,Implementos!C:C,"",0,1),D:D),"",XLOOKUP(A$2,Implementos!B:B,Implementos!C:C,"",0,1)),A$2)</f>
        <v/>
      </c>
      <c r="M357" s="4" t="str">
        <f t="shared" si="2"/>
        <v/>
      </c>
      <c r="N357" s="4" t="str">
        <f t="shared" si="3"/>
        <v/>
      </c>
      <c r="O357" s="4" t="str">
        <f t="shared" si="4"/>
        <v/>
      </c>
      <c r="P357" s="4" t="str">
        <f t="shared" si="5"/>
        <v/>
      </c>
      <c r="Q357" s="4" t="str">
        <f>IF(U357="","",SUMIF(Productos!E:E,U357,Productos!A:A))</f>
        <v/>
      </c>
      <c r="R357" s="4" t="str">
        <f t="array" ref="R357">IF(L357="","", max(1,SUMIF(I:I,XLOOKUP(U357,Productos!E:E,Productos!G:G,"",0,1),J:J)))</f>
        <v/>
      </c>
      <c r="S357" s="4" t="str">
        <f>IF(Q357="","",IF(SUMIFS(Compat_Vetado!D:D,Compat_Vetado!B:B,SUM(G:G),Compat_Vetado!C:C,Q357)=1,"SI",IF(OR(SUMIF(Cotizador!E:E,Q357,Cotizador!G:G)&gt;0,SUMIFS(Compat_Vetado!D:D,Compat_Vetado!B:B,SUM(G:G),Compat_Vetado!C:C,Q357)=-1),"NO","")))</f>
        <v/>
      </c>
      <c r="T357" s="4" t="str">
        <f t="shared" si="6"/>
        <v/>
      </c>
      <c r="U357" s="4" t="str">
        <f>IFERROR(__xludf.DUMMYFUNCTION("IF(P357="""","""",IFERROR(INDEX(filter(Productos!E:E,Productos!F:F=L357,Productos!H:H=N357),P357),IF(M357=SUM(D:D),""Finalizar"",""-"")))"),"")</f>
        <v/>
      </c>
      <c r="V357" s="4" t="str">
        <f>IFERROR(__xludf.DUMMYFUNCTION("IF(OR($U357="""",COUNTIF($I:$I,IFERROR(unique(filter(Prod_Prop!$H:$H,Prod_Prop!$G:$G=$U357,Prod_Prop!$E:$E=V$1)),""Check""))=0),"""",IFERROR(unique(filter(Prod_Prop!$H:$H,Prod_Prop!$G:$G=$U357,Prod_Prop!$E:$E=V$1)),""""))"),"")</f>
        <v/>
      </c>
      <c r="W357" s="4" t="str">
        <f>IF(V357="","",SUMIFS(Prod_Prop!$J:$J,Prod_Prop!$B:$B,$Q357,Prod_Prop!$H:$H,V357,Prod_Prop!$I:$I,W$1)*IF(V357="Peso",$R357,1))</f>
        <v/>
      </c>
      <c r="X357" s="4" t="str">
        <f>IF(V357="","",SUMIFS(Prod_Prop!$J:$J,Prod_Prop!$B:$B,$Q357,Prod_Prop!$H:$H,V357,Prod_Prop!$I:$I,X$1)*IF(V357="Peso",$R357,1))</f>
        <v/>
      </c>
      <c r="Y357" s="4" t="str">
        <f>IFERROR(__xludf.DUMMYFUNCTION("IF(OR($U357="""",COUNTIF($I:$I,IFERROR(unique(filter(Prod_Prop!$H:$H,Prod_Prop!$G:$G=$U357,Prod_Prop!$E:$E=Y$1)),""Check""))=0),"""",IFERROR(unique(filter(Prod_Prop!$H:$H,Prod_Prop!$G:$G=$U357,Prod_Prop!$E:$E=Y$1)),""""))"),"")</f>
        <v/>
      </c>
      <c r="Z357" s="4" t="str">
        <f>IF(Y357="","",SUMIFS(Prod_Prop!$J:$J,Prod_Prop!$B:$B,$Q357,Prod_Prop!$H:$H,Y357,Prod_Prop!$I:$I,Z$1)*IF(Y357="Peso",$R357,1))</f>
        <v/>
      </c>
      <c r="AA357" s="4" t="str">
        <f>IF(Y357="","",SUMIFS(Prod_Prop!$J:$J,Prod_Prop!$B:$B,$Q357,Prod_Prop!$H:$H,Y357,Prod_Prop!$I:$I,AA$1)*IF(Y357="Peso",$R357,1))</f>
        <v/>
      </c>
      <c r="AB357" s="4" t="str">
        <f>IFERROR(__xludf.DUMMYFUNCTION("IF(OR($U357="""",COUNTIF($I:$I,IFERROR(unique(filter(Prod_Prop!$H:$H,Prod_Prop!$G:$G=$U357,Prod_Prop!$E:$E=AB$1)),""Check""))=0),"""",IFERROR(unique(filter(Prod_Prop!$H:$H,Prod_Prop!$G:$G=$U357,Prod_Prop!$E:$E=AB$1)),""""))"),"")</f>
        <v/>
      </c>
      <c r="AC357" s="4" t="str">
        <f>IF(AB357="","",SUMIFS(Prod_Prop!$J:$J,Prod_Prop!$B:$B,$Q357,Prod_Prop!$H:$H,AB357,Prod_Prop!$I:$I,AC$1)*IF(AB357="Peso",$R357,1))</f>
        <v/>
      </c>
      <c r="AD357" s="4" t="str">
        <f>IF(AB357="","",SUMIFS(Prod_Prop!$J:$J,Prod_Prop!$B:$B,$Q357,Prod_Prop!$H:$H,AB357,Prod_Prop!$I:$I,AD$1)*IF(AB357="Peso",$R357,1))</f>
        <v/>
      </c>
    </row>
    <row r="358">
      <c r="A358" s="4" t="str">
        <f t="array" ref="A358">IF(COUNTIF(A$1:A357,Cotizador!F$2)=maxifs(Familias!E:E,Familias!D:D,Cotizador!F$2),IF(COUNTIF(A$1:A357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8" s="4" t="str">
        <f t="shared" si="1"/>
        <v/>
      </c>
      <c r="C358" s="4" t="str">
        <f t="array" ref="C358">IF(B358="","",IF(A358=XLOOKUP(A$2,Implementos!B:B,Implementos!C:C,"",0,1),B358+maxifs(B$1:B357,A$1:A357,A$2),B358))</f>
        <v/>
      </c>
      <c r="D358" s="4" t="str">
        <f>IF(B358="","", COUNTIFS(Productos!F:F,A358,Productos!H:H,B358)+IF(F358="SI",0,1))</f>
        <v/>
      </c>
      <c r="E358" s="4" t="str">
        <f>IFERROR(__xludf.DUMMYFUNCTION("IF($B358="""","""",INDEX(filter(Familias!F:F,Familias!$D:$D=$A358,Familias!$E:$E=$B358),1))"),"")</f>
        <v/>
      </c>
      <c r="F358" s="4" t="str">
        <f>IFERROR(__xludf.DUMMYFUNCTION("IF($B358="""","""",INDEX(filter(Familias!G:G,Familias!$D:$D=$A358,Familias!$E:$E=$B358),1))"),"")</f>
        <v/>
      </c>
      <c r="G358" s="4" t="str">
        <f t="array" ref="G358">IF(C358=1,XLOOKUP(C358,Cotizador!D:D,Cotizador!E:E,"",0,1),"")</f>
        <v/>
      </c>
      <c r="I358" s="4"/>
      <c r="J358" s="8" t="str">
        <f>IF(I358="","",SUMIF(Cotizador!I$1:V$1,I358,Cotizador!I$2:V$2))</f>
        <v/>
      </c>
      <c r="L358" s="4" t="str">
        <f t="array" ref="L358">IF(COUNTIF(L$1:L357,A$2)=SUMIF(A:A,A$2,D:D),IF(COUNTIF(L$1:L357,XLOOKUP(A$2,Implementos!B:B,Implementos!C:C,"",0,1))=SUMIF(A:A,XLOOKUP(A$2,Implementos!B:B,Implementos!C:C,"",0,1),D:D),"",XLOOKUP(A$2,Implementos!B:B,Implementos!C:C,"",0,1)),A$2)</f>
        <v/>
      </c>
      <c r="M358" s="4" t="str">
        <f t="shared" si="2"/>
        <v/>
      </c>
      <c r="N358" s="4" t="str">
        <f t="shared" si="3"/>
        <v/>
      </c>
      <c r="O358" s="4" t="str">
        <f t="shared" si="4"/>
        <v/>
      </c>
      <c r="P358" s="4" t="str">
        <f t="shared" si="5"/>
        <v/>
      </c>
      <c r="Q358" s="4" t="str">
        <f>IF(U358="","",SUMIF(Productos!E:E,U358,Productos!A:A))</f>
        <v/>
      </c>
      <c r="R358" s="4" t="str">
        <f t="array" ref="R358">IF(L358="","", max(1,SUMIF(I:I,XLOOKUP(U358,Productos!E:E,Productos!G:G,"",0,1),J:J)))</f>
        <v/>
      </c>
      <c r="S358" s="4" t="str">
        <f>IF(Q358="","",IF(SUMIFS(Compat_Vetado!D:D,Compat_Vetado!B:B,SUM(G:G),Compat_Vetado!C:C,Q358)=1,"SI",IF(OR(SUMIF(Cotizador!E:E,Q358,Cotizador!G:G)&gt;0,SUMIFS(Compat_Vetado!D:D,Compat_Vetado!B:B,SUM(G:G),Compat_Vetado!C:C,Q358)=-1),"NO","")))</f>
        <v/>
      </c>
      <c r="T358" s="4" t="str">
        <f t="shared" si="6"/>
        <v/>
      </c>
      <c r="U358" s="4" t="str">
        <f>IFERROR(__xludf.DUMMYFUNCTION("IF(P358="""","""",IFERROR(INDEX(filter(Productos!E:E,Productos!F:F=L358,Productos!H:H=N358),P358),IF(M358=SUM(D:D),""Finalizar"",""-"")))"),"")</f>
        <v/>
      </c>
      <c r="V358" s="4" t="str">
        <f>IFERROR(__xludf.DUMMYFUNCTION("IF(OR($U358="""",COUNTIF($I:$I,IFERROR(unique(filter(Prod_Prop!$H:$H,Prod_Prop!$G:$G=$U358,Prod_Prop!$E:$E=V$1)),""Check""))=0),"""",IFERROR(unique(filter(Prod_Prop!$H:$H,Prod_Prop!$G:$G=$U358,Prod_Prop!$E:$E=V$1)),""""))"),"")</f>
        <v/>
      </c>
      <c r="W358" s="4" t="str">
        <f>IF(V358="","",SUMIFS(Prod_Prop!$J:$J,Prod_Prop!$B:$B,$Q358,Prod_Prop!$H:$H,V358,Prod_Prop!$I:$I,W$1)*IF(V358="Peso",$R358,1))</f>
        <v/>
      </c>
      <c r="X358" s="4" t="str">
        <f>IF(V358="","",SUMIFS(Prod_Prop!$J:$J,Prod_Prop!$B:$B,$Q358,Prod_Prop!$H:$H,V358,Prod_Prop!$I:$I,X$1)*IF(V358="Peso",$R358,1))</f>
        <v/>
      </c>
      <c r="Y358" s="4" t="str">
        <f>IFERROR(__xludf.DUMMYFUNCTION("IF(OR($U358="""",COUNTIF($I:$I,IFERROR(unique(filter(Prod_Prop!$H:$H,Prod_Prop!$G:$G=$U358,Prod_Prop!$E:$E=Y$1)),""Check""))=0),"""",IFERROR(unique(filter(Prod_Prop!$H:$H,Prod_Prop!$G:$G=$U358,Prod_Prop!$E:$E=Y$1)),""""))"),"")</f>
        <v/>
      </c>
      <c r="Z358" s="4" t="str">
        <f>IF(Y358="","",SUMIFS(Prod_Prop!$J:$J,Prod_Prop!$B:$B,$Q358,Prod_Prop!$H:$H,Y358,Prod_Prop!$I:$I,Z$1)*IF(Y358="Peso",$R358,1))</f>
        <v/>
      </c>
      <c r="AA358" s="4" t="str">
        <f>IF(Y358="","",SUMIFS(Prod_Prop!$J:$J,Prod_Prop!$B:$B,$Q358,Prod_Prop!$H:$H,Y358,Prod_Prop!$I:$I,AA$1)*IF(Y358="Peso",$R358,1))</f>
        <v/>
      </c>
      <c r="AB358" s="4" t="str">
        <f>IFERROR(__xludf.DUMMYFUNCTION("IF(OR($U358="""",COUNTIF($I:$I,IFERROR(unique(filter(Prod_Prop!$H:$H,Prod_Prop!$G:$G=$U358,Prod_Prop!$E:$E=AB$1)),""Check""))=0),"""",IFERROR(unique(filter(Prod_Prop!$H:$H,Prod_Prop!$G:$G=$U358,Prod_Prop!$E:$E=AB$1)),""""))"),"")</f>
        <v/>
      </c>
      <c r="AC358" s="4" t="str">
        <f>IF(AB358="","",SUMIFS(Prod_Prop!$J:$J,Prod_Prop!$B:$B,$Q358,Prod_Prop!$H:$H,AB358,Prod_Prop!$I:$I,AC$1)*IF(AB358="Peso",$R358,1))</f>
        <v/>
      </c>
      <c r="AD358" s="4" t="str">
        <f>IF(AB358="","",SUMIFS(Prod_Prop!$J:$J,Prod_Prop!$B:$B,$Q358,Prod_Prop!$H:$H,AB358,Prod_Prop!$I:$I,AD$1)*IF(AB358="Peso",$R358,1))</f>
        <v/>
      </c>
    </row>
    <row r="359">
      <c r="A359" s="4" t="str">
        <f t="array" ref="A359">IF(COUNTIF(A$1:A358,Cotizador!F$2)=maxifs(Familias!E:E,Familias!D:D,Cotizador!F$2),IF(COUNTIF(A$1:A358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59" s="4" t="str">
        <f t="shared" si="1"/>
        <v/>
      </c>
      <c r="C359" s="4" t="str">
        <f t="array" ref="C359">IF(B359="","",IF(A359=XLOOKUP(A$2,Implementos!B:B,Implementos!C:C,"",0,1),B359+maxifs(B$1:B358,A$1:A358,A$2),B359))</f>
        <v/>
      </c>
      <c r="D359" s="4" t="str">
        <f>IF(B359="","", COUNTIFS(Productos!F:F,A359,Productos!H:H,B359)+IF(F359="SI",0,1))</f>
        <v/>
      </c>
      <c r="E359" s="4" t="str">
        <f>IFERROR(__xludf.DUMMYFUNCTION("IF($B359="""","""",INDEX(filter(Familias!F:F,Familias!$D:$D=$A359,Familias!$E:$E=$B359),1))"),"")</f>
        <v/>
      </c>
      <c r="F359" s="4" t="str">
        <f>IFERROR(__xludf.DUMMYFUNCTION("IF($B359="""","""",INDEX(filter(Familias!G:G,Familias!$D:$D=$A359,Familias!$E:$E=$B359),1))"),"")</f>
        <v/>
      </c>
      <c r="G359" s="4" t="str">
        <f t="array" ref="G359">IF(C359=1,XLOOKUP(C359,Cotizador!D:D,Cotizador!E:E,"",0,1),"")</f>
        <v/>
      </c>
      <c r="I359" s="4"/>
      <c r="J359" s="8" t="str">
        <f>IF(I359="","",SUMIF(Cotizador!I$1:V$1,I359,Cotizador!I$2:V$2))</f>
        <v/>
      </c>
      <c r="L359" s="4" t="str">
        <f t="array" ref="L359">IF(COUNTIF(L$1:L358,A$2)=SUMIF(A:A,A$2,D:D),IF(COUNTIF(L$1:L358,XLOOKUP(A$2,Implementos!B:B,Implementos!C:C,"",0,1))=SUMIF(A:A,XLOOKUP(A$2,Implementos!B:B,Implementos!C:C,"",0,1),D:D),"",XLOOKUP(A$2,Implementos!B:B,Implementos!C:C,"",0,1)),A$2)</f>
        <v/>
      </c>
      <c r="M359" s="4" t="str">
        <f t="shared" si="2"/>
        <v/>
      </c>
      <c r="N359" s="4" t="str">
        <f t="shared" si="3"/>
        <v/>
      </c>
      <c r="O359" s="4" t="str">
        <f t="shared" si="4"/>
        <v/>
      </c>
      <c r="P359" s="4" t="str">
        <f t="shared" si="5"/>
        <v/>
      </c>
      <c r="Q359" s="4" t="str">
        <f>IF(U359="","",SUMIF(Productos!E:E,U359,Productos!A:A))</f>
        <v/>
      </c>
      <c r="R359" s="4" t="str">
        <f t="array" ref="R359">IF(L359="","", max(1,SUMIF(I:I,XLOOKUP(U359,Productos!E:E,Productos!G:G,"",0,1),J:J)))</f>
        <v/>
      </c>
      <c r="S359" s="4" t="str">
        <f>IF(Q359="","",IF(SUMIFS(Compat_Vetado!D:D,Compat_Vetado!B:B,SUM(G:G),Compat_Vetado!C:C,Q359)=1,"SI",IF(OR(SUMIF(Cotizador!E:E,Q359,Cotizador!G:G)&gt;0,SUMIFS(Compat_Vetado!D:D,Compat_Vetado!B:B,SUM(G:G),Compat_Vetado!C:C,Q359)=-1),"NO","")))</f>
        <v/>
      </c>
      <c r="T359" s="4" t="str">
        <f t="shared" si="6"/>
        <v/>
      </c>
      <c r="U359" s="4" t="str">
        <f>IFERROR(__xludf.DUMMYFUNCTION("IF(P359="""","""",IFERROR(INDEX(filter(Productos!E:E,Productos!F:F=L359,Productos!H:H=N359),P359),IF(M359=SUM(D:D),""Finalizar"",""-"")))"),"")</f>
        <v/>
      </c>
      <c r="V359" s="4" t="str">
        <f>IFERROR(__xludf.DUMMYFUNCTION("IF(OR($U359="""",COUNTIF($I:$I,IFERROR(unique(filter(Prod_Prop!$H:$H,Prod_Prop!$G:$G=$U359,Prod_Prop!$E:$E=V$1)),""Check""))=0),"""",IFERROR(unique(filter(Prod_Prop!$H:$H,Prod_Prop!$G:$G=$U359,Prod_Prop!$E:$E=V$1)),""""))"),"")</f>
        <v/>
      </c>
      <c r="W359" s="4" t="str">
        <f>IF(V359="","",SUMIFS(Prod_Prop!$J:$J,Prod_Prop!$B:$B,$Q359,Prod_Prop!$H:$H,V359,Prod_Prop!$I:$I,W$1)*IF(V359="Peso",$R359,1))</f>
        <v/>
      </c>
      <c r="X359" s="4" t="str">
        <f>IF(V359="","",SUMIFS(Prod_Prop!$J:$J,Prod_Prop!$B:$B,$Q359,Prod_Prop!$H:$H,V359,Prod_Prop!$I:$I,X$1)*IF(V359="Peso",$R359,1))</f>
        <v/>
      </c>
      <c r="Y359" s="4" t="str">
        <f>IFERROR(__xludf.DUMMYFUNCTION("IF(OR($U359="""",COUNTIF($I:$I,IFERROR(unique(filter(Prod_Prop!$H:$H,Prod_Prop!$G:$G=$U359,Prod_Prop!$E:$E=Y$1)),""Check""))=0),"""",IFERROR(unique(filter(Prod_Prop!$H:$H,Prod_Prop!$G:$G=$U359,Prod_Prop!$E:$E=Y$1)),""""))"),"")</f>
        <v/>
      </c>
      <c r="Z359" s="4" t="str">
        <f>IF(Y359="","",SUMIFS(Prod_Prop!$J:$J,Prod_Prop!$B:$B,$Q359,Prod_Prop!$H:$H,Y359,Prod_Prop!$I:$I,Z$1)*IF(Y359="Peso",$R359,1))</f>
        <v/>
      </c>
      <c r="AA359" s="4" t="str">
        <f>IF(Y359="","",SUMIFS(Prod_Prop!$J:$J,Prod_Prop!$B:$B,$Q359,Prod_Prop!$H:$H,Y359,Prod_Prop!$I:$I,AA$1)*IF(Y359="Peso",$R359,1))</f>
        <v/>
      </c>
      <c r="AB359" s="4" t="str">
        <f>IFERROR(__xludf.DUMMYFUNCTION("IF(OR($U359="""",COUNTIF($I:$I,IFERROR(unique(filter(Prod_Prop!$H:$H,Prod_Prop!$G:$G=$U359,Prod_Prop!$E:$E=AB$1)),""Check""))=0),"""",IFERROR(unique(filter(Prod_Prop!$H:$H,Prod_Prop!$G:$G=$U359,Prod_Prop!$E:$E=AB$1)),""""))"),"")</f>
        <v/>
      </c>
      <c r="AC359" s="4" t="str">
        <f>IF(AB359="","",SUMIFS(Prod_Prop!$J:$J,Prod_Prop!$B:$B,$Q359,Prod_Prop!$H:$H,AB359,Prod_Prop!$I:$I,AC$1)*IF(AB359="Peso",$R359,1))</f>
        <v/>
      </c>
      <c r="AD359" s="4" t="str">
        <f>IF(AB359="","",SUMIFS(Prod_Prop!$J:$J,Prod_Prop!$B:$B,$Q359,Prod_Prop!$H:$H,AB359,Prod_Prop!$I:$I,AD$1)*IF(AB359="Peso",$R359,1))</f>
        <v/>
      </c>
    </row>
    <row r="360">
      <c r="A360" s="4" t="str">
        <f t="array" ref="A360">IF(COUNTIF(A$1:A359,Cotizador!F$2)=maxifs(Familias!E:E,Familias!D:D,Cotizador!F$2),IF(COUNTIF(A$1:A359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0" s="4" t="str">
        <f t="shared" si="1"/>
        <v/>
      </c>
      <c r="C360" s="4" t="str">
        <f t="array" ref="C360">IF(B360="","",IF(A360=XLOOKUP(A$2,Implementos!B:B,Implementos!C:C,"",0,1),B360+maxifs(B$1:B359,A$1:A359,A$2),B360))</f>
        <v/>
      </c>
      <c r="D360" s="4" t="str">
        <f>IF(B360="","", COUNTIFS(Productos!F:F,A360,Productos!H:H,B360)+IF(F360="SI",0,1))</f>
        <v/>
      </c>
      <c r="E360" s="4" t="str">
        <f>IFERROR(__xludf.DUMMYFUNCTION("IF($B360="""","""",INDEX(filter(Familias!F:F,Familias!$D:$D=$A360,Familias!$E:$E=$B360),1))"),"")</f>
        <v/>
      </c>
      <c r="F360" s="4" t="str">
        <f>IFERROR(__xludf.DUMMYFUNCTION("IF($B360="""","""",INDEX(filter(Familias!G:G,Familias!$D:$D=$A360,Familias!$E:$E=$B360),1))"),"")</f>
        <v/>
      </c>
      <c r="G360" s="4" t="str">
        <f t="array" ref="G360">IF(C360=1,XLOOKUP(C360,Cotizador!D:D,Cotizador!E:E,"",0,1),"")</f>
        <v/>
      </c>
      <c r="I360" s="4"/>
      <c r="J360" s="8" t="str">
        <f>IF(I360="","",SUMIF(Cotizador!I$1:V$1,I360,Cotizador!I$2:V$2))</f>
        <v/>
      </c>
      <c r="L360" s="4" t="str">
        <f t="array" ref="L360">IF(COUNTIF(L$1:L359,A$2)=SUMIF(A:A,A$2,D:D),IF(COUNTIF(L$1:L359,XLOOKUP(A$2,Implementos!B:B,Implementos!C:C,"",0,1))=SUMIF(A:A,XLOOKUP(A$2,Implementos!B:B,Implementos!C:C,"",0,1),D:D),"",XLOOKUP(A$2,Implementos!B:B,Implementos!C:C,"",0,1)),A$2)</f>
        <v/>
      </c>
      <c r="M360" s="4" t="str">
        <f t="shared" si="2"/>
        <v/>
      </c>
      <c r="N360" s="4" t="str">
        <f t="shared" si="3"/>
        <v/>
      </c>
      <c r="O360" s="4" t="str">
        <f t="shared" si="4"/>
        <v/>
      </c>
      <c r="P360" s="4" t="str">
        <f t="shared" si="5"/>
        <v/>
      </c>
      <c r="Q360" s="4" t="str">
        <f>IF(U360="","",SUMIF(Productos!E:E,U360,Productos!A:A))</f>
        <v/>
      </c>
      <c r="R360" s="4" t="str">
        <f t="array" ref="R360">IF(L360="","", max(1,SUMIF(I:I,XLOOKUP(U360,Productos!E:E,Productos!G:G,"",0,1),J:J)))</f>
        <v/>
      </c>
      <c r="S360" s="4" t="str">
        <f>IF(Q360="","",IF(SUMIFS(Compat_Vetado!D:D,Compat_Vetado!B:B,SUM(G:G),Compat_Vetado!C:C,Q360)=1,"SI",IF(OR(SUMIF(Cotizador!E:E,Q360,Cotizador!G:G)&gt;0,SUMIFS(Compat_Vetado!D:D,Compat_Vetado!B:B,SUM(G:G),Compat_Vetado!C:C,Q360)=-1),"NO","")))</f>
        <v/>
      </c>
      <c r="T360" s="4" t="str">
        <f t="shared" si="6"/>
        <v/>
      </c>
      <c r="U360" s="4" t="str">
        <f>IFERROR(__xludf.DUMMYFUNCTION("IF(P360="""","""",IFERROR(INDEX(filter(Productos!E:E,Productos!F:F=L360,Productos!H:H=N360),P360),IF(M360=SUM(D:D),""Finalizar"",""-"")))"),"")</f>
        <v/>
      </c>
      <c r="V360" s="4" t="str">
        <f>IFERROR(__xludf.DUMMYFUNCTION("IF(OR($U360="""",COUNTIF($I:$I,IFERROR(unique(filter(Prod_Prop!$H:$H,Prod_Prop!$G:$G=$U360,Prod_Prop!$E:$E=V$1)),""Check""))=0),"""",IFERROR(unique(filter(Prod_Prop!$H:$H,Prod_Prop!$G:$G=$U360,Prod_Prop!$E:$E=V$1)),""""))"),"")</f>
        <v/>
      </c>
      <c r="W360" s="4" t="str">
        <f>IF(V360="","",SUMIFS(Prod_Prop!$J:$J,Prod_Prop!$B:$B,$Q360,Prod_Prop!$H:$H,V360,Prod_Prop!$I:$I,W$1)*IF(V360="Peso",$R360,1))</f>
        <v/>
      </c>
      <c r="X360" s="4" t="str">
        <f>IF(V360="","",SUMIFS(Prod_Prop!$J:$J,Prod_Prop!$B:$B,$Q360,Prod_Prop!$H:$H,V360,Prod_Prop!$I:$I,X$1)*IF(V360="Peso",$R360,1))</f>
        <v/>
      </c>
      <c r="Y360" s="4" t="str">
        <f>IFERROR(__xludf.DUMMYFUNCTION("IF(OR($U360="""",COUNTIF($I:$I,IFERROR(unique(filter(Prod_Prop!$H:$H,Prod_Prop!$G:$G=$U360,Prod_Prop!$E:$E=Y$1)),""Check""))=0),"""",IFERROR(unique(filter(Prod_Prop!$H:$H,Prod_Prop!$G:$G=$U360,Prod_Prop!$E:$E=Y$1)),""""))"),"")</f>
        <v/>
      </c>
      <c r="Z360" s="4" t="str">
        <f>IF(Y360="","",SUMIFS(Prod_Prop!$J:$J,Prod_Prop!$B:$B,$Q360,Prod_Prop!$H:$H,Y360,Prod_Prop!$I:$I,Z$1)*IF(Y360="Peso",$R360,1))</f>
        <v/>
      </c>
      <c r="AA360" s="4" t="str">
        <f>IF(Y360="","",SUMIFS(Prod_Prop!$J:$J,Prod_Prop!$B:$B,$Q360,Prod_Prop!$H:$H,Y360,Prod_Prop!$I:$I,AA$1)*IF(Y360="Peso",$R360,1))</f>
        <v/>
      </c>
      <c r="AB360" s="4" t="str">
        <f>IFERROR(__xludf.DUMMYFUNCTION("IF(OR($U360="""",COUNTIF($I:$I,IFERROR(unique(filter(Prod_Prop!$H:$H,Prod_Prop!$G:$G=$U360,Prod_Prop!$E:$E=AB$1)),""Check""))=0),"""",IFERROR(unique(filter(Prod_Prop!$H:$H,Prod_Prop!$G:$G=$U360,Prod_Prop!$E:$E=AB$1)),""""))"),"")</f>
        <v/>
      </c>
      <c r="AC360" s="4" t="str">
        <f>IF(AB360="","",SUMIFS(Prod_Prop!$J:$J,Prod_Prop!$B:$B,$Q360,Prod_Prop!$H:$H,AB360,Prod_Prop!$I:$I,AC$1)*IF(AB360="Peso",$R360,1))</f>
        <v/>
      </c>
      <c r="AD360" s="4" t="str">
        <f>IF(AB360="","",SUMIFS(Prod_Prop!$J:$J,Prod_Prop!$B:$B,$Q360,Prod_Prop!$H:$H,AB360,Prod_Prop!$I:$I,AD$1)*IF(AB360="Peso",$R360,1))</f>
        <v/>
      </c>
    </row>
    <row r="361">
      <c r="A361" s="4" t="str">
        <f t="array" ref="A361">IF(COUNTIF(A$1:A360,Cotizador!F$2)=maxifs(Familias!E:E,Familias!D:D,Cotizador!F$2),IF(COUNTIF(A$1:A360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1" s="4" t="str">
        <f t="shared" si="1"/>
        <v/>
      </c>
      <c r="C361" s="4" t="str">
        <f t="array" ref="C361">IF(B361="","",IF(A361=XLOOKUP(A$2,Implementos!B:B,Implementos!C:C,"",0,1),B361+maxifs(B$1:B360,A$1:A360,A$2),B361))</f>
        <v/>
      </c>
      <c r="D361" s="4" t="str">
        <f>IF(B361="","", COUNTIFS(Productos!F:F,A361,Productos!H:H,B361)+IF(F361="SI",0,1))</f>
        <v/>
      </c>
      <c r="E361" s="4" t="str">
        <f>IFERROR(__xludf.DUMMYFUNCTION("IF($B361="""","""",INDEX(filter(Familias!F:F,Familias!$D:$D=$A361,Familias!$E:$E=$B361),1))"),"")</f>
        <v/>
      </c>
      <c r="F361" s="4" t="str">
        <f>IFERROR(__xludf.DUMMYFUNCTION("IF($B361="""","""",INDEX(filter(Familias!G:G,Familias!$D:$D=$A361,Familias!$E:$E=$B361),1))"),"")</f>
        <v/>
      </c>
      <c r="G361" s="4" t="str">
        <f t="array" ref="G361">IF(C361=1,XLOOKUP(C361,Cotizador!D:D,Cotizador!E:E,"",0,1),"")</f>
        <v/>
      </c>
      <c r="I361" s="4"/>
      <c r="J361" s="8" t="str">
        <f>IF(I361="","",SUMIF(Cotizador!I$1:V$1,I361,Cotizador!I$2:V$2))</f>
        <v/>
      </c>
      <c r="L361" s="4" t="str">
        <f t="array" ref="L361">IF(COUNTIF(L$1:L360,A$2)=SUMIF(A:A,A$2,D:D),IF(COUNTIF(L$1:L360,XLOOKUP(A$2,Implementos!B:B,Implementos!C:C,"",0,1))=SUMIF(A:A,XLOOKUP(A$2,Implementos!B:B,Implementos!C:C,"",0,1),D:D),"",XLOOKUP(A$2,Implementos!B:B,Implementos!C:C,"",0,1)),A$2)</f>
        <v/>
      </c>
      <c r="M361" s="4" t="str">
        <f t="shared" si="2"/>
        <v/>
      </c>
      <c r="N361" s="4" t="str">
        <f t="shared" si="3"/>
        <v/>
      </c>
      <c r="O361" s="4" t="str">
        <f t="shared" si="4"/>
        <v/>
      </c>
      <c r="P361" s="4" t="str">
        <f t="shared" si="5"/>
        <v/>
      </c>
      <c r="Q361" s="4" t="str">
        <f>IF(U361="","",SUMIF(Productos!E:E,U361,Productos!A:A))</f>
        <v/>
      </c>
      <c r="R361" s="4" t="str">
        <f t="array" ref="R361">IF(L361="","", max(1,SUMIF(I:I,XLOOKUP(U361,Productos!E:E,Productos!G:G,"",0,1),J:J)))</f>
        <v/>
      </c>
      <c r="S361" s="4" t="str">
        <f>IF(Q361="","",IF(SUMIFS(Compat_Vetado!D:D,Compat_Vetado!B:B,SUM(G:G),Compat_Vetado!C:C,Q361)=1,"SI",IF(OR(SUMIF(Cotizador!E:E,Q361,Cotizador!G:G)&gt;0,SUMIFS(Compat_Vetado!D:D,Compat_Vetado!B:B,SUM(G:G),Compat_Vetado!C:C,Q361)=-1),"NO","")))</f>
        <v/>
      </c>
      <c r="T361" s="4" t="str">
        <f t="shared" si="6"/>
        <v/>
      </c>
      <c r="U361" s="4" t="str">
        <f>IFERROR(__xludf.DUMMYFUNCTION("IF(P361="""","""",IFERROR(INDEX(filter(Productos!E:E,Productos!F:F=L361,Productos!H:H=N361),P361),IF(M361=SUM(D:D),""Finalizar"",""-"")))"),"")</f>
        <v/>
      </c>
      <c r="V361" s="4" t="str">
        <f>IFERROR(__xludf.DUMMYFUNCTION("IF(OR($U361="""",COUNTIF($I:$I,IFERROR(unique(filter(Prod_Prop!$H:$H,Prod_Prop!$G:$G=$U361,Prod_Prop!$E:$E=V$1)),""Check""))=0),"""",IFERROR(unique(filter(Prod_Prop!$H:$H,Prod_Prop!$G:$G=$U361,Prod_Prop!$E:$E=V$1)),""""))"),"")</f>
        <v/>
      </c>
      <c r="W361" s="4" t="str">
        <f>IF(V361="","",SUMIFS(Prod_Prop!$J:$J,Prod_Prop!$B:$B,$Q361,Prod_Prop!$H:$H,V361,Prod_Prop!$I:$I,W$1)*IF(V361="Peso",$R361,1))</f>
        <v/>
      </c>
      <c r="X361" s="4" t="str">
        <f>IF(V361="","",SUMIFS(Prod_Prop!$J:$J,Prod_Prop!$B:$B,$Q361,Prod_Prop!$H:$H,V361,Prod_Prop!$I:$I,X$1)*IF(V361="Peso",$R361,1))</f>
        <v/>
      </c>
      <c r="Y361" s="4" t="str">
        <f>IFERROR(__xludf.DUMMYFUNCTION("IF(OR($U361="""",COUNTIF($I:$I,IFERROR(unique(filter(Prod_Prop!$H:$H,Prod_Prop!$G:$G=$U361,Prod_Prop!$E:$E=Y$1)),""Check""))=0),"""",IFERROR(unique(filter(Prod_Prop!$H:$H,Prod_Prop!$G:$G=$U361,Prod_Prop!$E:$E=Y$1)),""""))"),"")</f>
        <v/>
      </c>
      <c r="Z361" s="4" t="str">
        <f>IF(Y361="","",SUMIFS(Prod_Prop!$J:$J,Prod_Prop!$B:$B,$Q361,Prod_Prop!$H:$H,Y361,Prod_Prop!$I:$I,Z$1)*IF(Y361="Peso",$R361,1))</f>
        <v/>
      </c>
      <c r="AA361" s="4" t="str">
        <f>IF(Y361="","",SUMIFS(Prod_Prop!$J:$J,Prod_Prop!$B:$B,$Q361,Prod_Prop!$H:$H,Y361,Prod_Prop!$I:$I,AA$1)*IF(Y361="Peso",$R361,1))</f>
        <v/>
      </c>
      <c r="AB361" s="4" t="str">
        <f>IFERROR(__xludf.DUMMYFUNCTION("IF(OR($U361="""",COUNTIF($I:$I,IFERROR(unique(filter(Prod_Prop!$H:$H,Prod_Prop!$G:$G=$U361,Prod_Prop!$E:$E=AB$1)),""Check""))=0),"""",IFERROR(unique(filter(Prod_Prop!$H:$H,Prod_Prop!$G:$G=$U361,Prod_Prop!$E:$E=AB$1)),""""))"),"")</f>
        <v/>
      </c>
      <c r="AC361" s="4" t="str">
        <f>IF(AB361="","",SUMIFS(Prod_Prop!$J:$J,Prod_Prop!$B:$B,$Q361,Prod_Prop!$H:$H,AB361,Prod_Prop!$I:$I,AC$1)*IF(AB361="Peso",$R361,1))</f>
        <v/>
      </c>
      <c r="AD361" s="4" t="str">
        <f>IF(AB361="","",SUMIFS(Prod_Prop!$J:$J,Prod_Prop!$B:$B,$Q361,Prod_Prop!$H:$H,AB361,Prod_Prop!$I:$I,AD$1)*IF(AB361="Peso",$R361,1))</f>
        <v/>
      </c>
    </row>
    <row r="362">
      <c r="A362" s="4" t="str">
        <f t="array" ref="A362">IF(COUNTIF(A$1:A361,Cotizador!F$2)=maxifs(Familias!E:E,Familias!D:D,Cotizador!F$2),IF(COUNTIF(A$1:A361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2" s="4" t="str">
        <f t="shared" si="1"/>
        <v/>
      </c>
      <c r="C362" s="4" t="str">
        <f t="array" ref="C362">IF(B362="","",IF(A362=XLOOKUP(A$2,Implementos!B:B,Implementos!C:C,"",0,1),B362+maxifs(B$1:B361,A$1:A361,A$2),B362))</f>
        <v/>
      </c>
      <c r="D362" s="4" t="str">
        <f>IF(B362="","", COUNTIFS(Productos!F:F,A362,Productos!H:H,B362)+IF(F362="SI",0,1))</f>
        <v/>
      </c>
      <c r="E362" s="4" t="str">
        <f>IFERROR(__xludf.DUMMYFUNCTION("IF($B362="""","""",INDEX(filter(Familias!F:F,Familias!$D:$D=$A362,Familias!$E:$E=$B362),1))"),"")</f>
        <v/>
      </c>
      <c r="F362" s="4" t="str">
        <f>IFERROR(__xludf.DUMMYFUNCTION("IF($B362="""","""",INDEX(filter(Familias!G:G,Familias!$D:$D=$A362,Familias!$E:$E=$B362),1))"),"")</f>
        <v/>
      </c>
      <c r="G362" s="4" t="str">
        <f t="array" ref="G362">IF(C362=1,XLOOKUP(C362,Cotizador!D:D,Cotizador!E:E,"",0,1),"")</f>
        <v/>
      </c>
      <c r="I362" s="4"/>
      <c r="J362" s="8" t="str">
        <f>IF(I362="","",SUMIF(Cotizador!I$1:V$1,I362,Cotizador!I$2:V$2))</f>
        <v/>
      </c>
      <c r="L362" s="4" t="str">
        <f t="array" ref="L362">IF(COUNTIF(L$1:L361,A$2)=SUMIF(A:A,A$2,D:D),IF(COUNTIF(L$1:L361,XLOOKUP(A$2,Implementos!B:B,Implementos!C:C,"",0,1))=SUMIF(A:A,XLOOKUP(A$2,Implementos!B:B,Implementos!C:C,"",0,1),D:D),"",XLOOKUP(A$2,Implementos!B:B,Implementos!C:C,"",0,1)),A$2)</f>
        <v/>
      </c>
      <c r="M362" s="4" t="str">
        <f t="shared" si="2"/>
        <v/>
      </c>
      <c r="N362" s="4" t="str">
        <f t="shared" si="3"/>
        <v/>
      </c>
      <c r="O362" s="4" t="str">
        <f t="shared" si="4"/>
        <v/>
      </c>
      <c r="P362" s="4" t="str">
        <f t="shared" si="5"/>
        <v/>
      </c>
      <c r="Q362" s="4" t="str">
        <f>IF(U362="","",SUMIF(Productos!E:E,U362,Productos!A:A))</f>
        <v/>
      </c>
      <c r="R362" s="4" t="str">
        <f t="array" ref="R362">IF(L362="","", max(1,SUMIF(I:I,XLOOKUP(U362,Productos!E:E,Productos!G:G,"",0,1),J:J)))</f>
        <v/>
      </c>
      <c r="S362" s="4" t="str">
        <f>IF(Q362="","",IF(SUMIFS(Compat_Vetado!D:D,Compat_Vetado!B:B,SUM(G:G),Compat_Vetado!C:C,Q362)=1,"SI",IF(OR(SUMIF(Cotizador!E:E,Q362,Cotizador!G:G)&gt;0,SUMIFS(Compat_Vetado!D:D,Compat_Vetado!B:B,SUM(G:G),Compat_Vetado!C:C,Q362)=-1),"NO","")))</f>
        <v/>
      </c>
      <c r="T362" s="4" t="str">
        <f t="shared" si="6"/>
        <v/>
      </c>
      <c r="U362" s="4" t="str">
        <f>IFERROR(__xludf.DUMMYFUNCTION("IF(P362="""","""",IFERROR(INDEX(filter(Productos!E:E,Productos!F:F=L362,Productos!H:H=N362),P362),IF(M362=SUM(D:D),""Finalizar"",""-"")))"),"")</f>
        <v/>
      </c>
      <c r="V362" s="4" t="str">
        <f>IFERROR(__xludf.DUMMYFUNCTION("IF(OR($U362="""",COUNTIF($I:$I,IFERROR(unique(filter(Prod_Prop!$H:$H,Prod_Prop!$G:$G=$U362,Prod_Prop!$E:$E=V$1)),""Check""))=0),"""",IFERROR(unique(filter(Prod_Prop!$H:$H,Prod_Prop!$G:$G=$U362,Prod_Prop!$E:$E=V$1)),""""))"),"")</f>
        <v/>
      </c>
      <c r="W362" s="4" t="str">
        <f>IF(V362="","",SUMIFS(Prod_Prop!$J:$J,Prod_Prop!$B:$B,$Q362,Prod_Prop!$H:$H,V362,Prod_Prop!$I:$I,W$1)*IF(V362="Peso",$R362,1))</f>
        <v/>
      </c>
      <c r="X362" s="4" t="str">
        <f>IF(V362="","",SUMIFS(Prod_Prop!$J:$J,Prod_Prop!$B:$B,$Q362,Prod_Prop!$H:$H,V362,Prod_Prop!$I:$I,X$1)*IF(V362="Peso",$R362,1))</f>
        <v/>
      </c>
      <c r="Y362" s="4" t="str">
        <f>IFERROR(__xludf.DUMMYFUNCTION("IF(OR($U362="""",COUNTIF($I:$I,IFERROR(unique(filter(Prod_Prop!$H:$H,Prod_Prop!$G:$G=$U362,Prod_Prop!$E:$E=Y$1)),""Check""))=0),"""",IFERROR(unique(filter(Prod_Prop!$H:$H,Prod_Prop!$G:$G=$U362,Prod_Prop!$E:$E=Y$1)),""""))"),"")</f>
        <v/>
      </c>
      <c r="Z362" s="4" t="str">
        <f>IF(Y362="","",SUMIFS(Prod_Prop!$J:$J,Prod_Prop!$B:$B,$Q362,Prod_Prop!$H:$H,Y362,Prod_Prop!$I:$I,Z$1)*IF(Y362="Peso",$R362,1))</f>
        <v/>
      </c>
      <c r="AA362" s="4" t="str">
        <f>IF(Y362="","",SUMIFS(Prod_Prop!$J:$J,Prod_Prop!$B:$B,$Q362,Prod_Prop!$H:$H,Y362,Prod_Prop!$I:$I,AA$1)*IF(Y362="Peso",$R362,1))</f>
        <v/>
      </c>
      <c r="AB362" s="4" t="str">
        <f>IFERROR(__xludf.DUMMYFUNCTION("IF(OR($U362="""",COUNTIF($I:$I,IFERROR(unique(filter(Prod_Prop!$H:$H,Prod_Prop!$G:$G=$U362,Prod_Prop!$E:$E=AB$1)),""Check""))=0),"""",IFERROR(unique(filter(Prod_Prop!$H:$H,Prod_Prop!$G:$G=$U362,Prod_Prop!$E:$E=AB$1)),""""))"),"")</f>
        <v/>
      </c>
      <c r="AC362" s="4" t="str">
        <f>IF(AB362="","",SUMIFS(Prod_Prop!$J:$J,Prod_Prop!$B:$B,$Q362,Prod_Prop!$H:$H,AB362,Prod_Prop!$I:$I,AC$1)*IF(AB362="Peso",$R362,1))</f>
        <v/>
      </c>
      <c r="AD362" s="4" t="str">
        <f>IF(AB362="","",SUMIFS(Prod_Prop!$J:$J,Prod_Prop!$B:$B,$Q362,Prod_Prop!$H:$H,AB362,Prod_Prop!$I:$I,AD$1)*IF(AB362="Peso",$R362,1))</f>
        <v/>
      </c>
    </row>
    <row r="363">
      <c r="A363" s="4" t="str">
        <f t="array" ref="A363">IF(COUNTIF(A$1:A362,Cotizador!F$2)=maxifs(Familias!E:E,Familias!D:D,Cotizador!F$2),IF(COUNTIF(A$1:A362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3" s="4" t="str">
        <f t="shared" si="1"/>
        <v/>
      </c>
      <c r="C363" s="4" t="str">
        <f t="array" ref="C363">IF(B363="","",IF(A363=XLOOKUP(A$2,Implementos!B:B,Implementos!C:C,"",0,1),B363+maxifs(B$1:B362,A$1:A362,A$2),B363))</f>
        <v/>
      </c>
      <c r="D363" s="4" t="str">
        <f>IF(B363="","", COUNTIFS(Productos!F:F,A363,Productos!H:H,B363)+IF(F363="SI",0,1))</f>
        <v/>
      </c>
      <c r="E363" s="4" t="str">
        <f>IFERROR(__xludf.DUMMYFUNCTION("IF($B363="""","""",INDEX(filter(Familias!F:F,Familias!$D:$D=$A363,Familias!$E:$E=$B363),1))"),"")</f>
        <v/>
      </c>
      <c r="F363" s="4" t="str">
        <f>IFERROR(__xludf.DUMMYFUNCTION("IF($B363="""","""",INDEX(filter(Familias!G:G,Familias!$D:$D=$A363,Familias!$E:$E=$B363),1))"),"")</f>
        <v/>
      </c>
      <c r="G363" s="4" t="str">
        <f t="array" ref="G363">IF(C363=1,XLOOKUP(C363,Cotizador!D:D,Cotizador!E:E,"",0,1),"")</f>
        <v/>
      </c>
      <c r="I363" s="4"/>
      <c r="J363" s="8" t="str">
        <f>IF(I363="","",SUMIF(Cotizador!I$1:V$1,I363,Cotizador!I$2:V$2))</f>
        <v/>
      </c>
      <c r="L363" s="4" t="str">
        <f t="array" ref="L363">IF(COUNTIF(L$1:L362,A$2)=SUMIF(A:A,A$2,D:D),IF(COUNTIF(L$1:L362,XLOOKUP(A$2,Implementos!B:B,Implementos!C:C,"",0,1))=SUMIF(A:A,XLOOKUP(A$2,Implementos!B:B,Implementos!C:C,"",0,1),D:D),"",XLOOKUP(A$2,Implementos!B:B,Implementos!C:C,"",0,1)),A$2)</f>
        <v/>
      </c>
      <c r="M363" s="4" t="str">
        <f t="shared" si="2"/>
        <v/>
      </c>
      <c r="N363" s="4" t="str">
        <f t="shared" si="3"/>
        <v/>
      </c>
      <c r="O363" s="4" t="str">
        <f t="shared" si="4"/>
        <v/>
      </c>
      <c r="P363" s="4" t="str">
        <f t="shared" si="5"/>
        <v/>
      </c>
      <c r="Q363" s="4" t="str">
        <f>IF(U363="","",SUMIF(Productos!E:E,U363,Productos!A:A))</f>
        <v/>
      </c>
      <c r="R363" s="4" t="str">
        <f t="array" ref="R363">IF(L363="","", max(1,SUMIF(I:I,XLOOKUP(U363,Productos!E:E,Productos!G:G,"",0,1),J:J)))</f>
        <v/>
      </c>
      <c r="S363" s="4" t="str">
        <f>IF(Q363="","",IF(SUMIFS(Compat_Vetado!D:D,Compat_Vetado!B:B,SUM(G:G),Compat_Vetado!C:C,Q363)=1,"SI",IF(OR(SUMIF(Cotizador!E:E,Q363,Cotizador!G:G)&gt;0,SUMIFS(Compat_Vetado!D:D,Compat_Vetado!B:B,SUM(G:G),Compat_Vetado!C:C,Q363)=-1),"NO","")))</f>
        <v/>
      </c>
      <c r="T363" s="4" t="str">
        <f t="shared" si="6"/>
        <v/>
      </c>
      <c r="U363" s="4" t="str">
        <f>IFERROR(__xludf.DUMMYFUNCTION("IF(P363="""","""",IFERROR(INDEX(filter(Productos!E:E,Productos!F:F=L363,Productos!H:H=N363),P363),IF(M363=SUM(D:D),""Finalizar"",""-"")))"),"")</f>
        <v/>
      </c>
      <c r="V363" s="4" t="str">
        <f>IFERROR(__xludf.DUMMYFUNCTION("IF(OR($U363="""",COUNTIF($I:$I,IFERROR(unique(filter(Prod_Prop!$H:$H,Prod_Prop!$G:$G=$U363,Prod_Prop!$E:$E=V$1)),""Check""))=0),"""",IFERROR(unique(filter(Prod_Prop!$H:$H,Prod_Prop!$G:$G=$U363,Prod_Prop!$E:$E=V$1)),""""))"),"")</f>
        <v/>
      </c>
      <c r="W363" s="4" t="str">
        <f>IF(V363="","",SUMIFS(Prod_Prop!$J:$J,Prod_Prop!$B:$B,$Q363,Prod_Prop!$H:$H,V363,Prod_Prop!$I:$I,W$1)*IF(V363="Peso",$R363,1))</f>
        <v/>
      </c>
      <c r="X363" s="4" t="str">
        <f>IF(V363="","",SUMIFS(Prod_Prop!$J:$J,Prod_Prop!$B:$B,$Q363,Prod_Prop!$H:$H,V363,Prod_Prop!$I:$I,X$1)*IF(V363="Peso",$R363,1))</f>
        <v/>
      </c>
      <c r="Y363" s="4" t="str">
        <f>IFERROR(__xludf.DUMMYFUNCTION("IF(OR($U363="""",COUNTIF($I:$I,IFERROR(unique(filter(Prod_Prop!$H:$H,Prod_Prop!$G:$G=$U363,Prod_Prop!$E:$E=Y$1)),""Check""))=0),"""",IFERROR(unique(filter(Prod_Prop!$H:$H,Prod_Prop!$G:$G=$U363,Prod_Prop!$E:$E=Y$1)),""""))"),"")</f>
        <v/>
      </c>
      <c r="Z363" s="4" t="str">
        <f>IF(Y363="","",SUMIFS(Prod_Prop!$J:$J,Prod_Prop!$B:$B,$Q363,Prod_Prop!$H:$H,Y363,Prod_Prop!$I:$I,Z$1)*IF(Y363="Peso",$R363,1))</f>
        <v/>
      </c>
      <c r="AA363" s="4" t="str">
        <f>IF(Y363="","",SUMIFS(Prod_Prop!$J:$J,Prod_Prop!$B:$B,$Q363,Prod_Prop!$H:$H,Y363,Prod_Prop!$I:$I,AA$1)*IF(Y363="Peso",$R363,1))</f>
        <v/>
      </c>
      <c r="AB363" s="4" t="str">
        <f>IFERROR(__xludf.DUMMYFUNCTION("IF(OR($U363="""",COUNTIF($I:$I,IFERROR(unique(filter(Prod_Prop!$H:$H,Prod_Prop!$G:$G=$U363,Prod_Prop!$E:$E=AB$1)),""Check""))=0),"""",IFERROR(unique(filter(Prod_Prop!$H:$H,Prod_Prop!$G:$G=$U363,Prod_Prop!$E:$E=AB$1)),""""))"),"")</f>
        <v/>
      </c>
      <c r="AC363" s="4" t="str">
        <f>IF(AB363="","",SUMIFS(Prod_Prop!$J:$J,Prod_Prop!$B:$B,$Q363,Prod_Prop!$H:$H,AB363,Prod_Prop!$I:$I,AC$1)*IF(AB363="Peso",$R363,1))</f>
        <v/>
      </c>
      <c r="AD363" s="4" t="str">
        <f>IF(AB363="","",SUMIFS(Prod_Prop!$J:$J,Prod_Prop!$B:$B,$Q363,Prod_Prop!$H:$H,AB363,Prod_Prop!$I:$I,AD$1)*IF(AB363="Peso",$R363,1))</f>
        <v/>
      </c>
    </row>
    <row r="364">
      <c r="A364" s="4" t="str">
        <f t="array" ref="A364">IF(COUNTIF(A$1:A363,Cotizador!F$2)=maxifs(Familias!E:E,Familias!D:D,Cotizador!F$2),IF(COUNTIF(A$1:A363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4" s="4" t="str">
        <f t="shared" si="1"/>
        <v/>
      </c>
      <c r="C364" s="4" t="str">
        <f t="array" ref="C364">IF(B364="","",IF(A364=XLOOKUP(A$2,Implementos!B:B,Implementos!C:C,"",0,1),B364+maxifs(B$1:B363,A$1:A363,A$2),B364))</f>
        <v/>
      </c>
      <c r="D364" s="4" t="str">
        <f>IF(B364="","", COUNTIFS(Productos!F:F,A364,Productos!H:H,B364)+IF(F364="SI",0,1))</f>
        <v/>
      </c>
      <c r="E364" s="4" t="str">
        <f>IFERROR(__xludf.DUMMYFUNCTION("IF($B364="""","""",INDEX(filter(Familias!F:F,Familias!$D:$D=$A364,Familias!$E:$E=$B364),1))"),"")</f>
        <v/>
      </c>
      <c r="F364" s="4" t="str">
        <f>IFERROR(__xludf.DUMMYFUNCTION("IF($B364="""","""",INDEX(filter(Familias!G:G,Familias!$D:$D=$A364,Familias!$E:$E=$B364),1))"),"")</f>
        <v/>
      </c>
      <c r="G364" s="4" t="str">
        <f t="array" ref="G364">IF(C364=1,XLOOKUP(C364,Cotizador!D:D,Cotizador!E:E,"",0,1),"")</f>
        <v/>
      </c>
      <c r="I364" s="4"/>
      <c r="J364" s="8" t="str">
        <f>IF(I364="","",SUMIF(Cotizador!I$1:V$1,I364,Cotizador!I$2:V$2))</f>
        <v/>
      </c>
      <c r="L364" s="4" t="str">
        <f t="array" ref="L364">IF(COUNTIF(L$1:L363,A$2)=SUMIF(A:A,A$2,D:D),IF(COUNTIF(L$1:L363,XLOOKUP(A$2,Implementos!B:B,Implementos!C:C,"",0,1))=SUMIF(A:A,XLOOKUP(A$2,Implementos!B:B,Implementos!C:C,"",0,1),D:D),"",XLOOKUP(A$2,Implementos!B:B,Implementos!C:C,"",0,1)),A$2)</f>
        <v/>
      </c>
      <c r="M364" s="4" t="str">
        <f t="shared" si="2"/>
        <v/>
      </c>
      <c r="N364" s="4" t="str">
        <f t="shared" si="3"/>
        <v/>
      </c>
      <c r="O364" s="4" t="str">
        <f t="shared" si="4"/>
        <v/>
      </c>
      <c r="P364" s="4" t="str">
        <f t="shared" si="5"/>
        <v/>
      </c>
      <c r="Q364" s="4" t="str">
        <f>IF(U364="","",SUMIF(Productos!E:E,U364,Productos!A:A))</f>
        <v/>
      </c>
      <c r="R364" s="4" t="str">
        <f t="array" ref="R364">IF(L364="","", max(1,SUMIF(I:I,XLOOKUP(U364,Productos!E:E,Productos!G:G,"",0,1),J:J)))</f>
        <v/>
      </c>
      <c r="S364" s="4" t="str">
        <f>IF(Q364="","",IF(SUMIFS(Compat_Vetado!D:D,Compat_Vetado!B:B,SUM(G:G),Compat_Vetado!C:C,Q364)=1,"SI",IF(OR(SUMIF(Cotizador!E:E,Q364,Cotizador!G:G)&gt;0,SUMIFS(Compat_Vetado!D:D,Compat_Vetado!B:B,SUM(G:G),Compat_Vetado!C:C,Q364)=-1),"NO","")))</f>
        <v/>
      </c>
      <c r="T364" s="4" t="str">
        <f t="shared" si="6"/>
        <v/>
      </c>
      <c r="U364" s="4" t="str">
        <f>IFERROR(__xludf.DUMMYFUNCTION("IF(P364="""","""",IFERROR(INDEX(filter(Productos!E:E,Productos!F:F=L364,Productos!H:H=N364),P364),IF(M364=SUM(D:D),""Finalizar"",""-"")))"),"")</f>
        <v/>
      </c>
      <c r="V364" s="4" t="str">
        <f>IFERROR(__xludf.DUMMYFUNCTION("IF(OR($U364="""",COUNTIF($I:$I,IFERROR(unique(filter(Prod_Prop!$H:$H,Prod_Prop!$G:$G=$U364,Prod_Prop!$E:$E=V$1)),""Check""))=0),"""",IFERROR(unique(filter(Prod_Prop!$H:$H,Prod_Prop!$G:$G=$U364,Prod_Prop!$E:$E=V$1)),""""))"),"")</f>
        <v/>
      </c>
      <c r="W364" s="4" t="str">
        <f>IF(V364="","",SUMIFS(Prod_Prop!$J:$J,Prod_Prop!$B:$B,$Q364,Prod_Prop!$H:$H,V364,Prod_Prop!$I:$I,W$1)*IF(V364="Peso",$R364,1))</f>
        <v/>
      </c>
      <c r="X364" s="4" t="str">
        <f>IF(V364="","",SUMIFS(Prod_Prop!$J:$J,Prod_Prop!$B:$B,$Q364,Prod_Prop!$H:$H,V364,Prod_Prop!$I:$I,X$1)*IF(V364="Peso",$R364,1))</f>
        <v/>
      </c>
      <c r="Y364" s="4" t="str">
        <f>IFERROR(__xludf.DUMMYFUNCTION("IF(OR($U364="""",COUNTIF($I:$I,IFERROR(unique(filter(Prod_Prop!$H:$H,Prod_Prop!$G:$G=$U364,Prod_Prop!$E:$E=Y$1)),""Check""))=0),"""",IFERROR(unique(filter(Prod_Prop!$H:$H,Prod_Prop!$G:$G=$U364,Prod_Prop!$E:$E=Y$1)),""""))"),"")</f>
        <v/>
      </c>
      <c r="Z364" s="4" t="str">
        <f>IF(Y364="","",SUMIFS(Prod_Prop!$J:$J,Prod_Prop!$B:$B,$Q364,Prod_Prop!$H:$H,Y364,Prod_Prop!$I:$I,Z$1)*IF(Y364="Peso",$R364,1))</f>
        <v/>
      </c>
      <c r="AA364" s="4" t="str">
        <f>IF(Y364="","",SUMIFS(Prod_Prop!$J:$J,Prod_Prop!$B:$B,$Q364,Prod_Prop!$H:$H,Y364,Prod_Prop!$I:$I,AA$1)*IF(Y364="Peso",$R364,1))</f>
        <v/>
      </c>
      <c r="AB364" s="4" t="str">
        <f>IFERROR(__xludf.DUMMYFUNCTION("IF(OR($U364="""",COUNTIF($I:$I,IFERROR(unique(filter(Prod_Prop!$H:$H,Prod_Prop!$G:$G=$U364,Prod_Prop!$E:$E=AB$1)),""Check""))=0),"""",IFERROR(unique(filter(Prod_Prop!$H:$H,Prod_Prop!$G:$G=$U364,Prod_Prop!$E:$E=AB$1)),""""))"),"")</f>
        <v/>
      </c>
      <c r="AC364" s="4" t="str">
        <f>IF(AB364="","",SUMIFS(Prod_Prop!$J:$J,Prod_Prop!$B:$B,$Q364,Prod_Prop!$H:$H,AB364,Prod_Prop!$I:$I,AC$1)*IF(AB364="Peso",$R364,1))</f>
        <v/>
      </c>
      <c r="AD364" s="4" t="str">
        <f>IF(AB364="","",SUMIFS(Prod_Prop!$J:$J,Prod_Prop!$B:$B,$Q364,Prod_Prop!$H:$H,AB364,Prod_Prop!$I:$I,AD$1)*IF(AB364="Peso",$R364,1))</f>
        <v/>
      </c>
    </row>
    <row r="365">
      <c r="A365" s="4" t="str">
        <f t="array" ref="A365">IF(COUNTIF(A$1:A364,Cotizador!F$2)=maxifs(Familias!E:E,Familias!D:D,Cotizador!F$2),IF(COUNTIF(A$1:A364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5" s="4" t="str">
        <f t="shared" si="1"/>
        <v/>
      </c>
      <c r="C365" s="4" t="str">
        <f t="array" ref="C365">IF(B365="","",IF(A365=XLOOKUP(A$2,Implementos!B:B,Implementos!C:C,"",0,1),B365+maxifs(B$1:B364,A$1:A364,A$2),B365))</f>
        <v/>
      </c>
      <c r="D365" s="4" t="str">
        <f>IF(B365="","", COUNTIFS(Productos!F:F,A365,Productos!H:H,B365)+IF(F365="SI",0,1))</f>
        <v/>
      </c>
      <c r="E365" s="4" t="str">
        <f>IFERROR(__xludf.DUMMYFUNCTION("IF($B365="""","""",INDEX(filter(Familias!F:F,Familias!$D:$D=$A365,Familias!$E:$E=$B365),1))"),"")</f>
        <v/>
      </c>
      <c r="F365" s="4" t="str">
        <f>IFERROR(__xludf.DUMMYFUNCTION("IF($B365="""","""",INDEX(filter(Familias!G:G,Familias!$D:$D=$A365,Familias!$E:$E=$B365),1))"),"")</f>
        <v/>
      </c>
      <c r="G365" s="4" t="str">
        <f t="array" ref="G365">IF(C365=1,XLOOKUP(C365,Cotizador!D:D,Cotizador!E:E,"",0,1),"")</f>
        <v/>
      </c>
      <c r="I365" s="4"/>
      <c r="J365" s="8" t="str">
        <f>IF(I365="","",SUMIF(Cotizador!I$1:V$1,I365,Cotizador!I$2:V$2))</f>
        <v/>
      </c>
      <c r="L365" s="4" t="str">
        <f t="array" ref="L365">IF(COUNTIF(L$1:L364,A$2)=SUMIF(A:A,A$2,D:D),IF(COUNTIF(L$1:L364,XLOOKUP(A$2,Implementos!B:B,Implementos!C:C,"",0,1))=SUMIF(A:A,XLOOKUP(A$2,Implementos!B:B,Implementos!C:C,"",0,1),D:D),"",XLOOKUP(A$2,Implementos!B:B,Implementos!C:C,"",0,1)),A$2)</f>
        <v/>
      </c>
      <c r="M365" s="4" t="str">
        <f t="shared" si="2"/>
        <v/>
      </c>
      <c r="N365" s="4" t="str">
        <f t="shared" si="3"/>
        <v/>
      </c>
      <c r="O365" s="4" t="str">
        <f t="shared" si="4"/>
        <v/>
      </c>
      <c r="P365" s="4" t="str">
        <f t="shared" si="5"/>
        <v/>
      </c>
      <c r="Q365" s="4" t="str">
        <f>IF(U365="","",SUMIF(Productos!E:E,U365,Productos!A:A))</f>
        <v/>
      </c>
      <c r="R365" s="4" t="str">
        <f t="array" ref="R365">IF(L365="","", max(1,SUMIF(I:I,XLOOKUP(U365,Productos!E:E,Productos!G:G,"",0,1),J:J)))</f>
        <v/>
      </c>
      <c r="S365" s="4" t="str">
        <f>IF(Q365="","",IF(SUMIFS(Compat_Vetado!D:D,Compat_Vetado!B:B,SUM(G:G),Compat_Vetado!C:C,Q365)=1,"SI",IF(OR(SUMIF(Cotizador!E:E,Q365,Cotizador!G:G)&gt;0,SUMIFS(Compat_Vetado!D:D,Compat_Vetado!B:B,SUM(G:G),Compat_Vetado!C:C,Q365)=-1),"NO","")))</f>
        <v/>
      </c>
      <c r="T365" s="4" t="str">
        <f t="shared" si="6"/>
        <v/>
      </c>
      <c r="U365" s="4" t="str">
        <f>IFERROR(__xludf.DUMMYFUNCTION("IF(P365="""","""",IFERROR(INDEX(filter(Productos!E:E,Productos!F:F=L365,Productos!H:H=N365),P365),IF(M365=SUM(D:D),""Finalizar"",""-"")))"),"")</f>
        <v/>
      </c>
      <c r="V365" s="4" t="str">
        <f>IFERROR(__xludf.DUMMYFUNCTION("IF(OR($U365="""",COUNTIF($I:$I,IFERROR(unique(filter(Prod_Prop!$H:$H,Prod_Prop!$G:$G=$U365,Prod_Prop!$E:$E=V$1)),""Check""))=0),"""",IFERROR(unique(filter(Prod_Prop!$H:$H,Prod_Prop!$G:$G=$U365,Prod_Prop!$E:$E=V$1)),""""))"),"")</f>
        <v/>
      </c>
      <c r="W365" s="4" t="str">
        <f>IF(V365="","",SUMIFS(Prod_Prop!$J:$J,Prod_Prop!$B:$B,$Q365,Prod_Prop!$H:$H,V365,Prod_Prop!$I:$I,W$1)*IF(V365="Peso",$R365,1))</f>
        <v/>
      </c>
      <c r="X365" s="4" t="str">
        <f>IF(V365="","",SUMIFS(Prod_Prop!$J:$J,Prod_Prop!$B:$B,$Q365,Prod_Prop!$H:$H,V365,Prod_Prop!$I:$I,X$1)*IF(V365="Peso",$R365,1))</f>
        <v/>
      </c>
      <c r="Y365" s="4" t="str">
        <f>IFERROR(__xludf.DUMMYFUNCTION("IF(OR($U365="""",COUNTIF($I:$I,IFERROR(unique(filter(Prod_Prop!$H:$H,Prod_Prop!$G:$G=$U365,Prod_Prop!$E:$E=Y$1)),""Check""))=0),"""",IFERROR(unique(filter(Prod_Prop!$H:$H,Prod_Prop!$G:$G=$U365,Prod_Prop!$E:$E=Y$1)),""""))"),"")</f>
        <v/>
      </c>
      <c r="Z365" s="4" t="str">
        <f>IF(Y365="","",SUMIFS(Prod_Prop!$J:$J,Prod_Prop!$B:$B,$Q365,Prod_Prop!$H:$H,Y365,Prod_Prop!$I:$I,Z$1)*IF(Y365="Peso",$R365,1))</f>
        <v/>
      </c>
      <c r="AA365" s="4" t="str">
        <f>IF(Y365="","",SUMIFS(Prod_Prop!$J:$J,Prod_Prop!$B:$B,$Q365,Prod_Prop!$H:$H,Y365,Prod_Prop!$I:$I,AA$1)*IF(Y365="Peso",$R365,1))</f>
        <v/>
      </c>
      <c r="AB365" s="4" t="str">
        <f>IFERROR(__xludf.DUMMYFUNCTION("IF(OR($U365="""",COUNTIF($I:$I,IFERROR(unique(filter(Prod_Prop!$H:$H,Prod_Prop!$G:$G=$U365,Prod_Prop!$E:$E=AB$1)),""Check""))=0),"""",IFERROR(unique(filter(Prod_Prop!$H:$H,Prod_Prop!$G:$G=$U365,Prod_Prop!$E:$E=AB$1)),""""))"),"")</f>
        <v/>
      </c>
      <c r="AC365" s="4" t="str">
        <f>IF(AB365="","",SUMIFS(Prod_Prop!$J:$J,Prod_Prop!$B:$B,$Q365,Prod_Prop!$H:$H,AB365,Prod_Prop!$I:$I,AC$1)*IF(AB365="Peso",$R365,1))</f>
        <v/>
      </c>
      <c r="AD365" s="4" t="str">
        <f>IF(AB365="","",SUMIFS(Prod_Prop!$J:$J,Prod_Prop!$B:$B,$Q365,Prod_Prop!$H:$H,AB365,Prod_Prop!$I:$I,AD$1)*IF(AB365="Peso",$R365,1))</f>
        <v/>
      </c>
    </row>
    <row r="366">
      <c r="A366" s="4" t="str">
        <f t="array" ref="A366">IF(COUNTIF(A$1:A365,Cotizador!F$2)=maxifs(Familias!E:E,Familias!D:D,Cotizador!F$2),IF(COUNTIF(A$1:A365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6" s="4" t="str">
        <f t="shared" si="1"/>
        <v/>
      </c>
      <c r="C366" s="4" t="str">
        <f t="array" ref="C366">IF(B366="","",IF(A366=XLOOKUP(A$2,Implementos!B:B,Implementos!C:C,"",0,1),B366+maxifs(B$1:B365,A$1:A365,A$2),B366))</f>
        <v/>
      </c>
      <c r="D366" s="4" t="str">
        <f>IF(B366="","", COUNTIFS(Productos!F:F,A366,Productos!H:H,B366)+IF(F366="SI",0,1))</f>
        <v/>
      </c>
      <c r="E366" s="4" t="str">
        <f>IFERROR(__xludf.DUMMYFUNCTION("IF($B366="""","""",INDEX(filter(Familias!F:F,Familias!$D:$D=$A366,Familias!$E:$E=$B366),1))"),"")</f>
        <v/>
      </c>
      <c r="F366" s="4" t="str">
        <f>IFERROR(__xludf.DUMMYFUNCTION("IF($B366="""","""",INDEX(filter(Familias!G:G,Familias!$D:$D=$A366,Familias!$E:$E=$B366),1))"),"")</f>
        <v/>
      </c>
      <c r="G366" s="4" t="str">
        <f t="array" ref="G366">IF(C366=1,XLOOKUP(C366,Cotizador!D:D,Cotizador!E:E,"",0,1),"")</f>
        <v/>
      </c>
      <c r="I366" s="4"/>
      <c r="J366" s="8" t="str">
        <f>IF(I366="","",SUMIF(Cotizador!I$1:V$1,I366,Cotizador!I$2:V$2))</f>
        <v/>
      </c>
      <c r="L366" s="4" t="str">
        <f t="array" ref="L366">IF(COUNTIF(L$1:L365,A$2)=SUMIF(A:A,A$2,D:D),IF(COUNTIF(L$1:L365,XLOOKUP(A$2,Implementos!B:B,Implementos!C:C,"",0,1))=SUMIF(A:A,XLOOKUP(A$2,Implementos!B:B,Implementos!C:C,"",0,1),D:D),"",XLOOKUP(A$2,Implementos!B:B,Implementos!C:C,"",0,1)),A$2)</f>
        <v/>
      </c>
      <c r="M366" s="4" t="str">
        <f t="shared" si="2"/>
        <v/>
      </c>
      <c r="N366" s="4" t="str">
        <f t="shared" si="3"/>
        <v/>
      </c>
      <c r="O366" s="4" t="str">
        <f t="shared" si="4"/>
        <v/>
      </c>
      <c r="P366" s="4" t="str">
        <f t="shared" si="5"/>
        <v/>
      </c>
      <c r="Q366" s="4" t="str">
        <f>IF(U366="","",SUMIF(Productos!E:E,U366,Productos!A:A))</f>
        <v/>
      </c>
      <c r="R366" s="4" t="str">
        <f t="array" ref="R366">IF(L366="","", max(1,SUMIF(I:I,XLOOKUP(U366,Productos!E:E,Productos!G:G,"",0,1),J:J)))</f>
        <v/>
      </c>
      <c r="S366" s="4" t="str">
        <f>IF(Q366="","",IF(SUMIFS(Compat_Vetado!D:D,Compat_Vetado!B:B,SUM(G:G),Compat_Vetado!C:C,Q366)=1,"SI",IF(OR(SUMIF(Cotizador!E:E,Q366,Cotizador!G:G)&gt;0,SUMIFS(Compat_Vetado!D:D,Compat_Vetado!B:B,SUM(G:G),Compat_Vetado!C:C,Q366)=-1),"NO","")))</f>
        <v/>
      </c>
      <c r="T366" s="4" t="str">
        <f t="shared" si="6"/>
        <v/>
      </c>
      <c r="U366" s="4" t="str">
        <f>IFERROR(__xludf.DUMMYFUNCTION("IF(P366="""","""",IFERROR(INDEX(filter(Productos!E:E,Productos!F:F=L366,Productos!H:H=N366),P366),IF(M366=SUM(D:D),""Finalizar"",""-"")))"),"")</f>
        <v/>
      </c>
      <c r="V366" s="4" t="str">
        <f>IFERROR(__xludf.DUMMYFUNCTION("IF(OR($U366="""",COUNTIF($I:$I,IFERROR(unique(filter(Prod_Prop!$H:$H,Prod_Prop!$G:$G=$U366,Prod_Prop!$E:$E=V$1)),""Check""))=0),"""",IFERROR(unique(filter(Prod_Prop!$H:$H,Prod_Prop!$G:$G=$U366,Prod_Prop!$E:$E=V$1)),""""))"),"")</f>
        <v/>
      </c>
      <c r="W366" s="4" t="str">
        <f>IF(V366="","",SUMIFS(Prod_Prop!$J:$J,Prod_Prop!$B:$B,$Q366,Prod_Prop!$H:$H,V366,Prod_Prop!$I:$I,W$1)*IF(V366="Peso",$R366,1))</f>
        <v/>
      </c>
      <c r="X366" s="4" t="str">
        <f>IF(V366="","",SUMIFS(Prod_Prop!$J:$J,Prod_Prop!$B:$B,$Q366,Prod_Prop!$H:$H,V366,Prod_Prop!$I:$I,X$1)*IF(V366="Peso",$R366,1))</f>
        <v/>
      </c>
      <c r="Y366" s="4" t="str">
        <f>IFERROR(__xludf.DUMMYFUNCTION("IF(OR($U366="""",COUNTIF($I:$I,IFERROR(unique(filter(Prod_Prop!$H:$H,Prod_Prop!$G:$G=$U366,Prod_Prop!$E:$E=Y$1)),""Check""))=0),"""",IFERROR(unique(filter(Prod_Prop!$H:$H,Prod_Prop!$G:$G=$U366,Prod_Prop!$E:$E=Y$1)),""""))"),"")</f>
        <v/>
      </c>
      <c r="Z366" s="4" t="str">
        <f>IF(Y366="","",SUMIFS(Prod_Prop!$J:$J,Prod_Prop!$B:$B,$Q366,Prod_Prop!$H:$H,Y366,Prod_Prop!$I:$I,Z$1)*IF(Y366="Peso",$R366,1))</f>
        <v/>
      </c>
      <c r="AA366" s="4" t="str">
        <f>IF(Y366="","",SUMIFS(Prod_Prop!$J:$J,Prod_Prop!$B:$B,$Q366,Prod_Prop!$H:$H,Y366,Prod_Prop!$I:$I,AA$1)*IF(Y366="Peso",$R366,1))</f>
        <v/>
      </c>
      <c r="AB366" s="4" t="str">
        <f>IFERROR(__xludf.DUMMYFUNCTION("IF(OR($U366="""",COUNTIF($I:$I,IFERROR(unique(filter(Prod_Prop!$H:$H,Prod_Prop!$G:$G=$U366,Prod_Prop!$E:$E=AB$1)),""Check""))=0),"""",IFERROR(unique(filter(Prod_Prop!$H:$H,Prod_Prop!$G:$G=$U366,Prod_Prop!$E:$E=AB$1)),""""))"),"")</f>
        <v/>
      </c>
      <c r="AC366" s="4" t="str">
        <f>IF(AB366="","",SUMIFS(Prod_Prop!$J:$J,Prod_Prop!$B:$B,$Q366,Prod_Prop!$H:$H,AB366,Prod_Prop!$I:$I,AC$1)*IF(AB366="Peso",$R366,1))</f>
        <v/>
      </c>
      <c r="AD366" s="4" t="str">
        <f>IF(AB366="","",SUMIFS(Prod_Prop!$J:$J,Prod_Prop!$B:$B,$Q366,Prod_Prop!$H:$H,AB366,Prod_Prop!$I:$I,AD$1)*IF(AB366="Peso",$R366,1))</f>
        <v/>
      </c>
    </row>
    <row r="367">
      <c r="A367" s="4" t="str">
        <f t="array" ref="A367">IF(COUNTIF(A$1:A366,Cotizador!F$2)=maxifs(Familias!E:E,Familias!D:D,Cotizador!F$2),IF(COUNTIF(A$1:A366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7" s="4" t="str">
        <f t="shared" si="1"/>
        <v/>
      </c>
      <c r="C367" s="4" t="str">
        <f t="array" ref="C367">IF(B367="","",IF(A367=XLOOKUP(A$2,Implementos!B:B,Implementos!C:C,"",0,1),B367+maxifs(B$1:B366,A$1:A366,A$2),B367))</f>
        <v/>
      </c>
      <c r="D367" s="4" t="str">
        <f>IF(B367="","", COUNTIFS(Productos!F:F,A367,Productos!H:H,B367)+IF(F367="SI",0,1))</f>
        <v/>
      </c>
      <c r="E367" s="4" t="str">
        <f>IFERROR(__xludf.DUMMYFUNCTION("IF($B367="""","""",INDEX(filter(Familias!F:F,Familias!$D:$D=$A367,Familias!$E:$E=$B367),1))"),"")</f>
        <v/>
      </c>
      <c r="F367" s="4" t="str">
        <f>IFERROR(__xludf.DUMMYFUNCTION("IF($B367="""","""",INDEX(filter(Familias!G:G,Familias!$D:$D=$A367,Familias!$E:$E=$B367),1))"),"")</f>
        <v/>
      </c>
      <c r="G367" s="4" t="str">
        <f t="array" ref="G367">IF(C367=1,XLOOKUP(C367,Cotizador!D:D,Cotizador!E:E,"",0,1),"")</f>
        <v/>
      </c>
      <c r="I367" s="4"/>
      <c r="J367" s="8" t="str">
        <f>IF(I367="","",SUMIF(Cotizador!I$1:V$1,I367,Cotizador!I$2:V$2))</f>
        <v/>
      </c>
      <c r="L367" s="4" t="str">
        <f t="array" ref="L367">IF(COUNTIF(L$1:L366,A$2)=SUMIF(A:A,A$2,D:D),IF(COUNTIF(L$1:L366,XLOOKUP(A$2,Implementos!B:B,Implementos!C:C,"",0,1))=SUMIF(A:A,XLOOKUP(A$2,Implementos!B:B,Implementos!C:C,"",0,1),D:D),"",XLOOKUP(A$2,Implementos!B:B,Implementos!C:C,"",0,1)),A$2)</f>
        <v/>
      </c>
      <c r="M367" s="4" t="str">
        <f t="shared" si="2"/>
        <v/>
      </c>
      <c r="N367" s="4" t="str">
        <f t="shared" si="3"/>
        <v/>
      </c>
      <c r="O367" s="4" t="str">
        <f t="shared" si="4"/>
        <v/>
      </c>
      <c r="P367" s="4" t="str">
        <f t="shared" si="5"/>
        <v/>
      </c>
      <c r="Q367" s="4" t="str">
        <f>IF(U367="","",SUMIF(Productos!E:E,U367,Productos!A:A))</f>
        <v/>
      </c>
      <c r="R367" s="4" t="str">
        <f t="array" ref="R367">IF(L367="","", max(1,SUMIF(I:I,XLOOKUP(U367,Productos!E:E,Productos!G:G,"",0,1),J:J)))</f>
        <v/>
      </c>
      <c r="S367" s="4" t="str">
        <f>IF(Q367="","",IF(SUMIFS(Compat_Vetado!D:D,Compat_Vetado!B:B,SUM(G:G),Compat_Vetado!C:C,Q367)=1,"SI",IF(OR(SUMIF(Cotizador!E:E,Q367,Cotizador!G:G)&gt;0,SUMIFS(Compat_Vetado!D:D,Compat_Vetado!B:B,SUM(G:G),Compat_Vetado!C:C,Q367)=-1),"NO","")))</f>
        <v/>
      </c>
      <c r="T367" s="4" t="str">
        <f t="shared" si="6"/>
        <v/>
      </c>
      <c r="U367" s="4" t="str">
        <f>IFERROR(__xludf.DUMMYFUNCTION("IF(P367="""","""",IFERROR(INDEX(filter(Productos!E:E,Productos!F:F=L367,Productos!H:H=N367),P367),IF(M367=SUM(D:D),""Finalizar"",""-"")))"),"")</f>
        <v/>
      </c>
      <c r="V367" s="4" t="str">
        <f>IFERROR(__xludf.DUMMYFUNCTION("IF(OR($U367="""",COUNTIF($I:$I,IFERROR(unique(filter(Prod_Prop!$H:$H,Prod_Prop!$G:$G=$U367,Prod_Prop!$E:$E=V$1)),""Check""))=0),"""",IFERROR(unique(filter(Prod_Prop!$H:$H,Prod_Prop!$G:$G=$U367,Prod_Prop!$E:$E=V$1)),""""))"),"")</f>
        <v/>
      </c>
      <c r="W367" s="4" t="str">
        <f>IF(V367="","",SUMIFS(Prod_Prop!$J:$J,Prod_Prop!$B:$B,$Q367,Prod_Prop!$H:$H,V367,Prod_Prop!$I:$I,W$1)*IF(V367="Peso",$R367,1))</f>
        <v/>
      </c>
      <c r="X367" s="4" t="str">
        <f>IF(V367="","",SUMIFS(Prod_Prop!$J:$J,Prod_Prop!$B:$B,$Q367,Prod_Prop!$H:$H,V367,Prod_Prop!$I:$I,X$1)*IF(V367="Peso",$R367,1))</f>
        <v/>
      </c>
      <c r="Y367" s="4" t="str">
        <f>IFERROR(__xludf.DUMMYFUNCTION("IF(OR($U367="""",COUNTIF($I:$I,IFERROR(unique(filter(Prod_Prop!$H:$H,Prod_Prop!$G:$G=$U367,Prod_Prop!$E:$E=Y$1)),""Check""))=0),"""",IFERROR(unique(filter(Prod_Prop!$H:$H,Prod_Prop!$G:$G=$U367,Prod_Prop!$E:$E=Y$1)),""""))"),"")</f>
        <v/>
      </c>
      <c r="Z367" s="4" t="str">
        <f>IF(Y367="","",SUMIFS(Prod_Prop!$J:$J,Prod_Prop!$B:$B,$Q367,Prod_Prop!$H:$H,Y367,Prod_Prop!$I:$I,Z$1)*IF(Y367="Peso",$R367,1))</f>
        <v/>
      </c>
      <c r="AA367" s="4" t="str">
        <f>IF(Y367="","",SUMIFS(Prod_Prop!$J:$J,Prod_Prop!$B:$B,$Q367,Prod_Prop!$H:$H,Y367,Prod_Prop!$I:$I,AA$1)*IF(Y367="Peso",$R367,1))</f>
        <v/>
      </c>
      <c r="AB367" s="4" t="str">
        <f>IFERROR(__xludf.DUMMYFUNCTION("IF(OR($U367="""",COUNTIF($I:$I,IFERROR(unique(filter(Prod_Prop!$H:$H,Prod_Prop!$G:$G=$U367,Prod_Prop!$E:$E=AB$1)),""Check""))=0),"""",IFERROR(unique(filter(Prod_Prop!$H:$H,Prod_Prop!$G:$G=$U367,Prod_Prop!$E:$E=AB$1)),""""))"),"")</f>
        <v/>
      </c>
      <c r="AC367" s="4" t="str">
        <f>IF(AB367="","",SUMIFS(Prod_Prop!$J:$J,Prod_Prop!$B:$B,$Q367,Prod_Prop!$H:$H,AB367,Prod_Prop!$I:$I,AC$1)*IF(AB367="Peso",$R367,1))</f>
        <v/>
      </c>
      <c r="AD367" s="4" t="str">
        <f>IF(AB367="","",SUMIFS(Prod_Prop!$J:$J,Prod_Prop!$B:$B,$Q367,Prod_Prop!$H:$H,AB367,Prod_Prop!$I:$I,AD$1)*IF(AB367="Peso",$R367,1))</f>
        <v/>
      </c>
    </row>
    <row r="368">
      <c r="A368" s="4" t="str">
        <f t="array" ref="A368">IF(COUNTIF(A$1:A367,Cotizador!F$2)=maxifs(Familias!E:E,Familias!D:D,Cotizador!F$2),IF(COUNTIF(A$1:A367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8" s="4" t="str">
        <f t="shared" si="1"/>
        <v/>
      </c>
      <c r="C368" s="4" t="str">
        <f t="array" ref="C368">IF(B368="","",IF(A368=XLOOKUP(A$2,Implementos!B:B,Implementos!C:C,"",0,1),B368+maxifs(B$1:B367,A$1:A367,A$2),B368))</f>
        <v/>
      </c>
      <c r="D368" s="4" t="str">
        <f>IF(B368="","", COUNTIFS(Productos!F:F,A368,Productos!H:H,B368)+IF(F368="SI",0,1))</f>
        <v/>
      </c>
      <c r="E368" s="4" t="str">
        <f>IFERROR(__xludf.DUMMYFUNCTION("IF($B368="""","""",INDEX(filter(Familias!F:F,Familias!$D:$D=$A368,Familias!$E:$E=$B368),1))"),"")</f>
        <v/>
      </c>
      <c r="F368" s="4" t="str">
        <f>IFERROR(__xludf.DUMMYFUNCTION("IF($B368="""","""",INDEX(filter(Familias!G:G,Familias!$D:$D=$A368,Familias!$E:$E=$B368),1))"),"")</f>
        <v/>
      </c>
      <c r="G368" s="4" t="str">
        <f t="array" ref="G368">IF(C368=1,XLOOKUP(C368,Cotizador!D:D,Cotizador!E:E,"",0,1),"")</f>
        <v/>
      </c>
      <c r="I368" s="4"/>
      <c r="J368" s="8" t="str">
        <f>IF(I368="","",SUMIF(Cotizador!I$1:V$1,I368,Cotizador!I$2:V$2))</f>
        <v/>
      </c>
      <c r="L368" s="4" t="str">
        <f t="array" ref="L368">IF(COUNTIF(L$1:L367,A$2)=SUMIF(A:A,A$2,D:D),IF(COUNTIF(L$1:L367,XLOOKUP(A$2,Implementos!B:B,Implementos!C:C,"",0,1))=SUMIF(A:A,XLOOKUP(A$2,Implementos!B:B,Implementos!C:C,"",0,1),D:D),"",XLOOKUP(A$2,Implementos!B:B,Implementos!C:C,"",0,1)),A$2)</f>
        <v/>
      </c>
      <c r="M368" s="4" t="str">
        <f t="shared" si="2"/>
        <v/>
      </c>
      <c r="N368" s="4" t="str">
        <f t="shared" si="3"/>
        <v/>
      </c>
      <c r="O368" s="4" t="str">
        <f t="shared" si="4"/>
        <v/>
      </c>
      <c r="P368" s="4" t="str">
        <f t="shared" si="5"/>
        <v/>
      </c>
      <c r="Q368" s="4" t="str">
        <f>IF(U368="","",SUMIF(Productos!E:E,U368,Productos!A:A))</f>
        <v/>
      </c>
      <c r="R368" s="4" t="str">
        <f t="array" ref="R368">IF(L368="","", max(1,SUMIF(I:I,XLOOKUP(U368,Productos!E:E,Productos!G:G,"",0,1),J:J)))</f>
        <v/>
      </c>
      <c r="S368" s="4" t="str">
        <f>IF(Q368="","",IF(SUMIFS(Compat_Vetado!D:D,Compat_Vetado!B:B,SUM(G:G),Compat_Vetado!C:C,Q368)=1,"SI",IF(OR(SUMIF(Cotizador!E:E,Q368,Cotizador!G:G)&gt;0,SUMIFS(Compat_Vetado!D:D,Compat_Vetado!B:B,SUM(G:G),Compat_Vetado!C:C,Q368)=-1),"NO","")))</f>
        <v/>
      </c>
      <c r="T368" s="4" t="str">
        <f t="shared" si="6"/>
        <v/>
      </c>
      <c r="U368" s="4" t="str">
        <f>IFERROR(__xludf.DUMMYFUNCTION("IF(P368="""","""",IFERROR(INDEX(filter(Productos!E:E,Productos!F:F=L368,Productos!H:H=N368),P368),IF(M368=SUM(D:D),""Finalizar"",""-"")))"),"")</f>
        <v/>
      </c>
      <c r="V368" s="4" t="str">
        <f>IFERROR(__xludf.DUMMYFUNCTION("IF(OR($U368="""",COUNTIF($I:$I,IFERROR(unique(filter(Prod_Prop!$H:$H,Prod_Prop!$G:$G=$U368,Prod_Prop!$E:$E=V$1)),""Check""))=0),"""",IFERROR(unique(filter(Prod_Prop!$H:$H,Prod_Prop!$G:$G=$U368,Prod_Prop!$E:$E=V$1)),""""))"),"")</f>
        <v/>
      </c>
      <c r="W368" s="4" t="str">
        <f>IF(V368="","",SUMIFS(Prod_Prop!$J:$J,Prod_Prop!$B:$B,$Q368,Prod_Prop!$H:$H,V368,Prod_Prop!$I:$I,W$1)*IF(V368="Peso",$R368,1))</f>
        <v/>
      </c>
      <c r="X368" s="4" t="str">
        <f>IF(V368="","",SUMIFS(Prod_Prop!$J:$J,Prod_Prop!$B:$B,$Q368,Prod_Prop!$H:$H,V368,Prod_Prop!$I:$I,X$1)*IF(V368="Peso",$R368,1))</f>
        <v/>
      </c>
      <c r="Y368" s="4" t="str">
        <f>IFERROR(__xludf.DUMMYFUNCTION("IF(OR($U368="""",COUNTIF($I:$I,IFERROR(unique(filter(Prod_Prop!$H:$H,Prod_Prop!$G:$G=$U368,Prod_Prop!$E:$E=Y$1)),""Check""))=0),"""",IFERROR(unique(filter(Prod_Prop!$H:$H,Prod_Prop!$G:$G=$U368,Prod_Prop!$E:$E=Y$1)),""""))"),"")</f>
        <v/>
      </c>
      <c r="Z368" s="4" t="str">
        <f>IF(Y368="","",SUMIFS(Prod_Prop!$J:$J,Prod_Prop!$B:$B,$Q368,Prod_Prop!$H:$H,Y368,Prod_Prop!$I:$I,Z$1)*IF(Y368="Peso",$R368,1))</f>
        <v/>
      </c>
      <c r="AA368" s="4" t="str">
        <f>IF(Y368="","",SUMIFS(Prod_Prop!$J:$J,Prod_Prop!$B:$B,$Q368,Prod_Prop!$H:$H,Y368,Prod_Prop!$I:$I,AA$1)*IF(Y368="Peso",$R368,1))</f>
        <v/>
      </c>
      <c r="AB368" s="4" t="str">
        <f>IFERROR(__xludf.DUMMYFUNCTION("IF(OR($U368="""",COUNTIF($I:$I,IFERROR(unique(filter(Prod_Prop!$H:$H,Prod_Prop!$G:$G=$U368,Prod_Prop!$E:$E=AB$1)),""Check""))=0),"""",IFERROR(unique(filter(Prod_Prop!$H:$H,Prod_Prop!$G:$G=$U368,Prod_Prop!$E:$E=AB$1)),""""))"),"")</f>
        <v/>
      </c>
      <c r="AC368" s="4" t="str">
        <f>IF(AB368="","",SUMIFS(Prod_Prop!$J:$J,Prod_Prop!$B:$B,$Q368,Prod_Prop!$H:$H,AB368,Prod_Prop!$I:$I,AC$1)*IF(AB368="Peso",$R368,1))</f>
        <v/>
      </c>
      <c r="AD368" s="4" t="str">
        <f>IF(AB368="","",SUMIFS(Prod_Prop!$J:$J,Prod_Prop!$B:$B,$Q368,Prod_Prop!$H:$H,AB368,Prod_Prop!$I:$I,AD$1)*IF(AB368="Peso",$R368,1))</f>
        <v/>
      </c>
    </row>
    <row r="369">
      <c r="A369" s="4" t="str">
        <f t="array" ref="A369">IF(COUNTIF(A$1:A368,Cotizador!F$2)=maxifs(Familias!E:E,Familias!D:D,Cotizador!F$2),IF(COUNTIF(A$1:A368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69" s="4" t="str">
        <f t="shared" si="1"/>
        <v/>
      </c>
      <c r="C369" s="4" t="str">
        <f t="array" ref="C369">IF(B369="","",IF(A369=XLOOKUP(A$2,Implementos!B:B,Implementos!C:C,"",0,1),B369+maxifs(B$1:B368,A$1:A368,A$2),B369))</f>
        <v/>
      </c>
      <c r="D369" s="4" t="str">
        <f>IF(B369="","", COUNTIFS(Productos!F:F,A369,Productos!H:H,B369)+IF(F369="SI",0,1))</f>
        <v/>
      </c>
      <c r="E369" s="4" t="str">
        <f>IFERROR(__xludf.DUMMYFUNCTION("IF($B369="""","""",INDEX(filter(Familias!F:F,Familias!$D:$D=$A369,Familias!$E:$E=$B369),1))"),"")</f>
        <v/>
      </c>
      <c r="F369" s="4" t="str">
        <f>IFERROR(__xludf.DUMMYFUNCTION("IF($B369="""","""",INDEX(filter(Familias!G:G,Familias!$D:$D=$A369,Familias!$E:$E=$B369),1))"),"")</f>
        <v/>
      </c>
      <c r="G369" s="4" t="str">
        <f t="array" ref="G369">IF(C369=1,XLOOKUP(C369,Cotizador!D:D,Cotizador!E:E,"",0,1),"")</f>
        <v/>
      </c>
      <c r="I369" s="4"/>
      <c r="J369" s="8" t="str">
        <f>IF(I369="","",SUMIF(Cotizador!I$1:V$1,I369,Cotizador!I$2:V$2))</f>
        <v/>
      </c>
      <c r="L369" s="4" t="str">
        <f t="array" ref="L369">IF(COUNTIF(L$1:L368,A$2)=SUMIF(A:A,A$2,D:D),IF(COUNTIF(L$1:L368,XLOOKUP(A$2,Implementos!B:B,Implementos!C:C,"",0,1))=SUMIF(A:A,XLOOKUP(A$2,Implementos!B:B,Implementos!C:C,"",0,1),D:D),"",XLOOKUP(A$2,Implementos!B:B,Implementos!C:C,"",0,1)),A$2)</f>
        <v/>
      </c>
      <c r="M369" s="4" t="str">
        <f t="shared" si="2"/>
        <v/>
      </c>
      <c r="N369" s="4" t="str">
        <f t="shared" si="3"/>
        <v/>
      </c>
      <c r="O369" s="4" t="str">
        <f t="shared" si="4"/>
        <v/>
      </c>
      <c r="P369" s="4" t="str">
        <f t="shared" si="5"/>
        <v/>
      </c>
      <c r="Q369" s="4" t="str">
        <f>IF(U369="","",SUMIF(Productos!E:E,U369,Productos!A:A))</f>
        <v/>
      </c>
      <c r="R369" s="4" t="str">
        <f t="array" ref="R369">IF(L369="","", max(1,SUMIF(I:I,XLOOKUP(U369,Productos!E:E,Productos!G:G,"",0,1),J:J)))</f>
        <v/>
      </c>
      <c r="S369" s="4" t="str">
        <f>IF(Q369="","",IF(SUMIFS(Compat_Vetado!D:D,Compat_Vetado!B:B,SUM(G:G),Compat_Vetado!C:C,Q369)=1,"SI",IF(OR(SUMIF(Cotizador!E:E,Q369,Cotizador!G:G)&gt;0,SUMIFS(Compat_Vetado!D:D,Compat_Vetado!B:B,SUM(G:G),Compat_Vetado!C:C,Q369)=-1),"NO","")))</f>
        <v/>
      </c>
      <c r="T369" s="4" t="str">
        <f t="shared" si="6"/>
        <v/>
      </c>
      <c r="U369" s="4" t="str">
        <f>IFERROR(__xludf.DUMMYFUNCTION("IF(P369="""","""",IFERROR(INDEX(filter(Productos!E:E,Productos!F:F=L369,Productos!H:H=N369),P369),IF(M369=SUM(D:D),""Finalizar"",""-"")))"),"")</f>
        <v/>
      </c>
      <c r="V369" s="4" t="str">
        <f>IFERROR(__xludf.DUMMYFUNCTION("IF(OR($U369="""",COUNTIF($I:$I,IFERROR(unique(filter(Prod_Prop!$H:$H,Prod_Prop!$G:$G=$U369,Prod_Prop!$E:$E=V$1)),""Check""))=0),"""",IFERROR(unique(filter(Prod_Prop!$H:$H,Prod_Prop!$G:$G=$U369,Prod_Prop!$E:$E=V$1)),""""))"),"")</f>
        <v/>
      </c>
      <c r="W369" s="4" t="str">
        <f>IF(V369="","",SUMIFS(Prod_Prop!$J:$J,Prod_Prop!$B:$B,$Q369,Prod_Prop!$H:$H,V369,Prod_Prop!$I:$I,W$1)*IF(V369="Peso",$R369,1))</f>
        <v/>
      </c>
      <c r="X369" s="4" t="str">
        <f>IF(V369="","",SUMIFS(Prod_Prop!$J:$J,Prod_Prop!$B:$B,$Q369,Prod_Prop!$H:$H,V369,Prod_Prop!$I:$I,X$1)*IF(V369="Peso",$R369,1))</f>
        <v/>
      </c>
      <c r="Y369" s="4" t="str">
        <f>IFERROR(__xludf.DUMMYFUNCTION("IF(OR($U369="""",COUNTIF($I:$I,IFERROR(unique(filter(Prod_Prop!$H:$H,Prod_Prop!$G:$G=$U369,Prod_Prop!$E:$E=Y$1)),""Check""))=0),"""",IFERROR(unique(filter(Prod_Prop!$H:$H,Prod_Prop!$G:$G=$U369,Prod_Prop!$E:$E=Y$1)),""""))"),"")</f>
        <v/>
      </c>
      <c r="Z369" s="4" t="str">
        <f>IF(Y369="","",SUMIFS(Prod_Prop!$J:$J,Prod_Prop!$B:$B,$Q369,Prod_Prop!$H:$H,Y369,Prod_Prop!$I:$I,Z$1)*IF(Y369="Peso",$R369,1))</f>
        <v/>
      </c>
      <c r="AA369" s="4" t="str">
        <f>IF(Y369="","",SUMIFS(Prod_Prop!$J:$J,Prod_Prop!$B:$B,$Q369,Prod_Prop!$H:$H,Y369,Prod_Prop!$I:$I,AA$1)*IF(Y369="Peso",$R369,1))</f>
        <v/>
      </c>
      <c r="AB369" s="4" t="str">
        <f>IFERROR(__xludf.DUMMYFUNCTION("IF(OR($U369="""",COUNTIF($I:$I,IFERROR(unique(filter(Prod_Prop!$H:$H,Prod_Prop!$G:$G=$U369,Prod_Prop!$E:$E=AB$1)),""Check""))=0),"""",IFERROR(unique(filter(Prod_Prop!$H:$H,Prod_Prop!$G:$G=$U369,Prod_Prop!$E:$E=AB$1)),""""))"),"")</f>
        <v/>
      </c>
      <c r="AC369" s="4" t="str">
        <f>IF(AB369="","",SUMIFS(Prod_Prop!$J:$J,Prod_Prop!$B:$B,$Q369,Prod_Prop!$H:$H,AB369,Prod_Prop!$I:$I,AC$1)*IF(AB369="Peso",$R369,1))</f>
        <v/>
      </c>
      <c r="AD369" s="4" t="str">
        <f>IF(AB369="","",SUMIFS(Prod_Prop!$J:$J,Prod_Prop!$B:$B,$Q369,Prod_Prop!$H:$H,AB369,Prod_Prop!$I:$I,AD$1)*IF(AB369="Peso",$R369,1))</f>
        <v/>
      </c>
    </row>
    <row r="370">
      <c r="A370" s="4" t="str">
        <f t="array" ref="A370">IF(COUNTIF(A$1:A369,Cotizador!F$2)=maxifs(Familias!E:E,Familias!D:D,Cotizador!F$2),IF(COUNTIF(A$1:A369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0" s="4" t="str">
        <f t="shared" si="1"/>
        <v/>
      </c>
      <c r="C370" s="4" t="str">
        <f t="array" ref="C370">IF(B370="","",IF(A370=XLOOKUP(A$2,Implementos!B:B,Implementos!C:C,"",0,1),B370+maxifs(B$1:B369,A$1:A369,A$2),B370))</f>
        <v/>
      </c>
      <c r="D370" s="4" t="str">
        <f>IF(B370="","", COUNTIFS(Productos!F:F,A370,Productos!H:H,B370)+IF(F370="SI",0,1))</f>
        <v/>
      </c>
      <c r="E370" s="4" t="str">
        <f>IFERROR(__xludf.DUMMYFUNCTION("IF($B370="""","""",INDEX(filter(Familias!F:F,Familias!$D:$D=$A370,Familias!$E:$E=$B370),1))"),"")</f>
        <v/>
      </c>
      <c r="F370" s="4" t="str">
        <f>IFERROR(__xludf.DUMMYFUNCTION("IF($B370="""","""",INDEX(filter(Familias!G:G,Familias!$D:$D=$A370,Familias!$E:$E=$B370),1))"),"")</f>
        <v/>
      </c>
      <c r="G370" s="4" t="str">
        <f t="array" ref="G370">IF(C370=1,XLOOKUP(C370,Cotizador!D:D,Cotizador!E:E,"",0,1),"")</f>
        <v/>
      </c>
      <c r="I370" s="4"/>
      <c r="J370" s="8" t="str">
        <f>IF(I370="","",SUMIF(Cotizador!I$1:V$1,I370,Cotizador!I$2:V$2))</f>
        <v/>
      </c>
      <c r="L370" s="4" t="str">
        <f t="array" ref="L370">IF(COUNTIF(L$1:L369,A$2)=SUMIF(A:A,A$2,D:D),IF(COUNTIF(L$1:L369,XLOOKUP(A$2,Implementos!B:B,Implementos!C:C,"",0,1))=SUMIF(A:A,XLOOKUP(A$2,Implementos!B:B,Implementos!C:C,"",0,1),D:D),"",XLOOKUP(A$2,Implementos!B:B,Implementos!C:C,"",0,1)),A$2)</f>
        <v/>
      </c>
      <c r="M370" s="4" t="str">
        <f t="shared" si="2"/>
        <v/>
      </c>
      <c r="N370" s="4" t="str">
        <f t="shared" si="3"/>
        <v/>
      </c>
      <c r="O370" s="4" t="str">
        <f t="shared" si="4"/>
        <v/>
      </c>
      <c r="P370" s="4" t="str">
        <f t="shared" si="5"/>
        <v/>
      </c>
      <c r="Q370" s="4" t="str">
        <f>IF(U370="","",SUMIF(Productos!E:E,U370,Productos!A:A))</f>
        <v/>
      </c>
      <c r="R370" s="4" t="str">
        <f t="array" ref="R370">IF(L370="","", max(1,SUMIF(I:I,XLOOKUP(U370,Productos!E:E,Productos!G:G,"",0,1),J:J)))</f>
        <v/>
      </c>
      <c r="S370" s="4" t="str">
        <f>IF(Q370="","",IF(SUMIFS(Compat_Vetado!D:D,Compat_Vetado!B:B,SUM(G:G),Compat_Vetado!C:C,Q370)=1,"SI",IF(OR(SUMIF(Cotizador!E:E,Q370,Cotizador!G:G)&gt;0,SUMIFS(Compat_Vetado!D:D,Compat_Vetado!B:B,SUM(G:G),Compat_Vetado!C:C,Q370)=-1),"NO","")))</f>
        <v/>
      </c>
      <c r="T370" s="4" t="str">
        <f t="shared" si="6"/>
        <v/>
      </c>
      <c r="U370" s="4" t="str">
        <f>IFERROR(__xludf.DUMMYFUNCTION("IF(P370="""","""",IFERROR(INDEX(filter(Productos!E:E,Productos!F:F=L370,Productos!H:H=N370),P370),IF(M370=SUM(D:D),""Finalizar"",""-"")))"),"")</f>
        <v/>
      </c>
      <c r="V370" s="4" t="str">
        <f>IFERROR(__xludf.DUMMYFUNCTION("IF(OR($U370="""",COUNTIF($I:$I,IFERROR(unique(filter(Prod_Prop!$H:$H,Prod_Prop!$G:$G=$U370,Prod_Prop!$E:$E=V$1)),""Check""))=0),"""",IFERROR(unique(filter(Prod_Prop!$H:$H,Prod_Prop!$G:$G=$U370,Prod_Prop!$E:$E=V$1)),""""))"),"")</f>
        <v/>
      </c>
      <c r="W370" s="4" t="str">
        <f>IF(V370="","",SUMIFS(Prod_Prop!$J:$J,Prod_Prop!$B:$B,$Q370,Prod_Prop!$H:$H,V370,Prod_Prop!$I:$I,W$1)*IF(V370="Peso",$R370,1))</f>
        <v/>
      </c>
      <c r="X370" s="4" t="str">
        <f>IF(V370="","",SUMIFS(Prod_Prop!$J:$J,Prod_Prop!$B:$B,$Q370,Prod_Prop!$H:$H,V370,Prod_Prop!$I:$I,X$1)*IF(V370="Peso",$R370,1))</f>
        <v/>
      </c>
      <c r="Y370" s="4" t="str">
        <f>IFERROR(__xludf.DUMMYFUNCTION("IF(OR($U370="""",COUNTIF($I:$I,IFERROR(unique(filter(Prod_Prop!$H:$H,Prod_Prop!$G:$G=$U370,Prod_Prop!$E:$E=Y$1)),""Check""))=0),"""",IFERROR(unique(filter(Prod_Prop!$H:$H,Prod_Prop!$G:$G=$U370,Prod_Prop!$E:$E=Y$1)),""""))"),"")</f>
        <v/>
      </c>
      <c r="Z370" s="4" t="str">
        <f>IF(Y370="","",SUMIFS(Prod_Prop!$J:$J,Prod_Prop!$B:$B,$Q370,Prod_Prop!$H:$H,Y370,Prod_Prop!$I:$I,Z$1)*IF(Y370="Peso",$R370,1))</f>
        <v/>
      </c>
      <c r="AA370" s="4" t="str">
        <f>IF(Y370="","",SUMIFS(Prod_Prop!$J:$J,Prod_Prop!$B:$B,$Q370,Prod_Prop!$H:$H,Y370,Prod_Prop!$I:$I,AA$1)*IF(Y370="Peso",$R370,1))</f>
        <v/>
      </c>
      <c r="AB370" s="4" t="str">
        <f>IFERROR(__xludf.DUMMYFUNCTION("IF(OR($U370="""",COUNTIF($I:$I,IFERROR(unique(filter(Prod_Prop!$H:$H,Prod_Prop!$G:$G=$U370,Prod_Prop!$E:$E=AB$1)),""Check""))=0),"""",IFERROR(unique(filter(Prod_Prop!$H:$H,Prod_Prop!$G:$G=$U370,Prod_Prop!$E:$E=AB$1)),""""))"),"")</f>
        <v/>
      </c>
      <c r="AC370" s="4" t="str">
        <f>IF(AB370="","",SUMIFS(Prod_Prop!$J:$J,Prod_Prop!$B:$B,$Q370,Prod_Prop!$H:$H,AB370,Prod_Prop!$I:$I,AC$1)*IF(AB370="Peso",$R370,1))</f>
        <v/>
      </c>
      <c r="AD370" s="4" t="str">
        <f>IF(AB370="","",SUMIFS(Prod_Prop!$J:$J,Prod_Prop!$B:$B,$Q370,Prod_Prop!$H:$H,AB370,Prod_Prop!$I:$I,AD$1)*IF(AB370="Peso",$R370,1))</f>
        <v/>
      </c>
    </row>
    <row r="371">
      <c r="A371" s="4" t="str">
        <f t="array" ref="A371">IF(COUNTIF(A$1:A370,Cotizador!F$2)=maxifs(Familias!E:E,Familias!D:D,Cotizador!F$2),IF(COUNTIF(A$1:A370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1" s="4" t="str">
        <f t="shared" si="1"/>
        <v/>
      </c>
      <c r="C371" s="4" t="str">
        <f t="array" ref="C371">IF(B371="","",IF(A371=XLOOKUP(A$2,Implementos!B:B,Implementos!C:C,"",0,1),B371+maxifs(B$1:B370,A$1:A370,A$2),B371))</f>
        <v/>
      </c>
      <c r="D371" s="4" t="str">
        <f>IF(B371="","", COUNTIFS(Productos!F:F,A371,Productos!H:H,B371)+IF(F371="SI",0,1))</f>
        <v/>
      </c>
      <c r="E371" s="4" t="str">
        <f>IFERROR(__xludf.DUMMYFUNCTION("IF($B371="""","""",INDEX(filter(Familias!F:F,Familias!$D:$D=$A371,Familias!$E:$E=$B371),1))"),"")</f>
        <v/>
      </c>
      <c r="F371" s="4" t="str">
        <f>IFERROR(__xludf.DUMMYFUNCTION("IF($B371="""","""",INDEX(filter(Familias!G:G,Familias!$D:$D=$A371,Familias!$E:$E=$B371),1))"),"")</f>
        <v/>
      </c>
      <c r="G371" s="4" t="str">
        <f t="array" ref="G371">IF(C371=1,XLOOKUP(C371,Cotizador!D:D,Cotizador!E:E,"",0,1),"")</f>
        <v/>
      </c>
      <c r="I371" s="4"/>
      <c r="J371" s="8" t="str">
        <f>IF(I371="","",SUMIF(Cotizador!I$1:V$1,I371,Cotizador!I$2:V$2))</f>
        <v/>
      </c>
      <c r="L371" s="4" t="str">
        <f t="array" ref="L371">IF(COUNTIF(L$1:L370,A$2)=SUMIF(A:A,A$2,D:D),IF(COUNTIF(L$1:L370,XLOOKUP(A$2,Implementos!B:B,Implementos!C:C,"",0,1))=SUMIF(A:A,XLOOKUP(A$2,Implementos!B:B,Implementos!C:C,"",0,1),D:D),"",XLOOKUP(A$2,Implementos!B:B,Implementos!C:C,"",0,1)),A$2)</f>
        <v/>
      </c>
      <c r="M371" s="4" t="str">
        <f t="shared" si="2"/>
        <v/>
      </c>
      <c r="N371" s="4" t="str">
        <f t="shared" si="3"/>
        <v/>
      </c>
      <c r="O371" s="4" t="str">
        <f t="shared" si="4"/>
        <v/>
      </c>
      <c r="P371" s="4" t="str">
        <f t="shared" si="5"/>
        <v/>
      </c>
      <c r="Q371" s="4" t="str">
        <f>IF(U371="","",SUMIF(Productos!E:E,U371,Productos!A:A))</f>
        <v/>
      </c>
      <c r="R371" s="4" t="str">
        <f t="array" ref="R371">IF(L371="","", max(1,SUMIF(I:I,XLOOKUP(U371,Productos!E:E,Productos!G:G,"",0,1),J:J)))</f>
        <v/>
      </c>
      <c r="S371" s="4" t="str">
        <f>IF(Q371="","",IF(SUMIFS(Compat_Vetado!D:D,Compat_Vetado!B:B,SUM(G:G),Compat_Vetado!C:C,Q371)=1,"SI",IF(OR(SUMIF(Cotizador!E:E,Q371,Cotizador!G:G)&gt;0,SUMIFS(Compat_Vetado!D:D,Compat_Vetado!B:B,SUM(G:G),Compat_Vetado!C:C,Q371)=-1),"NO","")))</f>
        <v/>
      </c>
      <c r="T371" s="4" t="str">
        <f t="shared" si="6"/>
        <v/>
      </c>
      <c r="U371" s="4" t="str">
        <f>IFERROR(__xludf.DUMMYFUNCTION("IF(P371="""","""",IFERROR(INDEX(filter(Productos!E:E,Productos!F:F=L371,Productos!H:H=N371),P371),IF(M371=SUM(D:D),""Finalizar"",""-"")))"),"")</f>
        <v/>
      </c>
      <c r="V371" s="4" t="str">
        <f>IFERROR(__xludf.DUMMYFUNCTION("IF(OR($U371="""",COUNTIF($I:$I,IFERROR(unique(filter(Prod_Prop!$H:$H,Prod_Prop!$G:$G=$U371,Prod_Prop!$E:$E=V$1)),""Check""))=0),"""",IFERROR(unique(filter(Prod_Prop!$H:$H,Prod_Prop!$G:$G=$U371,Prod_Prop!$E:$E=V$1)),""""))"),"")</f>
        <v/>
      </c>
      <c r="W371" s="4" t="str">
        <f>IF(V371="","",SUMIFS(Prod_Prop!$J:$J,Prod_Prop!$B:$B,$Q371,Prod_Prop!$H:$H,V371,Prod_Prop!$I:$I,W$1)*IF(V371="Peso",$R371,1))</f>
        <v/>
      </c>
      <c r="X371" s="4" t="str">
        <f>IF(V371="","",SUMIFS(Prod_Prop!$J:$J,Prod_Prop!$B:$B,$Q371,Prod_Prop!$H:$H,V371,Prod_Prop!$I:$I,X$1)*IF(V371="Peso",$R371,1))</f>
        <v/>
      </c>
      <c r="Y371" s="4" t="str">
        <f>IFERROR(__xludf.DUMMYFUNCTION("IF(OR($U371="""",COUNTIF($I:$I,IFERROR(unique(filter(Prod_Prop!$H:$H,Prod_Prop!$G:$G=$U371,Prod_Prop!$E:$E=Y$1)),""Check""))=0),"""",IFERROR(unique(filter(Prod_Prop!$H:$H,Prod_Prop!$G:$G=$U371,Prod_Prop!$E:$E=Y$1)),""""))"),"")</f>
        <v/>
      </c>
      <c r="Z371" s="4" t="str">
        <f>IF(Y371="","",SUMIFS(Prod_Prop!$J:$J,Prod_Prop!$B:$B,$Q371,Prod_Prop!$H:$H,Y371,Prod_Prop!$I:$I,Z$1)*IF(Y371="Peso",$R371,1))</f>
        <v/>
      </c>
      <c r="AA371" s="4" t="str">
        <f>IF(Y371="","",SUMIFS(Prod_Prop!$J:$J,Prod_Prop!$B:$B,$Q371,Prod_Prop!$H:$H,Y371,Prod_Prop!$I:$I,AA$1)*IF(Y371="Peso",$R371,1))</f>
        <v/>
      </c>
      <c r="AB371" s="4" t="str">
        <f>IFERROR(__xludf.DUMMYFUNCTION("IF(OR($U371="""",COUNTIF($I:$I,IFERROR(unique(filter(Prod_Prop!$H:$H,Prod_Prop!$G:$G=$U371,Prod_Prop!$E:$E=AB$1)),""Check""))=0),"""",IFERROR(unique(filter(Prod_Prop!$H:$H,Prod_Prop!$G:$G=$U371,Prod_Prop!$E:$E=AB$1)),""""))"),"")</f>
        <v/>
      </c>
      <c r="AC371" s="4" t="str">
        <f>IF(AB371="","",SUMIFS(Prod_Prop!$J:$J,Prod_Prop!$B:$B,$Q371,Prod_Prop!$H:$H,AB371,Prod_Prop!$I:$I,AC$1)*IF(AB371="Peso",$R371,1))</f>
        <v/>
      </c>
      <c r="AD371" s="4" t="str">
        <f>IF(AB371="","",SUMIFS(Prod_Prop!$J:$J,Prod_Prop!$B:$B,$Q371,Prod_Prop!$H:$H,AB371,Prod_Prop!$I:$I,AD$1)*IF(AB371="Peso",$R371,1))</f>
        <v/>
      </c>
    </row>
    <row r="372">
      <c r="A372" s="4" t="str">
        <f t="array" ref="A372">IF(COUNTIF(A$1:A371,Cotizador!F$2)=maxifs(Familias!E:E,Familias!D:D,Cotizador!F$2),IF(COUNTIF(A$1:A371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2" s="4" t="str">
        <f t="shared" si="1"/>
        <v/>
      </c>
      <c r="C372" s="4" t="str">
        <f t="array" ref="C372">IF(B372="","",IF(A372=XLOOKUP(A$2,Implementos!B:B,Implementos!C:C,"",0,1),B372+maxifs(B$1:B371,A$1:A371,A$2),B372))</f>
        <v/>
      </c>
      <c r="D372" s="4" t="str">
        <f>IF(B372="","", COUNTIFS(Productos!F:F,A372,Productos!H:H,B372)+IF(F372="SI",0,1))</f>
        <v/>
      </c>
      <c r="E372" s="4" t="str">
        <f>IFERROR(__xludf.DUMMYFUNCTION("IF($B372="""","""",INDEX(filter(Familias!F:F,Familias!$D:$D=$A372,Familias!$E:$E=$B372),1))"),"")</f>
        <v/>
      </c>
      <c r="F372" s="4" t="str">
        <f>IFERROR(__xludf.DUMMYFUNCTION("IF($B372="""","""",INDEX(filter(Familias!G:G,Familias!$D:$D=$A372,Familias!$E:$E=$B372),1))"),"")</f>
        <v/>
      </c>
      <c r="G372" s="4" t="str">
        <f t="array" ref="G372">IF(C372=1,XLOOKUP(C372,Cotizador!D:D,Cotizador!E:E,"",0,1),"")</f>
        <v/>
      </c>
      <c r="I372" s="4"/>
      <c r="J372" s="8" t="str">
        <f>IF(I372="","",SUMIF(Cotizador!I$1:V$1,I372,Cotizador!I$2:V$2))</f>
        <v/>
      </c>
      <c r="L372" s="4" t="str">
        <f t="array" ref="L372">IF(COUNTIF(L$1:L371,A$2)=SUMIF(A:A,A$2,D:D),IF(COUNTIF(L$1:L371,XLOOKUP(A$2,Implementos!B:B,Implementos!C:C,"",0,1))=SUMIF(A:A,XLOOKUP(A$2,Implementos!B:B,Implementos!C:C,"",0,1),D:D),"",XLOOKUP(A$2,Implementos!B:B,Implementos!C:C,"",0,1)),A$2)</f>
        <v/>
      </c>
      <c r="M372" s="4" t="str">
        <f t="shared" si="2"/>
        <v/>
      </c>
      <c r="N372" s="4" t="str">
        <f t="shared" si="3"/>
        <v/>
      </c>
      <c r="O372" s="4" t="str">
        <f t="shared" si="4"/>
        <v/>
      </c>
      <c r="P372" s="4" t="str">
        <f t="shared" si="5"/>
        <v/>
      </c>
      <c r="Q372" s="4" t="str">
        <f>IF(U372="","",SUMIF(Productos!E:E,U372,Productos!A:A))</f>
        <v/>
      </c>
      <c r="R372" s="4" t="str">
        <f t="array" ref="R372">IF(L372="","", max(1,SUMIF(I:I,XLOOKUP(U372,Productos!E:E,Productos!G:G,"",0,1),J:J)))</f>
        <v/>
      </c>
      <c r="S372" s="4" t="str">
        <f>IF(Q372="","",IF(SUMIFS(Compat_Vetado!D:D,Compat_Vetado!B:B,SUM(G:G),Compat_Vetado!C:C,Q372)=1,"SI",IF(OR(SUMIF(Cotizador!E:E,Q372,Cotizador!G:G)&gt;0,SUMIFS(Compat_Vetado!D:D,Compat_Vetado!B:B,SUM(G:G),Compat_Vetado!C:C,Q372)=-1),"NO","")))</f>
        <v/>
      </c>
      <c r="T372" s="4" t="str">
        <f t="shared" si="6"/>
        <v/>
      </c>
      <c r="U372" s="4" t="str">
        <f>IFERROR(__xludf.DUMMYFUNCTION("IF(P372="""","""",IFERROR(INDEX(filter(Productos!E:E,Productos!F:F=L372,Productos!H:H=N372),P372),IF(M372=SUM(D:D),""Finalizar"",""-"")))"),"")</f>
        <v/>
      </c>
      <c r="V372" s="4" t="str">
        <f>IFERROR(__xludf.DUMMYFUNCTION("IF(OR($U372="""",COUNTIF($I:$I,IFERROR(unique(filter(Prod_Prop!$H:$H,Prod_Prop!$G:$G=$U372,Prod_Prop!$E:$E=V$1)),""Check""))=0),"""",IFERROR(unique(filter(Prod_Prop!$H:$H,Prod_Prop!$G:$G=$U372,Prod_Prop!$E:$E=V$1)),""""))"),"")</f>
        <v/>
      </c>
      <c r="W372" s="4" t="str">
        <f>IF(V372="","",SUMIFS(Prod_Prop!$J:$J,Prod_Prop!$B:$B,$Q372,Prod_Prop!$H:$H,V372,Prod_Prop!$I:$I,W$1)*IF(V372="Peso",$R372,1))</f>
        <v/>
      </c>
      <c r="X372" s="4" t="str">
        <f>IF(V372="","",SUMIFS(Prod_Prop!$J:$J,Prod_Prop!$B:$B,$Q372,Prod_Prop!$H:$H,V372,Prod_Prop!$I:$I,X$1)*IF(V372="Peso",$R372,1))</f>
        <v/>
      </c>
      <c r="Y372" s="4" t="str">
        <f>IFERROR(__xludf.DUMMYFUNCTION("IF(OR($U372="""",COUNTIF($I:$I,IFERROR(unique(filter(Prod_Prop!$H:$H,Prod_Prop!$G:$G=$U372,Prod_Prop!$E:$E=Y$1)),""Check""))=0),"""",IFERROR(unique(filter(Prod_Prop!$H:$H,Prod_Prop!$G:$G=$U372,Prod_Prop!$E:$E=Y$1)),""""))"),"")</f>
        <v/>
      </c>
      <c r="Z372" s="4" t="str">
        <f>IF(Y372="","",SUMIFS(Prod_Prop!$J:$J,Prod_Prop!$B:$B,$Q372,Prod_Prop!$H:$H,Y372,Prod_Prop!$I:$I,Z$1)*IF(Y372="Peso",$R372,1))</f>
        <v/>
      </c>
      <c r="AA372" s="4" t="str">
        <f>IF(Y372="","",SUMIFS(Prod_Prop!$J:$J,Prod_Prop!$B:$B,$Q372,Prod_Prop!$H:$H,Y372,Prod_Prop!$I:$I,AA$1)*IF(Y372="Peso",$R372,1))</f>
        <v/>
      </c>
      <c r="AB372" s="4" t="str">
        <f>IFERROR(__xludf.DUMMYFUNCTION("IF(OR($U372="""",COUNTIF($I:$I,IFERROR(unique(filter(Prod_Prop!$H:$H,Prod_Prop!$G:$G=$U372,Prod_Prop!$E:$E=AB$1)),""Check""))=0),"""",IFERROR(unique(filter(Prod_Prop!$H:$H,Prod_Prop!$G:$G=$U372,Prod_Prop!$E:$E=AB$1)),""""))"),"")</f>
        <v/>
      </c>
      <c r="AC372" s="4" t="str">
        <f>IF(AB372="","",SUMIFS(Prod_Prop!$J:$J,Prod_Prop!$B:$B,$Q372,Prod_Prop!$H:$H,AB372,Prod_Prop!$I:$I,AC$1)*IF(AB372="Peso",$R372,1))</f>
        <v/>
      </c>
      <c r="AD372" s="4" t="str">
        <f>IF(AB372="","",SUMIFS(Prod_Prop!$J:$J,Prod_Prop!$B:$B,$Q372,Prod_Prop!$H:$H,AB372,Prod_Prop!$I:$I,AD$1)*IF(AB372="Peso",$R372,1))</f>
        <v/>
      </c>
    </row>
    <row r="373">
      <c r="A373" s="4" t="str">
        <f t="array" ref="A373">IF(COUNTIF(A$1:A372,Cotizador!F$2)=maxifs(Familias!E:E,Familias!D:D,Cotizador!F$2),IF(COUNTIF(A$1:A372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3" s="4" t="str">
        <f t="shared" si="1"/>
        <v/>
      </c>
      <c r="C373" s="4" t="str">
        <f t="array" ref="C373">IF(B373="","",IF(A373=XLOOKUP(A$2,Implementos!B:B,Implementos!C:C,"",0,1),B373+maxifs(B$1:B372,A$1:A372,A$2),B373))</f>
        <v/>
      </c>
      <c r="D373" s="4" t="str">
        <f>IF(B373="","", COUNTIFS(Productos!F:F,A373,Productos!H:H,B373)+IF(F373="SI",0,1))</f>
        <v/>
      </c>
      <c r="E373" s="4" t="str">
        <f>IFERROR(__xludf.DUMMYFUNCTION("IF($B373="""","""",INDEX(filter(Familias!F:F,Familias!$D:$D=$A373,Familias!$E:$E=$B373),1))"),"")</f>
        <v/>
      </c>
      <c r="F373" s="4" t="str">
        <f>IFERROR(__xludf.DUMMYFUNCTION("IF($B373="""","""",INDEX(filter(Familias!G:G,Familias!$D:$D=$A373,Familias!$E:$E=$B373),1))"),"")</f>
        <v/>
      </c>
      <c r="G373" s="4" t="str">
        <f t="array" ref="G373">IF(C373=1,XLOOKUP(C373,Cotizador!D:D,Cotizador!E:E,"",0,1),"")</f>
        <v/>
      </c>
      <c r="I373" s="4"/>
      <c r="J373" s="8" t="str">
        <f>IF(I373="","",SUMIF(Cotizador!I$1:V$1,I373,Cotizador!I$2:V$2))</f>
        <v/>
      </c>
      <c r="L373" s="4" t="str">
        <f t="array" ref="L373">IF(COUNTIF(L$1:L372,A$2)=SUMIF(A:A,A$2,D:D),IF(COUNTIF(L$1:L372,XLOOKUP(A$2,Implementos!B:B,Implementos!C:C,"",0,1))=SUMIF(A:A,XLOOKUP(A$2,Implementos!B:B,Implementos!C:C,"",0,1),D:D),"",XLOOKUP(A$2,Implementos!B:B,Implementos!C:C,"",0,1)),A$2)</f>
        <v/>
      </c>
      <c r="M373" s="4" t="str">
        <f t="shared" si="2"/>
        <v/>
      </c>
      <c r="N373" s="4" t="str">
        <f t="shared" si="3"/>
        <v/>
      </c>
      <c r="O373" s="4" t="str">
        <f t="shared" si="4"/>
        <v/>
      </c>
      <c r="P373" s="4" t="str">
        <f t="shared" si="5"/>
        <v/>
      </c>
      <c r="Q373" s="4" t="str">
        <f>IF(U373="","",SUMIF(Productos!E:E,U373,Productos!A:A))</f>
        <v/>
      </c>
      <c r="R373" s="4" t="str">
        <f t="array" ref="R373">IF(L373="","", max(1,SUMIF(I:I,XLOOKUP(U373,Productos!E:E,Productos!G:G,"",0,1),J:J)))</f>
        <v/>
      </c>
      <c r="S373" s="4" t="str">
        <f>IF(Q373="","",IF(SUMIFS(Compat_Vetado!D:D,Compat_Vetado!B:B,SUM(G:G),Compat_Vetado!C:C,Q373)=1,"SI",IF(OR(SUMIF(Cotizador!E:E,Q373,Cotizador!G:G)&gt;0,SUMIFS(Compat_Vetado!D:D,Compat_Vetado!B:B,SUM(G:G),Compat_Vetado!C:C,Q373)=-1),"NO","")))</f>
        <v/>
      </c>
      <c r="T373" s="4" t="str">
        <f t="shared" si="6"/>
        <v/>
      </c>
      <c r="U373" s="4" t="str">
        <f>IFERROR(__xludf.DUMMYFUNCTION("IF(P373="""","""",IFERROR(INDEX(filter(Productos!E:E,Productos!F:F=L373,Productos!H:H=N373),P373),IF(M373=SUM(D:D),""Finalizar"",""-"")))"),"")</f>
        <v/>
      </c>
      <c r="V373" s="4" t="str">
        <f>IFERROR(__xludf.DUMMYFUNCTION("IF(OR($U373="""",COUNTIF($I:$I,IFERROR(unique(filter(Prod_Prop!$H:$H,Prod_Prop!$G:$G=$U373,Prod_Prop!$E:$E=V$1)),""Check""))=0),"""",IFERROR(unique(filter(Prod_Prop!$H:$H,Prod_Prop!$G:$G=$U373,Prod_Prop!$E:$E=V$1)),""""))"),"")</f>
        <v/>
      </c>
      <c r="W373" s="4" t="str">
        <f>IF(V373="","",SUMIFS(Prod_Prop!$J:$J,Prod_Prop!$B:$B,$Q373,Prod_Prop!$H:$H,V373,Prod_Prop!$I:$I,W$1)*IF(V373="Peso",$R373,1))</f>
        <v/>
      </c>
      <c r="X373" s="4" t="str">
        <f>IF(V373="","",SUMIFS(Prod_Prop!$J:$J,Prod_Prop!$B:$B,$Q373,Prod_Prop!$H:$H,V373,Prod_Prop!$I:$I,X$1)*IF(V373="Peso",$R373,1))</f>
        <v/>
      </c>
      <c r="Y373" s="4" t="str">
        <f>IFERROR(__xludf.DUMMYFUNCTION("IF(OR($U373="""",COUNTIF($I:$I,IFERROR(unique(filter(Prod_Prop!$H:$H,Prod_Prop!$G:$G=$U373,Prod_Prop!$E:$E=Y$1)),""Check""))=0),"""",IFERROR(unique(filter(Prod_Prop!$H:$H,Prod_Prop!$G:$G=$U373,Prod_Prop!$E:$E=Y$1)),""""))"),"")</f>
        <v/>
      </c>
      <c r="Z373" s="4" t="str">
        <f>IF(Y373="","",SUMIFS(Prod_Prop!$J:$J,Prod_Prop!$B:$B,$Q373,Prod_Prop!$H:$H,Y373,Prod_Prop!$I:$I,Z$1)*IF(Y373="Peso",$R373,1))</f>
        <v/>
      </c>
      <c r="AA373" s="4" t="str">
        <f>IF(Y373="","",SUMIFS(Prod_Prop!$J:$J,Prod_Prop!$B:$B,$Q373,Prod_Prop!$H:$H,Y373,Prod_Prop!$I:$I,AA$1)*IF(Y373="Peso",$R373,1))</f>
        <v/>
      </c>
      <c r="AB373" s="4" t="str">
        <f>IFERROR(__xludf.DUMMYFUNCTION("IF(OR($U373="""",COUNTIF($I:$I,IFERROR(unique(filter(Prod_Prop!$H:$H,Prod_Prop!$G:$G=$U373,Prod_Prop!$E:$E=AB$1)),""Check""))=0),"""",IFERROR(unique(filter(Prod_Prop!$H:$H,Prod_Prop!$G:$G=$U373,Prod_Prop!$E:$E=AB$1)),""""))"),"")</f>
        <v/>
      </c>
      <c r="AC373" s="4" t="str">
        <f>IF(AB373="","",SUMIFS(Prod_Prop!$J:$J,Prod_Prop!$B:$B,$Q373,Prod_Prop!$H:$H,AB373,Prod_Prop!$I:$I,AC$1)*IF(AB373="Peso",$R373,1))</f>
        <v/>
      </c>
      <c r="AD373" s="4" t="str">
        <f>IF(AB373="","",SUMIFS(Prod_Prop!$J:$J,Prod_Prop!$B:$B,$Q373,Prod_Prop!$H:$H,AB373,Prod_Prop!$I:$I,AD$1)*IF(AB373="Peso",$R373,1))</f>
        <v/>
      </c>
    </row>
    <row r="374">
      <c r="A374" s="4" t="str">
        <f t="array" ref="A374">IF(COUNTIF(A$1:A373,Cotizador!F$2)=maxifs(Familias!E:E,Familias!D:D,Cotizador!F$2),IF(COUNTIF(A$1:A373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4" s="4" t="str">
        <f t="shared" si="1"/>
        <v/>
      </c>
      <c r="C374" s="4" t="str">
        <f t="array" ref="C374">IF(B374="","",IF(A374=XLOOKUP(A$2,Implementos!B:B,Implementos!C:C,"",0,1),B374+maxifs(B$1:B373,A$1:A373,A$2),B374))</f>
        <v/>
      </c>
      <c r="D374" s="4" t="str">
        <f>IF(B374="","", COUNTIFS(Productos!F:F,A374,Productos!H:H,B374)+IF(F374="SI",0,1))</f>
        <v/>
      </c>
      <c r="E374" s="4" t="str">
        <f>IFERROR(__xludf.DUMMYFUNCTION("IF($B374="""","""",INDEX(filter(Familias!F:F,Familias!$D:$D=$A374,Familias!$E:$E=$B374),1))"),"")</f>
        <v/>
      </c>
      <c r="F374" s="4" t="str">
        <f>IFERROR(__xludf.DUMMYFUNCTION("IF($B374="""","""",INDEX(filter(Familias!G:G,Familias!$D:$D=$A374,Familias!$E:$E=$B374),1))"),"")</f>
        <v/>
      </c>
      <c r="G374" s="4" t="str">
        <f t="array" ref="G374">IF(C374=1,XLOOKUP(C374,Cotizador!D:D,Cotizador!E:E,"",0,1),"")</f>
        <v/>
      </c>
      <c r="I374" s="4"/>
      <c r="J374" s="8" t="str">
        <f>IF(I374="","",SUMIF(Cotizador!I$1:V$1,I374,Cotizador!I$2:V$2))</f>
        <v/>
      </c>
      <c r="L374" s="4" t="str">
        <f t="array" ref="L374">IF(COUNTIF(L$1:L373,A$2)=SUMIF(A:A,A$2,D:D),IF(COUNTIF(L$1:L373,XLOOKUP(A$2,Implementos!B:B,Implementos!C:C,"",0,1))=SUMIF(A:A,XLOOKUP(A$2,Implementos!B:B,Implementos!C:C,"",0,1),D:D),"",XLOOKUP(A$2,Implementos!B:B,Implementos!C:C,"",0,1)),A$2)</f>
        <v/>
      </c>
      <c r="M374" s="4" t="str">
        <f t="shared" si="2"/>
        <v/>
      </c>
      <c r="N374" s="4" t="str">
        <f t="shared" si="3"/>
        <v/>
      </c>
      <c r="O374" s="4" t="str">
        <f t="shared" si="4"/>
        <v/>
      </c>
      <c r="P374" s="4" t="str">
        <f t="shared" si="5"/>
        <v/>
      </c>
      <c r="Q374" s="4" t="str">
        <f>IF(U374="","",SUMIF(Productos!E:E,U374,Productos!A:A))</f>
        <v/>
      </c>
      <c r="R374" s="4" t="str">
        <f t="array" ref="R374">IF(L374="","", max(1,SUMIF(I:I,XLOOKUP(U374,Productos!E:E,Productos!G:G,"",0,1),J:J)))</f>
        <v/>
      </c>
      <c r="S374" s="4" t="str">
        <f>IF(Q374="","",IF(SUMIFS(Compat_Vetado!D:D,Compat_Vetado!B:B,SUM(G:G),Compat_Vetado!C:C,Q374)=1,"SI",IF(OR(SUMIF(Cotizador!E:E,Q374,Cotizador!G:G)&gt;0,SUMIFS(Compat_Vetado!D:D,Compat_Vetado!B:B,SUM(G:G),Compat_Vetado!C:C,Q374)=-1),"NO","")))</f>
        <v/>
      </c>
      <c r="T374" s="4" t="str">
        <f t="shared" si="6"/>
        <v/>
      </c>
      <c r="U374" s="4" t="str">
        <f>IFERROR(__xludf.DUMMYFUNCTION("IF(P374="""","""",IFERROR(INDEX(filter(Productos!E:E,Productos!F:F=L374,Productos!H:H=N374),P374),IF(M374=SUM(D:D),""Finalizar"",""-"")))"),"")</f>
        <v/>
      </c>
      <c r="V374" s="4" t="str">
        <f>IFERROR(__xludf.DUMMYFUNCTION("IF(OR($U374="""",COUNTIF($I:$I,IFERROR(unique(filter(Prod_Prop!$H:$H,Prod_Prop!$G:$G=$U374,Prod_Prop!$E:$E=V$1)),""Check""))=0),"""",IFERROR(unique(filter(Prod_Prop!$H:$H,Prod_Prop!$G:$G=$U374,Prod_Prop!$E:$E=V$1)),""""))"),"")</f>
        <v/>
      </c>
      <c r="W374" s="4" t="str">
        <f>IF(V374="","",SUMIFS(Prod_Prop!$J:$J,Prod_Prop!$B:$B,$Q374,Prod_Prop!$H:$H,V374,Prod_Prop!$I:$I,W$1)*IF(V374="Peso",$R374,1))</f>
        <v/>
      </c>
      <c r="X374" s="4" t="str">
        <f>IF(V374="","",SUMIFS(Prod_Prop!$J:$J,Prod_Prop!$B:$B,$Q374,Prod_Prop!$H:$H,V374,Prod_Prop!$I:$I,X$1)*IF(V374="Peso",$R374,1))</f>
        <v/>
      </c>
      <c r="Y374" s="4" t="str">
        <f>IFERROR(__xludf.DUMMYFUNCTION("IF(OR($U374="""",COUNTIF($I:$I,IFERROR(unique(filter(Prod_Prop!$H:$H,Prod_Prop!$G:$G=$U374,Prod_Prop!$E:$E=Y$1)),""Check""))=0),"""",IFERROR(unique(filter(Prod_Prop!$H:$H,Prod_Prop!$G:$G=$U374,Prod_Prop!$E:$E=Y$1)),""""))"),"")</f>
        <v/>
      </c>
      <c r="Z374" s="4" t="str">
        <f>IF(Y374="","",SUMIFS(Prod_Prop!$J:$J,Prod_Prop!$B:$B,$Q374,Prod_Prop!$H:$H,Y374,Prod_Prop!$I:$I,Z$1)*IF(Y374="Peso",$R374,1))</f>
        <v/>
      </c>
      <c r="AA374" s="4" t="str">
        <f>IF(Y374="","",SUMIFS(Prod_Prop!$J:$J,Prod_Prop!$B:$B,$Q374,Prod_Prop!$H:$H,Y374,Prod_Prop!$I:$I,AA$1)*IF(Y374="Peso",$R374,1))</f>
        <v/>
      </c>
      <c r="AB374" s="4" t="str">
        <f>IFERROR(__xludf.DUMMYFUNCTION("IF(OR($U374="""",COUNTIF($I:$I,IFERROR(unique(filter(Prod_Prop!$H:$H,Prod_Prop!$G:$G=$U374,Prod_Prop!$E:$E=AB$1)),""Check""))=0),"""",IFERROR(unique(filter(Prod_Prop!$H:$H,Prod_Prop!$G:$G=$U374,Prod_Prop!$E:$E=AB$1)),""""))"),"")</f>
        <v/>
      </c>
      <c r="AC374" s="4" t="str">
        <f>IF(AB374="","",SUMIFS(Prod_Prop!$J:$J,Prod_Prop!$B:$B,$Q374,Prod_Prop!$H:$H,AB374,Prod_Prop!$I:$I,AC$1)*IF(AB374="Peso",$R374,1))</f>
        <v/>
      </c>
      <c r="AD374" s="4" t="str">
        <f>IF(AB374="","",SUMIFS(Prod_Prop!$J:$J,Prod_Prop!$B:$B,$Q374,Prod_Prop!$H:$H,AB374,Prod_Prop!$I:$I,AD$1)*IF(AB374="Peso",$R374,1))</f>
        <v/>
      </c>
    </row>
    <row r="375">
      <c r="A375" s="4" t="str">
        <f t="array" ref="A375">IF(COUNTIF(A$1:A374,Cotizador!F$2)=maxifs(Familias!E:E,Familias!D:D,Cotizador!F$2),IF(COUNTIF(A$1:A374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5" s="4" t="str">
        <f t="shared" si="1"/>
        <v/>
      </c>
      <c r="C375" s="4" t="str">
        <f t="array" ref="C375">IF(B375="","",IF(A375=XLOOKUP(A$2,Implementos!B:B,Implementos!C:C,"",0,1),B375+maxifs(B$1:B374,A$1:A374,A$2),B375))</f>
        <v/>
      </c>
      <c r="D375" s="4" t="str">
        <f>IF(B375="","", COUNTIFS(Productos!F:F,A375,Productos!H:H,B375)+IF(F375="SI",0,1))</f>
        <v/>
      </c>
      <c r="E375" s="4" t="str">
        <f>IFERROR(__xludf.DUMMYFUNCTION("IF($B375="""","""",INDEX(filter(Familias!F:F,Familias!$D:$D=$A375,Familias!$E:$E=$B375),1))"),"")</f>
        <v/>
      </c>
      <c r="F375" s="4" t="str">
        <f>IFERROR(__xludf.DUMMYFUNCTION("IF($B375="""","""",INDEX(filter(Familias!G:G,Familias!$D:$D=$A375,Familias!$E:$E=$B375),1))"),"")</f>
        <v/>
      </c>
      <c r="G375" s="4" t="str">
        <f t="array" ref="G375">IF(C375=1,XLOOKUP(C375,Cotizador!D:D,Cotizador!E:E,"",0,1),"")</f>
        <v/>
      </c>
      <c r="I375" s="4"/>
      <c r="J375" s="8" t="str">
        <f>IF(I375="","",SUMIF(Cotizador!I$1:V$1,I375,Cotizador!I$2:V$2))</f>
        <v/>
      </c>
      <c r="L375" s="4" t="str">
        <f t="array" ref="L375">IF(COUNTIF(L$1:L374,A$2)=SUMIF(A:A,A$2,D:D),IF(COUNTIF(L$1:L374,XLOOKUP(A$2,Implementos!B:B,Implementos!C:C,"",0,1))=SUMIF(A:A,XLOOKUP(A$2,Implementos!B:B,Implementos!C:C,"",0,1),D:D),"",XLOOKUP(A$2,Implementos!B:B,Implementos!C:C,"",0,1)),A$2)</f>
        <v/>
      </c>
      <c r="M375" s="4" t="str">
        <f t="shared" si="2"/>
        <v/>
      </c>
      <c r="N375" s="4" t="str">
        <f t="shared" si="3"/>
        <v/>
      </c>
      <c r="O375" s="4" t="str">
        <f t="shared" si="4"/>
        <v/>
      </c>
      <c r="P375" s="4" t="str">
        <f t="shared" si="5"/>
        <v/>
      </c>
      <c r="Q375" s="4" t="str">
        <f>IF(U375="","",SUMIF(Productos!E:E,U375,Productos!A:A))</f>
        <v/>
      </c>
      <c r="R375" s="4" t="str">
        <f t="array" ref="R375">IF(L375="","", max(1,SUMIF(I:I,XLOOKUP(U375,Productos!E:E,Productos!G:G,"",0,1),J:J)))</f>
        <v/>
      </c>
      <c r="S375" s="4" t="str">
        <f>IF(Q375="","",IF(SUMIFS(Compat_Vetado!D:D,Compat_Vetado!B:B,SUM(G:G),Compat_Vetado!C:C,Q375)=1,"SI",IF(OR(SUMIF(Cotizador!E:E,Q375,Cotizador!G:G)&gt;0,SUMIFS(Compat_Vetado!D:D,Compat_Vetado!B:B,SUM(G:G),Compat_Vetado!C:C,Q375)=-1),"NO","")))</f>
        <v/>
      </c>
      <c r="T375" s="4" t="str">
        <f t="shared" si="6"/>
        <v/>
      </c>
      <c r="U375" s="4" t="str">
        <f>IFERROR(__xludf.DUMMYFUNCTION("IF(P375="""","""",IFERROR(INDEX(filter(Productos!E:E,Productos!F:F=L375,Productos!H:H=N375),P375),IF(M375=SUM(D:D),""Finalizar"",""-"")))"),"")</f>
        <v/>
      </c>
      <c r="V375" s="4" t="str">
        <f>IFERROR(__xludf.DUMMYFUNCTION("IF(OR($U375="""",COUNTIF($I:$I,IFERROR(unique(filter(Prod_Prop!$H:$H,Prod_Prop!$G:$G=$U375,Prod_Prop!$E:$E=V$1)),""Check""))=0),"""",IFERROR(unique(filter(Prod_Prop!$H:$H,Prod_Prop!$G:$G=$U375,Prod_Prop!$E:$E=V$1)),""""))"),"")</f>
        <v/>
      </c>
      <c r="W375" s="4" t="str">
        <f>IF(V375="","",SUMIFS(Prod_Prop!$J:$J,Prod_Prop!$B:$B,$Q375,Prod_Prop!$H:$H,V375,Prod_Prop!$I:$I,W$1)*IF(V375="Peso",$R375,1))</f>
        <v/>
      </c>
      <c r="X375" s="4" t="str">
        <f>IF(V375="","",SUMIFS(Prod_Prop!$J:$J,Prod_Prop!$B:$B,$Q375,Prod_Prop!$H:$H,V375,Prod_Prop!$I:$I,X$1)*IF(V375="Peso",$R375,1))</f>
        <v/>
      </c>
      <c r="Y375" s="4" t="str">
        <f>IFERROR(__xludf.DUMMYFUNCTION("IF(OR($U375="""",COUNTIF($I:$I,IFERROR(unique(filter(Prod_Prop!$H:$H,Prod_Prop!$G:$G=$U375,Prod_Prop!$E:$E=Y$1)),""Check""))=0),"""",IFERROR(unique(filter(Prod_Prop!$H:$H,Prod_Prop!$G:$G=$U375,Prod_Prop!$E:$E=Y$1)),""""))"),"")</f>
        <v/>
      </c>
      <c r="Z375" s="4" t="str">
        <f>IF(Y375="","",SUMIFS(Prod_Prop!$J:$J,Prod_Prop!$B:$B,$Q375,Prod_Prop!$H:$H,Y375,Prod_Prop!$I:$I,Z$1)*IF(Y375="Peso",$R375,1))</f>
        <v/>
      </c>
      <c r="AA375" s="4" t="str">
        <f>IF(Y375="","",SUMIFS(Prod_Prop!$J:$J,Prod_Prop!$B:$B,$Q375,Prod_Prop!$H:$H,Y375,Prod_Prop!$I:$I,AA$1)*IF(Y375="Peso",$R375,1))</f>
        <v/>
      </c>
      <c r="AB375" s="4" t="str">
        <f>IFERROR(__xludf.DUMMYFUNCTION("IF(OR($U375="""",COUNTIF($I:$I,IFERROR(unique(filter(Prod_Prop!$H:$H,Prod_Prop!$G:$G=$U375,Prod_Prop!$E:$E=AB$1)),""Check""))=0),"""",IFERROR(unique(filter(Prod_Prop!$H:$H,Prod_Prop!$G:$G=$U375,Prod_Prop!$E:$E=AB$1)),""""))"),"")</f>
        <v/>
      </c>
      <c r="AC375" s="4" t="str">
        <f>IF(AB375="","",SUMIFS(Prod_Prop!$J:$J,Prod_Prop!$B:$B,$Q375,Prod_Prop!$H:$H,AB375,Prod_Prop!$I:$I,AC$1)*IF(AB375="Peso",$R375,1))</f>
        <v/>
      </c>
      <c r="AD375" s="4" t="str">
        <f>IF(AB375="","",SUMIFS(Prod_Prop!$J:$J,Prod_Prop!$B:$B,$Q375,Prod_Prop!$H:$H,AB375,Prod_Prop!$I:$I,AD$1)*IF(AB375="Peso",$R375,1))</f>
        <v/>
      </c>
    </row>
    <row r="376">
      <c r="A376" s="4" t="str">
        <f t="array" ref="A376">IF(COUNTIF(A$1:A375,Cotizador!F$2)=maxifs(Familias!E:E,Familias!D:D,Cotizador!F$2),IF(COUNTIF(A$1:A375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6" s="4" t="str">
        <f t="shared" si="1"/>
        <v/>
      </c>
      <c r="C376" s="4" t="str">
        <f t="array" ref="C376">IF(B376="","",IF(A376=XLOOKUP(A$2,Implementos!B:B,Implementos!C:C,"",0,1),B376+maxifs(B$1:B375,A$1:A375,A$2),B376))</f>
        <v/>
      </c>
      <c r="D376" s="4" t="str">
        <f>IF(B376="","", COUNTIFS(Productos!F:F,A376,Productos!H:H,B376)+IF(F376="SI",0,1))</f>
        <v/>
      </c>
      <c r="E376" s="4" t="str">
        <f>IFERROR(__xludf.DUMMYFUNCTION("IF($B376="""","""",INDEX(filter(Familias!F:F,Familias!$D:$D=$A376,Familias!$E:$E=$B376),1))"),"")</f>
        <v/>
      </c>
      <c r="F376" s="4" t="str">
        <f>IFERROR(__xludf.DUMMYFUNCTION("IF($B376="""","""",INDEX(filter(Familias!G:G,Familias!$D:$D=$A376,Familias!$E:$E=$B376),1))"),"")</f>
        <v/>
      </c>
      <c r="G376" s="4" t="str">
        <f t="array" ref="G376">IF(C376=1,XLOOKUP(C376,Cotizador!D:D,Cotizador!E:E,"",0,1),"")</f>
        <v/>
      </c>
      <c r="I376" s="4"/>
      <c r="J376" s="8" t="str">
        <f>IF(I376="","",SUMIF(Cotizador!I$1:V$1,I376,Cotizador!I$2:V$2))</f>
        <v/>
      </c>
      <c r="L376" s="4" t="str">
        <f t="array" ref="L376">IF(COUNTIF(L$1:L375,A$2)=SUMIF(A:A,A$2,D:D),IF(COUNTIF(L$1:L375,XLOOKUP(A$2,Implementos!B:B,Implementos!C:C,"",0,1))=SUMIF(A:A,XLOOKUP(A$2,Implementos!B:B,Implementos!C:C,"",0,1),D:D),"",XLOOKUP(A$2,Implementos!B:B,Implementos!C:C,"",0,1)),A$2)</f>
        <v/>
      </c>
      <c r="M376" s="4" t="str">
        <f t="shared" si="2"/>
        <v/>
      </c>
      <c r="N376" s="4" t="str">
        <f t="shared" si="3"/>
        <v/>
      </c>
      <c r="O376" s="4" t="str">
        <f t="shared" si="4"/>
        <v/>
      </c>
      <c r="P376" s="4" t="str">
        <f t="shared" si="5"/>
        <v/>
      </c>
      <c r="Q376" s="4" t="str">
        <f>IF(U376="","",SUMIF(Productos!E:E,U376,Productos!A:A))</f>
        <v/>
      </c>
      <c r="R376" s="4" t="str">
        <f t="array" ref="R376">IF(L376="","", max(1,SUMIF(I:I,XLOOKUP(U376,Productos!E:E,Productos!G:G,"",0,1),J:J)))</f>
        <v/>
      </c>
      <c r="S376" s="4" t="str">
        <f>IF(Q376="","",IF(SUMIFS(Compat_Vetado!D:D,Compat_Vetado!B:B,SUM(G:G),Compat_Vetado!C:C,Q376)=1,"SI",IF(OR(SUMIF(Cotizador!E:E,Q376,Cotizador!G:G)&gt;0,SUMIFS(Compat_Vetado!D:D,Compat_Vetado!B:B,SUM(G:G),Compat_Vetado!C:C,Q376)=-1),"NO","")))</f>
        <v/>
      </c>
      <c r="T376" s="4" t="str">
        <f t="shared" si="6"/>
        <v/>
      </c>
      <c r="U376" s="4" t="str">
        <f>IFERROR(__xludf.DUMMYFUNCTION("IF(P376="""","""",IFERROR(INDEX(filter(Productos!E:E,Productos!F:F=L376,Productos!H:H=N376),P376),IF(M376=SUM(D:D),""Finalizar"",""-"")))"),"")</f>
        <v/>
      </c>
      <c r="V376" s="4" t="str">
        <f>IFERROR(__xludf.DUMMYFUNCTION("IF(OR($U376="""",COUNTIF($I:$I,IFERROR(unique(filter(Prod_Prop!$H:$H,Prod_Prop!$G:$G=$U376,Prod_Prop!$E:$E=V$1)),""Check""))=0),"""",IFERROR(unique(filter(Prod_Prop!$H:$H,Prod_Prop!$G:$G=$U376,Prod_Prop!$E:$E=V$1)),""""))"),"")</f>
        <v/>
      </c>
      <c r="W376" s="4" t="str">
        <f>IF(V376="","",SUMIFS(Prod_Prop!$J:$J,Prod_Prop!$B:$B,$Q376,Prod_Prop!$H:$H,V376,Prod_Prop!$I:$I,W$1)*IF(V376="Peso",$R376,1))</f>
        <v/>
      </c>
      <c r="X376" s="4" t="str">
        <f>IF(V376="","",SUMIFS(Prod_Prop!$J:$J,Prod_Prop!$B:$B,$Q376,Prod_Prop!$H:$H,V376,Prod_Prop!$I:$I,X$1)*IF(V376="Peso",$R376,1))</f>
        <v/>
      </c>
      <c r="Y376" s="4" t="str">
        <f>IFERROR(__xludf.DUMMYFUNCTION("IF(OR($U376="""",COUNTIF($I:$I,IFERROR(unique(filter(Prod_Prop!$H:$H,Prod_Prop!$G:$G=$U376,Prod_Prop!$E:$E=Y$1)),""Check""))=0),"""",IFERROR(unique(filter(Prod_Prop!$H:$H,Prod_Prop!$G:$G=$U376,Prod_Prop!$E:$E=Y$1)),""""))"),"")</f>
        <v/>
      </c>
      <c r="Z376" s="4" t="str">
        <f>IF(Y376="","",SUMIFS(Prod_Prop!$J:$J,Prod_Prop!$B:$B,$Q376,Prod_Prop!$H:$H,Y376,Prod_Prop!$I:$I,Z$1)*IF(Y376="Peso",$R376,1))</f>
        <v/>
      </c>
      <c r="AA376" s="4" t="str">
        <f>IF(Y376="","",SUMIFS(Prod_Prop!$J:$J,Prod_Prop!$B:$B,$Q376,Prod_Prop!$H:$H,Y376,Prod_Prop!$I:$I,AA$1)*IF(Y376="Peso",$R376,1))</f>
        <v/>
      </c>
      <c r="AB376" s="4" t="str">
        <f>IFERROR(__xludf.DUMMYFUNCTION("IF(OR($U376="""",COUNTIF($I:$I,IFERROR(unique(filter(Prod_Prop!$H:$H,Prod_Prop!$G:$G=$U376,Prod_Prop!$E:$E=AB$1)),""Check""))=0),"""",IFERROR(unique(filter(Prod_Prop!$H:$H,Prod_Prop!$G:$G=$U376,Prod_Prop!$E:$E=AB$1)),""""))"),"")</f>
        <v/>
      </c>
      <c r="AC376" s="4" t="str">
        <f>IF(AB376="","",SUMIFS(Prod_Prop!$J:$J,Prod_Prop!$B:$B,$Q376,Prod_Prop!$H:$H,AB376,Prod_Prop!$I:$I,AC$1)*IF(AB376="Peso",$R376,1))</f>
        <v/>
      </c>
      <c r="AD376" s="4" t="str">
        <f>IF(AB376="","",SUMIFS(Prod_Prop!$J:$J,Prod_Prop!$B:$B,$Q376,Prod_Prop!$H:$H,AB376,Prod_Prop!$I:$I,AD$1)*IF(AB376="Peso",$R376,1))</f>
        <v/>
      </c>
    </row>
    <row r="377">
      <c r="A377" s="4" t="str">
        <f t="array" ref="A377">IF(COUNTIF(A$1:A376,Cotizador!F$2)=maxifs(Familias!E:E,Familias!D:D,Cotizador!F$2),IF(COUNTIF(A$1:A376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7" s="4" t="str">
        <f t="shared" si="1"/>
        <v/>
      </c>
      <c r="C377" s="4" t="str">
        <f t="array" ref="C377">IF(B377="","",IF(A377=XLOOKUP(A$2,Implementos!B:B,Implementos!C:C,"",0,1),B377+maxifs(B$1:B376,A$1:A376,A$2),B377))</f>
        <v/>
      </c>
      <c r="D377" s="4" t="str">
        <f>IF(B377="","", COUNTIFS(Productos!F:F,A377,Productos!H:H,B377)+IF(F377="SI",0,1))</f>
        <v/>
      </c>
      <c r="E377" s="4" t="str">
        <f>IFERROR(__xludf.DUMMYFUNCTION("IF($B377="""","""",INDEX(filter(Familias!F:F,Familias!$D:$D=$A377,Familias!$E:$E=$B377),1))"),"")</f>
        <v/>
      </c>
      <c r="F377" s="4" t="str">
        <f>IFERROR(__xludf.DUMMYFUNCTION("IF($B377="""","""",INDEX(filter(Familias!G:G,Familias!$D:$D=$A377,Familias!$E:$E=$B377),1))"),"")</f>
        <v/>
      </c>
      <c r="G377" s="4" t="str">
        <f t="array" ref="G377">IF(C377=1,XLOOKUP(C377,Cotizador!D:D,Cotizador!E:E,"",0,1),"")</f>
        <v/>
      </c>
      <c r="I377" s="4"/>
      <c r="J377" s="8" t="str">
        <f>IF(I377="","",SUMIF(Cotizador!I$1:V$1,I377,Cotizador!I$2:V$2))</f>
        <v/>
      </c>
      <c r="L377" s="4" t="str">
        <f t="array" ref="L377">IF(COUNTIF(L$1:L376,A$2)=SUMIF(A:A,A$2,D:D),IF(COUNTIF(L$1:L376,XLOOKUP(A$2,Implementos!B:B,Implementos!C:C,"",0,1))=SUMIF(A:A,XLOOKUP(A$2,Implementos!B:B,Implementos!C:C,"",0,1),D:D),"",XLOOKUP(A$2,Implementos!B:B,Implementos!C:C,"",0,1)),A$2)</f>
        <v/>
      </c>
      <c r="M377" s="4" t="str">
        <f t="shared" si="2"/>
        <v/>
      </c>
      <c r="N377" s="4" t="str">
        <f t="shared" si="3"/>
        <v/>
      </c>
      <c r="O377" s="4" t="str">
        <f t="shared" si="4"/>
        <v/>
      </c>
      <c r="P377" s="4" t="str">
        <f t="shared" si="5"/>
        <v/>
      </c>
      <c r="Q377" s="4" t="str">
        <f>IF(U377="","",SUMIF(Productos!E:E,U377,Productos!A:A))</f>
        <v/>
      </c>
      <c r="R377" s="4" t="str">
        <f t="array" ref="R377">IF(L377="","", max(1,SUMIF(I:I,XLOOKUP(U377,Productos!E:E,Productos!G:G,"",0,1),J:J)))</f>
        <v/>
      </c>
      <c r="S377" s="4" t="str">
        <f>IF(Q377="","",IF(SUMIFS(Compat_Vetado!D:D,Compat_Vetado!B:B,SUM(G:G),Compat_Vetado!C:C,Q377)=1,"SI",IF(OR(SUMIF(Cotizador!E:E,Q377,Cotizador!G:G)&gt;0,SUMIFS(Compat_Vetado!D:D,Compat_Vetado!B:B,SUM(G:G),Compat_Vetado!C:C,Q377)=-1),"NO","")))</f>
        <v/>
      </c>
      <c r="T377" s="4" t="str">
        <f t="shared" si="6"/>
        <v/>
      </c>
      <c r="U377" s="4" t="str">
        <f>IFERROR(__xludf.DUMMYFUNCTION("IF(P377="""","""",IFERROR(INDEX(filter(Productos!E:E,Productos!F:F=L377,Productos!H:H=N377),P377),IF(M377=SUM(D:D),""Finalizar"",""-"")))"),"")</f>
        <v/>
      </c>
      <c r="V377" s="4" t="str">
        <f>IFERROR(__xludf.DUMMYFUNCTION("IF(OR($U377="""",COUNTIF($I:$I,IFERROR(unique(filter(Prod_Prop!$H:$H,Prod_Prop!$G:$G=$U377,Prod_Prop!$E:$E=V$1)),""Check""))=0),"""",IFERROR(unique(filter(Prod_Prop!$H:$H,Prod_Prop!$G:$G=$U377,Prod_Prop!$E:$E=V$1)),""""))"),"")</f>
        <v/>
      </c>
      <c r="W377" s="4" t="str">
        <f>IF(V377="","",SUMIFS(Prod_Prop!$J:$J,Prod_Prop!$B:$B,$Q377,Prod_Prop!$H:$H,V377,Prod_Prop!$I:$I,W$1)*IF(V377="Peso",$R377,1))</f>
        <v/>
      </c>
      <c r="X377" s="4" t="str">
        <f>IF(V377="","",SUMIFS(Prod_Prop!$J:$J,Prod_Prop!$B:$B,$Q377,Prod_Prop!$H:$H,V377,Prod_Prop!$I:$I,X$1)*IF(V377="Peso",$R377,1))</f>
        <v/>
      </c>
      <c r="Y377" s="4" t="str">
        <f>IFERROR(__xludf.DUMMYFUNCTION("IF(OR($U377="""",COUNTIF($I:$I,IFERROR(unique(filter(Prod_Prop!$H:$H,Prod_Prop!$G:$G=$U377,Prod_Prop!$E:$E=Y$1)),""Check""))=0),"""",IFERROR(unique(filter(Prod_Prop!$H:$H,Prod_Prop!$G:$G=$U377,Prod_Prop!$E:$E=Y$1)),""""))"),"")</f>
        <v/>
      </c>
      <c r="Z377" s="4" t="str">
        <f>IF(Y377="","",SUMIFS(Prod_Prop!$J:$J,Prod_Prop!$B:$B,$Q377,Prod_Prop!$H:$H,Y377,Prod_Prop!$I:$I,Z$1)*IF(Y377="Peso",$R377,1))</f>
        <v/>
      </c>
      <c r="AA377" s="4" t="str">
        <f>IF(Y377="","",SUMIFS(Prod_Prop!$J:$J,Prod_Prop!$B:$B,$Q377,Prod_Prop!$H:$H,Y377,Prod_Prop!$I:$I,AA$1)*IF(Y377="Peso",$R377,1))</f>
        <v/>
      </c>
      <c r="AB377" s="4" t="str">
        <f>IFERROR(__xludf.DUMMYFUNCTION("IF(OR($U377="""",COUNTIF($I:$I,IFERROR(unique(filter(Prod_Prop!$H:$H,Prod_Prop!$G:$G=$U377,Prod_Prop!$E:$E=AB$1)),""Check""))=0),"""",IFERROR(unique(filter(Prod_Prop!$H:$H,Prod_Prop!$G:$G=$U377,Prod_Prop!$E:$E=AB$1)),""""))"),"")</f>
        <v/>
      </c>
      <c r="AC377" s="4" t="str">
        <f>IF(AB377="","",SUMIFS(Prod_Prop!$J:$J,Prod_Prop!$B:$B,$Q377,Prod_Prop!$H:$H,AB377,Prod_Prop!$I:$I,AC$1)*IF(AB377="Peso",$R377,1))</f>
        <v/>
      </c>
      <c r="AD377" s="4" t="str">
        <f>IF(AB377="","",SUMIFS(Prod_Prop!$J:$J,Prod_Prop!$B:$B,$Q377,Prod_Prop!$H:$H,AB377,Prod_Prop!$I:$I,AD$1)*IF(AB377="Peso",$R377,1))</f>
        <v/>
      </c>
    </row>
    <row r="378">
      <c r="A378" s="4" t="str">
        <f t="array" ref="A378">IF(COUNTIF(A$1:A377,Cotizador!F$2)=maxifs(Familias!E:E,Familias!D:D,Cotizador!F$2),IF(COUNTIF(A$1:A377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8" s="4" t="str">
        <f t="shared" si="1"/>
        <v/>
      </c>
      <c r="C378" s="4" t="str">
        <f t="array" ref="C378">IF(B378="","",IF(A378=XLOOKUP(A$2,Implementos!B:B,Implementos!C:C,"",0,1),B378+maxifs(B$1:B377,A$1:A377,A$2),B378))</f>
        <v/>
      </c>
      <c r="D378" s="4" t="str">
        <f>IF(B378="","", COUNTIFS(Productos!F:F,A378,Productos!H:H,B378)+IF(F378="SI",0,1))</f>
        <v/>
      </c>
      <c r="E378" s="4" t="str">
        <f>IFERROR(__xludf.DUMMYFUNCTION("IF($B378="""","""",INDEX(filter(Familias!F:F,Familias!$D:$D=$A378,Familias!$E:$E=$B378),1))"),"")</f>
        <v/>
      </c>
      <c r="F378" s="4" t="str">
        <f>IFERROR(__xludf.DUMMYFUNCTION("IF($B378="""","""",INDEX(filter(Familias!G:G,Familias!$D:$D=$A378,Familias!$E:$E=$B378),1))"),"")</f>
        <v/>
      </c>
      <c r="G378" s="4" t="str">
        <f t="array" ref="G378">IF(C378=1,XLOOKUP(C378,Cotizador!D:D,Cotizador!E:E,"",0,1),"")</f>
        <v/>
      </c>
      <c r="I378" s="4"/>
      <c r="J378" s="8" t="str">
        <f>IF(I378="","",SUMIF(Cotizador!I$1:V$1,I378,Cotizador!I$2:V$2))</f>
        <v/>
      </c>
      <c r="L378" s="4" t="str">
        <f t="array" ref="L378">IF(COUNTIF(L$1:L377,A$2)=SUMIF(A:A,A$2,D:D),IF(COUNTIF(L$1:L377,XLOOKUP(A$2,Implementos!B:B,Implementos!C:C,"",0,1))=SUMIF(A:A,XLOOKUP(A$2,Implementos!B:B,Implementos!C:C,"",0,1),D:D),"",XLOOKUP(A$2,Implementos!B:B,Implementos!C:C,"",0,1)),A$2)</f>
        <v/>
      </c>
      <c r="M378" s="4" t="str">
        <f t="shared" si="2"/>
        <v/>
      </c>
      <c r="N378" s="4" t="str">
        <f t="shared" si="3"/>
        <v/>
      </c>
      <c r="O378" s="4" t="str">
        <f t="shared" si="4"/>
        <v/>
      </c>
      <c r="P378" s="4" t="str">
        <f t="shared" si="5"/>
        <v/>
      </c>
      <c r="Q378" s="4" t="str">
        <f>IF(U378="","",SUMIF(Productos!E:E,U378,Productos!A:A))</f>
        <v/>
      </c>
      <c r="R378" s="4" t="str">
        <f t="array" ref="R378">IF(L378="","", max(1,SUMIF(I:I,XLOOKUP(U378,Productos!E:E,Productos!G:G,"",0,1),J:J)))</f>
        <v/>
      </c>
      <c r="S378" s="4" t="str">
        <f>IF(Q378="","",IF(SUMIFS(Compat_Vetado!D:D,Compat_Vetado!B:B,SUM(G:G),Compat_Vetado!C:C,Q378)=1,"SI",IF(OR(SUMIF(Cotizador!E:E,Q378,Cotizador!G:G)&gt;0,SUMIFS(Compat_Vetado!D:D,Compat_Vetado!B:B,SUM(G:G),Compat_Vetado!C:C,Q378)=-1),"NO","")))</f>
        <v/>
      </c>
      <c r="T378" s="4" t="str">
        <f t="shared" si="6"/>
        <v/>
      </c>
      <c r="U378" s="4" t="str">
        <f>IFERROR(__xludf.DUMMYFUNCTION("IF(P378="""","""",IFERROR(INDEX(filter(Productos!E:E,Productos!F:F=L378,Productos!H:H=N378),P378),IF(M378=SUM(D:D),""Finalizar"",""-"")))"),"")</f>
        <v/>
      </c>
      <c r="V378" s="4" t="str">
        <f>IFERROR(__xludf.DUMMYFUNCTION("IF(OR($U378="""",COUNTIF($I:$I,IFERROR(unique(filter(Prod_Prop!$H:$H,Prod_Prop!$G:$G=$U378,Prod_Prop!$E:$E=V$1)),""Check""))=0),"""",IFERROR(unique(filter(Prod_Prop!$H:$H,Prod_Prop!$G:$G=$U378,Prod_Prop!$E:$E=V$1)),""""))"),"")</f>
        <v/>
      </c>
      <c r="W378" s="4" t="str">
        <f>IF(V378="","",SUMIFS(Prod_Prop!$J:$J,Prod_Prop!$B:$B,$Q378,Prod_Prop!$H:$H,V378,Prod_Prop!$I:$I,W$1)*IF(V378="Peso",$R378,1))</f>
        <v/>
      </c>
      <c r="X378" s="4" t="str">
        <f>IF(V378="","",SUMIFS(Prod_Prop!$J:$J,Prod_Prop!$B:$B,$Q378,Prod_Prop!$H:$H,V378,Prod_Prop!$I:$I,X$1)*IF(V378="Peso",$R378,1))</f>
        <v/>
      </c>
      <c r="Y378" s="4" t="str">
        <f>IFERROR(__xludf.DUMMYFUNCTION("IF(OR($U378="""",COUNTIF($I:$I,IFERROR(unique(filter(Prod_Prop!$H:$H,Prod_Prop!$G:$G=$U378,Prod_Prop!$E:$E=Y$1)),""Check""))=0),"""",IFERROR(unique(filter(Prod_Prop!$H:$H,Prod_Prop!$G:$G=$U378,Prod_Prop!$E:$E=Y$1)),""""))"),"")</f>
        <v/>
      </c>
      <c r="Z378" s="4" t="str">
        <f>IF(Y378="","",SUMIFS(Prod_Prop!$J:$J,Prod_Prop!$B:$B,$Q378,Prod_Prop!$H:$H,Y378,Prod_Prop!$I:$I,Z$1)*IF(Y378="Peso",$R378,1))</f>
        <v/>
      </c>
      <c r="AA378" s="4" t="str">
        <f>IF(Y378="","",SUMIFS(Prod_Prop!$J:$J,Prod_Prop!$B:$B,$Q378,Prod_Prop!$H:$H,Y378,Prod_Prop!$I:$I,AA$1)*IF(Y378="Peso",$R378,1))</f>
        <v/>
      </c>
      <c r="AB378" s="4" t="str">
        <f>IFERROR(__xludf.DUMMYFUNCTION("IF(OR($U378="""",COUNTIF($I:$I,IFERROR(unique(filter(Prod_Prop!$H:$H,Prod_Prop!$G:$G=$U378,Prod_Prop!$E:$E=AB$1)),""Check""))=0),"""",IFERROR(unique(filter(Prod_Prop!$H:$H,Prod_Prop!$G:$G=$U378,Prod_Prop!$E:$E=AB$1)),""""))"),"")</f>
        <v/>
      </c>
      <c r="AC378" s="4" t="str">
        <f>IF(AB378="","",SUMIFS(Prod_Prop!$J:$J,Prod_Prop!$B:$B,$Q378,Prod_Prop!$H:$H,AB378,Prod_Prop!$I:$I,AC$1)*IF(AB378="Peso",$R378,1))</f>
        <v/>
      </c>
      <c r="AD378" s="4" t="str">
        <f>IF(AB378="","",SUMIFS(Prod_Prop!$J:$J,Prod_Prop!$B:$B,$Q378,Prod_Prop!$H:$H,AB378,Prod_Prop!$I:$I,AD$1)*IF(AB378="Peso",$R378,1))</f>
        <v/>
      </c>
    </row>
    <row r="379">
      <c r="A379" s="4" t="str">
        <f t="array" ref="A379">IF(COUNTIF(A$1:A378,Cotizador!F$2)=maxifs(Familias!E:E,Familias!D:D,Cotizador!F$2),IF(COUNTIF(A$1:A378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79" s="4" t="str">
        <f t="shared" si="1"/>
        <v/>
      </c>
      <c r="C379" s="4" t="str">
        <f t="array" ref="C379">IF(B379="","",IF(A379=XLOOKUP(A$2,Implementos!B:B,Implementos!C:C,"",0,1),B379+maxifs(B$1:B378,A$1:A378,A$2),B379))</f>
        <v/>
      </c>
      <c r="D379" s="4" t="str">
        <f>IF(B379="","", COUNTIFS(Productos!F:F,A379,Productos!H:H,B379)+IF(F379="SI",0,1))</f>
        <v/>
      </c>
      <c r="E379" s="4" t="str">
        <f>IFERROR(__xludf.DUMMYFUNCTION("IF($B379="""","""",INDEX(filter(Familias!F:F,Familias!$D:$D=$A379,Familias!$E:$E=$B379),1))"),"")</f>
        <v/>
      </c>
      <c r="F379" s="4" t="str">
        <f>IFERROR(__xludf.DUMMYFUNCTION("IF($B379="""","""",INDEX(filter(Familias!G:G,Familias!$D:$D=$A379,Familias!$E:$E=$B379),1))"),"")</f>
        <v/>
      </c>
      <c r="G379" s="4" t="str">
        <f t="array" ref="G379">IF(C379=1,XLOOKUP(C379,Cotizador!D:D,Cotizador!E:E,"",0,1),"")</f>
        <v/>
      </c>
      <c r="I379" s="4"/>
      <c r="J379" s="8" t="str">
        <f>IF(I379="","",SUMIF(Cotizador!I$1:V$1,I379,Cotizador!I$2:V$2))</f>
        <v/>
      </c>
      <c r="L379" s="4" t="str">
        <f t="array" ref="L379">IF(COUNTIF(L$1:L378,A$2)=SUMIF(A:A,A$2,D:D),IF(COUNTIF(L$1:L378,XLOOKUP(A$2,Implementos!B:B,Implementos!C:C,"",0,1))=SUMIF(A:A,XLOOKUP(A$2,Implementos!B:B,Implementos!C:C,"",0,1),D:D),"",XLOOKUP(A$2,Implementos!B:B,Implementos!C:C,"",0,1)),A$2)</f>
        <v/>
      </c>
      <c r="M379" s="4" t="str">
        <f t="shared" si="2"/>
        <v/>
      </c>
      <c r="N379" s="4" t="str">
        <f t="shared" si="3"/>
        <v/>
      </c>
      <c r="O379" s="4" t="str">
        <f t="shared" si="4"/>
        <v/>
      </c>
      <c r="P379" s="4" t="str">
        <f t="shared" si="5"/>
        <v/>
      </c>
      <c r="Q379" s="4" t="str">
        <f>IF(U379="","",SUMIF(Productos!E:E,U379,Productos!A:A))</f>
        <v/>
      </c>
      <c r="R379" s="4" t="str">
        <f t="array" ref="R379">IF(L379="","", max(1,SUMIF(I:I,XLOOKUP(U379,Productos!E:E,Productos!G:G,"",0,1),J:J)))</f>
        <v/>
      </c>
      <c r="S379" s="4" t="str">
        <f>IF(Q379="","",IF(SUMIFS(Compat_Vetado!D:D,Compat_Vetado!B:B,SUM(G:G),Compat_Vetado!C:C,Q379)=1,"SI",IF(OR(SUMIF(Cotizador!E:E,Q379,Cotizador!G:G)&gt;0,SUMIFS(Compat_Vetado!D:D,Compat_Vetado!B:B,SUM(G:G),Compat_Vetado!C:C,Q379)=-1),"NO","")))</f>
        <v/>
      </c>
      <c r="T379" s="4" t="str">
        <f t="shared" si="6"/>
        <v/>
      </c>
      <c r="U379" s="4" t="str">
        <f>IFERROR(__xludf.DUMMYFUNCTION("IF(P379="""","""",IFERROR(INDEX(filter(Productos!E:E,Productos!F:F=L379,Productos!H:H=N379),P379),IF(M379=SUM(D:D),""Finalizar"",""-"")))"),"")</f>
        <v/>
      </c>
      <c r="V379" s="4" t="str">
        <f>IFERROR(__xludf.DUMMYFUNCTION("IF(OR($U379="""",COUNTIF($I:$I,IFERROR(unique(filter(Prod_Prop!$H:$H,Prod_Prop!$G:$G=$U379,Prod_Prop!$E:$E=V$1)),""Check""))=0),"""",IFERROR(unique(filter(Prod_Prop!$H:$H,Prod_Prop!$G:$G=$U379,Prod_Prop!$E:$E=V$1)),""""))"),"")</f>
        <v/>
      </c>
      <c r="W379" s="4" t="str">
        <f>IF(V379="","",SUMIFS(Prod_Prop!$J:$J,Prod_Prop!$B:$B,$Q379,Prod_Prop!$H:$H,V379,Prod_Prop!$I:$I,W$1)*IF(V379="Peso",$R379,1))</f>
        <v/>
      </c>
      <c r="X379" s="4" t="str">
        <f>IF(V379="","",SUMIFS(Prod_Prop!$J:$J,Prod_Prop!$B:$B,$Q379,Prod_Prop!$H:$H,V379,Prod_Prop!$I:$I,X$1)*IF(V379="Peso",$R379,1))</f>
        <v/>
      </c>
      <c r="Y379" s="4" t="str">
        <f>IFERROR(__xludf.DUMMYFUNCTION("IF(OR($U379="""",COUNTIF($I:$I,IFERROR(unique(filter(Prod_Prop!$H:$H,Prod_Prop!$G:$G=$U379,Prod_Prop!$E:$E=Y$1)),""Check""))=0),"""",IFERROR(unique(filter(Prod_Prop!$H:$H,Prod_Prop!$G:$G=$U379,Prod_Prop!$E:$E=Y$1)),""""))"),"")</f>
        <v/>
      </c>
      <c r="Z379" s="4" t="str">
        <f>IF(Y379="","",SUMIFS(Prod_Prop!$J:$J,Prod_Prop!$B:$B,$Q379,Prod_Prop!$H:$H,Y379,Prod_Prop!$I:$I,Z$1)*IF(Y379="Peso",$R379,1))</f>
        <v/>
      </c>
      <c r="AA379" s="4" t="str">
        <f>IF(Y379="","",SUMIFS(Prod_Prop!$J:$J,Prod_Prop!$B:$B,$Q379,Prod_Prop!$H:$H,Y379,Prod_Prop!$I:$I,AA$1)*IF(Y379="Peso",$R379,1))</f>
        <v/>
      </c>
      <c r="AB379" s="4" t="str">
        <f>IFERROR(__xludf.DUMMYFUNCTION("IF(OR($U379="""",COUNTIF($I:$I,IFERROR(unique(filter(Prod_Prop!$H:$H,Prod_Prop!$G:$G=$U379,Prod_Prop!$E:$E=AB$1)),""Check""))=0),"""",IFERROR(unique(filter(Prod_Prop!$H:$H,Prod_Prop!$G:$G=$U379,Prod_Prop!$E:$E=AB$1)),""""))"),"")</f>
        <v/>
      </c>
      <c r="AC379" s="4" t="str">
        <f>IF(AB379="","",SUMIFS(Prod_Prop!$J:$J,Prod_Prop!$B:$B,$Q379,Prod_Prop!$H:$H,AB379,Prod_Prop!$I:$I,AC$1)*IF(AB379="Peso",$R379,1))</f>
        <v/>
      </c>
      <c r="AD379" s="4" t="str">
        <f>IF(AB379="","",SUMIFS(Prod_Prop!$J:$J,Prod_Prop!$B:$B,$Q379,Prod_Prop!$H:$H,AB379,Prod_Prop!$I:$I,AD$1)*IF(AB379="Peso",$R379,1))</f>
        <v/>
      </c>
    </row>
    <row r="380">
      <c r="A380" s="4" t="str">
        <f t="array" ref="A380">IF(COUNTIF(A$1:A379,Cotizador!F$2)=maxifs(Familias!E:E,Familias!D:D,Cotizador!F$2),IF(COUNTIF(A$1:A379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0" s="4" t="str">
        <f t="shared" si="1"/>
        <v/>
      </c>
      <c r="C380" s="4" t="str">
        <f t="array" ref="C380">IF(B380="","",IF(A380=XLOOKUP(A$2,Implementos!B:B,Implementos!C:C,"",0,1),B380+maxifs(B$1:B379,A$1:A379,A$2),B380))</f>
        <v/>
      </c>
      <c r="D380" s="4" t="str">
        <f>IF(B380="","", COUNTIFS(Productos!F:F,A380,Productos!H:H,B380)+IF(F380="SI",0,1))</f>
        <v/>
      </c>
      <c r="E380" s="4" t="str">
        <f>IFERROR(__xludf.DUMMYFUNCTION("IF($B380="""","""",INDEX(filter(Familias!F:F,Familias!$D:$D=$A380,Familias!$E:$E=$B380),1))"),"")</f>
        <v/>
      </c>
      <c r="F380" s="4" t="str">
        <f>IFERROR(__xludf.DUMMYFUNCTION("IF($B380="""","""",INDEX(filter(Familias!G:G,Familias!$D:$D=$A380,Familias!$E:$E=$B380),1))"),"")</f>
        <v/>
      </c>
      <c r="G380" s="4" t="str">
        <f t="array" ref="G380">IF(C380=1,XLOOKUP(C380,Cotizador!D:D,Cotizador!E:E,"",0,1),"")</f>
        <v/>
      </c>
      <c r="I380" s="4"/>
      <c r="J380" s="8" t="str">
        <f>IF(I380="","",SUMIF(Cotizador!I$1:V$1,I380,Cotizador!I$2:V$2))</f>
        <v/>
      </c>
      <c r="L380" s="4" t="str">
        <f t="array" ref="L380">IF(COUNTIF(L$1:L379,A$2)=SUMIF(A:A,A$2,D:D),IF(COUNTIF(L$1:L379,XLOOKUP(A$2,Implementos!B:B,Implementos!C:C,"",0,1))=SUMIF(A:A,XLOOKUP(A$2,Implementos!B:B,Implementos!C:C,"",0,1),D:D),"",XLOOKUP(A$2,Implementos!B:B,Implementos!C:C,"",0,1)),A$2)</f>
        <v/>
      </c>
      <c r="M380" s="4" t="str">
        <f t="shared" si="2"/>
        <v/>
      </c>
      <c r="N380" s="4" t="str">
        <f t="shared" si="3"/>
        <v/>
      </c>
      <c r="O380" s="4" t="str">
        <f t="shared" si="4"/>
        <v/>
      </c>
      <c r="P380" s="4" t="str">
        <f t="shared" si="5"/>
        <v/>
      </c>
      <c r="Q380" s="4" t="str">
        <f>IF(U380="","",SUMIF(Productos!E:E,U380,Productos!A:A))</f>
        <v/>
      </c>
      <c r="R380" s="4" t="str">
        <f t="array" ref="R380">IF(L380="","", max(1,SUMIF(I:I,XLOOKUP(U380,Productos!E:E,Productos!G:G,"",0,1),J:J)))</f>
        <v/>
      </c>
      <c r="S380" s="4" t="str">
        <f>IF(Q380="","",IF(SUMIFS(Compat_Vetado!D:D,Compat_Vetado!B:B,SUM(G:G),Compat_Vetado!C:C,Q380)=1,"SI",IF(OR(SUMIF(Cotizador!E:E,Q380,Cotizador!G:G)&gt;0,SUMIFS(Compat_Vetado!D:D,Compat_Vetado!B:B,SUM(G:G),Compat_Vetado!C:C,Q380)=-1),"NO","")))</f>
        <v/>
      </c>
      <c r="T380" s="4" t="str">
        <f t="shared" si="6"/>
        <v/>
      </c>
      <c r="U380" s="4" t="str">
        <f>IFERROR(__xludf.DUMMYFUNCTION("IF(P380="""","""",IFERROR(INDEX(filter(Productos!E:E,Productos!F:F=L380,Productos!H:H=N380),P380),IF(M380=SUM(D:D),""Finalizar"",""-"")))"),"")</f>
        <v/>
      </c>
      <c r="V380" s="4" t="str">
        <f>IFERROR(__xludf.DUMMYFUNCTION("IF(OR($U380="""",COUNTIF($I:$I,IFERROR(unique(filter(Prod_Prop!$H:$H,Prod_Prop!$G:$G=$U380,Prod_Prop!$E:$E=V$1)),""Check""))=0),"""",IFERROR(unique(filter(Prod_Prop!$H:$H,Prod_Prop!$G:$G=$U380,Prod_Prop!$E:$E=V$1)),""""))"),"")</f>
        <v/>
      </c>
      <c r="W380" s="4" t="str">
        <f>IF(V380="","",SUMIFS(Prod_Prop!$J:$J,Prod_Prop!$B:$B,$Q380,Prod_Prop!$H:$H,V380,Prod_Prop!$I:$I,W$1)*IF(V380="Peso",$R380,1))</f>
        <v/>
      </c>
      <c r="X380" s="4" t="str">
        <f>IF(V380="","",SUMIFS(Prod_Prop!$J:$J,Prod_Prop!$B:$B,$Q380,Prod_Prop!$H:$H,V380,Prod_Prop!$I:$I,X$1)*IF(V380="Peso",$R380,1))</f>
        <v/>
      </c>
      <c r="Y380" s="4" t="str">
        <f>IFERROR(__xludf.DUMMYFUNCTION("IF(OR($U380="""",COUNTIF($I:$I,IFERROR(unique(filter(Prod_Prop!$H:$H,Prod_Prop!$G:$G=$U380,Prod_Prop!$E:$E=Y$1)),""Check""))=0),"""",IFERROR(unique(filter(Prod_Prop!$H:$H,Prod_Prop!$G:$G=$U380,Prod_Prop!$E:$E=Y$1)),""""))"),"")</f>
        <v/>
      </c>
      <c r="Z380" s="4" t="str">
        <f>IF(Y380="","",SUMIFS(Prod_Prop!$J:$J,Prod_Prop!$B:$B,$Q380,Prod_Prop!$H:$H,Y380,Prod_Prop!$I:$I,Z$1)*IF(Y380="Peso",$R380,1))</f>
        <v/>
      </c>
      <c r="AA380" s="4" t="str">
        <f>IF(Y380="","",SUMIFS(Prod_Prop!$J:$J,Prod_Prop!$B:$B,$Q380,Prod_Prop!$H:$H,Y380,Prod_Prop!$I:$I,AA$1)*IF(Y380="Peso",$R380,1))</f>
        <v/>
      </c>
      <c r="AB380" s="4" t="str">
        <f>IFERROR(__xludf.DUMMYFUNCTION("IF(OR($U380="""",COUNTIF($I:$I,IFERROR(unique(filter(Prod_Prop!$H:$H,Prod_Prop!$G:$G=$U380,Prod_Prop!$E:$E=AB$1)),""Check""))=0),"""",IFERROR(unique(filter(Prod_Prop!$H:$H,Prod_Prop!$G:$G=$U380,Prod_Prop!$E:$E=AB$1)),""""))"),"")</f>
        <v/>
      </c>
      <c r="AC380" s="4" t="str">
        <f>IF(AB380="","",SUMIFS(Prod_Prop!$J:$J,Prod_Prop!$B:$B,$Q380,Prod_Prop!$H:$H,AB380,Prod_Prop!$I:$I,AC$1)*IF(AB380="Peso",$R380,1))</f>
        <v/>
      </c>
      <c r="AD380" s="4" t="str">
        <f>IF(AB380="","",SUMIFS(Prod_Prop!$J:$J,Prod_Prop!$B:$B,$Q380,Prod_Prop!$H:$H,AB380,Prod_Prop!$I:$I,AD$1)*IF(AB380="Peso",$R380,1))</f>
        <v/>
      </c>
    </row>
    <row r="381">
      <c r="A381" s="4" t="str">
        <f t="array" ref="A381">IF(COUNTIF(A$1:A380,Cotizador!F$2)=maxifs(Familias!E:E,Familias!D:D,Cotizador!F$2),IF(COUNTIF(A$1:A380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1" s="4" t="str">
        <f t="shared" si="1"/>
        <v/>
      </c>
      <c r="C381" s="4" t="str">
        <f t="array" ref="C381">IF(B381="","",IF(A381=XLOOKUP(A$2,Implementos!B:B,Implementos!C:C,"",0,1),B381+maxifs(B$1:B380,A$1:A380,A$2),B381))</f>
        <v/>
      </c>
      <c r="D381" s="4" t="str">
        <f>IF(B381="","", COUNTIFS(Productos!F:F,A381,Productos!H:H,B381)+IF(F381="SI",0,1))</f>
        <v/>
      </c>
      <c r="E381" s="4" t="str">
        <f>IFERROR(__xludf.DUMMYFUNCTION("IF($B381="""","""",INDEX(filter(Familias!F:F,Familias!$D:$D=$A381,Familias!$E:$E=$B381),1))"),"")</f>
        <v/>
      </c>
      <c r="F381" s="4" t="str">
        <f>IFERROR(__xludf.DUMMYFUNCTION("IF($B381="""","""",INDEX(filter(Familias!G:G,Familias!$D:$D=$A381,Familias!$E:$E=$B381),1))"),"")</f>
        <v/>
      </c>
      <c r="G381" s="4" t="str">
        <f t="array" ref="G381">IF(C381=1,XLOOKUP(C381,Cotizador!D:D,Cotizador!E:E,"",0,1),"")</f>
        <v/>
      </c>
      <c r="I381" s="4"/>
      <c r="J381" s="8" t="str">
        <f>IF(I381="","",SUMIF(Cotizador!I$1:V$1,I381,Cotizador!I$2:V$2))</f>
        <v/>
      </c>
      <c r="L381" s="4" t="str">
        <f t="array" ref="L381">IF(COUNTIF(L$1:L380,A$2)=SUMIF(A:A,A$2,D:D),IF(COUNTIF(L$1:L380,XLOOKUP(A$2,Implementos!B:B,Implementos!C:C,"",0,1))=SUMIF(A:A,XLOOKUP(A$2,Implementos!B:B,Implementos!C:C,"",0,1),D:D),"",XLOOKUP(A$2,Implementos!B:B,Implementos!C:C,"",0,1)),A$2)</f>
        <v/>
      </c>
      <c r="M381" s="4" t="str">
        <f t="shared" si="2"/>
        <v/>
      </c>
      <c r="N381" s="4" t="str">
        <f t="shared" si="3"/>
        <v/>
      </c>
      <c r="O381" s="4" t="str">
        <f t="shared" si="4"/>
        <v/>
      </c>
      <c r="P381" s="4" t="str">
        <f t="shared" si="5"/>
        <v/>
      </c>
      <c r="Q381" s="4" t="str">
        <f>IF(U381="","",SUMIF(Productos!E:E,U381,Productos!A:A))</f>
        <v/>
      </c>
      <c r="R381" s="4" t="str">
        <f t="array" ref="R381">IF(L381="","", max(1,SUMIF(I:I,XLOOKUP(U381,Productos!E:E,Productos!G:G,"",0,1),J:J)))</f>
        <v/>
      </c>
      <c r="S381" s="4" t="str">
        <f>IF(Q381="","",IF(SUMIFS(Compat_Vetado!D:D,Compat_Vetado!B:B,SUM(G:G),Compat_Vetado!C:C,Q381)=1,"SI",IF(OR(SUMIF(Cotizador!E:E,Q381,Cotizador!G:G)&gt;0,SUMIFS(Compat_Vetado!D:D,Compat_Vetado!B:B,SUM(G:G),Compat_Vetado!C:C,Q381)=-1),"NO","")))</f>
        <v/>
      </c>
      <c r="T381" s="4" t="str">
        <f t="shared" si="6"/>
        <v/>
      </c>
      <c r="U381" s="4" t="str">
        <f>IFERROR(__xludf.DUMMYFUNCTION("IF(P381="""","""",IFERROR(INDEX(filter(Productos!E:E,Productos!F:F=L381,Productos!H:H=N381),P381),IF(M381=SUM(D:D),""Finalizar"",""-"")))"),"")</f>
        <v/>
      </c>
      <c r="V381" s="4" t="str">
        <f>IFERROR(__xludf.DUMMYFUNCTION("IF(OR($U381="""",COUNTIF($I:$I,IFERROR(unique(filter(Prod_Prop!$H:$H,Prod_Prop!$G:$G=$U381,Prod_Prop!$E:$E=V$1)),""Check""))=0),"""",IFERROR(unique(filter(Prod_Prop!$H:$H,Prod_Prop!$G:$G=$U381,Prod_Prop!$E:$E=V$1)),""""))"),"")</f>
        <v/>
      </c>
      <c r="W381" s="4" t="str">
        <f>IF(V381="","",SUMIFS(Prod_Prop!$J:$J,Prod_Prop!$B:$B,$Q381,Prod_Prop!$H:$H,V381,Prod_Prop!$I:$I,W$1)*IF(V381="Peso",$R381,1))</f>
        <v/>
      </c>
      <c r="X381" s="4" t="str">
        <f>IF(V381="","",SUMIFS(Prod_Prop!$J:$J,Prod_Prop!$B:$B,$Q381,Prod_Prop!$H:$H,V381,Prod_Prop!$I:$I,X$1)*IF(V381="Peso",$R381,1))</f>
        <v/>
      </c>
      <c r="Y381" s="4" t="str">
        <f>IFERROR(__xludf.DUMMYFUNCTION("IF(OR($U381="""",COUNTIF($I:$I,IFERROR(unique(filter(Prod_Prop!$H:$H,Prod_Prop!$G:$G=$U381,Prod_Prop!$E:$E=Y$1)),""Check""))=0),"""",IFERROR(unique(filter(Prod_Prop!$H:$H,Prod_Prop!$G:$G=$U381,Prod_Prop!$E:$E=Y$1)),""""))"),"")</f>
        <v/>
      </c>
      <c r="Z381" s="4" t="str">
        <f>IF(Y381="","",SUMIFS(Prod_Prop!$J:$J,Prod_Prop!$B:$B,$Q381,Prod_Prop!$H:$H,Y381,Prod_Prop!$I:$I,Z$1)*IF(Y381="Peso",$R381,1))</f>
        <v/>
      </c>
      <c r="AA381" s="4" t="str">
        <f>IF(Y381="","",SUMIFS(Prod_Prop!$J:$J,Prod_Prop!$B:$B,$Q381,Prod_Prop!$H:$H,Y381,Prod_Prop!$I:$I,AA$1)*IF(Y381="Peso",$R381,1))</f>
        <v/>
      </c>
      <c r="AB381" s="4" t="str">
        <f>IFERROR(__xludf.DUMMYFUNCTION("IF(OR($U381="""",COUNTIF($I:$I,IFERROR(unique(filter(Prod_Prop!$H:$H,Prod_Prop!$G:$G=$U381,Prod_Prop!$E:$E=AB$1)),""Check""))=0),"""",IFERROR(unique(filter(Prod_Prop!$H:$H,Prod_Prop!$G:$G=$U381,Prod_Prop!$E:$E=AB$1)),""""))"),"")</f>
        <v/>
      </c>
      <c r="AC381" s="4" t="str">
        <f>IF(AB381="","",SUMIFS(Prod_Prop!$J:$J,Prod_Prop!$B:$B,$Q381,Prod_Prop!$H:$H,AB381,Prod_Prop!$I:$I,AC$1)*IF(AB381="Peso",$R381,1))</f>
        <v/>
      </c>
      <c r="AD381" s="4" t="str">
        <f>IF(AB381="","",SUMIFS(Prod_Prop!$J:$J,Prod_Prop!$B:$B,$Q381,Prod_Prop!$H:$H,AB381,Prod_Prop!$I:$I,AD$1)*IF(AB381="Peso",$R381,1))</f>
        <v/>
      </c>
    </row>
    <row r="382">
      <c r="A382" s="4" t="str">
        <f t="array" ref="A382">IF(COUNTIF(A$1:A381,Cotizador!F$2)=maxifs(Familias!E:E,Familias!D:D,Cotizador!F$2),IF(COUNTIF(A$1:A381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2" s="4" t="str">
        <f t="shared" si="1"/>
        <v/>
      </c>
      <c r="C382" s="4" t="str">
        <f t="array" ref="C382">IF(B382="","",IF(A382=XLOOKUP(A$2,Implementos!B:B,Implementos!C:C,"",0,1),B382+maxifs(B$1:B381,A$1:A381,A$2),B382))</f>
        <v/>
      </c>
      <c r="D382" s="4" t="str">
        <f>IF(B382="","", COUNTIFS(Productos!F:F,A382,Productos!H:H,B382)+IF(F382="SI",0,1))</f>
        <v/>
      </c>
      <c r="E382" s="4" t="str">
        <f>IFERROR(__xludf.DUMMYFUNCTION("IF($B382="""","""",INDEX(filter(Familias!F:F,Familias!$D:$D=$A382,Familias!$E:$E=$B382),1))"),"")</f>
        <v/>
      </c>
      <c r="F382" s="4" t="str">
        <f>IFERROR(__xludf.DUMMYFUNCTION("IF($B382="""","""",INDEX(filter(Familias!G:G,Familias!$D:$D=$A382,Familias!$E:$E=$B382),1))"),"")</f>
        <v/>
      </c>
      <c r="G382" s="4" t="str">
        <f t="array" ref="G382">IF(C382=1,XLOOKUP(C382,Cotizador!D:D,Cotizador!E:E,"",0,1),"")</f>
        <v/>
      </c>
      <c r="I382" s="4"/>
      <c r="J382" s="8" t="str">
        <f>IF(I382="","",SUMIF(Cotizador!I$1:V$1,I382,Cotizador!I$2:V$2))</f>
        <v/>
      </c>
      <c r="L382" s="4" t="str">
        <f t="array" ref="L382">IF(COUNTIF(L$1:L381,A$2)=SUMIF(A:A,A$2,D:D),IF(COUNTIF(L$1:L381,XLOOKUP(A$2,Implementos!B:B,Implementos!C:C,"",0,1))=SUMIF(A:A,XLOOKUP(A$2,Implementos!B:B,Implementos!C:C,"",0,1),D:D),"",XLOOKUP(A$2,Implementos!B:B,Implementos!C:C,"",0,1)),A$2)</f>
        <v/>
      </c>
      <c r="M382" s="4" t="str">
        <f t="shared" si="2"/>
        <v/>
      </c>
      <c r="N382" s="4" t="str">
        <f t="shared" si="3"/>
        <v/>
      </c>
      <c r="O382" s="4" t="str">
        <f t="shared" si="4"/>
        <v/>
      </c>
      <c r="P382" s="4" t="str">
        <f t="shared" si="5"/>
        <v/>
      </c>
      <c r="Q382" s="4" t="str">
        <f>IF(U382="","",SUMIF(Productos!E:E,U382,Productos!A:A))</f>
        <v/>
      </c>
      <c r="R382" s="4" t="str">
        <f t="array" ref="R382">IF(L382="","", max(1,SUMIF(I:I,XLOOKUP(U382,Productos!E:E,Productos!G:G,"",0,1),J:J)))</f>
        <v/>
      </c>
      <c r="S382" s="4" t="str">
        <f>IF(Q382="","",IF(SUMIFS(Compat_Vetado!D:D,Compat_Vetado!B:B,SUM(G:G),Compat_Vetado!C:C,Q382)=1,"SI",IF(OR(SUMIF(Cotizador!E:E,Q382,Cotizador!G:G)&gt;0,SUMIFS(Compat_Vetado!D:D,Compat_Vetado!B:B,SUM(G:G),Compat_Vetado!C:C,Q382)=-1),"NO","")))</f>
        <v/>
      </c>
      <c r="T382" s="4" t="str">
        <f t="shared" si="6"/>
        <v/>
      </c>
      <c r="U382" s="4" t="str">
        <f>IFERROR(__xludf.DUMMYFUNCTION("IF(P382="""","""",IFERROR(INDEX(filter(Productos!E:E,Productos!F:F=L382,Productos!H:H=N382),P382),IF(M382=SUM(D:D),""Finalizar"",""-"")))"),"")</f>
        <v/>
      </c>
      <c r="V382" s="4" t="str">
        <f>IFERROR(__xludf.DUMMYFUNCTION("IF(OR($U382="""",COUNTIF($I:$I,IFERROR(unique(filter(Prod_Prop!$H:$H,Prod_Prop!$G:$G=$U382,Prod_Prop!$E:$E=V$1)),""Check""))=0),"""",IFERROR(unique(filter(Prod_Prop!$H:$H,Prod_Prop!$G:$G=$U382,Prod_Prop!$E:$E=V$1)),""""))"),"")</f>
        <v/>
      </c>
      <c r="W382" s="4" t="str">
        <f>IF(V382="","",SUMIFS(Prod_Prop!$J:$J,Prod_Prop!$B:$B,$Q382,Prod_Prop!$H:$H,V382,Prod_Prop!$I:$I,W$1)*IF(V382="Peso",$R382,1))</f>
        <v/>
      </c>
      <c r="X382" s="4" t="str">
        <f>IF(V382="","",SUMIFS(Prod_Prop!$J:$J,Prod_Prop!$B:$B,$Q382,Prod_Prop!$H:$H,V382,Prod_Prop!$I:$I,X$1)*IF(V382="Peso",$R382,1))</f>
        <v/>
      </c>
      <c r="Y382" s="4" t="str">
        <f>IFERROR(__xludf.DUMMYFUNCTION("IF(OR($U382="""",COUNTIF($I:$I,IFERROR(unique(filter(Prod_Prop!$H:$H,Prod_Prop!$G:$G=$U382,Prod_Prop!$E:$E=Y$1)),""Check""))=0),"""",IFERROR(unique(filter(Prod_Prop!$H:$H,Prod_Prop!$G:$G=$U382,Prod_Prop!$E:$E=Y$1)),""""))"),"")</f>
        <v/>
      </c>
      <c r="Z382" s="4" t="str">
        <f>IF(Y382="","",SUMIFS(Prod_Prop!$J:$J,Prod_Prop!$B:$B,$Q382,Prod_Prop!$H:$H,Y382,Prod_Prop!$I:$I,Z$1)*IF(Y382="Peso",$R382,1))</f>
        <v/>
      </c>
      <c r="AA382" s="4" t="str">
        <f>IF(Y382="","",SUMIFS(Prod_Prop!$J:$J,Prod_Prop!$B:$B,$Q382,Prod_Prop!$H:$H,Y382,Prod_Prop!$I:$I,AA$1)*IF(Y382="Peso",$R382,1))</f>
        <v/>
      </c>
      <c r="AB382" s="4" t="str">
        <f>IFERROR(__xludf.DUMMYFUNCTION("IF(OR($U382="""",COUNTIF($I:$I,IFERROR(unique(filter(Prod_Prop!$H:$H,Prod_Prop!$G:$G=$U382,Prod_Prop!$E:$E=AB$1)),""Check""))=0),"""",IFERROR(unique(filter(Prod_Prop!$H:$H,Prod_Prop!$G:$G=$U382,Prod_Prop!$E:$E=AB$1)),""""))"),"")</f>
        <v/>
      </c>
      <c r="AC382" s="4" t="str">
        <f>IF(AB382="","",SUMIFS(Prod_Prop!$J:$J,Prod_Prop!$B:$B,$Q382,Prod_Prop!$H:$H,AB382,Prod_Prop!$I:$I,AC$1)*IF(AB382="Peso",$R382,1))</f>
        <v/>
      </c>
      <c r="AD382" s="4" t="str">
        <f>IF(AB382="","",SUMIFS(Prod_Prop!$J:$J,Prod_Prop!$B:$B,$Q382,Prod_Prop!$H:$H,AB382,Prod_Prop!$I:$I,AD$1)*IF(AB382="Peso",$R382,1))</f>
        <v/>
      </c>
    </row>
    <row r="383">
      <c r="A383" s="4" t="str">
        <f t="array" ref="A383">IF(COUNTIF(A$1:A382,Cotizador!F$2)=maxifs(Familias!E:E,Familias!D:D,Cotizador!F$2),IF(COUNTIF(A$1:A382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3" s="4" t="str">
        <f t="shared" si="1"/>
        <v/>
      </c>
      <c r="C383" s="4" t="str">
        <f t="array" ref="C383">IF(B383="","",IF(A383=XLOOKUP(A$2,Implementos!B:B,Implementos!C:C,"",0,1),B383+maxifs(B$1:B382,A$1:A382,A$2),B383))</f>
        <v/>
      </c>
      <c r="D383" s="4" t="str">
        <f>IF(B383="","", COUNTIFS(Productos!F:F,A383,Productos!H:H,B383)+IF(F383="SI",0,1))</f>
        <v/>
      </c>
      <c r="E383" s="4" t="str">
        <f>IFERROR(__xludf.DUMMYFUNCTION("IF($B383="""","""",INDEX(filter(Familias!F:F,Familias!$D:$D=$A383,Familias!$E:$E=$B383),1))"),"")</f>
        <v/>
      </c>
      <c r="F383" s="4" t="str">
        <f>IFERROR(__xludf.DUMMYFUNCTION("IF($B383="""","""",INDEX(filter(Familias!G:G,Familias!$D:$D=$A383,Familias!$E:$E=$B383),1))"),"")</f>
        <v/>
      </c>
      <c r="G383" s="4" t="str">
        <f t="array" ref="G383">IF(C383=1,XLOOKUP(C383,Cotizador!D:D,Cotizador!E:E,"",0,1),"")</f>
        <v/>
      </c>
      <c r="I383" s="4"/>
      <c r="J383" s="8" t="str">
        <f>IF(I383="","",SUMIF(Cotizador!I$1:V$1,I383,Cotizador!I$2:V$2))</f>
        <v/>
      </c>
      <c r="L383" s="4" t="str">
        <f t="array" ref="L383">IF(COUNTIF(L$1:L382,A$2)=SUMIF(A:A,A$2,D:D),IF(COUNTIF(L$1:L382,XLOOKUP(A$2,Implementos!B:B,Implementos!C:C,"",0,1))=SUMIF(A:A,XLOOKUP(A$2,Implementos!B:B,Implementos!C:C,"",0,1),D:D),"",XLOOKUP(A$2,Implementos!B:B,Implementos!C:C,"",0,1)),A$2)</f>
        <v/>
      </c>
      <c r="M383" s="4" t="str">
        <f t="shared" si="2"/>
        <v/>
      </c>
      <c r="N383" s="4" t="str">
        <f t="shared" si="3"/>
        <v/>
      </c>
      <c r="O383" s="4" t="str">
        <f t="shared" si="4"/>
        <v/>
      </c>
      <c r="P383" s="4" t="str">
        <f t="shared" si="5"/>
        <v/>
      </c>
      <c r="Q383" s="4" t="str">
        <f>IF(U383="","",SUMIF(Productos!E:E,U383,Productos!A:A))</f>
        <v/>
      </c>
      <c r="R383" s="4" t="str">
        <f t="array" ref="R383">IF(L383="","", max(1,SUMIF(I:I,XLOOKUP(U383,Productos!E:E,Productos!G:G,"",0,1),J:J)))</f>
        <v/>
      </c>
      <c r="S383" s="4" t="str">
        <f>IF(Q383="","",IF(SUMIFS(Compat_Vetado!D:D,Compat_Vetado!B:B,SUM(G:G),Compat_Vetado!C:C,Q383)=1,"SI",IF(OR(SUMIF(Cotizador!E:E,Q383,Cotizador!G:G)&gt;0,SUMIFS(Compat_Vetado!D:D,Compat_Vetado!B:B,SUM(G:G),Compat_Vetado!C:C,Q383)=-1),"NO","")))</f>
        <v/>
      </c>
      <c r="T383" s="4" t="str">
        <f t="shared" si="6"/>
        <v/>
      </c>
      <c r="U383" s="4" t="str">
        <f>IFERROR(__xludf.DUMMYFUNCTION("IF(P383="""","""",IFERROR(INDEX(filter(Productos!E:E,Productos!F:F=L383,Productos!H:H=N383),P383),IF(M383=SUM(D:D),""Finalizar"",""-"")))"),"")</f>
        <v/>
      </c>
      <c r="V383" s="4" t="str">
        <f>IFERROR(__xludf.DUMMYFUNCTION("IF(OR($U383="""",COUNTIF($I:$I,IFERROR(unique(filter(Prod_Prop!$H:$H,Prod_Prop!$G:$G=$U383,Prod_Prop!$E:$E=V$1)),""Check""))=0),"""",IFERROR(unique(filter(Prod_Prop!$H:$H,Prod_Prop!$G:$G=$U383,Prod_Prop!$E:$E=V$1)),""""))"),"")</f>
        <v/>
      </c>
      <c r="W383" s="4" t="str">
        <f>IF(V383="","",SUMIFS(Prod_Prop!$J:$J,Prod_Prop!$B:$B,$Q383,Prod_Prop!$H:$H,V383,Prod_Prop!$I:$I,W$1)*IF(V383="Peso",$R383,1))</f>
        <v/>
      </c>
      <c r="X383" s="4" t="str">
        <f>IF(V383="","",SUMIFS(Prod_Prop!$J:$J,Prod_Prop!$B:$B,$Q383,Prod_Prop!$H:$H,V383,Prod_Prop!$I:$I,X$1)*IF(V383="Peso",$R383,1))</f>
        <v/>
      </c>
      <c r="Y383" s="4" t="str">
        <f>IFERROR(__xludf.DUMMYFUNCTION("IF(OR($U383="""",COUNTIF($I:$I,IFERROR(unique(filter(Prod_Prop!$H:$H,Prod_Prop!$G:$G=$U383,Prod_Prop!$E:$E=Y$1)),""Check""))=0),"""",IFERROR(unique(filter(Prod_Prop!$H:$H,Prod_Prop!$G:$G=$U383,Prod_Prop!$E:$E=Y$1)),""""))"),"")</f>
        <v/>
      </c>
      <c r="Z383" s="4" t="str">
        <f>IF(Y383="","",SUMIFS(Prod_Prop!$J:$J,Prod_Prop!$B:$B,$Q383,Prod_Prop!$H:$H,Y383,Prod_Prop!$I:$I,Z$1)*IF(Y383="Peso",$R383,1))</f>
        <v/>
      </c>
      <c r="AA383" s="4" t="str">
        <f>IF(Y383="","",SUMIFS(Prod_Prop!$J:$J,Prod_Prop!$B:$B,$Q383,Prod_Prop!$H:$H,Y383,Prod_Prop!$I:$I,AA$1)*IF(Y383="Peso",$R383,1))</f>
        <v/>
      </c>
      <c r="AB383" s="4" t="str">
        <f>IFERROR(__xludf.DUMMYFUNCTION("IF(OR($U383="""",COUNTIF($I:$I,IFERROR(unique(filter(Prod_Prop!$H:$H,Prod_Prop!$G:$G=$U383,Prod_Prop!$E:$E=AB$1)),""Check""))=0),"""",IFERROR(unique(filter(Prod_Prop!$H:$H,Prod_Prop!$G:$G=$U383,Prod_Prop!$E:$E=AB$1)),""""))"),"")</f>
        <v/>
      </c>
      <c r="AC383" s="4" t="str">
        <f>IF(AB383="","",SUMIFS(Prod_Prop!$J:$J,Prod_Prop!$B:$B,$Q383,Prod_Prop!$H:$H,AB383,Prod_Prop!$I:$I,AC$1)*IF(AB383="Peso",$R383,1))</f>
        <v/>
      </c>
      <c r="AD383" s="4" t="str">
        <f>IF(AB383="","",SUMIFS(Prod_Prop!$J:$J,Prod_Prop!$B:$B,$Q383,Prod_Prop!$H:$H,AB383,Prod_Prop!$I:$I,AD$1)*IF(AB383="Peso",$R383,1))</f>
        <v/>
      </c>
    </row>
    <row r="384">
      <c r="A384" s="4" t="str">
        <f t="array" ref="A384">IF(COUNTIF(A$1:A383,Cotizador!F$2)=maxifs(Familias!E:E,Familias!D:D,Cotizador!F$2),IF(COUNTIF(A$1:A383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4" s="4" t="str">
        <f t="shared" si="1"/>
        <v/>
      </c>
      <c r="C384" s="4" t="str">
        <f t="array" ref="C384">IF(B384="","",IF(A384=XLOOKUP(A$2,Implementos!B:B,Implementos!C:C,"",0,1),B384+maxifs(B$1:B383,A$1:A383,A$2),B384))</f>
        <v/>
      </c>
      <c r="D384" s="4" t="str">
        <f>IF(B384="","", COUNTIFS(Productos!F:F,A384,Productos!H:H,B384)+IF(F384="SI",0,1))</f>
        <v/>
      </c>
      <c r="E384" s="4" t="str">
        <f>IFERROR(__xludf.DUMMYFUNCTION("IF($B384="""","""",INDEX(filter(Familias!F:F,Familias!$D:$D=$A384,Familias!$E:$E=$B384),1))"),"")</f>
        <v/>
      </c>
      <c r="F384" s="4" t="str">
        <f>IFERROR(__xludf.DUMMYFUNCTION("IF($B384="""","""",INDEX(filter(Familias!G:G,Familias!$D:$D=$A384,Familias!$E:$E=$B384),1))"),"")</f>
        <v/>
      </c>
      <c r="G384" s="4" t="str">
        <f t="array" ref="G384">IF(C384=1,XLOOKUP(C384,Cotizador!D:D,Cotizador!E:E,"",0,1),"")</f>
        <v/>
      </c>
      <c r="I384" s="4"/>
      <c r="J384" s="8" t="str">
        <f>IF(I384="","",SUMIF(Cotizador!I$1:V$1,I384,Cotizador!I$2:V$2))</f>
        <v/>
      </c>
      <c r="L384" s="4" t="str">
        <f t="array" ref="L384">IF(COUNTIF(L$1:L383,A$2)=SUMIF(A:A,A$2,D:D),IF(COUNTIF(L$1:L383,XLOOKUP(A$2,Implementos!B:B,Implementos!C:C,"",0,1))=SUMIF(A:A,XLOOKUP(A$2,Implementos!B:B,Implementos!C:C,"",0,1),D:D),"",XLOOKUP(A$2,Implementos!B:B,Implementos!C:C,"",0,1)),A$2)</f>
        <v/>
      </c>
      <c r="M384" s="4" t="str">
        <f t="shared" si="2"/>
        <v/>
      </c>
      <c r="N384" s="4" t="str">
        <f t="shared" si="3"/>
        <v/>
      </c>
      <c r="O384" s="4" t="str">
        <f t="shared" si="4"/>
        <v/>
      </c>
      <c r="P384" s="4" t="str">
        <f t="shared" si="5"/>
        <v/>
      </c>
      <c r="Q384" s="4" t="str">
        <f>IF(U384="","",SUMIF(Productos!E:E,U384,Productos!A:A))</f>
        <v/>
      </c>
      <c r="R384" s="4" t="str">
        <f t="array" ref="R384">IF(L384="","", max(1,SUMIF(I:I,XLOOKUP(U384,Productos!E:E,Productos!G:G,"",0,1),J:J)))</f>
        <v/>
      </c>
      <c r="S384" s="4" t="str">
        <f>IF(Q384="","",IF(SUMIFS(Compat_Vetado!D:D,Compat_Vetado!B:B,SUM(G:G),Compat_Vetado!C:C,Q384)=1,"SI",IF(OR(SUMIF(Cotizador!E:E,Q384,Cotizador!G:G)&gt;0,SUMIFS(Compat_Vetado!D:D,Compat_Vetado!B:B,SUM(G:G),Compat_Vetado!C:C,Q384)=-1),"NO","")))</f>
        <v/>
      </c>
      <c r="T384" s="4" t="str">
        <f t="shared" si="6"/>
        <v/>
      </c>
      <c r="U384" s="4" t="str">
        <f>IFERROR(__xludf.DUMMYFUNCTION("IF(P384="""","""",IFERROR(INDEX(filter(Productos!E:E,Productos!F:F=L384,Productos!H:H=N384),P384),IF(M384=SUM(D:D),""Finalizar"",""-"")))"),"")</f>
        <v/>
      </c>
      <c r="V384" s="4" t="str">
        <f>IFERROR(__xludf.DUMMYFUNCTION("IF(OR($U384="""",COUNTIF($I:$I,IFERROR(unique(filter(Prod_Prop!$H:$H,Prod_Prop!$G:$G=$U384,Prod_Prop!$E:$E=V$1)),""Check""))=0),"""",IFERROR(unique(filter(Prod_Prop!$H:$H,Prod_Prop!$G:$G=$U384,Prod_Prop!$E:$E=V$1)),""""))"),"")</f>
        <v/>
      </c>
      <c r="W384" s="4" t="str">
        <f>IF(V384="","",SUMIFS(Prod_Prop!$J:$J,Prod_Prop!$B:$B,$Q384,Prod_Prop!$H:$H,V384,Prod_Prop!$I:$I,W$1)*IF(V384="Peso",$R384,1))</f>
        <v/>
      </c>
      <c r="X384" s="4" t="str">
        <f>IF(V384="","",SUMIFS(Prod_Prop!$J:$J,Prod_Prop!$B:$B,$Q384,Prod_Prop!$H:$H,V384,Prod_Prop!$I:$I,X$1)*IF(V384="Peso",$R384,1))</f>
        <v/>
      </c>
      <c r="Y384" s="4" t="str">
        <f>IFERROR(__xludf.DUMMYFUNCTION("IF(OR($U384="""",COUNTIF($I:$I,IFERROR(unique(filter(Prod_Prop!$H:$H,Prod_Prop!$G:$G=$U384,Prod_Prop!$E:$E=Y$1)),""Check""))=0),"""",IFERROR(unique(filter(Prod_Prop!$H:$H,Prod_Prop!$G:$G=$U384,Prod_Prop!$E:$E=Y$1)),""""))"),"")</f>
        <v/>
      </c>
      <c r="Z384" s="4" t="str">
        <f>IF(Y384="","",SUMIFS(Prod_Prop!$J:$J,Prod_Prop!$B:$B,$Q384,Prod_Prop!$H:$H,Y384,Prod_Prop!$I:$I,Z$1)*IF(Y384="Peso",$R384,1))</f>
        <v/>
      </c>
      <c r="AA384" s="4" t="str">
        <f>IF(Y384="","",SUMIFS(Prod_Prop!$J:$J,Prod_Prop!$B:$B,$Q384,Prod_Prop!$H:$H,Y384,Prod_Prop!$I:$I,AA$1)*IF(Y384="Peso",$R384,1))</f>
        <v/>
      </c>
      <c r="AB384" s="4" t="str">
        <f>IFERROR(__xludf.DUMMYFUNCTION("IF(OR($U384="""",COUNTIF($I:$I,IFERROR(unique(filter(Prod_Prop!$H:$H,Prod_Prop!$G:$G=$U384,Prod_Prop!$E:$E=AB$1)),""Check""))=0),"""",IFERROR(unique(filter(Prod_Prop!$H:$H,Prod_Prop!$G:$G=$U384,Prod_Prop!$E:$E=AB$1)),""""))"),"")</f>
        <v/>
      </c>
      <c r="AC384" s="4" t="str">
        <f>IF(AB384="","",SUMIFS(Prod_Prop!$J:$J,Prod_Prop!$B:$B,$Q384,Prod_Prop!$H:$H,AB384,Prod_Prop!$I:$I,AC$1)*IF(AB384="Peso",$R384,1))</f>
        <v/>
      </c>
      <c r="AD384" s="4" t="str">
        <f>IF(AB384="","",SUMIFS(Prod_Prop!$J:$J,Prod_Prop!$B:$B,$Q384,Prod_Prop!$H:$H,AB384,Prod_Prop!$I:$I,AD$1)*IF(AB384="Peso",$R384,1))</f>
        <v/>
      </c>
    </row>
    <row r="385">
      <c r="A385" s="4" t="str">
        <f t="array" ref="A385">IF(COUNTIF(A$1:A384,Cotizador!F$2)=maxifs(Familias!E:E,Familias!D:D,Cotizador!F$2),IF(COUNTIF(A$1:A384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5" s="4" t="str">
        <f t="shared" si="1"/>
        <v/>
      </c>
      <c r="C385" s="4" t="str">
        <f t="array" ref="C385">IF(B385="","",IF(A385=XLOOKUP(A$2,Implementos!B:B,Implementos!C:C,"",0,1),B385+maxifs(B$1:B384,A$1:A384,A$2),B385))</f>
        <v/>
      </c>
      <c r="D385" s="4" t="str">
        <f>IF(B385="","", COUNTIFS(Productos!F:F,A385,Productos!H:H,B385)+IF(F385="SI",0,1))</f>
        <v/>
      </c>
      <c r="E385" s="4" t="str">
        <f>IFERROR(__xludf.DUMMYFUNCTION("IF($B385="""","""",INDEX(filter(Familias!F:F,Familias!$D:$D=$A385,Familias!$E:$E=$B385),1))"),"")</f>
        <v/>
      </c>
      <c r="F385" s="4" t="str">
        <f>IFERROR(__xludf.DUMMYFUNCTION("IF($B385="""","""",INDEX(filter(Familias!G:G,Familias!$D:$D=$A385,Familias!$E:$E=$B385),1))"),"")</f>
        <v/>
      </c>
      <c r="G385" s="4" t="str">
        <f t="array" ref="G385">IF(C385=1,XLOOKUP(C385,Cotizador!D:D,Cotizador!E:E,"",0,1),"")</f>
        <v/>
      </c>
      <c r="I385" s="4"/>
      <c r="J385" s="8" t="str">
        <f>IF(I385="","",SUMIF(Cotizador!I$1:V$1,I385,Cotizador!I$2:V$2))</f>
        <v/>
      </c>
      <c r="L385" s="4" t="str">
        <f t="array" ref="L385">IF(COUNTIF(L$1:L384,A$2)=SUMIF(A:A,A$2,D:D),IF(COUNTIF(L$1:L384,XLOOKUP(A$2,Implementos!B:B,Implementos!C:C,"",0,1))=SUMIF(A:A,XLOOKUP(A$2,Implementos!B:B,Implementos!C:C,"",0,1),D:D),"",XLOOKUP(A$2,Implementos!B:B,Implementos!C:C,"",0,1)),A$2)</f>
        <v/>
      </c>
      <c r="M385" s="4" t="str">
        <f t="shared" si="2"/>
        <v/>
      </c>
      <c r="N385" s="4" t="str">
        <f t="shared" si="3"/>
        <v/>
      </c>
      <c r="O385" s="4" t="str">
        <f t="shared" si="4"/>
        <v/>
      </c>
      <c r="P385" s="4" t="str">
        <f t="shared" si="5"/>
        <v/>
      </c>
      <c r="Q385" s="4" t="str">
        <f>IF(U385="","",SUMIF(Productos!E:E,U385,Productos!A:A))</f>
        <v/>
      </c>
      <c r="R385" s="4" t="str">
        <f t="array" ref="R385">IF(L385="","", max(1,SUMIF(I:I,XLOOKUP(U385,Productos!E:E,Productos!G:G,"",0,1),J:J)))</f>
        <v/>
      </c>
      <c r="S385" s="4" t="str">
        <f>IF(Q385="","",IF(SUMIFS(Compat_Vetado!D:D,Compat_Vetado!B:B,SUM(G:G),Compat_Vetado!C:C,Q385)=1,"SI",IF(OR(SUMIF(Cotizador!E:E,Q385,Cotizador!G:G)&gt;0,SUMIFS(Compat_Vetado!D:D,Compat_Vetado!B:B,SUM(G:G),Compat_Vetado!C:C,Q385)=-1),"NO","")))</f>
        <v/>
      </c>
      <c r="T385" s="4" t="str">
        <f t="shared" si="6"/>
        <v/>
      </c>
      <c r="U385" s="4" t="str">
        <f>IFERROR(__xludf.DUMMYFUNCTION("IF(P385="""","""",IFERROR(INDEX(filter(Productos!E:E,Productos!F:F=L385,Productos!H:H=N385),P385),IF(M385=SUM(D:D),""Finalizar"",""-"")))"),"")</f>
        <v/>
      </c>
      <c r="V385" s="4" t="str">
        <f>IFERROR(__xludf.DUMMYFUNCTION("IF(OR($U385="""",COUNTIF($I:$I,IFERROR(unique(filter(Prod_Prop!$H:$H,Prod_Prop!$G:$G=$U385,Prod_Prop!$E:$E=V$1)),""Check""))=0),"""",IFERROR(unique(filter(Prod_Prop!$H:$H,Prod_Prop!$G:$G=$U385,Prod_Prop!$E:$E=V$1)),""""))"),"")</f>
        <v/>
      </c>
      <c r="W385" s="4" t="str">
        <f>IF(V385="","",SUMIFS(Prod_Prop!$J:$J,Prod_Prop!$B:$B,$Q385,Prod_Prop!$H:$H,V385,Prod_Prop!$I:$I,W$1)*IF(V385="Peso",$R385,1))</f>
        <v/>
      </c>
      <c r="X385" s="4" t="str">
        <f>IF(V385="","",SUMIFS(Prod_Prop!$J:$J,Prod_Prop!$B:$B,$Q385,Prod_Prop!$H:$H,V385,Prod_Prop!$I:$I,X$1)*IF(V385="Peso",$R385,1))</f>
        <v/>
      </c>
      <c r="Y385" s="4" t="str">
        <f>IFERROR(__xludf.DUMMYFUNCTION("IF(OR($U385="""",COUNTIF($I:$I,IFERROR(unique(filter(Prod_Prop!$H:$H,Prod_Prop!$G:$G=$U385,Prod_Prop!$E:$E=Y$1)),""Check""))=0),"""",IFERROR(unique(filter(Prod_Prop!$H:$H,Prod_Prop!$G:$G=$U385,Prod_Prop!$E:$E=Y$1)),""""))"),"")</f>
        <v/>
      </c>
      <c r="Z385" s="4" t="str">
        <f>IF(Y385="","",SUMIFS(Prod_Prop!$J:$J,Prod_Prop!$B:$B,$Q385,Prod_Prop!$H:$H,Y385,Prod_Prop!$I:$I,Z$1)*IF(Y385="Peso",$R385,1))</f>
        <v/>
      </c>
      <c r="AA385" s="4" t="str">
        <f>IF(Y385="","",SUMIFS(Prod_Prop!$J:$J,Prod_Prop!$B:$B,$Q385,Prod_Prop!$H:$H,Y385,Prod_Prop!$I:$I,AA$1)*IF(Y385="Peso",$R385,1))</f>
        <v/>
      </c>
      <c r="AB385" s="4" t="str">
        <f>IFERROR(__xludf.DUMMYFUNCTION("IF(OR($U385="""",COUNTIF($I:$I,IFERROR(unique(filter(Prod_Prop!$H:$H,Prod_Prop!$G:$G=$U385,Prod_Prop!$E:$E=AB$1)),""Check""))=0),"""",IFERROR(unique(filter(Prod_Prop!$H:$H,Prod_Prop!$G:$G=$U385,Prod_Prop!$E:$E=AB$1)),""""))"),"")</f>
        <v/>
      </c>
      <c r="AC385" s="4" t="str">
        <f>IF(AB385="","",SUMIFS(Prod_Prop!$J:$J,Prod_Prop!$B:$B,$Q385,Prod_Prop!$H:$H,AB385,Prod_Prop!$I:$I,AC$1)*IF(AB385="Peso",$R385,1))</f>
        <v/>
      </c>
      <c r="AD385" s="4" t="str">
        <f>IF(AB385="","",SUMIFS(Prod_Prop!$J:$J,Prod_Prop!$B:$B,$Q385,Prod_Prop!$H:$H,AB385,Prod_Prop!$I:$I,AD$1)*IF(AB385="Peso",$R385,1))</f>
        <v/>
      </c>
    </row>
    <row r="386">
      <c r="A386" s="4" t="str">
        <f t="array" ref="A386">IF(COUNTIF(A$1:A385,Cotizador!F$2)=maxifs(Familias!E:E,Familias!D:D,Cotizador!F$2),IF(COUNTIF(A$1:A385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6" s="4" t="str">
        <f t="shared" si="1"/>
        <v/>
      </c>
      <c r="C386" s="4" t="str">
        <f t="array" ref="C386">IF(B386="","",IF(A386=XLOOKUP(A$2,Implementos!B:B,Implementos!C:C,"",0,1),B386+maxifs(B$1:B385,A$1:A385,A$2),B386))</f>
        <v/>
      </c>
      <c r="D386" s="4" t="str">
        <f>IF(B386="","", COUNTIFS(Productos!F:F,A386,Productos!H:H,B386)+IF(F386="SI",0,1))</f>
        <v/>
      </c>
      <c r="E386" s="4" t="str">
        <f>IFERROR(__xludf.DUMMYFUNCTION("IF($B386="""","""",INDEX(filter(Familias!F:F,Familias!$D:$D=$A386,Familias!$E:$E=$B386),1))"),"")</f>
        <v/>
      </c>
      <c r="F386" s="4" t="str">
        <f>IFERROR(__xludf.DUMMYFUNCTION("IF($B386="""","""",INDEX(filter(Familias!G:G,Familias!$D:$D=$A386,Familias!$E:$E=$B386),1))"),"")</f>
        <v/>
      </c>
      <c r="G386" s="4" t="str">
        <f t="array" ref="G386">IF(C386=1,XLOOKUP(C386,Cotizador!D:D,Cotizador!E:E,"",0,1),"")</f>
        <v/>
      </c>
      <c r="I386" s="4"/>
      <c r="J386" s="8" t="str">
        <f>IF(I386="","",SUMIF(Cotizador!I$1:V$1,I386,Cotizador!I$2:V$2))</f>
        <v/>
      </c>
      <c r="L386" s="4" t="str">
        <f t="array" ref="L386">IF(COUNTIF(L$1:L385,A$2)=SUMIF(A:A,A$2,D:D),IF(COUNTIF(L$1:L385,XLOOKUP(A$2,Implementos!B:B,Implementos!C:C,"",0,1))=SUMIF(A:A,XLOOKUP(A$2,Implementos!B:B,Implementos!C:C,"",0,1),D:D),"",XLOOKUP(A$2,Implementos!B:B,Implementos!C:C,"",0,1)),A$2)</f>
        <v/>
      </c>
      <c r="M386" s="4" t="str">
        <f t="shared" si="2"/>
        <v/>
      </c>
      <c r="N386" s="4" t="str">
        <f t="shared" si="3"/>
        <v/>
      </c>
      <c r="O386" s="4" t="str">
        <f t="shared" si="4"/>
        <v/>
      </c>
      <c r="P386" s="4" t="str">
        <f t="shared" si="5"/>
        <v/>
      </c>
      <c r="Q386" s="4" t="str">
        <f>IF(U386="","",SUMIF(Productos!E:E,U386,Productos!A:A))</f>
        <v/>
      </c>
      <c r="R386" s="4" t="str">
        <f t="array" ref="R386">IF(L386="","", max(1,SUMIF(I:I,XLOOKUP(U386,Productos!E:E,Productos!G:G,"",0,1),J:J)))</f>
        <v/>
      </c>
      <c r="S386" s="4" t="str">
        <f>IF(Q386="","",IF(SUMIFS(Compat_Vetado!D:D,Compat_Vetado!B:B,SUM(G:G),Compat_Vetado!C:C,Q386)=1,"SI",IF(OR(SUMIF(Cotizador!E:E,Q386,Cotizador!G:G)&gt;0,SUMIFS(Compat_Vetado!D:D,Compat_Vetado!B:B,SUM(G:G),Compat_Vetado!C:C,Q386)=-1),"NO","")))</f>
        <v/>
      </c>
      <c r="T386" s="4" t="str">
        <f t="shared" si="6"/>
        <v/>
      </c>
      <c r="U386" s="4" t="str">
        <f>IFERROR(__xludf.DUMMYFUNCTION("IF(P386="""","""",IFERROR(INDEX(filter(Productos!E:E,Productos!F:F=L386,Productos!H:H=N386),P386),IF(M386=SUM(D:D),""Finalizar"",""-"")))"),"")</f>
        <v/>
      </c>
      <c r="V386" s="4" t="str">
        <f>IFERROR(__xludf.DUMMYFUNCTION("IF(OR($U386="""",COUNTIF($I:$I,IFERROR(unique(filter(Prod_Prop!$H:$H,Prod_Prop!$G:$G=$U386,Prod_Prop!$E:$E=V$1)),""Check""))=0),"""",IFERROR(unique(filter(Prod_Prop!$H:$H,Prod_Prop!$G:$G=$U386,Prod_Prop!$E:$E=V$1)),""""))"),"")</f>
        <v/>
      </c>
      <c r="W386" s="4" t="str">
        <f>IF(V386="","",SUMIFS(Prod_Prop!$J:$J,Prod_Prop!$B:$B,$Q386,Prod_Prop!$H:$H,V386,Prod_Prop!$I:$I,W$1)*IF(V386="Peso",$R386,1))</f>
        <v/>
      </c>
      <c r="X386" s="4" t="str">
        <f>IF(V386="","",SUMIFS(Prod_Prop!$J:$J,Prod_Prop!$B:$B,$Q386,Prod_Prop!$H:$H,V386,Prod_Prop!$I:$I,X$1)*IF(V386="Peso",$R386,1))</f>
        <v/>
      </c>
      <c r="Y386" s="4" t="str">
        <f>IFERROR(__xludf.DUMMYFUNCTION("IF(OR($U386="""",COUNTIF($I:$I,IFERROR(unique(filter(Prod_Prop!$H:$H,Prod_Prop!$G:$G=$U386,Prod_Prop!$E:$E=Y$1)),""Check""))=0),"""",IFERROR(unique(filter(Prod_Prop!$H:$H,Prod_Prop!$G:$G=$U386,Prod_Prop!$E:$E=Y$1)),""""))"),"")</f>
        <v/>
      </c>
      <c r="Z386" s="4" t="str">
        <f>IF(Y386="","",SUMIFS(Prod_Prop!$J:$J,Prod_Prop!$B:$B,$Q386,Prod_Prop!$H:$H,Y386,Prod_Prop!$I:$I,Z$1)*IF(Y386="Peso",$R386,1))</f>
        <v/>
      </c>
      <c r="AA386" s="4" t="str">
        <f>IF(Y386="","",SUMIFS(Prod_Prop!$J:$J,Prod_Prop!$B:$B,$Q386,Prod_Prop!$H:$H,Y386,Prod_Prop!$I:$I,AA$1)*IF(Y386="Peso",$R386,1))</f>
        <v/>
      </c>
      <c r="AB386" s="4" t="str">
        <f>IFERROR(__xludf.DUMMYFUNCTION("IF(OR($U386="""",COUNTIF($I:$I,IFERROR(unique(filter(Prod_Prop!$H:$H,Prod_Prop!$G:$G=$U386,Prod_Prop!$E:$E=AB$1)),""Check""))=0),"""",IFERROR(unique(filter(Prod_Prop!$H:$H,Prod_Prop!$G:$G=$U386,Prod_Prop!$E:$E=AB$1)),""""))"),"")</f>
        <v/>
      </c>
      <c r="AC386" s="4" t="str">
        <f>IF(AB386="","",SUMIFS(Prod_Prop!$J:$J,Prod_Prop!$B:$B,$Q386,Prod_Prop!$H:$H,AB386,Prod_Prop!$I:$I,AC$1)*IF(AB386="Peso",$R386,1))</f>
        <v/>
      </c>
      <c r="AD386" s="4" t="str">
        <f>IF(AB386="","",SUMIFS(Prod_Prop!$J:$J,Prod_Prop!$B:$B,$Q386,Prod_Prop!$H:$H,AB386,Prod_Prop!$I:$I,AD$1)*IF(AB386="Peso",$R386,1))</f>
        <v/>
      </c>
    </row>
    <row r="387">
      <c r="A387" s="4" t="str">
        <f t="array" ref="A387">IF(COUNTIF(A$1:A386,Cotizador!F$2)=maxifs(Familias!E:E,Familias!D:D,Cotizador!F$2),IF(COUNTIF(A$1:A386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7" s="4" t="str">
        <f t="shared" si="1"/>
        <v/>
      </c>
      <c r="C387" s="4" t="str">
        <f t="array" ref="C387">IF(B387="","",IF(A387=XLOOKUP(A$2,Implementos!B:B,Implementos!C:C,"",0,1),B387+maxifs(B$1:B386,A$1:A386,A$2),B387))</f>
        <v/>
      </c>
      <c r="D387" s="4" t="str">
        <f>IF(B387="","", COUNTIFS(Productos!F:F,A387,Productos!H:H,B387)+IF(F387="SI",0,1))</f>
        <v/>
      </c>
      <c r="E387" s="4" t="str">
        <f>IFERROR(__xludf.DUMMYFUNCTION("IF($B387="""","""",INDEX(filter(Familias!F:F,Familias!$D:$D=$A387,Familias!$E:$E=$B387),1))"),"")</f>
        <v/>
      </c>
      <c r="F387" s="4" t="str">
        <f>IFERROR(__xludf.DUMMYFUNCTION("IF($B387="""","""",INDEX(filter(Familias!G:G,Familias!$D:$D=$A387,Familias!$E:$E=$B387),1))"),"")</f>
        <v/>
      </c>
      <c r="G387" s="4" t="str">
        <f t="array" ref="G387">IF(C387=1,XLOOKUP(C387,Cotizador!D:D,Cotizador!E:E,"",0,1),"")</f>
        <v/>
      </c>
      <c r="I387" s="4"/>
      <c r="J387" s="8" t="str">
        <f>IF(I387="","",SUMIF(Cotizador!I$1:V$1,I387,Cotizador!I$2:V$2))</f>
        <v/>
      </c>
      <c r="L387" s="4" t="str">
        <f t="array" ref="L387">IF(COUNTIF(L$1:L386,A$2)=SUMIF(A:A,A$2,D:D),IF(COUNTIF(L$1:L386,XLOOKUP(A$2,Implementos!B:B,Implementos!C:C,"",0,1))=SUMIF(A:A,XLOOKUP(A$2,Implementos!B:B,Implementos!C:C,"",0,1),D:D),"",XLOOKUP(A$2,Implementos!B:B,Implementos!C:C,"",0,1)),A$2)</f>
        <v/>
      </c>
      <c r="M387" s="4" t="str">
        <f t="shared" si="2"/>
        <v/>
      </c>
      <c r="N387" s="4" t="str">
        <f t="shared" si="3"/>
        <v/>
      </c>
      <c r="O387" s="4" t="str">
        <f t="shared" si="4"/>
        <v/>
      </c>
      <c r="P387" s="4" t="str">
        <f t="shared" si="5"/>
        <v/>
      </c>
      <c r="Q387" s="4" t="str">
        <f>IF(U387="","",SUMIF(Productos!E:E,U387,Productos!A:A))</f>
        <v/>
      </c>
      <c r="R387" s="4" t="str">
        <f t="array" ref="R387">IF(L387="","", max(1,SUMIF(I:I,XLOOKUP(U387,Productos!E:E,Productos!G:G,"",0,1),J:J)))</f>
        <v/>
      </c>
      <c r="S387" s="4" t="str">
        <f>IF(Q387="","",IF(SUMIFS(Compat_Vetado!D:D,Compat_Vetado!B:B,SUM(G:G),Compat_Vetado!C:C,Q387)=1,"SI",IF(OR(SUMIF(Cotizador!E:E,Q387,Cotizador!G:G)&gt;0,SUMIFS(Compat_Vetado!D:D,Compat_Vetado!B:B,SUM(G:G),Compat_Vetado!C:C,Q387)=-1),"NO","")))</f>
        <v/>
      </c>
      <c r="T387" s="4" t="str">
        <f t="shared" si="6"/>
        <v/>
      </c>
      <c r="U387" s="4" t="str">
        <f>IFERROR(__xludf.DUMMYFUNCTION("IF(P387="""","""",IFERROR(INDEX(filter(Productos!E:E,Productos!F:F=L387,Productos!H:H=N387),P387),IF(M387=SUM(D:D),""Finalizar"",""-"")))"),"")</f>
        <v/>
      </c>
      <c r="V387" s="4" t="str">
        <f>IFERROR(__xludf.DUMMYFUNCTION("IF(OR($U387="""",COUNTIF($I:$I,IFERROR(unique(filter(Prod_Prop!$H:$H,Prod_Prop!$G:$G=$U387,Prod_Prop!$E:$E=V$1)),""Check""))=0),"""",IFERROR(unique(filter(Prod_Prop!$H:$H,Prod_Prop!$G:$G=$U387,Prod_Prop!$E:$E=V$1)),""""))"),"")</f>
        <v/>
      </c>
      <c r="W387" s="4" t="str">
        <f>IF(V387="","",SUMIFS(Prod_Prop!$J:$J,Prod_Prop!$B:$B,$Q387,Prod_Prop!$H:$H,V387,Prod_Prop!$I:$I,W$1)*IF(V387="Peso",$R387,1))</f>
        <v/>
      </c>
      <c r="X387" s="4" t="str">
        <f>IF(V387="","",SUMIFS(Prod_Prop!$J:$J,Prod_Prop!$B:$B,$Q387,Prod_Prop!$H:$H,V387,Prod_Prop!$I:$I,X$1)*IF(V387="Peso",$R387,1))</f>
        <v/>
      </c>
      <c r="Y387" s="4" t="str">
        <f>IFERROR(__xludf.DUMMYFUNCTION("IF(OR($U387="""",COUNTIF($I:$I,IFERROR(unique(filter(Prod_Prop!$H:$H,Prod_Prop!$G:$G=$U387,Prod_Prop!$E:$E=Y$1)),""Check""))=0),"""",IFERROR(unique(filter(Prod_Prop!$H:$H,Prod_Prop!$G:$G=$U387,Prod_Prop!$E:$E=Y$1)),""""))"),"")</f>
        <v/>
      </c>
      <c r="Z387" s="4" t="str">
        <f>IF(Y387="","",SUMIFS(Prod_Prop!$J:$J,Prod_Prop!$B:$B,$Q387,Prod_Prop!$H:$H,Y387,Prod_Prop!$I:$I,Z$1)*IF(Y387="Peso",$R387,1))</f>
        <v/>
      </c>
      <c r="AA387" s="4" t="str">
        <f>IF(Y387="","",SUMIFS(Prod_Prop!$J:$J,Prod_Prop!$B:$B,$Q387,Prod_Prop!$H:$H,Y387,Prod_Prop!$I:$I,AA$1)*IF(Y387="Peso",$R387,1))</f>
        <v/>
      </c>
      <c r="AB387" s="4" t="str">
        <f>IFERROR(__xludf.DUMMYFUNCTION("IF(OR($U387="""",COUNTIF($I:$I,IFERROR(unique(filter(Prod_Prop!$H:$H,Prod_Prop!$G:$G=$U387,Prod_Prop!$E:$E=AB$1)),""Check""))=0),"""",IFERROR(unique(filter(Prod_Prop!$H:$H,Prod_Prop!$G:$G=$U387,Prod_Prop!$E:$E=AB$1)),""""))"),"")</f>
        <v/>
      </c>
      <c r="AC387" s="4" t="str">
        <f>IF(AB387="","",SUMIFS(Prod_Prop!$J:$J,Prod_Prop!$B:$B,$Q387,Prod_Prop!$H:$H,AB387,Prod_Prop!$I:$I,AC$1)*IF(AB387="Peso",$R387,1))</f>
        <v/>
      </c>
      <c r="AD387" s="4" t="str">
        <f>IF(AB387="","",SUMIFS(Prod_Prop!$J:$J,Prod_Prop!$B:$B,$Q387,Prod_Prop!$H:$H,AB387,Prod_Prop!$I:$I,AD$1)*IF(AB387="Peso",$R387,1))</f>
        <v/>
      </c>
    </row>
    <row r="388">
      <c r="A388" s="4" t="str">
        <f t="array" ref="A388">IF(COUNTIF(A$1:A387,Cotizador!F$2)=maxifs(Familias!E:E,Familias!D:D,Cotizador!F$2),IF(COUNTIF(A$1:A387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8" s="4" t="str">
        <f t="shared" si="1"/>
        <v/>
      </c>
      <c r="C388" s="4" t="str">
        <f t="array" ref="C388">IF(B388="","",IF(A388=XLOOKUP(A$2,Implementos!B:B,Implementos!C:C,"",0,1),B388+maxifs(B$1:B387,A$1:A387,A$2),B388))</f>
        <v/>
      </c>
      <c r="D388" s="4" t="str">
        <f>IF(B388="","", COUNTIFS(Productos!F:F,A388,Productos!H:H,B388)+IF(F388="SI",0,1))</f>
        <v/>
      </c>
      <c r="E388" s="4" t="str">
        <f>IFERROR(__xludf.DUMMYFUNCTION("IF($B388="""","""",INDEX(filter(Familias!F:F,Familias!$D:$D=$A388,Familias!$E:$E=$B388),1))"),"")</f>
        <v/>
      </c>
      <c r="F388" s="4" t="str">
        <f>IFERROR(__xludf.DUMMYFUNCTION("IF($B388="""","""",INDEX(filter(Familias!G:G,Familias!$D:$D=$A388,Familias!$E:$E=$B388),1))"),"")</f>
        <v/>
      </c>
      <c r="G388" s="4" t="str">
        <f t="array" ref="G388">IF(C388=1,XLOOKUP(C388,Cotizador!D:D,Cotizador!E:E,"",0,1),"")</f>
        <v/>
      </c>
      <c r="I388" s="4"/>
      <c r="J388" s="8" t="str">
        <f>IF(I388="","",SUMIF(Cotizador!I$1:V$1,I388,Cotizador!I$2:V$2))</f>
        <v/>
      </c>
      <c r="L388" s="4" t="str">
        <f t="array" ref="L388">IF(COUNTIF(L$1:L387,A$2)=SUMIF(A:A,A$2,D:D),IF(COUNTIF(L$1:L387,XLOOKUP(A$2,Implementos!B:B,Implementos!C:C,"",0,1))=SUMIF(A:A,XLOOKUP(A$2,Implementos!B:B,Implementos!C:C,"",0,1),D:D),"",XLOOKUP(A$2,Implementos!B:B,Implementos!C:C,"",0,1)),A$2)</f>
        <v/>
      </c>
      <c r="M388" s="4" t="str">
        <f t="shared" si="2"/>
        <v/>
      </c>
      <c r="N388" s="4" t="str">
        <f t="shared" si="3"/>
        <v/>
      </c>
      <c r="O388" s="4" t="str">
        <f t="shared" si="4"/>
        <v/>
      </c>
      <c r="P388" s="4" t="str">
        <f t="shared" si="5"/>
        <v/>
      </c>
      <c r="Q388" s="4" t="str">
        <f>IF(U388="","",SUMIF(Productos!E:E,U388,Productos!A:A))</f>
        <v/>
      </c>
      <c r="R388" s="4" t="str">
        <f t="array" ref="R388">IF(L388="","", max(1,SUMIF(I:I,XLOOKUP(U388,Productos!E:E,Productos!G:G,"",0,1),J:J)))</f>
        <v/>
      </c>
      <c r="S388" s="4" t="str">
        <f>IF(Q388="","",IF(SUMIFS(Compat_Vetado!D:D,Compat_Vetado!B:B,SUM(G:G),Compat_Vetado!C:C,Q388)=1,"SI",IF(OR(SUMIF(Cotizador!E:E,Q388,Cotizador!G:G)&gt;0,SUMIFS(Compat_Vetado!D:D,Compat_Vetado!B:B,SUM(G:G),Compat_Vetado!C:C,Q388)=-1),"NO","")))</f>
        <v/>
      </c>
      <c r="T388" s="4" t="str">
        <f t="shared" si="6"/>
        <v/>
      </c>
      <c r="U388" s="4" t="str">
        <f>IFERROR(__xludf.DUMMYFUNCTION("IF(P388="""","""",IFERROR(INDEX(filter(Productos!E:E,Productos!F:F=L388,Productos!H:H=N388),P388),IF(M388=SUM(D:D),""Finalizar"",""-"")))"),"")</f>
        <v/>
      </c>
      <c r="V388" s="4" t="str">
        <f>IFERROR(__xludf.DUMMYFUNCTION("IF(OR($U388="""",COUNTIF($I:$I,IFERROR(unique(filter(Prod_Prop!$H:$H,Prod_Prop!$G:$G=$U388,Prod_Prop!$E:$E=V$1)),""Check""))=0),"""",IFERROR(unique(filter(Prod_Prop!$H:$H,Prod_Prop!$G:$G=$U388,Prod_Prop!$E:$E=V$1)),""""))"),"")</f>
        <v/>
      </c>
      <c r="W388" s="4" t="str">
        <f>IF(V388="","",SUMIFS(Prod_Prop!$J:$J,Prod_Prop!$B:$B,$Q388,Prod_Prop!$H:$H,V388,Prod_Prop!$I:$I,W$1)*IF(V388="Peso",$R388,1))</f>
        <v/>
      </c>
      <c r="X388" s="4" t="str">
        <f>IF(V388="","",SUMIFS(Prod_Prop!$J:$J,Prod_Prop!$B:$B,$Q388,Prod_Prop!$H:$H,V388,Prod_Prop!$I:$I,X$1)*IF(V388="Peso",$R388,1))</f>
        <v/>
      </c>
      <c r="Y388" s="4" t="str">
        <f>IFERROR(__xludf.DUMMYFUNCTION("IF(OR($U388="""",COUNTIF($I:$I,IFERROR(unique(filter(Prod_Prop!$H:$H,Prod_Prop!$G:$G=$U388,Prod_Prop!$E:$E=Y$1)),""Check""))=0),"""",IFERROR(unique(filter(Prod_Prop!$H:$H,Prod_Prop!$G:$G=$U388,Prod_Prop!$E:$E=Y$1)),""""))"),"")</f>
        <v/>
      </c>
      <c r="Z388" s="4" t="str">
        <f>IF(Y388="","",SUMIFS(Prod_Prop!$J:$J,Prod_Prop!$B:$B,$Q388,Prod_Prop!$H:$H,Y388,Prod_Prop!$I:$I,Z$1)*IF(Y388="Peso",$R388,1))</f>
        <v/>
      </c>
      <c r="AA388" s="4" t="str">
        <f>IF(Y388="","",SUMIFS(Prod_Prop!$J:$J,Prod_Prop!$B:$B,$Q388,Prod_Prop!$H:$H,Y388,Prod_Prop!$I:$I,AA$1)*IF(Y388="Peso",$R388,1))</f>
        <v/>
      </c>
      <c r="AB388" s="4" t="str">
        <f>IFERROR(__xludf.DUMMYFUNCTION("IF(OR($U388="""",COUNTIF($I:$I,IFERROR(unique(filter(Prod_Prop!$H:$H,Prod_Prop!$G:$G=$U388,Prod_Prop!$E:$E=AB$1)),""Check""))=0),"""",IFERROR(unique(filter(Prod_Prop!$H:$H,Prod_Prop!$G:$G=$U388,Prod_Prop!$E:$E=AB$1)),""""))"),"")</f>
        <v/>
      </c>
      <c r="AC388" s="4" t="str">
        <f>IF(AB388="","",SUMIFS(Prod_Prop!$J:$J,Prod_Prop!$B:$B,$Q388,Prod_Prop!$H:$H,AB388,Prod_Prop!$I:$I,AC$1)*IF(AB388="Peso",$R388,1))</f>
        <v/>
      </c>
      <c r="AD388" s="4" t="str">
        <f>IF(AB388="","",SUMIFS(Prod_Prop!$J:$J,Prod_Prop!$B:$B,$Q388,Prod_Prop!$H:$H,AB388,Prod_Prop!$I:$I,AD$1)*IF(AB388="Peso",$R388,1))</f>
        <v/>
      </c>
    </row>
    <row r="389">
      <c r="A389" s="4" t="str">
        <f t="array" ref="A389">IF(COUNTIF(A$1:A388,Cotizador!F$2)=maxifs(Familias!E:E,Familias!D:D,Cotizador!F$2),IF(COUNTIF(A$1:A388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89" s="4" t="str">
        <f t="shared" si="1"/>
        <v/>
      </c>
      <c r="C389" s="4" t="str">
        <f t="array" ref="C389">IF(B389="","",IF(A389=XLOOKUP(A$2,Implementos!B:B,Implementos!C:C,"",0,1),B389+maxifs(B$1:B388,A$1:A388,A$2),B389))</f>
        <v/>
      </c>
      <c r="D389" s="4" t="str">
        <f>IF(B389="","", COUNTIFS(Productos!F:F,A389,Productos!H:H,B389)+IF(F389="SI",0,1))</f>
        <v/>
      </c>
      <c r="E389" s="4" t="str">
        <f>IFERROR(__xludf.DUMMYFUNCTION("IF($B389="""","""",INDEX(filter(Familias!F:F,Familias!$D:$D=$A389,Familias!$E:$E=$B389),1))"),"")</f>
        <v/>
      </c>
      <c r="F389" s="4" t="str">
        <f>IFERROR(__xludf.DUMMYFUNCTION("IF($B389="""","""",INDEX(filter(Familias!G:G,Familias!$D:$D=$A389,Familias!$E:$E=$B389),1))"),"")</f>
        <v/>
      </c>
      <c r="G389" s="4" t="str">
        <f t="array" ref="G389">IF(C389=1,XLOOKUP(C389,Cotizador!D:D,Cotizador!E:E,"",0,1),"")</f>
        <v/>
      </c>
      <c r="I389" s="4"/>
      <c r="J389" s="8" t="str">
        <f>IF(I389="","",SUMIF(Cotizador!I$1:V$1,I389,Cotizador!I$2:V$2))</f>
        <v/>
      </c>
      <c r="L389" s="4" t="str">
        <f t="array" ref="L389">IF(COUNTIF(L$1:L388,A$2)=SUMIF(A:A,A$2,D:D),IF(COUNTIF(L$1:L388,XLOOKUP(A$2,Implementos!B:B,Implementos!C:C,"",0,1))=SUMIF(A:A,XLOOKUP(A$2,Implementos!B:B,Implementos!C:C,"",0,1),D:D),"",XLOOKUP(A$2,Implementos!B:B,Implementos!C:C,"",0,1)),A$2)</f>
        <v/>
      </c>
      <c r="M389" s="4" t="str">
        <f t="shared" si="2"/>
        <v/>
      </c>
      <c r="N389" s="4" t="str">
        <f t="shared" si="3"/>
        <v/>
      </c>
      <c r="O389" s="4" t="str">
        <f t="shared" si="4"/>
        <v/>
      </c>
      <c r="P389" s="4" t="str">
        <f t="shared" si="5"/>
        <v/>
      </c>
      <c r="Q389" s="4" t="str">
        <f>IF(U389="","",SUMIF(Productos!E:E,U389,Productos!A:A))</f>
        <v/>
      </c>
      <c r="R389" s="4" t="str">
        <f t="array" ref="R389">IF(L389="","", max(1,SUMIF(I:I,XLOOKUP(U389,Productos!E:E,Productos!G:G,"",0,1),J:J)))</f>
        <v/>
      </c>
      <c r="S389" s="4" t="str">
        <f>IF(Q389="","",IF(SUMIFS(Compat_Vetado!D:D,Compat_Vetado!B:B,SUM(G:G),Compat_Vetado!C:C,Q389)=1,"SI",IF(OR(SUMIF(Cotizador!E:E,Q389,Cotizador!G:G)&gt;0,SUMIFS(Compat_Vetado!D:D,Compat_Vetado!B:B,SUM(G:G),Compat_Vetado!C:C,Q389)=-1),"NO","")))</f>
        <v/>
      </c>
      <c r="T389" s="4" t="str">
        <f t="shared" si="6"/>
        <v/>
      </c>
      <c r="U389" s="4" t="str">
        <f>IFERROR(__xludf.DUMMYFUNCTION("IF(P389="""","""",IFERROR(INDEX(filter(Productos!E:E,Productos!F:F=L389,Productos!H:H=N389),P389),IF(M389=SUM(D:D),""Finalizar"",""-"")))"),"")</f>
        <v/>
      </c>
      <c r="V389" s="4" t="str">
        <f>IFERROR(__xludf.DUMMYFUNCTION("IF(OR($U389="""",COUNTIF($I:$I,IFERROR(unique(filter(Prod_Prop!$H:$H,Prod_Prop!$G:$G=$U389,Prod_Prop!$E:$E=V$1)),""Check""))=0),"""",IFERROR(unique(filter(Prod_Prop!$H:$H,Prod_Prop!$G:$G=$U389,Prod_Prop!$E:$E=V$1)),""""))"),"")</f>
        <v/>
      </c>
      <c r="W389" s="4" t="str">
        <f>IF(V389="","",SUMIFS(Prod_Prop!$J:$J,Prod_Prop!$B:$B,$Q389,Prod_Prop!$H:$H,V389,Prod_Prop!$I:$I,W$1)*IF(V389="Peso",$R389,1))</f>
        <v/>
      </c>
      <c r="X389" s="4" t="str">
        <f>IF(V389="","",SUMIFS(Prod_Prop!$J:$J,Prod_Prop!$B:$B,$Q389,Prod_Prop!$H:$H,V389,Prod_Prop!$I:$I,X$1)*IF(V389="Peso",$R389,1))</f>
        <v/>
      </c>
      <c r="Y389" s="4" t="str">
        <f>IFERROR(__xludf.DUMMYFUNCTION("IF(OR($U389="""",COUNTIF($I:$I,IFERROR(unique(filter(Prod_Prop!$H:$H,Prod_Prop!$G:$G=$U389,Prod_Prop!$E:$E=Y$1)),""Check""))=0),"""",IFERROR(unique(filter(Prod_Prop!$H:$H,Prod_Prop!$G:$G=$U389,Prod_Prop!$E:$E=Y$1)),""""))"),"")</f>
        <v/>
      </c>
      <c r="Z389" s="4" t="str">
        <f>IF(Y389="","",SUMIFS(Prod_Prop!$J:$J,Prod_Prop!$B:$B,$Q389,Prod_Prop!$H:$H,Y389,Prod_Prop!$I:$I,Z$1)*IF(Y389="Peso",$R389,1))</f>
        <v/>
      </c>
      <c r="AA389" s="4" t="str">
        <f>IF(Y389="","",SUMIFS(Prod_Prop!$J:$J,Prod_Prop!$B:$B,$Q389,Prod_Prop!$H:$H,Y389,Prod_Prop!$I:$I,AA$1)*IF(Y389="Peso",$R389,1))</f>
        <v/>
      </c>
      <c r="AB389" s="4" t="str">
        <f>IFERROR(__xludf.DUMMYFUNCTION("IF(OR($U389="""",COUNTIF($I:$I,IFERROR(unique(filter(Prod_Prop!$H:$H,Prod_Prop!$G:$G=$U389,Prod_Prop!$E:$E=AB$1)),""Check""))=0),"""",IFERROR(unique(filter(Prod_Prop!$H:$H,Prod_Prop!$G:$G=$U389,Prod_Prop!$E:$E=AB$1)),""""))"),"")</f>
        <v/>
      </c>
      <c r="AC389" s="4" t="str">
        <f>IF(AB389="","",SUMIFS(Prod_Prop!$J:$J,Prod_Prop!$B:$B,$Q389,Prod_Prop!$H:$H,AB389,Prod_Prop!$I:$I,AC$1)*IF(AB389="Peso",$R389,1))</f>
        <v/>
      </c>
      <c r="AD389" s="4" t="str">
        <f>IF(AB389="","",SUMIFS(Prod_Prop!$J:$J,Prod_Prop!$B:$B,$Q389,Prod_Prop!$H:$H,AB389,Prod_Prop!$I:$I,AD$1)*IF(AB389="Peso",$R389,1))</f>
        <v/>
      </c>
    </row>
    <row r="390">
      <c r="A390" s="4" t="str">
        <f t="array" ref="A390">IF(COUNTIF(A$1:A389,Cotizador!F$2)=maxifs(Familias!E:E,Familias!D:D,Cotizador!F$2),IF(COUNTIF(A$1:A389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0" s="4" t="str">
        <f t="shared" si="1"/>
        <v/>
      </c>
      <c r="C390" s="4" t="str">
        <f t="array" ref="C390">IF(B390="","",IF(A390=XLOOKUP(A$2,Implementos!B:B,Implementos!C:C,"",0,1),B390+maxifs(B$1:B389,A$1:A389,A$2),B390))</f>
        <v/>
      </c>
      <c r="D390" s="4" t="str">
        <f>IF(B390="","", COUNTIFS(Productos!F:F,A390,Productos!H:H,B390)+IF(F390="SI",0,1))</f>
        <v/>
      </c>
      <c r="E390" s="4" t="str">
        <f>IFERROR(__xludf.DUMMYFUNCTION("IF($B390="""","""",INDEX(filter(Familias!F:F,Familias!$D:$D=$A390,Familias!$E:$E=$B390),1))"),"")</f>
        <v/>
      </c>
      <c r="F390" s="4" t="str">
        <f>IFERROR(__xludf.DUMMYFUNCTION("IF($B390="""","""",INDEX(filter(Familias!G:G,Familias!$D:$D=$A390,Familias!$E:$E=$B390),1))"),"")</f>
        <v/>
      </c>
      <c r="G390" s="4" t="str">
        <f t="array" ref="G390">IF(C390=1,XLOOKUP(C390,Cotizador!D:D,Cotizador!E:E,"",0,1),"")</f>
        <v/>
      </c>
      <c r="I390" s="4"/>
      <c r="J390" s="8" t="str">
        <f>IF(I390="","",SUMIF(Cotizador!I$1:V$1,I390,Cotizador!I$2:V$2))</f>
        <v/>
      </c>
      <c r="L390" s="4" t="str">
        <f t="array" ref="L390">IF(COUNTIF(L$1:L389,A$2)=SUMIF(A:A,A$2,D:D),IF(COUNTIF(L$1:L389,XLOOKUP(A$2,Implementos!B:B,Implementos!C:C,"",0,1))=SUMIF(A:A,XLOOKUP(A$2,Implementos!B:B,Implementos!C:C,"",0,1),D:D),"",XLOOKUP(A$2,Implementos!B:B,Implementos!C:C,"",0,1)),A$2)</f>
        <v/>
      </c>
      <c r="M390" s="4" t="str">
        <f t="shared" si="2"/>
        <v/>
      </c>
      <c r="N390" s="4" t="str">
        <f t="shared" si="3"/>
        <v/>
      </c>
      <c r="O390" s="4" t="str">
        <f t="shared" si="4"/>
        <v/>
      </c>
      <c r="P390" s="4" t="str">
        <f t="shared" si="5"/>
        <v/>
      </c>
      <c r="Q390" s="4" t="str">
        <f>IF(U390="","",SUMIF(Productos!E:E,U390,Productos!A:A))</f>
        <v/>
      </c>
      <c r="R390" s="4" t="str">
        <f t="array" ref="R390">IF(L390="","", max(1,SUMIF(I:I,XLOOKUP(U390,Productos!E:E,Productos!G:G,"",0,1),J:J)))</f>
        <v/>
      </c>
      <c r="S390" s="4" t="str">
        <f>IF(Q390="","",IF(SUMIFS(Compat_Vetado!D:D,Compat_Vetado!B:B,SUM(G:G),Compat_Vetado!C:C,Q390)=1,"SI",IF(OR(SUMIF(Cotizador!E:E,Q390,Cotizador!G:G)&gt;0,SUMIFS(Compat_Vetado!D:D,Compat_Vetado!B:B,SUM(G:G),Compat_Vetado!C:C,Q390)=-1),"NO","")))</f>
        <v/>
      </c>
      <c r="T390" s="4" t="str">
        <f t="shared" si="6"/>
        <v/>
      </c>
      <c r="U390" s="4" t="str">
        <f>IFERROR(__xludf.DUMMYFUNCTION("IF(P390="""","""",IFERROR(INDEX(filter(Productos!E:E,Productos!F:F=L390,Productos!H:H=N390),P390),IF(M390=SUM(D:D),""Finalizar"",""-"")))"),"")</f>
        <v/>
      </c>
      <c r="V390" s="4" t="str">
        <f>IFERROR(__xludf.DUMMYFUNCTION("IF(OR($U390="""",COUNTIF($I:$I,IFERROR(unique(filter(Prod_Prop!$H:$H,Prod_Prop!$G:$G=$U390,Prod_Prop!$E:$E=V$1)),""Check""))=0),"""",IFERROR(unique(filter(Prod_Prop!$H:$H,Prod_Prop!$G:$G=$U390,Prod_Prop!$E:$E=V$1)),""""))"),"")</f>
        <v/>
      </c>
      <c r="W390" s="4" t="str">
        <f>IF(V390="","",SUMIFS(Prod_Prop!$J:$J,Prod_Prop!$B:$B,$Q390,Prod_Prop!$H:$H,V390,Prod_Prop!$I:$I,W$1)*IF(V390="Peso",$R390,1))</f>
        <v/>
      </c>
      <c r="X390" s="4" t="str">
        <f>IF(V390="","",SUMIFS(Prod_Prop!$J:$J,Prod_Prop!$B:$B,$Q390,Prod_Prop!$H:$H,V390,Prod_Prop!$I:$I,X$1)*IF(V390="Peso",$R390,1))</f>
        <v/>
      </c>
      <c r="Y390" s="4" t="str">
        <f>IFERROR(__xludf.DUMMYFUNCTION("IF(OR($U390="""",COUNTIF($I:$I,IFERROR(unique(filter(Prod_Prop!$H:$H,Prod_Prop!$G:$G=$U390,Prod_Prop!$E:$E=Y$1)),""Check""))=0),"""",IFERROR(unique(filter(Prod_Prop!$H:$H,Prod_Prop!$G:$G=$U390,Prod_Prop!$E:$E=Y$1)),""""))"),"")</f>
        <v/>
      </c>
      <c r="Z390" s="4" t="str">
        <f>IF(Y390="","",SUMIFS(Prod_Prop!$J:$J,Prod_Prop!$B:$B,$Q390,Prod_Prop!$H:$H,Y390,Prod_Prop!$I:$I,Z$1)*IF(Y390="Peso",$R390,1))</f>
        <v/>
      </c>
      <c r="AA390" s="4" t="str">
        <f>IF(Y390="","",SUMIFS(Prod_Prop!$J:$J,Prod_Prop!$B:$B,$Q390,Prod_Prop!$H:$H,Y390,Prod_Prop!$I:$I,AA$1)*IF(Y390="Peso",$R390,1))</f>
        <v/>
      </c>
      <c r="AB390" s="4" t="str">
        <f>IFERROR(__xludf.DUMMYFUNCTION("IF(OR($U390="""",COUNTIF($I:$I,IFERROR(unique(filter(Prod_Prop!$H:$H,Prod_Prop!$G:$G=$U390,Prod_Prop!$E:$E=AB$1)),""Check""))=0),"""",IFERROR(unique(filter(Prod_Prop!$H:$H,Prod_Prop!$G:$G=$U390,Prod_Prop!$E:$E=AB$1)),""""))"),"")</f>
        <v/>
      </c>
      <c r="AC390" s="4" t="str">
        <f>IF(AB390="","",SUMIFS(Prod_Prop!$J:$J,Prod_Prop!$B:$B,$Q390,Prod_Prop!$H:$H,AB390,Prod_Prop!$I:$I,AC$1)*IF(AB390="Peso",$R390,1))</f>
        <v/>
      </c>
      <c r="AD390" s="4" t="str">
        <f>IF(AB390="","",SUMIFS(Prod_Prop!$J:$J,Prod_Prop!$B:$B,$Q390,Prod_Prop!$H:$H,AB390,Prod_Prop!$I:$I,AD$1)*IF(AB390="Peso",$R390,1))</f>
        <v/>
      </c>
    </row>
    <row r="391">
      <c r="A391" s="4" t="str">
        <f t="array" ref="A391">IF(COUNTIF(A$1:A390,Cotizador!F$2)=maxifs(Familias!E:E,Familias!D:D,Cotizador!F$2),IF(COUNTIF(A$1:A390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1" s="4" t="str">
        <f t="shared" si="1"/>
        <v/>
      </c>
      <c r="C391" s="4" t="str">
        <f t="array" ref="C391">IF(B391="","",IF(A391=XLOOKUP(A$2,Implementos!B:B,Implementos!C:C,"",0,1),B391+maxifs(B$1:B390,A$1:A390,A$2),B391))</f>
        <v/>
      </c>
      <c r="D391" s="4" t="str">
        <f>IF(B391="","", COUNTIFS(Productos!F:F,A391,Productos!H:H,B391)+IF(F391="SI",0,1))</f>
        <v/>
      </c>
      <c r="E391" s="4" t="str">
        <f>IFERROR(__xludf.DUMMYFUNCTION("IF($B391="""","""",INDEX(filter(Familias!F:F,Familias!$D:$D=$A391,Familias!$E:$E=$B391),1))"),"")</f>
        <v/>
      </c>
      <c r="F391" s="4" t="str">
        <f>IFERROR(__xludf.DUMMYFUNCTION("IF($B391="""","""",INDEX(filter(Familias!G:G,Familias!$D:$D=$A391,Familias!$E:$E=$B391),1))"),"")</f>
        <v/>
      </c>
      <c r="G391" s="4" t="str">
        <f t="array" ref="G391">IF(C391=1,XLOOKUP(C391,Cotizador!D:D,Cotizador!E:E,"",0,1),"")</f>
        <v/>
      </c>
      <c r="I391" s="4"/>
      <c r="J391" s="8" t="str">
        <f>IF(I391="","",SUMIF(Cotizador!I$1:V$1,I391,Cotizador!I$2:V$2))</f>
        <v/>
      </c>
      <c r="L391" s="4" t="str">
        <f t="array" ref="L391">IF(COUNTIF(L$1:L390,A$2)=SUMIF(A:A,A$2,D:D),IF(COUNTIF(L$1:L390,XLOOKUP(A$2,Implementos!B:B,Implementos!C:C,"",0,1))=SUMIF(A:A,XLOOKUP(A$2,Implementos!B:B,Implementos!C:C,"",0,1),D:D),"",XLOOKUP(A$2,Implementos!B:B,Implementos!C:C,"",0,1)),A$2)</f>
        <v/>
      </c>
      <c r="M391" s="4" t="str">
        <f t="shared" si="2"/>
        <v/>
      </c>
      <c r="N391" s="4" t="str">
        <f t="shared" si="3"/>
        <v/>
      </c>
      <c r="O391" s="4" t="str">
        <f t="shared" si="4"/>
        <v/>
      </c>
      <c r="P391" s="4" t="str">
        <f t="shared" si="5"/>
        <v/>
      </c>
      <c r="Q391" s="4" t="str">
        <f>IF(U391="","",SUMIF(Productos!E:E,U391,Productos!A:A))</f>
        <v/>
      </c>
      <c r="R391" s="4" t="str">
        <f t="array" ref="R391">IF(L391="","", max(1,SUMIF(I:I,XLOOKUP(U391,Productos!E:E,Productos!G:G,"",0,1),J:J)))</f>
        <v/>
      </c>
      <c r="S391" s="4" t="str">
        <f>IF(Q391="","",IF(SUMIFS(Compat_Vetado!D:D,Compat_Vetado!B:B,SUM(G:G),Compat_Vetado!C:C,Q391)=1,"SI",IF(OR(SUMIF(Cotizador!E:E,Q391,Cotizador!G:G)&gt;0,SUMIFS(Compat_Vetado!D:D,Compat_Vetado!B:B,SUM(G:G),Compat_Vetado!C:C,Q391)=-1),"NO","")))</f>
        <v/>
      </c>
      <c r="T391" s="4" t="str">
        <f t="shared" si="6"/>
        <v/>
      </c>
      <c r="U391" s="4" t="str">
        <f>IFERROR(__xludf.DUMMYFUNCTION("IF(P391="""","""",IFERROR(INDEX(filter(Productos!E:E,Productos!F:F=L391,Productos!H:H=N391),P391),IF(M391=SUM(D:D),""Finalizar"",""-"")))"),"")</f>
        <v/>
      </c>
      <c r="V391" s="4" t="str">
        <f>IFERROR(__xludf.DUMMYFUNCTION("IF(OR($U391="""",COUNTIF($I:$I,IFERROR(unique(filter(Prod_Prop!$H:$H,Prod_Prop!$G:$G=$U391,Prod_Prop!$E:$E=V$1)),""Check""))=0),"""",IFERROR(unique(filter(Prod_Prop!$H:$H,Prod_Prop!$G:$G=$U391,Prod_Prop!$E:$E=V$1)),""""))"),"")</f>
        <v/>
      </c>
      <c r="W391" s="4" t="str">
        <f>IF(V391="","",SUMIFS(Prod_Prop!$J:$J,Prod_Prop!$B:$B,$Q391,Prod_Prop!$H:$H,V391,Prod_Prop!$I:$I,W$1)*IF(V391="Peso",$R391,1))</f>
        <v/>
      </c>
      <c r="X391" s="4" t="str">
        <f>IF(V391="","",SUMIFS(Prod_Prop!$J:$J,Prod_Prop!$B:$B,$Q391,Prod_Prop!$H:$H,V391,Prod_Prop!$I:$I,X$1)*IF(V391="Peso",$R391,1))</f>
        <v/>
      </c>
      <c r="Y391" s="4" t="str">
        <f>IFERROR(__xludf.DUMMYFUNCTION("IF(OR($U391="""",COUNTIF($I:$I,IFERROR(unique(filter(Prod_Prop!$H:$H,Prod_Prop!$G:$G=$U391,Prod_Prop!$E:$E=Y$1)),""Check""))=0),"""",IFERROR(unique(filter(Prod_Prop!$H:$H,Prod_Prop!$G:$G=$U391,Prod_Prop!$E:$E=Y$1)),""""))"),"")</f>
        <v/>
      </c>
      <c r="Z391" s="4" t="str">
        <f>IF(Y391="","",SUMIFS(Prod_Prop!$J:$J,Prod_Prop!$B:$B,$Q391,Prod_Prop!$H:$H,Y391,Prod_Prop!$I:$I,Z$1)*IF(Y391="Peso",$R391,1))</f>
        <v/>
      </c>
      <c r="AA391" s="4" t="str">
        <f>IF(Y391="","",SUMIFS(Prod_Prop!$J:$J,Prod_Prop!$B:$B,$Q391,Prod_Prop!$H:$H,Y391,Prod_Prop!$I:$I,AA$1)*IF(Y391="Peso",$R391,1))</f>
        <v/>
      </c>
      <c r="AB391" s="4" t="str">
        <f>IFERROR(__xludf.DUMMYFUNCTION("IF(OR($U391="""",COUNTIF($I:$I,IFERROR(unique(filter(Prod_Prop!$H:$H,Prod_Prop!$G:$G=$U391,Prod_Prop!$E:$E=AB$1)),""Check""))=0),"""",IFERROR(unique(filter(Prod_Prop!$H:$H,Prod_Prop!$G:$G=$U391,Prod_Prop!$E:$E=AB$1)),""""))"),"")</f>
        <v/>
      </c>
      <c r="AC391" s="4" t="str">
        <f>IF(AB391="","",SUMIFS(Prod_Prop!$J:$J,Prod_Prop!$B:$B,$Q391,Prod_Prop!$H:$H,AB391,Prod_Prop!$I:$I,AC$1)*IF(AB391="Peso",$R391,1))</f>
        <v/>
      </c>
      <c r="AD391" s="4" t="str">
        <f>IF(AB391="","",SUMIFS(Prod_Prop!$J:$J,Prod_Prop!$B:$B,$Q391,Prod_Prop!$H:$H,AB391,Prod_Prop!$I:$I,AD$1)*IF(AB391="Peso",$R391,1))</f>
        <v/>
      </c>
    </row>
    <row r="392">
      <c r="A392" s="4" t="str">
        <f t="array" ref="A392">IF(COUNTIF(A$1:A391,Cotizador!F$2)=maxifs(Familias!E:E,Familias!D:D,Cotizador!F$2),IF(COUNTIF(A$1:A391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2" s="4" t="str">
        <f t="shared" si="1"/>
        <v/>
      </c>
      <c r="C392" s="4" t="str">
        <f t="array" ref="C392">IF(B392="","",IF(A392=XLOOKUP(A$2,Implementos!B:B,Implementos!C:C,"",0,1),B392+maxifs(B$1:B391,A$1:A391,A$2),B392))</f>
        <v/>
      </c>
      <c r="D392" s="4" t="str">
        <f>IF(B392="","", COUNTIFS(Productos!F:F,A392,Productos!H:H,B392)+IF(F392="SI",0,1))</f>
        <v/>
      </c>
      <c r="E392" s="4" t="str">
        <f>IFERROR(__xludf.DUMMYFUNCTION("IF($B392="""","""",INDEX(filter(Familias!F:F,Familias!$D:$D=$A392,Familias!$E:$E=$B392),1))"),"")</f>
        <v/>
      </c>
      <c r="F392" s="4" t="str">
        <f>IFERROR(__xludf.DUMMYFUNCTION("IF($B392="""","""",INDEX(filter(Familias!G:G,Familias!$D:$D=$A392,Familias!$E:$E=$B392),1))"),"")</f>
        <v/>
      </c>
      <c r="G392" s="4" t="str">
        <f t="array" ref="G392">IF(C392=1,XLOOKUP(C392,Cotizador!D:D,Cotizador!E:E,"",0,1),"")</f>
        <v/>
      </c>
      <c r="I392" s="4"/>
      <c r="J392" s="8" t="str">
        <f>IF(I392="","",SUMIF(Cotizador!I$1:V$1,I392,Cotizador!I$2:V$2))</f>
        <v/>
      </c>
      <c r="L392" s="4" t="str">
        <f t="array" ref="L392">IF(COUNTIF(L$1:L391,A$2)=SUMIF(A:A,A$2,D:D),IF(COUNTIF(L$1:L391,XLOOKUP(A$2,Implementos!B:B,Implementos!C:C,"",0,1))=SUMIF(A:A,XLOOKUP(A$2,Implementos!B:B,Implementos!C:C,"",0,1),D:D),"",XLOOKUP(A$2,Implementos!B:B,Implementos!C:C,"",0,1)),A$2)</f>
        <v/>
      </c>
      <c r="M392" s="4" t="str">
        <f t="shared" si="2"/>
        <v/>
      </c>
      <c r="N392" s="4" t="str">
        <f t="shared" si="3"/>
        <v/>
      </c>
      <c r="O392" s="4" t="str">
        <f t="shared" si="4"/>
        <v/>
      </c>
      <c r="P392" s="4" t="str">
        <f t="shared" si="5"/>
        <v/>
      </c>
      <c r="Q392" s="4" t="str">
        <f>IF(U392="","",SUMIF(Productos!E:E,U392,Productos!A:A))</f>
        <v/>
      </c>
      <c r="R392" s="4" t="str">
        <f t="array" ref="R392">IF(L392="","", max(1,SUMIF(I:I,XLOOKUP(U392,Productos!E:E,Productos!G:G,"",0,1),J:J)))</f>
        <v/>
      </c>
      <c r="S392" s="4" t="str">
        <f>IF(Q392="","",IF(SUMIFS(Compat_Vetado!D:D,Compat_Vetado!B:B,SUM(G:G),Compat_Vetado!C:C,Q392)=1,"SI",IF(OR(SUMIF(Cotizador!E:E,Q392,Cotizador!G:G)&gt;0,SUMIFS(Compat_Vetado!D:D,Compat_Vetado!B:B,SUM(G:G),Compat_Vetado!C:C,Q392)=-1),"NO","")))</f>
        <v/>
      </c>
      <c r="T392" s="4" t="str">
        <f t="shared" si="6"/>
        <v/>
      </c>
      <c r="U392" s="4" t="str">
        <f>IFERROR(__xludf.DUMMYFUNCTION("IF(P392="""","""",IFERROR(INDEX(filter(Productos!E:E,Productos!F:F=L392,Productos!H:H=N392),P392),IF(M392=SUM(D:D),""Finalizar"",""-"")))"),"")</f>
        <v/>
      </c>
      <c r="V392" s="4" t="str">
        <f>IFERROR(__xludf.DUMMYFUNCTION("IF(OR($U392="""",COUNTIF($I:$I,IFERROR(unique(filter(Prod_Prop!$H:$H,Prod_Prop!$G:$G=$U392,Prod_Prop!$E:$E=V$1)),""Check""))=0),"""",IFERROR(unique(filter(Prod_Prop!$H:$H,Prod_Prop!$G:$G=$U392,Prod_Prop!$E:$E=V$1)),""""))"),"")</f>
        <v/>
      </c>
      <c r="W392" s="4" t="str">
        <f>IF(V392="","",SUMIFS(Prod_Prop!$J:$J,Prod_Prop!$B:$B,$Q392,Prod_Prop!$H:$H,V392,Prod_Prop!$I:$I,W$1)*IF(V392="Peso",$R392,1))</f>
        <v/>
      </c>
      <c r="X392" s="4" t="str">
        <f>IF(V392="","",SUMIFS(Prod_Prop!$J:$J,Prod_Prop!$B:$B,$Q392,Prod_Prop!$H:$H,V392,Prod_Prop!$I:$I,X$1)*IF(V392="Peso",$R392,1))</f>
        <v/>
      </c>
      <c r="Y392" s="4" t="str">
        <f>IFERROR(__xludf.DUMMYFUNCTION("IF(OR($U392="""",COUNTIF($I:$I,IFERROR(unique(filter(Prod_Prop!$H:$H,Prod_Prop!$G:$G=$U392,Prod_Prop!$E:$E=Y$1)),""Check""))=0),"""",IFERROR(unique(filter(Prod_Prop!$H:$H,Prod_Prop!$G:$G=$U392,Prod_Prop!$E:$E=Y$1)),""""))"),"")</f>
        <v/>
      </c>
      <c r="Z392" s="4" t="str">
        <f>IF(Y392="","",SUMIFS(Prod_Prop!$J:$J,Prod_Prop!$B:$B,$Q392,Prod_Prop!$H:$H,Y392,Prod_Prop!$I:$I,Z$1)*IF(Y392="Peso",$R392,1))</f>
        <v/>
      </c>
      <c r="AA392" s="4" t="str">
        <f>IF(Y392="","",SUMIFS(Prod_Prop!$J:$J,Prod_Prop!$B:$B,$Q392,Prod_Prop!$H:$H,Y392,Prod_Prop!$I:$I,AA$1)*IF(Y392="Peso",$R392,1))</f>
        <v/>
      </c>
      <c r="AB392" s="4" t="str">
        <f>IFERROR(__xludf.DUMMYFUNCTION("IF(OR($U392="""",COUNTIF($I:$I,IFERROR(unique(filter(Prod_Prop!$H:$H,Prod_Prop!$G:$G=$U392,Prod_Prop!$E:$E=AB$1)),""Check""))=0),"""",IFERROR(unique(filter(Prod_Prop!$H:$H,Prod_Prop!$G:$G=$U392,Prod_Prop!$E:$E=AB$1)),""""))"),"")</f>
        <v/>
      </c>
      <c r="AC392" s="4" t="str">
        <f>IF(AB392="","",SUMIFS(Prod_Prop!$J:$J,Prod_Prop!$B:$B,$Q392,Prod_Prop!$H:$H,AB392,Prod_Prop!$I:$I,AC$1)*IF(AB392="Peso",$R392,1))</f>
        <v/>
      </c>
      <c r="AD392" s="4" t="str">
        <f>IF(AB392="","",SUMIFS(Prod_Prop!$J:$J,Prod_Prop!$B:$B,$Q392,Prod_Prop!$H:$H,AB392,Prod_Prop!$I:$I,AD$1)*IF(AB392="Peso",$R392,1))</f>
        <v/>
      </c>
    </row>
    <row r="393">
      <c r="A393" s="4" t="str">
        <f t="array" ref="A393">IF(COUNTIF(A$1:A392,Cotizador!F$2)=maxifs(Familias!E:E,Familias!D:D,Cotizador!F$2),IF(COUNTIF(A$1:A392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3" s="4" t="str">
        <f t="shared" si="1"/>
        <v/>
      </c>
      <c r="C393" s="4" t="str">
        <f t="array" ref="C393">IF(B393="","",IF(A393=XLOOKUP(A$2,Implementos!B:B,Implementos!C:C,"",0,1),B393+maxifs(B$1:B392,A$1:A392,A$2),B393))</f>
        <v/>
      </c>
      <c r="D393" s="4" t="str">
        <f>IF(B393="","", COUNTIFS(Productos!F:F,A393,Productos!H:H,B393)+IF(F393="SI",0,1))</f>
        <v/>
      </c>
      <c r="E393" s="4" t="str">
        <f>IFERROR(__xludf.DUMMYFUNCTION("IF($B393="""","""",INDEX(filter(Familias!F:F,Familias!$D:$D=$A393,Familias!$E:$E=$B393),1))"),"")</f>
        <v/>
      </c>
      <c r="F393" s="4" t="str">
        <f>IFERROR(__xludf.DUMMYFUNCTION("IF($B393="""","""",INDEX(filter(Familias!G:G,Familias!$D:$D=$A393,Familias!$E:$E=$B393),1))"),"")</f>
        <v/>
      </c>
      <c r="G393" s="4" t="str">
        <f t="array" ref="G393">IF(C393=1,XLOOKUP(C393,Cotizador!D:D,Cotizador!E:E,"",0,1),"")</f>
        <v/>
      </c>
      <c r="I393" s="4"/>
      <c r="J393" s="8" t="str">
        <f>IF(I393="","",SUMIF(Cotizador!I$1:V$1,I393,Cotizador!I$2:V$2))</f>
        <v/>
      </c>
      <c r="L393" s="4" t="str">
        <f t="array" ref="L393">IF(COUNTIF(L$1:L392,A$2)=SUMIF(A:A,A$2,D:D),IF(COUNTIF(L$1:L392,XLOOKUP(A$2,Implementos!B:B,Implementos!C:C,"",0,1))=SUMIF(A:A,XLOOKUP(A$2,Implementos!B:B,Implementos!C:C,"",0,1),D:D),"",XLOOKUP(A$2,Implementos!B:B,Implementos!C:C,"",0,1)),A$2)</f>
        <v/>
      </c>
      <c r="M393" s="4" t="str">
        <f t="shared" si="2"/>
        <v/>
      </c>
      <c r="N393" s="4" t="str">
        <f t="shared" si="3"/>
        <v/>
      </c>
      <c r="O393" s="4" t="str">
        <f t="shared" si="4"/>
        <v/>
      </c>
      <c r="P393" s="4" t="str">
        <f t="shared" si="5"/>
        <v/>
      </c>
      <c r="Q393" s="4" t="str">
        <f>IF(U393="","",SUMIF(Productos!E:E,U393,Productos!A:A))</f>
        <v/>
      </c>
      <c r="R393" s="4" t="str">
        <f t="array" ref="R393">IF(L393="","", max(1,SUMIF(I:I,XLOOKUP(U393,Productos!E:E,Productos!G:G,"",0,1),J:J)))</f>
        <v/>
      </c>
      <c r="S393" s="4" t="str">
        <f>IF(Q393="","",IF(SUMIFS(Compat_Vetado!D:D,Compat_Vetado!B:B,SUM(G:G),Compat_Vetado!C:C,Q393)=1,"SI",IF(OR(SUMIF(Cotizador!E:E,Q393,Cotizador!G:G)&gt;0,SUMIFS(Compat_Vetado!D:D,Compat_Vetado!B:B,SUM(G:G),Compat_Vetado!C:C,Q393)=-1),"NO","")))</f>
        <v/>
      </c>
      <c r="T393" s="4" t="str">
        <f t="shared" si="6"/>
        <v/>
      </c>
      <c r="U393" s="4" t="str">
        <f>IFERROR(__xludf.DUMMYFUNCTION("IF(P393="""","""",IFERROR(INDEX(filter(Productos!E:E,Productos!F:F=L393,Productos!H:H=N393),P393),IF(M393=SUM(D:D),""Finalizar"",""-"")))"),"")</f>
        <v/>
      </c>
      <c r="V393" s="4" t="str">
        <f>IFERROR(__xludf.DUMMYFUNCTION("IF(OR($U393="""",COUNTIF($I:$I,IFERROR(unique(filter(Prod_Prop!$H:$H,Prod_Prop!$G:$G=$U393,Prod_Prop!$E:$E=V$1)),""Check""))=0),"""",IFERROR(unique(filter(Prod_Prop!$H:$H,Prod_Prop!$G:$G=$U393,Prod_Prop!$E:$E=V$1)),""""))"),"")</f>
        <v/>
      </c>
      <c r="W393" s="4" t="str">
        <f>IF(V393="","",SUMIFS(Prod_Prop!$J:$J,Prod_Prop!$B:$B,$Q393,Prod_Prop!$H:$H,V393,Prod_Prop!$I:$I,W$1)*IF(V393="Peso",$R393,1))</f>
        <v/>
      </c>
      <c r="X393" s="4" t="str">
        <f>IF(V393="","",SUMIFS(Prod_Prop!$J:$J,Prod_Prop!$B:$B,$Q393,Prod_Prop!$H:$H,V393,Prod_Prop!$I:$I,X$1)*IF(V393="Peso",$R393,1))</f>
        <v/>
      </c>
      <c r="Y393" s="4" t="str">
        <f>IFERROR(__xludf.DUMMYFUNCTION("IF(OR($U393="""",COUNTIF($I:$I,IFERROR(unique(filter(Prod_Prop!$H:$H,Prod_Prop!$G:$G=$U393,Prod_Prop!$E:$E=Y$1)),""Check""))=0),"""",IFERROR(unique(filter(Prod_Prop!$H:$H,Prod_Prop!$G:$G=$U393,Prod_Prop!$E:$E=Y$1)),""""))"),"")</f>
        <v/>
      </c>
      <c r="Z393" s="4" t="str">
        <f>IF(Y393="","",SUMIFS(Prod_Prop!$J:$J,Prod_Prop!$B:$B,$Q393,Prod_Prop!$H:$H,Y393,Prod_Prop!$I:$I,Z$1)*IF(Y393="Peso",$R393,1))</f>
        <v/>
      </c>
      <c r="AA393" s="4" t="str">
        <f>IF(Y393="","",SUMIFS(Prod_Prop!$J:$J,Prod_Prop!$B:$B,$Q393,Prod_Prop!$H:$H,Y393,Prod_Prop!$I:$I,AA$1)*IF(Y393="Peso",$R393,1))</f>
        <v/>
      </c>
      <c r="AB393" s="4" t="str">
        <f>IFERROR(__xludf.DUMMYFUNCTION("IF(OR($U393="""",COUNTIF($I:$I,IFERROR(unique(filter(Prod_Prop!$H:$H,Prod_Prop!$G:$G=$U393,Prod_Prop!$E:$E=AB$1)),""Check""))=0),"""",IFERROR(unique(filter(Prod_Prop!$H:$H,Prod_Prop!$G:$G=$U393,Prod_Prop!$E:$E=AB$1)),""""))"),"")</f>
        <v/>
      </c>
      <c r="AC393" s="4" t="str">
        <f>IF(AB393="","",SUMIFS(Prod_Prop!$J:$J,Prod_Prop!$B:$B,$Q393,Prod_Prop!$H:$H,AB393,Prod_Prop!$I:$I,AC$1)*IF(AB393="Peso",$R393,1))</f>
        <v/>
      </c>
      <c r="AD393" s="4" t="str">
        <f>IF(AB393="","",SUMIFS(Prod_Prop!$J:$J,Prod_Prop!$B:$B,$Q393,Prod_Prop!$H:$H,AB393,Prod_Prop!$I:$I,AD$1)*IF(AB393="Peso",$R393,1))</f>
        <v/>
      </c>
    </row>
    <row r="394">
      <c r="A394" s="4" t="str">
        <f t="array" ref="A394">IF(COUNTIF(A$1:A393,Cotizador!F$2)=maxifs(Familias!E:E,Familias!D:D,Cotizador!F$2),IF(COUNTIF(A$1:A393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4" s="4" t="str">
        <f t="shared" si="1"/>
        <v/>
      </c>
      <c r="C394" s="4" t="str">
        <f t="array" ref="C394">IF(B394="","",IF(A394=XLOOKUP(A$2,Implementos!B:B,Implementos!C:C,"",0,1),B394+maxifs(B$1:B393,A$1:A393,A$2),B394))</f>
        <v/>
      </c>
      <c r="D394" s="4" t="str">
        <f>IF(B394="","", COUNTIFS(Productos!F:F,A394,Productos!H:H,B394)+IF(F394="SI",0,1))</f>
        <v/>
      </c>
      <c r="E394" s="4" t="str">
        <f>IFERROR(__xludf.DUMMYFUNCTION("IF($B394="""","""",INDEX(filter(Familias!F:F,Familias!$D:$D=$A394,Familias!$E:$E=$B394),1))"),"")</f>
        <v/>
      </c>
      <c r="F394" s="4" t="str">
        <f>IFERROR(__xludf.DUMMYFUNCTION("IF($B394="""","""",INDEX(filter(Familias!G:G,Familias!$D:$D=$A394,Familias!$E:$E=$B394),1))"),"")</f>
        <v/>
      </c>
      <c r="G394" s="4" t="str">
        <f t="array" ref="G394">IF(C394=1,XLOOKUP(C394,Cotizador!D:D,Cotizador!E:E,"",0,1),"")</f>
        <v/>
      </c>
      <c r="I394" s="4"/>
      <c r="J394" s="8" t="str">
        <f>IF(I394="","",SUMIF(Cotizador!I$1:V$1,I394,Cotizador!I$2:V$2))</f>
        <v/>
      </c>
      <c r="L394" s="4" t="str">
        <f t="array" ref="L394">IF(COUNTIF(L$1:L393,A$2)=SUMIF(A:A,A$2,D:D),IF(COUNTIF(L$1:L393,XLOOKUP(A$2,Implementos!B:B,Implementos!C:C,"",0,1))=SUMIF(A:A,XLOOKUP(A$2,Implementos!B:B,Implementos!C:C,"",0,1),D:D),"",XLOOKUP(A$2,Implementos!B:B,Implementos!C:C,"",0,1)),A$2)</f>
        <v/>
      </c>
      <c r="M394" s="4" t="str">
        <f t="shared" si="2"/>
        <v/>
      </c>
      <c r="N394" s="4" t="str">
        <f t="shared" si="3"/>
        <v/>
      </c>
      <c r="O394" s="4" t="str">
        <f t="shared" si="4"/>
        <v/>
      </c>
      <c r="P394" s="4" t="str">
        <f t="shared" si="5"/>
        <v/>
      </c>
      <c r="Q394" s="4" t="str">
        <f>IF(U394="","",SUMIF(Productos!E:E,U394,Productos!A:A))</f>
        <v/>
      </c>
      <c r="R394" s="4" t="str">
        <f t="array" ref="R394">IF(L394="","", max(1,SUMIF(I:I,XLOOKUP(U394,Productos!E:E,Productos!G:G,"",0,1),J:J)))</f>
        <v/>
      </c>
      <c r="S394" s="4" t="str">
        <f>IF(Q394="","",IF(SUMIFS(Compat_Vetado!D:D,Compat_Vetado!B:B,SUM(G:G),Compat_Vetado!C:C,Q394)=1,"SI",IF(OR(SUMIF(Cotizador!E:E,Q394,Cotizador!G:G)&gt;0,SUMIFS(Compat_Vetado!D:D,Compat_Vetado!B:B,SUM(G:G),Compat_Vetado!C:C,Q394)=-1),"NO","")))</f>
        <v/>
      </c>
      <c r="T394" s="4" t="str">
        <f t="shared" si="6"/>
        <v/>
      </c>
      <c r="U394" s="4" t="str">
        <f>IFERROR(__xludf.DUMMYFUNCTION("IF(P394="""","""",IFERROR(INDEX(filter(Productos!E:E,Productos!F:F=L394,Productos!H:H=N394),P394),IF(M394=SUM(D:D),""Finalizar"",""-"")))"),"")</f>
        <v/>
      </c>
      <c r="V394" s="4" t="str">
        <f>IFERROR(__xludf.DUMMYFUNCTION("IF(OR($U394="""",COUNTIF($I:$I,IFERROR(unique(filter(Prod_Prop!$H:$H,Prod_Prop!$G:$G=$U394,Prod_Prop!$E:$E=V$1)),""Check""))=0),"""",IFERROR(unique(filter(Prod_Prop!$H:$H,Prod_Prop!$G:$G=$U394,Prod_Prop!$E:$E=V$1)),""""))"),"")</f>
        <v/>
      </c>
      <c r="W394" s="4" t="str">
        <f>IF(V394="","",SUMIFS(Prod_Prop!$J:$J,Prod_Prop!$B:$B,$Q394,Prod_Prop!$H:$H,V394,Prod_Prop!$I:$I,W$1)*IF(V394="Peso",$R394,1))</f>
        <v/>
      </c>
      <c r="X394" s="4" t="str">
        <f>IF(V394="","",SUMIFS(Prod_Prop!$J:$J,Prod_Prop!$B:$B,$Q394,Prod_Prop!$H:$H,V394,Prod_Prop!$I:$I,X$1)*IF(V394="Peso",$R394,1))</f>
        <v/>
      </c>
      <c r="Y394" s="4" t="str">
        <f>IFERROR(__xludf.DUMMYFUNCTION("IF(OR($U394="""",COUNTIF($I:$I,IFERROR(unique(filter(Prod_Prop!$H:$H,Prod_Prop!$G:$G=$U394,Prod_Prop!$E:$E=Y$1)),""Check""))=0),"""",IFERROR(unique(filter(Prod_Prop!$H:$H,Prod_Prop!$G:$G=$U394,Prod_Prop!$E:$E=Y$1)),""""))"),"")</f>
        <v/>
      </c>
      <c r="Z394" s="4" t="str">
        <f>IF(Y394="","",SUMIFS(Prod_Prop!$J:$J,Prod_Prop!$B:$B,$Q394,Prod_Prop!$H:$H,Y394,Prod_Prop!$I:$I,Z$1)*IF(Y394="Peso",$R394,1))</f>
        <v/>
      </c>
      <c r="AA394" s="4" t="str">
        <f>IF(Y394="","",SUMIFS(Prod_Prop!$J:$J,Prod_Prop!$B:$B,$Q394,Prod_Prop!$H:$H,Y394,Prod_Prop!$I:$I,AA$1)*IF(Y394="Peso",$R394,1))</f>
        <v/>
      </c>
      <c r="AB394" s="4" t="str">
        <f>IFERROR(__xludf.DUMMYFUNCTION("IF(OR($U394="""",COUNTIF($I:$I,IFERROR(unique(filter(Prod_Prop!$H:$H,Prod_Prop!$G:$G=$U394,Prod_Prop!$E:$E=AB$1)),""Check""))=0),"""",IFERROR(unique(filter(Prod_Prop!$H:$H,Prod_Prop!$G:$G=$U394,Prod_Prop!$E:$E=AB$1)),""""))"),"")</f>
        <v/>
      </c>
      <c r="AC394" s="4" t="str">
        <f>IF(AB394="","",SUMIFS(Prod_Prop!$J:$J,Prod_Prop!$B:$B,$Q394,Prod_Prop!$H:$H,AB394,Prod_Prop!$I:$I,AC$1)*IF(AB394="Peso",$R394,1))</f>
        <v/>
      </c>
      <c r="AD394" s="4" t="str">
        <f>IF(AB394="","",SUMIFS(Prod_Prop!$J:$J,Prod_Prop!$B:$B,$Q394,Prod_Prop!$H:$H,AB394,Prod_Prop!$I:$I,AD$1)*IF(AB394="Peso",$R394,1))</f>
        <v/>
      </c>
    </row>
    <row r="395">
      <c r="A395" s="4" t="str">
        <f t="array" ref="A395">IF(COUNTIF(A$1:A394,Cotizador!F$2)=maxifs(Familias!E:E,Familias!D:D,Cotizador!F$2),IF(COUNTIF(A$1:A394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5" s="4" t="str">
        <f t="shared" si="1"/>
        <v/>
      </c>
      <c r="C395" s="4" t="str">
        <f t="array" ref="C395">IF(B395="","",IF(A395=XLOOKUP(A$2,Implementos!B:B,Implementos!C:C,"",0,1),B395+maxifs(B$1:B394,A$1:A394,A$2),B395))</f>
        <v/>
      </c>
      <c r="D395" s="4" t="str">
        <f>IF(B395="","", COUNTIFS(Productos!F:F,A395,Productos!H:H,B395)+IF(F395="SI",0,1))</f>
        <v/>
      </c>
      <c r="E395" s="4" t="str">
        <f>IFERROR(__xludf.DUMMYFUNCTION("IF($B395="""","""",INDEX(filter(Familias!F:F,Familias!$D:$D=$A395,Familias!$E:$E=$B395),1))"),"")</f>
        <v/>
      </c>
      <c r="F395" s="4" t="str">
        <f>IFERROR(__xludf.DUMMYFUNCTION("IF($B395="""","""",INDEX(filter(Familias!G:G,Familias!$D:$D=$A395,Familias!$E:$E=$B395),1))"),"")</f>
        <v/>
      </c>
      <c r="G395" s="4" t="str">
        <f t="array" ref="G395">IF(C395=1,XLOOKUP(C395,Cotizador!D:D,Cotizador!E:E,"",0,1),"")</f>
        <v/>
      </c>
      <c r="I395" s="4"/>
      <c r="J395" s="8" t="str">
        <f>IF(I395="","",SUMIF(Cotizador!I$1:V$1,I395,Cotizador!I$2:V$2))</f>
        <v/>
      </c>
      <c r="L395" s="4" t="str">
        <f t="array" ref="L395">IF(COUNTIF(L$1:L394,A$2)=SUMIF(A:A,A$2,D:D),IF(COUNTIF(L$1:L394,XLOOKUP(A$2,Implementos!B:B,Implementos!C:C,"",0,1))=SUMIF(A:A,XLOOKUP(A$2,Implementos!B:B,Implementos!C:C,"",0,1),D:D),"",XLOOKUP(A$2,Implementos!B:B,Implementos!C:C,"",0,1)),A$2)</f>
        <v/>
      </c>
      <c r="M395" s="4" t="str">
        <f t="shared" si="2"/>
        <v/>
      </c>
      <c r="N395" s="4" t="str">
        <f t="shared" si="3"/>
        <v/>
      </c>
      <c r="O395" s="4" t="str">
        <f t="shared" si="4"/>
        <v/>
      </c>
      <c r="P395" s="4" t="str">
        <f t="shared" si="5"/>
        <v/>
      </c>
      <c r="Q395" s="4" t="str">
        <f>IF(U395="","",SUMIF(Productos!E:E,U395,Productos!A:A))</f>
        <v/>
      </c>
      <c r="R395" s="4" t="str">
        <f t="array" ref="R395">IF(L395="","", max(1,SUMIF(I:I,XLOOKUP(U395,Productos!E:E,Productos!G:G,"",0,1),J:J)))</f>
        <v/>
      </c>
      <c r="S395" s="4" t="str">
        <f>IF(Q395="","",IF(SUMIFS(Compat_Vetado!D:D,Compat_Vetado!B:B,SUM(G:G),Compat_Vetado!C:C,Q395)=1,"SI",IF(OR(SUMIF(Cotizador!E:E,Q395,Cotizador!G:G)&gt;0,SUMIFS(Compat_Vetado!D:D,Compat_Vetado!B:B,SUM(G:G),Compat_Vetado!C:C,Q395)=-1),"NO","")))</f>
        <v/>
      </c>
      <c r="T395" s="4" t="str">
        <f t="shared" si="6"/>
        <v/>
      </c>
      <c r="U395" s="4" t="str">
        <f>IFERROR(__xludf.DUMMYFUNCTION("IF(P395="""","""",IFERROR(INDEX(filter(Productos!E:E,Productos!F:F=L395,Productos!H:H=N395),P395),IF(M395=SUM(D:D),""Finalizar"",""-"")))"),"")</f>
        <v/>
      </c>
      <c r="V395" s="4" t="str">
        <f>IFERROR(__xludf.DUMMYFUNCTION("IF(OR($U395="""",COUNTIF($I:$I,IFERROR(unique(filter(Prod_Prop!$H:$H,Prod_Prop!$G:$G=$U395,Prod_Prop!$E:$E=V$1)),""Check""))=0),"""",IFERROR(unique(filter(Prod_Prop!$H:$H,Prod_Prop!$G:$G=$U395,Prod_Prop!$E:$E=V$1)),""""))"),"")</f>
        <v/>
      </c>
      <c r="W395" s="4" t="str">
        <f>IF(V395="","",SUMIFS(Prod_Prop!$J:$J,Prod_Prop!$B:$B,$Q395,Prod_Prop!$H:$H,V395,Prod_Prop!$I:$I,W$1)*IF(V395="Peso",$R395,1))</f>
        <v/>
      </c>
      <c r="X395" s="4" t="str">
        <f>IF(V395="","",SUMIFS(Prod_Prop!$J:$J,Prod_Prop!$B:$B,$Q395,Prod_Prop!$H:$H,V395,Prod_Prop!$I:$I,X$1)*IF(V395="Peso",$R395,1))</f>
        <v/>
      </c>
      <c r="Y395" s="4" t="str">
        <f>IFERROR(__xludf.DUMMYFUNCTION("IF(OR($U395="""",COUNTIF($I:$I,IFERROR(unique(filter(Prod_Prop!$H:$H,Prod_Prop!$G:$G=$U395,Prod_Prop!$E:$E=Y$1)),""Check""))=0),"""",IFERROR(unique(filter(Prod_Prop!$H:$H,Prod_Prop!$G:$G=$U395,Prod_Prop!$E:$E=Y$1)),""""))"),"")</f>
        <v/>
      </c>
      <c r="Z395" s="4" t="str">
        <f>IF(Y395="","",SUMIFS(Prod_Prop!$J:$J,Prod_Prop!$B:$B,$Q395,Prod_Prop!$H:$H,Y395,Prod_Prop!$I:$I,Z$1)*IF(Y395="Peso",$R395,1))</f>
        <v/>
      </c>
      <c r="AA395" s="4" t="str">
        <f>IF(Y395="","",SUMIFS(Prod_Prop!$J:$J,Prod_Prop!$B:$B,$Q395,Prod_Prop!$H:$H,Y395,Prod_Prop!$I:$I,AA$1)*IF(Y395="Peso",$R395,1))</f>
        <v/>
      </c>
      <c r="AB395" s="4" t="str">
        <f>IFERROR(__xludf.DUMMYFUNCTION("IF(OR($U395="""",COUNTIF($I:$I,IFERROR(unique(filter(Prod_Prop!$H:$H,Prod_Prop!$G:$G=$U395,Prod_Prop!$E:$E=AB$1)),""Check""))=0),"""",IFERROR(unique(filter(Prod_Prop!$H:$H,Prod_Prop!$G:$G=$U395,Prod_Prop!$E:$E=AB$1)),""""))"),"")</f>
        <v/>
      </c>
      <c r="AC395" s="4" t="str">
        <f>IF(AB395="","",SUMIFS(Prod_Prop!$J:$J,Prod_Prop!$B:$B,$Q395,Prod_Prop!$H:$H,AB395,Prod_Prop!$I:$I,AC$1)*IF(AB395="Peso",$R395,1))</f>
        <v/>
      </c>
      <c r="AD395" s="4" t="str">
        <f>IF(AB395="","",SUMIFS(Prod_Prop!$J:$J,Prod_Prop!$B:$B,$Q395,Prod_Prop!$H:$H,AB395,Prod_Prop!$I:$I,AD$1)*IF(AB395="Peso",$R395,1))</f>
        <v/>
      </c>
    </row>
    <row r="396">
      <c r="A396" s="4" t="str">
        <f t="array" ref="A396">IF(COUNTIF(A$1:A395,Cotizador!F$2)=maxifs(Familias!E:E,Familias!D:D,Cotizador!F$2),IF(COUNTIF(A$1:A395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6" s="4" t="str">
        <f t="shared" si="1"/>
        <v/>
      </c>
      <c r="C396" s="4" t="str">
        <f t="array" ref="C396">IF(B396="","",IF(A396=XLOOKUP(A$2,Implementos!B:B,Implementos!C:C,"",0,1),B396+maxifs(B$1:B395,A$1:A395,A$2),B396))</f>
        <v/>
      </c>
      <c r="D396" s="4" t="str">
        <f>IF(B396="","", COUNTIFS(Productos!F:F,A396,Productos!H:H,B396)+IF(F396="SI",0,1))</f>
        <v/>
      </c>
      <c r="E396" s="4" t="str">
        <f>IFERROR(__xludf.DUMMYFUNCTION("IF($B396="""","""",INDEX(filter(Familias!F:F,Familias!$D:$D=$A396,Familias!$E:$E=$B396),1))"),"")</f>
        <v/>
      </c>
      <c r="F396" s="4" t="str">
        <f>IFERROR(__xludf.DUMMYFUNCTION("IF($B396="""","""",INDEX(filter(Familias!G:G,Familias!$D:$D=$A396,Familias!$E:$E=$B396),1))"),"")</f>
        <v/>
      </c>
      <c r="G396" s="4" t="str">
        <f t="array" ref="G396">IF(C396=1,XLOOKUP(C396,Cotizador!D:D,Cotizador!E:E,"",0,1),"")</f>
        <v/>
      </c>
      <c r="I396" s="4"/>
      <c r="J396" s="8" t="str">
        <f>IF(I396="","",SUMIF(Cotizador!I$1:V$1,I396,Cotizador!I$2:V$2))</f>
        <v/>
      </c>
      <c r="L396" s="4" t="str">
        <f t="array" ref="L396">IF(COUNTIF(L$1:L395,A$2)=SUMIF(A:A,A$2,D:D),IF(COUNTIF(L$1:L395,XLOOKUP(A$2,Implementos!B:B,Implementos!C:C,"",0,1))=SUMIF(A:A,XLOOKUP(A$2,Implementos!B:B,Implementos!C:C,"",0,1),D:D),"",XLOOKUP(A$2,Implementos!B:B,Implementos!C:C,"",0,1)),A$2)</f>
        <v/>
      </c>
      <c r="M396" s="4" t="str">
        <f t="shared" si="2"/>
        <v/>
      </c>
      <c r="N396" s="4" t="str">
        <f t="shared" si="3"/>
        <v/>
      </c>
      <c r="O396" s="4" t="str">
        <f t="shared" si="4"/>
        <v/>
      </c>
      <c r="P396" s="4" t="str">
        <f t="shared" si="5"/>
        <v/>
      </c>
      <c r="Q396" s="4" t="str">
        <f>IF(U396="","",SUMIF(Productos!E:E,U396,Productos!A:A))</f>
        <v/>
      </c>
      <c r="R396" s="4" t="str">
        <f t="array" ref="R396">IF(L396="","", max(1,SUMIF(I:I,XLOOKUP(U396,Productos!E:E,Productos!G:G,"",0,1),J:J)))</f>
        <v/>
      </c>
      <c r="S396" s="4" t="str">
        <f>IF(Q396="","",IF(SUMIFS(Compat_Vetado!D:D,Compat_Vetado!B:B,SUM(G:G),Compat_Vetado!C:C,Q396)=1,"SI",IF(OR(SUMIF(Cotizador!E:E,Q396,Cotizador!G:G)&gt;0,SUMIFS(Compat_Vetado!D:D,Compat_Vetado!B:B,SUM(G:G),Compat_Vetado!C:C,Q396)=-1),"NO","")))</f>
        <v/>
      </c>
      <c r="T396" s="4" t="str">
        <f t="shared" si="6"/>
        <v/>
      </c>
      <c r="U396" s="4" t="str">
        <f>IFERROR(__xludf.DUMMYFUNCTION("IF(P396="""","""",IFERROR(INDEX(filter(Productos!E:E,Productos!F:F=L396,Productos!H:H=N396),P396),IF(M396=SUM(D:D),""Finalizar"",""-"")))"),"")</f>
        <v/>
      </c>
      <c r="V396" s="4" t="str">
        <f>IFERROR(__xludf.DUMMYFUNCTION("IF(OR($U396="""",COUNTIF($I:$I,IFERROR(unique(filter(Prod_Prop!$H:$H,Prod_Prop!$G:$G=$U396,Prod_Prop!$E:$E=V$1)),""Check""))=0),"""",IFERROR(unique(filter(Prod_Prop!$H:$H,Prod_Prop!$G:$G=$U396,Prod_Prop!$E:$E=V$1)),""""))"),"")</f>
        <v/>
      </c>
      <c r="W396" s="4" t="str">
        <f>IF(V396="","",SUMIFS(Prod_Prop!$J:$J,Prod_Prop!$B:$B,$Q396,Prod_Prop!$H:$H,V396,Prod_Prop!$I:$I,W$1)*IF(V396="Peso",$R396,1))</f>
        <v/>
      </c>
      <c r="X396" s="4" t="str">
        <f>IF(V396="","",SUMIFS(Prod_Prop!$J:$J,Prod_Prop!$B:$B,$Q396,Prod_Prop!$H:$H,V396,Prod_Prop!$I:$I,X$1)*IF(V396="Peso",$R396,1))</f>
        <v/>
      </c>
      <c r="Y396" s="4" t="str">
        <f>IFERROR(__xludf.DUMMYFUNCTION("IF(OR($U396="""",COUNTIF($I:$I,IFERROR(unique(filter(Prod_Prop!$H:$H,Prod_Prop!$G:$G=$U396,Prod_Prop!$E:$E=Y$1)),""Check""))=0),"""",IFERROR(unique(filter(Prod_Prop!$H:$H,Prod_Prop!$G:$G=$U396,Prod_Prop!$E:$E=Y$1)),""""))"),"")</f>
        <v/>
      </c>
      <c r="Z396" s="4" t="str">
        <f>IF(Y396="","",SUMIFS(Prod_Prop!$J:$J,Prod_Prop!$B:$B,$Q396,Prod_Prop!$H:$H,Y396,Prod_Prop!$I:$I,Z$1)*IF(Y396="Peso",$R396,1))</f>
        <v/>
      </c>
      <c r="AA396" s="4" t="str">
        <f>IF(Y396="","",SUMIFS(Prod_Prop!$J:$J,Prod_Prop!$B:$B,$Q396,Prod_Prop!$H:$H,Y396,Prod_Prop!$I:$I,AA$1)*IF(Y396="Peso",$R396,1))</f>
        <v/>
      </c>
      <c r="AB396" s="4" t="str">
        <f>IFERROR(__xludf.DUMMYFUNCTION("IF(OR($U396="""",COUNTIF($I:$I,IFERROR(unique(filter(Prod_Prop!$H:$H,Prod_Prop!$G:$G=$U396,Prod_Prop!$E:$E=AB$1)),""Check""))=0),"""",IFERROR(unique(filter(Prod_Prop!$H:$H,Prod_Prop!$G:$G=$U396,Prod_Prop!$E:$E=AB$1)),""""))"),"")</f>
        <v/>
      </c>
      <c r="AC396" s="4" t="str">
        <f>IF(AB396="","",SUMIFS(Prod_Prop!$J:$J,Prod_Prop!$B:$B,$Q396,Prod_Prop!$H:$H,AB396,Prod_Prop!$I:$I,AC$1)*IF(AB396="Peso",$R396,1))</f>
        <v/>
      </c>
      <c r="AD396" s="4" t="str">
        <f>IF(AB396="","",SUMIFS(Prod_Prop!$J:$J,Prod_Prop!$B:$B,$Q396,Prod_Prop!$H:$H,AB396,Prod_Prop!$I:$I,AD$1)*IF(AB396="Peso",$R396,1))</f>
        <v/>
      </c>
    </row>
    <row r="397">
      <c r="A397" s="4" t="str">
        <f t="array" ref="A397">IF(COUNTIF(A$1:A396,Cotizador!F$2)=maxifs(Familias!E:E,Familias!D:D,Cotizador!F$2),IF(COUNTIF(A$1:A396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7" s="4" t="str">
        <f t="shared" si="1"/>
        <v/>
      </c>
      <c r="C397" s="4" t="str">
        <f t="array" ref="C397">IF(B397="","",IF(A397=XLOOKUP(A$2,Implementos!B:B,Implementos!C:C,"",0,1),B397+maxifs(B$1:B396,A$1:A396,A$2),B397))</f>
        <v/>
      </c>
      <c r="D397" s="4" t="str">
        <f>IF(B397="","", COUNTIFS(Productos!F:F,A397,Productos!H:H,B397)+IF(F397="SI",0,1))</f>
        <v/>
      </c>
      <c r="E397" s="4" t="str">
        <f>IFERROR(__xludf.DUMMYFUNCTION("IF($B397="""","""",INDEX(filter(Familias!F:F,Familias!$D:$D=$A397,Familias!$E:$E=$B397),1))"),"")</f>
        <v/>
      </c>
      <c r="F397" s="4" t="str">
        <f>IFERROR(__xludf.DUMMYFUNCTION("IF($B397="""","""",INDEX(filter(Familias!G:G,Familias!$D:$D=$A397,Familias!$E:$E=$B397),1))"),"")</f>
        <v/>
      </c>
      <c r="G397" s="4" t="str">
        <f t="array" ref="G397">IF(C397=1,XLOOKUP(C397,Cotizador!D:D,Cotizador!E:E,"",0,1),"")</f>
        <v/>
      </c>
      <c r="I397" s="4"/>
      <c r="J397" s="8" t="str">
        <f>IF(I397="","",SUMIF(Cotizador!I$1:V$1,I397,Cotizador!I$2:V$2))</f>
        <v/>
      </c>
      <c r="L397" s="4" t="str">
        <f t="array" ref="L397">IF(COUNTIF(L$1:L396,A$2)=SUMIF(A:A,A$2,D:D),IF(COUNTIF(L$1:L396,XLOOKUP(A$2,Implementos!B:B,Implementos!C:C,"",0,1))=SUMIF(A:A,XLOOKUP(A$2,Implementos!B:B,Implementos!C:C,"",0,1),D:D),"",XLOOKUP(A$2,Implementos!B:B,Implementos!C:C,"",0,1)),A$2)</f>
        <v/>
      </c>
      <c r="M397" s="4" t="str">
        <f t="shared" si="2"/>
        <v/>
      </c>
      <c r="N397" s="4" t="str">
        <f t="shared" si="3"/>
        <v/>
      </c>
      <c r="O397" s="4" t="str">
        <f t="shared" si="4"/>
        <v/>
      </c>
      <c r="P397" s="4" t="str">
        <f t="shared" si="5"/>
        <v/>
      </c>
      <c r="Q397" s="4" t="str">
        <f>IF(U397="","",SUMIF(Productos!E:E,U397,Productos!A:A))</f>
        <v/>
      </c>
      <c r="R397" s="4" t="str">
        <f t="array" ref="R397">IF(L397="","", max(1,SUMIF(I:I,XLOOKUP(U397,Productos!E:E,Productos!G:G,"",0,1),J:J)))</f>
        <v/>
      </c>
      <c r="S397" s="4" t="str">
        <f>IF(Q397="","",IF(SUMIFS(Compat_Vetado!D:D,Compat_Vetado!B:B,SUM(G:G),Compat_Vetado!C:C,Q397)=1,"SI",IF(OR(SUMIF(Cotizador!E:E,Q397,Cotizador!G:G)&gt;0,SUMIFS(Compat_Vetado!D:D,Compat_Vetado!B:B,SUM(G:G),Compat_Vetado!C:C,Q397)=-1),"NO","")))</f>
        <v/>
      </c>
      <c r="T397" s="4" t="str">
        <f t="shared" si="6"/>
        <v/>
      </c>
      <c r="U397" s="4" t="str">
        <f>IFERROR(__xludf.DUMMYFUNCTION("IF(P397="""","""",IFERROR(INDEX(filter(Productos!E:E,Productos!F:F=L397,Productos!H:H=N397),P397),IF(M397=SUM(D:D),""Finalizar"",""-"")))"),"")</f>
        <v/>
      </c>
      <c r="V397" s="4" t="str">
        <f>IFERROR(__xludf.DUMMYFUNCTION("IF(OR($U397="""",COUNTIF($I:$I,IFERROR(unique(filter(Prod_Prop!$H:$H,Prod_Prop!$G:$G=$U397,Prod_Prop!$E:$E=V$1)),""Check""))=0),"""",IFERROR(unique(filter(Prod_Prop!$H:$H,Prod_Prop!$G:$G=$U397,Prod_Prop!$E:$E=V$1)),""""))"),"")</f>
        <v/>
      </c>
      <c r="W397" s="4" t="str">
        <f>IF(V397="","",SUMIFS(Prod_Prop!$J:$J,Prod_Prop!$B:$B,$Q397,Prod_Prop!$H:$H,V397,Prod_Prop!$I:$I,W$1)*IF(V397="Peso",$R397,1))</f>
        <v/>
      </c>
      <c r="X397" s="4" t="str">
        <f>IF(V397="","",SUMIFS(Prod_Prop!$J:$J,Prod_Prop!$B:$B,$Q397,Prod_Prop!$H:$H,V397,Prod_Prop!$I:$I,X$1)*IF(V397="Peso",$R397,1))</f>
        <v/>
      </c>
      <c r="Y397" s="4" t="str">
        <f>IFERROR(__xludf.DUMMYFUNCTION("IF(OR($U397="""",COUNTIF($I:$I,IFERROR(unique(filter(Prod_Prop!$H:$H,Prod_Prop!$G:$G=$U397,Prod_Prop!$E:$E=Y$1)),""Check""))=0),"""",IFERROR(unique(filter(Prod_Prop!$H:$H,Prod_Prop!$G:$G=$U397,Prod_Prop!$E:$E=Y$1)),""""))"),"")</f>
        <v/>
      </c>
      <c r="Z397" s="4" t="str">
        <f>IF(Y397="","",SUMIFS(Prod_Prop!$J:$J,Prod_Prop!$B:$B,$Q397,Prod_Prop!$H:$H,Y397,Prod_Prop!$I:$I,Z$1)*IF(Y397="Peso",$R397,1))</f>
        <v/>
      </c>
      <c r="AA397" s="4" t="str">
        <f>IF(Y397="","",SUMIFS(Prod_Prop!$J:$J,Prod_Prop!$B:$B,$Q397,Prod_Prop!$H:$H,Y397,Prod_Prop!$I:$I,AA$1)*IF(Y397="Peso",$R397,1))</f>
        <v/>
      </c>
      <c r="AB397" s="4" t="str">
        <f>IFERROR(__xludf.DUMMYFUNCTION("IF(OR($U397="""",COUNTIF($I:$I,IFERROR(unique(filter(Prod_Prop!$H:$H,Prod_Prop!$G:$G=$U397,Prod_Prop!$E:$E=AB$1)),""Check""))=0),"""",IFERROR(unique(filter(Prod_Prop!$H:$H,Prod_Prop!$G:$G=$U397,Prod_Prop!$E:$E=AB$1)),""""))"),"")</f>
        <v/>
      </c>
      <c r="AC397" s="4" t="str">
        <f>IF(AB397="","",SUMIFS(Prod_Prop!$J:$J,Prod_Prop!$B:$B,$Q397,Prod_Prop!$H:$H,AB397,Prod_Prop!$I:$I,AC$1)*IF(AB397="Peso",$R397,1))</f>
        <v/>
      </c>
      <c r="AD397" s="4" t="str">
        <f>IF(AB397="","",SUMIFS(Prod_Prop!$J:$J,Prod_Prop!$B:$B,$Q397,Prod_Prop!$H:$H,AB397,Prod_Prop!$I:$I,AD$1)*IF(AB397="Peso",$R397,1))</f>
        <v/>
      </c>
    </row>
    <row r="398">
      <c r="A398" s="4" t="str">
        <f t="array" ref="A398">IF(COUNTIF(A$1:A397,Cotizador!F$2)=maxifs(Familias!E:E,Familias!D:D,Cotizador!F$2),IF(COUNTIF(A$1:A397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8" s="4" t="str">
        <f t="shared" si="1"/>
        <v/>
      </c>
      <c r="C398" s="4" t="str">
        <f t="array" ref="C398">IF(B398="","",IF(A398=XLOOKUP(A$2,Implementos!B:B,Implementos!C:C,"",0,1),B398+maxifs(B$1:B397,A$1:A397,A$2),B398))</f>
        <v/>
      </c>
      <c r="D398" s="4" t="str">
        <f>IF(B398="","", COUNTIFS(Productos!F:F,A398,Productos!H:H,B398)+IF(F398="SI",0,1))</f>
        <v/>
      </c>
      <c r="E398" s="4" t="str">
        <f>IFERROR(__xludf.DUMMYFUNCTION("IF($B398="""","""",INDEX(filter(Familias!F:F,Familias!$D:$D=$A398,Familias!$E:$E=$B398),1))"),"")</f>
        <v/>
      </c>
      <c r="F398" s="4" t="str">
        <f>IFERROR(__xludf.DUMMYFUNCTION("IF($B398="""","""",INDEX(filter(Familias!G:G,Familias!$D:$D=$A398,Familias!$E:$E=$B398),1))"),"")</f>
        <v/>
      </c>
      <c r="G398" s="4" t="str">
        <f t="array" ref="G398">IF(C398=1,XLOOKUP(C398,Cotizador!D:D,Cotizador!E:E,"",0,1),"")</f>
        <v/>
      </c>
      <c r="I398" s="4"/>
      <c r="J398" s="8" t="str">
        <f>IF(I398="","",SUMIF(Cotizador!I$1:V$1,I398,Cotizador!I$2:V$2))</f>
        <v/>
      </c>
      <c r="L398" s="4" t="str">
        <f t="array" ref="L398">IF(COUNTIF(L$1:L397,A$2)=SUMIF(A:A,A$2,D:D),IF(COUNTIF(L$1:L397,XLOOKUP(A$2,Implementos!B:B,Implementos!C:C,"",0,1))=SUMIF(A:A,XLOOKUP(A$2,Implementos!B:B,Implementos!C:C,"",0,1),D:D),"",XLOOKUP(A$2,Implementos!B:B,Implementos!C:C,"",0,1)),A$2)</f>
        <v/>
      </c>
      <c r="M398" s="4" t="str">
        <f t="shared" si="2"/>
        <v/>
      </c>
      <c r="N398" s="4" t="str">
        <f t="shared" si="3"/>
        <v/>
      </c>
      <c r="O398" s="4" t="str">
        <f t="shared" si="4"/>
        <v/>
      </c>
      <c r="P398" s="4" t="str">
        <f t="shared" si="5"/>
        <v/>
      </c>
      <c r="Q398" s="4" t="str">
        <f>IF(U398="","",SUMIF(Productos!E:E,U398,Productos!A:A))</f>
        <v/>
      </c>
      <c r="R398" s="4" t="str">
        <f t="array" ref="R398">IF(L398="","", max(1,SUMIF(I:I,XLOOKUP(U398,Productos!E:E,Productos!G:G,"",0,1),J:J)))</f>
        <v/>
      </c>
      <c r="S398" s="4" t="str">
        <f>IF(Q398="","",IF(SUMIFS(Compat_Vetado!D:D,Compat_Vetado!B:B,SUM(G:G),Compat_Vetado!C:C,Q398)=1,"SI",IF(OR(SUMIF(Cotizador!E:E,Q398,Cotizador!G:G)&gt;0,SUMIFS(Compat_Vetado!D:D,Compat_Vetado!B:B,SUM(G:G),Compat_Vetado!C:C,Q398)=-1),"NO","")))</f>
        <v/>
      </c>
      <c r="T398" s="4" t="str">
        <f t="shared" si="6"/>
        <v/>
      </c>
      <c r="U398" s="4" t="str">
        <f>IFERROR(__xludf.DUMMYFUNCTION("IF(P398="""","""",IFERROR(INDEX(filter(Productos!E:E,Productos!F:F=L398,Productos!H:H=N398),P398),IF(M398=SUM(D:D),""Finalizar"",""-"")))"),"")</f>
        <v/>
      </c>
      <c r="V398" s="4" t="str">
        <f>IFERROR(__xludf.DUMMYFUNCTION("IF(OR($U398="""",COUNTIF($I:$I,IFERROR(unique(filter(Prod_Prop!$H:$H,Prod_Prop!$G:$G=$U398,Prod_Prop!$E:$E=V$1)),""Check""))=0),"""",IFERROR(unique(filter(Prod_Prop!$H:$H,Prod_Prop!$G:$G=$U398,Prod_Prop!$E:$E=V$1)),""""))"),"")</f>
        <v/>
      </c>
      <c r="W398" s="4" t="str">
        <f>IF(V398="","",SUMIFS(Prod_Prop!$J:$J,Prod_Prop!$B:$B,$Q398,Prod_Prop!$H:$H,V398,Prod_Prop!$I:$I,W$1)*IF(V398="Peso",$R398,1))</f>
        <v/>
      </c>
      <c r="X398" s="4" t="str">
        <f>IF(V398="","",SUMIFS(Prod_Prop!$J:$J,Prod_Prop!$B:$B,$Q398,Prod_Prop!$H:$H,V398,Prod_Prop!$I:$I,X$1)*IF(V398="Peso",$R398,1))</f>
        <v/>
      </c>
      <c r="Y398" s="4" t="str">
        <f>IFERROR(__xludf.DUMMYFUNCTION("IF(OR($U398="""",COUNTIF($I:$I,IFERROR(unique(filter(Prod_Prop!$H:$H,Prod_Prop!$G:$G=$U398,Prod_Prop!$E:$E=Y$1)),""Check""))=0),"""",IFERROR(unique(filter(Prod_Prop!$H:$H,Prod_Prop!$G:$G=$U398,Prod_Prop!$E:$E=Y$1)),""""))"),"")</f>
        <v/>
      </c>
      <c r="Z398" s="4" t="str">
        <f>IF(Y398="","",SUMIFS(Prod_Prop!$J:$J,Prod_Prop!$B:$B,$Q398,Prod_Prop!$H:$H,Y398,Prod_Prop!$I:$I,Z$1)*IF(Y398="Peso",$R398,1))</f>
        <v/>
      </c>
      <c r="AA398" s="4" t="str">
        <f>IF(Y398="","",SUMIFS(Prod_Prop!$J:$J,Prod_Prop!$B:$B,$Q398,Prod_Prop!$H:$H,Y398,Prod_Prop!$I:$I,AA$1)*IF(Y398="Peso",$R398,1))</f>
        <v/>
      </c>
      <c r="AB398" s="4" t="str">
        <f>IFERROR(__xludf.DUMMYFUNCTION("IF(OR($U398="""",COUNTIF($I:$I,IFERROR(unique(filter(Prod_Prop!$H:$H,Prod_Prop!$G:$G=$U398,Prod_Prop!$E:$E=AB$1)),""Check""))=0),"""",IFERROR(unique(filter(Prod_Prop!$H:$H,Prod_Prop!$G:$G=$U398,Prod_Prop!$E:$E=AB$1)),""""))"),"")</f>
        <v/>
      </c>
      <c r="AC398" s="4" t="str">
        <f>IF(AB398="","",SUMIFS(Prod_Prop!$J:$J,Prod_Prop!$B:$B,$Q398,Prod_Prop!$H:$H,AB398,Prod_Prop!$I:$I,AC$1)*IF(AB398="Peso",$R398,1))</f>
        <v/>
      </c>
      <c r="AD398" s="4" t="str">
        <f>IF(AB398="","",SUMIFS(Prod_Prop!$J:$J,Prod_Prop!$B:$B,$Q398,Prod_Prop!$H:$H,AB398,Prod_Prop!$I:$I,AD$1)*IF(AB398="Peso",$R398,1))</f>
        <v/>
      </c>
    </row>
    <row r="399">
      <c r="A399" s="4" t="str">
        <f t="array" ref="A399">IF(COUNTIF(A$1:A398,Cotizador!F$2)=maxifs(Familias!E:E,Familias!D:D,Cotizador!F$2),IF(COUNTIF(A$1:A398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399" s="4" t="str">
        <f t="shared" si="1"/>
        <v/>
      </c>
      <c r="C399" s="4" t="str">
        <f t="array" ref="C399">IF(B399="","",IF(A399=XLOOKUP(A$2,Implementos!B:B,Implementos!C:C,"",0,1),B399+maxifs(B$1:B398,A$1:A398,A$2),B399))</f>
        <v/>
      </c>
      <c r="D399" s="4" t="str">
        <f>IF(B399="","", COUNTIFS(Productos!F:F,A399,Productos!H:H,B399)+IF(F399="SI",0,1))</f>
        <v/>
      </c>
      <c r="E399" s="4" t="str">
        <f>IFERROR(__xludf.DUMMYFUNCTION("IF($B399="""","""",INDEX(filter(Familias!F:F,Familias!$D:$D=$A399,Familias!$E:$E=$B399),1))"),"")</f>
        <v/>
      </c>
      <c r="F399" s="4" t="str">
        <f>IFERROR(__xludf.DUMMYFUNCTION("IF($B399="""","""",INDEX(filter(Familias!G:G,Familias!$D:$D=$A399,Familias!$E:$E=$B399),1))"),"")</f>
        <v/>
      </c>
      <c r="G399" s="4" t="str">
        <f t="array" ref="G399">IF(C399=1,XLOOKUP(C399,Cotizador!D:D,Cotizador!E:E,"",0,1),"")</f>
        <v/>
      </c>
      <c r="I399" s="4"/>
      <c r="J399" s="8" t="str">
        <f>IF(I399="","",SUMIF(Cotizador!I$1:V$1,I399,Cotizador!I$2:V$2))</f>
        <v/>
      </c>
      <c r="L399" s="4" t="str">
        <f t="array" ref="L399">IF(COUNTIF(L$1:L398,A$2)=SUMIF(A:A,A$2,D:D),IF(COUNTIF(L$1:L398,XLOOKUP(A$2,Implementos!B:B,Implementos!C:C,"",0,1))=SUMIF(A:A,XLOOKUP(A$2,Implementos!B:B,Implementos!C:C,"",0,1),D:D),"",XLOOKUP(A$2,Implementos!B:B,Implementos!C:C,"",0,1)),A$2)</f>
        <v/>
      </c>
      <c r="M399" s="4" t="str">
        <f t="shared" si="2"/>
        <v/>
      </c>
      <c r="N399" s="4" t="str">
        <f t="shared" si="3"/>
        <v/>
      </c>
      <c r="O399" s="4" t="str">
        <f t="shared" si="4"/>
        <v/>
      </c>
      <c r="P399" s="4" t="str">
        <f t="shared" si="5"/>
        <v/>
      </c>
      <c r="Q399" s="4" t="str">
        <f>IF(U399="","",SUMIF(Productos!E:E,U399,Productos!A:A))</f>
        <v/>
      </c>
      <c r="R399" s="4" t="str">
        <f t="array" ref="R399">IF(L399="","", max(1,SUMIF(I:I,XLOOKUP(U399,Productos!E:E,Productos!G:G,"",0,1),J:J)))</f>
        <v/>
      </c>
      <c r="S399" s="4" t="str">
        <f>IF(Q399="","",IF(SUMIFS(Compat_Vetado!D:D,Compat_Vetado!B:B,SUM(G:G),Compat_Vetado!C:C,Q399)=1,"SI",IF(OR(SUMIF(Cotizador!E:E,Q399,Cotizador!G:G)&gt;0,SUMIFS(Compat_Vetado!D:D,Compat_Vetado!B:B,SUM(G:G),Compat_Vetado!C:C,Q399)=-1),"NO","")))</f>
        <v/>
      </c>
      <c r="T399" s="4" t="str">
        <f t="shared" si="6"/>
        <v/>
      </c>
      <c r="U399" s="4" t="str">
        <f>IFERROR(__xludf.DUMMYFUNCTION("IF(P399="""","""",IFERROR(INDEX(filter(Productos!E:E,Productos!F:F=L399,Productos!H:H=N399),P399),IF(M399=SUM(D:D),""Finalizar"",""-"")))"),"")</f>
        <v/>
      </c>
      <c r="V399" s="4" t="str">
        <f>IFERROR(__xludf.DUMMYFUNCTION("IF(OR($U399="""",COUNTIF($I:$I,IFERROR(unique(filter(Prod_Prop!$H:$H,Prod_Prop!$G:$G=$U399,Prod_Prop!$E:$E=V$1)),""Check""))=0),"""",IFERROR(unique(filter(Prod_Prop!$H:$H,Prod_Prop!$G:$G=$U399,Prod_Prop!$E:$E=V$1)),""""))"),"")</f>
        <v/>
      </c>
      <c r="W399" s="4" t="str">
        <f>IF(V399="","",SUMIFS(Prod_Prop!$J:$J,Prod_Prop!$B:$B,$Q399,Prod_Prop!$H:$H,V399,Prod_Prop!$I:$I,W$1)*IF(V399="Peso",$R399,1))</f>
        <v/>
      </c>
      <c r="X399" s="4" t="str">
        <f>IF(V399="","",SUMIFS(Prod_Prop!$J:$J,Prod_Prop!$B:$B,$Q399,Prod_Prop!$H:$H,V399,Prod_Prop!$I:$I,X$1)*IF(V399="Peso",$R399,1))</f>
        <v/>
      </c>
      <c r="Y399" s="4" t="str">
        <f>IFERROR(__xludf.DUMMYFUNCTION("IF(OR($U399="""",COUNTIF($I:$I,IFERROR(unique(filter(Prod_Prop!$H:$H,Prod_Prop!$G:$G=$U399,Prod_Prop!$E:$E=Y$1)),""Check""))=0),"""",IFERROR(unique(filter(Prod_Prop!$H:$H,Prod_Prop!$G:$G=$U399,Prod_Prop!$E:$E=Y$1)),""""))"),"")</f>
        <v/>
      </c>
      <c r="Z399" s="4" t="str">
        <f>IF(Y399="","",SUMIFS(Prod_Prop!$J:$J,Prod_Prop!$B:$B,$Q399,Prod_Prop!$H:$H,Y399,Prod_Prop!$I:$I,Z$1)*IF(Y399="Peso",$R399,1))</f>
        <v/>
      </c>
      <c r="AA399" s="4" t="str">
        <f>IF(Y399="","",SUMIFS(Prod_Prop!$J:$J,Prod_Prop!$B:$B,$Q399,Prod_Prop!$H:$H,Y399,Prod_Prop!$I:$I,AA$1)*IF(Y399="Peso",$R399,1))</f>
        <v/>
      </c>
      <c r="AB399" s="4" t="str">
        <f>IFERROR(__xludf.DUMMYFUNCTION("IF(OR($U399="""",COUNTIF($I:$I,IFERROR(unique(filter(Prod_Prop!$H:$H,Prod_Prop!$G:$G=$U399,Prod_Prop!$E:$E=AB$1)),""Check""))=0),"""",IFERROR(unique(filter(Prod_Prop!$H:$H,Prod_Prop!$G:$G=$U399,Prod_Prop!$E:$E=AB$1)),""""))"),"")</f>
        <v/>
      </c>
      <c r="AC399" s="4" t="str">
        <f>IF(AB399="","",SUMIFS(Prod_Prop!$J:$J,Prod_Prop!$B:$B,$Q399,Prod_Prop!$H:$H,AB399,Prod_Prop!$I:$I,AC$1)*IF(AB399="Peso",$R399,1))</f>
        <v/>
      </c>
      <c r="AD399" s="4" t="str">
        <f>IF(AB399="","",SUMIFS(Prod_Prop!$J:$J,Prod_Prop!$B:$B,$Q399,Prod_Prop!$H:$H,AB399,Prod_Prop!$I:$I,AD$1)*IF(AB399="Peso",$R399,1))</f>
        <v/>
      </c>
    </row>
    <row r="400">
      <c r="A400" s="4" t="str">
        <f t="array" ref="A400">IF(COUNTIF(A$1:A399,Cotizador!F$2)=maxifs(Familias!E:E,Familias!D:D,Cotizador!F$2),IF(COUNTIF(A$1:A399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0" s="4" t="str">
        <f t="shared" si="1"/>
        <v/>
      </c>
      <c r="C400" s="4" t="str">
        <f t="array" ref="C400">IF(B400="","",IF(A400=XLOOKUP(A$2,Implementos!B:B,Implementos!C:C,"",0,1),B400+maxifs(B$1:B399,A$1:A399,A$2),B400))</f>
        <v/>
      </c>
      <c r="D400" s="4" t="str">
        <f>IF(B400="","", COUNTIFS(Productos!F:F,A400,Productos!H:H,B400)+IF(F400="SI",0,1))</f>
        <v/>
      </c>
      <c r="E400" s="4" t="str">
        <f>IFERROR(__xludf.DUMMYFUNCTION("IF($B400="""","""",INDEX(filter(Familias!F:F,Familias!$D:$D=$A400,Familias!$E:$E=$B400),1))"),"")</f>
        <v/>
      </c>
      <c r="F400" s="4" t="str">
        <f>IFERROR(__xludf.DUMMYFUNCTION("IF($B400="""","""",INDEX(filter(Familias!G:G,Familias!$D:$D=$A400,Familias!$E:$E=$B400),1))"),"")</f>
        <v/>
      </c>
      <c r="G400" s="4" t="str">
        <f t="array" ref="G400">IF(C400=1,XLOOKUP(C400,Cotizador!D:D,Cotizador!E:E,"",0,1),"")</f>
        <v/>
      </c>
      <c r="I400" s="4"/>
      <c r="J400" s="8" t="str">
        <f>IF(I400="","",SUMIF(Cotizador!I$1:V$1,I400,Cotizador!I$2:V$2))</f>
        <v/>
      </c>
      <c r="L400" s="4" t="str">
        <f t="array" ref="L400">IF(COUNTIF(L$1:L399,A$2)=SUMIF(A:A,A$2,D:D),IF(COUNTIF(L$1:L399,XLOOKUP(A$2,Implementos!B:B,Implementos!C:C,"",0,1))=SUMIF(A:A,XLOOKUP(A$2,Implementos!B:B,Implementos!C:C,"",0,1),D:D),"",XLOOKUP(A$2,Implementos!B:B,Implementos!C:C,"",0,1)),A$2)</f>
        <v/>
      </c>
      <c r="M400" s="4" t="str">
        <f t="shared" si="2"/>
        <v/>
      </c>
      <c r="N400" s="4" t="str">
        <f t="shared" si="3"/>
        <v/>
      </c>
      <c r="O400" s="4" t="str">
        <f t="shared" si="4"/>
        <v/>
      </c>
      <c r="P400" s="4" t="str">
        <f t="shared" si="5"/>
        <v/>
      </c>
      <c r="Q400" s="4" t="str">
        <f>IF(U400="","",SUMIF(Productos!E:E,U400,Productos!A:A))</f>
        <v/>
      </c>
      <c r="R400" s="4" t="str">
        <f t="array" ref="R400">IF(L400="","", max(1,SUMIF(I:I,XLOOKUP(U400,Productos!E:E,Productos!G:G,"",0,1),J:J)))</f>
        <v/>
      </c>
      <c r="S400" s="4" t="str">
        <f>IF(Q400="","",IF(SUMIFS(Compat_Vetado!D:D,Compat_Vetado!B:B,SUM(G:G),Compat_Vetado!C:C,Q400)=1,"SI",IF(OR(SUMIF(Cotizador!E:E,Q400,Cotizador!G:G)&gt;0,SUMIFS(Compat_Vetado!D:D,Compat_Vetado!B:B,SUM(G:G),Compat_Vetado!C:C,Q400)=-1),"NO","")))</f>
        <v/>
      </c>
      <c r="T400" s="4" t="str">
        <f t="shared" si="6"/>
        <v/>
      </c>
      <c r="U400" s="4" t="str">
        <f>IFERROR(__xludf.DUMMYFUNCTION("IF(P400="""","""",IFERROR(INDEX(filter(Productos!E:E,Productos!F:F=L400,Productos!H:H=N400),P400),IF(M400=SUM(D:D),""Finalizar"",""-"")))"),"")</f>
        <v/>
      </c>
      <c r="V400" s="4" t="str">
        <f>IFERROR(__xludf.DUMMYFUNCTION("IF(OR($U400="""",COUNTIF($I:$I,IFERROR(unique(filter(Prod_Prop!$H:$H,Prod_Prop!$G:$G=$U400,Prod_Prop!$E:$E=V$1)),""Check""))=0),"""",IFERROR(unique(filter(Prod_Prop!$H:$H,Prod_Prop!$G:$G=$U400,Prod_Prop!$E:$E=V$1)),""""))"),"")</f>
        <v/>
      </c>
      <c r="W400" s="4" t="str">
        <f>IF(V400="","",SUMIFS(Prod_Prop!$J:$J,Prod_Prop!$B:$B,$Q400,Prod_Prop!$H:$H,V400,Prod_Prop!$I:$I,W$1)*IF(V400="Peso",$R400,1))</f>
        <v/>
      </c>
      <c r="X400" s="4" t="str">
        <f>IF(V400="","",SUMIFS(Prod_Prop!$J:$J,Prod_Prop!$B:$B,$Q400,Prod_Prop!$H:$H,V400,Prod_Prop!$I:$I,X$1)*IF(V400="Peso",$R400,1))</f>
        <v/>
      </c>
      <c r="Y400" s="4" t="str">
        <f>IFERROR(__xludf.DUMMYFUNCTION("IF(OR($U400="""",COUNTIF($I:$I,IFERROR(unique(filter(Prod_Prop!$H:$H,Prod_Prop!$G:$G=$U400,Prod_Prop!$E:$E=Y$1)),""Check""))=0),"""",IFERROR(unique(filter(Prod_Prop!$H:$H,Prod_Prop!$G:$G=$U400,Prod_Prop!$E:$E=Y$1)),""""))"),"")</f>
        <v/>
      </c>
      <c r="Z400" s="4" t="str">
        <f>IF(Y400="","",SUMIFS(Prod_Prop!$J:$J,Prod_Prop!$B:$B,$Q400,Prod_Prop!$H:$H,Y400,Prod_Prop!$I:$I,Z$1)*IF(Y400="Peso",$R400,1))</f>
        <v/>
      </c>
      <c r="AA400" s="4" t="str">
        <f>IF(Y400="","",SUMIFS(Prod_Prop!$J:$J,Prod_Prop!$B:$B,$Q400,Prod_Prop!$H:$H,Y400,Prod_Prop!$I:$I,AA$1)*IF(Y400="Peso",$R400,1))</f>
        <v/>
      </c>
      <c r="AB400" s="4" t="str">
        <f>IFERROR(__xludf.DUMMYFUNCTION("IF(OR($U400="""",COUNTIF($I:$I,IFERROR(unique(filter(Prod_Prop!$H:$H,Prod_Prop!$G:$G=$U400,Prod_Prop!$E:$E=AB$1)),""Check""))=0),"""",IFERROR(unique(filter(Prod_Prop!$H:$H,Prod_Prop!$G:$G=$U400,Prod_Prop!$E:$E=AB$1)),""""))"),"")</f>
        <v/>
      </c>
      <c r="AC400" s="4" t="str">
        <f>IF(AB400="","",SUMIFS(Prod_Prop!$J:$J,Prod_Prop!$B:$B,$Q400,Prod_Prop!$H:$H,AB400,Prod_Prop!$I:$I,AC$1)*IF(AB400="Peso",$R400,1))</f>
        <v/>
      </c>
      <c r="AD400" s="4" t="str">
        <f>IF(AB400="","",SUMIFS(Prod_Prop!$J:$J,Prod_Prop!$B:$B,$Q400,Prod_Prop!$H:$H,AB400,Prod_Prop!$I:$I,AD$1)*IF(AB400="Peso",$R400,1))</f>
        <v/>
      </c>
    </row>
    <row r="401">
      <c r="A401" s="4" t="str">
        <f t="array" ref="A401">IF(COUNTIF(A$1:A400,Cotizador!F$2)=maxifs(Familias!E:E,Familias!D:D,Cotizador!F$2),IF(COUNTIF(A$1:A400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1" s="4" t="str">
        <f t="shared" si="1"/>
        <v/>
      </c>
      <c r="C401" s="4" t="str">
        <f t="array" ref="C401">IF(B401="","",IF(A401=XLOOKUP(A$2,Implementos!B:B,Implementos!C:C,"",0,1),B401+maxifs(B$1:B400,A$1:A400,A$2),B401))</f>
        <v/>
      </c>
      <c r="D401" s="4" t="str">
        <f>IF(B401="","", COUNTIFS(Productos!F:F,A401,Productos!H:H,B401)+IF(F401="SI",0,1))</f>
        <v/>
      </c>
      <c r="E401" s="4" t="str">
        <f>IFERROR(__xludf.DUMMYFUNCTION("IF($B401="""","""",INDEX(filter(Familias!F:F,Familias!$D:$D=$A401,Familias!$E:$E=$B401),1))"),"")</f>
        <v/>
      </c>
      <c r="F401" s="4" t="str">
        <f>IFERROR(__xludf.DUMMYFUNCTION("IF($B401="""","""",INDEX(filter(Familias!G:G,Familias!$D:$D=$A401,Familias!$E:$E=$B401),1))"),"")</f>
        <v/>
      </c>
      <c r="G401" s="4" t="str">
        <f t="array" ref="G401">IF(C401=1,XLOOKUP(C401,Cotizador!D:D,Cotizador!E:E,"",0,1),"")</f>
        <v/>
      </c>
      <c r="I401" s="4"/>
      <c r="J401" s="8" t="str">
        <f>IF(I401="","",SUMIF(Cotizador!I$1:V$1,I401,Cotizador!I$2:V$2))</f>
        <v/>
      </c>
      <c r="L401" s="4" t="str">
        <f t="array" ref="L401">IF(COUNTIF(L$1:L400,A$2)=SUMIF(A:A,A$2,D:D),IF(COUNTIF(L$1:L400,XLOOKUP(A$2,Implementos!B:B,Implementos!C:C,"",0,1))=SUMIF(A:A,XLOOKUP(A$2,Implementos!B:B,Implementos!C:C,"",0,1),D:D),"",XLOOKUP(A$2,Implementos!B:B,Implementos!C:C,"",0,1)),A$2)</f>
        <v/>
      </c>
      <c r="M401" s="4" t="str">
        <f t="shared" si="2"/>
        <v/>
      </c>
      <c r="N401" s="4" t="str">
        <f t="shared" si="3"/>
        <v/>
      </c>
      <c r="O401" s="4" t="str">
        <f t="shared" si="4"/>
        <v/>
      </c>
      <c r="P401" s="4" t="str">
        <f t="shared" si="5"/>
        <v/>
      </c>
      <c r="Q401" s="4" t="str">
        <f>IF(U401="","",SUMIF(Productos!E:E,U401,Productos!A:A))</f>
        <v/>
      </c>
      <c r="R401" s="4" t="str">
        <f t="array" ref="R401">IF(L401="","", max(1,SUMIF(I:I,XLOOKUP(U401,Productos!E:E,Productos!G:G,"",0,1),J:J)))</f>
        <v/>
      </c>
      <c r="S401" s="4" t="str">
        <f>IF(Q401="","",IF(SUMIFS(Compat_Vetado!D:D,Compat_Vetado!B:B,SUM(G:G),Compat_Vetado!C:C,Q401)=1,"SI",IF(OR(SUMIF(Cotizador!E:E,Q401,Cotizador!G:G)&gt;0,SUMIFS(Compat_Vetado!D:D,Compat_Vetado!B:B,SUM(G:G),Compat_Vetado!C:C,Q401)=-1),"NO","")))</f>
        <v/>
      </c>
      <c r="T401" s="4" t="str">
        <f t="shared" si="6"/>
        <v/>
      </c>
      <c r="U401" s="4" t="str">
        <f>IFERROR(__xludf.DUMMYFUNCTION("IF(P401="""","""",IFERROR(INDEX(filter(Productos!E:E,Productos!F:F=L401,Productos!H:H=N401),P401),IF(M401=SUM(D:D),""Finalizar"",""-"")))"),"")</f>
        <v/>
      </c>
      <c r="V401" s="4" t="str">
        <f>IFERROR(__xludf.DUMMYFUNCTION("IF(OR($U401="""",COUNTIF($I:$I,IFERROR(unique(filter(Prod_Prop!$H:$H,Prod_Prop!$G:$G=$U401,Prod_Prop!$E:$E=V$1)),""Check""))=0),"""",IFERROR(unique(filter(Prod_Prop!$H:$H,Prod_Prop!$G:$G=$U401,Prod_Prop!$E:$E=V$1)),""""))"),"")</f>
        <v/>
      </c>
      <c r="W401" s="4" t="str">
        <f>IF(V401="","",SUMIFS(Prod_Prop!$J:$J,Prod_Prop!$B:$B,$Q401,Prod_Prop!$H:$H,V401,Prod_Prop!$I:$I,W$1)*IF(V401="Peso",$R401,1))</f>
        <v/>
      </c>
      <c r="X401" s="4" t="str">
        <f>IF(V401="","",SUMIFS(Prod_Prop!$J:$J,Prod_Prop!$B:$B,$Q401,Prod_Prop!$H:$H,V401,Prod_Prop!$I:$I,X$1)*IF(V401="Peso",$R401,1))</f>
        <v/>
      </c>
      <c r="Y401" s="4" t="str">
        <f>IFERROR(__xludf.DUMMYFUNCTION("IF(OR($U401="""",COUNTIF($I:$I,IFERROR(unique(filter(Prod_Prop!$H:$H,Prod_Prop!$G:$G=$U401,Prod_Prop!$E:$E=Y$1)),""Check""))=0),"""",IFERROR(unique(filter(Prod_Prop!$H:$H,Prod_Prop!$G:$G=$U401,Prod_Prop!$E:$E=Y$1)),""""))"),"")</f>
        <v/>
      </c>
      <c r="Z401" s="4" t="str">
        <f>IF(Y401="","",SUMIFS(Prod_Prop!$J:$J,Prod_Prop!$B:$B,$Q401,Prod_Prop!$H:$H,Y401,Prod_Prop!$I:$I,Z$1)*IF(Y401="Peso",$R401,1))</f>
        <v/>
      </c>
      <c r="AA401" s="4" t="str">
        <f>IF(Y401="","",SUMIFS(Prod_Prop!$J:$J,Prod_Prop!$B:$B,$Q401,Prod_Prop!$H:$H,Y401,Prod_Prop!$I:$I,AA$1)*IF(Y401="Peso",$R401,1))</f>
        <v/>
      </c>
      <c r="AB401" s="4" t="str">
        <f>IFERROR(__xludf.DUMMYFUNCTION("IF(OR($U401="""",COUNTIF($I:$I,IFERROR(unique(filter(Prod_Prop!$H:$H,Prod_Prop!$G:$G=$U401,Prod_Prop!$E:$E=AB$1)),""Check""))=0),"""",IFERROR(unique(filter(Prod_Prop!$H:$H,Prod_Prop!$G:$G=$U401,Prod_Prop!$E:$E=AB$1)),""""))"),"")</f>
        <v/>
      </c>
      <c r="AC401" s="4" t="str">
        <f>IF(AB401="","",SUMIFS(Prod_Prop!$J:$J,Prod_Prop!$B:$B,$Q401,Prod_Prop!$H:$H,AB401,Prod_Prop!$I:$I,AC$1)*IF(AB401="Peso",$R401,1))</f>
        <v/>
      </c>
      <c r="AD401" s="4" t="str">
        <f>IF(AB401="","",SUMIFS(Prod_Prop!$J:$J,Prod_Prop!$B:$B,$Q401,Prod_Prop!$H:$H,AB401,Prod_Prop!$I:$I,AD$1)*IF(AB401="Peso",$R401,1))</f>
        <v/>
      </c>
    </row>
    <row r="402">
      <c r="A402" s="4" t="str">
        <f t="array" ref="A402">IF(COUNTIF(A$1:A401,Cotizador!F$2)=maxifs(Familias!E:E,Familias!D:D,Cotizador!F$2),IF(COUNTIF(A$1:A401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2" s="4" t="str">
        <f t="shared" si="1"/>
        <v/>
      </c>
      <c r="C402" s="4" t="str">
        <f t="array" ref="C402">IF(B402="","",IF(A402=XLOOKUP(A$2,Implementos!B:B,Implementos!C:C,"",0,1),B402+maxifs(B$1:B401,A$1:A401,A$2),B402))</f>
        <v/>
      </c>
      <c r="D402" s="4" t="str">
        <f>IF(B402="","", COUNTIFS(Productos!F:F,A402,Productos!H:H,B402)+IF(F402="SI",0,1))</f>
        <v/>
      </c>
      <c r="E402" s="4" t="str">
        <f>IFERROR(__xludf.DUMMYFUNCTION("IF($B402="""","""",INDEX(filter(Familias!F:F,Familias!$D:$D=$A402,Familias!$E:$E=$B402),1))"),"")</f>
        <v/>
      </c>
      <c r="F402" s="4" t="str">
        <f>IFERROR(__xludf.DUMMYFUNCTION("IF($B402="""","""",INDEX(filter(Familias!G:G,Familias!$D:$D=$A402,Familias!$E:$E=$B402),1))"),"")</f>
        <v/>
      </c>
      <c r="G402" s="4" t="str">
        <f t="array" ref="G402">IF(C402=1,XLOOKUP(C402,Cotizador!D:D,Cotizador!E:E,"",0,1),"")</f>
        <v/>
      </c>
      <c r="I402" s="4"/>
      <c r="J402" s="8" t="str">
        <f>IF(I402="","",SUMIF(Cotizador!I$1:V$1,I402,Cotizador!I$2:V$2))</f>
        <v/>
      </c>
      <c r="L402" s="4" t="str">
        <f t="array" ref="L402">IF(COUNTIF(L$1:L401,A$2)=SUMIF(A:A,A$2,D:D),IF(COUNTIF(L$1:L401,XLOOKUP(A$2,Implementos!B:B,Implementos!C:C,"",0,1))=SUMIF(A:A,XLOOKUP(A$2,Implementos!B:B,Implementos!C:C,"",0,1),D:D),"",XLOOKUP(A$2,Implementos!B:B,Implementos!C:C,"",0,1)),A$2)</f>
        <v/>
      </c>
      <c r="M402" s="4" t="str">
        <f t="shared" si="2"/>
        <v/>
      </c>
      <c r="N402" s="4" t="str">
        <f t="shared" si="3"/>
        <v/>
      </c>
      <c r="O402" s="4" t="str">
        <f t="shared" si="4"/>
        <v/>
      </c>
      <c r="P402" s="4" t="str">
        <f t="shared" si="5"/>
        <v/>
      </c>
      <c r="Q402" s="4" t="str">
        <f>IF(U402="","",SUMIF(Productos!E:E,U402,Productos!A:A))</f>
        <v/>
      </c>
      <c r="R402" s="4" t="str">
        <f t="array" ref="R402">IF(L402="","", max(1,SUMIF(I:I,XLOOKUP(U402,Productos!E:E,Productos!G:G,"",0,1),J:J)))</f>
        <v/>
      </c>
      <c r="S402" s="4" t="str">
        <f>IF(Q402="","",IF(SUMIFS(Compat_Vetado!D:D,Compat_Vetado!B:B,SUM(G:G),Compat_Vetado!C:C,Q402)=1,"SI",IF(OR(SUMIF(Cotizador!E:E,Q402,Cotizador!G:G)&gt;0,SUMIFS(Compat_Vetado!D:D,Compat_Vetado!B:B,SUM(G:G),Compat_Vetado!C:C,Q402)=-1),"NO","")))</f>
        <v/>
      </c>
      <c r="T402" s="4" t="str">
        <f t="shared" si="6"/>
        <v/>
      </c>
      <c r="U402" s="4" t="str">
        <f>IFERROR(__xludf.DUMMYFUNCTION("IF(P402="""","""",IFERROR(INDEX(filter(Productos!E:E,Productos!F:F=L402,Productos!H:H=N402),P402),IF(M402=SUM(D:D),""Finalizar"",""-"")))"),"")</f>
        <v/>
      </c>
      <c r="V402" s="4" t="str">
        <f>IFERROR(__xludf.DUMMYFUNCTION("IF(OR($U402="""",COUNTIF($I:$I,IFERROR(unique(filter(Prod_Prop!$H:$H,Prod_Prop!$G:$G=$U402,Prod_Prop!$E:$E=V$1)),""Check""))=0),"""",IFERROR(unique(filter(Prod_Prop!$H:$H,Prod_Prop!$G:$G=$U402,Prod_Prop!$E:$E=V$1)),""""))"),"")</f>
        <v/>
      </c>
      <c r="W402" s="4" t="str">
        <f>IF(V402="","",SUMIFS(Prod_Prop!$J:$J,Prod_Prop!$B:$B,$Q402,Prod_Prop!$H:$H,V402,Prod_Prop!$I:$I,W$1)*IF(V402="Peso",$R402,1))</f>
        <v/>
      </c>
      <c r="X402" s="4" t="str">
        <f>IF(V402="","",SUMIFS(Prod_Prop!$J:$J,Prod_Prop!$B:$B,$Q402,Prod_Prop!$H:$H,V402,Prod_Prop!$I:$I,X$1)*IF(V402="Peso",$R402,1))</f>
        <v/>
      </c>
      <c r="Y402" s="4" t="str">
        <f>IFERROR(__xludf.DUMMYFUNCTION("IF(OR($U402="""",COUNTIF($I:$I,IFERROR(unique(filter(Prod_Prop!$H:$H,Prod_Prop!$G:$G=$U402,Prod_Prop!$E:$E=Y$1)),""Check""))=0),"""",IFERROR(unique(filter(Prod_Prop!$H:$H,Prod_Prop!$G:$G=$U402,Prod_Prop!$E:$E=Y$1)),""""))"),"")</f>
        <v/>
      </c>
      <c r="Z402" s="4" t="str">
        <f>IF(Y402="","",SUMIFS(Prod_Prop!$J:$J,Prod_Prop!$B:$B,$Q402,Prod_Prop!$H:$H,Y402,Prod_Prop!$I:$I,Z$1)*IF(Y402="Peso",$R402,1))</f>
        <v/>
      </c>
      <c r="AA402" s="4" t="str">
        <f>IF(Y402="","",SUMIFS(Prod_Prop!$J:$J,Prod_Prop!$B:$B,$Q402,Prod_Prop!$H:$H,Y402,Prod_Prop!$I:$I,AA$1)*IF(Y402="Peso",$R402,1))</f>
        <v/>
      </c>
      <c r="AB402" s="4" t="str">
        <f>IFERROR(__xludf.DUMMYFUNCTION("IF(OR($U402="""",COUNTIF($I:$I,IFERROR(unique(filter(Prod_Prop!$H:$H,Prod_Prop!$G:$G=$U402,Prod_Prop!$E:$E=AB$1)),""Check""))=0),"""",IFERROR(unique(filter(Prod_Prop!$H:$H,Prod_Prop!$G:$G=$U402,Prod_Prop!$E:$E=AB$1)),""""))"),"")</f>
        <v/>
      </c>
      <c r="AC402" s="4" t="str">
        <f>IF(AB402="","",SUMIFS(Prod_Prop!$J:$J,Prod_Prop!$B:$B,$Q402,Prod_Prop!$H:$H,AB402,Prod_Prop!$I:$I,AC$1)*IF(AB402="Peso",$R402,1))</f>
        <v/>
      </c>
      <c r="AD402" s="4" t="str">
        <f>IF(AB402="","",SUMIFS(Prod_Prop!$J:$J,Prod_Prop!$B:$B,$Q402,Prod_Prop!$H:$H,AB402,Prod_Prop!$I:$I,AD$1)*IF(AB402="Peso",$R402,1))</f>
        <v/>
      </c>
    </row>
    <row r="403">
      <c r="A403" s="4" t="str">
        <f t="array" ref="A403">IF(COUNTIF(A$1:A402,Cotizador!F$2)=maxifs(Familias!E:E,Familias!D:D,Cotizador!F$2),IF(COUNTIF(A$1:A402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3" s="4" t="str">
        <f t="shared" si="1"/>
        <v/>
      </c>
      <c r="C403" s="4" t="str">
        <f t="array" ref="C403">IF(B403="","",IF(A403=XLOOKUP(A$2,Implementos!B:B,Implementos!C:C,"",0,1),B403+maxifs(B$1:B402,A$1:A402,A$2),B403))</f>
        <v/>
      </c>
      <c r="D403" s="4" t="str">
        <f>IF(B403="","", COUNTIFS(Productos!F:F,A403,Productos!H:H,B403)+IF(F403="SI",0,1))</f>
        <v/>
      </c>
      <c r="E403" s="4" t="str">
        <f>IFERROR(__xludf.DUMMYFUNCTION("IF($B403="""","""",INDEX(filter(Familias!F:F,Familias!$D:$D=$A403,Familias!$E:$E=$B403),1))"),"")</f>
        <v/>
      </c>
      <c r="F403" s="4" t="str">
        <f>IFERROR(__xludf.DUMMYFUNCTION("IF($B403="""","""",INDEX(filter(Familias!G:G,Familias!$D:$D=$A403,Familias!$E:$E=$B403),1))"),"")</f>
        <v/>
      </c>
      <c r="G403" s="4" t="str">
        <f t="array" ref="G403">IF(C403=1,XLOOKUP(C403,Cotizador!D:D,Cotizador!E:E,"",0,1),"")</f>
        <v/>
      </c>
      <c r="I403" s="4"/>
      <c r="J403" s="8" t="str">
        <f>IF(I403="","",SUMIF(Cotizador!I$1:V$1,I403,Cotizador!I$2:V$2))</f>
        <v/>
      </c>
      <c r="L403" s="4" t="str">
        <f t="array" ref="L403">IF(COUNTIF(L$1:L402,A$2)=SUMIF(A:A,A$2,D:D),IF(COUNTIF(L$1:L402,XLOOKUP(A$2,Implementos!B:B,Implementos!C:C,"",0,1))=SUMIF(A:A,XLOOKUP(A$2,Implementos!B:B,Implementos!C:C,"",0,1),D:D),"",XLOOKUP(A$2,Implementos!B:B,Implementos!C:C,"",0,1)),A$2)</f>
        <v/>
      </c>
      <c r="M403" s="4" t="str">
        <f t="shared" si="2"/>
        <v/>
      </c>
      <c r="N403" s="4" t="str">
        <f t="shared" si="3"/>
        <v/>
      </c>
      <c r="O403" s="4" t="str">
        <f t="shared" si="4"/>
        <v/>
      </c>
      <c r="P403" s="4" t="str">
        <f t="shared" si="5"/>
        <v/>
      </c>
      <c r="Q403" s="4" t="str">
        <f>IF(U403="","",SUMIF(Productos!E:E,U403,Productos!A:A))</f>
        <v/>
      </c>
      <c r="R403" s="4" t="str">
        <f t="array" ref="R403">IF(L403="","", max(1,SUMIF(I:I,XLOOKUP(U403,Productos!E:E,Productos!G:G,"",0,1),J:J)))</f>
        <v/>
      </c>
      <c r="S403" s="4" t="str">
        <f>IF(Q403="","",IF(SUMIFS(Compat_Vetado!D:D,Compat_Vetado!B:B,SUM(G:G),Compat_Vetado!C:C,Q403)=1,"SI",IF(OR(SUMIF(Cotizador!E:E,Q403,Cotizador!G:G)&gt;0,SUMIFS(Compat_Vetado!D:D,Compat_Vetado!B:B,SUM(G:G),Compat_Vetado!C:C,Q403)=-1),"NO","")))</f>
        <v/>
      </c>
      <c r="T403" s="4" t="str">
        <f t="shared" si="6"/>
        <v/>
      </c>
      <c r="U403" s="4" t="str">
        <f>IFERROR(__xludf.DUMMYFUNCTION("IF(P403="""","""",IFERROR(INDEX(filter(Productos!E:E,Productos!F:F=L403,Productos!H:H=N403),P403),IF(M403=SUM(D:D),""Finalizar"",""-"")))"),"")</f>
        <v/>
      </c>
      <c r="V403" s="4" t="str">
        <f>IFERROR(__xludf.DUMMYFUNCTION("IF(OR($U403="""",COUNTIF($I:$I,IFERROR(unique(filter(Prod_Prop!$H:$H,Prod_Prop!$G:$G=$U403,Prod_Prop!$E:$E=V$1)),""Check""))=0),"""",IFERROR(unique(filter(Prod_Prop!$H:$H,Prod_Prop!$G:$G=$U403,Prod_Prop!$E:$E=V$1)),""""))"),"")</f>
        <v/>
      </c>
      <c r="W403" s="4" t="str">
        <f>IF(V403="","",SUMIFS(Prod_Prop!$J:$J,Prod_Prop!$B:$B,$Q403,Prod_Prop!$H:$H,V403,Prod_Prop!$I:$I,W$1)*IF(V403="Peso",$R403,1))</f>
        <v/>
      </c>
      <c r="X403" s="4" t="str">
        <f>IF(V403="","",SUMIFS(Prod_Prop!$J:$J,Prod_Prop!$B:$B,$Q403,Prod_Prop!$H:$H,V403,Prod_Prop!$I:$I,X$1)*IF(V403="Peso",$R403,1))</f>
        <v/>
      </c>
      <c r="Y403" s="4" t="str">
        <f>IFERROR(__xludf.DUMMYFUNCTION("IF(OR($U403="""",COUNTIF($I:$I,IFERROR(unique(filter(Prod_Prop!$H:$H,Prod_Prop!$G:$G=$U403,Prod_Prop!$E:$E=Y$1)),""Check""))=0),"""",IFERROR(unique(filter(Prod_Prop!$H:$H,Prod_Prop!$G:$G=$U403,Prod_Prop!$E:$E=Y$1)),""""))"),"")</f>
        <v/>
      </c>
      <c r="Z403" s="4" t="str">
        <f>IF(Y403="","",SUMIFS(Prod_Prop!$J:$J,Prod_Prop!$B:$B,$Q403,Prod_Prop!$H:$H,Y403,Prod_Prop!$I:$I,Z$1)*IF(Y403="Peso",$R403,1))</f>
        <v/>
      </c>
      <c r="AA403" s="4" t="str">
        <f>IF(Y403="","",SUMIFS(Prod_Prop!$J:$J,Prod_Prop!$B:$B,$Q403,Prod_Prop!$H:$H,Y403,Prod_Prop!$I:$I,AA$1)*IF(Y403="Peso",$R403,1))</f>
        <v/>
      </c>
      <c r="AB403" s="4" t="str">
        <f>IFERROR(__xludf.DUMMYFUNCTION("IF(OR($U403="""",COUNTIF($I:$I,IFERROR(unique(filter(Prod_Prop!$H:$H,Prod_Prop!$G:$G=$U403,Prod_Prop!$E:$E=AB$1)),""Check""))=0),"""",IFERROR(unique(filter(Prod_Prop!$H:$H,Prod_Prop!$G:$G=$U403,Prod_Prop!$E:$E=AB$1)),""""))"),"")</f>
        <v/>
      </c>
      <c r="AC403" s="4" t="str">
        <f>IF(AB403="","",SUMIFS(Prod_Prop!$J:$J,Prod_Prop!$B:$B,$Q403,Prod_Prop!$H:$H,AB403,Prod_Prop!$I:$I,AC$1)*IF(AB403="Peso",$R403,1))</f>
        <v/>
      </c>
      <c r="AD403" s="4" t="str">
        <f>IF(AB403="","",SUMIFS(Prod_Prop!$J:$J,Prod_Prop!$B:$B,$Q403,Prod_Prop!$H:$H,AB403,Prod_Prop!$I:$I,AD$1)*IF(AB403="Peso",$R403,1))</f>
        <v/>
      </c>
    </row>
    <row r="404">
      <c r="A404" s="4" t="str">
        <f t="array" ref="A404">IF(COUNTIF(A$1:A403,Cotizador!F$2)=maxifs(Familias!E:E,Familias!D:D,Cotizador!F$2),IF(COUNTIF(A$1:A403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4" s="4" t="str">
        <f t="shared" si="1"/>
        <v/>
      </c>
      <c r="C404" s="4" t="str">
        <f t="array" ref="C404">IF(B404="","",IF(A404=XLOOKUP(A$2,Implementos!B:B,Implementos!C:C,"",0,1),B404+maxifs(B$1:B403,A$1:A403,A$2),B404))</f>
        <v/>
      </c>
      <c r="D404" s="4" t="str">
        <f>IF(B404="","", COUNTIFS(Productos!F:F,A404,Productos!H:H,B404)+IF(F404="SI",0,1))</f>
        <v/>
      </c>
      <c r="E404" s="4" t="str">
        <f>IFERROR(__xludf.DUMMYFUNCTION("IF($B404="""","""",INDEX(filter(Familias!F:F,Familias!$D:$D=$A404,Familias!$E:$E=$B404),1))"),"")</f>
        <v/>
      </c>
      <c r="F404" s="4" t="str">
        <f>IFERROR(__xludf.DUMMYFUNCTION("IF($B404="""","""",INDEX(filter(Familias!G:G,Familias!$D:$D=$A404,Familias!$E:$E=$B404),1))"),"")</f>
        <v/>
      </c>
      <c r="G404" s="4" t="str">
        <f t="array" ref="G404">IF(C404=1,XLOOKUP(C404,Cotizador!D:D,Cotizador!E:E,"",0,1),"")</f>
        <v/>
      </c>
      <c r="I404" s="4"/>
      <c r="J404" s="8" t="str">
        <f>IF(I404="","",SUMIF(Cotizador!I$1:V$1,I404,Cotizador!I$2:V$2))</f>
        <v/>
      </c>
      <c r="L404" s="4" t="str">
        <f t="array" ref="L404">IF(COUNTIF(L$1:L403,A$2)=SUMIF(A:A,A$2,D:D),IF(COUNTIF(L$1:L403,XLOOKUP(A$2,Implementos!B:B,Implementos!C:C,"",0,1))=SUMIF(A:A,XLOOKUP(A$2,Implementos!B:B,Implementos!C:C,"",0,1),D:D),"",XLOOKUP(A$2,Implementos!B:B,Implementos!C:C,"",0,1)),A$2)</f>
        <v/>
      </c>
      <c r="M404" s="4" t="str">
        <f t="shared" si="2"/>
        <v/>
      </c>
      <c r="N404" s="4" t="str">
        <f t="shared" si="3"/>
        <v/>
      </c>
      <c r="O404" s="4" t="str">
        <f t="shared" si="4"/>
        <v/>
      </c>
      <c r="P404" s="4" t="str">
        <f t="shared" si="5"/>
        <v/>
      </c>
      <c r="Q404" s="4" t="str">
        <f>IF(U404="","",SUMIF(Productos!E:E,U404,Productos!A:A))</f>
        <v/>
      </c>
      <c r="R404" s="4" t="str">
        <f t="array" ref="R404">IF(L404="","", max(1,SUMIF(I:I,XLOOKUP(U404,Productos!E:E,Productos!G:G,"",0,1),J:J)))</f>
        <v/>
      </c>
      <c r="S404" s="4" t="str">
        <f>IF(Q404="","",IF(SUMIFS(Compat_Vetado!D:D,Compat_Vetado!B:B,SUM(G:G),Compat_Vetado!C:C,Q404)=1,"SI",IF(OR(SUMIF(Cotizador!E:E,Q404,Cotizador!G:G)&gt;0,SUMIFS(Compat_Vetado!D:D,Compat_Vetado!B:B,SUM(G:G),Compat_Vetado!C:C,Q404)=-1),"NO","")))</f>
        <v/>
      </c>
      <c r="T404" s="4" t="str">
        <f t="shared" si="6"/>
        <v/>
      </c>
      <c r="U404" s="4" t="str">
        <f>IFERROR(__xludf.DUMMYFUNCTION("IF(P404="""","""",IFERROR(INDEX(filter(Productos!E:E,Productos!F:F=L404,Productos!H:H=N404),P404),IF(M404=SUM(D:D),""Finalizar"",""-"")))"),"")</f>
        <v/>
      </c>
      <c r="V404" s="4" t="str">
        <f>IFERROR(__xludf.DUMMYFUNCTION("IF(OR($U404="""",COUNTIF($I:$I,IFERROR(unique(filter(Prod_Prop!$H:$H,Prod_Prop!$G:$G=$U404,Prod_Prop!$E:$E=V$1)),""Check""))=0),"""",IFERROR(unique(filter(Prod_Prop!$H:$H,Prod_Prop!$G:$G=$U404,Prod_Prop!$E:$E=V$1)),""""))"),"")</f>
        <v/>
      </c>
      <c r="W404" s="4" t="str">
        <f>IF(V404="","",SUMIFS(Prod_Prop!$J:$J,Prod_Prop!$B:$B,$Q404,Prod_Prop!$H:$H,V404,Prod_Prop!$I:$I,W$1)*IF(V404="Peso",$R404,1))</f>
        <v/>
      </c>
      <c r="X404" s="4" t="str">
        <f>IF(V404="","",SUMIFS(Prod_Prop!$J:$J,Prod_Prop!$B:$B,$Q404,Prod_Prop!$H:$H,V404,Prod_Prop!$I:$I,X$1)*IF(V404="Peso",$R404,1))</f>
        <v/>
      </c>
      <c r="Y404" s="4" t="str">
        <f>IFERROR(__xludf.DUMMYFUNCTION("IF(OR($U404="""",COUNTIF($I:$I,IFERROR(unique(filter(Prod_Prop!$H:$H,Prod_Prop!$G:$G=$U404,Prod_Prop!$E:$E=Y$1)),""Check""))=0),"""",IFERROR(unique(filter(Prod_Prop!$H:$H,Prod_Prop!$G:$G=$U404,Prod_Prop!$E:$E=Y$1)),""""))"),"")</f>
        <v/>
      </c>
      <c r="Z404" s="4" t="str">
        <f>IF(Y404="","",SUMIFS(Prod_Prop!$J:$J,Prod_Prop!$B:$B,$Q404,Prod_Prop!$H:$H,Y404,Prod_Prop!$I:$I,Z$1)*IF(Y404="Peso",$R404,1))</f>
        <v/>
      </c>
      <c r="AA404" s="4" t="str">
        <f>IF(Y404="","",SUMIFS(Prod_Prop!$J:$J,Prod_Prop!$B:$B,$Q404,Prod_Prop!$H:$H,Y404,Prod_Prop!$I:$I,AA$1)*IF(Y404="Peso",$R404,1))</f>
        <v/>
      </c>
      <c r="AB404" s="4" t="str">
        <f>IFERROR(__xludf.DUMMYFUNCTION("IF(OR($U404="""",COUNTIF($I:$I,IFERROR(unique(filter(Prod_Prop!$H:$H,Prod_Prop!$G:$G=$U404,Prod_Prop!$E:$E=AB$1)),""Check""))=0),"""",IFERROR(unique(filter(Prod_Prop!$H:$H,Prod_Prop!$G:$G=$U404,Prod_Prop!$E:$E=AB$1)),""""))"),"")</f>
        <v/>
      </c>
      <c r="AC404" s="4" t="str">
        <f>IF(AB404="","",SUMIFS(Prod_Prop!$J:$J,Prod_Prop!$B:$B,$Q404,Prod_Prop!$H:$H,AB404,Prod_Prop!$I:$I,AC$1)*IF(AB404="Peso",$R404,1))</f>
        <v/>
      </c>
      <c r="AD404" s="4" t="str">
        <f>IF(AB404="","",SUMIFS(Prod_Prop!$J:$J,Prod_Prop!$B:$B,$Q404,Prod_Prop!$H:$H,AB404,Prod_Prop!$I:$I,AD$1)*IF(AB404="Peso",$R404,1))</f>
        <v/>
      </c>
    </row>
    <row r="405">
      <c r="A405" s="4" t="str">
        <f t="array" ref="A405">IF(COUNTIF(A$1:A404,Cotizador!F$2)=maxifs(Familias!E:E,Familias!D:D,Cotizador!F$2),IF(COUNTIF(A$1:A404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5" s="4" t="str">
        <f t="shared" si="1"/>
        <v/>
      </c>
      <c r="C405" s="4" t="str">
        <f t="array" ref="C405">IF(B405="","",IF(A405=XLOOKUP(A$2,Implementos!B:B,Implementos!C:C,"",0,1),B405+maxifs(B$1:B404,A$1:A404,A$2),B405))</f>
        <v/>
      </c>
      <c r="D405" s="4" t="str">
        <f>IF(B405="","", COUNTIFS(Productos!F:F,A405,Productos!H:H,B405)+IF(F405="SI",0,1))</f>
        <v/>
      </c>
      <c r="E405" s="4" t="str">
        <f>IFERROR(__xludf.DUMMYFUNCTION("IF($B405="""","""",INDEX(filter(Familias!F:F,Familias!$D:$D=$A405,Familias!$E:$E=$B405),1))"),"")</f>
        <v/>
      </c>
      <c r="F405" s="4" t="str">
        <f>IFERROR(__xludf.DUMMYFUNCTION("IF($B405="""","""",INDEX(filter(Familias!G:G,Familias!$D:$D=$A405,Familias!$E:$E=$B405),1))"),"")</f>
        <v/>
      </c>
      <c r="G405" s="4" t="str">
        <f t="array" ref="G405">IF(C405=1,XLOOKUP(C405,Cotizador!D:D,Cotizador!E:E,"",0,1),"")</f>
        <v/>
      </c>
      <c r="I405" s="4"/>
      <c r="J405" s="8" t="str">
        <f>IF(I405="","",SUMIF(Cotizador!I$1:V$1,I405,Cotizador!I$2:V$2))</f>
        <v/>
      </c>
      <c r="L405" s="4" t="str">
        <f t="array" ref="L405">IF(COUNTIF(L$1:L404,A$2)=SUMIF(A:A,A$2,D:D),IF(COUNTIF(L$1:L404,XLOOKUP(A$2,Implementos!B:B,Implementos!C:C,"",0,1))=SUMIF(A:A,XLOOKUP(A$2,Implementos!B:B,Implementos!C:C,"",0,1),D:D),"",XLOOKUP(A$2,Implementos!B:B,Implementos!C:C,"",0,1)),A$2)</f>
        <v/>
      </c>
      <c r="M405" s="4" t="str">
        <f t="shared" si="2"/>
        <v/>
      </c>
      <c r="N405" s="4" t="str">
        <f t="shared" si="3"/>
        <v/>
      </c>
      <c r="O405" s="4" t="str">
        <f t="shared" si="4"/>
        <v/>
      </c>
      <c r="P405" s="4" t="str">
        <f t="shared" si="5"/>
        <v/>
      </c>
      <c r="Q405" s="4" t="str">
        <f>IF(U405="","",SUMIF(Productos!E:E,U405,Productos!A:A))</f>
        <v/>
      </c>
      <c r="R405" s="4" t="str">
        <f t="array" ref="R405">IF(L405="","", max(1,SUMIF(I:I,XLOOKUP(U405,Productos!E:E,Productos!G:G,"",0,1),J:J)))</f>
        <v/>
      </c>
      <c r="S405" s="4" t="str">
        <f>IF(Q405="","",IF(SUMIFS(Compat_Vetado!D:D,Compat_Vetado!B:B,SUM(G:G),Compat_Vetado!C:C,Q405)=1,"SI",IF(OR(SUMIF(Cotizador!E:E,Q405,Cotizador!G:G)&gt;0,SUMIFS(Compat_Vetado!D:D,Compat_Vetado!B:B,SUM(G:G),Compat_Vetado!C:C,Q405)=-1),"NO","")))</f>
        <v/>
      </c>
      <c r="T405" s="4" t="str">
        <f t="shared" si="6"/>
        <v/>
      </c>
      <c r="U405" s="4" t="str">
        <f>IFERROR(__xludf.DUMMYFUNCTION("IF(P405="""","""",IFERROR(INDEX(filter(Productos!E:E,Productos!F:F=L405,Productos!H:H=N405),P405),IF(M405=SUM(D:D),""Finalizar"",""-"")))"),"")</f>
        <v/>
      </c>
      <c r="V405" s="4" t="str">
        <f>IFERROR(__xludf.DUMMYFUNCTION("IF(OR($U405="""",COUNTIF($I:$I,IFERROR(unique(filter(Prod_Prop!$H:$H,Prod_Prop!$G:$G=$U405,Prod_Prop!$E:$E=V$1)),""Check""))=0),"""",IFERROR(unique(filter(Prod_Prop!$H:$H,Prod_Prop!$G:$G=$U405,Prod_Prop!$E:$E=V$1)),""""))"),"")</f>
        <v/>
      </c>
      <c r="W405" s="4" t="str">
        <f>IF(V405="","",SUMIFS(Prod_Prop!$J:$J,Prod_Prop!$B:$B,$Q405,Prod_Prop!$H:$H,V405,Prod_Prop!$I:$I,W$1)*IF(V405="Peso",$R405,1))</f>
        <v/>
      </c>
      <c r="X405" s="4" t="str">
        <f>IF(V405="","",SUMIFS(Prod_Prop!$J:$J,Prod_Prop!$B:$B,$Q405,Prod_Prop!$H:$H,V405,Prod_Prop!$I:$I,X$1)*IF(V405="Peso",$R405,1))</f>
        <v/>
      </c>
      <c r="Y405" s="4" t="str">
        <f>IFERROR(__xludf.DUMMYFUNCTION("IF(OR($U405="""",COUNTIF($I:$I,IFERROR(unique(filter(Prod_Prop!$H:$H,Prod_Prop!$G:$G=$U405,Prod_Prop!$E:$E=Y$1)),""Check""))=0),"""",IFERROR(unique(filter(Prod_Prop!$H:$H,Prod_Prop!$G:$G=$U405,Prod_Prop!$E:$E=Y$1)),""""))"),"")</f>
        <v/>
      </c>
      <c r="Z405" s="4" t="str">
        <f>IF(Y405="","",SUMIFS(Prod_Prop!$J:$J,Prod_Prop!$B:$B,$Q405,Prod_Prop!$H:$H,Y405,Prod_Prop!$I:$I,Z$1)*IF(Y405="Peso",$R405,1))</f>
        <v/>
      </c>
      <c r="AA405" s="4" t="str">
        <f>IF(Y405="","",SUMIFS(Prod_Prop!$J:$J,Prod_Prop!$B:$B,$Q405,Prod_Prop!$H:$H,Y405,Prod_Prop!$I:$I,AA$1)*IF(Y405="Peso",$R405,1))</f>
        <v/>
      </c>
      <c r="AB405" s="4" t="str">
        <f>IFERROR(__xludf.DUMMYFUNCTION("IF(OR($U405="""",COUNTIF($I:$I,IFERROR(unique(filter(Prod_Prop!$H:$H,Prod_Prop!$G:$G=$U405,Prod_Prop!$E:$E=AB$1)),""Check""))=0),"""",IFERROR(unique(filter(Prod_Prop!$H:$H,Prod_Prop!$G:$G=$U405,Prod_Prop!$E:$E=AB$1)),""""))"),"")</f>
        <v/>
      </c>
      <c r="AC405" s="4" t="str">
        <f>IF(AB405="","",SUMIFS(Prod_Prop!$J:$J,Prod_Prop!$B:$B,$Q405,Prod_Prop!$H:$H,AB405,Prod_Prop!$I:$I,AC$1)*IF(AB405="Peso",$R405,1))</f>
        <v/>
      </c>
      <c r="AD405" s="4" t="str">
        <f>IF(AB405="","",SUMIFS(Prod_Prop!$J:$J,Prod_Prop!$B:$B,$Q405,Prod_Prop!$H:$H,AB405,Prod_Prop!$I:$I,AD$1)*IF(AB405="Peso",$R405,1))</f>
        <v/>
      </c>
    </row>
    <row r="406">
      <c r="A406" s="4" t="str">
        <f t="array" ref="A406">IF(COUNTIF(A$1:A405,Cotizador!F$2)=maxifs(Familias!E:E,Familias!D:D,Cotizador!F$2),IF(COUNTIF(A$1:A405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6" s="4" t="str">
        <f t="shared" si="1"/>
        <v/>
      </c>
      <c r="C406" s="4" t="str">
        <f t="array" ref="C406">IF(B406="","",IF(A406=XLOOKUP(A$2,Implementos!B:B,Implementos!C:C,"",0,1),B406+maxifs(B$1:B405,A$1:A405,A$2),B406))</f>
        <v/>
      </c>
      <c r="D406" s="4" t="str">
        <f>IF(B406="","", COUNTIFS(Productos!F:F,A406,Productos!H:H,B406)+IF(F406="SI",0,1))</f>
        <v/>
      </c>
      <c r="E406" s="4" t="str">
        <f>IFERROR(__xludf.DUMMYFUNCTION("IF($B406="""","""",INDEX(filter(Familias!F:F,Familias!$D:$D=$A406,Familias!$E:$E=$B406),1))"),"")</f>
        <v/>
      </c>
      <c r="F406" s="4" t="str">
        <f>IFERROR(__xludf.DUMMYFUNCTION("IF($B406="""","""",INDEX(filter(Familias!G:G,Familias!$D:$D=$A406,Familias!$E:$E=$B406),1))"),"")</f>
        <v/>
      </c>
      <c r="G406" s="4" t="str">
        <f t="array" ref="G406">IF(C406=1,XLOOKUP(C406,Cotizador!D:D,Cotizador!E:E,"",0,1),"")</f>
        <v/>
      </c>
      <c r="I406" s="4"/>
      <c r="J406" s="8" t="str">
        <f>IF(I406="","",SUMIF(Cotizador!I$1:V$1,I406,Cotizador!I$2:V$2))</f>
        <v/>
      </c>
      <c r="L406" s="4" t="str">
        <f t="array" ref="L406">IF(COUNTIF(L$1:L405,A$2)=SUMIF(A:A,A$2,D:D),IF(COUNTIF(L$1:L405,XLOOKUP(A$2,Implementos!B:B,Implementos!C:C,"",0,1))=SUMIF(A:A,XLOOKUP(A$2,Implementos!B:B,Implementos!C:C,"",0,1),D:D),"",XLOOKUP(A$2,Implementos!B:B,Implementos!C:C,"",0,1)),A$2)</f>
        <v/>
      </c>
      <c r="M406" s="4" t="str">
        <f t="shared" si="2"/>
        <v/>
      </c>
      <c r="N406" s="4" t="str">
        <f t="shared" si="3"/>
        <v/>
      </c>
      <c r="O406" s="4" t="str">
        <f t="shared" si="4"/>
        <v/>
      </c>
      <c r="P406" s="4" t="str">
        <f t="shared" si="5"/>
        <v/>
      </c>
      <c r="Q406" s="4" t="str">
        <f>IF(U406="","",SUMIF(Productos!E:E,U406,Productos!A:A))</f>
        <v/>
      </c>
      <c r="R406" s="4" t="str">
        <f t="array" ref="R406">IF(L406="","", max(1,SUMIF(I:I,XLOOKUP(U406,Productos!E:E,Productos!G:G,"",0,1),J:J)))</f>
        <v/>
      </c>
      <c r="S406" s="4" t="str">
        <f>IF(Q406="","",IF(SUMIFS(Compat_Vetado!D:D,Compat_Vetado!B:B,SUM(G:G),Compat_Vetado!C:C,Q406)=1,"SI",IF(OR(SUMIF(Cotizador!E:E,Q406,Cotizador!G:G)&gt;0,SUMIFS(Compat_Vetado!D:D,Compat_Vetado!B:B,SUM(G:G),Compat_Vetado!C:C,Q406)=-1),"NO","")))</f>
        <v/>
      </c>
      <c r="T406" s="4" t="str">
        <f t="shared" si="6"/>
        <v/>
      </c>
      <c r="U406" s="4" t="str">
        <f>IFERROR(__xludf.DUMMYFUNCTION("IF(P406="""","""",IFERROR(INDEX(filter(Productos!E:E,Productos!F:F=L406,Productos!H:H=N406),P406),IF(M406=SUM(D:D),""Finalizar"",""-"")))"),"")</f>
        <v/>
      </c>
      <c r="V406" s="4" t="str">
        <f>IFERROR(__xludf.DUMMYFUNCTION("IF(OR($U406="""",COUNTIF($I:$I,IFERROR(unique(filter(Prod_Prop!$H:$H,Prod_Prop!$G:$G=$U406,Prod_Prop!$E:$E=V$1)),""Check""))=0),"""",IFERROR(unique(filter(Prod_Prop!$H:$H,Prod_Prop!$G:$G=$U406,Prod_Prop!$E:$E=V$1)),""""))"),"")</f>
        <v/>
      </c>
      <c r="W406" s="4" t="str">
        <f>IF(V406="","",SUMIFS(Prod_Prop!$J:$J,Prod_Prop!$B:$B,$Q406,Prod_Prop!$H:$H,V406,Prod_Prop!$I:$I,W$1)*IF(V406="Peso",$R406,1))</f>
        <v/>
      </c>
      <c r="X406" s="4" t="str">
        <f>IF(V406="","",SUMIFS(Prod_Prop!$J:$J,Prod_Prop!$B:$B,$Q406,Prod_Prop!$H:$H,V406,Prod_Prop!$I:$I,X$1)*IF(V406="Peso",$R406,1))</f>
        <v/>
      </c>
      <c r="Y406" s="4" t="str">
        <f>IFERROR(__xludf.DUMMYFUNCTION("IF(OR($U406="""",COUNTIF($I:$I,IFERROR(unique(filter(Prod_Prop!$H:$H,Prod_Prop!$G:$G=$U406,Prod_Prop!$E:$E=Y$1)),""Check""))=0),"""",IFERROR(unique(filter(Prod_Prop!$H:$H,Prod_Prop!$G:$G=$U406,Prod_Prop!$E:$E=Y$1)),""""))"),"")</f>
        <v/>
      </c>
      <c r="Z406" s="4" t="str">
        <f>IF(Y406="","",SUMIFS(Prod_Prop!$J:$J,Prod_Prop!$B:$B,$Q406,Prod_Prop!$H:$H,Y406,Prod_Prop!$I:$I,Z$1)*IF(Y406="Peso",$R406,1))</f>
        <v/>
      </c>
      <c r="AA406" s="4" t="str">
        <f>IF(Y406="","",SUMIFS(Prod_Prop!$J:$J,Prod_Prop!$B:$B,$Q406,Prod_Prop!$H:$H,Y406,Prod_Prop!$I:$I,AA$1)*IF(Y406="Peso",$R406,1))</f>
        <v/>
      </c>
      <c r="AB406" s="4" t="str">
        <f>IFERROR(__xludf.DUMMYFUNCTION("IF(OR($U406="""",COUNTIF($I:$I,IFERROR(unique(filter(Prod_Prop!$H:$H,Prod_Prop!$G:$G=$U406,Prod_Prop!$E:$E=AB$1)),""Check""))=0),"""",IFERROR(unique(filter(Prod_Prop!$H:$H,Prod_Prop!$G:$G=$U406,Prod_Prop!$E:$E=AB$1)),""""))"),"")</f>
        <v/>
      </c>
      <c r="AC406" s="4" t="str">
        <f>IF(AB406="","",SUMIFS(Prod_Prop!$J:$J,Prod_Prop!$B:$B,$Q406,Prod_Prop!$H:$H,AB406,Prod_Prop!$I:$I,AC$1)*IF(AB406="Peso",$R406,1))</f>
        <v/>
      </c>
      <c r="AD406" s="4" t="str">
        <f>IF(AB406="","",SUMIFS(Prod_Prop!$J:$J,Prod_Prop!$B:$B,$Q406,Prod_Prop!$H:$H,AB406,Prod_Prop!$I:$I,AD$1)*IF(AB406="Peso",$R406,1))</f>
        <v/>
      </c>
    </row>
    <row r="407">
      <c r="A407" s="4" t="str">
        <f t="array" ref="A407">IF(COUNTIF(A$1:A406,Cotizador!F$2)=maxifs(Familias!E:E,Familias!D:D,Cotizador!F$2),IF(COUNTIF(A$1:A406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7" s="4" t="str">
        <f t="shared" si="1"/>
        <v/>
      </c>
      <c r="C407" s="4" t="str">
        <f t="array" ref="C407">IF(B407="","",IF(A407=XLOOKUP(A$2,Implementos!B:B,Implementos!C:C,"",0,1),B407+maxifs(B$1:B406,A$1:A406,A$2),B407))</f>
        <v/>
      </c>
      <c r="D407" s="4" t="str">
        <f>IF(B407="","", COUNTIFS(Productos!F:F,A407,Productos!H:H,B407)+IF(F407="SI",0,1))</f>
        <v/>
      </c>
      <c r="E407" s="4" t="str">
        <f>IFERROR(__xludf.DUMMYFUNCTION("IF($B407="""","""",INDEX(filter(Familias!F:F,Familias!$D:$D=$A407,Familias!$E:$E=$B407),1))"),"")</f>
        <v/>
      </c>
      <c r="F407" s="4" t="str">
        <f>IFERROR(__xludf.DUMMYFUNCTION("IF($B407="""","""",INDEX(filter(Familias!G:G,Familias!$D:$D=$A407,Familias!$E:$E=$B407),1))"),"")</f>
        <v/>
      </c>
      <c r="G407" s="4" t="str">
        <f t="array" ref="G407">IF(C407=1,XLOOKUP(C407,Cotizador!D:D,Cotizador!E:E,"",0,1),"")</f>
        <v/>
      </c>
      <c r="I407" s="4"/>
      <c r="J407" s="8" t="str">
        <f>IF(I407="","",SUMIF(Cotizador!I$1:V$1,I407,Cotizador!I$2:V$2))</f>
        <v/>
      </c>
      <c r="L407" s="4" t="str">
        <f t="array" ref="L407">IF(COUNTIF(L$1:L406,A$2)=SUMIF(A:A,A$2,D:D),IF(COUNTIF(L$1:L406,XLOOKUP(A$2,Implementos!B:B,Implementos!C:C,"",0,1))=SUMIF(A:A,XLOOKUP(A$2,Implementos!B:B,Implementos!C:C,"",0,1),D:D),"",XLOOKUP(A$2,Implementos!B:B,Implementos!C:C,"",0,1)),A$2)</f>
        <v/>
      </c>
      <c r="M407" s="4" t="str">
        <f t="shared" si="2"/>
        <v/>
      </c>
      <c r="N407" s="4" t="str">
        <f t="shared" si="3"/>
        <v/>
      </c>
      <c r="O407" s="4" t="str">
        <f t="shared" si="4"/>
        <v/>
      </c>
      <c r="P407" s="4" t="str">
        <f t="shared" si="5"/>
        <v/>
      </c>
      <c r="Q407" s="4" t="str">
        <f>IF(U407="","",SUMIF(Productos!E:E,U407,Productos!A:A))</f>
        <v/>
      </c>
      <c r="R407" s="4" t="str">
        <f t="array" ref="R407">IF(L407="","", max(1,SUMIF(I:I,XLOOKUP(U407,Productos!E:E,Productos!G:G,"",0,1),J:J)))</f>
        <v/>
      </c>
      <c r="S407" s="4" t="str">
        <f>IF(Q407="","",IF(SUMIFS(Compat_Vetado!D:D,Compat_Vetado!B:B,SUM(G:G),Compat_Vetado!C:C,Q407)=1,"SI",IF(OR(SUMIF(Cotizador!E:E,Q407,Cotizador!G:G)&gt;0,SUMIFS(Compat_Vetado!D:D,Compat_Vetado!B:B,SUM(G:G),Compat_Vetado!C:C,Q407)=-1),"NO","")))</f>
        <v/>
      </c>
      <c r="T407" s="4" t="str">
        <f t="shared" si="6"/>
        <v/>
      </c>
      <c r="U407" s="4" t="str">
        <f>IFERROR(__xludf.DUMMYFUNCTION("IF(P407="""","""",IFERROR(INDEX(filter(Productos!E:E,Productos!F:F=L407,Productos!H:H=N407),P407),IF(M407=SUM(D:D),""Finalizar"",""-"")))"),"")</f>
        <v/>
      </c>
      <c r="V407" s="4" t="str">
        <f>IFERROR(__xludf.DUMMYFUNCTION("IF(OR($U407="""",COUNTIF($I:$I,IFERROR(unique(filter(Prod_Prop!$H:$H,Prod_Prop!$G:$G=$U407,Prod_Prop!$E:$E=V$1)),""Check""))=0),"""",IFERROR(unique(filter(Prod_Prop!$H:$H,Prod_Prop!$G:$G=$U407,Prod_Prop!$E:$E=V$1)),""""))"),"")</f>
        <v/>
      </c>
      <c r="W407" s="4" t="str">
        <f>IF(V407="","",SUMIFS(Prod_Prop!$J:$J,Prod_Prop!$B:$B,$Q407,Prod_Prop!$H:$H,V407,Prod_Prop!$I:$I,W$1)*IF(V407="Peso",$R407,1))</f>
        <v/>
      </c>
      <c r="X407" s="4" t="str">
        <f>IF(V407="","",SUMIFS(Prod_Prop!$J:$J,Prod_Prop!$B:$B,$Q407,Prod_Prop!$H:$H,V407,Prod_Prop!$I:$I,X$1)*IF(V407="Peso",$R407,1))</f>
        <v/>
      </c>
      <c r="Y407" s="4" t="str">
        <f>IFERROR(__xludf.DUMMYFUNCTION("IF(OR($U407="""",COUNTIF($I:$I,IFERROR(unique(filter(Prod_Prop!$H:$H,Prod_Prop!$G:$G=$U407,Prod_Prop!$E:$E=Y$1)),""Check""))=0),"""",IFERROR(unique(filter(Prod_Prop!$H:$H,Prod_Prop!$G:$G=$U407,Prod_Prop!$E:$E=Y$1)),""""))"),"")</f>
        <v/>
      </c>
      <c r="Z407" s="4" t="str">
        <f>IF(Y407="","",SUMIFS(Prod_Prop!$J:$J,Prod_Prop!$B:$B,$Q407,Prod_Prop!$H:$H,Y407,Prod_Prop!$I:$I,Z$1)*IF(Y407="Peso",$R407,1))</f>
        <v/>
      </c>
      <c r="AA407" s="4" t="str">
        <f>IF(Y407="","",SUMIFS(Prod_Prop!$J:$J,Prod_Prop!$B:$B,$Q407,Prod_Prop!$H:$H,Y407,Prod_Prop!$I:$I,AA$1)*IF(Y407="Peso",$R407,1))</f>
        <v/>
      </c>
      <c r="AB407" s="4" t="str">
        <f>IFERROR(__xludf.DUMMYFUNCTION("IF(OR($U407="""",COUNTIF($I:$I,IFERROR(unique(filter(Prod_Prop!$H:$H,Prod_Prop!$G:$G=$U407,Prod_Prop!$E:$E=AB$1)),""Check""))=0),"""",IFERROR(unique(filter(Prod_Prop!$H:$H,Prod_Prop!$G:$G=$U407,Prod_Prop!$E:$E=AB$1)),""""))"),"")</f>
        <v/>
      </c>
      <c r="AC407" s="4" t="str">
        <f>IF(AB407="","",SUMIFS(Prod_Prop!$J:$J,Prod_Prop!$B:$B,$Q407,Prod_Prop!$H:$H,AB407,Prod_Prop!$I:$I,AC$1)*IF(AB407="Peso",$R407,1))</f>
        <v/>
      </c>
      <c r="AD407" s="4" t="str">
        <f>IF(AB407="","",SUMIFS(Prod_Prop!$J:$J,Prod_Prop!$B:$B,$Q407,Prod_Prop!$H:$H,AB407,Prod_Prop!$I:$I,AD$1)*IF(AB407="Peso",$R407,1))</f>
        <v/>
      </c>
    </row>
    <row r="408">
      <c r="A408" s="4" t="str">
        <f t="array" ref="A408">IF(COUNTIF(A$1:A407,Cotizador!F$2)=maxifs(Familias!E:E,Familias!D:D,Cotizador!F$2),IF(COUNTIF(A$1:A407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8" s="4" t="str">
        <f t="shared" si="1"/>
        <v/>
      </c>
      <c r="C408" s="4" t="str">
        <f t="array" ref="C408">IF(B408="","",IF(A408=XLOOKUP(A$2,Implementos!B:B,Implementos!C:C,"",0,1),B408+maxifs(B$1:B407,A$1:A407,A$2),B408))</f>
        <v/>
      </c>
      <c r="D408" s="4" t="str">
        <f>IF(B408="","", COUNTIFS(Productos!F:F,A408,Productos!H:H,B408)+IF(F408="SI",0,1))</f>
        <v/>
      </c>
      <c r="E408" s="4" t="str">
        <f>IFERROR(__xludf.DUMMYFUNCTION("IF($B408="""","""",INDEX(filter(Familias!F:F,Familias!$D:$D=$A408,Familias!$E:$E=$B408),1))"),"")</f>
        <v/>
      </c>
      <c r="F408" s="4" t="str">
        <f>IFERROR(__xludf.DUMMYFUNCTION("IF($B408="""","""",INDEX(filter(Familias!G:G,Familias!$D:$D=$A408,Familias!$E:$E=$B408),1))"),"")</f>
        <v/>
      </c>
      <c r="G408" s="4" t="str">
        <f t="array" ref="G408">IF(C408=1,XLOOKUP(C408,Cotizador!D:D,Cotizador!E:E,"",0,1),"")</f>
        <v/>
      </c>
      <c r="I408" s="4"/>
      <c r="J408" s="8" t="str">
        <f>IF(I408="","",SUMIF(Cotizador!I$1:V$1,I408,Cotizador!I$2:V$2))</f>
        <v/>
      </c>
      <c r="L408" s="4" t="str">
        <f t="array" ref="L408">IF(COUNTIF(L$1:L407,A$2)=SUMIF(A:A,A$2,D:D),IF(COUNTIF(L$1:L407,XLOOKUP(A$2,Implementos!B:B,Implementos!C:C,"",0,1))=SUMIF(A:A,XLOOKUP(A$2,Implementos!B:B,Implementos!C:C,"",0,1),D:D),"",XLOOKUP(A$2,Implementos!B:B,Implementos!C:C,"",0,1)),A$2)</f>
        <v/>
      </c>
      <c r="M408" s="4" t="str">
        <f t="shared" si="2"/>
        <v/>
      </c>
      <c r="N408" s="4" t="str">
        <f t="shared" si="3"/>
        <v/>
      </c>
      <c r="O408" s="4" t="str">
        <f t="shared" si="4"/>
        <v/>
      </c>
      <c r="P408" s="4" t="str">
        <f t="shared" si="5"/>
        <v/>
      </c>
      <c r="Q408" s="4" t="str">
        <f>IF(U408="","",SUMIF(Productos!E:E,U408,Productos!A:A))</f>
        <v/>
      </c>
      <c r="R408" s="4" t="str">
        <f t="array" ref="R408">IF(L408="","", max(1,SUMIF(I:I,XLOOKUP(U408,Productos!E:E,Productos!G:G,"",0,1),J:J)))</f>
        <v/>
      </c>
      <c r="S408" s="4" t="str">
        <f>IF(Q408="","",IF(SUMIFS(Compat_Vetado!D:D,Compat_Vetado!B:B,SUM(G:G),Compat_Vetado!C:C,Q408)=1,"SI",IF(OR(SUMIF(Cotizador!E:E,Q408,Cotizador!G:G)&gt;0,SUMIFS(Compat_Vetado!D:D,Compat_Vetado!B:B,SUM(G:G),Compat_Vetado!C:C,Q408)=-1),"NO","")))</f>
        <v/>
      </c>
      <c r="T408" s="4" t="str">
        <f t="shared" si="6"/>
        <v/>
      </c>
      <c r="U408" s="4" t="str">
        <f>IFERROR(__xludf.DUMMYFUNCTION("IF(P408="""","""",IFERROR(INDEX(filter(Productos!E:E,Productos!F:F=L408,Productos!H:H=N408),P408),IF(M408=SUM(D:D),""Finalizar"",""-"")))"),"")</f>
        <v/>
      </c>
      <c r="V408" s="4" t="str">
        <f>IFERROR(__xludf.DUMMYFUNCTION("IF(OR($U408="""",COUNTIF($I:$I,IFERROR(unique(filter(Prod_Prop!$H:$H,Prod_Prop!$G:$G=$U408,Prod_Prop!$E:$E=V$1)),""Check""))=0),"""",IFERROR(unique(filter(Prod_Prop!$H:$H,Prod_Prop!$G:$G=$U408,Prod_Prop!$E:$E=V$1)),""""))"),"")</f>
        <v/>
      </c>
      <c r="W408" s="4" t="str">
        <f>IF(V408="","",SUMIFS(Prod_Prop!$J:$J,Prod_Prop!$B:$B,$Q408,Prod_Prop!$H:$H,V408,Prod_Prop!$I:$I,W$1)*IF(V408="Peso",$R408,1))</f>
        <v/>
      </c>
      <c r="X408" s="4" t="str">
        <f>IF(V408="","",SUMIFS(Prod_Prop!$J:$J,Prod_Prop!$B:$B,$Q408,Prod_Prop!$H:$H,V408,Prod_Prop!$I:$I,X$1)*IF(V408="Peso",$R408,1))</f>
        <v/>
      </c>
      <c r="Y408" s="4" t="str">
        <f>IFERROR(__xludf.DUMMYFUNCTION("IF(OR($U408="""",COUNTIF($I:$I,IFERROR(unique(filter(Prod_Prop!$H:$H,Prod_Prop!$G:$G=$U408,Prod_Prop!$E:$E=Y$1)),""Check""))=0),"""",IFERROR(unique(filter(Prod_Prop!$H:$H,Prod_Prop!$G:$G=$U408,Prod_Prop!$E:$E=Y$1)),""""))"),"")</f>
        <v/>
      </c>
      <c r="Z408" s="4" t="str">
        <f>IF(Y408="","",SUMIFS(Prod_Prop!$J:$J,Prod_Prop!$B:$B,$Q408,Prod_Prop!$H:$H,Y408,Prod_Prop!$I:$I,Z$1)*IF(Y408="Peso",$R408,1))</f>
        <v/>
      </c>
      <c r="AA408" s="4" t="str">
        <f>IF(Y408="","",SUMIFS(Prod_Prop!$J:$J,Prod_Prop!$B:$B,$Q408,Prod_Prop!$H:$H,Y408,Prod_Prop!$I:$I,AA$1)*IF(Y408="Peso",$R408,1))</f>
        <v/>
      </c>
      <c r="AB408" s="4" t="str">
        <f>IFERROR(__xludf.DUMMYFUNCTION("IF(OR($U408="""",COUNTIF($I:$I,IFERROR(unique(filter(Prod_Prop!$H:$H,Prod_Prop!$G:$G=$U408,Prod_Prop!$E:$E=AB$1)),""Check""))=0),"""",IFERROR(unique(filter(Prod_Prop!$H:$H,Prod_Prop!$G:$G=$U408,Prod_Prop!$E:$E=AB$1)),""""))"),"")</f>
        <v/>
      </c>
      <c r="AC408" s="4" t="str">
        <f>IF(AB408="","",SUMIFS(Prod_Prop!$J:$J,Prod_Prop!$B:$B,$Q408,Prod_Prop!$H:$H,AB408,Prod_Prop!$I:$I,AC$1)*IF(AB408="Peso",$R408,1))</f>
        <v/>
      </c>
      <c r="AD408" s="4" t="str">
        <f>IF(AB408="","",SUMIFS(Prod_Prop!$J:$J,Prod_Prop!$B:$B,$Q408,Prod_Prop!$H:$H,AB408,Prod_Prop!$I:$I,AD$1)*IF(AB408="Peso",$R408,1))</f>
        <v/>
      </c>
    </row>
    <row r="409">
      <c r="A409" s="4" t="str">
        <f t="array" ref="A409">IF(COUNTIF(A$1:A408,Cotizador!F$2)=maxifs(Familias!E:E,Familias!D:D,Cotizador!F$2),IF(COUNTIF(A$1:A408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09" s="4" t="str">
        <f t="shared" si="1"/>
        <v/>
      </c>
      <c r="C409" s="4" t="str">
        <f t="array" ref="C409">IF(B409="","",IF(A409=XLOOKUP(A$2,Implementos!B:B,Implementos!C:C,"",0,1),B409+maxifs(B$1:B408,A$1:A408,A$2),B409))</f>
        <v/>
      </c>
      <c r="D409" s="4" t="str">
        <f>IF(B409="","", COUNTIFS(Productos!F:F,A409,Productos!H:H,B409)+IF(F409="SI",0,1))</f>
        <v/>
      </c>
      <c r="E409" s="4" t="str">
        <f>IFERROR(__xludf.DUMMYFUNCTION("IF($B409="""","""",INDEX(filter(Familias!F:F,Familias!$D:$D=$A409,Familias!$E:$E=$B409),1))"),"")</f>
        <v/>
      </c>
      <c r="F409" s="4" t="str">
        <f>IFERROR(__xludf.DUMMYFUNCTION("IF($B409="""","""",INDEX(filter(Familias!G:G,Familias!$D:$D=$A409,Familias!$E:$E=$B409),1))"),"")</f>
        <v/>
      </c>
      <c r="G409" s="4" t="str">
        <f t="array" ref="G409">IF(C409=1,XLOOKUP(C409,Cotizador!D:D,Cotizador!E:E,"",0,1),"")</f>
        <v/>
      </c>
      <c r="I409" s="4"/>
      <c r="J409" s="8" t="str">
        <f>IF(I409="","",SUMIF(Cotizador!I$1:V$1,I409,Cotizador!I$2:V$2))</f>
        <v/>
      </c>
      <c r="L409" s="4" t="str">
        <f t="array" ref="L409">IF(COUNTIF(L$1:L408,A$2)=SUMIF(A:A,A$2,D:D),IF(COUNTIF(L$1:L408,XLOOKUP(A$2,Implementos!B:B,Implementos!C:C,"",0,1))=SUMIF(A:A,XLOOKUP(A$2,Implementos!B:B,Implementos!C:C,"",0,1),D:D),"",XLOOKUP(A$2,Implementos!B:B,Implementos!C:C,"",0,1)),A$2)</f>
        <v/>
      </c>
      <c r="M409" s="4" t="str">
        <f t="shared" si="2"/>
        <v/>
      </c>
      <c r="N409" s="4" t="str">
        <f t="shared" si="3"/>
        <v/>
      </c>
      <c r="O409" s="4" t="str">
        <f t="shared" si="4"/>
        <v/>
      </c>
      <c r="P409" s="4" t="str">
        <f t="shared" si="5"/>
        <v/>
      </c>
      <c r="Q409" s="4" t="str">
        <f>IF(U409="","",SUMIF(Productos!E:E,U409,Productos!A:A))</f>
        <v/>
      </c>
      <c r="R409" s="4" t="str">
        <f t="array" ref="R409">IF(L409="","", max(1,SUMIF(I:I,XLOOKUP(U409,Productos!E:E,Productos!G:G,"",0,1),J:J)))</f>
        <v/>
      </c>
      <c r="S409" s="4" t="str">
        <f>IF(Q409="","",IF(SUMIFS(Compat_Vetado!D:D,Compat_Vetado!B:B,SUM(G:G),Compat_Vetado!C:C,Q409)=1,"SI",IF(OR(SUMIF(Cotizador!E:E,Q409,Cotizador!G:G)&gt;0,SUMIFS(Compat_Vetado!D:D,Compat_Vetado!B:B,SUM(G:G),Compat_Vetado!C:C,Q409)=-1),"NO","")))</f>
        <v/>
      </c>
      <c r="T409" s="4" t="str">
        <f t="shared" si="6"/>
        <v/>
      </c>
      <c r="U409" s="4" t="str">
        <f>IFERROR(__xludf.DUMMYFUNCTION("IF(P409="""","""",IFERROR(INDEX(filter(Productos!E:E,Productos!F:F=L409,Productos!H:H=N409),P409),IF(M409=SUM(D:D),""Finalizar"",""-"")))"),"")</f>
        <v/>
      </c>
      <c r="V409" s="4" t="str">
        <f>IFERROR(__xludf.DUMMYFUNCTION("IF(OR($U409="""",COUNTIF($I:$I,IFERROR(unique(filter(Prod_Prop!$H:$H,Prod_Prop!$G:$G=$U409,Prod_Prop!$E:$E=V$1)),""Check""))=0),"""",IFERROR(unique(filter(Prod_Prop!$H:$H,Prod_Prop!$G:$G=$U409,Prod_Prop!$E:$E=V$1)),""""))"),"")</f>
        <v/>
      </c>
      <c r="W409" s="4" t="str">
        <f>IF(V409="","",SUMIFS(Prod_Prop!$J:$J,Prod_Prop!$B:$B,$Q409,Prod_Prop!$H:$H,V409,Prod_Prop!$I:$I,W$1)*IF(V409="Peso",$R409,1))</f>
        <v/>
      </c>
      <c r="X409" s="4" t="str">
        <f>IF(V409="","",SUMIFS(Prod_Prop!$J:$J,Prod_Prop!$B:$B,$Q409,Prod_Prop!$H:$H,V409,Prod_Prop!$I:$I,X$1)*IF(V409="Peso",$R409,1))</f>
        <v/>
      </c>
      <c r="Y409" s="4" t="str">
        <f>IFERROR(__xludf.DUMMYFUNCTION("IF(OR($U409="""",COUNTIF($I:$I,IFERROR(unique(filter(Prod_Prop!$H:$H,Prod_Prop!$G:$G=$U409,Prod_Prop!$E:$E=Y$1)),""Check""))=0),"""",IFERROR(unique(filter(Prod_Prop!$H:$H,Prod_Prop!$G:$G=$U409,Prod_Prop!$E:$E=Y$1)),""""))"),"")</f>
        <v/>
      </c>
      <c r="Z409" s="4" t="str">
        <f>IF(Y409="","",SUMIFS(Prod_Prop!$J:$J,Prod_Prop!$B:$B,$Q409,Prod_Prop!$H:$H,Y409,Prod_Prop!$I:$I,Z$1)*IF(Y409="Peso",$R409,1))</f>
        <v/>
      </c>
      <c r="AA409" s="4" t="str">
        <f>IF(Y409="","",SUMIFS(Prod_Prop!$J:$J,Prod_Prop!$B:$B,$Q409,Prod_Prop!$H:$H,Y409,Prod_Prop!$I:$I,AA$1)*IF(Y409="Peso",$R409,1))</f>
        <v/>
      </c>
      <c r="AB409" s="4" t="str">
        <f>IFERROR(__xludf.DUMMYFUNCTION("IF(OR($U409="""",COUNTIF($I:$I,IFERROR(unique(filter(Prod_Prop!$H:$H,Prod_Prop!$G:$G=$U409,Prod_Prop!$E:$E=AB$1)),""Check""))=0),"""",IFERROR(unique(filter(Prod_Prop!$H:$H,Prod_Prop!$G:$G=$U409,Prod_Prop!$E:$E=AB$1)),""""))"),"")</f>
        <v/>
      </c>
      <c r="AC409" s="4" t="str">
        <f>IF(AB409="","",SUMIFS(Prod_Prop!$J:$J,Prod_Prop!$B:$B,$Q409,Prod_Prop!$H:$H,AB409,Prod_Prop!$I:$I,AC$1)*IF(AB409="Peso",$R409,1))</f>
        <v/>
      </c>
      <c r="AD409" s="4" t="str">
        <f>IF(AB409="","",SUMIFS(Prod_Prop!$J:$J,Prod_Prop!$B:$B,$Q409,Prod_Prop!$H:$H,AB409,Prod_Prop!$I:$I,AD$1)*IF(AB409="Peso",$R409,1))</f>
        <v/>
      </c>
    </row>
    <row r="410">
      <c r="A410" s="4" t="str">
        <f t="array" ref="A410">IF(COUNTIF(A$1:A409,Cotizador!F$2)=maxifs(Familias!E:E,Familias!D:D,Cotizador!F$2),IF(COUNTIF(A$1:A409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0" s="4" t="str">
        <f t="shared" si="1"/>
        <v/>
      </c>
      <c r="C410" s="4" t="str">
        <f t="array" ref="C410">IF(B410="","",IF(A410=XLOOKUP(A$2,Implementos!B:B,Implementos!C:C,"",0,1),B410+maxifs(B$1:B409,A$1:A409,A$2),B410))</f>
        <v/>
      </c>
      <c r="D410" s="4" t="str">
        <f>IF(B410="","", COUNTIFS(Productos!F:F,A410,Productos!H:H,B410)+IF(F410="SI",0,1))</f>
        <v/>
      </c>
      <c r="E410" s="4" t="str">
        <f>IFERROR(__xludf.DUMMYFUNCTION("IF($B410="""","""",INDEX(filter(Familias!F:F,Familias!$D:$D=$A410,Familias!$E:$E=$B410),1))"),"")</f>
        <v/>
      </c>
      <c r="F410" s="4" t="str">
        <f>IFERROR(__xludf.DUMMYFUNCTION("IF($B410="""","""",INDEX(filter(Familias!G:G,Familias!$D:$D=$A410,Familias!$E:$E=$B410),1))"),"")</f>
        <v/>
      </c>
      <c r="G410" s="4" t="str">
        <f t="array" ref="G410">IF(C410=1,XLOOKUP(C410,Cotizador!D:D,Cotizador!E:E,"",0,1),"")</f>
        <v/>
      </c>
      <c r="I410" s="4"/>
      <c r="J410" s="8" t="str">
        <f>IF(I410="","",SUMIF(Cotizador!I$1:V$1,I410,Cotizador!I$2:V$2))</f>
        <v/>
      </c>
      <c r="L410" s="4" t="str">
        <f t="array" ref="L410">IF(COUNTIF(L$1:L409,A$2)=SUMIF(A:A,A$2,D:D),IF(COUNTIF(L$1:L409,XLOOKUP(A$2,Implementos!B:B,Implementos!C:C,"",0,1))=SUMIF(A:A,XLOOKUP(A$2,Implementos!B:B,Implementos!C:C,"",0,1),D:D),"",XLOOKUP(A$2,Implementos!B:B,Implementos!C:C,"",0,1)),A$2)</f>
        <v/>
      </c>
      <c r="M410" s="4" t="str">
        <f t="shared" si="2"/>
        <v/>
      </c>
      <c r="N410" s="4" t="str">
        <f t="shared" si="3"/>
        <v/>
      </c>
      <c r="O410" s="4" t="str">
        <f t="shared" si="4"/>
        <v/>
      </c>
      <c r="P410" s="4" t="str">
        <f t="shared" si="5"/>
        <v/>
      </c>
      <c r="Q410" s="4" t="str">
        <f>IF(U410="","",SUMIF(Productos!E:E,U410,Productos!A:A))</f>
        <v/>
      </c>
      <c r="R410" s="4" t="str">
        <f t="array" ref="R410">IF(L410="","", max(1,SUMIF(I:I,XLOOKUP(U410,Productos!E:E,Productos!G:G,"",0,1),J:J)))</f>
        <v/>
      </c>
      <c r="S410" s="4" t="str">
        <f>IF(Q410="","",IF(SUMIFS(Compat_Vetado!D:D,Compat_Vetado!B:B,SUM(G:G),Compat_Vetado!C:C,Q410)=1,"SI",IF(OR(SUMIF(Cotizador!E:E,Q410,Cotizador!G:G)&gt;0,SUMIFS(Compat_Vetado!D:D,Compat_Vetado!B:B,SUM(G:G),Compat_Vetado!C:C,Q410)=-1),"NO","")))</f>
        <v/>
      </c>
      <c r="T410" s="4" t="str">
        <f t="shared" si="6"/>
        <v/>
      </c>
      <c r="U410" s="4" t="str">
        <f>IFERROR(__xludf.DUMMYFUNCTION("IF(P410="""","""",IFERROR(INDEX(filter(Productos!E:E,Productos!F:F=L410,Productos!H:H=N410),P410),IF(M410=SUM(D:D),""Finalizar"",""-"")))"),"")</f>
        <v/>
      </c>
      <c r="V410" s="4" t="str">
        <f>IFERROR(__xludf.DUMMYFUNCTION("IF(OR($U410="""",COUNTIF($I:$I,IFERROR(unique(filter(Prod_Prop!$H:$H,Prod_Prop!$G:$G=$U410,Prod_Prop!$E:$E=V$1)),""Check""))=0),"""",IFERROR(unique(filter(Prod_Prop!$H:$H,Prod_Prop!$G:$G=$U410,Prod_Prop!$E:$E=V$1)),""""))"),"")</f>
        <v/>
      </c>
      <c r="W410" s="4" t="str">
        <f>IF(V410="","",SUMIFS(Prod_Prop!$J:$J,Prod_Prop!$B:$B,$Q410,Prod_Prop!$H:$H,V410,Prod_Prop!$I:$I,W$1)*IF(V410="Peso",$R410,1))</f>
        <v/>
      </c>
      <c r="X410" s="4" t="str">
        <f>IF(V410="","",SUMIFS(Prod_Prop!$J:$J,Prod_Prop!$B:$B,$Q410,Prod_Prop!$H:$H,V410,Prod_Prop!$I:$I,X$1)*IF(V410="Peso",$R410,1))</f>
        <v/>
      </c>
      <c r="Y410" s="4" t="str">
        <f>IFERROR(__xludf.DUMMYFUNCTION("IF(OR($U410="""",COUNTIF($I:$I,IFERROR(unique(filter(Prod_Prop!$H:$H,Prod_Prop!$G:$G=$U410,Prod_Prop!$E:$E=Y$1)),""Check""))=0),"""",IFERROR(unique(filter(Prod_Prop!$H:$H,Prod_Prop!$G:$G=$U410,Prod_Prop!$E:$E=Y$1)),""""))"),"")</f>
        <v/>
      </c>
      <c r="Z410" s="4" t="str">
        <f>IF(Y410="","",SUMIFS(Prod_Prop!$J:$J,Prod_Prop!$B:$B,$Q410,Prod_Prop!$H:$H,Y410,Prod_Prop!$I:$I,Z$1)*IF(Y410="Peso",$R410,1))</f>
        <v/>
      </c>
      <c r="AA410" s="4" t="str">
        <f>IF(Y410="","",SUMIFS(Prod_Prop!$J:$J,Prod_Prop!$B:$B,$Q410,Prod_Prop!$H:$H,Y410,Prod_Prop!$I:$I,AA$1)*IF(Y410="Peso",$R410,1))</f>
        <v/>
      </c>
      <c r="AB410" s="4" t="str">
        <f>IFERROR(__xludf.DUMMYFUNCTION("IF(OR($U410="""",COUNTIF($I:$I,IFERROR(unique(filter(Prod_Prop!$H:$H,Prod_Prop!$G:$G=$U410,Prod_Prop!$E:$E=AB$1)),""Check""))=0),"""",IFERROR(unique(filter(Prod_Prop!$H:$H,Prod_Prop!$G:$G=$U410,Prod_Prop!$E:$E=AB$1)),""""))"),"")</f>
        <v/>
      </c>
      <c r="AC410" s="4" t="str">
        <f>IF(AB410="","",SUMIFS(Prod_Prop!$J:$J,Prod_Prop!$B:$B,$Q410,Prod_Prop!$H:$H,AB410,Prod_Prop!$I:$I,AC$1)*IF(AB410="Peso",$R410,1))</f>
        <v/>
      </c>
      <c r="AD410" s="4" t="str">
        <f>IF(AB410="","",SUMIFS(Prod_Prop!$J:$J,Prod_Prop!$B:$B,$Q410,Prod_Prop!$H:$H,AB410,Prod_Prop!$I:$I,AD$1)*IF(AB410="Peso",$R410,1))</f>
        <v/>
      </c>
    </row>
    <row r="411">
      <c r="A411" s="4" t="str">
        <f t="array" ref="A411">IF(COUNTIF(A$1:A410,Cotizador!F$2)=maxifs(Familias!E:E,Familias!D:D,Cotizador!F$2),IF(COUNTIF(A$1:A410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1" s="4" t="str">
        <f t="shared" si="1"/>
        <v/>
      </c>
      <c r="C411" s="4" t="str">
        <f t="array" ref="C411">IF(B411="","",IF(A411=XLOOKUP(A$2,Implementos!B:B,Implementos!C:C,"",0,1),B411+maxifs(B$1:B410,A$1:A410,A$2),B411))</f>
        <v/>
      </c>
      <c r="D411" s="4" t="str">
        <f>IF(B411="","", COUNTIFS(Productos!F:F,A411,Productos!H:H,B411)+IF(F411="SI",0,1))</f>
        <v/>
      </c>
      <c r="E411" s="4" t="str">
        <f>IFERROR(__xludf.DUMMYFUNCTION("IF($B411="""","""",INDEX(filter(Familias!F:F,Familias!$D:$D=$A411,Familias!$E:$E=$B411),1))"),"")</f>
        <v/>
      </c>
      <c r="F411" s="4" t="str">
        <f>IFERROR(__xludf.DUMMYFUNCTION("IF($B411="""","""",INDEX(filter(Familias!G:G,Familias!$D:$D=$A411,Familias!$E:$E=$B411),1))"),"")</f>
        <v/>
      </c>
      <c r="G411" s="4" t="str">
        <f t="array" ref="G411">IF(C411=1,XLOOKUP(C411,Cotizador!D:D,Cotizador!E:E,"",0,1),"")</f>
        <v/>
      </c>
      <c r="I411" s="4"/>
      <c r="J411" s="8" t="str">
        <f>IF(I411="","",SUMIF(Cotizador!I$1:V$1,I411,Cotizador!I$2:V$2))</f>
        <v/>
      </c>
      <c r="L411" s="4" t="str">
        <f t="array" ref="L411">IF(COUNTIF(L$1:L410,A$2)=SUMIF(A:A,A$2,D:D),IF(COUNTIF(L$1:L410,XLOOKUP(A$2,Implementos!B:B,Implementos!C:C,"",0,1))=SUMIF(A:A,XLOOKUP(A$2,Implementos!B:B,Implementos!C:C,"",0,1),D:D),"",XLOOKUP(A$2,Implementos!B:B,Implementos!C:C,"",0,1)),A$2)</f>
        <v/>
      </c>
      <c r="M411" s="4" t="str">
        <f t="shared" si="2"/>
        <v/>
      </c>
      <c r="N411" s="4" t="str">
        <f t="shared" si="3"/>
        <v/>
      </c>
      <c r="O411" s="4" t="str">
        <f t="shared" si="4"/>
        <v/>
      </c>
      <c r="P411" s="4" t="str">
        <f t="shared" si="5"/>
        <v/>
      </c>
      <c r="Q411" s="4" t="str">
        <f>IF(U411="","",SUMIF(Productos!E:E,U411,Productos!A:A))</f>
        <v/>
      </c>
      <c r="R411" s="4" t="str">
        <f t="array" ref="R411">IF(L411="","", max(1,SUMIF(I:I,XLOOKUP(U411,Productos!E:E,Productos!G:G,"",0,1),J:J)))</f>
        <v/>
      </c>
      <c r="S411" s="4" t="str">
        <f>IF(Q411="","",IF(SUMIFS(Compat_Vetado!D:D,Compat_Vetado!B:B,SUM(G:G),Compat_Vetado!C:C,Q411)=1,"SI",IF(OR(SUMIF(Cotizador!E:E,Q411,Cotizador!G:G)&gt;0,SUMIFS(Compat_Vetado!D:D,Compat_Vetado!B:B,SUM(G:G),Compat_Vetado!C:C,Q411)=-1),"NO","")))</f>
        <v/>
      </c>
      <c r="T411" s="4" t="str">
        <f t="shared" si="6"/>
        <v/>
      </c>
      <c r="U411" s="4" t="str">
        <f>IFERROR(__xludf.DUMMYFUNCTION("IF(P411="""","""",IFERROR(INDEX(filter(Productos!E:E,Productos!F:F=L411,Productos!H:H=N411),P411),IF(M411=SUM(D:D),""Finalizar"",""-"")))"),"")</f>
        <v/>
      </c>
      <c r="V411" s="4" t="str">
        <f>IFERROR(__xludf.DUMMYFUNCTION("IF(OR($U411="""",COUNTIF($I:$I,IFERROR(unique(filter(Prod_Prop!$H:$H,Prod_Prop!$G:$G=$U411,Prod_Prop!$E:$E=V$1)),""Check""))=0),"""",IFERROR(unique(filter(Prod_Prop!$H:$H,Prod_Prop!$G:$G=$U411,Prod_Prop!$E:$E=V$1)),""""))"),"")</f>
        <v/>
      </c>
      <c r="W411" s="4" t="str">
        <f>IF(V411="","",SUMIFS(Prod_Prop!$J:$J,Prod_Prop!$B:$B,$Q411,Prod_Prop!$H:$H,V411,Prod_Prop!$I:$I,W$1)*IF(V411="Peso",$R411,1))</f>
        <v/>
      </c>
      <c r="X411" s="4" t="str">
        <f>IF(V411="","",SUMIFS(Prod_Prop!$J:$J,Prod_Prop!$B:$B,$Q411,Prod_Prop!$H:$H,V411,Prod_Prop!$I:$I,X$1)*IF(V411="Peso",$R411,1))</f>
        <v/>
      </c>
      <c r="Y411" s="4" t="str">
        <f>IFERROR(__xludf.DUMMYFUNCTION("IF(OR($U411="""",COUNTIF($I:$I,IFERROR(unique(filter(Prod_Prop!$H:$H,Prod_Prop!$G:$G=$U411,Prod_Prop!$E:$E=Y$1)),""Check""))=0),"""",IFERROR(unique(filter(Prod_Prop!$H:$H,Prod_Prop!$G:$G=$U411,Prod_Prop!$E:$E=Y$1)),""""))"),"")</f>
        <v/>
      </c>
      <c r="Z411" s="4" t="str">
        <f>IF(Y411="","",SUMIFS(Prod_Prop!$J:$J,Prod_Prop!$B:$B,$Q411,Prod_Prop!$H:$H,Y411,Prod_Prop!$I:$I,Z$1)*IF(Y411="Peso",$R411,1))</f>
        <v/>
      </c>
      <c r="AA411" s="4" t="str">
        <f>IF(Y411="","",SUMIFS(Prod_Prop!$J:$J,Prod_Prop!$B:$B,$Q411,Prod_Prop!$H:$H,Y411,Prod_Prop!$I:$I,AA$1)*IF(Y411="Peso",$R411,1))</f>
        <v/>
      </c>
      <c r="AB411" s="4" t="str">
        <f>IFERROR(__xludf.DUMMYFUNCTION("IF(OR($U411="""",COUNTIF($I:$I,IFERROR(unique(filter(Prod_Prop!$H:$H,Prod_Prop!$G:$G=$U411,Prod_Prop!$E:$E=AB$1)),""Check""))=0),"""",IFERROR(unique(filter(Prod_Prop!$H:$H,Prod_Prop!$G:$G=$U411,Prod_Prop!$E:$E=AB$1)),""""))"),"")</f>
        <v/>
      </c>
      <c r="AC411" s="4" t="str">
        <f>IF(AB411="","",SUMIFS(Prod_Prop!$J:$J,Prod_Prop!$B:$B,$Q411,Prod_Prop!$H:$H,AB411,Prod_Prop!$I:$I,AC$1)*IF(AB411="Peso",$R411,1))</f>
        <v/>
      </c>
      <c r="AD411" s="4" t="str">
        <f>IF(AB411="","",SUMIFS(Prod_Prop!$J:$J,Prod_Prop!$B:$B,$Q411,Prod_Prop!$H:$H,AB411,Prod_Prop!$I:$I,AD$1)*IF(AB411="Peso",$R411,1))</f>
        <v/>
      </c>
    </row>
    <row r="412">
      <c r="A412" s="4" t="str">
        <f t="array" ref="A412">IF(COUNTIF(A$1:A411,Cotizador!F$2)=maxifs(Familias!E:E,Familias!D:D,Cotizador!F$2),IF(COUNTIF(A$1:A411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2" s="4" t="str">
        <f t="shared" si="1"/>
        <v/>
      </c>
      <c r="C412" s="4" t="str">
        <f t="array" ref="C412">IF(B412="","",IF(A412=XLOOKUP(A$2,Implementos!B:B,Implementos!C:C,"",0,1),B412+maxifs(B$1:B411,A$1:A411,A$2),B412))</f>
        <v/>
      </c>
      <c r="D412" s="4" t="str">
        <f>IF(B412="","", COUNTIFS(Productos!F:F,A412,Productos!H:H,B412)+IF(F412="SI",0,1))</f>
        <v/>
      </c>
      <c r="E412" s="4" t="str">
        <f>IFERROR(__xludf.DUMMYFUNCTION("IF($B412="""","""",INDEX(filter(Familias!F:F,Familias!$D:$D=$A412,Familias!$E:$E=$B412),1))"),"")</f>
        <v/>
      </c>
      <c r="F412" s="4" t="str">
        <f>IFERROR(__xludf.DUMMYFUNCTION("IF($B412="""","""",INDEX(filter(Familias!G:G,Familias!$D:$D=$A412,Familias!$E:$E=$B412),1))"),"")</f>
        <v/>
      </c>
      <c r="G412" s="4" t="str">
        <f t="array" ref="G412">IF(C412=1,XLOOKUP(C412,Cotizador!D:D,Cotizador!E:E,"",0,1),"")</f>
        <v/>
      </c>
      <c r="I412" s="4"/>
      <c r="J412" s="8" t="str">
        <f>IF(I412="","",SUMIF(Cotizador!I$1:V$1,I412,Cotizador!I$2:V$2))</f>
        <v/>
      </c>
      <c r="L412" s="4" t="str">
        <f t="array" ref="L412">IF(COUNTIF(L$1:L411,A$2)=SUMIF(A:A,A$2,D:D),IF(COUNTIF(L$1:L411,XLOOKUP(A$2,Implementos!B:B,Implementos!C:C,"",0,1))=SUMIF(A:A,XLOOKUP(A$2,Implementos!B:B,Implementos!C:C,"",0,1),D:D),"",XLOOKUP(A$2,Implementos!B:B,Implementos!C:C,"",0,1)),A$2)</f>
        <v/>
      </c>
      <c r="M412" s="4" t="str">
        <f t="shared" si="2"/>
        <v/>
      </c>
      <c r="N412" s="4" t="str">
        <f t="shared" si="3"/>
        <v/>
      </c>
      <c r="O412" s="4" t="str">
        <f t="shared" si="4"/>
        <v/>
      </c>
      <c r="P412" s="4" t="str">
        <f t="shared" si="5"/>
        <v/>
      </c>
      <c r="Q412" s="4" t="str">
        <f>IF(U412="","",SUMIF(Productos!E:E,U412,Productos!A:A))</f>
        <v/>
      </c>
      <c r="R412" s="4" t="str">
        <f t="array" ref="R412">IF(L412="","", max(1,SUMIF(I:I,XLOOKUP(U412,Productos!E:E,Productos!G:G,"",0,1),J:J)))</f>
        <v/>
      </c>
      <c r="S412" s="4" t="str">
        <f>IF(Q412="","",IF(SUMIFS(Compat_Vetado!D:D,Compat_Vetado!B:B,SUM(G:G),Compat_Vetado!C:C,Q412)=1,"SI",IF(OR(SUMIF(Cotizador!E:E,Q412,Cotizador!G:G)&gt;0,SUMIFS(Compat_Vetado!D:D,Compat_Vetado!B:B,SUM(G:G),Compat_Vetado!C:C,Q412)=-1),"NO","")))</f>
        <v/>
      </c>
      <c r="T412" s="4" t="str">
        <f t="shared" si="6"/>
        <v/>
      </c>
      <c r="U412" s="4" t="str">
        <f>IFERROR(__xludf.DUMMYFUNCTION("IF(P412="""","""",IFERROR(INDEX(filter(Productos!E:E,Productos!F:F=L412,Productos!H:H=N412),P412),IF(M412=SUM(D:D),""Finalizar"",""-"")))"),"")</f>
        <v/>
      </c>
      <c r="V412" s="4" t="str">
        <f>IFERROR(__xludf.DUMMYFUNCTION("IF(OR($U412="""",COUNTIF($I:$I,IFERROR(unique(filter(Prod_Prop!$H:$H,Prod_Prop!$G:$G=$U412,Prod_Prop!$E:$E=V$1)),""Check""))=0),"""",IFERROR(unique(filter(Prod_Prop!$H:$H,Prod_Prop!$G:$G=$U412,Prod_Prop!$E:$E=V$1)),""""))"),"")</f>
        <v/>
      </c>
      <c r="W412" s="4" t="str">
        <f>IF(V412="","",SUMIFS(Prod_Prop!$J:$J,Prod_Prop!$B:$B,$Q412,Prod_Prop!$H:$H,V412,Prod_Prop!$I:$I,W$1)*IF(V412="Peso",$R412,1))</f>
        <v/>
      </c>
      <c r="X412" s="4" t="str">
        <f>IF(V412="","",SUMIFS(Prod_Prop!$J:$J,Prod_Prop!$B:$B,$Q412,Prod_Prop!$H:$H,V412,Prod_Prop!$I:$I,X$1)*IF(V412="Peso",$R412,1))</f>
        <v/>
      </c>
      <c r="Y412" s="4" t="str">
        <f>IFERROR(__xludf.DUMMYFUNCTION("IF(OR($U412="""",COUNTIF($I:$I,IFERROR(unique(filter(Prod_Prop!$H:$H,Prod_Prop!$G:$G=$U412,Prod_Prop!$E:$E=Y$1)),""Check""))=0),"""",IFERROR(unique(filter(Prod_Prop!$H:$H,Prod_Prop!$G:$G=$U412,Prod_Prop!$E:$E=Y$1)),""""))"),"")</f>
        <v/>
      </c>
      <c r="Z412" s="4" t="str">
        <f>IF(Y412="","",SUMIFS(Prod_Prop!$J:$J,Prod_Prop!$B:$B,$Q412,Prod_Prop!$H:$H,Y412,Prod_Prop!$I:$I,Z$1)*IF(Y412="Peso",$R412,1))</f>
        <v/>
      </c>
      <c r="AA412" s="4" t="str">
        <f>IF(Y412="","",SUMIFS(Prod_Prop!$J:$J,Prod_Prop!$B:$B,$Q412,Prod_Prop!$H:$H,Y412,Prod_Prop!$I:$I,AA$1)*IF(Y412="Peso",$R412,1))</f>
        <v/>
      </c>
      <c r="AB412" s="4" t="str">
        <f>IFERROR(__xludf.DUMMYFUNCTION("IF(OR($U412="""",COUNTIF($I:$I,IFERROR(unique(filter(Prod_Prop!$H:$H,Prod_Prop!$G:$G=$U412,Prod_Prop!$E:$E=AB$1)),""Check""))=0),"""",IFERROR(unique(filter(Prod_Prop!$H:$H,Prod_Prop!$G:$G=$U412,Prod_Prop!$E:$E=AB$1)),""""))"),"")</f>
        <v/>
      </c>
      <c r="AC412" s="4" t="str">
        <f>IF(AB412="","",SUMIFS(Prod_Prop!$J:$J,Prod_Prop!$B:$B,$Q412,Prod_Prop!$H:$H,AB412,Prod_Prop!$I:$I,AC$1)*IF(AB412="Peso",$R412,1))</f>
        <v/>
      </c>
      <c r="AD412" s="4" t="str">
        <f>IF(AB412="","",SUMIFS(Prod_Prop!$J:$J,Prod_Prop!$B:$B,$Q412,Prod_Prop!$H:$H,AB412,Prod_Prop!$I:$I,AD$1)*IF(AB412="Peso",$R412,1))</f>
        <v/>
      </c>
    </row>
    <row r="413">
      <c r="A413" s="4" t="str">
        <f t="array" ref="A413">IF(COUNTIF(A$1:A412,Cotizador!F$2)=maxifs(Familias!E:E,Familias!D:D,Cotizador!F$2),IF(COUNTIF(A$1:A412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3" s="4" t="str">
        <f t="shared" si="1"/>
        <v/>
      </c>
      <c r="C413" s="4" t="str">
        <f t="array" ref="C413">IF(B413="","",IF(A413=XLOOKUP(A$2,Implementos!B:B,Implementos!C:C,"",0,1),B413+maxifs(B$1:B412,A$1:A412,A$2),B413))</f>
        <v/>
      </c>
      <c r="D413" s="4" t="str">
        <f>IF(B413="","", COUNTIFS(Productos!F:F,A413,Productos!H:H,B413)+IF(F413="SI",0,1))</f>
        <v/>
      </c>
      <c r="E413" s="4" t="str">
        <f>IFERROR(__xludf.DUMMYFUNCTION("IF($B413="""","""",INDEX(filter(Familias!F:F,Familias!$D:$D=$A413,Familias!$E:$E=$B413),1))"),"")</f>
        <v/>
      </c>
      <c r="F413" s="4" t="str">
        <f>IFERROR(__xludf.DUMMYFUNCTION("IF($B413="""","""",INDEX(filter(Familias!G:G,Familias!$D:$D=$A413,Familias!$E:$E=$B413),1))"),"")</f>
        <v/>
      </c>
      <c r="G413" s="4" t="str">
        <f t="array" ref="G413">IF(C413=1,XLOOKUP(C413,Cotizador!D:D,Cotizador!E:E,"",0,1),"")</f>
        <v/>
      </c>
      <c r="I413" s="4"/>
      <c r="J413" s="8" t="str">
        <f>IF(I413="","",SUMIF(Cotizador!I$1:V$1,I413,Cotizador!I$2:V$2))</f>
        <v/>
      </c>
      <c r="L413" s="4" t="str">
        <f t="array" ref="L413">IF(COUNTIF(L$1:L412,A$2)=SUMIF(A:A,A$2,D:D),IF(COUNTIF(L$1:L412,XLOOKUP(A$2,Implementos!B:B,Implementos!C:C,"",0,1))=SUMIF(A:A,XLOOKUP(A$2,Implementos!B:B,Implementos!C:C,"",0,1),D:D),"",XLOOKUP(A$2,Implementos!B:B,Implementos!C:C,"",0,1)),A$2)</f>
        <v/>
      </c>
      <c r="M413" s="4" t="str">
        <f t="shared" si="2"/>
        <v/>
      </c>
      <c r="N413" s="4" t="str">
        <f t="shared" si="3"/>
        <v/>
      </c>
      <c r="O413" s="4" t="str">
        <f t="shared" si="4"/>
        <v/>
      </c>
      <c r="P413" s="4" t="str">
        <f t="shared" si="5"/>
        <v/>
      </c>
      <c r="Q413" s="4" t="str">
        <f>IF(U413="","",SUMIF(Productos!E:E,U413,Productos!A:A))</f>
        <v/>
      </c>
      <c r="R413" s="4" t="str">
        <f t="array" ref="R413">IF(L413="","", max(1,SUMIF(I:I,XLOOKUP(U413,Productos!E:E,Productos!G:G,"",0,1),J:J)))</f>
        <v/>
      </c>
      <c r="S413" s="4" t="str">
        <f>IF(Q413="","",IF(SUMIFS(Compat_Vetado!D:D,Compat_Vetado!B:B,SUM(G:G),Compat_Vetado!C:C,Q413)=1,"SI",IF(OR(SUMIF(Cotizador!E:E,Q413,Cotizador!G:G)&gt;0,SUMIFS(Compat_Vetado!D:D,Compat_Vetado!B:B,SUM(G:G),Compat_Vetado!C:C,Q413)=-1),"NO","")))</f>
        <v/>
      </c>
      <c r="T413" s="4" t="str">
        <f t="shared" si="6"/>
        <v/>
      </c>
      <c r="U413" s="4" t="str">
        <f>IFERROR(__xludf.DUMMYFUNCTION("IF(P413="""","""",IFERROR(INDEX(filter(Productos!E:E,Productos!F:F=L413,Productos!H:H=N413),P413),IF(M413=SUM(D:D),""Finalizar"",""-"")))"),"")</f>
        <v/>
      </c>
      <c r="V413" s="4" t="str">
        <f>IFERROR(__xludf.DUMMYFUNCTION("IF(OR($U413="""",COUNTIF($I:$I,IFERROR(unique(filter(Prod_Prop!$H:$H,Prod_Prop!$G:$G=$U413,Prod_Prop!$E:$E=V$1)),""Check""))=0),"""",IFERROR(unique(filter(Prod_Prop!$H:$H,Prod_Prop!$G:$G=$U413,Prod_Prop!$E:$E=V$1)),""""))"),"")</f>
        <v/>
      </c>
      <c r="W413" s="4" t="str">
        <f>IF(V413="","",SUMIFS(Prod_Prop!$J:$J,Prod_Prop!$B:$B,$Q413,Prod_Prop!$H:$H,V413,Prod_Prop!$I:$I,W$1)*IF(V413="Peso",$R413,1))</f>
        <v/>
      </c>
      <c r="X413" s="4" t="str">
        <f>IF(V413="","",SUMIFS(Prod_Prop!$J:$J,Prod_Prop!$B:$B,$Q413,Prod_Prop!$H:$H,V413,Prod_Prop!$I:$I,X$1)*IF(V413="Peso",$R413,1))</f>
        <v/>
      </c>
      <c r="Y413" s="4" t="str">
        <f>IFERROR(__xludf.DUMMYFUNCTION("IF(OR($U413="""",COUNTIF($I:$I,IFERROR(unique(filter(Prod_Prop!$H:$H,Prod_Prop!$G:$G=$U413,Prod_Prop!$E:$E=Y$1)),""Check""))=0),"""",IFERROR(unique(filter(Prod_Prop!$H:$H,Prod_Prop!$G:$G=$U413,Prod_Prop!$E:$E=Y$1)),""""))"),"")</f>
        <v/>
      </c>
      <c r="Z413" s="4" t="str">
        <f>IF(Y413="","",SUMIFS(Prod_Prop!$J:$J,Prod_Prop!$B:$B,$Q413,Prod_Prop!$H:$H,Y413,Prod_Prop!$I:$I,Z$1)*IF(Y413="Peso",$R413,1))</f>
        <v/>
      </c>
      <c r="AA413" s="4" t="str">
        <f>IF(Y413="","",SUMIFS(Prod_Prop!$J:$J,Prod_Prop!$B:$B,$Q413,Prod_Prop!$H:$H,Y413,Prod_Prop!$I:$I,AA$1)*IF(Y413="Peso",$R413,1))</f>
        <v/>
      </c>
      <c r="AB413" s="4" t="str">
        <f>IFERROR(__xludf.DUMMYFUNCTION("IF(OR($U413="""",COUNTIF($I:$I,IFERROR(unique(filter(Prod_Prop!$H:$H,Prod_Prop!$G:$G=$U413,Prod_Prop!$E:$E=AB$1)),""Check""))=0),"""",IFERROR(unique(filter(Prod_Prop!$H:$H,Prod_Prop!$G:$G=$U413,Prod_Prop!$E:$E=AB$1)),""""))"),"")</f>
        <v/>
      </c>
      <c r="AC413" s="4" t="str">
        <f>IF(AB413="","",SUMIFS(Prod_Prop!$J:$J,Prod_Prop!$B:$B,$Q413,Prod_Prop!$H:$H,AB413,Prod_Prop!$I:$I,AC$1)*IF(AB413="Peso",$R413,1))</f>
        <v/>
      </c>
      <c r="AD413" s="4" t="str">
        <f>IF(AB413="","",SUMIFS(Prod_Prop!$J:$J,Prod_Prop!$B:$B,$Q413,Prod_Prop!$H:$H,AB413,Prod_Prop!$I:$I,AD$1)*IF(AB413="Peso",$R413,1))</f>
        <v/>
      </c>
    </row>
    <row r="414">
      <c r="A414" s="4" t="str">
        <f t="array" ref="A414">IF(COUNTIF(A$1:A413,Cotizador!F$2)=maxifs(Familias!E:E,Familias!D:D,Cotizador!F$2),IF(COUNTIF(A$1:A413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4" s="4" t="str">
        <f t="shared" si="1"/>
        <v/>
      </c>
      <c r="C414" s="4" t="str">
        <f t="array" ref="C414">IF(B414="","",IF(A414=XLOOKUP(A$2,Implementos!B:B,Implementos!C:C,"",0,1),B414+maxifs(B$1:B413,A$1:A413,A$2),B414))</f>
        <v/>
      </c>
      <c r="D414" s="4" t="str">
        <f>IF(B414="","", COUNTIFS(Productos!F:F,A414,Productos!H:H,B414)+IF(F414="SI",0,1))</f>
        <v/>
      </c>
      <c r="E414" s="4" t="str">
        <f>IFERROR(__xludf.DUMMYFUNCTION("IF($B414="""","""",INDEX(filter(Familias!F:F,Familias!$D:$D=$A414,Familias!$E:$E=$B414),1))"),"")</f>
        <v/>
      </c>
      <c r="F414" s="4" t="str">
        <f>IFERROR(__xludf.DUMMYFUNCTION("IF($B414="""","""",INDEX(filter(Familias!G:G,Familias!$D:$D=$A414,Familias!$E:$E=$B414),1))"),"")</f>
        <v/>
      </c>
      <c r="G414" s="4" t="str">
        <f t="array" ref="G414">IF(C414=1,XLOOKUP(C414,Cotizador!D:D,Cotizador!E:E,"",0,1),"")</f>
        <v/>
      </c>
      <c r="I414" s="4"/>
      <c r="J414" s="8" t="str">
        <f>IF(I414="","",SUMIF(Cotizador!I$1:V$1,I414,Cotizador!I$2:V$2))</f>
        <v/>
      </c>
      <c r="L414" s="4" t="str">
        <f t="array" ref="L414">IF(COUNTIF(L$1:L413,A$2)=SUMIF(A:A,A$2,D:D),IF(COUNTIF(L$1:L413,XLOOKUP(A$2,Implementos!B:B,Implementos!C:C,"",0,1))=SUMIF(A:A,XLOOKUP(A$2,Implementos!B:B,Implementos!C:C,"",0,1),D:D),"",XLOOKUP(A$2,Implementos!B:B,Implementos!C:C,"",0,1)),A$2)</f>
        <v/>
      </c>
      <c r="M414" s="4" t="str">
        <f t="shared" si="2"/>
        <v/>
      </c>
      <c r="N414" s="4" t="str">
        <f t="shared" si="3"/>
        <v/>
      </c>
      <c r="O414" s="4" t="str">
        <f t="shared" si="4"/>
        <v/>
      </c>
      <c r="P414" s="4" t="str">
        <f t="shared" si="5"/>
        <v/>
      </c>
      <c r="Q414" s="4" t="str">
        <f>IF(U414="","",SUMIF(Productos!E:E,U414,Productos!A:A))</f>
        <v/>
      </c>
      <c r="R414" s="4" t="str">
        <f t="array" ref="R414">IF(L414="","", max(1,SUMIF(I:I,XLOOKUP(U414,Productos!E:E,Productos!G:G,"",0,1),J:J)))</f>
        <v/>
      </c>
      <c r="S414" s="4" t="str">
        <f>IF(Q414="","",IF(SUMIFS(Compat_Vetado!D:D,Compat_Vetado!B:B,SUM(G:G),Compat_Vetado!C:C,Q414)=1,"SI",IF(OR(SUMIF(Cotizador!E:E,Q414,Cotizador!G:G)&gt;0,SUMIFS(Compat_Vetado!D:D,Compat_Vetado!B:B,SUM(G:G),Compat_Vetado!C:C,Q414)=-1),"NO","")))</f>
        <v/>
      </c>
      <c r="T414" s="4" t="str">
        <f t="shared" si="6"/>
        <v/>
      </c>
      <c r="U414" s="4" t="str">
        <f>IFERROR(__xludf.DUMMYFUNCTION("IF(P414="""","""",IFERROR(INDEX(filter(Productos!E:E,Productos!F:F=L414,Productos!H:H=N414),P414),IF(M414=SUM(D:D),""Finalizar"",""-"")))"),"")</f>
        <v/>
      </c>
      <c r="V414" s="4" t="str">
        <f>IFERROR(__xludf.DUMMYFUNCTION("IF(OR($U414="""",COUNTIF($I:$I,IFERROR(unique(filter(Prod_Prop!$H:$H,Prod_Prop!$G:$G=$U414,Prod_Prop!$E:$E=V$1)),""Check""))=0),"""",IFERROR(unique(filter(Prod_Prop!$H:$H,Prod_Prop!$G:$G=$U414,Prod_Prop!$E:$E=V$1)),""""))"),"")</f>
        <v/>
      </c>
      <c r="W414" s="4" t="str">
        <f>IF(V414="","",SUMIFS(Prod_Prop!$J:$J,Prod_Prop!$B:$B,$Q414,Prod_Prop!$H:$H,V414,Prod_Prop!$I:$I,W$1)*IF(V414="Peso",$R414,1))</f>
        <v/>
      </c>
      <c r="X414" s="4" t="str">
        <f>IF(V414="","",SUMIFS(Prod_Prop!$J:$J,Prod_Prop!$B:$B,$Q414,Prod_Prop!$H:$H,V414,Prod_Prop!$I:$I,X$1)*IF(V414="Peso",$R414,1))</f>
        <v/>
      </c>
      <c r="Y414" s="4" t="str">
        <f>IFERROR(__xludf.DUMMYFUNCTION("IF(OR($U414="""",COUNTIF($I:$I,IFERROR(unique(filter(Prod_Prop!$H:$H,Prod_Prop!$G:$G=$U414,Prod_Prop!$E:$E=Y$1)),""Check""))=0),"""",IFERROR(unique(filter(Prod_Prop!$H:$H,Prod_Prop!$G:$G=$U414,Prod_Prop!$E:$E=Y$1)),""""))"),"")</f>
        <v/>
      </c>
      <c r="Z414" s="4" t="str">
        <f>IF(Y414="","",SUMIFS(Prod_Prop!$J:$J,Prod_Prop!$B:$B,$Q414,Prod_Prop!$H:$H,Y414,Prod_Prop!$I:$I,Z$1)*IF(Y414="Peso",$R414,1))</f>
        <v/>
      </c>
      <c r="AA414" s="4" t="str">
        <f>IF(Y414="","",SUMIFS(Prod_Prop!$J:$J,Prod_Prop!$B:$B,$Q414,Prod_Prop!$H:$H,Y414,Prod_Prop!$I:$I,AA$1)*IF(Y414="Peso",$R414,1))</f>
        <v/>
      </c>
      <c r="AB414" s="4" t="str">
        <f>IFERROR(__xludf.DUMMYFUNCTION("IF(OR($U414="""",COUNTIF($I:$I,IFERROR(unique(filter(Prod_Prop!$H:$H,Prod_Prop!$G:$G=$U414,Prod_Prop!$E:$E=AB$1)),""Check""))=0),"""",IFERROR(unique(filter(Prod_Prop!$H:$H,Prod_Prop!$G:$G=$U414,Prod_Prop!$E:$E=AB$1)),""""))"),"")</f>
        <v/>
      </c>
      <c r="AC414" s="4" t="str">
        <f>IF(AB414="","",SUMIFS(Prod_Prop!$J:$J,Prod_Prop!$B:$B,$Q414,Prod_Prop!$H:$H,AB414,Prod_Prop!$I:$I,AC$1)*IF(AB414="Peso",$R414,1))</f>
        <v/>
      </c>
      <c r="AD414" s="4" t="str">
        <f>IF(AB414="","",SUMIFS(Prod_Prop!$J:$J,Prod_Prop!$B:$B,$Q414,Prod_Prop!$H:$H,AB414,Prod_Prop!$I:$I,AD$1)*IF(AB414="Peso",$R414,1))</f>
        <v/>
      </c>
    </row>
    <row r="415">
      <c r="A415" s="4" t="str">
        <f t="array" ref="A415">IF(COUNTIF(A$1:A414,Cotizador!F$2)=maxifs(Familias!E:E,Familias!D:D,Cotizador!F$2),IF(COUNTIF(A$1:A414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5" s="4" t="str">
        <f t="shared" si="1"/>
        <v/>
      </c>
      <c r="C415" s="4" t="str">
        <f t="array" ref="C415">IF(B415="","",IF(A415=XLOOKUP(A$2,Implementos!B:B,Implementos!C:C,"",0,1),B415+maxifs(B$1:B414,A$1:A414,A$2),B415))</f>
        <v/>
      </c>
      <c r="D415" s="4" t="str">
        <f>IF(B415="","", COUNTIFS(Productos!F:F,A415,Productos!H:H,B415)+IF(F415="SI",0,1))</f>
        <v/>
      </c>
      <c r="E415" s="4" t="str">
        <f>IFERROR(__xludf.DUMMYFUNCTION("IF($B415="""","""",INDEX(filter(Familias!F:F,Familias!$D:$D=$A415,Familias!$E:$E=$B415),1))"),"")</f>
        <v/>
      </c>
      <c r="F415" s="4" t="str">
        <f>IFERROR(__xludf.DUMMYFUNCTION("IF($B415="""","""",INDEX(filter(Familias!G:G,Familias!$D:$D=$A415,Familias!$E:$E=$B415),1))"),"")</f>
        <v/>
      </c>
      <c r="G415" s="4" t="str">
        <f t="array" ref="G415">IF(C415=1,XLOOKUP(C415,Cotizador!D:D,Cotizador!E:E,"",0,1),"")</f>
        <v/>
      </c>
      <c r="I415" s="4"/>
      <c r="J415" s="8" t="str">
        <f>IF(I415="","",SUMIF(Cotizador!I$1:V$1,I415,Cotizador!I$2:V$2))</f>
        <v/>
      </c>
      <c r="L415" s="4" t="str">
        <f t="array" ref="L415">IF(COUNTIF(L$1:L414,A$2)=SUMIF(A:A,A$2,D:D),IF(COUNTIF(L$1:L414,XLOOKUP(A$2,Implementos!B:B,Implementos!C:C,"",0,1))=SUMIF(A:A,XLOOKUP(A$2,Implementos!B:B,Implementos!C:C,"",0,1),D:D),"",XLOOKUP(A$2,Implementos!B:B,Implementos!C:C,"",0,1)),A$2)</f>
        <v/>
      </c>
      <c r="M415" s="4" t="str">
        <f t="shared" si="2"/>
        <v/>
      </c>
      <c r="N415" s="4" t="str">
        <f t="shared" si="3"/>
        <v/>
      </c>
      <c r="O415" s="4" t="str">
        <f t="shared" si="4"/>
        <v/>
      </c>
      <c r="P415" s="4" t="str">
        <f t="shared" si="5"/>
        <v/>
      </c>
      <c r="Q415" s="4" t="str">
        <f>IF(U415="","",SUMIF(Productos!E:E,U415,Productos!A:A))</f>
        <v/>
      </c>
      <c r="R415" s="4" t="str">
        <f t="array" ref="R415">IF(L415="","", max(1,SUMIF(I:I,XLOOKUP(U415,Productos!E:E,Productos!G:G,"",0,1),J:J)))</f>
        <v/>
      </c>
      <c r="S415" s="4" t="str">
        <f>IF(Q415="","",IF(SUMIFS(Compat_Vetado!D:D,Compat_Vetado!B:B,SUM(G:G),Compat_Vetado!C:C,Q415)=1,"SI",IF(OR(SUMIF(Cotizador!E:E,Q415,Cotizador!G:G)&gt;0,SUMIFS(Compat_Vetado!D:D,Compat_Vetado!B:B,SUM(G:G),Compat_Vetado!C:C,Q415)=-1),"NO","")))</f>
        <v/>
      </c>
      <c r="T415" s="4" t="str">
        <f t="shared" si="6"/>
        <v/>
      </c>
      <c r="U415" s="4" t="str">
        <f>IFERROR(__xludf.DUMMYFUNCTION("IF(P415="""","""",IFERROR(INDEX(filter(Productos!E:E,Productos!F:F=L415,Productos!H:H=N415),P415),IF(M415=SUM(D:D),""Finalizar"",""-"")))"),"")</f>
        <v/>
      </c>
      <c r="V415" s="4" t="str">
        <f>IFERROR(__xludf.DUMMYFUNCTION("IF(OR($U415="""",COUNTIF($I:$I,IFERROR(unique(filter(Prod_Prop!$H:$H,Prod_Prop!$G:$G=$U415,Prod_Prop!$E:$E=V$1)),""Check""))=0),"""",IFERROR(unique(filter(Prod_Prop!$H:$H,Prod_Prop!$G:$G=$U415,Prod_Prop!$E:$E=V$1)),""""))"),"")</f>
        <v/>
      </c>
      <c r="W415" s="4" t="str">
        <f>IF(V415="","",SUMIFS(Prod_Prop!$J:$J,Prod_Prop!$B:$B,$Q415,Prod_Prop!$H:$H,V415,Prod_Prop!$I:$I,W$1)*IF(V415="Peso",$R415,1))</f>
        <v/>
      </c>
      <c r="X415" s="4" t="str">
        <f>IF(V415="","",SUMIFS(Prod_Prop!$J:$J,Prod_Prop!$B:$B,$Q415,Prod_Prop!$H:$H,V415,Prod_Prop!$I:$I,X$1)*IF(V415="Peso",$R415,1))</f>
        <v/>
      </c>
      <c r="Y415" s="4" t="str">
        <f>IFERROR(__xludf.DUMMYFUNCTION("IF(OR($U415="""",COUNTIF($I:$I,IFERROR(unique(filter(Prod_Prop!$H:$H,Prod_Prop!$G:$G=$U415,Prod_Prop!$E:$E=Y$1)),""Check""))=0),"""",IFERROR(unique(filter(Prod_Prop!$H:$H,Prod_Prop!$G:$G=$U415,Prod_Prop!$E:$E=Y$1)),""""))"),"")</f>
        <v/>
      </c>
      <c r="Z415" s="4" t="str">
        <f>IF(Y415="","",SUMIFS(Prod_Prop!$J:$J,Prod_Prop!$B:$B,$Q415,Prod_Prop!$H:$H,Y415,Prod_Prop!$I:$I,Z$1)*IF(Y415="Peso",$R415,1))</f>
        <v/>
      </c>
      <c r="AA415" s="4" t="str">
        <f>IF(Y415="","",SUMIFS(Prod_Prop!$J:$J,Prod_Prop!$B:$B,$Q415,Prod_Prop!$H:$H,Y415,Prod_Prop!$I:$I,AA$1)*IF(Y415="Peso",$R415,1))</f>
        <v/>
      </c>
      <c r="AB415" s="4" t="str">
        <f>IFERROR(__xludf.DUMMYFUNCTION("IF(OR($U415="""",COUNTIF($I:$I,IFERROR(unique(filter(Prod_Prop!$H:$H,Prod_Prop!$G:$G=$U415,Prod_Prop!$E:$E=AB$1)),""Check""))=0),"""",IFERROR(unique(filter(Prod_Prop!$H:$H,Prod_Prop!$G:$G=$U415,Prod_Prop!$E:$E=AB$1)),""""))"),"")</f>
        <v/>
      </c>
      <c r="AC415" s="4" t="str">
        <f>IF(AB415="","",SUMIFS(Prod_Prop!$J:$J,Prod_Prop!$B:$B,$Q415,Prod_Prop!$H:$H,AB415,Prod_Prop!$I:$I,AC$1)*IF(AB415="Peso",$R415,1))</f>
        <v/>
      </c>
      <c r="AD415" s="4" t="str">
        <f>IF(AB415="","",SUMIFS(Prod_Prop!$J:$J,Prod_Prop!$B:$B,$Q415,Prod_Prop!$H:$H,AB415,Prod_Prop!$I:$I,AD$1)*IF(AB415="Peso",$R415,1))</f>
        <v/>
      </c>
    </row>
    <row r="416">
      <c r="A416" s="4" t="str">
        <f t="array" ref="A416">IF(COUNTIF(A$1:A415,Cotizador!F$2)=maxifs(Familias!E:E,Familias!D:D,Cotizador!F$2),IF(COUNTIF(A$1:A415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6" s="4" t="str">
        <f t="shared" si="1"/>
        <v/>
      </c>
      <c r="C416" s="4" t="str">
        <f t="array" ref="C416">IF(B416="","",IF(A416=XLOOKUP(A$2,Implementos!B:B,Implementos!C:C,"",0,1),B416+maxifs(B$1:B415,A$1:A415,A$2),B416))</f>
        <v/>
      </c>
      <c r="D416" s="4" t="str">
        <f>IF(B416="","", COUNTIFS(Productos!F:F,A416,Productos!H:H,B416)+IF(F416="SI",0,1))</f>
        <v/>
      </c>
      <c r="E416" s="4" t="str">
        <f>IFERROR(__xludf.DUMMYFUNCTION("IF($B416="""","""",INDEX(filter(Familias!F:F,Familias!$D:$D=$A416,Familias!$E:$E=$B416),1))"),"")</f>
        <v/>
      </c>
      <c r="F416" s="4" t="str">
        <f>IFERROR(__xludf.DUMMYFUNCTION("IF($B416="""","""",INDEX(filter(Familias!G:G,Familias!$D:$D=$A416,Familias!$E:$E=$B416),1))"),"")</f>
        <v/>
      </c>
      <c r="G416" s="4" t="str">
        <f t="array" ref="G416">IF(C416=1,XLOOKUP(C416,Cotizador!D:D,Cotizador!E:E,"",0,1),"")</f>
        <v/>
      </c>
      <c r="I416" s="4"/>
      <c r="J416" s="8" t="str">
        <f>IF(I416="","",SUMIF(Cotizador!I$1:V$1,I416,Cotizador!I$2:V$2))</f>
        <v/>
      </c>
      <c r="L416" s="4" t="str">
        <f t="array" ref="L416">IF(COUNTIF(L$1:L415,A$2)=SUMIF(A:A,A$2,D:D),IF(COUNTIF(L$1:L415,XLOOKUP(A$2,Implementos!B:B,Implementos!C:C,"",0,1))=SUMIF(A:A,XLOOKUP(A$2,Implementos!B:B,Implementos!C:C,"",0,1),D:D),"",XLOOKUP(A$2,Implementos!B:B,Implementos!C:C,"",0,1)),A$2)</f>
        <v/>
      </c>
      <c r="M416" s="4" t="str">
        <f t="shared" si="2"/>
        <v/>
      </c>
      <c r="N416" s="4" t="str">
        <f t="shared" si="3"/>
        <v/>
      </c>
      <c r="O416" s="4" t="str">
        <f t="shared" si="4"/>
        <v/>
      </c>
      <c r="P416" s="4" t="str">
        <f t="shared" si="5"/>
        <v/>
      </c>
      <c r="Q416" s="4" t="str">
        <f>IF(U416="","",SUMIF(Productos!E:E,U416,Productos!A:A))</f>
        <v/>
      </c>
      <c r="R416" s="4" t="str">
        <f t="array" ref="R416">IF(L416="","", max(1,SUMIF(I:I,XLOOKUP(U416,Productos!E:E,Productos!G:G,"",0,1),J:J)))</f>
        <v/>
      </c>
      <c r="S416" s="4" t="str">
        <f>IF(Q416="","",IF(SUMIFS(Compat_Vetado!D:D,Compat_Vetado!B:B,SUM(G:G),Compat_Vetado!C:C,Q416)=1,"SI",IF(OR(SUMIF(Cotizador!E:E,Q416,Cotizador!G:G)&gt;0,SUMIFS(Compat_Vetado!D:D,Compat_Vetado!B:B,SUM(G:G),Compat_Vetado!C:C,Q416)=-1),"NO","")))</f>
        <v/>
      </c>
      <c r="T416" s="4" t="str">
        <f t="shared" si="6"/>
        <v/>
      </c>
      <c r="U416" s="4" t="str">
        <f>IFERROR(__xludf.DUMMYFUNCTION("IF(P416="""","""",IFERROR(INDEX(filter(Productos!E:E,Productos!F:F=L416,Productos!H:H=N416),P416),IF(M416=SUM(D:D),""Finalizar"",""-"")))"),"")</f>
        <v/>
      </c>
      <c r="V416" s="4" t="str">
        <f>IFERROR(__xludf.DUMMYFUNCTION("IF(OR($U416="""",COUNTIF($I:$I,IFERROR(unique(filter(Prod_Prop!$H:$H,Prod_Prop!$G:$G=$U416,Prod_Prop!$E:$E=V$1)),""Check""))=0),"""",IFERROR(unique(filter(Prod_Prop!$H:$H,Prod_Prop!$G:$G=$U416,Prod_Prop!$E:$E=V$1)),""""))"),"")</f>
        <v/>
      </c>
      <c r="W416" s="4" t="str">
        <f>IF(V416="","",SUMIFS(Prod_Prop!$J:$J,Prod_Prop!$B:$B,$Q416,Prod_Prop!$H:$H,V416,Prod_Prop!$I:$I,W$1)*IF(V416="Peso",$R416,1))</f>
        <v/>
      </c>
      <c r="X416" s="4" t="str">
        <f>IF(V416="","",SUMIFS(Prod_Prop!$J:$J,Prod_Prop!$B:$B,$Q416,Prod_Prop!$H:$H,V416,Prod_Prop!$I:$I,X$1)*IF(V416="Peso",$R416,1))</f>
        <v/>
      </c>
      <c r="Y416" s="4" t="str">
        <f>IFERROR(__xludf.DUMMYFUNCTION("IF(OR($U416="""",COUNTIF($I:$I,IFERROR(unique(filter(Prod_Prop!$H:$H,Prod_Prop!$G:$G=$U416,Prod_Prop!$E:$E=Y$1)),""Check""))=0),"""",IFERROR(unique(filter(Prod_Prop!$H:$H,Prod_Prop!$G:$G=$U416,Prod_Prop!$E:$E=Y$1)),""""))"),"")</f>
        <v/>
      </c>
      <c r="Z416" s="4" t="str">
        <f>IF(Y416="","",SUMIFS(Prod_Prop!$J:$J,Prod_Prop!$B:$B,$Q416,Prod_Prop!$H:$H,Y416,Prod_Prop!$I:$I,Z$1)*IF(Y416="Peso",$R416,1))</f>
        <v/>
      </c>
      <c r="AA416" s="4" t="str">
        <f>IF(Y416="","",SUMIFS(Prod_Prop!$J:$J,Prod_Prop!$B:$B,$Q416,Prod_Prop!$H:$H,Y416,Prod_Prop!$I:$I,AA$1)*IF(Y416="Peso",$R416,1))</f>
        <v/>
      </c>
      <c r="AB416" s="4" t="str">
        <f>IFERROR(__xludf.DUMMYFUNCTION("IF(OR($U416="""",COUNTIF($I:$I,IFERROR(unique(filter(Prod_Prop!$H:$H,Prod_Prop!$G:$G=$U416,Prod_Prop!$E:$E=AB$1)),""Check""))=0),"""",IFERROR(unique(filter(Prod_Prop!$H:$H,Prod_Prop!$G:$G=$U416,Prod_Prop!$E:$E=AB$1)),""""))"),"")</f>
        <v/>
      </c>
      <c r="AC416" s="4" t="str">
        <f>IF(AB416="","",SUMIFS(Prod_Prop!$J:$J,Prod_Prop!$B:$B,$Q416,Prod_Prop!$H:$H,AB416,Prod_Prop!$I:$I,AC$1)*IF(AB416="Peso",$R416,1))</f>
        <v/>
      </c>
      <c r="AD416" s="4" t="str">
        <f>IF(AB416="","",SUMIFS(Prod_Prop!$J:$J,Prod_Prop!$B:$B,$Q416,Prod_Prop!$H:$H,AB416,Prod_Prop!$I:$I,AD$1)*IF(AB416="Peso",$R416,1))</f>
        <v/>
      </c>
    </row>
    <row r="417">
      <c r="A417" s="4" t="str">
        <f t="array" ref="A417">IF(COUNTIF(A$1:A416,Cotizador!F$2)=maxifs(Familias!E:E,Familias!D:D,Cotizador!F$2),IF(COUNTIF(A$1:A416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7" s="4" t="str">
        <f t="shared" si="1"/>
        <v/>
      </c>
      <c r="C417" s="4" t="str">
        <f t="array" ref="C417">IF(B417="","",IF(A417=XLOOKUP(A$2,Implementos!B:B,Implementos!C:C,"",0,1),B417+maxifs(B$1:B416,A$1:A416,A$2),B417))</f>
        <v/>
      </c>
      <c r="D417" s="4" t="str">
        <f>IF(B417="","", COUNTIFS(Productos!F:F,A417,Productos!H:H,B417)+IF(F417="SI",0,1))</f>
        <v/>
      </c>
      <c r="E417" s="4" t="str">
        <f>IFERROR(__xludf.DUMMYFUNCTION("IF($B417="""","""",INDEX(filter(Familias!F:F,Familias!$D:$D=$A417,Familias!$E:$E=$B417),1))"),"")</f>
        <v/>
      </c>
      <c r="F417" s="4" t="str">
        <f>IFERROR(__xludf.DUMMYFUNCTION("IF($B417="""","""",INDEX(filter(Familias!G:G,Familias!$D:$D=$A417,Familias!$E:$E=$B417),1))"),"")</f>
        <v/>
      </c>
      <c r="G417" s="4" t="str">
        <f t="array" ref="G417">IF(C417=1,XLOOKUP(C417,Cotizador!D:D,Cotizador!E:E,"",0,1),"")</f>
        <v/>
      </c>
      <c r="I417" s="4"/>
      <c r="J417" s="8" t="str">
        <f>IF(I417="","",SUMIF(Cotizador!I$1:V$1,I417,Cotizador!I$2:V$2))</f>
        <v/>
      </c>
      <c r="L417" s="4" t="str">
        <f t="array" ref="L417">IF(COUNTIF(L$1:L416,A$2)=SUMIF(A:A,A$2,D:D),IF(COUNTIF(L$1:L416,XLOOKUP(A$2,Implementos!B:B,Implementos!C:C,"",0,1))=SUMIF(A:A,XLOOKUP(A$2,Implementos!B:B,Implementos!C:C,"",0,1),D:D),"",XLOOKUP(A$2,Implementos!B:B,Implementos!C:C,"",0,1)),A$2)</f>
        <v/>
      </c>
      <c r="M417" s="4" t="str">
        <f t="shared" si="2"/>
        <v/>
      </c>
      <c r="N417" s="4" t="str">
        <f t="shared" si="3"/>
        <v/>
      </c>
      <c r="O417" s="4" t="str">
        <f t="shared" si="4"/>
        <v/>
      </c>
      <c r="P417" s="4" t="str">
        <f t="shared" si="5"/>
        <v/>
      </c>
      <c r="Q417" s="4" t="str">
        <f>IF(U417="","",SUMIF(Productos!E:E,U417,Productos!A:A))</f>
        <v/>
      </c>
      <c r="R417" s="4" t="str">
        <f t="array" ref="R417">IF(L417="","", max(1,SUMIF(I:I,XLOOKUP(U417,Productos!E:E,Productos!G:G,"",0,1),J:J)))</f>
        <v/>
      </c>
      <c r="S417" s="4" t="str">
        <f>IF(Q417="","",IF(SUMIFS(Compat_Vetado!D:D,Compat_Vetado!B:B,SUM(G:G),Compat_Vetado!C:C,Q417)=1,"SI",IF(OR(SUMIF(Cotizador!E:E,Q417,Cotizador!G:G)&gt;0,SUMIFS(Compat_Vetado!D:D,Compat_Vetado!B:B,SUM(G:G),Compat_Vetado!C:C,Q417)=-1),"NO","")))</f>
        <v/>
      </c>
      <c r="T417" s="4" t="str">
        <f t="shared" si="6"/>
        <v/>
      </c>
      <c r="U417" s="4" t="str">
        <f>IFERROR(__xludf.DUMMYFUNCTION("IF(P417="""","""",IFERROR(INDEX(filter(Productos!E:E,Productos!F:F=L417,Productos!H:H=N417),P417),IF(M417=SUM(D:D),""Finalizar"",""-"")))"),"")</f>
        <v/>
      </c>
      <c r="V417" s="4" t="str">
        <f>IFERROR(__xludf.DUMMYFUNCTION("IF(OR($U417="""",COUNTIF($I:$I,IFERROR(unique(filter(Prod_Prop!$H:$H,Prod_Prop!$G:$G=$U417,Prod_Prop!$E:$E=V$1)),""Check""))=0),"""",IFERROR(unique(filter(Prod_Prop!$H:$H,Prod_Prop!$G:$G=$U417,Prod_Prop!$E:$E=V$1)),""""))"),"")</f>
        <v/>
      </c>
      <c r="W417" s="4" t="str">
        <f>IF(V417="","",SUMIFS(Prod_Prop!$J:$J,Prod_Prop!$B:$B,$Q417,Prod_Prop!$H:$H,V417,Prod_Prop!$I:$I,W$1)*IF(V417="Peso",$R417,1))</f>
        <v/>
      </c>
      <c r="X417" s="4" t="str">
        <f>IF(V417="","",SUMIFS(Prod_Prop!$J:$J,Prod_Prop!$B:$B,$Q417,Prod_Prop!$H:$H,V417,Prod_Prop!$I:$I,X$1)*IF(V417="Peso",$R417,1))</f>
        <v/>
      </c>
      <c r="Y417" s="4" t="str">
        <f>IFERROR(__xludf.DUMMYFUNCTION("IF(OR($U417="""",COUNTIF($I:$I,IFERROR(unique(filter(Prod_Prop!$H:$H,Prod_Prop!$G:$G=$U417,Prod_Prop!$E:$E=Y$1)),""Check""))=0),"""",IFERROR(unique(filter(Prod_Prop!$H:$H,Prod_Prop!$G:$G=$U417,Prod_Prop!$E:$E=Y$1)),""""))"),"")</f>
        <v/>
      </c>
      <c r="Z417" s="4" t="str">
        <f>IF(Y417="","",SUMIFS(Prod_Prop!$J:$J,Prod_Prop!$B:$B,$Q417,Prod_Prop!$H:$H,Y417,Prod_Prop!$I:$I,Z$1)*IF(Y417="Peso",$R417,1))</f>
        <v/>
      </c>
      <c r="AA417" s="4" t="str">
        <f>IF(Y417="","",SUMIFS(Prod_Prop!$J:$J,Prod_Prop!$B:$B,$Q417,Prod_Prop!$H:$H,Y417,Prod_Prop!$I:$I,AA$1)*IF(Y417="Peso",$R417,1))</f>
        <v/>
      </c>
      <c r="AB417" s="4" t="str">
        <f>IFERROR(__xludf.DUMMYFUNCTION("IF(OR($U417="""",COUNTIF($I:$I,IFERROR(unique(filter(Prod_Prop!$H:$H,Prod_Prop!$G:$G=$U417,Prod_Prop!$E:$E=AB$1)),""Check""))=0),"""",IFERROR(unique(filter(Prod_Prop!$H:$H,Prod_Prop!$G:$G=$U417,Prod_Prop!$E:$E=AB$1)),""""))"),"")</f>
        <v/>
      </c>
      <c r="AC417" s="4" t="str">
        <f>IF(AB417="","",SUMIFS(Prod_Prop!$J:$J,Prod_Prop!$B:$B,$Q417,Prod_Prop!$H:$H,AB417,Prod_Prop!$I:$I,AC$1)*IF(AB417="Peso",$R417,1))</f>
        <v/>
      </c>
      <c r="AD417" s="4" t="str">
        <f>IF(AB417="","",SUMIFS(Prod_Prop!$J:$J,Prod_Prop!$B:$B,$Q417,Prod_Prop!$H:$H,AB417,Prod_Prop!$I:$I,AD$1)*IF(AB417="Peso",$R417,1))</f>
        <v/>
      </c>
    </row>
    <row r="418">
      <c r="A418" s="4" t="str">
        <f t="array" ref="A418">IF(COUNTIF(A$1:A417,Cotizador!F$2)=maxifs(Familias!E:E,Familias!D:D,Cotizador!F$2),IF(COUNTIF(A$1:A417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8" s="4" t="str">
        <f t="shared" si="1"/>
        <v/>
      </c>
      <c r="C418" s="4" t="str">
        <f t="array" ref="C418">IF(B418="","",IF(A418=XLOOKUP(A$2,Implementos!B:B,Implementos!C:C,"",0,1),B418+maxifs(B$1:B417,A$1:A417,A$2),B418))</f>
        <v/>
      </c>
      <c r="D418" s="4" t="str">
        <f>IF(B418="","", COUNTIFS(Productos!F:F,A418,Productos!H:H,B418)+IF(F418="SI",0,1))</f>
        <v/>
      </c>
      <c r="E418" s="4" t="str">
        <f>IFERROR(__xludf.DUMMYFUNCTION("IF($B418="""","""",INDEX(filter(Familias!F:F,Familias!$D:$D=$A418,Familias!$E:$E=$B418),1))"),"")</f>
        <v/>
      </c>
      <c r="F418" s="4" t="str">
        <f>IFERROR(__xludf.DUMMYFUNCTION("IF($B418="""","""",INDEX(filter(Familias!G:G,Familias!$D:$D=$A418,Familias!$E:$E=$B418),1))"),"")</f>
        <v/>
      </c>
      <c r="G418" s="4" t="str">
        <f t="array" ref="G418">IF(C418=1,XLOOKUP(C418,Cotizador!D:D,Cotizador!E:E,"",0,1),"")</f>
        <v/>
      </c>
      <c r="I418" s="4"/>
      <c r="J418" s="8" t="str">
        <f>IF(I418="","",SUMIF(Cotizador!I$1:V$1,I418,Cotizador!I$2:V$2))</f>
        <v/>
      </c>
      <c r="L418" s="4" t="str">
        <f t="array" ref="L418">IF(COUNTIF(L$1:L417,A$2)=SUMIF(A:A,A$2,D:D),IF(COUNTIF(L$1:L417,XLOOKUP(A$2,Implementos!B:B,Implementos!C:C,"",0,1))=SUMIF(A:A,XLOOKUP(A$2,Implementos!B:B,Implementos!C:C,"",0,1),D:D),"",XLOOKUP(A$2,Implementos!B:B,Implementos!C:C,"",0,1)),A$2)</f>
        <v/>
      </c>
      <c r="M418" s="4" t="str">
        <f t="shared" si="2"/>
        <v/>
      </c>
      <c r="N418" s="4" t="str">
        <f t="shared" si="3"/>
        <v/>
      </c>
      <c r="O418" s="4" t="str">
        <f t="shared" si="4"/>
        <v/>
      </c>
      <c r="P418" s="4" t="str">
        <f t="shared" si="5"/>
        <v/>
      </c>
      <c r="Q418" s="4" t="str">
        <f>IF(U418="","",SUMIF(Productos!E:E,U418,Productos!A:A))</f>
        <v/>
      </c>
      <c r="R418" s="4" t="str">
        <f t="array" ref="R418">IF(L418="","", max(1,SUMIF(I:I,XLOOKUP(U418,Productos!E:E,Productos!G:G,"",0,1),J:J)))</f>
        <v/>
      </c>
      <c r="S418" s="4" t="str">
        <f>IF(Q418="","",IF(SUMIFS(Compat_Vetado!D:D,Compat_Vetado!B:B,SUM(G:G),Compat_Vetado!C:C,Q418)=1,"SI",IF(OR(SUMIF(Cotizador!E:E,Q418,Cotizador!G:G)&gt;0,SUMIFS(Compat_Vetado!D:D,Compat_Vetado!B:B,SUM(G:G),Compat_Vetado!C:C,Q418)=-1),"NO","")))</f>
        <v/>
      </c>
      <c r="T418" s="4" t="str">
        <f t="shared" si="6"/>
        <v/>
      </c>
      <c r="U418" s="4" t="str">
        <f>IFERROR(__xludf.DUMMYFUNCTION("IF(P418="""","""",IFERROR(INDEX(filter(Productos!E:E,Productos!F:F=L418,Productos!H:H=N418),P418),IF(M418=SUM(D:D),""Finalizar"",""-"")))"),"")</f>
        <v/>
      </c>
      <c r="V418" s="4" t="str">
        <f>IFERROR(__xludf.DUMMYFUNCTION("IF(OR($U418="""",COUNTIF($I:$I,IFERROR(unique(filter(Prod_Prop!$H:$H,Prod_Prop!$G:$G=$U418,Prod_Prop!$E:$E=V$1)),""Check""))=0),"""",IFERROR(unique(filter(Prod_Prop!$H:$H,Prod_Prop!$G:$G=$U418,Prod_Prop!$E:$E=V$1)),""""))"),"")</f>
        <v/>
      </c>
      <c r="W418" s="4" t="str">
        <f>IF(V418="","",SUMIFS(Prod_Prop!$J:$J,Prod_Prop!$B:$B,$Q418,Prod_Prop!$H:$H,V418,Prod_Prop!$I:$I,W$1)*IF(V418="Peso",$R418,1))</f>
        <v/>
      </c>
      <c r="X418" s="4" t="str">
        <f>IF(V418="","",SUMIFS(Prod_Prop!$J:$J,Prod_Prop!$B:$B,$Q418,Prod_Prop!$H:$H,V418,Prod_Prop!$I:$I,X$1)*IF(V418="Peso",$R418,1))</f>
        <v/>
      </c>
      <c r="Y418" s="4" t="str">
        <f>IFERROR(__xludf.DUMMYFUNCTION("IF(OR($U418="""",COUNTIF($I:$I,IFERROR(unique(filter(Prod_Prop!$H:$H,Prod_Prop!$G:$G=$U418,Prod_Prop!$E:$E=Y$1)),""Check""))=0),"""",IFERROR(unique(filter(Prod_Prop!$H:$H,Prod_Prop!$G:$G=$U418,Prod_Prop!$E:$E=Y$1)),""""))"),"")</f>
        <v/>
      </c>
      <c r="Z418" s="4" t="str">
        <f>IF(Y418="","",SUMIFS(Prod_Prop!$J:$J,Prod_Prop!$B:$B,$Q418,Prod_Prop!$H:$H,Y418,Prod_Prop!$I:$I,Z$1)*IF(Y418="Peso",$R418,1))</f>
        <v/>
      </c>
      <c r="AA418" s="4" t="str">
        <f>IF(Y418="","",SUMIFS(Prod_Prop!$J:$J,Prod_Prop!$B:$B,$Q418,Prod_Prop!$H:$H,Y418,Prod_Prop!$I:$I,AA$1)*IF(Y418="Peso",$R418,1))</f>
        <v/>
      </c>
      <c r="AB418" s="4" t="str">
        <f>IFERROR(__xludf.DUMMYFUNCTION("IF(OR($U418="""",COUNTIF($I:$I,IFERROR(unique(filter(Prod_Prop!$H:$H,Prod_Prop!$G:$G=$U418,Prod_Prop!$E:$E=AB$1)),""Check""))=0),"""",IFERROR(unique(filter(Prod_Prop!$H:$H,Prod_Prop!$G:$G=$U418,Prod_Prop!$E:$E=AB$1)),""""))"),"")</f>
        <v/>
      </c>
      <c r="AC418" s="4" t="str">
        <f>IF(AB418="","",SUMIFS(Prod_Prop!$J:$J,Prod_Prop!$B:$B,$Q418,Prod_Prop!$H:$H,AB418,Prod_Prop!$I:$I,AC$1)*IF(AB418="Peso",$R418,1))</f>
        <v/>
      </c>
      <c r="AD418" s="4" t="str">
        <f>IF(AB418="","",SUMIFS(Prod_Prop!$J:$J,Prod_Prop!$B:$B,$Q418,Prod_Prop!$H:$H,AB418,Prod_Prop!$I:$I,AD$1)*IF(AB418="Peso",$R418,1))</f>
        <v/>
      </c>
    </row>
    <row r="419">
      <c r="A419" s="4" t="str">
        <f t="array" ref="A419">IF(COUNTIF(A$1:A418,Cotizador!F$2)=maxifs(Familias!E:E,Familias!D:D,Cotizador!F$2),IF(COUNTIF(A$1:A418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19" s="4" t="str">
        <f t="shared" si="1"/>
        <v/>
      </c>
      <c r="C419" s="4" t="str">
        <f t="array" ref="C419">IF(B419="","",IF(A419=XLOOKUP(A$2,Implementos!B:B,Implementos!C:C,"",0,1),B419+maxifs(B$1:B418,A$1:A418,A$2),B419))</f>
        <v/>
      </c>
      <c r="D419" s="4" t="str">
        <f>IF(B419="","", COUNTIFS(Productos!F:F,A419,Productos!H:H,B419)+IF(F419="SI",0,1))</f>
        <v/>
      </c>
      <c r="E419" s="4" t="str">
        <f>IFERROR(__xludf.DUMMYFUNCTION("IF($B419="""","""",INDEX(filter(Familias!F:F,Familias!$D:$D=$A419,Familias!$E:$E=$B419),1))"),"")</f>
        <v/>
      </c>
      <c r="F419" s="4" t="str">
        <f>IFERROR(__xludf.DUMMYFUNCTION("IF($B419="""","""",INDEX(filter(Familias!G:G,Familias!$D:$D=$A419,Familias!$E:$E=$B419),1))"),"")</f>
        <v/>
      </c>
      <c r="G419" s="4" t="str">
        <f t="array" ref="G419">IF(C419=1,XLOOKUP(C419,Cotizador!D:D,Cotizador!E:E,"",0,1),"")</f>
        <v/>
      </c>
      <c r="I419" s="4"/>
      <c r="J419" s="8" t="str">
        <f>IF(I419="","",SUMIF(Cotizador!I$1:V$1,I419,Cotizador!I$2:V$2))</f>
        <v/>
      </c>
      <c r="L419" s="4" t="str">
        <f t="array" ref="L419">IF(COUNTIF(L$1:L418,A$2)=SUMIF(A:A,A$2,D:D),IF(COUNTIF(L$1:L418,XLOOKUP(A$2,Implementos!B:B,Implementos!C:C,"",0,1))=SUMIF(A:A,XLOOKUP(A$2,Implementos!B:B,Implementos!C:C,"",0,1),D:D),"",XLOOKUP(A$2,Implementos!B:B,Implementos!C:C,"",0,1)),A$2)</f>
        <v/>
      </c>
      <c r="M419" s="4" t="str">
        <f t="shared" si="2"/>
        <v/>
      </c>
      <c r="N419" s="4" t="str">
        <f t="shared" si="3"/>
        <v/>
      </c>
      <c r="O419" s="4" t="str">
        <f t="shared" si="4"/>
        <v/>
      </c>
      <c r="P419" s="4" t="str">
        <f t="shared" si="5"/>
        <v/>
      </c>
      <c r="Q419" s="4" t="str">
        <f>IF(U419="","",SUMIF(Productos!E:E,U419,Productos!A:A))</f>
        <v/>
      </c>
      <c r="R419" s="4" t="str">
        <f t="array" ref="R419">IF(L419="","", max(1,SUMIF(I:I,XLOOKUP(U419,Productos!E:E,Productos!G:G,"",0,1),J:J)))</f>
        <v/>
      </c>
      <c r="S419" s="4" t="str">
        <f>IF(Q419="","",IF(SUMIFS(Compat_Vetado!D:D,Compat_Vetado!B:B,SUM(G:G),Compat_Vetado!C:C,Q419)=1,"SI",IF(OR(SUMIF(Cotizador!E:E,Q419,Cotizador!G:G)&gt;0,SUMIFS(Compat_Vetado!D:D,Compat_Vetado!B:B,SUM(G:G),Compat_Vetado!C:C,Q419)=-1),"NO","")))</f>
        <v/>
      </c>
      <c r="T419" s="4" t="str">
        <f t="shared" si="6"/>
        <v/>
      </c>
      <c r="U419" s="4" t="str">
        <f>IFERROR(__xludf.DUMMYFUNCTION("IF(P419="""","""",IFERROR(INDEX(filter(Productos!E:E,Productos!F:F=L419,Productos!H:H=N419),P419),IF(M419=SUM(D:D),""Finalizar"",""-"")))"),"")</f>
        <v/>
      </c>
      <c r="V419" s="4" t="str">
        <f>IFERROR(__xludf.DUMMYFUNCTION("IF(OR($U419="""",COUNTIF($I:$I,IFERROR(unique(filter(Prod_Prop!$H:$H,Prod_Prop!$G:$G=$U419,Prod_Prop!$E:$E=V$1)),""Check""))=0),"""",IFERROR(unique(filter(Prod_Prop!$H:$H,Prod_Prop!$G:$G=$U419,Prod_Prop!$E:$E=V$1)),""""))"),"")</f>
        <v/>
      </c>
      <c r="W419" s="4" t="str">
        <f>IF(V419="","",SUMIFS(Prod_Prop!$J:$J,Prod_Prop!$B:$B,$Q419,Prod_Prop!$H:$H,V419,Prod_Prop!$I:$I,W$1)*IF(V419="Peso",$R419,1))</f>
        <v/>
      </c>
      <c r="X419" s="4" t="str">
        <f>IF(V419="","",SUMIFS(Prod_Prop!$J:$J,Prod_Prop!$B:$B,$Q419,Prod_Prop!$H:$H,V419,Prod_Prop!$I:$I,X$1)*IF(V419="Peso",$R419,1))</f>
        <v/>
      </c>
      <c r="Y419" s="4" t="str">
        <f>IFERROR(__xludf.DUMMYFUNCTION("IF(OR($U419="""",COUNTIF($I:$I,IFERROR(unique(filter(Prod_Prop!$H:$H,Prod_Prop!$G:$G=$U419,Prod_Prop!$E:$E=Y$1)),""Check""))=0),"""",IFERROR(unique(filter(Prod_Prop!$H:$H,Prod_Prop!$G:$G=$U419,Prod_Prop!$E:$E=Y$1)),""""))"),"")</f>
        <v/>
      </c>
      <c r="Z419" s="4" t="str">
        <f>IF(Y419="","",SUMIFS(Prod_Prop!$J:$J,Prod_Prop!$B:$B,$Q419,Prod_Prop!$H:$H,Y419,Prod_Prop!$I:$I,Z$1)*IF(Y419="Peso",$R419,1))</f>
        <v/>
      </c>
      <c r="AA419" s="4" t="str">
        <f>IF(Y419="","",SUMIFS(Prod_Prop!$J:$J,Prod_Prop!$B:$B,$Q419,Prod_Prop!$H:$H,Y419,Prod_Prop!$I:$I,AA$1)*IF(Y419="Peso",$R419,1))</f>
        <v/>
      </c>
      <c r="AB419" s="4" t="str">
        <f>IFERROR(__xludf.DUMMYFUNCTION("IF(OR($U419="""",COUNTIF($I:$I,IFERROR(unique(filter(Prod_Prop!$H:$H,Prod_Prop!$G:$G=$U419,Prod_Prop!$E:$E=AB$1)),""Check""))=0),"""",IFERROR(unique(filter(Prod_Prop!$H:$H,Prod_Prop!$G:$G=$U419,Prod_Prop!$E:$E=AB$1)),""""))"),"")</f>
        <v/>
      </c>
      <c r="AC419" s="4" t="str">
        <f>IF(AB419="","",SUMIFS(Prod_Prop!$J:$J,Prod_Prop!$B:$B,$Q419,Prod_Prop!$H:$H,AB419,Prod_Prop!$I:$I,AC$1)*IF(AB419="Peso",$R419,1))</f>
        <v/>
      </c>
      <c r="AD419" s="4" t="str">
        <f>IF(AB419="","",SUMIFS(Prod_Prop!$J:$J,Prod_Prop!$B:$B,$Q419,Prod_Prop!$H:$H,AB419,Prod_Prop!$I:$I,AD$1)*IF(AB419="Peso",$R419,1))</f>
        <v/>
      </c>
    </row>
    <row r="420">
      <c r="A420" s="4" t="str">
        <f t="array" ref="A420">IF(COUNTIF(A$1:A419,Cotizador!F$2)=maxifs(Familias!E:E,Familias!D:D,Cotizador!F$2),IF(COUNTIF(A$1:A419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0" s="4" t="str">
        <f t="shared" si="1"/>
        <v/>
      </c>
      <c r="C420" s="4" t="str">
        <f t="array" ref="C420">IF(B420="","",IF(A420=XLOOKUP(A$2,Implementos!B:B,Implementos!C:C,"",0,1),B420+maxifs(B$1:B419,A$1:A419,A$2),B420))</f>
        <v/>
      </c>
      <c r="D420" s="4" t="str">
        <f>IF(B420="","", COUNTIFS(Productos!F:F,A420,Productos!H:H,B420)+IF(F420="SI",0,1))</f>
        <v/>
      </c>
      <c r="E420" s="4" t="str">
        <f>IFERROR(__xludf.DUMMYFUNCTION("IF($B420="""","""",INDEX(filter(Familias!F:F,Familias!$D:$D=$A420,Familias!$E:$E=$B420),1))"),"")</f>
        <v/>
      </c>
      <c r="F420" s="4" t="str">
        <f>IFERROR(__xludf.DUMMYFUNCTION("IF($B420="""","""",INDEX(filter(Familias!G:G,Familias!$D:$D=$A420,Familias!$E:$E=$B420),1))"),"")</f>
        <v/>
      </c>
      <c r="G420" s="4" t="str">
        <f t="array" ref="G420">IF(C420=1,XLOOKUP(C420,Cotizador!D:D,Cotizador!E:E,"",0,1),"")</f>
        <v/>
      </c>
      <c r="I420" s="4"/>
      <c r="J420" s="8" t="str">
        <f>IF(I420="","",SUMIF(Cotizador!I$1:V$1,I420,Cotizador!I$2:V$2))</f>
        <v/>
      </c>
      <c r="L420" s="4" t="str">
        <f t="array" ref="L420">IF(COUNTIF(L$1:L419,A$2)=SUMIF(A:A,A$2,D:D),IF(COUNTIF(L$1:L419,XLOOKUP(A$2,Implementos!B:B,Implementos!C:C,"",0,1))=SUMIF(A:A,XLOOKUP(A$2,Implementos!B:B,Implementos!C:C,"",0,1),D:D),"",XLOOKUP(A$2,Implementos!B:B,Implementos!C:C,"",0,1)),A$2)</f>
        <v/>
      </c>
      <c r="M420" s="4" t="str">
        <f t="shared" si="2"/>
        <v/>
      </c>
      <c r="N420" s="4" t="str">
        <f t="shared" si="3"/>
        <v/>
      </c>
      <c r="O420" s="4" t="str">
        <f t="shared" si="4"/>
        <v/>
      </c>
      <c r="P420" s="4" t="str">
        <f t="shared" si="5"/>
        <v/>
      </c>
      <c r="Q420" s="4" t="str">
        <f>IF(U420="","",SUMIF(Productos!E:E,U420,Productos!A:A))</f>
        <v/>
      </c>
      <c r="R420" s="4" t="str">
        <f t="array" ref="R420">IF(L420="","", max(1,SUMIF(I:I,XLOOKUP(U420,Productos!E:E,Productos!G:G,"",0,1),J:J)))</f>
        <v/>
      </c>
      <c r="S420" s="4" t="str">
        <f>IF(Q420="","",IF(SUMIFS(Compat_Vetado!D:D,Compat_Vetado!B:B,SUM(G:G),Compat_Vetado!C:C,Q420)=1,"SI",IF(OR(SUMIF(Cotizador!E:E,Q420,Cotizador!G:G)&gt;0,SUMIFS(Compat_Vetado!D:D,Compat_Vetado!B:B,SUM(G:G),Compat_Vetado!C:C,Q420)=-1),"NO","")))</f>
        <v/>
      </c>
      <c r="T420" s="4" t="str">
        <f t="shared" si="6"/>
        <v/>
      </c>
      <c r="U420" s="4" t="str">
        <f>IFERROR(__xludf.DUMMYFUNCTION("IF(P420="""","""",IFERROR(INDEX(filter(Productos!E:E,Productos!F:F=L420,Productos!H:H=N420),P420),IF(M420=SUM(D:D),""Finalizar"",""-"")))"),"")</f>
        <v/>
      </c>
      <c r="V420" s="4" t="str">
        <f>IFERROR(__xludf.DUMMYFUNCTION("IF(OR($U420="""",COUNTIF($I:$I,IFERROR(unique(filter(Prod_Prop!$H:$H,Prod_Prop!$G:$G=$U420,Prod_Prop!$E:$E=V$1)),""Check""))=0),"""",IFERROR(unique(filter(Prod_Prop!$H:$H,Prod_Prop!$G:$G=$U420,Prod_Prop!$E:$E=V$1)),""""))"),"")</f>
        <v/>
      </c>
      <c r="W420" s="4" t="str">
        <f>IF(V420="","",SUMIFS(Prod_Prop!$J:$J,Prod_Prop!$B:$B,$Q420,Prod_Prop!$H:$H,V420,Prod_Prop!$I:$I,W$1)*IF(V420="Peso",$R420,1))</f>
        <v/>
      </c>
      <c r="X420" s="4" t="str">
        <f>IF(V420="","",SUMIFS(Prod_Prop!$J:$J,Prod_Prop!$B:$B,$Q420,Prod_Prop!$H:$H,V420,Prod_Prop!$I:$I,X$1)*IF(V420="Peso",$R420,1))</f>
        <v/>
      </c>
      <c r="Y420" s="4" t="str">
        <f>IFERROR(__xludf.DUMMYFUNCTION("IF(OR($U420="""",COUNTIF($I:$I,IFERROR(unique(filter(Prod_Prop!$H:$H,Prod_Prop!$G:$G=$U420,Prod_Prop!$E:$E=Y$1)),""Check""))=0),"""",IFERROR(unique(filter(Prod_Prop!$H:$H,Prod_Prop!$G:$G=$U420,Prod_Prop!$E:$E=Y$1)),""""))"),"")</f>
        <v/>
      </c>
      <c r="Z420" s="4" t="str">
        <f>IF(Y420="","",SUMIFS(Prod_Prop!$J:$J,Prod_Prop!$B:$B,$Q420,Prod_Prop!$H:$H,Y420,Prod_Prop!$I:$I,Z$1)*IF(Y420="Peso",$R420,1))</f>
        <v/>
      </c>
      <c r="AA420" s="4" t="str">
        <f>IF(Y420="","",SUMIFS(Prod_Prop!$J:$J,Prod_Prop!$B:$B,$Q420,Prod_Prop!$H:$H,Y420,Prod_Prop!$I:$I,AA$1)*IF(Y420="Peso",$R420,1))</f>
        <v/>
      </c>
      <c r="AB420" s="4" t="str">
        <f>IFERROR(__xludf.DUMMYFUNCTION("IF(OR($U420="""",COUNTIF($I:$I,IFERROR(unique(filter(Prod_Prop!$H:$H,Prod_Prop!$G:$G=$U420,Prod_Prop!$E:$E=AB$1)),""Check""))=0),"""",IFERROR(unique(filter(Prod_Prop!$H:$H,Prod_Prop!$G:$G=$U420,Prod_Prop!$E:$E=AB$1)),""""))"),"")</f>
        <v/>
      </c>
      <c r="AC420" s="4" t="str">
        <f>IF(AB420="","",SUMIFS(Prod_Prop!$J:$J,Prod_Prop!$B:$B,$Q420,Prod_Prop!$H:$H,AB420,Prod_Prop!$I:$I,AC$1)*IF(AB420="Peso",$R420,1))</f>
        <v/>
      </c>
      <c r="AD420" s="4" t="str">
        <f>IF(AB420="","",SUMIFS(Prod_Prop!$J:$J,Prod_Prop!$B:$B,$Q420,Prod_Prop!$H:$H,AB420,Prod_Prop!$I:$I,AD$1)*IF(AB420="Peso",$R420,1))</f>
        <v/>
      </c>
    </row>
    <row r="421">
      <c r="A421" s="4" t="str">
        <f t="array" ref="A421">IF(COUNTIF(A$1:A420,Cotizador!F$2)=maxifs(Familias!E:E,Familias!D:D,Cotizador!F$2),IF(COUNTIF(A$1:A420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1" s="4" t="str">
        <f t="shared" si="1"/>
        <v/>
      </c>
      <c r="C421" s="4" t="str">
        <f t="array" ref="C421">IF(B421="","",IF(A421=XLOOKUP(A$2,Implementos!B:B,Implementos!C:C,"",0,1),B421+maxifs(B$1:B420,A$1:A420,A$2),B421))</f>
        <v/>
      </c>
      <c r="D421" s="4" t="str">
        <f>IF(B421="","", COUNTIFS(Productos!F:F,A421,Productos!H:H,B421)+IF(F421="SI",0,1))</f>
        <v/>
      </c>
      <c r="E421" s="4" t="str">
        <f>IFERROR(__xludf.DUMMYFUNCTION("IF($B421="""","""",INDEX(filter(Familias!F:F,Familias!$D:$D=$A421,Familias!$E:$E=$B421),1))"),"")</f>
        <v/>
      </c>
      <c r="F421" s="4" t="str">
        <f>IFERROR(__xludf.DUMMYFUNCTION("IF($B421="""","""",INDEX(filter(Familias!G:G,Familias!$D:$D=$A421,Familias!$E:$E=$B421),1))"),"")</f>
        <v/>
      </c>
      <c r="G421" s="4" t="str">
        <f t="array" ref="G421">IF(C421=1,XLOOKUP(C421,Cotizador!D:D,Cotizador!E:E,"",0,1),"")</f>
        <v/>
      </c>
      <c r="I421" s="4"/>
      <c r="J421" s="8" t="str">
        <f>IF(I421="","",SUMIF(Cotizador!I$1:V$1,I421,Cotizador!I$2:V$2))</f>
        <v/>
      </c>
      <c r="L421" s="4" t="str">
        <f t="array" ref="L421">IF(COUNTIF(L$1:L420,A$2)=SUMIF(A:A,A$2,D:D),IF(COUNTIF(L$1:L420,XLOOKUP(A$2,Implementos!B:B,Implementos!C:C,"",0,1))=SUMIF(A:A,XLOOKUP(A$2,Implementos!B:B,Implementos!C:C,"",0,1),D:D),"",XLOOKUP(A$2,Implementos!B:B,Implementos!C:C,"",0,1)),A$2)</f>
        <v/>
      </c>
      <c r="M421" s="4" t="str">
        <f t="shared" si="2"/>
        <v/>
      </c>
      <c r="N421" s="4" t="str">
        <f t="shared" si="3"/>
        <v/>
      </c>
      <c r="O421" s="4" t="str">
        <f t="shared" si="4"/>
        <v/>
      </c>
      <c r="P421" s="4" t="str">
        <f t="shared" si="5"/>
        <v/>
      </c>
      <c r="Q421" s="4" t="str">
        <f>IF(U421="","",SUMIF(Productos!E:E,U421,Productos!A:A))</f>
        <v/>
      </c>
      <c r="R421" s="4" t="str">
        <f t="array" ref="R421">IF(L421="","", max(1,SUMIF(I:I,XLOOKUP(U421,Productos!E:E,Productos!G:G,"",0,1),J:J)))</f>
        <v/>
      </c>
      <c r="S421" s="4" t="str">
        <f>IF(Q421="","",IF(SUMIFS(Compat_Vetado!D:D,Compat_Vetado!B:B,SUM(G:G),Compat_Vetado!C:C,Q421)=1,"SI",IF(OR(SUMIF(Cotizador!E:E,Q421,Cotizador!G:G)&gt;0,SUMIFS(Compat_Vetado!D:D,Compat_Vetado!B:B,SUM(G:G),Compat_Vetado!C:C,Q421)=-1),"NO","")))</f>
        <v/>
      </c>
      <c r="T421" s="4" t="str">
        <f t="shared" si="6"/>
        <v/>
      </c>
      <c r="U421" s="4" t="str">
        <f>IFERROR(__xludf.DUMMYFUNCTION("IF(P421="""","""",IFERROR(INDEX(filter(Productos!E:E,Productos!F:F=L421,Productos!H:H=N421),P421),IF(M421=SUM(D:D),""Finalizar"",""-"")))"),"")</f>
        <v/>
      </c>
      <c r="V421" s="4" t="str">
        <f>IFERROR(__xludf.DUMMYFUNCTION("IF(OR($U421="""",COUNTIF($I:$I,IFERROR(unique(filter(Prod_Prop!$H:$H,Prod_Prop!$G:$G=$U421,Prod_Prop!$E:$E=V$1)),""Check""))=0),"""",IFERROR(unique(filter(Prod_Prop!$H:$H,Prod_Prop!$G:$G=$U421,Prod_Prop!$E:$E=V$1)),""""))"),"")</f>
        <v/>
      </c>
      <c r="W421" s="4" t="str">
        <f>IF(V421="","",SUMIFS(Prod_Prop!$J:$J,Prod_Prop!$B:$B,$Q421,Prod_Prop!$H:$H,V421,Prod_Prop!$I:$I,W$1)*IF(V421="Peso",$R421,1))</f>
        <v/>
      </c>
      <c r="X421" s="4" t="str">
        <f>IF(V421="","",SUMIFS(Prod_Prop!$J:$J,Prod_Prop!$B:$B,$Q421,Prod_Prop!$H:$H,V421,Prod_Prop!$I:$I,X$1)*IF(V421="Peso",$R421,1))</f>
        <v/>
      </c>
      <c r="Y421" s="4" t="str">
        <f>IFERROR(__xludf.DUMMYFUNCTION("IF(OR($U421="""",COUNTIF($I:$I,IFERROR(unique(filter(Prod_Prop!$H:$H,Prod_Prop!$G:$G=$U421,Prod_Prop!$E:$E=Y$1)),""Check""))=0),"""",IFERROR(unique(filter(Prod_Prop!$H:$H,Prod_Prop!$G:$G=$U421,Prod_Prop!$E:$E=Y$1)),""""))"),"")</f>
        <v/>
      </c>
      <c r="Z421" s="4" t="str">
        <f>IF(Y421="","",SUMIFS(Prod_Prop!$J:$J,Prod_Prop!$B:$B,$Q421,Prod_Prop!$H:$H,Y421,Prod_Prop!$I:$I,Z$1)*IF(Y421="Peso",$R421,1))</f>
        <v/>
      </c>
      <c r="AA421" s="4" t="str">
        <f>IF(Y421="","",SUMIFS(Prod_Prop!$J:$J,Prod_Prop!$B:$B,$Q421,Prod_Prop!$H:$H,Y421,Prod_Prop!$I:$I,AA$1)*IF(Y421="Peso",$R421,1))</f>
        <v/>
      </c>
      <c r="AB421" s="4" t="str">
        <f>IFERROR(__xludf.DUMMYFUNCTION("IF(OR($U421="""",COUNTIF($I:$I,IFERROR(unique(filter(Prod_Prop!$H:$H,Prod_Prop!$G:$G=$U421,Prod_Prop!$E:$E=AB$1)),""Check""))=0),"""",IFERROR(unique(filter(Prod_Prop!$H:$H,Prod_Prop!$G:$G=$U421,Prod_Prop!$E:$E=AB$1)),""""))"),"")</f>
        <v/>
      </c>
      <c r="AC421" s="4" t="str">
        <f>IF(AB421="","",SUMIFS(Prod_Prop!$J:$J,Prod_Prop!$B:$B,$Q421,Prod_Prop!$H:$H,AB421,Prod_Prop!$I:$I,AC$1)*IF(AB421="Peso",$R421,1))</f>
        <v/>
      </c>
      <c r="AD421" s="4" t="str">
        <f>IF(AB421="","",SUMIFS(Prod_Prop!$J:$J,Prod_Prop!$B:$B,$Q421,Prod_Prop!$H:$H,AB421,Prod_Prop!$I:$I,AD$1)*IF(AB421="Peso",$R421,1))</f>
        <v/>
      </c>
    </row>
    <row r="422">
      <c r="A422" s="4" t="str">
        <f t="array" ref="A422">IF(COUNTIF(A$1:A421,Cotizador!F$2)=maxifs(Familias!E:E,Familias!D:D,Cotizador!F$2),IF(COUNTIF(A$1:A421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2" s="4" t="str">
        <f t="shared" si="1"/>
        <v/>
      </c>
      <c r="C422" s="4" t="str">
        <f t="array" ref="C422">IF(B422="","",IF(A422=XLOOKUP(A$2,Implementos!B:B,Implementos!C:C,"",0,1),B422+maxifs(B$1:B421,A$1:A421,A$2),B422))</f>
        <v/>
      </c>
      <c r="D422" s="4" t="str">
        <f>IF(B422="","", COUNTIFS(Productos!F:F,A422,Productos!H:H,B422)+IF(F422="SI",0,1))</f>
        <v/>
      </c>
      <c r="E422" s="4" t="str">
        <f>IFERROR(__xludf.DUMMYFUNCTION("IF($B422="""","""",INDEX(filter(Familias!F:F,Familias!$D:$D=$A422,Familias!$E:$E=$B422),1))"),"")</f>
        <v/>
      </c>
      <c r="F422" s="4" t="str">
        <f>IFERROR(__xludf.DUMMYFUNCTION("IF($B422="""","""",INDEX(filter(Familias!G:G,Familias!$D:$D=$A422,Familias!$E:$E=$B422),1))"),"")</f>
        <v/>
      </c>
      <c r="G422" s="4" t="str">
        <f t="array" ref="G422">IF(C422=1,XLOOKUP(C422,Cotizador!D:D,Cotizador!E:E,"",0,1),"")</f>
        <v/>
      </c>
      <c r="I422" s="4"/>
      <c r="J422" s="8" t="str">
        <f>IF(I422="","",SUMIF(Cotizador!I$1:V$1,I422,Cotizador!I$2:V$2))</f>
        <v/>
      </c>
      <c r="L422" s="4" t="str">
        <f t="array" ref="L422">IF(COUNTIF(L$1:L421,A$2)=SUMIF(A:A,A$2,D:D),IF(COUNTIF(L$1:L421,XLOOKUP(A$2,Implementos!B:B,Implementos!C:C,"",0,1))=SUMIF(A:A,XLOOKUP(A$2,Implementos!B:B,Implementos!C:C,"",0,1),D:D),"",XLOOKUP(A$2,Implementos!B:B,Implementos!C:C,"",0,1)),A$2)</f>
        <v/>
      </c>
      <c r="M422" s="4" t="str">
        <f t="shared" si="2"/>
        <v/>
      </c>
      <c r="N422" s="4" t="str">
        <f t="shared" si="3"/>
        <v/>
      </c>
      <c r="O422" s="4" t="str">
        <f t="shared" si="4"/>
        <v/>
      </c>
      <c r="P422" s="4" t="str">
        <f t="shared" si="5"/>
        <v/>
      </c>
      <c r="Q422" s="4" t="str">
        <f>IF(U422="","",SUMIF(Productos!E:E,U422,Productos!A:A))</f>
        <v/>
      </c>
      <c r="R422" s="4" t="str">
        <f t="array" ref="R422">IF(L422="","", max(1,SUMIF(I:I,XLOOKUP(U422,Productos!E:E,Productos!G:G,"",0,1),J:J)))</f>
        <v/>
      </c>
      <c r="S422" s="4" t="str">
        <f>IF(Q422="","",IF(SUMIFS(Compat_Vetado!D:D,Compat_Vetado!B:B,SUM(G:G),Compat_Vetado!C:C,Q422)=1,"SI",IF(OR(SUMIF(Cotizador!E:E,Q422,Cotizador!G:G)&gt;0,SUMIFS(Compat_Vetado!D:D,Compat_Vetado!B:B,SUM(G:G),Compat_Vetado!C:C,Q422)=-1),"NO","")))</f>
        <v/>
      </c>
      <c r="T422" s="4" t="str">
        <f t="shared" si="6"/>
        <v/>
      </c>
      <c r="U422" s="4" t="str">
        <f>IFERROR(__xludf.DUMMYFUNCTION("IF(P422="""","""",IFERROR(INDEX(filter(Productos!E:E,Productos!F:F=L422,Productos!H:H=N422),P422),IF(M422=SUM(D:D),""Finalizar"",""-"")))"),"")</f>
        <v/>
      </c>
      <c r="V422" s="4" t="str">
        <f>IFERROR(__xludf.DUMMYFUNCTION("IF(OR($U422="""",COUNTIF($I:$I,IFERROR(unique(filter(Prod_Prop!$H:$H,Prod_Prop!$G:$G=$U422,Prod_Prop!$E:$E=V$1)),""Check""))=0),"""",IFERROR(unique(filter(Prod_Prop!$H:$H,Prod_Prop!$G:$G=$U422,Prod_Prop!$E:$E=V$1)),""""))"),"")</f>
        <v/>
      </c>
      <c r="W422" s="4" t="str">
        <f>IF(V422="","",SUMIFS(Prod_Prop!$J:$J,Prod_Prop!$B:$B,$Q422,Prod_Prop!$H:$H,V422,Prod_Prop!$I:$I,W$1)*IF(V422="Peso",$R422,1))</f>
        <v/>
      </c>
      <c r="X422" s="4" t="str">
        <f>IF(V422="","",SUMIFS(Prod_Prop!$J:$J,Prod_Prop!$B:$B,$Q422,Prod_Prop!$H:$H,V422,Prod_Prop!$I:$I,X$1)*IF(V422="Peso",$R422,1))</f>
        <v/>
      </c>
      <c r="Y422" s="4" t="str">
        <f>IFERROR(__xludf.DUMMYFUNCTION("IF(OR($U422="""",COUNTIF($I:$I,IFERROR(unique(filter(Prod_Prop!$H:$H,Prod_Prop!$G:$G=$U422,Prod_Prop!$E:$E=Y$1)),""Check""))=0),"""",IFERROR(unique(filter(Prod_Prop!$H:$H,Prod_Prop!$G:$G=$U422,Prod_Prop!$E:$E=Y$1)),""""))"),"")</f>
        <v/>
      </c>
      <c r="Z422" s="4" t="str">
        <f>IF(Y422="","",SUMIFS(Prod_Prop!$J:$J,Prod_Prop!$B:$B,$Q422,Prod_Prop!$H:$H,Y422,Prod_Prop!$I:$I,Z$1)*IF(Y422="Peso",$R422,1))</f>
        <v/>
      </c>
      <c r="AA422" s="4" t="str">
        <f>IF(Y422="","",SUMIFS(Prod_Prop!$J:$J,Prod_Prop!$B:$B,$Q422,Prod_Prop!$H:$H,Y422,Prod_Prop!$I:$I,AA$1)*IF(Y422="Peso",$R422,1))</f>
        <v/>
      </c>
      <c r="AB422" s="4" t="str">
        <f>IFERROR(__xludf.DUMMYFUNCTION("IF(OR($U422="""",COUNTIF($I:$I,IFERROR(unique(filter(Prod_Prop!$H:$H,Prod_Prop!$G:$G=$U422,Prod_Prop!$E:$E=AB$1)),""Check""))=0),"""",IFERROR(unique(filter(Prod_Prop!$H:$H,Prod_Prop!$G:$G=$U422,Prod_Prop!$E:$E=AB$1)),""""))"),"")</f>
        <v/>
      </c>
      <c r="AC422" s="4" t="str">
        <f>IF(AB422="","",SUMIFS(Prod_Prop!$J:$J,Prod_Prop!$B:$B,$Q422,Prod_Prop!$H:$H,AB422,Prod_Prop!$I:$I,AC$1)*IF(AB422="Peso",$R422,1))</f>
        <v/>
      </c>
      <c r="AD422" s="4" t="str">
        <f>IF(AB422="","",SUMIFS(Prod_Prop!$J:$J,Prod_Prop!$B:$B,$Q422,Prod_Prop!$H:$H,AB422,Prod_Prop!$I:$I,AD$1)*IF(AB422="Peso",$R422,1))</f>
        <v/>
      </c>
    </row>
    <row r="423">
      <c r="A423" s="4" t="str">
        <f t="array" ref="A423">IF(COUNTIF(A$1:A422,Cotizador!F$2)=maxifs(Familias!E:E,Familias!D:D,Cotizador!F$2),IF(COUNTIF(A$1:A422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3" s="4" t="str">
        <f t="shared" si="1"/>
        <v/>
      </c>
      <c r="C423" s="4" t="str">
        <f t="array" ref="C423">IF(B423="","",IF(A423=XLOOKUP(A$2,Implementos!B:B,Implementos!C:C,"",0,1),B423+maxifs(B$1:B422,A$1:A422,A$2),B423))</f>
        <v/>
      </c>
      <c r="D423" s="4" t="str">
        <f>IF(B423="","", COUNTIFS(Productos!F:F,A423,Productos!H:H,B423)+IF(F423="SI",0,1))</f>
        <v/>
      </c>
      <c r="E423" s="4" t="str">
        <f>IFERROR(__xludf.DUMMYFUNCTION("IF($B423="""","""",INDEX(filter(Familias!F:F,Familias!$D:$D=$A423,Familias!$E:$E=$B423),1))"),"")</f>
        <v/>
      </c>
      <c r="F423" s="4" t="str">
        <f>IFERROR(__xludf.DUMMYFUNCTION("IF($B423="""","""",INDEX(filter(Familias!G:G,Familias!$D:$D=$A423,Familias!$E:$E=$B423),1))"),"")</f>
        <v/>
      </c>
      <c r="G423" s="4" t="str">
        <f t="array" ref="G423">IF(C423=1,XLOOKUP(C423,Cotizador!D:D,Cotizador!E:E,"",0,1),"")</f>
        <v/>
      </c>
      <c r="I423" s="4"/>
      <c r="J423" s="8" t="str">
        <f>IF(I423="","",SUMIF(Cotizador!I$1:V$1,I423,Cotizador!I$2:V$2))</f>
        <v/>
      </c>
      <c r="L423" s="4" t="str">
        <f t="array" ref="L423">IF(COUNTIF(L$1:L422,A$2)=SUMIF(A:A,A$2,D:D),IF(COUNTIF(L$1:L422,XLOOKUP(A$2,Implementos!B:B,Implementos!C:C,"",0,1))=SUMIF(A:A,XLOOKUP(A$2,Implementos!B:B,Implementos!C:C,"",0,1),D:D),"",XLOOKUP(A$2,Implementos!B:B,Implementos!C:C,"",0,1)),A$2)</f>
        <v/>
      </c>
      <c r="M423" s="4" t="str">
        <f t="shared" si="2"/>
        <v/>
      </c>
      <c r="N423" s="4" t="str">
        <f t="shared" si="3"/>
        <v/>
      </c>
      <c r="O423" s="4" t="str">
        <f t="shared" si="4"/>
        <v/>
      </c>
      <c r="P423" s="4" t="str">
        <f t="shared" si="5"/>
        <v/>
      </c>
      <c r="Q423" s="4" t="str">
        <f>IF(U423="","",SUMIF(Productos!E:E,U423,Productos!A:A))</f>
        <v/>
      </c>
      <c r="R423" s="4" t="str">
        <f t="array" ref="R423">IF(L423="","", max(1,SUMIF(I:I,XLOOKUP(U423,Productos!E:E,Productos!G:G,"",0,1),J:J)))</f>
        <v/>
      </c>
      <c r="S423" s="4" t="str">
        <f>IF(Q423="","",IF(SUMIFS(Compat_Vetado!D:D,Compat_Vetado!B:B,SUM(G:G),Compat_Vetado!C:C,Q423)=1,"SI",IF(OR(SUMIF(Cotizador!E:E,Q423,Cotizador!G:G)&gt;0,SUMIFS(Compat_Vetado!D:D,Compat_Vetado!B:B,SUM(G:G),Compat_Vetado!C:C,Q423)=-1),"NO","")))</f>
        <v/>
      </c>
      <c r="T423" s="4" t="str">
        <f t="shared" si="6"/>
        <v/>
      </c>
      <c r="U423" s="4" t="str">
        <f>IFERROR(__xludf.DUMMYFUNCTION("IF(P423="""","""",IFERROR(INDEX(filter(Productos!E:E,Productos!F:F=L423,Productos!H:H=N423),P423),IF(M423=SUM(D:D),""Finalizar"",""-"")))"),"")</f>
        <v/>
      </c>
      <c r="V423" s="4" t="str">
        <f>IFERROR(__xludf.DUMMYFUNCTION("IF(OR($U423="""",COUNTIF($I:$I,IFERROR(unique(filter(Prod_Prop!$H:$H,Prod_Prop!$G:$G=$U423,Prod_Prop!$E:$E=V$1)),""Check""))=0),"""",IFERROR(unique(filter(Prod_Prop!$H:$H,Prod_Prop!$G:$G=$U423,Prod_Prop!$E:$E=V$1)),""""))"),"")</f>
        <v/>
      </c>
      <c r="W423" s="4" t="str">
        <f>IF(V423="","",SUMIFS(Prod_Prop!$J:$J,Prod_Prop!$B:$B,$Q423,Prod_Prop!$H:$H,V423,Prod_Prop!$I:$I,W$1)*IF(V423="Peso",$R423,1))</f>
        <v/>
      </c>
      <c r="X423" s="4" t="str">
        <f>IF(V423="","",SUMIFS(Prod_Prop!$J:$J,Prod_Prop!$B:$B,$Q423,Prod_Prop!$H:$H,V423,Prod_Prop!$I:$I,X$1)*IF(V423="Peso",$R423,1))</f>
        <v/>
      </c>
      <c r="Y423" s="4" t="str">
        <f>IFERROR(__xludf.DUMMYFUNCTION("IF(OR($U423="""",COUNTIF($I:$I,IFERROR(unique(filter(Prod_Prop!$H:$H,Prod_Prop!$G:$G=$U423,Prod_Prop!$E:$E=Y$1)),""Check""))=0),"""",IFERROR(unique(filter(Prod_Prop!$H:$H,Prod_Prop!$G:$G=$U423,Prod_Prop!$E:$E=Y$1)),""""))"),"")</f>
        <v/>
      </c>
      <c r="Z423" s="4" t="str">
        <f>IF(Y423="","",SUMIFS(Prod_Prop!$J:$J,Prod_Prop!$B:$B,$Q423,Prod_Prop!$H:$H,Y423,Prod_Prop!$I:$I,Z$1)*IF(Y423="Peso",$R423,1))</f>
        <v/>
      </c>
      <c r="AA423" s="4" t="str">
        <f>IF(Y423="","",SUMIFS(Prod_Prop!$J:$J,Prod_Prop!$B:$B,$Q423,Prod_Prop!$H:$H,Y423,Prod_Prop!$I:$I,AA$1)*IF(Y423="Peso",$R423,1))</f>
        <v/>
      </c>
      <c r="AB423" s="4" t="str">
        <f>IFERROR(__xludf.DUMMYFUNCTION("IF(OR($U423="""",COUNTIF($I:$I,IFERROR(unique(filter(Prod_Prop!$H:$H,Prod_Prop!$G:$G=$U423,Prod_Prop!$E:$E=AB$1)),""Check""))=0),"""",IFERROR(unique(filter(Prod_Prop!$H:$H,Prod_Prop!$G:$G=$U423,Prod_Prop!$E:$E=AB$1)),""""))"),"")</f>
        <v/>
      </c>
      <c r="AC423" s="4" t="str">
        <f>IF(AB423="","",SUMIFS(Prod_Prop!$J:$J,Prod_Prop!$B:$B,$Q423,Prod_Prop!$H:$H,AB423,Prod_Prop!$I:$I,AC$1)*IF(AB423="Peso",$R423,1))</f>
        <v/>
      </c>
      <c r="AD423" s="4" t="str">
        <f>IF(AB423="","",SUMIFS(Prod_Prop!$J:$J,Prod_Prop!$B:$B,$Q423,Prod_Prop!$H:$H,AB423,Prod_Prop!$I:$I,AD$1)*IF(AB423="Peso",$R423,1))</f>
        <v/>
      </c>
    </row>
    <row r="424">
      <c r="A424" s="4" t="str">
        <f t="array" ref="A424">IF(COUNTIF(A$1:A423,Cotizador!F$2)=maxifs(Familias!E:E,Familias!D:D,Cotizador!F$2),IF(COUNTIF(A$1:A423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4" s="4" t="str">
        <f t="shared" si="1"/>
        <v/>
      </c>
      <c r="C424" s="4" t="str">
        <f t="array" ref="C424">IF(B424="","",IF(A424=XLOOKUP(A$2,Implementos!B:B,Implementos!C:C,"",0,1),B424+maxifs(B$1:B423,A$1:A423,A$2),B424))</f>
        <v/>
      </c>
      <c r="D424" s="4" t="str">
        <f>IF(B424="","", COUNTIFS(Productos!F:F,A424,Productos!H:H,B424)+IF(F424="SI",0,1))</f>
        <v/>
      </c>
      <c r="E424" s="4" t="str">
        <f>IFERROR(__xludf.DUMMYFUNCTION("IF($B424="""","""",INDEX(filter(Familias!F:F,Familias!$D:$D=$A424,Familias!$E:$E=$B424),1))"),"")</f>
        <v/>
      </c>
      <c r="F424" s="4" t="str">
        <f>IFERROR(__xludf.DUMMYFUNCTION("IF($B424="""","""",INDEX(filter(Familias!G:G,Familias!$D:$D=$A424,Familias!$E:$E=$B424),1))"),"")</f>
        <v/>
      </c>
      <c r="G424" s="4" t="str">
        <f t="array" ref="G424">IF(C424=1,XLOOKUP(C424,Cotizador!D:D,Cotizador!E:E,"",0,1),"")</f>
        <v/>
      </c>
      <c r="I424" s="4"/>
      <c r="J424" s="8" t="str">
        <f>IF(I424="","",SUMIF(Cotizador!I$1:V$1,I424,Cotizador!I$2:V$2))</f>
        <v/>
      </c>
      <c r="L424" s="4" t="str">
        <f t="array" ref="L424">IF(COUNTIF(L$1:L423,A$2)=SUMIF(A:A,A$2,D:D),IF(COUNTIF(L$1:L423,XLOOKUP(A$2,Implementos!B:B,Implementos!C:C,"",0,1))=SUMIF(A:A,XLOOKUP(A$2,Implementos!B:B,Implementos!C:C,"",0,1),D:D),"",XLOOKUP(A$2,Implementos!B:B,Implementos!C:C,"",0,1)),A$2)</f>
        <v/>
      </c>
      <c r="M424" s="4" t="str">
        <f t="shared" si="2"/>
        <v/>
      </c>
      <c r="N424" s="4" t="str">
        <f t="shared" si="3"/>
        <v/>
      </c>
      <c r="O424" s="4" t="str">
        <f t="shared" si="4"/>
        <v/>
      </c>
      <c r="P424" s="4" t="str">
        <f t="shared" si="5"/>
        <v/>
      </c>
      <c r="Q424" s="4" t="str">
        <f>IF(U424="","",SUMIF(Productos!E:E,U424,Productos!A:A))</f>
        <v/>
      </c>
      <c r="R424" s="4" t="str">
        <f t="array" ref="R424">IF(L424="","", max(1,SUMIF(I:I,XLOOKUP(U424,Productos!E:E,Productos!G:G,"",0,1),J:J)))</f>
        <v/>
      </c>
      <c r="S424" s="4" t="str">
        <f>IF(Q424="","",IF(SUMIFS(Compat_Vetado!D:D,Compat_Vetado!B:B,SUM(G:G),Compat_Vetado!C:C,Q424)=1,"SI",IF(OR(SUMIF(Cotizador!E:E,Q424,Cotizador!G:G)&gt;0,SUMIFS(Compat_Vetado!D:D,Compat_Vetado!B:B,SUM(G:G),Compat_Vetado!C:C,Q424)=-1),"NO","")))</f>
        <v/>
      </c>
      <c r="T424" s="4" t="str">
        <f t="shared" si="6"/>
        <v/>
      </c>
      <c r="U424" s="4" t="str">
        <f>IFERROR(__xludf.DUMMYFUNCTION("IF(P424="""","""",IFERROR(INDEX(filter(Productos!E:E,Productos!F:F=L424,Productos!H:H=N424),P424),IF(M424=SUM(D:D),""Finalizar"",""-"")))"),"")</f>
        <v/>
      </c>
      <c r="V424" s="4" t="str">
        <f>IFERROR(__xludf.DUMMYFUNCTION("IF(OR($U424="""",COUNTIF($I:$I,IFERROR(unique(filter(Prod_Prop!$H:$H,Prod_Prop!$G:$G=$U424,Prod_Prop!$E:$E=V$1)),""Check""))=0),"""",IFERROR(unique(filter(Prod_Prop!$H:$H,Prod_Prop!$G:$G=$U424,Prod_Prop!$E:$E=V$1)),""""))"),"")</f>
        <v/>
      </c>
      <c r="W424" s="4" t="str">
        <f>IF(V424="","",SUMIFS(Prod_Prop!$J:$J,Prod_Prop!$B:$B,$Q424,Prod_Prop!$H:$H,V424,Prod_Prop!$I:$I,W$1)*IF(V424="Peso",$R424,1))</f>
        <v/>
      </c>
      <c r="X424" s="4" t="str">
        <f>IF(V424="","",SUMIFS(Prod_Prop!$J:$J,Prod_Prop!$B:$B,$Q424,Prod_Prop!$H:$H,V424,Prod_Prop!$I:$I,X$1)*IF(V424="Peso",$R424,1))</f>
        <v/>
      </c>
      <c r="Y424" s="4" t="str">
        <f>IFERROR(__xludf.DUMMYFUNCTION("IF(OR($U424="""",COUNTIF($I:$I,IFERROR(unique(filter(Prod_Prop!$H:$H,Prod_Prop!$G:$G=$U424,Prod_Prop!$E:$E=Y$1)),""Check""))=0),"""",IFERROR(unique(filter(Prod_Prop!$H:$H,Prod_Prop!$G:$G=$U424,Prod_Prop!$E:$E=Y$1)),""""))"),"")</f>
        <v/>
      </c>
      <c r="Z424" s="4" t="str">
        <f>IF(Y424="","",SUMIFS(Prod_Prop!$J:$J,Prod_Prop!$B:$B,$Q424,Prod_Prop!$H:$H,Y424,Prod_Prop!$I:$I,Z$1)*IF(Y424="Peso",$R424,1))</f>
        <v/>
      </c>
      <c r="AA424" s="4" t="str">
        <f>IF(Y424="","",SUMIFS(Prod_Prop!$J:$J,Prod_Prop!$B:$B,$Q424,Prod_Prop!$H:$H,Y424,Prod_Prop!$I:$I,AA$1)*IF(Y424="Peso",$R424,1))</f>
        <v/>
      </c>
      <c r="AB424" s="4" t="str">
        <f>IFERROR(__xludf.DUMMYFUNCTION("IF(OR($U424="""",COUNTIF($I:$I,IFERROR(unique(filter(Prod_Prop!$H:$H,Prod_Prop!$G:$G=$U424,Prod_Prop!$E:$E=AB$1)),""Check""))=0),"""",IFERROR(unique(filter(Prod_Prop!$H:$H,Prod_Prop!$G:$G=$U424,Prod_Prop!$E:$E=AB$1)),""""))"),"")</f>
        <v/>
      </c>
      <c r="AC424" s="4" t="str">
        <f>IF(AB424="","",SUMIFS(Prod_Prop!$J:$J,Prod_Prop!$B:$B,$Q424,Prod_Prop!$H:$H,AB424,Prod_Prop!$I:$I,AC$1)*IF(AB424="Peso",$R424,1))</f>
        <v/>
      </c>
      <c r="AD424" s="4" t="str">
        <f>IF(AB424="","",SUMIFS(Prod_Prop!$J:$J,Prod_Prop!$B:$B,$Q424,Prod_Prop!$H:$H,AB424,Prod_Prop!$I:$I,AD$1)*IF(AB424="Peso",$R424,1))</f>
        <v/>
      </c>
    </row>
    <row r="425">
      <c r="A425" s="4" t="str">
        <f t="array" ref="A425">IF(COUNTIF(A$1:A424,Cotizador!F$2)=maxifs(Familias!E:E,Familias!D:D,Cotizador!F$2),IF(COUNTIF(A$1:A424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5" s="4" t="str">
        <f t="shared" si="1"/>
        <v/>
      </c>
      <c r="C425" s="4" t="str">
        <f t="array" ref="C425">IF(B425="","",IF(A425=XLOOKUP(A$2,Implementos!B:B,Implementos!C:C,"",0,1),B425+maxifs(B$1:B424,A$1:A424,A$2),B425))</f>
        <v/>
      </c>
      <c r="D425" s="4" t="str">
        <f>IF(B425="","", COUNTIFS(Productos!F:F,A425,Productos!H:H,B425)+IF(F425="SI",0,1))</f>
        <v/>
      </c>
      <c r="E425" s="4" t="str">
        <f>IFERROR(__xludf.DUMMYFUNCTION("IF($B425="""","""",INDEX(filter(Familias!F:F,Familias!$D:$D=$A425,Familias!$E:$E=$B425),1))"),"")</f>
        <v/>
      </c>
      <c r="F425" s="4" t="str">
        <f>IFERROR(__xludf.DUMMYFUNCTION("IF($B425="""","""",INDEX(filter(Familias!G:G,Familias!$D:$D=$A425,Familias!$E:$E=$B425),1))"),"")</f>
        <v/>
      </c>
      <c r="G425" s="4" t="str">
        <f t="array" ref="G425">IF(C425=1,XLOOKUP(C425,Cotizador!D:D,Cotizador!E:E,"",0,1),"")</f>
        <v/>
      </c>
      <c r="I425" s="4"/>
      <c r="J425" s="8" t="str">
        <f>IF(I425="","",SUMIF(Cotizador!I$1:V$1,I425,Cotizador!I$2:V$2))</f>
        <v/>
      </c>
      <c r="L425" s="4" t="str">
        <f t="array" ref="L425">IF(COUNTIF(L$1:L424,A$2)=SUMIF(A:A,A$2,D:D),IF(COUNTIF(L$1:L424,XLOOKUP(A$2,Implementos!B:B,Implementos!C:C,"",0,1))=SUMIF(A:A,XLOOKUP(A$2,Implementos!B:B,Implementos!C:C,"",0,1),D:D),"",XLOOKUP(A$2,Implementos!B:B,Implementos!C:C,"",0,1)),A$2)</f>
        <v/>
      </c>
      <c r="M425" s="4" t="str">
        <f t="shared" si="2"/>
        <v/>
      </c>
      <c r="N425" s="4" t="str">
        <f t="shared" si="3"/>
        <v/>
      </c>
      <c r="O425" s="4" t="str">
        <f t="shared" si="4"/>
        <v/>
      </c>
      <c r="P425" s="4" t="str">
        <f t="shared" si="5"/>
        <v/>
      </c>
      <c r="Q425" s="4" t="str">
        <f>IF(U425="","",SUMIF(Productos!E:E,U425,Productos!A:A))</f>
        <v/>
      </c>
      <c r="R425" s="4" t="str">
        <f t="array" ref="R425">IF(L425="","", max(1,SUMIF(I:I,XLOOKUP(U425,Productos!E:E,Productos!G:G,"",0,1),J:J)))</f>
        <v/>
      </c>
      <c r="S425" s="4" t="str">
        <f>IF(Q425="","",IF(SUMIFS(Compat_Vetado!D:D,Compat_Vetado!B:B,SUM(G:G),Compat_Vetado!C:C,Q425)=1,"SI",IF(OR(SUMIF(Cotizador!E:E,Q425,Cotizador!G:G)&gt;0,SUMIFS(Compat_Vetado!D:D,Compat_Vetado!B:B,SUM(G:G),Compat_Vetado!C:C,Q425)=-1),"NO","")))</f>
        <v/>
      </c>
      <c r="T425" s="4" t="str">
        <f t="shared" si="6"/>
        <v/>
      </c>
      <c r="U425" s="4" t="str">
        <f>IFERROR(__xludf.DUMMYFUNCTION("IF(P425="""","""",IFERROR(INDEX(filter(Productos!E:E,Productos!F:F=L425,Productos!H:H=N425),P425),IF(M425=SUM(D:D),""Finalizar"",""-"")))"),"")</f>
        <v/>
      </c>
      <c r="V425" s="4" t="str">
        <f>IFERROR(__xludf.DUMMYFUNCTION("IF(OR($U425="""",COUNTIF($I:$I,IFERROR(unique(filter(Prod_Prop!$H:$H,Prod_Prop!$G:$G=$U425,Prod_Prop!$E:$E=V$1)),""Check""))=0),"""",IFERROR(unique(filter(Prod_Prop!$H:$H,Prod_Prop!$G:$G=$U425,Prod_Prop!$E:$E=V$1)),""""))"),"")</f>
        <v/>
      </c>
      <c r="W425" s="4" t="str">
        <f>IF(V425="","",SUMIFS(Prod_Prop!$J:$J,Prod_Prop!$B:$B,$Q425,Prod_Prop!$H:$H,V425,Prod_Prop!$I:$I,W$1)*IF(V425="Peso",$R425,1))</f>
        <v/>
      </c>
      <c r="X425" s="4" t="str">
        <f>IF(V425="","",SUMIFS(Prod_Prop!$J:$J,Prod_Prop!$B:$B,$Q425,Prod_Prop!$H:$H,V425,Prod_Prop!$I:$I,X$1)*IF(V425="Peso",$R425,1))</f>
        <v/>
      </c>
      <c r="Y425" s="4" t="str">
        <f>IFERROR(__xludf.DUMMYFUNCTION("IF(OR($U425="""",COUNTIF($I:$I,IFERROR(unique(filter(Prod_Prop!$H:$H,Prod_Prop!$G:$G=$U425,Prod_Prop!$E:$E=Y$1)),""Check""))=0),"""",IFERROR(unique(filter(Prod_Prop!$H:$H,Prod_Prop!$G:$G=$U425,Prod_Prop!$E:$E=Y$1)),""""))"),"")</f>
        <v/>
      </c>
      <c r="Z425" s="4" t="str">
        <f>IF(Y425="","",SUMIFS(Prod_Prop!$J:$J,Prod_Prop!$B:$B,$Q425,Prod_Prop!$H:$H,Y425,Prod_Prop!$I:$I,Z$1)*IF(Y425="Peso",$R425,1))</f>
        <v/>
      </c>
      <c r="AA425" s="4" t="str">
        <f>IF(Y425="","",SUMIFS(Prod_Prop!$J:$J,Prod_Prop!$B:$B,$Q425,Prod_Prop!$H:$H,Y425,Prod_Prop!$I:$I,AA$1)*IF(Y425="Peso",$R425,1))</f>
        <v/>
      </c>
      <c r="AB425" s="4" t="str">
        <f>IFERROR(__xludf.DUMMYFUNCTION("IF(OR($U425="""",COUNTIF($I:$I,IFERROR(unique(filter(Prod_Prop!$H:$H,Prod_Prop!$G:$G=$U425,Prod_Prop!$E:$E=AB$1)),""Check""))=0),"""",IFERROR(unique(filter(Prod_Prop!$H:$H,Prod_Prop!$G:$G=$U425,Prod_Prop!$E:$E=AB$1)),""""))"),"")</f>
        <v/>
      </c>
      <c r="AC425" s="4" t="str">
        <f>IF(AB425="","",SUMIFS(Prod_Prop!$J:$J,Prod_Prop!$B:$B,$Q425,Prod_Prop!$H:$H,AB425,Prod_Prop!$I:$I,AC$1)*IF(AB425="Peso",$R425,1))</f>
        <v/>
      </c>
      <c r="AD425" s="4" t="str">
        <f>IF(AB425="","",SUMIFS(Prod_Prop!$J:$J,Prod_Prop!$B:$B,$Q425,Prod_Prop!$H:$H,AB425,Prod_Prop!$I:$I,AD$1)*IF(AB425="Peso",$R425,1))</f>
        <v/>
      </c>
    </row>
    <row r="426">
      <c r="A426" s="4" t="str">
        <f t="array" ref="A426">IF(COUNTIF(A$1:A425,Cotizador!F$2)=maxifs(Familias!E:E,Familias!D:D,Cotizador!F$2),IF(COUNTIF(A$1:A425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6" s="4" t="str">
        <f t="shared" si="1"/>
        <v/>
      </c>
      <c r="C426" s="4" t="str">
        <f t="array" ref="C426">IF(B426="","",IF(A426=XLOOKUP(A$2,Implementos!B:B,Implementos!C:C,"",0,1),B426+maxifs(B$1:B425,A$1:A425,A$2),B426))</f>
        <v/>
      </c>
      <c r="D426" s="4" t="str">
        <f>IF(B426="","", COUNTIFS(Productos!F:F,A426,Productos!H:H,B426)+IF(F426="SI",0,1))</f>
        <v/>
      </c>
      <c r="E426" s="4" t="str">
        <f>IFERROR(__xludf.DUMMYFUNCTION("IF($B426="""","""",INDEX(filter(Familias!F:F,Familias!$D:$D=$A426,Familias!$E:$E=$B426),1))"),"")</f>
        <v/>
      </c>
      <c r="F426" s="4" t="str">
        <f>IFERROR(__xludf.DUMMYFUNCTION("IF($B426="""","""",INDEX(filter(Familias!G:G,Familias!$D:$D=$A426,Familias!$E:$E=$B426),1))"),"")</f>
        <v/>
      </c>
      <c r="G426" s="4" t="str">
        <f t="array" ref="G426">IF(C426=1,XLOOKUP(C426,Cotizador!D:D,Cotizador!E:E,"",0,1),"")</f>
        <v/>
      </c>
      <c r="I426" s="4"/>
      <c r="J426" s="8" t="str">
        <f>IF(I426="","",SUMIF(Cotizador!I$1:V$1,I426,Cotizador!I$2:V$2))</f>
        <v/>
      </c>
      <c r="L426" s="4" t="str">
        <f t="array" ref="L426">IF(COUNTIF(L$1:L425,A$2)=SUMIF(A:A,A$2,D:D),IF(COUNTIF(L$1:L425,XLOOKUP(A$2,Implementos!B:B,Implementos!C:C,"",0,1))=SUMIF(A:A,XLOOKUP(A$2,Implementos!B:B,Implementos!C:C,"",0,1),D:D),"",XLOOKUP(A$2,Implementos!B:B,Implementos!C:C,"",0,1)),A$2)</f>
        <v/>
      </c>
      <c r="M426" s="4" t="str">
        <f t="shared" si="2"/>
        <v/>
      </c>
      <c r="N426" s="4" t="str">
        <f t="shared" si="3"/>
        <v/>
      </c>
      <c r="O426" s="4" t="str">
        <f t="shared" si="4"/>
        <v/>
      </c>
      <c r="P426" s="4" t="str">
        <f t="shared" si="5"/>
        <v/>
      </c>
      <c r="Q426" s="4" t="str">
        <f>IF(U426="","",SUMIF(Productos!E:E,U426,Productos!A:A))</f>
        <v/>
      </c>
      <c r="R426" s="4" t="str">
        <f t="array" ref="R426">IF(L426="","", max(1,SUMIF(I:I,XLOOKUP(U426,Productos!E:E,Productos!G:G,"",0,1),J:J)))</f>
        <v/>
      </c>
      <c r="S426" s="4" t="str">
        <f>IF(Q426="","",IF(SUMIFS(Compat_Vetado!D:D,Compat_Vetado!B:B,SUM(G:G),Compat_Vetado!C:C,Q426)=1,"SI",IF(OR(SUMIF(Cotizador!E:E,Q426,Cotizador!G:G)&gt;0,SUMIFS(Compat_Vetado!D:D,Compat_Vetado!B:B,SUM(G:G),Compat_Vetado!C:C,Q426)=-1),"NO","")))</f>
        <v/>
      </c>
      <c r="T426" s="4" t="str">
        <f t="shared" si="6"/>
        <v/>
      </c>
      <c r="U426" s="4" t="str">
        <f>IFERROR(__xludf.DUMMYFUNCTION("IF(P426="""","""",IFERROR(INDEX(filter(Productos!E:E,Productos!F:F=L426,Productos!H:H=N426),P426),IF(M426=SUM(D:D),""Finalizar"",""-"")))"),"")</f>
        <v/>
      </c>
      <c r="V426" s="4" t="str">
        <f>IFERROR(__xludf.DUMMYFUNCTION("IF(OR($U426="""",COUNTIF($I:$I,IFERROR(unique(filter(Prod_Prop!$H:$H,Prod_Prop!$G:$G=$U426,Prod_Prop!$E:$E=V$1)),""Check""))=0),"""",IFERROR(unique(filter(Prod_Prop!$H:$H,Prod_Prop!$G:$G=$U426,Prod_Prop!$E:$E=V$1)),""""))"),"")</f>
        <v/>
      </c>
      <c r="W426" s="4" t="str">
        <f>IF(V426="","",SUMIFS(Prod_Prop!$J:$J,Prod_Prop!$B:$B,$Q426,Prod_Prop!$H:$H,V426,Prod_Prop!$I:$I,W$1)*IF(V426="Peso",$R426,1))</f>
        <v/>
      </c>
      <c r="X426" s="4" t="str">
        <f>IF(V426="","",SUMIFS(Prod_Prop!$J:$J,Prod_Prop!$B:$B,$Q426,Prod_Prop!$H:$H,V426,Prod_Prop!$I:$I,X$1)*IF(V426="Peso",$R426,1))</f>
        <v/>
      </c>
      <c r="Y426" s="4" t="str">
        <f>IFERROR(__xludf.DUMMYFUNCTION("IF(OR($U426="""",COUNTIF($I:$I,IFERROR(unique(filter(Prod_Prop!$H:$H,Prod_Prop!$G:$G=$U426,Prod_Prop!$E:$E=Y$1)),""Check""))=0),"""",IFERROR(unique(filter(Prod_Prop!$H:$H,Prod_Prop!$G:$G=$U426,Prod_Prop!$E:$E=Y$1)),""""))"),"")</f>
        <v/>
      </c>
      <c r="Z426" s="4" t="str">
        <f>IF(Y426="","",SUMIFS(Prod_Prop!$J:$J,Prod_Prop!$B:$B,$Q426,Prod_Prop!$H:$H,Y426,Prod_Prop!$I:$I,Z$1)*IF(Y426="Peso",$R426,1))</f>
        <v/>
      </c>
      <c r="AA426" s="4" t="str">
        <f>IF(Y426="","",SUMIFS(Prod_Prop!$J:$J,Prod_Prop!$B:$B,$Q426,Prod_Prop!$H:$H,Y426,Prod_Prop!$I:$I,AA$1)*IF(Y426="Peso",$R426,1))</f>
        <v/>
      </c>
      <c r="AB426" s="4" t="str">
        <f>IFERROR(__xludf.DUMMYFUNCTION("IF(OR($U426="""",COUNTIF($I:$I,IFERROR(unique(filter(Prod_Prop!$H:$H,Prod_Prop!$G:$G=$U426,Prod_Prop!$E:$E=AB$1)),""Check""))=0),"""",IFERROR(unique(filter(Prod_Prop!$H:$H,Prod_Prop!$G:$G=$U426,Prod_Prop!$E:$E=AB$1)),""""))"),"")</f>
        <v/>
      </c>
      <c r="AC426" s="4" t="str">
        <f>IF(AB426="","",SUMIFS(Prod_Prop!$J:$J,Prod_Prop!$B:$B,$Q426,Prod_Prop!$H:$H,AB426,Prod_Prop!$I:$I,AC$1)*IF(AB426="Peso",$R426,1))</f>
        <v/>
      </c>
      <c r="AD426" s="4" t="str">
        <f>IF(AB426="","",SUMIFS(Prod_Prop!$J:$J,Prod_Prop!$B:$B,$Q426,Prod_Prop!$H:$H,AB426,Prod_Prop!$I:$I,AD$1)*IF(AB426="Peso",$R426,1))</f>
        <v/>
      </c>
    </row>
    <row r="427">
      <c r="A427" s="4" t="str">
        <f t="array" ref="A427">IF(COUNTIF(A$1:A426,Cotizador!F$2)=maxifs(Familias!E:E,Familias!D:D,Cotizador!F$2),IF(COUNTIF(A$1:A426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7" s="4" t="str">
        <f t="shared" si="1"/>
        <v/>
      </c>
      <c r="C427" s="4" t="str">
        <f t="array" ref="C427">IF(B427="","",IF(A427=XLOOKUP(A$2,Implementos!B:B,Implementos!C:C,"",0,1),B427+maxifs(B$1:B426,A$1:A426,A$2),B427))</f>
        <v/>
      </c>
      <c r="D427" s="4" t="str">
        <f>IF(B427="","", COUNTIFS(Productos!F:F,A427,Productos!H:H,B427)+IF(F427="SI",0,1))</f>
        <v/>
      </c>
      <c r="E427" s="4" t="str">
        <f>IFERROR(__xludf.DUMMYFUNCTION("IF($B427="""","""",INDEX(filter(Familias!F:F,Familias!$D:$D=$A427,Familias!$E:$E=$B427),1))"),"")</f>
        <v/>
      </c>
      <c r="F427" s="4" t="str">
        <f>IFERROR(__xludf.DUMMYFUNCTION("IF($B427="""","""",INDEX(filter(Familias!G:G,Familias!$D:$D=$A427,Familias!$E:$E=$B427),1))"),"")</f>
        <v/>
      </c>
      <c r="G427" s="4" t="str">
        <f t="array" ref="G427">IF(C427=1,XLOOKUP(C427,Cotizador!D:D,Cotizador!E:E,"",0,1),"")</f>
        <v/>
      </c>
      <c r="I427" s="4"/>
      <c r="J427" s="8" t="str">
        <f>IF(I427="","",SUMIF(Cotizador!I$1:V$1,I427,Cotizador!I$2:V$2))</f>
        <v/>
      </c>
      <c r="L427" s="4" t="str">
        <f t="array" ref="L427">IF(COUNTIF(L$1:L426,A$2)=SUMIF(A:A,A$2,D:D),IF(COUNTIF(L$1:L426,XLOOKUP(A$2,Implementos!B:B,Implementos!C:C,"",0,1))=SUMIF(A:A,XLOOKUP(A$2,Implementos!B:B,Implementos!C:C,"",0,1),D:D),"",XLOOKUP(A$2,Implementos!B:B,Implementos!C:C,"",0,1)),A$2)</f>
        <v/>
      </c>
      <c r="M427" s="4" t="str">
        <f t="shared" si="2"/>
        <v/>
      </c>
      <c r="N427" s="4" t="str">
        <f t="shared" si="3"/>
        <v/>
      </c>
      <c r="O427" s="4" t="str">
        <f t="shared" si="4"/>
        <v/>
      </c>
      <c r="P427" s="4" t="str">
        <f t="shared" si="5"/>
        <v/>
      </c>
      <c r="Q427" s="4" t="str">
        <f>IF(U427="","",SUMIF(Productos!E:E,U427,Productos!A:A))</f>
        <v/>
      </c>
      <c r="R427" s="4" t="str">
        <f t="array" ref="R427">IF(L427="","", max(1,SUMIF(I:I,XLOOKUP(U427,Productos!E:E,Productos!G:G,"",0,1),J:J)))</f>
        <v/>
      </c>
      <c r="S427" s="4" t="str">
        <f>IF(Q427="","",IF(SUMIFS(Compat_Vetado!D:D,Compat_Vetado!B:B,SUM(G:G),Compat_Vetado!C:C,Q427)=1,"SI",IF(OR(SUMIF(Cotizador!E:E,Q427,Cotizador!G:G)&gt;0,SUMIFS(Compat_Vetado!D:D,Compat_Vetado!B:B,SUM(G:G),Compat_Vetado!C:C,Q427)=-1),"NO","")))</f>
        <v/>
      </c>
      <c r="T427" s="4" t="str">
        <f t="shared" si="6"/>
        <v/>
      </c>
      <c r="U427" s="4" t="str">
        <f>IFERROR(__xludf.DUMMYFUNCTION("IF(P427="""","""",IFERROR(INDEX(filter(Productos!E:E,Productos!F:F=L427,Productos!H:H=N427),P427),IF(M427=SUM(D:D),""Finalizar"",""-"")))"),"")</f>
        <v/>
      </c>
      <c r="V427" s="4" t="str">
        <f>IFERROR(__xludf.DUMMYFUNCTION("IF(OR($U427="""",COUNTIF($I:$I,IFERROR(unique(filter(Prod_Prop!$H:$H,Prod_Prop!$G:$G=$U427,Prod_Prop!$E:$E=V$1)),""Check""))=0),"""",IFERROR(unique(filter(Prod_Prop!$H:$H,Prod_Prop!$G:$G=$U427,Prod_Prop!$E:$E=V$1)),""""))"),"")</f>
        <v/>
      </c>
      <c r="W427" s="4" t="str">
        <f>IF(V427="","",SUMIFS(Prod_Prop!$J:$J,Prod_Prop!$B:$B,$Q427,Prod_Prop!$H:$H,V427,Prod_Prop!$I:$I,W$1)*IF(V427="Peso",$R427,1))</f>
        <v/>
      </c>
      <c r="X427" s="4" t="str">
        <f>IF(V427="","",SUMIFS(Prod_Prop!$J:$J,Prod_Prop!$B:$B,$Q427,Prod_Prop!$H:$H,V427,Prod_Prop!$I:$I,X$1)*IF(V427="Peso",$R427,1))</f>
        <v/>
      </c>
      <c r="Y427" s="4" t="str">
        <f>IFERROR(__xludf.DUMMYFUNCTION("IF(OR($U427="""",COUNTIF($I:$I,IFERROR(unique(filter(Prod_Prop!$H:$H,Prod_Prop!$G:$G=$U427,Prod_Prop!$E:$E=Y$1)),""Check""))=0),"""",IFERROR(unique(filter(Prod_Prop!$H:$H,Prod_Prop!$G:$G=$U427,Prod_Prop!$E:$E=Y$1)),""""))"),"")</f>
        <v/>
      </c>
      <c r="Z427" s="4" t="str">
        <f>IF(Y427="","",SUMIFS(Prod_Prop!$J:$J,Prod_Prop!$B:$B,$Q427,Prod_Prop!$H:$H,Y427,Prod_Prop!$I:$I,Z$1)*IF(Y427="Peso",$R427,1))</f>
        <v/>
      </c>
      <c r="AA427" s="4" t="str">
        <f>IF(Y427="","",SUMIFS(Prod_Prop!$J:$J,Prod_Prop!$B:$B,$Q427,Prod_Prop!$H:$H,Y427,Prod_Prop!$I:$I,AA$1)*IF(Y427="Peso",$R427,1))</f>
        <v/>
      </c>
      <c r="AB427" s="4" t="str">
        <f>IFERROR(__xludf.DUMMYFUNCTION("IF(OR($U427="""",COUNTIF($I:$I,IFERROR(unique(filter(Prod_Prop!$H:$H,Prod_Prop!$G:$G=$U427,Prod_Prop!$E:$E=AB$1)),""Check""))=0),"""",IFERROR(unique(filter(Prod_Prop!$H:$H,Prod_Prop!$G:$G=$U427,Prod_Prop!$E:$E=AB$1)),""""))"),"")</f>
        <v/>
      </c>
      <c r="AC427" s="4" t="str">
        <f>IF(AB427="","",SUMIFS(Prod_Prop!$J:$J,Prod_Prop!$B:$B,$Q427,Prod_Prop!$H:$H,AB427,Prod_Prop!$I:$I,AC$1)*IF(AB427="Peso",$R427,1))</f>
        <v/>
      </c>
      <c r="AD427" s="4" t="str">
        <f>IF(AB427="","",SUMIFS(Prod_Prop!$J:$J,Prod_Prop!$B:$B,$Q427,Prod_Prop!$H:$H,AB427,Prod_Prop!$I:$I,AD$1)*IF(AB427="Peso",$R427,1))</f>
        <v/>
      </c>
    </row>
    <row r="428">
      <c r="A428" s="4" t="str">
        <f t="array" ref="A428">IF(COUNTIF(A$1:A427,Cotizador!F$2)=maxifs(Familias!E:E,Familias!D:D,Cotizador!F$2),IF(COUNTIF(A$1:A427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8" s="4" t="str">
        <f t="shared" si="1"/>
        <v/>
      </c>
      <c r="C428" s="4" t="str">
        <f t="array" ref="C428">IF(B428="","",IF(A428=XLOOKUP(A$2,Implementos!B:B,Implementos!C:C,"",0,1),B428+maxifs(B$1:B427,A$1:A427,A$2),B428))</f>
        <v/>
      </c>
      <c r="D428" s="4" t="str">
        <f>IF(B428="","", COUNTIFS(Productos!F:F,A428,Productos!H:H,B428)+IF(F428="SI",0,1))</f>
        <v/>
      </c>
      <c r="E428" s="4" t="str">
        <f>IFERROR(__xludf.DUMMYFUNCTION("IF($B428="""","""",INDEX(filter(Familias!F:F,Familias!$D:$D=$A428,Familias!$E:$E=$B428),1))"),"")</f>
        <v/>
      </c>
      <c r="F428" s="4" t="str">
        <f>IFERROR(__xludf.DUMMYFUNCTION("IF($B428="""","""",INDEX(filter(Familias!G:G,Familias!$D:$D=$A428,Familias!$E:$E=$B428),1))"),"")</f>
        <v/>
      </c>
      <c r="G428" s="4" t="str">
        <f t="array" ref="G428">IF(C428=1,XLOOKUP(C428,Cotizador!D:D,Cotizador!E:E,"",0,1),"")</f>
        <v/>
      </c>
      <c r="I428" s="4"/>
      <c r="J428" s="8" t="str">
        <f>IF(I428="","",SUMIF(Cotizador!I$1:V$1,I428,Cotizador!I$2:V$2))</f>
        <v/>
      </c>
      <c r="L428" s="4" t="str">
        <f t="array" ref="L428">IF(COUNTIF(L$1:L427,A$2)=SUMIF(A:A,A$2,D:D),IF(COUNTIF(L$1:L427,XLOOKUP(A$2,Implementos!B:B,Implementos!C:C,"",0,1))=SUMIF(A:A,XLOOKUP(A$2,Implementos!B:B,Implementos!C:C,"",0,1),D:D),"",XLOOKUP(A$2,Implementos!B:B,Implementos!C:C,"",0,1)),A$2)</f>
        <v/>
      </c>
      <c r="M428" s="4" t="str">
        <f t="shared" si="2"/>
        <v/>
      </c>
      <c r="N428" s="4" t="str">
        <f t="shared" si="3"/>
        <v/>
      </c>
      <c r="O428" s="4" t="str">
        <f t="shared" si="4"/>
        <v/>
      </c>
      <c r="P428" s="4" t="str">
        <f t="shared" si="5"/>
        <v/>
      </c>
      <c r="Q428" s="4" t="str">
        <f>IF(U428="","",SUMIF(Productos!E:E,U428,Productos!A:A))</f>
        <v/>
      </c>
      <c r="R428" s="4" t="str">
        <f t="array" ref="R428">IF(L428="","", max(1,SUMIF(I:I,XLOOKUP(U428,Productos!E:E,Productos!G:G,"",0,1),J:J)))</f>
        <v/>
      </c>
      <c r="S428" s="4" t="str">
        <f>IF(Q428="","",IF(SUMIFS(Compat_Vetado!D:D,Compat_Vetado!B:B,SUM(G:G),Compat_Vetado!C:C,Q428)=1,"SI",IF(OR(SUMIF(Cotizador!E:E,Q428,Cotizador!G:G)&gt;0,SUMIFS(Compat_Vetado!D:D,Compat_Vetado!B:B,SUM(G:G),Compat_Vetado!C:C,Q428)=-1),"NO","")))</f>
        <v/>
      </c>
      <c r="T428" s="4" t="str">
        <f t="shared" si="6"/>
        <v/>
      </c>
      <c r="U428" s="4" t="str">
        <f>IFERROR(__xludf.DUMMYFUNCTION("IF(P428="""","""",IFERROR(INDEX(filter(Productos!E:E,Productos!F:F=L428,Productos!H:H=N428),P428),IF(M428=SUM(D:D),""Finalizar"",""-"")))"),"")</f>
        <v/>
      </c>
      <c r="V428" s="4" t="str">
        <f>IFERROR(__xludf.DUMMYFUNCTION("IF(OR($U428="""",COUNTIF($I:$I,IFERROR(unique(filter(Prod_Prop!$H:$H,Prod_Prop!$G:$G=$U428,Prod_Prop!$E:$E=V$1)),""Check""))=0),"""",IFERROR(unique(filter(Prod_Prop!$H:$H,Prod_Prop!$G:$G=$U428,Prod_Prop!$E:$E=V$1)),""""))"),"")</f>
        <v/>
      </c>
      <c r="W428" s="4" t="str">
        <f>IF(V428="","",SUMIFS(Prod_Prop!$J:$J,Prod_Prop!$B:$B,$Q428,Prod_Prop!$H:$H,V428,Prod_Prop!$I:$I,W$1)*IF(V428="Peso",$R428,1))</f>
        <v/>
      </c>
      <c r="X428" s="4" t="str">
        <f>IF(V428="","",SUMIFS(Prod_Prop!$J:$J,Prod_Prop!$B:$B,$Q428,Prod_Prop!$H:$H,V428,Prod_Prop!$I:$I,X$1)*IF(V428="Peso",$R428,1))</f>
        <v/>
      </c>
      <c r="Y428" s="4" t="str">
        <f>IFERROR(__xludf.DUMMYFUNCTION("IF(OR($U428="""",COUNTIF($I:$I,IFERROR(unique(filter(Prod_Prop!$H:$H,Prod_Prop!$G:$G=$U428,Prod_Prop!$E:$E=Y$1)),""Check""))=0),"""",IFERROR(unique(filter(Prod_Prop!$H:$H,Prod_Prop!$G:$G=$U428,Prod_Prop!$E:$E=Y$1)),""""))"),"")</f>
        <v/>
      </c>
      <c r="Z428" s="4" t="str">
        <f>IF(Y428="","",SUMIFS(Prod_Prop!$J:$J,Prod_Prop!$B:$B,$Q428,Prod_Prop!$H:$H,Y428,Prod_Prop!$I:$I,Z$1)*IF(Y428="Peso",$R428,1))</f>
        <v/>
      </c>
      <c r="AA428" s="4" t="str">
        <f>IF(Y428="","",SUMIFS(Prod_Prop!$J:$J,Prod_Prop!$B:$B,$Q428,Prod_Prop!$H:$H,Y428,Prod_Prop!$I:$I,AA$1)*IF(Y428="Peso",$R428,1))</f>
        <v/>
      </c>
      <c r="AB428" s="4" t="str">
        <f>IFERROR(__xludf.DUMMYFUNCTION("IF(OR($U428="""",COUNTIF($I:$I,IFERROR(unique(filter(Prod_Prop!$H:$H,Prod_Prop!$G:$G=$U428,Prod_Prop!$E:$E=AB$1)),""Check""))=0),"""",IFERROR(unique(filter(Prod_Prop!$H:$H,Prod_Prop!$G:$G=$U428,Prod_Prop!$E:$E=AB$1)),""""))"),"")</f>
        <v/>
      </c>
      <c r="AC428" s="4" t="str">
        <f>IF(AB428="","",SUMIFS(Prod_Prop!$J:$J,Prod_Prop!$B:$B,$Q428,Prod_Prop!$H:$H,AB428,Prod_Prop!$I:$I,AC$1)*IF(AB428="Peso",$R428,1))</f>
        <v/>
      </c>
      <c r="AD428" s="4" t="str">
        <f>IF(AB428="","",SUMIFS(Prod_Prop!$J:$J,Prod_Prop!$B:$B,$Q428,Prod_Prop!$H:$H,AB428,Prod_Prop!$I:$I,AD$1)*IF(AB428="Peso",$R428,1))</f>
        <v/>
      </c>
    </row>
    <row r="429">
      <c r="A429" s="4" t="str">
        <f t="array" ref="A429">IF(COUNTIF(A$1:A428,Cotizador!F$2)=maxifs(Familias!E:E,Familias!D:D,Cotizador!F$2),IF(COUNTIF(A$1:A428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29" s="4" t="str">
        <f t="shared" si="1"/>
        <v/>
      </c>
      <c r="C429" s="4" t="str">
        <f t="array" ref="C429">IF(B429="","",IF(A429=XLOOKUP(A$2,Implementos!B:B,Implementos!C:C,"",0,1),B429+maxifs(B$1:B428,A$1:A428,A$2),B429))</f>
        <v/>
      </c>
      <c r="D429" s="4" t="str">
        <f>IF(B429="","", COUNTIFS(Productos!F:F,A429,Productos!H:H,B429)+IF(F429="SI",0,1))</f>
        <v/>
      </c>
      <c r="E429" s="4" t="str">
        <f>IFERROR(__xludf.DUMMYFUNCTION("IF($B429="""","""",INDEX(filter(Familias!F:F,Familias!$D:$D=$A429,Familias!$E:$E=$B429),1))"),"")</f>
        <v/>
      </c>
      <c r="F429" s="4" t="str">
        <f>IFERROR(__xludf.DUMMYFUNCTION("IF($B429="""","""",INDEX(filter(Familias!G:G,Familias!$D:$D=$A429,Familias!$E:$E=$B429),1))"),"")</f>
        <v/>
      </c>
      <c r="G429" s="4" t="str">
        <f t="array" ref="G429">IF(C429=1,XLOOKUP(C429,Cotizador!D:D,Cotizador!E:E,"",0,1),"")</f>
        <v/>
      </c>
      <c r="I429" s="4"/>
      <c r="J429" s="8" t="str">
        <f>IF(I429="","",SUMIF(Cotizador!I$1:V$1,I429,Cotizador!I$2:V$2))</f>
        <v/>
      </c>
      <c r="L429" s="4" t="str">
        <f t="array" ref="L429">IF(COUNTIF(L$1:L428,A$2)=SUMIF(A:A,A$2,D:D),IF(COUNTIF(L$1:L428,XLOOKUP(A$2,Implementos!B:B,Implementos!C:C,"",0,1))=SUMIF(A:A,XLOOKUP(A$2,Implementos!B:B,Implementos!C:C,"",0,1),D:D),"",XLOOKUP(A$2,Implementos!B:B,Implementos!C:C,"",0,1)),A$2)</f>
        <v/>
      </c>
      <c r="M429" s="4" t="str">
        <f t="shared" si="2"/>
        <v/>
      </c>
      <c r="N429" s="4" t="str">
        <f t="shared" si="3"/>
        <v/>
      </c>
      <c r="O429" s="4" t="str">
        <f t="shared" si="4"/>
        <v/>
      </c>
      <c r="P429" s="4" t="str">
        <f t="shared" si="5"/>
        <v/>
      </c>
      <c r="Q429" s="4" t="str">
        <f>IF(U429="","",SUMIF(Productos!E:E,U429,Productos!A:A))</f>
        <v/>
      </c>
      <c r="R429" s="4" t="str">
        <f t="array" ref="R429">IF(L429="","", max(1,SUMIF(I:I,XLOOKUP(U429,Productos!E:E,Productos!G:G,"",0,1),J:J)))</f>
        <v/>
      </c>
      <c r="S429" s="4" t="str">
        <f>IF(Q429="","",IF(SUMIFS(Compat_Vetado!D:D,Compat_Vetado!B:B,SUM(G:G),Compat_Vetado!C:C,Q429)=1,"SI",IF(OR(SUMIF(Cotizador!E:E,Q429,Cotizador!G:G)&gt;0,SUMIFS(Compat_Vetado!D:D,Compat_Vetado!B:B,SUM(G:G),Compat_Vetado!C:C,Q429)=-1),"NO","")))</f>
        <v/>
      </c>
      <c r="T429" s="4" t="str">
        <f t="shared" si="6"/>
        <v/>
      </c>
      <c r="U429" s="4" t="str">
        <f>IFERROR(__xludf.DUMMYFUNCTION("IF(P429="""","""",IFERROR(INDEX(filter(Productos!E:E,Productos!F:F=L429,Productos!H:H=N429),P429),IF(M429=SUM(D:D),""Finalizar"",""-"")))"),"")</f>
        <v/>
      </c>
      <c r="V429" s="4" t="str">
        <f>IFERROR(__xludf.DUMMYFUNCTION("IF(OR($U429="""",COUNTIF($I:$I,IFERROR(unique(filter(Prod_Prop!$H:$H,Prod_Prop!$G:$G=$U429,Prod_Prop!$E:$E=V$1)),""Check""))=0),"""",IFERROR(unique(filter(Prod_Prop!$H:$H,Prod_Prop!$G:$G=$U429,Prod_Prop!$E:$E=V$1)),""""))"),"")</f>
        <v/>
      </c>
      <c r="W429" s="4" t="str">
        <f>IF(V429="","",SUMIFS(Prod_Prop!$J:$J,Prod_Prop!$B:$B,$Q429,Prod_Prop!$H:$H,V429,Prod_Prop!$I:$I,W$1)*IF(V429="Peso",$R429,1))</f>
        <v/>
      </c>
      <c r="X429" s="4" t="str">
        <f>IF(V429="","",SUMIFS(Prod_Prop!$J:$J,Prod_Prop!$B:$B,$Q429,Prod_Prop!$H:$H,V429,Prod_Prop!$I:$I,X$1)*IF(V429="Peso",$R429,1))</f>
        <v/>
      </c>
      <c r="Y429" s="4" t="str">
        <f>IFERROR(__xludf.DUMMYFUNCTION("IF(OR($U429="""",COUNTIF($I:$I,IFERROR(unique(filter(Prod_Prop!$H:$H,Prod_Prop!$G:$G=$U429,Prod_Prop!$E:$E=Y$1)),""Check""))=0),"""",IFERROR(unique(filter(Prod_Prop!$H:$H,Prod_Prop!$G:$G=$U429,Prod_Prop!$E:$E=Y$1)),""""))"),"")</f>
        <v/>
      </c>
      <c r="Z429" s="4" t="str">
        <f>IF(Y429="","",SUMIFS(Prod_Prop!$J:$J,Prod_Prop!$B:$B,$Q429,Prod_Prop!$H:$H,Y429,Prod_Prop!$I:$I,Z$1)*IF(Y429="Peso",$R429,1))</f>
        <v/>
      </c>
      <c r="AA429" s="4" t="str">
        <f>IF(Y429="","",SUMIFS(Prod_Prop!$J:$J,Prod_Prop!$B:$B,$Q429,Prod_Prop!$H:$H,Y429,Prod_Prop!$I:$I,AA$1)*IF(Y429="Peso",$R429,1))</f>
        <v/>
      </c>
      <c r="AB429" s="4" t="str">
        <f>IFERROR(__xludf.DUMMYFUNCTION("IF(OR($U429="""",COUNTIF($I:$I,IFERROR(unique(filter(Prod_Prop!$H:$H,Prod_Prop!$G:$G=$U429,Prod_Prop!$E:$E=AB$1)),""Check""))=0),"""",IFERROR(unique(filter(Prod_Prop!$H:$H,Prod_Prop!$G:$G=$U429,Prod_Prop!$E:$E=AB$1)),""""))"),"")</f>
        <v/>
      </c>
      <c r="AC429" s="4" t="str">
        <f>IF(AB429="","",SUMIFS(Prod_Prop!$J:$J,Prod_Prop!$B:$B,$Q429,Prod_Prop!$H:$H,AB429,Prod_Prop!$I:$I,AC$1)*IF(AB429="Peso",$R429,1))</f>
        <v/>
      </c>
      <c r="AD429" s="4" t="str">
        <f>IF(AB429="","",SUMIFS(Prod_Prop!$J:$J,Prod_Prop!$B:$B,$Q429,Prod_Prop!$H:$H,AB429,Prod_Prop!$I:$I,AD$1)*IF(AB429="Peso",$R429,1))</f>
        <v/>
      </c>
    </row>
    <row r="430">
      <c r="A430" s="4" t="str">
        <f t="array" ref="A430">IF(COUNTIF(A$1:A429,Cotizador!F$2)=maxifs(Familias!E:E,Familias!D:D,Cotizador!F$2),IF(COUNTIF(A$1:A429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0" s="4" t="str">
        <f t="shared" si="1"/>
        <v/>
      </c>
      <c r="C430" s="4" t="str">
        <f t="array" ref="C430">IF(B430="","",IF(A430=XLOOKUP(A$2,Implementos!B:B,Implementos!C:C,"",0,1),B430+maxifs(B$1:B429,A$1:A429,A$2),B430))</f>
        <v/>
      </c>
      <c r="D430" s="4" t="str">
        <f>IF(B430="","", COUNTIFS(Productos!F:F,A430,Productos!H:H,B430)+IF(F430="SI",0,1))</f>
        <v/>
      </c>
      <c r="E430" s="4" t="str">
        <f>IFERROR(__xludf.DUMMYFUNCTION("IF($B430="""","""",INDEX(filter(Familias!F:F,Familias!$D:$D=$A430,Familias!$E:$E=$B430),1))"),"")</f>
        <v/>
      </c>
      <c r="F430" s="4" t="str">
        <f>IFERROR(__xludf.DUMMYFUNCTION("IF($B430="""","""",INDEX(filter(Familias!G:G,Familias!$D:$D=$A430,Familias!$E:$E=$B430),1))"),"")</f>
        <v/>
      </c>
      <c r="G430" s="4" t="str">
        <f t="array" ref="G430">IF(C430=1,XLOOKUP(C430,Cotizador!D:D,Cotizador!E:E,"",0,1),"")</f>
        <v/>
      </c>
      <c r="I430" s="4"/>
      <c r="J430" s="8" t="str">
        <f>IF(I430="","",SUMIF(Cotizador!I$1:V$1,I430,Cotizador!I$2:V$2))</f>
        <v/>
      </c>
      <c r="L430" s="4" t="str">
        <f t="array" ref="L430">IF(COUNTIF(L$1:L429,A$2)=SUMIF(A:A,A$2,D:D),IF(COUNTIF(L$1:L429,XLOOKUP(A$2,Implementos!B:B,Implementos!C:C,"",0,1))=SUMIF(A:A,XLOOKUP(A$2,Implementos!B:B,Implementos!C:C,"",0,1),D:D),"",XLOOKUP(A$2,Implementos!B:B,Implementos!C:C,"",0,1)),A$2)</f>
        <v/>
      </c>
      <c r="M430" s="4" t="str">
        <f t="shared" si="2"/>
        <v/>
      </c>
      <c r="N430" s="4" t="str">
        <f t="shared" si="3"/>
        <v/>
      </c>
      <c r="O430" s="4" t="str">
        <f t="shared" si="4"/>
        <v/>
      </c>
      <c r="P430" s="4" t="str">
        <f t="shared" si="5"/>
        <v/>
      </c>
      <c r="Q430" s="4" t="str">
        <f>IF(U430="","",SUMIF(Productos!E:E,U430,Productos!A:A))</f>
        <v/>
      </c>
      <c r="R430" s="4" t="str">
        <f t="array" ref="R430">IF(L430="","", max(1,SUMIF(I:I,XLOOKUP(U430,Productos!E:E,Productos!G:G,"",0,1),J:J)))</f>
        <v/>
      </c>
      <c r="S430" s="4" t="str">
        <f>IF(Q430="","",IF(SUMIFS(Compat_Vetado!D:D,Compat_Vetado!B:B,SUM(G:G),Compat_Vetado!C:C,Q430)=1,"SI",IF(OR(SUMIF(Cotizador!E:E,Q430,Cotizador!G:G)&gt;0,SUMIFS(Compat_Vetado!D:D,Compat_Vetado!B:B,SUM(G:G),Compat_Vetado!C:C,Q430)=-1),"NO","")))</f>
        <v/>
      </c>
      <c r="T430" s="4" t="str">
        <f t="shared" si="6"/>
        <v/>
      </c>
      <c r="U430" s="4" t="str">
        <f>IFERROR(__xludf.DUMMYFUNCTION("IF(P430="""","""",IFERROR(INDEX(filter(Productos!E:E,Productos!F:F=L430,Productos!H:H=N430),P430),IF(M430=SUM(D:D),""Finalizar"",""-"")))"),"")</f>
        <v/>
      </c>
      <c r="V430" s="4" t="str">
        <f>IFERROR(__xludf.DUMMYFUNCTION("IF(OR($U430="""",COUNTIF($I:$I,IFERROR(unique(filter(Prod_Prop!$H:$H,Prod_Prop!$G:$G=$U430,Prod_Prop!$E:$E=V$1)),""Check""))=0),"""",IFERROR(unique(filter(Prod_Prop!$H:$H,Prod_Prop!$G:$G=$U430,Prod_Prop!$E:$E=V$1)),""""))"),"")</f>
        <v/>
      </c>
      <c r="W430" s="4" t="str">
        <f>IF(V430="","",SUMIFS(Prod_Prop!$J:$J,Prod_Prop!$B:$B,$Q430,Prod_Prop!$H:$H,V430,Prod_Prop!$I:$I,W$1)*IF(V430="Peso",$R430,1))</f>
        <v/>
      </c>
      <c r="X430" s="4" t="str">
        <f>IF(V430="","",SUMIFS(Prod_Prop!$J:$J,Prod_Prop!$B:$B,$Q430,Prod_Prop!$H:$H,V430,Prod_Prop!$I:$I,X$1)*IF(V430="Peso",$R430,1))</f>
        <v/>
      </c>
      <c r="Y430" s="4" t="str">
        <f>IFERROR(__xludf.DUMMYFUNCTION("IF(OR($U430="""",COUNTIF($I:$I,IFERROR(unique(filter(Prod_Prop!$H:$H,Prod_Prop!$G:$G=$U430,Prod_Prop!$E:$E=Y$1)),""Check""))=0),"""",IFERROR(unique(filter(Prod_Prop!$H:$H,Prod_Prop!$G:$G=$U430,Prod_Prop!$E:$E=Y$1)),""""))"),"")</f>
        <v/>
      </c>
      <c r="Z430" s="4" t="str">
        <f>IF(Y430="","",SUMIFS(Prod_Prop!$J:$J,Prod_Prop!$B:$B,$Q430,Prod_Prop!$H:$H,Y430,Prod_Prop!$I:$I,Z$1)*IF(Y430="Peso",$R430,1))</f>
        <v/>
      </c>
      <c r="AA430" s="4" t="str">
        <f>IF(Y430="","",SUMIFS(Prod_Prop!$J:$J,Prod_Prop!$B:$B,$Q430,Prod_Prop!$H:$H,Y430,Prod_Prop!$I:$I,AA$1)*IF(Y430="Peso",$R430,1))</f>
        <v/>
      </c>
      <c r="AB430" s="4" t="str">
        <f>IFERROR(__xludf.DUMMYFUNCTION("IF(OR($U430="""",COUNTIF($I:$I,IFERROR(unique(filter(Prod_Prop!$H:$H,Prod_Prop!$G:$G=$U430,Prod_Prop!$E:$E=AB$1)),""Check""))=0),"""",IFERROR(unique(filter(Prod_Prop!$H:$H,Prod_Prop!$G:$G=$U430,Prod_Prop!$E:$E=AB$1)),""""))"),"")</f>
        <v/>
      </c>
      <c r="AC430" s="4" t="str">
        <f>IF(AB430="","",SUMIFS(Prod_Prop!$J:$J,Prod_Prop!$B:$B,$Q430,Prod_Prop!$H:$H,AB430,Prod_Prop!$I:$I,AC$1)*IF(AB430="Peso",$R430,1))</f>
        <v/>
      </c>
      <c r="AD430" s="4" t="str">
        <f>IF(AB430="","",SUMIFS(Prod_Prop!$J:$J,Prod_Prop!$B:$B,$Q430,Prod_Prop!$H:$H,AB430,Prod_Prop!$I:$I,AD$1)*IF(AB430="Peso",$R430,1))</f>
        <v/>
      </c>
    </row>
    <row r="431">
      <c r="A431" s="4" t="str">
        <f t="array" ref="A431">IF(COUNTIF(A$1:A430,Cotizador!F$2)=maxifs(Familias!E:E,Familias!D:D,Cotizador!F$2),IF(COUNTIF(A$1:A430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1" s="4" t="str">
        <f t="shared" si="1"/>
        <v/>
      </c>
      <c r="C431" s="4" t="str">
        <f t="array" ref="C431">IF(B431="","",IF(A431=XLOOKUP(A$2,Implementos!B:B,Implementos!C:C,"",0,1),B431+maxifs(B$1:B430,A$1:A430,A$2),B431))</f>
        <v/>
      </c>
      <c r="D431" s="4" t="str">
        <f>IF(B431="","", COUNTIFS(Productos!F:F,A431,Productos!H:H,B431)+IF(F431="SI",0,1))</f>
        <v/>
      </c>
      <c r="E431" s="4" t="str">
        <f>IFERROR(__xludf.DUMMYFUNCTION("IF($B431="""","""",INDEX(filter(Familias!F:F,Familias!$D:$D=$A431,Familias!$E:$E=$B431),1))"),"")</f>
        <v/>
      </c>
      <c r="F431" s="4" t="str">
        <f>IFERROR(__xludf.DUMMYFUNCTION("IF($B431="""","""",INDEX(filter(Familias!G:G,Familias!$D:$D=$A431,Familias!$E:$E=$B431),1))"),"")</f>
        <v/>
      </c>
      <c r="G431" s="4" t="str">
        <f t="array" ref="G431">IF(C431=1,XLOOKUP(C431,Cotizador!D:D,Cotizador!E:E,"",0,1),"")</f>
        <v/>
      </c>
      <c r="I431" s="4"/>
      <c r="J431" s="8" t="str">
        <f>IF(I431="","",SUMIF(Cotizador!I$1:V$1,I431,Cotizador!I$2:V$2))</f>
        <v/>
      </c>
      <c r="L431" s="4" t="str">
        <f t="array" ref="L431">IF(COUNTIF(L$1:L430,A$2)=SUMIF(A:A,A$2,D:D),IF(COUNTIF(L$1:L430,XLOOKUP(A$2,Implementos!B:B,Implementos!C:C,"",0,1))=SUMIF(A:A,XLOOKUP(A$2,Implementos!B:B,Implementos!C:C,"",0,1),D:D),"",XLOOKUP(A$2,Implementos!B:B,Implementos!C:C,"",0,1)),A$2)</f>
        <v/>
      </c>
      <c r="M431" s="4" t="str">
        <f t="shared" si="2"/>
        <v/>
      </c>
      <c r="N431" s="4" t="str">
        <f t="shared" si="3"/>
        <v/>
      </c>
      <c r="O431" s="4" t="str">
        <f t="shared" si="4"/>
        <v/>
      </c>
      <c r="P431" s="4" t="str">
        <f t="shared" si="5"/>
        <v/>
      </c>
      <c r="Q431" s="4" t="str">
        <f>IF(U431="","",SUMIF(Productos!E:E,U431,Productos!A:A))</f>
        <v/>
      </c>
      <c r="R431" s="4" t="str">
        <f t="array" ref="R431">IF(L431="","", max(1,SUMIF(I:I,XLOOKUP(U431,Productos!E:E,Productos!G:G,"",0,1),J:J)))</f>
        <v/>
      </c>
      <c r="S431" s="4" t="str">
        <f>IF(Q431="","",IF(SUMIFS(Compat_Vetado!D:D,Compat_Vetado!B:B,SUM(G:G),Compat_Vetado!C:C,Q431)=1,"SI",IF(OR(SUMIF(Cotizador!E:E,Q431,Cotizador!G:G)&gt;0,SUMIFS(Compat_Vetado!D:D,Compat_Vetado!B:B,SUM(G:G),Compat_Vetado!C:C,Q431)=-1),"NO","")))</f>
        <v/>
      </c>
      <c r="T431" s="4" t="str">
        <f t="shared" si="6"/>
        <v/>
      </c>
      <c r="U431" s="4" t="str">
        <f>IFERROR(__xludf.DUMMYFUNCTION("IF(P431="""","""",IFERROR(INDEX(filter(Productos!E:E,Productos!F:F=L431,Productos!H:H=N431),P431),IF(M431=SUM(D:D),""Finalizar"",""-"")))"),"")</f>
        <v/>
      </c>
      <c r="V431" s="4" t="str">
        <f>IFERROR(__xludf.DUMMYFUNCTION("IF(OR($U431="""",COUNTIF($I:$I,IFERROR(unique(filter(Prod_Prop!$H:$H,Prod_Prop!$G:$G=$U431,Prod_Prop!$E:$E=V$1)),""Check""))=0),"""",IFERROR(unique(filter(Prod_Prop!$H:$H,Prod_Prop!$G:$G=$U431,Prod_Prop!$E:$E=V$1)),""""))"),"")</f>
        <v/>
      </c>
      <c r="W431" s="4" t="str">
        <f>IF(V431="","",SUMIFS(Prod_Prop!$J:$J,Prod_Prop!$B:$B,$Q431,Prod_Prop!$H:$H,V431,Prod_Prop!$I:$I,W$1)*IF(V431="Peso",$R431,1))</f>
        <v/>
      </c>
      <c r="X431" s="4" t="str">
        <f>IF(V431="","",SUMIFS(Prod_Prop!$J:$J,Prod_Prop!$B:$B,$Q431,Prod_Prop!$H:$H,V431,Prod_Prop!$I:$I,X$1)*IF(V431="Peso",$R431,1))</f>
        <v/>
      </c>
      <c r="Y431" s="4" t="str">
        <f>IFERROR(__xludf.DUMMYFUNCTION("IF(OR($U431="""",COUNTIF($I:$I,IFERROR(unique(filter(Prod_Prop!$H:$H,Prod_Prop!$G:$G=$U431,Prod_Prop!$E:$E=Y$1)),""Check""))=0),"""",IFERROR(unique(filter(Prod_Prop!$H:$H,Prod_Prop!$G:$G=$U431,Prod_Prop!$E:$E=Y$1)),""""))"),"")</f>
        <v/>
      </c>
      <c r="Z431" s="4" t="str">
        <f>IF(Y431="","",SUMIFS(Prod_Prop!$J:$J,Prod_Prop!$B:$B,$Q431,Prod_Prop!$H:$H,Y431,Prod_Prop!$I:$I,Z$1)*IF(Y431="Peso",$R431,1))</f>
        <v/>
      </c>
      <c r="AA431" s="4" t="str">
        <f>IF(Y431="","",SUMIFS(Prod_Prop!$J:$J,Prod_Prop!$B:$B,$Q431,Prod_Prop!$H:$H,Y431,Prod_Prop!$I:$I,AA$1)*IF(Y431="Peso",$R431,1))</f>
        <v/>
      </c>
      <c r="AB431" s="4" t="str">
        <f>IFERROR(__xludf.DUMMYFUNCTION("IF(OR($U431="""",COUNTIF($I:$I,IFERROR(unique(filter(Prod_Prop!$H:$H,Prod_Prop!$G:$G=$U431,Prod_Prop!$E:$E=AB$1)),""Check""))=0),"""",IFERROR(unique(filter(Prod_Prop!$H:$H,Prod_Prop!$G:$G=$U431,Prod_Prop!$E:$E=AB$1)),""""))"),"")</f>
        <v/>
      </c>
      <c r="AC431" s="4" t="str">
        <f>IF(AB431="","",SUMIFS(Prod_Prop!$J:$J,Prod_Prop!$B:$B,$Q431,Prod_Prop!$H:$H,AB431,Prod_Prop!$I:$I,AC$1)*IF(AB431="Peso",$R431,1))</f>
        <v/>
      </c>
      <c r="AD431" s="4" t="str">
        <f>IF(AB431="","",SUMIFS(Prod_Prop!$J:$J,Prod_Prop!$B:$B,$Q431,Prod_Prop!$H:$H,AB431,Prod_Prop!$I:$I,AD$1)*IF(AB431="Peso",$R431,1))</f>
        <v/>
      </c>
    </row>
    <row r="432">
      <c r="A432" s="4" t="str">
        <f t="array" ref="A432">IF(COUNTIF(A$1:A431,Cotizador!F$2)=maxifs(Familias!E:E,Familias!D:D,Cotizador!F$2),IF(COUNTIF(A$1:A431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2" s="4" t="str">
        <f t="shared" si="1"/>
        <v/>
      </c>
      <c r="C432" s="4" t="str">
        <f t="array" ref="C432">IF(B432="","",IF(A432=XLOOKUP(A$2,Implementos!B:B,Implementos!C:C,"",0,1),B432+maxifs(B$1:B431,A$1:A431,A$2),B432))</f>
        <v/>
      </c>
      <c r="D432" s="4" t="str">
        <f>IF(B432="","", COUNTIFS(Productos!F:F,A432,Productos!H:H,B432)+IF(F432="SI",0,1))</f>
        <v/>
      </c>
      <c r="E432" s="4" t="str">
        <f>IFERROR(__xludf.DUMMYFUNCTION("IF($B432="""","""",INDEX(filter(Familias!F:F,Familias!$D:$D=$A432,Familias!$E:$E=$B432),1))"),"")</f>
        <v/>
      </c>
      <c r="F432" s="4" t="str">
        <f>IFERROR(__xludf.DUMMYFUNCTION("IF($B432="""","""",INDEX(filter(Familias!G:G,Familias!$D:$D=$A432,Familias!$E:$E=$B432),1))"),"")</f>
        <v/>
      </c>
      <c r="G432" s="4" t="str">
        <f t="array" ref="G432">IF(C432=1,XLOOKUP(C432,Cotizador!D:D,Cotizador!E:E,"",0,1),"")</f>
        <v/>
      </c>
      <c r="I432" s="4"/>
      <c r="J432" s="8" t="str">
        <f>IF(I432="","",SUMIF(Cotizador!I$1:V$1,I432,Cotizador!I$2:V$2))</f>
        <v/>
      </c>
      <c r="L432" s="4" t="str">
        <f t="array" ref="L432">IF(COUNTIF(L$1:L431,A$2)=SUMIF(A:A,A$2,D:D),IF(COUNTIF(L$1:L431,XLOOKUP(A$2,Implementos!B:B,Implementos!C:C,"",0,1))=SUMIF(A:A,XLOOKUP(A$2,Implementos!B:B,Implementos!C:C,"",0,1),D:D),"",XLOOKUP(A$2,Implementos!B:B,Implementos!C:C,"",0,1)),A$2)</f>
        <v/>
      </c>
      <c r="M432" s="4" t="str">
        <f t="shared" si="2"/>
        <v/>
      </c>
      <c r="N432" s="4" t="str">
        <f t="shared" si="3"/>
        <v/>
      </c>
      <c r="O432" s="4" t="str">
        <f t="shared" si="4"/>
        <v/>
      </c>
      <c r="P432" s="4" t="str">
        <f t="shared" si="5"/>
        <v/>
      </c>
      <c r="Q432" s="4" t="str">
        <f>IF(U432="","",SUMIF(Productos!E:E,U432,Productos!A:A))</f>
        <v/>
      </c>
      <c r="R432" s="4" t="str">
        <f t="array" ref="R432">IF(L432="","", max(1,SUMIF(I:I,XLOOKUP(U432,Productos!E:E,Productos!G:G,"",0,1),J:J)))</f>
        <v/>
      </c>
      <c r="S432" s="4" t="str">
        <f>IF(Q432="","",IF(SUMIFS(Compat_Vetado!D:D,Compat_Vetado!B:B,SUM(G:G),Compat_Vetado!C:C,Q432)=1,"SI",IF(OR(SUMIF(Cotizador!E:E,Q432,Cotizador!G:G)&gt;0,SUMIFS(Compat_Vetado!D:D,Compat_Vetado!B:B,SUM(G:G),Compat_Vetado!C:C,Q432)=-1),"NO","")))</f>
        <v/>
      </c>
      <c r="T432" s="4" t="str">
        <f t="shared" si="6"/>
        <v/>
      </c>
      <c r="U432" s="4" t="str">
        <f>IFERROR(__xludf.DUMMYFUNCTION("IF(P432="""","""",IFERROR(INDEX(filter(Productos!E:E,Productos!F:F=L432,Productos!H:H=N432),P432),IF(M432=SUM(D:D),""Finalizar"",""-"")))"),"")</f>
        <v/>
      </c>
      <c r="V432" s="4" t="str">
        <f>IFERROR(__xludf.DUMMYFUNCTION("IF(OR($U432="""",COUNTIF($I:$I,IFERROR(unique(filter(Prod_Prop!$H:$H,Prod_Prop!$G:$G=$U432,Prod_Prop!$E:$E=V$1)),""Check""))=0),"""",IFERROR(unique(filter(Prod_Prop!$H:$H,Prod_Prop!$G:$G=$U432,Prod_Prop!$E:$E=V$1)),""""))"),"")</f>
        <v/>
      </c>
      <c r="W432" s="4" t="str">
        <f>IF(V432="","",SUMIFS(Prod_Prop!$J:$J,Prod_Prop!$B:$B,$Q432,Prod_Prop!$H:$H,V432,Prod_Prop!$I:$I,W$1)*IF(V432="Peso",$R432,1))</f>
        <v/>
      </c>
      <c r="X432" s="4" t="str">
        <f>IF(V432="","",SUMIFS(Prod_Prop!$J:$J,Prod_Prop!$B:$B,$Q432,Prod_Prop!$H:$H,V432,Prod_Prop!$I:$I,X$1)*IF(V432="Peso",$R432,1))</f>
        <v/>
      </c>
      <c r="Y432" s="4" t="str">
        <f>IFERROR(__xludf.DUMMYFUNCTION("IF(OR($U432="""",COUNTIF($I:$I,IFERROR(unique(filter(Prod_Prop!$H:$H,Prod_Prop!$G:$G=$U432,Prod_Prop!$E:$E=Y$1)),""Check""))=0),"""",IFERROR(unique(filter(Prod_Prop!$H:$H,Prod_Prop!$G:$G=$U432,Prod_Prop!$E:$E=Y$1)),""""))"),"")</f>
        <v/>
      </c>
      <c r="Z432" s="4" t="str">
        <f>IF(Y432="","",SUMIFS(Prod_Prop!$J:$J,Prod_Prop!$B:$B,$Q432,Prod_Prop!$H:$H,Y432,Prod_Prop!$I:$I,Z$1)*IF(Y432="Peso",$R432,1))</f>
        <v/>
      </c>
      <c r="AA432" s="4" t="str">
        <f>IF(Y432="","",SUMIFS(Prod_Prop!$J:$J,Prod_Prop!$B:$B,$Q432,Prod_Prop!$H:$H,Y432,Prod_Prop!$I:$I,AA$1)*IF(Y432="Peso",$R432,1))</f>
        <v/>
      </c>
      <c r="AB432" s="4" t="str">
        <f>IFERROR(__xludf.DUMMYFUNCTION("IF(OR($U432="""",COUNTIF($I:$I,IFERROR(unique(filter(Prod_Prop!$H:$H,Prod_Prop!$G:$G=$U432,Prod_Prop!$E:$E=AB$1)),""Check""))=0),"""",IFERROR(unique(filter(Prod_Prop!$H:$H,Prod_Prop!$G:$G=$U432,Prod_Prop!$E:$E=AB$1)),""""))"),"")</f>
        <v/>
      </c>
      <c r="AC432" s="4" t="str">
        <f>IF(AB432="","",SUMIFS(Prod_Prop!$J:$J,Prod_Prop!$B:$B,$Q432,Prod_Prop!$H:$H,AB432,Prod_Prop!$I:$I,AC$1)*IF(AB432="Peso",$R432,1))</f>
        <v/>
      </c>
      <c r="AD432" s="4" t="str">
        <f>IF(AB432="","",SUMIFS(Prod_Prop!$J:$J,Prod_Prop!$B:$B,$Q432,Prod_Prop!$H:$H,AB432,Prod_Prop!$I:$I,AD$1)*IF(AB432="Peso",$R432,1))</f>
        <v/>
      </c>
    </row>
    <row r="433">
      <c r="A433" s="4" t="str">
        <f t="array" ref="A433">IF(COUNTIF(A$1:A432,Cotizador!F$2)=maxifs(Familias!E:E,Familias!D:D,Cotizador!F$2),IF(COUNTIF(A$1:A432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3" s="4" t="str">
        <f t="shared" si="1"/>
        <v/>
      </c>
      <c r="C433" s="4" t="str">
        <f t="array" ref="C433">IF(B433="","",IF(A433=XLOOKUP(A$2,Implementos!B:B,Implementos!C:C,"",0,1),B433+maxifs(B$1:B432,A$1:A432,A$2),B433))</f>
        <v/>
      </c>
      <c r="D433" s="4" t="str">
        <f>IF(B433="","", COUNTIFS(Productos!F:F,A433,Productos!H:H,B433)+IF(F433="SI",0,1))</f>
        <v/>
      </c>
      <c r="E433" s="4" t="str">
        <f>IFERROR(__xludf.DUMMYFUNCTION("IF($B433="""","""",INDEX(filter(Familias!F:F,Familias!$D:$D=$A433,Familias!$E:$E=$B433),1))"),"")</f>
        <v/>
      </c>
      <c r="F433" s="4" t="str">
        <f>IFERROR(__xludf.DUMMYFUNCTION("IF($B433="""","""",INDEX(filter(Familias!G:G,Familias!$D:$D=$A433,Familias!$E:$E=$B433),1))"),"")</f>
        <v/>
      </c>
      <c r="G433" s="4" t="str">
        <f t="array" ref="G433">IF(C433=1,XLOOKUP(C433,Cotizador!D:D,Cotizador!E:E,"",0,1),"")</f>
        <v/>
      </c>
      <c r="I433" s="4"/>
      <c r="J433" s="8" t="str">
        <f>IF(I433="","",SUMIF(Cotizador!I$1:V$1,I433,Cotizador!I$2:V$2))</f>
        <v/>
      </c>
      <c r="L433" s="4" t="str">
        <f t="array" ref="L433">IF(COUNTIF(L$1:L432,A$2)=SUMIF(A:A,A$2,D:D),IF(COUNTIF(L$1:L432,XLOOKUP(A$2,Implementos!B:B,Implementos!C:C,"",0,1))=SUMIF(A:A,XLOOKUP(A$2,Implementos!B:B,Implementos!C:C,"",0,1),D:D),"",XLOOKUP(A$2,Implementos!B:B,Implementos!C:C,"",0,1)),A$2)</f>
        <v/>
      </c>
      <c r="M433" s="4" t="str">
        <f t="shared" si="2"/>
        <v/>
      </c>
      <c r="N433" s="4" t="str">
        <f t="shared" si="3"/>
        <v/>
      </c>
      <c r="O433" s="4" t="str">
        <f t="shared" si="4"/>
        <v/>
      </c>
      <c r="P433" s="4" t="str">
        <f t="shared" si="5"/>
        <v/>
      </c>
      <c r="Q433" s="4" t="str">
        <f>IF(U433="","",SUMIF(Productos!E:E,U433,Productos!A:A))</f>
        <v/>
      </c>
      <c r="R433" s="4" t="str">
        <f t="array" ref="R433">IF(L433="","", max(1,SUMIF(I:I,XLOOKUP(U433,Productos!E:E,Productos!G:G,"",0,1),J:J)))</f>
        <v/>
      </c>
      <c r="S433" s="4" t="str">
        <f>IF(Q433="","",IF(SUMIFS(Compat_Vetado!D:D,Compat_Vetado!B:B,SUM(G:G),Compat_Vetado!C:C,Q433)=1,"SI",IF(OR(SUMIF(Cotizador!E:E,Q433,Cotizador!G:G)&gt;0,SUMIFS(Compat_Vetado!D:D,Compat_Vetado!B:B,SUM(G:G),Compat_Vetado!C:C,Q433)=-1),"NO","")))</f>
        <v/>
      </c>
      <c r="T433" s="4" t="str">
        <f t="shared" si="6"/>
        <v/>
      </c>
      <c r="U433" s="4" t="str">
        <f>IFERROR(__xludf.DUMMYFUNCTION("IF(P433="""","""",IFERROR(INDEX(filter(Productos!E:E,Productos!F:F=L433,Productos!H:H=N433),P433),IF(M433=SUM(D:D),""Finalizar"",""-"")))"),"")</f>
        <v/>
      </c>
      <c r="V433" s="4" t="str">
        <f>IFERROR(__xludf.DUMMYFUNCTION("IF(OR($U433="""",COUNTIF($I:$I,IFERROR(unique(filter(Prod_Prop!$H:$H,Prod_Prop!$G:$G=$U433,Prod_Prop!$E:$E=V$1)),""Check""))=0),"""",IFERROR(unique(filter(Prod_Prop!$H:$H,Prod_Prop!$G:$G=$U433,Prod_Prop!$E:$E=V$1)),""""))"),"")</f>
        <v/>
      </c>
      <c r="W433" s="4" t="str">
        <f>IF(V433="","",SUMIFS(Prod_Prop!$J:$J,Prod_Prop!$B:$B,$Q433,Prod_Prop!$H:$H,V433,Prod_Prop!$I:$I,W$1)*IF(V433="Peso",$R433,1))</f>
        <v/>
      </c>
      <c r="X433" s="4" t="str">
        <f>IF(V433="","",SUMIFS(Prod_Prop!$J:$J,Prod_Prop!$B:$B,$Q433,Prod_Prop!$H:$H,V433,Prod_Prop!$I:$I,X$1)*IF(V433="Peso",$R433,1))</f>
        <v/>
      </c>
      <c r="Y433" s="4" t="str">
        <f>IFERROR(__xludf.DUMMYFUNCTION("IF(OR($U433="""",COUNTIF($I:$I,IFERROR(unique(filter(Prod_Prop!$H:$H,Prod_Prop!$G:$G=$U433,Prod_Prop!$E:$E=Y$1)),""Check""))=0),"""",IFERROR(unique(filter(Prod_Prop!$H:$H,Prod_Prop!$G:$G=$U433,Prod_Prop!$E:$E=Y$1)),""""))"),"")</f>
        <v/>
      </c>
      <c r="Z433" s="4" t="str">
        <f>IF(Y433="","",SUMIFS(Prod_Prop!$J:$J,Prod_Prop!$B:$B,$Q433,Prod_Prop!$H:$H,Y433,Prod_Prop!$I:$I,Z$1)*IF(Y433="Peso",$R433,1))</f>
        <v/>
      </c>
      <c r="AA433" s="4" t="str">
        <f>IF(Y433="","",SUMIFS(Prod_Prop!$J:$J,Prod_Prop!$B:$B,$Q433,Prod_Prop!$H:$H,Y433,Prod_Prop!$I:$I,AA$1)*IF(Y433="Peso",$R433,1))</f>
        <v/>
      </c>
      <c r="AB433" s="4" t="str">
        <f>IFERROR(__xludf.DUMMYFUNCTION("IF(OR($U433="""",COUNTIF($I:$I,IFERROR(unique(filter(Prod_Prop!$H:$H,Prod_Prop!$G:$G=$U433,Prod_Prop!$E:$E=AB$1)),""Check""))=0),"""",IFERROR(unique(filter(Prod_Prop!$H:$H,Prod_Prop!$G:$G=$U433,Prod_Prop!$E:$E=AB$1)),""""))"),"")</f>
        <v/>
      </c>
      <c r="AC433" s="4" t="str">
        <f>IF(AB433="","",SUMIFS(Prod_Prop!$J:$J,Prod_Prop!$B:$B,$Q433,Prod_Prop!$H:$H,AB433,Prod_Prop!$I:$I,AC$1)*IF(AB433="Peso",$R433,1))</f>
        <v/>
      </c>
      <c r="AD433" s="4" t="str">
        <f>IF(AB433="","",SUMIFS(Prod_Prop!$J:$J,Prod_Prop!$B:$B,$Q433,Prod_Prop!$H:$H,AB433,Prod_Prop!$I:$I,AD$1)*IF(AB433="Peso",$R433,1))</f>
        <v/>
      </c>
    </row>
    <row r="434">
      <c r="A434" s="4" t="str">
        <f t="array" ref="A434">IF(COUNTIF(A$1:A433,Cotizador!F$2)=maxifs(Familias!E:E,Familias!D:D,Cotizador!F$2),IF(COUNTIF(A$1:A433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4" s="4" t="str">
        <f t="shared" si="1"/>
        <v/>
      </c>
      <c r="C434" s="4" t="str">
        <f t="array" ref="C434">IF(B434="","",IF(A434=XLOOKUP(A$2,Implementos!B:B,Implementos!C:C,"",0,1),B434+maxifs(B$1:B433,A$1:A433,A$2),B434))</f>
        <v/>
      </c>
      <c r="D434" s="4" t="str">
        <f>IF(B434="","", COUNTIFS(Productos!F:F,A434,Productos!H:H,B434)+IF(F434="SI",0,1))</f>
        <v/>
      </c>
      <c r="E434" s="4" t="str">
        <f>IFERROR(__xludf.DUMMYFUNCTION("IF($B434="""","""",INDEX(filter(Familias!F:F,Familias!$D:$D=$A434,Familias!$E:$E=$B434),1))"),"")</f>
        <v/>
      </c>
      <c r="F434" s="4" t="str">
        <f>IFERROR(__xludf.DUMMYFUNCTION("IF($B434="""","""",INDEX(filter(Familias!G:G,Familias!$D:$D=$A434,Familias!$E:$E=$B434),1))"),"")</f>
        <v/>
      </c>
      <c r="G434" s="4" t="str">
        <f t="array" ref="G434">IF(C434=1,XLOOKUP(C434,Cotizador!D:D,Cotizador!E:E,"",0,1),"")</f>
        <v/>
      </c>
      <c r="I434" s="4"/>
      <c r="J434" s="8" t="str">
        <f>IF(I434="","",SUMIF(Cotizador!I$1:V$1,I434,Cotizador!I$2:V$2))</f>
        <v/>
      </c>
      <c r="L434" s="4" t="str">
        <f t="array" ref="L434">IF(COUNTIF(L$1:L433,A$2)=SUMIF(A:A,A$2,D:D),IF(COUNTIF(L$1:L433,XLOOKUP(A$2,Implementos!B:B,Implementos!C:C,"",0,1))=SUMIF(A:A,XLOOKUP(A$2,Implementos!B:B,Implementos!C:C,"",0,1),D:D),"",XLOOKUP(A$2,Implementos!B:B,Implementos!C:C,"",0,1)),A$2)</f>
        <v/>
      </c>
      <c r="M434" s="4" t="str">
        <f t="shared" si="2"/>
        <v/>
      </c>
      <c r="N434" s="4" t="str">
        <f t="shared" si="3"/>
        <v/>
      </c>
      <c r="O434" s="4" t="str">
        <f t="shared" si="4"/>
        <v/>
      </c>
      <c r="P434" s="4" t="str">
        <f t="shared" si="5"/>
        <v/>
      </c>
      <c r="Q434" s="4" t="str">
        <f>IF(U434="","",SUMIF(Productos!E:E,U434,Productos!A:A))</f>
        <v/>
      </c>
      <c r="R434" s="4" t="str">
        <f t="array" ref="R434">IF(L434="","", max(1,SUMIF(I:I,XLOOKUP(U434,Productos!E:E,Productos!G:G,"",0,1),J:J)))</f>
        <v/>
      </c>
      <c r="S434" s="4" t="str">
        <f>IF(Q434="","",IF(SUMIFS(Compat_Vetado!D:D,Compat_Vetado!B:B,SUM(G:G),Compat_Vetado!C:C,Q434)=1,"SI",IF(OR(SUMIF(Cotizador!E:E,Q434,Cotizador!G:G)&gt;0,SUMIFS(Compat_Vetado!D:D,Compat_Vetado!B:B,SUM(G:G),Compat_Vetado!C:C,Q434)=-1),"NO","")))</f>
        <v/>
      </c>
      <c r="T434" s="4" t="str">
        <f t="shared" si="6"/>
        <v/>
      </c>
      <c r="U434" s="4" t="str">
        <f>IFERROR(__xludf.DUMMYFUNCTION("IF(P434="""","""",IFERROR(INDEX(filter(Productos!E:E,Productos!F:F=L434,Productos!H:H=N434),P434),IF(M434=SUM(D:D),""Finalizar"",""-"")))"),"")</f>
        <v/>
      </c>
      <c r="V434" s="4" t="str">
        <f>IFERROR(__xludf.DUMMYFUNCTION("IF(OR($U434="""",COUNTIF($I:$I,IFERROR(unique(filter(Prod_Prop!$H:$H,Prod_Prop!$G:$G=$U434,Prod_Prop!$E:$E=V$1)),""Check""))=0),"""",IFERROR(unique(filter(Prod_Prop!$H:$H,Prod_Prop!$G:$G=$U434,Prod_Prop!$E:$E=V$1)),""""))"),"")</f>
        <v/>
      </c>
      <c r="W434" s="4" t="str">
        <f>IF(V434="","",SUMIFS(Prod_Prop!$J:$J,Prod_Prop!$B:$B,$Q434,Prod_Prop!$H:$H,V434,Prod_Prop!$I:$I,W$1)*IF(V434="Peso",$R434,1))</f>
        <v/>
      </c>
      <c r="X434" s="4" t="str">
        <f>IF(V434="","",SUMIFS(Prod_Prop!$J:$J,Prod_Prop!$B:$B,$Q434,Prod_Prop!$H:$H,V434,Prod_Prop!$I:$I,X$1)*IF(V434="Peso",$R434,1))</f>
        <v/>
      </c>
      <c r="Y434" s="4" t="str">
        <f>IFERROR(__xludf.DUMMYFUNCTION("IF(OR($U434="""",COUNTIF($I:$I,IFERROR(unique(filter(Prod_Prop!$H:$H,Prod_Prop!$G:$G=$U434,Prod_Prop!$E:$E=Y$1)),""Check""))=0),"""",IFERROR(unique(filter(Prod_Prop!$H:$H,Prod_Prop!$G:$G=$U434,Prod_Prop!$E:$E=Y$1)),""""))"),"")</f>
        <v/>
      </c>
      <c r="Z434" s="4" t="str">
        <f>IF(Y434="","",SUMIFS(Prod_Prop!$J:$J,Prod_Prop!$B:$B,$Q434,Prod_Prop!$H:$H,Y434,Prod_Prop!$I:$I,Z$1)*IF(Y434="Peso",$R434,1))</f>
        <v/>
      </c>
      <c r="AA434" s="4" t="str">
        <f>IF(Y434="","",SUMIFS(Prod_Prop!$J:$J,Prod_Prop!$B:$B,$Q434,Prod_Prop!$H:$H,Y434,Prod_Prop!$I:$I,AA$1)*IF(Y434="Peso",$R434,1))</f>
        <v/>
      </c>
      <c r="AB434" s="4" t="str">
        <f>IFERROR(__xludf.DUMMYFUNCTION("IF(OR($U434="""",COUNTIF($I:$I,IFERROR(unique(filter(Prod_Prop!$H:$H,Prod_Prop!$G:$G=$U434,Prod_Prop!$E:$E=AB$1)),""Check""))=0),"""",IFERROR(unique(filter(Prod_Prop!$H:$H,Prod_Prop!$G:$G=$U434,Prod_Prop!$E:$E=AB$1)),""""))"),"")</f>
        <v/>
      </c>
      <c r="AC434" s="4" t="str">
        <f>IF(AB434="","",SUMIFS(Prod_Prop!$J:$J,Prod_Prop!$B:$B,$Q434,Prod_Prop!$H:$H,AB434,Prod_Prop!$I:$I,AC$1)*IF(AB434="Peso",$R434,1))</f>
        <v/>
      </c>
      <c r="AD434" s="4" t="str">
        <f>IF(AB434="","",SUMIFS(Prod_Prop!$J:$J,Prod_Prop!$B:$B,$Q434,Prod_Prop!$H:$H,AB434,Prod_Prop!$I:$I,AD$1)*IF(AB434="Peso",$R434,1))</f>
        <v/>
      </c>
    </row>
    <row r="435">
      <c r="A435" s="4" t="str">
        <f t="array" ref="A435">IF(COUNTIF(A$1:A434,Cotizador!F$2)=maxifs(Familias!E:E,Familias!D:D,Cotizador!F$2),IF(COUNTIF(A$1:A434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5" s="4" t="str">
        <f t="shared" si="1"/>
        <v/>
      </c>
      <c r="C435" s="4" t="str">
        <f t="array" ref="C435">IF(B435="","",IF(A435=XLOOKUP(A$2,Implementos!B:B,Implementos!C:C,"",0,1),B435+maxifs(B$1:B434,A$1:A434,A$2),B435))</f>
        <v/>
      </c>
      <c r="D435" s="4" t="str">
        <f>IF(B435="","", COUNTIFS(Productos!F:F,A435,Productos!H:H,B435)+IF(F435="SI",0,1))</f>
        <v/>
      </c>
      <c r="E435" s="4" t="str">
        <f>IFERROR(__xludf.DUMMYFUNCTION("IF($B435="""","""",INDEX(filter(Familias!F:F,Familias!$D:$D=$A435,Familias!$E:$E=$B435),1))"),"")</f>
        <v/>
      </c>
      <c r="F435" s="4" t="str">
        <f>IFERROR(__xludf.DUMMYFUNCTION("IF($B435="""","""",INDEX(filter(Familias!G:G,Familias!$D:$D=$A435,Familias!$E:$E=$B435),1))"),"")</f>
        <v/>
      </c>
      <c r="G435" s="4" t="str">
        <f t="array" ref="G435">IF(C435=1,XLOOKUP(C435,Cotizador!D:D,Cotizador!E:E,"",0,1),"")</f>
        <v/>
      </c>
      <c r="I435" s="4"/>
      <c r="J435" s="8" t="str">
        <f>IF(I435="","",SUMIF(Cotizador!I$1:V$1,I435,Cotizador!I$2:V$2))</f>
        <v/>
      </c>
      <c r="L435" s="4" t="str">
        <f t="array" ref="L435">IF(COUNTIF(L$1:L434,A$2)=SUMIF(A:A,A$2,D:D),IF(COUNTIF(L$1:L434,XLOOKUP(A$2,Implementos!B:B,Implementos!C:C,"",0,1))=SUMIF(A:A,XLOOKUP(A$2,Implementos!B:B,Implementos!C:C,"",0,1),D:D),"",XLOOKUP(A$2,Implementos!B:B,Implementos!C:C,"",0,1)),A$2)</f>
        <v/>
      </c>
      <c r="M435" s="4" t="str">
        <f t="shared" si="2"/>
        <v/>
      </c>
      <c r="N435" s="4" t="str">
        <f t="shared" si="3"/>
        <v/>
      </c>
      <c r="O435" s="4" t="str">
        <f t="shared" si="4"/>
        <v/>
      </c>
      <c r="P435" s="4" t="str">
        <f t="shared" si="5"/>
        <v/>
      </c>
      <c r="Q435" s="4" t="str">
        <f>IF(U435="","",SUMIF(Productos!E:E,U435,Productos!A:A))</f>
        <v/>
      </c>
      <c r="R435" s="4" t="str">
        <f t="array" ref="R435">IF(L435="","", max(1,SUMIF(I:I,XLOOKUP(U435,Productos!E:E,Productos!G:G,"",0,1),J:J)))</f>
        <v/>
      </c>
      <c r="S435" s="4" t="str">
        <f>IF(Q435="","",IF(SUMIFS(Compat_Vetado!D:D,Compat_Vetado!B:B,SUM(G:G),Compat_Vetado!C:C,Q435)=1,"SI",IF(OR(SUMIF(Cotizador!E:E,Q435,Cotizador!G:G)&gt;0,SUMIFS(Compat_Vetado!D:D,Compat_Vetado!B:B,SUM(G:G),Compat_Vetado!C:C,Q435)=-1),"NO","")))</f>
        <v/>
      </c>
      <c r="T435" s="4" t="str">
        <f t="shared" si="6"/>
        <v/>
      </c>
      <c r="U435" s="4" t="str">
        <f>IFERROR(__xludf.DUMMYFUNCTION("IF(P435="""","""",IFERROR(INDEX(filter(Productos!E:E,Productos!F:F=L435,Productos!H:H=N435),P435),IF(M435=SUM(D:D),""Finalizar"",""-"")))"),"")</f>
        <v/>
      </c>
      <c r="V435" s="4" t="str">
        <f>IFERROR(__xludf.DUMMYFUNCTION("IF(OR($U435="""",COUNTIF($I:$I,IFERROR(unique(filter(Prod_Prop!$H:$H,Prod_Prop!$G:$G=$U435,Prod_Prop!$E:$E=V$1)),""Check""))=0),"""",IFERROR(unique(filter(Prod_Prop!$H:$H,Prod_Prop!$G:$G=$U435,Prod_Prop!$E:$E=V$1)),""""))"),"")</f>
        <v/>
      </c>
      <c r="W435" s="4" t="str">
        <f>IF(V435="","",SUMIFS(Prod_Prop!$J:$J,Prod_Prop!$B:$B,$Q435,Prod_Prop!$H:$H,V435,Prod_Prop!$I:$I,W$1)*IF(V435="Peso",$R435,1))</f>
        <v/>
      </c>
      <c r="X435" s="4" t="str">
        <f>IF(V435="","",SUMIFS(Prod_Prop!$J:$J,Prod_Prop!$B:$B,$Q435,Prod_Prop!$H:$H,V435,Prod_Prop!$I:$I,X$1)*IF(V435="Peso",$R435,1))</f>
        <v/>
      </c>
      <c r="Y435" s="4" t="str">
        <f>IFERROR(__xludf.DUMMYFUNCTION("IF(OR($U435="""",COUNTIF($I:$I,IFERROR(unique(filter(Prod_Prop!$H:$H,Prod_Prop!$G:$G=$U435,Prod_Prop!$E:$E=Y$1)),""Check""))=0),"""",IFERROR(unique(filter(Prod_Prop!$H:$H,Prod_Prop!$G:$G=$U435,Prod_Prop!$E:$E=Y$1)),""""))"),"")</f>
        <v/>
      </c>
      <c r="Z435" s="4" t="str">
        <f>IF(Y435="","",SUMIFS(Prod_Prop!$J:$J,Prod_Prop!$B:$B,$Q435,Prod_Prop!$H:$H,Y435,Prod_Prop!$I:$I,Z$1)*IF(Y435="Peso",$R435,1))</f>
        <v/>
      </c>
      <c r="AA435" s="4" t="str">
        <f>IF(Y435="","",SUMIFS(Prod_Prop!$J:$J,Prod_Prop!$B:$B,$Q435,Prod_Prop!$H:$H,Y435,Prod_Prop!$I:$I,AA$1)*IF(Y435="Peso",$R435,1))</f>
        <v/>
      </c>
      <c r="AB435" s="4" t="str">
        <f>IFERROR(__xludf.DUMMYFUNCTION("IF(OR($U435="""",COUNTIF($I:$I,IFERROR(unique(filter(Prod_Prop!$H:$H,Prod_Prop!$G:$G=$U435,Prod_Prop!$E:$E=AB$1)),""Check""))=0),"""",IFERROR(unique(filter(Prod_Prop!$H:$H,Prod_Prop!$G:$G=$U435,Prod_Prop!$E:$E=AB$1)),""""))"),"")</f>
        <v/>
      </c>
      <c r="AC435" s="4" t="str">
        <f>IF(AB435="","",SUMIFS(Prod_Prop!$J:$J,Prod_Prop!$B:$B,$Q435,Prod_Prop!$H:$H,AB435,Prod_Prop!$I:$I,AC$1)*IF(AB435="Peso",$R435,1))</f>
        <v/>
      </c>
      <c r="AD435" s="4" t="str">
        <f>IF(AB435="","",SUMIFS(Prod_Prop!$J:$J,Prod_Prop!$B:$B,$Q435,Prod_Prop!$H:$H,AB435,Prod_Prop!$I:$I,AD$1)*IF(AB435="Peso",$R435,1))</f>
        <v/>
      </c>
    </row>
    <row r="436">
      <c r="A436" s="4" t="str">
        <f t="array" ref="A436">IF(COUNTIF(A$1:A435,Cotizador!F$2)=maxifs(Familias!E:E,Familias!D:D,Cotizador!F$2),IF(COUNTIF(A$1:A435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6" s="4" t="str">
        <f t="shared" si="1"/>
        <v/>
      </c>
      <c r="C436" s="4" t="str">
        <f t="array" ref="C436">IF(B436="","",IF(A436=XLOOKUP(A$2,Implementos!B:B,Implementos!C:C,"",0,1),B436+maxifs(B$1:B435,A$1:A435,A$2),B436))</f>
        <v/>
      </c>
      <c r="D436" s="4" t="str">
        <f>IF(B436="","", COUNTIFS(Productos!F:F,A436,Productos!H:H,B436)+IF(F436="SI",0,1))</f>
        <v/>
      </c>
      <c r="E436" s="4" t="str">
        <f>IFERROR(__xludf.DUMMYFUNCTION("IF($B436="""","""",INDEX(filter(Familias!F:F,Familias!$D:$D=$A436,Familias!$E:$E=$B436),1))"),"")</f>
        <v/>
      </c>
      <c r="F436" s="4" t="str">
        <f>IFERROR(__xludf.DUMMYFUNCTION("IF($B436="""","""",INDEX(filter(Familias!G:G,Familias!$D:$D=$A436,Familias!$E:$E=$B436),1))"),"")</f>
        <v/>
      </c>
      <c r="G436" s="4" t="str">
        <f t="array" ref="G436">IF(C436=1,XLOOKUP(C436,Cotizador!D:D,Cotizador!E:E,"",0,1),"")</f>
        <v/>
      </c>
      <c r="I436" s="4"/>
      <c r="J436" s="8" t="str">
        <f>IF(I436="","",SUMIF(Cotizador!I$1:V$1,I436,Cotizador!I$2:V$2))</f>
        <v/>
      </c>
      <c r="L436" s="4" t="str">
        <f t="array" ref="L436">IF(COUNTIF(L$1:L435,A$2)=SUMIF(A:A,A$2,D:D),IF(COUNTIF(L$1:L435,XLOOKUP(A$2,Implementos!B:B,Implementos!C:C,"",0,1))=SUMIF(A:A,XLOOKUP(A$2,Implementos!B:B,Implementos!C:C,"",0,1),D:D),"",XLOOKUP(A$2,Implementos!B:B,Implementos!C:C,"",0,1)),A$2)</f>
        <v/>
      </c>
      <c r="M436" s="4" t="str">
        <f t="shared" si="2"/>
        <v/>
      </c>
      <c r="N436" s="4" t="str">
        <f t="shared" si="3"/>
        <v/>
      </c>
      <c r="O436" s="4" t="str">
        <f t="shared" si="4"/>
        <v/>
      </c>
      <c r="P436" s="4" t="str">
        <f t="shared" si="5"/>
        <v/>
      </c>
      <c r="Q436" s="4" t="str">
        <f>IF(U436="","",SUMIF(Productos!E:E,U436,Productos!A:A))</f>
        <v/>
      </c>
      <c r="R436" s="4" t="str">
        <f t="array" ref="R436">IF(L436="","", max(1,SUMIF(I:I,XLOOKUP(U436,Productos!E:E,Productos!G:G,"",0,1),J:J)))</f>
        <v/>
      </c>
      <c r="S436" s="4" t="str">
        <f>IF(Q436="","",IF(SUMIFS(Compat_Vetado!D:D,Compat_Vetado!B:B,SUM(G:G),Compat_Vetado!C:C,Q436)=1,"SI",IF(OR(SUMIF(Cotizador!E:E,Q436,Cotizador!G:G)&gt;0,SUMIFS(Compat_Vetado!D:D,Compat_Vetado!B:B,SUM(G:G),Compat_Vetado!C:C,Q436)=-1),"NO","")))</f>
        <v/>
      </c>
      <c r="T436" s="4" t="str">
        <f t="shared" si="6"/>
        <v/>
      </c>
      <c r="U436" s="4" t="str">
        <f>IFERROR(__xludf.DUMMYFUNCTION("IF(P436="""","""",IFERROR(INDEX(filter(Productos!E:E,Productos!F:F=L436,Productos!H:H=N436),P436),IF(M436=SUM(D:D),""Finalizar"",""-"")))"),"")</f>
        <v/>
      </c>
      <c r="V436" s="4" t="str">
        <f>IFERROR(__xludf.DUMMYFUNCTION("IF(OR($U436="""",COUNTIF($I:$I,IFERROR(unique(filter(Prod_Prop!$H:$H,Prod_Prop!$G:$G=$U436,Prod_Prop!$E:$E=V$1)),""Check""))=0),"""",IFERROR(unique(filter(Prod_Prop!$H:$H,Prod_Prop!$G:$G=$U436,Prod_Prop!$E:$E=V$1)),""""))"),"")</f>
        <v/>
      </c>
      <c r="W436" s="4" t="str">
        <f>IF(V436="","",SUMIFS(Prod_Prop!$J:$J,Prod_Prop!$B:$B,$Q436,Prod_Prop!$H:$H,V436,Prod_Prop!$I:$I,W$1)*IF(V436="Peso",$R436,1))</f>
        <v/>
      </c>
      <c r="X436" s="4" t="str">
        <f>IF(V436="","",SUMIFS(Prod_Prop!$J:$J,Prod_Prop!$B:$B,$Q436,Prod_Prop!$H:$H,V436,Prod_Prop!$I:$I,X$1)*IF(V436="Peso",$R436,1))</f>
        <v/>
      </c>
      <c r="Y436" s="4" t="str">
        <f>IFERROR(__xludf.DUMMYFUNCTION("IF(OR($U436="""",COUNTIF($I:$I,IFERROR(unique(filter(Prod_Prop!$H:$H,Prod_Prop!$G:$G=$U436,Prod_Prop!$E:$E=Y$1)),""Check""))=0),"""",IFERROR(unique(filter(Prod_Prop!$H:$H,Prod_Prop!$G:$G=$U436,Prod_Prop!$E:$E=Y$1)),""""))"),"")</f>
        <v/>
      </c>
      <c r="Z436" s="4" t="str">
        <f>IF(Y436="","",SUMIFS(Prod_Prop!$J:$J,Prod_Prop!$B:$B,$Q436,Prod_Prop!$H:$H,Y436,Prod_Prop!$I:$I,Z$1)*IF(Y436="Peso",$R436,1))</f>
        <v/>
      </c>
      <c r="AA436" s="4" t="str">
        <f>IF(Y436="","",SUMIFS(Prod_Prop!$J:$J,Prod_Prop!$B:$B,$Q436,Prod_Prop!$H:$H,Y436,Prod_Prop!$I:$I,AA$1)*IF(Y436="Peso",$R436,1))</f>
        <v/>
      </c>
      <c r="AB436" s="4" t="str">
        <f>IFERROR(__xludf.DUMMYFUNCTION("IF(OR($U436="""",COUNTIF($I:$I,IFERROR(unique(filter(Prod_Prop!$H:$H,Prod_Prop!$G:$G=$U436,Prod_Prop!$E:$E=AB$1)),""Check""))=0),"""",IFERROR(unique(filter(Prod_Prop!$H:$H,Prod_Prop!$G:$G=$U436,Prod_Prop!$E:$E=AB$1)),""""))"),"")</f>
        <v/>
      </c>
      <c r="AC436" s="4" t="str">
        <f>IF(AB436="","",SUMIFS(Prod_Prop!$J:$J,Prod_Prop!$B:$B,$Q436,Prod_Prop!$H:$H,AB436,Prod_Prop!$I:$I,AC$1)*IF(AB436="Peso",$R436,1))</f>
        <v/>
      </c>
      <c r="AD436" s="4" t="str">
        <f>IF(AB436="","",SUMIFS(Prod_Prop!$J:$J,Prod_Prop!$B:$B,$Q436,Prod_Prop!$H:$H,AB436,Prod_Prop!$I:$I,AD$1)*IF(AB436="Peso",$R436,1))</f>
        <v/>
      </c>
    </row>
    <row r="437">
      <c r="A437" s="4" t="str">
        <f t="array" ref="A437">IF(COUNTIF(A$1:A436,Cotizador!F$2)=maxifs(Familias!E:E,Familias!D:D,Cotizador!F$2),IF(COUNTIF(A$1:A436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7" s="4" t="str">
        <f t="shared" si="1"/>
        <v/>
      </c>
      <c r="C437" s="4" t="str">
        <f t="array" ref="C437">IF(B437="","",IF(A437=XLOOKUP(A$2,Implementos!B:B,Implementos!C:C,"",0,1),B437+maxifs(B$1:B436,A$1:A436,A$2),B437))</f>
        <v/>
      </c>
      <c r="D437" s="4" t="str">
        <f>IF(B437="","", COUNTIFS(Productos!F:F,A437,Productos!H:H,B437)+IF(F437="SI",0,1))</f>
        <v/>
      </c>
      <c r="E437" s="4" t="str">
        <f>IFERROR(__xludf.DUMMYFUNCTION("IF($B437="""","""",INDEX(filter(Familias!F:F,Familias!$D:$D=$A437,Familias!$E:$E=$B437),1))"),"")</f>
        <v/>
      </c>
      <c r="F437" s="4" t="str">
        <f>IFERROR(__xludf.DUMMYFUNCTION("IF($B437="""","""",INDEX(filter(Familias!G:G,Familias!$D:$D=$A437,Familias!$E:$E=$B437),1))"),"")</f>
        <v/>
      </c>
      <c r="G437" s="4" t="str">
        <f t="array" ref="G437">IF(C437=1,XLOOKUP(C437,Cotizador!D:D,Cotizador!E:E,"",0,1),"")</f>
        <v/>
      </c>
      <c r="I437" s="4"/>
      <c r="J437" s="8" t="str">
        <f>IF(I437="","",SUMIF(Cotizador!I$1:V$1,I437,Cotizador!I$2:V$2))</f>
        <v/>
      </c>
      <c r="L437" s="4" t="str">
        <f t="array" ref="L437">IF(COUNTIF(L$1:L436,A$2)=SUMIF(A:A,A$2,D:D),IF(COUNTIF(L$1:L436,XLOOKUP(A$2,Implementos!B:B,Implementos!C:C,"",0,1))=SUMIF(A:A,XLOOKUP(A$2,Implementos!B:B,Implementos!C:C,"",0,1),D:D),"",XLOOKUP(A$2,Implementos!B:B,Implementos!C:C,"",0,1)),A$2)</f>
        <v/>
      </c>
      <c r="M437" s="4" t="str">
        <f t="shared" si="2"/>
        <v/>
      </c>
      <c r="N437" s="4" t="str">
        <f t="shared" si="3"/>
        <v/>
      </c>
      <c r="O437" s="4" t="str">
        <f t="shared" si="4"/>
        <v/>
      </c>
      <c r="P437" s="4" t="str">
        <f t="shared" si="5"/>
        <v/>
      </c>
      <c r="Q437" s="4" t="str">
        <f>IF(U437="","",SUMIF(Productos!E:E,U437,Productos!A:A))</f>
        <v/>
      </c>
      <c r="R437" s="4" t="str">
        <f t="array" ref="R437">IF(L437="","", max(1,SUMIF(I:I,XLOOKUP(U437,Productos!E:E,Productos!G:G,"",0,1),J:J)))</f>
        <v/>
      </c>
      <c r="S437" s="4" t="str">
        <f>IF(Q437="","",IF(SUMIFS(Compat_Vetado!D:D,Compat_Vetado!B:B,SUM(G:G),Compat_Vetado!C:C,Q437)=1,"SI",IF(OR(SUMIF(Cotizador!E:E,Q437,Cotizador!G:G)&gt;0,SUMIFS(Compat_Vetado!D:D,Compat_Vetado!B:B,SUM(G:G),Compat_Vetado!C:C,Q437)=-1),"NO","")))</f>
        <v/>
      </c>
      <c r="T437" s="4" t="str">
        <f t="shared" si="6"/>
        <v/>
      </c>
      <c r="U437" s="4" t="str">
        <f>IFERROR(__xludf.DUMMYFUNCTION("IF(P437="""","""",IFERROR(INDEX(filter(Productos!E:E,Productos!F:F=L437,Productos!H:H=N437),P437),IF(M437=SUM(D:D),""Finalizar"",""-"")))"),"")</f>
        <v/>
      </c>
      <c r="V437" s="4" t="str">
        <f>IFERROR(__xludf.DUMMYFUNCTION("IF(OR($U437="""",COUNTIF($I:$I,IFERROR(unique(filter(Prod_Prop!$H:$H,Prod_Prop!$G:$G=$U437,Prod_Prop!$E:$E=V$1)),""Check""))=0),"""",IFERROR(unique(filter(Prod_Prop!$H:$H,Prod_Prop!$G:$G=$U437,Prod_Prop!$E:$E=V$1)),""""))"),"")</f>
        <v/>
      </c>
      <c r="W437" s="4" t="str">
        <f>IF(V437="","",SUMIFS(Prod_Prop!$J:$J,Prod_Prop!$B:$B,$Q437,Prod_Prop!$H:$H,V437,Prod_Prop!$I:$I,W$1)*IF(V437="Peso",$R437,1))</f>
        <v/>
      </c>
      <c r="X437" s="4" t="str">
        <f>IF(V437="","",SUMIFS(Prod_Prop!$J:$J,Prod_Prop!$B:$B,$Q437,Prod_Prop!$H:$H,V437,Prod_Prop!$I:$I,X$1)*IF(V437="Peso",$R437,1))</f>
        <v/>
      </c>
      <c r="Y437" s="4" t="str">
        <f>IFERROR(__xludf.DUMMYFUNCTION("IF(OR($U437="""",COUNTIF($I:$I,IFERROR(unique(filter(Prod_Prop!$H:$H,Prod_Prop!$G:$G=$U437,Prod_Prop!$E:$E=Y$1)),""Check""))=0),"""",IFERROR(unique(filter(Prod_Prop!$H:$H,Prod_Prop!$G:$G=$U437,Prod_Prop!$E:$E=Y$1)),""""))"),"")</f>
        <v/>
      </c>
      <c r="Z437" s="4" t="str">
        <f>IF(Y437="","",SUMIFS(Prod_Prop!$J:$J,Prod_Prop!$B:$B,$Q437,Prod_Prop!$H:$H,Y437,Prod_Prop!$I:$I,Z$1)*IF(Y437="Peso",$R437,1))</f>
        <v/>
      </c>
      <c r="AA437" s="4" t="str">
        <f>IF(Y437="","",SUMIFS(Prod_Prop!$J:$J,Prod_Prop!$B:$B,$Q437,Prod_Prop!$H:$H,Y437,Prod_Prop!$I:$I,AA$1)*IF(Y437="Peso",$R437,1))</f>
        <v/>
      </c>
      <c r="AB437" s="4" t="str">
        <f>IFERROR(__xludf.DUMMYFUNCTION("IF(OR($U437="""",COUNTIF($I:$I,IFERROR(unique(filter(Prod_Prop!$H:$H,Prod_Prop!$G:$G=$U437,Prod_Prop!$E:$E=AB$1)),""Check""))=0),"""",IFERROR(unique(filter(Prod_Prop!$H:$H,Prod_Prop!$G:$G=$U437,Prod_Prop!$E:$E=AB$1)),""""))"),"")</f>
        <v/>
      </c>
      <c r="AC437" s="4" t="str">
        <f>IF(AB437="","",SUMIFS(Prod_Prop!$J:$J,Prod_Prop!$B:$B,$Q437,Prod_Prop!$H:$H,AB437,Prod_Prop!$I:$I,AC$1)*IF(AB437="Peso",$R437,1))</f>
        <v/>
      </c>
      <c r="AD437" s="4" t="str">
        <f>IF(AB437="","",SUMIFS(Prod_Prop!$J:$J,Prod_Prop!$B:$B,$Q437,Prod_Prop!$H:$H,AB437,Prod_Prop!$I:$I,AD$1)*IF(AB437="Peso",$R437,1))</f>
        <v/>
      </c>
    </row>
    <row r="438">
      <c r="A438" s="4" t="str">
        <f t="array" ref="A438">IF(COUNTIF(A$1:A437,Cotizador!F$2)=maxifs(Familias!E:E,Familias!D:D,Cotizador!F$2),IF(COUNTIF(A$1:A437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8" s="4" t="str">
        <f t="shared" si="1"/>
        <v/>
      </c>
      <c r="C438" s="4" t="str">
        <f t="array" ref="C438">IF(B438="","",IF(A438=XLOOKUP(A$2,Implementos!B:B,Implementos!C:C,"",0,1),B438+maxifs(B$1:B437,A$1:A437,A$2),B438))</f>
        <v/>
      </c>
      <c r="D438" s="4" t="str">
        <f>IF(B438="","", COUNTIFS(Productos!F:F,A438,Productos!H:H,B438)+IF(F438="SI",0,1))</f>
        <v/>
      </c>
      <c r="E438" s="4" t="str">
        <f>IFERROR(__xludf.DUMMYFUNCTION("IF($B438="""","""",INDEX(filter(Familias!F:F,Familias!$D:$D=$A438,Familias!$E:$E=$B438),1))"),"")</f>
        <v/>
      </c>
      <c r="F438" s="4" t="str">
        <f>IFERROR(__xludf.DUMMYFUNCTION("IF($B438="""","""",INDEX(filter(Familias!G:G,Familias!$D:$D=$A438,Familias!$E:$E=$B438),1))"),"")</f>
        <v/>
      </c>
      <c r="G438" s="4" t="str">
        <f t="array" ref="G438">IF(C438=1,XLOOKUP(C438,Cotizador!D:D,Cotizador!E:E,"",0,1),"")</f>
        <v/>
      </c>
      <c r="I438" s="4"/>
      <c r="J438" s="8" t="str">
        <f>IF(I438="","",SUMIF(Cotizador!I$1:V$1,I438,Cotizador!I$2:V$2))</f>
        <v/>
      </c>
      <c r="L438" s="4" t="str">
        <f t="array" ref="L438">IF(COUNTIF(L$1:L437,A$2)=SUMIF(A:A,A$2,D:D),IF(COUNTIF(L$1:L437,XLOOKUP(A$2,Implementos!B:B,Implementos!C:C,"",0,1))=SUMIF(A:A,XLOOKUP(A$2,Implementos!B:B,Implementos!C:C,"",0,1),D:D),"",XLOOKUP(A$2,Implementos!B:B,Implementos!C:C,"",0,1)),A$2)</f>
        <v/>
      </c>
      <c r="M438" s="4" t="str">
        <f t="shared" si="2"/>
        <v/>
      </c>
      <c r="N438" s="4" t="str">
        <f t="shared" si="3"/>
        <v/>
      </c>
      <c r="O438" s="4" t="str">
        <f t="shared" si="4"/>
        <v/>
      </c>
      <c r="P438" s="4" t="str">
        <f t="shared" si="5"/>
        <v/>
      </c>
      <c r="Q438" s="4" t="str">
        <f>IF(U438="","",SUMIF(Productos!E:E,U438,Productos!A:A))</f>
        <v/>
      </c>
      <c r="R438" s="4" t="str">
        <f t="array" ref="R438">IF(L438="","", max(1,SUMIF(I:I,XLOOKUP(U438,Productos!E:E,Productos!G:G,"",0,1),J:J)))</f>
        <v/>
      </c>
      <c r="S438" s="4" t="str">
        <f>IF(Q438="","",IF(SUMIFS(Compat_Vetado!D:D,Compat_Vetado!B:B,SUM(G:G),Compat_Vetado!C:C,Q438)=1,"SI",IF(OR(SUMIF(Cotizador!E:E,Q438,Cotizador!G:G)&gt;0,SUMIFS(Compat_Vetado!D:D,Compat_Vetado!B:B,SUM(G:G),Compat_Vetado!C:C,Q438)=-1),"NO","")))</f>
        <v/>
      </c>
      <c r="T438" s="4" t="str">
        <f t="shared" si="6"/>
        <v/>
      </c>
      <c r="U438" s="4" t="str">
        <f>IFERROR(__xludf.DUMMYFUNCTION("IF(P438="""","""",IFERROR(INDEX(filter(Productos!E:E,Productos!F:F=L438,Productos!H:H=N438),P438),IF(M438=SUM(D:D),""Finalizar"",""-"")))"),"")</f>
        <v/>
      </c>
      <c r="V438" s="4" t="str">
        <f>IFERROR(__xludf.DUMMYFUNCTION("IF(OR($U438="""",COUNTIF($I:$I,IFERROR(unique(filter(Prod_Prop!$H:$H,Prod_Prop!$G:$G=$U438,Prod_Prop!$E:$E=V$1)),""Check""))=0),"""",IFERROR(unique(filter(Prod_Prop!$H:$H,Prod_Prop!$G:$G=$U438,Prod_Prop!$E:$E=V$1)),""""))"),"")</f>
        <v/>
      </c>
      <c r="W438" s="4" t="str">
        <f>IF(V438="","",SUMIFS(Prod_Prop!$J:$J,Prod_Prop!$B:$B,$Q438,Prod_Prop!$H:$H,V438,Prod_Prop!$I:$I,W$1)*IF(V438="Peso",$R438,1))</f>
        <v/>
      </c>
      <c r="X438" s="4" t="str">
        <f>IF(V438="","",SUMIFS(Prod_Prop!$J:$J,Prod_Prop!$B:$B,$Q438,Prod_Prop!$H:$H,V438,Prod_Prop!$I:$I,X$1)*IF(V438="Peso",$R438,1))</f>
        <v/>
      </c>
      <c r="Y438" s="4" t="str">
        <f>IFERROR(__xludf.DUMMYFUNCTION("IF(OR($U438="""",COUNTIF($I:$I,IFERROR(unique(filter(Prod_Prop!$H:$H,Prod_Prop!$G:$G=$U438,Prod_Prop!$E:$E=Y$1)),""Check""))=0),"""",IFERROR(unique(filter(Prod_Prop!$H:$H,Prod_Prop!$G:$G=$U438,Prod_Prop!$E:$E=Y$1)),""""))"),"")</f>
        <v/>
      </c>
      <c r="Z438" s="4" t="str">
        <f>IF(Y438="","",SUMIFS(Prod_Prop!$J:$J,Prod_Prop!$B:$B,$Q438,Prod_Prop!$H:$H,Y438,Prod_Prop!$I:$I,Z$1)*IF(Y438="Peso",$R438,1))</f>
        <v/>
      </c>
      <c r="AA438" s="4" t="str">
        <f>IF(Y438="","",SUMIFS(Prod_Prop!$J:$J,Prod_Prop!$B:$B,$Q438,Prod_Prop!$H:$H,Y438,Prod_Prop!$I:$I,AA$1)*IF(Y438="Peso",$R438,1))</f>
        <v/>
      </c>
      <c r="AB438" s="4" t="str">
        <f>IFERROR(__xludf.DUMMYFUNCTION("IF(OR($U438="""",COUNTIF($I:$I,IFERROR(unique(filter(Prod_Prop!$H:$H,Prod_Prop!$G:$G=$U438,Prod_Prop!$E:$E=AB$1)),""Check""))=0),"""",IFERROR(unique(filter(Prod_Prop!$H:$H,Prod_Prop!$G:$G=$U438,Prod_Prop!$E:$E=AB$1)),""""))"),"")</f>
        <v/>
      </c>
      <c r="AC438" s="4" t="str">
        <f>IF(AB438="","",SUMIFS(Prod_Prop!$J:$J,Prod_Prop!$B:$B,$Q438,Prod_Prop!$H:$H,AB438,Prod_Prop!$I:$I,AC$1)*IF(AB438="Peso",$R438,1))</f>
        <v/>
      </c>
      <c r="AD438" s="4" t="str">
        <f>IF(AB438="","",SUMIFS(Prod_Prop!$J:$J,Prod_Prop!$B:$B,$Q438,Prod_Prop!$H:$H,AB438,Prod_Prop!$I:$I,AD$1)*IF(AB438="Peso",$R438,1))</f>
        <v/>
      </c>
    </row>
    <row r="439">
      <c r="A439" s="4" t="str">
        <f t="array" ref="A439">IF(COUNTIF(A$1:A438,Cotizador!F$2)=maxifs(Familias!E:E,Familias!D:D,Cotizador!F$2),IF(COUNTIF(A$1:A438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39" s="4" t="str">
        <f t="shared" si="1"/>
        <v/>
      </c>
      <c r="C439" s="4" t="str">
        <f t="array" ref="C439">IF(B439="","",IF(A439=XLOOKUP(A$2,Implementos!B:B,Implementos!C:C,"",0,1),B439+maxifs(B$1:B438,A$1:A438,A$2),B439))</f>
        <v/>
      </c>
      <c r="D439" s="4" t="str">
        <f>IF(B439="","", COUNTIFS(Productos!F:F,A439,Productos!H:H,B439)+IF(F439="SI",0,1))</f>
        <v/>
      </c>
      <c r="E439" s="4" t="str">
        <f>IFERROR(__xludf.DUMMYFUNCTION("IF($B439="""","""",INDEX(filter(Familias!F:F,Familias!$D:$D=$A439,Familias!$E:$E=$B439),1))"),"")</f>
        <v/>
      </c>
      <c r="F439" s="4" t="str">
        <f>IFERROR(__xludf.DUMMYFUNCTION("IF($B439="""","""",INDEX(filter(Familias!G:G,Familias!$D:$D=$A439,Familias!$E:$E=$B439),1))"),"")</f>
        <v/>
      </c>
      <c r="G439" s="4" t="str">
        <f t="array" ref="G439">IF(C439=1,XLOOKUP(C439,Cotizador!D:D,Cotizador!E:E,"",0,1),"")</f>
        <v/>
      </c>
      <c r="I439" s="4"/>
      <c r="J439" s="8" t="str">
        <f>IF(I439="","",SUMIF(Cotizador!I$1:V$1,I439,Cotizador!I$2:V$2))</f>
        <v/>
      </c>
      <c r="L439" s="4" t="str">
        <f t="array" ref="L439">IF(COUNTIF(L$1:L438,A$2)=SUMIF(A:A,A$2,D:D),IF(COUNTIF(L$1:L438,XLOOKUP(A$2,Implementos!B:B,Implementos!C:C,"",0,1))=SUMIF(A:A,XLOOKUP(A$2,Implementos!B:B,Implementos!C:C,"",0,1),D:D),"",XLOOKUP(A$2,Implementos!B:B,Implementos!C:C,"",0,1)),A$2)</f>
        <v/>
      </c>
      <c r="M439" s="4" t="str">
        <f t="shared" si="2"/>
        <v/>
      </c>
      <c r="N439" s="4" t="str">
        <f t="shared" si="3"/>
        <v/>
      </c>
      <c r="O439" s="4" t="str">
        <f t="shared" si="4"/>
        <v/>
      </c>
      <c r="P439" s="4" t="str">
        <f t="shared" si="5"/>
        <v/>
      </c>
      <c r="Q439" s="4" t="str">
        <f>IF(U439="","",SUMIF(Productos!E:E,U439,Productos!A:A))</f>
        <v/>
      </c>
      <c r="R439" s="4" t="str">
        <f t="array" ref="R439">IF(L439="","", max(1,SUMIF(I:I,XLOOKUP(U439,Productos!E:E,Productos!G:G,"",0,1),J:J)))</f>
        <v/>
      </c>
      <c r="S439" s="4" t="str">
        <f>IF(Q439="","",IF(SUMIFS(Compat_Vetado!D:D,Compat_Vetado!B:B,SUM(G:G),Compat_Vetado!C:C,Q439)=1,"SI",IF(OR(SUMIF(Cotizador!E:E,Q439,Cotizador!G:G)&gt;0,SUMIFS(Compat_Vetado!D:D,Compat_Vetado!B:B,SUM(G:G),Compat_Vetado!C:C,Q439)=-1),"NO","")))</f>
        <v/>
      </c>
      <c r="T439" s="4" t="str">
        <f t="shared" si="6"/>
        <v/>
      </c>
      <c r="U439" s="4" t="str">
        <f>IFERROR(__xludf.DUMMYFUNCTION("IF(P439="""","""",IFERROR(INDEX(filter(Productos!E:E,Productos!F:F=L439,Productos!H:H=N439),P439),IF(M439=SUM(D:D),""Finalizar"",""-"")))"),"")</f>
        <v/>
      </c>
      <c r="V439" s="4" t="str">
        <f>IFERROR(__xludf.DUMMYFUNCTION("IF(OR($U439="""",COUNTIF($I:$I,IFERROR(unique(filter(Prod_Prop!$H:$H,Prod_Prop!$G:$G=$U439,Prod_Prop!$E:$E=V$1)),""Check""))=0),"""",IFERROR(unique(filter(Prod_Prop!$H:$H,Prod_Prop!$G:$G=$U439,Prod_Prop!$E:$E=V$1)),""""))"),"")</f>
        <v/>
      </c>
      <c r="W439" s="4" t="str">
        <f>IF(V439="","",SUMIFS(Prod_Prop!$J:$J,Prod_Prop!$B:$B,$Q439,Prod_Prop!$H:$H,V439,Prod_Prop!$I:$I,W$1)*IF(V439="Peso",$R439,1))</f>
        <v/>
      </c>
      <c r="X439" s="4" t="str">
        <f>IF(V439="","",SUMIFS(Prod_Prop!$J:$J,Prod_Prop!$B:$B,$Q439,Prod_Prop!$H:$H,V439,Prod_Prop!$I:$I,X$1)*IF(V439="Peso",$R439,1))</f>
        <v/>
      </c>
      <c r="Y439" s="4" t="str">
        <f>IFERROR(__xludf.DUMMYFUNCTION("IF(OR($U439="""",COUNTIF($I:$I,IFERROR(unique(filter(Prod_Prop!$H:$H,Prod_Prop!$G:$G=$U439,Prod_Prop!$E:$E=Y$1)),""Check""))=0),"""",IFERROR(unique(filter(Prod_Prop!$H:$H,Prod_Prop!$G:$G=$U439,Prod_Prop!$E:$E=Y$1)),""""))"),"")</f>
        <v/>
      </c>
      <c r="Z439" s="4" t="str">
        <f>IF(Y439="","",SUMIFS(Prod_Prop!$J:$J,Prod_Prop!$B:$B,$Q439,Prod_Prop!$H:$H,Y439,Prod_Prop!$I:$I,Z$1)*IF(Y439="Peso",$R439,1))</f>
        <v/>
      </c>
      <c r="AA439" s="4" t="str">
        <f>IF(Y439="","",SUMIFS(Prod_Prop!$J:$J,Prod_Prop!$B:$B,$Q439,Prod_Prop!$H:$H,Y439,Prod_Prop!$I:$I,AA$1)*IF(Y439="Peso",$R439,1))</f>
        <v/>
      </c>
      <c r="AB439" s="4" t="str">
        <f>IFERROR(__xludf.DUMMYFUNCTION("IF(OR($U439="""",COUNTIF($I:$I,IFERROR(unique(filter(Prod_Prop!$H:$H,Prod_Prop!$G:$G=$U439,Prod_Prop!$E:$E=AB$1)),""Check""))=0),"""",IFERROR(unique(filter(Prod_Prop!$H:$H,Prod_Prop!$G:$G=$U439,Prod_Prop!$E:$E=AB$1)),""""))"),"")</f>
        <v/>
      </c>
      <c r="AC439" s="4" t="str">
        <f>IF(AB439="","",SUMIFS(Prod_Prop!$J:$J,Prod_Prop!$B:$B,$Q439,Prod_Prop!$H:$H,AB439,Prod_Prop!$I:$I,AC$1)*IF(AB439="Peso",$R439,1))</f>
        <v/>
      </c>
      <c r="AD439" s="4" t="str">
        <f>IF(AB439="","",SUMIFS(Prod_Prop!$J:$J,Prod_Prop!$B:$B,$Q439,Prod_Prop!$H:$H,AB439,Prod_Prop!$I:$I,AD$1)*IF(AB439="Peso",$R439,1))</f>
        <v/>
      </c>
    </row>
    <row r="440">
      <c r="A440" s="4" t="str">
        <f t="array" ref="A440">IF(COUNTIF(A$1:A439,Cotizador!F$2)=maxifs(Familias!E:E,Familias!D:D,Cotizador!F$2),IF(COUNTIF(A$1:A439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0" s="4" t="str">
        <f t="shared" si="1"/>
        <v/>
      </c>
      <c r="C440" s="4" t="str">
        <f t="array" ref="C440">IF(B440="","",IF(A440=XLOOKUP(A$2,Implementos!B:B,Implementos!C:C,"",0,1),B440+maxifs(B$1:B439,A$1:A439,A$2),B440))</f>
        <v/>
      </c>
      <c r="D440" s="4" t="str">
        <f>IF(B440="","", COUNTIFS(Productos!F:F,A440,Productos!H:H,B440)+IF(F440="SI",0,1))</f>
        <v/>
      </c>
      <c r="E440" s="4" t="str">
        <f>IFERROR(__xludf.DUMMYFUNCTION("IF($B440="""","""",INDEX(filter(Familias!F:F,Familias!$D:$D=$A440,Familias!$E:$E=$B440),1))"),"")</f>
        <v/>
      </c>
      <c r="F440" s="4" t="str">
        <f>IFERROR(__xludf.DUMMYFUNCTION("IF($B440="""","""",INDEX(filter(Familias!G:G,Familias!$D:$D=$A440,Familias!$E:$E=$B440),1))"),"")</f>
        <v/>
      </c>
      <c r="G440" s="4" t="str">
        <f t="array" ref="G440">IF(C440=1,XLOOKUP(C440,Cotizador!D:D,Cotizador!E:E,"",0,1),"")</f>
        <v/>
      </c>
      <c r="I440" s="4"/>
      <c r="J440" s="8" t="str">
        <f>IF(I440="","",SUMIF(Cotizador!I$1:V$1,I440,Cotizador!I$2:V$2))</f>
        <v/>
      </c>
      <c r="L440" s="4" t="str">
        <f t="array" ref="L440">IF(COUNTIF(L$1:L439,A$2)=SUMIF(A:A,A$2,D:D),IF(COUNTIF(L$1:L439,XLOOKUP(A$2,Implementos!B:B,Implementos!C:C,"",0,1))=SUMIF(A:A,XLOOKUP(A$2,Implementos!B:B,Implementos!C:C,"",0,1),D:D),"",XLOOKUP(A$2,Implementos!B:B,Implementos!C:C,"",0,1)),A$2)</f>
        <v/>
      </c>
      <c r="M440" s="4" t="str">
        <f t="shared" si="2"/>
        <v/>
      </c>
      <c r="N440" s="4" t="str">
        <f t="shared" si="3"/>
        <v/>
      </c>
      <c r="O440" s="4" t="str">
        <f t="shared" si="4"/>
        <v/>
      </c>
      <c r="P440" s="4" t="str">
        <f t="shared" si="5"/>
        <v/>
      </c>
      <c r="Q440" s="4" t="str">
        <f>IF(U440="","",SUMIF(Productos!E:E,U440,Productos!A:A))</f>
        <v/>
      </c>
      <c r="R440" s="4" t="str">
        <f t="array" ref="R440">IF(L440="","", max(1,SUMIF(I:I,XLOOKUP(U440,Productos!E:E,Productos!G:G,"",0,1),J:J)))</f>
        <v/>
      </c>
      <c r="S440" s="4" t="str">
        <f>IF(Q440="","",IF(SUMIFS(Compat_Vetado!D:D,Compat_Vetado!B:B,SUM(G:G),Compat_Vetado!C:C,Q440)=1,"SI",IF(OR(SUMIF(Cotizador!E:E,Q440,Cotizador!G:G)&gt;0,SUMIFS(Compat_Vetado!D:D,Compat_Vetado!B:B,SUM(G:G),Compat_Vetado!C:C,Q440)=-1),"NO","")))</f>
        <v/>
      </c>
      <c r="T440" s="4" t="str">
        <f t="shared" si="6"/>
        <v/>
      </c>
      <c r="U440" s="4" t="str">
        <f>IFERROR(__xludf.DUMMYFUNCTION("IF(P440="""","""",IFERROR(INDEX(filter(Productos!E:E,Productos!F:F=L440,Productos!H:H=N440),P440),IF(M440=SUM(D:D),""Finalizar"",""-"")))"),"")</f>
        <v/>
      </c>
      <c r="V440" s="4" t="str">
        <f>IFERROR(__xludf.DUMMYFUNCTION("IF(OR($U440="""",COUNTIF($I:$I,IFERROR(unique(filter(Prod_Prop!$H:$H,Prod_Prop!$G:$G=$U440,Prod_Prop!$E:$E=V$1)),""Check""))=0),"""",IFERROR(unique(filter(Prod_Prop!$H:$H,Prod_Prop!$G:$G=$U440,Prod_Prop!$E:$E=V$1)),""""))"),"")</f>
        <v/>
      </c>
      <c r="W440" s="4" t="str">
        <f>IF(V440="","",SUMIFS(Prod_Prop!$J:$J,Prod_Prop!$B:$B,$Q440,Prod_Prop!$H:$H,V440,Prod_Prop!$I:$I,W$1)*IF(V440="Peso",$R440,1))</f>
        <v/>
      </c>
      <c r="X440" s="4" t="str">
        <f>IF(V440="","",SUMIFS(Prod_Prop!$J:$J,Prod_Prop!$B:$B,$Q440,Prod_Prop!$H:$H,V440,Prod_Prop!$I:$I,X$1)*IF(V440="Peso",$R440,1))</f>
        <v/>
      </c>
      <c r="Y440" s="4" t="str">
        <f>IFERROR(__xludf.DUMMYFUNCTION("IF(OR($U440="""",COUNTIF($I:$I,IFERROR(unique(filter(Prod_Prop!$H:$H,Prod_Prop!$G:$G=$U440,Prod_Prop!$E:$E=Y$1)),""Check""))=0),"""",IFERROR(unique(filter(Prod_Prop!$H:$H,Prod_Prop!$G:$G=$U440,Prod_Prop!$E:$E=Y$1)),""""))"),"")</f>
        <v/>
      </c>
      <c r="Z440" s="4" t="str">
        <f>IF(Y440="","",SUMIFS(Prod_Prop!$J:$J,Prod_Prop!$B:$B,$Q440,Prod_Prop!$H:$H,Y440,Prod_Prop!$I:$I,Z$1)*IF(Y440="Peso",$R440,1))</f>
        <v/>
      </c>
      <c r="AA440" s="4" t="str">
        <f>IF(Y440="","",SUMIFS(Prod_Prop!$J:$J,Prod_Prop!$B:$B,$Q440,Prod_Prop!$H:$H,Y440,Prod_Prop!$I:$I,AA$1)*IF(Y440="Peso",$R440,1))</f>
        <v/>
      </c>
      <c r="AB440" s="4" t="str">
        <f>IFERROR(__xludf.DUMMYFUNCTION("IF(OR($U440="""",COUNTIF($I:$I,IFERROR(unique(filter(Prod_Prop!$H:$H,Prod_Prop!$G:$G=$U440,Prod_Prop!$E:$E=AB$1)),""Check""))=0),"""",IFERROR(unique(filter(Prod_Prop!$H:$H,Prod_Prop!$G:$G=$U440,Prod_Prop!$E:$E=AB$1)),""""))"),"")</f>
        <v/>
      </c>
      <c r="AC440" s="4" t="str">
        <f>IF(AB440="","",SUMIFS(Prod_Prop!$J:$J,Prod_Prop!$B:$B,$Q440,Prod_Prop!$H:$H,AB440,Prod_Prop!$I:$I,AC$1)*IF(AB440="Peso",$R440,1))</f>
        <v/>
      </c>
      <c r="AD440" s="4" t="str">
        <f>IF(AB440="","",SUMIFS(Prod_Prop!$J:$J,Prod_Prop!$B:$B,$Q440,Prod_Prop!$H:$H,AB440,Prod_Prop!$I:$I,AD$1)*IF(AB440="Peso",$R440,1))</f>
        <v/>
      </c>
    </row>
    <row r="441">
      <c r="A441" s="4" t="str">
        <f t="array" ref="A441">IF(COUNTIF(A$1:A440,Cotizador!F$2)=maxifs(Familias!E:E,Familias!D:D,Cotizador!F$2),IF(COUNTIF(A$1:A440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1" s="4" t="str">
        <f t="shared" si="1"/>
        <v/>
      </c>
      <c r="C441" s="4" t="str">
        <f t="array" ref="C441">IF(B441="","",IF(A441=XLOOKUP(A$2,Implementos!B:B,Implementos!C:C,"",0,1),B441+maxifs(B$1:B440,A$1:A440,A$2),B441))</f>
        <v/>
      </c>
      <c r="D441" s="4" t="str">
        <f>IF(B441="","", COUNTIFS(Productos!F:F,A441,Productos!H:H,B441)+IF(F441="SI",0,1))</f>
        <v/>
      </c>
      <c r="E441" s="4" t="str">
        <f>IFERROR(__xludf.DUMMYFUNCTION("IF($B441="""","""",INDEX(filter(Familias!F:F,Familias!$D:$D=$A441,Familias!$E:$E=$B441),1))"),"")</f>
        <v/>
      </c>
      <c r="F441" s="4" t="str">
        <f>IFERROR(__xludf.DUMMYFUNCTION("IF($B441="""","""",INDEX(filter(Familias!G:G,Familias!$D:$D=$A441,Familias!$E:$E=$B441),1))"),"")</f>
        <v/>
      </c>
      <c r="G441" s="4" t="str">
        <f t="array" ref="G441">IF(C441=1,XLOOKUP(C441,Cotizador!D:D,Cotizador!E:E,"",0,1),"")</f>
        <v/>
      </c>
      <c r="I441" s="4"/>
      <c r="J441" s="8" t="str">
        <f>IF(I441="","",SUMIF(Cotizador!I$1:V$1,I441,Cotizador!I$2:V$2))</f>
        <v/>
      </c>
      <c r="L441" s="4" t="str">
        <f t="array" ref="L441">IF(COUNTIF(L$1:L440,A$2)=SUMIF(A:A,A$2,D:D),IF(COUNTIF(L$1:L440,XLOOKUP(A$2,Implementos!B:B,Implementos!C:C,"",0,1))=SUMIF(A:A,XLOOKUP(A$2,Implementos!B:B,Implementos!C:C,"",0,1),D:D),"",XLOOKUP(A$2,Implementos!B:B,Implementos!C:C,"",0,1)),A$2)</f>
        <v/>
      </c>
      <c r="M441" s="4" t="str">
        <f t="shared" si="2"/>
        <v/>
      </c>
      <c r="N441" s="4" t="str">
        <f t="shared" si="3"/>
        <v/>
      </c>
      <c r="O441" s="4" t="str">
        <f t="shared" si="4"/>
        <v/>
      </c>
      <c r="P441" s="4" t="str">
        <f t="shared" si="5"/>
        <v/>
      </c>
      <c r="Q441" s="4" t="str">
        <f>IF(U441="","",SUMIF(Productos!E:E,U441,Productos!A:A))</f>
        <v/>
      </c>
      <c r="R441" s="4" t="str">
        <f t="array" ref="R441">IF(L441="","", max(1,SUMIF(I:I,XLOOKUP(U441,Productos!E:E,Productos!G:G,"",0,1),J:J)))</f>
        <v/>
      </c>
      <c r="S441" s="4" t="str">
        <f>IF(Q441="","",IF(SUMIFS(Compat_Vetado!D:D,Compat_Vetado!B:B,SUM(G:G),Compat_Vetado!C:C,Q441)=1,"SI",IF(OR(SUMIF(Cotizador!E:E,Q441,Cotizador!G:G)&gt;0,SUMIFS(Compat_Vetado!D:D,Compat_Vetado!B:B,SUM(G:G),Compat_Vetado!C:C,Q441)=-1),"NO","")))</f>
        <v/>
      </c>
      <c r="T441" s="4" t="str">
        <f t="shared" si="6"/>
        <v/>
      </c>
      <c r="U441" s="4" t="str">
        <f>IFERROR(__xludf.DUMMYFUNCTION("IF(P441="""","""",IFERROR(INDEX(filter(Productos!E:E,Productos!F:F=L441,Productos!H:H=N441),P441),IF(M441=SUM(D:D),""Finalizar"",""-"")))"),"")</f>
        <v/>
      </c>
      <c r="V441" s="4" t="str">
        <f>IFERROR(__xludf.DUMMYFUNCTION("IF(OR($U441="""",COUNTIF($I:$I,IFERROR(unique(filter(Prod_Prop!$H:$H,Prod_Prop!$G:$G=$U441,Prod_Prop!$E:$E=V$1)),""Check""))=0),"""",IFERROR(unique(filter(Prod_Prop!$H:$H,Prod_Prop!$G:$G=$U441,Prod_Prop!$E:$E=V$1)),""""))"),"")</f>
        <v/>
      </c>
      <c r="W441" s="4" t="str">
        <f>IF(V441="","",SUMIFS(Prod_Prop!$J:$J,Prod_Prop!$B:$B,$Q441,Prod_Prop!$H:$H,V441,Prod_Prop!$I:$I,W$1)*IF(V441="Peso",$R441,1))</f>
        <v/>
      </c>
      <c r="X441" s="4" t="str">
        <f>IF(V441="","",SUMIFS(Prod_Prop!$J:$J,Prod_Prop!$B:$B,$Q441,Prod_Prop!$H:$H,V441,Prod_Prop!$I:$I,X$1)*IF(V441="Peso",$R441,1))</f>
        <v/>
      </c>
      <c r="Y441" s="4" t="str">
        <f>IFERROR(__xludf.DUMMYFUNCTION("IF(OR($U441="""",COUNTIF($I:$I,IFERROR(unique(filter(Prod_Prop!$H:$H,Prod_Prop!$G:$G=$U441,Prod_Prop!$E:$E=Y$1)),""Check""))=0),"""",IFERROR(unique(filter(Prod_Prop!$H:$H,Prod_Prop!$G:$G=$U441,Prod_Prop!$E:$E=Y$1)),""""))"),"")</f>
        <v/>
      </c>
      <c r="Z441" s="4" t="str">
        <f>IF(Y441="","",SUMIFS(Prod_Prop!$J:$J,Prod_Prop!$B:$B,$Q441,Prod_Prop!$H:$H,Y441,Prod_Prop!$I:$I,Z$1)*IF(Y441="Peso",$R441,1))</f>
        <v/>
      </c>
      <c r="AA441" s="4" t="str">
        <f>IF(Y441="","",SUMIFS(Prod_Prop!$J:$J,Prod_Prop!$B:$B,$Q441,Prod_Prop!$H:$H,Y441,Prod_Prop!$I:$I,AA$1)*IF(Y441="Peso",$R441,1))</f>
        <v/>
      </c>
      <c r="AB441" s="4" t="str">
        <f>IFERROR(__xludf.DUMMYFUNCTION("IF(OR($U441="""",COUNTIF($I:$I,IFERROR(unique(filter(Prod_Prop!$H:$H,Prod_Prop!$G:$G=$U441,Prod_Prop!$E:$E=AB$1)),""Check""))=0),"""",IFERROR(unique(filter(Prod_Prop!$H:$H,Prod_Prop!$G:$G=$U441,Prod_Prop!$E:$E=AB$1)),""""))"),"")</f>
        <v/>
      </c>
      <c r="AC441" s="4" t="str">
        <f>IF(AB441="","",SUMIFS(Prod_Prop!$J:$J,Prod_Prop!$B:$B,$Q441,Prod_Prop!$H:$H,AB441,Prod_Prop!$I:$I,AC$1)*IF(AB441="Peso",$R441,1))</f>
        <v/>
      </c>
      <c r="AD441" s="4" t="str">
        <f>IF(AB441="","",SUMIFS(Prod_Prop!$J:$J,Prod_Prop!$B:$B,$Q441,Prod_Prop!$H:$H,AB441,Prod_Prop!$I:$I,AD$1)*IF(AB441="Peso",$R441,1))</f>
        <v/>
      </c>
    </row>
    <row r="442">
      <c r="A442" s="4" t="str">
        <f t="array" ref="A442">IF(COUNTIF(A$1:A441,Cotizador!F$2)=maxifs(Familias!E:E,Familias!D:D,Cotizador!F$2),IF(COUNTIF(A$1:A441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2" s="4" t="str">
        <f t="shared" si="1"/>
        <v/>
      </c>
      <c r="C442" s="4" t="str">
        <f t="array" ref="C442">IF(B442="","",IF(A442=XLOOKUP(A$2,Implementos!B:B,Implementos!C:C,"",0,1),B442+maxifs(B$1:B441,A$1:A441,A$2),B442))</f>
        <v/>
      </c>
      <c r="D442" s="4" t="str">
        <f>IF(B442="","", COUNTIFS(Productos!F:F,A442,Productos!H:H,B442)+IF(F442="SI",0,1))</f>
        <v/>
      </c>
      <c r="E442" s="4" t="str">
        <f>IFERROR(__xludf.DUMMYFUNCTION("IF($B442="""","""",INDEX(filter(Familias!F:F,Familias!$D:$D=$A442,Familias!$E:$E=$B442),1))"),"")</f>
        <v/>
      </c>
      <c r="F442" s="4" t="str">
        <f>IFERROR(__xludf.DUMMYFUNCTION("IF($B442="""","""",INDEX(filter(Familias!G:G,Familias!$D:$D=$A442,Familias!$E:$E=$B442),1))"),"")</f>
        <v/>
      </c>
      <c r="G442" s="4" t="str">
        <f t="array" ref="G442">IF(C442=1,XLOOKUP(C442,Cotizador!D:D,Cotizador!E:E,"",0,1),"")</f>
        <v/>
      </c>
      <c r="I442" s="4"/>
      <c r="J442" s="8" t="str">
        <f>IF(I442="","",SUMIF(Cotizador!I$1:V$1,I442,Cotizador!I$2:V$2))</f>
        <v/>
      </c>
      <c r="L442" s="4" t="str">
        <f t="array" ref="L442">IF(COUNTIF(L$1:L441,A$2)=SUMIF(A:A,A$2,D:D),IF(COUNTIF(L$1:L441,XLOOKUP(A$2,Implementos!B:B,Implementos!C:C,"",0,1))=SUMIF(A:A,XLOOKUP(A$2,Implementos!B:B,Implementos!C:C,"",0,1),D:D),"",XLOOKUP(A$2,Implementos!B:B,Implementos!C:C,"",0,1)),A$2)</f>
        <v/>
      </c>
      <c r="M442" s="4" t="str">
        <f t="shared" si="2"/>
        <v/>
      </c>
      <c r="N442" s="4" t="str">
        <f t="shared" si="3"/>
        <v/>
      </c>
      <c r="O442" s="4" t="str">
        <f t="shared" si="4"/>
        <v/>
      </c>
      <c r="P442" s="4" t="str">
        <f t="shared" si="5"/>
        <v/>
      </c>
      <c r="Q442" s="4" t="str">
        <f>IF(U442="","",SUMIF(Productos!E:E,U442,Productos!A:A))</f>
        <v/>
      </c>
      <c r="R442" s="4" t="str">
        <f t="array" ref="R442">IF(L442="","", max(1,SUMIF(I:I,XLOOKUP(U442,Productos!E:E,Productos!G:G,"",0,1),J:J)))</f>
        <v/>
      </c>
      <c r="S442" s="4" t="str">
        <f>IF(Q442="","",IF(SUMIFS(Compat_Vetado!D:D,Compat_Vetado!B:B,SUM(G:G),Compat_Vetado!C:C,Q442)=1,"SI",IF(OR(SUMIF(Cotizador!E:E,Q442,Cotizador!G:G)&gt;0,SUMIFS(Compat_Vetado!D:D,Compat_Vetado!B:B,SUM(G:G),Compat_Vetado!C:C,Q442)=-1),"NO","")))</f>
        <v/>
      </c>
      <c r="T442" s="4" t="str">
        <f t="shared" si="6"/>
        <v/>
      </c>
      <c r="U442" s="4" t="str">
        <f>IFERROR(__xludf.DUMMYFUNCTION("IF(P442="""","""",IFERROR(INDEX(filter(Productos!E:E,Productos!F:F=L442,Productos!H:H=N442),P442),IF(M442=SUM(D:D),""Finalizar"",""-"")))"),"")</f>
        <v/>
      </c>
      <c r="V442" s="4" t="str">
        <f>IFERROR(__xludf.DUMMYFUNCTION("IF(OR($U442="""",COUNTIF($I:$I,IFERROR(unique(filter(Prod_Prop!$H:$H,Prod_Prop!$G:$G=$U442,Prod_Prop!$E:$E=V$1)),""Check""))=0),"""",IFERROR(unique(filter(Prod_Prop!$H:$H,Prod_Prop!$G:$G=$U442,Prod_Prop!$E:$E=V$1)),""""))"),"")</f>
        <v/>
      </c>
      <c r="W442" s="4" t="str">
        <f>IF(V442="","",SUMIFS(Prod_Prop!$J:$J,Prod_Prop!$B:$B,$Q442,Prod_Prop!$H:$H,V442,Prod_Prop!$I:$I,W$1)*IF(V442="Peso",$R442,1))</f>
        <v/>
      </c>
      <c r="X442" s="4" t="str">
        <f>IF(V442="","",SUMIFS(Prod_Prop!$J:$J,Prod_Prop!$B:$B,$Q442,Prod_Prop!$H:$H,V442,Prod_Prop!$I:$I,X$1)*IF(V442="Peso",$R442,1))</f>
        <v/>
      </c>
      <c r="Y442" s="4" t="str">
        <f>IFERROR(__xludf.DUMMYFUNCTION("IF(OR($U442="""",COUNTIF($I:$I,IFERROR(unique(filter(Prod_Prop!$H:$H,Prod_Prop!$G:$G=$U442,Prod_Prop!$E:$E=Y$1)),""Check""))=0),"""",IFERROR(unique(filter(Prod_Prop!$H:$H,Prod_Prop!$G:$G=$U442,Prod_Prop!$E:$E=Y$1)),""""))"),"")</f>
        <v/>
      </c>
      <c r="Z442" s="4" t="str">
        <f>IF(Y442="","",SUMIFS(Prod_Prop!$J:$J,Prod_Prop!$B:$B,$Q442,Prod_Prop!$H:$H,Y442,Prod_Prop!$I:$I,Z$1)*IF(Y442="Peso",$R442,1))</f>
        <v/>
      </c>
      <c r="AA442" s="4" t="str">
        <f>IF(Y442="","",SUMIFS(Prod_Prop!$J:$J,Prod_Prop!$B:$B,$Q442,Prod_Prop!$H:$H,Y442,Prod_Prop!$I:$I,AA$1)*IF(Y442="Peso",$R442,1))</f>
        <v/>
      </c>
      <c r="AB442" s="4" t="str">
        <f>IFERROR(__xludf.DUMMYFUNCTION("IF(OR($U442="""",COUNTIF($I:$I,IFERROR(unique(filter(Prod_Prop!$H:$H,Prod_Prop!$G:$G=$U442,Prod_Prop!$E:$E=AB$1)),""Check""))=0),"""",IFERROR(unique(filter(Prod_Prop!$H:$H,Prod_Prop!$G:$G=$U442,Prod_Prop!$E:$E=AB$1)),""""))"),"")</f>
        <v/>
      </c>
      <c r="AC442" s="4" t="str">
        <f>IF(AB442="","",SUMIFS(Prod_Prop!$J:$J,Prod_Prop!$B:$B,$Q442,Prod_Prop!$H:$H,AB442,Prod_Prop!$I:$I,AC$1)*IF(AB442="Peso",$R442,1))</f>
        <v/>
      </c>
      <c r="AD442" s="4" t="str">
        <f>IF(AB442="","",SUMIFS(Prod_Prop!$J:$J,Prod_Prop!$B:$B,$Q442,Prod_Prop!$H:$H,AB442,Prod_Prop!$I:$I,AD$1)*IF(AB442="Peso",$R442,1))</f>
        <v/>
      </c>
    </row>
    <row r="443">
      <c r="A443" s="4" t="str">
        <f t="array" ref="A443">IF(COUNTIF(A$1:A442,Cotizador!F$2)=maxifs(Familias!E:E,Familias!D:D,Cotizador!F$2),IF(COUNTIF(A$1:A442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3" s="4" t="str">
        <f t="shared" si="1"/>
        <v/>
      </c>
      <c r="C443" s="4" t="str">
        <f t="array" ref="C443">IF(B443="","",IF(A443=XLOOKUP(A$2,Implementos!B:B,Implementos!C:C,"",0,1),B443+maxifs(B$1:B442,A$1:A442,A$2),B443))</f>
        <v/>
      </c>
      <c r="D443" s="4" t="str">
        <f>IF(B443="","", COUNTIFS(Productos!F:F,A443,Productos!H:H,B443)+IF(F443="SI",0,1))</f>
        <v/>
      </c>
      <c r="E443" s="4" t="str">
        <f>IFERROR(__xludf.DUMMYFUNCTION("IF($B443="""","""",INDEX(filter(Familias!F:F,Familias!$D:$D=$A443,Familias!$E:$E=$B443),1))"),"")</f>
        <v/>
      </c>
      <c r="F443" s="4" t="str">
        <f>IFERROR(__xludf.DUMMYFUNCTION("IF($B443="""","""",INDEX(filter(Familias!G:G,Familias!$D:$D=$A443,Familias!$E:$E=$B443),1))"),"")</f>
        <v/>
      </c>
      <c r="G443" s="4" t="str">
        <f t="array" ref="G443">IF(C443=1,XLOOKUP(C443,Cotizador!D:D,Cotizador!E:E,"",0,1),"")</f>
        <v/>
      </c>
      <c r="I443" s="4"/>
      <c r="J443" s="8" t="str">
        <f>IF(I443="","",SUMIF(Cotizador!I$1:V$1,I443,Cotizador!I$2:V$2))</f>
        <v/>
      </c>
      <c r="L443" s="4" t="str">
        <f t="array" ref="L443">IF(COUNTIF(L$1:L442,A$2)=SUMIF(A:A,A$2,D:D),IF(COUNTIF(L$1:L442,XLOOKUP(A$2,Implementos!B:B,Implementos!C:C,"",0,1))=SUMIF(A:A,XLOOKUP(A$2,Implementos!B:B,Implementos!C:C,"",0,1),D:D),"",XLOOKUP(A$2,Implementos!B:B,Implementos!C:C,"",0,1)),A$2)</f>
        <v/>
      </c>
      <c r="M443" s="4" t="str">
        <f t="shared" si="2"/>
        <v/>
      </c>
      <c r="N443" s="4" t="str">
        <f t="shared" si="3"/>
        <v/>
      </c>
      <c r="O443" s="4" t="str">
        <f t="shared" si="4"/>
        <v/>
      </c>
      <c r="P443" s="4" t="str">
        <f t="shared" si="5"/>
        <v/>
      </c>
      <c r="Q443" s="4" t="str">
        <f>IF(U443="","",SUMIF(Productos!E:E,U443,Productos!A:A))</f>
        <v/>
      </c>
      <c r="R443" s="4" t="str">
        <f t="array" ref="R443">IF(L443="","", max(1,SUMIF(I:I,XLOOKUP(U443,Productos!E:E,Productos!G:G,"",0,1),J:J)))</f>
        <v/>
      </c>
      <c r="S443" s="4" t="str">
        <f>IF(Q443="","",IF(SUMIFS(Compat_Vetado!D:D,Compat_Vetado!B:B,SUM(G:G),Compat_Vetado!C:C,Q443)=1,"SI",IF(OR(SUMIF(Cotizador!E:E,Q443,Cotizador!G:G)&gt;0,SUMIFS(Compat_Vetado!D:D,Compat_Vetado!B:B,SUM(G:G),Compat_Vetado!C:C,Q443)=-1),"NO","")))</f>
        <v/>
      </c>
      <c r="T443" s="4" t="str">
        <f t="shared" si="6"/>
        <v/>
      </c>
      <c r="U443" s="4" t="str">
        <f>IFERROR(__xludf.DUMMYFUNCTION("IF(P443="""","""",IFERROR(INDEX(filter(Productos!E:E,Productos!F:F=L443,Productos!H:H=N443),P443),IF(M443=SUM(D:D),""Finalizar"",""-"")))"),"")</f>
        <v/>
      </c>
      <c r="V443" s="4" t="str">
        <f>IFERROR(__xludf.DUMMYFUNCTION("IF(OR($U443="""",COUNTIF($I:$I,IFERROR(unique(filter(Prod_Prop!$H:$H,Prod_Prop!$G:$G=$U443,Prod_Prop!$E:$E=V$1)),""Check""))=0),"""",IFERROR(unique(filter(Prod_Prop!$H:$H,Prod_Prop!$G:$G=$U443,Prod_Prop!$E:$E=V$1)),""""))"),"")</f>
        <v/>
      </c>
      <c r="W443" s="4" t="str">
        <f>IF(V443="","",SUMIFS(Prod_Prop!$J:$J,Prod_Prop!$B:$B,$Q443,Prod_Prop!$H:$H,V443,Prod_Prop!$I:$I,W$1)*IF(V443="Peso",$R443,1))</f>
        <v/>
      </c>
      <c r="X443" s="4" t="str">
        <f>IF(V443="","",SUMIFS(Prod_Prop!$J:$J,Prod_Prop!$B:$B,$Q443,Prod_Prop!$H:$H,V443,Prod_Prop!$I:$I,X$1)*IF(V443="Peso",$R443,1))</f>
        <v/>
      </c>
      <c r="Y443" s="4" t="str">
        <f>IFERROR(__xludf.DUMMYFUNCTION("IF(OR($U443="""",COUNTIF($I:$I,IFERROR(unique(filter(Prod_Prop!$H:$H,Prod_Prop!$G:$G=$U443,Prod_Prop!$E:$E=Y$1)),""Check""))=0),"""",IFERROR(unique(filter(Prod_Prop!$H:$H,Prod_Prop!$G:$G=$U443,Prod_Prop!$E:$E=Y$1)),""""))"),"")</f>
        <v/>
      </c>
      <c r="Z443" s="4" t="str">
        <f>IF(Y443="","",SUMIFS(Prod_Prop!$J:$J,Prod_Prop!$B:$B,$Q443,Prod_Prop!$H:$H,Y443,Prod_Prop!$I:$I,Z$1)*IF(Y443="Peso",$R443,1))</f>
        <v/>
      </c>
      <c r="AA443" s="4" t="str">
        <f>IF(Y443="","",SUMIFS(Prod_Prop!$J:$J,Prod_Prop!$B:$B,$Q443,Prod_Prop!$H:$H,Y443,Prod_Prop!$I:$I,AA$1)*IF(Y443="Peso",$R443,1))</f>
        <v/>
      </c>
      <c r="AB443" s="4" t="str">
        <f>IFERROR(__xludf.DUMMYFUNCTION("IF(OR($U443="""",COUNTIF($I:$I,IFERROR(unique(filter(Prod_Prop!$H:$H,Prod_Prop!$G:$G=$U443,Prod_Prop!$E:$E=AB$1)),""Check""))=0),"""",IFERROR(unique(filter(Prod_Prop!$H:$H,Prod_Prop!$G:$G=$U443,Prod_Prop!$E:$E=AB$1)),""""))"),"")</f>
        <v/>
      </c>
      <c r="AC443" s="4" t="str">
        <f>IF(AB443="","",SUMIFS(Prod_Prop!$J:$J,Prod_Prop!$B:$B,$Q443,Prod_Prop!$H:$H,AB443,Prod_Prop!$I:$I,AC$1)*IF(AB443="Peso",$R443,1))</f>
        <v/>
      </c>
      <c r="AD443" s="4" t="str">
        <f>IF(AB443="","",SUMIFS(Prod_Prop!$J:$J,Prod_Prop!$B:$B,$Q443,Prod_Prop!$H:$H,AB443,Prod_Prop!$I:$I,AD$1)*IF(AB443="Peso",$R443,1))</f>
        <v/>
      </c>
    </row>
    <row r="444">
      <c r="A444" s="4" t="str">
        <f t="array" ref="A444">IF(COUNTIF(A$1:A443,Cotizador!F$2)=maxifs(Familias!E:E,Familias!D:D,Cotizador!F$2),IF(COUNTIF(A$1:A443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4" s="4" t="str">
        <f t="shared" si="1"/>
        <v/>
      </c>
      <c r="C444" s="4" t="str">
        <f t="array" ref="C444">IF(B444="","",IF(A444=XLOOKUP(A$2,Implementos!B:B,Implementos!C:C,"",0,1),B444+maxifs(B$1:B443,A$1:A443,A$2),B444))</f>
        <v/>
      </c>
      <c r="D444" s="4" t="str">
        <f>IF(B444="","", COUNTIFS(Productos!F:F,A444,Productos!H:H,B444)+IF(F444="SI",0,1))</f>
        <v/>
      </c>
      <c r="E444" s="4" t="str">
        <f>IFERROR(__xludf.DUMMYFUNCTION("IF($B444="""","""",INDEX(filter(Familias!F:F,Familias!$D:$D=$A444,Familias!$E:$E=$B444),1))"),"")</f>
        <v/>
      </c>
      <c r="F444" s="4" t="str">
        <f>IFERROR(__xludf.DUMMYFUNCTION("IF($B444="""","""",INDEX(filter(Familias!G:G,Familias!$D:$D=$A444,Familias!$E:$E=$B444),1))"),"")</f>
        <v/>
      </c>
      <c r="G444" s="4" t="str">
        <f t="array" ref="G444">IF(C444=1,XLOOKUP(C444,Cotizador!D:D,Cotizador!E:E,"",0,1),"")</f>
        <v/>
      </c>
      <c r="I444" s="4"/>
      <c r="J444" s="8" t="str">
        <f>IF(I444="","",SUMIF(Cotizador!I$1:V$1,I444,Cotizador!I$2:V$2))</f>
        <v/>
      </c>
      <c r="L444" s="4" t="str">
        <f t="array" ref="L444">IF(COUNTIF(L$1:L443,A$2)=SUMIF(A:A,A$2,D:D),IF(COUNTIF(L$1:L443,XLOOKUP(A$2,Implementos!B:B,Implementos!C:C,"",0,1))=SUMIF(A:A,XLOOKUP(A$2,Implementos!B:B,Implementos!C:C,"",0,1),D:D),"",XLOOKUP(A$2,Implementos!B:B,Implementos!C:C,"",0,1)),A$2)</f>
        <v/>
      </c>
      <c r="M444" s="4" t="str">
        <f t="shared" si="2"/>
        <v/>
      </c>
      <c r="N444" s="4" t="str">
        <f t="shared" si="3"/>
        <v/>
      </c>
      <c r="O444" s="4" t="str">
        <f t="shared" si="4"/>
        <v/>
      </c>
      <c r="P444" s="4" t="str">
        <f t="shared" si="5"/>
        <v/>
      </c>
      <c r="Q444" s="4" t="str">
        <f>IF(U444="","",SUMIF(Productos!E:E,U444,Productos!A:A))</f>
        <v/>
      </c>
      <c r="R444" s="4" t="str">
        <f t="array" ref="R444">IF(L444="","", max(1,SUMIF(I:I,XLOOKUP(U444,Productos!E:E,Productos!G:G,"",0,1),J:J)))</f>
        <v/>
      </c>
      <c r="S444" s="4" t="str">
        <f>IF(Q444="","",IF(SUMIFS(Compat_Vetado!D:D,Compat_Vetado!B:B,SUM(G:G),Compat_Vetado!C:C,Q444)=1,"SI",IF(OR(SUMIF(Cotizador!E:E,Q444,Cotizador!G:G)&gt;0,SUMIFS(Compat_Vetado!D:D,Compat_Vetado!B:B,SUM(G:G),Compat_Vetado!C:C,Q444)=-1),"NO","")))</f>
        <v/>
      </c>
      <c r="T444" s="4" t="str">
        <f t="shared" si="6"/>
        <v/>
      </c>
      <c r="U444" s="4" t="str">
        <f>IFERROR(__xludf.DUMMYFUNCTION("IF(P444="""","""",IFERROR(INDEX(filter(Productos!E:E,Productos!F:F=L444,Productos!H:H=N444),P444),IF(M444=SUM(D:D),""Finalizar"",""-"")))"),"")</f>
        <v/>
      </c>
      <c r="V444" s="4" t="str">
        <f>IFERROR(__xludf.DUMMYFUNCTION("IF(OR($U444="""",COUNTIF($I:$I,IFERROR(unique(filter(Prod_Prop!$H:$H,Prod_Prop!$G:$G=$U444,Prod_Prop!$E:$E=V$1)),""Check""))=0),"""",IFERROR(unique(filter(Prod_Prop!$H:$H,Prod_Prop!$G:$G=$U444,Prod_Prop!$E:$E=V$1)),""""))"),"")</f>
        <v/>
      </c>
      <c r="W444" s="4" t="str">
        <f>IF(V444="","",SUMIFS(Prod_Prop!$J:$J,Prod_Prop!$B:$B,$Q444,Prod_Prop!$H:$H,V444,Prod_Prop!$I:$I,W$1)*IF(V444="Peso",$R444,1))</f>
        <v/>
      </c>
      <c r="X444" s="4" t="str">
        <f>IF(V444="","",SUMIFS(Prod_Prop!$J:$J,Prod_Prop!$B:$B,$Q444,Prod_Prop!$H:$H,V444,Prod_Prop!$I:$I,X$1)*IF(V444="Peso",$R444,1))</f>
        <v/>
      </c>
      <c r="Y444" s="4" t="str">
        <f>IFERROR(__xludf.DUMMYFUNCTION("IF(OR($U444="""",COUNTIF($I:$I,IFERROR(unique(filter(Prod_Prop!$H:$H,Prod_Prop!$G:$G=$U444,Prod_Prop!$E:$E=Y$1)),""Check""))=0),"""",IFERROR(unique(filter(Prod_Prop!$H:$H,Prod_Prop!$G:$G=$U444,Prod_Prop!$E:$E=Y$1)),""""))"),"")</f>
        <v/>
      </c>
      <c r="Z444" s="4" t="str">
        <f>IF(Y444="","",SUMIFS(Prod_Prop!$J:$J,Prod_Prop!$B:$B,$Q444,Prod_Prop!$H:$H,Y444,Prod_Prop!$I:$I,Z$1)*IF(Y444="Peso",$R444,1))</f>
        <v/>
      </c>
      <c r="AA444" s="4" t="str">
        <f>IF(Y444="","",SUMIFS(Prod_Prop!$J:$J,Prod_Prop!$B:$B,$Q444,Prod_Prop!$H:$H,Y444,Prod_Prop!$I:$I,AA$1)*IF(Y444="Peso",$R444,1))</f>
        <v/>
      </c>
      <c r="AB444" s="4" t="str">
        <f>IFERROR(__xludf.DUMMYFUNCTION("IF(OR($U444="""",COUNTIF($I:$I,IFERROR(unique(filter(Prod_Prop!$H:$H,Prod_Prop!$G:$G=$U444,Prod_Prop!$E:$E=AB$1)),""Check""))=0),"""",IFERROR(unique(filter(Prod_Prop!$H:$H,Prod_Prop!$G:$G=$U444,Prod_Prop!$E:$E=AB$1)),""""))"),"")</f>
        <v/>
      </c>
      <c r="AC444" s="4" t="str">
        <f>IF(AB444="","",SUMIFS(Prod_Prop!$J:$J,Prod_Prop!$B:$B,$Q444,Prod_Prop!$H:$H,AB444,Prod_Prop!$I:$I,AC$1)*IF(AB444="Peso",$R444,1))</f>
        <v/>
      </c>
      <c r="AD444" s="4" t="str">
        <f>IF(AB444="","",SUMIFS(Prod_Prop!$J:$J,Prod_Prop!$B:$B,$Q444,Prod_Prop!$H:$H,AB444,Prod_Prop!$I:$I,AD$1)*IF(AB444="Peso",$R444,1))</f>
        <v/>
      </c>
    </row>
    <row r="445">
      <c r="A445" s="4" t="str">
        <f t="array" ref="A445">IF(COUNTIF(A$1:A444,Cotizador!F$2)=maxifs(Familias!E:E,Familias!D:D,Cotizador!F$2),IF(COUNTIF(A$1:A444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5" s="4" t="str">
        <f t="shared" si="1"/>
        <v/>
      </c>
      <c r="C445" s="4" t="str">
        <f t="array" ref="C445">IF(B445="","",IF(A445=XLOOKUP(A$2,Implementos!B:B,Implementos!C:C,"",0,1),B445+maxifs(B$1:B444,A$1:A444,A$2),B445))</f>
        <v/>
      </c>
      <c r="D445" s="4" t="str">
        <f>IF(B445="","", COUNTIFS(Productos!F:F,A445,Productos!H:H,B445)+IF(F445="SI",0,1))</f>
        <v/>
      </c>
      <c r="E445" s="4" t="str">
        <f>IFERROR(__xludf.DUMMYFUNCTION("IF($B445="""","""",INDEX(filter(Familias!F:F,Familias!$D:$D=$A445,Familias!$E:$E=$B445),1))"),"")</f>
        <v/>
      </c>
      <c r="F445" s="4" t="str">
        <f>IFERROR(__xludf.DUMMYFUNCTION("IF($B445="""","""",INDEX(filter(Familias!G:G,Familias!$D:$D=$A445,Familias!$E:$E=$B445),1))"),"")</f>
        <v/>
      </c>
      <c r="G445" s="4" t="str">
        <f t="array" ref="G445">IF(C445=1,XLOOKUP(C445,Cotizador!D:D,Cotizador!E:E,"",0,1),"")</f>
        <v/>
      </c>
      <c r="I445" s="4"/>
      <c r="J445" s="8" t="str">
        <f>IF(I445="","",SUMIF(Cotizador!I$1:V$1,I445,Cotizador!I$2:V$2))</f>
        <v/>
      </c>
      <c r="L445" s="4" t="str">
        <f t="array" ref="L445">IF(COUNTIF(L$1:L444,A$2)=SUMIF(A:A,A$2,D:D),IF(COUNTIF(L$1:L444,XLOOKUP(A$2,Implementos!B:B,Implementos!C:C,"",0,1))=SUMIF(A:A,XLOOKUP(A$2,Implementos!B:B,Implementos!C:C,"",0,1),D:D),"",XLOOKUP(A$2,Implementos!B:B,Implementos!C:C,"",0,1)),A$2)</f>
        <v/>
      </c>
      <c r="M445" s="4" t="str">
        <f t="shared" si="2"/>
        <v/>
      </c>
      <c r="N445" s="4" t="str">
        <f t="shared" si="3"/>
        <v/>
      </c>
      <c r="O445" s="4" t="str">
        <f t="shared" si="4"/>
        <v/>
      </c>
      <c r="P445" s="4" t="str">
        <f t="shared" si="5"/>
        <v/>
      </c>
      <c r="Q445" s="4" t="str">
        <f>IF(U445="","",SUMIF(Productos!E:E,U445,Productos!A:A))</f>
        <v/>
      </c>
      <c r="R445" s="4" t="str">
        <f t="array" ref="R445">IF(L445="","", max(1,SUMIF(I:I,XLOOKUP(U445,Productos!E:E,Productos!G:G,"",0,1),J:J)))</f>
        <v/>
      </c>
      <c r="S445" s="4" t="str">
        <f>IF(Q445="","",IF(SUMIFS(Compat_Vetado!D:D,Compat_Vetado!B:B,SUM(G:G),Compat_Vetado!C:C,Q445)=1,"SI",IF(OR(SUMIF(Cotizador!E:E,Q445,Cotizador!G:G)&gt;0,SUMIFS(Compat_Vetado!D:D,Compat_Vetado!B:B,SUM(G:G),Compat_Vetado!C:C,Q445)=-1),"NO","")))</f>
        <v/>
      </c>
      <c r="T445" s="4" t="str">
        <f t="shared" si="6"/>
        <v/>
      </c>
      <c r="U445" s="4" t="str">
        <f>IFERROR(__xludf.DUMMYFUNCTION("IF(P445="""","""",IFERROR(INDEX(filter(Productos!E:E,Productos!F:F=L445,Productos!H:H=N445),P445),IF(M445=SUM(D:D),""Finalizar"",""-"")))"),"")</f>
        <v/>
      </c>
      <c r="V445" s="4" t="str">
        <f>IFERROR(__xludf.DUMMYFUNCTION("IF(OR($U445="""",COUNTIF($I:$I,IFERROR(unique(filter(Prod_Prop!$H:$H,Prod_Prop!$G:$G=$U445,Prod_Prop!$E:$E=V$1)),""Check""))=0),"""",IFERROR(unique(filter(Prod_Prop!$H:$H,Prod_Prop!$G:$G=$U445,Prod_Prop!$E:$E=V$1)),""""))"),"")</f>
        <v/>
      </c>
      <c r="W445" s="4" t="str">
        <f>IF(V445="","",SUMIFS(Prod_Prop!$J:$J,Prod_Prop!$B:$B,$Q445,Prod_Prop!$H:$H,V445,Prod_Prop!$I:$I,W$1)*IF(V445="Peso",$R445,1))</f>
        <v/>
      </c>
      <c r="X445" s="4" t="str">
        <f>IF(V445="","",SUMIFS(Prod_Prop!$J:$J,Prod_Prop!$B:$B,$Q445,Prod_Prop!$H:$H,V445,Prod_Prop!$I:$I,X$1)*IF(V445="Peso",$R445,1))</f>
        <v/>
      </c>
      <c r="Y445" s="4" t="str">
        <f>IFERROR(__xludf.DUMMYFUNCTION("IF(OR($U445="""",COUNTIF($I:$I,IFERROR(unique(filter(Prod_Prop!$H:$H,Prod_Prop!$G:$G=$U445,Prod_Prop!$E:$E=Y$1)),""Check""))=0),"""",IFERROR(unique(filter(Prod_Prop!$H:$H,Prod_Prop!$G:$G=$U445,Prod_Prop!$E:$E=Y$1)),""""))"),"")</f>
        <v/>
      </c>
      <c r="Z445" s="4" t="str">
        <f>IF(Y445="","",SUMIFS(Prod_Prop!$J:$J,Prod_Prop!$B:$B,$Q445,Prod_Prop!$H:$H,Y445,Prod_Prop!$I:$I,Z$1)*IF(Y445="Peso",$R445,1))</f>
        <v/>
      </c>
      <c r="AA445" s="4" t="str">
        <f>IF(Y445="","",SUMIFS(Prod_Prop!$J:$J,Prod_Prop!$B:$B,$Q445,Prod_Prop!$H:$H,Y445,Prod_Prop!$I:$I,AA$1)*IF(Y445="Peso",$R445,1))</f>
        <v/>
      </c>
      <c r="AB445" s="4" t="str">
        <f>IFERROR(__xludf.DUMMYFUNCTION("IF(OR($U445="""",COUNTIF($I:$I,IFERROR(unique(filter(Prod_Prop!$H:$H,Prod_Prop!$G:$G=$U445,Prod_Prop!$E:$E=AB$1)),""Check""))=0),"""",IFERROR(unique(filter(Prod_Prop!$H:$H,Prod_Prop!$G:$G=$U445,Prod_Prop!$E:$E=AB$1)),""""))"),"")</f>
        <v/>
      </c>
      <c r="AC445" s="4" t="str">
        <f>IF(AB445="","",SUMIFS(Prod_Prop!$J:$J,Prod_Prop!$B:$B,$Q445,Prod_Prop!$H:$H,AB445,Prod_Prop!$I:$I,AC$1)*IF(AB445="Peso",$R445,1))</f>
        <v/>
      </c>
      <c r="AD445" s="4" t="str">
        <f>IF(AB445="","",SUMIFS(Prod_Prop!$J:$J,Prod_Prop!$B:$B,$Q445,Prod_Prop!$H:$H,AB445,Prod_Prop!$I:$I,AD$1)*IF(AB445="Peso",$R445,1))</f>
        <v/>
      </c>
    </row>
    <row r="446">
      <c r="A446" s="4" t="str">
        <f t="array" ref="A446">IF(COUNTIF(A$1:A445,Cotizador!F$2)=maxifs(Familias!E:E,Familias!D:D,Cotizador!F$2),IF(COUNTIF(A$1:A445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6" s="4" t="str">
        <f t="shared" si="1"/>
        <v/>
      </c>
      <c r="C446" s="4" t="str">
        <f t="array" ref="C446">IF(B446="","",IF(A446=XLOOKUP(A$2,Implementos!B:B,Implementos!C:C,"",0,1),B446+maxifs(B$1:B445,A$1:A445,A$2),B446))</f>
        <v/>
      </c>
      <c r="D446" s="4" t="str">
        <f>IF(B446="","", COUNTIFS(Productos!F:F,A446,Productos!H:H,B446)+IF(F446="SI",0,1))</f>
        <v/>
      </c>
      <c r="E446" s="4" t="str">
        <f>IFERROR(__xludf.DUMMYFUNCTION("IF($B446="""","""",INDEX(filter(Familias!F:F,Familias!$D:$D=$A446,Familias!$E:$E=$B446),1))"),"")</f>
        <v/>
      </c>
      <c r="F446" s="4" t="str">
        <f>IFERROR(__xludf.DUMMYFUNCTION("IF($B446="""","""",INDEX(filter(Familias!G:G,Familias!$D:$D=$A446,Familias!$E:$E=$B446),1))"),"")</f>
        <v/>
      </c>
      <c r="G446" s="4" t="str">
        <f t="array" ref="G446">IF(C446=1,XLOOKUP(C446,Cotizador!D:D,Cotizador!E:E,"",0,1),"")</f>
        <v/>
      </c>
      <c r="I446" s="4"/>
      <c r="J446" s="8" t="str">
        <f>IF(I446="","",SUMIF(Cotizador!I$1:V$1,I446,Cotizador!I$2:V$2))</f>
        <v/>
      </c>
      <c r="L446" s="4" t="str">
        <f t="array" ref="L446">IF(COUNTIF(L$1:L445,A$2)=SUMIF(A:A,A$2,D:D),IF(COUNTIF(L$1:L445,XLOOKUP(A$2,Implementos!B:B,Implementos!C:C,"",0,1))=SUMIF(A:A,XLOOKUP(A$2,Implementos!B:B,Implementos!C:C,"",0,1),D:D),"",XLOOKUP(A$2,Implementos!B:B,Implementos!C:C,"",0,1)),A$2)</f>
        <v/>
      </c>
      <c r="M446" s="4" t="str">
        <f t="shared" si="2"/>
        <v/>
      </c>
      <c r="N446" s="4" t="str">
        <f t="shared" si="3"/>
        <v/>
      </c>
      <c r="O446" s="4" t="str">
        <f t="shared" si="4"/>
        <v/>
      </c>
      <c r="P446" s="4" t="str">
        <f t="shared" si="5"/>
        <v/>
      </c>
      <c r="Q446" s="4" t="str">
        <f>IF(U446="","",SUMIF(Productos!E:E,U446,Productos!A:A))</f>
        <v/>
      </c>
      <c r="R446" s="4" t="str">
        <f t="array" ref="R446">IF(L446="","", max(1,SUMIF(I:I,XLOOKUP(U446,Productos!E:E,Productos!G:G,"",0,1),J:J)))</f>
        <v/>
      </c>
      <c r="S446" s="4" t="str">
        <f>IF(Q446="","",IF(SUMIFS(Compat_Vetado!D:D,Compat_Vetado!B:B,SUM(G:G),Compat_Vetado!C:C,Q446)=1,"SI",IF(OR(SUMIF(Cotizador!E:E,Q446,Cotizador!G:G)&gt;0,SUMIFS(Compat_Vetado!D:D,Compat_Vetado!B:B,SUM(G:G),Compat_Vetado!C:C,Q446)=-1),"NO","")))</f>
        <v/>
      </c>
      <c r="T446" s="4" t="str">
        <f t="shared" si="6"/>
        <v/>
      </c>
      <c r="U446" s="4" t="str">
        <f>IFERROR(__xludf.DUMMYFUNCTION("IF(P446="""","""",IFERROR(INDEX(filter(Productos!E:E,Productos!F:F=L446,Productos!H:H=N446),P446),IF(M446=SUM(D:D),""Finalizar"",""-"")))"),"")</f>
        <v/>
      </c>
      <c r="V446" s="4" t="str">
        <f>IFERROR(__xludf.DUMMYFUNCTION("IF(OR($U446="""",COUNTIF($I:$I,IFERROR(unique(filter(Prod_Prop!$H:$H,Prod_Prop!$G:$G=$U446,Prod_Prop!$E:$E=V$1)),""Check""))=0),"""",IFERROR(unique(filter(Prod_Prop!$H:$H,Prod_Prop!$G:$G=$U446,Prod_Prop!$E:$E=V$1)),""""))"),"")</f>
        <v/>
      </c>
      <c r="W446" s="4" t="str">
        <f>IF(V446="","",SUMIFS(Prod_Prop!$J:$J,Prod_Prop!$B:$B,$Q446,Prod_Prop!$H:$H,V446,Prod_Prop!$I:$I,W$1)*IF(V446="Peso",$R446,1))</f>
        <v/>
      </c>
      <c r="X446" s="4" t="str">
        <f>IF(V446="","",SUMIFS(Prod_Prop!$J:$J,Prod_Prop!$B:$B,$Q446,Prod_Prop!$H:$H,V446,Prod_Prop!$I:$I,X$1)*IF(V446="Peso",$R446,1))</f>
        <v/>
      </c>
      <c r="Y446" s="4" t="str">
        <f>IFERROR(__xludf.DUMMYFUNCTION("IF(OR($U446="""",COUNTIF($I:$I,IFERROR(unique(filter(Prod_Prop!$H:$H,Prod_Prop!$G:$G=$U446,Prod_Prop!$E:$E=Y$1)),""Check""))=0),"""",IFERROR(unique(filter(Prod_Prop!$H:$H,Prod_Prop!$G:$G=$U446,Prod_Prop!$E:$E=Y$1)),""""))"),"")</f>
        <v/>
      </c>
      <c r="Z446" s="4" t="str">
        <f>IF(Y446="","",SUMIFS(Prod_Prop!$J:$J,Prod_Prop!$B:$B,$Q446,Prod_Prop!$H:$H,Y446,Prod_Prop!$I:$I,Z$1)*IF(Y446="Peso",$R446,1))</f>
        <v/>
      </c>
      <c r="AA446" s="4" t="str">
        <f>IF(Y446="","",SUMIFS(Prod_Prop!$J:$J,Prod_Prop!$B:$B,$Q446,Prod_Prop!$H:$H,Y446,Prod_Prop!$I:$I,AA$1)*IF(Y446="Peso",$R446,1))</f>
        <v/>
      </c>
      <c r="AB446" s="4" t="str">
        <f>IFERROR(__xludf.DUMMYFUNCTION("IF(OR($U446="""",COUNTIF($I:$I,IFERROR(unique(filter(Prod_Prop!$H:$H,Prod_Prop!$G:$G=$U446,Prod_Prop!$E:$E=AB$1)),""Check""))=0),"""",IFERROR(unique(filter(Prod_Prop!$H:$H,Prod_Prop!$G:$G=$U446,Prod_Prop!$E:$E=AB$1)),""""))"),"")</f>
        <v/>
      </c>
      <c r="AC446" s="4" t="str">
        <f>IF(AB446="","",SUMIFS(Prod_Prop!$J:$J,Prod_Prop!$B:$B,$Q446,Prod_Prop!$H:$H,AB446,Prod_Prop!$I:$I,AC$1)*IF(AB446="Peso",$R446,1))</f>
        <v/>
      </c>
      <c r="AD446" s="4" t="str">
        <f>IF(AB446="","",SUMIFS(Prod_Prop!$J:$J,Prod_Prop!$B:$B,$Q446,Prod_Prop!$H:$H,AB446,Prod_Prop!$I:$I,AD$1)*IF(AB446="Peso",$R446,1))</f>
        <v/>
      </c>
    </row>
    <row r="447">
      <c r="A447" s="4" t="str">
        <f t="array" ref="A447">IF(COUNTIF(A$1:A446,Cotizador!F$2)=maxifs(Familias!E:E,Familias!D:D,Cotizador!F$2),IF(COUNTIF(A$1:A446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7" s="4" t="str">
        <f t="shared" si="1"/>
        <v/>
      </c>
      <c r="C447" s="4" t="str">
        <f t="array" ref="C447">IF(B447="","",IF(A447=XLOOKUP(A$2,Implementos!B:B,Implementos!C:C,"",0,1),B447+maxifs(B$1:B446,A$1:A446,A$2),B447))</f>
        <v/>
      </c>
      <c r="D447" s="4" t="str">
        <f>IF(B447="","", COUNTIFS(Productos!F:F,A447,Productos!H:H,B447)+IF(F447="SI",0,1))</f>
        <v/>
      </c>
      <c r="E447" s="4" t="str">
        <f>IFERROR(__xludf.DUMMYFUNCTION("IF($B447="""","""",INDEX(filter(Familias!F:F,Familias!$D:$D=$A447,Familias!$E:$E=$B447),1))"),"")</f>
        <v/>
      </c>
      <c r="F447" s="4" t="str">
        <f>IFERROR(__xludf.DUMMYFUNCTION("IF($B447="""","""",INDEX(filter(Familias!G:G,Familias!$D:$D=$A447,Familias!$E:$E=$B447),1))"),"")</f>
        <v/>
      </c>
      <c r="G447" s="4" t="str">
        <f t="array" ref="G447">IF(C447=1,XLOOKUP(C447,Cotizador!D:D,Cotizador!E:E,"",0,1),"")</f>
        <v/>
      </c>
      <c r="I447" s="4"/>
      <c r="J447" s="8" t="str">
        <f>IF(I447="","",SUMIF(Cotizador!I$1:V$1,I447,Cotizador!I$2:V$2))</f>
        <v/>
      </c>
      <c r="L447" s="4" t="str">
        <f t="array" ref="L447">IF(COUNTIF(L$1:L446,A$2)=SUMIF(A:A,A$2,D:D),IF(COUNTIF(L$1:L446,XLOOKUP(A$2,Implementos!B:B,Implementos!C:C,"",0,1))=SUMIF(A:A,XLOOKUP(A$2,Implementos!B:B,Implementos!C:C,"",0,1),D:D),"",XLOOKUP(A$2,Implementos!B:B,Implementos!C:C,"",0,1)),A$2)</f>
        <v/>
      </c>
      <c r="M447" s="4" t="str">
        <f t="shared" si="2"/>
        <v/>
      </c>
      <c r="N447" s="4" t="str">
        <f t="shared" si="3"/>
        <v/>
      </c>
      <c r="O447" s="4" t="str">
        <f t="shared" si="4"/>
        <v/>
      </c>
      <c r="P447" s="4" t="str">
        <f t="shared" si="5"/>
        <v/>
      </c>
      <c r="Q447" s="4" t="str">
        <f>IF(U447="","",SUMIF(Productos!E:E,U447,Productos!A:A))</f>
        <v/>
      </c>
      <c r="R447" s="4" t="str">
        <f t="array" ref="R447">IF(L447="","", max(1,SUMIF(I:I,XLOOKUP(U447,Productos!E:E,Productos!G:G,"",0,1),J:J)))</f>
        <v/>
      </c>
      <c r="S447" s="4" t="str">
        <f>IF(Q447="","",IF(SUMIFS(Compat_Vetado!D:D,Compat_Vetado!B:B,SUM(G:G),Compat_Vetado!C:C,Q447)=1,"SI",IF(OR(SUMIF(Cotizador!E:E,Q447,Cotizador!G:G)&gt;0,SUMIFS(Compat_Vetado!D:D,Compat_Vetado!B:B,SUM(G:G),Compat_Vetado!C:C,Q447)=-1),"NO","")))</f>
        <v/>
      </c>
      <c r="T447" s="4" t="str">
        <f t="shared" si="6"/>
        <v/>
      </c>
      <c r="U447" s="4" t="str">
        <f>IFERROR(__xludf.DUMMYFUNCTION("IF(P447="""","""",IFERROR(INDEX(filter(Productos!E:E,Productos!F:F=L447,Productos!H:H=N447),P447),IF(M447=SUM(D:D),""Finalizar"",""-"")))"),"")</f>
        <v/>
      </c>
      <c r="V447" s="4" t="str">
        <f>IFERROR(__xludf.DUMMYFUNCTION("IF(OR($U447="""",COUNTIF($I:$I,IFERROR(unique(filter(Prod_Prop!$H:$H,Prod_Prop!$G:$G=$U447,Prod_Prop!$E:$E=V$1)),""Check""))=0),"""",IFERROR(unique(filter(Prod_Prop!$H:$H,Prod_Prop!$G:$G=$U447,Prod_Prop!$E:$E=V$1)),""""))"),"")</f>
        <v/>
      </c>
      <c r="W447" s="4" t="str">
        <f>IF(V447="","",SUMIFS(Prod_Prop!$J:$J,Prod_Prop!$B:$B,$Q447,Prod_Prop!$H:$H,V447,Prod_Prop!$I:$I,W$1)*IF(V447="Peso",$R447,1))</f>
        <v/>
      </c>
      <c r="X447" s="4" t="str">
        <f>IF(V447="","",SUMIFS(Prod_Prop!$J:$J,Prod_Prop!$B:$B,$Q447,Prod_Prop!$H:$H,V447,Prod_Prop!$I:$I,X$1)*IF(V447="Peso",$R447,1))</f>
        <v/>
      </c>
      <c r="Y447" s="4" t="str">
        <f>IFERROR(__xludf.DUMMYFUNCTION("IF(OR($U447="""",COUNTIF($I:$I,IFERROR(unique(filter(Prod_Prop!$H:$H,Prod_Prop!$G:$G=$U447,Prod_Prop!$E:$E=Y$1)),""Check""))=0),"""",IFERROR(unique(filter(Prod_Prop!$H:$H,Prod_Prop!$G:$G=$U447,Prod_Prop!$E:$E=Y$1)),""""))"),"")</f>
        <v/>
      </c>
      <c r="Z447" s="4" t="str">
        <f>IF(Y447="","",SUMIFS(Prod_Prop!$J:$J,Prod_Prop!$B:$B,$Q447,Prod_Prop!$H:$H,Y447,Prod_Prop!$I:$I,Z$1)*IF(Y447="Peso",$R447,1))</f>
        <v/>
      </c>
      <c r="AA447" s="4" t="str">
        <f>IF(Y447="","",SUMIFS(Prod_Prop!$J:$J,Prod_Prop!$B:$B,$Q447,Prod_Prop!$H:$H,Y447,Prod_Prop!$I:$I,AA$1)*IF(Y447="Peso",$R447,1))</f>
        <v/>
      </c>
      <c r="AB447" s="4" t="str">
        <f>IFERROR(__xludf.DUMMYFUNCTION("IF(OR($U447="""",COUNTIF($I:$I,IFERROR(unique(filter(Prod_Prop!$H:$H,Prod_Prop!$G:$G=$U447,Prod_Prop!$E:$E=AB$1)),""Check""))=0),"""",IFERROR(unique(filter(Prod_Prop!$H:$H,Prod_Prop!$G:$G=$U447,Prod_Prop!$E:$E=AB$1)),""""))"),"")</f>
        <v/>
      </c>
      <c r="AC447" s="4" t="str">
        <f>IF(AB447="","",SUMIFS(Prod_Prop!$J:$J,Prod_Prop!$B:$B,$Q447,Prod_Prop!$H:$H,AB447,Prod_Prop!$I:$I,AC$1)*IF(AB447="Peso",$R447,1))</f>
        <v/>
      </c>
      <c r="AD447" s="4" t="str">
        <f>IF(AB447="","",SUMIFS(Prod_Prop!$J:$J,Prod_Prop!$B:$B,$Q447,Prod_Prop!$H:$H,AB447,Prod_Prop!$I:$I,AD$1)*IF(AB447="Peso",$R447,1))</f>
        <v/>
      </c>
    </row>
    <row r="448">
      <c r="A448" s="4" t="str">
        <f t="array" ref="A448">IF(COUNTIF(A$1:A447,Cotizador!F$2)=maxifs(Familias!E:E,Familias!D:D,Cotizador!F$2),IF(COUNTIF(A$1:A447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8" s="4" t="str">
        <f t="shared" si="1"/>
        <v/>
      </c>
      <c r="C448" s="4" t="str">
        <f t="array" ref="C448">IF(B448="","",IF(A448=XLOOKUP(A$2,Implementos!B:B,Implementos!C:C,"",0,1),B448+maxifs(B$1:B447,A$1:A447,A$2),B448))</f>
        <v/>
      </c>
      <c r="D448" s="4" t="str">
        <f>IF(B448="","", COUNTIFS(Productos!F:F,A448,Productos!H:H,B448)+IF(F448="SI",0,1))</f>
        <v/>
      </c>
      <c r="E448" s="4" t="str">
        <f>IFERROR(__xludf.DUMMYFUNCTION("IF($B448="""","""",INDEX(filter(Familias!F:F,Familias!$D:$D=$A448,Familias!$E:$E=$B448),1))"),"")</f>
        <v/>
      </c>
      <c r="F448" s="4" t="str">
        <f>IFERROR(__xludf.DUMMYFUNCTION("IF($B448="""","""",INDEX(filter(Familias!G:G,Familias!$D:$D=$A448,Familias!$E:$E=$B448),1))"),"")</f>
        <v/>
      </c>
      <c r="G448" s="4" t="str">
        <f t="array" ref="G448">IF(C448=1,XLOOKUP(C448,Cotizador!D:D,Cotizador!E:E,"",0,1),"")</f>
        <v/>
      </c>
      <c r="I448" s="4"/>
      <c r="J448" s="8" t="str">
        <f>IF(I448="","",SUMIF(Cotizador!I$1:V$1,I448,Cotizador!I$2:V$2))</f>
        <v/>
      </c>
      <c r="L448" s="4" t="str">
        <f t="array" ref="L448">IF(COUNTIF(L$1:L447,A$2)=SUMIF(A:A,A$2,D:D),IF(COUNTIF(L$1:L447,XLOOKUP(A$2,Implementos!B:B,Implementos!C:C,"",0,1))=SUMIF(A:A,XLOOKUP(A$2,Implementos!B:B,Implementos!C:C,"",0,1),D:D),"",XLOOKUP(A$2,Implementos!B:B,Implementos!C:C,"",0,1)),A$2)</f>
        <v/>
      </c>
      <c r="M448" s="4" t="str">
        <f t="shared" si="2"/>
        <v/>
      </c>
      <c r="N448" s="4" t="str">
        <f t="shared" si="3"/>
        <v/>
      </c>
      <c r="O448" s="4" t="str">
        <f t="shared" si="4"/>
        <v/>
      </c>
      <c r="P448" s="4" t="str">
        <f t="shared" si="5"/>
        <v/>
      </c>
      <c r="Q448" s="4" t="str">
        <f>IF(U448="","",SUMIF(Productos!E:E,U448,Productos!A:A))</f>
        <v/>
      </c>
      <c r="R448" s="4" t="str">
        <f t="array" ref="R448">IF(L448="","", max(1,SUMIF(I:I,XLOOKUP(U448,Productos!E:E,Productos!G:G,"",0,1),J:J)))</f>
        <v/>
      </c>
      <c r="S448" s="4" t="str">
        <f>IF(Q448="","",IF(SUMIFS(Compat_Vetado!D:D,Compat_Vetado!B:B,SUM(G:G),Compat_Vetado!C:C,Q448)=1,"SI",IF(OR(SUMIF(Cotizador!E:E,Q448,Cotizador!G:G)&gt;0,SUMIFS(Compat_Vetado!D:D,Compat_Vetado!B:B,SUM(G:G),Compat_Vetado!C:C,Q448)=-1),"NO","")))</f>
        <v/>
      </c>
      <c r="T448" s="4" t="str">
        <f t="shared" si="6"/>
        <v/>
      </c>
      <c r="U448" s="4" t="str">
        <f>IFERROR(__xludf.DUMMYFUNCTION("IF(P448="""","""",IFERROR(INDEX(filter(Productos!E:E,Productos!F:F=L448,Productos!H:H=N448),P448),IF(M448=SUM(D:D),""Finalizar"",""-"")))"),"")</f>
        <v/>
      </c>
      <c r="V448" s="4" t="str">
        <f>IFERROR(__xludf.DUMMYFUNCTION("IF(OR($U448="""",COUNTIF($I:$I,IFERROR(unique(filter(Prod_Prop!$H:$H,Prod_Prop!$G:$G=$U448,Prod_Prop!$E:$E=V$1)),""Check""))=0),"""",IFERROR(unique(filter(Prod_Prop!$H:$H,Prod_Prop!$G:$G=$U448,Prod_Prop!$E:$E=V$1)),""""))"),"")</f>
        <v/>
      </c>
      <c r="W448" s="4" t="str">
        <f>IF(V448="","",SUMIFS(Prod_Prop!$J:$J,Prod_Prop!$B:$B,$Q448,Prod_Prop!$H:$H,V448,Prod_Prop!$I:$I,W$1)*IF(V448="Peso",$R448,1))</f>
        <v/>
      </c>
      <c r="X448" s="4" t="str">
        <f>IF(V448="","",SUMIFS(Prod_Prop!$J:$J,Prod_Prop!$B:$B,$Q448,Prod_Prop!$H:$H,V448,Prod_Prop!$I:$I,X$1)*IF(V448="Peso",$R448,1))</f>
        <v/>
      </c>
      <c r="Y448" s="4" t="str">
        <f>IFERROR(__xludf.DUMMYFUNCTION("IF(OR($U448="""",COUNTIF($I:$I,IFERROR(unique(filter(Prod_Prop!$H:$H,Prod_Prop!$G:$G=$U448,Prod_Prop!$E:$E=Y$1)),""Check""))=0),"""",IFERROR(unique(filter(Prod_Prop!$H:$H,Prod_Prop!$G:$G=$U448,Prod_Prop!$E:$E=Y$1)),""""))"),"")</f>
        <v/>
      </c>
      <c r="Z448" s="4" t="str">
        <f>IF(Y448="","",SUMIFS(Prod_Prop!$J:$J,Prod_Prop!$B:$B,$Q448,Prod_Prop!$H:$H,Y448,Prod_Prop!$I:$I,Z$1)*IF(Y448="Peso",$R448,1))</f>
        <v/>
      </c>
      <c r="AA448" s="4" t="str">
        <f>IF(Y448="","",SUMIFS(Prod_Prop!$J:$J,Prod_Prop!$B:$B,$Q448,Prod_Prop!$H:$H,Y448,Prod_Prop!$I:$I,AA$1)*IF(Y448="Peso",$R448,1))</f>
        <v/>
      </c>
      <c r="AB448" s="4" t="str">
        <f>IFERROR(__xludf.DUMMYFUNCTION("IF(OR($U448="""",COUNTIF($I:$I,IFERROR(unique(filter(Prod_Prop!$H:$H,Prod_Prop!$G:$G=$U448,Prod_Prop!$E:$E=AB$1)),""Check""))=0),"""",IFERROR(unique(filter(Prod_Prop!$H:$H,Prod_Prop!$G:$G=$U448,Prod_Prop!$E:$E=AB$1)),""""))"),"")</f>
        <v/>
      </c>
      <c r="AC448" s="4" t="str">
        <f>IF(AB448="","",SUMIFS(Prod_Prop!$J:$J,Prod_Prop!$B:$B,$Q448,Prod_Prop!$H:$H,AB448,Prod_Prop!$I:$I,AC$1)*IF(AB448="Peso",$R448,1))</f>
        <v/>
      </c>
      <c r="AD448" s="4" t="str">
        <f>IF(AB448="","",SUMIFS(Prod_Prop!$J:$J,Prod_Prop!$B:$B,$Q448,Prod_Prop!$H:$H,AB448,Prod_Prop!$I:$I,AD$1)*IF(AB448="Peso",$R448,1))</f>
        <v/>
      </c>
    </row>
    <row r="449">
      <c r="A449" s="4" t="str">
        <f t="array" ref="A449">IF(COUNTIF(A$1:A448,Cotizador!F$2)=maxifs(Familias!E:E,Familias!D:D,Cotizador!F$2),IF(COUNTIF(A$1:A448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49" s="4" t="str">
        <f t="shared" si="1"/>
        <v/>
      </c>
      <c r="C449" s="4" t="str">
        <f t="array" ref="C449">IF(B449="","",IF(A449=XLOOKUP(A$2,Implementos!B:B,Implementos!C:C,"",0,1),B449+maxifs(B$1:B448,A$1:A448,A$2),B449))</f>
        <v/>
      </c>
      <c r="D449" s="4" t="str">
        <f>IF(B449="","", COUNTIFS(Productos!F:F,A449,Productos!H:H,B449)+IF(F449="SI",0,1))</f>
        <v/>
      </c>
      <c r="E449" s="4" t="str">
        <f>IFERROR(__xludf.DUMMYFUNCTION("IF($B449="""","""",INDEX(filter(Familias!F:F,Familias!$D:$D=$A449,Familias!$E:$E=$B449),1))"),"")</f>
        <v/>
      </c>
      <c r="F449" s="4" t="str">
        <f>IFERROR(__xludf.DUMMYFUNCTION("IF($B449="""","""",INDEX(filter(Familias!G:G,Familias!$D:$D=$A449,Familias!$E:$E=$B449),1))"),"")</f>
        <v/>
      </c>
      <c r="G449" s="4" t="str">
        <f t="array" ref="G449">IF(C449=1,XLOOKUP(C449,Cotizador!D:D,Cotizador!E:E,"",0,1),"")</f>
        <v/>
      </c>
      <c r="I449" s="4"/>
      <c r="J449" s="8" t="str">
        <f>IF(I449="","",SUMIF(Cotizador!I$1:V$1,I449,Cotizador!I$2:V$2))</f>
        <v/>
      </c>
      <c r="L449" s="4" t="str">
        <f t="array" ref="L449">IF(COUNTIF(L$1:L448,A$2)=SUMIF(A:A,A$2,D:D),IF(COUNTIF(L$1:L448,XLOOKUP(A$2,Implementos!B:B,Implementos!C:C,"",0,1))=SUMIF(A:A,XLOOKUP(A$2,Implementos!B:B,Implementos!C:C,"",0,1),D:D),"",XLOOKUP(A$2,Implementos!B:B,Implementos!C:C,"",0,1)),A$2)</f>
        <v/>
      </c>
      <c r="M449" s="4" t="str">
        <f t="shared" si="2"/>
        <v/>
      </c>
      <c r="N449" s="4" t="str">
        <f t="shared" si="3"/>
        <v/>
      </c>
      <c r="O449" s="4" t="str">
        <f t="shared" si="4"/>
        <v/>
      </c>
      <c r="P449" s="4" t="str">
        <f t="shared" si="5"/>
        <v/>
      </c>
      <c r="Q449" s="4" t="str">
        <f>IF(U449="","",SUMIF(Productos!E:E,U449,Productos!A:A))</f>
        <v/>
      </c>
      <c r="R449" s="4" t="str">
        <f t="array" ref="R449">IF(L449="","", max(1,SUMIF(I:I,XLOOKUP(U449,Productos!E:E,Productos!G:G,"",0,1),J:J)))</f>
        <v/>
      </c>
      <c r="S449" s="4" t="str">
        <f>IF(Q449="","",IF(SUMIFS(Compat_Vetado!D:D,Compat_Vetado!B:B,SUM(G:G),Compat_Vetado!C:C,Q449)=1,"SI",IF(OR(SUMIF(Cotizador!E:E,Q449,Cotizador!G:G)&gt;0,SUMIFS(Compat_Vetado!D:D,Compat_Vetado!B:B,SUM(G:G),Compat_Vetado!C:C,Q449)=-1),"NO","")))</f>
        <v/>
      </c>
      <c r="T449" s="4" t="str">
        <f t="shared" si="6"/>
        <v/>
      </c>
      <c r="U449" s="4" t="str">
        <f>IFERROR(__xludf.DUMMYFUNCTION("IF(P449="""","""",IFERROR(INDEX(filter(Productos!E:E,Productos!F:F=L449,Productos!H:H=N449),P449),IF(M449=SUM(D:D),""Finalizar"",""-"")))"),"")</f>
        <v/>
      </c>
      <c r="V449" s="4" t="str">
        <f>IFERROR(__xludf.DUMMYFUNCTION("IF(OR($U449="""",COUNTIF($I:$I,IFERROR(unique(filter(Prod_Prop!$H:$H,Prod_Prop!$G:$G=$U449,Prod_Prop!$E:$E=V$1)),""Check""))=0),"""",IFERROR(unique(filter(Prod_Prop!$H:$H,Prod_Prop!$G:$G=$U449,Prod_Prop!$E:$E=V$1)),""""))"),"")</f>
        <v/>
      </c>
      <c r="W449" s="4" t="str">
        <f>IF(V449="","",SUMIFS(Prod_Prop!$J:$J,Prod_Prop!$B:$B,$Q449,Prod_Prop!$H:$H,V449,Prod_Prop!$I:$I,W$1)*IF(V449="Peso",$R449,1))</f>
        <v/>
      </c>
      <c r="X449" s="4" t="str">
        <f>IF(V449="","",SUMIFS(Prod_Prop!$J:$J,Prod_Prop!$B:$B,$Q449,Prod_Prop!$H:$H,V449,Prod_Prop!$I:$I,X$1)*IF(V449="Peso",$R449,1))</f>
        <v/>
      </c>
      <c r="Y449" s="4" t="str">
        <f>IFERROR(__xludf.DUMMYFUNCTION("IF(OR($U449="""",COUNTIF($I:$I,IFERROR(unique(filter(Prod_Prop!$H:$H,Prod_Prop!$G:$G=$U449,Prod_Prop!$E:$E=Y$1)),""Check""))=0),"""",IFERROR(unique(filter(Prod_Prop!$H:$H,Prod_Prop!$G:$G=$U449,Prod_Prop!$E:$E=Y$1)),""""))"),"")</f>
        <v/>
      </c>
      <c r="Z449" s="4" t="str">
        <f>IF(Y449="","",SUMIFS(Prod_Prop!$J:$J,Prod_Prop!$B:$B,$Q449,Prod_Prop!$H:$H,Y449,Prod_Prop!$I:$I,Z$1)*IF(Y449="Peso",$R449,1))</f>
        <v/>
      </c>
      <c r="AA449" s="4" t="str">
        <f>IF(Y449="","",SUMIFS(Prod_Prop!$J:$J,Prod_Prop!$B:$B,$Q449,Prod_Prop!$H:$H,Y449,Prod_Prop!$I:$I,AA$1)*IF(Y449="Peso",$R449,1))</f>
        <v/>
      </c>
      <c r="AB449" s="4" t="str">
        <f>IFERROR(__xludf.DUMMYFUNCTION("IF(OR($U449="""",COUNTIF($I:$I,IFERROR(unique(filter(Prod_Prop!$H:$H,Prod_Prop!$G:$G=$U449,Prod_Prop!$E:$E=AB$1)),""Check""))=0),"""",IFERROR(unique(filter(Prod_Prop!$H:$H,Prod_Prop!$G:$G=$U449,Prod_Prop!$E:$E=AB$1)),""""))"),"")</f>
        <v/>
      </c>
      <c r="AC449" s="4" t="str">
        <f>IF(AB449="","",SUMIFS(Prod_Prop!$J:$J,Prod_Prop!$B:$B,$Q449,Prod_Prop!$H:$H,AB449,Prod_Prop!$I:$I,AC$1)*IF(AB449="Peso",$R449,1))</f>
        <v/>
      </c>
      <c r="AD449" s="4" t="str">
        <f>IF(AB449="","",SUMIFS(Prod_Prop!$J:$J,Prod_Prop!$B:$B,$Q449,Prod_Prop!$H:$H,AB449,Prod_Prop!$I:$I,AD$1)*IF(AB449="Peso",$R449,1))</f>
        <v/>
      </c>
    </row>
    <row r="450">
      <c r="A450" s="4" t="str">
        <f t="array" ref="A450">IF(COUNTIF(A$1:A449,Cotizador!F$2)=maxifs(Familias!E:E,Familias!D:D,Cotizador!F$2),IF(COUNTIF(A$1:A449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0" s="4" t="str">
        <f t="shared" si="1"/>
        <v/>
      </c>
      <c r="C450" s="4" t="str">
        <f t="array" ref="C450">IF(B450="","",IF(A450=XLOOKUP(A$2,Implementos!B:B,Implementos!C:C,"",0,1),B450+maxifs(B$1:B449,A$1:A449,A$2),B450))</f>
        <v/>
      </c>
      <c r="D450" s="4" t="str">
        <f>IF(B450="","", COUNTIFS(Productos!F:F,A450,Productos!H:H,B450)+IF(F450="SI",0,1))</f>
        <v/>
      </c>
      <c r="E450" s="4" t="str">
        <f>IFERROR(__xludf.DUMMYFUNCTION("IF($B450="""","""",INDEX(filter(Familias!F:F,Familias!$D:$D=$A450,Familias!$E:$E=$B450),1))"),"")</f>
        <v/>
      </c>
      <c r="F450" s="4" t="str">
        <f>IFERROR(__xludf.DUMMYFUNCTION("IF($B450="""","""",INDEX(filter(Familias!G:G,Familias!$D:$D=$A450,Familias!$E:$E=$B450),1))"),"")</f>
        <v/>
      </c>
      <c r="G450" s="4" t="str">
        <f t="array" ref="G450">IF(C450=1,XLOOKUP(C450,Cotizador!D:D,Cotizador!E:E,"",0,1),"")</f>
        <v/>
      </c>
      <c r="I450" s="4"/>
      <c r="J450" s="8" t="str">
        <f>IF(I450="","",SUMIF(Cotizador!I$1:V$1,I450,Cotizador!I$2:V$2))</f>
        <v/>
      </c>
      <c r="L450" s="4" t="str">
        <f t="array" ref="L450">IF(COUNTIF(L$1:L449,A$2)=SUMIF(A:A,A$2,D:D),IF(COUNTIF(L$1:L449,XLOOKUP(A$2,Implementos!B:B,Implementos!C:C,"",0,1))=SUMIF(A:A,XLOOKUP(A$2,Implementos!B:B,Implementos!C:C,"",0,1),D:D),"",XLOOKUP(A$2,Implementos!B:B,Implementos!C:C,"",0,1)),A$2)</f>
        <v/>
      </c>
      <c r="M450" s="4" t="str">
        <f t="shared" si="2"/>
        <v/>
      </c>
      <c r="N450" s="4" t="str">
        <f t="shared" si="3"/>
        <v/>
      </c>
      <c r="O450" s="4" t="str">
        <f t="shared" si="4"/>
        <v/>
      </c>
      <c r="P450" s="4" t="str">
        <f t="shared" si="5"/>
        <v/>
      </c>
      <c r="Q450" s="4" t="str">
        <f>IF(U450="","",SUMIF(Productos!E:E,U450,Productos!A:A))</f>
        <v/>
      </c>
      <c r="R450" s="4" t="str">
        <f t="array" ref="R450">IF(L450="","", max(1,SUMIF(I:I,XLOOKUP(U450,Productos!E:E,Productos!G:G,"",0,1),J:J)))</f>
        <v/>
      </c>
      <c r="S450" s="4" t="str">
        <f>IF(Q450="","",IF(SUMIFS(Compat_Vetado!D:D,Compat_Vetado!B:B,SUM(G:G),Compat_Vetado!C:C,Q450)=1,"SI",IF(OR(SUMIF(Cotizador!E:E,Q450,Cotizador!G:G)&gt;0,SUMIFS(Compat_Vetado!D:D,Compat_Vetado!B:B,SUM(G:G),Compat_Vetado!C:C,Q450)=-1),"NO","")))</f>
        <v/>
      </c>
      <c r="T450" s="4" t="str">
        <f t="shared" si="6"/>
        <v/>
      </c>
      <c r="U450" s="4" t="str">
        <f>IFERROR(__xludf.DUMMYFUNCTION("IF(P450="""","""",IFERROR(INDEX(filter(Productos!E:E,Productos!F:F=L450,Productos!H:H=N450),P450),IF(M450=SUM(D:D),""Finalizar"",""-"")))"),"")</f>
        <v/>
      </c>
      <c r="V450" s="4" t="str">
        <f>IFERROR(__xludf.DUMMYFUNCTION("IF(OR($U450="""",COUNTIF($I:$I,IFERROR(unique(filter(Prod_Prop!$H:$H,Prod_Prop!$G:$G=$U450,Prod_Prop!$E:$E=V$1)),""Check""))=0),"""",IFERROR(unique(filter(Prod_Prop!$H:$H,Prod_Prop!$G:$G=$U450,Prod_Prop!$E:$E=V$1)),""""))"),"")</f>
        <v/>
      </c>
      <c r="W450" s="4" t="str">
        <f>IF(V450="","",SUMIFS(Prod_Prop!$J:$J,Prod_Prop!$B:$B,$Q450,Prod_Prop!$H:$H,V450,Prod_Prop!$I:$I,W$1)*IF(V450="Peso",$R450,1))</f>
        <v/>
      </c>
      <c r="X450" s="4" t="str">
        <f>IF(V450="","",SUMIFS(Prod_Prop!$J:$J,Prod_Prop!$B:$B,$Q450,Prod_Prop!$H:$H,V450,Prod_Prop!$I:$I,X$1)*IF(V450="Peso",$R450,1))</f>
        <v/>
      </c>
      <c r="Y450" s="4" t="str">
        <f>IFERROR(__xludf.DUMMYFUNCTION("IF(OR($U450="""",COUNTIF($I:$I,IFERROR(unique(filter(Prod_Prop!$H:$H,Prod_Prop!$G:$G=$U450,Prod_Prop!$E:$E=Y$1)),""Check""))=0),"""",IFERROR(unique(filter(Prod_Prop!$H:$H,Prod_Prop!$G:$G=$U450,Prod_Prop!$E:$E=Y$1)),""""))"),"")</f>
        <v/>
      </c>
      <c r="Z450" s="4" t="str">
        <f>IF(Y450="","",SUMIFS(Prod_Prop!$J:$J,Prod_Prop!$B:$B,$Q450,Prod_Prop!$H:$H,Y450,Prod_Prop!$I:$I,Z$1)*IF(Y450="Peso",$R450,1))</f>
        <v/>
      </c>
      <c r="AA450" s="4" t="str">
        <f>IF(Y450="","",SUMIFS(Prod_Prop!$J:$J,Prod_Prop!$B:$B,$Q450,Prod_Prop!$H:$H,Y450,Prod_Prop!$I:$I,AA$1)*IF(Y450="Peso",$R450,1))</f>
        <v/>
      </c>
      <c r="AB450" s="4" t="str">
        <f>IFERROR(__xludf.DUMMYFUNCTION("IF(OR($U450="""",COUNTIF($I:$I,IFERROR(unique(filter(Prod_Prop!$H:$H,Prod_Prop!$G:$G=$U450,Prod_Prop!$E:$E=AB$1)),""Check""))=0),"""",IFERROR(unique(filter(Prod_Prop!$H:$H,Prod_Prop!$G:$G=$U450,Prod_Prop!$E:$E=AB$1)),""""))"),"")</f>
        <v/>
      </c>
      <c r="AC450" s="4" t="str">
        <f>IF(AB450="","",SUMIFS(Prod_Prop!$J:$J,Prod_Prop!$B:$B,$Q450,Prod_Prop!$H:$H,AB450,Prod_Prop!$I:$I,AC$1)*IF(AB450="Peso",$R450,1))</f>
        <v/>
      </c>
      <c r="AD450" s="4" t="str">
        <f>IF(AB450="","",SUMIFS(Prod_Prop!$J:$J,Prod_Prop!$B:$B,$Q450,Prod_Prop!$H:$H,AB450,Prod_Prop!$I:$I,AD$1)*IF(AB450="Peso",$R450,1))</f>
        <v/>
      </c>
    </row>
    <row r="451">
      <c r="A451" s="4" t="str">
        <f t="array" ref="A451">IF(COUNTIF(A$1:A450,Cotizador!F$2)=maxifs(Familias!E:E,Familias!D:D,Cotizador!F$2),IF(COUNTIF(A$1:A450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1" s="4" t="str">
        <f t="shared" si="1"/>
        <v/>
      </c>
      <c r="C451" s="4" t="str">
        <f t="array" ref="C451">IF(B451="","",IF(A451=XLOOKUP(A$2,Implementos!B:B,Implementos!C:C,"",0,1),B451+maxifs(B$1:B450,A$1:A450,A$2),B451))</f>
        <v/>
      </c>
      <c r="D451" s="4" t="str">
        <f>IF(B451="","", COUNTIFS(Productos!F:F,A451,Productos!H:H,B451)+IF(F451="SI",0,1))</f>
        <v/>
      </c>
      <c r="E451" s="4" t="str">
        <f>IFERROR(__xludf.DUMMYFUNCTION("IF($B451="""","""",INDEX(filter(Familias!F:F,Familias!$D:$D=$A451,Familias!$E:$E=$B451),1))"),"")</f>
        <v/>
      </c>
      <c r="F451" s="4" t="str">
        <f>IFERROR(__xludf.DUMMYFUNCTION("IF($B451="""","""",INDEX(filter(Familias!G:G,Familias!$D:$D=$A451,Familias!$E:$E=$B451),1))"),"")</f>
        <v/>
      </c>
      <c r="G451" s="4" t="str">
        <f t="array" ref="G451">IF(C451=1,XLOOKUP(C451,Cotizador!D:D,Cotizador!E:E,"",0,1),"")</f>
        <v/>
      </c>
      <c r="I451" s="4"/>
      <c r="J451" s="8" t="str">
        <f>IF(I451="","",SUMIF(Cotizador!I$1:V$1,I451,Cotizador!I$2:V$2))</f>
        <v/>
      </c>
      <c r="L451" s="4" t="str">
        <f t="array" ref="L451">IF(COUNTIF(L$1:L450,A$2)=SUMIF(A:A,A$2,D:D),IF(COUNTIF(L$1:L450,XLOOKUP(A$2,Implementos!B:B,Implementos!C:C,"",0,1))=SUMIF(A:A,XLOOKUP(A$2,Implementos!B:B,Implementos!C:C,"",0,1),D:D),"",XLOOKUP(A$2,Implementos!B:B,Implementos!C:C,"",0,1)),A$2)</f>
        <v/>
      </c>
      <c r="M451" s="4" t="str">
        <f t="shared" si="2"/>
        <v/>
      </c>
      <c r="N451" s="4" t="str">
        <f t="shared" si="3"/>
        <v/>
      </c>
      <c r="O451" s="4" t="str">
        <f t="shared" si="4"/>
        <v/>
      </c>
      <c r="P451" s="4" t="str">
        <f t="shared" si="5"/>
        <v/>
      </c>
      <c r="Q451" s="4" t="str">
        <f>IF(U451="","",SUMIF(Productos!E:E,U451,Productos!A:A))</f>
        <v/>
      </c>
      <c r="R451" s="4" t="str">
        <f t="array" ref="R451">IF(L451="","", max(1,SUMIF(I:I,XLOOKUP(U451,Productos!E:E,Productos!G:G,"",0,1),J:J)))</f>
        <v/>
      </c>
      <c r="S451" s="4" t="str">
        <f>IF(Q451="","",IF(SUMIFS(Compat_Vetado!D:D,Compat_Vetado!B:B,SUM(G:G),Compat_Vetado!C:C,Q451)=1,"SI",IF(OR(SUMIF(Cotizador!E:E,Q451,Cotizador!G:G)&gt;0,SUMIFS(Compat_Vetado!D:D,Compat_Vetado!B:B,SUM(G:G),Compat_Vetado!C:C,Q451)=-1),"NO","")))</f>
        <v/>
      </c>
      <c r="T451" s="4" t="str">
        <f t="shared" si="6"/>
        <v/>
      </c>
      <c r="U451" s="4" t="str">
        <f>IFERROR(__xludf.DUMMYFUNCTION("IF(P451="""","""",IFERROR(INDEX(filter(Productos!E:E,Productos!F:F=L451,Productos!H:H=N451),P451),IF(M451=SUM(D:D),""Finalizar"",""-"")))"),"")</f>
        <v/>
      </c>
      <c r="V451" s="4" t="str">
        <f>IFERROR(__xludf.DUMMYFUNCTION("IF(OR($U451="""",COUNTIF($I:$I,IFERROR(unique(filter(Prod_Prop!$H:$H,Prod_Prop!$G:$G=$U451,Prod_Prop!$E:$E=V$1)),""Check""))=0),"""",IFERROR(unique(filter(Prod_Prop!$H:$H,Prod_Prop!$G:$G=$U451,Prod_Prop!$E:$E=V$1)),""""))"),"")</f>
        <v/>
      </c>
      <c r="W451" s="4" t="str">
        <f>IF(V451="","",SUMIFS(Prod_Prop!$J:$J,Prod_Prop!$B:$B,$Q451,Prod_Prop!$H:$H,V451,Prod_Prop!$I:$I,W$1)*IF(V451="Peso",$R451,1))</f>
        <v/>
      </c>
      <c r="X451" s="4" t="str">
        <f>IF(V451="","",SUMIFS(Prod_Prop!$J:$J,Prod_Prop!$B:$B,$Q451,Prod_Prop!$H:$H,V451,Prod_Prop!$I:$I,X$1)*IF(V451="Peso",$R451,1))</f>
        <v/>
      </c>
      <c r="Y451" s="4" t="str">
        <f>IFERROR(__xludf.DUMMYFUNCTION("IF(OR($U451="""",COUNTIF($I:$I,IFERROR(unique(filter(Prod_Prop!$H:$H,Prod_Prop!$G:$G=$U451,Prod_Prop!$E:$E=Y$1)),""Check""))=0),"""",IFERROR(unique(filter(Prod_Prop!$H:$H,Prod_Prop!$G:$G=$U451,Prod_Prop!$E:$E=Y$1)),""""))"),"")</f>
        <v/>
      </c>
      <c r="Z451" s="4" t="str">
        <f>IF(Y451="","",SUMIFS(Prod_Prop!$J:$J,Prod_Prop!$B:$B,$Q451,Prod_Prop!$H:$H,Y451,Prod_Prop!$I:$I,Z$1)*IF(Y451="Peso",$R451,1))</f>
        <v/>
      </c>
      <c r="AA451" s="4" t="str">
        <f>IF(Y451="","",SUMIFS(Prod_Prop!$J:$J,Prod_Prop!$B:$B,$Q451,Prod_Prop!$H:$H,Y451,Prod_Prop!$I:$I,AA$1)*IF(Y451="Peso",$R451,1))</f>
        <v/>
      </c>
      <c r="AB451" s="4" t="str">
        <f>IFERROR(__xludf.DUMMYFUNCTION("IF(OR($U451="""",COUNTIF($I:$I,IFERROR(unique(filter(Prod_Prop!$H:$H,Prod_Prop!$G:$G=$U451,Prod_Prop!$E:$E=AB$1)),""Check""))=0),"""",IFERROR(unique(filter(Prod_Prop!$H:$H,Prod_Prop!$G:$G=$U451,Prod_Prop!$E:$E=AB$1)),""""))"),"")</f>
        <v/>
      </c>
      <c r="AC451" s="4" t="str">
        <f>IF(AB451="","",SUMIFS(Prod_Prop!$J:$J,Prod_Prop!$B:$B,$Q451,Prod_Prop!$H:$H,AB451,Prod_Prop!$I:$I,AC$1)*IF(AB451="Peso",$R451,1))</f>
        <v/>
      </c>
      <c r="AD451" s="4" t="str">
        <f>IF(AB451="","",SUMIFS(Prod_Prop!$J:$J,Prod_Prop!$B:$B,$Q451,Prod_Prop!$H:$H,AB451,Prod_Prop!$I:$I,AD$1)*IF(AB451="Peso",$R451,1))</f>
        <v/>
      </c>
    </row>
    <row r="452">
      <c r="A452" s="4" t="str">
        <f t="array" ref="A452">IF(COUNTIF(A$1:A451,Cotizador!F$2)=maxifs(Familias!E:E,Familias!D:D,Cotizador!F$2),IF(COUNTIF(A$1:A451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2" s="4" t="str">
        <f t="shared" si="1"/>
        <v/>
      </c>
      <c r="C452" s="4" t="str">
        <f t="array" ref="C452">IF(B452="","",IF(A452=XLOOKUP(A$2,Implementos!B:B,Implementos!C:C,"",0,1),B452+maxifs(B$1:B451,A$1:A451,A$2),B452))</f>
        <v/>
      </c>
      <c r="D452" s="4" t="str">
        <f>IF(B452="","", COUNTIFS(Productos!F:F,A452,Productos!H:H,B452)+IF(F452="SI",0,1))</f>
        <v/>
      </c>
      <c r="E452" s="4" t="str">
        <f>IFERROR(__xludf.DUMMYFUNCTION("IF($B452="""","""",INDEX(filter(Familias!F:F,Familias!$D:$D=$A452,Familias!$E:$E=$B452),1))"),"")</f>
        <v/>
      </c>
      <c r="F452" s="4" t="str">
        <f>IFERROR(__xludf.DUMMYFUNCTION("IF($B452="""","""",INDEX(filter(Familias!G:G,Familias!$D:$D=$A452,Familias!$E:$E=$B452),1))"),"")</f>
        <v/>
      </c>
      <c r="G452" s="4" t="str">
        <f t="array" ref="G452">IF(C452=1,XLOOKUP(C452,Cotizador!D:D,Cotizador!E:E,"",0,1),"")</f>
        <v/>
      </c>
      <c r="I452" s="4"/>
      <c r="J452" s="8" t="str">
        <f>IF(I452="","",SUMIF(Cotizador!I$1:V$1,I452,Cotizador!I$2:V$2))</f>
        <v/>
      </c>
      <c r="L452" s="4" t="str">
        <f t="array" ref="L452">IF(COUNTIF(L$1:L451,A$2)=SUMIF(A:A,A$2,D:D),IF(COUNTIF(L$1:L451,XLOOKUP(A$2,Implementos!B:B,Implementos!C:C,"",0,1))=SUMIF(A:A,XLOOKUP(A$2,Implementos!B:B,Implementos!C:C,"",0,1),D:D),"",XLOOKUP(A$2,Implementos!B:B,Implementos!C:C,"",0,1)),A$2)</f>
        <v/>
      </c>
      <c r="M452" s="4" t="str">
        <f t="shared" si="2"/>
        <v/>
      </c>
      <c r="N452" s="4" t="str">
        <f t="shared" si="3"/>
        <v/>
      </c>
      <c r="O452" s="4" t="str">
        <f t="shared" si="4"/>
        <v/>
      </c>
      <c r="P452" s="4" t="str">
        <f t="shared" si="5"/>
        <v/>
      </c>
      <c r="Q452" s="4" t="str">
        <f>IF(U452="","",SUMIF(Productos!E:E,U452,Productos!A:A))</f>
        <v/>
      </c>
      <c r="R452" s="4" t="str">
        <f t="array" ref="R452">IF(L452="","", max(1,SUMIF(I:I,XLOOKUP(U452,Productos!E:E,Productos!G:G,"",0,1),J:J)))</f>
        <v/>
      </c>
      <c r="S452" s="4" t="str">
        <f>IF(Q452="","",IF(SUMIFS(Compat_Vetado!D:D,Compat_Vetado!B:B,SUM(G:G),Compat_Vetado!C:C,Q452)=1,"SI",IF(OR(SUMIF(Cotizador!E:E,Q452,Cotizador!G:G)&gt;0,SUMIFS(Compat_Vetado!D:D,Compat_Vetado!B:B,SUM(G:G),Compat_Vetado!C:C,Q452)=-1),"NO","")))</f>
        <v/>
      </c>
      <c r="T452" s="4" t="str">
        <f t="shared" si="6"/>
        <v/>
      </c>
      <c r="U452" s="4" t="str">
        <f>IFERROR(__xludf.DUMMYFUNCTION("IF(P452="""","""",IFERROR(INDEX(filter(Productos!E:E,Productos!F:F=L452,Productos!H:H=N452),P452),IF(M452=SUM(D:D),""Finalizar"",""-"")))"),"")</f>
        <v/>
      </c>
      <c r="V452" s="4" t="str">
        <f>IFERROR(__xludf.DUMMYFUNCTION("IF(OR($U452="""",COUNTIF($I:$I,IFERROR(unique(filter(Prod_Prop!$H:$H,Prod_Prop!$G:$G=$U452,Prod_Prop!$E:$E=V$1)),""Check""))=0),"""",IFERROR(unique(filter(Prod_Prop!$H:$H,Prod_Prop!$G:$G=$U452,Prod_Prop!$E:$E=V$1)),""""))"),"")</f>
        <v/>
      </c>
      <c r="W452" s="4" t="str">
        <f>IF(V452="","",SUMIFS(Prod_Prop!$J:$J,Prod_Prop!$B:$B,$Q452,Prod_Prop!$H:$H,V452,Prod_Prop!$I:$I,W$1)*IF(V452="Peso",$R452,1))</f>
        <v/>
      </c>
      <c r="X452" s="4" t="str">
        <f>IF(V452="","",SUMIFS(Prod_Prop!$J:$J,Prod_Prop!$B:$B,$Q452,Prod_Prop!$H:$H,V452,Prod_Prop!$I:$I,X$1)*IF(V452="Peso",$R452,1))</f>
        <v/>
      </c>
      <c r="Y452" s="4" t="str">
        <f>IFERROR(__xludf.DUMMYFUNCTION("IF(OR($U452="""",COUNTIF($I:$I,IFERROR(unique(filter(Prod_Prop!$H:$H,Prod_Prop!$G:$G=$U452,Prod_Prop!$E:$E=Y$1)),""Check""))=0),"""",IFERROR(unique(filter(Prod_Prop!$H:$H,Prod_Prop!$G:$G=$U452,Prod_Prop!$E:$E=Y$1)),""""))"),"")</f>
        <v/>
      </c>
      <c r="Z452" s="4" t="str">
        <f>IF(Y452="","",SUMIFS(Prod_Prop!$J:$J,Prod_Prop!$B:$B,$Q452,Prod_Prop!$H:$H,Y452,Prod_Prop!$I:$I,Z$1)*IF(Y452="Peso",$R452,1))</f>
        <v/>
      </c>
      <c r="AA452" s="4" t="str">
        <f>IF(Y452="","",SUMIFS(Prod_Prop!$J:$J,Prod_Prop!$B:$B,$Q452,Prod_Prop!$H:$H,Y452,Prod_Prop!$I:$I,AA$1)*IF(Y452="Peso",$R452,1))</f>
        <v/>
      </c>
      <c r="AB452" s="4" t="str">
        <f>IFERROR(__xludf.DUMMYFUNCTION("IF(OR($U452="""",COUNTIF($I:$I,IFERROR(unique(filter(Prod_Prop!$H:$H,Prod_Prop!$G:$G=$U452,Prod_Prop!$E:$E=AB$1)),""Check""))=0),"""",IFERROR(unique(filter(Prod_Prop!$H:$H,Prod_Prop!$G:$G=$U452,Prod_Prop!$E:$E=AB$1)),""""))"),"")</f>
        <v/>
      </c>
      <c r="AC452" s="4" t="str">
        <f>IF(AB452="","",SUMIFS(Prod_Prop!$J:$J,Prod_Prop!$B:$B,$Q452,Prod_Prop!$H:$H,AB452,Prod_Prop!$I:$I,AC$1)*IF(AB452="Peso",$R452,1))</f>
        <v/>
      </c>
      <c r="AD452" s="4" t="str">
        <f>IF(AB452="","",SUMIFS(Prod_Prop!$J:$J,Prod_Prop!$B:$B,$Q452,Prod_Prop!$H:$H,AB452,Prod_Prop!$I:$I,AD$1)*IF(AB452="Peso",$R452,1))</f>
        <v/>
      </c>
    </row>
    <row r="453">
      <c r="A453" s="4" t="str">
        <f t="array" ref="A453">IF(COUNTIF(A$1:A452,Cotizador!F$2)=maxifs(Familias!E:E,Familias!D:D,Cotizador!F$2),IF(COUNTIF(A$1:A452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3" s="4" t="str">
        <f t="shared" si="1"/>
        <v/>
      </c>
      <c r="C453" s="4" t="str">
        <f t="array" ref="C453">IF(B453="","",IF(A453=XLOOKUP(A$2,Implementos!B:B,Implementos!C:C,"",0,1),B453+maxifs(B$1:B452,A$1:A452,A$2),B453))</f>
        <v/>
      </c>
      <c r="D453" s="4" t="str">
        <f>IF(B453="","", COUNTIFS(Productos!F:F,A453,Productos!H:H,B453)+IF(F453="SI",0,1))</f>
        <v/>
      </c>
      <c r="E453" s="4" t="str">
        <f>IFERROR(__xludf.DUMMYFUNCTION("IF($B453="""","""",INDEX(filter(Familias!F:F,Familias!$D:$D=$A453,Familias!$E:$E=$B453),1))"),"")</f>
        <v/>
      </c>
      <c r="F453" s="4" t="str">
        <f>IFERROR(__xludf.DUMMYFUNCTION("IF($B453="""","""",INDEX(filter(Familias!G:G,Familias!$D:$D=$A453,Familias!$E:$E=$B453),1))"),"")</f>
        <v/>
      </c>
      <c r="G453" s="4" t="str">
        <f t="array" ref="G453">IF(C453=1,XLOOKUP(C453,Cotizador!D:D,Cotizador!E:E,"",0,1),"")</f>
        <v/>
      </c>
      <c r="I453" s="4"/>
      <c r="J453" s="8" t="str">
        <f>IF(I453="","",SUMIF(Cotizador!I$1:V$1,I453,Cotizador!I$2:V$2))</f>
        <v/>
      </c>
      <c r="L453" s="4" t="str">
        <f t="array" ref="L453">IF(COUNTIF(L$1:L452,A$2)=SUMIF(A:A,A$2,D:D),IF(COUNTIF(L$1:L452,XLOOKUP(A$2,Implementos!B:B,Implementos!C:C,"",0,1))=SUMIF(A:A,XLOOKUP(A$2,Implementos!B:B,Implementos!C:C,"",0,1),D:D),"",XLOOKUP(A$2,Implementos!B:B,Implementos!C:C,"",0,1)),A$2)</f>
        <v/>
      </c>
      <c r="M453" s="4" t="str">
        <f t="shared" si="2"/>
        <v/>
      </c>
      <c r="N453" s="4" t="str">
        <f t="shared" si="3"/>
        <v/>
      </c>
      <c r="O453" s="4" t="str">
        <f t="shared" si="4"/>
        <v/>
      </c>
      <c r="P453" s="4" t="str">
        <f t="shared" si="5"/>
        <v/>
      </c>
      <c r="Q453" s="4" t="str">
        <f>IF(U453="","",SUMIF(Productos!E:E,U453,Productos!A:A))</f>
        <v/>
      </c>
      <c r="R453" s="4" t="str">
        <f t="array" ref="R453">IF(L453="","", max(1,SUMIF(I:I,XLOOKUP(U453,Productos!E:E,Productos!G:G,"",0,1),J:J)))</f>
        <v/>
      </c>
      <c r="S453" s="4" t="str">
        <f>IF(Q453="","",IF(SUMIFS(Compat_Vetado!D:D,Compat_Vetado!B:B,SUM(G:G),Compat_Vetado!C:C,Q453)=1,"SI",IF(OR(SUMIF(Cotizador!E:E,Q453,Cotizador!G:G)&gt;0,SUMIFS(Compat_Vetado!D:D,Compat_Vetado!B:B,SUM(G:G),Compat_Vetado!C:C,Q453)=-1),"NO","")))</f>
        <v/>
      </c>
      <c r="T453" s="4" t="str">
        <f t="shared" si="6"/>
        <v/>
      </c>
      <c r="U453" s="4" t="str">
        <f>IFERROR(__xludf.DUMMYFUNCTION("IF(P453="""","""",IFERROR(INDEX(filter(Productos!E:E,Productos!F:F=L453,Productos!H:H=N453),P453),IF(M453=SUM(D:D),""Finalizar"",""-"")))"),"")</f>
        <v/>
      </c>
      <c r="V453" s="4" t="str">
        <f>IFERROR(__xludf.DUMMYFUNCTION("IF(OR($U453="""",COUNTIF($I:$I,IFERROR(unique(filter(Prod_Prop!$H:$H,Prod_Prop!$G:$G=$U453,Prod_Prop!$E:$E=V$1)),""Check""))=0),"""",IFERROR(unique(filter(Prod_Prop!$H:$H,Prod_Prop!$G:$G=$U453,Prod_Prop!$E:$E=V$1)),""""))"),"")</f>
        <v/>
      </c>
      <c r="W453" s="4" t="str">
        <f>IF(V453="","",SUMIFS(Prod_Prop!$J:$J,Prod_Prop!$B:$B,$Q453,Prod_Prop!$H:$H,V453,Prod_Prop!$I:$I,W$1)*IF(V453="Peso",$R453,1))</f>
        <v/>
      </c>
      <c r="X453" s="4" t="str">
        <f>IF(V453="","",SUMIFS(Prod_Prop!$J:$J,Prod_Prop!$B:$B,$Q453,Prod_Prop!$H:$H,V453,Prod_Prop!$I:$I,X$1)*IF(V453="Peso",$R453,1))</f>
        <v/>
      </c>
      <c r="Y453" s="4" t="str">
        <f>IFERROR(__xludf.DUMMYFUNCTION("IF(OR($U453="""",COUNTIF($I:$I,IFERROR(unique(filter(Prod_Prop!$H:$H,Prod_Prop!$G:$G=$U453,Prod_Prop!$E:$E=Y$1)),""Check""))=0),"""",IFERROR(unique(filter(Prod_Prop!$H:$H,Prod_Prop!$G:$G=$U453,Prod_Prop!$E:$E=Y$1)),""""))"),"")</f>
        <v/>
      </c>
      <c r="Z453" s="4" t="str">
        <f>IF(Y453="","",SUMIFS(Prod_Prop!$J:$J,Prod_Prop!$B:$B,$Q453,Prod_Prop!$H:$H,Y453,Prod_Prop!$I:$I,Z$1)*IF(Y453="Peso",$R453,1))</f>
        <v/>
      </c>
      <c r="AA453" s="4" t="str">
        <f>IF(Y453="","",SUMIFS(Prod_Prop!$J:$J,Prod_Prop!$B:$B,$Q453,Prod_Prop!$H:$H,Y453,Prod_Prop!$I:$I,AA$1)*IF(Y453="Peso",$R453,1))</f>
        <v/>
      </c>
      <c r="AB453" s="4" t="str">
        <f>IFERROR(__xludf.DUMMYFUNCTION("IF(OR($U453="""",COUNTIF($I:$I,IFERROR(unique(filter(Prod_Prop!$H:$H,Prod_Prop!$G:$G=$U453,Prod_Prop!$E:$E=AB$1)),""Check""))=0),"""",IFERROR(unique(filter(Prod_Prop!$H:$H,Prod_Prop!$G:$G=$U453,Prod_Prop!$E:$E=AB$1)),""""))"),"")</f>
        <v/>
      </c>
      <c r="AC453" s="4" t="str">
        <f>IF(AB453="","",SUMIFS(Prod_Prop!$J:$J,Prod_Prop!$B:$B,$Q453,Prod_Prop!$H:$H,AB453,Prod_Prop!$I:$I,AC$1)*IF(AB453="Peso",$R453,1))</f>
        <v/>
      </c>
      <c r="AD453" s="4" t="str">
        <f>IF(AB453="","",SUMIFS(Prod_Prop!$J:$J,Prod_Prop!$B:$B,$Q453,Prod_Prop!$H:$H,AB453,Prod_Prop!$I:$I,AD$1)*IF(AB453="Peso",$R453,1))</f>
        <v/>
      </c>
    </row>
    <row r="454">
      <c r="A454" s="4" t="str">
        <f t="array" ref="A454">IF(COUNTIF(A$1:A453,Cotizador!F$2)=maxifs(Familias!E:E,Familias!D:D,Cotizador!F$2),IF(COUNTIF(A$1:A453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4" s="4" t="str">
        <f t="shared" si="1"/>
        <v/>
      </c>
      <c r="C454" s="4" t="str">
        <f t="array" ref="C454">IF(B454="","",IF(A454=XLOOKUP(A$2,Implementos!B:B,Implementos!C:C,"",0,1),B454+maxifs(B$1:B453,A$1:A453,A$2),B454))</f>
        <v/>
      </c>
      <c r="D454" s="4" t="str">
        <f>IF(B454="","", COUNTIFS(Productos!F:F,A454,Productos!H:H,B454)+IF(F454="SI",0,1))</f>
        <v/>
      </c>
      <c r="E454" s="4" t="str">
        <f>IFERROR(__xludf.DUMMYFUNCTION("IF($B454="""","""",INDEX(filter(Familias!F:F,Familias!$D:$D=$A454,Familias!$E:$E=$B454),1))"),"")</f>
        <v/>
      </c>
      <c r="F454" s="4" t="str">
        <f>IFERROR(__xludf.DUMMYFUNCTION("IF($B454="""","""",INDEX(filter(Familias!G:G,Familias!$D:$D=$A454,Familias!$E:$E=$B454),1))"),"")</f>
        <v/>
      </c>
      <c r="G454" s="4" t="str">
        <f t="array" ref="G454">IF(C454=1,XLOOKUP(C454,Cotizador!D:D,Cotizador!E:E,"",0,1),"")</f>
        <v/>
      </c>
      <c r="I454" s="4"/>
      <c r="J454" s="8" t="str">
        <f>IF(I454="","",SUMIF(Cotizador!I$1:V$1,I454,Cotizador!I$2:V$2))</f>
        <v/>
      </c>
      <c r="L454" s="4" t="str">
        <f t="array" ref="L454">IF(COUNTIF(L$1:L453,A$2)=SUMIF(A:A,A$2,D:D),IF(COUNTIF(L$1:L453,XLOOKUP(A$2,Implementos!B:B,Implementos!C:C,"",0,1))=SUMIF(A:A,XLOOKUP(A$2,Implementos!B:B,Implementos!C:C,"",0,1),D:D),"",XLOOKUP(A$2,Implementos!B:B,Implementos!C:C,"",0,1)),A$2)</f>
        <v/>
      </c>
      <c r="M454" s="4" t="str">
        <f t="shared" si="2"/>
        <v/>
      </c>
      <c r="N454" s="4" t="str">
        <f t="shared" si="3"/>
        <v/>
      </c>
      <c r="O454" s="4" t="str">
        <f t="shared" si="4"/>
        <v/>
      </c>
      <c r="P454" s="4" t="str">
        <f t="shared" si="5"/>
        <v/>
      </c>
      <c r="Q454" s="4" t="str">
        <f>IF(U454="","",SUMIF(Productos!E:E,U454,Productos!A:A))</f>
        <v/>
      </c>
      <c r="R454" s="4" t="str">
        <f t="array" ref="R454">IF(L454="","", max(1,SUMIF(I:I,XLOOKUP(U454,Productos!E:E,Productos!G:G,"",0,1),J:J)))</f>
        <v/>
      </c>
      <c r="S454" s="4" t="str">
        <f>IF(Q454="","",IF(SUMIFS(Compat_Vetado!D:D,Compat_Vetado!B:B,SUM(G:G),Compat_Vetado!C:C,Q454)=1,"SI",IF(OR(SUMIF(Cotizador!E:E,Q454,Cotizador!G:G)&gt;0,SUMIFS(Compat_Vetado!D:D,Compat_Vetado!B:B,SUM(G:G),Compat_Vetado!C:C,Q454)=-1),"NO","")))</f>
        <v/>
      </c>
      <c r="T454" s="4" t="str">
        <f t="shared" si="6"/>
        <v/>
      </c>
      <c r="U454" s="4" t="str">
        <f>IFERROR(__xludf.DUMMYFUNCTION("IF(P454="""","""",IFERROR(INDEX(filter(Productos!E:E,Productos!F:F=L454,Productos!H:H=N454),P454),IF(M454=SUM(D:D),""Finalizar"",""-"")))"),"")</f>
        <v/>
      </c>
      <c r="V454" s="4" t="str">
        <f>IFERROR(__xludf.DUMMYFUNCTION("IF(OR($U454="""",COUNTIF($I:$I,IFERROR(unique(filter(Prod_Prop!$H:$H,Prod_Prop!$G:$G=$U454,Prod_Prop!$E:$E=V$1)),""Check""))=0),"""",IFERROR(unique(filter(Prod_Prop!$H:$H,Prod_Prop!$G:$G=$U454,Prod_Prop!$E:$E=V$1)),""""))"),"")</f>
        <v/>
      </c>
      <c r="W454" s="4" t="str">
        <f>IF(V454="","",SUMIFS(Prod_Prop!$J:$J,Prod_Prop!$B:$B,$Q454,Prod_Prop!$H:$H,V454,Prod_Prop!$I:$I,W$1)*IF(V454="Peso",$R454,1))</f>
        <v/>
      </c>
      <c r="X454" s="4" t="str">
        <f>IF(V454="","",SUMIFS(Prod_Prop!$J:$J,Prod_Prop!$B:$B,$Q454,Prod_Prop!$H:$H,V454,Prod_Prop!$I:$I,X$1)*IF(V454="Peso",$R454,1))</f>
        <v/>
      </c>
      <c r="Y454" s="4" t="str">
        <f>IFERROR(__xludf.DUMMYFUNCTION("IF(OR($U454="""",COUNTIF($I:$I,IFERROR(unique(filter(Prod_Prop!$H:$H,Prod_Prop!$G:$G=$U454,Prod_Prop!$E:$E=Y$1)),""Check""))=0),"""",IFERROR(unique(filter(Prod_Prop!$H:$H,Prod_Prop!$G:$G=$U454,Prod_Prop!$E:$E=Y$1)),""""))"),"")</f>
        <v/>
      </c>
      <c r="Z454" s="4" t="str">
        <f>IF(Y454="","",SUMIFS(Prod_Prop!$J:$J,Prod_Prop!$B:$B,$Q454,Prod_Prop!$H:$H,Y454,Prod_Prop!$I:$I,Z$1)*IF(Y454="Peso",$R454,1))</f>
        <v/>
      </c>
      <c r="AA454" s="4" t="str">
        <f>IF(Y454="","",SUMIFS(Prod_Prop!$J:$J,Prod_Prop!$B:$B,$Q454,Prod_Prop!$H:$H,Y454,Prod_Prop!$I:$I,AA$1)*IF(Y454="Peso",$R454,1))</f>
        <v/>
      </c>
      <c r="AB454" s="4" t="str">
        <f>IFERROR(__xludf.DUMMYFUNCTION("IF(OR($U454="""",COUNTIF($I:$I,IFERROR(unique(filter(Prod_Prop!$H:$H,Prod_Prop!$G:$G=$U454,Prod_Prop!$E:$E=AB$1)),""Check""))=0),"""",IFERROR(unique(filter(Prod_Prop!$H:$H,Prod_Prop!$G:$G=$U454,Prod_Prop!$E:$E=AB$1)),""""))"),"")</f>
        <v/>
      </c>
      <c r="AC454" s="4" t="str">
        <f>IF(AB454="","",SUMIFS(Prod_Prop!$J:$J,Prod_Prop!$B:$B,$Q454,Prod_Prop!$H:$H,AB454,Prod_Prop!$I:$I,AC$1)*IF(AB454="Peso",$R454,1))</f>
        <v/>
      </c>
      <c r="AD454" s="4" t="str">
        <f>IF(AB454="","",SUMIFS(Prod_Prop!$J:$J,Prod_Prop!$B:$B,$Q454,Prod_Prop!$H:$H,AB454,Prod_Prop!$I:$I,AD$1)*IF(AB454="Peso",$R454,1))</f>
        <v/>
      </c>
    </row>
    <row r="455">
      <c r="A455" s="4" t="str">
        <f t="array" ref="A455">IF(COUNTIF(A$1:A454,Cotizador!F$2)=maxifs(Familias!E:E,Familias!D:D,Cotizador!F$2),IF(COUNTIF(A$1:A454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5" s="4" t="str">
        <f t="shared" si="1"/>
        <v/>
      </c>
      <c r="C455" s="4" t="str">
        <f t="array" ref="C455">IF(B455="","",IF(A455=XLOOKUP(A$2,Implementos!B:B,Implementos!C:C,"",0,1),B455+maxifs(B$1:B454,A$1:A454,A$2),B455))</f>
        <v/>
      </c>
      <c r="D455" s="4" t="str">
        <f>IF(B455="","", COUNTIFS(Productos!F:F,A455,Productos!H:H,B455)+IF(F455="SI",0,1))</f>
        <v/>
      </c>
      <c r="E455" s="4" t="str">
        <f>IFERROR(__xludf.DUMMYFUNCTION("IF($B455="""","""",INDEX(filter(Familias!F:F,Familias!$D:$D=$A455,Familias!$E:$E=$B455),1))"),"")</f>
        <v/>
      </c>
      <c r="F455" s="4" t="str">
        <f>IFERROR(__xludf.DUMMYFUNCTION("IF($B455="""","""",INDEX(filter(Familias!G:G,Familias!$D:$D=$A455,Familias!$E:$E=$B455),1))"),"")</f>
        <v/>
      </c>
      <c r="G455" s="4" t="str">
        <f t="array" ref="G455">IF(C455=1,XLOOKUP(C455,Cotizador!D:D,Cotizador!E:E,"",0,1),"")</f>
        <v/>
      </c>
      <c r="I455" s="4"/>
      <c r="J455" s="8" t="str">
        <f>IF(I455="","",SUMIF(Cotizador!I$1:V$1,I455,Cotizador!I$2:V$2))</f>
        <v/>
      </c>
      <c r="L455" s="4" t="str">
        <f t="array" ref="L455">IF(COUNTIF(L$1:L454,A$2)=SUMIF(A:A,A$2,D:D),IF(COUNTIF(L$1:L454,XLOOKUP(A$2,Implementos!B:B,Implementos!C:C,"",0,1))=SUMIF(A:A,XLOOKUP(A$2,Implementos!B:B,Implementos!C:C,"",0,1),D:D),"",XLOOKUP(A$2,Implementos!B:B,Implementos!C:C,"",0,1)),A$2)</f>
        <v/>
      </c>
      <c r="M455" s="4" t="str">
        <f t="shared" si="2"/>
        <v/>
      </c>
      <c r="N455" s="4" t="str">
        <f t="shared" si="3"/>
        <v/>
      </c>
      <c r="O455" s="4" t="str">
        <f t="shared" si="4"/>
        <v/>
      </c>
      <c r="P455" s="4" t="str">
        <f t="shared" si="5"/>
        <v/>
      </c>
      <c r="Q455" s="4" t="str">
        <f>IF(U455="","",SUMIF(Productos!E:E,U455,Productos!A:A))</f>
        <v/>
      </c>
      <c r="R455" s="4" t="str">
        <f t="array" ref="R455">IF(L455="","", max(1,SUMIF(I:I,XLOOKUP(U455,Productos!E:E,Productos!G:G,"",0,1),J:J)))</f>
        <v/>
      </c>
      <c r="S455" s="4" t="str">
        <f>IF(Q455="","",IF(SUMIFS(Compat_Vetado!D:D,Compat_Vetado!B:B,SUM(G:G),Compat_Vetado!C:C,Q455)=1,"SI",IF(OR(SUMIF(Cotizador!E:E,Q455,Cotizador!G:G)&gt;0,SUMIFS(Compat_Vetado!D:D,Compat_Vetado!B:B,SUM(G:G),Compat_Vetado!C:C,Q455)=-1),"NO","")))</f>
        <v/>
      </c>
      <c r="T455" s="4" t="str">
        <f t="shared" si="6"/>
        <v/>
      </c>
      <c r="U455" s="4" t="str">
        <f>IFERROR(__xludf.DUMMYFUNCTION("IF(P455="""","""",IFERROR(INDEX(filter(Productos!E:E,Productos!F:F=L455,Productos!H:H=N455),P455),IF(M455=SUM(D:D),""Finalizar"",""-"")))"),"")</f>
        <v/>
      </c>
      <c r="V455" s="4" t="str">
        <f>IFERROR(__xludf.DUMMYFUNCTION("IF(OR($U455="""",COUNTIF($I:$I,IFERROR(unique(filter(Prod_Prop!$H:$H,Prod_Prop!$G:$G=$U455,Prod_Prop!$E:$E=V$1)),""Check""))=0),"""",IFERROR(unique(filter(Prod_Prop!$H:$H,Prod_Prop!$G:$G=$U455,Prod_Prop!$E:$E=V$1)),""""))"),"")</f>
        <v/>
      </c>
      <c r="W455" s="4" t="str">
        <f>IF(V455="","",SUMIFS(Prod_Prop!$J:$J,Prod_Prop!$B:$B,$Q455,Prod_Prop!$H:$H,V455,Prod_Prop!$I:$I,W$1)*IF(V455="Peso",$R455,1))</f>
        <v/>
      </c>
      <c r="X455" s="4" t="str">
        <f>IF(V455="","",SUMIFS(Prod_Prop!$J:$J,Prod_Prop!$B:$B,$Q455,Prod_Prop!$H:$H,V455,Prod_Prop!$I:$I,X$1)*IF(V455="Peso",$R455,1))</f>
        <v/>
      </c>
      <c r="Y455" s="4" t="str">
        <f>IFERROR(__xludf.DUMMYFUNCTION("IF(OR($U455="""",COUNTIF($I:$I,IFERROR(unique(filter(Prod_Prop!$H:$H,Prod_Prop!$G:$G=$U455,Prod_Prop!$E:$E=Y$1)),""Check""))=0),"""",IFERROR(unique(filter(Prod_Prop!$H:$H,Prod_Prop!$G:$G=$U455,Prod_Prop!$E:$E=Y$1)),""""))"),"")</f>
        <v/>
      </c>
      <c r="Z455" s="4" t="str">
        <f>IF(Y455="","",SUMIFS(Prod_Prop!$J:$J,Prod_Prop!$B:$B,$Q455,Prod_Prop!$H:$H,Y455,Prod_Prop!$I:$I,Z$1)*IF(Y455="Peso",$R455,1))</f>
        <v/>
      </c>
      <c r="AA455" s="4" t="str">
        <f>IF(Y455="","",SUMIFS(Prod_Prop!$J:$J,Prod_Prop!$B:$B,$Q455,Prod_Prop!$H:$H,Y455,Prod_Prop!$I:$I,AA$1)*IF(Y455="Peso",$R455,1))</f>
        <v/>
      </c>
      <c r="AB455" s="4" t="str">
        <f>IFERROR(__xludf.DUMMYFUNCTION("IF(OR($U455="""",COUNTIF($I:$I,IFERROR(unique(filter(Prod_Prop!$H:$H,Prod_Prop!$G:$G=$U455,Prod_Prop!$E:$E=AB$1)),""Check""))=0),"""",IFERROR(unique(filter(Prod_Prop!$H:$H,Prod_Prop!$G:$G=$U455,Prod_Prop!$E:$E=AB$1)),""""))"),"")</f>
        <v/>
      </c>
      <c r="AC455" s="4" t="str">
        <f>IF(AB455="","",SUMIFS(Prod_Prop!$J:$J,Prod_Prop!$B:$B,$Q455,Prod_Prop!$H:$H,AB455,Prod_Prop!$I:$I,AC$1)*IF(AB455="Peso",$R455,1))</f>
        <v/>
      </c>
      <c r="AD455" s="4" t="str">
        <f>IF(AB455="","",SUMIFS(Prod_Prop!$J:$J,Prod_Prop!$B:$B,$Q455,Prod_Prop!$H:$H,AB455,Prod_Prop!$I:$I,AD$1)*IF(AB455="Peso",$R455,1))</f>
        <v/>
      </c>
    </row>
    <row r="456">
      <c r="A456" s="4" t="str">
        <f t="array" ref="A456">IF(COUNTIF(A$1:A455,Cotizador!F$2)=maxifs(Familias!E:E,Familias!D:D,Cotizador!F$2),IF(COUNTIF(A$1:A455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6" s="4" t="str">
        <f t="shared" si="1"/>
        <v/>
      </c>
      <c r="C456" s="4" t="str">
        <f t="array" ref="C456">IF(B456="","",IF(A456=XLOOKUP(A$2,Implementos!B:B,Implementos!C:C,"",0,1),B456+maxifs(B$1:B455,A$1:A455,A$2),B456))</f>
        <v/>
      </c>
      <c r="D456" s="4" t="str">
        <f>IF(B456="","", COUNTIFS(Productos!F:F,A456,Productos!H:H,B456)+IF(F456="SI",0,1))</f>
        <v/>
      </c>
      <c r="E456" s="4" t="str">
        <f>IFERROR(__xludf.DUMMYFUNCTION("IF($B456="""","""",INDEX(filter(Familias!F:F,Familias!$D:$D=$A456,Familias!$E:$E=$B456),1))"),"")</f>
        <v/>
      </c>
      <c r="F456" s="4" t="str">
        <f>IFERROR(__xludf.DUMMYFUNCTION("IF($B456="""","""",INDEX(filter(Familias!G:G,Familias!$D:$D=$A456,Familias!$E:$E=$B456),1))"),"")</f>
        <v/>
      </c>
      <c r="G456" s="4" t="str">
        <f t="array" ref="G456">IF(C456=1,XLOOKUP(C456,Cotizador!D:D,Cotizador!E:E,"",0,1),"")</f>
        <v/>
      </c>
      <c r="I456" s="4"/>
      <c r="J456" s="8" t="str">
        <f>IF(I456="","",SUMIF(Cotizador!I$1:V$1,I456,Cotizador!I$2:V$2))</f>
        <v/>
      </c>
      <c r="L456" s="4" t="str">
        <f t="array" ref="L456">IF(COUNTIF(L$1:L455,A$2)=SUMIF(A:A,A$2,D:D),IF(COUNTIF(L$1:L455,XLOOKUP(A$2,Implementos!B:B,Implementos!C:C,"",0,1))=SUMIF(A:A,XLOOKUP(A$2,Implementos!B:B,Implementos!C:C,"",0,1),D:D),"",XLOOKUP(A$2,Implementos!B:B,Implementos!C:C,"",0,1)),A$2)</f>
        <v/>
      </c>
      <c r="M456" s="4" t="str">
        <f t="shared" si="2"/>
        <v/>
      </c>
      <c r="N456" s="4" t="str">
        <f t="shared" si="3"/>
        <v/>
      </c>
      <c r="O456" s="4" t="str">
        <f t="shared" si="4"/>
        <v/>
      </c>
      <c r="P456" s="4" t="str">
        <f t="shared" si="5"/>
        <v/>
      </c>
      <c r="Q456" s="4" t="str">
        <f>IF(U456="","",SUMIF(Productos!E:E,U456,Productos!A:A))</f>
        <v/>
      </c>
      <c r="R456" s="4" t="str">
        <f t="array" ref="R456">IF(L456="","", max(1,SUMIF(I:I,XLOOKUP(U456,Productos!E:E,Productos!G:G,"",0,1),J:J)))</f>
        <v/>
      </c>
      <c r="S456" s="4" t="str">
        <f>IF(Q456="","",IF(SUMIFS(Compat_Vetado!D:D,Compat_Vetado!B:B,SUM(G:G),Compat_Vetado!C:C,Q456)=1,"SI",IF(OR(SUMIF(Cotizador!E:E,Q456,Cotizador!G:G)&gt;0,SUMIFS(Compat_Vetado!D:D,Compat_Vetado!B:B,SUM(G:G),Compat_Vetado!C:C,Q456)=-1),"NO","")))</f>
        <v/>
      </c>
      <c r="T456" s="4" t="str">
        <f t="shared" si="6"/>
        <v/>
      </c>
      <c r="U456" s="4" t="str">
        <f>IFERROR(__xludf.DUMMYFUNCTION("IF(P456="""","""",IFERROR(INDEX(filter(Productos!E:E,Productos!F:F=L456,Productos!H:H=N456),P456),IF(M456=SUM(D:D),""Finalizar"",""-"")))"),"")</f>
        <v/>
      </c>
      <c r="V456" s="4" t="str">
        <f>IFERROR(__xludf.DUMMYFUNCTION("IF(OR($U456="""",COUNTIF($I:$I,IFERROR(unique(filter(Prod_Prop!$H:$H,Prod_Prop!$G:$G=$U456,Prod_Prop!$E:$E=V$1)),""Check""))=0),"""",IFERROR(unique(filter(Prod_Prop!$H:$H,Prod_Prop!$G:$G=$U456,Prod_Prop!$E:$E=V$1)),""""))"),"")</f>
        <v/>
      </c>
      <c r="W456" s="4" t="str">
        <f>IF(V456="","",SUMIFS(Prod_Prop!$J:$J,Prod_Prop!$B:$B,$Q456,Prod_Prop!$H:$H,V456,Prod_Prop!$I:$I,W$1)*IF(V456="Peso",$R456,1))</f>
        <v/>
      </c>
      <c r="X456" s="4" t="str">
        <f>IF(V456="","",SUMIFS(Prod_Prop!$J:$J,Prod_Prop!$B:$B,$Q456,Prod_Prop!$H:$H,V456,Prod_Prop!$I:$I,X$1)*IF(V456="Peso",$R456,1))</f>
        <v/>
      </c>
      <c r="Y456" s="4" t="str">
        <f>IFERROR(__xludf.DUMMYFUNCTION("IF(OR($U456="""",COUNTIF($I:$I,IFERROR(unique(filter(Prod_Prop!$H:$H,Prod_Prop!$G:$G=$U456,Prod_Prop!$E:$E=Y$1)),""Check""))=0),"""",IFERROR(unique(filter(Prod_Prop!$H:$H,Prod_Prop!$G:$G=$U456,Prod_Prop!$E:$E=Y$1)),""""))"),"")</f>
        <v/>
      </c>
      <c r="Z456" s="4" t="str">
        <f>IF(Y456="","",SUMIFS(Prod_Prop!$J:$J,Prod_Prop!$B:$B,$Q456,Prod_Prop!$H:$H,Y456,Prod_Prop!$I:$I,Z$1)*IF(Y456="Peso",$R456,1))</f>
        <v/>
      </c>
      <c r="AA456" s="4" t="str">
        <f>IF(Y456="","",SUMIFS(Prod_Prop!$J:$J,Prod_Prop!$B:$B,$Q456,Prod_Prop!$H:$H,Y456,Prod_Prop!$I:$I,AA$1)*IF(Y456="Peso",$R456,1))</f>
        <v/>
      </c>
      <c r="AB456" s="4" t="str">
        <f>IFERROR(__xludf.DUMMYFUNCTION("IF(OR($U456="""",COUNTIF($I:$I,IFERROR(unique(filter(Prod_Prop!$H:$H,Prod_Prop!$G:$G=$U456,Prod_Prop!$E:$E=AB$1)),""Check""))=0),"""",IFERROR(unique(filter(Prod_Prop!$H:$H,Prod_Prop!$G:$G=$U456,Prod_Prop!$E:$E=AB$1)),""""))"),"")</f>
        <v/>
      </c>
      <c r="AC456" s="4" t="str">
        <f>IF(AB456="","",SUMIFS(Prod_Prop!$J:$J,Prod_Prop!$B:$B,$Q456,Prod_Prop!$H:$H,AB456,Prod_Prop!$I:$I,AC$1)*IF(AB456="Peso",$R456,1))</f>
        <v/>
      </c>
      <c r="AD456" s="4" t="str">
        <f>IF(AB456="","",SUMIFS(Prod_Prop!$J:$J,Prod_Prop!$B:$B,$Q456,Prod_Prop!$H:$H,AB456,Prod_Prop!$I:$I,AD$1)*IF(AB456="Peso",$R456,1))</f>
        <v/>
      </c>
    </row>
    <row r="457">
      <c r="A457" s="4" t="str">
        <f t="array" ref="A457">IF(COUNTIF(A$1:A456,Cotizador!F$2)=maxifs(Familias!E:E,Familias!D:D,Cotizador!F$2),IF(COUNTIF(A$1:A456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7" s="4" t="str">
        <f t="shared" si="1"/>
        <v/>
      </c>
      <c r="C457" s="4" t="str">
        <f t="array" ref="C457">IF(B457="","",IF(A457=XLOOKUP(A$2,Implementos!B:B,Implementos!C:C,"",0,1),B457+maxifs(B$1:B456,A$1:A456,A$2),B457))</f>
        <v/>
      </c>
      <c r="D457" s="4" t="str">
        <f>IF(B457="","", COUNTIFS(Productos!F:F,A457,Productos!H:H,B457)+IF(F457="SI",0,1))</f>
        <v/>
      </c>
      <c r="E457" s="4" t="str">
        <f>IFERROR(__xludf.DUMMYFUNCTION("IF($B457="""","""",INDEX(filter(Familias!F:F,Familias!$D:$D=$A457,Familias!$E:$E=$B457),1))"),"")</f>
        <v/>
      </c>
      <c r="F457" s="4" t="str">
        <f>IFERROR(__xludf.DUMMYFUNCTION("IF($B457="""","""",INDEX(filter(Familias!G:G,Familias!$D:$D=$A457,Familias!$E:$E=$B457),1))"),"")</f>
        <v/>
      </c>
      <c r="G457" s="4" t="str">
        <f t="array" ref="G457">IF(C457=1,XLOOKUP(C457,Cotizador!D:D,Cotizador!E:E,"",0,1),"")</f>
        <v/>
      </c>
      <c r="I457" s="4"/>
      <c r="J457" s="8" t="str">
        <f>IF(I457="","",SUMIF(Cotizador!I$1:V$1,I457,Cotizador!I$2:V$2))</f>
        <v/>
      </c>
      <c r="L457" s="4" t="str">
        <f t="array" ref="L457">IF(COUNTIF(L$1:L456,A$2)=SUMIF(A:A,A$2,D:D),IF(COUNTIF(L$1:L456,XLOOKUP(A$2,Implementos!B:B,Implementos!C:C,"",0,1))=SUMIF(A:A,XLOOKUP(A$2,Implementos!B:B,Implementos!C:C,"",0,1),D:D),"",XLOOKUP(A$2,Implementos!B:B,Implementos!C:C,"",0,1)),A$2)</f>
        <v/>
      </c>
      <c r="M457" s="4" t="str">
        <f t="shared" si="2"/>
        <v/>
      </c>
      <c r="N457" s="4" t="str">
        <f t="shared" si="3"/>
        <v/>
      </c>
      <c r="O457" s="4" t="str">
        <f t="shared" si="4"/>
        <v/>
      </c>
      <c r="P457" s="4" t="str">
        <f t="shared" si="5"/>
        <v/>
      </c>
      <c r="Q457" s="4" t="str">
        <f>IF(U457="","",SUMIF(Productos!E:E,U457,Productos!A:A))</f>
        <v/>
      </c>
      <c r="R457" s="4" t="str">
        <f t="array" ref="R457">IF(L457="","", max(1,SUMIF(I:I,XLOOKUP(U457,Productos!E:E,Productos!G:G,"",0,1),J:J)))</f>
        <v/>
      </c>
      <c r="S457" s="4" t="str">
        <f>IF(Q457="","",IF(SUMIFS(Compat_Vetado!D:D,Compat_Vetado!B:B,SUM(G:G),Compat_Vetado!C:C,Q457)=1,"SI",IF(OR(SUMIF(Cotizador!E:E,Q457,Cotizador!G:G)&gt;0,SUMIFS(Compat_Vetado!D:D,Compat_Vetado!B:B,SUM(G:G),Compat_Vetado!C:C,Q457)=-1),"NO","")))</f>
        <v/>
      </c>
      <c r="T457" s="4" t="str">
        <f t="shared" si="6"/>
        <v/>
      </c>
      <c r="U457" s="4" t="str">
        <f>IFERROR(__xludf.DUMMYFUNCTION("IF(P457="""","""",IFERROR(INDEX(filter(Productos!E:E,Productos!F:F=L457,Productos!H:H=N457),P457),IF(M457=SUM(D:D),""Finalizar"",""-"")))"),"")</f>
        <v/>
      </c>
      <c r="V457" s="4" t="str">
        <f>IFERROR(__xludf.DUMMYFUNCTION("IF(OR($U457="""",COUNTIF($I:$I,IFERROR(unique(filter(Prod_Prop!$H:$H,Prod_Prop!$G:$G=$U457,Prod_Prop!$E:$E=V$1)),""Check""))=0),"""",IFERROR(unique(filter(Prod_Prop!$H:$H,Prod_Prop!$G:$G=$U457,Prod_Prop!$E:$E=V$1)),""""))"),"")</f>
        <v/>
      </c>
      <c r="W457" s="4" t="str">
        <f>IF(V457="","",SUMIFS(Prod_Prop!$J:$J,Prod_Prop!$B:$B,$Q457,Prod_Prop!$H:$H,V457,Prod_Prop!$I:$I,W$1)*IF(V457="Peso",$R457,1))</f>
        <v/>
      </c>
      <c r="X457" s="4" t="str">
        <f>IF(V457="","",SUMIFS(Prod_Prop!$J:$J,Prod_Prop!$B:$B,$Q457,Prod_Prop!$H:$H,V457,Prod_Prop!$I:$I,X$1)*IF(V457="Peso",$R457,1))</f>
        <v/>
      </c>
      <c r="Y457" s="4" t="str">
        <f>IFERROR(__xludf.DUMMYFUNCTION("IF(OR($U457="""",COUNTIF($I:$I,IFERROR(unique(filter(Prod_Prop!$H:$H,Prod_Prop!$G:$G=$U457,Prod_Prop!$E:$E=Y$1)),""Check""))=0),"""",IFERROR(unique(filter(Prod_Prop!$H:$H,Prod_Prop!$G:$G=$U457,Prod_Prop!$E:$E=Y$1)),""""))"),"")</f>
        <v/>
      </c>
      <c r="Z457" s="4" t="str">
        <f>IF(Y457="","",SUMIFS(Prod_Prop!$J:$J,Prod_Prop!$B:$B,$Q457,Prod_Prop!$H:$H,Y457,Prod_Prop!$I:$I,Z$1)*IF(Y457="Peso",$R457,1))</f>
        <v/>
      </c>
      <c r="AA457" s="4" t="str">
        <f>IF(Y457="","",SUMIFS(Prod_Prop!$J:$J,Prod_Prop!$B:$B,$Q457,Prod_Prop!$H:$H,Y457,Prod_Prop!$I:$I,AA$1)*IF(Y457="Peso",$R457,1))</f>
        <v/>
      </c>
      <c r="AB457" s="4" t="str">
        <f>IFERROR(__xludf.DUMMYFUNCTION("IF(OR($U457="""",COUNTIF($I:$I,IFERROR(unique(filter(Prod_Prop!$H:$H,Prod_Prop!$G:$G=$U457,Prod_Prop!$E:$E=AB$1)),""Check""))=0),"""",IFERROR(unique(filter(Prod_Prop!$H:$H,Prod_Prop!$G:$G=$U457,Prod_Prop!$E:$E=AB$1)),""""))"),"")</f>
        <v/>
      </c>
      <c r="AC457" s="4" t="str">
        <f>IF(AB457="","",SUMIFS(Prod_Prop!$J:$J,Prod_Prop!$B:$B,$Q457,Prod_Prop!$H:$H,AB457,Prod_Prop!$I:$I,AC$1)*IF(AB457="Peso",$R457,1))</f>
        <v/>
      </c>
      <c r="AD457" s="4" t="str">
        <f>IF(AB457="","",SUMIFS(Prod_Prop!$J:$J,Prod_Prop!$B:$B,$Q457,Prod_Prop!$H:$H,AB457,Prod_Prop!$I:$I,AD$1)*IF(AB457="Peso",$R457,1))</f>
        <v/>
      </c>
    </row>
    <row r="458">
      <c r="A458" s="4" t="str">
        <f t="array" ref="A458">IF(COUNTIF(A$1:A457,Cotizador!F$2)=maxifs(Familias!E:E,Familias!D:D,Cotizador!F$2),IF(COUNTIF(A$1:A457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8" s="4" t="str">
        <f t="shared" si="1"/>
        <v/>
      </c>
      <c r="C458" s="4" t="str">
        <f t="array" ref="C458">IF(B458="","",IF(A458=XLOOKUP(A$2,Implementos!B:B,Implementos!C:C,"",0,1),B458+maxifs(B$1:B457,A$1:A457,A$2),B458))</f>
        <v/>
      </c>
      <c r="D458" s="4" t="str">
        <f>IF(B458="","", COUNTIFS(Productos!F:F,A458,Productos!H:H,B458)+IF(F458="SI",0,1))</f>
        <v/>
      </c>
      <c r="E458" s="4" t="str">
        <f>IFERROR(__xludf.DUMMYFUNCTION("IF($B458="""","""",INDEX(filter(Familias!F:F,Familias!$D:$D=$A458,Familias!$E:$E=$B458),1))"),"")</f>
        <v/>
      </c>
      <c r="F458" s="4" t="str">
        <f>IFERROR(__xludf.DUMMYFUNCTION("IF($B458="""","""",INDEX(filter(Familias!G:G,Familias!$D:$D=$A458,Familias!$E:$E=$B458),1))"),"")</f>
        <v/>
      </c>
      <c r="G458" s="4" t="str">
        <f t="array" ref="G458">IF(C458=1,XLOOKUP(C458,Cotizador!D:D,Cotizador!E:E,"",0,1),"")</f>
        <v/>
      </c>
      <c r="I458" s="4"/>
      <c r="J458" s="8" t="str">
        <f>IF(I458="","",SUMIF(Cotizador!I$1:V$1,I458,Cotizador!I$2:V$2))</f>
        <v/>
      </c>
      <c r="L458" s="4" t="str">
        <f t="array" ref="L458">IF(COUNTIF(L$1:L457,A$2)=SUMIF(A:A,A$2,D:D),IF(COUNTIF(L$1:L457,XLOOKUP(A$2,Implementos!B:B,Implementos!C:C,"",0,1))=SUMIF(A:A,XLOOKUP(A$2,Implementos!B:B,Implementos!C:C,"",0,1),D:D),"",XLOOKUP(A$2,Implementos!B:B,Implementos!C:C,"",0,1)),A$2)</f>
        <v/>
      </c>
      <c r="M458" s="4" t="str">
        <f t="shared" si="2"/>
        <v/>
      </c>
      <c r="N458" s="4" t="str">
        <f t="shared" si="3"/>
        <v/>
      </c>
      <c r="O458" s="4" t="str">
        <f t="shared" si="4"/>
        <v/>
      </c>
      <c r="P458" s="4" t="str">
        <f t="shared" si="5"/>
        <v/>
      </c>
      <c r="Q458" s="4" t="str">
        <f>IF(U458="","",SUMIF(Productos!E:E,U458,Productos!A:A))</f>
        <v/>
      </c>
      <c r="R458" s="4" t="str">
        <f t="array" ref="R458">IF(L458="","", max(1,SUMIF(I:I,XLOOKUP(U458,Productos!E:E,Productos!G:G,"",0,1),J:J)))</f>
        <v/>
      </c>
      <c r="S458" s="4" t="str">
        <f>IF(Q458="","",IF(SUMIFS(Compat_Vetado!D:D,Compat_Vetado!B:B,SUM(G:G),Compat_Vetado!C:C,Q458)=1,"SI",IF(OR(SUMIF(Cotizador!E:E,Q458,Cotizador!G:G)&gt;0,SUMIFS(Compat_Vetado!D:D,Compat_Vetado!B:B,SUM(G:G),Compat_Vetado!C:C,Q458)=-1),"NO","")))</f>
        <v/>
      </c>
      <c r="T458" s="4" t="str">
        <f t="shared" si="6"/>
        <v/>
      </c>
      <c r="U458" s="4" t="str">
        <f>IFERROR(__xludf.DUMMYFUNCTION("IF(P458="""","""",IFERROR(INDEX(filter(Productos!E:E,Productos!F:F=L458,Productos!H:H=N458),P458),IF(M458=SUM(D:D),""Finalizar"",""-"")))"),"")</f>
        <v/>
      </c>
      <c r="V458" s="4" t="str">
        <f>IFERROR(__xludf.DUMMYFUNCTION("IF(OR($U458="""",COUNTIF($I:$I,IFERROR(unique(filter(Prod_Prop!$H:$H,Prod_Prop!$G:$G=$U458,Prod_Prop!$E:$E=V$1)),""Check""))=0),"""",IFERROR(unique(filter(Prod_Prop!$H:$H,Prod_Prop!$G:$G=$U458,Prod_Prop!$E:$E=V$1)),""""))"),"")</f>
        <v/>
      </c>
      <c r="W458" s="4" t="str">
        <f>IF(V458="","",SUMIFS(Prod_Prop!$J:$J,Prod_Prop!$B:$B,$Q458,Prod_Prop!$H:$H,V458,Prod_Prop!$I:$I,W$1)*IF(V458="Peso",$R458,1))</f>
        <v/>
      </c>
      <c r="X458" s="4" t="str">
        <f>IF(V458="","",SUMIFS(Prod_Prop!$J:$J,Prod_Prop!$B:$B,$Q458,Prod_Prop!$H:$H,V458,Prod_Prop!$I:$I,X$1)*IF(V458="Peso",$R458,1))</f>
        <v/>
      </c>
      <c r="Y458" s="4" t="str">
        <f>IFERROR(__xludf.DUMMYFUNCTION("IF(OR($U458="""",COUNTIF($I:$I,IFERROR(unique(filter(Prod_Prop!$H:$H,Prod_Prop!$G:$G=$U458,Prod_Prop!$E:$E=Y$1)),""Check""))=0),"""",IFERROR(unique(filter(Prod_Prop!$H:$H,Prod_Prop!$G:$G=$U458,Prod_Prop!$E:$E=Y$1)),""""))"),"")</f>
        <v/>
      </c>
      <c r="Z458" s="4" t="str">
        <f>IF(Y458="","",SUMIFS(Prod_Prop!$J:$J,Prod_Prop!$B:$B,$Q458,Prod_Prop!$H:$H,Y458,Prod_Prop!$I:$I,Z$1)*IF(Y458="Peso",$R458,1))</f>
        <v/>
      </c>
      <c r="AA458" s="4" t="str">
        <f>IF(Y458="","",SUMIFS(Prod_Prop!$J:$J,Prod_Prop!$B:$B,$Q458,Prod_Prop!$H:$H,Y458,Prod_Prop!$I:$I,AA$1)*IF(Y458="Peso",$R458,1))</f>
        <v/>
      </c>
      <c r="AB458" s="4" t="str">
        <f>IFERROR(__xludf.DUMMYFUNCTION("IF(OR($U458="""",COUNTIF($I:$I,IFERROR(unique(filter(Prod_Prop!$H:$H,Prod_Prop!$G:$G=$U458,Prod_Prop!$E:$E=AB$1)),""Check""))=0),"""",IFERROR(unique(filter(Prod_Prop!$H:$H,Prod_Prop!$G:$G=$U458,Prod_Prop!$E:$E=AB$1)),""""))"),"")</f>
        <v/>
      </c>
      <c r="AC458" s="4" t="str">
        <f>IF(AB458="","",SUMIFS(Prod_Prop!$J:$J,Prod_Prop!$B:$B,$Q458,Prod_Prop!$H:$H,AB458,Prod_Prop!$I:$I,AC$1)*IF(AB458="Peso",$R458,1))</f>
        <v/>
      </c>
      <c r="AD458" s="4" t="str">
        <f>IF(AB458="","",SUMIFS(Prod_Prop!$J:$J,Prod_Prop!$B:$B,$Q458,Prod_Prop!$H:$H,AB458,Prod_Prop!$I:$I,AD$1)*IF(AB458="Peso",$R458,1))</f>
        <v/>
      </c>
    </row>
    <row r="459">
      <c r="A459" s="4" t="str">
        <f t="array" ref="A459">IF(COUNTIF(A$1:A458,Cotizador!F$2)=maxifs(Familias!E:E,Familias!D:D,Cotizador!F$2),IF(COUNTIF(A$1:A458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59" s="4" t="str">
        <f t="shared" si="1"/>
        <v/>
      </c>
      <c r="C459" s="4" t="str">
        <f t="array" ref="C459">IF(B459="","",IF(A459=XLOOKUP(A$2,Implementos!B:B,Implementos!C:C,"",0,1),B459+maxifs(B$1:B458,A$1:A458,A$2),B459))</f>
        <v/>
      </c>
      <c r="D459" s="4" t="str">
        <f>IF(B459="","", COUNTIFS(Productos!F:F,A459,Productos!H:H,B459)+IF(F459="SI",0,1))</f>
        <v/>
      </c>
      <c r="E459" s="4" t="str">
        <f>IFERROR(__xludf.DUMMYFUNCTION("IF($B459="""","""",INDEX(filter(Familias!F:F,Familias!$D:$D=$A459,Familias!$E:$E=$B459),1))"),"")</f>
        <v/>
      </c>
      <c r="F459" s="4" t="str">
        <f>IFERROR(__xludf.DUMMYFUNCTION("IF($B459="""","""",INDEX(filter(Familias!G:G,Familias!$D:$D=$A459,Familias!$E:$E=$B459),1))"),"")</f>
        <v/>
      </c>
      <c r="G459" s="4" t="str">
        <f t="array" ref="G459">IF(C459=1,XLOOKUP(C459,Cotizador!D:D,Cotizador!E:E,"",0,1),"")</f>
        <v/>
      </c>
      <c r="I459" s="4"/>
      <c r="J459" s="8" t="str">
        <f>IF(I459="","",SUMIF(Cotizador!I$1:V$1,I459,Cotizador!I$2:V$2))</f>
        <v/>
      </c>
      <c r="L459" s="4" t="str">
        <f t="array" ref="L459">IF(COUNTIF(L$1:L458,A$2)=SUMIF(A:A,A$2,D:D),IF(COUNTIF(L$1:L458,XLOOKUP(A$2,Implementos!B:B,Implementos!C:C,"",0,1))=SUMIF(A:A,XLOOKUP(A$2,Implementos!B:B,Implementos!C:C,"",0,1),D:D),"",XLOOKUP(A$2,Implementos!B:B,Implementos!C:C,"",0,1)),A$2)</f>
        <v/>
      </c>
      <c r="M459" s="4" t="str">
        <f t="shared" si="2"/>
        <v/>
      </c>
      <c r="N459" s="4" t="str">
        <f t="shared" si="3"/>
        <v/>
      </c>
      <c r="O459" s="4" t="str">
        <f t="shared" si="4"/>
        <v/>
      </c>
      <c r="P459" s="4" t="str">
        <f t="shared" si="5"/>
        <v/>
      </c>
      <c r="Q459" s="4" t="str">
        <f>IF(U459="","",SUMIF(Productos!E:E,U459,Productos!A:A))</f>
        <v/>
      </c>
      <c r="R459" s="4" t="str">
        <f t="array" ref="R459">IF(L459="","", max(1,SUMIF(I:I,XLOOKUP(U459,Productos!E:E,Productos!G:G,"",0,1),J:J)))</f>
        <v/>
      </c>
      <c r="S459" s="4" t="str">
        <f>IF(Q459="","",IF(SUMIFS(Compat_Vetado!D:D,Compat_Vetado!B:B,SUM(G:G),Compat_Vetado!C:C,Q459)=1,"SI",IF(OR(SUMIF(Cotizador!E:E,Q459,Cotizador!G:G)&gt;0,SUMIFS(Compat_Vetado!D:D,Compat_Vetado!B:B,SUM(G:G),Compat_Vetado!C:C,Q459)=-1),"NO","")))</f>
        <v/>
      </c>
      <c r="T459" s="4" t="str">
        <f t="shared" si="6"/>
        <v/>
      </c>
      <c r="U459" s="4" t="str">
        <f>IFERROR(__xludf.DUMMYFUNCTION("IF(P459="""","""",IFERROR(INDEX(filter(Productos!E:E,Productos!F:F=L459,Productos!H:H=N459),P459),IF(M459=SUM(D:D),""Finalizar"",""-"")))"),"")</f>
        <v/>
      </c>
      <c r="V459" s="4" t="str">
        <f>IFERROR(__xludf.DUMMYFUNCTION("IF(OR($U459="""",COUNTIF($I:$I,IFERROR(unique(filter(Prod_Prop!$H:$H,Prod_Prop!$G:$G=$U459,Prod_Prop!$E:$E=V$1)),""Check""))=0),"""",IFERROR(unique(filter(Prod_Prop!$H:$H,Prod_Prop!$G:$G=$U459,Prod_Prop!$E:$E=V$1)),""""))"),"")</f>
        <v/>
      </c>
      <c r="W459" s="4" t="str">
        <f>IF(V459="","",SUMIFS(Prod_Prop!$J:$J,Prod_Prop!$B:$B,$Q459,Prod_Prop!$H:$H,V459,Prod_Prop!$I:$I,W$1)*IF(V459="Peso",$R459,1))</f>
        <v/>
      </c>
      <c r="X459" s="4" t="str">
        <f>IF(V459="","",SUMIFS(Prod_Prop!$J:$J,Prod_Prop!$B:$B,$Q459,Prod_Prop!$H:$H,V459,Prod_Prop!$I:$I,X$1)*IF(V459="Peso",$R459,1))</f>
        <v/>
      </c>
      <c r="Y459" s="4" t="str">
        <f>IFERROR(__xludf.DUMMYFUNCTION("IF(OR($U459="""",COUNTIF($I:$I,IFERROR(unique(filter(Prod_Prop!$H:$H,Prod_Prop!$G:$G=$U459,Prod_Prop!$E:$E=Y$1)),""Check""))=0),"""",IFERROR(unique(filter(Prod_Prop!$H:$H,Prod_Prop!$G:$G=$U459,Prod_Prop!$E:$E=Y$1)),""""))"),"")</f>
        <v/>
      </c>
      <c r="Z459" s="4" t="str">
        <f>IF(Y459="","",SUMIFS(Prod_Prop!$J:$J,Prod_Prop!$B:$B,$Q459,Prod_Prop!$H:$H,Y459,Prod_Prop!$I:$I,Z$1)*IF(Y459="Peso",$R459,1))</f>
        <v/>
      </c>
      <c r="AA459" s="4" t="str">
        <f>IF(Y459="","",SUMIFS(Prod_Prop!$J:$J,Prod_Prop!$B:$B,$Q459,Prod_Prop!$H:$H,Y459,Prod_Prop!$I:$I,AA$1)*IF(Y459="Peso",$R459,1))</f>
        <v/>
      </c>
      <c r="AB459" s="4" t="str">
        <f>IFERROR(__xludf.DUMMYFUNCTION("IF(OR($U459="""",COUNTIF($I:$I,IFERROR(unique(filter(Prod_Prop!$H:$H,Prod_Prop!$G:$G=$U459,Prod_Prop!$E:$E=AB$1)),""Check""))=0),"""",IFERROR(unique(filter(Prod_Prop!$H:$H,Prod_Prop!$G:$G=$U459,Prod_Prop!$E:$E=AB$1)),""""))"),"")</f>
        <v/>
      </c>
      <c r="AC459" s="4" t="str">
        <f>IF(AB459="","",SUMIFS(Prod_Prop!$J:$J,Prod_Prop!$B:$B,$Q459,Prod_Prop!$H:$H,AB459,Prod_Prop!$I:$I,AC$1)*IF(AB459="Peso",$R459,1))</f>
        <v/>
      </c>
      <c r="AD459" s="4" t="str">
        <f>IF(AB459="","",SUMIFS(Prod_Prop!$J:$J,Prod_Prop!$B:$B,$Q459,Prod_Prop!$H:$H,AB459,Prod_Prop!$I:$I,AD$1)*IF(AB459="Peso",$R459,1))</f>
        <v/>
      </c>
    </row>
    <row r="460">
      <c r="A460" s="4" t="str">
        <f t="array" ref="A460">IF(COUNTIF(A$1:A459,Cotizador!F$2)=maxifs(Familias!E:E,Familias!D:D,Cotizador!F$2),IF(COUNTIF(A$1:A459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0" s="4" t="str">
        <f t="shared" si="1"/>
        <v/>
      </c>
      <c r="C460" s="4" t="str">
        <f t="array" ref="C460">IF(B460="","",IF(A460=XLOOKUP(A$2,Implementos!B:B,Implementos!C:C,"",0,1),B460+maxifs(B$1:B459,A$1:A459,A$2),B460))</f>
        <v/>
      </c>
      <c r="D460" s="4" t="str">
        <f>IF(B460="","", COUNTIFS(Productos!F:F,A460,Productos!H:H,B460)+IF(F460="SI",0,1))</f>
        <v/>
      </c>
      <c r="E460" s="4" t="str">
        <f>IFERROR(__xludf.DUMMYFUNCTION("IF($B460="""","""",INDEX(filter(Familias!F:F,Familias!$D:$D=$A460,Familias!$E:$E=$B460),1))"),"")</f>
        <v/>
      </c>
      <c r="F460" s="4" t="str">
        <f>IFERROR(__xludf.DUMMYFUNCTION("IF($B460="""","""",INDEX(filter(Familias!G:G,Familias!$D:$D=$A460,Familias!$E:$E=$B460),1))"),"")</f>
        <v/>
      </c>
      <c r="G460" s="4" t="str">
        <f t="array" ref="G460">IF(C460=1,XLOOKUP(C460,Cotizador!D:D,Cotizador!E:E,"",0,1),"")</f>
        <v/>
      </c>
      <c r="I460" s="4"/>
      <c r="J460" s="8" t="str">
        <f>IF(I460="","",SUMIF(Cotizador!I$1:V$1,I460,Cotizador!I$2:V$2))</f>
        <v/>
      </c>
      <c r="L460" s="4" t="str">
        <f t="array" ref="L460">IF(COUNTIF(L$1:L459,A$2)=SUMIF(A:A,A$2,D:D),IF(COUNTIF(L$1:L459,XLOOKUP(A$2,Implementos!B:B,Implementos!C:C,"",0,1))=SUMIF(A:A,XLOOKUP(A$2,Implementos!B:B,Implementos!C:C,"",0,1),D:D),"",XLOOKUP(A$2,Implementos!B:B,Implementos!C:C,"",0,1)),A$2)</f>
        <v/>
      </c>
      <c r="M460" s="4" t="str">
        <f t="shared" si="2"/>
        <v/>
      </c>
      <c r="N460" s="4" t="str">
        <f t="shared" si="3"/>
        <v/>
      </c>
      <c r="O460" s="4" t="str">
        <f t="shared" si="4"/>
        <v/>
      </c>
      <c r="P460" s="4" t="str">
        <f t="shared" si="5"/>
        <v/>
      </c>
      <c r="Q460" s="4" t="str">
        <f>IF(U460="","",SUMIF(Productos!E:E,U460,Productos!A:A))</f>
        <v/>
      </c>
      <c r="R460" s="4" t="str">
        <f t="array" ref="R460">IF(L460="","", max(1,SUMIF(I:I,XLOOKUP(U460,Productos!E:E,Productos!G:G,"",0,1),J:J)))</f>
        <v/>
      </c>
      <c r="S460" s="4" t="str">
        <f>IF(Q460="","",IF(SUMIFS(Compat_Vetado!D:D,Compat_Vetado!B:B,SUM(G:G),Compat_Vetado!C:C,Q460)=1,"SI",IF(OR(SUMIF(Cotizador!E:E,Q460,Cotizador!G:G)&gt;0,SUMIFS(Compat_Vetado!D:D,Compat_Vetado!B:B,SUM(G:G),Compat_Vetado!C:C,Q460)=-1),"NO","")))</f>
        <v/>
      </c>
      <c r="T460" s="4" t="str">
        <f t="shared" si="6"/>
        <v/>
      </c>
      <c r="U460" s="4" t="str">
        <f>IFERROR(__xludf.DUMMYFUNCTION("IF(P460="""","""",IFERROR(INDEX(filter(Productos!E:E,Productos!F:F=L460,Productos!H:H=N460),P460),IF(M460=SUM(D:D),""Finalizar"",""-"")))"),"")</f>
        <v/>
      </c>
      <c r="V460" s="4" t="str">
        <f>IFERROR(__xludf.DUMMYFUNCTION("IF(OR($U460="""",COUNTIF($I:$I,IFERROR(unique(filter(Prod_Prop!$H:$H,Prod_Prop!$G:$G=$U460,Prod_Prop!$E:$E=V$1)),""Check""))=0),"""",IFERROR(unique(filter(Prod_Prop!$H:$H,Prod_Prop!$G:$G=$U460,Prod_Prop!$E:$E=V$1)),""""))"),"")</f>
        <v/>
      </c>
      <c r="W460" s="4" t="str">
        <f>IF(V460="","",SUMIFS(Prod_Prop!$J:$J,Prod_Prop!$B:$B,$Q460,Prod_Prop!$H:$H,V460,Prod_Prop!$I:$I,W$1)*IF(V460="Peso",$R460,1))</f>
        <v/>
      </c>
      <c r="X460" s="4" t="str">
        <f>IF(V460="","",SUMIFS(Prod_Prop!$J:$J,Prod_Prop!$B:$B,$Q460,Prod_Prop!$H:$H,V460,Prod_Prop!$I:$I,X$1)*IF(V460="Peso",$R460,1))</f>
        <v/>
      </c>
      <c r="Y460" s="4" t="str">
        <f>IFERROR(__xludf.DUMMYFUNCTION("IF(OR($U460="""",COUNTIF($I:$I,IFERROR(unique(filter(Prod_Prop!$H:$H,Prod_Prop!$G:$G=$U460,Prod_Prop!$E:$E=Y$1)),""Check""))=0),"""",IFERROR(unique(filter(Prod_Prop!$H:$H,Prod_Prop!$G:$G=$U460,Prod_Prop!$E:$E=Y$1)),""""))"),"")</f>
        <v/>
      </c>
      <c r="Z460" s="4" t="str">
        <f>IF(Y460="","",SUMIFS(Prod_Prop!$J:$J,Prod_Prop!$B:$B,$Q460,Prod_Prop!$H:$H,Y460,Prod_Prop!$I:$I,Z$1)*IF(Y460="Peso",$R460,1))</f>
        <v/>
      </c>
      <c r="AA460" s="4" t="str">
        <f>IF(Y460="","",SUMIFS(Prod_Prop!$J:$J,Prod_Prop!$B:$B,$Q460,Prod_Prop!$H:$H,Y460,Prod_Prop!$I:$I,AA$1)*IF(Y460="Peso",$R460,1))</f>
        <v/>
      </c>
      <c r="AB460" s="4" t="str">
        <f>IFERROR(__xludf.DUMMYFUNCTION("IF(OR($U460="""",COUNTIF($I:$I,IFERROR(unique(filter(Prod_Prop!$H:$H,Prod_Prop!$G:$G=$U460,Prod_Prop!$E:$E=AB$1)),""Check""))=0),"""",IFERROR(unique(filter(Prod_Prop!$H:$H,Prod_Prop!$G:$G=$U460,Prod_Prop!$E:$E=AB$1)),""""))"),"")</f>
        <v/>
      </c>
      <c r="AC460" s="4" t="str">
        <f>IF(AB460="","",SUMIFS(Prod_Prop!$J:$J,Prod_Prop!$B:$B,$Q460,Prod_Prop!$H:$H,AB460,Prod_Prop!$I:$I,AC$1)*IF(AB460="Peso",$R460,1))</f>
        <v/>
      </c>
      <c r="AD460" s="4" t="str">
        <f>IF(AB460="","",SUMIFS(Prod_Prop!$J:$J,Prod_Prop!$B:$B,$Q460,Prod_Prop!$H:$H,AB460,Prod_Prop!$I:$I,AD$1)*IF(AB460="Peso",$R460,1))</f>
        <v/>
      </c>
    </row>
    <row r="461">
      <c r="A461" s="4" t="str">
        <f t="array" ref="A461">IF(COUNTIF(A$1:A460,Cotizador!F$2)=maxifs(Familias!E:E,Familias!D:D,Cotizador!F$2),IF(COUNTIF(A$1:A460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1" s="4" t="str">
        <f t="shared" si="1"/>
        <v/>
      </c>
      <c r="C461" s="4" t="str">
        <f t="array" ref="C461">IF(B461="","",IF(A461=XLOOKUP(A$2,Implementos!B:B,Implementos!C:C,"",0,1),B461+maxifs(B$1:B460,A$1:A460,A$2),B461))</f>
        <v/>
      </c>
      <c r="D461" s="4" t="str">
        <f>IF(B461="","", COUNTIFS(Productos!F:F,A461,Productos!H:H,B461)+IF(F461="SI",0,1))</f>
        <v/>
      </c>
      <c r="E461" s="4" t="str">
        <f>IFERROR(__xludf.DUMMYFUNCTION("IF($B461="""","""",INDEX(filter(Familias!F:F,Familias!$D:$D=$A461,Familias!$E:$E=$B461),1))"),"")</f>
        <v/>
      </c>
      <c r="F461" s="4" t="str">
        <f>IFERROR(__xludf.DUMMYFUNCTION("IF($B461="""","""",INDEX(filter(Familias!G:G,Familias!$D:$D=$A461,Familias!$E:$E=$B461),1))"),"")</f>
        <v/>
      </c>
      <c r="G461" s="4" t="str">
        <f t="array" ref="G461">IF(C461=1,XLOOKUP(C461,Cotizador!D:D,Cotizador!E:E,"",0,1),"")</f>
        <v/>
      </c>
      <c r="I461" s="4"/>
      <c r="J461" s="8" t="str">
        <f>IF(I461="","",SUMIF(Cotizador!I$1:V$1,I461,Cotizador!I$2:V$2))</f>
        <v/>
      </c>
      <c r="L461" s="4" t="str">
        <f t="array" ref="L461">IF(COUNTIF(L$1:L460,A$2)=SUMIF(A:A,A$2,D:D),IF(COUNTIF(L$1:L460,XLOOKUP(A$2,Implementos!B:B,Implementos!C:C,"",0,1))=SUMIF(A:A,XLOOKUP(A$2,Implementos!B:B,Implementos!C:C,"",0,1),D:D),"",XLOOKUP(A$2,Implementos!B:B,Implementos!C:C,"",0,1)),A$2)</f>
        <v/>
      </c>
      <c r="M461" s="4" t="str">
        <f t="shared" si="2"/>
        <v/>
      </c>
      <c r="N461" s="4" t="str">
        <f t="shared" si="3"/>
        <v/>
      </c>
      <c r="O461" s="4" t="str">
        <f t="shared" si="4"/>
        <v/>
      </c>
      <c r="P461" s="4" t="str">
        <f t="shared" si="5"/>
        <v/>
      </c>
      <c r="Q461" s="4" t="str">
        <f>IF(U461="","",SUMIF(Productos!E:E,U461,Productos!A:A))</f>
        <v/>
      </c>
      <c r="R461" s="4" t="str">
        <f t="array" ref="R461">IF(L461="","", max(1,SUMIF(I:I,XLOOKUP(U461,Productos!E:E,Productos!G:G,"",0,1),J:J)))</f>
        <v/>
      </c>
      <c r="S461" s="4" t="str">
        <f>IF(Q461="","",IF(SUMIFS(Compat_Vetado!D:D,Compat_Vetado!B:B,SUM(G:G),Compat_Vetado!C:C,Q461)=1,"SI",IF(OR(SUMIF(Cotizador!E:E,Q461,Cotizador!G:G)&gt;0,SUMIFS(Compat_Vetado!D:D,Compat_Vetado!B:B,SUM(G:G),Compat_Vetado!C:C,Q461)=-1),"NO","")))</f>
        <v/>
      </c>
      <c r="T461" s="4" t="str">
        <f t="shared" si="6"/>
        <v/>
      </c>
      <c r="U461" s="4" t="str">
        <f>IFERROR(__xludf.DUMMYFUNCTION("IF(P461="""","""",IFERROR(INDEX(filter(Productos!E:E,Productos!F:F=L461,Productos!H:H=N461),P461),IF(M461=SUM(D:D),""Finalizar"",""-"")))"),"")</f>
        <v/>
      </c>
      <c r="V461" s="4" t="str">
        <f>IFERROR(__xludf.DUMMYFUNCTION("IF(OR($U461="""",COUNTIF($I:$I,IFERROR(unique(filter(Prod_Prop!$H:$H,Prod_Prop!$G:$G=$U461,Prod_Prop!$E:$E=V$1)),""Check""))=0),"""",IFERROR(unique(filter(Prod_Prop!$H:$H,Prod_Prop!$G:$G=$U461,Prod_Prop!$E:$E=V$1)),""""))"),"")</f>
        <v/>
      </c>
      <c r="W461" s="4" t="str">
        <f>IF(V461="","",SUMIFS(Prod_Prop!$J:$J,Prod_Prop!$B:$B,$Q461,Prod_Prop!$H:$H,V461,Prod_Prop!$I:$I,W$1)*IF(V461="Peso",$R461,1))</f>
        <v/>
      </c>
      <c r="X461" s="4" t="str">
        <f>IF(V461="","",SUMIFS(Prod_Prop!$J:$J,Prod_Prop!$B:$B,$Q461,Prod_Prop!$H:$H,V461,Prod_Prop!$I:$I,X$1)*IF(V461="Peso",$R461,1))</f>
        <v/>
      </c>
      <c r="Y461" s="4" t="str">
        <f>IFERROR(__xludf.DUMMYFUNCTION("IF(OR($U461="""",COUNTIF($I:$I,IFERROR(unique(filter(Prod_Prop!$H:$H,Prod_Prop!$G:$G=$U461,Prod_Prop!$E:$E=Y$1)),""Check""))=0),"""",IFERROR(unique(filter(Prod_Prop!$H:$H,Prod_Prop!$G:$G=$U461,Prod_Prop!$E:$E=Y$1)),""""))"),"")</f>
        <v/>
      </c>
      <c r="Z461" s="4" t="str">
        <f>IF(Y461="","",SUMIFS(Prod_Prop!$J:$J,Prod_Prop!$B:$B,$Q461,Prod_Prop!$H:$H,Y461,Prod_Prop!$I:$I,Z$1)*IF(Y461="Peso",$R461,1))</f>
        <v/>
      </c>
      <c r="AA461" s="4" t="str">
        <f>IF(Y461="","",SUMIFS(Prod_Prop!$J:$J,Prod_Prop!$B:$B,$Q461,Prod_Prop!$H:$H,Y461,Prod_Prop!$I:$I,AA$1)*IF(Y461="Peso",$R461,1))</f>
        <v/>
      </c>
      <c r="AB461" s="4" t="str">
        <f>IFERROR(__xludf.DUMMYFUNCTION("IF(OR($U461="""",COUNTIF($I:$I,IFERROR(unique(filter(Prod_Prop!$H:$H,Prod_Prop!$G:$G=$U461,Prod_Prop!$E:$E=AB$1)),""Check""))=0),"""",IFERROR(unique(filter(Prod_Prop!$H:$H,Prod_Prop!$G:$G=$U461,Prod_Prop!$E:$E=AB$1)),""""))"),"")</f>
        <v/>
      </c>
      <c r="AC461" s="4" t="str">
        <f>IF(AB461="","",SUMIFS(Prod_Prop!$J:$J,Prod_Prop!$B:$B,$Q461,Prod_Prop!$H:$H,AB461,Prod_Prop!$I:$I,AC$1)*IF(AB461="Peso",$R461,1))</f>
        <v/>
      </c>
      <c r="AD461" s="4" t="str">
        <f>IF(AB461="","",SUMIFS(Prod_Prop!$J:$J,Prod_Prop!$B:$B,$Q461,Prod_Prop!$H:$H,AB461,Prod_Prop!$I:$I,AD$1)*IF(AB461="Peso",$R461,1))</f>
        <v/>
      </c>
    </row>
    <row r="462">
      <c r="A462" s="4" t="str">
        <f t="array" ref="A462">IF(COUNTIF(A$1:A461,Cotizador!F$2)=maxifs(Familias!E:E,Familias!D:D,Cotizador!F$2),IF(COUNTIF(A$1:A461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2" s="4" t="str">
        <f t="shared" si="1"/>
        <v/>
      </c>
      <c r="C462" s="4" t="str">
        <f t="array" ref="C462">IF(B462="","",IF(A462=XLOOKUP(A$2,Implementos!B:B,Implementos!C:C,"",0,1),B462+maxifs(B$1:B461,A$1:A461,A$2),B462))</f>
        <v/>
      </c>
      <c r="D462" s="4" t="str">
        <f>IF(B462="","", COUNTIFS(Productos!F:F,A462,Productos!H:H,B462)+IF(F462="SI",0,1))</f>
        <v/>
      </c>
      <c r="E462" s="4" t="str">
        <f>IFERROR(__xludf.DUMMYFUNCTION("IF($B462="""","""",INDEX(filter(Familias!F:F,Familias!$D:$D=$A462,Familias!$E:$E=$B462),1))"),"")</f>
        <v/>
      </c>
      <c r="F462" s="4" t="str">
        <f>IFERROR(__xludf.DUMMYFUNCTION("IF($B462="""","""",INDEX(filter(Familias!G:G,Familias!$D:$D=$A462,Familias!$E:$E=$B462),1))"),"")</f>
        <v/>
      </c>
      <c r="G462" s="4" t="str">
        <f t="array" ref="G462">IF(C462=1,XLOOKUP(C462,Cotizador!D:D,Cotizador!E:E,"",0,1),"")</f>
        <v/>
      </c>
      <c r="I462" s="4"/>
      <c r="J462" s="8" t="str">
        <f>IF(I462="","",SUMIF(Cotizador!I$1:V$1,I462,Cotizador!I$2:V$2))</f>
        <v/>
      </c>
      <c r="L462" s="4" t="str">
        <f t="array" ref="L462">IF(COUNTIF(L$1:L461,A$2)=SUMIF(A:A,A$2,D:D),IF(COUNTIF(L$1:L461,XLOOKUP(A$2,Implementos!B:B,Implementos!C:C,"",0,1))=SUMIF(A:A,XLOOKUP(A$2,Implementos!B:B,Implementos!C:C,"",0,1),D:D),"",XLOOKUP(A$2,Implementos!B:B,Implementos!C:C,"",0,1)),A$2)</f>
        <v/>
      </c>
      <c r="M462" s="4" t="str">
        <f t="shared" si="2"/>
        <v/>
      </c>
      <c r="N462" s="4" t="str">
        <f t="shared" si="3"/>
        <v/>
      </c>
      <c r="O462" s="4" t="str">
        <f t="shared" si="4"/>
        <v/>
      </c>
      <c r="P462" s="4" t="str">
        <f t="shared" si="5"/>
        <v/>
      </c>
      <c r="Q462" s="4" t="str">
        <f>IF(U462="","",SUMIF(Productos!E:E,U462,Productos!A:A))</f>
        <v/>
      </c>
      <c r="R462" s="4" t="str">
        <f t="array" ref="R462">IF(L462="","", max(1,SUMIF(I:I,XLOOKUP(U462,Productos!E:E,Productos!G:G,"",0,1),J:J)))</f>
        <v/>
      </c>
      <c r="S462" s="4" t="str">
        <f>IF(Q462="","",IF(SUMIFS(Compat_Vetado!D:D,Compat_Vetado!B:B,SUM(G:G),Compat_Vetado!C:C,Q462)=1,"SI",IF(OR(SUMIF(Cotizador!E:E,Q462,Cotizador!G:G)&gt;0,SUMIFS(Compat_Vetado!D:D,Compat_Vetado!B:B,SUM(G:G),Compat_Vetado!C:C,Q462)=-1),"NO","")))</f>
        <v/>
      </c>
      <c r="T462" s="4" t="str">
        <f t="shared" si="6"/>
        <v/>
      </c>
      <c r="U462" s="4" t="str">
        <f>IFERROR(__xludf.DUMMYFUNCTION("IF(P462="""","""",IFERROR(INDEX(filter(Productos!E:E,Productos!F:F=L462,Productos!H:H=N462),P462),IF(M462=SUM(D:D),""Finalizar"",""-"")))"),"")</f>
        <v/>
      </c>
      <c r="V462" s="4" t="str">
        <f>IFERROR(__xludf.DUMMYFUNCTION("IF(OR($U462="""",COUNTIF($I:$I,IFERROR(unique(filter(Prod_Prop!$H:$H,Prod_Prop!$G:$G=$U462,Prod_Prop!$E:$E=V$1)),""Check""))=0),"""",IFERROR(unique(filter(Prod_Prop!$H:$H,Prod_Prop!$G:$G=$U462,Prod_Prop!$E:$E=V$1)),""""))"),"")</f>
        <v/>
      </c>
      <c r="W462" s="4" t="str">
        <f>IF(V462="","",SUMIFS(Prod_Prop!$J:$J,Prod_Prop!$B:$B,$Q462,Prod_Prop!$H:$H,V462,Prod_Prop!$I:$I,W$1)*IF(V462="Peso",$R462,1))</f>
        <v/>
      </c>
      <c r="X462" s="4" t="str">
        <f>IF(V462="","",SUMIFS(Prod_Prop!$J:$J,Prod_Prop!$B:$B,$Q462,Prod_Prop!$H:$H,V462,Prod_Prop!$I:$I,X$1)*IF(V462="Peso",$R462,1))</f>
        <v/>
      </c>
      <c r="Y462" s="4" t="str">
        <f>IFERROR(__xludf.DUMMYFUNCTION("IF(OR($U462="""",COUNTIF($I:$I,IFERROR(unique(filter(Prod_Prop!$H:$H,Prod_Prop!$G:$G=$U462,Prod_Prop!$E:$E=Y$1)),""Check""))=0),"""",IFERROR(unique(filter(Prod_Prop!$H:$H,Prod_Prop!$G:$G=$U462,Prod_Prop!$E:$E=Y$1)),""""))"),"")</f>
        <v/>
      </c>
      <c r="Z462" s="4" t="str">
        <f>IF(Y462="","",SUMIFS(Prod_Prop!$J:$J,Prod_Prop!$B:$B,$Q462,Prod_Prop!$H:$H,Y462,Prod_Prop!$I:$I,Z$1)*IF(Y462="Peso",$R462,1))</f>
        <v/>
      </c>
      <c r="AA462" s="4" t="str">
        <f>IF(Y462="","",SUMIFS(Prod_Prop!$J:$J,Prod_Prop!$B:$B,$Q462,Prod_Prop!$H:$H,Y462,Prod_Prop!$I:$I,AA$1)*IF(Y462="Peso",$R462,1))</f>
        <v/>
      </c>
      <c r="AB462" s="4" t="str">
        <f>IFERROR(__xludf.DUMMYFUNCTION("IF(OR($U462="""",COUNTIF($I:$I,IFERROR(unique(filter(Prod_Prop!$H:$H,Prod_Prop!$G:$G=$U462,Prod_Prop!$E:$E=AB$1)),""Check""))=0),"""",IFERROR(unique(filter(Prod_Prop!$H:$H,Prod_Prop!$G:$G=$U462,Prod_Prop!$E:$E=AB$1)),""""))"),"")</f>
        <v/>
      </c>
      <c r="AC462" s="4" t="str">
        <f>IF(AB462="","",SUMIFS(Prod_Prop!$J:$J,Prod_Prop!$B:$B,$Q462,Prod_Prop!$H:$H,AB462,Prod_Prop!$I:$I,AC$1)*IF(AB462="Peso",$R462,1))</f>
        <v/>
      </c>
      <c r="AD462" s="4" t="str">
        <f>IF(AB462="","",SUMIFS(Prod_Prop!$J:$J,Prod_Prop!$B:$B,$Q462,Prod_Prop!$H:$H,AB462,Prod_Prop!$I:$I,AD$1)*IF(AB462="Peso",$R462,1))</f>
        <v/>
      </c>
    </row>
    <row r="463">
      <c r="A463" s="4" t="str">
        <f t="array" ref="A463">IF(COUNTIF(A$1:A462,Cotizador!F$2)=maxifs(Familias!E:E,Familias!D:D,Cotizador!F$2),IF(COUNTIF(A$1:A462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3" s="4" t="str">
        <f t="shared" si="1"/>
        <v/>
      </c>
      <c r="C463" s="4" t="str">
        <f t="array" ref="C463">IF(B463="","",IF(A463=XLOOKUP(A$2,Implementos!B:B,Implementos!C:C,"",0,1),B463+maxifs(B$1:B462,A$1:A462,A$2),B463))</f>
        <v/>
      </c>
      <c r="D463" s="4" t="str">
        <f>IF(B463="","", COUNTIFS(Productos!F:F,A463,Productos!H:H,B463)+IF(F463="SI",0,1))</f>
        <v/>
      </c>
      <c r="E463" s="4" t="str">
        <f>IFERROR(__xludf.DUMMYFUNCTION("IF($B463="""","""",INDEX(filter(Familias!F:F,Familias!$D:$D=$A463,Familias!$E:$E=$B463),1))"),"")</f>
        <v/>
      </c>
      <c r="F463" s="4" t="str">
        <f>IFERROR(__xludf.DUMMYFUNCTION("IF($B463="""","""",INDEX(filter(Familias!G:G,Familias!$D:$D=$A463,Familias!$E:$E=$B463),1))"),"")</f>
        <v/>
      </c>
      <c r="G463" s="4" t="str">
        <f t="array" ref="G463">IF(C463=1,XLOOKUP(C463,Cotizador!D:D,Cotizador!E:E,"",0,1),"")</f>
        <v/>
      </c>
      <c r="I463" s="4"/>
      <c r="J463" s="8" t="str">
        <f>IF(I463="","",SUMIF(Cotizador!I$1:V$1,I463,Cotizador!I$2:V$2))</f>
        <v/>
      </c>
      <c r="L463" s="4" t="str">
        <f t="array" ref="L463">IF(COUNTIF(L$1:L462,A$2)=SUMIF(A:A,A$2,D:D),IF(COUNTIF(L$1:L462,XLOOKUP(A$2,Implementos!B:B,Implementos!C:C,"",0,1))=SUMIF(A:A,XLOOKUP(A$2,Implementos!B:B,Implementos!C:C,"",0,1),D:D),"",XLOOKUP(A$2,Implementos!B:B,Implementos!C:C,"",0,1)),A$2)</f>
        <v/>
      </c>
      <c r="M463" s="4" t="str">
        <f t="shared" si="2"/>
        <v/>
      </c>
      <c r="N463" s="4" t="str">
        <f t="shared" si="3"/>
        <v/>
      </c>
      <c r="O463" s="4" t="str">
        <f t="shared" si="4"/>
        <v/>
      </c>
      <c r="P463" s="4" t="str">
        <f t="shared" si="5"/>
        <v/>
      </c>
      <c r="Q463" s="4" t="str">
        <f>IF(U463="","",SUMIF(Productos!E:E,U463,Productos!A:A))</f>
        <v/>
      </c>
      <c r="R463" s="4" t="str">
        <f t="array" ref="R463">IF(L463="","", max(1,SUMIF(I:I,XLOOKUP(U463,Productos!E:E,Productos!G:G,"",0,1),J:J)))</f>
        <v/>
      </c>
      <c r="S463" s="4" t="str">
        <f>IF(Q463="","",IF(SUMIFS(Compat_Vetado!D:D,Compat_Vetado!B:B,SUM(G:G),Compat_Vetado!C:C,Q463)=1,"SI",IF(OR(SUMIF(Cotizador!E:E,Q463,Cotizador!G:G)&gt;0,SUMIFS(Compat_Vetado!D:D,Compat_Vetado!B:B,SUM(G:G),Compat_Vetado!C:C,Q463)=-1),"NO","")))</f>
        <v/>
      </c>
      <c r="T463" s="4" t="str">
        <f t="shared" si="6"/>
        <v/>
      </c>
      <c r="U463" s="4" t="str">
        <f>IFERROR(__xludf.DUMMYFUNCTION("IF(P463="""","""",IFERROR(INDEX(filter(Productos!E:E,Productos!F:F=L463,Productos!H:H=N463),P463),IF(M463=SUM(D:D),""Finalizar"",""-"")))"),"")</f>
        <v/>
      </c>
      <c r="V463" s="4" t="str">
        <f>IFERROR(__xludf.DUMMYFUNCTION("IF(OR($U463="""",COUNTIF($I:$I,IFERROR(unique(filter(Prod_Prop!$H:$H,Prod_Prop!$G:$G=$U463,Prod_Prop!$E:$E=V$1)),""Check""))=0),"""",IFERROR(unique(filter(Prod_Prop!$H:$H,Prod_Prop!$G:$G=$U463,Prod_Prop!$E:$E=V$1)),""""))"),"")</f>
        <v/>
      </c>
      <c r="W463" s="4" t="str">
        <f>IF(V463="","",SUMIFS(Prod_Prop!$J:$J,Prod_Prop!$B:$B,$Q463,Prod_Prop!$H:$H,V463,Prod_Prop!$I:$I,W$1)*IF(V463="Peso",$R463,1))</f>
        <v/>
      </c>
      <c r="X463" s="4" t="str">
        <f>IF(V463="","",SUMIFS(Prod_Prop!$J:$J,Prod_Prop!$B:$B,$Q463,Prod_Prop!$H:$H,V463,Prod_Prop!$I:$I,X$1)*IF(V463="Peso",$R463,1))</f>
        <v/>
      </c>
      <c r="Y463" s="4" t="str">
        <f>IFERROR(__xludf.DUMMYFUNCTION("IF(OR($U463="""",COUNTIF($I:$I,IFERROR(unique(filter(Prod_Prop!$H:$H,Prod_Prop!$G:$G=$U463,Prod_Prop!$E:$E=Y$1)),""Check""))=0),"""",IFERROR(unique(filter(Prod_Prop!$H:$H,Prod_Prop!$G:$G=$U463,Prod_Prop!$E:$E=Y$1)),""""))"),"")</f>
        <v/>
      </c>
      <c r="Z463" s="4" t="str">
        <f>IF(Y463="","",SUMIFS(Prod_Prop!$J:$J,Prod_Prop!$B:$B,$Q463,Prod_Prop!$H:$H,Y463,Prod_Prop!$I:$I,Z$1)*IF(Y463="Peso",$R463,1))</f>
        <v/>
      </c>
      <c r="AA463" s="4" t="str">
        <f>IF(Y463="","",SUMIFS(Prod_Prop!$J:$J,Prod_Prop!$B:$B,$Q463,Prod_Prop!$H:$H,Y463,Prod_Prop!$I:$I,AA$1)*IF(Y463="Peso",$R463,1))</f>
        <v/>
      </c>
      <c r="AB463" s="4" t="str">
        <f>IFERROR(__xludf.DUMMYFUNCTION("IF(OR($U463="""",COUNTIF($I:$I,IFERROR(unique(filter(Prod_Prop!$H:$H,Prod_Prop!$G:$G=$U463,Prod_Prop!$E:$E=AB$1)),""Check""))=0),"""",IFERROR(unique(filter(Prod_Prop!$H:$H,Prod_Prop!$G:$G=$U463,Prod_Prop!$E:$E=AB$1)),""""))"),"")</f>
        <v/>
      </c>
      <c r="AC463" s="4" t="str">
        <f>IF(AB463="","",SUMIFS(Prod_Prop!$J:$J,Prod_Prop!$B:$B,$Q463,Prod_Prop!$H:$H,AB463,Prod_Prop!$I:$I,AC$1)*IF(AB463="Peso",$R463,1))</f>
        <v/>
      </c>
      <c r="AD463" s="4" t="str">
        <f>IF(AB463="","",SUMIFS(Prod_Prop!$J:$J,Prod_Prop!$B:$B,$Q463,Prod_Prop!$H:$H,AB463,Prod_Prop!$I:$I,AD$1)*IF(AB463="Peso",$R463,1))</f>
        <v/>
      </c>
    </row>
    <row r="464">
      <c r="A464" s="4" t="str">
        <f t="array" ref="A464">IF(COUNTIF(A$1:A463,Cotizador!F$2)=maxifs(Familias!E:E,Familias!D:D,Cotizador!F$2),IF(COUNTIF(A$1:A463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4" s="4" t="str">
        <f t="shared" si="1"/>
        <v/>
      </c>
      <c r="C464" s="4" t="str">
        <f t="array" ref="C464">IF(B464="","",IF(A464=XLOOKUP(A$2,Implementos!B:B,Implementos!C:C,"",0,1),B464+maxifs(B$1:B463,A$1:A463,A$2),B464))</f>
        <v/>
      </c>
      <c r="D464" s="4" t="str">
        <f>IF(B464="","", COUNTIFS(Productos!F:F,A464,Productos!H:H,B464)+IF(F464="SI",0,1))</f>
        <v/>
      </c>
      <c r="E464" s="4" t="str">
        <f>IFERROR(__xludf.DUMMYFUNCTION("IF($B464="""","""",INDEX(filter(Familias!F:F,Familias!$D:$D=$A464,Familias!$E:$E=$B464),1))"),"")</f>
        <v/>
      </c>
      <c r="F464" s="4" t="str">
        <f>IFERROR(__xludf.DUMMYFUNCTION("IF($B464="""","""",INDEX(filter(Familias!G:G,Familias!$D:$D=$A464,Familias!$E:$E=$B464),1))"),"")</f>
        <v/>
      </c>
      <c r="G464" s="4" t="str">
        <f t="array" ref="G464">IF(C464=1,XLOOKUP(C464,Cotizador!D:D,Cotizador!E:E,"",0,1),"")</f>
        <v/>
      </c>
      <c r="I464" s="4"/>
      <c r="J464" s="8" t="str">
        <f>IF(I464="","",SUMIF(Cotizador!I$1:V$1,I464,Cotizador!I$2:V$2))</f>
        <v/>
      </c>
      <c r="L464" s="4" t="str">
        <f t="array" ref="L464">IF(COUNTIF(L$1:L463,A$2)=SUMIF(A:A,A$2,D:D),IF(COUNTIF(L$1:L463,XLOOKUP(A$2,Implementos!B:B,Implementos!C:C,"",0,1))=SUMIF(A:A,XLOOKUP(A$2,Implementos!B:B,Implementos!C:C,"",0,1),D:D),"",XLOOKUP(A$2,Implementos!B:B,Implementos!C:C,"",0,1)),A$2)</f>
        <v/>
      </c>
      <c r="M464" s="4" t="str">
        <f t="shared" si="2"/>
        <v/>
      </c>
      <c r="N464" s="4" t="str">
        <f t="shared" si="3"/>
        <v/>
      </c>
      <c r="O464" s="4" t="str">
        <f t="shared" si="4"/>
        <v/>
      </c>
      <c r="P464" s="4" t="str">
        <f t="shared" si="5"/>
        <v/>
      </c>
      <c r="Q464" s="4" t="str">
        <f>IF(U464="","",SUMIF(Productos!E:E,U464,Productos!A:A))</f>
        <v/>
      </c>
      <c r="R464" s="4" t="str">
        <f t="array" ref="R464">IF(L464="","", max(1,SUMIF(I:I,XLOOKUP(U464,Productos!E:E,Productos!G:G,"",0,1),J:J)))</f>
        <v/>
      </c>
      <c r="S464" s="4" t="str">
        <f>IF(Q464="","",IF(SUMIFS(Compat_Vetado!D:D,Compat_Vetado!B:B,SUM(G:G),Compat_Vetado!C:C,Q464)=1,"SI",IF(OR(SUMIF(Cotizador!E:E,Q464,Cotizador!G:G)&gt;0,SUMIFS(Compat_Vetado!D:D,Compat_Vetado!B:B,SUM(G:G),Compat_Vetado!C:C,Q464)=-1),"NO","")))</f>
        <v/>
      </c>
      <c r="T464" s="4" t="str">
        <f t="shared" si="6"/>
        <v/>
      </c>
      <c r="U464" s="4" t="str">
        <f>IFERROR(__xludf.DUMMYFUNCTION("IF(P464="""","""",IFERROR(INDEX(filter(Productos!E:E,Productos!F:F=L464,Productos!H:H=N464),P464),IF(M464=SUM(D:D),""Finalizar"",""-"")))"),"")</f>
        <v/>
      </c>
      <c r="V464" s="4" t="str">
        <f>IFERROR(__xludf.DUMMYFUNCTION("IF(OR($U464="""",COUNTIF($I:$I,IFERROR(unique(filter(Prod_Prop!$H:$H,Prod_Prop!$G:$G=$U464,Prod_Prop!$E:$E=V$1)),""Check""))=0),"""",IFERROR(unique(filter(Prod_Prop!$H:$H,Prod_Prop!$G:$G=$U464,Prod_Prop!$E:$E=V$1)),""""))"),"")</f>
        <v/>
      </c>
      <c r="W464" s="4" t="str">
        <f>IF(V464="","",SUMIFS(Prod_Prop!$J:$J,Prod_Prop!$B:$B,$Q464,Prod_Prop!$H:$H,V464,Prod_Prop!$I:$I,W$1)*IF(V464="Peso",$R464,1))</f>
        <v/>
      </c>
      <c r="X464" s="4" t="str">
        <f>IF(V464="","",SUMIFS(Prod_Prop!$J:$J,Prod_Prop!$B:$B,$Q464,Prod_Prop!$H:$H,V464,Prod_Prop!$I:$I,X$1)*IF(V464="Peso",$R464,1))</f>
        <v/>
      </c>
      <c r="Y464" s="4" t="str">
        <f>IFERROR(__xludf.DUMMYFUNCTION("IF(OR($U464="""",COUNTIF($I:$I,IFERROR(unique(filter(Prod_Prop!$H:$H,Prod_Prop!$G:$G=$U464,Prod_Prop!$E:$E=Y$1)),""Check""))=0),"""",IFERROR(unique(filter(Prod_Prop!$H:$H,Prod_Prop!$G:$G=$U464,Prod_Prop!$E:$E=Y$1)),""""))"),"")</f>
        <v/>
      </c>
      <c r="Z464" s="4" t="str">
        <f>IF(Y464="","",SUMIFS(Prod_Prop!$J:$J,Prod_Prop!$B:$B,$Q464,Prod_Prop!$H:$H,Y464,Prod_Prop!$I:$I,Z$1)*IF(Y464="Peso",$R464,1))</f>
        <v/>
      </c>
      <c r="AA464" s="4" t="str">
        <f>IF(Y464="","",SUMIFS(Prod_Prop!$J:$J,Prod_Prop!$B:$B,$Q464,Prod_Prop!$H:$H,Y464,Prod_Prop!$I:$I,AA$1)*IF(Y464="Peso",$R464,1))</f>
        <v/>
      </c>
      <c r="AB464" s="4" t="str">
        <f>IFERROR(__xludf.DUMMYFUNCTION("IF(OR($U464="""",COUNTIF($I:$I,IFERROR(unique(filter(Prod_Prop!$H:$H,Prod_Prop!$G:$G=$U464,Prod_Prop!$E:$E=AB$1)),""Check""))=0),"""",IFERROR(unique(filter(Prod_Prop!$H:$H,Prod_Prop!$G:$G=$U464,Prod_Prop!$E:$E=AB$1)),""""))"),"")</f>
        <v/>
      </c>
      <c r="AC464" s="4" t="str">
        <f>IF(AB464="","",SUMIFS(Prod_Prop!$J:$J,Prod_Prop!$B:$B,$Q464,Prod_Prop!$H:$H,AB464,Prod_Prop!$I:$I,AC$1)*IF(AB464="Peso",$R464,1))</f>
        <v/>
      </c>
      <c r="AD464" s="4" t="str">
        <f>IF(AB464="","",SUMIFS(Prod_Prop!$J:$J,Prod_Prop!$B:$B,$Q464,Prod_Prop!$H:$H,AB464,Prod_Prop!$I:$I,AD$1)*IF(AB464="Peso",$R464,1))</f>
        <v/>
      </c>
    </row>
    <row r="465">
      <c r="A465" s="4" t="str">
        <f t="array" ref="A465">IF(COUNTIF(A$1:A464,Cotizador!F$2)=maxifs(Familias!E:E,Familias!D:D,Cotizador!F$2),IF(COUNTIF(A$1:A464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5" s="4" t="str">
        <f t="shared" si="1"/>
        <v/>
      </c>
      <c r="C465" s="4" t="str">
        <f t="array" ref="C465">IF(B465="","",IF(A465=XLOOKUP(A$2,Implementos!B:B,Implementos!C:C,"",0,1),B465+maxifs(B$1:B464,A$1:A464,A$2),B465))</f>
        <v/>
      </c>
      <c r="D465" s="4" t="str">
        <f>IF(B465="","", COUNTIFS(Productos!F:F,A465,Productos!H:H,B465)+IF(F465="SI",0,1))</f>
        <v/>
      </c>
      <c r="E465" s="4" t="str">
        <f>IFERROR(__xludf.DUMMYFUNCTION("IF($B465="""","""",INDEX(filter(Familias!F:F,Familias!$D:$D=$A465,Familias!$E:$E=$B465),1))"),"")</f>
        <v/>
      </c>
      <c r="F465" s="4" t="str">
        <f>IFERROR(__xludf.DUMMYFUNCTION("IF($B465="""","""",INDEX(filter(Familias!G:G,Familias!$D:$D=$A465,Familias!$E:$E=$B465),1))"),"")</f>
        <v/>
      </c>
      <c r="G465" s="4" t="str">
        <f t="array" ref="G465">IF(C465=1,XLOOKUP(C465,Cotizador!D:D,Cotizador!E:E,"",0,1),"")</f>
        <v/>
      </c>
      <c r="I465" s="4"/>
      <c r="J465" s="8" t="str">
        <f>IF(I465="","",SUMIF(Cotizador!I$1:V$1,I465,Cotizador!I$2:V$2))</f>
        <v/>
      </c>
      <c r="L465" s="4" t="str">
        <f t="array" ref="L465">IF(COUNTIF(L$1:L464,A$2)=SUMIF(A:A,A$2,D:D),IF(COUNTIF(L$1:L464,XLOOKUP(A$2,Implementos!B:B,Implementos!C:C,"",0,1))=SUMIF(A:A,XLOOKUP(A$2,Implementos!B:B,Implementos!C:C,"",0,1),D:D),"",XLOOKUP(A$2,Implementos!B:B,Implementos!C:C,"",0,1)),A$2)</f>
        <v/>
      </c>
      <c r="M465" s="4" t="str">
        <f t="shared" si="2"/>
        <v/>
      </c>
      <c r="N465" s="4" t="str">
        <f t="shared" si="3"/>
        <v/>
      </c>
      <c r="O465" s="4" t="str">
        <f t="shared" si="4"/>
        <v/>
      </c>
      <c r="P465" s="4" t="str">
        <f t="shared" si="5"/>
        <v/>
      </c>
      <c r="Q465" s="4" t="str">
        <f>IF(U465="","",SUMIF(Productos!E:E,U465,Productos!A:A))</f>
        <v/>
      </c>
      <c r="R465" s="4" t="str">
        <f t="array" ref="R465">IF(L465="","", max(1,SUMIF(I:I,XLOOKUP(U465,Productos!E:E,Productos!G:G,"",0,1),J:J)))</f>
        <v/>
      </c>
      <c r="S465" s="4" t="str">
        <f>IF(Q465="","",IF(SUMIFS(Compat_Vetado!D:D,Compat_Vetado!B:B,SUM(G:G),Compat_Vetado!C:C,Q465)=1,"SI",IF(OR(SUMIF(Cotizador!E:E,Q465,Cotizador!G:G)&gt;0,SUMIFS(Compat_Vetado!D:D,Compat_Vetado!B:B,SUM(G:G),Compat_Vetado!C:C,Q465)=-1),"NO","")))</f>
        <v/>
      </c>
      <c r="T465" s="4" t="str">
        <f t="shared" si="6"/>
        <v/>
      </c>
      <c r="U465" s="4" t="str">
        <f>IFERROR(__xludf.DUMMYFUNCTION("IF(P465="""","""",IFERROR(INDEX(filter(Productos!E:E,Productos!F:F=L465,Productos!H:H=N465),P465),IF(M465=SUM(D:D),""Finalizar"",""-"")))"),"")</f>
        <v/>
      </c>
      <c r="V465" s="4" t="str">
        <f>IFERROR(__xludf.DUMMYFUNCTION("IF(OR($U465="""",COUNTIF($I:$I,IFERROR(unique(filter(Prod_Prop!$H:$H,Prod_Prop!$G:$G=$U465,Prod_Prop!$E:$E=V$1)),""Check""))=0),"""",IFERROR(unique(filter(Prod_Prop!$H:$H,Prod_Prop!$G:$G=$U465,Prod_Prop!$E:$E=V$1)),""""))"),"")</f>
        <v/>
      </c>
      <c r="W465" s="4" t="str">
        <f>IF(V465="","",SUMIFS(Prod_Prop!$J:$J,Prod_Prop!$B:$B,$Q465,Prod_Prop!$H:$H,V465,Prod_Prop!$I:$I,W$1)*IF(V465="Peso",$R465,1))</f>
        <v/>
      </c>
      <c r="X465" s="4" t="str">
        <f>IF(V465="","",SUMIFS(Prod_Prop!$J:$J,Prod_Prop!$B:$B,$Q465,Prod_Prop!$H:$H,V465,Prod_Prop!$I:$I,X$1)*IF(V465="Peso",$R465,1))</f>
        <v/>
      </c>
      <c r="Y465" s="4" t="str">
        <f>IFERROR(__xludf.DUMMYFUNCTION("IF(OR($U465="""",COUNTIF($I:$I,IFERROR(unique(filter(Prod_Prop!$H:$H,Prod_Prop!$G:$G=$U465,Prod_Prop!$E:$E=Y$1)),""Check""))=0),"""",IFERROR(unique(filter(Prod_Prop!$H:$H,Prod_Prop!$G:$G=$U465,Prod_Prop!$E:$E=Y$1)),""""))"),"")</f>
        <v/>
      </c>
      <c r="Z465" s="4" t="str">
        <f>IF(Y465="","",SUMIFS(Prod_Prop!$J:$J,Prod_Prop!$B:$B,$Q465,Prod_Prop!$H:$H,Y465,Prod_Prop!$I:$I,Z$1)*IF(Y465="Peso",$R465,1))</f>
        <v/>
      </c>
      <c r="AA465" s="4" t="str">
        <f>IF(Y465="","",SUMIFS(Prod_Prop!$J:$J,Prod_Prop!$B:$B,$Q465,Prod_Prop!$H:$H,Y465,Prod_Prop!$I:$I,AA$1)*IF(Y465="Peso",$R465,1))</f>
        <v/>
      </c>
      <c r="AB465" s="4" t="str">
        <f>IFERROR(__xludf.DUMMYFUNCTION("IF(OR($U465="""",COUNTIF($I:$I,IFERROR(unique(filter(Prod_Prop!$H:$H,Prod_Prop!$G:$G=$U465,Prod_Prop!$E:$E=AB$1)),""Check""))=0),"""",IFERROR(unique(filter(Prod_Prop!$H:$H,Prod_Prop!$G:$G=$U465,Prod_Prop!$E:$E=AB$1)),""""))"),"")</f>
        <v/>
      </c>
      <c r="AC465" s="4" t="str">
        <f>IF(AB465="","",SUMIFS(Prod_Prop!$J:$J,Prod_Prop!$B:$B,$Q465,Prod_Prop!$H:$H,AB465,Prod_Prop!$I:$I,AC$1)*IF(AB465="Peso",$R465,1))</f>
        <v/>
      </c>
      <c r="AD465" s="4" t="str">
        <f>IF(AB465="","",SUMIFS(Prod_Prop!$J:$J,Prod_Prop!$B:$B,$Q465,Prod_Prop!$H:$H,AB465,Prod_Prop!$I:$I,AD$1)*IF(AB465="Peso",$R465,1))</f>
        <v/>
      </c>
    </row>
    <row r="466">
      <c r="A466" s="4" t="str">
        <f t="array" ref="A466">IF(COUNTIF(A$1:A465,Cotizador!F$2)=maxifs(Familias!E:E,Familias!D:D,Cotizador!F$2),IF(COUNTIF(A$1:A465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6" s="4" t="str">
        <f t="shared" si="1"/>
        <v/>
      </c>
      <c r="C466" s="4" t="str">
        <f t="array" ref="C466">IF(B466="","",IF(A466=XLOOKUP(A$2,Implementos!B:B,Implementos!C:C,"",0,1),B466+maxifs(B$1:B465,A$1:A465,A$2),B466))</f>
        <v/>
      </c>
      <c r="D466" s="4" t="str">
        <f>IF(B466="","", COUNTIFS(Productos!F:F,A466,Productos!H:H,B466)+IF(F466="SI",0,1))</f>
        <v/>
      </c>
      <c r="E466" s="4" t="str">
        <f>IFERROR(__xludf.DUMMYFUNCTION("IF($B466="""","""",INDEX(filter(Familias!F:F,Familias!$D:$D=$A466,Familias!$E:$E=$B466),1))"),"")</f>
        <v/>
      </c>
      <c r="F466" s="4" t="str">
        <f>IFERROR(__xludf.DUMMYFUNCTION("IF($B466="""","""",INDEX(filter(Familias!G:G,Familias!$D:$D=$A466,Familias!$E:$E=$B466),1))"),"")</f>
        <v/>
      </c>
      <c r="G466" s="4" t="str">
        <f t="array" ref="G466">IF(C466=1,XLOOKUP(C466,Cotizador!D:D,Cotizador!E:E,"",0,1),"")</f>
        <v/>
      </c>
      <c r="I466" s="4"/>
      <c r="J466" s="8" t="str">
        <f>IF(I466="","",SUMIF(Cotizador!I$1:V$1,I466,Cotizador!I$2:V$2))</f>
        <v/>
      </c>
      <c r="L466" s="4" t="str">
        <f t="array" ref="L466">IF(COUNTIF(L$1:L465,A$2)=SUMIF(A:A,A$2,D:D),IF(COUNTIF(L$1:L465,XLOOKUP(A$2,Implementos!B:B,Implementos!C:C,"",0,1))=SUMIF(A:A,XLOOKUP(A$2,Implementos!B:B,Implementos!C:C,"",0,1),D:D),"",XLOOKUP(A$2,Implementos!B:B,Implementos!C:C,"",0,1)),A$2)</f>
        <v/>
      </c>
      <c r="M466" s="4" t="str">
        <f t="shared" si="2"/>
        <v/>
      </c>
      <c r="N466" s="4" t="str">
        <f t="shared" si="3"/>
        <v/>
      </c>
      <c r="O466" s="4" t="str">
        <f t="shared" si="4"/>
        <v/>
      </c>
      <c r="P466" s="4" t="str">
        <f t="shared" si="5"/>
        <v/>
      </c>
      <c r="Q466" s="4" t="str">
        <f>IF(U466="","",SUMIF(Productos!E:E,U466,Productos!A:A))</f>
        <v/>
      </c>
      <c r="R466" s="4" t="str">
        <f t="array" ref="R466">IF(L466="","", max(1,SUMIF(I:I,XLOOKUP(U466,Productos!E:E,Productos!G:G,"",0,1),J:J)))</f>
        <v/>
      </c>
      <c r="S466" s="4" t="str">
        <f>IF(Q466="","",IF(SUMIFS(Compat_Vetado!D:D,Compat_Vetado!B:B,SUM(G:G),Compat_Vetado!C:C,Q466)=1,"SI",IF(OR(SUMIF(Cotizador!E:E,Q466,Cotizador!G:G)&gt;0,SUMIFS(Compat_Vetado!D:D,Compat_Vetado!B:B,SUM(G:G),Compat_Vetado!C:C,Q466)=-1),"NO","")))</f>
        <v/>
      </c>
      <c r="T466" s="4" t="str">
        <f t="shared" si="6"/>
        <v/>
      </c>
      <c r="U466" s="4" t="str">
        <f>IFERROR(__xludf.DUMMYFUNCTION("IF(P466="""","""",IFERROR(INDEX(filter(Productos!E:E,Productos!F:F=L466,Productos!H:H=N466),P466),IF(M466=SUM(D:D),""Finalizar"",""-"")))"),"")</f>
        <v/>
      </c>
      <c r="V466" s="4" t="str">
        <f>IFERROR(__xludf.DUMMYFUNCTION("IF(OR($U466="""",COUNTIF($I:$I,IFERROR(unique(filter(Prod_Prop!$H:$H,Prod_Prop!$G:$G=$U466,Prod_Prop!$E:$E=V$1)),""Check""))=0),"""",IFERROR(unique(filter(Prod_Prop!$H:$H,Prod_Prop!$G:$G=$U466,Prod_Prop!$E:$E=V$1)),""""))"),"")</f>
        <v/>
      </c>
      <c r="W466" s="4" t="str">
        <f>IF(V466="","",SUMIFS(Prod_Prop!$J:$J,Prod_Prop!$B:$B,$Q466,Prod_Prop!$H:$H,V466,Prod_Prop!$I:$I,W$1)*IF(V466="Peso",$R466,1))</f>
        <v/>
      </c>
      <c r="X466" s="4" t="str">
        <f>IF(V466="","",SUMIFS(Prod_Prop!$J:$J,Prod_Prop!$B:$B,$Q466,Prod_Prop!$H:$H,V466,Prod_Prop!$I:$I,X$1)*IF(V466="Peso",$R466,1))</f>
        <v/>
      </c>
      <c r="Y466" s="4" t="str">
        <f>IFERROR(__xludf.DUMMYFUNCTION("IF(OR($U466="""",COUNTIF($I:$I,IFERROR(unique(filter(Prod_Prop!$H:$H,Prod_Prop!$G:$G=$U466,Prod_Prop!$E:$E=Y$1)),""Check""))=0),"""",IFERROR(unique(filter(Prod_Prop!$H:$H,Prod_Prop!$G:$G=$U466,Prod_Prop!$E:$E=Y$1)),""""))"),"")</f>
        <v/>
      </c>
      <c r="Z466" s="4" t="str">
        <f>IF(Y466="","",SUMIFS(Prod_Prop!$J:$J,Prod_Prop!$B:$B,$Q466,Prod_Prop!$H:$H,Y466,Prod_Prop!$I:$I,Z$1)*IF(Y466="Peso",$R466,1))</f>
        <v/>
      </c>
      <c r="AA466" s="4" t="str">
        <f>IF(Y466="","",SUMIFS(Prod_Prop!$J:$J,Prod_Prop!$B:$B,$Q466,Prod_Prop!$H:$H,Y466,Prod_Prop!$I:$I,AA$1)*IF(Y466="Peso",$R466,1))</f>
        <v/>
      </c>
      <c r="AB466" s="4" t="str">
        <f>IFERROR(__xludf.DUMMYFUNCTION("IF(OR($U466="""",COUNTIF($I:$I,IFERROR(unique(filter(Prod_Prop!$H:$H,Prod_Prop!$G:$G=$U466,Prod_Prop!$E:$E=AB$1)),""Check""))=0),"""",IFERROR(unique(filter(Prod_Prop!$H:$H,Prod_Prop!$G:$G=$U466,Prod_Prop!$E:$E=AB$1)),""""))"),"")</f>
        <v/>
      </c>
      <c r="AC466" s="4" t="str">
        <f>IF(AB466="","",SUMIFS(Prod_Prop!$J:$J,Prod_Prop!$B:$B,$Q466,Prod_Prop!$H:$H,AB466,Prod_Prop!$I:$I,AC$1)*IF(AB466="Peso",$R466,1))</f>
        <v/>
      </c>
      <c r="AD466" s="4" t="str">
        <f>IF(AB466="","",SUMIFS(Prod_Prop!$J:$J,Prod_Prop!$B:$B,$Q466,Prod_Prop!$H:$H,AB466,Prod_Prop!$I:$I,AD$1)*IF(AB466="Peso",$R466,1))</f>
        <v/>
      </c>
    </row>
    <row r="467">
      <c r="A467" s="4" t="str">
        <f t="array" ref="A467">IF(COUNTIF(A$1:A466,Cotizador!F$2)=maxifs(Familias!E:E,Familias!D:D,Cotizador!F$2),IF(COUNTIF(A$1:A466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7" s="4" t="str">
        <f t="shared" si="1"/>
        <v/>
      </c>
      <c r="C467" s="4" t="str">
        <f t="array" ref="C467">IF(B467="","",IF(A467=XLOOKUP(A$2,Implementos!B:B,Implementos!C:C,"",0,1),B467+maxifs(B$1:B466,A$1:A466,A$2),B467))</f>
        <v/>
      </c>
      <c r="D467" s="4" t="str">
        <f>IF(B467="","", COUNTIFS(Productos!F:F,A467,Productos!H:H,B467)+IF(F467="SI",0,1))</f>
        <v/>
      </c>
      <c r="E467" s="4" t="str">
        <f>IFERROR(__xludf.DUMMYFUNCTION("IF($B467="""","""",INDEX(filter(Familias!F:F,Familias!$D:$D=$A467,Familias!$E:$E=$B467),1))"),"")</f>
        <v/>
      </c>
      <c r="F467" s="4" t="str">
        <f>IFERROR(__xludf.DUMMYFUNCTION("IF($B467="""","""",INDEX(filter(Familias!G:G,Familias!$D:$D=$A467,Familias!$E:$E=$B467),1))"),"")</f>
        <v/>
      </c>
      <c r="G467" s="4" t="str">
        <f t="array" ref="G467">IF(C467=1,XLOOKUP(C467,Cotizador!D:D,Cotizador!E:E,"",0,1),"")</f>
        <v/>
      </c>
      <c r="I467" s="4"/>
      <c r="J467" s="8" t="str">
        <f>IF(I467="","",SUMIF(Cotizador!I$1:V$1,I467,Cotizador!I$2:V$2))</f>
        <v/>
      </c>
      <c r="L467" s="4" t="str">
        <f t="array" ref="L467">IF(COUNTIF(L$1:L466,A$2)=SUMIF(A:A,A$2,D:D),IF(COUNTIF(L$1:L466,XLOOKUP(A$2,Implementos!B:B,Implementos!C:C,"",0,1))=SUMIF(A:A,XLOOKUP(A$2,Implementos!B:B,Implementos!C:C,"",0,1),D:D),"",XLOOKUP(A$2,Implementos!B:B,Implementos!C:C,"",0,1)),A$2)</f>
        <v/>
      </c>
      <c r="M467" s="4" t="str">
        <f t="shared" si="2"/>
        <v/>
      </c>
      <c r="N467" s="4" t="str">
        <f t="shared" si="3"/>
        <v/>
      </c>
      <c r="O467" s="4" t="str">
        <f t="shared" si="4"/>
        <v/>
      </c>
      <c r="P467" s="4" t="str">
        <f t="shared" si="5"/>
        <v/>
      </c>
      <c r="Q467" s="4" t="str">
        <f>IF(U467="","",SUMIF(Productos!E:E,U467,Productos!A:A))</f>
        <v/>
      </c>
      <c r="R467" s="4" t="str">
        <f t="array" ref="R467">IF(L467="","", max(1,SUMIF(I:I,XLOOKUP(U467,Productos!E:E,Productos!G:G,"",0,1),J:J)))</f>
        <v/>
      </c>
      <c r="S467" s="4" t="str">
        <f>IF(Q467="","",IF(SUMIFS(Compat_Vetado!D:D,Compat_Vetado!B:B,SUM(G:G),Compat_Vetado!C:C,Q467)=1,"SI",IF(OR(SUMIF(Cotizador!E:E,Q467,Cotizador!G:G)&gt;0,SUMIFS(Compat_Vetado!D:D,Compat_Vetado!B:B,SUM(G:G),Compat_Vetado!C:C,Q467)=-1),"NO","")))</f>
        <v/>
      </c>
      <c r="T467" s="4" t="str">
        <f t="shared" si="6"/>
        <v/>
      </c>
      <c r="U467" s="4" t="str">
        <f>IFERROR(__xludf.DUMMYFUNCTION("IF(P467="""","""",IFERROR(INDEX(filter(Productos!E:E,Productos!F:F=L467,Productos!H:H=N467),P467),IF(M467=SUM(D:D),""Finalizar"",""-"")))"),"")</f>
        <v/>
      </c>
      <c r="V467" s="4" t="str">
        <f>IFERROR(__xludf.DUMMYFUNCTION("IF(OR($U467="""",COUNTIF($I:$I,IFERROR(unique(filter(Prod_Prop!$H:$H,Prod_Prop!$G:$G=$U467,Prod_Prop!$E:$E=V$1)),""Check""))=0),"""",IFERROR(unique(filter(Prod_Prop!$H:$H,Prod_Prop!$G:$G=$U467,Prod_Prop!$E:$E=V$1)),""""))"),"")</f>
        <v/>
      </c>
      <c r="W467" s="4" t="str">
        <f>IF(V467="","",SUMIFS(Prod_Prop!$J:$J,Prod_Prop!$B:$B,$Q467,Prod_Prop!$H:$H,V467,Prod_Prop!$I:$I,W$1)*IF(V467="Peso",$R467,1))</f>
        <v/>
      </c>
      <c r="X467" s="4" t="str">
        <f>IF(V467="","",SUMIFS(Prod_Prop!$J:$J,Prod_Prop!$B:$B,$Q467,Prod_Prop!$H:$H,V467,Prod_Prop!$I:$I,X$1)*IF(V467="Peso",$R467,1))</f>
        <v/>
      </c>
      <c r="Y467" s="4" t="str">
        <f>IFERROR(__xludf.DUMMYFUNCTION("IF(OR($U467="""",COUNTIF($I:$I,IFERROR(unique(filter(Prod_Prop!$H:$H,Prod_Prop!$G:$G=$U467,Prod_Prop!$E:$E=Y$1)),""Check""))=0),"""",IFERROR(unique(filter(Prod_Prop!$H:$H,Prod_Prop!$G:$G=$U467,Prod_Prop!$E:$E=Y$1)),""""))"),"")</f>
        <v/>
      </c>
      <c r="Z467" s="4" t="str">
        <f>IF(Y467="","",SUMIFS(Prod_Prop!$J:$J,Prod_Prop!$B:$B,$Q467,Prod_Prop!$H:$H,Y467,Prod_Prop!$I:$I,Z$1)*IF(Y467="Peso",$R467,1))</f>
        <v/>
      </c>
      <c r="AA467" s="4" t="str">
        <f>IF(Y467="","",SUMIFS(Prod_Prop!$J:$J,Prod_Prop!$B:$B,$Q467,Prod_Prop!$H:$H,Y467,Prod_Prop!$I:$I,AA$1)*IF(Y467="Peso",$R467,1))</f>
        <v/>
      </c>
      <c r="AB467" s="4" t="str">
        <f>IFERROR(__xludf.DUMMYFUNCTION("IF(OR($U467="""",COUNTIF($I:$I,IFERROR(unique(filter(Prod_Prop!$H:$H,Prod_Prop!$G:$G=$U467,Prod_Prop!$E:$E=AB$1)),""Check""))=0),"""",IFERROR(unique(filter(Prod_Prop!$H:$H,Prod_Prop!$G:$G=$U467,Prod_Prop!$E:$E=AB$1)),""""))"),"")</f>
        <v/>
      </c>
      <c r="AC467" s="4" t="str">
        <f>IF(AB467="","",SUMIFS(Prod_Prop!$J:$J,Prod_Prop!$B:$B,$Q467,Prod_Prop!$H:$H,AB467,Prod_Prop!$I:$I,AC$1)*IF(AB467="Peso",$R467,1))</f>
        <v/>
      </c>
      <c r="AD467" s="4" t="str">
        <f>IF(AB467="","",SUMIFS(Prod_Prop!$J:$J,Prod_Prop!$B:$B,$Q467,Prod_Prop!$H:$H,AB467,Prod_Prop!$I:$I,AD$1)*IF(AB467="Peso",$R467,1))</f>
        <v/>
      </c>
    </row>
    <row r="468">
      <c r="A468" s="4" t="str">
        <f t="array" ref="A468">IF(COUNTIF(A$1:A467,Cotizador!F$2)=maxifs(Familias!E:E,Familias!D:D,Cotizador!F$2),IF(COUNTIF(A$1:A467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8" s="4" t="str">
        <f t="shared" si="1"/>
        <v/>
      </c>
      <c r="C468" s="4" t="str">
        <f t="array" ref="C468">IF(B468="","",IF(A468=XLOOKUP(A$2,Implementos!B:B,Implementos!C:C,"",0,1),B468+maxifs(B$1:B467,A$1:A467,A$2),B468))</f>
        <v/>
      </c>
      <c r="D468" s="4" t="str">
        <f>IF(B468="","", COUNTIFS(Productos!F:F,A468,Productos!H:H,B468)+IF(F468="SI",0,1))</f>
        <v/>
      </c>
      <c r="E468" s="4" t="str">
        <f>IFERROR(__xludf.DUMMYFUNCTION("IF($B468="""","""",INDEX(filter(Familias!F:F,Familias!$D:$D=$A468,Familias!$E:$E=$B468),1))"),"")</f>
        <v/>
      </c>
      <c r="F468" s="4" t="str">
        <f>IFERROR(__xludf.DUMMYFUNCTION("IF($B468="""","""",INDEX(filter(Familias!G:G,Familias!$D:$D=$A468,Familias!$E:$E=$B468),1))"),"")</f>
        <v/>
      </c>
      <c r="G468" s="4" t="str">
        <f t="array" ref="G468">IF(C468=1,XLOOKUP(C468,Cotizador!D:D,Cotizador!E:E,"",0,1),"")</f>
        <v/>
      </c>
      <c r="I468" s="4"/>
      <c r="J468" s="8" t="str">
        <f>IF(I468="","",SUMIF(Cotizador!I$1:V$1,I468,Cotizador!I$2:V$2))</f>
        <v/>
      </c>
      <c r="L468" s="4" t="str">
        <f t="array" ref="L468">IF(COUNTIF(L$1:L467,A$2)=SUMIF(A:A,A$2,D:D),IF(COUNTIF(L$1:L467,XLOOKUP(A$2,Implementos!B:B,Implementos!C:C,"",0,1))=SUMIF(A:A,XLOOKUP(A$2,Implementos!B:B,Implementos!C:C,"",0,1),D:D),"",XLOOKUP(A$2,Implementos!B:B,Implementos!C:C,"",0,1)),A$2)</f>
        <v/>
      </c>
      <c r="M468" s="4" t="str">
        <f t="shared" si="2"/>
        <v/>
      </c>
      <c r="N468" s="4" t="str">
        <f t="shared" si="3"/>
        <v/>
      </c>
      <c r="O468" s="4" t="str">
        <f t="shared" si="4"/>
        <v/>
      </c>
      <c r="P468" s="4" t="str">
        <f t="shared" si="5"/>
        <v/>
      </c>
      <c r="Q468" s="4" t="str">
        <f>IF(U468="","",SUMIF(Productos!E:E,U468,Productos!A:A))</f>
        <v/>
      </c>
      <c r="R468" s="4" t="str">
        <f t="array" ref="R468">IF(L468="","", max(1,SUMIF(I:I,XLOOKUP(U468,Productos!E:E,Productos!G:G,"",0,1),J:J)))</f>
        <v/>
      </c>
      <c r="S468" s="4" t="str">
        <f>IF(Q468="","",IF(SUMIFS(Compat_Vetado!D:D,Compat_Vetado!B:B,SUM(G:G),Compat_Vetado!C:C,Q468)=1,"SI",IF(OR(SUMIF(Cotizador!E:E,Q468,Cotizador!G:G)&gt;0,SUMIFS(Compat_Vetado!D:D,Compat_Vetado!B:B,SUM(G:G),Compat_Vetado!C:C,Q468)=-1),"NO","")))</f>
        <v/>
      </c>
      <c r="T468" s="4" t="str">
        <f t="shared" si="6"/>
        <v/>
      </c>
      <c r="U468" s="4" t="str">
        <f>IFERROR(__xludf.DUMMYFUNCTION("IF(P468="""","""",IFERROR(INDEX(filter(Productos!E:E,Productos!F:F=L468,Productos!H:H=N468),P468),IF(M468=SUM(D:D),""Finalizar"",""-"")))"),"")</f>
        <v/>
      </c>
      <c r="V468" s="4" t="str">
        <f>IFERROR(__xludf.DUMMYFUNCTION("IF(OR($U468="""",COUNTIF($I:$I,IFERROR(unique(filter(Prod_Prop!$H:$H,Prod_Prop!$G:$G=$U468,Prod_Prop!$E:$E=V$1)),""Check""))=0),"""",IFERROR(unique(filter(Prod_Prop!$H:$H,Prod_Prop!$G:$G=$U468,Prod_Prop!$E:$E=V$1)),""""))"),"")</f>
        <v/>
      </c>
      <c r="W468" s="4" t="str">
        <f>IF(V468="","",SUMIFS(Prod_Prop!$J:$J,Prod_Prop!$B:$B,$Q468,Prod_Prop!$H:$H,V468,Prod_Prop!$I:$I,W$1)*IF(V468="Peso",$R468,1))</f>
        <v/>
      </c>
      <c r="X468" s="4" t="str">
        <f>IF(V468="","",SUMIFS(Prod_Prop!$J:$J,Prod_Prop!$B:$B,$Q468,Prod_Prop!$H:$H,V468,Prod_Prop!$I:$I,X$1)*IF(V468="Peso",$R468,1))</f>
        <v/>
      </c>
      <c r="Y468" s="4" t="str">
        <f>IFERROR(__xludf.DUMMYFUNCTION("IF(OR($U468="""",COUNTIF($I:$I,IFERROR(unique(filter(Prod_Prop!$H:$H,Prod_Prop!$G:$G=$U468,Prod_Prop!$E:$E=Y$1)),""Check""))=0),"""",IFERROR(unique(filter(Prod_Prop!$H:$H,Prod_Prop!$G:$G=$U468,Prod_Prop!$E:$E=Y$1)),""""))"),"")</f>
        <v/>
      </c>
      <c r="Z468" s="4" t="str">
        <f>IF(Y468="","",SUMIFS(Prod_Prop!$J:$J,Prod_Prop!$B:$B,$Q468,Prod_Prop!$H:$H,Y468,Prod_Prop!$I:$I,Z$1)*IF(Y468="Peso",$R468,1))</f>
        <v/>
      </c>
      <c r="AA468" s="4" t="str">
        <f>IF(Y468="","",SUMIFS(Prod_Prop!$J:$J,Prod_Prop!$B:$B,$Q468,Prod_Prop!$H:$H,Y468,Prod_Prop!$I:$I,AA$1)*IF(Y468="Peso",$R468,1))</f>
        <v/>
      </c>
      <c r="AB468" s="4" t="str">
        <f>IFERROR(__xludf.DUMMYFUNCTION("IF(OR($U468="""",COUNTIF($I:$I,IFERROR(unique(filter(Prod_Prop!$H:$H,Prod_Prop!$G:$G=$U468,Prod_Prop!$E:$E=AB$1)),""Check""))=0),"""",IFERROR(unique(filter(Prod_Prop!$H:$H,Prod_Prop!$G:$G=$U468,Prod_Prop!$E:$E=AB$1)),""""))"),"")</f>
        <v/>
      </c>
      <c r="AC468" s="4" t="str">
        <f>IF(AB468="","",SUMIFS(Prod_Prop!$J:$J,Prod_Prop!$B:$B,$Q468,Prod_Prop!$H:$H,AB468,Prod_Prop!$I:$I,AC$1)*IF(AB468="Peso",$R468,1))</f>
        <v/>
      </c>
      <c r="AD468" s="4" t="str">
        <f>IF(AB468="","",SUMIFS(Prod_Prop!$J:$J,Prod_Prop!$B:$B,$Q468,Prod_Prop!$H:$H,AB468,Prod_Prop!$I:$I,AD$1)*IF(AB468="Peso",$R468,1))</f>
        <v/>
      </c>
    </row>
    <row r="469">
      <c r="A469" s="4" t="str">
        <f t="array" ref="A469">IF(COUNTIF(A$1:A468,Cotizador!F$2)=maxifs(Familias!E:E,Familias!D:D,Cotizador!F$2),IF(COUNTIF(A$1:A468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69" s="4" t="str">
        <f t="shared" si="1"/>
        <v/>
      </c>
      <c r="C469" s="4" t="str">
        <f t="array" ref="C469">IF(B469="","",IF(A469=XLOOKUP(A$2,Implementos!B:B,Implementos!C:C,"",0,1),B469+maxifs(B$1:B468,A$1:A468,A$2),B469))</f>
        <v/>
      </c>
      <c r="D469" s="4" t="str">
        <f>IF(B469="","", COUNTIFS(Productos!F:F,A469,Productos!H:H,B469)+IF(F469="SI",0,1))</f>
        <v/>
      </c>
      <c r="E469" s="4" t="str">
        <f>IFERROR(__xludf.DUMMYFUNCTION("IF($B469="""","""",INDEX(filter(Familias!F:F,Familias!$D:$D=$A469,Familias!$E:$E=$B469),1))"),"")</f>
        <v/>
      </c>
      <c r="F469" s="4" t="str">
        <f>IFERROR(__xludf.DUMMYFUNCTION("IF($B469="""","""",INDEX(filter(Familias!G:G,Familias!$D:$D=$A469,Familias!$E:$E=$B469),1))"),"")</f>
        <v/>
      </c>
      <c r="G469" s="4" t="str">
        <f t="array" ref="G469">IF(C469=1,XLOOKUP(C469,Cotizador!D:D,Cotizador!E:E,"",0,1),"")</f>
        <v/>
      </c>
      <c r="I469" s="4"/>
      <c r="J469" s="8" t="str">
        <f>IF(I469="","",SUMIF(Cotizador!I$1:V$1,I469,Cotizador!I$2:V$2))</f>
        <v/>
      </c>
      <c r="L469" s="4" t="str">
        <f t="array" ref="L469">IF(COUNTIF(L$1:L468,A$2)=SUMIF(A:A,A$2,D:D),IF(COUNTIF(L$1:L468,XLOOKUP(A$2,Implementos!B:B,Implementos!C:C,"",0,1))=SUMIF(A:A,XLOOKUP(A$2,Implementos!B:B,Implementos!C:C,"",0,1),D:D),"",XLOOKUP(A$2,Implementos!B:B,Implementos!C:C,"",0,1)),A$2)</f>
        <v/>
      </c>
      <c r="M469" s="4" t="str">
        <f t="shared" si="2"/>
        <v/>
      </c>
      <c r="N469" s="4" t="str">
        <f t="shared" si="3"/>
        <v/>
      </c>
      <c r="O469" s="4" t="str">
        <f t="shared" si="4"/>
        <v/>
      </c>
      <c r="P469" s="4" t="str">
        <f t="shared" si="5"/>
        <v/>
      </c>
      <c r="Q469" s="4" t="str">
        <f>IF(U469="","",SUMIF(Productos!E:E,U469,Productos!A:A))</f>
        <v/>
      </c>
      <c r="R469" s="4" t="str">
        <f t="array" ref="R469">IF(L469="","", max(1,SUMIF(I:I,XLOOKUP(U469,Productos!E:E,Productos!G:G,"",0,1),J:J)))</f>
        <v/>
      </c>
      <c r="S469" s="4" t="str">
        <f>IF(Q469="","",IF(SUMIFS(Compat_Vetado!D:D,Compat_Vetado!B:B,SUM(G:G),Compat_Vetado!C:C,Q469)=1,"SI",IF(OR(SUMIF(Cotizador!E:E,Q469,Cotizador!G:G)&gt;0,SUMIFS(Compat_Vetado!D:D,Compat_Vetado!B:B,SUM(G:G),Compat_Vetado!C:C,Q469)=-1),"NO","")))</f>
        <v/>
      </c>
      <c r="T469" s="4" t="str">
        <f t="shared" si="6"/>
        <v/>
      </c>
      <c r="U469" s="4" t="str">
        <f>IFERROR(__xludf.DUMMYFUNCTION("IF(P469="""","""",IFERROR(INDEX(filter(Productos!E:E,Productos!F:F=L469,Productos!H:H=N469),P469),IF(M469=SUM(D:D),""Finalizar"",""-"")))"),"")</f>
        <v/>
      </c>
      <c r="V469" s="4" t="str">
        <f>IFERROR(__xludf.DUMMYFUNCTION("IF(OR($U469="""",COUNTIF($I:$I,IFERROR(unique(filter(Prod_Prop!$H:$H,Prod_Prop!$G:$G=$U469,Prod_Prop!$E:$E=V$1)),""Check""))=0),"""",IFERROR(unique(filter(Prod_Prop!$H:$H,Prod_Prop!$G:$G=$U469,Prod_Prop!$E:$E=V$1)),""""))"),"")</f>
        <v/>
      </c>
      <c r="W469" s="4" t="str">
        <f>IF(V469="","",SUMIFS(Prod_Prop!$J:$J,Prod_Prop!$B:$B,$Q469,Prod_Prop!$H:$H,V469,Prod_Prop!$I:$I,W$1)*IF(V469="Peso",$R469,1))</f>
        <v/>
      </c>
      <c r="X469" s="4" t="str">
        <f>IF(V469="","",SUMIFS(Prod_Prop!$J:$J,Prod_Prop!$B:$B,$Q469,Prod_Prop!$H:$H,V469,Prod_Prop!$I:$I,X$1)*IF(V469="Peso",$R469,1))</f>
        <v/>
      </c>
      <c r="Y469" s="4" t="str">
        <f>IFERROR(__xludf.DUMMYFUNCTION("IF(OR($U469="""",COUNTIF($I:$I,IFERROR(unique(filter(Prod_Prop!$H:$H,Prod_Prop!$G:$G=$U469,Prod_Prop!$E:$E=Y$1)),""Check""))=0),"""",IFERROR(unique(filter(Prod_Prop!$H:$H,Prod_Prop!$G:$G=$U469,Prod_Prop!$E:$E=Y$1)),""""))"),"")</f>
        <v/>
      </c>
      <c r="Z469" s="4" t="str">
        <f>IF(Y469="","",SUMIFS(Prod_Prop!$J:$J,Prod_Prop!$B:$B,$Q469,Prod_Prop!$H:$H,Y469,Prod_Prop!$I:$I,Z$1)*IF(Y469="Peso",$R469,1))</f>
        <v/>
      </c>
      <c r="AA469" s="4" t="str">
        <f>IF(Y469="","",SUMIFS(Prod_Prop!$J:$J,Prod_Prop!$B:$B,$Q469,Prod_Prop!$H:$H,Y469,Prod_Prop!$I:$I,AA$1)*IF(Y469="Peso",$R469,1))</f>
        <v/>
      </c>
      <c r="AB469" s="4" t="str">
        <f>IFERROR(__xludf.DUMMYFUNCTION("IF(OR($U469="""",COUNTIF($I:$I,IFERROR(unique(filter(Prod_Prop!$H:$H,Prod_Prop!$G:$G=$U469,Prod_Prop!$E:$E=AB$1)),""Check""))=0),"""",IFERROR(unique(filter(Prod_Prop!$H:$H,Prod_Prop!$G:$G=$U469,Prod_Prop!$E:$E=AB$1)),""""))"),"")</f>
        <v/>
      </c>
      <c r="AC469" s="4" t="str">
        <f>IF(AB469="","",SUMIFS(Prod_Prop!$J:$J,Prod_Prop!$B:$B,$Q469,Prod_Prop!$H:$H,AB469,Prod_Prop!$I:$I,AC$1)*IF(AB469="Peso",$R469,1))</f>
        <v/>
      </c>
      <c r="AD469" s="4" t="str">
        <f>IF(AB469="","",SUMIFS(Prod_Prop!$J:$J,Prod_Prop!$B:$B,$Q469,Prod_Prop!$H:$H,AB469,Prod_Prop!$I:$I,AD$1)*IF(AB469="Peso",$R469,1))</f>
        <v/>
      </c>
    </row>
    <row r="470">
      <c r="A470" s="4" t="str">
        <f t="array" ref="A470">IF(COUNTIF(A$1:A469,Cotizador!F$2)=maxifs(Familias!E:E,Familias!D:D,Cotizador!F$2),IF(COUNTIF(A$1:A469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0" s="4" t="str">
        <f t="shared" si="1"/>
        <v/>
      </c>
      <c r="C470" s="4" t="str">
        <f t="array" ref="C470">IF(B470="","",IF(A470=XLOOKUP(A$2,Implementos!B:B,Implementos!C:C,"",0,1),B470+maxifs(B$1:B469,A$1:A469,A$2),B470))</f>
        <v/>
      </c>
      <c r="D470" s="4" t="str">
        <f>IF(B470="","", COUNTIFS(Productos!F:F,A470,Productos!H:H,B470)+IF(F470="SI",0,1))</f>
        <v/>
      </c>
      <c r="E470" s="4" t="str">
        <f>IFERROR(__xludf.DUMMYFUNCTION("IF($B470="""","""",INDEX(filter(Familias!F:F,Familias!$D:$D=$A470,Familias!$E:$E=$B470),1))"),"")</f>
        <v/>
      </c>
      <c r="F470" s="4" t="str">
        <f>IFERROR(__xludf.DUMMYFUNCTION("IF($B470="""","""",INDEX(filter(Familias!G:G,Familias!$D:$D=$A470,Familias!$E:$E=$B470),1))"),"")</f>
        <v/>
      </c>
      <c r="G470" s="4" t="str">
        <f t="array" ref="G470">IF(C470=1,XLOOKUP(C470,Cotizador!D:D,Cotizador!E:E,"",0,1),"")</f>
        <v/>
      </c>
      <c r="I470" s="4"/>
      <c r="J470" s="8" t="str">
        <f>IF(I470="","",SUMIF(Cotizador!I$1:V$1,I470,Cotizador!I$2:V$2))</f>
        <v/>
      </c>
      <c r="L470" s="4" t="str">
        <f t="array" ref="L470">IF(COUNTIF(L$1:L469,A$2)=SUMIF(A:A,A$2,D:D),IF(COUNTIF(L$1:L469,XLOOKUP(A$2,Implementos!B:B,Implementos!C:C,"",0,1))=SUMIF(A:A,XLOOKUP(A$2,Implementos!B:B,Implementos!C:C,"",0,1),D:D),"",XLOOKUP(A$2,Implementos!B:B,Implementos!C:C,"",0,1)),A$2)</f>
        <v/>
      </c>
      <c r="M470" s="4" t="str">
        <f t="shared" si="2"/>
        <v/>
      </c>
      <c r="N470" s="4" t="str">
        <f t="shared" si="3"/>
        <v/>
      </c>
      <c r="O470" s="4" t="str">
        <f t="shared" si="4"/>
        <v/>
      </c>
      <c r="P470" s="4" t="str">
        <f t="shared" si="5"/>
        <v/>
      </c>
      <c r="Q470" s="4" t="str">
        <f>IF(U470="","",SUMIF(Productos!E:E,U470,Productos!A:A))</f>
        <v/>
      </c>
      <c r="R470" s="4" t="str">
        <f t="array" ref="R470">IF(L470="","", max(1,SUMIF(I:I,XLOOKUP(U470,Productos!E:E,Productos!G:G,"",0,1),J:J)))</f>
        <v/>
      </c>
      <c r="S470" s="4" t="str">
        <f>IF(Q470="","",IF(SUMIFS(Compat_Vetado!D:D,Compat_Vetado!B:B,SUM(G:G),Compat_Vetado!C:C,Q470)=1,"SI",IF(OR(SUMIF(Cotizador!E:E,Q470,Cotizador!G:G)&gt;0,SUMIFS(Compat_Vetado!D:D,Compat_Vetado!B:B,SUM(G:G),Compat_Vetado!C:C,Q470)=-1),"NO","")))</f>
        <v/>
      </c>
      <c r="T470" s="4" t="str">
        <f t="shared" si="6"/>
        <v/>
      </c>
      <c r="U470" s="4" t="str">
        <f>IFERROR(__xludf.DUMMYFUNCTION("IF(P470="""","""",IFERROR(INDEX(filter(Productos!E:E,Productos!F:F=L470,Productos!H:H=N470),P470),IF(M470=SUM(D:D),""Finalizar"",""-"")))"),"")</f>
        <v/>
      </c>
      <c r="V470" s="4" t="str">
        <f>IFERROR(__xludf.DUMMYFUNCTION("IF(OR($U470="""",COUNTIF($I:$I,IFERROR(unique(filter(Prod_Prop!$H:$H,Prod_Prop!$G:$G=$U470,Prod_Prop!$E:$E=V$1)),""Check""))=0),"""",IFERROR(unique(filter(Prod_Prop!$H:$H,Prod_Prop!$G:$G=$U470,Prod_Prop!$E:$E=V$1)),""""))"),"")</f>
        <v/>
      </c>
      <c r="W470" s="4" t="str">
        <f>IF(V470="","",SUMIFS(Prod_Prop!$J:$J,Prod_Prop!$B:$B,$Q470,Prod_Prop!$H:$H,V470,Prod_Prop!$I:$I,W$1)*IF(V470="Peso",$R470,1))</f>
        <v/>
      </c>
      <c r="X470" s="4" t="str">
        <f>IF(V470="","",SUMIFS(Prod_Prop!$J:$J,Prod_Prop!$B:$B,$Q470,Prod_Prop!$H:$H,V470,Prod_Prop!$I:$I,X$1)*IF(V470="Peso",$R470,1))</f>
        <v/>
      </c>
      <c r="Y470" s="4" t="str">
        <f>IFERROR(__xludf.DUMMYFUNCTION("IF(OR($U470="""",COUNTIF($I:$I,IFERROR(unique(filter(Prod_Prop!$H:$H,Prod_Prop!$G:$G=$U470,Prod_Prop!$E:$E=Y$1)),""Check""))=0),"""",IFERROR(unique(filter(Prod_Prop!$H:$H,Prod_Prop!$G:$G=$U470,Prod_Prop!$E:$E=Y$1)),""""))"),"")</f>
        <v/>
      </c>
      <c r="Z470" s="4" t="str">
        <f>IF(Y470="","",SUMIFS(Prod_Prop!$J:$J,Prod_Prop!$B:$B,$Q470,Prod_Prop!$H:$H,Y470,Prod_Prop!$I:$I,Z$1)*IF(Y470="Peso",$R470,1))</f>
        <v/>
      </c>
      <c r="AA470" s="4" t="str">
        <f>IF(Y470="","",SUMIFS(Prod_Prop!$J:$J,Prod_Prop!$B:$B,$Q470,Prod_Prop!$H:$H,Y470,Prod_Prop!$I:$I,AA$1)*IF(Y470="Peso",$R470,1))</f>
        <v/>
      </c>
      <c r="AB470" s="4" t="str">
        <f>IFERROR(__xludf.DUMMYFUNCTION("IF(OR($U470="""",COUNTIF($I:$I,IFERROR(unique(filter(Prod_Prop!$H:$H,Prod_Prop!$G:$G=$U470,Prod_Prop!$E:$E=AB$1)),""Check""))=0),"""",IFERROR(unique(filter(Prod_Prop!$H:$H,Prod_Prop!$G:$G=$U470,Prod_Prop!$E:$E=AB$1)),""""))"),"")</f>
        <v/>
      </c>
      <c r="AC470" s="4" t="str">
        <f>IF(AB470="","",SUMIFS(Prod_Prop!$J:$J,Prod_Prop!$B:$B,$Q470,Prod_Prop!$H:$H,AB470,Prod_Prop!$I:$I,AC$1)*IF(AB470="Peso",$R470,1))</f>
        <v/>
      </c>
      <c r="AD470" s="4" t="str">
        <f>IF(AB470="","",SUMIFS(Prod_Prop!$J:$J,Prod_Prop!$B:$B,$Q470,Prod_Prop!$H:$H,AB470,Prod_Prop!$I:$I,AD$1)*IF(AB470="Peso",$R470,1))</f>
        <v/>
      </c>
    </row>
    <row r="471">
      <c r="A471" s="4" t="str">
        <f t="array" ref="A471">IF(COUNTIF(A$1:A470,Cotizador!F$2)=maxifs(Familias!E:E,Familias!D:D,Cotizador!F$2),IF(COUNTIF(A$1:A470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1" s="4" t="str">
        <f t="shared" si="1"/>
        <v/>
      </c>
      <c r="C471" s="4" t="str">
        <f t="array" ref="C471">IF(B471="","",IF(A471=XLOOKUP(A$2,Implementos!B:B,Implementos!C:C,"",0,1),B471+maxifs(B$1:B470,A$1:A470,A$2),B471))</f>
        <v/>
      </c>
      <c r="D471" s="4" t="str">
        <f>IF(B471="","", COUNTIFS(Productos!F:F,A471,Productos!H:H,B471)+IF(F471="SI",0,1))</f>
        <v/>
      </c>
      <c r="E471" s="4" t="str">
        <f>IFERROR(__xludf.DUMMYFUNCTION("IF($B471="""","""",INDEX(filter(Familias!F:F,Familias!$D:$D=$A471,Familias!$E:$E=$B471),1))"),"")</f>
        <v/>
      </c>
      <c r="F471" s="4" t="str">
        <f>IFERROR(__xludf.DUMMYFUNCTION("IF($B471="""","""",INDEX(filter(Familias!G:G,Familias!$D:$D=$A471,Familias!$E:$E=$B471),1))"),"")</f>
        <v/>
      </c>
      <c r="G471" s="4" t="str">
        <f t="array" ref="G471">IF(C471=1,XLOOKUP(C471,Cotizador!D:D,Cotizador!E:E,"",0,1),"")</f>
        <v/>
      </c>
      <c r="I471" s="4"/>
      <c r="J471" s="8" t="str">
        <f>IF(I471="","",SUMIF(Cotizador!I$1:V$1,I471,Cotizador!I$2:V$2))</f>
        <v/>
      </c>
      <c r="L471" s="4" t="str">
        <f t="array" ref="L471">IF(COUNTIF(L$1:L470,A$2)=SUMIF(A:A,A$2,D:D),IF(COUNTIF(L$1:L470,XLOOKUP(A$2,Implementos!B:B,Implementos!C:C,"",0,1))=SUMIF(A:A,XLOOKUP(A$2,Implementos!B:B,Implementos!C:C,"",0,1),D:D),"",XLOOKUP(A$2,Implementos!B:B,Implementos!C:C,"",0,1)),A$2)</f>
        <v/>
      </c>
      <c r="M471" s="4" t="str">
        <f t="shared" si="2"/>
        <v/>
      </c>
      <c r="N471" s="4" t="str">
        <f t="shared" si="3"/>
        <v/>
      </c>
      <c r="O471" s="4" t="str">
        <f t="shared" si="4"/>
        <v/>
      </c>
      <c r="P471" s="4" t="str">
        <f t="shared" si="5"/>
        <v/>
      </c>
      <c r="Q471" s="4" t="str">
        <f>IF(U471="","",SUMIF(Productos!E:E,U471,Productos!A:A))</f>
        <v/>
      </c>
      <c r="R471" s="4" t="str">
        <f t="array" ref="R471">IF(L471="","", max(1,SUMIF(I:I,XLOOKUP(U471,Productos!E:E,Productos!G:G,"",0,1),J:J)))</f>
        <v/>
      </c>
      <c r="S471" s="4" t="str">
        <f>IF(Q471="","",IF(SUMIFS(Compat_Vetado!D:D,Compat_Vetado!B:B,SUM(G:G),Compat_Vetado!C:C,Q471)=1,"SI",IF(OR(SUMIF(Cotizador!E:E,Q471,Cotizador!G:G)&gt;0,SUMIFS(Compat_Vetado!D:D,Compat_Vetado!B:B,SUM(G:G),Compat_Vetado!C:C,Q471)=-1),"NO","")))</f>
        <v/>
      </c>
      <c r="T471" s="4" t="str">
        <f t="shared" si="6"/>
        <v/>
      </c>
      <c r="U471" s="4" t="str">
        <f>IFERROR(__xludf.DUMMYFUNCTION("IF(P471="""","""",IFERROR(INDEX(filter(Productos!E:E,Productos!F:F=L471,Productos!H:H=N471),P471),IF(M471=SUM(D:D),""Finalizar"",""-"")))"),"")</f>
        <v/>
      </c>
      <c r="V471" s="4" t="str">
        <f>IFERROR(__xludf.DUMMYFUNCTION("IF(OR($U471="""",COUNTIF($I:$I,IFERROR(unique(filter(Prod_Prop!$H:$H,Prod_Prop!$G:$G=$U471,Prod_Prop!$E:$E=V$1)),""Check""))=0),"""",IFERROR(unique(filter(Prod_Prop!$H:$H,Prod_Prop!$G:$G=$U471,Prod_Prop!$E:$E=V$1)),""""))"),"")</f>
        <v/>
      </c>
      <c r="W471" s="4" t="str">
        <f>IF(V471="","",SUMIFS(Prod_Prop!$J:$J,Prod_Prop!$B:$B,$Q471,Prod_Prop!$H:$H,V471,Prod_Prop!$I:$I,W$1)*IF(V471="Peso",$R471,1))</f>
        <v/>
      </c>
      <c r="X471" s="4" t="str">
        <f>IF(V471="","",SUMIFS(Prod_Prop!$J:$J,Prod_Prop!$B:$B,$Q471,Prod_Prop!$H:$H,V471,Prod_Prop!$I:$I,X$1)*IF(V471="Peso",$R471,1))</f>
        <v/>
      </c>
      <c r="Y471" s="4" t="str">
        <f>IFERROR(__xludf.DUMMYFUNCTION("IF(OR($U471="""",COUNTIF($I:$I,IFERROR(unique(filter(Prod_Prop!$H:$H,Prod_Prop!$G:$G=$U471,Prod_Prop!$E:$E=Y$1)),""Check""))=0),"""",IFERROR(unique(filter(Prod_Prop!$H:$H,Prod_Prop!$G:$G=$U471,Prod_Prop!$E:$E=Y$1)),""""))"),"")</f>
        <v/>
      </c>
      <c r="Z471" s="4" t="str">
        <f>IF(Y471="","",SUMIFS(Prod_Prop!$J:$J,Prod_Prop!$B:$B,$Q471,Prod_Prop!$H:$H,Y471,Prod_Prop!$I:$I,Z$1)*IF(Y471="Peso",$R471,1))</f>
        <v/>
      </c>
      <c r="AA471" s="4" t="str">
        <f>IF(Y471="","",SUMIFS(Prod_Prop!$J:$J,Prod_Prop!$B:$B,$Q471,Prod_Prop!$H:$H,Y471,Prod_Prop!$I:$I,AA$1)*IF(Y471="Peso",$R471,1))</f>
        <v/>
      </c>
      <c r="AB471" s="4" t="str">
        <f>IFERROR(__xludf.DUMMYFUNCTION("IF(OR($U471="""",COUNTIF($I:$I,IFERROR(unique(filter(Prod_Prop!$H:$H,Prod_Prop!$G:$G=$U471,Prod_Prop!$E:$E=AB$1)),""Check""))=0),"""",IFERROR(unique(filter(Prod_Prop!$H:$H,Prod_Prop!$G:$G=$U471,Prod_Prop!$E:$E=AB$1)),""""))"),"")</f>
        <v/>
      </c>
      <c r="AC471" s="4" t="str">
        <f>IF(AB471="","",SUMIFS(Prod_Prop!$J:$J,Prod_Prop!$B:$B,$Q471,Prod_Prop!$H:$H,AB471,Prod_Prop!$I:$I,AC$1)*IF(AB471="Peso",$R471,1))</f>
        <v/>
      </c>
      <c r="AD471" s="4" t="str">
        <f>IF(AB471="","",SUMIFS(Prod_Prop!$J:$J,Prod_Prop!$B:$B,$Q471,Prod_Prop!$H:$H,AB471,Prod_Prop!$I:$I,AD$1)*IF(AB471="Peso",$R471,1))</f>
        <v/>
      </c>
    </row>
    <row r="472">
      <c r="A472" s="4" t="str">
        <f t="array" ref="A472">IF(COUNTIF(A$1:A471,Cotizador!F$2)=maxifs(Familias!E:E,Familias!D:D,Cotizador!F$2),IF(COUNTIF(A$1:A471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2" s="4" t="str">
        <f t="shared" si="1"/>
        <v/>
      </c>
      <c r="C472" s="4" t="str">
        <f t="array" ref="C472">IF(B472="","",IF(A472=XLOOKUP(A$2,Implementos!B:B,Implementos!C:C,"",0,1),B472+maxifs(B$1:B471,A$1:A471,A$2),B472))</f>
        <v/>
      </c>
      <c r="D472" s="4" t="str">
        <f>IF(B472="","", COUNTIFS(Productos!F:F,A472,Productos!H:H,B472)+IF(F472="SI",0,1))</f>
        <v/>
      </c>
      <c r="E472" s="4" t="str">
        <f>IFERROR(__xludf.DUMMYFUNCTION("IF($B472="""","""",INDEX(filter(Familias!F:F,Familias!$D:$D=$A472,Familias!$E:$E=$B472),1))"),"")</f>
        <v/>
      </c>
      <c r="F472" s="4" t="str">
        <f>IFERROR(__xludf.DUMMYFUNCTION("IF($B472="""","""",INDEX(filter(Familias!G:G,Familias!$D:$D=$A472,Familias!$E:$E=$B472),1))"),"")</f>
        <v/>
      </c>
      <c r="G472" s="4" t="str">
        <f t="array" ref="G472">IF(C472=1,XLOOKUP(C472,Cotizador!D:D,Cotizador!E:E,"",0,1),"")</f>
        <v/>
      </c>
      <c r="I472" s="4"/>
      <c r="J472" s="8" t="str">
        <f>IF(I472="","",SUMIF(Cotizador!I$1:V$1,I472,Cotizador!I$2:V$2))</f>
        <v/>
      </c>
      <c r="L472" s="4" t="str">
        <f t="array" ref="L472">IF(COUNTIF(L$1:L471,A$2)=SUMIF(A:A,A$2,D:D),IF(COUNTIF(L$1:L471,XLOOKUP(A$2,Implementos!B:B,Implementos!C:C,"",0,1))=SUMIF(A:A,XLOOKUP(A$2,Implementos!B:B,Implementos!C:C,"",0,1),D:D),"",XLOOKUP(A$2,Implementos!B:B,Implementos!C:C,"",0,1)),A$2)</f>
        <v/>
      </c>
      <c r="M472" s="4" t="str">
        <f t="shared" si="2"/>
        <v/>
      </c>
      <c r="N472" s="4" t="str">
        <f t="shared" si="3"/>
        <v/>
      </c>
      <c r="O472" s="4" t="str">
        <f t="shared" si="4"/>
        <v/>
      </c>
      <c r="P472" s="4" t="str">
        <f t="shared" si="5"/>
        <v/>
      </c>
      <c r="Q472" s="4" t="str">
        <f>IF(U472="","",SUMIF(Productos!E:E,U472,Productos!A:A))</f>
        <v/>
      </c>
      <c r="R472" s="4" t="str">
        <f t="array" ref="R472">IF(L472="","", max(1,SUMIF(I:I,XLOOKUP(U472,Productos!E:E,Productos!G:G,"",0,1),J:J)))</f>
        <v/>
      </c>
      <c r="S472" s="4" t="str">
        <f>IF(Q472="","",IF(SUMIFS(Compat_Vetado!D:D,Compat_Vetado!B:B,SUM(G:G),Compat_Vetado!C:C,Q472)=1,"SI",IF(OR(SUMIF(Cotizador!E:E,Q472,Cotizador!G:G)&gt;0,SUMIFS(Compat_Vetado!D:D,Compat_Vetado!B:B,SUM(G:G),Compat_Vetado!C:C,Q472)=-1),"NO","")))</f>
        <v/>
      </c>
      <c r="T472" s="4" t="str">
        <f t="shared" si="6"/>
        <v/>
      </c>
      <c r="U472" s="4" t="str">
        <f>IFERROR(__xludf.DUMMYFUNCTION("IF(P472="""","""",IFERROR(INDEX(filter(Productos!E:E,Productos!F:F=L472,Productos!H:H=N472),P472),IF(M472=SUM(D:D),""Finalizar"",""-"")))"),"")</f>
        <v/>
      </c>
      <c r="V472" s="4" t="str">
        <f>IFERROR(__xludf.DUMMYFUNCTION("IF(OR($U472="""",COUNTIF($I:$I,IFERROR(unique(filter(Prod_Prop!$H:$H,Prod_Prop!$G:$G=$U472,Prod_Prop!$E:$E=V$1)),""Check""))=0),"""",IFERROR(unique(filter(Prod_Prop!$H:$H,Prod_Prop!$G:$G=$U472,Prod_Prop!$E:$E=V$1)),""""))"),"")</f>
        <v/>
      </c>
      <c r="W472" s="4" t="str">
        <f>IF(V472="","",SUMIFS(Prod_Prop!$J:$J,Prod_Prop!$B:$B,$Q472,Prod_Prop!$H:$H,V472,Prod_Prop!$I:$I,W$1)*IF(V472="Peso",$R472,1))</f>
        <v/>
      </c>
      <c r="X472" s="4" t="str">
        <f>IF(V472="","",SUMIFS(Prod_Prop!$J:$J,Prod_Prop!$B:$B,$Q472,Prod_Prop!$H:$H,V472,Prod_Prop!$I:$I,X$1)*IF(V472="Peso",$R472,1))</f>
        <v/>
      </c>
      <c r="Y472" s="4" t="str">
        <f>IFERROR(__xludf.DUMMYFUNCTION("IF(OR($U472="""",COUNTIF($I:$I,IFERROR(unique(filter(Prod_Prop!$H:$H,Prod_Prop!$G:$G=$U472,Prod_Prop!$E:$E=Y$1)),""Check""))=0),"""",IFERROR(unique(filter(Prod_Prop!$H:$H,Prod_Prop!$G:$G=$U472,Prod_Prop!$E:$E=Y$1)),""""))"),"")</f>
        <v/>
      </c>
      <c r="Z472" s="4" t="str">
        <f>IF(Y472="","",SUMIFS(Prod_Prop!$J:$J,Prod_Prop!$B:$B,$Q472,Prod_Prop!$H:$H,Y472,Prod_Prop!$I:$I,Z$1)*IF(Y472="Peso",$R472,1))</f>
        <v/>
      </c>
      <c r="AA472" s="4" t="str">
        <f>IF(Y472="","",SUMIFS(Prod_Prop!$J:$J,Prod_Prop!$B:$B,$Q472,Prod_Prop!$H:$H,Y472,Prod_Prop!$I:$I,AA$1)*IF(Y472="Peso",$R472,1))</f>
        <v/>
      </c>
      <c r="AB472" s="4" t="str">
        <f>IFERROR(__xludf.DUMMYFUNCTION("IF(OR($U472="""",COUNTIF($I:$I,IFERROR(unique(filter(Prod_Prop!$H:$H,Prod_Prop!$G:$G=$U472,Prod_Prop!$E:$E=AB$1)),""Check""))=0),"""",IFERROR(unique(filter(Prod_Prop!$H:$H,Prod_Prop!$G:$G=$U472,Prod_Prop!$E:$E=AB$1)),""""))"),"")</f>
        <v/>
      </c>
      <c r="AC472" s="4" t="str">
        <f>IF(AB472="","",SUMIFS(Prod_Prop!$J:$J,Prod_Prop!$B:$B,$Q472,Prod_Prop!$H:$H,AB472,Prod_Prop!$I:$I,AC$1)*IF(AB472="Peso",$R472,1))</f>
        <v/>
      </c>
      <c r="AD472" s="4" t="str">
        <f>IF(AB472="","",SUMIFS(Prod_Prop!$J:$J,Prod_Prop!$B:$B,$Q472,Prod_Prop!$H:$H,AB472,Prod_Prop!$I:$I,AD$1)*IF(AB472="Peso",$R472,1))</f>
        <v/>
      </c>
    </row>
    <row r="473">
      <c r="A473" s="4" t="str">
        <f t="array" ref="A473">IF(COUNTIF(A$1:A472,Cotizador!F$2)=maxifs(Familias!E:E,Familias!D:D,Cotizador!F$2),IF(COUNTIF(A$1:A472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3" s="4" t="str">
        <f t="shared" si="1"/>
        <v/>
      </c>
      <c r="C473" s="4" t="str">
        <f t="array" ref="C473">IF(B473="","",IF(A473=XLOOKUP(A$2,Implementos!B:B,Implementos!C:C,"",0,1),B473+maxifs(B$1:B472,A$1:A472,A$2),B473))</f>
        <v/>
      </c>
      <c r="D473" s="4" t="str">
        <f>IF(B473="","", COUNTIFS(Productos!F:F,A473,Productos!H:H,B473)+IF(F473="SI",0,1))</f>
        <v/>
      </c>
      <c r="E473" s="4" t="str">
        <f>IFERROR(__xludf.DUMMYFUNCTION("IF($B473="""","""",INDEX(filter(Familias!F:F,Familias!$D:$D=$A473,Familias!$E:$E=$B473),1))"),"")</f>
        <v/>
      </c>
      <c r="F473" s="4" t="str">
        <f>IFERROR(__xludf.DUMMYFUNCTION("IF($B473="""","""",INDEX(filter(Familias!G:G,Familias!$D:$D=$A473,Familias!$E:$E=$B473),1))"),"")</f>
        <v/>
      </c>
      <c r="G473" s="4" t="str">
        <f t="array" ref="G473">IF(C473=1,XLOOKUP(C473,Cotizador!D:D,Cotizador!E:E,"",0,1),"")</f>
        <v/>
      </c>
      <c r="I473" s="4"/>
      <c r="J473" s="8" t="str">
        <f>IF(I473="","",SUMIF(Cotizador!I$1:V$1,I473,Cotizador!I$2:V$2))</f>
        <v/>
      </c>
      <c r="L473" s="4" t="str">
        <f t="array" ref="L473">IF(COUNTIF(L$1:L472,A$2)=SUMIF(A:A,A$2,D:D),IF(COUNTIF(L$1:L472,XLOOKUP(A$2,Implementos!B:B,Implementos!C:C,"",0,1))=SUMIF(A:A,XLOOKUP(A$2,Implementos!B:B,Implementos!C:C,"",0,1),D:D),"",XLOOKUP(A$2,Implementos!B:B,Implementos!C:C,"",0,1)),A$2)</f>
        <v/>
      </c>
      <c r="M473" s="4" t="str">
        <f t="shared" si="2"/>
        <v/>
      </c>
      <c r="N473" s="4" t="str">
        <f t="shared" si="3"/>
        <v/>
      </c>
      <c r="O473" s="4" t="str">
        <f t="shared" si="4"/>
        <v/>
      </c>
      <c r="P473" s="4" t="str">
        <f t="shared" si="5"/>
        <v/>
      </c>
      <c r="Q473" s="4" t="str">
        <f>IF(U473="","",SUMIF(Productos!E:E,U473,Productos!A:A))</f>
        <v/>
      </c>
      <c r="R473" s="4" t="str">
        <f t="array" ref="R473">IF(L473="","", max(1,SUMIF(I:I,XLOOKUP(U473,Productos!E:E,Productos!G:G,"",0,1),J:J)))</f>
        <v/>
      </c>
      <c r="S473" s="4" t="str">
        <f>IF(Q473="","",IF(SUMIFS(Compat_Vetado!D:D,Compat_Vetado!B:B,SUM(G:G),Compat_Vetado!C:C,Q473)=1,"SI",IF(OR(SUMIF(Cotizador!E:E,Q473,Cotizador!G:G)&gt;0,SUMIFS(Compat_Vetado!D:D,Compat_Vetado!B:B,SUM(G:G),Compat_Vetado!C:C,Q473)=-1),"NO","")))</f>
        <v/>
      </c>
      <c r="T473" s="4" t="str">
        <f t="shared" si="6"/>
        <v/>
      </c>
      <c r="U473" s="4" t="str">
        <f>IFERROR(__xludf.DUMMYFUNCTION("IF(P473="""","""",IFERROR(INDEX(filter(Productos!E:E,Productos!F:F=L473,Productos!H:H=N473),P473),IF(M473=SUM(D:D),""Finalizar"",""-"")))"),"")</f>
        <v/>
      </c>
      <c r="V473" s="4" t="str">
        <f>IFERROR(__xludf.DUMMYFUNCTION("IF(OR($U473="""",COUNTIF($I:$I,IFERROR(unique(filter(Prod_Prop!$H:$H,Prod_Prop!$G:$G=$U473,Prod_Prop!$E:$E=V$1)),""Check""))=0),"""",IFERROR(unique(filter(Prod_Prop!$H:$H,Prod_Prop!$G:$G=$U473,Prod_Prop!$E:$E=V$1)),""""))"),"")</f>
        <v/>
      </c>
      <c r="W473" s="4" t="str">
        <f>IF(V473="","",SUMIFS(Prod_Prop!$J:$J,Prod_Prop!$B:$B,$Q473,Prod_Prop!$H:$H,V473,Prod_Prop!$I:$I,W$1)*IF(V473="Peso",$R473,1))</f>
        <v/>
      </c>
      <c r="X473" s="4" t="str">
        <f>IF(V473="","",SUMIFS(Prod_Prop!$J:$J,Prod_Prop!$B:$B,$Q473,Prod_Prop!$H:$H,V473,Prod_Prop!$I:$I,X$1)*IF(V473="Peso",$R473,1))</f>
        <v/>
      </c>
      <c r="Y473" s="4" t="str">
        <f>IFERROR(__xludf.DUMMYFUNCTION("IF(OR($U473="""",COUNTIF($I:$I,IFERROR(unique(filter(Prod_Prop!$H:$H,Prod_Prop!$G:$G=$U473,Prod_Prop!$E:$E=Y$1)),""Check""))=0),"""",IFERROR(unique(filter(Prod_Prop!$H:$H,Prod_Prop!$G:$G=$U473,Prod_Prop!$E:$E=Y$1)),""""))"),"")</f>
        <v/>
      </c>
      <c r="Z473" s="4" t="str">
        <f>IF(Y473="","",SUMIFS(Prod_Prop!$J:$J,Prod_Prop!$B:$B,$Q473,Prod_Prop!$H:$H,Y473,Prod_Prop!$I:$I,Z$1)*IF(Y473="Peso",$R473,1))</f>
        <v/>
      </c>
      <c r="AA473" s="4" t="str">
        <f>IF(Y473="","",SUMIFS(Prod_Prop!$J:$J,Prod_Prop!$B:$B,$Q473,Prod_Prop!$H:$H,Y473,Prod_Prop!$I:$I,AA$1)*IF(Y473="Peso",$R473,1))</f>
        <v/>
      </c>
      <c r="AB473" s="4" t="str">
        <f>IFERROR(__xludf.DUMMYFUNCTION("IF(OR($U473="""",COUNTIF($I:$I,IFERROR(unique(filter(Prod_Prop!$H:$H,Prod_Prop!$G:$G=$U473,Prod_Prop!$E:$E=AB$1)),""Check""))=0),"""",IFERROR(unique(filter(Prod_Prop!$H:$H,Prod_Prop!$G:$G=$U473,Prod_Prop!$E:$E=AB$1)),""""))"),"")</f>
        <v/>
      </c>
      <c r="AC473" s="4" t="str">
        <f>IF(AB473="","",SUMIFS(Prod_Prop!$J:$J,Prod_Prop!$B:$B,$Q473,Prod_Prop!$H:$H,AB473,Prod_Prop!$I:$I,AC$1)*IF(AB473="Peso",$R473,1))</f>
        <v/>
      </c>
      <c r="AD473" s="4" t="str">
        <f>IF(AB473="","",SUMIFS(Prod_Prop!$J:$J,Prod_Prop!$B:$B,$Q473,Prod_Prop!$H:$H,AB473,Prod_Prop!$I:$I,AD$1)*IF(AB473="Peso",$R473,1))</f>
        <v/>
      </c>
    </row>
    <row r="474">
      <c r="A474" s="4" t="str">
        <f t="array" ref="A474">IF(COUNTIF(A$1:A473,Cotizador!F$2)=maxifs(Familias!E:E,Familias!D:D,Cotizador!F$2),IF(COUNTIF(A$1:A473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4" s="4" t="str">
        <f t="shared" si="1"/>
        <v/>
      </c>
      <c r="C474" s="4" t="str">
        <f t="array" ref="C474">IF(B474="","",IF(A474=XLOOKUP(A$2,Implementos!B:B,Implementos!C:C,"",0,1),B474+maxifs(B$1:B473,A$1:A473,A$2),B474))</f>
        <v/>
      </c>
      <c r="D474" s="4" t="str">
        <f>IF(B474="","", COUNTIFS(Productos!F:F,A474,Productos!H:H,B474)+IF(F474="SI",0,1))</f>
        <v/>
      </c>
      <c r="E474" s="4" t="str">
        <f>IFERROR(__xludf.DUMMYFUNCTION("IF($B474="""","""",INDEX(filter(Familias!F:F,Familias!$D:$D=$A474,Familias!$E:$E=$B474),1))"),"")</f>
        <v/>
      </c>
      <c r="F474" s="4" t="str">
        <f>IFERROR(__xludf.DUMMYFUNCTION("IF($B474="""","""",INDEX(filter(Familias!G:G,Familias!$D:$D=$A474,Familias!$E:$E=$B474),1))"),"")</f>
        <v/>
      </c>
      <c r="G474" s="4" t="str">
        <f t="array" ref="G474">IF(C474=1,XLOOKUP(C474,Cotizador!D:D,Cotizador!E:E,"",0,1),"")</f>
        <v/>
      </c>
      <c r="I474" s="4"/>
      <c r="J474" s="8" t="str">
        <f>IF(I474="","",SUMIF(Cotizador!I$1:V$1,I474,Cotizador!I$2:V$2))</f>
        <v/>
      </c>
      <c r="L474" s="4" t="str">
        <f t="array" ref="L474">IF(COUNTIF(L$1:L473,A$2)=SUMIF(A:A,A$2,D:D),IF(COUNTIF(L$1:L473,XLOOKUP(A$2,Implementos!B:B,Implementos!C:C,"",0,1))=SUMIF(A:A,XLOOKUP(A$2,Implementos!B:B,Implementos!C:C,"",0,1),D:D),"",XLOOKUP(A$2,Implementos!B:B,Implementos!C:C,"",0,1)),A$2)</f>
        <v/>
      </c>
      <c r="M474" s="4" t="str">
        <f t="shared" si="2"/>
        <v/>
      </c>
      <c r="N474" s="4" t="str">
        <f t="shared" si="3"/>
        <v/>
      </c>
      <c r="O474" s="4" t="str">
        <f t="shared" si="4"/>
        <v/>
      </c>
      <c r="P474" s="4" t="str">
        <f t="shared" si="5"/>
        <v/>
      </c>
      <c r="Q474" s="4" t="str">
        <f>IF(U474="","",SUMIF(Productos!E:E,U474,Productos!A:A))</f>
        <v/>
      </c>
      <c r="R474" s="4" t="str">
        <f t="array" ref="R474">IF(L474="","", max(1,SUMIF(I:I,XLOOKUP(U474,Productos!E:E,Productos!G:G,"",0,1),J:J)))</f>
        <v/>
      </c>
      <c r="S474" s="4" t="str">
        <f>IF(Q474="","",IF(SUMIFS(Compat_Vetado!D:D,Compat_Vetado!B:B,SUM(G:G),Compat_Vetado!C:C,Q474)=1,"SI",IF(OR(SUMIF(Cotizador!E:E,Q474,Cotizador!G:G)&gt;0,SUMIFS(Compat_Vetado!D:D,Compat_Vetado!B:B,SUM(G:G),Compat_Vetado!C:C,Q474)=-1),"NO","")))</f>
        <v/>
      </c>
      <c r="T474" s="4" t="str">
        <f t="shared" si="6"/>
        <v/>
      </c>
      <c r="U474" s="4" t="str">
        <f>IFERROR(__xludf.DUMMYFUNCTION("IF(P474="""","""",IFERROR(INDEX(filter(Productos!E:E,Productos!F:F=L474,Productos!H:H=N474),P474),IF(M474=SUM(D:D),""Finalizar"",""-"")))"),"")</f>
        <v/>
      </c>
      <c r="V474" s="4" t="str">
        <f>IFERROR(__xludf.DUMMYFUNCTION("IF(OR($U474="""",COUNTIF($I:$I,IFERROR(unique(filter(Prod_Prop!$H:$H,Prod_Prop!$G:$G=$U474,Prod_Prop!$E:$E=V$1)),""Check""))=0),"""",IFERROR(unique(filter(Prod_Prop!$H:$H,Prod_Prop!$G:$G=$U474,Prod_Prop!$E:$E=V$1)),""""))"),"")</f>
        <v/>
      </c>
      <c r="W474" s="4" t="str">
        <f>IF(V474="","",SUMIFS(Prod_Prop!$J:$J,Prod_Prop!$B:$B,$Q474,Prod_Prop!$H:$H,V474,Prod_Prop!$I:$I,W$1)*IF(V474="Peso",$R474,1))</f>
        <v/>
      </c>
      <c r="X474" s="4" t="str">
        <f>IF(V474="","",SUMIFS(Prod_Prop!$J:$J,Prod_Prop!$B:$B,$Q474,Prod_Prop!$H:$H,V474,Prod_Prop!$I:$I,X$1)*IF(V474="Peso",$R474,1))</f>
        <v/>
      </c>
      <c r="Y474" s="4" t="str">
        <f>IFERROR(__xludf.DUMMYFUNCTION("IF(OR($U474="""",COUNTIF($I:$I,IFERROR(unique(filter(Prod_Prop!$H:$H,Prod_Prop!$G:$G=$U474,Prod_Prop!$E:$E=Y$1)),""Check""))=0),"""",IFERROR(unique(filter(Prod_Prop!$H:$H,Prod_Prop!$G:$G=$U474,Prod_Prop!$E:$E=Y$1)),""""))"),"")</f>
        <v/>
      </c>
      <c r="Z474" s="4" t="str">
        <f>IF(Y474="","",SUMIFS(Prod_Prop!$J:$J,Prod_Prop!$B:$B,$Q474,Prod_Prop!$H:$H,Y474,Prod_Prop!$I:$I,Z$1)*IF(Y474="Peso",$R474,1))</f>
        <v/>
      </c>
      <c r="AA474" s="4" t="str">
        <f>IF(Y474="","",SUMIFS(Prod_Prop!$J:$J,Prod_Prop!$B:$B,$Q474,Prod_Prop!$H:$H,Y474,Prod_Prop!$I:$I,AA$1)*IF(Y474="Peso",$R474,1))</f>
        <v/>
      </c>
      <c r="AB474" s="4" t="str">
        <f>IFERROR(__xludf.DUMMYFUNCTION("IF(OR($U474="""",COUNTIF($I:$I,IFERROR(unique(filter(Prod_Prop!$H:$H,Prod_Prop!$G:$G=$U474,Prod_Prop!$E:$E=AB$1)),""Check""))=0),"""",IFERROR(unique(filter(Prod_Prop!$H:$H,Prod_Prop!$G:$G=$U474,Prod_Prop!$E:$E=AB$1)),""""))"),"")</f>
        <v/>
      </c>
      <c r="AC474" s="4" t="str">
        <f>IF(AB474="","",SUMIFS(Prod_Prop!$J:$J,Prod_Prop!$B:$B,$Q474,Prod_Prop!$H:$H,AB474,Prod_Prop!$I:$I,AC$1)*IF(AB474="Peso",$R474,1))</f>
        <v/>
      </c>
      <c r="AD474" s="4" t="str">
        <f>IF(AB474="","",SUMIFS(Prod_Prop!$J:$J,Prod_Prop!$B:$B,$Q474,Prod_Prop!$H:$H,AB474,Prod_Prop!$I:$I,AD$1)*IF(AB474="Peso",$R474,1))</f>
        <v/>
      </c>
    </row>
    <row r="475">
      <c r="A475" s="4" t="str">
        <f t="array" ref="A475">IF(COUNTIF(A$1:A474,Cotizador!F$2)=maxifs(Familias!E:E,Familias!D:D,Cotizador!F$2),IF(COUNTIF(A$1:A474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5" s="4" t="str">
        <f t="shared" si="1"/>
        <v/>
      </c>
      <c r="C475" s="4" t="str">
        <f t="array" ref="C475">IF(B475="","",IF(A475=XLOOKUP(A$2,Implementos!B:B,Implementos!C:C,"",0,1),B475+maxifs(B$1:B474,A$1:A474,A$2),B475))</f>
        <v/>
      </c>
      <c r="D475" s="4" t="str">
        <f>IF(B475="","", COUNTIFS(Productos!F:F,A475,Productos!H:H,B475)+IF(F475="SI",0,1))</f>
        <v/>
      </c>
      <c r="E475" s="4" t="str">
        <f>IFERROR(__xludf.DUMMYFUNCTION("IF($B475="""","""",INDEX(filter(Familias!F:F,Familias!$D:$D=$A475,Familias!$E:$E=$B475),1))"),"")</f>
        <v/>
      </c>
      <c r="F475" s="4" t="str">
        <f>IFERROR(__xludf.DUMMYFUNCTION("IF($B475="""","""",INDEX(filter(Familias!G:G,Familias!$D:$D=$A475,Familias!$E:$E=$B475),1))"),"")</f>
        <v/>
      </c>
      <c r="G475" s="4" t="str">
        <f t="array" ref="G475">IF(C475=1,XLOOKUP(C475,Cotizador!D:D,Cotizador!E:E,"",0,1),"")</f>
        <v/>
      </c>
      <c r="I475" s="4"/>
      <c r="J475" s="8" t="str">
        <f>IF(I475="","",SUMIF(Cotizador!I$1:V$1,I475,Cotizador!I$2:V$2))</f>
        <v/>
      </c>
      <c r="L475" s="4" t="str">
        <f t="array" ref="L475">IF(COUNTIF(L$1:L474,A$2)=SUMIF(A:A,A$2,D:D),IF(COUNTIF(L$1:L474,XLOOKUP(A$2,Implementos!B:B,Implementos!C:C,"",0,1))=SUMIF(A:A,XLOOKUP(A$2,Implementos!B:B,Implementos!C:C,"",0,1),D:D),"",XLOOKUP(A$2,Implementos!B:B,Implementos!C:C,"",0,1)),A$2)</f>
        <v/>
      </c>
      <c r="M475" s="4" t="str">
        <f t="shared" si="2"/>
        <v/>
      </c>
      <c r="N475" s="4" t="str">
        <f t="shared" si="3"/>
        <v/>
      </c>
      <c r="O475" s="4" t="str">
        <f t="shared" si="4"/>
        <v/>
      </c>
      <c r="P475" s="4" t="str">
        <f t="shared" si="5"/>
        <v/>
      </c>
      <c r="Q475" s="4" t="str">
        <f>IF(U475="","",SUMIF(Productos!E:E,U475,Productos!A:A))</f>
        <v/>
      </c>
      <c r="R475" s="4" t="str">
        <f t="array" ref="R475">IF(L475="","", max(1,SUMIF(I:I,XLOOKUP(U475,Productos!E:E,Productos!G:G,"",0,1),J:J)))</f>
        <v/>
      </c>
      <c r="S475" s="4" t="str">
        <f>IF(Q475="","",IF(SUMIFS(Compat_Vetado!D:D,Compat_Vetado!B:B,SUM(G:G),Compat_Vetado!C:C,Q475)=1,"SI",IF(OR(SUMIF(Cotizador!E:E,Q475,Cotizador!G:G)&gt;0,SUMIFS(Compat_Vetado!D:D,Compat_Vetado!B:B,SUM(G:G),Compat_Vetado!C:C,Q475)=-1),"NO","")))</f>
        <v/>
      </c>
      <c r="T475" s="4" t="str">
        <f t="shared" si="6"/>
        <v/>
      </c>
      <c r="U475" s="4" t="str">
        <f>IFERROR(__xludf.DUMMYFUNCTION("IF(P475="""","""",IFERROR(INDEX(filter(Productos!E:E,Productos!F:F=L475,Productos!H:H=N475),P475),IF(M475=SUM(D:D),""Finalizar"",""-"")))"),"")</f>
        <v/>
      </c>
      <c r="V475" s="4" t="str">
        <f>IFERROR(__xludf.DUMMYFUNCTION("IF(OR($U475="""",COUNTIF($I:$I,IFERROR(unique(filter(Prod_Prop!$H:$H,Prod_Prop!$G:$G=$U475,Prod_Prop!$E:$E=V$1)),""Check""))=0),"""",IFERROR(unique(filter(Prod_Prop!$H:$H,Prod_Prop!$G:$G=$U475,Prod_Prop!$E:$E=V$1)),""""))"),"")</f>
        <v/>
      </c>
      <c r="W475" s="4" t="str">
        <f>IF(V475="","",SUMIFS(Prod_Prop!$J:$J,Prod_Prop!$B:$B,$Q475,Prod_Prop!$H:$H,V475,Prod_Prop!$I:$I,W$1)*IF(V475="Peso",$R475,1))</f>
        <v/>
      </c>
      <c r="X475" s="4" t="str">
        <f>IF(V475="","",SUMIFS(Prod_Prop!$J:$J,Prod_Prop!$B:$B,$Q475,Prod_Prop!$H:$H,V475,Prod_Prop!$I:$I,X$1)*IF(V475="Peso",$R475,1))</f>
        <v/>
      </c>
      <c r="Y475" s="4" t="str">
        <f>IFERROR(__xludf.DUMMYFUNCTION("IF(OR($U475="""",COUNTIF($I:$I,IFERROR(unique(filter(Prod_Prop!$H:$H,Prod_Prop!$G:$G=$U475,Prod_Prop!$E:$E=Y$1)),""Check""))=0),"""",IFERROR(unique(filter(Prod_Prop!$H:$H,Prod_Prop!$G:$G=$U475,Prod_Prop!$E:$E=Y$1)),""""))"),"")</f>
        <v/>
      </c>
      <c r="Z475" s="4" t="str">
        <f>IF(Y475="","",SUMIFS(Prod_Prop!$J:$J,Prod_Prop!$B:$B,$Q475,Prod_Prop!$H:$H,Y475,Prod_Prop!$I:$I,Z$1)*IF(Y475="Peso",$R475,1))</f>
        <v/>
      </c>
      <c r="AA475" s="4" t="str">
        <f>IF(Y475="","",SUMIFS(Prod_Prop!$J:$J,Prod_Prop!$B:$B,$Q475,Prod_Prop!$H:$H,Y475,Prod_Prop!$I:$I,AA$1)*IF(Y475="Peso",$R475,1))</f>
        <v/>
      </c>
      <c r="AB475" s="4" t="str">
        <f>IFERROR(__xludf.DUMMYFUNCTION("IF(OR($U475="""",COUNTIF($I:$I,IFERROR(unique(filter(Prod_Prop!$H:$H,Prod_Prop!$G:$G=$U475,Prod_Prop!$E:$E=AB$1)),""Check""))=0),"""",IFERROR(unique(filter(Prod_Prop!$H:$H,Prod_Prop!$G:$G=$U475,Prod_Prop!$E:$E=AB$1)),""""))"),"")</f>
        <v/>
      </c>
      <c r="AC475" s="4" t="str">
        <f>IF(AB475="","",SUMIFS(Prod_Prop!$J:$J,Prod_Prop!$B:$B,$Q475,Prod_Prop!$H:$H,AB475,Prod_Prop!$I:$I,AC$1)*IF(AB475="Peso",$R475,1))</f>
        <v/>
      </c>
      <c r="AD475" s="4" t="str">
        <f>IF(AB475="","",SUMIFS(Prod_Prop!$J:$J,Prod_Prop!$B:$B,$Q475,Prod_Prop!$H:$H,AB475,Prod_Prop!$I:$I,AD$1)*IF(AB475="Peso",$R475,1))</f>
        <v/>
      </c>
    </row>
    <row r="476">
      <c r="A476" s="4" t="str">
        <f t="array" ref="A476">IF(COUNTIF(A$1:A475,Cotizador!F$2)=maxifs(Familias!E:E,Familias!D:D,Cotizador!F$2),IF(COUNTIF(A$1:A475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6" s="4" t="str">
        <f t="shared" si="1"/>
        <v/>
      </c>
      <c r="C476" s="4" t="str">
        <f t="array" ref="C476">IF(B476="","",IF(A476=XLOOKUP(A$2,Implementos!B:B,Implementos!C:C,"",0,1),B476+maxifs(B$1:B475,A$1:A475,A$2),B476))</f>
        <v/>
      </c>
      <c r="D476" s="4" t="str">
        <f>IF(B476="","", COUNTIFS(Productos!F:F,A476,Productos!H:H,B476)+IF(F476="SI",0,1))</f>
        <v/>
      </c>
      <c r="E476" s="4" t="str">
        <f>IFERROR(__xludf.DUMMYFUNCTION("IF($B476="""","""",INDEX(filter(Familias!F:F,Familias!$D:$D=$A476,Familias!$E:$E=$B476),1))"),"")</f>
        <v/>
      </c>
      <c r="F476" s="4" t="str">
        <f>IFERROR(__xludf.DUMMYFUNCTION("IF($B476="""","""",INDEX(filter(Familias!G:G,Familias!$D:$D=$A476,Familias!$E:$E=$B476),1))"),"")</f>
        <v/>
      </c>
      <c r="G476" s="4" t="str">
        <f t="array" ref="G476">IF(C476=1,XLOOKUP(C476,Cotizador!D:D,Cotizador!E:E,"",0,1),"")</f>
        <v/>
      </c>
      <c r="I476" s="4"/>
      <c r="J476" s="8" t="str">
        <f>IF(I476="","",SUMIF(Cotizador!I$1:V$1,I476,Cotizador!I$2:V$2))</f>
        <v/>
      </c>
      <c r="L476" s="4" t="str">
        <f t="array" ref="L476">IF(COUNTIF(L$1:L475,A$2)=SUMIF(A:A,A$2,D:D),IF(COUNTIF(L$1:L475,XLOOKUP(A$2,Implementos!B:B,Implementos!C:C,"",0,1))=SUMIF(A:A,XLOOKUP(A$2,Implementos!B:B,Implementos!C:C,"",0,1),D:D),"",XLOOKUP(A$2,Implementos!B:B,Implementos!C:C,"",0,1)),A$2)</f>
        <v/>
      </c>
      <c r="M476" s="4" t="str">
        <f t="shared" si="2"/>
        <v/>
      </c>
      <c r="N476" s="4" t="str">
        <f t="shared" si="3"/>
        <v/>
      </c>
      <c r="O476" s="4" t="str">
        <f t="shared" si="4"/>
        <v/>
      </c>
      <c r="P476" s="4" t="str">
        <f t="shared" si="5"/>
        <v/>
      </c>
      <c r="Q476" s="4" t="str">
        <f>IF(U476="","",SUMIF(Productos!E:E,U476,Productos!A:A))</f>
        <v/>
      </c>
      <c r="R476" s="4" t="str">
        <f t="array" ref="R476">IF(L476="","", max(1,SUMIF(I:I,XLOOKUP(U476,Productos!E:E,Productos!G:G,"",0,1),J:J)))</f>
        <v/>
      </c>
      <c r="S476" s="4" t="str">
        <f>IF(Q476="","",IF(SUMIFS(Compat_Vetado!D:D,Compat_Vetado!B:B,SUM(G:G),Compat_Vetado!C:C,Q476)=1,"SI",IF(OR(SUMIF(Cotizador!E:E,Q476,Cotizador!G:G)&gt;0,SUMIFS(Compat_Vetado!D:D,Compat_Vetado!B:B,SUM(G:G),Compat_Vetado!C:C,Q476)=-1),"NO","")))</f>
        <v/>
      </c>
      <c r="T476" s="4" t="str">
        <f t="shared" si="6"/>
        <v/>
      </c>
      <c r="U476" s="4" t="str">
        <f>IFERROR(__xludf.DUMMYFUNCTION("IF(P476="""","""",IFERROR(INDEX(filter(Productos!E:E,Productos!F:F=L476,Productos!H:H=N476),P476),IF(M476=SUM(D:D),""Finalizar"",""-"")))"),"")</f>
        <v/>
      </c>
      <c r="V476" s="4" t="str">
        <f>IFERROR(__xludf.DUMMYFUNCTION("IF(OR($U476="""",COUNTIF($I:$I,IFERROR(unique(filter(Prod_Prop!$H:$H,Prod_Prop!$G:$G=$U476,Prod_Prop!$E:$E=V$1)),""Check""))=0),"""",IFERROR(unique(filter(Prod_Prop!$H:$H,Prod_Prop!$G:$G=$U476,Prod_Prop!$E:$E=V$1)),""""))"),"")</f>
        <v/>
      </c>
      <c r="W476" s="4" t="str">
        <f>IF(V476="","",SUMIFS(Prod_Prop!$J:$J,Prod_Prop!$B:$B,$Q476,Prod_Prop!$H:$H,V476,Prod_Prop!$I:$I,W$1)*IF(V476="Peso",$R476,1))</f>
        <v/>
      </c>
      <c r="X476" s="4" t="str">
        <f>IF(V476="","",SUMIFS(Prod_Prop!$J:$J,Prod_Prop!$B:$B,$Q476,Prod_Prop!$H:$H,V476,Prod_Prop!$I:$I,X$1)*IF(V476="Peso",$R476,1))</f>
        <v/>
      </c>
      <c r="Y476" s="4" t="str">
        <f>IFERROR(__xludf.DUMMYFUNCTION("IF(OR($U476="""",COUNTIF($I:$I,IFERROR(unique(filter(Prod_Prop!$H:$H,Prod_Prop!$G:$G=$U476,Prod_Prop!$E:$E=Y$1)),""Check""))=0),"""",IFERROR(unique(filter(Prod_Prop!$H:$H,Prod_Prop!$G:$G=$U476,Prod_Prop!$E:$E=Y$1)),""""))"),"")</f>
        <v/>
      </c>
      <c r="Z476" s="4" t="str">
        <f>IF(Y476="","",SUMIFS(Prod_Prop!$J:$J,Prod_Prop!$B:$B,$Q476,Prod_Prop!$H:$H,Y476,Prod_Prop!$I:$I,Z$1)*IF(Y476="Peso",$R476,1))</f>
        <v/>
      </c>
      <c r="AA476" s="4" t="str">
        <f>IF(Y476="","",SUMIFS(Prod_Prop!$J:$J,Prod_Prop!$B:$B,$Q476,Prod_Prop!$H:$H,Y476,Prod_Prop!$I:$I,AA$1)*IF(Y476="Peso",$R476,1))</f>
        <v/>
      </c>
      <c r="AB476" s="4" t="str">
        <f>IFERROR(__xludf.DUMMYFUNCTION("IF(OR($U476="""",COUNTIF($I:$I,IFERROR(unique(filter(Prod_Prop!$H:$H,Prod_Prop!$G:$G=$U476,Prod_Prop!$E:$E=AB$1)),""Check""))=0),"""",IFERROR(unique(filter(Prod_Prop!$H:$H,Prod_Prop!$G:$G=$U476,Prod_Prop!$E:$E=AB$1)),""""))"),"")</f>
        <v/>
      </c>
      <c r="AC476" s="4" t="str">
        <f>IF(AB476="","",SUMIFS(Prod_Prop!$J:$J,Prod_Prop!$B:$B,$Q476,Prod_Prop!$H:$H,AB476,Prod_Prop!$I:$I,AC$1)*IF(AB476="Peso",$R476,1))</f>
        <v/>
      </c>
      <c r="AD476" s="4" t="str">
        <f>IF(AB476="","",SUMIFS(Prod_Prop!$J:$J,Prod_Prop!$B:$B,$Q476,Prod_Prop!$H:$H,AB476,Prod_Prop!$I:$I,AD$1)*IF(AB476="Peso",$R476,1))</f>
        <v/>
      </c>
    </row>
    <row r="477">
      <c r="A477" s="4" t="str">
        <f t="array" ref="A477">IF(COUNTIF(A$1:A476,Cotizador!F$2)=maxifs(Familias!E:E,Familias!D:D,Cotizador!F$2),IF(COUNTIF(A$1:A476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7" s="4" t="str">
        <f t="shared" si="1"/>
        <v/>
      </c>
      <c r="C477" s="4" t="str">
        <f t="array" ref="C477">IF(B477="","",IF(A477=XLOOKUP(A$2,Implementos!B:B,Implementos!C:C,"",0,1),B477+maxifs(B$1:B476,A$1:A476,A$2),B477))</f>
        <v/>
      </c>
      <c r="D477" s="4" t="str">
        <f>IF(B477="","", COUNTIFS(Productos!F:F,A477,Productos!H:H,B477)+IF(F477="SI",0,1))</f>
        <v/>
      </c>
      <c r="E477" s="4" t="str">
        <f>IFERROR(__xludf.DUMMYFUNCTION("IF($B477="""","""",INDEX(filter(Familias!F:F,Familias!$D:$D=$A477,Familias!$E:$E=$B477),1))"),"")</f>
        <v/>
      </c>
      <c r="F477" s="4" t="str">
        <f>IFERROR(__xludf.DUMMYFUNCTION("IF($B477="""","""",INDEX(filter(Familias!G:G,Familias!$D:$D=$A477,Familias!$E:$E=$B477),1))"),"")</f>
        <v/>
      </c>
      <c r="G477" s="4" t="str">
        <f t="array" ref="G477">IF(C477=1,XLOOKUP(C477,Cotizador!D:D,Cotizador!E:E,"",0,1),"")</f>
        <v/>
      </c>
      <c r="I477" s="4"/>
      <c r="J477" s="8" t="str">
        <f>IF(I477="","",SUMIF(Cotizador!I$1:V$1,I477,Cotizador!I$2:V$2))</f>
        <v/>
      </c>
      <c r="L477" s="4" t="str">
        <f t="array" ref="L477">IF(COUNTIF(L$1:L476,A$2)=SUMIF(A:A,A$2,D:D),IF(COUNTIF(L$1:L476,XLOOKUP(A$2,Implementos!B:B,Implementos!C:C,"",0,1))=SUMIF(A:A,XLOOKUP(A$2,Implementos!B:B,Implementos!C:C,"",0,1),D:D),"",XLOOKUP(A$2,Implementos!B:B,Implementos!C:C,"",0,1)),A$2)</f>
        <v/>
      </c>
      <c r="M477" s="4" t="str">
        <f t="shared" si="2"/>
        <v/>
      </c>
      <c r="N477" s="4" t="str">
        <f t="shared" si="3"/>
        <v/>
      </c>
      <c r="O477" s="4" t="str">
        <f t="shared" si="4"/>
        <v/>
      </c>
      <c r="P477" s="4" t="str">
        <f t="shared" si="5"/>
        <v/>
      </c>
      <c r="Q477" s="4" t="str">
        <f>IF(U477="","",SUMIF(Productos!E:E,U477,Productos!A:A))</f>
        <v/>
      </c>
      <c r="R477" s="4" t="str">
        <f t="array" ref="R477">IF(L477="","", max(1,SUMIF(I:I,XLOOKUP(U477,Productos!E:E,Productos!G:G,"",0,1),J:J)))</f>
        <v/>
      </c>
      <c r="S477" s="4" t="str">
        <f>IF(Q477="","",IF(SUMIFS(Compat_Vetado!D:D,Compat_Vetado!B:B,SUM(G:G),Compat_Vetado!C:C,Q477)=1,"SI",IF(OR(SUMIF(Cotizador!E:E,Q477,Cotizador!G:G)&gt;0,SUMIFS(Compat_Vetado!D:D,Compat_Vetado!B:B,SUM(G:G),Compat_Vetado!C:C,Q477)=-1),"NO","")))</f>
        <v/>
      </c>
      <c r="T477" s="4" t="str">
        <f t="shared" si="6"/>
        <v/>
      </c>
      <c r="U477" s="4" t="str">
        <f>IFERROR(__xludf.DUMMYFUNCTION("IF(P477="""","""",IFERROR(INDEX(filter(Productos!E:E,Productos!F:F=L477,Productos!H:H=N477),P477),IF(M477=SUM(D:D),""Finalizar"",""-"")))"),"")</f>
        <v/>
      </c>
      <c r="V477" s="4" t="str">
        <f>IFERROR(__xludf.DUMMYFUNCTION("IF(OR($U477="""",COUNTIF($I:$I,IFERROR(unique(filter(Prod_Prop!$H:$H,Prod_Prop!$G:$G=$U477,Prod_Prop!$E:$E=V$1)),""Check""))=0),"""",IFERROR(unique(filter(Prod_Prop!$H:$H,Prod_Prop!$G:$G=$U477,Prod_Prop!$E:$E=V$1)),""""))"),"")</f>
        <v/>
      </c>
      <c r="W477" s="4" t="str">
        <f>IF(V477="","",SUMIFS(Prod_Prop!$J:$J,Prod_Prop!$B:$B,$Q477,Prod_Prop!$H:$H,V477,Prod_Prop!$I:$I,W$1)*IF(V477="Peso",$R477,1))</f>
        <v/>
      </c>
      <c r="X477" s="4" t="str">
        <f>IF(V477="","",SUMIFS(Prod_Prop!$J:$J,Prod_Prop!$B:$B,$Q477,Prod_Prop!$H:$H,V477,Prod_Prop!$I:$I,X$1)*IF(V477="Peso",$R477,1))</f>
        <v/>
      </c>
      <c r="Y477" s="4" t="str">
        <f>IFERROR(__xludf.DUMMYFUNCTION("IF(OR($U477="""",COUNTIF($I:$I,IFERROR(unique(filter(Prod_Prop!$H:$H,Prod_Prop!$G:$G=$U477,Prod_Prop!$E:$E=Y$1)),""Check""))=0),"""",IFERROR(unique(filter(Prod_Prop!$H:$H,Prod_Prop!$G:$G=$U477,Prod_Prop!$E:$E=Y$1)),""""))"),"")</f>
        <v/>
      </c>
      <c r="Z477" s="4" t="str">
        <f>IF(Y477="","",SUMIFS(Prod_Prop!$J:$J,Prod_Prop!$B:$B,$Q477,Prod_Prop!$H:$H,Y477,Prod_Prop!$I:$I,Z$1)*IF(Y477="Peso",$R477,1))</f>
        <v/>
      </c>
      <c r="AA477" s="4" t="str">
        <f>IF(Y477="","",SUMIFS(Prod_Prop!$J:$J,Prod_Prop!$B:$B,$Q477,Prod_Prop!$H:$H,Y477,Prod_Prop!$I:$I,AA$1)*IF(Y477="Peso",$R477,1))</f>
        <v/>
      </c>
      <c r="AB477" s="4" t="str">
        <f>IFERROR(__xludf.DUMMYFUNCTION("IF(OR($U477="""",COUNTIF($I:$I,IFERROR(unique(filter(Prod_Prop!$H:$H,Prod_Prop!$G:$G=$U477,Prod_Prop!$E:$E=AB$1)),""Check""))=0),"""",IFERROR(unique(filter(Prod_Prop!$H:$H,Prod_Prop!$G:$G=$U477,Prod_Prop!$E:$E=AB$1)),""""))"),"")</f>
        <v/>
      </c>
      <c r="AC477" s="4" t="str">
        <f>IF(AB477="","",SUMIFS(Prod_Prop!$J:$J,Prod_Prop!$B:$B,$Q477,Prod_Prop!$H:$H,AB477,Prod_Prop!$I:$I,AC$1)*IF(AB477="Peso",$R477,1))</f>
        <v/>
      </c>
      <c r="AD477" s="4" t="str">
        <f>IF(AB477="","",SUMIFS(Prod_Prop!$J:$J,Prod_Prop!$B:$B,$Q477,Prod_Prop!$H:$H,AB477,Prod_Prop!$I:$I,AD$1)*IF(AB477="Peso",$R477,1))</f>
        <v/>
      </c>
    </row>
    <row r="478">
      <c r="A478" s="4" t="str">
        <f t="array" ref="A478">IF(COUNTIF(A$1:A477,Cotizador!F$2)=maxifs(Familias!E:E,Familias!D:D,Cotizador!F$2),IF(COUNTIF(A$1:A477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8" s="4" t="str">
        <f t="shared" si="1"/>
        <v/>
      </c>
      <c r="C478" s="4" t="str">
        <f t="array" ref="C478">IF(B478="","",IF(A478=XLOOKUP(A$2,Implementos!B:B,Implementos!C:C,"",0,1),B478+maxifs(B$1:B477,A$1:A477,A$2),B478))</f>
        <v/>
      </c>
      <c r="D478" s="4" t="str">
        <f>IF(B478="","", COUNTIFS(Productos!F:F,A478,Productos!H:H,B478)+IF(F478="SI",0,1))</f>
        <v/>
      </c>
      <c r="E478" s="4" t="str">
        <f>IFERROR(__xludf.DUMMYFUNCTION("IF($B478="""","""",INDEX(filter(Familias!F:F,Familias!$D:$D=$A478,Familias!$E:$E=$B478),1))"),"")</f>
        <v/>
      </c>
      <c r="F478" s="4" t="str">
        <f>IFERROR(__xludf.DUMMYFUNCTION("IF($B478="""","""",INDEX(filter(Familias!G:G,Familias!$D:$D=$A478,Familias!$E:$E=$B478),1))"),"")</f>
        <v/>
      </c>
      <c r="G478" s="4" t="str">
        <f t="array" ref="G478">IF(C478=1,XLOOKUP(C478,Cotizador!D:D,Cotizador!E:E,"",0,1),"")</f>
        <v/>
      </c>
      <c r="I478" s="4"/>
      <c r="J478" s="8" t="str">
        <f>IF(I478="","",SUMIF(Cotizador!I$1:V$1,I478,Cotizador!I$2:V$2))</f>
        <v/>
      </c>
      <c r="L478" s="4" t="str">
        <f t="array" ref="L478">IF(COUNTIF(L$1:L477,A$2)=SUMIF(A:A,A$2,D:D),IF(COUNTIF(L$1:L477,XLOOKUP(A$2,Implementos!B:B,Implementos!C:C,"",0,1))=SUMIF(A:A,XLOOKUP(A$2,Implementos!B:B,Implementos!C:C,"",0,1),D:D),"",XLOOKUP(A$2,Implementos!B:B,Implementos!C:C,"",0,1)),A$2)</f>
        <v/>
      </c>
      <c r="M478" s="4" t="str">
        <f t="shared" si="2"/>
        <v/>
      </c>
      <c r="N478" s="4" t="str">
        <f t="shared" si="3"/>
        <v/>
      </c>
      <c r="O478" s="4" t="str">
        <f t="shared" si="4"/>
        <v/>
      </c>
      <c r="P478" s="4" t="str">
        <f t="shared" si="5"/>
        <v/>
      </c>
      <c r="Q478" s="4" t="str">
        <f>IF(U478="","",SUMIF(Productos!E:E,U478,Productos!A:A))</f>
        <v/>
      </c>
      <c r="R478" s="4" t="str">
        <f t="array" ref="R478">IF(L478="","", max(1,SUMIF(I:I,XLOOKUP(U478,Productos!E:E,Productos!G:G,"",0,1),J:J)))</f>
        <v/>
      </c>
      <c r="S478" s="4" t="str">
        <f>IF(Q478="","",IF(SUMIFS(Compat_Vetado!D:D,Compat_Vetado!B:B,SUM(G:G),Compat_Vetado!C:C,Q478)=1,"SI",IF(OR(SUMIF(Cotizador!E:E,Q478,Cotizador!G:G)&gt;0,SUMIFS(Compat_Vetado!D:D,Compat_Vetado!B:B,SUM(G:G),Compat_Vetado!C:C,Q478)=-1),"NO","")))</f>
        <v/>
      </c>
      <c r="T478" s="4" t="str">
        <f t="shared" si="6"/>
        <v/>
      </c>
      <c r="U478" s="4" t="str">
        <f>IFERROR(__xludf.DUMMYFUNCTION("IF(P478="""","""",IFERROR(INDEX(filter(Productos!E:E,Productos!F:F=L478,Productos!H:H=N478),P478),IF(M478=SUM(D:D),""Finalizar"",""-"")))"),"")</f>
        <v/>
      </c>
      <c r="V478" s="4" t="str">
        <f>IFERROR(__xludf.DUMMYFUNCTION("IF(OR($U478="""",COUNTIF($I:$I,IFERROR(unique(filter(Prod_Prop!$H:$H,Prod_Prop!$G:$G=$U478,Prod_Prop!$E:$E=V$1)),""Check""))=0),"""",IFERROR(unique(filter(Prod_Prop!$H:$H,Prod_Prop!$G:$G=$U478,Prod_Prop!$E:$E=V$1)),""""))"),"")</f>
        <v/>
      </c>
      <c r="W478" s="4" t="str">
        <f>IF(V478="","",SUMIFS(Prod_Prop!$J:$J,Prod_Prop!$B:$B,$Q478,Prod_Prop!$H:$H,V478,Prod_Prop!$I:$I,W$1)*IF(V478="Peso",$R478,1))</f>
        <v/>
      </c>
      <c r="X478" s="4" t="str">
        <f>IF(V478="","",SUMIFS(Prod_Prop!$J:$J,Prod_Prop!$B:$B,$Q478,Prod_Prop!$H:$H,V478,Prod_Prop!$I:$I,X$1)*IF(V478="Peso",$R478,1))</f>
        <v/>
      </c>
      <c r="Y478" s="4" t="str">
        <f>IFERROR(__xludf.DUMMYFUNCTION("IF(OR($U478="""",COUNTIF($I:$I,IFERROR(unique(filter(Prod_Prop!$H:$H,Prod_Prop!$G:$G=$U478,Prod_Prop!$E:$E=Y$1)),""Check""))=0),"""",IFERROR(unique(filter(Prod_Prop!$H:$H,Prod_Prop!$G:$G=$U478,Prod_Prop!$E:$E=Y$1)),""""))"),"")</f>
        <v/>
      </c>
      <c r="Z478" s="4" t="str">
        <f>IF(Y478="","",SUMIFS(Prod_Prop!$J:$J,Prod_Prop!$B:$B,$Q478,Prod_Prop!$H:$H,Y478,Prod_Prop!$I:$I,Z$1)*IF(Y478="Peso",$R478,1))</f>
        <v/>
      </c>
      <c r="AA478" s="4" t="str">
        <f>IF(Y478="","",SUMIFS(Prod_Prop!$J:$J,Prod_Prop!$B:$B,$Q478,Prod_Prop!$H:$H,Y478,Prod_Prop!$I:$I,AA$1)*IF(Y478="Peso",$R478,1))</f>
        <v/>
      </c>
      <c r="AB478" s="4" t="str">
        <f>IFERROR(__xludf.DUMMYFUNCTION("IF(OR($U478="""",COUNTIF($I:$I,IFERROR(unique(filter(Prod_Prop!$H:$H,Prod_Prop!$G:$G=$U478,Prod_Prop!$E:$E=AB$1)),""Check""))=0),"""",IFERROR(unique(filter(Prod_Prop!$H:$H,Prod_Prop!$G:$G=$U478,Prod_Prop!$E:$E=AB$1)),""""))"),"")</f>
        <v/>
      </c>
      <c r="AC478" s="4" t="str">
        <f>IF(AB478="","",SUMIFS(Prod_Prop!$J:$J,Prod_Prop!$B:$B,$Q478,Prod_Prop!$H:$H,AB478,Prod_Prop!$I:$I,AC$1)*IF(AB478="Peso",$R478,1))</f>
        <v/>
      </c>
      <c r="AD478" s="4" t="str">
        <f>IF(AB478="","",SUMIFS(Prod_Prop!$J:$J,Prod_Prop!$B:$B,$Q478,Prod_Prop!$H:$H,AB478,Prod_Prop!$I:$I,AD$1)*IF(AB478="Peso",$R478,1))</f>
        <v/>
      </c>
    </row>
    <row r="479">
      <c r="A479" s="4" t="str">
        <f t="array" ref="A479">IF(COUNTIF(A$1:A478,Cotizador!F$2)=maxifs(Familias!E:E,Familias!D:D,Cotizador!F$2),IF(COUNTIF(A$1:A478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79" s="4" t="str">
        <f t="shared" si="1"/>
        <v/>
      </c>
      <c r="C479" s="4" t="str">
        <f t="array" ref="C479">IF(B479="","",IF(A479=XLOOKUP(A$2,Implementos!B:B,Implementos!C:C,"",0,1),B479+maxifs(B$1:B478,A$1:A478,A$2),B479))</f>
        <v/>
      </c>
      <c r="D479" s="4" t="str">
        <f>IF(B479="","", COUNTIFS(Productos!F:F,A479,Productos!H:H,B479)+IF(F479="SI",0,1))</f>
        <v/>
      </c>
      <c r="E479" s="4" t="str">
        <f>IFERROR(__xludf.DUMMYFUNCTION("IF($B479="""","""",INDEX(filter(Familias!F:F,Familias!$D:$D=$A479,Familias!$E:$E=$B479),1))"),"")</f>
        <v/>
      </c>
      <c r="F479" s="4" t="str">
        <f>IFERROR(__xludf.DUMMYFUNCTION("IF($B479="""","""",INDEX(filter(Familias!G:G,Familias!$D:$D=$A479,Familias!$E:$E=$B479),1))"),"")</f>
        <v/>
      </c>
      <c r="G479" s="4" t="str">
        <f t="array" ref="G479">IF(C479=1,XLOOKUP(C479,Cotizador!D:D,Cotizador!E:E,"",0,1),"")</f>
        <v/>
      </c>
      <c r="I479" s="4"/>
      <c r="J479" s="8" t="str">
        <f>IF(I479="","",SUMIF(Cotizador!I$1:V$1,I479,Cotizador!I$2:V$2))</f>
        <v/>
      </c>
      <c r="L479" s="4" t="str">
        <f t="array" ref="L479">IF(COUNTIF(L$1:L478,A$2)=SUMIF(A:A,A$2,D:D),IF(COUNTIF(L$1:L478,XLOOKUP(A$2,Implementos!B:B,Implementos!C:C,"",0,1))=SUMIF(A:A,XLOOKUP(A$2,Implementos!B:B,Implementos!C:C,"",0,1),D:D),"",XLOOKUP(A$2,Implementos!B:B,Implementos!C:C,"",0,1)),A$2)</f>
        <v/>
      </c>
      <c r="M479" s="4" t="str">
        <f t="shared" si="2"/>
        <v/>
      </c>
      <c r="N479" s="4" t="str">
        <f t="shared" si="3"/>
        <v/>
      </c>
      <c r="O479" s="4" t="str">
        <f t="shared" si="4"/>
        <v/>
      </c>
      <c r="P479" s="4" t="str">
        <f t="shared" si="5"/>
        <v/>
      </c>
      <c r="Q479" s="4" t="str">
        <f>IF(U479="","",SUMIF(Productos!E:E,U479,Productos!A:A))</f>
        <v/>
      </c>
      <c r="R479" s="4" t="str">
        <f t="array" ref="R479">IF(L479="","", max(1,SUMIF(I:I,XLOOKUP(U479,Productos!E:E,Productos!G:G,"",0,1),J:J)))</f>
        <v/>
      </c>
      <c r="S479" s="4" t="str">
        <f>IF(Q479="","",IF(SUMIFS(Compat_Vetado!D:D,Compat_Vetado!B:B,SUM(G:G),Compat_Vetado!C:C,Q479)=1,"SI",IF(OR(SUMIF(Cotizador!E:E,Q479,Cotizador!G:G)&gt;0,SUMIFS(Compat_Vetado!D:D,Compat_Vetado!B:B,SUM(G:G),Compat_Vetado!C:C,Q479)=-1),"NO","")))</f>
        <v/>
      </c>
      <c r="T479" s="4" t="str">
        <f t="shared" si="6"/>
        <v/>
      </c>
      <c r="U479" s="4" t="str">
        <f>IFERROR(__xludf.DUMMYFUNCTION("IF(P479="""","""",IFERROR(INDEX(filter(Productos!E:E,Productos!F:F=L479,Productos!H:H=N479),P479),IF(M479=SUM(D:D),""Finalizar"",""-"")))"),"")</f>
        <v/>
      </c>
      <c r="V479" s="4" t="str">
        <f>IFERROR(__xludf.DUMMYFUNCTION("IF(OR($U479="""",COUNTIF($I:$I,IFERROR(unique(filter(Prod_Prop!$H:$H,Prod_Prop!$G:$G=$U479,Prod_Prop!$E:$E=V$1)),""Check""))=0),"""",IFERROR(unique(filter(Prod_Prop!$H:$H,Prod_Prop!$G:$G=$U479,Prod_Prop!$E:$E=V$1)),""""))"),"")</f>
        <v/>
      </c>
      <c r="W479" s="4" t="str">
        <f>IF(V479="","",SUMIFS(Prod_Prop!$J:$J,Prod_Prop!$B:$B,$Q479,Prod_Prop!$H:$H,V479,Prod_Prop!$I:$I,W$1)*IF(V479="Peso",$R479,1))</f>
        <v/>
      </c>
      <c r="X479" s="4" t="str">
        <f>IF(V479="","",SUMIFS(Prod_Prop!$J:$J,Prod_Prop!$B:$B,$Q479,Prod_Prop!$H:$H,V479,Prod_Prop!$I:$I,X$1)*IF(V479="Peso",$R479,1))</f>
        <v/>
      </c>
      <c r="Y479" s="4" t="str">
        <f>IFERROR(__xludf.DUMMYFUNCTION("IF(OR($U479="""",COUNTIF($I:$I,IFERROR(unique(filter(Prod_Prop!$H:$H,Prod_Prop!$G:$G=$U479,Prod_Prop!$E:$E=Y$1)),""Check""))=0),"""",IFERROR(unique(filter(Prod_Prop!$H:$H,Prod_Prop!$G:$G=$U479,Prod_Prop!$E:$E=Y$1)),""""))"),"")</f>
        <v/>
      </c>
      <c r="Z479" s="4" t="str">
        <f>IF(Y479="","",SUMIFS(Prod_Prop!$J:$J,Prod_Prop!$B:$B,$Q479,Prod_Prop!$H:$H,Y479,Prod_Prop!$I:$I,Z$1)*IF(Y479="Peso",$R479,1))</f>
        <v/>
      </c>
      <c r="AA479" s="4" t="str">
        <f>IF(Y479="","",SUMIFS(Prod_Prop!$J:$J,Prod_Prop!$B:$B,$Q479,Prod_Prop!$H:$H,Y479,Prod_Prop!$I:$I,AA$1)*IF(Y479="Peso",$R479,1))</f>
        <v/>
      </c>
      <c r="AB479" s="4" t="str">
        <f>IFERROR(__xludf.DUMMYFUNCTION("IF(OR($U479="""",COUNTIF($I:$I,IFERROR(unique(filter(Prod_Prop!$H:$H,Prod_Prop!$G:$G=$U479,Prod_Prop!$E:$E=AB$1)),""Check""))=0),"""",IFERROR(unique(filter(Prod_Prop!$H:$H,Prod_Prop!$G:$G=$U479,Prod_Prop!$E:$E=AB$1)),""""))"),"")</f>
        <v/>
      </c>
      <c r="AC479" s="4" t="str">
        <f>IF(AB479="","",SUMIFS(Prod_Prop!$J:$J,Prod_Prop!$B:$B,$Q479,Prod_Prop!$H:$H,AB479,Prod_Prop!$I:$I,AC$1)*IF(AB479="Peso",$R479,1))</f>
        <v/>
      </c>
      <c r="AD479" s="4" t="str">
        <f>IF(AB479="","",SUMIFS(Prod_Prop!$J:$J,Prod_Prop!$B:$B,$Q479,Prod_Prop!$H:$H,AB479,Prod_Prop!$I:$I,AD$1)*IF(AB479="Peso",$R479,1))</f>
        <v/>
      </c>
    </row>
    <row r="480">
      <c r="A480" s="4" t="str">
        <f t="array" ref="A480">IF(COUNTIF(A$1:A479,Cotizador!F$2)=maxifs(Familias!E:E,Familias!D:D,Cotizador!F$2),IF(COUNTIF(A$1:A479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0" s="4" t="str">
        <f t="shared" si="1"/>
        <v/>
      </c>
      <c r="C480" s="4" t="str">
        <f t="array" ref="C480">IF(B480="","",IF(A480=XLOOKUP(A$2,Implementos!B:B,Implementos!C:C,"",0,1),B480+maxifs(B$1:B479,A$1:A479,A$2),B480))</f>
        <v/>
      </c>
      <c r="D480" s="4" t="str">
        <f>IF(B480="","", COUNTIFS(Productos!F:F,A480,Productos!H:H,B480)+IF(F480="SI",0,1))</f>
        <v/>
      </c>
      <c r="E480" s="4" t="str">
        <f>IFERROR(__xludf.DUMMYFUNCTION("IF($B480="""","""",INDEX(filter(Familias!F:F,Familias!$D:$D=$A480,Familias!$E:$E=$B480),1))"),"")</f>
        <v/>
      </c>
      <c r="F480" s="4" t="str">
        <f>IFERROR(__xludf.DUMMYFUNCTION("IF($B480="""","""",INDEX(filter(Familias!G:G,Familias!$D:$D=$A480,Familias!$E:$E=$B480),1))"),"")</f>
        <v/>
      </c>
      <c r="G480" s="4" t="str">
        <f t="array" ref="G480">IF(C480=1,XLOOKUP(C480,Cotizador!D:D,Cotizador!E:E,"",0,1),"")</f>
        <v/>
      </c>
      <c r="I480" s="4"/>
      <c r="J480" s="8" t="str">
        <f>IF(I480="","",SUMIF(Cotizador!I$1:V$1,I480,Cotizador!I$2:V$2))</f>
        <v/>
      </c>
      <c r="L480" s="4" t="str">
        <f t="array" ref="L480">IF(COUNTIF(L$1:L479,A$2)=SUMIF(A:A,A$2,D:D),IF(COUNTIF(L$1:L479,XLOOKUP(A$2,Implementos!B:B,Implementos!C:C,"",0,1))=SUMIF(A:A,XLOOKUP(A$2,Implementos!B:B,Implementos!C:C,"",0,1),D:D),"",XLOOKUP(A$2,Implementos!B:B,Implementos!C:C,"",0,1)),A$2)</f>
        <v/>
      </c>
      <c r="M480" s="4" t="str">
        <f t="shared" si="2"/>
        <v/>
      </c>
      <c r="N480" s="4" t="str">
        <f t="shared" si="3"/>
        <v/>
      </c>
      <c r="O480" s="4" t="str">
        <f t="shared" si="4"/>
        <v/>
      </c>
      <c r="P480" s="4" t="str">
        <f t="shared" si="5"/>
        <v/>
      </c>
      <c r="Q480" s="4" t="str">
        <f>IF(U480="","",SUMIF(Productos!E:E,U480,Productos!A:A))</f>
        <v/>
      </c>
      <c r="R480" s="4" t="str">
        <f t="array" ref="R480">IF(L480="","", max(1,SUMIF(I:I,XLOOKUP(U480,Productos!E:E,Productos!G:G,"",0,1),J:J)))</f>
        <v/>
      </c>
      <c r="S480" s="4" t="str">
        <f>IF(Q480="","",IF(SUMIFS(Compat_Vetado!D:D,Compat_Vetado!B:B,SUM(G:G),Compat_Vetado!C:C,Q480)=1,"SI",IF(OR(SUMIF(Cotizador!E:E,Q480,Cotizador!G:G)&gt;0,SUMIFS(Compat_Vetado!D:D,Compat_Vetado!B:B,SUM(G:G),Compat_Vetado!C:C,Q480)=-1),"NO","")))</f>
        <v/>
      </c>
      <c r="T480" s="4" t="str">
        <f t="shared" si="6"/>
        <v/>
      </c>
      <c r="U480" s="4" t="str">
        <f>IFERROR(__xludf.DUMMYFUNCTION("IF(P480="""","""",IFERROR(INDEX(filter(Productos!E:E,Productos!F:F=L480,Productos!H:H=N480),P480),IF(M480=SUM(D:D),""Finalizar"",""-"")))"),"")</f>
        <v/>
      </c>
      <c r="V480" s="4" t="str">
        <f>IFERROR(__xludf.DUMMYFUNCTION("IF(OR($U480="""",COUNTIF($I:$I,IFERROR(unique(filter(Prod_Prop!$H:$H,Prod_Prop!$G:$G=$U480,Prod_Prop!$E:$E=V$1)),""Check""))=0),"""",IFERROR(unique(filter(Prod_Prop!$H:$H,Prod_Prop!$G:$G=$U480,Prod_Prop!$E:$E=V$1)),""""))"),"")</f>
        <v/>
      </c>
      <c r="W480" s="4" t="str">
        <f>IF(V480="","",SUMIFS(Prod_Prop!$J:$J,Prod_Prop!$B:$B,$Q480,Prod_Prop!$H:$H,V480,Prod_Prop!$I:$I,W$1)*IF(V480="Peso",$R480,1))</f>
        <v/>
      </c>
      <c r="X480" s="4" t="str">
        <f>IF(V480="","",SUMIFS(Prod_Prop!$J:$J,Prod_Prop!$B:$B,$Q480,Prod_Prop!$H:$H,V480,Prod_Prop!$I:$I,X$1)*IF(V480="Peso",$R480,1))</f>
        <v/>
      </c>
      <c r="Y480" s="4" t="str">
        <f>IFERROR(__xludf.DUMMYFUNCTION("IF(OR($U480="""",COUNTIF($I:$I,IFERROR(unique(filter(Prod_Prop!$H:$H,Prod_Prop!$G:$G=$U480,Prod_Prop!$E:$E=Y$1)),""Check""))=0),"""",IFERROR(unique(filter(Prod_Prop!$H:$H,Prod_Prop!$G:$G=$U480,Prod_Prop!$E:$E=Y$1)),""""))"),"")</f>
        <v/>
      </c>
      <c r="Z480" s="4" t="str">
        <f>IF(Y480="","",SUMIFS(Prod_Prop!$J:$J,Prod_Prop!$B:$B,$Q480,Prod_Prop!$H:$H,Y480,Prod_Prop!$I:$I,Z$1)*IF(Y480="Peso",$R480,1))</f>
        <v/>
      </c>
      <c r="AA480" s="4" t="str">
        <f>IF(Y480="","",SUMIFS(Prod_Prop!$J:$J,Prod_Prop!$B:$B,$Q480,Prod_Prop!$H:$H,Y480,Prod_Prop!$I:$I,AA$1)*IF(Y480="Peso",$R480,1))</f>
        <v/>
      </c>
      <c r="AB480" s="4" t="str">
        <f>IFERROR(__xludf.DUMMYFUNCTION("IF(OR($U480="""",COUNTIF($I:$I,IFERROR(unique(filter(Prod_Prop!$H:$H,Prod_Prop!$G:$G=$U480,Prod_Prop!$E:$E=AB$1)),""Check""))=0),"""",IFERROR(unique(filter(Prod_Prop!$H:$H,Prod_Prop!$G:$G=$U480,Prod_Prop!$E:$E=AB$1)),""""))"),"")</f>
        <v/>
      </c>
      <c r="AC480" s="4" t="str">
        <f>IF(AB480="","",SUMIFS(Prod_Prop!$J:$J,Prod_Prop!$B:$B,$Q480,Prod_Prop!$H:$H,AB480,Prod_Prop!$I:$I,AC$1)*IF(AB480="Peso",$R480,1))</f>
        <v/>
      </c>
      <c r="AD480" s="4" t="str">
        <f>IF(AB480="","",SUMIFS(Prod_Prop!$J:$J,Prod_Prop!$B:$B,$Q480,Prod_Prop!$H:$H,AB480,Prod_Prop!$I:$I,AD$1)*IF(AB480="Peso",$R480,1))</f>
        <v/>
      </c>
    </row>
    <row r="481">
      <c r="A481" s="4" t="str">
        <f t="array" ref="A481">IF(COUNTIF(A$1:A480,Cotizador!F$2)=maxifs(Familias!E:E,Familias!D:D,Cotizador!F$2),IF(COUNTIF(A$1:A480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1" s="4" t="str">
        <f t="shared" si="1"/>
        <v/>
      </c>
      <c r="C481" s="4" t="str">
        <f t="array" ref="C481">IF(B481="","",IF(A481=XLOOKUP(A$2,Implementos!B:B,Implementos!C:C,"",0,1),B481+maxifs(B$1:B480,A$1:A480,A$2),B481))</f>
        <v/>
      </c>
      <c r="D481" s="4" t="str">
        <f>IF(B481="","", COUNTIFS(Productos!F:F,A481,Productos!H:H,B481)+IF(F481="SI",0,1))</f>
        <v/>
      </c>
      <c r="E481" s="4" t="str">
        <f>IFERROR(__xludf.DUMMYFUNCTION("IF($B481="""","""",INDEX(filter(Familias!F:F,Familias!$D:$D=$A481,Familias!$E:$E=$B481),1))"),"")</f>
        <v/>
      </c>
      <c r="F481" s="4" t="str">
        <f>IFERROR(__xludf.DUMMYFUNCTION("IF($B481="""","""",INDEX(filter(Familias!G:G,Familias!$D:$D=$A481,Familias!$E:$E=$B481),1))"),"")</f>
        <v/>
      </c>
      <c r="G481" s="4" t="str">
        <f t="array" ref="G481">IF(C481=1,XLOOKUP(C481,Cotizador!D:D,Cotizador!E:E,"",0,1),"")</f>
        <v/>
      </c>
      <c r="I481" s="4"/>
      <c r="J481" s="8" t="str">
        <f>IF(I481="","",SUMIF(Cotizador!I$1:V$1,I481,Cotizador!I$2:V$2))</f>
        <v/>
      </c>
      <c r="L481" s="4" t="str">
        <f t="array" ref="L481">IF(COUNTIF(L$1:L480,A$2)=SUMIF(A:A,A$2,D:D),IF(COUNTIF(L$1:L480,XLOOKUP(A$2,Implementos!B:B,Implementos!C:C,"",0,1))=SUMIF(A:A,XLOOKUP(A$2,Implementos!B:B,Implementos!C:C,"",0,1),D:D),"",XLOOKUP(A$2,Implementos!B:B,Implementos!C:C,"",0,1)),A$2)</f>
        <v/>
      </c>
      <c r="M481" s="4" t="str">
        <f t="shared" si="2"/>
        <v/>
      </c>
      <c r="N481" s="4" t="str">
        <f t="shared" si="3"/>
        <v/>
      </c>
      <c r="O481" s="4" t="str">
        <f t="shared" si="4"/>
        <v/>
      </c>
      <c r="P481" s="4" t="str">
        <f t="shared" si="5"/>
        <v/>
      </c>
      <c r="Q481" s="4" t="str">
        <f>IF(U481="","",SUMIF(Productos!E:E,U481,Productos!A:A))</f>
        <v/>
      </c>
      <c r="R481" s="4" t="str">
        <f t="array" ref="R481">IF(L481="","", max(1,SUMIF(I:I,XLOOKUP(U481,Productos!E:E,Productos!G:G,"",0,1),J:J)))</f>
        <v/>
      </c>
      <c r="S481" s="4" t="str">
        <f>IF(Q481="","",IF(SUMIFS(Compat_Vetado!D:D,Compat_Vetado!B:B,SUM(G:G),Compat_Vetado!C:C,Q481)=1,"SI",IF(OR(SUMIF(Cotizador!E:E,Q481,Cotizador!G:G)&gt;0,SUMIFS(Compat_Vetado!D:D,Compat_Vetado!B:B,SUM(G:G),Compat_Vetado!C:C,Q481)=-1),"NO","")))</f>
        <v/>
      </c>
      <c r="T481" s="4" t="str">
        <f t="shared" si="6"/>
        <v/>
      </c>
      <c r="U481" s="4" t="str">
        <f>IFERROR(__xludf.DUMMYFUNCTION("IF(P481="""","""",IFERROR(INDEX(filter(Productos!E:E,Productos!F:F=L481,Productos!H:H=N481),P481),IF(M481=SUM(D:D),""Finalizar"",""-"")))"),"")</f>
        <v/>
      </c>
      <c r="V481" s="4" t="str">
        <f>IFERROR(__xludf.DUMMYFUNCTION("IF(OR($U481="""",COUNTIF($I:$I,IFERROR(unique(filter(Prod_Prop!$H:$H,Prod_Prop!$G:$G=$U481,Prod_Prop!$E:$E=V$1)),""Check""))=0),"""",IFERROR(unique(filter(Prod_Prop!$H:$H,Prod_Prop!$G:$G=$U481,Prod_Prop!$E:$E=V$1)),""""))"),"")</f>
        <v/>
      </c>
      <c r="W481" s="4" t="str">
        <f>IF(V481="","",SUMIFS(Prod_Prop!$J:$J,Prod_Prop!$B:$B,$Q481,Prod_Prop!$H:$H,V481,Prod_Prop!$I:$I,W$1)*IF(V481="Peso",$R481,1))</f>
        <v/>
      </c>
      <c r="X481" s="4" t="str">
        <f>IF(V481="","",SUMIFS(Prod_Prop!$J:$J,Prod_Prop!$B:$B,$Q481,Prod_Prop!$H:$H,V481,Prod_Prop!$I:$I,X$1)*IF(V481="Peso",$R481,1))</f>
        <v/>
      </c>
      <c r="Y481" s="4" t="str">
        <f>IFERROR(__xludf.DUMMYFUNCTION("IF(OR($U481="""",COUNTIF($I:$I,IFERROR(unique(filter(Prod_Prop!$H:$H,Prod_Prop!$G:$G=$U481,Prod_Prop!$E:$E=Y$1)),""Check""))=0),"""",IFERROR(unique(filter(Prod_Prop!$H:$H,Prod_Prop!$G:$G=$U481,Prod_Prop!$E:$E=Y$1)),""""))"),"")</f>
        <v/>
      </c>
      <c r="Z481" s="4" t="str">
        <f>IF(Y481="","",SUMIFS(Prod_Prop!$J:$J,Prod_Prop!$B:$B,$Q481,Prod_Prop!$H:$H,Y481,Prod_Prop!$I:$I,Z$1)*IF(Y481="Peso",$R481,1))</f>
        <v/>
      </c>
      <c r="AA481" s="4" t="str">
        <f>IF(Y481="","",SUMIFS(Prod_Prop!$J:$J,Prod_Prop!$B:$B,$Q481,Prod_Prop!$H:$H,Y481,Prod_Prop!$I:$I,AA$1)*IF(Y481="Peso",$R481,1))</f>
        <v/>
      </c>
      <c r="AB481" s="4" t="str">
        <f>IFERROR(__xludf.DUMMYFUNCTION("IF(OR($U481="""",COUNTIF($I:$I,IFERROR(unique(filter(Prod_Prop!$H:$H,Prod_Prop!$G:$G=$U481,Prod_Prop!$E:$E=AB$1)),""Check""))=0),"""",IFERROR(unique(filter(Prod_Prop!$H:$H,Prod_Prop!$G:$G=$U481,Prod_Prop!$E:$E=AB$1)),""""))"),"")</f>
        <v/>
      </c>
      <c r="AC481" s="4" t="str">
        <f>IF(AB481="","",SUMIFS(Prod_Prop!$J:$J,Prod_Prop!$B:$B,$Q481,Prod_Prop!$H:$H,AB481,Prod_Prop!$I:$I,AC$1)*IF(AB481="Peso",$R481,1))</f>
        <v/>
      </c>
      <c r="AD481" s="4" t="str">
        <f>IF(AB481="","",SUMIFS(Prod_Prop!$J:$J,Prod_Prop!$B:$B,$Q481,Prod_Prop!$H:$H,AB481,Prod_Prop!$I:$I,AD$1)*IF(AB481="Peso",$R481,1))</f>
        <v/>
      </c>
    </row>
    <row r="482">
      <c r="A482" s="4" t="str">
        <f t="array" ref="A482">IF(COUNTIF(A$1:A481,Cotizador!F$2)=maxifs(Familias!E:E,Familias!D:D,Cotizador!F$2),IF(COUNTIF(A$1:A481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2" s="4" t="str">
        <f t="shared" si="1"/>
        <v/>
      </c>
      <c r="C482" s="4" t="str">
        <f t="array" ref="C482">IF(B482="","",IF(A482=XLOOKUP(A$2,Implementos!B:B,Implementos!C:C,"",0,1),B482+maxifs(B$1:B481,A$1:A481,A$2),B482))</f>
        <v/>
      </c>
      <c r="D482" s="4" t="str">
        <f>IF(B482="","", COUNTIFS(Productos!F:F,A482,Productos!H:H,B482)+IF(F482="SI",0,1))</f>
        <v/>
      </c>
      <c r="E482" s="4" t="str">
        <f>IFERROR(__xludf.DUMMYFUNCTION("IF($B482="""","""",INDEX(filter(Familias!F:F,Familias!$D:$D=$A482,Familias!$E:$E=$B482),1))"),"")</f>
        <v/>
      </c>
      <c r="F482" s="4" t="str">
        <f>IFERROR(__xludf.DUMMYFUNCTION("IF($B482="""","""",INDEX(filter(Familias!G:G,Familias!$D:$D=$A482,Familias!$E:$E=$B482),1))"),"")</f>
        <v/>
      </c>
      <c r="G482" s="4" t="str">
        <f t="array" ref="G482">IF(C482=1,XLOOKUP(C482,Cotizador!D:D,Cotizador!E:E,"",0,1),"")</f>
        <v/>
      </c>
      <c r="I482" s="4"/>
      <c r="J482" s="8" t="str">
        <f>IF(I482="","",SUMIF(Cotizador!I$1:V$1,I482,Cotizador!I$2:V$2))</f>
        <v/>
      </c>
      <c r="L482" s="4" t="str">
        <f t="array" ref="L482">IF(COUNTIF(L$1:L481,A$2)=SUMIF(A:A,A$2,D:D),IF(COUNTIF(L$1:L481,XLOOKUP(A$2,Implementos!B:B,Implementos!C:C,"",0,1))=SUMIF(A:A,XLOOKUP(A$2,Implementos!B:B,Implementos!C:C,"",0,1),D:D),"",XLOOKUP(A$2,Implementos!B:B,Implementos!C:C,"",0,1)),A$2)</f>
        <v/>
      </c>
      <c r="M482" s="4" t="str">
        <f t="shared" si="2"/>
        <v/>
      </c>
      <c r="N482" s="4" t="str">
        <f t="shared" si="3"/>
        <v/>
      </c>
      <c r="O482" s="4" t="str">
        <f t="shared" si="4"/>
        <v/>
      </c>
      <c r="P482" s="4" t="str">
        <f t="shared" si="5"/>
        <v/>
      </c>
      <c r="Q482" s="4" t="str">
        <f>IF(U482="","",SUMIF(Productos!E:E,U482,Productos!A:A))</f>
        <v/>
      </c>
      <c r="R482" s="4" t="str">
        <f t="array" ref="R482">IF(L482="","", max(1,SUMIF(I:I,XLOOKUP(U482,Productos!E:E,Productos!G:G,"",0,1),J:J)))</f>
        <v/>
      </c>
      <c r="S482" s="4" t="str">
        <f>IF(Q482="","",IF(SUMIFS(Compat_Vetado!D:D,Compat_Vetado!B:B,SUM(G:G),Compat_Vetado!C:C,Q482)=1,"SI",IF(OR(SUMIF(Cotizador!E:E,Q482,Cotizador!G:G)&gt;0,SUMIFS(Compat_Vetado!D:D,Compat_Vetado!B:B,SUM(G:G),Compat_Vetado!C:C,Q482)=-1),"NO","")))</f>
        <v/>
      </c>
      <c r="T482" s="4" t="str">
        <f t="shared" si="6"/>
        <v/>
      </c>
      <c r="U482" s="4" t="str">
        <f>IFERROR(__xludf.DUMMYFUNCTION("IF(P482="""","""",IFERROR(INDEX(filter(Productos!E:E,Productos!F:F=L482,Productos!H:H=N482),P482),IF(M482=SUM(D:D),""Finalizar"",""-"")))"),"")</f>
        <v/>
      </c>
      <c r="V482" s="4" t="str">
        <f>IFERROR(__xludf.DUMMYFUNCTION("IF(OR($U482="""",COUNTIF($I:$I,IFERROR(unique(filter(Prod_Prop!$H:$H,Prod_Prop!$G:$G=$U482,Prod_Prop!$E:$E=V$1)),""Check""))=0),"""",IFERROR(unique(filter(Prod_Prop!$H:$H,Prod_Prop!$G:$G=$U482,Prod_Prop!$E:$E=V$1)),""""))"),"")</f>
        <v/>
      </c>
      <c r="W482" s="4" t="str">
        <f>IF(V482="","",SUMIFS(Prod_Prop!$J:$J,Prod_Prop!$B:$B,$Q482,Prod_Prop!$H:$H,V482,Prod_Prop!$I:$I,W$1)*IF(V482="Peso",$R482,1))</f>
        <v/>
      </c>
      <c r="X482" s="4" t="str">
        <f>IF(V482="","",SUMIFS(Prod_Prop!$J:$J,Prod_Prop!$B:$B,$Q482,Prod_Prop!$H:$H,V482,Prod_Prop!$I:$I,X$1)*IF(V482="Peso",$R482,1))</f>
        <v/>
      </c>
      <c r="Y482" s="4" t="str">
        <f>IFERROR(__xludf.DUMMYFUNCTION("IF(OR($U482="""",COUNTIF($I:$I,IFERROR(unique(filter(Prod_Prop!$H:$H,Prod_Prop!$G:$G=$U482,Prod_Prop!$E:$E=Y$1)),""Check""))=0),"""",IFERROR(unique(filter(Prod_Prop!$H:$H,Prod_Prop!$G:$G=$U482,Prod_Prop!$E:$E=Y$1)),""""))"),"")</f>
        <v/>
      </c>
      <c r="Z482" s="4" t="str">
        <f>IF(Y482="","",SUMIFS(Prod_Prop!$J:$J,Prod_Prop!$B:$B,$Q482,Prod_Prop!$H:$H,Y482,Prod_Prop!$I:$I,Z$1)*IF(Y482="Peso",$R482,1))</f>
        <v/>
      </c>
      <c r="AA482" s="4" t="str">
        <f>IF(Y482="","",SUMIFS(Prod_Prop!$J:$J,Prod_Prop!$B:$B,$Q482,Prod_Prop!$H:$H,Y482,Prod_Prop!$I:$I,AA$1)*IF(Y482="Peso",$R482,1))</f>
        <v/>
      </c>
      <c r="AB482" s="4" t="str">
        <f>IFERROR(__xludf.DUMMYFUNCTION("IF(OR($U482="""",COUNTIF($I:$I,IFERROR(unique(filter(Prod_Prop!$H:$H,Prod_Prop!$G:$G=$U482,Prod_Prop!$E:$E=AB$1)),""Check""))=0),"""",IFERROR(unique(filter(Prod_Prop!$H:$H,Prod_Prop!$G:$G=$U482,Prod_Prop!$E:$E=AB$1)),""""))"),"")</f>
        <v/>
      </c>
      <c r="AC482" s="4" t="str">
        <f>IF(AB482="","",SUMIFS(Prod_Prop!$J:$J,Prod_Prop!$B:$B,$Q482,Prod_Prop!$H:$H,AB482,Prod_Prop!$I:$I,AC$1)*IF(AB482="Peso",$R482,1))</f>
        <v/>
      </c>
      <c r="AD482" s="4" t="str">
        <f>IF(AB482="","",SUMIFS(Prod_Prop!$J:$J,Prod_Prop!$B:$B,$Q482,Prod_Prop!$H:$H,AB482,Prod_Prop!$I:$I,AD$1)*IF(AB482="Peso",$R482,1))</f>
        <v/>
      </c>
    </row>
    <row r="483">
      <c r="A483" s="4" t="str">
        <f t="array" ref="A483">IF(COUNTIF(A$1:A482,Cotizador!F$2)=maxifs(Familias!E:E,Familias!D:D,Cotizador!F$2),IF(COUNTIF(A$1:A482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3" s="4" t="str">
        <f t="shared" si="1"/>
        <v/>
      </c>
      <c r="C483" s="4" t="str">
        <f t="array" ref="C483">IF(B483="","",IF(A483=XLOOKUP(A$2,Implementos!B:B,Implementos!C:C,"",0,1),B483+maxifs(B$1:B482,A$1:A482,A$2),B483))</f>
        <v/>
      </c>
      <c r="D483" s="4" t="str">
        <f>IF(B483="","", COUNTIFS(Productos!F:F,A483,Productos!H:H,B483)+IF(F483="SI",0,1))</f>
        <v/>
      </c>
      <c r="E483" s="4" t="str">
        <f>IFERROR(__xludf.DUMMYFUNCTION("IF($B483="""","""",INDEX(filter(Familias!F:F,Familias!$D:$D=$A483,Familias!$E:$E=$B483),1))"),"")</f>
        <v/>
      </c>
      <c r="F483" s="4" t="str">
        <f>IFERROR(__xludf.DUMMYFUNCTION("IF($B483="""","""",INDEX(filter(Familias!G:G,Familias!$D:$D=$A483,Familias!$E:$E=$B483),1))"),"")</f>
        <v/>
      </c>
      <c r="G483" s="4" t="str">
        <f t="array" ref="G483">IF(C483=1,XLOOKUP(C483,Cotizador!D:D,Cotizador!E:E,"",0,1),"")</f>
        <v/>
      </c>
      <c r="I483" s="4"/>
      <c r="J483" s="8" t="str">
        <f>IF(I483="","",SUMIF(Cotizador!I$1:V$1,I483,Cotizador!I$2:V$2))</f>
        <v/>
      </c>
      <c r="L483" s="4" t="str">
        <f t="array" ref="L483">IF(COUNTIF(L$1:L482,A$2)=SUMIF(A:A,A$2,D:D),IF(COUNTIF(L$1:L482,XLOOKUP(A$2,Implementos!B:B,Implementos!C:C,"",0,1))=SUMIF(A:A,XLOOKUP(A$2,Implementos!B:B,Implementos!C:C,"",0,1),D:D),"",XLOOKUP(A$2,Implementos!B:B,Implementos!C:C,"",0,1)),A$2)</f>
        <v/>
      </c>
      <c r="M483" s="4" t="str">
        <f t="shared" si="2"/>
        <v/>
      </c>
      <c r="N483" s="4" t="str">
        <f t="shared" si="3"/>
        <v/>
      </c>
      <c r="O483" s="4" t="str">
        <f t="shared" si="4"/>
        <v/>
      </c>
      <c r="P483" s="4" t="str">
        <f t="shared" si="5"/>
        <v/>
      </c>
      <c r="Q483" s="4" t="str">
        <f>IF(U483="","",SUMIF(Productos!E:E,U483,Productos!A:A))</f>
        <v/>
      </c>
      <c r="R483" s="4" t="str">
        <f t="array" ref="R483">IF(L483="","", max(1,SUMIF(I:I,XLOOKUP(U483,Productos!E:E,Productos!G:G,"",0,1),J:J)))</f>
        <v/>
      </c>
      <c r="S483" s="4" t="str">
        <f>IF(Q483="","",IF(SUMIFS(Compat_Vetado!D:D,Compat_Vetado!B:B,SUM(G:G),Compat_Vetado!C:C,Q483)=1,"SI",IF(OR(SUMIF(Cotizador!E:E,Q483,Cotizador!G:G)&gt;0,SUMIFS(Compat_Vetado!D:D,Compat_Vetado!B:B,SUM(G:G),Compat_Vetado!C:C,Q483)=-1),"NO","")))</f>
        <v/>
      </c>
      <c r="T483" s="4" t="str">
        <f t="shared" si="6"/>
        <v/>
      </c>
      <c r="U483" s="4" t="str">
        <f>IFERROR(__xludf.DUMMYFUNCTION("IF(P483="""","""",IFERROR(INDEX(filter(Productos!E:E,Productos!F:F=L483,Productos!H:H=N483),P483),IF(M483=SUM(D:D),""Finalizar"",""-"")))"),"")</f>
        <v/>
      </c>
      <c r="V483" s="4" t="str">
        <f>IFERROR(__xludf.DUMMYFUNCTION("IF(OR($U483="""",COUNTIF($I:$I,IFERROR(unique(filter(Prod_Prop!$H:$H,Prod_Prop!$G:$G=$U483,Prod_Prop!$E:$E=V$1)),""Check""))=0),"""",IFERROR(unique(filter(Prod_Prop!$H:$H,Prod_Prop!$G:$G=$U483,Prod_Prop!$E:$E=V$1)),""""))"),"")</f>
        <v/>
      </c>
      <c r="W483" s="4" t="str">
        <f>IF(V483="","",SUMIFS(Prod_Prop!$J:$J,Prod_Prop!$B:$B,$Q483,Prod_Prop!$H:$H,V483,Prod_Prop!$I:$I,W$1)*IF(V483="Peso",$R483,1))</f>
        <v/>
      </c>
      <c r="X483" s="4" t="str">
        <f>IF(V483="","",SUMIFS(Prod_Prop!$J:$J,Prod_Prop!$B:$B,$Q483,Prod_Prop!$H:$H,V483,Prod_Prop!$I:$I,X$1)*IF(V483="Peso",$R483,1))</f>
        <v/>
      </c>
      <c r="Y483" s="4" t="str">
        <f>IFERROR(__xludf.DUMMYFUNCTION("IF(OR($U483="""",COUNTIF($I:$I,IFERROR(unique(filter(Prod_Prop!$H:$H,Prod_Prop!$G:$G=$U483,Prod_Prop!$E:$E=Y$1)),""Check""))=0),"""",IFERROR(unique(filter(Prod_Prop!$H:$H,Prod_Prop!$G:$G=$U483,Prod_Prop!$E:$E=Y$1)),""""))"),"")</f>
        <v/>
      </c>
      <c r="Z483" s="4" t="str">
        <f>IF(Y483="","",SUMIFS(Prod_Prop!$J:$J,Prod_Prop!$B:$B,$Q483,Prod_Prop!$H:$H,Y483,Prod_Prop!$I:$I,Z$1)*IF(Y483="Peso",$R483,1))</f>
        <v/>
      </c>
      <c r="AA483" s="4" t="str">
        <f>IF(Y483="","",SUMIFS(Prod_Prop!$J:$J,Prod_Prop!$B:$B,$Q483,Prod_Prop!$H:$H,Y483,Prod_Prop!$I:$I,AA$1)*IF(Y483="Peso",$R483,1))</f>
        <v/>
      </c>
      <c r="AB483" s="4" t="str">
        <f>IFERROR(__xludf.DUMMYFUNCTION("IF(OR($U483="""",COUNTIF($I:$I,IFERROR(unique(filter(Prod_Prop!$H:$H,Prod_Prop!$G:$G=$U483,Prod_Prop!$E:$E=AB$1)),""Check""))=0),"""",IFERROR(unique(filter(Prod_Prop!$H:$H,Prod_Prop!$G:$G=$U483,Prod_Prop!$E:$E=AB$1)),""""))"),"")</f>
        <v/>
      </c>
      <c r="AC483" s="4" t="str">
        <f>IF(AB483="","",SUMIFS(Prod_Prop!$J:$J,Prod_Prop!$B:$B,$Q483,Prod_Prop!$H:$H,AB483,Prod_Prop!$I:$I,AC$1)*IF(AB483="Peso",$R483,1))</f>
        <v/>
      </c>
      <c r="AD483" s="4" t="str">
        <f>IF(AB483="","",SUMIFS(Prod_Prop!$J:$J,Prod_Prop!$B:$B,$Q483,Prod_Prop!$H:$H,AB483,Prod_Prop!$I:$I,AD$1)*IF(AB483="Peso",$R483,1))</f>
        <v/>
      </c>
    </row>
    <row r="484">
      <c r="A484" s="4" t="str">
        <f t="array" ref="A484">IF(COUNTIF(A$1:A483,Cotizador!F$2)=maxifs(Familias!E:E,Familias!D:D,Cotizador!F$2),IF(COUNTIF(A$1:A483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4" s="4" t="str">
        <f t="shared" si="1"/>
        <v/>
      </c>
      <c r="C484" s="4" t="str">
        <f t="array" ref="C484">IF(B484="","",IF(A484=XLOOKUP(A$2,Implementos!B:B,Implementos!C:C,"",0,1),B484+maxifs(B$1:B483,A$1:A483,A$2),B484))</f>
        <v/>
      </c>
      <c r="D484" s="4" t="str">
        <f>IF(B484="","", COUNTIFS(Productos!F:F,A484,Productos!H:H,B484)+IF(F484="SI",0,1))</f>
        <v/>
      </c>
      <c r="E484" s="4" t="str">
        <f>IFERROR(__xludf.DUMMYFUNCTION("IF($B484="""","""",INDEX(filter(Familias!F:F,Familias!$D:$D=$A484,Familias!$E:$E=$B484),1))"),"")</f>
        <v/>
      </c>
      <c r="F484" s="4" t="str">
        <f>IFERROR(__xludf.DUMMYFUNCTION("IF($B484="""","""",INDEX(filter(Familias!G:G,Familias!$D:$D=$A484,Familias!$E:$E=$B484),1))"),"")</f>
        <v/>
      </c>
      <c r="G484" s="4" t="str">
        <f t="array" ref="G484">IF(C484=1,XLOOKUP(C484,Cotizador!D:D,Cotizador!E:E,"",0,1),"")</f>
        <v/>
      </c>
      <c r="I484" s="4"/>
      <c r="J484" s="8" t="str">
        <f>IF(I484="","",SUMIF(Cotizador!I$1:V$1,I484,Cotizador!I$2:V$2))</f>
        <v/>
      </c>
      <c r="L484" s="4" t="str">
        <f t="array" ref="L484">IF(COUNTIF(L$1:L483,A$2)=SUMIF(A:A,A$2,D:D),IF(COUNTIF(L$1:L483,XLOOKUP(A$2,Implementos!B:B,Implementos!C:C,"",0,1))=SUMIF(A:A,XLOOKUP(A$2,Implementos!B:B,Implementos!C:C,"",0,1),D:D),"",XLOOKUP(A$2,Implementos!B:B,Implementos!C:C,"",0,1)),A$2)</f>
        <v/>
      </c>
      <c r="M484" s="4" t="str">
        <f t="shared" si="2"/>
        <v/>
      </c>
      <c r="N484" s="4" t="str">
        <f t="shared" si="3"/>
        <v/>
      </c>
      <c r="O484" s="4" t="str">
        <f t="shared" si="4"/>
        <v/>
      </c>
      <c r="P484" s="4" t="str">
        <f t="shared" si="5"/>
        <v/>
      </c>
      <c r="Q484" s="4" t="str">
        <f>IF(U484="","",SUMIF(Productos!E:E,U484,Productos!A:A))</f>
        <v/>
      </c>
      <c r="R484" s="4" t="str">
        <f t="array" ref="R484">IF(L484="","", max(1,SUMIF(I:I,XLOOKUP(U484,Productos!E:E,Productos!G:G,"",0,1),J:J)))</f>
        <v/>
      </c>
      <c r="S484" s="4" t="str">
        <f>IF(Q484="","",IF(SUMIFS(Compat_Vetado!D:D,Compat_Vetado!B:B,SUM(G:G),Compat_Vetado!C:C,Q484)=1,"SI",IF(OR(SUMIF(Cotizador!E:E,Q484,Cotizador!G:G)&gt;0,SUMIFS(Compat_Vetado!D:D,Compat_Vetado!B:B,SUM(G:G),Compat_Vetado!C:C,Q484)=-1),"NO","")))</f>
        <v/>
      </c>
      <c r="T484" s="4" t="str">
        <f t="shared" si="6"/>
        <v/>
      </c>
      <c r="U484" s="4" t="str">
        <f>IFERROR(__xludf.DUMMYFUNCTION("IF(P484="""","""",IFERROR(INDEX(filter(Productos!E:E,Productos!F:F=L484,Productos!H:H=N484),P484),IF(M484=SUM(D:D),""Finalizar"",""-"")))"),"")</f>
        <v/>
      </c>
      <c r="V484" s="4" t="str">
        <f>IFERROR(__xludf.DUMMYFUNCTION("IF(OR($U484="""",COUNTIF($I:$I,IFERROR(unique(filter(Prod_Prop!$H:$H,Prod_Prop!$G:$G=$U484,Prod_Prop!$E:$E=V$1)),""Check""))=0),"""",IFERROR(unique(filter(Prod_Prop!$H:$H,Prod_Prop!$G:$G=$U484,Prod_Prop!$E:$E=V$1)),""""))"),"")</f>
        <v/>
      </c>
      <c r="W484" s="4" t="str">
        <f>IF(V484="","",SUMIFS(Prod_Prop!$J:$J,Prod_Prop!$B:$B,$Q484,Prod_Prop!$H:$H,V484,Prod_Prop!$I:$I,W$1)*IF(V484="Peso",$R484,1))</f>
        <v/>
      </c>
      <c r="X484" s="4" t="str">
        <f>IF(V484="","",SUMIFS(Prod_Prop!$J:$J,Prod_Prop!$B:$B,$Q484,Prod_Prop!$H:$H,V484,Prod_Prop!$I:$I,X$1)*IF(V484="Peso",$R484,1))</f>
        <v/>
      </c>
      <c r="Y484" s="4" t="str">
        <f>IFERROR(__xludf.DUMMYFUNCTION("IF(OR($U484="""",COUNTIF($I:$I,IFERROR(unique(filter(Prod_Prop!$H:$H,Prod_Prop!$G:$G=$U484,Prod_Prop!$E:$E=Y$1)),""Check""))=0),"""",IFERROR(unique(filter(Prod_Prop!$H:$H,Prod_Prop!$G:$G=$U484,Prod_Prop!$E:$E=Y$1)),""""))"),"")</f>
        <v/>
      </c>
      <c r="Z484" s="4" t="str">
        <f>IF(Y484="","",SUMIFS(Prod_Prop!$J:$J,Prod_Prop!$B:$B,$Q484,Prod_Prop!$H:$H,Y484,Prod_Prop!$I:$I,Z$1)*IF(Y484="Peso",$R484,1))</f>
        <v/>
      </c>
      <c r="AA484" s="4" t="str">
        <f>IF(Y484="","",SUMIFS(Prod_Prop!$J:$J,Prod_Prop!$B:$B,$Q484,Prod_Prop!$H:$H,Y484,Prod_Prop!$I:$I,AA$1)*IF(Y484="Peso",$R484,1))</f>
        <v/>
      </c>
      <c r="AB484" s="4" t="str">
        <f>IFERROR(__xludf.DUMMYFUNCTION("IF(OR($U484="""",COUNTIF($I:$I,IFERROR(unique(filter(Prod_Prop!$H:$H,Prod_Prop!$G:$G=$U484,Prod_Prop!$E:$E=AB$1)),""Check""))=0),"""",IFERROR(unique(filter(Prod_Prop!$H:$H,Prod_Prop!$G:$G=$U484,Prod_Prop!$E:$E=AB$1)),""""))"),"")</f>
        <v/>
      </c>
      <c r="AC484" s="4" t="str">
        <f>IF(AB484="","",SUMIFS(Prod_Prop!$J:$J,Prod_Prop!$B:$B,$Q484,Prod_Prop!$H:$H,AB484,Prod_Prop!$I:$I,AC$1)*IF(AB484="Peso",$R484,1))</f>
        <v/>
      </c>
      <c r="AD484" s="4" t="str">
        <f>IF(AB484="","",SUMIFS(Prod_Prop!$J:$J,Prod_Prop!$B:$B,$Q484,Prod_Prop!$H:$H,AB484,Prod_Prop!$I:$I,AD$1)*IF(AB484="Peso",$R484,1))</f>
        <v/>
      </c>
    </row>
    <row r="485">
      <c r="A485" s="4" t="str">
        <f t="array" ref="A485">IF(COUNTIF(A$1:A484,Cotizador!F$2)=maxifs(Familias!E:E,Familias!D:D,Cotizador!F$2),IF(COUNTIF(A$1:A484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5" s="4" t="str">
        <f t="shared" si="1"/>
        <v/>
      </c>
      <c r="C485" s="4" t="str">
        <f t="array" ref="C485">IF(B485="","",IF(A485=XLOOKUP(A$2,Implementos!B:B,Implementos!C:C,"",0,1),B485+maxifs(B$1:B484,A$1:A484,A$2),B485))</f>
        <v/>
      </c>
      <c r="D485" s="4" t="str">
        <f>IF(B485="","", COUNTIFS(Productos!F:F,A485,Productos!H:H,B485)+IF(F485="SI",0,1))</f>
        <v/>
      </c>
      <c r="E485" s="4" t="str">
        <f>IFERROR(__xludf.DUMMYFUNCTION("IF($B485="""","""",INDEX(filter(Familias!F:F,Familias!$D:$D=$A485,Familias!$E:$E=$B485),1))"),"")</f>
        <v/>
      </c>
      <c r="F485" s="4" t="str">
        <f>IFERROR(__xludf.DUMMYFUNCTION("IF($B485="""","""",INDEX(filter(Familias!G:G,Familias!$D:$D=$A485,Familias!$E:$E=$B485),1))"),"")</f>
        <v/>
      </c>
      <c r="G485" s="4" t="str">
        <f t="array" ref="G485">IF(C485=1,XLOOKUP(C485,Cotizador!D:D,Cotizador!E:E,"",0,1),"")</f>
        <v/>
      </c>
      <c r="I485" s="4"/>
      <c r="J485" s="8" t="str">
        <f>IF(I485="","",SUMIF(Cotizador!I$1:V$1,I485,Cotizador!I$2:V$2))</f>
        <v/>
      </c>
      <c r="L485" s="4" t="str">
        <f t="array" ref="L485">IF(COUNTIF(L$1:L484,A$2)=SUMIF(A:A,A$2,D:D),IF(COUNTIF(L$1:L484,XLOOKUP(A$2,Implementos!B:B,Implementos!C:C,"",0,1))=SUMIF(A:A,XLOOKUP(A$2,Implementos!B:B,Implementos!C:C,"",0,1),D:D),"",XLOOKUP(A$2,Implementos!B:B,Implementos!C:C,"",0,1)),A$2)</f>
        <v/>
      </c>
      <c r="M485" s="4" t="str">
        <f t="shared" si="2"/>
        <v/>
      </c>
      <c r="N485" s="4" t="str">
        <f t="shared" si="3"/>
        <v/>
      </c>
      <c r="O485" s="4" t="str">
        <f t="shared" si="4"/>
        <v/>
      </c>
      <c r="P485" s="4" t="str">
        <f t="shared" si="5"/>
        <v/>
      </c>
      <c r="Q485" s="4" t="str">
        <f>IF(U485="","",SUMIF(Productos!E:E,U485,Productos!A:A))</f>
        <v/>
      </c>
      <c r="R485" s="4" t="str">
        <f t="array" ref="R485">IF(L485="","", max(1,SUMIF(I:I,XLOOKUP(U485,Productos!E:E,Productos!G:G,"",0,1),J:J)))</f>
        <v/>
      </c>
      <c r="S485" s="4" t="str">
        <f>IF(Q485="","",IF(SUMIFS(Compat_Vetado!D:D,Compat_Vetado!B:B,SUM(G:G),Compat_Vetado!C:C,Q485)=1,"SI",IF(OR(SUMIF(Cotizador!E:E,Q485,Cotizador!G:G)&gt;0,SUMIFS(Compat_Vetado!D:D,Compat_Vetado!B:B,SUM(G:G),Compat_Vetado!C:C,Q485)=-1),"NO","")))</f>
        <v/>
      </c>
      <c r="T485" s="4" t="str">
        <f t="shared" si="6"/>
        <v/>
      </c>
      <c r="U485" s="4" t="str">
        <f>IFERROR(__xludf.DUMMYFUNCTION("IF(P485="""","""",IFERROR(INDEX(filter(Productos!E:E,Productos!F:F=L485,Productos!H:H=N485),P485),IF(M485=SUM(D:D),""Finalizar"",""-"")))"),"")</f>
        <v/>
      </c>
      <c r="V485" s="4" t="str">
        <f>IFERROR(__xludf.DUMMYFUNCTION("IF(OR($U485="""",COUNTIF($I:$I,IFERROR(unique(filter(Prod_Prop!$H:$H,Prod_Prop!$G:$G=$U485,Prod_Prop!$E:$E=V$1)),""Check""))=0),"""",IFERROR(unique(filter(Prod_Prop!$H:$H,Prod_Prop!$G:$G=$U485,Prod_Prop!$E:$E=V$1)),""""))"),"")</f>
        <v/>
      </c>
      <c r="W485" s="4" t="str">
        <f>IF(V485="","",SUMIFS(Prod_Prop!$J:$J,Prod_Prop!$B:$B,$Q485,Prod_Prop!$H:$H,V485,Prod_Prop!$I:$I,W$1)*IF(V485="Peso",$R485,1))</f>
        <v/>
      </c>
      <c r="X485" s="4" t="str">
        <f>IF(V485="","",SUMIFS(Prod_Prop!$J:$J,Prod_Prop!$B:$B,$Q485,Prod_Prop!$H:$H,V485,Prod_Prop!$I:$I,X$1)*IF(V485="Peso",$R485,1))</f>
        <v/>
      </c>
      <c r="Y485" s="4" t="str">
        <f>IFERROR(__xludf.DUMMYFUNCTION("IF(OR($U485="""",COUNTIF($I:$I,IFERROR(unique(filter(Prod_Prop!$H:$H,Prod_Prop!$G:$G=$U485,Prod_Prop!$E:$E=Y$1)),""Check""))=0),"""",IFERROR(unique(filter(Prod_Prop!$H:$H,Prod_Prop!$G:$G=$U485,Prod_Prop!$E:$E=Y$1)),""""))"),"")</f>
        <v/>
      </c>
      <c r="Z485" s="4" t="str">
        <f>IF(Y485="","",SUMIFS(Prod_Prop!$J:$J,Prod_Prop!$B:$B,$Q485,Prod_Prop!$H:$H,Y485,Prod_Prop!$I:$I,Z$1)*IF(Y485="Peso",$R485,1))</f>
        <v/>
      </c>
      <c r="AA485" s="4" t="str">
        <f>IF(Y485="","",SUMIFS(Prod_Prop!$J:$J,Prod_Prop!$B:$B,$Q485,Prod_Prop!$H:$H,Y485,Prod_Prop!$I:$I,AA$1)*IF(Y485="Peso",$R485,1))</f>
        <v/>
      </c>
      <c r="AB485" s="4" t="str">
        <f>IFERROR(__xludf.DUMMYFUNCTION("IF(OR($U485="""",COUNTIF($I:$I,IFERROR(unique(filter(Prod_Prop!$H:$H,Prod_Prop!$G:$G=$U485,Prod_Prop!$E:$E=AB$1)),""Check""))=0),"""",IFERROR(unique(filter(Prod_Prop!$H:$H,Prod_Prop!$G:$G=$U485,Prod_Prop!$E:$E=AB$1)),""""))"),"")</f>
        <v/>
      </c>
      <c r="AC485" s="4" t="str">
        <f>IF(AB485="","",SUMIFS(Prod_Prop!$J:$J,Prod_Prop!$B:$B,$Q485,Prod_Prop!$H:$H,AB485,Prod_Prop!$I:$I,AC$1)*IF(AB485="Peso",$R485,1))</f>
        <v/>
      </c>
      <c r="AD485" s="4" t="str">
        <f>IF(AB485="","",SUMIFS(Prod_Prop!$J:$J,Prod_Prop!$B:$B,$Q485,Prod_Prop!$H:$H,AB485,Prod_Prop!$I:$I,AD$1)*IF(AB485="Peso",$R485,1))</f>
        <v/>
      </c>
    </row>
    <row r="486">
      <c r="A486" s="4" t="str">
        <f t="array" ref="A486">IF(COUNTIF(A$1:A485,Cotizador!F$2)=maxifs(Familias!E:E,Familias!D:D,Cotizador!F$2),IF(COUNTIF(A$1:A485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6" s="4" t="str">
        <f t="shared" si="1"/>
        <v/>
      </c>
      <c r="C486" s="4" t="str">
        <f t="array" ref="C486">IF(B486="","",IF(A486=XLOOKUP(A$2,Implementos!B:B,Implementos!C:C,"",0,1),B486+maxifs(B$1:B485,A$1:A485,A$2),B486))</f>
        <v/>
      </c>
      <c r="D486" s="4" t="str">
        <f>IF(B486="","", COUNTIFS(Productos!F:F,A486,Productos!H:H,B486)+IF(F486="SI",0,1))</f>
        <v/>
      </c>
      <c r="E486" s="4" t="str">
        <f>IFERROR(__xludf.DUMMYFUNCTION("IF($B486="""","""",INDEX(filter(Familias!F:F,Familias!$D:$D=$A486,Familias!$E:$E=$B486),1))"),"")</f>
        <v/>
      </c>
      <c r="F486" s="4" t="str">
        <f>IFERROR(__xludf.DUMMYFUNCTION("IF($B486="""","""",INDEX(filter(Familias!G:G,Familias!$D:$D=$A486,Familias!$E:$E=$B486),1))"),"")</f>
        <v/>
      </c>
      <c r="G486" s="4" t="str">
        <f t="array" ref="G486">IF(C486=1,XLOOKUP(C486,Cotizador!D:D,Cotizador!E:E,"",0,1),"")</f>
        <v/>
      </c>
      <c r="I486" s="4"/>
      <c r="J486" s="8" t="str">
        <f>IF(I486="","",SUMIF(Cotizador!I$1:V$1,I486,Cotizador!I$2:V$2))</f>
        <v/>
      </c>
      <c r="L486" s="4" t="str">
        <f t="array" ref="L486">IF(COUNTIF(L$1:L485,A$2)=SUMIF(A:A,A$2,D:D),IF(COUNTIF(L$1:L485,XLOOKUP(A$2,Implementos!B:B,Implementos!C:C,"",0,1))=SUMIF(A:A,XLOOKUP(A$2,Implementos!B:B,Implementos!C:C,"",0,1),D:D),"",XLOOKUP(A$2,Implementos!B:B,Implementos!C:C,"",0,1)),A$2)</f>
        <v/>
      </c>
      <c r="M486" s="4" t="str">
        <f t="shared" si="2"/>
        <v/>
      </c>
      <c r="N486" s="4" t="str">
        <f t="shared" si="3"/>
        <v/>
      </c>
      <c r="O486" s="4" t="str">
        <f t="shared" si="4"/>
        <v/>
      </c>
      <c r="P486" s="4" t="str">
        <f t="shared" si="5"/>
        <v/>
      </c>
      <c r="Q486" s="4" t="str">
        <f>IF(U486="","",SUMIF(Productos!E:E,U486,Productos!A:A))</f>
        <v/>
      </c>
      <c r="R486" s="4" t="str">
        <f t="array" ref="R486">IF(L486="","", max(1,SUMIF(I:I,XLOOKUP(U486,Productos!E:E,Productos!G:G,"",0,1),J:J)))</f>
        <v/>
      </c>
      <c r="S486" s="4" t="str">
        <f>IF(Q486="","",IF(SUMIFS(Compat_Vetado!D:D,Compat_Vetado!B:B,SUM(G:G),Compat_Vetado!C:C,Q486)=1,"SI",IF(OR(SUMIF(Cotizador!E:E,Q486,Cotizador!G:G)&gt;0,SUMIFS(Compat_Vetado!D:D,Compat_Vetado!B:B,SUM(G:G),Compat_Vetado!C:C,Q486)=-1),"NO","")))</f>
        <v/>
      </c>
      <c r="T486" s="4" t="str">
        <f t="shared" si="6"/>
        <v/>
      </c>
      <c r="U486" s="4" t="str">
        <f>IFERROR(__xludf.DUMMYFUNCTION("IF(P486="""","""",IFERROR(INDEX(filter(Productos!E:E,Productos!F:F=L486,Productos!H:H=N486),P486),IF(M486=SUM(D:D),""Finalizar"",""-"")))"),"")</f>
        <v/>
      </c>
      <c r="V486" s="4" t="str">
        <f>IFERROR(__xludf.DUMMYFUNCTION("IF(OR($U486="""",COUNTIF($I:$I,IFERROR(unique(filter(Prod_Prop!$H:$H,Prod_Prop!$G:$G=$U486,Prod_Prop!$E:$E=V$1)),""Check""))=0),"""",IFERROR(unique(filter(Prod_Prop!$H:$H,Prod_Prop!$G:$G=$U486,Prod_Prop!$E:$E=V$1)),""""))"),"")</f>
        <v/>
      </c>
      <c r="W486" s="4" t="str">
        <f>IF(V486="","",SUMIFS(Prod_Prop!$J:$J,Prod_Prop!$B:$B,$Q486,Prod_Prop!$H:$H,V486,Prod_Prop!$I:$I,W$1)*IF(V486="Peso",$R486,1))</f>
        <v/>
      </c>
      <c r="X486" s="4" t="str">
        <f>IF(V486="","",SUMIFS(Prod_Prop!$J:$J,Prod_Prop!$B:$B,$Q486,Prod_Prop!$H:$H,V486,Prod_Prop!$I:$I,X$1)*IF(V486="Peso",$R486,1))</f>
        <v/>
      </c>
      <c r="Y486" s="4" t="str">
        <f>IFERROR(__xludf.DUMMYFUNCTION("IF(OR($U486="""",COUNTIF($I:$I,IFERROR(unique(filter(Prod_Prop!$H:$H,Prod_Prop!$G:$G=$U486,Prod_Prop!$E:$E=Y$1)),""Check""))=0),"""",IFERROR(unique(filter(Prod_Prop!$H:$H,Prod_Prop!$G:$G=$U486,Prod_Prop!$E:$E=Y$1)),""""))"),"")</f>
        <v/>
      </c>
      <c r="Z486" s="4" t="str">
        <f>IF(Y486="","",SUMIFS(Prod_Prop!$J:$J,Prod_Prop!$B:$B,$Q486,Prod_Prop!$H:$H,Y486,Prod_Prop!$I:$I,Z$1)*IF(Y486="Peso",$R486,1))</f>
        <v/>
      </c>
      <c r="AA486" s="4" t="str">
        <f>IF(Y486="","",SUMIFS(Prod_Prop!$J:$J,Prod_Prop!$B:$B,$Q486,Prod_Prop!$H:$H,Y486,Prod_Prop!$I:$I,AA$1)*IF(Y486="Peso",$R486,1))</f>
        <v/>
      </c>
      <c r="AB486" s="4" t="str">
        <f>IFERROR(__xludf.DUMMYFUNCTION("IF(OR($U486="""",COUNTIF($I:$I,IFERROR(unique(filter(Prod_Prop!$H:$H,Prod_Prop!$G:$G=$U486,Prod_Prop!$E:$E=AB$1)),""Check""))=0),"""",IFERROR(unique(filter(Prod_Prop!$H:$H,Prod_Prop!$G:$G=$U486,Prod_Prop!$E:$E=AB$1)),""""))"),"")</f>
        <v/>
      </c>
      <c r="AC486" s="4" t="str">
        <f>IF(AB486="","",SUMIFS(Prod_Prop!$J:$J,Prod_Prop!$B:$B,$Q486,Prod_Prop!$H:$H,AB486,Prod_Prop!$I:$I,AC$1)*IF(AB486="Peso",$R486,1))</f>
        <v/>
      </c>
      <c r="AD486" s="4" t="str">
        <f>IF(AB486="","",SUMIFS(Prod_Prop!$J:$J,Prod_Prop!$B:$B,$Q486,Prod_Prop!$H:$H,AB486,Prod_Prop!$I:$I,AD$1)*IF(AB486="Peso",$R486,1))</f>
        <v/>
      </c>
    </row>
    <row r="487">
      <c r="A487" s="4" t="str">
        <f t="array" ref="A487">IF(COUNTIF(A$1:A486,Cotizador!F$2)=maxifs(Familias!E:E,Familias!D:D,Cotizador!F$2),IF(COUNTIF(A$1:A486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7" s="4" t="str">
        <f t="shared" si="1"/>
        <v/>
      </c>
      <c r="C487" s="4" t="str">
        <f t="array" ref="C487">IF(B487="","",IF(A487=XLOOKUP(A$2,Implementos!B:B,Implementos!C:C,"",0,1),B487+maxifs(B$1:B486,A$1:A486,A$2),B487))</f>
        <v/>
      </c>
      <c r="D487" s="4" t="str">
        <f>IF(B487="","", COUNTIFS(Productos!F:F,A487,Productos!H:H,B487)+IF(F487="SI",0,1))</f>
        <v/>
      </c>
      <c r="E487" s="4" t="str">
        <f>IFERROR(__xludf.DUMMYFUNCTION("IF($B487="""","""",INDEX(filter(Familias!F:F,Familias!$D:$D=$A487,Familias!$E:$E=$B487),1))"),"")</f>
        <v/>
      </c>
      <c r="F487" s="4" t="str">
        <f>IFERROR(__xludf.DUMMYFUNCTION("IF($B487="""","""",INDEX(filter(Familias!G:G,Familias!$D:$D=$A487,Familias!$E:$E=$B487),1))"),"")</f>
        <v/>
      </c>
      <c r="G487" s="4" t="str">
        <f t="array" ref="G487">IF(C487=1,XLOOKUP(C487,Cotizador!D:D,Cotizador!E:E,"",0,1),"")</f>
        <v/>
      </c>
      <c r="I487" s="4"/>
      <c r="J487" s="8" t="str">
        <f>IF(I487="","",SUMIF(Cotizador!I$1:V$1,I487,Cotizador!I$2:V$2))</f>
        <v/>
      </c>
      <c r="L487" s="4" t="str">
        <f t="array" ref="L487">IF(COUNTIF(L$1:L486,A$2)=SUMIF(A:A,A$2,D:D),IF(COUNTIF(L$1:L486,XLOOKUP(A$2,Implementos!B:B,Implementos!C:C,"",0,1))=SUMIF(A:A,XLOOKUP(A$2,Implementos!B:B,Implementos!C:C,"",0,1),D:D),"",XLOOKUP(A$2,Implementos!B:B,Implementos!C:C,"",0,1)),A$2)</f>
        <v/>
      </c>
      <c r="M487" s="4" t="str">
        <f t="shared" si="2"/>
        <v/>
      </c>
      <c r="N487" s="4" t="str">
        <f t="shared" si="3"/>
        <v/>
      </c>
      <c r="O487" s="4" t="str">
        <f t="shared" si="4"/>
        <v/>
      </c>
      <c r="P487" s="4" t="str">
        <f t="shared" si="5"/>
        <v/>
      </c>
      <c r="Q487" s="4" t="str">
        <f>IF(U487="","",SUMIF(Productos!E:E,U487,Productos!A:A))</f>
        <v/>
      </c>
      <c r="R487" s="4" t="str">
        <f t="array" ref="R487">IF(L487="","", max(1,SUMIF(I:I,XLOOKUP(U487,Productos!E:E,Productos!G:G,"",0,1),J:J)))</f>
        <v/>
      </c>
      <c r="S487" s="4" t="str">
        <f>IF(Q487="","",IF(SUMIFS(Compat_Vetado!D:D,Compat_Vetado!B:B,SUM(G:G),Compat_Vetado!C:C,Q487)=1,"SI",IF(OR(SUMIF(Cotizador!E:E,Q487,Cotizador!G:G)&gt;0,SUMIFS(Compat_Vetado!D:D,Compat_Vetado!B:B,SUM(G:G),Compat_Vetado!C:C,Q487)=-1),"NO","")))</f>
        <v/>
      </c>
      <c r="T487" s="4" t="str">
        <f t="shared" si="6"/>
        <v/>
      </c>
      <c r="U487" s="4" t="str">
        <f>IFERROR(__xludf.DUMMYFUNCTION("IF(P487="""","""",IFERROR(INDEX(filter(Productos!E:E,Productos!F:F=L487,Productos!H:H=N487),P487),IF(M487=SUM(D:D),""Finalizar"",""-"")))"),"")</f>
        <v/>
      </c>
      <c r="V487" s="4" t="str">
        <f>IFERROR(__xludf.DUMMYFUNCTION("IF(OR($U487="""",COUNTIF($I:$I,IFERROR(unique(filter(Prod_Prop!$H:$H,Prod_Prop!$G:$G=$U487,Prod_Prop!$E:$E=V$1)),""Check""))=0),"""",IFERROR(unique(filter(Prod_Prop!$H:$H,Prod_Prop!$G:$G=$U487,Prod_Prop!$E:$E=V$1)),""""))"),"")</f>
        <v/>
      </c>
      <c r="W487" s="4" t="str">
        <f>IF(V487="","",SUMIFS(Prod_Prop!$J:$J,Prod_Prop!$B:$B,$Q487,Prod_Prop!$H:$H,V487,Prod_Prop!$I:$I,W$1)*IF(V487="Peso",$R487,1))</f>
        <v/>
      </c>
      <c r="X487" s="4" t="str">
        <f>IF(V487="","",SUMIFS(Prod_Prop!$J:$J,Prod_Prop!$B:$B,$Q487,Prod_Prop!$H:$H,V487,Prod_Prop!$I:$I,X$1)*IF(V487="Peso",$R487,1))</f>
        <v/>
      </c>
      <c r="Y487" s="4" t="str">
        <f>IFERROR(__xludf.DUMMYFUNCTION("IF(OR($U487="""",COUNTIF($I:$I,IFERROR(unique(filter(Prod_Prop!$H:$H,Prod_Prop!$G:$G=$U487,Prod_Prop!$E:$E=Y$1)),""Check""))=0),"""",IFERROR(unique(filter(Prod_Prop!$H:$H,Prod_Prop!$G:$G=$U487,Prod_Prop!$E:$E=Y$1)),""""))"),"")</f>
        <v/>
      </c>
      <c r="Z487" s="4" t="str">
        <f>IF(Y487="","",SUMIFS(Prod_Prop!$J:$J,Prod_Prop!$B:$B,$Q487,Prod_Prop!$H:$H,Y487,Prod_Prop!$I:$I,Z$1)*IF(Y487="Peso",$R487,1))</f>
        <v/>
      </c>
      <c r="AA487" s="4" t="str">
        <f>IF(Y487="","",SUMIFS(Prod_Prop!$J:$J,Prod_Prop!$B:$B,$Q487,Prod_Prop!$H:$H,Y487,Prod_Prop!$I:$I,AA$1)*IF(Y487="Peso",$R487,1))</f>
        <v/>
      </c>
      <c r="AB487" s="4" t="str">
        <f>IFERROR(__xludf.DUMMYFUNCTION("IF(OR($U487="""",COUNTIF($I:$I,IFERROR(unique(filter(Prod_Prop!$H:$H,Prod_Prop!$G:$G=$U487,Prod_Prop!$E:$E=AB$1)),""Check""))=0),"""",IFERROR(unique(filter(Prod_Prop!$H:$H,Prod_Prop!$G:$G=$U487,Prod_Prop!$E:$E=AB$1)),""""))"),"")</f>
        <v/>
      </c>
      <c r="AC487" s="4" t="str">
        <f>IF(AB487="","",SUMIFS(Prod_Prop!$J:$J,Prod_Prop!$B:$B,$Q487,Prod_Prop!$H:$H,AB487,Prod_Prop!$I:$I,AC$1)*IF(AB487="Peso",$R487,1))</f>
        <v/>
      </c>
      <c r="AD487" s="4" t="str">
        <f>IF(AB487="","",SUMIFS(Prod_Prop!$J:$J,Prod_Prop!$B:$B,$Q487,Prod_Prop!$H:$H,AB487,Prod_Prop!$I:$I,AD$1)*IF(AB487="Peso",$R487,1))</f>
        <v/>
      </c>
    </row>
    <row r="488">
      <c r="A488" s="4" t="str">
        <f t="array" ref="A488">IF(COUNTIF(A$1:A487,Cotizador!F$2)=maxifs(Familias!E:E,Familias!D:D,Cotizador!F$2),IF(COUNTIF(A$1:A487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8" s="4" t="str">
        <f t="shared" si="1"/>
        <v/>
      </c>
      <c r="C488" s="4" t="str">
        <f t="array" ref="C488">IF(B488="","",IF(A488=XLOOKUP(A$2,Implementos!B:B,Implementos!C:C,"",0,1),B488+maxifs(B$1:B487,A$1:A487,A$2),B488))</f>
        <v/>
      </c>
      <c r="D488" s="4" t="str">
        <f>IF(B488="","", COUNTIFS(Productos!F:F,A488,Productos!H:H,B488)+IF(F488="SI",0,1))</f>
        <v/>
      </c>
      <c r="E488" s="4" t="str">
        <f>IFERROR(__xludf.DUMMYFUNCTION("IF($B488="""","""",INDEX(filter(Familias!F:F,Familias!$D:$D=$A488,Familias!$E:$E=$B488),1))"),"")</f>
        <v/>
      </c>
      <c r="F488" s="4" t="str">
        <f>IFERROR(__xludf.DUMMYFUNCTION("IF($B488="""","""",INDEX(filter(Familias!G:G,Familias!$D:$D=$A488,Familias!$E:$E=$B488),1))"),"")</f>
        <v/>
      </c>
      <c r="G488" s="4" t="str">
        <f t="array" ref="G488">IF(C488=1,XLOOKUP(C488,Cotizador!D:D,Cotizador!E:E,"",0,1),"")</f>
        <v/>
      </c>
      <c r="I488" s="4"/>
      <c r="J488" s="8" t="str">
        <f>IF(I488="","",SUMIF(Cotizador!I$1:V$1,I488,Cotizador!I$2:V$2))</f>
        <v/>
      </c>
      <c r="L488" s="4" t="str">
        <f t="array" ref="L488">IF(COUNTIF(L$1:L487,A$2)=SUMIF(A:A,A$2,D:D),IF(COUNTIF(L$1:L487,XLOOKUP(A$2,Implementos!B:B,Implementos!C:C,"",0,1))=SUMIF(A:A,XLOOKUP(A$2,Implementos!B:B,Implementos!C:C,"",0,1),D:D),"",XLOOKUP(A$2,Implementos!B:B,Implementos!C:C,"",0,1)),A$2)</f>
        <v/>
      </c>
      <c r="M488" s="4" t="str">
        <f t="shared" si="2"/>
        <v/>
      </c>
      <c r="N488" s="4" t="str">
        <f t="shared" si="3"/>
        <v/>
      </c>
      <c r="O488" s="4" t="str">
        <f t="shared" si="4"/>
        <v/>
      </c>
      <c r="P488" s="4" t="str">
        <f t="shared" si="5"/>
        <v/>
      </c>
      <c r="Q488" s="4" t="str">
        <f>IF(U488="","",SUMIF(Productos!E:E,U488,Productos!A:A))</f>
        <v/>
      </c>
      <c r="R488" s="4" t="str">
        <f t="array" ref="R488">IF(L488="","", max(1,SUMIF(I:I,XLOOKUP(U488,Productos!E:E,Productos!G:G,"",0,1),J:J)))</f>
        <v/>
      </c>
      <c r="S488" s="4" t="str">
        <f>IF(Q488="","",IF(SUMIFS(Compat_Vetado!D:D,Compat_Vetado!B:B,SUM(G:G),Compat_Vetado!C:C,Q488)=1,"SI",IF(OR(SUMIF(Cotizador!E:E,Q488,Cotizador!G:G)&gt;0,SUMIFS(Compat_Vetado!D:D,Compat_Vetado!B:B,SUM(G:G),Compat_Vetado!C:C,Q488)=-1),"NO","")))</f>
        <v/>
      </c>
      <c r="T488" s="4" t="str">
        <f t="shared" si="6"/>
        <v/>
      </c>
      <c r="U488" s="4" t="str">
        <f>IFERROR(__xludf.DUMMYFUNCTION("IF(P488="""","""",IFERROR(INDEX(filter(Productos!E:E,Productos!F:F=L488,Productos!H:H=N488),P488),IF(M488=SUM(D:D),""Finalizar"",""-"")))"),"")</f>
        <v/>
      </c>
      <c r="V488" s="4" t="str">
        <f>IFERROR(__xludf.DUMMYFUNCTION("IF(OR($U488="""",COUNTIF($I:$I,IFERROR(unique(filter(Prod_Prop!$H:$H,Prod_Prop!$G:$G=$U488,Prod_Prop!$E:$E=V$1)),""Check""))=0),"""",IFERROR(unique(filter(Prod_Prop!$H:$H,Prod_Prop!$G:$G=$U488,Prod_Prop!$E:$E=V$1)),""""))"),"")</f>
        <v/>
      </c>
      <c r="W488" s="4" t="str">
        <f>IF(V488="","",SUMIFS(Prod_Prop!$J:$J,Prod_Prop!$B:$B,$Q488,Prod_Prop!$H:$H,V488,Prod_Prop!$I:$I,W$1)*IF(V488="Peso",$R488,1))</f>
        <v/>
      </c>
      <c r="X488" s="4" t="str">
        <f>IF(V488="","",SUMIFS(Prod_Prop!$J:$J,Prod_Prop!$B:$B,$Q488,Prod_Prop!$H:$H,V488,Prod_Prop!$I:$I,X$1)*IF(V488="Peso",$R488,1))</f>
        <v/>
      </c>
      <c r="Y488" s="4" t="str">
        <f>IFERROR(__xludf.DUMMYFUNCTION("IF(OR($U488="""",COUNTIF($I:$I,IFERROR(unique(filter(Prod_Prop!$H:$H,Prod_Prop!$G:$G=$U488,Prod_Prop!$E:$E=Y$1)),""Check""))=0),"""",IFERROR(unique(filter(Prod_Prop!$H:$H,Prod_Prop!$G:$G=$U488,Prod_Prop!$E:$E=Y$1)),""""))"),"")</f>
        <v/>
      </c>
      <c r="Z488" s="4" t="str">
        <f>IF(Y488="","",SUMIFS(Prod_Prop!$J:$J,Prod_Prop!$B:$B,$Q488,Prod_Prop!$H:$H,Y488,Prod_Prop!$I:$I,Z$1)*IF(Y488="Peso",$R488,1))</f>
        <v/>
      </c>
      <c r="AA488" s="4" t="str">
        <f>IF(Y488="","",SUMIFS(Prod_Prop!$J:$J,Prod_Prop!$B:$B,$Q488,Prod_Prop!$H:$H,Y488,Prod_Prop!$I:$I,AA$1)*IF(Y488="Peso",$R488,1))</f>
        <v/>
      </c>
      <c r="AB488" s="4" t="str">
        <f>IFERROR(__xludf.DUMMYFUNCTION("IF(OR($U488="""",COUNTIF($I:$I,IFERROR(unique(filter(Prod_Prop!$H:$H,Prod_Prop!$G:$G=$U488,Prod_Prop!$E:$E=AB$1)),""Check""))=0),"""",IFERROR(unique(filter(Prod_Prop!$H:$H,Prod_Prop!$G:$G=$U488,Prod_Prop!$E:$E=AB$1)),""""))"),"")</f>
        <v/>
      </c>
      <c r="AC488" s="4" t="str">
        <f>IF(AB488="","",SUMIFS(Prod_Prop!$J:$J,Prod_Prop!$B:$B,$Q488,Prod_Prop!$H:$H,AB488,Prod_Prop!$I:$I,AC$1)*IF(AB488="Peso",$R488,1))</f>
        <v/>
      </c>
      <c r="AD488" s="4" t="str">
        <f>IF(AB488="","",SUMIFS(Prod_Prop!$J:$J,Prod_Prop!$B:$B,$Q488,Prod_Prop!$H:$H,AB488,Prod_Prop!$I:$I,AD$1)*IF(AB488="Peso",$R488,1))</f>
        <v/>
      </c>
    </row>
    <row r="489">
      <c r="A489" s="4" t="str">
        <f t="array" ref="A489">IF(COUNTIF(A$1:A488,Cotizador!F$2)=maxifs(Familias!E:E,Familias!D:D,Cotizador!F$2),IF(COUNTIF(A$1:A488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89" s="4" t="str">
        <f t="shared" si="1"/>
        <v/>
      </c>
      <c r="C489" s="4" t="str">
        <f t="array" ref="C489">IF(B489="","",IF(A489=XLOOKUP(A$2,Implementos!B:B,Implementos!C:C,"",0,1),B489+maxifs(B$1:B488,A$1:A488,A$2),B489))</f>
        <v/>
      </c>
      <c r="D489" s="4" t="str">
        <f>IF(B489="","", COUNTIFS(Productos!F:F,A489,Productos!H:H,B489)+IF(F489="SI",0,1))</f>
        <v/>
      </c>
      <c r="E489" s="4" t="str">
        <f>IFERROR(__xludf.DUMMYFUNCTION("IF($B489="""","""",INDEX(filter(Familias!F:F,Familias!$D:$D=$A489,Familias!$E:$E=$B489),1))"),"")</f>
        <v/>
      </c>
      <c r="F489" s="4" t="str">
        <f>IFERROR(__xludf.DUMMYFUNCTION("IF($B489="""","""",INDEX(filter(Familias!G:G,Familias!$D:$D=$A489,Familias!$E:$E=$B489),1))"),"")</f>
        <v/>
      </c>
      <c r="G489" s="4" t="str">
        <f t="array" ref="G489">IF(C489=1,XLOOKUP(C489,Cotizador!D:D,Cotizador!E:E,"",0,1),"")</f>
        <v/>
      </c>
      <c r="I489" s="4"/>
      <c r="J489" s="8" t="str">
        <f>IF(I489="","",SUMIF(Cotizador!I$1:V$1,I489,Cotizador!I$2:V$2))</f>
        <v/>
      </c>
      <c r="L489" s="4" t="str">
        <f t="array" ref="L489">IF(COUNTIF(L$1:L488,A$2)=SUMIF(A:A,A$2,D:D),IF(COUNTIF(L$1:L488,XLOOKUP(A$2,Implementos!B:B,Implementos!C:C,"",0,1))=SUMIF(A:A,XLOOKUP(A$2,Implementos!B:B,Implementos!C:C,"",0,1),D:D),"",XLOOKUP(A$2,Implementos!B:B,Implementos!C:C,"",0,1)),A$2)</f>
        <v/>
      </c>
      <c r="M489" s="4" t="str">
        <f t="shared" si="2"/>
        <v/>
      </c>
      <c r="N489" s="4" t="str">
        <f t="shared" si="3"/>
        <v/>
      </c>
      <c r="O489" s="4" t="str">
        <f t="shared" si="4"/>
        <v/>
      </c>
      <c r="P489" s="4" t="str">
        <f t="shared" si="5"/>
        <v/>
      </c>
      <c r="Q489" s="4" t="str">
        <f>IF(U489="","",SUMIF(Productos!E:E,U489,Productos!A:A))</f>
        <v/>
      </c>
      <c r="R489" s="4" t="str">
        <f t="array" ref="R489">IF(L489="","", max(1,SUMIF(I:I,XLOOKUP(U489,Productos!E:E,Productos!G:G,"",0,1),J:J)))</f>
        <v/>
      </c>
      <c r="S489" s="4" t="str">
        <f>IF(Q489="","",IF(SUMIFS(Compat_Vetado!D:D,Compat_Vetado!B:B,SUM(G:G),Compat_Vetado!C:C,Q489)=1,"SI",IF(OR(SUMIF(Cotizador!E:E,Q489,Cotizador!G:G)&gt;0,SUMIFS(Compat_Vetado!D:D,Compat_Vetado!B:B,SUM(G:G),Compat_Vetado!C:C,Q489)=-1),"NO","")))</f>
        <v/>
      </c>
      <c r="T489" s="4" t="str">
        <f t="shared" si="6"/>
        <v/>
      </c>
      <c r="U489" s="4" t="str">
        <f>IFERROR(__xludf.DUMMYFUNCTION("IF(P489="""","""",IFERROR(INDEX(filter(Productos!E:E,Productos!F:F=L489,Productos!H:H=N489),P489),IF(M489=SUM(D:D),""Finalizar"",""-"")))"),"")</f>
        <v/>
      </c>
      <c r="V489" s="4" t="str">
        <f>IFERROR(__xludf.DUMMYFUNCTION("IF(OR($U489="""",COUNTIF($I:$I,IFERROR(unique(filter(Prod_Prop!$H:$H,Prod_Prop!$G:$G=$U489,Prod_Prop!$E:$E=V$1)),""Check""))=0),"""",IFERROR(unique(filter(Prod_Prop!$H:$H,Prod_Prop!$G:$G=$U489,Prod_Prop!$E:$E=V$1)),""""))"),"")</f>
        <v/>
      </c>
      <c r="W489" s="4" t="str">
        <f>IF(V489="","",SUMIFS(Prod_Prop!$J:$J,Prod_Prop!$B:$B,$Q489,Prod_Prop!$H:$H,V489,Prod_Prop!$I:$I,W$1)*IF(V489="Peso",$R489,1))</f>
        <v/>
      </c>
      <c r="X489" s="4" t="str">
        <f>IF(V489="","",SUMIFS(Prod_Prop!$J:$J,Prod_Prop!$B:$B,$Q489,Prod_Prop!$H:$H,V489,Prod_Prop!$I:$I,X$1)*IF(V489="Peso",$R489,1))</f>
        <v/>
      </c>
      <c r="Y489" s="4" t="str">
        <f>IFERROR(__xludf.DUMMYFUNCTION("IF(OR($U489="""",COUNTIF($I:$I,IFERROR(unique(filter(Prod_Prop!$H:$H,Prod_Prop!$G:$G=$U489,Prod_Prop!$E:$E=Y$1)),""Check""))=0),"""",IFERROR(unique(filter(Prod_Prop!$H:$H,Prod_Prop!$G:$G=$U489,Prod_Prop!$E:$E=Y$1)),""""))"),"")</f>
        <v/>
      </c>
      <c r="Z489" s="4" t="str">
        <f>IF(Y489="","",SUMIFS(Prod_Prop!$J:$J,Prod_Prop!$B:$B,$Q489,Prod_Prop!$H:$H,Y489,Prod_Prop!$I:$I,Z$1)*IF(Y489="Peso",$R489,1))</f>
        <v/>
      </c>
      <c r="AA489" s="4" t="str">
        <f>IF(Y489="","",SUMIFS(Prod_Prop!$J:$J,Prod_Prop!$B:$B,$Q489,Prod_Prop!$H:$H,Y489,Prod_Prop!$I:$I,AA$1)*IF(Y489="Peso",$R489,1))</f>
        <v/>
      </c>
      <c r="AB489" s="4" t="str">
        <f>IFERROR(__xludf.DUMMYFUNCTION("IF(OR($U489="""",COUNTIF($I:$I,IFERROR(unique(filter(Prod_Prop!$H:$H,Prod_Prop!$G:$G=$U489,Prod_Prop!$E:$E=AB$1)),""Check""))=0),"""",IFERROR(unique(filter(Prod_Prop!$H:$H,Prod_Prop!$G:$G=$U489,Prod_Prop!$E:$E=AB$1)),""""))"),"")</f>
        <v/>
      </c>
      <c r="AC489" s="4" t="str">
        <f>IF(AB489="","",SUMIFS(Prod_Prop!$J:$J,Prod_Prop!$B:$B,$Q489,Prod_Prop!$H:$H,AB489,Prod_Prop!$I:$I,AC$1)*IF(AB489="Peso",$R489,1))</f>
        <v/>
      </c>
      <c r="AD489" s="4" t="str">
        <f>IF(AB489="","",SUMIFS(Prod_Prop!$J:$J,Prod_Prop!$B:$B,$Q489,Prod_Prop!$H:$H,AB489,Prod_Prop!$I:$I,AD$1)*IF(AB489="Peso",$R489,1))</f>
        <v/>
      </c>
    </row>
    <row r="490">
      <c r="A490" s="4" t="str">
        <f t="array" ref="A490">IF(COUNTIF(A$1:A489,Cotizador!F$2)=maxifs(Familias!E:E,Familias!D:D,Cotizador!F$2),IF(COUNTIF(A$1:A489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0" s="4" t="str">
        <f t="shared" si="1"/>
        <v/>
      </c>
      <c r="C490" s="4" t="str">
        <f t="array" ref="C490">IF(B490="","",IF(A490=XLOOKUP(A$2,Implementos!B:B,Implementos!C:C,"",0,1),B490+maxifs(B$1:B489,A$1:A489,A$2),B490))</f>
        <v/>
      </c>
      <c r="D490" s="4" t="str">
        <f>IF(B490="","", COUNTIFS(Productos!F:F,A490,Productos!H:H,B490)+IF(F490="SI",0,1))</f>
        <v/>
      </c>
      <c r="E490" s="4" t="str">
        <f>IFERROR(__xludf.DUMMYFUNCTION("IF($B490="""","""",INDEX(filter(Familias!F:F,Familias!$D:$D=$A490,Familias!$E:$E=$B490),1))"),"")</f>
        <v/>
      </c>
      <c r="F490" s="4" t="str">
        <f>IFERROR(__xludf.DUMMYFUNCTION("IF($B490="""","""",INDEX(filter(Familias!G:G,Familias!$D:$D=$A490,Familias!$E:$E=$B490),1))"),"")</f>
        <v/>
      </c>
      <c r="G490" s="4" t="str">
        <f t="array" ref="G490">IF(C490=1,XLOOKUP(C490,Cotizador!D:D,Cotizador!E:E,"",0,1),"")</f>
        <v/>
      </c>
      <c r="I490" s="4"/>
      <c r="J490" s="8" t="str">
        <f>IF(I490="","",SUMIF(Cotizador!I$1:V$1,I490,Cotizador!I$2:V$2))</f>
        <v/>
      </c>
      <c r="L490" s="4" t="str">
        <f t="array" ref="L490">IF(COUNTIF(L$1:L489,A$2)=SUMIF(A:A,A$2,D:D),IF(COUNTIF(L$1:L489,XLOOKUP(A$2,Implementos!B:B,Implementos!C:C,"",0,1))=SUMIF(A:A,XLOOKUP(A$2,Implementos!B:B,Implementos!C:C,"",0,1),D:D),"",XLOOKUP(A$2,Implementos!B:B,Implementos!C:C,"",0,1)),A$2)</f>
        <v/>
      </c>
      <c r="M490" s="4" t="str">
        <f t="shared" si="2"/>
        <v/>
      </c>
      <c r="N490" s="4" t="str">
        <f t="shared" si="3"/>
        <v/>
      </c>
      <c r="O490" s="4" t="str">
        <f t="shared" si="4"/>
        <v/>
      </c>
      <c r="P490" s="4" t="str">
        <f t="shared" si="5"/>
        <v/>
      </c>
      <c r="Q490" s="4" t="str">
        <f>IF(U490="","",SUMIF(Productos!E:E,U490,Productos!A:A))</f>
        <v/>
      </c>
      <c r="R490" s="4" t="str">
        <f t="array" ref="R490">IF(L490="","", max(1,SUMIF(I:I,XLOOKUP(U490,Productos!E:E,Productos!G:G,"",0,1),J:J)))</f>
        <v/>
      </c>
      <c r="S490" s="4" t="str">
        <f>IF(Q490="","",IF(SUMIFS(Compat_Vetado!D:D,Compat_Vetado!B:B,SUM(G:G),Compat_Vetado!C:C,Q490)=1,"SI",IF(OR(SUMIF(Cotizador!E:E,Q490,Cotizador!G:G)&gt;0,SUMIFS(Compat_Vetado!D:D,Compat_Vetado!B:B,SUM(G:G),Compat_Vetado!C:C,Q490)=-1),"NO","")))</f>
        <v/>
      </c>
      <c r="T490" s="4" t="str">
        <f t="shared" si="6"/>
        <v/>
      </c>
      <c r="U490" s="4" t="str">
        <f>IFERROR(__xludf.DUMMYFUNCTION("IF(P490="""","""",IFERROR(INDEX(filter(Productos!E:E,Productos!F:F=L490,Productos!H:H=N490),P490),IF(M490=SUM(D:D),""Finalizar"",""-"")))"),"")</f>
        <v/>
      </c>
      <c r="V490" s="4" t="str">
        <f>IFERROR(__xludf.DUMMYFUNCTION("IF(OR($U490="""",COUNTIF($I:$I,IFERROR(unique(filter(Prod_Prop!$H:$H,Prod_Prop!$G:$G=$U490,Prod_Prop!$E:$E=V$1)),""Check""))=0),"""",IFERROR(unique(filter(Prod_Prop!$H:$H,Prod_Prop!$G:$G=$U490,Prod_Prop!$E:$E=V$1)),""""))"),"")</f>
        <v/>
      </c>
      <c r="W490" s="4" t="str">
        <f>IF(V490="","",SUMIFS(Prod_Prop!$J:$J,Prod_Prop!$B:$B,$Q490,Prod_Prop!$H:$H,V490,Prod_Prop!$I:$I,W$1)*IF(V490="Peso",$R490,1))</f>
        <v/>
      </c>
      <c r="X490" s="4" t="str">
        <f>IF(V490="","",SUMIFS(Prod_Prop!$J:$J,Prod_Prop!$B:$B,$Q490,Prod_Prop!$H:$H,V490,Prod_Prop!$I:$I,X$1)*IF(V490="Peso",$R490,1))</f>
        <v/>
      </c>
      <c r="Y490" s="4" t="str">
        <f>IFERROR(__xludf.DUMMYFUNCTION("IF(OR($U490="""",COUNTIF($I:$I,IFERROR(unique(filter(Prod_Prop!$H:$H,Prod_Prop!$G:$G=$U490,Prod_Prop!$E:$E=Y$1)),""Check""))=0),"""",IFERROR(unique(filter(Prod_Prop!$H:$H,Prod_Prop!$G:$G=$U490,Prod_Prop!$E:$E=Y$1)),""""))"),"")</f>
        <v/>
      </c>
      <c r="Z490" s="4" t="str">
        <f>IF(Y490="","",SUMIFS(Prod_Prop!$J:$J,Prod_Prop!$B:$B,$Q490,Prod_Prop!$H:$H,Y490,Prod_Prop!$I:$I,Z$1)*IF(Y490="Peso",$R490,1))</f>
        <v/>
      </c>
      <c r="AA490" s="4" t="str">
        <f>IF(Y490="","",SUMIFS(Prod_Prop!$J:$J,Prod_Prop!$B:$B,$Q490,Prod_Prop!$H:$H,Y490,Prod_Prop!$I:$I,AA$1)*IF(Y490="Peso",$R490,1))</f>
        <v/>
      </c>
      <c r="AB490" s="4" t="str">
        <f>IFERROR(__xludf.DUMMYFUNCTION("IF(OR($U490="""",COUNTIF($I:$I,IFERROR(unique(filter(Prod_Prop!$H:$H,Prod_Prop!$G:$G=$U490,Prod_Prop!$E:$E=AB$1)),""Check""))=0),"""",IFERROR(unique(filter(Prod_Prop!$H:$H,Prod_Prop!$G:$G=$U490,Prod_Prop!$E:$E=AB$1)),""""))"),"")</f>
        <v/>
      </c>
      <c r="AC490" s="4" t="str">
        <f>IF(AB490="","",SUMIFS(Prod_Prop!$J:$J,Prod_Prop!$B:$B,$Q490,Prod_Prop!$H:$H,AB490,Prod_Prop!$I:$I,AC$1)*IF(AB490="Peso",$R490,1))</f>
        <v/>
      </c>
      <c r="AD490" s="4" t="str">
        <f>IF(AB490="","",SUMIFS(Prod_Prop!$J:$J,Prod_Prop!$B:$B,$Q490,Prod_Prop!$H:$H,AB490,Prod_Prop!$I:$I,AD$1)*IF(AB490="Peso",$R490,1))</f>
        <v/>
      </c>
    </row>
    <row r="491">
      <c r="A491" s="4" t="str">
        <f t="array" ref="A491">IF(COUNTIF(A$1:A490,Cotizador!F$2)=maxifs(Familias!E:E,Familias!D:D,Cotizador!F$2),IF(COUNTIF(A$1:A490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1" s="4" t="str">
        <f t="shared" si="1"/>
        <v/>
      </c>
      <c r="C491" s="4" t="str">
        <f t="array" ref="C491">IF(B491="","",IF(A491=XLOOKUP(A$2,Implementos!B:B,Implementos!C:C,"",0,1),B491+maxifs(B$1:B490,A$1:A490,A$2),B491))</f>
        <v/>
      </c>
      <c r="D491" s="4" t="str">
        <f>IF(B491="","", COUNTIFS(Productos!F:F,A491,Productos!H:H,B491)+IF(F491="SI",0,1))</f>
        <v/>
      </c>
      <c r="E491" s="4" t="str">
        <f>IFERROR(__xludf.DUMMYFUNCTION("IF($B491="""","""",INDEX(filter(Familias!F:F,Familias!$D:$D=$A491,Familias!$E:$E=$B491),1))"),"")</f>
        <v/>
      </c>
      <c r="F491" s="4" t="str">
        <f>IFERROR(__xludf.DUMMYFUNCTION("IF($B491="""","""",INDEX(filter(Familias!G:G,Familias!$D:$D=$A491,Familias!$E:$E=$B491),1))"),"")</f>
        <v/>
      </c>
      <c r="G491" s="4" t="str">
        <f t="array" ref="G491">IF(C491=1,XLOOKUP(C491,Cotizador!D:D,Cotizador!E:E,"",0,1),"")</f>
        <v/>
      </c>
      <c r="I491" s="4"/>
      <c r="J491" s="8" t="str">
        <f>IF(I491="","",SUMIF(Cotizador!I$1:V$1,I491,Cotizador!I$2:V$2))</f>
        <v/>
      </c>
      <c r="L491" s="4" t="str">
        <f t="array" ref="L491">IF(COUNTIF(L$1:L490,A$2)=SUMIF(A:A,A$2,D:D),IF(COUNTIF(L$1:L490,XLOOKUP(A$2,Implementos!B:B,Implementos!C:C,"",0,1))=SUMIF(A:A,XLOOKUP(A$2,Implementos!B:B,Implementos!C:C,"",0,1),D:D),"",XLOOKUP(A$2,Implementos!B:B,Implementos!C:C,"",0,1)),A$2)</f>
        <v/>
      </c>
      <c r="M491" s="4" t="str">
        <f t="shared" si="2"/>
        <v/>
      </c>
      <c r="N491" s="4" t="str">
        <f t="shared" si="3"/>
        <v/>
      </c>
      <c r="O491" s="4" t="str">
        <f t="shared" si="4"/>
        <v/>
      </c>
      <c r="P491" s="4" t="str">
        <f t="shared" si="5"/>
        <v/>
      </c>
      <c r="Q491" s="4" t="str">
        <f>IF(U491="","",SUMIF(Productos!E:E,U491,Productos!A:A))</f>
        <v/>
      </c>
      <c r="R491" s="4" t="str">
        <f t="array" ref="R491">IF(L491="","", max(1,SUMIF(I:I,XLOOKUP(U491,Productos!E:E,Productos!G:G,"",0,1),J:J)))</f>
        <v/>
      </c>
      <c r="S491" s="4" t="str">
        <f>IF(Q491="","",IF(SUMIFS(Compat_Vetado!D:D,Compat_Vetado!B:B,SUM(G:G),Compat_Vetado!C:C,Q491)=1,"SI",IF(OR(SUMIF(Cotizador!E:E,Q491,Cotizador!G:G)&gt;0,SUMIFS(Compat_Vetado!D:D,Compat_Vetado!B:B,SUM(G:G),Compat_Vetado!C:C,Q491)=-1),"NO","")))</f>
        <v/>
      </c>
      <c r="T491" s="4" t="str">
        <f t="shared" si="6"/>
        <v/>
      </c>
      <c r="U491" s="4" t="str">
        <f>IFERROR(__xludf.DUMMYFUNCTION("IF(P491="""","""",IFERROR(INDEX(filter(Productos!E:E,Productos!F:F=L491,Productos!H:H=N491),P491),IF(M491=SUM(D:D),""Finalizar"",""-"")))"),"")</f>
        <v/>
      </c>
      <c r="V491" s="4" t="str">
        <f>IFERROR(__xludf.DUMMYFUNCTION("IF(OR($U491="""",COUNTIF($I:$I,IFERROR(unique(filter(Prod_Prop!$H:$H,Prod_Prop!$G:$G=$U491,Prod_Prop!$E:$E=V$1)),""Check""))=0),"""",IFERROR(unique(filter(Prod_Prop!$H:$H,Prod_Prop!$G:$G=$U491,Prod_Prop!$E:$E=V$1)),""""))"),"")</f>
        <v/>
      </c>
      <c r="W491" s="4" t="str">
        <f>IF(V491="","",SUMIFS(Prod_Prop!$J:$J,Prod_Prop!$B:$B,$Q491,Prod_Prop!$H:$H,V491,Prod_Prop!$I:$I,W$1)*IF(V491="Peso",$R491,1))</f>
        <v/>
      </c>
      <c r="X491" s="4" t="str">
        <f>IF(V491="","",SUMIFS(Prod_Prop!$J:$J,Prod_Prop!$B:$B,$Q491,Prod_Prop!$H:$H,V491,Prod_Prop!$I:$I,X$1)*IF(V491="Peso",$R491,1))</f>
        <v/>
      </c>
      <c r="Y491" s="4" t="str">
        <f>IFERROR(__xludf.DUMMYFUNCTION("IF(OR($U491="""",COUNTIF($I:$I,IFERROR(unique(filter(Prod_Prop!$H:$H,Prod_Prop!$G:$G=$U491,Prod_Prop!$E:$E=Y$1)),""Check""))=0),"""",IFERROR(unique(filter(Prod_Prop!$H:$H,Prod_Prop!$G:$G=$U491,Prod_Prop!$E:$E=Y$1)),""""))"),"")</f>
        <v/>
      </c>
      <c r="Z491" s="4" t="str">
        <f>IF(Y491="","",SUMIFS(Prod_Prop!$J:$J,Prod_Prop!$B:$B,$Q491,Prod_Prop!$H:$H,Y491,Prod_Prop!$I:$I,Z$1)*IF(Y491="Peso",$R491,1))</f>
        <v/>
      </c>
      <c r="AA491" s="4" t="str">
        <f>IF(Y491="","",SUMIFS(Prod_Prop!$J:$J,Prod_Prop!$B:$B,$Q491,Prod_Prop!$H:$H,Y491,Prod_Prop!$I:$I,AA$1)*IF(Y491="Peso",$R491,1))</f>
        <v/>
      </c>
      <c r="AB491" s="4" t="str">
        <f>IFERROR(__xludf.DUMMYFUNCTION("IF(OR($U491="""",COUNTIF($I:$I,IFERROR(unique(filter(Prod_Prop!$H:$H,Prod_Prop!$G:$G=$U491,Prod_Prop!$E:$E=AB$1)),""Check""))=0),"""",IFERROR(unique(filter(Prod_Prop!$H:$H,Prod_Prop!$G:$G=$U491,Prod_Prop!$E:$E=AB$1)),""""))"),"")</f>
        <v/>
      </c>
      <c r="AC491" s="4" t="str">
        <f>IF(AB491="","",SUMIFS(Prod_Prop!$J:$J,Prod_Prop!$B:$B,$Q491,Prod_Prop!$H:$H,AB491,Prod_Prop!$I:$I,AC$1)*IF(AB491="Peso",$R491,1))</f>
        <v/>
      </c>
      <c r="AD491" s="4" t="str">
        <f>IF(AB491="","",SUMIFS(Prod_Prop!$J:$J,Prod_Prop!$B:$B,$Q491,Prod_Prop!$H:$H,AB491,Prod_Prop!$I:$I,AD$1)*IF(AB491="Peso",$R491,1))</f>
        <v/>
      </c>
    </row>
    <row r="492">
      <c r="A492" s="4" t="str">
        <f t="array" ref="A492">IF(COUNTIF(A$1:A491,Cotizador!F$2)=maxifs(Familias!E:E,Familias!D:D,Cotizador!F$2),IF(COUNTIF(A$1:A491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2" s="4" t="str">
        <f t="shared" si="1"/>
        <v/>
      </c>
      <c r="C492" s="4" t="str">
        <f t="array" ref="C492">IF(B492="","",IF(A492=XLOOKUP(A$2,Implementos!B:B,Implementos!C:C,"",0,1),B492+maxifs(B$1:B491,A$1:A491,A$2),B492))</f>
        <v/>
      </c>
      <c r="D492" s="4" t="str">
        <f>IF(B492="","", COUNTIFS(Productos!F:F,A492,Productos!H:H,B492)+IF(F492="SI",0,1))</f>
        <v/>
      </c>
      <c r="E492" s="4" t="str">
        <f>IFERROR(__xludf.DUMMYFUNCTION("IF($B492="""","""",INDEX(filter(Familias!F:F,Familias!$D:$D=$A492,Familias!$E:$E=$B492),1))"),"")</f>
        <v/>
      </c>
      <c r="F492" s="4" t="str">
        <f>IFERROR(__xludf.DUMMYFUNCTION("IF($B492="""","""",INDEX(filter(Familias!G:G,Familias!$D:$D=$A492,Familias!$E:$E=$B492),1))"),"")</f>
        <v/>
      </c>
      <c r="G492" s="4" t="str">
        <f t="array" ref="G492">IF(C492=1,XLOOKUP(C492,Cotizador!D:D,Cotizador!E:E,"",0,1),"")</f>
        <v/>
      </c>
      <c r="I492" s="4"/>
      <c r="J492" s="8" t="str">
        <f>IF(I492="","",SUMIF(Cotizador!I$1:V$1,I492,Cotizador!I$2:V$2))</f>
        <v/>
      </c>
      <c r="L492" s="4" t="str">
        <f t="array" ref="L492">IF(COUNTIF(L$1:L491,A$2)=SUMIF(A:A,A$2,D:D),IF(COUNTIF(L$1:L491,XLOOKUP(A$2,Implementos!B:B,Implementos!C:C,"",0,1))=SUMIF(A:A,XLOOKUP(A$2,Implementos!B:B,Implementos!C:C,"",0,1),D:D),"",XLOOKUP(A$2,Implementos!B:B,Implementos!C:C,"",0,1)),A$2)</f>
        <v/>
      </c>
      <c r="M492" s="4" t="str">
        <f t="shared" si="2"/>
        <v/>
      </c>
      <c r="N492" s="4" t="str">
        <f t="shared" si="3"/>
        <v/>
      </c>
      <c r="O492" s="4" t="str">
        <f t="shared" si="4"/>
        <v/>
      </c>
      <c r="P492" s="4" t="str">
        <f t="shared" si="5"/>
        <v/>
      </c>
      <c r="Q492" s="4" t="str">
        <f>IF(U492="","",SUMIF(Productos!E:E,U492,Productos!A:A))</f>
        <v/>
      </c>
      <c r="R492" s="4" t="str">
        <f t="array" ref="R492">IF(L492="","", max(1,SUMIF(I:I,XLOOKUP(U492,Productos!E:E,Productos!G:G,"",0,1),J:J)))</f>
        <v/>
      </c>
      <c r="S492" s="4" t="str">
        <f>IF(Q492="","",IF(SUMIFS(Compat_Vetado!D:D,Compat_Vetado!B:B,SUM(G:G),Compat_Vetado!C:C,Q492)=1,"SI",IF(OR(SUMIF(Cotizador!E:E,Q492,Cotizador!G:G)&gt;0,SUMIFS(Compat_Vetado!D:D,Compat_Vetado!B:B,SUM(G:G),Compat_Vetado!C:C,Q492)=-1),"NO","")))</f>
        <v/>
      </c>
      <c r="T492" s="4" t="str">
        <f t="shared" si="6"/>
        <v/>
      </c>
      <c r="U492" s="4" t="str">
        <f>IFERROR(__xludf.DUMMYFUNCTION("IF(P492="""","""",IFERROR(INDEX(filter(Productos!E:E,Productos!F:F=L492,Productos!H:H=N492),P492),IF(M492=SUM(D:D),""Finalizar"",""-"")))"),"")</f>
        <v/>
      </c>
      <c r="V492" s="4" t="str">
        <f>IFERROR(__xludf.DUMMYFUNCTION("IF(OR($U492="""",COUNTIF($I:$I,IFERROR(unique(filter(Prod_Prop!$H:$H,Prod_Prop!$G:$G=$U492,Prod_Prop!$E:$E=V$1)),""Check""))=0),"""",IFERROR(unique(filter(Prod_Prop!$H:$H,Prod_Prop!$G:$G=$U492,Prod_Prop!$E:$E=V$1)),""""))"),"")</f>
        <v/>
      </c>
      <c r="W492" s="4" t="str">
        <f>IF(V492="","",SUMIFS(Prod_Prop!$J:$J,Prod_Prop!$B:$B,$Q492,Prod_Prop!$H:$H,V492,Prod_Prop!$I:$I,W$1)*IF(V492="Peso",$R492,1))</f>
        <v/>
      </c>
      <c r="X492" s="4" t="str">
        <f>IF(V492="","",SUMIFS(Prod_Prop!$J:$J,Prod_Prop!$B:$B,$Q492,Prod_Prop!$H:$H,V492,Prod_Prop!$I:$I,X$1)*IF(V492="Peso",$R492,1))</f>
        <v/>
      </c>
      <c r="Y492" s="4" t="str">
        <f>IFERROR(__xludf.DUMMYFUNCTION("IF(OR($U492="""",COUNTIF($I:$I,IFERROR(unique(filter(Prod_Prop!$H:$H,Prod_Prop!$G:$G=$U492,Prod_Prop!$E:$E=Y$1)),""Check""))=0),"""",IFERROR(unique(filter(Prod_Prop!$H:$H,Prod_Prop!$G:$G=$U492,Prod_Prop!$E:$E=Y$1)),""""))"),"")</f>
        <v/>
      </c>
      <c r="Z492" s="4" t="str">
        <f>IF(Y492="","",SUMIFS(Prod_Prop!$J:$J,Prod_Prop!$B:$B,$Q492,Prod_Prop!$H:$H,Y492,Prod_Prop!$I:$I,Z$1)*IF(Y492="Peso",$R492,1))</f>
        <v/>
      </c>
      <c r="AA492" s="4" t="str">
        <f>IF(Y492="","",SUMIFS(Prod_Prop!$J:$J,Prod_Prop!$B:$B,$Q492,Prod_Prop!$H:$H,Y492,Prod_Prop!$I:$I,AA$1)*IF(Y492="Peso",$R492,1))</f>
        <v/>
      </c>
      <c r="AB492" s="4" t="str">
        <f>IFERROR(__xludf.DUMMYFUNCTION("IF(OR($U492="""",COUNTIF($I:$I,IFERROR(unique(filter(Prod_Prop!$H:$H,Prod_Prop!$G:$G=$U492,Prod_Prop!$E:$E=AB$1)),""Check""))=0),"""",IFERROR(unique(filter(Prod_Prop!$H:$H,Prod_Prop!$G:$G=$U492,Prod_Prop!$E:$E=AB$1)),""""))"),"")</f>
        <v/>
      </c>
      <c r="AC492" s="4" t="str">
        <f>IF(AB492="","",SUMIFS(Prod_Prop!$J:$J,Prod_Prop!$B:$B,$Q492,Prod_Prop!$H:$H,AB492,Prod_Prop!$I:$I,AC$1)*IF(AB492="Peso",$R492,1))</f>
        <v/>
      </c>
      <c r="AD492" s="4" t="str">
        <f>IF(AB492="","",SUMIFS(Prod_Prop!$J:$J,Prod_Prop!$B:$B,$Q492,Prod_Prop!$H:$H,AB492,Prod_Prop!$I:$I,AD$1)*IF(AB492="Peso",$R492,1))</f>
        <v/>
      </c>
    </row>
    <row r="493">
      <c r="A493" s="4" t="str">
        <f t="array" ref="A493">IF(COUNTIF(A$1:A492,Cotizador!F$2)=maxifs(Familias!E:E,Familias!D:D,Cotizador!F$2),IF(COUNTIF(A$1:A492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3" s="4" t="str">
        <f t="shared" si="1"/>
        <v/>
      </c>
      <c r="C493" s="4" t="str">
        <f t="array" ref="C493">IF(B493="","",IF(A493=XLOOKUP(A$2,Implementos!B:B,Implementos!C:C,"",0,1),B493+maxifs(B$1:B492,A$1:A492,A$2),B493))</f>
        <v/>
      </c>
      <c r="D493" s="4" t="str">
        <f>IF(B493="","", COUNTIFS(Productos!F:F,A493,Productos!H:H,B493)+IF(F493="SI",0,1))</f>
        <v/>
      </c>
      <c r="E493" s="4" t="str">
        <f>IFERROR(__xludf.DUMMYFUNCTION("IF($B493="""","""",INDEX(filter(Familias!F:F,Familias!$D:$D=$A493,Familias!$E:$E=$B493),1))"),"")</f>
        <v/>
      </c>
      <c r="F493" s="4" t="str">
        <f>IFERROR(__xludf.DUMMYFUNCTION("IF($B493="""","""",INDEX(filter(Familias!G:G,Familias!$D:$D=$A493,Familias!$E:$E=$B493),1))"),"")</f>
        <v/>
      </c>
      <c r="G493" s="4" t="str">
        <f t="array" ref="G493">IF(C493=1,XLOOKUP(C493,Cotizador!D:D,Cotizador!E:E,"",0,1),"")</f>
        <v/>
      </c>
      <c r="I493" s="4"/>
      <c r="J493" s="8" t="str">
        <f>IF(I493="","",SUMIF(Cotizador!I$1:V$1,I493,Cotizador!I$2:V$2))</f>
        <v/>
      </c>
      <c r="L493" s="4" t="str">
        <f t="array" ref="L493">IF(COUNTIF(L$1:L492,A$2)=SUMIF(A:A,A$2,D:D),IF(COUNTIF(L$1:L492,XLOOKUP(A$2,Implementos!B:B,Implementos!C:C,"",0,1))=SUMIF(A:A,XLOOKUP(A$2,Implementos!B:B,Implementos!C:C,"",0,1),D:D),"",XLOOKUP(A$2,Implementos!B:B,Implementos!C:C,"",0,1)),A$2)</f>
        <v/>
      </c>
      <c r="M493" s="4" t="str">
        <f t="shared" si="2"/>
        <v/>
      </c>
      <c r="N493" s="4" t="str">
        <f t="shared" si="3"/>
        <v/>
      </c>
      <c r="O493" s="4" t="str">
        <f t="shared" si="4"/>
        <v/>
      </c>
      <c r="P493" s="4" t="str">
        <f t="shared" si="5"/>
        <v/>
      </c>
      <c r="Q493" s="4" t="str">
        <f>IF(U493="","",SUMIF(Productos!E:E,U493,Productos!A:A))</f>
        <v/>
      </c>
      <c r="R493" s="4" t="str">
        <f t="array" ref="R493">IF(L493="","", max(1,SUMIF(I:I,XLOOKUP(U493,Productos!E:E,Productos!G:G,"",0,1),J:J)))</f>
        <v/>
      </c>
      <c r="S493" s="4" t="str">
        <f>IF(Q493="","",IF(SUMIFS(Compat_Vetado!D:D,Compat_Vetado!B:B,SUM(G:G),Compat_Vetado!C:C,Q493)=1,"SI",IF(OR(SUMIF(Cotizador!E:E,Q493,Cotizador!G:G)&gt;0,SUMIFS(Compat_Vetado!D:D,Compat_Vetado!B:B,SUM(G:G),Compat_Vetado!C:C,Q493)=-1),"NO","")))</f>
        <v/>
      </c>
      <c r="T493" s="4" t="str">
        <f t="shared" si="6"/>
        <v/>
      </c>
      <c r="U493" s="4" t="str">
        <f>IFERROR(__xludf.DUMMYFUNCTION("IF(P493="""","""",IFERROR(INDEX(filter(Productos!E:E,Productos!F:F=L493,Productos!H:H=N493),P493),IF(M493=SUM(D:D),""Finalizar"",""-"")))"),"")</f>
        <v/>
      </c>
      <c r="V493" s="4" t="str">
        <f>IFERROR(__xludf.DUMMYFUNCTION("IF(OR($U493="""",COUNTIF($I:$I,IFERROR(unique(filter(Prod_Prop!$H:$H,Prod_Prop!$G:$G=$U493,Prod_Prop!$E:$E=V$1)),""Check""))=0),"""",IFERROR(unique(filter(Prod_Prop!$H:$H,Prod_Prop!$G:$G=$U493,Prod_Prop!$E:$E=V$1)),""""))"),"")</f>
        <v/>
      </c>
      <c r="W493" s="4" t="str">
        <f>IF(V493="","",SUMIFS(Prod_Prop!$J:$J,Prod_Prop!$B:$B,$Q493,Prod_Prop!$H:$H,V493,Prod_Prop!$I:$I,W$1)*IF(V493="Peso",$R493,1))</f>
        <v/>
      </c>
      <c r="X493" s="4" t="str">
        <f>IF(V493="","",SUMIFS(Prod_Prop!$J:$J,Prod_Prop!$B:$B,$Q493,Prod_Prop!$H:$H,V493,Prod_Prop!$I:$I,X$1)*IF(V493="Peso",$R493,1))</f>
        <v/>
      </c>
      <c r="Y493" s="4" t="str">
        <f>IFERROR(__xludf.DUMMYFUNCTION("IF(OR($U493="""",COUNTIF($I:$I,IFERROR(unique(filter(Prod_Prop!$H:$H,Prod_Prop!$G:$G=$U493,Prod_Prop!$E:$E=Y$1)),""Check""))=0),"""",IFERROR(unique(filter(Prod_Prop!$H:$H,Prod_Prop!$G:$G=$U493,Prod_Prop!$E:$E=Y$1)),""""))"),"")</f>
        <v/>
      </c>
      <c r="Z493" s="4" t="str">
        <f>IF(Y493="","",SUMIFS(Prod_Prop!$J:$J,Prod_Prop!$B:$B,$Q493,Prod_Prop!$H:$H,Y493,Prod_Prop!$I:$I,Z$1)*IF(Y493="Peso",$R493,1))</f>
        <v/>
      </c>
      <c r="AA493" s="4" t="str">
        <f>IF(Y493="","",SUMIFS(Prod_Prop!$J:$J,Prod_Prop!$B:$B,$Q493,Prod_Prop!$H:$H,Y493,Prod_Prop!$I:$I,AA$1)*IF(Y493="Peso",$R493,1))</f>
        <v/>
      </c>
      <c r="AB493" s="4" t="str">
        <f>IFERROR(__xludf.DUMMYFUNCTION("IF(OR($U493="""",COUNTIF($I:$I,IFERROR(unique(filter(Prod_Prop!$H:$H,Prod_Prop!$G:$G=$U493,Prod_Prop!$E:$E=AB$1)),""Check""))=0),"""",IFERROR(unique(filter(Prod_Prop!$H:$H,Prod_Prop!$G:$G=$U493,Prod_Prop!$E:$E=AB$1)),""""))"),"")</f>
        <v/>
      </c>
      <c r="AC493" s="4" t="str">
        <f>IF(AB493="","",SUMIFS(Prod_Prop!$J:$J,Prod_Prop!$B:$B,$Q493,Prod_Prop!$H:$H,AB493,Prod_Prop!$I:$I,AC$1)*IF(AB493="Peso",$R493,1))</f>
        <v/>
      </c>
      <c r="AD493" s="4" t="str">
        <f>IF(AB493="","",SUMIFS(Prod_Prop!$J:$J,Prod_Prop!$B:$B,$Q493,Prod_Prop!$H:$H,AB493,Prod_Prop!$I:$I,AD$1)*IF(AB493="Peso",$R493,1))</f>
        <v/>
      </c>
    </row>
    <row r="494">
      <c r="A494" s="4" t="str">
        <f t="array" ref="A494">IF(COUNTIF(A$1:A493,Cotizador!F$2)=maxifs(Familias!E:E,Familias!D:D,Cotizador!F$2),IF(COUNTIF(A$1:A493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4" s="4" t="str">
        <f t="shared" si="1"/>
        <v/>
      </c>
      <c r="C494" s="4" t="str">
        <f t="array" ref="C494">IF(B494="","",IF(A494=XLOOKUP(A$2,Implementos!B:B,Implementos!C:C,"",0,1),B494+maxifs(B$1:B493,A$1:A493,A$2),B494))</f>
        <v/>
      </c>
      <c r="D494" s="4" t="str">
        <f>IF(B494="","", COUNTIFS(Productos!F:F,A494,Productos!H:H,B494)+IF(F494="SI",0,1))</f>
        <v/>
      </c>
      <c r="E494" s="4" t="str">
        <f>IFERROR(__xludf.DUMMYFUNCTION("IF($B494="""","""",INDEX(filter(Familias!F:F,Familias!$D:$D=$A494,Familias!$E:$E=$B494),1))"),"")</f>
        <v/>
      </c>
      <c r="F494" s="4" t="str">
        <f>IFERROR(__xludf.DUMMYFUNCTION("IF($B494="""","""",INDEX(filter(Familias!G:G,Familias!$D:$D=$A494,Familias!$E:$E=$B494),1))"),"")</f>
        <v/>
      </c>
      <c r="G494" s="4" t="str">
        <f t="array" ref="G494">IF(C494=1,XLOOKUP(C494,Cotizador!D:D,Cotizador!E:E,"",0,1),"")</f>
        <v/>
      </c>
      <c r="I494" s="4"/>
      <c r="J494" s="8" t="str">
        <f>IF(I494="","",SUMIF(Cotizador!I$1:V$1,I494,Cotizador!I$2:V$2))</f>
        <v/>
      </c>
      <c r="L494" s="4" t="str">
        <f t="array" ref="L494">IF(COUNTIF(L$1:L493,A$2)=SUMIF(A:A,A$2,D:D),IF(COUNTIF(L$1:L493,XLOOKUP(A$2,Implementos!B:B,Implementos!C:C,"",0,1))=SUMIF(A:A,XLOOKUP(A$2,Implementos!B:B,Implementos!C:C,"",0,1),D:D),"",XLOOKUP(A$2,Implementos!B:B,Implementos!C:C,"",0,1)),A$2)</f>
        <v/>
      </c>
      <c r="M494" s="4" t="str">
        <f t="shared" si="2"/>
        <v/>
      </c>
      <c r="N494" s="4" t="str">
        <f t="shared" si="3"/>
        <v/>
      </c>
      <c r="O494" s="4" t="str">
        <f t="shared" si="4"/>
        <v/>
      </c>
      <c r="P494" s="4" t="str">
        <f t="shared" si="5"/>
        <v/>
      </c>
      <c r="Q494" s="4" t="str">
        <f>IF(U494="","",SUMIF(Productos!E:E,U494,Productos!A:A))</f>
        <v/>
      </c>
      <c r="R494" s="4" t="str">
        <f t="array" ref="R494">IF(L494="","", max(1,SUMIF(I:I,XLOOKUP(U494,Productos!E:E,Productos!G:G,"",0,1),J:J)))</f>
        <v/>
      </c>
      <c r="S494" s="4" t="str">
        <f>IF(Q494="","",IF(SUMIFS(Compat_Vetado!D:D,Compat_Vetado!B:B,SUM(G:G),Compat_Vetado!C:C,Q494)=1,"SI",IF(OR(SUMIF(Cotizador!E:E,Q494,Cotizador!G:G)&gt;0,SUMIFS(Compat_Vetado!D:D,Compat_Vetado!B:B,SUM(G:G),Compat_Vetado!C:C,Q494)=-1),"NO","")))</f>
        <v/>
      </c>
      <c r="T494" s="4" t="str">
        <f t="shared" si="6"/>
        <v/>
      </c>
      <c r="U494" s="4" t="str">
        <f>IFERROR(__xludf.DUMMYFUNCTION("IF(P494="""","""",IFERROR(INDEX(filter(Productos!E:E,Productos!F:F=L494,Productos!H:H=N494),P494),IF(M494=SUM(D:D),""Finalizar"",""-"")))"),"")</f>
        <v/>
      </c>
      <c r="V494" s="4" t="str">
        <f>IFERROR(__xludf.DUMMYFUNCTION("IF(OR($U494="""",COUNTIF($I:$I,IFERROR(unique(filter(Prod_Prop!$H:$H,Prod_Prop!$G:$G=$U494,Prod_Prop!$E:$E=V$1)),""Check""))=0),"""",IFERROR(unique(filter(Prod_Prop!$H:$H,Prod_Prop!$G:$G=$U494,Prod_Prop!$E:$E=V$1)),""""))"),"")</f>
        <v/>
      </c>
      <c r="W494" s="4" t="str">
        <f>IF(V494="","",SUMIFS(Prod_Prop!$J:$J,Prod_Prop!$B:$B,$Q494,Prod_Prop!$H:$H,V494,Prod_Prop!$I:$I,W$1)*IF(V494="Peso",$R494,1))</f>
        <v/>
      </c>
      <c r="X494" s="4" t="str">
        <f>IF(V494="","",SUMIFS(Prod_Prop!$J:$J,Prod_Prop!$B:$B,$Q494,Prod_Prop!$H:$H,V494,Prod_Prop!$I:$I,X$1)*IF(V494="Peso",$R494,1))</f>
        <v/>
      </c>
      <c r="Y494" s="4" t="str">
        <f>IFERROR(__xludf.DUMMYFUNCTION("IF(OR($U494="""",COUNTIF($I:$I,IFERROR(unique(filter(Prod_Prop!$H:$H,Prod_Prop!$G:$G=$U494,Prod_Prop!$E:$E=Y$1)),""Check""))=0),"""",IFERROR(unique(filter(Prod_Prop!$H:$H,Prod_Prop!$G:$G=$U494,Prod_Prop!$E:$E=Y$1)),""""))"),"")</f>
        <v/>
      </c>
      <c r="Z494" s="4" t="str">
        <f>IF(Y494="","",SUMIFS(Prod_Prop!$J:$J,Prod_Prop!$B:$B,$Q494,Prod_Prop!$H:$H,Y494,Prod_Prop!$I:$I,Z$1)*IF(Y494="Peso",$R494,1))</f>
        <v/>
      </c>
      <c r="AA494" s="4" t="str">
        <f>IF(Y494="","",SUMIFS(Prod_Prop!$J:$J,Prod_Prop!$B:$B,$Q494,Prod_Prop!$H:$H,Y494,Prod_Prop!$I:$I,AA$1)*IF(Y494="Peso",$R494,1))</f>
        <v/>
      </c>
      <c r="AB494" s="4" t="str">
        <f>IFERROR(__xludf.DUMMYFUNCTION("IF(OR($U494="""",COUNTIF($I:$I,IFERROR(unique(filter(Prod_Prop!$H:$H,Prod_Prop!$G:$G=$U494,Prod_Prop!$E:$E=AB$1)),""Check""))=0),"""",IFERROR(unique(filter(Prod_Prop!$H:$H,Prod_Prop!$G:$G=$U494,Prod_Prop!$E:$E=AB$1)),""""))"),"")</f>
        <v/>
      </c>
      <c r="AC494" s="4" t="str">
        <f>IF(AB494="","",SUMIFS(Prod_Prop!$J:$J,Prod_Prop!$B:$B,$Q494,Prod_Prop!$H:$H,AB494,Prod_Prop!$I:$I,AC$1)*IF(AB494="Peso",$R494,1))</f>
        <v/>
      </c>
      <c r="AD494" s="4" t="str">
        <f>IF(AB494="","",SUMIFS(Prod_Prop!$J:$J,Prod_Prop!$B:$B,$Q494,Prod_Prop!$H:$H,AB494,Prod_Prop!$I:$I,AD$1)*IF(AB494="Peso",$R494,1))</f>
        <v/>
      </c>
    </row>
    <row r="495">
      <c r="A495" s="4" t="str">
        <f t="array" ref="A495">IF(COUNTIF(A$1:A494,Cotizador!F$2)=maxifs(Familias!E:E,Familias!D:D,Cotizador!F$2),IF(COUNTIF(A$1:A494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5" s="4" t="str">
        <f t="shared" si="1"/>
        <v/>
      </c>
      <c r="C495" s="4" t="str">
        <f t="array" ref="C495">IF(B495="","",IF(A495=XLOOKUP(A$2,Implementos!B:B,Implementos!C:C,"",0,1),B495+maxifs(B$1:B494,A$1:A494,A$2),B495))</f>
        <v/>
      </c>
      <c r="D495" s="4" t="str">
        <f>IF(B495="","", COUNTIFS(Productos!F:F,A495,Productos!H:H,B495)+IF(F495="SI",0,1))</f>
        <v/>
      </c>
      <c r="E495" s="4" t="str">
        <f>IFERROR(__xludf.DUMMYFUNCTION("IF($B495="""","""",INDEX(filter(Familias!F:F,Familias!$D:$D=$A495,Familias!$E:$E=$B495),1))"),"")</f>
        <v/>
      </c>
      <c r="F495" s="4" t="str">
        <f>IFERROR(__xludf.DUMMYFUNCTION("IF($B495="""","""",INDEX(filter(Familias!G:G,Familias!$D:$D=$A495,Familias!$E:$E=$B495),1))"),"")</f>
        <v/>
      </c>
      <c r="G495" s="4" t="str">
        <f t="array" ref="G495">IF(C495=1,XLOOKUP(C495,Cotizador!D:D,Cotizador!E:E,"",0,1),"")</f>
        <v/>
      </c>
      <c r="I495" s="4"/>
      <c r="J495" s="8" t="str">
        <f>IF(I495="","",SUMIF(Cotizador!I$1:V$1,I495,Cotizador!I$2:V$2))</f>
        <v/>
      </c>
      <c r="L495" s="4" t="str">
        <f t="array" ref="L495">IF(COUNTIF(L$1:L494,A$2)=SUMIF(A:A,A$2,D:D),IF(COUNTIF(L$1:L494,XLOOKUP(A$2,Implementos!B:B,Implementos!C:C,"",0,1))=SUMIF(A:A,XLOOKUP(A$2,Implementos!B:B,Implementos!C:C,"",0,1),D:D),"",XLOOKUP(A$2,Implementos!B:B,Implementos!C:C,"",0,1)),A$2)</f>
        <v/>
      </c>
      <c r="M495" s="4" t="str">
        <f t="shared" si="2"/>
        <v/>
      </c>
      <c r="N495" s="4" t="str">
        <f t="shared" si="3"/>
        <v/>
      </c>
      <c r="O495" s="4" t="str">
        <f t="shared" si="4"/>
        <v/>
      </c>
      <c r="P495" s="4" t="str">
        <f t="shared" si="5"/>
        <v/>
      </c>
      <c r="Q495" s="4" t="str">
        <f>IF(U495="","",SUMIF(Productos!E:E,U495,Productos!A:A))</f>
        <v/>
      </c>
      <c r="R495" s="4" t="str">
        <f t="array" ref="R495">IF(L495="","", max(1,SUMIF(I:I,XLOOKUP(U495,Productos!E:E,Productos!G:G,"",0,1),J:J)))</f>
        <v/>
      </c>
      <c r="S495" s="4" t="str">
        <f>IF(Q495="","",IF(SUMIFS(Compat_Vetado!D:D,Compat_Vetado!B:B,SUM(G:G),Compat_Vetado!C:C,Q495)=1,"SI",IF(OR(SUMIF(Cotizador!E:E,Q495,Cotizador!G:G)&gt;0,SUMIFS(Compat_Vetado!D:D,Compat_Vetado!B:B,SUM(G:G),Compat_Vetado!C:C,Q495)=-1),"NO","")))</f>
        <v/>
      </c>
      <c r="T495" s="4" t="str">
        <f t="shared" si="6"/>
        <v/>
      </c>
      <c r="U495" s="4" t="str">
        <f>IFERROR(__xludf.DUMMYFUNCTION("IF(P495="""","""",IFERROR(INDEX(filter(Productos!E:E,Productos!F:F=L495,Productos!H:H=N495),P495),IF(M495=SUM(D:D),""Finalizar"",""-"")))"),"")</f>
        <v/>
      </c>
      <c r="V495" s="4" t="str">
        <f>IFERROR(__xludf.DUMMYFUNCTION("IF(OR($U495="""",COUNTIF($I:$I,IFERROR(unique(filter(Prod_Prop!$H:$H,Prod_Prop!$G:$G=$U495,Prod_Prop!$E:$E=V$1)),""Check""))=0),"""",IFERROR(unique(filter(Prod_Prop!$H:$H,Prod_Prop!$G:$G=$U495,Prod_Prop!$E:$E=V$1)),""""))"),"")</f>
        <v/>
      </c>
      <c r="W495" s="4" t="str">
        <f>IF(V495="","",SUMIFS(Prod_Prop!$J:$J,Prod_Prop!$B:$B,$Q495,Prod_Prop!$H:$H,V495,Prod_Prop!$I:$I,W$1)*IF(V495="Peso",$R495,1))</f>
        <v/>
      </c>
      <c r="X495" s="4" t="str">
        <f>IF(V495="","",SUMIFS(Prod_Prop!$J:$J,Prod_Prop!$B:$B,$Q495,Prod_Prop!$H:$H,V495,Prod_Prop!$I:$I,X$1)*IF(V495="Peso",$R495,1))</f>
        <v/>
      </c>
      <c r="Y495" s="4" t="str">
        <f>IFERROR(__xludf.DUMMYFUNCTION("IF(OR($U495="""",COUNTIF($I:$I,IFERROR(unique(filter(Prod_Prop!$H:$H,Prod_Prop!$G:$G=$U495,Prod_Prop!$E:$E=Y$1)),""Check""))=0),"""",IFERROR(unique(filter(Prod_Prop!$H:$H,Prod_Prop!$G:$G=$U495,Prod_Prop!$E:$E=Y$1)),""""))"),"")</f>
        <v/>
      </c>
      <c r="Z495" s="4" t="str">
        <f>IF(Y495="","",SUMIFS(Prod_Prop!$J:$J,Prod_Prop!$B:$B,$Q495,Prod_Prop!$H:$H,Y495,Prod_Prop!$I:$I,Z$1)*IF(Y495="Peso",$R495,1))</f>
        <v/>
      </c>
      <c r="AA495" s="4" t="str">
        <f>IF(Y495="","",SUMIFS(Prod_Prop!$J:$J,Prod_Prop!$B:$B,$Q495,Prod_Prop!$H:$H,Y495,Prod_Prop!$I:$I,AA$1)*IF(Y495="Peso",$R495,1))</f>
        <v/>
      </c>
      <c r="AB495" s="4" t="str">
        <f>IFERROR(__xludf.DUMMYFUNCTION("IF(OR($U495="""",COUNTIF($I:$I,IFERROR(unique(filter(Prod_Prop!$H:$H,Prod_Prop!$G:$G=$U495,Prod_Prop!$E:$E=AB$1)),""Check""))=0),"""",IFERROR(unique(filter(Prod_Prop!$H:$H,Prod_Prop!$G:$G=$U495,Prod_Prop!$E:$E=AB$1)),""""))"),"")</f>
        <v/>
      </c>
      <c r="AC495" s="4" t="str">
        <f>IF(AB495="","",SUMIFS(Prod_Prop!$J:$J,Prod_Prop!$B:$B,$Q495,Prod_Prop!$H:$H,AB495,Prod_Prop!$I:$I,AC$1)*IF(AB495="Peso",$R495,1))</f>
        <v/>
      </c>
      <c r="AD495" s="4" t="str">
        <f>IF(AB495="","",SUMIFS(Prod_Prop!$J:$J,Prod_Prop!$B:$B,$Q495,Prod_Prop!$H:$H,AB495,Prod_Prop!$I:$I,AD$1)*IF(AB495="Peso",$R495,1))</f>
        <v/>
      </c>
    </row>
    <row r="496">
      <c r="A496" s="4" t="str">
        <f t="array" ref="A496">IF(COUNTIF(A$1:A495,Cotizador!F$2)=maxifs(Familias!E:E,Familias!D:D,Cotizador!F$2),IF(COUNTIF(A$1:A495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6" s="4" t="str">
        <f t="shared" si="1"/>
        <v/>
      </c>
      <c r="C496" s="4" t="str">
        <f t="array" ref="C496">IF(B496="","",IF(A496=XLOOKUP(A$2,Implementos!B:B,Implementos!C:C,"",0,1),B496+maxifs(B$1:B495,A$1:A495,A$2),B496))</f>
        <v/>
      </c>
      <c r="D496" s="4" t="str">
        <f>IF(B496="","", COUNTIFS(Productos!F:F,A496,Productos!H:H,B496)+IF(F496="SI",0,1))</f>
        <v/>
      </c>
      <c r="E496" s="4" t="str">
        <f>IFERROR(__xludf.DUMMYFUNCTION("IF($B496="""","""",INDEX(filter(Familias!F:F,Familias!$D:$D=$A496,Familias!$E:$E=$B496),1))"),"")</f>
        <v/>
      </c>
      <c r="F496" s="4" t="str">
        <f>IFERROR(__xludf.DUMMYFUNCTION("IF($B496="""","""",INDEX(filter(Familias!G:G,Familias!$D:$D=$A496,Familias!$E:$E=$B496),1))"),"")</f>
        <v/>
      </c>
      <c r="G496" s="4" t="str">
        <f t="array" ref="G496">IF(C496=1,XLOOKUP(C496,Cotizador!D:D,Cotizador!E:E,"",0,1),"")</f>
        <v/>
      </c>
      <c r="I496" s="4"/>
      <c r="J496" s="8" t="str">
        <f>IF(I496="","",SUMIF(Cotizador!I$1:V$1,I496,Cotizador!I$2:V$2))</f>
        <v/>
      </c>
      <c r="L496" s="4" t="str">
        <f t="array" ref="L496">IF(COUNTIF(L$1:L495,A$2)=SUMIF(A:A,A$2,D:D),IF(COUNTIF(L$1:L495,XLOOKUP(A$2,Implementos!B:B,Implementos!C:C,"",0,1))=SUMIF(A:A,XLOOKUP(A$2,Implementos!B:B,Implementos!C:C,"",0,1),D:D),"",XLOOKUP(A$2,Implementos!B:B,Implementos!C:C,"",0,1)),A$2)</f>
        <v/>
      </c>
      <c r="M496" s="4" t="str">
        <f t="shared" si="2"/>
        <v/>
      </c>
      <c r="N496" s="4" t="str">
        <f t="shared" si="3"/>
        <v/>
      </c>
      <c r="O496" s="4" t="str">
        <f t="shared" si="4"/>
        <v/>
      </c>
      <c r="P496" s="4" t="str">
        <f t="shared" si="5"/>
        <v/>
      </c>
      <c r="Q496" s="4" t="str">
        <f>IF(U496="","",SUMIF(Productos!E:E,U496,Productos!A:A))</f>
        <v/>
      </c>
      <c r="R496" s="4" t="str">
        <f t="array" ref="R496">IF(L496="","", max(1,SUMIF(I:I,XLOOKUP(U496,Productos!E:E,Productos!G:G,"",0,1),J:J)))</f>
        <v/>
      </c>
      <c r="S496" s="4" t="str">
        <f>IF(Q496="","",IF(SUMIFS(Compat_Vetado!D:D,Compat_Vetado!B:B,SUM(G:G),Compat_Vetado!C:C,Q496)=1,"SI",IF(OR(SUMIF(Cotizador!E:E,Q496,Cotizador!G:G)&gt;0,SUMIFS(Compat_Vetado!D:D,Compat_Vetado!B:B,SUM(G:G),Compat_Vetado!C:C,Q496)=-1),"NO","")))</f>
        <v/>
      </c>
      <c r="T496" s="4" t="str">
        <f t="shared" si="6"/>
        <v/>
      </c>
      <c r="U496" s="4" t="str">
        <f>IFERROR(__xludf.DUMMYFUNCTION("IF(P496="""","""",IFERROR(INDEX(filter(Productos!E:E,Productos!F:F=L496,Productos!H:H=N496),P496),IF(M496=SUM(D:D),""Finalizar"",""-"")))"),"")</f>
        <v/>
      </c>
      <c r="V496" s="4" t="str">
        <f>IFERROR(__xludf.DUMMYFUNCTION("IF(OR($U496="""",COUNTIF($I:$I,IFERROR(unique(filter(Prod_Prop!$H:$H,Prod_Prop!$G:$G=$U496,Prod_Prop!$E:$E=V$1)),""Check""))=0),"""",IFERROR(unique(filter(Prod_Prop!$H:$H,Prod_Prop!$G:$G=$U496,Prod_Prop!$E:$E=V$1)),""""))"),"")</f>
        <v/>
      </c>
      <c r="W496" s="4" t="str">
        <f>IF(V496="","",SUMIFS(Prod_Prop!$J:$J,Prod_Prop!$B:$B,$Q496,Prod_Prop!$H:$H,V496,Prod_Prop!$I:$I,W$1)*IF(V496="Peso",$R496,1))</f>
        <v/>
      </c>
      <c r="X496" s="4" t="str">
        <f>IF(V496="","",SUMIFS(Prod_Prop!$J:$J,Prod_Prop!$B:$B,$Q496,Prod_Prop!$H:$H,V496,Prod_Prop!$I:$I,X$1)*IF(V496="Peso",$R496,1))</f>
        <v/>
      </c>
      <c r="Y496" s="4" t="str">
        <f>IFERROR(__xludf.DUMMYFUNCTION("IF(OR($U496="""",COUNTIF($I:$I,IFERROR(unique(filter(Prod_Prop!$H:$H,Prod_Prop!$G:$G=$U496,Prod_Prop!$E:$E=Y$1)),""Check""))=0),"""",IFERROR(unique(filter(Prod_Prop!$H:$H,Prod_Prop!$G:$G=$U496,Prod_Prop!$E:$E=Y$1)),""""))"),"")</f>
        <v/>
      </c>
      <c r="Z496" s="4" t="str">
        <f>IF(Y496="","",SUMIFS(Prod_Prop!$J:$J,Prod_Prop!$B:$B,$Q496,Prod_Prop!$H:$H,Y496,Prod_Prop!$I:$I,Z$1)*IF(Y496="Peso",$R496,1))</f>
        <v/>
      </c>
      <c r="AA496" s="4" t="str">
        <f>IF(Y496="","",SUMIFS(Prod_Prop!$J:$J,Prod_Prop!$B:$B,$Q496,Prod_Prop!$H:$H,Y496,Prod_Prop!$I:$I,AA$1)*IF(Y496="Peso",$R496,1))</f>
        <v/>
      </c>
      <c r="AB496" s="4" t="str">
        <f>IFERROR(__xludf.DUMMYFUNCTION("IF(OR($U496="""",COUNTIF($I:$I,IFERROR(unique(filter(Prod_Prop!$H:$H,Prod_Prop!$G:$G=$U496,Prod_Prop!$E:$E=AB$1)),""Check""))=0),"""",IFERROR(unique(filter(Prod_Prop!$H:$H,Prod_Prop!$G:$G=$U496,Prod_Prop!$E:$E=AB$1)),""""))"),"")</f>
        <v/>
      </c>
      <c r="AC496" s="4" t="str">
        <f>IF(AB496="","",SUMIFS(Prod_Prop!$J:$J,Prod_Prop!$B:$B,$Q496,Prod_Prop!$H:$H,AB496,Prod_Prop!$I:$I,AC$1)*IF(AB496="Peso",$R496,1))</f>
        <v/>
      </c>
      <c r="AD496" s="4" t="str">
        <f>IF(AB496="","",SUMIFS(Prod_Prop!$J:$J,Prod_Prop!$B:$B,$Q496,Prod_Prop!$H:$H,AB496,Prod_Prop!$I:$I,AD$1)*IF(AB496="Peso",$R496,1))</f>
        <v/>
      </c>
    </row>
    <row r="497">
      <c r="A497" s="4" t="str">
        <f t="array" ref="A497">IF(COUNTIF(A$1:A496,Cotizador!F$2)=maxifs(Familias!E:E,Familias!D:D,Cotizador!F$2),IF(COUNTIF(A$1:A496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7" s="4" t="str">
        <f t="shared" si="1"/>
        <v/>
      </c>
      <c r="C497" s="4" t="str">
        <f t="array" ref="C497">IF(B497="","",IF(A497=XLOOKUP(A$2,Implementos!B:B,Implementos!C:C,"",0,1),B497+maxifs(B$1:B496,A$1:A496,A$2),B497))</f>
        <v/>
      </c>
      <c r="D497" s="4" t="str">
        <f>IF(B497="","", COUNTIFS(Productos!F:F,A497,Productos!H:H,B497)+IF(F497="SI",0,1))</f>
        <v/>
      </c>
      <c r="E497" s="4" t="str">
        <f>IFERROR(__xludf.DUMMYFUNCTION("IF($B497="""","""",INDEX(filter(Familias!F:F,Familias!$D:$D=$A497,Familias!$E:$E=$B497),1))"),"")</f>
        <v/>
      </c>
      <c r="F497" s="4" t="str">
        <f>IFERROR(__xludf.DUMMYFUNCTION("IF($B497="""","""",INDEX(filter(Familias!G:G,Familias!$D:$D=$A497,Familias!$E:$E=$B497),1))"),"")</f>
        <v/>
      </c>
      <c r="G497" s="4" t="str">
        <f t="array" ref="G497">IF(C497=1,XLOOKUP(C497,Cotizador!D:D,Cotizador!E:E,"",0,1),"")</f>
        <v/>
      </c>
      <c r="I497" s="4"/>
      <c r="J497" s="8" t="str">
        <f>IF(I497="","",SUMIF(Cotizador!I$1:V$1,I497,Cotizador!I$2:V$2))</f>
        <v/>
      </c>
      <c r="L497" s="4" t="str">
        <f t="array" ref="L497">IF(COUNTIF(L$1:L496,A$2)=SUMIF(A:A,A$2,D:D),IF(COUNTIF(L$1:L496,XLOOKUP(A$2,Implementos!B:B,Implementos!C:C,"",0,1))=SUMIF(A:A,XLOOKUP(A$2,Implementos!B:B,Implementos!C:C,"",0,1),D:D),"",XLOOKUP(A$2,Implementos!B:B,Implementos!C:C,"",0,1)),A$2)</f>
        <v/>
      </c>
      <c r="M497" s="4" t="str">
        <f t="shared" si="2"/>
        <v/>
      </c>
      <c r="N497" s="4" t="str">
        <f t="shared" si="3"/>
        <v/>
      </c>
      <c r="O497" s="4" t="str">
        <f t="shared" si="4"/>
        <v/>
      </c>
      <c r="P497" s="4" t="str">
        <f t="shared" si="5"/>
        <v/>
      </c>
      <c r="Q497" s="4" t="str">
        <f>IF(U497="","",SUMIF(Productos!E:E,U497,Productos!A:A))</f>
        <v/>
      </c>
      <c r="R497" s="4" t="str">
        <f t="array" ref="R497">IF(L497="","", max(1,SUMIF(I:I,XLOOKUP(U497,Productos!E:E,Productos!G:G,"",0,1),J:J)))</f>
        <v/>
      </c>
      <c r="S497" s="4" t="str">
        <f>IF(Q497="","",IF(SUMIFS(Compat_Vetado!D:D,Compat_Vetado!B:B,SUM(G:G),Compat_Vetado!C:C,Q497)=1,"SI",IF(OR(SUMIF(Cotizador!E:E,Q497,Cotizador!G:G)&gt;0,SUMIFS(Compat_Vetado!D:D,Compat_Vetado!B:B,SUM(G:G),Compat_Vetado!C:C,Q497)=-1),"NO","")))</f>
        <v/>
      </c>
      <c r="T497" s="4" t="str">
        <f t="shared" si="6"/>
        <v/>
      </c>
      <c r="U497" s="4" t="str">
        <f>IFERROR(__xludf.DUMMYFUNCTION("IF(P497="""","""",IFERROR(INDEX(filter(Productos!E:E,Productos!F:F=L497,Productos!H:H=N497),P497),IF(M497=SUM(D:D),""Finalizar"",""-"")))"),"")</f>
        <v/>
      </c>
      <c r="V497" s="4" t="str">
        <f>IFERROR(__xludf.DUMMYFUNCTION("IF(OR($U497="""",COUNTIF($I:$I,IFERROR(unique(filter(Prod_Prop!$H:$H,Prod_Prop!$G:$G=$U497,Prod_Prop!$E:$E=V$1)),""Check""))=0),"""",IFERROR(unique(filter(Prod_Prop!$H:$H,Prod_Prop!$G:$G=$U497,Prod_Prop!$E:$E=V$1)),""""))"),"")</f>
        <v/>
      </c>
      <c r="W497" s="4" t="str">
        <f>IF(V497="","",SUMIFS(Prod_Prop!$J:$J,Prod_Prop!$B:$B,$Q497,Prod_Prop!$H:$H,V497,Prod_Prop!$I:$I,W$1)*IF(V497="Peso",$R497,1))</f>
        <v/>
      </c>
      <c r="X497" s="4" t="str">
        <f>IF(V497="","",SUMIFS(Prod_Prop!$J:$J,Prod_Prop!$B:$B,$Q497,Prod_Prop!$H:$H,V497,Prod_Prop!$I:$I,X$1)*IF(V497="Peso",$R497,1))</f>
        <v/>
      </c>
      <c r="Y497" s="4" t="str">
        <f>IFERROR(__xludf.DUMMYFUNCTION("IF(OR($U497="""",COUNTIF($I:$I,IFERROR(unique(filter(Prod_Prop!$H:$H,Prod_Prop!$G:$G=$U497,Prod_Prop!$E:$E=Y$1)),""Check""))=0),"""",IFERROR(unique(filter(Prod_Prop!$H:$H,Prod_Prop!$G:$G=$U497,Prod_Prop!$E:$E=Y$1)),""""))"),"")</f>
        <v/>
      </c>
      <c r="Z497" s="4" t="str">
        <f>IF(Y497="","",SUMIFS(Prod_Prop!$J:$J,Prod_Prop!$B:$B,$Q497,Prod_Prop!$H:$H,Y497,Prod_Prop!$I:$I,Z$1)*IF(Y497="Peso",$R497,1))</f>
        <v/>
      </c>
      <c r="AA497" s="4" t="str">
        <f>IF(Y497="","",SUMIFS(Prod_Prop!$J:$J,Prod_Prop!$B:$B,$Q497,Prod_Prop!$H:$H,Y497,Prod_Prop!$I:$I,AA$1)*IF(Y497="Peso",$R497,1))</f>
        <v/>
      </c>
      <c r="AB497" s="4" t="str">
        <f>IFERROR(__xludf.DUMMYFUNCTION("IF(OR($U497="""",COUNTIF($I:$I,IFERROR(unique(filter(Prod_Prop!$H:$H,Prod_Prop!$G:$G=$U497,Prod_Prop!$E:$E=AB$1)),""Check""))=0),"""",IFERROR(unique(filter(Prod_Prop!$H:$H,Prod_Prop!$G:$G=$U497,Prod_Prop!$E:$E=AB$1)),""""))"),"")</f>
        <v/>
      </c>
      <c r="AC497" s="4" t="str">
        <f>IF(AB497="","",SUMIFS(Prod_Prop!$J:$J,Prod_Prop!$B:$B,$Q497,Prod_Prop!$H:$H,AB497,Prod_Prop!$I:$I,AC$1)*IF(AB497="Peso",$R497,1))</f>
        <v/>
      </c>
      <c r="AD497" s="4" t="str">
        <f>IF(AB497="","",SUMIFS(Prod_Prop!$J:$J,Prod_Prop!$B:$B,$Q497,Prod_Prop!$H:$H,AB497,Prod_Prop!$I:$I,AD$1)*IF(AB497="Peso",$R497,1))</f>
        <v/>
      </c>
    </row>
    <row r="498">
      <c r="A498" s="4" t="str">
        <f t="array" ref="A498">IF(COUNTIF(A$1:A497,Cotizador!F$2)=maxifs(Familias!E:E,Familias!D:D,Cotizador!F$2),IF(COUNTIF(A$1:A497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8" s="4" t="str">
        <f t="shared" si="1"/>
        <v/>
      </c>
      <c r="C498" s="4" t="str">
        <f t="array" ref="C498">IF(B498="","",IF(A498=XLOOKUP(A$2,Implementos!B:B,Implementos!C:C,"",0,1),B498+maxifs(B$1:B497,A$1:A497,A$2),B498))</f>
        <v/>
      </c>
      <c r="D498" s="4" t="str">
        <f>IF(B498="","", COUNTIFS(Productos!F:F,A498,Productos!H:H,B498)+IF(F498="SI",0,1))</f>
        <v/>
      </c>
      <c r="E498" s="4" t="str">
        <f>IFERROR(__xludf.DUMMYFUNCTION("IF($B498="""","""",INDEX(filter(Familias!F:F,Familias!$D:$D=$A498,Familias!$E:$E=$B498),1))"),"")</f>
        <v/>
      </c>
      <c r="F498" s="4" t="str">
        <f>IFERROR(__xludf.DUMMYFUNCTION("IF($B498="""","""",INDEX(filter(Familias!G:G,Familias!$D:$D=$A498,Familias!$E:$E=$B498),1))"),"")</f>
        <v/>
      </c>
      <c r="G498" s="4" t="str">
        <f t="array" ref="G498">IF(C498=1,XLOOKUP(C498,Cotizador!D:D,Cotizador!E:E,"",0,1),"")</f>
        <v/>
      </c>
      <c r="I498" s="4"/>
      <c r="J498" s="8" t="str">
        <f>IF(I498="","",SUMIF(Cotizador!I$1:V$1,I498,Cotizador!I$2:V$2))</f>
        <v/>
      </c>
      <c r="L498" s="4" t="str">
        <f t="array" ref="L498">IF(COUNTIF(L$1:L497,A$2)=SUMIF(A:A,A$2,D:D),IF(COUNTIF(L$1:L497,XLOOKUP(A$2,Implementos!B:B,Implementos!C:C,"",0,1))=SUMIF(A:A,XLOOKUP(A$2,Implementos!B:B,Implementos!C:C,"",0,1),D:D),"",XLOOKUP(A$2,Implementos!B:B,Implementos!C:C,"",0,1)),A$2)</f>
        <v/>
      </c>
      <c r="M498" s="4" t="str">
        <f t="shared" si="2"/>
        <v/>
      </c>
      <c r="N498" s="4" t="str">
        <f t="shared" si="3"/>
        <v/>
      </c>
      <c r="O498" s="4" t="str">
        <f t="shared" si="4"/>
        <v/>
      </c>
      <c r="P498" s="4" t="str">
        <f t="shared" si="5"/>
        <v/>
      </c>
      <c r="Q498" s="4" t="str">
        <f>IF(U498="","",SUMIF(Productos!E:E,U498,Productos!A:A))</f>
        <v/>
      </c>
      <c r="R498" s="4" t="str">
        <f t="array" ref="R498">IF(L498="","", max(1,SUMIF(I:I,XLOOKUP(U498,Productos!E:E,Productos!G:G,"",0,1),J:J)))</f>
        <v/>
      </c>
      <c r="S498" s="4" t="str">
        <f>IF(Q498="","",IF(SUMIFS(Compat_Vetado!D:D,Compat_Vetado!B:B,SUM(G:G),Compat_Vetado!C:C,Q498)=1,"SI",IF(OR(SUMIF(Cotizador!E:E,Q498,Cotizador!G:G)&gt;0,SUMIFS(Compat_Vetado!D:D,Compat_Vetado!B:B,SUM(G:G),Compat_Vetado!C:C,Q498)=-1),"NO","")))</f>
        <v/>
      </c>
      <c r="T498" s="4" t="str">
        <f t="shared" si="6"/>
        <v/>
      </c>
      <c r="U498" s="4" t="str">
        <f>IFERROR(__xludf.DUMMYFUNCTION("IF(P498="""","""",IFERROR(INDEX(filter(Productos!E:E,Productos!F:F=L498,Productos!H:H=N498),P498),IF(M498=SUM(D:D),""Finalizar"",""-"")))"),"")</f>
        <v/>
      </c>
      <c r="V498" s="4" t="str">
        <f>IFERROR(__xludf.DUMMYFUNCTION("IF(OR($U498="""",COUNTIF($I:$I,IFERROR(unique(filter(Prod_Prop!$H:$H,Prod_Prop!$G:$G=$U498,Prod_Prop!$E:$E=V$1)),""Check""))=0),"""",IFERROR(unique(filter(Prod_Prop!$H:$H,Prod_Prop!$G:$G=$U498,Prod_Prop!$E:$E=V$1)),""""))"),"")</f>
        <v/>
      </c>
      <c r="W498" s="4" t="str">
        <f>IF(V498="","",SUMIFS(Prod_Prop!$J:$J,Prod_Prop!$B:$B,$Q498,Prod_Prop!$H:$H,V498,Prod_Prop!$I:$I,W$1)*IF(V498="Peso",$R498,1))</f>
        <v/>
      </c>
      <c r="X498" s="4" t="str">
        <f>IF(V498="","",SUMIFS(Prod_Prop!$J:$J,Prod_Prop!$B:$B,$Q498,Prod_Prop!$H:$H,V498,Prod_Prop!$I:$I,X$1)*IF(V498="Peso",$R498,1))</f>
        <v/>
      </c>
      <c r="Y498" s="4" t="str">
        <f>IFERROR(__xludf.DUMMYFUNCTION("IF(OR($U498="""",COUNTIF($I:$I,IFERROR(unique(filter(Prod_Prop!$H:$H,Prod_Prop!$G:$G=$U498,Prod_Prop!$E:$E=Y$1)),""Check""))=0),"""",IFERROR(unique(filter(Prod_Prop!$H:$H,Prod_Prop!$G:$G=$U498,Prod_Prop!$E:$E=Y$1)),""""))"),"")</f>
        <v/>
      </c>
      <c r="Z498" s="4" t="str">
        <f>IF(Y498="","",SUMIFS(Prod_Prop!$J:$J,Prod_Prop!$B:$B,$Q498,Prod_Prop!$H:$H,Y498,Prod_Prop!$I:$I,Z$1)*IF(Y498="Peso",$R498,1))</f>
        <v/>
      </c>
      <c r="AA498" s="4" t="str">
        <f>IF(Y498="","",SUMIFS(Prod_Prop!$J:$J,Prod_Prop!$B:$B,$Q498,Prod_Prop!$H:$H,Y498,Prod_Prop!$I:$I,AA$1)*IF(Y498="Peso",$R498,1))</f>
        <v/>
      </c>
      <c r="AB498" s="4" t="str">
        <f>IFERROR(__xludf.DUMMYFUNCTION("IF(OR($U498="""",COUNTIF($I:$I,IFERROR(unique(filter(Prod_Prop!$H:$H,Prod_Prop!$G:$G=$U498,Prod_Prop!$E:$E=AB$1)),""Check""))=0),"""",IFERROR(unique(filter(Prod_Prop!$H:$H,Prod_Prop!$G:$G=$U498,Prod_Prop!$E:$E=AB$1)),""""))"),"")</f>
        <v/>
      </c>
      <c r="AC498" s="4" t="str">
        <f>IF(AB498="","",SUMIFS(Prod_Prop!$J:$J,Prod_Prop!$B:$B,$Q498,Prod_Prop!$H:$H,AB498,Prod_Prop!$I:$I,AC$1)*IF(AB498="Peso",$R498,1))</f>
        <v/>
      </c>
      <c r="AD498" s="4" t="str">
        <f>IF(AB498="","",SUMIFS(Prod_Prop!$J:$J,Prod_Prop!$B:$B,$Q498,Prod_Prop!$H:$H,AB498,Prod_Prop!$I:$I,AD$1)*IF(AB498="Peso",$R498,1))</f>
        <v/>
      </c>
    </row>
    <row r="499">
      <c r="A499" s="4" t="str">
        <f t="array" ref="A499">IF(COUNTIF(A$1:A498,Cotizador!F$2)=maxifs(Familias!E:E,Familias!D:D,Cotizador!F$2),IF(COUNTIF(A$1:A498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499" s="4" t="str">
        <f t="shared" si="1"/>
        <v/>
      </c>
      <c r="C499" s="4" t="str">
        <f t="array" ref="C499">IF(B499="","",IF(A499=XLOOKUP(A$2,Implementos!B:B,Implementos!C:C,"",0,1),B499+maxifs(B$1:B498,A$1:A498,A$2),B499))</f>
        <v/>
      </c>
      <c r="D499" s="4" t="str">
        <f>IF(B499="","", COUNTIFS(Productos!F:F,A499,Productos!H:H,B499)+IF(F499="SI",0,1))</f>
        <v/>
      </c>
      <c r="E499" s="4" t="str">
        <f>IFERROR(__xludf.DUMMYFUNCTION("IF($B499="""","""",INDEX(filter(Familias!F:F,Familias!$D:$D=$A499,Familias!$E:$E=$B499),1))"),"")</f>
        <v/>
      </c>
      <c r="F499" s="4" t="str">
        <f>IFERROR(__xludf.DUMMYFUNCTION("IF($B499="""","""",INDEX(filter(Familias!G:G,Familias!$D:$D=$A499,Familias!$E:$E=$B499),1))"),"")</f>
        <v/>
      </c>
      <c r="G499" s="4" t="str">
        <f t="array" ref="G499">IF(C499=1,XLOOKUP(C499,Cotizador!D:D,Cotizador!E:E,"",0,1),"")</f>
        <v/>
      </c>
      <c r="I499" s="4"/>
      <c r="J499" s="8" t="str">
        <f>IF(I499="","",SUMIF(Cotizador!I$1:V$1,I499,Cotizador!I$2:V$2))</f>
        <v/>
      </c>
      <c r="L499" s="4" t="str">
        <f t="array" ref="L499">IF(COUNTIF(L$1:L498,A$2)=SUMIF(A:A,A$2,D:D),IF(COUNTIF(L$1:L498,XLOOKUP(A$2,Implementos!B:B,Implementos!C:C,"",0,1))=SUMIF(A:A,XLOOKUP(A$2,Implementos!B:B,Implementos!C:C,"",0,1),D:D),"",XLOOKUP(A$2,Implementos!B:B,Implementos!C:C,"",0,1)),A$2)</f>
        <v/>
      </c>
      <c r="M499" s="4" t="str">
        <f t="shared" si="2"/>
        <v/>
      </c>
      <c r="N499" s="4" t="str">
        <f t="shared" si="3"/>
        <v/>
      </c>
      <c r="O499" s="4" t="str">
        <f t="shared" si="4"/>
        <v/>
      </c>
      <c r="P499" s="4" t="str">
        <f t="shared" si="5"/>
        <v/>
      </c>
      <c r="Q499" s="4" t="str">
        <f>IF(U499="","",SUMIF(Productos!E:E,U499,Productos!A:A))</f>
        <v/>
      </c>
      <c r="R499" s="4" t="str">
        <f t="array" ref="R499">IF(L499="","", max(1,SUMIF(I:I,XLOOKUP(U499,Productos!E:E,Productos!G:G,"",0,1),J:J)))</f>
        <v/>
      </c>
      <c r="S499" s="4" t="str">
        <f>IF(Q499="","",IF(SUMIFS(Compat_Vetado!D:D,Compat_Vetado!B:B,SUM(G:G),Compat_Vetado!C:C,Q499)=1,"SI",IF(OR(SUMIF(Cotizador!E:E,Q499,Cotizador!G:G)&gt;0,SUMIFS(Compat_Vetado!D:D,Compat_Vetado!B:B,SUM(G:G),Compat_Vetado!C:C,Q499)=-1),"NO","")))</f>
        <v/>
      </c>
      <c r="T499" s="4" t="str">
        <f t="shared" si="6"/>
        <v/>
      </c>
      <c r="U499" s="4" t="str">
        <f>IFERROR(__xludf.DUMMYFUNCTION("IF(P499="""","""",IFERROR(INDEX(filter(Productos!E:E,Productos!F:F=L499,Productos!H:H=N499),P499),IF(M499=SUM(D:D),""Finalizar"",""-"")))"),"")</f>
        <v/>
      </c>
      <c r="V499" s="4" t="str">
        <f>IFERROR(__xludf.DUMMYFUNCTION("IF(OR($U499="""",COUNTIF($I:$I,IFERROR(unique(filter(Prod_Prop!$H:$H,Prod_Prop!$G:$G=$U499,Prod_Prop!$E:$E=V$1)),""Check""))=0),"""",IFERROR(unique(filter(Prod_Prop!$H:$H,Prod_Prop!$G:$G=$U499,Prod_Prop!$E:$E=V$1)),""""))"),"")</f>
        <v/>
      </c>
      <c r="W499" s="4" t="str">
        <f>IF(V499="","",SUMIFS(Prod_Prop!$J:$J,Prod_Prop!$B:$B,$Q499,Prod_Prop!$H:$H,V499,Prod_Prop!$I:$I,W$1)*IF(V499="Peso",$R499,1))</f>
        <v/>
      </c>
      <c r="X499" s="4" t="str">
        <f>IF(V499="","",SUMIFS(Prod_Prop!$J:$J,Prod_Prop!$B:$B,$Q499,Prod_Prop!$H:$H,V499,Prod_Prop!$I:$I,X$1)*IF(V499="Peso",$R499,1))</f>
        <v/>
      </c>
      <c r="Y499" s="4" t="str">
        <f>IFERROR(__xludf.DUMMYFUNCTION("IF(OR($U499="""",COUNTIF($I:$I,IFERROR(unique(filter(Prod_Prop!$H:$H,Prod_Prop!$G:$G=$U499,Prod_Prop!$E:$E=Y$1)),""Check""))=0),"""",IFERROR(unique(filter(Prod_Prop!$H:$H,Prod_Prop!$G:$G=$U499,Prod_Prop!$E:$E=Y$1)),""""))"),"")</f>
        <v/>
      </c>
      <c r="Z499" s="4" t="str">
        <f>IF(Y499="","",SUMIFS(Prod_Prop!$J:$J,Prod_Prop!$B:$B,$Q499,Prod_Prop!$H:$H,Y499,Prod_Prop!$I:$I,Z$1)*IF(Y499="Peso",$R499,1))</f>
        <v/>
      </c>
      <c r="AA499" s="4" t="str">
        <f>IF(Y499="","",SUMIFS(Prod_Prop!$J:$J,Prod_Prop!$B:$B,$Q499,Prod_Prop!$H:$H,Y499,Prod_Prop!$I:$I,AA$1)*IF(Y499="Peso",$R499,1))</f>
        <v/>
      </c>
      <c r="AB499" s="4" t="str">
        <f>IFERROR(__xludf.DUMMYFUNCTION("IF(OR($U499="""",COUNTIF($I:$I,IFERROR(unique(filter(Prod_Prop!$H:$H,Prod_Prop!$G:$G=$U499,Prod_Prop!$E:$E=AB$1)),""Check""))=0),"""",IFERROR(unique(filter(Prod_Prop!$H:$H,Prod_Prop!$G:$G=$U499,Prod_Prop!$E:$E=AB$1)),""""))"),"")</f>
        <v/>
      </c>
      <c r="AC499" s="4" t="str">
        <f>IF(AB499="","",SUMIFS(Prod_Prop!$J:$J,Prod_Prop!$B:$B,$Q499,Prod_Prop!$H:$H,AB499,Prod_Prop!$I:$I,AC$1)*IF(AB499="Peso",$R499,1))</f>
        <v/>
      </c>
      <c r="AD499" s="4" t="str">
        <f>IF(AB499="","",SUMIFS(Prod_Prop!$J:$J,Prod_Prop!$B:$B,$Q499,Prod_Prop!$H:$H,AB499,Prod_Prop!$I:$I,AD$1)*IF(AB499="Peso",$R499,1))</f>
        <v/>
      </c>
    </row>
    <row r="500">
      <c r="A500" s="4" t="str">
        <f t="array" ref="A500">IF(COUNTIF(A$1:A499,Cotizador!F$2)=maxifs(Familias!E:E,Familias!D:D,Cotizador!F$2),IF(COUNTIF(A$1:A499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0" s="4" t="str">
        <f t="shared" si="1"/>
        <v/>
      </c>
      <c r="C500" s="4" t="str">
        <f t="array" ref="C500">IF(B500="","",IF(A500=XLOOKUP(A$2,Implementos!B:B,Implementos!C:C,"",0,1),B500+maxifs(B$1:B499,A$1:A499,A$2),B500))</f>
        <v/>
      </c>
      <c r="D500" s="4" t="str">
        <f>IF(B500="","", COUNTIFS(Productos!F:F,A500,Productos!H:H,B500)+IF(F500="SI",0,1))</f>
        <v/>
      </c>
      <c r="E500" s="4" t="str">
        <f>IFERROR(__xludf.DUMMYFUNCTION("IF($B500="""","""",INDEX(filter(Familias!F:F,Familias!$D:$D=$A500,Familias!$E:$E=$B500),1))"),"")</f>
        <v/>
      </c>
      <c r="F500" s="4" t="str">
        <f>IFERROR(__xludf.DUMMYFUNCTION("IF($B500="""","""",INDEX(filter(Familias!G:G,Familias!$D:$D=$A500,Familias!$E:$E=$B500),1))"),"")</f>
        <v/>
      </c>
      <c r="G500" s="4" t="str">
        <f t="array" ref="G500">IF(C500=1,XLOOKUP(C500,Cotizador!D:D,Cotizador!E:E,"",0,1),"")</f>
        <v/>
      </c>
      <c r="I500" s="4"/>
      <c r="J500" s="8" t="str">
        <f>IF(I500="","",SUMIF(Cotizador!I$1:V$1,I500,Cotizador!I$2:V$2))</f>
        <v/>
      </c>
      <c r="L500" s="4" t="str">
        <f t="array" ref="L500">IF(COUNTIF(L$1:L499,A$2)=SUMIF(A:A,A$2,D:D),IF(COUNTIF(L$1:L499,XLOOKUP(A$2,Implementos!B:B,Implementos!C:C,"",0,1))=SUMIF(A:A,XLOOKUP(A$2,Implementos!B:B,Implementos!C:C,"",0,1),D:D),"",XLOOKUP(A$2,Implementos!B:B,Implementos!C:C,"",0,1)),A$2)</f>
        <v/>
      </c>
      <c r="M500" s="4" t="str">
        <f t="shared" si="2"/>
        <v/>
      </c>
      <c r="N500" s="4" t="str">
        <f t="shared" si="3"/>
        <v/>
      </c>
      <c r="O500" s="4" t="str">
        <f t="shared" si="4"/>
        <v/>
      </c>
      <c r="P500" s="4" t="str">
        <f t="shared" si="5"/>
        <v/>
      </c>
      <c r="Q500" s="4" t="str">
        <f>IF(U500="","",SUMIF(Productos!E:E,U500,Productos!A:A))</f>
        <v/>
      </c>
      <c r="R500" s="4" t="str">
        <f t="array" ref="R500">IF(L500="","", max(1,SUMIF(I:I,XLOOKUP(U500,Productos!E:E,Productos!G:G,"",0,1),J:J)))</f>
        <v/>
      </c>
      <c r="S500" s="4" t="str">
        <f>IF(Q500="","",IF(SUMIFS(Compat_Vetado!D:D,Compat_Vetado!B:B,SUM(G:G),Compat_Vetado!C:C,Q500)=1,"SI",IF(OR(SUMIF(Cotizador!E:E,Q500,Cotizador!G:G)&gt;0,SUMIFS(Compat_Vetado!D:D,Compat_Vetado!B:B,SUM(G:G),Compat_Vetado!C:C,Q500)=-1),"NO","")))</f>
        <v/>
      </c>
      <c r="T500" s="4" t="str">
        <f t="shared" si="6"/>
        <v/>
      </c>
      <c r="U500" s="4" t="str">
        <f>IFERROR(__xludf.DUMMYFUNCTION("IF(P500="""","""",IFERROR(INDEX(filter(Productos!E:E,Productos!F:F=L500,Productos!H:H=N500),P500),IF(M500=SUM(D:D),""Finalizar"",""-"")))"),"")</f>
        <v/>
      </c>
      <c r="V500" s="4" t="str">
        <f>IFERROR(__xludf.DUMMYFUNCTION("IF(OR($U500="""",COUNTIF($I:$I,IFERROR(unique(filter(Prod_Prop!$H:$H,Prod_Prop!$G:$G=$U500,Prod_Prop!$E:$E=V$1)),""Check""))=0),"""",IFERROR(unique(filter(Prod_Prop!$H:$H,Prod_Prop!$G:$G=$U500,Prod_Prop!$E:$E=V$1)),""""))"),"")</f>
        <v/>
      </c>
      <c r="W500" s="4" t="str">
        <f>IF(V500="","",SUMIFS(Prod_Prop!$J:$J,Prod_Prop!$B:$B,$Q500,Prod_Prop!$H:$H,V500,Prod_Prop!$I:$I,W$1)*IF(V500="Peso",$R500,1))</f>
        <v/>
      </c>
      <c r="X500" s="4" t="str">
        <f>IF(V500="","",SUMIFS(Prod_Prop!$J:$J,Prod_Prop!$B:$B,$Q500,Prod_Prop!$H:$H,V500,Prod_Prop!$I:$I,X$1)*IF(V500="Peso",$R500,1))</f>
        <v/>
      </c>
      <c r="Y500" s="4" t="str">
        <f>IFERROR(__xludf.DUMMYFUNCTION("IF(OR($U500="""",COUNTIF($I:$I,IFERROR(unique(filter(Prod_Prop!$H:$H,Prod_Prop!$G:$G=$U500,Prod_Prop!$E:$E=Y$1)),""Check""))=0),"""",IFERROR(unique(filter(Prod_Prop!$H:$H,Prod_Prop!$G:$G=$U500,Prod_Prop!$E:$E=Y$1)),""""))"),"")</f>
        <v/>
      </c>
      <c r="Z500" s="4" t="str">
        <f>IF(Y500="","",SUMIFS(Prod_Prop!$J:$J,Prod_Prop!$B:$B,$Q500,Prod_Prop!$H:$H,Y500,Prod_Prop!$I:$I,Z$1)*IF(Y500="Peso",$R500,1))</f>
        <v/>
      </c>
      <c r="AA500" s="4" t="str">
        <f>IF(Y500="","",SUMIFS(Prod_Prop!$J:$J,Prod_Prop!$B:$B,$Q500,Prod_Prop!$H:$H,Y500,Prod_Prop!$I:$I,AA$1)*IF(Y500="Peso",$R500,1))</f>
        <v/>
      </c>
      <c r="AB500" s="4" t="str">
        <f>IFERROR(__xludf.DUMMYFUNCTION("IF(OR($U500="""",COUNTIF($I:$I,IFERROR(unique(filter(Prod_Prop!$H:$H,Prod_Prop!$G:$G=$U500,Prod_Prop!$E:$E=AB$1)),""Check""))=0),"""",IFERROR(unique(filter(Prod_Prop!$H:$H,Prod_Prop!$G:$G=$U500,Prod_Prop!$E:$E=AB$1)),""""))"),"")</f>
        <v/>
      </c>
      <c r="AC500" s="4" t="str">
        <f>IF(AB500="","",SUMIFS(Prod_Prop!$J:$J,Prod_Prop!$B:$B,$Q500,Prod_Prop!$H:$H,AB500,Prod_Prop!$I:$I,AC$1)*IF(AB500="Peso",$R500,1))</f>
        <v/>
      </c>
      <c r="AD500" s="4" t="str">
        <f>IF(AB500="","",SUMIFS(Prod_Prop!$J:$J,Prod_Prop!$B:$B,$Q500,Prod_Prop!$H:$H,AB500,Prod_Prop!$I:$I,AD$1)*IF(AB500="Peso",$R500,1))</f>
        <v/>
      </c>
    </row>
    <row r="501">
      <c r="A501" s="4" t="str">
        <f t="array" ref="A501">IF(COUNTIF(A$1:A500,Cotizador!F$2)=maxifs(Familias!E:E,Familias!D:D,Cotizador!F$2),IF(COUNTIF(A$1:A500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1" s="4" t="str">
        <f t="shared" si="1"/>
        <v/>
      </c>
      <c r="C501" s="4" t="str">
        <f t="array" ref="C501">IF(B501="","",IF(A501=XLOOKUP(A$2,Implementos!B:B,Implementos!C:C,"",0,1),B501+maxifs(B$1:B500,A$1:A500,A$2),B501))</f>
        <v/>
      </c>
      <c r="D501" s="4" t="str">
        <f>IF(B501="","", COUNTIFS(Productos!F:F,A501,Productos!H:H,B501)+IF(F501="SI",0,1))</f>
        <v/>
      </c>
      <c r="E501" s="4" t="str">
        <f>IFERROR(__xludf.DUMMYFUNCTION("IF($B501="""","""",INDEX(filter(Familias!F:F,Familias!$D:$D=$A501,Familias!$E:$E=$B501),1))"),"")</f>
        <v/>
      </c>
      <c r="F501" s="4" t="str">
        <f>IFERROR(__xludf.DUMMYFUNCTION("IF($B501="""","""",INDEX(filter(Familias!G:G,Familias!$D:$D=$A501,Familias!$E:$E=$B501),1))"),"")</f>
        <v/>
      </c>
      <c r="G501" s="4" t="str">
        <f t="array" ref="G501">IF(C501=1,XLOOKUP(C501,Cotizador!D:D,Cotizador!E:E,"",0,1),"")</f>
        <v/>
      </c>
      <c r="I501" s="4"/>
      <c r="J501" s="8" t="str">
        <f>IF(I501="","",SUMIF(Cotizador!I$1:V$1,I501,Cotizador!I$2:V$2))</f>
        <v/>
      </c>
      <c r="L501" s="4" t="str">
        <f t="array" ref="L501">IF(COUNTIF(L$1:L500,A$2)=SUMIF(A:A,A$2,D:D),IF(COUNTIF(L$1:L500,XLOOKUP(A$2,Implementos!B:B,Implementos!C:C,"",0,1))=SUMIF(A:A,XLOOKUP(A$2,Implementos!B:B,Implementos!C:C,"",0,1),D:D),"",XLOOKUP(A$2,Implementos!B:B,Implementos!C:C,"",0,1)),A$2)</f>
        <v/>
      </c>
      <c r="M501" s="4" t="str">
        <f t="shared" si="2"/>
        <v/>
      </c>
      <c r="N501" s="4" t="str">
        <f t="shared" si="3"/>
        <v/>
      </c>
      <c r="O501" s="4" t="str">
        <f t="shared" si="4"/>
        <v/>
      </c>
      <c r="P501" s="4" t="str">
        <f t="shared" si="5"/>
        <v/>
      </c>
      <c r="Q501" s="4" t="str">
        <f>IF(U501="","",SUMIF(Productos!E:E,U501,Productos!A:A))</f>
        <v/>
      </c>
      <c r="R501" s="4" t="str">
        <f t="array" ref="R501">IF(L501="","", max(1,SUMIF(I:I,XLOOKUP(U501,Productos!E:E,Productos!G:G,"",0,1),J:J)))</f>
        <v/>
      </c>
      <c r="S501" s="4" t="str">
        <f>IF(Q501="","",IF(SUMIFS(Compat_Vetado!D:D,Compat_Vetado!B:B,SUM(G:G),Compat_Vetado!C:C,Q501)=1,"SI",IF(OR(SUMIF(Cotizador!E:E,Q501,Cotizador!G:G)&gt;0,SUMIFS(Compat_Vetado!D:D,Compat_Vetado!B:B,SUM(G:G),Compat_Vetado!C:C,Q501)=-1),"NO","")))</f>
        <v/>
      </c>
      <c r="T501" s="4" t="str">
        <f t="shared" si="6"/>
        <v/>
      </c>
      <c r="U501" s="4" t="str">
        <f>IFERROR(__xludf.DUMMYFUNCTION("IF(P501="""","""",IFERROR(INDEX(filter(Productos!E:E,Productos!F:F=L501,Productos!H:H=N501),P501),IF(M501=SUM(D:D),""Finalizar"",""-"")))"),"")</f>
        <v/>
      </c>
      <c r="V501" s="4" t="str">
        <f>IFERROR(__xludf.DUMMYFUNCTION("IF(OR($U501="""",COUNTIF($I:$I,IFERROR(unique(filter(Prod_Prop!$H:$H,Prod_Prop!$G:$G=$U501,Prod_Prop!$E:$E=V$1)),""Check""))=0),"""",IFERROR(unique(filter(Prod_Prop!$H:$H,Prod_Prop!$G:$G=$U501,Prod_Prop!$E:$E=V$1)),""""))"),"")</f>
        <v/>
      </c>
      <c r="W501" s="4" t="str">
        <f>IF(V501="","",SUMIFS(Prod_Prop!$J:$J,Prod_Prop!$B:$B,$Q501,Prod_Prop!$H:$H,V501,Prod_Prop!$I:$I,W$1)*IF(V501="Peso",$R501,1))</f>
        <v/>
      </c>
      <c r="X501" s="4" t="str">
        <f>IF(V501="","",SUMIFS(Prod_Prop!$J:$J,Prod_Prop!$B:$B,$Q501,Prod_Prop!$H:$H,V501,Prod_Prop!$I:$I,X$1)*IF(V501="Peso",$R501,1))</f>
        <v/>
      </c>
      <c r="Y501" s="4" t="str">
        <f>IFERROR(__xludf.DUMMYFUNCTION("IF(OR($U501="""",COUNTIF($I:$I,IFERROR(unique(filter(Prod_Prop!$H:$H,Prod_Prop!$G:$G=$U501,Prod_Prop!$E:$E=Y$1)),""Check""))=0),"""",IFERROR(unique(filter(Prod_Prop!$H:$H,Prod_Prop!$G:$G=$U501,Prod_Prop!$E:$E=Y$1)),""""))"),"")</f>
        <v/>
      </c>
      <c r="Z501" s="4" t="str">
        <f>IF(Y501="","",SUMIFS(Prod_Prop!$J:$J,Prod_Prop!$B:$B,$Q501,Prod_Prop!$H:$H,Y501,Prod_Prop!$I:$I,Z$1)*IF(Y501="Peso",$R501,1))</f>
        <v/>
      </c>
      <c r="AA501" s="4" t="str">
        <f>IF(Y501="","",SUMIFS(Prod_Prop!$J:$J,Prod_Prop!$B:$B,$Q501,Prod_Prop!$H:$H,Y501,Prod_Prop!$I:$I,AA$1)*IF(Y501="Peso",$R501,1))</f>
        <v/>
      </c>
      <c r="AB501" s="4" t="str">
        <f>IFERROR(__xludf.DUMMYFUNCTION("IF(OR($U501="""",COUNTIF($I:$I,IFERROR(unique(filter(Prod_Prop!$H:$H,Prod_Prop!$G:$G=$U501,Prod_Prop!$E:$E=AB$1)),""Check""))=0),"""",IFERROR(unique(filter(Prod_Prop!$H:$H,Prod_Prop!$G:$G=$U501,Prod_Prop!$E:$E=AB$1)),""""))"),"")</f>
        <v/>
      </c>
      <c r="AC501" s="4" t="str">
        <f>IF(AB501="","",SUMIFS(Prod_Prop!$J:$J,Prod_Prop!$B:$B,$Q501,Prod_Prop!$H:$H,AB501,Prod_Prop!$I:$I,AC$1)*IF(AB501="Peso",$R501,1))</f>
        <v/>
      </c>
      <c r="AD501" s="4" t="str">
        <f>IF(AB501="","",SUMIFS(Prod_Prop!$J:$J,Prod_Prop!$B:$B,$Q501,Prod_Prop!$H:$H,AB501,Prod_Prop!$I:$I,AD$1)*IF(AB501="Peso",$R501,1))</f>
        <v/>
      </c>
    </row>
    <row r="502">
      <c r="A502" s="4" t="str">
        <f t="array" ref="A502">IF(COUNTIF(A$1:A501,Cotizador!F$2)=maxifs(Familias!E:E,Familias!D:D,Cotizador!F$2),IF(COUNTIF(A$1:A501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2" s="4" t="str">
        <f t="shared" si="1"/>
        <v/>
      </c>
      <c r="C502" s="4" t="str">
        <f t="array" ref="C502">IF(B502="","",IF(A502=XLOOKUP(A$2,Implementos!B:B,Implementos!C:C,"",0,1),B502+maxifs(B$1:B501,A$1:A501,A$2),B502))</f>
        <v/>
      </c>
      <c r="D502" s="4" t="str">
        <f>IF(B502="","", COUNTIFS(Productos!F:F,A502,Productos!H:H,B502)+IF(F502="SI",0,1))</f>
        <v/>
      </c>
      <c r="E502" s="4" t="str">
        <f>IFERROR(__xludf.DUMMYFUNCTION("IF($B502="""","""",INDEX(filter(Familias!F:F,Familias!$D:$D=$A502,Familias!$E:$E=$B502),1))"),"")</f>
        <v/>
      </c>
      <c r="F502" s="4" t="str">
        <f>IFERROR(__xludf.DUMMYFUNCTION("IF($B502="""","""",INDEX(filter(Familias!G:G,Familias!$D:$D=$A502,Familias!$E:$E=$B502),1))"),"")</f>
        <v/>
      </c>
      <c r="G502" s="4" t="str">
        <f t="array" ref="G502">IF(C502=1,XLOOKUP(C502,Cotizador!D:D,Cotizador!E:E,"",0,1),"")</f>
        <v/>
      </c>
      <c r="I502" s="4"/>
      <c r="J502" s="8" t="str">
        <f>IF(I502="","",SUMIF(Cotizador!I$1:V$1,I502,Cotizador!I$2:V$2))</f>
        <v/>
      </c>
      <c r="L502" s="4" t="str">
        <f t="array" ref="L502">IF(COUNTIF(L$1:L501,A$2)=SUMIF(A:A,A$2,D:D),IF(COUNTIF(L$1:L501,XLOOKUP(A$2,Implementos!B:B,Implementos!C:C,"",0,1))=SUMIF(A:A,XLOOKUP(A$2,Implementos!B:B,Implementos!C:C,"",0,1),D:D),"",XLOOKUP(A$2,Implementos!B:B,Implementos!C:C,"",0,1)),A$2)</f>
        <v/>
      </c>
      <c r="M502" s="4" t="str">
        <f t="shared" si="2"/>
        <v/>
      </c>
      <c r="N502" s="4" t="str">
        <f t="shared" si="3"/>
        <v/>
      </c>
      <c r="O502" s="4" t="str">
        <f t="shared" si="4"/>
        <v/>
      </c>
      <c r="P502" s="4" t="str">
        <f t="shared" si="5"/>
        <v/>
      </c>
      <c r="Q502" s="4" t="str">
        <f>IF(U502="","",SUMIF(Productos!E:E,U502,Productos!A:A))</f>
        <v/>
      </c>
      <c r="R502" s="4" t="str">
        <f t="array" ref="R502">IF(L502="","", max(1,SUMIF(I:I,XLOOKUP(U502,Productos!E:E,Productos!G:G,"",0,1),J:J)))</f>
        <v/>
      </c>
      <c r="S502" s="4" t="str">
        <f>IF(Q502="","",IF(SUMIFS(Compat_Vetado!D:D,Compat_Vetado!B:B,SUM(G:G),Compat_Vetado!C:C,Q502)=1,"SI",IF(OR(SUMIF(Cotizador!E:E,Q502,Cotizador!G:G)&gt;0,SUMIFS(Compat_Vetado!D:D,Compat_Vetado!B:B,SUM(G:G),Compat_Vetado!C:C,Q502)=-1),"NO","")))</f>
        <v/>
      </c>
      <c r="T502" s="4" t="str">
        <f t="shared" si="6"/>
        <v/>
      </c>
      <c r="U502" s="4" t="str">
        <f>IFERROR(__xludf.DUMMYFUNCTION("IF(P502="""","""",IFERROR(INDEX(filter(Productos!E:E,Productos!F:F=L502,Productos!H:H=N502),P502),IF(M502=SUM(D:D),""Finalizar"",""-"")))"),"")</f>
        <v/>
      </c>
      <c r="V502" s="4" t="str">
        <f>IFERROR(__xludf.DUMMYFUNCTION("IF(OR($U502="""",COUNTIF($I:$I,IFERROR(unique(filter(Prod_Prop!$H:$H,Prod_Prop!$G:$G=$U502,Prod_Prop!$E:$E=V$1)),""Check""))=0),"""",IFERROR(unique(filter(Prod_Prop!$H:$H,Prod_Prop!$G:$G=$U502,Prod_Prop!$E:$E=V$1)),""""))"),"")</f>
        <v/>
      </c>
      <c r="W502" s="4" t="str">
        <f>IF(V502="","",SUMIFS(Prod_Prop!$J:$J,Prod_Prop!$B:$B,$Q502,Prod_Prop!$H:$H,V502,Prod_Prop!$I:$I,W$1)*IF(V502="Peso",$R502,1))</f>
        <v/>
      </c>
      <c r="X502" s="4" t="str">
        <f>IF(V502="","",SUMIFS(Prod_Prop!$J:$J,Prod_Prop!$B:$B,$Q502,Prod_Prop!$H:$H,V502,Prod_Prop!$I:$I,X$1)*IF(V502="Peso",$R502,1))</f>
        <v/>
      </c>
      <c r="Y502" s="4" t="str">
        <f>IFERROR(__xludf.DUMMYFUNCTION("IF(OR($U502="""",COUNTIF($I:$I,IFERROR(unique(filter(Prod_Prop!$H:$H,Prod_Prop!$G:$G=$U502,Prod_Prop!$E:$E=Y$1)),""Check""))=0),"""",IFERROR(unique(filter(Prod_Prop!$H:$H,Prod_Prop!$G:$G=$U502,Prod_Prop!$E:$E=Y$1)),""""))"),"")</f>
        <v/>
      </c>
      <c r="Z502" s="4" t="str">
        <f>IF(Y502="","",SUMIFS(Prod_Prop!$J:$J,Prod_Prop!$B:$B,$Q502,Prod_Prop!$H:$H,Y502,Prod_Prop!$I:$I,Z$1)*IF(Y502="Peso",$R502,1))</f>
        <v/>
      </c>
      <c r="AA502" s="4" t="str">
        <f>IF(Y502="","",SUMIFS(Prod_Prop!$J:$J,Prod_Prop!$B:$B,$Q502,Prod_Prop!$H:$H,Y502,Prod_Prop!$I:$I,AA$1)*IF(Y502="Peso",$R502,1))</f>
        <v/>
      </c>
      <c r="AB502" s="4" t="str">
        <f>IFERROR(__xludf.DUMMYFUNCTION("IF(OR($U502="""",COUNTIF($I:$I,IFERROR(unique(filter(Prod_Prop!$H:$H,Prod_Prop!$G:$G=$U502,Prod_Prop!$E:$E=AB$1)),""Check""))=0),"""",IFERROR(unique(filter(Prod_Prop!$H:$H,Prod_Prop!$G:$G=$U502,Prod_Prop!$E:$E=AB$1)),""""))"),"")</f>
        <v/>
      </c>
      <c r="AC502" s="4" t="str">
        <f>IF(AB502="","",SUMIFS(Prod_Prop!$J:$J,Prod_Prop!$B:$B,$Q502,Prod_Prop!$H:$H,AB502,Prod_Prop!$I:$I,AC$1)*IF(AB502="Peso",$R502,1))</f>
        <v/>
      </c>
      <c r="AD502" s="4" t="str">
        <f>IF(AB502="","",SUMIFS(Prod_Prop!$J:$J,Prod_Prop!$B:$B,$Q502,Prod_Prop!$H:$H,AB502,Prod_Prop!$I:$I,AD$1)*IF(AB502="Peso",$R502,1))</f>
        <v/>
      </c>
    </row>
    <row r="503">
      <c r="A503" s="4" t="str">
        <f t="array" ref="A503">IF(COUNTIF(A$1:A502,Cotizador!F$2)=maxifs(Familias!E:E,Familias!D:D,Cotizador!F$2),IF(COUNTIF(A$1:A502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3" s="4" t="str">
        <f t="shared" si="1"/>
        <v/>
      </c>
      <c r="C503" s="4" t="str">
        <f t="array" ref="C503">IF(B503="","",IF(A503=XLOOKUP(A$2,Implementos!B:B,Implementos!C:C,"",0,1),B503+maxifs(B$1:B502,A$1:A502,A$2),B503))</f>
        <v/>
      </c>
      <c r="D503" s="4" t="str">
        <f>IF(B503="","", COUNTIFS(Productos!F:F,A503,Productos!H:H,B503)+IF(F503="SI",0,1))</f>
        <v/>
      </c>
      <c r="E503" s="4" t="str">
        <f>IFERROR(__xludf.DUMMYFUNCTION("IF($B503="""","""",INDEX(filter(Familias!F:F,Familias!$D:$D=$A503,Familias!$E:$E=$B503),1))"),"")</f>
        <v/>
      </c>
      <c r="F503" s="4" t="str">
        <f>IFERROR(__xludf.DUMMYFUNCTION("IF($B503="""","""",INDEX(filter(Familias!G:G,Familias!$D:$D=$A503,Familias!$E:$E=$B503),1))"),"")</f>
        <v/>
      </c>
      <c r="G503" s="4" t="str">
        <f t="array" ref="G503">IF(C503=1,XLOOKUP(C503,Cotizador!D:D,Cotizador!E:E,"",0,1),"")</f>
        <v/>
      </c>
      <c r="I503" s="4"/>
      <c r="J503" s="8" t="str">
        <f>IF(I503="","",SUMIF(Cotizador!I$1:V$1,I503,Cotizador!I$2:V$2))</f>
        <v/>
      </c>
      <c r="L503" s="4" t="str">
        <f t="array" ref="L503">IF(COUNTIF(L$1:L502,A$2)=SUMIF(A:A,A$2,D:D),IF(COUNTIF(L$1:L502,XLOOKUP(A$2,Implementos!B:B,Implementos!C:C,"",0,1))=SUMIF(A:A,XLOOKUP(A$2,Implementos!B:B,Implementos!C:C,"",0,1),D:D),"",XLOOKUP(A$2,Implementos!B:B,Implementos!C:C,"",0,1)),A$2)</f>
        <v/>
      </c>
      <c r="M503" s="4" t="str">
        <f t="shared" si="2"/>
        <v/>
      </c>
      <c r="N503" s="4" t="str">
        <f t="shared" si="3"/>
        <v/>
      </c>
      <c r="O503" s="4" t="str">
        <f t="shared" si="4"/>
        <v/>
      </c>
      <c r="P503" s="4" t="str">
        <f t="shared" si="5"/>
        <v/>
      </c>
      <c r="Q503" s="4" t="str">
        <f>IF(U503="","",SUMIF(Productos!E:E,U503,Productos!A:A))</f>
        <v/>
      </c>
      <c r="R503" s="4" t="str">
        <f t="array" ref="R503">IF(L503="","", max(1,SUMIF(I:I,XLOOKUP(U503,Productos!E:E,Productos!G:G,"",0,1),J:J)))</f>
        <v/>
      </c>
      <c r="S503" s="4" t="str">
        <f>IF(Q503="","",IF(SUMIFS(Compat_Vetado!D:D,Compat_Vetado!B:B,SUM(G:G),Compat_Vetado!C:C,Q503)=1,"SI",IF(OR(SUMIF(Cotizador!E:E,Q503,Cotizador!G:G)&gt;0,SUMIFS(Compat_Vetado!D:D,Compat_Vetado!B:B,SUM(G:G),Compat_Vetado!C:C,Q503)=-1),"NO","")))</f>
        <v/>
      </c>
      <c r="T503" s="4" t="str">
        <f t="shared" si="6"/>
        <v/>
      </c>
      <c r="U503" s="4" t="str">
        <f>IFERROR(__xludf.DUMMYFUNCTION("IF(P503="""","""",IFERROR(INDEX(filter(Productos!E:E,Productos!F:F=L503,Productos!H:H=N503),P503),IF(M503=SUM(D:D),""Finalizar"",""-"")))"),"")</f>
        <v/>
      </c>
      <c r="V503" s="4" t="str">
        <f>IFERROR(__xludf.DUMMYFUNCTION("IF(OR($U503="""",COUNTIF($I:$I,IFERROR(unique(filter(Prod_Prop!$H:$H,Prod_Prop!$G:$G=$U503,Prod_Prop!$E:$E=V$1)),""Check""))=0),"""",IFERROR(unique(filter(Prod_Prop!$H:$H,Prod_Prop!$G:$G=$U503,Prod_Prop!$E:$E=V$1)),""""))"),"")</f>
        <v/>
      </c>
      <c r="W503" s="4" t="str">
        <f>IF(V503="","",SUMIFS(Prod_Prop!$J:$J,Prod_Prop!$B:$B,$Q503,Prod_Prop!$H:$H,V503,Prod_Prop!$I:$I,W$1)*IF(V503="Peso",$R503,1))</f>
        <v/>
      </c>
      <c r="X503" s="4" t="str">
        <f>IF(V503="","",SUMIFS(Prod_Prop!$J:$J,Prod_Prop!$B:$B,$Q503,Prod_Prop!$H:$H,V503,Prod_Prop!$I:$I,X$1)*IF(V503="Peso",$R503,1))</f>
        <v/>
      </c>
      <c r="Y503" s="4" t="str">
        <f>IFERROR(__xludf.DUMMYFUNCTION("IF(OR($U503="""",COUNTIF($I:$I,IFERROR(unique(filter(Prod_Prop!$H:$H,Prod_Prop!$G:$G=$U503,Prod_Prop!$E:$E=Y$1)),""Check""))=0),"""",IFERROR(unique(filter(Prod_Prop!$H:$H,Prod_Prop!$G:$G=$U503,Prod_Prop!$E:$E=Y$1)),""""))"),"")</f>
        <v/>
      </c>
      <c r="Z503" s="4" t="str">
        <f>IF(Y503="","",SUMIFS(Prod_Prop!$J:$J,Prod_Prop!$B:$B,$Q503,Prod_Prop!$H:$H,Y503,Prod_Prop!$I:$I,Z$1)*IF(Y503="Peso",$R503,1))</f>
        <v/>
      </c>
      <c r="AA503" s="4" t="str">
        <f>IF(Y503="","",SUMIFS(Prod_Prop!$J:$J,Prod_Prop!$B:$B,$Q503,Prod_Prop!$H:$H,Y503,Prod_Prop!$I:$I,AA$1)*IF(Y503="Peso",$R503,1))</f>
        <v/>
      </c>
      <c r="AB503" s="4" t="str">
        <f>IFERROR(__xludf.DUMMYFUNCTION("IF(OR($U503="""",COUNTIF($I:$I,IFERROR(unique(filter(Prod_Prop!$H:$H,Prod_Prop!$G:$G=$U503,Prod_Prop!$E:$E=AB$1)),""Check""))=0),"""",IFERROR(unique(filter(Prod_Prop!$H:$H,Prod_Prop!$G:$G=$U503,Prod_Prop!$E:$E=AB$1)),""""))"),"")</f>
        <v/>
      </c>
      <c r="AC503" s="4" t="str">
        <f>IF(AB503="","",SUMIFS(Prod_Prop!$J:$J,Prod_Prop!$B:$B,$Q503,Prod_Prop!$H:$H,AB503,Prod_Prop!$I:$I,AC$1)*IF(AB503="Peso",$R503,1))</f>
        <v/>
      </c>
      <c r="AD503" s="4" t="str">
        <f>IF(AB503="","",SUMIFS(Prod_Prop!$J:$J,Prod_Prop!$B:$B,$Q503,Prod_Prop!$H:$H,AB503,Prod_Prop!$I:$I,AD$1)*IF(AB503="Peso",$R503,1))</f>
        <v/>
      </c>
    </row>
    <row r="504">
      <c r="A504" s="4" t="str">
        <f t="array" ref="A504">IF(COUNTIF(A$1:A503,Cotizador!F$2)=maxifs(Familias!E:E,Familias!D:D,Cotizador!F$2),IF(COUNTIF(A$1:A503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4" s="4" t="str">
        <f t="shared" si="1"/>
        <v/>
      </c>
      <c r="C504" s="4" t="str">
        <f t="array" ref="C504">IF(B504="","",IF(A504=XLOOKUP(A$2,Implementos!B:B,Implementos!C:C,"",0,1),B504+maxifs(B$1:B503,A$1:A503,A$2),B504))</f>
        <v/>
      </c>
      <c r="D504" s="4" t="str">
        <f>IF(B504="","", COUNTIFS(Productos!F:F,A504,Productos!H:H,B504)+IF(F504="SI",0,1))</f>
        <v/>
      </c>
      <c r="E504" s="4" t="str">
        <f>IFERROR(__xludf.DUMMYFUNCTION("IF($B504="""","""",INDEX(filter(Familias!F:F,Familias!$D:$D=$A504,Familias!$E:$E=$B504),1))"),"")</f>
        <v/>
      </c>
      <c r="F504" s="4" t="str">
        <f>IFERROR(__xludf.DUMMYFUNCTION("IF($B504="""","""",INDEX(filter(Familias!G:G,Familias!$D:$D=$A504,Familias!$E:$E=$B504),1))"),"")</f>
        <v/>
      </c>
      <c r="G504" s="4" t="str">
        <f t="array" ref="G504">IF(C504=1,XLOOKUP(C504,Cotizador!D:D,Cotizador!E:E,"",0,1),"")</f>
        <v/>
      </c>
      <c r="I504" s="4"/>
      <c r="J504" s="8" t="str">
        <f>IF(I504="","",SUMIF(Cotizador!I$1:V$1,I504,Cotizador!I$2:V$2))</f>
        <v/>
      </c>
      <c r="L504" s="4" t="str">
        <f t="array" ref="L504">IF(COUNTIF(L$1:L503,A$2)=SUMIF(A:A,A$2,D:D),IF(COUNTIF(L$1:L503,XLOOKUP(A$2,Implementos!B:B,Implementos!C:C,"",0,1))=SUMIF(A:A,XLOOKUP(A$2,Implementos!B:B,Implementos!C:C,"",0,1),D:D),"",XLOOKUP(A$2,Implementos!B:B,Implementos!C:C,"",0,1)),A$2)</f>
        <v/>
      </c>
      <c r="M504" s="4" t="str">
        <f t="shared" si="2"/>
        <v/>
      </c>
      <c r="N504" s="4" t="str">
        <f t="shared" si="3"/>
        <v/>
      </c>
      <c r="O504" s="4" t="str">
        <f t="shared" si="4"/>
        <v/>
      </c>
      <c r="P504" s="4" t="str">
        <f t="shared" si="5"/>
        <v/>
      </c>
      <c r="Q504" s="4" t="str">
        <f>IF(U504="","",SUMIF(Productos!E:E,U504,Productos!A:A))</f>
        <v/>
      </c>
      <c r="R504" s="4" t="str">
        <f t="array" ref="R504">IF(L504="","", max(1,SUMIF(I:I,XLOOKUP(U504,Productos!E:E,Productos!G:G,"",0,1),J:J)))</f>
        <v/>
      </c>
      <c r="S504" s="4" t="str">
        <f>IF(Q504="","",IF(SUMIFS(Compat_Vetado!D:D,Compat_Vetado!B:B,SUM(G:G),Compat_Vetado!C:C,Q504)=1,"SI",IF(OR(SUMIF(Cotizador!E:E,Q504,Cotizador!G:G)&gt;0,SUMIFS(Compat_Vetado!D:D,Compat_Vetado!B:B,SUM(G:G),Compat_Vetado!C:C,Q504)=-1),"NO","")))</f>
        <v/>
      </c>
      <c r="T504" s="4" t="str">
        <f t="shared" si="6"/>
        <v/>
      </c>
      <c r="U504" s="4" t="str">
        <f>IFERROR(__xludf.DUMMYFUNCTION("IF(P504="""","""",IFERROR(INDEX(filter(Productos!E:E,Productos!F:F=L504,Productos!H:H=N504),P504),IF(M504=SUM(D:D),""Finalizar"",""-"")))"),"")</f>
        <v/>
      </c>
      <c r="V504" s="4" t="str">
        <f>IFERROR(__xludf.DUMMYFUNCTION("IF(OR($U504="""",COUNTIF($I:$I,IFERROR(unique(filter(Prod_Prop!$H:$H,Prod_Prop!$G:$G=$U504,Prod_Prop!$E:$E=V$1)),""Check""))=0),"""",IFERROR(unique(filter(Prod_Prop!$H:$H,Prod_Prop!$G:$G=$U504,Prod_Prop!$E:$E=V$1)),""""))"),"")</f>
        <v/>
      </c>
      <c r="W504" s="4" t="str">
        <f>IF(V504="","",SUMIFS(Prod_Prop!$J:$J,Prod_Prop!$B:$B,$Q504,Prod_Prop!$H:$H,V504,Prod_Prop!$I:$I,W$1)*IF(V504="Peso",$R504,1))</f>
        <v/>
      </c>
      <c r="X504" s="4" t="str">
        <f>IF(V504="","",SUMIFS(Prod_Prop!$J:$J,Prod_Prop!$B:$B,$Q504,Prod_Prop!$H:$H,V504,Prod_Prop!$I:$I,X$1)*IF(V504="Peso",$R504,1))</f>
        <v/>
      </c>
      <c r="Y504" s="4" t="str">
        <f>IFERROR(__xludf.DUMMYFUNCTION("IF(OR($U504="""",COUNTIF($I:$I,IFERROR(unique(filter(Prod_Prop!$H:$H,Prod_Prop!$G:$G=$U504,Prod_Prop!$E:$E=Y$1)),""Check""))=0),"""",IFERROR(unique(filter(Prod_Prop!$H:$H,Prod_Prop!$G:$G=$U504,Prod_Prop!$E:$E=Y$1)),""""))"),"")</f>
        <v/>
      </c>
      <c r="Z504" s="4" t="str">
        <f>IF(Y504="","",SUMIFS(Prod_Prop!$J:$J,Prod_Prop!$B:$B,$Q504,Prod_Prop!$H:$H,Y504,Prod_Prop!$I:$I,Z$1)*IF(Y504="Peso",$R504,1))</f>
        <v/>
      </c>
      <c r="AA504" s="4" t="str">
        <f>IF(Y504="","",SUMIFS(Prod_Prop!$J:$J,Prod_Prop!$B:$B,$Q504,Prod_Prop!$H:$H,Y504,Prod_Prop!$I:$I,AA$1)*IF(Y504="Peso",$R504,1))</f>
        <v/>
      </c>
      <c r="AB504" s="4" t="str">
        <f>IFERROR(__xludf.DUMMYFUNCTION("IF(OR($U504="""",COUNTIF($I:$I,IFERROR(unique(filter(Prod_Prop!$H:$H,Prod_Prop!$G:$G=$U504,Prod_Prop!$E:$E=AB$1)),""Check""))=0),"""",IFERROR(unique(filter(Prod_Prop!$H:$H,Prod_Prop!$G:$G=$U504,Prod_Prop!$E:$E=AB$1)),""""))"),"")</f>
        <v/>
      </c>
      <c r="AC504" s="4" t="str">
        <f>IF(AB504="","",SUMIFS(Prod_Prop!$J:$J,Prod_Prop!$B:$B,$Q504,Prod_Prop!$H:$H,AB504,Prod_Prop!$I:$I,AC$1)*IF(AB504="Peso",$R504,1))</f>
        <v/>
      </c>
      <c r="AD504" s="4" t="str">
        <f>IF(AB504="","",SUMIFS(Prod_Prop!$J:$J,Prod_Prop!$B:$B,$Q504,Prod_Prop!$H:$H,AB504,Prod_Prop!$I:$I,AD$1)*IF(AB504="Peso",$R504,1))</f>
        <v/>
      </c>
    </row>
    <row r="505">
      <c r="A505" s="4" t="str">
        <f t="array" ref="A505">IF(COUNTIF(A$1:A504,Cotizador!F$2)=maxifs(Familias!E:E,Familias!D:D,Cotizador!F$2),IF(COUNTIF(A$1:A504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5" s="4" t="str">
        <f t="shared" si="1"/>
        <v/>
      </c>
      <c r="C505" s="4" t="str">
        <f t="array" ref="C505">IF(B505="","",IF(A505=XLOOKUP(A$2,Implementos!B:B,Implementos!C:C,"",0,1),B505+maxifs(B$1:B504,A$1:A504,A$2),B505))</f>
        <v/>
      </c>
      <c r="D505" s="4" t="str">
        <f>IF(B505="","", COUNTIFS(Productos!F:F,A505,Productos!H:H,B505)+IF(F505="SI",0,1))</f>
        <v/>
      </c>
      <c r="E505" s="4" t="str">
        <f>IFERROR(__xludf.DUMMYFUNCTION("IF($B505="""","""",INDEX(filter(Familias!F:F,Familias!$D:$D=$A505,Familias!$E:$E=$B505),1))"),"")</f>
        <v/>
      </c>
      <c r="F505" s="4" t="str">
        <f>IFERROR(__xludf.DUMMYFUNCTION("IF($B505="""","""",INDEX(filter(Familias!G:G,Familias!$D:$D=$A505,Familias!$E:$E=$B505),1))"),"")</f>
        <v/>
      </c>
      <c r="G505" s="4" t="str">
        <f t="array" ref="G505">IF(C505=1,XLOOKUP(C505,Cotizador!D:D,Cotizador!E:E,"",0,1),"")</f>
        <v/>
      </c>
      <c r="I505" s="4"/>
      <c r="J505" s="8" t="str">
        <f>IF(I505="","",SUMIF(Cotizador!I$1:V$1,I505,Cotizador!I$2:V$2))</f>
        <v/>
      </c>
      <c r="L505" s="4" t="str">
        <f t="array" ref="L505">IF(COUNTIF(L$1:L504,A$2)=SUMIF(A:A,A$2,D:D),IF(COUNTIF(L$1:L504,XLOOKUP(A$2,Implementos!B:B,Implementos!C:C,"",0,1))=SUMIF(A:A,XLOOKUP(A$2,Implementos!B:B,Implementos!C:C,"",0,1),D:D),"",XLOOKUP(A$2,Implementos!B:B,Implementos!C:C,"",0,1)),A$2)</f>
        <v/>
      </c>
      <c r="M505" s="4" t="str">
        <f t="shared" si="2"/>
        <v/>
      </c>
      <c r="N505" s="4" t="str">
        <f t="shared" si="3"/>
        <v/>
      </c>
      <c r="O505" s="4" t="str">
        <f t="shared" si="4"/>
        <v/>
      </c>
      <c r="P505" s="4" t="str">
        <f t="shared" si="5"/>
        <v/>
      </c>
      <c r="Q505" s="4" t="str">
        <f>IF(U505="","",SUMIF(Productos!E:E,U505,Productos!A:A))</f>
        <v/>
      </c>
      <c r="R505" s="4" t="str">
        <f t="array" ref="R505">IF(L505="","", max(1,SUMIF(I:I,XLOOKUP(U505,Productos!E:E,Productos!G:G,"",0,1),J:J)))</f>
        <v/>
      </c>
      <c r="S505" s="4" t="str">
        <f>IF(Q505="","",IF(SUMIFS(Compat_Vetado!D:D,Compat_Vetado!B:B,SUM(G:G),Compat_Vetado!C:C,Q505)=1,"SI",IF(OR(SUMIF(Cotizador!E:E,Q505,Cotizador!G:G)&gt;0,SUMIFS(Compat_Vetado!D:D,Compat_Vetado!B:B,SUM(G:G),Compat_Vetado!C:C,Q505)=-1),"NO","")))</f>
        <v/>
      </c>
      <c r="T505" s="4" t="str">
        <f t="shared" si="6"/>
        <v/>
      </c>
      <c r="U505" s="4" t="str">
        <f>IFERROR(__xludf.DUMMYFUNCTION("IF(P505="""","""",IFERROR(INDEX(filter(Productos!E:E,Productos!F:F=L505,Productos!H:H=N505),P505),IF(M505=SUM(D:D),""Finalizar"",""-"")))"),"")</f>
        <v/>
      </c>
      <c r="V505" s="4" t="str">
        <f>IFERROR(__xludf.DUMMYFUNCTION("IF(OR($U505="""",COUNTIF($I:$I,IFERROR(unique(filter(Prod_Prop!$H:$H,Prod_Prop!$G:$G=$U505,Prod_Prop!$E:$E=V$1)),""Check""))=0),"""",IFERROR(unique(filter(Prod_Prop!$H:$H,Prod_Prop!$G:$G=$U505,Prod_Prop!$E:$E=V$1)),""""))"),"")</f>
        <v/>
      </c>
      <c r="W505" s="4" t="str">
        <f>IF(V505="","",SUMIFS(Prod_Prop!$J:$J,Prod_Prop!$B:$B,$Q505,Prod_Prop!$H:$H,V505,Prod_Prop!$I:$I,W$1)*IF(V505="Peso",$R505,1))</f>
        <v/>
      </c>
      <c r="X505" s="4" t="str">
        <f>IF(V505="","",SUMIFS(Prod_Prop!$J:$J,Prod_Prop!$B:$B,$Q505,Prod_Prop!$H:$H,V505,Prod_Prop!$I:$I,X$1)*IF(V505="Peso",$R505,1))</f>
        <v/>
      </c>
      <c r="Y505" s="4" t="str">
        <f>IFERROR(__xludf.DUMMYFUNCTION("IF(OR($U505="""",COUNTIF($I:$I,IFERROR(unique(filter(Prod_Prop!$H:$H,Prod_Prop!$G:$G=$U505,Prod_Prop!$E:$E=Y$1)),""Check""))=0),"""",IFERROR(unique(filter(Prod_Prop!$H:$H,Prod_Prop!$G:$G=$U505,Prod_Prop!$E:$E=Y$1)),""""))"),"")</f>
        <v/>
      </c>
      <c r="Z505" s="4" t="str">
        <f>IF(Y505="","",SUMIFS(Prod_Prop!$J:$J,Prod_Prop!$B:$B,$Q505,Prod_Prop!$H:$H,Y505,Prod_Prop!$I:$I,Z$1)*IF(Y505="Peso",$R505,1))</f>
        <v/>
      </c>
      <c r="AA505" s="4" t="str">
        <f>IF(Y505="","",SUMIFS(Prod_Prop!$J:$J,Prod_Prop!$B:$B,$Q505,Prod_Prop!$H:$H,Y505,Prod_Prop!$I:$I,AA$1)*IF(Y505="Peso",$R505,1))</f>
        <v/>
      </c>
      <c r="AB505" s="4" t="str">
        <f>IFERROR(__xludf.DUMMYFUNCTION("IF(OR($U505="""",COUNTIF($I:$I,IFERROR(unique(filter(Prod_Prop!$H:$H,Prod_Prop!$G:$G=$U505,Prod_Prop!$E:$E=AB$1)),""Check""))=0),"""",IFERROR(unique(filter(Prod_Prop!$H:$H,Prod_Prop!$G:$G=$U505,Prod_Prop!$E:$E=AB$1)),""""))"),"")</f>
        <v/>
      </c>
      <c r="AC505" s="4" t="str">
        <f>IF(AB505="","",SUMIFS(Prod_Prop!$J:$J,Prod_Prop!$B:$B,$Q505,Prod_Prop!$H:$H,AB505,Prod_Prop!$I:$I,AC$1)*IF(AB505="Peso",$R505,1))</f>
        <v/>
      </c>
      <c r="AD505" s="4" t="str">
        <f>IF(AB505="","",SUMIFS(Prod_Prop!$J:$J,Prod_Prop!$B:$B,$Q505,Prod_Prop!$H:$H,AB505,Prod_Prop!$I:$I,AD$1)*IF(AB505="Peso",$R505,1))</f>
        <v/>
      </c>
    </row>
    <row r="506">
      <c r="A506" s="4" t="str">
        <f t="array" ref="A506">IF(COUNTIF(A$1:A505,Cotizador!F$2)=maxifs(Familias!E:E,Familias!D:D,Cotizador!F$2),IF(COUNTIF(A$1:A505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6" s="4" t="str">
        <f t="shared" si="1"/>
        <v/>
      </c>
      <c r="C506" s="4" t="str">
        <f t="array" ref="C506">IF(B506="","",IF(A506=XLOOKUP(A$2,Implementos!B:B,Implementos!C:C,"",0,1),B506+maxifs(B$1:B505,A$1:A505,A$2),B506))</f>
        <v/>
      </c>
      <c r="D506" s="4" t="str">
        <f>IF(B506="","", COUNTIFS(Productos!F:F,A506,Productos!H:H,B506)+IF(F506="SI",0,1))</f>
        <v/>
      </c>
      <c r="E506" s="4" t="str">
        <f>IFERROR(__xludf.DUMMYFUNCTION("IF($B506="""","""",INDEX(filter(Familias!F:F,Familias!$D:$D=$A506,Familias!$E:$E=$B506),1))"),"")</f>
        <v/>
      </c>
      <c r="F506" s="4" t="str">
        <f>IFERROR(__xludf.DUMMYFUNCTION("IF($B506="""","""",INDEX(filter(Familias!G:G,Familias!$D:$D=$A506,Familias!$E:$E=$B506),1))"),"")</f>
        <v/>
      </c>
      <c r="G506" s="4" t="str">
        <f t="array" ref="G506">IF(C506=1,XLOOKUP(C506,Cotizador!D:D,Cotizador!E:E,"",0,1),"")</f>
        <v/>
      </c>
      <c r="I506" s="4"/>
      <c r="J506" s="8" t="str">
        <f>IF(I506="","",SUMIF(Cotizador!I$1:V$1,I506,Cotizador!I$2:V$2))</f>
        <v/>
      </c>
      <c r="L506" s="4" t="str">
        <f t="array" ref="L506">IF(COUNTIF(L$1:L505,A$2)=SUMIF(A:A,A$2,D:D),IF(COUNTIF(L$1:L505,XLOOKUP(A$2,Implementos!B:B,Implementos!C:C,"",0,1))=SUMIF(A:A,XLOOKUP(A$2,Implementos!B:B,Implementos!C:C,"",0,1),D:D),"",XLOOKUP(A$2,Implementos!B:B,Implementos!C:C,"",0,1)),A$2)</f>
        <v/>
      </c>
      <c r="M506" s="4" t="str">
        <f t="shared" si="2"/>
        <v/>
      </c>
      <c r="N506" s="4" t="str">
        <f t="shared" si="3"/>
        <v/>
      </c>
      <c r="O506" s="4" t="str">
        <f t="shared" si="4"/>
        <v/>
      </c>
      <c r="P506" s="4" t="str">
        <f t="shared" si="5"/>
        <v/>
      </c>
      <c r="Q506" s="4" t="str">
        <f>IF(U506="","",SUMIF(Productos!E:E,U506,Productos!A:A))</f>
        <v/>
      </c>
      <c r="R506" s="4" t="str">
        <f t="array" ref="R506">IF(L506="","", max(1,SUMIF(I:I,XLOOKUP(U506,Productos!E:E,Productos!G:G,"",0,1),J:J)))</f>
        <v/>
      </c>
      <c r="S506" s="4" t="str">
        <f>IF(Q506="","",IF(SUMIFS(Compat_Vetado!D:D,Compat_Vetado!B:B,SUM(G:G),Compat_Vetado!C:C,Q506)=1,"SI",IF(OR(SUMIF(Cotizador!E:E,Q506,Cotizador!G:G)&gt;0,SUMIFS(Compat_Vetado!D:D,Compat_Vetado!B:B,SUM(G:G),Compat_Vetado!C:C,Q506)=-1),"NO","")))</f>
        <v/>
      </c>
      <c r="T506" s="4" t="str">
        <f t="shared" si="6"/>
        <v/>
      </c>
      <c r="U506" s="4" t="str">
        <f>IFERROR(__xludf.DUMMYFUNCTION("IF(P506="""","""",IFERROR(INDEX(filter(Productos!E:E,Productos!F:F=L506,Productos!H:H=N506),P506),IF(M506=SUM(D:D),""Finalizar"",""-"")))"),"")</f>
        <v/>
      </c>
      <c r="V506" s="4" t="str">
        <f>IFERROR(__xludf.DUMMYFUNCTION("IF(OR($U506="""",COUNTIF($I:$I,IFERROR(unique(filter(Prod_Prop!$H:$H,Prod_Prop!$G:$G=$U506,Prod_Prop!$E:$E=V$1)),""Check""))=0),"""",IFERROR(unique(filter(Prod_Prop!$H:$H,Prod_Prop!$G:$G=$U506,Prod_Prop!$E:$E=V$1)),""""))"),"")</f>
        <v/>
      </c>
      <c r="W506" s="4" t="str">
        <f>IF(V506="","",SUMIFS(Prod_Prop!$J:$J,Prod_Prop!$B:$B,$Q506,Prod_Prop!$H:$H,V506,Prod_Prop!$I:$I,W$1)*IF(V506="Peso",$R506,1))</f>
        <v/>
      </c>
      <c r="X506" s="4" t="str">
        <f>IF(V506="","",SUMIFS(Prod_Prop!$J:$J,Prod_Prop!$B:$B,$Q506,Prod_Prop!$H:$H,V506,Prod_Prop!$I:$I,X$1)*IF(V506="Peso",$R506,1))</f>
        <v/>
      </c>
      <c r="Y506" s="4" t="str">
        <f>IFERROR(__xludf.DUMMYFUNCTION("IF(OR($U506="""",COUNTIF($I:$I,IFERROR(unique(filter(Prod_Prop!$H:$H,Prod_Prop!$G:$G=$U506,Prod_Prop!$E:$E=Y$1)),""Check""))=0),"""",IFERROR(unique(filter(Prod_Prop!$H:$H,Prod_Prop!$G:$G=$U506,Prod_Prop!$E:$E=Y$1)),""""))"),"")</f>
        <v/>
      </c>
      <c r="Z506" s="4" t="str">
        <f>IF(Y506="","",SUMIFS(Prod_Prop!$J:$J,Prod_Prop!$B:$B,$Q506,Prod_Prop!$H:$H,Y506,Prod_Prop!$I:$I,Z$1)*IF(Y506="Peso",$R506,1))</f>
        <v/>
      </c>
      <c r="AA506" s="4" t="str">
        <f>IF(Y506="","",SUMIFS(Prod_Prop!$J:$J,Prod_Prop!$B:$B,$Q506,Prod_Prop!$H:$H,Y506,Prod_Prop!$I:$I,AA$1)*IF(Y506="Peso",$R506,1))</f>
        <v/>
      </c>
      <c r="AB506" s="4" t="str">
        <f>IFERROR(__xludf.DUMMYFUNCTION("IF(OR($U506="""",COUNTIF($I:$I,IFERROR(unique(filter(Prod_Prop!$H:$H,Prod_Prop!$G:$G=$U506,Prod_Prop!$E:$E=AB$1)),""Check""))=0),"""",IFERROR(unique(filter(Prod_Prop!$H:$H,Prod_Prop!$G:$G=$U506,Prod_Prop!$E:$E=AB$1)),""""))"),"")</f>
        <v/>
      </c>
      <c r="AC506" s="4" t="str">
        <f>IF(AB506="","",SUMIFS(Prod_Prop!$J:$J,Prod_Prop!$B:$B,$Q506,Prod_Prop!$H:$H,AB506,Prod_Prop!$I:$I,AC$1)*IF(AB506="Peso",$R506,1))</f>
        <v/>
      </c>
      <c r="AD506" s="4" t="str">
        <f>IF(AB506="","",SUMIFS(Prod_Prop!$J:$J,Prod_Prop!$B:$B,$Q506,Prod_Prop!$H:$H,AB506,Prod_Prop!$I:$I,AD$1)*IF(AB506="Peso",$R506,1))</f>
        <v/>
      </c>
    </row>
    <row r="507">
      <c r="A507" s="4" t="str">
        <f t="array" ref="A507">IF(COUNTIF(A$1:A506,Cotizador!F$2)=maxifs(Familias!E:E,Familias!D:D,Cotizador!F$2),IF(COUNTIF(A$1:A506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7" s="4" t="str">
        <f t="shared" si="1"/>
        <v/>
      </c>
      <c r="C507" s="4" t="str">
        <f t="array" ref="C507">IF(B507="","",IF(A507=XLOOKUP(A$2,Implementos!B:B,Implementos!C:C,"",0,1),B507+maxifs(B$1:B506,A$1:A506,A$2),B507))</f>
        <v/>
      </c>
      <c r="D507" s="4" t="str">
        <f>IF(B507="","", COUNTIFS(Productos!F:F,A507,Productos!H:H,B507)+IF(F507="SI",0,1))</f>
        <v/>
      </c>
      <c r="E507" s="4" t="str">
        <f>IFERROR(__xludf.DUMMYFUNCTION("IF($B507="""","""",INDEX(filter(Familias!F:F,Familias!$D:$D=$A507,Familias!$E:$E=$B507),1))"),"")</f>
        <v/>
      </c>
      <c r="F507" s="4" t="str">
        <f>IFERROR(__xludf.DUMMYFUNCTION("IF($B507="""","""",INDEX(filter(Familias!G:G,Familias!$D:$D=$A507,Familias!$E:$E=$B507),1))"),"")</f>
        <v/>
      </c>
      <c r="G507" s="4" t="str">
        <f t="array" ref="G507">IF(C507=1,XLOOKUP(C507,Cotizador!D:D,Cotizador!E:E,"",0,1),"")</f>
        <v/>
      </c>
      <c r="I507" s="4"/>
      <c r="J507" s="8" t="str">
        <f>IF(I507="","",SUMIF(Cotizador!I$1:V$1,I507,Cotizador!I$2:V$2))</f>
        <v/>
      </c>
      <c r="L507" s="4" t="str">
        <f t="array" ref="L507">IF(COUNTIF(L$1:L506,A$2)=SUMIF(A:A,A$2,D:D),IF(COUNTIF(L$1:L506,XLOOKUP(A$2,Implementos!B:B,Implementos!C:C,"",0,1))=SUMIF(A:A,XLOOKUP(A$2,Implementos!B:B,Implementos!C:C,"",0,1),D:D),"",XLOOKUP(A$2,Implementos!B:B,Implementos!C:C,"",0,1)),A$2)</f>
        <v/>
      </c>
      <c r="M507" s="4" t="str">
        <f t="shared" si="2"/>
        <v/>
      </c>
      <c r="N507" s="4" t="str">
        <f t="shared" si="3"/>
        <v/>
      </c>
      <c r="O507" s="4" t="str">
        <f t="shared" si="4"/>
        <v/>
      </c>
      <c r="P507" s="4" t="str">
        <f t="shared" si="5"/>
        <v/>
      </c>
      <c r="Q507" s="4" t="str">
        <f>IF(U507="","",SUMIF(Productos!E:E,U507,Productos!A:A))</f>
        <v/>
      </c>
      <c r="R507" s="4" t="str">
        <f t="array" ref="R507">IF(L507="","", max(1,SUMIF(I:I,XLOOKUP(U507,Productos!E:E,Productos!G:G,"",0,1),J:J)))</f>
        <v/>
      </c>
      <c r="S507" s="4" t="str">
        <f>IF(Q507="","",IF(SUMIFS(Compat_Vetado!D:D,Compat_Vetado!B:B,SUM(G:G),Compat_Vetado!C:C,Q507)=1,"SI",IF(OR(SUMIF(Cotizador!E:E,Q507,Cotizador!G:G)&gt;0,SUMIFS(Compat_Vetado!D:D,Compat_Vetado!B:B,SUM(G:G),Compat_Vetado!C:C,Q507)=-1),"NO","")))</f>
        <v/>
      </c>
      <c r="T507" s="4" t="str">
        <f t="shared" si="6"/>
        <v/>
      </c>
      <c r="U507" s="4" t="str">
        <f>IFERROR(__xludf.DUMMYFUNCTION("IF(P507="""","""",IFERROR(INDEX(filter(Productos!E:E,Productos!F:F=L507,Productos!H:H=N507),P507),IF(M507=SUM(D:D),""Finalizar"",""-"")))"),"")</f>
        <v/>
      </c>
      <c r="V507" s="4" t="str">
        <f>IFERROR(__xludf.DUMMYFUNCTION("IF(OR($U507="""",COUNTIF($I:$I,IFERROR(unique(filter(Prod_Prop!$H:$H,Prod_Prop!$G:$G=$U507,Prod_Prop!$E:$E=V$1)),""Check""))=0),"""",IFERROR(unique(filter(Prod_Prop!$H:$H,Prod_Prop!$G:$G=$U507,Prod_Prop!$E:$E=V$1)),""""))"),"")</f>
        <v/>
      </c>
      <c r="W507" s="4" t="str">
        <f>IF(V507="","",SUMIFS(Prod_Prop!$J:$J,Prod_Prop!$B:$B,$Q507,Prod_Prop!$H:$H,V507,Prod_Prop!$I:$I,W$1)*IF(V507="Peso",$R507,1))</f>
        <v/>
      </c>
      <c r="X507" s="4" t="str">
        <f>IF(V507="","",SUMIFS(Prod_Prop!$J:$J,Prod_Prop!$B:$B,$Q507,Prod_Prop!$H:$H,V507,Prod_Prop!$I:$I,X$1)*IF(V507="Peso",$R507,1))</f>
        <v/>
      </c>
      <c r="Y507" s="4" t="str">
        <f>IFERROR(__xludf.DUMMYFUNCTION("IF(OR($U507="""",COUNTIF($I:$I,IFERROR(unique(filter(Prod_Prop!$H:$H,Prod_Prop!$G:$G=$U507,Prod_Prop!$E:$E=Y$1)),""Check""))=0),"""",IFERROR(unique(filter(Prod_Prop!$H:$H,Prod_Prop!$G:$G=$U507,Prod_Prop!$E:$E=Y$1)),""""))"),"")</f>
        <v/>
      </c>
      <c r="Z507" s="4" t="str">
        <f>IF(Y507="","",SUMIFS(Prod_Prop!$J:$J,Prod_Prop!$B:$B,$Q507,Prod_Prop!$H:$H,Y507,Prod_Prop!$I:$I,Z$1)*IF(Y507="Peso",$R507,1))</f>
        <v/>
      </c>
      <c r="AA507" s="4" t="str">
        <f>IF(Y507="","",SUMIFS(Prod_Prop!$J:$J,Prod_Prop!$B:$B,$Q507,Prod_Prop!$H:$H,Y507,Prod_Prop!$I:$I,AA$1)*IF(Y507="Peso",$R507,1))</f>
        <v/>
      </c>
      <c r="AB507" s="4" t="str">
        <f>IFERROR(__xludf.DUMMYFUNCTION("IF(OR($U507="""",COUNTIF($I:$I,IFERROR(unique(filter(Prod_Prop!$H:$H,Prod_Prop!$G:$G=$U507,Prod_Prop!$E:$E=AB$1)),""Check""))=0),"""",IFERROR(unique(filter(Prod_Prop!$H:$H,Prod_Prop!$G:$G=$U507,Prod_Prop!$E:$E=AB$1)),""""))"),"")</f>
        <v/>
      </c>
      <c r="AC507" s="4" t="str">
        <f>IF(AB507="","",SUMIFS(Prod_Prop!$J:$J,Prod_Prop!$B:$B,$Q507,Prod_Prop!$H:$H,AB507,Prod_Prop!$I:$I,AC$1)*IF(AB507="Peso",$R507,1))</f>
        <v/>
      </c>
      <c r="AD507" s="4" t="str">
        <f>IF(AB507="","",SUMIFS(Prod_Prop!$J:$J,Prod_Prop!$B:$B,$Q507,Prod_Prop!$H:$H,AB507,Prod_Prop!$I:$I,AD$1)*IF(AB507="Peso",$R507,1))</f>
        <v/>
      </c>
    </row>
    <row r="508">
      <c r="A508" s="4" t="str">
        <f t="array" ref="A508">IF(COUNTIF(A$1:A507,Cotizador!F$2)=maxifs(Familias!E:E,Familias!D:D,Cotizador!F$2),IF(COUNTIF(A$1:A507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8" s="4" t="str">
        <f t="shared" si="1"/>
        <v/>
      </c>
      <c r="C508" s="4" t="str">
        <f t="array" ref="C508">IF(B508="","",IF(A508=XLOOKUP(A$2,Implementos!B:B,Implementos!C:C,"",0,1),B508+maxifs(B$1:B507,A$1:A507,A$2),B508))</f>
        <v/>
      </c>
      <c r="D508" s="4" t="str">
        <f>IF(B508="","", COUNTIFS(Productos!F:F,A508,Productos!H:H,B508)+IF(F508="SI",0,1))</f>
        <v/>
      </c>
      <c r="E508" s="4" t="str">
        <f>IFERROR(__xludf.DUMMYFUNCTION("IF($B508="""","""",INDEX(filter(Familias!F:F,Familias!$D:$D=$A508,Familias!$E:$E=$B508),1))"),"")</f>
        <v/>
      </c>
      <c r="F508" s="4" t="str">
        <f>IFERROR(__xludf.DUMMYFUNCTION("IF($B508="""","""",INDEX(filter(Familias!G:G,Familias!$D:$D=$A508,Familias!$E:$E=$B508),1))"),"")</f>
        <v/>
      </c>
      <c r="G508" s="4" t="str">
        <f t="array" ref="G508">IF(C508=1,XLOOKUP(C508,Cotizador!D:D,Cotizador!E:E,"",0,1),"")</f>
        <v/>
      </c>
      <c r="I508" s="4"/>
      <c r="J508" s="8" t="str">
        <f>IF(I508="","",SUMIF(Cotizador!I$1:V$1,I508,Cotizador!I$2:V$2))</f>
        <v/>
      </c>
      <c r="L508" s="4" t="str">
        <f t="array" ref="L508">IF(COUNTIF(L$1:L507,A$2)=SUMIF(A:A,A$2,D:D),IF(COUNTIF(L$1:L507,XLOOKUP(A$2,Implementos!B:B,Implementos!C:C,"",0,1))=SUMIF(A:A,XLOOKUP(A$2,Implementos!B:B,Implementos!C:C,"",0,1),D:D),"",XLOOKUP(A$2,Implementos!B:B,Implementos!C:C,"",0,1)),A$2)</f>
        <v/>
      </c>
      <c r="M508" s="4" t="str">
        <f t="shared" si="2"/>
        <v/>
      </c>
      <c r="N508" s="4" t="str">
        <f t="shared" si="3"/>
        <v/>
      </c>
      <c r="O508" s="4" t="str">
        <f t="shared" si="4"/>
        <v/>
      </c>
      <c r="P508" s="4" t="str">
        <f t="shared" si="5"/>
        <v/>
      </c>
      <c r="Q508" s="4" t="str">
        <f>IF(U508="","",SUMIF(Productos!E:E,U508,Productos!A:A))</f>
        <v/>
      </c>
      <c r="R508" s="4" t="str">
        <f t="array" ref="R508">IF(L508="","", max(1,SUMIF(I:I,XLOOKUP(U508,Productos!E:E,Productos!G:G,"",0,1),J:J)))</f>
        <v/>
      </c>
      <c r="S508" s="4" t="str">
        <f>IF(Q508="","",IF(SUMIFS(Compat_Vetado!D:D,Compat_Vetado!B:B,SUM(G:G),Compat_Vetado!C:C,Q508)=1,"SI",IF(OR(SUMIF(Cotizador!E:E,Q508,Cotizador!G:G)&gt;0,SUMIFS(Compat_Vetado!D:D,Compat_Vetado!B:B,SUM(G:G),Compat_Vetado!C:C,Q508)=-1),"NO","")))</f>
        <v/>
      </c>
      <c r="T508" s="4" t="str">
        <f t="shared" si="6"/>
        <v/>
      </c>
      <c r="U508" s="4" t="str">
        <f>IFERROR(__xludf.DUMMYFUNCTION("IF(P508="""","""",IFERROR(INDEX(filter(Productos!E:E,Productos!F:F=L508,Productos!H:H=N508),P508),IF(M508=SUM(D:D),""Finalizar"",""-"")))"),"")</f>
        <v/>
      </c>
      <c r="V508" s="4" t="str">
        <f>IFERROR(__xludf.DUMMYFUNCTION("IF(OR($U508="""",COUNTIF($I:$I,IFERROR(unique(filter(Prod_Prop!$H:$H,Prod_Prop!$G:$G=$U508,Prod_Prop!$E:$E=V$1)),""Check""))=0),"""",IFERROR(unique(filter(Prod_Prop!$H:$H,Prod_Prop!$G:$G=$U508,Prod_Prop!$E:$E=V$1)),""""))"),"")</f>
        <v/>
      </c>
      <c r="W508" s="4" t="str">
        <f>IF(V508="","",SUMIFS(Prod_Prop!$J:$J,Prod_Prop!$B:$B,$Q508,Prod_Prop!$H:$H,V508,Prod_Prop!$I:$I,W$1)*IF(V508="Peso",$R508,1))</f>
        <v/>
      </c>
      <c r="X508" s="4" t="str">
        <f>IF(V508="","",SUMIFS(Prod_Prop!$J:$J,Prod_Prop!$B:$B,$Q508,Prod_Prop!$H:$H,V508,Prod_Prop!$I:$I,X$1)*IF(V508="Peso",$R508,1))</f>
        <v/>
      </c>
      <c r="Y508" s="4" t="str">
        <f>IFERROR(__xludf.DUMMYFUNCTION("IF(OR($U508="""",COUNTIF($I:$I,IFERROR(unique(filter(Prod_Prop!$H:$H,Prod_Prop!$G:$G=$U508,Prod_Prop!$E:$E=Y$1)),""Check""))=0),"""",IFERROR(unique(filter(Prod_Prop!$H:$H,Prod_Prop!$G:$G=$U508,Prod_Prop!$E:$E=Y$1)),""""))"),"")</f>
        <v/>
      </c>
      <c r="Z508" s="4" t="str">
        <f>IF(Y508="","",SUMIFS(Prod_Prop!$J:$J,Prod_Prop!$B:$B,$Q508,Prod_Prop!$H:$H,Y508,Prod_Prop!$I:$I,Z$1)*IF(Y508="Peso",$R508,1))</f>
        <v/>
      </c>
      <c r="AA508" s="4" t="str">
        <f>IF(Y508="","",SUMIFS(Prod_Prop!$J:$J,Prod_Prop!$B:$B,$Q508,Prod_Prop!$H:$H,Y508,Prod_Prop!$I:$I,AA$1)*IF(Y508="Peso",$R508,1))</f>
        <v/>
      </c>
      <c r="AB508" s="4" t="str">
        <f>IFERROR(__xludf.DUMMYFUNCTION("IF(OR($U508="""",COUNTIF($I:$I,IFERROR(unique(filter(Prod_Prop!$H:$H,Prod_Prop!$G:$G=$U508,Prod_Prop!$E:$E=AB$1)),""Check""))=0),"""",IFERROR(unique(filter(Prod_Prop!$H:$H,Prod_Prop!$G:$G=$U508,Prod_Prop!$E:$E=AB$1)),""""))"),"")</f>
        <v/>
      </c>
      <c r="AC508" s="4" t="str">
        <f>IF(AB508="","",SUMIFS(Prod_Prop!$J:$J,Prod_Prop!$B:$B,$Q508,Prod_Prop!$H:$H,AB508,Prod_Prop!$I:$I,AC$1)*IF(AB508="Peso",$R508,1))</f>
        <v/>
      </c>
      <c r="AD508" s="4" t="str">
        <f>IF(AB508="","",SUMIFS(Prod_Prop!$J:$J,Prod_Prop!$B:$B,$Q508,Prod_Prop!$H:$H,AB508,Prod_Prop!$I:$I,AD$1)*IF(AB508="Peso",$R508,1))</f>
        <v/>
      </c>
    </row>
    <row r="509">
      <c r="A509" s="4" t="str">
        <f t="array" ref="A509">IF(COUNTIF(A$1:A508,Cotizador!F$2)=maxifs(Familias!E:E,Familias!D:D,Cotizador!F$2),IF(COUNTIF(A$1:A508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09" s="4" t="str">
        <f t="shared" si="1"/>
        <v/>
      </c>
      <c r="C509" s="4" t="str">
        <f t="array" ref="C509">IF(B509="","",IF(A509=XLOOKUP(A$2,Implementos!B:B,Implementos!C:C,"",0,1),B509+maxifs(B$1:B508,A$1:A508,A$2),B509))</f>
        <v/>
      </c>
      <c r="D509" s="4" t="str">
        <f>IF(B509="","", COUNTIFS(Productos!F:F,A509,Productos!H:H,B509)+IF(F509="SI",0,1))</f>
        <v/>
      </c>
      <c r="E509" s="4" t="str">
        <f>IFERROR(__xludf.DUMMYFUNCTION("IF($B509="""","""",INDEX(filter(Familias!F:F,Familias!$D:$D=$A509,Familias!$E:$E=$B509),1))"),"")</f>
        <v/>
      </c>
      <c r="F509" s="4" t="str">
        <f>IFERROR(__xludf.DUMMYFUNCTION("IF($B509="""","""",INDEX(filter(Familias!G:G,Familias!$D:$D=$A509,Familias!$E:$E=$B509),1))"),"")</f>
        <v/>
      </c>
      <c r="G509" s="4" t="str">
        <f t="array" ref="G509">IF(C509=1,XLOOKUP(C509,Cotizador!D:D,Cotizador!E:E,"",0,1),"")</f>
        <v/>
      </c>
      <c r="I509" s="4"/>
      <c r="J509" s="8" t="str">
        <f>IF(I509="","",SUMIF(Cotizador!I$1:V$1,I509,Cotizador!I$2:V$2))</f>
        <v/>
      </c>
      <c r="L509" s="4" t="str">
        <f t="array" ref="L509">IF(COUNTIF(L$1:L508,A$2)=SUMIF(A:A,A$2,D:D),IF(COUNTIF(L$1:L508,XLOOKUP(A$2,Implementos!B:B,Implementos!C:C,"",0,1))=SUMIF(A:A,XLOOKUP(A$2,Implementos!B:B,Implementos!C:C,"",0,1),D:D),"",XLOOKUP(A$2,Implementos!B:B,Implementos!C:C,"",0,1)),A$2)</f>
        <v/>
      </c>
      <c r="M509" s="4" t="str">
        <f t="shared" si="2"/>
        <v/>
      </c>
      <c r="N509" s="4" t="str">
        <f t="shared" si="3"/>
        <v/>
      </c>
      <c r="O509" s="4" t="str">
        <f t="shared" si="4"/>
        <v/>
      </c>
      <c r="P509" s="4" t="str">
        <f t="shared" si="5"/>
        <v/>
      </c>
      <c r="Q509" s="4" t="str">
        <f>IF(U509="","",SUMIF(Productos!E:E,U509,Productos!A:A))</f>
        <v/>
      </c>
      <c r="R509" s="4" t="str">
        <f t="array" ref="R509">IF(L509="","", max(1,SUMIF(I:I,XLOOKUP(U509,Productos!E:E,Productos!G:G,"",0,1),J:J)))</f>
        <v/>
      </c>
      <c r="S509" s="4" t="str">
        <f>IF(Q509="","",IF(SUMIFS(Compat_Vetado!D:D,Compat_Vetado!B:B,SUM(G:G),Compat_Vetado!C:C,Q509)=1,"SI",IF(OR(SUMIF(Cotizador!E:E,Q509,Cotizador!G:G)&gt;0,SUMIFS(Compat_Vetado!D:D,Compat_Vetado!B:B,SUM(G:G),Compat_Vetado!C:C,Q509)=-1),"NO","")))</f>
        <v/>
      </c>
      <c r="T509" s="4" t="str">
        <f t="shared" si="6"/>
        <v/>
      </c>
      <c r="U509" s="4" t="str">
        <f>IFERROR(__xludf.DUMMYFUNCTION("IF(P509="""","""",IFERROR(INDEX(filter(Productos!E:E,Productos!F:F=L509,Productos!H:H=N509),P509),IF(M509=SUM(D:D),""Finalizar"",""-"")))"),"")</f>
        <v/>
      </c>
      <c r="V509" s="4" t="str">
        <f>IFERROR(__xludf.DUMMYFUNCTION("IF(OR($U509="""",COUNTIF($I:$I,IFERROR(unique(filter(Prod_Prop!$H:$H,Prod_Prop!$G:$G=$U509,Prod_Prop!$E:$E=V$1)),""Check""))=0),"""",IFERROR(unique(filter(Prod_Prop!$H:$H,Prod_Prop!$G:$G=$U509,Prod_Prop!$E:$E=V$1)),""""))"),"")</f>
        <v/>
      </c>
      <c r="W509" s="4" t="str">
        <f>IF(V509="","",SUMIFS(Prod_Prop!$J:$J,Prod_Prop!$B:$B,$Q509,Prod_Prop!$H:$H,V509,Prod_Prop!$I:$I,W$1)*IF(V509="Peso",$R509,1))</f>
        <v/>
      </c>
      <c r="X509" s="4" t="str">
        <f>IF(V509="","",SUMIFS(Prod_Prop!$J:$J,Prod_Prop!$B:$B,$Q509,Prod_Prop!$H:$H,V509,Prod_Prop!$I:$I,X$1)*IF(V509="Peso",$R509,1))</f>
        <v/>
      </c>
      <c r="Y509" s="4" t="str">
        <f>IFERROR(__xludf.DUMMYFUNCTION("IF(OR($U509="""",COUNTIF($I:$I,IFERROR(unique(filter(Prod_Prop!$H:$H,Prod_Prop!$G:$G=$U509,Prod_Prop!$E:$E=Y$1)),""Check""))=0),"""",IFERROR(unique(filter(Prod_Prop!$H:$H,Prod_Prop!$G:$G=$U509,Prod_Prop!$E:$E=Y$1)),""""))"),"")</f>
        <v/>
      </c>
      <c r="Z509" s="4" t="str">
        <f>IF(Y509="","",SUMIFS(Prod_Prop!$J:$J,Prod_Prop!$B:$B,$Q509,Prod_Prop!$H:$H,Y509,Prod_Prop!$I:$I,Z$1)*IF(Y509="Peso",$R509,1))</f>
        <v/>
      </c>
      <c r="AA509" s="4" t="str">
        <f>IF(Y509="","",SUMIFS(Prod_Prop!$J:$J,Prod_Prop!$B:$B,$Q509,Prod_Prop!$H:$H,Y509,Prod_Prop!$I:$I,AA$1)*IF(Y509="Peso",$R509,1))</f>
        <v/>
      </c>
      <c r="AB509" s="4" t="str">
        <f>IFERROR(__xludf.DUMMYFUNCTION("IF(OR($U509="""",COUNTIF($I:$I,IFERROR(unique(filter(Prod_Prop!$H:$H,Prod_Prop!$G:$G=$U509,Prod_Prop!$E:$E=AB$1)),""Check""))=0),"""",IFERROR(unique(filter(Prod_Prop!$H:$H,Prod_Prop!$G:$G=$U509,Prod_Prop!$E:$E=AB$1)),""""))"),"")</f>
        <v/>
      </c>
      <c r="AC509" s="4" t="str">
        <f>IF(AB509="","",SUMIFS(Prod_Prop!$J:$J,Prod_Prop!$B:$B,$Q509,Prod_Prop!$H:$H,AB509,Prod_Prop!$I:$I,AC$1)*IF(AB509="Peso",$R509,1))</f>
        <v/>
      </c>
      <c r="AD509" s="4" t="str">
        <f>IF(AB509="","",SUMIFS(Prod_Prop!$J:$J,Prod_Prop!$B:$B,$Q509,Prod_Prop!$H:$H,AB509,Prod_Prop!$I:$I,AD$1)*IF(AB509="Peso",$R509,1))</f>
        <v/>
      </c>
    </row>
    <row r="510">
      <c r="A510" s="4" t="str">
        <f t="array" ref="A510">IF(COUNTIF(A$1:A509,Cotizador!F$2)=maxifs(Familias!E:E,Familias!D:D,Cotizador!F$2),IF(COUNTIF(A$1:A509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0" s="4" t="str">
        <f t="shared" si="1"/>
        <v/>
      </c>
      <c r="C510" s="4" t="str">
        <f t="array" ref="C510">IF(B510="","",IF(A510=XLOOKUP(A$2,Implementos!B:B,Implementos!C:C,"",0,1),B510+maxifs(B$1:B509,A$1:A509,A$2),B510))</f>
        <v/>
      </c>
      <c r="D510" s="4" t="str">
        <f>IF(B510="","", COUNTIFS(Productos!F:F,A510,Productos!H:H,B510)+IF(F510="SI",0,1))</f>
        <v/>
      </c>
      <c r="E510" s="4" t="str">
        <f>IFERROR(__xludf.DUMMYFUNCTION("IF($B510="""","""",INDEX(filter(Familias!F:F,Familias!$D:$D=$A510,Familias!$E:$E=$B510),1))"),"")</f>
        <v/>
      </c>
      <c r="F510" s="4" t="str">
        <f>IFERROR(__xludf.DUMMYFUNCTION("IF($B510="""","""",INDEX(filter(Familias!G:G,Familias!$D:$D=$A510,Familias!$E:$E=$B510),1))"),"")</f>
        <v/>
      </c>
      <c r="G510" s="4" t="str">
        <f t="array" ref="G510">IF(C510=1,XLOOKUP(C510,Cotizador!D:D,Cotizador!E:E,"",0,1),"")</f>
        <v/>
      </c>
      <c r="I510" s="4"/>
      <c r="J510" s="8" t="str">
        <f>IF(I510="","",SUMIF(Cotizador!I$1:V$1,I510,Cotizador!I$2:V$2))</f>
        <v/>
      </c>
      <c r="L510" s="4" t="str">
        <f t="array" ref="L510">IF(COUNTIF(L$1:L509,A$2)=SUMIF(A:A,A$2,D:D),IF(COUNTIF(L$1:L509,XLOOKUP(A$2,Implementos!B:B,Implementos!C:C,"",0,1))=SUMIF(A:A,XLOOKUP(A$2,Implementos!B:B,Implementos!C:C,"",0,1),D:D),"",XLOOKUP(A$2,Implementos!B:B,Implementos!C:C,"",0,1)),A$2)</f>
        <v/>
      </c>
      <c r="M510" s="4" t="str">
        <f t="shared" si="2"/>
        <v/>
      </c>
      <c r="N510" s="4" t="str">
        <f t="shared" si="3"/>
        <v/>
      </c>
      <c r="O510" s="4" t="str">
        <f t="shared" si="4"/>
        <v/>
      </c>
      <c r="P510" s="4" t="str">
        <f t="shared" si="5"/>
        <v/>
      </c>
      <c r="Q510" s="4" t="str">
        <f>IF(U510="","",SUMIF(Productos!E:E,U510,Productos!A:A))</f>
        <v/>
      </c>
      <c r="R510" s="4" t="str">
        <f t="array" ref="R510">IF(L510="","", max(1,SUMIF(I:I,XLOOKUP(U510,Productos!E:E,Productos!G:G,"",0,1),J:J)))</f>
        <v/>
      </c>
      <c r="S510" s="4" t="str">
        <f>IF(Q510="","",IF(SUMIFS(Compat_Vetado!D:D,Compat_Vetado!B:B,SUM(G:G),Compat_Vetado!C:C,Q510)=1,"SI",IF(OR(SUMIF(Cotizador!E:E,Q510,Cotizador!G:G)&gt;0,SUMIFS(Compat_Vetado!D:D,Compat_Vetado!B:B,SUM(G:G),Compat_Vetado!C:C,Q510)=-1),"NO","")))</f>
        <v/>
      </c>
      <c r="T510" s="4" t="str">
        <f t="shared" si="6"/>
        <v/>
      </c>
      <c r="U510" s="4" t="str">
        <f>IFERROR(__xludf.DUMMYFUNCTION("IF(P510="""","""",IFERROR(INDEX(filter(Productos!E:E,Productos!F:F=L510,Productos!H:H=N510),P510),IF(M510=SUM(D:D),""Finalizar"",""-"")))"),"")</f>
        <v/>
      </c>
      <c r="V510" s="4" t="str">
        <f>IFERROR(__xludf.DUMMYFUNCTION("IF(OR($U510="""",COUNTIF($I:$I,IFERROR(unique(filter(Prod_Prop!$H:$H,Prod_Prop!$G:$G=$U510,Prod_Prop!$E:$E=V$1)),""Check""))=0),"""",IFERROR(unique(filter(Prod_Prop!$H:$H,Prod_Prop!$G:$G=$U510,Prod_Prop!$E:$E=V$1)),""""))"),"")</f>
        <v/>
      </c>
      <c r="W510" s="4" t="str">
        <f>IF(V510="","",SUMIFS(Prod_Prop!$J:$J,Prod_Prop!$B:$B,$Q510,Prod_Prop!$H:$H,V510,Prod_Prop!$I:$I,W$1)*IF(V510="Peso",$R510,1))</f>
        <v/>
      </c>
      <c r="X510" s="4" t="str">
        <f>IF(V510="","",SUMIFS(Prod_Prop!$J:$J,Prod_Prop!$B:$B,$Q510,Prod_Prop!$H:$H,V510,Prod_Prop!$I:$I,X$1)*IF(V510="Peso",$R510,1))</f>
        <v/>
      </c>
      <c r="Y510" s="4" t="str">
        <f>IFERROR(__xludf.DUMMYFUNCTION("IF(OR($U510="""",COUNTIF($I:$I,IFERROR(unique(filter(Prod_Prop!$H:$H,Prod_Prop!$G:$G=$U510,Prod_Prop!$E:$E=Y$1)),""Check""))=0),"""",IFERROR(unique(filter(Prod_Prop!$H:$H,Prod_Prop!$G:$G=$U510,Prod_Prop!$E:$E=Y$1)),""""))"),"")</f>
        <v/>
      </c>
      <c r="Z510" s="4" t="str">
        <f>IF(Y510="","",SUMIFS(Prod_Prop!$J:$J,Prod_Prop!$B:$B,$Q510,Prod_Prop!$H:$H,Y510,Prod_Prop!$I:$I,Z$1)*IF(Y510="Peso",$R510,1))</f>
        <v/>
      </c>
      <c r="AA510" s="4" t="str">
        <f>IF(Y510="","",SUMIFS(Prod_Prop!$J:$J,Prod_Prop!$B:$B,$Q510,Prod_Prop!$H:$H,Y510,Prod_Prop!$I:$I,AA$1)*IF(Y510="Peso",$R510,1))</f>
        <v/>
      </c>
      <c r="AB510" s="4" t="str">
        <f>IFERROR(__xludf.DUMMYFUNCTION("IF(OR($U510="""",COUNTIF($I:$I,IFERROR(unique(filter(Prod_Prop!$H:$H,Prod_Prop!$G:$G=$U510,Prod_Prop!$E:$E=AB$1)),""Check""))=0),"""",IFERROR(unique(filter(Prod_Prop!$H:$H,Prod_Prop!$G:$G=$U510,Prod_Prop!$E:$E=AB$1)),""""))"),"")</f>
        <v/>
      </c>
      <c r="AC510" s="4" t="str">
        <f>IF(AB510="","",SUMIFS(Prod_Prop!$J:$J,Prod_Prop!$B:$B,$Q510,Prod_Prop!$H:$H,AB510,Prod_Prop!$I:$I,AC$1)*IF(AB510="Peso",$R510,1))</f>
        <v/>
      </c>
      <c r="AD510" s="4" t="str">
        <f>IF(AB510="","",SUMIFS(Prod_Prop!$J:$J,Prod_Prop!$B:$B,$Q510,Prod_Prop!$H:$H,AB510,Prod_Prop!$I:$I,AD$1)*IF(AB510="Peso",$R510,1))</f>
        <v/>
      </c>
    </row>
    <row r="511">
      <c r="A511" s="4" t="str">
        <f t="array" ref="A511">IF(COUNTIF(A$1:A510,Cotizador!F$2)=maxifs(Familias!E:E,Familias!D:D,Cotizador!F$2),IF(COUNTIF(A$1:A510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1" s="4" t="str">
        <f t="shared" si="1"/>
        <v/>
      </c>
      <c r="C511" s="4" t="str">
        <f t="array" ref="C511">IF(B511="","",IF(A511=XLOOKUP(A$2,Implementos!B:B,Implementos!C:C,"",0,1),B511+maxifs(B$1:B510,A$1:A510,A$2),B511))</f>
        <v/>
      </c>
      <c r="D511" s="4" t="str">
        <f>IF(B511="","", COUNTIFS(Productos!F:F,A511,Productos!H:H,B511)+IF(F511="SI",0,1))</f>
        <v/>
      </c>
      <c r="E511" s="4" t="str">
        <f>IFERROR(__xludf.DUMMYFUNCTION("IF($B511="""","""",INDEX(filter(Familias!F:F,Familias!$D:$D=$A511,Familias!$E:$E=$B511),1))"),"")</f>
        <v/>
      </c>
      <c r="F511" s="4" t="str">
        <f>IFERROR(__xludf.DUMMYFUNCTION("IF($B511="""","""",INDEX(filter(Familias!G:G,Familias!$D:$D=$A511,Familias!$E:$E=$B511),1))"),"")</f>
        <v/>
      </c>
      <c r="G511" s="4" t="str">
        <f t="array" ref="G511">IF(C511=1,XLOOKUP(C511,Cotizador!D:D,Cotizador!E:E,"",0,1),"")</f>
        <v/>
      </c>
      <c r="I511" s="4"/>
      <c r="J511" s="8" t="str">
        <f>IF(I511="","",SUMIF(Cotizador!I$1:V$1,I511,Cotizador!I$2:V$2))</f>
        <v/>
      </c>
      <c r="L511" s="4" t="str">
        <f t="array" ref="L511">IF(COUNTIF(L$1:L510,A$2)=SUMIF(A:A,A$2,D:D),IF(COUNTIF(L$1:L510,XLOOKUP(A$2,Implementos!B:B,Implementos!C:C,"",0,1))=SUMIF(A:A,XLOOKUP(A$2,Implementos!B:B,Implementos!C:C,"",0,1),D:D),"",XLOOKUP(A$2,Implementos!B:B,Implementos!C:C,"",0,1)),A$2)</f>
        <v/>
      </c>
      <c r="M511" s="4" t="str">
        <f t="shared" si="2"/>
        <v/>
      </c>
      <c r="N511" s="4" t="str">
        <f t="shared" si="3"/>
        <v/>
      </c>
      <c r="O511" s="4" t="str">
        <f t="shared" si="4"/>
        <v/>
      </c>
      <c r="P511" s="4" t="str">
        <f t="shared" si="5"/>
        <v/>
      </c>
      <c r="Q511" s="4" t="str">
        <f>IF(U511="","",SUMIF(Productos!E:E,U511,Productos!A:A))</f>
        <v/>
      </c>
      <c r="R511" s="4" t="str">
        <f t="array" ref="R511">IF(L511="","", max(1,SUMIF(I:I,XLOOKUP(U511,Productos!E:E,Productos!G:G,"",0,1),J:J)))</f>
        <v/>
      </c>
      <c r="S511" s="4" t="str">
        <f>IF(Q511="","",IF(SUMIFS(Compat_Vetado!D:D,Compat_Vetado!B:B,SUM(G:G),Compat_Vetado!C:C,Q511)=1,"SI",IF(OR(SUMIF(Cotizador!E:E,Q511,Cotizador!G:G)&gt;0,SUMIFS(Compat_Vetado!D:D,Compat_Vetado!B:B,SUM(G:G),Compat_Vetado!C:C,Q511)=-1),"NO","")))</f>
        <v/>
      </c>
      <c r="T511" s="4" t="str">
        <f t="shared" si="6"/>
        <v/>
      </c>
      <c r="U511" s="4" t="str">
        <f>IFERROR(__xludf.DUMMYFUNCTION("IF(P511="""","""",IFERROR(INDEX(filter(Productos!E:E,Productos!F:F=L511,Productos!H:H=N511),P511),IF(M511=SUM(D:D),""Finalizar"",""-"")))"),"")</f>
        <v/>
      </c>
      <c r="V511" s="4" t="str">
        <f>IFERROR(__xludf.DUMMYFUNCTION("IF(OR($U511="""",COUNTIF($I:$I,IFERROR(unique(filter(Prod_Prop!$H:$H,Prod_Prop!$G:$G=$U511,Prod_Prop!$E:$E=V$1)),""Check""))=0),"""",IFERROR(unique(filter(Prod_Prop!$H:$H,Prod_Prop!$G:$G=$U511,Prod_Prop!$E:$E=V$1)),""""))"),"")</f>
        <v/>
      </c>
      <c r="W511" s="4" t="str">
        <f>IF(V511="","",SUMIFS(Prod_Prop!$J:$J,Prod_Prop!$B:$B,$Q511,Prod_Prop!$H:$H,V511,Prod_Prop!$I:$I,W$1)*IF(V511="Peso",$R511,1))</f>
        <v/>
      </c>
      <c r="X511" s="4" t="str">
        <f>IF(V511="","",SUMIFS(Prod_Prop!$J:$J,Prod_Prop!$B:$B,$Q511,Prod_Prop!$H:$H,V511,Prod_Prop!$I:$I,X$1)*IF(V511="Peso",$R511,1))</f>
        <v/>
      </c>
      <c r="Y511" s="4" t="str">
        <f>IFERROR(__xludf.DUMMYFUNCTION("IF(OR($U511="""",COUNTIF($I:$I,IFERROR(unique(filter(Prod_Prop!$H:$H,Prod_Prop!$G:$G=$U511,Prod_Prop!$E:$E=Y$1)),""Check""))=0),"""",IFERROR(unique(filter(Prod_Prop!$H:$H,Prod_Prop!$G:$G=$U511,Prod_Prop!$E:$E=Y$1)),""""))"),"")</f>
        <v/>
      </c>
      <c r="Z511" s="4" t="str">
        <f>IF(Y511="","",SUMIFS(Prod_Prop!$J:$J,Prod_Prop!$B:$B,$Q511,Prod_Prop!$H:$H,Y511,Prod_Prop!$I:$I,Z$1)*IF(Y511="Peso",$R511,1))</f>
        <v/>
      </c>
      <c r="AA511" s="4" t="str">
        <f>IF(Y511="","",SUMIFS(Prod_Prop!$J:$J,Prod_Prop!$B:$B,$Q511,Prod_Prop!$H:$H,Y511,Prod_Prop!$I:$I,AA$1)*IF(Y511="Peso",$R511,1))</f>
        <v/>
      </c>
      <c r="AB511" s="4" t="str">
        <f>IFERROR(__xludf.DUMMYFUNCTION("IF(OR($U511="""",COUNTIF($I:$I,IFERROR(unique(filter(Prod_Prop!$H:$H,Prod_Prop!$G:$G=$U511,Prod_Prop!$E:$E=AB$1)),""Check""))=0),"""",IFERROR(unique(filter(Prod_Prop!$H:$H,Prod_Prop!$G:$G=$U511,Prod_Prop!$E:$E=AB$1)),""""))"),"")</f>
        <v/>
      </c>
      <c r="AC511" s="4" t="str">
        <f>IF(AB511="","",SUMIFS(Prod_Prop!$J:$J,Prod_Prop!$B:$B,$Q511,Prod_Prop!$H:$H,AB511,Prod_Prop!$I:$I,AC$1)*IF(AB511="Peso",$R511,1))</f>
        <v/>
      </c>
      <c r="AD511" s="4" t="str">
        <f>IF(AB511="","",SUMIFS(Prod_Prop!$J:$J,Prod_Prop!$B:$B,$Q511,Prod_Prop!$H:$H,AB511,Prod_Prop!$I:$I,AD$1)*IF(AB511="Peso",$R511,1))</f>
        <v/>
      </c>
    </row>
    <row r="512">
      <c r="A512" s="4" t="str">
        <f t="array" ref="A512">IF(COUNTIF(A$1:A511,Cotizador!F$2)=maxifs(Familias!E:E,Familias!D:D,Cotizador!F$2),IF(COUNTIF(A$1:A511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2" s="4" t="str">
        <f t="shared" si="1"/>
        <v/>
      </c>
      <c r="C512" s="4" t="str">
        <f t="array" ref="C512">IF(B512="","",IF(A512=XLOOKUP(A$2,Implementos!B:B,Implementos!C:C,"",0,1),B512+maxifs(B$1:B511,A$1:A511,A$2),B512))</f>
        <v/>
      </c>
      <c r="D512" s="4" t="str">
        <f>IF(B512="","", COUNTIFS(Productos!F:F,A512,Productos!H:H,B512)+IF(F512="SI",0,1))</f>
        <v/>
      </c>
      <c r="E512" s="4" t="str">
        <f>IFERROR(__xludf.DUMMYFUNCTION("IF($B512="""","""",INDEX(filter(Familias!F:F,Familias!$D:$D=$A512,Familias!$E:$E=$B512),1))"),"")</f>
        <v/>
      </c>
      <c r="F512" s="4" t="str">
        <f>IFERROR(__xludf.DUMMYFUNCTION("IF($B512="""","""",INDEX(filter(Familias!G:G,Familias!$D:$D=$A512,Familias!$E:$E=$B512),1))"),"")</f>
        <v/>
      </c>
      <c r="G512" s="4" t="str">
        <f t="array" ref="G512">IF(C512=1,XLOOKUP(C512,Cotizador!D:D,Cotizador!E:E,"",0,1),"")</f>
        <v/>
      </c>
      <c r="I512" s="4"/>
      <c r="J512" s="8" t="str">
        <f>IF(I512="","",SUMIF(Cotizador!I$1:V$1,I512,Cotizador!I$2:V$2))</f>
        <v/>
      </c>
      <c r="L512" s="4" t="str">
        <f t="array" ref="L512">IF(COUNTIF(L$1:L511,A$2)=SUMIF(A:A,A$2,D:D),IF(COUNTIF(L$1:L511,XLOOKUP(A$2,Implementos!B:B,Implementos!C:C,"",0,1))=SUMIF(A:A,XLOOKUP(A$2,Implementos!B:B,Implementos!C:C,"",0,1),D:D),"",XLOOKUP(A$2,Implementos!B:B,Implementos!C:C,"",0,1)),A$2)</f>
        <v/>
      </c>
      <c r="M512" s="4" t="str">
        <f t="shared" si="2"/>
        <v/>
      </c>
      <c r="N512" s="4" t="str">
        <f t="shared" si="3"/>
        <v/>
      </c>
      <c r="O512" s="4" t="str">
        <f t="shared" si="4"/>
        <v/>
      </c>
      <c r="P512" s="4" t="str">
        <f t="shared" si="5"/>
        <v/>
      </c>
      <c r="Q512" s="4" t="str">
        <f>IF(U512="","",SUMIF(Productos!E:E,U512,Productos!A:A))</f>
        <v/>
      </c>
      <c r="R512" s="4" t="str">
        <f t="array" ref="R512">IF(L512="","", max(1,SUMIF(I:I,XLOOKUP(U512,Productos!E:E,Productos!G:G,"",0,1),J:J)))</f>
        <v/>
      </c>
      <c r="S512" s="4" t="str">
        <f>IF(Q512="","",IF(SUMIFS(Compat_Vetado!D:D,Compat_Vetado!B:B,SUM(G:G),Compat_Vetado!C:C,Q512)=1,"SI",IF(OR(SUMIF(Cotizador!E:E,Q512,Cotizador!G:G)&gt;0,SUMIFS(Compat_Vetado!D:D,Compat_Vetado!B:B,SUM(G:G),Compat_Vetado!C:C,Q512)=-1),"NO","")))</f>
        <v/>
      </c>
      <c r="T512" s="4" t="str">
        <f t="shared" si="6"/>
        <v/>
      </c>
      <c r="U512" s="4" t="str">
        <f>IFERROR(__xludf.DUMMYFUNCTION("IF(P512="""","""",IFERROR(INDEX(filter(Productos!E:E,Productos!F:F=L512,Productos!H:H=N512),P512),IF(M512=SUM(D:D),""Finalizar"",""-"")))"),"")</f>
        <v/>
      </c>
      <c r="V512" s="4" t="str">
        <f>IFERROR(__xludf.DUMMYFUNCTION("IF(OR($U512="""",COUNTIF($I:$I,IFERROR(unique(filter(Prod_Prop!$H:$H,Prod_Prop!$G:$G=$U512,Prod_Prop!$E:$E=V$1)),""Check""))=0),"""",IFERROR(unique(filter(Prod_Prop!$H:$H,Prod_Prop!$G:$G=$U512,Prod_Prop!$E:$E=V$1)),""""))"),"")</f>
        <v/>
      </c>
      <c r="W512" s="4" t="str">
        <f>IF(V512="","",SUMIFS(Prod_Prop!$J:$J,Prod_Prop!$B:$B,$Q512,Prod_Prop!$H:$H,V512,Prod_Prop!$I:$I,W$1)*IF(V512="Peso",$R512,1))</f>
        <v/>
      </c>
      <c r="X512" s="4" t="str">
        <f>IF(V512="","",SUMIFS(Prod_Prop!$J:$J,Prod_Prop!$B:$B,$Q512,Prod_Prop!$H:$H,V512,Prod_Prop!$I:$I,X$1)*IF(V512="Peso",$R512,1))</f>
        <v/>
      </c>
      <c r="Y512" s="4" t="str">
        <f>IFERROR(__xludf.DUMMYFUNCTION("IF(OR($U512="""",COUNTIF($I:$I,IFERROR(unique(filter(Prod_Prop!$H:$H,Prod_Prop!$G:$G=$U512,Prod_Prop!$E:$E=Y$1)),""Check""))=0),"""",IFERROR(unique(filter(Prod_Prop!$H:$H,Prod_Prop!$G:$G=$U512,Prod_Prop!$E:$E=Y$1)),""""))"),"")</f>
        <v/>
      </c>
      <c r="Z512" s="4" t="str">
        <f>IF(Y512="","",SUMIFS(Prod_Prop!$J:$J,Prod_Prop!$B:$B,$Q512,Prod_Prop!$H:$H,Y512,Prod_Prop!$I:$I,Z$1)*IF(Y512="Peso",$R512,1))</f>
        <v/>
      </c>
      <c r="AA512" s="4" t="str">
        <f>IF(Y512="","",SUMIFS(Prod_Prop!$J:$J,Prod_Prop!$B:$B,$Q512,Prod_Prop!$H:$H,Y512,Prod_Prop!$I:$I,AA$1)*IF(Y512="Peso",$R512,1))</f>
        <v/>
      </c>
      <c r="AB512" s="4" t="str">
        <f>IFERROR(__xludf.DUMMYFUNCTION("IF(OR($U512="""",COUNTIF($I:$I,IFERROR(unique(filter(Prod_Prop!$H:$H,Prod_Prop!$G:$G=$U512,Prod_Prop!$E:$E=AB$1)),""Check""))=0),"""",IFERROR(unique(filter(Prod_Prop!$H:$H,Prod_Prop!$G:$G=$U512,Prod_Prop!$E:$E=AB$1)),""""))"),"")</f>
        <v/>
      </c>
      <c r="AC512" s="4" t="str">
        <f>IF(AB512="","",SUMIFS(Prod_Prop!$J:$J,Prod_Prop!$B:$B,$Q512,Prod_Prop!$H:$H,AB512,Prod_Prop!$I:$I,AC$1)*IF(AB512="Peso",$R512,1))</f>
        <v/>
      </c>
      <c r="AD512" s="4" t="str">
        <f>IF(AB512="","",SUMIFS(Prod_Prop!$J:$J,Prod_Prop!$B:$B,$Q512,Prod_Prop!$H:$H,AB512,Prod_Prop!$I:$I,AD$1)*IF(AB512="Peso",$R512,1))</f>
        <v/>
      </c>
    </row>
    <row r="513">
      <c r="A513" s="4" t="str">
        <f t="array" ref="A513">IF(COUNTIF(A$1:A512,Cotizador!F$2)=maxifs(Familias!E:E,Familias!D:D,Cotizador!F$2),IF(COUNTIF(A$1:A512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3" s="4" t="str">
        <f t="shared" si="1"/>
        <v/>
      </c>
      <c r="C513" s="4" t="str">
        <f t="array" ref="C513">IF(B513="","",IF(A513=XLOOKUP(A$2,Implementos!B:B,Implementos!C:C,"",0,1),B513+maxifs(B$1:B512,A$1:A512,A$2),B513))</f>
        <v/>
      </c>
      <c r="D513" s="4" t="str">
        <f>IF(B513="","", COUNTIFS(Productos!F:F,A513,Productos!H:H,B513)+IF(F513="SI",0,1))</f>
        <v/>
      </c>
      <c r="E513" s="4" t="str">
        <f>IFERROR(__xludf.DUMMYFUNCTION("IF($B513="""","""",INDEX(filter(Familias!F:F,Familias!$D:$D=$A513,Familias!$E:$E=$B513),1))"),"")</f>
        <v/>
      </c>
      <c r="F513" s="4" t="str">
        <f>IFERROR(__xludf.DUMMYFUNCTION("IF($B513="""","""",INDEX(filter(Familias!G:G,Familias!$D:$D=$A513,Familias!$E:$E=$B513),1))"),"")</f>
        <v/>
      </c>
      <c r="G513" s="4" t="str">
        <f t="array" ref="G513">IF(C513=1,XLOOKUP(C513,Cotizador!D:D,Cotizador!E:E,"",0,1),"")</f>
        <v/>
      </c>
      <c r="I513" s="4"/>
      <c r="J513" s="8" t="str">
        <f>IF(I513="","",SUMIF(Cotizador!I$1:V$1,I513,Cotizador!I$2:V$2))</f>
        <v/>
      </c>
      <c r="L513" s="4" t="str">
        <f t="array" ref="L513">IF(COUNTIF(L$1:L512,A$2)=SUMIF(A:A,A$2,D:D),IF(COUNTIF(L$1:L512,XLOOKUP(A$2,Implementos!B:B,Implementos!C:C,"",0,1))=SUMIF(A:A,XLOOKUP(A$2,Implementos!B:B,Implementos!C:C,"",0,1),D:D),"",XLOOKUP(A$2,Implementos!B:B,Implementos!C:C,"",0,1)),A$2)</f>
        <v/>
      </c>
      <c r="M513" s="4" t="str">
        <f t="shared" si="2"/>
        <v/>
      </c>
      <c r="N513" s="4" t="str">
        <f t="shared" si="3"/>
        <v/>
      </c>
      <c r="O513" s="4" t="str">
        <f t="shared" si="4"/>
        <v/>
      </c>
      <c r="P513" s="4" t="str">
        <f t="shared" si="5"/>
        <v/>
      </c>
      <c r="Q513" s="4" t="str">
        <f>IF(U513="","",SUMIF(Productos!E:E,U513,Productos!A:A))</f>
        <v/>
      </c>
      <c r="R513" s="4" t="str">
        <f t="array" ref="R513">IF(L513="","", max(1,SUMIF(I:I,XLOOKUP(U513,Productos!E:E,Productos!G:G,"",0,1),J:J)))</f>
        <v/>
      </c>
      <c r="S513" s="4" t="str">
        <f>IF(Q513="","",IF(SUMIFS(Compat_Vetado!D:D,Compat_Vetado!B:B,SUM(G:G),Compat_Vetado!C:C,Q513)=1,"SI",IF(OR(SUMIF(Cotizador!E:E,Q513,Cotizador!G:G)&gt;0,SUMIFS(Compat_Vetado!D:D,Compat_Vetado!B:B,SUM(G:G),Compat_Vetado!C:C,Q513)=-1),"NO","")))</f>
        <v/>
      </c>
      <c r="T513" s="4" t="str">
        <f t="shared" si="6"/>
        <v/>
      </c>
      <c r="U513" s="4" t="str">
        <f>IFERROR(__xludf.DUMMYFUNCTION("IF(P513="""","""",IFERROR(INDEX(filter(Productos!E:E,Productos!F:F=L513,Productos!H:H=N513),P513),IF(M513=SUM(D:D),""Finalizar"",""-"")))"),"")</f>
        <v/>
      </c>
      <c r="V513" s="4" t="str">
        <f>IFERROR(__xludf.DUMMYFUNCTION("IF(OR($U513="""",COUNTIF($I:$I,IFERROR(unique(filter(Prod_Prop!$H:$H,Prod_Prop!$G:$G=$U513,Prod_Prop!$E:$E=V$1)),""Check""))=0),"""",IFERROR(unique(filter(Prod_Prop!$H:$H,Prod_Prop!$G:$G=$U513,Prod_Prop!$E:$E=V$1)),""""))"),"")</f>
        <v/>
      </c>
      <c r="W513" s="4" t="str">
        <f>IF(V513="","",SUMIFS(Prod_Prop!$J:$J,Prod_Prop!$B:$B,$Q513,Prod_Prop!$H:$H,V513,Prod_Prop!$I:$I,W$1)*IF(V513="Peso",$R513,1))</f>
        <v/>
      </c>
      <c r="X513" s="4" t="str">
        <f>IF(V513="","",SUMIFS(Prod_Prop!$J:$J,Prod_Prop!$B:$B,$Q513,Prod_Prop!$H:$H,V513,Prod_Prop!$I:$I,X$1)*IF(V513="Peso",$R513,1))</f>
        <v/>
      </c>
      <c r="Y513" s="4" t="str">
        <f>IFERROR(__xludf.DUMMYFUNCTION("IF(OR($U513="""",COUNTIF($I:$I,IFERROR(unique(filter(Prod_Prop!$H:$H,Prod_Prop!$G:$G=$U513,Prod_Prop!$E:$E=Y$1)),""Check""))=0),"""",IFERROR(unique(filter(Prod_Prop!$H:$H,Prod_Prop!$G:$G=$U513,Prod_Prop!$E:$E=Y$1)),""""))"),"")</f>
        <v/>
      </c>
      <c r="Z513" s="4" t="str">
        <f>IF(Y513="","",SUMIFS(Prod_Prop!$J:$J,Prod_Prop!$B:$B,$Q513,Prod_Prop!$H:$H,Y513,Prod_Prop!$I:$I,Z$1)*IF(Y513="Peso",$R513,1))</f>
        <v/>
      </c>
      <c r="AA513" s="4" t="str">
        <f>IF(Y513="","",SUMIFS(Prod_Prop!$J:$J,Prod_Prop!$B:$B,$Q513,Prod_Prop!$H:$H,Y513,Prod_Prop!$I:$I,AA$1)*IF(Y513="Peso",$R513,1))</f>
        <v/>
      </c>
      <c r="AB513" s="4" t="str">
        <f>IFERROR(__xludf.DUMMYFUNCTION("IF(OR($U513="""",COUNTIF($I:$I,IFERROR(unique(filter(Prod_Prop!$H:$H,Prod_Prop!$G:$G=$U513,Prod_Prop!$E:$E=AB$1)),""Check""))=0),"""",IFERROR(unique(filter(Prod_Prop!$H:$H,Prod_Prop!$G:$G=$U513,Prod_Prop!$E:$E=AB$1)),""""))"),"")</f>
        <v/>
      </c>
      <c r="AC513" s="4" t="str">
        <f>IF(AB513="","",SUMIFS(Prod_Prop!$J:$J,Prod_Prop!$B:$B,$Q513,Prod_Prop!$H:$H,AB513,Prod_Prop!$I:$I,AC$1)*IF(AB513="Peso",$R513,1))</f>
        <v/>
      </c>
      <c r="AD513" s="4" t="str">
        <f>IF(AB513="","",SUMIFS(Prod_Prop!$J:$J,Prod_Prop!$B:$B,$Q513,Prod_Prop!$H:$H,AB513,Prod_Prop!$I:$I,AD$1)*IF(AB513="Peso",$R513,1))</f>
        <v/>
      </c>
    </row>
    <row r="514">
      <c r="A514" s="4" t="str">
        <f t="array" ref="A514">IF(COUNTIF(A$1:A513,Cotizador!F$2)=maxifs(Familias!E:E,Familias!D:D,Cotizador!F$2),IF(COUNTIF(A$1:A513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4" s="4" t="str">
        <f t="shared" si="1"/>
        <v/>
      </c>
      <c r="C514" s="4" t="str">
        <f t="array" ref="C514">IF(B514="","",IF(A514=XLOOKUP(A$2,Implementos!B:B,Implementos!C:C,"",0,1),B514+maxifs(B$1:B513,A$1:A513,A$2),B514))</f>
        <v/>
      </c>
      <c r="D514" s="4" t="str">
        <f>IF(B514="","", COUNTIFS(Productos!F:F,A514,Productos!H:H,B514)+IF(F514="SI",0,1))</f>
        <v/>
      </c>
      <c r="E514" s="4" t="str">
        <f>IFERROR(__xludf.DUMMYFUNCTION("IF($B514="""","""",INDEX(filter(Familias!F:F,Familias!$D:$D=$A514,Familias!$E:$E=$B514),1))"),"")</f>
        <v/>
      </c>
      <c r="F514" s="4" t="str">
        <f>IFERROR(__xludf.DUMMYFUNCTION("IF($B514="""","""",INDEX(filter(Familias!G:G,Familias!$D:$D=$A514,Familias!$E:$E=$B514),1))"),"")</f>
        <v/>
      </c>
      <c r="G514" s="4" t="str">
        <f t="array" ref="G514">IF(C514=1,XLOOKUP(C514,Cotizador!D:D,Cotizador!E:E,"",0,1),"")</f>
        <v/>
      </c>
      <c r="I514" s="4"/>
      <c r="J514" s="8" t="str">
        <f>IF(I514="","",SUMIF(Cotizador!I$1:V$1,I514,Cotizador!I$2:V$2))</f>
        <v/>
      </c>
      <c r="L514" s="4" t="str">
        <f t="array" ref="L514">IF(COUNTIF(L$1:L513,A$2)=SUMIF(A:A,A$2,D:D),IF(COUNTIF(L$1:L513,XLOOKUP(A$2,Implementos!B:B,Implementos!C:C,"",0,1))=SUMIF(A:A,XLOOKUP(A$2,Implementos!B:B,Implementos!C:C,"",0,1),D:D),"",XLOOKUP(A$2,Implementos!B:B,Implementos!C:C,"",0,1)),A$2)</f>
        <v/>
      </c>
      <c r="M514" s="4" t="str">
        <f t="shared" si="2"/>
        <v/>
      </c>
      <c r="N514" s="4" t="str">
        <f t="shared" si="3"/>
        <v/>
      </c>
      <c r="O514" s="4" t="str">
        <f t="shared" si="4"/>
        <v/>
      </c>
      <c r="P514" s="4" t="str">
        <f t="shared" si="5"/>
        <v/>
      </c>
      <c r="Q514" s="4" t="str">
        <f>IF(U514="","",SUMIF(Productos!E:E,U514,Productos!A:A))</f>
        <v/>
      </c>
      <c r="R514" s="4" t="str">
        <f t="array" ref="R514">IF(L514="","", max(1,SUMIF(I:I,XLOOKUP(U514,Productos!E:E,Productos!G:G,"",0,1),J:J)))</f>
        <v/>
      </c>
      <c r="S514" s="4" t="str">
        <f>IF(Q514="","",IF(SUMIFS(Compat_Vetado!D:D,Compat_Vetado!B:B,SUM(G:G),Compat_Vetado!C:C,Q514)=1,"SI",IF(OR(SUMIF(Cotizador!E:E,Q514,Cotizador!G:G)&gt;0,SUMIFS(Compat_Vetado!D:D,Compat_Vetado!B:B,SUM(G:G),Compat_Vetado!C:C,Q514)=-1),"NO","")))</f>
        <v/>
      </c>
      <c r="T514" s="4" t="str">
        <f t="shared" si="6"/>
        <v/>
      </c>
      <c r="U514" s="4" t="str">
        <f>IFERROR(__xludf.DUMMYFUNCTION("IF(P514="""","""",IFERROR(INDEX(filter(Productos!E:E,Productos!F:F=L514,Productos!H:H=N514),P514),IF(M514=SUM(D:D),""Finalizar"",""-"")))"),"")</f>
        <v/>
      </c>
      <c r="V514" s="4" t="str">
        <f>IFERROR(__xludf.DUMMYFUNCTION("IF(OR($U514="""",COUNTIF($I:$I,IFERROR(unique(filter(Prod_Prop!$H:$H,Prod_Prop!$G:$G=$U514,Prod_Prop!$E:$E=V$1)),""Check""))=0),"""",IFERROR(unique(filter(Prod_Prop!$H:$H,Prod_Prop!$G:$G=$U514,Prod_Prop!$E:$E=V$1)),""""))"),"")</f>
        <v/>
      </c>
      <c r="W514" s="4" t="str">
        <f>IF(V514="","",SUMIFS(Prod_Prop!$J:$J,Prod_Prop!$B:$B,$Q514,Prod_Prop!$H:$H,V514,Prod_Prop!$I:$I,W$1)*IF(V514="Peso",$R514,1))</f>
        <v/>
      </c>
      <c r="X514" s="4" t="str">
        <f>IF(V514="","",SUMIFS(Prod_Prop!$J:$J,Prod_Prop!$B:$B,$Q514,Prod_Prop!$H:$H,V514,Prod_Prop!$I:$I,X$1)*IF(V514="Peso",$R514,1))</f>
        <v/>
      </c>
      <c r="Y514" s="4" t="str">
        <f>IFERROR(__xludf.DUMMYFUNCTION("IF(OR($U514="""",COUNTIF($I:$I,IFERROR(unique(filter(Prod_Prop!$H:$H,Prod_Prop!$G:$G=$U514,Prod_Prop!$E:$E=Y$1)),""Check""))=0),"""",IFERROR(unique(filter(Prod_Prop!$H:$H,Prod_Prop!$G:$G=$U514,Prod_Prop!$E:$E=Y$1)),""""))"),"")</f>
        <v/>
      </c>
      <c r="Z514" s="4" t="str">
        <f>IF(Y514="","",SUMIFS(Prod_Prop!$J:$J,Prod_Prop!$B:$B,$Q514,Prod_Prop!$H:$H,Y514,Prod_Prop!$I:$I,Z$1)*IF(Y514="Peso",$R514,1))</f>
        <v/>
      </c>
      <c r="AA514" s="4" t="str">
        <f>IF(Y514="","",SUMIFS(Prod_Prop!$J:$J,Prod_Prop!$B:$B,$Q514,Prod_Prop!$H:$H,Y514,Prod_Prop!$I:$I,AA$1)*IF(Y514="Peso",$R514,1))</f>
        <v/>
      </c>
      <c r="AB514" s="4" t="str">
        <f>IFERROR(__xludf.DUMMYFUNCTION("IF(OR($U514="""",COUNTIF($I:$I,IFERROR(unique(filter(Prod_Prop!$H:$H,Prod_Prop!$G:$G=$U514,Prod_Prop!$E:$E=AB$1)),""Check""))=0),"""",IFERROR(unique(filter(Prod_Prop!$H:$H,Prod_Prop!$G:$G=$U514,Prod_Prop!$E:$E=AB$1)),""""))"),"")</f>
        <v/>
      </c>
      <c r="AC514" s="4" t="str">
        <f>IF(AB514="","",SUMIFS(Prod_Prop!$J:$J,Prod_Prop!$B:$B,$Q514,Prod_Prop!$H:$H,AB514,Prod_Prop!$I:$I,AC$1)*IF(AB514="Peso",$R514,1))</f>
        <v/>
      </c>
      <c r="AD514" s="4" t="str">
        <f>IF(AB514="","",SUMIFS(Prod_Prop!$J:$J,Prod_Prop!$B:$B,$Q514,Prod_Prop!$H:$H,AB514,Prod_Prop!$I:$I,AD$1)*IF(AB514="Peso",$R514,1))</f>
        <v/>
      </c>
    </row>
    <row r="515">
      <c r="A515" s="4" t="str">
        <f t="array" ref="A515">IF(COUNTIF(A$1:A514,Cotizador!F$2)=maxifs(Familias!E:E,Familias!D:D,Cotizador!F$2),IF(COUNTIF(A$1:A514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5" s="4" t="str">
        <f t="shared" si="1"/>
        <v/>
      </c>
      <c r="C515" s="4" t="str">
        <f t="array" ref="C515">IF(B515="","",IF(A515=XLOOKUP(A$2,Implementos!B:B,Implementos!C:C,"",0,1),B515+maxifs(B$1:B514,A$1:A514,A$2),B515))</f>
        <v/>
      </c>
      <c r="D515" s="4" t="str">
        <f>IF(B515="","", COUNTIFS(Productos!F:F,A515,Productos!H:H,B515)+IF(F515="SI",0,1))</f>
        <v/>
      </c>
      <c r="E515" s="4" t="str">
        <f>IFERROR(__xludf.DUMMYFUNCTION("IF($B515="""","""",INDEX(filter(Familias!F:F,Familias!$D:$D=$A515,Familias!$E:$E=$B515),1))"),"")</f>
        <v/>
      </c>
      <c r="F515" s="4" t="str">
        <f>IFERROR(__xludf.DUMMYFUNCTION("IF($B515="""","""",INDEX(filter(Familias!G:G,Familias!$D:$D=$A515,Familias!$E:$E=$B515),1))"),"")</f>
        <v/>
      </c>
      <c r="G515" s="4" t="str">
        <f t="array" ref="G515">IF(C515=1,XLOOKUP(C515,Cotizador!D:D,Cotizador!E:E,"",0,1),"")</f>
        <v/>
      </c>
      <c r="I515" s="4"/>
      <c r="J515" s="8" t="str">
        <f>IF(I515="","",SUMIF(Cotizador!I$1:V$1,I515,Cotizador!I$2:V$2))</f>
        <v/>
      </c>
      <c r="L515" s="4" t="str">
        <f t="array" ref="L515">IF(COUNTIF(L$1:L514,A$2)=SUMIF(A:A,A$2,D:D),IF(COUNTIF(L$1:L514,XLOOKUP(A$2,Implementos!B:B,Implementos!C:C,"",0,1))=SUMIF(A:A,XLOOKUP(A$2,Implementos!B:B,Implementos!C:C,"",0,1),D:D),"",XLOOKUP(A$2,Implementos!B:B,Implementos!C:C,"",0,1)),A$2)</f>
        <v/>
      </c>
      <c r="M515" s="4" t="str">
        <f t="shared" si="2"/>
        <v/>
      </c>
      <c r="N515" s="4" t="str">
        <f t="shared" si="3"/>
        <v/>
      </c>
      <c r="O515" s="4" t="str">
        <f t="shared" si="4"/>
        <v/>
      </c>
      <c r="P515" s="4" t="str">
        <f t="shared" si="5"/>
        <v/>
      </c>
      <c r="Q515" s="4" t="str">
        <f>IF(U515="","",SUMIF(Productos!E:E,U515,Productos!A:A))</f>
        <v/>
      </c>
      <c r="R515" s="4" t="str">
        <f t="array" ref="R515">IF(L515="","", max(1,SUMIF(I:I,XLOOKUP(U515,Productos!E:E,Productos!G:G,"",0,1),J:J)))</f>
        <v/>
      </c>
      <c r="S515" s="4" t="str">
        <f>IF(Q515="","",IF(SUMIFS(Compat_Vetado!D:D,Compat_Vetado!B:B,SUM(G:G),Compat_Vetado!C:C,Q515)=1,"SI",IF(OR(SUMIF(Cotizador!E:E,Q515,Cotizador!G:G)&gt;0,SUMIFS(Compat_Vetado!D:D,Compat_Vetado!B:B,SUM(G:G),Compat_Vetado!C:C,Q515)=-1),"NO","")))</f>
        <v/>
      </c>
      <c r="T515" s="4" t="str">
        <f t="shared" si="6"/>
        <v/>
      </c>
      <c r="U515" s="4" t="str">
        <f>IFERROR(__xludf.DUMMYFUNCTION("IF(P515="""","""",IFERROR(INDEX(filter(Productos!E:E,Productos!F:F=L515,Productos!H:H=N515),P515),IF(M515=SUM(D:D),""Finalizar"",""-"")))"),"")</f>
        <v/>
      </c>
      <c r="V515" s="4" t="str">
        <f>IFERROR(__xludf.DUMMYFUNCTION("IF(OR($U515="""",COUNTIF($I:$I,IFERROR(unique(filter(Prod_Prop!$H:$H,Prod_Prop!$G:$G=$U515,Prod_Prop!$E:$E=V$1)),""Check""))=0),"""",IFERROR(unique(filter(Prod_Prop!$H:$H,Prod_Prop!$G:$G=$U515,Prod_Prop!$E:$E=V$1)),""""))"),"")</f>
        <v/>
      </c>
      <c r="W515" s="4" t="str">
        <f>IF(V515="","",SUMIFS(Prod_Prop!$J:$J,Prod_Prop!$B:$B,$Q515,Prod_Prop!$H:$H,V515,Prod_Prop!$I:$I,W$1)*IF(V515="Peso",$R515,1))</f>
        <v/>
      </c>
      <c r="X515" s="4" t="str">
        <f>IF(V515="","",SUMIFS(Prod_Prop!$J:$J,Prod_Prop!$B:$B,$Q515,Prod_Prop!$H:$H,V515,Prod_Prop!$I:$I,X$1)*IF(V515="Peso",$R515,1))</f>
        <v/>
      </c>
      <c r="Y515" s="4" t="str">
        <f>IFERROR(__xludf.DUMMYFUNCTION("IF(OR($U515="""",COUNTIF($I:$I,IFERROR(unique(filter(Prod_Prop!$H:$H,Prod_Prop!$G:$G=$U515,Prod_Prop!$E:$E=Y$1)),""Check""))=0),"""",IFERROR(unique(filter(Prod_Prop!$H:$H,Prod_Prop!$G:$G=$U515,Prod_Prop!$E:$E=Y$1)),""""))"),"")</f>
        <v/>
      </c>
      <c r="Z515" s="4" t="str">
        <f>IF(Y515="","",SUMIFS(Prod_Prop!$J:$J,Prod_Prop!$B:$B,$Q515,Prod_Prop!$H:$H,Y515,Prod_Prop!$I:$I,Z$1)*IF(Y515="Peso",$R515,1))</f>
        <v/>
      </c>
      <c r="AA515" s="4" t="str">
        <f>IF(Y515="","",SUMIFS(Prod_Prop!$J:$J,Prod_Prop!$B:$B,$Q515,Prod_Prop!$H:$H,Y515,Prod_Prop!$I:$I,AA$1)*IF(Y515="Peso",$R515,1))</f>
        <v/>
      </c>
      <c r="AB515" s="4" t="str">
        <f>IFERROR(__xludf.DUMMYFUNCTION("IF(OR($U515="""",COUNTIF($I:$I,IFERROR(unique(filter(Prod_Prop!$H:$H,Prod_Prop!$G:$G=$U515,Prod_Prop!$E:$E=AB$1)),""Check""))=0),"""",IFERROR(unique(filter(Prod_Prop!$H:$H,Prod_Prop!$G:$G=$U515,Prod_Prop!$E:$E=AB$1)),""""))"),"")</f>
        <v/>
      </c>
      <c r="AC515" s="4" t="str">
        <f>IF(AB515="","",SUMIFS(Prod_Prop!$J:$J,Prod_Prop!$B:$B,$Q515,Prod_Prop!$H:$H,AB515,Prod_Prop!$I:$I,AC$1)*IF(AB515="Peso",$R515,1))</f>
        <v/>
      </c>
      <c r="AD515" s="4" t="str">
        <f>IF(AB515="","",SUMIFS(Prod_Prop!$J:$J,Prod_Prop!$B:$B,$Q515,Prod_Prop!$H:$H,AB515,Prod_Prop!$I:$I,AD$1)*IF(AB515="Peso",$R515,1))</f>
        <v/>
      </c>
    </row>
    <row r="516">
      <c r="A516" s="4" t="str">
        <f t="array" ref="A516">IF(COUNTIF(A$1:A515,Cotizador!F$2)=maxifs(Familias!E:E,Familias!D:D,Cotizador!F$2),IF(COUNTIF(A$1:A515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6" s="4" t="str">
        <f t="shared" si="1"/>
        <v/>
      </c>
      <c r="C516" s="4" t="str">
        <f t="array" ref="C516">IF(B516="","",IF(A516=XLOOKUP(A$2,Implementos!B:B,Implementos!C:C,"",0,1),B516+maxifs(B$1:B515,A$1:A515,A$2),B516))</f>
        <v/>
      </c>
      <c r="D516" s="4" t="str">
        <f>IF(B516="","", COUNTIFS(Productos!F:F,A516,Productos!H:H,B516)+IF(F516="SI",0,1))</f>
        <v/>
      </c>
      <c r="E516" s="4" t="str">
        <f>IFERROR(__xludf.DUMMYFUNCTION("IF($B516="""","""",INDEX(filter(Familias!F:F,Familias!$D:$D=$A516,Familias!$E:$E=$B516),1))"),"")</f>
        <v/>
      </c>
      <c r="F516" s="4" t="str">
        <f>IFERROR(__xludf.DUMMYFUNCTION("IF($B516="""","""",INDEX(filter(Familias!G:G,Familias!$D:$D=$A516,Familias!$E:$E=$B516),1))"),"")</f>
        <v/>
      </c>
      <c r="G516" s="4" t="str">
        <f t="array" ref="G516">IF(C516=1,XLOOKUP(C516,Cotizador!D:D,Cotizador!E:E,"",0,1),"")</f>
        <v/>
      </c>
      <c r="I516" s="4"/>
      <c r="J516" s="8" t="str">
        <f>IF(I516="","",SUMIF(Cotizador!I$1:V$1,I516,Cotizador!I$2:V$2))</f>
        <v/>
      </c>
      <c r="L516" s="4" t="str">
        <f t="array" ref="L516">IF(COUNTIF(L$1:L515,A$2)=SUMIF(A:A,A$2,D:D),IF(COUNTIF(L$1:L515,XLOOKUP(A$2,Implementos!B:B,Implementos!C:C,"",0,1))=SUMIF(A:A,XLOOKUP(A$2,Implementos!B:B,Implementos!C:C,"",0,1),D:D),"",XLOOKUP(A$2,Implementos!B:B,Implementos!C:C,"",0,1)),A$2)</f>
        <v/>
      </c>
      <c r="M516" s="4" t="str">
        <f t="shared" si="2"/>
        <v/>
      </c>
      <c r="N516" s="4" t="str">
        <f t="shared" si="3"/>
        <v/>
      </c>
      <c r="O516" s="4" t="str">
        <f t="shared" si="4"/>
        <v/>
      </c>
      <c r="P516" s="4" t="str">
        <f t="shared" si="5"/>
        <v/>
      </c>
      <c r="Q516" s="4" t="str">
        <f>IF(U516="","",SUMIF(Productos!E:E,U516,Productos!A:A))</f>
        <v/>
      </c>
      <c r="R516" s="4" t="str">
        <f t="array" ref="R516">IF(L516="","", max(1,SUMIF(I:I,XLOOKUP(U516,Productos!E:E,Productos!G:G,"",0,1),J:J)))</f>
        <v/>
      </c>
      <c r="S516" s="4" t="str">
        <f>IF(Q516="","",IF(SUMIFS(Compat_Vetado!D:D,Compat_Vetado!B:B,SUM(G:G),Compat_Vetado!C:C,Q516)=1,"SI",IF(OR(SUMIF(Cotizador!E:E,Q516,Cotizador!G:G)&gt;0,SUMIFS(Compat_Vetado!D:D,Compat_Vetado!B:B,SUM(G:G),Compat_Vetado!C:C,Q516)=-1),"NO","")))</f>
        <v/>
      </c>
      <c r="T516" s="4" t="str">
        <f t="shared" si="6"/>
        <v/>
      </c>
      <c r="U516" s="4" t="str">
        <f>IFERROR(__xludf.DUMMYFUNCTION("IF(P516="""","""",IFERROR(INDEX(filter(Productos!E:E,Productos!F:F=L516,Productos!H:H=N516),P516),IF(M516=SUM(D:D),""Finalizar"",""-"")))"),"")</f>
        <v/>
      </c>
      <c r="V516" s="4" t="str">
        <f>IFERROR(__xludf.DUMMYFUNCTION("IF(OR($U516="""",COUNTIF($I:$I,IFERROR(unique(filter(Prod_Prop!$H:$H,Prod_Prop!$G:$G=$U516,Prod_Prop!$E:$E=V$1)),""Check""))=0),"""",IFERROR(unique(filter(Prod_Prop!$H:$H,Prod_Prop!$G:$G=$U516,Prod_Prop!$E:$E=V$1)),""""))"),"")</f>
        <v/>
      </c>
      <c r="W516" s="4" t="str">
        <f>IF(V516="","",SUMIFS(Prod_Prop!$J:$J,Prod_Prop!$B:$B,$Q516,Prod_Prop!$H:$H,V516,Prod_Prop!$I:$I,W$1)*IF(V516="Peso",$R516,1))</f>
        <v/>
      </c>
      <c r="X516" s="4" t="str">
        <f>IF(V516="","",SUMIFS(Prod_Prop!$J:$J,Prod_Prop!$B:$B,$Q516,Prod_Prop!$H:$H,V516,Prod_Prop!$I:$I,X$1)*IF(V516="Peso",$R516,1))</f>
        <v/>
      </c>
      <c r="Y516" s="4" t="str">
        <f>IFERROR(__xludf.DUMMYFUNCTION("IF(OR($U516="""",COUNTIF($I:$I,IFERROR(unique(filter(Prod_Prop!$H:$H,Prod_Prop!$G:$G=$U516,Prod_Prop!$E:$E=Y$1)),""Check""))=0),"""",IFERROR(unique(filter(Prod_Prop!$H:$H,Prod_Prop!$G:$G=$U516,Prod_Prop!$E:$E=Y$1)),""""))"),"")</f>
        <v/>
      </c>
      <c r="Z516" s="4" t="str">
        <f>IF(Y516="","",SUMIFS(Prod_Prop!$J:$J,Prod_Prop!$B:$B,$Q516,Prod_Prop!$H:$H,Y516,Prod_Prop!$I:$I,Z$1)*IF(Y516="Peso",$R516,1))</f>
        <v/>
      </c>
      <c r="AA516" s="4" t="str">
        <f>IF(Y516="","",SUMIFS(Prod_Prop!$J:$J,Prod_Prop!$B:$B,$Q516,Prod_Prop!$H:$H,Y516,Prod_Prop!$I:$I,AA$1)*IF(Y516="Peso",$R516,1))</f>
        <v/>
      </c>
      <c r="AB516" s="4" t="str">
        <f>IFERROR(__xludf.DUMMYFUNCTION("IF(OR($U516="""",COUNTIF($I:$I,IFERROR(unique(filter(Prod_Prop!$H:$H,Prod_Prop!$G:$G=$U516,Prod_Prop!$E:$E=AB$1)),""Check""))=0),"""",IFERROR(unique(filter(Prod_Prop!$H:$H,Prod_Prop!$G:$G=$U516,Prod_Prop!$E:$E=AB$1)),""""))"),"")</f>
        <v/>
      </c>
      <c r="AC516" s="4" t="str">
        <f>IF(AB516="","",SUMIFS(Prod_Prop!$J:$J,Prod_Prop!$B:$B,$Q516,Prod_Prop!$H:$H,AB516,Prod_Prop!$I:$I,AC$1)*IF(AB516="Peso",$R516,1))</f>
        <v/>
      </c>
      <c r="AD516" s="4" t="str">
        <f>IF(AB516="","",SUMIFS(Prod_Prop!$J:$J,Prod_Prop!$B:$B,$Q516,Prod_Prop!$H:$H,AB516,Prod_Prop!$I:$I,AD$1)*IF(AB516="Peso",$R516,1))</f>
        <v/>
      </c>
    </row>
    <row r="517">
      <c r="A517" s="4" t="str">
        <f t="array" ref="A517">IF(COUNTIF(A$1:A516,Cotizador!F$2)=maxifs(Familias!E:E,Familias!D:D,Cotizador!F$2),IF(COUNTIF(A$1:A516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7" s="4" t="str">
        <f t="shared" si="1"/>
        <v/>
      </c>
      <c r="C517" s="4" t="str">
        <f t="array" ref="C517">IF(B517="","",IF(A517=XLOOKUP(A$2,Implementos!B:B,Implementos!C:C,"",0,1),B517+maxifs(B$1:B516,A$1:A516,A$2),B517))</f>
        <v/>
      </c>
      <c r="D517" s="4" t="str">
        <f>IF(B517="","", COUNTIFS(Productos!F:F,A517,Productos!H:H,B517)+IF(F517="SI",0,1))</f>
        <v/>
      </c>
      <c r="E517" s="4" t="str">
        <f>IFERROR(__xludf.DUMMYFUNCTION("IF($B517="""","""",INDEX(filter(Familias!F:F,Familias!$D:$D=$A517,Familias!$E:$E=$B517),1))"),"")</f>
        <v/>
      </c>
      <c r="F517" s="4" t="str">
        <f>IFERROR(__xludf.DUMMYFUNCTION("IF($B517="""","""",INDEX(filter(Familias!G:G,Familias!$D:$D=$A517,Familias!$E:$E=$B517),1))"),"")</f>
        <v/>
      </c>
      <c r="G517" s="4" t="str">
        <f t="array" ref="G517">IF(C517=1,XLOOKUP(C517,Cotizador!D:D,Cotizador!E:E,"",0,1),"")</f>
        <v/>
      </c>
      <c r="I517" s="4"/>
      <c r="J517" s="8" t="str">
        <f>IF(I517="","",SUMIF(Cotizador!I$1:V$1,I517,Cotizador!I$2:V$2))</f>
        <v/>
      </c>
      <c r="L517" s="4" t="str">
        <f t="array" ref="L517">IF(COUNTIF(L$1:L516,A$2)=SUMIF(A:A,A$2,D:D),IF(COUNTIF(L$1:L516,XLOOKUP(A$2,Implementos!B:B,Implementos!C:C,"",0,1))=SUMIF(A:A,XLOOKUP(A$2,Implementos!B:B,Implementos!C:C,"",0,1),D:D),"",XLOOKUP(A$2,Implementos!B:B,Implementos!C:C,"",0,1)),A$2)</f>
        <v/>
      </c>
      <c r="M517" s="4" t="str">
        <f t="shared" si="2"/>
        <v/>
      </c>
      <c r="N517" s="4" t="str">
        <f t="shared" si="3"/>
        <v/>
      </c>
      <c r="O517" s="4" t="str">
        <f t="shared" si="4"/>
        <v/>
      </c>
      <c r="P517" s="4" t="str">
        <f t="shared" si="5"/>
        <v/>
      </c>
      <c r="Q517" s="4" t="str">
        <f>IF(U517="","",SUMIF(Productos!E:E,U517,Productos!A:A))</f>
        <v/>
      </c>
      <c r="R517" s="4" t="str">
        <f t="array" ref="R517">IF(L517="","", max(1,SUMIF(I:I,XLOOKUP(U517,Productos!E:E,Productos!G:G,"",0,1),J:J)))</f>
        <v/>
      </c>
      <c r="S517" s="4" t="str">
        <f>IF(Q517="","",IF(SUMIFS(Compat_Vetado!D:D,Compat_Vetado!B:B,SUM(G:G),Compat_Vetado!C:C,Q517)=1,"SI",IF(OR(SUMIF(Cotizador!E:E,Q517,Cotizador!G:G)&gt;0,SUMIFS(Compat_Vetado!D:D,Compat_Vetado!B:B,SUM(G:G),Compat_Vetado!C:C,Q517)=-1),"NO","")))</f>
        <v/>
      </c>
      <c r="T517" s="4" t="str">
        <f t="shared" si="6"/>
        <v/>
      </c>
      <c r="U517" s="4" t="str">
        <f>IFERROR(__xludf.DUMMYFUNCTION("IF(P517="""","""",IFERROR(INDEX(filter(Productos!E:E,Productos!F:F=L517,Productos!H:H=N517),P517),IF(M517=SUM(D:D),""Finalizar"",""-"")))"),"")</f>
        <v/>
      </c>
      <c r="V517" s="4" t="str">
        <f>IFERROR(__xludf.DUMMYFUNCTION("IF(OR($U517="""",COUNTIF($I:$I,IFERROR(unique(filter(Prod_Prop!$H:$H,Prod_Prop!$G:$G=$U517,Prod_Prop!$E:$E=V$1)),""Check""))=0),"""",IFERROR(unique(filter(Prod_Prop!$H:$H,Prod_Prop!$G:$G=$U517,Prod_Prop!$E:$E=V$1)),""""))"),"")</f>
        <v/>
      </c>
      <c r="W517" s="4" t="str">
        <f>IF(V517="","",SUMIFS(Prod_Prop!$J:$J,Prod_Prop!$B:$B,$Q517,Prod_Prop!$H:$H,V517,Prod_Prop!$I:$I,W$1)*IF(V517="Peso",$R517,1))</f>
        <v/>
      </c>
      <c r="X517" s="4" t="str">
        <f>IF(V517="","",SUMIFS(Prod_Prop!$J:$J,Prod_Prop!$B:$B,$Q517,Prod_Prop!$H:$H,V517,Prod_Prop!$I:$I,X$1)*IF(V517="Peso",$R517,1))</f>
        <v/>
      </c>
      <c r="Y517" s="4" t="str">
        <f>IFERROR(__xludf.DUMMYFUNCTION("IF(OR($U517="""",COUNTIF($I:$I,IFERROR(unique(filter(Prod_Prop!$H:$H,Prod_Prop!$G:$G=$U517,Prod_Prop!$E:$E=Y$1)),""Check""))=0),"""",IFERROR(unique(filter(Prod_Prop!$H:$H,Prod_Prop!$G:$G=$U517,Prod_Prop!$E:$E=Y$1)),""""))"),"")</f>
        <v/>
      </c>
      <c r="Z517" s="4" t="str">
        <f>IF(Y517="","",SUMIFS(Prod_Prop!$J:$J,Prod_Prop!$B:$B,$Q517,Prod_Prop!$H:$H,Y517,Prod_Prop!$I:$I,Z$1)*IF(Y517="Peso",$R517,1))</f>
        <v/>
      </c>
      <c r="AA517" s="4" t="str">
        <f>IF(Y517="","",SUMIFS(Prod_Prop!$J:$J,Prod_Prop!$B:$B,$Q517,Prod_Prop!$H:$H,Y517,Prod_Prop!$I:$I,AA$1)*IF(Y517="Peso",$R517,1))</f>
        <v/>
      </c>
      <c r="AB517" s="4" t="str">
        <f>IFERROR(__xludf.DUMMYFUNCTION("IF(OR($U517="""",COUNTIF($I:$I,IFERROR(unique(filter(Prod_Prop!$H:$H,Prod_Prop!$G:$G=$U517,Prod_Prop!$E:$E=AB$1)),""Check""))=0),"""",IFERROR(unique(filter(Prod_Prop!$H:$H,Prod_Prop!$G:$G=$U517,Prod_Prop!$E:$E=AB$1)),""""))"),"")</f>
        <v/>
      </c>
      <c r="AC517" s="4" t="str">
        <f>IF(AB517="","",SUMIFS(Prod_Prop!$J:$J,Prod_Prop!$B:$B,$Q517,Prod_Prop!$H:$H,AB517,Prod_Prop!$I:$I,AC$1)*IF(AB517="Peso",$R517,1))</f>
        <v/>
      </c>
      <c r="AD517" s="4" t="str">
        <f>IF(AB517="","",SUMIFS(Prod_Prop!$J:$J,Prod_Prop!$B:$B,$Q517,Prod_Prop!$H:$H,AB517,Prod_Prop!$I:$I,AD$1)*IF(AB517="Peso",$R517,1))</f>
        <v/>
      </c>
    </row>
    <row r="518">
      <c r="A518" s="4" t="str">
        <f t="array" ref="A518">IF(COUNTIF(A$1:A517,Cotizador!F$2)=maxifs(Familias!E:E,Familias!D:D,Cotizador!F$2),IF(COUNTIF(A$1:A517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8" s="4" t="str">
        <f t="shared" si="1"/>
        <v/>
      </c>
      <c r="C518" s="4" t="str">
        <f t="array" ref="C518">IF(B518="","",IF(A518=XLOOKUP(A$2,Implementos!B:B,Implementos!C:C,"",0,1),B518+maxifs(B$1:B517,A$1:A517,A$2),B518))</f>
        <v/>
      </c>
      <c r="D518" s="4" t="str">
        <f>IF(B518="","", COUNTIFS(Productos!F:F,A518,Productos!H:H,B518)+IF(F518="SI",0,1))</f>
        <v/>
      </c>
      <c r="E518" s="4" t="str">
        <f>IFERROR(__xludf.DUMMYFUNCTION("IF($B518="""","""",INDEX(filter(Familias!F:F,Familias!$D:$D=$A518,Familias!$E:$E=$B518),1))"),"")</f>
        <v/>
      </c>
      <c r="F518" s="4" t="str">
        <f>IFERROR(__xludf.DUMMYFUNCTION("IF($B518="""","""",INDEX(filter(Familias!G:G,Familias!$D:$D=$A518,Familias!$E:$E=$B518),1))"),"")</f>
        <v/>
      </c>
      <c r="G518" s="4" t="str">
        <f t="array" ref="G518">IF(C518=1,XLOOKUP(C518,Cotizador!D:D,Cotizador!E:E,"",0,1),"")</f>
        <v/>
      </c>
      <c r="I518" s="4"/>
      <c r="J518" s="8" t="str">
        <f>IF(I518="","",SUMIF(Cotizador!I$1:V$1,I518,Cotizador!I$2:V$2))</f>
        <v/>
      </c>
      <c r="L518" s="4" t="str">
        <f t="array" ref="L518">IF(COUNTIF(L$1:L517,A$2)=SUMIF(A:A,A$2,D:D),IF(COUNTIF(L$1:L517,XLOOKUP(A$2,Implementos!B:B,Implementos!C:C,"",0,1))=SUMIF(A:A,XLOOKUP(A$2,Implementos!B:B,Implementos!C:C,"",0,1),D:D),"",XLOOKUP(A$2,Implementos!B:B,Implementos!C:C,"",0,1)),A$2)</f>
        <v/>
      </c>
      <c r="M518" s="4" t="str">
        <f t="shared" si="2"/>
        <v/>
      </c>
      <c r="N518" s="4" t="str">
        <f t="shared" si="3"/>
        <v/>
      </c>
      <c r="O518" s="4" t="str">
        <f t="shared" si="4"/>
        <v/>
      </c>
      <c r="P518" s="4" t="str">
        <f t="shared" si="5"/>
        <v/>
      </c>
      <c r="Q518" s="4" t="str">
        <f>IF(U518="","",SUMIF(Productos!E:E,U518,Productos!A:A))</f>
        <v/>
      </c>
      <c r="R518" s="4" t="str">
        <f t="array" ref="R518">IF(L518="","", max(1,SUMIF(I:I,XLOOKUP(U518,Productos!E:E,Productos!G:G,"",0,1),J:J)))</f>
        <v/>
      </c>
      <c r="S518" s="4" t="str">
        <f>IF(Q518="","",IF(SUMIFS(Compat_Vetado!D:D,Compat_Vetado!B:B,SUM(G:G),Compat_Vetado!C:C,Q518)=1,"SI",IF(OR(SUMIF(Cotizador!E:E,Q518,Cotizador!G:G)&gt;0,SUMIFS(Compat_Vetado!D:D,Compat_Vetado!B:B,SUM(G:G),Compat_Vetado!C:C,Q518)=-1),"NO","")))</f>
        <v/>
      </c>
      <c r="T518" s="4" t="str">
        <f t="shared" si="6"/>
        <v/>
      </c>
      <c r="U518" s="4" t="str">
        <f>IFERROR(__xludf.DUMMYFUNCTION("IF(P518="""","""",IFERROR(INDEX(filter(Productos!E:E,Productos!F:F=L518,Productos!H:H=N518),P518),IF(M518=SUM(D:D),""Finalizar"",""-"")))"),"")</f>
        <v/>
      </c>
      <c r="V518" s="4" t="str">
        <f>IFERROR(__xludf.DUMMYFUNCTION("IF(OR($U518="""",COUNTIF($I:$I,IFERROR(unique(filter(Prod_Prop!$H:$H,Prod_Prop!$G:$G=$U518,Prod_Prop!$E:$E=V$1)),""Check""))=0),"""",IFERROR(unique(filter(Prod_Prop!$H:$H,Prod_Prop!$G:$G=$U518,Prod_Prop!$E:$E=V$1)),""""))"),"")</f>
        <v/>
      </c>
      <c r="W518" s="4" t="str">
        <f>IF(V518="","",SUMIFS(Prod_Prop!$J:$J,Prod_Prop!$B:$B,$Q518,Prod_Prop!$H:$H,V518,Prod_Prop!$I:$I,W$1)*IF(V518="Peso",$R518,1))</f>
        <v/>
      </c>
      <c r="X518" s="4" t="str">
        <f>IF(V518="","",SUMIFS(Prod_Prop!$J:$J,Prod_Prop!$B:$B,$Q518,Prod_Prop!$H:$H,V518,Prod_Prop!$I:$I,X$1)*IF(V518="Peso",$R518,1))</f>
        <v/>
      </c>
      <c r="Y518" s="4" t="str">
        <f>IFERROR(__xludf.DUMMYFUNCTION("IF(OR($U518="""",COUNTIF($I:$I,IFERROR(unique(filter(Prod_Prop!$H:$H,Prod_Prop!$G:$G=$U518,Prod_Prop!$E:$E=Y$1)),""Check""))=0),"""",IFERROR(unique(filter(Prod_Prop!$H:$H,Prod_Prop!$G:$G=$U518,Prod_Prop!$E:$E=Y$1)),""""))"),"")</f>
        <v/>
      </c>
      <c r="Z518" s="4" t="str">
        <f>IF(Y518="","",SUMIFS(Prod_Prop!$J:$J,Prod_Prop!$B:$B,$Q518,Prod_Prop!$H:$H,Y518,Prod_Prop!$I:$I,Z$1)*IF(Y518="Peso",$R518,1))</f>
        <v/>
      </c>
      <c r="AA518" s="4" t="str">
        <f>IF(Y518="","",SUMIFS(Prod_Prop!$J:$J,Prod_Prop!$B:$B,$Q518,Prod_Prop!$H:$H,Y518,Prod_Prop!$I:$I,AA$1)*IF(Y518="Peso",$R518,1))</f>
        <v/>
      </c>
      <c r="AB518" s="4" t="str">
        <f>IFERROR(__xludf.DUMMYFUNCTION("IF(OR($U518="""",COUNTIF($I:$I,IFERROR(unique(filter(Prod_Prop!$H:$H,Prod_Prop!$G:$G=$U518,Prod_Prop!$E:$E=AB$1)),""Check""))=0),"""",IFERROR(unique(filter(Prod_Prop!$H:$H,Prod_Prop!$G:$G=$U518,Prod_Prop!$E:$E=AB$1)),""""))"),"")</f>
        <v/>
      </c>
      <c r="AC518" s="4" t="str">
        <f>IF(AB518="","",SUMIFS(Prod_Prop!$J:$J,Prod_Prop!$B:$B,$Q518,Prod_Prop!$H:$H,AB518,Prod_Prop!$I:$I,AC$1)*IF(AB518="Peso",$R518,1))</f>
        <v/>
      </c>
      <c r="AD518" s="4" t="str">
        <f>IF(AB518="","",SUMIFS(Prod_Prop!$J:$J,Prod_Prop!$B:$B,$Q518,Prod_Prop!$H:$H,AB518,Prod_Prop!$I:$I,AD$1)*IF(AB518="Peso",$R518,1))</f>
        <v/>
      </c>
    </row>
    <row r="519">
      <c r="A519" s="4" t="str">
        <f t="array" ref="A519">IF(COUNTIF(A$1:A518,Cotizador!F$2)=maxifs(Familias!E:E,Familias!D:D,Cotizador!F$2),IF(COUNTIF(A$1:A518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19" s="4" t="str">
        <f t="shared" si="1"/>
        <v/>
      </c>
      <c r="C519" s="4" t="str">
        <f t="array" ref="C519">IF(B519="","",IF(A519=XLOOKUP(A$2,Implementos!B:B,Implementos!C:C,"",0,1),B519+maxifs(B$1:B518,A$1:A518,A$2),B519))</f>
        <v/>
      </c>
      <c r="D519" s="4" t="str">
        <f>IF(B519="","", COUNTIFS(Productos!F:F,A519,Productos!H:H,B519)+IF(F519="SI",0,1))</f>
        <v/>
      </c>
      <c r="E519" s="4" t="str">
        <f>IFERROR(__xludf.DUMMYFUNCTION("IF($B519="""","""",INDEX(filter(Familias!F:F,Familias!$D:$D=$A519,Familias!$E:$E=$B519),1))"),"")</f>
        <v/>
      </c>
      <c r="F519" s="4" t="str">
        <f>IFERROR(__xludf.DUMMYFUNCTION("IF($B519="""","""",INDEX(filter(Familias!G:G,Familias!$D:$D=$A519,Familias!$E:$E=$B519),1))"),"")</f>
        <v/>
      </c>
      <c r="G519" s="4" t="str">
        <f t="array" ref="G519">IF(C519=1,XLOOKUP(C519,Cotizador!D:D,Cotizador!E:E,"",0,1),"")</f>
        <v/>
      </c>
      <c r="I519" s="4"/>
      <c r="J519" s="8" t="str">
        <f>IF(I519="","",SUMIF(Cotizador!I$1:V$1,I519,Cotizador!I$2:V$2))</f>
        <v/>
      </c>
      <c r="L519" s="4" t="str">
        <f t="array" ref="L519">IF(COUNTIF(L$1:L518,A$2)=SUMIF(A:A,A$2,D:D),IF(COUNTIF(L$1:L518,XLOOKUP(A$2,Implementos!B:B,Implementos!C:C,"",0,1))=SUMIF(A:A,XLOOKUP(A$2,Implementos!B:B,Implementos!C:C,"",0,1),D:D),"",XLOOKUP(A$2,Implementos!B:B,Implementos!C:C,"",0,1)),A$2)</f>
        <v/>
      </c>
      <c r="M519" s="4" t="str">
        <f t="shared" si="2"/>
        <v/>
      </c>
      <c r="N519" s="4" t="str">
        <f t="shared" si="3"/>
        <v/>
      </c>
      <c r="O519" s="4" t="str">
        <f t="shared" si="4"/>
        <v/>
      </c>
      <c r="P519" s="4" t="str">
        <f t="shared" si="5"/>
        <v/>
      </c>
      <c r="Q519" s="4" t="str">
        <f>IF(U519="","",SUMIF(Productos!E:E,U519,Productos!A:A))</f>
        <v/>
      </c>
      <c r="R519" s="4" t="str">
        <f t="array" ref="R519">IF(L519="","", max(1,SUMIF(I:I,XLOOKUP(U519,Productos!E:E,Productos!G:G,"",0,1),J:J)))</f>
        <v/>
      </c>
      <c r="S519" s="4" t="str">
        <f>IF(Q519="","",IF(SUMIFS(Compat_Vetado!D:D,Compat_Vetado!B:B,SUM(G:G),Compat_Vetado!C:C,Q519)=1,"SI",IF(OR(SUMIF(Cotizador!E:E,Q519,Cotizador!G:G)&gt;0,SUMIFS(Compat_Vetado!D:D,Compat_Vetado!B:B,SUM(G:G),Compat_Vetado!C:C,Q519)=-1),"NO","")))</f>
        <v/>
      </c>
      <c r="T519" s="4" t="str">
        <f t="shared" si="6"/>
        <v/>
      </c>
      <c r="U519" s="4" t="str">
        <f>IFERROR(__xludf.DUMMYFUNCTION("IF(P519="""","""",IFERROR(INDEX(filter(Productos!E:E,Productos!F:F=L519,Productos!H:H=N519),P519),IF(M519=SUM(D:D),""Finalizar"",""-"")))"),"")</f>
        <v/>
      </c>
      <c r="V519" s="4" t="str">
        <f>IFERROR(__xludf.DUMMYFUNCTION("IF(OR($U519="""",COUNTIF($I:$I,IFERROR(unique(filter(Prod_Prop!$H:$H,Prod_Prop!$G:$G=$U519,Prod_Prop!$E:$E=V$1)),""Check""))=0),"""",IFERROR(unique(filter(Prod_Prop!$H:$H,Prod_Prop!$G:$G=$U519,Prod_Prop!$E:$E=V$1)),""""))"),"")</f>
        <v/>
      </c>
      <c r="W519" s="4" t="str">
        <f>IF(V519="","",SUMIFS(Prod_Prop!$J:$J,Prod_Prop!$B:$B,$Q519,Prod_Prop!$H:$H,V519,Prod_Prop!$I:$I,W$1)*IF(V519="Peso",$R519,1))</f>
        <v/>
      </c>
      <c r="X519" s="4" t="str">
        <f>IF(V519="","",SUMIFS(Prod_Prop!$J:$J,Prod_Prop!$B:$B,$Q519,Prod_Prop!$H:$H,V519,Prod_Prop!$I:$I,X$1)*IF(V519="Peso",$R519,1))</f>
        <v/>
      </c>
      <c r="Y519" s="4" t="str">
        <f>IFERROR(__xludf.DUMMYFUNCTION("IF(OR($U519="""",COUNTIF($I:$I,IFERROR(unique(filter(Prod_Prop!$H:$H,Prod_Prop!$G:$G=$U519,Prod_Prop!$E:$E=Y$1)),""Check""))=0),"""",IFERROR(unique(filter(Prod_Prop!$H:$H,Prod_Prop!$G:$G=$U519,Prod_Prop!$E:$E=Y$1)),""""))"),"")</f>
        <v/>
      </c>
      <c r="Z519" s="4" t="str">
        <f>IF(Y519="","",SUMIFS(Prod_Prop!$J:$J,Prod_Prop!$B:$B,$Q519,Prod_Prop!$H:$H,Y519,Prod_Prop!$I:$I,Z$1)*IF(Y519="Peso",$R519,1))</f>
        <v/>
      </c>
      <c r="AA519" s="4" t="str">
        <f>IF(Y519="","",SUMIFS(Prod_Prop!$J:$J,Prod_Prop!$B:$B,$Q519,Prod_Prop!$H:$H,Y519,Prod_Prop!$I:$I,AA$1)*IF(Y519="Peso",$R519,1))</f>
        <v/>
      </c>
      <c r="AB519" s="4" t="str">
        <f>IFERROR(__xludf.DUMMYFUNCTION("IF(OR($U519="""",COUNTIF($I:$I,IFERROR(unique(filter(Prod_Prop!$H:$H,Prod_Prop!$G:$G=$U519,Prod_Prop!$E:$E=AB$1)),""Check""))=0),"""",IFERROR(unique(filter(Prod_Prop!$H:$H,Prod_Prop!$G:$G=$U519,Prod_Prop!$E:$E=AB$1)),""""))"),"")</f>
        <v/>
      </c>
      <c r="AC519" s="4" t="str">
        <f>IF(AB519="","",SUMIFS(Prod_Prop!$J:$J,Prod_Prop!$B:$B,$Q519,Prod_Prop!$H:$H,AB519,Prod_Prop!$I:$I,AC$1)*IF(AB519="Peso",$R519,1))</f>
        <v/>
      </c>
      <c r="AD519" s="4" t="str">
        <f>IF(AB519="","",SUMIFS(Prod_Prop!$J:$J,Prod_Prop!$B:$B,$Q519,Prod_Prop!$H:$H,AB519,Prod_Prop!$I:$I,AD$1)*IF(AB519="Peso",$R519,1))</f>
        <v/>
      </c>
    </row>
    <row r="520">
      <c r="A520" s="4" t="str">
        <f t="array" ref="A520">IF(COUNTIF(A$1:A519,Cotizador!F$2)=maxifs(Familias!E:E,Familias!D:D,Cotizador!F$2),IF(COUNTIF(A$1:A519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0" s="4" t="str">
        <f t="shared" si="1"/>
        <v/>
      </c>
      <c r="C520" s="4" t="str">
        <f t="array" ref="C520">IF(B520="","",IF(A520=XLOOKUP(A$2,Implementos!B:B,Implementos!C:C,"",0,1),B520+maxifs(B$1:B519,A$1:A519,A$2),B520))</f>
        <v/>
      </c>
      <c r="D520" s="4" t="str">
        <f>IF(B520="","", COUNTIFS(Productos!F:F,A520,Productos!H:H,B520)+IF(F520="SI",0,1))</f>
        <v/>
      </c>
      <c r="E520" s="4" t="str">
        <f>IFERROR(__xludf.DUMMYFUNCTION("IF($B520="""","""",INDEX(filter(Familias!F:F,Familias!$D:$D=$A520,Familias!$E:$E=$B520),1))"),"")</f>
        <v/>
      </c>
      <c r="F520" s="4" t="str">
        <f>IFERROR(__xludf.DUMMYFUNCTION("IF($B520="""","""",INDEX(filter(Familias!G:G,Familias!$D:$D=$A520,Familias!$E:$E=$B520),1))"),"")</f>
        <v/>
      </c>
      <c r="G520" s="4" t="str">
        <f t="array" ref="G520">IF(C520=1,XLOOKUP(C520,Cotizador!D:D,Cotizador!E:E,"",0,1),"")</f>
        <v/>
      </c>
      <c r="I520" s="4"/>
      <c r="J520" s="8" t="str">
        <f>IF(I520="","",SUMIF(Cotizador!I$1:V$1,I520,Cotizador!I$2:V$2))</f>
        <v/>
      </c>
      <c r="L520" s="4" t="str">
        <f t="array" ref="L520">IF(COUNTIF(L$1:L519,A$2)=SUMIF(A:A,A$2,D:D),IF(COUNTIF(L$1:L519,XLOOKUP(A$2,Implementos!B:B,Implementos!C:C,"",0,1))=SUMIF(A:A,XLOOKUP(A$2,Implementos!B:B,Implementos!C:C,"",0,1),D:D),"",XLOOKUP(A$2,Implementos!B:B,Implementos!C:C,"",0,1)),A$2)</f>
        <v/>
      </c>
      <c r="M520" s="4" t="str">
        <f t="shared" si="2"/>
        <v/>
      </c>
      <c r="N520" s="4" t="str">
        <f t="shared" si="3"/>
        <v/>
      </c>
      <c r="O520" s="4" t="str">
        <f t="shared" si="4"/>
        <v/>
      </c>
      <c r="P520" s="4" t="str">
        <f t="shared" si="5"/>
        <v/>
      </c>
      <c r="Q520" s="4" t="str">
        <f>IF(U520="","",SUMIF(Productos!E:E,U520,Productos!A:A))</f>
        <v/>
      </c>
      <c r="R520" s="4" t="str">
        <f t="array" ref="R520">IF(L520="","", max(1,SUMIF(I:I,XLOOKUP(U520,Productos!E:E,Productos!G:G,"",0,1),J:J)))</f>
        <v/>
      </c>
      <c r="S520" s="4" t="str">
        <f>IF(Q520="","",IF(SUMIFS(Compat_Vetado!D:D,Compat_Vetado!B:B,SUM(G:G),Compat_Vetado!C:C,Q520)=1,"SI",IF(OR(SUMIF(Cotizador!E:E,Q520,Cotizador!G:G)&gt;0,SUMIFS(Compat_Vetado!D:D,Compat_Vetado!B:B,SUM(G:G),Compat_Vetado!C:C,Q520)=-1),"NO","")))</f>
        <v/>
      </c>
      <c r="T520" s="4" t="str">
        <f t="shared" si="6"/>
        <v/>
      </c>
      <c r="U520" s="4" t="str">
        <f>IFERROR(__xludf.DUMMYFUNCTION("IF(P520="""","""",IFERROR(INDEX(filter(Productos!E:E,Productos!F:F=L520,Productos!H:H=N520),P520),IF(M520=SUM(D:D),""Finalizar"",""-"")))"),"")</f>
        <v/>
      </c>
      <c r="V520" s="4" t="str">
        <f>IFERROR(__xludf.DUMMYFUNCTION("IF(OR($U520="""",COUNTIF($I:$I,IFERROR(unique(filter(Prod_Prop!$H:$H,Prod_Prop!$G:$G=$U520,Prod_Prop!$E:$E=V$1)),""Check""))=0),"""",IFERROR(unique(filter(Prod_Prop!$H:$H,Prod_Prop!$G:$G=$U520,Prod_Prop!$E:$E=V$1)),""""))"),"")</f>
        <v/>
      </c>
      <c r="W520" s="4" t="str">
        <f>IF(V520="","",SUMIFS(Prod_Prop!$J:$J,Prod_Prop!$B:$B,$Q520,Prod_Prop!$H:$H,V520,Prod_Prop!$I:$I,W$1)*IF(V520="Peso",$R520,1))</f>
        <v/>
      </c>
      <c r="X520" s="4" t="str">
        <f>IF(V520="","",SUMIFS(Prod_Prop!$J:$J,Prod_Prop!$B:$B,$Q520,Prod_Prop!$H:$H,V520,Prod_Prop!$I:$I,X$1)*IF(V520="Peso",$R520,1))</f>
        <v/>
      </c>
      <c r="Y520" s="4" t="str">
        <f>IFERROR(__xludf.DUMMYFUNCTION("IF(OR($U520="""",COUNTIF($I:$I,IFERROR(unique(filter(Prod_Prop!$H:$H,Prod_Prop!$G:$G=$U520,Prod_Prop!$E:$E=Y$1)),""Check""))=0),"""",IFERROR(unique(filter(Prod_Prop!$H:$H,Prod_Prop!$G:$G=$U520,Prod_Prop!$E:$E=Y$1)),""""))"),"")</f>
        <v/>
      </c>
      <c r="Z520" s="4" t="str">
        <f>IF(Y520="","",SUMIFS(Prod_Prop!$J:$J,Prod_Prop!$B:$B,$Q520,Prod_Prop!$H:$H,Y520,Prod_Prop!$I:$I,Z$1)*IF(Y520="Peso",$R520,1))</f>
        <v/>
      </c>
      <c r="AA520" s="4" t="str">
        <f>IF(Y520="","",SUMIFS(Prod_Prop!$J:$J,Prod_Prop!$B:$B,$Q520,Prod_Prop!$H:$H,Y520,Prod_Prop!$I:$I,AA$1)*IF(Y520="Peso",$R520,1))</f>
        <v/>
      </c>
      <c r="AB520" s="4" t="str">
        <f>IFERROR(__xludf.DUMMYFUNCTION("IF(OR($U520="""",COUNTIF($I:$I,IFERROR(unique(filter(Prod_Prop!$H:$H,Prod_Prop!$G:$G=$U520,Prod_Prop!$E:$E=AB$1)),""Check""))=0),"""",IFERROR(unique(filter(Prod_Prop!$H:$H,Prod_Prop!$G:$G=$U520,Prod_Prop!$E:$E=AB$1)),""""))"),"")</f>
        <v/>
      </c>
      <c r="AC520" s="4" t="str">
        <f>IF(AB520="","",SUMIFS(Prod_Prop!$J:$J,Prod_Prop!$B:$B,$Q520,Prod_Prop!$H:$H,AB520,Prod_Prop!$I:$I,AC$1)*IF(AB520="Peso",$R520,1))</f>
        <v/>
      </c>
      <c r="AD520" s="4" t="str">
        <f>IF(AB520="","",SUMIFS(Prod_Prop!$J:$J,Prod_Prop!$B:$B,$Q520,Prod_Prop!$H:$H,AB520,Prod_Prop!$I:$I,AD$1)*IF(AB520="Peso",$R520,1))</f>
        <v/>
      </c>
    </row>
    <row r="521">
      <c r="A521" s="4" t="str">
        <f t="array" ref="A521">IF(COUNTIF(A$1:A520,Cotizador!F$2)=maxifs(Familias!E:E,Familias!D:D,Cotizador!F$2),IF(COUNTIF(A$1:A520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1" s="4" t="str">
        <f t="shared" si="1"/>
        <v/>
      </c>
      <c r="C521" s="4" t="str">
        <f t="array" ref="C521">IF(B521="","",IF(A521=XLOOKUP(A$2,Implementos!B:B,Implementos!C:C,"",0,1),B521+maxifs(B$1:B520,A$1:A520,A$2),B521))</f>
        <v/>
      </c>
      <c r="D521" s="4" t="str">
        <f>IF(B521="","", COUNTIFS(Productos!F:F,A521,Productos!H:H,B521)+IF(F521="SI",0,1))</f>
        <v/>
      </c>
      <c r="E521" s="4" t="str">
        <f>IFERROR(__xludf.DUMMYFUNCTION("IF($B521="""","""",INDEX(filter(Familias!F:F,Familias!$D:$D=$A521,Familias!$E:$E=$B521),1))"),"")</f>
        <v/>
      </c>
      <c r="F521" s="4" t="str">
        <f>IFERROR(__xludf.DUMMYFUNCTION("IF($B521="""","""",INDEX(filter(Familias!G:G,Familias!$D:$D=$A521,Familias!$E:$E=$B521),1))"),"")</f>
        <v/>
      </c>
      <c r="G521" s="4" t="str">
        <f t="array" ref="G521">IF(C521=1,XLOOKUP(C521,Cotizador!D:D,Cotizador!E:E,"",0,1),"")</f>
        <v/>
      </c>
      <c r="I521" s="4"/>
      <c r="J521" s="8" t="str">
        <f>IF(I521="","",SUMIF(Cotizador!I$1:V$1,I521,Cotizador!I$2:V$2))</f>
        <v/>
      </c>
      <c r="L521" s="4" t="str">
        <f t="array" ref="L521">IF(COUNTIF(L$1:L520,A$2)=SUMIF(A:A,A$2,D:D),IF(COUNTIF(L$1:L520,XLOOKUP(A$2,Implementos!B:B,Implementos!C:C,"",0,1))=SUMIF(A:A,XLOOKUP(A$2,Implementos!B:B,Implementos!C:C,"",0,1),D:D),"",XLOOKUP(A$2,Implementos!B:B,Implementos!C:C,"",0,1)),A$2)</f>
        <v/>
      </c>
      <c r="M521" s="4" t="str">
        <f t="shared" si="2"/>
        <v/>
      </c>
      <c r="N521" s="4" t="str">
        <f t="shared" si="3"/>
        <v/>
      </c>
      <c r="O521" s="4" t="str">
        <f t="shared" si="4"/>
        <v/>
      </c>
      <c r="P521" s="4" t="str">
        <f t="shared" si="5"/>
        <v/>
      </c>
      <c r="Q521" s="4" t="str">
        <f>IF(U521="","",SUMIF(Productos!E:E,U521,Productos!A:A))</f>
        <v/>
      </c>
      <c r="R521" s="4" t="str">
        <f t="array" ref="R521">IF(L521="","", max(1,SUMIF(I:I,XLOOKUP(U521,Productos!E:E,Productos!G:G,"",0,1),J:J)))</f>
        <v/>
      </c>
      <c r="S521" s="4" t="str">
        <f>IF(Q521="","",IF(SUMIFS(Compat_Vetado!D:D,Compat_Vetado!B:B,SUM(G:G),Compat_Vetado!C:C,Q521)=1,"SI",IF(OR(SUMIF(Cotizador!E:E,Q521,Cotizador!G:G)&gt;0,SUMIFS(Compat_Vetado!D:D,Compat_Vetado!B:B,SUM(G:G),Compat_Vetado!C:C,Q521)=-1),"NO","")))</f>
        <v/>
      </c>
      <c r="T521" s="4" t="str">
        <f t="shared" si="6"/>
        <v/>
      </c>
      <c r="U521" s="4" t="str">
        <f>IFERROR(__xludf.DUMMYFUNCTION("IF(P521="""","""",IFERROR(INDEX(filter(Productos!E:E,Productos!F:F=L521,Productos!H:H=N521),P521),IF(M521=SUM(D:D),""Finalizar"",""-"")))"),"")</f>
        <v/>
      </c>
      <c r="V521" s="4" t="str">
        <f>IFERROR(__xludf.DUMMYFUNCTION("IF(OR($U521="""",COUNTIF($I:$I,IFERROR(unique(filter(Prod_Prop!$H:$H,Prod_Prop!$G:$G=$U521,Prod_Prop!$E:$E=V$1)),""Check""))=0),"""",IFERROR(unique(filter(Prod_Prop!$H:$H,Prod_Prop!$G:$G=$U521,Prod_Prop!$E:$E=V$1)),""""))"),"")</f>
        <v/>
      </c>
      <c r="W521" s="4" t="str">
        <f>IF(V521="","",SUMIFS(Prod_Prop!$J:$J,Prod_Prop!$B:$B,$Q521,Prod_Prop!$H:$H,V521,Prod_Prop!$I:$I,W$1)*IF(V521="Peso",$R521,1))</f>
        <v/>
      </c>
      <c r="X521" s="4" t="str">
        <f>IF(V521="","",SUMIFS(Prod_Prop!$J:$J,Prod_Prop!$B:$B,$Q521,Prod_Prop!$H:$H,V521,Prod_Prop!$I:$I,X$1)*IF(V521="Peso",$R521,1))</f>
        <v/>
      </c>
      <c r="Y521" s="4" t="str">
        <f>IFERROR(__xludf.DUMMYFUNCTION("IF(OR($U521="""",COUNTIF($I:$I,IFERROR(unique(filter(Prod_Prop!$H:$H,Prod_Prop!$G:$G=$U521,Prod_Prop!$E:$E=Y$1)),""Check""))=0),"""",IFERROR(unique(filter(Prod_Prop!$H:$H,Prod_Prop!$G:$G=$U521,Prod_Prop!$E:$E=Y$1)),""""))"),"")</f>
        <v/>
      </c>
      <c r="Z521" s="4" t="str">
        <f>IF(Y521="","",SUMIFS(Prod_Prop!$J:$J,Prod_Prop!$B:$B,$Q521,Prod_Prop!$H:$H,Y521,Prod_Prop!$I:$I,Z$1)*IF(Y521="Peso",$R521,1))</f>
        <v/>
      </c>
      <c r="AA521" s="4" t="str">
        <f>IF(Y521="","",SUMIFS(Prod_Prop!$J:$J,Prod_Prop!$B:$B,$Q521,Prod_Prop!$H:$H,Y521,Prod_Prop!$I:$I,AA$1)*IF(Y521="Peso",$R521,1))</f>
        <v/>
      </c>
      <c r="AB521" s="4" t="str">
        <f>IFERROR(__xludf.DUMMYFUNCTION("IF(OR($U521="""",COUNTIF($I:$I,IFERROR(unique(filter(Prod_Prop!$H:$H,Prod_Prop!$G:$G=$U521,Prod_Prop!$E:$E=AB$1)),""Check""))=0),"""",IFERROR(unique(filter(Prod_Prop!$H:$H,Prod_Prop!$G:$G=$U521,Prod_Prop!$E:$E=AB$1)),""""))"),"")</f>
        <v/>
      </c>
      <c r="AC521" s="4" t="str">
        <f>IF(AB521="","",SUMIFS(Prod_Prop!$J:$J,Prod_Prop!$B:$B,$Q521,Prod_Prop!$H:$H,AB521,Prod_Prop!$I:$I,AC$1)*IF(AB521="Peso",$R521,1))</f>
        <v/>
      </c>
      <c r="AD521" s="4" t="str">
        <f>IF(AB521="","",SUMIFS(Prod_Prop!$J:$J,Prod_Prop!$B:$B,$Q521,Prod_Prop!$H:$H,AB521,Prod_Prop!$I:$I,AD$1)*IF(AB521="Peso",$R521,1))</f>
        <v/>
      </c>
    </row>
    <row r="522">
      <c r="A522" s="4" t="str">
        <f t="array" ref="A522">IF(COUNTIF(A$1:A521,Cotizador!F$2)=maxifs(Familias!E:E,Familias!D:D,Cotizador!F$2),IF(COUNTIF(A$1:A521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2" s="4" t="str">
        <f t="shared" si="1"/>
        <v/>
      </c>
      <c r="C522" s="4" t="str">
        <f t="array" ref="C522">IF(B522="","",IF(A522=XLOOKUP(A$2,Implementos!B:B,Implementos!C:C,"",0,1),B522+maxifs(B$1:B521,A$1:A521,A$2),B522))</f>
        <v/>
      </c>
      <c r="D522" s="4" t="str">
        <f>IF(B522="","", COUNTIFS(Productos!F:F,A522,Productos!H:H,B522)+IF(F522="SI",0,1))</f>
        <v/>
      </c>
      <c r="E522" s="4" t="str">
        <f>IFERROR(__xludf.DUMMYFUNCTION("IF($B522="""","""",INDEX(filter(Familias!F:F,Familias!$D:$D=$A522,Familias!$E:$E=$B522),1))"),"")</f>
        <v/>
      </c>
      <c r="F522" s="4" t="str">
        <f>IFERROR(__xludf.DUMMYFUNCTION("IF($B522="""","""",INDEX(filter(Familias!G:G,Familias!$D:$D=$A522,Familias!$E:$E=$B522),1))"),"")</f>
        <v/>
      </c>
      <c r="G522" s="4" t="str">
        <f t="array" ref="G522">IF(C522=1,XLOOKUP(C522,Cotizador!D:D,Cotizador!E:E,"",0,1),"")</f>
        <v/>
      </c>
      <c r="I522" s="4"/>
      <c r="J522" s="8" t="str">
        <f>IF(I522="","",SUMIF(Cotizador!I$1:V$1,I522,Cotizador!I$2:V$2))</f>
        <v/>
      </c>
      <c r="L522" s="4" t="str">
        <f t="array" ref="L522">IF(COUNTIF(L$1:L521,A$2)=SUMIF(A:A,A$2,D:D),IF(COUNTIF(L$1:L521,XLOOKUP(A$2,Implementos!B:B,Implementos!C:C,"",0,1))=SUMIF(A:A,XLOOKUP(A$2,Implementos!B:B,Implementos!C:C,"",0,1),D:D),"",XLOOKUP(A$2,Implementos!B:B,Implementos!C:C,"",0,1)),A$2)</f>
        <v/>
      </c>
      <c r="M522" s="4" t="str">
        <f t="shared" si="2"/>
        <v/>
      </c>
      <c r="N522" s="4" t="str">
        <f t="shared" si="3"/>
        <v/>
      </c>
      <c r="O522" s="4" t="str">
        <f t="shared" si="4"/>
        <v/>
      </c>
      <c r="P522" s="4" t="str">
        <f t="shared" si="5"/>
        <v/>
      </c>
      <c r="Q522" s="4" t="str">
        <f>IF(U522="","",SUMIF(Productos!E:E,U522,Productos!A:A))</f>
        <v/>
      </c>
      <c r="R522" s="4" t="str">
        <f t="array" ref="R522">IF(L522="","", max(1,SUMIF(I:I,XLOOKUP(U522,Productos!E:E,Productos!G:G,"",0,1),J:J)))</f>
        <v/>
      </c>
      <c r="S522" s="4" t="str">
        <f>IF(Q522="","",IF(SUMIFS(Compat_Vetado!D:D,Compat_Vetado!B:B,SUM(G:G),Compat_Vetado!C:C,Q522)=1,"SI",IF(OR(SUMIF(Cotizador!E:E,Q522,Cotizador!G:G)&gt;0,SUMIFS(Compat_Vetado!D:D,Compat_Vetado!B:B,SUM(G:G),Compat_Vetado!C:C,Q522)=-1),"NO","")))</f>
        <v/>
      </c>
      <c r="T522" s="4" t="str">
        <f t="shared" si="6"/>
        <v/>
      </c>
      <c r="U522" s="4" t="str">
        <f>IFERROR(__xludf.DUMMYFUNCTION("IF(P522="""","""",IFERROR(INDEX(filter(Productos!E:E,Productos!F:F=L522,Productos!H:H=N522),P522),IF(M522=SUM(D:D),""Finalizar"",""-"")))"),"")</f>
        <v/>
      </c>
      <c r="V522" s="4" t="str">
        <f>IFERROR(__xludf.DUMMYFUNCTION("IF(OR($U522="""",COUNTIF($I:$I,IFERROR(unique(filter(Prod_Prop!$H:$H,Prod_Prop!$G:$G=$U522,Prod_Prop!$E:$E=V$1)),""Check""))=0),"""",IFERROR(unique(filter(Prod_Prop!$H:$H,Prod_Prop!$G:$G=$U522,Prod_Prop!$E:$E=V$1)),""""))"),"")</f>
        <v/>
      </c>
      <c r="W522" s="4" t="str">
        <f>IF(V522="","",SUMIFS(Prod_Prop!$J:$J,Prod_Prop!$B:$B,$Q522,Prod_Prop!$H:$H,V522,Prod_Prop!$I:$I,W$1)*IF(V522="Peso",$R522,1))</f>
        <v/>
      </c>
      <c r="X522" s="4" t="str">
        <f>IF(V522="","",SUMIFS(Prod_Prop!$J:$J,Prod_Prop!$B:$B,$Q522,Prod_Prop!$H:$H,V522,Prod_Prop!$I:$I,X$1)*IF(V522="Peso",$R522,1))</f>
        <v/>
      </c>
      <c r="Y522" s="4" t="str">
        <f>IFERROR(__xludf.DUMMYFUNCTION("IF(OR($U522="""",COUNTIF($I:$I,IFERROR(unique(filter(Prod_Prop!$H:$H,Prod_Prop!$G:$G=$U522,Prod_Prop!$E:$E=Y$1)),""Check""))=0),"""",IFERROR(unique(filter(Prod_Prop!$H:$H,Prod_Prop!$G:$G=$U522,Prod_Prop!$E:$E=Y$1)),""""))"),"")</f>
        <v/>
      </c>
      <c r="Z522" s="4" t="str">
        <f>IF(Y522="","",SUMIFS(Prod_Prop!$J:$J,Prod_Prop!$B:$B,$Q522,Prod_Prop!$H:$H,Y522,Prod_Prop!$I:$I,Z$1)*IF(Y522="Peso",$R522,1))</f>
        <v/>
      </c>
      <c r="AA522" s="4" t="str">
        <f>IF(Y522="","",SUMIFS(Prod_Prop!$J:$J,Prod_Prop!$B:$B,$Q522,Prod_Prop!$H:$H,Y522,Prod_Prop!$I:$I,AA$1)*IF(Y522="Peso",$R522,1))</f>
        <v/>
      </c>
      <c r="AB522" s="4" t="str">
        <f>IFERROR(__xludf.DUMMYFUNCTION("IF(OR($U522="""",COUNTIF($I:$I,IFERROR(unique(filter(Prod_Prop!$H:$H,Prod_Prop!$G:$G=$U522,Prod_Prop!$E:$E=AB$1)),""Check""))=0),"""",IFERROR(unique(filter(Prod_Prop!$H:$H,Prod_Prop!$G:$G=$U522,Prod_Prop!$E:$E=AB$1)),""""))"),"")</f>
        <v/>
      </c>
      <c r="AC522" s="4" t="str">
        <f>IF(AB522="","",SUMIFS(Prod_Prop!$J:$J,Prod_Prop!$B:$B,$Q522,Prod_Prop!$H:$H,AB522,Prod_Prop!$I:$I,AC$1)*IF(AB522="Peso",$R522,1))</f>
        <v/>
      </c>
      <c r="AD522" s="4" t="str">
        <f>IF(AB522="","",SUMIFS(Prod_Prop!$J:$J,Prod_Prop!$B:$B,$Q522,Prod_Prop!$H:$H,AB522,Prod_Prop!$I:$I,AD$1)*IF(AB522="Peso",$R522,1))</f>
        <v/>
      </c>
    </row>
    <row r="523">
      <c r="A523" s="4" t="str">
        <f t="array" ref="A523">IF(COUNTIF(A$1:A522,Cotizador!F$2)=maxifs(Familias!E:E,Familias!D:D,Cotizador!F$2),IF(COUNTIF(A$1:A522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3" s="4" t="str">
        <f t="shared" si="1"/>
        <v/>
      </c>
      <c r="C523" s="4" t="str">
        <f t="array" ref="C523">IF(B523="","",IF(A523=XLOOKUP(A$2,Implementos!B:B,Implementos!C:C,"",0,1),B523+maxifs(B$1:B522,A$1:A522,A$2),B523))</f>
        <v/>
      </c>
      <c r="D523" s="4" t="str">
        <f>IF(B523="","", COUNTIFS(Productos!F:F,A523,Productos!H:H,B523)+IF(F523="SI",0,1))</f>
        <v/>
      </c>
      <c r="E523" s="4" t="str">
        <f>IFERROR(__xludf.DUMMYFUNCTION("IF($B523="""","""",INDEX(filter(Familias!F:F,Familias!$D:$D=$A523,Familias!$E:$E=$B523),1))"),"")</f>
        <v/>
      </c>
      <c r="F523" s="4" t="str">
        <f>IFERROR(__xludf.DUMMYFUNCTION("IF($B523="""","""",INDEX(filter(Familias!G:G,Familias!$D:$D=$A523,Familias!$E:$E=$B523),1))"),"")</f>
        <v/>
      </c>
      <c r="G523" s="4" t="str">
        <f t="array" ref="G523">IF(C523=1,XLOOKUP(C523,Cotizador!D:D,Cotizador!E:E,"",0,1),"")</f>
        <v/>
      </c>
      <c r="I523" s="4"/>
      <c r="J523" s="8" t="str">
        <f>IF(I523="","",SUMIF(Cotizador!I$1:V$1,I523,Cotizador!I$2:V$2))</f>
        <v/>
      </c>
      <c r="L523" s="4" t="str">
        <f t="array" ref="L523">IF(COUNTIF(L$1:L522,A$2)=SUMIF(A:A,A$2,D:D),IF(COUNTIF(L$1:L522,XLOOKUP(A$2,Implementos!B:B,Implementos!C:C,"",0,1))=SUMIF(A:A,XLOOKUP(A$2,Implementos!B:B,Implementos!C:C,"",0,1),D:D),"",XLOOKUP(A$2,Implementos!B:B,Implementos!C:C,"",0,1)),A$2)</f>
        <v/>
      </c>
      <c r="M523" s="4" t="str">
        <f t="shared" si="2"/>
        <v/>
      </c>
      <c r="N523" s="4" t="str">
        <f t="shared" si="3"/>
        <v/>
      </c>
      <c r="O523" s="4" t="str">
        <f t="shared" si="4"/>
        <v/>
      </c>
      <c r="P523" s="4" t="str">
        <f t="shared" si="5"/>
        <v/>
      </c>
      <c r="Q523" s="4" t="str">
        <f>IF(U523="","",SUMIF(Productos!E:E,U523,Productos!A:A))</f>
        <v/>
      </c>
      <c r="R523" s="4" t="str">
        <f t="array" ref="R523">IF(L523="","", max(1,SUMIF(I:I,XLOOKUP(U523,Productos!E:E,Productos!G:G,"",0,1),J:J)))</f>
        <v/>
      </c>
      <c r="S523" s="4" t="str">
        <f>IF(Q523="","",IF(SUMIFS(Compat_Vetado!D:D,Compat_Vetado!B:B,SUM(G:G),Compat_Vetado!C:C,Q523)=1,"SI",IF(OR(SUMIF(Cotizador!E:E,Q523,Cotizador!G:G)&gt;0,SUMIFS(Compat_Vetado!D:D,Compat_Vetado!B:B,SUM(G:G),Compat_Vetado!C:C,Q523)=-1),"NO","")))</f>
        <v/>
      </c>
      <c r="T523" s="4" t="str">
        <f t="shared" si="6"/>
        <v/>
      </c>
      <c r="U523" s="4" t="str">
        <f>IFERROR(__xludf.DUMMYFUNCTION("IF(P523="""","""",IFERROR(INDEX(filter(Productos!E:E,Productos!F:F=L523,Productos!H:H=N523),P523),IF(M523=SUM(D:D),""Finalizar"",""-"")))"),"")</f>
        <v/>
      </c>
      <c r="V523" s="4" t="str">
        <f>IFERROR(__xludf.DUMMYFUNCTION("IF(OR($U523="""",COUNTIF($I:$I,IFERROR(unique(filter(Prod_Prop!$H:$H,Prod_Prop!$G:$G=$U523,Prod_Prop!$E:$E=V$1)),""Check""))=0),"""",IFERROR(unique(filter(Prod_Prop!$H:$H,Prod_Prop!$G:$G=$U523,Prod_Prop!$E:$E=V$1)),""""))"),"")</f>
        <v/>
      </c>
      <c r="W523" s="4" t="str">
        <f>IF(V523="","",SUMIFS(Prod_Prop!$J:$J,Prod_Prop!$B:$B,$Q523,Prod_Prop!$H:$H,V523,Prod_Prop!$I:$I,W$1)*IF(V523="Peso",$R523,1))</f>
        <v/>
      </c>
      <c r="X523" s="4" t="str">
        <f>IF(V523="","",SUMIFS(Prod_Prop!$J:$J,Prod_Prop!$B:$B,$Q523,Prod_Prop!$H:$H,V523,Prod_Prop!$I:$I,X$1)*IF(V523="Peso",$R523,1))</f>
        <v/>
      </c>
      <c r="Y523" s="4" t="str">
        <f>IFERROR(__xludf.DUMMYFUNCTION("IF(OR($U523="""",COUNTIF($I:$I,IFERROR(unique(filter(Prod_Prop!$H:$H,Prod_Prop!$G:$G=$U523,Prod_Prop!$E:$E=Y$1)),""Check""))=0),"""",IFERROR(unique(filter(Prod_Prop!$H:$H,Prod_Prop!$G:$G=$U523,Prod_Prop!$E:$E=Y$1)),""""))"),"")</f>
        <v/>
      </c>
      <c r="Z523" s="4" t="str">
        <f>IF(Y523="","",SUMIFS(Prod_Prop!$J:$J,Prod_Prop!$B:$B,$Q523,Prod_Prop!$H:$H,Y523,Prod_Prop!$I:$I,Z$1)*IF(Y523="Peso",$R523,1))</f>
        <v/>
      </c>
      <c r="AA523" s="4" t="str">
        <f>IF(Y523="","",SUMIFS(Prod_Prop!$J:$J,Prod_Prop!$B:$B,$Q523,Prod_Prop!$H:$H,Y523,Prod_Prop!$I:$I,AA$1)*IF(Y523="Peso",$R523,1))</f>
        <v/>
      </c>
      <c r="AB523" s="4" t="str">
        <f>IFERROR(__xludf.DUMMYFUNCTION("IF(OR($U523="""",COUNTIF($I:$I,IFERROR(unique(filter(Prod_Prop!$H:$H,Prod_Prop!$G:$G=$U523,Prod_Prop!$E:$E=AB$1)),""Check""))=0),"""",IFERROR(unique(filter(Prod_Prop!$H:$H,Prod_Prop!$G:$G=$U523,Prod_Prop!$E:$E=AB$1)),""""))"),"")</f>
        <v/>
      </c>
      <c r="AC523" s="4" t="str">
        <f>IF(AB523="","",SUMIFS(Prod_Prop!$J:$J,Prod_Prop!$B:$B,$Q523,Prod_Prop!$H:$H,AB523,Prod_Prop!$I:$I,AC$1)*IF(AB523="Peso",$R523,1))</f>
        <v/>
      </c>
      <c r="AD523" s="4" t="str">
        <f>IF(AB523="","",SUMIFS(Prod_Prop!$J:$J,Prod_Prop!$B:$B,$Q523,Prod_Prop!$H:$H,AB523,Prod_Prop!$I:$I,AD$1)*IF(AB523="Peso",$R523,1))</f>
        <v/>
      </c>
    </row>
    <row r="524">
      <c r="A524" s="4" t="str">
        <f t="array" ref="A524">IF(COUNTIF(A$1:A523,Cotizador!F$2)=maxifs(Familias!E:E,Familias!D:D,Cotizador!F$2),IF(COUNTIF(A$1:A523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4" s="4" t="str">
        <f t="shared" si="1"/>
        <v/>
      </c>
      <c r="C524" s="4" t="str">
        <f t="array" ref="C524">IF(B524="","",IF(A524=XLOOKUP(A$2,Implementos!B:B,Implementos!C:C,"",0,1),B524+maxifs(B$1:B523,A$1:A523,A$2),B524))</f>
        <v/>
      </c>
      <c r="D524" s="4" t="str">
        <f>IF(B524="","", COUNTIFS(Productos!F:F,A524,Productos!H:H,B524)+IF(F524="SI",0,1))</f>
        <v/>
      </c>
      <c r="E524" s="4" t="str">
        <f>IFERROR(__xludf.DUMMYFUNCTION("IF($B524="""","""",INDEX(filter(Familias!F:F,Familias!$D:$D=$A524,Familias!$E:$E=$B524),1))"),"")</f>
        <v/>
      </c>
      <c r="F524" s="4" t="str">
        <f>IFERROR(__xludf.DUMMYFUNCTION("IF($B524="""","""",INDEX(filter(Familias!G:G,Familias!$D:$D=$A524,Familias!$E:$E=$B524),1))"),"")</f>
        <v/>
      </c>
      <c r="G524" s="4" t="str">
        <f t="array" ref="G524">IF(C524=1,XLOOKUP(C524,Cotizador!D:D,Cotizador!E:E,"",0,1),"")</f>
        <v/>
      </c>
      <c r="I524" s="4"/>
      <c r="J524" s="8" t="str">
        <f>IF(I524="","",SUMIF(Cotizador!I$1:V$1,I524,Cotizador!I$2:V$2))</f>
        <v/>
      </c>
      <c r="L524" s="4" t="str">
        <f t="array" ref="L524">IF(COUNTIF(L$1:L523,A$2)=SUMIF(A:A,A$2,D:D),IF(COUNTIF(L$1:L523,XLOOKUP(A$2,Implementos!B:B,Implementos!C:C,"",0,1))=SUMIF(A:A,XLOOKUP(A$2,Implementos!B:B,Implementos!C:C,"",0,1),D:D),"",XLOOKUP(A$2,Implementos!B:B,Implementos!C:C,"",0,1)),A$2)</f>
        <v/>
      </c>
      <c r="M524" s="4" t="str">
        <f t="shared" si="2"/>
        <v/>
      </c>
      <c r="N524" s="4" t="str">
        <f t="shared" si="3"/>
        <v/>
      </c>
      <c r="O524" s="4" t="str">
        <f t="shared" si="4"/>
        <v/>
      </c>
      <c r="P524" s="4" t="str">
        <f t="shared" si="5"/>
        <v/>
      </c>
      <c r="Q524" s="4" t="str">
        <f>IF(U524="","",SUMIF(Productos!E:E,U524,Productos!A:A))</f>
        <v/>
      </c>
      <c r="R524" s="4" t="str">
        <f t="array" ref="R524">IF(L524="","", max(1,SUMIF(I:I,XLOOKUP(U524,Productos!E:E,Productos!G:G,"",0,1),J:J)))</f>
        <v/>
      </c>
      <c r="S524" s="4" t="str">
        <f>IF(Q524="","",IF(SUMIFS(Compat_Vetado!D:D,Compat_Vetado!B:B,SUM(G:G),Compat_Vetado!C:C,Q524)=1,"SI",IF(OR(SUMIF(Cotizador!E:E,Q524,Cotizador!G:G)&gt;0,SUMIFS(Compat_Vetado!D:D,Compat_Vetado!B:B,SUM(G:G),Compat_Vetado!C:C,Q524)=-1),"NO","")))</f>
        <v/>
      </c>
      <c r="T524" s="4" t="str">
        <f t="shared" si="6"/>
        <v/>
      </c>
      <c r="U524" s="4" t="str">
        <f>IFERROR(__xludf.DUMMYFUNCTION("IF(P524="""","""",IFERROR(INDEX(filter(Productos!E:E,Productos!F:F=L524,Productos!H:H=N524),P524),IF(M524=SUM(D:D),""Finalizar"",""-"")))"),"")</f>
        <v/>
      </c>
      <c r="V524" s="4" t="str">
        <f>IFERROR(__xludf.DUMMYFUNCTION("IF(OR($U524="""",COUNTIF($I:$I,IFERROR(unique(filter(Prod_Prop!$H:$H,Prod_Prop!$G:$G=$U524,Prod_Prop!$E:$E=V$1)),""Check""))=0),"""",IFERROR(unique(filter(Prod_Prop!$H:$H,Prod_Prop!$G:$G=$U524,Prod_Prop!$E:$E=V$1)),""""))"),"")</f>
        <v/>
      </c>
      <c r="W524" s="4" t="str">
        <f>IF(V524="","",SUMIFS(Prod_Prop!$J:$J,Prod_Prop!$B:$B,$Q524,Prod_Prop!$H:$H,V524,Prod_Prop!$I:$I,W$1)*IF(V524="Peso",$R524,1))</f>
        <v/>
      </c>
      <c r="X524" s="4" t="str">
        <f>IF(V524="","",SUMIFS(Prod_Prop!$J:$J,Prod_Prop!$B:$B,$Q524,Prod_Prop!$H:$H,V524,Prod_Prop!$I:$I,X$1)*IF(V524="Peso",$R524,1))</f>
        <v/>
      </c>
      <c r="Y524" s="4" t="str">
        <f>IFERROR(__xludf.DUMMYFUNCTION("IF(OR($U524="""",COUNTIF($I:$I,IFERROR(unique(filter(Prod_Prop!$H:$H,Prod_Prop!$G:$G=$U524,Prod_Prop!$E:$E=Y$1)),""Check""))=0),"""",IFERROR(unique(filter(Prod_Prop!$H:$H,Prod_Prop!$G:$G=$U524,Prod_Prop!$E:$E=Y$1)),""""))"),"")</f>
        <v/>
      </c>
      <c r="Z524" s="4" t="str">
        <f>IF(Y524="","",SUMIFS(Prod_Prop!$J:$J,Prod_Prop!$B:$B,$Q524,Prod_Prop!$H:$H,Y524,Prod_Prop!$I:$I,Z$1)*IF(Y524="Peso",$R524,1))</f>
        <v/>
      </c>
      <c r="AA524" s="4" t="str">
        <f>IF(Y524="","",SUMIFS(Prod_Prop!$J:$J,Prod_Prop!$B:$B,$Q524,Prod_Prop!$H:$H,Y524,Prod_Prop!$I:$I,AA$1)*IF(Y524="Peso",$R524,1))</f>
        <v/>
      </c>
      <c r="AB524" s="4" t="str">
        <f>IFERROR(__xludf.DUMMYFUNCTION("IF(OR($U524="""",COUNTIF($I:$I,IFERROR(unique(filter(Prod_Prop!$H:$H,Prod_Prop!$G:$G=$U524,Prod_Prop!$E:$E=AB$1)),""Check""))=0),"""",IFERROR(unique(filter(Prod_Prop!$H:$H,Prod_Prop!$G:$G=$U524,Prod_Prop!$E:$E=AB$1)),""""))"),"")</f>
        <v/>
      </c>
      <c r="AC524" s="4" t="str">
        <f>IF(AB524="","",SUMIFS(Prod_Prop!$J:$J,Prod_Prop!$B:$B,$Q524,Prod_Prop!$H:$H,AB524,Prod_Prop!$I:$I,AC$1)*IF(AB524="Peso",$R524,1))</f>
        <v/>
      </c>
      <c r="AD524" s="4" t="str">
        <f>IF(AB524="","",SUMIFS(Prod_Prop!$J:$J,Prod_Prop!$B:$B,$Q524,Prod_Prop!$H:$H,AB524,Prod_Prop!$I:$I,AD$1)*IF(AB524="Peso",$R524,1))</f>
        <v/>
      </c>
    </row>
    <row r="525">
      <c r="A525" s="4" t="str">
        <f t="array" ref="A525">IF(COUNTIF(A$1:A524,Cotizador!F$2)=maxifs(Familias!E:E,Familias!D:D,Cotizador!F$2),IF(COUNTIF(A$1:A524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5" s="4" t="str">
        <f t="shared" si="1"/>
        <v/>
      </c>
      <c r="C525" s="4" t="str">
        <f t="array" ref="C525">IF(B525="","",IF(A525=XLOOKUP(A$2,Implementos!B:B,Implementos!C:C,"",0,1),B525+maxifs(B$1:B524,A$1:A524,A$2),B525))</f>
        <v/>
      </c>
      <c r="D525" s="4" t="str">
        <f>IF(B525="","", COUNTIFS(Productos!F:F,A525,Productos!H:H,B525)+IF(F525="SI",0,1))</f>
        <v/>
      </c>
      <c r="E525" s="4" t="str">
        <f>IFERROR(__xludf.DUMMYFUNCTION("IF($B525="""","""",INDEX(filter(Familias!F:F,Familias!$D:$D=$A525,Familias!$E:$E=$B525),1))"),"")</f>
        <v/>
      </c>
      <c r="F525" s="4" t="str">
        <f>IFERROR(__xludf.DUMMYFUNCTION("IF($B525="""","""",INDEX(filter(Familias!G:G,Familias!$D:$D=$A525,Familias!$E:$E=$B525),1))"),"")</f>
        <v/>
      </c>
      <c r="G525" s="4" t="str">
        <f t="array" ref="G525">IF(C525=1,XLOOKUP(C525,Cotizador!D:D,Cotizador!E:E,"",0,1),"")</f>
        <v/>
      </c>
      <c r="I525" s="4"/>
      <c r="J525" s="8" t="str">
        <f>IF(I525="","",SUMIF(Cotizador!I$1:V$1,I525,Cotizador!I$2:V$2))</f>
        <v/>
      </c>
      <c r="L525" s="4" t="str">
        <f t="array" ref="L525">IF(COUNTIF(L$1:L524,A$2)=SUMIF(A:A,A$2,D:D),IF(COUNTIF(L$1:L524,XLOOKUP(A$2,Implementos!B:B,Implementos!C:C,"",0,1))=SUMIF(A:A,XLOOKUP(A$2,Implementos!B:B,Implementos!C:C,"",0,1),D:D),"",XLOOKUP(A$2,Implementos!B:B,Implementos!C:C,"",0,1)),A$2)</f>
        <v/>
      </c>
      <c r="M525" s="4" t="str">
        <f t="shared" si="2"/>
        <v/>
      </c>
      <c r="N525" s="4" t="str">
        <f t="shared" si="3"/>
        <v/>
      </c>
      <c r="O525" s="4" t="str">
        <f t="shared" si="4"/>
        <v/>
      </c>
      <c r="P525" s="4" t="str">
        <f t="shared" si="5"/>
        <v/>
      </c>
      <c r="Q525" s="4" t="str">
        <f>IF(U525="","",SUMIF(Productos!E:E,U525,Productos!A:A))</f>
        <v/>
      </c>
      <c r="R525" s="4" t="str">
        <f t="array" ref="R525">IF(L525="","", max(1,SUMIF(I:I,XLOOKUP(U525,Productos!E:E,Productos!G:G,"",0,1),J:J)))</f>
        <v/>
      </c>
      <c r="S525" s="4" t="str">
        <f>IF(Q525="","",IF(SUMIFS(Compat_Vetado!D:D,Compat_Vetado!B:B,SUM(G:G),Compat_Vetado!C:C,Q525)=1,"SI",IF(OR(SUMIF(Cotizador!E:E,Q525,Cotizador!G:G)&gt;0,SUMIFS(Compat_Vetado!D:D,Compat_Vetado!B:B,SUM(G:G),Compat_Vetado!C:C,Q525)=-1),"NO","")))</f>
        <v/>
      </c>
      <c r="T525" s="4" t="str">
        <f t="shared" si="6"/>
        <v/>
      </c>
      <c r="U525" s="4" t="str">
        <f>IFERROR(__xludf.DUMMYFUNCTION("IF(P525="""","""",IFERROR(INDEX(filter(Productos!E:E,Productos!F:F=L525,Productos!H:H=N525),P525),IF(M525=SUM(D:D),""Finalizar"",""-"")))"),"")</f>
        <v/>
      </c>
      <c r="V525" s="4" t="str">
        <f>IFERROR(__xludf.DUMMYFUNCTION("IF(OR($U525="""",COUNTIF($I:$I,IFERROR(unique(filter(Prod_Prop!$H:$H,Prod_Prop!$G:$G=$U525,Prod_Prop!$E:$E=V$1)),""Check""))=0),"""",IFERROR(unique(filter(Prod_Prop!$H:$H,Prod_Prop!$G:$G=$U525,Prod_Prop!$E:$E=V$1)),""""))"),"")</f>
        <v/>
      </c>
      <c r="W525" s="4" t="str">
        <f>IF(V525="","",SUMIFS(Prod_Prop!$J:$J,Prod_Prop!$B:$B,$Q525,Prod_Prop!$H:$H,V525,Prod_Prop!$I:$I,W$1)*IF(V525="Peso",$R525,1))</f>
        <v/>
      </c>
      <c r="X525" s="4" t="str">
        <f>IF(V525="","",SUMIFS(Prod_Prop!$J:$J,Prod_Prop!$B:$B,$Q525,Prod_Prop!$H:$H,V525,Prod_Prop!$I:$I,X$1)*IF(V525="Peso",$R525,1))</f>
        <v/>
      </c>
      <c r="Y525" s="4" t="str">
        <f>IFERROR(__xludf.DUMMYFUNCTION("IF(OR($U525="""",COUNTIF($I:$I,IFERROR(unique(filter(Prod_Prop!$H:$H,Prod_Prop!$G:$G=$U525,Prod_Prop!$E:$E=Y$1)),""Check""))=0),"""",IFERROR(unique(filter(Prod_Prop!$H:$H,Prod_Prop!$G:$G=$U525,Prod_Prop!$E:$E=Y$1)),""""))"),"")</f>
        <v/>
      </c>
      <c r="Z525" s="4" t="str">
        <f>IF(Y525="","",SUMIFS(Prod_Prop!$J:$J,Prod_Prop!$B:$B,$Q525,Prod_Prop!$H:$H,Y525,Prod_Prop!$I:$I,Z$1)*IF(Y525="Peso",$R525,1))</f>
        <v/>
      </c>
      <c r="AA525" s="4" t="str">
        <f>IF(Y525="","",SUMIFS(Prod_Prop!$J:$J,Prod_Prop!$B:$B,$Q525,Prod_Prop!$H:$H,Y525,Prod_Prop!$I:$I,AA$1)*IF(Y525="Peso",$R525,1))</f>
        <v/>
      </c>
      <c r="AB525" s="4" t="str">
        <f>IFERROR(__xludf.DUMMYFUNCTION("IF(OR($U525="""",COUNTIF($I:$I,IFERROR(unique(filter(Prod_Prop!$H:$H,Prod_Prop!$G:$G=$U525,Prod_Prop!$E:$E=AB$1)),""Check""))=0),"""",IFERROR(unique(filter(Prod_Prop!$H:$H,Prod_Prop!$G:$G=$U525,Prod_Prop!$E:$E=AB$1)),""""))"),"")</f>
        <v/>
      </c>
      <c r="AC525" s="4" t="str">
        <f>IF(AB525="","",SUMIFS(Prod_Prop!$J:$J,Prod_Prop!$B:$B,$Q525,Prod_Prop!$H:$H,AB525,Prod_Prop!$I:$I,AC$1)*IF(AB525="Peso",$R525,1))</f>
        <v/>
      </c>
      <c r="AD525" s="4" t="str">
        <f>IF(AB525="","",SUMIFS(Prod_Prop!$J:$J,Prod_Prop!$B:$B,$Q525,Prod_Prop!$H:$H,AB525,Prod_Prop!$I:$I,AD$1)*IF(AB525="Peso",$R525,1))</f>
        <v/>
      </c>
    </row>
    <row r="526">
      <c r="A526" s="4" t="str">
        <f t="array" ref="A526">IF(COUNTIF(A$1:A525,Cotizador!F$2)=maxifs(Familias!E:E,Familias!D:D,Cotizador!F$2),IF(COUNTIF(A$1:A525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6" s="4" t="str">
        <f t="shared" si="1"/>
        <v/>
      </c>
      <c r="C526" s="4" t="str">
        <f t="array" ref="C526">IF(B526="","",IF(A526=XLOOKUP(A$2,Implementos!B:B,Implementos!C:C,"",0,1),B526+maxifs(B$1:B525,A$1:A525,A$2),B526))</f>
        <v/>
      </c>
      <c r="D526" s="4" t="str">
        <f>IF(B526="","", COUNTIFS(Productos!F:F,A526,Productos!H:H,B526)+IF(F526="SI",0,1))</f>
        <v/>
      </c>
      <c r="E526" s="4" t="str">
        <f>IFERROR(__xludf.DUMMYFUNCTION("IF($B526="""","""",INDEX(filter(Familias!F:F,Familias!$D:$D=$A526,Familias!$E:$E=$B526),1))"),"")</f>
        <v/>
      </c>
      <c r="F526" s="4" t="str">
        <f>IFERROR(__xludf.DUMMYFUNCTION("IF($B526="""","""",INDEX(filter(Familias!G:G,Familias!$D:$D=$A526,Familias!$E:$E=$B526),1))"),"")</f>
        <v/>
      </c>
      <c r="G526" s="4" t="str">
        <f t="array" ref="G526">IF(C526=1,XLOOKUP(C526,Cotizador!D:D,Cotizador!E:E,"",0,1),"")</f>
        <v/>
      </c>
      <c r="I526" s="4"/>
      <c r="J526" s="8" t="str">
        <f>IF(I526="","",SUMIF(Cotizador!I$1:V$1,I526,Cotizador!I$2:V$2))</f>
        <v/>
      </c>
      <c r="L526" s="4" t="str">
        <f t="array" ref="L526">IF(COUNTIF(L$1:L525,A$2)=SUMIF(A:A,A$2,D:D),IF(COUNTIF(L$1:L525,XLOOKUP(A$2,Implementos!B:B,Implementos!C:C,"",0,1))=SUMIF(A:A,XLOOKUP(A$2,Implementos!B:B,Implementos!C:C,"",0,1),D:D),"",XLOOKUP(A$2,Implementos!B:B,Implementos!C:C,"",0,1)),A$2)</f>
        <v/>
      </c>
      <c r="M526" s="4" t="str">
        <f t="shared" si="2"/>
        <v/>
      </c>
      <c r="N526" s="4" t="str">
        <f t="shared" si="3"/>
        <v/>
      </c>
      <c r="O526" s="4" t="str">
        <f t="shared" si="4"/>
        <v/>
      </c>
      <c r="P526" s="4" t="str">
        <f t="shared" si="5"/>
        <v/>
      </c>
      <c r="Q526" s="4" t="str">
        <f>IF(U526="","",SUMIF(Productos!E:E,U526,Productos!A:A))</f>
        <v/>
      </c>
      <c r="R526" s="4" t="str">
        <f t="array" ref="R526">IF(L526="","", max(1,SUMIF(I:I,XLOOKUP(U526,Productos!E:E,Productos!G:G,"",0,1),J:J)))</f>
        <v/>
      </c>
      <c r="S526" s="4" t="str">
        <f>IF(Q526="","",IF(SUMIFS(Compat_Vetado!D:D,Compat_Vetado!B:B,SUM(G:G),Compat_Vetado!C:C,Q526)=1,"SI",IF(OR(SUMIF(Cotizador!E:E,Q526,Cotizador!G:G)&gt;0,SUMIFS(Compat_Vetado!D:D,Compat_Vetado!B:B,SUM(G:G),Compat_Vetado!C:C,Q526)=-1),"NO","")))</f>
        <v/>
      </c>
      <c r="T526" s="4" t="str">
        <f t="shared" si="6"/>
        <v/>
      </c>
      <c r="U526" s="4" t="str">
        <f>IFERROR(__xludf.DUMMYFUNCTION("IF(P526="""","""",IFERROR(INDEX(filter(Productos!E:E,Productos!F:F=L526,Productos!H:H=N526),P526),IF(M526=SUM(D:D),""Finalizar"",""-"")))"),"")</f>
        <v/>
      </c>
      <c r="V526" s="4" t="str">
        <f>IFERROR(__xludf.DUMMYFUNCTION("IF(OR($U526="""",COUNTIF($I:$I,IFERROR(unique(filter(Prod_Prop!$H:$H,Prod_Prop!$G:$G=$U526,Prod_Prop!$E:$E=V$1)),""Check""))=0),"""",IFERROR(unique(filter(Prod_Prop!$H:$H,Prod_Prop!$G:$G=$U526,Prod_Prop!$E:$E=V$1)),""""))"),"")</f>
        <v/>
      </c>
      <c r="W526" s="4" t="str">
        <f>IF(V526="","",SUMIFS(Prod_Prop!$J:$J,Prod_Prop!$B:$B,$Q526,Prod_Prop!$H:$H,V526,Prod_Prop!$I:$I,W$1)*IF(V526="Peso",$R526,1))</f>
        <v/>
      </c>
      <c r="X526" s="4" t="str">
        <f>IF(V526="","",SUMIFS(Prod_Prop!$J:$J,Prod_Prop!$B:$B,$Q526,Prod_Prop!$H:$H,V526,Prod_Prop!$I:$I,X$1)*IF(V526="Peso",$R526,1))</f>
        <v/>
      </c>
      <c r="Y526" s="4" t="str">
        <f>IFERROR(__xludf.DUMMYFUNCTION("IF(OR($U526="""",COUNTIF($I:$I,IFERROR(unique(filter(Prod_Prop!$H:$H,Prod_Prop!$G:$G=$U526,Prod_Prop!$E:$E=Y$1)),""Check""))=0),"""",IFERROR(unique(filter(Prod_Prop!$H:$H,Prod_Prop!$G:$G=$U526,Prod_Prop!$E:$E=Y$1)),""""))"),"")</f>
        <v/>
      </c>
      <c r="Z526" s="4" t="str">
        <f>IF(Y526="","",SUMIFS(Prod_Prop!$J:$J,Prod_Prop!$B:$B,$Q526,Prod_Prop!$H:$H,Y526,Prod_Prop!$I:$I,Z$1)*IF(Y526="Peso",$R526,1))</f>
        <v/>
      </c>
      <c r="AA526" s="4" t="str">
        <f>IF(Y526="","",SUMIFS(Prod_Prop!$J:$J,Prod_Prop!$B:$B,$Q526,Prod_Prop!$H:$H,Y526,Prod_Prop!$I:$I,AA$1)*IF(Y526="Peso",$R526,1))</f>
        <v/>
      </c>
      <c r="AB526" s="4" t="str">
        <f>IFERROR(__xludf.DUMMYFUNCTION("IF(OR($U526="""",COUNTIF($I:$I,IFERROR(unique(filter(Prod_Prop!$H:$H,Prod_Prop!$G:$G=$U526,Prod_Prop!$E:$E=AB$1)),""Check""))=0),"""",IFERROR(unique(filter(Prod_Prop!$H:$H,Prod_Prop!$G:$G=$U526,Prod_Prop!$E:$E=AB$1)),""""))"),"")</f>
        <v/>
      </c>
      <c r="AC526" s="4" t="str">
        <f>IF(AB526="","",SUMIFS(Prod_Prop!$J:$J,Prod_Prop!$B:$B,$Q526,Prod_Prop!$H:$H,AB526,Prod_Prop!$I:$I,AC$1)*IF(AB526="Peso",$R526,1))</f>
        <v/>
      </c>
      <c r="AD526" s="4" t="str">
        <f>IF(AB526="","",SUMIFS(Prod_Prop!$J:$J,Prod_Prop!$B:$B,$Q526,Prod_Prop!$H:$H,AB526,Prod_Prop!$I:$I,AD$1)*IF(AB526="Peso",$R526,1))</f>
        <v/>
      </c>
    </row>
    <row r="527">
      <c r="A527" s="4" t="str">
        <f t="array" ref="A527">IF(COUNTIF(A$1:A526,Cotizador!F$2)=maxifs(Familias!E:E,Familias!D:D,Cotizador!F$2),IF(COUNTIF(A$1:A526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7" s="4" t="str">
        <f t="shared" si="1"/>
        <v/>
      </c>
      <c r="C527" s="4" t="str">
        <f t="array" ref="C527">IF(B527="","",IF(A527=XLOOKUP(A$2,Implementos!B:B,Implementos!C:C,"",0,1),B527+maxifs(B$1:B526,A$1:A526,A$2),B527))</f>
        <v/>
      </c>
      <c r="D527" s="4" t="str">
        <f>IF(B527="","", COUNTIFS(Productos!F:F,A527,Productos!H:H,B527)+IF(F527="SI",0,1))</f>
        <v/>
      </c>
      <c r="E527" s="4" t="str">
        <f>IFERROR(__xludf.DUMMYFUNCTION("IF($B527="""","""",INDEX(filter(Familias!F:F,Familias!$D:$D=$A527,Familias!$E:$E=$B527),1))"),"")</f>
        <v/>
      </c>
      <c r="F527" s="4" t="str">
        <f>IFERROR(__xludf.DUMMYFUNCTION("IF($B527="""","""",INDEX(filter(Familias!G:G,Familias!$D:$D=$A527,Familias!$E:$E=$B527),1))"),"")</f>
        <v/>
      </c>
      <c r="G527" s="4" t="str">
        <f t="array" ref="G527">IF(C527=1,XLOOKUP(C527,Cotizador!D:D,Cotizador!E:E,"",0,1),"")</f>
        <v/>
      </c>
      <c r="I527" s="4"/>
      <c r="J527" s="8" t="str">
        <f>IF(I527="","",SUMIF(Cotizador!I$1:V$1,I527,Cotizador!I$2:V$2))</f>
        <v/>
      </c>
      <c r="L527" s="4" t="str">
        <f t="array" ref="L527">IF(COUNTIF(L$1:L526,A$2)=SUMIF(A:A,A$2,D:D),IF(COUNTIF(L$1:L526,XLOOKUP(A$2,Implementos!B:B,Implementos!C:C,"",0,1))=SUMIF(A:A,XLOOKUP(A$2,Implementos!B:B,Implementos!C:C,"",0,1),D:D),"",XLOOKUP(A$2,Implementos!B:B,Implementos!C:C,"",0,1)),A$2)</f>
        <v/>
      </c>
      <c r="M527" s="4" t="str">
        <f t="shared" si="2"/>
        <v/>
      </c>
      <c r="N527" s="4" t="str">
        <f t="shared" si="3"/>
        <v/>
      </c>
      <c r="O527" s="4" t="str">
        <f t="shared" si="4"/>
        <v/>
      </c>
      <c r="P527" s="4" t="str">
        <f t="shared" si="5"/>
        <v/>
      </c>
      <c r="Q527" s="4" t="str">
        <f>IF(U527="","",SUMIF(Productos!E:E,U527,Productos!A:A))</f>
        <v/>
      </c>
      <c r="R527" s="4" t="str">
        <f t="array" ref="R527">IF(L527="","", max(1,SUMIF(I:I,XLOOKUP(U527,Productos!E:E,Productos!G:G,"",0,1),J:J)))</f>
        <v/>
      </c>
      <c r="S527" s="4" t="str">
        <f>IF(Q527="","",IF(SUMIFS(Compat_Vetado!D:D,Compat_Vetado!B:B,SUM(G:G),Compat_Vetado!C:C,Q527)=1,"SI",IF(OR(SUMIF(Cotizador!E:E,Q527,Cotizador!G:G)&gt;0,SUMIFS(Compat_Vetado!D:D,Compat_Vetado!B:B,SUM(G:G),Compat_Vetado!C:C,Q527)=-1),"NO","")))</f>
        <v/>
      </c>
      <c r="T527" s="4" t="str">
        <f t="shared" si="6"/>
        <v/>
      </c>
      <c r="U527" s="4" t="str">
        <f>IFERROR(__xludf.DUMMYFUNCTION("IF(P527="""","""",IFERROR(INDEX(filter(Productos!E:E,Productos!F:F=L527,Productos!H:H=N527),P527),IF(M527=SUM(D:D),""Finalizar"",""-"")))"),"")</f>
        <v/>
      </c>
      <c r="V527" s="4" t="str">
        <f>IFERROR(__xludf.DUMMYFUNCTION("IF(OR($U527="""",COUNTIF($I:$I,IFERROR(unique(filter(Prod_Prop!$H:$H,Prod_Prop!$G:$G=$U527,Prod_Prop!$E:$E=V$1)),""Check""))=0),"""",IFERROR(unique(filter(Prod_Prop!$H:$H,Prod_Prop!$G:$G=$U527,Prod_Prop!$E:$E=V$1)),""""))"),"")</f>
        <v/>
      </c>
      <c r="W527" s="4" t="str">
        <f>IF(V527="","",SUMIFS(Prod_Prop!$J:$J,Prod_Prop!$B:$B,$Q527,Prod_Prop!$H:$H,V527,Prod_Prop!$I:$I,W$1)*IF(V527="Peso",$R527,1))</f>
        <v/>
      </c>
      <c r="X527" s="4" t="str">
        <f>IF(V527="","",SUMIFS(Prod_Prop!$J:$J,Prod_Prop!$B:$B,$Q527,Prod_Prop!$H:$H,V527,Prod_Prop!$I:$I,X$1)*IF(V527="Peso",$R527,1))</f>
        <v/>
      </c>
      <c r="Y527" s="4" t="str">
        <f>IFERROR(__xludf.DUMMYFUNCTION("IF(OR($U527="""",COUNTIF($I:$I,IFERROR(unique(filter(Prod_Prop!$H:$H,Prod_Prop!$G:$G=$U527,Prod_Prop!$E:$E=Y$1)),""Check""))=0),"""",IFERROR(unique(filter(Prod_Prop!$H:$H,Prod_Prop!$G:$G=$U527,Prod_Prop!$E:$E=Y$1)),""""))"),"")</f>
        <v/>
      </c>
      <c r="Z527" s="4" t="str">
        <f>IF(Y527="","",SUMIFS(Prod_Prop!$J:$J,Prod_Prop!$B:$B,$Q527,Prod_Prop!$H:$H,Y527,Prod_Prop!$I:$I,Z$1)*IF(Y527="Peso",$R527,1))</f>
        <v/>
      </c>
      <c r="AA527" s="4" t="str">
        <f>IF(Y527="","",SUMIFS(Prod_Prop!$J:$J,Prod_Prop!$B:$B,$Q527,Prod_Prop!$H:$H,Y527,Prod_Prop!$I:$I,AA$1)*IF(Y527="Peso",$R527,1))</f>
        <v/>
      </c>
      <c r="AB527" s="4" t="str">
        <f>IFERROR(__xludf.DUMMYFUNCTION("IF(OR($U527="""",COUNTIF($I:$I,IFERROR(unique(filter(Prod_Prop!$H:$H,Prod_Prop!$G:$G=$U527,Prod_Prop!$E:$E=AB$1)),""Check""))=0),"""",IFERROR(unique(filter(Prod_Prop!$H:$H,Prod_Prop!$G:$G=$U527,Prod_Prop!$E:$E=AB$1)),""""))"),"")</f>
        <v/>
      </c>
      <c r="AC527" s="4" t="str">
        <f>IF(AB527="","",SUMIFS(Prod_Prop!$J:$J,Prod_Prop!$B:$B,$Q527,Prod_Prop!$H:$H,AB527,Prod_Prop!$I:$I,AC$1)*IF(AB527="Peso",$R527,1))</f>
        <v/>
      </c>
      <c r="AD527" s="4" t="str">
        <f>IF(AB527="","",SUMIFS(Prod_Prop!$J:$J,Prod_Prop!$B:$B,$Q527,Prod_Prop!$H:$H,AB527,Prod_Prop!$I:$I,AD$1)*IF(AB527="Peso",$R527,1))</f>
        <v/>
      </c>
    </row>
    <row r="528">
      <c r="A528" s="4" t="str">
        <f t="array" ref="A528">IF(COUNTIF(A$1:A527,Cotizador!F$2)=maxifs(Familias!E:E,Familias!D:D,Cotizador!F$2),IF(COUNTIF(A$1:A527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8" s="4" t="str">
        <f t="shared" si="1"/>
        <v/>
      </c>
      <c r="C528" s="4" t="str">
        <f t="array" ref="C528">IF(B528="","",IF(A528=XLOOKUP(A$2,Implementos!B:B,Implementos!C:C,"",0,1),B528+maxifs(B$1:B527,A$1:A527,A$2),B528))</f>
        <v/>
      </c>
      <c r="D528" s="4" t="str">
        <f>IF(B528="","", COUNTIFS(Productos!F:F,A528,Productos!H:H,B528)+IF(F528="SI",0,1))</f>
        <v/>
      </c>
      <c r="E528" s="4" t="str">
        <f>IFERROR(__xludf.DUMMYFUNCTION("IF($B528="""","""",INDEX(filter(Familias!F:F,Familias!$D:$D=$A528,Familias!$E:$E=$B528),1))"),"")</f>
        <v/>
      </c>
      <c r="F528" s="4" t="str">
        <f>IFERROR(__xludf.DUMMYFUNCTION("IF($B528="""","""",INDEX(filter(Familias!G:G,Familias!$D:$D=$A528,Familias!$E:$E=$B528),1))"),"")</f>
        <v/>
      </c>
      <c r="G528" s="4" t="str">
        <f t="array" ref="G528">IF(C528=1,XLOOKUP(C528,Cotizador!D:D,Cotizador!E:E,"",0,1),"")</f>
        <v/>
      </c>
      <c r="I528" s="4"/>
      <c r="J528" s="8" t="str">
        <f>IF(I528="","",SUMIF(Cotizador!I$1:V$1,I528,Cotizador!I$2:V$2))</f>
        <v/>
      </c>
      <c r="L528" s="4" t="str">
        <f t="array" ref="L528">IF(COUNTIF(L$1:L527,A$2)=SUMIF(A:A,A$2,D:D),IF(COUNTIF(L$1:L527,XLOOKUP(A$2,Implementos!B:B,Implementos!C:C,"",0,1))=SUMIF(A:A,XLOOKUP(A$2,Implementos!B:B,Implementos!C:C,"",0,1),D:D),"",XLOOKUP(A$2,Implementos!B:B,Implementos!C:C,"",0,1)),A$2)</f>
        <v/>
      </c>
      <c r="M528" s="4" t="str">
        <f t="shared" si="2"/>
        <v/>
      </c>
      <c r="N528" s="4" t="str">
        <f t="shared" si="3"/>
        <v/>
      </c>
      <c r="O528" s="4" t="str">
        <f t="shared" si="4"/>
        <v/>
      </c>
      <c r="P528" s="4" t="str">
        <f t="shared" si="5"/>
        <v/>
      </c>
      <c r="Q528" s="4" t="str">
        <f>IF(U528="","",SUMIF(Productos!E:E,U528,Productos!A:A))</f>
        <v/>
      </c>
      <c r="R528" s="4" t="str">
        <f t="array" ref="R528">IF(L528="","", max(1,SUMIF(I:I,XLOOKUP(U528,Productos!E:E,Productos!G:G,"",0,1),J:J)))</f>
        <v/>
      </c>
      <c r="S528" s="4" t="str">
        <f>IF(Q528="","",IF(SUMIFS(Compat_Vetado!D:D,Compat_Vetado!B:B,SUM(G:G),Compat_Vetado!C:C,Q528)=1,"SI",IF(OR(SUMIF(Cotizador!E:E,Q528,Cotizador!G:G)&gt;0,SUMIFS(Compat_Vetado!D:D,Compat_Vetado!B:B,SUM(G:G),Compat_Vetado!C:C,Q528)=-1),"NO","")))</f>
        <v/>
      </c>
      <c r="T528" s="4" t="str">
        <f t="shared" si="6"/>
        <v/>
      </c>
      <c r="U528" s="4" t="str">
        <f>IFERROR(__xludf.DUMMYFUNCTION("IF(P528="""","""",IFERROR(INDEX(filter(Productos!E:E,Productos!F:F=L528,Productos!H:H=N528),P528),IF(M528=SUM(D:D),""Finalizar"",""-"")))"),"")</f>
        <v/>
      </c>
      <c r="V528" s="4" t="str">
        <f>IFERROR(__xludf.DUMMYFUNCTION("IF(OR($U528="""",COUNTIF($I:$I,IFERROR(unique(filter(Prod_Prop!$H:$H,Prod_Prop!$G:$G=$U528,Prod_Prop!$E:$E=V$1)),""Check""))=0),"""",IFERROR(unique(filter(Prod_Prop!$H:$H,Prod_Prop!$G:$G=$U528,Prod_Prop!$E:$E=V$1)),""""))"),"")</f>
        <v/>
      </c>
      <c r="W528" s="4" t="str">
        <f>IF(V528="","",SUMIFS(Prod_Prop!$J:$J,Prod_Prop!$B:$B,$Q528,Prod_Prop!$H:$H,V528,Prod_Prop!$I:$I,W$1)*IF(V528="Peso",$R528,1))</f>
        <v/>
      </c>
      <c r="X528" s="4" t="str">
        <f>IF(V528="","",SUMIFS(Prod_Prop!$J:$J,Prod_Prop!$B:$B,$Q528,Prod_Prop!$H:$H,V528,Prod_Prop!$I:$I,X$1)*IF(V528="Peso",$R528,1))</f>
        <v/>
      </c>
      <c r="Y528" s="4" t="str">
        <f>IFERROR(__xludf.DUMMYFUNCTION("IF(OR($U528="""",COUNTIF($I:$I,IFERROR(unique(filter(Prod_Prop!$H:$H,Prod_Prop!$G:$G=$U528,Prod_Prop!$E:$E=Y$1)),""Check""))=0),"""",IFERROR(unique(filter(Prod_Prop!$H:$H,Prod_Prop!$G:$G=$U528,Prod_Prop!$E:$E=Y$1)),""""))"),"")</f>
        <v/>
      </c>
      <c r="Z528" s="4" t="str">
        <f>IF(Y528="","",SUMIFS(Prod_Prop!$J:$J,Prod_Prop!$B:$B,$Q528,Prod_Prop!$H:$H,Y528,Prod_Prop!$I:$I,Z$1)*IF(Y528="Peso",$R528,1))</f>
        <v/>
      </c>
      <c r="AA528" s="4" t="str">
        <f>IF(Y528="","",SUMIFS(Prod_Prop!$J:$J,Prod_Prop!$B:$B,$Q528,Prod_Prop!$H:$H,Y528,Prod_Prop!$I:$I,AA$1)*IF(Y528="Peso",$R528,1))</f>
        <v/>
      </c>
      <c r="AB528" s="4" t="str">
        <f>IFERROR(__xludf.DUMMYFUNCTION("IF(OR($U528="""",COUNTIF($I:$I,IFERROR(unique(filter(Prod_Prop!$H:$H,Prod_Prop!$G:$G=$U528,Prod_Prop!$E:$E=AB$1)),""Check""))=0),"""",IFERROR(unique(filter(Prod_Prop!$H:$H,Prod_Prop!$G:$G=$U528,Prod_Prop!$E:$E=AB$1)),""""))"),"")</f>
        <v/>
      </c>
      <c r="AC528" s="4" t="str">
        <f>IF(AB528="","",SUMIFS(Prod_Prop!$J:$J,Prod_Prop!$B:$B,$Q528,Prod_Prop!$H:$H,AB528,Prod_Prop!$I:$I,AC$1)*IF(AB528="Peso",$R528,1))</f>
        <v/>
      </c>
      <c r="AD528" s="4" t="str">
        <f>IF(AB528="","",SUMIFS(Prod_Prop!$J:$J,Prod_Prop!$B:$B,$Q528,Prod_Prop!$H:$H,AB528,Prod_Prop!$I:$I,AD$1)*IF(AB528="Peso",$R528,1))</f>
        <v/>
      </c>
    </row>
    <row r="529">
      <c r="A529" s="4" t="str">
        <f t="array" ref="A529">IF(COUNTIF(A$1:A528,Cotizador!F$2)=maxifs(Familias!E:E,Familias!D:D,Cotizador!F$2),IF(COUNTIF(A$1:A528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29" s="4" t="str">
        <f t="shared" si="1"/>
        <v/>
      </c>
      <c r="C529" s="4" t="str">
        <f t="array" ref="C529">IF(B529="","",IF(A529=XLOOKUP(A$2,Implementos!B:B,Implementos!C:C,"",0,1),B529+maxifs(B$1:B528,A$1:A528,A$2),B529))</f>
        <v/>
      </c>
      <c r="D529" s="4" t="str">
        <f>IF(B529="","", COUNTIFS(Productos!F:F,A529,Productos!H:H,B529)+IF(F529="SI",0,1))</f>
        <v/>
      </c>
      <c r="E529" s="4" t="str">
        <f>IFERROR(__xludf.DUMMYFUNCTION("IF($B529="""","""",INDEX(filter(Familias!F:F,Familias!$D:$D=$A529,Familias!$E:$E=$B529),1))"),"")</f>
        <v/>
      </c>
      <c r="F529" s="4" t="str">
        <f>IFERROR(__xludf.DUMMYFUNCTION("IF($B529="""","""",INDEX(filter(Familias!G:G,Familias!$D:$D=$A529,Familias!$E:$E=$B529),1))"),"")</f>
        <v/>
      </c>
      <c r="G529" s="4" t="str">
        <f t="array" ref="G529">IF(C529=1,XLOOKUP(C529,Cotizador!D:D,Cotizador!E:E,"",0,1),"")</f>
        <v/>
      </c>
      <c r="I529" s="4"/>
      <c r="J529" s="8" t="str">
        <f>IF(I529="","",SUMIF(Cotizador!I$1:V$1,I529,Cotizador!I$2:V$2))</f>
        <v/>
      </c>
      <c r="L529" s="4" t="str">
        <f t="array" ref="L529">IF(COUNTIF(L$1:L528,A$2)=SUMIF(A:A,A$2,D:D),IF(COUNTIF(L$1:L528,XLOOKUP(A$2,Implementos!B:B,Implementos!C:C,"",0,1))=SUMIF(A:A,XLOOKUP(A$2,Implementos!B:B,Implementos!C:C,"",0,1),D:D),"",XLOOKUP(A$2,Implementos!B:B,Implementos!C:C,"",0,1)),A$2)</f>
        <v/>
      </c>
      <c r="M529" s="4" t="str">
        <f t="shared" si="2"/>
        <v/>
      </c>
      <c r="N529" s="4" t="str">
        <f t="shared" si="3"/>
        <v/>
      </c>
      <c r="O529" s="4" t="str">
        <f t="shared" si="4"/>
        <v/>
      </c>
      <c r="P529" s="4" t="str">
        <f t="shared" si="5"/>
        <v/>
      </c>
      <c r="Q529" s="4" t="str">
        <f>IF(U529="","",SUMIF(Productos!E:E,U529,Productos!A:A))</f>
        <v/>
      </c>
      <c r="R529" s="4" t="str">
        <f t="array" ref="R529">IF(L529="","", max(1,SUMIF(I:I,XLOOKUP(U529,Productos!E:E,Productos!G:G,"",0,1),J:J)))</f>
        <v/>
      </c>
      <c r="S529" s="4" t="str">
        <f>IF(Q529="","",IF(SUMIFS(Compat_Vetado!D:D,Compat_Vetado!B:B,SUM(G:G),Compat_Vetado!C:C,Q529)=1,"SI",IF(OR(SUMIF(Cotizador!E:E,Q529,Cotizador!G:G)&gt;0,SUMIFS(Compat_Vetado!D:D,Compat_Vetado!B:B,SUM(G:G),Compat_Vetado!C:C,Q529)=-1),"NO","")))</f>
        <v/>
      </c>
      <c r="T529" s="4" t="str">
        <f t="shared" si="6"/>
        <v/>
      </c>
      <c r="U529" s="4" t="str">
        <f>IFERROR(__xludf.DUMMYFUNCTION("IF(P529="""","""",IFERROR(INDEX(filter(Productos!E:E,Productos!F:F=L529,Productos!H:H=N529),P529),IF(M529=SUM(D:D),""Finalizar"",""-"")))"),"")</f>
        <v/>
      </c>
      <c r="V529" s="4" t="str">
        <f>IFERROR(__xludf.DUMMYFUNCTION("IF(OR($U529="""",COUNTIF($I:$I,IFERROR(unique(filter(Prod_Prop!$H:$H,Prod_Prop!$G:$G=$U529,Prod_Prop!$E:$E=V$1)),""Check""))=0),"""",IFERROR(unique(filter(Prod_Prop!$H:$H,Prod_Prop!$G:$G=$U529,Prod_Prop!$E:$E=V$1)),""""))"),"")</f>
        <v/>
      </c>
      <c r="W529" s="4" t="str">
        <f>IF(V529="","",SUMIFS(Prod_Prop!$J:$J,Prod_Prop!$B:$B,$Q529,Prod_Prop!$H:$H,V529,Prod_Prop!$I:$I,W$1)*IF(V529="Peso",$R529,1))</f>
        <v/>
      </c>
      <c r="X529" s="4" t="str">
        <f>IF(V529="","",SUMIFS(Prod_Prop!$J:$J,Prod_Prop!$B:$B,$Q529,Prod_Prop!$H:$H,V529,Prod_Prop!$I:$I,X$1)*IF(V529="Peso",$R529,1))</f>
        <v/>
      </c>
      <c r="Y529" s="4" t="str">
        <f>IFERROR(__xludf.DUMMYFUNCTION("IF(OR($U529="""",COUNTIF($I:$I,IFERROR(unique(filter(Prod_Prop!$H:$H,Prod_Prop!$G:$G=$U529,Prod_Prop!$E:$E=Y$1)),""Check""))=0),"""",IFERROR(unique(filter(Prod_Prop!$H:$H,Prod_Prop!$G:$G=$U529,Prod_Prop!$E:$E=Y$1)),""""))"),"")</f>
        <v/>
      </c>
      <c r="Z529" s="4" t="str">
        <f>IF(Y529="","",SUMIFS(Prod_Prop!$J:$J,Prod_Prop!$B:$B,$Q529,Prod_Prop!$H:$H,Y529,Prod_Prop!$I:$I,Z$1)*IF(Y529="Peso",$R529,1))</f>
        <v/>
      </c>
      <c r="AA529" s="4" t="str">
        <f>IF(Y529="","",SUMIFS(Prod_Prop!$J:$J,Prod_Prop!$B:$B,$Q529,Prod_Prop!$H:$H,Y529,Prod_Prop!$I:$I,AA$1)*IF(Y529="Peso",$R529,1))</f>
        <v/>
      </c>
      <c r="AB529" s="4" t="str">
        <f>IFERROR(__xludf.DUMMYFUNCTION("IF(OR($U529="""",COUNTIF($I:$I,IFERROR(unique(filter(Prod_Prop!$H:$H,Prod_Prop!$G:$G=$U529,Prod_Prop!$E:$E=AB$1)),""Check""))=0),"""",IFERROR(unique(filter(Prod_Prop!$H:$H,Prod_Prop!$G:$G=$U529,Prod_Prop!$E:$E=AB$1)),""""))"),"")</f>
        <v/>
      </c>
      <c r="AC529" s="4" t="str">
        <f>IF(AB529="","",SUMIFS(Prod_Prop!$J:$J,Prod_Prop!$B:$B,$Q529,Prod_Prop!$H:$H,AB529,Prod_Prop!$I:$I,AC$1)*IF(AB529="Peso",$R529,1))</f>
        <v/>
      </c>
      <c r="AD529" s="4" t="str">
        <f>IF(AB529="","",SUMIFS(Prod_Prop!$J:$J,Prod_Prop!$B:$B,$Q529,Prod_Prop!$H:$H,AB529,Prod_Prop!$I:$I,AD$1)*IF(AB529="Peso",$R529,1))</f>
        <v/>
      </c>
    </row>
    <row r="530">
      <c r="A530" s="4" t="str">
        <f t="array" ref="A530">IF(COUNTIF(A$1:A529,Cotizador!F$2)=maxifs(Familias!E:E,Familias!D:D,Cotizador!F$2),IF(COUNTIF(A$1:A529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0" s="4" t="str">
        <f t="shared" si="1"/>
        <v/>
      </c>
      <c r="C530" s="4" t="str">
        <f t="array" ref="C530">IF(B530="","",IF(A530=XLOOKUP(A$2,Implementos!B:B,Implementos!C:C,"",0,1),B530+maxifs(B$1:B529,A$1:A529,A$2),B530))</f>
        <v/>
      </c>
      <c r="D530" s="4" t="str">
        <f>IF(B530="","", COUNTIFS(Productos!F:F,A530,Productos!H:H,B530)+IF(F530="SI",0,1))</f>
        <v/>
      </c>
      <c r="E530" s="4" t="str">
        <f>IFERROR(__xludf.DUMMYFUNCTION("IF($B530="""","""",INDEX(filter(Familias!F:F,Familias!$D:$D=$A530,Familias!$E:$E=$B530),1))"),"")</f>
        <v/>
      </c>
      <c r="F530" s="4" t="str">
        <f>IFERROR(__xludf.DUMMYFUNCTION("IF($B530="""","""",INDEX(filter(Familias!G:G,Familias!$D:$D=$A530,Familias!$E:$E=$B530),1))"),"")</f>
        <v/>
      </c>
      <c r="G530" s="4" t="str">
        <f t="array" ref="G530">IF(C530=1,XLOOKUP(C530,Cotizador!D:D,Cotizador!E:E,"",0,1),"")</f>
        <v/>
      </c>
      <c r="I530" s="4"/>
      <c r="J530" s="8" t="str">
        <f>IF(I530="","",SUMIF(Cotizador!I$1:V$1,I530,Cotizador!I$2:V$2))</f>
        <v/>
      </c>
      <c r="L530" s="4" t="str">
        <f t="array" ref="L530">IF(COUNTIF(L$1:L529,A$2)=SUMIF(A:A,A$2,D:D),IF(COUNTIF(L$1:L529,XLOOKUP(A$2,Implementos!B:B,Implementos!C:C,"",0,1))=SUMIF(A:A,XLOOKUP(A$2,Implementos!B:B,Implementos!C:C,"",0,1),D:D),"",XLOOKUP(A$2,Implementos!B:B,Implementos!C:C,"",0,1)),A$2)</f>
        <v/>
      </c>
      <c r="M530" s="4" t="str">
        <f t="shared" si="2"/>
        <v/>
      </c>
      <c r="N530" s="4" t="str">
        <f t="shared" si="3"/>
        <v/>
      </c>
      <c r="O530" s="4" t="str">
        <f t="shared" si="4"/>
        <v/>
      </c>
      <c r="P530" s="4" t="str">
        <f t="shared" si="5"/>
        <v/>
      </c>
      <c r="Q530" s="4" t="str">
        <f>IF(U530="","",SUMIF(Productos!E:E,U530,Productos!A:A))</f>
        <v/>
      </c>
      <c r="R530" s="4" t="str">
        <f t="array" ref="R530">IF(L530="","", max(1,SUMIF(I:I,XLOOKUP(U530,Productos!E:E,Productos!G:G,"",0,1),J:J)))</f>
        <v/>
      </c>
      <c r="S530" s="4" t="str">
        <f>IF(Q530="","",IF(SUMIFS(Compat_Vetado!D:D,Compat_Vetado!B:B,SUM(G:G),Compat_Vetado!C:C,Q530)=1,"SI",IF(OR(SUMIF(Cotizador!E:E,Q530,Cotizador!G:G)&gt;0,SUMIFS(Compat_Vetado!D:D,Compat_Vetado!B:B,SUM(G:G),Compat_Vetado!C:C,Q530)=-1),"NO","")))</f>
        <v/>
      </c>
      <c r="T530" s="4" t="str">
        <f t="shared" si="6"/>
        <v/>
      </c>
      <c r="U530" s="4" t="str">
        <f>IFERROR(__xludf.DUMMYFUNCTION("IF(P530="""","""",IFERROR(INDEX(filter(Productos!E:E,Productos!F:F=L530,Productos!H:H=N530),P530),IF(M530=SUM(D:D),""Finalizar"",""-"")))"),"")</f>
        <v/>
      </c>
      <c r="V530" s="4" t="str">
        <f>IFERROR(__xludf.DUMMYFUNCTION("IF(OR($U530="""",COUNTIF($I:$I,IFERROR(unique(filter(Prod_Prop!$H:$H,Prod_Prop!$G:$G=$U530,Prod_Prop!$E:$E=V$1)),""Check""))=0),"""",IFERROR(unique(filter(Prod_Prop!$H:$H,Prod_Prop!$G:$G=$U530,Prod_Prop!$E:$E=V$1)),""""))"),"")</f>
        <v/>
      </c>
      <c r="W530" s="4" t="str">
        <f>IF(V530="","",SUMIFS(Prod_Prop!$J:$J,Prod_Prop!$B:$B,$Q530,Prod_Prop!$H:$H,V530,Prod_Prop!$I:$I,W$1)*IF(V530="Peso",$R530,1))</f>
        <v/>
      </c>
      <c r="X530" s="4" t="str">
        <f>IF(V530="","",SUMIFS(Prod_Prop!$J:$J,Prod_Prop!$B:$B,$Q530,Prod_Prop!$H:$H,V530,Prod_Prop!$I:$I,X$1)*IF(V530="Peso",$R530,1))</f>
        <v/>
      </c>
      <c r="Y530" s="4" t="str">
        <f>IFERROR(__xludf.DUMMYFUNCTION("IF(OR($U530="""",COUNTIF($I:$I,IFERROR(unique(filter(Prod_Prop!$H:$H,Prod_Prop!$G:$G=$U530,Prod_Prop!$E:$E=Y$1)),""Check""))=0),"""",IFERROR(unique(filter(Prod_Prop!$H:$H,Prod_Prop!$G:$G=$U530,Prod_Prop!$E:$E=Y$1)),""""))"),"")</f>
        <v/>
      </c>
      <c r="Z530" s="4" t="str">
        <f>IF(Y530="","",SUMIFS(Prod_Prop!$J:$J,Prod_Prop!$B:$B,$Q530,Prod_Prop!$H:$H,Y530,Prod_Prop!$I:$I,Z$1)*IF(Y530="Peso",$R530,1))</f>
        <v/>
      </c>
      <c r="AA530" s="4" t="str">
        <f>IF(Y530="","",SUMIFS(Prod_Prop!$J:$J,Prod_Prop!$B:$B,$Q530,Prod_Prop!$H:$H,Y530,Prod_Prop!$I:$I,AA$1)*IF(Y530="Peso",$R530,1))</f>
        <v/>
      </c>
      <c r="AB530" s="4" t="str">
        <f>IFERROR(__xludf.DUMMYFUNCTION("IF(OR($U530="""",COUNTIF($I:$I,IFERROR(unique(filter(Prod_Prop!$H:$H,Prod_Prop!$G:$G=$U530,Prod_Prop!$E:$E=AB$1)),""Check""))=0),"""",IFERROR(unique(filter(Prod_Prop!$H:$H,Prod_Prop!$G:$G=$U530,Prod_Prop!$E:$E=AB$1)),""""))"),"")</f>
        <v/>
      </c>
      <c r="AC530" s="4" t="str">
        <f>IF(AB530="","",SUMIFS(Prod_Prop!$J:$J,Prod_Prop!$B:$B,$Q530,Prod_Prop!$H:$H,AB530,Prod_Prop!$I:$I,AC$1)*IF(AB530="Peso",$R530,1))</f>
        <v/>
      </c>
      <c r="AD530" s="4" t="str">
        <f>IF(AB530="","",SUMIFS(Prod_Prop!$J:$J,Prod_Prop!$B:$B,$Q530,Prod_Prop!$H:$H,AB530,Prod_Prop!$I:$I,AD$1)*IF(AB530="Peso",$R530,1))</f>
        <v/>
      </c>
    </row>
    <row r="531">
      <c r="A531" s="4" t="str">
        <f t="array" ref="A531">IF(COUNTIF(A$1:A530,Cotizador!F$2)=maxifs(Familias!E:E,Familias!D:D,Cotizador!F$2),IF(COUNTIF(A$1:A530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1" s="4" t="str">
        <f t="shared" si="1"/>
        <v/>
      </c>
      <c r="C531" s="4" t="str">
        <f t="array" ref="C531">IF(B531="","",IF(A531=XLOOKUP(A$2,Implementos!B:B,Implementos!C:C,"",0,1),B531+maxifs(B$1:B530,A$1:A530,A$2),B531))</f>
        <v/>
      </c>
      <c r="D531" s="4" t="str">
        <f>IF(B531="","", COUNTIFS(Productos!F:F,A531,Productos!H:H,B531)+IF(F531="SI",0,1))</f>
        <v/>
      </c>
      <c r="E531" s="4" t="str">
        <f>IFERROR(__xludf.DUMMYFUNCTION("IF($B531="""","""",INDEX(filter(Familias!F:F,Familias!$D:$D=$A531,Familias!$E:$E=$B531),1))"),"")</f>
        <v/>
      </c>
      <c r="F531" s="4" t="str">
        <f>IFERROR(__xludf.DUMMYFUNCTION("IF($B531="""","""",INDEX(filter(Familias!G:G,Familias!$D:$D=$A531,Familias!$E:$E=$B531),1))"),"")</f>
        <v/>
      </c>
      <c r="G531" s="4" t="str">
        <f t="array" ref="G531">IF(C531=1,XLOOKUP(C531,Cotizador!D:D,Cotizador!E:E,"",0,1),"")</f>
        <v/>
      </c>
      <c r="I531" s="4"/>
      <c r="J531" s="8" t="str">
        <f>IF(I531="","",SUMIF(Cotizador!I$1:V$1,I531,Cotizador!I$2:V$2))</f>
        <v/>
      </c>
      <c r="L531" s="4" t="str">
        <f t="array" ref="L531">IF(COUNTIF(L$1:L530,A$2)=SUMIF(A:A,A$2,D:D),IF(COUNTIF(L$1:L530,XLOOKUP(A$2,Implementos!B:B,Implementos!C:C,"",0,1))=SUMIF(A:A,XLOOKUP(A$2,Implementos!B:B,Implementos!C:C,"",0,1),D:D),"",XLOOKUP(A$2,Implementos!B:B,Implementos!C:C,"",0,1)),A$2)</f>
        <v/>
      </c>
      <c r="M531" s="4" t="str">
        <f t="shared" si="2"/>
        <v/>
      </c>
      <c r="N531" s="4" t="str">
        <f t="shared" si="3"/>
        <v/>
      </c>
      <c r="O531" s="4" t="str">
        <f t="shared" si="4"/>
        <v/>
      </c>
      <c r="P531" s="4" t="str">
        <f t="shared" si="5"/>
        <v/>
      </c>
      <c r="Q531" s="4" t="str">
        <f>IF(U531="","",SUMIF(Productos!E:E,U531,Productos!A:A))</f>
        <v/>
      </c>
      <c r="R531" s="4" t="str">
        <f t="array" ref="R531">IF(L531="","", max(1,SUMIF(I:I,XLOOKUP(U531,Productos!E:E,Productos!G:G,"",0,1),J:J)))</f>
        <v/>
      </c>
      <c r="S531" s="4" t="str">
        <f>IF(Q531="","",IF(SUMIFS(Compat_Vetado!D:D,Compat_Vetado!B:B,SUM(G:G),Compat_Vetado!C:C,Q531)=1,"SI",IF(OR(SUMIF(Cotizador!E:E,Q531,Cotizador!G:G)&gt;0,SUMIFS(Compat_Vetado!D:D,Compat_Vetado!B:B,SUM(G:G),Compat_Vetado!C:C,Q531)=-1),"NO","")))</f>
        <v/>
      </c>
      <c r="T531" s="4" t="str">
        <f t="shared" si="6"/>
        <v/>
      </c>
      <c r="U531" s="4" t="str">
        <f>IFERROR(__xludf.DUMMYFUNCTION("IF(P531="""","""",IFERROR(INDEX(filter(Productos!E:E,Productos!F:F=L531,Productos!H:H=N531),P531),IF(M531=SUM(D:D),""Finalizar"",""-"")))"),"")</f>
        <v/>
      </c>
      <c r="V531" s="4" t="str">
        <f>IFERROR(__xludf.DUMMYFUNCTION("IF(OR($U531="""",COUNTIF($I:$I,IFERROR(unique(filter(Prod_Prop!$H:$H,Prod_Prop!$G:$G=$U531,Prod_Prop!$E:$E=V$1)),""Check""))=0),"""",IFERROR(unique(filter(Prod_Prop!$H:$H,Prod_Prop!$G:$G=$U531,Prod_Prop!$E:$E=V$1)),""""))"),"")</f>
        <v/>
      </c>
      <c r="W531" s="4" t="str">
        <f>IF(V531="","",SUMIFS(Prod_Prop!$J:$J,Prod_Prop!$B:$B,$Q531,Prod_Prop!$H:$H,V531,Prod_Prop!$I:$I,W$1)*IF(V531="Peso",$R531,1))</f>
        <v/>
      </c>
      <c r="X531" s="4" t="str">
        <f>IF(V531="","",SUMIFS(Prod_Prop!$J:$J,Prod_Prop!$B:$B,$Q531,Prod_Prop!$H:$H,V531,Prod_Prop!$I:$I,X$1)*IF(V531="Peso",$R531,1))</f>
        <v/>
      </c>
      <c r="Y531" s="4" t="str">
        <f>IFERROR(__xludf.DUMMYFUNCTION("IF(OR($U531="""",COUNTIF($I:$I,IFERROR(unique(filter(Prod_Prop!$H:$H,Prod_Prop!$G:$G=$U531,Prod_Prop!$E:$E=Y$1)),""Check""))=0),"""",IFERROR(unique(filter(Prod_Prop!$H:$H,Prod_Prop!$G:$G=$U531,Prod_Prop!$E:$E=Y$1)),""""))"),"")</f>
        <v/>
      </c>
      <c r="Z531" s="4" t="str">
        <f>IF(Y531="","",SUMIFS(Prod_Prop!$J:$J,Prod_Prop!$B:$B,$Q531,Prod_Prop!$H:$H,Y531,Prod_Prop!$I:$I,Z$1)*IF(Y531="Peso",$R531,1))</f>
        <v/>
      </c>
      <c r="AA531" s="4" t="str">
        <f>IF(Y531="","",SUMIFS(Prod_Prop!$J:$J,Prod_Prop!$B:$B,$Q531,Prod_Prop!$H:$H,Y531,Prod_Prop!$I:$I,AA$1)*IF(Y531="Peso",$R531,1))</f>
        <v/>
      </c>
      <c r="AB531" s="4" t="str">
        <f>IFERROR(__xludf.DUMMYFUNCTION("IF(OR($U531="""",COUNTIF($I:$I,IFERROR(unique(filter(Prod_Prop!$H:$H,Prod_Prop!$G:$G=$U531,Prod_Prop!$E:$E=AB$1)),""Check""))=0),"""",IFERROR(unique(filter(Prod_Prop!$H:$H,Prod_Prop!$G:$G=$U531,Prod_Prop!$E:$E=AB$1)),""""))"),"")</f>
        <v/>
      </c>
      <c r="AC531" s="4" t="str">
        <f>IF(AB531="","",SUMIFS(Prod_Prop!$J:$J,Prod_Prop!$B:$B,$Q531,Prod_Prop!$H:$H,AB531,Prod_Prop!$I:$I,AC$1)*IF(AB531="Peso",$R531,1))</f>
        <v/>
      </c>
      <c r="AD531" s="4" t="str">
        <f>IF(AB531="","",SUMIFS(Prod_Prop!$J:$J,Prod_Prop!$B:$B,$Q531,Prod_Prop!$H:$H,AB531,Prod_Prop!$I:$I,AD$1)*IF(AB531="Peso",$R531,1))</f>
        <v/>
      </c>
    </row>
    <row r="532">
      <c r="A532" s="4" t="str">
        <f t="array" ref="A532">IF(COUNTIF(A$1:A531,Cotizador!F$2)=maxifs(Familias!E:E,Familias!D:D,Cotizador!F$2),IF(COUNTIF(A$1:A531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2" s="4" t="str">
        <f t="shared" si="1"/>
        <v/>
      </c>
      <c r="C532" s="4" t="str">
        <f t="array" ref="C532">IF(B532="","",IF(A532=XLOOKUP(A$2,Implementos!B:B,Implementos!C:C,"",0,1),B532+maxifs(B$1:B531,A$1:A531,A$2),B532))</f>
        <v/>
      </c>
      <c r="D532" s="4" t="str">
        <f>IF(B532="","", COUNTIFS(Productos!F:F,A532,Productos!H:H,B532)+IF(F532="SI",0,1))</f>
        <v/>
      </c>
      <c r="E532" s="4" t="str">
        <f>IFERROR(__xludf.DUMMYFUNCTION("IF($B532="""","""",INDEX(filter(Familias!F:F,Familias!$D:$D=$A532,Familias!$E:$E=$B532),1))"),"")</f>
        <v/>
      </c>
      <c r="F532" s="4" t="str">
        <f>IFERROR(__xludf.DUMMYFUNCTION("IF($B532="""","""",INDEX(filter(Familias!G:G,Familias!$D:$D=$A532,Familias!$E:$E=$B532),1))"),"")</f>
        <v/>
      </c>
      <c r="G532" s="4" t="str">
        <f t="array" ref="G532">IF(C532=1,XLOOKUP(C532,Cotizador!D:D,Cotizador!E:E,"",0,1),"")</f>
        <v/>
      </c>
      <c r="I532" s="4"/>
      <c r="J532" s="8" t="str">
        <f>IF(I532="","",SUMIF(Cotizador!I$1:V$1,I532,Cotizador!I$2:V$2))</f>
        <v/>
      </c>
      <c r="L532" s="4" t="str">
        <f t="array" ref="L532">IF(COUNTIF(L$1:L531,A$2)=SUMIF(A:A,A$2,D:D),IF(COUNTIF(L$1:L531,XLOOKUP(A$2,Implementos!B:B,Implementos!C:C,"",0,1))=SUMIF(A:A,XLOOKUP(A$2,Implementos!B:B,Implementos!C:C,"",0,1),D:D),"",XLOOKUP(A$2,Implementos!B:B,Implementos!C:C,"",0,1)),A$2)</f>
        <v/>
      </c>
      <c r="M532" s="4" t="str">
        <f t="shared" si="2"/>
        <v/>
      </c>
      <c r="N532" s="4" t="str">
        <f t="shared" si="3"/>
        <v/>
      </c>
      <c r="O532" s="4" t="str">
        <f t="shared" si="4"/>
        <v/>
      </c>
      <c r="P532" s="4" t="str">
        <f t="shared" si="5"/>
        <v/>
      </c>
      <c r="Q532" s="4" t="str">
        <f>IF(U532="","",SUMIF(Productos!E:E,U532,Productos!A:A))</f>
        <v/>
      </c>
      <c r="R532" s="4" t="str">
        <f t="array" ref="R532">IF(L532="","", max(1,SUMIF(I:I,XLOOKUP(U532,Productos!E:E,Productos!G:G,"",0,1),J:J)))</f>
        <v/>
      </c>
      <c r="S532" s="4" t="str">
        <f>IF(Q532="","",IF(SUMIFS(Compat_Vetado!D:D,Compat_Vetado!B:B,SUM(G:G),Compat_Vetado!C:C,Q532)=1,"SI",IF(OR(SUMIF(Cotizador!E:E,Q532,Cotizador!G:G)&gt;0,SUMIFS(Compat_Vetado!D:D,Compat_Vetado!B:B,SUM(G:G),Compat_Vetado!C:C,Q532)=-1),"NO","")))</f>
        <v/>
      </c>
      <c r="T532" s="4" t="str">
        <f t="shared" si="6"/>
        <v/>
      </c>
      <c r="U532" s="4" t="str">
        <f>IFERROR(__xludf.DUMMYFUNCTION("IF(P532="""","""",IFERROR(INDEX(filter(Productos!E:E,Productos!F:F=L532,Productos!H:H=N532),P532),IF(M532=SUM(D:D),""Finalizar"",""-"")))"),"")</f>
        <v/>
      </c>
      <c r="V532" s="4" t="str">
        <f>IFERROR(__xludf.DUMMYFUNCTION("IF(OR($U532="""",COUNTIF($I:$I,IFERROR(unique(filter(Prod_Prop!$H:$H,Prod_Prop!$G:$G=$U532,Prod_Prop!$E:$E=V$1)),""Check""))=0),"""",IFERROR(unique(filter(Prod_Prop!$H:$H,Prod_Prop!$G:$G=$U532,Prod_Prop!$E:$E=V$1)),""""))"),"")</f>
        <v/>
      </c>
      <c r="W532" s="4" t="str">
        <f>IF(V532="","",SUMIFS(Prod_Prop!$J:$J,Prod_Prop!$B:$B,$Q532,Prod_Prop!$H:$H,V532,Prod_Prop!$I:$I,W$1)*IF(V532="Peso",$R532,1))</f>
        <v/>
      </c>
      <c r="X532" s="4" t="str">
        <f>IF(V532="","",SUMIFS(Prod_Prop!$J:$J,Prod_Prop!$B:$B,$Q532,Prod_Prop!$H:$H,V532,Prod_Prop!$I:$I,X$1)*IF(V532="Peso",$R532,1))</f>
        <v/>
      </c>
      <c r="Y532" s="4" t="str">
        <f>IFERROR(__xludf.DUMMYFUNCTION("IF(OR($U532="""",COUNTIF($I:$I,IFERROR(unique(filter(Prod_Prop!$H:$H,Prod_Prop!$G:$G=$U532,Prod_Prop!$E:$E=Y$1)),""Check""))=0),"""",IFERROR(unique(filter(Prod_Prop!$H:$H,Prod_Prop!$G:$G=$U532,Prod_Prop!$E:$E=Y$1)),""""))"),"")</f>
        <v/>
      </c>
      <c r="Z532" s="4" t="str">
        <f>IF(Y532="","",SUMIFS(Prod_Prop!$J:$J,Prod_Prop!$B:$B,$Q532,Prod_Prop!$H:$H,Y532,Prod_Prop!$I:$I,Z$1)*IF(Y532="Peso",$R532,1))</f>
        <v/>
      </c>
      <c r="AA532" s="4" t="str">
        <f>IF(Y532="","",SUMIFS(Prod_Prop!$J:$J,Prod_Prop!$B:$B,$Q532,Prod_Prop!$H:$H,Y532,Prod_Prop!$I:$I,AA$1)*IF(Y532="Peso",$R532,1))</f>
        <v/>
      </c>
      <c r="AB532" s="4" t="str">
        <f>IFERROR(__xludf.DUMMYFUNCTION("IF(OR($U532="""",COUNTIF($I:$I,IFERROR(unique(filter(Prod_Prop!$H:$H,Prod_Prop!$G:$G=$U532,Prod_Prop!$E:$E=AB$1)),""Check""))=0),"""",IFERROR(unique(filter(Prod_Prop!$H:$H,Prod_Prop!$G:$G=$U532,Prod_Prop!$E:$E=AB$1)),""""))"),"")</f>
        <v/>
      </c>
      <c r="AC532" s="4" t="str">
        <f>IF(AB532="","",SUMIFS(Prod_Prop!$J:$J,Prod_Prop!$B:$B,$Q532,Prod_Prop!$H:$H,AB532,Prod_Prop!$I:$I,AC$1)*IF(AB532="Peso",$R532,1))</f>
        <v/>
      </c>
      <c r="AD532" s="4" t="str">
        <f>IF(AB532="","",SUMIFS(Prod_Prop!$J:$J,Prod_Prop!$B:$B,$Q532,Prod_Prop!$H:$H,AB532,Prod_Prop!$I:$I,AD$1)*IF(AB532="Peso",$R532,1))</f>
        <v/>
      </c>
    </row>
    <row r="533">
      <c r="A533" s="4" t="str">
        <f t="array" ref="A533">IF(COUNTIF(A$1:A532,Cotizador!F$2)=maxifs(Familias!E:E,Familias!D:D,Cotizador!F$2),IF(COUNTIF(A$1:A532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3" s="4" t="str">
        <f t="shared" si="1"/>
        <v/>
      </c>
      <c r="C533" s="4" t="str">
        <f t="array" ref="C533">IF(B533="","",IF(A533=XLOOKUP(A$2,Implementos!B:B,Implementos!C:C,"",0,1),B533+maxifs(B$1:B532,A$1:A532,A$2),B533))</f>
        <v/>
      </c>
      <c r="D533" s="4" t="str">
        <f>IF(B533="","", COUNTIFS(Productos!F:F,A533,Productos!H:H,B533)+IF(F533="SI",0,1))</f>
        <v/>
      </c>
      <c r="E533" s="4" t="str">
        <f>IFERROR(__xludf.DUMMYFUNCTION("IF($B533="""","""",INDEX(filter(Familias!F:F,Familias!$D:$D=$A533,Familias!$E:$E=$B533),1))"),"")</f>
        <v/>
      </c>
      <c r="F533" s="4" t="str">
        <f>IFERROR(__xludf.DUMMYFUNCTION("IF($B533="""","""",INDEX(filter(Familias!G:G,Familias!$D:$D=$A533,Familias!$E:$E=$B533),1))"),"")</f>
        <v/>
      </c>
      <c r="G533" s="4" t="str">
        <f t="array" ref="G533">IF(C533=1,XLOOKUP(C533,Cotizador!D:D,Cotizador!E:E,"",0,1),"")</f>
        <v/>
      </c>
      <c r="I533" s="4"/>
      <c r="J533" s="8" t="str">
        <f>IF(I533="","",SUMIF(Cotizador!I$1:V$1,I533,Cotizador!I$2:V$2))</f>
        <v/>
      </c>
      <c r="L533" s="4" t="str">
        <f t="array" ref="L533">IF(COUNTIF(L$1:L532,A$2)=SUMIF(A:A,A$2,D:D),IF(COUNTIF(L$1:L532,XLOOKUP(A$2,Implementos!B:B,Implementos!C:C,"",0,1))=SUMIF(A:A,XLOOKUP(A$2,Implementos!B:B,Implementos!C:C,"",0,1),D:D),"",XLOOKUP(A$2,Implementos!B:B,Implementos!C:C,"",0,1)),A$2)</f>
        <v/>
      </c>
      <c r="M533" s="4" t="str">
        <f t="shared" si="2"/>
        <v/>
      </c>
      <c r="N533" s="4" t="str">
        <f t="shared" si="3"/>
        <v/>
      </c>
      <c r="O533" s="4" t="str">
        <f t="shared" si="4"/>
        <v/>
      </c>
      <c r="P533" s="4" t="str">
        <f t="shared" si="5"/>
        <v/>
      </c>
      <c r="Q533" s="4" t="str">
        <f>IF(U533="","",SUMIF(Productos!E:E,U533,Productos!A:A))</f>
        <v/>
      </c>
      <c r="R533" s="4" t="str">
        <f t="array" ref="R533">IF(L533="","", max(1,SUMIF(I:I,XLOOKUP(U533,Productos!E:E,Productos!G:G,"",0,1),J:J)))</f>
        <v/>
      </c>
      <c r="S533" s="4" t="str">
        <f>IF(Q533="","",IF(SUMIFS(Compat_Vetado!D:D,Compat_Vetado!B:B,SUM(G:G),Compat_Vetado!C:C,Q533)=1,"SI",IF(OR(SUMIF(Cotizador!E:E,Q533,Cotizador!G:G)&gt;0,SUMIFS(Compat_Vetado!D:D,Compat_Vetado!B:B,SUM(G:G),Compat_Vetado!C:C,Q533)=-1),"NO","")))</f>
        <v/>
      </c>
      <c r="T533" s="4" t="str">
        <f t="shared" si="6"/>
        <v/>
      </c>
      <c r="U533" s="4" t="str">
        <f>IFERROR(__xludf.DUMMYFUNCTION("IF(P533="""","""",IFERROR(INDEX(filter(Productos!E:E,Productos!F:F=L533,Productos!H:H=N533),P533),IF(M533=SUM(D:D),""Finalizar"",""-"")))"),"")</f>
        <v/>
      </c>
      <c r="V533" s="4" t="str">
        <f>IFERROR(__xludf.DUMMYFUNCTION("IF(OR($U533="""",COUNTIF($I:$I,IFERROR(unique(filter(Prod_Prop!$H:$H,Prod_Prop!$G:$G=$U533,Prod_Prop!$E:$E=V$1)),""Check""))=0),"""",IFERROR(unique(filter(Prod_Prop!$H:$H,Prod_Prop!$G:$G=$U533,Prod_Prop!$E:$E=V$1)),""""))"),"")</f>
        <v/>
      </c>
      <c r="W533" s="4" t="str">
        <f>IF(V533="","",SUMIFS(Prod_Prop!$J:$J,Prod_Prop!$B:$B,$Q533,Prod_Prop!$H:$H,V533,Prod_Prop!$I:$I,W$1)*IF(V533="Peso",$R533,1))</f>
        <v/>
      </c>
      <c r="X533" s="4" t="str">
        <f>IF(V533="","",SUMIFS(Prod_Prop!$J:$J,Prod_Prop!$B:$B,$Q533,Prod_Prop!$H:$H,V533,Prod_Prop!$I:$I,X$1)*IF(V533="Peso",$R533,1))</f>
        <v/>
      </c>
      <c r="Y533" s="4" t="str">
        <f>IFERROR(__xludf.DUMMYFUNCTION("IF(OR($U533="""",COUNTIF($I:$I,IFERROR(unique(filter(Prod_Prop!$H:$H,Prod_Prop!$G:$G=$U533,Prod_Prop!$E:$E=Y$1)),""Check""))=0),"""",IFERROR(unique(filter(Prod_Prop!$H:$H,Prod_Prop!$G:$G=$U533,Prod_Prop!$E:$E=Y$1)),""""))"),"")</f>
        <v/>
      </c>
      <c r="Z533" s="4" t="str">
        <f>IF(Y533="","",SUMIFS(Prod_Prop!$J:$J,Prod_Prop!$B:$B,$Q533,Prod_Prop!$H:$H,Y533,Prod_Prop!$I:$I,Z$1)*IF(Y533="Peso",$R533,1))</f>
        <v/>
      </c>
      <c r="AA533" s="4" t="str">
        <f>IF(Y533="","",SUMIFS(Prod_Prop!$J:$J,Prod_Prop!$B:$B,$Q533,Prod_Prop!$H:$H,Y533,Prod_Prop!$I:$I,AA$1)*IF(Y533="Peso",$R533,1))</f>
        <v/>
      </c>
      <c r="AB533" s="4" t="str">
        <f>IFERROR(__xludf.DUMMYFUNCTION("IF(OR($U533="""",COUNTIF($I:$I,IFERROR(unique(filter(Prod_Prop!$H:$H,Prod_Prop!$G:$G=$U533,Prod_Prop!$E:$E=AB$1)),""Check""))=0),"""",IFERROR(unique(filter(Prod_Prop!$H:$H,Prod_Prop!$G:$G=$U533,Prod_Prop!$E:$E=AB$1)),""""))"),"")</f>
        <v/>
      </c>
      <c r="AC533" s="4" t="str">
        <f>IF(AB533="","",SUMIFS(Prod_Prop!$J:$J,Prod_Prop!$B:$B,$Q533,Prod_Prop!$H:$H,AB533,Prod_Prop!$I:$I,AC$1)*IF(AB533="Peso",$R533,1))</f>
        <v/>
      </c>
      <c r="AD533" s="4" t="str">
        <f>IF(AB533="","",SUMIFS(Prod_Prop!$J:$J,Prod_Prop!$B:$B,$Q533,Prod_Prop!$H:$H,AB533,Prod_Prop!$I:$I,AD$1)*IF(AB533="Peso",$R533,1))</f>
        <v/>
      </c>
    </row>
    <row r="534">
      <c r="A534" s="4" t="str">
        <f t="array" ref="A534">IF(COUNTIF(A$1:A533,Cotizador!F$2)=maxifs(Familias!E:E,Familias!D:D,Cotizador!F$2),IF(COUNTIF(A$1:A533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4" s="4" t="str">
        <f t="shared" si="1"/>
        <v/>
      </c>
      <c r="C534" s="4" t="str">
        <f t="array" ref="C534">IF(B534="","",IF(A534=XLOOKUP(A$2,Implementos!B:B,Implementos!C:C,"",0,1),B534+maxifs(B$1:B533,A$1:A533,A$2),B534))</f>
        <v/>
      </c>
      <c r="D534" s="4" t="str">
        <f>IF(B534="","", COUNTIFS(Productos!F:F,A534,Productos!H:H,B534)+IF(F534="SI",0,1))</f>
        <v/>
      </c>
      <c r="E534" s="4" t="str">
        <f>IFERROR(__xludf.DUMMYFUNCTION("IF($B534="""","""",INDEX(filter(Familias!F:F,Familias!$D:$D=$A534,Familias!$E:$E=$B534),1))"),"")</f>
        <v/>
      </c>
      <c r="F534" s="4" t="str">
        <f>IFERROR(__xludf.DUMMYFUNCTION("IF($B534="""","""",INDEX(filter(Familias!G:G,Familias!$D:$D=$A534,Familias!$E:$E=$B534),1))"),"")</f>
        <v/>
      </c>
      <c r="G534" s="4" t="str">
        <f t="array" ref="G534">IF(C534=1,XLOOKUP(C534,Cotizador!D:D,Cotizador!E:E,"",0,1),"")</f>
        <v/>
      </c>
      <c r="I534" s="4"/>
      <c r="J534" s="8" t="str">
        <f>IF(I534="","",SUMIF(Cotizador!I$1:V$1,I534,Cotizador!I$2:V$2))</f>
        <v/>
      </c>
      <c r="L534" s="4" t="str">
        <f t="array" ref="L534">IF(COUNTIF(L$1:L533,A$2)=SUMIF(A:A,A$2,D:D),IF(COUNTIF(L$1:L533,XLOOKUP(A$2,Implementos!B:B,Implementos!C:C,"",0,1))=SUMIF(A:A,XLOOKUP(A$2,Implementos!B:B,Implementos!C:C,"",0,1),D:D),"",XLOOKUP(A$2,Implementos!B:B,Implementos!C:C,"",0,1)),A$2)</f>
        <v/>
      </c>
      <c r="M534" s="4" t="str">
        <f t="shared" si="2"/>
        <v/>
      </c>
      <c r="N534" s="4" t="str">
        <f t="shared" si="3"/>
        <v/>
      </c>
      <c r="O534" s="4" t="str">
        <f t="shared" si="4"/>
        <v/>
      </c>
      <c r="P534" s="4" t="str">
        <f t="shared" si="5"/>
        <v/>
      </c>
      <c r="Q534" s="4" t="str">
        <f>IF(U534="","",SUMIF(Productos!E:E,U534,Productos!A:A))</f>
        <v/>
      </c>
      <c r="R534" s="4" t="str">
        <f t="array" ref="R534">IF(L534="","", max(1,SUMIF(I:I,XLOOKUP(U534,Productos!E:E,Productos!G:G,"",0,1),J:J)))</f>
        <v/>
      </c>
      <c r="S534" s="4" t="str">
        <f>IF(Q534="","",IF(SUMIFS(Compat_Vetado!D:D,Compat_Vetado!B:B,SUM(G:G),Compat_Vetado!C:C,Q534)=1,"SI",IF(OR(SUMIF(Cotizador!E:E,Q534,Cotizador!G:G)&gt;0,SUMIFS(Compat_Vetado!D:D,Compat_Vetado!B:B,SUM(G:G),Compat_Vetado!C:C,Q534)=-1),"NO","")))</f>
        <v/>
      </c>
      <c r="T534" s="4" t="str">
        <f t="shared" si="6"/>
        <v/>
      </c>
      <c r="U534" s="4" t="str">
        <f>IFERROR(__xludf.DUMMYFUNCTION("IF(P534="""","""",IFERROR(INDEX(filter(Productos!E:E,Productos!F:F=L534,Productos!H:H=N534),P534),IF(M534=SUM(D:D),""Finalizar"",""-"")))"),"")</f>
        <v/>
      </c>
      <c r="V534" s="4" t="str">
        <f>IFERROR(__xludf.DUMMYFUNCTION("IF(OR($U534="""",COUNTIF($I:$I,IFERROR(unique(filter(Prod_Prop!$H:$H,Prod_Prop!$G:$G=$U534,Prod_Prop!$E:$E=V$1)),""Check""))=0),"""",IFERROR(unique(filter(Prod_Prop!$H:$H,Prod_Prop!$G:$G=$U534,Prod_Prop!$E:$E=V$1)),""""))"),"")</f>
        <v/>
      </c>
      <c r="W534" s="4" t="str">
        <f>IF(V534="","",SUMIFS(Prod_Prop!$J:$J,Prod_Prop!$B:$B,$Q534,Prod_Prop!$H:$H,V534,Prod_Prop!$I:$I,W$1)*IF(V534="Peso",$R534,1))</f>
        <v/>
      </c>
      <c r="X534" s="4" t="str">
        <f>IF(V534="","",SUMIFS(Prod_Prop!$J:$J,Prod_Prop!$B:$B,$Q534,Prod_Prop!$H:$H,V534,Prod_Prop!$I:$I,X$1)*IF(V534="Peso",$R534,1))</f>
        <v/>
      </c>
      <c r="Y534" s="4" t="str">
        <f>IFERROR(__xludf.DUMMYFUNCTION("IF(OR($U534="""",COUNTIF($I:$I,IFERROR(unique(filter(Prod_Prop!$H:$H,Prod_Prop!$G:$G=$U534,Prod_Prop!$E:$E=Y$1)),""Check""))=0),"""",IFERROR(unique(filter(Prod_Prop!$H:$H,Prod_Prop!$G:$G=$U534,Prod_Prop!$E:$E=Y$1)),""""))"),"")</f>
        <v/>
      </c>
      <c r="Z534" s="4" t="str">
        <f>IF(Y534="","",SUMIFS(Prod_Prop!$J:$J,Prod_Prop!$B:$B,$Q534,Prod_Prop!$H:$H,Y534,Prod_Prop!$I:$I,Z$1)*IF(Y534="Peso",$R534,1))</f>
        <v/>
      </c>
      <c r="AA534" s="4" t="str">
        <f>IF(Y534="","",SUMIFS(Prod_Prop!$J:$J,Prod_Prop!$B:$B,$Q534,Prod_Prop!$H:$H,Y534,Prod_Prop!$I:$I,AA$1)*IF(Y534="Peso",$R534,1))</f>
        <v/>
      </c>
      <c r="AB534" s="4" t="str">
        <f>IFERROR(__xludf.DUMMYFUNCTION("IF(OR($U534="""",COUNTIF($I:$I,IFERROR(unique(filter(Prod_Prop!$H:$H,Prod_Prop!$G:$G=$U534,Prod_Prop!$E:$E=AB$1)),""Check""))=0),"""",IFERROR(unique(filter(Prod_Prop!$H:$H,Prod_Prop!$G:$G=$U534,Prod_Prop!$E:$E=AB$1)),""""))"),"")</f>
        <v/>
      </c>
      <c r="AC534" s="4" t="str">
        <f>IF(AB534="","",SUMIFS(Prod_Prop!$J:$J,Prod_Prop!$B:$B,$Q534,Prod_Prop!$H:$H,AB534,Prod_Prop!$I:$I,AC$1)*IF(AB534="Peso",$R534,1))</f>
        <v/>
      </c>
      <c r="AD534" s="4" t="str">
        <f>IF(AB534="","",SUMIFS(Prod_Prop!$J:$J,Prod_Prop!$B:$B,$Q534,Prod_Prop!$H:$H,AB534,Prod_Prop!$I:$I,AD$1)*IF(AB534="Peso",$R534,1))</f>
        <v/>
      </c>
    </row>
    <row r="535">
      <c r="A535" s="4" t="str">
        <f t="array" ref="A535">IF(COUNTIF(A$1:A534,Cotizador!F$2)=maxifs(Familias!E:E,Familias!D:D,Cotizador!F$2),IF(COUNTIF(A$1:A534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5" s="4" t="str">
        <f t="shared" si="1"/>
        <v/>
      </c>
      <c r="C535" s="4" t="str">
        <f t="array" ref="C535">IF(B535="","",IF(A535=XLOOKUP(A$2,Implementos!B:B,Implementos!C:C,"",0,1),B535+maxifs(B$1:B534,A$1:A534,A$2),B535))</f>
        <v/>
      </c>
      <c r="D535" s="4" t="str">
        <f>IF(B535="","", COUNTIFS(Productos!F:F,A535,Productos!H:H,B535)+IF(F535="SI",0,1))</f>
        <v/>
      </c>
      <c r="E535" s="4" t="str">
        <f>IFERROR(__xludf.DUMMYFUNCTION("IF($B535="""","""",INDEX(filter(Familias!F:F,Familias!$D:$D=$A535,Familias!$E:$E=$B535),1))"),"")</f>
        <v/>
      </c>
      <c r="F535" s="4" t="str">
        <f>IFERROR(__xludf.DUMMYFUNCTION("IF($B535="""","""",INDEX(filter(Familias!G:G,Familias!$D:$D=$A535,Familias!$E:$E=$B535),1))"),"")</f>
        <v/>
      </c>
      <c r="G535" s="4" t="str">
        <f t="array" ref="G535">IF(C535=1,XLOOKUP(C535,Cotizador!D:D,Cotizador!E:E,"",0,1),"")</f>
        <v/>
      </c>
      <c r="I535" s="4"/>
      <c r="J535" s="8" t="str">
        <f>IF(I535="","",SUMIF(Cotizador!I$1:V$1,I535,Cotizador!I$2:V$2))</f>
        <v/>
      </c>
      <c r="L535" s="4" t="str">
        <f t="array" ref="L535">IF(COUNTIF(L$1:L534,A$2)=SUMIF(A:A,A$2,D:D),IF(COUNTIF(L$1:L534,XLOOKUP(A$2,Implementos!B:B,Implementos!C:C,"",0,1))=SUMIF(A:A,XLOOKUP(A$2,Implementos!B:B,Implementos!C:C,"",0,1),D:D),"",XLOOKUP(A$2,Implementos!B:B,Implementos!C:C,"",0,1)),A$2)</f>
        <v/>
      </c>
      <c r="M535" s="4" t="str">
        <f t="shared" si="2"/>
        <v/>
      </c>
      <c r="N535" s="4" t="str">
        <f t="shared" si="3"/>
        <v/>
      </c>
      <c r="O535" s="4" t="str">
        <f t="shared" si="4"/>
        <v/>
      </c>
      <c r="P535" s="4" t="str">
        <f t="shared" si="5"/>
        <v/>
      </c>
      <c r="Q535" s="4" t="str">
        <f>IF(U535="","",SUMIF(Productos!E:E,U535,Productos!A:A))</f>
        <v/>
      </c>
      <c r="R535" s="4" t="str">
        <f t="array" ref="R535">IF(L535="","", max(1,SUMIF(I:I,XLOOKUP(U535,Productos!E:E,Productos!G:G,"",0,1),J:J)))</f>
        <v/>
      </c>
      <c r="S535" s="4" t="str">
        <f>IF(Q535="","",IF(SUMIFS(Compat_Vetado!D:D,Compat_Vetado!B:B,SUM(G:G),Compat_Vetado!C:C,Q535)=1,"SI",IF(OR(SUMIF(Cotizador!E:E,Q535,Cotizador!G:G)&gt;0,SUMIFS(Compat_Vetado!D:D,Compat_Vetado!B:B,SUM(G:G),Compat_Vetado!C:C,Q535)=-1),"NO","")))</f>
        <v/>
      </c>
      <c r="T535" s="4" t="str">
        <f t="shared" si="6"/>
        <v/>
      </c>
      <c r="U535" s="4" t="str">
        <f>IFERROR(__xludf.DUMMYFUNCTION("IF(P535="""","""",IFERROR(INDEX(filter(Productos!E:E,Productos!F:F=L535,Productos!H:H=N535),P535),IF(M535=SUM(D:D),""Finalizar"",""-"")))"),"")</f>
        <v/>
      </c>
      <c r="V535" s="4" t="str">
        <f>IFERROR(__xludf.DUMMYFUNCTION("IF(OR($U535="""",COUNTIF($I:$I,IFERROR(unique(filter(Prod_Prop!$H:$H,Prod_Prop!$G:$G=$U535,Prod_Prop!$E:$E=V$1)),""Check""))=0),"""",IFERROR(unique(filter(Prod_Prop!$H:$H,Prod_Prop!$G:$G=$U535,Prod_Prop!$E:$E=V$1)),""""))"),"")</f>
        <v/>
      </c>
      <c r="W535" s="4" t="str">
        <f>IF(V535="","",SUMIFS(Prod_Prop!$J:$J,Prod_Prop!$B:$B,$Q535,Prod_Prop!$H:$H,V535,Prod_Prop!$I:$I,W$1)*IF(V535="Peso",$R535,1))</f>
        <v/>
      </c>
      <c r="X535" s="4" t="str">
        <f>IF(V535="","",SUMIFS(Prod_Prop!$J:$J,Prod_Prop!$B:$B,$Q535,Prod_Prop!$H:$H,V535,Prod_Prop!$I:$I,X$1)*IF(V535="Peso",$R535,1))</f>
        <v/>
      </c>
      <c r="Y535" s="4" t="str">
        <f>IFERROR(__xludf.DUMMYFUNCTION("IF(OR($U535="""",COUNTIF($I:$I,IFERROR(unique(filter(Prod_Prop!$H:$H,Prod_Prop!$G:$G=$U535,Prod_Prop!$E:$E=Y$1)),""Check""))=0),"""",IFERROR(unique(filter(Prod_Prop!$H:$H,Prod_Prop!$G:$G=$U535,Prod_Prop!$E:$E=Y$1)),""""))"),"")</f>
        <v/>
      </c>
      <c r="Z535" s="4" t="str">
        <f>IF(Y535="","",SUMIFS(Prod_Prop!$J:$J,Prod_Prop!$B:$B,$Q535,Prod_Prop!$H:$H,Y535,Prod_Prop!$I:$I,Z$1)*IF(Y535="Peso",$R535,1))</f>
        <v/>
      </c>
      <c r="AA535" s="4" t="str">
        <f>IF(Y535="","",SUMIFS(Prod_Prop!$J:$J,Prod_Prop!$B:$B,$Q535,Prod_Prop!$H:$H,Y535,Prod_Prop!$I:$I,AA$1)*IF(Y535="Peso",$R535,1))</f>
        <v/>
      </c>
      <c r="AB535" s="4" t="str">
        <f>IFERROR(__xludf.DUMMYFUNCTION("IF(OR($U535="""",COUNTIF($I:$I,IFERROR(unique(filter(Prod_Prop!$H:$H,Prod_Prop!$G:$G=$U535,Prod_Prop!$E:$E=AB$1)),""Check""))=0),"""",IFERROR(unique(filter(Prod_Prop!$H:$H,Prod_Prop!$G:$G=$U535,Prod_Prop!$E:$E=AB$1)),""""))"),"")</f>
        <v/>
      </c>
      <c r="AC535" s="4" t="str">
        <f>IF(AB535="","",SUMIFS(Prod_Prop!$J:$J,Prod_Prop!$B:$B,$Q535,Prod_Prop!$H:$H,AB535,Prod_Prop!$I:$I,AC$1)*IF(AB535="Peso",$R535,1))</f>
        <v/>
      </c>
      <c r="AD535" s="4" t="str">
        <f>IF(AB535="","",SUMIFS(Prod_Prop!$J:$J,Prod_Prop!$B:$B,$Q535,Prod_Prop!$H:$H,AB535,Prod_Prop!$I:$I,AD$1)*IF(AB535="Peso",$R535,1))</f>
        <v/>
      </c>
    </row>
    <row r="536">
      <c r="A536" s="4" t="str">
        <f t="array" ref="A536">IF(COUNTIF(A$1:A535,Cotizador!F$2)=maxifs(Familias!E:E,Familias!D:D,Cotizador!F$2),IF(COUNTIF(A$1:A535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6" s="4" t="str">
        <f t="shared" si="1"/>
        <v/>
      </c>
      <c r="C536" s="4" t="str">
        <f t="array" ref="C536">IF(B536="","",IF(A536=XLOOKUP(A$2,Implementos!B:B,Implementos!C:C,"",0,1),B536+maxifs(B$1:B535,A$1:A535,A$2),B536))</f>
        <v/>
      </c>
      <c r="D536" s="4" t="str">
        <f>IF(B536="","", COUNTIFS(Productos!F:F,A536,Productos!H:H,B536)+IF(F536="SI",0,1))</f>
        <v/>
      </c>
      <c r="E536" s="4" t="str">
        <f>IFERROR(__xludf.DUMMYFUNCTION("IF($B536="""","""",INDEX(filter(Familias!F:F,Familias!$D:$D=$A536,Familias!$E:$E=$B536),1))"),"")</f>
        <v/>
      </c>
      <c r="F536" s="4" t="str">
        <f>IFERROR(__xludf.DUMMYFUNCTION("IF($B536="""","""",INDEX(filter(Familias!G:G,Familias!$D:$D=$A536,Familias!$E:$E=$B536),1))"),"")</f>
        <v/>
      </c>
      <c r="G536" s="4" t="str">
        <f t="array" ref="G536">IF(C536=1,XLOOKUP(C536,Cotizador!D:D,Cotizador!E:E,"",0,1),"")</f>
        <v/>
      </c>
      <c r="I536" s="4"/>
      <c r="J536" s="8" t="str">
        <f>IF(I536="","",SUMIF(Cotizador!I$1:V$1,I536,Cotizador!I$2:V$2))</f>
        <v/>
      </c>
      <c r="L536" s="4" t="str">
        <f t="array" ref="L536">IF(COUNTIF(L$1:L535,A$2)=SUMIF(A:A,A$2,D:D),IF(COUNTIF(L$1:L535,XLOOKUP(A$2,Implementos!B:B,Implementos!C:C,"",0,1))=SUMIF(A:A,XLOOKUP(A$2,Implementos!B:B,Implementos!C:C,"",0,1),D:D),"",XLOOKUP(A$2,Implementos!B:B,Implementos!C:C,"",0,1)),A$2)</f>
        <v/>
      </c>
      <c r="M536" s="4" t="str">
        <f t="shared" si="2"/>
        <v/>
      </c>
      <c r="N536" s="4" t="str">
        <f t="shared" si="3"/>
        <v/>
      </c>
      <c r="O536" s="4" t="str">
        <f t="shared" si="4"/>
        <v/>
      </c>
      <c r="P536" s="4" t="str">
        <f t="shared" si="5"/>
        <v/>
      </c>
      <c r="Q536" s="4" t="str">
        <f>IF(U536="","",SUMIF(Productos!E:E,U536,Productos!A:A))</f>
        <v/>
      </c>
      <c r="R536" s="4" t="str">
        <f t="array" ref="R536">IF(L536="","", max(1,SUMIF(I:I,XLOOKUP(U536,Productos!E:E,Productos!G:G,"",0,1),J:J)))</f>
        <v/>
      </c>
      <c r="S536" s="4" t="str">
        <f>IF(Q536="","",IF(SUMIFS(Compat_Vetado!D:D,Compat_Vetado!B:B,SUM(G:G),Compat_Vetado!C:C,Q536)=1,"SI",IF(OR(SUMIF(Cotizador!E:E,Q536,Cotizador!G:G)&gt;0,SUMIFS(Compat_Vetado!D:D,Compat_Vetado!B:B,SUM(G:G),Compat_Vetado!C:C,Q536)=-1),"NO","")))</f>
        <v/>
      </c>
      <c r="T536" s="4" t="str">
        <f t="shared" si="6"/>
        <v/>
      </c>
      <c r="U536" s="4" t="str">
        <f>IFERROR(__xludf.DUMMYFUNCTION("IF(P536="""","""",IFERROR(INDEX(filter(Productos!E:E,Productos!F:F=L536,Productos!H:H=N536),P536),IF(M536=SUM(D:D),""Finalizar"",""-"")))"),"")</f>
        <v/>
      </c>
      <c r="V536" s="4" t="str">
        <f>IFERROR(__xludf.DUMMYFUNCTION("IF(OR($U536="""",COUNTIF($I:$I,IFERROR(unique(filter(Prod_Prop!$H:$H,Prod_Prop!$G:$G=$U536,Prod_Prop!$E:$E=V$1)),""Check""))=0),"""",IFERROR(unique(filter(Prod_Prop!$H:$H,Prod_Prop!$G:$G=$U536,Prod_Prop!$E:$E=V$1)),""""))"),"")</f>
        <v/>
      </c>
      <c r="W536" s="4" t="str">
        <f>IF(V536="","",SUMIFS(Prod_Prop!$J:$J,Prod_Prop!$B:$B,$Q536,Prod_Prop!$H:$H,V536,Prod_Prop!$I:$I,W$1)*IF(V536="Peso",$R536,1))</f>
        <v/>
      </c>
      <c r="X536" s="4" t="str">
        <f>IF(V536="","",SUMIFS(Prod_Prop!$J:$J,Prod_Prop!$B:$B,$Q536,Prod_Prop!$H:$H,V536,Prod_Prop!$I:$I,X$1)*IF(V536="Peso",$R536,1))</f>
        <v/>
      </c>
      <c r="Y536" s="4" t="str">
        <f>IFERROR(__xludf.DUMMYFUNCTION("IF(OR($U536="""",COUNTIF($I:$I,IFERROR(unique(filter(Prod_Prop!$H:$H,Prod_Prop!$G:$G=$U536,Prod_Prop!$E:$E=Y$1)),""Check""))=0),"""",IFERROR(unique(filter(Prod_Prop!$H:$H,Prod_Prop!$G:$G=$U536,Prod_Prop!$E:$E=Y$1)),""""))"),"")</f>
        <v/>
      </c>
      <c r="Z536" s="4" t="str">
        <f>IF(Y536="","",SUMIFS(Prod_Prop!$J:$J,Prod_Prop!$B:$B,$Q536,Prod_Prop!$H:$H,Y536,Prod_Prop!$I:$I,Z$1)*IF(Y536="Peso",$R536,1))</f>
        <v/>
      </c>
      <c r="AA536" s="4" t="str">
        <f>IF(Y536="","",SUMIFS(Prod_Prop!$J:$J,Prod_Prop!$B:$B,$Q536,Prod_Prop!$H:$H,Y536,Prod_Prop!$I:$I,AA$1)*IF(Y536="Peso",$R536,1))</f>
        <v/>
      </c>
      <c r="AB536" s="4" t="str">
        <f>IFERROR(__xludf.DUMMYFUNCTION("IF(OR($U536="""",COUNTIF($I:$I,IFERROR(unique(filter(Prod_Prop!$H:$H,Prod_Prop!$G:$G=$U536,Prod_Prop!$E:$E=AB$1)),""Check""))=0),"""",IFERROR(unique(filter(Prod_Prop!$H:$H,Prod_Prop!$G:$G=$U536,Prod_Prop!$E:$E=AB$1)),""""))"),"")</f>
        <v/>
      </c>
      <c r="AC536" s="4" t="str">
        <f>IF(AB536="","",SUMIFS(Prod_Prop!$J:$J,Prod_Prop!$B:$B,$Q536,Prod_Prop!$H:$H,AB536,Prod_Prop!$I:$I,AC$1)*IF(AB536="Peso",$R536,1))</f>
        <v/>
      </c>
      <c r="AD536" s="4" t="str">
        <f>IF(AB536="","",SUMIFS(Prod_Prop!$J:$J,Prod_Prop!$B:$B,$Q536,Prod_Prop!$H:$H,AB536,Prod_Prop!$I:$I,AD$1)*IF(AB536="Peso",$R536,1))</f>
        <v/>
      </c>
    </row>
    <row r="537">
      <c r="A537" s="4" t="str">
        <f t="array" ref="A537">IF(COUNTIF(A$1:A536,Cotizador!F$2)=maxifs(Familias!E:E,Familias!D:D,Cotizador!F$2),IF(COUNTIF(A$1:A536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7" s="4" t="str">
        <f t="shared" si="1"/>
        <v/>
      </c>
      <c r="C537" s="4" t="str">
        <f t="array" ref="C537">IF(B537="","",IF(A537=XLOOKUP(A$2,Implementos!B:B,Implementos!C:C,"",0,1),B537+maxifs(B$1:B536,A$1:A536,A$2),B537))</f>
        <v/>
      </c>
      <c r="D537" s="4" t="str">
        <f>IF(B537="","", COUNTIFS(Productos!F:F,A537,Productos!H:H,B537)+IF(F537="SI",0,1))</f>
        <v/>
      </c>
      <c r="E537" s="4" t="str">
        <f>IFERROR(__xludf.DUMMYFUNCTION("IF($B537="""","""",INDEX(filter(Familias!F:F,Familias!$D:$D=$A537,Familias!$E:$E=$B537),1))"),"")</f>
        <v/>
      </c>
      <c r="F537" s="4" t="str">
        <f>IFERROR(__xludf.DUMMYFUNCTION("IF($B537="""","""",INDEX(filter(Familias!G:G,Familias!$D:$D=$A537,Familias!$E:$E=$B537),1))"),"")</f>
        <v/>
      </c>
      <c r="G537" s="4" t="str">
        <f t="array" ref="G537">IF(C537=1,XLOOKUP(C537,Cotizador!D:D,Cotizador!E:E,"",0,1),"")</f>
        <v/>
      </c>
      <c r="I537" s="4"/>
      <c r="J537" s="8" t="str">
        <f>IF(I537="","",SUMIF(Cotizador!I$1:V$1,I537,Cotizador!I$2:V$2))</f>
        <v/>
      </c>
      <c r="L537" s="4" t="str">
        <f t="array" ref="L537">IF(COUNTIF(L$1:L536,A$2)=SUMIF(A:A,A$2,D:D),IF(COUNTIF(L$1:L536,XLOOKUP(A$2,Implementos!B:B,Implementos!C:C,"",0,1))=SUMIF(A:A,XLOOKUP(A$2,Implementos!B:B,Implementos!C:C,"",0,1),D:D),"",XLOOKUP(A$2,Implementos!B:B,Implementos!C:C,"",0,1)),A$2)</f>
        <v/>
      </c>
      <c r="M537" s="4" t="str">
        <f t="shared" si="2"/>
        <v/>
      </c>
      <c r="N537" s="4" t="str">
        <f t="shared" si="3"/>
        <v/>
      </c>
      <c r="O537" s="4" t="str">
        <f t="shared" si="4"/>
        <v/>
      </c>
      <c r="P537" s="4" t="str">
        <f t="shared" si="5"/>
        <v/>
      </c>
      <c r="Q537" s="4" t="str">
        <f>IF(U537="","",SUMIF(Productos!E:E,U537,Productos!A:A))</f>
        <v/>
      </c>
      <c r="R537" s="4" t="str">
        <f t="array" ref="R537">IF(L537="","", max(1,SUMIF(I:I,XLOOKUP(U537,Productos!E:E,Productos!G:G,"",0,1),J:J)))</f>
        <v/>
      </c>
      <c r="S537" s="4" t="str">
        <f>IF(Q537="","",IF(SUMIFS(Compat_Vetado!D:D,Compat_Vetado!B:B,SUM(G:G),Compat_Vetado!C:C,Q537)=1,"SI",IF(OR(SUMIF(Cotizador!E:E,Q537,Cotizador!G:G)&gt;0,SUMIFS(Compat_Vetado!D:D,Compat_Vetado!B:B,SUM(G:G),Compat_Vetado!C:C,Q537)=-1),"NO","")))</f>
        <v/>
      </c>
      <c r="T537" s="4" t="str">
        <f t="shared" si="6"/>
        <v/>
      </c>
      <c r="U537" s="4" t="str">
        <f>IFERROR(__xludf.DUMMYFUNCTION("IF(P537="""","""",IFERROR(INDEX(filter(Productos!E:E,Productos!F:F=L537,Productos!H:H=N537),P537),IF(M537=SUM(D:D),""Finalizar"",""-"")))"),"")</f>
        <v/>
      </c>
      <c r="V537" s="4" t="str">
        <f>IFERROR(__xludf.DUMMYFUNCTION("IF(OR($U537="""",COUNTIF($I:$I,IFERROR(unique(filter(Prod_Prop!$H:$H,Prod_Prop!$G:$G=$U537,Prod_Prop!$E:$E=V$1)),""Check""))=0),"""",IFERROR(unique(filter(Prod_Prop!$H:$H,Prod_Prop!$G:$G=$U537,Prod_Prop!$E:$E=V$1)),""""))"),"")</f>
        <v/>
      </c>
      <c r="W537" s="4" t="str">
        <f>IF(V537="","",SUMIFS(Prod_Prop!$J:$J,Prod_Prop!$B:$B,$Q537,Prod_Prop!$H:$H,V537,Prod_Prop!$I:$I,W$1)*IF(V537="Peso",$R537,1))</f>
        <v/>
      </c>
      <c r="X537" s="4" t="str">
        <f>IF(V537="","",SUMIFS(Prod_Prop!$J:$J,Prod_Prop!$B:$B,$Q537,Prod_Prop!$H:$H,V537,Prod_Prop!$I:$I,X$1)*IF(V537="Peso",$R537,1))</f>
        <v/>
      </c>
      <c r="Y537" s="4" t="str">
        <f>IFERROR(__xludf.DUMMYFUNCTION("IF(OR($U537="""",COUNTIF($I:$I,IFERROR(unique(filter(Prod_Prop!$H:$H,Prod_Prop!$G:$G=$U537,Prod_Prop!$E:$E=Y$1)),""Check""))=0),"""",IFERROR(unique(filter(Prod_Prop!$H:$H,Prod_Prop!$G:$G=$U537,Prod_Prop!$E:$E=Y$1)),""""))"),"")</f>
        <v/>
      </c>
      <c r="Z537" s="4" t="str">
        <f>IF(Y537="","",SUMIFS(Prod_Prop!$J:$J,Prod_Prop!$B:$B,$Q537,Prod_Prop!$H:$H,Y537,Prod_Prop!$I:$I,Z$1)*IF(Y537="Peso",$R537,1))</f>
        <v/>
      </c>
      <c r="AA537" s="4" t="str">
        <f>IF(Y537="","",SUMIFS(Prod_Prop!$J:$J,Prod_Prop!$B:$B,$Q537,Prod_Prop!$H:$H,Y537,Prod_Prop!$I:$I,AA$1)*IF(Y537="Peso",$R537,1))</f>
        <v/>
      </c>
      <c r="AB537" s="4" t="str">
        <f>IFERROR(__xludf.DUMMYFUNCTION("IF(OR($U537="""",COUNTIF($I:$I,IFERROR(unique(filter(Prod_Prop!$H:$H,Prod_Prop!$G:$G=$U537,Prod_Prop!$E:$E=AB$1)),""Check""))=0),"""",IFERROR(unique(filter(Prod_Prop!$H:$H,Prod_Prop!$G:$G=$U537,Prod_Prop!$E:$E=AB$1)),""""))"),"")</f>
        <v/>
      </c>
      <c r="AC537" s="4" t="str">
        <f>IF(AB537="","",SUMIFS(Prod_Prop!$J:$J,Prod_Prop!$B:$B,$Q537,Prod_Prop!$H:$H,AB537,Prod_Prop!$I:$I,AC$1)*IF(AB537="Peso",$R537,1))</f>
        <v/>
      </c>
      <c r="AD537" s="4" t="str">
        <f>IF(AB537="","",SUMIFS(Prod_Prop!$J:$J,Prod_Prop!$B:$B,$Q537,Prod_Prop!$H:$H,AB537,Prod_Prop!$I:$I,AD$1)*IF(AB537="Peso",$R537,1))</f>
        <v/>
      </c>
    </row>
    <row r="538">
      <c r="A538" s="4" t="str">
        <f t="array" ref="A538">IF(COUNTIF(A$1:A537,Cotizador!F$2)=maxifs(Familias!E:E,Familias!D:D,Cotizador!F$2),IF(COUNTIF(A$1:A537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8" s="4" t="str">
        <f t="shared" si="1"/>
        <v/>
      </c>
      <c r="C538" s="4" t="str">
        <f t="array" ref="C538">IF(B538="","",IF(A538=XLOOKUP(A$2,Implementos!B:B,Implementos!C:C,"",0,1),B538+maxifs(B$1:B537,A$1:A537,A$2),B538))</f>
        <v/>
      </c>
      <c r="D538" s="4" t="str">
        <f>IF(B538="","", COUNTIFS(Productos!F:F,A538,Productos!H:H,B538)+IF(F538="SI",0,1))</f>
        <v/>
      </c>
      <c r="E538" s="4" t="str">
        <f>IFERROR(__xludf.DUMMYFUNCTION("IF($B538="""","""",INDEX(filter(Familias!F:F,Familias!$D:$D=$A538,Familias!$E:$E=$B538),1))"),"")</f>
        <v/>
      </c>
      <c r="F538" s="4" t="str">
        <f>IFERROR(__xludf.DUMMYFUNCTION("IF($B538="""","""",INDEX(filter(Familias!G:G,Familias!$D:$D=$A538,Familias!$E:$E=$B538),1))"),"")</f>
        <v/>
      </c>
      <c r="G538" s="4" t="str">
        <f t="array" ref="G538">IF(C538=1,XLOOKUP(C538,Cotizador!D:D,Cotizador!E:E,"",0,1),"")</f>
        <v/>
      </c>
      <c r="I538" s="4"/>
      <c r="J538" s="8" t="str">
        <f>IF(I538="","",SUMIF(Cotizador!I$1:V$1,I538,Cotizador!I$2:V$2))</f>
        <v/>
      </c>
      <c r="L538" s="4" t="str">
        <f t="array" ref="L538">IF(COUNTIF(L$1:L537,A$2)=SUMIF(A:A,A$2,D:D),IF(COUNTIF(L$1:L537,XLOOKUP(A$2,Implementos!B:B,Implementos!C:C,"",0,1))=SUMIF(A:A,XLOOKUP(A$2,Implementos!B:B,Implementos!C:C,"",0,1),D:D),"",XLOOKUP(A$2,Implementos!B:B,Implementos!C:C,"",0,1)),A$2)</f>
        <v/>
      </c>
      <c r="M538" s="4" t="str">
        <f t="shared" si="2"/>
        <v/>
      </c>
      <c r="N538" s="4" t="str">
        <f t="shared" si="3"/>
        <v/>
      </c>
      <c r="O538" s="4" t="str">
        <f t="shared" si="4"/>
        <v/>
      </c>
      <c r="P538" s="4" t="str">
        <f t="shared" si="5"/>
        <v/>
      </c>
      <c r="Q538" s="4" t="str">
        <f>IF(U538="","",SUMIF(Productos!E:E,U538,Productos!A:A))</f>
        <v/>
      </c>
      <c r="R538" s="4" t="str">
        <f t="array" ref="R538">IF(L538="","", max(1,SUMIF(I:I,XLOOKUP(U538,Productos!E:E,Productos!G:G,"",0,1),J:J)))</f>
        <v/>
      </c>
      <c r="S538" s="4" t="str">
        <f>IF(Q538="","",IF(SUMIFS(Compat_Vetado!D:D,Compat_Vetado!B:B,SUM(G:G),Compat_Vetado!C:C,Q538)=1,"SI",IF(OR(SUMIF(Cotizador!E:E,Q538,Cotizador!G:G)&gt;0,SUMIFS(Compat_Vetado!D:D,Compat_Vetado!B:B,SUM(G:G),Compat_Vetado!C:C,Q538)=-1),"NO","")))</f>
        <v/>
      </c>
      <c r="T538" s="4" t="str">
        <f t="shared" si="6"/>
        <v/>
      </c>
      <c r="U538" s="4" t="str">
        <f>IFERROR(__xludf.DUMMYFUNCTION("IF(P538="""","""",IFERROR(INDEX(filter(Productos!E:E,Productos!F:F=L538,Productos!H:H=N538),P538),IF(M538=SUM(D:D),""Finalizar"",""-"")))"),"")</f>
        <v/>
      </c>
      <c r="V538" s="4" t="str">
        <f>IFERROR(__xludf.DUMMYFUNCTION("IF(OR($U538="""",COUNTIF($I:$I,IFERROR(unique(filter(Prod_Prop!$H:$H,Prod_Prop!$G:$G=$U538,Prod_Prop!$E:$E=V$1)),""Check""))=0),"""",IFERROR(unique(filter(Prod_Prop!$H:$H,Prod_Prop!$G:$G=$U538,Prod_Prop!$E:$E=V$1)),""""))"),"")</f>
        <v/>
      </c>
      <c r="W538" s="4" t="str">
        <f>IF(V538="","",SUMIFS(Prod_Prop!$J:$J,Prod_Prop!$B:$B,$Q538,Prod_Prop!$H:$H,V538,Prod_Prop!$I:$I,W$1)*IF(V538="Peso",$R538,1))</f>
        <v/>
      </c>
      <c r="X538" s="4" t="str">
        <f>IF(V538="","",SUMIFS(Prod_Prop!$J:$J,Prod_Prop!$B:$B,$Q538,Prod_Prop!$H:$H,V538,Prod_Prop!$I:$I,X$1)*IF(V538="Peso",$R538,1))</f>
        <v/>
      </c>
      <c r="Y538" s="4" t="str">
        <f>IFERROR(__xludf.DUMMYFUNCTION("IF(OR($U538="""",COUNTIF($I:$I,IFERROR(unique(filter(Prod_Prop!$H:$H,Prod_Prop!$G:$G=$U538,Prod_Prop!$E:$E=Y$1)),""Check""))=0),"""",IFERROR(unique(filter(Prod_Prop!$H:$H,Prod_Prop!$G:$G=$U538,Prod_Prop!$E:$E=Y$1)),""""))"),"")</f>
        <v/>
      </c>
      <c r="Z538" s="4" t="str">
        <f>IF(Y538="","",SUMIFS(Prod_Prop!$J:$J,Prod_Prop!$B:$B,$Q538,Prod_Prop!$H:$H,Y538,Prod_Prop!$I:$I,Z$1)*IF(Y538="Peso",$R538,1))</f>
        <v/>
      </c>
      <c r="AA538" s="4" t="str">
        <f>IF(Y538="","",SUMIFS(Prod_Prop!$J:$J,Prod_Prop!$B:$B,$Q538,Prod_Prop!$H:$H,Y538,Prod_Prop!$I:$I,AA$1)*IF(Y538="Peso",$R538,1))</f>
        <v/>
      </c>
      <c r="AB538" s="4" t="str">
        <f>IFERROR(__xludf.DUMMYFUNCTION("IF(OR($U538="""",COUNTIF($I:$I,IFERROR(unique(filter(Prod_Prop!$H:$H,Prod_Prop!$G:$G=$U538,Prod_Prop!$E:$E=AB$1)),""Check""))=0),"""",IFERROR(unique(filter(Prod_Prop!$H:$H,Prod_Prop!$G:$G=$U538,Prod_Prop!$E:$E=AB$1)),""""))"),"")</f>
        <v/>
      </c>
      <c r="AC538" s="4" t="str">
        <f>IF(AB538="","",SUMIFS(Prod_Prop!$J:$J,Prod_Prop!$B:$B,$Q538,Prod_Prop!$H:$H,AB538,Prod_Prop!$I:$I,AC$1)*IF(AB538="Peso",$R538,1))</f>
        <v/>
      </c>
      <c r="AD538" s="4" t="str">
        <f>IF(AB538="","",SUMIFS(Prod_Prop!$J:$J,Prod_Prop!$B:$B,$Q538,Prod_Prop!$H:$H,AB538,Prod_Prop!$I:$I,AD$1)*IF(AB538="Peso",$R538,1))</f>
        <v/>
      </c>
    </row>
    <row r="539">
      <c r="A539" s="4" t="str">
        <f t="array" ref="A539">IF(COUNTIF(A$1:A538,Cotizador!F$2)=maxifs(Familias!E:E,Familias!D:D,Cotizador!F$2),IF(COUNTIF(A$1:A538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39" s="4" t="str">
        <f t="shared" si="1"/>
        <v/>
      </c>
      <c r="C539" s="4" t="str">
        <f t="array" ref="C539">IF(B539="","",IF(A539=XLOOKUP(A$2,Implementos!B:B,Implementos!C:C,"",0,1),B539+maxifs(B$1:B538,A$1:A538,A$2),B539))</f>
        <v/>
      </c>
      <c r="D539" s="4" t="str">
        <f>IF(B539="","", COUNTIFS(Productos!F:F,A539,Productos!H:H,B539)+IF(F539="SI",0,1))</f>
        <v/>
      </c>
      <c r="E539" s="4" t="str">
        <f>IFERROR(__xludf.DUMMYFUNCTION("IF($B539="""","""",INDEX(filter(Familias!F:F,Familias!$D:$D=$A539,Familias!$E:$E=$B539),1))"),"")</f>
        <v/>
      </c>
      <c r="F539" s="4" t="str">
        <f>IFERROR(__xludf.DUMMYFUNCTION("IF($B539="""","""",INDEX(filter(Familias!G:G,Familias!$D:$D=$A539,Familias!$E:$E=$B539),1))"),"")</f>
        <v/>
      </c>
      <c r="G539" s="4" t="str">
        <f t="array" ref="G539">IF(C539=1,XLOOKUP(C539,Cotizador!D:D,Cotizador!E:E,"",0,1),"")</f>
        <v/>
      </c>
      <c r="I539" s="4"/>
      <c r="J539" s="8" t="str">
        <f>IF(I539="","",SUMIF(Cotizador!I$1:V$1,I539,Cotizador!I$2:V$2))</f>
        <v/>
      </c>
      <c r="L539" s="4" t="str">
        <f t="array" ref="L539">IF(COUNTIF(L$1:L538,A$2)=SUMIF(A:A,A$2,D:D),IF(COUNTIF(L$1:L538,XLOOKUP(A$2,Implementos!B:B,Implementos!C:C,"",0,1))=SUMIF(A:A,XLOOKUP(A$2,Implementos!B:B,Implementos!C:C,"",0,1),D:D),"",XLOOKUP(A$2,Implementos!B:B,Implementos!C:C,"",0,1)),A$2)</f>
        <v/>
      </c>
      <c r="M539" s="4" t="str">
        <f t="shared" si="2"/>
        <v/>
      </c>
      <c r="N539" s="4" t="str">
        <f t="shared" si="3"/>
        <v/>
      </c>
      <c r="O539" s="4" t="str">
        <f t="shared" si="4"/>
        <v/>
      </c>
      <c r="P539" s="4" t="str">
        <f t="shared" si="5"/>
        <v/>
      </c>
      <c r="Q539" s="4" t="str">
        <f>IF(U539="","",SUMIF(Productos!E:E,U539,Productos!A:A))</f>
        <v/>
      </c>
      <c r="R539" s="4" t="str">
        <f t="array" ref="R539">IF(L539="","", max(1,SUMIF(I:I,XLOOKUP(U539,Productos!E:E,Productos!G:G,"",0,1),J:J)))</f>
        <v/>
      </c>
      <c r="S539" s="4" t="str">
        <f>IF(Q539="","",IF(SUMIFS(Compat_Vetado!D:D,Compat_Vetado!B:B,SUM(G:G),Compat_Vetado!C:C,Q539)=1,"SI",IF(OR(SUMIF(Cotizador!E:E,Q539,Cotizador!G:G)&gt;0,SUMIFS(Compat_Vetado!D:D,Compat_Vetado!B:B,SUM(G:G),Compat_Vetado!C:C,Q539)=-1),"NO","")))</f>
        <v/>
      </c>
      <c r="T539" s="4" t="str">
        <f t="shared" si="6"/>
        <v/>
      </c>
      <c r="U539" s="4" t="str">
        <f>IFERROR(__xludf.DUMMYFUNCTION("IF(P539="""","""",IFERROR(INDEX(filter(Productos!E:E,Productos!F:F=L539,Productos!H:H=N539),P539),IF(M539=SUM(D:D),""Finalizar"",""-"")))"),"")</f>
        <v/>
      </c>
      <c r="V539" s="4" t="str">
        <f>IFERROR(__xludf.DUMMYFUNCTION("IF(OR($U539="""",COUNTIF($I:$I,IFERROR(unique(filter(Prod_Prop!$H:$H,Prod_Prop!$G:$G=$U539,Prod_Prop!$E:$E=V$1)),""Check""))=0),"""",IFERROR(unique(filter(Prod_Prop!$H:$H,Prod_Prop!$G:$G=$U539,Prod_Prop!$E:$E=V$1)),""""))"),"")</f>
        <v/>
      </c>
      <c r="W539" s="4" t="str">
        <f>IF(V539="","",SUMIFS(Prod_Prop!$J:$J,Prod_Prop!$B:$B,$Q539,Prod_Prop!$H:$H,V539,Prod_Prop!$I:$I,W$1)*IF(V539="Peso",$R539,1))</f>
        <v/>
      </c>
      <c r="X539" s="4" t="str">
        <f>IF(V539="","",SUMIFS(Prod_Prop!$J:$J,Prod_Prop!$B:$B,$Q539,Prod_Prop!$H:$H,V539,Prod_Prop!$I:$I,X$1)*IF(V539="Peso",$R539,1))</f>
        <v/>
      </c>
      <c r="Y539" s="4" t="str">
        <f>IFERROR(__xludf.DUMMYFUNCTION("IF(OR($U539="""",COUNTIF($I:$I,IFERROR(unique(filter(Prod_Prop!$H:$H,Prod_Prop!$G:$G=$U539,Prod_Prop!$E:$E=Y$1)),""Check""))=0),"""",IFERROR(unique(filter(Prod_Prop!$H:$H,Prod_Prop!$G:$G=$U539,Prod_Prop!$E:$E=Y$1)),""""))"),"")</f>
        <v/>
      </c>
      <c r="Z539" s="4" t="str">
        <f>IF(Y539="","",SUMIFS(Prod_Prop!$J:$J,Prod_Prop!$B:$B,$Q539,Prod_Prop!$H:$H,Y539,Prod_Prop!$I:$I,Z$1)*IF(Y539="Peso",$R539,1))</f>
        <v/>
      </c>
      <c r="AA539" s="4" t="str">
        <f>IF(Y539="","",SUMIFS(Prod_Prop!$J:$J,Prod_Prop!$B:$B,$Q539,Prod_Prop!$H:$H,Y539,Prod_Prop!$I:$I,AA$1)*IF(Y539="Peso",$R539,1))</f>
        <v/>
      </c>
      <c r="AB539" s="4" t="str">
        <f>IFERROR(__xludf.DUMMYFUNCTION("IF(OR($U539="""",COUNTIF($I:$I,IFERROR(unique(filter(Prod_Prop!$H:$H,Prod_Prop!$G:$G=$U539,Prod_Prop!$E:$E=AB$1)),""Check""))=0),"""",IFERROR(unique(filter(Prod_Prop!$H:$H,Prod_Prop!$G:$G=$U539,Prod_Prop!$E:$E=AB$1)),""""))"),"")</f>
        <v/>
      </c>
      <c r="AC539" s="4" t="str">
        <f>IF(AB539="","",SUMIFS(Prod_Prop!$J:$J,Prod_Prop!$B:$B,$Q539,Prod_Prop!$H:$H,AB539,Prod_Prop!$I:$I,AC$1)*IF(AB539="Peso",$R539,1))</f>
        <v/>
      </c>
      <c r="AD539" s="4" t="str">
        <f>IF(AB539="","",SUMIFS(Prod_Prop!$J:$J,Prod_Prop!$B:$B,$Q539,Prod_Prop!$H:$H,AB539,Prod_Prop!$I:$I,AD$1)*IF(AB539="Peso",$R539,1))</f>
        <v/>
      </c>
    </row>
    <row r="540">
      <c r="A540" s="4" t="str">
        <f t="array" ref="A540">IF(COUNTIF(A$1:A539,Cotizador!F$2)=maxifs(Familias!E:E,Familias!D:D,Cotizador!F$2),IF(COUNTIF(A$1:A539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0" s="4" t="str">
        <f t="shared" si="1"/>
        <v/>
      </c>
      <c r="C540" s="4" t="str">
        <f t="array" ref="C540">IF(B540="","",IF(A540=XLOOKUP(A$2,Implementos!B:B,Implementos!C:C,"",0,1),B540+maxifs(B$1:B539,A$1:A539,A$2),B540))</f>
        <v/>
      </c>
      <c r="D540" s="4" t="str">
        <f>IF(B540="","", COUNTIFS(Productos!F:F,A540,Productos!H:H,B540)+IF(F540="SI",0,1))</f>
        <v/>
      </c>
      <c r="E540" s="4" t="str">
        <f>IFERROR(__xludf.DUMMYFUNCTION("IF($B540="""","""",INDEX(filter(Familias!F:F,Familias!$D:$D=$A540,Familias!$E:$E=$B540),1))"),"")</f>
        <v/>
      </c>
      <c r="F540" s="4" t="str">
        <f>IFERROR(__xludf.DUMMYFUNCTION("IF($B540="""","""",INDEX(filter(Familias!G:G,Familias!$D:$D=$A540,Familias!$E:$E=$B540),1))"),"")</f>
        <v/>
      </c>
      <c r="G540" s="4" t="str">
        <f t="array" ref="G540">IF(C540=1,XLOOKUP(C540,Cotizador!D:D,Cotizador!E:E,"",0,1),"")</f>
        <v/>
      </c>
      <c r="I540" s="4"/>
      <c r="J540" s="8" t="str">
        <f>IF(I540="","",SUMIF(Cotizador!I$1:V$1,I540,Cotizador!I$2:V$2))</f>
        <v/>
      </c>
      <c r="L540" s="4" t="str">
        <f t="array" ref="L540">IF(COUNTIF(L$1:L539,A$2)=SUMIF(A:A,A$2,D:D),IF(COUNTIF(L$1:L539,XLOOKUP(A$2,Implementos!B:B,Implementos!C:C,"",0,1))=SUMIF(A:A,XLOOKUP(A$2,Implementos!B:B,Implementos!C:C,"",0,1),D:D),"",XLOOKUP(A$2,Implementos!B:B,Implementos!C:C,"",0,1)),A$2)</f>
        <v/>
      </c>
      <c r="M540" s="4" t="str">
        <f t="shared" si="2"/>
        <v/>
      </c>
      <c r="N540" s="4" t="str">
        <f t="shared" si="3"/>
        <v/>
      </c>
      <c r="O540" s="4" t="str">
        <f t="shared" si="4"/>
        <v/>
      </c>
      <c r="P540" s="4" t="str">
        <f t="shared" si="5"/>
        <v/>
      </c>
      <c r="Q540" s="4" t="str">
        <f>IF(U540="","",SUMIF(Productos!E:E,U540,Productos!A:A))</f>
        <v/>
      </c>
      <c r="R540" s="4" t="str">
        <f t="array" ref="R540">IF(L540="","", max(1,SUMIF(I:I,XLOOKUP(U540,Productos!E:E,Productos!G:G,"",0,1),J:J)))</f>
        <v/>
      </c>
      <c r="S540" s="4" t="str">
        <f>IF(Q540="","",IF(SUMIFS(Compat_Vetado!D:D,Compat_Vetado!B:B,SUM(G:G),Compat_Vetado!C:C,Q540)=1,"SI",IF(OR(SUMIF(Cotizador!E:E,Q540,Cotizador!G:G)&gt;0,SUMIFS(Compat_Vetado!D:D,Compat_Vetado!B:B,SUM(G:G),Compat_Vetado!C:C,Q540)=-1),"NO","")))</f>
        <v/>
      </c>
      <c r="T540" s="4" t="str">
        <f t="shared" si="6"/>
        <v/>
      </c>
      <c r="U540" s="4" t="str">
        <f>IFERROR(__xludf.DUMMYFUNCTION("IF(P540="""","""",IFERROR(INDEX(filter(Productos!E:E,Productos!F:F=L540,Productos!H:H=N540),P540),IF(M540=SUM(D:D),""Finalizar"",""-"")))"),"")</f>
        <v/>
      </c>
      <c r="V540" s="4" t="str">
        <f>IFERROR(__xludf.DUMMYFUNCTION("IF(OR($U540="""",COUNTIF($I:$I,IFERROR(unique(filter(Prod_Prop!$H:$H,Prod_Prop!$G:$G=$U540,Prod_Prop!$E:$E=V$1)),""Check""))=0),"""",IFERROR(unique(filter(Prod_Prop!$H:$H,Prod_Prop!$G:$G=$U540,Prod_Prop!$E:$E=V$1)),""""))"),"")</f>
        <v/>
      </c>
      <c r="W540" s="4" t="str">
        <f>IF(V540="","",SUMIFS(Prod_Prop!$J:$J,Prod_Prop!$B:$B,$Q540,Prod_Prop!$H:$H,V540,Prod_Prop!$I:$I,W$1)*IF(V540="Peso",$R540,1))</f>
        <v/>
      </c>
      <c r="X540" s="4" t="str">
        <f>IF(V540="","",SUMIFS(Prod_Prop!$J:$J,Prod_Prop!$B:$B,$Q540,Prod_Prop!$H:$H,V540,Prod_Prop!$I:$I,X$1)*IF(V540="Peso",$R540,1))</f>
        <v/>
      </c>
      <c r="Y540" s="4" t="str">
        <f>IFERROR(__xludf.DUMMYFUNCTION("IF(OR($U540="""",COUNTIF($I:$I,IFERROR(unique(filter(Prod_Prop!$H:$H,Prod_Prop!$G:$G=$U540,Prod_Prop!$E:$E=Y$1)),""Check""))=0),"""",IFERROR(unique(filter(Prod_Prop!$H:$H,Prod_Prop!$G:$G=$U540,Prod_Prop!$E:$E=Y$1)),""""))"),"")</f>
        <v/>
      </c>
      <c r="Z540" s="4" t="str">
        <f>IF(Y540="","",SUMIFS(Prod_Prop!$J:$J,Prod_Prop!$B:$B,$Q540,Prod_Prop!$H:$H,Y540,Prod_Prop!$I:$I,Z$1)*IF(Y540="Peso",$R540,1))</f>
        <v/>
      </c>
      <c r="AA540" s="4" t="str">
        <f>IF(Y540="","",SUMIFS(Prod_Prop!$J:$J,Prod_Prop!$B:$B,$Q540,Prod_Prop!$H:$H,Y540,Prod_Prop!$I:$I,AA$1)*IF(Y540="Peso",$R540,1))</f>
        <v/>
      </c>
      <c r="AB540" s="4" t="str">
        <f>IFERROR(__xludf.DUMMYFUNCTION("IF(OR($U540="""",COUNTIF($I:$I,IFERROR(unique(filter(Prod_Prop!$H:$H,Prod_Prop!$G:$G=$U540,Prod_Prop!$E:$E=AB$1)),""Check""))=0),"""",IFERROR(unique(filter(Prod_Prop!$H:$H,Prod_Prop!$G:$G=$U540,Prod_Prop!$E:$E=AB$1)),""""))"),"")</f>
        <v/>
      </c>
      <c r="AC540" s="4" t="str">
        <f>IF(AB540="","",SUMIFS(Prod_Prop!$J:$J,Prod_Prop!$B:$B,$Q540,Prod_Prop!$H:$H,AB540,Prod_Prop!$I:$I,AC$1)*IF(AB540="Peso",$R540,1))</f>
        <v/>
      </c>
      <c r="AD540" s="4" t="str">
        <f>IF(AB540="","",SUMIFS(Prod_Prop!$J:$J,Prod_Prop!$B:$B,$Q540,Prod_Prop!$H:$H,AB540,Prod_Prop!$I:$I,AD$1)*IF(AB540="Peso",$R540,1))</f>
        <v/>
      </c>
    </row>
    <row r="541">
      <c r="A541" s="4" t="str">
        <f t="array" ref="A541">IF(COUNTIF(A$1:A540,Cotizador!F$2)=maxifs(Familias!E:E,Familias!D:D,Cotizador!F$2),IF(COUNTIF(A$1:A540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1" s="4" t="str">
        <f t="shared" si="1"/>
        <v/>
      </c>
      <c r="C541" s="4" t="str">
        <f t="array" ref="C541">IF(B541="","",IF(A541=XLOOKUP(A$2,Implementos!B:B,Implementos!C:C,"",0,1),B541+maxifs(B$1:B540,A$1:A540,A$2),B541))</f>
        <v/>
      </c>
      <c r="D541" s="4" t="str">
        <f>IF(B541="","", COUNTIFS(Productos!F:F,A541,Productos!H:H,B541)+IF(F541="SI",0,1))</f>
        <v/>
      </c>
      <c r="E541" s="4" t="str">
        <f>IFERROR(__xludf.DUMMYFUNCTION("IF($B541="""","""",INDEX(filter(Familias!F:F,Familias!$D:$D=$A541,Familias!$E:$E=$B541),1))"),"")</f>
        <v/>
      </c>
      <c r="F541" s="4" t="str">
        <f>IFERROR(__xludf.DUMMYFUNCTION("IF($B541="""","""",INDEX(filter(Familias!G:G,Familias!$D:$D=$A541,Familias!$E:$E=$B541),1))"),"")</f>
        <v/>
      </c>
      <c r="G541" s="4" t="str">
        <f t="array" ref="G541">IF(C541=1,XLOOKUP(C541,Cotizador!D:D,Cotizador!E:E,"",0,1),"")</f>
        <v/>
      </c>
      <c r="I541" s="4"/>
      <c r="J541" s="8" t="str">
        <f>IF(I541="","",SUMIF(Cotizador!I$1:V$1,I541,Cotizador!I$2:V$2))</f>
        <v/>
      </c>
      <c r="L541" s="4" t="str">
        <f t="array" ref="L541">IF(COUNTIF(L$1:L540,A$2)=SUMIF(A:A,A$2,D:D),IF(COUNTIF(L$1:L540,XLOOKUP(A$2,Implementos!B:B,Implementos!C:C,"",0,1))=SUMIF(A:A,XLOOKUP(A$2,Implementos!B:B,Implementos!C:C,"",0,1),D:D),"",XLOOKUP(A$2,Implementos!B:B,Implementos!C:C,"",0,1)),A$2)</f>
        <v/>
      </c>
      <c r="M541" s="4" t="str">
        <f t="shared" si="2"/>
        <v/>
      </c>
      <c r="N541" s="4" t="str">
        <f t="shared" si="3"/>
        <v/>
      </c>
      <c r="O541" s="4" t="str">
        <f t="shared" si="4"/>
        <v/>
      </c>
      <c r="P541" s="4" t="str">
        <f t="shared" si="5"/>
        <v/>
      </c>
      <c r="Q541" s="4" t="str">
        <f>IF(U541="","",SUMIF(Productos!E:E,U541,Productos!A:A))</f>
        <v/>
      </c>
      <c r="R541" s="4" t="str">
        <f t="array" ref="R541">IF(L541="","", max(1,SUMIF(I:I,XLOOKUP(U541,Productos!E:E,Productos!G:G,"",0,1),J:J)))</f>
        <v/>
      </c>
      <c r="S541" s="4" t="str">
        <f>IF(Q541="","",IF(SUMIFS(Compat_Vetado!D:D,Compat_Vetado!B:B,SUM(G:G),Compat_Vetado!C:C,Q541)=1,"SI",IF(OR(SUMIF(Cotizador!E:E,Q541,Cotizador!G:G)&gt;0,SUMIFS(Compat_Vetado!D:D,Compat_Vetado!B:B,SUM(G:G),Compat_Vetado!C:C,Q541)=-1),"NO","")))</f>
        <v/>
      </c>
      <c r="T541" s="4" t="str">
        <f t="shared" si="6"/>
        <v/>
      </c>
      <c r="U541" s="4" t="str">
        <f>IFERROR(__xludf.DUMMYFUNCTION("IF(P541="""","""",IFERROR(INDEX(filter(Productos!E:E,Productos!F:F=L541,Productos!H:H=N541),P541),IF(M541=SUM(D:D),""Finalizar"",""-"")))"),"")</f>
        <v/>
      </c>
      <c r="V541" s="4" t="str">
        <f>IFERROR(__xludf.DUMMYFUNCTION("IF(OR($U541="""",COUNTIF($I:$I,IFERROR(unique(filter(Prod_Prop!$H:$H,Prod_Prop!$G:$G=$U541,Prod_Prop!$E:$E=V$1)),""Check""))=0),"""",IFERROR(unique(filter(Prod_Prop!$H:$H,Prod_Prop!$G:$G=$U541,Prod_Prop!$E:$E=V$1)),""""))"),"")</f>
        <v/>
      </c>
      <c r="W541" s="4" t="str">
        <f>IF(V541="","",SUMIFS(Prod_Prop!$J:$J,Prod_Prop!$B:$B,$Q541,Prod_Prop!$H:$H,V541,Prod_Prop!$I:$I,W$1)*IF(V541="Peso",$R541,1))</f>
        <v/>
      </c>
      <c r="X541" s="4" t="str">
        <f>IF(V541="","",SUMIFS(Prod_Prop!$J:$J,Prod_Prop!$B:$B,$Q541,Prod_Prop!$H:$H,V541,Prod_Prop!$I:$I,X$1)*IF(V541="Peso",$R541,1))</f>
        <v/>
      </c>
      <c r="Y541" s="4" t="str">
        <f>IFERROR(__xludf.DUMMYFUNCTION("IF(OR($U541="""",COUNTIF($I:$I,IFERROR(unique(filter(Prod_Prop!$H:$H,Prod_Prop!$G:$G=$U541,Prod_Prop!$E:$E=Y$1)),""Check""))=0),"""",IFERROR(unique(filter(Prod_Prop!$H:$H,Prod_Prop!$G:$G=$U541,Prod_Prop!$E:$E=Y$1)),""""))"),"")</f>
        <v/>
      </c>
      <c r="Z541" s="4" t="str">
        <f>IF(Y541="","",SUMIFS(Prod_Prop!$J:$J,Prod_Prop!$B:$B,$Q541,Prod_Prop!$H:$H,Y541,Prod_Prop!$I:$I,Z$1)*IF(Y541="Peso",$R541,1))</f>
        <v/>
      </c>
      <c r="AA541" s="4" t="str">
        <f>IF(Y541="","",SUMIFS(Prod_Prop!$J:$J,Prod_Prop!$B:$B,$Q541,Prod_Prop!$H:$H,Y541,Prod_Prop!$I:$I,AA$1)*IF(Y541="Peso",$R541,1))</f>
        <v/>
      </c>
      <c r="AB541" s="4" t="str">
        <f>IFERROR(__xludf.DUMMYFUNCTION("IF(OR($U541="""",COUNTIF($I:$I,IFERROR(unique(filter(Prod_Prop!$H:$H,Prod_Prop!$G:$G=$U541,Prod_Prop!$E:$E=AB$1)),""Check""))=0),"""",IFERROR(unique(filter(Prod_Prop!$H:$H,Prod_Prop!$G:$G=$U541,Prod_Prop!$E:$E=AB$1)),""""))"),"")</f>
        <v/>
      </c>
      <c r="AC541" s="4" t="str">
        <f>IF(AB541="","",SUMIFS(Prod_Prop!$J:$J,Prod_Prop!$B:$B,$Q541,Prod_Prop!$H:$H,AB541,Prod_Prop!$I:$I,AC$1)*IF(AB541="Peso",$R541,1))</f>
        <v/>
      </c>
      <c r="AD541" s="4" t="str">
        <f>IF(AB541="","",SUMIFS(Prod_Prop!$J:$J,Prod_Prop!$B:$B,$Q541,Prod_Prop!$H:$H,AB541,Prod_Prop!$I:$I,AD$1)*IF(AB541="Peso",$R541,1))</f>
        <v/>
      </c>
    </row>
    <row r="542">
      <c r="A542" s="4" t="str">
        <f t="array" ref="A542">IF(COUNTIF(A$1:A541,Cotizador!F$2)=maxifs(Familias!E:E,Familias!D:D,Cotizador!F$2),IF(COUNTIF(A$1:A541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2" s="4" t="str">
        <f t="shared" si="1"/>
        <v/>
      </c>
      <c r="C542" s="4" t="str">
        <f t="array" ref="C542">IF(B542="","",IF(A542=XLOOKUP(A$2,Implementos!B:B,Implementos!C:C,"",0,1),B542+maxifs(B$1:B541,A$1:A541,A$2),B542))</f>
        <v/>
      </c>
      <c r="D542" s="4" t="str">
        <f>IF(B542="","", COUNTIFS(Productos!F:F,A542,Productos!H:H,B542)+IF(F542="SI",0,1))</f>
        <v/>
      </c>
      <c r="E542" s="4" t="str">
        <f>IFERROR(__xludf.DUMMYFUNCTION("IF($B542="""","""",INDEX(filter(Familias!F:F,Familias!$D:$D=$A542,Familias!$E:$E=$B542),1))"),"")</f>
        <v/>
      </c>
      <c r="F542" s="4" t="str">
        <f>IFERROR(__xludf.DUMMYFUNCTION("IF($B542="""","""",INDEX(filter(Familias!G:G,Familias!$D:$D=$A542,Familias!$E:$E=$B542),1))"),"")</f>
        <v/>
      </c>
      <c r="G542" s="4" t="str">
        <f t="array" ref="G542">IF(C542=1,XLOOKUP(C542,Cotizador!D:D,Cotizador!E:E,"",0,1),"")</f>
        <v/>
      </c>
      <c r="I542" s="4"/>
      <c r="J542" s="8" t="str">
        <f>IF(I542="","",SUMIF(Cotizador!I$1:V$1,I542,Cotizador!I$2:V$2))</f>
        <v/>
      </c>
      <c r="L542" s="4" t="str">
        <f t="array" ref="L542">IF(COUNTIF(L$1:L541,A$2)=SUMIF(A:A,A$2,D:D),IF(COUNTIF(L$1:L541,XLOOKUP(A$2,Implementos!B:B,Implementos!C:C,"",0,1))=SUMIF(A:A,XLOOKUP(A$2,Implementos!B:B,Implementos!C:C,"",0,1),D:D),"",XLOOKUP(A$2,Implementos!B:B,Implementos!C:C,"",0,1)),A$2)</f>
        <v/>
      </c>
      <c r="M542" s="4" t="str">
        <f t="shared" si="2"/>
        <v/>
      </c>
      <c r="N542" s="4" t="str">
        <f t="shared" si="3"/>
        <v/>
      </c>
      <c r="O542" s="4" t="str">
        <f t="shared" si="4"/>
        <v/>
      </c>
      <c r="P542" s="4" t="str">
        <f t="shared" si="5"/>
        <v/>
      </c>
      <c r="Q542" s="4" t="str">
        <f>IF(U542="","",SUMIF(Productos!E:E,U542,Productos!A:A))</f>
        <v/>
      </c>
      <c r="R542" s="4" t="str">
        <f t="array" ref="R542">IF(L542="","", max(1,SUMIF(I:I,XLOOKUP(U542,Productos!E:E,Productos!G:G,"",0,1),J:J)))</f>
        <v/>
      </c>
      <c r="S542" s="4" t="str">
        <f>IF(Q542="","",IF(SUMIFS(Compat_Vetado!D:D,Compat_Vetado!B:B,SUM(G:G),Compat_Vetado!C:C,Q542)=1,"SI",IF(OR(SUMIF(Cotizador!E:E,Q542,Cotizador!G:G)&gt;0,SUMIFS(Compat_Vetado!D:D,Compat_Vetado!B:B,SUM(G:G),Compat_Vetado!C:C,Q542)=-1),"NO","")))</f>
        <v/>
      </c>
      <c r="T542" s="4" t="str">
        <f t="shared" si="6"/>
        <v/>
      </c>
      <c r="U542" s="4" t="str">
        <f>IFERROR(__xludf.DUMMYFUNCTION("IF(P542="""","""",IFERROR(INDEX(filter(Productos!E:E,Productos!F:F=L542,Productos!H:H=N542),P542),IF(M542=SUM(D:D),""Finalizar"",""-"")))"),"")</f>
        <v/>
      </c>
      <c r="V542" s="4" t="str">
        <f>IFERROR(__xludf.DUMMYFUNCTION("IF(OR($U542="""",COUNTIF($I:$I,IFERROR(unique(filter(Prod_Prop!$H:$H,Prod_Prop!$G:$G=$U542,Prod_Prop!$E:$E=V$1)),""Check""))=0),"""",IFERROR(unique(filter(Prod_Prop!$H:$H,Prod_Prop!$G:$G=$U542,Prod_Prop!$E:$E=V$1)),""""))"),"")</f>
        <v/>
      </c>
      <c r="W542" s="4" t="str">
        <f>IF(V542="","",SUMIFS(Prod_Prop!$J:$J,Prod_Prop!$B:$B,$Q542,Prod_Prop!$H:$H,V542,Prod_Prop!$I:$I,W$1)*IF(V542="Peso",$R542,1))</f>
        <v/>
      </c>
      <c r="X542" s="4" t="str">
        <f>IF(V542="","",SUMIFS(Prod_Prop!$J:$J,Prod_Prop!$B:$B,$Q542,Prod_Prop!$H:$H,V542,Prod_Prop!$I:$I,X$1)*IF(V542="Peso",$R542,1))</f>
        <v/>
      </c>
      <c r="Y542" s="4" t="str">
        <f>IFERROR(__xludf.DUMMYFUNCTION("IF(OR($U542="""",COUNTIF($I:$I,IFERROR(unique(filter(Prod_Prop!$H:$H,Prod_Prop!$G:$G=$U542,Prod_Prop!$E:$E=Y$1)),""Check""))=0),"""",IFERROR(unique(filter(Prod_Prop!$H:$H,Prod_Prop!$G:$G=$U542,Prod_Prop!$E:$E=Y$1)),""""))"),"")</f>
        <v/>
      </c>
      <c r="Z542" s="4" t="str">
        <f>IF(Y542="","",SUMIFS(Prod_Prop!$J:$J,Prod_Prop!$B:$B,$Q542,Prod_Prop!$H:$H,Y542,Prod_Prop!$I:$I,Z$1)*IF(Y542="Peso",$R542,1))</f>
        <v/>
      </c>
      <c r="AA542" s="4" t="str">
        <f>IF(Y542="","",SUMIFS(Prod_Prop!$J:$J,Prod_Prop!$B:$B,$Q542,Prod_Prop!$H:$H,Y542,Prod_Prop!$I:$I,AA$1)*IF(Y542="Peso",$R542,1))</f>
        <v/>
      </c>
      <c r="AB542" s="4" t="str">
        <f>IFERROR(__xludf.DUMMYFUNCTION("IF(OR($U542="""",COUNTIF($I:$I,IFERROR(unique(filter(Prod_Prop!$H:$H,Prod_Prop!$G:$G=$U542,Prod_Prop!$E:$E=AB$1)),""Check""))=0),"""",IFERROR(unique(filter(Prod_Prop!$H:$H,Prod_Prop!$G:$G=$U542,Prod_Prop!$E:$E=AB$1)),""""))"),"")</f>
        <v/>
      </c>
      <c r="AC542" s="4" t="str">
        <f>IF(AB542="","",SUMIFS(Prod_Prop!$J:$J,Prod_Prop!$B:$B,$Q542,Prod_Prop!$H:$H,AB542,Prod_Prop!$I:$I,AC$1)*IF(AB542="Peso",$R542,1))</f>
        <v/>
      </c>
      <c r="AD542" s="4" t="str">
        <f>IF(AB542="","",SUMIFS(Prod_Prop!$J:$J,Prod_Prop!$B:$B,$Q542,Prod_Prop!$H:$H,AB542,Prod_Prop!$I:$I,AD$1)*IF(AB542="Peso",$R542,1))</f>
        <v/>
      </c>
    </row>
    <row r="543">
      <c r="A543" s="4" t="str">
        <f t="array" ref="A543">IF(COUNTIF(A$1:A542,Cotizador!F$2)=maxifs(Familias!E:E,Familias!D:D,Cotizador!F$2),IF(COUNTIF(A$1:A542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3" s="4" t="str">
        <f t="shared" si="1"/>
        <v/>
      </c>
      <c r="C543" s="4" t="str">
        <f t="array" ref="C543">IF(B543="","",IF(A543=XLOOKUP(A$2,Implementos!B:B,Implementos!C:C,"",0,1),B543+maxifs(B$1:B542,A$1:A542,A$2),B543))</f>
        <v/>
      </c>
      <c r="D543" s="4" t="str">
        <f>IF(B543="","", COUNTIFS(Productos!F:F,A543,Productos!H:H,B543)+IF(F543="SI",0,1))</f>
        <v/>
      </c>
      <c r="E543" s="4" t="str">
        <f>IFERROR(__xludf.DUMMYFUNCTION("IF($B543="""","""",INDEX(filter(Familias!F:F,Familias!$D:$D=$A543,Familias!$E:$E=$B543),1))"),"")</f>
        <v/>
      </c>
      <c r="F543" s="4" t="str">
        <f>IFERROR(__xludf.DUMMYFUNCTION("IF($B543="""","""",INDEX(filter(Familias!G:G,Familias!$D:$D=$A543,Familias!$E:$E=$B543),1))"),"")</f>
        <v/>
      </c>
      <c r="G543" s="4" t="str">
        <f t="array" ref="G543">IF(C543=1,XLOOKUP(C543,Cotizador!D:D,Cotizador!E:E,"",0,1),"")</f>
        <v/>
      </c>
      <c r="I543" s="4"/>
      <c r="J543" s="8" t="str">
        <f>IF(I543="","",SUMIF(Cotizador!I$1:V$1,I543,Cotizador!I$2:V$2))</f>
        <v/>
      </c>
      <c r="L543" s="4" t="str">
        <f t="array" ref="L543">IF(COUNTIF(L$1:L542,A$2)=SUMIF(A:A,A$2,D:D),IF(COUNTIF(L$1:L542,XLOOKUP(A$2,Implementos!B:B,Implementos!C:C,"",0,1))=SUMIF(A:A,XLOOKUP(A$2,Implementos!B:B,Implementos!C:C,"",0,1),D:D),"",XLOOKUP(A$2,Implementos!B:B,Implementos!C:C,"",0,1)),A$2)</f>
        <v/>
      </c>
      <c r="M543" s="4" t="str">
        <f t="shared" si="2"/>
        <v/>
      </c>
      <c r="N543" s="4" t="str">
        <f t="shared" si="3"/>
        <v/>
      </c>
      <c r="O543" s="4" t="str">
        <f t="shared" si="4"/>
        <v/>
      </c>
      <c r="P543" s="4" t="str">
        <f t="shared" si="5"/>
        <v/>
      </c>
      <c r="Q543" s="4" t="str">
        <f>IF(U543="","",SUMIF(Productos!E:E,U543,Productos!A:A))</f>
        <v/>
      </c>
      <c r="R543" s="4" t="str">
        <f t="array" ref="R543">IF(L543="","", max(1,SUMIF(I:I,XLOOKUP(U543,Productos!E:E,Productos!G:G,"",0,1),J:J)))</f>
        <v/>
      </c>
      <c r="S543" s="4" t="str">
        <f>IF(Q543="","",IF(SUMIFS(Compat_Vetado!D:D,Compat_Vetado!B:B,SUM(G:G),Compat_Vetado!C:C,Q543)=1,"SI",IF(OR(SUMIF(Cotizador!E:E,Q543,Cotizador!G:G)&gt;0,SUMIFS(Compat_Vetado!D:D,Compat_Vetado!B:B,SUM(G:G),Compat_Vetado!C:C,Q543)=-1),"NO","")))</f>
        <v/>
      </c>
      <c r="T543" s="4" t="str">
        <f t="shared" si="6"/>
        <v/>
      </c>
      <c r="U543" s="4" t="str">
        <f>IFERROR(__xludf.DUMMYFUNCTION("IF(P543="""","""",IFERROR(INDEX(filter(Productos!E:E,Productos!F:F=L543,Productos!H:H=N543),P543),IF(M543=SUM(D:D),""Finalizar"",""-"")))"),"")</f>
        <v/>
      </c>
      <c r="V543" s="4" t="str">
        <f>IFERROR(__xludf.DUMMYFUNCTION("IF(OR($U543="""",COUNTIF($I:$I,IFERROR(unique(filter(Prod_Prop!$H:$H,Prod_Prop!$G:$G=$U543,Prod_Prop!$E:$E=V$1)),""Check""))=0),"""",IFERROR(unique(filter(Prod_Prop!$H:$H,Prod_Prop!$G:$G=$U543,Prod_Prop!$E:$E=V$1)),""""))"),"")</f>
        <v/>
      </c>
      <c r="W543" s="4" t="str">
        <f>IF(V543="","",SUMIFS(Prod_Prop!$J:$J,Prod_Prop!$B:$B,$Q543,Prod_Prop!$H:$H,V543,Prod_Prop!$I:$I,W$1)*IF(V543="Peso",$R543,1))</f>
        <v/>
      </c>
      <c r="X543" s="4" t="str">
        <f>IF(V543="","",SUMIFS(Prod_Prop!$J:$J,Prod_Prop!$B:$B,$Q543,Prod_Prop!$H:$H,V543,Prod_Prop!$I:$I,X$1)*IF(V543="Peso",$R543,1))</f>
        <v/>
      </c>
      <c r="Y543" s="4" t="str">
        <f>IFERROR(__xludf.DUMMYFUNCTION("IF(OR($U543="""",COUNTIF($I:$I,IFERROR(unique(filter(Prod_Prop!$H:$H,Prod_Prop!$G:$G=$U543,Prod_Prop!$E:$E=Y$1)),""Check""))=0),"""",IFERROR(unique(filter(Prod_Prop!$H:$H,Prod_Prop!$G:$G=$U543,Prod_Prop!$E:$E=Y$1)),""""))"),"")</f>
        <v/>
      </c>
      <c r="Z543" s="4" t="str">
        <f>IF(Y543="","",SUMIFS(Prod_Prop!$J:$J,Prod_Prop!$B:$B,$Q543,Prod_Prop!$H:$H,Y543,Prod_Prop!$I:$I,Z$1)*IF(Y543="Peso",$R543,1))</f>
        <v/>
      </c>
      <c r="AA543" s="4" t="str">
        <f>IF(Y543="","",SUMIFS(Prod_Prop!$J:$J,Prod_Prop!$B:$B,$Q543,Prod_Prop!$H:$H,Y543,Prod_Prop!$I:$I,AA$1)*IF(Y543="Peso",$R543,1))</f>
        <v/>
      </c>
      <c r="AB543" s="4" t="str">
        <f>IFERROR(__xludf.DUMMYFUNCTION("IF(OR($U543="""",COUNTIF($I:$I,IFERROR(unique(filter(Prod_Prop!$H:$H,Prod_Prop!$G:$G=$U543,Prod_Prop!$E:$E=AB$1)),""Check""))=0),"""",IFERROR(unique(filter(Prod_Prop!$H:$H,Prod_Prop!$G:$G=$U543,Prod_Prop!$E:$E=AB$1)),""""))"),"")</f>
        <v/>
      </c>
      <c r="AC543" s="4" t="str">
        <f>IF(AB543="","",SUMIFS(Prod_Prop!$J:$J,Prod_Prop!$B:$B,$Q543,Prod_Prop!$H:$H,AB543,Prod_Prop!$I:$I,AC$1)*IF(AB543="Peso",$R543,1))</f>
        <v/>
      </c>
      <c r="AD543" s="4" t="str">
        <f>IF(AB543="","",SUMIFS(Prod_Prop!$J:$J,Prod_Prop!$B:$B,$Q543,Prod_Prop!$H:$H,AB543,Prod_Prop!$I:$I,AD$1)*IF(AB543="Peso",$R543,1))</f>
        <v/>
      </c>
    </row>
    <row r="544">
      <c r="A544" s="4" t="str">
        <f t="array" ref="A544">IF(COUNTIF(A$1:A543,Cotizador!F$2)=maxifs(Familias!E:E,Familias!D:D,Cotizador!F$2),IF(COUNTIF(A$1:A543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4" s="4" t="str">
        <f t="shared" si="1"/>
        <v/>
      </c>
      <c r="C544" s="4" t="str">
        <f t="array" ref="C544">IF(B544="","",IF(A544=XLOOKUP(A$2,Implementos!B:B,Implementos!C:C,"",0,1),B544+maxifs(B$1:B543,A$1:A543,A$2),B544))</f>
        <v/>
      </c>
      <c r="D544" s="4" t="str">
        <f>IF(B544="","", COUNTIFS(Productos!F:F,A544,Productos!H:H,B544)+IF(F544="SI",0,1))</f>
        <v/>
      </c>
      <c r="E544" s="4" t="str">
        <f>IFERROR(__xludf.DUMMYFUNCTION("IF($B544="""","""",INDEX(filter(Familias!F:F,Familias!$D:$D=$A544,Familias!$E:$E=$B544),1))"),"")</f>
        <v/>
      </c>
      <c r="F544" s="4" t="str">
        <f>IFERROR(__xludf.DUMMYFUNCTION("IF($B544="""","""",INDEX(filter(Familias!G:G,Familias!$D:$D=$A544,Familias!$E:$E=$B544),1))"),"")</f>
        <v/>
      </c>
      <c r="G544" s="4" t="str">
        <f t="array" ref="G544">IF(C544=1,XLOOKUP(C544,Cotizador!D:D,Cotizador!E:E,"",0,1),"")</f>
        <v/>
      </c>
      <c r="I544" s="4"/>
      <c r="J544" s="8" t="str">
        <f>IF(I544="","",SUMIF(Cotizador!I$1:V$1,I544,Cotizador!I$2:V$2))</f>
        <v/>
      </c>
      <c r="L544" s="4" t="str">
        <f t="array" ref="L544">IF(COUNTIF(L$1:L543,A$2)=SUMIF(A:A,A$2,D:D),IF(COUNTIF(L$1:L543,XLOOKUP(A$2,Implementos!B:B,Implementos!C:C,"",0,1))=SUMIF(A:A,XLOOKUP(A$2,Implementos!B:B,Implementos!C:C,"",0,1),D:D),"",XLOOKUP(A$2,Implementos!B:B,Implementos!C:C,"",0,1)),A$2)</f>
        <v/>
      </c>
      <c r="M544" s="4" t="str">
        <f t="shared" si="2"/>
        <v/>
      </c>
      <c r="N544" s="4" t="str">
        <f t="shared" si="3"/>
        <v/>
      </c>
      <c r="O544" s="4" t="str">
        <f t="shared" si="4"/>
        <v/>
      </c>
      <c r="P544" s="4" t="str">
        <f t="shared" si="5"/>
        <v/>
      </c>
      <c r="Q544" s="4" t="str">
        <f>IF(U544="","",SUMIF(Productos!E:E,U544,Productos!A:A))</f>
        <v/>
      </c>
      <c r="R544" s="4" t="str">
        <f t="array" ref="R544">IF(L544="","", max(1,SUMIF(I:I,XLOOKUP(U544,Productos!E:E,Productos!G:G,"",0,1),J:J)))</f>
        <v/>
      </c>
      <c r="S544" s="4" t="str">
        <f>IF(Q544="","",IF(SUMIFS(Compat_Vetado!D:D,Compat_Vetado!B:B,SUM(G:G),Compat_Vetado!C:C,Q544)=1,"SI",IF(OR(SUMIF(Cotizador!E:E,Q544,Cotizador!G:G)&gt;0,SUMIFS(Compat_Vetado!D:D,Compat_Vetado!B:B,SUM(G:G),Compat_Vetado!C:C,Q544)=-1),"NO","")))</f>
        <v/>
      </c>
      <c r="T544" s="4" t="str">
        <f t="shared" si="6"/>
        <v/>
      </c>
      <c r="U544" s="4" t="str">
        <f>IFERROR(__xludf.DUMMYFUNCTION("IF(P544="""","""",IFERROR(INDEX(filter(Productos!E:E,Productos!F:F=L544,Productos!H:H=N544),P544),IF(M544=SUM(D:D),""Finalizar"",""-"")))"),"")</f>
        <v/>
      </c>
      <c r="V544" s="4" t="str">
        <f>IFERROR(__xludf.DUMMYFUNCTION("IF(OR($U544="""",COUNTIF($I:$I,IFERROR(unique(filter(Prod_Prop!$H:$H,Prod_Prop!$G:$G=$U544,Prod_Prop!$E:$E=V$1)),""Check""))=0),"""",IFERROR(unique(filter(Prod_Prop!$H:$H,Prod_Prop!$G:$G=$U544,Prod_Prop!$E:$E=V$1)),""""))"),"")</f>
        <v/>
      </c>
      <c r="W544" s="4" t="str">
        <f>IF(V544="","",SUMIFS(Prod_Prop!$J:$J,Prod_Prop!$B:$B,$Q544,Prod_Prop!$H:$H,V544,Prod_Prop!$I:$I,W$1)*IF(V544="Peso",$R544,1))</f>
        <v/>
      </c>
      <c r="X544" s="4" t="str">
        <f>IF(V544="","",SUMIFS(Prod_Prop!$J:$J,Prod_Prop!$B:$B,$Q544,Prod_Prop!$H:$H,V544,Prod_Prop!$I:$I,X$1)*IF(V544="Peso",$R544,1))</f>
        <v/>
      </c>
      <c r="Y544" s="4" t="str">
        <f>IFERROR(__xludf.DUMMYFUNCTION("IF(OR($U544="""",COUNTIF($I:$I,IFERROR(unique(filter(Prod_Prop!$H:$H,Prod_Prop!$G:$G=$U544,Prod_Prop!$E:$E=Y$1)),""Check""))=0),"""",IFERROR(unique(filter(Prod_Prop!$H:$H,Prod_Prop!$G:$G=$U544,Prod_Prop!$E:$E=Y$1)),""""))"),"")</f>
        <v/>
      </c>
      <c r="Z544" s="4" t="str">
        <f>IF(Y544="","",SUMIFS(Prod_Prop!$J:$J,Prod_Prop!$B:$B,$Q544,Prod_Prop!$H:$H,Y544,Prod_Prop!$I:$I,Z$1)*IF(Y544="Peso",$R544,1))</f>
        <v/>
      </c>
      <c r="AA544" s="4" t="str">
        <f>IF(Y544="","",SUMIFS(Prod_Prop!$J:$J,Prod_Prop!$B:$B,$Q544,Prod_Prop!$H:$H,Y544,Prod_Prop!$I:$I,AA$1)*IF(Y544="Peso",$R544,1))</f>
        <v/>
      </c>
      <c r="AB544" s="4" t="str">
        <f>IFERROR(__xludf.DUMMYFUNCTION("IF(OR($U544="""",COUNTIF($I:$I,IFERROR(unique(filter(Prod_Prop!$H:$H,Prod_Prop!$G:$G=$U544,Prod_Prop!$E:$E=AB$1)),""Check""))=0),"""",IFERROR(unique(filter(Prod_Prop!$H:$H,Prod_Prop!$G:$G=$U544,Prod_Prop!$E:$E=AB$1)),""""))"),"")</f>
        <v/>
      </c>
      <c r="AC544" s="4" t="str">
        <f>IF(AB544="","",SUMIFS(Prod_Prop!$J:$J,Prod_Prop!$B:$B,$Q544,Prod_Prop!$H:$H,AB544,Prod_Prop!$I:$I,AC$1)*IF(AB544="Peso",$R544,1))</f>
        <v/>
      </c>
      <c r="AD544" s="4" t="str">
        <f>IF(AB544="","",SUMIFS(Prod_Prop!$J:$J,Prod_Prop!$B:$B,$Q544,Prod_Prop!$H:$H,AB544,Prod_Prop!$I:$I,AD$1)*IF(AB544="Peso",$R544,1))</f>
        <v/>
      </c>
    </row>
    <row r="545">
      <c r="A545" s="4" t="str">
        <f t="array" ref="A545">IF(COUNTIF(A$1:A544,Cotizador!F$2)=maxifs(Familias!E:E,Familias!D:D,Cotizador!F$2),IF(COUNTIF(A$1:A544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5" s="4" t="str">
        <f t="shared" si="1"/>
        <v/>
      </c>
      <c r="C545" s="4" t="str">
        <f t="array" ref="C545">IF(B545="","",IF(A545=XLOOKUP(A$2,Implementos!B:B,Implementos!C:C,"",0,1),B545+maxifs(B$1:B544,A$1:A544,A$2),B545))</f>
        <v/>
      </c>
      <c r="D545" s="4" t="str">
        <f>IF(B545="","", COUNTIFS(Productos!F:F,A545,Productos!H:H,B545)+IF(F545="SI",0,1))</f>
        <v/>
      </c>
      <c r="E545" s="4" t="str">
        <f>IFERROR(__xludf.DUMMYFUNCTION("IF($B545="""","""",INDEX(filter(Familias!F:F,Familias!$D:$D=$A545,Familias!$E:$E=$B545),1))"),"")</f>
        <v/>
      </c>
      <c r="F545" s="4" t="str">
        <f>IFERROR(__xludf.DUMMYFUNCTION("IF($B545="""","""",INDEX(filter(Familias!G:G,Familias!$D:$D=$A545,Familias!$E:$E=$B545),1))"),"")</f>
        <v/>
      </c>
      <c r="G545" s="4" t="str">
        <f t="array" ref="G545">IF(C545=1,XLOOKUP(C545,Cotizador!D:D,Cotizador!E:E,"",0,1),"")</f>
        <v/>
      </c>
      <c r="I545" s="4"/>
      <c r="J545" s="8" t="str">
        <f>IF(I545="","",SUMIF(Cotizador!I$1:V$1,I545,Cotizador!I$2:V$2))</f>
        <v/>
      </c>
      <c r="L545" s="4" t="str">
        <f t="array" ref="L545">IF(COUNTIF(L$1:L544,A$2)=SUMIF(A:A,A$2,D:D),IF(COUNTIF(L$1:L544,XLOOKUP(A$2,Implementos!B:B,Implementos!C:C,"",0,1))=SUMIF(A:A,XLOOKUP(A$2,Implementos!B:B,Implementos!C:C,"",0,1),D:D),"",XLOOKUP(A$2,Implementos!B:B,Implementos!C:C,"",0,1)),A$2)</f>
        <v/>
      </c>
      <c r="M545" s="4" t="str">
        <f t="shared" si="2"/>
        <v/>
      </c>
      <c r="N545" s="4" t="str">
        <f t="shared" si="3"/>
        <v/>
      </c>
      <c r="O545" s="4" t="str">
        <f t="shared" si="4"/>
        <v/>
      </c>
      <c r="P545" s="4" t="str">
        <f t="shared" si="5"/>
        <v/>
      </c>
      <c r="Q545" s="4" t="str">
        <f>IF(U545="","",SUMIF(Productos!E:E,U545,Productos!A:A))</f>
        <v/>
      </c>
      <c r="R545" s="4" t="str">
        <f t="array" ref="R545">IF(L545="","", max(1,SUMIF(I:I,XLOOKUP(U545,Productos!E:E,Productos!G:G,"",0,1),J:J)))</f>
        <v/>
      </c>
      <c r="S545" s="4" t="str">
        <f>IF(Q545="","",IF(SUMIFS(Compat_Vetado!D:D,Compat_Vetado!B:B,SUM(G:G),Compat_Vetado!C:C,Q545)=1,"SI",IF(OR(SUMIF(Cotizador!E:E,Q545,Cotizador!G:G)&gt;0,SUMIFS(Compat_Vetado!D:D,Compat_Vetado!B:B,SUM(G:G),Compat_Vetado!C:C,Q545)=-1),"NO","")))</f>
        <v/>
      </c>
      <c r="T545" s="4" t="str">
        <f t="shared" si="6"/>
        <v/>
      </c>
      <c r="U545" s="4" t="str">
        <f>IFERROR(__xludf.DUMMYFUNCTION("IF(P545="""","""",IFERROR(INDEX(filter(Productos!E:E,Productos!F:F=L545,Productos!H:H=N545),P545),IF(M545=SUM(D:D),""Finalizar"",""-"")))"),"")</f>
        <v/>
      </c>
      <c r="V545" s="4" t="str">
        <f>IFERROR(__xludf.DUMMYFUNCTION("IF(OR($U545="""",COUNTIF($I:$I,IFERROR(unique(filter(Prod_Prop!$H:$H,Prod_Prop!$G:$G=$U545,Prod_Prop!$E:$E=V$1)),""Check""))=0),"""",IFERROR(unique(filter(Prod_Prop!$H:$H,Prod_Prop!$G:$G=$U545,Prod_Prop!$E:$E=V$1)),""""))"),"")</f>
        <v/>
      </c>
      <c r="W545" s="4" t="str">
        <f>IF(V545="","",SUMIFS(Prod_Prop!$J:$J,Prod_Prop!$B:$B,$Q545,Prod_Prop!$H:$H,V545,Prod_Prop!$I:$I,W$1)*IF(V545="Peso",$R545,1))</f>
        <v/>
      </c>
      <c r="X545" s="4" t="str">
        <f>IF(V545="","",SUMIFS(Prod_Prop!$J:$J,Prod_Prop!$B:$B,$Q545,Prod_Prop!$H:$H,V545,Prod_Prop!$I:$I,X$1)*IF(V545="Peso",$R545,1))</f>
        <v/>
      </c>
      <c r="Y545" s="4" t="str">
        <f>IFERROR(__xludf.DUMMYFUNCTION("IF(OR($U545="""",COUNTIF($I:$I,IFERROR(unique(filter(Prod_Prop!$H:$H,Prod_Prop!$G:$G=$U545,Prod_Prop!$E:$E=Y$1)),""Check""))=0),"""",IFERROR(unique(filter(Prod_Prop!$H:$H,Prod_Prop!$G:$G=$U545,Prod_Prop!$E:$E=Y$1)),""""))"),"")</f>
        <v/>
      </c>
      <c r="Z545" s="4" t="str">
        <f>IF(Y545="","",SUMIFS(Prod_Prop!$J:$J,Prod_Prop!$B:$B,$Q545,Prod_Prop!$H:$H,Y545,Prod_Prop!$I:$I,Z$1)*IF(Y545="Peso",$R545,1))</f>
        <v/>
      </c>
      <c r="AA545" s="4" t="str">
        <f>IF(Y545="","",SUMIFS(Prod_Prop!$J:$J,Prod_Prop!$B:$B,$Q545,Prod_Prop!$H:$H,Y545,Prod_Prop!$I:$I,AA$1)*IF(Y545="Peso",$R545,1))</f>
        <v/>
      </c>
      <c r="AB545" s="4" t="str">
        <f>IFERROR(__xludf.DUMMYFUNCTION("IF(OR($U545="""",COUNTIF($I:$I,IFERROR(unique(filter(Prod_Prop!$H:$H,Prod_Prop!$G:$G=$U545,Prod_Prop!$E:$E=AB$1)),""Check""))=0),"""",IFERROR(unique(filter(Prod_Prop!$H:$H,Prod_Prop!$G:$G=$U545,Prod_Prop!$E:$E=AB$1)),""""))"),"")</f>
        <v/>
      </c>
      <c r="AC545" s="4" t="str">
        <f>IF(AB545="","",SUMIFS(Prod_Prop!$J:$J,Prod_Prop!$B:$B,$Q545,Prod_Prop!$H:$H,AB545,Prod_Prop!$I:$I,AC$1)*IF(AB545="Peso",$R545,1))</f>
        <v/>
      </c>
      <c r="AD545" s="4" t="str">
        <f>IF(AB545="","",SUMIFS(Prod_Prop!$J:$J,Prod_Prop!$B:$B,$Q545,Prod_Prop!$H:$H,AB545,Prod_Prop!$I:$I,AD$1)*IF(AB545="Peso",$R545,1))</f>
        <v/>
      </c>
    </row>
    <row r="546">
      <c r="A546" s="4" t="str">
        <f t="array" ref="A546">IF(COUNTIF(A$1:A545,Cotizador!F$2)=maxifs(Familias!E:E,Familias!D:D,Cotizador!F$2),IF(COUNTIF(A$1:A545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6" s="4" t="str">
        <f t="shared" si="1"/>
        <v/>
      </c>
      <c r="C546" s="4" t="str">
        <f t="array" ref="C546">IF(B546="","",IF(A546=XLOOKUP(A$2,Implementos!B:B,Implementos!C:C,"",0,1),B546+maxifs(B$1:B545,A$1:A545,A$2),B546))</f>
        <v/>
      </c>
      <c r="D546" s="4" t="str">
        <f>IF(B546="","", COUNTIFS(Productos!F:F,A546,Productos!H:H,B546)+IF(F546="SI",0,1))</f>
        <v/>
      </c>
      <c r="E546" s="4" t="str">
        <f>IFERROR(__xludf.DUMMYFUNCTION("IF($B546="""","""",INDEX(filter(Familias!F:F,Familias!$D:$D=$A546,Familias!$E:$E=$B546),1))"),"")</f>
        <v/>
      </c>
      <c r="F546" s="4" t="str">
        <f>IFERROR(__xludf.DUMMYFUNCTION("IF($B546="""","""",INDEX(filter(Familias!G:G,Familias!$D:$D=$A546,Familias!$E:$E=$B546),1))"),"")</f>
        <v/>
      </c>
      <c r="G546" s="4" t="str">
        <f t="array" ref="G546">IF(C546=1,XLOOKUP(C546,Cotizador!D:D,Cotizador!E:E,"",0,1),"")</f>
        <v/>
      </c>
      <c r="I546" s="4"/>
      <c r="J546" s="8" t="str">
        <f>IF(I546="","",SUMIF(Cotizador!I$1:V$1,I546,Cotizador!I$2:V$2))</f>
        <v/>
      </c>
      <c r="L546" s="4" t="str">
        <f t="array" ref="L546">IF(COUNTIF(L$1:L545,A$2)=SUMIF(A:A,A$2,D:D),IF(COUNTIF(L$1:L545,XLOOKUP(A$2,Implementos!B:B,Implementos!C:C,"",0,1))=SUMIF(A:A,XLOOKUP(A$2,Implementos!B:B,Implementos!C:C,"",0,1),D:D),"",XLOOKUP(A$2,Implementos!B:B,Implementos!C:C,"",0,1)),A$2)</f>
        <v/>
      </c>
      <c r="M546" s="4" t="str">
        <f t="shared" si="2"/>
        <v/>
      </c>
      <c r="N546" s="4" t="str">
        <f t="shared" si="3"/>
        <v/>
      </c>
      <c r="O546" s="4" t="str">
        <f t="shared" si="4"/>
        <v/>
      </c>
      <c r="P546" s="4" t="str">
        <f t="shared" si="5"/>
        <v/>
      </c>
      <c r="Q546" s="4" t="str">
        <f>IF(U546="","",SUMIF(Productos!E:E,U546,Productos!A:A))</f>
        <v/>
      </c>
      <c r="R546" s="4" t="str">
        <f t="array" ref="R546">IF(L546="","", max(1,SUMIF(I:I,XLOOKUP(U546,Productos!E:E,Productos!G:G,"",0,1),J:J)))</f>
        <v/>
      </c>
      <c r="S546" s="4" t="str">
        <f>IF(Q546="","",IF(SUMIFS(Compat_Vetado!D:D,Compat_Vetado!B:B,SUM(G:G),Compat_Vetado!C:C,Q546)=1,"SI",IF(OR(SUMIF(Cotizador!E:E,Q546,Cotizador!G:G)&gt;0,SUMIFS(Compat_Vetado!D:D,Compat_Vetado!B:B,SUM(G:G),Compat_Vetado!C:C,Q546)=-1),"NO","")))</f>
        <v/>
      </c>
      <c r="T546" s="4" t="str">
        <f t="shared" si="6"/>
        <v/>
      </c>
      <c r="U546" s="4" t="str">
        <f>IFERROR(__xludf.DUMMYFUNCTION("IF(P546="""","""",IFERROR(INDEX(filter(Productos!E:E,Productos!F:F=L546,Productos!H:H=N546),P546),IF(M546=SUM(D:D),""Finalizar"",""-"")))"),"")</f>
        <v/>
      </c>
      <c r="V546" s="4" t="str">
        <f>IFERROR(__xludf.DUMMYFUNCTION("IF(OR($U546="""",COUNTIF($I:$I,IFERROR(unique(filter(Prod_Prop!$H:$H,Prod_Prop!$G:$G=$U546,Prod_Prop!$E:$E=V$1)),""Check""))=0),"""",IFERROR(unique(filter(Prod_Prop!$H:$H,Prod_Prop!$G:$G=$U546,Prod_Prop!$E:$E=V$1)),""""))"),"")</f>
        <v/>
      </c>
      <c r="W546" s="4" t="str">
        <f>IF(V546="","",SUMIFS(Prod_Prop!$J:$J,Prod_Prop!$B:$B,$Q546,Prod_Prop!$H:$H,V546,Prod_Prop!$I:$I,W$1)*IF(V546="Peso",$R546,1))</f>
        <v/>
      </c>
      <c r="X546" s="4" t="str">
        <f>IF(V546="","",SUMIFS(Prod_Prop!$J:$J,Prod_Prop!$B:$B,$Q546,Prod_Prop!$H:$H,V546,Prod_Prop!$I:$I,X$1)*IF(V546="Peso",$R546,1))</f>
        <v/>
      </c>
      <c r="Y546" s="4" t="str">
        <f>IFERROR(__xludf.DUMMYFUNCTION("IF(OR($U546="""",COUNTIF($I:$I,IFERROR(unique(filter(Prod_Prop!$H:$H,Prod_Prop!$G:$G=$U546,Prod_Prop!$E:$E=Y$1)),""Check""))=0),"""",IFERROR(unique(filter(Prod_Prop!$H:$H,Prod_Prop!$G:$G=$U546,Prod_Prop!$E:$E=Y$1)),""""))"),"")</f>
        <v/>
      </c>
      <c r="Z546" s="4" t="str">
        <f>IF(Y546="","",SUMIFS(Prod_Prop!$J:$J,Prod_Prop!$B:$B,$Q546,Prod_Prop!$H:$H,Y546,Prod_Prop!$I:$I,Z$1)*IF(Y546="Peso",$R546,1))</f>
        <v/>
      </c>
      <c r="AA546" s="4" t="str">
        <f>IF(Y546="","",SUMIFS(Prod_Prop!$J:$J,Prod_Prop!$B:$B,$Q546,Prod_Prop!$H:$H,Y546,Prod_Prop!$I:$I,AA$1)*IF(Y546="Peso",$R546,1))</f>
        <v/>
      </c>
      <c r="AB546" s="4" t="str">
        <f>IFERROR(__xludf.DUMMYFUNCTION("IF(OR($U546="""",COUNTIF($I:$I,IFERROR(unique(filter(Prod_Prop!$H:$H,Prod_Prop!$G:$G=$U546,Prod_Prop!$E:$E=AB$1)),""Check""))=0),"""",IFERROR(unique(filter(Prod_Prop!$H:$H,Prod_Prop!$G:$G=$U546,Prod_Prop!$E:$E=AB$1)),""""))"),"")</f>
        <v/>
      </c>
      <c r="AC546" s="4" t="str">
        <f>IF(AB546="","",SUMIFS(Prod_Prop!$J:$J,Prod_Prop!$B:$B,$Q546,Prod_Prop!$H:$H,AB546,Prod_Prop!$I:$I,AC$1)*IF(AB546="Peso",$R546,1))</f>
        <v/>
      </c>
      <c r="AD546" s="4" t="str">
        <f>IF(AB546="","",SUMIFS(Prod_Prop!$J:$J,Prod_Prop!$B:$B,$Q546,Prod_Prop!$H:$H,AB546,Prod_Prop!$I:$I,AD$1)*IF(AB546="Peso",$R546,1))</f>
        <v/>
      </c>
    </row>
    <row r="547">
      <c r="A547" s="4" t="str">
        <f t="array" ref="A547">IF(COUNTIF(A$1:A546,Cotizador!F$2)=maxifs(Familias!E:E,Familias!D:D,Cotizador!F$2),IF(COUNTIF(A$1:A546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7" s="4" t="str">
        <f t="shared" si="1"/>
        <v/>
      </c>
      <c r="C547" s="4" t="str">
        <f t="array" ref="C547">IF(B547="","",IF(A547=XLOOKUP(A$2,Implementos!B:B,Implementos!C:C,"",0,1),B547+maxifs(B$1:B546,A$1:A546,A$2),B547))</f>
        <v/>
      </c>
      <c r="D547" s="4" t="str">
        <f>IF(B547="","", COUNTIFS(Productos!F:F,A547,Productos!H:H,B547)+IF(F547="SI",0,1))</f>
        <v/>
      </c>
      <c r="E547" s="4" t="str">
        <f>IFERROR(__xludf.DUMMYFUNCTION("IF($B547="""","""",INDEX(filter(Familias!F:F,Familias!$D:$D=$A547,Familias!$E:$E=$B547),1))"),"")</f>
        <v/>
      </c>
      <c r="F547" s="4" t="str">
        <f>IFERROR(__xludf.DUMMYFUNCTION("IF($B547="""","""",INDEX(filter(Familias!G:G,Familias!$D:$D=$A547,Familias!$E:$E=$B547),1))"),"")</f>
        <v/>
      </c>
      <c r="G547" s="4" t="str">
        <f t="array" ref="G547">IF(C547=1,XLOOKUP(C547,Cotizador!D:D,Cotizador!E:E,"",0,1),"")</f>
        <v/>
      </c>
      <c r="I547" s="4"/>
      <c r="J547" s="8" t="str">
        <f>IF(I547="","",SUMIF(Cotizador!I$1:V$1,I547,Cotizador!I$2:V$2))</f>
        <v/>
      </c>
      <c r="L547" s="4" t="str">
        <f t="array" ref="L547">IF(COUNTIF(L$1:L546,A$2)=SUMIF(A:A,A$2,D:D),IF(COUNTIF(L$1:L546,XLOOKUP(A$2,Implementos!B:B,Implementos!C:C,"",0,1))=SUMIF(A:A,XLOOKUP(A$2,Implementos!B:B,Implementos!C:C,"",0,1),D:D),"",XLOOKUP(A$2,Implementos!B:B,Implementos!C:C,"",0,1)),A$2)</f>
        <v/>
      </c>
      <c r="M547" s="4" t="str">
        <f t="shared" si="2"/>
        <v/>
      </c>
      <c r="N547" s="4" t="str">
        <f t="shared" si="3"/>
        <v/>
      </c>
      <c r="O547" s="4" t="str">
        <f t="shared" si="4"/>
        <v/>
      </c>
      <c r="P547" s="4" t="str">
        <f t="shared" si="5"/>
        <v/>
      </c>
      <c r="Q547" s="4" t="str">
        <f>IF(U547="","",SUMIF(Productos!E:E,U547,Productos!A:A))</f>
        <v/>
      </c>
      <c r="R547" s="4" t="str">
        <f t="array" ref="R547">IF(L547="","", max(1,SUMIF(I:I,XLOOKUP(U547,Productos!E:E,Productos!G:G,"",0,1),J:J)))</f>
        <v/>
      </c>
      <c r="S547" s="4" t="str">
        <f>IF(Q547="","",IF(SUMIFS(Compat_Vetado!D:D,Compat_Vetado!B:B,SUM(G:G),Compat_Vetado!C:C,Q547)=1,"SI",IF(OR(SUMIF(Cotizador!E:E,Q547,Cotizador!G:G)&gt;0,SUMIFS(Compat_Vetado!D:D,Compat_Vetado!B:B,SUM(G:G),Compat_Vetado!C:C,Q547)=-1),"NO","")))</f>
        <v/>
      </c>
      <c r="T547" s="4" t="str">
        <f t="shared" si="6"/>
        <v/>
      </c>
      <c r="U547" s="4" t="str">
        <f>IFERROR(__xludf.DUMMYFUNCTION("IF(P547="""","""",IFERROR(INDEX(filter(Productos!E:E,Productos!F:F=L547,Productos!H:H=N547),P547),IF(M547=SUM(D:D),""Finalizar"",""-"")))"),"")</f>
        <v/>
      </c>
      <c r="V547" s="4" t="str">
        <f>IFERROR(__xludf.DUMMYFUNCTION("IF(OR($U547="""",COUNTIF($I:$I,IFERROR(unique(filter(Prod_Prop!$H:$H,Prod_Prop!$G:$G=$U547,Prod_Prop!$E:$E=V$1)),""Check""))=0),"""",IFERROR(unique(filter(Prod_Prop!$H:$H,Prod_Prop!$G:$G=$U547,Prod_Prop!$E:$E=V$1)),""""))"),"")</f>
        <v/>
      </c>
      <c r="W547" s="4" t="str">
        <f>IF(V547="","",SUMIFS(Prod_Prop!$J:$J,Prod_Prop!$B:$B,$Q547,Prod_Prop!$H:$H,V547,Prod_Prop!$I:$I,W$1)*IF(V547="Peso",$R547,1))</f>
        <v/>
      </c>
      <c r="X547" s="4" t="str">
        <f>IF(V547="","",SUMIFS(Prod_Prop!$J:$J,Prod_Prop!$B:$B,$Q547,Prod_Prop!$H:$H,V547,Prod_Prop!$I:$I,X$1)*IF(V547="Peso",$R547,1))</f>
        <v/>
      </c>
      <c r="Y547" s="4" t="str">
        <f>IFERROR(__xludf.DUMMYFUNCTION("IF(OR($U547="""",COUNTIF($I:$I,IFERROR(unique(filter(Prod_Prop!$H:$H,Prod_Prop!$G:$G=$U547,Prod_Prop!$E:$E=Y$1)),""Check""))=0),"""",IFERROR(unique(filter(Prod_Prop!$H:$H,Prod_Prop!$G:$G=$U547,Prod_Prop!$E:$E=Y$1)),""""))"),"")</f>
        <v/>
      </c>
      <c r="Z547" s="4" t="str">
        <f>IF(Y547="","",SUMIFS(Prod_Prop!$J:$J,Prod_Prop!$B:$B,$Q547,Prod_Prop!$H:$H,Y547,Prod_Prop!$I:$I,Z$1)*IF(Y547="Peso",$R547,1))</f>
        <v/>
      </c>
      <c r="AA547" s="4" t="str">
        <f>IF(Y547="","",SUMIFS(Prod_Prop!$J:$J,Prod_Prop!$B:$B,$Q547,Prod_Prop!$H:$H,Y547,Prod_Prop!$I:$I,AA$1)*IF(Y547="Peso",$R547,1))</f>
        <v/>
      </c>
      <c r="AB547" s="4" t="str">
        <f>IFERROR(__xludf.DUMMYFUNCTION("IF(OR($U547="""",COUNTIF($I:$I,IFERROR(unique(filter(Prod_Prop!$H:$H,Prod_Prop!$G:$G=$U547,Prod_Prop!$E:$E=AB$1)),""Check""))=0),"""",IFERROR(unique(filter(Prod_Prop!$H:$H,Prod_Prop!$G:$G=$U547,Prod_Prop!$E:$E=AB$1)),""""))"),"")</f>
        <v/>
      </c>
      <c r="AC547" s="4" t="str">
        <f>IF(AB547="","",SUMIFS(Prod_Prop!$J:$J,Prod_Prop!$B:$B,$Q547,Prod_Prop!$H:$H,AB547,Prod_Prop!$I:$I,AC$1)*IF(AB547="Peso",$R547,1))</f>
        <v/>
      </c>
      <c r="AD547" s="4" t="str">
        <f>IF(AB547="","",SUMIFS(Prod_Prop!$J:$J,Prod_Prop!$B:$B,$Q547,Prod_Prop!$H:$H,AB547,Prod_Prop!$I:$I,AD$1)*IF(AB547="Peso",$R547,1))</f>
        <v/>
      </c>
    </row>
    <row r="548">
      <c r="A548" s="4" t="str">
        <f t="array" ref="A548">IF(COUNTIF(A$1:A547,Cotizador!F$2)=maxifs(Familias!E:E,Familias!D:D,Cotizador!F$2),IF(COUNTIF(A$1:A547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8" s="4" t="str">
        <f t="shared" si="1"/>
        <v/>
      </c>
      <c r="C548" s="4" t="str">
        <f t="array" ref="C548">IF(B548="","",IF(A548=XLOOKUP(A$2,Implementos!B:B,Implementos!C:C,"",0,1),B548+maxifs(B$1:B547,A$1:A547,A$2),B548))</f>
        <v/>
      </c>
      <c r="D548" s="4" t="str">
        <f>IF(B548="","", COUNTIFS(Productos!F:F,A548,Productos!H:H,B548)+IF(F548="SI",0,1))</f>
        <v/>
      </c>
      <c r="E548" s="4" t="str">
        <f>IFERROR(__xludf.DUMMYFUNCTION("IF($B548="""","""",INDEX(filter(Familias!F:F,Familias!$D:$D=$A548,Familias!$E:$E=$B548),1))"),"")</f>
        <v/>
      </c>
      <c r="F548" s="4" t="str">
        <f>IFERROR(__xludf.DUMMYFUNCTION("IF($B548="""","""",INDEX(filter(Familias!G:G,Familias!$D:$D=$A548,Familias!$E:$E=$B548),1))"),"")</f>
        <v/>
      </c>
      <c r="G548" s="4" t="str">
        <f t="array" ref="G548">IF(C548=1,XLOOKUP(C548,Cotizador!D:D,Cotizador!E:E,"",0,1),"")</f>
        <v/>
      </c>
      <c r="I548" s="4"/>
      <c r="J548" s="8" t="str">
        <f>IF(I548="","",SUMIF(Cotizador!I$1:V$1,I548,Cotizador!I$2:V$2))</f>
        <v/>
      </c>
      <c r="L548" s="4" t="str">
        <f t="array" ref="L548">IF(COUNTIF(L$1:L547,A$2)=SUMIF(A:A,A$2,D:D),IF(COUNTIF(L$1:L547,XLOOKUP(A$2,Implementos!B:B,Implementos!C:C,"",0,1))=SUMIF(A:A,XLOOKUP(A$2,Implementos!B:B,Implementos!C:C,"",0,1),D:D),"",XLOOKUP(A$2,Implementos!B:B,Implementos!C:C,"",0,1)),A$2)</f>
        <v/>
      </c>
      <c r="M548" s="4" t="str">
        <f t="shared" si="2"/>
        <v/>
      </c>
      <c r="N548" s="4" t="str">
        <f t="shared" si="3"/>
        <v/>
      </c>
      <c r="O548" s="4" t="str">
        <f t="shared" si="4"/>
        <v/>
      </c>
      <c r="P548" s="4" t="str">
        <f t="shared" si="5"/>
        <v/>
      </c>
      <c r="Q548" s="4" t="str">
        <f>IF(U548="","",SUMIF(Productos!E:E,U548,Productos!A:A))</f>
        <v/>
      </c>
      <c r="R548" s="4" t="str">
        <f t="array" ref="R548">IF(L548="","", max(1,SUMIF(I:I,XLOOKUP(U548,Productos!E:E,Productos!G:G,"",0,1),J:J)))</f>
        <v/>
      </c>
      <c r="S548" s="4" t="str">
        <f>IF(Q548="","",IF(SUMIFS(Compat_Vetado!D:D,Compat_Vetado!B:B,SUM(G:G),Compat_Vetado!C:C,Q548)=1,"SI",IF(OR(SUMIF(Cotizador!E:E,Q548,Cotizador!G:G)&gt;0,SUMIFS(Compat_Vetado!D:D,Compat_Vetado!B:B,SUM(G:G),Compat_Vetado!C:C,Q548)=-1),"NO","")))</f>
        <v/>
      </c>
      <c r="T548" s="4" t="str">
        <f t="shared" si="6"/>
        <v/>
      </c>
      <c r="U548" s="4" t="str">
        <f>IFERROR(__xludf.DUMMYFUNCTION("IF(P548="""","""",IFERROR(INDEX(filter(Productos!E:E,Productos!F:F=L548,Productos!H:H=N548),P548),IF(M548=SUM(D:D),""Finalizar"",""-"")))"),"")</f>
        <v/>
      </c>
      <c r="V548" s="4" t="str">
        <f>IFERROR(__xludf.DUMMYFUNCTION("IF(OR($U548="""",COUNTIF($I:$I,IFERROR(unique(filter(Prod_Prop!$H:$H,Prod_Prop!$G:$G=$U548,Prod_Prop!$E:$E=V$1)),""Check""))=0),"""",IFERROR(unique(filter(Prod_Prop!$H:$H,Prod_Prop!$G:$G=$U548,Prod_Prop!$E:$E=V$1)),""""))"),"")</f>
        <v/>
      </c>
      <c r="W548" s="4" t="str">
        <f>IF(V548="","",SUMIFS(Prod_Prop!$J:$J,Prod_Prop!$B:$B,$Q548,Prod_Prop!$H:$H,V548,Prod_Prop!$I:$I,W$1)*IF(V548="Peso",$R548,1))</f>
        <v/>
      </c>
      <c r="X548" s="4" t="str">
        <f>IF(V548="","",SUMIFS(Prod_Prop!$J:$J,Prod_Prop!$B:$B,$Q548,Prod_Prop!$H:$H,V548,Prod_Prop!$I:$I,X$1)*IF(V548="Peso",$R548,1))</f>
        <v/>
      </c>
      <c r="Y548" s="4" t="str">
        <f>IFERROR(__xludf.DUMMYFUNCTION("IF(OR($U548="""",COUNTIF($I:$I,IFERROR(unique(filter(Prod_Prop!$H:$H,Prod_Prop!$G:$G=$U548,Prod_Prop!$E:$E=Y$1)),""Check""))=0),"""",IFERROR(unique(filter(Prod_Prop!$H:$H,Prod_Prop!$G:$G=$U548,Prod_Prop!$E:$E=Y$1)),""""))"),"")</f>
        <v/>
      </c>
      <c r="Z548" s="4" t="str">
        <f>IF(Y548="","",SUMIFS(Prod_Prop!$J:$J,Prod_Prop!$B:$B,$Q548,Prod_Prop!$H:$H,Y548,Prod_Prop!$I:$I,Z$1)*IF(Y548="Peso",$R548,1))</f>
        <v/>
      </c>
      <c r="AA548" s="4" t="str">
        <f>IF(Y548="","",SUMIFS(Prod_Prop!$J:$J,Prod_Prop!$B:$B,$Q548,Prod_Prop!$H:$H,Y548,Prod_Prop!$I:$I,AA$1)*IF(Y548="Peso",$R548,1))</f>
        <v/>
      </c>
      <c r="AB548" s="4" t="str">
        <f>IFERROR(__xludf.DUMMYFUNCTION("IF(OR($U548="""",COUNTIF($I:$I,IFERROR(unique(filter(Prod_Prop!$H:$H,Prod_Prop!$G:$G=$U548,Prod_Prop!$E:$E=AB$1)),""Check""))=0),"""",IFERROR(unique(filter(Prod_Prop!$H:$H,Prod_Prop!$G:$G=$U548,Prod_Prop!$E:$E=AB$1)),""""))"),"")</f>
        <v/>
      </c>
      <c r="AC548" s="4" t="str">
        <f>IF(AB548="","",SUMIFS(Prod_Prop!$J:$J,Prod_Prop!$B:$B,$Q548,Prod_Prop!$H:$H,AB548,Prod_Prop!$I:$I,AC$1)*IF(AB548="Peso",$R548,1))</f>
        <v/>
      </c>
      <c r="AD548" s="4" t="str">
        <f>IF(AB548="","",SUMIFS(Prod_Prop!$J:$J,Prod_Prop!$B:$B,$Q548,Prod_Prop!$H:$H,AB548,Prod_Prop!$I:$I,AD$1)*IF(AB548="Peso",$R548,1))</f>
        <v/>
      </c>
    </row>
    <row r="549">
      <c r="A549" s="4" t="str">
        <f t="array" ref="A549">IF(COUNTIF(A$1:A548,Cotizador!F$2)=maxifs(Familias!E:E,Familias!D:D,Cotizador!F$2),IF(COUNTIF(A$1:A548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49" s="4" t="str">
        <f t="shared" si="1"/>
        <v/>
      </c>
      <c r="C549" s="4" t="str">
        <f t="array" ref="C549">IF(B549="","",IF(A549=XLOOKUP(A$2,Implementos!B:B,Implementos!C:C,"",0,1),B549+maxifs(B$1:B548,A$1:A548,A$2),B549))</f>
        <v/>
      </c>
      <c r="D549" s="4" t="str">
        <f>IF(B549="","", COUNTIFS(Productos!F:F,A549,Productos!H:H,B549)+IF(F549="SI",0,1))</f>
        <v/>
      </c>
      <c r="E549" s="4" t="str">
        <f>IFERROR(__xludf.DUMMYFUNCTION("IF($B549="""","""",INDEX(filter(Familias!F:F,Familias!$D:$D=$A549,Familias!$E:$E=$B549),1))"),"")</f>
        <v/>
      </c>
      <c r="F549" s="4" t="str">
        <f>IFERROR(__xludf.DUMMYFUNCTION("IF($B549="""","""",INDEX(filter(Familias!G:G,Familias!$D:$D=$A549,Familias!$E:$E=$B549),1))"),"")</f>
        <v/>
      </c>
      <c r="G549" s="4" t="str">
        <f t="array" ref="G549">IF(C549=1,XLOOKUP(C549,Cotizador!D:D,Cotizador!E:E,"",0,1),"")</f>
        <v/>
      </c>
      <c r="I549" s="4"/>
      <c r="J549" s="8" t="str">
        <f>IF(I549="","",SUMIF(Cotizador!I$1:V$1,I549,Cotizador!I$2:V$2))</f>
        <v/>
      </c>
      <c r="L549" s="4" t="str">
        <f t="array" ref="L549">IF(COUNTIF(L$1:L548,A$2)=SUMIF(A:A,A$2,D:D),IF(COUNTIF(L$1:L548,XLOOKUP(A$2,Implementos!B:B,Implementos!C:C,"",0,1))=SUMIF(A:A,XLOOKUP(A$2,Implementos!B:B,Implementos!C:C,"",0,1),D:D),"",XLOOKUP(A$2,Implementos!B:B,Implementos!C:C,"",0,1)),A$2)</f>
        <v/>
      </c>
      <c r="M549" s="4" t="str">
        <f t="shared" si="2"/>
        <v/>
      </c>
      <c r="N549" s="4" t="str">
        <f t="shared" si="3"/>
        <v/>
      </c>
      <c r="O549" s="4" t="str">
        <f t="shared" si="4"/>
        <v/>
      </c>
      <c r="P549" s="4" t="str">
        <f t="shared" si="5"/>
        <v/>
      </c>
      <c r="Q549" s="4" t="str">
        <f>IF(U549="","",SUMIF(Productos!E:E,U549,Productos!A:A))</f>
        <v/>
      </c>
      <c r="R549" s="4" t="str">
        <f t="array" ref="R549">IF(L549="","", max(1,SUMIF(I:I,XLOOKUP(U549,Productos!E:E,Productos!G:G,"",0,1),J:J)))</f>
        <v/>
      </c>
      <c r="S549" s="4" t="str">
        <f>IF(Q549="","",IF(SUMIFS(Compat_Vetado!D:D,Compat_Vetado!B:B,SUM(G:G),Compat_Vetado!C:C,Q549)=1,"SI",IF(OR(SUMIF(Cotizador!E:E,Q549,Cotizador!G:G)&gt;0,SUMIFS(Compat_Vetado!D:D,Compat_Vetado!B:B,SUM(G:G),Compat_Vetado!C:C,Q549)=-1),"NO","")))</f>
        <v/>
      </c>
      <c r="T549" s="4" t="str">
        <f t="shared" si="6"/>
        <v/>
      </c>
      <c r="U549" s="4" t="str">
        <f>IFERROR(__xludf.DUMMYFUNCTION("IF(P549="""","""",IFERROR(INDEX(filter(Productos!E:E,Productos!F:F=L549,Productos!H:H=N549),P549),IF(M549=SUM(D:D),""Finalizar"",""-"")))"),"")</f>
        <v/>
      </c>
      <c r="V549" s="4" t="str">
        <f>IFERROR(__xludf.DUMMYFUNCTION("IF(OR($U549="""",COUNTIF($I:$I,IFERROR(unique(filter(Prod_Prop!$H:$H,Prod_Prop!$G:$G=$U549,Prod_Prop!$E:$E=V$1)),""Check""))=0),"""",IFERROR(unique(filter(Prod_Prop!$H:$H,Prod_Prop!$G:$G=$U549,Prod_Prop!$E:$E=V$1)),""""))"),"")</f>
        <v/>
      </c>
      <c r="W549" s="4" t="str">
        <f>IF(V549="","",SUMIFS(Prod_Prop!$J:$J,Prod_Prop!$B:$B,$Q549,Prod_Prop!$H:$H,V549,Prod_Prop!$I:$I,W$1)*IF(V549="Peso",$R549,1))</f>
        <v/>
      </c>
      <c r="X549" s="4" t="str">
        <f>IF(V549="","",SUMIFS(Prod_Prop!$J:$J,Prod_Prop!$B:$B,$Q549,Prod_Prop!$H:$H,V549,Prod_Prop!$I:$I,X$1)*IF(V549="Peso",$R549,1))</f>
        <v/>
      </c>
      <c r="Y549" s="4" t="str">
        <f>IFERROR(__xludf.DUMMYFUNCTION("IF(OR($U549="""",COUNTIF($I:$I,IFERROR(unique(filter(Prod_Prop!$H:$H,Prod_Prop!$G:$G=$U549,Prod_Prop!$E:$E=Y$1)),""Check""))=0),"""",IFERROR(unique(filter(Prod_Prop!$H:$H,Prod_Prop!$G:$G=$U549,Prod_Prop!$E:$E=Y$1)),""""))"),"")</f>
        <v/>
      </c>
      <c r="Z549" s="4" t="str">
        <f>IF(Y549="","",SUMIFS(Prod_Prop!$J:$J,Prod_Prop!$B:$B,$Q549,Prod_Prop!$H:$H,Y549,Prod_Prop!$I:$I,Z$1)*IF(Y549="Peso",$R549,1))</f>
        <v/>
      </c>
      <c r="AA549" s="4" t="str">
        <f>IF(Y549="","",SUMIFS(Prod_Prop!$J:$J,Prod_Prop!$B:$B,$Q549,Prod_Prop!$H:$H,Y549,Prod_Prop!$I:$I,AA$1)*IF(Y549="Peso",$R549,1))</f>
        <v/>
      </c>
      <c r="AB549" s="4" t="str">
        <f>IFERROR(__xludf.DUMMYFUNCTION("IF(OR($U549="""",COUNTIF($I:$I,IFERROR(unique(filter(Prod_Prop!$H:$H,Prod_Prop!$G:$G=$U549,Prod_Prop!$E:$E=AB$1)),""Check""))=0),"""",IFERROR(unique(filter(Prod_Prop!$H:$H,Prod_Prop!$G:$G=$U549,Prod_Prop!$E:$E=AB$1)),""""))"),"")</f>
        <v/>
      </c>
      <c r="AC549" s="4" t="str">
        <f>IF(AB549="","",SUMIFS(Prod_Prop!$J:$J,Prod_Prop!$B:$B,$Q549,Prod_Prop!$H:$H,AB549,Prod_Prop!$I:$I,AC$1)*IF(AB549="Peso",$R549,1))</f>
        <v/>
      </c>
      <c r="AD549" s="4" t="str">
        <f>IF(AB549="","",SUMIFS(Prod_Prop!$J:$J,Prod_Prop!$B:$B,$Q549,Prod_Prop!$H:$H,AB549,Prod_Prop!$I:$I,AD$1)*IF(AB549="Peso",$R549,1))</f>
        <v/>
      </c>
    </row>
    <row r="550">
      <c r="A550" s="4" t="str">
        <f t="array" ref="A550">IF(COUNTIF(A$1:A549,Cotizador!F$2)=maxifs(Familias!E:E,Familias!D:D,Cotizador!F$2),IF(COUNTIF(A$1:A549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0" s="4" t="str">
        <f t="shared" si="1"/>
        <v/>
      </c>
      <c r="C550" s="4" t="str">
        <f t="array" ref="C550">IF(B550="","",IF(A550=XLOOKUP(A$2,Implementos!B:B,Implementos!C:C,"",0,1),B550+maxifs(B$1:B549,A$1:A549,A$2),B550))</f>
        <v/>
      </c>
      <c r="D550" s="4" t="str">
        <f>IF(B550="","", COUNTIFS(Productos!F:F,A550,Productos!H:H,B550)+IF(F550="SI",0,1))</f>
        <v/>
      </c>
      <c r="E550" s="4" t="str">
        <f>IFERROR(__xludf.DUMMYFUNCTION("IF($B550="""","""",INDEX(filter(Familias!F:F,Familias!$D:$D=$A550,Familias!$E:$E=$B550),1))"),"")</f>
        <v/>
      </c>
      <c r="F550" s="4" t="str">
        <f>IFERROR(__xludf.DUMMYFUNCTION("IF($B550="""","""",INDEX(filter(Familias!G:G,Familias!$D:$D=$A550,Familias!$E:$E=$B550),1))"),"")</f>
        <v/>
      </c>
      <c r="G550" s="4" t="str">
        <f t="array" ref="G550">IF(C550=1,XLOOKUP(C550,Cotizador!D:D,Cotizador!E:E,"",0,1),"")</f>
        <v/>
      </c>
      <c r="I550" s="4"/>
      <c r="J550" s="8" t="str">
        <f>IF(I550="","",SUMIF(Cotizador!I$1:V$1,I550,Cotizador!I$2:V$2))</f>
        <v/>
      </c>
      <c r="L550" s="4" t="str">
        <f t="array" ref="L550">IF(COUNTIF(L$1:L549,A$2)=SUMIF(A:A,A$2,D:D),IF(COUNTIF(L$1:L549,XLOOKUP(A$2,Implementos!B:B,Implementos!C:C,"",0,1))=SUMIF(A:A,XLOOKUP(A$2,Implementos!B:B,Implementos!C:C,"",0,1),D:D),"",XLOOKUP(A$2,Implementos!B:B,Implementos!C:C,"",0,1)),A$2)</f>
        <v/>
      </c>
      <c r="M550" s="4" t="str">
        <f t="shared" si="2"/>
        <v/>
      </c>
      <c r="N550" s="4" t="str">
        <f t="shared" si="3"/>
        <v/>
      </c>
      <c r="O550" s="4" t="str">
        <f t="shared" si="4"/>
        <v/>
      </c>
      <c r="P550" s="4" t="str">
        <f t="shared" si="5"/>
        <v/>
      </c>
      <c r="Q550" s="4" t="str">
        <f>IF(U550="","",SUMIF(Productos!E:E,U550,Productos!A:A))</f>
        <v/>
      </c>
      <c r="R550" s="4" t="str">
        <f t="array" ref="R550">IF(L550="","", max(1,SUMIF(I:I,XLOOKUP(U550,Productos!E:E,Productos!G:G,"",0,1),J:J)))</f>
        <v/>
      </c>
      <c r="S550" s="4" t="str">
        <f>IF(Q550="","",IF(SUMIFS(Compat_Vetado!D:D,Compat_Vetado!B:B,SUM(G:G),Compat_Vetado!C:C,Q550)=1,"SI",IF(OR(SUMIF(Cotizador!E:E,Q550,Cotizador!G:G)&gt;0,SUMIFS(Compat_Vetado!D:D,Compat_Vetado!B:B,SUM(G:G),Compat_Vetado!C:C,Q550)=-1),"NO","")))</f>
        <v/>
      </c>
      <c r="T550" s="4" t="str">
        <f t="shared" si="6"/>
        <v/>
      </c>
      <c r="U550" s="4" t="str">
        <f>IFERROR(__xludf.DUMMYFUNCTION("IF(P550="""","""",IFERROR(INDEX(filter(Productos!E:E,Productos!F:F=L550,Productos!H:H=N550),P550),IF(M550=SUM(D:D),""Finalizar"",""-"")))"),"")</f>
        <v/>
      </c>
      <c r="V550" s="4" t="str">
        <f>IFERROR(__xludf.DUMMYFUNCTION("IF(OR($U550="""",COUNTIF($I:$I,IFERROR(unique(filter(Prod_Prop!$H:$H,Prod_Prop!$G:$G=$U550,Prod_Prop!$E:$E=V$1)),""Check""))=0),"""",IFERROR(unique(filter(Prod_Prop!$H:$H,Prod_Prop!$G:$G=$U550,Prod_Prop!$E:$E=V$1)),""""))"),"")</f>
        <v/>
      </c>
      <c r="W550" s="4" t="str">
        <f>IF(V550="","",SUMIFS(Prod_Prop!$J:$J,Prod_Prop!$B:$B,$Q550,Prod_Prop!$H:$H,V550,Prod_Prop!$I:$I,W$1)*IF(V550="Peso",$R550,1))</f>
        <v/>
      </c>
      <c r="X550" s="4" t="str">
        <f>IF(V550="","",SUMIFS(Prod_Prop!$J:$J,Prod_Prop!$B:$B,$Q550,Prod_Prop!$H:$H,V550,Prod_Prop!$I:$I,X$1)*IF(V550="Peso",$R550,1))</f>
        <v/>
      </c>
      <c r="Y550" s="4" t="str">
        <f>IFERROR(__xludf.DUMMYFUNCTION("IF(OR($U550="""",COUNTIF($I:$I,IFERROR(unique(filter(Prod_Prop!$H:$H,Prod_Prop!$G:$G=$U550,Prod_Prop!$E:$E=Y$1)),""Check""))=0),"""",IFERROR(unique(filter(Prod_Prop!$H:$H,Prod_Prop!$G:$G=$U550,Prod_Prop!$E:$E=Y$1)),""""))"),"")</f>
        <v/>
      </c>
      <c r="Z550" s="4" t="str">
        <f>IF(Y550="","",SUMIFS(Prod_Prop!$J:$J,Prod_Prop!$B:$B,$Q550,Prod_Prop!$H:$H,Y550,Prod_Prop!$I:$I,Z$1)*IF(Y550="Peso",$R550,1))</f>
        <v/>
      </c>
      <c r="AA550" s="4" t="str">
        <f>IF(Y550="","",SUMIFS(Prod_Prop!$J:$J,Prod_Prop!$B:$B,$Q550,Prod_Prop!$H:$H,Y550,Prod_Prop!$I:$I,AA$1)*IF(Y550="Peso",$R550,1))</f>
        <v/>
      </c>
      <c r="AB550" s="4" t="str">
        <f>IFERROR(__xludf.DUMMYFUNCTION("IF(OR($U550="""",COUNTIF($I:$I,IFERROR(unique(filter(Prod_Prop!$H:$H,Prod_Prop!$G:$G=$U550,Prod_Prop!$E:$E=AB$1)),""Check""))=0),"""",IFERROR(unique(filter(Prod_Prop!$H:$H,Prod_Prop!$G:$G=$U550,Prod_Prop!$E:$E=AB$1)),""""))"),"")</f>
        <v/>
      </c>
      <c r="AC550" s="4" t="str">
        <f>IF(AB550="","",SUMIFS(Prod_Prop!$J:$J,Prod_Prop!$B:$B,$Q550,Prod_Prop!$H:$H,AB550,Prod_Prop!$I:$I,AC$1)*IF(AB550="Peso",$R550,1))</f>
        <v/>
      </c>
      <c r="AD550" s="4" t="str">
        <f>IF(AB550="","",SUMIFS(Prod_Prop!$J:$J,Prod_Prop!$B:$B,$Q550,Prod_Prop!$H:$H,AB550,Prod_Prop!$I:$I,AD$1)*IF(AB550="Peso",$R550,1))</f>
        <v/>
      </c>
    </row>
    <row r="551">
      <c r="A551" s="4" t="str">
        <f t="array" ref="A551">IF(COUNTIF(A$1:A550,Cotizador!F$2)=maxifs(Familias!E:E,Familias!D:D,Cotizador!F$2),IF(COUNTIF(A$1:A550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1" s="4" t="str">
        <f t="shared" si="1"/>
        <v/>
      </c>
      <c r="C551" s="4" t="str">
        <f t="array" ref="C551">IF(B551="","",IF(A551=XLOOKUP(A$2,Implementos!B:B,Implementos!C:C,"",0,1),B551+maxifs(B$1:B550,A$1:A550,A$2),B551))</f>
        <v/>
      </c>
      <c r="D551" s="4" t="str">
        <f>IF(B551="","", COUNTIFS(Productos!F:F,A551,Productos!H:H,B551)+IF(F551="SI",0,1))</f>
        <v/>
      </c>
      <c r="E551" s="4" t="str">
        <f>IFERROR(__xludf.DUMMYFUNCTION("IF($B551="""","""",INDEX(filter(Familias!F:F,Familias!$D:$D=$A551,Familias!$E:$E=$B551),1))"),"")</f>
        <v/>
      </c>
      <c r="F551" s="4" t="str">
        <f>IFERROR(__xludf.DUMMYFUNCTION("IF($B551="""","""",INDEX(filter(Familias!G:G,Familias!$D:$D=$A551,Familias!$E:$E=$B551),1))"),"")</f>
        <v/>
      </c>
      <c r="G551" s="4" t="str">
        <f t="array" ref="G551">IF(C551=1,XLOOKUP(C551,Cotizador!D:D,Cotizador!E:E,"",0,1),"")</f>
        <v/>
      </c>
      <c r="I551" s="4"/>
      <c r="J551" s="8" t="str">
        <f>IF(I551="","",SUMIF(Cotizador!I$1:V$1,I551,Cotizador!I$2:V$2))</f>
        <v/>
      </c>
      <c r="L551" s="4" t="str">
        <f t="array" ref="L551">IF(COUNTIF(L$1:L550,A$2)=SUMIF(A:A,A$2,D:D),IF(COUNTIF(L$1:L550,XLOOKUP(A$2,Implementos!B:B,Implementos!C:C,"",0,1))=SUMIF(A:A,XLOOKUP(A$2,Implementos!B:B,Implementos!C:C,"",0,1),D:D),"",XLOOKUP(A$2,Implementos!B:B,Implementos!C:C,"",0,1)),A$2)</f>
        <v/>
      </c>
      <c r="M551" s="4" t="str">
        <f t="shared" si="2"/>
        <v/>
      </c>
      <c r="N551" s="4" t="str">
        <f t="shared" si="3"/>
        <v/>
      </c>
      <c r="O551" s="4" t="str">
        <f t="shared" si="4"/>
        <v/>
      </c>
      <c r="P551" s="4" t="str">
        <f t="shared" si="5"/>
        <v/>
      </c>
      <c r="Q551" s="4" t="str">
        <f>IF(U551="","",SUMIF(Productos!E:E,U551,Productos!A:A))</f>
        <v/>
      </c>
      <c r="R551" s="4" t="str">
        <f t="array" ref="R551">IF(L551="","", max(1,SUMIF(I:I,XLOOKUP(U551,Productos!E:E,Productos!G:G,"",0,1),J:J)))</f>
        <v/>
      </c>
      <c r="S551" s="4" t="str">
        <f>IF(Q551="","",IF(SUMIFS(Compat_Vetado!D:D,Compat_Vetado!B:B,SUM(G:G),Compat_Vetado!C:C,Q551)=1,"SI",IF(OR(SUMIF(Cotizador!E:E,Q551,Cotizador!G:G)&gt;0,SUMIFS(Compat_Vetado!D:D,Compat_Vetado!B:B,SUM(G:G),Compat_Vetado!C:C,Q551)=-1),"NO","")))</f>
        <v/>
      </c>
      <c r="T551" s="4" t="str">
        <f t="shared" si="6"/>
        <v/>
      </c>
      <c r="U551" s="4" t="str">
        <f>IFERROR(__xludf.DUMMYFUNCTION("IF(P551="""","""",IFERROR(INDEX(filter(Productos!E:E,Productos!F:F=L551,Productos!H:H=N551),P551),IF(M551=SUM(D:D),""Finalizar"",""-"")))"),"")</f>
        <v/>
      </c>
      <c r="V551" s="4" t="str">
        <f>IFERROR(__xludf.DUMMYFUNCTION("IF(OR($U551="""",COUNTIF($I:$I,IFERROR(unique(filter(Prod_Prop!$H:$H,Prod_Prop!$G:$G=$U551,Prod_Prop!$E:$E=V$1)),""Check""))=0),"""",IFERROR(unique(filter(Prod_Prop!$H:$H,Prod_Prop!$G:$G=$U551,Prod_Prop!$E:$E=V$1)),""""))"),"")</f>
        <v/>
      </c>
      <c r="W551" s="4" t="str">
        <f>IF(V551="","",SUMIFS(Prod_Prop!$J:$J,Prod_Prop!$B:$B,$Q551,Prod_Prop!$H:$H,V551,Prod_Prop!$I:$I,W$1)*IF(V551="Peso",$R551,1))</f>
        <v/>
      </c>
      <c r="X551" s="4" t="str">
        <f>IF(V551="","",SUMIFS(Prod_Prop!$J:$J,Prod_Prop!$B:$B,$Q551,Prod_Prop!$H:$H,V551,Prod_Prop!$I:$I,X$1)*IF(V551="Peso",$R551,1))</f>
        <v/>
      </c>
      <c r="Y551" s="4" t="str">
        <f>IFERROR(__xludf.DUMMYFUNCTION("IF(OR($U551="""",COUNTIF($I:$I,IFERROR(unique(filter(Prod_Prop!$H:$H,Prod_Prop!$G:$G=$U551,Prod_Prop!$E:$E=Y$1)),""Check""))=0),"""",IFERROR(unique(filter(Prod_Prop!$H:$H,Prod_Prop!$G:$G=$U551,Prod_Prop!$E:$E=Y$1)),""""))"),"")</f>
        <v/>
      </c>
      <c r="Z551" s="4" t="str">
        <f>IF(Y551="","",SUMIFS(Prod_Prop!$J:$J,Prod_Prop!$B:$B,$Q551,Prod_Prop!$H:$H,Y551,Prod_Prop!$I:$I,Z$1)*IF(Y551="Peso",$R551,1))</f>
        <v/>
      </c>
      <c r="AA551" s="4" t="str">
        <f>IF(Y551="","",SUMIFS(Prod_Prop!$J:$J,Prod_Prop!$B:$B,$Q551,Prod_Prop!$H:$H,Y551,Prod_Prop!$I:$I,AA$1)*IF(Y551="Peso",$R551,1))</f>
        <v/>
      </c>
      <c r="AB551" s="4" t="str">
        <f>IFERROR(__xludf.DUMMYFUNCTION("IF(OR($U551="""",COUNTIF($I:$I,IFERROR(unique(filter(Prod_Prop!$H:$H,Prod_Prop!$G:$G=$U551,Prod_Prop!$E:$E=AB$1)),""Check""))=0),"""",IFERROR(unique(filter(Prod_Prop!$H:$H,Prod_Prop!$G:$G=$U551,Prod_Prop!$E:$E=AB$1)),""""))"),"")</f>
        <v/>
      </c>
      <c r="AC551" s="4" t="str">
        <f>IF(AB551="","",SUMIFS(Prod_Prop!$J:$J,Prod_Prop!$B:$B,$Q551,Prod_Prop!$H:$H,AB551,Prod_Prop!$I:$I,AC$1)*IF(AB551="Peso",$R551,1))</f>
        <v/>
      </c>
      <c r="AD551" s="4" t="str">
        <f>IF(AB551="","",SUMIFS(Prod_Prop!$J:$J,Prod_Prop!$B:$B,$Q551,Prod_Prop!$H:$H,AB551,Prod_Prop!$I:$I,AD$1)*IF(AB551="Peso",$R551,1))</f>
        <v/>
      </c>
    </row>
    <row r="552">
      <c r="A552" s="4" t="str">
        <f t="array" ref="A552">IF(COUNTIF(A$1:A551,Cotizador!F$2)=maxifs(Familias!E:E,Familias!D:D,Cotizador!F$2),IF(COUNTIF(A$1:A551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2" s="4" t="str">
        <f t="shared" si="1"/>
        <v/>
      </c>
      <c r="C552" s="4" t="str">
        <f t="array" ref="C552">IF(B552="","",IF(A552=XLOOKUP(A$2,Implementos!B:B,Implementos!C:C,"",0,1),B552+maxifs(B$1:B551,A$1:A551,A$2),B552))</f>
        <v/>
      </c>
      <c r="D552" s="4" t="str">
        <f>IF(B552="","", COUNTIFS(Productos!F:F,A552,Productos!H:H,B552)+IF(F552="SI",0,1))</f>
        <v/>
      </c>
      <c r="E552" s="4" t="str">
        <f>IFERROR(__xludf.DUMMYFUNCTION("IF($B552="""","""",INDEX(filter(Familias!F:F,Familias!$D:$D=$A552,Familias!$E:$E=$B552),1))"),"")</f>
        <v/>
      </c>
      <c r="F552" s="4" t="str">
        <f>IFERROR(__xludf.DUMMYFUNCTION("IF($B552="""","""",INDEX(filter(Familias!G:G,Familias!$D:$D=$A552,Familias!$E:$E=$B552),1))"),"")</f>
        <v/>
      </c>
      <c r="G552" s="4" t="str">
        <f t="array" ref="G552">IF(C552=1,XLOOKUP(C552,Cotizador!D:D,Cotizador!E:E,"",0,1),"")</f>
        <v/>
      </c>
      <c r="I552" s="4"/>
      <c r="J552" s="8" t="str">
        <f>IF(I552="","",SUMIF(Cotizador!I$1:V$1,I552,Cotizador!I$2:V$2))</f>
        <v/>
      </c>
      <c r="L552" s="4" t="str">
        <f t="array" ref="L552">IF(COUNTIF(L$1:L551,A$2)=SUMIF(A:A,A$2,D:D),IF(COUNTIF(L$1:L551,XLOOKUP(A$2,Implementos!B:B,Implementos!C:C,"",0,1))=SUMIF(A:A,XLOOKUP(A$2,Implementos!B:B,Implementos!C:C,"",0,1),D:D),"",XLOOKUP(A$2,Implementos!B:B,Implementos!C:C,"",0,1)),A$2)</f>
        <v/>
      </c>
      <c r="M552" s="4" t="str">
        <f t="shared" si="2"/>
        <v/>
      </c>
      <c r="N552" s="4" t="str">
        <f t="shared" si="3"/>
        <v/>
      </c>
      <c r="O552" s="4" t="str">
        <f t="shared" si="4"/>
        <v/>
      </c>
      <c r="P552" s="4" t="str">
        <f t="shared" si="5"/>
        <v/>
      </c>
      <c r="Q552" s="4" t="str">
        <f>IF(U552="","",SUMIF(Productos!E:E,U552,Productos!A:A))</f>
        <v/>
      </c>
      <c r="R552" s="4" t="str">
        <f t="array" ref="R552">IF(L552="","", max(1,SUMIF(I:I,XLOOKUP(U552,Productos!E:E,Productos!G:G,"",0,1),J:J)))</f>
        <v/>
      </c>
      <c r="S552" s="4" t="str">
        <f>IF(Q552="","",IF(SUMIFS(Compat_Vetado!D:D,Compat_Vetado!B:B,SUM(G:G),Compat_Vetado!C:C,Q552)=1,"SI",IF(OR(SUMIF(Cotizador!E:E,Q552,Cotizador!G:G)&gt;0,SUMIFS(Compat_Vetado!D:D,Compat_Vetado!B:B,SUM(G:G),Compat_Vetado!C:C,Q552)=-1),"NO","")))</f>
        <v/>
      </c>
      <c r="T552" s="4" t="str">
        <f t="shared" si="6"/>
        <v/>
      </c>
      <c r="U552" s="4" t="str">
        <f>IFERROR(__xludf.DUMMYFUNCTION("IF(P552="""","""",IFERROR(INDEX(filter(Productos!E:E,Productos!F:F=L552,Productos!H:H=N552),P552),IF(M552=SUM(D:D),""Finalizar"",""-"")))"),"")</f>
        <v/>
      </c>
      <c r="V552" s="4" t="str">
        <f>IFERROR(__xludf.DUMMYFUNCTION("IF(OR($U552="""",COUNTIF($I:$I,IFERROR(unique(filter(Prod_Prop!$H:$H,Prod_Prop!$G:$G=$U552,Prod_Prop!$E:$E=V$1)),""Check""))=0),"""",IFERROR(unique(filter(Prod_Prop!$H:$H,Prod_Prop!$G:$G=$U552,Prod_Prop!$E:$E=V$1)),""""))"),"")</f>
        <v/>
      </c>
      <c r="W552" s="4" t="str">
        <f>IF(V552="","",SUMIFS(Prod_Prop!$J:$J,Prod_Prop!$B:$B,$Q552,Prod_Prop!$H:$H,V552,Prod_Prop!$I:$I,W$1)*IF(V552="Peso",$R552,1))</f>
        <v/>
      </c>
      <c r="X552" s="4" t="str">
        <f>IF(V552="","",SUMIFS(Prod_Prop!$J:$J,Prod_Prop!$B:$B,$Q552,Prod_Prop!$H:$H,V552,Prod_Prop!$I:$I,X$1)*IF(V552="Peso",$R552,1))</f>
        <v/>
      </c>
      <c r="Y552" s="4" t="str">
        <f>IFERROR(__xludf.DUMMYFUNCTION("IF(OR($U552="""",COUNTIF($I:$I,IFERROR(unique(filter(Prod_Prop!$H:$H,Prod_Prop!$G:$G=$U552,Prod_Prop!$E:$E=Y$1)),""Check""))=0),"""",IFERROR(unique(filter(Prod_Prop!$H:$H,Prod_Prop!$G:$G=$U552,Prod_Prop!$E:$E=Y$1)),""""))"),"")</f>
        <v/>
      </c>
      <c r="Z552" s="4" t="str">
        <f>IF(Y552="","",SUMIFS(Prod_Prop!$J:$J,Prod_Prop!$B:$B,$Q552,Prod_Prop!$H:$H,Y552,Prod_Prop!$I:$I,Z$1)*IF(Y552="Peso",$R552,1))</f>
        <v/>
      </c>
      <c r="AA552" s="4" t="str">
        <f>IF(Y552="","",SUMIFS(Prod_Prop!$J:$J,Prod_Prop!$B:$B,$Q552,Prod_Prop!$H:$H,Y552,Prod_Prop!$I:$I,AA$1)*IF(Y552="Peso",$R552,1))</f>
        <v/>
      </c>
      <c r="AB552" s="4" t="str">
        <f>IFERROR(__xludf.DUMMYFUNCTION("IF(OR($U552="""",COUNTIF($I:$I,IFERROR(unique(filter(Prod_Prop!$H:$H,Prod_Prop!$G:$G=$U552,Prod_Prop!$E:$E=AB$1)),""Check""))=0),"""",IFERROR(unique(filter(Prod_Prop!$H:$H,Prod_Prop!$G:$G=$U552,Prod_Prop!$E:$E=AB$1)),""""))"),"")</f>
        <v/>
      </c>
      <c r="AC552" s="4" t="str">
        <f>IF(AB552="","",SUMIFS(Prod_Prop!$J:$J,Prod_Prop!$B:$B,$Q552,Prod_Prop!$H:$H,AB552,Prod_Prop!$I:$I,AC$1)*IF(AB552="Peso",$R552,1))</f>
        <v/>
      </c>
      <c r="AD552" s="4" t="str">
        <f>IF(AB552="","",SUMIFS(Prod_Prop!$J:$J,Prod_Prop!$B:$B,$Q552,Prod_Prop!$H:$H,AB552,Prod_Prop!$I:$I,AD$1)*IF(AB552="Peso",$R552,1))</f>
        <v/>
      </c>
    </row>
    <row r="553">
      <c r="A553" s="4" t="str">
        <f t="array" ref="A553">IF(COUNTIF(A$1:A552,Cotizador!F$2)=maxifs(Familias!E:E,Familias!D:D,Cotizador!F$2),IF(COUNTIF(A$1:A552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3" s="4" t="str">
        <f t="shared" si="1"/>
        <v/>
      </c>
      <c r="C553" s="4" t="str">
        <f t="array" ref="C553">IF(B553="","",IF(A553=XLOOKUP(A$2,Implementos!B:B,Implementos!C:C,"",0,1),B553+maxifs(B$1:B552,A$1:A552,A$2),B553))</f>
        <v/>
      </c>
      <c r="D553" s="4" t="str">
        <f>IF(B553="","", COUNTIFS(Productos!F:F,A553,Productos!H:H,B553)+IF(F553="SI",0,1))</f>
        <v/>
      </c>
      <c r="E553" s="4" t="str">
        <f>IFERROR(__xludf.DUMMYFUNCTION("IF($B553="""","""",INDEX(filter(Familias!F:F,Familias!$D:$D=$A553,Familias!$E:$E=$B553),1))"),"")</f>
        <v/>
      </c>
      <c r="F553" s="4" t="str">
        <f>IFERROR(__xludf.DUMMYFUNCTION("IF($B553="""","""",INDEX(filter(Familias!G:G,Familias!$D:$D=$A553,Familias!$E:$E=$B553),1))"),"")</f>
        <v/>
      </c>
      <c r="G553" s="4" t="str">
        <f t="array" ref="G553">IF(C553=1,XLOOKUP(C553,Cotizador!D:D,Cotizador!E:E,"",0,1),"")</f>
        <v/>
      </c>
      <c r="I553" s="4"/>
      <c r="J553" s="8" t="str">
        <f>IF(I553="","",SUMIF(Cotizador!I$1:V$1,I553,Cotizador!I$2:V$2))</f>
        <v/>
      </c>
      <c r="L553" s="4" t="str">
        <f t="array" ref="L553">IF(COUNTIF(L$1:L552,A$2)=SUMIF(A:A,A$2,D:D),IF(COUNTIF(L$1:L552,XLOOKUP(A$2,Implementos!B:B,Implementos!C:C,"",0,1))=SUMIF(A:A,XLOOKUP(A$2,Implementos!B:B,Implementos!C:C,"",0,1),D:D),"",XLOOKUP(A$2,Implementos!B:B,Implementos!C:C,"",0,1)),A$2)</f>
        <v/>
      </c>
      <c r="M553" s="4" t="str">
        <f t="shared" si="2"/>
        <v/>
      </c>
      <c r="N553" s="4" t="str">
        <f t="shared" si="3"/>
        <v/>
      </c>
      <c r="O553" s="4" t="str">
        <f t="shared" si="4"/>
        <v/>
      </c>
      <c r="P553" s="4" t="str">
        <f t="shared" si="5"/>
        <v/>
      </c>
      <c r="Q553" s="4" t="str">
        <f>IF(U553="","",SUMIF(Productos!E:E,U553,Productos!A:A))</f>
        <v/>
      </c>
      <c r="R553" s="4" t="str">
        <f t="array" ref="R553">IF(L553="","", max(1,SUMIF(I:I,XLOOKUP(U553,Productos!E:E,Productos!G:G,"",0,1),J:J)))</f>
        <v/>
      </c>
      <c r="S553" s="4" t="str">
        <f>IF(Q553="","",IF(SUMIFS(Compat_Vetado!D:D,Compat_Vetado!B:B,SUM(G:G),Compat_Vetado!C:C,Q553)=1,"SI",IF(OR(SUMIF(Cotizador!E:E,Q553,Cotizador!G:G)&gt;0,SUMIFS(Compat_Vetado!D:D,Compat_Vetado!B:B,SUM(G:G),Compat_Vetado!C:C,Q553)=-1),"NO","")))</f>
        <v/>
      </c>
      <c r="T553" s="4" t="str">
        <f t="shared" si="6"/>
        <v/>
      </c>
      <c r="U553" s="4" t="str">
        <f>IFERROR(__xludf.DUMMYFUNCTION("IF(P553="""","""",IFERROR(INDEX(filter(Productos!E:E,Productos!F:F=L553,Productos!H:H=N553),P553),IF(M553=SUM(D:D),""Finalizar"",""-"")))"),"")</f>
        <v/>
      </c>
      <c r="V553" s="4" t="str">
        <f>IFERROR(__xludf.DUMMYFUNCTION("IF(OR($U553="""",COUNTIF($I:$I,IFERROR(unique(filter(Prod_Prop!$H:$H,Prod_Prop!$G:$G=$U553,Prod_Prop!$E:$E=V$1)),""Check""))=0),"""",IFERROR(unique(filter(Prod_Prop!$H:$H,Prod_Prop!$G:$G=$U553,Prod_Prop!$E:$E=V$1)),""""))"),"")</f>
        <v/>
      </c>
      <c r="W553" s="4" t="str">
        <f>IF(V553="","",SUMIFS(Prod_Prop!$J:$J,Prod_Prop!$B:$B,$Q553,Prod_Prop!$H:$H,V553,Prod_Prop!$I:$I,W$1)*IF(V553="Peso",$R553,1))</f>
        <v/>
      </c>
      <c r="X553" s="4" t="str">
        <f>IF(V553="","",SUMIFS(Prod_Prop!$J:$J,Prod_Prop!$B:$B,$Q553,Prod_Prop!$H:$H,V553,Prod_Prop!$I:$I,X$1)*IF(V553="Peso",$R553,1))</f>
        <v/>
      </c>
      <c r="Y553" s="4" t="str">
        <f>IFERROR(__xludf.DUMMYFUNCTION("IF(OR($U553="""",COUNTIF($I:$I,IFERROR(unique(filter(Prod_Prop!$H:$H,Prod_Prop!$G:$G=$U553,Prod_Prop!$E:$E=Y$1)),""Check""))=0),"""",IFERROR(unique(filter(Prod_Prop!$H:$H,Prod_Prop!$G:$G=$U553,Prod_Prop!$E:$E=Y$1)),""""))"),"")</f>
        <v/>
      </c>
      <c r="Z553" s="4" t="str">
        <f>IF(Y553="","",SUMIFS(Prod_Prop!$J:$J,Prod_Prop!$B:$B,$Q553,Prod_Prop!$H:$H,Y553,Prod_Prop!$I:$I,Z$1)*IF(Y553="Peso",$R553,1))</f>
        <v/>
      </c>
      <c r="AA553" s="4" t="str">
        <f>IF(Y553="","",SUMIFS(Prod_Prop!$J:$J,Prod_Prop!$B:$B,$Q553,Prod_Prop!$H:$H,Y553,Prod_Prop!$I:$I,AA$1)*IF(Y553="Peso",$R553,1))</f>
        <v/>
      </c>
      <c r="AB553" s="4" t="str">
        <f>IFERROR(__xludf.DUMMYFUNCTION("IF(OR($U553="""",COUNTIF($I:$I,IFERROR(unique(filter(Prod_Prop!$H:$H,Prod_Prop!$G:$G=$U553,Prod_Prop!$E:$E=AB$1)),""Check""))=0),"""",IFERROR(unique(filter(Prod_Prop!$H:$H,Prod_Prop!$G:$G=$U553,Prod_Prop!$E:$E=AB$1)),""""))"),"")</f>
        <v/>
      </c>
      <c r="AC553" s="4" t="str">
        <f>IF(AB553="","",SUMIFS(Prod_Prop!$J:$J,Prod_Prop!$B:$B,$Q553,Prod_Prop!$H:$H,AB553,Prod_Prop!$I:$I,AC$1)*IF(AB553="Peso",$R553,1))</f>
        <v/>
      </c>
      <c r="AD553" s="4" t="str">
        <f>IF(AB553="","",SUMIFS(Prod_Prop!$J:$J,Prod_Prop!$B:$B,$Q553,Prod_Prop!$H:$H,AB553,Prod_Prop!$I:$I,AD$1)*IF(AB553="Peso",$R553,1))</f>
        <v/>
      </c>
    </row>
    <row r="554">
      <c r="A554" s="4" t="str">
        <f t="array" ref="A554">IF(COUNTIF(A$1:A553,Cotizador!F$2)=maxifs(Familias!E:E,Familias!D:D,Cotizador!F$2),IF(COUNTIF(A$1:A553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4" s="4" t="str">
        <f t="shared" si="1"/>
        <v/>
      </c>
      <c r="C554" s="4" t="str">
        <f t="array" ref="C554">IF(B554="","",IF(A554=XLOOKUP(A$2,Implementos!B:B,Implementos!C:C,"",0,1),B554+maxifs(B$1:B553,A$1:A553,A$2),B554))</f>
        <v/>
      </c>
      <c r="D554" s="4" t="str">
        <f>IF(B554="","", COUNTIFS(Productos!F:F,A554,Productos!H:H,B554)+IF(F554="SI",0,1))</f>
        <v/>
      </c>
      <c r="E554" s="4" t="str">
        <f>IFERROR(__xludf.DUMMYFUNCTION("IF($B554="""","""",INDEX(filter(Familias!F:F,Familias!$D:$D=$A554,Familias!$E:$E=$B554),1))"),"")</f>
        <v/>
      </c>
      <c r="F554" s="4" t="str">
        <f>IFERROR(__xludf.DUMMYFUNCTION("IF($B554="""","""",INDEX(filter(Familias!G:G,Familias!$D:$D=$A554,Familias!$E:$E=$B554),1))"),"")</f>
        <v/>
      </c>
      <c r="G554" s="4" t="str">
        <f t="array" ref="G554">IF(C554=1,XLOOKUP(C554,Cotizador!D:D,Cotizador!E:E,"",0,1),"")</f>
        <v/>
      </c>
      <c r="I554" s="4"/>
      <c r="J554" s="8" t="str">
        <f>IF(I554="","",SUMIF(Cotizador!I$1:V$1,I554,Cotizador!I$2:V$2))</f>
        <v/>
      </c>
      <c r="L554" s="4" t="str">
        <f t="array" ref="L554">IF(COUNTIF(L$1:L553,A$2)=SUMIF(A:A,A$2,D:D),IF(COUNTIF(L$1:L553,XLOOKUP(A$2,Implementos!B:B,Implementos!C:C,"",0,1))=SUMIF(A:A,XLOOKUP(A$2,Implementos!B:B,Implementos!C:C,"",0,1),D:D),"",XLOOKUP(A$2,Implementos!B:B,Implementos!C:C,"",0,1)),A$2)</f>
        <v/>
      </c>
      <c r="M554" s="4" t="str">
        <f t="shared" si="2"/>
        <v/>
      </c>
      <c r="N554" s="4" t="str">
        <f t="shared" si="3"/>
        <v/>
      </c>
      <c r="O554" s="4" t="str">
        <f t="shared" si="4"/>
        <v/>
      </c>
      <c r="P554" s="4" t="str">
        <f t="shared" si="5"/>
        <v/>
      </c>
      <c r="Q554" s="4" t="str">
        <f>IF(U554="","",SUMIF(Productos!E:E,U554,Productos!A:A))</f>
        <v/>
      </c>
      <c r="R554" s="4" t="str">
        <f t="array" ref="R554">IF(L554="","", max(1,SUMIF(I:I,XLOOKUP(U554,Productos!E:E,Productos!G:G,"",0,1),J:J)))</f>
        <v/>
      </c>
      <c r="S554" s="4" t="str">
        <f>IF(Q554="","",IF(SUMIFS(Compat_Vetado!D:D,Compat_Vetado!B:B,SUM(G:G),Compat_Vetado!C:C,Q554)=1,"SI",IF(OR(SUMIF(Cotizador!E:E,Q554,Cotizador!G:G)&gt;0,SUMIFS(Compat_Vetado!D:D,Compat_Vetado!B:B,SUM(G:G),Compat_Vetado!C:C,Q554)=-1),"NO","")))</f>
        <v/>
      </c>
      <c r="T554" s="4" t="str">
        <f t="shared" si="6"/>
        <v/>
      </c>
      <c r="U554" s="4" t="str">
        <f>IFERROR(__xludf.DUMMYFUNCTION("IF(P554="""","""",IFERROR(INDEX(filter(Productos!E:E,Productos!F:F=L554,Productos!H:H=N554),P554),IF(M554=SUM(D:D),""Finalizar"",""-"")))"),"")</f>
        <v/>
      </c>
      <c r="V554" s="4" t="str">
        <f>IFERROR(__xludf.DUMMYFUNCTION("IF(OR($U554="""",COUNTIF($I:$I,IFERROR(unique(filter(Prod_Prop!$H:$H,Prod_Prop!$G:$G=$U554,Prod_Prop!$E:$E=V$1)),""Check""))=0),"""",IFERROR(unique(filter(Prod_Prop!$H:$H,Prod_Prop!$G:$G=$U554,Prod_Prop!$E:$E=V$1)),""""))"),"")</f>
        <v/>
      </c>
      <c r="W554" s="4" t="str">
        <f>IF(V554="","",SUMIFS(Prod_Prop!$J:$J,Prod_Prop!$B:$B,$Q554,Prod_Prop!$H:$H,V554,Prod_Prop!$I:$I,W$1)*IF(V554="Peso",$R554,1))</f>
        <v/>
      </c>
      <c r="X554" s="4" t="str">
        <f>IF(V554="","",SUMIFS(Prod_Prop!$J:$J,Prod_Prop!$B:$B,$Q554,Prod_Prop!$H:$H,V554,Prod_Prop!$I:$I,X$1)*IF(V554="Peso",$R554,1))</f>
        <v/>
      </c>
      <c r="Y554" s="4" t="str">
        <f>IFERROR(__xludf.DUMMYFUNCTION("IF(OR($U554="""",COUNTIF($I:$I,IFERROR(unique(filter(Prod_Prop!$H:$H,Prod_Prop!$G:$G=$U554,Prod_Prop!$E:$E=Y$1)),""Check""))=0),"""",IFERROR(unique(filter(Prod_Prop!$H:$H,Prod_Prop!$G:$G=$U554,Prod_Prop!$E:$E=Y$1)),""""))"),"")</f>
        <v/>
      </c>
      <c r="Z554" s="4" t="str">
        <f>IF(Y554="","",SUMIFS(Prod_Prop!$J:$J,Prod_Prop!$B:$B,$Q554,Prod_Prop!$H:$H,Y554,Prod_Prop!$I:$I,Z$1)*IF(Y554="Peso",$R554,1))</f>
        <v/>
      </c>
      <c r="AA554" s="4" t="str">
        <f>IF(Y554="","",SUMIFS(Prod_Prop!$J:$J,Prod_Prop!$B:$B,$Q554,Prod_Prop!$H:$H,Y554,Prod_Prop!$I:$I,AA$1)*IF(Y554="Peso",$R554,1))</f>
        <v/>
      </c>
      <c r="AB554" s="4" t="str">
        <f>IFERROR(__xludf.DUMMYFUNCTION("IF(OR($U554="""",COUNTIF($I:$I,IFERROR(unique(filter(Prod_Prop!$H:$H,Prod_Prop!$G:$G=$U554,Prod_Prop!$E:$E=AB$1)),""Check""))=0),"""",IFERROR(unique(filter(Prod_Prop!$H:$H,Prod_Prop!$G:$G=$U554,Prod_Prop!$E:$E=AB$1)),""""))"),"")</f>
        <v/>
      </c>
      <c r="AC554" s="4" t="str">
        <f>IF(AB554="","",SUMIFS(Prod_Prop!$J:$J,Prod_Prop!$B:$B,$Q554,Prod_Prop!$H:$H,AB554,Prod_Prop!$I:$I,AC$1)*IF(AB554="Peso",$R554,1))</f>
        <v/>
      </c>
      <c r="AD554" s="4" t="str">
        <f>IF(AB554="","",SUMIFS(Prod_Prop!$J:$J,Prod_Prop!$B:$B,$Q554,Prod_Prop!$H:$H,AB554,Prod_Prop!$I:$I,AD$1)*IF(AB554="Peso",$R554,1))</f>
        <v/>
      </c>
    </row>
    <row r="555">
      <c r="A555" s="4" t="str">
        <f t="array" ref="A555">IF(COUNTIF(A$1:A554,Cotizador!F$2)=maxifs(Familias!E:E,Familias!D:D,Cotizador!F$2),IF(COUNTIF(A$1:A554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5" s="4" t="str">
        <f t="shared" si="1"/>
        <v/>
      </c>
      <c r="C555" s="4" t="str">
        <f t="array" ref="C555">IF(B555="","",IF(A555=XLOOKUP(A$2,Implementos!B:B,Implementos!C:C,"",0,1),B555+maxifs(B$1:B554,A$1:A554,A$2),B555))</f>
        <v/>
      </c>
      <c r="D555" s="4" t="str">
        <f>IF(B555="","", COUNTIFS(Productos!F:F,A555,Productos!H:H,B555)+IF(F555="SI",0,1))</f>
        <v/>
      </c>
      <c r="E555" s="4" t="str">
        <f>IFERROR(__xludf.DUMMYFUNCTION("IF($B555="""","""",INDEX(filter(Familias!F:F,Familias!$D:$D=$A555,Familias!$E:$E=$B555),1))"),"")</f>
        <v/>
      </c>
      <c r="F555" s="4" t="str">
        <f>IFERROR(__xludf.DUMMYFUNCTION("IF($B555="""","""",INDEX(filter(Familias!G:G,Familias!$D:$D=$A555,Familias!$E:$E=$B555),1))"),"")</f>
        <v/>
      </c>
      <c r="G555" s="4" t="str">
        <f t="array" ref="G555">IF(C555=1,XLOOKUP(C555,Cotizador!D:D,Cotizador!E:E,"",0,1),"")</f>
        <v/>
      </c>
      <c r="I555" s="4"/>
      <c r="J555" s="8" t="str">
        <f>IF(I555="","",SUMIF(Cotizador!I$1:V$1,I555,Cotizador!I$2:V$2))</f>
        <v/>
      </c>
      <c r="L555" s="4" t="str">
        <f t="array" ref="L555">IF(COUNTIF(L$1:L554,A$2)=SUMIF(A:A,A$2,D:D),IF(COUNTIF(L$1:L554,XLOOKUP(A$2,Implementos!B:B,Implementos!C:C,"",0,1))=SUMIF(A:A,XLOOKUP(A$2,Implementos!B:B,Implementos!C:C,"",0,1),D:D),"",XLOOKUP(A$2,Implementos!B:B,Implementos!C:C,"",0,1)),A$2)</f>
        <v/>
      </c>
      <c r="M555" s="4" t="str">
        <f t="shared" si="2"/>
        <v/>
      </c>
      <c r="N555" s="4" t="str">
        <f t="shared" si="3"/>
        <v/>
      </c>
      <c r="O555" s="4" t="str">
        <f t="shared" si="4"/>
        <v/>
      </c>
      <c r="P555" s="4" t="str">
        <f t="shared" si="5"/>
        <v/>
      </c>
      <c r="Q555" s="4" t="str">
        <f>IF(U555="","",SUMIF(Productos!E:E,U555,Productos!A:A))</f>
        <v/>
      </c>
      <c r="R555" s="4" t="str">
        <f t="array" ref="R555">IF(L555="","", max(1,SUMIF(I:I,XLOOKUP(U555,Productos!E:E,Productos!G:G,"",0,1),J:J)))</f>
        <v/>
      </c>
      <c r="S555" s="4" t="str">
        <f>IF(Q555="","",IF(SUMIFS(Compat_Vetado!D:D,Compat_Vetado!B:B,SUM(G:G),Compat_Vetado!C:C,Q555)=1,"SI",IF(OR(SUMIF(Cotizador!E:E,Q555,Cotizador!G:G)&gt;0,SUMIFS(Compat_Vetado!D:D,Compat_Vetado!B:B,SUM(G:G),Compat_Vetado!C:C,Q555)=-1),"NO","")))</f>
        <v/>
      </c>
      <c r="T555" s="4" t="str">
        <f t="shared" si="6"/>
        <v/>
      </c>
      <c r="U555" s="4" t="str">
        <f>IFERROR(__xludf.DUMMYFUNCTION("IF(P555="""","""",IFERROR(INDEX(filter(Productos!E:E,Productos!F:F=L555,Productos!H:H=N555),P555),IF(M555=SUM(D:D),""Finalizar"",""-"")))"),"")</f>
        <v/>
      </c>
      <c r="V555" s="4" t="str">
        <f>IFERROR(__xludf.DUMMYFUNCTION("IF(OR($U555="""",COUNTIF($I:$I,IFERROR(unique(filter(Prod_Prop!$H:$H,Prod_Prop!$G:$G=$U555,Prod_Prop!$E:$E=V$1)),""Check""))=0),"""",IFERROR(unique(filter(Prod_Prop!$H:$H,Prod_Prop!$G:$G=$U555,Prod_Prop!$E:$E=V$1)),""""))"),"")</f>
        <v/>
      </c>
      <c r="W555" s="4" t="str">
        <f>IF(V555="","",SUMIFS(Prod_Prop!$J:$J,Prod_Prop!$B:$B,$Q555,Prod_Prop!$H:$H,V555,Prod_Prop!$I:$I,W$1)*IF(V555="Peso",$R555,1))</f>
        <v/>
      </c>
      <c r="X555" s="4" t="str">
        <f>IF(V555="","",SUMIFS(Prod_Prop!$J:$J,Prod_Prop!$B:$B,$Q555,Prod_Prop!$H:$H,V555,Prod_Prop!$I:$I,X$1)*IF(V555="Peso",$R555,1))</f>
        <v/>
      </c>
      <c r="Y555" s="4" t="str">
        <f>IFERROR(__xludf.DUMMYFUNCTION("IF(OR($U555="""",COUNTIF($I:$I,IFERROR(unique(filter(Prod_Prop!$H:$H,Prod_Prop!$G:$G=$U555,Prod_Prop!$E:$E=Y$1)),""Check""))=0),"""",IFERROR(unique(filter(Prod_Prop!$H:$H,Prod_Prop!$G:$G=$U555,Prod_Prop!$E:$E=Y$1)),""""))"),"")</f>
        <v/>
      </c>
      <c r="Z555" s="4" t="str">
        <f>IF(Y555="","",SUMIFS(Prod_Prop!$J:$J,Prod_Prop!$B:$B,$Q555,Prod_Prop!$H:$H,Y555,Prod_Prop!$I:$I,Z$1)*IF(Y555="Peso",$R555,1))</f>
        <v/>
      </c>
      <c r="AA555" s="4" t="str">
        <f>IF(Y555="","",SUMIFS(Prod_Prop!$J:$J,Prod_Prop!$B:$B,$Q555,Prod_Prop!$H:$H,Y555,Prod_Prop!$I:$I,AA$1)*IF(Y555="Peso",$R555,1))</f>
        <v/>
      </c>
      <c r="AB555" s="4" t="str">
        <f>IFERROR(__xludf.DUMMYFUNCTION("IF(OR($U555="""",COUNTIF($I:$I,IFERROR(unique(filter(Prod_Prop!$H:$H,Prod_Prop!$G:$G=$U555,Prod_Prop!$E:$E=AB$1)),""Check""))=0),"""",IFERROR(unique(filter(Prod_Prop!$H:$H,Prod_Prop!$G:$G=$U555,Prod_Prop!$E:$E=AB$1)),""""))"),"")</f>
        <v/>
      </c>
      <c r="AC555" s="4" t="str">
        <f>IF(AB555="","",SUMIFS(Prod_Prop!$J:$J,Prod_Prop!$B:$B,$Q555,Prod_Prop!$H:$H,AB555,Prod_Prop!$I:$I,AC$1)*IF(AB555="Peso",$R555,1))</f>
        <v/>
      </c>
      <c r="AD555" s="4" t="str">
        <f>IF(AB555="","",SUMIFS(Prod_Prop!$J:$J,Prod_Prop!$B:$B,$Q555,Prod_Prop!$H:$H,AB555,Prod_Prop!$I:$I,AD$1)*IF(AB555="Peso",$R555,1))</f>
        <v/>
      </c>
    </row>
    <row r="556">
      <c r="A556" s="4" t="str">
        <f t="array" ref="A556">IF(COUNTIF(A$1:A555,Cotizador!F$2)=maxifs(Familias!E:E,Familias!D:D,Cotizador!F$2),IF(COUNTIF(A$1:A555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6" s="4" t="str">
        <f t="shared" si="1"/>
        <v/>
      </c>
      <c r="C556" s="4" t="str">
        <f t="array" ref="C556">IF(B556="","",IF(A556=XLOOKUP(A$2,Implementos!B:B,Implementos!C:C,"",0,1),B556+maxifs(B$1:B555,A$1:A555,A$2),B556))</f>
        <v/>
      </c>
      <c r="D556" s="4" t="str">
        <f>IF(B556="","", COUNTIFS(Productos!F:F,A556,Productos!H:H,B556)+IF(F556="SI",0,1))</f>
        <v/>
      </c>
      <c r="E556" s="4" t="str">
        <f>IFERROR(__xludf.DUMMYFUNCTION("IF($B556="""","""",INDEX(filter(Familias!F:F,Familias!$D:$D=$A556,Familias!$E:$E=$B556),1))"),"")</f>
        <v/>
      </c>
      <c r="F556" s="4" t="str">
        <f>IFERROR(__xludf.DUMMYFUNCTION("IF($B556="""","""",INDEX(filter(Familias!G:G,Familias!$D:$D=$A556,Familias!$E:$E=$B556),1))"),"")</f>
        <v/>
      </c>
      <c r="G556" s="4" t="str">
        <f t="array" ref="G556">IF(C556=1,XLOOKUP(C556,Cotizador!D:D,Cotizador!E:E,"",0,1),"")</f>
        <v/>
      </c>
      <c r="I556" s="4"/>
      <c r="J556" s="8" t="str">
        <f>IF(I556="","",SUMIF(Cotizador!I$1:V$1,I556,Cotizador!I$2:V$2))</f>
        <v/>
      </c>
      <c r="L556" s="4" t="str">
        <f t="array" ref="L556">IF(COUNTIF(L$1:L555,A$2)=SUMIF(A:A,A$2,D:D),IF(COUNTIF(L$1:L555,XLOOKUP(A$2,Implementos!B:B,Implementos!C:C,"",0,1))=SUMIF(A:A,XLOOKUP(A$2,Implementos!B:B,Implementos!C:C,"",0,1),D:D),"",XLOOKUP(A$2,Implementos!B:B,Implementos!C:C,"",0,1)),A$2)</f>
        <v/>
      </c>
      <c r="M556" s="4" t="str">
        <f t="shared" si="2"/>
        <v/>
      </c>
      <c r="N556" s="4" t="str">
        <f t="shared" si="3"/>
        <v/>
      </c>
      <c r="O556" s="4" t="str">
        <f t="shared" si="4"/>
        <v/>
      </c>
      <c r="P556" s="4" t="str">
        <f t="shared" si="5"/>
        <v/>
      </c>
      <c r="Q556" s="4" t="str">
        <f>IF(U556="","",SUMIF(Productos!E:E,U556,Productos!A:A))</f>
        <v/>
      </c>
      <c r="R556" s="4" t="str">
        <f t="array" ref="R556">IF(L556="","", max(1,SUMIF(I:I,XLOOKUP(U556,Productos!E:E,Productos!G:G,"",0,1),J:J)))</f>
        <v/>
      </c>
      <c r="S556" s="4" t="str">
        <f>IF(Q556="","",IF(SUMIFS(Compat_Vetado!D:D,Compat_Vetado!B:B,SUM(G:G),Compat_Vetado!C:C,Q556)=1,"SI",IF(OR(SUMIF(Cotizador!E:E,Q556,Cotizador!G:G)&gt;0,SUMIFS(Compat_Vetado!D:D,Compat_Vetado!B:B,SUM(G:G),Compat_Vetado!C:C,Q556)=-1),"NO","")))</f>
        <v/>
      </c>
      <c r="T556" s="4" t="str">
        <f t="shared" si="6"/>
        <v/>
      </c>
      <c r="U556" s="4" t="str">
        <f>IFERROR(__xludf.DUMMYFUNCTION("IF(P556="""","""",IFERROR(INDEX(filter(Productos!E:E,Productos!F:F=L556,Productos!H:H=N556),P556),IF(M556=SUM(D:D),""Finalizar"",""-"")))"),"")</f>
        <v/>
      </c>
      <c r="V556" s="4" t="str">
        <f>IFERROR(__xludf.DUMMYFUNCTION("IF(OR($U556="""",COUNTIF($I:$I,IFERROR(unique(filter(Prod_Prop!$H:$H,Prod_Prop!$G:$G=$U556,Prod_Prop!$E:$E=V$1)),""Check""))=0),"""",IFERROR(unique(filter(Prod_Prop!$H:$H,Prod_Prop!$G:$G=$U556,Prod_Prop!$E:$E=V$1)),""""))"),"")</f>
        <v/>
      </c>
      <c r="W556" s="4" t="str">
        <f>IF(V556="","",SUMIFS(Prod_Prop!$J:$J,Prod_Prop!$B:$B,$Q556,Prod_Prop!$H:$H,V556,Prod_Prop!$I:$I,W$1)*IF(V556="Peso",$R556,1))</f>
        <v/>
      </c>
      <c r="X556" s="4" t="str">
        <f>IF(V556="","",SUMIFS(Prod_Prop!$J:$J,Prod_Prop!$B:$B,$Q556,Prod_Prop!$H:$H,V556,Prod_Prop!$I:$I,X$1)*IF(V556="Peso",$R556,1))</f>
        <v/>
      </c>
      <c r="Y556" s="4" t="str">
        <f>IFERROR(__xludf.DUMMYFUNCTION("IF(OR($U556="""",COUNTIF($I:$I,IFERROR(unique(filter(Prod_Prop!$H:$H,Prod_Prop!$G:$G=$U556,Prod_Prop!$E:$E=Y$1)),""Check""))=0),"""",IFERROR(unique(filter(Prod_Prop!$H:$H,Prod_Prop!$G:$G=$U556,Prod_Prop!$E:$E=Y$1)),""""))"),"")</f>
        <v/>
      </c>
      <c r="Z556" s="4" t="str">
        <f>IF(Y556="","",SUMIFS(Prod_Prop!$J:$J,Prod_Prop!$B:$B,$Q556,Prod_Prop!$H:$H,Y556,Prod_Prop!$I:$I,Z$1)*IF(Y556="Peso",$R556,1))</f>
        <v/>
      </c>
      <c r="AA556" s="4" t="str">
        <f>IF(Y556="","",SUMIFS(Prod_Prop!$J:$J,Prod_Prop!$B:$B,$Q556,Prod_Prop!$H:$H,Y556,Prod_Prop!$I:$I,AA$1)*IF(Y556="Peso",$R556,1))</f>
        <v/>
      </c>
      <c r="AB556" s="4" t="str">
        <f>IFERROR(__xludf.DUMMYFUNCTION("IF(OR($U556="""",COUNTIF($I:$I,IFERROR(unique(filter(Prod_Prop!$H:$H,Prod_Prop!$G:$G=$U556,Prod_Prop!$E:$E=AB$1)),""Check""))=0),"""",IFERROR(unique(filter(Prod_Prop!$H:$H,Prod_Prop!$G:$G=$U556,Prod_Prop!$E:$E=AB$1)),""""))"),"")</f>
        <v/>
      </c>
      <c r="AC556" s="4" t="str">
        <f>IF(AB556="","",SUMIFS(Prod_Prop!$J:$J,Prod_Prop!$B:$B,$Q556,Prod_Prop!$H:$H,AB556,Prod_Prop!$I:$I,AC$1)*IF(AB556="Peso",$R556,1))</f>
        <v/>
      </c>
      <c r="AD556" s="4" t="str">
        <f>IF(AB556="","",SUMIFS(Prod_Prop!$J:$J,Prod_Prop!$B:$B,$Q556,Prod_Prop!$H:$H,AB556,Prod_Prop!$I:$I,AD$1)*IF(AB556="Peso",$R556,1))</f>
        <v/>
      </c>
    </row>
    <row r="557">
      <c r="A557" s="4" t="str">
        <f t="array" ref="A557">IF(COUNTIF(A$1:A556,Cotizador!F$2)=maxifs(Familias!E:E,Familias!D:D,Cotizador!F$2),IF(COUNTIF(A$1:A556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7" s="4" t="str">
        <f t="shared" si="1"/>
        <v/>
      </c>
      <c r="C557" s="4" t="str">
        <f t="array" ref="C557">IF(B557="","",IF(A557=XLOOKUP(A$2,Implementos!B:B,Implementos!C:C,"",0,1),B557+maxifs(B$1:B556,A$1:A556,A$2),B557))</f>
        <v/>
      </c>
      <c r="D557" s="4" t="str">
        <f>IF(B557="","", COUNTIFS(Productos!F:F,A557,Productos!H:H,B557)+IF(F557="SI",0,1))</f>
        <v/>
      </c>
      <c r="E557" s="4" t="str">
        <f>IFERROR(__xludf.DUMMYFUNCTION("IF($B557="""","""",INDEX(filter(Familias!F:F,Familias!$D:$D=$A557,Familias!$E:$E=$B557),1))"),"")</f>
        <v/>
      </c>
      <c r="F557" s="4" t="str">
        <f>IFERROR(__xludf.DUMMYFUNCTION("IF($B557="""","""",INDEX(filter(Familias!G:G,Familias!$D:$D=$A557,Familias!$E:$E=$B557),1))"),"")</f>
        <v/>
      </c>
      <c r="G557" s="4" t="str">
        <f t="array" ref="G557">IF(C557=1,XLOOKUP(C557,Cotizador!D:D,Cotizador!E:E,"",0,1),"")</f>
        <v/>
      </c>
      <c r="I557" s="4"/>
      <c r="J557" s="8" t="str">
        <f>IF(I557="","",SUMIF(Cotizador!I$1:V$1,I557,Cotizador!I$2:V$2))</f>
        <v/>
      </c>
      <c r="L557" s="4" t="str">
        <f t="array" ref="L557">IF(COUNTIF(L$1:L556,A$2)=SUMIF(A:A,A$2,D:D),IF(COUNTIF(L$1:L556,XLOOKUP(A$2,Implementos!B:B,Implementos!C:C,"",0,1))=SUMIF(A:A,XLOOKUP(A$2,Implementos!B:B,Implementos!C:C,"",0,1),D:D),"",XLOOKUP(A$2,Implementos!B:B,Implementos!C:C,"",0,1)),A$2)</f>
        <v/>
      </c>
      <c r="M557" s="4" t="str">
        <f t="shared" si="2"/>
        <v/>
      </c>
      <c r="N557" s="4" t="str">
        <f t="shared" si="3"/>
        <v/>
      </c>
      <c r="O557" s="4" t="str">
        <f t="shared" si="4"/>
        <v/>
      </c>
      <c r="P557" s="4" t="str">
        <f t="shared" si="5"/>
        <v/>
      </c>
      <c r="Q557" s="4" t="str">
        <f>IF(U557="","",SUMIF(Productos!E:E,U557,Productos!A:A))</f>
        <v/>
      </c>
      <c r="R557" s="4" t="str">
        <f t="array" ref="R557">IF(L557="","", max(1,SUMIF(I:I,XLOOKUP(U557,Productos!E:E,Productos!G:G,"",0,1),J:J)))</f>
        <v/>
      </c>
      <c r="S557" s="4" t="str">
        <f>IF(Q557="","",IF(SUMIFS(Compat_Vetado!D:D,Compat_Vetado!B:B,SUM(G:G),Compat_Vetado!C:C,Q557)=1,"SI",IF(OR(SUMIF(Cotizador!E:E,Q557,Cotizador!G:G)&gt;0,SUMIFS(Compat_Vetado!D:D,Compat_Vetado!B:B,SUM(G:G),Compat_Vetado!C:C,Q557)=-1),"NO","")))</f>
        <v/>
      </c>
      <c r="T557" s="4" t="str">
        <f t="shared" si="6"/>
        <v/>
      </c>
      <c r="U557" s="4" t="str">
        <f>IFERROR(__xludf.DUMMYFUNCTION("IF(P557="""","""",IFERROR(INDEX(filter(Productos!E:E,Productos!F:F=L557,Productos!H:H=N557),P557),IF(M557=SUM(D:D),""Finalizar"",""-"")))"),"")</f>
        <v/>
      </c>
      <c r="V557" s="4" t="str">
        <f>IFERROR(__xludf.DUMMYFUNCTION("IF(OR($U557="""",COUNTIF($I:$I,IFERROR(unique(filter(Prod_Prop!$H:$H,Prod_Prop!$G:$G=$U557,Prod_Prop!$E:$E=V$1)),""Check""))=0),"""",IFERROR(unique(filter(Prod_Prop!$H:$H,Prod_Prop!$G:$G=$U557,Prod_Prop!$E:$E=V$1)),""""))"),"")</f>
        <v/>
      </c>
      <c r="W557" s="4" t="str">
        <f>IF(V557="","",SUMIFS(Prod_Prop!$J:$J,Prod_Prop!$B:$B,$Q557,Prod_Prop!$H:$H,V557,Prod_Prop!$I:$I,W$1)*IF(V557="Peso",$R557,1))</f>
        <v/>
      </c>
      <c r="X557" s="4" t="str">
        <f>IF(V557="","",SUMIFS(Prod_Prop!$J:$J,Prod_Prop!$B:$B,$Q557,Prod_Prop!$H:$H,V557,Prod_Prop!$I:$I,X$1)*IF(V557="Peso",$R557,1))</f>
        <v/>
      </c>
      <c r="Y557" s="4" t="str">
        <f>IFERROR(__xludf.DUMMYFUNCTION("IF(OR($U557="""",COUNTIF($I:$I,IFERROR(unique(filter(Prod_Prop!$H:$H,Prod_Prop!$G:$G=$U557,Prod_Prop!$E:$E=Y$1)),""Check""))=0),"""",IFERROR(unique(filter(Prod_Prop!$H:$H,Prod_Prop!$G:$G=$U557,Prod_Prop!$E:$E=Y$1)),""""))"),"")</f>
        <v/>
      </c>
      <c r="Z557" s="4" t="str">
        <f>IF(Y557="","",SUMIFS(Prod_Prop!$J:$J,Prod_Prop!$B:$B,$Q557,Prod_Prop!$H:$H,Y557,Prod_Prop!$I:$I,Z$1)*IF(Y557="Peso",$R557,1))</f>
        <v/>
      </c>
      <c r="AA557" s="4" t="str">
        <f>IF(Y557="","",SUMIFS(Prod_Prop!$J:$J,Prod_Prop!$B:$B,$Q557,Prod_Prop!$H:$H,Y557,Prod_Prop!$I:$I,AA$1)*IF(Y557="Peso",$R557,1))</f>
        <v/>
      </c>
      <c r="AB557" s="4" t="str">
        <f>IFERROR(__xludf.DUMMYFUNCTION("IF(OR($U557="""",COUNTIF($I:$I,IFERROR(unique(filter(Prod_Prop!$H:$H,Prod_Prop!$G:$G=$U557,Prod_Prop!$E:$E=AB$1)),""Check""))=0),"""",IFERROR(unique(filter(Prod_Prop!$H:$H,Prod_Prop!$G:$G=$U557,Prod_Prop!$E:$E=AB$1)),""""))"),"")</f>
        <v/>
      </c>
      <c r="AC557" s="4" t="str">
        <f>IF(AB557="","",SUMIFS(Prod_Prop!$J:$J,Prod_Prop!$B:$B,$Q557,Prod_Prop!$H:$H,AB557,Prod_Prop!$I:$I,AC$1)*IF(AB557="Peso",$R557,1))</f>
        <v/>
      </c>
      <c r="AD557" s="4" t="str">
        <f>IF(AB557="","",SUMIFS(Prod_Prop!$J:$J,Prod_Prop!$B:$B,$Q557,Prod_Prop!$H:$H,AB557,Prod_Prop!$I:$I,AD$1)*IF(AB557="Peso",$R557,1))</f>
        <v/>
      </c>
    </row>
    <row r="558">
      <c r="A558" s="4" t="str">
        <f t="array" ref="A558">IF(COUNTIF(A$1:A557,Cotizador!F$2)=maxifs(Familias!E:E,Familias!D:D,Cotizador!F$2),IF(COUNTIF(A$1:A557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8" s="4" t="str">
        <f t="shared" si="1"/>
        <v/>
      </c>
      <c r="C558" s="4" t="str">
        <f t="array" ref="C558">IF(B558="","",IF(A558=XLOOKUP(A$2,Implementos!B:B,Implementos!C:C,"",0,1),B558+maxifs(B$1:B557,A$1:A557,A$2),B558))</f>
        <v/>
      </c>
      <c r="D558" s="4" t="str">
        <f>IF(B558="","", COUNTIFS(Productos!F:F,A558,Productos!H:H,B558)+IF(F558="SI",0,1))</f>
        <v/>
      </c>
      <c r="E558" s="4" t="str">
        <f>IFERROR(__xludf.DUMMYFUNCTION("IF($B558="""","""",INDEX(filter(Familias!F:F,Familias!$D:$D=$A558,Familias!$E:$E=$B558),1))"),"")</f>
        <v/>
      </c>
      <c r="F558" s="4" t="str">
        <f>IFERROR(__xludf.DUMMYFUNCTION("IF($B558="""","""",INDEX(filter(Familias!G:G,Familias!$D:$D=$A558,Familias!$E:$E=$B558),1))"),"")</f>
        <v/>
      </c>
      <c r="G558" s="4" t="str">
        <f t="array" ref="G558">IF(C558=1,XLOOKUP(C558,Cotizador!D:D,Cotizador!E:E,"",0,1),"")</f>
        <v/>
      </c>
      <c r="I558" s="4"/>
      <c r="J558" s="8" t="str">
        <f>IF(I558="","",SUMIF(Cotizador!I$1:V$1,I558,Cotizador!I$2:V$2))</f>
        <v/>
      </c>
      <c r="L558" s="4" t="str">
        <f t="array" ref="L558">IF(COUNTIF(L$1:L557,A$2)=SUMIF(A:A,A$2,D:D),IF(COUNTIF(L$1:L557,XLOOKUP(A$2,Implementos!B:B,Implementos!C:C,"",0,1))=SUMIF(A:A,XLOOKUP(A$2,Implementos!B:B,Implementos!C:C,"",0,1),D:D),"",XLOOKUP(A$2,Implementos!B:B,Implementos!C:C,"",0,1)),A$2)</f>
        <v/>
      </c>
      <c r="M558" s="4" t="str">
        <f t="shared" si="2"/>
        <v/>
      </c>
      <c r="N558" s="4" t="str">
        <f t="shared" si="3"/>
        <v/>
      </c>
      <c r="O558" s="4" t="str">
        <f t="shared" si="4"/>
        <v/>
      </c>
      <c r="P558" s="4" t="str">
        <f t="shared" si="5"/>
        <v/>
      </c>
      <c r="Q558" s="4" t="str">
        <f>IF(U558="","",SUMIF(Productos!E:E,U558,Productos!A:A))</f>
        <v/>
      </c>
      <c r="R558" s="4" t="str">
        <f t="array" ref="R558">IF(L558="","", max(1,SUMIF(I:I,XLOOKUP(U558,Productos!E:E,Productos!G:G,"",0,1),J:J)))</f>
        <v/>
      </c>
      <c r="S558" s="4" t="str">
        <f>IF(Q558="","",IF(SUMIFS(Compat_Vetado!D:D,Compat_Vetado!B:B,SUM(G:G),Compat_Vetado!C:C,Q558)=1,"SI",IF(OR(SUMIF(Cotizador!E:E,Q558,Cotizador!G:G)&gt;0,SUMIFS(Compat_Vetado!D:D,Compat_Vetado!B:B,SUM(G:G),Compat_Vetado!C:C,Q558)=-1),"NO","")))</f>
        <v/>
      </c>
      <c r="T558" s="4" t="str">
        <f t="shared" si="6"/>
        <v/>
      </c>
      <c r="U558" s="4" t="str">
        <f>IFERROR(__xludf.DUMMYFUNCTION("IF(P558="""","""",IFERROR(INDEX(filter(Productos!E:E,Productos!F:F=L558,Productos!H:H=N558),P558),IF(M558=SUM(D:D),""Finalizar"",""-"")))"),"")</f>
        <v/>
      </c>
      <c r="V558" s="4" t="str">
        <f>IFERROR(__xludf.DUMMYFUNCTION("IF(OR($U558="""",COUNTIF($I:$I,IFERROR(unique(filter(Prod_Prop!$H:$H,Prod_Prop!$G:$G=$U558,Prod_Prop!$E:$E=V$1)),""Check""))=0),"""",IFERROR(unique(filter(Prod_Prop!$H:$H,Prod_Prop!$G:$G=$U558,Prod_Prop!$E:$E=V$1)),""""))"),"")</f>
        <v/>
      </c>
      <c r="W558" s="4" t="str">
        <f>IF(V558="","",SUMIFS(Prod_Prop!$J:$J,Prod_Prop!$B:$B,$Q558,Prod_Prop!$H:$H,V558,Prod_Prop!$I:$I,W$1)*IF(V558="Peso",$R558,1))</f>
        <v/>
      </c>
      <c r="X558" s="4" t="str">
        <f>IF(V558="","",SUMIFS(Prod_Prop!$J:$J,Prod_Prop!$B:$B,$Q558,Prod_Prop!$H:$H,V558,Prod_Prop!$I:$I,X$1)*IF(V558="Peso",$R558,1))</f>
        <v/>
      </c>
      <c r="Y558" s="4" t="str">
        <f>IFERROR(__xludf.DUMMYFUNCTION("IF(OR($U558="""",COUNTIF($I:$I,IFERROR(unique(filter(Prod_Prop!$H:$H,Prod_Prop!$G:$G=$U558,Prod_Prop!$E:$E=Y$1)),""Check""))=0),"""",IFERROR(unique(filter(Prod_Prop!$H:$H,Prod_Prop!$G:$G=$U558,Prod_Prop!$E:$E=Y$1)),""""))"),"")</f>
        <v/>
      </c>
      <c r="Z558" s="4" t="str">
        <f>IF(Y558="","",SUMIFS(Prod_Prop!$J:$J,Prod_Prop!$B:$B,$Q558,Prod_Prop!$H:$H,Y558,Prod_Prop!$I:$I,Z$1)*IF(Y558="Peso",$R558,1))</f>
        <v/>
      </c>
      <c r="AA558" s="4" t="str">
        <f>IF(Y558="","",SUMIFS(Prod_Prop!$J:$J,Prod_Prop!$B:$B,$Q558,Prod_Prop!$H:$H,Y558,Prod_Prop!$I:$I,AA$1)*IF(Y558="Peso",$R558,1))</f>
        <v/>
      </c>
      <c r="AB558" s="4" t="str">
        <f>IFERROR(__xludf.DUMMYFUNCTION("IF(OR($U558="""",COUNTIF($I:$I,IFERROR(unique(filter(Prod_Prop!$H:$H,Prod_Prop!$G:$G=$U558,Prod_Prop!$E:$E=AB$1)),""Check""))=0),"""",IFERROR(unique(filter(Prod_Prop!$H:$H,Prod_Prop!$G:$G=$U558,Prod_Prop!$E:$E=AB$1)),""""))"),"")</f>
        <v/>
      </c>
      <c r="AC558" s="4" t="str">
        <f>IF(AB558="","",SUMIFS(Prod_Prop!$J:$J,Prod_Prop!$B:$B,$Q558,Prod_Prop!$H:$H,AB558,Prod_Prop!$I:$I,AC$1)*IF(AB558="Peso",$R558,1))</f>
        <v/>
      </c>
      <c r="AD558" s="4" t="str">
        <f>IF(AB558="","",SUMIFS(Prod_Prop!$J:$J,Prod_Prop!$B:$B,$Q558,Prod_Prop!$H:$H,AB558,Prod_Prop!$I:$I,AD$1)*IF(AB558="Peso",$R558,1))</f>
        <v/>
      </c>
    </row>
    <row r="559">
      <c r="A559" s="4" t="str">
        <f t="array" ref="A559">IF(COUNTIF(A$1:A558,Cotizador!F$2)=maxifs(Familias!E:E,Familias!D:D,Cotizador!F$2),IF(COUNTIF(A$1:A558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59" s="4" t="str">
        <f t="shared" si="1"/>
        <v/>
      </c>
      <c r="C559" s="4" t="str">
        <f t="array" ref="C559">IF(B559="","",IF(A559=XLOOKUP(A$2,Implementos!B:B,Implementos!C:C,"",0,1),B559+maxifs(B$1:B558,A$1:A558,A$2),B559))</f>
        <v/>
      </c>
      <c r="D559" s="4" t="str">
        <f>IF(B559="","", COUNTIFS(Productos!F:F,A559,Productos!H:H,B559)+IF(F559="SI",0,1))</f>
        <v/>
      </c>
      <c r="E559" s="4" t="str">
        <f>IFERROR(__xludf.DUMMYFUNCTION("IF($B559="""","""",INDEX(filter(Familias!F:F,Familias!$D:$D=$A559,Familias!$E:$E=$B559),1))"),"")</f>
        <v/>
      </c>
      <c r="F559" s="4" t="str">
        <f>IFERROR(__xludf.DUMMYFUNCTION("IF($B559="""","""",INDEX(filter(Familias!G:G,Familias!$D:$D=$A559,Familias!$E:$E=$B559),1))"),"")</f>
        <v/>
      </c>
      <c r="G559" s="4" t="str">
        <f t="array" ref="G559">IF(C559=1,XLOOKUP(C559,Cotizador!D:D,Cotizador!E:E,"",0,1),"")</f>
        <v/>
      </c>
      <c r="I559" s="4"/>
      <c r="J559" s="8" t="str">
        <f>IF(I559="","",SUMIF(Cotizador!I$1:V$1,I559,Cotizador!I$2:V$2))</f>
        <v/>
      </c>
      <c r="L559" s="4" t="str">
        <f t="array" ref="L559">IF(COUNTIF(L$1:L558,A$2)=SUMIF(A:A,A$2,D:D),IF(COUNTIF(L$1:L558,XLOOKUP(A$2,Implementos!B:B,Implementos!C:C,"",0,1))=SUMIF(A:A,XLOOKUP(A$2,Implementos!B:B,Implementos!C:C,"",0,1),D:D),"",XLOOKUP(A$2,Implementos!B:B,Implementos!C:C,"",0,1)),A$2)</f>
        <v/>
      </c>
      <c r="M559" s="4" t="str">
        <f t="shared" si="2"/>
        <v/>
      </c>
      <c r="N559" s="4" t="str">
        <f t="shared" si="3"/>
        <v/>
      </c>
      <c r="O559" s="4" t="str">
        <f t="shared" si="4"/>
        <v/>
      </c>
      <c r="P559" s="4" t="str">
        <f t="shared" si="5"/>
        <v/>
      </c>
      <c r="Q559" s="4" t="str">
        <f>IF(U559="","",SUMIF(Productos!E:E,U559,Productos!A:A))</f>
        <v/>
      </c>
      <c r="R559" s="4" t="str">
        <f t="array" ref="R559">IF(L559="","", max(1,SUMIF(I:I,XLOOKUP(U559,Productos!E:E,Productos!G:G,"",0,1),J:J)))</f>
        <v/>
      </c>
      <c r="S559" s="4" t="str">
        <f>IF(Q559="","",IF(SUMIFS(Compat_Vetado!D:D,Compat_Vetado!B:B,SUM(G:G),Compat_Vetado!C:C,Q559)=1,"SI",IF(OR(SUMIF(Cotizador!E:E,Q559,Cotizador!G:G)&gt;0,SUMIFS(Compat_Vetado!D:D,Compat_Vetado!B:B,SUM(G:G),Compat_Vetado!C:C,Q559)=-1),"NO","")))</f>
        <v/>
      </c>
      <c r="T559" s="4" t="str">
        <f t="shared" si="6"/>
        <v/>
      </c>
      <c r="U559" s="4" t="str">
        <f>IFERROR(__xludf.DUMMYFUNCTION("IF(P559="""","""",IFERROR(INDEX(filter(Productos!E:E,Productos!F:F=L559,Productos!H:H=N559),P559),IF(M559=SUM(D:D),""Finalizar"",""-"")))"),"")</f>
        <v/>
      </c>
      <c r="V559" s="4" t="str">
        <f>IFERROR(__xludf.DUMMYFUNCTION("IF(OR($U559="""",COUNTIF($I:$I,IFERROR(unique(filter(Prod_Prop!$H:$H,Prod_Prop!$G:$G=$U559,Prod_Prop!$E:$E=V$1)),""Check""))=0),"""",IFERROR(unique(filter(Prod_Prop!$H:$H,Prod_Prop!$G:$G=$U559,Prod_Prop!$E:$E=V$1)),""""))"),"")</f>
        <v/>
      </c>
      <c r="W559" s="4" t="str">
        <f>IF(V559="","",SUMIFS(Prod_Prop!$J:$J,Prod_Prop!$B:$B,$Q559,Prod_Prop!$H:$H,V559,Prod_Prop!$I:$I,W$1)*IF(V559="Peso",$R559,1))</f>
        <v/>
      </c>
      <c r="X559" s="4" t="str">
        <f>IF(V559="","",SUMIFS(Prod_Prop!$J:$J,Prod_Prop!$B:$B,$Q559,Prod_Prop!$H:$H,V559,Prod_Prop!$I:$I,X$1)*IF(V559="Peso",$R559,1))</f>
        <v/>
      </c>
      <c r="Y559" s="4" t="str">
        <f>IFERROR(__xludf.DUMMYFUNCTION("IF(OR($U559="""",COUNTIF($I:$I,IFERROR(unique(filter(Prod_Prop!$H:$H,Prod_Prop!$G:$G=$U559,Prod_Prop!$E:$E=Y$1)),""Check""))=0),"""",IFERROR(unique(filter(Prod_Prop!$H:$H,Prod_Prop!$G:$G=$U559,Prod_Prop!$E:$E=Y$1)),""""))"),"")</f>
        <v/>
      </c>
      <c r="Z559" s="4" t="str">
        <f>IF(Y559="","",SUMIFS(Prod_Prop!$J:$J,Prod_Prop!$B:$B,$Q559,Prod_Prop!$H:$H,Y559,Prod_Prop!$I:$I,Z$1)*IF(Y559="Peso",$R559,1))</f>
        <v/>
      </c>
      <c r="AA559" s="4" t="str">
        <f>IF(Y559="","",SUMIFS(Prod_Prop!$J:$J,Prod_Prop!$B:$B,$Q559,Prod_Prop!$H:$H,Y559,Prod_Prop!$I:$I,AA$1)*IF(Y559="Peso",$R559,1))</f>
        <v/>
      </c>
      <c r="AB559" s="4" t="str">
        <f>IFERROR(__xludf.DUMMYFUNCTION("IF(OR($U559="""",COUNTIF($I:$I,IFERROR(unique(filter(Prod_Prop!$H:$H,Prod_Prop!$G:$G=$U559,Prod_Prop!$E:$E=AB$1)),""Check""))=0),"""",IFERROR(unique(filter(Prod_Prop!$H:$H,Prod_Prop!$G:$G=$U559,Prod_Prop!$E:$E=AB$1)),""""))"),"")</f>
        <v/>
      </c>
      <c r="AC559" s="4" t="str">
        <f>IF(AB559="","",SUMIFS(Prod_Prop!$J:$J,Prod_Prop!$B:$B,$Q559,Prod_Prop!$H:$H,AB559,Prod_Prop!$I:$I,AC$1)*IF(AB559="Peso",$R559,1))</f>
        <v/>
      </c>
      <c r="AD559" s="4" t="str">
        <f>IF(AB559="","",SUMIFS(Prod_Prop!$J:$J,Prod_Prop!$B:$B,$Q559,Prod_Prop!$H:$H,AB559,Prod_Prop!$I:$I,AD$1)*IF(AB559="Peso",$R559,1))</f>
        <v/>
      </c>
    </row>
    <row r="560">
      <c r="A560" s="4" t="str">
        <f t="array" ref="A560">IF(COUNTIF(A$1:A559,Cotizador!F$2)=maxifs(Familias!E:E,Familias!D:D,Cotizador!F$2),IF(COUNTIF(A$1:A559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0" s="4" t="str">
        <f t="shared" si="1"/>
        <v/>
      </c>
      <c r="C560" s="4" t="str">
        <f t="array" ref="C560">IF(B560="","",IF(A560=XLOOKUP(A$2,Implementos!B:B,Implementos!C:C,"",0,1),B560+maxifs(B$1:B559,A$1:A559,A$2),B560))</f>
        <v/>
      </c>
      <c r="D560" s="4" t="str">
        <f>IF(B560="","", COUNTIFS(Productos!F:F,A560,Productos!H:H,B560)+IF(F560="SI",0,1))</f>
        <v/>
      </c>
      <c r="E560" s="4" t="str">
        <f>IFERROR(__xludf.DUMMYFUNCTION("IF($B560="""","""",INDEX(filter(Familias!F:F,Familias!$D:$D=$A560,Familias!$E:$E=$B560),1))"),"")</f>
        <v/>
      </c>
      <c r="F560" s="4" t="str">
        <f>IFERROR(__xludf.DUMMYFUNCTION("IF($B560="""","""",INDEX(filter(Familias!G:G,Familias!$D:$D=$A560,Familias!$E:$E=$B560),1))"),"")</f>
        <v/>
      </c>
      <c r="G560" s="4" t="str">
        <f t="array" ref="G560">IF(C560=1,XLOOKUP(C560,Cotizador!D:D,Cotizador!E:E,"",0,1),"")</f>
        <v/>
      </c>
      <c r="I560" s="4"/>
      <c r="J560" s="8" t="str">
        <f>IF(I560="","",SUMIF(Cotizador!I$1:V$1,I560,Cotizador!I$2:V$2))</f>
        <v/>
      </c>
      <c r="L560" s="4" t="str">
        <f t="array" ref="L560">IF(COUNTIF(L$1:L559,A$2)=SUMIF(A:A,A$2,D:D),IF(COUNTIF(L$1:L559,XLOOKUP(A$2,Implementos!B:B,Implementos!C:C,"",0,1))=SUMIF(A:A,XLOOKUP(A$2,Implementos!B:B,Implementos!C:C,"",0,1),D:D),"",XLOOKUP(A$2,Implementos!B:B,Implementos!C:C,"",0,1)),A$2)</f>
        <v/>
      </c>
      <c r="M560" s="4" t="str">
        <f t="shared" si="2"/>
        <v/>
      </c>
      <c r="N560" s="4" t="str">
        <f t="shared" si="3"/>
        <v/>
      </c>
      <c r="O560" s="4" t="str">
        <f t="shared" si="4"/>
        <v/>
      </c>
      <c r="P560" s="4" t="str">
        <f t="shared" si="5"/>
        <v/>
      </c>
      <c r="Q560" s="4" t="str">
        <f>IF(U560="","",SUMIF(Productos!E:E,U560,Productos!A:A))</f>
        <v/>
      </c>
      <c r="R560" s="4" t="str">
        <f t="array" ref="R560">IF(L560="","", max(1,SUMIF(I:I,XLOOKUP(U560,Productos!E:E,Productos!G:G,"",0,1),J:J)))</f>
        <v/>
      </c>
      <c r="S560" s="4" t="str">
        <f>IF(Q560="","",IF(SUMIFS(Compat_Vetado!D:D,Compat_Vetado!B:B,SUM(G:G),Compat_Vetado!C:C,Q560)=1,"SI",IF(OR(SUMIF(Cotizador!E:E,Q560,Cotizador!G:G)&gt;0,SUMIFS(Compat_Vetado!D:D,Compat_Vetado!B:B,SUM(G:G),Compat_Vetado!C:C,Q560)=-1),"NO","")))</f>
        <v/>
      </c>
      <c r="T560" s="4" t="str">
        <f t="shared" si="6"/>
        <v/>
      </c>
      <c r="U560" s="4" t="str">
        <f>IFERROR(__xludf.DUMMYFUNCTION("IF(P560="""","""",IFERROR(INDEX(filter(Productos!E:E,Productos!F:F=L560,Productos!H:H=N560),P560),IF(M560=SUM(D:D),""Finalizar"",""-"")))"),"")</f>
        <v/>
      </c>
      <c r="V560" s="4" t="str">
        <f>IFERROR(__xludf.DUMMYFUNCTION("IF(OR($U560="""",COUNTIF($I:$I,IFERROR(unique(filter(Prod_Prop!$H:$H,Prod_Prop!$G:$G=$U560,Prod_Prop!$E:$E=V$1)),""Check""))=0),"""",IFERROR(unique(filter(Prod_Prop!$H:$H,Prod_Prop!$G:$G=$U560,Prod_Prop!$E:$E=V$1)),""""))"),"")</f>
        <v/>
      </c>
      <c r="W560" s="4" t="str">
        <f>IF(V560="","",SUMIFS(Prod_Prop!$J:$J,Prod_Prop!$B:$B,$Q560,Prod_Prop!$H:$H,V560,Prod_Prop!$I:$I,W$1)*IF(V560="Peso",$R560,1))</f>
        <v/>
      </c>
      <c r="X560" s="4" t="str">
        <f>IF(V560="","",SUMIFS(Prod_Prop!$J:$J,Prod_Prop!$B:$B,$Q560,Prod_Prop!$H:$H,V560,Prod_Prop!$I:$I,X$1)*IF(V560="Peso",$R560,1))</f>
        <v/>
      </c>
      <c r="Y560" s="4" t="str">
        <f>IFERROR(__xludf.DUMMYFUNCTION("IF(OR($U560="""",COUNTIF($I:$I,IFERROR(unique(filter(Prod_Prop!$H:$H,Prod_Prop!$G:$G=$U560,Prod_Prop!$E:$E=Y$1)),""Check""))=0),"""",IFERROR(unique(filter(Prod_Prop!$H:$H,Prod_Prop!$G:$G=$U560,Prod_Prop!$E:$E=Y$1)),""""))"),"")</f>
        <v/>
      </c>
      <c r="Z560" s="4" t="str">
        <f>IF(Y560="","",SUMIFS(Prod_Prop!$J:$J,Prod_Prop!$B:$B,$Q560,Prod_Prop!$H:$H,Y560,Prod_Prop!$I:$I,Z$1)*IF(Y560="Peso",$R560,1))</f>
        <v/>
      </c>
      <c r="AA560" s="4" t="str">
        <f>IF(Y560="","",SUMIFS(Prod_Prop!$J:$J,Prod_Prop!$B:$B,$Q560,Prod_Prop!$H:$H,Y560,Prod_Prop!$I:$I,AA$1)*IF(Y560="Peso",$R560,1))</f>
        <v/>
      </c>
      <c r="AB560" s="4" t="str">
        <f>IFERROR(__xludf.DUMMYFUNCTION("IF(OR($U560="""",COUNTIF($I:$I,IFERROR(unique(filter(Prod_Prop!$H:$H,Prod_Prop!$G:$G=$U560,Prod_Prop!$E:$E=AB$1)),""Check""))=0),"""",IFERROR(unique(filter(Prod_Prop!$H:$H,Prod_Prop!$G:$G=$U560,Prod_Prop!$E:$E=AB$1)),""""))"),"")</f>
        <v/>
      </c>
      <c r="AC560" s="4" t="str">
        <f>IF(AB560="","",SUMIFS(Prod_Prop!$J:$J,Prod_Prop!$B:$B,$Q560,Prod_Prop!$H:$H,AB560,Prod_Prop!$I:$I,AC$1)*IF(AB560="Peso",$R560,1))</f>
        <v/>
      </c>
      <c r="AD560" s="4" t="str">
        <f>IF(AB560="","",SUMIFS(Prod_Prop!$J:$J,Prod_Prop!$B:$B,$Q560,Prod_Prop!$H:$H,AB560,Prod_Prop!$I:$I,AD$1)*IF(AB560="Peso",$R560,1))</f>
        <v/>
      </c>
    </row>
    <row r="561">
      <c r="A561" s="4" t="str">
        <f t="array" ref="A561">IF(COUNTIF(A$1:A560,Cotizador!F$2)=maxifs(Familias!E:E,Familias!D:D,Cotizador!F$2),IF(COUNTIF(A$1:A560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1" s="4" t="str">
        <f t="shared" si="1"/>
        <v/>
      </c>
      <c r="C561" s="4" t="str">
        <f t="array" ref="C561">IF(B561="","",IF(A561=XLOOKUP(A$2,Implementos!B:B,Implementos!C:C,"",0,1),B561+maxifs(B$1:B560,A$1:A560,A$2),B561))</f>
        <v/>
      </c>
      <c r="D561" s="4" t="str">
        <f>IF(B561="","", COUNTIFS(Productos!F:F,A561,Productos!H:H,B561)+IF(F561="SI",0,1))</f>
        <v/>
      </c>
      <c r="E561" s="4" t="str">
        <f>IFERROR(__xludf.DUMMYFUNCTION("IF($B561="""","""",INDEX(filter(Familias!F:F,Familias!$D:$D=$A561,Familias!$E:$E=$B561),1))"),"")</f>
        <v/>
      </c>
      <c r="F561" s="4" t="str">
        <f>IFERROR(__xludf.DUMMYFUNCTION("IF($B561="""","""",INDEX(filter(Familias!G:G,Familias!$D:$D=$A561,Familias!$E:$E=$B561),1))"),"")</f>
        <v/>
      </c>
      <c r="G561" s="4" t="str">
        <f t="array" ref="G561">IF(C561=1,XLOOKUP(C561,Cotizador!D:D,Cotizador!E:E,"",0,1),"")</f>
        <v/>
      </c>
      <c r="I561" s="4"/>
      <c r="J561" s="8" t="str">
        <f>IF(I561="","",SUMIF(Cotizador!I$1:V$1,I561,Cotizador!I$2:V$2))</f>
        <v/>
      </c>
      <c r="L561" s="4" t="str">
        <f t="array" ref="L561">IF(COUNTIF(L$1:L560,A$2)=SUMIF(A:A,A$2,D:D),IF(COUNTIF(L$1:L560,XLOOKUP(A$2,Implementos!B:B,Implementos!C:C,"",0,1))=SUMIF(A:A,XLOOKUP(A$2,Implementos!B:B,Implementos!C:C,"",0,1),D:D),"",XLOOKUP(A$2,Implementos!B:B,Implementos!C:C,"",0,1)),A$2)</f>
        <v/>
      </c>
      <c r="M561" s="4" t="str">
        <f t="shared" si="2"/>
        <v/>
      </c>
      <c r="N561" s="4" t="str">
        <f t="shared" si="3"/>
        <v/>
      </c>
      <c r="O561" s="4" t="str">
        <f t="shared" si="4"/>
        <v/>
      </c>
      <c r="P561" s="4" t="str">
        <f t="shared" si="5"/>
        <v/>
      </c>
      <c r="Q561" s="4" t="str">
        <f>IF(U561="","",SUMIF(Productos!E:E,U561,Productos!A:A))</f>
        <v/>
      </c>
      <c r="R561" s="4" t="str">
        <f t="array" ref="R561">IF(L561="","", max(1,SUMIF(I:I,XLOOKUP(U561,Productos!E:E,Productos!G:G,"",0,1),J:J)))</f>
        <v/>
      </c>
      <c r="S561" s="4" t="str">
        <f>IF(Q561="","",IF(SUMIFS(Compat_Vetado!D:D,Compat_Vetado!B:B,SUM(G:G),Compat_Vetado!C:C,Q561)=1,"SI",IF(OR(SUMIF(Cotizador!E:E,Q561,Cotizador!G:G)&gt;0,SUMIFS(Compat_Vetado!D:D,Compat_Vetado!B:B,SUM(G:G),Compat_Vetado!C:C,Q561)=-1),"NO","")))</f>
        <v/>
      </c>
      <c r="T561" s="4" t="str">
        <f t="shared" si="6"/>
        <v/>
      </c>
      <c r="U561" s="4" t="str">
        <f>IFERROR(__xludf.DUMMYFUNCTION("IF(P561="""","""",IFERROR(INDEX(filter(Productos!E:E,Productos!F:F=L561,Productos!H:H=N561),P561),IF(M561=SUM(D:D),""Finalizar"",""-"")))"),"")</f>
        <v/>
      </c>
      <c r="V561" s="4" t="str">
        <f>IFERROR(__xludf.DUMMYFUNCTION("IF(OR($U561="""",COUNTIF($I:$I,IFERROR(unique(filter(Prod_Prop!$H:$H,Prod_Prop!$G:$G=$U561,Prod_Prop!$E:$E=V$1)),""Check""))=0),"""",IFERROR(unique(filter(Prod_Prop!$H:$H,Prod_Prop!$G:$G=$U561,Prod_Prop!$E:$E=V$1)),""""))"),"")</f>
        <v/>
      </c>
      <c r="W561" s="4" t="str">
        <f>IF(V561="","",SUMIFS(Prod_Prop!$J:$J,Prod_Prop!$B:$B,$Q561,Prod_Prop!$H:$H,V561,Prod_Prop!$I:$I,W$1)*IF(V561="Peso",$R561,1))</f>
        <v/>
      </c>
      <c r="X561" s="4" t="str">
        <f>IF(V561="","",SUMIFS(Prod_Prop!$J:$J,Prod_Prop!$B:$B,$Q561,Prod_Prop!$H:$H,V561,Prod_Prop!$I:$I,X$1)*IF(V561="Peso",$R561,1))</f>
        <v/>
      </c>
      <c r="Y561" s="4" t="str">
        <f>IFERROR(__xludf.DUMMYFUNCTION("IF(OR($U561="""",COUNTIF($I:$I,IFERROR(unique(filter(Prod_Prop!$H:$H,Prod_Prop!$G:$G=$U561,Prod_Prop!$E:$E=Y$1)),""Check""))=0),"""",IFERROR(unique(filter(Prod_Prop!$H:$H,Prod_Prop!$G:$G=$U561,Prod_Prop!$E:$E=Y$1)),""""))"),"")</f>
        <v/>
      </c>
      <c r="Z561" s="4" t="str">
        <f>IF(Y561="","",SUMIFS(Prod_Prop!$J:$J,Prod_Prop!$B:$B,$Q561,Prod_Prop!$H:$H,Y561,Prod_Prop!$I:$I,Z$1)*IF(Y561="Peso",$R561,1))</f>
        <v/>
      </c>
      <c r="AA561" s="4" t="str">
        <f>IF(Y561="","",SUMIFS(Prod_Prop!$J:$J,Prod_Prop!$B:$B,$Q561,Prod_Prop!$H:$H,Y561,Prod_Prop!$I:$I,AA$1)*IF(Y561="Peso",$R561,1))</f>
        <v/>
      </c>
      <c r="AB561" s="4" t="str">
        <f>IFERROR(__xludf.DUMMYFUNCTION("IF(OR($U561="""",COUNTIF($I:$I,IFERROR(unique(filter(Prod_Prop!$H:$H,Prod_Prop!$G:$G=$U561,Prod_Prop!$E:$E=AB$1)),""Check""))=0),"""",IFERROR(unique(filter(Prod_Prop!$H:$H,Prod_Prop!$G:$G=$U561,Prod_Prop!$E:$E=AB$1)),""""))"),"")</f>
        <v/>
      </c>
      <c r="AC561" s="4" t="str">
        <f>IF(AB561="","",SUMIFS(Prod_Prop!$J:$J,Prod_Prop!$B:$B,$Q561,Prod_Prop!$H:$H,AB561,Prod_Prop!$I:$I,AC$1)*IF(AB561="Peso",$R561,1))</f>
        <v/>
      </c>
      <c r="AD561" s="4" t="str">
        <f>IF(AB561="","",SUMIFS(Prod_Prop!$J:$J,Prod_Prop!$B:$B,$Q561,Prod_Prop!$H:$H,AB561,Prod_Prop!$I:$I,AD$1)*IF(AB561="Peso",$R561,1))</f>
        <v/>
      </c>
    </row>
    <row r="562">
      <c r="A562" s="4" t="str">
        <f t="array" ref="A562">IF(COUNTIF(A$1:A561,Cotizador!F$2)=maxifs(Familias!E:E,Familias!D:D,Cotizador!F$2),IF(COUNTIF(A$1:A561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2" s="4" t="str">
        <f t="shared" si="1"/>
        <v/>
      </c>
      <c r="C562" s="4" t="str">
        <f t="array" ref="C562">IF(B562="","",IF(A562=XLOOKUP(A$2,Implementos!B:B,Implementos!C:C,"",0,1),B562+maxifs(B$1:B561,A$1:A561,A$2),B562))</f>
        <v/>
      </c>
      <c r="D562" s="4" t="str">
        <f>IF(B562="","", COUNTIFS(Productos!F:F,A562,Productos!H:H,B562)+IF(F562="SI",0,1))</f>
        <v/>
      </c>
      <c r="E562" s="4" t="str">
        <f>IFERROR(__xludf.DUMMYFUNCTION("IF($B562="""","""",INDEX(filter(Familias!F:F,Familias!$D:$D=$A562,Familias!$E:$E=$B562),1))"),"")</f>
        <v/>
      </c>
      <c r="F562" s="4" t="str">
        <f>IFERROR(__xludf.DUMMYFUNCTION("IF($B562="""","""",INDEX(filter(Familias!G:G,Familias!$D:$D=$A562,Familias!$E:$E=$B562),1))"),"")</f>
        <v/>
      </c>
      <c r="G562" s="4" t="str">
        <f t="array" ref="G562">IF(C562=1,XLOOKUP(C562,Cotizador!D:D,Cotizador!E:E,"",0,1),"")</f>
        <v/>
      </c>
      <c r="I562" s="4"/>
      <c r="J562" s="8" t="str">
        <f>IF(I562="","",SUMIF(Cotizador!I$1:V$1,I562,Cotizador!I$2:V$2))</f>
        <v/>
      </c>
      <c r="L562" s="4" t="str">
        <f t="array" ref="L562">IF(COUNTIF(L$1:L561,A$2)=SUMIF(A:A,A$2,D:D),IF(COUNTIF(L$1:L561,XLOOKUP(A$2,Implementos!B:B,Implementos!C:C,"",0,1))=SUMIF(A:A,XLOOKUP(A$2,Implementos!B:B,Implementos!C:C,"",0,1),D:D),"",XLOOKUP(A$2,Implementos!B:B,Implementos!C:C,"",0,1)),A$2)</f>
        <v/>
      </c>
      <c r="M562" s="4" t="str">
        <f t="shared" si="2"/>
        <v/>
      </c>
      <c r="N562" s="4" t="str">
        <f t="shared" si="3"/>
        <v/>
      </c>
      <c r="O562" s="4" t="str">
        <f t="shared" si="4"/>
        <v/>
      </c>
      <c r="P562" s="4" t="str">
        <f t="shared" si="5"/>
        <v/>
      </c>
      <c r="Q562" s="4" t="str">
        <f>IF(U562="","",SUMIF(Productos!E:E,U562,Productos!A:A))</f>
        <v/>
      </c>
      <c r="R562" s="4" t="str">
        <f t="array" ref="R562">IF(L562="","", max(1,SUMIF(I:I,XLOOKUP(U562,Productos!E:E,Productos!G:G,"",0,1),J:J)))</f>
        <v/>
      </c>
      <c r="S562" s="4" t="str">
        <f>IF(Q562="","",IF(SUMIFS(Compat_Vetado!D:D,Compat_Vetado!B:B,SUM(G:G),Compat_Vetado!C:C,Q562)=1,"SI",IF(OR(SUMIF(Cotizador!E:E,Q562,Cotizador!G:G)&gt;0,SUMIFS(Compat_Vetado!D:D,Compat_Vetado!B:B,SUM(G:G),Compat_Vetado!C:C,Q562)=-1),"NO","")))</f>
        <v/>
      </c>
      <c r="T562" s="4" t="str">
        <f t="shared" si="6"/>
        <v/>
      </c>
      <c r="U562" s="4" t="str">
        <f>IFERROR(__xludf.DUMMYFUNCTION("IF(P562="""","""",IFERROR(INDEX(filter(Productos!E:E,Productos!F:F=L562,Productos!H:H=N562),P562),IF(M562=SUM(D:D),""Finalizar"",""-"")))"),"")</f>
        <v/>
      </c>
      <c r="V562" s="4" t="str">
        <f>IFERROR(__xludf.DUMMYFUNCTION("IF(OR($U562="""",COUNTIF($I:$I,IFERROR(unique(filter(Prod_Prop!$H:$H,Prod_Prop!$G:$G=$U562,Prod_Prop!$E:$E=V$1)),""Check""))=0),"""",IFERROR(unique(filter(Prod_Prop!$H:$H,Prod_Prop!$G:$G=$U562,Prod_Prop!$E:$E=V$1)),""""))"),"")</f>
        <v/>
      </c>
      <c r="W562" s="4" t="str">
        <f>IF(V562="","",SUMIFS(Prod_Prop!$J:$J,Prod_Prop!$B:$B,$Q562,Prod_Prop!$H:$H,V562,Prod_Prop!$I:$I,W$1)*IF(V562="Peso",$R562,1))</f>
        <v/>
      </c>
      <c r="X562" s="4" t="str">
        <f>IF(V562="","",SUMIFS(Prod_Prop!$J:$J,Prod_Prop!$B:$B,$Q562,Prod_Prop!$H:$H,V562,Prod_Prop!$I:$I,X$1)*IF(V562="Peso",$R562,1))</f>
        <v/>
      </c>
      <c r="Y562" s="4" t="str">
        <f>IFERROR(__xludf.DUMMYFUNCTION("IF(OR($U562="""",COUNTIF($I:$I,IFERROR(unique(filter(Prod_Prop!$H:$H,Prod_Prop!$G:$G=$U562,Prod_Prop!$E:$E=Y$1)),""Check""))=0),"""",IFERROR(unique(filter(Prod_Prop!$H:$H,Prod_Prop!$G:$G=$U562,Prod_Prop!$E:$E=Y$1)),""""))"),"")</f>
        <v/>
      </c>
      <c r="Z562" s="4" t="str">
        <f>IF(Y562="","",SUMIFS(Prod_Prop!$J:$J,Prod_Prop!$B:$B,$Q562,Prod_Prop!$H:$H,Y562,Prod_Prop!$I:$I,Z$1)*IF(Y562="Peso",$R562,1))</f>
        <v/>
      </c>
      <c r="AA562" s="4" t="str">
        <f>IF(Y562="","",SUMIFS(Prod_Prop!$J:$J,Prod_Prop!$B:$B,$Q562,Prod_Prop!$H:$H,Y562,Prod_Prop!$I:$I,AA$1)*IF(Y562="Peso",$R562,1))</f>
        <v/>
      </c>
      <c r="AB562" s="4" t="str">
        <f>IFERROR(__xludf.DUMMYFUNCTION("IF(OR($U562="""",COUNTIF($I:$I,IFERROR(unique(filter(Prod_Prop!$H:$H,Prod_Prop!$G:$G=$U562,Prod_Prop!$E:$E=AB$1)),""Check""))=0),"""",IFERROR(unique(filter(Prod_Prop!$H:$H,Prod_Prop!$G:$G=$U562,Prod_Prop!$E:$E=AB$1)),""""))"),"")</f>
        <v/>
      </c>
      <c r="AC562" s="4" t="str">
        <f>IF(AB562="","",SUMIFS(Prod_Prop!$J:$J,Prod_Prop!$B:$B,$Q562,Prod_Prop!$H:$H,AB562,Prod_Prop!$I:$I,AC$1)*IF(AB562="Peso",$R562,1))</f>
        <v/>
      </c>
      <c r="AD562" s="4" t="str">
        <f>IF(AB562="","",SUMIFS(Prod_Prop!$J:$J,Prod_Prop!$B:$B,$Q562,Prod_Prop!$H:$H,AB562,Prod_Prop!$I:$I,AD$1)*IF(AB562="Peso",$R562,1))</f>
        <v/>
      </c>
    </row>
    <row r="563">
      <c r="A563" s="4" t="str">
        <f t="array" ref="A563">IF(COUNTIF(A$1:A562,Cotizador!F$2)=maxifs(Familias!E:E,Familias!D:D,Cotizador!F$2),IF(COUNTIF(A$1:A562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3" s="4" t="str">
        <f t="shared" si="1"/>
        <v/>
      </c>
      <c r="C563" s="4" t="str">
        <f t="array" ref="C563">IF(B563="","",IF(A563=XLOOKUP(A$2,Implementos!B:B,Implementos!C:C,"",0,1),B563+maxifs(B$1:B562,A$1:A562,A$2),B563))</f>
        <v/>
      </c>
      <c r="D563" s="4" t="str">
        <f>IF(B563="","", COUNTIFS(Productos!F:F,A563,Productos!H:H,B563)+IF(F563="SI",0,1))</f>
        <v/>
      </c>
      <c r="E563" s="4" t="str">
        <f>IFERROR(__xludf.DUMMYFUNCTION("IF($B563="""","""",INDEX(filter(Familias!F:F,Familias!$D:$D=$A563,Familias!$E:$E=$B563),1))"),"")</f>
        <v/>
      </c>
      <c r="F563" s="4" t="str">
        <f>IFERROR(__xludf.DUMMYFUNCTION("IF($B563="""","""",INDEX(filter(Familias!G:G,Familias!$D:$D=$A563,Familias!$E:$E=$B563),1))"),"")</f>
        <v/>
      </c>
      <c r="G563" s="4" t="str">
        <f t="array" ref="G563">IF(C563=1,XLOOKUP(C563,Cotizador!D:D,Cotizador!E:E,"",0,1),"")</f>
        <v/>
      </c>
      <c r="I563" s="4"/>
      <c r="J563" s="8" t="str">
        <f>IF(I563="","",SUMIF(Cotizador!I$1:V$1,I563,Cotizador!I$2:V$2))</f>
        <v/>
      </c>
      <c r="L563" s="4" t="str">
        <f t="array" ref="L563">IF(COUNTIF(L$1:L562,A$2)=SUMIF(A:A,A$2,D:D),IF(COUNTIF(L$1:L562,XLOOKUP(A$2,Implementos!B:B,Implementos!C:C,"",0,1))=SUMIF(A:A,XLOOKUP(A$2,Implementos!B:B,Implementos!C:C,"",0,1),D:D),"",XLOOKUP(A$2,Implementos!B:B,Implementos!C:C,"",0,1)),A$2)</f>
        <v/>
      </c>
      <c r="M563" s="4" t="str">
        <f t="shared" si="2"/>
        <v/>
      </c>
      <c r="N563" s="4" t="str">
        <f t="shared" si="3"/>
        <v/>
      </c>
      <c r="O563" s="4" t="str">
        <f t="shared" si="4"/>
        <v/>
      </c>
      <c r="P563" s="4" t="str">
        <f t="shared" si="5"/>
        <v/>
      </c>
      <c r="Q563" s="4" t="str">
        <f>IF(U563="","",SUMIF(Productos!E:E,U563,Productos!A:A))</f>
        <v/>
      </c>
      <c r="R563" s="4" t="str">
        <f t="array" ref="R563">IF(L563="","", max(1,SUMIF(I:I,XLOOKUP(U563,Productos!E:E,Productos!G:G,"",0,1),J:J)))</f>
        <v/>
      </c>
      <c r="S563" s="4" t="str">
        <f>IF(Q563="","",IF(SUMIFS(Compat_Vetado!D:D,Compat_Vetado!B:B,SUM(G:G),Compat_Vetado!C:C,Q563)=1,"SI",IF(OR(SUMIF(Cotizador!E:E,Q563,Cotizador!G:G)&gt;0,SUMIFS(Compat_Vetado!D:D,Compat_Vetado!B:B,SUM(G:G),Compat_Vetado!C:C,Q563)=-1),"NO","")))</f>
        <v/>
      </c>
      <c r="T563" s="4" t="str">
        <f t="shared" si="6"/>
        <v/>
      </c>
      <c r="U563" s="4" t="str">
        <f>IFERROR(__xludf.DUMMYFUNCTION("IF(P563="""","""",IFERROR(INDEX(filter(Productos!E:E,Productos!F:F=L563,Productos!H:H=N563),P563),IF(M563=SUM(D:D),""Finalizar"",""-"")))"),"")</f>
        <v/>
      </c>
      <c r="V563" s="4" t="str">
        <f>IFERROR(__xludf.DUMMYFUNCTION("IF(OR($U563="""",COUNTIF($I:$I,IFERROR(unique(filter(Prod_Prop!$H:$H,Prod_Prop!$G:$G=$U563,Prod_Prop!$E:$E=V$1)),""Check""))=0),"""",IFERROR(unique(filter(Prod_Prop!$H:$H,Prod_Prop!$G:$G=$U563,Prod_Prop!$E:$E=V$1)),""""))"),"")</f>
        <v/>
      </c>
      <c r="W563" s="4" t="str">
        <f>IF(V563="","",SUMIFS(Prod_Prop!$J:$J,Prod_Prop!$B:$B,$Q563,Prod_Prop!$H:$H,V563,Prod_Prop!$I:$I,W$1)*IF(V563="Peso",$R563,1))</f>
        <v/>
      </c>
      <c r="X563" s="4" t="str">
        <f>IF(V563="","",SUMIFS(Prod_Prop!$J:$J,Prod_Prop!$B:$B,$Q563,Prod_Prop!$H:$H,V563,Prod_Prop!$I:$I,X$1)*IF(V563="Peso",$R563,1))</f>
        <v/>
      </c>
      <c r="Y563" s="4" t="str">
        <f>IFERROR(__xludf.DUMMYFUNCTION("IF(OR($U563="""",COUNTIF($I:$I,IFERROR(unique(filter(Prod_Prop!$H:$H,Prod_Prop!$G:$G=$U563,Prod_Prop!$E:$E=Y$1)),""Check""))=0),"""",IFERROR(unique(filter(Prod_Prop!$H:$H,Prod_Prop!$G:$G=$U563,Prod_Prop!$E:$E=Y$1)),""""))"),"")</f>
        <v/>
      </c>
      <c r="Z563" s="4" t="str">
        <f>IF(Y563="","",SUMIFS(Prod_Prop!$J:$J,Prod_Prop!$B:$B,$Q563,Prod_Prop!$H:$H,Y563,Prod_Prop!$I:$I,Z$1)*IF(Y563="Peso",$R563,1))</f>
        <v/>
      </c>
      <c r="AA563" s="4" t="str">
        <f>IF(Y563="","",SUMIFS(Prod_Prop!$J:$J,Prod_Prop!$B:$B,$Q563,Prod_Prop!$H:$H,Y563,Prod_Prop!$I:$I,AA$1)*IF(Y563="Peso",$R563,1))</f>
        <v/>
      </c>
      <c r="AB563" s="4" t="str">
        <f>IFERROR(__xludf.DUMMYFUNCTION("IF(OR($U563="""",COUNTIF($I:$I,IFERROR(unique(filter(Prod_Prop!$H:$H,Prod_Prop!$G:$G=$U563,Prod_Prop!$E:$E=AB$1)),""Check""))=0),"""",IFERROR(unique(filter(Prod_Prop!$H:$H,Prod_Prop!$G:$G=$U563,Prod_Prop!$E:$E=AB$1)),""""))"),"")</f>
        <v/>
      </c>
      <c r="AC563" s="4" t="str">
        <f>IF(AB563="","",SUMIFS(Prod_Prop!$J:$J,Prod_Prop!$B:$B,$Q563,Prod_Prop!$H:$H,AB563,Prod_Prop!$I:$I,AC$1)*IF(AB563="Peso",$R563,1))</f>
        <v/>
      </c>
      <c r="AD563" s="4" t="str">
        <f>IF(AB563="","",SUMIFS(Prod_Prop!$J:$J,Prod_Prop!$B:$B,$Q563,Prod_Prop!$H:$H,AB563,Prod_Prop!$I:$I,AD$1)*IF(AB563="Peso",$R563,1))</f>
        <v/>
      </c>
    </row>
    <row r="564">
      <c r="A564" s="4" t="str">
        <f t="array" ref="A564">IF(COUNTIF(A$1:A563,Cotizador!F$2)=maxifs(Familias!E:E,Familias!D:D,Cotizador!F$2),IF(COUNTIF(A$1:A563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4" s="4" t="str">
        <f t="shared" si="1"/>
        <v/>
      </c>
      <c r="C564" s="4" t="str">
        <f t="array" ref="C564">IF(B564="","",IF(A564=XLOOKUP(A$2,Implementos!B:B,Implementos!C:C,"",0,1),B564+maxifs(B$1:B563,A$1:A563,A$2),B564))</f>
        <v/>
      </c>
      <c r="D564" s="4" t="str">
        <f>IF(B564="","", COUNTIFS(Productos!F:F,A564,Productos!H:H,B564)+IF(F564="SI",0,1))</f>
        <v/>
      </c>
      <c r="E564" s="4" t="str">
        <f>IFERROR(__xludf.DUMMYFUNCTION("IF($B564="""","""",INDEX(filter(Familias!F:F,Familias!$D:$D=$A564,Familias!$E:$E=$B564),1))"),"")</f>
        <v/>
      </c>
      <c r="F564" s="4" t="str">
        <f>IFERROR(__xludf.DUMMYFUNCTION("IF($B564="""","""",INDEX(filter(Familias!G:G,Familias!$D:$D=$A564,Familias!$E:$E=$B564),1))"),"")</f>
        <v/>
      </c>
      <c r="G564" s="4" t="str">
        <f t="array" ref="G564">IF(C564=1,XLOOKUP(C564,Cotizador!D:D,Cotizador!E:E,"",0,1),"")</f>
        <v/>
      </c>
      <c r="I564" s="4"/>
      <c r="J564" s="8" t="str">
        <f>IF(I564="","",SUMIF(Cotizador!I$1:V$1,I564,Cotizador!I$2:V$2))</f>
        <v/>
      </c>
      <c r="L564" s="4" t="str">
        <f t="array" ref="L564">IF(COUNTIF(L$1:L563,A$2)=SUMIF(A:A,A$2,D:D),IF(COUNTIF(L$1:L563,XLOOKUP(A$2,Implementos!B:B,Implementos!C:C,"",0,1))=SUMIF(A:A,XLOOKUP(A$2,Implementos!B:B,Implementos!C:C,"",0,1),D:D),"",XLOOKUP(A$2,Implementos!B:B,Implementos!C:C,"",0,1)),A$2)</f>
        <v/>
      </c>
      <c r="M564" s="4" t="str">
        <f t="shared" si="2"/>
        <v/>
      </c>
      <c r="N564" s="4" t="str">
        <f t="shared" si="3"/>
        <v/>
      </c>
      <c r="O564" s="4" t="str">
        <f t="shared" si="4"/>
        <v/>
      </c>
      <c r="P564" s="4" t="str">
        <f t="shared" si="5"/>
        <v/>
      </c>
      <c r="Q564" s="4" t="str">
        <f>IF(U564="","",SUMIF(Productos!E:E,U564,Productos!A:A))</f>
        <v/>
      </c>
      <c r="R564" s="4" t="str">
        <f t="array" ref="R564">IF(L564="","", max(1,SUMIF(I:I,XLOOKUP(U564,Productos!E:E,Productos!G:G,"",0,1),J:J)))</f>
        <v/>
      </c>
      <c r="S564" s="4" t="str">
        <f>IF(Q564="","",IF(SUMIFS(Compat_Vetado!D:D,Compat_Vetado!B:B,SUM(G:G),Compat_Vetado!C:C,Q564)=1,"SI",IF(OR(SUMIF(Cotizador!E:E,Q564,Cotizador!G:G)&gt;0,SUMIFS(Compat_Vetado!D:D,Compat_Vetado!B:B,SUM(G:G),Compat_Vetado!C:C,Q564)=-1),"NO","")))</f>
        <v/>
      </c>
      <c r="T564" s="4" t="str">
        <f t="shared" si="6"/>
        <v/>
      </c>
      <c r="U564" s="4" t="str">
        <f>IFERROR(__xludf.DUMMYFUNCTION("IF(P564="""","""",IFERROR(INDEX(filter(Productos!E:E,Productos!F:F=L564,Productos!H:H=N564),P564),IF(M564=SUM(D:D),""Finalizar"",""-"")))"),"")</f>
        <v/>
      </c>
      <c r="V564" s="4" t="str">
        <f>IFERROR(__xludf.DUMMYFUNCTION("IF(OR($U564="""",COUNTIF($I:$I,IFERROR(unique(filter(Prod_Prop!$H:$H,Prod_Prop!$G:$G=$U564,Prod_Prop!$E:$E=V$1)),""Check""))=0),"""",IFERROR(unique(filter(Prod_Prop!$H:$H,Prod_Prop!$G:$G=$U564,Prod_Prop!$E:$E=V$1)),""""))"),"")</f>
        <v/>
      </c>
      <c r="W564" s="4" t="str">
        <f>IF(V564="","",SUMIFS(Prod_Prop!$J:$J,Prod_Prop!$B:$B,$Q564,Prod_Prop!$H:$H,V564,Prod_Prop!$I:$I,W$1)*IF(V564="Peso",$R564,1))</f>
        <v/>
      </c>
      <c r="X564" s="4" t="str">
        <f>IF(V564="","",SUMIFS(Prod_Prop!$J:$J,Prod_Prop!$B:$B,$Q564,Prod_Prop!$H:$H,V564,Prod_Prop!$I:$I,X$1)*IF(V564="Peso",$R564,1))</f>
        <v/>
      </c>
      <c r="Y564" s="4" t="str">
        <f>IFERROR(__xludf.DUMMYFUNCTION("IF(OR($U564="""",COUNTIF($I:$I,IFERROR(unique(filter(Prod_Prop!$H:$H,Prod_Prop!$G:$G=$U564,Prod_Prop!$E:$E=Y$1)),""Check""))=0),"""",IFERROR(unique(filter(Prod_Prop!$H:$H,Prod_Prop!$G:$G=$U564,Prod_Prop!$E:$E=Y$1)),""""))"),"")</f>
        <v/>
      </c>
      <c r="Z564" s="4" t="str">
        <f>IF(Y564="","",SUMIFS(Prod_Prop!$J:$J,Prod_Prop!$B:$B,$Q564,Prod_Prop!$H:$H,Y564,Prod_Prop!$I:$I,Z$1)*IF(Y564="Peso",$R564,1))</f>
        <v/>
      </c>
      <c r="AA564" s="4" t="str">
        <f>IF(Y564="","",SUMIFS(Prod_Prop!$J:$J,Prod_Prop!$B:$B,$Q564,Prod_Prop!$H:$H,Y564,Prod_Prop!$I:$I,AA$1)*IF(Y564="Peso",$R564,1))</f>
        <v/>
      </c>
      <c r="AB564" s="4" t="str">
        <f>IFERROR(__xludf.DUMMYFUNCTION("IF(OR($U564="""",COUNTIF($I:$I,IFERROR(unique(filter(Prod_Prop!$H:$H,Prod_Prop!$G:$G=$U564,Prod_Prop!$E:$E=AB$1)),""Check""))=0),"""",IFERROR(unique(filter(Prod_Prop!$H:$H,Prod_Prop!$G:$G=$U564,Prod_Prop!$E:$E=AB$1)),""""))"),"")</f>
        <v/>
      </c>
      <c r="AC564" s="4" t="str">
        <f>IF(AB564="","",SUMIFS(Prod_Prop!$J:$J,Prod_Prop!$B:$B,$Q564,Prod_Prop!$H:$H,AB564,Prod_Prop!$I:$I,AC$1)*IF(AB564="Peso",$R564,1))</f>
        <v/>
      </c>
      <c r="AD564" s="4" t="str">
        <f>IF(AB564="","",SUMIFS(Prod_Prop!$J:$J,Prod_Prop!$B:$B,$Q564,Prod_Prop!$H:$H,AB564,Prod_Prop!$I:$I,AD$1)*IF(AB564="Peso",$R564,1))</f>
        <v/>
      </c>
    </row>
    <row r="565">
      <c r="A565" s="4" t="str">
        <f t="array" ref="A565">IF(COUNTIF(A$1:A564,Cotizador!F$2)=maxifs(Familias!E:E,Familias!D:D,Cotizador!F$2),IF(COUNTIF(A$1:A564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5" s="4" t="str">
        <f t="shared" si="1"/>
        <v/>
      </c>
      <c r="C565" s="4" t="str">
        <f t="array" ref="C565">IF(B565="","",IF(A565=XLOOKUP(A$2,Implementos!B:B,Implementos!C:C,"",0,1),B565+maxifs(B$1:B564,A$1:A564,A$2),B565))</f>
        <v/>
      </c>
      <c r="D565" s="4" t="str">
        <f>IF(B565="","", COUNTIFS(Productos!F:F,A565,Productos!H:H,B565)+IF(F565="SI",0,1))</f>
        <v/>
      </c>
      <c r="E565" s="4" t="str">
        <f>IFERROR(__xludf.DUMMYFUNCTION("IF($B565="""","""",INDEX(filter(Familias!F:F,Familias!$D:$D=$A565,Familias!$E:$E=$B565),1))"),"")</f>
        <v/>
      </c>
      <c r="F565" s="4" t="str">
        <f>IFERROR(__xludf.DUMMYFUNCTION("IF($B565="""","""",INDEX(filter(Familias!G:G,Familias!$D:$D=$A565,Familias!$E:$E=$B565),1))"),"")</f>
        <v/>
      </c>
      <c r="G565" s="4" t="str">
        <f t="array" ref="G565">IF(C565=1,XLOOKUP(C565,Cotizador!D:D,Cotizador!E:E,"",0,1),"")</f>
        <v/>
      </c>
      <c r="I565" s="4"/>
      <c r="J565" s="8" t="str">
        <f>IF(I565="","",SUMIF(Cotizador!I$1:V$1,I565,Cotizador!I$2:V$2))</f>
        <v/>
      </c>
      <c r="L565" s="4" t="str">
        <f t="array" ref="L565">IF(COUNTIF(L$1:L564,A$2)=SUMIF(A:A,A$2,D:D),IF(COUNTIF(L$1:L564,XLOOKUP(A$2,Implementos!B:B,Implementos!C:C,"",0,1))=SUMIF(A:A,XLOOKUP(A$2,Implementos!B:B,Implementos!C:C,"",0,1),D:D),"",XLOOKUP(A$2,Implementos!B:B,Implementos!C:C,"",0,1)),A$2)</f>
        <v/>
      </c>
      <c r="M565" s="4" t="str">
        <f t="shared" si="2"/>
        <v/>
      </c>
      <c r="N565" s="4" t="str">
        <f t="shared" si="3"/>
        <v/>
      </c>
      <c r="O565" s="4" t="str">
        <f t="shared" si="4"/>
        <v/>
      </c>
      <c r="P565" s="4" t="str">
        <f t="shared" si="5"/>
        <v/>
      </c>
      <c r="Q565" s="4" t="str">
        <f>IF(U565="","",SUMIF(Productos!E:E,U565,Productos!A:A))</f>
        <v/>
      </c>
      <c r="R565" s="4" t="str">
        <f t="array" ref="R565">IF(L565="","", max(1,SUMIF(I:I,XLOOKUP(U565,Productos!E:E,Productos!G:G,"",0,1),J:J)))</f>
        <v/>
      </c>
      <c r="S565" s="4" t="str">
        <f>IF(Q565="","",IF(SUMIFS(Compat_Vetado!D:D,Compat_Vetado!B:B,SUM(G:G),Compat_Vetado!C:C,Q565)=1,"SI",IF(OR(SUMIF(Cotizador!E:E,Q565,Cotizador!G:G)&gt;0,SUMIFS(Compat_Vetado!D:D,Compat_Vetado!B:B,SUM(G:G),Compat_Vetado!C:C,Q565)=-1),"NO","")))</f>
        <v/>
      </c>
      <c r="T565" s="4" t="str">
        <f t="shared" si="6"/>
        <v/>
      </c>
      <c r="U565" s="4" t="str">
        <f>IFERROR(__xludf.DUMMYFUNCTION("IF(P565="""","""",IFERROR(INDEX(filter(Productos!E:E,Productos!F:F=L565,Productos!H:H=N565),P565),IF(M565=SUM(D:D),""Finalizar"",""-"")))"),"")</f>
        <v/>
      </c>
      <c r="V565" s="4" t="str">
        <f>IFERROR(__xludf.DUMMYFUNCTION("IF(OR($U565="""",COUNTIF($I:$I,IFERROR(unique(filter(Prod_Prop!$H:$H,Prod_Prop!$G:$G=$U565,Prod_Prop!$E:$E=V$1)),""Check""))=0),"""",IFERROR(unique(filter(Prod_Prop!$H:$H,Prod_Prop!$G:$G=$U565,Prod_Prop!$E:$E=V$1)),""""))"),"")</f>
        <v/>
      </c>
      <c r="W565" s="4" t="str">
        <f>IF(V565="","",SUMIFS(Prod_Prop!$J:$J,Prod_Prop!$B:$B,$Q565,Prod_Prop!$H:$H,V565,Prod_Prop!$I:$I,W$1)*IF(V565="Peso",$R565,1))</f>
        <v/>
      </c>
      <c r="X565" s="4" t="str">
        <f>IF(V565="","",SUMIFS(Prod_Prop!$J:$J,Prod_Prop!$B:$B,$Q565,Prod_Prop!$H:$H,V565,Prod_Prop!$I:$I,X$1)*IF(V565="Peso",$R565,1))</f>
        <v/>
      </c>
      <c r="Y565" s="4" t="str">
        <f>IFERROR(__xludf.DUMMYFUNCTION("IF(OR($U565="""",COUNTIF($I:$I,IFERROR(unique(filter(Prod_Prop!$H:$H,Prod_Prop!$G:$G=$U565,Prod_Prop!$E:$E=Y$1)),""Check""))=0),"""",IFERROR(unique(filter(Prod_Prop!$H:$H,Prod_Prop!$G:$G=$U565,Prod_Prop!$E:$E=Y$1)),""""))"),"")</f>
        <v/>
      </c>
      <c r="Z565" s="4" t="str">
        <f>IF(Y565="","",SUMIFS(Prod_Prop!$J:$J,Prod_Prop!$B:$B,$Q565,Prod_Prop!$H:$H,Y565,Prod_Prop!$I:$I,Z$1)*IF(Y565="Peso",$R565,1))</f>
        <v/>
      </c>
      <c r="AA565" s="4" t="str">
        <f>IF(Y565="","",SUMIFS(Prod_Prop!$J:$J,Prod_Prop!$B:$B,$Q565,Prod_Prop!$H:$H,Y565,Prod_Prop!$I:$I,AA$1)*IF(Y565="Peso",$R565,1))</f>
        <v/>
      </c>
      <c r="AB565" s="4" t="str">
        <f>IFERROR(__xludf.DUMMYFUNCTION("IF(OR($U565="""",COUNTIF($I:$I,IFERROR(unique(filter(Prod_Prop!$H:$H,Prod_Prop!$G:$G=$U565,Prod_Prop!$E:$E=AB$1)),""Check""))=0),"""",IFERROR(unique(filter(Prod_Prop!$H:$H,Prod_Prop!$G:$G=$U565,Prod_Prop!$E:$E=AB$1)),""""))"),"")</f>
        <v/>
      </c>
      <c r="AC565" s="4" t="str">
        <f>IF(AB565="","",SUMIFS(Prod_Prop!$J:$J,Prod_Prop!$B:$B,$Q565,Prod_Prop!$H:$H,AB565,Prod_Prop!$I:$I,AC$1)*IF(AB565="Peso",$R565,1))</f>
        <v/>
      </c>
      <c r="AD565" s="4" t="str">
        <f>IF(AB565="","",SUMIFS(Prod_Prop!$J:$J,Prod_Prop!$B:$B,$Q565,Prod_Prop!$H:$H,AB565,Prod_Prop!$I:$I,AD$1)*IF(AB565="Peso",$R565,1))</f>
        <v/>
      </c>
    </row>
    <row r="566">
      <c r="A566" s="4" t="str">
        <f t="array" ref="A566">IF(COUNTIF(A$1:A565,Cotizador!F$2)=maxifs(Familias!E:E,Familias!D:D,Cotizador!F$2),IF(COUNTIF(A$1:A565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6" s="4" t="str">
        <f t="shared" si="1"/>
        <v/>
      </c>
      <c r="C566" s="4" t="str">
        <f t="array" ref="C566">IF(B566="","",IF(A566=XLOOKUP(A$2,Implementos!B:B,Implementos!C:C,"",0,1),B566+maxifs(B$1:B565,A$1:A565,A$2),B566))</f>
        <v/>
      </c>
      <c r="D566" s="4" t="str">
        <f>IF(B566="","", COUNTIFS(Productos!F:F,A566,Productos!H:H,B566)+IF(F566="SI",0,1))</f>
        <v/>
      </c>
      <c r="E566" s="4" t="str">
        <f>IFERROR(__xludf.DUMMYFUNCTION("IF($B566="""","""",INDEX(filter(Familias!F:F,Familias!$D:$D=$A566,Familias!$E:$E=$B566),1))"),"")</f>
        <v/>
      </c>
      <c r="F566" s="4" t="str">
        <f>IFERROR(__xludf.DUMMYFUNCTION("IF($B566="""","""",INDEX(filter(Familias!G:G,Familias!$D:$D=$A566,Familias!$E:$E=$B566),1))"),"")</f>
        <v/>
      </c>
      <c r="G566" s="4" t="str">
        <f t="array" ref="G566">IF(C566=1,XLOOKUP(C566,Cotizador!D:D,Cotizador!E:E,"",0,1),"")</f>
        <v/>
      </c>
      <c r="I566" s="4"/>
      <c r="J566" s="8" t="str">
        <f>IF(I566="","",SUMIF(Cotizador!I$1:V$1,I566,Cotizador!I$2:V$2))</f>
        <v/>
      </c>
      <c r="L566" s="4" t="str">
        <f t="array" ref="L566">IF(COUNTIF(L$1:L565,A$2)=SUMIF(A:A,A$2,D:D),IF(COUNTIF(L$1:L565,XLOOKUP(A$2,Implementos!B:B,Implementos!C:C,"",0,1))=SUMIF(A:A,XLOOKUP(A$2,Implementos!B:B,Implementos!C:C,"",0,1),D:D),"",XLOOKUP(A$2,Implementos!B:B,Implementos!C:C,"",0,1)),A$2)</f>
        <v/>
      </c>
      <c r="M566" s="4" t="str">
        <f t="shared" si="2"/>
        <v/>
      </c>
      <c r="N566" s="4" t="str">
        <f t="shared" si="3"/>
        <v/>
      </c>
      <c r="O566" s="4" t="str">
        <f t="shared" si="4"/>
        <v/>
      </c>
      <c r="P566" s="4" t="str">
        <f t="shared" si="5"/>
        <v/>
      </c>
      <c r="Q566" s="4" t="str">
        <f>IF(U566="","",SUMIF(Productos!E:E,U566,Productos!A:A))</f>
        <v/>
      </c>
      <c r="R566" s="4" t="str">
        <f t="array" ref="R566">IF(L566="","", max(1,SUMIF(I:I,XLOOKUP(U566,Productos!E:E,Productos!G:G,"",0,1),J:J)))</f>
        <v/>
      </c>
      <c r="S566" s="4" t="str">
        <f>IF(Q566="","",IF(SUMIFS(Compat_Vetado!D:D,Compat_Vetado!B:B,SUM(G:G),Compat_Vetado!C:C,Q566)=1,"SI",IF(OR(SUMIF(Cotizador!E:E,Q566,Cotizador!G:G)&gt;0,SUMIFS(Compat_Vetado!D:D,Compat_Vetado!B:B,SUM(G:G),Compat_Vetado!C:C,Q566)=-1),"NO","")))</f>
        <v/>
      </c>
      <c r="T566" s="4" t="str">
        <f t="shared" si="6"/>
        <v/>
      </c>
      <c r="U566" s="4" t="str">
        <f>IFERROR(__xludf.DUMMYFUNCTION("IF(P566="""","""",IFERROR(INDEX(filter(Productos!E:E,Productos!F:F=L566,Productos!H:H=N566),P566),IF(M566=SUM(D:D),""Finalizar"",""-"")))"),"")</f>
        <v/>
      </c>
      <c r="V566" s="4" t="str">
        <f>IFERROR(__xludf.DUMMYFUNCTION("IF(OR($U566="""",COUNTIF($I:$I,IFERROR(unique(filter(Prod_Prop!$H:$H,Prod_Prop!$G:$G=$U566,Prod_Prop!$E:$E=V$1)),""Check""))=0),"""",IFERROR(unique(filter(Prod_Prop!$H:$H,Prod_Prop!$G:$G=$U566,Prod_Prop!$E:$E=V$1)),""""))"),"")</f>
        <v/>
      </c>
      <c r="W566" s="4" t="str">
        <f>IF(V566="","",SUMIFS(Prod_Prop!$J:$J,Prod_Prop!$B:$B,$Q566,Prod_Prop!$H:$H,V566,Prod_Prop!$I:$I,W$1)*IF(V566="Peso",$R566,1))</f>
        <v/>
      </c>
      <c r="X566" s="4" t="str">
        <f>IF(V566="","",SUMIFS(Prod_Prop!$J:$J,Prod_Prop!$B:$B,$Q566,Prod_Prop!$H:$H,V566,Prod_Prop!$I:$I,X$1)*IF(V566="Peso",$R566,1))</f>
        <v/>
      </c>
      <c r="Y566" s="4" t="str">
        <f>IFERROR(__xludf.DUMMYFUNCTION("IF(OR($U566="""",COUNTIF($I:$I,IFERROR(unique(filter(Prod_Prop!$H:$H,Prod_Prop!$G:$G=$U566,Prod_Prop!$E:$E=Y$1)),""Check""))=0),"""",IFERROR(unique(filter(Prod_Prop!$H:$H,Prod_Prop!$G:$G=$U566,Prod_Prop!$E:$E=Y$1)),""""))"),"")</f>
        <v/>
      </c>
      <c r="Z566" s="4" t="str">
        <f>IF(Y566="","",SUMIFS(Prod_Prop!$J:$J,Prod_Prop!$B:$B,$Q566,Prod_Prop!$H:$H,Y566,Prod_Prop!$I:$I,Z$1)*IF(Y566="Peso",$R566,1))</f>
        <v/>
      </c>
      <c r="AA566" s="4" t="str">
        <f>IF(Y566="","",SUMIFS(Prod_Prop!$J:$J,Prod_Prop!$B:$B,$Q566,Prod_Prop!$H:$H,Y566,Prod_Prop!$I:$I,AA$1)*IF(Y566="Peso",$R566,1))</f>
        <v/>
      </c>
      <c r="AB566" s="4" t="str">
        <f>IFERROR(__xludf.DUMMYFUNCTION("IF(OR($U566="""",COUNTIF($I:$I,IFERROR(unique(filter(Prod_Prop!$H:$H,Prod_Prop!$G:$G=$U566,Prod_Prop!$E:$E=AB$1)),""Check""))=0),"""",IFERROR(unique(filter(Prod_Prop!$H:$H,Prod_Prop!$G:$G=$U566,Prod_Prop!$E:$E=AB$1)),""""))"),"")</f>
        <v/>
      </c>
      <c r="AC566" s="4" t="str">
        <f>IF(AB566="","",SUMIFS(Prod_Prop!$J:$J,Prod_Prop!$B:$B,$Q566,Prod_Prop!$H:$H,AB566,Prod_Prop!$I:$I,AC$1)*IF(AB566="Peso",$R566,1))</f>
        <v/>
      </c>
      <c r="AD566" s="4" t="str">
        <f>IF(AB566="","",SUMIFS(Prod_Prop!$J:$J,Prod_Prop!$B:$B,$Q566,Prod_Prop!$H:$H,AB566,Prod_Prop!$I:$I,AD$1)*IF(AB566="Peso",$R566,1))</f>
        <v/>
      </c>
    </row>
    <row r="567">
      <c r="A567" s="4" t="str">
        <f t="array" ref="A567">IF(COUNTIF(A$1:A566,Cotizador!F$2)=maxifs(Familias!E:E,Familias!D:D,Cotizador!F$2),IF(COUNTIF(A$1:A566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7" s="4" t="str">
        <f t="shared" si="1"/>
        <v/>
      </c>
      <c r="C567" s="4" t="str">
        <f t="array" ref="C567">IF(B567="","",IF(A567=XLOOKUP(A$2,Implementos!B:B,Implementos!C:C,"",0,1),B567+maxifs(B$1:B566,A$1:A566,A$2),B567))</f>
        <v/>
      </c>
      <c r="D567" s="4" t="str">
        <f>IF(B567="","", COUNTIFS(Productos!F:F,A567,Productos!H:H,B567)+IF(F567="SI",0,1))</f>
        <v/>
      </c>
      <c r="E567" s="4" t="str">
        <f>IFERROR(__xludf.DUMMYFUNCTION("IF($B567="""","""",INDEX(filter(Familias!F:F,Familias!$D:$D=$A567,Familias!$E:$E=$B567),1))"),"")</f>
        <v/>
      </c>
      <c r="F567" s="4" t="str">
        <f>IFERROR(__xludf.DUMMYFUNCTION("IF($B567="""","""",INDEX(filter(Familias!G:G,Familias!$D:$D=$A567,Familias!$E:$E=$B567),1))"),"")</f>
        <v/>
      </c>
      <c r="G567" s="4" t="str">
        <f t="array" ref="G567">IF(C567=1,XLOOKUP(C567,Cotizador!D:D,Cotizador!E:E,"",0,1),"")</f>
        <v/>
      </c>
      <c r="I567" s="4"/>
      <c r="J567" s="8" t="str">
        <f>IF(I567="","",SUMIF(Cotizador!I$1:V$1,I567,Cotizador!I$2:V$2))</f>
        <v/>
      </c>
      <c r="L567" s="4" t="str">
        <f t="array" ref="L567">IF(COUNTIF(L$1:L566,A$2)=SUMIF(A:A,A$2,D:D),IF(COUNTIF(L$1:L566,XLOOKUP(A$2,Implementos!B:B,Implementos!C:C,"",0,1))=SUMIF(A:A,XLOOKUP(A$2,Implementos!B:B,Implementos!C:C,"",0,1),D:D),"",XLOOKUP(A$2,Implementos!B:B,Implementos!C:C,"",0,1)),A$2)</f>
        <v/>
      </c>
      <c r="M567" s="4" t="str">
        <f t="shared" si="2"/>
        <v/>
      </c>
      <c r="N567" s="4" t="str">
        <f t="shared" si="3"/>
        <v/>
      </c>
      <c r="O567" s="4" t="str">
        <f t="shared" si="4"/>
        <v/>
      </c>
      <c r="P567" s="4" t="str">
        <f t="shared" si="5"/>
        <v/>
      </c>
      <c r="Q567" s="4" t="str">
        <f>IF(U567="","",SUMIF(Productos!E:E,U567,Productos!A:A))</f>
        <v/>
      </c>
      <c r="R567" s="4" t="str">
        <f t="array" ref="R567">IF(L567="","", max(1,SUMIF(I:I,XLOOKUP(U567,Productos!E:E,Productos!G:G,"",0,1),J:J)))</f>
        <v/>
      </c>
      <c r="S567" s="4" t="str">
        <f>IF(Q567="","",IF(SUMIFS(Compat_Vetado!D:D,Compat_Vetado!B:B,SUM(G:G),Compat_Vetado!C:C,Q567)=1,"SI",IF(OR(SUMIF(Cotizador!E:E,Q567,Cotizador!G:G)&gt;0,SUMIFS(Compat_Vetado!D:D,Compat_Vetado!B:B,SUM(G:G),Compat_Vetado!C:C,Q567)=-1),"NO","")))</f>
        <v/>
      </c>
      <c r="T567" s="4" t="str">
        <f t="shared" si="6"/>
        <v/>
      </c>
      <c r="U567" s="4" t="str">
        <f>IFERROR(__xludf.DUMMYFUNCTION("IF(P567="""","""",IFERROR(INDEX(filter(Productos!E:E,Productos!F:F=L567,Productos!H:H=N567),P567),IF(M567=SUM(D:D),""Finalizar"",""-"")))"),"")</f>
        <v/>
      </c>
      <c r="V567" s="4" t="str">
        <f>IFERROR(__xludf.DUMMYFUNCTION("IF(OR($U567="""",COUNTIF($I:$I,IFERROR(unique(filter(Prod_Prop!$H:$H,Prod_Prop!$G:$G=$U567,Prod_Prop!$E:$E=V$1)),""Check""))=0),"""",IFERROR(unique(filter(Prod_Prop!$H:$H,Prod_Prop!$G:$G=$U567,Prod_Prop!$E:$E=V$1)),""""))"),"")</f>
        <v/>
      </c>
      <c r="W567" s="4" t="str">
        <f>IF(V567="","",SUMIFS(Prod_Prop!$J:$J,Prod_Prop!$B:$B,$Q567,Prod_Prop!$H:$H,V567,Prod_Prop!$I:$I,W$1)*IF(V567="Peso",$R567,1))</f>
        <v/>
      </c>
      <c r="X567" s="4" t="str">
        <f>IF(V567="","",SUMIFS(Prod_Prop!$J:$J,Prod_Prop!$B:$B,$Q567,Prod_Prop!$H:$H,V567,Prod_Prop!$I:$I,X$1)*IF(V567="Peso",$R567,1))</f>
        <v/>
      </c>
      <c r="Y567" s="4" t="str">
        <f>IFERROR(__xludf.DUMMYFUNCTION("IF(OR($U567="""",COUNTIF($I:$I,IFERROR(unique(filter(Prod_Prop!$H:$H,Prod_Prop!$G:$G=$U567,Prod_Prop!$E:$E=Y$1)),""Check""))=0),"""",IFERROR(unique(filter(Prod_Prop!$H:$H,Prod_Prop!$G:$G=$U567,Prod_Prop!$E:$E=Y$1)),""""))"),"")</f>
        <v/>
      </c>
      <c r="Z567" s="4" t="str">
        <f>IF(Y567="","",SUMIFS(Prod_Prop!$J:$J,Prod_Prop!$B:$B,$Q567,Prod_Prop!$H:$H,Y567,Prod_Prop!$I:$I,Z$1)*IF(Y567="Peso",$R567,1))</f>
        <v/>
      </c>
      <c r="AA567" s="4" t="str">
        <f>IF(Y567="","",SUMIFS(Prod_Prop!$J:$J,Prod_Prop!$B:$B,$Q567,Prod_Prop!$H:$H,Y567,Prod_Prop!$I:$I,AA$1)*IF(Y567="Peso",$R567,1))</f>
        <v/>
      </c>
      <c r="AB567" s="4" t="str">
        <f>IFERROR(__xludf.DUMMYFUNCTION("IF(OR($U567="""",COUNTIF($I:$I,IFERROR(unique(filter(Prod_Prop!$H:$H,Prod_Prop!$G:$G=$U567,Prod_Prop!$E:$E=AB$1)),""Check""))=0),"""",IFERROR(unique(filter(Prod_Prop!$H:$H,Prod_Prop!$G:$G=$U567,Prod_Prop!$E:$E=AB$1)),""""))"),"")</f>
        <v/>
      </c>
      <c r="AC567" s="4" t="str">
        <f>IF(AB567="","",SUMIFS(Prod_Prop!$J:$J,Prod_Prop!$B:$B,$Q567,Prod_Prop!$H:$H,AB567,Prod_Prop!$I:$I,AC$1)*IF(AB567="Peso",$R567,1))</f>
        <v/>
      </c>
      <c r="AD567" s="4" t="str">
        <f>IF(AB567="","",SUMIFS(Prod_Prop!$J:$J,Prod_Prop!$B:$B,$Q567,Prod_Prop!$H:$H,AB567,Prod_Prop!$I:$I,AD$1)*IF(AB567="Peso",$R567,1))</f>
        <v/>
      </c>
    </row>
    <row r="568">
      <c r="A568" s="4" t="str">
        <f t="array" ref="A568">IF(COUNTIF(A$1:A567,Cotizador!F$2)=maxifs(Familias!E:E,Familias!D:D,Cotizador!F$2),IF(COUNTIF(A$1:A567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8" s="4" t="str">
        <f t="shared" si="1"/>
        <v/>
      </c>
      <c r="C568" s="4" t="str">
        <f t="array" ref="C568">IF(B568="","",IF(A568=XLOOKUP(A$2,Implementos!B:B,Implementos!C:C,"",0,1),B568+maxifs(B$1:B567,A$1:A567,A$2),B568))</f>
        <v/>
      </c>
      <c r="D568" s="4" t="str">
        <f>IF(B568="","", COUNTIFS(Productos!F:F,A568,Productos!H:H,B568)+IF(F568="SI",0,1))</f>
        <v/>
      </c>
      <c r="E568" s="4" t="str">
        <f>IFERROR(__xludf.DUMMYFUNCTION("IF($B568="""","""",INDEX(filter(Familias!F:F,Familias!$D:$D=$A568,Familias!$E:$E=$B568),1))"),"")</f>
        <v/>
      </c>
      <c r="F568" s="4" t="str">
        <f>IFERROR(__xludf.DUMMYFUNCTION("IF($B568="""","""",INDEX(filter(Familias!G:G,Familias!$D:$D=$A568,Familias!$E:$E=$B568),1))"),"")</f>
        <v/>
      </c>
      <c r="G568" s="4" t="str">
        <f t="array" ref="G568">IF(C568=1,XLOOKUP(C568,Cotizador!D:D,Cotizador!E:E,"",0,1),"")</f>
        <v/>
      </c>
      <c r="I568" s="4"/>
      <c r="J568" s="8" t="str">
        <f>IF(I568="","",SUMIF(Cotizador!I$1:V$1,I568,Cotizador!I$2:V$2))</f>
        <v/>
      </c>
      <c r="L568" s="4" t="str">
        <f t="array" ref="L568">IF(COUNTIF(L$1:L567,A$2)=SUMIF(A:A,A$2,D:D),IF(COUNTIF(L$1:L567,XLOOKUP(A$2,Implementos!B:B,Implementos!C:C,"",0,1))=SUMIF(A:A,XLOOKUP(A$2,Implementos!B:B,Implementos!C:C,"",0,1),D:D),"",XLOOKUP(A$2,Implementos!B:B,Implementos!C:C,"",0,1)),A$2)</f>
        <v/>
      </c>
      <c r="M568" s="4" t="str">
        <f t="shared" si="2"/>
        <v/>
      </c>
      <c r="N568" s="4" t="str">
        <f t="shared" si="3"/>
        <v/>
      </c>
      <c r="O568" s="4" t="str">
        <f t="shared" si="4"/>
        <v/>
      </c>
      <c r="P568" s="4" t="str">
        <f t="shared" si="5"/>
        <v/>
      </c>
      <c r="Q568" s="4" t="str">
        <f>IF(U568="","",SUMIF(Productos!E:E,U568,Productos!A:A))</f>
        <v/>
      </c>
      <c r="R568" s="4" t="str">
        <f t="array" ref="R568">IF(L568="","", max(1,SUMIF(I:I,XLOOKUP(U568,Productos!E:E,Productos!G:G,"",0,1),J:J)))</f>
        <v/>
      </c>
      <c r="S568" s="4" t="str">
        <f>IF(Q568="","",IF(SUMIFS(Compat_Vetado!D:D,Compat_Vetado!B:B,SUM(G:G),Compat_Vetado!C:C,Q568)=1,"SI",IF(OR(SUMIF(Cotizador!E:E,Q568,Cotizador!G:G)&gt;0,SUMIFS(Compat_Vetado!D:D,Compat_Vetado!B:B,SUM(G:G),Compat_Vetado!C:C,Q568)=-1),"NO","")))</f>
        <v/>
      </c>
      <c r="T568" s="4" t="str">
        <f t="shared" si="6"/>
        <v/>
      </c>
      <c r="U568" s="4" t="str">
        <f>IFERROR(__xludf.DUMMYFUNCTION("IF(P568="""","""",IFERROR(INDEX(filter(Productos!E:E,Productos!F:F=L568,Productos!H:H=N568),P568),IF(M568=SUM(D:D),""Finalizar"",""-"")))"),"")</f>
        <v/>
      </c>
      <c r="V568" s="4" t="str">
        <f>IFERROR(__xludf.DUMMYFUNCTION("IF(OR($U568="""",COUNTIF($I:$I,IFERROR(unique(filter(Prod_Prop!$H:$H,Prod_Prop!$G:$G=$U568,Prod_Prop!$E:$E=V$1)),""Check""))=0),"""",IFERROR(unique(filter(Prod_Prop!$H:$H,Prod_Prop!$G:$G=$U568,Prod_Prop!$E:$E=V$1)),""""))"),"")</f>
        <v/>
      </c>
      <c r="W568" s="4" t="str">
        <f>IF(V568="","",SUMIFS(Prod_Prop!$J:$J,Prod_Prop!$B:$B,$Q568,Prod_Prop!$H:$H,V568,Prod_Prop!$I:$I,W$1)*IF(V568="Peso",$R568,1))</f>
        <v/>
      </c>
      <c r="X568" s="4" t="str">
        <f>IF(V568="","",SUMIFS(Prod_Prop!$J:$J,Prod_Prop!$B:$B,$Q568,Prod_Prop!$H:$H,V568,Prod_Prop!$I:$I,X$1)*IF(V568="Peso",$R568,1))</f>
        <v/>
      </c>
      <c r="Y568" s="4" t="str">
        <f>IFERROR(__xludf.DUMMYFUNCTION("IF(OR($U568="""",COUNTIF($I:$I,IFERROR(unique(filter(Prod_Prop!$H:$H,Prod_Prop!$G:$G=$U568,Prod_Prop!$E:$E=Y$1)),""Check""))=0),"""",IFERROR(unique(filter(Prod_Prop!$H:$H,Prod_Prop!$G:$G=$U568,Prod_Prop!$E:$E=Y$1)),""""))"),"")</f>
        <v/>
      </c>
      <c r="Z568" s="4" t="str">
        <f>IF(Y568="","",SUMIFS(Prod_Prop!$J:$J,Prod_Prop!$B:$B,$Q568,Prod_Prop!$H:$H,Y568,Prod_Prop!$I:$I,Z$1)*IF(Y568="Peso",$R568,1))</f>
        <v/>
      </c>
      <c r="AA568" s="4" t="str">
        <f>IF(Y568="","",SUMIFS(Prod_Prop!$J:$J,Prod_Prop!$B:$B,$Q568,Prod_Prop!$H:$H,Y568,Prod_Prop!$I:$I,AA$1)*IF(Y568="Peso",$R568,1))</f>
        <v/>
      </c>
      <c r="AB568" s="4" t="str">
        <f>IFERROR(__xludf.DUMMYFUNCTION("IF(OR($U568="""",COUNTIF($I:$I,IFERROR(unique(filter(Prod_Prop!$H:$H,Prod_Prop!$G:$G=$U568,Prod_Prop!$E:$E=AB$1)),""Check""))=0),"""",IFERROR(unique(filter(Prod_Prop!$H:$H,Prod_Prop!$G:$G=$U568,Prod_Prop!$E:$E=AB$1)),""""))"),"")</f>
        <v/>
      </c>
      <c r="AC568" s="4" t="str">
        <f>IF(AB568="","",SUMIFS(Prod_Prop!$J:$J,Prod_Prop!$B:$B,$Q568,Prod_Prop!$H:$H,AB568,Prod_Prop!$I:$I,AC$1)*IF(AB568="Peso",$R568,1))</f>
        <v/>
      </c>
      <c r="AD568" s="4" t="str">
        <f>IF(AB568="","",SUMIFS(Prod_Prop!$J:$J,Prod_Prop!$B:$B,$Q568,Prod_Prop!$H:$H,AB568,Prod_Prop!$I:$I,AD$1)*IF(AB568="Peso",$R568,1))</f>
        <v/>
      </c>
    </row>
    <row r="569">
      <c r="A569" s="4" t="str">
        <f t="array" ref="A569">IF(COUNTIF(A$1:A568,Cotizador!F$2)=maxifs(Familias!E:E,Familias!D:D,Cotizador!F$2),IF(COUNTIF(A$1:A568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69" s="4" t="str">
        <f t="shared" si="1"/>
        <v/>
      </c>
      <c r="C569" s="4" t="str">
        <f t="array" ref="C569">IF(B569="","",IF(A569=XLOOKUP(A$2,Implementos!B:B,Implementos!C:C,"",0,1),B569+maxifs(B$1:B568,A$1:A568,A$2),B569))</f>
        <v/>
      </c>
      <c r="D569" s="4" t="str">
        <f>IF(B569="","", COUNTIFS(Productos!F:F,A569,Productos!H:H,B569)+IF(F569="SI",0,1))</f>
        <v/>
      </c>
      <c r="E569" s="4" t="str">
        <f>IFERROR(__xludf.DUMMYFUNCTION("IF($B569="""","""",INDEX(filter(Familias!F:F,Familias!$D:$D=$A569,Familias!$E:$E=$B569),1))"),"")</f>
        <v/>
      </c>
      <c r="F569" s="4" t="str">
        <f>IFERROR(__xludf.DUMMYFUNCTION("IF($B569="""","""",INDEX(filter(Familias!G:G,Familias!$D:$D=$A569,Familias!$E:$E=$B569),1))"),"")</f>
        <v/>
      </c>
      <c r="G569" s="4" t="str">
        <f t="array" ref="G569">IF(C569=1,XLOOKUP(C569,Cotizador!D:D,Cotizador!E:E,"",0,1),"")</f>
        <v/>
      </c>
      <c r="I569" s="4"/>
      <c r="J569" s="8" t="str">
        <f>IF(I569="","",SUMIF(Cotizador!I$1:V$1,I569,Cotizador!I$2:V$2))</f>
        <v/>
      </c>
      <c r="L569" s="4" t="str">
        <f t="array" ref="L569">IF(COUNTIF(L$1:L568,A$2)=SUMIF(A:A,A$2,D:D),IF(COUNTIF(L$1:L568,XLOOKUP(A$2,Implementos!B:B,Implementos!C:C,"",0,1))=SUMIF(A:A,XLOOKUP(A$2,Implementos!B:B,Implementos!C:C,"",0,1),D:D),"",XLOOKUP(A$2,Implementos!B:B,Implementos!C:C,"",0,1)),A$2)</f>
        <v/>
      </c>
      <c r="M569" s="4" t="str">
        <f t="shared" si="2"/>
        <v/>
      </c>
      <c r="N569" s="4" t="str">
        <f t="shared" si="3"/>
        <v/>
      </c>
      <c r="O569" s="4" t="str">
        <f t="shared" si="4"/>
        <v/>
      </c>
      <c r="P569" s="4" t="str">
        <f t="shared" si="5"/>
        <v/>
      </c>
      <c r="Q569" s="4" t="str">
        <f>IF(U569="","",SUMIF(Productos!E:E,U569,Productos!A:A))</f>
        <v/>
      </c>
      <c r="R569" s="4" t="str">
        <f t="array" ref="R569">IF(L569="","", max(1,SUMIF(I:I,XLOOKUP(U569,Productos!E:E,Productos!G:G,"",0,1),J:J)))</f>
        <v/>
      </c>
      <c r="S569" s="4" t="str">
        <f>IF(Q569="","",IF(SUMIFS(Compat_Vetado!D:D,Compat_Vetado!B:B,SUM(G:G),Compat_Vetado!C:C,Q569)=1,"SI",IF(OR(SUMIF(Cotizador!E:E,Q569,Cotizador!G:G)&gt;0,SUMIFS(Compat_Vetado!D:D,Compat_Vetado!B:B,SUM(G:G),Compat_Vetado!C:C,Q569)=-1),"NO","")))</f>
        <v/>
      </c>
      <c r="T569" s="4" t="str">
        <f t="shared" si="6"/>
        <v/>
      </c>
      <c r="U569" s="4" t="str">
        <f>IFERROR(__xludf.DUMMYFUNCTION("IF(P569="""","""",IFERROR(INDEX(filter(Productos!E:E,Productos!F:F=L569,Productos!H:H=N569),P569),IF(M569=SUM(D:D),""Finalizar"",""-"")))"),"")</f>
        <v/>
      </c>
      <c r="V569" s="4" t="str">
        <f>IFERROR(__xludf.DUMMYFUNCTION("IF(OR($U569="""",COUNTIF($I:$I,IFERROR(unique(filter(Prod_Prop!$H:$H,Prod_Prop!$G:$G=$U569,Prod_Prop!$E:$E=V$1)),""Check""))=0),"""",IFERROR(unique(filter(Prod_Prop!$H:$H,Prod_Prop!$G:$G=$U569,Prod_Prop!$E:$E=V$1)),""""))"),"")</f>
        <v/>
      </c>
      <c r="W569" s="4" t="str">
        <f>IF(V569="","",SUMIFS(Prod_Prop!$J:$J,Prod_Prop!$B:$B,$Q569,Prod_Prop!$H:$H,V569,Prod_Prop!$I:$I,W$1)*IF(V569="Peso",$R569,1))</f>
        <v/>
      </c>
      <c r="X569" s="4" t="str">
        <f>IF(V569="","",SUMIFS(Prod_Prop!$J:$J,Prod_Prop!$B:$B,$Q569,Prod_Prop!$H:$H,V569,Prod_Prop!$I:$I,X$1)*IF(V569="Peso",$R569,1))</f>
        <v/>
      </c>
      <c r="Y569" s="4" t="str">
        <f>IFERROR(__xludf.DUMMYFUNCTION("IF(OR($U569="""",COUNTIF($I:$I,IFERROR(unique(filter(Prod_Prop!$H:$H,Prod_Prop!$G:$G=$U569,Prod_Prop!$E:$E=Y$1)),""Check""))=0),"""",IFERROR(unique(filter(Prod_Prop!$H:$H,Prod_Prop!$G:$G=$U569,Prod_Prop!$E:$E=Y$1)),""""))"),"")</f>
        <v/>
      </c>
      <c r="Z569" s="4" t="str">
        <f>IF(Y569="","",SUMIFS(Prod_Prop!$J:$J,Prod_Prop!$B:$B,$Q569,Prod_Prop!$H:$H,Y569,Prod_Prop!$I:$I,Z$1)*IF(Y569="Peso",$R569,1))</f>
        <v/>
      </c>
      <c r="AA569" s="4" t="str">
        <f>IF(Y569="","",SUMIFS(Prod_Prop!$J:$J,Prod_Prop!$B:$B,$Q569,Prod_Prop!$H:$H,Y569,Prod_Prop!$I:$I,AA$1)*IF(Y569="Peso",$R569,1))</f>
        <v/>
      </c>
      <c r="AB569" s="4" t="str">
        <f>IFERROR(__xludf.DUMMYFUNCTION("IF(OR($U569="""",COUNTIF($I:$I,IFERROR(unique(filter(Prod_Prop!$H:$H,Prod_Prop!$G:$G=$U569,Prod_Prop!$E:$E=AB$1)),""Check""))=0),"""",IFERROR(unique(filter(Prod_Prop!$H:$H,Prod_Prop!$G:$G=$U569,Prod_Prop!$E:$E=AB$1)),""""))"),"")</f>
        <v/>
      </c>
      <c r="AC569" s="4" t="str">
        <f>IF(AB569="","",SUMIFS(Prod_Prop!$J:$J,Prod_Prop!$B:$B,$Q569,Prod_Prop!$H:$H,AB569,Prod_Prop!$I:$I,AC$1)*IF(AB569="Peso",$R569,1))</f>
        <v/>
      </c>
      <c r="AD569" s="4" t="str">
        <f>IF(AB569="","",SUMIFS(Prod_Prop!$J:$J,Prod_Prop!$B:$B,$Q569,Prod_Prop!$H:$H,AB569,Prod_Prop!$I:$I,AD$1)*IF(AB569="Peso",$R569,1))</f>
        <v/>
      </c>
    </row>
    <row r="570">
      <c r="A570" s="4" t="str">
        <f t="array" ref="A570">IF(COUNTIF(A$1:A569,Cotizador!F$2)=maxifs(Familias!E:E,Familias!D:D,Cotizador!F$2),IF(COUNTIF(A$1:A569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0" s="4" t="str">
        <f t="shared" si="1"/>
        <v/>
      </c>
      <c r="C570" s="4" t="str">
        <f t="array" ref="C570">IF(B570="","",IF(A570=XLOOKUP(A$2,Implementos!B:B,Implementos!C:C,"",0,1),B570+maxifs(B$1:B569,A$1:A569,A$2),B570))</f>
        <v/>
      </c>
      <c r="D570" s="4" t="str">
        <f>IF(B570="","", COUNTIFS(Productos!F:F,A570,Productos!H:H,B570)+IF(F570="SI",0,1))</f>
        <v/>
      </c>
      <c r="E570" s="4" t="str">
        <f>IFERROR(__xludf.DUMMYFUNCTION("IF($B570="""","""",INDEX(filter(Familias!F:F,Familias!$D:$D=$A570,Familias!$E:$E=$B570),1))"),"")</f>
        <v/>
      </c>
      <c r="F570" s="4" t="str">
        <f>IFERROR(__xludf.DUMMYFUNCTION("IF($B570="""","""",INDEX(filter(Familias!G:G,Familias!$D:$D=$A570,Familias!$E:$E=$B570),1))"),"")</f>
        <v/>
      </c>
      <c r="G570" s="4" t="str">
        <f t="array" ref="G570">IF(C570=1,XLOOKUP(C570,Cotizador!D:D,Cotizador!E:E,"",0,1),"")</f>
        <v/>
      </c>
      <c r="I570" s="4"/>
      <c r="J570" s="8" t="str">
        <f>IF(I570="","",SUMIF(Cotizador!I$1:V$1,I570,Cotizador!I$2:V$2))</f>
        <v/>
      </c>
      <c r="L570" s="4" t="str">
        <f t="array" ref="L570">IF(COUNTIF(L$1:L569,A$2)=SUMIF(A:A,A$2,D:D),IF(COUNTIF(L$1:L569,XLOOKUP(A$2,Implementos!B:B,Implementos!C:C,"",0,1))=SUMIF(A:A,XLOOKUP(A$2,Implementos!B:B,Implementos!C:C,"",0,1),D:D),"",XLOOKUP(A$2,Implementos!B:B,Implementos!C:C,"",0,1)),A$2)</f>
        <v/>
      </c>
      <c r="M570" s="4" t="str">
        <f t="shared" si="2"/>
        <v/>
      </c>
      <c r="N570" s="4" t="str">
        <f t="shared" si="3"/>
        <v/>
      </c>
      <c r="O570" s="4" t="str">
        <f t="shared" si="4"/>
        <v/>
      </c>
      <c r="P570" s="4" t="str">
        <f t="shared" si="5"/>
        <v/>
      </c>
      <c r="Q570" s="4" t="str">
        <f>IF(U570="","",SUMIF(Productos!E:E,U570,Productos!A:A))</f>
        <v/>
      </c>
      <c r="R570" s="4" t="str">
        <f t="array" ref="R570">IF(L570="","", max(1,SUMIF(I:I,XLOOKUP(U570,Productos!E:E,Productos!G:G,"",0,1),J:J)))</f>
        <v/>
      </c>
      <c r="S570" s="4" t="str">
        <f>IF(Q570="","",IF(SUMIFS(Compat_Vetado!D:D,Compat_Vetado!B:B,SUM(G:G),Compat_Vetado!C:C,Q570)=1,"SI",IF(OR(SUMIF(Cotizador!E:E,Q570,Cotizador!G:G)&gt;0,SUMIFS(Compat_Vetado!D:D,Compat_Vetado!B:B,SUM(G:G),Compat_Vetado!C:C,Q570)=-1),"NO","")))</f>
        <v/>
      </c>
      <c r="T570" s="4" t="str">
        <f t="shared" si="6"/>
        <v/>
      </c>
      <c r="U570" s="4" t="str">
        <f>IFERROR(__xludf.DUMMYFUNCTION("IF(P570="""","""",IFERROR(INDEX(filter(Productos!E:E,Productos!F:F=L570,Productos!H:H=N570),P570),IF(M570=SUM(D:D),""Finalizar"",""-"")))"),"")</f>
        <v/>
      </c>
      <c r="V570" s="4" t="str">
        <f>IFERROR(__xludf.DUMMYFUNCTION("IF(OR($U570="""",COUNTIF($I:$I,IFERROR(unique(filter(Prod_Prop!$H:$H,Prod_Prop!$G:$G=$U570,Prod_Prop!$E:$E=V$1)),""Check""))=0),"""",IFERROR(unique(filter(Prod_Prop!$H:$H,Prod_Prop!$G:$G=$U570,Prod_Prop!$E:$E=V$1)),""""))"),"")</f>
        <v/>
      </c>
      <c r="W570" s="4" t="str">
        <f>IF(V570="","",SUMIFS(Prod_Prop!$J:$J,Prod_Prop!$B:$B,$Q570,Prod_Prop!$H:$H,V570,Prod_Prop!$I:$I,W$1)*IF(V570="Peso",$R570,1))</f>
        <v/>
      </c>
      <c r="X570" s="4" t="str">
        <f>IF(V570="","",SUMIFS(Prod_Prop!$J:$J,Prod_Prop!$B:$B,$Q570,Prod_Prop!$H:$H,V570,Prod_Prop!$I:$I,X$1)*IF(V570="Peso",$R570,1))</f>
        <v/>
      </c>
      <c r="Y570" s="4" t="str">
        <f>IFERROR(__xludf.DUMMYFUNCTION("IF(OR($U570="""",COUNTIF($I:$I,IFERROR(unique(filter(Prod_Prop!$H:$H,Prod_Prop!$G:$G=$U570,Prod_Prop!$E:$E=Y$1)),""Check""))=0),"""",IFERROR(unique(filter(Prod_Prop!$H:$H,Prod_Prop!$G:$G=$U570,Prod_Prop!$E:$E=Y$1)),""""))"),"")</f>
        <v/>
      </c>
      <c r="Z570" s="4" t="str">
        <f>IF(Y570="","",SUMIFS(Prod_Prop!$J:$J,Prod_Prop!$B:$B,$Q570,Prod_Prop!$H:$H,Y570,Prod_Prop!$I:$I,Z$1)*IF(Y570="Peso",$R570,1))</f>
        <v/>
      </c>
      <c r="AA570" s="4" t="str">
        <f>IF(Y570="","",SUMIFS(Prod_Prop!$J:$J,Prod_Prop!$B:$B,$Q570,Prod_Prop!$H:$H,Y570,Prod_Prop!$I:$I,AA$1)*IF(Y570="Peso",$R570,1))</f>
        <v/>
      </c>
      <c r="AB570" s="4" t="str">
        <f>IFERROR(__xludf.DUMMYFUNCTION("IF(OR($U570="""",COUNTIF($I:$I,IFERROR(unique(filter(Prod_Prop!$H:$H,Prod_Prop!$G:$G=$U570,Prod_Prop!$E:$E=AB$1)),""Check""))=0),"""",IFERROR(unique(filter(Prod_Prop!$H:$H,Prod_Prop!$G:$G=$U570,Prod_Prop!$E:$E=AB$1)),""""))"),"")</f>
        <v/>
      </c>
      <c r="AC570" s="4" t="str">
        <f>IF(AB570="","",SUMIFS(Prod_Prop!$J:$J,Prod_Prop!$B:$B,$Q570,Prod_Prop!$H:$H,AB570,Prod_Prop!$I:$I,AC$1)*IF(AB570="Peso",$R570,1))</f>
        <v/>
      </c>
      <c r="AD570" s="4" t="str">
        <f>IF(AB570="","",SUMIFS(Prod_Prop!$J:$J,Prod_Prop!$B:$B,$Q570,Prod_Prop!$H:$H,AB570,Prod_Prop!$I:$I,AD$1)*IF(AB570="Peso",$R570,1))</f>
        <v/>
      </c>
    </row>
    <row r="571">
      <c r="A571" s="4" t="str">
        <f t="array" ref="A571">IF(COUNTIF(A$1:A570,Cotizador!F$2)=maxifs(Familias!E:E,Familias!D:D,Cotizador!F$2),IF(COUNTIF(A$1:A570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1" s="4" t="str">
        <f t="shared" si="1"/>
        <v/>
      </c>
      <c r="C571" s="4" t="str">
        <f t="array" ref="C571">IF(B571="","",IF(A571=XLOOKUP(A$2,Implementos!B:B,Implementos!C:C,"",0,1),B571+maxifs(B$1:B570,A$1:A570,A$2),B571))</f>
        <v/>
      </c>
      <c r="D571" s="4" t="str">
        <f>IF(B571="","", COUNTIFS(Productos!F:F,A571,Productos!H:H,B571)+IF(F571="SI",0,1))</f>
        <v/>
      </c>
      <c r="E571" s="4" t="str">
        <f>IFERROR(__xludf.DUMMYFUNCTION("IF($B571="""","""",INDEX(filter(Familias!F:F,Familias!$D:$D=$A571,Familias!$E:$E=$B571),1))"),"")</f>
        <v/>
      </c>
      <c r="F571" s="4" t="str">
        <f>IFERROR(__xludf.DUMMYFUNCTION("IF($B571="""","""",INDEX(filter(Familias!G:G,Familias!$D:$D=$A571,Familias!$E:$E=$B571),1))"),"")</f>
        <v/>
      </c>
      <c r="G571" s="4" t="str">
        <f t="array" ref="G571">IF(C571=1,XLOOKUP(C571,Cotizador!D:D,Cotizador!E:E,"",0,1),"")</f>
        <v/>
      </c>
      <c r="I571" s="4"/>
      <c r="J571" s="8" t="str">
        <f>IF(I571="","",SUMIF(Cotizador!I$1:V$1,I571,Cotizador!I$2:V$2))</f>
        <v/>
      </c>
      <c r="L571" s="4" t="str">
        <f t="array" ref="L571">IF(COUNTIF(L$1:L570,A$2)=SUMIF(A:A,A$2,D:D),IF(COUNTIF(L$1:L570,XLOOKUP(A$2,Implementos!B:B,Implementos!C:C,"",0,1))=SUMIF(A:A,XLOOKUP(A$2,Implementos!B:B,Implementos!C:C,"",0,1),D:D),"",XLOOKUP(A$2,Implementos!B:B,Implementos!C:C,"",0,1)),A$2)</f>
        <v/>
      </c>
      <c r="M571" s="4" t="str">
        <f t="shared" si="2"/>
        <v/>
      </c>
      <c r="N571" s="4" t="str">
        <f t="shared" si="3"/>
        <v/>
      </c>
      <c r="O571" s="4" t="str">
        <f t="shared" si="4"/>
        <v/>
      </c>
      <c r="P571" s="4" t="str">
        <f t="shared" si="5"/>
        <v/>
      </c>
      <c r="Q571" s="4" t="str">
        <f>IF(U571="","",SUMIF(Productos!E:E,U571,Productos!A:A))</f>
        <v/>
      </c>
      <c r="R571" s="4" t="str">
        <f t="array" ref="R571">IF(L571="","", max(1,SUMIF(I:I,XLOOKUP(U571,Productos!E:E,Productos!G:G,"",0,1),J:J)))</f>
        <v/>
      </c>
      <c r="S571" s="4" t="str">
        <f>IF(Q571="","",IF(SUMIFS(Compat_Vetado!D:D,Compat_Vetado!B:B,SUM(G:G),Compat_Vetado!C:C,Q571)=1,"SI",IF(OR(SUMIF(Cotizador!E:E,Q571,Cotizador!G:G)&gt;0,SUMIFS(Compat_Vetado!D:D,Compat_Vetado!B:B,SUM(G:G),Compat_Vetado!C:C,Q571)=-1),"NO","")))</f>
        <v/>
      </c>
      <c r="T571" s="4" t="str">
        <f t="shared" si="6"/>
        <v/>
      </c>
      <c r="U571" s="4" t="str">
        <f>IFERROR(__xludf.DUMMYFUNCTION("IF(P571="""","""",IFERROR(INDEX(filter(Productos!E:E,Productos!F:F=L571,Productos!H:H=N571),P571),IF(M571=SUM(D:D),""Finalizar"",""-"")))"),"")</f>
        <v/>
      </c>
      <c r="V571" s="4" t="str">
        <f>IFERROR(__xludf.DUMMYFUNCTION("IF(OR($U571="""",COUNTIF($I:$I,IFERROR(unique(filter(Prod_Prop!$H:$H,Prod_Prop!$G:$G=$U571,Prod_Prop!$E:$E=V$1)),""Check""))=0),"""",IFERROR(unique(filter(Prod_Prop!$H:$H,Prod_Prop!$G:$G=$U571,Prod_Prop!$E:$E=V$1)),""""))"),"")</f>
        <v/>
      </c>
      <c r="W571" s="4" t="str">
        <f>IF(V571="","",SUMIFS(Prod_Prop!$J:$J,Prod_Prop!$B:$B,$Q571,Prod_Prop!$H:$H,V571,Prod_Prop!$I:$I,W$1)*IF(V571="Peso",$R571,1))</f>
        <v/>
      </c>
      <c r="X571" s="4" t="str">
        <f>IF(V571="","",SUMIFS(Prod_Prop!$J:$J,Prod_Prop!$B:$B,$Q571,Prod_Prop!$H:$H,V571,Prod_Prop!$I:$I,X$1)*IF(V571="Peso",$R571,1))</f>
        <v/>
      </c>
      <c r="Y571" s="4" t="str">
        <f>IFERROR(__xludf.DUMMYFUNCTION("IF(OR($U571="""",COUNTIF($I:$I,IFERROR(unique(filter(Prod_Prop!$H:$H,Prod_Prop!$G:$G=$U571,Prod_Prop!$E:$E=Y$1)),""Check""))=0),"""",IFERROR(unique(filter(Prod_Prop!$H:$H,Prod_Prop!$G:$G=$U571,Prod_Prop!$E:$E=Y$1)),""""))"),"")</f>
        <v/>
      </c>
      <c r="Z571" s="4" t="str">
        <f>IF(Y571="","",SUMIFS(Prod_Prop!$J:$J,Prod_Prop!$B:$B,$Q571,Prod_Prop!$H:$H,Y571,Prod_Prop!$I:$I,Z$1)*IF(Y571="Peso",$R571,1))</f>
        <v/>
      </c>
      <c r="AA571" s="4" t="str">
        <f>IF(Y571="","",SUMIFS(Prod_Prop!$J:$J,Prod_Prop!$B:$B,$Q571,Prod_Prop!$H:$H,Y571,Prod_Prop!$I:$I,AA$1)*IF(Y571="Peso",$R571,1))</f>
        <v/>
      </c>
      <c r="AB571" s="4" t="str">
        <f>IFERROR(__xludf.DUMMYFUNCTION("IF(OR($U571="""",COUNTIF($I:$I,IFERROR(unique(filter(Prod_Prop!$H:$H,Prod_Prop!$G:$G=$U571,Prod_Prop!$E:$E=AB$1)),""Check""))=0),"""",IFERROR(unique(filter(Prod_Prop!$H:$H,Prod_Prop!$G:$G=$U571,Prod_Prop!$E:$E=AB$1)),""""))"),"")</f>
        <v/>
      </c>
      <c r="AC571" s="4" t="str">
        <f>IF(AB571="","",SUMIFS(Prod_Prop!$J:$J,Prod_Prop!$B:$B,$Q571,Prod_Prop!$H:$H,AB571,Prod_Prop!$I:$I,AC$1)*IF(AB571="Peso",$R571,1))</f>
        <v/>
      </c>
      <c r="AD571" s="4" t="str">
        <f>IF(AB571="","",SUMIFS(Prod_Prop!$J:$J,Prod_Prop!$B:$B,$Q571,Prod_Prop!$H:$H,AB571,Prod_Prop!$I:$I,AD$1)*IF(AB571="Peso",$R571,1))</f>
        <v/>
      </c>
    </row>
    <row r="572">
      <c r="A572" s="4" t="str">
        <f t="array" ref="A572">IF(COUNTIF(A$1:A571,Cotizador!F$2)=maxifs(Familias!E:E,Familias!D:D,Cotizador!F$2),IF(COUNTIF(A$1:A571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2" s="4" t="str">
        <f t="shared" si="1"/>
        <v/>
      </c>
      <c r="C572" s="4" t="str">
        <f t="array" ref="C572">IF(B572="","",IF(A572=XLOOKUP(A$2,Implementos!B:B,Implementos!C:C,"",0,1),B572+maxifs(B$1:B571,A$1:A571,A$2),B572))</f>
        <v/>
      </c>
      <c r="D572" s="4" t="str">
        <f>IF(B572="","", COUNTIFS(Productos!F:F,A572,Productos!H:H,B572)+IF(F572="SI",0,1))</f>
        <v/>
      </c>
      <c r="E572" s="4" t="str">
        <f>IFERROR(__xludf.DUMMYFUNCTION("IF($B572="""","""",INDEX(filter(Familias!F:F,Familias!$D:$D=$A572,Familias!$E:$E=$B572),1))"),"")</f>
        <v/>
      </c>
      <c r="F572" s="4" t="str">
        <f>IFERROR(__xludf.DUMMYFUNCTION("IF($B572="""","""",INDEX(filter(Familias!G:G,Familias!$D:$D=$A572,Familias!$E:$E=$B572),1))"),"")</f>
        <v/>
      </c>
      <c r="G572" s="4" t="str">
        <f t="array" ref="G572">IF(C572=1,XLOOKUP(C572,Cotizador!D:D,Cotizador!E:E,"",0,1),"")</f>
        <v/>
      </c>
      <c r="I572" s="4"/>
      <c r="J572" s="8" t="str">
        <f>IF(I572="","",SUMIF(Cotizador!I$1:V$1,I572,Cotizador!I$2:V$2))</f>
        <v/>
      </c>
      <c r="L572" s="4" t="str">
        <f t="array" ref="L572">IF(COUNTIF(L$1:L571,A$2)=SUMIF(A:A,A$2,D:D),IF(COUNTIF(L$1:L571,XLOOKUP(A$2,Implementos!B:B,Implementos!C:C,"",0,1))=SUMIF(A:A,XLOOKUP(A$2,Implementos!B:B,Implementos!C:C,"",0,1),D:D),"",XLOOKUP(A$2,Implementos!B:B,Implementos!C:C,"",0,1)),A$2)</f>
        <v/>
      </c>
      <c r="M572" s="4" t="str">
        <f t="shared" si="2"/>
        <v/>
      </c>
      <c r="N572" s="4" t="str">
        <f t="shared" si="3"/>
        <v/>
      </c>
      <c r="O572" s="4" t="str">
        <f t="shared" si="4"/>
        <v/>
      </c>
      <c r="P572" s="4" t="str">
        <f t="shared" si="5"/>
        <v/>
      </c>
      <c r="Q572" s="4" t="str">
        <f>IF(U572="","",SUMIF(Productos!E:E,U572,Productos!A:A))</f>
        <v/>
      </c>
      <c r="R572" s="4" t="str">
        <f t="array" ref="R572">IF(L572="","", max(1,SUMIF(I:I,XLOOKUP(U572,Productos!E:E,Productos!G:G,"",0,1),J:J)))</f>
        <v/>
      </c>
      <c r="S572" s="4" t="str">
        <f>IF(Q572="","",IF(SUMIFS(Compat_Vetado!D:D,Compat_Vetado!B:B,SUM(G:G),Compat_Vetado!C:C,Q572)=1,"SI",IF(OR(SUMIF(Cotizador!E:E,Q572,Cotizador!G:G)&gt;0,SUMIFS(Compat_Vetado!D:D,Compat_Vetado!B:B,SUM(G:G),Compat_Vetado!C:C,Q572)=-1),"NO","")))</f>
        <v/>
      </c>
      <c r="T572" s="4" t="str">
        <f t="shared" si="6"/>
        <v/>
      </c>
      <c r="U572" s="4" t="str">
        <f>IFERROR(__xludf.DUMMYFUNCTION("IF(P572="""","""",IFERROR(INDEX(filter(Productos!E:E,Productos!F:F=L572,Productos!H:H=N572),P572),IF(M572=SUM(D:D),""Finalizar"",""-"")))"),"")</f>
        <v/>
      </c>
      <c r="V572" s="4" t="str">
        <f>IFERROR(__xludf.DUMMYFUNCTION("IF(OR($U572="""",COUNTIF($I:$I,IFERROR(unique(filter(Prod_Prop!$H:$H,Prod_Prop!$G:$G=$U572,Prod_Prop!$E:$E=V$1)),""Check""))=0),"""",IFERROR(unique(filter(Prod_Prop!$H:$H,Prod_Prop!$G:$G=$U572,Prod_Prop!$E:$E=V$1)),""""))"),"")</f>
        <v/>
      </c>
      <c r="W572" s="4" t="str">
        <f>IF(V572="","",SUMIFS(Prod_Prop!$J:$J,Prod_Prop!$B:$B,$Q572,Prod_Prop!$H:$H,V572,Prod_Prop!$I:$I,W$1)*IF(V572="Peso",$R572,1))</f>
        <v/>
      </c>
      <c r="X572" s="4" t="str">
        <f>IF(V572="","",SUMIFS(Prod_Prop!$J:$J,Prod_Prop!$B:$B,$Q572,Prod_Prop!$H:$H,V572,Prod_Prop!$I:$I,X$1)*IF(V572="Peso",$R572,1))</f>
        <v/>
      </c>
      <c r="Y572" s="4" t="str">
        <f>IFERROR(__xludf.DUMMYFUNCTION("IF(OR($U572="""",COUNTIF($I:$I,IFERROR(unique(filter(Prod_Prop!$H:$H,Prod_Prop!$G:$G=$U572,Prod_Prop!$E:$E=Y$1)),""Check""))=0),"""",IFERROR(unique(filter(Prod_Prop!$H:$H,Prod_Prop!$G:$G=$U572,Prod_Prop!$E:$E=Y$1)),""""))"),"")</f>
        <v/>
      </c>
      <c r="Z572" s="4" t="str">
        <f>IF(Y572="","",SUMIFS(Prod_Prop!$J:$J,Prod_Prop!$B:$B,$Q572,Prod_Prop!$H:$H,Y572,Prod_Prop!$I:$I,Z$1)*IF(Y572="Peso",$R572,1))</f>
        <v/>
      </c>
      <c r="AA572" s="4" t="str">
        <f>IF(Y572="","",SUMIFS(Prod_Prop!$J:$J,Prod_Prop!$B:$B,$Q572,Prod_Prop!$H:$H,Y572,Prod_Prop!$I:$I,AA$1)*IF(Y572="Peso",$R572,1))</f>
        <v/>
      </c>
      <c r="AB572" s="4" t="str">
        <f>IFERROR(__xludf.DUMMYFUNCTION("IF(OR($U572="""",COUNTIF($I:$I,IFERROR(unique(filter(Prod_Prop!$H:$H,Prod_Prop!$G:$G=$U572,Prod_Prop!$E:$E=AB$1)),""Check""))=0),"""",IFERROR(unique(filter(Prod_Prop!$H:$H,Prod_Prop!$G:$G=$U572,Prod_Prop!$E:$E=AB$1)),""""))"),"")</f>
        <v/>
      </c>
      <c r="AC572" s="4" t="str">
        <f>IF(AB572="","",SUMIFS(Prod_Prop!$J:$J,Prod_Prop!$B:$B,$Q572,Prod_Prop!$H:$H,AB572,Prod_Prop!$I:$I,AC$1)*IF(AB572="Peso",$R572,1))</f>
        <v/>
      </c>
      <c r="AD572" s="4" t="str">
        <f>IF(AB572="","",SUMIFS(Prod_Prop!$J:$J,Prod_Prop!$B:$B,$Q572,Prod_Prop!$H:$H,AB572,Prod_Prop!$I:$I,AD$1)*IF(AB572="Peso",$R572,1))</f>
        <v/>
      </c>
    </row>
    <row r="573">
      <c r="A573" s="4" t="str">
        <f t="array" ref="A573">IF(COUNTIF(A$1:A572,Cotizador!F$2)=maxifs(Familias!E:E,Familias!D:D,Cotizador!F$2),IF(COUNTIF(A$1:A572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3" s="4" t="str">
        <f t="shared" si="1"/>
        <v/>
      </c>
      <c r="C573" s="4" t="str">
        <f t="array" ref="C573">IF(B573="","",IF(A573=XLOOKUP(A$2,Implementos!B:B,Implementos!C:C,"",0,1),B573+maxifs(B$1:B572,A$1:A572,A$2),B573))</f>
        <v/>
      </c>
      <c r="D573" s="4" t="str">
        <f>IF(B573="","", COUNTIFS(Productos!F:F,A573,Productos!H:H,B573)+IF(F573="SI",0,1))</f>
        <v/>
      </c>
      <c r="E573" s="4" t="str">
        <f>IFERROR(__xludf.DUMMYFUNCTION("IF($B573="""","""",INDEX(filter(Familias!F:F,Familias!$D:$D=$A573,Familias!$E:$E=$B573),1))"),"")</f>
        <v/>
      </c>
      <c r="F573" s="4" t="str">
        <f>IFERROR(__xludf.DUMMYFUNCTION("IF($B573="""","""",INDEX(filter(Familias!G:G,Familias!$D:$D=$A573,Familias!$E:$E=$B573),1))"),"")</f>
        <v/>
      </c>
      <c r="G573" s="4" t="str">
        <f t="array" ref="G573">IF(C573=1,XLOOKUP(C573,Cotizador!D:D,Cotizador!E:E,"",0,1),"")</f>
        <v/>
      </c>
      <c r="I573" s="4"/>
      <c r="J573" s="8" t="str">
        <f>IF(I573="","",SUMIF(Cotizador!I$1:V$1,I573,Cotizador!I$2:V$2))</f>
        <v/>
      </c>
      <c r="L573" s="4" t="str">
        <f t="array" ref="L573">IF(COUNTIF(L$1:L572,A$2)=SUMIF(A:A,A$2,D:D),IF(COUNTIF(L$1:L572,XLOOKUP(A$2,Implementos!B:B,Implementos!C:C,"",0,1))=SUMIF(A:A,XLOOKUP(A$2,Implementos!B:B,Implementos!C:C,"",0,1),D:D),"",XLOOKUP(A$2,Implementos!B:B,Implementos!C:C,"",0,1)),A$2)</f>
        <v/>
      </c>
      <c r="M573" s="4" t="str">
        <f t="shared" si="2"/>
        <v/>
      </c>
      <c r="N573" s="4" t="str">
        <f t="shared" si="3"/>
        <v/>
      </c>
      <c r="O573" s="4" t="str">
        <f t="shared" si="4"/>
        <v/>
      </c>
      <c r="P573" s="4" t="str">
        <f t="shared" si="5"/>
        <v/>
      </c>
      <c r="Q573" s="4" t="str">
        <f>IF(U573="","",SUMIF(Productos!E:E,U573,Productos!A:A))</f>
        <v/>
      </c>
      <c r="R573" s="4" t="str">
        <f t="array" ref="R573">IF(L573="","", max(1,SUMIF(I:I,XLOOKUP(U573,Productos!E:E,Productos!G:G,"",0,1),J:J)))</f>
        <v/>
      </c>
      <c r="S573" s="4" t="str">
        <f>IF(Q573="","",IF(SUMIFS(Compat_Vetado!D:D,Compat_Vetado!B:B,SUM(G:G),Compat_Vetado!C:C,Q573)=1,"SI",IF(OR(SUMIF(Cotizador!E:E,Q573,Cotizador!G:G)&gt;0,SUMIFS(Compat_Vetado!D:D,Compat_Vetado!B:B,SUM(G:G),Compat_Vetado!C:C,Q573)=-1),"NO","")))</f>
        <v/>
      </c>
      <c r="T573" s="4" t="str">
        <f t="shared" si="6"/>
        <v/>
      </c>
      <c r="U573" s="4" t="str">
        <f>IFERROR(__xludf.DUMMYFUNCTION("IF(P573="""","""",IFERROR(INDEX(filter(Productos!E:E,Productos!F:F=L573,Productos!H:H=N573),P573),IF(M573=SUM(D:D),""Finalizar"",""-"")))"),"")</f>
        <v/>
      </c>
      <c r="V573" s="4" t="str">
        <f>IFERROR(__xludf.DUMMYFUNCTION("IF(OR($U573="""",COUNTIF($I:$I,IFERROR(unique(filter(Prod_Prop!$H:$H,Prod_Prop!$G:$G=$U573,Prod_Prop!$E:$E=V$1)),""Check""))=0),"""",IFERROR(unique(filter(Prod_Prop!$H:$H,Prod_Prop!$G:$G=$U573,Prod_Prop!$E:$E=V$1)),""""))"),"")</f>
        <v/>
      </c>
      <c r="W573" s="4" t="str">
        <f>IF(V573="","",SUMIFS(Prod_Prop!$J:$J,Prod_Prop!$B:$B,$Q573,Prod_Prop!$H:$H,V573,Prod_Prop!$I:$I,W$1)*IF(V573="Peso",$R573,1))</f>
        <v/>
      </c>
      <c r="X573" s="4" t="str">
        <f>IF(V573="","",SUMIFS(Prod_Prop!$J:$J,Prod_Prop!$B:$B,$Q573,Prod_Prop!$H:$H,V573,Prod_Prop!$I:$I,X$1)*IF(V573="Peso",$R573,1))</f>
        <v/>
      </c>
      <c r="Y573" s="4" t="str">
        <f>IFERROR(__xludf.DUMMYFUNCTION("IF(OR($U573="""",COUNTIF($I:$I,IFERROR(unique(filter(Prod_Prop!$H:$H,Prod_Prop!$G:$G=$U573,Prod_Prop!$E:$E=Y$1)),""Check""))=0),"""",IFERROR(unique(filter(Prod_Prop!$H:$H,Prod_Prop!$G:$G=$U573,Prod_Prop!$E:$E=Y$1)),""""))"),"")</f>
        <v/>
      </c>
      <c r="Z573" s="4" t="str">
        <f>IF(Y573="","",SUMIFS(Prod_Prop!$J:$J,Prod_Prop!$B:$B,$Q573,Prod_Prop!$H:$H,Y573,Prod_Prop!$I:$I,Z$1)*IF(Y573="Peso",$R573,1))</f>
        <v/>
      </c>
      <c r="AA573" s="4" t="str">
        <f>IF(Y573="","",SUMIFS(Prod_Prop!$J:$J,Prod_Prop!$B:$B,$Q573,Prod_Prop!$H:$H,Y573,Prod_Prop!$I:$I,AA$1)*IF(Y573="Peso",$R573,1))</f>
        <v/>
      </c>
      <c r="AB573" s="4" t="str">
        <f>IFERROR(__xludf.DUMMYFUNCTION("IF(OR($U573="""",COUNTIF($I:$I,IFERROR(unique(filter(Prod_Prop!$H:$H,Prod_Prop!$G:$G=$U573,Prod_Prop!$E:$E=AB$1)),""Check""))=0),"""",IFERROR(unique(filter(Prod_Prop!$H:$H,Prod_Prop!$G:$G=$U573,Prod_Prop!$E:$E=AB$1)),""""))"),"")</f>
        <v/>
      </c>
      <c r="AC573" s="4" t="str">
        <f>IF(AB573="","",SUMIFS(Prod_Prop!$J:$J,Prod_Prop!$B:$B,$Q573,Prod_Prop!$H:$H,AB573,Prod_Prop!$I:$I,AC$1)*IF(AB573="Peso",$R573,1))</f>
        <v/>
      </c>
      <c r="AD573" s="4" t="str">
        <f>IF(AB573="","",SUMIFS(Prod_Prop!$J:$J,Prod_Prop!$B:$B,$Q573,Prod_Prop!$H:$H,AB573,Prod_Prop!$I:$I,AD$1)*IF(AB573="Peso",$R573,1))</f>
        <v/>
      </c>
    </row>
    <row r="574">
      <c r="A574" s="4" t="str">
        <f t="array" ref="A574">IF(COUNTIF(A$1:A573,Cotizador!F$2)=maxifs(Familias!E:E,Familias!D:D,Cotizador!F$2),IF(COUNTIF(A$1:A573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4" s="4" t="str">
        <f t="shared" si="1"/>
        <v/>
      </c>
      <c r="C574" s="4" t="str">
        <f t="array" ref="C574">IF(B574="","",IF(A574=XLOOKUP(A$2,Implementos!B:B,Implementos!C:C,"",0,1),B574+maxifs(B$1:B573,A$1:A573,A$2),B574))</f>
        <v/>
      </c>
      <c r="D574" s="4" t="str">
        <f>IF(B574="","", COUNTIFS(Productos!F:F,A574,Productos!H:H,B574)+IF(F574="SI",0,1))</f>
        <v/>
      </c>
      <c r="E574" s="4" t="str">
        <f>IFERROR(__xludf.DUMMYFUNCTION("IF($B574="""","""",INDEX(filter(Familias!F:F,Familias!$D:$D=$A574,Familias!$E:$E=$B574),1))"),"")</f>
        <v/>
      </c>
      <c r="F574" s="4" t="str">
        <f>IFERROR(__xludf.DUMMYFUNCTION("IF($B574="""","""",INDEX(filter(Familias!G:G,Familias!$D:$D=$A574,Familias!$E:$E=$B574),1))"),"")</f>
        <v/>
      </c>
      <c r="G574" s="4" t="str">
        <f t="array" ref="G574">IF(C574=1,XLOOKUP(C574,Cotizador!D:D,Cotizador!E:E,"",0,1),"")</f>
        <v/>
      </c>
      <c r="I574" s="4"/>
      <c r="J574" s="8" t="str">
        <f>IF(I574="","",SUMIF(Cotizador!I$1:V$1,I574,Cotizador!I$2:V$2))</f>
        <v/>
      </c>
      <c r="L574" s="4" t="str">
        <f t="array" ref="L574">IF(COUNTIF(L$1:L573,A$2)=SUMIF(A:A,A$2,D:D),IF(COUNTIF(L$1:L573,XLOOKUP(A$2,Implementos!B:B,Implementos!C:C,"",0,1))=SUMIF(A:A,XLOOKUP(A$2,Implementos!B:B,Implementos!C:C,"",0,1),D:D),"",XLOOKUP(A$2,Implementos!B:B,Implementos!C:C,"",0,1)),A$2)</f>
        <v/>
      </c>
      <c r="M574" s="4" t="str">
        <f t="shared" si="2"/>
        <v/>
      </c>
      <c r="N574" s="4" t="str">
        <f t="shared" si="3"/>
        <v/>
      </c>
      <c r="O574" s="4" t="str">
        <f t="shared" si="4"/>
        <v/>
      </c>
      <c r="P574" s="4" t="str">
        <f t="shared" si="5"/>
        <v/>
      </c>
      <c r="Q574" s="4" t="str">
        <f>IF(U574="","",SUMIF(Productos!E:E,U574,Productos!A:A))</f>
        <v/>
      </c>
      <c r="R574" s="4" t="str">
        <f t="array" ref="R574">IF(L574="","", max(1,SUMIF(I:I,XLOOKUP(U574,Productos!E:E,Productos!G:G,"",0,1),J:J)))</f>
        <v/>
      </c>
      <c r="S574" s="4" t="str">
        <f>IF(Q574="","",IF(SUMIFS(Compat_Vetado!D:D,Compat_Vetado!B:B,SUM(G:G),Compat_Vetado!C:C,Q574)=1,"SI",IF(OR(SUMIF(Cotizador!E:E,Q574,Cotizador!G:G)&gt;0,SUMIFS(Compat_Vetado!D:D,Compat_Vetado!B:B,SUM(G:G),Compat_Vetado!C:C,Q574)=-1),"NO","")))</f>
        <v/>
      </c>
      <c r="T574" s="4" t="str">
        <f t="shared" si="6"/>
        <v/>
      </c>
      <c r="U574" s="4" t="str">
        <f>IFERROR(__xludf.DUMMYFUNCTION("IF(P574="""","""",IFERROR(INDEX(filter(Productos!E:E,Productos!F:F=L574,Productos!H:H=N574),P574),IF(M574=SUM(D:D),""Finalizar"",""-"")))"),"")</f>
        <v/>
      </c>
      <c r="V574" s="4" t="str">
        <f>IFERROR(__xludf.DUMMYFUNCTION("IF(OR($U574="""",COUNTIF($I:$I,IFERROR(unique(filter(Prod_Prop!$H:$H,Prod_Prop!$G:$G=$U574,Prod_Prop!$E:$E=V$1)),""Check""))=0),"""",IFERROR(unique(filter(Prod_Prop!$H:$H,Prod_Prop!$G:$G=$U574,Prod_Prop!$E:$E=V$1)),""""))"),"")</f>
        <v/>
      </c>
      <c r="W574" s="4" t="str">
        <f>IF(V574="","",SUMIFS(Prod_Prop!$J:$J,Prod_Prop!$B:$B,$Q574,Prod_Prop!$H:$H,V574,Prod_Prop!$I:$I,W$1)*IF(V574="Peso",$R574,1))</f>
        <v/>
      </c>
      <c r="X574" s="4" t="str">
        <f>IF(V574="","",SUMIFS(Prod_Prop!$J:$J,Prod_Prop!$B:$B,$Q574,Prod_Prop!$H:$H,V574,Prod_Prop!$I:$I,X$1)*IF(V574="Peso",$R574,1))</f>
        <v/>
      </c>
      <c r="Y574" s="4" t="str">
        <f>IFERROR(__xludf.DUMMYFUNCTION("IF(OR($U574="""",COUNTIF($I:$I,IFERROR(unique(filter(Prod_Prop!$H:$H,Prod_Prop!$G:$G=$U574,Prod_Prop!$E:$E=Y$1)),""Check""))=0),"""",IFERROR(unique(filter(Prod_Prop!$H:$H,Prod_Prop!$G:$G=$U574,Prod_Prop!$E:$E=Y$1)),""""))"),"")</f>
        <v/>
      </c>
      <c r="Z574" s="4" t="str">
        <f>IF(Y574="","",SUMIFS(Prod_Prop!$J:$J,Prod_Prop!$B:$B,$Q574,Prod_Prop!$H:$H,Y574,Prod_Prop!$I:$I,Z$1)*IF(Y574="Peso",$R574,1))</f>
        <v/>
      </c>
      <c r="AA574" s="4" t="str">
        <f>IF(Y574="","",SUMIFS(Prod_Prop!$J:$J,Prod_Prop!$B:$B,$Q574,Prod_Prop!$H:$H,Y574,Prod_Prop!$I:$I,AA$1)*IF(Y574="Peso",$R574,1))</f>
        <v/>
      </c>
      <c r="AB574" s="4" t="str">
        <f>IFERROR(__xludf.DUMMYFUNCTION("IF(OR($U574="""",COUNTIF($I:$I,IFERROR(unique(filter(Prod_Prop!$H:$H,Prod_Prop!$G:$G=$U574,Prod_Prop!$E:$E=AB$1)),""Check""))=0),"""",IFERROR(unique(filter(Prod_Prop!$H:$H,Prod_Prop!$G:$G=$U574,Prod_Prop!$E:$E=AB$1)),""""))"),"")</f>
        <v/>
      </c>
      <c r="AC574" s="4" t="str">
        <f>IF(AB574="","",SUMIFS(Prod_Prop!$J:$J,Prod_Prop!$B:$B,$Q574,Prod_Prop!$H:$H,AB574,Prod_Prop!$I:$I,AC$1)*IF(AB574="Peso",$R574,1))</f>
        <v/>
      </c>
      <c r="AD574" s="4" t="str">
        <f>IF(AB574="","",SUMIFS(Prod_Prop!$J:$J,Prod_Prop!$B:$B,$Q574,Prod_Prop!$H:$H,AB574,Prod_Prop!$I:$I,AD$1)*IF(AB574="Peso",$R574,1))</f>
        <v/>
      </c>
    </row>
    <row r="575">
      <c r="A575" s="4" t="str">
        <f t="array" ref="A575">IF(COUNTIF(A$1:A574,Cotizador!F$2)=maxifs(Familias!E:E,Familias!D:D,Cotizador!F$2),IF(COUNTIF(A$1:A574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5" s="4" t="str">
        <f t="shared" si="1"/>
        <v/>
      </c>
      <c r="C575" s="4" t="str">
        <f t="array" ref="C575">IF(B575="","",IF(A575=XLOOKUP(A$2,Implementos!B:B,Implementos!C:C,"",0,1),B575+maxifs(B$1:B574,A$1:A574,A$2),B575))</f>
        <v/>
      </c>
      <c r="D575" s="4" t="str">
        <f>IF(B575="","", COUNTIFS(Productos!F:F,A575,Productos!H:H,B575)+IF(F575="SI",0,1))</f>
        <v/>
      </c>
      <c r="E575" s="4" t="str">
        <f>IFERROR(__xludf.DUMMYFUNCTION("IF($B575="""","""",INDEX(filter(Familias!F:F,Familias!$D:$D=$A575,Familias!$E:$E=$B575),1))"),"")</f>
        <v/>
      </c>
      <c r="F575" s="4" t="str">
        <f>IFERROR(__xludf.DUMMYFUNCTION("IF($B575="""","""",INDEX(filter(Familias!G:G,Familias!$D:$D=$A575,Familias!$E:$E=$B575),1))"),"")</f>
        <v/>
      </c>
      <c r="G575" s="4" t="str">
        <f t="array" ref="G575">IF(C575=1,XLOOKUP(C575,Cotizador!D:D,Cotizador!E:E,"",0,1),"")</f>
        <v/>
      </c>
      <c r="I575" s="4"/>
      <c r="J575" s="8" t="str">
        <f>IF(I575="","",SUMIF(Cotizador!I$1:V$1,I575,Cotizador!I$2:V$2))</f>
        <v/>
      </c>
      <c r="L575" s="4" t="str">
        <f t="array" ref="L575">IF(COUNTIF(L$1:L574,A$2)=SUMIF(A:A,A$2,D:D),IF(COUNTIF(L$1:L574,XLOOKUP(A$2,Implementos!B:B,Implementos!C:C,"",0,1))=SUMIF(A:A,XLOOKUP(A$2,Implementos!B:B,Implementos!C:C,"",0,1),D:D),"",XLOOKUP(A$2,Implementos!B:B,Implementos!C:C,"",0,1)),A$2)</f>
        <v/>
      </c>
      <c r="M575" s="4" t="str">
        <f t="shared" si="2"/>
        <v/>
      </c>
      <c r="N575" s="4" t="str">
        <f t="shared" si="3"/>
        <v/>
      </c>
      <c r="O575" s="4" t="str">
        <f t="shared" si="4"/>
        <v/>
      </c>
      <c r="P575" s="4" t="str">
        <f t="shared" si="5"/>
        <v/>
      </c>
      <c r="Q575" s="4" t="str">
        <f>IF(U575="","",SUMIF(Productos!E:E,U575,Productos!A:A))</f>
        <v/>
      </c>
      <c r="R575" s="4" t="str">
        <f t="array" ref="R575">IF(L575="","", max(1,SUMIF(I:I,XLOOKUP(U575,Productos!E:E,Productos!G:G,"",0,1),J:J)))</f>
        <v/>
      </c>
      <c r="S575" s="4" t="str">
        <f>IF(Q575="","",IF(SUMIFS(Compat_Vetado!D:D,Compat_Vetado!B:B,SUM(G:G),Compat_Vetado!C:C,Q575)=1,"SI",IF(OR(SUMIF(Cotizador!E:E,Q575,Cotizador!G:G)&gt;0,SUMIFS(Compat_Vetado!D:D,Compat_Vetado!B:B,SUM(G:G),Compat_Vetado!C:C,Q575)=-1),"NO","")))</f>
        <v/>
      </c>
      <c r="T575" s="4" t="str">
        <f t="shared" si="6"/>
        <v/>
      </c>
      <c r="U575" s="4" t="str">
        <f>IFERROR(__xludf.DUMMYFUNCTION("IF(P575="""","""",IFERROR(INDEX(filter(Productos!E:E,Productos!F:F=L575,Productos!H:H=N575),P575),IF(M575=SUM(D:D),""Finalizar"",""-"")))"),"")</f>
        <v/>
      </c>
      <c r="V575" s="4" t="str">
        <f>IFERROR(__xludf.DUMMYFUNCTION("IF(OR($U575="""",COUNTIF($I:$I,IFERROR(unique(filter(Prod_Prop!$H:$H,Prod_Prop!$G:$G=$U575,Prod_Prop!$E:$E=V$1)),""Check""))=0),"""",IFERROR(unique(filter(Prod_Prop!$H:$H,Prod_Prop!$G:$G=$U575,Prod_Prop!$E:$E=V$1)),""""))"),"")</f>
        <v/>
      </c>
      <c r="W575" s="4" t="str">
        <f>IF(V575="","",SUMIFS(Prod_Prop!$J:$J,Prod_Prop!$B:$B,$Q575,Prod_Prop!$H:$H,V575,Prod_Prop!$I:$I,W$1)*IF(V575="Peso",$R575,1))</f>
        <v/>
      </c>
      <c r="X575" s="4" t="str">
        <f>IF(V575="","",SUMIFS(Prod_Prop!$J:$J,Prod_Prop!$B:$B,$Q575,Prod_Prop!$H:$H,V575,Prod_Prop!$I:$I,X$1)*IF(V575="Peso",$R575,1))</f>
        <v/>
      </c>
      <c r="Y575" s="4" t="str">
        <f>IFERROR(__xludf.DUMMYFUNCTION("IF(OR($U575="""",COUNTIF($I:$I,IFERROR(unique(filter(Prod_Prop!$H:$H,Prod_Prop!$G:$G=$U575,Prod_Prop!$E:$E=Y$1)),""Check""))=0),"""",IFERROR(unique(filter(Prod_Prop!$H:$H,Prod_Prop!$G:$G=$U575,Prod_Prop!$E:$E=Y$1)),""""))"),"")</f>
        <v/>
      </c>
      <c r="Z575" s="4" t="str">
        <f>IF(Y575="","",SUMIFS(Prod_Prop!$J:$J,Prod_Prop!$B:$B,$Q575,Prod_Prop!$H:$H,Y575,Prod_Prop!$I:$I,Z$1)*IF(Y575="Peso",$R575,1))</f>
        <v/>
      </c>
      <c r="AA575" s="4" t="str">
        <f>IF(Y575="","",SUMIFS(Prod_Prop!$J:$J,Prod_Prop!$B:$B,$Q575,Prod_Prop!$H:$H,Y575,Prod_Prop!$I:$I,AA$1)*IF(Y575="Peso",$R575,1))</f>
        <v/>
      </c>
      <c r="AB575" s="4" t="str">
        <f>IFERROR(__xludf.DUMMYFUNCTION("IF(OR($U575="""",COUNTIF($I:$I,IFERROR(unique(filter(Prod_Prop!$H:$H,Prod_Prop!$G:$G=$U575,Prod_Prop!$E:$E=AB$1)),""Check""))=0),"""",IFERROR(unique(filter(Prod_Prop!$H:$H,Prod_Prop!$G:$G=$U575,Prod_Prop!$E:$E=AB$1)),""""))"),"")</f>
        <v/>
      </c>
      <c r="AC575" s="4" t="str">
        <f>IF(AB575="","",SUMIFS(Prod_Prop!$J:$J,Prod_Prop!$B:$B,$Q575,Prod_Prop!$H:$H,AB575,Prod_Prop!$I:$I,AC$1)*IF(AB575="Peso",$R575,1))</f>
        <v/>
      </c>
      <c r="AD575" s="4" t="str">
        <f>IF(AB575="","",SUMIFS(Prod_Prop!$J:$J,Prod_Prop!$B:$B,$Q575,Prod_Prop!$H:$H,AB575,Prod_Prop!$I:$I,AD$1)*IF(AB575="Peso",$R575,1))</f>
        <v/>
      </c>
    </row>
    <row r="576">
      <c r="A576" s="4" t="str">
        <f t="array" ref="A576">IF(COUNTIF(A$1:A575,Cotizador!F$2)=maxifs(Familias!E:E,Familias!D:D,Cotizador!F$2),IF(COUNTIF(A$1:A575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6" s="4" t="str">
        <f t="shared" si="1"/>
        <v/>
      </c>
      <c r="C576" s="4" t="str">
        <f t="array" ref="C576">IF(B576="","",IF(A576=XLOOKUP(A$2,Implementos!B:B,Implementos!C:C,"",0,1),B576+maxifs(B$1:B575,A$1:A575,A$2),B576))</f>
        <v/>
      </c>
      <c r="D576" s="4" t="str">
        <f>IF(B576="","", COUNTIFS(Productos!F:F,A576,Productos!H:H,B576)+IF(F576="SI",0,1))</f>
        <v/>
      </c>
      <c r="E576" s="4" t="str">
        <f>IFERROR(__xludf.DUMMYFUNCTION("IF($B576="""","""",INDEX(filter(Familias!F:F,Familias!$D:$D=$A576,Familias!$E:$E=$B576),1))"),"")</f>
        <v/>
      </c>
      <c r="F576" s="4" t="str">
        <f>IFERROR(__xludf.DUMMYFUNCTION("IF($B576="""","""",INDEX(filter(Familias!G:G,Familias!$D:$D=$A576,Familias!$E:$E=$B576),1))"),"")</f>
        <v/>
      </c>
      <c r="G576" s="4" t="str">
        <f t="array" ref="G576">IF(C576=1,XLOOKUP(C576,Cotizador!D:D,Cotizador!E:E,"",0,1),"")</f>
        <v/>
      </c>
      <c r="I576" s="4"/>
      <c r="J576" s="8" t="str">
        <f>IF(I576="","",SUMIF(Cotizador!I$1:V$1,I576,Cotizador!I$2:V$2))</f>
        <v/>
      </c>
      <c r="L576" s="4" t="str">
        <f t="array" ref="L576">IF(COUNTIF(L$1:L575,A$2)=SUMIF(A:A,A$2,D:D),IF(COUNTIF(L$1:L575,XLOOKUP(A$2,Implementos!B:B,Implementos!C:C,"",0,1))=SUMIF(A:A,XLOOKUP(A$2,Implementos!B:B,Implementos!C:C,"",0,1),D:D),"",XLOOKUP(A$2,Implementos!B:B,Implementos!C:C,"",0,1)),A$2)</f>
        <v/>
      </c>
      <c r="M576" s="4" t="str">
        <f t="shared" si="2"/>
        <v/>
      </c>
      <c r="N576" s="4" t="str">
        <f t="shared" si="3"/>
        <v/>
      </c>
      <c r="O576" s="4" t="str">
        <f t="shared" si="4"/>
        <v/>
      </c>
      <c r="P576" s="4" t="str">
        <f t="shared" si="5"/>
        <v/>
      </c>
      <c r="Q576" s="4" t="str">
        <f>IF(U576="","",SUMIF(Productos!E:E,U576,Productos!A:A))</f>
        <v/>
      </c>
      <c r="R576" s="4" t="str">
        <f t="array" ref="R576">IF(L576="","", max(1,SUMIF(I:I,XLOOKUP(U576,Productos!E:E,Productos!G:G,"",0,1),J:J)))</f>
        <v/>
      </c>
      <c r="S576" s="4" t="str">
        <f>IF(Q576="","",IF(SUMIFS(Compat_Vetado!D:D,Compat_Vetado!B:B,SUM(G:G),Compat_Vetado!C:C,Q576)=1,"SI",IF(OR(SUMIF(Cotizador!E:E,Q576,Cotizador!G:G)&gt;0,SUMIFS(Compat_Vetado!D:D,Compat_Vetado!B:B,SUM(G:G),Compat_Vetado!C:C,Q576)=-1),"NO","")))</f>
        <v/>
      </c>
      <c r="T576" s="4" t="str">
        <f t="shared" si="6"/>
        <v/>
      </c>
      <c r="U576" s="4" t="str">
        <f>IFERROR(__xludf.DUMMYFUNCTION("IF(P576="""","""",IFERROR(INDEX(filter(Productos!E:E,Productos!F:F=L576,Productos!H:H=N576),P576),IF(M576=SUM(D:D),""Finalizar"",""-"")))"),"")</f>
        <v/>
      </c>
      <c r="V576" s="4" t="str">
        <f>IFERROR(__xludf.DUMMYFUNCTION("IF(OR($U576="""",COUNTIF($I:$I,IFERROR(unique(filter(Prod_Prop!$H:$H,Prod_Prop!$G:$G=$U576,Prod_Prop!$E:$E=V$1)),""Check""))=0),"""",IFERROR(unique(filter(Prod_Prop!$H:$H,Prod_Prop!$G:$G=$U576,Prod_Prop!$E:$E=V$1)),""""))"),"")</f>
        <v/>
      </c>
      <c r="W576" s="4" t="str">
        <f>IF(V576="","",SUMIFS(Prod_Prop!$J:$J,Prod_Prop!$B:$B,$Q576,Prod_Prop!$H:$H,V576,Prod_Prop!$I:$I,W$1)*IF(V576="Peso",$R576,1))</f>
        <v/>
      </c>
      <c r="X576" s="4" t="str">
        <f>IF(V576="","",SUMIFS(Prod_Prop!$J:$J,Prod_Prop!$B:$B,$Q576,Prod_Prop!$H:$H,V576,Prod_Prop!$I:$I,X$1)*IF(V576="Peso",$R576,1))</f>
        <v/>
      </c>
      <c r="Y576" s="4" t="str">
        <f>IFERROR(__xludf.DUMMYFUNCTION("IF(OR($U576="""",COUNTIF($I:$I,IFERROR(unique(filter(Prod_Prop!$H:$H,Prod_Prop!$G:$G=$U576,Prod_Prop!$E:$E=Y$1)),""Check""))=0),"""",IFERROR(unique(filter(Prod_Prop!$H:$H,Prod_Prop!$G:$G=$U576,Prod_Prop!$E:$E=Y$1)),""""))"),"")</f>
        <v/>
      </c>
      <c r="Z576" s="4" t="str">
        <f>IF(Y576="","",SUMIFS(Prod_Prop!$J:$J,Prod_Prop!$B:$B,$Q576,Prod_Prop!$H:$H,Y576,Prod_Prop!$I:$I,Z$1)*IF(Y576="Peso",$R576,1))</f>
        <v/>
      </c>
      <c r="AA576" s="4" t="str">
        <f>IF(Y576="","",SUMIFS(Prod_Prop!$J:$J,Prod_Prop!$B:$B,$Q576,Prod_Prop!$H:$H,Y576,Prod_Prop!$I:$I,AA$1)*IF(Y576="Peso",$R576,1))</f>
        <v/>
      </c>
      <c r="AB576" s="4" t="str">
        <f>IFERROR(__xludf.DUMMYFUNCTION("IF(OR($U576="""",COUNTIF($I:$I,IFERROR(unique(filter(Prod_Prop!$H:$H,Prod_Prop!$G:$G=$U576,Prod_Prop!$E:$E=AB$1)),""Check""))=0),"""",IFERROR(unique(filter(Prod_Prop!$H:$H,Prod_Prop!$G:$G=$U576,Prod_Prop!$E:$E=AB$1)),""""))"),"")</f>
        <v/>
      </c>
      <c r="AC576" s="4" t="str">
        <f>IF(AB576="","",SUMIFS(Prod_Prop!$J:$J,Prod_Prop!$B:$B,$Q576,Prod_Prop!$H:$H,AB576,Prod_Prop!$I:$I,AC$1)*IF(AB576="Peso",$R576,1))</f>
        <v/>
      </c>
      <c r="AD576" s="4" t="str">
        <f>IF(AB576="","",SUMIFS(Prod_Prop!$J:$J,Prod_Prop!$B:$B,$Q576,Prod_Prop!$H:$H,AB576,Prod_Prop!$I:$I,AD$1)*IF(AB576="Peso",$R576,1))</f>
        <v/>
      </c>
    </row>
    <row r="577">
      <c r="A577" s="4" t="str">
        <f t="array" ref="A577">IF(COUNTIF(A$1:A576,Cotizador!F$2)=maxifs(Familias!E:E,Familias!D:D,Cotizador!F$2),IF(COUNTIF(A$1:A576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7" s="4" t="str">
        <f t="shared" si="1"/>
        <v/>
      </c>
      <c r="C577" s="4" t="str">
        <f t="array" ref="C577">IF(B577="","",IF(A577=XLOOKUP(A$2,Implementos!B:B,Implementos!C:C,"",0,1),B577+maxifs(B$1:B576,A$1:A576,A$2),B577))</f>
        <v/>
      </c>
      <c r="D577" s="4" t="str">
        <f>IF(B577="","", COUNTIFS(Productos!F:F,A577,Productos!H:H,B577)+IF(F577="SI",0,1))</f>
        <v/>
      </c>
      <c r="E577" s="4" t="str">
        <f>IFERROR(__xludf.DUMMYFUNCTION("IF($B577="""","""",INDEX(filter(Familias!F:F,Familias!$D:$D=$A577,Familias!$E:$E=$B577),1))"),"")</f>
        <v/>
      </c>
      <c r="F577" s="4" t="str">
        <f>IFERROR(__xludf.DUMMYFUNCTION("IF($B577="""","""",INDEX(filter(Familias!G:G,Familias!$D:$D=$A577,Familias!$E:$E=$B577),1))"),"")</f>
        <v/>
      </c>
      <c r="G577" s="4" t="str">
        <f t="array" ref="G577">IF(C577=1,XLOOKUP(C577,Cotizador!D:D,Cotizador!E:E,"",0,1),"")</f>
        <v/>
      </c>
      <c r="I577" s="4"/>
      <c r="J577" s="8" t="str">
        <f>IF(I577="","",SUMIF(Cotizador!I$1:V$1,I577,Cotizador!I$2:V$2))</f>
        <v/>
      </c>
      <c r="L577" s="4" t="str">
        <f t="array" ref="L577">IF(COUNTIF(L$1:L576,A$2)=SUMIF(A:A,A$2,D:D),IF(COUNTIF(L$1:L576,XLOOKUP(A$2,Implementos!B:B,Implementos!C:C,"",0,1))=SUMIF(A:A,XLOOKUP(A$2,Implementos!B:B,Implementos!C:C,"",0,1),D:D),"",XLOOKUP(A$2,Implementos!B:B,Implementos!C:C,"",0,1)),A$2)</f>
        <v/>
      </c>
      <c r="M577" s="4" t="str">
        <f t="shared" si="2"/>
        <v/>
      </c>
      <c r="N577" s="4" t="str">
        <f t="shared" si="3"/>
        <v/>
      </c>
      <c r="O577" s="4" t="str">
        <f t="shared" si="4"/>
        <v/>
      </c>
      <c r="P577" s="4" t="str">
        <f t="shared" si="5"/>
        <v/>
      </c>
      <c r="Q577" s="4" t="str">
        <f>IF(U577="","",SUMIF(Productos!E:E,U577,Productos!A:A))</f>
        <v/>
      </c>
      <c r="R577" s="4" t="str">
        <f t="array" ref="R577">IF(L577="","", max(1,SUMIF(I:I,XLOOKUP(U577,Productos!E:E,Productos!G:G,"",0,1),J:J)))</f>
        <v/>
      </c>
      <c r="S577" s="4" t="str">
        <f>IF(Q577="","",IF(SUMIFS(Compat_Vetado!D:D,Compat_Vetado!B:B,SUM(G:G),Compat_Vetado!C:C,Q577)=1,"SI",IF(OR(SUMIF(Cotizador!E:E,Q577,Cotizador!G:G)&gt;0,SUMIFS(Compat_Vetado!D:D,Compat_Vetado!B:B,SUM(G:G),Compat_Vetado!C:C,Q577)=-1),"NO","")))</f>
        <v/>
      </c>
      <c r="T577" s="4" t="str">
        <f t="shared" si="6"/>
        <v/>
      </c>
      <c r="U577" s="4" t="str">
        <f>IFERROR(__xludf.DUMMYFUNCTION("IF(P577="""","""",IFERROR(INDEX(filter(Productos!E:E,Productos!F:F=L577,Productos!H:H=N577),P577),IF(M577=SUM(D:D),""Finalizar"",""-"")))"),"")</f>
        <v/>
      </c>
      <c r="V577" s="4" t="str">
        <f>IFERROR(__xludf.DUMMYFUNCTION("IF(OR($U577="""",COUNTIF($I:$I,IFERROR(unique(filter(Prod_Prop!$H:$H,Prod_Prop!$G:$G=$U577,Prod_Prop!$E:$E=V$1)),""Check""))=0),"""",IFERROR(unique(filter(Prod_Prop!$H:$H,Prod_Prop!$G:$G=$U577,Prod_Prop!$E:$E=V$1)),""""))"),"")</f>
        <v/>
      </c>
      <c r="W577" s="4" t="str">
        <f>IF(V577="","",SUMIFS(Prod_Prop!$J:$J,Prod_Prop!$B:$B,$Q577,Prod_Prop!$H:$H,V577,Prod_Prop!$I:$I,W$1)*IF(V577="Peso",$R577,1))</f>
        <v/>
      </c>
      <c r="X577" s="4" t="str">
        <f>IF(V577="","",SUMIFS(Prod_Prop!$J:$J,Prod_Prop!$B:$B,$Q577,Prod_Prop!$H:$H,V577,Prod_Prop!$I:$I,X$1)*IF(V577="Peso",$R577,1))</f>
        <v/>
      </c>
      <c r="Y577" s="4" t="str">
        <f>IFERROR(__xludf.DUMMYFUNCTION("IF(OR($U577="""",COUNTIF($I:$I,IFERROR(unique(filter(Prod_Prop!$H:$H,Prod_Prop!$G:$G=$U577,Prod_Prop!$E:$E=Y$1)),""Check""))=0),"""",IFERROR(unique(filter(Prod_Prop!$H:$H,Prod_Prop!$G:$G=$U577,Prod_Prop!$E:$E=Y$1)),""""))"),"")</f>
        <v/>
      </c>
      <c r="Z577" s="4" t="str">
        <f>IF(Y577="","",SUMIFS(Prod_Prop!$J:$J,Prod_Prop!$B:$B,$Q577,Prod_Prop!$H:$H,Y577,Prod_Prop!$I:$I,Z$1)*IF(Y577="Peso",$R577,1))</f>
        <v/>
      </c>
      <c r="AA577" s="4" t="str">
        <f>IF(Y577="","",SUMIFS(Prod_Prop!$J:$J,Prod_Prop!$B:$B,$Q577,Prod_Prop!$H:$H,Y577,Prod_Prop!$I:$I,AA$1)*IF(Y577="Peso",$R577,1))</f>
        <v/>
      </c>
      <c r="AB577" s="4" t="str">
        <f>IFERROR(__xludf.DUMMYFUNCTION("IF(OR($U577="""",COUNTIF($I:$I,IFERROR(unique(filter(Prod_Prop!$H:$H,Prod_Prop!$G:$G=$U577,Prod_Prop!$E:$E=AB$1)),""Check""))=0),"""",IFERROR(unique(filter(Prod_Prop!$H:$H,Prod_Prop!$G:$G=$U577,Prod_Prop!$E:$E=AB$1)),""""))"),"")</f>
        <v/>
      </c>
      <c r="AC577" s="4" t="str">
        <f>IF(AB577="","",SUMIFS(Prod_Prop!$J:$J,Prod_Prop!$B:$B,$Q577,Prod_Prop!$H:$H,AB577,Prod_Prop!$I:$I,AC$1)*IF(AB577="Peso",$R577,1))</f>
        <v/>
      </c>
      <c r="AD577" s="4" t="str">
        <f>IF(AB577="","",SUMIFS(Prod_Prop!$J:$J,Prod_Prop!$B:$B,$Q577,Prod_Prop!$H:$H,AB577,Prod_Prop!$I:$I,AD$1)*IF(AB577="Peso",$R577,1))</f>
        <v/>
      </c>
    </row>
    <row r="578">
      <c r="A578" s="4" t="str">
        <f t="array" ref="A578">IF(COUNTIF(A$1:A577,Cotizador!F$2)=maxifs(Familias!E:E,Familias!D:D,Cotizador!F$2),IF(COUNTIF(A$1:A577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8" s="4" t="str">
        <f t="shared" si="1"/>
        <v/>
      </c>
      <c r="C578" s="4" t="str">
        <f t="array" ref="C578">IF(B578="","",IF(A578=XLOOKUP(A$2,Implementos!B:B,Implementos!C:C,"",0,1),B578+maxifs(B$1:B577,A$1:A577,A$2),B578))</f>
        <v/>
      </c>
      <c r="D578" s="4" t="str">
        <f>IF(B578="","", COUNTIFS(Productos!F:F,A578,Productos!H:H,B578)+IF(F578="SI",0,1))</f>
        <v/>
      </c>
      <c r="E578" s="4" t="str">
        <f>IFERROR(__xludf.DUMMYFUNCTION("IF($B578="""","""",INDEX(filter(Familias!F:F,Familias!$D:$D=$A578,Familias!$E:$E=$B578),1))"),"")</f>
        <v/>
      </c>
      <c r="F578" s="4" t="str">
        <f>IFERROR(__xludf.DUMMYFUNCTION("IF($B578="""","""",INDEX(filter(Familias!G:G,Familias!$D:$D=$A578,Familias!$E:$E=$B578),1))"),"")</f>
        <v/>
      </c>
      <c r="G578" s="4" t="str">
        <f t="array" ref="G578">IF(C578=1,XLOOKUP(C578,Cotizador!D:D,Cotizador!E:E,"",0,1),"")</f>
        <v/>
      </c>
      <c r="I578" s="4"/>
      <c r="J578" s="8" t="str">
        <f>IF(I578="","",SUMIF(Cotizador!I$1:V$1,I578,Cotizador!I$2:V$2))</f>
        <v/>
      </c>
      <c r="L578" s="4" t="str">
        <f t="array" ref="L578">IF(COUNTIF(L$1:L577,A$2)=SUMIF(A:A,A$2,D:D),IF(COUNTIF(L$1:L577,XLOOKUP(A$2,Implementos!B:B,Implementos!C:C,"",0,1))=SUMIF(A:A,XLOOKUP(A$2,Implementos!B:B,Implementos!C:C,"",0,1),D:D),"",XLOOKUP(A$2,Implementos!B:B,Implementos!C:C,"",0,1)),A$2)</f>
        <v/>
      </c>
      <c r="M578" s="4" t="str">
        <f t="shared" si="2"/>
        <v/>
      </c>
      <c r="N578" s="4" t="str">
        <f t="shared" si="3"/>
        <v/>
      </c>
      <c r="O578" s="4" t="str">
        <f t="shared" si="4"/>
        <v/>
      </c>
      <c r="P578" s="4" t="str">
        <f t="shared" si="5"/>
        <v/>
      </c>
      <c r="Q578" s="4" t="str">
        <f>IF(U578="","",SUMIF(Productos!E:E,U578,Productos!A:A))</f>
        <v/>
      </c>
      <c r="R578" s="4" t="str">
        <f t="array" ref="R578">IF(L578="","", max(1,SUMIF(I:I,XLOOKUP(U578,Productos!E:E,Productos!G:G,"",0,1),J:J)))</f>
        <v/>
      </c>
      <c r="S578" s="4" t="str">
        <f>IF(Q578="","",IF(SUMIFS(Compat_Vetado!D:D,Compat_Vetado!B:B,SUM(G:G),Compat_Vetado!C:C,Q578)=1,"SI",IF(OR(SUMIF(Cotizador!E:E,Q578,Cotizador!G:G)&gt;0,SUMIFS(Compat_Vetado!D:D,Compat_Vetado!B:B,SUM(G:G),Compat_Vetado!C:C,Q578)=-1),"NO","")))</f>
        <v/>
      </c>
      <c r="T578" s="4" t="str">
        <f t="shared" si="6"/>
        <v/>
      </c>
      <c r="U578" s="4" t="str">
        <f>IFERROR(__xludf.DUMMYFUNCTION("IF(P578="""","""",IFERROR(INDEX(filter(Productos!E:E,Productos!F:F=L578,Productos!H:H=N578),P578),IF(M578=SUM(D:D),""Finalizar"",""-"")))"),"")</f>
        <v/>
      </c>
      <c r="V578" s="4" t="str">
        <f>IFERROR(__xludf.DUMMYFUNCTION("IF(OR($U578="""",COUNTIF($I:$I,IFERROR(unique(filter(Prod_Prop!$H:$H,Prod_Prop!$G:$G=$U578,Prod_Prop!$E:$E=V$1)),""Check""))=0),"""",IFERROR(unique(filter(Prod_Prop!$H:$H,Prod_Prop!$G:$G=$U578,Prod_Prop!$E:$E=V$1)),""""))"),"")</f>
        <v/>
      </c>
      <c r="W578" s="4" t="str">
        <f>IF(V578="","",SUMIFS(Prod_Prop!$J:$J,Prod_Prop!$B:$B,$Q578,Prod_Prop!$H:$H,V578,Prod_Prop!$I:$I,W$1)*IF(V578="Peso",$R578,1))</f>
        <v/>
      </c>
      <c r="X578" s="4" t="str">
        <f>IF(V578="","",SUMIFS(Prod_Prop!$J:$J,Prod_Prop!$B:$B,$Q578,Prod_Prop!$H:$H,V578,Prod_Prop!$I:$I,X$1)*IF(V578="Peso",$R578,1))</f>
        <v/>
      </c>
      <c r="Y578" s="4" t="str">
        <f>IFERROR(__xludf.DUMMYFUNCTION("IF(OR($U578="""",COUNTIF($I:$I,IFERROR(unique(filter(Prod_Prop!$H:$H,Prod_Prop!$G:$G=$U578,Prod_Prop!$E:$E=Y$1)),""Check""))=0),"""",IFERROR(unique(filter(Prod_Prop!$H:$H,Prod_Prop!$G:$G=$U578,Prod_Prop!$E:$E=Y$1)),""""))"),"")</f>
        <v/>
      </c>
      <c r="Z578" s="4" t="str">
        <f>IF(Y578="","",SUMIFS(Prod_Prop!$J:$J,Prod_Prop!$B:$B,$Q578,Prod_Prop!$H:$H,Y578,Prod_Prop!$I:$I,Z$1)*IF(Y578="Peso",$R578,1))</f>
        <v/>
      </c>
      <c r="AA578" s="4" t="str">
        <f>IF(Y578="","",SUMIFS(Prod_Prop!$J:$J,Prod_Prop!$B:$B,$Q578,Prod_Prop!$H:$H,Y578,Prod_Prop!$I:$I,AA$1)*IF(Y578="Peso",$R578,1))</f>
        <v/>
      </c>
      <c r="AB578" s="4" t="str">
        <f>IFERROR(__xludf.DUMMYFUNCTION("IF(OR($U578="""",COUNTIF($I:$I,IFERROR(unique(filter(Prod_Prop!$H:$H,Prod_Prop!$G:$G=$U578,Prod_Prop!$E:$E=AB$1)),""Check""))=0),"""",IFERROR(unique(filter(Prod_Prop!$H:$H,Prod_Prop!$G:$G=$U578,Prod_Prop!$E:$E=AB$1)),""""))"),"")</f>
        <v/>
      </c>
      <c r="AC578" s="4" t="str">
        <f>IF(AB578="","",SUMIFS(Prod_Prop!$J:$J,Prod_Prop!$B:$B,$Q578,Prod_Prop!$H:$H,AB578,Prod_Prop!$I:$I,AC$1)*IF(AB578="Peso",$R578,1))</f>
        <v/>
      </c>
      <c r="AD578" s="4" t="str">
        <f>IF(AB578="","",SUMIFS(Prod_Prop!$J:$J,Prod_Prop!$B:$B,$Q578,Prod_Prop!$H:$H,AB578,Prod_Prop!$I:$I,AD$1)*IF(AB578="Peso",$R578,1))</f>
        <v/>
      </c>
    </row>
    <row r="579">
      <c r="A579" s="4" t="str">
        <f t="array" ref="A579">IF(COUNTIF(A$1:A578,Cotizador!F$2)=maxifs(Familias!E:E,Familias!D:D,Cotizador!F$2),IF(COUNTIF(A$1:A578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79" s="4" t="str">
        <f t="shared" si="1"/>
        <v/>
      </c>
      <c r="C579" s="4" t="str">
        <f t="array" ref="C579">IF(B579="","",IF(A579=XLOOKUP(A$2,Implementos!B:B,Implementos!C:C,"",0,1),B579+maxifs(B$1:B578,A$1:A578,A$2),B579))</f>
        <v/>
      </c>
      <c r="D579" s="4" t="str">
        <f>IF(B579="","", COUNTIFS(Productos!F:F,A579,Productos!H:H,B579)+IF(F579="SI",0,1))</f>
        <v/>
      </c>
      <c r="E579" s="4" t="str">
        <f>IFERROR(__xludf.DUMMYFUNCTION("IF($B579="""","""",INDEX(filter(Familias!F:F,Familias!$D:$D=$A579,Familias!$E:$E=$B579),1))"),"")</f>
        <v/>
      </c>
      <c r="F579" s="4" t="str">
        <f>IFERROR(__xludf.DUMMYFUNCTION("IF($B579="""","""",INDEX(filter(Familias!G:G,Familias!$D:$D=$A579,Familias!$E:$E=$B579),1))"),"")</f>
        <v/>
      </c>
      <c r="G579" s="4" t="str">
        <f t="array" ref="G579">IF(C579=1,XLOOKUP(C579,Cotizador!D:D,Cotizador!E:E,"",0,1),"")</f>
        <v/>
      </c>
      <c r="I579" s="4"/>
      <c r="J579" s="8" t="str">
        <f>IF(I579="","",SUMIF(Cotizador!I$1:V$1,I579,Cotizador!I$2:V$2))</f>
        <v/>
      </c>
      <c r="L579" s="4" t="str">
        <f t="array" ref="L579">IF(COUNTIF(L$1:L578,A$2)=SUMIF(A:A,A$2,D:D),IF(COUNTIF(L$1:L578,XLOOKUP(A$2,Implementos!B:B,Implementos!C:C,"",0,1))=SUMIF(A:A,XLOOKUP(A$2,Implementos!B:B,Implementos!C:C,"",0,1),D:D),"",XLOOKUP(A$2,Implementos!B:B,Implementos!C:C,"",0,1)),A$2)</f>
        <v/>
      </c>
      <c r="M579" s="4" t="str">
        <f t="shared" si="2"/>
        <v/>
      </c>
      <c r="N579" s="4" t="str">
        <f t="shared" si="3"/>
        <v/>
      </c>
      <c r="O579" s="4" t="str">
        <f t="shared" si="4"/>
        <v/>
      </c>
      <c r="P579" s="4" t="str">
        <f t="shared" si="5"/>
        <v/>
      </c>
      <c r="Q579" s="4" t="str">
        <f>IF(U579="","",SUMIF(Productos!E:E,U579,Productos!A:A))</f>
        <v/>
      </c>
      <c r="R579" s="4" t="str">
        <f t="array" ref="R579">IF(L579="","", max(1,SUMIF(I:I,XLOOKUP(U579,Productos!E:E,Productos!G:G,"",0,1),J:J)))</f>
        <v/>
      </c>
      <c r="S579" s="4" t="str">
        <f>IF(Q579="","",IF(SUMIFS(Compat_Vetado!D:D,Compat_Vetado!B:B,SUM(G:G),Compat_Vetado!C:C,Q579)=1,"SI",IF(OR(SUMIF(Cotizador!E:E,Q579,Cotizador!G:G)&gt;0,SUMIFS(Compat_Vetado!D:D,Compat_Vetado!B:B,SUM(G:G),Compat_Vetado!C:C,Q579)=-1),"NO","")))</f>
        <v/>
      </c>
      <c r="T579" s="4" t="str">
        <f t="shared" si="6"/>
        <v/>
      </c>
      <c r="U579" s="4" t="str">
        <f>IFERROR(__xludf.DUMMYFUNCTION("IF(P579="""","""",IFERROR(INDEX(filter(Productos!E:E,Productos!F:F=L579,Productos!H:H=N579),P579),IF(M579=SUM(D:D),""Finalizar"",""-"")))"),"")</f>
        <v/>
      </c>
      <c r="V579" s="4" t="str">
        <f>IFERROR(__xludf.DUMMYFUNCTION("IF(OR($U579="""",COUNTIF($I:$I,IFERROR(unique(filter(Prod_Prop!$H:$H,Prod_Prop!$G:$G=$U579,Prod_Prop!$E:$E=V$1)),""Check""))=0),"""",IFERROR(unique(filter(Prod_Prop!$H:$H,Prod_Prop!$G:$G=$U579,Prod_Prop!$E:$E=V$1)),""""))"),"")</f>
        <v/>
      </c>
      <c r="W579" s="4" t="str">
        <f>IF(V579="","",SUMIFS(Prod_Prop!$J:$J,Prod_Prop!$B:$B,$Q579,Prod_Prop!$H:$H,V579,Prod_Prop!$I:$I,W$1)*IF(V579="Peso",$R579,1))</f>
        <v/>
      </c>
      <c r="X579" s="4" t="str">
        <f>IF(V579="","",SUMIFS(Prod_Prop!$J:$J,Prod_Prop!$B:$B,$Q579,Prod_Prop!$H:$H,V579,Prod_Prop!$I:$I,X$1)*IF(V579="Peso",$R579,1))</f>
        <v/>
      </c>
      <c r="Y579" s="4" t="str">
        <f>IFERROR(__xludf.DUMMYFUNCTION("IF(OR($U579="""",COUNTIF($I:$I,IFERROR(unique(filter(Prod_Prop!$H:$H,Prod_Prop!$G:$G=$U579,Prod_Prop!$E:$E=Y$1)),""Check""))=0),"""",IFERROR(unique(filter(Prod_Prop!$H:$H,Prod_Prop!$G:$G=$U579,Prod_Prop!$E:$E=Y$1)),""""))"),"")</f>
        <v/>
      </c>
      <c r="Z579" s="4" t="str">
        <f>IF(Y579="","",SUMIFS(Prod_Prop!$J:$J,Prod_Prop!$B:$B,$Q579,Prod_Prop!$H:$H,Y579,Prod_Prop!$I:$I,Z$1)*IF(Y579="Peso",$R579,1))</f>
        <v/>
      </c>
      <c r="AA579" s="4" t="str">
        <f>IF(Y579="","",SUMIFS(Prod_Prop!$J:$J,Prod_Prop!$B:$B,$Q579,Prod_Prop!$H:$H,Y579,Prod_Prop!$I:$I,AA$1)*IF(Y579="Peso",$R579,1))</f>
        <v/>
      </c>
      <c r="AB579" s="4" t="str">
        <f>IFERROR(__xludf.DUMMYFUNCTION("IF(OR($U579="""",COUNTIF($I:$I,IFERROR(unique(filter(Prod_Prop!$H:$H,Prod_Prop!$G:$G=$U579,Prod_Prop!$E:$E=AB$1)),""Check""))=0),"""",IFERROR(unique(filter(Prod_Prop!$H:$H,Prod_Prop!$G:$G=$U579,Prod_Prop!$E:$E=AB$1)),""""))"),"")</f>
        <v/>
      </c>
      <c r="AC579" s="4" t="str">
        <f>IF(AB579="","",SUMIFS(Prod_Prop!$J:$J,Prod_Prop!$B:$B,$Q579,Prod_Prop!$H:$H,AB579,Prod_Prop!$I:$I,AC$1)*IF(AB579="Peso",$R579,1))</f>
        <v/>
      </c>
      <c r="AD579" s="4" t="str">
        <f>IF(AB579="","",SUMIFS(Prod_Prop!$J:$J,Prod_Prop!$B:$B,$Q579,Prod_Prop!$H:$H,AB579,Prod_Prop!$I:$I,AD$1)*IF(AB579="Peso",$R579,1))</f>
        <v/>
      </c>
    </row>
    <row r="580">
      <c r="A580" s="4" t="str">
        <f t="array" ref="A580">IF(COUNTIF(A$1:A579,Cotizador!F$2)=maxifs(Familias!E:E,Familias!D:D,Cotizador!F$2),IF(COUNTIF(A$1:A579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0" s="4" t="str">
        <f t="shared" si="1"/>
        <v/>
      </c>
      <c r="C580" s="4" t="str">
        <f t="array" ref="C580">IF(B580="","",IF(A580=XLOOKUP(A$2,Implementos!B:B,Implementos!C:C,"",0,1),B580+maxifs(B$1:B579,A$1:A579,A$2),B580))</f>
        <v/>
      </c>
      <c r="D580" s="4" t="str">
        <f>IF(B580="","", COUNTIFS(Productos!F:F,A580,Productos!H:H,B580)+IF(F580="SI",0,1))</f>
        <v/>
      </c>
      <c r="E580" s="4" t="str">
        <f>IFERROR(__xludf.DUMMYFUNCTION("IF($B580="""","""",INDEX(filter(Familias!F:F,Familias!$D:$D=$A580,Familias!$E:$E=$B580),1))"),"")</f>
        <v/>
      </c>
      <c r="F580" s="4" t="str">
        <f>IFERROR(__xludf.DUMMYFUNCTION("IF($B580="""","""",INDEX(filter(Familias!G:G,Familias!$D:$D=$A580,Familias!$E:$E=$B580),1))"),"")</f>
        <v/>
      </c>
      <c r="G580" s="4" t="str">
        <f t="array" ref="G580">IF(C580=1,XLOOKUP(C580,Cotizador!D:D,Cotizador!E:E,"",0,1),"")</f>
        <v/>
      </c>
      <c r="I580" s="4"/>
      <c r="J580" s="8" t="str">
        <f>IF(I580="","",SUMIF(Cotizador!I$1:V$1,I580,Cotizador!I$2:V$2))</f>
        <v/>
      </c>
      <c r="L580" s="4" t="str">
        <f t="array" ref="L580">IF(COUNTIF(L$1:L579,A$2)=SUMIF(A:A,A$2,D:D),IF(COUNTIF(L$1:L579,XLOOKUP(A$2,Implementos!B:B,Implementos!C:C,"",0,1))=SUMIF(A:A,XLOOKUP(A$2,Implementos!B:B,Implementos!C:C,"",0,1),D:D),"",XLOOKUP(A$2,Implementos!B:B,Implementos!C:C,"",0,1)),A$2)</f>
        <v/>
      </c>
      <c r="M580" s="4" t="str">
        <f t="shared" si="2"/>
        <v/>
      </c>
      <c r="N580" s="4" t="str">
        <f t="shared" si="3"/>
        <v/>
      </c>
      <c r="O580" s="4" t="str">
        <f t="shared" si="4"/>
        <v/>
      </c>
      <c r="P580" s="4" t="str">
        <f t="shared" si="5"/>
        <v/>
      </c>
      <c r="Q580" s="4" t="str">
        <f>IF(U580="","",SUMIF(Productos!E:E,U580,Productos!A:A))</f>
        <v/>
      </c>
      <c r="R580" s="4" t="str">
        <f t="array" ref="R580">IF(L580="","", max(1,SUMIF(I:I,XLOOKUP(U580,Productos!E:E,Productos!G:G,"",0,1),J:J)))</f>
        <v/>
      </c>
      <c r="S580" s="4" t="str">
        <f>IF(Q580="","",IF(SUMIFS(Compat_Vetado!D:D,Compat_Vetado!B:B,SUM(G:G),Compat_Vetado!C:C,Q580)=1,"SI",IF(OR(SUMIF(Cotizador!E:E,Q580,Cotizador!G:G)&gt;0,SUMIFS(Compat_Vetado!D:D,Compat_Vetado!B:B,SUM(G:G),Compat_Vetado!C:C,Q580)=-1),"NO","")))</f>
        <v/>
      </c>
      <c r="T580" s="4" t="str">
        <f t="shared" si="6"/>
        <v/>
      </c>
      <c r="U580" s="4" t="str">
        <f>IFERROR(__xludf.DUMMYFUNCTION("IF(P580="""","""",IFERROR(INDEX(filter(Productos!E:E,Productos!F:F=L580,Productos!H:H=N580),P580),IF(M580=SUM(D:D),""Finalizar"",""-"")))"),"")</f>
        <v/>
      </c>
      <c r="V580" s="4" t="str">
        <f>IFERROR(__xludf.DUMMYFUNCTION("IF(OR($U580="""",COUNTIF($I:$I,IFERROR(unique(filter(Prod_Prop!$H:$H,Prod_Prop!$G:$G=$U580,Prod_Prop!$E:$E=V$1)),""Check""))=0),"""",IFERROR(unique(filter(Prod_Prop!$H:$H,Prod_Prop!$G:$G=$U580,Prod_Prop!$E:$E=V$1)),""""))"),"")</f>
        <v/>
      </c>
      <c r="W580" s="4" t="str">
        <f>IF(V580="","",SUMIFS(Prod_Prop!$J:$J,Prod_Prop!$B:$B,$Q580,Prod_Prop!$H:$H,V580,Prod_Prop!$I:$I,W$1)*IF(V580="Peso",$R580,1))</f>
        <v/>
      </c>
      <c r="X580" s="4" t="str">
        <f>IF(V580="","",SUMIFS(Prod_Prop!$J:$J,Prod_Prop!$B:$B,$Q580,Prod_Prop!$H:$H,V580,Prod_Prop!$I:$I,X$1)*IF(V580="Peso",$R580,1))</f>
        <v/>
      </c>
      <c r="Y580" s="4" t="str">
        <f>IFERROR(__xludf.DUMMYFUNCTION("IF(OR($U580="""",COUNTIF($I:$I,IFERROR(unique(filter(Prod_Prop!$H:$H,Prod_Prop!$G:$G=$U580,Prod_Prop!$E:$E=Y$1)),""Check""))=0),"""",IFERROR(unique(filter(Prod_Prop!$H:$H,Prod_Prop!$G:$G=$U580,Prod_Prop!$E:$E=Y$1)),""""))"),"")</f>
        <v/>
      </c>
      <c r="Z580" s="4" t="str">
        <f>IF(Y580="","",SUMIFS(Prod_Prop!$J:$J,Prod_Prop!$B:$B,$Q580,Prod_Prop!$H:$H,Y580,Prod_Prop!$I:$I,Z$1)*IF(Y580="Peso",$R580,1))</f>
        <v/>
      </c>
      <c r="AA580" s="4" t="str">
        <f>IF(Y580="","",SUMIFS(Prod_Prop!$J:$J,Prod_Prop!$B:$B,$Q580,Prod_Prop!$H:$H,Y580,Prod_Prop!$I:$I,AA$1)*IF(Y580="Peso",$R580,1))</f>
        <v/>
      </c>
      <c r="AB580" s="4" t="str">
        <f>IFERROR(__xludf.DUMMYFUNCTION("IF(OR($U580="""",COUNTIF($I:$I,IFERROR(unique(filter(Prod_Prop!$H:$H,Prod_Prop!$G:$G=$U580,Prod_Prop!$E:$E=AB$1)),""Check""))=0),"""",IFERROR(unique(filter(Prod_Prop!$H:$H,Prod_Prop!$G:$G=$U580,Prod_Prop!$E:$E=AB$1)),""""))"),"")</f>
        <v/>
      </c>
      <c r="AC580" s="4" t="str">
        <f>IF(AB580="","",SUMIFS(Prod_Prop!$J:$J,Prod_Prop!$B:$B,$Q580,Prod_Prop!$H:$H,AB580,Prod_Prop!$I:$I,AC$1)*IF(AB580="Peso",$R580,1))</f>
        <v/>
      </c>
      <c r="AD580" s="4" t="str">
        <f>IF(AB580="","",SUMIFS(Prod_Prop!$J:$J,Prod_Prop!$B:$B,$Q580,Prod_Prop!$H:$H,AB580,Prod_Prop!$I:$I,AD$1)*IF(AB580="Peso",$R580,1))</f>
        <v/>
      </c>
    </row>
    <row r="581">
      <c r="A581" s="4" t="str">
        <f t="array" ref="A581">IF(COUNTIF(A$1:A580,Cotizador!F$2)=maxifs(Familias!E:E,Familias!D:D,Cotizador!F$2),IF(COUNTIF(A$1:A580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1" s="4" t="str">
        <f t="shared" si="1"/>
        <v/>
      </c>
      <c r="C581" s="4" t="str">
        <f t="array" ref="C581">IF(B581="","",IF(A581=XLOOKUP(A$2,Implementos!B:B,Implementos!C:C,"",0,1),B581+maxifs(B$1:B580,A$1:A580,A$2),B581))</f>
        <v/>
      </c>
      <c r="D581" s="4" t="str">
        <f>IF(B581="","", COUNTIFS(Productos!F:F,A581,Productos!H:H,B581)+IF(F581="SI",0,1))</f>
        <v/>
      </c>
      <c r="E581" s="4" t="str">
        <f>IFERROR(__xludf.DUMMYFUNCTION("IF($B581="""","""",INDEX(filter(Familias!F:F,Familias!$D:$D=$A581,Familias!$E:$E=$B581),1))"),"")</f>
        <v/>
      </c>
      <c r="F581" s="4" t="str">
        <f>IFERROR(__xludf.DUMMYFUNCTION("IF($B581="""","""",INDEX(filter(Familias!G:G,Familias!$D:$D=$A581,Familias!$E:$E=$B581),1))"),"")</f>
        <v/>
      </c>
      <c r="G581" s="4" t="str">
        <f t="array" ref="G581">IF(C581=1,XLOOKUP(C581,Cotizador!D:D,Cotizador!E:E,"",0,1),"")</f>
        <v/>
      </c>
      <c r="I581" s="4"/>
      <c r="J581" s="8" t="str">
        <f>IF(I581="","",SUMIF(Cotizador!I$1:V$1,I581,Cotizador!I$2:V$2))</f>
        <v/>
      </c>
      <c r="L581" s="4" t="str">
        <f t="array" ref="L581">IF(COUNTIF(L$1:L580,A$2)=SUMIF(A:A,A$2,D:D),IF(COUNTIF(L$1:L580,XLOOKUP(A$2,Implementos!B:B,Implementos!C:C,"",0,1))=SUMIF(A:A,XLOOKUP(A$2,Implementos!B:B,Implementos!C:C,"",0,1),D:D),"",XLOOKUP(A$2,Implementos!B:B,Implementos!C:C,"",0,1)),A$2)</f>
        <v/>
      </c>
      <c r="M581" s="4" t="str">
        <f t="shared" si="2"/>
        <v/>
      </c>
      <c r="N581" s="4" t="str">
        <f t="shared" si="3"/>
        <v/>
      </c>
      <c r="O581" s="4" t="str">
        <f t="shared" si="4"/>
        <v/>
      </c>
      <c r="P581" s="4" t="str">
        <f t="shared" si="5"/>
        <v/>
      </c>
      <c r="Q581" s="4" t="str">
        <f>IF(U581="","",SUMIF(Productos!E:E,U581,Productos!A:A))</f>
        <v/>
      </c>
      <c r="R581" s="4" t="str">
        <f t="array" ref="R581">IF(L581="","", max(1,SUMIF(I:I,XLOOKUP(U581,Productos!E:E,Productos!G:G,"",0,1),J:J)))</f>
        <v/>
      </c>
      <c r="S581" s="4" t="str">
        <f>IF(Q581="","",IF(SUMIFS(Compat_Vetado!D:D,Compat_Vetado!B:B,SUM(G:G),Compat_Vetado!C:C,Q581)=1,"SI",IF(OR(SUMIF(Cotizador!E:E,Q581,Cotizador!G:G)&gt;0,SUMIFS(Compat_Vetado!D:D,Compat_Vetado!B:B,SUM(G:G),Compat_Vetado!C:C,Q581)=-1),"NO","")))</f>
        <v/>
      </c>
      <c r="T581" s="4" t="str">
        <f t="shared" si="6"/>
        <v/>
      </c>
      <c r="U581" s="4" t="str">
        <f>IFERROR(__xludf.DUMMYFUNCTION("IF(P581="""","""",IFERROR(INDEX(filter(Productos!E:E,Productos!F:F=L581,Productos!H:H=N581),P581),IF(M581=SUM(D:D),""Finalizar"",""-"")))"),"")</f>
        <v/>
      </c>
      <c r="V581" s="4" t="str">
        <f>IFERROR(__xludf.DUMMYFUNCTION("IF(OR($U581="""",COUNTIF($I:$I,IFERROR(unique(filter(Prod_Prop!$H:$H,Prod_Prop!$G:$G=$U581,Prod_Prop!$E:$E=V$1)),""Check""))=0),"""",IFERROR(unique(filter(Prod_Prop!$H:$H,Prod_Prop!$G:$G=$U581,Prod_Prop!$E:$E=V$1)),""""))"),"")</f>
        <v/>
      </c>
      <c r="W581" s="4" t="str">
        <f>IF(V581="","",SUMIFS(Prod_Prop!$J:$J,Prod_Prop!$B:$B,$Q581,Prod_Prop!$H:$H,V581,Prod_Prop!$I:$I,W$1)*IF(V581="Peso",$R581,1))</f>
        <v/>
      </c>
      <c r="X581" s="4" t="str">
        <f>IF(V581="","",SUMIFS(Prod_Prop!$J:$J,Prod_Prop!$B:$B,$Q581,Prod_Prop!$H:$H,V581,Prod_Prop!$I:$I,X$1)*IF(V581="Peso",$R581,1))</f>
        <v/>
      </c>
      <c r="Y581" s="4" t="str">
        <f>IFERROR(__xludf.DUMMYFUNCTION("IF(OR($U581="""",COUNTIF($I:$I,IFERROR(unique(filter(Prod_Prop!$H:$H,Prod_Prop!$G:$G=$U581,Prod_Prop!$E:$E=Y$1)),""Check""))=0),"""",IFERROR(unique(filter(Prod_Prop!$H:$H,Prod_Prop!$G:$G=$U581,Prod_Prop!$E:$E=Y$1)),""""))"),"")</f>
        <v/>
      </c>
      <c r="Z581" s="4" t="str">
        <f>IF(Y581="","",SUMIFS(Prod_Prop!$J:$J,Prod_Prop!$B:$B,$Q581,Prod_Prop!$H:$H,Y581,Prod_Prop!$I:$I,Z$1)*IF(Y581="Peso",$R581,1))</f>
        <v/>
      </c>
      <c r="AA581" s="4" t="str">
        <f>IF(Y581="","",SUMIFS(Prod_Prop!$J:$J,Prod_Prop!$B:$B,$Q581,Prod_Prop!$H:$H,Y581,Prod_Prop!$I:$I,AA$1)*IF(Y581="Peso",$R581,1))</f>
        <v/>
      </c>
      <c r="AB581" s="4" t="str">
        <f>IFERROR(__xludf.DUMMYFUNCTION("IF(OR($U581="""",COUNTIF($I:$I,IFERROR(unique(filter(Prod_Prop!$H:$H,Prod_Prop!$G:$G=$U581,Prod_Prop!$E:$E=AB$1)),""Check""))=0),"""",IFERROR(unique(filter(Prod_Prop!$H:$H,Prod_Prop!$G:$G=$U581,Prod_Prop!$E:$E=AB$1)),""""))"),"")</f>
        <v/>
      </c>
      <c r="AC581" s="4" t="str">
        <f>IF(AB581="","",SUMIFS(Prod_Prop!$J:$J,Prod_Prop!$B:$B,$Q581,Prod_Prop!$H:$H,AB581,Prod_Prop!$I:$I,AC$1)*IF(AB581="Peso",$R581,1))</f>
        <v/>
      </c>
      <c r="AD581" s="4" t="str">
        <f>IF(AB581="","",SUMIFS(Prod_Prop!$J:$J,Prod_Prop!$B:$B,$Q581,Prod_Prop!$H:$H,AB581,Prod_Prop!$I:$I,AD$1)*IF(AB581="Peso",$R581,1))</f>
        <v/>
      </c>
    </row>
    <row r="582">
      <c r="A582" s="4" t="str">
        <f t="array" ref="A582">IF(COUNTIF(A$1:A581,Cotizador!F$2)=maxifs(Familias!E:E,Familias!D:D,Cotizador!F$2),IF(COUNTIF(A$1:A581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2" s="4" t="str">
        <f t="shared" si="1"/>
        <v/>
      </c>
      <c r="C582" s="4" t="str">
        <f t="array" ref="C582">IF(B582="","",IF(A582=XLOOKUP(A$2,Implementos!B:B,Implementos!C:C,"",0,1),B582+maxifs(B$1:B581,A$1:A581,A$2),B582))</f>
        <v/>
      </c>
      <c r="D582" s="4" t="str">
        <f>IF(B582="","", COUNTIFS(Productos!F:F,A582,Productos!H:H,B582)+IF(F582="SI",0,1))</f>
        <v/>
      </c>
      <c r="E582" s="4" t="str">
        <f>IFERROR(__xludf.DUMMYFUNCTION("IF($B582="""","""",INDEX(filter(Familias!F:F,Familias!$D:$D=$A582,Familias!$E:$E=$B582),1))"),"")</f>
        <v/>
      </c>
      <c r="F582" s="4" t="str">
        <f>IFERROR(__xludf.DUMMYFUNCTION("IF($B582="""","""",INDEX(filter(Familias!G:G,Familias!$D:$D=$A582,Familias!$E:$E=$B582),1))"),"")</f>
        <v/>
      </c>
      <c r="G582" s="4" t="str">
        <f t="array" ref="G582">IF(C582=1,XLOOKUP(C582,Cotizador!D:D,Cotizador!E:E,"",0,1),"")</f>
        <v/>
      </c>
      <c r="I582" s="4"/>
      <c r="J582" s="8" t="str">
        <f>IF(I582="","",SUMIF(Cotizador!I$1:V$1,I582,Cotizador!I$2:V$2))</f>
        <v/>
      </c>
      <c r="L582" s="4" t="str">
        <f t="array" ref="L582">IF(COUNTIF(L$1:L581,A$2)=SUMIF(A:A,A$2,D:D),IF(COUNTIF(L$1:L581,XLOOKUP(A$2,Implementos!B:B,Implementos!C:C,"",0,1))=SUMIF(A:A,XLOOKUP(A$2,Implementos!B:B,Implementos!C:C,"",0,1),D:D),"",XLOOKUP(A$2,Implementos!B:B,Implementos!C:C,"",0,1)),A$2)</f>
        <v/>
      </c>
      <c r="M582" s="4" t="str">
        <f t="shared" si="2"/>
        <v/>
      </c>
      <c r="N582" s="4" t="str">
        <f t="shared" si="3"/>
        <v/>
      </c>
      <c r="O582" s="4" t="str">
        <f t="shared" si="4"/>
        <v/>
      </c>
      <c r="P582" s="4" t="str">
        <f t="shared" si="5"/>
        <v/>
      </c>
      <c r="Q582" s="4" t="str">
        <f>IF(U582="","",SUMIF(Productos!E:E,U582,Productos!A:A))</f>
        <v/>
      </c>
      <c r="R582" s="4" t="str">
        <f t="array" ref="R582">IF(L582="","", max(1,SUMIF(I:I,XLOOKUP(U582,Productos!E:E,Productos!G:G,"",0,1),J:J)))</f>
        <v/>
      </c>
      <c r="S582" s="4" t="str">
        <f>IF(Q582="","",IF(SUMIFS(Compat_Vetado!D:D,Compat_Vetado!B:B,SUM(G:G),Compat_Vetado!C:C,Q582)=1,"SI",IF(OR(SUMIF(Cotizador!E:E,Q582,Cotizador!G:G)&gt;0,SUMIFS(Compat_Vetado!D:D,Compat_Vetado!B:B,SUM(G:G),Compat_Vetado!C:C,Q582)=-1),"NO","")))</f>
        <v/>
      </c>
      <c r="T582" s="4" t="str">
        <f t="shared" si="6"/>
        <v/>
      </c>
      <c r="U582" s="4" t="str">
        <f>IFERROR(__xludf.DUMMYFUNCTION("IF(P582="""","""",IFERROR(INDEX(filter(Productos!E:E,Productos!F:F=L582,Productos!H:H=N582),P582),IF(M582=SUM(D:D),""Finalizar"",""-"")))"),"")</f>
        <v/>
      </c>
      <c r="V582" s="4" t="str">
        <f>IFERROR(__xludf.DUMMYFUNCTION("IF(OR($U582="""",COUNTIF($I:$I,IFERROR(unique(filter(Prod_Prop!$H:$H,Prod_Prop!$G:$G=$U582,Prod_Prop!$E:$E=V$1)),""Check""))=0),"""",IFERROR(unique(filter(Prod_Prop!$H:$H,Prod_Prop!$G:$G=$U582,Prod_Prop!$E:$E=V$1)),""""))"),"")</f>
        <v/>
      </c>
      <c r="W582" s="4" t="str">
        <f>IF(V582="","",SUMIFS(Prod_Prop!$J:$J,Prod_Prop!$B:$B,$Q582,Prod_Prop!$H:$H,V582,Prod_Prop!$I:$I,W$1)*IF(V582="Peso",$R582,1))</f>
        <v/>
      </c>
      <c r="X582" s="4" t="str">
        <f>IF(V582="","",SUMIFS(Prod_Prop!$J:$J,Prod_Prop!$B:$B,$Q582,Prod_Prop!$H:$H,V582,Prod_Prop!$I:$I,X$1)*IF(V582="Peso",$R582,1))</f>
        <v/>
      </c>
      <c r="Y582" s="4" t="str">
        <f>IFERROR(__xludf.DUMMYFUNCTION("IF(OR($U582="""",COUNTIF($I:$I,IFERROR(unique(filter(Prod_Prop!$H:$H,Prod_Prop!$G:$G=$U582,Prod_Prop!$E:$E=Y$1)),""Check""))=0),"""",IFERROR(unique(filter(Prod_Prop!$H:$H,Prod_Prop!$G:$G=$U582,Prod_Prop!$E:$E=Y$1)),""""))"),"")</f>
        <v/>
      </c>
      <c r="Z582" s="4" t="str">
        <f>IF(Y582="","",SUMIFS(Prod_Prop!$J:$J,Prod_Prop!$B:$B,$Q582,Prod_Prop!$H:$H,Y582,Prod_Prop!$I:$I,Z$1)*IF(Y582="Peso",$R582,1))</f>
        <v/>
      </c>
      <c r="AA582" s="4" t="str">
        <f>IF(Y582="","",SUMIFS(Prod_Prop!$J:$J,Prod_Prop!$B:$B,$Q582,Prod_Prop!$H:$H,Y582,Prod_Prop!$I:$I,AA$1)*IF(Y582="Peso",$R582,1))</f>
        <v/>
      </c>
      <c r="AB582" s="4" t="str">
        <f>IFERROR(__xludf.DUMMYFUNCTION("IF(OR($U582="""",COUNTIF($I:$I,IFERROR(unique(filter(Prod_Prop!$H:$H,Prod_Prop!$G:$G=$U582,Prod_Prop!$E:$E=AB$1)),""Check""))=0),"""",IFERROR(unique(filter(Prod_Prop!$H:$H,Prod_Prop!$G:$G=$U582,Prod_Prop!$E:$E=AB$1)),""""))"),"")</f>
        <v/>
      </c>
      <c r="AC582" s="4" t="str">
        <f>IF(AB582="","",SUMIFS(Prod_Prop!$J:$J,Prod_Prop!$B:$B,$Q582,Prod_Prop!$H:$H,AB582,Prod_Prop!$I:$I,AC$1)*IF(AB582="Peso",$R582,1))</f>
        <v/>
      </c>
      <c r="AD582" s="4" t="str">
        <f>IF(AB582="","",SUMIFS(Prod_Prop!$J:$J,Prod_Prop!$B:$B,$Q582,Prod_Prop!$H:$H,AB582,Prod_Prop!$I:$I,AD$1)*IF(AB582="Peso",$R582,1))</f>
        <v/>
      </c>
    </row>
    <row r="583">
      <c r="A583" s="4" t="str">
        <f t="array" ref="A583">IF(COUNTIF(A$1:A582,Cotizador!F$2)=maxifs(Familias!E:E,Familias!D:D,Cotizador!F$2),IF(COUNTIF(A$1:A582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3" s="4" t="str">
        <f t="shared" si="1"/>
        <v/>
      </c>
      <c r="C583" s="4" t="str">
        <f t="array" ref="C583">IF(B583="","",IF(A583=XLOOKUP(A$2,Implementos!B:B,Implementos!C:C,"",0,1),B583+maxifs(B$1:B582,A$1:A582,A$2),B583))</f>
        <v/>
      </c>
      <c r="D583" s="4" t="str">
        <f>IF(B583="","", COUNTIFS(Productos!F:F,A583,Productos!H:H,B583)+IF(F583="SI",0,1))</f>
        <v/>
      </c>
      <c r="E583" s="4" t="str">
        <f>IFERROR(__xludf.DUMMYFUNCTION("IF($B583="""","""",INDEX(filter(Familias!F:F,Familias!$D:$D=$A583,Familias!$E:$E=$B583),1))"),"")</f>
        <v/>
      </c>
      <c r="F583" s="4" t="str">
        <f>IFERROR(__xludf.DUMMYFUNCTION("IF($B583="""","""",INDEX(filter(Familias!G:G,Familias!$D:$D=$A583,Familias!$E:$E=$B583),1))"),"")</f>
        <v/>
      </c>
      <c r="G583" s="4" t="str">
        <f t="array" ref="G583">IF(C583=1,XLOOKUP(C583,Cotizador!D:D,Cotizador!E:E,"",0,1),"")</f>
        <v/>
      </c>
      <c r="I583" s="4"/>
      <c r="J583" s="8" t="str">
        <f>IF(I583="","",SUMIF(Cotizador!I$1:V$1,I583,Cotizador!I$2:V$2))</f>
        <v/>
      </c>
      <c r="L583" s="4" t="str">
        <f t="array" ref="L583">IF(COUNTIF(L$1:L582,A$2)=SUMIF(A:A,A$2,D:D),IF(COUNTIF(L$1:L582,XLOOKUP(A$2,Implementos!B:B,Implementos!C:C,"",0,1))=SUMIF(A:A,XLOOKUP(A$2,Implementos!B:B,Implementos!C:C,"",0,1),D:D),"",XLOOKUP(A$2,Implementos!B:B,Implementos!C:C,"",0,1)),A$2)</f>
        <v/>
      </c>
      <c r="M583" s="4" t="str">
        <f t="shared" si="2"/>
        <v/>
      </c>
      <c r="N583" s="4" t="str">
        <f t="shared" si="3"/>
        <v/>
      </c>
      <c r="O583" s="4" t="str">
        <f t="shared" si="4"/>
        <v/>
      </c>
      <c r="P583" s="4" t="str">
        <f t="shared" si="5"/>
        <v/>
      </c>
      <c r="Q583" s="4" t="str">
        <f>IF(U583="","",SUMIF(Productos!E:E,U583,Productos!A:A))</f>
        <v/>
      </c>
      <c r="R583" s="4" t="str">
        <f t="array" ref="R583">IF(L583="","", max(1,SUMIF(I:I,XLOOKUP(U583,Productos!E:E,Productos!G:G,"",0,1),J:J)))</f>
        <v/>
      </c>
      <c r="S583" s="4" t="str">
        <f>IF(Q583="","",IF(SUMIFS(Compat_Vetado!D:D,Compat_Vetado!B:B,SUM(G:G),Compat_Vetado!C:C,Q583)=1,"SI",IF(OR(SUMIF(Cotizador!E:E,Q583,Cotizador!G:G)&gt;0,SUMIFS(Compat_Vetado!D:D,Compat_Vetado!B:B,SUM(G:G),Compat_Vetado!C:C,Q583)=-1),"NO","")))</f>
        <v/>
      </c>
      <c r="T583" s="4" t="str">
        <f t="shared" si="6"/>
        <v/>
      </c>
      <c r="U583" s="4" t="str">
        <f>IFERROR(__xludf.DUMMYFUNCTION("IF(P583="""","""",IFERROR(INDEX(filter(Productos!E:E,Productos!F:F=L583,Productos!H:H=N583),P583),IF(M583=SUM(D:D),""Finalizar"",""-"")))"),"")</f>
        <v/>
      </c>
      <c r="V583" s="4" t="str">
        <f>IFERROR(__xludf.DUMMYFUNCTION("IF(OR($U583="""",COUNTIF($I:$I,IFERROR(unique(filter(Prod_Prop!$H:$H,Prod_Prop!$G:$G=$U583,Prod_Prop!$E:$E=V$1)),""Check""))=0),"""",IFERROR(unique(filter(Prod_Prop!$H:$H,Prod_Prop!$G:$G=$U583,Prod_Prop!$E:$E=V$1)),""""))"),"")</f>
        <v/>
      </c>
      <c r="W583" s="4" t="str">
        <f>IF(V583="","",SUMIFS(Prod_Prop!$J:$J,Prod_Prop!$B:$B,$Q583,Prod_Prop!$H:$H,V583,Prod_Prop!$I:$I,W$1)*IF(V583="Peso",$R583,1))</f>
        <v/>
      </c>
      <c r="X583" s="4" t="str">
        <f>IF(V583="","",SUMIFS(Prod_Prop!$J:$J,Prod_Prop!$B:$B,$Q583,Prod_Prop!$H:$H,V583,Prod_Prop!$I:$I,X$1)*IF(V583="Peso",$R583,1))</f>
        <v/>
      </c>
      <c r="Y583" s="4" t="str">
        <f>IFERROR(__xludf.DUMMYFUNCTION("IF(OR($U583="""",COUNTIF($I:$I,IFERROR(unique(filter(Prod_Prop!$H:$H,Prod_Prop!$G:$G=$U583,Prod_Prop!$E:$E=Y$1)),""Check""))=0),"""",IFERROR(unique(filter(Prod_Prop!$H:$H,Prod_Prop!$G:$G=$U583,Prod_Prop!$E:$E=Y$1)),""""))"),"")</f>
        <v/>
      </c>
      <c r="Z583" s="4" t="str">
        <f>IF(Y583="","",SUMIFS(Prod_Prop!$J:$J,Prod_Prop!$B:$B,$Q583,Prod_Prop!$H:$H,Y583,Prod_Prop!$I:$I,Z$1)*IF(Y583="Peso",$R583,1))</f>
        <v/>
      </c>
      <c r="AA583" s="4" t="str">
        <f>IF(Y583="","",SUMIFS(Prod_Prop!$J:$J,Prod_Prop!$B:$B,$Q583,Prod_Prop!$H:$H,Y583,Prod_Prop!$I:$I,AA$1)*IF(Y583="Peso",$R583,1))</f>
        <v/>
      </c>
      <c r="AB583" s="4" t="str">
        <f>IFERROR(__xludf.DUMMYFUNCTION("IF(OR($U583="""",COUNTIF($I:$I,IFERROR(unique(filter(Prod_Prop!$H:$H,Prod_Prop!$G:$G=$U583,Prod_Prop!$E:$E=AB$1)),""Check""))=0),"""",IFERROR(unique(filter(Prod_Prop!$H:$H,Prod_Prop!$G:$G=$U583,Prod_Prop!$E:$E=AB$1)),""""))"),"")</f>
        <v/>
      </c>
      <c r="AC583" s="4" t="str">
        <f>IF(AB583="","",SUMIFS(Prod_Prop!$J:$J,Prod_Prop!$B:$B,$Q583,Prod_Prop!$H:$H,AB583,Prod_Prop!$I:$I,AC$1)*IF(AB583="Peso",$R583,1))</f>
        <v/>
      </c>
      <c r="AD583" s="4" t="str">
        <f>IF(AB583="","",SUMIFS(Prod_Prop!$J:$J,Prod_Prop!$B:$B,$Q583,Prod_Prop!$H:$H,AB583,Prod_Prop!$I:$I,AD$1)*IF(AB583="Peso",$R583,1))</f>
        <v/>
      </c>
    </row>
    <row r="584">
      <c r="A584" s="4" t="str">
        <f t="array" ref="A584">IF(COUNTIF(A$1:A583,Cotizador!F$2)=maxifs(Familias!E:E,Familias!D:D,Cotizador!F$2),IF(COUNTIF(A$1:A583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4" s="4" t="str">
        <f t="shared" si="1"/>
        <v/>
      </c>
      <c r="C584" s="4" t="str">
        <f t="array" ref="C584">IF(B584="","",IF(A584=XLOOKUP(A$2,Implementos!B:B,Implementos!C:C,"",0,1),B584+maxifs(B$1:B583,A$1:A583,A$2),B584))</f>
        <v/>
      </c>
      <c r="D584" s="4" t="str">
        <f>IF(B584="","", COUNTIFS(Productos!F:F,A584,Productos!H:H,B584)+IF(F584="SI",0,1))</f>
        <v/>
      </c>
      <c r="E584" s="4" t="str">
        <f>IFERROR(__xludf.DUMMYFUNCTION("IF($B584="""","""",INDEX(filter(Familias!F:F,Familias!$D:$D=$A584,Familias!$E:$E=$B584),1))"),"")</f>
        <v/>
      </c>
      <c r="F584" s="4" t="str">
        <f>IFERROR(__xludf.DUMMYFUNCTION("IF($B584="""","""",INDEX(filter(Familias!G:G,Familias!$D:$D=$A584,Familias!$E:$E=$B584),1))"),"")</f>
        <v/>
      </c>
      <c r="G584" s="4" t="str">
        <f t="array" ref="G584">IF(C584=1,XLOOKUP(C584,Cotizador!D:D,Cotizador!E:E,"",0,1),"")</f>
        <v/>
      </c>
      <c r="I584" s="4"/>
      <c r="J584" s="8" t="str">
        <f>IF(I584="","",SUMIF(Cotizador!I$1:V$1,I584,Cotizador!I$2:V$2))</f>
        <v/>
      </c>
      <c r="L584" s="4" t="str">
        <f t="array" ref="L584">IF(COUNTIF(L$1:L583,A$2)=SUMIF(A:A,A$2,D:D),IF(COUNTIF(L$1:L583,XLOOKUP(A$2,Implementos!B:B,Implementos!C:C,"",0,1))=SUMIF(A:A,XLOOKUP(A$2,Implementos!B:B,Implementos!C:C,"",0,1),D:D),"",XLOOKUP(A$2,Implementos!B:B,Implementos!C:C,"",0,1)),A$2)</f>
        <v/>
      </c>
      <c r="M584" s="4" t="str">
        <f t="shared" si="2"/>
        <v/>
      </c>
      <c r="N584" s="4" t="str">
        <f t="shared" si="3"/>
        <v/>
      </c>
      <c r="O584" s="4" t="str">
        <f t="shared" si="4"/>
        <v/>
      </c>
      <c r="P584" s="4" t="str">
        <f t="shared" si="5"/>
        <v/>
      </c>
      <c r="Q584" s="4" t="str">
        <f>IF(U584="","",SUMIF(Productos!E:E,U584,Productos!A:A))</f>
        <v/>
      </c>
      <c r="R584" s="4" t="str">
        <f t="array" ref="R584">IF(L584="","", max(1,SUMIF(I:I,XLOOKUP(U584,Productos!E:E,Productos!G:G,"",0,1),J:J)))</f>
        <v/>
      </c>
      <c r="S584" s="4" t="str">
        <f>IF(Q584="","",IF(SUMIFS(Compat_Vetado!D:D,Compat_Vetado!B:B,SUM(G:G),Compat_Vetado!C:C,Q584)=1,"SI",IF(OR(SUMIF(Cotizador!E:E,Q584,Cotizador!G:G)&gt;0,SUMIFS(Compat_Vetado!D:D,Compat_Vetado!B:B,SUM(G:G),Compat_Vetado!C:C,Q584)=-1),"NO","")))</f>
        <v/>
      </c>
      <c r="T584" s="4" t="str">
        <f t="shared" si="6"/>
        <v/>
      </c>
      <c r="U584" s="4" t="str">
        <f>IFERROR(__xludf.DUMMYFUNCTION("IF(P584="""","""",IFERROR(INDEX(filter(Productos!E:E,Productos!F:F=L584,Productos!H:H=N584),P584),IF(M584=SUM(D:D),""Finalizar"",""-"")))"),"")</f>
        <v/>
      </c>
      <c r="V584" s="4" t="str">
        <f>IFERROR(__xludf.DUMMYFUNCTION("IF(OR($U584="""",COUNTIF($I:$I,IFERROR(unique(filter(Prod_Prop!$H:$H,Prod_Prop!$G:$G=$U584,Prod_Prop!$E:$E=V$1)),""Check""))=0),"""",IFERROR(unique(filter(Prod_Prop!$H:$H,Prod_Prop!$G:$G=$U584,Prod_Prop!$E:$E=V$1)),""""))"),"")</f>
        <v/>
      </c>
      <c r="W584" s="4" t="str">
        <f>IF(V584="","",SUMIFS(Prod_Prop!$J:$J,Prod_Prop!$B:$B,$Q584,Prod_Prop!$H:$H,V584,Prod_Prop!$I:$I,W$1)*IF(V584="Peso",$R584,1))</f>
        <v/>
      </c>
      <c r="X584" s="4" t="str">
        <f>IF(V584="","",SUMIFS(Prod_Prop!$J:$J,Prod_Prop!$B:$B,$Q584,Prod_Prop!$H:$H,V584,Prod_Prop!$I:$I,X$1)*IF(V584="Peso",$R584,1))</f>
        <v/>
      </c>
      <c r="Y584" s="4" t="str">
        <f>IFERROR(__xludf.DUMMYFUNCTION("IF(OR($U584="""",COUNTIF($I:$I,IFERROR(unique(filter(Prod_Prop!$H:$H,Prod_Prop!$G:$G=$U584,Prod_Prop!$E:$E=Y$1)),""Check""))=0),"""",IFERROR(unique(filter(Prod_Prop!$H:$H,Prod_Prop!$G:$G=$U584,Prod_Prop!$E:$E=Y$1)),""""))"),"")</f>
        <v/>
      </c>
      <c r="Z584" s="4" t="str">
        <f>IF(Y584="","",SUMIFS(Prod_Prop!$J:$J,Prod_Prop!$B:$B,$Q584,Prod_Prop!$H:$H,Y584,Prod_Prop!$I:$I,Z$1)*IF(Y584="Peso",$R584,1))</f>
        <v/>
      </c>
      <c r="AA584" s="4" t="str">
        <f>IF(Y584="","",SUMIFS(Prod_Prop!$J:$J,Prod_Prop!$B:$B,$Q584,Prod_Prop!$H:$H,Y584,Prod_Prop!$I:$I,AA$1)*IF(Y584="Peso",$R584,1))</f>
        <v/>
      </c>
      <c r="AB584" s="4" t="str">
        <f>IFERROR(__xludf.DUMMYFUNCTION("IF(OR($U584="""",COUNTIF($I:$I,IFERROR(unique(filter(Prod_Prop!$H:$H,Prod_Prop!$G:$G=$U584,Prod_Prop!$E:$E=AB$1)),""Check""))=0),"""",IFERROR(unique(filter(Prod_Prop!$H:$H,Prod_Prop!$G:$G=$U584,Prod_Prop!$E:$E=AB$1)),""""))"),"")</f>
        <v/>
      </c>
      <c r="AC584" s="4" t="str">
        <f>IF(AB584="","",SUMIFS(Prod_Prop!$J:$J,Prod_Prop!$B:$B,$Q584,Prod_Prop!$H:$H,AB584,Prod_Prop!$I:$I,AC$1)*IF(AB584="Peso",$R584,1))</f>
        <v/>
      </c>
      <c r="AD584" s="4" t="str">
        <f>IF(AB584="","",SUMIFS(Prod_Prop!$J:$J,Prod_Prop!$B:$B,$Q584,Prod_Prop!$H:$H,AB584,Prod_Prop!$I:$I,AD$1)*IF(AB584="Peso",$R584,1))</f>
        <v/>
      </c>
    </row>
    <row r="585">
      <c r="A585" s="4" t="str">
        <f t="array" ref="A585">IF(COUNTIF(A$1:A584,Cotizador!F$2)=maxifs(Familias!E:E,Familias!D:D,Cotizador!F$2),IF(COUNTIF(A$1:A584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5" s="4" t="str">
        <f t="shared" si="1"/>
        <v/>
      </c>
      <c r="C585" s="4" t="str">
        <f t="array" ref="C585">IF(B585="","",IF(A585=XLOOKUP(A$2,Implementos!B:B,Implementos!C:C,"",0,1),B585+maxifs(B$1:B584,A$1:A584,A$2),B585))</f>
        <v/>
      </c>
      <c r="D585" s="4" t="str">
        <f>IF(B585="","", COUNTIFS(Productos!F:F,A585,Productos!H:H,B585)+IF(F585="SI",0,1))</f>
        <v/>
      </c>
      <c r="E585" s="4" t="str">
        <f>IFERROR(__xludf.DUMMYFUNCTION("IF($B585="""","""",INDEX(filter(Familias!F:F,Familias!$D:$D=$A585,Familias!$E:$E=$B585),1))"),"")</f>
        <v/>
      </c>
      <c r="F585" s="4" t="str">
        <f>IFERROR(__xludf.DUMMYFUNCTION("IF($B585="""","""",INDEX(filter(Familias!G:G,Familias!$D:$D=$A585,Familias!$E:$E=$B585),1))"),"")</f>
        <v/>
      </c>
      <c r="G585" s="4" t="str">
        <f t="array" ref="G585">IF(C585=1,XLOOKUP(C585,Cotizador!D:D,Cotizador!E:E,"",0,1),"")</f>
        <v/>
      </c>
      <c r="I585" s="4"/>
      <c r="J585" s="8" t="str">
        <f>IF(I585="","",SUMIF(Cotizador!I$1:V$1,I585,Cotizador!I$2:V$2))</f>
        <v/>
      </c>
      <c r="L585" s="4" t="str">
        <f t="array" ref="L585">IF(COUNTIF(L$1:L584,A$2)=SUMIF(A:A,A$2,D:D),IF(COUNTIF(L$1:L584,XLOOKUP(A$2,Implementos!B:B,Implementos!C:C,"",0,1))=SUMIF(A:A,XLOOKUP(A$2,Implementos!B:B,Implementos!C:C,"",0,1),D:D),"",XLOOKUP(A$2,Implementos!B:B,Implementos!C:C,"",0,1)),A$2)</f>
        <v/>
      </c>
      <c r="M585" s="4" t="str">
        <f t="shared" si="2"/>
        <v/>
      </c>
      <c r="N585" s="4" t="str">
        <f t="shared" si="3"/>
        <v/>
      </c>
      <c r="O585" s="4" t="str">
        <f t="shared" si="4"/>
        <v/>
      </c>
      <c r="P585" s="4" t="str">
        <f t="shared" si="5"/>
        <v/>
      </c>
      <c r="Q585" s="4" t="str">
        <f>IF(U585="","",SUMIF(Productos!E:E,U585,Productos!A:A))</f>
        <v/>
      </c>
      <c r="R585" s="4" t="str">
        <f t="array" ref="R585">IF(L585="","", max(1,SUMIF(I:I,XLOOKUP(U585,Productos!E:E,Productos!G:G,"",0,1),J:J)))</f>
        <v/>
      </c>
      <c r="S585" s="4" t="str">
        <f>IF(Q585="","",IF(SUMIFS(Compat_Vetado!D:D,Compat_Vetado!B:B,SUM(G:G),Compat_Vetado!C:C,Q585)=1,"SI",IF(OR(SUMIF(Cotizador!E:E,Q585,Cotizador!G:G)&gt;0,SUMIFS(Compat_Vetado!D:D,Compat_Vetado!B:B,SUM(G:G),Compat_Vetado!C:C,Q585)=-1),"NO","")))</f>
        <v/>
      </c>
      <c r="T585" s="4" t="str">
        <f t="shared" si="6"/>
        <v/>
      </c>
      <c r="U585" s="4" t="str">
        <f>IFERROR(__xludf.DUMMYFUNCTION("IF(P585="""","""",IFERROR(INDEX(filter(Productos!E:E,Productos!F:F=L585,Productos!H:H=N585),P585),IF(M585=SUM(D:D),""Finalizar"",""-"")))"),"")</f>
        <v/>
      </c>
      <c r="V585" s="4" t="str">
        <f>IFERROR(__xludf.DUMMYFUNCTION("IF(OR($U585="""",COUNTIF($I:$I,IFERROR(unique(filter(Prod_Prop!$H:$H,Prod_Prop!$G:$G=$U585,Prod_Prop!$E:$E=V$1)),""Check""))=0),"""",IFERROR(unique(filter(Prod_Prop!$H:$H,Prod_Prop!$G:$G=$U585,Prod_Prop!$E:$E=V$1)),""""))"),"")</f>
        <v/>
      </c>
      <c r="W585" s="4" t="str">
        <f>IF(V585="","",SUMIFS(Prod_Prop!$J:$J,Prod_Prop!$B:$B,$Q585,Prod_Prop!$H:$H,V585,Prod_Prop!$I:$I,W$1)*IF(V585="Peso",$R585,1))</f>
        <v/>
      </c>
      <c r="X585" s="4" t="str">
        <f>IF(V585="","",SUMIFS(Prod_Prop!$J:$J,Prod_Prop!$B:$B,$Q585,Prod_Prop!$H:$H,V585,Prod_Prop!$I:$I,X$1)*IF(V585="Peso",$R585,1))</f>
        <v/>
      </c>
      <c r="Y585" s="4" t="str">
        <f>IFERROR(__xludf.DUMMYFUNCTION("IF(OR($U585="""",COUNTIF($I:$I,IFERROR(unique(filter(Prod_Prop!$H:$H,Prod_Prop!$G:$G=$U585,Prod_Prop!$E:$E=Y$1)),""Check""))=0),"""",IFERROR(unique(filter(Prod_Prop!$H:$H,Prod_Prop!$G:$G=$U585,Prod_Prop!$E:$E=Y$1)),""""))"),"")</f>
        <v/>
      </c>
      <c r="Z585" s="4" t="str">
        <f>IF(Y585="","",SUMIFS(Prod_Prop!$J:$J,Prod_Prop!$B:$B,$Q585,Prod_Prop!$H:$H,Y585,Prod_Prop!$I:$I,Z$1)*IF(Y585="Peso",$R585,1))</f>
        <v/>
      </c>
      <c r="AA585" s="4" t="str">
        <f>IF(Y585="","",SUMIFS(Prod_Prop!$J:$J,Prod_Prop!$B:$B,$Q585,Prod_Prop!$H:$H,Y585,Prod_Prop!$I:$I,AA$1)*IF(Y585="Peso",$R585,1))</f>
        <v/>
      </c>
      <c r="AB585" s="4" t="str">
        <f>IFERROR(__xludf.DUMMYFUNCTION("IF(OR($U585="""",COUNTIF($I:$I,IFERROR(unique(filter(Prod_Prop!$H:$H,Prod_Prop!$G:$G=$U585,Prod_Prop!$E:$E=AB$1)),""Check""))=0),"""",IFERROR(unique(filter(Prod_Prop!$H:$H,Prod_Prop!$G:$G=$U585,Prod_Prop!$E:$E=AB$1)),""""))"),"")</f>
        <v/>
      </c>
      <c r="AC585" s="4" t="str">
        <f>IF(AB585="","",SUMIFS(Prod_Prop!$J:$J,Prod_Prop!$B:$B,$Q585,Prod_Prop!$H:$H,AB585,Prod_Prop!$I:$I,AC$1)*IF(AB585="Peso",$R585,1))</f>
        <v/>
      </c>
      <c r="AD585" s="4" t="str">
        <f>IF(AB585="","",SUMIFS(Prod_Prop!$J:$J,Prod_Prop!$B:$B,$Q585,Prod_Prop!$H:$H,AB585,Prod_Prop!$I:$I,AD$1)*IF(AB585="Peso",$R585,1))</f>
        <v/>
      </c>
    </row>
    <row r="586">
      <c r="A586" s="4" t="str">
        <f t="array" ref="A586">IF(COUNTIF(A$1:A585,Cotizador!F$2)=maxifs(Familias!E:E,Familias!D:D,Cotizador!F$2),IF(COUNTIF(A$1:A585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6" s="4" t="str">
        <f t="shared" si="1"/>
        <v/>
      </c>
      <c r="C586" s="4" t="str">
        <f t="array" ref="C586">IF(B586="","",IF(A586=XLOOKUP(A$2,Implementos!B:B,Implementos!C:C,"",0,1),B586+maxifs(B$1:B585,A$1:A585,A$2),B586))</f>
        <v/>
      </c>
      <c r="D586" s="4" t="str">
        <f>IF(B586="","", COUNTIFS(Productos!F:F,A586,Productos!H:H,B586)+IF(F586="SI",0,1))</f>
        <v/>
      </c>
      <c r="E586" s="4" t="str">
        <f>IFERROR(__xludf.DUMMYFUNCTION("IF($B586="""","""",INDEX(filter(Familias!F:F,Familias!$D:$D=$A586,Familias!$E:$E=$B586),1))"),"")</f>
        <v/>
      </c>
      <c r="F586" s="4" t="str">
        <f>IFERROR(__xludf.DUMMYFUNCTION("IF($B586="""","""",INDEX(filter(Familias!G:G,Familias!$D:$D=$A586,Familias!$E:$E=$B586),1))"),"")</f>
        <v/>
      </c>
      <c r="G586" s="4" t="str">
        <f t="array" ref="G586">IF(C586=1,XLOOKUP(C586,Cotizador!D:D,Cotizador!E:E,"",0,1),"")</f>
        <v/>
      </c>
      <c r="I586" s="4"/>
      <c r="J586" s="8" t="str">
        <f>IF(I586="","",SUMIF(Cotizador!I$1:V$1,I586,Cotizador!I$2:V$2))</f>
        <v/>
      </c>
      <c r="L586" s="4" t="str">
        <f t="array" ref="L586">IF(COUNTIF(L$1:L585,A$2)=SUMIF(A:A,A$2,D:D),IF(COUNTIF(L$1:L585,XLOOKUP(A$2,Implementos!B:B,Implementos!C:C,"",0,1))=SUMIF(A:A,XLOOKUP(A$2,Implementos!B:B,Implementos!C:C,"",0,1),D:D),"",XLOOKUP(A$2,Implementos!B:B,Implementos!C:C,"",0,1)),A$2)</f>
        <v/>
      </c>
      <c r="M586" s="4" t="str">
        <f t="shared" si="2"/>
        <v/>
      </c>
      <c r="N586" s="4" t="str">
        <f t="shared" si="3"/>
        <v/>
      </c>
      <c r="O586" s="4" t="str">
        <f t="shared" si="4"/>
        <v/>
      </c>
      <c r="P586" s="4" t="str">
        <f t="shared" si="5"/>
        <v/>
      </c>
      <c r="Q586" s="4" t="str">
        <f>IF(U586="","",SUMIF(Productos!E:E,U586,Productos!A:A))</f>
        <v/>
      </c>
      <c r="R586" s="4" t="str">
        <f t="array" ref="R586">IF(L586="","", max(1,SUMIF(I:I,XLOOKUP(U586,Productos!E:E,Productos!G:G,"",0,1),J:J)))</f>
        <v/>
      </c>
      <c r="S586" s="4" t="str">
        <f>IF(Q586="","",IF(SUMIFS(Compat_Vetado!D:D,Compat_Vetado!B:B,SUM(G:G),Compat_Vetado!C:C,Q586)=1,"SI",IF(OR(SUMIF(Cotizador!E:E,Q586,Cotizador!G:G)&gt;0,SUMIFS(Compat_Vetado!D:D,Compat_Vetado!B:B,SUM(G:G),Compat_Vetado!C:C,Q586)=-1),"NO","")))</f>
        <v/>
      </c>
      <c r="T586" s="4" t="str">
        <f t="shared" si="6"/>
        <v/>
      </c>
      <c r="U586" s="4" t="str">
        <f>IFERROR(__xludf.DUMMYFUNCTION("IF(P586="""","""",IFERROR(INDEX(filter(Productos!E:E,Productos!F:F=L586,Productos!H:H=N586),P586),IF(M586=SUM(D:D),""Finalizar"",""-"")))"),"")</f>
        <v/>
      </c>
      <c r="V586" s="4" t="str">
        <f>IFERROR(__xludf.DUMMYFUNCTION("IF(OR($U586="""",COUNTIF($I:$I,IFERROR(unique(filter(Prod_Prop!$H:$H,Prod_Prop!$G:$G=$U586,Prod_Prop!$E:$E=V$1)),""Check""))=0),"""",IFERROR(unique(filter(Prod_Prop!$H:$H,Prod_Prop!$G:$G=$U586,Prod_Prop!$E:$E=V$1)),""""))"),"")</f>
        <v/>
      </c>
      <c r="W586" s="4" t="str">
        <f>IF(V586="","",SUMIFS(Prod_Prop!$J:$J,Prod_Prop!$B:$B,$Q586,Prod_Prop!$H:$H,V586,Prod_Prop!$I:$I,W$1)*IF(V586="Peso",$R586,1))</f>
        <v/>
      </c>
      <c r="X586" s="4" t="str">
        <f>IF(V586="","",SUMIFS(Prod_Prop!$J:$J,Prod_Prop!$B:$B,$Q586,Prod_Prop!$H:$H,V586,Prod_Prop!$I:$I,X$1)*IF(V586="Peso",$R586,1))</f>
        <v/>
      </c>
      <c r="Y586" s="4" t="str">
        <f>IFERROR(__xludf.DUMMYFUNCTION("IF(OR($U586="""",COUNTIF($I:$I,IFERROR(unique(filter(Prod_Prop!$H:$H,Prod_Prop!$G:$G=$U586,Prod_Prop!$E:$E=Y$1)),""Check""))=0),"""",IFERROR(unique(filter(Prod_Prop!$H:$H,Prod_Prop!$G:$G=$U586,Prod_Prop!$E:$E=Y$1)),""""))"),"")</f>
        <v/>
      </c>
      <c r="Z586" s="4" t="str">
        <f>IF(Y586="","",SUMIFS(Prod_Prop!$J:$J,Prod_Prop!$B:$B,$Q586,Prod_Prop!$H:$H,Y586,Prod_Prop!$I:$I,Z$1)*IF(Y586="Peso",$R586,1))</f>
        <v/>
      </c>
      <c r="AA586" s="4" t="str">
        <f>IF(Y586="","",SUMIFS(Prod_Prop!$J:$J,Prod_Prop!$B:$B,$Q586,Prod_Prop!$H:$H,Y586,Prod_Prop!$I:$I,AA$1)*IF(Y586="Peso",$R586,1))</f>
        <v/>
      </c>
      <c r="AB586" s="4" t="str">
        <f>IFERROR(__xludf.DUMMYFUNCTION("IF(OR($U586="""",COUNTIF($I:$I,IFERROR(unique(filter(Prod_Prop!$H:$H,Prod_Prop!$G:$G=$U586,Prod_Prop!$E:$E=AB$1)),""Check""))=0),"""",IFERROR(unique(filter(Prod_Prop!$H:$H,Prod_Prop!$G:$G=$U586,Prod_Prop!$E:$E=AB$1)),""""))"),"")</f>
        <v/>
      </c>
      <c r="AC586" s="4" t="str">
        <f>IF(AB586="","",SUMIFS(Prod_Prop!$J:$J,Prod_Prop!$B:$B,$Q586,Prod_Prop!$H:$H,AB586,Prod_Prop!$I:$I,AC$1)*IF(AB586="Peso",$R586,1))</f>
        <v/>
      </c>
      <c r="AD586" s="4" t="str">
        <f>IF(AB586="","",SUMIFS(Prod_Prop!$J:$J,Prod_Prop!$B:$B,$Q586,Prod_Prop!$H:$H,AB586,Prod_Prop!$I:$I,AD$1)*IF(AB586="Peso",$R586,1))</f>
        <v/>
      </c>
    </row>
    <row r="587">
      <c r="A587" s="4" t="str">
        <f t="array" ref="A587">IF(COUNTIF(A$1:A586,Cotizador!F$2)=maxifs(Familias!E:E,Familias!D:D,Cotizador!F$2),IF(COUNTIF(A$1:A586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7" s="4" t="str">
        <f t="shared" si="1"/>
        <v/>
      </c>
      <c r="C587" s="4" t="str">
        <f t="array" ref="C587">IF(B587="","",IF(A587=XLOOKUP(A$2,Implementos!B:B,Implementos!C:C,"",0,1),B587+maxifs(B$1:B586,A$1:A586,A$2),B587))</f>
        <v/>
      </c>
      <c r="D587" s="4" t="str">
        <f>IF(B587="","", COUNTIFS(Productos!F:F,A587,Productos!H:H,B587)+IF(F587="SI",0,1))</f>
        <v/>
      </c>
      <c r="E587" s="4" t="str">
        <f>IFERROR(__xludf.DUMMYFUNCTION("IF($B587="""","""",INDEX(filter(Familias!F:F,Familias!$D:$D=$A587,Familias!$E:$E=$B587),1))"),"")</f>
        <v/>
      </c>
      <c r="F587" s="4" t="str">
        <f>IFERROR(__xludf.DUMMYFUNCTION("IF($B587="""","""",INDEX(filter(Familias!G:G,Familias!$D:$D=$A587,Familias!$E:$E=$B587),1))"),"")</f>
        <v/>
      </c>
      <c r="G587" s="4" t="str">
        <f t="array" ref="G587">IF(C587=1,XLOOKUP(C587,Cotizador!D:D,Cotizador!E:E,"",0,1),"")</f>
        <v/>
      </c>
      <c r="I587" s="4"/>
      <c r="J587" s="8" t="str">
        <f>IF(I587="","",SUMIF(Cotizador!I$1:V$1,I587,Cotizador!I$2:V$2))</f>
        <v/>
      </c>
      <c r="L587" s="4" t="str">
        <f t="array" ref="L587">IF(COUNTIF(L$1:L586,A$2)=SUMIF(A:A,A$2,D:D),IF(COUNTIF(L$1:L586,XLOOKUP(A$2,Implementos!B:B,Implementos!C:C,"",0,1))=SUMIF(A:A,XLOOKUP(A$2,Implementos!B:B,Implementos!C:C,"",0,1),D:D),"",XLOOKUP(A$2,Implementos!B:B,Implementos!C:C,"",0,1)),A$2)</f>
        <v/>
      </c>
      <c r="M587" s="4" t="str">
        <f t="shared" si="2"/>
        <v/>
      </c>
      <c r="N587" s="4" t="str">
        <f t="shared" si="3"/>
        <v/>
      </c>
      <c r="O587" s="4" t="str">
        <f t="shared" si="4"/>
        <v/>
      </c>
      <c r="P587" s="4" t="str">
        <f t="shared" si="5"/>
        <v/>
      </c>
      <c r="Q587" s="4" t="str">
        <f>IF(U587="","",SUMIF(Productos!E:E,U587,Productos!A:A))</f>
        <v/>
      </c>
      <c r="R587" s="4" t="str">
        <f t="array" ref="R587">IF(L587="","", max(1,SUMIF(I:I,XLOOKUP(U587,Productos!E:E,Productos!G:G,"",0,1),J:J)))</f>
        <v/>
      </c>
      <c r="S587" s="4" t="str">
        <f>IF(Q587="","",IF(SUMIFS(Compat_Vetado!D:D,Compat_Vetado!B:B,SUM(G:G),Compat_Vetado!C:C,Q587)=1,"SI",IF(OR(SUMIF(Cotizador!E:E,Q587,Cotizador!G:G)&gt;0,SUMIFS(Compat_Vetado!D:D,Compat_Vetado!B:B,SUM(G:G),Compat_Vetado!C:C,Q587)=-1),"NO","")))</f>
        <v/>
      </c>
      <c r="T587" s="4" t="str">
        <f t="shared" si="6"/>
        <v/>
      </c>
      <c r="U587" s="4" t="str">
        <f>IFERROR(__xludf.DUMMYFUNCTION("IF(P587="""","""",IFERROR(INDEX(filter(Productos!E:E,Productos!F:F=L587,Productos!H:H=N587),P587),IF(M587=SUM(D:D),""Finalizar"",""-"")))"),"")</f>
        <v/>
      </c>
      <c r="V587" s="4" t="str">
        <f>IFERROR(__xludf.DUMMYFUNCTION("IF(OR($U587="""",COUNTIF($I:$I,IFERROR(unique(filter(Prod_Prop!$H:$H,Prod_Prop!$G:$G=$U587,Prod_Prop!$E:$E=V$1)),""Check""))=0),"""",IFERROR(unique(filter(Prod_Prop!$H:$H,Prod_Prop!$G:$G=$U587,Prod_Prop!$E:$E=V$1)),""""))"),"")</f>
        <v/>
      </c>
      <c r="W587" s="4" t="str">
        <f>IF(V587="","",SUMIFS(Prod_Prop!$J:$J,Prod_Prop!$B:$B,$Q587,Prod_Prop!$H:$H,V587,Prod_Prop!$I:$I,W$1)*IF(V587="Peso",$R587,1))</f>
        <v/>
      </c>
      <c r="X587" s="4" t="str">
        <f>IF(V587="","",SUMIFS(Prod_Prop!$J:$J,Prod_Prop!$B:$B,$Q587,Prod_Prop!$H:$H,V587,Prod_Prop!$I:$I,X$1)*IF(V587="Peso",$R587,1))</f>
        <v/>
      </c>
      <c r="Y587" s="4" t="str">
        <f>IFERROR(__xludf.DUMMYFUNCTION("IF(OR($U587="""",COUNTIF($I:$I,IFERROR(unique(filter(Prod_Prop!$H:$H,Prod_Prop!$G:$G=$U587,Prod_Prop!$E:$E=Y$1)),""Check""))=0),"""",IFERROR(unique(filter(Prod_Prop!$H:$H,Prod_Prop!$G:$G=$U587,Prod_Prop!$E:$E=Y$1)),""""))"),"")</f>
        <v/>
      </c>
      <c r="Z587" s="4" t="str">
        <f>IF(Y587="","",SUMIFS(Prod_Prop!$J:$J,Prod_Prop!$B:$B,$Q587,Prod_Prop!$H:$H,Y587,Prod_Prop!$I:$I,Z$1)*IF(Y587="Peso",$R587,1))</f>
        <v/>
      </c>
      <c r="AA587" s="4" t="str">
        <f>IF(Y587="","",SUMIFS(Prod_Prop!$J:$J,Prod_Prop!$B:$B,$Q587,Prod_Prop!$H:$H,Y587,Prod_Prop!$I:$I,AA$1)*IF(Y587="Peso",$R587,1))</f>
        <v/>
      </c>
      <c r="AB587" s="4" t="str">
        <f>IFERROR(__xludf.DUMMYFUNCTION("IF(OR($U587="""",COUNTIF($I:$I,IFERROR(unique(filter(Prod_Prop!$H:$H,Prod_Prop!$G:$G=$U587,Prod_Prop!$E:$E=AB$1)),""Check""))=0),"""",IFERROR(unique(filter(Prod_Prop!$H:$H,Prod_Prop!$G:$G=$U587,Prod_Prop!$E:$E=AB$1)),""""))"),"")</f>
        <v/>
      </c>
      <c r="AC587" s="4" t="str">
        <f>IF(AB587="","",SUMIFS(Prod_Prop!$J:$J,Prod_Prop!$B:$B,$Q587,Prod_Prop!$H:$H,AB587,Prod_Prop!$I:$I,AC$1)*IF(AB587="Peso",$R587,1))</f>
        <v/>
      </c>
      <c r="AD587" s="4" t="str">
        <f>IF(AB587="","",SUMIFS(Prod_Prop!$J:$J,Prod_Prop!$B:$B,$Q587,Prod_Prop!$H:$H,AB587,Prod_Prop!$I:$I,AD$1)*IF(AB587="Peso",$R587,1))</f>
        <v/>
      </c>
    </row>
    <row r="588">
      <c r="A588" s="4" t="str">
        <f t="array" ref="A588">IF(COUNTIF(A$1:A587,Cotizador!F$2)=maxifs(Familias!E:E,Familias!D:D,Cotizador!F$2),IF(COUNTIF(A$1:A587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8" s="4" t="str">
        <f t="shared" si="1"/>
        <v/>
      </c>
      <c r="C588" s="4" t="str">
        <f t="array" ref="C588">IF(B588="","",IF(A588=XLOOKUP(A$2,Implementos!B:B,Implementos!C:C,"",0,1),B588+maxifs(B$1:B587,A$1:A587,A$2),B588))</f>
        <v/>
      </c>
      <c r="D588" s="4" t="str">
        <f>IF(B588="","", COUNTIFS(Productos!F:F,A588,Productos!H:H,B588)+IF(F588="SI",0,1))</f>
        <v/>
      </c>
      <c r="E588" s="4" t="str">
        <f>IFERROR(__xludf.DUMMYFUNCTION("IF($B588="""","""",INDEX(filter(Familias!F:F,Familias!$D:$D=$A588,Familias!$E:$E=$B588),1))"),"")</f>
        <v/>
      </c>
      <c r="F588" s="4" t="str">
        <f>IFERROR(__xludf.DUMMYFUNCTION("IF($B588="""","""",INDEX(filter(Familias!G:G,Familias!$D:$D=$A588,Familias!$E:$E=$B588),1))"),"")</f>
        <v/>
      </c>
      <c r="G588" s="4" t="str">
        <f t="array" ref="G588">IF(C588=1,XLOOKUP(C588,Cotizador!D:D,Cotizador!E:E,"",0,1),"")</f>
        <v/>
      </c>
      <c r="I588" s="4"/>
      <c r="J588" s="8" t="str">
        <f>IF(I588="","",SUMIF(Cotizador!I$1:V$1,I588,Cotizador!I$2:V$2))</f>
        <v/>
      </c>
      <c r="L588" s="4" t="str">
        <f t="array" ref="L588">IF(COUNTIF(L$1:L587,A$2)=SUMIF(A:A,A$2,D:D),IF(COUNTIF(L$1:L587,XLOOKUP(A$2,Implementos!B:B,Implementos!C:C,"",0,1))=SUMIF(A:A,XLOOKUP(A$2,Implementos!B:B,Implementos!C:C,"",0,1),D:D),"",XLOOKUP(A$2,Implementos!B:B,Implementos!C:C,"",0,1)),A$2)</f>
        <v/>
      </c>
      <c r="M588" s="4" t="str">
        <f t="shared" si="2"/>
        <v/>
      </c>
      <c r="N588" s="4" t="str">
        <f t="shared" si="3"/>
        <v/>
      </c>
      <c r="O588" s="4" t="str">
        <f t="shared" si="4"/>
        <v/>
      </c>
      <c r="P588" s="4" t="str">
        <f t="shared" si="5"/>
        <v/>
      </c>
      <c r="Q588" s="4" t="str">
        <f>IF(U588="","",SUMIF(Productos!E:E,U588,Productos!A:A))</f>
        <v/>
      </c>
      <c r="R588" s="4" t="str">
        <f t="array" ref="R588">IF(L588="","", max(1,SUMIF(I:I,XLOOKUP(U588,Productos!E:E,Productos!G:G,"",0,1),J:J)))</f>
        <v/>
      </c>
      <c r="S588" s="4" t="str">
        <f>IF(Q588="","",IF(SUMIFS(Compat_Vetado!D:D,Compat_Vetado!B:B,SUM(G:G),Compat_Vetado!C:C,Q588)=1,"SI",IF(OR(SUMIF(Cotizador!E:E,Q588,Cotizador!G:G)&gt;0,SUMIFS(Compat_Vetado!D:D,Compat_Vetado!B:B,SUM(G:G),Compat_Vetado!C:C,Q588)=-1),"NO","")))</f>
        <v/>
      </c>
      <c r="T588" s="4" t="str">
        <f t="shared" si="6"/>
        <v/>
      </c>
      <c r="U588" s="4" t="str">
        <f>IFERROR(__xludf.DUMMYFUNCTION("IF(P588="""","""",IFERROR(INDEX(filter(Productos!E:E,Productos!F:F=L588,Productos!H:H=N588),P588),IF(M588=SUM(D:D),""Finalizar"",""-"")))"),"")</f>
        <v/>
      </c>
      <c r="V588" s="4" t="str">
        <f>IFERROR(__xludf.DUMMYFUNCTION("IF(OR($U588="""",COUNTIF($I:$I,IFERROR(unique(filter(Prod_Prop!$H:$H,Prod_Prop!$G:$G=$U588,Prod_Prop!$E:$E=V$1)),""Check""))=0),"""",IFERROR(unique(filter(Prod_Prop!$H:$H,Prod_Prop!$G:$G=$U588,Prod_Prop!$E:$E=V$1)),""""))"),"")</f>
        <v/>
      </c>
      <c r="W588" s="4" t="str">
        <f>IF(V588="","",SUMIFS(Prod_Prop!$J:$J,Prod_Prop!$B:$B,$Q588,Prod_Prop!$H:$H,V588,Prod_Prop!$I:$I,W$1)*IF(V588="Peso",$R588,1))</f>
        <v/>
      </c>
      <c r="X588" s="4" t="str">
        <f>IF(V588="","",SUMIFS(Prod_Prop!$J:$J,Prod_Prop!$B:$B,$Q588,Prod_Prop!$H:$H,V588,Prod_Prop!$I:$I,X$1)*IF(V588="Peso",$R588,1))</f>
        <v/>
      </c>
      <c r="Y588" s="4" t="str">
        <f>IFERROR(__xludf.DUMMYFUNCTION("IF(OR($U588="""",COUNTIF($I:$I,IFERROR(unique(filter(Prod_Prop!$H:$H,Prod_Prop!$G:$G=$U588,Prod_Prop!$E:$E=Y$1)),""Check""))=0),"""",IFERROR(unique(filter(Prod_Prop!$H:$H,Prod_Prop!$G:$G=$U588,Prod_Prop!$E:$E=Y$1)),""""))"),"")</f>
        <v/>
      </c>
      <c r="Z588" s="4" t="str">
        <f>IF(Y588="","",SUMIFS(Prod_Prop!$J:$J,Prod_Prop!$B:$B,$Q588,Prod_Prop!$H:$H,Y588,Prod_Prop!$I:$I,Z$1)*IF(Y588="Peso",$R588,1))</f>
        <v/>
      </c>
      <c r="AA588" s="4" t="str">
        <f>IF(Y588="","",SUMIFS(Prod_Prop!$J:$J,Prod_Prop!$B:$B,$Q588,Prod_Prop!$H:$H,Y588,Prod_Prop!$I:$I,AA$1)*IF(Y588="Peso",$R588,1))</f>
        <v/>
      </c>
      <c r="AB588" s="4" t="str">
        <f>IFERROR(__xludf.DUMMYFUNCTION("IF(OR($U588="""",COUNTIF($I:$I,IFERROR(unique(filter(Prod_Prop!$H:$H,Prod_Prop!$G:$G=$U588,Prod_Prop!$E:$E=AB$1)),""Check""))=0),"""",IFERROR(unique(filter(Prod_Prop!$H:$H,Prod_Prop!$G:$G=$U588,Prod_Prop!$E:$E=AB$1)),""""))"),"")</f>
        <v/>
      </c>
      <c r="AC588" s="4" t="str">
        <f>IF(AB588="","",SUMIFS(Prod_Prop!$J:$J,Prod_Prop!$B:$B,$Q588,Prod_Prop!$H:$H,AB588,Prod_Prop!$I:$I,AC$1)*IF(AB588="Peso",$R588,1))</f>
        <v/>
      </c>
      <c r="AD588" s="4" t="str">
        <f>IF(AB588="","",SUMIFS(Prod_Prop!$J:$J,Prod_Prop!$B:$B,$Q588,Prod_Prop!$H:$H,AB588,Prod_Prop!$I:$I,AD$1)*IF(AB588="Peso",$R588,1))</f>
        <v/>
      </c>
    </row>
    <row r="589">
      <c r="A589" s="4" t="str">
        <f t="array" ref="A589">IF(COUNTIF(A$1:A588,Cotizador!F$2)=maxifs(Familias!E:E,Familias!D:D,Cotizador!F$2),IF(COUNTIF(A$1:A588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89" s="4" t="str">
        <f t="shared" si="1"/>
        <v/>
      </c>
      <c r="C589" s="4" t="str">
        <f t="array" ref="C589">IF(B589="","",IF(A589=XLOOKUP(A$2,Implementos!B:B,Implementos!C:C,"",0,1),B589+maxifs(B$1:B588,A$1:A588,A$2),B589))</f>
        <v/>
      </c>
      <c r="D589" s="4" t="str">
        <f>IF(B589="","", COUNTIFS(Productos!F:F,A589,Productos!H:H,B589)+IF(F589="SI",0,1))</f>
        <v/>
      </c>
      <c r="E589" s="4" t="str">
        <f>IFERROR(__xludf.DUMMYFUNCTION("IF($B589="""","""",INDEX(filter(Familias!F:F,Familias!$D:$D=$A589,Familias!$E:$E=$B589),1))"),"")</f>
        <v/>
      </c>
      <c r="F589" s="4" t="str">
        <f>IFERROR(__xludf.DUMMYFUNCTION("IF($B589="""","""",INDEX(filter(Familias!G:G,Familias!$D:$D=$A589,Familias!$E:$E=$B589),1))"),"")</f>
        <v/>
      </c>
      <c r="G589" s="4" t="str">
        <f t="array" ref="G589">IF(C589=1,XLOOKUP(C589,Cotizador!D:D,Cotizador!E:E,"",0,1),"")</f>
        <v/>
      </c>
      <c r="I589" s="4"/>
      <c r="J589" s="8" t="str">
        <f>IF(I589="","",SUMIF(Cotizador!I$1:V$1,I589,Cotizador!I$2:V$2))</f>
        <v/>
      </c>
      <c r="L589" s="4" t="str">
        <f t="array" ref="L589">IF(COUNTIF(L$1:L588,A$2)=SUMIF(A:A,A$2,D:D),IF(COUNTIF(L$1:L588,XLOOKUP(A$2,Implementos!B:B,Implementos!C:C,"",0,1))=SUMIF(A:A,XLOOKUP(A$2,Implementos!B:B,Implementos!C:C,"",0,1),D:D),"",XLOOKUP(A$2,Implementos!B:B,Implementos!C:C,"",0,1)),A$2)</f>
        <v/>
      </c>
      <c r="M589" s="4" t="str">
        <f t="shared" si="2"/>
        <v/>
      </c>
      <c r="N589" s="4" t="str">
        <f t="shared" si="3"/>
        <v/>
      </c>
      <c r="O589" s="4" t="str">
        <f t="shared" si="4"/>
        <v/>
      </c>
      <c r="P589" s="4" t="str">
        <f t="shared" si="5"/>
        <v/>
      </c>
      <c r="Q589" s="4" t="str">
        <f>IF(U589="","",SUMIF(Productos!E:E,U589,Productos!A:A))</f>
        <v/>
      </c>
      <c r="R589" s="4" t="str">
        <f t="array" ref="R589">IF(L589="","", max(1,SUMIF(I:I,XLOOKUP(U589,Productos!E:E,Productos!G:G,"",0,1),J:J)))</f>
        <v/>
      </c>
      <c r="S589" s="4" t="str">
        <f>IF(Q589="","",IF(SUMIFS(Compat_Vetado!D:D,Compat_Vetado!B:B,SUM(G:G),Compat_Vetado!C:C,Q589)=1,"SI",IF(OR(SUMIF(Cotizador!E:E,Q589,Cotizador!G:G)&gt;0,SUMIFS(Compat_Vetado!D:D,Compat_Vetado!B:B,SUM(G:G),Compat_Vetado!C:C,Q589)=-1),"NO","")))</f>
        <v/>
      </c>
      <c r="T589" s="4" t="str">
        <f t="shared" si="6"/>
        <v/>
      </c>
      <c r="U589" s="4" t="str">
        <f>IFERROR(__xludf.DUMMYFUNCTION("IF(P589="""","""",IFERROR(INDEX(filter(Productos!E:E,Productos!F:F=L589,Productos!H:H=N589),P589),IF(M589=SUM(D:D),""Finalizar"",""-"")))"),"")</f>
        <v/>
      </c>
      <c r="V589" s="4" t="str">
        <f>IFERROR(__xludf.DUMMYFUNCTION("IF(OR($U589="""",COUNTIF($I:$I,IFERROR(unique(filter(Prod_Prop!$H:$H,Prod_Prop!$G:$G=$U589,Prod_Prop!$E:$E=V$1)),""Check""))=0),"""",IFERROR(unique(filter(Prod_Prop!$H:$H,Prod_Prop!$G:$G=$U589,Prod_Prop!$E:$E=V$1)),""""))"),"")</f>
        <v/>
      </c>
      <c r="W589" s="4" t="str">
        <f>IF(V589="","",SUMIFS(Prod_Prop!$J:$J,Prod_Prop!$B:$B,$Q589,Prod_Prop!$H:$H,V589,Prod_Prop!$I:$I,W$1)*IF(V589="Peso",$R589,1))</f>
        <v/>
      </c>
      <c r="X589" s="4" t="str">
        <f>IF(V589="","",SUMIFS(Prod_Prop!$J:$J,Prod_Prop!$B:$B,$Q589,Prod_Prop!$H:$H,V589,Prod_Prop!$I:$I,X$1)*IF(V589="Peso",$R589,1))</f>
        <v/>
      </c>
      <c r="Y589" s="4" t="str">
        <f>IFERROR(__xludf.DUMMYFUNCTION("IF(OR($U589="""",COUNTIF($I:$I,IFERROR(unique(filter(Prod_Prop!$H:$H,Prod_Prop!$G:$G=$U589,Prod_Prop!$E:$E=Y$1)),""Check""))=0),"""",IFERROR(unique(filter(Prod_Prop!$H:$H,Prod_Prop!$G:$G=$U589,Prod_Prop!$E:$E=Y$1)),""""))"),"")</f>
        <v/>
      </c>
      <c r="Z589" s="4" t="str">
        <f>IF(Y589="","",SUMIFS(Prod_Prop!$J:$J,Prod_Prop!$B:$B,$Q589,Prod_Prop!$H:$H,Y589,Prod_Prop!$I:$I,Z$1)*IF(Y589="Peso",$R589,1))</f>
        <v/>
      </c>
      <c r="AA589" s="4" t="str">
        <f>IF(Y589="","",SUMIFS(Prod_Prop!$J:$J,Prod_Prop!$B:$B,$Q589,Prod_Prop!$H:$H,Y589,Prod_Prop!$I:$I,AA$1)*IF(Y589="Peso",$R589,1))</f>
        <v/>
      </c>
      <c r="AB589" s="4" t="str">
        <f>IFERROR(__xludf.DUMMYFUNCTION("IF(OR($U589="""",COUNTIF($I:$I,IFERROR(unique(filter(Prod_Prop!$H:$H,Prod_Prop!$G:$G=$U589,Prod_Prop!$E:$E=AB$1)),""Check""))=0),"""",IFERROR(unique(filter(Prod_Prop!$H:$H,Prod_Prop!$G:$G=$U589,Prod_Prop!$E:$E=AB$1)),""""))"),"")</f>
        <v/>
      </c>
      <c r="AC589" s="4" t="str">
        <f>IF(AB589="","",SUMIFS(Prod_Prop!$J:$J,Prod_Prop!$B:$B,$Q589,Prod_Prop!$H:$H,AB589,Prod_Prop!$I:$I,AC$1)*IF(AB589="Peso",$R589,1))</f>
        <v/>
      </c>
      <c r="AD589" s="4" t="str">
        <f>IF(AB589="","",SUMIFS(Prod_Prop!$J:$J,Prod_Prop!$B:$B,$Q589,Prod_Prop!$H:$H,AB589,Prod_Prop!$I:$I,AD$1)*IF(AB589="Peso",$R589,1))</f>
        <v/>
      </c>
    </row>
    <row r="590">
      <c r="A590" s="4" t="str">
        <f t="array" ref="A590">IF(COUNTIF(A$1:A589,Cotizador!F$2)=maxifs(Familias!E:E,Familias!D:D,Cotizador!F$2),IF(COUNTIF(A$1:A589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0" s="4" t="str">
        <f t="shared" si="1"/>
        <v/>
      </c>
      <c r="C590" s="4" t="str">
        <f t="array" ref="C590">IF(B590="","",IF(A590=XLOOKUP(A$2,Implementos!B:B,Implementos!C:C,"",0,1),B590+maxifs(B$1:B589,A$1:A589,A$2),B590))</f>
        <v/>
      </c>
      <c r="D590" s="4" t="str">
        <f>IF(B590="","", COUNTIFS(Productos!F:F,A590,Productos!H:H,B590)+IF(F590="SI",0,1))</f>
        <v/>
      </c>
      <c r="E590" s="4" t="str">
        <f>IFERROR(__xludf.DUMMYFUNCTION("IF($B590="""","""",INDEX(filter(Familias!F:F,Familias!$D:$D=$A590,Familias!$E:$E=$B590),1))"),"")</f>
        <v/>
      </c>
      <c r="F590" s="4" t="str">
        <f>IFERROR(__xludf.DUMMYFUNCTION("IF($B590="""","""",INDEX(filter(Familias!G:G,Familias!$D:$D=$A590,Familias!$E:$E=$B590),1))"),"")</f>
        <v/>
      </c>
      <c r="G590" s="4" t="str">
        <f t="array" ref="G590">IF(C590=1,XLOOKUP(C590,Cotizador!D:D,Cotizador!E:E,"",0,1),"")</f>
        <v/>
      </c>
      <c r="I590" s="4"/>
      <c r="J590" s="8" t="str">
        <f>IF(I590="","",SUMIF(Cotizador!I$1:V$1,I590,Cotizador!I$2:V$2))</f>
        <v/>
      </c>
      <c r="L590" s="4" t="str">
        <f t="array" ref="L590">IF(COUNTIF(L$1:L589,A$2)=SUMIF(A:A,A$2,D:D),IF(COUNTIF(L$1:L589,XLOOKUP(A$2,Implementos!B:B,Implementos!C:C,"",0,1))=SUMIF(A:A,XLOOKUP(A$2,Implementos!B:B,Implementos!C:C,"",0,1),D:D),"",XLOOKUP(A$2,Implementos!B:B,Implementos!C:C,"",0,1)),A$2)</f>
        <v/>
      </c>
      <c r="M590" s="4" t="str">
        <f t="shared" si="2"/>
        <v/>
      </c>
      <c r="N590" s="4" t="str">
        <f t="shared" si="3"/>
        <v/>
      </c>
      <c r="O590" s="4" t="str">
        <f t="shared" si="4"/>
        <v/>
      </c>
      <c r="P590" s="4" t="str">
        <f t="shared" si="5"/>
        <v/>
      </c>
      <c r="Q590" s="4" t="str">
        <f>IF(U590="","",SUMIF(Productos!E:E,U590,Productos!A:A))</f>
        <v/>
      </c>
      <c r="R590" s="4" t="str">
        <f t="array" ref="R590">IF(L590="","", max(1,SUMIF(I:I,XLOOKUP(U590,Productos!E:E,Productos!G:G,"",0,1),J:J)))</f>
        <v/>
      </c>
      <c r="S590" s="4" t="str">
        <f>IF(Q590="","",IF(SUMIFS(Compat_Vetado!D:D,Compat_Vetado!B:B,SUM(G:G),Compat_Vetado!C:C,Q590)=1,"SI",IF(OR(SUMIF(Cotizador!E:E,Q590,Cotizador!G:G)&gt;0,SUMIFS(Compat_Vetado!D:D,Compat_Vetado!B:B,SUM(G:G),Compat_Vetado!C:C,Q590)=-1),"NO","")))</f>
        <v/>
      </c>
      <c r="T590" s="4" t="str">
        <f t="shared" si="6"/>
        <v/>
      </c>
      <c r="U590" s="4" t="str">
        <f>IFERROR(__xludf.DUMMYFUNCTION("IF(P590="""","""",IFERROR(INDEX(filter(Productos!E:E,Productos!F:F=L590,Productos!H:H=N590),P590),IF(M590=SUM(D:D),""Finalizar"",""-"")))"),"")</f>
        <v/>
      </c>
      <c r="V590" s="4" t="str">
        <f>IFERROR(__xludf.DUMMYFUNCTION("IF(OR($U590="""",COUNTIF($I:$I,IFERROR(unique(filter(Prod_Prop!$H:$H,Prod_Prop!$G:$G=$U590,Prod_Prop!$E:$E=V$1)),""Check""))=0),"""",IFERROR(unique(filter(Prod_Prop!$H:$H,Prod_Prop!$G:$G=$U590,Prod_Prop!$E:$E=V$1)),""""))"),"")</f>
        <v/>
      </c>
      <c r="W590" s="4" t="str">
        <f>IF(V590="","",SUMIFS(Prod_Prop!$J:$J,Prod_Prop!$B:$B,$Q590,Prod_Prop!$H:$H,V590,Prod_Prop!$I:$I,W$1)*IF(V590="Peso",$R590,1))</f>
        <v/>
      </c>
      <c r="X590" s="4" t="str">
        <f>IF(V590="","",SUMIFS(Prod_Prop!$J:$J,Prod_Prop!$B:$B,$Q590,Prod_Prop!$H:$H,V590,Prod_Prop!$I:$I,X$1)*IF(V590="Peso",$R590,1))</f>
        <v/>
      </c>
      <c r="Y590" s="4" t="str">
        <f>IFERROR(__xludf.DUMMYFUNCTION("IF(OR($U590="""",COUNTIF($I:$I,IFERROR(unique(filter(Prod_Prop!$H:$H,Prod_Prop!$G:$G=$U590,Prod_Prop!$E:$E=Y$1)),""Check""))=0),"""",IFERROR(unique(filter(Prod_Prop!$H:$H,Prod_Prop!$G:$G=$U590,Prod_Prop!$E:$E=Y$1)),""""))"),"")</f>
        <v/>
      </c>
      <c r="Z590" s="4" t="str">
        <f>IF(Y590="","",SUMIFS(Prod_Prop!$J:$J,Prod_Prop!$B:$B,$Q590,Prod_Prop!$H:$H,Y590,Prod_Prop!$I:$I,Z$1)*IF(Y590="Peso",$R590,1))</f>
        <v/>
      </c>
      <c r="AA590" s="4" t="str">
        <f>IF(Y590="","",SUMIFS(Prod_Prop!$J:$J,Prod_Prop!$B:$B,$Q590,Prod_Prop!$H:$H,Y590,Prod_Prop!$I:$I,AA$1)*IF(Y590="Peso",$R590,1))</f>
        <v/>
      </c>
      <c r="AB590" s="4" t="str">
        <f>IFERROR(__xludf.DUMMYFUNCTION("IF(OR($U590="""",COUNTIF($I:$I,IFERROR(unique(filter(Prod_Prop!$H:$H,Prod_Prop!$G:$G=$U590,Prod_Prop!$E:$E=AB$1)),""Check""))=0),"""",IFERROR(unique(filter(Prod_Prop!$H:$H,Prod_Prop!$G:$G=$U590,Prod_Prop!$E:$E=AB$1)),""""))"),"")</f>
        <v/>
      </c>
      <c r="AC590" s="4" t="str">
        <f>IF(AB590="","",SUMIFS(Prod_Prop!$J:$J,Prod_Prop!$B:$B,$Q590,Prod_Prop!$H:$H,AB590,Prod_Prop!$I:$I,AC$1)*IF(AB590="Peso",$R590,1))</f>
        <v/>
      </c>
      <c r="AD590" s="4" t="str">
        <f>IF(AB590="","",SUMIFS(Prod_Prop!$J:$J,Prod_Prop!$B:$B,$Q590,Prod_Prop!$H:$H,AB590,Prod_Prop!$I:$I,AD$1)*IF(AB590="Peso",$R590,1))</f>
        <v/>
      </c>
    </row>
    <row r="591">
      <c r="A591" s="4" t="str">
        <f t="array" ref="A591">IF(COUNTIF(A$1:A590,Cotizador!F$2)=maxifs(Familias!E:E,Familias!D:D,Cotizador!F$2),IF(COUNTIF(A$1:A590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1" s="4" t="str">
        <f t="shared" si="1"/>
        <v/>
      </c>
      <c r="C591" s="4" t="str">
        <f t="array" ref="C591">IF(B591="","",IF(A591=XLOOKUP(A$2,Implementos!B:B,Implementos!C:C,"",0,1),B591+maxifs(B$1:B590,A$1:A590,A$2),B591))</f>
        <v/>
      </c>
      <c r="D591" s="4" t="str">
        <f>IF(B591="","", COUNTIFS(Productos!F:F,A591,Productos!H:H,B591)+IF(F591="SI",0,1))</f>
        <v/>
      </c>
      <c r="E591" s="4" t="str">
        <f>IFERROR(__xludf.DUMMYFUNCTION("IF($B591="""","""",INDEX(filter(Familias!F:F,Familias!$D:$D=$A591,Familias!$E:$E=$B591),1))"),"")</f>
        <v/>
      </c>
      <c r="F591" s="4" t="str">
        <f>IFERROR(__xludf.DUMMYFUNCTION("IF($B591="""","""",INDEX(filter(Familias!G:G,Familias!$D:$D=$A591,Familias!$E:$E=$B591),1))"),"")</f>
        <v/>
      </c>
      <c r="G591" s="4" t="str">
        <f t="array" ref="G591">IF(C591=1,XLOOKUP(C591,Cotizador!D:D,Cotizador!E:E,"",0,1),"")</f>
        <v/>
      </c>
      <c r="I591" s="4"/>
      <c r="J591" s="8" t="str">
        <f>IF(I591="","",SUMIF(Cotizador!I$1:V$1,I591,Cotizador!I$2:V$2))</f>
        <v/>
      </c>
      <c r="L591" s="4" t="str">
        <f t="array" ref="L591">IF(COUNTIF(L$1:L590,A$2)=SUMIF(A:A,A$2,D:D),IF(COUNTIF(L$1:L590,XLOOKUP(A$2,Implementos!B:B,Implementos!C:C,"",0,1))=SUMIF(A:A,XLOOKUP(A$2,Implementos!B:B,Implementos!C:C,"",0,1),D:D),"",XLOOKUP(A$2,Implementos!B:B,Implementos!C:C,"",0,1)),A$2)</f>
        <v/>
      </c>
      <c r="M591" s="4" t="str">
        <f t="shared" si="2"/>
        <v/>
      </c>
      <c r="N591" s="4" t="str">
        <f t="shared" si="3"/>
        <v/>
      </c>
      <c r="O591" s="4" t="str">
        <f t="shared" si="4"/>
        <v/>
      </c>
      <c r="P591" s="4" t="str">
        <f t="shared" si="5"/>
        <v/>
      </c>
      <c r="Q591" s="4" t="str">
        <f>IF(U591="","",SUMIF(Productos!E:E,U591,Productos!A:A))</f>
        <v/>
      </c>
      <c r="R591" s="4" t="str">
        <f t="array" ref="R591">IF(L591="","", max(1,SUMIF(I:I,XLOOKUP(U591,Productos!E:E,Productos!G:G,"",0,1),J:J)))</f>
        <v/>
      </c>
      <c r="S591" s="4" t="str">
        <f>IF(Q591="","",IF(SUMIFS(Compat_Vetado!D:D,Compat_Vetado!B:B,SUM(G:G),Compat_Vetado!C:C,Q591)=1,"SI",IF(OR(SUMIF(Cotizador!E:E,Q591,Cotizador!G:G)&gt;0,SUMIFS(Compat_Vetado!D:D,Compat_Vetado!B:B,SUM(G:G),Compat_Vetado!C:C,Q591)=-1),"NO","")))</f>
        <v/>
      </c>
      <c r="T591" s="4" t="str">
        <f t="shared" si="6"/>
        <v/>
      </c>
      <c r="U591" s="4" t="str">
        <f>IFERROR(__xludf.DUMMYFUNCTION("IF(P591="""","""",IFERROR(INDEX(filter(Productos!E:E,Productos!F:F=L591,Productos!H:H=N591),P591),IF(M591=SUM(D:D),""Finalizar"",""-"")))"),"")</f>
        <v/>
      </c>
      <c r="V591" s="4" t="str">
        <f>IFERROR(__xludf.DUMMYFUNCTION("IF(OR($U591="""",COUNTIF($I:$I,IFERROR(unique(filter(Prod_Prop!$H:$H,Prod_Prop!$G:$G=$U591,Prod_Prop!$E:$E=V$1)),""Check""))=0),"""",IFERROR(unique(filter(Prod_Prop!$H:$H,Prod_Prop!$G:$G=$U591,Prod_Prop!$E:$E=V$1)),""""))"),"")</f>
        <v/>
      </c>
      <c r="W591" s="4" t="str">
        <f>IF(V591="","",SUMIFS(Prod_Prop!$J:$J,Prod_Prop!$B:$B,$Q591,Prod_Prop!$H:$H,V591,Prod_Prop!$I:$I,W$1)*IF(V591="Peso",$R591,1))</f>
        <v/>
      </c>
      <c r="X591" s="4" t="str">
        <f>IF(V591="","",SUMIFS(Prod_Prop!$J:$J,Prod_Prop!$B:$B,$Q591,Prod_Prop!$H:$H,V591,Prod_Prop!$I:$I,X$1)*IF(V591="Peso",$R591,1))</f>
        <v/>
      </c>
      <c r="Y591" s="4" t="str">
        <f>IFERROR(__xludf.DUMMYFUNCTION("IF(OR($U591="""",COUNTIF($I:$I,IFERROR(unique(filter(Prod_Prop!$H:$H,Prod_Prop!$G:$G=$U591,Prod_Prop!$E:$E=Y$1)),""Check""))=0),"""",IFERROR(unique(filter(Prod_Prop!$H:$H,Prod_Prop!$G:$G=$U591,Prod_Prop!$E:$E=Y$1)),""""))"),"")</f>
        <v/>
      </c>
      <c r="Z591" s="4" t="str">
        <f>IF(Y591="","",SUMIFS(Prod_Prop!$J:$J,Prod_Prop!$B:$B,$Q591,Prod_Prop!$H:$H,Y591,Prod_Prop!$I:$I,Z$1)*IF(Y591="Peso",$R591,1))</f>
        <v/>
      </c>
      <c r="AA591" s="4" t="str">
        <f>IF(Y591="","",SUMIFS(Prod_Prop!$J:$J,Prod_Prop!$B:$B,$Q591,Prod_Prop!$H:$H,Y591,Prod_Prop!$I:$I,AA$1)*IF(Y591="Peso",$R591,1))</f>
        <v/>
      </c>
      <c r="AB591" s="4" t="str">
        <f>IFERROR(__xludf.DUMMYFUNCTION("IF(OR($U591="""",COUNTIF($I:$I,IFERROR(unique(filter(Prod_Prop!$H:$H,Prod_Prop!$G:$G=$U591,Prod_Prop!$E:$E=AB$1)),""Check""))=0),"""",IFERROR(unique(filter(Prod_Prop!$H:$H,Prod_Prop!$G:$G=$U591,Prod_Prop!$E:$E=AB$1)),""""))"),"")</f>
        <v/>
      </c>
      <c r="AC591" s="4" t="str">
        <f>IF(AB591="","",SUMIFS(Prod_Prop!$J:$J,Prod_Prop!$B:$B,$Q591,Prod_Prop!$H:$H,AB591,Prod_Prop!$I:$I,AC$1)*IF(AB591="Peso",$R591,1))</f>
        <v/>
      </c>
      <c r="AD591" s="4" t="str">
        <f>IF(AB591="","",SUMIFS(Prod_Prop!$J:$J,Prod_Prop!$B:$B,$Q591,Prod_Prop!$H:$H,AB591,Prod_Prop!$I:$I,AD$1)*IF(AB591="Peso",$R591,1))</f>
        <v/>
      </c>
    </row>
    <row r="592">
      <c r="A592" s="4" t="str">
        <f t="array" ref="A592">IF(COUNTIF(A$1:A591,Cotizador!F$2)=maxifs(Familias!E:E,Familias!D:D,Cotizador!F$2),IF(COUNTIF(A$1:A591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2" s="4" t="str">
        <f t="shared" si="1"/>
        <v/>
      </c>
      <c r="C592" s="4" t="str">
        <f t="array" ref="C592">IF(B592="","",IF(A592=XLOOKUP(A$2,Implementos!B:B,Implementos!C:C,"",0,1),B592+maxifs(B$1:B591,A$1:A591,A$2),B592))</f>
        <v/>
      </c>
      <c r="D592" s="4" t="str">
        <f>IF(B592="","", COUNTIFS(Productos!F:F,A592,Productos!H:H,B592)+IF(F592="SI",0,1))</f>
        <v/>
      </c>
      <c r="E592" s="4" t="str">
        <f>IFERROR(__xludf.DUMMYFUNCTION("IF($B592="""","""",INDEX(filter(Familias!F:F,Familias!$D:$D=$A592,Familias!$E:$E=$B592),1))"),"")</f>
        <v/>
      </c>
      <c r="F592" s="4" t="str">
        <f>IFERROR(__xludf.DUMMYFUNCTION("IF($B592="""","""",INDEX(filter(Familias!G:G,Familias!$D:$D=$A592,Familias!$E:$E=$B592),1))"),"")</f>
        <v/>
      </c>
      <c r="G592" s="4" t="str">
        <f t="array" ref="G592">IF(C592=1,XLOOKUP(C592,Cotizador!D:D,Cotizador!E:E,"",0,1),"")</f>
        <v/>
      </c>
      <c r="I592" s="4"/>
      <c r="J592" s="8" t="str">
        <f>IF(I592="","",SUMIF(Cotizador!I$1:V$1,I592,Cotizador!I$2:V$2))</f>
        <v/>
      </c>
      <c r="L592" s="4" t="str">
        <f t="array" ref="L592">IF(COUNTIF(L$1:L591,A$2)=SUMIF(A:A,A$2,D:D),IF(COUNTIF(L$1:L591,XLOOKUP(A$2,Implementos!B:B,Implementos!C:C,"",0,1))=SUMIF(A:A,XLOOKUP(A$2,Implementos!B:B,Implementos!C:C,"",0,1),D:D),"",XLOOKUP(A$2,Implementos!B:B,Implementos!C:C,"",0,1)),A$2)</f>
        <v/>
      </c>
      <c r="M592" s="4" t="str">
        <f t="shared" si="2"/>
        <v/>
      </c>
      <c r="N592" s="4" t="str">
        <f t="shared" si="3"/>
        <v/>
      </c>
      <c r="O592" s="4" t="str">
        <f t="shared" si="4"/>
        <v/>
      </c>
      <c r="P592" s="4" t="str">
        <f t="shared" si="5"/>
        <v/>
      </c>
      <c r="Q592" s="4" t="str">
        <f>IF(U592="","",SUMIF(Productos!E:E,U592,Productos!A:A))</f>
        <v/>
      </c>
      <c r="R592" s="4" t="str">
        <f t="array" ref="R592">IF(L592="","", max(1,SUMIF(I:I,XLOOKUP(U592,Productos!E:E,Productos!G:G,"",0,1),J:J)))</f>
        <v/>
      </c>
      <c r="S592" s="4" t="str">
        <f>IF(Q592="","",IF(SUMIFS(Compat_Vetado!D:D,Compat_Vetado!B:B,SUM(G:G),Compat_Vetado!C:C,Q592)=1,"SI",IF(OR(SUMIF(Cotizador!E:E,Q592,Cotizador!G:G)&gt;0,SUMIFS(Compat_Vetado!D:D,Compat_Vetado!B:B,SUM(G:G),Compat_Vetado!C:C,Q592)=-1),"NO","")))</f>
        <v/>
      </c>
      <c r="T592" s="4" t="str">
        <f t="shared" si="6"/>
        <v/>
      </c>
      <c r="U592" s="4" t="str">
        <f>IFERROR(__xludf.DUMMYFUNCTION("IF(P592="""","""",IFERROR(INDEX(filter(Productos!E:E,Productos!F:F=L592,Productos!H:H=N592),P592),IF(M592=SUM(D:D),""Finalizar"",""-"")))"),"")</f>
        <v/>
      </c>
      <c r="V592" s="4" t="str">
        <f>IFERROR(__xludf.DUMMYFUNCTION("IF(OR($U592="""",COUNTIF($I:$I,IFERROR(unique(filter(Prod_Prop!$H:$H,Prod_Prop!$G:$G=$U592,Prod_Prop!$E:$E=V$1)),""Check""))=0),"""",IFERROR(unique(filter(Prod_Prop!$H:$H,Prod_Prop!$G:$G=$U592,Prod_Prop!$E:$E=V$1)),""""))"),"")</f>
        <v/>
      </c>
      <c r="W592" s="4" t="str">
        <f>IF(V592="","",SUMIFS(Prod_Prop!$J:$J,Prod_Prop!$B:$B,$Q592,Prod_Prop!$H:$H,V592,Prod_Prop!$I:$I,W$1)*IF(V592="Peso",$R592,1))</f>
        <v/>
      </c>
      <c r="X592" s="4" t="str">
        <f>IF(V592="","",SUMIFS(Prod_Prop!$J:$J,Prod_Prop!$B:$B,$Q592,Prod_Prop!$H:$H,V592,Prod_Prop!$I:$I,X$1)*IF(V592="Peso",$R592,1))</f>
        <v/>
      </c>
      <c r="Y592" s="4" t="str">
        <f>IFERROR(__xludf.DUMMYFUNCTION("IF(OR($U592="""",COUNTIF($I:$I,IFERROR(unique(filter(Prod_Prop!$H:$H,Prod_Prop!$G:$G=$U592,Prod_Prop!$E:$E=Y$1)),""Check""))=0),"""",IFERROR(unique(filter(Prod_Prop!$H:$H,Prod_Prop!$G:$G=$U592,Prod_Prop!$E:$E=Y$1)),""""))"),"")</f>
        <v/>
      </c>
      <c r="Z592" s="4" t="str">
        <f>IF(Y592="","",SUMIFS(Prod_Prop!$J:$J,Prod_Prop!$B:$B,$Q592,Prod_Prop!$H:$H,Y592,Prod_Prop!$I:$I,Z$1)*IF(Y592="Peso",$R592,1))</f>
        <v/>
      </c>
      <c r="AA592" s="4" t="str">
        <f>IF(Y592="","",SUMIFS(Prod_Prop!$J:$J,Prod_Prop!$B:$B,$Q592,Prod_Prop!$H:$H,Y592,Prod_Prop!$I:$I,AA$1)*IF(Y592="Peso",$R592,1))</f>
        <v/>
      </c>
      <c r="AB592" s="4" t="str">
        <f>IFERROR(__xludf.DUMMYFUNCTION("IF(OR($U592="""",COUNTIF($I:$I,IFERROR(unique(filter(Prod_Prop!$H:$H,Prod_Prop!$G:$G=$U592,Prod_Prop!$E:$E=AB$1)),""Check""))=0),"""",IFERROR(unique(filter(Prod_Prop!$H:$H,Prod_Prop!$G:$G=$U592,Prod_Prop!$E:$E=AB$1)),""""))"),"")</f>
        <v/>
      </c>
      <c r="AC592" s="4" t="str">
        <f>IF(AB592="","",SUMIFS(Prod_Prop!$J:$J,Prod_Prop!$B:$B,$Q592,Prod_Prop!$H:$H,AB592,Prod_Prop!$I:$I,AC$1)*IF(AB592="Peso",$R592,1))</f>
        <v/>
      </c>
      <c r="AD592" s="4" t="str">
        <f>IF(AB592="","",SUMIFS(Prod_Prop!$J:$J,Prod_Prop!$B:$B,$Q592,Prod_Prop!$H:$H,AB592,Prod_Prop!$I:$I,AD$1)*IF(AB592="Peso",$R592,1))</f>
        <v/>
      </c>
    </row>
    <row r="593">
      <c r="A593" s="4" t="str">
        <f t="array" ref="A593">IF(COUNTIF(A$1:A592,Cotizador!F$2)=maxifs(Familias!E:E,Familias!D:D,Cotizador!F$2),IF(COUNTIF(A$1:A592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3" s="4" t="str">
        <f t="shared" si="1"/>
        <v/>
      </c>
      <c r="C593" s="4" t="str">
        <f t="array" ref="C593">IF(B593="","",IF(A593=XLOOKUP(A$2,Implementos!B:B,Implementos!C:C,"",0,1),B593+maxifs(B$1:B592,A$1:A592,A$2),B593))</f>
        <v/>
      </c>
      <c r="D593" s="4" t="str">
        <f>IF(B593="","", COUNTIFS(Productos!F:F,A593,Productos!H:H,B593)+IF(F593="SI",0,1))</f>
        <v/>
      </c>
      <c r="E593" s="4" t="str">
        <f>IFERROR(__xludf.DUMMYFUNCTION("IF($B593="""","""",INDEX(filter(Familias!F:F,Familias!$D:$D=$A593,Familias!$E:$E=$B593),1))"),"")</f>
        <v/>
      </c>
      <c r="F593" s="4" t="str">
        <f>IFERROR(__xludf.DUMMYFUNCTION("IF($B593="""","""",INDEX(filter(Familias!G:G,Familias!$D:$D=$A593,Familias!$E:$E=$B593),1))"),"")</f>
        <v/>
      </c>
      <c r="G593" s="4" t="str">
        <f t="array" ref="G593">IF(C593=1,XLOOKUP(C593,Cotizador!D:D,Cotizador!E:E,"",0,1),"")</f>
        <v/>
      </c>
      <c r="I593" s="4"/>
      <c r="J593" s="8" t="str">
        <f>IF(I593="","",SUMIF(Cotizador!I$1:V$1,I593,Cotizador!I$2:V$2))</f>
        <v/>
      </c>
      <c r="L593" s="4" t="str">
        <f t="array" ref="L593">IF(COUNTIF(L$1:L592,A$2)=SUMIF(A:A,A$2,D:D),IF(COUNTIF(L$1:L592,XLOOKUP(A$2,Implementos!B:B,Implementos!C:C,"",0,1))=SUMIF(A:A,XLOOKUP(A$2,Implementos!B:B,Implementos!C:C,"",0,1),D:D),"",XLOOKUP(A$2,Implementos!B:B,Implementos!C:C,"",0,1)),A$2)</f>
        <v/>
      </c>
      <c r="M593" s="4" t="str">
        <f t="shared" si="2"/>
        <v/>
      </c>
      <c r="N593" s="4" t="str">
        <f t="shared" si="3"/>
        <v/>
      </c>
      <c r="O593" s="4" t="str">
        <f t="shared" si="4"/>
        <v/>
      </c>
      <c r="P593" s="4" t="str">
        <f t="shared" si="5"/>
        <v/>
      </c>
      <c r="Q593" s="4" t="str">
        <f>IF(U593="","",SUMIF(Productos!E:E,U593,Productos!A:A))</f>
        <v/>
      </c>
      <c r="R593" s="4" t="str">
        <f t="array" ref="R593">IF(L593="","", max(1,SUMIF(I:I,XLOOKUP(U593,Productos!E:E,Productos!G:G,"",0,1),J:J)))</f>
        <v/>
      </c>
      <c r="S593" s="4" t="str">
        <f>IF(Q593="","",IF(SUMIFS(Compat_Vetado!D:D,Compat_Vetado!B:B,SUM(G:G),Compat_Vetado!C:C,Q593)=1,"SI",IF(OR(SUMIF(Cotizador!E:E,Q593,Cotizador!G:G)&gt;0,SUMIFS(Compat_Vetado!D:D,Compat_Vetado!B:B,SUM(G:G),Compat_Vetado!C:C,Q593)=-1),"NO","")))</f>
        <v/>
      </c>
      <c r="T593" s="4" t="str">
        <f t="shared" si="6"/>
        <v/>
      </c>
      <c r="U593" s="4" t="str">
        <f>IFERROR(__xludf.DUMMYFUNCTION("IF(P593="""","""",IFERROR(INDEX(filter(Productos!E:E,Productos!F:F=L593,Productos!H:H=N593),P593),IF(M593=SUM(D:D),""Finalizar"",""-"")))"),"")</f>
        <v/>
      </c>
      <c r="V593" s="4" t="str">
        <f>IFERROR(__xludf.DUMMYFUNCTION("IF(OR($U593="""",COUNTIF($I:$I,IFERROR(unique(filter(Prod_Prop!$H:$H,Prod_Prop!$G:$G=$U593,Prod_Prop!$E:$E=V$1)),""Check""))=0),"""",IFERROR(unique(filter(Prod_Prop!$H:$H,Prod_Prop!$G:$G=$U593,Prod_Prop!$E:$E=V$1)),""""))"),"")</f>
        <v/>
      </c>
      <c r="W593" s="4" t="str">
        <f>IF(V593="","",SUMIFS(Prod_Prop!$J:$J,Prod_Prop!$B:$B,$Q593,Prod_Prop!$H:$H,V593,Prod_Prop!$I:$I,W$1)*IF(V593="Peso",$R593,1))</f>
        <v/>
      </c>
      <c r="X593" s="4" t="str">
        <f>IF(V593="","",SUMIFS(Prod_Prop!$J:$J,Prod_Prop!$B:$B,$Q593,Prod_Prop!$H:$H,V593,Prod_Prop!$I:$I,X$1)*IF(V593="Peso",$R593,1))</f>
        <v/>
      </c>
      <c r="Y593" s="4" t="str">
        <f>IFERROR(__xludf.DUMMYFUNCTION("IF(OR($U593="""",COUNTIF($I:$I,IFERROR(unique(filter(Prod_Prop!$H:$H,Prod_Prop!$G:$G=$U593,Prod_Prop!$E:$E=Y$1)),""Check""))=0),"""",IFERROR(unique(filter(Prod_Prop!$H:$H,Prod_Prop!$G:$G=$U593,Prod_Prop!$E:$E=Y$1)),""""))"),"")</f>
        <v/>
      </c>
      <c r="Z593" s="4" t="str">
        <f>IF(Y593="","",SUMIFS(Prod_Prop!$J:$J,Prod_Prop!$B:$B,$Q593,Prod_Prop!$H:$H,Y593,Prod_Prop!$I:$I,Z$1)*IF(Y593="Peso",$R593,1))</f>
        <v/>
      </c>
      <c r="AA593" s="4" t="str">
        <f>IF(Y593="","",SUMIFS(Prod_Prop!$J:$J,Prod_Prop!$B:$B,$Q593,Prod_Prop!$H:$H,Y593,Prod_Prop!$I:$I,AA$1)*IF(Y593="Peso",$R593,1))</f>
        <v/>
      </c>
      <c r="AB593" s="4" t="str">
        <f>IFERROR(__xludf.DUMMYFUNCTION("IF(OR($U593="""",COUNTIF($I:$I,IFERROR(unique(filter(Prod_Prop!$H:$H,Prod_Prop!$G:$G=$U593,Prod_Prop!$E:$E=AB$1)),""Check""))=0),"""",IFERROR(unique(filter(Prod_Prop!$H:$H,Prod_Prop!$G:$G=$U593,Prod_Prop!$E:$E=AB$1)),""""))"),"")</f>
        <v/>
      </c>
      <c r="AC593" s="4" t="str">
        <f>IF(AB593="","",SUMIFS(Prod_Prop!$J:$J,Prod_Prop!$B:$B,$Q593,Prod_Prop!$H:$H,AB593,Prod_Prop!$I:$I,AC$1)*IF(AB593="Peso",$R593,1))</f>
        <v/>
      </c>
      <c r="AD593" s="4" t="str">
        <f>IF(AB593="","",SUMIFS(Prod_Prop!$J:$J,Prod_Prop!$B:$B,$Q593,Prod_Prop!$H:$H,AB593,Prod_Prop!$I:$I,AD$1)*IF(AB593="Peso",$R593,1))</f>
        <v/>
      </c>
    </row>
    <row r="594">
      <c r="A594" s="4" t="str">
        <f t="array" ref="A594">IF(COUNTIF(A$1:A593,Cotizador!F$2)=maxifs(Familias!E:E,Familias!D:D,Cotizador!F$2),IF(COUNTIF(A$1:A593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4" s="4" t="str">
        <f t="shared" si="1"/>
        <v/>
      </c>
      <c r="C594" s="4" t="str">
        <f t="array" ref="C594">IF(B594="","",IF(A594=XLOOKUP(A$2,Implementos!B:B,Implementos!C:C,"",0,1),B594+maxifs(B$1:B593,A$1:A593,A$2),B594))</f>
        <v/>
      </c>
      <c r="D594" s="4" t="str">
        <f>IF(B594="","", COUNTIFS(Productos!F:F,A594,Productos!H:H,B594)+IF(F594="SI",0,1))</f>
        <v/>
      </c>
      <c r="E594" s="4" t="str">
        <f>IFERROR(__xludf.DUMMYFUNCTION("IF($B594="""","""",INDEX(filter(Familias!F:F,Familias!$D:$D=$A594,Familias!$E:$E=$B594),1))"),"")</f>
        <v/>
      </c>
      <c r="F594" s="4" t="str">
        <f>IFERROR(__xludf.DUMMYFUNCTION("IF($B594="""","""",INDEX(filter(Familias!G:G,Familias!$D:$D=$A594,Familias!$E:$E=$B594),1))"),"")</f>
        <v/>
      </c>
      <c r="G594" s="4" t="str">
        <f t="array" ref="G594">IF(C594=1,XLOOKUP(C594,Cotizador!D:D,Cotizador!E:E,"",0,1),"")</f>
        <v/>
      </c>
      <c r="I594" s="4"/>
      <c r="J594" s="8" t="str">
        <f>IF(I594="","",SUMIF(Cotizador!I$1:V$1,I594,Cotizador!I$2:V$2))</f>
        <v/>
      </c>
      <c r="L594" s="4" t="str">
        <f t="array" ref="L594">IF(COUNTIF(L$1:L593,A$2)=SUMIF(A:A,A$2,D:D),IF(COUNTIF(L$1:L593,XLOOKUP(A$2,Implementos!B:B,Implementos!C:C,"",0,1))=SUMIF(A:A,XLOOKUP(A$2,Implementos!B:B,Implementos!C:C,"",0,1),D:D),"",XLOOKUP(A$2,Implementos!B:B,Implementos!C:C,"",0,1)),A$2)</f>
        <v/>
      </c>
      <c r="M594" s="4" t="str">
        <f t="shared" si="2"/>
        <v/>
      </c>
      <c r="N594" s="4" t="str">
        <f t="shared" si="3"/>
        <v/>
      </c>
      <c r="O594" s="4" t="str">
        <f t="shared" si="4"/>
        <v/>
      </c>
      <c r="P594" s="4" t="str">
        <f t="shared" si="5"/>
        <v/>
      </c>
      <c r="Q594" s="4" t="str">
        <f>IF(U594="","",SUMIF(Productos!E:E,U594,Productos!A:A))</f>
        <v/>
      </c>
      <c r="R594" s="4" t="str">
        <f t="array" ref="R594">IF(L594="","", max(1,SUMIF(I:I,XLOOKUP(U594,Productos!E:E,Productos!G:G,"",0,1),J:J)))</f>
        <v/>
      </c>
      <c r="S594" s="4" t="str">
        <f>IF(Q594="","",IF(SUMIFS(Compat_Vetado!D:D,Compat_Vetado!B:B,SUM(G:G),Compat_Vetado!C:C,Q594)=1,"SI",IF(OR(SUMIF(Cotizador!E:E,Q594,Cotizador!G:G)&gt;0,SUMIFS(Compat_Vetado!D:D,Compat_Vetado!B:B,SUM(G:G),Compat_Vetado!C:C,Q594)=-1),"NO","")))</f>
        <v/>
      </c>
      <c r="T594" s="4" t="str">
        <f t="shared" si="6"/>
        <v/>
      </c>
      <c r="U594" s="4" t="str">
        <f>IFERROR(__xludf.DUMMYFUNCTION("IF(P594="""","""",IFERROR(INDEX(filter(Productos!E:E,Productos!F:F=L594,Productos!H:H=N594),P594),IF(M594=SUM(D:D),""Finalizar"",""-"")))"),"")</f>
        <v/>
      </c>
      <c r="V594" s="4" t="str">
        <f>IFERROR(__xludf.DUMMYFUNCTION("IF(OR($U594="""",COUNTIF($I:$I,IFERROR(unique(filter(Prod_Prop!$H:$H,Prod_Prop!$G:$G=$U594,Prod_Prop!$E:$E=V$1)),""Check""))=0),"""",IFERROR(unique(filter(Prod_Prop!$H:$H,Prod_Prop!$G:$G=$U594,Prod_Prop!$E:$E=V$1)),""""))"),"")</f>
        <v/>
      </c>
      <c r="W594" s="4" t="str">
        <f>IF(V594="","",SUMIFS(Prod_Prop!$J:$J,Prod_Prop!$B:$B,$Q594,Prod_Prop!$H:$H,V594,Prod_Prop!$I:$I,W$1)*IF(V594="Peso",$R594,1))</f>
        <v/>
      </c>
      <c r="X594" s="4" t="str">
        <f>IF(V594="","",SUMIFS(Prod_Prop!$J:$J,Prod_Prop!$B:$B,$Q594,Prod_Prop!$H:$H,V594,Prod_Prop!$I:$I,X$1)*IF(V594="Peso",$R594,1))</f>
        <v/>
      </c>
      <c r="Y594" s="4" t="str">
        <f>IFERROR(__xludf.DUMMYFUNCTION("IF(OR($U594="""",COUNTIF($I:$I,IFERROR(unique(filter(Prod_Prop!$H:$H,Prod_Prop!$G:$G=$U594,Prod_Prop!$E:$E=Y$1)),""Check""))=0),"""",IFERROR(unique(filter(Prod_Prop!$H:$H,Prod_Prop!$G:$G=$U594,Prod_Prop!$E:$E=Y$1)),""""))"),"")</f>
        <v/>
      </c>
      <c r="Z594" s="4" t="str">
        <f>IF(Y594="","",SUMIFS(Prod_Prop!$J:$J,Prod_Prop!$B:$B,$Q594,Prod_Prop!$H:$H,Y594,Prod_Prop!$I:$I,Z$1)*IF(Y594="Peso",$R594,1))</f>
        <v/>
      </c>
      <c r="AA594" s="4" t="str">
        <f>IF(Y594="","",SUMIFS(Prod_Prop!$J:$J,Prod_Prop!$B:$B,$Q594,Prod_Prop!$H:$H,Y594,Prod_Prop!$I:$I,AA$1)*IF(Y594="Peso",$R594,1))</f>
        <v/>
      </c>
      <c r="AB594" s="4" t="str">
        <f>IFERROR(__xludf.DUMMYFUNCTION("IF(OR($U594="""",COUNTIF($I:$I,IFERROR(unique(filter(Prod_Prop!$H:$H,Prod_Prop!$G:$G=$U594,Prod_Prop!$E:$E=AB$1)),""Check""))=0),"""",IFERROR(unique(filter(Prod_Prop!$H:$H,Prod_Prop!$G:$G=$U594,Prod_Prop!$E:$E=AB$1)),""""))"),"")</f>
        <v/>
      </c>
      <c r="AC594" s="4" t="str">
        <f>IF(AB594="","",SUMIFS(Prod_Prop!$J:$J,Prod_Prop!$B:$B,$Q594,Prod_Prop!$H:$H,AB594,Prod_Prop!$I:$I,AC$1)*IF(AB594="Peso",$R594,1))</f>
        <v/>
      </c>
      <c r="AD594" s="4" t="str">
        <f>IF(AB594="","",SUMIFS(Prod_Prop!$J:$J,Prod_Prop!$B:$B,$Q594,Prod_Prop!$H:$H,AB594,Prod_Prop!$I:$I,AD$1)*IF(AB594="Peso",$R594,1))</f>
        <v/>
      </c>
    </row>
    <row r="595">
      <c r="A595" s="4" t="str">
        <f t="array" ref="A595">IF(COUNTIF(A$1:A594,Cotizador!F$2)=maxifs(Familias!E:E,Familias!D:D,Cotizador!F$2),IF(COUNTIF(A$1:A594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5" s="4" t="str">
        <f t="shared" si="1"/>
        <v/>
      </c>
      <c r="C595" s="4" t="str">
        <f t="array" ref="C595">IF(B595="","",IF(A595=XLOOKUP(A$2,Implementos!B:B,Implementos!C:C,"",0,1),B595+maxifs(B$1:B594,A$1:A594,A$2),B595))</f>
        <v/>
      </c>
      <c r="D595" s="4" t="str">
        <f>IF(B595="","", COUNTIFS(Productos!F:F,A595,Productos!H:H,B595)+IF(F595="SI",0,1))</f>
        <v/>
      </c>
      <c r="E595" s="4" t="str">
        <f>IFERROR(__xludf.DUMMYFUNCTION("IF($B595="""","""",INDEX(filter(Familias!F:F,Familias!$D:$D=$A595,Familias!$E:$E=$B595),1))"),"")</f>
        <v/>
      </c>
      <c r="F595" s="4" t="str">
        <f>IFERROR(__xludf.DUMMYFUNCTION("IF($B595="""","""",INDEX(filter(Familias!G:G,Familias!$D:$D=$A595,Familias!$E:$E=$B595),1))"),"")</f>
        <v/>
      </c>
      <c r="G595" s="4" t="str">
        <f t="array" ref="G595">IF(C595=1,XLOOKUP(C595,Cotizador!D:D,Cotizador!E:E,"",0,1),"")</f>
        <v/>
      </c>
      <c r="I595" s="4"/>
      <c r="J595" s="8" t="str">
        <f>IF(I595="","",SUMIF(Cotizador!I$1:V$1,I595,Cotizador!I$2:V$2))</f>
        <v/>
      </c>
      <c r="L595" s="4" t="str">
        <f t="array" ref="L595">IF(COUNTIF(L$1:L594,A$2)=SUMIF(A:A,A$2,D:D),IF(COUNTIF(L$1:L594,XLOOKUP(A$2,Implementos!B:B,Implementos!C:C,"",0,1))=SUMIF(A:A,XLOOKUP(A$2,Implementos!B:B,Implementos!C:C,"",0,1),D:D),"",XLOOKUP(A$2,Implementos!B:B,Implementos!C:C,"",0,1)),A$2)</f>
        <v/>
      </c>
      <c r="M595" s="4" t="str">
        <f t="shared" si="2"/>
        <v/>
      </c>
      <c r="N595" s="4" t="str">
        <f t="shared" si="3"/>
        <v/>
      </c>
      <c r="O595" s="4" t="str">
        <f t="shared" si="4"/>
        <v/>
      </c>
      <c r="P595" s="4" t="str">
        <f t="shared" si="5"/>
        <v/>
      </c>
      <c r="Q595" s="4" t="str">
        <f>IF(U595="","",SUMIF(Productos!E:E,U595,Productos!A:A))</f>
        <v/>
      </c>
      <c r="R595" s="4" t="str">
        <f t="array" ref="R595">IF(L595="","", max(1,SUMIF(I:I,XLOOKUP(U595,Productos!E:E,Productos!G:G,"",0,1),J:J)))</f>
        <v/>
      </c>
      <c r="S595" s="4" t="str">
        <f>IF(Q595="","",IF(SUMIFS(Compat_Vetado!D:D,Compat_Vetado!B:B,SUM(G:G),Compat_Vetado!C:C,Q595)=1,"SI",IF(OR(SUMIF(Cotizador!E:E,Q595,Cotizador!G:G)&gt;0,SUMIFS(Compat_Vetado!D:D,Compat_Vetado!B:B,SUM(G:G),Compat_Vetado!C:C,Q595)=-1),"NO","")))</f>
        <v/>
      </c>
      <c r="T595" s="4" t="str">
        <f t="shared" si="6"/>
        <v/>
      </c>
      <c r="U595" s="4" t="str">
        <f>IFERROR(__xludf.DUMMYFUNCTION("IF(P595="""","""",IFERROR(INDEX(filter(Productos!E:E,Productos!F:F=L595,Productos!H:H=N595),P595),IF(M595=SUM(D:D),""Finalizar"",""-"")))"),"")</f>
        <v/>
      </c>
      <c r="V595" s="4" t="str">
        <f>IFERROR(__xludf.DUMMYFUNCTION("IF(OR($U595="""",COUNTIF($I:$I,IFERROR(unique(filter(Prod_Prop!$H:$H,Prod_Prop!$G:$G=$U595,Prod_Prop!$E:$E=V$1)),""Check""))=0),"""",IFERROR(unique(filter(Prod_Prop!$H:$H,Prod_Prop!$G:$G=$U595,Prod_Prop!$E:$E=V$1)),""""))"),"")</f>
        <v/>
      </c>
      <c r="W595" s="4" t="str">
        <f>IF(V595="","",SUMIFS(Prod_Prop!$J:$J,Prod_Prop!$B:$B,$Q595,Prod_Prop!$H:$H,V595,Prod_Prop!$I:$I,W$1)*IF(V595="Peso",$R595,1))</f>
        <v/>
      </c>
      <c r="X595" s="4" t="str">
        <f>IF(V595="","",SUMIFS(Prod_Prop!$J:$J,Prod_Prop!$B:$B,$Q595,Prod_Prop!$H:$H,V595,Prod_Prop!$I:$I,X$1)*IF(V595="Peso",$R595,1))</f>
        <v/>
      </c>
      <c r="Y595" s="4" t="str">
        <f>IFERROR(__xludf.DUMMYFUNCTION("IF(OR($U595="""",COUNTIF($I:$I,IFERROR(unique(filter(Prod_Prop!$H:$H,Prod_Prop!$G:$G=$U595,Prod_Prop!$E:$E=Y$1)),""Check""))=0),"""",IFERROR(unique(filter(Prod_Prop!$H:$H,Prod_Prop!$G:$G=$U595,Prod_Prop!$E:$E=Y$1)),""""))"),"")</f>
        <v/>
      </c>
      <c r="Z595" s="4" t="str">
        <f>IF(Y595="","",SUMIFS(Prod_Prop!$J:$J,Prod_Prop!$B:$B,$Q595,Prod_Prop!$H:$H,Y595,Prod_Prop!$I:$I,Z$1)*IF(Y595="Peso",$R595,1))</f>
        <v/>
      </c>
      <c r="AA595" s="4" t="str">
        <f>IF(Y595="","",SUMIFS(Prod_Prop!$J:$J,Prod_Prop!$B:$B,$Q595,Prod_Prop!$H:$H,Y595,Prod_Prop!$I:$I,AA$1)*IF(Y595="Peso",$R595,1))</f>
        <v/>
      </c>
      <c r="AB595" s="4" t="str">
        <f>IFERROR(__xludf.DUMMYFUNCTION("IF(OR($U595="""",COUNTIF($I:$I,IFERROR(unique(filter(Prod_Prop!$H:$H,Prod_Prop!$G:$G=$U595,Prod_Prop!$E:$E=AB$1)),""Check""))=0),"""",IFERROR(unique(filter(Prod_Prop!$H:$H,Prod_Prop!$G:$G=$U595,Prod_Prop!$E:$E=AB$1)),""""))"),"")</f>
        <v/>
      </c>
      <c r="AC595" s="4" t="str">
        <f>IF(AB595="","",SUMIFS(Prod_Prop!$J:$J,Prod_Prop!$B:$B,$Q595,Prod_Prop!$H:$H,AB595,Prod_Prop!$I:$I,AC$1)*IF(AB595="Peso",$R595,1))</f>
        <v/>
      </c>
      <c r="AD595" s="4" t="str">
        <f>IF(AB595="","",SUMIFS(Prod_Prop!$J:$J,Prod_Prop!$B:$B,$Q595,Prod_Prop!$H:$H,AB595,Prod_Prop!$I:$I,AD$1)*IF(AB595="Peso",$R595,1))</f>
        <v/>
      </c>
    </row>
    <row r="596">
      <c r="A596" s="4" t="str">
        <f t="array" ref="A596">IF(COUNTIF(A$1:A595,Cotizador!F$2)=maxifs(Familias!E:E,Familias!D:D,Cotizador!F$2),IF(COUNTIF(A$1:A595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6" s="4" t="str">
        <f t="shared" si="1"/>
        <v/>
      </c>
      <c r="C596" s="4" t="str">
        <f t="array" ref="C596">IF(B596="","",IF(A596=XLOOKUP(A$2,Implementos!B:B,Implementos!C:C,"",0,1),B596+maxifs(B$1:B595,A$1:A595,A$2),B596))</f>
        <v/>
      </c>
      <c r="D596" s="4" t="str">
        <f>IF(B596="","", COUNTIFS(Productos!F:F,A596,Productos!H:H,B596)+IF(F596="SI",0,1))</f>
        <v/>
      </c>
      <c r="E596" s="4" t="str">
        <f>IFERROR(__xludf.DUMMYFUNCTION("IF($B596="""","""",INDEX(filter(Familias!F:F,Familias!$D:$D=$A596,Familias!$E:$E=$B596),1))"),"")</f>
        <v/>
      </c>
      <c r="F596" s="4" t="str">
        <f>IFERROR(__xludf.DUMMYFUNCTION("IF($B596="""","""",INDEX(filter(Familias!G:G,Familias!$D:$D=$A596,Familias!$E:$E=$B596),1))"),"")</f>
        <v/>
      </c>
      <c r="G596" s="4" t="str">
        <f t="array" ref="G596">IF(C596=1,XLOOKUP(C596,Cotizador!D:D,Cotizador!E:E,"",0,1),"")</f>
        <v/>
      </c>
      <c r="I596" s="4"/>
      <c r="J596" s="8" t="str">
        <f>IF(I596="","",SUMIF(Cotizador!I$1:V$1,I596,Cotizador!I$2:V$2))</f>
        <v/>
      </c>
      <c r="L596" s="4" t="str">
        <f t="array" ref="L596">IF(COUNTIF(L$1:L595,A$2)=SUMIF(A:A,A$2,D:D),IF(COUNTIF(L$1:L595,XLOOKUP(A$2,Implementos!B:B,Implementos!C:C,"",0,1))=SUMIF(A:A,XLOOKUP(A$2,Implementos!B:B,Implementos!C:C,"",0,1),D:D),"",XLOOKUP(A$2,Implementos!B:B,Implementos!C:C,"",0,1)),A$2)</f>
        <v/>
      </c>
      <c r="M596" s="4" t="str">
        <f t="shared" si="2"/>
        <v/>
      </c>
      <c r="N596" s="4" t="str">
        <f t="shared" si="3"/>
        <v/>
      </c>
      <c r="O596" s="4" t="str">
        <f t="shared" si="4"/>
        <v/>
      </c>
      <c r="P596" s="4" t="str">
        <f t="shared" si="5"/>
        <v/>
      </c>
      <c r="Q596" s="4" t="str">
        <f>IF(U596="","",SUMIF(Productos!E:E,U596,Productos!A:A))</f>
        <v/>
      </c>
      <c r="R596" s="4" t="str">
        <f t="array" ref="R596">IF(L596="","", max(1,SUMIF(I:I,XLOOKUP(U596,Productos!E:E,Productos!G:G,"",0,1),J:J)))</f>
        <v/>
      </c>
      <c r="S596" s="4" t="str">
        <f>IF(Q596="","",IF(SUMIFS(Compat_Vetado!D:D,Compat_Vetado!B:B,SUM(G:G),Compat_Vetado!C:C,Q596)=1,"SI",IF(OR(SUMIF(Cotizador!E:E,Q596,Cotizador!G:G)&gt;0,SUMIFS(Compat_Vetado!D:D,Compat_Vetado!B:B,SUM(G:G),Compat_Vetado!C:C,Q596)=-1),"NO","")))</f>
        <v/>
      </c>
      <c r="T596" s="4" t="str">
        <f t="shared" si="6"/>
        <v/>
      </c>
      <c r="U596" s="4" t="str">
        <f>IFERROR(__xludf.DUMMYFUNCTION("IF(P596="""","""",IFERROR(INDEX(filter(Productos!E:E,Productos!F:F=L596,Productos!H:H=N596),P596),IF(M596=SUM(D:D),""Finalizar"",""-"")))"),"")</f>
        <v/>
      </c>
      <c r="V596" s="4" t="str">
        <f>IFERROR(__xludf.DUMMYFUNCTION("IF(OR($U596="""",COUNTIF($I:$I,IFERROR(unique(filter(Prod_Prop!$H:$H,Prod_Prop!$G:$G=$U596,Prod_Prop!$E:$E=V$1)),""Check""))=0),"""",IFERROR(unique(filter(Prod_Prop!$H:$H,Prod_Prop!$G:$G=$U596,Prod_Prop!$E:$E=V$1)),""""))"),"")</f>
        <v/>
      </c>
      <c r="W596" s="4" t="str">
        <f>IF(V596="","",SUMIFS(Prod_Prop!$J:$J,Prod_Prop!$B:$B,$Q596,Prod_Prop!$H:$H,V596,Prod_Prop!$I:$I,W$1)*IF(V596="Peso",$R596,1))</f>
        <v/>
      </c>
      <c r="X596" s="4" t="str">
        <f>IF(V596="","",SUMIFS(Prod_Prop!$J:$J,Prod_Prop!$B:$B,$Q596,Prod_Prop!$H:$H,V596,Prod_Prop!$I:$I,X$1)*IF(V596="Peso",$R596,1))</f>
        <v/>
      </c>
      <c r="Y596" s="4" t="str">
        <f>IFERROR(__xludf.DUMMYFUNCTION("IF(OR($U596="""",COUNTIF($I:$I,IFERROR(unique(filter(Prod_Prop!$H:$H,Prod_Prop!$G:$G=$U596,Prod_Prop!$E:$E=Y$1)),""Check""))=0),"""",IFERROR(unique(filter(Prod_Prop!$H:$H,Prod_Prop!$G:$G=$U596,Prod_Prop!$E:$E=Y$1)),""""))"),"")</f>
        <v/>
      </c>
      <c r="Z596" s="4" t="str">
        <f>IF(Y596="","",SUMIFS(Prod_Prop!$J:$J,Prod_Prop!$B:$B,$Q596,Prod_Prop!$H:$H,Y596,Prod_Prop!$I:$I,Z$1)*IF(Y596="Peso",$R596,1))</f>
        <v/>
      </c>
      <c r="AA596" s="4" t="str">
        <f>IF(Y596="","",SUMIFS(Prod_Prop!$J:$J,Prod_Prop!$B:$B,$Q596,Prod_Prop!$H:$H,Y596,Prod_Prop!$I:$I,AA$1)*IF(Y596="Peso",$R596,1))</f>
        <v/>
      </c>
      <c r="AB596" s="4" t="str">
        <f>IFERROR(__xludf.DUMMYFUNCTION("IF(OR($U596="""",COUNTIF($I:$I,IFERROR(unique(filter(Prod_Prop!$H:$H,Prod_Prop!$G:$G=$U596,Prod_Prop!$E:$E=AB$1)),""Check""))=0),"""",IFERROR(unique(filter(Prod_Prop!$H:$H,Prod_Prop!$G:$G=$U596,Prod_Prop!$E:$E=AB$1)),""""))"),"")</f>
        <v/>
      </c>
      <c r="AC596" s="4" t="str">
        <f>IF(AB596="","",SUMIFS(Prod_Prop!$J:$J,Prod_Prop!$B:$B,$Q596,Prod_Prop!$H:$H,AB596,Prod_Prop!$I:$I,AC$1)*IF(AB596="Peso",$R596,1))</f>
        <v/>
      </c>
      <c r="AD596" s="4" t="str">
        <f>IF(AB596="","",SUMIFS(Prod_Prop!$J:$J,Prod_Prop!$B:$B,$Q596,Prod_Prop!$H:$H,AB596,Prod_Prop!$I:$I,AD$1)*IF(AB596="Peso",$R596,1))</f>
        <v/>
      </c>
    </row>
    <row r="597">
      <c r="A597" s="4" t="str">
        <f t="array" ref="A597">IF(COUNTIF(A$1:A596,Cotizador!F$2)=maxifs(Familias!E:E,Familias!D:D,Cotizador!F$2),IF(COUNTIF(A$1:A596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7" s="4" t="str">
        <f t="shared" si="1"/>
        <v/>
      </c>
      <c r="C597" s="4" t="str">
        <f t="array" ref="C597">IF(B597="","",IF(A597=XLOOKUP(A$2,Implementos!B:B,Implementos!C:C,"",0,1),B597+maxifs(B$1:B596,A$1:A596,A$2),B597))</f>
        <v/>
      </c>
      <c r="D597" s="4" t="str">
        <f>IF(B597="","", COUNTIFS(Productos!F:F,A597,Productos!H:H,B597)+IF(F597="SI",0,1))</f>
        <v/>
      </c>
      <c r="E597" s="4" t="str">
        <f>IFERROR(__xludf.DUMMYFUNCTION("IF($B597="""","""",INDEX(filter(Familias!F:F,Familias!$D:$D=$A597,Familias!$E:$E=$B597),1))"),"")</f>
        <v/>
      </c>
      <c r="F597" s="4" t="str">
        <f>IFERROR(__xludf.DUMMYFUNCTION("IF($B597="""","""",INDEX(filter(Familias!G:G,Familias!$D:$D=$A597,Familias!$E:$E=$B597),1))"),"")</f>
        <v/>
      </c>
      <c r="G597" s="4" t="str">
        <f t="array" ref="G597">IF(C597=1,XLOOKUP(C597,Cotizador!D:D,Cotizador!E:E,"",0,1),"")</f>
        <v/>
      </c>
      <c r="I597" s="4"/>
      <c r="J597" s="8" t="str">
        <f>IF(I597="","",SUMIF(Cotizador!I$1:V$1,I597,Cotizador!I$2:V$2))</f>
        <v/>
      </c>
      <c r="L597" s="4" t="str">
        <f t="array" ref="L597">IF(COUNTIF(L$1:L596,A$2)=SUMIF(A:A,A$2,D:D),IF(COUNTIF(L$1:L596,XLOOKUP(A$2,Implementos!B:B,Implementos!C:C,"",0,1))=SUMIF(A:A,XLOOKUP(A$2,Implementos!B:B,Implementos!C:C,"",0,1),D:D),"",XLOOKUP(A$2,Implementos!B:B,Implementos!C:C,"",0,1)),A$2)</f>
        <v/>
      </c>
      <c r="M597" s="4" t="str">
        <f t="shared" si="2"/>
        <v/>
      </c>
      <c r="N597" s="4" t="str">
        <f t="shared" si="3"/>
        <v/>
      </c>
      <c r="O597" s="4" t="str">
        <f t="shared" si="4"/>
        <v/>
      </c>
      <c r="P597" s="4" t="str">
        <f t="shared" si="5"/>
        <v/>
      </c>
      <c r="Q597" s="4" t="str">
        <f>IF(U597="","",SUMIF(Productos!E:E,U597,Productos!A:A))</f>
        <v/>
      </c>
      <c r="R597" s="4" t="str">
        <f t="array" ref="R597">IF(L597="","", max(1,SUMIF(I:I,XLOOKUP(U597,Productos!E:E,Productos!G:G,"",0,1),J:J)))</f>
        <v/>
      </c>
      <c r="S597" s="4" t="str">
        <f>IF(Q597="","",IF(SUMIFS(Compat_Vetado!D:D,Compat_Vetado!B:B,SUM(G:G),Compat_Vetado!C:C,Q597)=1,"SI",IF(OR(SUMIF(Cotizador!E:E,Q597,Cotizador!G:G)&gt;0,SUMIFS(Compat_Vetado!D:D,Compat_Vetado!B:B,SUM(G:G),Compat_Vetado!C:C,Q597)=-1),"NO","")))</f>
        <v/>
      </c>
      <c r="T597" s="4" t="str">
        <f t="shared" si="6"/>
        <v/>
      </c>
      <c r="U597" s="4" t="str">
        <f>IFERROR(__xludf.DUMMYFUNCTION("IF(P597="""","""",IFERROR(INDEX(filter(Productos!E:E,Productos!F:F=L597,Productos!H:H=N597),P597),IF(M597=SUM(D:D),""Finalizar"",""-"")))"),"")</f>
        <v/>
      </c>
      <c r="V597" s="4" t="str">
        <f>IFERROR(__xludf.DUMMYFUNCTION("IF(OR($U597="""",COUNTIF($I:$I,IFERROR(unique(filter(Prod_Prop!$H:$H,Prod_Prop!$G:$G=$U597,Prod_Prop!$E:$E=V$1)),""Check""))=0),"""",IFERROR(unique(filter(Prod_Prop!$H:$H,Prod_Prop!$G:$G=$U597,Prod_Prop!$E:$E=V$1)),""""))"),"")</f>
        <v/>
      </c>
      <c r="W597" s="4" t="str">
        <f>IF(V597="","",SUMIFS(Prod_Prop!$J:$J,Prod_Prop!$B:$B,$Q597,Prod_Prop!$H:$H,V597,Prod_Prop!$I:$I,W$1)*IF(V597="Peso",$R597,1))</f>
        <v/>
      </c>
      <c r="X597" s="4" t="str">
        <f>IF(V597="","",SUMIFS(Prod_Prop!$J:$J,Prod_Prop!$B:$B,$Q597,Prod_Prop!$H:$H,V597,Prod_Prop!$I:$I,X$1)*IF(V597="Peso",$R597,1))</f>
        <v/>
      </c>
      <c r="Y597" s="4" t="str">
        <f>IFERROR(__xludf.DUMMYFUNCTION("IF(OR($U597="""",COUNTIF($I:$I,IFERROR(unique(filter(Prod_Prop!$H:$H,Prod_Prop!$G:$G=$U597,Prod_Prop!$E:$E=Y$1)),""Check""))=0),"""",IFERROR(unique(filter(Prod_Prop!$H:$H,Prod_Prop!$G:$G=$U597,Prod_Prop!$E:$E=Y$1)),""""))"),"")</f>
        <v/>
      </c>
      <c r="Z597" s="4" t="str">
        <f>IF(Y597="","",SUMIFS(Prod_Prop!$J:$J,Prod_Prop!$B:$B,$Q597,Prod_Prop!$H:$H,Y597,Prod_Prop!$I:$I,Z$1)*IF(Y597="Peso",$R597,1))</f>
        <v/>
      </c>
      <c r="AA597" s="4" t="str">
        <f>IF(Y597="","",SUMIFS(Prod_Prop!$J:$J,Prod_Prop!$B:$B,$Q597,Prod_Prop!$H:$H,Y597,Prod_Prop!$I:$I,AA$1)*IF(Y597="Peso",$R597,1))</f>
        <v/>
      </c>
      <c r="AB597" s="4" t="str">
        <f>IFERROR(__xludf.DUMMYFUNCTION("IF(OR($U597="""",COUNTIF($I:$I,IFERROR(unique(filter(Prod_Prop!$H:$H,Prod_Prop!$G:$G=$U597,Prod_Prop!$E:$E=AB$1)),""Check""))=0),"""",IFERROR(unique(filter(Prod_Prop!$H:$H,Prod_Prop!$G:$G=$U597,Prod_Prop!$E:$E=AB$1)),""""))"),"")</f>
        <v/>
      </c>
      <c r="AC597" s="4" t="str">
        <f>IF(AB597="","",SUMIFS(Prod_Prop!$J:$J,Prod_Prop!$B:$B,$Q597,Prod_Prop!$H:$H,AB597,Prod_Prop!$I:$I,AC$1)*IF(AB597="Peso",$R597,1))</f>
        <v/>
      </c>
      <c r="AD597" s="4" t="str">
        <f>IF(AB597="","",SUMIFS(Prod_Prop!$J:$J,Prod_Prop!$B:$B,$Q597,Prod_Prop!$H:$H,AB597,Prod_Prop!$I:$I,AD$1)*IF(AB597="Peso",$R597,1))</f>
        <v/>
      </c>
    </row>
    <row r="598">
      <c r="A598" s="4" t="str">
        <f t="array" ref="A598">IF(COUNTIF(A$1:A597,Cotizador!F$2)=maxifs(Familias!E:E,Familias!D:D,Cotizador!F$2),IF(COUNTIF(A$1:A597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8" s="4" t="str">
        <f t="shared" si="1"/>
        <v/>
      </c>
      <c r="C598" s="4" t="str">
        <f t="array" ref="C598">IF(B598="","",IF(A598=XLOOKUP(A$2,Implementos!B:B,Implementos!C:C,"",0,1),B598+maxifs(B$1:B597,A$1:A597,A$2),B598))</f>
        <v/>
      </c>
      <c r="D598" s="4" t="str">
        <f>IF(B598="","", COUNTIFS(Productos!F:F,A598,Productos!H:H,B598)+IF(F598="SI",0,1))</f>
        <v/>
      </c>
      <c r="E598" s="4" t="str">
        <f>IFERROR(__xludf.DUMMYFUNCTION("IF($B598="""","""",INDEX(filter(Familias!F:F,Familias!$D:$D=$A598,Familias!$E:$E=$B598),1))"),"")</f>
        <v/>
      </c>
      <c r="F598" s="4" t="str">
        <f>IFERROR(__xludf.DUMMYFUNCTION("IF($B598="""","""",INDEX(filter(Familias!G:G,Familias!$D:$D=$A598,Familias!$E:$E=$B598),1))"),"")</f>
        <v/>
      </c>
      <c r="G598" s="4" t="str">
        <f t="array" ref="G598">IF(C598=1,XLOOKUP(C598,Cotizador!D:D,Cotizador!E:E,"",0,1),"")</f>
        <v/>
      </c>
      <c r="I598" s="4"/>
      <c r="J598" s="8" t="str">
        <f>IF(I598="","",SUMIF(Cotizador!I$1:V$1,I598,Cotizador!I$2:V$2))</f>
        <v/>
      </c>
      <c r="L598" s="4" t="str">
        <f t="array" ref="L598">IF(COUNTIF(L$1:L597,A$2)=SUMIF(A:A,A$2,D:D),IF(COUNTIF(L$1:L597,XLOOKUP(A$2,Implementos!B:B,Implementos!C:C,"",0,1))=SUMIF(A:A,XLOOKUP(A$2,Implementos!B:B,Implementos!C:C,"",0,1),D:D),"",XLOOKUP(A$2,Implementos!B:B,Implementos!C:C,"",0,1)),A$2)</f>
        <v/>
      </c>
      <c r="M598" s="4" t="str">
        <f t="shared" si="2"/>
        <v/>
      </c>
      <c r="N598" s="4" t="str">
        <f t="shared" si="3"/>
        <v/>
      </c>
      <c r="O598" s="4" t="str">
        <f t="shared" si="4"/>
        <v/>
      </c>
      <c r="P598" s="4" t="str">
        <f t="shared" si="5"/>
        <v/>
      </c>
      <c r="Q598" s="4" t="str">
        <f>IF(U598="","",SUMIF(Productos!E:E,U598,Productos!A:A))</f>
        <v/>
      </c>
      <c r="R598" s="4" t="str">
        <f t="array" ref="R598">IF(L598="","", max(1,SUMIF(I:I,XLOOKUP(U598,Productos!E:E,Productos!G:G,"",0,1),J:J)))</f>
        <v/>
      </c>
      <c r="S598" s="4" t="str">
        <f>IF(Q598="","",IF(SUMIFS(Compat_Vetado!D:D,Compat_Vetado!B:B,SUM(G:G),Compat_Vetado!C:C,Q598)=1,"SI",IF(OR(SUMIF(Cotizador!E:E,Q598,Cotizador!G:G)&gt;0,SUMIFS(Compat_Vetado!D:D,Compat_Vetado!B:B,SUM(G:G),Compat_Vetado!C:C,Q598)=-1),"NO","")))</f>
        <v/>
      </c>
      <c r="T598" s="4" t="str">
        <f t="shared" si="6"/>
        <v/>
      </c>
      <c r="U598" s="4" t="str">
        <f>IFERROR(__xludf.DUMMYFUNCTION("IF(P598="""","""",IFERROR(INDEX(filter(Productos!E:E,Productos!F:F=L598,Productos!H:H=N598),P598),IF(M598=SUM(D:D),""Finalizar"",""-"")))"),"")</f>
        <v/>
      </c>
      <c r="V598" s="4" t="str">
        <f>IFERROR(__xludf.DUMMYFUNCTION("IF(OR($U598="""",COUNTIF($I:$I,IFERROR(unique(filter(Prod_Prop!$H:$H,Prod_Prop!$G:$G=$U598,Prod_Prop!$E:$E=V$1)),""Check""))=0),"""",IFERROR(unique(filter(Prod_Prop!$H:$H,Prod_Prop!$G:$G=$U598,Prod_Prop!$E:$E=V$1)),""""))"),"")</f>
        <v/>
      </c>
      <c r="W598" s="4" t="str">
        <f>IF(V598="","",SUMIFS(Prod_Prop!$J:$J,Prod_Prop!$B:$B,$Q598,Prod_Prop!$H:$H,V598,Prod_Prop!$I:$I,W$1)*IF(V598="Peso",$R598,1))</f>
        <v/>
      </c>
      <c r="X598" s="4" t="str">
        <f>IF(V598="","",SUMIFS(Prod_Prop!$J:$J,Prod_Prop!$B:$B,$Q598,Prod_Prop!$H:$H,V598,Prod_Prop!$I:$I,X$1)*IF(V598="Peso",$R598,1))</f>
        <v/>
      </c>
      <c r="Y598" s="4" t="str">
        <f>IFERROR(__xludf.DUMMYFUNCTION("IF(OR($U598="""",COUNTIF($I:$I,IFERROR(unique(filter(Prod_Prop!$H:$H,Prod_Prop!$G:$G=$U598,Prod_Prop!$E:$E=Y$1)),""Check""))=0),"""",IFERROR(unique(filter(Prod_Prop!$H:$H,Prod_Prop!$G:$G=$U598,Prod_Prop!$E:$E=Y$1)),""""))"),"")</f>
        <v/>
      </c>
      <c r="Z598" s="4" t="str">
        <f>IF(Y598="","",SUMIFS(Prod_Prop!$J:$J,Prod_Prop!$B:$B,$Q598,Prod_Prop!$H:$H,Y598,Prod_Prop!$I:$I,Z$1)*IF(Y598="Peso",$R598,1))</f>
        <v/>
      </c>
      <c r="AA598" s="4" t="str">
        <f>IF(Y598="","",SUMIFS(Prod_Prop!$J:$J,Prod_Prop!$B:$B,$Q598,Prod_Prop!$H:$H,Y598,Prod_Prop!$I:$I,AA$1)*IF(Y598="Peso",$R598,1))</f>
        <v/>
      </c>
      <c r="AB598" s="4" t="str">
        <f>IFERROR(__xludf.DUMMYFUNCTION("IF(OR($U598="""",COUNTIF($I:$I,IFERROR(unique(filter(Prod_Prop!$H:$H,Prod_Prop!$G:$G=$U598,Prod_Prop!$E:$E=AB$1)),""Check""))=0),"""",IFERROR(unique(filter(Prod_Prop!$H:$H,Prod_Prop!$G:$G=$U598,Prod_Prop!$E:$E=AB$1)),""""))"),"")</f>
        <v/>
      </c>
      <c r="AC598" s="4" t="str">
        <f>IF(AB598="","",SUMIFS(Prod_Prop!$J:$J,Prod_Prop!$B:$B,$Q598,Prod_Prop!$H:$H,AB598,Prod_Prop!$I:$I,AC$1)*IF(AB598="Peso",$R598,1))</f>
        <v/>
      </c>
      <c r="AD598" s="4" t="str">
        <f>IF(AB598="","",SUMIFS(Prod_Prop!$J:$J,Prod_Prop!$B:$B,$Q598,Prod_Prop!$H:$H,AB598,Prod_Prop!$I:$I,AD$1)*IF(AB598="Peso",$R598,1))</f>
        <v/>
      </c>
    </row>
    <row r="599">
      <c r="A599" s="4" t="str">
        <f t="array" ref="A599">IF(COUNTIF(A$1:A598,Cotizador!F$2)=maxifs(Familias!E:E,Familias!D:D,Cotizador!F$2),IF(COUNTIF(A$1:A598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599" s="4" t="str">
        <f t="shared" si="1"/>
        <v/>
      </c>
      <c r="C599" s="4" t="str">
        <f t="array" ref="C599">IF(B599="","",IF(A599=XLOOKUP(A$2,Implementos!B:B,Implementos!C:C,"",0,1),B599+maxifs(B$1:B598,A$1:A598,A$2),B599))</f>
        <v/>
      </c>
      <c r="D599" s="4" t="str">
        <f>IF(B599="","", COUNTIFS(Productos!F:F,A599,Productos!H:H,B599)+IF(F599="SI",0,1))</f>
        <v/>
      </c>
      <c r="E599" s="4" t="str">
        <f>IFERROR(__xludf.DUMMYFUNCTION("IF($B599="""","""",INDEX(filter(Familias!F:F,Familias!$D:$D=$A599,Familias!$E:$E=$B599),1))"),"")</f>
        <v/>
      </c>
      <c r="F599" s="4" t="str">
        <f>IFERROR(__xludf.DUMMYFUNCTION("IF($B599="""","""",INDEX(filter(Familias!G:G,Familias!$D:$D=$A599,Familias!$E:$E=$B599),1))"),"")</f>
        <v/>
      </c>
      <c r="G599" s="4" t="str">
        <f t="array" ref="G599">IF(C599=1,XLOOKUP(C599,Cotizador!D:D,Cotizador!E:E,"",0,1),"")</f>
        <v/>
      </c>
      <c r="I599" s="4"/>
      <c r="J599" s="8" t="str">
        <f>IF(I599="","",SUMIF(Cotizador!I$1:V$1,I599,Cotizador!I$2:V$2))</f>
        <v/>
      </c>
      <c r="L599" s="4" t="str">
        <f t="array" ref="L599">IF(COUNTIF(L$1:L598,A$2)=SUMIF(A:A,A$2,D:D),IF(COUNTIF(L$1:L598,XLOOKUP(A$2,Implementos!B:B,Implementos!C:C,"",0,1))=SUMIF(A:A,XLOOKUP(A$2,Implementos!B:B,Implementos!C:C,"",0,1),D:D),"",XLOOKUP(A$2,Implementos!B:B,Implementos!C:C,"",0,1)),A$2)</f>
        <v/>
      </c>
      <c r="M599" s="4" t="str">
        <f t="shared" si="2"/>
        <v/>
      </c>
      <c r="N599" s="4" t="str">
        <f t="shared" si="3"/>
        <v/>
      </c>
      <c r="O599" s="4" t="str">
        <f t="shared" si="4"/>
        <v/>
      </c>
      <c r="P599" s="4" t="str">
        <f t="shared" si="5"/>
        <v/>
      </c>
      <c r="Q599" s="4" t="str">
        <f>IF(U599="","",SUMIF(Productos!E:E,U599,Productos!A:A))</f>
        <v/>
      </c>
      <c r="R599" s="4" t="str">
        <f t="array" ref="R599">IF(L599="","", max(1,SUMIF(I:I,XLOOKUP(U599,Productos!E:E,Productos!G:G,"",0,1),J:J)))</f>
        <v/>
      </c>
      <c r="S599" s="4" t="str">
        <f>IF(Q599="","",IF(SUMIFS(Compat_Vetado!D:D,Compat_Vetado!B:B,SUM(G:G),Compat_Vetado!C:C,Q599)=1,"SI",IF(OR(SUMIF(Cotizador!E:E,Q599,Cotizador!G:G)&gt;0,SUMIFS(Compat_Vetado!D:D,Compat_Vetado!B:B,SUM(G:G),Compat_Vetado!C:C,Q599)=-1),"NO","")))</f>
        <v/>
      </c>
      <c r="T599" s="4" t="str">
        <f t="shared" si="6"/>
        <v/>
      </c>
      <c r="U599" s="4" t="str">
        <f>IFERROR(__xludf.DUMMYFUNCTION("IF(P599="""","""",IFERROR(INDEX(filter(Productos!E:E,Productos!F:F=L599,Productos!H:H=N599),P599),IF(M599=SUM(D:D),""Finalizar"",""-"")))"),"")</f>
        <v/>
      </c>
      <c r="V599" s="4" t="str">
        <f>IFERROR(__xludf.DUMMYFUNCTION("IF(OR($U599="""",COUNTIF($I:$I,IFERROR(unique(filter(Prod_Prop!$H:$H,Prod_Prop!$G:$G=$U599,Prod_Prop!$E:$E=V$1)),""Check""))=0),"""",IFERROR(unique(filter(Prod_Prop!$H:$H,Prod_Prop!$G:$G=$U599,Prod_Prop!$E:$E=V$1)),""""))"),"")</f>
        <v/>
      </c>
      <c r="W599" s="4" t="str">
        <f>IF(V599="","",SUMIFS(Prod_Prop!$J:$J,Prod_Prop!$B:$B,$Q599,Prod_Prop!$H:$H,V599,Prod_Prop!$I:$I,W$1)*IF(V599="Peso",$R599,1))</f>
        <v/>
      </c>
      <c r="X599" s="4" t="str">
        <f>IF(V599="","",SUMIFS(Prod_Prop!$J:$J,Prod_Prop!$B:$B,$Q599,Prod_Prop!$H:$H,V599,Prod_Prop!$I:$I,X$1)*IF(V599="Peso",$R599,1))</f>
        <v/>
      </c>
      <c r="Y599" s="4" t="str">
        <f>IFERROR(__xludf.DUMMYFUNCTION("IF(OR($U599="""",COUNTIF($I:$I,IFERROR(unique(filter(Prod_Prop!$H:$H,Prod_Prop!$G:$G=$U599,Prod_Prop!$E:$E=Y$1)),""Check""))=0),"""",IFERROR(unique(filter(Prod_Prop!$H:$H,Prod_Prop!$G:$G=$U599,Prod_Prop!$E:$E=Y$1)),""""))"),"")</f>
        <v/>
      </c>
      <c r="Z599" s="4" t="str">
        <f>IF(Y599="","",SUMIFS(Prod_Prop!$J:$J,Prod_Prop!$B:$B,$Q599,Prod_Prop!$H:$H,Y599,Prod_Prop!$I:$I,Z$1)*IF(Y599="Peso",$R599,1))</f>
        <v/>
      </c>
      <c r="AA599" s="4" t="str">
        <f>IF(Y599="","",SUMIFS(Prod_Prop!$J:$J,Prod_Prop!$B:$B,$Q599,Prod_Prop!$H:$H,Y599,Prod_Prop!$I:$I,AA$1)*IF(Y599="Peso",$R599,1))</f>
        <v/>
      </c>
      <c r="AB599" s="4" t="str">
        <f>IFERROR(__xludf.DUMMYFUNCTION("IF(OR($U599="""",COUNTIF($I:$I,IFERROR(unique(filter(Prod_Prop!$H:$H,Prod_Prop!$G:$G=$U599,Prod_Prop!$E:$E=AB$1)),""Check""))=0),"""",IFERROR(unique(filter(Prod_Prop!$H:$H,Prod_Prop!$G:$G=$U599,Prod_Prop!$E:$E=AB$1)),""""))"),"")</f>
        <v/>
      </c>
      <c r="AC599" s="4" t="str">
        <f>IF(AB599="","",SUMIFS(Prod_Prop!$J:$J,Prod_Prop!$B:$B,$Q599,Prod_Prop!$H:$H,AB599,Prod_Prop!$I:$I,AC$1)*IF(AB599="Peso",$R599,1))</f>
        <v/>
      </c>
      <c r="AD599" s="4" t="str">
        <f>IF(AB599="","",SUMIFS(Prod_Prop!$J:$J,Prod_Prop!$B:$B,$Q599,Prod_Prop!$H:$H,AB599,Prod_Prop!$I:$I,AD$1)*IF(AB599="Peso",$R599,1))</f>
        <v/>
      </c>
    </row>
    <row r="600">
      <c r="A600" s="4" t="str">
        <f t="array" ref="A600">IF(COUNTIF(A$1:A599,Cotizador!F$2)=maxifs(Familias!E:E,Familias!D:D,Cotizador!F$2),IF(COUNTIF(A$1:A599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0" s="4" t="str">
        <f t="shared" si="1"/>
        <v/>
      </c>
      <c r="C600" s="4" t="str">
        <f t="array" ref="C600">IF(B600="","",IF(A600=XLOOKUP(A$2,Implementos!B:B,Implementos!C:C,"",0,1),B600+maxifs(B$1:B599,A$1:A599,A$2),B600))</f>
        <v/>
      </c>
      <c r="D600" s="4" t="str">
        <f>IF(B600="","", COUNTIFS(Productos!F:F,A600,Productos!H:H,B600)+IF(F600="SI",0,1))</f>
        <v/>
      </c>
      <c r="E600" s="4" t="str">
        <f>IFERROR(__xludf.DUMMYFUNCTION("IF($B600="""","""",INDEX(filter(Familias!F:F,Familias!$D:$D=$A600,Familias!$E:$E=$B600),1))"),"")</f>
        <v/>
      </c>
      <c r="F600" s="4" t="str">
        <f>IFERROR(__xludf.DUMMYFUNCTION("IF($B600="""","""",INDEX(filter(Familias!G:G,Familias!$D:$D=$A600,Familias!$E:$E=$B600),1))"),"")</f>
        <v/>
      </c>
      <c r="G600" s="4" t="str">
        <f t="array" ref="G600">IF(C600=1,XLOOKUP(C600,Cotizador!D:D,Cotizador!E:E,"",0,1),"")</f>
        <v/>
      </c>
      <c r="I600" s="4"/>
      <c r="J600" s="8" t="str">
        <f>IF(I600="","",SUMIF(Cotizador!I$1:V$1,I600,Cotizador!I$2:V$2))</f>
        <v/>
      </c>
      <c r="L600" s="4" t="str">
        <f t="array" ref="L600">IF(COUNTIF(L$1:L599,A$2)=SUMIF(A:A,A$2,D:D),IF(COUNTIF(L$1:L599,XLOOKUP(A$2,Implementos!B:B,Implementos!C:C,"",0,1))=SUMIF(A:A,XLOOKUP(A$2,Implementos!B:B,Implementos!C:C,"",0,1),D:D),"",XLOOKUP(A$2,Implementos!B:B,Implementos!C:C,"",0,1)),A$2)</f>
        <v/>
      </c>
      <c r="M600" s="4" t="str">
        <f t="shared" si="2"/>
        <v/>
      </c>
      <c r="N600" s="4" t="str">
        <f t="shared" si="3"/>
        <v/>
      </c>
      <c r="O600" s="4" t="str">
        <f t="shared" si="4"/>
        <v/>
      </c>
      <c r="P600" s="4" t="str">
        <f t="shared" si="5"/>
        <v/>
      </c>
      <c r="Q600" s="4" t="str">
        <f>IF(U600="","",SUMIF(Productos!E:E,U600,Productos!A:A))</f>
        <v/>
      </c>
      <c r="R600" s="4" t="str">
        <f t="array" ref="R600">IF(L600="","", max(1,SUMIF(I:I,XLOOKUP(U600,Productos!E:E,Productos!G:G,"",0,1),J:J)))</f>
        <v/>
      </c>
      <c r="S600" s="4" t="str">
        <f>IF(Q600="","",IF(SUMIFS(Compat_Vetado!D:D,Compat_Vetado!B:B,SUM(G:G),Compat_Vetado!C:C,Q600)=1,"SI",IF(OR(SUMIF(Cotizador!E:E,Q600,Cotizador!G:G)&gt;0,SUMIFS(Compat_Vetado!D:D,Compat_Vetado!B:B,SUM(G:G),Compat_Vetado!C:C,Q600)=-1),"NO","")))</f>
        <v/>
      </c>
      <c r="T600" s="4" t="str">
        <f t="shared" si="6"/>
        <v/>
      </c>
      <c r="U600" s="4" t="str">
        <f>IFERROR(__xludf.DUMMYFUNCTION("IF(P600="""","""",IFERROR(INDEX(filter(Productos!E:E,Productos!F:F=L600,Productos!H:H=N600),P600),IF(M600=SUM(D:D),""Finalizar"",""-"")))"),"")</f>
        <v/>
      </c>
      <c r="V600" s="4" t="str">
        <f>IFERROR(__xludf.DUMMYFUNCTION("IF(OR($U600="""",COUNTIF($I:$I,IFERROR(unique(filter(Prod_Prop!$H:$H,Prod_Prop!$G:$G=$U600,Prod_Prop!$E:$E=V$1)),""Check""))=0),"""",IFERROR(unique(filter(Prod_Prop!$H:$H,Prod_Prop!$G:$G=$U600,Prod_Prop!$E:$E=V$1)),""""))"),"")</f>
        <v/>
      </c>
      <c r="W600" s="4" t="str">
        <f>IF(V600="","",SUMIFS(Prod_Prop!$J:$J,Prod_Prop!$B:$B,$Q600,Prod_Prop!$H:$H,V600,Prod_Prop!$I:$I,W$1)*IF(V600="Peso",$R600,1))</f>
        <v/>
      </c>
      <c r="X600" s="4" t="str">
        <f>IF(V600="","",SUMIFS(Prod_Prop!$J:$J,Prod_Prop!$B:$B,$Q600,Prod_Prop!$H:$H,V600,Prod_Prop!$I:$I,X$1)*IF(V600="Peso",$R600,1))</f>
        <v/>
      </c>
      <c r="Y600" s="4" t="str">
        <f>IFERROR(__xludf.DUMMYFUNCTION("IF(OR($U600="""",COUNTIF($I:$I,IFERROR(unique(filter(Prod_Prop!$H:$H,Prod_Prop!$G:$G=$U600,Prod_Prop!$E:$E=Y$1)),""Check""))=0),"""",IFERROR(unique(filter(Prod_Prop!$H:$H,Prod_Prop!$G:$G=$U600,Prod_Prop!$E:$E=Y$1)),""""))"),"")</f>
        <v/>
      </c>
      <c r="Z600" s="4" t="str">
        <f>IF(Y600="","",SUMIFS(Prod_Prop!$J:$J,Prod_Prop!$B:$B,$Q600,Prod_Prop!$H:$H,Y600,Prod_Prop!$I:$I,Z$1)*IF(Y600="Peso",$R600,1))</f>
        <v/>
      </c>
      <c r="AA600" s="4" t="str">
        <f>IF(Y600="","",SUMIFS(Prod_Prop!$J:$J,Prod_Prop!$B:$B,$Q600,Prod_Prop!$H:$H,Y600,Prod_Prop!$I:$I,AA$1)*IF(Y600="Peso",$R600,1))</f>
        <v/>
      </c>
      <c r="AB600" s="4" t="str">
        <f>IFERROR(__xludf.DUMMYFUNCTION("IF(OR($U600="""",COUNTIF($I:$I,IFERROR(unique(filter(Prod_Prop!$H:$H,Prod_Prop!$G:$G=$U600,Prod_Prop!$E:$E=AB$1)),""Check""))=0),"""",IFERROR(unique(filter(Prod_Prop!$H:$H,Prod_Prop!$G:$G=$U600,Prod_Prop!$E:$E=AB$1)),""""))"),"")</f>
        <v/>
      </c>
      <c r="AC600" s="4" t="str">
        <f>IF(AB600="","",SUMIFS(Prod_Prop!$J:$J,Prod_Prop!$B:$B,$Q600,Prod_Prop!$H:$H,AB600,Prod_Prop!$I:$I,AC$1)*IF(AB600="Peso",$R600,1))</f>
        <v/>
      </c>
      <c r="AD600" s="4" t="str">
        <f>IF(AB600="","",SUMIFS(Prod_Prop!$J:$J,Prod_Prop!$B:$B,$Q600,Prod_Prop!$H:$H,AB600,Prod_Prop!$I:$I,AD$1)*IF(AB600="Peso",$R600,1))</f>
        <v/>
      </c>
    </row>
    <row r="601">
      <c r="A601" s="4" t="str">
        <f t="array" ref="A601">IF(COUNTIF(A$1:A600,Cotizador!F$2)=maxifs(Familias!E:E,Familias!D:D,Cotizador!F$2),IF(COUNTIF(A$1:A600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1" s="4" t="str">
        <f t="shared" si="1"/>
        <v/>
      </c>
      <c r="C601" s="4" t="str">
        <f t="array" ref="C601">IF(B601="","",IF(A601=XLOOKUP(A$2,Implementos!B:B,Implementos!C:C,"",0,1),B601+maxifs(B$1:B600,A$1:A600,A$2),B601))</f>
        <v/>
      </c>
      <c r="D601" s="4" t="str">
        <f>IF(B601="","", COUNTIFS(Productos!F:F,A601,Productos!H:H,B601)+IF(F601="SI",0,1))</f>
        <v/>
      </c>
      <c r="E601" s="4" t="str">
        <f>IFERROR(__xludf.DUMMYFUNCTION("IF($B601="""","""",INDEX(filter(Familias!F:F,Familias!$D:$D=$A601,Familias!$E:$E=$B601),1))"),"")</f>
        <v/>
      </c>
      <c r="F601" s="4" t="str">
        <f>IFERROR(__xludf.DUMMYFUNCTION("IF($B601="""","""",INDEX(filter(Familias!G:G,Familias!$D:$D=$A601,Familias!$E:$E=$B601),1))"),"")</f>
        <v/>
      </c>
      <c r="G601" s="4" t="str">
        <f t="array" ref="G601">IF(C601=1,XLOOKUP(C601,Cotizador!D:D,Cotizador!E:E,"",0,1),"")</f>
        <v/>
      </c>
      <c r="I601" s="4"/>
      <c r="J601" s="8" t="str">
        <f>IF(I601="","",SUMIF(Cotizador!I$1:V$1,I601,Cotizador!I$2:V$2))</f>
        <v/>
      </c>
      <c r="L601" s="4" t="str">
        <f t="array" ref="L601">IF(COUNTIF(L$1:L600,A$2)=SUMIF(A:A,A$2,D:D),IF(COUNTIF(L$1:L600,XLOOKUP(A$2,Implementos!B:B,Implementos!C:C,"",0,1))=SUMIF(A:A,XLOOKUP(A$2,Implementos!B:B,Implementos!C:C,"",0,1),D:D),"",XLOOKUP(A$2,Implementos!B:B,Implementos!C:C,"",0,1)),A$2)</f>
        <v/>
      </c>
      <c r="M601" s="4" t="str">
        <f t="shared" si="2"/>
        <v/>
      </c>
      <c r="N601" s="4" t="str">
        <f t="shared" si="3"/>
        <v/>
      </c>
      <c r="O601" s="4" t="str">
        <f t="shared" si="4"/>
        <v/>
      </c>
      <c r="P601" s="4" t="str">
        <f t="shared" si="5"/>
        <v/>
      </c>
      <c r="Q601" s="4" t="str">
        <f>IF(U601="","",SUMIF(Productos!E:E,U601,Productos!A:A))</f>
        <v/>
      </c>
      <c r="R601" s="4" t="str">
        <f t="array" ref="R601">IF(L601="","", max(1,SUMIF(I:I,XLOOKUP(U601,Productos!E:E,Productos!G:G,"",0,1),J:J)))</f>
        <v/>
      </c>
      <c r="S601" s="4" t="str">
        <f>IF(Q601="","",IF(SUMIFS(Compat_Vetado!D:D,Compat_Vetado!B:B,SUM(G:G),Compat_Vetado!C:C,Q601)=1,"SI",IF(OR(SUMIF(Cotizador!E:E,Q601,Cotizador!G:G)&gt;0,SUMIFS(Compat_Vetado!D:D,Compat_Vetado!B:B,SUM(G:G),Compat_Vetado!C:C,Q601)=-1),"NO","")))</f>
        <v/>
      </c>
      <c r="T601" s="4" t="str">
        <f t="shared" si="6"/>
        <v/>
      </c>
      <c r="U601" s="4" t="str">
        <f>IFERROR(__xludf.DUMMYFUNCTION("IF(P601="""","""",IFERROR(INDEX(filter(Productos!E:E,Productos!F:F=L601,Productos!H:H=N601),P601),IF(M601=SUM(D:D),""Finalizar"",""-"")))"),"")</f>
        <v/>
      </c>
      <c r="V601" s="4" t="str">
        <f>IFERROR(__xludf.DUMMYFUNCTION("IF(OR($U601="""",COUNTIF($I:$I,IFERROR(unique(filter(Prod_Prop!$H:$H,Prod_Prop!$G:$G=$U601,Prod_Prop!$E:$E=V$1)),""Check""))=0),"""",IFERROR(unique(filter(Prod_Prop!$H:$H,Prod_Prop!$G:$G=$U601,Prod_Prop!$E:$E=V$1)),""""))"),"")</f>
        <v/>
      </c>
      <c r="W601" s="4" t="str">
        <f>IF(V601="","",SUMIFS(Prod_Prop!$J:$J,Prod_Prop!$B:$B,$Q601,Prod_Prop!$H:$H,V601,Prod_Prop!$I:$I,W$1)*IF(V601="Peso",$R601,1))</f>
        <v/>
      </c>
      <c r="X601" s="4" t="str">
        <f>IF(V601="","",SUMIFS(Prod_Prop!$J:$J,Prod_Prop!$B:$B,$Q601,Prod_Prop!$H:$H,V601,Prod_Prop!$I:$I,X$1)*IF(V601="Peso",$R601,1))</f>
        <v/>
      </c>
      <c r="Y601" s="4" t="str">
        <f>IFERROR(__xludf.DUMMYFUNCTION("IF(OR($U601="""",COUNTIF($I:$I,IFERROR(unique(filter(Prod_Prop!$H:$H,Prod_Prop!$G:$G=$U601,Prod_Prop!$E:$E=Y$1)),""Check""))=0),"""",IFERROR(unique(filter(Prod_Prop!$H:$H,Prod_Prop!$G:$G=$U601,Prod_Prop!$E:$E=Y$1)),""""))"),"")</f>
        <v/>
      </c>
      <c r="Z601" s="4" t="str">
        <f>IF(Y601="","",SUMIFS(Prod_Prop!$J:$J,Prod_Prop!$B:$B,$Q601,Prod_Prop!$H:$H,Y601,Prod_Prop!$I:$I,Z$1)*IF(Y601="Peso",$R601,1))</f>
        <v/>
      </c>
      <c r="AA601" s="4" t="str">
        <f>IF(Y601="","",SUMIFS(Prod_Prop!$J:$J,Prod_Prop!$B:$B,$Q601,Prod_Prop!$H:$H,Y601,Prod_Prop!$I:$I,AA$1)*IF(Y601="Peso",$R601,1))</f>
        <v/>
      </c>
      <c r="AB601" s="4" t="str">
        <f>IFERROR(__xludf.DUMMYFUNCTION("IF(OR($U601="""",COUNTIF($I:$I,IFERROR(unique(filter(Prod_Prop!$H:$H,Prod_Prop!$G:$G=$U601,Prod_Prop!$E:$E=AB$1)),""Check""))=0),"""",IFERROR(unique(filter(Prod_Prop!$H:$H,Prod_Prop!$G:$G=$U601,Prod_Prop!$E:$E=AB$1)),""""))"),"")</f>
        <v/>
      </c>
      <c r="AC601" s="4" t="str">
        <f>IF(AB601="","",SUMIFS(Prod_Prop!$J:$J,Prod_Prop!$B:$B,$Q601,Prod_Prop!$H:$H,AB601,Prod_Prop!$I:$I,AC$1)*IF(AB601="Peso",$R601,1))</f>
        <v/>
      </c>
      <c r="AD601" s="4" t="str">
        <f>IF(AB601="","",SUMIFS(Prod_Prop!$J:$J,Prod_Prop!$B:$B,$Q601,Prod_Prop!$H:$H,AB601,Prod_Prop!$I:$I,AD$1)*IF(AB601="Peso",$R601,1))</f>
        <v/>
      </c>
    </row>
    <row r="602">
      <c r="A602" s="4" t="str">
        <f t="array" ref="A602">IF(COUNTIF(A$1:A601,Cotizador!F$2)=maxifs(Familias!E:E,Familias!D:D,Cotizador!F$2),IF(COUNTIF(A$1:A601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2" s="4" t="str">
        <f t="shared" si="1"/>
        <v/>
      </c>
      <c r="C602" s="4" t="str">
        <f t="array" ref="C602">IF(B602="","",IF(A602=XLOOKUP(A$2,Implementos!B:B,Implementos!C:C,"",0,1),B602+maxifs(B$1:B601,A$1:A601,A$2),B602))</f>
        <v/>
      </c>
      <c r="D602" s="4" t="str">
        <f>IF(B602="","", COUNTIFS(Productos!F:F,A602,Productos!H:H,B602)+IF(F602="SI",0,1))</f>
        <v/>
      </c>
      <c r="E602" s="4" t="str">
        <f>IFERROR(__xludf.DUMMYFUNCTION("IF($B602="""","""",INDEX(filter(Familias!F:F,Familias!$D:$D=$A602,Familias!$E:$E=$B602),1))"),"")</f>
        <v/>
      </c>
      <c r="F602" s="4" t="str">
        <f>IFERROR(__xludf.DUMMYFUNCTION("IF($B602="""","""",INDEX(filter(Familias!G:G,Familias!$D:$D=$A602,Familias!$E:$E=$B602),1))"),"")</f>
        <v/>
      </c>
      <c r="G602" s="4" t="str">
        <f t="array" ref="G602">IF(C602=1,XLOOKUP(C602,Cotizador!D:D,Cotizador!E:E,"",0,1),"")</f>
        <v/>
      </c>
      <c r="I602" s="4"/>
      <c r="J602" s="8" t="str">
        <f>IF(I602="","",SUMIF(Cotizador!I$1:V$1,I602,Cotizador!I$2:V$2))</f>
        <v/>
      </c>
      <c r="L602" s="4" t="str">
        <f t="array" ref="L602">IF(COUNTIF(L$1:L601,A$2)=SUMIF(A:A,A$2,D:D),IF(COUNTIF(L$1:L601,XLOOKUP(A$2,Implementos!B:B,Implementos!C:C,"",0,1))=SUMIF(A:A,XLOOKUP(A$2,Implementos!B:B,Implementos!C:C,"",0,1),D:D),"",XLOOKUP(A$2,Implementos!B:B,Implementos!C:C,"",0,1)),A$2)</f>
        <v/>
      </c>
      <c r="M602" s="4" t="str">
        <f t="shared" si="2"/>
        <v/>
      </c>
      <c r="N602" s="4" t="str">
        <f t="shared" si="3"/>
        <v/>
      </c>
      <c r="O602" s="4" t="str">
        <f t="shared" si="4"/>
        <v/>
      </c>
      <c r="P602" s="4" t="str">
        <f t="shared" si="5"/>
        <v/>
      </c>
      <c r="Q602" s="4" t="str">
        <f>IF(U602="","",SUMIF(Productos!E:E,U602,Productos!A:A))</f>
        <v/>
      </c>
      <c r="R602" s="4" t="str">
        <f t="array" ref="R602">IF(L602="","", max(1,SUMIF(I:I,XLOOKUP(U602,Productos!E:E,Productos!G:G,"",0,1),J:J)))</f>
        <v/>
      </c>
      <c r="S602" s="4" t="str">
        <f>IF(Q602="","",IF(SUMIFS(Compat_Vetado!D:D,Compat_Vetado!B:B,SUM(G:G),Compat_Vetado!C:C,Q602)=1,"SI",IF(OR(SUMIF(Cotizador!E:E,Q602,Cotizador!G:G)&gt;0,SUMIFS(Compat_Vetado!D:D,Compat_Vetado!B:B,SUM(G:G),Compat_Vetado!C:C,Q602)=-1),"NO","")))</f>
        <v/>
      </c>
      <c r="T602" s="4" t="str">
        <f t="shared" si="6"/>
        <v/>
      </c>
      <c r="U602" s="4" t="str">
        <f>IFERROR(__xludf.DUMMYFUNCTION("IF(P602="""","""",IFERROR(INDEX(filter(Productos!E:E,Productos!F:F=L602,Productos!H:H=N602),P602),IF(M602=SUM(D:D),""Finalizar"",""-"")))"),"")</f>
        <v/>
      </c>
      <c r="V602" s="4" t="str">
        <f>IFERROR(__xludf.DUMMYFUNCTION("IF(OR($U602="""",COUNTIF($I:$I,IFERROR(unique(filter(Prod_Prop!$H:$H,Prod_Prop!$G:$G=$U602,Prod_Prop!$E:$E=V$1)),""Check""))=0),"""",IFERROR(unique(filter(Prod_Prop!$H:$H,Prod_Prop!$G:$G=$U602,Prod_Prop!$E:$E=V$1)),""""))"),"")</f>
        <v/>
      </c>
      <c r="W602" s="4" t="str">
        <f>IF(V602="","",SUMIFS(Prod_Prop!$J:$J,Prod_Prop!$B:$B,$Q602,Prod_Prop!$H:$H,V602,Prod_Prop!$I:$I,W$1)*IF(V602="Peso",$R602,1))</f>
        <v/>
      </c>
      <c r="X602" s="4" t="str">
        <f>IF(V602="","",SUMIFS(Prod_Prop!$J:$J,Prod_Prop!$B:$B,$Q602,Prod_Prop!$H:$H,V602,Prod_Prop!$I:$I,X$1)*IF(V602="Peso",$R602,1))</f>
        <v/>
      </c>
      <c r="Y602" s="4" t="str">
        <f>IFERROR(__xludf.DUMMYFUNCTION("IF(OR($U602="""",COUNTIF($I:$I,IFERROR(unique(filter(Prod_Prop!$H:$H,Prod_Prop!$G:$G=$U602,Prod_Prop!$E:$E=Y$1)),""Check""))=0),"""",IFERROR(unique(filter(Prod_Prop!$H:$H,Prod_Prop!$G:$G=$U602,Prod_Prop!$E:$E=Y$1)),""""))"),"")</f>
        <v/>
      </c>
      <c r="Z602" s="4" t="str">
        <f>IF(Y602="","",SUMIFS(Prod_Prop!$J:$J,Prod_Prop!$B:$B,$Q602,Prod_Prop!$H:$H,Y602,Prod_Prop!$I:$I,Z$1)*IF(Y602="Peso",$R602,1))</f>
        <v/>
      </c>
      <c r="AA602" s="4" t="str">
        <f>IF(Y602="","",SUMIFS(Prod_Prop!$J:$J,Prod_Prop!$B:$B,$Q602,Prod_Prop!$H:$H,Y602,Prod_Prop!$I:$I,AA$1)*IF(Y602="Peso",$R602,1))</f>
        <v/>
      </c>
      <c r="AB602" s="4" t="str">
        <f>IFERROR(__xludf.DUMMYFUNCTION("IF(OR($U602="""",COUNTIF($I:$I,IFERROR(unique(filter(Prod_Prop!$H:$H,Prod_Prop!$G:$G=$U602,Prod_Prop!$E:$E=AB$1)),""Check""))=0),"""",IFERROR(unique(filter(Prod_Prop!$H:$H,Prod_Prop!$G:$G=$U602,Prod_Prop!$E:$E=AB$1)),""""))"),"")</f>
        <v/>
      </c>
      <c r="AC602" s="4" t="str">
        <f>IF(AB602="","",SUMIFS(Prod_Prop!$J:$J,Prod_Prop!$B:$B,$Q602,Prod_Prop!$H:$H,AB602,Prod_Prop!$I:$I,AC$1)*IF(AB602="Peso",$R602,1))</f>
        <v/>
      </c>
      <c r="AD602" s="4" t="str">
        <f>IF(AB602="","",SUMIFS(Prod_Prop!$J:$J,Prod_Prop!$B:$B,$Q602,Prod_Prop!$H:$H,AB602,Prod_Prop!$I:$I,AD$1)*IF(AB602="Peso",$R602,1))</f>
        <v/>
      </c>
    </row>
    <row r="603">
      <c r="A603" s="4" t="str">
        <f t="array" ref="A603">IF(COUNTIF(A$1:A602,Cotizador!F$2)=maxifs(Familias!E:E,Familias!D:D,Cotizador!F$2),IF(COUNTIF(A$1:A602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3" s="4" t="str">
        <f t="shared" si="1"/>
        <v/>
      </c>
      <c r="C603" s="4" t="str">
        <f t="array" ref="C603">IF(B603="","",IF(A603=XLOOKUP(A$2,Implementos!B:B,Implementos!C:C,"",0,1),B603+maxifs(B$1:B602,A$1:A602,A$2),B603))</f>
        <v/>
      </c>
      <c r="D603" s="4" t="str">
        <f>IF(B603="","", COUNTIFS(Productos!F:F,A603,Productos!H:H,B603)+IF(F603="SI",0,1))</f>
        <v/>
      </c>
      <c r="E603" s="4" t="str">
        <f>IFERROR(__xludf.DUMMYFUNCTION("IF($B603="""","""",INDEX(filter(Familias!F:F,Familias!$D:$D=$A603,Familias!$E:$E=$B603),1))"),"")</f>
        <v/>
      </c>
      <c r="F603" s="4" t="str">
        <f>IFERROR(__xludf.DUMMYFUNCTION("IF($B603="""","""",INDEX(filter(Familias!G:G,Familias!$D:$D=$A603,Familias!$E:$E=$B603),1))"),"")</f>
        <v/>
      </c>
      <c r="G603" s="4" t="str">
        <f t="array" ref="G603">IF(C603=1,XLOOKUP(C603,Cotizador!D:D,Cotizador!E:E,"",0,1),"")</f>
        <v/>
      </c>
      <c r="I603" s="4"/>
      <c r="J603" s="8" t="str">
        <f>IF(I603="","",SUMIF(Cotizador!I$1:V$1,I603,Cotizador!I$2:V$2))</f>
        <v/>
      </c>
      <c r="L603" s="4" t="str">
        <f t="array" ref="L603">IF(COUNTIF(L$1:L602,A$2)=SUMIF(A:A,A$2,D:D),IF(COUNTIF(L$1:L602,XLOOKUP(A$2,Implementos!B:B,Implementos!C:C,"",0,1))=SUMIF(A:A,XLOOKUP(A$2,Implementos!B:B,Implementos!C:C,"",0,1),D:D),"",XLOOKUP(A$2,Implementos!B:B,Implementos!C:C,"",0,1)),A$2)</f>
        <v/>
      </c>
      <c r="M603" s="4" t="str">
        <f t="shared" si="2"/>
        <v/>
      </c>
      <c r="N603" s="4" t="str">
        <f t="shared" si="3"/>
        <v/>
      </c>
      <c r="O603" s="4" t="str">
        <f t="shared" si="4"/>
        <v/>
      </c>
      <c r="P603" s="4" t="str">
        <f t="shared" si="5"/>
        <v/>
      </c>
      <c r="Q603" s="4" t="str">
        <f>IF(U603="","",SUMIF(Productos!E:E,U603,Productos!A:A))</f>
        <v/>
      </c>
      <c r="R603" s="4" t="str">
        <f t="array" ref="R603">IF(L603="","", max(1,SUMIF(I:I,XLOOKUP(U603,Productos!E:E,Productos!G:G,"",0,1),J:J)))</f>
        <v/>
      </c>
      <c r="S603" s="4" t="str">
        <f>IF(Q603="","",IF(SUMIFS(Compat_Vetado!D:D,Compat_Vetado!B:B,SUM(G:G),Compat_Vetado!C:C,Q603)=1,"SI",IF(OR(SUMIF(Cotizador!E:E,Q603,Cotizador!G:G)&gt;0,SUMIFS(Compat_Vetado!D:D,Compat_Vetado!B:B,SUM(G:G),Compat_Vetado!C:C,Q603)=-1),"NO","")))</f>
        <v/>
      </c>
      <c r="T603" s="4" t="str">
        <f t="shared" si="6"/>
        <v/>
      </c>
      <c r="U603" s="4" t="str">
        <f>IFERROR(__xludf.DUMMYFUNCTION("IF(P603="""","""",IFERROR(INDEX(filter(Productos!E:E,Productos!F:F=L603,Productos!H:H=N603),P603),IF(M603=SUM(D:D),""Finalizar"",""-"")))"),"")</f>
        <v/>
      </c>
      <c r="V603" s="4" t="str">
        <f>IFERROR(__xludf.DUMMYFUNCTION("IF(OR($U603="""",COUNTIF($I:$I,IFERROR(unique(filter(Prod_Prop!$H:$H,Prod_Prop!$G:$G=$U603,Prod_Prop!$E:$E=V$1)),""Check""))=0),"""",IFERROR(unique(filter(Prod_Prop!$H:$H,Prod_Prop!$G:$G=$U603,Prod_Prop!$E:$E=V$1)),""""))"),"")</f>
        <v/>
      </c>
      <c r="W603" s="4" t="str">
        <f>IF(V603="","",SUMIFS(Prod_Prop!$J:$J,Prod_Prop!$B:$B,$Q603,Prod_Prop!$H:$H,V603,Prod_Prop!$I:$I,W$1)*IF(V603="Peso",$R603,1))</f>
        <v/>
      </c>
      <c r="X603" s="4" t="str">
        <f>IF(V603="","",SUMIFS(Prod_Prop!$J:$J,Prod_Prop!$B:$B,$Q603,Prod_Prop!$H:$H,V603,Prod_Prop!$I:$I,X$1)*IF(V603="Peso",$R603,1))</f>
        <v/>
      </c>
      <c r="Y603" s="4" t="str">
        <f>IFERROR(__xludf.DUMMYFUNCTION("IF(OR($U603="""",COUNTIF($I:$I,IFERROR(unique(filter(Prod_Prop!$H:$H,Prod_Prop!$G:$G=$U603,Prod_Prop!$E:$E=Y$1)),""Check""))=0),"""",IFERROR(unique(filter(Prod_Prop!$H:$H,Prod_Prop!$G:$G=$U603,Prod_Prop!$E:$E=Y$1)),""""))"),"")</f>
        <v/>
      </c>
      <c r="Z603" s="4" t="str">
        <f>IF(Y603="","",SUMIFS(Prod_Prop!$J:$J,Prod_Prop!$B:$B,$Q603,Prod_Prop!$H:$H,Y603,Prod_Prop!$I:$I,Z$1)*IF(Y603="Peso",$R603,1))</f>
        <v/>
      </c>
      <c r="AA603" s="4" t="str">
        <f>IF(Y603="","",SUMIFS(Prod_Prop!$J:$J,Prod_Prop!$B:$B,$Q603,Prod_Prop!$H:$H,Y603,Prod_Prop!$I:$I,AA$1)*IF(Y603="Peso",$R603,1))</f>
        <v/>
      </c>
      <c r="AB603" s="4" t="str">
        <f>IFERROR(__xludf.DUMMYFUNCTION("IF(OR($U603="""",COUNTIF($I:$I,IFERROR(unique(filter(Prod_Prop!$H:$H,Prod_Prop!$G:$G=$U603,Prod_Prop!$E:$E=AB$1)),""Check""))=0),"""",IFERROR(unique(filter(Prod_Prop!$H:$H,Prod_Prop!$G:$G=$U603,Prod_Prop!$E:$E=AB$1)),""""))"),"")</f>
        <v/>
      </c>
      <c r="AC603" s="4" t="str">
        <f>IF(AB603="","",SUMIFS(Prod_Prop!$J:$J,Prod_Prop!$B:$B,$Q603,Prod_Prop!$H:$H,AB603,Prod_Prop!$I:$I,AC$1)*IF(AB603="Peso",$R603,1))</f>
        <v/>
      </c>
      <c r="AD603" s="4" t="str">
        <f>IF(AB603="","",SUMIFS(Prod_Prop!$J:$J,Prod_Prop!$B:$B,$Q603,Prod_Prop!$H:$H,AB603,Prod_Prop!$I:$I,AD$1)*IF(AB603="Peso",$R603,1))</f>
        <v/>
      </c>
    </row>
    <row r="604">
      <c r="A604" s="4" t="str">
        <f t="array" ref="A604">IF(COUNTIF(A$1:A603,Cotizador!F$2)=maxifs(Familias!E:E,Familias!D:D,Cotizador!F$2),IF(COUNTIF(A$1:A603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4" s="4" t="str">
        <f t="shared" si="1"/>
        <v/>
      </c>
      <c r="C604" s="4" t="str">
        <f t="array" ref="C604">IF(B604="","",IF(A604=XLOOKUP(A$2,Implementos!B:B,Implementos!C:C,"",0,1),B604+maxifs(B$1:B603,A$1:A603,A$2),B604))</f>
        <v/>
      </c>
      <c r="D604" s="4" t="str">
        <f>IF(B604="","", COUNTIFS(Productos!F:F,A604,Productos!H:H,B604)+IF(F604="SI",0,1))</f>
        <v/>
      </c>
      <c r="E604" s="4" t="str">
        <f>IFERROR(__xludf.DUMMYFUNCTION("IF($B604="""","""",INDEX(filter(Familias!F:F,Familias!$D:$D=$A604,Familias!$E:$E=$B604),1))"),"")</f>
        <v/>
      </c>
      <c r="F604" s="4" t="str">
        <f>IFERROR(__xludf.DUMMYFUNCTION("IF($B604="""","""",INDEX(filter(Familias!G:G,Familias!$D:$D=$A604,Familias!$E:$E=$B604),1))"),"")</f>
        <v/>
      </c>
      <c r="G604" s="4" t="str">
        <f t="array" ref="G604">IF(C604=1,XLOOKUP(C604,Cotizador!D:D,Cotizador!E:E,"",0,1),"")</f>
        <v/>
      </c>
      <c r="I604" s="4"/>
      <c r="J604" s="8" t="str">
        <f>IF(I604="","",SUMIF(Cotizador!I$1:V$1,I604,Cotizador!I$2:V$2))</f>
        <v/>
      </c>
      <c r="L604" s="4" t="str">
        <f t="array" ref="L604">IF(COUNTIF(L$1:L603,A$2)=SUMIF(A:A,A$2,D:D),IF(COUNTIF(L$1:L603,XLOOKUP(A$2,Implementos!B:B,Implementos!C:C,"",0,1))=SUMIF(A:A,XLOOKUP(A$2,Implementos!B:B,Implementos!C:C,"",0,1),D:D),"",XLOOKUP(A$2,Implementos!B:B,Implementos!C:C,"",0,1)),A$2)</f>
        <v/>
      </c>
      <c r="M604" s="4" t="str">
        <f t="shared" si="2"/>
        <v/>
      </c>
      <c r="N604" s="4" t="str">
        <f t="shared" si="3"/>
        <v/>
      </c>
      <c r="O604" s="4" t="str">
        <f t="shared" si="4"/>
        <v/>
      </c>
      <c r="P604" s="4" t="str">
        <f t="shared" si="5"/>
        <v/>
      </c>
      <c r="Q604" s="4" t="str">
        <f>IF(U604="","",SUMIF(Productos!E:E,U604,Productos!A:A))</f>
        <v/>
      </c>
      <c r="R604" s="4" t="str">
        <f t="array" ref="R604">IF(L604="","", max(1,SUMIF(I:I,XLOOKUP(U604,Productos!E:E,Productos!G:G,"",0,1),J:J)))</f>
        <v/>
      </c>
      <c r="S604" s="4" t="str">
        <f>IF(Q604="","",IF(SUMIFS(Compat_Vetado!D:D,Compat_Vetado!B:B,SUM(G:G),Compat_Vetado!C:C,Q604)=1,"SI",IF(OR(SUMIF(Cotizador!E:E,Q604,Cotizador!G:G)&gt;0,SUMIFS(Compat_Vetado!D:D,Compat_Vetado!B:B,SUM(G:G),Compat_Vetado!C:C,Q604)=-1),"NO","")))</f>
        <v/>
      </c>
      <c r="T604" s="4" t="str">
        <f t="shared" si="6"/>
        <v/>
      </c>
      <c r="U604" s="4" t="str">
        <f>IFERROR(__xludf.DUMMYFUNCTION("IF(P604="""","""",IFERROR(INDEX(filter(Productos!E:E,Productos!F:F=L604,Productos!H:H=N604),P604),IF(M604=SUM(D:D),""Finalizar"",""-"")))"),"")</f>
        <v/>
      </c>
      <c r="V604" s="4" t="str">
        <f>IFERROR(__xludf.DUMMYFUNCTION("IF(OR($U604="""",COUNTIF($I:$I,IFERROR(unique(filter(Prod_Prop!$H:$H,Prod_Prop!$G:$G=$U604,Prod_Prop!$E:$E=V$1)),""Check""))=0),"""",IFERROR(unique(filter(Prod_Prop!$H:$H,Prod_Prop!$G:$G=$U604,Prod_Prop!$E:$E=V$1)),""""))"),"")</f>
        <v/>
      </c>
      <c r="W604" s="4" t="str">
        <f>IF(V604="","",SUMIFS(Prod_Prop!$J:$J,Prod_Prop!$B:$B,$Q604,Prod_Prop!$H:$H,V604,Prod_Prop!$I:$I,W$1)*IF(V604="Peso",$R604,1))</f>
        <v/>
      </c>
      <c r="X604" s="4" t="str">
        <f>IF(V604="","",SUMIFS(Prod_Prop!$J:$J,Prod_Prop!$B:$B,$Q604,Prod_Prop!$H:$H,V604,Prod_Prop!$I:$I,X$1)*IF(V604="Peso",$R604,1))</f>
        <v/>
      </c>
      <c r="Y604" s="4" t="str">
        <f>IFERROR(__xludf.DUMMYFUNCTION("IF(OR($U604="""",COUNTIF($I:$I,IFERROR(unique(filter(Prod_Prop!$H:$H,Prod_Prop!$G:$G=$U604,Prod_Prop!$E:$E=Y$1)),""Check""))=0),"""",IFERROR(unique(filter(Prod_Prop!$H:$H,Prod_Prop!$G:$G=$U604,Prod_Prop!$E:$E=Y$1)),""""))"),"")</f>
        <v/>
      </c>
      <c r="Z604" s="4" t="str">
        <f>IF(Y604="","",SUMIFS(Prod_Prop!$J:$J,Prod_Prop!$B:$B,$Q604,Prod_Prop!$H:$H,Y604,Prod_Prop!$I:$I,Z$1)*IF(Y604="Peso",$R604,1))</f>
        <v/>
      </c>
      <c r="AA604" s="4" t="str">
        <f>IF(Y604="","",SUMIFS(Prod_Prop!$J:$J,Prod_Prop!$B:$B,$Q604,Prod_Prop!$H:$H,Y604,Prod_Prop!$I:$I,AA$1)*IF(Y604="Peso",$R604,1))</f>
        <v/>
      </c>
      <c r="AB604" s="4" t="str">
        <f>IFERROR(__xludf.DUMMYFUNCTION("IF(OR($U604="""",COUNTIF($I:$I,IFERROR(unique(filter(Prod_Prop!$H:$H,Prod_Prop!$G:$G=$U604,Prod_Prop!$E:$E=AB$1)),""Check""))=0),"""",IFERROR(unique(filter(Prod_Prop!$H:$H,Prod_Prop!$G:$G=$U604,Prod_Prop!$E:$E=AB$1)),""""))"),"")</f>
        <v/>
      </c>
      <c r="AC604" s="4" t="str">
        <f>IF(AB604="","",SUMIFS(Prod_Prop!$J:$J,Prod_Prop!$B:$B,$Q604,Prod_Prop!$H:$H,AB604,Prod_Prop!$I:$I,AC$1)*IF(AB604="Peso",$R604,1))</f>
        <v/>
      </c>
      <c r="AD604" s="4" t="str">
        <f>IF(AB604="","",SUMIFS(Prod_Prop!$J:$J,Prod_Prop!$B:$B,$Q604,Prod_Prop!$H:$H,AB604,Prod_Prop!$I:$I,AD$1)*IF(AB604="Peso",$R604,1))</f>
        <v/>
      </c>
    </row>
    <row r="605">
      <c r="A605" s="4" t="str">
        <f t="array" ref="A605">IF(COUNTIF(A$1:A604,Cotizador!F$2)=maxifs(Familias!E:E,Familias!D:D,Cotizador!F$2),IF(COUNTIF(A$1:A604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5" s="4" t="str">
        <f t="shared" si="1"/>
        <v/>
      </c>
      <c r="C605" s="4" t="str">
        <f t="array" ref="C605">IF(B605="","",IF(A605=XLOOKUP(A$2,Implementos!B:B,Implementos!C:C,"",0,1),B605+maxifs(B$1:B604,A$1:A604,A$2),B605))</f>
        <v/>
      </c>
      <c r="D605" s="4" t="str">
        <f>IF(B605="","", COUNTIFS(Productos!F:F,A605,Productos!H:H,B605)+IF(F605="SI",0,1))</f>
        <v/>
      </c>
      <c r="E605" s="4" t="str">
        <f>IFERROR(__xludf.DUMMYFUNCTION("IF($B605="""","""",INDEX(filter(Familias!F:F,Familias!$D:$D=$A605,Familias!$E:$E=$B605),1))"),"")</f>
        <v/>
      </c>
      <c r="F605" s="4" t="str">
        <f>IFERROR(__xludf.DUMMYFUNCTION("IF($B605="""","""",INDEX(filter(Familias!G:G,Familias!$D:$D=$A605,Familias!$E:$E=$B605),1))"),"")</f>
        <v/>
      </c>
      <c r="G605" s="4" t="str">
        <f t="array" ref="G605">IF(C605=1,XLOOKUP(C605,Cotizador!D:D,Cotizador!E:E,"",0,1),"")</f>
        <v/>
      </c>
      <c r="I605" s="4"/>
      <c r="J605" s="8" t="str">
        <f>IF(I605="","",SUMIF(Cotizador!I$1:V$1,I605,Cotizador!I$2:V$2))</f>
        <v/>
      </c>
      <c r="L605" s="4" t="str">
        <f t="array" ref="L605">IF(COUNTIF(L$1:L604,A$2)=SUMIF(A:A,A$2,D:D),IF(COUNTIF(L$1:L604,XLOOKUP(A$2,Implementos!B:B,Implementos!C:C,"",0,1))=SUMIF(A:A,XLOOKUP(A$2,Implementos!B:B,Implementos!C:C,"",0,1),D:D),"",XLOOKUP(A$2,Implementos!B:B,Implementos!C:C,"",0,1)),A$2)</f>
        <v/>
      </c>
      <c r="M605" s="4" t="str">
        <f t="shared" si="2"/>
        <v/>
      </c>
      <c r="N605" s="4" t="str">
        <f t="shared" si="3"/>
        <v/>
      </c>
      <c r="O605" s="4" t="str">
        <f t="shared" si="4"/>
        <v/>
      </c>
      <c r="P605" s="4" t="str">
        <f t="shared" si="5"/>
        <v/>
      </c>
      <c r="Q605" s="4" t="str">
        <f>IF(U605="","",SUMIF(Productos!E:E,U605,Productos!A:A))</f>
        <v/>
      </c>
      <c r="R605" s="4" t="str">
        <f t="array" ref="R605">IF(L605="","", max(1,SUMIF(I:I,XLOOKUP(U605,Productos!E:E,Productos!G:G,"",0,1),J:J)))</f>
        <v/>
      </c>
      <c r="S605" s="4" t="str">
        <f>IF(Q605="","",IF(SUMIFS(Compat_Vetado!D:D,Compat_Vetado!B:B,SUM(G:G),Compat_Vetado!C:C,Q605)=1,"SI",IF(OR(SUMIF(Cotizador!E:E,Q605,Cotizador!G:G)&gt;0,SUMIFS(Compat_Vetado!D:D,Compat_Vetado!B:B,SUM(G:G),Compat_Vetado!C:C,Q605)=-1),"NO","")))</f>
        <v/>
      </c>
      <c r="T605" s="4" t="str">
        <f t="shared" si="6"/>
        <v/>
      </c>
      <c r="U605" s="4" t="str">
        <f>IFERROR(__xludf.DUMMYFUNCTION("IF(P605="""","""",IFERROR(INDEX(filter(Productos!E:E,Productos!F:F=L605,Productos!H:H=N605),P605),IF(M605=SUM(D:D),""Finalizar"",""-"")))"),"")</f>
        <v/>
      </c>
      <c r="V605" s="4" t="str">
        <f>IFERROR(__xludf.DUMMYFUNCTION("IF(OR($U605="""",COUNTIF($I:$I,IFERROR(unique(filter(Prod_Prop!$H:$H,Prod_Prop!$G:$G=$U605,Prod_Prop!$E:$E=V$1)),""Check""))=0),"""",IFERROR(unique(filter(Prod_Prop!$H:$H,Prod_Prop!$G:$G=$U605,Prod_Prop!$E:$E=V$1)),""""))"),"")</f>
        <v/>
      </c>
      <c r="W605" s="4" t="str">
        <f>IF(V605="","",SUMIFS(Prod_Prop!$J:$J,Prod_Prop!$B:$B,$Q605,Prod_Prop!$H:$H,V605,Prod_Prop!$I:$I,W$1)*IF(V605="Peso",$R605,1))</f>
        <v/>
      </c>
      <c r="X605" s="4" t="str">
        <f>IF(V605="","",SUMIFS(Prod_Prop!$J:$J,Prod_Prop!$B:$B,$Q605,Prod_Prop!$H:$H,V605,Prod_Prop!$I:$I,X$1)*IF(V605="Peso",$R605,1))</f>
        <v/>
      </c>
      <c r="Y605" s="4" t="str">
        <f>IFERROR(__xludf.DUMMYFUNCTION("IF(OR($U605="""",COUNTIF($I:$I,IFERROR(unique(filter(Prod_Prop!$H:$H,Prod_Prop!$G:$G=$U605,Prod_Prop!$E:$E=Y$1)),""Check""))=0),"""",IFERROR(unique(filter(Prod_Prop!$H:$H,Prod_Prop!$G:$G=$U605,Prod_Prop!$E:$E=Y$1)),""""))"),"")</f>
        <v/>
      </c>
      <c r="Z605" s="4" t="str">
        <f>IF(Y605="","",SUMIFS(Prod_Prop!$J:$J,Prod_Prop!$B:$B,$Q605,Prod_Prop!$H:$H,Y605,Prod_Prop!$I:$I,Z$1)*IF(Y605="Peso",$R605,1))</f>
        <v/>
      </c>
      <c r="AA605" s="4" t="str">
        <f>IF(Y605="","",SUMIFS(Prod_Prop!$J:$J,Prod_Prop!$B:$B,$Q605,Prod_Prop!$H:$H,Y605,Prod_Prop!$I:$I,AA$1)*IF(Y605="Peso",$R605,1))</f>
        <v/>
      </c>
      <c r="AB605" s="4" t="str">
        <f>IFERROR(__xludf.DUMMYFUNCTION("IF(OR($U605="""",COUNTIF($I:$I,IFERROR(unique(filter(Prod_Prop!$H:$H,Prod_Prop!$G:$G=$U605,Prod_Prop!$E:$E=AB$1)),""Check""))=0),"""",IFERROR(unique(filter(Prod_Prop!$H:$H,Prod_Prop!$G:$G=$U605,Prod_Prop!$E:$E=AB$1)),""""))"),"")</f>
        <v/>
      </c>
      <c r="AC605" s="4" t="str">
        <f>IF(AB605="","",SUMIFS(Prod_Prop!$J:$J,Prod_Prop!$B:$B,$Q605,Prod_Prop!$H:$H,AB605,Prod_Prop!$I:$I,AC$1)*IF(AB605="Peso",$R605,1))</f>
        <v/>
      </c>
      <c r="AD605" s="4" t="str">
        <f>IF(AB605="","",SUMIFS(Prod_Prop!$J:$J,Prod_Prop!$B:$B,$Q605,Prod_Prop!$H:$H,AB605,Prod_Prop!$I:$I,AD$1)*IF(AB605="Peso",$R605,1))</f>
        <v/>
      </c>
    </row>
    <row r="606">
      <c r="A606" s="4" t="str">
        <f t="array" ref="A606">IF(COUNTIF(A$1:A605,Cotizador!F$2)=maxifs(Familias!E:E,Familias!D:D,Cotizador!F$2),IF(COUNTIF(A$1:A605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6" s="4" t="str">
        <f t="shared" si="1"/>
        <v/>
      </c>
      <c r="C606" s="4" t="str">
        <f t="array" ref="C606">IF(B606="","",IF(A606=XLOOKUP(A$2,Implementos!B:B,Implementos!C:C,"",0,1),B606+maxifs(B$1:B605,A$1:A605,A$2),B606))</f>
        <v/>
      </c>
      <c r="D606" s="4" t="str">
        <f>IF(B606="","", COUNTIFS(Productos!F:F,A606,Productos!H:H,B606)+IF(F606="SI",0,1))</f>
        <v/>
      </c>
      <c r="E606" s="4" t="str">
        <f>IFERROR(__xludf.DUMMYFUNCTION("IF($B606="""","""",INDEX(filter(Familias!F:F,Familias!$D:$D=$A606,Familias!$E:$E=$B606),1))"),"")</f>
        <v/>
      </c>
      <c r="F606" s="4" t="str">
        <f>IFERROR(__xludf.DUMMYFUNCTION("IF($B606="""","""",INDEX(filter(Familias!G:G,Familias!$D:$D=$A606,Familias!$E:$E=$B606),1))"),"")</f>
        <v/>
      </c>
      <c r="G606" s="4" t="str">
        <f t="array" ref="G606">IF(C606=1,XLOOKUP(C606,Cotizador!D:D,Cotizador!E:E,"",0,1),"")</f>
        <v/>
      </c>
      <c r="I606" s="4"/>
      <c r="J606" s="8" t="str">
        <f>IF(I606="","",SUMIF(Cotizador!I$1:V$1,I606,Cotizador!I$2:V$2))</f>
        <v/>
      </c>
      <c r="L606" s="4" t="str">
        <f t="array" ref="L606">IF(COUNTIF(L$1:L605,A$2)=SUMIF(A:A,A$2,D:D),IF(COUNTIF(L$1:L605,XLOOKUP(A$2,Implementos!B:B,Implementos!C:C,"",0,1))=SUMIF(A:A,XLOOKUP(A$2,Implementos!B:B,Implementos!C:C,"",0,1),D:D),"",XLOOKUP(A$2,Implementos!B:B,Implementos!C:C,"",0,1)),A$2)</f>
        <v/>
      </c>
      <c r="M606" s="4" t="str">
        <f t="shared" si="2"/>
        <v/>
      </c>
      <c r="N606" s="4" t="str">
        <f t="shared" si="3"/>
        <v/>
      </c>
      <c r="O606" s="4" t="str">
        <f t="shared" si="4"/>
        <v/>
      </c>
      <c r="P606" s="4" t="str">
        <f t="shared" si="5"/>
        <v/>
      </c>
      <c r="Q606" s="4" t="str">
        <f>IF(U606="","",SUMIF(Productos!E:E,U606,Productos!A:A))</f>
        <v/>
      </c>
      <c r="R606" s="4" t="str">
        <f t="array" ref="R606">IF(L606="","", max(1,SUMIF(I:I,XLOOKUP(U606,Productos!E:E,Productos!G:G,"",0,1),J:J)))</f>
        <v/>
      </c>
      <c r="S606" s="4" t="str">
        <f>IF(Q606="","",IF(SUMIFS(Compat_Vetado!D:D,Compat_Vetado!B:B,SUM(G:G),Compat_Vetado!C:C,Q606)=1,"SI",IF(OR(SUMIF(Cotizador!E:E,Q606,Cotizador!G:G)&gt;0,SUMIFS(Compat_Vetado!D:D,Compat_Vetado!B:B,SUM(G:G),Compat_Vetado!C:C,Q606)=-1),"NO","")))</f>
        <v/>
      </c>
      <c r="T606" s="4" t="str">
        <f t="shared" si="6"/>
        <v/>
      </c>
      <c r="U606" s="4" t="str">
        <f>IFERROR(__xludf.DUMMYFUNCTION("IF(P606="""","""",IFERROR(INDEX(filter(Productos!E:E,Productos!F:F=L606,Productos!H:H=N606),P606),IF(M606=SUM(D:D),""Finalizar"",""-"")))"),"")</f>
        <v/>
      </c>
      <c r="V606" s="4" t="str">
        <f>IFERROR(__xludf.DUMMYFUNCTION("IF(OR($U606="""",COUNTIF($I:$I,IFERROR(unique(filter(Prod_Prop!$H:$H,Prod_Prop!$G:$G=$U606,Prod_Prop!$E:$E=V$1)),""Check""))=0),"""",IFERROR(unique(filter(Prod_Prop!$H:$H,Prod_Prop!$G:$G=$U606,Prod_Prop!$E:$E=V$1)),""""))"),"")</f>
        <v/>
      </c>
      <c r="W606" s="4" t="str">
        <f>IF(V606="","",SUMIFS(Prod_Prop!$J:$J,Prod_Prop!$B:$B,$Q606,Prod_Prop!$H:$H,V606,Prod_Prop!$I:$I,W$1)*IF(V606="Peso",$R606,1))</f>
        <v/>
      </c>
      <c r="X606" s="4" t="str">
        <f>IF(V606="","",SUMIFS(Prod_Prop!$J:$J,Prod_Prop!$B:$B,$Q606,Prod_Prop!$H:$H,V606,Prod_Prop!$I:$I,X$1)*IF(V606="Peso",$R606,1))</f>
        <v/>
      </c>
      <c r="Y606" s="4" t="str">
        <f>IFERROR(__xludf.DUMMYFUNCTION("IF(OR($U606="""",COUNTIF($I:$I,IFERROR(unique(filter(Prod_Prop!$H:$H,Prod_Prop!$G:$G=$U606,Prod_Prop!$E:$E=Y$1)),""Check""))=0),"""",IFERROR(unique(filter(Prod_Prop!$H:$H,Prod_Prop!$G:$G=$U606,Prod_Prop!$E:$E=Y$1)),""""))"),"")</f>
        <v/>
      </c>
      <c r="Z606" s="4" t="str">
        <f>IF(Y606="","",SUMIFS(Prod_Prop!$J:$J,Prod_Prop!$B:$B,$Q606,Prod_Prop!$H:$H,Y606,Prod_Prop!$I:$I,Z$1)*IF(Y606="Peso",$R606,1))</f>
        <v/>
      </c>
      <c r="AA606" s="4" t="str">
        <f>IF(Y606="","",SUMIFS(Prod_Prop!$J:$J,Prod_Prop!$B:$B,$Q606,Prod_Prop!$H:$H,Y606,Prod_Prop!$I:$I,AA$1)*IF(Y606="Peso",$R606,1))</f>
        <v/>
      </c>
      <c r="AB606" s="4" t="str">
        <f>IFERROR(__xludf.DUMMYFUNCTION("IF(OR($U606="""",COUNTIF($I:$I,IFERROR(unique(filter(Prod_Prop!$H:$H,Prod_Prop!$G:$G=$U606,Prod_Prop!$E:$E=AB$1)),""Check""))=0),"""",IFERROR(unique(filter(Prod_Prop!$H:$H,Prod_Prop!$G:$G=$U606,Prod_Prop!$E:$E=AB$1)),""""))"),"")</f>
        <v/>
      </c>
      <c r="AC606" s="4" t="str">
        <f>IF(AB606="","",SUMIFS(Prod_Prop!$J:$J,Prod_Prop!$B:$B,$Q606,Prod_Prop!$H:$H,AB606,Prod_Prop!$I:$I,AC$1)*IF(AB606="Peso",$R606,1))</f>
        <v/>
      </c>
      <c r="AD606" s="4" t="str">
        <f>IF(AB606="","",SUMIFS(Prod_Prop!$J:$J,Prod_Prop!$B:$B,$Q606,Prod_Prop!$H:$H,AB606,Prod_Prop!$I:$I,AD$1)*IF(AB606="Peso",$R606,1))</f>
        <v/>
      </c>
    </row>
    <row r="607">
      <c r="A607" s="4" t="str">
        <f t="array" ref="A607">IF(COUNTIF(A$1:A606,Cotizador!F$2)=maxifs(Familias!E:E,Familias!D:D,Cotizador!F$2),IF(COUNTIF(A$1:A606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7" s="4" t="str">
        <f t="shared" si="1"/>
        <v/>
      </c>
      <c r="C607" s="4" t="str">
        <f t="array" ref="C607">IF(B607="","",IF(A607=XLOOKUP(A$2,Implementos!B:B,Implementos!C:C,"",0,1),B607+maxifs(B$1:B606,A$1:A606,A$2),B607))</f>
        <v/>
      </c>
      <c r="D607" s="4" t="str">
        <f>IF(B607="","", COUNTIFS(Productos!F:F,A607,Productos!H:H,B607)+IF(F607="SI",0,1))</f>
        <v/>
      </c>
      <c r="E607" s="4" t="str">
        <f>IFERROR(__xludf.DUMMYFUNCTION("IF($B607="""","""",INDEX(filter(Familias!F:F,Familias!$D:$D=$A607,Familias!$E:$E=$B607),1))"),"")</f>
        <v/>
      </c>
      <c r="F607" s="4" t="str">
        <f>IFERROR(__xludf.DUMMYFUNCTION("IF($B607="""","""",INDEX(filter(Familias!G:G,Familias!$D:$D=$A607,Familias!$E:$E=$B607),1))"),"")</f>
        <v/>
      </c>
      <c r="G607" s="4" t="str">
        <f t="array" ref="G607">IF(C607=1,XLOOKUP(C607,Cotizador!D:D,Cotizador!E:E,"",0,1),"")</f>
        <v/>
      </c>
      <c r="I607" s="4"/>
      <c r="J607" s="8" t="str">
        <f>IF(I607="","",SUMIF(Cotizador!I$1:V$1,I607,Cotizador!I$2:V$2))</f>
        <v/>
      </c>
      <c r="L607" s="4" t="str">
        <f t="array" ref="L607">IF(COUNTIF(L$1:L606,A$2)=SUMIF(A:A,A$2,D:D),IF(COUNTIF(L$1:L606,XLOOKUP(A$2,Implementos!B:B,Implementos!C:C,"",0,1))=SUMIF(A:A,XLOOKUP(A$2,Implementos!B:B,Implementos!C:C,"",0,1),D:D),"",XLOOKUP(A$2,Implementos!B:B,Implementos!C:C,"",0,1)),A$2)</f>
        <v/>
      </c>
      <c r="M607" s="4" t="str">
        <f t="shared" si="2"/>
        <v/>
      </c>
      <c r="N607" s="4" t="str">
        <f t="shared" si="3"/>
        <v/>
      </c>
      <c r="O607" s="4" t="str">
        <f t="shared" si="4"/>
        <v/>
      </c>
      <c r="P607" s="4" t="str">
        <f t="shared" si="5"/>
        <v/>
      </c>
      <c r="Q607" s="4" t="str">
        <f>IF(U607="","",SUMIF(Productos!E:E,U607,Productos!A:A))</f>
        <v/>
      </c>
      <c r="R607" s="4" t="str">
        <f t="array" ref="R607">IF(L607="","", max(1,SUMIF(I:I,XLOOKUP(U607,Productos!E:E,Productos!G:G,"",0,1),J:J)))</f>
        <v/>
      </c>
      <c r="S607" s="4" t="str">
        <f>IF(Q607="","",IF(SUMIFS(Compat_Vetado!D:D,Compat_Vetado!B:B,SUM(G:G),Compat_Vetado!C:C,Q607)=1,"SI",IF(OR(SUMIF(Cotizador!E:E,Q607,Cotizador!G:G)&gt;0,SUMIFS(Compat_Vetado!D:D,Compat_Vetado!B:B,SUM(G:G),Compat_Vetado!C:C,Q607)=-1),"NO","")))</f>
        <v/>
      </c>
      <c r="T607" s="4" t="str">
        <f t="shared" si="6"/>
        <v/>
      </c>
      <c r="U607" s="4" t="str">
        <f>IFERROR(__xludf.DUMMYFUNCTION("IF(P607="""","""",IFERROR(INDEX(filter(Productos!E:E,Productos!F:F=L607,Productos!H:H=N607),P607),IF(M607=SUM(D:D),""Finalizar"",""-"")))"),"")</f>
        <v/>
      </c>
      <c r="V607" s="4" t="str">
        <f>IFERROR(__xludf.DUMMYFUNCTION("IF(OR($U607="""",COUNTIF($I:$I,IFERROR(unique(filter(Prod_Prop!$H:$H,Prod_Prop!$G:$G=$U607,Prod_Prop!$E:$E=V$1)),""Check""))=0),"""",IFERROR(unique(filter(Prod_Prop!$H:$H,Prod_Prop!$G:$G=$U607,Prod_Prop!$E:$E=V$1)),""""))"),"")</f>
        <v/>
      </c>
      <c r="W607" s="4" t="str">
        <f>IF(V607="","",SUMIFS(Prod_Prop!$J:$J,Prod_Prop!$B:$B,$Q607,Prod_Prop!$H:$H,V607,Prod_Prop!$I:$I,W$1)*IF(V607="Peso",$R607,1))</f>
        <v/>
      </c>
      <c r="X607" s="4" t="str">
        <f>IF(V607="","",SUMIFS(Prod_Prop!$J:$J,Prod_Prop!$B:$B,$Q607,Prod_Prop!$H:$H,V607,Prod_Prop!$I:$I,X$1)*IF(V607="Peso",$R607,1))</f>
        <v/>
      </c>
      <c r="Y607" s="4" t="str">
        <f>IFERROR(__xludf.DUMMYFUNCTION("IF(OR($U607="""",COUNTIF($I:$I,IFERROR(unique(filter(Prod_Prop!$H:$H,Prod_Prop!$G:$G=$U607,Prod_Prop!$E:$E=Y$1)),""Check""))=0),"""",IFERROR(unique(filter(Prod_Prop!$H:$H,Prod_Prop!$G:$G=$U607,Prod_Prop!$E:$E=Y$1)),""""))"),"")</f>
        <v/>
      </c>
      <c r="Z607" s="4" t="str">
        <f>IF(Y607="","",SUMIFS(Prod_Prop!$J:$J,Prod_Prop!$B:$B,$Q607,Prod_Prop!$H:$H,Y607,Prod_Prop!$I:$I,Z$1)*IF(Y607="Peso",$R607,1))</f>
        <v/>
      </c>
      <c r="AA607" s="4" t="str">
        <f>IF(Y607="","",SUMIFS(Prod_Prop!$J:$J,Prod_Prop!$B:$B,$Q607,Prod_Prop!$H:$H,Y607,Prod_Prop!$I:$I,AA$1)*IF(Y607="Peso",$R607,1))</f>
        <v/>
      </c>
      <c r="AB607" s="4" t="str">
        <f>IFERROR(__xludf.DUMMYFUNCTION("IF(OR($U607="""",COUNTIF($I:$I,IFERROR(unique(filter(Prod_Prop!$H:$H,Prod_Prop!$G:$G=$U607,Prod_Prop!$E:$E=AB$1)),""Check""))=0),"""",IFERROR(unique(filter(Prod_Prop!$H:$H,Prod_Prop!$G:$G=$U607,Prod_Prop!$E:$E=AB$1)),""""))"),"")</f>
        <v/>
      </c>
      <c r="AC607" s="4" t="str">
        <f>IF(AB607="","",SUMIFS(Prod_Prop!$J:$J,Prod_Prop!$B:$B,$Q607,Prod_Prop!$H:$H,AB607,Prod_Prop!$I:$I,AC$1)*IF(AB607="Peso",$R607,1))</f>
        <v/>
      </c>
      <c r="AD607" s="4" t="str">
        <f>IF(AB607="","",SUMIFS(Prod_Prop!$J:$J,Prod_Prop!$B:$B,$Q607,Prod_Prop!$H:$H,AB607,Prod_Prop!$I:$I,AD$1)*IF(AB607="Peso",$R607,1))</f>
        <v/>
      </c>
    </row>
    <row r="608">
      <c r="A608" s="4" t="str">
        <f t="array" ref="A608">IF(COUNTIF(A$1:A607,Cotizador!F$2)=maxifs(Familias!E:E,Familias!D:D,Cotizador!F$2),IF(COUNTIF(A$1:A607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8" s="4" t="str">
        <f t="shared" si="1"/>
        <v/>
      </c>
      <c r="C608" s="4" t="str">
        <f t="array" ref="C608">IF(B608="","",IF(A608=XLOOKUP(A$2,Implementos!B:B,Implementos!C:C,"",0,1),B608+maxifs(B$1:B607,A$1:A607,A$2),B608))</f>
        <v/>
      </c>
      <c r="D608" s="4" t="str">
        <f>IF(B608="","", COUNTIFS(Productos!F:F,A608,Productos!H:H,B608)+IF(F608="SI",0,1))</f>
        <v/>
      </c>
      <c r="E608" s="4" t="str">
        <f>IFERROR(__xludf.DUMMYFUNCTION("IF($B608="""","""",INDEX(filter(Familias!F:F,Familias!$D:$D=$A608,Familias!$E:$E=$B608),1))"),"")</f>
        <v/>
      </c>
      <c r="F608" s="4" t="str">
        <f>IFERROR(__xludf.DUMMYFUNCTION("IF($B608="""","""",INDEX(filter(Familias!G:G,Familias!$D:$D=$A608,Familias!$E:$E=$B608),1))"),"")</f>
        <v/>
      </c>
      <c r="G608" s="4" t="str">
        <f t="array" ref="G608">IF(C608=1,XLOOKUP(C608,Cotizador!D:D,Cotizador!E:E,"",0,1),"")</f>
        <v/>
      </c>
      <c r="I608" s="4"/>
      <c r="J608" s="8" t="str">
        <f>IF(I608="","",SUMIF(Cotizador!I$1:V$1,I608,Cotizador!I$2:V$2))</f>
        <v/>
      </c>
      <c r="L608" s="4" t="str">
        <f t="array" ref="L608">IF(COUNTIF(L$1:L607,A$2)=SUMIF(A:A,A$2,D:D),IF(COUNTIF(L$1:L607,XLOOKUP(A$2,Implementos!B:B,Implementos!C:C,"",0,1))=SUMIF(A:A,XLOOKUP(A$2,Implementos!B:B,Implementos!C:C,"",0,1),D:D),"",XLOOKUP(A$2,Implementos!B:B,Implementos!C:C,"",0,1)),A$2)</f>
        <v/>
      </c>
      <c r="M608" s="4" t="str">
        <f t="shared" si="2"/>
        <v/>
      </c>
      <c r="N608" s="4" t="str">
        <f t="shared" si="3"/>
        <v/>
      </c>
      <c r="O608" s="4" t="str">
        <f t="shared" si="4"/>
        <v/>
      </c>
      <c r="P608" s="4" t="str">
        <f t="shared" si="5"/>
        <v/>
      </c>
      <c r="Q608" s="4" t="str">
        <f>IF(U608="","",SUMIF(Productos!E:E,U608,Productos!A:A))</f>
        <v/>
      </c>
      <c r="R608" s="4" t="str">
        <f t="array" ref="R608">IF(L608="","", max(1,SUMIF(I:I,XLOOKUP(U608,Productos!E:E,Productos!G:G,"",0,1),J:J)))</f>
        <v/>
      </c>
      <c r="S608" s="4" t="str">
        <f>IF(Q608="","",IF(SUMIFS(Compat_Vetado!D:D,Compat_Vetado!B:B,SUM(G:G),Compat_Vetado!C:C,Q608)=1,"SI",IF(OR(SUMIF(Cotizador!E:E,Q608,Cotizador!G:G)&gt;0,SUMIFS(Compat_Vetado!D:D,Compat_Vetado!B:B,SUM(G:G),Compat_Vetado!C:C,Q608)=-1),"NO","")))</f>
        <v/>
      </c>
      <c r="T608" s="4" t="str">
        <f t="shared" si="6"/>
        <v/>
      </c>
      <c r="U608" s="4" t="str">
        <f>IFERROR(__xludf.DUMMYFUNCTION("IF(P608="""","""",IFERROR(INDEX(filter(Productos!E:E,Productos!F:F=L608,Productos!H:H=N608),P608),IF(M608=SUM(D:D),""Finalizar"",""-"")))"),"")</f>
        <v/>
      </c>
      <c r="V608" s="4" t="str">
        <f>IFERROR(__xludf.DUMMYFUNCTION("IF(OR($U608="""",COUNTIF($I:$I,IFERROR(unique(filter(Prod_Prop!$H:$H,Prod_Prop!$G:$G=$U608,Prod_Prop!$E:$E=V$1)),""Check""))=0),"""",IFERROR(unique(filter(Prod_Prop!$H:$H,Prod_Prop!$G:$G=$U608,Prod_Prop!$E:$E=V$1)),""""))"),"")</f>
        <v/>
      </c>
      <c r="W608" s="4" t="str">
        <f>IF(V608="","",SUMIFS(Prod_Prop!$J:$J,Prod_Prop!$B:$B,$Q608,Prod_Prop!$H:$H,V608,Prod_Prop!$I:$I,W$1)*IF(V608="Peso",$R608,1))</f>
        <v/>
      </c>
      <c r="X608" s="4" t="str">
        <f>IF(V608="","",SUMIFS(Prod_Prop!$J:$J,Prod_Prop!$B:$B,$Q608,Prod_Prop!$H:$H,V608,Prod_Prop!$I:$I,X$1)*IF(V608="Peso",$R608,1))</f>
        <v/>
      </c>
      <c r="Y608" s="4" t="str">
        <f>IFERROR(__xludf.DUMMYFUNCTION("IF(OR($U608="""",COUNTIF($I:$I,IFERROR(unique(filter(Prod_Prop!$H:$H,Prod_Prop!$G:$G=$U608,Prod_Prop!$E:$E=Y$1)),""Check""))=0),"""",IFERROR(unique(filter(Prod_Prop!$H:$H,Prod_Prop!$G:$G=$U608,Prod_Prop!$E:$E=Y$1)),""""))"),"")</f>
        <v/>
      </c>
      <c r="Z608" s="4" t="str">
        <f>IF(Y608="","",SUMIFS(Prod_Prop!$J:$J,Prod_Prop!$B:$B,$Q608,Prod_Prop!$H:$H,Y608,Prod_Prop!$I:$I,Z$1)*IF(Y608="Peso",$R608,1))</f>
        <v/>
      </c>
      <c r="AA608" s="4" t="str">
        <f>IF(Y608="","",SUMIFS(Prod_Prop!$J:$J,Prod_Prop!$B:$B,$Q608,Prod_Prop!$H:$H,Y608,Prod_Prop!$I:$I,AA$1)*IF(Y608="Peso",$R608,1))</f>
        <v/>
      </c>
      <c r="AB608" s="4" t="str">
        <f>IFERROR(__xludf.DUMMYFUNCTION("IF(OR($U608="""",COUNTIF($I:$I,IFERROR(unique(filter(Prod_Prop!$H:$H,Prod_Prop!$G:$G=$U608,Prod_Prop!$E:$E=AB$1)),""Check""))=0),"""",IFERROR(unique(filter(Prod_Prop!$H:$H,Prod_Prop!$G:$G=$U608,Prod_Prop!$E:$E=AB$1)),""""))"),"")</f>
        <v/>
      </c>
      <c r="AC608" s="4" t="str">
        <f>IF(AB608="","",SUMIFS(Prod_Prop!$J:$J,Prod_Prop!$B:$B,$Q608,Prod_Prop!$H:$H,AB608,Prod_Prop!$I:$I,AC$1)*IF(AB608="Peso",$R608,1))</f>
        <v/>
      </c>
      <c r="AD608" s="4" t="str">
        <f>IF(AB608="","",SUMIFS(Prod_Prop!$J:$J,Prod_Prop!$B:$B,$Q608,Prod_Prop!$H:$H,AB608,Prod_Prop!$I:$I,AD$1)*IF(AB608="Peso",$R608,1))</f>
        <v/>
      </c>
    </row>
    <row r="609">
      <c r="A609" s="4" t="str">
        <f t="array" ref="A609">IF(COUNTIF(A$1:A608,Cotizador!F$2)=maxifs(Familias!E:E,Familias!D:D,Cotizador!F$2),IF(COUNTIF(A$1:A608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09" s="4" t="str">
        <f t="shared" si="1"/>
        <v/>
      </c>
      <c r="C609" s="4" t="str">
        <f t="array" ref="C609">IF(B609="","",IF(A609=XLOOKUP(A$2,Implementos!B:B,Implementos!C:C,"",0,1),B609+maxifs(B$1:B608,A$1:A608,A$2),B609))</f>
        <v/>
      </c>
      <c r="D609" s="4" t="str">
        <f>IF(B609="","", COUNTIFS(Productos!F:F,A609,Productos!H:H,B609)+IF(F609="SI",0,1))</f>
        <v/>
      </c>
      <c r="E609" s="4" t="str">
        <f>IFERROR(__xludf.DUMMYFUNCTION("IF($B609="""","""",INDEX(filter(Familias!F:F,Familias!$D:$D=$A609,Familias!$E:$E=$B609),1))"),"")</f>
        <v/>
      </c>
      <c r="F609" s="4" t="str">
        <f>IFERROR(__xludf.DUMMYFUNCTION("IF($B609="""","""",INDEX(filter(Familias!G:G,Familias!$D:$D=$A609,Familias!$E:$E=$B609),1))"),"")</f>
        <v/>
      </c>
      <c r="G609" s="4" t="str">
        <f t="array" ref="G609">IF(C609=1,XLOOKUP(C609,Cotizador!D:D,Cotizador!E:E,"",0,1),"")</f>
        <v/>
      </c>
      <c r="I609" s="4"/>
      <c r="J609" s="8" t="str">
        <f>IF(I609="","",SUMIF(Cotizador!I$1:V$1,I609,Cotizador!I$2:V$2))</f>
        <v/>
      </c>
      <c r="L609" s="4" t="str">
        <f t="array" ref="L609">IF(COUNTIF(L$1:L608,A$2)=SUMIF(A:A,A$2,D:D),IF(COUNTIF(L$1:L608,XLOOKUP(A$2,Implementos!B:B,Implementos!C:C,"",0,1))=SUMIF(A:A,XLOOKUP(A$2,Implementos!B:B,Implementos!C:C,"",0,1),D:D),"",XLOOKUP(A$2,Implementos!B:B,Implementos!C:C,"",0,1)),A$2)</f>
        <v/>
      </c>
      <c r="M609" s="4" t="str">
        <f t="shared" si="2"/>
        <v/>
      </c>
      <c r="N609" s="4" t="str">
        <f t="shared" si="3"/>
        <v/>
      </c>
      <c r="O609" s="4" t="str">
        <f t="shared" si="4"/>
        <v/>
      </c>
      <c r="P609" s="4" t="str">
        <f t="shared" si="5"/>
        <v/>
      </c>
      <c r="Q609" s="4" t="str">
        <f>IF(U609="","",SUMIF(Productos!E:E,U609,Productos!A:A))</f>
        <v/>
      </c>
      <c r="R609" s="4" t="str">
        <f t="array" ref="R609">IF(L609="","", max(1,SUMIF(I:I,XLOOKUP(U609,Productos!E:E,Productos!G:G,"",0,1),J:J)))</f>
        <v/>
      </c>
      <c r="S609" s="4" t="str">
        <f>IF(Q609="","",IF(SUMIFS(Compat_Vetado!D:D,Compat_Vetado!B:B,SUM(G:G),Compat_Vetado!C:C,Q609)=1,"SI",IF(OR(SUMIF(Cotizador!E:E,Q609,Cotizador!G:G)&gt;0,SUMIFS(Compat_Vetado!D:D,Compat_Vetado!B:B,SUM(G:G),Compat_Vetado!C:C,Q609)=-1),"NO","")))</f>
        <v/>
      </c>
      <c r="T609" s="4" t="str">
        <f t="shared" si="6"/>
        <v/>
      </c>
      <c r="U609" s="4" t="str">
        <f>IFERROR(__xludf.DUMMYFUNCTION("IF(P609="""","""",IFERROR(INDEX(filter(Productos!E:E,Productos!F:F=L609,Productos!H:H=N609),P609),IF(M609=SUM(D:D),""Finalizar"",""-"")))"),"")</f>
        <v/>
      </c>
      <c r="V609" s="4" t="str">
        <f>IFERROR(__xludf.DUMMYFUNCTION("IF(OR($U609="""",COUNTIF($I:$I,IFERROR(unique(filter(Prod_Prop!$H:$H,Prod_Prop!$G:$G=$U609,Prod_Prop!$E:$E=V$1)),""Check""))=0),"""",IFERROR(unique(filter(Prod_Prop!$H:$H,Prod_Prop!$G:$G=$U609,Prod_Prop!$E:$E=V$1)),""""))"),"")</f>
        <v/>
      </c>
      <c r="W609" s="4" t="str">
        <f>IF(V609="","",SUMIFS(Prod_Prop!$J:$J,Prod_Prop!$B:$B,$Q609,Prod_Prop!$H:$H,V609,Prod_Prop!$I:$I,W$1)*IF(V609="Peso",$R609,1))</f>
        <v/>
      </c>
      <c r="X609" s="4" t="str">
        <f>IF(V609="","",SUMIFS(Prod_Prop!$J:$J,Prod_Prop!$B:$B,$Q609,Prod_Prop!$H:$H,V609,Prod_Prop!$I:$I,X$1)*IF(V609="Peso",$R609,1))</f>
        <v/>
      </c>
      <c r="Y609" s="4" t="str">
        <f>IFERROR(__xludf.DUMMYFUNCTION("IF(OR($U609="""",COUNTIF($I:$I,IFERROR(unique(filter(Prod_Prop!$H:$H,Prod_Prop!$G:$G=$U609,Prod_Prop!$E:$E=Y$1)),""Check""))=0),"""",IFERROR(unique(filter(Prod_Prop!$H:$H,Prod_Prop!$G:$G=$U609,Prod_Prop!$E:$E=Y$1)),""""))"),"")</f>
        <v/>
      </c>
      <c r="Z609" s="4" t="str">
        <f>IF(Y609="","",SUMIFS(Prod_Prop!$J:$J,Prod_Prop!$B:$B,$Q609,Prod_Prop!$H:$H,Y609,Prod_Prop!$I:$I,Z$1)*IF(Y609="Peso",$R609,1))</f>
        <v/>
      </c>
      <c r="AA609" s="4" t="str">
        <f>IF(Y609="","",SUMIFS(Prod_Prop!$J:$J,Prod_Prop!$B:$B,$Q609,Prod_Prop!$H:$H,Y609,Prod_Prop!$I:$I,AA$1)*IF(Y609="Peso",$R609,1))</f>
        <v/>
      </c>
      <c r="AB609" s="4" t="str">
        <f>IFERROR(__xludf.DUMMYFUNCTION("IF(OR($U609="""",COUNTIF($I:$I,IFERROR(unique(filter(Prod_Prop!$H:$H,Prod_Prop!$G:$G=$U609,Prod_Prop!$E:$E=AB$1)),""Check""))=0),"""",IFERROR(unique(filter(Prod_Prop!$H:$H,Prod_Prop!$G:$G=$U609,Prod_Prop!$E:$E=AB$1)),""""))"),"")</f>
        <v/>
      </c>
      <c r="AC609" s="4" t="str">
        <f>IF(AB609="","",SUMIFS(Prod_Prop!$J:$J,Prod_Prop!$B:$B,$Q609,Prod_Prop!$H:$H,AB609,Prod_Prop!$I:$I,AC$1)*IF(AB609="Peso",$R609,1))</f>
        <v/>
      </c>
      <c r="AD609" s="4" t="str">
        <f>IF(AB609="","",SUMIFS(Prod_Prop!$J:$J,Prod_Prop!$B:$B,$Q609,Prod_Prop!$H:$H,AB609,Prod_Prop!$I:$I,AD$1)*IF(AB609="Peso",$R609,1))</f>
        <v/>
      </c>
    </row>
    <row r="610">
      <c r="A610" s="4" t="str">
        <f t="array" ref="A610">IF(COUNTIF(A$1:A609,Cotizador!F$2)=maxifs(Familias!E:E,Familias!D:D,Cotizador!F$2),IF(COUNTIF(A$1:A609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0" s="4" t="str">
        <f t="shared" si="1"/>
        <v/>
      </c>
      <c r="C610" s="4" t="str">
        <f t="array" ref="C610">IF(B610="","",IF(A610=XLOOKUP(A$2,Implementos!B:B,Implementos!C:C,"",0,1),B610+maxifs(B$1:B609,A$1:A609,A$2),B610))</f>
        <v/>
      </c>
      <c r="D610" s="4" t="str">
        <f>IF(B610="","", COUNTIFS(Productos!F:F,A610,Productos!H:H,B610)+IF(F610="SI",0,1))</f>
        <v/>
      </c>
      <c r="E610" s="4" t="str">
        <f>IFERROR(__xludf.DUMMYFUNCTION("IF($B610="""","""",INDEX(filter(Familias!F:F,Familias!$D:$D=$A610,Familias!$E:$E=$B610),1))"),"")</f>
        <v/>
      </c>
      <c r="F610" s="4" t="str">
        <f>IFERROR(__xludf.DUMMYFUNCTION("IF($B610="""","""",INDEX(filter(Familias!G:G,Familias!$D:$D=$A610,Familias!$E:$E=$B610),1))"),"")</f>
        <v/>
      </c>
      <c r="G610" s="4" t="str">
        <f t="array" ref="G610">IF(C610=1,XLOOKUP(C610,Cotizador!D:D,Cotizador!E:E,"",0,1),"")</f>
        <v/>
      </c>
      <c r="I610" s="4"/>
      <c r="J610" s="8" t="str">
        <f>IF(I610="","",SUMIF(Cotizador!I$1:V$1,I610,Cotizador!I$2:V$2))</f>
        <v/>
      </c>
      <c r="L610" s="4" t="str">
        <f t="array" ref="L610">IF(COUNTIF(L$1:L609,A$2)=SUMIF(A:A,A$2,D:D),IF(COUNTIF(L$1:L609,XLOOKUP(A$2,Implementos!B:B,Implementos!C:C,"",0,1))=SUMIF(A:A,XLOOKUP(A$2,Implementos!B:B,Implementos!C:C,"",0,1),D:D),"",XLOOKUP(A$2,Implementos!B:B,Implementos!C:C,"",0,1)),A$2)</f>
        <v/>
      </c>
      <c r="M610" s="4" t="str">
        <f t="shared" si="2"/>
        <v/>
      </c>
      <c r="N610" s="4" t="str">
        <f t="shared" si="3"/>
        <v/>
      </c>
      <c r="O610" s="4" t="str">
        <f t="shared" si="4"/>
        <v/>
      </c>
      <c r="P610" s="4" t="str">
        <f t="shared" si="5"/>
        <v/>
      </c>
      <c r="Q610" s="4" t="str">
        <f>IF(U610="","",SUMIF(Productos!E:E,U610,Productos!A:A))</f>
        <v/>
      </c>
      <c r="R610" s="4" t="str">
        <f t="array" ref="R610">IF(L610="","", max(1,SUMIF(I:I,XLOOKUP(U610,Productos!E:E,Productos!G:G,"",0,1),J:J)))</f>
        <v/>
      </c>
      <c r="S610" s="4" t="str">
        <f>IF(Q610="","",IF(SUMIFS(Compat_Vetado!D:D,Compat_Vetado!B:B,SUM(G:G),Compat_Vetado!C:C,Q610)=1,"SI",IF(OR(SUMIF(Cotizador!E:E,Q610,Cotizador!G:G)&gt;0,SUMIFS(Compat_Vetado!D:D,Compat_Vetado!B:B,SUM(G:G),Compat_Vetado!C:C,Q610)=-1),"NO","")))</f>
        <v/>
      </c>
      <c r="T610" s="4" t="str">
        <f t="shared" si="6"/>
        <v/>
      </c>
      <c r="U610" s="4" t="str">
        <f>IFERROR(__xludf.DUMMYFUNCTION("IF(P610="""","""",IFERROR(INDEX(filter(Productos!E:E,Productos!F:F=L610,Productos!H:H=N610),P610),IF(M610=SUM(D:D),""Finalizar"",""-"")))"),"")</f>
        <v/>
      </c>
      <c r="V610" s="4" t="str">
        <f>IFERROR(__xludf.DUMMYFUNCTION("IF(OR($U610="""",COUNTIF($I:$I,IFERROR(unique(filter(Prod_Prop!$H:$H,Prod_Prop!$G:$G=$U610,Prod_Prop!$E:$E=V$1)),""Check""))=0),"""",IFERROR(unique(filter(Prod_Prop!$H:$H,Prod_Prop!$G:$G=$U610,Prod_Prop!$E:$E=V$1)),""""))"),"")</f>
        <v/>
      </c>
      <c r="W610" s="4" t="str">
        <f>IF(V610="","",SUMIFS(Prod_Prop!$J:$J,Prod_Prop!$B:$B,$Q610,Prod_Prop!$H:$H,V610,Prod_Prop!$I:$I,W$1)*IF(V610="Peso",$R610,1))</f>
        <v/>
      </c>
      <c r="X610" s="4" t="str">
        <f>IF(V610="","",SUMIFS(Prod_Prop!$J:$J,Prod_Prop!$B:$B,$Q610,Prod_Prop!$H:$H,V610,Prod_Prop!$I:$I,X$1)*IF(V610="Peso",$R610,1))</f>
        <v/>
      </c>
      <c r="Y610" s="4" t="str">
        <f>IFERROR(__xludf.DUMMYFUNCTION("IF(OR($U610="""",COUNTIF($I:$I,IFERROR(unique(filter(Prod_Prop!$H:$H,Prod_Prop!$G:$G=$U610,Prod_Prop!$E:$E=Y$1)),""Check""))=0),"""",IFERROR(unique(filter(Prod_Prop!$H:$H,Prod_Prop!$G:$G=$U610,Prod_Prop!$E:$E=Y$1)),""""))"),"")</f>
        <v/>
      </c>
      <c r="Z610" s="4" t="str">
        <f>IF(Y610="","",SUMIFS(Prod_Prop!$J:$J,Prod_Prop!$B:$B,$Q610,Prod_Prop!$H:$H,Y610,Prod_Prop!$I:$I,Z$1)*IF(Y610="Peso",$R610,1))</f>
        <v/>
      </c>
      <c r="AA610" s="4" t="str">
        <f>IF(Y610="","",SUMIFS(Prod_Prop!$J:$J,Prod_Prop!$B:$B,$Q610,Prod_Prop!$H:$H,Y610,Prod_Prop!$I:$I,AA$1)*IF(Y610="Peso",$R610,1))</f>
        <v/>
      </c>
      <c r="AB610" s="4" t="str">
        <f>IFERROR(__xludf.DUMMYFUNCTION("IF(OR($U610="""",COUNTIF($I:$I,IFERROR(unique(filter(Prod_Prop!$H:$H,Prod_Prop!$G:$G=$U610,Prod_Prop!$E:$E=AB$1)),""Check""))=0),"""",IFERROR(unique(filter(Prod_Prop!$H:$H,Prod_Prop!$G:$G=$U610,Prod_Prop!$E:$E=AB$1)),""""))"),"")</f>
        <v/>
      </c>
      <c r="AC610" s="4" t="str">
        <f>IF(AB610="","",SUMIFS(Prod_Prop!$J:$J,Prod_Prop!$B:$B,$Q610,Prod_Prop!$H:$H,AB610,Prod_Prop!$I:$I,AC$1)*IF(AB610="Peso",$R610,1))</f>
        <v/>
      </c>
      <c r="AD610" s="4" t="str">
        <f>IF(AB610="","",SUMIFS(Prod_Prop!$J:$J,Prod_Prop!$B:$B,$Q610,Prod_Prop!$H:$H,AB610,Prod_Prop!$I:$I,AD$1)*IF(AB610="Peso",$R610,1))</f>
        <v/>
      </c>
    </row>
    <row r="611">
      <c r="A611" s="4" t="str">
        <f t="array" ref="A611">IF(COUNTIF(A$1:A610,Cotizador!F$2)=maxifs(Familias!E:E,Familias!D:D,Cotizador!F$2),IF(COUNTIF(A$1:A610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1" s="4" t="str">
        <f t="shared" si="1"/>
        <v/>
      </c>
      <c r="C611" s="4" t="str">
        <f t="array" ref="C611">IF(B611="","",IF(A611=XLOOKUP(A$2,Implementos!B:B,Implementos!C:C,"",0,1),B611+maxifs(B$1:B610,A$1:A610,A$2),B611))</f>
        <v/>
      </c>
      <c r="D611" s="4" t="str">
        <f>IF(B611="","", COUNTIFS(Productos!F:F,A611,Productos!H:H,B611)+IF(F611="SI",0,1))</f>
        <v/>
      </c>
      <c r="E611" s="4" t="str">
        <f>IFERROR(__xludf.DUMMYFUNCTION("IF($B611="""","""",INDEX(filter(Familias!F:F,Familias!$D:$D=$A611,Familias!$E:$E=$B611),1))"),"")</f>
        <v/>
      </c>
      <c r="F611" s="4" t="str">
        <f>IFERROR(__xludf.DUMMYFUNCTION("IF($B611="""","""",INDEX(filter(Familias!G:G,Familias!$D:$D=$A611,Familias!$E:$E=$B611),1))"),"")</f>
        <v/>
      </c>
      <c r="G611" s="4" t="str">
        <f t="array" ref="G611">IF(C611=1,XLOOKUP(C611,Cotizador!D:D,Cotizador!E:E,"",0,1),"")</f>
        <v/>
      </c>
      <c r="I611" s="4"/>
      <c r="J611" s="8" t="str">
        <f>IF(I611="","",SUMIF(Cotizador!I$1:V$1,I611,Cotizador!I$2:V$2))</f>
        <v/>
      </c>
      <c r="L611" s="4" t="str">
        <f t="array" ref="L611">IF(COUNTIF(L$1:L610,A$2)=SUMIF(A:A,A$2,D:D),IF(COUNTIF(L$1:L610,XLOOKUP(A$2,Implementos!B:B,Implementos!C:C,"",0,1))=SUMIF(A:A,XLOOKUP(A$2,Implementos!B:B,Implementos!C:C,"",0,1),D:D),"",XLOOKUP(A$2,Implementos!B:B,Implementos!C:C,"",0,1)),A$2)</f>
        <v/>
      </c>
      <c r="M611" s="4" t="str">
        <f t="shared" si="2"/>
        <v/>
      </c>
      <c r="N611" s="4" t="str">
        <f t="shared" si="3"/>
        <v/>
      </c>
      <c r="O611" s="4" t="str">
        <f t="shared" si="4"/>
        <v/>
      </c>
      <c r="P611" s="4" t="str">
        <f t="shared" si="5"/>
        <v/>
      </c>
      <c r="Q611" s="4" t="str">
        <f>IF(U611="","",SUMIF(Productos!E:E,U611,Productos!A:A))</f>
        <v/>
      </c>
      <c r="R611" s="4" t="str">
        <f t="array" ref="R611">IF(L611="","", max(1,SUMIF(I:I,XLOOKUP(U611,Productos!E:E,Productos!G:G,"",0,1),J:J)))</f>
        <v/>
      </c>
      <c r="S611" s="4" t="str">
        <f>IF(Q611="","",IF(SUMIFS(Compat_Vetado!D:D,Compat_Vetado!B:B,SUM(G:G),Compat_Vetado!C:C,Q611)=1,"SI",IF(OR(SUMIF(Cotizador!E:E,Q611,Cotizador!G:G)&gt;0,SUMIFS(Compat_Vetado!D:D,Compat_Vetado!B:B,SUM(G:G),Compat_Vetado!C:C,Q611)=-1),"NO","")))</f>
        <v/>
      </c>
      <c r="T611" s="4" t="str">
        <f t="shared" si="6"/>
        <v/>
      </c>
      <c r="U611" s="4" t="str">
        <f>IFERROR(__xludf.DUMMYFUNCTION("IF(P611="""","""",IFERROR(INDEX(filter(Productos!E:E,Productos!F:F=L611,Productos!H:H=N611),P611),IF(M611=SUM(D:D),""Finalizar"",""-"")))"),"")</f>
        <v/>
      </c>
      <c r="V611" s="4" t="str">
        <f>IFERROR(__xludf.DUMMYFUNCTION("IF(OR($U611="""",COUNTIF($I:$I,IFERROR(unique(filter(Prod_Prop!$H:$H,Prod_Prop!$G:$G=$U611,Prod_Prop!$E:$E=V$1)),""Check""))=0),"""",IFERROR(unique(filter(Prod_Prop!$H:$H,Prod_Prop!$G:$G=$U611,Prod_Prop!$E:$E=V$1)),""""))"),"")</f>
        <v/>
      </c>
      <c r="W611" s="4" t="str">
        <f>IF(V611="","",SUMIFS(Prod_Prop!$J:$J,Prod_Prop!$B:$B,$Q611,Prod_Prop!$H:$H,V611,Prod_Prop!$I:$I,W$1)*IF(V611="Peso",$R611,1))</f>
        <v/>
      </c>
      <c r="X611" s="4" t="str">
        <f>IF(V611="","",SUMIFS(Prod_Prop!$J:$J,Prod_Prop!$B:$B,$Q611,Prod_Prop!$H:$H,V611,Prod_Prop!$I:$I,X$1)*IF(V611="Peso",$R611,1))</f>
        <v/>
      </c>
      <c r="Y611" s="4" t="str">
        <f>IFERROR(__xludf.DUMMYFUNCTION("IF(OR($U611="""",COUNTIF($I:$I,IFERROR(unique(filter(Prod_Prop!$H:$H,Prod_Prop!$G:$G=$U611,Prod_Prop!$E:$E=Y$1)),""Check""))=0),"""",IFERROR(unique(filter(Prod_Prop!$H:$H,Prod_Prop!$G:$G=$U611,Prod_Prop!$E:$E=Y$1)),""""))"),"")</f>
        <v/>
      </c>
      <c r="Z611" s="4" t="str">
        <f>IF(Y611="","",SUMIFS(Prod_Prop!$J:$J,Prod_Prop!$B:$B,$Q611,Prod_Prop!$H:$H,Y611,Prod_Prop!$I:$I,Z$1)*IF(Y611="Peso",$R611,1))</f>
        <v/>
      </c>
      <c r="AA611" s="4" t="str">
        <f>IF(Y611="","",SUMIFS(Prod_Prop!$J:$J,Prod_Prop!$B:$B,$Q611,Prod_Prop!$H:$H,Y611,Prod_Prop!$I:$I,AA$1)*IF(Y611="Peso",$R611,1))</f>
        <v/>
      </c>
      <c r="AB611" s="4" t="str">
        <f>IFERROR(__xludf.DUMMYFUNCTION("IF(OR($U611="""",COUNTIF($I:$I,IFERROR(unique(filter(Prod_Prop!$H:$H,Prod_Prop!$G:$G=$U611,Prod_Prop!$E:$E=AB$1)),""Check""))=0),"""",IFERROR(unique(filter(Prod_Prop!$H:$H,Prod_Prop!$G:$G=$U611,Prod_Prop!$E:$E=AB$1)),""""))"),"")</f>
        <v/>
      </c>
      <c r="AC611" s="4" t="str">
        <f>IF(AB611="","",SUMIFS(Prod_Prop!$J:$J,Prod_Prop!$B:$B,$Q611,Prod_Prop!$H:$H,AB611,Prod_Prop!$I:$I,AC$1)*IF(AB611="Peso",$R611,1))</f>
        <v/>
      </c>
      <c r="AD611" s="4" t="str">
        <f>IF(AB611="","",SUMIFS(Prod_Prop!$J:$J,Prod_Prop!$B:$B,$Q611,Prod_Prop!$H:$H,AB611,Prod_Prop!$I:$I,AD$1)*IF(AB611="Peso",$R611,1))</f>
        <v/>
      </c>
    </row>
    <row r="612">
      <c r="A612" s="4" t="str">
        <f t="array" ref="A612">IF(COUNTIF(A$1:A611,Cotizador!F$2)=maxifs(Familias!E:E,Familias!D:D,Cotizador!F$2),IF(COUNTIF(A$1:A611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2" s="4" t="str">
        <f t="shared" si="1"/>
        <v/>
      </c>
      <c r="C612" s="4" t="str">
        <f t="array" ref="C612">IF(B612="","",IF(A612=XLOOKUP(A$2,Implementos!B:B,Implementos!C:C,"",0,1),B612+maxifs(B$1:B611,A$1:A611,A$2),B612))</f>
        <v/>
      </c>
      <c r="D612" s="4" t="str">
        <f>IF(B612="","", COUNTIFS(Productos!F:F,A612,Productos!H:H,B612)+IF(F612="SI",0,1))</f>
        <v/>
      </c>
      <c r="E612" s="4" t="str">
        <f>IFERROR(__xludf.DUMMYFUNCTION("IF($B612="""","""",INDEX(filter(Familias!F:F,Familias!$D:$D=$A612,Familias!$E:$E=$B612),1))"),"")</f>
        <v/>
      </c>
      <c r="F612" s="4" t="str">
        <f>IFERROR(__xludf.DUMMYFUNCTION("IF($B612="""","""",INDEX(filter(Familias!G:G,Familias!$D:$D=$A612,Familias!$E:$E=$B612),1))"),"")</f>
        <v/>
      </c>
      <c r="G612" s="4" t="str">
        <f t="array" ref="G612">IF(C612=1,XLOOKUP(C612,Cotizador!D:D,Cotizador!E:E,"",0,1),"")</f>
        <v/>
      </c>
      <c r="I612" s="4"/>
      <c r="J612" s="8" t="str">
        <f>IF(I612="","",SUMIF(Cotizador!I$1:V$1,I612,Cotizador!I$2:V$2))</f>
        <v/>
      </c>
      <c r="L612" s="4" t="str">
        <f t="array" ref="L612">IF(COUNTIF(L$1:L611,A$2)=SUMIF(A:A,A$2,D:D),IF(COUNTIF(L$1:L611,XLOOKUP(A$2,Implementos!B:B,Implementos!C:C,"",0,1))=SUMIF(A:A,XLOOKUP(A$2,Implementos!B:B,Implementos!C:C,"",0,1),D:D),"",XLOOKUP(A$2,Implementos!B:B,Implementos!C:C,"",0,1)),A$2)</f>
        <v/>
      </c>
      <c r="M612" s="4" t="str">
        <f t="shared" si="2"/>
        <v/>
      </c>
      <c r="N612" s="4" t="str">
        <f t="shared" si="3"/>
        <v/>
      </c>
      <c r="O612" s="4" t="str">
        <f t="shared" si="4"/>
        <v/>
      </c>
      <c r="P612" s="4" t="str">
        <f t="shared" si="5"/>
        <v/>
      </c>
      <c r="Q612" s="4" t="str">
        <f>IF(U612="","",SUMIF(Productos!E:E,U612,Productos!A:A))</f>
        <v/>
      </c>
      <c r="R612" s="4" t="str">
        <f t="array" ref="R612">IF(L612="","", max(1,SUMIF(I:I,XLOOKUP(U612,Productos!E:E,Productos!G:G,"",0,1),J:J)))</f>
        <v/>
      </c>
      <c r="S612" s="4" t="str">
        <f>IF(Q612="","",IF(SUMIFS(Compat_Vetado!D:D,Compat_Vetado!B:B,SUM(G:G),Compat_Vetado!C:C,Q612)=1,"SI",IF(OR(SUMIF(Cotizador!E:E,Q612,Cotizador!G:G)&gt;0,SUMIFS(Compat_Vetado!D:D,Compat_Vetado!B:B,SUM(G:G),Compat_Vetado!C:C,Q612)=-1),"NO","")))</f>
        <v/>
      </c>
      <c r="T612" s="4" t="str">
        <f t="shared" si="6"/>
        <v/>
      </c>
      <c r="U612" s="4" t="str">
        <f>IFERROR(__xludf.DUMMYFUNCTION("IF(P612="""","""",IFERROR(INDEX(filter(Productos!E:E,Productos!F:F=L612,Productos!H:H=N612),P612),IF(M612=SUM(D:D),""Finalizar"",""-"")))"),"")</f>
        <v/>
      </c>
      <c r="V612" s="4" t="str">
        <f>IFERROR(__xludf.DUMMYFUNCTION("IF(OR($U612="""",COUNTIF($I:$I,IFERROR(unique(filter(Prod_Prop!$H:$H,Prod_Prop!$G:$G=$U612,Prod_Prop!$E:$E=V$1)),""Check""))=0),"""",IFERROR(unique(filter(Prod_Prop!$H:$H,Prod_Prop!$G:$G=$U612,Prod_Prop!$E:$E=V$1)),""""))"),"")</f>
        <v/>
      </c>
      <c r="W612" s="4" t="str">
        <f>IF(V612="","",SUMIFS(Prod_Prop!$J:$J,Prod_Prop!$B:$B,$Q612,Prod_Prop!$H:$H,V612,Prod_Prop!$I:$I,W$1)*IF(V612="Peso",$R612,1))</f>
        <v/>
      </c>
      <c r="X612" s="4" t="str">
        <f>IF(V612="","",SUMIFS(Prod_Prop!$J:$J,Prod_Prop!$B:$B,$Q612,Prod_Prop!$H:$H,V612,Prod_Prop!$I:$I,X$1)*IF(V612="Peso",$R612,1))</f>
        <v/>
      </c>
      <c r="Y612" s="4" t="str">
        <f>IFERROR(__xludf.DUMMYFUNCTION("IF(OR($U612="""",COUNTIF($I:$I,IFERROR(unique(filter(Prod_Prop!$H:$H,Prod_Prop!$G:$G=$U612,Prod_Prop!$E:$E=Y$1)),""Check""))=0),"""",IFERROR(unique(filter(Prod_Prop!$H:$H,Prod_Prop!$G:$G=$U612,Prod_Prop!$E:$E=Y$1)),""""))"),"")</f>
        <v/>
      </c>
      <c r="Z612" s="4" t="str">
        <f>IF(Y612="","",SUMIFS(Prod_Prop!$J:$J,Prod_Prop!$B:$B,$Q612,Prod_Prop!$H:$H,Y612,Prod_Prop!$I:$I,Z$1)*IF(Y612="Peso",$R612,1))</f>
        <v/>
      </c>
      <c r="AA612" s="4" t="str">
        <f>IF(Y612="","",SUMIFS(Prod_Prop!$J:$J,Prod_Prop!$B:$B,$Q612,Prod_Prop!$H:$H,Y612,Prod_Prop!$I:$I,AA$1)*IF(Y612="Peso",$R612,1))</f>
        <v/>
      </c>
      <c r="AB612" s="4" t="str">
        <f>IFERROR(__xludf.DUMMYFUNCTION("IF(OR($U612="""",COUNTIF($I:$I,IFERROR(unique(filter(Prod_Prop!$H:$H,Prod_Prop!$G:$G=$U612,Prod_Prop!$E:$E=AB$1)),""Check""))=0),"""",IFERROR(unique(filter(Prod_Prop!$H:$H,Prod_Prop!$G:$G=$U612,Prod_Prop!$E:$E=AB$1)),""""))"),"")</f>
        <v/>
      </c>
      <c r="AC612" s="4" t="str">
        <f>IF(AB612="","",SUMIFS(Prod_Prop!$J:$J,Prod_Prop!$B:$B,$Q612,Prod_Prop!$H:$H,AB612,Prod_Prop!$I:$I,AC$1)*IF(AB612="Peso",$R612,1))</f>
        <v/>
      </c>
      <c r="AD612" s="4" t="str">
        <f>IF(AB612="","",SUMIFS(Prod_Prop!$J:$J,Prod_Prop!$B:$B,$Q612,Prod_Prop!$H:$H,AB612,Prod_Prop!$I:$I,AD$1)*IF(AB612="Peso",$R612,1))</f>
        <v/>
      </c>
    </row>
    <row r="613">
      <c r="A613" s="4" t="str">
        <f t="array" ref="A613">IF(COUNTIF(A$1:A612,Cotizador!F$2)=maxifs(Familias!E:E,Familias!D:D,Cotizador!F$2),IF(COUNTIF(A$1:A612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3" s="4" t="str">
        <f t="shared" si="1"/>
        <v/>
      </c>
      <c r="C613" s="4" t="str">
        <f t="array" ref="C613">IF(B613="","",IF(A613=XLOOKUP(A$2,Implementos!B:B,Implementos!C:C,"",0,1),B613+maxifs(B$1:B612,A$1:A612,A$2),B613))</f>
        <v/>
      </c>
      <c r="D613" s="4" t="str">
        <f>IF(B613="","", COUNTIFS(Productos!F:F,A613,Productos!H:H,B613)+IF(F613="SI",0,1))</f>
        <v/>
      </c>
      <c r="E613" s="4" t="str">
        <f>IFERROR(__xludf.DUMMYFUNCTION("IF($B613="""","""",INDEX(filter(Familias!F:F,Familias!$D:$D=$A613,Familias!$E:$E=$B613),1))"),"")</f>
        <v/>
      </c>
      <c r="F613" s="4" t="str">
        <f>IFERROR(__xludf.DUMMYFUNCTION("IF($B613="""","""",INDEX(filter(Familias!G:G,Familias!$D:$D=$A613,Familias!$E:$E=$B613),1))"),"")</f>
        <v/>
      </c>
      <c r="G613" s="4" t="str">
        <f t="array" ref="G613">IF(C613=1,XLOOKUP(C613,Cotizador!D:D,Cotizador!E:E,"",0,1),"")</f>
        <v/>
      </c>
      <c r="I613" s="4"/>
      <c r="J613" s="8" t="str">
        <f>IF(I613="","",SUMIF(Cotizador!I$1:V$1,I613,Cotizador!I$2:V$2))</f>
        <v/>
      </c>
      <c r="L613" s="4" t="str">
        <f t="array" ref="L613">IF(COUNTIF(L$1:L612,A$2)=SUMIF(A:A,A$2,D:D),IF(COUNTIF(L$1:L612,XLOOKUP(A$2,Implementos!B:B,Implementos!C:C,"",0,1))=SUMIF(A:A,XLOOKUP(A$2,Implementos!B:B,Implementos!C:C,"",0,1),D:D),"",XLOOKUP(A$2,Implementos!B:B,Implementos!C:C,"",0,1)),A$2)</f>
        <v/>
      </c>
      <c r="M613" s="4" t="str">
        <f t="shared" si="2"/>
        <v/>
      </c>
      <c r="N613" s="4" t="str">
        <f t="shared" si="3"/>
        <v/>
      </c>
      <c r="O613" s="4" t="str">
        <f t="shared" si="4"/>
        <v/>
      </c>
      <c r="P613" s="4" t="str">
        <f t="shared" si="5"/>
        <v/>
      </c>
      <c r="Q613" s="4" t="str">
        <f>IF(U613="","",SUMIF(Productos!E:E,U613,Productos!A:A))</f>
        <v/>
      </c>
      <c r="R613" s="4" t="str">
        <f t="array" ref="R613">IF(L613="","", max(1,SUMIF(I:I,XLOOKUP(U613,Productos!E:E,Productos!G:G,"",0,1),J:J)))</f>
        <v/>
      </c>
      <c r="S613" s="4" t="str">
        <f>IF(Q613="","",IF(SUMIFS(Compat_Vetado!D:D,Compat_Vetado!B:B,SUM(G:G),Compat_Vetado!C:C,Q613)=1,"SI",IF(OR(SUMIF(Cotizador!E:E,Q613,Cotizador!G:G)&gt;0,SUMIFS(Compat_Vetado!D:D,Compat_Vetado!B:B,SUM(G:G),Compat_Vetado!C:C,Q613)=-1),"NO","")))</f>
        <v/>
      </c>
      <c r="T613" s="4" t="str">
        <f t="shared" si="6"/>
        <v/>
      </c>
      <c r="U613" s="4" t="str">
        <f>IFERROR(__xludf.DUMMYFUNCTION("IF(P613="""","""",IFERROR(INDEX(filter(Productos!E:E,Productos!F:F=L613,Productos!H:H=N613),P613),IF(M613=SUM(D:D),""Finalizar"",""-"")))"),"")</f>
        <v/>
      </c>
      <c r="V613" s="4" t="str">
        <f>IFERROR(__xludf.DUMMYFUNCTION("IF(OR($U613="""",COUNTIF($I:$I,IFERROR(unique(filter(Prod_Prop!$H:$H,Prod_Prop!$G:$G=$U613,Prod_Prop!$E:$E=V$1)),""Check""))=0),"""",IFERROR(unique(filter(Prod_Prop!$H:$H,Prod_Prop!$G:$G=$U613,Prod_Prop!$E:$E=V$1)),""""))"),"")</f>
        <v/>
      </c>
      <c r="W613" s="4" t="str">
        <f>IF(V613="","",SUMIFS(Prod_Prop!$J:$J,Prod_Prop!$B:$B,$Q613,Prod_Prop!$H:$H,V613,Prod_Prop!$I:$I,W$1)*IF(V613="Peso",$R613,1))</f>
        <v/>
      </c>
      <c r="X613" s="4" t="str">
        <f>IF(V613="","",SUMIFS(Prod_Prop!$J:$J,Prod_Prop!$B:$B,$Q613,Prod_Prop!$H:$H,V613,Prod_Prop!$I:$I,X$1)*IF(V613="Peso",$R613,1))</f>
        <v/>
      </c>
      <c r="Y613" s="4" t="str">
        <f>IFERROR(__xludf.DUMMYFUNCTION("IF(OR($U613="""",COUNTIF($I:$I,IFERROR(unique(filter(Prod_Prop!$H:$H,Prod_Prop!$G:$G=$U613,Prod_Prop!$E:$E=Y$1)),""Check""))=0),"""",IFERROR(unique(filter(Prod_Prop!$H:$H,Prod_Prop!$G:$G=$U613,Prod_Prop!$E:$E=Y$1)),""""))"),"")</f>
        <v/>
      </c>
      <c r="Z613" s="4" t="str">
        <f>IF(Y613="","",SUMIFS(Prod_Prop!$J:$J,Prod_Prop!$B:$B,$Q613,Prod_Prop!$H:$H,Y613,Prod_Prop!$I:$I,Z$1)*IF(Y613="Peso",$R613,1))</f>
        <v/>
      </c>
      <c r="AA613" s="4" t="str">
        <f>IF(Y613="","",SUMIFS(Prod_Prop!$J:$J,Prod_Prop!$B:$B,$Q613,Prod_Prop!$H:$H,Y613,Prod_Prop!$I:$I,AA$1)*IF(Y613="Peso",$R613,1))</f>
        <v/>
      </c>
      <c r="AB613" s="4" t="str">
        <f>IFERROR(__xludf.DUMMYFUNCTION("IF(OR($U613="""",COUNTIF($I:$I,IFERROR(unique(filter(Prod_Prop!$H:$H,Prod_Prop!$G:$G=$U613,Prod_Prop!$E:$E=AB$1)),""Check""))=0),"""",IFERROR(unique(filter(Prod_Prop!$H:$H,Prod_Prop!$G:$G=$U613,Prod_Prop!$E:$E=AB$1)),""""))"),"")</f>
        <v/>
      </c>
      <c r="AC613" s="4" t="str">
        <f>IF(AB613="","",SUMIFS(Prod_Prop!$J:$J,Prod_Prop!$B:$B,$Q613,Prod_Prop!$H:$H,AB613,Prod_Prop!$I:$I,AC$1)*IF(AB613="Peso",$R613,1))</f>
        <v/>
      </c>
      <c r="AD613" s="4" t="str">
        <f>IF(AB613="","",SUMIFS(Prod_Prop!$J:$J,Prod_Prop!$B:$B,$Q613,Prod_Prop!$H:$H,AB613,Prod_Prop!$I:$I,AD$1)*IF(AB613="Peso",$R613,1))</f>
        <v/>
      </c>
    </row>
    <row r="614">
      <c r="A614" s="4" t="str">
        <f t="array" ref="A614">IF(COUNTIF(A$1:A613,Cotizador!F$2)=maxifs(Familias!E:E,Familias!D:D,Cotizador!F$2),IF(COUNTIF(A$1:A613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4" s="4" t="str">
        <f t="shared" si="1"/>
        <v/>
      </c>
      <c r="C614" s="4" t="str">
        <f t="array" ref="C614">IF(B614="","",IF(A614=XLOOKUP(A$2,Implementos!B:B,Implementos!C:C,"",0,1),B614+maxifs(B$1:B613,A$1:A613,A$2),B614))</f>
        <v/>
      </c>
      <c r="D614" s="4" t="str">
        <f>IF(B614="","", COUNTIFS(Productos!F:F,A614,Productos!H:H,B614)+IF(F614="SI",0,1))</f>
        <v/>
      </c>
      <c r="E614" s="4" t="str">
        <f>IFERROR(__xludf.DUMMYFUNCTION("IF($B614="""","""",INDEX(filter(Familias!F:F,Familias!$D:$D=$A614,Familias!$E:$E=$B614),1))"),"")</f>
        <v/>
      </c>
      <c r="F614" s="4" t="str">
        <f>IFERROR(__xludf.DUMMYFUNCTION("IF($B614="""","""",INDEX(filter(Familias!G:G,Familias!$D:$D=$A614,Familias!$E:$E=$B614),1))"),"")</f>
        <v/>
      </c>
      <c r="G614" s="4" t="str">
        <f t="array" ref="G614">IF(C614=1,XLOOKUP(C614,Cotizador!D:D,Cotizador!E:E,"",0,1),"")</f>
        <v/>
      </c>
      <c r="I614" s="4"/>
      <c r="J614" s="8" t="str">
        <f>IF(I614="","",SUMIF(Cotizador!I$1:V$1,I614,Cotizador!I$2:V$2))</f>
        <v/>
      </c>
      <c r="L614" s="4" t="str">
        <f t="array" ref="L614">IF(COUNTIF(L$1:L613,A$2)=SUMIF(A:A,A$2,D:D),IF(COUNTIF(L$1:L613,XLOOKUP(A$2,Implementos!B:B,Implementos!C:C,"",0,1))=SUMIF(A:A,XLOOKUP(A$2,Implementos!B:B,Implementos!C:C,"",0,1),D:D),"",XLOOKUP(A$2,Implementos!B:B,Implementos!C:C,"",0,1)),A$2)</f>
        <v/>
      </c>
      <c r="M614" s="4" t="str">
        <f t="shared" si="2"/>
        <v/>
      </c>
      <c r="N614" s="4" t="str">
        <f t="shared" si="3"/>
        <v/>
      </c>
      <c r="O614" s="4" t="str">
        <f t="shared" si="4"/>
        <v/>
      </c>
      <c r="P614" s="4" t="str">
        <f t="shared" si="5"/>
        <v/>
      </c>
      <c r="Q614" s="4" t="str">
        <f>IF(U614="","",SUMIF(Productos!E:E,U614,Productos!A:A))</f>
        <v/>
      </c>
      <c r="R614" s="4" t="str">
        <f t="array" ref="R614">IF(L614="","", max(1,SUMIF(I:I,XLOOKUP(U614,Productos!E:E,Productos!G:G,"",0,1),J:J)))</f>
        <v/>
      </c>
      <c r="S614" s="4" t="str">
        <f>IF(Q614="","",IF(SUMIFS(Compat_Vetado!D:D,Compat_Vetado!B:B,SUM(G:G),Compat_Vetado!C:C,Q614)=1,"SI",IF(OR(SUMIF(Cotizador!E:E,Q614,Cotizador!G:G)&gt;0,SUMIFS(Compat_Vetado!D:D,Compat_Vetado!B:B,SUM(G:G),Compat_Vetado!C:C,Q614)=-1),"NO","")))</f>
        <v/>
      </c>
      <c r="T614" s="4" t="str">
        <f t="shared" si="6"/>
        <v/>
      </c>
      <c r="U614" s="4" t="str">
        <f>IFERROR(__xludf.DUMMYFUNCTION("IF(P614="""","""",IFERROR(INDEX(filter(Productos!E:E,Productos!F:F=L614,Productos!H:H=N614),P614),IF(M614=SUM(D:D),""Finalizar"",""-"")))"),"")</f>
        <v/>
      </c>
      <c r="V614" s="4" t="str">
        <f>IFERROR(__xludf.DUMMYFUNCTION("IF(OR($U614="""",COUNTIF($I:$I,IFERROR(unique(filter(Prod_Prop!$H:$H,Prod_Prop!$G:$G=$U614,Prod_Prop!$E:$E=V$1)),""Check""))=0),"""",IFERROR(unique(filter(Prod_Prop!$H:$H,Prod_Prop!$G:$G=$U614,Prod_Prop!$E:$E=V$1)),""""))"),"")</f>
        <v/>
      </c>
      <c r="W614" s="4" t="str">
        <f>IF(V614="","",SUMIFS(Prod_Prop!$J:$J,Prod_Prop!$B:$B,$Q614,Prod_Prop!$H:$H,V614,Prod_Prop!$I:$I,W$1)*IF(V614="Peso",$R614,1))</f>
        <v/>
      </c>
      <c r="X614" s="4" t="str">
        <f>IF(V614="","",SUMIFS(Prod_Prop!$J:$J,Prod_Prop!$B:$B,$Q614,Prod_Prop!$H:$H,V614,Prod_Prop!$I:$I,X$1)*IF(V614="Peso",$R614,1))</f>
        <v/>
      </c>
      <c r="Y614" s="4" t="str">
        <f>IFERROR(__xludf.DUMMYFUNCTION("IF(OR($U614="""",COUNTIF($I:$I,IFERROR(unique(filter(Prod_Prop!$H:$H,Prod_Prop!$G:$G=$U614,Prod_Prop!$E:$E=Y$1)),""Check""))=0),"""",IFERROR(unique(filter(Prod_Prop!$H:$H,Prod_Prop!$G:$G=$U614,Prod_Prop!$E:$E=Y$1)),""""))"),"")</f>
        <v/>
      </c>
      <c r="Z614" s="4" t="str">
        <f>IF(Y614="","",SUMIFS(Prod_Prop!$J:$J,Prod_Prop!$B:$B,$Q614,Prod_Prop!$H:$H,Y614,Prod_Prop!$I:$I,Z$1)*IF(Y614="Peso",$R614,1))</f>
        <v/>
      </c>
      <c r="AA614" s="4" t="str">
        <f>IF(Y614="","",SUMIFS(Prod_Prop!$J:$J,Prod_Prop!$B:$B,$Q614,Prod_Prop!$H:$H,Y614,Prod_Prop!$I:$I,AA$1)*IF(Y614="Peso",$R614,1))</f>
        <v/>
      </c>
      <c r="AB614" s="4" t="str">
        <f>IFERROR(__xludf.DUMMYFUNCTION("IF(OR($U614="""",COUNTIF($I:$I,IFERROR(unique(filter(Prod_Prop!$H:$H,Prod_Prop!$G:$G=$U614,Prod_Prop!$E:$E=AB$1)),""Check""))=0),"""",IFERROR(unique(filter(Prod_Prop!$H:$H,Prod_Prop!$G:$G=$U614,Prod_Prop!$E:$E=AB$1)),""""))"),"")</f>
        <v/>
      </c>
      <c r="AC614" s="4" t="str">
        <f>IF(AB614="","",SUMIFS(Prod_Prop!$J:$J,Prod_Prop!$B:$B,$Q614,Prod_Prop!$H:$H,AB614,Prod_Prop!$I:$I,AC$1)*IF(AB614="Peso",$R614,1))</f>
        <v/>
      </c>
      <c r="AD614" s="4" t="str">
        <f>IF(AB614="","",SUMIFS(Prod_Prop!$J:$J,Prod_Prop!$B:$B,$Q614,Prod_Prop!$H:$H,AB614,Prod_Prop!$I:$I,AD$1)*IF(AB614="Peso",$R614,1))</f>
        <v/>
      </c>
    </row>
    <row r="615">
      <c r="A615" s="4" t="str">
        <f t="array" ref="A615">IF(COUNTIF(A$1:A614,Cotizador!F$2)=maxifs(Familias!E:E,Familias!D:D,Cotizador!F$2),IF(COUNTIF(A$1:A614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5" s="4" t="str">
        <f t="shared" si="1"/>
        <v/>
      </c>
      <c r="C615" s="4" t="str">
        <f t="array" ref="C615">IF(B615="","",IF(A615=XLOOKUP(A$2,Implementos!B:B,Implementos!C:C,"",0,1),B615+maxifs(B$1:B614,A$1:A614,A$2),B615))</f>
        <v/>
      </c>
      <c r="D615" s="4" t="str">
        <f>IF(B615="","", COUNTIFS(Productos!F:F,A615,Productos!H:H,B615)+IF(F615="SI",0,1))</f>
        <v/>
      </c>
      <c r="E615" s="4" t="str">
        <f>IFERROR(__xludf.DUMMYFUNCTION("IF($B615="""","""",INDEX(filter(Familias!F:F,Familias!$D:$D=$A615,Familias!$E:$E=$B615),1))"),"")</f>
        <v/>
      </c>
      <c r="F615" s="4" t="str">
        <f>IFERROR(__xludf.DUMMYFUNCTION("IF($B615="""","""",INDEX(filter(Familias!G:G,Familias!$D:$D=$A615,Familias!$E:$E=$B615),1))"),"")</f>
        <v/>
      </c>
      <c r="G615" s="4" t="str">
        <f t="array" ref="G615">IF(C615=1,XLOOKUP(C615,Cotizador!D:D,Cotizador!E:E,"",0,1),"")</f>
        <v/>
      </c>
      <c r="I615" s="4"/>
      <c r="J615" s="8" t="str">
        <f>IF(I615="","",SUMIF(Cotizador!I$1:V$1,I615,Cotizador!I$2:V$2))</f>
        <v/>
      </c>
      <c r="L615" s="4" t="str">
        <f t="array" ref="L615">IF(COUNTIF(L$1:L614,A$2)=SUMIF(A:A,A$2,D:D),IF(COUNTIF(L$1:L614,XLOOKUP(A$2,Implementos!B:B,Implementos!C:C,"",0,1))=SUMIF(A:A,XLOOKUP(A$2,Implementos!B:B,Implementos!C:C,"",0,1),D:D),"",XLOOKUP(A$2,Implementos!B:B,Implementos!C:C,"",0,1)),A$2)</f>
        <v/>
      </c>
      <c r="M615" s="4" t="str">
        <f t="shared" si="2"/>
        <v/>
      </c>
      <c r="N615" s="4" t="str">
        <f t="shared" si="3"/>
        <v/>
      </c>
      <c r="O615" s="4" t="str">
        <f t="shared" si="4"/>
        <v/>
      </c>
      <c r="P615" s="4" t="str">
        <f t="shared" si="5"/>
        <v/>
      </c>
      <c r="Q615" s="4" t="str">
        <f>IF(U615="","",SUMIF(Productos!E:E,U615,Productos!A:A))</f>
        <v/>
      </c>
      <c r="R615" s="4" t="str">
        <f t="array" ref="R615">IF(L615="","", max(1,SUMIF(I:I,XLOOKUP(U615,Productos!E:E,Productos!G:G,"",0,1),J:J)))</f>
        <v/>
      </c>
      <c r="S615" s="4" t="str">
        <f>IF(Q615="","",IF(SUMIFS(Compat_Vetado!D:D,Compat_Vetado!B:B,SUM(G:G),Compat_Vetado!C:C,Q615)=1,"SI",IF(OR(SUMIF(Cotizador!E:E,Q615,Cotizador!G:G)&gt;0,SUMIFS(Compat_Vetado!D:D,Compat_Vetado!B:B,SUM(G:G),Compat_Vetado!C:C,Q615)=-1),"NO","")))</f>
        <v/>
      </c>
      <c r="T615" s="4" t="str">
        <f t="shared" si="6"/>
        <v/>
      </c>
      <c r="U615" s="4" t="str">
        <f>IFERROR(__xludf.DUMMYFUNCTION("IF(P615="""","""",IFERROR(INDEX(filter(Productos!E:E,Productos!F:F=L615,Productos!H:H=N615),P615),IF(M615=SUM(D:D),""Finalizar"",""-"")))"),"")</f>
        <v/>
      </c>
      <c r="V615" s="4" t="str">
        <f>IFERROR(__xludf.DUMMYFUNCTION("IF(OR($U615="""",COUNTIF($I:$I,IFERROR(unique(filter(Prod_Prop!$H:$H,Prod_Prop!$G:$G=$U615,Prod_Prop!$E:$E=V$1)),""Check""))=0),"""",IFERROR(unique(filter(Prod_Prop!$H:$H,Prod_Prop!$G:$G=$U615,Prod_Prop!$E:$E=V$1)),""""))"),"")</f>
        <v/>
      </c>
      <c r="W615" s="4" t="str">
        <f>IF(V615="","",SUMIFS(Prod_Prop!$J:$J,Prod_Prop!$B:$B,$Q615,Prod_Prop!$H:$H,V615,Prod_Prop!$I:$I,W$1)*IF(V615="Peso",$R615,1))</f>
        <v/>
      </c>
      <c r="X615" s="4" t="str">
        <f>IF(V615="","",SUMIFS(Prod_Prop!$J:$J,Prod_Prop!$B:$B,$Q615,Prod_Prop!$H:$H,V615,Prod_Prop!$I:$I,X$1)*IF(V615="Peso",$R615,1))</f>
        <v/>
      </c>
      <c r="Y615" s="4" t="str">
        <f>IFERROR(__xludf.DUMMYFUNCTION("IF(OR($U615="""",COUNTIF($I:$I,IFERROR(unique(filter(Prod_Prop!$H:$H,Prod_Prop!$G:$G=$U615,Prod_Prop!$E:$E=Y$1)),""Check""))=0),"""",IFERROR(unique(filter(Prod_Prop!$H:$H,Prod_Prop!$G:$G=$U615,Prod_Prop!$E:$E=Y$1)),""""))"),"")</f>
        <v/>
      </c>
      <c r="Z615" s="4" t="str">
        <f>IF(Y615="","",SUMIFS(Prod_Prop!$J:$J,Prod_Prop!$B:$B,$Q615,Prod_Prop!$H:$H,Y615,Prod_Prop!$I:$I,Z$1)*IF(Y615="Peso",$R615,1))</f>
        <v/>
      </c>
      <c r="AA615" s="4" t="str">
        <f>IF(Y615="","",SUMIFS(Prod_Prop!$J:$J,Prod_Prop!$B:$B,$Q615,Prod_Prop!$H:$H,Y615,Prod_Prop!$I:$I,AA$1)*IF(Y615="Peso",$R615,1))</f>
        <v/>
      </c>
      <c r="AB615" s="4" t="str">
        <f>IFERROR(__xludf.DUMMYFUNCTION("IF(OR($U615="""",COUNTIF($I:$I,IFERROR(unique(filter(Prod_Prop!$H:$H,Prod_Prop!$G:$G=$U615,Prod_Prop!$E:$E=AB$1)),""Check""))=0),"""",IFERROR(unique(filter(Prod_Prop!$H:$H,Prod_Prop!$G:$G=$U615,Prod_Prop!$E:$E=AB$1)),""""))"),"")</f>
        <v/>
      </c>
      <c r="AC615" s="4" t="str">
        <f>IF(AB615="","",SUMIFS(Prod_Prop!$J:$J,Prod_Prop!$B:$B,$Q615,Prod_Prop!$H:$H,AB615,Prod_Prop!$I:$I,AC$1)*IF(AB615="Peso",$R615,1))</f>
        <v/>
      </c>
      <c r="AD615" s="4" t="str">
        <f>IF(AB615="","",SUMIFS(Prod_Prop!$J:$J,Prod_Prop!$B:$B,$Q615,Prod_Prop!$H:$H,AB615,Prod_Prop!$I:$I,AD$1)*IF(AB615="Peso",$R615,1))</f>
        <v/>
      </c>
    </row>
    <row r="616">
      <c r="A616" s="4" t="str">
        <f t="array" ref="A616">IF(COUNTIF(A$1:A615,Cotizador!F$2)=maxifs(Familias!E:E,Familias!D:D,Cotizador!F$2),IF(COUNTIF(A$1:A615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6" s="4" t="str">
        <f t="shared" si="1"/>
        <v/>
      </c>
      <c r="C616" s="4" t="str">
        <f t="array" ref="C616">IF(B616="","",IF(A616=XLOOKUP(A$2,Implementos!B:B,Implementos!C:C,"",0,1),B616+maxifs(B$1:B615,A$1:A615,A$2),B616))</f>
        <v/>
      </c>
      <c r="D616" s="4" t="str">
        <f>IF(B616="","", COUNTIFS(Productos!F:F,A616,Productos!H:H,B616)+IF(F616="SI",0,1))</f>
        <v/>
      </c>
      <c r="E616" s="4" t="str">
        <f>IFERROR(__xludf.DUMMYFUNCTION("IF($B616="""","""",INDEX(filter(Familias!F:F,Familias!$D:$D=$A616,Familias!$E:$E=$B616),1))"),"")</f>
        <v/>
      </c>
      <c r="F616" s="4" t="str">
        <f>IFERROR(__xludf.DUMMYFUNCTION("IF($B616="""","""",INDEX(filter(Familias!G:G,Familias!$D:$D=$A616,Familias!$E:$E=$B616),1))"),"")</f>
        <v/>
      </c>
      <c r="G616" s="4" t="str">
        <f t="array" ref="G616">IF(C616=1,XLOOKUP(C616,Cotizador!D:D,Cotizador!E:E,"",0,1),"")</f>
        <v/>
      </c>
      <c r="I616" s="4"/>
      <c r="J616" s="8" t="str">
        <f>IF(I616="","",SUMIF(Cotizador!I$1:V$1,I616,Cotizador!I$2:V$2))</f>
        <v/>
      </c>
      <c r="L616" s="4" t="str">
        <f t="array" ref="L616">IF(COUNTIF(L$1:L615,A$2)=SUMIF(A:A,A$2,D:D),IF(COUNTIF(L$1:L615,XLOOKUP(A$2,Implementos!B:B,Implementos!C:C,"",0,1))=SUMIF(A:A,XLOOKUP(A$2,Implementos!B:B,Implementos!C:C,"",0,1),D:D),"",XLOOKUP(A$2,Implementos!B:B,Implementos!C:C,"",0,1)),A$2)</f>
        <v/>
      </c>
      <c r="M616" s="4" t="str">
        <f t="shared" si="2"/>
        <v/>
      </c>
      <c r="N616" s="4" t="str">
        <f t="shared" si="3"/>
        <v/>
      </c>
      <c r="O616" s="4" t="str">
        <f t="shared" si="4"/>
        <v/>
      </c>
      <c r="P616" s="4" t="str">
        <f t="shared" si="5"/>
        <v/>
      </c>
      <c r="Q616" s="4" t="str">
        <f>IF(U616="","",SUMIF(Productos!E:E,U616,Productos!A:A))</f>
        <v/>
      </c>
      <c r="R616" s="4" t="str">
        <f t="array" ref="R616">IF(L616="","", max(1,SUMIF(I:I,XLOOKUP(U616,Productos!E:E,Productos!G:G,"",0,1),J:J)))</f>
        <v/>
      </c>
      <c r="S616" s="4" t="str">
        <f>IF(Q616="","",IF(SUMIFS(Compat_Vetado!D:D,Compat_Vetado!B:B,SUM(G:G),Compat_Vetado!C:C,Q616)=1,"SI",IF(OR(SUMIF(Cotizador!E:E,Q616,Cotizador!G:G)&gt;0,SUMIFS(Compat_Vetado!D:D,Compat_Vetado!B:B,SUM(G:G),Compat_Vetado!C:C,Q616)=-1),"NO","")))</f>
        <v/>
      </c>
      <c r="T616" s="4" t="str">
        <f t="shared" si="6"/>
        <v/>
      </c>
      <c r="U616" s="4" t="str">
        <f>IFERROR(__xludf.DUMMYFUNCTION("IF(P616="""","""",IFERROR(INDEX(filter(Productos!E:E,Productos!F:F=L616,Productos!H:H=N616),P616),IF(M616=SUM(D:D),""Finalizar"",""-"")))"),"")</f>
        <v/>
      </c>
      <c r="V616" s="4" t="str">
        <f>IFERROR(__xludf.DUMMYFUNCTION("IF(OR($U616="""",COUNTIF($I:$I,IFERROR(unique(filter(Prod_Prop!$H:$H,Prod_Prop!$G:$G=$U616,Prod_Prop!$E:$E=V$1)),""Check""))=0),"""",IFERROR(unique(filter(Prod_Prop!$H:$H,Prod_Prop!$G:$G=$U616,Prod_Prop!$E:$E=V$1)),""""))"),"")</f>
        <v/>
      </c>
      <c r="W616" s="4" t="str">
        <f>IF(V616="","",SUMIFS(Prod_Prop!$J:$J,Prod_Prop!$B:$B,$Q616,Prod_Prop!$H:$H,V616,Prod_Prop!$I:$I,W$1)*IF(V616="Peso",$R616,1))</f>
        <v/>
      </c>
      <c r="X616" s="4" t="str">
        <f>IF(V616="","",SUMIFS(Prod_Prop!$J:$J,Prod_Prop!$B:$B,$Q616,Prod_Prop!$H:$H,V616,Prod_Prop!$I:$I,X$1)*IF(V616="Peso",$R616,1))</f>
        <v/>
      </c>
      <c r="Y616" s="4" t="str">
        <f>IFERROR(__xludf.DUMMYFUNCTION("IF(OR($U616="""",COUNTIF($I:$I,IFERROR(unique(filter(Prod_Prop!$H:$H,Prod_Prop!$G:$G=$U616,Prod_Prop!$E:$E=Y$1)),""Check""))=0),"""",IFERROR(unique(filter(Prod_Prop!$H:$H,Prod_Prop!$G:$G=$U616,Prod_Prop!$E:$E=Y$1)),""""))"),"")</f>
        <v/>
      </c>
      <c r="Z616" s="4" t="str">
        <f>IF(Y616="","",SUMIFS(Prod_Prop!$J:$J,Prod_Prop!$B:$B,$Q616,Prod_Prop!$H:$H,Y616,Prod_Prop!$I:$I,Z$1)*IF(Y616="Peso",$R616,1))</f>
        <v/>
      </c>
      <c r="AA616" s="4" t="str">
        <f>IF(Y616="","",SUMIFS(Prod_Prop!$J:$J,Prod_Prop!$B:$B,$Q616,Prod_Prop!$H:$H,Y616,Prod_Prop!$I:$I,AA$1)*IF(Y616="Peso",$R616,1))</f>
        <v/>
      </c>
      <c r="AB616" s="4" t="str">
        <f>IFERROR(__xludf.DUMMYFUNCTION("IF(OR($U616="""",COUNTIF($I:$I,IFERROR(unique(filter(Prod_Prop!$H:$H,Prod_Prop!$G:$G=$U616,Prod_Prop!$E:$E=AB$1)),""Check""))=0),"""",IFERROR(unique(filter(Prod_Prop!$H:$H,Prod_Prop!$G:$G=$U616,Prod_Prop!$E:$E=AB$1)),""""))"),"")</f>
        <v/>
      </c>
      <c r="AC616" s="4" t="str">
        <f>IF(AB616="","",SUMIFS(Prod_Prop!$J:$J,Prod_Prop!$B:$B,$Q616,Prod_Prop!$H:$H,AB616,Prod_Prop!$I:$I,AC$1)*IF(AB616="Peso",$R616,1))</f>
        <v/>
      </c>
      <c r="AD616" s="4" t="str">
        <f>IF(AB616="","",SUMIFS(Prod_Prop!$J:$J,Prod_Prop!$B:$B,$Q616,Prod_Prop!$H:$H,AB616,Prod_Prop!$I:$I,AD$1)*IF(AB616="Peso",$R616,1))</f>
        <v/>
      </c>
    </row>
    <row r="617">
      <c r="A617" s="4" t="str">
        <f t="array" ref="A617">IF(COUNTIF(A$1:A616,Cotizador!F$2)=maxifs(Familias!E:E,Familias!D:D,Cotizador!F$2),IF(COUNTIF(A$1:A616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7" s="4" t="str">
        <f t="shared" si="1"/>
        <v/>
      </c>
      <c r="C617" s="4" t="str">
        <f t="array" ref="C617">IF(B617="","",IF(A617=XLOOKUP(A$2,Implementos!B:B,Implementos!C:C,"",0,1),B617+maxifs(B$1:B616,A$1:A616,A$2),B617))</f>
        <v/>
      </c>
      <c r="D617" s="4" t="str">
        <f>IF(B617="","", COUNTIFS(Productos!F:F,A617,Productos!H:H,B617)+IF(F617="SI",0,1))</f>
        <v/>
      </c>
      <c r="E617" s="4" t="str">
        <f>IFERROR(__xludf.DUMMYFUNCTION("IF($B617="""","""",INDEX(filter(Familias!F:F,Familias!$D:$D=$A617,Familias!$E:$E=$B617),1))"),"")</f>
        <v/>
      </c>
      <c r="F617" s="4" t="str">
        <f>IFERROR(__xludf.DUMMYFUNCTION("IF($B617="""","""",INDEX(filter(Familias!G:G,Familias!$D:$D=$A617,Familias!$E:$E=$B617),1))"),"")</f>
        <v/>
      </c>
      <c r="G617" s="4" t="str">
        <f t="array" ref="G617">IF(C617=1,XLOOKUP(C617,Cotizador!D:D,Cotizador!E:E,"",0,1),"")</f>
        <v/>
      </c>
      <c r="I617" s="4"/>
      <c r="J617" s="8" t="str">
        <f>IF(I617="","",SUMIF(Cotizador!I$1:V$1,I617,Cotizador!I$2:V$2))</f>
        <v/>
      </c>
      <c r="L617" s="4" t="str">
        <f t="array" ref="L617">IF(COUNTIF(L$1:L616,A$2)=SUMIF(A:A,A$2,D:D),IF(COUNTIF(L$1:L616,XLOOKUP(A$2,Implementos!B:B,Implementos!C:C,"",0,1))=SUMIF(A:A,XLOOKUP(A$2,Implementos!B:B,Implementos!C:C,"",0,1),D:D),"",XLOOKUP(A$2,Implementos!B:B,Implementos!C:C,"",0,1)),A$2)</f>
        <v/>
      </c>
      <c r="M617" s="4" t="str">
        <f t="shared" si="2"/>
        <v/>
      </c>
      <c r="N617" s="4" t="str">
        <f t="shared" si="3"/>
        <v/>
      </c>
      <c r="O617" s="4" t="str">
        <f t="shared" si="4"/>
        <v/>
      </c>
      <c r="P617" s="4" t="str">
        <f t="shared" si="5"/>
        <v/>
      </c>
      <c r="Q617" s="4" t="str">
        <f>IF(U617="","",SUMIF(Productos!E:E,U617,Productos!A:A))</f>
        <v/>
      </c>
      <c r="R617" s="4" t="str">
        <f t="array" ref="R617">IF(L617="","", max(1,SUMIF(I:I,XLOOKUP(U617,Productos!E:E,Productos!G:G,"",0,1),J:J)))</f>
        <v/>
      </c>
      <c r="S617" s="4" t="str">
        <f>IF(Q617="","",IF(SUMIFS(Compat_Vetado!D:D,Compat_Vetado!B:B,SUM(G:G),Compat_Vetado!C:C,Q617)=1,"SI",IF(OR(SUMIF(Cotizador!E:E,Q617,Cotizador!G:G)&gt;0,SUMIFS(Compat_Vetado!D:D,Compat_Vetado!B:B,SUM(G:G),Compat_Vetado!C:C,Q617)=-1),"NO","")))</f>
        <v/>
      </c>
      <c r="T617" s="4" t="str">
        <f t="shared" si="6"/>
        <v/>
      </c>
      <c r="U617" s="4" t="str">
        <f>IFERROR(__xludf.DUMMYFUNCTION("IF(P617="""","""",IFERROR(INDEX(filter(Productos!E:E,Productos!F:F=L617,Productos!H:H=N617),P617),IF(M617=SUM(D:D),""Finalizar"",""-"")))"),"")</f>
        <v/>
      </c>
      <c r="V617" s="4" t="str">
        <f>IFERROR(__xludf.DUMMYFUNCTION("IF(OR($U617="""",COUNTIF($I:$I,IFERROR(unique(filter(Prod_Prop!$H:$H,Prod_Prop!$G:$G=$U617,Prod_Prop!$E:$E=V$1)),""Check""))=0),"""",IFERROR(unique(filter(Prod_Prop!$H:$H,Prod_Prop!$G:$G=$U617,Prod_Prop!$E:$E=V$1)),""""))"),"")</f>
        <v/>
      </c>
      <c r="W617" s="4" t="str">
        <f>IF(V617="","",SUMIFS(Prod_Prop!$J:$J,Prod_Prop!$B:$B,$Q617,Prod_Prop!$H:$H,V617,Prod_Prop!$I:$I,W$1)*IF(V617="Peso",$R617,1))</f>
        <v/>
      </c>
      <c r="X617" s="4" t="str">
        <f>IF(V617="","",SUMIFS(Prod_Prop!$J:$J,Prod_Prop!$B:$B,$Q617,Prod_Prop!$H:$H,V617,Prod_Prop!$I:$I,X$1)*IF(V617="Peso",$R617,1))</f>
        <v/>
      </c>
      <c r="Y617" s="4" t="str">
        <f>IFERROR(__xludf.DUMMYFUNCTION("IF(OR($U617="""",COUNTIF($I:$I,IFERROR(unique(filter(Prod_Prop!$H:$H,Prod_Prop!$G:$G=$U617,Prod_Prop!$E:$E=Y$1)),""Check""))=0),"""",IFERROR(unique(filter(Prod_Prop!$H:$H,Prod_Prop!$G:$G=$U617,Prod_Prop!$E:$E=Y$1)),""""))"),"")</f>
        <v/>
      </c>
      <c r="Z617" s="4" t="str">
        <f>IF(Y617="","",SUMIFS(Prod_Prop!$J:$J,Prod_Prop!$B:$B,$Q617,Prod_Prop!$H:$H,Y617,Prod_Prop!$I:$I,Z$1)*IF(Y617="Peso",$R617,1))</f>
        <v/>
      </c>
      <c r="AA617" s="4" t="str">
        <f>IF(Y617="","",SUMIFS(Prod_Prop!$J:$J,Prod_Prop!$B:$B,$Q617,Prod_Prop!$H:$H,Y617,Prod_Prop!$I:$I,AA$1)*IF(Y617="Peso",$R617,1))</f>
        <v/>
      </c>
      <c r="AB617" s="4" t="str">
        <f>IFERROR(__xludf.DUMMYFUNCTION("IF(OR($U617="""",COUNTIF($I:$I,IFERROR(unique(filter(Prod_Prop!$H:$H,Prod_Prop!$G:$G=$U617,Prod_Prop!$E:$E=AB$1)),""Check""))=0),"""",IFERROR(unique(filter(Prod_Prop!$H:$H,Prod_Prop!$G:$G=$U617,Prod_Prop!$E:$E=AB$1)),""""))"),"")</f>
        <v/>
      </c>
      <c r="AC617" s="4" t="str">
        <f>IF(AB617="","",SUMIFS(Prod_Prop!$J:$J,Prod_Prop!$B:$B,$Q617,Prod_Prop!$H:$H,AB617,Prod_Prop!$I:$I,AC$1)*IF(AB617="Peso",$R617,1))</f>
        <v/>
      </c>
      <c r="AD617" s="4" t="str">
        <f>IF(AB617="","",SUMIFS(Prod_Prop!$J:$J,Prod_Prop!$B:$B,$Q617,Prod_Prop!$H:$H,AB617,Prod_Prop!$I:$I,AD$1)*IF(AB617="Peso",$R617,1))</f>
        <v/>
      </c>
    </row>
    <row r="618">
      <c r="A618" s="4" t="str">
        <f t="array" ref="A618">IF(COUNTIF(A$1:A617,Cotizador!F$2)=maxifs(Familias!E:E,Familias!D:D,Cotizador!F$2),IF(COUNTIF(A$1:A617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8" s="4" t="str">
        <f t="shared" si="1"/>
        <v/>
      </c>
      <c r="C618" s="4" t="str">
        <f t="array" ref="C618">IF(B618="","",IF(A618=XLOOKUP(A$2,Implementos!B:B,Implementos!C:C,"",0,1),B618+maxifs(B$1:B617,A$1:A617,A$2),B618))</f>
        <v/>
      </c>
      <c r="D618" s="4" t="str">
        <f>IF(B618="","", COUNTIFS(Productos!F:F,A618,Productos!H:H,B618)+IF(F618="SI",0,1))</f>
        <v/>
      </c>
      <c r="E618" s="4" t="str">
        <f>IFERROR(__xludf.DUMMYFUNCTION("IF($B618="""","""",INDEX(filter(Familias!F:F,Familias!$D:$D=$A618,Familias!$E:$E=$B618),1))"),"")</f>
        <v/>
      </c>
      <c r="F618" s="4" t="str">
        <f>IFERROR(__xludf.DUMMYFUNCTION("IF($B618="""","""",INDEX(filter(Familias!G:G,Familias!$D:$D=$A618,Familias!$E:$E=$B618),1))"),"")</f>
        <v/>
      </c>
      <c r="G618" s="4" t="str">
        <f t="array" ref="G618">IF(C618=1,XLOOKUP(C618,Cotizador!D:D,Cotizador!E:E,"",0,1),"")</f>
        <v/>
      </c>
      <c r="I618" s="4"/>
      <c r="J618" s="8" t="str">
        <f>IF(I618="","",SUMIF(Cotizador!I$1:V$1,I618,Cotizador!I$2:V$2))</f>
        <v/>
      </c>
      <c r="L618" s="4" t="str">
        <f t="array" ref="L618">IF(COUNTIF(L$1:L617,A$2)=SUMIF(A:A,A$2,D:D),IF(COUNTIF(L$1:L617,XLOOKUP(A$2,Implementos!B:B,Implementos!C:C,"",0,1))=SUMIF(A:A,XLOOKUP(A$2,Implementos!B:B,Implementos!C:C,"",0,1),D:D),"",XLOOKUP(A$2,Implementos!B:B,Implementos!C:C,"",0,1)),A$2)</f>
        <v/>
      </c>
      <c r="M618" s="4" t="str">
        <f t="shared" si="2"/>
        <v/>
      </c>
      <c r="N618" s="4" t="str">
        <f t="shared" si="3"/>
        <v/>
      </c>
      <c r="O618" s="4" t="str">
        <f t="shared" si="4"/>
        <v/>
      </c>
      <c r="P618" s="4" t="str">
        <f t="shared" si="5"/>
        <v/>
      </c>
      <c r="Q618" s="4" t="str">
        <f>IF(U618="","",SUMIF(Productos!E:E,U618,Productos!A:A))</f>
        <v/>
      </c>
      <c r="R618" s="4" t="str">
        <f t="array" ref="R618">IF(L618="","", max(1,SUMIF(I:I,XLOOKUP(U618,Productos!E:E,Productos!G:G,"",0,1),J:J)))</f>
        <v/>
      </c>
      <c r="S618" s="4" t="str">
        <f>IF(Q618="","",IF(SUMIFS(Compat_Vetado!D:D,Compat_Vetado!B:B,SUM(G:G),Compat_Vetado!C:C,Q618)=1,"SI",IF(OR(SUMIF(Cotizador!E:E,Q618,Cotizador!G:G)&gt;0,SUMIFS(Compat_Vetado!D:D,Compat_Vetado!B:B,SUM(G:G),Compat_Vetado!C:C,Q618)=-1),"NO","")))</f>
        <v/>
      </c>
      <c r="T618" s="4" t="str">
        <f t="shared" si="6"/>
        <v/>
      </c>
      <c r="U618" s="4" t="str">
        <f>IFERROR(__xludf.DUMMYFUNCTION("IF(P618="""","""",IFERROR(INDEX(filter(Productos!E:E,Productos!F:F=L618,Productos!H:H=N618),P618),IF(M618=SUM(D:D),""Finalizar"",""-"")))"),"")</f>
        <v/>
      </c>
      <c r="V618" s="4" t="str">
        <f>IFERROR(__xludf.DUMMYFUNCTION("IF(OR($U618="""",COUNTIF($I:$I,IFERROR(unique(filter(Prod_Prop!$H:$H,Prod_Prop!$G:$G=$U618,Prod_Prop!$E:$E=V$1)),""Check""))=0),"""",IFERROR(unique(filter(Prod_Prop!$H:$H,Prod_Prop!$G:$G=$U618,Prod_Prop!$E:$E=V$1)),""""))"),"")</f>
        <v/>
      </c>
      <c r="W618" s="4" t="str">
        <f>IF(V618="","",SUMIFS(Prod_Prop!$J:$J,Prod_Prop!$B:$B,$Q618,Prod_Prop!$H:$H,V618,Prod_Prop!$I:$I,W$1)*IF(V618="Peso",$R618,1))</f>
        <v/>
      </c>
      <c r="X618" s="4" t="str">
        <f>IF(V618="","",SUMIFS(Prod_Prop!$J:$J,Prod_Prop!$B:$B,$Q618,Prod_Prop!$H:$H,V618,Prod_Prop!$I:$I,X$1)*IF(V618="Peso",$R618,1))</f>
        <v/>
      </c>
      <c r="Y618" s="4" t="str">
        <f>IFERROR(__xludf.DUMMYFUNCTION("IF(OR($U618="""",COUNTIF($I:$I,IFERROR(unique(filter(Prod_Prop!$H:$H,Prod_Prop!$G:$G=$U618,Prod_Prop!$E:$E=Y$1)),""Check""))=0),"""",IFERROR(unique(filter(Prod_Prop!$H:$H,Prod_Prop!$G:$G=$U618,Prod_Prop!$E:$E=Y$1)),""""))"),"")</f>
        <v/>
      </c>
      <c r="Z618" s="4" t="str">
        <f>IF(Y618="","",SUMIFS(Prod_Prop!$J:$J,Prod_Prop!$B:$B,$Q618,Prod_Prop!$H:$H,Y618,Prod_Prop!$I:$I,Z$1)*IF(Y618="Peso",$R618,1))</f>
        <v/>
      </c>
      <c r="AA618" s="4" t="str">
        <f>IF(Y618="","",SUMIFS(Prod_Prop!$J:$J,Prod_Prop!$B:$B,$Q618,Prod_Prop!$H:$H,Y618,Prod_Prop!$I:$I,AA$1)*IF(Y618="Peso",$R618,1))</f>
        <v/>
      </c>
      <c r="AB618" s="4" t="str">
        <f>IFERROR(__xludf.DUMMYFUNCTION("IF(OR($U618="""",COUNTIF($I:$I,IFERROR(unique(filter(Prod_Prop!$H:$H,Prod_Prop!$G:$G=$U618,Prod_Prop!$E:$E=AB$1)),""Check""))=0),"""",IFERROR(unique(filter(Prod_Prop!$H:$H,Prod_Prop!$G:$G=$U618,Prod_Prop!$E:$E=AB$1)),""""))"),"")</f>
        <v/>
      </c>
      <c r="AC618" s="4" t="str">
        <f>IF(AB618="","",SUMIFS(Prod_Prop!$J:$J,Prod_Prop!$B:$B,$Q618,Prod_Prop!$H:$H,AB618,Prod_Prop!$I:$I,AC$1)*IF(AB618="Peso",$R618,1))</f>
        <v/>
      </c>
      <c r="AD618" s="4" t="str">
        <f>IF(AB618="","",SUMIFS(Prod_Prop!$J:$J,Prod_Prop!$B:$B,$Q618,Prod_Prop!$H:$H,AB618,Prod_Prop!$I:$I,AD$1)*IF(AB618="Peso",$R618,1))</f>
        <v/>
      </c>
    </row>
    <row r="619">
      <c r="A619" s="4" t="str">
        <f t="array" ref="A619">IF(COUNTIF(A$1:A618,Cotizador!F$2)=maxifs(Familias!E:E,Familias!D:D,Cotizador!F$2),IF(COUNTIF(A$1:A618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19" s="4" t="str">
        <f t="shared" si="1"/>
        <v/>
      </c>
      <c r="C619" s="4" t="str">
        <f t="array" ref="C619">IF(B619="","",IF(A619=XLOOKUP(A$2,Implementos!B:B,Implementos!C:C,"",0,1),B619+maxifs(B$1:B618,A$1:A618,A$2),B619))</f>
        <v/>
      </c>
      <c r="D619" s="4" t="str">
        <f>IF(B619="","", COUNTIFS(Productos!F:F,A619,Productos!H:H,B619)+IF(F619="SI",0,1))</f>
        <v/>
      </c>
      <c r="E619" s="4" t="str">
        <f>IFERROR(__xludf.DUMMYFUNCTION("IF($B619="""","""",INDEX(filter(Familias!F:F,Familias!$D:$D=$A619,Familias!$E:$E=$B619),1))"),"")</f>
        <v/>
      </c>
      <c r="F619" s="4" t="str">
        <f>IFERROR(__xludf.DUMMYFUNCTION("IF($B619="""","""",INDEX(filter(Familias!G:G,Familias!$D:$D=$A619,Familias!$E:$E=$B619),1))"),"")</f>
        <v/>
      </c>
      <c r="G619" s="4" t="str">
        <f t="array" ref="G619">IF(C619=1,XLOOKUP(C619,Cotizador!D:D,Cotizador!E:E,"",0,1),"")</f>
        <v/>
      </c>
      <c r="I619" s="4"/>
      <c r="J619" s="8" t="str">
        <f>IF(I619="","",SUMIF(Cotizador!I$1:V$1,I619,Cotizador!I$2:V$2))</f>
        <v/>
      </c>
      <c r="L619" s="4" t="str">
        <f t="array" ref="L619">IF(COUNTIF(L$1:L618,A$2)=SUMIF(A:A,A$2,D:D),IF(COUNTIF(L$1:L618,XLOOKUP(A$2,Implementos!B:B,Implementos!C:C,"",0,1))=SUMIF(A:A,XLOOKUP(A$2,Implementos!B:B,Implementos!C:C,"",0,1),D:D),"",XLOOKUP(A$2,Implementos!B:B,Implementos!C:C,"",0,1)),A$2)</f>
        <v/>
      </c>
      <c r="M619" s="4" t="str">
        <f t="shared" si="2"/>
        <v/>
      </c>
      <c r="N619" s="4" t="str">
        <f t="shared" si="3"/>
        <v/>
      </c>
      <c r="O619" s="4" t="str">
        <f t="shared" si="4"/>
        <v/>
      </c>
      <c r="P619" s="4" t="str">
        <f t="shared" si="5"/>
        <v/>
      </c>
      <c r="Q619" s="4" t="str">
        <f>IF(U619="","",SUMIF(Productos!E:E,U619,Productos!A:A))</f>
        <v/>
      </c>
      <c r="R619" s="4" t="str">
        <f t="array" ref="R619">IF(L619="","", max(1,SUMIF(I:I,XLOOKUP(U619,Productos!E:E,Productos!G:G,"",0,1),J:J)))</f>
        <v/>
      </c>
      <c r="S619" s="4" t="str">
        <f>IF(Q619="","",IF(SUMIFS(Compat_Vetado!D:D,Compat_Vetado!B:B,SUM(G:G),Compat_Vetado!C:C,Q619)=1,"SI",IF(OR(SUMIF(Cotizador!E:E,Q619,Cotizador!G:G)&gt;0,SUMIFS(Compat_Vetado!D:D,Compat_Vetado!B:B,SUM(G:G),Compat_Vetado!C:C,Q619)=-1),"NO","")))</f>
        <v/>
      </c>
      <c r="T619" s="4" t="str">
        <f t="shared" si="6"/>
        <v/>
      </c>
      <c r="U619" s="4" t="str">
        <f>IFERROR(__xludf.DUMMYFUNCTION("IF(P619="""","""",IFERROR(INDEX(filter(Productos!E:E,Productos!F:F=L619,Productos!H:H=N619),P619),IF(M619=SUM(D:D),""Finalizar"",""-"")))"),"")</f>
        <v/>
      </c>
      <c r="V619" s="4" t="str">
        <f>IFERROR(__xludf.DUMMYFUNCTION("IF(OR($U619="""",COUNTIF($I:$I,IFERROR(unique(filter(Prod_Prop!$H:$H,Prod_Prop!$G:$G=$U619,Prod_Prop!$E:$E=V$1)),""Check""))=0),"""",IFERROR(unique(filter(Prod_Prop!$H:$H,Prod_Prop!$G:$G=$U619,Prod_Prop!$E:$E=V$1)),""""))"),"")</f>
        <v/>
      </c>
      <c r="W619" s="4" t="str">
        <f>IF(V619="","",SUMIFS(Prod_Prop!$J:$J,Prod_Prop!$B:$B,$Q619,Prod_Prop!$H:$H,V619,Prod_Prop!$I:$I,W$1)*IF(V619="Peso",$R619,1))</f>
        <v/>
      </c>
      <c r="X619" s="4" t="str">
        <f>IF(V619="","",SUMIFS(Prod_Prop!$J:$J,Prod_Prop!$B:$B,$Q619,Prod_Prop!$H:$H,V619,Prod_Prop!$I:$I,X$1)*IF(V619="Peso",$R619,1))</f>
        <v/>
      </c>
      <c r="Y619" s="4" t="str">
        <f>IFERROR(__xludf.DUMMYFUNCTION("IF(OR($U619="""",COUNTIF($I:$I,IFERROR(unique(filter(Prod_Prop!$H:$H,Prod_Prop!$G:$G=$U619,Prod_Prop!$E:$E=Y$1)),""Check""))=0),"""",IFERROR(unique(filter(Prod_Prop!$H:$H,Prod_Prop!$G:$G=$U619,Prod_Prop!$E:$E=Y$1)),""""))"),"")</f>
        <v/>
      </c>
      <c r="Z619" s="4" t="str">
        <f>IF(Y619="","",SUMIFS(Prod_Prop!$J:$J,Prod_Prop!$B:$B,$Q619,Prod_Prop!$H:$H,Y619,Prod_Prop!$I:$I,Z$1)*IF(Y619="Peso",$R619,1))</f>
        <v/>
      </c>
      <c r="AA619" s="4" t="str">
        <f>IF(Y619="","",SUMIFS(Prod_Prop!$J:$J,Prod_Prop!$B:$B,$Q619,Prod_Prop!$H:$H,Y619,Prod_Prop!$I:$I,AA$1)*IF(Y619="Peso",$R619,1))</f>
        <v/>
      </c>
      <c r="AB619" s="4" t="str">
        <f>IFERROR(__xludf.DUMMYFUNCTION("IF(OR($U619="""",COUNTIF($I:$I,IFERROR(unique(filter(Prod_Prop!$H:$H,Prod_Prop!$G:$G=$U619,Prod_Prop!$E:$E=AB$1)),""Check""))=0),"""",IFERROR(unique(filter(Prod_Prop!$H:$H,Prod_Prop!$G:$G=$U619,Prod_Prop!$E:$E=AB$1)),""""))"),"")</f>
        <v/>
      </c>
      <c r="AC619" s="4" t="str">
        <f>IF(AB619="","",SUMIFS(Prod_Prop!$J:$J,Prod_Prop!$B:$B,$Q619,Prod_Prop!$H:$H,AB619,Prod_Prop!$I:$I,AC$1)*IF(AB619="Peso",$R619,1))</f>
        <v/>
      </c>
      <c r="AD619" s="4" t="str">
        <f>IF(AB619="","",SUMIFS(Prod_Prop!$J:$J,Prod_Prop!$B:$B,$Q619,Prod_Prop!$H:$H,AB619,Prod_Prop!$I:$I,AD$1)*IF(AB619="Peso",$R619,1))</f>
        <v/>
      </c>
    </row>
    <row r="620">
      <c r="A620" s="4" t="str">
        <f t="array" ref="A620">IF(COUNTIF(A$1:A619,Cotizador!F$2)=maxifs(Familias!E:E,Familias!D:D,Cotizador!F$2),IF(COUNTIF(A$1:A619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0" s="4" t="str">
        <f t="shared" si="1"/>
        <v/>
      </c>
      <c r="C620" s="4" t="str">
        <f t="array" ref="C620">IF(B620="","",IF(A620=XLOOKUP(A$2,Implementos!B:B,Implementos!C:C,"",0,1),B620+maxifs(B$1:B619,A$1:A619,A$2),B620))</f>
        <v/>
      </c>
      <c r="D620" s="4" t="str">
        <f>IF(B620="","", COUNTIFS(Productos!F:F,A620,Productos!H:H,B620)+IF(F620="SI",0,1))</f>
        <v/>
      </c>
      <c r="E620" s="4" t="str">
        <f>IFERROR(__xludf.DUMMYFUNCTION("IF($B620="""","""",INDEX(filter(Familias!F:F,Familias!$D:$D=$A620,Familias!$E:$E=$B620),1))"),"")</f>
        <v/>
      </c>
      <c r="F620" s="4" t="str">
        <f>IFERROR(__xludf.DUMMYFUNCTION("IF($B620="""","""",INDEX(filter(Familias!G:G,Familias!$D:$D=$A620,Familias!$E:$E=$B620),1))"),"")</f>
        <v/>
      </c>
      <c r="G620" s="4" t="str">
        <f t="array" ref="G620">IF(C620=1,XLOOKUP(C620,Cotizador!D:D,Cotizador!E:E,"",0,1),"")</f>
        <v/>
      </c>
      <c r="I620" s="4"/>
      <c r="J620" s="8" t="str">
        <f>IF(I620="","",SUMIF(Cotizador!I$1:V$1,I620,Cotizador!I$2:V$2))</f>
        <v/>
      </c>
      <c r="L620" s="4" t="str">
        <f t="array" ref="L620">IF(COUNTIF(L$1:L619,A$2)=SUMIF(A:A,A$2,D:D),IF(COUNTIF(L$1:L619,XLOOKUP(A$2,Implementos!B:B,Implementos!C:C,"",0,1))=SUMIF(A:A,XLOOKUP(A$2,Implementos!B:B,Implementos!C:C,"",0,1),D:D),"",XLOOKUP(A$2,Implementos!B:B,Implementos!C:C,"",0,1)),A$2)</f>
        <v/>
      </c>
      <c r="M620" s="4" t="str">
        <f t="shared" si="2"/>
        <v/>
      </c>
      <c r="N620" s="4" t="str">
        <f t="shared" si="3"/>
        <v/>
      </c>
      <c r="O620" s="4" t="str">
        <f t="shared" si="4"/>
        <v/>
      </c>
      <c r="P620" s="4" t="str">
        <f t="shared" si="5"/>
        <v/>
      </c>
      <c r="Q620" s="4" t="str">
        <f>IF(U620="","",SUMIF(Productos!E:E,U620,Productos!A:A))</f>
        <v/>
      </c>
      <c r="R620" s="4" t="str">
        <f t="array" ref="R620">IF(L620="","", max(1,SUMIF(I:I,XLOOKUP(U620,Productos!E:E,Productos!G:G,"",0,1),J:J)))</f>
        <v/>
      </c>
      <c r="S620" s="4" t="str">
        <f>IF(Q620="","",IF(SUMIFS(Compat_Vetado!D:D,Compat_Vetado!B:B,SUM(G:G),Compat_Vetado!C:C,Q620)=1,"SI",IF(OR(SUMIF(Cotizador!E:E,Q620,Cotizador!G:G)&gt;0,SUMIFS(Compat_Vetado!D:D,Compat_Vetado!B:B,SUM(G:G),Compat_Vetado!C:C,Q620)=-1),"NO","")))</f>
        <v/>
      </c>
      <c r="T620" s="4" t="str">
        <f t="shared" si="6"/>
        <v/>
      </c>
      <c r="U620" s="4" t="str">
        <f>IFERROR(__xludf.DUMMYFUNCTION("IF(P620="""","""",IFERROR(INDEX(filter(Productos!E:E,Productos!F:F=L620,Productos!H:H=N620),P620),IF(M620=SUM(D:D),""Finalizar"",""-"")))"),"")</f>
        <v/>
      </c>
      <c r="V620" s="4" t="str">
        <f>IFERROR(__xludf.DUMMYFUNCTION("IF(OR($U620="""",COUNTIF($I:$I,IFERROR(unique(filter(Prod_Prop!$H:$H,Prod_Prop!$G:$G=$U620,Prod_Prop!$E:$E=V$1)),""Check""))=0),"""",IFERROR(unique(filter(Prod_Prop!$H:$H,Prod_Prop!$G:$G=$U620,Prod_Prop!$E:$E=V$1)),""""))"),"")</f>
        <v/>
      </c>
      <c r="W620" s="4" t="str">
        <f>IF(V620="","",SUMIFS(Prod_Prop!$J:$J,Prod_Prop!$B:$B,$Q620,Prod_Prop!$H:$H,V620,Prod_Prop!$I:$I,W$1)*IF(V620="Peso",$R620,1))</f>
        <v/>
      </c>
      <c r="X620" s="4" t="str">
        <f>IF(V620="","",SUMIFS(Prod_Prop!$J:$J,Prod_Prop!$B:$B,$Q620,Prod_Prop!$H:$H,V620,Prod_Prop!$I:$I,X$1)*IF(V620="Peso",$R620,1))</f>
        <v/>
      </c>
      <c r="Y620" s="4" t="str">
        <f>IFERROR(__xludf.DUMMYFUNCTION("IF(OR($U620="""",COUNTIF($I:$I,IFERROR(unique(filter(Prod_Prop!$H:$H,Prod_Prop!$G:$G=$U620,Prod_Prop!$E:$E=Y$1)),""Check""))=0),"""",IFERROR(unique(filter(Prod_Prop!$H:$H,Prod_Prop!$G:$G=$U620,Prod_Prop!$E:$E=Y$1)),""""))"),"")</f>
        <v/>
      </c>
      <c r="Z620" s="4" t="str">
        <f>IF(Y620="","",SUMIFS(Prod_Prop!$J:$J,Prod_Prop!$B:$B,$Q620,Prod_Prop!$H:$H,Y620,Prod_Prop!$I:$I,Z$1)*IF(Y620="Peso",$R620,1))</f>
        <v/>
      </c>
      <c r="AA620" s="4" t="str">
        <f>IF(Y620="","",SUMIFS(Prod_Prop!$J:$J,Prod_Prop!$B:$B,$Q620,Prod_Prop!$H:$H,Y620,Prod_Prop!$I:$I,AA$1)*IF(Y620="Peso",$R620,1))</f>
        <v/>
      </c>
      <c r="AB620" s="4" t="str">
        <f>IFERROR(__xludf.DUMMYFUNCTION("IF(OR($U620="""",COUNTIF($I:$I,IFERROR(unique(filter(Prod_Prop!$H:$H,Prod_Prop!$G:$G=$U620,Prod_Prop!$E:$E=AB$1)),""Check""))=0),"""",IFERROR(unique(filter(Prod_Prop!$H:$H,Prod_Prop!$G:$G=$U620,Prod_Prop!$E:$E=AB$1)),""""))"),"")</f>
        <v/>
      </c>
      <c r="AC620" s="4" t="str">
        <f>IF(AB620="","",SUMIFS(Prod_Prop!$J:$J,Prod_Prop!$B:$B,$Q620,Prod_Prop!$H:$H,AB620,Prod_Prop!$I:$I,AC$1)*IF(AB620="Peso",$R620,1))</f>
        <v/>
      </c>
      <c r="AD620" s="4" t="str">
        <f>IF(AB620="","",SUMIFS(Prod_Prop!$J:$J,Prod_Prop!$B:$B,$Q620,Prod_Prop!$H:$H,AB620,Prod_Prop!$I:$I,AD$1)*IF(AB620="Peso",$R620,1))</f>
        <v/>
      </c>
    </row>
    <row r="621">
      <c r="A621" s="4" t="str">
        <f t="array" ref="A621">IF(COUNTIF(A$1:A620,Cotizador!F$2)=maxifs(Familias!E:E,Familias!D:D,Cotizador!F$2),IF(COUNTIF(A$1:A620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1" s="4" t="str">
        <f t="shared" si="1"/>
        <v/>
      </c>
      <c r="C621" s="4" t="str">
        <f t="array" ref="C621">IF(B621="","",IF(A621=XLOOKUP(A$2,Implementos!B:B,Implementos!C:C,"",0,1),B621+maxifs(B$1:B620,A$1:A620,A$2),B621))</f>
        <v/>
      </c>
      <c r="D621" s="4" t="str">
        <f>IF(B621="","", COUNTIFS(Productos!F:F,A621,Productos!H:H,B621)+IF(F621="SI",0,1))</f>
        <v/>
      </c>
      <c r="E621" s="4" t="str">
        <f>IFERROR(__xludf.DUMMYFUNCTION("IF($B621="""","""",INDEX(filter(Familias!F:F,Familias!$D:$D=$A621,Familias!$E:$E=$B621),1))"),"")</f>
        <v/>
      </c>
      <c r="F621" s="4" t="str">
        <f>IFERROR(__xludf.DUMMYFUNCTION("IF($B621="""","""",INDEX(filter(Familias!G:G,Familias!$D:$D=$A621,Familias!$E:$E=$B621),1))"),"")</f>
        <v/>
      </c>
      <c r="G621" s="4" t="str">
        <f t="array" ref="G621">IF(C621=1,XLOOKUP(C621,Cotizador!D:D,Cotizador!E:E,"",0,1),"")</f>
        <v/>
      </c>
      <c r="I621" s="4"/>
      <c r="J621" s="8" t="str">
        <f>IF(I621="","",SUMIF(Cotizador!I$1:V$1,I621,Cotizador!I$2:V$2))</f>
        <v/>
      </c>
      <c r="L621" s="4" t="str">
        <f t="array" ref="L621">IF(COUNTIF(L$1:L620,A$2)=SUMIF(A:A,A$2,D:D),IF(COUNTIF(L$1:L620,XLOOKUP(A$2,Implementos!B:B,Implementos!C:C,"",0,1))=SUMIF(A:A,XLOOKUP(A$2,Implementos!B:B,Implementos!C:C,"",0,1),D:D),"",XLOOKUP(A$2,Implementos!B:B,Implementos!C:C,"",0,1)),A$2)</f>
        <v/>
      </c>
      <c r="M621" s="4" t="str">
        <f t="shared" si="2"/>
        <v/>
      </c>
      <c r="N621" s="4" t="str">
        <f t="shared" si="3"/>
        <v/>
      </c>
      <c r="O621" s="4" t="str">
        <f t="shared" si="4"/>
        <v/>
      </c>
      <c r="P621" s="4" t="str">
        <f t="shared" si="5"/>
        <v/>
      </c>
      <c r="Q621" s="4" t="str">
        <f>IF(U621="","",SUMIF(Productos!E:E,U621,Productos!A:A))</f>
        <v/>
      </c>
      <c r="R621" s="4" t="str">
        <f t="array" ref="R621">IF(L621="","", max(1,SUMIF(I:I,XLOOKUP(U621,Productos!E:E,Productos!G:G,"",0,1),J:J)))</f>
        <v/>
      </c>
      <c r="S621" s="4" t="str">
        <f>IF(Q621="","",IF(SUMIFS(Compat_Vetado!D:D,Compat_Vetado!B:B,SUM(G:G),Compat_Vetado!C:C,Q621)=1,"SI",IF(OR(SUMIF(Cotizador!E:E,Q621,Cotizador!G:G)&gt;0,SUMIFS(Compat_Vetado!D:D,Compat_Vetado!B:B,SUM(G:G),Compat_Vetado!C:C,Q621)=-1),"NO","")))</f>
        <v/>
      </c>
      <c r="T621" s="4" t="str">
        <f t="shared" si="6"/>
        <v/>
      </c>
      <c r="U621" s="4" t="str">
        <f>IFERROR(__xludf.DUMMYFUNCTION("IF(P621="""","""",IFERROR(INDEX(filter(Productos!E:E,Productos!F:F=L621,Productos!H:H=N621),P621),IF(M621=SUM(D:D),""Finalizar"",""-"")))"),"")</f>
        <v/>
      </c>
      <c r="V621" s="4" t="str">
        <f>IFERROR(__xludf.DUMMYFUNCTION("IF(OR($U621="""",COUNTIF($I:$I,IFERROR(unique(filter(Prod_Prop!$H:$H,Prod_Prop!$G:$G=$U621,Prod_Prop!$E:$E=V$1)),""Check""))=0),"""",IFERROR(unique(filter(Prod_Prop!$H:$H,Prod_Prop!$G:$G=$U621,Prod_Prop!$E:$E=V$1)),""""))"),"")</f>
        <v/>
      </c>
      <c r="W621" s="4" t="str">
        <f>IF(V621="","",SUMIFS(Prod_Prop!$J:$J,Prod_Prop!$B:$B,$Q621,Prod_Prop!$H:$H,V621,Prod_Prop!$I:$I,W$1)*IF(V621="Peso",$R621,1))</f>
        <v/>
      </c>
      <c r="X621" s="4" t="str">
        <f>IF(V621="","",SUMIFS(Prod_Prop!$J:$J,Prod_Prop!$B:$B,$Q621,Prod_Prop!$H:$H,V621,Prod_Prop!$I:$I,X$1)*IF(V621="Peso",$R621,1))</f>
        <v/>
      </c>
      <c r="Y621" s="4" t="str">
        <f>IFERROR(__xludf.DUMMYFUNCTION("IF(OR($U621="""",COUNTIF($I:$I,IFERROR(unique(filter(Prod_Prop!$H:$H,Prod_Prop!$G:$G=$U621,Prod_Prop!$E:$E=Y$1)),""Check""))=0),"""",IFERROR(unique(filter(Prod_Prop!$H:$H,Prod_Prop!$G:$G=$U621,Prod_Prop!$E:$E=Y$1)),""""))"),"")</f>
        <v/>
      </c>
      <c r="Z621" s="4" t="str">
        <f>IF(Y621="","",SUMIFS(Prod_Prop!$J:$J,Prod_Prop!$B:$B,$Q621,Prod_Prop!$H:$H,Y621,Prod_Prop!$I:$I,Z$1)*IF(Y621="Peso",$R621,1))</f>
        <v/>
      </c>
      <c r="AA621" s="4" t="str">
        <f>IF(Y621="","",SUMIFS(Prod_Prop!$J:$J,Prod_Prop!$B:$B,$Q621,Prod_Prop!$H:$H,Y621,Prod_Prop!$I:$I,AA$1)*IF(Y621="Peso",$R621,1))</f>
        <v/>
      </c>
      <c r="AB621" s="4" t="str">
        <f>IFERROR(__xludf.DUMMYFUNCTION("IF(OR($U621="""",COUNTIF($I:$I,IFERROR(unique(filter(Prod_Prop!$H:$H,Prod_Prop!$G:$G=$U621,Prod_Prop!$E:$E=AB$1)),""Check""))=0),"""",IFERROR(unique(filter(Prod_Prop!$H:$H,Prod_Prop!$G:$G=$U621,Prod_Prop!$E:$E=AB$1)),""""))"),"")</f>
        <v/>
      </c>
      <c r="AC621" s="4" t="str">
        <f>IF(AB621="","",SUMIFS(Prod_Prop!$J:$J,Prod_Prop!$B:$B,$Q621,Prod_Prop!$H:$H,AB621,Prod_Prop!$I:$I,AC$1)*IF(AB621="Peso",$R621,1))</f>
        <v/>
      </c>
      <c r="AD621" s="4" t="str">
        <f>IF(AB621="","",SUMIFS(Prod_Prop!$J:$J,Prod_Prop!$B:$B,$Q621,Prod_Prop!$H:$H,AB621,Prod_Prop!$I:$I,AD$1)*IF(AB621="Peso",$R621,1))</f>
        <v/>
      </c>
    </row>
    <row r="622">
      <c r="A622" s="4" t="str">
        <f t="array" ref="A622">IF(COUNTIF(A$1:A621,Cotizador!F$2)=maxifs(Familias!E:E,Familias!D:D,Cotizador!F$2),IF(COUNTIF(A$1:A621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2" s="4" t="str">
        <f t="shared" si="1"/>
        <v/>
      </c>
      <c r="C622" s="4" t="str">
        <f t="array" ref="C622">IF(B622="","",IF(A622=XLOOKUP(A$2,Implementos!B:B,Implementos!C:C,"",0,1),B622+maxifs(B$1:B621,A$1:A621,A$2),B622))</f>
        <v/>
      </c>
      <c r="D622" s="4" t="str">
        <f>IF(B622="","", COUNTIFS(Productos!F:F,A622,Productos!H:H,B622)+IF(F622="SI",0,1))</f>
        <v/>
      </c>
      <c r="E622" s="4" t="str">
        <f>IFERROR(__xludf.DUMMYFUNCTION("IF($B622="""","""",INDEX(filter(Familias!F:F,Familias!$D:$D=$A622,Familias!$E:$E=$B622),1))"),"")</f>
        <v/>
      </c>
      <c r="F622" s="4" t="str">
        <f>IFERROR(__xludf.DUMMYFUNCTION("IF($B622="""","""",INDEX(filter(Familias!G:G,Familias!$D:$D=$A622,Familias!$E:$E=$B622),1))"),"")</f>
        <v/>
      </c>
      <c r="G622" s="4" t="str">
        <f t="array" ref="G622">IF(C622=1,XLOOKUP(C622,Cotizador!D:D,Cotizador!E:E,"",0,1),"")</f>
        <v/>
      </c>
      <c r="I622" s="4"/>
      <c r="J622" s="8" t="str">
        <f>IF(I622="","",SUMIF(Cotizador!I$1:V$1,I622,Cotizador!I$2:V$2))</f>
        <v/>
      </c>
      <c r="L622" s="4" t="str">
        <f t="array" ref="L622">IF(COUNTIF(L$1:L621,A$2)=SUMIF(A:A,A$2,D:D),IF(COUNTIF(L$1:L621,XLOOKUP(A$2,Implementos!B:B,Implementos!C:C,"",0,1))=SUMIF(A:A,XLOOKUP(A$2,Implementos!B:B,Implementos!C:C,"",0,1),D:D),"",XLOOKUP(A$2,Implementos!B:B,Implementos!C:C,"",0,1)),A$2)</f>
        <v/>
      </c>
      <c r="M622" s="4" t="str">
        <f t="shared" si="2"/>
        <v/>
      </c>
      <c r="N622" s="4" t="str">
        <f t="shared" si="3"/>
        <v/>
      </c>
      <c r="O622" s="4" t="str">
        <f t="shared" si="4"/>
        <v/>
      </c>
      <c r="P622" s="4" t="str">
        <f t="shared" si="5"/>
        <v/>
      </c>
      <c r="Q622" s="4" t="str">
        <f>IF(U622="","",SUMIF(Productos!E:E,U622,Productos!A:A))</f>
        <v/>
      </c>
      <c r="R622" s="4" t="str">
        <f t="array" ref="R622">IF(L622="","", max(1,SUMIF(I:I,XLOOKUP(U622,Productos!E:E,Productos!G:G,"",0,1),J:J)))</f>
        <v/>
      </c>
      <c r="S622" s="4" t="str">
        <f>IF(Q622="","",IF(SUMIFS(Compat_Vetado!D:D,Compat_Vetado!B:B,SUM(G:G),Compat_Vetado!C:C,Q622)=1,"SI",IF(OR(SUMIF(Cotizador!E:E,Q622,Cotizador!G:G)&gt;0,SUMIFS(Compat_Vetado!D:D,Compat_Vetado!B:B,SUM(G:G),Compat_Vetado!C:C,Q622)=-1),"NO","")))</f>
        <v/>
      </c>
      <c r="T622" s="4" t="str">
        <f t="shared" si="6"/>
        <v/>
      </c>
      <c r="U622" s="4" t="str">
        <f>IFERROR(__xludf.DUMMYFUNCTION("IF(P622="""","""",IFERROR(INDEX(filter(Productos!E:E,Productos!F:F=L622,Productos!H:H=N622),P622),IF(M622=SUM(D:D),""Finalizar"",""-"")))"),"")</f>
        <v/>
      </c>
      <c r="V622" s="4" t="str">
        <f>IFERROR(__xludf.DUMMYFUNCTION("IF(OR($U622="""",COUNTIF($I:$I,IFERROR(unique(filter(Prod_Prop!$H:$H,Prod_Prop!$G:$G=$U622,Prod_Prop!$E:$E=V$1)),""Check""))=0),"""",IFERROR(unique(filter(Prod_Prop!$H:$H,Prod_Prop!$G:$G=$U622,Prod_Prop!$E:$E=V$1)),""""))"),"")</f>
        <v/>
      </c>
      <c r="W622" s="4" t="str">
        <f>IF(V622="","",SUMIFS(Prod_Prop!$J:$J,Prod_Prop!$B:$B,$Q622,Prod_Prop!$H:$H,V622,Prod_Prop!$I:$I,W$1)*IF(V622="Peso",$R622,1))</f>
        <v/>
      </c>
      <c r="X622" s="4" t="str">
        <f>IF(V622="","",SUMIFS(Prod_Prop!$J:$J,Prod_Prop!$B:$B,$Q622,Prod_Prop!$H:$H,V622,Prod_Prop!$I:$I,X$1)*IF(V622="Peso",$R622,1))</f>
        <v/>
      </c>
      <c r="Y622" s="4" t="str">
        <f>IFERROR(__xludf.DUMMYFUNCTION("IF(OR($U622="""",COUNTIF($I:$I,IFERROR(unique(filter(Prod_Prop!$H:$H,Prod_Prop!$G:$G=$U622,Prod_Prop!$E:$E=Y$1)),""Check""))=0),"""",IFERROR(unique(filter(Prod_Prop!$H:$H,Prod_Prop!$G:$G=$U622,Prod_Prop!$E:$E=Y$1)),""""))"),"")</f>
        <v/>
      </c>
      <c r="Z622" s="4" t="str">
        <f>IF(Y622="","",SUMIFS(Prod_Prop!$J:$J,Prod_Prop!$B:$B,$Q622,Prod_Prop!$H:$H,Y622,Prod_Prop!$I:$I,Z$1)*IF(Y622="Peso",$R622,1))</f>
        <v/>
      </c>
      <c r="AA622" s="4" t="str">
        <f>IF(Y622="","",SUMIFS(Prod_Prop!$J:$J,Prod_Prop!$B:$B,$Q622,Prod_Prop!$H:$H,Y622,Prod_Prop!$I:$I,AA$1)*IF(Y622="Peso",$R622,1))</f>
        <v/>
      </c>
      <c r="AB622" s="4" t="str">
        <f>IFERROR(__xludf.DUMMYFUNCTION("IF(OR($U622="""",COUNTIF($I:$I,IFERROR(unique(filter(Prod_Prop!$H:$H,Prod_Prop!$G:$G=$U622,Prod_Prop!$E:$E=AB$1)),""Check""))=0),"""",IFERROR(unique(filter(Prod_Prop!$H:$H,Prod_Prop!$G:$G=$U622,Prod_Prop!$E:$E=AB$1)),""""))"),"")</f>
        <v/>
      </c>
      <c r="AC622" s="4" t="str">
        <f>IF(AB622="","",SUMIFS(Prod_Prop!$J:$J,Prod_Prop!$B:$B,$Q622,Prod_Prop!$H:$H,AB622,Prod_Prop!$I:$I,AC$1)*IF(AB622="Peso",$R622,1))</f>
        <v/>
      </c>
      <c r="AD622" s="4" t="str">
        <f>IF(AB622="","",SUMIFS(Prod_Prop!$J:$J,Prod_Prop!$B:$B,$Q622,Prod_Prop!$H:$H,AB622,Prod_Prop!$I:$I,AD$1)*IF(AB622="Peso",$R622,1))</f>
        <v/>
      </c>
    </row>
    <row r="623">
      <c r="A623" s="4" t="str">
        <f t="array" ref="A623">IF(COUNTIF(A$1:A622,Cotizador!F$2)=maxifs(Familias!E:E,Familias!D:D,Cotizador!F$2),IF(COUNTIF(A$1:A622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3" s="4" t="str">
        <f t="shared" si="1"/>
        <v/>
      </c>
      <c r="C623" s="4" t="str">
        <f t="array" ref="C623">IF(B623="","",IF(A623=XLOOKUP(A$2,Implementos!B:B,Implementos!C:C,"",0,1),B623+maxifs(B$1:B622,A$1:A622,A$2),B623))</f>
        <v/>
      </c>
      <c r="D623" s="4" t="str">
        <f>IF(B623="","", COUNTIFS(Productos!F:F,A623,Productos!H:H,B623)+IF(F623="SI",0,1))</f>
        <v/>
      </c>
      <c r="E623" s="4" t="str">
        <f>IFERROR(__xludf.DUMMYFUNCTION("IF($B623="""","""",INDEX(filter(Familias!F:F,Familias!$D:$D=$A623,Familias!$E:$E=$B623),1))"),"")</f>
        <v/>
      </c>
      <c r="F623" s="4" t="str">
        <f>IFERROR(__xludf.DUMMYFUNCTION("IF($B623="""","""",INDEX(filter(Familias!G:G,Familias!$D:$D=$A623,Familias!$E:$E=$B623),1))"),"")</f>
        <v/>
      </c>
      <c r="G623" s="4" t="str">
        <f t="array" ref="G623">IF(C623=1,XLOOKUP(C623,Cotizador!D:D,Cotizador!E:E,"",0,1),"")</f>
        <v/>
      </c>
      <c r="I623" s="4"/>
      <c r="J623" s="8" t="str">
        <f>IF(I623="","",SUMIF(Cotizador!I$1:V$1,I623,Cotizador!I$2:V$2))</f>
        <v/>
      </c>
      <c r="L623" s="4" t="str">
        <f t="array" ref="L623">IF(COUNTIF(L$1:L622,A$2)=SUMIF(A:A,A$2,D:D),IF(COUNTIF(L$1:L622,XLOOKUP(A$2,Implementos!B:B,Implementos!C:C,"",0,1))=SUMIF(A:A,XLOOKUP(A$2,Implementos!B:B,Implementos!C:C,"",0,1),D:D),"",XLOOKUP(A$2,Implementos!B:B,Implementos!C:C,"",0,1)),A$2)</f>
        <v/>
      </c>
      <c r="M623" s="4" t="str">
        <f t="shared" si="2"/>
        <v/>
      </c>
      <c r="N623" s="4" t="str">
        <f t="shared" si="3"/>
        <v/>
      </c>
      <c r="O623" s="4" t="str">
        <f t="shared" si="4"/>
        <v/>
      </c>
      <c r="P623" s="4" t="str">
        <f t="shared" si="5"/>
        <v/>
      </c>
      <c r="Q623" s="4" t="str">
        <f>IF(U623="","",SUMIF(Productos!E:E,U623,Productos!A:A))</f>
        <v/>
      </c>
      <c r="R623" s="4" t="str">
        <f t="array" ref="R623">IF(L623="","", max(1,SUMIF(I:I,XLOOKUP(U623,Productos!E:E,Productos!G:G,"",0,1),J:J)))</f>
        <v/>
      </c>
      <c r="S623" s="4" t="str">
        <f>IF(Q623="","",IF(SUMIFS(Compat_Vetado!D:D,Compat_Vetado!B:B,SUM(G:G),Compat_Vetado!C:C,Q623)=1,"SI",IF(OR(SUMIF(Cotizador!E:E,Q623,Cotizador!G:G)&gt;0,SUMIFS(Compat_Vetado!D:D,Compat_Vetado!B:B,SUM(G:G),Compat_Vetado!C:C,Q623)=-1),"NO","")))</f>
        <v/>
      </c>
      <c r="T623" s="4" t="str">
        <f t="shared" si="6"/>
        <v/>
      </c>
      <c r="U623" s="4" t="str">
        <f>IFERROR(__xludf.DUMMYFUNCTION("IF(P623="""","""",IFERROR(INDEX(filter(Productos!E:E,Productos!F:F=L623,Productos!H:H=N623),P623),IF(M623=SUM(D:D),""Finalizar"",""-"")))"),"")</f>
        <v/>
      </c>
      <c r="V623" s="4" t="str">
        <f>IFERROR(__xludf.DUMMYFUNCTION("IF(OR($U623="""",COUNTIF($I:$I,IFERROR(unique(filter(Prod_Prop!$H:$H,Prod_Prop!$G:$G=$U623,Prod_Prop!$E:$E=V$1)),""Check""))=0),"""",IFERROR(unique(filter(Prod_Prop!$H:$H,Prod_Prop!$G:$G=$U623,Prod_Prop!$E:$E=V$1)),""""))"),"")</f>
        <v/>
      </c>
      <c r="W623" s="4" t="str">
        <f>IF(V623="","",SUMIFS(Prod_Prop!$J:$J,Prod_Prop!$B:$B,$Q623,Prod_Prop!$H:$H,V623,Prod_Prop!$I:$I,W$1)*IF(V623="Peso",$R623,1))</f>
        <v/>
      </c>
      <c r="X623" s="4" t="str">
        <f>IF(V623="","",SUMIFS(Prod_Prop!$J:$J,Prod_Prop!$B:$B,$Q623,Prod_Prop!$H:$H,V623,Prod_Prop!$I:$I,X$1)*IF(V623="Peso",$R623,1))</f>
        <v/>
      </c>
      <c r="Y623" s="4" t="str">
        <f>IFERROR(__xludf.DUMMYFUNCTION("IF(OR($U623="""",COUNTIF($I:$I,IFERROR(unique(filter(Prod_Prop!$H:$H,Prod_Prop!$G:$G=$U623,Prod_Prop!$E:$E=Y$1)),""Check""))=0),"""",IFERROR(unique(filter(Prod_Prop!$H:$H,Prod_Prop!$G:$G=$U623,Prod_Prop!$E:$E=Y$1)),""""))"),"")</f>
        <v/>
      </c>
      <c r="Z623" s="4" t="str">
        <f>IF(Y623="","",SUMIFS(Prod_Prop!$J:$J,Prod_Prop!$B:$B,$Q623,Prod_Prop!$H:$H,Y623,Prod_Prop!$I:$I,Z$1)*IF(Y623="Peso",$R623,1))</f>
        <v/>
      </c>
      <c r="AA623" s="4" t="str">
        <f>IF(Y623="","",SUMIFS(Prod_Prop!$J:$J,Prod_Prop!$B:$B,$Q623,Prod_Prop!$H:$H,Y623,Prod_Prop!$I:$I,AA$1)*IF(Y623="Peso",$R623,1))</f>
        <v/>
      </c>
      <c r="AB623" s="4" t="str">
        <f>IFERROR(__xludf.DUMMYFUNCTION("IF(OR($U623="""",COUNTIF($I:$I,IFERROR(unique(filter(Prod_Prop!$H:$H,Prod_Prop!$G:$G=$U623,Prod_Prop!$E:$E=AB$1)),""Check""))=0),"""",IFERROR(unique(filter(Prod_Prop!$H:$H,Prod_Prop!$G:$G=$U623,Prod_Prop!$E:$E=AB$1)),""""))"),"")</f>
        <v/>
      </c>
      <c r="AC623" s="4" t="str">
        <f>IF(AB623="","",SUMIFS(Prod_Prop!$J:$J,Prod_Prop!$B:$B,$Q623,Prod_Prop!$H:$H,AB623,Prod_Prop!$I:$I,AC$1)*IF(AB623="Peso",$R623,1))</f>
        <v/>
      </c>
      <c r="AD623" s="4" t="str">
        <f>IF(AB623="","",SUMIFS(Prod_Prop!$J:$J,Prod_Prop!$B:$B,$Q623,Prod_Prop!$H:$H,AB623,Prod_Prop!$I:$I,AD$1)*IF(AB623="Peso",$R623,1))</f>
        <v/>
      </c>
    </row>
    <row r="624">
      <c r="A624" s="4" t="str">
        <f t="array" ref="A624">IF(COUNTIF(A$1:A623,Cotizador!F$2)=maxifs(Familias!E:E,Familias!D:D,Cotizador!F$2),IF(COUNTIF(A$1:A623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4" s="4" t="str">
        <f t="shared" si="1"/>
        <v/>
      </c>
      <c r="C624" s="4" t="str">
        <f t="array" ref="C624">IF(B624="","",IF(A624=XLOOKUP(A$2,Implementos!B:B,Implementos!C:C,"",0,1),B624+maxifs(B$1:B623,A$1:A623,A$2),B624))</f>
        <v/>
      </c>
      <c r="D624" s="4" t="str">
        <f>IF(B624="","", COUNTIFS(Productos!F:F,A624,Productos!H:H,B624)+IF(F624="SI",0,1))</f>
        <v/>
      </c>
      <c r="E624" s="4" t="str">
        <f>IFERROR(__xludf.DUMMYFUNCTION("IF($B624="""","""",INDEX(filter(Familias!F:F,Familias!$D:$D=$A624,Familias!$E:$E=$B624),1))"),"")</f>
        <v/>
      </c>
      <c r="F624" s="4" t="str">
        <f>IFERROR(__xludf.DUMMYFUNCTION("IF($B624="""","""",INDEX(filter(Familias!G:G,Familias!$D:$D=$A624,Familias!$E:$E=$B624),1))"),"")</f>
        <v/>
      </c>
      <c r="G624" s="4" t="str">
        <f t="array" ref="G624">IF(C624=1,XLOOKUP(C624,Cotizador!D:D,Cotizador!E:E,"",0,1),"")</f>
        <v/>
      </c>
      <c r="I624" s="4"/>
      <c r="J624" s="8" t="str">
        <f>IF(I624="","",SUMIF(Cotizador!I$1:V$1,I624,Cotizador!I$2:V$2))</f>
        <v/>
      </c>
      <c r="L624" s="4" t="str">
        <f t="array" ref="L624">IF(COUNTIF(L$1:L623,A$2)=SUMIF(A:A,A$2,D:D),IF(COUNTIF(L$1:L623,XLOOKUP(A$2,Implementos!B:B,Implementos!C:C,"",0,1))=SUMIF(A:A,XLOOKUP(A$2,Implementos!B:B,Implementos!C:C,"",0,1),D:D),"",XLOOKUP(A$2,Implementos!B:B,Implementos!C:C,"",0,1)),A$2)</f>
        <v/>
      </c>
      <c r="M624" s="4" t="str">
        <f t="shared" si="2"/>
        <v/>
      </c>
      <c r="N624" s="4" t="str">
        <f t="shared" si="3"/>
        <v/>
      </c>
      <c r="O624" s="4" t="str">
        <f t="shared" si="4"/>
        <v/>
      </c>
      <c r="P624" s="4" t="str">
        <f t="shared" si="5"/>
        <v/>
      </c>
      <c r="Q624" s="4" t="str">
        <f>IF(U624="","",SUMIF(Productos!E:E,U624,Productos!A:A))</f>
        <v/>
      </c>
      <c r="R624" s="4" t="str">
        <f t="array" ref="R624">IF(L624="","", max(1,SUMIF(I:I,XLOOKUP(U624,Productos!E:E,Productos!G:G,"",0,1),J:J)))</f>
        <v/>
      </c>
      <c r="S624" s="4" t="str">
        <f>IF(Q624="","",IF(SUMIFS(Compat_Vetado!D:D,Compat_Vetado!B:B,SUM(G:G),Compat_Vetado!C:C,Q624)=1,"SI",IF(OR(SUMIF(Cotizador!E:E,Q624,Cotizador!G:G)&gt;0,SUMIFS(Compat_Vetado!D:D,Compat_Vetado!B:B,SUM(G:G),Compat_Vetado!C:C,Q624)=-1),"NO","")))</f>
        <v/>
      </c>
      <c r="T624" s="4" t="str">
        <f t="shared" si="6"/>
        <v/>
      </c>
      <c r="U624" s="4" t="str">
        <f>IFERROR(__xludf.DUMMYFUNCTION("IF(P624="""","""",IFERROR(INDEX(filter(Productos!E:E,Productos!F:F=L624,Productos!H:H=N624),P624),IF(M624=SUM(D:D),""Finalizar"",""-"")))"),"")</f>
        <v/>
      </c>
      <c r="V624" s="4" t="str">
        <f>IFERROR(__xludf.DUMMYFUNCTION("IF(OR($U624="""",COUNTIF($I:$I,IFERROR(unique(filter(Prod_Prop!$H:$H,Prod_Prop!$G:$G=$U624,Prod_Prop!$E:$E=V$1)),""Check""))=0),"""",IFERROR(unique(filter(Prod_Prop!$H:$H,Prod_Prop!$G:$G=$U624,Prod_Prop!$E:$E=V$1)),""""))"),"")</f>
        <v/>
      </c>
      <c r="W624" s="4" t="str">
        <f>IF(V624="","",SUMIFS(Prod_Prop!$J:$J,Prod_Prop!$B:$B,$Q624,Prod_Prop!$H:$H,V624,Prod_Prop!$I:$I,W$1)*IF(V624="Peso",$R624,1))</f>
        <v/>
      </c>
      <c r="X624" s="4" t="str">
        <f>IF(V624="","",SUMIFS(Prod_Prop!$J:$J,Prod_Prop!$B:$B,$Q624,Prod_Prop!$H:$H,V624,Prod_Prop!$I:$I,X$1)*IF(V624="Peso",$R624,1))</f>
        <v/>
      </c>
      <c r="Y624" s="4" t="str">
        <f>IFERROR(__xludf.DUMMYFUNCTION("IF(OR($U624="""",COUNTIF($I:$I,IFERROR(unique(filter(Prod_Prop!$H:$H,Prod_Prop!$G:$G=$U624,Prod_Prop!$E:$E=Y$1)),""Check""))=0),"""",IFERROR(unique(filter(Prod_Prop!$H:$H,Prod_Prop!$G:$G=$U624,Prod_Prop!$E:$E=Y$1)),""""))"),"")</f>
        <v/>
      </c>
      <c r="Z624" s="4" t="str">
        <f>IF(Y624="","",SUMIFS(Prod_Prop!$J:$J,Prod_Prop!$B:$B,$Q624,Prod_Prop!$H:$H,Y624,Prod_Prop!$I:$I,Z$1)*IF(Y624="Peso",$R624,1))</f>
        <v/>
      </c>
      <c r="AA624" s="4" t="str">
        <f>IF(Y624="","",SUMIFS(Prod_Prop!$J:$J,Prod_Prop!$B:$B,$Q624,Prod_Prop!$H:$H,Y624,Prod_Prop!$I:$I,AA$1)*IF(Y624="Peso",$R624,1))</f>
        <v/>
      </c>
      <c r="AB624" s="4" t="str">
        <f>IFERROR(__xludf.DUMMYFUNCTION("IF(OR($U624="""",COUNTIF($I:$I,IFERROR(unique(filter(Prod_Prop!$H:$H,Prod_Prop!$G:$G=$U624,Prod_Prop!$E:$E=AB$1)),""Check""))=0),"""",IFERROR(unique(filter(Prod_Prop!$H:$H,Prod_Prop!$G:$G=$U624,Prod_Prop!$E:$E=AB$1)),""""))"),"")</f>
        <v/>
      </c>
      <c r="AC624" s="4" t="str">
        <f>IF(AB624="","",SUMIFS(Prod_Prop!$J:$J,Prod_Prop!$B:$B,$Q624,Prod_Prop!$H:$H,AB624,Prod_Prop!$I:$I,AC$1)*IF(AB624="Peso",$R624,1))</f>
        <v/>
      </c>
      <c r="AD624" s="4" t="str">
        <f>IF(AB624="","",SUMIFS(Prod_Prop!$J:$J,Prod_Prop!$B:$B,$Q624,Prod_Prop!$H:$H,AB624,Prod_Prop!$I:$I,AD$1)*IF(AB624="Peso",$R624,1))</f>
        <v/>
      </c>
    </row>
    <row r="625">
      <c r="A625" s="4" t="str">
        <f t="array" ref="A625">IF(COUNTIF(A$1:A624,Cotizador!F$2)=maxifs(Familias!E:E,Familias!D:D,Cotizador!F$2),IF(COUNTIF(A$1:A624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5" s="4" t="str">
        <f t="shared" si="1"/>
        <v/>
      </c>
      <c r="C625" s="4" t="str">
        <f t="array" ref="C625">IF(B625="","",IF(A625=XLOOKUP(A$2,Implementos!B:B,Implementos!C:C,"",0,1),B625+maxifs(B$1:B624,A$1:A624,A$2),B625))</f>
        <v/>
      </c>
      <c r="D625" s="4" t="str">
        <f>IF(B625="","", COUNTIFS(Productos!F:F,A625,Productos!H:H,B625)+IF(F625="SI",0,1))</f>
        <v/>
      </c>
      <c r="E625" s="4" t="str">
        <f>IFERROR(__xludf.DUMMYFUNCTION("IF($B625="""","""",INDEX(filter(Familias!F:F,Familias!$D:$D=$A625,Familias!$E:$E=$B625),1))"),"")</f>
        <v/>
      </c>
      <c r="F625" s="4" t="str">
        <f>IFERROR(__xludf.DUMMYFUNCTION("IF($B625="""","""",INDEX(filter(Familias!G:G,Familias!$D:$D=$A625,Familias!$E:$E=$B625),1))"),"")</f>
        <v/>
      </c>
      <c r="G625" s="4" t="str">
        <f t="array" ref="G625">IF(C625=1,XLOOKUP(C625,Cotizador!D:D,Cotizador!E:E,"",0,1),"")</f>
        <v/>
      </c>
      <c r="I625" s="4"/>
      <c r="J625" s="8" t="str">
        <f>IF(I625="","",SUMIF(Cotizador!I$1:V$1,I625,Cotizador!I$2:V$2))</f>
        <v/>
      </c>
      <c r="L625" s="4" t="str">
        <f t="array" ref="L625">IF(COUNTIF(L$1:L624,A$2)=SUMIF(A:A,A$2,D:D),IF(COUNTIF(L$1:L624,XLOOKUP(A$2,Implementos!B:B,Implementos!C:C,"",0,1))=SUMIF(A:A,XLOOKUP(A$2,Implementos!B:B,Implementos!C:C,"",0,1),D:D),"",XLOOKUP(A$2,Implementos!B:B,Implementos!C:C,"",0,1)),A$2)</f>
        <v/>
      </c>
      <c r="M625" s="4" t="str">
        <f t="shared" si="2"/>
        <v/>
      </c>
      <c r="N625" s="4" t="str">
        <f t="shared" si="3"/>
        <v/>
      </c>
      <c r="O625" s="4" t="str">
        <f t="shared" si="4"/>
        <v/>
      </c>
      <c r="P625" s="4" t="str">
        <f t="shared" si="5"/>
        <v/>
      </c>
      <c r="Q625" s="4" t="str">
        <f>IF(U625="","",SUMIF(Productos!E:E,U625,Productos!A:A))</f>
        <v/>
      </c>
      <c r="R625" s="4" t="str">
        <f t="array" ref="R625">IF(L625="","", max(1,SUMIF(I:I,XLOOKUP(U625,Productos!E:E,Productos!G:G,"",0,1),J:J)))</f>
        <v/>
      </c>
      <c r="S625" s="4" t="str">
        <f>IF(Q625="","",IF(SUMIFS(Compat_Vetado!D:D,Compat_Vetado!B:B,SUM(G:G),Compat_Vetado!C:C,Q625)=1,"SI",IF(OR(SUMIF(Cotizador!E:E,Q625,Cotizador!G:G)&gt;0,SUMIFS(Compat_Vetado!D:D,Compat_Vetado!B:B,SUM(G:G),Compat_Vetado!C:C,Q625)=-1),"NO","")))</f>
        <v/>
      </c>
      <c r="T625" s="4" t="str">
        <f t="shared" si="6"/>
        <v/>
      </c>
      <c r="U625" s="4" t="str">
        <f>IFERROR(__xludf.DUMMYFUNCTION("IF(P625="""","""",IFERROR(INDEX(filter(Productos!E:E,Productos!F:F=L625,Productos!H:H=N625),P625),IF(M625=SUM(D:D),""Finalizar"",""-"")))"),"")</f>
        <v/>
      </c>
      <c r="V625" s="4" t="str">
        <f>IFERROR(__xludf.DUMMYFUNCTION("IF(OR($U625="""",COUNTIF($I:$I,IFERROR(unique(filter(Prod_Prop!$H:$H,Prod_Prop!$G:$G=$U625,Prod_Prop!$E:$E=V$1)),""Check""))=0),"""",IFERROR(unique(filter(Prod_Prop!$H:$H,Prod_Prop!$G:$G=$U625,Prod_Prop!$E:$E=V$1)),""""))"),"")</f>
        <v/>
      </c>
      <c r="W625" s="4" t="str">
        <f>IF(V625="","",SUMIFS(Prod_Prop!$J:$J,Prod_Prop!$B:$B,$Q625,Prod_Prop!$H:$H,V625,Prod_Prop!$I:$I,W$1)*IF(V625="Peso",$R625,1))</f>
        <v/>
      </c>
      <c r="X625" s="4" t="str">
        <f>IF(V625="","",SUMIFS(Prod_Prop!$J:$J,Prod_Prop!$B:$B,$Q625,Prod_Prop!$H:$H,V625,Prod_Prop!$I:$I,X$1)*IF(V625="Peso",$R625,1))</f>
        <v/>
      </c>
      <c r="Y625" s="4" t="str">
        <f>IFERROR(__xludf.DUMMYFUNCTION("IF(OR($U625="""",COUNTIF($I:$I,IFERROR(unique(filter(Prod_Prop!$H:$H,Prod_Prop!$G:$G=$U625,Prod_Prop!$E:$E=Y$1)),""Check""))=0),"""",IFERROR(unique(filter(Prod_Prop!$H:$H,Prod_Prop!$G:$G=$U625,Prod_Prop!$E:$E=Y$1)),""""))"),"")</f>
        <v/>
      </c>
      <c r="Z625" s="4" t="str">
        <f>IF(Y625="","",SUMIFS(Prod_Prop!$J:$J,Prod_Prop!$B:$B,$Q625,Prod_Prop!$H:$H,Y625,Prod_Prop!$I:$I,Z$1)*IF(Y625="Peso",$R625,1))</f>
        <v/>
      </c>
      <c r="AA625" s="4" t="str">
        <f>IF(Y625="","",SUMIFS(Prod_Prop!$J:$J,Prod_Prop!$B:$B,$Q625,Prod_Prop!$H:$H,Y625,Prod_Prop!$I:$I,AA$1)*IF(Y625="Peso",$R625,1))</f>
        <v/>
      </c>
      <c r="AB625" s="4" t="str">
        <f>IFERROR(__xludf.DUMMYFUNCTION("IF(OR($U625="""",COUNTIF($I:$I,IFERROR(unique(filter(Prod_Prop!$H:$H,Prod_Prop!$G:$G=$U625,Prod_Prop!$E:$E=AB$1)),""Check""))=0),"""",IFERROR(unique(filter(Prod_Prop!$H:$H,Prod_Prop!$G:$G=$U625,Prod_Prop!$E:$E=AB$1)),""""))"),"")</f>
        <v/>
      </c>
      <c r="AC625" s="4" t="str">
        <f>IF(AB625="","",SUMIFS(Prod_Prop!$J:$J,Prod_Prop!$B:$B,$Q625,Prod_Prop!$H:$H,AB625,Prod_Prop!$I:$I,AC$1)*IF(AB625="Peso",$R625,1))</f>
        <v/>
      </c>
      <c r="AD625" s="4" t="str">
        <f>IF(AB625="","",SUMIFS(Prod_Prop!$J:$J,Prod_Prop!$B:$B,$Q625,Prod_Prop!$H:$H,AB625,Prod_Prop!$I:$I,AD$1)*IF(AB625="Peso",$R625,1))</f>
        <v/>
      </c>
    </row>
    <row r="626">
      <c r="A626" s="4" t="str">
        <f t="array" ref="A626">IF(COUNTIF(A$1:A625,Cotizador!F$2)=maxifs(Familias!E:E,Familias!D:D,Cotizador!F$2),IF(COUNTIF(A$1:A625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6" s="4" t="str">
        <f t="shared" si="1"/>
        <v/>
      </c>
      <c r="C626" s="4" t="str">
        <f t="array" ref="C626">IF(B626="","",IF(A626=XLOOKUP(A$2,Implementos!B:B,Implementos!C:C,"",0,1),B626+maxifs(B$1:B625,A$1:A625,A$2),B626))</f>
        <v/>
      </c>
      <c r="D626" s="4" t="str">
        <f>IF(B626="","", COUNTIFS(Productos!F:F,A626,Productos!H:H,B626)+IF(F626="SI",0,1))</f>
        <v/>
      </c>
      <c r="E626" s="4" t="str">
        <f>IFERROR(__xludf.DUMMYFUNCTION("IF($B626="""","""",INDEX(filter(Familias!F:F,Familias!$D:$D=$A626,Familias!$E:$E=$B626),1))"),"")</f>
        <v/>
      </c>
      <c r="F626" s="4" t="str">
        <f>IFERROR(__xludf.DUMMYFUNCTION("IF($B626="""","""",INDEX(filter(Familias!G:G,Familias!$D:$D=$A626,Familias!$E:$E=$B626),1))"),"")</f>
        <v/>
      </c>
      <c r="G626" s="4" t="str">
        <f t="array" ref="G626">IF(C626=1,XLOOKUP(C626,Cotizador!D:D,Cotizador!E:E,"",0,1),"")</f>
        <v/>
      </c>
      <c r="I626" s="4"/>
      <c r="J626" s="8" t="str">
        <f>IF(I626="","",SUMIF(Cotizador!I$1:V$1,I626,Cotizador!I$2:V$2))</f>
        <v/>
      </c>
      <c r="L626" s="4" t="str">
        <f t="array" ref="L626">IF(COUNTIF(L$1:L625,A$2)=SUMIF(A:A,A$2,D:D),IF(COUNTIF(L$1:L625,XLOOKUP(A$2,Implementos!B:B,Implementos!C:C,"",0,1))=SUMIF(A:A,XLOOKUP(A$2,Implementos!B:B,Implementos!C:C,"",0,1),D:D),"",XLOOKUP(A$2,Implementos!B:B,Implementos!C:C,"",0,1)),A$2)</f>
        <v/>
      </c>
      <c r="M626" s="4" t="str">
        <f t="shared" si="2"/>
        <v/>
      </c>
      <c r="N626" s="4" t="str">
        <f t="shared" si="3"/>
        <v/>
      </c>
      <c r="O626" s="4" t="str">
        <f t="shared" si="4"/>
        <v/>
      </c>
      <c r="P626" s="4" t="str">
        <f t="shared" si="5"/>
        <v/>
      </c>
      <c r="Q626" s="4" t="str">
        <f>IF(U626="","",SUMIF(Productos!E:E,U626,Productos!A:A))</f>
        <v/>
      </c>
      <c r="R626" s="4" t="str">
        <f t="array" ref="R626">IF(L626="","", max(1,SUMIF(I:I,XLOOKUP(U626,Productos!E:E,Productos!G:G,"",0,1),J:J)))</f>
        <v/>
      </c>
      <c r="S626" s="4" t="str">
        <f>IF(Q626="","",IF(SUMIFS(Compat_Vetado!D:D,Compat_Vetado!B:B,SUM(G:G),Compat_Vetado!C:C,Q626)=1,"SI",IF(OR(SUMIF(Cotizador!E:E,Q626,Cotizador!G:G)&gt;0,SUMIFS(Compat_Vetado!D:D,Compat_Vetado!B:B,SUM(G:G),Compat_Vetado!C:C,Q626)=-1),"NO","")))</f>
        <v/>
      </c>
      <c r="T626" s="4" t="str">
        <f t="shared" si="6"/>
        <v/>
      </c>
      <c r="U626" s="4" t="str">
        <f>IFERROR(__xludf.DUMMYFUNCTION("IF(P626="""","""",IFERROR(INDEX(filter(Productos!E:E,Productos!F:F=L626,Productos!H:H=N626),P626),IF(M626=SUM(D:D),""Finalizar"",""-"")))"),"")</f>
        <v/>
      </c>
      <c r="V626" s="4" t="str">
        <f>IFERROR(__xludf.DUMMYFUNCTION("IF(OR($U626="""",COUNTIF($I:$I,IFERROR(unique(filter(Prod_Prop!$H:$H,Prod_Prop!$G:$G=$U626,Prod_Prop!$E:$E=V$1)),""Check""))=0),"""",IFERROR(unique(filter(Prod_Prop!$H:$H,Prod_Prop!$G:$G=$U626,Prod_Prop!$E:$E=V$1)),""""))"),"")</f>
        <v/>
      </c>
      <c r="W626" s="4" t="str">
        <f>IF(V626="","",SUMIFS(Prod_Prop!$J:$J,Prod_Prop!$B:$B,$Q626,Prod_Prop!$H:$H,V626,Prod_Prop!$I:$I,W$1)*IF(V626="Peso",$R626,1))</f>
        <v/>
      </c>
      <c r="X626" s="4" t="str">
        <f>IF(V626="","",SUMIFS(Prod_Prop!$J:$J,Prod_Prop!$B:$B,$Q626,Prod_Prop!$H:$H,V626,Prod_Prop!$I:$I,X$1)*IF(V626="Peso",$R626,1))</f>
        <v/>
      </c>
      <c r="Y626" s="4" t="str">
        <f>IFERROR(__xludf.DUMMYFUNCTION("IF(OR($U626="""",COUNTIF($I:$I,IFERROR(unique(filter(Prod_Prop!$H:$H,Prod_Prop!$G:$G=$U626,Prod_Prop!$E:$E=Y$1)),""Check""))=0),"""",IFERROR(unique(filter(Prod_Prop!$H:$H,Prod_Prop!$G:$G=$U626,Prod_Prop!$E:$E=Y$1)),""""))"),"")</f>
        <v/>
      </c>
      <c r="Z626" s="4" t="str">
        <f>IF(Y626="","",SUMIFS(Prod_Prop!$J:$J,Prod_Prop!$B:$B,$Q626,Prod_Prop!$H:$H,Y626,Prod_Prop!$I:$I,Z$1)*IF(Y626="Peso",$R626,1))</f>
        <v/>
      </c>
      <c r="AA626" s="4" t="str">
        <f>IF(Y626="","",SUMIFS(Prod_Prop!$J:$J,Prod_Prop!$B:$B,$Q626,Prod_Prop!$H:$H,Y626,Prod_Prop!$I:$I,AA$1)*IF(Y626="Peso",$R626,1))</f>
        <v/>
      </c>
      <c r="AB626" s="4" t="str">
        <f>IFERROR(__xludf.DUMMYFUNCTION("IF(OR($U626="""",COUNTIF($I:$I,IFERROR(unique(filter(Prod_Prop!$H:$H,Prod_Prop!$G:$G=$U626,Prod_Prop!$E:$E=AB$1)),""Check""))=0),"""",IFERROR(unique(filter(Prod_Prop!$H:$H,Prod_Prop!$G:$G=$U626,Prod_Prop!$E:$E=AB$1)),""""))"),"")</f>
        <v/>
      </c>
      <c r="AC626" s="4" t="str">
        <f>IF(AB626="","",SUMIFS(Prod_Prop!$J:$J,Prod_Prop!$B:$B,$Q626,Prod_Prop!$H:$H,AB626,Prod_Prop!$I:$I,AC$1)*IF(AB626="Peso",$R626,1))</f>
        <v/>
      </c>
      <c r="AD626" s="4" t="str">
        <f>IF(AB626="","",SUMIFS(Prod_Prop!$J:$J,Prod_Prop!$B:$B,$Q626,Prod_Prop!$H:$H,AB626,Prod_Prop!$I:$I,AD$1)*IF(AB626="Peso",$R626,1))</f>
        <v/>
      </c>
    </row>
    <row r="627">
      <c r="A627" s="4" t="str">
        <f t="array" ref="A627">IF(COUNTIF(A$1:A626,Cotizador!F$2)=maxifs(Familias!E:E,Familias!D:D,Cotizador!F$2),IF(COUNTIF(A$1:A626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7" s="4" t="str">
        <f t="shared" si="1"/>
        <v/>
      </c>
      <c r="C627" s="4" t="str">
        <f t="array" ref="C627">IF(B627="","",IF(A627=XLOOKUP(A$2,Implementos!B:B,Implementos!C:C,"",0,1),B627+maxifs(B$1:B626,A$1:A626,A$2),B627))</f>
        <v/>
      </c>
      <c r="D627" s="4" t="str">
        <f>IF(B627="","", COUNTIFS(Productos!F:F,A627,Productos!H:H,B627)+IF(F627="SI",0,1))</f>
        <v/>
      </c>
      <c r="E627" s="4" t="str">
        <f>IFERROR(__xludf.DUMMYFUNCTION("IF($B627="""","""",INDEX(filter(Familias!F:F,Familias!$D:$D=$A627,Familias!$E:$E=$B627),1))"),"")</f>
        <v/>
      </c>
      <c r="F627" s="4" t="str">
        <f>IFERROR(__xludf.DUMMYFUNCTION("IF($B627="""","""",INDEX(filter(Familias!G:G,Familias!$D:$D=$A627,Familias!$E:$E=$B627),1))"),"")</f>
        <v/>
      </c>
      <c r="G627" s="4" t="str">
        <f t="array" ref="G627">IF(C627=1,XLOOKUP(C627,Cotizador!D:D,Cotizador!E:E,"",0,1),"")</f>
        <v/>
      </c>
      <c r="I627" s="4"/>
      <c r="J627" s="8" t="str">
        <f>IF(I627="","",SUMIF(Cotizador!I$1:V$1,I627,Cotizador!I$2:V$2))</f>
        <v/>
      </c>
      <c r="L627" s="4" t="str">
        <f t="array" ref="L627">IF(COUNTIF(L$1:L626,A$2)=SUMIF(A:A,A$2,D:D),IF(COUNTIF(L$1:L626,XLOOKUP(A$2,Implementos!B:B,Implementos!C:C,"",0,1))=SUMIF(A:A,XLOOKUP(A$2,Implementos!B:B,Implementos!C:C,"",0,1),D:D),"",XLOOKUP(A$2,Implementos!B:B,Implementos!C:C,"",0,1)),A$2)</f>
        <v/>
      </c>
      <c r="M627" s="4" t="str">
        <f t="shared" si="2"/>
        <v/>
      </c>
      <c r="N627" s="4" t="str">
        <f t="shared" si="3"/>
        <v/>
      </c>
      <c r="O627" s="4" t="str">
        <f t="shared" si="4"/>
        <v/>
      </c>
      <c r="P627" s="4" t="str">
        <f t="shared" si="5"/>
        <v/>
      </c>
      <c r="Q627" s="4" t="str">
        <f>IF(U627="","",SUMIF(Productos!E:E,U627,Productos!A:A))</f>
        <v/>
      </c>
      <c r="R627" s="4" t="str">
        <f t="array" ref="R627">IF(L627="","", max(1,SUMIF(I:I,XLOOKUP(U627,Productos!E:E,Productos!G:G,"",0,1),J:J)))</f>
        <v/>
      </c>
      <c r="S627" s="4" t="str">
        <f>IF(Q627="","",IF(SUMIFS(Compat_Vetado!D:D,Compat_Vetado!B:B,SUM(G:G),Compat_Vetado!C:C,Q627)=1,"SI",IF(OR(SUMIF(Cotizador!E:E,Q627,Cotizador!G:G)&gt;0,SUMIFS(Compat_Vetado!D:D,Compat_Vetado!B:B,SUM(G:G),Compat_Vetado!C:C,Q627)=-1),"NO","")))</f>
        <v/>
      </c>
      <c r="T627" s="4" t="str">
        <f t="shared" si="6"/>
        <v/>
      </c>
      <c r="U627" s="4" t="str">
        <f>IFERROR(__xludf.DUMMYFUNCTION("IF(P627="""","""",IFERROR(INDEX(filter(Productos!E:E,Productos!F:F=L627,Productos!H:H=N627),P627),IF(M627=SUM(D:D),""Finalizar"",""-"")))"),"")</f>
        <v/>
      </c>
      <c r="V627" s="4" t="str">
        <f>IFERROR(__xludf.DUMMYFUNCTION("IF(OR($U627="""",COUNTIF($I:$I,IFERROR(unique(filter(Prod_Prop!$H:$H,Prod_Prop!$G:$G=$U627,Prod_Prop!$E:$E=V$1)),""Check""))=0),"""",IFERROR(unique(filter(Prod_Prop!$H:$H,Prod_Prop!$G:$G=$U627,Prod_Prop!$E:$E=V$1)),""""))"),"")</f>
        <v/>
      </c>
      <c r="W627" s="4" t="str">
        <f>IF(V627="","",SUMIFS(Prod_Prop!$J:$J,Prod_Prop!$B:$B,$Q627,Prod_Prop!$H:$H,V627,Prod_Prop!$I:$I,W$1)*IF(V627="Peso",$R627,1))</f>
        <v/>
      </c>
      <c r="X627" s="4" t="str">
        <f>IF(V627="","",SUMIFS(Prod_Prop!$J:$J,Prod_Prop!$B:$B,$Q627,Prod_Prop!$H:$H,V627,Prod_Prop!$I:$I,X$1)*IF(V627="Peso",$R627,1))</f>
        <v/>
      </c>
      <c r="Y627" s="4" t="str">
        <f>IFERROR(__xludf.DUMMYFUNCTION("IF(OR($U627="""",COUNTIF($I:$I,IFERROR(unique(filter(Prod_Prop!$H:$H,Prod_Prop!$G:$G=$U627,Prod_Prop!$E:$E=Y$1)),""Check""))=0),"""",IFERROR(unique(filter(Prod_Prop!$H:$H,Prod_Prop!$G:$G=$U627,Prod_Prop!$E:$E=Y$1)),""""))"),"")</f>
        <v/>
      </c>
      <c r="Z627" s="4" t="str">
        <f>IF(Y627="","",SUMIFS(Prod_Prop!$J:$J,Prod_Prop!$B:$B,$Q627,Prod_Prop!$H:$H,Y627,Prod_Prop!$I:$I,Z$1)*IF(Y627="Peso",$R627,1))</f>
        <v/>
      </c>
      <c r="AA627" s="4" t="str">
        <f>IF(Y627="","",SUMIFS(Prod_Prop!$J:$J,Prod_Prop!$B:$B,$Q627,Prod_Prop!$H:$H,Y627,Prod_Prop!$I:$I,AA$1)*IF(Y627="Peso",$R627,1))</f>
        <v/>
      </c>
      <c r="AB627" s="4" t="str">
        <f>IFERROR(__xludf.DUMMYFUNCTION("IF(OR($U627="""",COUNTIF($I:$I,IFERROR(unique(filter(Prod_Prop!$H:$H,Prod_Prop!$G:$G=$U627,Prod_Prop!$E:$E=AB$1)),""Check""))=0),"""",IFERROR(unique(filter(Prod_Prop!$H:$H,Prod_Prop!$G:$G=$U627,Prod_Prop!$E:$E=AB$1)),""""))"),"")</f>
        <v/>
      </c>
      <c r="AC627" s="4" t="str">
        <f>IF(AB627="","",SUMIFS(Prod_Prop!$J:$J,Prod_Prop!$B:$B,$Q627,Prod_Prop!$H:$H,AB627,Prod_Prop!$I:$I,AC$1)*IF(AB627="Peso",$R627,1))</f>
        <v/>
      </c>
      <c r="AD627" s="4" t="str">
        <f>IF(AB627="","",SUMIFS(Prod_Prop!$J:$J,Prod_Prop!$B:$B,$Q627,Prod_Prop!$H:$H,AB627,Prod_Prop!$I:$I,AD$1)*IF(AB627="Peso",$R627,1))</f>
        <v/>
      </c>
    </row>
    <row r="628">
      <c r="A628" s="4" t="str">
        <f t="array" ref="A628">IF(COUNTIF(A$1:A627,Cotizador!F$2)=maxifs(Familias!E:E,Familias!D:D,Cotizador!F$2),IF(COUNTIF(A$1:A627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8" s="4" t="str">
        <f t="shared" si="1"/>
        <v/>
      </c>
      <c r="C628" s="4" t="str">
        <f t="array" ref="C628">IF(B628="","",IF(A628=XLOOKUP(A$2,Implementos!B:B,Implementos!C:C,"",0,1),B628+maxifs(B$1:B627,A$1:A627,A$2),B628))</f>
        <v/>
      </c>
      <c r="D628" s="4" t="str">
        <f>IF(B628="","", COUNTIFS(Productos!F:F,A628,Productos!H:H,B628)+IF(F628="SI",0,1))</f>
        <v/>
      </c>
      <c r="E628" s="4" t="str">
        <f>IFERROR(__xludf.DUMMYFUNCTION("IF($B628="""","""",INDEX(filter(Familias!F:F,Familias!$D:$D=$A628,Familias!$E:$E=$B628),1))"),"")</f>
        <v/>
      </c>
      <c r="F628" s="4" t="str">
        <f>IFERROR(__xludf.DUMMYFUNCTION("IF($B628="""","""",INDEX(filter(Familias!G:G,Familias!$D:$D=$A628,Familias!$E:$E=$B628),1))"),"")</f>
        <v/>
      </c>
      <c r="G628" s="4" t="str">
        <f t="array" ref="G628">IF(C628=1,XLOOKUP(C628,Cotizador!D:D,Cotizador!E:E,"",0,1),"")</f>
        <v/>
      </c>
      <c r="I628" s="4"/>
      <c r="J628" s="8" t="str">
        <f>IF(I628="","",SUMIF(Cotizador!I$1:V$1,I628,Cotizador!I$2:V$2))</f>
        <v/>
      </c>
      <c r="L628" s="4" t="str">
        <f t="array" ref="L628">IF(COUNTIF(L$1:L627,A$2)=SUMIF(A:A,A$2,D:D),IF(COUNTIF(L$1:L627,XLOOKUP(A$2,Implementos!B:B,Implementos!C:C,"",0,1))=SUMIF(A:A,XLOOKUP(A$2,Implementos!B:B,Implementos!C:C,"",0,1),D:D),"",XLOOKUP(A$2,Implementos!B:B,Implementos!C:C,"",0,1)),A$2)</f>
        <v/>
      </c>
      <c r="M628" s="4" t="str">
        <f t="shared" si="2"/>
        <v/>
      </c>
      <c r="N628" s="4" t="str">
        <f t="shared" si="3"/>
        <v/>
      </c>
      <c r="O628" s="4" t="str">
        <f t="shared" si="4"/>
        <v/>
      </c>
      <c r="P628" s="4" t="str">
        <f t="shared" si="5"/>
        <v/>
      </c>
      <c r="Q628" s="4" t="str">
        <f>IF(U628="","",SUMIF(Productos!E:E,U628,Productos!A:A))</f>
        <v/>
      </c>
      <c r="R628" s="4" t="str">
        <f t="array" ref="R628">IF(L628="","", max(1,SUMIF(I:I,XLOOKUP(U628,Productos!E:E,Productos!G:G,"",0,1),J:J)))</f>
        <v/>
      </c>
      <c r="S628" s="4" t="str">
        <f>IF(Q628="","",IF(SUMIFS(Compat_Vetado!D:D,Compat_Vetado!B:B,SUM(G:G),Compat_Vetado!C:C,Q628)=1,"SI",IF(OR(SUMIF(Cotizador!E:E,Q628,Cotizador!G:G)&gt;0,SUMIFS(Compat_Vetado!D:D,Compat_Vetado!B:B,SUM(G:G),Compat_Vetado!C:C,Q628)=-1),"NO","")))</f>
        <v/>
      </c>
      <c r="T628" s="4" t="str">
        <f t="shared" si="6"/>
        <v/>
      </c>
      <c r="U628" s="4" t="str">
        <f>IFERROR(__xludf.DUMMYFUNCTION("IF(P628="""","""",IFERROR(INDEX(filter(Productos!E:E,Productos!F:F=L628,Productos!H:H=N628),P628),IF(M628=SUM(D:D),""Finalizar"",""-"")))"),"")</f>
        <v/>
      </c>
      <c r="V628" s="4" t="str">
        <f>IFERROR(__xludf.DUMMYFUNCTION("IF(OR($U628="""",COUNTIF($I:$I,IFERROR(unique(filter(Prod_Prop!$H:$H,Prod_Prop!$G:$G=$U628,Prod_Prop!$E:$E=V$1)),""Check""))=0),"""",IFERROR(unique(filter(Prod_Prop!$H:$H,Prod_Prop!$G:$G=$U628,Prod_Prop!$E:$E=V$1)),""""))"),"")</f>
        <v/>
      </c>
      <c r="W628" s="4" t="str">
        <f>IF(V628="","",SUMIFS(Prod_Prop!$J:$J,Prod_Prop!$B:$B,$Q628,Prod_Prop!$H:$H,V628,Prod_Prop!$I:$I,W$1)*IF(V628="Peso",$R628,1))</f>
        <v/>
      </c>
      <c r="X628" s="4" t="str">
        <f>IF(V628="","",SUMIFS(Prod_Prop!$J:$J,Prod_Prop!$B:$B,$Q628,Prod_Prop!$H:$H,V628,Prod_Prop!$I:$I,X$1)*IF(V628="Peso",$R628,1))</f>
        <v/>
      </c>
      <c r="Y628" s="4" t="str">
        <f>IFERROR(__xludf.DUMMYFUNCTION("IF(OR($U628="""",COUNTIF($I:$I,IFERROR(unique(filter(Prod_Prop!$H:$H,Prod_Prop!$G:$G=$U628,Prod_Prop!$E:$E=Y$1)),""Check""))=0),"""",IFERROR(unique(filter(Prod_Prop!$H:$H,Prod_Prop!$G:$G=$U628,Prod_Prop!$E:$E=Y$1)),""""))"),"")</f>
        <v/>
      </c>
      <c r="Z628" s="4" t="str">
        <f>IF(Y628="","",SUMIFS(Prod_Prop!$J:$J,Prod_Prop!$B:$B,$Q628,Prod_Prop!$H:$H,Y628,Prod_Prop!$I:$I,Z$1)*IF(Y628="Peso",$R628,1))</f>
        <v/>
      </c>
      <c r="AA628" s="4" t="str">
        <f>IF(Y628="","",SUMIFS(Prod_Prop!$J:$J,Prod_Prop!$B:$B,$Q628,Prod_Prop!$H:$H,Y628,Prod_Prop!$I:$I,AA$1)*IF(Y628="Peso",$R628,1))</f>
        <v/>
      </c>
      <c r="AB628" s="4" t="str">
        <f>IFERROR(__xludf.DUMMYFUNCTION("IF(OR($U628="""",COUNTIF($I:$I,IFERROR(unique(filter(Prod_Prop!$H:$H,Prod_Prop!$G:$G=$U628,Prod_Prop!$E:$E=AB$1)),""Check""))=0),"""",IFERROR(unique(filter(Prod_Prop!$H:$H,Prod_Prop!$G:$G=$U628,Prod_Prop!$E:$E=AB$1)),""""))"),"")</f>
        <v/>
      </c>
      <c r="AC628" s="4" t="str">
        <f>IF(AB628="","",SUMIFS(Prod_Prop!$J:$J,Prod_Prop!$B:$B,$Q628,Prod_Prop!$H:$H,AB628,Prod_Prop!$I:$I,AC$1)*IF(AB628="Peso",$R628,1))</f>
        <v/>
      </c>
      <c r="AD628" s="4" t="str">
        <f>IF(AB628="","",SUMIFS(Prod_Prop!$J:$J,Prod_Prop!$B:$B,$Q628,Prod_Prop!$H:$H,AB628,Prod_Prop!$I:$I,AD$1)*IF(AB628="Peso",$R628,1))</f>
        <v/>
      </c>
    </row>
    <row r="629">
      <c r="A629" s="4" t="str">
        <f t="array" ref="A629">IF(COUNTIF(A$1:A628,Cotizador!F$2)=maxifs(Familias!E:E,Familias!D:D,Cotizador!F$2),IF(COUNTIF(A$1:A628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29" s="4" t="str">
        <f t="shared" si="1"/>
        <v/>
      </c>
      <c r="C629" s="4" t="str">
        <f t="array" ref="C629">IF(B629="","",IF(A629=XLOOKUP(A$2,Implementos!B:B,Implementos!C:C,"",0,1),B629+maxifs(B$1:B628,A$1:A628,A$2),B629))</f>
        <v/>
      </c>
      <c r="D629" s="4" t="str">
        <f>IF(B629="","", COUNTIFS(Productos!F:F,A629,Productos!H:H,B629)+IF(F629="SI",0,1))</f>
        <v/>
      </c>
      <c r="E629" s="4" t="str">
        <f>IFERROR(__xludf.DUMMYFUNCTION("IF($B629="""","""",INDEX(filter(Familias!F:F,Familias!$D:$D=$A629,Familias!$E:$E=$B629),1))"),"")</f>
        <v/>
      </c>
      <c r="F629" s="4" t="str">
        <f>IFERROR(__xludf.DUMMYFUNCTION("IF($B629="""","""",INDEX(filter(Familias!G:G,Familias!$D:$D=$A629,Familias!$E:$E=$B629),1))"),"")</f>
        <v/>
      </c>
      <c r="G629" s="4" t="str">
        <f t="array" ref="G629">IF(C629=1,XLOOKUP(C629,Cotizador!D:D,Cotizador!E:E,"",0,1),"")</f>
        <v/>
      </c>
      <c r="I629" s="4"/>
      <c r="J629" s="8" t="str">
        <f>IF(I629="","",SUMIF(Cotizador!I$1:V$1,I629,Cotizador!I$2:V$2))</f>
        <v/>
      </c>
      <c r="L629" s="4" t="str">
        <f t="array" ref="L629">IF(COUNTIF(L$1:L628,A$2)=SUMIF(A:A,A$2,D:D),IF(COUNTIF(L$1:L628,XLOOKUP(A$2,Implementos!B:B,Implementos!C:C,"",0,1))=SUMIF(A:A,XLOOKUP(A$2,Implementos!B:B,Implementos!C:C,"",0,1),D:D),"",XLOOKUP(A$2,Implementos!B:B,Implementos!C:C,"",0,1)),A$2)</f>
        <v/>
      </c>
      <c r="M629" s="4" t="str">
        <f t="shared" si="2"/>
        <v/>
      </c>
      <c r="N629" s="4" t="str">
        <f t="shared" si="3"/>
        <v/>
      </c>
      <c r="O629" s="4" t="str">
        <f t="shared" si="4"/>
        <v/>
      </c>
      <c r="P629" s="4" t="str">
        <f t="shared" si="5"/>
        <v/>
      </c>
      <c r="Q629" s="4" t="str">
        <f>IF(U629="","",SUMIF(Productos!E:E,U629,Productos!A:A))</f>
        <v/>
      </c>
      <c r="R629" s="4" t="str">
        <f t="array" ref="R629">IF(L629="","", max(1,SUMIF(I:I,XLOOKUP(U629,Productos!E:E,Productos!G:G,"",0,1),J:J)))</f>
        <v/>
      </c>
      <c r="S629" s="4" t="str">
        <f>IF(Q629="","",IF(SUMIFS(Compat_Vetado!D:D,Compat_Vetado!B:B,SUM(G:G),Compat_Vetado!C:C,Q629)=1,"SI",IF(OR(SUMIF(Cotizador!E:E,Q629,Cotizador!G:G)&gt;0,SUMIFS(Compat_Vetado!D:D,Compat_Vetado!B:B,SUM(G:G),Compat_Vetado!C:C,Q629)=-1),"NO","")))</f>
        <v/>
      </c>
      <c r="T629" s="4" t="str">
        <f t="shared" si="6"/>
        <v/>
      </c>
      <c r="U629" s="4" t="str">
        <f>IFERROR(__xludf.DUMMYFUNCTION("IF(P629="""","""",IFERROR(INDEX(filter(Productos!E:E,Productos!F:F=L629,Productos!H:H=N629),P629),IF(M629=SUM(D:D),""Finalizar"",""-"")))"),"")</f>
        <v/>
      </c>
      <c r="V629" s="4" t="str">
        <f>IFERROR(__xludf.DUMMYFUNCTION("IF(OR($U629="""",COUNTIF($I:$I,IFERROR(unique(filter(Prod_Prop!$H:$H,Prod_Prop!$G:$G=$U629,Prod_Prop!$E:$E=V$1)),""Check""))=0),"""",IFERROR(unique(filter(Prod_Prop!$H:$H,Prod_Prop!$G:$G=$U629,Prod_Prop!$E:$E=V$1)),""""))"),"")</f>
        <v/>
      </c>
      <c r="W629" s="4" t="str">
        <f>IF(V629="","",SUMIFS(Prod_Prop!$J:$J,Prod_Prop!$B:$B,$Q629,Prod_Prop!$H:$H,V629,Prod_Prop!$I:$I,W$1)*IF(V629="Peso",$R629,1))</f>
        <v/>
      </c>
      <c r="X629" s="4" t="str">
        <f>IF(V629="","",SUMIFS(Prod_Prop!$J:$J,Prod_Prop!$B:$B,$Q629,Prod_Prop!$H:$H,V629,Prod_Prop!$I:$I,X$1)*IF(V629="Peso",$R629,1))</f>
        <v/>
      </c>
      <c r="Y629" s="4" t="str">
        <f>IFERROR(__xludf.DUMMYFUNCTION("IF(OR($U629="""",COUNTIF($I:$I,IFERROR(unique(filter(Prod_Prop!$H:$H,Prod_Prop!$G:$G=$U629,Prod_Prop!$E:$E=Y$1)),""Check""))=0),"""",IFERROR(unique(filter(Prod_Prop!$H:$H,Prod_Prop!$G:$G=$U629,Prod_Prop!$E:$E=Y$1)),""""))"),"")</f>
        <v/>
      </c>
      <c r="Z629" s="4" t="str">
        <f>IF(Y629="","",SUMIFS(Prod_Prop!$J:$J,Prod_Prop!$B:$B,$Q629,Prod_Prop!$H:$H,Y629,Prod_Prop!$I:$I,Z$1)*IF(Y629="Peso",$R629,1))</f>
        <v/>
      </c>
      <c r="AA629" s="4" t="str">
        <f>IF(Y629="","",SUMIFS(Prod_Prop!$J:$J,Prod_Prop!$B:$B,$Q629,Prod_Prop!$H:$H,Y629,Prod_Prop!$I:$I,AA$1)*IF(Y629="Peso",$R629,1))</f>
        <v/>
      </c>
      <c r="AB629" s="4" t="str">
        <f>IFERROR(__xludf.DUMMYFUNCTION("IF(OR($U629="""",COUNTIF($I:$I,IFERROR(unique(filter(Prod_Prop!$H:$H,Prod_Prop!$G:$G=$U629,Prod_Prop!$E:$E=AB$1)),""Check""))=0),"""",IFERROR(unique(filter(Prod_Prop!$H:$H,Prod_Prop!$G:$G=$U629,Prod_Prop!$E:$E=AB$1)),""""))"),"")</f>
        <v/>
      </c>
      <c r="AC629" s="4" t="str">
        <f>IF(AB629="","",SUMIFS(Prod_Prop!$J:$J,Prod_Prop!$B:$B,$Q629,Prod_Prop!$H:$H,AB629,Prod_Prop!$I:$I,AC$1)*IF(AB629="Peso",$R629,1))</f>
        <v/>
      </c>
      <c r="AD629" s="4" t="str">
        <f>IF(AB629="","",SUMIFS(Prod_Prop!$J:$J,Prod_Prop!$B:$B,$Q629,Prod_Prop!$H:$H,AB629,Prod_Prop!$I:$I,AD$1)*IF(AB629="Peso",$R629,1))</f>
        <v/>
      </c>
    </row>
    <row r="630">
      <c r="A630" s="4" t="str">
        <f t="array" ref="A630">IF(COUNTIF(A$1:A629,Cotizador!F$2)=maxifs(Familias!E:E,Familias!D:D,Cotizador!F$2),IF(COUNTIF(A$1:A629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0" s="4" t="str">
        <f t="shared" si="1"/>
        <v/>
      </c>
      <c r="C630" s="4" t="str">
        <f t="array" ref="C630">IF(B630="","",IF(A630=XLOOKUP(A$2,Implementos!B:B,Implementos!C:C,"",0,1),B630+maxifs(B$1:B629,A$1:A629,A$2),B630))</f>
        <v/>
      </c>
      <c r="D630" s="4" t="str">
        <f>IF(B630="","", COUNTIFS(Productos!F:F,A630,Productos!H:H,B630)+IF(F630="SI",0,1))</f>
        <v/>
      </c>
      <c r="E630" s="4" t="str">
        <f>IFERROR(__xludf.DUMMYFUNCTION("IF($B630="""","""",INDEX(filter(Familias!F:F,Familias!$D:$D=$A630,Familias!$E:$E=$B630),1))"),"")</f>
        <v/>
      </c>
      <c r="F630" s="4" t="str">
        <f>IFERROR(__xludf.DUMMYFUNCTION("IF($B630="""","""",INDEX(filter(Familias!G:G,Familias!$D:$D=$A630,Familias!$E:$E=$B630),1))"),"")</f>
        <v/>
      </c>
      <c r="G630" s="4" t="str">
        <f t="array" ref="G630">IF(C630=1,XLOOKUP(C630,Cotizador!D:D,Cotizador!E:E,"",0,1),"")</f>
        <v/>
      </c>
      <c r="I630" s="4"/>
      <c r="J630" s="8" t="str">
        <f>IF(I630="","",SUMIF(Cotizador!I$1:V$1,I630,Cotizador!I$2:V$2))</f>
        <v/>
      </c>
      <c r="L630" s="4" t="str">
        <f t="array" ref="L630">IF(COUNTIF(L$1:L629,A$2)=SUMIF(A:A,A$2,D:D),IF(COUNTIF(L$1:L629,XLOOKUP(A$2,Implementos!B:B,Implementos!C:C,"",0,1))=SUMIF(A:A,XLOOKUP(A$2,Implementos!B:B,Implementos!C:C,"",0,1),D:D),"",XLOOKUP(A$2,Implementos!B:B,Implementos!C:C,"",0,1)),A$2)</f>
        <v/>
      </c>
      <c r="M630" s="4" t="str">
        <f t="shared" si="2"/>
        <v/>
      </c>
      <c r="N630" s="4" t="str">
        <f t="shared" si="3"/>
        <v/>
      </c>
      <c r="O630" s="4" t="str">
        <f t="shared" si="4"/>
        <v/>
      </c>
      <c r="P630" s="4" t="str">
        <f t="shared" si="5"/>
        <v/>
      </c>
      <c r="Q630" s="4" t="str">
        <f>IF(U630="","",SUMIF(Productos!E:E,U630,Productos!A:A))</f>
        <v/>
      </c>
      <c r="R630" s="4" t="str">
        <f t="array" ref="R630">IF(L630="","", max(1,SUMIF(I:I,XLOOKUP(U630,Productos!E:E,Productos!G:G,"",0,1),J:J)))</f>
        <v/>
      </c>
      <c r="S630" s="4" t="str">
        <f>IF(Q630="","",IF(SUMIFS(Compat_Vetado!D:D,Compat_Vetado!B:B,SUM(G:G),Compat_Vetado!C:C,Q630)=1,"SI",IF(OR(SUMIF(Cotizador!E:E,Q630,Cotizador!G:G)&gt;0,SUMIFS(Compat_Vetado!D:D,Compat_Vetado!B:B,SUM(G:G),Compat_Vetado!C:C,Q630)=-1),"NO","")))</f>
        <v/>
      </c>
      <c r="T630" s="4" t="str">
        <f t="shared" si="6"/>
        <v/>
      </c>
      <c r="U630" s="4" t="str">
        <f>IFERROR(__xludf.DUMMYFUNCTION("IF(P630="""","""",IFERROR(INDEX(filter(Productos!E:E,Productos!F:F=L630,Productos!H:H=N630),P630),IF(M630=SUM(D:D),""Finalizar"",""-"")))"),"")</f>
        <v/>
      </c>
      <c r="V630" s="4" t="str">
        <f>IFERROR(__xludf.DUMMYFUNCTION("IF(OR($U630="""",COUNTIF($I:$I,IFERROR(unique(filter(Prod_Prop!$H:$H,Prod_Prop!$G:$G=$U630,Prod_Prop!$E:$E=V$1)),""Check""))=0),"""",IFERROR(unique(filter(Prod_Prop!$H:$H,Prod_Prop!$G:$G=$U630,Prod_Prop!$E:$E=V$1)),""""))"),"")</f>
        <v/>
      </c>
      <c r="W630" s="4" t="str">
        <f>IF(V630="","",SUMIFS(Prod_Prop!$J:$J,Prod_Prop!$B:$B,$Q630,Prod_Prop!$H:$H,V630,Prod_Prop!$I:$I,W$1)*IF(V630="Peso",$R630,1))</f>
        <v/>
      </c>
      <c r="X630" s="4" t="str">
        <f>IF(V630="","",SUMIFS(Prod_Prop!$J:$J,Prod_Prop!$B:$B,$Q630,Prod_Prop!$H:$H,V630,Prod_Prop!$I:$I,X$1)*IF(V630="Peso",$R630,1))</f>
        <v/>
      </c>
      <c r="Y630" s="4" t="str">
        <f>IFERROR(__xludf.DUMMYFUNCTION("IF(OR($U630="""",COUNTIF($I:$I,IFERROR(unique(filter(Prod_Prop!$H:$H,Prod_Prop!$G:$G=$U630,Prod_Prop!$E:$E=Y$1)),""Check""))=0),"""",IFERROR(unique(filter(Prod_Prop!$H:$H,Prod_Prop!$G:$G=$U630,Prod_Prop!$E:$E=Y$1)),""""))"),"")</f>
        <v/>
      </c>
      <c r="Z630" s="4" t="str">
        <f>IF(Y630="","",SUMIFS(Prod_Prop!$J:$J,Prod_Prop!$B:$B,$Q630,Prod_Prop!$H:$H,Y630,Prod_Prop!$I:$I,Z$1)*IF(Y630="Peso",$R630,1))</f>
        <v/>
      </c>
      <c r="AA630" s="4" t="str">
        <f>IF(Y630="","",SUMIFS(Prod_Prop!$J:$J,Prod_Prop!$B:$B,$Q630,Prod_Prop!$H:$H,Y630,Prod_Prop!$I:$I,AA$1)*IF(Y630="Peso",$R630,1))</f>
        <v/>
      </c>
      <c r="AB630" s="4" t="str">
        <f>IFERROR(__xludf.DUMMYFUNCTION("IF(OR($U630="""",COUNTIF($I:$I,IFERROR(unique(filter(Prod_Prop!$H:$H,Prod_Prop!$G:$G=$U630,Prod_Prop!$E:$E=AB$1)),""Check""))=0),"""",IFERROR(unique(filter(Prod_Prop!$H:$H,Prod_Prop!$G:$G=$U630,Prod_Prop!$E:$E=AB$1)),""""))"),"")</f>
        <v/>
      </c>
      <c r="AC630" s="4" t="str">
        <f>IF(AB630="","",SUMIFS(Prod_Prop!$J:$J,Prod_Prop!$B:$B,$Q630,Prod_Prop!$H:$H,AB630,Prod_Prop!$I:$I,AC$1)*IF(AB630="Peso",$R630,1))</f>
        <v/>
      </c>
      <c r="AD630" s="4" t="str">
        <f>IF(AB630="","",SUMIFS(Prod_Prop!$J:$J,Prod_Prop!$B:$B,$Q630,Prod_Prop!$H:$H,AB630,Prod_Prop!$I:$I,AD$1)*IF(AB630="Peso",$R630,1))</f>
        <v/>
      </c>
    </row>
    <row r="631">
      <c r="A631" s="4" t="str">
        <f t="array" ref="A631">IF(COUNTIF(A$1:A630,Cotizador!F$2)=maxifs(Familias!E:E,Familias!D:D,Cotizador!F$2),IF(COUNTIF(A$1:A630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1" s="4" t="str">
        <f t="shared" si="1"/>
        <v/>
      </c>
      <c r="C631" s="4" t="str">
        <f t="array" ref="C631">IF(B631="","",IF(A631=XLOOKUP(A$2,Implementos!B:B,Implementos!C:C,"",0,1),B631+maxifs(B$1:B630,A$1:A630,A$2),B631))</f>
        <v/>
      </c>
      <c r="D631" s="4" t="str">
        <f>IF(B631="","", COUNTIFS(Productos!F:F,A631,Productos!H:H,B631)+IF(F631="SI",0,1))</f>
        <v/>
      </c>
      <c r="E631" s="4" t="str">
        <f>IFERROR(__xludf.DUMMYFUNCTION("IF($B631="""","""",INDEX(filter(Familias!F:F,Familias!$D:$D=$A631,Familias!$E:$E=$B631),1))"),"")</f>
        <v/>
      </c>
      <c r="F631" s="4" t="str">
        <f>IFERROR(__xludf.DUMMYFUNCTION("IF($B631="""","""",INDEX(filter(Familias!G:G,Familias!$D:$D=$A631,Familias!$E:$E=$B631),1))"),"")</f>
        <v/>
      </c>
      <c r="G631" s="4" t="str">
        <f t="array" ref="G631">IF(C631=1,XLOOKUP(C631,Cotizador!D:D,Cotizador!E:E,"",0,1),"")</f>
        <v/>
      </c>
      <c r="I631" s="4"/>
      <c r="J631" s="8" t="str">
        <f>IF(I631="","",SUMIF(Cotizador!I$1:V$1,I631,Cotizador!I$2:V$2))</f>
        <v/>
      </c>
      <c r="L631" s="4" t="str">
        <f t="array" ref="L631">IF(COUNTIF(L$1:L630,A$2)=SUMIF(A:A,A$2,D:D),IF(COUNTIF(L$1:L630,XLOOKUP(A$2,Implementos!B:B,Implementos!C:C,"",0,1))=SUMIF(A:A,XLOOKUP(A$2,Implementos!B:B,Implementos!C:C,"",0,1),D:D),"",XLOOKUP(A$2,Implementos!B:B,Implementos!C:C,"",0,1)),A$2)</f>
        <v/>
      </c>
      <c r="M631" s="4" t="str">
        <f t="shared" si="2"/>
        <v/>
      </c>
      <c r="N631" s="4" t="str">
        <f t="shared" si="3"/>
        <v/>
      </c>
      <c r="O631" s="4" t="str">
        <f t="shared" si="4"/>
        <v/>
      </c>
      <c r="P631" s="4" t="str">
        <f t="shared" si="5"/>
        <v/>
      </c>
      <c r="Q631" s="4" t="str">
        <f>IF(U631="","",SUMIF(Productos!E:E,U631,Productos!A:A))</f>
        <v/>
      </c>
      <c r="R631" s="4" t="str">
        <f t="array" ref="R631">IF(L631="","", max(1,SUMIF(I:I,XLOOKUP(U631,Productos!E:E,Productos!G:G,"",0,1),J:J)))</f>
        <v/>
      </c>
      <c r="S631" s="4" t="str">
        <f>IF(Q631="","",IF(SUMIFS(Compat_Vetado!D:D,Compat_Vetado!B:B,SUM(G:G),Compat_Vetado!C:C,Q631)=1,"SI",IF(OR(SUMIF(Cotizador!E:E,Q631,Cotizador!G:G)&gt;0,SUMIFS(Compat_Vetado!D:D,Compat_Vetado!B:B,SUM(G:G),Compat_Vetado!C:C,Q631)=-1),"NO","")))</f>
        <v/>
      </c>
      <c r="T631" s="4" t="str">
        <f t="shared" si="6"/>
        <v/>
      </c>
      <c r="U631" s="4" t="str">
        <f>IFERROR(__xludf.DUMMYFUNCTION("IF(P631="""","""",IFERROR(INDEX(filter(Productos!E:E,Productos!F:F=L631,Productos!H:H=N631),P631),IF(M631=SUM(D:D),""Finalizar"",""-"")))"),"")</f>
        <v/>
      </c>
      <c r="V631" s="4" t="str">
        <f>IFERROR(__xludf.DUMMYFUNCTION("IF(OR($U631="""",COUNTIF($I:$I,IFERROR(unique(filter(Prod_Prop!$H:$H,Prod_Prop!$G:$G=$U631,Prod_Prop!$E:$E=V$1)),""Check""))=0),"""",IFERROR(unique(filter(Prod_Prop!$H:$H,Prod_Prop!$G:$G=$U631,Prod_Prop!$E:$E=V$1)),""""))"),"")</f>
        <v/>
      </c>
      <c r="W631" s="4" t="str">
        <f>IF(V631="","",SUMIFS(Prod_Prop!$J:$J,Prod_Prop!$B:$B,$Q631,Prod_Prop!$H:$H,V631,Prod_Prop!$I:$I,W$1)*IF(V631="Peso",$R631,1))</f>
        <v/>
      </c>
      <c r="X631" s="4" t="str">
        <f>IF(V631="","",SUMIFS(Prod_Prop!$J:$J,Prod_Prop!$B:$B,$Q631,Prod_Prop!$H:$H,V631,Prod_Prop!$I:$I,X$1)*IF(V631="Peso",$R631,1))</f>
        <v/>
      </c>
      <c r="Y631" s="4" t="str">
        <f>IFERROR(__xludf.DUMMYFUNCTION("IF(OR($U631="""",COUNTIF($I:$I,IFERROR(unique(filter(Prod_Prop!$H:$H,Prod_Prop!$G:$G=$U631,Prod_Prop!$E:$E=Y$1)),""Check""))=0),"""",IFERROR(unique(filter(Prod_Prop!$H:$H,Prod_Prop!$G:$G=$U631,Prod_Prop!$E:$E=Y$1)),""""))"),"")</f>
        <v/>
      </c>
      <c r="Z631" s="4" t="str">
        <f>IF(Y631="","",SUMIFS(Prod_Prop!$J:$J,Prod_Prop!$B:$B,$Q631,Prod_Prop!$H:$H,Y631,Prod_Prop!$I:$I,Z$1)*IF(Y631="Peso",$R631,1))</f>
        <v/>
      </c>
      <c r="AA631" s="4" t="str">
        <f>IF(Y631="","",SUMIFS(Prod_Prop!$J:$J,Prod_Prop!$B:$B,$Q631,Prod_Prop!$H:$H,Y631,Prod_Prop!$I:$I,AA$1)*IF(Y631="Peso",$R631,1))</f>
        <v/>
      </c>
      <c r="AB631" s="4" t="str">
        <f>IFERROR(__xludf.DUMMYFUNCTION("IF(OR($U631="""",COUNTIF($I:$I,IFERROR(unique(filter(Prod_Prop!$H:$H,Prod_Prop!$G:$G=$U631,Prod_Prop!$E:$E=AB$1)),""Check""))=0),"""",IFERROR(unique(filter(Prod_Prop!$H:$H,Prod_Prop!$G:$G=$U631,Prod_Prop!$E:$E=AB$1)),""""))"),"")</f>
        <v/>
      </c>
      <c r="AC631" s="4" t="str">
        <f>IF(AB631="","",SUMIFS(Prod_Prop!$J:$J,Prod_Prop!$B:$B,$Q631,Prod_Prop!$H:$H,AB631,Prod_Prop!$I:$I,AC$1)*IF(AB631="Peso",$R631,1))</f>
        <v/>
      </c>
      <c r="AD631" s="4" t="str">
        <f>IF(AB631="","",SUMIFS(Prod_Prop!$J:$J,Prod_Prop!$B:$B,$Q631,Prod_Prop!$H:$H,AB631,Prod_Prop!$I:$I,AD$1)*IF(AB631="Peso",$R631,1))</f>
        <v/>
      </c>
    </row>
    <row r="632">
      <c r="A632" s="4" t="str">
        <f t="array" ref="A632">IF(COUNTIF(A$1:A631,Cotizador!F$2)=maxifs(Familias!E:E,Familias!D:D,Cotizador!F$2),IF(COUNTIF(A$1:A631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2" s="4" t="str">
        <f t="shared" si="1"/>
        <v/>
      </c>
      <c r="C632" s="4" t="str">
        <f t="array" ref="C632">IF(B632="","",IF(A632=XLOOKUP(A$2,Implementos!B:B,Implementos!C:C,"",0,1),B632+maxifs(B$1:B631,A$1:A631,A$2),B632))</f>
        <v/>
      </c>
      <c r="D632" s="4" t="str">
        <f>IF(B632="","", COUNTIFS(Productos!F:F,A632,Productos!H:H,B632)+IF(F632="SI",0,1))</f>
        <v/>
      </c>
      <c r="E632" s="4" t="str">
        <f>IFERROR(__xludf.DUMMYFUNCTION("IF($B632="""","""",INDEX(filter(Familias!F:F,Familias!$D:$D=$A632,Familias!$E:$E=$B632),1))"),"")</f>
        <v/>
      </c>
      <c r="F632" s="4" t="str">
        <f>IFERROR(__xludf.DUMMYFUNCTION("IF($B632="""","""",INDEX(filter(Familias!G:G,Familias!$D:$D=$A632,Familias!$E:$E=$B632),1))"),"")</f>
        <v/>
      </c>
      <c r="G632" s="4" t="str">
        <f t="array" ref="G632">IF(C632=1,XLOOKUP(C632,Cotizador!D:D,Cotizador!E:E,"",0,1),"")</f>
        <v/>
      </c>
      <c r="I632" s="4"/>
      <c r="J632" s="8" t="str">
        <f>IF(I632="","",SUMIF(Cotizador!I$1:V$1,I632,Cotizador!I$2:V$2))</f>
        <v/>
      </c>
      <c r="L632" s="4" t="str">
        <f t="array" ref="L632">IF(COUNTIF(L$1:L631,A$2)=SUMIF(A:A,A$2,D:D),IF(COUNTIF(L$1:L631,XLOOKUP(A$2,Implementos!B:B,Implementos!C:C,"",0,1))=SUMIF(A:A,XLOOKUP(A$2,Implementos!B:B,Implementos!C:C,"",0,1),D:D),"",XLOOKUP(A$2,Implementos!B:B,Implementos!C:C,"",0,1)),A$2)</f>
        <v/>
      </c>
      <c r="M632" s="4" t="str">
        <f t="shared" si="2"/>
        <v/>
      </c>
      <c r="N632" s="4" t="str">
        <f t="shared" si="3"/>
        <v/>
      </c>
      <c r="O632" s="4" t="str">
        <f t="shared" si="4"/>
        <v/>
      </c>
      <c r="P632" s="4" t="str">
        <f t="shared" si="5"/>
        <v/>
      </c>
      <c r="Q632" s="4" t="str">
        <f>IF(U632="","",SUMIF(Productos!E:E,U632,Productos!A:A))</f>
        <v/>
      </c>
      <c r="R632" s="4" t="str">
        <f t="array" ref="R632">IF(L632="","", max(1,SUMIF(I:I,XLOOKUP(U632,Productos!E:E,Productos!G:G,"",0,1),J:J)))</f>
        <v/>
      </c>
      <c r="S632" s="4" t="str">
        <f>IF(Q632="","",IF(SUMIFS(Compat_Vetado!D:D,Compat_Vetado!B:B,SUM(G:G),Compat_Vetado!C:C,Q632)=1,"SI",IF(OR(SUMIF(Cotizador!E:E,Q632,Cotizador!G:G)&gt;0,SUMIFS(Compat_Vetado!D:D,Compat_Vetado!B:B,SUM(G:G),Compat_Vetado!C:C,Q632)=-1),"NO","")))</f>
        <v/>
      </c>
      <c r="T632" s="4" t="str">
        <f t="shared" si="6"/>
        <v/>
      </c>
      <c r="U632" s="4" t="str">
        <f>IFERROR(__xludf.DUMMYFUNCTION("IF(P632="""","""",IFERROR(INDEX(filter(Productos!E:E,Productos!F:F=L632,Productos!H:H=N632),P632),IF(M632=SUM(D:D),""Finalizar"",""-"")))"),"")</f>
        <v/>
      </c>
      <c r="V632" s="4" t="str">
        <f>IFERROR(__xludf.DUMMYFUNCTION("IF(OR($U632="""",COUNTIF($I:$I,IFERROR(unique(filter(Prod_Prop!$H:$H,Prod_Prop!$G:$G=$U632,Prod_Prop!$E:$E=V$1)),""Check""))=0),"""",IFERROR(unique(filter(Prod_Prop!$H:$H,Prod_Prop!$G:$G=$U632,Prod_Prop!$E:$E=V$1)),""""))"),"")</f>
        <v/>
      </c>
      <c r="W632" s="4" t="str">
        <f>IF(V632="","",SUMIFS(Prod_Prop!$J:$J,Prod_Prop!$B:$B,$Q632,Prod_Prop!$H:$H,V632,Prod_Prop!$I:$I,W$1)*IF(V632="Peso",$R632,1))</f>
        <v/>
      </c>
      <c r="X632" s="4" t="str">
        <f>IF(V632="","",SUMIFS(Prod_Prop!$J:$J,Prod_Prop!$B:$B,$Q632,Prod_Prop!$H:$H,V632,Prod_Prop!$I:$I,X$1)*IF(V632="Peso",$R632,1))</f>
        <v/>
      </c>
      <c r="Y632" s="4" t="str">
        <f>IFERROR(__xludf.DUMMYFUNCTION("IF(OR($U632="""",COUNTIF($I:$I,IFERROR(unique(filter(Prod_Prop!$H:$H,Prod_Prop!$G:$G=$U632,Prod_Prop!$E:$E=Y$1)),""Check""))=0),"""",IFERROR(unique(filter(Prod_Prop!$H:$H,Prod_Prop!$G:$G=$U632,Prod_Prop!$E:$E=Y$1)),""""))"),"")</f>
        <v/>
      </c>
      <c r="Z632" s="4" t="str">
        <f>IF(Y632="","",SUMIFS(Prod_Prop!$J:$J,Prod_Prop!$B:$B,$Q632,Prod_Prop!$H:$H,Y632,Prod_Prop!$I:$I,Z$1)*IF(Y632="Peso",$R632,1))</f>
        <v/>
      </c>
      <c r="AA632" s="4" t="str">
        <f>IF(Y632="","",SUMIFS(Prod_Prop!$J:$J,Prod_Prop!$B:$B,$Q632,Prod_Prop!$H:$H,Y632,Prod_Prop!$I:$I,AA$1)*IF(Y632="Peso",$R632,1))</f>
        <v/>
      </c>
      <c r="AB632" s="4" t="str">
        <f>IFERROR(__xludf.DUMMYFUNCTION("IF(OR($U632="""",COUNTIF($I:$I,IFERROR(unique(filter(Prod_Prop!$H:$H,Prod_Prop!$G:$G=$U632,Prod_Prop!$E:$E=AB$1)),""Check""))=0),"""",IFERROR(unique(filter(Prod_Prop!$H:$H,Prod_Prop!$G:$G=$U632,Prod_Prop!$E:$E=AB$1)),""""))"),"")</f>
        <v/>
      </c>
      <c r="AC632" s="4" t="str">
        <f>IF(AB632="","",SUMIFS(Prod_Prop!$J:$J,Prod_Prop!$B:$B,$Q632,Prod_Prop!$H:$H,AB632,Prod_Prop!$I:$I,AC$1)*IF(AB632="Peso",$R632,1))</f>
        <v/>
      </c>
      <c r="AD632" s="4" t="str">
        <f>IF(AB632="","",SUMIFS(Prod_Prop!$J:$J,Prod_Prop!$B:$B,$Q632,Prod_Prop!$H:$H,AB632,Prod_Prop!$I:$I,AD$1)*IF(AB632="Peso",$R632,1))</f>
        <v/>
      </c>
    </row>
    <row r="633">
      <c r="A633" s="4" t="str">
        <f t="array" ref="A633">IF(COUNTIF(A$1:A632,Cotizador!F$2)=maxifs(Familias!E:E,Familias!D:D,Cotizador!F$2),IF(COUNTIF(A$1:A632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3" s="4" t="str">
        <f t="shared" si="1"/>
        <v/>
      </c>
      <c r="C633" s="4" t="str">
        <f t="array" ref="C633">IF(B633="","",IF(A633=XLOOKUP(A$2,Implementos!B:B,Implementos!C:C,"",0,1),B633+maxifs(B$1:B632,A$1:A632,A$2),B633))</f>
        <v/>
      </c>
      <c r="D633" s="4" t="str">
        <f>IF(B633="","", COUNTIFS(Productos!F:F,A633,Productos!H:H,B633)+IF(F633="SI",0,1))</f>
        <v/>
      </c>
      <c r="E633" s="4" t="str">
        <f>IFERROR(__xludf.DUMMYFUNCTION("IF($B633="""","""",INDEX(filter(Familias!F:F,Familias!$D:$D=$A633,Familias!$E:$E=$B633),1))"),"")</f>
        <v/>
      </c>
      <c r="F633" s="4" t="str">
        <f>IFERROR(__xludf.DUMMYFUNCTION("IF($B633="""","""",INDEX(filter(Familias!G:G,Familias!$D:$D=$A633,Familias!$E:$E=$B633),1))"),"")</f>
        <v/>
      </c>
      <c r="G633" s="4" t="str">
        <f t="array" ref="G633">IF(C633=1,XLOOKUP(C633,Cotizador!D:D,Cotizador!E:E,"",0,1),"")</f>
        <v/>
      </c>
      <c r="I633" s="4"/>
      <c r="J633" s="8" t="str">
        <f>IF(I633="","",SUMIF(Cotizador!I$1:V$1,I633,Cotizador!I$2:V$2))</f>
        <v/>
      </c>
      <c r="L633" s="4" t="str">
        <f t="array" ref="L633">IF(COUNTIF(L$1:L632,A$2)=SUMIF(A:A,A$2,D:D),IF(COUNTIF(L$1:L632,XLOOKUP(A$2,Implementos!B:B,Implementos!C:C,"",0,1))=SUMIF(A:A,XLOOKUP(A$2,Implementos!B:B,Implementos!C:C,"",0,1),D:D),"",XLOOKUP(A$2,Implementos!B:B,Implementos!C:C,"",0,1)),A$2)</f>
        <v/>
      </c>
      <c r="M633" s="4" t="str">
        <f t="shared" si="2"/>
        <v/>
      </c>
      <c r="N633" s="4" t="str">
        <f t="shared" si="3"/>
        <v/>
      </c>
      <c r="O633" s="4" t="str">
        <f t="shared" si="4"/>
        <v/>
      </c>
      <c r="P633" s="4" t="str">
        <f t="shared" si="5"/>
        <v/>
      </c>
      <c r="Q633" s="4" t="str">
        <f>IF(U633="","",SUMIF(Productos!E:E,U633,Productos!A:A))</f>
        <v/>
      </c>
      <c r="R633" s="4" t="str">
        <f t="array" ref="R633">IF(L633="","", max(1,SUMIF(I:I,XLOOKUP(U633,Productos!E:E,Productos!G:G,"",0,1),J:J)))</f>
        <v/>
      </c>
      <c r="S633" s="4" t="str">
        <f>IF(Q633="","",IF(SUMIFS(Compat_Vetado!D:D,Compat_Vetado!B:B,SUM(G:G),Compat_Vetado!C:C,Q633)=1,"SI",IF(OR(SUMIF(Cotizador!E:E,Q633,Cotizador!G:G)&gt;0,SUMIFS(Compat_Vetado!D:D,Compat_Vetado!B:B,SUM(G:G),Compat_Vetado!C:C,Q633)=-1),"NO","")))</f>
        <v/>
      </c>
      <c r="T633" s="4" t="str">
        <f t="shared" si="6"/>
        <v/>
      </c>
      <c r="U633" s="4" t="str">
        <f>IFERROR(__xludf.DUMMYFUNCTION("IF(P633="""","""",IFERROR(INDEX(filter(Productos!E:E,Productos!F:F=L633,Productos!H:H=N633),P633),IF(M633=SUM(D:D),""Finalizar"",""-"")))"),"")</f>
        <v/>
      </c>
      <c r="V633" s="4" t="str">
        <f>IFERROR(__xludf.DUMMYFUNCTION("IF(OR($U633="""",COUNTIF($I:$I,IFERROR(unique(filter(Prod_Prop!$H:$H,Prod_Prop!$G:$G=$U633,Prod_Prop!$E:$E=V$1)),""Check""))=0),"""",IFERROR(unique(filter(Prod_Prop!$H:$H,Prod_Prop!$G:$G=$U633,Prod_Prop!$E:$E=V$1)),""""))"),"")</f>
        <v/>
      </c>
      <c r="W633" s="4" t="str">
        <f>IF(V633="","",SUMIFS(Prod_Prop!$J:$J,Prod_Prop!$B:$B,$Q633,Prod_Prop!$H:$H,V633,Prod_Prop!$I:$I,W$1)*IF(V633="Peso",$R633,1))</f>
        <v/>
      </c>
      <c r="X633" s="4" t="str">
        <f>IF(V633="","",SUMIFS(Prod_Prop!$J:$J,Prod_Prop!$B:$B,$Q633,Prod_Prop!$H:$H,V633,Prod_Prop!$I:$I,X$1)*IF(V633="Peso",$R633,1))</f>
        <v/>
      </c>
      <c r="Y633" s="4" t="str">
        <f>IFERROR(__xludf.DUMMYFUNCTION("IF(OR($U633="""",COUNTIF($I:$I,IFERROR(unique(filter(Prod_Prop!$H:$H,Prod_Prop!$G:$G=$U633,Prod_Prop!$E:$E=Y$1)),""Check""))=0),"""",IFERROR(unique(filter(Prod_Prop!$H:$H,Prod_Prop!$G:$G=$U633,Prod_Prop!$E:$E=Y$1)),""""))"),"")</f>
        <v/>
      </c>
      <c r="Z633" s="4" t="str">
        <f>IF(Y633="","",SUMIFS(Prod_Prop!$J:$J,Prod_Prop!$B:$B,$Q633,Prod_Prop!$H:$H,Y633,Prod_Prop!$I:$I,Z$1)*IF(Y633="Peso",$R633,1))</f>
        <v/>
      </c>
      <c r="AA633" s="4" t="str">
        <f>IF(Y633="","",SUMIFS(Prod_Prop!$J:$J,Prod_Prop!$B:$B,$Q633,Prod_Prop!$H:$H,Y633,Prod_Prop!$I:$I,AA$1)*IF(Y633="Peso",$R633,1))</f>
        <v/>
      </c>
      <c r="AB633" s="4" t="str">
        <f>IFERROR(__xludf.DUMMYFUNCTION("IF(OR($U633="""",COUNTIF($I:$I,IFERROR(unique(filter(Prod_Prop!$H:$H,Prod_Prop!$G:$G=$U633,Prod_Prop!$E:$E=AB$1)),""Check""))=0),"""",IFERROR(unique(filter(Prod_Prop!$H:$H,Prod_Prop!$G:$G=$U633,Prod_Prop!$E:$E=AB$1)),""""))"),"")</f>
        <v/>
      </c>
      <c r="AC633" s="4" t="str">
        <f>IF(AB633="","",SUMIFS(Prod_Prop!$J:$J,Prod_Prop!$B:$B,$Q633,Prod_Prop!$H:$H,AB633,Prod_Prop!$I:$I,AC$1)*IF(AB633="Peso",$R633,1))</f>
        <v/>
      </c>
      <c r="AD633" s="4" t="str">
        <f>IF(AB633="","",SUMIFS(Prod_Prop!$J:$J,Prod_Prop!$B:$B,$Q633,Prod_Prop!$H:$H,AB633,Prod_Prop!$I:$I,AD$1)*IF(AB633="Peso",$R633,1))</f>
        <v/>
      </c>
    </row>
    <row r="634">
      <c r="A634" s="4" t="str">
        <f t="array" ref="A634">IF(COUNTIF(A$1:A633,Cotizador!F$2)=maxifs(Familias!E:E,Familias!D:D,Cotizador!F$2),IF(COUNTIF(A$1:A633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4" s="4" t="str">
        <f t="shared" si="1"/>
        <v/>
      </c>
      <c r="C634" s="4" t="str">
        <f t="array" ref="C634">IF(B634="","",IF(A634=XLOOKUP(A$2,Implementos!B:B,Implementos!C:C,"",0,1),B634+maxifs(B$1:B633,A$1:A633,A$2),B634))</f>
        <v/>
      </c>
      <c r="D634" s="4" t="str">
        <f>IF(B634="","", COUNTIFS(Productos!F:F,A634,Productos!H:H,B634)+IF(F634="SI",0,1))</f>
        <v/>
      </c>
      <c r="E634" s="4" t="str">
        <f>IFERROR(__xludf.DUMMYFUNCTION("IF($B634="""","""",INDEX(filter(Familias!F:F,Familias!$D:$D=$A634,Familias!$E:$E=$B634),1))"),"")</f>
        <v/>
      </c>
      <c r="F634" s="4" t="str">
        <f>IFERROR(__xludf.DUMMYFUNCTION("IF($B634="""","""",INDEX(filter(Familias!G:G,Familias!$D:$D=$A634,Familias!$E:$E=$B634),1))"),"")</f>
        <v/>
      </c>
      <c r="G634" s="4" t="str">
        <f t="array" ref="G634">IF(C634=1,XLOOKUP(C634,Cotizador!D:D,Cotizador!E:E,"",0,1),"")</f>
        <v/>
      </c>
      <c r="I634" s="4"/>
      <c r="J634" s="8" t="str">
        <f>IF(I634="","",SUMIF(Cotizador!I$1:V$1,I634,Cotizador!I$2:V$2))</f>
        <v/>
      </c>
      <c r="L634" s="4" t="str">
        <f t="array" ref="L634">IF(COUNTIF(L$1:L633,A$2)=SUMIF(A:A,A$2,D:D),IF(COUNTIF(L$1:L633,XLOOKUP(A$2,Implementos!B:B,Implementos!C:C,"",0,1))=SUMIF(A:A,XLOOKUP(A$2,Implementos!B:B,Implementos!C:C,"",0,1),D:D),"",XLOOKUP(A$2,Implementos!B:B,Implementos!C:C,"",0,1)),A$2)</f>
        <v/>
      </c>
      <c r="M634" s="4" t="str">
        <f t="shared" si="2"/>
        <v/>
      </c>
      <c r="N634" s="4" t="str">
        <f t="shared" si="3"/>
        <v/>
      </c>
      <c r="O634" s="4" t="str">
        <f t="shared" si="4"/>
        <v/>
      </c>
      <c r="P634" s="4" t="str">
        <f t="shared" si="5"/>
        <v/>
      </c>
      <c r="Q634" s="4" t="str">
        <f>IF(U634="","",SUMIF(Productos!E:E,U634,Productos!A:A))</f>
        <v/>
      </c>
      <c r="R634" s="4" t="str">
        <f t="array" ref="R634">IF(L634="","", max(1,SUMIF(I:I,XLOOKUP(U634,Productos!E:E,Productos!G:G,"",0,1),J:J)))</f>
        <v/>
      </c>
      <c r="S634" s="4" t="str">
        <f>IF(Q634="","",IF(SUMIFS(Compat_Vetado!D:D,Compat_Vetado!B:B,SUM(G:G),Compat_Vetado!C:C,Q634)=1,"SI",IF(OR(SUMIF(Cotizador!E:E,Q634,Cotizador!G:G)&gt;0,SUMIFS(Compat_Vetado!D:D,Compat_Vetado!B:B,SUM(G:G),Compat_Vetado!C:C,Q634)=-1),"NO","")))</f>
        <v/>
      </c>
      <c r="T634" s="4" t="str">
        <f t="shared" si="6"/>
        <v/>
      </c>
      <c r="U634" s="4" t="str">
        <f>IFERROR(__xludf.DUMMYFUNCTION("IF(P634="""","""",IFERROR(INDEX(filter(Productos!E:E,Productos!F:F=L634,Productos!H:H=N634),P634),IF(M634=SUM(D:D),""Finalizar"",""-"")))"),"")</f>
        <v/>
      </c>
      <c r="V634" s="4" t="str">
        <f>IFERROR(__xludf.DUMMYFUNCTION("IF(OR($U634="""",COUNTIF($I:$I,IFERROR(unique(filter(Prod_Prop!$H:$H,Prod_Prop!$G:$G=$U634,Prod_Prop!$E:$E=V$1)),""Check""))=0),"""",IFERROR(unique(filter(Prod_Prop!$H:$H,Prod_Prop!$G:$G=$U634,Prod_Prop!$E:$E=V$1)),""""))"),"")</f>
        <v/>
      </c>
      <c r="W634" s="4" t="str">
        <f>IF(V634="","",SUMIFS(Prod_Prop!$J:$J,Prod_Prop!$B:$B,$Q634,Prod_Prop!$H:$H,V634,Prod_Prop!$I:$I,W$1)*IF(V634="Peso",$R634,1))</f>
        <v/>
      </c>
      <c r="X634" s="4" t="str">
        <f>IF(V634="","",SUMIFS(Prod_Prop!$J:$J,Prod_Prop!$B:$B,$Q634,Prod_Prop!$H:$H,V634,Prod_Prop!$I:$I,X$1)*IF(V634="Peso",$R634,1))</f>
        <v/>
      </c>
      <c r="Y634" s="4" t="str">
        <f>IFERROR(__xludf.DUMMYFUNCTION("IF(OR($U634="""",COUNTIF($I:$I,IFERROR(unique(filter(Prod_Prop!$H:$H,Prod_Prop!$G:$G=$U634,Prod_Prop!$E:$E=Y$1)),""Check""))=0),"""",IFERROR(unique(filter(Prod_Prop!$H:$H,Prod_Prop!$G:$G=$U634,Prod_Prop!$E:$E=Y$1)),""""))"),"")</f>
        <v/>
      </c>
      <c r="Z634" s="4" t="str">
        <f>IF(Y634="","",SUMIFS(Prod_Prop!$J:$J,Prod_Prop!$B:$B,$Q634,Prod_Prop!$H:$H,Y634,Prod_Prop!$I:$I,Z$1)*IF(Y634="Peso",$R634,1))</f>
        <v/>
      </c>
      <c r="AA634" s="4" t="str">
        <f>IF(Y634="","",SUMIFS(Prod_Prop!$J:$J,Prod_Prop!$B:$B,$Q634,Prod_Prop!$H:$H,Y634,Prod_Prop!$I:$I,AA$1)*IF(Y634="Peso",$R634,1))</f>
        <v/>
      </c>
      <c r="AB634" s="4" t="str">
        <f>IFERROR(__xludf.DUMMYFUNCTION("IF(OR($U634="""",COUNTIF($I:$I,IFERROR(unique(filter(Prod_Prop!$H:$H,Prod_Prop!$G:$G=$U634,Prod_Prop!$E:$E=AB$1)),""Check""))=0),"""",IFERROR(unique(filter(Prod_Prop!$H:$H,Prod_Prop!$G:$G=$U634,Prod_Prop!$E:$E=AB$1)),""""))"),"")</f>
        <v/>
      </c>
      <c r="AC634" s="4" t="str">
        <f>IF(AB634="","",SUMIFS(Prod_Prop!$J:$J,Prod_Prop!$B:$B,$Q634,Prod_Prop!$H:$H,AB634,Prod_Prop!$I:$I,AC$1)*IF(AB634="Peso",$R634,1))</f>
        <v/>
      </c>
      <c r="AD634" s="4" t="str">
        <f>IF(AB634="","",SUMIFS(Prod_Prop!$J:$J,Prod_Prop!$B:$B,$Q634,Prod_Prop!$H:$H,AB634,Prod_Prop!$I:$I,AD$1)*IF(AB634="Peso",$R634,1))</f>
        <v/>
      </c>
    </row>
    <row r="635">
      <c r="A635" s="4" t="str">
        <f t="array" ref="A635">IF(COUNTIF(A$1:A634,Cotizador!F$2)=maxifs(Familias!E:E,Familias!D:D,Cotizador!F$2),IF(COUNTIF(A$1:A634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5" s="4" t="str">
        <f t="shared" si="1"/>
        <v/>
      </c>
      <c r="C635" s="4" t="str">
        <f t="array" ref="C635">IF(B635="","",IF(A635=XLOOKUP(A$2,Implementos!B:B,Implementos!C:C,"",0,1),B635+maxifs(B$1:B634,A$1:A634,A$2),B635))</f>
        <v/>
      </c>
      <c r="D635" s="4" t="str">
        <f>IF(B635="","", COUNTIFS(Productos!F:F,A635,Productos!H:H,B635)+IF(F635="SI",0,1))</f>
        <v/>
      </c>
      <c r="E635" s="4" t="str">
        <f>IFERROR(__xludf.DUMMYFUNCTION("IF($B635="""","""",INDEX(filter(Familias!F:F,Familias!$D:$D=$A635,Familias!$E:$E=$B635),1))"),"")</f>
        <v/>
      </c>
      <c r="F635" s="4" t="str">
        <f>IFERROR(__xludf.DUMMYFUNCTION("IF($B635="""","""",INDEX(filter(Familias!G:G,Familias!$D:$D=$A635,Familias!$E:$E=$B635),1))"),"")</f>
        <v/>
      </c>
      <c r="G635" s="4" t="str">
        <f t="array" ref="G635">IF(C635=1,XLOOKUP(C635,Cotizador!D:D,Cotizador!E:E,"",0,1),"")</f>
        <v/>
      </c>
      <c r="I635" s="4"/>
      <c r="J635" s="8" t="str">
        <f>IF(I635="","",SUMIF(Cotizador!I$1:V$1,I635,Cotizador!I$2:V$2))</f>
        <v/>
      </c>
      <c r="L635" s="4" t="str">
        <f t="array" ref="L635">IF(COUNTIF(L$1:L634,A$2)=SUMIF(A:A,A$2,D:D),IF(COUNTIF(L$1:L634,XLOOKUP(A$2,Implementos!B:B,Implementos!C:C,"",0,1))=SUMIF(A:A,XLOOKUP(A$2,Implementos!B:B,Implementos!C:C,"",0,1),D:D),"",XLOOKUP(A$2,Implementos!B:B,Implementos!C:C,"",0,1)),A$2)</f>
        <v/>
      </c>
      <c r="M635" s="4" t="str">
        <f t="shared" si="2"/>
        <v/>
      </c>
      <c r="N635" s="4" t="str">
        <f t="shared" si="3"/>
        <v/>
      </c>
      <c r="O635" s="4" t="str">
        <f t="shared" si="4"/>
        <v/>
      </c>
      <c r="P635" s="4" t="str">
        <f t="shared" si="5"/>
        <v/>
      </c>
      <c r="Q635" s="4" t="str">
        <f>IF(U635="","",SUMIF(Productos!E:E,U635,Productos!A:A))</f>
        <v/>
      </c>
      <c r="R635" s="4" t="str">
        <f t="array" ref="R635">IF(L635="","", max(1,SUMIF(I:I,XLOOKUP(U635,Productos!E:E,Productos!G:G,"",0,1),J:J)))</f>
        <v/>
      </c>
      <c r="S635" s="4" t="str">
        <f>IF(Q635="","",IF(SUMIFS(Compat_Vetado!D:D,Compat_Vetado!B:B,SUM(G:G),Compat_Vetado!C:C,Q635)=1,"SI",IF(OR(SUMIF(Cotizador!E:E,Q635,Cotizador!G:G)&gt;0,SUMIFS(Compat_Vetado!D:D,Compat_Vetado!B:B,SUM(G:G),Compat_Vetado!C:C,Q635)=-1),"NO","")))</f>
        <v/>
      </c>
      <c r="T635" s="4" t="str">
        <f t="shared" si="6"/>
        <v/>
      </c>
      <c r="U635" s="4" t="str">
        <f>IFERROR(__xludf.DUMMYFUNCTION("IF(P635="""","""",IFERROR(INDEX(filter(Productos!E:E,Productos!F:F=L635,Productos!H:H=N635),P635),IF(M635=SUM(D:D),""Finalizar"",""-"")))"),"")</f>
        <v/>
      </c>
      <c r="V635" s="4" t="str">
        <f>IFERROR(__xludf.DUMMYFUNCTION("IF(OR($U635="""",COUNTIF($I:$I,IFERROR(unique(filter(Prod_Prop!$H:$H,Prod_Prop!$G:$G=$U635,Prod_Prop!$E:$E=V$1)),""Check""))=0),"""",IFERROR(unique(filter(Prod_Prop!$H:$H,Prod_Prop!$G:$G=$U635,Prod_Prop!$E:$E=V$1)),""""))"),"")</f>
        <v/>
      </c>
      <c r="W635" s="4" t="str">
        <f>IF(V635="","",SUMIFS(Prod_Prop!$J:$J,Prod_Prop!$B:$B,$Q635,Prod_Prop!$H:$H,V635,Prod_Prop!$I:$I,W$1)*IF(V635="Peso",$R635,1))</f>
        <v/>
      </c>
      <c r="X635" s="4" t="str">
        <f>IF(V635="","",SUMIFS(Prod_Prop!$J:$J,Prod_Prop!$B:$B,$Q635,Prod_Prop!$H:$H,V635,Prod_Prop!$I:$I,X$1)*IF(V635="Peso",$R635,1))</f>
        <v/>
      </c>
      <c r="Y635" s="4" t="str">
        <f>IFERROR(__xludf.DUMMYFUNCTION("IF(OR($U635="""",COUNTIF($I:$I,IFERROR(unique(filter(Prod_Prop!$H:$H,Prod_Prop!$G:$G=$U635,Prod_Prop!$E:$E=Y$1)),""Check""))=0),"""",IFERROR(unique(filter(Prod_Prop!$H:$H,Prod_Prop!$G:$G=$U635,Prod_Prop!$E:$E=Y$1)),""""))"),"")</f>
        <v/>
      </c>
      <c r="Z635" s="4" t="str">
        <f>IF(Y635="","",SUMIFS(Prod_Prop!$J:$J,Prod_Prop!$B:$B,$Q635,Prod_Prop!$H:$H,Y635,Prod_Prop!$I:$I,Z$1)*IF(Y635="Peso",$R635,1))</f>
        <v/>
      </c>
      <c r="AA635" s="4" t="str">
        <f>IF(Y635="","",SUMIFS(Prod_Prop!$J:$J,Prod_Prop!$B:$B,$Q635,Prod_Prop!$H:$H,Y635,Prod_Prop!$I:$I,AA$1)*IF(Y635="Peso",$R635,1))</f>
        <v/>
      </c>
      <c r="AB635" s="4" t="str">
        <f>IFERROR(__xludf.DUMMYFUNCTION("IF(OR($U635="""",COUNTIF($I:$I,IFERROR(unique(filter(Prod_Prop!$H:$H,Prod_Prop!$G:$G=$U635,Prod_Prop!$E:$E=AB$1)),""Check""))=0),"""",IFERROR(unique(filter(Prod_Prop!$H:$H,Prod_Prop!$G:$G=$U635,Prod_Prop!$E:$E=AB$1)),""""))"),"")</f>
        <v/>
      </c>
      <c r="AC635" s="4" t="str">
        <f>IF(AB635="","",SUMIFS(Prod_Prop!$J:$J,Prod_Prop!$B:$B,$Q635,Prod_Prop!$H:$H,AB635,Prod_Prop!$I:$I,AC$1)*IF(AB635="Peso",$R635,1))</f>
        <v/>
      </c>
      <c r="AD635" s="4" t="str">
        <f>IF(AB635="","",SUMIFS(Prod_Prop!$J:$J,Prod_Prop!$B:$B,$Q635,Prod_Prop!$H:$H,AB635,Prod_Prop!$I:$I,AD$1)*IF(AB635="Peso",$R635,1))</f>
        <v/>
      </c>
    </row>
    <row r="636">
      <c r="A636" s="4" t="str">
        <f t="array" ref="A636">IF(COUNTIF(A$1:A635,Cotizador!F$2)=maxifs(Familias!E:E,Familias!D:D,Cotizador!F$2),IF(COUNTIF(A$1:A635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6" s="4" t="str">
        <f t="shared" si="1"/>
        <v/>
      </c>
      <c r="C636" s="4" t="str">
        <f t="array" ref="C636">IF(B636="","",IF(A636=XLOOKUP(A$2,Implementos!B:B,Implementos!C:C,"",0,1),B636+maxifs(B$1:B635,A$1:A635,A$2),B636))</f>
        <v/>
      </c>
      <c r="D636" s="4" t="str">
        <f>IF(B636="","", COUNTIFS(Productos!F:F,A636,Productos!H:H,B636)+IF(F636="SI",0,1))</f>
        <v/>
      </c>
      <c r="E636" s="4" t="str">
        <f>IFERROR(__xludf.DUMMYFUNCTION("IF($B636="""","""",INDEX(filter(Familias!F:F,Familias!$D:$D=$A636,Familias!$E:$E=$B636),1))"),"")</f>
        <v/>
      </c>
      <c r="F636" s="4" t="str">
        <f>IFERROR(__xludf.DUMMYFUNCTION("IF($B636="""","""",INDEX(filter(Familias!G:G,Familias!$D:$D=$A636,Familias!$E:$E=$B636),1))"),"")</f>
        <v/>
      </c>
      <c r="G636" s="4" t="str">
        <f t="array" ref="G636">IF(C636=1,XLOOKUP(C636,Cotizador!D:D,Cotizador!E:E,"",0,1),"")</f>
        <v/>
      </c>
      <c r="I636" s="4"/>
      <c r="J636" s="8" t="str">
        <f>IF(I636="","",SUMIF(Cotizador!I$1:V$1,I636,Cotizador!I$2:V$2))</f>
        <v/>
      </c>
      <c r="L636" s="4" t="str">
        <f t="array" ref="L636">IF(COUNTIF(L$1:L635,A$2)=SUMIF(A:A,A$2,D:D),IF(COUNTIF(L$1:L635,XLOOKUP(A$2,Implementos!B:B,Implementos!C:C,"",0,1))=SUMIF(A:A,XLOOKUP(A$2,Implementos!B:B,Implementos!C:C,"",0,1),D:D),"",XLOOKUP(A$2,Implementos!B:B,Implementos!C:C,"",0,1)),A$2)</f>
        <v/>
      </c>
      <c r="M636" s="4" t="str">
        <f t="shared" si="2"/>
        <v/>
      </c>
      <c r="N636" s="4" t="str">
        <f t="shared" si="3"/>
        <v/>
      </c>
      <c r="O636" s="4" t="str">
        <f t="shared" si="4"/>
        <v/>
      </c>
      <c r="P636" s="4" t="str">
        <f t="shared" si="5"/>
        <v/>
      </c>
      <c r="Q636" s="4" t="str">
        <f>IF(U636="","",SUMIF(Productos!E:E,U636,Productos!A:A))</f>
        <v/>
      </c>
      <c r="R636" s="4" t="str">
        <f t="array" ref="R636">IF(L636="","", max(1,SUMIF(I:I,XLOOKUP(U636,Productos!E:E,Productos!G:G,"",0,1),J:J)))</f>
        <v/>
      </c>
      <c r="S636" s="4" t="str">
        <f>IF(Q636="","",IF(SUMIFS(Compat_Vetado!D:D,Compat_Vetado!B:B,SUM(G:G),Compat_Vetado!C:C,Q636)=1,"SI",IF(OR(SUMIF(Cotizador!E:E,Q636,Cotizador!G:G)&gt;0,SUMIFS(Compat_Vetado!D:D,Compat_Vetado!B:B,SUM(G:G),Compat_Vetado!C:C,Q636)=-1),"NO","")))</f>
        <v/>
      </c>
      <c r="T636" s="4" t="str">
        <f t="shared" si="6"/>
        <v/>
      </c>
      <c r="U636" s="4" t="str">
        <f>IFERROR(__xludf.DUMMYFUNCTION("IF(P636="""","""",IFERROR(INDEX(filter(Productos!E:E,Productos!F:F=L636,Productos!H:H=N636),P636),IF(M636=SUM(D:D),""Finalizar"",""-"")))"),"")</f>
        <v/>
      </c>
      <c r="V636" s="4" t="str">
        <f>IFERROR(__xludf.DUMMYFUNCTION("IF(OR($U636="""",COUNTIF($I:$I,IFERROR(unique(filter(Prod_Prop!$H:$H,Prod_Prop!$G:$G=$U636,Prod_Prop!$E:$E=V$1)),""Check""))=0),"""",IFERROR(unique(filter(Prod_Prop!$H:$H,Prod_Prop!$G:$G=$U636,Prod_Prop!$E:$E=V$1)),""""))"),"")</f>
        <v/>
      </c>
      <c r="W636" s="4" t="str">
        <f>IF(V636="","",SUMIFS(Prod_Prop!$J:$J,Prod_Prop!$B:$B,$Q636,Prod_Prop!$H:$H,V636,Prod_Prop!$I:$I,W$1)*IF(V636="Peso",$R636,1))</f>
        <v/>
      </c>
      <c r="X636" s="4" t="str">
        <f>IF(V636="","",SUMIFS(Prod_Prop!$J:$J,Prod_Prop!$B:$B,$Q636,Prod_Prop!$H:$H,V636,Prod_Prop!$I:$I,X$1)*IF(V636="Peso",$R636,1))</f>
        <v/>
      </c>
      <c r="Y636" s="4" t="str">
        <f>IFERROR(__xludf.DUMMYFUNCTION("IF(OR($U636="""",COUNTIF($I:$I,IFERROR(unique(filter(Prod_Prop!$H:$H,Prod_Prop!$G:$G=$U636,Prod_Prop!$E:$E=Y$1)),""Check""))=0),"""",IFERROR(unique(filter(Prod_Prop!$H:$H,Prod_Prop!$G:$G=$U636,Prod_Prop!$E:$E=Y$1)),""""))"),"")</f>
        <v/>
      </c>
      <c r="Z636" s="4" t="str">
        <f>IF(Y636="","",SUMIFS(Prod_Prop!$J:$J,Prod_Prop!$B:$B,$Q636,Prod_Prop!$H:$H,Y636,Prod_Prop!$I:$I,Z$1)*IF(Y636="Peso",$R636,1))</f>
        <v/>
      </c>
      <c r="AA636" s="4" t="str">
        <f>IF(Y636="","",SUMIFS(Prod_Prop!$J:$J,Prod_Prop!$B:$B,$Q636,Prod_Prop!$H:$H,Y636,Prod_Prop!$I:$I,AA$1)*IF(Y636="Peso",$R636,1))</f>
        <v/>
      </c>
      <c r="AB636" s="4" t="str">
        <f>IFERROR(__xludf.DUMMYFUNCTION("IF(OR($U636="""",COUNTIF($I:$I,IFERROR(unique(filter(Prod_Prop!$H:$H,Prod_Prop!$G:$G=$U636,Prod_Prop!$E:$E=AB$1)),""Check""))=0),"""",IFERROR(unique(filter(Prod_Prop!$H:$H,Prod_Prop!$G:$G=$U636,Prod_Prop!$E:$E=AB$1)),""""))"),"")</f>
        <v/>
      </c>
      <c r="AC636" s="4" t="str">
        <f>IF(AB636="","",SUMIFS(Prod_Prop!$J:$J,Prod_Prop!$B:$B,$Q636,Prod_Prop!$H:$H,AB636,Prod_Prop!$I:$I,AC$1)*IF(AB636="Peso",$R636,1))</f>
        <v/>
      </c>
      <c r="AD636" s="4" t="str">
        <f>IF(AB636="","",SUMIFS(Prod_Prop!$J:$J,Prod_Prop!$B:$B,$Q636,Prod_Prop!$H:$H,AB636,Prod_Prop!$I:$I,AD$1)*IF(AB636="Peso",$R636,1))</f>
        <v/>
      </c>
    </row>
    <row r="637">
      <c r="A637" s="4" t="str">
        <f t="array" ref="A637">IF(COUNTIF(A$1:A636,Cotizador!F$2)=maxifs(Familias!E:E,Familias!D:D,Cotizador!F$2),IF(COUNTIF(A$1:A636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7" s="4" t="str">
        <f t="shared" si="1"/>
        <v/>
      </c>
      <c r="C637" s="4" t="str">
        <f t="array" ref="C637">IF(B637="","",IF(A637=XLOOKUP(A$2,Implementos!B:B,Implementos!C:C,"",0,1),B637+maxifs(B$1:B636,A$1:A636,A$2),B637))</f>
        <v/>
      </c>
      <c r="D637" s="4" t="str">
        <f>IF(B637="","", COUNTIFS(Productos!F:F,A637,Productos!H:H,B637)+IF(F637="SI",0,1))</f>
        <v/>
      </c>
      <c r="E637" s="4" t="str">
        <f>IFERROR(__xludf.DUMMYFUNCTION("IF($B637="""","""",INDEX(filter(Familias!F:F,Familias!$D:$D=$A637,Familias!$E:$E=$B637),1))"),"")</f>
        <v/>
      </c>
      <c r="F637" s="4" t="str">
        <f>IFERROR(__xludf.DUMMYFUNCTION("IF($B637="""","""",INDEX(filter(Familias!G:G,Familias!$D:$D=$A637,Familias!$E:$E=$B637),1))"),"")</f>
        <v/>
      </c>
      <c r="G637" s="4" t="str">
        <f t="array" ref="G637">IF(C637=1,XLOOKUP(C637,Cotizador!D:D,Cotizador!E:E,"",0,1),"")</f>
        <v/>
      </c>
      <c r="I637" s="4"/>
      <c r="J637" s="8" t="str">
        <f>IF(I637="","",SUMIF(Cotizador!I$1:V$1,I637,Cotizador!I$2:V$2))</f>
        <v/>
      </c>
      <c r="L637" s="4" t="str">
        <f t="array" ref="L637">IF(COUNTIF(L$1:L636,A$2)=SUMIF(A:A,A$2,D:D),IF(COUNTIF(L$1:L636,XLOOKUP(A$2,Implementos!B:B,Implementos!C:C,"",0,1))=SUMIF(A:A,XLOOKUP(A$2,Implementos!B:B,Implementos!C:C,"",0,1),D:D),"",XLOOKUP(A$2,Implementos!B:B,Implementos!C:C,"",0,1)),A$2)</f>
        <v/>
      </c>
      <c r="M637" s="4" t="str">
        <f t="shared" si="2"/>
        <v/>
      </c>
      <c r="N637" s="4" t="str">
        <f t="shared" si="3"/>
        <v/>
      </c>
      <c r="O637" s="4" t="str">
        <f t="shared" si="4"/>
        <v/>
      </c>
      <c r="P637" s="4" t="str">
        <f t="shared" si="5"/>
        <v/>
      </c>
      <c r="Q637" s="4" t="str">
        <f>IF(U637="","",SUMIF(Productos!E:E,U637,Productos!A:A))</f>
        <v/>
      </c>
      <c r="R637" s="4" t="str">
        <f t="array" ref="R637">IF(L637="","", max(1,SUMIF(I:I,XLOOKUP(U637,Productos!E:E,Productos!G:G,"",0,1),J:J)))</f>
        <v/>
      </c>
      <c r="S637" s="4" t="str">
        <f>IF(Q637="","",IF(SUMIFS(Compat_Vetado!D:D,Compat_Vetado!B:B,SUM(G:G),Compat_Vetado!C:C,Q637)=1,"SI",IF(OR(SUMIF(Cotizador!E:E,Q637,Cotizador!G:G)&gt;0,SUMIFS(Compat_Vetado!D:D,Compat_Vetado!B:B,SUM(G:G),Compat_Vetado!C:C,Q637)=-1),"NO","")))</f>
        <v/>
      </c>
      <c r="T637" s="4" t="str">
        <f t="shared" si="6"/>
        <v/>
      </c>
      <c r="U637" s="4" t="str">
        <f>IFERROR(__xludf.DUMMYFUNCTION("IF(P637="""","""",IFERROR(INDEX(filter(Productos!E:E,Productos!F:F=L637,Productos!H:H=N637),P637),IF(M637=SUM(D:D),""Finalizar"",""-"")))"),"")</f>
        <v/>
      </c>
      <c r="V637" s="4" t="str">
        <f>IFERROR(__xludf.DUMMYFUNCTION("IF(OR($U637="""",COUNTIF($I:$I,IFERROR(unique(filter(Prod_Prop!$H:$H,Prod_Prop!$G:$G=$U637,Prod_Prop!$E:$E=V$1)),""Check""))=0),"""",IFERROR(unique(filter(Prod_Prop!$H:$H,Prod_Prop!$G:$G=$U637,Prod_Prop!$E:$E=V$1)),""""))"),"")</f>
        <v/>
      </c>
      <c r="W637" s="4" t="str">
        <f>IF(V637="","",SUMIFS(Prod_Prop!$J:$J,Prod_Prop!$B:$B,$Q637,Prod_Prop!$H:$H,V637,Prod_Prop!$I:$I,W$1)*IF(V637="Peso",$R637,1))</f>
        <v/>
      </c>
      <c r="X637" s="4" t="str">
        <f>IF(V637="","",SUMIFS(Prod_Prop!$J:$J,Prod_Prop!$B:$B,$Q637,Prod_Prop!$H:$H,V637,Prod_Prop!$I:$I,X$1)*IF(V637="Peso",$R637,1))</f>
        <v/>
      </c>
      <c r="Y637" s="4" t="str">
        <f>IFERROR(__xludf.DUMMYFUNCTION("IF(OR($U637="""",COUNTIF($I:$I,IFERROR(unique(filter(Prod_Prop!$H:$H,Prod_Prop!$G:$G=$U637,Prod_Prop!$E:$E=Y$1)),""Check""))=0),"""",IFERROR(unique(filter(Prod_Prop!$H:$H,Prod_Prop!$G:$G=$U637,Prod_Prop!$E:$E=Y$1)),""""))"),"")</f>
        <v/>
      </c>
      <c r="Z637" s="4" t="str">
        <f>IF(Y637="","",SUMIFS(Prod_Prop!$J:$J,Prod_Prop!$B:$B,$Q637,Prod_Prop!$H:$H,Y637,Prod_Prop!$I:$I,Z$1)*IF(Y637="Peso",$R637,1))</f>
        <v/>
      </c>
      <c r="AA637" s="4" t="str">
        <f>IF(Y637="","",SUMIFS(Prod_Prop!$J:$J,Prod_Prop!$B:$B,$Q637,Prod_Prop!$H:$H,Y637,Prod_Prop!$I:$I,AA$1)*IF(Y637="Peso",$R637,1))</f>
        <v/>
      </c>
      <c r="AB637" s="4" t="str">
        <f>IFERROR(__xludf.DUMMYFUNCTION("IF(OR($U637="""",COUNTIF($I:$I,IFERROR(unique(filter(Prod_Prop!$H:$H,Prod_Prop!$G:$G=$U637,Prod_Prop!$E:$E=AB$1)),""Check""))=0),"""",IFERROR(unique(filter(Prod_Prop!$H:$H,Prod_Prop!$G:$G=$U637,Prod_Prop!$E:$E=AB$1)),""""))"),"")</f>
        <v/>
      </c>
      <c r="AC637" s="4" t="str">
        <f>IF(AB637="","",SUMIFS(Prod_Prop!$J:$J,Prod_Prop!$B:$B,$Q637,Prod_Prop!$H:$H,AB637,Prod_Prop!$I:$I,AC$1)*IF(AB637="Peso",$R637,1))</f>
        <v/>
      </c>
      <c r="AD637" s="4" t="str">
        <f>IF(AB637="","",SUMIFS(Prod_Prop!$J:$J,Prod_Prop!$B:$B,$Q637,Prod_Prop!$H:$H,AB637,Prod_Prop!$I:$I,AD$1)*IF(AB637="Peso",$R637,1))</f>
        <v/>
      </c>
    </row>
    <row r="638">
      <c r="A638" s="4" t="str">
        <f t="array" ref="A638">IF(COUNTIF(A$1:A637,Cotizador!F$2)=maxifs(Familias!E:E,Familias!D:D,Cotizador!F$2),IF(COUNTIF(A$1:A637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8" s="4" t="str">
        <f t="shared" si="1"/>
        <v/>
      </c>
      <c r="C638" s="4" t="str">
        <f t="array" ref="C638">IF(B638="","",IF(A638=XLOOKUP(A$2,Implementos!B:B,Implementos!C:C,"",0,1),B638+maxifs(B$1:B637,A$1:A637,A$2),B638))</f>
        <v/>
      </c>
      <c r="D638" s="4" t="str">
        <f>IF(B638="","", COUNTIFS(Productos!F:F,A638,Productos!H:H,B638)+IF(F638="SI",0,1))</f>
        <v/>
      </c>
      <c r="E638" s="4" t="str">
        <f>IFERROR(__xludf.DUMMYFUNCTION("IF($B638="""","""",INDEX(filter(Familias!F:F,Familias!$D:$D=$A638,Familias!$E:$E=$B638),1))"),"")</f>
        <v/>
      </c>
      <c r="F638" s="4" t="str">
        <f>IFERROR(__xludf.DUMMYFUNCTION("IF($B638="""","""",INDEX(filter(Familias!G:G,Familias!$D:$D=$A638,Familias!$E:$E=$B638),1))"),"")</f>
        <v/>
      </c>
      <c r="G638" s="4" t="str">
        <f t="array" ref="G638">IF(C638=1,XLOOKUP(C638,Cotizador!D:D,Cotizador!E:E,"",0,1),"")</f>
        <v/>
      </c>
      <c r="I638" s="4"/>
      <c r="J638" s="8" t="str">
        <f>IF(I638="","",SUMIF(Cotizador!I$1:V$1,I638,Cotizador!I$2:V$2))</f>
        <v/>
      </c>
      <c r="L638" s="4" t="str">
        <f t="array" ref="L638">IF(COUNTIF(L$1:L637,A$2)=SUMIF(A:A,A$2,D:D),IF(COUNTIF(L$1:L637,XLOOKUP(A$2,Implementos!B:B,Implementos!C:C,"",0,1))=SUMIF(A:A,XLOOKUP(A$2,Implementos!B:B,Implementos!C:C,"",0,1),D:D),"",XLOOKUP(A$2,Implementos!B:B,Implementos!C:C,"",0,1)),A$2)</f>
        <v/>
      </c>
      <c r="M638" s="4" t="str">
        <f t="shared" si="2"/>
        <v/>
      </c>
      <c r="N638" s="4" t="str">
        <f t="shared" si="3"/>
        <v/>
      </c>
      <c r="O638" s="4" t="str">
        <f t="shared" si="4"/>
        <v/>
      </c>
      <c r="P638" s="4" t="str">
        <f t="shared" si="5"/>
        <v/>
      </c>
      <c r="Q638" s="4" t="str">
        <f>IF(U638="","",SUMIF(Productos!E:E,U638,Productos!A:A))</f>
        <v/>
      </c>
      <c r="R638" s="4" t="str">
        <f t="array" ref="R638">IF(L638="","", max(1,SUMIF(I:I,XLOOKUP(U638,Productos!E:E,Productos!G:G,"",0,1),J:J)))</f>
        <v/>
      </c>
      <c r="S638" s="4" t="str">
        <f>IF(Q638="","",IF(SUMIFS(Compat_Vetado!D:D,Compat_Vetado!B:B,SUM(G:G),Compat_Vetado!C:C,Q638)=1,"SI",IF(OR(SUMIF(Cotizador!E:E,Q638,Cotizador!G:G)&gt;0,SUMIFS(Compat_Vetado!D:D,Compat_Vetado!B:B,SUM(G:G),Compat_Vetado!C:C,Q638)=-1),"NO","")))</f>
        <v/>
      </c>
      <c r="T638" s="4" t="str">
        <f t="shared" si="6"/>
        <v/>
      </c>
      <c r="U638" s="4" t="str">
        <f>IFERROR(__xludf.DUMMYFUNCTION("IF(P638="""","""",IFERROR(INDEX(filter(Productos!E:E,Productos!F:F=L638,Productos!H:H=N638),P638),IF(M638=SUM(D:D),""Finalizar"",""-"")))"),"")</f>
        <v/>
      </c>
      <c r="V638" s="4" t="str">
        <f>IFERROR(__xludf.DUMMYFUNCTION("IF(OR($U638="""",COUNTIF($I:$I,IFERROR(unique(filter(Prod_Prop!$H:$H,Prod_Prop!$G:$G=$U638,Prod_Prop!$E:$E=V$1)),""Check""))=0),"""",IFERROR(unique(filter(Prod_Prop!$H:$H,Prod_Prop!$G:$G=$U638,Prod_Prop!$E:$E=V$1)),""""))"),"")</f>
        <v/>
      </c>
      <c r="W638" s="4" t="str">
        <f>IF(V638="","",SUMIFS(Prod_Prop!$J:$J,Prod_Prop!$B:$B,$Q638,Prod_Prop!$H:$H,V638,Prod_Prop!$I:$I,W$1)*IF(V638="Peso",$R638,1))</f>
        <v/>
      </c>
      <c r="X638" s="4" t="str">
        <f>IF(V638="","",SUMIFS(Prod_Prop!$J:$J,Prod_Prop!$B:$B,$Q638,Prod_Prop!$H:$H,V638,Prod_Prop!$I:$I,X$1)*IF(V638="Peso",$R638,1))</f>
        <v/>
      </c>
      <c r="Y638" s="4" t="str">
        <f>IFERROR(__xludf.DUMMYFUNCTION("IF(OR($U638="""",COUNTIF($I:$I,IFERROR(unique(filter(Prod_Prop!$H:$H,Prod_Prop!$G:$G=$U638,Prod_Prop!$E:$E=Y$1)),""Check""))=0),"""",IFERROR(unique(filter(Prod_Prop!$H:$H,Prod_Prop!$G:$G=$U638,Prod_Prop!$E:$E=Y$1)),""""))"),"")</f>
        <v/>
      </c>
      <c r="Z638" s="4" t="str">
        <f>IF(Y638="","",SUMIFS(Prod_Prop!$J:$J,Prod_Prop!$B:$B,$Q638,Prod_Prop!$H:$H,Y638,Prod_Prop!$I:$I,Z$1)*IF(Y638="Peso",$R638,1))</f>
        <v/>
      </c>
      <c r="AA638" s="4" t="str">
        <f>IF(Y638="","",SUMIFS(Prod_Prop!$J:$J,Prod_Prop!$B:$B,$Q638,Prod_Prop!$H:$H,Y638,Prod_Prop!$I:$I,AA$1)*IF(Y638="Peso",$R638,1))</f>
        <v/>
      </c>
      <c r="AB638" s="4" t="str">
        <f>IFERROR(__xludf.DUMMYFUNCTION("IF(OR($U638="""",COUNTIF($I:$I,IFERROR(unique(filter(Prod_Prop!$H:$H,Prod_Prop!$G:$G=$U638,Prod_Prop!$E:$E=AB$1)),""Check""))=0),"""",IFERROR(unique(filter(Prod_Prop!$H:$H,Prod_Prop!$G:$G=$U638,Prod_Prop!$E:$E=AB$1)),""""))"),"")</f>
        <v/>
      </c>
      <c r="AC638" s="4" t="str">
        <f>IF(AB638="","",SUMIFS(Prod_Prop!$J:$J,Prod_Prop!$B:$B,$Q638,Prod_Prop!$H:$H,AB638,Prod_Prop!$I:$I,AC$1)*IF(AB638="Peso",$R638,1))</f>
        <v/>
      </c>
      <c r="AD638" s="4" t="str">
        <f>IF(AB638="","",SUMIFS(Prod_Prop!$J:$J,Prod_Prop!$B:$B,$Q638,Prod_Prop!$H:$H,AB638,Prod_Prop!$I:$I,AD$1)*IF(AB638="Peso",$R638,1))</f>
        <v/>
      </c>
    </row>
    <row r="639">
      <c r="A639" s="4" t="str">
        <f t="array" ref="A639">IF(COUNTIF(A$1:A638,Cotizador!F$2)=maxifs(Familias!E:E,Familias!D:D,Cotizador!F$2),IF(COUNTIF(A$1:A638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39" s="4" t="str">
        <f t="shared" si="1"/>
        <v/>
      </c>
      <c r="C639" s="4" t="str">
        <f t="array" ref="C639">IF(B639="","",IF(A639=XLOOKUP(A$2,Implementos!B:B,Implementos!C:C,"",0,1),B639+maxifs(B$1:B638,A$1:A638,A$2),B639))</f>
        <v/>
      </c>
      <c r="D639" s="4" t="str">
        <f>IF(B639="","", COUNTIFS(Productos!F:F,A639,Productos!H:H,B639)+IF(F639="SI",0,1))</f>
        <v/>
      </c>
      <c r="E639" s="4" t="str">
        <f>IFERROR(__xludf.DUMMYFUNCTION("IF($B639="""","""",INDEX(filter(Familias!F:F,Familias!$D:$D=$A639,Familias!$E:$E=$B639),1))"),"")</f>
        <v/>
      </c>
      <c r="F639" s="4" t="str">
        <f>IFERROR(__xludf.DUMMYFUNCTION("IF($B639="""","""",INDEX(filter(Familias!G:G,Familias!$D:$D=$A639,Familias!$E:$E=$B639),1))"),"")</f>
        <v/>
      </c>
      <c r="G639" s="4" t="str">
        <f t="array" ref="G639">IF(C639=1,XLOOKUP(C639,Cotizador!D:D,Cotizador!E:E,"",0,1),"")</f>
        <v/>
      </c>
      <c r="I639" s="4"/>
      <c r="J639" s="8" t="str">
        <f>IF(I639="","",SUMIF(Cotizador!I$1:V$1,I639,Cotizador!I$2:V$2))</f>
        <v/>
      </c>
      <c r="L639" s="4" t="str">
        <f t="array" ref="L639">IF(COUNTIF(L$1:L638,A$2)=SUMIF(A:A,A$2,D:D),IF(COUNTIF(L$1:L638,XLOOKUP(A$2,Implementos!B:B,Implementos!C:C,"",0,1))=SUMIF(A:A,XLOOKUP(A$2,Implementos!B:B,Implementos!C:C,"",0,1),D:D),"",XLOOKUP(A$2,Implementos!B:B,Implementos!C:C,"",0,1)),A$2)</f>
        <v/>
      </c>
      <c r="M639" s="4" t="str">
        <f t="shared" si="2"/>
        <v/>
      </c>
      <c r="N639" s="4" t="str">
        <f t="shared" si="3"/>
        <v/>
      </c>
      <c r="O639" s="4" t="str">
        <f t="shared" si="4"/>
        <v/>
      </c>
      <c r="P639" s="4" t="str">
        <f t="shared" si="5"/>
        <v/>
      </c>
      <c r="Q639" s="4" t="str">
        <f>IF(U639="","",SUMIF(Productos!E:E,U639,Productos!A:A))</f>
        <v/>
      </c>
      <c r="R639" s="4" t="str">
        <f t="array" ref="R639">IF(L639="","", max(1,SUMIF(I:I,XLOOKUP(U639,Productos!E:E,Productos!G:G,"",0,1),J:J)))</f>
        <v/>
      </c>
      <c r="S639" s="4" t="str">
        <f>IF(Q639="","",IF(SUMIFS(Compat_Vetado!D:D,Compat_Vetado!B:B,SUM(G:G),Compat_Vetado!C:C,Q639)=1,"SI",IF(OR(SUMIF(Cotizador!E:E,Q639,Cotizador!G:G)&gt;0,SUMIFS(Compat_Vetado!D:D,Compat_Vetado!B:B,SUM(G:G),Compat_Vetado!C:C,Q639)=-1),"NO","")))</f>
        <v/>
      </c>
      <c r="T639" s="4" t="str">
        <f t="shared" si="6"/>
        <v/>
      </c>
      <c r="U639" s="4" t="str">
        <f>IFERROR(__xludf.DUMMYFUNCTION("IF(P639="""","""",IFERROR(INDEX(filter(Productos!E:E,Productos!F:F=L639,Productos!H:H=N639),P639),IF(M639=SUM(D:D),""Finalizar"",""-"")))"),"")</f>
        <v/>
      </c>
      <c r="V639" s="4" t="str">
        <f>IFERROR(__xludf.DUMMYFUNCTION("IF(OR($U639="""",COUNTIF($I:$I,IFERROR(unique(filter(Prod_Prop!$H:$H,Prod_Prop!$G:$G=$U639,Prod_Prop!$E:$E=V$1)),""Check""))=0),"""",IFERROR(unique(filter(Prod_Prop!$H:$H,Prod_Prop!$G:$G=$U639,Prod_Prop!$E:$E=V$1)),""""))"),"")</f>
        <v/>
      </c>
      <c r="W639" s="4" t="str">
        <f>IF(V639="","",SUMIFS(Prod_Prop!$J:$J,Prod_Prop!$B:$B,$Q639,Prod_Prop!$H:$H,V639,Prod_Prop!$I:$I,W$1)*IF(V639="Peso",$R639,1))</f>
        <v/>
      </c>
      <c r="X639" s="4" t="str">
        <f>IF(V639="","",SUMIFS(Prod_Prop!$J:$J,Prod_Prop!$B:$B,$Q639,Prod_Prop!$H:$H,V639,Prod_Prop!$I:$I,X$1)*IF(V639="Peso",$R639,1))</f>
        <v/>
      </c>
      <c r="Y639" s="4" t="str">
        <f>IFERROR(__xludf.DUMMYFUNCTION("IF(OR($U639="""",COUNTIF($I:$I,IFERROR(unique(filter(Prod_Prop!$H:$H,Prod_Prop!$G:$G=$U639,Prod_Prop!$E:$E=Y$1)),""Check""))=0),"""",IFERROR(unique(filter(Prod_Prop!$H:$H,Prod_Prop!$G:$G=$U639,Prod_Prop!$E:$E=Y$1)),""""))"),"")</f>
        <v/>
      </c>
      <c r="Z639" s="4" t="str">
        <f>IF(Y639="","",SUMIFS(Prod_Prop!$J:$J,Prod_Prop!$B:$B,$Q639,Prod_Prop!$H:$H,Y639,Prod_Prop!$I:$I,Z$1)*IF(Y639="Peso",$R639,1))</f>
        <v/>
      </c>
      <c r="AA639" s="4" t="str">
        <f>IF(Y639="","",SUMIFS(Prod_Prop!$J:$J,Prod_Prop!$B:$B,$Q639,Prod_Prop!$H:$H,Y639,Prod_Prop!$I:$I,AA$1)*IF(Y639="Peso",$R639,1))</f>
        <v/>
      </c>
      <c r="AB639" s="4" t="str">
        <f>IFERROR(__xludf.DUMMYFUNCTION("IF(OR($U639="""",COUNTIF($I:$I,IFERROR(unique(filter(Prod_Prop!$H:$H,Prod_Prop!$G:$G=$U639,Prod_Prop!$E:$E=AB$1)),""Check""))=0),"""",IFERROR(unique(filter(Prod_Prop!$H:$H,Prod_Prop!$G:$G=$U639,Prod_Prop!$E:$E=AB$1)),""""))"),"")</f>
        <v/>
      </c>
      <c r="AC639" s="4" t="str">
        <f>IF(AB639="","",SUMIFS(Prod_Prop!$J:$J,Prod_Prop!$B:$B,$Q639,Prod_Prop!$H:$H,AB639,Prod_Prop!$I:$I,AC$1)*IF(AB639="Peso",$R639,1))</f>
        <v/>
      </c>
      <c r="AD639" s="4" t="str">
        <f>IF(AB639="","",SUMIFS(Prod_Prop!$J:$J,Prod_Prop!$B:$B,$Q639,Prod_Prop!$H:$H,AB639,Prod_Prop!$I:$I,AD$1)*IF(AB639="Peso",$R639,1))</f>
        <v/>
      </c>
    </row>
    <row r="640">
      <c r="A640" s="4" t="str">
        <f t="array" ref="A640">IF(COUNTIF(A$1:A639,Cotizador!F$2)=maxifs(Familias!E:E,Familias!D:D,Cotizador!F$2),IF(COUNTIF(A$1:A639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0" s="4" t="str">
        <f t="shared" si="1"/>
        <v/>
      </c>
      <c r="C640" s="4" t="str">
        <f t="array" ref="C640">IF(B640="","",IF(A640=XLOOKUP(A$2,Implementos!B:B,Implementos!C:C,"",0,1),B640+maxifs(B$1:B639,A$1:A639,A$2),B640))</f>
        <v/>
      </c>
      <c r="D640" s="4" t="str">
        <f>IF(B640="","", COUNTIFS(Productos!F:F,A640,Productos!H:H,B640)+IF(F640="SI",0,1))</f>
        <v/>
      </c>
      <c r="E640" s="4" t="str">
        <f>IFERROR(__xludf.DUMMYFUNCTION("IF($B640="""","""",INDEX(filter(Familias!F:F,Familias!$D:$D=$A640,Familias!$E:$E=$B640),1))"),"")</f>
        <v/>
      </c>
      <c r="F640" s="4" t="str">
        <f>IFERROR(__xludf.DUMMYFUNCTION("IF($B640="""","""",INDEX(filter(Familias!G:G,Familias!$D:$D=$A640,Familias!$E:$E=$B640),1))"),"")</f>
        <v/>
      </c>
      <c r="G640" s="4" t="str">
        <f t="array" ref="G640">IF(C640=1,XLOOKUP(C640,Cotizador!D:D,Cotizador!E:E,"",0,1),"")</f>
        <v/>
      </c>
      <c r="I640" s="4"/>
      <c r="J640" s="8" t="str">
        <f>IF(I640="","",SUMIF(Cotizador!I$1:V$1,I640,Cotizador!I$2:V$2))</f>
        <v/>
      </c>
      <c r="L640" s="4" t="str">
        <f t="array" ref="L640">IF(COUNTIF(L$1:L639,A$2)=SUMIF(A:A,A$2,D:D),IF(COUNTIF(L$1:L639,XLOOKUP(A$2,Implementos!B:B,Implementos!C:C,"",0,1))=SUMIF(A:A,XLOOKUP(A$2,Implementos!B:B,Implementos!C:C,"",0,1),D:D),"",XLOOKUP(A$2,Implementos!B:B,Implementos!C:C,"",0,1)),A$2)</f>
        <v/>
      </c>
      <c r="M640" s="4" t="str">
        <f t="shared" si="2"/>
        <v/>
      </c>
      <c r="N640" s="4" t="str">
        <f t="shared" si="3"/>
        <v/>
      </c>
      <c r="O640" s="4" t="str">
        <f t="shared" si="4"/>
        <v/>
      </c>
      <c r="P640" s="4" t="str">
        <f t="shared" si="5"/>
        <v/>
      </c>
      <c r="Q640" s="4" t="str">
        <f>IF(U640="","",SUMIF(Productos!E:E,U640,Productos!A:A))</f>
        <v/>
      </c>
      <c r="R640" s="4" t="str">
        <f t="array" ref="R640">IF(L640="","", max(1,SUMIF(I:I,XLOOKUP(U640,Productos!E:E,Productos!G:G,"",0,1),J:J)))</f>
        <v/>
      </c>
      <c r="S640" s="4" t="str">
        <f>IF(Q640="","",IF(SUMIFS(Compat_Vetado!D:D,Compat_Vetado!B:B,SUM(G:G),Compat_Vetado!C:C,Q640)=1,"SI",IF(OR(SUMIF(Cotizador!E:E,Q640,Cotizador!G:G)&gt;0,SUMIFS(Compat_Vetado!D:D,Compat_Vetado!B:B,SUM(G:G),Compat_Vetado!C:C,Q640)=-1),"NO","")))</f>
        <v/>
      </c>
      <c r="T640" s="4" t="str">
        <f t="shared" si="6"/>
        <v/>
      </c>
      <c r="U640" s="4" t="str">
        <f>IFERROR(__xludf.DUMMYFUNCTION("IF(P640="""","""",IFERROR(INDEX(filter(Productos!E:E,Productos!F:F=L640,Productos!H:H=N640),P640),IF(M640=SUM(D:D),""Finalizar"",""-"")))"),"")</f>
        <v/>
      </c>
      <c r="V640" s="4" t="str">
        <f>IFERROR(__xludf.DUMMYFUNCTION("IF(OR($U640="""",COUNTIF($I:$I,IFERROR(unique(filter(Prod_Prop!$H:$H,Prod_Prop!$G:$G=$U640,Prod_Prop!$E:$E=V$1)),""Check""))=0),"""",IFERROR(unique(filter(Prod_Prop!$H:$H,Prod_Prop!$G:$G=$U640,Prod_Prop!$E:$E=V$1)),""""))"),"")</f>
        <v/>
      </c>
      <c r="W640" s="4" t="str">
        <f>IF(V640="","",SUMIFS(Prod_Prop!$J:$J,Prod_Prop!$B:$B,$Q640,Prod_Prop!$H:$H,V640,Prod_Prop!$I:$I,W$1)*IF(V640="Peso",$R640,1))</f>
        <v/>
      </c>
      <c r="X640" s="4" t="str">
        <f>IF(V640="","",SUMIFS(Prod_Prop!$J:$J,Prod_Prop!$B:$B,$Q640,Prod_Prop!$H:$H,V640,Prod_Prop!$I:$I,X$1)*IF(V640="Peso",$R640,1))</f>
        <v/>
      </c>
      <c r="Y640" s="4" t="str">
        <f>IFERROR(__xludf.DUMMYFUNCTION("IF(OR($U640="""",COUNTIF($I:$I,IFERROR(unique(filter(Prod_Prop!$H:$H,Prod_Prop!$G:$G=$U640,Prod_Prop!$E:$E=Y$1)),""Check""))=0),"""",IFERROR(unique(filter(Prod_Prop!$H:$H,Prod_Prop!$G:$G=$U640,Prod_Prop!$E:$E=Y$1)),""""))"),"")</f>
        <v/>
      </c>
      <c r="Z640" s="4" t="str">
        <f>IF(Y640="","",SUMIFS(Prod_Prop!$J:$J,Prod_Prop!$B:$B,$Q640,Prod_Prop!$H:$H,Y640,Prod_Prop!$I:$I,Z$1)*IF(Y640="Peso",$R640,1))</f>
        <v/>
      </c>
      <c r="AA640" s="4" t="str">
        <f>IF(Y640="","",SUMIFS(Prod_Prop!$J:$J,Prod_Prop!$B:$B,$Q640,Prod_Prop!$H:$H,Y640,Prod_Prop!$I:$I,AA$1)*IF(Y640="Peso",$R640,1))</f>
        <v/>
      </c>
      <c r="AB640" s="4" t="str">
        <f>IFERROR(__xludf.DUMMYFUNCTION("IF(OR($U640="""",COUNTIF($I:$I,IFERROR(unique(filter(Prod_Prop!$H:$H,Prod_Prop!$G:$G=$U640,Prod_Prop!$E:$E=AB$1)),""Check""))=0),"""",IFERROR(unique(filter(Prod_Prop!$H:$H,Prod_Prop!$G:$G=$U640,Prod_Prop!$E:$E=AB$1)),""""))"),"")</f>
        <v/>
      </c>
      <c r="AC640" s="4" t="str">
        <f>IF(AB640="","",SUMIFS(Prod_Prop!$J:$J,Prod_Prop!$B:$B,$Q640,Prod_Prop!$H:$H,AB640,Prod_Prop!$I:$I,AC$1)*IF(AB640="Peso",$R640,1))</f>
        <v/>
      </c>
      <c r="AD640" s="4" t="str">
        <f>IF(AB640="","",SUMIFS(Prod_Prop!$J:$J,Prod_Prop!$B:$B,$Q640,Prod_Prop!$H:$H,AB640,Prod_Prop!$I:$I,AD$1)*IF(AB640="Peso",$R640,1))</f>
        <v/>
      </c>
    </row>
    <row r="641">
      <c r="A641" s="4" t="str">
        <f t="array" ref="A641">IF(COUNTIF(A$1:A640,Cotizador!F$2)=maxifs(Familias!E:E,Familias!D:D,Cotizador!F$2),IF(COUNTIF(A$1:A640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1" s="4" t="str">
        <f t="shared" si="1"/>
        <v/>
      </c>
      <c r="C641" s="4" t="str">
        <f t="array" ref="C641">IF(B641="","",IF(A641=XLOOKUP(A$2,Implementos!B:B,Implementos!C:C,"",0,1),B641+maxifs(B$1:B640,A$1:A640,A$2),B641))</f>
        <v/>
      </c>
      <c r="D641" s="4" t="str">
        <f>IF(B641="","", COUNTIFS(Productos!F:F,A641,Productos!H:H,B641)+IF(F641="SI",0,1))</f>
        <v/>
      </c>
      <c r="E641" s="4" t="str">
        <f>IFERROR(__xludf.DUMMYFUNCTION("IF($B641="""","""",INDEX(filter(Familias!F:F,Familias!$D:$D=$A641,Familias!$E:$E=$B641),1))"),"")</f>
        <v/>
      </c>
      <c r="F641" s="4" t="str">
        <f>IFERROR(__xludf.DUMMYFUNCTION("IF($B641="""","""",INDEX(filter(Familias!G:G,Familias!$D:$D=$A641,Familias!$E:$E=$B641),1))"),"")</f>
        <v/>
      </c>
      <c r="G641" s="4" t="str">
        <f t="array" ref="G641">IF(C641=1,XLOOKUP(C641,Cotizador!D:D,Cotizador!E:E,"",0,1),"")</f>
        <v/>
      </c>
      <c r="I641" s="4"/>
      <c r="J641" s="8" t="str">
        <f>IF(I641="","",SUMIF(Cotizador!I$1:V$1,I641,Cotizador!I$2:V$2))</f>
        <v/>
      </c>
      <c r="L641" s="4" t="str">
        <f t="array" ref="L641">IF(COUNTIF(L$1:L640,A$2)=SUMIF(A:A,A$2,D:D),IF(COUNTIF(L$1:L640,XLOOKUP(A$2,Implementos!B:B,Implementos!C:C,"",0,1))=SUMIF(A:A,XLOOKUP(A$2,Implementos!B:B,Implementos!C:C,"",0,1),D:D),"",XLOOKUP(A$2,Implementos!B:B,Implementos!C:C,"",0,1)),A$2)</f>
        <v/>
      </c>
      <c r="M641" s="4" t="str">
        <f t="shared" si="2"/>
        <v/>
      </c>
      <c r="N641" s="4" t="str">
        <f t="shared" si="3"/>
        <v/>
      </c>
      <c r="O641" s="4" t="str">
        <f t="shared" si="4"/>
        <v/>
      </c>
      <c r="P641" s="4" t="str">
        <f t="shared" si="5"/>
        <v/>
      </c>
      <c r="Q641" s="4" t="str">
        <f>IF(U641="","",SUMIF(Productos!E:E,U641,Productos!A:A))</f>
        <v/>
      </c>
      <c r="R641" s="4" t="str">
        <f t="array" ref="R641">IF(L641="","", max(1,SUMIF(I:I,XLOOKUP(U641,Productos!E:E,Productos!G:G,"",0,1),J:J)))</f>
        <v/>
      </c>
      <c r="S641" s="4" t="str">
        <f>IF(Q641="","",IF(SUMIFS(Compat_Vetado!D:D,Compat_Vetado!B:B,SUM(G:G),Compat_Vetado!C:C,Q641)=1,"SI",IF(OR(SUMIF(Cotizador!E:E,Q641,Cotizador!G:G)&gt;0,SUMIFS(Compat_Vetado!D:D,Compat_Vetado!B:B,SUM(G:G),Compat_Vetado!C:C,Q641)=-1),"NO","")))</f>
        <v/>
      </c>
      <c r="T641" s="4" t="str">
        <f t="shared" si="6"/>
        <v/>
      </c>
      <c r="U641" s="4" t="str">
        <f>IFERROR(__xludf.DUMMYFUNCTION("IF(P641="""","""",IFERROR(INDEX(filter(Productos!E:E,Productos!F:F=L641,Productos!H:H=N641),P641),IF(M641=SUM(D:D),""Finalizar"",""-"")))"),"")</f>
        <v/>
      </c>
      <c r="V641" s="4" t="str">
        <f>IFERROR(__xludf.DUMMYFUNCTION("IF(OR($U641="""",COUNTIF($I:$I,IFERROR(unique(filter(Prod_Prop!$H:$H,Prod_Prop!$G:$G=$U641,Prod_Prop!$E:$E=V$1)),""Check""))=0),"""",IFERROR(unique(filter(Prod_Prop!$H:$H,Prod_Prop!$G:$G=$U641,Prod_Prop!$E:$E=V$1)),""""))"),"")</f>
        <v/>
      </c>
      <c r="W641" s="4" t="str">
        <f>IF(V641="","",SUMIFS(Prod_Prop!$J:$J,Prod_Prop!$B:$B,$Q641,Prod_Prop!$H:$H,V641,Prod_Prop!$I:$I,W$1)*IF(V641="Peso",$R641,1))</f>
        <v/>
      </c>
      <c r="X641" s="4" t="str">
        <f>IF(V641="","",SUMIFS(Prod_Prop!$J:$J,Prod_Prop!$B:$B,$Q641,Prod_Prop!$H:$H,V641,Prod_Prop!$I:$I,X$1)*IF(V641="Peso",$R641,1))</f>
        <v/>
      </c>
      <c r="Y641" s="4" t="str">
        <f>IFERROR(__xludf.DUMMYFUNCTION("IF(OR($U641="""",COUNTIF($I:$I,IFERROR(unique(filter(Prod_Prop!$H:$H,Prod_Prop!$G:$G=$U641,Prod_Prop!$E:$E=Y$1)),""Check""))=0),"""",IFERROR(unique(filter(Prod_Prop!$H:$H,Prod_Prop!$G:$G=$U641,Prod_Prop!$E:$E=Y$1)),""""))"),"")</f>
        <v/>
      </c>
      <c r="Z641" s="4" t="str">
        <f>IF(Y641="","",SUMIFS(Prod_Prop!$J:$J,Prod_Prop!$B:$B,$Q641,Prod_Prop!$H:$H,Y641,Prod_Prop!$I:$I,Z$1)*IF(Y641="Peso",$R641,1))</f>
        <v/>
      </c>
      <c r="AA641" s="4" t="str">
        <f>IF(Y641="","",SUMIFS(Prod_Prop!$J:$J,Prod_Prop!$B:$B,$Q641,Prod_Prop!$H:$H,Y641,Prod_Prop!$I:$I,AA$1)*IF(Y641="Peso",$R641,1))</f>
        <v/>
      </c>
      <c r="AB641" s="4" t="str">
        <f>IFERROR(__xludf.DUMMYFUNCTION("IF(OR($U641="""",COUNTIF($I:$I,IFERROR(unique(filter(Prod_Prop!$H:$H,Prod_Prop!$G:$G=$U641,Prod_Prop!$E:$E=AB$1)),""Check""))=0),"""",IFERROR(unique(filter(Prod_Prop!$H:$H,Prod_Prop!$G:$G=$U641,Prod_Prop!$E:$E=AB$1)),""""))"),"")</f>
        <v/>
      </c>
      <c r="AC641" s="4" t="str">
        <f>IF(AB641="","",SUMIFS(Prod_Prop!$J:$J,Prod_Prop!$B:$B,$Q641,Prod_Prop!$H:$H,AB641,Prod_Prop!$I:$I,AC$1)*IF(AB641="Peso",$R641,1))</f>
        <v/>
      </c>
      <c r="AD641" s="4" t="str">
        <f>IF(AB641="","",SUMIFS(Prod_Prop!$J:$J,Prod_Prop!$B:$B,$Q641,Prod_Prop!$H:$H,AB641,Prod_Prop!$I:$I,AD$1)*IF(AB641="Peso",$R641,1))</f>
        <v/>
      </c>
    </row>
    <row r="642">
      <c r="A642" s="4" t="str">
        <f t="array" ref="A642">IF(COUNTIF(A$1:A641,Cotizador!F$2)=maxifs(Familias!E:E,Familias!D:D,Cotizador!F$2),IF(COUNTIF(A$1:A641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2" s="4" t="str">
        <f t="shared" si="1"/>
        <v/>
      </c>
      <c r="C642" s="4" t="str">
        <f t="array" ref="C642">IF(B642="","",IF(A642=XLOOKUP(A$2,Implementos!B:B,Implementos!C:C,"",0,1),B642+maxifs(B$1:B641,A$1:A641,A$2),B642))</f>
        <v/>
      </c>
      <c r="D642" s="4" t="str">
        <f>IF(B642="","", COUNTIFS(Productos!F:F,A642,Productos!H:H,B642)+IF(F642="SI",0,1))</f>
        <v/>
      </c>
      <c r="E642" s="4" t="str">
        <f>IFERROR(__xludf.DUMMYFUNCTION("IF($B642="""","""",INDEX(filter(Familias!F:F,Familias!$D:$D=$A642,Familias!$E:$E=$B642),1))"),"")</f>
        <v/>
      </c>
      <c r="F642" s="4" t="str">
        <f>IFERROR(__xludf.DUMMYFUNCTION("IF($B642="""","""",INDEX(filter(Familias!G:G,Familias!$D:$D=$A642,Familias!$E:$E=$B642),1))"),"")</f>
        <v/>
      </c>
      <c r="G642" s="4" t="str">
        <f t="array" ref="G642">IF(C642=1,XLOOKUP(C642,Cotizador!D:D,Cotizador!E:E,"",0,1),"")</f>
        <v/>
      </c>
      <c r="I642" s="4"/>
      <c r="J642" s="8" t="str">
        <f>IF(I642="","",SUMIF(Cotizador!I$1:V$1,I642,Cotizador!I$2:V$2))</f>
        <v/>
      </c>
      <c r="L642" s="4" t="str">
        <f t="array" ref="L642">IF(COUNTIF(L$1:L641,A$2)=SUMIF(A:A,A$2,D:D),IF(COUNTIF(L$1:L641,XLOOKUP(A$2,Implementos!B:B,Implementos!C:C,"",0,1))=SUMIF(A:A,XLOOKUP(A$2,Implementos!B:B,Implementos!C:C,"",0,1),D:D),"",XLOOKUP(A$2,Implementos!B:B,Implementos!C:C,"",0,1)),A$2)</f>
        <v/>
      </c>
      <c r="M642" s="4" t="str">
        <f t="shared" si="2"/>
        <v/>
      </c>
      <c r="N642" s="4" t="str">
        <f t="shared" si="3"/>
        <v/>
      </c>
      <c r="O642" s="4" t="str">
        <f t="shared" si="4"/>
        <v/>
      </c>
      <c r="P642" s="4" t="str">
        <f t="shared" si="5"/>
        <v/>
      </c>
      <c r="Q642" s="4" t="str">
        <f>IF(U642="","",SUMIF(Productos!E:E,U642,Productos!A:A))</f>
        <v/>
      </c>
      <c r="R642" s="4" t="str">
        <f t="array" ref="R642">IF(L642="","", max(1,SUMIF(I:I,XLOOKUP(U642,Productos!E:E,Productos!G:G,"",0,1),J:J)))</f>
        <v/>
      </c>
      <c r="S642" s="4" t="str">
        <f>IF(Q642="","",IF(SUMIFS(Compat_Vetado!D:D,Compat_Vetado!B:B,SUM(G:G),Compat_Vetado!C:C,Q642)=1,"SI",IF(OR(SUMIF(Cotizador!E:E,Q642,Cotizador!G:G)&gt;0,SUMIFS(Compat_Vetado!D:D,Compat_Vetado!B:B,SUM(G:G),Compat_Vetado!C:C,Q642)=-1),"NO","")))</f>
        <v/>
      </c>
      <c r="T642" s="4" t="str">
        <f t="shared" si="6"/>
        <v/>
      </c>
      <c r="U642" s="4" t="str">
        <f>IFERROR(__xludf.DUMMYFUNCTION("IF(P642="""","""",IFERROR(INDEX(filter(Productos!E:E,Productos!F:F=L642,Productos!H:H=N642),P642),IF(M642=SUM(D:D),""Finalizar"",""-"")))"),"")</f>
        <v/>
      </c>
      <c r="V642" s="4" t="str">
        <f>IFERROR(__xludf.DUMMYFUNCTION("IF(OR($U642="""",COUNTIF($I:$I,IFERROR(unique(filter(Prod_Prop!$H:$H,Prod_Prop!$G:$G=$U642,Prod_Prop!$E:$E=V$1)),""Check""))=0),"""",IFERROR(unique(filter(Prod_Prop!$H:$H,Prod_Prop!$G:$G=$U642,Prod_Prop!$E:$E=V$1)),""""))"),"")</f>
        <v/>
      </c>
      <c r="W642" s="4" t="str">
        <f>IF(V642="","",SUMIFS(Prod_Prop!$J:$J,Prod_Prop!$B:$B,$Q642,Prod_Prop!$H:$H,V642,Prod_Prop!$I:$I,W$1)*IF(V642="Peso",$R642,1))</f>
        <v/>
      </c>
      <c r="X642" s="4" t="str">
        <f>IF(V642="","",SUMIFS(Prod_Prop!$J:$J,Prod_Prop!$B:$B,$Q642,Prod_Prop!$H:$H,V642,Prod_Prop!$I:$I,X$1)*IF(V642="Peso",$R642,1))</f>
        <v/>
      </c>
      <c r="Y642" s="4" t="str">
        <f>IFERROR(__xludf.DUMMYFUNCTION("IF(OR($U642="""",COUNTIF($I:$I,IFERROR(unique(filter(Prod_Prop!$H:$H,Prod_Prop!$G:$G=$U642,Prod_Prop!$E:$E=Y$1)),""Check""))=0),"""",IFERROR(unique(filter(Prod_Prop!$H:$H,Prod_Prop!$G:$G=$U642,Prod_Prop!$E:$E=Y$1)),""""))"),"")</f>
        <v/>
      </c>
      <c r="Z642" s="4" t="str">
        <f>IF(Y642="","",SUMIFS(Prod_Prop!$J:$J,Prod_Prop!$B:$B,$Q642,Prod_Prop!$H:$H,Y642,Prod_Prop!$I:$I,Z$1)*IF(Y642="Peso",$R642,1))</f>
        <v/>
      </c>
      <c r="AA642" s="4" t="str">
        <f>IF(Y642="","",SUMIFS(Prod_Prop!$J:$J,Prod_Prop!$B:$B,$Q642,Prod_Prop!$H:$H,Y642,Prod_Prop!$I:$I,AA$1)*IF(Y642="Peso",$R642,1))</f>
        <v/>
      </c>
      <c r="AB642" s="4" t="str">
        <f>IFERROR(__xludf.DUMMYFUNCTION("IF(OR($U642="""",COUNTIF($I:$I,IFERROR(unique(filter(Prod_Prop!$H:$H,Prod_Prop!$G:$G=$U642,Prod_Prop!$E:$E=AB$1)),""Check""))=0),"""",IFERROR(unique(filter(Prod_Prop!$H:$H,Prod_Prop!$G:$G=$U642,Prod_Prop!$E:$E=AB$1)),""""))"),"")</f>
        <v/>
      </c>
      <c r="AC642" s="4" t="str">
        <f>IF(AB642="","",SUMIFS(Prod_Prop!$J:$J,Prod_Prop!$B:$B,$Q642,Prod_Prop!$H:$H,AB642,Prod_Prop!$I:$I,AC$1)*IF(AB642="Peso",$R642,1))</f>
        <v/>
      </c>
      <c r="AD642" s="4" t="str">
        <f>IF(AB642="","",SUMIFS(Prod_Prop!$J:$J,Prod_Prop!$B:$B,$Q642,Prod_Prop!$H:$H,AB642,Prod_Prop!$I:$I,AD$1)*IF(AB642="Peso",$R642,1))</f>
        <v/>
      </c>
    </row>
    <row r="643">
      <c r="A643" s="4" t="str">
        <f t="array" ref="A643">IF(COUNTIF(A$1:A642,Cotizador!F$2)=maxifs(Familias!E:E,Familias!D:D,Cotizador!F$2),IF(COUNTIF(A$1:A642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3" s="4" t="str">
        <f t="shared" si="1"/>
        <v/>
      </c>
      <c r="C643" s="4" t="str">
        <f t="array" ref="C643">IF(B643="","",IF(A643=XLOOKUP(A$2,Implementos!B:B,Implementos!C:C,"",0,1),B643+maxifs(B$1:B642,A$1:A642,A$2),B643))</f>
        <v/>
      </c>
      <c r="D643" s="4" t="str">
        <f>IF(B643="","", COUNTIFS(Productos!F:F,A643,Productos!H:H,B643)+IF(F643="SI",0,1))</f>
        <v/>
      </c>
      <c r="E643" s="4" t="str">
        <f>IFERROR(__xludf.DUMMYFUNCTION("IF($B643="""","""",INDEX(filter(Familias!F:F,Familias!$D:$D=$A643,Familias!$E:$E=$B643),1))"),"")</f>
        <v/>
      </c>
      <c r="F643" s="4" t="str">
        <f>IFERROR(__xludf.DUMMYFUNCTION("IF($B643="""","""",INDEX(filter(Familias!G:G,Familias!$D:$D=$A643,Familias!$E:$E=$B643),1))"),"")</f>
        <v/>
      </c>
      <c r="G643" s="4" t="str">
        <f t="array" ref="G643">IF(C643=1,XLOOKUP(C643,Cotizador!D:D,Cotizador!E:E,"",0,1),"")</f>
        <v/>
      </c>
      <c r="I643" s="4"/>
      <c r="J643" s="8" t="str">
        <f>IF(I643="","",SUMIF(Cotizador!I$1:V$1,I643,Cotizador!I$2:V$2))</f>
        <v/>
      </c>
      <c r="L643" s="4" t="str">
        <f t="array" ref="L643">IF(COUNTIF(L$1:L642,A$2)=SUMIF(A:A,A$2,D:D),IF(COUNTIF(L$1:L642,XLOOKUP(A$2,Implementos!B:B,Implementos!C:C,"",0,1))=SUMIF(A:A,XLOOKUP(A$2,Implementos!B:B,Implementos!C:C,"",0,1),D:D),"",XLOOKUP(A$2,Implementos!B:B,Implementos!C:C,"",0,1)),A$2)</f>
        <v/>
      </c>
      <c r="M643" s="4" t="str">
        <f t="shared" si="2"/>
        <v/>
      </c>
      <c r="N643" s="4" t="str">
        <f t="shared" si="3"/>
        <v/>
      </c>
      <c r="O643" s="4" t="str">
        <f t="shared" si="4"/>
        <v/>
      </c>
      <c r="P643" s="4" t="str">
        <f t="shared" si="5"/>
        <v/>
      </c>
      <c r="Q643" s="4" t="str">
        <f>IF(U643="","",SUMIF(Productos!E:E,U643,Productos!A:A))</f>
        <v/>
      </c>
      <c r="R643" s="4" t="str">
        <f t="array" ref="R643">IF(L643="","", max(1,SUMIF(I:I,XLOOKUP(U643,Productos!E:E,Productos!G:G,"",0,1),J:J)))</f>
        <v/>
      </c>
      <c r="S643" s="4" t="str">
        <f>IF(Q643="","",IF(SUMIFS(Compat_Vetado!D:D,Compat_Vetado!B:B,SUM(G:G),Compat_Vetado!C:C,Q643)=1,"SI",IF(OR(SUMIF(Cotizador!E:E,Q643,Cotizador!G:G)&gt;0,SUMIFS(Compat_Vetado!D:D,Compat_Vetado!B:B,SUM(G:G),Compat_Vetado!C:C,Q643)=-1),"NO","")))</f>
        <v/>
      </c>
      <c r="T643" s="4" t="str">
        <f t="shared" si="6"/>
        <v/>
      </c>
      <c r="U643" s="4" t="str">
        <f>IFERROR(__xludf.DUMMYFUNCTION("IF(P643="""","""",IFERROR(INDEX(filter(Productos!E:E,Productos!F:F=L643,Productos!H:H=N643),P643),IF(M643=SUM(D:D),""Finalizar"",""-"")))"),"")</f>
        <v/>
      </c>
      <c r="V643" s="4" t="str">
        <f>IFERROR(__xludf.DUMMYFUNCTION("IF(OR($U643="""",COUNTIF($I:$I,IFERROR(unique(filter(Prod_Prop!$H:$H,Prod_Prop!$G:$G=$U643,Prod_Prop!$E:$E=V$1)),""Check""))=0),"""",IFERROR(unique(filter(Prod_Prop!$H:$H,Prod_Prop!$G:$G=$U643,Prod_Prop!$E:$E=V$1)),""""))"),"")</f>
        <v/>
      </c>
      <c r="W643" s="4" t="str">
        <f>IF(V643="","",SUMIFS(Prod_Prop!$J:$J,Prod_Prop!$B:$B,$Q643,Prod_Prop!$H:$H,V643,Prod_Prop!$I:$I,W$1)*IF(V643="Peso",$R643,1))</f>
        <v/>
      </c>
      <c r="X643" s="4" t="str">
        <f>IF(V643="","",SUMIFS(Prod_Prop!$J:$J,Prod_Prop!$B:$B,$Q643,Prod_Prop!$H:$H,V643,Prod_Prop!$I:$I,X$1)*IF(V643="Peso",$R643,1))</f>
        <v/>
      </c>
      <c r="Y643" s="4" t="str">
        <f>IFERROR(__xludf.DUMMYFUNCTION("IF(OR($U643="""",COUNTIF($I:$I,IFERROR(unique(filter(Prod_Prop!$H:$H,Prod_Prop!$G:$G=$U643,Prod_Prop!$E:$E=Y$1)),""Check""))=0),"""",IFERROR(unique(filter(Prod_Prop!$H:$H,Prod_Prop!$G:$G=$U643,Prod_Prop!$E:$E=Y$1)),""""))"),"")</f>
        <v/>
      </c>
      <c r="Z643" s="4" t="str">
        <f>IF(Y643="","",SUMIFS(Prod_Prop!$J:$J,Prod_Prop!$B:$B,$Q643,Prod_Prop!$H:$H,Y643,Prod_Prop!$I:$I,Z$1)*IF(Y643="Peso",$R643,1))</f>
        <v/>
      </c>
      <c r="AA643" s="4" t="str">
        <f>IF(Y643="","",SUMIFS(Prod_Prop!$J:$J,Prod_Prop!$B:$B,$Q643,Prod_Prop!$H:$H,Y643,Prod_Prop!$I:$I,AA$1)*IF(Y643="Peso",$R643,1))</f>
        <v/>
      </c>
      <c r="AB643" s="4" t="str">
        <f>IFERROR(__xludf.DUMMYFUNCTION("IF(OR($U643="""",COUNTIF($I:$I,IFERROR(unique(filter(Prod_Prop!$H:$H,Prod_Prop!$G:$G=$U643,Prod_Prop!$E:$E=AB$1)),""Check""))=0),"""",IFERROR(unique(filter(Prod_Prop!$H:$H,Prod_Prop!$G:$G=$U643,Prod_Prop!$E:$E=AB$1)),""""))"),"")</f>
        <v/>
      </c>
      <c r="AC643" s="4" t="str">
        <f>IF(AB643="","",SUMIFS(Prod_Prop!$J:$J,Prod_Prop!$B:$B,$Q643,Prod_Prop!$H:$H,AB643,Prod_Prop!$I:$I,AC$1)*IF(AB643="Peso",$R643,1))</f>
        <v/>
      </c>
      <c r="AD643" s="4" t="str">
        <f>IF(AB643="","",SUMIFS(Prod_Prop!$J:$J,Prod_Prop!$B:$B,$Q643,Prod_Prop!$H:$H,AB643,Prod_Prop!$I:$I,AD$1)*IF(AB643="Peso",$R643,1))</f>
        <v/>
      </c>
    </row>
    <row r="644">
      <c r="A644" s="4" t="str">
        <f t="array" ref="A644">IF(COUNTIF(A$1:A643,Cotizador!F$2)=maxifs(Familias!E:E,Familias!D:D,Cotizador!F$2),IF(COUNTIF(A$1:A643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4" s="4" t="str">
        <f t="shared" si="1"/>
        <v/>
      </c>
      <c r="C644" s="4" t="str">
        <f t="array" ref="C644">IF(B644="","",IF(A644=XLOOKUP(A$2,Implementos!B:B,Implementos!C:C,"",0,1),B644+maxifs(B$1:B643,A$1:A643,A$2),B644))</f>
        <v/>
      </c>
      <c r="D644" s="4" t="str">
        <f>IF(B644="","", COUNTIFS(Productos!F:F,A644,Productos!H:H,B644)+IF(F644="SI",0,1))</f>
        <v/>
      </c>
      <c r="E644" s="4" t="str">
        <f>IFERROR(__xludf.DUMMYFUNCTION("IF($B644="""","""",INDEX(filter(Familias!F:F,Familias!$D:$D=$A644,Familias!$E:$E=$B644),1))"),"")</f>
        <v/>
      </c>
      <c r="F644" s="4" t="str">
        <f>IFERROR(__xludf.DUMMYFUNCTION("IF($B644="""","""",INDEX(filter(Familias!G:G,Familias!$D:$D=$A644,Familias!$E:$E=$B644),1))"),"")</f>
        <v/>
      </c>
      <c r="G644" s="4" t="str">
        <f t="array" ref="G644">IF(C644=1,XLOOKUP(C644,Cotizador!D:D,Cotizador!E:E,"",0,1),"")</f>
        <v/>
      </c>
      <c r="I644" s="4"/>
      <c r="J644" s="8" t="str">
        <f>IF(I644="","",SUMIF(Cotizador!I$1:V$1,I644,Cotizador!I$2:V$2))</f>
        <v/>
      </c>
      <c r="L644" s="4" t="str">
        <f t="array" ref="L644">IF(COUNTIF(L$1:L643,A$2)=SUMIF(A:A,A$2,D:D),IF(COUNTIF(L$1:L643,XLOOKUP(A$2,Implementos!B:B,Implementos!C:C,"",0,1))=SUMIF(A:A,XLOOKUP(A$2,Implementos!B:B,Implementos!C:C,"",0,1),D:D),"",XLOOKUP(A$2,Implementos!B:B,Implementos!C:C,"",0,1)),A$2)</f>
        <v/>
      </c>
      <c r="M644" s="4" t="str">
        <f t="shared" si="2"/>
        <v/>
      </c>
      <c r="N644" s="4" t="str">
        <f t="shared" si="3"/>
        <v/>
      </c>
      <c r="O644" s="4" t="str">
        <f t="shared" si="4"/>
        <v/>
      </c>
      <c r="P644" s="4" t="str">
        <f t="shared" si="5"/>
        <v/>
      </c>
      <c r="Q644" s="4" t="str">
        <f>IF(U644="","",SUMIF(Productos!E:E,U644,Productos!A:A))</f>
        <v/>
      </c>
      <c r="R644" s="4" t="str">
        <f t="array" ref="R644">IF(L644="","", max(1,SUMIF(I:I,XLOOKUP(U644,Productos!E:E,Productos!G:G,"",0,1),J:J)))</f>
        <v/>
      </c>
      <c r="S644" s="4" t="str">
        <f>IF(Q644="","",IF(SUMIFS(Compat_Vetado!D:D,Compat_Vetado!B:B,SUM(G:G),Compat_Vetado!C:C,Q644)=1,"SI",IF(OR(SUMIF(Cotizador!E:E,Q644,Cotizador!G:G)&gt;0,SUMIFS(Compat_Vetado!D:D,Compat_Vetado!B:B,SUM(G:G),Compat_Vetado!C:C,Q644)=-1),"NO","")))</f>
        <v/>
      </c>
      <c r="T644" s="4" t="str">
        <f t="shared" si="6"/>
        <v/>
      </c>
      <c r="U644" s="4" t="str">
        <f>IFERROR(__xludf.DUMMYFUNCTION("IF(P644="""","""",IFERROR(INDEX(filter(Productos!E:E,Productos!F:F=L644,Productos!H:H=N644),P644),IF(M644=SUM(D:D),""Finalizar"",""-"")))"),"")</f>
        <v/>
      </c>
      <c r="V644" s="4" t="str">
        <f>IFERROR(__xludf.DUMMYFUNCTION("IF(OR($U644="""",COUNTIF($I:$I,IFERROR(unique(filter(Prod_Prop!$H:$H,Prod_Prop!$G:$G=$U644,Prod_Prop!$E:$E=V$1)),""Check""))=0),"""",IFERROR(unique(filter(Prod_Prop!$H:$H,Prod_Prop!$G:$G=$U644,Prod_Prop!$E:$E=V$1)),""""))"),"")</f>
        <v/>
      </c>
      <c r="W644" s="4" t="str">
        <f>IF(V644="","",SUMIFS(Prod_Prop!$J:$J,Prod_Prop!$B:$B,$Q644,Prod_Prop!$H:$H,V644,Prod_Prop!$I:$I,W$1)*IF(V644="Peso",$R644,1))</f>
        <v/>
      </c>
      <c r="X644" s="4" t="str">
        <f>IF(V644="","",SUMIFS(Prod_Prop!$J:$J,Prod_Prop!$B:$B,$Q644,Prod_Prop!$H:$H,V644,Prod_Prop!$I:$I,X$1)*IF(V644="Peso",$R644,1))</f>
        <v/>
      </c>
      <c r="Y644" s="4" t="str">
        <f>IFERROR(__xludf.DUMMYFUNCTION("IF(OR($U644="""",COUNTIF($I:$I,IFERROR(unique(filter(Prod_Prop!$H:$H,Prod_Prop!$G:$G=$U644,Prod_Prop!$E:$E=Y$1)),""Check""))=0),"""",IFERROR(unique(filter(Prod_Prop!$H:$H,Prod_Prop!$G:$G=$U644,Prod_Prop!$E:$E=Y$1)),""""))"),"")</f>
        <v/>
      </c>
      <c r="Z644" s="4" t="str">
        <f>IF(Y644="","",SUMIFS(Prod_Prop!$J:$J,Prod_Prop!$B:$B,$Q644,Prod_Prop!$H:$H,Y644,Prod_Prop!$I:$I,Z$1)*IF(Y644="Peso",$R644,1))</f>
        <v/>
      </c>
      <c r="AA644" s="4" t="str">
        <f>IF(Y644="","",SUMIFS(Prod_Prop!$J:$J,Prod_Prop!$B:$B,$Q644,Prod_Prop!$H:$H,Y644,Prod_Prop!$I:$I,AA$1)*IF(Y644="Peso",$R644,1))</f>
        <v/>
      </c>
      <c r="AB644" s="4" t="str">
        <f>IFERROR(__xludf.DUMMYFUNCTION("IF(OR($U644="""",COUNTIF($I:$I,IFERROR(unique(filter(Prod_Prop!$H:$H,Prod_Prop!$G:$G=$U644,Prod_Prop!$E:$E=AB$1)),""Check""))=0),"""",IFERROR(unique(filter(Prod_Prop!$H:$H,Prod_Prop!$G:$G=$U644,Prod_Prop!$E:$E=AB$1)),""""))"),"")</f>
        <v/>
      </c>
      <c r="AC644" s="4" t="str">
        <f>IF(AB644="","",SUMIFS(Prod_Prop!$J:$J,Prod_Prop!$B:$B,$Q644,Prod_Prop!$H:$H,AB644,Prod_Prop!$I:$I,AC$1)*IF(AB644="Peso",$R644,1))</f>
        <v/>
      </c>
      <c r="AD644" s="4" t="str">
        <f>IF(AB644="","",SUMIFS(Prod_Prop!$J:$J,Prod_Prop!$B:$B,$Q644,Prod_Prop!$H:$H,AB644,Prod_Prop!$I:$I,AD$1)*IF(AB644="Peso",$R644,1))</f>
        <v/>
      </c>
    </row>
    <row r="645">
      <c r="A645" s="4" t="str">
        <f t="array" ref="A645">IF(COUNTIF(A$1:A644,Cotizador!F$2)=maxifs(Familias!E:E,Familias!D:D,Cotizador!F$2),IF(COUNTIF(A$1:A644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5" s="4" t="str">
        <f t="shared" si="1"/>
        <v/>
      </c>
      <c r="C645" s="4" t="str">
        <f t="array" ref="C645">IF(B645="","",IF(A645=XLOOKUP(A$2,Implementos!B:B,Implementos!C:C,"",0,1),B645+maxifs(B$1:B644,A$1:A644,A$2),B645))</f>
        <v/>
      </c>
      <c r="D645" s="4" t="str">
        <f>IF(B645="","", COUNTIFS(Productos!F:F,A645,Productos!H:H,B645)+IF(F645="SI",0,1))</f>
        <v/>
      </c>
      <c r="E645" s="4" t="str">
        <f>IFERROR(__xludf.DUMMYFUNCTION("IF($B645="""","""",INDEX(filter(Familias!F:F,Familias!$D:$D=$A645,Familias!$E:$E=$B645),1))"),"")</f>
        <v/>
      </c>
      <c r="F645" s="4" t="str">
        <f>IFERROR(__xludf.DUMMYFUNCTION("IF($B645="""","""",INDEX(filter(Familias!G:G,Familias!$D:$D=$A645,Familias!$E:$E=$B645),1))"),"")</f>
        <v/>
      </c>
      <c r="G645" s="4" t="str">
        <f t="array" ref="G645">IF(C645=1,XLOOKUP(C645,Cotizador!D:D,Cotizador!E:E,"",0,1),"")</f>
        <v/>
      </c>
      <c r="I645" s="4"/>
      <c r="J645" s="8" t="str">
        <f>IF(I645="","",SUMIF(Cotizador!I$1:V$1,I645,Cotizador!I$2:V$2))</f>
        <v/>
      </c>
      <c r="L645" s="4" t="str">
        <f t="array" ref="L645">IF(COUNTIF(L$1:L644,A$2)=SUMIF(A:A,A$2,D:D),IF(COUNTIF(L$1:L644,XLOOKUP(A$2,Implementos!B:B,Implementos!C:C,"",0,1))=SUMIF(A:A,XLOOKUP(A$2,Implementos!B:B,Implementos!C:C,"",0,1),D:D),"",XLOOKUP(A$2,Implementos!B:B,Implementos!C:C,"",0,1)),A$2)</f>
        <v/>
      </c>
      <c r="M645" s="4" t="str">
        <f t="shared" si="2"/>
        <v/>
      </c>
      <c r="N645" s="4" t="str">
        <f t="shared" si="3"/>
        <v/>
      </c>
      <c r="O645" s="4" t="str">
        <f t="shared" si="4"/>
        <v/>
      </c>
      <c r="P645" s="4" t="str">
        <f t="shared" si="5"/>
        <v/>
      </c>
      <c r="Q645" s="4" t="str">
        <f>IF(U645="","",SUMIF(Productos!E:E,U645,Productos!A:A))</f>
        <v/>
      </c>
      <c r="R645" s="4" t="str">
        <f t="array" ref="R645">IF(L645="","", max(1,SUMIF(I:I,XLOOKUP(U645,Productos!E:E,Productos!G:G,"",0,1),J:J)))</f>
        <v/>
      </c>
      <c r="S645" s="4" t="str">
        <f>IF(Q645="","",IF(SUMIFS(Compat_Vetado!D:D,Compat_Vetado!B:B,SUM(G:G),Compat_Vetado!C:C,Q645)=1,"SI",IF(OR(SUMIF(Cotizador!E:E,Q645,Cotizador!G:G)&gt;0,SUMIFS(Compat_Vetado!D:D,Compat_Vetado!B:B,SUM(G:G),Compat_Vetado!C:C,Q645)=-1),"NO","")))</f>
        <v/>
      </c>
      <c r="T645" s="4" t="str">
        <f t="shared" si="6"/>
        <v/>
      </c>
      <c r="U645" s="4" t="str">
        <f>IFERROR(__xludf.DUMMYFUNCTION("IF(P645="""","""",IFERROR(INDEX(filter(Productos!E:E,Productos!F:F=L645,Productos!H:H=N645),P645),IF(M645=SUM(D:D),""Finalizar"",""-"")))"),"")</f>
        <v/>
      </c>
      <c r="V645" s="4" t="str">
        <f>IFERROR(__xludf.DUMMYFUNCTION("IF(OR($U645="""",COUNTIF($I:$I,IFERROR(unique(filter(Prod_Prop!$H:$H,Prod_Prop!$G:$G=$U645,Prod_Prop!$E:$E=V$1)),""Check""))=0),"""",IFERROR(unique(filter(Prod_Prop!$H:$H,Prod_Prop!$G:$G=$U645,Prod_Prop!$E:$E=V$1)),""""))"),"")</f>
        <v/>
      </c>
      <c r="W645" s="4" t="str">
        <f>IF(V645="","",SUMIFS(Prod_Prop!$J:$J,Prod_Prop!$B:$B,$Q645,Prod_Prop!$H:$H,V645,Prod_Prop!$I:$I,W$1)*IF(V645="Peso",$R645,1))</f>
        <v/>
      </c>
      <c r="X645" s="4" t="str">
        <f>IF(V645="","",SUMIFS(Prod_Prop!$J:$J,Prod_Prop!$B:$B,$Q645,Prod_Prop!$H:$H,V645,Prod_Prop!$I:$I,X$1)*IF(V645="Peso",$R645,1))</f>
        <v/>
      </c>
      <c r="Y645" s="4" t="str">
        <f>IFERROR(__xludf.DUMMYFUNCTION("IF(OR($U645="""",COUNTIF($I:$I,IFERROR(unique(filter(Prod_Prop!$H:$H,Prod_Prop!$G:$G=$U645,Prod_Prop!$E:$E=Y$1)),""Check""))=0),"""",IFERROR(unique(filter(Prod_Prop!$H:$H,Prod_Prop!$G:$G=$U645,Prod_Prop!$E:$E=Y$1)),""""))"),"")</f>
        <v/>
      </c>
      <c r="Z645" s="4" t="str">
        <f>IF(Y645="","",SUMIFS(Prod_Prop!$J:$J,Prod_Prop!$B:$B,$Q645,Prod_Prop!$H:$H,Y645,Prod_Prop!$I:$I,Z$1)*IF(Y645="Peso",$R645,1))</f>
        <v/>
      </c>
      <c r="AA645" s="4" t="str">
        <f>IF(Y645="","",SUMIFS(Prod_Prop!$J:$J,Prod_Prop!$B:$B,$Q645,Prod_Prop!$H:$H,Y645,Prod_Prop!$I:$I,AA$1)*IF(Y645="Peso",$R645,1))</f>
        <v/>
      </c>
      <c r="AB645" s="4" t="str">
        <f>IFERROR(__xludf.DUMMYFUNCTION("IF(OR($U645="""",COUNTIF($I:$I,IFERROR(unique(filter(Prod_Prop!$H:$H,Prod_Prop!$G:$G=$U645,Prod_Prop!$E:$E=AB$1)),""Check""))=0),"""",IFERROR(unique(filter(Prod_Prop!$H:$H,Prod_Prop!$G:$G=$U645,Prod_Prop!$E:$E=AB$1)),""""))"),"")</f>
        <v/>
      </c>
      <c r="AC645" s="4" t="str">
        <f>IF(AB645="","",SUMIFS(Prod_Prop!$J:$J,Prod_Prop!$B:$B,$Q645,Prod_Prop!$H:$H,AB645,Prod_Prop!$I:$I,AC$1)*IF(AB645="Peso",$R645,1))</f>
        <v/>
      </c>
      <c r="AD645" s="4" t="str">
        <f>IF(AB645="","",SUMIFS(Prod_Prop!$J:$J,Prod_Prop!$B:$B,$Q645,Prod_Prop!$H:$H,AB645,Prod_Prop!$I:$I,AD$1)*IF(AB645="Peso",$R645,1))</f>
        <v/>
      </c>
    </row>
    <row r="646">
      <c r="A646" s="4" t="str">
        <f t="array" ref="A646">IF(COUNTIF(A$1:A645,Cotizador!F$2)=maxifs(Familias!E:E,Familias!D:D,Cotizador!F$2),IF(COUNTIF(A$1:A645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6" s="4" t="str">
        <f t="shared" si="1"/>
        <v/>
      </c>
      <c r="C646" s="4" t="str">
        <f t="array" ref="C646">IF(B646="","",IF(A646=XLOOKUP(A$2,Implementos!B:B,Implementos!C:C,"",0,1),B646+maxifs(B$1:B645,A$1:A645,A$2),B646))</f>
        <v/>
      </c>
      <c r="D646" s="4" t="str">
        <f>IF(B646="","", COUNTIFS(Productos!F:F,A646,Productos!H:H,B646)+IF(F646="SI",0,1))</f>
        <v/>
      </c>
      <c r="E646" s="4" t="str">
        <f>IFERROR(__xludf.DUMMYFUNCTION("IF($B646="""","""",INDEX(filter(Familias!F:F,Familias!$D:$D=$A646,Familias!$E:$E=$B646),1))"),"")</f>
        <v/>
      </c>
      <c r="F646" s="4" t="str">
        <f>IFERROR(__xludf.DUMMYFUNCTION("IF($B646="""","""",INDEX(filter(Familias!G:G,Familias!$D:$D=$A646,Familias!$E:$E=$B646),1))"),"")</f>
        <v/>
      </c>
      <c r="G646" s="4" t="str">
        <f t="array" ref="G646">IF(C646=1,XLOOKUP(C646,Cotizador!D:D,Cotizador!E:E,"",0,1),"")</f>
        <v/>
      </c>
      <c r="I646" s="4"/>
      <c r="J646" s="8" t="str">
        <f>IF(I646="","",SUMIF(Cotizador!I$1:V$1,I646,Cotizador!I$2:V$2))</f>
        <v/>
      </c>
      <c r="L646" s="4" t="str">
        <f t="array" ref="L646">IF(COUNTIF(L$1:L645,A$2)=SUMIF(A:A,A$2,D:D),IF(COUNTIF(L$1:L645,XLOOKUP(A$2,Implementos!B:B,Implementos!C:C,"",0,1))=SUMIF(A:A,XLOOKUP(A$2,Implementos!B:B,Implementos!C:C,"",0,1),D:D),"",XLOOKUP(A$2,Implementos!B:B,Implementos!C:C,"",0,1)),A$2)</f>
        <v/>
      </c>
      <c r="M646" s="4" t="str">
        <f t="shared" si="2"/>
        <v/>
      </c>
      <c r="N646" s="4" t="str">
        <f t="shared" si="3"/>
        <v/>
      </c>
      <c r="O646" s="4" t="str">
        <f t="shared" si="4"/>
        <v/>
      </c>
      <c r="P646" s="4" t="str">
        <f t="shared" si="5"/>
        <v/>
      </c>
      <c r="Q646" s="4" t="str">
        <f>IF(U646="","",SUMIF(Productos!E:E,U646,Productos!A:A))</f>
        <v/>
      </c>
      <c r="R646" s="4" t="str">
        <f t="array" ref="R646">IF(L646="","", max(1,SUMIF(I:I,XLOOKUP(U646,Productos!E:E,Productos!G:G,"",0,1),J:J)))</f>
        <v/>
      </c>
      <c r="S646" s="4" t="str">
        <f>IF(Q646="","",IF(SUMIFS(Compat_Vetado!D:D,Compat_Vetado!B:B,SUM(G:G),Compat_Vetado!C:C,Q646)=1,"SI",IF(OR(SUMIF(Cotizador!E:E,Q646,Cotizador!G:G)&gt;0,SUMIFS(Compat_Vetado!D:D,Compat_Vetado!B:B,SUM(G:G),Compat_Vetado!C:C,Q646)=-1),"NO","")))</f>
        <v/>
      </c>
      <c r="T646" s="4" t="str">
        <f t="shared" si="6"/>
        <v/>
      </c>
      <c r="U646" s="4" t="str">
        <f>IFERROR(__xludf.DUMMYFUNCTION("IF(P646="""","""",IFERROR(INDEX(filter(Productos!E:E,Productos!F:F=L646,Productos!H:H=N646),P646),IF(M646=SUM(D:D),""Finalizar"",""-"")))"),"")</f>
        <v/>
      </c>
      <c r="V646" s="4" t="str">
        <f>IFERROR(__xludf.DUMMYFUNCTION("IF(OR($U646="""",COUNTIF($I:$I,IFERROR(unique(filter(Prod_Prop!$H:$H,Prod_Prop!$G:$G=$U646,Prod_Prop!$E:$E=V$1)),""Check""))=0),"""",IFERROR(unique(filter(Prod_Prop!$H:$H,Prod_Prop!$G:$G=$U646,Prod_Prop!$E:$E=V$1)),""""))"),"")</f>
        <v/>
      </c>
      <c r="W646" s="4" t="str">
        <f>IF(V646="","",SUMIFS(Prod_Prop!$J:$J,Prod_Prop!$B:$B,$Q646,Prod_Prop!$H:$H,V646,Prod_Prop!$I:$I,W$1)*IF(V646="Peso",$R646,1))</f>
        <v/>
      </c>
      <c r="X646" s="4" t="str">
        <f>IF(V646="","",SUMIFS(Prod_Prop!$J:$J,Prod_Prop!$B:$B,$Q646,Prod_Prop!$H:$H,V646,Prod_Prop!$I:$I,X$1)*IF(V646="Peso",$R646,1))</f>
        <v/>
      </c>
      <c r="Y646" s="4" t="str">
        <f>IFERROR(__xludf.DUMMYFUNCTION("IF(OR($U646="""",COUNTIF($I:$I,IFERROR(unique(filter(Prod_Prop!$H:$H,Prod_Prop!$G:$G=$U646,Prod_Prop!$E:$E=Y$1)),""Check""))=0),"""",IFERROR(unique(filter(Prod_Prop!$H:$H,Prod_Prop!$G:$G=$U646,Prod_Prop!$E:$E=Y$1)),""""))"),"")</f>
        <v/>
      </c>
      <c r="Z646" s="4" t="str">
        <f>IF(Y646="","",SUMIFS(Prod_Prop!$J:$J,Prod_Prop!$B:$B,$Q646,Prod_Prop!$H:$H,Y646,Prod_Prop!$I:$I,Z$1)*IF(Y646="Peso",$R646,1))</f>
        <v/>
      </c>
      <c r="AA646" s="4" t="str">
        <f>IF(Y646="","",SUMIFS(Prod_Prop!$J:$J,Prod_Prop!$B:$B,$Q646,Prod_Prop!$H:$H,Y646,Prod_Prop!$I:$I,AA$1)*IF(Y646="Peso",$R646,1))</f>
        <v/>
      </c>
      <c r="AB646" s="4" t="str">
        <f>IFERROR(__xludf.DUMMYFUNCTION("IF(OR($U646="""",COUNTIF($I:$I,IFERROR(unique(filter(Prod_Prop!$H:$H,Prod_Prop!$G:$G=$U646,Prod_Prop!$E:$E=AB$1)),""Check""))=0),"""",IFERROR(unique(filter(Prod_Prop!$H:$H,Prod_Prop!$G:$G=$U646,Prod_Prop!$E:$E=AB$1)),""""))"),"")</f>
        <v/>
      </c>
      <c r="AC646" s="4" t="str">
        <f>IF(AB646="","",SUMIFS(Prod_Prop!$J:$J,Prod_Prop!$B:$B,$Q646,Prod_Prop!$H:$H,AB646,Prod_Prop!$I:$I,AC$1)*IF(AB646="Peso",$R646,1))</f>
        <v/>
      </c>
      <c r="AD646" s="4" t="str">
        <f>IF(AB646="","",SUMIFS(Prod_Prop!$J:$J,Prod_Prop!$B:$B,$Q646,Prod_Prop!$H:$H,AB646,Prod_Prop!$I:$I,AD$1)*IF(AB646="Peso",$R646,1))</f>
        <v/>
      </c>
    </row>
    <row r="647">
      <c r="A647" s="4" t="str">
        <f t="array" ref="A647">IF(COUNTIF(A$1:A646,Cotizador!F$2)=maxifs(Familias!E:E,Familias!D:D,Cotizador!F$2),IF(COUNTIF(A$1:A646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7" s="4" t="str">
        <f t="shared" si="1"/>
        <v/>
      </c>
      <c r="C647" s="4" t="str">
        <f t="array" ref="C647">IF(B647="","",IF(A647=XLOOKUP(A$2,Implementos!B:B,Implementos!C:C,"",0,1),B647+maxifs(B$1:B646,A$1:A646,A$2),B647))</f>
        <v/>
      </c>
      <c r="D647" s="4" t="str">
        <f>IF(B647="","", COUNTIFS(Productos!F:F,A647,Productos!H:H,B647)+IF(F647="SI",0,1))</f>
        <v/>
      </c>
      <c r="E647" s="4" t="str">
        <f>IFERROR(__xludf.DUMMYFUNCTION("IF($B647="""","""",INDEX(filter(Familias!F:F,Familias!$D:$D=$A647,Familias!$E:$E=$B647),1))"),"")</f>
        <v/>
      </c>
      <c r="F647" s="4" t="str">
        <f>IFERROR(__xludf.DUMMYFUNCTION("IF($B647="""","""",INDEX(filter(Familias!G:G,Familias!$D:$D=$A647,Familias!$E:$E=$B647),1))"),"")</f>
        <v/>
      </c>
      <c r="G647" s="4" t="str">
        <f t="array" ref="G647">IF(C647=1,XLOOKUP(C647,Cotizador!D:D,Cotizador!E:E,"",0,1),"")</f>
        <v/>
      </c>
      <c r="I647" s="4"/>
      <c r="J647" s="8" t="str">
        <f>IF(I647="","",SUMIF(Cotizador!I$1:V$1,I647,Cotizador!I$2:V$2))</f>
        <v/>
      </c>
      <c r="L647" s="4" t="str">
        <f t="array" ref="L647">IF(COUNTIF(L$1:L646,A$2)=SUMIF(A:A,A$2,D:D),IF(COUNTIF(L$1:L646,XLOOKUP(A$2,Implementos!B:B,Implementos!C:C,"",0,1))=SUMIF(A:A,XLOOKUP(A$2,Implementos!B:B,Implementos!C:C,"",0,1),D:D),"",XLOOKUP(A$2,Implementos!B:B,Implementos!C:C,"",0,1)),A$2)</f>
        <v/>
      </c>
      <c r="M647" s="4" t="str">
        <f t="shared" si="2"/>
        <v/>
      </c>
      <c r="N647" s="4" t="str">
        <f t="shared" si="3"/>
        <v/>
      </c>
      <c r="O647" s="4" t="str">
        <f t="shared" si="4"/>
        <v/>
      </c>
      <c r="P647" s="4" t="str">
        <f t="shared" si="5"/>
        <v/>
      </c>
      <c r="Q647" s="4" t="str">
        <f>IF(U647="","",SUMIF(Productos!E:E,U647,Productos!A:A))</f>
        <v/>
      </c>
      <c r="R647" s="4" t="str">
        <f t="array" ref="R647">IF(L647="","", max(1,SUMIF(I:I,XLOOKUP(U647,Productos!E:E,Productos!G:G,"",0,1),J:J)))</f>
        <v/>
      </c>
      <c r="S647" s="4" t="str">
        <f>IF(Q647="","",IF(SUMIFS(Compat_Vetado!D:D,Compat_Vetado!B:B,SUM(G:G),Compat_Vetado!C:C,Q647)=1,"SI",IF(OR(SUMIF(Cotizador!E:E,Q647,Cotizador!G:G)&gt;0,SUMIFS(Compat_Vetado!D:D,Compat_Vetado!B:B,SUM(G:G),Compat_Vetado!C:C,Q647)=-1),"NO","")))</f>
        <v/>
      </c>
      <c r="T647" s="4" t="str">
        <f t="shared" si="6"/>
        <v/>
      </c>
      <c r="U647" s="4" t="str">
        <f>IFERROR(__xludf.DUMMYFUNCTION("IF(P647="""","""",IFERROR(INDEX(filter(Productos!E:E,Productos!F:F=L647,Productos!H:H=N647),P647),IF(M647=SUM(D:D),""Finalizar"",""-"")))"),"")</f>
        <v/>
      </c>
      <c r="V647" s="4" t="str">
        <f>IFERROR(__xludf.DUMMYFUNCTION("IF(OR($U647="""",COUNTIF($I:$I,IFERROR(unique(filter(Prod_Prop!$H:$H,Prod_Prop!$G:$G=$U647,Prod_Prop!$E:$E=V$1)),""Check""))=0),"""",IFERROR(unique(filter(Prod_Prop!$H:$H,Prod_Prop!$G:$G=$U647,Prod_Prop!$E:$E=V$1)),""""))"),"")</f>
        <v/>
      </c>
      <c r="W647" s="4" t="str">
        <f>IF(V647="","",SUMIFS(Prod_Prop!$J:$J,Prod_Prop!$B:$B,$Q647,Prod_Prop!$H:$H,V647,Prod_Prop!$I:$I,W$1)*IF(V647="Peso",$R647,1))</f>
        <v/>
      </c>
      <c r="X647" s="4" t="str">
        <f>IF(V647="","",SUMIFS(Prod_Prop!$J:$J,Prod_Prop!$B:$B,$Q647,Prod_Prop!$H:$H,V647,Prod_Prop!$I:$I,X$1)*IF(V647="Peso",$R647,1))</f>
        <v/>
      </c>
      <c r="Y647" s="4" t="str">
        <f>IFERROR(__xludf.DUMMYFUNCTION("IF(OR($U647="""",COUNTIF($I:$I,IFERROR(unique(filter(Prod_Prop!$H:$H,Prod_Prop!$G:$G=$U647,Prod_Prop!$E:$E=Y$1)),""Check""))=0),"""",IFERROR(unique(filter(Prod_Prop!$H:$H,Prod_Prop!$G:$G=$U647,Prod_Prop!$E:$E=Y$1)),""""))"),"")</f>
        <v/>
      </c>
      <c r="Z647" s="4" t="str">
        <f>IF(Y647="","",SUMIFS(Prod_Prop!$J:$J,Prod_Prop!$B:$B,$Q647,Prod_Prop!$H:$H,Y647,Prod_Prop!$I:$I,Z$1)*IF(Y647="Peso",$R647,1))</f>
        <v/>
      </c>
      <c r="AA647" s="4" t="str">
        <f>IF(Y647="","",SUMIFS(Prod_Prop!$J:$J,Prod_Prop!$B:$B,$Q647,Prod_Prop!$H:$H,Y647,Prod_Prop!$I:$I,AA$1)*IF(Y647="Peso",$R647,1))</f>
        <v/>
      </c>
      <c r="AB647" s="4" t="str">
        <f>IFERROR(__xludf.DUMMYFUNCTION("IF(OR($U647="""",COUNTIF($I:$I,IFERROR(unique(filter(Prod_Prop!$H:$H,Prod_Prop!$G:$G=$U647,Prod_Prop!$E:$E=AB$1)),""Check""))=0),"""",IFERROR(unique(filter(Prod_Prop!$H:$H,Prod_Prop!$G:$G=$U647,Prod_Prop!$E:$E=AB$1)),""""))"),"")</f>
        <v/>
      </c>
      <c r="AC647" s="4" t="str">
        <f>IF(AB647="","",SUMIFS(Prod_Prop!$J:$J,Prod_Prop!$B:$B,$Q647,Prod_Prop!$H:$H,AB647,Prod_Prop!$I:$I,AC$1)*IF(AB647="Peso",$R647,1))</f>
        <v/>
      </c>
      <c r="AD647" s="4" t="str">
        <f>IF(AB647="","",SUMIFS(Prod_Prop!$J:$J,Prod_Prop!$B:$B,$Q647,Prod_Prop!$H:$H,AB647,Prod_Prop!$I:$I,AD$1)*IF(AB647="Peso",$R647,1))</f>
        <v/>
      </c>
    </row>
    <row r="648">
      <c r="A648" s="4" t="str">
        <f t="array" ref="A648">IF(COUNTIF(A$1:A647,Cotizador!F$2)=maxifs(Familias!E:E,Familias!D:D,Cotizador!F$2),IF(COUNTIF(A$1:A647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8" s="4" t="str">
        <f t="shared" si="1"/>
        <v/>
      </c>
      <c r="C648" s="4" t="str">
        <f t="array" ref="C648">IF(B648="","",IF(A648=XLOOKUP(A$2,Implementos!B:B,Implementos!C:C,"",0,1),B648+maxifs(B$1:B647,A$1:A647,A$2),B648))</f>
        <v/>
      </c>
      <c r="D648" s="4" t="str">
        <f>IF(B648="","", COUNTIFS(Productos!F:F,A648,Productos!H:H,B648)+IF(F648="SI",0,1))</f>
        <v/>
      </c>
      <c r="E648" s="4" t="str">
        <f>IFERROR(__xludf.DUMMYFUNCTION("IF($B648="""","""",INDEX(filter(Familias!F:F,Familias!$D:$D=$A648,Familias!$E:$E=$B648),1))"),"")</f>
        <v/>
      </c>
      <c r="F648" s="4" t="str">
        <f>IFERROR(__xludf.DUMMYFUNCTION("IF($B648="""","""",INDEX(filter(Familias!G:G,Familias!$D:$D=$A648,Familias!$E:$E=$B648),1))"),"")</f>
        <v/>
      </c>
      <c r="G648" s="4" t="str">
        <f t="array" ref="G648">IF(C648=1,XLOOKUP(C648,Cotizador!D:D,Cotizador!E:E,"",0,1),"")</f>
        <v/>
      </c>
      <c r="I648" s="4"/>
      <c r="J648" s="8" t="str">
        <f>IF(I648="","",SUMIF(Cotizador!I$1:V$1,I648,Cotizador!I$2:V$2))</f>
        <v/>
      </c>
      <c r="L648" s="4" t="str">
        <f t="array" ref="L648">IF(COUNTIF(L$1:L647,A$2)=SUMIF(A:A,A$2,D:D),IF(COUNTIF(L$1:L647,XLOOKUP(A$2,Implementos!B:B,Implementos!C:C,"",0,1))=SUMIF(A:A,XLOOKUP(A$2,Implementos!B:B,Implementos!C:C,"",0,1),D:D),"",XLOOKUP(A$2,Implementos!B:B,Implementos!C:C,"",0,1)),A$2)</f>
        <v/>
      </c>
      <c r="M648" s="4" t="str">
        <f t="shared" si="2"/>
        <v/>
      </c>
      <c r="N648" s="4" t="str">
        <f t="shared" si="3"/>
        <v/>
      </c>
      <c r="O648" s="4" t="str">
        <f t="shared" si="4"/>
        <v/>
      </c>
      <c r="P648" s="4" t="str">
        <f t="shared" si="5"/>
        <v/>
      </c>
      <c r="Q648" s="4" t="str">
        <f>IF(U648="","",SUMIF(Productos!E:E,U648,Productos!A:A))</f>
        <v/>
      </c>
      <c r="R648" s="4" t="str">
        <f t="array" ref="R648">IF(L648="","", max(1,SUMIF(I:I,XLOOKUP(U648,Productos!E:E,Productos!G:G,"",0,1),J:J)))</f>
        <v/>
      </c>
      <c r="S648" s="4" t="str">
        <f>IF(Q648="","",IF(SUMIFS(Compat_Vetado!D:D,Compat_Vetado!B:B,SUM(G:G),Compat_Vetado!C:C,Q648)=1,"SI",IF(OR(SUMIF(Cotizador!E:E,Q648,Cotizador!G:G)&gt;0,SUMIFS(Compat_Vetado!D:D,Compat_Vetado!B:B,SUM(G:G),Compat_Vetado!C:C,Q648)=-1),"NO","")))</f>
        <v/>
      </c>
      <c r="T648" s="4" t="str">
        <f t="shared" si="6"/>
        <v/>
      </c>
      <c r="U648" s="4" t="str">
        <f>IFERROR(__xludf.DUMMYFUNCTION("IF(P648="""","""",IFERROR(INDEX(filter(Productos!E:E,Productos!F:F=L648,Productos!H:H=N648),P648),IF(M648=SUM(D:D),""Finalizar"",""-"")))"),"")</f>
        <v/>
      </c>
      <c r="V648" s="4" t="str">
        <f>IFERROR(__xludf.DUMMYFUNCTION("IF(OR($U648="""",COUNTIF($I:$I,IFERROR(unique(filter(Prod_Prop!$H:$H,Prod_Prop!$G:$G=$U648,Prod_Prop!$E:$E=V$1)),""Check""))=0),"""",IFERROR(unique(filter(Prod_Prop!$H:$H,Prod_Prop!$G:$G=$U648,Prod_Prop!$E:$E=V$1)),""""))"),"")</f>
        <v/>
      </c>
      <c r="W648" s="4" t="str">
        <f>IF(V648="","",SUMIFS(Prod_Prop!$J:$J,Prod_Prop!$B:$B,$Q648,Prod_Prop!$H:$H,V648,Prod_Prop!$I:$I,W$1)*IF(V648="Peso",$R648,1))</f>
        <v/>
      </c>
      <c r="X648" s="4" t="str">
        <f>IF(V648="","",SUMIFS(Prod_Prop!$J:$J,Prod_Prop!$B:$B,$Q648,Prod_Prop!$H:$H,V648,Prod_Prop!$I:$I,X$1)*IF(V648="Peso",$R648,1))</f>
        <v/>
      </c>
      <c r="Y648" s="4" t="str">
        <f>IFERROR(__xludf.DUMMYFUNCTION("IF(OR($U648="""",COUNTIF($I:$I,IFERROR(unique(filter(Prod_Prop!$H:$H,Prod_Prop!$G:$G=$U648,Prod_Prop!$E:$E=Y$1)),""Check""))=0),"""",IFERROR(unique(filter(Prod_Prop!$H:$H,Prod_Prop!$G:$G=$U648,Prod_Prop!$E:$E=Y$1)),""""))"),"")</f>
        <v/>
      </c>
      <c r="Z648" s="4" t="str">
        <f>IF(Y648="","",SUMIFS(Prod_Prop!$J:$J,Prod_Prop!$B:$B,$Q648,Prod_Prop!$H:$H,Y648,Prod_Prop!$I:$I,Z$1)*IF(Y648="Peso",$R648,1))</f>
        <v/>
      </c>
      <c r="AA648" s="4" t="str">
        <f>IF(Y648="","",SUMIFS(Prod_Prop!$J:$J,Prod_Prop!$B:$B,$Q648,Prod_Prop!$H:$H,Y648,Prod_Prop!$I:$I,AA$1)*IF(Y648="Peso",$R648,1))</f>
        <v/>
      </c>
      <c r="AB648" s="4" t="str">
        <f>IFERROR(__xludf.DUMMYFUNCTION("IF(OR($U648="""",COUNTIF($I:$I,IFERROR(unique(filter(Prod_Prop!$H:$H,Prod_Prop!$G:$G=$U648,Prod_Prop!$E:$E=AB$1)),""Check""))=0),"""",IFERROR(unique(filter(Prod_Prop!$H:$H,Prod_Prop!$G:$G=$U648,Prod_Prop!$E:$E=AB$1)),""""))"),"")</f>
        <v/>
      </c>
      <c r="AC648" s="4" t="str">
        <f>IF(AB648="","",SUMIFS(Prod_Prop!$J:$J,Prod_Prop!$B:$B,$Q648,Prod_Prop!$H:$H,AB648,Prod_Prop!$I:$I,AC$1)*IF(AB648="Peso",$R648,1))</f>
        <v/>
      </c>
      <c r="AD648" s="4" t="str">
        <f>IF(AB648="","",SUMIFS(Prod_Prop!$J:$J,Prod_Prop!$B:$B,$Q648,Prod_Prop!$H:$H,AB648,Prod_Prop!$I:$I,AD$1)*IF(AB648="Peso",$R648,1))</f>
        <v/>
      </c>
    </row>
    <row r="649">
      <c r="A649" s="4" t="str">
        <f t="array" ref="A649">IF(COUNTIF(A$1:A648,Cotizador!F$2)=maxifs(Familias!E:E,Familias!D:D,Cotizador!F$2),IF(COUNTIF(A$1:A648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49" s="4" t="str">
        <f t="shared" si="1"/>
        <v/>
      </c>
      <c r="C649" s="4" t="str">
        <f t="array" ref="C649">IF(B649="","",IF(A649=XLOOKUP(A$2,Implementos!B:B,Implementos!C:C,"",0,1),B649+maxifs(B$1:B648,A$1:A648,A$2),B649))</f>
        <v/>
      </c>
      <c r="D649" s="4" t="str">
        <f>IF(B649="","", COUNTIFS(Productos!F:F,A649,Productos!H:H,B649)+IF(F649="SI",0,1))</f>
        <v/>
      </c>
      <c r="E649" s="4" t="str">
        <f>IFERROR(__xludf.DUMMYFUNCTION("IF($B649="""","""",INDEX(filter(Familias!F:F,Familias!$D:$D=$A649,Familias!$E:$E=$B649),1))"),"")</f>
        <v/>
      </c>
      <c r="F649" s="4" t="str">
        <f>IFERROR(__xludf.DUMMYFUNCTION("IF($B649="""","""",INDEX(filter(Familias!G:G,Familias!$D:$D=$A649,Familias!$E:$E=$B649),1))"),"")</f>
        <v/>
      </c>
      <c r="G649" s="4" t="str">
        <f t="array" ref="G649">IF(C649=1,XLOOKUP(C649,Cotizador!D:D,Cotizador!E:E,"",0,1),"")</f>
        <v/>
      </c>
      <c r="I649" s="4"/>
      <c r="J649" s="8" t="str">
        <f>IF(I649="","",SUMIF(Cotizador!I$1:V$1,I649,Cotizador!I$2:V$2))</f>
        <v/>
      </c>
      <c r="L649" s="4" t="str">
        <f t="array" ref="L649">IF(COUNTIF(L$1:L648,A$2)=SUMIF(A:A,A$2,D:D),IF(COUNTIF(L$1:L648,XLOOKUP(A$2,Implementos!B:B,Implementos!C:C,"",0,1))=SUMIF(A:A,XLOOKUP(A$2,Implementos!B:B,Implementos!C:C,"",0,1),D:D),"",XLOOKUP(A$2,Implementos!B:B,Implementos!C:C,"",0,1)),A$2)</f>
        <v/>
      </c>
      <c r="M649" s="4" t="str">
        <f t="shared" si="2"/>
        <v/>
      </c>
      <c r="N649" s="4" t="str">
        <f t="shared" si="3"/>
        <v/>
      </c>
      <c r="O649" s="4" t="str">
        <f t="shared" si="4"/>
        <v/>
      </c>
      <c r="P649" s="4" t="str">
        <f t="shared" si="5"/>
        <v/>
      </c>
      <c r="Q649" s="4" t="str">
        <f>IF(U649="","",SUMIF(Productos!E:E,U649,Productos!A:A))</f>
        <v/>
      </c>
      <c r="R649" s="4" t="str">
        <f t="array" ref="R649">IF(L649="","", max(1,SUMIF(I:I,XLOOKUP(U649,Productos!E:E,Productos!G:G,"",0,1),J:J)))</f>
        <v/>
      </c>
      <c r="S649" s="4" t="str">
        <f>IF(Q649="","",IF(SUMIFS(Compat_Vetado!D:D,Compat_Vetado!B:B,SUM(G:G),Compat_Vetado!C:C,Q649)=1,"SI",IF(OR(SUMIF(Cotizador!E:E,Q649,Cotizador!G:G)&gt;0,SUMIFS(Compat_Vetado!D:D,Compat_Vetado!B:B,SUM(G:G),Compat_Vetado!C:C,Q649)=-1),"NO","")))</f>
        <v/>
      </c>
      <c r="T649" s="4" t="str">
        <f t="shared" si="6"/>
        <v/>
      </c>
      <c r="U649" s="4" t="str">
        <f>IFERROR(__xludf.DUMMYFUNCTION("IF(P649="""","""",IFERROR(INDEX(filter(Productos!E:E,Productos!F:F=L649,Productos!H:H=N649),P649),IF(M649=SUM(D:D),""Finalizar"",""-"")))"),"")</f>
        <v/>
      </c>
      <c r="V649" s="4" t="str">
        <f>IFERROR(__xludf.DUMMYFUNCTION("IF(OR($U649="""",COUNTIF($I:$I,IFERROR(unique(filter(Prod_Prop!$H:$H,Prod_Prop!$G:$G=$U649,Prod_Prop!$E:$E=V$1)),""Check""))=0),"""",IFERROR(unique(filter(Prod_Prop!$H:$H,Prod_Prop!$G:$G=$U649,Prod_Prop!$E:$E=V$1)),""""))"),"")</f>
        <v/>
      </c>
      <c r="W649" s="4" t="str">
        <f>IF(V649="","",SUMIFS(Prod_Prop!$J:$J,Prod_Prop!$B:$B,$Q649,Prod_Prop!$H:$H,V649,Prod_Prop!$I:$I,W$1)*IF(V649="Peso",$R649,1))</f>
        <v/>
      </c>
      <c r="X649" s="4" t="str">
        <f>IF(V649="","",SUMIFS(Prod_Prop!$J:$J,Prod_Prop!$B:$B,$Q649,Prod_Prop!$H:$H,V649,Prod_Prop!$I:$I,X$1)*IF(V649="Peso",$R649,1))</f>
        <v/>
      </c>
      <c r="Y649" s="4" t="str">
        <f>IFERROR(__xludf.DUMMYFUNCTION("IF(OR($U649="""",COUNTIF($I:$I,IFERROR(unique(filter(Prod_Prop!$H:$H,Prod_Prop!$G:$G=$U649,Prod_Prop!$E:$E=Y$1)),""Check""))=0),"""",IFERROR(unique(filter(Prod_Prop!$H:$H,Prod_Prop!$G:$G=$U649,Prod_Prop!$E:$E=Y$1)),""""))"),"")</f>
        <v/>
      </c>
      <c r="Z649" s="4" t="str">
        <f>IF(Y649="","",SUMIFS(Prod_Prop!$J:$J,Prod_Prop!$B:$B,$Q649,Prod_Prop!$H:$H,Y649,Prod_Prop!$I:$I,Z$1)*IF(Y649="Peso",$R649,1))</f>
        <v/>
      </c>
      <c r="AA649" s="4" t="str">
        <f>IF(Y649="","",SUMIFS(Prod_Prop!$J:$J,Prod_Prop!$B:$B,$Q649,Prod_Prop!$H:$H,Y649,Prod_Prop!$I:$I,AA$1)*IF(Y649="Peso",$R649,1))</f>
        <v/>
      </c>
      <c r="AB649" s="4" t="str">
        <f>IFERROR(__xludf.DUMMYFUNCTION("IF(OR($U649="""",COUNTIF($I:$I,IFERROR(unique(filter(Prod_Prop!$H:$H,Prod_Prop!$G:$G=$U649,Prod_Prop!$E:$E=AB$1)),""Check""))=0),"""",IFERROR(unique(filter(Prod_Prop!$H:$H,Prod_Prop!$G:$G=$U649,Prod_Prop!$E:$E=AB$1)),""""))"),"")</f>
        <v/>
      </c>
      <c r="AC649" s="4" t="str">
        <f>IF(AB649="","",SUMIFS(Prod_Prop!$J:$J,Prod_Prop!$B:$B,$Q649,Prod_Prop!$H:$H,AB649,Prod_Prop!$I:$I,AC$1)*IF(AB649="Peso",$R649,1))</f>
        <v/>
      </c>
      <c r="AD649" s="4" t="str">
        <f>IF(AB649="","",SUMIFS(Prod_Prop!$J:$J,Prod_Prop!$B:$B,$Q649,Prod_Prop!$H:$H,AB649,Prod_Prop!$I:$I,AD$1)*IF(AB649="Peso",$R649,1))</f>
        <v/>
      </c>
    </row>
    <row r="650">
      <c r="A650" s="4" t="str">
        <f t="array" ref="A650">IF(COUNTIF(A$1:A649,Cotizador!F$2)=maxifs(Familias!E:E,Familias!D:D,Cotizador!F$2),IF(COUNTIF(A$1:A649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0" s="4" t="str">
        <f t="shared" si="1"/>
        <v/>
      </c>
      <c r="C650" s="4" t="str">
        <f t="array" ref="C650">IF(B650="","",IF(A650=XLOOKUP(A$2,Implementos!B:B,Implementos!C:C,"",0,1),B650+maxifs(B$1:B649,A$1:A649,A$2),B650))</f>
        <v/>
      </c>
      <c r="D650" s="4" t="str">
        <f>IF(B650="","", COUNTIFS(Productos!F:F,A650,Productos!H:H,B650)+IF(F650="SI",0,1))</f>
        <v/>
      </c>
      <c r="E650" s="4" t="str">
        <f>IFERROR(__xludf.DUMMYFUNCTION("IF($B650="""","""",INDEX(filter(Familias!F:F,Familias!$D:$D=$A650,Familias!$E:$E=$B650),1))"),"")</f>
        <v/>
      </c>
      <c r="F650" s="4" t="str">
        <f>IFERROR(__xludf.DUMMYFUNCTION("IF($B650="""","""",INDEX(filter(Familias!G:G,Familias!$D:$D=$A650,Familias!$E:$E=$B650),1))"),"")</f>
        <v/>
      </c>
      <c r="G650" s="4" t="str">
        <f t="array" ref="G650">IF(C650=1,XLOOKUP(C650,Cotizador!D:D,Cotizador!E:E,"",0,1),"")</f>
        <v/>
      </c>
      <c r="I650" s="4"/>
      <c r="J650" s="8" t="str">
        <f>IF(I650="","",SUMIF(Cotizador!I$1:V$1,I650,Cotizador!I$2:V$2))</f>
        <v/>
      </c>
      <c r="L650" s="4" t="str">
        <f t="array" ref="L650">IF(COUNTIF(L$1:L649,A$2)=SUMIF(A:A,A$2,D:D),IF(COUNTIF(L$1:L649,XLOOKUP(A$2,Implementos!B:B,Implementos!C:C,"",0,1))=SUMIF(A:A,XLOOKUP(A$2,Implementos!B:B,Implementos!C:C,"",0,1),D:D),"",XLOOKUP(A$2,Implementos!B:B,Implementos!C:C,"",0,1)),A$2)</f>
        <v/>
      </c>
      <c r="M650" s="4" t="str">
        <f t="shared" si="2"/>
        <v/>
      </c>
      <c r="N650" s="4" t="str">
        <f t="shared" si="3"/>
        <v/>
      </c>
      <c r="O650" s="4" t="str">
        <f t="shared" si="4"/>
        <v/>
      </c>
      <c r="P650" s="4" t="str">
        <f t="shared" si="5"/>
        <v/>
      </c>
      <c r="Q650" s="4" t="str">
        <f>IF(U650="","",SUMIF(Productos!E:E,U650,Productos!A:A))</f>
        <v/>
      </c>
      <c r="R650" s="4" t="str">
        <f t="array" ref="R650">IF(L650="","", max(1,SUMIF(I:I,XLOOKUP(U650,Productos!E:E,Productos!G:G,"",0,1),J:J)))</f>
        <v/>
      </c>
      <c r="S650" s="4" t="str">
        <f>IF(Q650="","",IF(SUMIFS(Compat_Vetado!D:D,Compat_Vetado!B:B,SUM(G:G),Compat_Vetado!C:C,Q650)=1,"SI",IF(OR(SUMIF(Cotizador!E:E,Q650,Cotizador!G:G)&gt;0,SUMIFS(Compat_Vetado!D:D,Compat_Vetado!B:B,SUM(G:G),Compat_Vetado!C:C,Q650)=-1),"NO","")))</f>
        <v/>
      </c>
      <c r="T650" s="4" t="str">
        <f t="shared" si="6"/>
        <v/>
      </c>
      <c r="U650" s="4" t="str">
        <f>IFERROR(__xludf.DUMMYFUNCTION("IF(P650="""","""",IFERROR(INDEX(filter(Productos!E:E,Productos!F:F=L650,Productos!H:H=N650),P650),IF(M650=SUM(D:D),""Finalizar"",""-"")))"),"")</f>
        <v/>
      </c>
      <c r="V650" s="4" t="str">
        <f>IFERROR(__xludf.DUMMYFUNCTION("IF(OR($U650="""",COUNTIF($I:$I,IFERROR(unique(filter(Prod_Prop!$H:$H,Prod_Prop!$G:$G=$U650,Prod_Prop!$E:$E=V$1)),""Check""))=0),"""",IFERROR(unique(filter(Prod_Prop!$H:$H,Prod_Prop!$G:$G=$U650,Prod_Prop!$E:$E=V$1)),""""))"),"")</f>
        <v/>
      </c>
      <c r="W650" s="4" t="str">
        <f>IF(V650="","",SUMIFS(Prod_Prop!$J:$J,Prod_Prop!$B:$B,$Q650,Prod_Prop!$H:$H,V650,Prod_Prop!$I:$I,W$1)*IF(V650="Peso",$R650,1))</f>
        <v/>
      </c>
      <c r="X650" s="4" t="str">
        <f>IF(V650="","",SUMIFS(Prod_Prop!$J:$J,Prod_Prop!$B:$B,$Q650,Prod_Prop!$H:$H,V650,Prod_Prop!$I:$I,X$1)*IF(V650="Peso",$R650,1))</f>
        <v/>
      </c>
      <c r="Y650" s="4" t="str">
        <f>IFERROR(__xludf.DUMMYFUNCTION("IF(OR($U650="""",COUNTIF($I:$I,IFERROR(unique(filter(Prod_Prop!$H:$H,Prod_Prop!$G:$G=$U650,Prod_Prop!$E:$E=Y$1)),""Check""))=0),"""",IFERROR(unique(filter(Prod_Prop!$H:$H,Prod_Prop!$G:$G=$U650,Prod_Prop!$E:$E=Y$1)),""""))"),"")</f>
        <v/>
      </c>
      <c r="Z650" s="4" t="str">
        <f>IF(Y650="","",SUMIFS(Prod_Prop!$J:$J,Prod_Prop!$B:$B,$Q650,Prod_Prop!$H:$H,Y650,Prod_Prop!$I:$I,Z$1)*IF(Y650="Peso",$R650,1))</f>
        <v/>
      </c>
      <c r="AA650" s="4" t="str">
        <f>IF(Y650="","",SUMIFS(Prod_Prop!$J:$J,Prod_Prop!$B:$B,$Q650,Prod_Prop!$H:$H,Y650,Prod_Prop!$I:$I,AA$1)*IF(Y650="Peso",$R650,1))</f>
        <v/>
      </c>
      <c r="AB650" s="4" t="str">
        <f>IFERROR(__xludf.DUMMYFUNCTION("IF(OR($U650="""",COUNTIF($I:$I,IFERROR(unique(filter(Prod_Prop!$H:$H,Prod_Prop!$G:$G=$U650,Prod_Prop!$E:$E=AB$1)),""Check""))=0),"""",IFERROR(unique(filter(Prod_Prop!$H:$H,Prod_Prop!$G:$G=$U650,Prod_Prop!$E:$E=AB$1)),""""))"),"")</f>
        <v/>
      </c>
      <c r="AC650" s="4" t="str">
        <f>IF(AB650="","",SUMIFS(Prod_Prop!$J:$J,Prod_Prop!$B:$B,$Q650,Prod_Prop!$H:$H,AB650,Prod_Prop!$I:$I,AC$1)*IF(AB650="Peso",$R650,1))</f>
        <v/>
      </c>
      <c r="AD650" s="4" t="str">
        <f>IF(AB650="","",SUMIFS(Prod_Prop!$J:$J,Prod_Prop!$B:$B,$Q650,Prod_Prop!$H:$H,AB650,Prod_Prop!$I:$I,AD$1)*IF(AB650="Peso",$R650,1))</f>
        <v/>
      </c>
    </row>
    <row r="651">
      <c r="A651" s="4" t="str">
        <f t="array" ref="A651">IF(COUNTIF(A$1:A650,Cotizador!F$2)=maxifs(Familias!E:E,Familias!D:D,Cotizador!F$2),IF(COUNTIF(A$1:A650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1" s="4" t="str">
        <f t="shared" si="1"/>
        <v/>
      </c>
      <c r="C651" s="4" t="str">
        <f t="array" ref="C651">IF(B651="","",IF(A651=XLOOKUP(A$2,Implementos!B:B,Implementos!C:C,"",0,1),B651+maxifs(B$1:B650,A$1:A650,A$2),B651))</f>
        <v/>
      </c>
      <c r="D651" s="4" t="str">
        <f>IF(B651="","", COUNTIFS(Productos!F:F,A651,Productos!H:H,B651)+IF(F651="SI",0,1))</f>
        <v/>
      </c>
      <c r="E651" s="4" t="str">
        <f>IFERROR(__xludf.DUMMYFUNCTION("IF($B651="""","""",INDEX(filter(Familias!F:F,Familias!$D:$D=$A651,Familias!$E:$E=$B651),1))"),"")</f>
        <v/>
      </c>
      <c r="F651" s="4" t="str">
        <f>IFERROR(__xludf.DUMMYFUNCTION("IF($B651="""","""",INDEX(filter(Familias!G:G,Familias!$D:$D=$A651,Familias!$E:$E=$B651),1))"),"")</f>
        <v/>
      </c>
      <c r="G651" s="4" t="str">
        <f t="array" ref="G651">IF(C651=1,XLOOKUP(C651,Cotizador!D:D,Cotizador!E:E,"",0,1),"")</f>
        <v/>
      </c>
      <c r="I651" s="4"/>
      <c r="J651" s="8" t="str">
        <f>IF(I651="","",SUMIF(Cotizador!I$1:V$1,I651,Cotizador!I$2:V$2))</f>
        <v/>
      </c>
      <c r="L651" s="4" t="str">
        <f t="array" ref="L651">IF(COUNTIF(L$1:L650,A$2)=SUMIF(A:A,A$2,D:D),IF(COUNTIF(L$1:L650,XLOOKUP(A$2,Implementos!B:B,Implementos!C:C,"",0,1))=SUMIF(A:A,XLOOKUP(A$2,Implementos!B:B,Implementos!C:C,"",0,1),D:D),"",XLOOKUP(A$2,Implementos!B:B,Implementos!C:C,"",0,1)),A$2)</f>
        <v/>
      </c>
      <c r="M651" s="4" t="str">
        <f t="shared" si="2"/>
        <v/>
      </c>
      <c r="N651" s="4" t="str">
        <f t="shared" si="3"/>
        <v/>
      </c>
      <c r="O651" s="4" t="str">
        <f t="shared" si="4"/>
        <v/>
      </c>
      <c r="P651" s="4" t="str">
        <f t="shared" si="5"/>
        <v/>
      </c>
      <c r="Q651" s="4" t="str">
        <f>IF(U651="","",SUMIF(Productos!E:E,U651,Productos!A:A))</f>
        <v/>
      </c>
      <c r="R651" s="4" t="str">
        <f t="array" ref="R651">IF(L651="","", max(1,SUMIF(I:I,XLOOKUP(U651,Productos!E:E,Productos!G:G,"",0,1),J:J)))</f>
        <v/>
      </c>
      <c r="S651" s="4" t="str">
        <f>IF(Q651="","",IF(SUMIFS(Compat_Vetado!D:D,Compat_Vetado!B:B,SUM(G:G),Compat_Vetado!C:C,Q651)=1,"SI",IF(OR(SUMIF(Cotizador!E:E,Q651,Cotizador!G:G)&gt;0,SUMIFS(Compat_Vetado!D:D,Compat_Vetado!B:B,SUM(G:G),Compat_Vetado!C:C,Q651)=-1),"NO","")))</f>
        <v/>
      </c>
      <c r="T651" s="4" t="str">
        <f t="shared" si="6"/>
        <v/>
      </c>
      <c r="U651" s="4" t="str">
        <f>IFERROR(__xludf.DUMMYFUNCTION("IF(P651="""","""",IFERROR(INDEX(filter(Productos!E:E,Productos!F:F=L651,Productos!H:H=N651),P651),IF(M651=SUM(D:D),""Finalizar"",""-"")))"),"")</f>
        <v/>
      </c>
      <c r="V651" s="4" t="str">
        <f>IFERROR(__xludf.DUMMYFUNCTION("IF(OR($U651="""",COUNTIF($I:$I,IFERROR(unique(filter(Prod_Prop!$H:$H,Prod_Prop!$G:$G=$U651,Prod_Prop!$E:$E=V$1)),""Check""))=0),"""",IFERROR(unique(filter(Prod_Prop!$H:$H,Prod_Prop!$G:$G=$U651,Prod_Prop!$E:$E=V$1)),""""))"),"")</f>
        <v/>
      </c>
      <c r="W651" s="4" t="str">
        <f>IF(V651="","",SUMIFS(Prod_Prop!$J:$J,Prod_Prop!$B:$B,$Q651,Prod_Prop!$H:$H,V651,Prod_Prop!$I:$I,W$1)*IF(V651="Peso",$R651,1))</f>
        <v/>
      </c>
      <c r="X651" s="4" t="str">
        <f>IF(V651="","",SUMIFS(Prod_Prop!$J:$J,Prod_Prop!$B:$B,$Q651,Prod_Prop!$H:$H,V651,Prod_Prop!$I:$I,X$1)*IF(V651="Peso",$R651,1))</f>
        <v/>
      </c>
      <c r="Y651" s="4" t="str">
        <f>IFERROR(__xludf.DUMMYFUNCTION("IF(OR($U651="""",COUNTIF($I:$I,IFERROR(unique(filter(Prod_Prop!$H:$H,Prod_Prop!$G:$G=$U651,Prod_Prop!$E:$E=Y$1)),""Check""))=0),"""",IFERROR(unique(filter(Prod_Prop!$H:$H,Prod_Prop!$G:$G=$U651,Prod_Prop!$E:$E=Y$1)),""""))"),"")</f>
        <v/>
      </c>
      <c r="Z651" s="4" t="str">
        <f>IF(Y651="","",SUMIFS(Prod_Prop!$J:$J,Prod_Prop!$B:$B,$Q651,Prod_Prop!$H:$H,Y651,Prod_Prop!$I:$I,Z$1)*IF(Y651="Peso",$R651,1))</f>
        <v/>
      </c>
      <c r="AA651" s="4" t="str">
        <f>IF(Y651="","",SUMIFS(Prod_Prop!$J:$J,Prod_Prop!$B:$B,$Q651,Prod_Prop!$H:$H,Y651,Prod_Prop!$I:$I,AA$1)*IF(Y651="Peso",$R651,1))</f>
        <v/>
      </c>
      <c r="AB651" s="4" t="str">
        <f>IFERROR(__xludf.DUMMYFUNCTION("IF(OR($U651="""",COUNTIF($I:$I,IFERROR(unique(filter(Prod_Prop!$H:$H,Prod_Prop!$G:$G=$U651,Prod_Prop!$E:$E=AB$1)),""Check""))=0),"""",IFERROR(unique(filter(Prod_Prop!$H:$H,Prod_Prop!$G:$G=$U651,Prod_Prop!$E:$E=AB$1)),""""))"),"")</f>
        <v/>
      </c>
      <c r="AC651" s="4" t="str">
        <f>IF(AB651="","",SUMIFS(Prod_Prop!$J:$J,Prod_Prop!$B:$B,$Q651,Prod_Prop!$H:$H,AB651,Prod_Prop!$I:$I,AC$1)*IF(AB651="Peso",$R651,1))</f>
        <v/>
      </c>
      <c r="AD651" s="4" t="str">
        <f>IF(AB651="","",SUMIFS(Prod_Prop!$J:$J,Prod_Prop!$B:$B,$Q651,Prod_Prop!$H:$H,AB651,Prod_Prop!$I:$I,AD$1)*IF(AB651="Peso",$R651,1))</f>
        <v/>
      </c>
    </row>
    <row r="652">
      <c r="A652" s="4" t="str">
        <f t="array" ref="A652">IF(COUNTIF(A$1:A651,Cotizador!F$2)=maxifs(Familias!E:E,Familias!D:D,Cotizador!F$2),IF(COUNTIF(A$1:A651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2" s="4" t="str">
        <f t="shared" si="1"/>
        <v/>
      </c>
      <c r="C652" s="4" t="str">
        <f t="array" ref="C652">IF(B652="","",IF(A652=XLOOKUP(A$2,Implementos!B:B,Implementos!C:C,"",0,1),B652+maxifs(B$1:B651,A$1:A651,A$2),B652))</f>
        <v/>
      </c>
      <c r="D652" s="4" t="str">
        <f>IF(B652="","", COUNTIFS(Productos!F:F,A652,Productos!H:H,B652)+IF(F652="SI",0,1))</f>
        <v/>
      </c>
      <c r="E652" s="4" t="str">
        <f>IFERROR(__xludf.DUMMYFUNCTION("IF($B652="""","""",INDEX(filter(Familias!F:F,Familias!$D:$D=$A652,Familias!$E:$E=$B652),1))"),"")</f>
        <v/>
      </c>
      <c r="F652" s="4" t="str">
        <f>IFERROR(__xludf.DUMMYFUNCTION("IF($B652="""","""",INDEX(filter(Familias!G:G,Familias!$D:$D=$A652,Familias!$E:$E=$B652),1))"),"")</f>
        <v/>
      </c>
      <c r="G652" s="4" t="str">
        <f t="array" ref="G652">IF(C652=1,XLOOKUP(C652,Cotizador!D:D,Cotizador!E:E,"",0,1),"")</f>
        <v/>
      </c>
      <c r="I652" s="4"/>
      <c r="J652" s="8" t="str">
        <f>IF(I652="","",SUMIF(Cotizador!I$1:V$1,I652,Cotizador!I$2:V$2))</f>
        <v/>
      </c>
      <c r="L652" s="4" t="str">
        <f t="array" ref="L652">IF(COUNTIF(L$1:L651,A$2)=SUMIF(A:A,A$2,D:D),IF(COUNTIF(L$1:L651,XLOOKUP(A$2,Implementos!B:B,Implementos!C:C,"",0,1))=SUMIF(A:A,XLOOKUP(A$2,Implementos!B:B,Implementos!C:C,"",0,1),D:D),"",XLOOKUP(A$2,Implementos!B:B,Implementos!C:C,"",0,1)),A$2)</f>
        <v/>
      </c>
      <c r="M652" s="4" t="str">
        <f t="shared" si="2"/>
        <v/>
      </c>
      <c r="N652" s="4" t="str">
        <f t="shared" si="3"/>
        <v/>
      </c>
      <c r="O652" s="4" t="str">
        <f t="shared" si="4"/>
        <v/>
      </c>
      <c r="P652" s="4" t="str">
        <f t="shared" si="5"/>
        <v/>
      </c>
      <c r="Q652" s="4" t="str">
        <f>IF(U652="","",SUMIF(Productos!E:E,U652,Productos!A:A))</f>
        <v/>
      </c>
      <c r="R652" s="4" t="str">
        <f t="array" ref="R652">IF(L652="","", max(1,SUMIF(I:I,XLOOKUP(U652,Productos!E:E,Productos!G:G,"",0,1),J:J)))</f>
        <v/>
      </c>
      <c r="S652" s="4" t="str">
        <f>IF(Q652="","",IF(SUMIFS(Compat_Vetado!D:D,Compat_Vetado!B:B,SUM(G:G),Compat_Vetado!C:C,Q652)=1,"SI",IF(OR(SUMIF(Cotizador!E:E,Q652,Cotizador!G:G)&gt;0,SUMIFS(Compat_Vetado!D:D,Compat_Vetado!B:B,SUM(G:G),Compat_Vetado!C:C,Q652)=-1),"NO","")))</f>
        <v/>
      </c>
      <c r="T652" s="4" t="str">
        <f t="shared" si="6"/>
        <v/>
      </c>
      <c r="U652" s="4" t="str">
        <f>IFERROR(__xludf.DUMMYFUNCTION("IF(P652="""","""",IFERROR(INDEX(filter(Productos!E:E,Productos!F:F=L652,Productos!H:H=N652),P652),IF(M652=SUM(D:D),""Finalizar"",""-"")))"),"")</f>
        <v/>
      </c>
      <c r="V652" s="4" t="str">
        <f>IFERROR(__xludf.DUMMYFUNCTION("IF(OR($U652="""",COUNTIF($I:$I,IFERROR(unique(filter(Prod_Prop!$H:$H,Prod_Prop!$G:$G=$U652,Prod_Prop!$E:$E=V$1)),""Check""))=0),"""",IFERROR(unique(filter(Prod_Prop!$H:$H,Prod_Prop!$G:$G=$U652,Prod_Prop!$E:$E=V$1)),""""))"),"")</f>
        <v/>
      </c>
      <c r="W652" s="4" t="str">
        <f>IF(V652="","",SUMIFS(Prod_Prop!$J:$J,Prod_Prop!$B:$B,$Q652,Prod_Prop!$H:$H,V652,Prod_Prop!$I:$I,W$1)*IF(V652="Peso",$R652,1))</f>
        <v/>
      </c>
      <c r="X652" s="4" t="str">
        <f>IF(V652="","",SUMIFS(Prod_Prop!$J:$J,Prod_Prop!$B:$B,$Q652,Prod_Prop!$H:$H,V652,Prod_Prop!$I:$I,X$1)*IF(V652="Peso",$R652,1))</f>
        <v/>
      </c>
      <c r="Y652" s="4" t="str">
        <f>IFERROR(__xludf.DUMMYFUNCTION("IF(OR($U652="""",COUNTIF($I:$I,IFERROR(unique(filter(Prod_Prop!$H:$H,Prod_Prop!$G:$G=$U652,Prod_Prop!$E:$E=Y$1)),""Check""))=0),"""",IFERROR(unique(filter(Prod_Prop!$H:$H,Prod_Prop!$G:$G=$U652,Prod_Prop!$E:$E=Y$1)),""""))"),"")</f>
        <v/>
      </c>
      <c r="Z652" s="4" t="str">
        <f>IF(Y652="","",SUMIFS(Prod_Prop!$J:$J,Prod_Prop!$B:$B,$Q652,Prod_Prop!$H:$H,Y652,Prod_Prop!$I:$I,Z$1)*IF(Y652="Peso",$R652,1))</f>
        <v/>
      </c>
      <c r="AA652" s="4" t="str">
        <f>IF(Y652="","",SUMIFS(Prod_Prop!$J:$J,Prod_Prop!$B:$B,$Q652,Prod_Prop!$H:$H,Y652,Prod_Prop!$I:$I,AA$1)*IF(Y652="Peso",$R652,1))</f>
        <v/>
      </c>
      <c r="AB652" s="4" t="str">
        <f>IFERROR(__xludf.DUMMYFUNCTION("IF(OR($U652="""",COUNTIF($I:$I,IFERROR(unique(filter(Prod_Prop!$H:$H,Prod_Prop!$G:$G=$U652,Prod_Prop!$E:$E=AB$1)),""Check""))=0),"""",IFERROR(unique(filter(Prod_Prop!$H:$H,Prod_Prop!$G:$G=$U652,Prod_Prop!$E:$E=AB$1)),""""))"),"")</f>
        <v/>
      </c>
      <c r="AC652" s="4" t="str">
        <f>IF(AB652="","",SUMIFS(Prod_Prop!$J:$J,Prod_Prop!$B:$B,$Q652,Prod_Prop!$H:$H,AB652,Prod_Prop!$I:$I,AC$1)*IF(AB652="Peso",$R652,1))</f>
        <v/>
      </c>
      <c r="AD652" s="4" t="str">
        <f>IF(AB652="","",SUMIFS(Prod_Prop!$J:$J,Prod_Prop!$B:$B,$Q652,Prod_Prop!$H:$H,AB652,Prod_Prop!$I:$I,AD$1)*IF(AB652="Peso",$R652,1))</f>
        <v/>
      </c>
    </row>
    <row r="653">
      <c r="A653" s="4" t="str">
        <f t="array" ref="A653">IF(COUNTIF(A$1:A652,Cotizador!F$2)=maxifs(Familias!E:E,Familias!D:D,Cotizador!F$2),IF(COUNTIF(A$1:A652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3" s="4" t="str">
        <f t="shared" si="1"/>
        <v/>
      </c>
      <c r="C653" s="4" t="str">
        <f t="array" ref="C653">IF(B653="","",IF(A653=XLOOKUP(A$2,Implementos!B:B,Implementos!C:C,"",0,1),B653+maxifs(B$1:B652,A$1:A652,A$2),B653))</f>
        <v/>
      </c>
      <c r="D653" s="4" t="str">
        <f>IF(B653="","", COUNTIFS(Productos!F:F,A653,Productos!H:H,B653)+IF(F653="SI",0,1))</f>
        <v/>
      </c>
      <c r="E653" s="4" t="str">
        <f>IFERROR(__xludf.DUMMYFUNCTION("IF($B653="""","""",INDEX(filter(Familias!F:F,Familias!$D:$D=$A653,Familias!$E:$E=$B653),1))"),"")</f>
        <v/>
      </c>
      <c r="F653" s="4" t="str">
        <f>IFERROR(__xludf.DUMMYFUNCTION("IF($B653="""","""",INDEX(filter(Familias!G:G,Familias!$D:$D=$A653,Familias!$E:$E=$B653),1))"),"")</f>
        <v/>
      </c>
      <c r="G653" s="4" t="str">
        <f t="array" ref="G653">IF(C653=1,XLOOKUP(C653,Cotizador!D:D,Cotizador!E:E,"",0,1),"")</f>
        <v/>
      </c>
      <c r="I653" s="4"/>
      <c r="J653" s="8" t="str">
        <f>IF(I653="","",SUMIF(Cotizador!I$1:V$1,I653,Cotizador!I$2:V$2))</f>
        <v/>
      </c>
      <c r="L653" s="4" t="str">
        <f t="array" ref="L653">IF(COUNTIF(L$1:L652,A$2)=SUMIF(A:A,A$2,D:D),IF(COUNTIF(L$1:L652,XLOOKUP(A$2,Implementos!B:B,Implementos!C:C,"",0,1))=SUMIF(A:A,XLOOKUP(A$2,Implementos!B:B,Implementos!C:C,"",0,1),D:D),"",XLOOKUP(A$2,Implementos!B:B,Implementos!C:C,"",0,1)),A$2)</f>
        <v/>
      </c>
      <c r="M653" s="4" t="str">
        <f t="shared" si="2"/>
        <v/>
      </c>
      <c r="N653" s="4" t="str">
        <f t="shared" si="3"/>
        <v/>
      </c>
      <c r="O653" s="4" t="str">
        <f t="shared" si="4"/>
        <v/>
      </c>
      <c r="P653" s="4" t="str">
        <f t="shared" si="5"/>
        <v/>
      </c>
      <c r="Q653" s="4" t="str">
        <f>IF(U653="","",SUMIF(Productos!E:E,U653,Productos!A:A))</f>
        <v/>
      </c>
      <c r="R653" s="4" t="str">
        <f t="array" ref="R653">IF(L653="","", max(1,SUMIF(I:I,XLOOKUP(U653,Productos!E:E,Productos!G:G,"",0,1),J:J)))</f>
        <v/>
      </c>
      <c r="S653" s="4" t="str">
        <f>IF(Q653="","",IF(SUMIFS(Compat_Vetado!D:D,Compat_Vetado!B:B,SUM(G:G),Compat_Vetado!C:C,Q653)=1,"SI",IF(OR(SUMIF(Cotizador!E:E,Q653,Cotizador!G:G)&gt;0,SUMIFS(Compat_Vetado!D:D,Compat_Vetado!B:B,SUM(G:G),Compat_Vetado!C:C,Q653)=-1),"NO","")))</f>
        <v/>
      </c>
      <c r="T653" s="4" t="str">
        <f t="shared" si="6"/>
        <v/>
      </c>
      <c r="U653" s="4" t="str">
        <f>IFERROR(__xludf.DUMMYFUNCTION("IF(P653="""","""",IFERROR(INDEX(filter(Productos!E:E,Productos!F:F=L653,Productos!H:H=N653),P653),IF(M653=SUM(D:D),""Finalizar"",""-"")))"),"")</f>
        <v/>
      </c>
      <c r="V653" s="4" t="str">
        <f>IFERROR(__xludf.DUMMYFUNCTION("IF(OR($U653="""",COUNTIF($I:$I,IFERROR(unique(filter(Prod_Prop!$H:$H,Prod_Prop!$G:$G=$U653,Prod_Prop!$E:$E=V$1)),""Check""))=0),"""",IFERROR(unique(filter(Prod_Prop!$H:$H,Prod_Prop!$G:$G=$U653,Prod_Prop!$E:$E=V$1)),""""))"),"")</f>
        <v/>
      </c>
      <c r="W653" s="4" t="str">
        <f>IF(V653="","",SUMIFS(Prod_Prop!$J:$J,Prod_Prop!$B:$B,$Q653,Prod_Prop!$H:$H,V653,Prod_Prop!$I:$I,W$1)*IF(V653="Peso",$R653,1))</f>
        <v/>
      </c>
      <c r="X653" s="4" t="str">
        <f>IF(V653="","",SUMIFS(Prod_Prop!$J:$J,Prod_Prop!$B:$B,$Q653,Prod_Prop!$H:$H,V653,Prod_Prop!$I:$I,X$1)*IF(V653="Peso",$R653,1))</f>
        <v/>
      </c>
      <c r="Y653" s="4" t="str">
        <f>IFERROR(__xludf.DUMMYFUNCTION("IF(OR($U653="""",COUNTIF($I:$I,IFERROR(unique(filter(Prod_Prop!$H:$H,Prod_Prop!$G:$G=$U653,Prod_Prop!$E:$E=Y$1)),""Check""))=0),"""",IFERROR(unique(filter(Prod_Prop!$H:$H,Prod_Prop!$G:$G=$U653,Prod_Prop!$E:$E=Y$1)),""""))"),"")</f>
        <v/>
      </c>
      <c r="Z653" s="4" t="str">
        <f>IF(Y653="","",SUMIFS(Prod_Prop!$J:$J,Prod_Prop!$B:$B,$Q653,Prod_Prop!$H:$H,Y653,Prod_Prop!$I:$I,Z$1)*IF(Y653="Peso",$R653,1))</f>
        <v/>
      </c>
      <c r="AA653" s="4" t="str">
        <f>IF(Y653="","",SUMIFS(Prod_Prop!$J:$J,Prod_Prop!$B:$B,$Q653,Prod_Prop!$H:$H,Y653,Prod_Prop!$I:$I,AA$1)*IF(Y653="Peso",$R653,1))</f>
        <v/>
      </c>
      <c r="AB653" s="4" t="str">
        <f>IFERROR(__xludf.DUMMYFUNCTION("IF(OR($U653="""",COUNTIF($I:$I,IFERROR(unique(filter(Prod_Prop!$H:$H,Prod_Prop!$G:$G=$U653,Prod_Prop!$E:$E=AB$1)),""Check""))=0),"""",IFERROR(unique(filter(Prod_Prop!$H:$H,Prod_Prop!$G:$G=$U653,Prod_Prop!$E:$E=AB$1)),""""))"),"")</f>
        <v/>
      </c>
      <c r="AC653" s="4" t="str">
        <f>IF(AB653="","",SUMIFS(Prod_Prop!$J:$J,Prod_Prop!$B:$B,$Q653,Prod_Prop!$H:$H,AB653,Prod_Prop!$I:$I,AC$1)*IF(AB653="Peso",$R653,1))</f>
        <v/>
      </c>
      <c r="AD653" s="4" t="str">
        <f>IF(AB653="","",SUMIFS(Prod_Prop!$J:$J,Prod_Prop!$B:$B,$Q653,Prod_Prop!$H:$H,AB653,Prod_Prop!$I:$I,AD$1)*IF(AB653="Peso",$R653,1))</f>
        <v/>
      </c>
    </row>
    <row r="654">
      <c r="A654" s="4" t="str">
        <f t="array" ref="A654">IF(COUNTIF(A$1:A653,Cotizador!F$2)=maxifs(Familias!E:E,Familias!D:D,Cotizador!F$2),IF(COUNTIF(A$1:A653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4" s="4" t="str">
        <f t="shared" si="1"/>
        <v/>
      </c>
      <c r="C654" s="4" t="str">
        <f t="array" ref="C654">IF(B654="","",IF(A654=XLOOKUP(A$2,Implementos!B:B,Implementos!C:C,"",0,1),B654+maxifs(B$1:B653,A$1:A653,A$2),B654))</f>
        <v/>
      </c>
      <c r="D654" s="4" t="str">
        <f>IF(B654="","", COUNTIFS(Productos!F:F,A654,Productos!H:H,B654)+IF(F654="SI",0,1))</f>
        <v/>
      </c>
      <c r="E654" s="4" t="str">
        <f>IFERROR(__xludf.DUMMYFUNCTION("IF($B654="""","""",INDEX(filter(Familias!F:F,Familias!$D:$D=$A654,Familias!$E:$E=$B654),1))"),"")</f>
        <v/>
      </c>
      <c r="F654" s="4" t="str">
        <f>IFERROR(__xludf.DUMMYFUNCTION("IF($B654="""","""",INDEX(filter(Familias!G:G,Familias!$D:$D=$A654,Familias!$E:$E=$B654),1))"),"")</f>
        <v/>
      </c>
      <c r="G654" s="4" t="str">
        <f t="array" ref="G654">IF(C654=1,XLOOKUP(C654,Cotizador!D:D,Cotizador!E:E,"",0,1),"")</f>
        <v/>
      </c>
      <c r="I654" s="4"/>
      <c r="J654" s="8" t="str">
        <f>IF(I654="","",SUMIF(Cotizador!I$1:V$1,I654,Cotizador!I$2:V$2))</f>
        <v/>
      </c>
      <c r="L654" s="4" t="str">
        <f t="array" ref="L654">IF(COUNTIF(L$1:L653,A$2)=SUMIF(A:A,A$2,D:D),IF(COUNTIF(L$1:L653,XLOOKUP(A$2,Implementos!B:B,Implementos!C:C,"",0,1))=SUMIF(A:A,XLOOKUP(A$2,Implementos!B:B,Implementos!C:C,"",0,1),D:D),"",XLOOKUP(A$2,Implementos!B:B,Implementos!C:C,"",0,1)),A$2)</f>
        <v/>
      </c>
      <c r="M654" s="4" t="str">
        <f t="shared" si="2"/>
        <v/>
      </c>
      <c r="N654" s="4" t="str">
        <f t="shared" si="3"/>
        <v/>
      </c>
      <c r="O654" s="4" t="str">
        <f t="shared" si="4"/>
        <v/>
      </c>
      <c r="P654" s="4" t="str">
        <f t="shared" si="5"/>
        <v/>
      </c>
      <c r="Q654" s="4" t="str">
        <f>IF(U654="","",SUMIF(Productos!E:E,U654,Productos!A:A))</f>
        <v/>
      </c>
      <c r="R654" s="4" t="str">
        <f t="array" ref="R654">IF(L654="","", max(1,SUMIF(I:I,XLOOKUP(U654,Productos!E:E,Productos!G:G,"",0,1),J:J)))</f>
        <v/>
      </c>
      <c r="S654" s="4" t="str">
        <f>IF(Q654="","",IF(SUMIFS(Compat_Vetado!D:D,Compat_Vetado!B:B,SUM(G:G),Compat_Vetado!C:C,Q654)=1,"SI",IF(OR(SUMIF(Cotizador!E:E,Q654,Cotizador!G:G)&gt;0,SUMIFS(Compat_Vetado!D:D,Compat_Vetado!B:B,SUM(G:G),Compat_Vetado!C:C,Q654)=-1),"NO","")))</f>
        <v/>
      </c>
      <c r="T654" s="4" t="str">
        <f t="shared" si="6"/>
        <v/>
      </c>
      <c r="U654" s="4" t="str">
        <f>IFERROR(__xludf.DUMMYFUNCTION("IF(P654="""","""",IFERROR(INDEX(filter(Productos!E:E,Productos!F:F=L654,Productos!H:H=N654),P654),IF(M654=SUM(D:D),""Finalizar"",""-"")))"),"")</f>
        <v/>
      </c>
      <c r="V654" s="4" t="str">
        <f>IFERROR(__xludf.DUMMYFUNCTION("IF(OR($U654="""",COUNTIF($I:$I,IFERROR(unique(filter(Prod_Prop!$H:$H,Prod_Prop!$G:$G=$U654,Prod_Prop!$E:$E=V$1)),""Check""))=0),"""",IFERROR(unique(filter(Prod_Prop!$H:$H,Prod_Prop!$G:$G=$U654,Prod_Prop!$E:$E=V$1)),""""))"),"")</f>
        <v/>
      </c>
      <c r="W654" s="4" t="str">
        <f>IF(V654="","",SUMIFS(Prod_Prop!$J:$J,Prod_Prop!$B:$B,$Q654,Prod_Prop!$H:$H,V654,Prod_Prop!$I:$I,W$1)*IF(V654="Peso",$R654,1))</f>
        <v/>
      </c>
      <c r="X654" s="4" t="str">
        <f>IF(V654="","",SUMIFS(Prod_Prop!$J:$J,Prod_Prop!$B:$B,$Q654,Prod_Prop!$H:$H,V654,Prod_Prop!$I:$I,X$1)*IF(V654="Peso",$R654,1))</f>
        <v/>
      </c>
      <c r="Y654" s="4" t="str">
        <f>IFERROR(__xludf.DUMMYFUNCTION("IF(OR($U654="""",COUNTIF($I:$I,IFERROR(unique(filter(Prod_Prop!$H:$H,Prod_Prop!$G:$G=$U654,Prod_Prop!$E:$E=Y$1)),""Check""))=0),"""",IFERROR(unique(filter(Prod_Prop!$H:$H,Prod_Prop!$G:$G=$U654,Prod_Prop!$E:$E=Y$1)),""""))"),"")</f>
        <v/>
      </c>
      <c r="Z654" s="4" t="str">
        <f>IF(Y654="","",SUMIFS(Prod_Prop!$J:$J,Prod_Prop!$B:$B,$Q654,Prod_Prop!$H:$H,Y654,Prod_Prop!$I:$I,Z$1)*IF(Y654="Peso",$R654,1))</f>
        <v/>
      </c>
      <c r="AA654" s="4" t="str">
        <f>IF(Y654="","",SUMIFS(Prod_Prop!$J:$J,Prod_Prop!$B:$B,$Q654,Prod_Prop!$H:$H,Y654,Prod_Prop!$I:$I,AA$1)*IF(Y654="Peso",$R654,1))</f>
        <v/>
      </c>
      <c r="AB654" s="4" t="str">
        <f>IFERROR(__xludf.DUMMYFUNCTION("IF(OR($U654="""",COUNTIF($I:$I,IFERROR(unique(filter(Prod_Prop!$H:$H,Prod_Prop!$G:$G=$U654,Prod_Prop!$E:$E=AB$1)),""Check""))=0),"""",IFERROR(unique(filter(Prod_Prop!$H:$H,Prod_Prop!$G:$G=$U654,Prod_Prop!$E:$E=AB$1)),""""))"),"")</f>
        <v/>
      </c>
      <c r="AC654" s="4" t="str">
        <f>IF(AB654="","",SUMIFS(Prod_Prop!$J:$J,Prod_Prop!$B:$B,$Q654,Prod_Prop!$H:$H,AB654,Prod_Prop!$I:$I,AC$1)*IF(AB654="Peso",$R654,1))</f>
        <v/>
      </c>
      <c r="AD654" s="4" t="str">
        <f>IF(AB654="","",SUMIFS(Prod_Prop!$J:$J,Prod_Prop!$B:$B,$Q654,Prod_Prop!$H:$H,AB654,Prod_Prop!$I:$I,AD$1)*IF(AB654="Peso",$R654,1))</f>
        <v/>
      </c>
    </row>
    <row r="655">
      <c r="A655" s="4" t="str">
        <f t="array" ref="A655">IF(COUNTIF(A$1:A654,Cotizador!F$2)=maxifs(Familias!E:E,Familias!D:D,Cotizador!F$2),IF(COUNTIF(A$1:A654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5" s="4" t="str">
        <f t="shared" si="1"/>
        <v/>
      </c>
      <c r="C655" s="4" t="str">
        <f t="array" ref="C655">IF(B655="","",IF(A655=XLOOKUP(A$2,Implementos!B:B,Implementos!C:C,"",0,1),B655+maxifs(B$1:B654,A$1:A654,A$2),B655))</f>
        <v/>
      </c>
      <c r="D655" s="4" t="str">
        <f>IF(B655="","", COUNTIFS(Productos!F:F,A655,Productos!H:H,B655)+IF(F655="SI",0,1))</f>
        <v/>
      </c>
      <c r="E655" s="4" t="str">
        <f>IFERROR(__xludf.DUMMYFUNCTION("IF($B655="""","""",INDEX(filter(Familias!F:F,Familias!$D:$D=$A655,Familias!$E:$E=$B655),1))"),"")</f>
        <v/>
      </c>
      <c r="F655" s="4" t="str">
        <f>IFERROR(__xludf.DUMMYFUNCTION("IF($B655="""","""",INDEX(filter(Familias!G:G,Familias!$D:$D=$A655,Familias!$E:$E=$B655),1))"),"")</f>
        <v/>
      </c>
      <c r="G655" s="4" t="str">
        <f t="array" ref="G655">IF(C655=1,XLOOKUP(C655,Cotizador!D:D,Cotizador!E:E,"",0,1),"")</f>
        <v/>
      </c>
      <c r="I655" s="4"/>
      <c r="J655" s="8" t="str">
        <f>IF(I655="","",SUMIF(Cotizador!I$1:V$1,I655,Cotizador!I$2:V$2))</f>
        <v/>
      </c>
      <c r="L655" s="4" t="str">
        <f t="array" ref="L655">IF(COUNTIF(L$1:L654,A$2)=SUMIF(A:A,A$2,D:D),IF(COUNTIF(L$1:L654,XLOOKUP(A$2,Implementos!B:B,Implementos!C:C,"",0,1))=SUMIF(A:A,XLOOKUP(A$2,Implementos!B:B,Implementos!C:C,"",0,1),D:D),"",XLOOKUP(A$2,Implementos!B:B,Implementos!C:C,"",0,1)),A$2)</f>
        <v/>
      </c>
      <c r="M655" s="4" t="str">
        <f t="shared" si="2"/>
        <v/>
      </c>
      <c r="N655" s="4" t="str">
        <f t="shared" si="3"/>
        <v/>
      </c>
      <c r="O655" s="4" t="str">
        <f t="shared" si="4"/>
        <v/>
      </c>
      <c r="P655" s="4" t="str">
        <f t="shared" si="5"/>
        <v/>
      </c>
      <c r="Q655" s="4" t="str">
        <f>IF(U655="","",SUMIF(Productos!E:E,U655,Productos!A:A))</f>
        <v/>
      </c>
      <c r="R655" s="4" t="str">
        <f t="array" ref="R655">IF(L655="","", max(1,SUMIF(I:I,XLOOKUP(U655,Productos!E:E,Productos!G:G,"",0,1),J:J)))</f>
        <v/>
      </c>
      <c r="S655" s="4" t="str">
        <f>IF(Q655="","",IF(SUMIFS(Compat_Vetado!D:D,Compat_Vetado!B:B,SUM(G:G),Compat_Vetado!C:C,Q655)=1,"SI",IF(OR(SUMIF(Cotizador!E:E,Q655,Cotizador!G:G)&gt;0,SUMIFS(Compat_Vetado!D:D,Compat_Vetado!B:B,SUM(G:G),Compat_Vetado!C:C,Q655)=-1),"NO","")))</f>
        <v/>
      </c>
      <c r="T655" s="4" t="str">
        <f t="shared" si="6"/>
        <v/>
      </c>
      <c r="U655" s="4" t="str">
        <f>IFERROR(__xludf.DUMMYFUNCTION("IF(P655="""","""",IFERROR(INDEX(filter(Productos!E:E,Productos!F:F=L655,Productos!H:H=N655),P655),IF(M655=SUM(D:D),""Finalizar"",""-"")))"),"")</f>
        <v/>
      </c>
      <c r="V655" s="4" t="str">
        <f>IFERROR(__xludf.DUMMYFUNCTION("IF(OR($U655="""",COUNTIF($I:$I,IFERROR(unique(filter(Prod_Prop!$H:$H,Prod_Prop!$G:$G=$U655,Prod_Prop!$E:$E=V$1)),""Check""))=0),"""",IFERROR(unique(filter(Prod_Prop!$H:$H,Prod_Prop!$G:$G=$U655,Prod_Prop!$E:$E=V$1)),""""))"),"")</f>
        <v/>
      </c>
      <c r="W655" s="4" t="str">
        <f>IF(V655="","",SUMIFS(Prod_Prop!$J:$J,Prod_Prop!$B:$B,$Q655,Prod_Prop!$H:$H,V655,Prod_Prop!$I:$I,W$1)*IF(V655="Peso",$R655,1))</f>
        <v/>
      </c>
      <c r="X655" s="4" t="str">
        <f>IF(V655="","",SUMIFS(Prod_Prop!$J:$J,Prod_Prop!$B:$B,$Q655,Prod_Prop!$H:$H,V655,Prod_Prop!$I:$I,X$1)*IF(V655="Peso",$R655,1))</f>
        <v/>
      </c>
      <c r="Y655" s="4" t="str">
        <f>IFERROR(__xludf.DUMMYFUNCTION("IF(OR($U655="""",COUNTIF($I:$I,IFERROR(unique(filter(Prod_Prop!$H:$H,Prod_Prop!$G:$G=$U655,Prod_Prop!$E:$E=Y$1)),""Check""))=0),"""",IFERROR(unique(filter(Prod_Prop!$H:$H,Prod_Prop!$G:$G=$U655,Prod_Prop!$E:$E=Y$1)),""""))"),"")</f>
        <v/>
      </c>
      <c r="Z655" s="4" t="str">
        <f>IF(Y655="","",SUMIFS(Prod_Prop!$J:$J,Prod_Prop!$B:$B,$Q655,Prod_Prop!$H:$H,Y655,Prod_Prop!$I:$I,Z$1)*IF(Y655="Peso",$R655,1))</f>
        <v/>
      </c>
      <c r="AA655" s="4" t="str">
        <f>IF(Y655="","",SUMIFS(Prod_Prop!$J:$J,Prod_Prop!$B:$B,$Q655,Prod_Prop!$H:$H,Y655,Prod_Prop!$I:$I,AA$1)*IF(Y655="Peso",$R655,1))</f>
        <v/>
      </c>
      <c r="AB655" s="4" t="str">
        <f>IFERROR(__xludf.DUMMYFUNCTION("IF(OR($U655="""",COUNTIF($I:$I,IFERROR(unique(filter(Prod_Prop!$H:$H,Prod_Prop!$G:$G=$U655,Prod_Prop!$E:$E=AB$1)),""Check""))=0),"""",IFERROR(unique(filter(Prod_Prop!$H:$H,Prod_Prop!$G:$G=$U655,Prod_Prop!$E:$E=AB$1)),""""))"),"")</f>
        <v/>
      </c>
      <c r="AC655" s="4" t="str">
        <f>IF(AB655="","",SUMIFS(Prod_Prop!$J:$J,Prod_Prop!$B:$B,$Q655,Prod_Prop!$H:$H,AB655,Prod_Prop!$I:$I,AC$1)*IF(AB655="Peso",$R655,1))</f>
        <v/>
      </c>
      <c r="AD655" s="4" t="str">
        <f>IF(AB655="","",SUMIFS(Prod_Prop!$J:$J,Prod_Prop!$B:$B,$Q655,Prod_Prop!$H:$H,AB655,Prod_Prop!$I:$I,AD$1)*IF(AB655="Peso",$R655,1))</f>
        <v/>
      </c>
    </row>
    <row r="656">
      <c r="A656" s="4" t="str">
        <f t="array" ref="A656">IF(COUNTIF(A$1:A655,Cotizador!F$2)=maxifs(Familias!E:E,Familias!D:D,Cotizador!F$2),IF(COUNTIF(A$1:A655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6" s="4" t="str">
        <f t="shared" si="1"/>
        <v/>
      </c>
      <c r="C656" s="4" t="str">
        <f t="array" ref="C656">IF(B656="","",IF(A656=XLOOKUP(A$2,Implementos!B:B,Implementos!C:C,"",0,1),B656+maxifs(B$1:B655,A$1:A655,A$2),B656))</f>
        <v/>
      </c>
      <c r="D656" s="4" t="str">
        <f>IF(B656="","", COUNTIFS(Productos!F:F,A656,Productos!H:H,B656)+IF(F656="SI",0,1))</f>
        <v/>
      </c>
      <c r="E656" s="4" t="str">
        <f>IFERROR(__xludf.DUMMYFUNCTION("IF($B656="""","""",INDEX(filter(Familias!F:F,Familias!$D:$D=$A656,Familias!$E:$E=$B656),1))"),"")</f>
        <v/>
      </c>
      <c r="F656" s="4" t="str">
        <f>IFERROR(__xludf.DUMMYFUNCTION("IF($B656="""","""",INDEX(filter(Familias!G:G,Familias!$D:$D=$A656,Familias!$E:$E=$B656),1))"),"")</f>
        <v/>
      </c>
      <c r="G656" s="4" t="str">
        <f t="array" ref="G656">IF(C656=1,XLOOKUP(C656,Cotizador!D:D,Cotizador!E:E,"",0,1),"")</f>
        <v/>
      </c>
      <c r="I656" s="4"/>
      <c r="J656" s="8" t="str">
        <f>IF(I656="","",SUMIF(Cotizador!I$1:V$1,I656,Cotizador!I$2:V$2))</f>
        <v/>
      </c>
      <c r="L656" s="4" t="str">
        <f t="array" ref="L656">IF(COUNTIF(L$1:L655,A$2)=SUMIF(A:A,A$2,D:D),IF(COUNTIF(L$1:L655,XLOOKUP(A$2,Implementos!B:B,Implementos!C:C,"",0,1))=SUMIF(A:A,XLOOKUP(A$2,Implementos!B:B,Implementos!C:C,"",0,1),D:D),"",XLOOKUP(A$2,Implementos!B:B,Implementos!C:C,"",0,1)),A$2)</f>
        <v/>
      </c>
      <c r="M656" s="4" t="str">
        <f t="shared" si="2"/>
        <v/>
      </c>
      <c r="N656" s="4" t="str">
        <f t="shared" si="3"/>
        <v/>
      </c>
      <c r="O656" s="4" t="str">
        <f t="shared" si="4"/>
        <v/>
      </c>
      <c r="P656" s="4" t="str">
        <f t="shared" si="5"/>
        <v/>
      </c>
      <c r="Q656" s="4" t="str">
        <f>IF(U656="","",SUMIF(Productos!E:E,U656,Productos!A:A))</f>
        <v/>
      </c>
      <c r="R656" s="4" t="str">
        <f t="array" ref="R656">IF(L656="","", max(1,SUMIF(I:I,XLOOKUP(U656,Productos!E:E,Productos!G:G,"",0,1),J:J)))</f>
        <v/>
      </c>
      <c r="S656" s="4" t="str">
        <f>IF(Q656="","",IF(SUMIFS(Compat_Vetado!D:D,Compat_Vetado!B:B,SUM(G:G),Compat_Vetado!C:C,Q656)=1,"SI",IF(OR(SUMIF(Cotizador!E:E,Q656,Cotizador!G:G)&gt;0,SUMIFS(Compat_Vetado!D:D,Compat_Vetado!B:B,SUM(G:G),Compat_Vetado!C:C,Q656)=-1),"NO","")))</f>
        <v/>
      </c>
      <c r="T656" s="4" t="str">
        <f t="shared" si="6"/>
        <v/>
      </c>
      <c r="U656" s="4" t="str">
        <f>IFERROR(__xludf.DUMMYFUNCTION("IF(P656="""","""",IFERROR(INDEX(filter(Productos!E:E,Productos!F:F=L656,Productos!H:H=N656),P656),IF(M656=SUM(D:D),""Finalizar"",""-"")))"),"")</f>
        <v/>
      </c>
      <c r="V656" s="4" t="str">
        <f>IFERROR(__xludf.DUMMYFUNCTION("IF(OR($U656="""",COUNTIF($I:$I,IFERROR(unique(filter(Prod_Prop!$H:$H,Prod_Prop!$G:$G=$U656,Prod_Prop!$E:$E=V$1)),""Check""))=0),"""",IFERROR(unique(filter(Prod_Prop!$H:$H,Prod_Prop!$G:$G=$U656,Prod_Prop!$E:$E=V$1)),""""))"),"")</f>
        <v/>
      </c>
      <c r="W656" s="4" t="str">
        <f>IF(V656="","",SUMIFS(Prod_Prop!$J:$J,Prod_Prop!$B:$B,$Q656,Prod_Prop!$H:$H,V656,Prod_Prop!$I:$I,W$1)*IF(V656="Peso",$R656,1))</f>
        <v/>
      </c>
      <c r="X656" s="4" t="str">
        <f>IF(V656="","",SUMIFS(Prod_Prop!$J:$J,Prod_Prop!$B:$B,$Q656,Prod_Prop!$H:$H,V656,Prod_Prop!$I:$I,X$1)*IF(V656="Peso",$R656,1))</f>
        <v/>
      </c>
      <c r="Y656" s="4" t="str">
        <f>IFERROR(__xludf.DUMMYFUNCTION("IF(OR($U656="""",COUNTIF($I:$I,IFERROR(unique(filter(Prod_Prop!$H:$H,Prod_Prop!$G:$G=$U656,Prod_Prop!$E:$E=Y$1)),""Check""))=0),"""",IFERROR(unique(filter(Prod_Prop!$H:$H,Prod_Prop!$G:$G=$U656,Prod_Prop!$E:$E=Y$1)),""""))"),"")</f>
        <v/>
      </c>
      <c r="Z656" s="4" t="str">
        <f>IF(Y656="","",SUMIFS(Prod_Prop!$J:$J,Prod_Prop!$B:$B,$Q656,Prod_Prop!$H:$H,Y656,Prod_Prop!$I:$I,Z$1)*IF(Y656="Peso",$R656,1))</f>
        <v/>
      </c>
      <c r="AA656" s="4" t="str">
        <f>IF(Y656="","",SUMIFS(Prod_Prop!$J:$J,Prod_Prop!$B:$B,$Q656,Prod_Prop!$H:$H,Y656,Prod_Prop!$I:$I,AA$1)*IF(Y656="Peso",$R656,1))</f>
        <v/>
      </c>
      <c r="AB656" s="4" t="str">
        <f>IFERROR(__xludf.DUMMYFUNCTION("IF(OR($U656="""",COUNTIF($I:$I,IFERROR(unique(filter(Prod_Prop!$H:$H,Prod_Prop!$G:$G=$U656,Prod_Prop!$E:$E=AB$1)),""Check""))=0),"""",IFERROR(unique(filter(Prod_Prop!$H:$H,Prod_Prop!$G:$G=$U656,Prod_Prop!$E:$E=AB$1)),""""))"),"")</f>
        <v/>
      </c>
      <c r="AC656" s="4" t="str">
        <f>IF(AB656="","",SUMIFS(Prod_Prop!$J:$J,Prod_Prop!$B:$B,$Q656,Prod_Prop!$H:$H,AB656,Prod_Prop!$I:$I,AC$1)*IF(AB656="Peso",$R656,1))</f>
        <v/>
      </c>
      <c r="AD656" s="4" t="str">
        <f>IF(AB656="","",SUMIFS(Prod_Prop!$J:$J,Prod_Prop!$B:$B,$Q656,Prod_Prop!$H:$H,AB656,Prod_Prop!$I:$I,AD$1)*IF(AB656="Peso",$R656,1))</f>
        <v/>
      </c>
    </row>
    <row r="657">
      <c r="A657" s="4" t="str">
        <f t="array" ref="A657">IF(COUNTIF(A$1:A656,Cotizador!F$2)=maxifs(Familias!E:E,Familias!D:D,Cotizador!F$2),IF(COUNTIF(A$1:A656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7" s="4" t="str">
        <f t="shared" si="1"/>
        <v/>
      </c>
      <c r="C657" s="4" t="str">
        <f t="array" ref="C657">IF(B657="","",IF(A657=XLOOKUP(A$2,Implementos!B:B,Implementos!C:C,"",0,1),B657+maxifs(B$1:B656,A$1:A656,A$2),B657))</f>
        <v/>
      </c>
      <c r="D657" s="4" t="str">
        <f>IF(B657="","", COUNTIFS(Productos!F:F,A657,Productos!H:H,B657)+IF(F657="SI",0,1))</f>
        <v/>
      </c>
      <c r="E657" s="4" t="str">
        <f>IFERROR(__xludf.DUMMYFUNCTION("IF($B657="""","""",INDEX(filter(Familias!F:F,Familias!$D:$D=$A657,Familias!$E:$E=$B657),1))"),"")</f>
        <v/>
      </c>
      <c r="F657" s="4" t="str">
        <f>IFERROR(__xludf.DUMMYFUNCTION("IF($B657="""","""",INDEX(filter(Familias!G:G,Familias!$D:$D=$A657,Familias!$E:$E=$B657),1))"),"")</f>
        <v/>
      </c>
      <c r="G657" s="4" t="str">
        <f t="array" ref="G657">IF(C657=1,XLOOKUP(C657,Cotizador!D:D,Cotizador!E:E,"",0,1),"")</f>
        <v/>
      </c>
      <c r="I657" s="4"/>
      <c r="J657" s="8" t="str">
        <f>IF(I657="","",SUMIF(Cotizador!I$1:V$1,I657,Cotizador!I$2:V$2))</f>
        <v/>
      </c>
      <c r="L657" s="4" t="str">
        <f t="array" ref="L657">IF(COUNTIF(L$1:L656,A$2)=SUMIF(A:A,A$2,D:D),IF(COUNTIF(L$1:L656,XLOOKUP(A$2,Implementos!B:B,Implementos!C:C,"",0,1))=SUMIF(A:A,XLOOKUP(A$2,Implementos!B:B,Implementos!C:C,"",0,1),D:D),"",XLOOKUP(A$2,Implementos!B:B,Implementos!C:C,"",0,1)),A$2)</f>
        <v/>
      </c>
      <c r="M657" s="4" t="str">
        <f t="shared" si="2"/>
        <v/>
      </c>
      <c r="N657" s="4" t="str">
        <f t="shared" si="3"/>
        <v/>
      </c>
      <c r="O657" s="4" t="str">
        <f t="shared" si="4"/>
        <v/>
      </c>
      <c r="P657" s="4" t="str">
        <f t="shared" si="5"/>
        <v/>
      </c>
      <c r="Q657" s="4" t="str">
        <f>IF(U657="","",SUMIF(Productos!E:E,U657,Productos!A:A))</f>
        <v/>
      </c>
      <c r="R657" s="4" t="str">
        <f t="array" ref="R657">IF(L657="","", max(1,SUMIF(I:I,XLOOKUP(U657,Productos!E:E,Productos!G:G,"",0,1),J:J)))</f>
        <v/>
      </c>
      <c r="S657" s="4" t="str">
        <f>IF(Q657="","",IF(SUMIFS(Compat_Vetado!D:D,Compat_Vetado!B:B,SUM(G:G),Compat_Vetado!C:C,Q657)=1,"SI",IF(OR(SUMIF(Cotizador!E:E,Q657,Cotizador!G:G)&gt;0,SUMIFS(Compat_Vetado!D:D,Compat_Vetado!B:B,SUM(G:G),Compat_Vetado!C:C,Q657)=-1),"NO","")))</f>
        <v/>
      </c>
      <c r="T657" s="4" t="str">
        <f t="shared" si="6"/>
        <v/>
      </c>
      <c r="U657" s="4" t="str">
        <f>IFERROR(__xludf.DUMMYFUNCTION("IF(P657="""","""",IFERROR(INDEX(filter(Productos!E:E,Productos!F:F=L657,Productos!H:H=N657),P657),IF(M657=SUM(D:D),""Finalizar"",""-"")))"),"")</f>
        <v/>
      </c>
      <c r="V657" s="4" t="str">
        <f>IFERROR(__xludf.DUMMYFUNCTION("IF(OR($U657="""",COUNTIF($I:$I,IFERROR(unique(filter(Prod_Prop!$H:$H,Prod_Prop!$G:$G=$U657,Prod_Prop!$E:$E=V$1)),""Check""))=0),"""",IFERROR(unique(filter(Prod_Prop!$H:$H,Prod_Prop!$G:$G=$U657,Prod_Prop!$E:$E=V$1)),""""))"),"")</f>
        <v/>
      </c>
      <c r="W657" s="4" t="str">
        <f>IF(V657="","",SUMIFS(Prod_Prop!$J:$J,Prod_Prop!$B:$B,$Q657,Prod_Prop!$H:$H,V657,Prod_Prop!$I:$I,W$1)*IF(V657="Peso",$R657,1))</f>
        <v/>
      </c>
      <c r="X657" s="4" t="str">
        <f>IF(V657="","",SUMIFS(Prod_Prop!$J:$J,Prod_Prop!$B:$B,$Q657,Prod_Prop!$H:$H,V657,Prod_Prop!$I:$I,X$1)*IF(V657="Peso",$R657,1))</f>
        <v/>
      </c>
      <c r="Y657" s="4" t="str">
        <f>IFERROR(__xludf.DUMMYFUNCTION("IF(OR($U657="""",COUNTIF($I:$I,IFERROR(unique(filter(Prod_Prop!$H:$H,Prod_Prop!$G:$G=$U657,Prod_Prop!$E:$E=Y$1)),""Check""))=0),"""",IFERROR(unique(filter(Prod_Prop!$H:$H,Prod_Prop!$G:$G=$U657,Prod_Prop!$E:$E=Y$1)),""""))"),"")</f>
        <v/>
      </c>
      <c r="Z657" s="4" t="str">
        <f>IF(Y657="","",SUMIFS(Prod_Prop!$J:$J,Prod_Prop!$B:$B,$Q657,Prod_Prop!$H:$H,Y657,Prod_Prop!$I:$I,Z$1)*IF(Y657="Peso",$R657,1))</f>
        <v/>
      </c>
      <c r="AA657" s="4" t="str">
        <f>IF(Y657="","",SUMIFS(Prod_Prop!$J:$J,Prod_Prop!$B:$B,$Q657,Prod_Prop!$H:$H,Y657,Prod_Prop!$I:$I,AA$1)*IF(Y657="Peso",$R657,1))</f>
        <v/>
      </c>
      <c r="AB657" s="4" t="str">
        <f>IFERROR(__xludf.DUMMYFUNCTION("IF(OR($U657="""",COUNTIF($I:$I,IFERROR(unique(filter(Prod_Prop!$H:$H,Prod_Prop!$G:$G=$U657,Prod_Prop!$E:$E=AB$1)),""Check""))=0),"""",IFERROR(unique(filter(Prod_Prop!$H:$H,Prod_Prop!$G:$G=$U657,Prod_Prop!$E:$E=AB$1)),""""))"),"")</f>
        <v/>
      </c>
      <c r="AC657" s="4" t="str">
        <f>IF(AB657="","",SUMIFS(Prod_Prop!$J:$J,Prod_Prop!$B:$B,$Q657,Prod_Prop!$H:$H,AB657,Prod_Prop!$I:$I,AC$1)*IF(AB657="Peso",$R657,1))</f>
        <v/>
      </c>
      <c r="AD657" s="4" t="str">
        <f>IF(AB657="","",SUMIFS(Prod_Prop!$J:$J,Prod_Prop!$B:$B,$Q657,Prod_Prop!$H:$H,AB657,Prod_Prop!$I:$I,AD$1)*IF(AB657="Peso",$R657,1))</f>
        <v/>
      </c>
    </row>
    <row r="658">
      <c r="A658" s="4" t="str">
        <f t="array" ref="A658">IF(COUNTIF(A$1:A657,Cotizador!F$2)=maxifs(Familias!E:E,Familias!D:D,Cotizador!F$2),IF(COUNTIF(A$1:A657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8" s="4" t="str">
        <f t="shared" si="1"/>
        <v/>
      </c>
      <c r="C658" s="4" t="str">
        <f t="array" ref="C658">IF(B658="","",IF(A658=XLOOKUP(A$2,Implementos!B:B,Implementos!C:C,"",0,1),B658+maxifs(B$1:B657,A$1:A657,A$2),B658))</f>
        <v/>
      </c>
      <c r="D658" s="4" t="str">
        <f>IF(B658="","", COUNTIFS(Productos!F:F,A658,Productos!H:H,B658)+IF(F658="SI",0,1))</f>
        <v/>
      </c>
      <c r="E658" s="4" t="str">
        <f>IFERROR(__xludf.DUMMYFUNCTION("IF($B658="""","""",INDEX(filter(Familias!F:F,Familias!$D:$D=$A658,Familias!$E:$E=$B658),1))"),"")</f>
        <v/>
      </c>
      <c r="F658" s="4" t="str">
        <f>IFERROR(__xludf.DUMMYFUNCTION("IF($B658="""","""",INDEX(filter(Familias!G:G,Familias!$D:$D=$A658,Familias!$E:$E=$B658),1))"),"")</f>
        <v/>
      </c>
      <c r="G658" s="4" t="str">
        <f t="array" ref="G658">IF(C658=1,XLOOKUP(C658,Cotizador!D:D,Cotizador!E:E,"",0,1),"")</f>
        <v/>
      </c>
      <c r="I658" s="4"/>
      <c r="J658" s="8" t="str">
        <f>IF(I658="","",SUMIF(Cotizador!I$1:V$1,I658,Cotizador!I$2:V$2))</f>
        <v/>
      </c>
      <c r="L658" s="4" t="str">
        <f t="array" ref="L658">IF(COUNTIF(L$1:L657,A$2)=SUMIF(A:A,A$2,D:D),IF(COUNTIF(L$1:L657,XLOOKUP(A$2,Implementos!B:B,Implementos!C:C,"",0,1))=SUMIF(A:A,XLOOKUP(A$2,Implementos!B:B,Implementos!C:C,"",0,1),D:D),"",XLOOKUP(A$2,Implementos!B:B,Implementos!C:C,"",0,1)),A$2)</f>
        <v/>
      </c>
      <c r="M658" s="4" t="str">
        <f t="shared" si="2"/>
        <v/>
      </c>
      <c r="N658" s="4" t="str">
        <f t="shared" si="3"/>
        <v/>
      </c>
      <c r="O658" s="4" t="str">
        <f t="shared" si="4"/>
        <v/>
      </c>
      <c r="P658" s="4" t="str">
        <f t="shared" si="5"/>
        <v/>
      </c>
      <c r="Q658" s="4" t="str">
        <f>IF(U658="","",SUMIF(Productos!E:E,U658,Productos!A:A))</f>
        <v/>
      </c>
      <c r="R658" s="4" t="str">
        <f t="array" ref="R658">IF(L658="","", max(1,SUMIF(I:I,XLOOKUP(U658,Productos!E:E,Productos!G:G,"",0,1),J:J)))</f>
        <v/>
      </c>
      <c r="S658" s="4" t="str">
        <f>IF(Q658="","",IF(SUMIFS(Compat_Vetado!D:D,Compat_Vetado!B:B,SUM(G:G),Compat_Vetado!C:C,Q658)=1,"SI",IF(OR(SUMIF(Cotizador!E:E,Q658,Cotizador!G:G)&gt;0,SUMIFS(Compat_Vetado!D:D,Compat_Vetado!B:B,SUM(G:G),Compat_Vetado!C:C,Q658)=-1),"NO","")))</f>
        <v/>
      </c>
      <c r="T658" s="4" t="str">
        <f t="shared" si="6"/>
        <v/>
      </c>
      <c r="U658" s="4" t="str">
        <f>IFERROR(__xludf.DUMMYFUNCTION("IF(P658="""","""",IFERROR(INDEX(filter(Productos!E:E,Productos!F:F=L658,Productos!H:H=N658),P658),IF(M658=SUM(D:D),""Finalizar"",""-"")))"),"")</f>
        <v/>
      </c>
      <c r="V658" s="4" t="str">
        <f>IFERROR(__xludf.DUMMYFUNCTION("IF(OR($U658="""",COUNTIF($I:$I,IFERROR(unique(filter(Prod_Prop!$H:$H,Prod_Prop!$G:$G=$U658,Prod_Prop!$E:$E=V$1)),""Check""))=0),"""",IFERROR(unique(filter(Prod_Prop!$H:$H,Prod_Prop!$G:$G=$U658,Prod_Prop!$E:$E=V$1)),""""))"),"")</f>
        <v/>
      </c>
      <c r="W658" s="4" t="str">
        <f>IF(V658="","",SUMIFS(Prod_Prop!$J:$J,Prod_Prop!$B:$B,$Q658,Prod_Prop!$H:$H,V658,Prod_Prop!$I:$I,W$1)*IF(V658="Peso",$R658,1))</f>
        <v/>
      </c>
      <c r="X658" s="4" t="str">
        <f>IF(V658="","",SUMIFS(Prod_Prop!$J:$J,Prod_Prop!$B:$B,$Q658,Prod_Prop!$H:$H,V658,Prod_Prop!$I:$I,X$1)*IF(V658="Peso",$R658,1))</f>
        <v/>
      </c>
      <c r="Y658" s="4" t="str">
        <f>IFERROR(__xludf.DUMMYFUNCTION("IF(OR($U658="""",COUNTIF($I:$I,IFERROR(unique(filter(Prod_Prop!$H:$H,Prod_Prop!$G:$G=$U658,Prod_Prop!$E:$E=Y$1)),""Check""))=0),"""",IFERROR(unique(filter(Prod_Prop!$H:$H,Prod_Prop!$G:$G=$U658,Prod_Prop!$E:$E=Y$1)),""""))"),"")</f>
        <v/>
      </c>
      <c r="Z658" s="4" t="str">
        <f>IF(Y658="","",SUMIFS(Prod_Prop!$J:$J,Prod_Prop!$B:$B,$Q658,Prod_Prop!$H:$H,Y658,Prod_Prop!$I:$I,Z$1)*IF(Y658="Peso",$R658,1))</f>
        <v/>
      </c>
      <c r="AA658" s="4" t="str">
        <f>IF(Y658="","",SUMIFS(Prod_Prop!$J:$J,Prod_Prop!$B:$B,$Q658,Prod_Prop!$H:$H,Y658,Prod_Prop!$I:$I,AA$1)*IF(Y658="Peso",$R658,1))</f>
        <v/>
      </c>
      <c r="AB658" s="4" t="str">
        <f>IFERROR(__xludf.DUMMYFUNCTION("IF(OR($U658="""",COUNTIF($I:$I,IFERROR(unique(filter(Prod_Prop!$H:$H,Prod_Prop!$G:$G=$U658,Prod_Prop!$E:$E=AB$1)),""Check""))=0),"""",IFERROR(unique(filter(Prod_Prop!$H:$H,Prod_Prop!$G:$G=$U658,Prod_Prop!$E:$E=AB$1)),""""))"),"")</f>
        <v/>
      </c>
      <c r="AC658" s="4" t="str">
        <f>IF(AB658="","",SUMIFS(Prod_Prop!$J:$J,Prod_Prop!$B:$B,$Q658,Prod_Prop!$H:$H,AB658,Prod_Prop!$I:$I,AC$1)*IF(AB658="Peso",$R658,1))</f>
        <v/>
      </c>
      <c r="AD658" s="4" t="str">
        <f>IF(AB658="","",SUMIFS(Prod_Prop!$J:$J,Prod_Prop!$B:$B,$Q658,Prod_Prop!$H:$H,AB658,Prod_Prop!$I:$I,AD$1)*IF(AB658="Peso",$R658,1))</f>
        <v/>
      </c>
    </row>
    <row r="659">
      <c r="A659" s="4" t="str">
        <f t="array" ref="A659">IF(COUNTIF(A$1:A658,Cotizador!F$2)=maxifs(Familias!E:E,Familias!D:D,Cotizador!F$2),IF(COUNTIF(A$1:A658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59" s="4" t="str">
        <f t="shared" si="1"/>
        <v/>
      </c>
      <c r="C659" s="4" t="str">
        <f t="array" ref="C659">IF(B659="","",IF(A659=XLOOKUP(A$2,Implementos!B:B,Implementos!C:C,"",0,1),B659+maxifs(B$1:B658,A$1:A658,A$2),B659))</f>
        <v/>
      </c>
      <c r="D659" s="4" t="str">
        <f>IF(B659="","", COUNTIFS(Productos!F:F,A659,Productos!H:H,B659)+IF(F659="SI",0,1))</f>
        <v/>
      </c>
      <c r="E659" s="4" t="str">
        <f>IFERROR(__xludf.DUMMYFUNCTION("IF($B659="""","""",INDEX(filter(Familias!F:F,Familias!$D:$D=$A659,Familias!$E:$E=$B659),1))"),"")</f>
        <v/>
      </c>
      <c r="F659" s="4" t="str">
        <f>IFERROR(__xludf.DUMMYFUNCTION("IF($B659="""","""",INDEX(filter(Familias!G:G,Familias!$D:$D=$A659,Familias!$E:$E=$B659),1))"),"")</f>
        <v/>
      </c>
      <c r="G659" s="4" t="str">
        <f t="array" ref="G659">IF(C659=1,XLOOKUP(C659,Cotizador!D:D,Cotizador!E:E,"",0,1),"")</f>
        <v/>
      </c>
      <c r="I659" s="4"/>
      <c r="J659" s="8" t="str">
        <f>IF(I659="","",SUMIF(Cotizador!I$1:V$1,I659,Cotizador!I$2:V$2))</f>
        <v/>
      </c>
      <c r="L659" s="4" t="str">
        <f t="array" ref="L659">IF(COUNTIF(L$1:L658,A$2)=SUMIF(A:A,A$2,D:D),IF(COUNTIF(L$1:L658,XLOOKUP(A$2,Implementos!B:B,Implementos!C:C,"",0,1))=SUMIF(A:A,XLOOKUP(A$2,Implementos!B:B,Implementos!C:C,"",0,1),D:D),"",XLOOKUP(A$2,Implementos!B:B,Implementos!C:C,"",0,1)),A$2)</f>
        <v/>
      </c>
      <c r="M659" s="4" t="str">
        <f t="shared" si="2"/>
        <v/>
      </c>
      <c r="N659" s="4" t="str">
        <f t="shared" si="3"/>
        <v/>
      </c>
      <c r="O659" s="4" t="str">
        <f t="shared" si="4"/>
        <v/>
      </c>
      <c r="P659" s="4" t="str">
        <f t="shared" si="5"/>
        <v/>
      </c>
      <c r="Q659" s="4" t="str">
        <f>IF(U659="","",SUMIF(Productos!E:E,U659,Productos!A:A))</f>
        <v/>
      </c>
      <c r="R659" s="4" t="str">
        <f t="array" ref="R659">IF(L659="","", max(1,SUMIF(I:I,XLOOKUP(U659,Productos!E:E,Productos!G:G,"",0,1),J:J)))</f>
        <v/>
      </c>
      <c r="S659" s="4" t="str">
        <f>IF(Q659="","",IF(SUMIFS(Compat_Vetado!D:D,Compat_Vetado!B:B,SUM(G:G),Compat_Vetado!C:C,Q659)=1,"SI",IF(OR(SUMIF(Cotizador!E:E,Q659,Cotizador!G:G)&gt;0,SUMIFS(Compat_Vetado!D:D,Compat_Vetado!B:B,SUM(G:G),Compat_Vetado!C:C,Q659)=-1),"NO","")))</f>
        <v/>
      </c>
      <c r="T659" s="4" t="str">
        <f t="shared" si="6"/>
        <v/>
      </c>
      <c r="U659" s="4" t="str">
        <f>IFERROR(__xludf.DUMMYFUNCTION("IF(P659="""","""",IFERROR(INDEX(filter(Productos!E:E,Productos!F:F=L659,Productos!H:H=N659),P659),IF(M659=SUM(D:D),""Finalizar"",""-"")))"),"")</f>
        <v/>
      </c>
      <c r="V659" s="4" t="str">
        <f>IFERROR(__xludf.DUMMYFUNCTION("IF(OR($U659="""",COUNTIF($I:$I,IFERROR(unique(filter(Prod_Prop!$H:$H,Prod_Prop!$G:$G=$U659,Prod_Prop!$E:$E=V$1)),""Check""))=0),"""",IFERROR(unique(filter(Prod_Prop!$H:$H,Prod_Prop!$G:$G=$U659,Prod_Prop!$E:$E=V$1)),""""))"),"")</f>
        <v/>
      </c>
      <c r="W659" s="4" t="str">
        <f>IF(V659="","",SUMIFS(Prod_Prop!$J:$J,Prod_Prop!$B:$B,$Q659,Prod_Prop!$H:$H,V659,Prod_Prop!$I:$I,W$1)*IF(V659="Peso",$R659,1))</f>
        <v/>
      </c>
      <c r="X659" s="4" t="str">
        <f>IF(V659="","",SUMIFS(Prod_Prop!$J:$J,Prod_Prop!$B:$B,$Q659,Prod_Prop!$H:$H,V659,Prod_Prop!$I:$I,X$1)*IF(V659="Peso",$R659,1))</f>
        <v/>
      </c>
      <c r="Y659" s="4" t="str">
        <f>IFERROR(__xludf.DUMMYFUNCTION("IF(OR($U659="""",COUNTIF($I:$I,IFERROR(unique(filter(Prod_Prop!$H:$H,Prod_Prop!$G:$G=$U659,Prod_Prop!$E:$E=Y$1)),""Check""))=0),"""",IFERROR(unique(filter(Prod_Prop!$H:$H,Prod_Prop!$G:$G=$U659,Prod_Prop!$E:$E=Y$1)),""""))"),"")</f>
        <v/>
      </c>
      <c r="Z659" s="4" t="str">
        <f>IF(Y659="","",SUMIFS(Prod_Prop!$J:$J,Prod_Prop!$B:$B,$Q659,Prod_Prop!$H:$H,Y659,Prod_Prop!$I:$I,Z$1)*IF(Y659="Peso",$R659,1))</f>
        <v/>
      </c>
      <c r="AA659" s="4" t="str">
        <f>IF(Y659="","",SUMIFS(Prod_Prop!$J:$J,Prod_Prop!$B:$B,$Q659,Prod_Prop!$H:$H,Y659,Prod_Prop!$I:$I,AA$1)*IF(Y659="Peso",$R659,1))</f>
        <v/>
      </c>
      <c r="AB659" s="4" t="str">
        <f>IFERROR(__xludf.DUMMYFUNCTION("IF(OR($U659="""",COUNTIF($I:$I,IFERROR(unique(filter(Prod_Prop!$H:$H,Prod_Prop!$G:$G=$U659,Prod_Prop!$E:$E=AB$1)),""Check""))=0),"""",IFERROR(unique(filter(Prod_Prop!$H:$H,Prod_Prop!$G:$G=$U659,Prod_Prop!$E:$E=AB$1)),""""))"),"")</f>
        <v/>
      </c>
      <c r="AC659" s="4" t="str">
        <f>IF(AB659="","",SUMIFS(Prod_Prop!$J:$J,Prod_Prop!$B:$B,$Q659,Prod_Prop!$H:$H,AB659,Prod_Prop!$I:$I,AC$1)*IF(AB659="Peso",$R659,1))</f>
        <v/>
      </c>
      <c r="AD659" s="4" t="str">
        <f>IF(AB659="","",SUMIFS(Prod_Prop!$J:$J,Prod_Prop!$B:$B,$Q659,Prod_Prop!$H:$H,AB659,Prod_Prop!$I:$I,AD$1)*IF(AB659="Peso",$R659,1))</f>
        <v/>
      </c>
    </row>
    <row r="660">
      <c r="A660" s="4" t="str">
        <f t="array" ref="A660">IF(COUNTIF(A$1:A659,Cotizador!F$2)=maxifs(Familias!E:E,Familias!D:D,Cotizador!F$2),IF(COUNTIF(A$1:A659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0" s="4" t="str">
        <f t="shared" si="1"/>
        <v/>
      </c>
      <c r="C660" s="4" t="str">
        <f t="array" ref="C660">IF(B660="","",IF(A660=XLOOKUP(A$2,Implementos!B:B,Implementos!C:C,"",0,1),B660+maxifs(B$1:B659,A$1:A659,A$2),B660))</f>
        <v/>
      </c>
      <c r="D660" s="4" t="str">
        <f>IF(B660="","", COUNTIFS(Productos!F:F,A660,Productos!H:H,B660)+IF(F660="SI",0,1))</f>
        <v/>
      </c>
      <c r="E660" s="4" t="str">
        <f>IFERROR(__xludf.DUMMYFUNCTION("IF($B660="""","""",INDEX(filter(Familias!F:F,Familias!$D:$D=$A660,Familias!$E:$E=$B660),1))"),"")</f>
        <v/>
      </c>
      <c r="F660" s="4" t="str">
        <f>IFERROR(__xludf.DUMMYFUNCTION("IF($B660="""","""",INDEX(filter(Familias!G:G,Familias!$D:$D=$A660,Familias!$E:$E=$B660),1))"),"")</f>
        <v/>
      </c>
      <c r="G660" s="4" t="str">
        <f t="array" ref="G660">IF(C660=1,XLOOKUP(C660,Cotizador!D:D,Cotizador!E:E,"",0,1),"")</f>
        <v/>
      </c>
      <c r="I660" s="4"/>
      <c r="J660" s="8" t="str">
        <f>IF(I660="","",SUMIF(Cotizador!I$1:V$1,I660,Cotizador!I$2:V$2))</f>
        <v/>
      </c>
      <c r="L660" s="4" t="str">
        <f t="array" ref="L660">IF(COUNTIF(L$1:L659,A$2)=SUMIF(A:A,A$2,D:D),IF(COUNTIF(L$1:L659,XLOOKUP(A$2,Implementos!B:B,Implementos!C:C,"",0,1))=SUMIF(A:A,XLOOKUP(A$2,Implementos!B:B,Implementos!C:C,"",0,1),D:D),"",XLOOKUP(A$2,Implementos!B:B,Implementos!C:C,"",0,1)),A$2)</f>
        <v/>
      </c>
      <c r="M660" s="4" t="str">
        <f t="shared" si="2"/>
        <v/>
      </c>
      <c r="N660" s="4" t="str">
        <f t="shared" si="3"/>
        <v/>
      </c>
      <c r="O660" s="4" t="str">
        <f t="shared" si="4"/>
        <v/>
      </c>
      <c r="P660" s="4" t="str">
        <f t="shared" si="5"/>
        <v/>
      </c>
      <c r="Q660" s="4" t="str">
        <f>IF(U660="","",SUMIF(Productos!E:E,U660,Productos!A:A))</f>
        <v/>
      </c>
      <c r="R660" s="4" t="str">
        <f t="array" ref="R660">IF(L660="","", max(1,SUMIF(I:I,XLOOKUP(U660,Productos!E:E,Productos!G:G,"",0,1),J:J)))</f>
        <v/>
      </c>
      <c r="S660" s="4" t="str">
        <f>IF(Q660="","",IF(SUMIFS(Compat_Vetado!D:D,Compat_Vetado!B:B,SUM(G:G),Compat_Vetado!C:C,Q660)=1,"SI",IF(OR(SUMIF(Cotizador!E:E,Q660,Cotizador!G:G)&gt;0,SUMIFS(Compat_Vetado!D:D,Compat_Vetado!B:B,SUM(G:G),Compat_Vetado!C:C,Q660)=-1),"NO","")))</f>
        <v/>
      </c>
      <c r="T660" s="4" t="str">
        <f t="shared" si="6"/>
        <v/>
      </c>
      <c r="U660" s="4" t="str">
        <f>IFERROR(__xludf.DUMMYFUNCTION("IF(P660="""","""",IFERROR(INDEX(filter(Productos!E:E,Productos!F:F=L660,Productos!H:H=N660),P660),IF(M660=SUM(D:D),""Finalizar"",""-"")))"),"")</f>
        <v/>
      </c>
      <c r="V660" s="4" t="str">
        <f>IFERROR(__xludf.DUMMYFUNCTION("IF(OR($U660="""",COUNTIF($I:$I,IFERROR(unique(filter(Prod_Prop!$H:$H,Prod_Prop!$G:$G=$U660,Prod_Prop!$E:$E=V$1)),""Check""))=0),"""",IFERROR(unique(filter(Prod_Prop!$H:$H,Prod_Prop!$G:$G=$U660,Prod_Prop!$E:$E=V$1)),""""))"),"")</f>
        <v/>
      </c>
      <c r="W660" s="4" t="str">
        <f>IF(V660="","",SUMIFS(Prod_Prop!$J:$J,Prod_Prop!$B:$B,$Q660,Prod_Prop!$H:$H,V660,Prod_Prop!$I:$I,W$1)*IF(V660="Peso",$R660,1))</f>
        <v/>
      </c>
      <c r="X660" s="4" t="str">
        <f>IF(V660="","",SUMIFS(Prod_Prop!$J:$J,Prod_Prop!$B:$B,$Q660,Prod_Prop!$H:$H,V660,Prod_Prop!$I:$I,X$1)*IF(V660="Peso",$R660,1))</f>
        <v/>
      </c>
      <c r="Y660" s="4" t="str">
        <f>IFERROR(__xludf.DUMMYFUNCTION("IF(OR($U660="""",COUNTIF($I:$I,IFERROR(unique(filter(Prod_Prop!$H:$H,Prod_Prop!$G:$G=$U660,Prod_Prop!$E:$E=Y$1)),""Check""))=0),"""",IFERROR(unique(filter(Prod_Prop!$H:$H,Prod_Prop!$G:$G=$U660,Prod_Prop!$E:$E=Y$1)),""""))"),"")</f>
        <v/>
      </c>
      <c r="Z660" s="4" t="str">
        <f>IF(Y660="","",SUMIFS(Prod_Prop!$J:$J,Prod_Prop!$B:$B,$Q660,Prod_Prop!$H:$H,Y660,Prod_Prop!$I:$I,Z$1)*IF(Y660="Peso",$R660,1))</f>
        <v/>
      </c>
      <c r="AA660" s="4" t="str">
        <f>IF(Y660="","",SUMIFS(Prod_Prop!$J:$J,Prod_Prop!$B:$B,$Q660,Prod_Prop!$H:$H,Y660,Prod_Prop!$I:$I,AA$1)*IF(Y660="Peso",$R660,1))</f>
        <v/>
      </c>
      <c r="AB660" s="4" t="str">
        <f>IFERROR(__xludf.DUMMYFUNCTION("IF(OR($U660="""",COUNTIF($I:$I,IFERROR(unique(filter(Prod_Prop!$H:$H,Prod_Prop!$G:$G=$U660,Prod_Prop!$E:$E=AB$1)),""Check""))=0),"""",IFERROR(unique(filter(Prod_Prop!$H:$H,Prod_Prop!$G:$G=$U660,Prod_Prop!$E:$E=AB$1)),""""))"),"")</f>
        <v/>
      </c>
      <c r="AC660" s="4" t="str">
        <f>IF(AB660="","",SUMIFS(Prod_Prop!$J:$J,Prod_Prop!$B:$B,$Q660,Prod_Prop!$H:$H,AB660,Prod_Prop!$I:$I,AC$1)*IF(AB660="Peso",$R660,1))</f>
        <v/>
      </c>
      <c r="AD660" s="4" t="str">
        <f>IF(AB660="","",SUMIFS(Prod_Prop!$J:$J,Prod_Prop!$B:$B,$Q660,Prod_Prop!$H:$H,AB660,Prod_Prop!$I:$I,AD$1)*IF(AB660="Peso",$R660,1))</f>
        <v/>
      </c>
    </row>
    <row r="661">
      <c r="A661" s="4" t="str">
        <f t="array" ref="A661">IF(COUNTIF(A$1:A660,Cotizador!F$2)=maxifs(Familias!E:E,Familias!D:D,Cotizador!F$2),IF(COUNTIF(A$1:A660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1" s="4" t="str">
        <f t="shared" si="1"/>
        <v/>
      </c>
      <c r="C661" s="4" t="str">
        <f t="array" ref="C661">IF(B661="","",IF(A661=XLOOKUP(A$2,Implementos!B:B,Implementos!C:C,"",0,1),B661+maxifs(B$1:B660,A$1:A660,A$2),B661))</f>
        <v/>
      </c>
      <c r="D661" s="4" t="str">
        <f>IF(B661="","", COUNTIFS(Productos!F:F,A661,Productos!H:H,B661)+IF(F661="SI",0,1))</f>
        <v/>
      </c>
      <c r="E661" s="4" t="str">
        <f>IFERROR(__xludf.DUMMYFUNCTION("IF($B661="""","""",INDEX(filter(Familias!F:F,Familias!$D:$D=$A661,Familias!$E:$E=$B661),1))"),"")</f>
        <v/>
      </c>
      <c r="F661" s="4" t="str">
        <f>IFERROR(__xludf.DUMMYFUNCTION("IF($B661="""","""",INDEX(filter(Familias!G:G,Familias!$D:$D=$A661,Familias!$E:$E=$B661),1))"),"")</f>
        <v/>
      </c>
      <c r="G661" s="4" t="str">
        <f t="array" ref="G661">IF(C661=1,XLOOKUP(C661,Cotizador!D:D,Cotizador!E:E,"",0,1),"")</f>
        <v/>
      </c>
      <c r="I661" s="4"/>
      <c r="J661" s="8" t="str">
        <f>IF(I661="","",SUMIF(Cotizador!I$1:V$1,I661,Cotizador!I$2:V$2))</f>
        <v/>
      </c>
      <c r="L661" s="4" t="str">
        <f t="array" ref="L661">IF(COUNTIF(L$1:L660,A$2)=SUMIF(A:A,A$2,D:D),IF(COUNTIF(L$1:L660,XLOOKUP(A$2,Implementos!B:B,Implementos!C:C,"",0,1))=SUMIF(A:A,XLOOKUP(A$2,Implementos!B:B,Implementos!C:C,"",0,1),D:D),"",XLOOKUP(A$2,Implementos!B:B,Implementos!C:C,"",0,1)),A$2)</f>
        <v/>
      </c>
      <c r="M661" s="4" t="str">
        <f t="shared" si="2"/>
        <v/>
      </c>
      <c r="N661" s="4" t="str">
        <f t="shared" si="3"/>
        <v/>
      </c>
      <c r="O661" s="4" t="str">
        <f t="shared" si="4"/>
        <v/>
      </c>
      <c r="P661" s="4" t="str">
        <f t="shared" si="5"/>
        <v/>
      </c>
      <c r="Q661" s="4" t="str">
        <f>IF(U661="","",SUMIF(Productos!E:E,U661,Productos!A:A))</f>
        <v/>
      </c>
      <c r="R661" s="4" t="str">
        <f t="array" ref="R661">IF(L661="","", max(1,SUMIF(I:I,XLOOKUP(U661,Productos!E:E,Productos!G:G,"",0,1),J:J)))</f>
        <v/>
      </c>
      <c r="S661" s="4" t="str">
        <f>IF(Q661="","",IF(SUMIFS(Compat_Vetado!D:D,Compat_Vetado!B:B,SUM(G:G),Compat_Vetado!C:C,Q661)=1,"SI",IF(OR(SUMIF(Cotizador!E:E,Q661,Cotizador!G:G)&gt;0,SUMIFS(Compat_Vetado!D:D,Compat_Vetado!B:B,SUM(G:G),Compat_Vetado!C:C,Q661)=-1),"NO","")))</f>
        <v/>
      </c>
      <c r="T661" s="4" t="str">
        <f t="shared" si="6"/>
        <v/>
      </c>
      <c r="U661" s="4" t="str">
        <f>IFERROR(__xludf.DUMMYFUNCTION("IF(P661="""","""",IFERROR(INDEX(filter(Productos!E:E,Productos!F:F=L661,Productos!H:H=N661),P661),IF(M661=SUM(D:D),""Finalizar"",""-"")))"),"")</f>
        <v/>
      </c>
      <c r="V661" s="4" t="str">
        <f>IFERROR(__xludf.DUMMYFUNCTION("IF(OR($U661="""",COUNTIF($I:$I,IFERROR(unique(filter(Prod_Prop!$H:$H,Prod_Prop!$G:$G=$U661,Prod_Prop!$E:$E=V$1)),""Check""))=0),"""",IFERROR(unique(filter(Prod_Prop!$H:$H,Prod_Prop!$G:$G=$U661,Prod_Prop!$E:$E=V$1)),""""))"),"")</f>
        <v/>
      </c>
      <c r="W661" s="4" t="str">
        <f>IF(V661="","",SUMIFS(Prod_Prop!$J:$J,Prod_Prop!$B:$B,$Q661,Prod_Prop!$H:$H,V661,Prod_Prop!$I:$I,W$1)*IF(V661="Peso",$R661,1))</f>
        <v/>
      </c>
      <c r="X661" s="4" t="str">
        <f>IF(V661="","",SUMIFS(Prod_Prop!$J:$J,Prod_Prop!$B:$B,$Q661,Prod_Prop!$H:$H,V661,Prod_Prop!$I:$I,X$1)*IF(V661="Peso",$R661,1))</f>
        <v/>
      </c>
      <c r="Y661" s="4" t="str">
        <f>IFERROR(__xludf.DUMMYFUNCTION("IF(OR($U661="""",COUNTIF($I:$I,IFERROR(unique(filter(Prod_Prop!$H:$H,Prod_Prop!$G:$G=$U661,Prod_Prop!$E:$E=Y$1)),""Check""))=0),"""",IFERROR(unique(filter(Prod_Prop!$H:$H,Prod_Prop!$G:$G=$U661,Prod_Prop!$E:$E=Y$1)),""""))"),"")</f>
        <v/>
      </c>
      <c r="Z661" s="4" t="str">
        <f>IF(Y661="","",SUMIFS(Prod_Prop!$J:$J,Prod_Prop!$B:$B,$Q661,Prod_Prop!$H:$H,Y661,Prod_Prop!$I:$I,Z$1)*IF(Y661="Peso",$R661,1))</f>
        <v/>
      </c>
      <c r="AA661" s="4" t="str">
        <f>IF(Y661="","",SUMIFS(Prod_Prop!$J:$J,Prod_Prop!$B:$B,$Q661,Prod_Prop!$H:$H,Y661,Prod_Prop!$I:$I,AA$1)*IF(Y661="Peso",$R661,1))</f>
        <v/>
      </c>
      <c r="AB661" s="4" t="str">
        <f>IFERROR(__xludf.DUMMYFUNCTION("IF(OR($U661="""",COUNTIF($I:$I,IFERROR(unique(filter(Prod_Prop!$H:$H,Prod_Prop!$G:$G=$U661,Prod_Prop!$E:$E=AB$1)),""Check""))=0),"""",IFERROR(unique(filter(Prod_Prop!$H:$H,Prod_Prop!$G:$G=$U661,Prod_Prop!$E:$E=AB$1)),""""))"),"")</f>
        <v/>
      </c>
      <c r="AC661" s="4" t="str">
        <f>IF(AB661="","",SUMIFS(Prod_Prop!$J:$J,Prod_Prop!$B:$B,$Q661,Prod_Prop!$H:$H,AB661,Prod_Prop!$I:$I,AC$1)*IF(AB661="Peso",$R661,1))</f>
        <v/>
      </c>
      <c r="AD661" s="4" t="str">
        <f>IF(AB661="","",SUMIFS(Prod_Prop!$J:$J,Prod_Prop!$B:$B,$Q661,Prod_Prop!$H:$H,AB661,Prod_Prop!$I:$I,AD$1)*IF(AB661="Peso",$R661,1))</f>
        <v/>
      </c>
    </row>
    <row r="662">
      <c r="A662" s="4" t="str">
        <f t="array" ref="A662">IF(COUNTIF(A$1:A661,Cotizador!F$2)=maxifs(Familias!E:E,Familias!D:D,Cotizador!F$2),IF(COUNTIF(A$1:A661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2" s="4" t="str">
        <f t="shared" si="1"/>
        <v/>
      </c>
      <c r="C662" s="4" t="str">
        <f t="array" ref="C662">IF(B662="","",IF(A662=XLOOKUP(A$2,Implementos!B:B,Implementos!C:C,"",0,1),B662+maxifs(B$1:B661,A$1:A661,A$2),B662))</f>
        <v/>
      </c>
      <c r="D662" s="4" t="str">
        <f>IF(B662="","", COUNTIFS(Productos!F:F,A662,Productos!H:H,B662)+IF(F662="SI",0,1))</f>
        <v/>
      </c>
      <c r="E662" s="4" t="str">
        <f>IFERROR(__xludf.DUMMYFUNCTION("IF($B662="""","""",INDEX(filter(Familias!F:F,Familias!$D:$D=$A662,Familias!$E:$E=$B662),1))"),"")</f>
        <v/>
      </c>
      <c r="F662" s="4" t="str">
        <f>IFERROR(__xludf.DUMMYFUNCTION("IF($B662="""","""",INDEX(filter(Familias!G:G,Familias!$D:$D=$A662,Familias!$E:$E=$B662),1))"),"")</f>
        <v/>
      </c>
      <c r="G662" s="4" t="str">
        <f t="array" ref="G662">IF(C662=1,XLOOKUP(C662,Cotizador!D:D,Cotizador!E:E,"",0,1),"")</f>
        <v/>
      </c>
      <c r="I662" s="4"/>
      <c r="J662" s="8" t="str">
        <f>IF(I662="","",SUMIF(Cotizador!I$1:V$1,I662,Cotizador!I$2:V$2))</f>
        <v/>
      </c>
      <c r="L662" s="4" t="str">
        <f t="array" ref="L662">IF(COUNTIF(L$1:L661,A$2)=SUMIF(A:A,A$2,D:D),IF(COUNTIF(L$1:L661,XLOOKUP(A$2,Implementos!B:B,Implementos!C:C,"",0,1))=SUMIF(A:A,XLOOKUP(A$2,Implementos!B:B,Implementos!C:C,"",0,1),D:D),"",XLOOKUP(A$2,Implementos!B:B,Implementos!C:C,"",0,1)),A$2)</f>
        <v/>
      </c>
      <c r="M662" s="4" t="str">
        <f t="shared" si="2"/>
        <v/>
      </c>
      <c r="N662" s="4" t="str">
        <f t="shared" si="3"/>
        <v/>
      </c>
      <c r="O662" s="4" t="str">
        <f t="shared" si="4"/>
        <v/>
      </c>
      <c r="P662" s="4" t="str">
        <f t="shared" si="5"/>
        <v/>
      </c>
      <c r="Q662" s="4" t="str">
        <f>IF(U662="","",SUMIF(Productos!E:E,U662,Productos!A:A))</f>
        <v/>
      </c>
      <c r="R662" s="4" t="str">
        <f t="array" ref="R662">IF(L662="","", max(1,SUMIF(I:I,XLOOKUP(U662,Productos!E:E,Productos!G:G,"",0,1),J:J)))</f>
        <v/>
      </c>
      <c r="S662" s="4" t="str">
        <f>IF(Q662="","",IF(SUMIFS(Compat_Vetado!D:D,Compat_Vetado!B:B,SUM(G:G),Compat_Vetado!C:C,Q662)=1,"SI",IF(OR(SUMIF(Cotizador!E:E,Q662,Cotizador!G:G)&gt;0,SUMIFS(Compat_Vetado!D:D,Compat_Vetado!B:B,SUM(G:G),Compat_Vetado!C:C,Q662)=-1),"NO","")))</f>
        <v/>
      </c>
      <c r="T662" s="4" t="str">
        <f t="shared" si="6"/>
        <v/>
      </c>
      <c r="U662" s="4" t="str">
        <f>IFERROR(__xludf.DUMMYFUNCTION("IF(P662="""","""",IFERROR(INDEX(filter(Productos!E:E,Productos!F:F=L662,Productos!H:H=N662),P662),IF(M662=SUM(D:D),""Finalizar"",""-"")))"),"")</f>
        <v/>
      </c>
      <c r="V662" s="4" t="str">
        <f>IFERROR(__xludf.DUMMYFUNCTION("IF(OR($U662="""",COUNTIF($I:$I,IFERROR(unique(filter(Prod_Prop!$H:$H,Prod_Prop!$G:$G=$U662,Prod_Prop!$E:$E=V$1)),""Check""))=0),"""",IFERROR(unique(filter(Prod_Prop!$H:$H,Prod_Prop!$G:$G=$U662,Prod_Prop!$E:$E=V$1)),""""))"),"")</f>
        <v/>
      </c>
      <c r="W662" s="4" t="str">
        <f>IF(V662="","",SUMIFS(Prod_Prop!$J:$J,Prod_Prop!$B:$B,$Q662,Prod_Prop!$H:$H,V662,Prod_Prop!$I:$I,W$1)*IF(V662="Peso",$R662,1))</f>
        <v/>
      </c>
      <c r="X662" s="4" t="str">
        <f>IF(V662="","",SUMIFS(Prod_Prop!$J:$J,Prod_Prop!$B:$B,$Q662,Prod_Prop!$H:$H,V662,Prod_Prop!$I:$I,X$1)*IF(V662="Peso",$R662,1))</f>
        <v/>
      </c>
      <c r="Y662" s="4" t="str">
        <f>IFERROR(__xludf.DUMMYFUNCTION("IF(OR($U662="""",COUNTIF($I:$I,IFERROR(unique(filter(Prod_Prop!$H:$H,Prod_Prop!$G:$G=$U662,Prod_Prop!$E:$E=Y$1)),""Check""))=0),"""",IFERROR(unique(filter(Prod_Prop!$H:$H,Prod_Prop!$G:$G=$U662,Prod_Prop!$E:$E=Y$1)),""""))"),"")</f>
        <v/>
      </c>
      <c r="Z662" s="4" t="str">
        <f>IF(Y662="","",SUMIFS(Prod_Prop!$J:$J,Prod_Prop!$B:$B,$Q662,Prod_Prop!$H:$H,Y662,Prod_Prop!$I:$I,Z$1)*IF(Y662="Peso",$R662,1))</f>
        <v/>
      </c>
      <c r="AA662" s="4" t="str">
        <f>IF(Y662="","",SUMIFS(Prod_Prop!$J:$J,Prod_Prop!$B:$B,$Q662,Prod_Prop!$H:$H,Y662,Prod_Prop!$I:$I,AA$1)*IF(Y662="Peso",$R662,1))</f>
        <v/>
      </c>
      <c r="AB662" s="4" t="str">
        <f>IFERROR(__xludf.DUMMYFUNCTION("IF(OR($U662="""",COUNTIF($I:$I,IFERROR(unique(filter(Prod_Prop!$H:$H,Prod_Prop!$G:$G=$U662,Prod_Prop!$E:$E=AB$1)),""Check""))=0),"""",IFERROR(unique(filter(Prod_Prop!$H:$H,Prod_Prop!$G:$G=$U662,Prod_Prop!$E:$E=AB$1)),""""))"),"")</f>
        <v/>
      </c>
      <c r="AC662" s="4" t="str">
        <f>IF(AB662="","",SUMIFS(Prod_Prop!$J:$J,Prod_Prop!$B:$B,$Q662,Prod_Prop!$H:$H,AB662,Prod_Prop!$I:$I,AC$1)*IF(AB662="Peso",$R662,1))</f>
        <v/>
      </c>
      <c r="AD662" s="4" t="str">
        <f>IF(AB662="","",SUMIFS(Prod_Prop!$J:$J,Prod_Prop!$B:$B,$Q662,Prod_Prop!$H:$H,AB662,Prod_Prop!$I:$I,AD$1)*IF(AB662="Peso",$R662,1))</f>
        <v/>
      </c>
    </row>
    <row r="663">
      <c r="A663" s="4" t="str">
        <f t="array" ref="A663">IF(COUNTIF(A$1:A662,Cotizador!F$2)=maxifs(Familias!E:E,Familias!D:D,Cotizador!F$2),IF(COUNTIF(A$1:A662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3" s="4" t="str">
        <f t="shared" si="1"/>
        <v/>
      </c>
      <c r="C663" s="4" t="str">
        <f t="array" ref="C663">IF(B663="","",IF(A663=XLOOKUP(A$2,Implementos!B:B,Implementos!C:C,"",0,1),B663+maxifs(B$1:B662,A$1:A662,A$2),B663))</f>
        <v/>
      </c>
      <c r="D663" s="4" t="str">
        <f>IF(B663="","", COUNTIFS(Productos!F:F,A663,Productos!H:H,B663)+IF(F663="SI",0,1))</f>
        <v/>
      </c>
      <c r="E663" s="4" t="str">
        <f>IFERROR(__xludf.DUMMYFUNCTION("IF($B663="""","""",INDEX(filter(Familias!F:F,Familias!$D:$D=$A663,Familias!$E:$E=$B663),1))"),"")</f>
        <v/>
      </c>
      <c r="F663" s="4" t="str">
        <f>IFERROR(__xludf.DUMMYFUNCTION("IF($B663="""","""",INDEX(filter(Familias!G:G,Familias!$D:$D=$A663,Familias!$E:$E=$B663),1))"),"")</f>
        <v/>
      </c>
      <c r="G663" s="4" t="str">
        <f t="array" ref="G663">IF(C663=1,XLOOKUP(C663,Cotizador!D:D,Cotizador!E:E,"",0,1),"")</f>
        <v/>
      </c>
      <c r="I663" s="4"/>
      <c r="J663" s="8" t="str">
        <f>IF(I663="","",SUMIF(Cotizador!I$1:V$1,I663,Cotizador!I$2:V$2))</f>
        <v/>
      </c>
      <c r="L663" s="4" t="str">
        <f t="array" ref="L663">IF(COUNTIF(L$1:L662,A$2)=SUMIF(A:A,A$2,D:D),IF(COUNTIF(L$1:L662,XLOOKUP(A$2,Implementos!B:B,Implementos!C:C,"",0,1))=SUMIF(A:A,XLOOKUP(A$2,Implementos!B:B,Implementos!C:C,"",0,1),D:D),"",XLOOKUP(A$2,Implementos!B:B,Implementos!C:C,"",0,1)),A$2)</f>
        <v/>
      </c>
      <c r="M663" s="4" t="str">
        <f t="shared" si="2"/>
        <v/>
      </c>
      <c r="N663" s="4" t="str">
        <f t="shared" si="3"/>
        <v/>
      </c>
      <c r="O663" s="4" t="str">
        <f t="shared" si="4"/>
        <v/>
      </c>
      <c r="P663" s="4" t="str">
        <f t="shared" si="5"/>
        <v/>
      </c>
      <c r="Q663" s="4" t="str">
        <f>IF(U663="","",SUMIF(Productos!E:E,U663,Productos!A:A))</f>
        <v/>
      </c>
      <c r="R663" s="4" t="str">
        <f t="array" ref="R663">IF(L663="","", max(1,SUMIF(I:I,XLOOKUP(U663,Productos!E:E,Productos!G:G,"",0,1),J:J)))</f>
        <v/>
      </c>
      <c r="S663" s="4" t="str">
        <f>IF(Q663="","",IF(SUMIFS(Compat_Vetado!D:D,Compat_Vetado!B:B,SUM(G:G),Compat_Vetado!C:C,Q663)=1,"SI",IF(OR(SUMIF(Cotizador!E:E,Q663,Cotizador!G:G)&gt;0,SUMIFS(Compat_Vetado!D:D,Compat_Vetado!B:B,SUM(G:G),Compat_Vetado!C:C,Q663)=-1),"NO","")))</f>
        <v/>
      </c>
      <c r="T663" s="4" t="str">
        <f t="shared" si="6"/>
        <v/>
      </c>
      <c r="U663" s="4" t="str">
        <f>IFERROR(__xludf.DUMMYFUNCTION("IF(P663="""","""",IFERROR(INDEX(filter(Productos!E:E,Productos!F:F=L663,Productos!H:H=N663),P663),IF(M663=SUM(D:D),""Finalizar"",""-"")))"),"")</f>
        <v/>
      </c>
      <c r="V663" s="4" t="str">
        <f>IFERROR(__xludf.DUMMYFUNCTION("IF(OR($U663="""",COUNTIF($I:$I,IFERROR(unique(filter(Prod_Prop!$H:$H,Prod_Prop!$G:$G=$U663,Prod_Prop!$E:$E=V$1)),""Check""))=0),"""",IFERROR(unique(filter(Prod_Prop!$H:$H,Prod_Prop!$G:$G=$U663,Prod_Prop!$E:$E=V$1)),""""))"),"")</f>
        <v/>
      </c>
      <c r="W663" s="4" t="str">
        <f>IF(V663="","",SUMIFS(Prod_Prop!$J:$J,Prod_Prop!$B:$B,$Q663,Prod_Prop!$H:$H,V663,Prod_Prop!$I:$I,W$1)*IF(V663="Peso",$R663,1))</f>
        <v/>
      </c>
      <c r="X663" s="4" t="str">
        <f>IF(V663="","",SUMIFS(Prod_Prop!$J:$J,Prod_Prop!$B:$B,$Q663,Prod_Prop!$H:$H,V663,Prod_Prop!$I:$I,X$1)*IF(V663="Peso",$R663,1))</f>
        <v/>
      </c>
      <c r="Y663" s="4" t="str">
        <f>IFERROR(__xludf.DUMMYFUNCTION("IF(OR($U663="""",COUNTIF($I:$I,IFERROR(unique(filter(Prod_Prop!$H:$H,Prod_Prop!$G:$G=$U663,Prod_Prop!$E:$E=Y$1)),""Check""))=0),"""",IFERROR(unique(filter(Prod_Prop!$H:$H,Prod_Prop!$G:$G=$U663,Prod_Prop!$E:$E=Y$1)),""""))"),"")</f>
        <v/>
      </c>
      <c r="Z663" s="4" t="str">
        <f>IF(Y663="","",SUMIFS(Prod_Prop!$J:$J,Prod_Prop!$B:$B,$Q663,Prod_Prop!$H:$H,Y663,Prod_Prop!$I:$I,Z$1)*IF(Y663="Peso",$R663,1))</f>
        <v/>
      </c>
      <c r="AA663" s="4" t="str">
        <f>IF(Y663="","",SUMIFS(Prod_Prop!$J:$J,Prod_Prop!$B:$B,$Q663,Prod_Prop!$H:$H,Y663,Prod_Prop!$I:$I,AA$1)*IF(Y663="Peso",$R663,1))</f>
        <v/>
      </c>
      <c r="AB663" s="4" t="str">
        <f>IFERROR(__xludf.DUMMYFUNCTION("IF(OR($U663="""",COUNTIF($I:$I,IFERROR(unique(filter(Prod_Prop!$H:$H,Prod_Prop!$G:$G=$U663,Prod_Prop!$E:$E=AB$1)),""Check""))=0),"""",IFERROR(unique(filter(Prod_Prop!$H:$H,Prod_Prop!$G:$G=$U663,Prod_Prop!$E:$E=AB$1)),""""))"),"")</f>
        <v/>
      </c>
      <c r="AC663" s="4" t="str">
        <f>IF(AB663="","",SUMIFS(Prod_Prop!$J:$J,Prod_Prop!$B:$B,$Q663,Prod_Prop!$H:$H,AB663,Prod_Prop!$I:$I,AC$1)*IF(AB663="Peso",$R663,1))</f>
        <v/>
      </c>
      <c r="AD663" s="4" t="str">
        <f>IF(AB663="","",SUMIFS(Prod_Prop!$J:$J,Prod_Prop!$B:$B,$Q663,Prod_Prop!$H:$H,AB663,Prod_Prop!$I:$I,AD$1)*IF(AB663="Peso",$R663,1))</f>
        <v/>
      </c>
    </row>
    <row r="664">
      <c r="A664" s="4" t="str">
        <f t="array" ref="A664">IF(COUNTIF(A$1:A663,Cotizador!F$2)=maxifs(Familias!E:E,Familias!D:D,Cotizador!F$2),IF(COUNTIF(A$1:A663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4" s="4" t="str">
        <f t="shared" si="1"/>
        <v/>
      </c>
      <c r="C664" s="4" t="str">
        <f t="array" ref="C664">IF(B664="","",IF(A664=XLOOKUP(A$2,Implementos!B:B,Implementos!C:C,"",0,1),B664+maxifs(B$1:B663,A$1:A663,A$2),B664))</f>
        <v/>
      </c>
      <c r="D664" s="4" t="str">
        <f>IF(B664="","", COUNTIFS(Productos!F:F,A664,Productos!H:H,B664)+IF(F664="SI",0,1))</f>
        <v/>
      </c>
      <c r="E664" s="4" t="str">
        <f>IFERROR(__xludf.DUMMYFUNCTION("IF($B664="""","""",INDEX(filter(Familias!F:F,Familias!$D:$D=$A664,Familias!$E:$E=$B664),1))"),"")</f>
        <v/>
      </c>
      <c r="F664" s="4" t="str">
        <f>IFERROR(__xludf.DUMMYFUNCTION("IF($B664="""","""",INDEX(filter(Familias!G:G,Familias!$D:$D=$A664,Familias!$E:$E=$B664),1))"),"")</f>
        <v/>
      </c>
      <c r="G664" s="4" t="str">
        <f t="array" ref="G664">IF(C664=1,XLOOKUP(C664,Cotizador!D:D,Cotizador!E:E,"",0,1),"")</f>
        <v/>
      </c>
      <c r="I664" s="4"/>
      <c r="J664" s="8" t="str">
        <f>IF(I664="","",SUMIF(Cotizador!I$1:V$1,I664,Cotizador!I$2:V$2))</f>
        <v/>
      </c>
      <c r="L664" s="4" t="str">
        <f t="array" ref="L664">IF(COUNTIF(L$1:L663,A$2)=SUMIF(A:A,A$2,D:D),IF(COUNTIF(L$1:L663,XLOOKUP(A$2,Implementos!B:B,Implementos!C:C,"",0,1))=SUMIF(A:A,XLOOKUP(A$2,Implementos!B:B,Implementos!C:C,"",0,1),D:D),"",XLOOKUP(A$2,Implementos!B:B,Implementos!C:C,"",0,1)),A$2)</f>
        <v/>
      </c>
      <c r="M664" s="4" t="str">
        <f t="shared" si="2"/>
        <v/>
      </c>
      <c r="N664" s="4" t="str">
        <f t="shared" si="3"/>
        <v/>
      </c>
      <c r="O664" s="4" t="str">
        <f t="shared" si="4"/>
        <v/>
      </c>
      <c r="P664" s="4" t="str">
        <f t="shared" si="5"/>
        <v/>
      </c>
      <c r="Q664" s="4" t="str">
        <f>IF(U664="","",SUMIF(Productos!E:E,U664,Productos!A:A))</f>
        <v/>
      </c>
      <c r="R664" s="4" t="str">
        <f t="array" ref="R664">IF(L664="","", max(1,SUMIF(I:I,XLOOKUP(U664,Productos!E:E,Productos!G:G,"",0,1),J:J)))</f>
        <v/>
      </c>
      <c r="S664" s="4" t="str">
        <f>IF(Q664="","",IF(SUMIFS(Compat_Vetado!D:D,Compat_Vetado!B:B,SUM(G:G),Compat_Vetado!C:C,Q664)=1,"SI",IF(OR(SUMIF(Cotizador!E:E,Q664,Cotizador!G:G)&gt;0,SUMIFS(Compat_Vetado!D:D,Compat_Vetado!B:B,SUM(G:G),Compat_Vetado!C:C,Q664)=-1),"NO","")))</f>
        <v/>
      </c>
      <c r="T664" s="4" t="str">
        <f t="shared" si="6"/>
        <v/>
      </c>
      <c r="U664" s="4" t="str">
        <f>IFERROR(__xludf.DUMMYFUNCTION("IF(P664="""","""",IFERROR(INDEX(filter(Productos!E:E,Productos!F:F=L664,Productos!H:H=N664),P664),IF(M664=SUM(D:D),""Finalizar"",""-"")))"),"")</f>
        <v/>
      </c>
      <c r="V664" s="4" t="str">
        <f>IFERROR(__xludf.DUMMYFUNCTION("IF(OR($U664="""",COUNTIF($I:$I,IFERROR(unique(filter(Prod_Prop!$H:$H,Prod_Prop!$G:$G=$U664,Prod_Prop!$E:$E=V$1)),""Check""))=0),"""",IFERROR(unique(filter(Prod_Prop!$H:$H,Prod_Prop!$G:$G=$U664,Prod_Prop!$E:$E=V$1)),""""))"),"")</f>
        <v/>
      </c>
      <c r="W664" s="4" t="str">
        <f>IF(V664="","",SUMIFS(Prod_Prop!$J:$J,Prod_Prop!$B:$B,$Q664,Prod_Prop!$H:$H,V664,Prod_Prop!$I:$I,W$1)*IF(V664="Peso",$R664,1))</f>
        <v/>
      </c>
      <c r="X664" s="4" t="str">
        <f>IF(V664="","",SUMIFS(Prod_Prop!$J:$J,Prod_Prop!$B:$B,$Q664,Prod_Prop!$H:$H,V664,Prod_Prop!$I:$I,X$1)*IF(V664="Peso",$R664,1))</f>
        <v/>
      </c>
      <c r="Y664" s="4" t="str">
        <f>IFERROR(__xludf.DUMMYFUNCTION("IF(OR($U664="""",COUNTIF($I:$I,IFERROR(unique(filter(Prod_Prop!$H:$H,Prod_Prop!$G:$G=$U664,Prod_Prop!$E:$E=Y$1)),""Check""))=0),"""",IFERROR(unique(filter(Prod_Prop!$H:$H,Prod_Prop!$G:$G=$U664,Prod_Prop!$E:$E=Y$1)),""""))"),"")</f>
        <v/>
      </c>
      <c r="Z664" s="4" t="str">
        <f>IF(Y664="","",SUMIFS(Prod_Prop!$J:$J,Prod_Prop!$B:$B,$Q664,Prod_Prop!$H:$H,Y664,Prod_Prop!$I:$I,Z$1)*IF(Y664="Peso",$R664,1))</f>
        <v/>
      </c>
      <c r="AA664" s="4" t="str">
        <f>IF(Y664="","",SUMIFS(Prod_Prop!$J:$J,Prod_Prop!$B:$B,$Q664,Prod_Prop!$H:$H,Y664,Prod_Prop!$I:$I,AA$1)*IF(Y664="Peso",$R664,1))</f>
        <v/>
      </c>
      <c r="AB664" s="4" t="str">
        <f>IFERROR(__xludf.DUMMYFUNCTION("IF(OR($U664="""",COUNTIF($I:$I,IFERROR(unique(filter(Prod_Prop!$H:$H,Prod_Prop!$G:$G=$U664,Prod_Prop!$E:$E=AB$1)),""Check""))=0),"""",IFERROR(unique(filter(Prod_Prop!$H:$H,Prod_Prop!$G:$G=$U664,Prod_Prop!$E:$E=AB$1)),""""))"),"")</f>
        <v/>
      </c>
      <c r="AC664" s="4" t="str">
        <f>IF(AB664="","",SUMIFS(Prod_Prop!$J:$J,Prod_Prop!$B:$B,$Q664,Prod_Prop!$H:$H,AB664,Prod_Prop!$I:$I,AC$1)*IF(AB664="Peso",$R664,1))</f>
        <v/>
      </c>
      <c r="AD664" s="4" t="str">
        <f>IF(AB664="","",SUMIFS(Prod_Prop!$J:$J,Prod_Prop!$B:$B,$Q664,Prod_Prop!$H:$H,AB664,Prod_Prop!$I:$I,AD$1)*IF(AB664="Peso",$R664,1))</f>
        <v/>
      </c>
    </row>
    <row r="665">
      <c r="A665" s="4" t="str">
        <f t="array" ref="A665">IF(COUNTIF(A$1:A664,Cotizador!F$2)=maxifs(Familias!E:E,Familias!D:D,Cotizador!F$2),IF(COUNTIF(A$1:A664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5" s="4" t="str">
        <f t="shared" si="1"/>
        <v/>
      </c>
      <c r="C665" s="4" t="str">
        <f t="array" ref="C665">IF(B665="","",IF(A665=XLOOKUP(A$2,Implementos!B:B,Implementos!C:C,"",0,1),B665+maxifs(B$1:B664,A$1:A664,A$2),B665))</f>
        <v/>
      </c>
      <c r="D665" s="4" t="str">
        <f>IF(B665="","", COUNTIFS(Productos!F:F,A665,Productos!H:H,B665)+IF(F665="SI",0,1))</f>
        <v/>
      </c>
      <c r="E665" s="4" t="str">
        <f>IFERROR(__xludf.DUMMYFUNCTION("IF($B665="""","""",INDEX(filter(Familias!F:F,Familias!$D:$D=$A665,Familias!$E:$E=$B665),1))"),"")</f>
        <v/>
      </c>
      <c r="F665" s="4" t="str">
        <f>IFERROR(__xludf.DUMMYFUNCTION("IF($B665="""","""",INDEX(filter(Familias!G:G,Familias!$D:$D=$A665,Familias!$E:$E=$B665),1))"),"")</f>
        <v/>
      </c>
      <c r="G665" s="4" t="str">
        <f t="array" ref="G665">IF(C665=1,XLOOKUP(C665,Cotizador!D:D,Cotizador!E:E,"",0,1),"")</f>
        <v/>
      </c>
      <c r="I665" s="4"/>
      <c r="J665" s="8" t="str">
        <f>IF(I665="","",SUMIF(Cotizador!I$1:V$1,I665,Cotizador!I$2:V$2))</f>
        <v/>
      </c>
      <c r="L665" s="4" t="str">
        <f t="array" ref="L665">IF(COUNTIF(L$1:L664,A$2)=SUMIF(A:A,A$2,D:D),IF(COUNTIF(L$1:L664,XLOOKUP(A$2,Implementos!B:B,Implementos!C:C,"",0,1))=SUMIF(A:A,XLOOKUP(A$2,Implementos!B:B,Implementos!C:C,"",0,1),D:D),"",XLOOKUP(A$2,Implementos!B:B,Implementos!C:C,"",0,1)),A$2)</f>
        <v/>
      </c>
      <c r="M665" s="4" t="str">
        <f t="shared" si="2"/>
        <v/>
      </c>
      <c r="N665" s="4" t="str">
        <f t="shared" si="3"/>
        <v/>
      </c>
      <c r="O665" s="4" t="str">
        <f t="shared" si="4"/>
        <v/>
      </c>
      <c r="P665" s="4" t="str">
        <f t="shared" si="5"/>
        <v/>
      </c>
      <c r="Q665" s="4" t="str">
        <f>IF(U665="","",SUMIF(Productos!E:E,U665,Productos!A:A))</f>
        <v/>
      </c>
      <c r="R665" s="4" t="str">
        <f t="array" ref="R665">IF(L665="","", max(1,SUMIF(I:I,XLOOKUP(U665,Productos!E:E,Productos!G:G,"",0,1),J:J)))</f>
        <v/>
      </c>
      <c r="S665" s="4" t="str">
        <f>IF(Q665="","",IF(SUMIFS(Compat_Vetado!D:D,Compat_Vetado!B:B,SUM(G:G),Compat_Vetado!C:C,Q665)=1,"SI",IF(OR(SUMIF(Cotizador!E:E,Q665,Cotizador!G:G)&gt;0,SUMIFS(Compat_Vetado!D:D,Compat_Vetado!B:B,SUM(G:G),Compat_Vetado!C:C,Q665)=-1),"NO","")))</f>
        <v/>
      </c>
      <c r="T665" s="4" t="str">
        <f t="shared" si="6"/>
        <v/>
      </c>
      <c r="U665" s="4" t="str">
        <f>IFERROR(__xludf.DUMMYFUNCTION("IF(P665="""","""",IFERROR(INDEX(filter(Productos!E:E,Productos!F:F=L665,Productos!H:H=N665),P665),IF(M665=SUM(D:D),""Finalizar"",""-"")))"),"")</f>
        <v/>
      </c>
      <c r="V665" s="4" t="str">
        <f>IFERROR(__xludf.DUMMYFUNCTION("IF(OR($U665="""",COUNTIF($I:$I,IFERROR(unique(filter(Prod_Prop!$H:$H,Prod_Prop!$G:$G=$U665,Prod_Prop!$E:$E=V$1)),""Check""))=0),"""",IFERROR(unique(filter(Prod_Prop!$H:$H,Prod_Prop!$G:$G=$U665,Prod_Prop!$E:$E=V$1)),""""))"),"")</f>
        <v/>
      </c>
      <c r="W665" s="4" t="str">
        <f>IF(V665="","",SUMIFS(Prod_Prop!$J:$J,Prod_Prop!$B:$B,$Q665,Prod_Prop!$H:$H,V665,Prod_Prop!$I:$I,W$1)*IF(V665="Peso",$R665,1))</f>
        <v/>
      </c>
      <c r="X665" s="4" t="str">
        <f>IF(V665="","",SUMIFS(Prod_Prop!$J:$J,Prod_Prop!$B:$B,$Q665,Prod_Prop!$H:$H,V665,Prod_Prop!$I:$I,X$1)*IF(V665="Peso",$R665,1))</f>
        <v/>
      </c>
      <c r="Y665" s="4" t="str">
        <f>IFERROR(__xludf.DUMMYFUNCTION("IF(OR($U665="""",COUNTIF($I:$I,IFERROR(unique(filter(Prod_Prop!$H:$H,Prod_Prop!$G:$G=$U665,Prod_Prop!$E:$E=Y$1)),""Check""))=0),"""",IFERROR(unique(filter(Prod_Prop!$H:$H,Prod_Prop!$G:$G=$U665,Prod_Prop!$E:$E=Y$1)),""""))"),"")</f>
        <v/>
      </c>
      <c r="Z665" s="4" t="str">
        <f>IF(Y665="","",SUMIFS(Prod_Prop!$J:$J,Prod_Prop!$B:$B,$Q665,Prod_Prop!$H:$H,Y665,Prod_Prop!$I:$I,Z$1)*IF(Y665="Peso",$R665,1))</f>
        <v/>
      </c>
      <c r="AA665" s="4" t="str">
        <f>IF(Y665="","",SUMIFS(Prod_Prop!$J:$J,Prod_Prop!$B:$B,$Q665,Prod_Prop!$H:$H,Y665,Prod_Prop!$I:$I,AA$1)*IF(Y665="Peso",$R665,1))</f>
        <v/>
      </c>
      <c r="AB665" s="4" t="str">
        <f>IFERROR(__xludf.DUMMYFUNCTION("IF(OR($U665="""",COUNTIF($I:$I,IFERROR(unique(filter(Prod_Prop!$H:$H,Prod_Prop!$G:$G=$U665,Prod_Prop!$E:$E=AB$1)),""Check""))=0),"""",IFERROR(unique(filter(Prod_Prop!$H:$H,Prod_Prop!$G:$G=$U665,Prod_Prop!$E:$E=AB$1)),""""))"),"")</f>
        <v/>
      </c>
      <c r="AC665" s="4" t="str">
        <f>IF(AB665="","",SUMIFS(Prod_Prop!$J:$J,Prod_Prop!$B:$B,$Q665,Prod_Prop!$H:$H,AB665,Prod_Prop!$I:$I,AC$1)*IF(AB665="Peso",$R665,1))</f>
        <v/>
      </c>
      <c r="AD665" s="4" t="str">
        <f>IF(AB665="","",SUMIFS(Prod_Prop!$J:$J,Prod_Prop!$B:$B,$Q665,Prod_Prop!$H:$H,AB665,Prod_Prop!$I:$I,AD$1)*IF(AB665="Peso",$R665,1))</f>
        <v/>
      </c>
    </row>
    <row r="666">
      <c r="A666" s="4" t="str">
        <f t="array" ref="A666">IF(COUNTIF(A$1:A665,Cotizador!F$2)=maxifs(Familias!E:E,Familias!D:D,Cotizador!F$2),IF(COUNTIF(A$1:A665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6" s="4" t="str">
        <f t="shared" si="1"/>
        <v/>
      </c>
      <c r="C666" s="4" t="str">
        <f t="array" ref="C666">IF(B666="","",IF(A666=XLOOKUP(A$2,Implementos!B:B,Implementos!C:C,"",0,1),B666+maxifs(B$1:B665,A$1:A665,A$2),B666))</f>
        <v/>
      </c>
      <c r="D666" s="4" t="str">
        <f>IF(B666="","", COUNTIFS(Productos!F:F,A666,Productos!H:H,B666)+IF(F666="SI",0,1))</f>
        <v/>
      </c>
      <c r="E666" s="4" t="str">
        <f>IFERROR(__xludf.DUMMYFUNCTION("IF($B666="""","""",INDEX(filter(Familias!F:F,Familias!$D:$D=$A666,Familias!$E:$E=$B666),1))"),"")</f>
        <v/>
      </c>
      <c r="F666" s="4" t="str">
        <f>IFERROR(__xludf.DUMMYFUNCTION("IF($B666="""","""",INDEX(filter(Familias!G:G,Familias!$D:$D=$A666,Familias!$E:$E=$B666),1))"),"")</f>
        <v/>
      </c>
      <c r="G666" s="4" t="str">
        <f t="array" ref="G666">IF(C666=1,XLOOKUP(C666,Cotizador!D:D,Cotizador!E:E,"",0,1),"")</f>
        <v/>
      </c>
      <c r="I666" s="4"/>
      <c r="J666" s="8" t="str">
        <f>IF(I666="","",SUMIF(Cotizador!I$1:V$1,I666,Cotizador!I$2:V$2))</f>
        <v/>
      </c>
      <c r="L666" s="4" t="str">
        <f t="array" ref="L666">IF(COUNTIF(L$1:L665,A$2)=SUMIF(A:A,A$2,D:D),IF(COUNTIF(L$1:L665,XLOOKUP(A$2,Implementos!B:B,Implementos!C:C,"",0,1))=SUMIF(A:A,XLOOKUP(A$2,Implementos!B:B,Implementos!C:C,"",0,1),D:D),"",XLOOKUP(A$2,Implementos!B:B,Implementos!C:C,"",0,1)),A$2)</f>
        <v/>
      </c>
      <c r="M666" s="4" t="str">
        <f t="shared" si="2"/>
        <v/>
      </c>
      <c r="N666" s="4" t="str">
        <f t="shared" si="3"/>
        <v/>
      </c>
      <c r="O666" s="4" t="str">
        <f t="shared" si="4"/>
        <v/>
      </c>
      <c r="P666" s="4" t="str">
        <f t="shared" si="5"/>
        <v/>
      </c>
      <c r="Q666" s="4" t="str">
        <f>IF(U666="","",SUMIF(Productos!E:E,U666,Productos!A:A))</f>
        <v/>
      </c>
      <c r="R666" s="4" t="str">
        <f t="array" ref="R666">IF(L666="","", max(1,SUMIF(I:I,XLOOKUP(U666,Productos!E:E,Productos!G:G,"",0,1),J:J)))</f>
        <v/>
      </c>
      <c r="S666" s="4" t="str">
        <f>IF(Q666="","",IF(SUMIFS(Compat_Vetado!D:D,Compat_Vetado!B:B,SUM(G:G),Compat_Vetado!C:C,Q666)=1,"SI",IF(OR(SUMIF(Cotizador!E:E,Q666,Cotizador!G:G)&gt;0,SUMIFS(Compat_Vetado!D:D,Compat_Vetado!B:B,SUM(G:G),Compat_Vetado!C:C,Q666)=-1),"NO","")))</f>
        <v/>
      </c>
      <c r="T666" s="4" t="str">
        <f t="shared" si="6"/>
        <v/>
      </c>
      <c r="U666" s="4" t="str">
        <f>IFERROR(__xludf.DUMMYFUNCTION("IF(P666="""","""",IFERROR(INDEX(filter(Productos!E:E,Productos!F:F=L666,Productos!H:H=N666),P666),IF(M666=SUM(D:D),""Finalizar"",""-"")))"),"")</f>
        <v/>
      </c>
      <c r="V666" s="4" t="str">
        <f>IFERROR(__xludf.DUMMYFUNCTION("IF(OR($U666="""",COUNTIF($I:$I,IFERROR(unique(filter(Prod_Prop!$H:$H,Prod_Prop!$G:$G=$U666,Prod_Prop!$E:$E=V$1)),""Check""))=0),"""",IFERROR(unique(filter(Prod_Prop!$H:$H,Prod_Prop!$G:$G=$U666,Prod_Prop!$E:$E=V$1)),""""))"),"")</f>
        <v/>
      </c>
      <c r="W666" s="4" t="str">
        <f>IF(V666="","",SUMIFS(Prod_Prop!$J:$J,Prod_Prop!$B:$B,$Q666,Prod_Prop!$H:$H,V666,Prod_Prop!$I:$I,W$1)*IF(V666="Peso",$R666,1))</f>
        <v/>
      </c>
      <c r="X666" s="4" t="str">
        <f>IF(V666="","",SUMIFS(Prod_Prop!$J:$J,Prod_Prop!$B:$B,$Q666,Prod_Prop!$H:$H,V666,Prod_Prop!$I:$I,X$1)*IF(V666="Peso",$R666,1))</f>
        <v/>
      </c>
      <c r="Y666" s="4" t="str">
        <f>IFERROR(__xludf.DUMMYFUNCTION("IF(OR($U666="""",COUNTIF($I:$I,IFERROR(unique(filter(Prod_Prop!$H:$H,Prod_Prop!$G:$G=$U666,Prod_Prop!$E:$E=Y$1)),""Check""))=0),"""",IFERROR(unique(filter(Prod_Prop!$H:$H,Prod_Prop!$G:$G=$U666,Prod_Prop!$E:$E=Y$1)),""""))"),"")</f>
        <v/>
      </c>
      <c r="Z666" s="4" t="str">
        <f>IF(Y666="","",SUMIFS(Prod_Prop!$J:$J,Prod_Prop!$B:$B,$Q666,Prod_Prop!$H:$H,Y666,Prod_Prop!$I:$I,Z$1)*IF(Y666="Peso",$R666,1))</f>
        <v/>
      </c>
      <c r="AA666" s="4" t="str">
        <f>IF(Y666="","",SUMIFS(Prod_Prop!$J:$J,Prod_Prop!$B:$B,$Q666,Prod_Prop!$H:$H,Y666,Prod_Prop!$I:$I,AA$1)*IF(Y666="Peso",$R666,1))</f>
        <v/>
      </c>
      <c r="AB666" s="4" t="str">
        <f>IFERROR(__xludf.DUMMYFUNCTION("IF(OR($U666="""",COUNTIF($I:$I,IFERROR(unique(filter(Prod_Prop!$H:$H,Prod_Prop!$G:$G=$U666,Prod_Prop!$E:$E=AB$1)),""Check""))=0),"""",IFERROR(unique(filter(Prod_Prop!$H:$H,Prod_Prop!$G:$G=$U666,Prod_Prop!$E:$E=AB$1)),""""))"),"")</f>
        <v/>
      </c>
      <c r="AC666" s="4" t="str">
        <f>IF(AB666="","",SUMIFS(Prod_Prop!$J:$J,Prod_Prop!$B:$B,$Q666,Prod_Prop!$H:$H,AB666,Prod_Prop!$I:$I,AC$1)*IF(AB666="Peso",$R666,1))</f>
        <v/>
      </c>
      <c r="AD666" s="4" t="str">
        <f>IF(AB666="","",SUMIFS(Prod_Prop!$J:$J,Prod_Prop!$B:$B,$Q666,Prod_Prop!$H:$H,AB666,Prod_Prop!$I:$I,AD$1)*IF(AB666="Peso",$R666,1))</f>
        <v/>
      </c>
    </row>
    <row r="667">
      <c r="A667" s="4" t="str">
        <f t="array" ref="A667">IF(COUNTIF(A$1:A666,Cotizador!F$2)=maxifs(Familias!E:E,Familias!D:D,Cotizador!F$2),IF(COUNTIF(A$1:A666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7" s="4" t="str">
        <f t="shared" si="1"/>
        <v/>
      </c>
      <c r="C667" s="4" t="str">
        <f t="array" ref="C667">IF(B667="","",IF(A667=XLOOKUP(A$2,Implementos!B:B,Implementos!C:C,"",0,1),B667+maxifs(B$1:B666,A$1:A666,A$2),B667))</f>
        <v/>
      </c>
      <c r="D667" s="4" t="str">
        <f>IF(B667="","", COUNTIFS(Productos!F:F,A667,Productos!H:H,B667)+IF(F667="SI",0,1))</f>
        <v/>
      </c>
      <c r="E667" s="4" t="str">
        <f>IFERROR(__xludf.DUMMYFUNCTION("IF($B667="""","""",INDEX(filter(Familias!F:F,Familias!$D:$D=$A667,Familias!$E:$E=$B667),1))"),"")</f>
        <v/>
      </c>
      <c r="F667" s="4" t="str">
        <f>IFERROR(__xludf.DUMMYFUNCTION("IF($B667="""","""",INDEX(filter(Familias!G:G,Familias!$D:$D=$A667,Familias!$E:$E=$B667),1))"),"")</f>
        <v/>
      </c>
      <c r="G667" s="4" t="str">
        <f t="array" ref="G667">IF(C667=1,XLOOKUP(C667,Cotizador!D:D,Cotizador!E:E,"",0,1),"")</f>
        <v/>
      </c>
      <c r="I667" s="4"/>
      <c r="J667" s="8" t="str">
        <f>IF(I667="","",SUMIF(Cotizador!I$1:V$1,I667,Cotizador!I$2:V$2))</f>
        <v/>
      </c>
      <c r="L667" s="4" t="str">
        <f t="array" ref="L667">IF(COUNTIF(L$1:L666,A$2)=SUMIF(A:A,A$2,D:D),IF(COUNTIF(L$1:L666,XLOOKUP(A$2,Implementos!B:B,Implementos!C:C,"",0,1))=SUMIF(A:A,XLOOKUP(A$2,Implementos!B:B,Implementos!C:C,"",0,1),D:D),"",XLOOKUP(A$2,Implementos!B:B,Implementos!C:C,"",0,1)),A$2)</f>
        <v/>
      </c>
      <c r="M667" s="4" t="str">
        <f t="shared" si="2"/>
        <v/>
      </c>
      <c r="N667" s="4" t="str">
        <f t="shared" si="3"/>
        <v/>
      </c>
      <c r="O667" s="4" t="str">
        <f t="shared" si="4"/>
        <v/>
      </c>
      <c r="P667" s="4" t="str">
        <f t="shared" si="5"/>
        <v/>
      </c>
      <c r="Q667" s="4" t="str">
        <f>IF(U667="","",SUMIF(Productos!E:E,U667,Productos!A:A))</f>
        <v/>
      </c>
      <c r="R667" s="4" t="str">
        <f t="array" ref="R667">IF(L667="","", max(1,SUMIF(I:I,XLOOKUP(U667,Productos!E:E,Productos!G:G,"",0,1),J:J)))</f>
        <v/>
      </c>
      <c r="S667" s="4" t="str">
        <f>IF(Q667="","",IF(SUMIFS(Compat_Vetado!D:D,Compat_Vetado!B:B,SUM(G:G),Compat_Vetado!C:C,Q667)=1,"SI",IF(OR(SUMIF(Cotizador!E:E,Q667,Cotizador!G:G)&gt;0,SUMIFS(Compat_Vetado!D:D,Compat_Vetado!B:B,SUM(G:G),Compat_Vetado!C:C,Q667)=-1),"NO","")))</f>
        <v/>
      </c>
      <c r="T667" s="4" t="str">
        <f t="shared" si="6"/>
        <v/>
      </c>
      <c r="U667" s="4" t="str">
        <f>IFERROR(__xludf.DUMMYFUNCTION("IF(P667="""","""",IFERROR(INDEX(filter(Productos!E:E,Productos!F:F=L667,Productos!H:H=N667),P667),IF(M667=SUM(D:D),""Finalizar"",""-"")))"),"")</f>
        <v/>
      </c>
      <c r="V667" s="4" t="str">
        <f>IFERROR(__xludf.DUMMYFUNCTION("IF(OR($U667="""",COUNTIF($I:$I,IFERROR(unique(filter(Prod_Prop!$H:$H,Prod_Prop!$G:$G=$U667,Prod_Prop!$E:$E=V$1)),""Check""))=0),"""",IFERROR(unique(filter(Prod_Prop!$H:$H,Prod_Prop!$G:$G=$U667,Prod_Prop!$E:$E=V$1)),""""))"),"")</f>
        <v/>
      </c>
      <c r="W667" s="4" t="str">
        <f>IF(V667="","",SUMIFS(Prod_Prop!$J:$J,Prod_Prop!$B:$B,$Q667,Prod_Prop!$H:$H,V667,Prod_Prop!$I:$I,W$1)*IF(V667="Peso",$R667,1))</f>
        <v/>
      </c>
      <c r="X667" s="4" t="str">
        <f>IF(V667="","",SUMIFS(Prod_Prop!$J:$J,Prod_Prop!$B:$B,$Q667,Prod_Prop!$H:$H,V667,Prod_Prop!$I:$I,X$1)*IF(V667="Peso",$R667,1))</f>
        <v/>
      </c>
      <c r="Y667" s="4" t="str">
        <f>IFERROR(__xludf.DUMMYFUNCTION("IF(OR($U667="""",COUNTIF($I:$I,IFERROR(unique(filter(Prod_Prop!$H:$H,Prod_Prop!$G:$G=$U667,Prod_Prop!$E:$E=Y$1)),""Check""))=0),"""",IFERROR(unique(filter(Prod_Prop!$H:$H,Prod_Prop!$G:$G=$U667,Prod_Prop!$E:$E=Y$1)),""""))"),"")</f>
        <v/>
      </c>
      <c r="Z667" s="4" t="str">
        <f>IF(Y667="","",SUMIFS(Prod_Prop!$J:$J,Prod_Prop!$B:$B,$Q667,Prod_Prop!$H:$H,Y667,Prod_Prop!$I:$I,Z$1)*IF(Y667="Peso",$R667,1))</f>
        <v/>
      </c>
      <c r="AA667" s="4" t="str">
        <f>IF(Y667="","",SUMIFS(Prod_Prop!$J:$J,Prod_Prop!$B:$B,$Q667,Prod_Prop!$H:$H,Y667,Prod_Prop!$I:$I,AA$1)*IF(Y667="Peso",$R667,1))</f>
        <v/>
      </c>
      <c r="AB667" s="4" t="str">
        <f>IFERROR(__xludf.DUMMYFUNCTION("IF(OR($U667="""",COUNTIF($I:$I,IFERROR(unique(filter(Prod_Prop!$H:$H,Prod_Prop!$G:$G=$U667,Prod_Prop!$E:$E=AB$1)),""Check""))=0),"""",IFERROR(unique(filter(Prod_Prop!$H:$H,Prod_Prop!$G:$G=$U667,Prod_Prop!$E:$E=AB$1)),""""))"),"")</f>
        <v/>
      </c>
      <c r="AC667" s="4" t="str">
        <f>IF(AB667="","",SUMIFS(Prod_Prop!$J:$J,Prod_Prop!$B:$B,$Q667,Prod_Prop!$H:$H,AB667,Prod_Prop!$I:$I,AC$1)*IF(AB667="Peso",$R667,1))</f>
        <v/>
      </c>
      <c r="AD667" s="4" t="str">
        <f>IF(AB667="","",SUMIFS(Prod_Prop!$J:$J,Prod_Prop!$B:$B,$Q667,Prod_Prop!$H:$H,AB667,Prod_Prop!$I:$I,AD$1)*IF(AB667="Peso",$R667,1))</f>
        <v/>
      </c>
    </row>
    <row r="668">
      <c r="A668" s="4" t="str">
        <f t="array" ref="A668">IF(COUNTIF(A$1:A667,Cotizador!F$2)=maxifs(Familias!E:E,Familias!D:D,Cotizador!F$2),IF(COUNTIF(A$1:A667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8" s="4" t="str">
        <f t="shared" si="1"/>
        <v/>
      </c>
      <c r="C668" s="4" t="str">
        <f t="array" ref="C668">IF(B668="","",IF(A668=XLOOKUP(A$2,Implementos!B:B,Implementos!C:C,"",0,1),B668+maxifs(B$1:B667,A$1:A667,A$2),B668))</f>
        <v/>
      </c>
      <c r="D668" s="4" t="str">
        <f>IF(B668="","", COUNTIFS(Productos!F:F,A668,Productos!H:H,B668)+IF(F668="SI",0,1))</f>
        <v/>
      </c>
      <c r="E668" s="4" t="str">
        <f>IFERROR(__xludf.DUMMYFUNCTION("IF($B668="""","""",INDEX(filter(Familias!F:F,Familias!$D:$D=$A668,Familias!$E:$E=$B668),1))"),"")</f>
        <v/>
      </c>
      <c r="F668" s="4" t="str">
        <f>IFERROR(__xludf.DUMMYFUNCTION("IF($B668="""","""",INDEX(filter(Familias!G:G,Familias!$D:$D=$A668,Familias!$E:$E=$B668),1))"),"")</f>
        <v/>
      </c>
      <c r="G668" s="4" t="str">
        <f t="array" ref="G668">IF(C668=1,XLOOKUP(C668,Cotizador!D:D,Cotizador!E:E,"",0,1),"")</f>
        <v/>
      </c>
      <c r="I668" s="4"/>
      <c r="J668" s="8" t="str">
        <f>IF(I668="","",SUMIF(Cotizador!I$1:V$1,I668,Cotizador!I$2:V$2))</f>
        <v/>
      </c>
      <c r="L668" s="4" t="str">
        <f t="array" ref="L668">IF(COUNTIF(L$1:L667,A$2)=SUMIF(A:A,A$2,D:D),IF(COUNTIF(L$1:L667,XLOOKUP(A$2,Implementos!B:B,Implementos!C:C,"",0,1))=SUMIF(A:A,XLOOKUP(A$2,Implementos!B:B,Implementos!C:C,"",0,1),D:D),"",XLOOKUP(A$2,Implementos!B:B,Implementos!C:C,"",0,1)),A$2)</f>
        <v/>
      </c>
      <c r="M668" s="4" t="str">
        <f t="shared" si="2"/>
        <v/>
      </c>
      <c r="N668" s="4" t="str">
        <f t="shared" si="3"/>
        <v/>
      </c>
      <c r="O668" s="4" t="str">
        <f t="shared" si="4"/>
        <v/>
      </c>
      <c r="P668" s="4" t="str">
        <f t="shared" si="5"/>
        <v/>
      </c>
      <c r="Q668" s="4" t="str">
        <f>IF(U668="","",SUMIF(Productos!E:E,U668,Productos!A:A))</f>
        <v/>
      </c>
      <c r="R668" s="4" t="str">
        <f t="array" ref="R668">IF(L668="","", max(1,SUMIF(I:I,XLOOKUP(U668,Productos!E:E,Productos!G:G,"",0,1),J:J)))</f>
        <v/>
      </c>
      <c r="S668" s="4" t="str">
        <f>IF(Q668="","",IF(SUMIFS(Compat_Vetado!D:D,Compat_Vetado!B:B,SUM(G:G),Compat_Vetado!C:C,Q668)=1,"SI",IF(OR(SUMIF(Cotizador!E:E,Q668,Cotizador!G:G)&gt;0,SUMIFS(Compat_Vetado!D:D,Compat_Vetado!B:B,SUM(G:G),Compat_Vetado!C:C,Q668)=-1),"NO","")))</f>
        <v/>
      </c>
      <c r="T668" s="4" t="str">
        <f t="shared" si="6"/>
        <v/>
      </c>
      <c r="U668" s="4" t="str">
        <f>IFERROR(__xludf.DUMMYFUNCTION("IF(P668="""","""",IFERROR(INDEX(filter(Productos!E:E,Productos!F:F=L668,Productos!H:H=N668),P668),IF(M668=SUM(D:D),""Finalizar"",""-"")))"),"")</f>
        <v/>
      </c>
      <c r="V668" s="4" t="str">
        <f>IFERROR(__xludf.DUMMYFUNCTION("IF(OR($U668="""",COUNTIF($I:$I,IFERROR(unique(filter(Prod_Prop!$H:$H,Prod_Prop!$G:$G=$U668,Prod_Prop!$E:$E=V$1)),""Check""))=0),"""",IFERROR(unique(filter(Prod_Prop!$H:$H,Prod_Prop!$G:$G=$U668,Prod_Prop!$E:$E=V$1)),""""))"),"")</f>
        <v/>
      </c>
      <c r="W668" s="4" t="str">
        <f>IF(V668="","",SUMIFS(Prod_Prop!$J:$J,Prod_Prop!$B:$B,$Q668,Prod_Prop!$H:$H,V668,Prod_Prop!$I:$I,W$1)*IF(V668="Peso",$R668,1))</f>
        <v/>
      </c>
      <c r="X668" s="4" t="str">
        <f>IF(V668="","",SUMIFS(Prod_Prop!$J:$J,Prod_Prop!$B:$B,$Q668,Prod_Prop!$H:$H,V668,Prod_Prop!$I:$I,X$1)*IF(V668="Peso",$R668,1))</f>
        <v/>
      </c>
      <c r="Y668" s="4" t="str">
        <f>IFERROR(__xludf.DUMMYFUNCTION("IF(OR($U668="""",COUNTIF($I:$I,IFERROR(unique(filter(Prod_Prop!$H:$H,Prod_Prop!$G:$G=$U668,Prod_Prop!$E:$E=Y$1)),""Check""))=0),"""",IFERROR(unique(filter(Prod_Prop!$H:$H,Prod_Prop!$G:$G=$U668,Prod_Prop!$E:$E=Y$1)),""""))"),"")</f>
        <v/>
      </c>
      <c r="Z668" s="4" t="str">
        <f>IF(Y668="","",SUMIFS(Prod_Prop!$J:$J,Prod_Prop!$B:$B,$Q668,Prod_Prop!$H:$H,Y668,Prod_Prop!$I:$I,Z$1)*IF(Y668="Peso",$R668,1))</f>
        <v/>
      </c>
      <c r="AA668" s="4" t="str">
        <f>IF(Y668="","",SUMIFS(Prod_Prop!$J:$J,Prod_Prop!$B:$B,$Q668,Prod_Prop!$H:$H,Y668,Prod_Prop!$I:$I,AA$1)*IF(Y668="Peso",$R668,1))</f>
        <v/>
      </c>
      <c r="AB668" s="4" t="str">
        <f>IFERROR(__xludf.DUMMYFUNCTION("IF(OR($U668="""",COUNTIF($I:$I,IFERROR(unique(filter(Prod_Prop!$H:$H,Prod_Prop!$G:$G=$U668,Prod_Prop!$E:$E=AB$1)),""Check""))=0),"""",IFERROR(unique(filter(Prod_Prop!$H:$H,Prod_Prop!$G:$G=$U668,Prod_Prop!$E:$E=AB$1)),""""))"),"")</f>
        <v/>
      </c>
      <c r="AC668" s="4" t="str">
        <f>IF(AB668="","",SUMIFS(Prod_Prop!$J:$J,Prod_Prop!$B:$B,$Q668,Prod_Prop!$H:$H,AB668,Prod_Prop!$I:$I,AC$1)*IF(AB668="Peso",$R668,1))</f>
        <v/>
      </c>
      <c r="AD668" s="4" t="str">
        <f>IF(AB668="","",SUMIFS(Prod_Prop!$J:$J,Prod_Prop!$B:$B,$Q668,Prod_Prop!$H:$H,AB668,Prod_Prop!$I:$I,AD$1)*IF(AB668="Peso",$R668,1))</f>
        <v/>
      </c>
    </row>
    <row r="669">
      <c r="A669" s="4" t="str">
        <f t="array" ref="A669">IF(COUNTIF(A$1:A668,Cotizador!F$2)=maxifs(Familias!E:E,Familias!D:D,Cotizador!F$2),IF(COUNTIF(A$1:A668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69" s="4" t="str">
        <f t="shared" si="1"/>
        <v/>
      </c>
      <c r="C669" s="4" t="str">
        <f t="array" ref="C669">IF(B669="","",IF(A669=XLOOKUP(A$2,Implementos!B:B,Implementos!C:C,"",0,1),B669+maxifs(B$1:B668,A$1:A668,A$2),B669))</f>
        <v/>
      </c>
      <c r="D669" s="4" t="str">
        <f>IF(B669="","", COUNTIFS(Productos!F:F,A669,Productos!H:H,B669)+IF(F669="SI",0,1))</f>
        <v/>
      </c>
      <c r="E669" s="4" t="str">
        <f>IFERROR(__xludf.DUMMYFUNCTION("IF($B669="""","""",INDEX(filter(Familias!F:F,Familias!$D:$D=$A669,Familias!$E:$E=$B669),1))"),"")</f>
        <v/>
      </c>
      <c r="F669" s="4" t="str">
        <f>IFERROR(__xludf.DUMMYFUNCTION("IF($B669="""","""",INDEX(filter(Familias!G:G,Familias!$D:$D=$A669,Familias!$E:$E=$B669),1))"),"")</f>
        <v/>
      </c>
      <c r="G669" s="4" t="str">
        <f t="array" ref="G669">IF(C669=1,XLOOKUP(C669,Cotizador!D:D,Cotizador!E:E,"",0,1),"")</f>
        <v/>
      </c>
      <c r="I669" s="4"/>
      <c r="J669" s="8" t="str">
        <f>IF(I669="","",SUMIF(Cotizador!I$1:V$1,I669,Cotizador!I$2:V$2))</f>
        <v/>
      </c>
      <c r="L669" s="4" t="str">
        <f t="array" ref="L669">IF(COUNTIF(L$1:L668,A$2)=SUMIF(A:A,A$2,D:D),IF(COUNTIF(L$1:L668,XLOOKUP(A$2,Implementos!B:B,Implementos!C:C,"",0,1))=SUMIF(A:A,XLOOKUP(A$2,Implementos!B:B,Implementos!C:C,"",0,1),D:D),"",XLOOKUP(A$2,Implementos!B:B,Implementos!C:C,"",0,1)),A$2)</f>
        <v/>
      </c>
      <c r="M669" s="4" t="str">
        <f t="shared" si="2"/>
        <v/>
      </c>
      <c r="N669" s="4" t="str">
        <f t="shared" si="3"/>
        <v/>
      </c>
      <c r="O669" s="4" t="str">
        <f t="shared" si="4"/>
        <v/>
      </c>
      <c r="P669" s="4" t="str">
        <f t="shared" si="5"/>
        <v/>
      </c>
      <c r="Q669" s="4" t="str">
        <f>IF(U669="","",SUMIF(Productos!E:E,U669,Productos!A:A))</f>
        <v/>
      </c>
      <c r="R669" s="4" t="str">
        <f t="array" ref="R669">IF(L669="","", max(1,SUMIF(I:I,XLOOKUP(U669,Productos!E:E,Productos!G:G,"",0,1),J:J)))</f>
        <v/>
      </c>
      <c r="S669" s="4" t="str">
        <f>IF(Q669="","",IF(SUMIFS(Compat_Vetado!D:D,Compat_Vetado!B:B,SUM(G:G),Compat_Vetado!C:C,Q669)=1,"SI",IF(OR(SUMIF(Cotizador!E:E,Q669,Cotizador!G:G)&gt;0,SUMIFS(Compat_Vetado!D:D,Compat_Vetado!B:B,SUM(G:G),Compat_Vetado!C:C,Q669)=-1),"NO","")))</f>
        <v/>
      </c>
      <c r="T669" s="4" t="str">
        <f t="shared" si="6"/>
        <v/>
      </c>
      <c r="U669" s="4" t="str">
        <f>IFERROR(__xludf.DUMMYFUNCTION("IF(P669="""","""",IFERROR(INDEX(filter(Productos!E:E,Productos!F:F=L669,Productos!H:H=N669),P669),IF(M669=SUM(D:D),""Finalizar"",""-"")))"),"")</f>
        <v/>
      </c>
      <c r="V669" s="4" t="str">
        <f>IFERROR(__xludf.DUMMYFUNCTION("IF(OR($U669="""",COUNTIF($I:$I,IFERROR(unique(filter(Prod_Prop!$H:$H,Prod_Prop!$G:$G=$U669,Prod_Prop!$E:$E=V$1)),""Check""))=0),"""",IFERROR(unique(filter(Prod_Prop!$H:$H,Prod_Prop!$G:$G=$U669,Prod_Prop!$E:$E=V$1)),""""))"),"")</f>
        <v/>
      </c>
      <c r="W669" s="4" t="str">
        <f>IF(V669="","",SUMIFS(Prod_Prop!$J:$J,Prod_Prop!$B:$B,$Q669,Prod_Prop!$H:$H,V669,Prod_Prop!$I:$I,W$1)*IF(V669="Peso",$R669,1))</f>
        <v/>
      </c>
      <c r="X669" s="4" t="str">
        <f>IF(V669="","",SUMIFS(Prod_Prop!$J:$J,Prod_Prop!$B:$B,$Q669,Prod_Prop!$H:$H,V669,Prod_Prop!$I:$I,X$1)*IF(V669="Peso",$R669,1))</f>
        <v/>
      </c>
      <c r="Y669" s="4" t="str">
        <f>IFERROR(__xludf.DUMMYFUNCTION("IF(OR($U669="""",COUNTIF($I:$I,IFERROR(unique(filter(Prod_Prop!$H:$H,Prod_Prop!$G:$G=$U669,Prod_Prop!$E:$E=Y$1)),""Check""))=0),"""",IFERROR(unique(filter(Prod_Prop!$H:$H,Prod_Prop!$G:$G=$U669,Prod_Prop!$E:$E=Y$1)),""""))"),"")</f>
        <v/>
      </c>
      <c r="Z669" s="4" t="str">
        <f>IF(Y669="","",SUMIFS(Prod_Prop!$J:$J,Prod_Prop!$B:$B,$Q669,Prod_Prop!$H:$H,Y669,Prod_Prop!$I:$I,Z$1)*IF(Y669="Peso",$R669,1))</f>
        <v/>
      </c>
      <c r="AA669" s="4" t="str">
        <f>IF(Y669="","",SUMIFS(Prod_Prop!$J:$J,Prod_Prop!$B:$B,$Q669,Prod_Prop!$H:$H,Y669,Prod_Prop!$I:$I,AA$1)*IF(Y669="Peso",$R669,1))</f>
        <v/>
      </c>
      <c r="AB669" s="4" t="str">
        <f>IFERROR(__xludf.DUMMYFUNCTION("IF(OR($U669="""",COUNTIF($I:$I,IFERROR(unique(filter(Prod_Prop!$H:$H,Prod_Prop!$G:$G=$U669,Prod_Prop!$E:$E=AB$1)),""Check""))=0),"""",IFERROR(unique(filter(Prod_Prop!$H:$H,Prod_Prop!$G:$G=$U669,Prod_Prop!$E:$E=AB$1)),""""))"),"")</f>
        <v/>
      </c>
      <c r="AC669" s="4" t="str">
        <f>IF(AB669="","",SUMIFS(Prod_Prop!$J:$J,Prod_Prop!$B:$B,$Q669,Prod_Prop!$H:$H,AB669,Prod_Prop!$I:$I,AC$1)*IF(AB669="Peso",$R669,1))</f>
        <v/>
      </c>
      <c r="AD669" s="4" t="str">
        <f>IF(AB669="","",SUMIFS(Prod_Prop!$J:$J,Prod_Prop!$B:$B,$Q669,Prod_Prop!$H:$H,AB669,Prod_Prop!$I:$I,AD$1)*IF(AB669="Peso",$R669,1))</f>
        <v/>
      </c>
    </row>
    <row r="670">
      <c r="A670" s="4" t="str">
        <f t="array" ref="A670">IF(COUNTIF(A$1:A669,Cotizador!F$2)=maxifs(Familias!E:E,Familias!D:D,Cotizador!F$2),IF(COUNTIF(A$1:A669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0" s="4" t="str">
        <f t="shared" si="1"/>
        <v/>
      </c>
      <c r="C670" s="4" t="str">
        <f t="array" ref="C670">IF(B670="","",IF(A670=XLOOKUP(A$2,Implementos!B:B,Implementos!C:C,"",0,1),B670+maxifs(B$1:B669,A$1:A669,A$2),B670))</f>
        <v/>
      </c>
      <c r="D670" s="4" t="str">
        <f>IF(B670="","", COUNTIFS(Productos!F:F,A670,Productos!H:H,B670)+IF(F670="SI",0,1))</f>
        <v/>
      </c>
      <c r="E670" s="4" t="str">
        <f>IFERROR(__xludf.DUMMYFUNCTION("IF($B670="""","""",INDEX(filter(Familias!F:F,Familias!$D:$D=$A670,Familias!$E:$E=$B670),1))"),"")</f>
        <v/>
      </c>
      <c r="F670" s="4" t="str">
        <f>IFERROR(__xludf.DUMMYFUNCTION("IF($B670="""","""",INDEX(filter(Familias!G:G,Familias!$D:$D=$A670,Familias!$E:$E=$B670),1))"),"")</f>
        <v/>
      </c>
      <c r="G670" s="4" t="str">
        <f t="array" ref="G670">IF(C670=1,XLOOKUP(C670,Cotizador!D:D,Cotizador!E:E,"",0,1),"")</f>
        <v/>
      </c>
      <c r="I670" s="4"/>
      <c r="J670" s="8" t="str">
        <f>IF(I670="","",SUMIF(Cotizador!I$1:V$1,I670,Cotizador!I$2:V$2))</f>
        <v/>
      </c>
      <c r="L670" s="4" t="str">
        <f t="array" ref="L670">IF(COUNTIF(L$1:L669,A$2)=SUMIF(A:A,A$2,D:D),IF(COUNTIF(L$1:L669,XLOOKUP(A$2,Implementos!B:B,Implementos!C:C,"",0,1))=SUMIF(A:A,XLOOKUP(A$2,Implementos!B:B,Implementos!C:C,"",0,1),D:D),"",XLOOKUP(A$2,Implementos!B:B,Implementos!C:C,"",0,1)),A$2)</f>
        <v/>
      </c>
      <c r="M670" s="4" t="str">
        <f t="shared" si="2"/>
        <v/>
      </c>
      <c r="N670" s="4" t="str">
        <f t="shared" si="3"/>
        <v/>
      </c>
      <c r="O670" s="4" t="str">
        <f t="shared" si="4"/>
        <v/>
      </c>
      <c r="P670" s="4" t="str">
        <f t="shared" si="5"/>
        <v/>
      </c>
      <c r="Q670" s="4" t="str">
        <f>IF(U670="","",SUMIF(Productos!E:E,U670,Productos!A:A))</f>
        <v/>
      </c>
      <c r="R670" s="4" t="str">
        <f t="array" ref="R670">IF(L670="","", max(1,SUMIF(I:I,XLOOKUP(U670,Productos!E:E,Productos!G:G,"",0,1),J:J)))</f>
        <v/>
      </c>
      <c r="S670" s="4" t="str">
        <f>IF(Q670="","",IF(SUMIFS(Compat_Vetado!D:D,Compat_Vetado!B:B,SUM(G:G),Compat_Vetado!C:C,Q670)=1,"SI",IF(OR(SUMIF(Cotizador!E:E,Q670,Cotizador!G:G)&gt;0,SUMIFS(Compat_Vetado!D:D,Compat_Vetado!B:B,SUM(G:G),Compat_Vetado!C:C,Q670)=-1),"NO","")))</f>
        <v/>
      </c>
      <c r="T670" s="4" t="str">
        <f t="shared" si="6"/>
        <v/>
      </c>
      <c r="U670" s="4" t="str">
        <f>IFERROR(__xludf.DUMMYFUNCTION("IF(P670="""","""",IFERROR(INDEX(filter(Productos!E:E,Productos!F:F=L670,Productos!H:H=N670),P670),IF(M670=SUM(D:D),""Finalizar"",""-"")))"),"")</f>
        <v/>
      </c>
      <c r="V670" s="4" t="str">
        <f>IFERROR(__xludf.DUMMYFUNCTION("IF(OR($U670="""",COUNTIF($I:$I,IFERROR(unique(filter(Prod_Prop!$H:$H,Prod_Prop!$G:$G=$U670,Prod_Prop!$E:$E=V$1)),""Check""))=0),"""",IFERROR(unique(filter(Prod_Prop!$H:$H,Prod_Prop!$G:$G=$U670,Prod_Prop!$E:$E=V$1)),""""))"),"")</f>
        <v/>
      </c>
      <c r="W670" s="4" t="str">
        <f>IF(V670="","",SUMIFS(Prod_Prop!$J:$J,Prod_Prop!$B:$B,$Q670,Prod_Prop!$H:$H,V670,Prod_Prop!$I:$I,W$1)*IF(V670="Peso",$R670,1))</f>
        <v/>
      </c>
      <c r="X670" s="4" t="str">
        <f>IF(V670="","",SUMIFS(Prod_Prop!$J:$J,Prod_Prop!$B:$B,$Q670,Prod_Prop!$H:$H,V670,Prod_Prop!$I:$I,X$1)*IF(V670="Peso",$R670,1))</f>
        <v/>
      </c>
      <c r="Y670" s="4" t="str">
        <f>IFERROR(__xludf.DUMMYFUNCTION("IF(OR($U670="""",COUNTIF($I:$I,IFERROR(unique(filter(Prod_Prop!$H:$H,Prod_Prop!$G:$G=$U670,Prod_Prop!$E:$E=Y$1)),""Check""))=0),"""",IFERROR(unique(filter(Prod_Prop!$H:$H,Prod_Prop!$G:$G=$U670,Prod_Prop!$E:$E=Y$1)),""""))"),"")</f>
        <v/>
      </c>
      <c r="Z670" s="4" t="str">
        <f>IF(Y670="","",SUMIFS(Prod_Prop!$J:$J,Prod_Prop!$B:$B,$Q670,Prod_Prop!$H:$H,Y670,Prod_Prop!$I:$I,Z$1)*IF(Y670="Peso",$R670,1))</f>
        <v/>
      </c>
      <c r="AA670" s="4" t="str">
        <f>IF(Y670="","",SUMIFS(Prod_Prop!$J:$J,Prod_Prop!$B:$B,$Q670,Prod_Prop!$H:$H,Y670,Prod_Prop!$I:$I,AA$1)*IF(Y670="Peso",$R670,1))</f>
        <v/>
      </c>
      <c r="AB670" s="4" t="str">
        <f>IFERROR(__xludf.DUMMYFUNCTION("IF(OR($U670="""",COUNTIF($I:$I,IFERROR(unique(filter(Prod_Prop!$H:$H,Prod_Prop!$G:$G=$U670,Prod_Prop!$E:$E=AB$1)),""Check""))=0),"""",IFERROR(unique(filter(Prod_Prop!$H:$H,Prod_Prop!$G:$G=$U670,Prod_Prop!$E:$E=AB$1)),""""))"),"")</f>
        <v/>
      </c>
      <c r="AC670" s="4" t="str">
        <f>IF(AB670="","",SUMIFS(Prod_Prop!$J:$J,Prod_Prop!$B:$B,$Q670,Prod_Prop!$H:$H,AB670,Prod_Prop!$I:$I,AC$1)*IF(AB670="Peso",$R670,1))</f>
        <v/>
      </c>
      <c r="AD670" s="4" t="str">
        <f>IF(AB670="","",SUMIFS(Prod_Prop!$J:$J,Prod_Prop!$B:$B,$Q670,Prod_Prop!$H:$H,AB670,Prod_Prop!$I:$I,AD$1)*IF(AB670="Peso",$R670,1))</f>
        <v/>
      </c>
    </row>
    <row r="671">
      <c r="A671" s="4" t="str">
        <f t="array" ref="A671">IF(COUNTIF(A$1:A670,Cotizador!F$2)=maxifs(Familias!E:E,Familias!D:D,Cotizador!F$2),IF(COUNTIF(A$1:A670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1" s="4" t="str">
        <f t="shared" si="1"/>
        <v/>
      </c>
      <c r="C671" s="4" t="str">
        <f t="array" ref="C671">IF(B671="","",IF(A671=XLOOKUP(A$2,Implementos!B:B,Implementos!C:C,"",0,1),B671+maxifs(B$1:B670,A$1:A670,A$2),B671))</f>
        <v/>
      </c>
      <c r="D671" s="4" t="str">
        <f>IF(B671="","", COUNTIFS(Productos!F:F,A671,Productos!H:H,B671)+IF(F671="SI",0,1))</f>
        <v/>
      </c>
      <c r="E671" s="4" t="str">
        <f>IFERROR(__xludf.DUMMYFUNCTION("IF($B671="""","""",INDEX(filter(Familias!F:F,Familias!$D:$D=$A671,Familias!$E:$E=$B671),1))"),"")</f>
        <v/>
      </c>
      <c r="F671" s="4" t="str">
        <f>IFERROR(__xludf.DUMMYFUNCTION("IF($B671="""","""",INDEX(filter(Familias!G:G,Familias!$D:$D=$A671,Familias!$E:$E=$B671),1))"),"")</f>
        <v/>
      </c>
      <c r="G671" s="4" t="str">
        <f t="array" ref="G671">IF(C671=1,XLOOKUP(C671,Cotizador!D:D,Cotizador!E:E,"",0,1),"")</f>
        <v/>
      </c>
      <c r="I671" s="4"/>
      <c r="J671" s="8" t="str">
        <f>IF(I671="","",SUMIF(Cotizador!I$1:V$1,I671,Cotizador!I$2:V$2))</f>
        <v/>
      </c>
      <c r="L671" s="4" t="str">
        <f t="array" ref="L671">IF(COUNTIF(L$1:L670,A$2)=SUMIF(A:A,A$2,D:D),IF(COUNTIF(L$1:L670,XLOOKUP(A$2,Implementos!B:B,Implementos!C:C,"",0,1))=SUMIF(A:A,XLOOKUP(A$2,Implementos!B:B,Implementos!C:C,"",0,1),D:D),"",XLOOKUP(A$2,Implementos!B:B,Implementos!C:C,"",0,1)),A$2)</f>
        <v/>
      </c>
      <c r="M671" s="4" t="str">
        <f t="shared" si="2"/>
        <v/>
      </c>
      <c r="N671" s="4" t="str">
        <f t="shared" si="3"/>
        <v/>
      </c>
      <c r="O671" s="4" t="str">
        <f t="shared" si="4"/>
        <v/>
      </c>
      <c r="P671" s="4" t="str">
        <f t="shared" si="5"/>
        <v/>
      </c>
      <c r="Q671" s="4" t="str">
        <f>IF(U671="","",SUMIF(Productos!E:E,U671,Productos!A:A))</f>
        <v/>
      </c>
      <c r="R671" s="4" t="str">
        <f t="array" ref="R671">IF(L671="","", max(1,SUMIF(I:I,XLOOKUP(U671,Productos!E:E,Productos!G:G,"",0,1),J:J)))</f>
        <v/>
      </c>
      <c r="S671" s="4" t="str">
        <f>IF(Q671="","",IF(SUMIFS(Compat_Vetado!D:D,Compat_Vetado!B:B,SUM(G:G),Compat_Vetado!C:C,Q671)=1,"SI",IF(OR(SUMIF(Cotizador!E:E,Q671,Cotizador!G:G)&gt;0,SUMIFS(Compat_Vetado!D:D,Compat_Vetado!B:B,SUM(G:G),Compat_Vetado!C:C,Q671)=-1),"NO","")))</f>
        <v/>
      </c>
      <c r="T671" s="4" t="str">
        <f t="shared" si="6"/>
        <v/>
      </c>
      <c r="U671" s="4" t="str">
        <f>IFERROR(__xludf.DUMMYFUNCTION("IF(P671="""","""",IFERROR(INDEX(filter(Productos!E:E,Productos!F:F=L671,Productos!H:H=N671),P671),IF(M671=SUM(D:D),""Finalizar"",""-"")))"),"")</f>
        <v/>
      </c>
      <c r="V671" s="4" t="str">
        <f>IFERROR(__xludf.DUMMYFUNCTION("IF(OR($U671="""",COUNTIF($I:$I,IFERROR(unique(filter(Prod_Prop!$H:$H,Prod_Prop!$G:$G=$U671,Prod_Prop!$E:$E=V$1)),""Check""))=0),"""",IFERROR(unique(filter(Prod_Prop!$H:$H,Prod_Prop!$G:$G=$U671,Prod_Prop!$E:$E=V$1)),""""))"),"")</f>
        <v/>
      </c>
      <c r="W671" s="4" t="str">
        <f>IF(V671="","",SUMIFS(Prod_Prop!$J:$J,Prod_Prop!$B:$B,$Q671,Prod_Prop!$H:$H,V671,Prod_Prop!$I:$I,W$1)*IF(V671="Peso",$R671,1))</f>
        <v/>
      </c>
      <c r="X671" s="4" t="str">
        <f>IF(V671="","",SUMIFS(Prod_Prop!$J:$J,Prod_Prop!$B:$B,$Q671,Prod_Prop!$H:$H,V671,Prod_Prop!$I:$I,X$1)*IF(V671="Peso",$R671,1))</f>
        <v/>
      </c>
      <c r="Y671" s="4" t="str">
        <f>IFERROR(__xludf.DUMMYFUNCTION("IF(OR($U671="""",COUNTIF($I:$I,IFERROR(unique(filter(Prod_Prop!$H:$H,Prod_Prop!$G:$G=$U671,Prod_Prop!$E:$E=Y$1)),""Check""))=0),"""",IFERROR(unique(filter(Prod_Prop!$H:$H,Prod_Prop!$G:$G=$U671,Prod_Prop!$E:$E=Y$1)),""""))"),"")</f>
        <v/>
      </c>
      <c r="Z671" s="4" t="str">
        <f>IF(Y671="","",SUMIFS(Prod_Prop!$J:$J,Prod_Prop!$B:$B,$Q671,Prod_Prop!$H:$H,Y671,Prod_Prop!$I:$I,Z$1)*IF(Y671="Peso",$R671,1))</f>
        <v/>
      </c>
      <c r="AA671" s="4" t="str">
        <f>IF(Y671="","",SUMIFS(Prod_Prop!$J:$J,Prod_Prop!$B:$B,$Q671,Prod_Prop!$H:$H,Y671,Prod_Prop!$I:$I,AA$1)*IF(Y671="Peso",$R671,1))</f>
        <v/>
      </c>
      <c r="AB671" s="4" t="str">
        <f>IFERROR(__xludf.DUMMYFUNCTION("IF(OR($U671="""",COUNTIF($I:$I,IFERROR(unique(filter(Prod_Prop!$H:$H,Prod_Prop!$G:$G=$U671,Prod_Prop!$E:$E=AB$1)),""Check""))=0),"""",IFERROR(unique(filter(Prod_Prop!$H:$H,Prod_Prop!$G:$G=$U671,Prod_Prop!$E:$E=AB$1)),""""))"),"")</f>
        <v/>
      </c>
      <c r="AC671" s="4" t="str">
        <f>IF(AB671="","",SUMIFS(Prod_Prop!$J:$J,Prod_Prop!$B:$B,$Q671,Prod_Prop!$H:$H,AB671,Prod_Prop!$I:$I,AC$1)*IF(AB671="Peso",$R671,1))</f>
        <v/>
      </c>
      <c r="AD671" s="4" t="str">
        <f>IF(AB671="","",SUMIFS(Prod_Prop!$J:$J,Prod_Prop!$B:$B,$Q671,Prod_Prop!$H:$H,AB671,Prod_Prop!$I:$I,AD$1)*IF(AB671="Peso",$R671,1))</f>
        <v/>
      </c>
    </row>
    <row r="672">
      <c r="A672" s="4" t="str">
        <f t="array" ref="A672">IF(COUNTIF(A$1:A671,Cotizador!F$2)=maxifs(Familias!E:E,Familias!D:D,Cotizador!F$2),IF(COUNTIF(A$1:A671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2" s="4" t="str">
        <f t="shared" si="1"/>
        <v/>
      </c>
      <c r="C672" s="4" t="str">
        <f t="array" ref="C672">IF(B672="","",IF(A672=XLOOKUP(A$2,Implementos!B:B,Implementos!C:C,"",0,1),B672+maxifs(B$1:B671,A$1:A671,A$2),B672))</f>
        <v/>
      </c>
      <c r="D672" s="4" t="str">
        <f>IF(B672="","", COUNTIFS(Productos!F:F,A672,Productos!H:H,B672)+IF(F672="SI",0,1))</f>
        <v/>
      </c>
      <c r="E672" s="4" t="str">
        <f>IFERROR(__xludf.DUMMYFUNCTION("IF($B672="""","""",INDEX(filter(Familias!F:F,Familias!$D:$D=$A672,Familias!$E:$E=$B672),1))"),"")</f>
        <v/>
      </c>
      <c r="F672" s="4" t="str">
        <f>IFERROR(__xludf.DUMMYFUNCTION("IF($B672="""","""",INDEX(filter(Familias!G:G,Familias!$D:$D=$A672,Familias!$E:$E=$B672),1))"),"")</f>
        <v/>
      </c>
      <c r="G672" s="4" t="str">
        <f t="array" ref="G672">IF(C672=1,XLOOKUP(C672,Cotizador!D:D,Cotizador!E:E,"",0,1),"")</f>
        <v/>
      </c>
      <c r="I672" s="4"/>
      <c r="J672" s="8" t="str">
        <f>IF(I672="","",SUMIF(Cotizador!I$1:V$1,I672,Cotizador!I$2:V$2))</f>
        <v/>
      </c>
      <c r="L672" s="4" t="str">
        <f t="array" ref="L672">IF(COUNTIF(L$1:L671,A$2)=SUMIF(A:A,A$2,D:D),IF(COUNTIF(L$1:L671,XLOOKUP(A$2,Implementos!B:B,Implementos!C:C,"",0,1))=SUMIF(A:A,XLOOKUP(A$2,Implementos!B:B,Implementos!C:C,"",0,1),D:D),"",XLOOKUP(A$2,Implementos!B:B,Implementos!C:C,"",0,1)),A$2)</f>
        <v/>
      </c>
      <c r="M672" s="4" t="str">
        <f t="shared" si="2"/>
        <v/>
      </c>
      <c r="N672" s="4" t="str">
        <f t="shared" si="3"/>
        <v/>
      </c>
      <c r="O672" s="4" t="str">
        <f t="shared" si="4"/>
        <v/>
      </c>
      <c r="P672" s="4" t="str">
        <f t="shared" si="5"/>
        <v/>
      </c>
      <c r="Q672" s="4" t="str">
        <f>IF(U672="","",SUMIF(Productos!E:E,U672,Productos!A:A))</f>
        <v/>
      </c>
      <c r="R672" s="4" t="str">
        <f t="array" ref="R672">IF(L672="","", max(1,SUMIF(I:I,XLOOKUP(U672,Productos!E:E,Productos!G:G,"",0,1),J:J)))</f>
        <v/>
      </c>
      <c r="S672" s="4" t="str">
        <f>IF(Q672="","",IF(SUMIFS(Compat_Vetado!D:D,Compat_Vetado!B:B,SUM(G:G),Compat_Vetado!C:C,Q672)=1,"SI",IF(OR(SUMIF(Cotizador!E:E,Q672,Cotizador!G:G)&gt;0,SUMIFS(Compat_Vetado!D:D,Compat_Vetado!B:B,SUM(G:G),Compat_Vetado!C:C,Q672)=-1),"NO","")))</f>
        <v/>
      </c>
      <c r="T672" s="4" t="str">
        <f t="shared" si="6"/>
        <v/>
      </c>
      <c r="U672" s="4" t="str">
        <f>IFERROR(__xludf.DUMMYFUNCTION("IF(P672="""","""",IFERROR(INDEX(filter(Productos!E:E,Productos!F:F=L672,Productos!H:H=N672),P672),IF(M672=SUM(D:D),""Finalizar"",""-"")))"),"")</f>
        <v/>
      </c>
      <c r="V672" s="4" t="str">
        <f>IFERROR(__xludf.DUMMYFUNCTION("IF(OR($U672="""",COUNTIF($I:$I,IFERROR(unique(filter(Prod_Prop!$H:$H,Prod_Prop!$G:$G=$U672,Prod_Prop!$E:$E=V$1)),""Check""))=0),"""",IFERROR(unique(filter(Prod_Prop!$H:$H,Prod_Prop!$G:$G=$U672,Prod_Prop!$E:$E=V$1)),""""))"),"")</f>
        <v/>
      </c>
      <c r="W672" s="4" t="str">
        <f>IF(V672="","",SUMIFS(Prod_Prop!$J:$J,Prod_Prop!$B:$B,$Q672,Prod_Prop!$H:$H,V672,Prod_Prop!$I:$I,W$1)*IF(V672="Peso",$R672,1))</f>
        <v/>
      </c>
      <c r="X672" s="4" t="str">
        <f>IF(V672="","",SUMIFS(Prod_Prop!$J:$J,Prod_Prop!$B:$B,$Q672,Prod_Prop!$H:$H,V672,Prod_Prop!$I:$I,X$1)*IF(V672="Peso",$R672,1))</f>
        <v/>
      </c>
      <c r="Y672" s="4" t="str">
        <f>IFERROR(__xludf.DUMMYFUNCTION("IF(OR($U672="""",COUNTIF($I:$I,IFERROR(unique(filter(Prod_Prop!$H:$H,Prod_Prop!$G:$G=$U672,Prod_Prop!$E:$E=Y$1)),""Check""))=0),"""",IFERROR(unique(filter(Prod_Prop!$H:$H,Prod_Prop!$G:$G=$U672,Prod_Prop!$E:$E=Y$1)),""""))"),"")</f>
        <v/>
      </c>
      <c r="Z672" s="4" t="str">
        <f>IF(Y672="","",SUMIFS(Prod_Prop!$J:$J,Prod_Prop!$B:$B,$Q672,Prod_Prop!$H:$H,Y672,Prod_Prop!$I:$I,Z$1)*IF(Y672="Peso",$R672,1))</f>
        <v/>
      </c>
      <c r="AA672" s="4" t="str">
        <f>IF(Y672="","",SUMIFS(Prod_Prop!$J:$J,Prod_Prop!$B:$B,$Q672,Prod_Prop!$H:$H,Y672,Prod_Prop!$I:$I,AA$1)*IF(Y672="Peso",$R672,1))</f>
        <v/>
      </c>
      <c r="AB672" s="4" t="str">
        <f>IFERROR(__xludf.DUMMYFUNCTION("IF(OR($U672="""",COUNTIF($I:$I,IFERROR(unique(filter(Prod_Prop!$H:$H,Prod_Prop!$G:$G=$U672,Prod_Prop!$E:$E=AB$1)),""Check""))=0),"""",IFERROR(unique(filter(Prod_Prop!$H:$H,Prod_Prop!$G:$G=$U672,Prod_Prop!$E:$E=AB$1)),""""))"),"")</f>
        <v/>
      </c>
      <c r="AC672" s="4" t="str">
        <f>IF(AB672="","",SUMIFS(Prod_Prop!$J:$J,Prod_Prop!$B:$B,$Q672,Prod_Prop!$H:$H,AB672,Prod_Prop!$I:$I,AC$1)*IF(AB672="Peso",$R672,1))</f>
        <v/>
      </c>
      <c r="AD672" s="4" t="str">
        <f>IF(AB672="","",SUMIFS(Prod_Prop!$J:$J,Prod_Prop!$B:$B,$Q672,Prod_Prop!$H:$H,AB672,Prod_Prop!$I:$I,AD$1)*IF(AB672="Peso",$R672,1))</f>
        <v/>
      </c>
    </row>
    <row r="673">
      <c r="A673" s="4" t="str">
        <f t="array" ref="A673">IF(COUNTIF(A$1:A672,Cotizador!F$2)=maxifs(Familias!E:E,Familias!D:D,Cotizador!F$2),IF(COUNTIF(A$1:A672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3" s="4" t="str">
        <f t="shared" si="1"/>
        <v/>
      </c>
      <c r="C673" s="4" t="str">
        <f t="array" ref="C673">IF(B673="","",IF(A673=XLOOKUP(A$2,Implementos!B:B,Implementos!C:C,"",0,1),B673+maxifs(B$1:B672,A$1:A672,A$2),B673))</f>
        <v/>
      </c>
      <c r="D673" s="4" t="str">
        <f>IF(B673="","", COUNTIFS(Productos!F:F,A673,Productos!H:H,B673)+IF(F673="SI",0,1))</f>
        <v/>
      </c>
      <c r="E673" s="4" t="str">
        <f>IFERROR(__xludf.DUMMYFUNCTION("IF($B673="""","""",INDEX(filter(Familias!F:F,Familias!$D:$D=$A673,Familias!$E:$E=$B673),1))"),"")</f>
        <v/>
      </c>
      <c r="F673" s="4" t="str">
        <f>IFERROR(__xludf.DUMMYFUNCTION("IF($B673="""","""",INDEX(filter(Familias!G:G,Familias!$D:$D=$A673,Familias!$E:$E=$B673),1))"),"")</f>
        <v/>
      </c>
      <c r="G673" s="4" t="str">
        <f t="array" ref="G673">IF(C673=1,XLOOKUP(C673,Cotizador!D:D,Cotizador!E:E,"",0,1),"")</f>
        <v/>
      </c>
      <c r="I673" s="4"/>
      <c r="J673" s="8" t="str">
        <f>IF(I673="","",SUMIF(Cotizador!I$1:V$1,I673,Cotizador!I$2:V$2))</f>
        <v/>
      </c>
      <c r="L673" s="4" t="str">
        <f t="array" ref="L673">IF(COUNTIF(L$1:L672,A$2)=SUMIF(A:A,A$2,D:D),IF(COUNTIF(L$1:L672,XLOOKUP(A$2,Implementos!B:B,Implementos!C:C,"",0,1))=SUMIF(A:A,XLOOKUP(A$2,Implementos!B:B,Implementos!C:C,"",0,1),D:D),"",XLOOKUP(A$2,Implementos!B:B,Implementos!C:C,"",0,1)),A$2)</f>
        <v/>
      </c>
      <c r="M673" s="4" t="str">
        <f t="shared" si="2"/>
        <v/>
      </c>
      <c r="N673" s="4" t="str">
        <f t="shared" si="3"/>
        <v/>
      </c>
      <c r="O673" s="4" t="str">
        <f t="shared" si="4"/>
        <v/>
      </c>
      <c r="P673" s="4" t="str">
        <f t="shared" si="5"/>
        <v/>
      </c>
      <c r="Q673" s="4" t="str">
        <f>IF(U673="","",SUMIF(Productos!E:E,U673,Productos!A:A))</f>
        <v/>
      </c>
      <c r="R673" s="4" t="str">
        <f t="array" ref="R673">IF(L673="","", max(1,SUMIF(I:I,XLOOKUP(U673,Productos!E:E,Productos!G:G,"",0,1),J:J)))</f>
        <v/>
      </c>
      <c r="S673" s="4" t="str">
        <f>IF(Q673="","",IF(SUMIFS(Compat_Vetado!D:D,Compat_Vetado!B:B,SUM(G:G),Compat_Vetado!C:C,Q673)=1,"SI",IF(OR(SUMIF(Cotizador!E:E,Q673,Cotizador!G:G)&gt;0,SUMIFS(Compat_Vetado!D:D,Compat_Vetado!B:B,SUM(G:G),Compat_Vetado!C:C,Q673)=-1),"NO","")))</f>
        <v/>
      </c>
      <c r="T673" s="4" t="str">
        <f t="shared" si="6"/>
        <v/>
      </c>
      <c r="U673" s="4" t="str">
        <f>IFERROR(__xludf.DUMMYFUNCTION("IF(P673="""","""",IFERROR(INDEX(filter(Productos!E:E,Productos!F:F=L673,Productos!H:H=N673),P673),IF(M673=SUM(D:D),""Finalizar"",""-"")))"),"")</f>
        <v/>
      </c>
      <c r="V673" s="4" t="str">
        <f>IFERROR(__xludf.DUMMYFUNCTION("IF(OR($U673="""",COUNTIF($I:$I,IFERROR(unique(filter(Prod_Prop!$H:$H,Prod_Prop!$G:$G=$U673,Prod_Prop!$E:$E=V$1)),""Check""))=0),"""",IFERROR(unique(filter(Prod_Prop!$H:$H,Prod_Prop!$G:$G=$U673,Prod_Prop!$E:$E=V$1)),""""))"),"")</f>
        <v/>
      </c>
      <c r="W673" s="4" t="str">
        <f>IF(V673="","",SUMIFS(Prod_Prop!$J:$J,Prod_Prop!$B:$B,$Q673,Prod_Prop!$H:$H,V673,Prod_Prop!$I:$I,W$1)*IF(V673="Peso",$R673,1))</f>
        <v/>
      </c>
      <c r="X673" s="4" t="str">
        <f>IF(V673="","",SUMIFS(Prod_Prop!$J:$J,Prod_Prop!$B:$B,$Q673,Prod_Prop!$H:$H,V673,Prod_Prop!$I:$I,X$1)*IF(V673="Peso",$R673,1))</f>
        <v/>
      </c>
      <c r="Y673" s="4" t="str">
        <f>IFERROR(__xludf.DUMMYFUNCTION("IF(OR($U673="""",COUNTIF($I:$I,IFERROR(unique(filter(Prod_Prop!$H:$H,Prod_Prop!$G:$G=$U673,Prod_Prop!$E:$E=Y$1)),""Check""))=0),"""",IFERROR(unique(filter(Prod_Prop!$H:$H,Prod_Prop!$G:$G=$U673,Prod_Prop!$E:$E=Y$1)),""""))"),"")</f>
        <v/>
      </c>
      <c r="Z673" s="4" t="str">
        <f>IF(Y673="","",SUMIFS(Prod_Prop!$J:$J,Prod_Prop!$B:$B,$Q673,Prod_Prop!$H:$H,Y673,Prod_Prop!$I:$I,Z$1)*IF(Y673="Peso",$R673,1))</f>
        <v/>
      </c>
      <c r="AA673" s="4" t="str">
        <f>IF(Y673="","",SUMIFS(Prod_Prop!$J:$J,Prod_Prop!$B:$B,$Q673,Prod_Prop!$H:$H,Y673,Prod_Prop!$I:$I,AA$1)*IF(Y673="Peso",$R673,1))</f>
        <v/>
      </c>
      <c r="AB673" s="4" t="str">
        <f>IFERROR(__xludf.DUMMYFUNCTION("IF(OR($U673="""",COUNTIF($I:$I,IFERROR(unique(filter(Prod_Prop!$H:$H,Prod_Prop!$G:$G=$U673,Prod_Prop!$E:$E=AB$1)),""Check""))=0),"""",IFERROR(unique(filter(Prod_Prop!$H:$H,Prod_Prop!$G:$G=$U673,Prod_Prop!$E:$E=AB$1)),""""))"),"")</f>
        <v/>
      </c>
      <c r="AC673" s="4" t="str">
        <f>IF(AB673="","",SUMIFS(Prod_Prop!$J:$J,Prod_Prop!$B:$B,$Q673,Prod_Prop!$H:$H,AB673,Prod_Prop!$I:$I,AC$1)*IF(AB673="Peso",$R673,1))</f>
        <v/>
      </c>
      <c r="AD673" s="4" t="str">
        <f>IF(AB673="","",SUMIFS(Prod_Prop!$J:$J,Prod_Prop!$B:$B,$Q673,Prod_Prop!$H:$H,AB673,Prod_Prop!$I:$I,AD$1)*IF(AB673="Peso",$R673,1))</f>
        <v/>
      </c>
    </row>
    <row r="674">
      <c r="A674" s="4" t="str">
        <f t="array" ref="A674">IF(COUNTIF(A$1:A673,Cotizador!F$2)=maxifs(Familias!E:E,Familias!D:D,Cotizador!F$2),IF(COUNTIF(A$1:A673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4" s="4" t="str">
        <f t="shared" si="1"/>
        <v/>
      </c>
      <c r="C674" s="4" t="str">
        <f t="array" ref="C674">IF(B674="","",IF(A674=XLOOKUP(A$2,Implementos!B:B,Implementos!C:C,"",0,1),B674+maxifs(B$1:B673,A$1:A673,A$2),B674))</f>
        <v/>
      </c>
      <c r="D674" s="4" t="str">
        <f>IF(B674="","", COUNTIFS(Productos!F:F,A674,Productos!H:H,B674)+IF(F674="SI",0,1))</f>
        <v/>
      </c>
      <c r="E674" s="4" t="str">
        <f>IFERROR(__xludf.DUMMYFUNCTION("IF($B674="""","""",INDEX(filter(Familias!F:F,Familias!$D:$D=$A674,Familias!$E:$E=$B674),1))"),"")</f>
        <v/>
      </c>
      <c r="F674" s="4" t="str">
        <f>IFERROR(__xludf.DUMMYFUNCTION("IF($B674="""","""",INDEX(filter(Familias!G:G,Familias!$D:$D=$A674,Familias!$E:$E=$B674),1))"),"")</f>
        <v/>
      </c>
      <c r="G674" s="4" t="str">
        <f t="array" ref="G674">IF(C674=1,XLOOKUP(C674,Cotizador!D:D,Cotizador!E:E,"",0,1),"")</f>
        <v/>
      </c>
      <c r="I674" s="4"/>
      <c r="J674" s="8" t="str">
        <f>IF(I674="","",SUMIF(Cotizador!I$1:V$1,I674,Cotizador!I$2:V$2))</f>
        <v/>
      </c>
      <c r="L674" s="4" t="str">
        <f t="array" ref="L674">IF(COUNTIF(L$1:L673,A$2)=SUMIF(A:A,A$2,D:D),IF(COUNTIF(L$1:L673,XLOOKUP(A$2,Implementos!B:B,Implementos!C:C,"",0,1))=SUMIF(A:A,XLOOKUP(A$2,Implementos!B:B,Implementos!C:C,"",0,1),D:D),"",XLOOKUP(A$2,Implementos!B:B,Implementos!C:C,"",0,1)),A$2)</f>
        <v/>
      </c>
      <c r="M674" s="4" t="str">
        <f t="shared" si="2"/>
        <v/>
      </c>
      <c r="N674" s="4" t="str">
        <f t="shared" si="3"/>
        <v/>
      </c>
      <c r="O674" s="4" t="str">
        <f t="shared" si="4"/>
        <v/>
      </c>
      <c r="P674" s="4" t="str">
        <f t="shared" si="5"/>
        <v/>
      </c>
      <c r="Q674" s="4" t="str">
        <f>IF(U674="","",SUMIF(Productos!E:E,U674,Productos!A:A))</f>
        <v/>
      </c>
      <c r="R674" s="4" t="str">
        <f t="array" ref="R674">IF(L674="","", max(1,SUMIF(I:I,XLOOKUP(U674,Productos!E:E,Productos!G:G,"",0,1),J:J)))</f>
        <v/>
      </c>
      <c r="S674" s="4" t="str">
        <f>IF(Q674="","",IF(SUMIFS(Compat_Vetado!D:D,Compat_Vetado!B:B,SUM(G:G),Compat_Vetado!C:C,Q674)=1,"SI",IF(OR(SUMIF(Cotizador!E:E,Q674,Cotizador!G:G)&gt;0,SUMIFS(Compat_Vetado!D:D,Compat_Vetado!B:B,SUM(G:G),Compat_Vetado!C:C,Q674)=-1),"NO","")))</f>
        <v/>
      </c>
      <c r="T674" s="4" t="str">
        <f t="shared" si="6"/>
        <v/>
      </c>
      <c r="U674" s="4" t="str">
        <f>IFERROR(__xludf.DUMMYFUNCTION("IF(P674="""","""",IFERROR(INDEX(filter(Productos!E:E,Productos!F:F=L674,Productos!H:H=N674),P674),IF(M674=SUM(D:D),""Finalizar"",""-"")))"),"")</f>
        <v/>
      </c>
      <c r="V674" s="4" t="str">
        <f>IFERROR(__xludf.DUMMYFUNCTION("IF(OR($U674="""",COUNTIF($I:$I,IFERROR(unique(filter(Prod_Prop!$H:$H,Prod_Prop!$G:$G=$U674,Prod_Prop!$E:$E=V$1)),""Check""))=0),"""",IFERROR(unique(filter(Prod_Prop!$H:$H,Prod_Prop!$G:$G=$U674,Prod_Prop!$E:$E=V$1)),""""))"),"")</f>
        <v/>
      </c>
      <c r="W674" s="4" t="str">
        <f>IF(V674="","",SUMIFS(Prod_Prop!$J:$J,Prod_Prop!$B:$B,$Q674,Prod_Prop!$H:$H,V674,Prod_Prop!$I:$I,W$1)*IF(V674="Peso",$R674,1))</f>
        <v/>
      </c>
      <c r="X674" s="4" t="str">
        <f>IF(V674="","",SUMIFS(Prod_Prop!$J:$J,Prod_Prop!$B:$B,$Q674,Prod_Prop!$H:$H,V674,Prod_Prop!$I:$I,X$1)*IF(V674="Peso",$R674,1))</f>
        <v/>
      </c>
      <c r="Y674" s="4" t="str">
        <f>IFERROR(__xludf.DUMMYFUNCTION("IF(OR($U674="""",COUNTIF($I:$I,IFERROR(unique(filter(Prod_Prop!$H:$H,Prod_Prop!$G:$G=$U674,Prod_Prop!$E:$E=Y$1)),""Check""))=0),"""",IFERROR(unique(filter(Prod_Prop!$H:$H,Prod_Prop!$G:$G=$U674,Prod_Prop!$E:$E=Y$1)),""""))"),"")</f>
        <v/>
      </c>
      <c r="Z674" s="4" t="str">
        <f>IF(Y674="","",SUMIFS(Prod_Prop!$J:$J,Prod_Prop!$B:$B,$Q674,Prod_Prop!$H:$H,Y674,Prod_Prop!$I:$I,Z$1)*IF(Y674="Peso",$R674,1))</f>
        <v/>
      </c>
      <c r="AA674" s="4" t="str">
        <f>IF(Y674="","",SUMIFS(Prod_Prop!$J:$J,Prod_Prop!$B:$B,$Q674,Prod_Prop!$H:$H,Y674,Prod_Prop!$I:$I,AA$1)*IF(Y674="Peso",$R674,1))</f>
        <v/>
      </c>
      <c r="AB674" s="4" t="str">
        <f>IFERROR(__xludf.DUMMYFUNCTION("IF(OR($U674="""",COUNTIF($I:$I,IFERROR(unique(filter(Prod_Prop!$H:$H,Prod_Prop!$G:$G=$U674,Prod_Prop!$E:$E=AB$1)),""Check""))=0),"""",IFERROR(unique(filter(Prod_Prop!$H:$H,Prod_Prop!$G:$G=$U674,Prod_Prop!$E:$E=AB$1)),""""))"),"")</f>
        <v/>
      </c>
      <c r="AC674" s="4" t="str">
        <f>IF(AB674="","",SUMIFS(Prod_Prop!$J:$J,Prod_Prop!$B:$B,$Q674,Prod_Prop!$H:$H,AB674,Prod_Prop!$I:$I,AC$1)*IF(AB674="Peso",$R674,1))</f>
        <v/>
      </c>
      <c r="AD674" s="4" t="str">
        <f>IF(AB674="","",SUMIFS(Prod_Prop!$J:$J,Prod_Prop!$B:$B,$Q674,Prod_Prop!$H:$H,AB674,Prod_Prop!$I:$I,AD$1)*IF(AB674="Peso",$R674,1))</f>
        <v/>
      </c>
    </row>
    <row r="675">
      <c r="A675" s="4" t="str">
        <f t="array" ref="A675">IF(COUNTIF(A$1:A674,Cotizador!F$2)=maxifs(Familias!E:E,Familias!D:D,Cotizador!F$2),IF(COUNTIF(A$1:A674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5" s="4" t="str">
        <f t="shared" si="1"/>
        <v/>
      </c>
      <c r="C675" s="4" t="str">
        <f t="array" ref="C675">IF(B675="","",IF(A675=XLOOKUP(A$2,Implementos!B:B,Implementos!C:C,"",0,1),B675+maxifs(B$1:B674,A$1:A674,A$2),B675))</f>
        <v/>
      </c>
      <c r="D675" s="4" t="str">
        <f>IF(B675="","", COUNTIFS(Productos!F:F,A675,Productos!H:H,B675)+IF(F675="SI",0,1))</f>
        <v/>
      </c>
      <c r="E675" s="4" t="str">
        <f>IFERROR(__xludf.DUMMYFUNCTION("IF($B675="""","""",INDEX(filter(Familias!F:F,Familias!$D:$D=$A675,Familias!$E:$E=$B675),1))"),"")</f>
        <v/>
      </c>
      <c r="F675" s="4" t="str">
        <f>IFERROR(__xludf.DUMMYFUNCTION("IF($B675="""","""",INDEX(filter(Familias!G:G,Familias!$D:$D=$A675,Familias!$E:$E=$B675),1))"),"")</f>
        <v/>
      </c>
      <c r="G675" s="4" t="str">
        <f t="array" ref="G675">IF(C675=1,XLOOKUP(C675,Cotizador!D:D,Cotizador!E:E,"",0,1),"")</f>
        <v/>
      </c>
      <c r="I675" s="4"/>
      <c r="J675" s="8" t="str">
        <f>IF(I675="","",SUMIF(Cotizador!I$1:V$1,I675,Cotizador!I$2:V$2))</f>
        <v/>
      </c>
      <c r="L675" s="4" t="str">
        <f t="array" ref="L675">IF(COUNTIF(L$1:L674,A$2)=SUMIF(A:A,A$2,D:D),IF(COUNTIF(L$1:L674,XLOOKUP(A$2,Implementos!B:B,Implementos!C:C,"",0,1))=SUMIF(A:A,XLOOKUP(A$2,Implementos!B:B,Implementos!C:C,"",0,1),D:D),"",XLOOKUP(A$2,Implementos!B:B,Implementos!C:C,"",0,1)),A$2)</f>
        <v/>
      </c>
      <c r="M675" s="4" t="str">
        <f t="shared" si="2"/>
        <v/>
      </c>
      <c r="N675" s="4" t="str">
        <f t="shared" si="3"/>
        <v/>
      </c>
      <c r="O675" s="4" t="str">
        <f t="shared" si="4"/>
        <v/>
      </c>
      <c r="P675" s="4" t="str">
        <f t="shared" si="5"/>
        <v/>
      </c>
      <c r="Q675" s="4" t="str">
        <f>IF(U675="","",SUMIF(Productos!E:E,U675,Productos!A:A))</f>
        <v/>
      </c>
      <c r="R675" s="4" t="str">
        <f t="array" ref="R675">IF(L675="","", max(1,SUMIF(I:I,XLOOKUP(U675,Productos!E:E,Productos!G:G,"",0,1),J:J)))</f>
        <v/>
      </c>
      <c r="S675" s="4" t="str">
        <f>IF(Q675="","",IF(SUMIFS(Compat_Vetado!D:D,Compat_Vetado!B:B,SUM(G:G),Compat_Vetado!C:C,Q675)=1,"SI",IF(OR(SUMIF(Cotizador!E:E,Q675,Cotizador!G:G)&gt;0,SUMIFS(Compat_Vetado!D:D,Compat_Vetado!B:B,SUM(G:G),Compat_Vetado!C:C,Q675)=-1),"NO","")))</f>
        <v/>
      </c>
      <c r="T675" s="4" t="str">
        <f t="shared" si="6"/>
        <v/>
      </c>
      <c r="U675" s="4" t="str">
        <f>IFERROR(__xludf.DUMMYFUNCTION("IF(P675="""","""",IFERROR(INDEX(filter(Productos!E:E,Productos!F:F=L675,Productos!H:H=N675),P675),IF(M675=SUM(D:D),""Finalizar"",""-"")))"),"")</f>
        <v/>
      </c>
      <c r="V675" s="4" t="str">
        <f>IFERROR(__xludf.DUMMYFUNCTION("IF(OR($U675="""",COUNTIF($I:$I,IFERROR(unique(filter(Prod_Prop!$H:$H,Prod_Prop!$G:$G=$U675,Prod_Prop!$E:$E=V$1)),""Check""))=0),"""",IFERROR(unique(filter(Prod_Prop!$H:$H,Prod_Prop!$G:$G=$U675,Prod_Prop!$E:$E=V$1)),""""))"),"")</f>
        <v/>
      </c>
      <c r="W675" s="4" t="str">
        <f>IF(V675="","",SUMIFS(Prod_Prop!$J:$J,Prod_Prop!$B:$B,$Q675,Prod_Prop!$H:$H,V675,Prod_Prop!$I:$I,W$1)*IF(V675="Peso",$R675,1))</f>
        <v/>
      </c>
      <c r="X675" s="4" t="str">
        <f>IF(V675="","",SUMIFS(Prod_Prop!$J:$J,Prod_Prop!$B:$B,$Q675,Prod_Prop!$H:$H,V675,Prod_Prop!$I:$I,X$1)*IF(V675="Peso",$R675,1))</f>
        <v/>
      </c>
      <c r="Y675" s="4" t="str">
        <f>IFERROR(__xludf.DUMMYFUNCTION("IF(OR($U675="""",COUNTIF($I:$I,IFERROR(unique(filter(Prod_Prop!$H:$H,Prod_Prop!$G:$G=$U675,Prod_Prop!$E:$E=Y$1)),""Check""))=0),"""",IFERROR(unique(filter(Prod_Prop!$H:$H,Prod_Prop!$G:$G=$U675,Prod_Prop!$E:$E=Y$1)),""""))"),"")</f>
        <v/>
      </c>
      <c r="Z675" s="4" t="str">
        <f>IF(Y675="","",SUMIFS(Prod_Prop!$J:$J,Prod_Prop!$B:$B,$Q675,Prod_Prop!$H:$H,Y675,Prod_Prop!$I:$I,Z$1)*IF(Y675="Peso",$R675,1))</f>
        <v/>
      </c>
      <c r="AA675" s="4" t="str">
        <f>IF(Y675="","",SUMIFS(Prod_Prop!$J:$J,Prod_Prop!$B:$B,$Q675,Prod_Prop!$H:$H,Y675,Prod_Prop!$I:$I,AA$1)*IF(Y675="Peso",$R675,1))</f>
        <v/>
      </c>
      <c r="AB675" s="4" t="str">
        <f>IFERROR(__xludf.DUMMYFUNCTION("IF(OR($U675="""",COUNTIF($I:$I,IFERROR(unique(filter(Prod_Prop!$H:$H,Prod_Prop!$G:$G=$U675,Prod_Prop!$E:$E=AB$1)),""Check""))=0),"""",IFERROR(unique(filter(Prod_Prop!$H:$H,Prod_Prop!$G:$G=$U675,Prod_Prop!$E:$E=AB$1)),""""))"),"")</f>
        <v/>
      </c>
      <c r="AC675" s="4" t="str">
        <f>IF(AB675="","",SUMIFS(Prod_Prop!$J:$J,Prod_Prop!$B:$B,$Q675,Prod_Prop!$H:$H,AB675,Prod_Prop!$I:$I,AC$1)*IF(AB675="Peso",$R675,1))</f>
        <v/>
      </c>
      <c r="AD675" s="4" t="str">
        <f>IF(AB675="","",SUMIFS(Prod_Prop!$J:$J,Prod_Prop!$B:$B,$Q675,Prod_Prop!$H:$H,AB675,Prod_Prop!$I:$I,AD$1)*IF(AB675="Peso",$R675,1))</f>
        <v/>
      </c>
    </row>
    <row r="676">
      <c r="A676" s="4" t="str">
        <f t="array" ref="A676">IF(COUNTIF(A$1:A675,Cotizador!F$2)=maxifs(Familias!E:E,Familias!D:D,Cotizador!F$2),IF(COUNTIF(A$1:A675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6" s="4" t="str">
        <f t="shared" si="1"/>
        <v/>
      </c>
      <c r="C676" s="4" t="str">
        <f t="array" ref="C676">IF(B676="","",IF(A676=XLOOKUP(A$2,Implementos!B:B,Implementos!C:C,"",0,1),B676+maxifs(B$1:B675,A$1:A675,A$2),B676))</f>
        <v/>
      </c>
      <c r="D676" s="4" t="str">
        <f>IF(B676="","", COUNTIFS(Productos!F:F,A676,Productos!H:H,B676)+IF(F676="SI",0,1))</f>
        <v/>
      </c>
      <c r="E676" s="4" t="str">
        <f>IFERROR(__xludf.DUMMYFUNCTION("IF($B676="""","""",INDEX(filter(Familias!F:F,Familias!$D:$D=$A676,Familias!$E:$E=$B676),1))"),"")</f>
        <v/>
      </c>
      <c r="F676" s="4" t="str">
        <f>IFERROR(__xludf.DUMMYFUNCTION("IF($B676="""","""",INDEX(filter(Familias!G:G,Familias!$D:$D=$A676,Familias!$E:$E=$B676),1))"),"")</f>
        <v/>
      </c>
      <c r="G676" s="4" t="str">
        <f t="array" ref="G676">IF(C676=1,XLOOKUP(C676,Cotizador!D:D,Cotizador!E:E,"",0,1),"")</f>
        <v/>
      </c>
      <c r="I676" s="4"/>
      <c r="J676" s="8" t="str">
        <f>IF(I676="","",SUMIF(Cotizador!I$1:V$1,I676,Cotizador!I$2:V$2))</f>
        <v/>
      </c>
      <c r="L676" s="4" t="str">
        <f t="array" ref="L676">IF(COUNTIF(L$1:L675,A$2)=SUMIF(A:A,A$2,D:D),IF(COUNTIF(L$1:L675,XLOOKUP(A$2,Implementos!B:B,Implementos!C:C,"",0,1))=SUMIF(A:A,XLOOKUP(A$2,Implementos!B:B,Implementos!C:C,"",0,1),D:D),"",XLOOKUP(A$2,Implementos!B:B,Implementos!C:C,"",0,1)),A$2)</f>
        <v/>
      </c>
      <c r="M676" s="4" t="str">
        <f t="shared" si="2"/>
        <v/>
      </c>
      <c r="N676" s="4" t="str">
        <f t="shared" si="3"/>
        <v/>
      </c>
      <c r="O676" s="4" t="str">
        <f t="shared" si="4"/>
        <v/>
      </c>
      <c r="P676" s="4" t="str">
        <f t="shared" si="5"/>
        <v/>
      </c>
      <c r="Q676" s="4" t="str">
        <f>IF(U676="","",SUMIF(Productos!E:E,U676,Productos!A:A))</f>
        <v/>
      </c>
      <c r="R676" s="4" t="str">
        <f t="array" ref="R676">IF(L676="","", max(1,SUMIF(I:I,XLOOKUP(U676,Productos!E:E,Productos!G:G,"",0,1),J:J)))</f>
        <v/>
      </c>
      <c r="S676" s="4" t="str">
        <f>IF(Q676="","",IF(SUMIFS(Compat_Vetado!D:D,Compat_Vetado!B:B,SUM(G:G),Compat_Vetado!C:C,Q676)=1,"SI",IF(OR(SUMIF(Cotizador!E:E,Q676,Cotizador!G:G)&gt;0,SUMIFS(Compat_Vetado!D:D,Compat_Vetado!B:B,SUM(G:G),Compat_Vetado!C:C,Q676)=-1),"NO","")))</f>
        <v/>
      </c>
      <c r="T676" s="4" t="str">
        <f t="shared" si="6"/>
        <v/>
      </c>
      <c r="U676" s="4" t="str">
        <f>IFERROR(__xludf.DUMMYFUNCTION("IF(P676="""","""",IFERROR(INDEX(filter(Productos!E:E,Productos!F:F=L676,Productos!H:H=N676),P676),IF(M676=SUM(D:D),""Finalizar"",""-"")))"),"")</f>
        <v/>
      </c>
      <c r="V676" s="4" t="str">
        <f>IFERROR(__xludf.DUMMYFUNCTION("IF(OR($U676="""",COUNTIF($I:$I,IFERROR(unique(filter(Prod_Prop!$H:$H,Prod_Prop!$G:$G=$U676,Prod_Prop!$E:$E=V$1)),""Check""))=0),"""",IFERROR(unique(filter(Prod_Prop!$H:$H,Prod_Prop!$G:$G=$U676,Prod_Prop!$E:$E=V$1)),""""))"),"")</f>
        <v/>
      </c>
      <c r="W676" s="4" t="str">
        <f>IF(V676="","",SUMIFS(Prod_Prop!$J:$J,Prod_Prop!$B:$B,$Q676,Prod_Prop!$H:$H,V676,Prod_Prop!$I:$I,W$1)*IF(V676="Peso",$R676,1))</f>
        <v/>
      </c>
      <c r="X676" s="4" t="str">
        <f>IF(V676="","",SUMIFS(Prod_Prop!$J:$J,Prod_Prop!$B:$B,$Q676,Prod_Prop!$H:$H,V676,Prod_Prop!$I:$I,X$1)*IF(V676="Peso",$R676,1))</f>
        <v/>
      </c>
      <c r="Y676" s="4" t="str">
        <f>IFERROR(__xludf.DUMMYFUNCTION("IF(OR($U676="""",COUNTIF($I:$I,IFERROR(unique(filter(Prod_Prop!$H:$H,Prod_Prop!$G:$G=$U676,Prod_Prop!$E:$E=Y$1)),""Check""))=0),"""",IFERROR(unique(filter(Prod_Prop!$H:$H,Prod_Prop!$G:$G=$U676,Prod_Prop!$E:$E=Y$1)),""""))"),"")</f>
        <v/>
      </c>
      <c r="Z676" s="4" t="str">
        <f>IF(Y676="","",SUMIFS(Prod_Prop!$J:$J,Prod_Prop!$B:$B,$Q676,Prod_Prop!$H:$H,Y676,Prod_Prop!$I:$I,Z$1)*IF(Y676="Peso",$R676,1))</f>
        <v/>
      </c>
      <c r="AA676" s="4" t="str">
        <f>IF(Y676="","",SUMIFS(Prod_Prop!$J:$J,Prod_Prop!$B:$B,$Q676,Prod_Prop!$H:$H,Y676,Prod_Prop!$I:$I,AA$1)*IF(Y676="Peso",$R676,1))</f>
        <v/>
      </c>
      <c r="AB676" s="4" t="str">
        <f>IFERROR(__xludf.DUMMYFUNCTION("IF(OR($U676="""",COUNTIF($I:$I,IFERROR(unique(filter(Prod_Prop!$H:$H,Prod_Prop!$G:$G=$U676,Prod_Prop!$E:$E=AB$1)),""Check""))=0),"""",IFERROR(unique(filter(Prod_Prop!$H:$H,Prod_Prop!$G:$G=$U676,Prod_Prop!$E:$E=AB$1)),""""))"),"")</f>
        <v/>
      </c>
      <c r="AC676" s="4" t="str">
        <f>IF(AB676="","",SUMIFS(Prod_Prop!$J:$J,Prod_Prop!$B:$B,$Q676,Prod_Prop!$H:$H,AB676,Prod_Prop!$I:$I,AC$1)*IF(AB676="Peso",$R676,1))</f>
        <v/>
      </c>
      <c r="AD676" s="4" t="str">
        <f>IF(AB676="","",SUMIFS(Prod_Prop!$J:$J,Prod_Prop!$B:$B,$Q676,Prod_Prop!$H:$H,AB676,Prod_Prop!$I:$I,AD$1)*IF(AB676="Peso",$R676,1))</f>
        <v/>
      </c>
    </row>
    <row r="677">
      <c r="A677" s="4" t="str">
        <f t="array" ref="A677">IF(COUNTIF(A$1:A676,Cotizador!F$2)=maxifs(Familias!E:E,Familias!D:D,Cotizador!F$2),IF(COUNTIF(A$1:A676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7" s="4" t="str">
        <f t="shared" si="1"/>
        <v/>
      </c>
      <c r="C677" s="4" t="str">
        <f t="array" ref="C677">IF(B677="","",IF(A677=XLOOKUP(A$2,Implementos!B:B,Implementos!C:C,"",0,1),B677+maxifs(B$1:B676,A$1:A676,A$2),B677))</f>
        <v/>
      </c>
      <c r="D677" s="4" t="str">
        <f>IF(B677="","", COUNTIFS(Productos!F:F,A677,Productos!H:H,B677)+IF(F677="SI",0,1))</f>
        <v/>
      </c>
      <c r="E677" s="4" t="str">
        <f>IFERROR(__xludf.DUMMYFUNCTION("IF($B677="""","""",INDEX(filter(Familias!F:F,Familias!$D:$D=$A677,Familias!$E:$E=$B677),1))"),"")</f>
        <v/>
      </c>
      <c r="F677" s="4" t="str">
        <f>IFERROR(__xludf.DUMMYFUNCTION("IF($B677="""","""",INDEX(filter(Familias!G:G,Familias!$D:$D=$A677,Familias!$E:$E=$B677),1))"),"")</f>
        <v/>
      </c>
      <c r="G677" s="4" t="str">
        <f t="array" ref="G677">IF(C677=1,XLOOKUP(C677,Cotizador!D:D,Cotizador!E:E,"",0,1),"")</f>
        <v/>
      </c>
      <c r="I677" s="4"/>
      <c r="J677" s="8" t="str">
        <f>IF(I677="","",SUMIF(Cotizador!I$1:V$1,I677,Cotizador!I$2:V$2))</f>
        <v/>
      </c>
      <c r="L677" s="4" t="str">
        <f t="array" ref="L677">IF(COUNTIF(L$1:L676,A$2)=SUMIF(A:A,A$2,D:D),IF(COUNTIF(L$1:L676,XLOOKUP(A$2,Implementos!B:B,Implementos!C:C,"",0,1))=SUMIF(A:A,XLOOKUP(A$2,Implementos!B:B,Implementos!C:C,"",0,1),D:D),"",XLOOKUP(A$2,Implementos!B:B,Implementos!C:C,"",0,1)),A$2)</f>
        <v/>
      </c>
      <c r="M677" s="4" t="str">
        <f t="shared" si="2"/>
        <v/>
      </c>
      <c r="N677" s="4" t="str">
        <f t="shared" si="3"/>
        <v/>
      </c>
      <c r="O677" s="4" t="str">
        <f t="shared" si="4"/>
        <v/>
      </c>
      <c r="P677" s="4" t="str">
        <f t="shared" si="5"/>
        <v/>
      </c>
      <c r="Q677" s="4" t="str">
        <f>IF(U677="","",SUMIF(Productos!E:E,U677,Productos!A:A))</f>
        <v/>
      </c>
      <c r="R677" s="4" t="str">
        <f t="array" ref="R677">IF(L677="","", max(1,SUMIF(I:I,XLOOKUP(U677,Productos!E:E,Productos!G:G,"",0,1),J:J)))</f>
        <v/>
      </c>
      <c r="S677" s="4" t="str">
        <f>IF(Q677="","",IF(SUMIFS(Compat_Vetado!D:D,Compat_Vetado!B:B,SUM(G:G),Compat_Vetado!C:C,Q677)=1,"SI",IF(OR(SUMIF(Cotizador!E:E,Q677,Cotizador!G:G)&gt;0,SUMIFS(Compat_Vetado!D:D,Compat_Vetado!B:B,SUM(G:G),Compat_Vetado!C:C,Q677)=-1),"NO","")))</f>
        <v/>
      </c>
      <c r="T677" s="4" t="str">
        <f t="shared" si="6"/>
        <v/>
      </c>
      <c r="U677" s="4" t="str">
        <f>IFERROR(__xludf.DUMMYFUNCTION("IF(P677="""","""",IFERROR(INDEX(filter(Productos!E:E,Productos!F:F=L677,Productos!H:H=N677),P677),IF(M677=SUM(D:D),""Finalizar"",""-"")))"),"")</f>
        <v/>
      </c>
      <c r="V677" s="4" t="str">
        <f>IFERROR(__xludf.DUMMYFUNCTION("IF(OR($U677="""",COUNTIF($I:$I,IFERROR(unique(filter(Prod_Prop!$H:$H,Prod_Prop!$G:$G=$U677,Prod_Prop!$E:$E=V$1)),""Check""))=0),"""",IFERROR(unique(filter(Prod_Prop!$H:$H,Prod_Prop!$G:$G=$U677,Prod_Prop!$E:$E=V$1)),""""))"),"")</f>
        <v/>
      </c>
      <c r="W677" s="4" t="str">
        <f>IF(V677="","",SUMIFS(Prod_Prop!$J:$J,Prod_Prop!$B:$B,$Q677,Prod_Prop!$H:$H,V677,Prod_Prop!$I:$I,W$1)*IF(V677="Peso",$R677,1))</f>
        <v/>
      </c>
      <c r="X677" s="4" t="str">
        <f>IF(V677="","",SUMIFS(Prod_Prop!$J:$J,Prod_Prop!$B:$B,$Q677,Prod_Prop!$H:$H,V677,Prod_Prop!$I:$I,X$1)*IF(V677="Peso",$R677,1))</f>
        <v/>
      </c>
      <c r="Y677" s="4" t="str">
        <f>IFERROR(__xludf.DUMMYFUNCTION("IF(OR($U677="""",COUNTIF($I:$I,IFERROR(unique(filter(Prod_Prop!$H:$H,Prod_Prop!$G:$G=$U677,Prod_Prop!$E:$E=Y$1)),""Check""))=0),"""",IFERROR(unique(filter(Prod_Prop!$H:$H,Prod_Prop!$G:$G=$U677,Prod_Prop!$E:$E=Y$1)),""""))"),"")</f>
        <v/>
      </c>
      <c r="Z677" s="4" t="str">
        <f>IF(Y677="","",SUMIFS(Prod_Prop!$J:$J,Prod_Prop!$B:$B,$Q677,Prod_Prop!$H:$H,Y677,Prod_Prop!$I:$I,Z$1)*IF(Y677="Peso",$R677,1))</f>
        <v/>
      </c>
      <c r="AA677" s="4" t="str">
        <f>IF(Y677="","",SUMIFS(Prod_Prop!$J:$J,Prod_Prop!$B:$B,$Q677,Prod_Prop!$H:$H,Y677,Prod_Prop!$I:$I,AA$1)*IF(Y677="Peso",$R677,1))</f>
        <v/>
      </c>
      <c r="AB677" s="4" t="str">
        <f>IFERROR(__xludf.DUMMYFUNCTION("IF(OR($U677="""",COUNTIF($I:$I,IFERROR(unique(filter(Prod_Prop!$H:$H,Prod_Prop!$G:$G=$U677,Prod_Prop!$E:$E=AB$1)),""Check""))=0),"""",IFERROR(unique(filter(Prod_Prop!$H:$H,Prod_Prop!$G:$G=$U677,Prod_Prop!$E:$E=AB$1)),""""))"),"")</f>
        <v/>
      </c>
      <c r="AC677" s="4" t="str">
        <f>IF(AB677="","",SUMIFS(Prod_Prop!$J:$J,Prod_Prop!$B:$B,$Q677,Prod_Prop!$H:$H,AB677,Prod_Prop!$I:$I,AC$1)*IF(AB677="Peso",$R677,1))</f>
        <v/>
      </c>
      <c r="AD677" s="4" t="str">
        <f>IF(AB677="","",SUMIFS(Prod_Prop!$J:$J,Prod_Prop!$B:$B,$Q677,Prod_Prop!$H:$H,AB677,Prod_Prop!$I:$I,AD$1)*IF(AB677="Peso",$R677,1))</f>
        <v/>
      </c>
    </row>
    <row r="678">
      <c r="A678" s="4" t="str">
        <f t="array" ref="A678">IF(COUNTIF(A$1:A677,Cotizador!F$2)=maxifs(Familias!E:E,Familias!D:D,Cotizador!F$2),IF(COUNTIF(A$1:A677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8" s="4" t="str">
        <f t="shared" si="1"/>
        <v/>
      </c>
      <c r="C678" s="4" t="str">
        <f t="array" ref="C678">IF(B678="","",IF(A678=XLOOKUP(A$2,Implementos!B:B,Implementos!C:C,"",0,1),B678+maxifs(B$1:B677,A$1:A677,A$2),B678))</f>
        <v/>
      </c>
      <c r="D678" s="4" t="str">
        <f>IF(B678="","", COUNTIFS(Productos!F:F,A678,Productos!H:H,B678)+IF(F678="SI",0,1))</f>
        <v/>
      </c>
      <c r="E678" s="4" t="str">
        <f>IFERROR(__xludf.DUMMYFUNCTION("IF($B678="""","""",INDEX(filter(Familias!F:F,Familias!$D:$D=$A678,Familias!$E:$E=$B678),1))"),"")</f>
        <v/>
      </c>
      <c r="F678" s="4" t="str">
        <f>IFERROR(__xludf.DUMMYFUNCTION("IF($B678="""","""",INDEX(filter(Familias!G:G,Familias!$D:$D=$A678,Familias!$E:$E=$B678),1))"),"")</f>
        <v/>
      </c>
      <c r="G678" s="4" t="str">
        <f t="array" ref="G678">IF(C678=1,XLOOKUP(C678,Cotizador!D:D,Cotizador!E:E,"",0,1),"")</f>
        <v/>
      </c>
      <c r="I678" s="4"/>
      <c r="J678" s="8" t="str">
        <f>IF(I678="","",SUMIF(Cotizador!I$1:V$1,I678,Cotizador!I$2:V$2))</f>
        <v/>
      </c>
      <c r="L678" s="4" t="str">
        <f t="array" ref="L678">IF(COUNTIF(L$1:L677,A$2)=SUMIF(A:A,A$2,D:D),IF(COUNTIF(L$1:L677,XLOOKUP(A$2,Implementos!B:B,Implementos!C:C,"",0,1))=SUMIF(A:A,XLOOKUP(A$2,Implementos!B:B,Implementos!C:C,"",0,1),D:D),"",XLOOKUP(A$2,Implementos!B:B,Implementos!C:C,"",0,1)),A$2)</f>
        <v/>
      </c>
      <c r="M678" s="4" t="str">
        <f t="shared" si="2"/>
        <v/>
      </c>
      <c r="N678" s="4" t="str">
        <f t="shared" si="3"/>
        <v/>
      </c>
      <c r="O678" s="4" t="str">
        <f t="shared" si="4"/>
        <v/>
      </c>
      <c r="P678" s="4" t="str">
        <f t="shared" si="5"/>
        <v/>
      </c>
      <c r="Q678" s="4" t="str">
        <f>IF(U678="","",SUMIF(Productos!E:E,U678,Productos!A:A))</f>
        <v/>
      </c>
      <c r="R678" s="4" t="str">
        <f t="array" ref="R678">IF(L678="","", max(1,SUMIF(I:I,XLOOKUP(U678,Productos!E:E,Productos!G:G,"",0,1),J:J)))</f>
        <v/>
      </c>
      <c r="S678" s="4" t="str">
        <f>IF(Q678="","",IF(SUMIFS(Compat_Vetado!D:D,Compat_Vetado!B:B,SUM(G:G),Compat_Vetado!C:C,Q678)=1,"SI",IF(OR(SUMIF(Cotizador!E:E,Q678,Cotizador!G:G)&gt;0,SUMIFS(Compat_Vetado!D:D,Compat_Vetado!B:B,SUM(G:G),Compat_Vetado!C:C,Q678)=-1),"NO","")))</f>
        <v/>
      </c>
      <c r="T678" s="4" t="str">
        <f t="shared" si="6"/>
        <v/>
      </c>
      <c r="U678" s="4" t="str">
        <f>IFERROR(__xludf.DUMMYFUNCTION("IF(P678="""","""",IFERROR(INDEX(filter(Productos!E:E,Productos!F:F=L678,Productos!H:H=N678),P678),IF(M678=SUM(D:D),""Finalizar"",""-"")))"),"")</f>
        <v/>
      </c>
      <c r="V678" s="4" t="str">
        <f>IFERROR(__xludf.DUMMYFUNCTION("IF(OR($U678="""",COUNTIF($I:$I,IFERROR(unique(filter(Prod_Prop!$H:$H,Prod_Prop!$G:$G=$U678,Prod_Prop!$E:$E=V$1)),""Check""))=0),"""",IFERROR(unique(filter(Prod_Prop!$H:$H,Prod_Prop!$G:$G=$U678,Prod_Prop!$E:$E=V$1)),""""))"),"")</f>
        <v/>
      </c>
      <c r="W678" s="4" t="str">
        <f>IF(V678="","",SUMIFS(Prod_Prop!$J:$J,Prod_Prop!$B:$B,$Q678,Prod_Prop!$H:$H,V678,Prod_Prop!$I:$I,W$1)*IF(V678="Peso",$R678,1))</f>
        <v/>
      </c>
      <c r="X678" s="4" t="str">
        <f>IF(V678="","",SUMIFS(Prod_Prop!$J:$J,Prod_Prop!$B:$B,$Q678,Prod_Prop!$H:$H,V678,Prod_Prop!$I:$I,X$1)*IF(V678="Peso",$R678,1))</f>
        <v/>
      </c>
      <c r="Y678" s="4" t="str">
        <f>IFERROR(__xludf.DUMMYFUNCTION("IF(OR($U678="""",COUNTIF($I:$I,IFERROR(unique(filter(Prod_Prop!$H:$H,Prod_Prop!$G:$G=$U678,Prod_Prop!$E:$E=Y$1)),""Check""))=0),"""",IFERROR(unique(filter(Prod_Prop!$H:$H,Prod_Prop!$G:$G=$U678,Prod_Prop!$E:$E=Y$1)),""""))"),"")</f>
        <v/>
      </c>
      <c r="Z678" s="4" t="str">
        <f>IF(Y678="","",SUMIFS(Prod_Prop!$J:$J,Prod_Prop!$B:$B,$Q678,Prod_Prop!$H:$H,Y678,Prod_Prop!$I:$I,Z$1)*IF(Y678="Peso",$R678,1))</f>
        <v/>
      </c>
      <c r="AA678" s="4" t="str">
        <f>IF(Y678="","",SUMIFS(Prod_Prop!$J:$J,Prod_Prop!$B:$B,$Q678,Prod_Prop!$H:$H,Y678,Prod_Prop!$I:$I,AA$1)*IF(Y678="Peso",$R678,1))</f>
        <v/>
      </c>
      <c r="AB678" s="4" t="str">
        <f>IFERROR(__xludf.DUMMYFUNCTION("IF(OR($U678="""",COUNTIF($I:$I,IFERROR(unique(filter(Prod_Prop!$H:$H,Prod_Prop!$G:$G=$U678,Prod_Prop!$E:$E=AB$1)),""Check""))=0),"""",IFERROR(unique(filter(Prod_Prop!$H:$H,Prod_Prop!$G:$G=$U678,Prod_Prop!$E:$E=AB$1)),""""))"),"")</f>
        <v/>
      </c>
      <c r="AC678" s="4" t="str">
        <f>IF(AB678="","",SUMIFS(Prod_Prop!$J:$J,Prod_Prop!$B:$B,$Q678,Prod_Prop!$H:$H,AB678,Prod_Prop!$I:$I,AC$1)*IF(AB678="Peso",$R678,1))</f>
        <v/>
      </c>
      <c r="AD678" s="4" t="str">
        <f>IF(AB678="","",SUMIFS(Prod_Prop!$J:$J,Prod_Prop!$B:$B,$Q678,Prod_Prop!$H:$H,AB678,Prod_Prop!$I:$I,AD$1)*IF(AB678="Peso",$R678,1))</f>
        <v/>
      </c>
    </row>
    <row r="679">
      <c r="A679" s="4" t="str">
        <f t="array" ref="A679">IF(COUNTIF(A$1:A678,Cotizador!F$2)=maxifs(Familias!E:E,Familias!D:D,Cotizador!F$2),IF(COUNTIF(A$1:A678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79" s="4" t="str">
        <f t="shared" si="1"/>
        <v/>
      </c>
      <c r="C679" s="4" t="str">
        <f t="array" ref="C679">IF(B679="","",IF(A679=XLOOKUP(A$2,Implementos!B:B,Implementos!C:C,"",0,1),B679+maxifs(B$1:B678,A$1:A678,A$2),B679))</f>
        <v/>
      </c>
      <c r="D679" s="4" t="str">
        <f>IF(B679="","", COUNTIFS(Productos!F:F,A679,Productos!H:H,B679)+IF(F679="SI",0,1))</f>
        <v/>
      </c>
      <c r="E679" s="4" t="str">
        <f>IFERROR(__xludf.DUMMYFUNCTION("IF($B679="""","""",INDEX(filter(Familias!F:F,Familias!$D:$D=$A679,Familias!$E:$E=$B679),1))"),"")</f>
        <v/>
      </c>
      <c r="F679" s="4" t="str">
        <f>IFERROR(__xludf.DUMMYFUNCTION("IF($B679="""","""",INDEX(filter(Familias!G:G,Familias!$D:$D=$A679,Familias!$E:$E=$B679),1))"),"")</f>
        <v/>
      </c>
      <c r="G679" s="4" t="str">
        <f t="array" ref="G679">IF(C679=1,XLOOKUP(C679,Cotizador!D:D,Cotizador!E:E,"",0,1),"")</f>
        <v/>
      </c>
      <c r="I679" s="4"/>
      <c r="J679" s="8" t="str">
        <f>IF(I679="","",SUMIF(Cotizador!I$1:V$1,I679,Cotizador!I$2:V$2))</f>
        <v/>
      </c>
      <c r="L679" s="4" t="str">
        <f t="array" ref="L679">IF(COUNTIF(L$1:L678,A$2)=SUMIF(A:A,A$2,D:D),IF(COUNTIF(L$1:L678,XLOOKUP(A$2,Implementos!B:B,Implementos!C:C,"",0,1))=SUMIF(A:A,XLOOKUP(A$2,Implementos!B:B,Implementos!C:C,"",0,1),D:D),"",XLOOKUP(A$2,Implementos!B:B,Implementos!C:C,"",0,1)),A$2)</f>
        <v/>
      </c>
      <c r="M679" s="4" t="str">
        <f t="shared" si="2"/>
        <v/>
      </c>
      <c r="N679" s="4" t="str">
        <f t="shared" si="3"/>
        <v/>
      </c>
      <c r="O679" s="4" t="str">
        <f t="shared" si="4"/>
        <v/>
      </c>
      <c r="P679" s="4" t="str">
        <f t="shared" si="5"/>
        <v/>
      </c>
      <c r="Q679" s="4" t="str">
        <f>IF(U679="","",SUMIF(Productos!E:E,U679,Productos!A:A))</f>
        <v/>
      </c>
      <c r="R679" s="4" t="str">
        <f t="array" ref="R679">IF(L679="","", max(1,SUMIF(I:I,XLOOKUP(U679,Productos!E:E,Productos!G:G,"",0,1),J:J)))</f>
        <v/>
      </c>
      <c r="S679" s="4" t="str">
        <f>IF(Q679="","",IF(SUMIFS(Compat_Vetado!D:D,Compat_Vetado!B:B,SUM(G:G),Compat_Vetado!C:C,Q679)=1,"SI",IF(OR(SUMIF(Cotizador!E:E,Q679,Cotizador!G:G)&gt;0,SUMIFS(Compat_Vetado!D:D,Compat_Vetado!B:B,SUM(G:G),Compat_Vetado!C:C,Q679)=-1),"NO","")))</f>
        <v/>
      </c>
      <c r="T679" s="4" t="str">
        <f t="shared" si="6"/>
        <v/>
      </c>
      <c r="U679" s="4" t="str">
        <f>IFERROR(__xludf.DUMMYFUNCTION("IF(P679="""","""",IFERROR(INDEX(filter(Productos!E:E,Productos!F:F=L679,Productos!H:H=N679),P679),IF(M679=SUM(D:D),""Finalizar"",""-"")))"),"")</f>
        <v/>
      </c>
      <c r="V679" s="4" t="str">
        <f>IFERROR(__xludf.DUMMYFUNCTION("IF(OR($U679="""",COUNTIF($I:$I,IFERROR(unique(filter(Prod_Prop!$H:$H,Prod_Prop!$G:$G=$U679,Prod_Prop!$E:$E=V$1)),""Check""))=0),"""",IFERROR(unique(filter(Prod_Prop!$H:$H,Prod_Prop!$G:$G=$U679,Prod_Prop!$E:$E=V$1)),""""))"),"")</f>
        <v/>
      </c>
      <c r="W679" s="4" t="str">
        <f>IF(V679="","",SUMIFS(Prod_Prop!$J:$J,Prod_Prop!$B:$B,$Q679,Prod_Prop!$H:$H,V679,Prod_Prop!$I:$I,W$1)*IF(V679="Peso",$R679,1))</f>
        <v/>
      </c>
      <c r="X679" s="4" t="str">
        <f>IF(V679="","",SUMIFS(Prod_Prop!$J:$J,Prod_Prop!$B:$B,$Q679,Prod_Prop!$H:$H,V679,Prod_Prop!$I:$I,X$1)*IF(V679="Peso",$R679,1))</f>
        <v/>
      </c>
      <c r="Y679" s="4" t="str">
        <f>IFERROR(__xludf.DUMMYFUNCTION("IF(OR($U679="""",COUNTIF($I:$I,IFERROR(unique(filter(Prod_Prop!$H:$H,Prod_Prop!$G:$G=$U679,Prod_Prop!$E:$E=Y$1)),""Check""))=0),"""",IFERROR(unique(filter(Prod_Prop!$H:$H,Prod_Prop!$G:$G=$U679,Prod_Prop!$E:$E=Y$1)),""""))"),"")</f>
        <v/>
      </c>
      <c r="Z679" s="4" t="str">
        <f>IF(Y679="","",SUMIFS(Prod_Prop!$J:$J,Prod_Prop!$B:$B,$Q679,Prod_Prop!$H:$H,Y679,Prod_Prop!$I:$I,Z$1)*IF(Y679="Peso",$R679,1))</f>
        <v/>
      </c>
      <c r="AA679" s="4" t="str">
        <f>IF(Y679="","",SUMIFS(Prod_Prop!$J:$J,Prod_Prop!$B:$B,$Q679,Prod_Prop!$H:$H,Y679,Prod_Prop!$I:$I,AA$1)*IF(Y679="Peso",$R679,1))</f>
        <v/>
      </c>
      <c r="AB679" s="4" t="str">
        <f>IFERROR(__xludf.DUMMYFUNCTION("IF(OR($U679="""",COUNTIF($I:$I,IFERROR(unique(filter(Prod_Prop!$H:$H,Prod_Prop!$G:$G=$U679,Prod_Prop!$E:$E=AB$1)),""Check""))=0),"""",IFERROR(unique(filter(Prod_Prop!$H:$H,Prod_Prop!$G:$G=$U679,Prod_Prop!$E:$E=AB$1)),""""))"),"")</f>
        <v/>
      </c>
      <c r="AC679" s="4" t="str">
        <f>IF(AB679="","",SUMIFS(Prod_Prop!$J:$J,Prod_Prop!$B:$B,$Q679,Prod_Prop!$H:$H,AB679,Prod_Prop!$I:$I,AC$1)*IF(AB679="Peso",$R679,1))</f>
        <v/>
      </c>
      <c r="AD679" s="4" t="str">
        <f>IF(AB679="","",SUMIFS(Prod_Prop!$J:$J,Prod_Prop!$B:$B,$Q679,Prod_Prop!$H:$H,AB679,Prod_Prop!$I:$I,AD$1)*IF(AB679="Peso",$R679,1))</f>
        <v/>
      </c>
    </row>
    <row r="680">
      <c r="A680" s="4" t="str">
        <f t="array" ref="A680">IF(COUNTIF(A$1:A679,Cotizador!F$2)=maxifs(Familias!E:E,Familias!D:D,Cotizador!F$2),IF(COUNTIF(A$1:A679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0" s="4" t="str">
        <f t="shared" si="1"/>
        <v/>
      </c>
      <c r="C680" s="4" t="str">
        <f t="array" ref="C680">IF(B680="","",IF(A680=XLOOKUP(A$2,Implementos!B:B,Implementos!C:C,"",0,1),B680+maxifs(B$1:B679,A$1:A679,A$2),B680))</f>
        <v/>
      </c>
      <c r="D680" s="4" t="str">
        <f>IF(B680="","", COUNTIFS(Productos!F:F,A680,Productos!H:H,B680)+IF(F680="SI",0,1))</f>
        <v/>
      </c>
      <c r="E680" s="4" t="str">
        <f>IFERROR(__xludf.DUMMYFUNCTION("IF($B680="""","""",INDEX(filter(Familias!F:F,Familias!$D:$D=$A680,Familias!$E:$E=$B680),1))"),"")</f>
        <v/>
      </c>
      <c r="F680" s="4" t="str">
        <f>IFERROR(__xludf.DUMMYFUNCTION("IF($B680="""","""",INDEX(filter(Familias!G:G,Familias!$D:$D=$A680,Familias!$E:$E=$B680),1))"),"")</f>
        <v/>
      </c>
      <c r="G680" s="4" t="str">
        <f t="array" ref="G680">IF(C680=1,XLOOKUP(C680,Cotizador!D:D,Cotizador!E:E,"",0,1),"")</f>
        <v/>
      </c>
      <c r="I680" s="4"/>
      <c r="J680" s="8" t="str">
        <f>IF(I680="","",SUMIF(Cotizador!I$1:V$1,I680,Cotizador!I$2:V$2))</f>
        <v/>
      </c>
      <c r="L680" s="4" t="str">
        <f t="array" ref="L680">IF(COUNTIF(L$1:L679,A$2)=SUMIF(A:A,A$2,D:D),IF(COUNTIF(L$1:L679,XLOOKUP(A$2,Implementos!B:B,Implementos!C:C,"",0,1))=SUMIF(A:A,XLOOKUP(A$2,Implementos!B:B,Implementos!C:C,"",0,1),D:D),"",XLOOKUP(A$2,Implementos!B:B,Implementos!C:C,"",0,1)),A$2)</f>
        <v/>
      </c>
      <c r="M680" s="4" t="str">
        <f t="shared" si="2"/>
        <v/>
      </c>
      <c r="N680" s="4" t="str">
        <f t="shared" si="3"/>
        <v/>
      </c>
      <c r="O680" s="4" t="str">
        <f t="shared" si="4"/>
        <v/>
      </c>
      <c r="P680" s="4" t="str">
        <f t="shared" si="5"/>
        <v/>
      </c>
      <c r="Q680" s="4" t="str">
        <f>IF(U680="","",SUMIF(Productos!E:E,U680,Productos!A:A))</f>
        <v/>
      </c>
      <c r="R680" s="4" t="str">
        <f t="array" ref="R680">IF(L680="","", max(1,SUMIF(I:I,XLOOKUP(U680,Productos!E:E,Productos!G:G,"",0,1),J:J)))</f>
        <v/>
      </c>
      <c r="S680" s="4" t="str">
        <f>IF(Q680="","",IF(SUMIFS(Compat_Vetado!D:D,Compat_Vetado!B:B,SUM(G:G),Compat_Vetado!C:C,Q680)=1,"SI",IF(OR(SUMIF(Cotizador!E:E,Q680,Cotizador!G:G)&gt;0,SUMIFS(Compat_Vetado!D:D,Compat_Vetado!B:B,SUM(G:G),Compat_Vetado!C:C,Q680)=-1),"NO","")))</f>
        <v/>
      </c>
      <c r="T680" s="4" t="str">
        <f t="shared" si="6"/>
        <v/>
      </c>
      <c r="U680" s="4" t="str">
        <f>IFERROR(__xludf.DUMMYFUNCTION("IF(P680="""","""",IFERROR(INDEX(filter(Productos!E:E,Productos!F:F=L680,Productos!H:H=N680),P680),IF(M680=SUM(D:D),""Finalizar"",""-"")))"),"")</f>
        <v/>
      </c>
      <c r="V680" s="4" t="str">
        <f>IFERROR(__xludf.DUMMYFUNCTION("IF(OR($U680="""",COUNTIF($I:$I,IFERROR(unique(filter(Prod_Prop!$H:$H,Prod_Prop!$G:$G=$U680,Prod_Prop!$E:$E=V$1)),""Check""))=0),"""",IFERROR(unique(filter(Prod_Prop!$H:$H,Prod_Prop!$G:$G=$U680,Prod_Prop!$E:$E=V$1)),""""))"),"")</f>
        <v/>
      </c>
      <c r="W680" s="4" t="str">
        <f>IF(V680="","",SUMIFS(Prod_Prop!$J:$J,Prod_Prop!$B:$B,$Q680,Prod_Prop!$H:$H,V680,Prod_Prop!$I:$I,W$1)*IF(V680="Peso",$R680,1))</f>
        <v/>
      </c>
      <c r="X680" s="4" t="str">
        <f>IF(V680="","",SUMIFS(Prod_Prop!$J:$J,Prod_Prop!$B:$B,$Q680,Prod_Prop!$H:$H,V680,Prod_Prop!$I:$I,X$1)*IF(V680="Peso",$R680,1))</f>
        <v/>
      </c>
      <c r="Y680" s="4" t="str">
        <f>IFERROR(__xludf.DUMMYFUNCTION("IF(OR($U680="""",COUNTIF($I:$I,IFERROR(unique(filter(Prod_Prop!$H:$H,Prod_Prop!$G:$G=$U680,Prod_Prop!$E:$E=Y$1)),""Check""))=0),"""",IFERROR(unique(filter(Prod_Prop!$H:$H,Prod_Prop!$G:$G=$U680,Prod_Prop!$E:$E=Y$1)),""""))"),"")</f>
        <v/>
      </c>
      <c r="Z680" s="4" t="str">
        <f>IF(Y680="","",SUMIFS(Prod_Prop!$J:$J,Prod_Prop!$B:$B,$Q680,Prod_Prop!$H:$H,Y680,Prod_Prop!$I:$I,Z$1)*IF(Y680="Peso",$R680,1))</f>
        <v/>
      </c>
      <c r="AA680" s="4" t="str">
        <f>IF(Y680="","",SUMIFS(Prod_Prop!$J:$J,Prod_Prop!$B:$B,$Q680,Prod_Prop!$H:$H,Y680,Prod_Prop!$I:$I,AA$1)*IF(Y680="Peso",$R680,1))</f>
        <v/>
      </c>
      <c r="AB680" s="4" t="str">
        <f>IFERROR(__xludf.DUMMYFUNCTION("IF(OR($U680="""",COUNTIF($I:$I,IFERROR(unique(filter(Prod_Prop!$H:$H,Prod_Prop!$G:$G=$U680,Prod_Prop!$E:$E=AB$1)),""Check""))=0),"""",IFERROR(unique(filter(Prod_Prop!$H:$H,Prod_Prop!$G:$G=$U680,Prod_Prop!$E:$E=AB$1)),""""))"),"")</f>
        <v/>
      </c>
      <c r="AC680" s="4" t="str">
        <f>IF(AB680="","",SUMIFS(Prod_Prop!$J:$J,Prod_Prop!$B:$B,$Q680,Prod_Prop!$H:$H,AB680,Prod_Prop!$I:$I,AC$1)*IF(AB680="Peso",$R680,1))</f>
        <v/>
      </c>
      <c r="AD680" s="4" t="str">
        <f>IF(AB680="","",SUMIFS(Prod_Prop!$J:$J,Prod_Prop!$B:$B,$Q680,Prod_Prop!$H:$H,AB680,Prod_Prop!$I:$I,AD$1)*IF(AB680="Peso",$R680,1))</f>
        <v/>
      </c>
    </row>
    <row r="681">
      <c r="A681" s="4" t="str">
        <f t="array" ref="A681">IF(COUNTIF(A$1:A680,Cotizador!F$2)=maxifs(Familias!E:E,Familias!D:D,Cotizador!F$2),IF(COUNTIF(A$1:A680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1" s="4" t="str">
        <f t="shared" si="1"/>
        <v/>
      </c>
      <c r="C681" s="4" t="str">
        <f t="array" ref="C681">IF(B681="","",IF(A681=XLOOKUP(A$2,Implementos!B:B,Implementos!C:C,"",0,1),B681+maxifs(B$1:B680,A$1:A680,A$2),B681))</f>
        <v/>
      </c>
      <c r="D681" s="4" t="str">
        <f>IF(B681="","", COUNTIFS(Productos!F:F,A681,Productos!H:H,B681)+IF(F681="SI",0,1))</f>
        <v/>
      </c>
      <c r="E681" s="4" t="str">
        <f>IFERROR(__xludf.DUMMYFUNCTION("IF($B681="""","""",INDEX(filter(Familias!F:F,Familias!$D:$D=$A681,Familias!$E:$E=$B681),1))"),"")</f>
        <v/>
      </c>
      <c r="F681" s="4" t="str">
        <f>IFERROR(__xludf.DUMMYFUNCTION("IF($B681="""","""",INDEX(filter(Familias!G:G,Familias!$D:$D=$A681,Familias!$E:$E=$B681),1))"),"")</f>
        <v/>
      </c>
      <c r="G681" s="4" t="str">
        <f t="array" ref="G681">IF(C681=1,XLOOKUP(C681,Cotizador!D:D,Cotizador!E:E,"",0,1),"")</f>
        <v/>
      </c>
      <c r="I681" s="4"/>
      <c r="J681" s="8" t="str">
        <f>IF(I681="","",SUMIF(Cotizador!I$1:V$1,I681,Cotizador!I$2:V$2))</f>
        <v/>
      </c>
      <c r="L681" s="4" t="str">
        <f t="array" ref="L681">IF(COUNTIF(L$1:L680,A$2)=SUMIF(A:A,A$2,D:D),IF(COUNTIF(L$1:L680,XLOOKUP(A$2,Implementos!B:B,Implementos!C:C,"",0,1))=SUMIF(A:A,XLOOKUP(A$2,Implementos!B:B,Implementos!C:C,"",0,1),D:D),"",XLOOKUP(A$2,Implementos!B:B,Implementos!C:C,"",0,1)),A$2)</f>
        <v/>
      </c>
      <c r="M681" s="4" t="str">
        <f t="shared" si="2"/>
        <v/>
      </c>
      <c r="N681" s="4" t="str">
        <f t="shared" si="3"/>
        <v/>
      </c>
      <c r="O681" s="4" t="str">
        <f t="shared" si="4"/>
        <v/>
      </c>
      <c r="P681" s="4" t="str">
        <f t="shared" si="5"/>
        <v/>
      </c>
      <c r="Q681" s="4" t="str">
        <f>IF(U681="","",SUMIF(Productos!E:E,U681,Productos!A:A))</f>
        <v/>
      </c>
      <c r="R681" s="4" t="str">
        <f t="array" ref="R681">IF(L681="","", max(1,SUMIF(I:I,XLOOKUP(U681,Productos!E:E,Productos!G:G,"",0,1),J:J)))</f>
        <v/>
      </c>
      <c r="S681" s="4" t="str">
        <f>IF(Q681="","",IF(SUMIFS(Compat_Vetado!D:D,Compat_Vetado!B:B,SUM(G:G),Compat_Vetado!C:C,Q681)=1,"SI",IF(OR(SUMIF(Cotizador!E:E,Q681,Cotizador!G:G)&gt;0,SUMIFS(Compat_Vetado!D:D,Compat_Vetado!B:B,SUM(G:G),Compat_Vetado!C:C,Q681)=-1),"NO","")))</f>
        <v/>
      </c>
      <c r="T681" s="4" t="str">
        <f t="shared" si="6"/>
        <v/>
      </c>
      <c r="U681" s="4" t="str">
        <f>IFERROR(__xludf.DUMMYFUNCTION("IF(P681="""","""",IFERROR(INDEX(filter(Productos!E:E,Productos!F:F=L681,Productos!H:H=N681),P681),IF(M681=SUM(D:D),""Finalizar"",""-"")))"),"")</f>
        <v/>
      </c>
      <c r="V681" s="4" t="str">
        <f>IFERROR(__xludf.DUMMYFUNCTION("IF(OR($U681="""",COUNTIF($I:$I,IFERROR(unique(filter(Prod_Prop!$H:$H,Prod_Prop!$G:$G=$U681,Prod_Prop!$E:$E=V$1)),""Check""))=0),"""",IFERROR(unique(filter(Prod_Prop!$H:$H,Prod_Prop!$G:$G=$U681,Prod_Prop!$E:$E=V$1)),""""))"),"")</f>
        <v/>
      </c>
      <c r="W681" s="4" t="str">
        <f>IF(V681="","",SUMIFS(Prod_Prop!$J:$J,Prod_Prop!$B:$B,$Q681,Prod_Prop!$H:$H,V681,Prod_Prop!$I:$I,W$1)*IF(V681="Peso",$R681,1))</f>
        <v/>
      </c>
      <c r="X681" s="4" t="str">
        <f>IF(V681="","",SUMIFS(Prod_Prop!$J:$J,Prod_Prop!$B:$B,$Q681,Prod_Prop!$H:$H,V681,Prod_Prop!$I:$I,X$1)*IF(V681="Peso",$R681,1))</f>
        <v/>
      </c>
      <c r="Y681" s="4" t="str">
        <f>IFERROR(__xludf.DUMMYFUNCTION("IF(OR($U681="""",COUNTIF($I:$I,IFERROR(unique(filter(Prod_Prop!$H:$H,Prod_Prop!$G:$G=$U681,Prod_Prop!$E:$E=Y$1)),""Check""))=0),"""",IFERROR(unique(filter(Prod_Prop!$H:$H,Prod_Prop!$G:$G=$U681,Prod_Prop!$E:$E=Y$1)),""""))"),"")</f>
        <v/>
      </c>
      <c r="Z681" s="4" t="str">
        <f>IF(Y681="","",SUMIFS(Prod_Prop!$J:$J,Prod_Prop!$B:$B,$Q681,Prod_Prop!$H:$H,Y681,Prod_Prop!$I:$I,Z$1)*IF(Y681="Peso",$R681,1))</f>
        <v/>
      </c>
      <c r="AA681" s="4" t="str">
        <f>IF(Y681="","",SUMIFS(Prod_Prop!$J:$J,Prod_Prop!$B:$B,$Q681,Prod_Prop!$H:$H,Y681,Prod_Prop!$I:$I,AA$1)*IF(Y681="Peso",$R681,1))</f>
        <v/>
      </c>
      <c r="AB681" s="4" t="str">
        <f>IFERROR(__xludf.DUMMYFUNCTION("IF(OR($U681="""",COUNTIF($I:$I,IFERROR(unique(filter(Prod_Prop!$H:$H,Prod_Prop!$G:$G=$U681,Prod_Prop!$E:$E=AB$1)),""Check""))=0),"""",IFERROR(unique(filter(Prod_Prop!$H:$H,Prod_Prop!$G:$G=$U681,Prod_Prop!$E:$E=AB$1)),""""))"),"")</f>
        <v/>
      </c>
      <c r="AC681" s="4" t="str">
        <f>IF(AB681="","",SUMIFS(Prod_Prop!$J:$J,Prod_Prop!$B:$B,$Q681,Prod_Prop!$H:$H,AB681,Prod_Prop!$I:$I,AC$1)*IF(AB681="Peso",$R681,1))</f>
        <v/>
      </c>
      <c r="AD681" s="4" t="str">
        <f>IF(AB681="","",SUMIFS(Prod_Prop!$J:$J,Prod_Prop!$B:$B,$Q681,Prod_Prop!$H:$H,AB681,Prod_Prop!$I:$I,AD$1)*IF(AB681="Peso",$R681,1))</f>
        <v/>
      </c>
    </row>
    <row r="682">
      <c r="A682" s="4" t="str">
        <f t="array" ref="A682">IF(COUNTIF(A$1:A681,Cotizador!F$2)=maxifs(Familias!E:E,Familias!D:D,Cotizador!F$2),IF(COUNTIF(A$1:A681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2" s="4" t="str">
        <f t="shared" si="1"/>
        <v/>
      </c>
      <c r="C682" s="4" t="str">
        <f t="array" ref="C682">IF(B682="","",IF(A682=XLOOKUP(A$2,Implementos!B:B,Implementos!C:C,"",0,1),B682+maxifs(B$1:B681,A$1:A681,A$2),B682))</f>
        <v/>
      </c>
      <c r="D682" s="4" t="str">
        <f>IF(B682="","", COUNTIFS(Productos!F:F,A682,Productos!H:H,B682)+IF(F682="SI",0,1))</f>
        <v/>
      </c>
      <c r="E682" s="4" t="str">
        <f>IFERROR(__xludf.DUMMYFUNCTION("IF($B682="""","""",INDEX(filter(Familias!F:F,Familias!$D:$D=$A682,Familias!$E:$E=$B682),1))"),"")</f>
        <v/>
      </c>
      <c r="F682" s="4" t="str">
        <f>IFERROR(__xludf.DUMMYFUNCTION("IF($B682="""","""",INDEX(filter(Familias!G:G,Familias!$D:$D=$A682,Familias!$E:$E=$B682),1))"),"")</f>
        <v/>
      </c>
      <c r="G682" s="4" t="str">
        <f t="array" ref="G682">IF(C682=1,XLOOKUP(C682,Cotizador!D:D,Cotizador!E:E,"",0,1),"")</f>
        <v/>
      </c>
      <c r="I682" s="4"/>
      <c r="J682" s="8" t="str">
        <f>IF(I682="","",SUMIF(Cotizador!I$1:V$1,I682,Cotizador!I$2:V$2))</f>
        <v/>
      </c>
      <c r="L682" s="4" t="str">
        <f t="array" ref="L682">IF(COUNTIF(L$1:L681,A$2)=SUMIF(A:A,A$2,D:D),IF(COUNTIF(L$1:L681,XLOOKUP(A$2,Implementos!B:B,Implementos!C:C,"",0,1))=SUMIF(A:A,XLOOKUP(A$2,Implementos!B:B,Implementos!C:C,"",0,1),D:D),"",XLOOKUP(A$2,Implementos!B:B,Implementos!C:C,"",0,1)),A$2)</f>
        <v/>
      </c>
      <c r="M682" s="4" t="str">
        <f t="shared" si="2"/>
        <v/>
      </c>
      <c r="N682" s="4" t="str">
        <f t="shared" si="3"/>
        <v/>
      </c>
      <c r="O682" s="4" t="str">
        <f t="shared" si="4"/>
        <v/>
      </c>
      <c r="P682" s="4" t="str">
        <f t="shared" si="5"/>
        <v/>
      </c>
      <c r="Q682" s="4" t="str">
        <f>IF(U682="","",SUMIF(Productos!E:E,U682,Productos!A:A))</f>
        <v/>
      </c>
      <c r="R682" s="4" t="str">
        <f t="array" ref="R682">IF(L682="","", max(1,SUMIF(I:I,XLOOKUP(U682,Productos!E:E,Productos!G:G,"",0,1),J:J)))</f>
        <v/>
      </c>
      <c r="S682" s="4" t="str">
        <f>IF(Q682="","",IF(SUMIFS(Compat_Vetado!D:D,Compat_Vetado!B:B,SUM(G:G),Compat_Vetado!C:C,Q682)=1,"SI",IF(OR(SUMIF(Cotizador!E:E,Q682,Cotizador!G:G)&gt;0,SUMIFS(Compat_Vetado!D:D,Compat_Vetado!B:B,SUM(G:G),Compat_Vetado!C:C,Q682)=-1),"NO","")))</f>
        <v/>
      </c>
      <c r="T682" s="4" t="str">
        <f t="shared" si="6"/>
        <v/>
      </c>
      <c r="U682" s="4" t="str">
        <f>IFERROR(__xludf.DUMMYFUNCTION("IF(P682="""","""",IFERROR(INDEX(filter(Productos!E:E,Productos!F:F=L682,Productos!H:H=N682),P682),IF(M682=SUM(D:D),""Finalizar"",""-"")))"),"")</f>
        <v/>
      </c>
      <c r="V682" s="4" t="str">
        <f>IFERROR(__xludf.DUMMYFUNCTION("IF(OR($U682="""",COUNTIF($I:$I,IFERROR(unique(filter(Prod_Prop!$H:$H,Prod_Prop!$G:$G=$U682,Prod_Prop!$E:$E=V$1)),""Check""))=0),"""",IFERROR(unique(filter(Prod_Prop!$H:$H,Prod_Prop!$G:$G=$U682,Prod_Prop!$E:$E=V$1)),""""))"),"")</f>
        <v/>
      </c>
      <c r="W682" s="4" t="str">
        <f>IF(V682="","",SUMIFS(Prod_Prop!$J:$J,Prod_Prop!$B:$B,$Q682,Prod_Prop!$H:$H,V682,Prod_Prop!$I:$I,W$1)*IF(V682="Peso",$R682,1))</f>
        <v/>
      </c>
      <c r="X682" s="4" t="str">
        <f>IF(V682="","",SUMIFS(Prod_Prop!$J:$J,Prod_Prop!$B:$B,$Q682,Prod_Prop!$H:$H,V682,Prod_Prop!$I:$I,X$1)*IF(V682="Peso",$R682,1))</f>
        <v/>
      </c>
      <c r="Y682" s="4" t="str">
        <f>IFERROR(__xludf.DUMMYFUNCTION("IF(OR($U682="""",COUNTIF($I:$I,IFERROR(unique(filter(Prod_Prop!$H:$H,Prod_Prop!$G:$G=$U682,Prod_Prop!$E:$E=Y$1)),""Check""))=0),"""",IFERROR(unique(filter(Prod_Prop!$H:$H,Prod_Prop!$G:$G=$U682,Prod_Prop!$E:$E=Y$1)),""""))"),"")</f>
        <v/>
      </c>
      <c r="Z682" s="4" t="str">
        <f>IF(Y682="","",SUMIFS(Prod_Prop!$J:$J,Prod_Prop!$B:$B,$Q682,Prod_Prop!$H:$H,Y682,Prod_Prop!$I:$I,Z$1)*IF(Y682="Peso",$R682,1))</f>
        <v/>
      </c>
      <c r="AA682" s="4" t="str">
        <f>IF(Y682="","",SUMIFS(Prod_Prop!$J:$J,Prod_Prop!$B:$B,$Q682,Prod_Prop!$H:$H,Y682,Prod_Prop!$I:$I,AA$1)*IF(Y682="Peso",$R682,1))</f>
        <v/>
      </c>
      <c r="AB682" s="4" t="str">
        <f>IFERROR(__xludf.DUMMYFUNCTION("IF(OR($U682="""",COUNTIF($I:$I,IFERROR(unique(filter(Prod_Prop!$H:$H,Prod_Prop!$G:$G=$U682,Prod_Prop!$E:$E=AB$1)),""Check""))=0),"""",IFERROR(unique(filter(Prod_Prop!$H:$H,Prod_Prop!$G:$G=$U682,Prod_Prop!$E:$E=AB$1)),""""))"),"")</f>
        <v/>
      </c>
      <c r="AC682" s="4" t="str">
        <f>IF(AB682="","",SUMIFS(Prod_Prop!$J:$J,Prod_Prop!$B:$B,$Q682,Prod_Prop!$H:$H,AB682,Prod_Prop!$I:$I,AC$1)*IF(AB682="Peso",$R682,1))</f>
        <v/>
      </c>
      <c r="AD682" s="4" t="str">
        <f>IF(AB682="","",SUMIFS(Prod_Prop!$J:$J,Prod_Prop!$B:$B,$Q682,Prod_Prop!$H:$H,AB682,Prod_Prop!$I:$I,AD$1)*IF(AB682="Peso",$R682,1))</f>
        <v/>
      </c>
    </row>
    <row r="683">
      <c r="A683" s="4" t="str">
        <f t="array" ref="A683">IF(COUNTIF(A$1:A682,Cotizador!F$2)=maxifs(Familias!E:E,Familias!D:D,Cotizador!F$2),IF(COUNTIF(A$1:A682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3" s="4" t="str">
        <f t="shared" si="1"/>
        <v/>
      </c>
      <c r="C683" s="4" t="str">
        <f t="array" ref="C683">IF(B683="","",IF(A683=XLOOKUP(A$2,Implementos!B:B,Implementos!C:C,"",0,1),B683+maxifs(B$1:B682,A$1:A682,A$2),B683))</f>
        <v/>
      </c>
      <c r="D683" s="4" t="str">
        <f>IF(B683="","", COUNTIFS(Productos!F:F,A683,Productos!H:H,B683)+IF(F683="SI",0,1))</f>
        <v/>
      </c>
      <c r="E683" s="4" t="str">
        <f>IFERROR(__xludf.DUMMYFUNCTION("IF($B683="""","""",INDEX(filter(Familias!F:F,Familias!$D:$D=$A683,Familias!$E:$E=$B683),1))"),"")</f>
        <v/>
      </c>
      <c r="F683" s="4" t="str">
        <f>IFERROR(__xludf.DUMMYFUNCTION("IF($B683="""","""",INDEX(filter(Familias!G:G,Familias!$D:$D=$A683,Familias!$E:$E=$B683),1))"),"")</f>
        <v/>
      </c>
      <c r="G683" s="4" t="str">
        <f t="array" ref="G683">IF(C683=1,XLOOKUP(C683,Cotizador!D:D,Cotizador!E:E,"",0,1),"")</f>
        <v/>
      </c>
      <c r="I683" s="4"/>
      <c r="J683" s="8" t="str">
        <f>IF(I683="","",SUMIF(Cotizador!I$1:V$1,I683,Cotizador!I$2:V$2))</f>
        <v/>
      </c>
      <c r="L683" s="4" t="str">
        <f t="array" ref="L683">IF(COUNTIF(L$1:L682,A$2)=SUMIF(A:A,A$2,D:D),IF(COUNTIF(L$1:L682,XLOOKUP(A$2,Implementos!B:B,Implementos!C:C,"",0,1))=SUMIF(A:A,XLOOKUP(A$2,Implementos!B:B,Implementos!C:C,"",0,1),D:D),"",XLOOKUP(A$2,Implementos!B:B,Implementos!C:C,"",0,1)),A$2)</f>
        <v/>
      </c>
      <c r="M683" s="4" t="str">
        <f t="shared" si="2"/>
        <v/>
      </c>
      <c r="N683" s="4" t="str">
        <f t="shared" si="3"/>
        <v/>
      </c>
      <c r="O683" s="4" t="str">
        <f t="shared" si="4"/>
        <v/>
      </c>
      <c r="P683" s="4" t="str">
        <f t="shared" si="5"/>
        <v/>
      </c>
      <c r="Q683" s="4" t="str">
        <f>IF(U683="","",SUMIF(Productos!E:E,U683,Productos!A:A))</f>
        <v/>
      </c>
      <c r="R683" s="4" t="str">
        <f t="array" ref="R683">IF(L683="","", max(1,SUMIF(I:I,XLOOKUP(U683,Productos!E:E,Productos!G:G,"",0,1),J:J)))</f>
        <v/>
      </c>
      <c r="S683" s="4" t="str">
        <f>IF(Q683="","",IF(SUMIFS(Compat_Vetado!D:D,Compat_Vetado!B:B,SUM(G:G),Compat_Vetado!C:C,Q683)=1,"SI",IF(OR(SUMIF(Cotizador!E:E,Q683,Cotizador!G:G)&gt;0,SUMIFS(Compat_Vetado!D:D,Compat_Vetado!B:B,SUM(G:G),Compat_Vetado!C:C,Q683)=-1),"NO","")))</f>
        <v/>
      </c>
      <c r="T683" s="4" t="str">
        <f t="shared" si="6"/>
        <v/>
      </c>
      <c r="U683" s="4" t="str">
        <f>IFERROR(__xludf.DUMMYFUNCTION("IF(P683="""","""",IFERROR(INDEX(filter(Productos!E:E,Productos!F:F=L683,Productos!H:H=N683),P683),IF(M683=SUM(D:D),""Finalizar"",""-"")))"),"")</f>
        <v/>
      </c>
      <c r="V683" s="4" t="str">
        <f>IFERROR(__xludf.DUMMYFUNCTION("IF(OR($U683="""",COUNTIF($I:$I,IFERROR(unique(filter(Prod_Prop!$H:$H,Prod_Prop!$G:$G=$U683,Prod_Prop!$E:$E=V$1)),""Check""))=0),"""",IFERROR(unique(filter(Prod_Prop!$H:$H,Prod_Prop!$G:$G=$U683,Prod_Prop!$E:$E=V$1)),""""))"),"")</f>
        <v/>
      </c>
      <c r="W683" s="4" t="str">
        <f>IF(V683="","",SUMIFS(Prod_Prop!$J:$J,Prod_Prop!$B:$B,$Q683,Prod_Prop!$H:$H,V683,Prod_Prop!$I:$I,W$1)*IF(V683="Peso",$R683,1))</f>
        <v/>
      </c>
      <c r="X683" s="4" t="str">
        <f>IF(V683="","",SUMIFS(Prod_Prop!$J:$J,Prod_Prop!$B:$B,$Q683,Prod_Prop!$H:$H,V683,Prod_Prop!$I:$I,X$1)*IF(V683="Peso",$R683,1))</f>
        <v/>
      </c>
      <c r="Y683" s="4" t="str">
        <f>IFERROR(__xludf.DUMMYFUNCTION("IF(OR($U683="""",COUNTIF($I:$I,IFERROR(unique(filter(Prod_Prop!$H:$H,Prod_Prop!$G:$G=$U683,Prod_Prop!$E:$E=Y$1)),""Check""))=0),"""",IFERROR(unique(filter(Prod_Prop!$H:$H,Prod_Prop!$G:$G=$U683,Prod_Prop!$E:$E=Y$1)),""""))"),"")</f>
        <v/>
      </c>
      <c r="Z683" s="4" t="str">
        <f>IF(Y683="","",SUMIFS(Prod_Prop!$J:$J,Prod_Prop!$B:$B,$Q683,Prod_Prop!$H:$H,Y683,Prod_Prop!$I:$I,Z$1)*IF(Y683="Peso",$R683,1))</f>
        <v/>
      </c>
      <c r="AA683" s="4" t="str">
        <f>IF(Y683="","",SUMIFS(Prod_Prop!$J:$J,Prod_Prop!$B:$B,$Q683,Prod_Prop!$H:$H,Y683,Prod_Prop!$I:$I,AA$1)*IF(Y683="Peso",$R683,1))</f>
        <v/>
      </c>
      <c r="AB683" s="4" t="str">
        <f>IFERROR(__xludf.DUMMYFUNCTION("IF(OR($U683="""",COUNTIF($I:$I,IFERROR(unique(filter(Prod_Prop!$H:$H,Prod_Prop!$G:$G=$U683,Prod_Prop!$E:$E=AB$1)),""Check""))=0),"""",IFERROR(unique(filter(Prod_Prop!$H:$H,Prod_Prop!$G:$G=$U683,Prod_Prop!$E:$E=AB$1)),""""))"),"")</f>
        <v/>
      </c>
      <c r="AC683" s="4" t="str">
        <f>IF(AB683="","",SUMIFS(Prod_Prop!$J:$J,Prod_Prop!$B:$B,$Q683,Prod_Prop!$H:$H,AB683,Prod_Prop!$I:$I,AC$1)*IF(AB683="Peso",$R683,1))</f>
        <v/>
      </c>
      <c r="AD683" s="4" t="str">
        <f>IF(AB683="","",SUMIFS(Prod_Prop!$J:$J,Prod_Prop!$B:$B,$Q683,Prod_Prop!$H:$H,AB683,Prod_Prop!$I:$I,AD$1)*IF(AB683="Peso",$R683,1))</f>
        <v/>
      </c>
    </row>
    <row r="684">
      <c r="A684" s="4" t="str">
        <f t="array" ref="A684">IF(COUNTIF(A$1:A683,Cotizador!F$2)=maxifs(Familias!E:E,Familias!D:D,Cotizador!F$2),IF(COUNTIF(A$1:A683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4" s="4" t="str">
        <f t="shared" si="1"/>
        <v/>
      </c>
      <c r="C684" s="4" t="str">
        <f t="array" ref="C684">IF(B684="","",IF(A684=XLOOKUP(A$2,Implementos!B:B,Implementos!C:C,"",0,1),B684+maxifs(B$1:B683,A$1:A683,A$2),B684))</f>
        <v/>
      </c>
      <c r="D684" s="4" t="str">
        <f>IF(B684="","", COUNTIFS(Productos!F:F,A684,Productos!H:H,B684)+IF(F684="SI",0,1))</f>
        <v/>
      </c>
      <c r="E684" s="4" t="str">
        <f>IFERROR(__xludf.DUMMYFUNCTION("IF($B684="""","""",INDEX(filter(Familias!F:F,Familias!$D:$D=$A684,Familias!$E:$E=$B684),1))"),"")</f>
        <v/>
      </c>
      <c r="F684" s="4" t="str">
        <f>IFERROR(__xludf.DUMMYFUNCTION("IF($B684="""","""",INDEX(filter(Familias!G:G,Familias!$D:$D=$A684,Familias!$E:$E=$B684),1))"),"")</f>
        <v/>
      </c>
      <c r="G684" s="4" t="str">
        <f t="array" ref="G684">IF(C684=1,XLOOKUP(C684,Cotizador!D:D,Cotizador!E:E,"",0,1),"")</f>
        <v/>
      </c>
      <c r="I684" s="4"/>
      <c r="J684" s="8" t="str">
        <f>IF(I684="","",SUMIF(Cotizador!I$1:V$1,I684,Cotizador!I$2:V$2))</f>
        <v/>
      </c>
      <c r="L684" s="4" t="str">
        <f t="array" ref="L684">IF(COUNTIF(L$1:L683,A$2)=SUMIF(A:A,A$2,D:D),IF(COUNTIF(L$1:L683,XLOOKUP(A$2,Implementos!B:B,Implementos!C:C,"",0,1))=SUMIF(A:A,XLOOKUP(A$2,Implementos!B:B,Implementos!C:C,"",0,1),D:D),"",XLOOKUP(A$2,Implementos!B:B,Implementos!C:C,"",0,1)),A$2)</f>
        <v/>
      </c>
      <c r="M684" s="4" t="str">
        <f t="shared" si="2"/>
        <v/>
      </c>
      <c r="N684" s="4" t="str">
        <f t="shared" si="3"/>
        <v/>
      </c>
      <c r="O684" s="4" t="str">
        <f t="shared" si="4"/>
        <v/>
      </c>
      <c r="P684" s="4" t="str">
        <f t="shared" si="5"/>
        <v/>
      </c>
      <c r="Q684" s="4" t="str">
        <f>IF(U684="","",SUMIF(Productos!E:E,U684,Productos!A:A))</f>
        <v/>
      </c>
      <c r="R684" s="4" t="str">
        <f t="array" ref="R684">IF(L684="","", max(1,SUMIF(I:I,XLOOKUP(U684,Productos!E:E,Productos!G:G,"",0,1),J:J)))</f>
        <v/>
      </c>
      <c r="S684" s="4" t="str">
        <f>IF(Q684="","",IF(SUMIFS(Compat_Vetado!D:D,Compat_Vetado!B:B,SUM(G:G),Compat_Vetado!C:C,Q684)=1,"SI",IF(OR(SUMIF(Cotizador!E:E,Q684,Cotizador!G:G)&gt;0,SUMIFS(Compat_Vetado!D:D,Compat_Vetado!B:B,SUM(G:G),Compat_Vetado!C:C,Q684)=-1),"NO","")))</f>
        <v/>
      </c>
      <c r="T684" s="4" t="str">
        <f t="shared" si="6"/>
        <v/>
      </c>
      <c r="U684" s="4" t="str">
        <f>IFERROR(__xludf.DUMMYFUNCTION("IF(P684="""","""",IFERROR(INDEX(filter(Productos!E:E,Productos!F:F=L684,Productos!H:H=N684),P684),IF(M684=SUM(D:D),""Finalizar"",""-"")))"),"")</f>
        <v/>
      </c>
      <c r="V684" s="4" t="str">
        <f>IFERROR(__xludf.DUMMYFUNCTION("IF(OR($U684="""",COUNTIF($I:$I,IFERROR(unique(filter(Prod_Prop!$H:$H,Prod_Prop!$G:$G=$U684,Prod_Prop!$E:$E=V$1)),""Check""))=0),"""",IFERROR(unique(filter(Prod_Prop!$H:$H,Prod_Prop!$G:$G=$U684,Prod_Prop!$E:$E=V$1)),""""))"),"")</f>
        <v/>
      </c>
      <c r="W684" s="4" t="str">
        <f>IF(V684="","",SUMIFS(Prod_Prop!$J:$J,Prod_Prop!$B:$B,$Q684,Prod_Prop!$H:$H,V684,Prod_Prop!$I:$I,W$1)*IF(V684="Peso",$R684,1))</f>
        <v/>
      </c>
      <c r="X684" s="4" t="str">
        <f>IF(V684="","",SUMIFS(Prod_Prop!$J:$J,Prod_Prop!$B:$B,$Q684,Prod_Prop!$H:$H,V684,Prod_Prop!$I:$I,X$1)*IF(V684="Peso",$R684,1))</f>
        <v/>
      </c>
      <c r="Y684" s="4" t="str">
        <f>IFERROR(__xludf.DUMMYFUNCTION("IF(OR($U684="""",COUNTIF($I:$I,IFERROR(unique(filter(Prod_Prop!$H:$H,Prod_Prop!$G:$G=$U684,Prod_Prop!$E:$E=Y$1)),""Check""))=0),"""",IFERROR(unique(filter(Prod_Prop!$H:$H,Prod_Prop!$G:$G=$U684,Prod_Prop!$E:$E=Y$1)),""""))"),"")</f>
        <v/>
      </c>
      <c r="Z684" s="4" t="str">
        <f>IF(Y684="","",SUMIFS(Prod_Prop!$J:$J,Prod_Prop!$B:$B,$Q684,Prod_Prop!$H:$H,Y684,Prod_Prop!$I:$I,Z$1)*IF(Y684="Peso",$R684,1))</f>
        <v/>
      </c>
      <c r="AA684" s="4" t="str">
        <f>IF(Y684="","",SUMIFS(Prod_Prop!$J:$J,Prod_Prop!$B:$B,$Q684,Prod_Prop!$H:$H,Y684,Prod_Prop!$I:$I,AA$1)*IF(Y684="Peso",$R684,1))</f>
        <v/>
      </c>
      <c r="AB684" s="4" t="str">
        <f>IFERROR(__xludf.DUMMYFUNCTION("IF(OR($U684="""",COUNTIF($I:$I,IFERROR(unique(filter(Prod_Prop!$H:$H,Prod_Prop!$G:$G=$U684,Prod_Prop!$E:$E=AB$1)),""Check""))=0),"""",IFERROR(unique(filter(Prod_Prop!$H:$H,Prod_Prop!$G:$G=$U684,Prod_Prop!$E:$E=AB$1)),""""))"),"")</f>
        <v/>
      </c>
      <c r="AC684" s="4" t="str">
        <f>IF(AB684="","",SUMIFS(Prod_Prop!$J:$J,Prod_Prop!$B:$B,$Q684,Prod_Prop!$H:$H,AB684,Prod_Prop!$I:$I,AC$1)*IF(AB684="Peso",$R684,1))</f>
        <v/>
      </c>
      <c r="AD684" s="4" t="str">
        <f>IF(AB684="","",SUMIFS(Prod_Prop!$J:$J,Prod_Prop!$B:$B,$Q684,Prod_Prop!$H:$H,AB684,Prod_Prop!$I:$I,AD$1)*IF(AB684="Peso",$R684,1))</f>
        <v/>
      </c>
    </row>
    <row r="685">
      <c r="A685" s="4" t="str">
        <f t="array" ref="A685">IF(COUNTIF(A$1:A684,Cotizador!F$2)=maxifs(Familias!E:E,Familias!D:D,Cotizador!F$2),IF(COUNTIF(A$1:A684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5" s="4" t="str">
        <f t="shared" si="1"/>
        <v/>
      </c>
      <c r="C685" s="4" t="str">
        <f t="array" ref="C685">IF(B685="","",IF(A685=XLOOKUP(A$2,Implementos!B:B,Implementos!C:C,"",0,1),B685+maxifs(B$1:B684,A$1:A684,A$2),B685))</f>
        <v/>
      </c>
      <c r="D685" s="4" t="str">
        <f>IF(B685="","", COUNTIFS(Productos!F:F,A685,Productos!H:H,B685)+IF(F685="SI",0,1))</f>
        <v/>
      </c>
      <c r="E685" s="4" t="str">
        <f>IFERROR(__xludf.DUMMYFUNCTION("IF($B685="""","""",INDEX(filter(Familias!F:F,Familias!$D:$D=$A685,Familias!$E:$E=$B685),1))"),"")</f>
        <v/>
      </c>
      <c r="F685" s="4" t="str">
        <f>IFERROR(__xludf.DUMMYFUNCTION("IF($B685="""","""",INDEX(filter(Familias!G:G,Familias!$D:$D=$A685,Familias!$E:$E=$B685),1))"),"")</f>
        <v/>
      </c>
      <c r="G685" s="4" t="str">
        <f t="array" ref="G685">IF(C685=1,XLOOKUP(C685,Cotizador!D:D,Cotizador!E:E,"",0,1),"")</f>
        <v/>
      </c>
      <c r="I685" s="4"/>
      <c r="J685" s="8" t="str">
        <f>IF(I685="","",SUMIF(Cotizador!I$1:V$1,I685,Cotizador!I$2:V$2))</f>
        <v/>
      </c>
      <c r="L685" s="4" t="str">
        <f t="array" ref="L685">IF(COUNTIF(L$1:L684,A$2)=SUMIF(A:A,A$2,D:D),IF(COUNTIF(L$1:L684,XLOOKUP(A$2,Implementos!B:B,Implementos!C:C,"",0,1))=SUMIF(A:A,XLOOKUP(A$2,Implementos!B:B,Implementos!C:C,"",0,1),D:D),"",XLOOKUP(A$2,Implementos!B:B,Implementos!C:C,"",0,1)),A$2)</f>
        <v/>
      </c>
      <c r="M685" s="4" t="str">
        <f t="shared" si="2"/>
        <v/>
      </c>
      <c r="N685" s="4" t="str">
        <f t="shared" si="3"/>
        <v/>
      </c>
      <c r="O685" s="4" t="str">
        <f t="shared" si="4"/>
        <v/>
      </c>
      <c r="P685" s="4" t="str">
        <f t="shared" si="5"/>
        <v/>
      </c>
      <c r="Q685" s="4" t="str">
        <f>IF(U685="","",SUMIF(Productos!E:E,U685,Productos!A:A))</f>
        <v/>
      </c>
      <c r="R685" s="4" t="str">
        <f t="array" ref="R685">IF(L685="","", max(1,SUMIF(I:I,XLOOKUP(U685,Productos!E:E,Productos!G:G,"",0,1),J:J)))</f>
        <v/>
      </c>
      <c r="S685" s="4" t="str">
        <f>IF(Q685="","",IF(SUMIFS(Compat_Vetado!D:D,Compat_Vetado!B:B,SUM(G:G),Compat_Vetado!C:C,Q685)=1,"SI",IF(OR(SUMIF(Cotizador!E:E,Q685,Cotizador!G:G)&gt;0,SUMIFS(Compat_Vetado!D:D,Compat_Vetado!B:B,SUM(G:G),Compat_Vetado!C:C,Q685)=-1),"NO","")))</f>
        <v/>
      </c>
      <c r="T685" s="4" t="str">
        <f t="shared" si="6"/>
        <v/>
      </c>
      <c r="U685" s="4" t="str">
        <f>IFERROR(__xludf.DUMMYFUNCTION("IF(P685="""","""",IFERROR(INDEX(filter(Productos!E:E,Productos!F:F=L685,Productos!H:H=N685),P685),IF(M685=SUM(D:D),""Finalizar"",""-"")))"),"")</f>
        <v/>
      </c>
      <c r="V685" s="4" t="str">
        <f>IFERROR(__xludf.DUMMYFUNCTION("IF(OR($U685="""",COUNTIF($I:$I,IFERROR(unique(filter(Prod_Prop!$H:$H,Prod_Prop!$G:$G=$U685,Prod_Prop!$E:$E=V$1)),""Check""))=0),"""",IFERROR(unique(filter(Prod_Prop!$H:$H,Prod_Prop!$G:$G=$U685,Prod_Prop!$E:$E=V$1)),""""))"),"")</f>
        <v/>
      </c>
      <c r="W685" s="4" t="str">
        <f>IF(V685="","",SUMIFS(Prod_Prop!$J:$J,Prod_Prop!$B:$B,$Q685,Prod_Prop!$H:$H,V685,Prod_Prop!$I:$I,W$1)*IF(V685="Peso",$R685,1))</f>
        <v/>
      </c>
      <c r="X685" s="4" t="str">
        <f>IF(V685="","",SUMIFS(Prod_Prop!$J:$J,Prod_Prop!$B:$B,$Q685,Prod_Prop!$H:$H,V685,Prod_Prop!$I:$I,X$1)*IF(V685="Peso",$R685,1))</f>
        <v/>
      </c>
      <c r="Y685" s="4" t="str">
        <f>IFERROR(__xludf.DUMMYFUNCTION("IF(OR($U685="""",COUNTIF($I:$I,IFERROR(unique(filter(Prod_Prop!$H:$H,Prod_Prop!$G:$G=$U685,Prod_Prop!$E:$E=Y$1)),""Check""))=0),"""",IFERROR(unique(filter(Prod_Prop!$H:$H,Prod_Prop!$G:$G=$U685,Prod_Prop!$E:$E=Y$1)),""""))"),"")</f>
        <v/>
      </c>
      <c r="Z685" s="4" t="str">
        <f>IF(Y685="","",SUMIFS(Prod_Prop!$J:$J,Prod_Prop!$B:$B,$Q685,Prod_Prop!$H:$H,Y685,Prod_Prop!$I:$I,Z$1)*IF(Y685="Peso",$R685,1))</f>
        <v/>
      </c>
      <c r="AA685" s="4" t="str">
        <f>IF(Y685="","",SUMIFS(Prod_Prop!$J:$J,Prod_Prop!$B:$B,$Q685,Prod_Prop!$H:$H,Y685,Prod_Prop!$I:$I,AA$1)*IF(Y685="Peso",$R685,1))</f>
        <v/>
      </c>
      <c r="AB685" s="4" t="str">
        <f>IFERROR(__xludf.DUMMYFUNCTION("IF(OR($U685="""",COUNTIF($I:$I,IFERROR(unique(filter(Prod_Prop!$H:$H,Prod_Prop!$G:$G=$U685,Prod_Prop!$E:$E=AB$1)),""Check""))=0),"""",IFERROR(unique(filter(Prod_Prop!$H:$H,Prod_Prop!$G:$G=$U685,Prod_Prop!$E:$E=AB$1)),""""))"),"")</f>
        <v/>
      </c>
      <c r="AC685" s="4" t="str">
        <f>IF(AB685="","",SUMIFS(Prod_Prop!$J:$J,Prod_Prop!$B:$B,$Q685,Prod_Prop!$H:$H,AB685,Prod_Prop!$I:$I,AC$1)*IF(AB685="Peso",$R685,1))</f>
        <v/>
      </c>
      <c r="AD685" s="4" t="str">
        <f>IF(AB685="","",SUMIFS(Prod_Prop!$J:$J,Prod_Prop!$B:$B,$Q685,Prod_Prop!$H:$H,AB685,Prod_Prop!$I:$I,AD$1)*IF(AB685="Peso",$R685,1))</f>
        <v/>
      </c>
    </row>
    <row r="686">
      <c r="A686" s="4" t="str">
        <f t="array" ref="A686">IF(COUNTIF(A$1:A685,Cotizador!F$2)=maxifs(Familias!E:E,Familias!D:D,Cotizador!F$2),IF(COUNTIF(A$1:A685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6" s="4" t="str">
        <f t="shared" si="1"/>
        <v/>
      </c>
      <c r="C686" s="4" t="str">
        <f t="array" ref="C686">IF(B686="","",IF(A686=XLOOKUP(A$2,Implementos!B:B,Implementos!C:C,"",0,1),B686+maxifs(B$1:B685,A$1:A685,A$2),B686))</f>
        <v/>
      </c>
      <c r="D686" s="4" t="str">
        <f>IF(B686="","", COUNTIFS(Productos!F:F,A686,Productos!H:H,B686)+IF(F686="SI",0,1))</f>
        <v/>
      </c>
      <c r="E686" s="4" t="str">
        <f>IFERROR(__xludf.DUMMYFUNCTION("IF($B686="""","""",INDEX(filter(Familias!F:F,Familias!$D:$D=$A686,Familias!$E:$E=$B686),1))"),"")</f>
        <v/>
      </c>
      <c r="F686" s="4" t="str">
        <f>IFERROR(__xludf.DUMMYFUNCTION("IF($B686="""","""",INDEX(filter(Familias!G:G,Familias!$D:$D=$A686,Familias!$E:$E=$B686),1))"),"")</f>
        <v/>
      </c>
      <c r="G686" s="4" t="str">
        <f t="array" ref="G686">IF(C686=1,XLOOKUP(C686,Cotizador!D:D,Cotizador!E:E,"",0,1),"")</f>
        <v/>
      </c>
      <c r="I686" s="4"/>
      <c r="J686" s="8" t="str">
        <f>IF(I686="","",SUMIF(Cotizador!I$1:V$1,I686,Cotizador!I$2:V$2))</f>
        <v/>
      </c>
      <c r="L686" s="4" t="str">
        <f t="array" ref="L686">IF(COUNTIF(L$1:L685,A$2)=SUMIF(A:A,A$2,D:D),IF(COUNTIF(L$1:L685,XLOOKUP(A$2,Implementos!B:B,Implementos!C:C,"",0,1))=SUMIF(A:A,XLOOKUP(A$2,Implementos!B:B,Implementos!C:C,"",0,1),D:D),"",XLOOKUP(A$2,Implementos!B:B,Implementos!C:C,"",0,1)),A$2)</f>
        <v/>
      </c>
      <c r="M686" s="4" t="str">
        <f t="shared" si="2"/>
        <v/>
      </c>
      <c r="N686" s="4" t="str">
        <f t="shared" si="3"/>
        <v/>
      </c>
      <c r="O686" s="4" t="str">
        <f t="shared" si="4"/>
        <v/>
      </c>
      <c r="P686" s="4" t="str">
        <f t="shared" si="5"/>
        <v/>
      </c>
      <c r="Q686" s="4" t="str">
        <f>IF(U686="","",SUMIF(Productos!E:E,U686,Productos!A:A))</f>
        <v/>
      </c>
      <c r="R686" s="4" t="str">
        <f t="array" ref="R686">IF(L686="","", max(1,SUMIF(I:I,XLOOKUP(U686,Productos!E:E,Productos!G:G,"",0,1),J:J)))</f>
        <v/>
      </c>
      <c r="S686" s="4" t="str">
        <f>IF(Q686="","",IF(SUMIFS(Compat_Vetado!D:D,Compat_Vetado!B:B,SUM(G:G),Compat_Vetado!C:C,Q686)=1,"SI",IF(OR(SUMIF(Cotizador!E:E,Q686,Cotizador!G:G)&gt;0,SUMIFS(Compat_Vetado!D:D,Compat_Vetado!B:B,SUM(G:G),Compat_Vetado!C:C,Q686)=-1),"NO","")))</f>
        <v/>
      </c>
      <c r="T686" s="4" t="str">
        <f t="shared" si="6"/>
        <v/>
      </c>
      <c r="U686" s="4" t="str">
        <f>IFERROR(__xludf.DUMMYFUNCTION("IF(P686="""","""",IFERROR(INDEX(filter(Productos!E:E,Productos!F:F=L686,Productos!H:H=N686),P686),IF(M686=SUM(D:D),""Finalizar"",""-"")))"),"")</f>
        <v/>
      </c>
      <c r="V686" s="4" t="str">
        <f>IFERROR(__xludf.DUMMYFUNCTION("IF(OR($U686="""",COUNTIF($I:$I,IFERROR(unique(filter(Prod_Prop!$H:$H,Prod_Prop!$G:$G=$U686,Prod_Prop!$E:$E=V$1)),""Check""))=0),"""",IFERROR(unique(filter(Prod_Prop!$H:$H,Prod_Prop!$G:$G=$U686,Prod_Prop!$E:$E=V$1)),""""))"),"")</f>
        <v/>
      </c>
      <c r="W686" s="4" t="str">
        <f>IF(V686="","",SUMIFS(Prod_Prop!$J:$J,Prod_Prop!$B:$B,$Q686,Prod_Prop!$H:$H,V686,Prod_Prop!$I:$I,W$1)*IF(V686="Peso",$R686,1))</f>
        <v/>
      </c>
      <c r="X686" s="4" t="str">
        <f>IF(V686="","",SUMIFS(Prod_Prop!$J:$J,Prod_Prop!$B:$B,$Q686,Prod_Prop!$H:$H,V686,Prod_Prop!$I:$I,X$1)*IF(V686="Peso",$R686,1))</f>
        <v/>
      </c>
      <c r="Y686" s="4" t="str">
        <f>IFERROR(__xludf.DUMMYFUNCTION("IF(OR($U686="""",COUNTIF($I:$I,IFERROR(unique(filter(Prod_Prop!$H:$H,Prod_Prop!$G:$G=$U686,Prod_Prop!$E:$E=Y$1)),""Check""))=0),"""",IFERROR(unique(filter(Prod_Prop!$H:$H,Prod_Prop!$G:$G=$U686,Prod_Prop!$E:$E=Y$1)),""""))"),"")</f>
        <v/>
      </c>
      <c r="Z686" s="4" t="str">
        <f>IF(Y686="","",SUMIFS(Prod_Prop!$J:$J,Prod_Prop!$B:$B,$Q686,Prod_Prop!$H:$H,Y686,Prod_Prop!$I:$I,Z$1)*IF(Y686="Peso",$R686,1))</f>
        <v/>
      </c>
      <c r="AA686" s="4" t="str">
        <f>IF(Y686="","",SUMIFS(Prod_Prop!$J:$J,Prod_Prop!$B:$B,$Q686,Prod_Prop!$H:$H,Y686,Prod_Prop!$I:$I,AA$1)*IF(Y686="Peso",$R686,1))</f>
        <v/>
      </c>
      <c r="AB686" s="4" t="str">
        <f>IFERROR(__xludf.DUMMYFUNCTION("IF(OR($U686="""",COUNTIF($I:$I,IFERROR(unique(filter(Prod_Prop!$H:$H,Prod_Prop!$G:$G=$U686,Prod_Prop!$E:$E=AB$1)),""Check""))=0),"""",IFERROR(unique(filter(Prod_Prop!$H:$H,Prod_Prop!$G:$G=$U686,Prod_Prop!$E:$E=AB$1)),""""))"),"")</f>
        <v/>
      </c>
      <c r="AC686" s="4" t="str">
        <f>IF(AB686="","",SUMIFS(Prod_Prop!$J:$J,Prod_Prop!$B:$B,$Q686,Prod_Prop!$H:$H,AB686,Prod_Prop!$I:$I,AC$1)*IF(AB686="Peso",$R686,1))</f>
        <v/>
      </c>
      <c r="AD686" s="4" t="str">
        <f>IF(AB686="","",SUMIFS(Prod_Prop!$J:$J,Prod_Prop!$B:$B,$Q686,Prod_Prop!$H:$H,AB686,Prod_Prop!$I:$I,AD$1)*IF(AB686="Peso",$R686,1))</f>
        <v/>
      </c>
    </row>
    <row r="687">
      <c r="A687" s="4" t="str">
        <f t="array" ref="A687">IF(COUNTIF(A$1:A686,Cotizador!F$2)=maxifs(Familias!E:E,Familias!D:D,Cotizador!F$2),IF(COUNTIF(A$1:A686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7" s="4" t="str">
        <f t="shared" si="1"/>
        <v/>
      </c>
      <c r="C687" s="4" t="str">
        <f t="array" ref="C687">IF(B687="","",IF(A687=XLOOKUP(A$2,Implementos!B:B,Implementos!C:C,"",0,1),B687+maxifs(B$1:B686,A$1:A686,A$2),B687))</f>
        <v/>
      </c>
      <c r="D687" s="4" t="str">
        <f>IF(B687="","", COUNTIFS(Productos!F:F,A687,Productos!H:H,B687)+IF(F687="SI",0,1))</f>
        <v/>
      </c>
      <c r="E687" s="4" t="str">
        <f>IFERROR(__xludf.DUMMYFUNCTION("IF($B687="""","""",INDEX(filter(Familias!F:F,Familias!$D:$D=$A687,Familias!$E:$E=$B687),1))"),"")</f>
        <v/>
      </c>
      <c r="F687" s="4" t="str">
        <f>IFERROR(__xludf.DUMMYFUNCTION("IF($B687="""","""",INDEX(filter(Familias!G:G,Familias!$D:$D=$A687,Familias!$E:$E=$B687),1))"),"")</f>
        <v/>
      </c>
      <c r="G687" s="4" t="str">
        <f t="array" ref="G687">IF(C687=1,XLOOKUP(C687,Cotizador!D:D,Cotizador!E:E,"",0,1),"")</f>
        <v/>
      </c>
      <c r="I687" s="4"/>
      <c r="J687" s="8" t="str">
        <f>IF(I687="","",SUMIF(Cotizador!I$1:V$1,I687,Cotizador!I$2:V$2))</f>
        <v/>
      </c>
      <c r="L687" s="4" t="str">
        <f t="array" ref="L687">IF(COUNTIF(L$1:L686,A$2)=SUMIF(A:A,A$2,D:D),IF(COUNTIF(L$1:L686,XLOOKUP(A$2,Implementos!B:B,Implementos!C:C,"",0,1))=SUMIF(A:A,XLOOKUP(A$2,Implementos!B:B,Implementos!C:C,"",0,1),D:D),"",XLOOKUP(A$2,Implementos!B:B,Implementos!C:C,"",0,1)),A$2)</f>
        <v/>
      </c>
      <c r="M687" s="4" t="str">
        <f t="shared" si="2"/>
        <v/>
      </c>
      <c r="N687" s="4" t="str">
        <f t="shared" si="3"/>
        <v/>
      </c>
      <c r="O687" s="4" t="str">
        <f t="shared" si="4"/>
        <v/>
      </c>
      <c r="P687" s="4" t="str">
        <f t="shared" si="5"/>
        <v/>
      </c>
      <c r="Q687" s="4" t="str">
        <f>IF(U687="","",SUMIF(Productos!E:E,U687,Productos!A:A))</f>
        <v/>
      </c>
      <c r="R687" s="4" t="str">
        <f t="array" ref="R687">IF(L687="","", max(1,SUMIF(I:I,XLOOKUP(U687,Productos!E:E,Productos!G:G,"",0,1),J:J)))</f>
        <v/>
      </c>
      <c r="S687" s="4" t="str">
        <f>IF(Q687="","",IF(SUMIFS(Compat_Vetado!D:D,Compat_Vetado!B:B,SUM(G:G),Compat_Vetado!C:C,Q687)=1,"SI",IF(OR(SUMIF(Cotizador!E:E,Q687,Cotizador!G:G)&gt;0,SUMIFS(Compat_Vetado!D:D,Compat_Vetado!B:B,SUM(G:G),Compat_Vetado!C:C,Q687)=-1),"NO","")))</f>
        <v/>
      </c>
      <c r="T687" s="4" t="str">
        <f t="shared" si="6"/>
        <v/>
      </c>
      <c r="U687" s="4" t="str">
        <f>IFERROR(__xludf.DUMMYFUNCTION("IF(P687="""","""",IFERROR(INDEX(filter(Productos!E:E,Productos!F:F=L687,Productos!H:H=N687),P687),IF(M687=SUM(D:D),""Finalizar"",""-"")))"),"")</f>
        <v/>
      </c>
      <c r="V687" s="4" t="str">
        <f>IFERROR(__xludf.DUMMYFUNCTION("IF(OR($U687="""",COUNTIF($I:$I,IFERROR(unique(filter(Prod_Prop!$H:$H,Prod_Prop!$G:$G=$U687,Prod_Prop!$E:$E=V$1)),""Check""))=0),"""",IFERROR(unique(filter(Prod_Prop!$H:$H,Prod_Prop!$G:$G=$U687,Prod_Prop!$E:$E=V$1)),""""))"),"")</f>
        <v/>
      </c>
      <c r="W687" s="4" t="str">
        <f>IF(V687="","",SUMIFS(Prod_Prop!$J:$J,Prod_Prop!$B:$B,$Q687,Prod_Prop!$H:$H,V687,Prod_Prop!$I:$I,W$1)*IF(V687="Peso",$R687,1))</f>
        <v/>
      </c>
      <c r="X687" s="4" t="str">
        <f>IF(V687="","",SUMIFS(Prod_Prop!$J:$J,Prod_Prop!$B:$B,$Q687,Prod_Prop!$H:$H,V687,Prod_Prop!$I:$I,X$1)*IF(V687="Peso",$R687,1))</f>
        <v/>
      </c>
      <c r="Y687" s="4" t="str">
        <f>IFERROR(__xludf.DUMMYFUNCTION("IF(OR($U687="""",COUNTIF($I:$I,IFERROR(unique(filter(Prod_Prop!$H:$H,Prod_Prop!$G:$G=$U687,Prod_Prop!$E:$E=Y$1)),""Check""))=0),"""",IFERROR(unique(filter(Prod_Prop!$H:$H,Prod_Prop!$G:$G=$U687,Prod_Prop!$E:$E=Y$1)),""""))"),"")</f>
        <v/>
      </c>
      <c r="Z687" s="4" t="str">
        <f>IF(Y687="","",SUMIFS(Prod_Prop!$J:$J,Prod_Prop!$B:$B,$Q687,Prod_Prop!$H:$H,Y687,Prod_Prop!$I:$I,Z$1)*IF(Y687="Peso",$R687,1))</f>
        <v/>
      </c>
      <c r="AA687" s="4" t="str">
        <f>IF(Y687="","",SUMIFS(Prod_Prop!$J:$J,Prod_Prop!$B:$B,$Q687,Prod_Prop!$H:$H,Y687,Prod_Prop!$I:$I,AA$1)*IF(Y687="Peso",$R687,1))</f>
        <v/>
      </c>
      <c r="AB687" s="4" t="str">
        <f>IFERROR(__xludf.DUMMYFUNCTION("IF(OR($U687="""",COUNTIF($I:$I,IFERROR(unique(filter(Prod_Prop!$H:$H,Prod_Prop!$G:$G=$U687,Prod_Prop!$E:$E=AB$1)),""Check""))=0),"""",IFERROR(unique(filter(Prod_Prop!$H:$H,Prod_Prop!$G:$G=$U687,Prod_Prop!$E:$E=AB$1)),""""))"),"")</f>
        <v/>
      </c>
      <c r="AC687" s="4" t="str">
        <f>IF(AB687="","",SUMIFS(Prod_Prop!$J:$J,Prod_Prop!$B:$B,$Q687,Prod_Prop!$H:$H,AB687,Prod_Prop!$I:$I,AC$1)*IF(AB687="Peso",$R687,1))</f>
        <v/>
      </c>
      <c r="AD687" s="4" t="str">
        <f>IF(AB687="","",SUMIFS(Prod_Prop!$J:$J,Prod_Prop!$B:$B,$Q687,Prod_Prop!$H:$H,AB687,Prod_Prop!$I:$I,AD$1)*IF(AB687="Peso",$R687,1))</f>
        <v/>
      </c>
    </row>
    <row r="688">
      <c r="A688" s="4" t="str">
        <f t="array" ref="A688">IF(COUNTIF(A$1:A687,Cotizador!F$2)=maxifs(Familias!E:E,Familias!D:D,Cotizador!F$2),IF(COUNTIF(A$1:A687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8" s="4" t="str">
        <f t="shared" si="1"/>
        <v/>
      </c>
      <c r="C688" s="4" t="str">
        <f t="array" ref="C688">IF(B688="","",IF(A688=XLOOKUP(A$2,Implementos!B:B,Implementos!C:C,"",0,1),B688+maxifs(B$1:B687,A$1:A687,A$2),B688))</f>
        <v/>
      </c>
      <c r="D688" s="4" t="str">
        <f>IF(B688="","", COUNTIFS(Productos!F:F,A688,Productos!H:H,B688)+IF(F688="SI",0,1))</f>
        <v/>
      </c>
      <c r="E688" s="4" t="str">
        <f>IFERROR(__xludf.DUMMYFUNCTION("IF($B688="""","""",INDEX(filter(Familias!F:F,Familias!$D:$D=$A688,Familias!$E:$E=$B688),1))"),"")</f>
        <v/>
      </c>
      <c r="F688" s="4" t="str">
        <f>IFERROR(__xludf.DUMMYFUNCTION("IF($B688="""","""",INDEX(filter(Familias!G:G,Familias!$D:$D=$A688,Familias!$E:$E=$B688),1))"),"")</f>
        <v/>
      </c>
      <c r="G688" s="4" t="str">
        <f t="array" ref="G688">IF(C688=1,XLOOKUP(C688,Cotizador!D:D,Cotizador!E:E,"",0,1),"")</f>
        <v/>
      </c>
      <c r="I688" s="4"/>
      <c r="J688" s="8" t="str">
        <f>IF(I688="","",SUMIF(Cotizador!I$1:V$1,I688,Cotizador!I$2:V$2))</f>
        <v/>
      </c>
      <c r="L688" s="4" t="str">
        <f t="array" ref="L688">IF(COUNTIF(L$1:L687,A$2)=SUMIF(A:A,A$2,D:D),IF(COUNTIF(L$1:L687,XLOOKUP(A$2,Implementos!B:B,Implementos!C:C,"",0,1))=SUMIF(A:A,XLOOKUP(A$2,Implementos!B:B,Implementos!C:C,"",0,1),D:D),"",XLOOKUP(A$2,Implementos!B:B,Implementos!C:C,"",0,1)),A$2)</f>
        <v/>
      </c>
      <c r="M688" s="4" t="str">
        <f t="shared" si="2"/>
        <v/>
      </c>
      <c r="N688" s="4" t="str">
        <f t="shared" si="3"/>
        <v/>
      </c>
      <c r="O688" s="4" t="str">
        <f t="shared" si="4"/>
        <v/>
      </c>
      <c r="P688" s="4" t="str">
        <f t="shared" si="5"/>
        <v/>
      </c>
      <c r="Q688" s="4" t="str">
        <f>IF(U688="","",SUMIF(Productos!E:E,U688,Productos!A:A))</f>
        <v/>
      </c>
      <c r="R688" s="4" t="str">
        <f t="array" ref="R688">IF(L688="","", max(1,SUMIF(I:I,XLOOKUP(U688,Productos!E:E,Productos!G:G,"",0,1),J:J)))</f>
        <v/>
      </c>
      <c r="S688" s="4" t="str">
        <f>IF(Q688="","",IF(SUMIFS(Compat_Vetado!D:D,Compat_Vetado!B:B,SUM(G:G),Compat_Vetado!C:C,Q688)=1,"SI",IF(OR(SUMIF(Cotizador!E:E,Q688,Cotizador!G:G)&gt;0,SUMIFS(Compat_Vetado!D:D,Compat_Vetado!B:B,SUM(G:G),Compat_Vetado!C:C,Q688)=-1),"NO","")))</f>
        <v/>
      </c>
      <c r="T688" s="4" t="str">
        <f t="shared" si="6"/>
        <v/>
      </c>
      <c r="U688" s="4" t="str">
        <f>IFERROR(__xludf.DUMMYFUNCTION("IF(P688="""","""",IFERROR(INDEX(filter(Productos!E:E,Productos!F:F=L688,Productos!H:H=N688),P688),IF(M688=SUM(D:D),""Finalizar"",""-"")))"),"")</f>
        <v/>
      </c>
      <c r="V688" s="4" t="str">
        <f>IFERROR(__xludf.DUMMYFUNCTION("IF(OR($U688="""",COUNTIF($I:$I,IFERROR(unique(filter(Prod_Prop!$H:$H,Prod_Prop!$G:$G=$U688,Prod_Prop!$E:$E=V$1)),""Check""))=0),"""",IFERROR(unique(filter(Prod_Prop!$H:$H,Prod_Prop!$G:$G=$U688,Prod_Prop!$E:$E=V$1)),""""))"),"")</f>
        <v/>
      </c>
      <c r="W688" s="4" t="str">
        <f>IF(V688="","",SUMIFS(Prod_Prop!$J:$J,Prod_Prop!$B:$B,$Q688,Prod_Prop!$H:$H,V688,Prod_Prop!$I:$I,W$1)*IF(V688="Peso",$R688,1))</f>
        <v/>
      </c>
      <c r="X688" s="4" t="str">
        <f>IF(V688="","",SUMIFS(Prod_Prop!$J:$J,Prod_Prop!$B:$B,$Q688,Prod_Prop!$H:$H,V688,Prod_Prop!$I:$I,X$1)*IF(V688="Peso",$R688,1))</f>
        <v/>
      </c>
      <c r="Y688" s="4" t="str">
        <f>IFERROR(__xludf.DUMMYFUNCTION("IF(OR($U688="""",COUNTIF($I:$I,IFERROR(unique(filter(Prod_Prop!$H:$H,Prod_Prop!$G:$G=$U688,Prod_Prop!$E:$E=Y$1)),""Check""))=0),"""",IFERROR(unique(filter(Prod_Prop!$H:$H,Prod_Prop!$G:$G=$U688,Prod_Prop!$E:$E=Y$1)),""""))"),"")</f>
        <v/>
      </c>
      <c r="Z688" s="4" t="str">
        <f>IF(Y688="","",SUMIFS(Prod_Prop!$J:$J,Prod_Prop!$B:$B,$Q688,Prod_Prop!$H:$H,Y688,Prod_Prop!$I:$I,Z$1)*IF(Y688="Peso",$R688,1))</f>
        <v/>
      </c>
      <c r="AA688" s="4" t="str">
        <f>IF(Y688="","",SUMIFS(Prod_Prop!$J:$J,Prod_Prop!$B:$B,$Q688,Prod_Prop!$H:$H,Y688,Prod_Prop!$I:$I,AA$1)*IF(Y688="Peso",$R688,1))</f>
        <v/>
      </c>
      <c r="AB688" s="4" t="str">
        <f>IFERROR(__xludf.DUMMYFUNCTION("IF(OR($U688="""",COUNTIF($I:$I,IFERROR(unique(filter(Prod_Prop!$H:$H,Prod_Prop!$G:$G=$U688,Prod_Prop!$E:$E=AB$1)),""Check""))=0),"""",IFERROR(unique(filter(Prod_Prop!$H:$H,Prod_Prop!$G:$G=$U688,Prod_Prop!$E:$E=AB$1)),""""))"),"")</f>
        <v/>
      </c>
      <c r="AC688" s="4" t="str">
        <f>IF(AB688="","",SUMIFS(Prod_Prop!$J:$J,Prod_Prop!$B:$B,$Q688,Prod_Prop!$H:$H,AB688,Prod_Prop!$I:$I,AC$1)*IF(AB688="Peso",$R688,1))</f>
        <v/>
      </c>
      <c r="AD688" s="4" t="str">
        <f>IF(AB688="","",SUMIFS(Prod_Prop!$J:$J,Prod_Prop!$B:$B,$Q688,Prod_Prop!$H:$H,AB688,Prod_Prop!$I:$I,AD$1)*IF(AB688="Peso",$R688,1))</f>
        <v/>
      </c>
    </row>
    <row r="689">
      <c r="A689" s="4" t="str">
        <f t="array" ref="A689">IF(COUNTIF(A$1:A688,Cotizador!F$2)=maxifs(Familias!E:E,Familias!D:D,Cotizador!F$2),IF(COUNTIF(A$1:A688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89" s="4" t="str">
        <f t="shared" si="1"/>
        <v/>
      </c>
      <c r="C689" s="4" t="str">
        <f t="array" ref="C689">IF(B689="","",IF(A689=XLOOKUP(A$2,Implementos!B:B,Implementos!C:C,"",0,1),B689+maxifs(B$1:B688,A$1:A688,A$2),B689))</f>
        <v/>
      </c>
      <c r="D689" s="4" t="str">
        <f>IF(B689="","", COUNTIFS(Productos!F:F,A689,Productos!H:H,B689)+IF(F689="SI",0,1))</f>
        <v/>
      </c>
      <c r="E689" s="4" t="str">
        <f>IFERROR(__xludf.DUMMYFUNCTION("IF($B689="""","""",INDEX(filter(Familias!F:F,Familias!$D:$D=$A689,Familias!$E:$E=$B689),1))"),"")</f>
        <v/>
      </c>
      <c r="F689" s="4" t="str">
        <f>IFERROR(__xludf.DUMMYFUNCTION("IF($B689="""","""",INDEX(filter(Familias!G:G,Familias!$D:$D=$A689,Familias!$E:$E=$B689),1))"),"")</f>
        <v/>
      </c>
      <c r="G689" s="4" t="str">
        <f t="array" ref="G689">IF(C689=1,XLOOKUP(C689,Cotizador!D:D,Cotizador!E:E,"",0,1),"")</f>
        <v/>
      </c>
      <c r="I689" s="4"/>
      <c r="J689" s="8" t="str">
        <f>IF(I689="","",SUMIF(Cotizador!I$1:V$1,I689,Cotizador!I$2:V$2))</f>
        <v/>
      </c>
      <c r="L689" s="4" t="str">
        <f t="array" ref="L689">IF(COUNTIF(L$1:L688,A$2)=SUMIF(A:A,A$2,D:D),IF(COUNTIF(L$1:L688,XLOOKUP(A$2,Implementos!B:B,Implementos!C:C,"",0,1))=SUMIF(A:A,XLOOKUP(A$2,Implementos!B:B,Implementos!C:C,"",0,1),D:D),"",XLOOKUP(A$2,Implementos!B:B,Implementos!C:C,"",0,1)),A$2)</f>
        <v/>
      </c>
      <c r="M689" s="4" t="str">
        <f t="shared" si="2"/>
        <v/>
      </c>
      <c r="N689" s="4" t="str">
        <f t="shared" si="3"/>
        <v/>
      </c>
      <c r="O689" s="4" t="str">
        <f t="shared" si="4"/>
        <v/>
      </c>
      <c r="P689" s="4" t="str">
        <f t="shared" si="5"/>
        <v/>
      </c>
      <c r="Q689" s="4" t="str">
        <f>IF(U689="","",SUMIF(Productos!E:E,U689,Productos!A:A))</f>
        <v/>
      </c>
      <c r="R689" s="4" t="str">
        <f t="array" ref="R689">IF(L689="","", max(1,SUMIF(I:I,XLOOKUP(U689,Productos!E:E,Productos!G:G,"",0,1),J:J)))</f>
        <v/>
      </c>
      <c r="S689" s="4" t="str">
        <f>IF(Q689="","",IF(SUMIFS(Compat_Vetado!D:D,Compat_Vetado!B:B,SUM(G:G),Compat_Vetado!C:C,Q689)=1,"SI",IF(OR(SUMIF(Cotizador!E:E,Q689,Cotizador!G:G)&gt;0,SUMIFS(Compat_Vetado!D:D,Compat_Vetado!B:B,SUM(G:G),Compat_Vetado!C:C,Q689)=-1),"NO","")))</f>
        <v/>
      </c>
      <c r="T689" s="4" t="str">
        <f t="shared" si="6"/>
        <v/>
      </c>
      <c r="U689" s="4" t="str">
        <f>IFERROR(__xludf.DUMMYFUNCTION("IF(P689="""","""",IFERROR(INDEX(filter(Productos!E:E,Productos!F:F=L689,Productos!H:H=N689),P689),IF(M689=SUM(D:D),""Finalizar"",""-"")))"),"")</f>
        <v/>
      </c>
      <c r="V689" s="4" t="str">
        <f>IFERROR(__xludf.DUMMYFUNCTION("IF(OR($U689="""",COUNTIF($I:$I,IFERROR(unique(filter(Prod_Prop!$H:$H,Prod_Prop!$G:$G=$U689,Prod_Prop!$E:$E=V$1)),""Check""))=0),"""",IFERROR(unique(filter(Prod_Prop!$H:$H,Prod_Prop!$G:$G=$U689,Prod_Prop!$E:$E=V$1)),""""))"),"")</f>
        <v/>
      </c>
      <c r="W689" s="4" t="str">
        <f>IF(V689="","",SUMIFS(Prod_Prop!$J:$J,Prod_Prop!$B:$B,$Q689,Prod_Prop!$H:$H,V689,Prod_Prop!$I:$I,W$1)*IF(V689="Peso",$R689,1))</f>
        <v/>
      </c>
      <c r="X689" s="4" t="str">
        <f>IF(V689="","",SUMIFS(Prod_Prop!$J:$J,Prod_Prop!$B:$B,$Q689,Prod_Prop!$H:$H,V689,Prod_Prop!$I:$I,X$1)*IF(V689="Peso",$R689,1))</f>
        <v/>
      </c>
      <c r="Y689" s="4" t="str">
        <f>IFERROR(__xludf.DUMMYFUNCTION("IF(OR($U689="""",COUNTIF($I:$I,IFERROR(unique(filter(Prod_Prop!$H:$H,Prod_Prop!$G:$G=$U689,Prod_Prop!$E:$E=Y$1)),""Check""))=0),"""",IFERROR(unique(filter(Prod_Prop!$H:$H,Prod_Prop!$G:$G=$U689,Prod_Prop!$E:$E=Y$1)),""""))"),"")</f>
        <v/>
      </c>
      <c r="Z689" s="4" t="str">
        <f>IF(Y689="","",SUMIFS(Prod_Prop!$J:$J,Prod_Prop!$B:$B,$Q689,Prod_Prop!$H:$H,Y689,Prod_Prop!$I:$I,Z$1)*IF(Y689="Peso",$R689,1))</f>
        <v/>
      </c>
      <c r="AA689" s="4" t="str">
        <f>IF(Y689="","",SUMIFS(Prod_Prop!$J:$J,Prod_Prop!$B:$B,$Q689,Prod_Prop!$H:$H,Y689,Prod_Prop!$I:$I,AA$1)*IF(Y689="Peso",$R689,1))</f>
        <v/>
      </c>
      <c r="AB689" s="4" t="str">
        <f>IFERROR(__xludf.DUMMYFUNCTION("IF(OR($U689="""",COUNTIF($I:$I,IFERROR(unique(filter(Prod_Prop!$H:$H,Prod_Prop!$G:$G=$U689,Prod_Prop!$E:$E=AB$1)),""Check""))=0),"""",IFERROR(unique(filter(Prod_Prop!$H:$H,Prod_Prop!$G:$G=$U689,Prod_Prop!$E:$E=AB$1)),""""))"),"")</f>
        <v/>
      </c>
      <c r="AC689" s="4" t="str">
        <f>IF(AB689="","",SUMIFS(Prod_Prop!$J:$J,Prod_Prop!$B:$B,$Q689,Prod_Prop!$H:$H,AB689,Prod_Prop!$I:$I,AC$1)*IF(AB689="Peso",$R689,1))</f>
        <v/>
      </c>
      <c r="AD689" s="4" t="str">
        <f>IF(AB689="","",SUMIFS(Prod_Prop!$J:$J,Prod_Prop!$B:$B,$Q689,Prod_Prop!$H:$H,AB689,Prod_Prop!$I:$I,AD$1)*IF(AB689="Peso",$R689,1))</f>
        <v/>
      </c>
    </row>
    <row r="690">
      <c r="A690" s="4" t="str">
        <f t="array" ref="A690">IF(COUNTIF(A$1:A689,Cotizador!F$2)=maxifs(Familias!E:E,Familias!D:D,Cotizador!F$2),IF(COUNTIF(A$1:A689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0" s="4" t="str">
        <f t="shared" si="1"/>
        <v/>
      </c>
      <c r="C690" s="4" t="str">
        <f t="array" ref="C690">IF(B690="","",IF(A690=XLOOKUP(A$2,Implementos!B:B,Implementos!C:C,"",0,1),B690+maxifs(B$1:B689,A$1:A689,A$2),B690))</f>
        <v/>
      </c>
      <c r="D690" s="4" t="str">
        <f>IF(B690="","", COUNTIFS(Productos!F:F,A690,Productos!H:H,B690)+IF(F690="SI",0,1))</f>
        <v/>
      </c>
      <c r="E690" s="4" t="str">
        <f>IFERROR(__xludf.DUMMYFUNCTION("IF($B690="""","""",INDEX(filter(Familias!F:F,Familias!$D:$D=$A690,Familias!$E:$E=$B690),1))"),"")</f>
        <v/>
      </c>
      <c r="F690" s="4" t="str">
        <f>IFERROR(__xludf.DUMMYFUNCTION("IF($B690="""","""",INDEX(filter(Familias!G:G,Familias!$D:$D=$A690,Familias!$E:$E=$B690),1))"),"")</f>
        <v/>
      </c>
      <c r="G690" s="4" t="str">
        <f t="array" ref="G690">IF(C690=1,XLOOKUP(C690,Cotizador!D:D,Cotizador!E:E,"",0,1),"")</f>
        <v/>
      </c>
      <c r="I690" s="4"/>
      <c r="J690" s="8" t="str">
        <f>IF(I690="","",SUMIF(Cotizador!I$1:V$1,I690,Cotizador!I$2:V$2))</f>
        <v/>
      </c>
      <c r="L690" s="4" t="str">
        <f t="array" ref="L690">IF(COUNTIF(L$1:L689,A$2)=SUMIF(A:A,A$2,D:D),IF(COUNTIF(L$1:L689,XLOOKUP(A$2,Implementos!B:B,Implementos!C:C,"",0,1))=SUMIF(A:A,XLOOKUP(A$2,Implementos!B:B,Implementos!C:C,"",0,1),D:D),"",XLOOKUP(A$2,Implementos!B:B,Implementos!C:C,"",0,1)),A$2)</f>
        <v/>
      </c>
      <c r="M690" s="4" t="str">
        <f t="shared" si="2"/>
        <v/>
      </c>
      <c r="N690" s="4" t="str">
        <f t="shared" si="3"/>
        <v/>
      </c>
      <c r="O690" s="4" t="str">
        <f t="shared" si="4"/>
        <v/>
      </c>
      <c r="P690" s="4" t="str">
        <f t="shared" si="5"/>
        <v/>
      </c>
      <c r="Q690" s="4" t="str">
        <f>IF(U690="","",SUMIF(Productos!E:E,U690,Productos!A:A))</f>
        <v/>
      </c>
      <c r="R690" s="4" t="str">
        <f t="array" ref="R690">IF(L690="","", max(1,SUMIF(I:I,XLOOKUP(U690,Productos!E:E,Productos!G:G,"",0,1),J:J)))</f>
        <v/>
      </c>
      <c r="S690" s="4" t="str">
        <f>IF(Q690="","",IF(SUMIFS(Compat_Vetado!D:D,Compat_Vetado!B:B,SUM(G:G),Compat_Vetado!C:C,Q690)=1,"SI",IF(OR(SUMIF(Cotizador!E:E,Q690,Cotizador!G:G)&gt;0,SUMIFS(Compat_Vetado!D:D,Compat_Vetado!B:B,SUM(G:G),Compat_Vetado!C:C,Q690)=-1),"NO","")))</f>
        <v/>
      </c>
      <c r="T690" s="4" t="str">
        <f t="shared" si="6"/>
        <v/>
      </c>
      <c r="U690" s="4" t="str">
        <f>IFERROR(__xludf.DUMMYFUNCTION("IF(P690="""","""",IFERROR(INDEX(filter(Productos!E:E,Productos!F:F=L690,Productos!H:H=N690),P690),IF(M690=SUM(D:D),""Finalizar"",""-"")))"),"")</f>
        <v/>
      </c>
      <c r="V690" s="4" t="str">
        <f>IFERROR(__xludf.DUMMYFUNCTION("IF(OR($U690="""",COUNTIF($I:$I,IFERROR(unique(filter(Prod_Prop!$H:$H,Prod_Prop!$G:$G=$U690,Prod_Prop!$E:$E=V$1)),""Check""))=0),"""",IFERROR(unique(filter(Prod_Prop!$H:$H,Prod_Prop!$G:$G=$U690,Prod_Prop!$E:$E=V$1)),""""))"),"")</f>
        <v/>
      </c>
      <c r="W690" s="4" t="str">
        <f>IF(V690="","",SUMIFS(Prod_Prop!$J:$J,Prod_Prop!$B:$B,$Q690,Prod_Prop!$H:$H,V690,Prod_Prop!$I:$I,W$1)*IF(V690="Peso",$R690,1))</f>
        <v/>
      </c>
      <c r="X690" s="4" t="str">
        <f>IF(V690="","",SUMIFS(Prod_Prop!$J:$J,Prod_Prop!$B:$B,$Q690,Prod_Prop!$H:$H,V690,Prod_Prop!$I:$I,X$1)*IF(V690="Peso",$R690,1))</f>
        <v/>
      </c>
      <c r="Y690" s="4" t="str">
        <f>IFERROR(__xludf.DUMMYFUNCTION("IF(OR($U690="""",COUNTIF($I:$I,IFERROR(unique(filter(Prod_Prop!$H:$H,Prod_Prop!$G:$G=$U690,Prod_Prop!$E:$E=Y$1)),""Check""))=0),"""",IFERROR(unique(filter(Prod_Prop!$H:$H,Prod_Prop!$G:$G=$U690,Prod_Prop!$E:$E=Y$1)),""""))"),"")</f>
        <v/>
      </c>
      <c r="Z690" s="4" t="str">
        <f>IF(Y690="","",SUMIFS(Prod_Prop!$J:$J,Prod_Prop!$B:$B,$Q690,Prod_Prop!$H:$H,Y690,Prod_Prop!$I:$I,Z$1)*IF(Y690="Peso",$R690,1))</f>
        <v/>
      </c>
      <c r="AA690" s="4" t="str">
        <f>IF(Y690="","",SUMIFS(Prod_Prop!$J:$J,Prod_Prop!$B:$B,$Q690,Prod_Prop!$H:$H,Y690,Prod_Prop!$I:$I,AA$1)*IF(Y690="Peso",$R690,1))</f>
        <v/>
      </c>
      <c r="AB690" s="4" t="str">
        <f>IFERROR(__xludf.DUMMYFUNCTION("IF(OR($U690="""",COUNTIF($I:$I,IFERROR(unique(filter(Prod_Prop!$H:$H,Prod_Prop!$G:$G=$U690,Prod_Prop!$E:$E=AB$1)),""Check""))=0),"""",IFERROR(unique(filter(Prod_Prop!$H:$H,Prod_Prop!$G:$G=$U690,Prod_Prop!$E:$E=AB$1)),""""))"),"")</f>
        <v/>
      </c>
      <c r="AC690" s="4" t="str">
        <f>IF(AB690="","",SUMIFS(Prod_Prop!$J:$J,Prod_Prop!$B:$B,$Q690,Prod_Prop!$H:$H,AB690,Prod_Prop!$I:$I,AC$1)*IF(AB690="Peso",$R690,1))</f>
        <v/>
      </c>
      <c r="AD690" s="4" t="str">
        <f>IF(AB690="","",SUMIFS(Prod_Prop!$J:$J,Prod_Prop!$B:$B,$Q690,Prod_Prop!$H:$H,AB690,Prod_Prop!$I:$I,AD$1)*IF(AB690="Peso",$R690,1))</f>
        <v/>
      </c>
    </row>
    <row r="691">
      <c r="A691" s="4" t="str">
        <f t="array" ref="A691">IF(COUNTIF(A$1:A690,Cotizador!F$2)=maxifs(Familias!E:E,Familias!D:D,Cotizador!F$2),IF(COUNTIF(A$1:A690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1" s="4" t="str">
        <f t="shared" si="1"/>
        <v/>
      </c>
      <c r="C691" s="4" t="str">
        <f t="array" ref="C691">IF(B691="","",IF(A691=XLOOKUP(A$2,Implementos!B:B,Implementos!C:C,"",0,1),B691+maxifs(B$1:B690,A$1:A690,A$2),B691))</f>
        <v/>
      </c>
      <c r="D691" s="4" t="str">
        <f>IF(B691="","", COUNTIFS(Productos!F:F,A691,Productos!H:H,B691)+IF(F691="SI",0,1))</f>
        <v/>
      </c>
      <c r="E691" s="4" t="str">
        <f>IFERROR(__xludf.DUMMYFUNCTION("IF($B691="""","""",INDEX(filter(Familias!F:F,Familias!$D:$D=$A691,Familias!$E:$E=$B691),1))"),"")</f>
        <v/>
      </c>
      <c r="F691" s="4" t="str">
        <f>IFERROR(__xludf.DUMMYFUNCTION("IF($B691="""","""",INDEX(filter(Familias!G:G,Familias!$D:$D=$A691,Familias!$E:$E=$B691),1))"),"")</f>
        <v/>
      </c>
      <c r="G691" s="4" t="str">
        <f t="array" ref="G691">IF(C691=1,XLOOKUP(C691,Cotizador!D:D,Cotizador!E:E,"",0,1),"")</f>
        <v/>
      </c>
      <c r="I691" s="4"/>
      <c r="J691" s="8" t="str">
        <f>IF(I691="","",SUMIF(Cotizador!I$1:V$1,I691,Cotizador!I$2:V$2))</f>
        <v/>
      </c>
      <c r="L691" s="4" t="str">
        <f t="array" ref="L691">IF(COUNTIF(L$1:L690,A$2)=SUMIF(A:A,A$2,D:D),IF(COUNTIF(L$1:L690,XLOOKUP(A$2,Implementos!B:B,Implementos!C:C,"",0,1))=SUMIF(A:A,XLOOKUP(A$2,Implementos!B:B,Implementos!C:C,"",0,1),D:D),"",XLOOKUP(A$2,Implementos!B:B,Implementos!C:C,"",0,1)),A$2)</f>
        <v/>
      </c>
      <c r="M691" s="4" t="str">
        <f t="shared" si="2"/>
        <v/>
      </c>
      <c r="N691" s="4" t="str">
        <f t="shared" si="3"/>
        <v/>
      </c>
      <c r="O691" s="4" t="str">
        <f t="shared" si="4"/>
        <v/>
      </c>
      <c r="P691" s="4" t="str">
        <f t="shared" si="5"/>
        <v/>
      </c>
      <c r="Q691" s="4" t="str">
        <f>IF(U691="","",SUMIF(Productos!E:E,U691,Productos!A:A))</f>
        <v/>
      </c>
      <c r="R691" s="4" t="str">
        <f t="array" ref="R691">IF(L691="","", max(1,SUMIF(I:I,XLOOKUP(U691,Productos!E:E,Productos!G:G,"",0,1),J:J)))</f>
        <v/>
      </c>
      <c r="S691" s="4" t="str">
        <f>IF(Q691="","",IF(SUMIFS(Compat_Vetado!D:D,Compat_Vetado!B:B,SUM(G:G),Compat_Vetado!C:C,Q691)=1,"SI",IF(OR(SUMIF(Cotizador!E:E,Q691,Cotizador!G:G)&gt;0,SUMIFS(Compat_Vetado!D:D,Compat_Vetado!B:B,SUM(G:G),Compat_Vetado!C:C,Q691)=-1),"NO","")))</f>
        <v/>
      </c>
      <c r="T691" s="4" t="str">
        <f t="shared" si="6"/>
        <v/>
      </c>
      <c r="U691" s="4" t="str">
        <f>IFERROR(__xludf.DUMMYFUNCTION("IF(P691="""","""",IFERROR(INDEX(filter(Productos!E:E,Productos!F:F=L691,Productos!H:H=N691),P691),IF(M691=SUM(D:D),""Finalizar"",""-"")))"),"")</f>
        <v/>
      </c>
      <c r="V691" s="4" t="str">
        <f>IFERROR(__xludf.DUMMYFUNCTION("IF(OR($U691="""",COUNTIF($I:$I,IFERROR(unique(filter(Prod_Prop!$H:$H,Prod_Prop!$G:$G=$U691,Prod_Prop!$E:$E=V$1)),""Check""))=0),"""",IFERROR(unique(filter(Prod_Prop!$H:$H,Prod_Prop!$G:$G=$U691,Prod_Prop!$E:$E=V$1)),""""))"),"")</f>
        <v/>
      </c>
      <c r="W691" s="4" t="str">
        <f>IF(V691="","",SUMIFS(Prod_Prop!$J:$J,Prod_Prop!$B:$B,$Q691,Prod_Prop!$H:$H,V691,Prod_Prop!$I:$I,W$1)*IF(V691="Peso",$R691,1))</f>
        <v/>
      </c>
      <c r="X691" s="4" t="str">
        <f>IF(V691="","",SUMIFS(Prod_Prop!$J:$J,Prod_Prop!$B:$B,$Q691,Prod_Prop!$H:$H,V691,Prod_Prop!$I:$I,X$1)*IF(V691="Peso",$R691,1))</f>
        <v/>
      </c>
      <c r="Y691" s="4" t="str">
        <f>IFERROR(__xludf.DUMMYFUNCTION("IF(OR($U691="""",COUNTIF($I:$I,IFERROR(unique(filter(Prod_Prop!$H:$H,Prod_Prop!$G:$G=$U691,Prod_Prop!$E:$E=Y$1)),""Check""))=0),"""",IFERROR(unique(filter(Prod_Prop!$H:$H,Prod_Prop!$G:$G=$U691,Prod_Prop!$E:$E=Y$1)),""""))"),"")</f>
        <v/>
      </c>
      <c r="Z691" s="4" t="str">
        <f>IF(Y691="","",SUMIFS(Prod_Prop!$J:$J,Prod_Prop!$B:$B,$Q691,Prod_Prop!$H:$H,Y691,Prod_Prop!$I:$I,Z$1)*IF(Y691="Peso",$R691,1))</f>
        <v/>
      </c>
      <c r="AA691" s="4" t="str">
        <f>IF(Y691="","",SUMIFS(Prod_Prop!$J:$J,Prod_Prop!$B:$B,$Q691,Prod_Prop!$H:$H,Y691,Prod_Prop!$I:$I,AA$1)*IF(Y691="Peso",$R691,1))</f>
        <v/>
      </c>
      <c r="AB691" s="4" t="str">
        <f>IFERROR(__xludf.DUMMYFUNCTION("IF(OR($U691="""",COUNTIF($I:$I,IFERROR(unique(filter(Prod_Prop!$H:$H,Prod_Prop!$G:$G=$U691,Prod_Prop!$E:$E=AB$1)),""Check""))=0),"""",IFERROR(unique(filter(Prod_Prop!$H:$H,Prod_Prop!$G:$G=$U691,Prod_Prop!$E:$E=AB$1)),""""))"),"")</f>
        <v/>
      </c>
      <c r="AC691" s="4" t="str">
        <f>IF(AB691="","",SUMIFS(Prod_Prop!$J:$J,Prod_Prop!$B:$B,$Q691,Prod_Prop!$H:$H,AB691,Prod_Prop!$I:$I,AC$1)*IF(AB691="Peso",$R691,1))</f>
        <v/>
      </c>
      <c r="AD691" s="4" t="str">
        <f>IF(AB691="","",SUMIFS(Prod_Prop!$J:$J,Prod_Prop!$B:$B,$Q691,Prod_Prop!$H:$H,AB691,Prod_Prop!$I:$I,AD$1)*IF(AB691="Peso",$R691,1))</f>
        <v/>
      </c>
    </row>
    <row r="692">
      <c r="A692" s="4" t="str">
        <f t="array" ref="A692">IF(COUNTIF(A$1:A691,Cotizador!F$2)=maxifs(Familias!E:E,Familias!D:D,Cotizador!F$2),IF(COUNTIF(A$1:A691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2" s="4" t="str">
        <f t="shared" si="1"/>
        <v/>
      </c>
      <c r="C692" s="4" t="str">
        <f t="array" ref="C692">IF(B692="","",IF(A692=XLOOKUP(A$2,Implementos!B:B,Implementos!C:C,"",0,1),B692+maxifs(B$1:B691,A$1:A691,A$2),B692))</f>
        <v/>
      </c>
      <c r="D692" s="4" t="str">
        <f>IF(B692="","", COUNTIFS(Productos!F:F,A692,Productos!H:H,B692)+IF(F692="SI",0,1))</f>
        <v/>
      </c>
      <c r="E692" s="4" t="str">
        <f>IFERROR(__xludf.DUMMYFUNCTION("IF($B692="""","""",INDEX(filter(Familias!F:F,Familias!$D:$D=$A692,Familias!$E:$E=$B692),1))"),"")</f>
        <v/>
      </c>
      <c r="F692" s="4" t="str">
        <f>IFERROR(__xludf.DUMMYFUNCTION("IF($B692="""","""",INDEX(filter(Familias!G:G,Familias!$D:$D=$A692,Familias!$E:$E=$B692),1))"),"")</f>
        <v/>
      </c>
      <c r="G692" s="4" t="str">
        <f t="array" ref="G692">IF(C692=1,XLOOKUP(C692,Cotizador!D:D,Cotizador!E:E,"",0,1),"")</f>
        <v/>
      </c>
      <c r="I692" s="4"/>
      <c r="J692" s="8" t="str">
        <f>IF(I692="","",SUMIF(Cotizador!I$1:V$1,I692,Cotizador!I$2:V$2))</f>
        <v/>
      </c>
      <c r="L692" s="4" t="str">
        <f t="array" ref="L692">IF(COUNTIF(L$1:L691,A$2)=SUMIF(A:A,A$2,D:D),IF(COUNTIF(L$1:L691,XLOOKUP(A$2,Implementos!B:B,Implementos!C:C,"",0,1))=SUMIF(A:A,XLOOKUP(A$2,Implementos!B:B,Implementos!C:C,"",0,1),D:D),"",XLOOKUP(A$2,Implementos!B:B,Implementos!C:C,"",0,1)),A$2)</f>
        <v/>
      </c>
      <c r="M692" s="4" t="str">
        <f t="shared" si="2"/>
        <v/>
      </c>
      <c r="N692" s="4" t="str">
        <f t="shared" si="3"/>
        <v/>
      </c>
      <c r="O692" s="4" t="str">
        <f t="shared" si="4"/>
        <v/>
      </c>
      <c r="P692" s="4" t="str">
        <f t="shared" si="5"/>
        <v/>
      </c>
      <c r="Q692" s="4" t="str">
        <f>IF(U692="","",SUMIF(Productos!E:E,U692,Productos!A:A))</f>
        <v/>
      </c>
      <c r="R692" s="4" t="str">
        <f t="array" ref="R692">IF(L692="","", max(1,SUMIF(I:I,XLOOKUP(U692,Productos!E:E,Productos!G:G,"",0,1),J:J)))</f>
        <v/>
      </c>
      <c r="S692" s="4" t="str">
        <f>IF(Q692="","",IF(SUMIFS(Compat_Vetado!D:D,Compat_Vetado!B:B,SUM(G:G),Compat_Vetado!C:C,Q692)=1,"SI",IF(OR(SUMIF(Cotizador!E:E,Q692,Cotizador!G:G)&gt;0,SUMIFS(Compat_Vetado!D:D,Compat_Vetado!B:B,SUM(G:G),Compat_Vetado!C:C,Q692)=-1),"NO","")))</f>
        <v/>
      </c>
      <c r="T692" s="4" t="str">
        <f t="shared" si="6"/>
        <v/>
      </c>
      <c r="U692" s="4" t="str">
        <f>IFERROR(__xludf.DUMMYFUNCTION("IF(P692="""","""",IFERROR(INDEX(filter(Productos!E:E,Productos!F:F=L692,Productos!H:H=N692),P692),IF(M692=SUM(D:D),""Finalizar"",""-"")))"),"")</f>
        <v/>
      </c>
      <c r="V692" s="4" t="str">
        <f>IFERROR(__xludf.DUMMYFUNCTION("IF(OR($U692="""",COUNTIF($I:$I,IFERROR(unique(filter(Prod_Prop!$H:$H,Prod_Prop!$G:$G=$U692,Prod_Prop!$E:$E=V$1)),""Check""))=0),"""",IFERROR(unique(filter(Prod_Prop!$H:$H,Prod_Prop!$G:$G=$U692,Prod_Prop!$E:$E=V$1)),""""))"),"")</f>
        <v/>
      </c>
      <c r="W692" s="4" t="str">
        <f>IF(V692="","",SUMIFS(Prod_Prop!$J:$J,Prod_Prop!$B:$B,$Q692,Prod_Prop!$H:$H,V692,Prod_Prop!$I:$I,W$1)*IF(V692="Peso",$R692,1))</f>
        <v/>
      </c>
      <c r="X692" s="4" t="str">
        <f>IF(V692="","",SUMIFS(Prod_Prop!$J:$J,Prod_Prop!$B:$B,$Q692,Prod_Prop!$H:$H,V692,Prod_Prop!$I:$I,X$1)*IF(V692="Peso",$R692,1))</f>
        <v/>
      </c>
      <c r="Y692" s="4" t="str">
        <f>IFERROR(__xludf.DUMMYFUNCTION("IF(OR($U692="""",COUNTIF($I:$I,IFERROR(unique(filter(Prod_Prop!$H:$H,Prod_Prop!$G:$G=$U692,Prod_Prop!$E:$E=Y$1)),""Check""))=0),"""",IFERROR(unique(filter(Prod_Prop!$H:$H,Prod_Prop!$G:$G=$U692,Prod_Prop!$E:$E=Y$1)),""""))"),"")</f>
        <v/>
      </c>
      <c r="Z692" s="4" t="str">
        <f>IF(Y692="","",SUMIFS(Prod_Prop!$J:$J,Prod_Prop!$B:$B,$Q692,Prod_Prop!$H:$H,Y692,Prod_Prop!$I:$I,Z$1)*IF(Y692="Peso",$R692,1))</f>
        <v/>
      </c>
      <c r="AA692" s="4" t="str">
        <f>IF(Y692="","",SUMIFS(Prod_Prop!$J:$J,Prod_Prop!$B:$B,$Q692,Prod_Prop!$H:$H,Y692,Prod_Prop!$I:$I,AA$1)*IF(Y692="Peso",$R692,1))</f>
        <v/>
      </c>
      <c r="AB692" s="4" t="str">
        <f>IFERROR(__xludf.DUMMYFUNCTION("IF(OR($U692="""",COUNTIF($I:$I,IFERROR(unique(filter(Prod_Prop!$H:$H,Prod_Prop!$G:$G=$U692,Prod_Prop!$E:$E=AB$1)),""Check""))=0),"""",IFERROR(unique(filter(Prod_Prop!$H:$H,Prod_Prop!$G:$G=$U692,Prod_Prop!$E:$E=AB$1)),""""))"),"")</f>
        <v/>
      </c>
      <c r="AC692" s="4" t="str">
        <f>IF(AB692="","",SUMIFS(Prod_Prop!$J:$J,Prod_Prop!$B:$B,$Q692,Prod_Prop!$H:$H,AB692,Prod_Prop!$I:$I,AC$1)*IF(AB692="Peso",$R692,1))</f>
        <v/>
      </c>
      <c r="AD692" s="4" t="str">
        <f>IF(AB692="","",SUMIFS(Prod_Prop!$J:$J,Prod_Prop!$B:$B,$Q692,Prod_Prop!$H:$H,AB692,Prod_Prop!$I:$I,AD$1)*IF(AB692="Peso",$R692,1))</f>
        <v/>
      </c>
    </row>
    <row r="693">
      <c r="A693" s="4" t="str">
        <f t="array" ref="A693">IF(COUNTIF(A$1:A692,Cotizador!F$2)=maxifs(Familias!E:E,Familias!D:D,Cotizador!F$2),IF(COUNTIF(A$1:A692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3" s="4" t="str">
        <f t="shared" si="1"/>
        <v/>
      </c>
      <c r="C693" s="4" t="str">
        <f t="array" ref="C693">IF(B693="","",IF(A693=XLOOKUP(A$2,Implementos!B:B,Implementos!C:C,"",0,1),B693+maxifs(B$1:B692,A$1:A692,A$2),B693))</f>
        <v/>
      </c>
      <c r="D693" s="4" t="str">
        <f>IF(B693="","", COUNTIFS(Productos!F:F,A693,Productos!H:H,B693)+IF(F693="SI",0,1))</f>
        <v/>
      </c>
      <c r="E693" s="4" t="str">
        <f>IFERROR(__xludf.DUMMYFUNCTION("IF($B693="""","""",INDEX(filter(Familias!F:F,Familias!$D:$D=$A693,Familias!$E:$E=$B693),1))"),"")</f>
        <v/>
      </c>
      <c r="F693" s="4" t="str">
        <f>IFERROR(__xludf.DUMMYFUNCTION("IF($B693="""","""",INDEX(filter(Familias!G:G,Familias!$D:$D=$A693,Familias!$E:$E=$B693),1))"),"")</f>
        <v/>
      </c>
      <c r="G693" s="4" t="str">
        <f t="array" ref="G693">IF(C693=1,XLOOKUP(C693,Cotizador!D:D,Cotizador!E:E,"",0,1),"")</f>
        <v/>
      </c>
      <c r="I693" s="4"/>
      <c r="J693" s="8" t="str">
        <f>IF(I693="","",SUMIF(Cotizador!I$1:V$1,I693,Cotizador!I$2:V$2))</f>
        <v/>
      </c>
      <c r="L693" s="4" t="str">
        <f t="array" ref="L693">IF(COUNTIF(L$1:L692,A$2)=SUMIF(A:A,A$2,D:D),IF(COUNTIF(L$1:L692,XLOOKUP(A$2,Implementos!B:B,Implementos!C:C,"",0,1))=SUMIF(A:A,XLOOKUP(A$2,Implementos!B:B,Implementos!C:C,"",0,1),D:D),"",XLOOKUP(A$2,Implementos!B:B,Implementos!C:C,"",0,1)),A$2)</f>
        <v/>
      </c>
      <c r="M693" s="4" t="str">
        <f t="shared" si="2"/>
        <v/>
      </c>
      <c r="N693" s="4" t="str">
        <f t="shared" si="3"/>
        <v/>
      </c>
      <c r="O693" s="4" t="str">
        <f t="shared" si="4"/>
        <v/>
      </c>
      <c r="P693" s="4" t="str">
        <f t="shared" si="5"/>
        <v/>
      </c>
      <c r="Q693" s="4" t="str">
        <f>IF(U693="","",SUMIF(Productos!E:E,U693,Productos!A:A))</f>
        <v/>
      </c>
      <c r="R693" s="4" t="str">
        <f t="array" ref="R693">IF(L693="","", max(1,SUMIF(I:I,XLOOKUP(U693,Productos!E:E,Productos!G:G,"",0,1),J:J)))</f>
        <v/>
      </c>
      <c r="S693" s="4" t="str">
        <f>IF(Q693="","",IF(SUMIFS(Compat_Vetado!D:D,Compat_Vetado!B:B,SUM(G:G),Compat_Vetado!C:C,Q693)=1,"SI",IF(OR(SUMIF(Cotizador!E:E,Q693,Cotizador!G:G)&gt;0,SUMIFS(Compat_Vetado!D:D,Compat_Vetado!B:B,SUM(G:G),Compat_Vetado!C:C,Q693)=-1),"NO","")))</f>
        <v/>
      </c>
      <c r="T693" s="4" t="str">
        <f t="shared" si="6"/>
        <v/>
      </c>
      <c r="U693" s="4" t="str">
        <f>IFERROR(__xludf.DUMMYFUNCTION("IF(P693="""","""",IFERROR(INDEX(filter(Productos!E:E,Productos!F:F=L693,Productos!H:H=N693),P693),IF(M693=SUM(D:D),""Finalizar"",""-"")))"),"")</f>
        <v/>
      </c>
      <c r="V693" s="4" t="str">
        <f>IFERROR(__xludf.DUMMYFUNCTION("IF(OR($U693="""",COUNTIF($I:$I,IFERROR(unique(filter(Prod_Prop!$H:$H,Prod_Prop!$G:$G=$U693,Prod_Prop!$E:$E=V$1)),""Check""))=0),"""",IFERROR(unique(filter(Prod_Prop!$H:$H,Prod_Prop!$G:$G=$U693,Prod_Prop!$E:$E=V$1)),""""))"),"")</f>
        <v/>
      </c>
      <c r="W693" s="4" t="str">
        <f>IF(V693="","",SUMIFS(Prod_Prop!$J:$J,Prod_Prop!$B:$B,$Q693,Prod_Prop!$H:$H,V693,Prod_Prop!$I:$I,W$1)*IF(V693="Peso",$R693,1))</f>
        <v/>
      </c>
      <c r="X693" s="4" t="str">
        <f>IF(V693="","",SUMIFS(Prod_Prop!$J:$J,Prod_Prop!$B:$B,$Q693,Prod_Prop!$H:$H,V693,Prod_Prop!$I:$I,X$1)*IF(V693="Peso",$R693,1))</f>
        <v/>
      </c>
      <c r="Y693" s="4" t="str">
        <f>IFERROR(__xludf.DUMMYFUNCTION("IF(OR($U693="""",COUNTIF($I:$I,IFERROR(unique(filter(Prod_Prop!$H:$H,Prod_Prop!$G:$G=$U693,Prod_Prop!$E:$E=Y$1)),""Check""))=0),"""",IFERROR(unique(filter(Prod_Prop!$H:$H,Prod_Prop!$G:$G=$U693,Prod_Prop!$E:$E=Y$1)),""""))"),"")</f>
        <v/>
      </c>
      <c r="Z693" s="4" t="str">
        <f>IF(Y693="","",SUMIFS(Prod_Prop!$J:$J,Prod_Prop!$B:$B,$Q693,Prod_Prop!$H:$H,Y693,Prod_Prop!$I:$I,Z$1)*IF(Y693="Peso",$R693,1))</f>
        <v/>
      </c>
      <c r="AA693" s="4" t="str">
        <f>IF(Y693="","",SUMIFS(Prod_Prop!$J:$J,Prod_Prop!$B:$B,$Q693,Prod_Prop!$H:$H,Y693,Prod_Prop!$I:$I,AA$1)*IF(Y693="Peso",$R693,1))</f>
        <v/>
      </c>
      <c r="AB693" s="4" t="str">
        <f>IFERROR(__xludf.DUMMYFUNCTION("IF(OR($U693="""",COUNTIF($I:$I,IFERROR(unique(filter(Prod_Prop!$H:$H,Prod_Prop!$G:$G=$U693,Prod_Prop!$E:$E=AB$1)),""Check""))=0),"""",IFERROR(unique(filter(Prod_Prop!$H:$H,Prod_Prop!$G:$G=$U693,Prod_Prop!$E:$E=AB$1)),""""))"),"")</f>
        <v/>
      </c>
      <c r="AC693" s="4" t="str">
        <f>IF(AB693="","",SUMIFS(Prod_Prop!$J:$J,Prod_Prop!$B:$B,$Q693,Prod_Prop!$H:$H,AB693,Prod_Prop!$I:$I,AC$1)*IF(AB693="Peso",$R693,1))</f>
        <v/>
      </c>
      <c r="AD693" s="4" t="str">
        <f>IF(AB693="","",SUMIFS(Prod_Prop!$J:$J,Prod_Prop!$B:$B,$Q693,Prod_Prop!$H:$H,AB693,Prod_Prop!$I:$I,AD$1)*IF(AB693="Peso",$R693,1))</f>
        <v/>
      </c>
    </row>
    <row r="694">
      <c r="A694" s="4" t="str">
        <f t="array" ref="A694">IF(COUNTIF(A$1:A693,Cotizador!F$2)=maxifs(Familias!E:E,Familias!D:D,Cotizador!F$2),IF(COUNTIF(A$1:A693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4" s="4" t="str">
        <f t="shared" si="1"/>
        <v/>
      </c>
      <c r="C694" s="4" t="str">
        <f t="array" ref="C694">IF(B694="","",IF(A694=XLOOKUP(A$2,Implementos!B:B,Implementos!C:C,"",0,1),B694+maxifs(B$1:B693,A$1:A693,A$2),B694))</f>
        <v/>
      </c>
      <c r="D694" s="4" t="str">
        <f>IF(B694="","", COUNTIFS(Productos!F:F,A694,Productos!H:H,B694)+IF(F694="SI",0,1))</f>
        <v/>
      </c>
      <c r="E694" s="4" t="str">
        <f>IFERROR(__xludf.DUMMYFUNCTION("IF($B694="""","""",INDEX(filter(Familias!F:F,Familias!$D:$D=$A694,Familias!$E:$E=$B694),1))"),"")</f>
        <v/>
      </c>
      <c r="F694" s="4" t="str">
        <f>IFERROR(__xludf.DUMMYFUNCTION("IF($B694="""","""",INDEX(filter(Familias!G:G,Familias!$D:$D=$A694,Familias!$E:$E=$B694),1))"),"")</f>
        <v/>
      </c>
      <c r="G694" s="4" t="str">
        <f t="array" ref="G694">IF(C694=1,XLOOKUP(C694,Cotizador!D:D,Cotizador!E:E,"",0,1),"")</f>
        <v/>
      </c>
      <c r="I694" s="4"/>
      <c r="J694" s="8" t="str">
        <f>IF(I694="","",SUMIF(Cotizador!I$1:V$1,I694,Cotizador!I$2:V$2))</f>
        <v/>
      </c>
      <c r="L694" s="4" t="str">
        <f t="array" ref="L694">IF(COUNTIF(L$1:L693,A$2)=SUMIF(A:A,A$2,D:D),IF(COUNTIF(L$1:L693,XLOOKUP(A$2,Implementos!B:B,Implementos!C:C,"",0,1))=SUMIF(A:A,XLOOKUP(A$2,Implementos!B:B,Implementos!C:C,"",0,1),D:D),"",XLOOKUP(A$2,Implementos!B:B,Implementos!C:C,"",0,1)),A$2)</f>
        <v/>
      </c>
      <c r="M694" s="4" t="str">
        <f t="shared" si="2"/>
        <v/>
      </c>
      <c r="N694" s="4" t="str">
        <f t="shared" si="3"/>
        <v/>
      </c>
      <c r="O694" s="4" t="str">
        <f t="shared" si="4"/>
        <v/>
      </c>
      <c r="P694" s="4" t="str">
        <f t="shared" si="5"/>
        <v/>
      </c>
      <c r="Q694" s="4" t="str">
        <f>IF(U694="","",SUMIF(Productos!E:E,U694,Productos!A:A))</f>
        <v/>
      </c>
      <c r="R694" s="4" t="str">
        <f t="array" ref="R694">IF(L694="","", max(1,SUMIF(I:I,XLOOKUP(U694,Productos!E:E,Productos!G:G,"",0,1),J:J)))</f>
        <v/>
      </c>
      <c r="S694" s="4" t="str">
        <f>IF(Q694="","",IF(SUMIFS(Compat_Vetado!D:D,Compat_Vetado!B:B,SUM(G:G),Compat_Vetado!C:C,Q694)=1,"SI",IF(OR(SUMIF(Cotizador!E:E,Q694,Cotizador!G:G)&gt;0,SUMIFS(Compat_Vetado!D:D,Compat_Vetado!B:B,SUM(G:G),Compat_Vetado!C:C,Q694)=-1),"NO","")))</f>
        <v/>
      </c>
      <c r="T694" s="4" t="str">
        <f t="shared" si="6"/>
        <v/>
      </c>
      <c r="U694" s="4" t="str">
        <f>IFERROR(__xludf.DUMMYFUNCTION("IF(P694="""","""",IFERROR(INDEX(filter(Productos!E:E,Productos!F:F=L694,Productos!H:H=N694),P694),IF(M694=SUM(D:D),""Finalizar"",""-"")))"),"")</f>
        <v/>
      </c>
      <c r="V694" s="4" t="str">
        <f>IFERROR(__xludf.DUMMYFUNCTION("IF(OR($U694="""",COUNTIF($I:$I,IFERROR(unique(filter(Prod_Prop!$H:$H,Prod_Prop!$G:$G=$U694,Prod_Prop!$E:$E=V$1)),""Check""))=0),"""",IFERROR(unique(filter(Prod_Prop!$H:$H,Prod_Prop!$G:$G=$U694,Prod_Prop!$E:$E=V$1)),""""))"),"")</f>
        <v/>
      </c>
      <c r="W694" s="4" t="str">
        <f>IF(V694="","",SUMIFS(Prod_Prop!$J:$J,Prod_Prop!$B:$B,$Q694,Prod_Prop!$H:$H,V694,Prod_Prop!$I:$I,W$1)*IF(V694="Peso",$R694,1))</f>
        <v/>
      </c>
      <c r="X694" s="4" t="str">
        <f>IF(V694="","",SUMIFS(Prod_Prop!$J:$J,Prod_Prop!$B:$B,$Q694,Prod_Prop!$H:$H,V694,Prod_Prop!$I:$I,X$1)*IF(V694="Peso",$R694,1))</f>
        <v/>
      </c>
      <c r="Y694" s="4" t="str">
        <f>IFERROR(__xludf.DUMMYFUNCTION("IF(OR($U694="""",COUNTIF($I:$I,IFERROR(unique(filter(Prod_Prop!$H:$H,Prod_Prop!$G:$G=$U694,Prod_Prop!$E:$E=Y$1)),""Check""))=0),"""",IFERROR(unique(filter(Prod_Prop!$H:$H,Prod_Prop!$G:$G=$U694,Prod_Prop!$E:$E=Y$1)),""""))"),"")</f>
        <v/>
      </c>
      <c r="Z694" s="4" t="str">
        <f>IF(Y694="","",SUMIFS(Prod_Prop!$J:$J,Prod_Prop!$B:$B,$Q694,Prod_Prop!$H:$H,Y694,Prod_Prop!$I:$I,Z$1)*IF(Y694="Peso",$R694,1))</f>
        <v/>
      </c>
      <c r="AA694" s="4" t="str">
        <f>IF(Y694="","",SUMIFS(Prod_Prop!$J:$J,Prod_Prop!$B:$B,$Q694,Prod_Prop!$H:$H,Y694,Prod_Prop!$I:$I,AA$1)*IF(Y694="Peso",$R694,1))</f>
        <v/>
      </c>
      <c r="AB694" s="4" t="str">
        <f>IFERROR(__xludf.DUMMYFUNCTION("IF(OR($U694="""",COUNTIF($I:$I,IFERROR(unique(filter(Prod_Prop!$H:$H,Prod_Prop!$G:$G=$U694,Prod_Prop!$E:$E=AB$1)),""Check""))=0),"""",IFERROR(unique(filter(Prod_Prop!$H:$H,Prod_Prop!$G:$G=$U694,Prod_Prop!$E:$E=AB$1)),""""))"),"")</f>
        <v/>
      </c>
      <c r="AC694" s="4" t="str">
        <f>IF(AB694="","",SUMIFS(Prod_Prop!$J:$J,Prod_Prop!$B:$B,$Q694,Prod_Prop!$H:$H,AB694,Prod_Prop!$I:$I,AC$1)*IF(AB694="Peso",$R694,1))</f>
        <v/>
      </c>
      <c r="AD694" s="4" t="str">
        <f>IF(AB694="","",SUMIFS(Prod_Prop!$J:$J,Prod_Prop!$B:$B,$Q694,Prod_Prop!$H:$H,AB694,Prod_Prop!$I:$I,AD$1)*IF(AB694="Peso",$R694,1))</f>
        <v/>
      </c>
    </row>
    <row r="695">
      <c r="A695" s="4" t="str">
        <f t="array" ref="A695">IF(COUNTIF(A$1:A694,Cotizador!F$2)=maxifs(Familias!E:E,Familias!D:D,Cotizador!F$2),IF(COUNTIF(A$1:A694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5" s="4" t="str">
        <f t="shared" si="1"/>
        <v/>
      </c>
      <c r="C695" s="4" t="str">
        <f t="array" ref="C695">IF(B695="","",IF(A695=XLOOKUP(A$2,Implementos!B:B,Implementos!C:C,"",0,1),B695+maxifs(B$1:B694,A$1:A694,A$2),B695))</f>
        <v/>
      </c>
      <c r="D695" s="4" t="str">
        <f>IF(B695="","", COUNTIFS(Productos!F:F,A695,Productos!H:H,B695)+IF(F695="SI",0,1))</f>
        <v/>
      </c>
      <c r="E695" s="4" t="str">
        <f>IFERROR(__xludf.DUMMYFUNCTION("IF($B695="""","""",INDEX(filter(Familias!F:F,Familias!$D:$D=$A695,Familias!$E:$E=$B695),1))"),"")</f>
        <v/>
      </c>
      <c r="F695" s="4" t="str">
        <f>IFERROR(__xludf.DUMMYFUNCTION("IF($B695="""","""",INDEX(filter(Familias!G:G,Familias!$D:$D=$A695,Familias!$E:$E=$B695),1))"),"")</f>
        <v/>
      </c>
      <c r="G695" s="4" t="str">
        <f t="array" ref="G695">IF(C695=1,XLOOKUP(C695,Cotizador!D:D,Cotizador!E:E,"",0,1),"")</f>
        <v/>
      </c>
      <c r="I695" s="4"/>
      <c r="J695" s="8" t="str">
        <f>IF(I695="","",SUMIF(Cotizador!I$1:V$1,I695,Cotizador!I$2:V$2))</f>
        <v/>
      </c>
      <c r="L695" s="4" t="str">
        <f t="array" ref="L695">IF(COUNTIF(L$1:L694,A$2)=SUMIF(A:A,A$2,D:D),IF(COUNTIF(L$1:L694,XLOOKUP(A$2,Implementos!B:B,Implementos!C:C,"",0,1))=SUMIF(A:A,XLOOKUP(A$2,Implementos!B:B,Implementos!C:C,"",0,1),D:D),"",XLOOKUP(A$2,Implementos!B:B,Implementos!C:C,"",0,1)),A$2)</f>
        <v/>
      </c>
      <c r="M695" s="4" t="str">
        <f t="shared" si="2"/>
        <v/>
      </c>
      <c r="N695" s="4" t="str">
        <f t="shared" si="3"/>
        <v/>
      </c>
      <c r="O695" s="4" t="str">
        <f t="shared" si="4"/>
        <v/>
      </c>
      <c r="P695" s="4" t="str">
        <f t="shared" si="5"/>
        <v/>
      </c>
      <c r="Q695" s="4" t="str">
        <f>IF(U695="","",SUMIF(Productos!E:E,U695,Productos!A:A))</f>
        <v/>
      </c>
      <c r="R695" s="4" t="str">
        <f t="array" ref="R695">IF(L695="","", max(1,SUMIF(I:I,XLOOKUP(U695,Productos!E:E,Productos!G:G,"",0,1),J:J)))</f>
        <v/>
      </c>
      <c r="S695" s="4" t="str">
        <f>IF(Q695="","",IF(SUMIFS(Compat_Vetado!D:D,Compat_Vetado!B:B,SUM(G:G),Compat_Vetado!C:C,Q695)=1,"SI",IF(OR(SUMIF(Cotizador!E:E,Q695,Cotizador!G:G)&gt;0,SUMIFS(Compat_Vetado!D:D,Compat_Vetado!B:B,SUM(G:G),Compat_Vetado!C:C,Q695)=-1),"NO","")))</f>
        <v/>
      </c>
      <c r="T695" s="4" t="str">
        <f t="shared" si="6"/>
        <v/>
      </c>
      <c r="U695" s="4" t="str">
        <f>IFERROR(__xludf.DUMMYFUNCTION("IF(P695="""","""",IFERROR(INDEX(filter(Productos!E:E,Productos!F:F=L695,Productos!H:H=N695),P695),IF(M695=SUM(D:D),""Finalizar"",""-"")))"),"")</f>
        <v/>
      </c>
      <c r="V695" s="4" t="str">
        <f>IFERROR(__xludf.DUMMYFUNCTION("IF(OR($U695="""",COUNTIF($I:$I,IFERROR(unique(filter(Prod_Prop!$H:$H,Prod_Prop!$G:$G=$U695,Prod_Prop!$E:$E=V$1)),""Check""))=0),"""",IFERROR(unique(filter(Prod_Prop!$H:$H,Prod_Prop!$G:$G=$U695,Prod_Prop!$E:$E=V$1)),""""))"),"")</f>
        <v/>
      </c>
      <c r="W695" s="4" t="str">
        <f>IF(V695="","",SUMIFS(Prod_Prop!$J:$J,Prod_Prop!$B:$B,$Q695,Prod_Prop!$H:$H,V695,Prod_Prop!$I:$I,W$1)*IF(V695="Peso",$R695,1))</f>
        <v/>
      </c>
      <c r="X695" s="4" t="str">
        <f>IF(V695="","",SUMIFS(Prod_Prop!$J:$J,Prod_Prop!$B:$B,$Q695,Prod_Prop!$H:$H,V695,Prod_Prop!$I:$I,X$1)*IF(V695="Peso",$R695,1))</f>
        <v/>
      </c>
      <c r="Y695" s="4" t="str">
        <f>IFERROR(__xludf.DUMMYFUNCTION("IF(OR($U695="""",COUNTIF($I:$I,IFERROR(unique(filter(Prod_Prop!$H:$H,Prod_Prop!$G:$G=$U695,Prod_Prop!$E:$E=Y$1)),""Check""))=0),"""",IFERROR(unique(filter(Prod_Prop!$H:$H,Prod_Prop!$G:$G=$U695,Prod_Prop!$E:$E=Y$1)),""""))"),"")</f>
        <v/>
      </c>
      <c r="Z695" s="4" t="str">
        <f>IF(Y695="","",SUMIFS(Prod_Prop!$J:$J,Prod_Prop!$B:$B,$Q695,Prod_Prop!$H:$H,Y695,Prod_Prop!$I:$I,Z$1)*IF(Y695="Peso",$R695,1))</f>
        <v/>
      </c>
      <c r="AA695" s="4" t="str">
        <f>IF(Y695="","",SUMIFS(Prod_Prop!$J:$J,Prod_Prop!$B:$B,$Q695,Prod_Prop!$H:$H,Y695,Prod_Prop!$I:$I,AA$1)*IF(Y695="Peso",$R695,1))</f>
        <v/>
      </c>
      <c r="AB695" s="4" t="str">
        <f>IFERROR(__xludf.DUMMYFUNCTION("IF(OR($U695="""",COUNTIF($I:$I,IFERROR(unique(filter(Prod_Prop!$H:$H,Prod_Prop!$G:$G=$U695,Prod_Prop!$E:$E=AB$1)),""Check""))=0),"""",IFERROR(unique(filter(Prod_Prop!$H:$H,Prod_Prop!$G:$G=$U695,Prod_Prop!$E:$E=AB$1)),""""))"),"")</f>
        <v/>
      </c>
      <c r="AC695" s="4" t="str">
        <f>IF(AB695="","",SUMIFS(Prod_Prop!$J:$J,Prod_Prop!$B:$B,$Q695,Prod_Prop!$H:$H,AB695,Prod_Prop!$I:$I,AC$1)*IF(AB695="Peso",$R695,1))</f>
        <v/>
      </c>
      <c r="AD695" s="4" t="str">
        <f>IF(AB695="","",SUMIFS(Prod_Prop!$J:$J,Prod_Prop!$B:$B,$Q695,Prod_Prop!$H:$H,AB695,Prod_Prop!$I:$I,AD$1)*IF(AB695="Peso",$R695,1))</f>
        <v/>
      </c>
    </row>
    <row r="696">
      <c r="A696" s="4" t="str">
        <f t="array" ref="A696">IF(COUNTIF(A$1:A695,Cotizador!F$2)=maxifs(Familias!E:E,Familias!D:D,Cotizador!F$2),IF(COUNTIF(A$1:A695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6" s="4" t="str">
        <f t="shared" si="1"/>
        <v/>
      </c>
      <c r="C696" s="4" t="str">
        <f t="array" ref="C696">IF(B696="","",IF(A696=XLOOKUP(A$2,Implementos!B:B,Implementos!C:C,"",0,1),B696+maxifs(B$1:B695,A$1:A695,A$2),B696))</f>
        <v/>
      </c>
      <c r="D696" s="4" t="str">
        <f>IF(B696="","", COUNTIFS(Productos!F:F,A696,Productos!H:H,B696)+IF(F696="SI",0,1))</f>
        <v/>
      </c>
      <c r="E696" s="4" t="str">
        <f>IFERROR(__xludf.DUMMYFUNCTION("IF($B696="""","""",INDEX(filter(Familias!F:F,Familias!$D:$D=$A696,Familias!$E:$E=$B696),1))"),"")</f>
        <v/>
      </c>
      <c r="F696" s="4" t="str">
        <f>IFERROR(__xludf.DUMMYFUNCTION("IF($B696="""","""",INDEX(filter(Familias!G:G,Familias!$D:$D=$A696,Familias!$E:$E=$B696),1))"),"")</f>
        <v/>
      </c>
      <c r="G696" s="4" t="str">
        <f t="array" ref="G696">IF(C696=1,XLOOKUP(C696,Cotizador!D:D,Cotizador!E:E,"",0,1),"")</f>
        <v/>
      </c>
      <c r="I696" s="4"/>
      <c r="J696" s="8" t="str">
        <f>IF(I696="","",SUMIF(Cotizador!I$1:V$1,I696,Cotizador!I$2:V$2))</f>
        <v/>
      </c>
      <c r="L696" s="4" t="str">
        <f t="array" ref="L696">IF(COUNTIF(L$1:L695,A$2)=SUMIF(A:A,A$2,D:D),IF(COUNTIF(L$1:L695,XLOOKUP(A$2,Implementos!B:B,Implementos!C:C,"",0,1))=SUMIF(A:A,XLOOKUP(A$2,Implementos!B:B,Implementos!C:C,"",0,1),D:D),"",XLOOKUP(A$2,Implementos!B:B,Implementos!C:C,"",0,1)),A$2)</f>
        <v/>
      </c>
      <c r="M696" s="4" t="str">
        <f t="shared" si="2"/>
        <v/>
      </c>
      <c r="N696" s="4" t="str">
        <f t="shared" si="3"/>
        <v/>
      </c>
      <c r="O696" s="4" t="str">
        <f t="shared" si="4"/>
        <v/>
      </c>
      <c r="P696" s="4" t="str">
        <f t="shared" si="5"/>
        <v/>
      </c>
      <c r="Q696" s="4" t="str">
        <f>IF(U696="","",SUMIF(Productos!E:E,U696,Productos!A:A))</f>
        <v/>
      </c>
      <c r="R696" s="4" t="str">
        <f t="array" ref="R696">IF(L696="","", max(1,SUMIF(I:I,XLOOKUP(U696,Productos!E:E,Productos!G:G,"",0,1),J:J)))</f>
        <v/>
      </c>
      <c r="S696" s="4" t="str">
        <f>IF(Q696="","",IF(SUMIFS(Compat_Vetado!D:D,Compat_Vetado!B:B,SUM(G:G),Compat_Vetado!C:C,Q696)=1,"SI",IF(OR(SUMIF(Cotizador!E:E,Q696,Cotizador!G:G)&gt;0,SUMIFS(Compat_Vetado!D:D,Compat_Vetado!B:B,SUM(G:G),Compat_Vetado!C:C,Q696)=-1),"NO","")))</f>
        <v/>
      </c>
      <c r="T696" s="4" t="str">
        <f t="shared" si="6"/>
        <v/>
      </c>
      <c r="U696" s="4" t="str">
        <f>IFERROR(__xludf.DUMMYFUNCTION("IF(P696="""","""",IFERROR(INDEX(filter(Productos!E:E,Productos!F:F=L696,Productos!H:H=N696),P696),IF(M696=SUM(D:D),""Finalizar"",""-"")))"),"")</f>
        <v/>
      </c>
      <c r="V696" s="4" t="str">
        <f>IFERROR(__xludf.DUMMYFUNCTION("IF(OR($U696="""",COUNTIF($I:$I,IFERROR(unique(filter(Prod_Prop!$H:$H,Prod_Prop!$G:$G=$U696,Prod_Prop!$E:$E=V$1)),""Check""))=0),"""",IFERROR(unique(filter(Prod_Prop!$H:$H,Prod_Prop!$G:$G=$U696,Prod_Prop!$E:$E=V$1)),""""))"),"")</f>
        <v/>
      </c>
      <c r="W696" s="4" t="str">
        <f>IF(V696="","",SUMIFS(Prod_Prop!$J:$J,Prod_Prop!$B:$B,$Q696,Prod_Prop!$H:$H,V696,Prod_Prop!$I:$I,W$1)*IF(V696="Peso",$R696,1))</f>
        <v/>
      </c>
      <c r="X696" s="4" t="str">
        <f>IF(V696="","",SUMIFS(Prod_Prop!$J:$J,Prod_Prop!$B:$B,$Q696,Prod_Prop!$H:$H,V696,Prod_Prop!$I:$I,X$1)*IF(V696="Peso",$R696,1))</f>
        <v/>
      </c>
      <c r="Y696" s="4" t="str">
        <f>IFERROR(__xludf.DUMMYFUNCTION("IF(OR($U696="""",COUNTIF($I:$I,IFERROR(unique(filter(Prod_Prop!$H:$H,Prod_Prop!$G:$G=$U696,Prod_Prop!$E:$E=Y$1)),""Check""))=0),"""",IFERROR(unique(filter(Prod_Prop!$H:$H,Prod_Prop!$G:$G=$U696,Prod_Prop!$E:$E=Y$1)),""""))"),"")</f>
        <v/>
      </c>
      <c r="Z696" s="4" t="str">
        <f>IF(Y696="","",SUMIFS(Prod_Prop!$J:$J,Prod_Prop!$B:$B,$Q696,Prod_Prop!$H:$H,Y696,Prod_Prop!$I:$I,Z$1)*IF(Y696="Peso",$R696,1))</f>
        <v/>
      </c>
      <c r="AA696" s="4" t="str">
        <f>IF(Y696="","",SUMIFS(Prod_Prop!$J:$J,Prod_Prop!$B:$B,$Q696,Prod_Prop!$H:$H,Y696,Prod_Prop!$I:$I,AA$1)*IF(Y696="Peso",$R696,1))</f>
        <v/>
      </c>
      <c r="AB696" s="4" t="str">
        <f>IFERROR(__xludf.DUMMYFUNCTION("IF(OR($U696="""",COUNTIF($I:$I,IFERROR(unique(filter(Prod_Prop!$H:$H,Prod_Prop!$G:$G=$U696,Prod_Prop!$E:$E=AB$1)),""Check""))=0),"""",IFERROR(unique(filter(Prod_Prop!$H:$H,Prod_Prop!$G:$G=$U696,Prod_Prop!$E:$E=AB$1)),""""))"),"")</f>
        <v/>
      </c>
      <c r="AC696" s="4" t="str">
        <f>IF(AB696="","",SUMIFS(Prod_Prop!$J:$J,Prod_Prop!$B:$B,$Q696,Prod_Prop!$H:$H,AB696,Prod_Prop!$I:$I,AC$1)*IF(AB696="Peso",$R696,1))</f>
        <v/>
      </c>
      <c r="AD696" s="4" t="str">
        <f>IF(AB696="","",SUMIFS(Prod_Prop!$J:$J,Prod_Prop!$B:$B,$Q696,Prod_Prop!$H:$H,AB696,Prod_Prop!$I:$I,AD$1)*IF(AB696="Peso",$R696,1))</f>
        <v/>
      </c>
    </row>
    <row r="697">
      <c r="A697" s="4" t="str">
        <f t="array" ref="A697">IF(COUNTIF(A$1:A696,Cotizador!F$2)=maxifs(Familias!E:E,Familias!D:D,Cotizador!F$2),IF(COUNTIF(A$1:A696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7" s="4" t="str">
        <f t="shared" si="1"/>
        <v/>
      </c>
      <c r="C697" s="4" t="str">
        <f t="array" ref="C697">IF(B697="","",IF(A697=XLOOKUP(A$2,Implementos!B:B,Implementos!C:C,"",0,1),B697+maxifs(B$1:B696,A$1:A696,A$2),B697))</f>
        <v/>
      </c>
      <c r="D697" s="4" t="str">
        <f>IF(B697="","", COUNTIFS(Productos!F:F,A697,Productos!H:H,B697)+IF(F697="SI",0,1))</f>
        <v/>
      </c>
      <c r="E697" s="4" t="str">
        <f>IFERROR(__xludf.DUMMYFUNCTION("IF($B697="""","""",INDEX(filter(Familias!F:F,Familias!$D:$D=$A697,Familias!$E:$E=$B697),1))"),"")</f>
        <v/>
      </c>
      <c r="F697" s="4" t="str">
        <f>IFERROR(__xludf.DUMMYFUNCTION("IF($B697="""","""",INDEX(filter(Familias!G:G,Familias!$D:$D=$A697,Familias!$E:$E=$B697),1))"),"")</f>
        <v/>
      </c>
      <c r="G697" s="4" t="str">
        <f t="array" ref="G697">IF(C697=1,XLOOKUP(C697,Cotizador!D:D,Cotizador!E:E,"",0,1),"")</f>
        <v/>
      </c>
      <c r="I697" s="4"/>
      <c r="J697" s="8" t="str">
        <f>IF(I697="","",SUMIF(Cotizador!I$1:V$1,I697,Cotizador!I$2:V$2))</f>
        <v/>
      </c>
      <c r="L697" s="4" t="str">
        <f t="array" ref="L697">IF(COUNTIF(L$1:L696,A$2)=SUMIF(A:A,A$2,D:D),IF(COUNTIF(L$1:L696,XLOOKUP(A$2,Implementos!B:B,Implementos!C:C,"",0,1))=SUMIF(A:A,XLOOKUP(A$2,Implementos!B:B,Implementos!C:C,"",0,1),D:D),"",XLOOKUP(A$2,Implementos!B:B,Implementos!C:C,"",0,1)),A$2)</f>
        <v/>
      </c>
      <c r="M697" s="4" t="str">
        <f t="shared" si="2"/>
        <v/>
      </c>
      <c r="N697" s="4" t="str">
        <f t="shared" si="3"/>
        <v/>
      </c>
      <c r="O697" s="4" t="str">
        <f t="shared" si="4"/>
        <v/>
      </c>
      <c r="P697" s="4" t="str">
        <f t="shared" si="5"/>
        <v/>
      </c>
      <c r="Q697" s="4" t="str">
        <f>IF(U697="","",SUMIF(Productos!E:E,U697,Productos!A:A))</f>
        <v/>
      </c>
      <c r="R697" s="4" t="str">
        <f t="array" ref="R697">IF(L697="","", max(1,SUMIF(I:I,XLOOKUP(U697,Productos!E:E,Productos!G:G,"",0,1),J:J)))</f>
        <v/>
      </c>
      <c r="S697" s="4" t="str">
        <f>IF(Q697="","",IF(SUMIFS(Compat_Vetado!D:D,Compat_Vetado!B:B,SUM(G:G),Compat_Vetado!C:C,Q697)=1,"SI",IF(OR(SUMIF(Cotizador!E:E,Q697,Cotizador!G:G)&gt;0,SUMIFS(Compat_Vetado!D:D,Compat_Vetado!B:B,SUM(G:G),Compat_Vetado!C:C,Q697)=-1),"NO","")))</f>
        <v/>
      </c>
      <c r="T697" s="4" t="str">
        <f t="shared" si="6"/>
        <v/>
      </c>
      <c r="U697" s="4" t="str">
        <f>IFERROR(__xludf.DUMMYFUNCTION("IF(P697="""","""",IFERROR(INDEX(filter(Productos!E:E,Productos!F:F=L697,Productos!H:H=N697),P697),IF(M697=SUM(D:D),""Finalizar"",""-"")))"),"")</f>
        <v/>
      </c>
      <c r="V697" s="4" t="str">
        <f>IFERROR(__xludf.DUMMYFUNCTION("IF(OR($U697="""",COUNTIF($I:$I,IFERROR(unique(filter(Prod_Prop!$H:$H,Prod_Prop!$G:$G=$U697,Prod_Prop!$E:$E=V$1)),""Check""))=0),"""",IFERROR(unique(filter(Prod_Prop!$H:$H,Prod_Prop!$G:$G=$U697,Prod_Prop!$E:$E=V$1)),""""))"),"")</f>
        <v/>
      </c>
      <c r="W697" s="4" t="str">
        <f>IF(V697="","",SUMIFS(Prod_Prop!$J:$J,Prod_Prop!$B:$B,$Q697,Prod_Prop!$H:$H,V697,Prod_Prop!$I:$I,W$1)*IF(V697="Peso",$R697,1))</f>
        <v/>
      </c>
      <c r="X697" s="4" t="str">
        <f>IF(V697="","",SUMIFS(Prod_Prop!$J:$J,Prod_Prop!$B:$B,$Q697,Prod_Prop!$H:$H,V697,Prod_Prop!$I:$I,X$1)*IF(V697="Peso",$R697,1))</f>
        <v/>
      </c>
      <c r="Y697" s="4" t="str">
        <f>IFERROR(__xludf.DUMMYFUNCTION("IF(OR($U697="""",COUNTIF($I:$I,IFERROR(unique(filter(Prod_Prop!$H:$H,Prod_Prop!$G:$G=$U697,Prod_Prop!$E:$E=Y$1)),""Check""))=0),"""",IFERROR(unique(filter(Prod_Prop!$H:$H,Prod_Prop!$G:$G=$U697,Prod_Prop!$E:$E=Y$1)),""""))"),"")</f>
        <v/>
      </c>
      <c r="Z697" s="4" t="str">
        <f>IF(Y697="","",SUMIFS(Prod_Prop!$J:$J,Prod_Prop!$B:$B,$Q697,Prod_Prop!$H:$H,Y697,Prod_Prop!$I:$I,Z$1)*IF(Y697="Peso",$R697,1))</f>
        <v/>
      </c>
      <c r="AA697" s="4" t="str">
        <f>IF(Y697="","",SUMIFS(Prod_Prop!$J:$J,Prod_Prop!$B:$B,$Q697,Prod_Prop!$H:$H,Y697,Prod_Prop!$I:$I,AA$1)*IF(Y697="Peso",$R697,1))</f>
        <v/>
      </c>
      <c r="AB697" s="4" t="str">
        <f>IFERROR(__xludf.DUMMYFUNCTION("IF(OR($U697="""",COUNTIF($I:$I,IFERROR(unique(filter(Prod_Prop!$H:$H,Prod_Prop!$G:$G=$U697,Prod_Prop!$E:$E=AB$1)),""Check""))=0),"""",IFERROR(unique(filter(Prod_Prop!$H:$H,Prod_Prop!$G:$G=$U697,Prod_Prop!$E:$E=AB$1)),""""))"),"")</f>
        <v/>
      </c>
      <c r="AC697" s="4" t="str">
        <f>IF(AB697="","",SUMIFS(Prod_Prop!$J:$J,Prod_Prop!$B:$B,$Q697,Prod_Prop!$H:$H,AB697,Prod_Prop!$I:$I,AC$1)*IF(AB697="Peso",$R697,1))</f>
        <v/>
      </c>
      <c r="AD697" s="4" t="str">
        <f>IF(AB697="","",SUMIFS(Prod_Prop!$J:$J,Prod_Prop!$B:$B,$Q697,Prod_Prop!$H:$H,AB697,Prod_Prop!$I:$I,AD$1)*IF(AB697="Peso",$R697,1))</f>
        <v/>
      </c>
    </row>
    <row r="698">
      <c r="A698" s="4" t="str">
        <f t="array" ref="A698">IF(COUNTIF(A$1:A697,Cotizador!F$2)=maxifs(Familias!E:E,Familias!D:D,Cotizador!F$2),IF(COUNTIF(A$1:A697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8" s="4" t="str">
        <f t="shared" si="1"/>
        <v/>
      </c>
      <c r="C698" s="4" t="str">
        <f t="array" ref="C698">IF(B698="","",IF(A698=XLOOKUP(A$2,Implementos!B:B,Implementos!C:C,"",0,1),B698+maxifs(B$1:B697,A$1:A697,A$2),B698))</f>
        <v/>
      </c>
      <c r="D698" s="4" t="str">
        <f>IF(B698="","", COUNTIFS(Productos!F:F,A698,Productos!H:H,B698)+IF(F698="SI",0,1))</f>
        <v/>
      </c>
      <c r="E698" s="4" t="str">
        <f>IFERROR(__xludf.DUMMYFUNCTION("IF($B698="""","""",INDEX(filter(Familias!F:F,Familias!$D:$D=$A698,Familias!$E:$E=$B698),1))"),"")</f>
        <v/>
      </c>
      <c r="F698" s="4" t="str">
        <f>IFERROR(__xludf.DUMMYFUNCTION("IF($B698="""","""",INDEX(filter(Familias!G:G,Familias!$D:$D=$A698,Familias!$E:$E=$B698),1))"),"")</f>
        <v/>
      </c>
      <c r="G698" s="4" t="str">
        <f t="array" ref="G698">IF(C698=1,XLOOKUP(C698,Cotizador!D:D,Cotizador!E:E,"",0,1),"")</f>
        <v/>
      </c>
      <c r="I698" s="4"/>
      <c r="J698" s="8" t="str">
        <f>IF(I698="","",SUMIF(Cotizador!I$1:V$1,I698,Cotizador!I$2:V$2))</f>
        <v/>
      </c>
      <c r="L698" s="4" t="str">
        <f t="array" ref="L698">IF(COUNTIF(L$1:L697,A$2)=SUMIF(A:A,A$2,D:D),IF(COUNTIF(L$1:L697,XLOOKUP(A$2,Implementos!B:B,Implementos!C:C,"",0,1))=SUMIF(A:A,XLOOKUP(A$2,Implementos!B:B,Implementos!C:C,"",0,1),D:D),"",XLOOKUP(A$2,Implementos!B:B,Implementos!C:C,"",0,1)),A$2)</f>
        <v/>
      </c>
      <c r="M698" s="4" t="str">
        <f t="shared" si="2"/>
        <v/>
      </c>
      <c r="N698" s="4" t="str">
        <f t="shared" si="3"/>
        <v/>
      </c>
      <c r="O698" s="4" t="str">
        <f t="shared" si="4"/>
        <v/>
      </c>
      <c r="P698" s="4" t="str">
        <f t="shared" si="5"/>
        <v/>
      </c>
      <c r="Q698" s="4" t="str">
        <f>IF(U698="","",SUMIF(Productos!E:E,U698,Productos!A:A))</f>
        <v/>
      </c>
      <c r="R698" s="4" t="str">
        <f t="array" ref="R698">IF(L698="","", max(1,SUMIF(I:I,XLOOKUP(U698,Productos!E:E,Productos!G:G,"",0,1),J:J)))</f>
        <v/>
      </c>
      <c r="S698" s="4" t="str">
        <f>IF(Q698="","",IF(SUMIFS(Compat_Vetado!D:D,Compat_Vetado!B:B,SUM(G:G),Compat_Vetado!C:C,Q698)=1,"SI",IF(OR(SUMIF(Cotizador!E:E,Q698,Cotizador!G:G)&gt;0,SUMIFS(Compat_Vetado!D:D,Compat_Vetado!B:B,SUM(G:G),Compat_Vetado!C:C,Q698)=-1),"NO","")))</f>
        <v/>
      </c>
      <c r="T698" s="4" t="str">
        <f t="shared" si="6"/>
        <v/>
      </c>
      <c r="U698" s="4" t="str">
        <f>IFERROR(__xludf.DUMMYFUNCTION("IF(P698="""","""",IFERROR(INDEX(filter(Productos!E:E,Productos!F:F=L698,Productos!H:H=N698),P698),IF(M698=SUM(D:D),""Finalizar"",""-"")))"),"")</f>
        <v/>
      </c>
      <c r="V698" s="4" t="str">
        <f>IFERROR(__xludf.DUMMYFUNCTION("IF(OR($U698="""",COUNTIF($I:$I,IFERROR(unique(filter(Prod_Prop!$H:$H,Prod_Prop!$G:$G=$U698,Prod_Prop!$E:$E=V$1)),""Check""))=0),"""",IFERROR(unique(filter(Prod_Prop!$H:$H,Prod_Prop!$G:$G=$U698,Prod_Prop!$E:$E=V$1)),""""))"),"")</f>
        <v/>
      </c>
      <c r="W698" s="4" t="str">
        <f>IF(V698="","",SUMIFS(Prod_Prop!$J:$J,Prod_Prop!$B:$B,$Q698,Prod_Prop!$H:$H,V698,Prod_Prop!$I:$I,W$1)*IF(V698="Peso",$R698,1))</f>
        <v/>
      </c>
      <c r="X698" s="4" t="str">
        <f>IF(V698="","",SUMIFS(Prod_Prop!$J:$J,Prod_Prop!$B:$B,$Q698,Prod_Prop!$H:$H,V698,Prod_Prop!$I:$I,X$1)*IF(V698="Peso",$R698,1))</f>
        <v/>
      </c>
      <c r="Y698" s="4" t="str">
        <f>IFERROR(__xludf.DUMMYFUNCTION("IF(OR($U698="""",COUNTIF($I:$I,IFERROR(unique(filter(Prod_Prop!$H:$H,Prod_Prop!$G:$G=$U698,Prod_Prop!$E:$E=Y$1)),""Check""))=0),"""",IFERROR(unique(filter(Prod_Prop!$H:$H,Prod_Prop!$G:$G=$U698,Prod_Prop!$E:$E=Y$1)),""""))"),"")</f>
        <v/>
      </c>
      <c r="Z698" s="4" t="str">
        <f>IF(Y698="","",SUMIFS(Prod_Prop!$J:$J,Prod_Prop!$B:$B,$Q698,Prod_Prop!$H:$H,Y698,Prod_Prop!$I:$I,Z$1)*IF(Y698="Peso",$R698,1))</f>
        <v/>
      </c>
      <c r="AA698" s="4" t="str">
        <f>IF(Y698="","",SUMIFS(Prod_Prop!$J:$J,Prod_Prop!$B:$B,$Q698,Prod_Prop!$H:$H,Y698,Prod_Prop!$I:$I,AA$1)*IF(Y698="Peso",$R698,1))</f>
        <v/>
      </c>
      <c r="AB698" s="4" t="str">
        <f>IFERROR(__xludf.DUMMYFUNCTION("IF(OR($U698="""",COUNTIF($I:$I,IFERROR(unique(filter(Prod_Prop!$H:$H,Prod_Prop!$G:$G=$U698,Prod_Prop!$E:$E=AB$1)),""Check""))=0),"""",IFERROR(unique(filter(Prod_Prop!$H:$H,Prod_Prop!$G:$G=$U698,Prod_Prop!$E:$E=AB$1)),""""))"),"")</f>
        <v/>
      </c>
      <c r="AC698" s="4" t="str">
        <f>IF(AB698="","",SUMIFS(Prod_Prop!$J:$J,Prod_Prop!$B:$B,$Q698,Prod_Prop!$H:$H,AB698,Prod_Prop!$I:$I,AC$1)*IF(AB698="Peso",$R698,1))</f>
        <v/>
      </c>
      <c r="AD698" s="4" t="str">
        <f>IF(AB698="","",SUMIFS(Prod_Prop!$J:$J,Prod_Prop!$B:$B,$Q698,Prod_Prop!$H:$H,AB698,Prod_Prop!$I:$I,AD$1)*IF(AB698="Peso",$R698,1))</f>
        <v/>
      </c>
    </row>
    <row r="699">
      <c r="A699" s="4" t="str">
        <f t="array" ref="A699">IF(COUNTIF(A$1:A698,Cotizador!F$2)=maxifs(Familias!E:E,Familias!D:D,Cotizador!F$2),IF(COUNTIF(A$1:A698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699" s="4" t="str">
        <f t="shared" si="1"/>
        <v/>
      </c>
      <c r="C699" s="4" t="str">
        <f t="array" ref="C699">IF(B699="","",IF(A699=XLOOKUP(A$2,Implementos!B:B,Implementos!C:C,"",0,1),B699+maxifs(B$1:B698,A$1:A698,A$2),B699))</f>
        <v/>
      </c>
      <c r="D699" s="4" t="str">
        <f>IF(B699="","", COUNTIFS(Productos!F:F,A699,Productos!H:H,B699)+IF(F699="SI",0,1))</f>
        <v/>
      </c>
      <c r="E699" s="4" t="str">
        <f>IFERROR(__xludf.DUMMYFUNCTION("IF($B699="""","""",INDEX(filter(Familias!F:F,Familias!$D:$D=$A699,Familias!$E:$E=$B699),1))"),"")</f>
        <v/>
      </c>
      <c r="F699" s="4" t="str">
        <f>IFERROR(__xludf.DUMMYFUNCTION("IF($B699="""","""",INDEX(filter(Familias!G:G,Familias!$D:$D=$A699,Familias!$E:$E=$B699),1))"),"")</f>
        <v/>
      </c>
      <c r="G699" s="4" t="str">
        <f t="array" ref="G699">IF(C699=1,XLOOKUP(C699,Cotizador!D:D,Cotizador!E:E,"",0,1),"")</f>
        <v/>
      </c>
      <c r="I699" s="4"/>
      <c r="J699" s="8" t="str">
        <f>IF(I699="","",SUMIF(Cotizador!I$1:V$1,I699,Cotizador!I$2:V$2))</f>
        <v/>
      </c>
      <c r="L699" s="4" t="str">
        <f t="array" ref="L699">IF(COUNTIF(L$1:L698,A$2)=SUMIF(A:A,A$2,D:D),IF(COUNTIF(L$1:L698,XLOOKUP(A$2,Implementos!B:B,Implementos!C:C,"",0,1))=SUMIF(A:A,XLOOKUP(A$2,Implementos!B:B,Implementos!C:C,"",0,1),D:D),"",XLOOKUP(A$2,Implementos!B:B,Implementos!C:C,"",0,1)),A$2)</f>
        <v/>
      </c>
      <c r="M699" s="4" t="str">
        <f t="shared" si="2"/>
        <v/>
      </c>
      <c r="N699" s="4" t="str">
        <f t="shared" si="3"/>
        <v/>
      </c>
      <c r="O699" s="4" t="str">
        <f t="shared" si="4"/>
        <v/>
      </c>
      <c r="P699" s="4" t="str">
        <f t="shared" si="5"/>
        <v/>
      </c>
      <c r="Q699" s="4" t="str">
        <f>IF(U699="","",SUMIF(Productos!E:E,U699,Productos!A:A))</f>
        <v/>
      </c>
      <c r="R699" s="4" t="str">
        <f t="array" ref="R699">IF(L699="","", max(1,SUMIF(I:I,XLOOKUP(U699,Productos!E:E,Productos!G:G,"",0,1),J:J)))</f>
        <v/>
      </c>
      <c r="S699" s="4" t="str">
        <f>IF(Q699="","",IF(SUMIFS(Compat_Vetado!D:D,Compat_Vetado!B:B,SUM(G:G),Compat_Vetado!C:C,Q699)=1,"SI",IF(OR(SUMIF(Cotizador!E:E,Q699,Cotizador!G:G)&gt;0,SUMIFS(Compat_Vetado!D:D,Compat_Vetado!B:B,SUM(G:G),Compat_Vetado!C:C,Q699)=-1),"NO","")))</f>
        <v/>
      </c>
      <c r="T699" s="4" t="str">
        <f t="shared" si="6"/>
        <v/>
      </c>
      <c r="U699" s="4" t="str">
        <f>IFERROR(__xludf.DUMMYFUNCTION("IF(P699="""","""",IFERROR(INDEX(filter(Productos!E:E,Productos!F:F=L699,Productos!H:H=N699),P699),IF(M699=SUM(D:D),""Finalizar"",""-"")))"),"")</f>
        <v/>
      </c>
      <c r="V699" s="4" t="str">
        <f>IFERROR(__xludf.DUMMYFUNCTION("IF(OR($U699="""",COUNTIF($I:$I,IFERROR(unique(filter(Prod_Prop!$H:$H,Prod_Prop!$G:$G=$U699,Prod_Prop!$E:$E=V$1)),""Check""))=0),"""",IFERROR(unique(filter(Prod_Prop!$H:$H,Prod_Prop!$G:$G=$U699,Prod_Prop!$E:$E=V$1)),""""))"),"")</f>
        <v/>
      </c>
      <c r="W699" s="4" t="str">
        <f>IF(V699="","",SUMIFS(Prod_Prop!$J:$J,Prod_Prop!$B:$B,$Q699,Prod_Prop!$H:$H,V699,Prod_Prop!$I:$I,W$1)*IF(V699="Peso",$R699,1))</f>
        <v/>
      </c>
      <c r="X699" s="4" t="str">
        <f>IF(V699="","",SUMIFS(Prod_Prop!$J:$J,Prod_Prop!$B:$B,$Q699,Prod_Prop!$H:$H,V699,Prod_Prop!$I:$I,X$1)*IF(V699="Peso",$R699,1))</f>
        <v/>
      </c>
      <c r="Y699" s="4" t="str">
        <f>IFERROR(__xludf.DUMMYFUNCTION("IF(OR($U699="""",COUNTIF($I:$I,IFERROR(unique(filter(Prod_Prop!$H:$H,Prod_Prop!$G:$G=$U699,Prod_Prop!$E:$E=Y$1)),""Check""))=0),"""",IFERROR(unique(filter(Prod_Prop!$H:$H,Prod_Prop!$G:$G=$U699,Prod_Prop!$E:$E=Y$1)),""""))"),"")</f>
        <v/>
      </c>
      <c r="Z699" s="4" t="str">
        <f>IF(Y699="","",SUMIFS(Prod_Prop!$J:$J,Prod_Prop!$B:$B,$Q699,Prod_Prop!$H:$H,Y699,Prod_Prop!$I:$I,Z$1)*IF(Y699="Peso",$R699,1))</f>
        <v/>
      </c>
      <c r="AA699" s="4" t="str">
        <f>IF(Y699="","",SUMIFS(Prod_Prop!$J:$J,Prod_Prop!$B:$B,$Q699,Prod_Prop!$H:$H,Y699,Prod_Prop!$I:$I,AA$1)*IF(Y699="Peso",$R699,1))</f>
        <v/>
      </c>
      <c r="AB699" s="4" t="str">
        <f>IFERROR(__xludf.DUMMYFUNCTION("IF(OR($U699="""",COUNTIF($I:$I,IFERROR(unique(filter(Prod_Prop!$H:$H,Prod_Prop!$G:$G=$U699,Prod_Prop!$E:$E=AB$1)),""Check""))=0),"""",IFERROR(unique(filter(Prod_Prop!$H:$H,Prod_Prop!$G:$G=$U699,Prod_Prop!$E:$E=AB$1)),""""))"),"")</f>
        <v/>
      </c>
      <c r="AC699" s="4" t="str">
        <f>IF(AB699="","",SUMIFS(Prod_Prop!$J:$J,Prod_Prop!$B:$B,$Q699,Prod_Prop!$H:$H,AB699,Prod_Prop!$I:$I,AC$1)*IF(AB699="Peso",$R699,1))</f>
        <v/>
      </c>
      <c r="AD699" s="4" t="str">
        <f>IF(AB699="","",SUMIFS(Prod_Prop!$J:$J,Prod_Prop!$B:$B,$Q699,Prod_Prop!$H:$H,AB699,Prod_Prop!$I:$I,AD$1)*IF(AB699="Peso",$R699,1))</f>
        <v/>
      </c>
    </row>
    <row r="700">
      <c r="A700" s="4" t="str">
        <f t="array" ref="A700">IF(COUNTIF(A$1:A699,Cotizador!F$2)=maxifs(Familias!E:E,Familias!D:D,Cotizador!F$2),IF(COUNTIF(A$1:A699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0" s="4" t="str">
        <f t="shared" si="1"/>
        <v/>
      </c>
      <c r="C700" s="4" t="str">
        <f t="array" ref="C700">IF(B700="","",IF(A700=XLOOKUP(A$2,Implementos!B:B,Implementos!C:C,"",0,1),B700+maxifs(B$1:B699,A$1:A699,A$2),B700))</f>
        <v/>
      </c>
      <c r="D700" s="4" t="str">
        <f>IF(B700="","", COUNTIFS(Productos!F:F,A700,Productos!H:H,B700)+IF(F700="SI",0,1))</f>
        <v/>
      </c>
      <c r="E700" s="4" t="str">
        <f>IFERROR(__xludf.DUMMYFUNCTION("IF($B700="""","""",INDEX(filter(Familias!F:F,Familias!$D:$D=$A700,Familias!$E:$E=$B700),1))"),"")</f>
        <v/>
      </c>
      <c r="F700" s="4" t="str">
        <f>IFERROR(__xludf.DUMMYFUNCTION("IF($B700="""","""",INDEX(filter(Familias!G:G,Familias!$D:$D=$A700,Familias!$E:$E=$B700),1))"),"")</f>
        <v/>
      </c>
      <c r="G700" s="4" t="str">
        <f t="array" ref="G700">IF(C700=1,XLOOKUP(C700,Cotizador!D:D,Cotizador!E:E,"",0,1),"")</f>
        <v/>
      </c>
      <c r="I700" s="4"/>
      <c r="J700" s="8" t="str">
        <f>IF(I700="","",SUMIF(Cotizador!I$1:V$1,I700,Cotizador!I$2:V$2))</f>
        <v/>
      </c>
      <c r="L700" s="4" t="str">
        <f t="array" ref="L700">IF(COUNTIF(L$1:L699,A$2)=SUMIF(A:A,A$2,D:D),IF(COUNTIF(L$1:L699,XLOOKUP(A$2,Implementos!B:B,Implementos!C:C,"",0,1))=SUMIF(A:A,XLOOKUP(A$2,Implementos!B:B,Implementos!C:C,"",0,1),D:D),"",XLOOKUP(A$2,Implementos!B:B,Implementos!C:C,"",0,1)),A$2)</f>
        <v/>
      </c>
      <c r="M700" s="4" t="str">
        <f t="shared" si="2"/>
        <v/>
      </c>
      <c r="N700" s="4" t="str">
        <f t="shared" si="3"/>
        <v/>
      </c>
      <c r="O700" s="4" t="str">
        <f t="shared" si="4"/>
        <v/>
      </c>
      <c r="P700" s="4" t="str">
        <f t="shared" si="5"/>
        <v/>
      </c>
      <c r="Q700" s="4" t="str">
        <f>IF(U700="","",SUMIF(Productos!E:E,U700,Productos!A:A))</f>
        <v/>
      </c>
      <c r="R700" s="4" t="str">
        <f t="array" ref="R700">IF(L700="","", max(1,SUMIF(I:I,XLOOKUP(U700,Productos!E:E,Productos!G:G,"",0,1),J:J)))</f>
        <v/>
      </c>
      <c r="S700" s="4" t="str">
        <f>IF(Q700="","",IF(SUMIFS(Compat_Vetado!D:D,Compat_Vetado!B:B,SUM(G:G),Compat_Vetado!C:C,Q700)=1,"SI",IF(OR(SUMIF(Cotizador!E:E,Q700,Cotizador!G:G)&gt;0,SUMIFS(Compat_Vetado!D:D,Compat_Vetado!B:B,SUM(G:G),Compat_Vetado!C:C,Q700)=-1),"NO","")))</f>
        <v/>
      </c>
      <c r="T700" s="4" t="str">
        <f t="shared" si="6"/>
        <v/>
      </c>
      <c r="U700" s="4" t="str">
        <f>IFERROR(__xludf.DUMMYFUNCTION("IF(P700="""","""",IFERROR(INDEX(filter(Productos!E:E,Productos!F:F=L700,Productos!H:H=N700),P700),IF(M700=SUM(D:D),""Finalizar"",""-"")))"),"")</f>
        <v/>
      </c>
      <c r="V700" s="4" t="str">
        <f>IFERROR(__xludf.DUMMYFUNCTION("IF(OR($U700="""",COUNTIF($I:$I,IFERROR(unique(filter(Prod_Prop!$H:$H,Prod_Prop!$G:$G=$U700,Prod_Prop!$E:$E=V$1)),""Check""))=0),"""",IFERROR(unique(filter(Prod_Prop!$H:$H,Prod_Prop!$G:$G=$U700,Prod_Prop!$E:$E=V$1)),""""))"),"")</f>
        <v/>
      </c>
      <c r="W700" s="4" t="str">
        <f>IF(V700="","",SUMIFS(Prod_Prop!$J:$J,Prod_Prop!$B:$B,$Q700,Prod_Prop!$H:$H,V700,Prod_Prop!$I:$I,W$1)*IF(V700="Peso",$R700,1))</f>
        <v/>
      </c>
      <c r="X700" s="4" t="str">
        <f>IF(V700="","",SUMIFS(Prod_Prop!$J:$J,Prod_Prop!$B:$B,$Q700,Prod_Prop!$H:$H,V700,Prod_Prop!$I:$I,X$1)*IF(V700="Peso",$R700,1))</f>
        <v/>
      </c>
      <c r="Y700" s="4" t="str">
        <f>IFERROR(__xludf.DUMMYFUNCTION("IF(OR($U700="""",COUNTIF($I:$I,IFERROR(unique(filter(Prod_Prop!$H:$H,Prod_Prop!$G:$G=$U700,Prod_Prop!$E:$E=Y$1)),""Check""))=0),"""",IFERROR(unique(filter(Prod_Prop!$H:$H,Prod_Prop!$G:$G=$U700,Prod_Prop!$E:$E=Y$1)),""""))"),"")</f>
        <v/>
      </c>
      <c r="Z700" s="4" t="str">
        <f>IF(Y700="","",SUMIFS(Prod_Prop!$J:$J,Prod_Prop!$B:$B,$Q700,Prod_Prop!$H:$H,Y700,Prod_Prop!$I:$I,Z$1)*IF(Y700="Peso",$R700,1))</f>
        <v/>
      </c>
      <c r="AA700" s="4" t="str">
        <f>IF(Y700="","",SUMIFS(Prod_Prop!$J:$J,Prod_Prop!$B:$B,$Q700,Prod_Prop!$H:$H,Y700,Prod_Prop!$I:$I,AA$1)*IF(Y700="Peso",$R700,1))</f>
        <v/>
      </c>
      <c r="AB700" s="4" t="str">
        <f>IFERROR(__xludf.DUMMYFUNCTION("IF(OR($U700="""",COUNTIF($I:$I,IFERROR(unique(filter(Prod_Prop!$H:$H,Prod_Prop!$G:$G=$U700,Prod_Prop!$E:$E=AB$1)),""Check""))=0),"""",IFERROR(unique(filter(Prod_Prop!$H:$H,Prod_Prop!$G:$G=$U700,Prod_Prop!$E:$E=AB$1)),""""))"),"")</f>
        <v/>
      </c>
      <c r="AC700" s="4" t="str">
        <f>IF(AB700="","",SUMIFS(Prod_Prop!$J:$J,Prod_Prop!$B:$B,$Q700,Prod_Prop!$H:$H,AB700,Prod_Prop!$I:$I,AC$1)*IF(AB700="Peso",$R700,1))</f>
        <v/>
      </c>
      <c r="AD700" s="4" t="str">
        <f>IF(AB700="","",SUMIFS(Prod_Prop!$J:$J,Prod_Prop!$B:$B,$Q700,Prod_Prop!$H:$H,AB700,Prod_Prop!$I:$I,AD$1)*IF(AB700="Peso",$R700,1))</f>
        <v/>
      </c>
    </row>
    <row r="701">
      <c r="A701" s="4" t="str">
        <f t="array" ref="A701">IF(COUNTIF(A$1:A700,Cotizador!F$2)=maxifs(Familias!E:E,Familias!D:D,Cotizador!F$2),IF(COUNTIF(A$1:A700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1" s="4" t="str">
        <f t="shared" si="1"/>
        <v/>
      </c>
      <c r="C701" s="4" t="str">
        <f t="array" ref="C701">IF(B701="","",IF(A701=XLOOKUP(A$2,Implementos!B:B,Implementos!C:C,"",0,1),B701+maxifs(B$1:B700,A$1:A700,A$2),B701))</f>
        <v/>
      </c>
      <c r="D701" s="4" t="str">
        <f>IF(B701="","", COUNTIFS(Productos!F:F,A701,Productos!H:H,B701)+IF(F701="SI",0,1))</f>
        <v/>
      </c>
      <c r="E701" s="4" t="str">
        <f>IFERROR(__xludf.DUMMYFUNCTION("IF($B701="""","""",INDEX(filter(Familias!F:F,Familias!$D:$D=$A701,Familias!$E:$E=$B701),1))"),"")</f>
        <v/>
      </c>
      <c r="F701" s="4" t="str">
        <f>IFERROR(__xludf.DUMMYFUNCTION("IF($B701="""","""",INDEX(filter(Familias!G:G,Familias!$D:$D=$A701,Familias!$E:$E=$B701),1))"),"")</f>
        <v/>
      </c>
      <c r="G701" s="4" t="str">
        <f t="array" ref="G701">IF(C701=1,XLOOKUP(C701,Cotizador!D:D,Cotizador!E:E,"",0,1),"")</f>
        <v/>
      </c>
      <c r="I701" s="4"/>
      <c r="J701" s="8" t="str">
        <f>IF(I701="","",SUMIF(Cotizador!I$1:V$1,I701,Cotizador!I$2:V$2))</f>
        <v/>
      </c>
      <c r="L701" s="4" t="str">
        <f t="array" ref="L701">IF(COUNTIF(L$1:L700,A$2)=SUMIF(A:A,A$2,D:D),IF(COUNTIF(L$1:L700,XLOOKUP(A$2,Implementos!B:B,Implementos!C:C,"",0,1))=SUMIF(A:A,XLOOKUP(A$2,Implementos!B:B,Implementos!C:C,"",0,1),D:D),"",XLOOKUP(A$2,Implementos!B:B,Implementos!C:C,"",0,1)),A$2)</f>
        <v/>
      </c>
      <c r="M701" s="4" t="str">
        <f t="shared" si="2"/>
        <v/>
      </c>
      <c r="N701" s="4" t="str">
        <f t="shared" si="3"/>
        <v/>
      </c>
      <c r="O701" s="4" t="str">
        <f t="shared" si="4"/>
        <v/>
      </c>
      <c r="P701" s="4" t="str">
        <f t="shared" si="5"/>
        <v/>
      </c>
      <c r="Q701" s="4" t="str">
        <f>IF(U701="","",SUMIF(Productos!E:E,U701,Productos!A:A))</f>
        <v/>
      </c>
      <c r="R701" s="4" t="str">
        <f t="array" ref="R701">IF(L701="","", max(1,SUMIF(I:I,XLOOKUP(U701,Productos!E:E,Productos!G:G,"",0,1),J:J)))</f>
        <v/>
      </c>
      <c r="S701" s="4" t="str">
        <f>IF(Q701="","",IF(SUMIFS(Compat_Vetado!D:D,Compat_Vetado!B:B,SUM(G:G),Compat_Vetado!C:C,Q701)=1,"SI",IF(OR(SUMIF(Cotizador!E:E,Q701,Cotizador!G:G)&gt;0,SUMIFS(Compat_Vetado!D:D,Compat_Vetado!B:B,SUM(G:G),Compat_Vetado!C:C,Q701)=-1),"NO","")))</f>
        <v/>
      </c>
      <c r="T701" s="4" t="str">
        <f t="shared" si="6"/>
        <v/>
      </c>
      <c r="U701" s="4" t="str">
        <f>IFERROR(__xludf.DUMMYFUNCTION("IF(P701="""","""",IFERROR(INDEX(filter(Productos!E:E,Productos!F:F=L701,Productos!H:H=N701),P701),IF(M701=SUM(D:D),""Finalizar"",""-"")))"),"")</f>
        <v/>
      </c>
      <c r="V701" s="4" t="str">
        <f>IFERROR(__xludf.DUMMYFUNCTION("IF(OR($U701="""",COUNTIF($I:$I,IFERROR(unique(filter(Prod_Prop!$H:$H,Prod_Prop!$G:$G=$U701,Prod_Prop!$E:$E=V$1)),""Check""))=0),"""",IFERROR(unique(filter(Prod_Prop!$H:$H,Prod_Prop!$G:$G=$U701,Prod_Prop!$E:$E=V$1)),""""))"),"")</f>
        <v/>
      </c>
      <c r="W701" s="4" t="str">
        <f>IF(V701="","",SUMIFS(Prod_Prop!$J:$J,Prod_Prop!$B:$B,$Q701,Prod_Prop!$H:$H,V701,Prod_Prop!$I:$I,W$1)*IF(V701="Peso",$R701,1))</f>
        <v/>
      </c>
      <c r="X701" s="4" t="str">
        <f>IF(V701="","",SUMIFS(Prod_Prop!$J:$J,Prod_Prop!$B:$B,$Q701,Prod_Prop!$H:$H,V701,Prod_Prop!$I:$I,X$1)*IF(V701="Peso",$R701,1))</f>
        <v/>
      </c>
      <c r="Y701" s="4" t="str">
        <f>IFERROR(__xludf.DUMMYFUNCTION("IF(OR($U701="""",COUNTIF($I:$I,IFERROR(unique(filter(Prod_Prop!$H:$H,Prod_Prop!$G:$G=$U701,Prod_Prop!$E:$E=Y$1)),""Check""))=0),"""",IFERROR(unique(filter(Prod_Prop!$H:$H,Prod_Prop!$G:$G=$U701,Prod_Prop!$E:$E=Y$1)),""""))"),"")</f>
        <v/>
      </c>
      <c r="Z701" s="4" t="str">
        <f>IF(Y701="","",SUMIFS(Prod_Prop!$J:$J,Prod_Prop!$B:$B,$Q701,Prod_Prop!$H:$H,Y701,Prod_Prop!$I:$I,Z$1)*IF(Y701="Peso",$R701,1))</f>
        <v/>
      </c>
      <c r="AA701" s="4" t="str">
        <f>IF(Y701="","",SUMIFS(Prod_Prop!$J:$J,Prod_Prop!$B:$B,$Q701,Prod_Prop!$H:$H,Y701,Prod_Prop!$I:$I,AA$1)*IF(Y701="Peso",$R701,1))</f>
        <v/>
      </c>
      <c r="AB701" s="4" t="str">
        <f>IFERROR(__xludf.DUMMYFUNCTION("IF(OR($U701="""",COUNTIF($I:$I,IFERROR(unique(filter(Prod_Prop!$H:$H,Prod_Prop!$G:$G=$U701,Prod_Prop!$E:$E=AB$1)),""Check""))=0),"""",IFERROR(unique(filter(Prod_Prop!$H:$H,Prod_Prop!$G:$G=$U701,Prod_Prop!$E:$E=AB$1)),""""))"),"")</f>
        <v/>
      </c>
      <c r="AC701" s="4" t="str">
        <f>IF(AB701="","",SUMIFS(Prod_Prop!$J:$J,Prod_Prop!$B:$B,$Q701,Prod_Prop!$H:$H,AB701,Prod_Prop!$I:$I,AC$1)*IF(AB701="Peso",$R701,1))</f>
        <v/>
      </c>
      <c r="AD701" s="4" t="str">
        <f>IF(AB701="","",SUMIFS(Prod_Prop!$J:$J,Prod_Prop!$B:$B,$Q701,Prod_Prop!$H:$H,AB701,Prod_Prop!$I:$I,AD$1)*IF(AB701="Peso",$R701,1))</f>
        <v/>
      </c>
    </row>
    <row r="702">
      <c r="A702" s="4" t="str">
        <f t="array" ref="A702">IF(COUNTIF(A$1:A701,Cotizador!F$2)=maxifs(Familias!E:E,Familias!D:D,Cotizador!F$2),IF(COUNTIF(A$1:A701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2" s="4" t="str">
        <f t="shared" si="1"/>
        <v/>
      </c>
      <c r="C702" s="4" t="str">
        <f t="array" ref="C702">IF(B702="","",IF(A702=XLOOKUP(A$2,Implementos!B:B,Implementos!C:C,"",0,1),B702+maxifs(B$1:B701,A$1:A701,A$2),B702))</f>
        <v/>
      </c>
      <c r="D702" s="4" t="str">
        <f>IF(B702="","", COUNTIFS(Productos!F:F,A702,Productos!H:H,B702)+IF(F702="SI",0,1))</f>
        <v/>
      </c>
      <c r="E702" s="4" t="str">
        <f>IFERROR(__xludf.DUMMYFUNCTION("IF($B702="""","""",INDEX(filter(Familias!F:F,Familias!$D:$D=$A702,Familias!$E:$E=$B702),1))"),"")</f>
        <v/>
      </c>
      <c r="F702" s="4" t="str">
        <f>IFERROR(__xludf.DUMMYFUNCTION("IF($B702="""","""",INDEX(filter(Familias!G:G,Familias!$D:$D=$A702,Familias!$E:$E=$B702),1))"),"")</f>
        <v/>
      </c>
      <c r="G702" s="4" t="str">
        <f t="array" ref="G702">IF(C702=1,XLOOKUP(C702,Cotizador!D:D,Cotizador!E:E,"",0,1),"")</f>
        <v/>
      </c>
      <c r="I702" s="4"/>
      <c r="J702" s="8" t="str">
        <f>IF(I702="","",SUMIF(Cotizador!I$1:V$1,I702,Cotizador!I$2:V$2))</f>
        <v/>
      </c>
      <c r="L702" s="4" t="str">
        <f t="array" ref="L702">IF(COUNTIF(L$1:L701,A$2)=SUMIF(A:A,A$2,D:D),IF(COUNTIF(L$1:L701,XLOOKUP(A$2,Implementos!B:B,Implementos!C:C,"",0,1))=SUMIF(A:A,XLOOKUP(A$2,Implementos!B:B,Implementos!C:C,"",0,1),D:D),"",XLOOKUP(A$2,Implementos!B:B,Implementos!C:C,"",0,1)),A$2)</f>
        <v/>
      </c>
      <c r="M702" s="4" t="str">
        <f t="shared" si="2"/>
        <v/>
      </c>
      <c r="N702" s="4" t="str">
        <f t="shared" si="3"/>
        <v/>
      </c>
      <c r="O702" s="4" t="str">
        <f t="shared" si="4"/>
        <v/>
      </c>
      <c r="P702" s="4" t="str">
        <f t="shared" si="5"/>
        <v/>
      </c>
      <c r="Q702" s="4" t="str">
        <f>IF(U702="","",SUMIF(Productos!E:E,U702,Productos!A:A))</f>
        <v/>
      </c>
      <c r="R702" s="4" t="str">
        <f t="array" ref="R702">IF(L702="","", max(1,SUMIF(I:I,XLOOKUP(U702,Productos!E:E,Productos!G:G,"",0,1),J:J)))</f>
        <v/>
      </c>
      <c r="S702" s="4" t="str">
        <f>IF(Q702="","",IF(SUMIFS(Compat_Vetado!D:D,Compat_Vetado!B:B,SUM(G:G),Compat_Vetado!C:C,Q702)=1,"SI",IF(OR(SUMIF(Cotizador!E:E,Q702,Cotizador!G:G)&gt;0,SUMIFS(Compat_Vetado!D:D,Compat_Vetado!B:B,SUM(G:G),Compat_Vetado!C:C,Q702)=-1),"NO","")))</f>
        <v/>
      </c>
      <c r="T702" s="4" t="str">
        <f t="shared" si="6"/>
        <v/>
      </c>
      <c r="U702" s="4" t="str">
        <f>IFERROR(__xludf.DUMMYFUNCTION("IF(P702="""","""",IFERROR(INDEX(filter(Productos!E:E,Productos!F:F=L702,Productos!H:H=N702),P702),IF(M702=SUM(D:D),""Finalizar"",""-"")))"),"")</f>
        <v/>
      </c>
      <c r="V702" s="4" t="str">
        <f>IFERROR(__xludf.DUMMYFUNCTION("IF(OR($U702="""",COUNTIF($I:$I,IFERROR(unique(filter(Prod_Prop!$H:$H,Prod_Prop!$G:$G=$U702,Prod_Prop!$E:$E=V$1)),""Check""))=0),"""",IFERROR(unique(filter(Prod_Prop!$H:$H,Prod_Prop!$G:$G=$U702,Prod_Prop!$E:$E=V$1)),""""))"),"")</f>
        <v/>
      </c>
      <c r="W702" s="4" t="str">
        <f>IF(V702="","",SUMIFS(Prod_Prop!$J:$J,Prod_Prop!$B:$B,$Q702,Prod_Prop!$H:$H,V702,Prod_Prop!$I:$I,W$1)*IF(V702="Peso",$R702,1))</f>
        <v/>
      </c>
      <c r="X702" s="4" t="str">
        <f>IF(V702="","",SUMIFS(Prod_Prop!$J:$J,Prod_Prop!$B:$B,$Q702,Prod_Prop!$H:$H,V702,Prod_Prop!$I:$I,X$1)*IF(V702="Peso",$R702,1))</f>
        <v/>
      </c>
      <c r="Y702" s="4" t="str">
        <f>IFERROR(__xludf.DUMMYFUNCTION("IF(OR($U702="""",COUNTIF($I:$I,IFERROR(unique(filter(Prod_Prop!$H:$H,Prod_Prop!$G:$G=$U702,Prod_Prop!$E:$E=Y$1)),""Check""))=0),"""",IFERROR(unique(filter(Prod_Prop!$H:$H,Prod_Prop!$G:$G=$U702,Prod_Prop!$E:$E=Y$1)),""""))"),"")</f>
        <v/>
      </c>
      <c r="Z702" s="4" t="str">
        <f>IF(Y702="","",SUMIFS(Prod_Prop!$J:$J,Prod_Prop!$B:$B,$Q702,Prod_Prop!$H:$H,Y702,Prod_Prop!$I:$I,Z$1)*IF(Y702="Peso",$R702,1))</f>
        <v/>
      </c>
      <c r="AA702" s="4" t="str">
        <f>IF(Y702="","",SUMIFS(Prod_Prop!$J:$J,Prod_Prop!$B:$B,$Q702,Prod_Prop!$H:$H,Y702,Prod_Prop!$I:$I,AA$1)*IF(Y702="Peso",$R702,1))</f>
        <v/>
      </c>
      <c r="AB702" s="4" t="str">
        <f>IFERROR(__xludf.DUMMYFUNCTION("IF(OR($U702="""",COUNTIF($I:$I,IFERROR(unique(filter(Prod_Prop!$H:$H,Prod_Prop!$G:$G=$U702,Prod_Prop!$E:$E=AB$1)),""Check""))=0),"""",IFERROR(unique(filter(Prod_Prop!$H:$H,Prod_Prop!$G:$G=$U702,Prod_Prop!$E:$E=AB$1)),""""))"),"")</f>
        <v/>
      </c>
      <c r="AC702" s="4" t="str">
        <f>IF(AB702="","",SUMIFS(Prod_Prop!$J:$J,Prod_Prop!$B:$B,$Q702,Prod_Prop!$H:$H,AB702,Prod_Prop!$I:$I,AC$1)*IF(AB702="Peso",$R702,1))</f>
        <v/>
      </c>
      <c r="AD702" s="4" t="str">
        <f>IF(AB702="","",SUMIFS(Prod_Prop!$J:$J,Prod_Prop!$B:$B,$Q702,Prod_Prop!$H:$H,AB702,Prod_Prop!$I:$I,AD$1)*IF(AB702="Peso",$R702,1))</f>
        <v/>
      </c>
    </row>
    <row r="703">
      <c r="A703" s="4" t="str">
        <f t="array" ref="A703">IF(COUNTIF(A$1:A702,Cotizador!F$2)=maxifs(Familias!E:E,Familias!D:D,Cotizador!F$2),IF(COUNTIF(A$1:A702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3" s="4" t="str">
        <f t="shared" si="1"/>
        <v/>
      </c>
      <c r="C703" s="4" t="str">
        <f t="array" ref="C703">IF(B703="","",IF(A703=XLOOKUP(A$2,Implementos!B:B,Implementos!C:C,"",0,1),B703+maxifs(B$1:B702,A$1:A702,A$2),B703))</f>
        <v/>
      </c>
      <c r="D703" s="4" t="str">
        <f>IF(B703="","", COUNTIFS(Productos!F:F,A703,Productos!H:H,B703)+IF(F703="SI",0,1))</f>
        <v/>
      </c>
      <c r="E703" s="4" t="str">
        <f>IFERROR(__xludf.DUMMYFUNCTION("IF($B703="""","""",INDEX(filter(Familias!F:F,Familias!$D:$D=$A703,Familias!$E:$E=$B703),1))"),"")</f>
        <v/>
      </c>
      <c r="F703" s="4" t="str">
        <f>IFERROR(__xludf.DUMMYFUNCTION("IF($B703="""","""",INDEX(filter(Familias!G:G,Familias!$D:$D=$A703,Familias!$E:$E=$B703),1))"),"")</f>
        <v/>
      </c>
      <c r="G703" s="4" t="str">
        <f t="array" ref="G703">IF(C703=1,XLOOKUP(C703,Cotizador!D:D,Cotizador!E:E,"",0,1),"")</f>
        <v/>
      </c>
      <c r="I703" s="4"/>
      <c r="J703" s="8" t="str">
        <f>IF(I703="","",SUMIF(Cotizador!I$1:V$1,I703,Cotizador!I$2:V$2))</f>
        <v/>
      </c>
      <c r="L703" s="4" t="str">
        <f t="array" ref="L703">IF(COUNTIF(L$1:L702,A$2)=SUMIF(A:A,A$2,D:D),IF(COUNTIF(L$1:L702,XLOOKUP(A$2,Implementos!B:B,Implementos!C:C,"",0,1))=SUMIF(A:A,XLOOKUP(A$2,Implementos!B:B,Implementos!C:C,"",0,1),D:D),"",XLOOKUP(A$2,Implementos!B:B,Implementos!C:C,"",0,1)),A$2)</f>
        <v/>
      </c>
      <c r="M703" s="4" t="str">
        <f t="shared" si="2"/>
        <v/>
      </c>
      <c r="N703" s="4" t="str">
        <f t="shared" si="3"/>
        <v/>
      </c>
      <c r="O703" s="4" t="str">
        <f t="shared" si="4"/>
        <v/>
      </c>
      <c r="P703" s="4" t="str">
        <f t="shared" si="5"/>
        <v/>
      </c>
      <c r="Q703" s="4" t="str">
        <f>IF(U703="","",SUMIF(Productos!E:E,U703,Productos!A:A))</f>
        <v/>
      </c>
      <c r="R703" s="4" t="str">
        <f t="array" ref="R703">IF(L703="","", max(1,SUMIF(I:I,XLOOKUP(U703,Productos!E:E,Productos!G:G,"",0,1),J:J)))</f>
        <v/>
      </c>
      <c r="S703" s="4" t="str">
        <f>IF(Q703="","",IF(SUMIFS(Compat_Vetado!D:D,Compat_Vetado!B:B,SUM(G:G),Compat_Vetado!C:C,Q703)=1,"SI",IF(OR(SUMIF(Cotizador!E:E,Q703,Cotizador!G:G)&gt;0,SUMIFS(Compat_Vetado!D:D,Compat_Vetado!B:B,SUM(G:G),Compat_Vetado!C:C,Q703)=-1),"NO","")))</f>
        <v/>
      </c>
      <c r="T703" s="4" t="str">
        <f t="shared" si="6"/>
        <v/>
      </c>
      <c r="U703" s="4" t="str">
        <f>IFERROR(__xludf.DUMMYFUNCTION("IF(P703="""","""",IFERROR(INDEX(filter(Productos!E:E,Productos!F:F=L703,Productos!H:H=N703),P703),IF(M703=SUM(D:D),""Finalizar"",""-"")))"),"")</f>
        <v/>
      </c>
      <c r="V703" s="4" t="str">
        <f>IFERROR(__xludf.DUMMYFUNCTION("IF(OR($U703="""",COUNTIF($I:$I,IFERROR(unique(filter(Prod_Prop!$H:$H,Prod_Prop!$G:$G=$U703,Prod_Prop!$E:$E=V$1)),""Check""))=0),"""",IFERROR(unique(filter(Prod_Prop!$H:$H,Prod_Prop!$G:$G=$U703,Prod_Prop!$E:$E=V$1)),""""))"),"")</f>
        <v/>
      </c>
      <c r="W703" s="4" t="str">
        <f>IF(V703="","",SUMIFS(Prod_Prop!$J:$J,Prod_Prop!$B:$B,$Q703,Prod_Prop!$H:$H,V703,Prod_Prop!$I:$I,W$1)*IF(V703="Peso",$R703,1))</f>
        <v/>
      </c>
      <c r="X703" s="4" t="str">
        <f>IF(V703="","",SUMIFS(Prod_Prop!$J:$J,Prod_Prop!$B:$B,$Q703,Prod_Prop!$H:$H,V703,Prod_Prop!$I:$I,X$1)*IF(V703="Peso",$R703,1))</f>
        <v/>
      </c>
      <c r="Y703" s="4" t="str">
        <f>IFERROR(__xludf.DUMMYFUNCTION("IF(OR($U703="""",COUNTIF($I:$I,IFERROR(unique(filter(Prod_Prop!$H:$H,Prod_Prop!$G:$G=$U703,Prod_Prop!$E:$E=Y$1)),""Check""))=0),"""",IFERROR(unique(filter(Prod_Prop!$H:$H,Prod_Prop!$G:$G=$U703,Prod_Prop!$E:$E=Y$1)),""""))"),"")</f>
        <v/>
      </c>
      <c r="Z703" s="4" t="str">
        <f>IF(Y703="","",SUMIFS(Prod_Prop!$J:$J,Prod_Prop!$B:$B,$Q703,Prod_Prop!$H:$H,Y703,Prod_Prop!$I:$I,Z$1)*IF(Y703="Peso",$R703,1))</f>
        <v/>
      </c>
      <c r="AA703" s="4" t="str">
        <f>IF(Y703="","",SUMIFS(Prod_Prop!$J:$J,Prod_Prop!$B:$B,$Q703,Prod_Prop!$H:$H,Y703,Prod_Prop!$I:$I,AA$1)*IF(Y703="Peso",$R703,1))</f>
        <v/>
      </c>
      <c r="AB703" s="4" t="str">
        <f>IFERROR(__xludf.DUMMYFUNCTION("IF(OR($U703="""",COUNTIF($I:$I,IFERROR(unique(filter(Prod_Prop!$H:$H,Prod_Prop!$G:$G=$U703,Prod_Prop!$E:$E=AB$1)),""Check""))=0),"""",IFERROR(unique(filter(Prod_Prop!$H:$H,Prod_Prop!$G:$G=$U703,Prod_Prop!$E:$E=AB$1)),""""))"),"")</f>
        <v/>
      </c>
      <c r="AC703" s="4" t="str">
        <f>IF(AB703="","",SUMIFS(Prod_Prop!$J:$J,Prod_Prop!$B:$B,$Q703,Prod_Prop!$H:$H,AB703,Prod_Prop!$I:$I,AC$1)*IF(AB703="Peso",$R703,1))</f>
        <v/>
      </c>
      <c r="AD703" s="4" t="str">
        <f>IF(AB703="","",SUMIFS(Prod_Prop!$J:$J,Prod_Prop!$B:$B,$Q703,Prod_Prop!$H:$H,AB703,Prod_Prop!$I:$I,AD$1)*IF(AB703="Peso",$R703,1))</f>
        <v/>
      </c>
    </row>
    <row r="704">
      <c r="A704" s="4" t="str">
        <f t="array" ref="A704">IF(COUNTIF(A$1:A703,Cotizador!F$2)=maxifs(Familias!E:E,Familias!D:D,Cotizador!F$2),IF(COUNTIF(A$1:A703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4" s="4" t="str">
        <f t="shared" si="1"/>
        <v/>
      </c>
      <c r="C704" s="4" t="str">
        <f t="array" ref="C704">IF(B704="","",IF(A704=XLOOKUP(A$2,Implementos!B:B,Implementos!C:C,"",0,1),B704+maxifs(B$1:B703,A$1:A703,A$2),B704))</f>
        <v/>
      </c>
      <c r="D704" s="4" t="str">
        <f>IF(B704="","", COUNTIFS(Productos!F:F,A704,Productos!H:H,B704)+IF(F704="SI",0,1))</f>
        <v/>
      </c>
      <c r="E704" s="4" t="str">
        <f>IFERROR(__xludf.DUMMYFUNCTION("IF($B704="""","""",INDEX(filter(Familias!F:F,Familias!$D:$D=$A704,Familias!$E:$E=$B704),1))"),"")</f>
        <v/>
      </c>
      <c r="F704" s="4" t="str">
        <f>IFERROR(__xludf.DUMMYFUNCTION("IF($B704="""","""",INDEX(filter(Familias!G:G,Familias!$D:$D=$A704,Familias!$E:$E=$B704),1))"),"")</f>
        <v/>
      </c>
      <c r="G704" s="4" t="str">
        <f t="array" ref="G704">IF(C704=1,XLOOKUP(C704,Cotizador!D:D,Cotizador!E:E,"",0,1),"")</f>
        <v/>
      </c>
      <c r="I704" s="4"/>
      <c r="J704" s="8" t="str">
        <f>IF(I704="","",SUMIF(Cotizador!I$1:V$1,I704,Cotizador!I$2:V$2))</f>
        <v/>
      </c>
      <c r="L704" s="4" t="str">
        <f t="array" ref="L704">IF(COUNTIF(L$1:L703,A$2)=SUMIF(A:A,A$2,D:D),IF(COUNTIF(L$1:L703,XLOOKUP(A$2,Implementos!B:B,Implementos!C:C,"",0,1))=SUMIF(A:A,XLOOKUP(A$2,Implementos!B:B,Implementos!C:C,"",0,1),D:D),"",XLOOKUP(A$2,Implementos!B:B,Implementos!C:C,"",0,1)),A$2)</f>
        <v/>
      </c>
      <c r="M704" s="4" t="str">
        <f t="shared" si="2"/>
        <v/>
      </c>
      <c r="N704" s="4" t="str">
        <f t="shared" si="3"/>
        <v/>
      </c>
      <c r="O704" s="4" t="str">
        <f t="shared" si="4"/>
        <v/>
      </c>
      <c r="P704" s="4" t="str">
        <f t="shared" si="5"/>
        <v/>
      </c>
      <c r="Q704" s="4" t="str">
        <f>IF(U704="","",SUMIF(Productos!E:E,U704,Productos!A:A))</f>
        <v/>
      </c>
      <c r="R704" s="4" t="str">
        <f t="array" ref="R704">IF(L704="","", max(1,SUMIF(I:I,XLOOKUP(U704,Productos!E:E,Productos!G:G,"",0,1),J:J)))</f>
        <v/>
      </c>
      <c r="S704" s="4" t="str">
        <f>IF(Q704="","",IF(SUMIFS(Compat_Vetado!D:D,Compat_Vetado!B:B,SUM(G:G),Compat_Vetado!C:C,Q704)=1,"SI",IF(OR(SUMIF(Cotizador!E:E,Q704,Cotizador!G:G)&gt;0,SUMIFS(Compat_Vetado!D:D,Compat_Vetado!B:B,SUM(G:G),Compat_Vetado!C:C,Q704)=-1),"NO","")))</f>
        <v/>
      </c>
      <c r="T704" s="4" t="str">
        <f t="shared" si="6"/>
        <v/>
      </c>
      <c r="U704" s="4" t="str">
        <f>IFERROR(__xludf.DUMMYFUNCTION("IF(P704="""","""",IFERROR(INDEX(filter(Productos!E:E,Productos!F:F=L704,Productos!H:H=N704),P704),IF(M704=SUM(D:D),""Finalizar"",""-"")))"),"")</f>
        <v/>
      </c>
      <c r="V704" s="4" t="str">
        <f>IFERROR(__xludf.DUMMYFUNCTION("IF(OR($U704="""",COUNTIF($I:$I,IFERROR(unique(filter(Prod_Prop!$H:$H,Prod_Prop!$G:$G=$U704,Prod_Prop!$E:$E=V$1)),""Check""))=0),"""",IFERROR(unique(filter(Prod_Prop!$H:$H,Prod_Prop!$G:$G=$U704,Prod_Prop!$E:$E=V$1)),""""))"),"")</f>
        <v/>
      </c>
      <c r="W704" s="4" t="str">
        <f>IF(V704="","",SUMIFS(Prod_Prop!$J:$J,Prod_Prop!$B:$B,$Q704,Prod_Prop!$H:$H,V704,Prod_Prop!$I:$I,W$1)*IF(V704="Peso",$R704,1))</f>
        <v/>
      </c>
      <c r="X704" s="4" t="str">
        <f>IF(V704="","",SUMIFS(Prod_Prop!$J:$J,Prod_Prop!$B:$B,$Q704,Prod_Prop!$H:$H,V704,Prod_Prop!$I:$I,X$1)*IF(V704="Peso",$R704,1))</f>
        <v/>
      </c>
      <c r="Y704" s="4" t="str">
        <f>IFERROR(__xludf.DUMMYFUNCTION("IF(OR($U704="""",COUNTIF($I:$I,IFERROR(unique(filter(Prod_Prop!$H:$H,Prod_Prop!$G:$G=$U704,Prod_Prop!$E:$E=Y$1)),""Check""))=0),"""",IFERROR(unique(filter(Prod_Prop!$H:$H,Prod_Prop!$G:$G=$U704,Prod_Prop!$E:$E=Y$1)),""""))"),"")</f>
        <v/>
      </c>
      <c r="Z704" s="4" t="str">
        <f>IF(Y704="","",SUMIFS(Prod_Prop!$J:$J,Prod_Prop!$B:$B,$Q704,Prod_Prop!$H:$H,Y704,Prod_Prop!$I:$I,Z$1)*IF(Y704="Peso",$R704,1))</f>
        <v/>
      </c>
      <c r="AA704" s="4" t="str">
        <f>IF(Y704="","",SUMIFS(Prod_Prop!$J:$J,Prod_Prop!$B:$B,$Q704,Prod_Prop!$H:$H,Y704,Prod_Prop!$I:$I,AA$1)*IF(Y704="Peso",$R704,1))</f>
        <v/>
      </c>
      <c r="AB704" s="4" t="str">
        <f>IFERROR(__xludf.DUMMYFUNCTION("IF(OR($U704="""",COUNTIF($I:$I,IFERROR(unique(filter(Prod_Prop!$H:$H,Prod_Prop!$G:$G=$U704,Prod_Prop!$E:$E=AB$1)),""Check""))=0),"""",IFERROR(unique(filter(Prod_Prop!$H:$H,Prod_Prop!$G:$G=$U704,Prod_Prop!$E:$E=AB$1)),""""))"),"")</f>
        <v/>
      </c>
      <c r="AC704" s="4" t="str">
        <f>IF(AB704="","",SUMIFS(Prod_Prop!$J:$J,Prod_Prop!$B:$B,$Q704,Prod_Prop!$H:$H,AB704,Prod_Prop!$I:$I,AC$1)*IF(AB704="Peso",$R704,1))</f>
        <v/>
      </c>
      <c r="AD704" s="4" t="str">
        <f>IF(AB704="","",SUMIFS(Prod_Prop!$J:$J,Prod_Prop!$B:$B,$Q704,Prod_Prop!$H:$H,AB704,Prod_Prop!$I:$I,AD$1)*IF(AB704="Peso",$R704,1))</f>
        <v/>
      </c>
    </row>
    <row r="705">
      <c r="A705" s="4" t="str">
        <f t="array" ref="A705">IF(COUNTIF(A$1:A704,Cotizador!F$2)=maxifs(Familias!E:E,Familias!D:D,Cotizador!F$2),IF(COUNTIF(A$1:A704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5" s="4" t="str">
        <f t="shared" si="1"/>
        <v/>
      </c>
      <c r="C705" s="4" t="str">
        <f t="array" ref="C705">IF(B705="","",IF(A705=XLOOKUP(A$2,Implementos!B:B,Implementos!C:C,"",0,1),B705+maxifs(B$1:B704,A$1:A704,A$2),B705))</f>
        <v/>
      </c>
      <c r="D705" s="4" t="str">
        <f>IF(B705="","", COUNTIFS(Productos!F:F,A705,Productos!H:H,B705)+IF(F705="SI",0,1))</f>
        <v/>
      </c>
      <c r="E705" s="4" t="str">
        <f>IFERROR(__xludf.DUMMYFUNCTION("IF($B705="""","""",INDEX(filter(Familias!F:F,Familias!$D:$D=$A705,Familias!$E:$E=$B705),1))"),"")</f>
        <v/>
      </c>
      <c r="F705" s="4" t="str">
        <f>IFERROR(__xludf.DUMMYFUNCTION("IF($B705="""","""",INDEX(filter(Familias!G:G,Familias!$D:$D=$A705,Familias!$E:$E=$B705),1))"),"")</f>
        <v/>
      </c>
      <c r="G705" s="4" t="str">
        <f t="array" ref="G705">IF(C705=1,XLOOKUP(C705,Cotizador!D:D,Cotizador!E:E,"",0,1),"")</f>
        <v/>
      </c>
      <c r="I705" s="4"/>
      <c r="J705" s="8" t="str">
        <f>IF(I705="","",SUMIF(Cotizador!I$1:V$1,I705,Cotizador!I$2:V$2))</f>
        <v/>
      </c>
      <c r="L705" s="4" t="str">
        <f t="array" ref="L705">IF(COUNTIF(L$1:L704,A$2)=SUMIF(A:A,A$2,D:D),IF(COUNTIF(L$1:L704,XLOOKUP(A$2,Implementos!B:B,Implementos!C:C,"",0,1))=SUMIF(A:A,XLOOKUP(A$2,Implementos!B:B,Implementos!C:C,"",0,1),D:D),"",XLOOKUP(A$2,Implementos!B:B,Implementos!C:C,"",0,1)),A$2)</f>
        <v/>
      </c>
      <c r="M705" s="4" t="str">
        <f t="shared" si="2"/>
        <v/>
      </c>
      <c r="N705" s="4" t="str">
        <f t="shared" si="3"/>
        <v/>
      </c>
      <c r="O705" s="4" t="str">
        <f t="shared" si="4"/>
        <v/>
      </c>
      <c r="P705" s="4" t="str">
        <f t="shared" si="5"/>
        <v/>
      </c>
      <c r="Q705" s="4" t="str">
        <f>IF(U705="","",SUMIF(Productos!E:E,U705,Productos!A:A))</f>
        <v/>
      </c>
      <c r="R705" s="4" t="str">
        <f t="array" ref="R705">IF(L705="","", max(1,SUMIF(I:I,XLOOKUP(U705,Productos!E:E,Productos!G:G,"",0,1),J:J)))</f>
        <v/>
      </c>
      <c r="S705" s="4" t="str">
        <f>IF(Q705="","",IF(SUMIFS(Compat_Vetado!D:D,Compat_Vetado!B:B,SUM(G:G),Compat_Vetado!C:C,Q705)=1,"SI",IF(OR(SUMIF(Cotizador!E:E,Q705,Cotizador!G:G)&gt;0,SUMIFS(Compat_Vetado!D:D,Compat_Vetado!B:B,SUM(G:G),Compat_Vetado!C:C,Q705)=-1),"NO","")))</f>
        <v/>
      </c>
      <c r="T705" s="4" t="str">
        <f t="shared" si="6"/>
        <v/>
      </c>
      <c r="U705" s="4" t="str">
        <f>IFERROR(__xludf.DUMMYFUNCTION("IF(P705="""","""",IFERROR(INDEX(filter(Productos!E:E,Productos!F:F=L705,Productos!H:H=N705),P705),IF(M705=SUM(D:D),""Finalizar"",""-"")))"),"")</f>
        <v/>
      </c>
      <c r="V705" s="4" t="str">
        <f>IFERROR(__xludf.DUMMYFUNCTION("IF(OR($U705="""",COUNTIF($I:$I,IFERROR(unique(filter(Prod_Prop!$H:$H,Prod_Prop!$G:$G=$U705,Prod_Prop!$E:$E=V$1)),""Check""))=0),"""",IFERROR(unique(filter(Prod_Prop!$H:$H,Prod_Prop!$G:$G=$U705,Prod_Prop!$E:$E=V$1)),""""))"),"")</f>
        <v/>
      </c>
      <c r="W705" s="4" t="str">
        <f>IF(V705="","",SUMIFS(Prod_Prop!$J:$J,Prod_Prop!$B:$B,$Q705,Prod_Prop!$H:$H,V705,Prod_Prop!$I:$I,W$1)*IF(V705="Peso",$R705,1))</f>
        <v/>
      </c>
      <c r="X705" s="4" t="str">
        <f>IF(V705="","",SUMIFS(Prod_Prop!$J:$J,Prod_Prop!$B:$B,$Q705,Prod_Prop!$H:$H,V705,Prod_Prop!$I:$I,X$1)*IF(V705="Peso",$R705,1))</f>
        <v/>
      </c>
      <c r="Y705" s="4" t="str">
        <f>IFERROR(__xludf.DUMMYFUNCTION("IF(OR($U705="""",COUNTIF($I:$I,IFERROR(unique(filter(Prod_Prop!$H:$H,Prod_Prop!$G:$G=$U705,Prod_Prop!$E:$E=Y$1)),""Check""))=0),"""",IFERROR(unique(filter(Prod_Prop!$H:$H,Prod_Prop!$G:$G=$U705,Prod_Prop!$E:$E=Y$1)),""""))"),"")</f>
        <v/>
      </c>
      <c r="Z705" s="4" t="str">
        <f>IF(Y705="","",SUMIFS(Prod_Prop!$J:$J,Prod_Prop!$B:$B,$Q705,Prod_Prop!$H:$H,Y705,Prod_Prop!$I:$I,Z$1)*IF(Y705="Peso",$R705,1))</f>
        <v/>
      </c>
      <c r="AA705" s="4" t="str">
        <f>IF(Y705="","",SUMIFS(Prod_Prop!$J:$J,Prod_Prop!$B:$B,$Q705,Prod_Prop!$H:$H,Y705,Prod_Prop!$I:$I,AA$1)*IF(Y705="Peso",$R705,1))</f>
        <v/>
      </c>
      <c r="AB705" s="4" t="str">
        <f>IFERROR(__xludf.DUMMYFUNCTION("IF(OR($U705="""",COUNTIF($I:$I,IFERROR(unique(filter(Prod_Prop!$H:$H,Prod_Prop!$G:$G=$U705,Prod_Prop!$E:$E=AB$1)),""Check""))=0),"""",IFERROR(unique(filter(Prod_Prop!$H:$H,Prod_Prop!$G:$G=$U705,Prod_Prop!$E:$E=AB$1)),""""))"),"")</f>
        <v/>
      </c>
      <c r="AC705" s="4" t="str">
        <f>IF(AB705="","",SUMIFS(Prod_Prop!$J:$J,Prod_Prop!$B:$B,$Q705,Prod_Prop!$H:$H,AB705,Prod_Prop!$I:$I,AC$1)*IF(AB705="Peso",$R705,1))</f>
        <v/>
      </c>
      <c r="AD705" s="4" t="str">
        <f>IF(AB705="","",SUMIFS(Prod_Prop!$J:$J,Prod_Prop!$B:$B,$Q705,Prod_Prop!$H:$H,AB705,Prod_Prop!$I:$I,AD$1)*IF(AB705="Peso",$R705,1))</f>
        <v/>
      </c>
    </row>
    <row r="706">
      <c r="A706" s="4" t="str">
        <f t="array" ref="A706">IF(COUNTIF(A$1:A705,Cotizador!F$2)=maxifs(Familias!E:E,Familias!D:D,Cotizador!F$2),IF(COUNTIF(A$1:A705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6" s="4" t="str">
        <f t="shared" si="1"/>
        <v/>
      </c>
      <c r="C706" s="4" t="str">
        <f t="array" ref="C706">IF(B706="","",IF(A706=XLOOKUP(A$2,Implementos!B:B,Implementos!C:C,"",0,1),B706+maxifs(B$1:B705,A$1:A705,A$2),B706))</f>
        <v/>
      </c>
      <c r="D706" s="4" t="str">
        <f>IF(B706="","", COUNTIFS(Productos!F:F,A706,Productos!H:H,B706)+IF(F706="SI",0,1))</f>
        <v/>
      </c>
      <c r="E706" s="4" t="str">
        <f>IFERROR(__xludf.DUMMYFUNCTION("IF($B706="""","""",INDEX(filter(Familias!F:F,Familias!$D:$D=$A706,Familias!$E:$E=$B706),1))"),"")</f>
        <v/>
      </c>
      <c r="F706" s="4" t="str">
        <f>IFERROR(__xludf.DUMMYFUNCTION("IF($B706="""","""",INDEX(filter(Familias!G:G,Familias!$D:$D=$A706,Familias!$E:$E=$B706),1))"),"")</f>
        <v/>
      </c>
      <c r="G706" s="4" t="str">
        <f t="array" ref="G706">IF(C706=1,XLOOKUP(C706,Cotizador!D:D,Cotizador!E:E,"",0,1),"")</f>
        <v/>
      </c>
      <c r="I706" s="4"/>
      <c r="J706" s="8" t="str">
        <f>IF(I706="","",SUMIF(Cotizador!I$1:V$1,I706,Cotizador!I$2:V$2))</f>
        <v/>
      </c>
      <c r="L706" s="4" t="str">
        <f t="array" ref="L706">IF(COUNTIF(L$1:L705,A$2)=SUMIF(A:A,A$2,D:D),IF(COUNTIF(L$1:L705,XLOOKUP(A$2,Implementos!B:B,Implementos!C:C,"",0,1))=SUMIF(A:A,XLOOKUP(A$2,Implementos!B:B,Implementos!C:C,"",0,1),D:D),"",XLOOKUP(A$2,Implementos!B:B,Implementos!C:C,"",0,1)),A$2)</f>
        <v/>
      </c>
      <c r="M706" s="4" t="str">
        <f t="shared" si="2"/>
        <v/>
      </c>
      <c r="N706" s="4" t="str">
        <f t="shared" si="3"/>
        <v/>
      </c>
      <c r="O706" s="4" t="str">
        <f t="shared" si="4"/>
        <v/>
      </c>
      <c r="P706" s="4" t="str">
        <f t="shared" si="5"/>
        <v/>
      </c>
      <c r="Q706" s="4" t="str">
        <f>IF(U706="","",SUMIF(Productos!E:E,U706,Productos!A:A))</f>
        <v/>
      </c>
      <c r="R706" s="4" t="str">
        <f t="array" ref="R706">IF(L706="","", max(1,SUMIF(I:I,XLOOKUP(U706,Productos!E:E,Productos!G:G,"",0,1),J:J)))</f>
        <v/>
      </c>
      <c r="S706" s="4" t="str">
        <f>IF(Q706="","",IF(SUMIFS(Compat_Vetado!D:D,Compat_Vetado!B:B,SUM(G:G),Compat_Vetado!C:C,Q706)=1,"SI",IF(OR(SUMIF(Cotizador!E:E,Q706,Cotizador!G:G)&gt;0,SUMIFS(Compat_Vetado!D:D,Compat_Vetado!B:B,SUM(G:G),Compat_Vetado!C:C,Q706)=-1),"NO","")))</f>
        <v/>
      </c>
      <c r="T706" s="4" t="str">
        <f t="shared" si="6"/>
        <v/>
      </c>
      <c r="U706" s="4" t="str">
        <f>IFERROR(__xludf.DUMMYFUNCTION("IF(P706="""","""",IFERROR(INDEX(filter(Productos!E:E,Productos!F:F=L706,Productos!H:H=N706),P706),IF(M706=SUM(D:D),""Finalizar"",""-"")))"),"")</f>
        <v/>
      </c>
      <c r="V706" s="4" t="str">
        <f>IFERROR(__xludf.DUMMYFUNCTION("IF(OR($U706="""",COUNTIF($I:$I,IFERROR(unique(filter(Prod_Prop!$H:$H,Prod_Prop!$G:$G=$U706,Prod_Prop!$E:$E=V$1)),""Check""))=0),"""",IFERROR(unique(filter(Prod_Prop!$H:$H,Prod_Prop!$G:$G=$U706,Prod_Prop!$E:$E=V$1)),""""))"),"")</f>
        <v/>
      </c>
      <c r="W706" s="4" t="str">
        <f>IF(V706="","",SUMIFS(Prod_Prop!$J:$J,Prod_Prop!$B:$B,$Q706,Prod_Prop!$H:$H,V706,Prod_Prop!$I:$I,W$1)*IF(V706="Peso",$R706,1))</f>
        <v/>
      </c>
      <c r="X706" s="4" t="str">
        <f>IF(V706="","",SUMIFS(Prod_Prop!$J:$J,Prod_Prop!$B:$B,$Q706,Prod_Prop!$H:$H,V706,Prod_Prop!$I:$I,X$1)*IF(V706="Peso",$R706,1))</f>
        <v/>
      </c>
      <c r="Y706" s="4" t="str">
        <f>IFERROR(__xludf.DUMMYFUNCTION("IF(OR($U706="""",COUNTIF($I:$I,IFERROR(unique(filter(Prod_Prop!$H:$H,Prod_Prop!$G:$G=$U706,Prod_Prop!$E:$E=Y$1)),""Check""))=0),"""",IFERROR(unique(filter(Prod_Prop!$H:$H,Prod_Prop!$G:$G=$U706,Prod_Prop!$E:$E=Y$1)),""""))"),"")</f>
        <v/>
      </c>
      <c r="Z706" s="4" t="str">
        <f>IF(Y706="","",SUMIFS(Prod_Prop!$J:$J,Prod_Prop!$B:$B,$Q706,Prod_Prop!$H:$H,Y706,Prod_Prop!$I:$I,Z$1)*IF(Y706="Peso",$R706,1))</f>
        <v/>
      </c>
      <c r="AA706" s="4" t="str">
        <f>IF(Y706="","",SUMIFS(Prod_Prop!$J:$J,Prod_Prop!$B:$B,$Q706,Prod_Prop!$H:$H,Y706,Prod_Prop!$I:$I,AA$1)*IF(Y706="Peso",$R706,1))</f>
        <v/>
      </c>
      <c r="AB706" s="4" t="str">
        <f>IFERROR(__xludf.DUMMYFUNCTION("IF(OR($U706="""",COUNTIF($I:$I,IFERROR(unique(filter(Prod_Prop!$H:$H,Prod_Prop!$G:$G=$U706,Prod_Prop!$E:$E=AB$1)),""Check""))=0),"""",IFERROR(unique(filter(Prod_Prop!$H:$H,Prod_Prop!$G:$G=$U706,Prod_Prop!$E:$E=AB$1)),""""))"),"")</f>
        <v/>
      </c>
      <c r="AC706" s="4" t="str">
        <f>IF(AB706="","",SUMIFS(Prod_Prop!$J:$J,Prod_Prop!$B:$B,$Q706,Prod_Prop!$H:$H,AB706,Prod_Prop!$I:$I,AC$1)*IF(AB706="Peso",$R706,1))</f>
        <v/>
      </c>
      <c r="AD706" s="4" t="str">
        <f>IF(AB706="","",SUMIFS(Prod_Prop!$J:$J,Prod_Prop!$B:$B,$Q706,Prod_Prop!$H:$H,AB706,Prod_Prop!$I:$I,AD$1)*IF(AB706="Peso",$R706,1))</f>
        <v/>
      </c>
    </row>
    <row r="707">
      <c r="A707" s="4" t="str">
        <f t="array" ref="A707">IF(COUNTIF(A$1:A706,Cotizador!F$2)=maxifs(Familias!E:E,Familias!D:D,Cotizador!F$2),IF(COUNTIF(A$1:A706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7" s="4" t="str">
        <f t="shared" si="1"/>
        <v/>
      </c>
      <c r="C707" s="4" t="str">
        <f t="array" ref="C707">IF(B707="","",IF(A707=XLOOKUP(A$2,Implementos!B:B,Implementos!C:C,"",0,1),B707+maxifs(B$1:B706,A$1:A706,A$2),B707))</f>
        <v/>
      </c>
      <c r="D707" s="4" t="str">
        <f>IF(B707="","", COUNTIFS(Productos!F:F,A707,Productos!H:H,B707)+IF(F707="SI",0,1))</f>
        <v/>
      </c>
      <c r="E707" s="4" t="str">
        <f>IFERROR(__xludf.DUMMYFUNCTION("IF($B707="""","""",INDEX(filter(Familias!F:F,Familias!$D:$D=$A707,Familias!$E:$E=$B707),1))"),"")</f>
        <v/>
      </c>
      <c r="F707" s="4" t="str">
        <f>IFERROR(__xludf.DUMMYFUNCTION("IF($B707="""","""",INDEX(filter(Familias!G:G,Familias!$D:$D=$A707,Familias!$E:$E=$B707),1))"),"")</f>
        <v/>
      </c>
      <c r="G707" s="4" t="str">
        <f t="array" ref="G707">IF(C707=1,XLOOKUP(C707,Cotizador!D:D,Cotizador!E:E,"",0,1),"")</f>
        <v/>
      </c>
      <c r="I707" s="4"/>
      <c r="J707" s="8" t="str">
        <f>IF(I707="","",SUMIF(Cotizador!I$1:V$1,I707,Cotizador!I$2:V$2))</f>
        <v/>
      </c>
      <c r="L707" s="4" t="str">
        <f t="array" ref="L707">IF(COUNTIF(L$1:L706,A$2)=SUMIF(A:A,A$2,D:D),IF(COUNTIF(L$1:L706,XLOOKUP(A$2,Implementos!B:B,Implementos!C:C,"",0,1))=SUMIF(A:A,XLOOKUP(A$2,Implementos!B:B,Implementos!C:C,"",0,1),D:D),"",XLOOKUP(A$2,Implementos!B:B,Implementos!C:C,"",0,1)),A$2)</f>
        <v/>
      </c>
      <c r="M707" s="4" t="str">
        <f t="shared" si="2"/>
        <v/>
      </c>
      <c r="N707" s="4" t="str">
        <f t="shared" si="3"/>
        <v/>
      </c>
      <c r="O707" s="4" t="str">
        <f t="shared" si="4"/>
        <v/>
      </c>
      <c r="P707" s="4" t="str">
        <f t="shared" si="5"/>
        <v/>
      </c>
      <c r="Q707" s="4" t="str">
        <f>IF(U707="","",SUMIF(Productos!E:E,U707,Productos!A:A))</f>
        <v/>
      </c>
      <c r="R707" s="4" t="str">
        <f t="array" ref="R707">IF(L707="","", max(1,SUMIF(I:I,XLOOKUP(U707,Productos!E:E,Productos!G:G,"",0,1),J:J)))</f>
        <v/>
      </c>
      <c r="S707" s="4" t="str">
        <f>IF(Q707="","",IF(SUMIFS(Compat_Vetado!D:D,Compat_Vetado!B:B,SUM(G:G),Compat_Vetado!C:C,Q707)=1,"SI",IF(OR(SUMIF(Cotizador!E:E,Q707,Cotizador!G:G)&gt;0,SUMIFS(Compat_Vetado!D:D,Compat_Vetado!B:B,SUM(G:G),Compat_Vetado!C:C,Q707)=-1),"NO","")))</f>
        <v/>
      </c>
      <c r="T707" s="4" t="str">
        <f t="shared" si="6"/>
        <v/>
      </c>
      <c r="U707" s="4" t="str">
        <f>IFERROR(__xludf.DUMMYFUNCTION("IF(P707="""","""",IFERROR(INDEX(filter(Productos!E:E,Productos!F:F=L707,Productos!H:H=N707),P707),IF(M707=SUM(D:D),""Finalizar"",""-"")))"),"")</f>
        <v/>
      </c>
      <c r="V707" s="4" t="str">
        <f>IFERROR(__xludf.DUMMYFUNCTION("IF(OR($U707="""",COUNTIF($I:$I,IFERROR(unique(filter(Prod_Prop!$H:$H,Prod_Prop!$G:$G=$U707,Prod_Prop!$E:$E=V$1)),""Check""))=0),"""",IFERROR(unique(filter(Prod_Prop!$H:$H,Prod_Prop!$G:$G=$U707,Prod_Prop!$E:$E=V$1)),""""))"),"")</f>
        <v/>
      </c>
      <c r="W707" s="4" t="str">
        <f>IF(V707="","",SUMIFS(Prod_Prop!$J:$J,Prod_Prop!$B:$B,$Q707,Prod_Prop!$H:$H,V707,Prod_Prop!$I:$I,W$1)*IF(V707="Peso",$R707,1))</f>
        <v/>
      </c>
      <c r="X707" s="4" t="str">
        <f>IF(V707="","",SUMIFS(Prod_Prop!$J:$J,Prod_Prop!$B:$B,$Q707,Prod_Prop!$H:$H,V707,Prod_Prop!$I:$I,X$1)*IF(V707="Peso",$R707,1))</f>
        <v/>
      </c>
      <c r="Y707" s="4" t="str">
        <f>IFERROR(__xludf.DUMMYFUNCTION("IF(OR($U707="""",COUNTIF($I:$I,IFERROR(unique(filter(Prod_Prop!$H:$H,Prod_Prop!$G:$G=$U707,Prod_Prop!$E:$E=Y$1)),""Check""))=0),"""",IFERROR(unique(filter(Prod_Prop!$H:$H,Prod_Prop!$G:$G=$U707,Prod_Prop!$E:$E=Y$1)),""""))"),"")</f>
        <v/>
      </c>
      <c r="Z707" s="4" t="str">
        <f>IF(Y707="","",SUMIFS(Prod_Prop!$J:$J,Prod_Prop!$B:$B,$Q707,Prod_Prop!$H:$H,Y707,Prod_Prop!$I:$I,Z$1)*IF(Y707="Peso",$R707,1))</f>
        <v/>
      </c>
      <c r="AA707" s="4" t="str">
        <f>IF(Y707="","",SUMIFS(Prod_Prop!$J:$J,Prod_Prop!$B:$B,$Q707,Prod_Prop!$H:$H,Y707,Prod_Prop!$I:$I,AA$1)*IF(Y707="Peso",$R707,1))</f>
        <v/>
      </c>
      <c r="AB707" s="4" t="str">
        <f>IFERROR(__xludf.DUMMYFUNCTION("IF(OR($U707="""",COUNTIF($I:$I,IFERROR(unique(filter(Prod_Prop!$H:$H,Prod_Prop!$G:$G=$U707,Prod_Prop!$E:$E=AB$1)),""Check""))=0),"""",IFERROR(unique(filter(Prod_Prop!$H:$H,Prod_Prop!$G:$G=$U707,Prod_Prop!$E:$E=AB$1)),""""))"),"")</f>
        <v/>
      </c>
      <c r="AC707" s="4" t="str">
        <f>IF(AB707="","",SUMIFS(Prod_Prop!$J:$J,Prod_Prop!$B:$B,$Q707,Prod_Prop!$H:$H,AB707,Prod_Prop!$I:$I,AC$1)*IF(AB707="Peso",$R707,1))</f>
        <v/>
      </c>
      <c r="AD707" s="4" t="str">
        <f>IF(AB707="","",SUMIFS(Prod_Prop!$J:$J,Prod_Prop!$B:$B,$Q707,Prod_Prop!$H:$H,AB707,Prod_Prop!$I:$I,AD$1)*IF(AB707="Peso",$R707,1))</f>
        <v/>
      </c>
    </row>
    <row r="708">
      <c r="A708" s="4" t="str">
        <f t="array" ref="A708">IF(COUNTIF(A$1:A707,Cotizador!F$2)=maxifs(Familias!E:E,Familias!D:D,Cotizador!F$2),IF(COUNTIF(A$1:A707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8" s="4" t="str">
        <f t="shared" si="1"/>
        <v/>
      </c>
      <c r="C708" s="4" t="str">
        <f t="array" ref="C708">IF(B708="","",IF(A708=XLOOKUP(A$2,Implementos!B:B,Implementos!C:C,"",0,1),B708+maxifs(B$1:B707,A$1:A707,A$2),B708))</f>
        <v/>
      </c>
      <c r="D708" s="4" t="str">
        <f>IF(B708="","", COUNTIFS(Productos!F:F,A708,Productos!H:H,B708)+IF(F708="SI",0,1))</f>
        <v/>
      </c>
      <c r="E708" s="4" t="str">
        <f>IFERROR(__xludf.DUMMYFUNCTION("IF($B708="""","""",INDEX(filter(Familias!F:F,Familias!$D:$D=$A708,Familias!$E:$E=$B708),1))"),"")</f>
        <v/>
      </c>
      <c r="F708" s="4" t="str">
        <f>IFERROR(__xludf.DUMMYFUNCTION("IF($B708="""","""",INDEX(filter(Familias!G:G,Familias!$D:$D=$A708,Familias!$E:$E=$B708),1))"),"")</f>
        <v/>
      </c>
      <c r="G708" s="4" t="str">
        <f t="array" ref="G708">IF(C708=1,XLOOKUP(C708,Cotizador!D:D,Cotizador!E:E,"",0,1),"")</f>
        <v/>
      </c>
      <c r="I708" s="4"/>
      <c r="J708" s="8" t="str">
        <f>IF(I708="","",SUMIF(Cotizador!I$1:V$1,I708,Cotizador!I$2:V$2))</f>
        <v/>
      </c>
      <c r="L708" s="4" t="str">
        <f t="array" ref="L708">IF(COUNTIF(L$1:L707,A$2)=SUMIF(A:A,A$2,D:D),IF(COUNTIF(L$1:L707,XLOOKUP(A$2,Implementos!B:B,Implementos!C:C,"",0,1))=SUMIF(A:A,XLOOKUP(A$2,Implementos!B:B,Implementos!C:C,"",0,1),D:D),"",XLOOKUP(A$2,Implementos!B:B,Implementos!C:C,"",0,1)),A$2)</f>
        <v/>
      </c>
      <c r="M708" s="4" t="str">
        <f t="shared" si="2"/>
        <v/>
      </c>
      <c r="N708" s="4" t="str">
        <f t="shared" si="3"/>
        <v/>
      </c>
      <c r="O708" s="4" t="str">
        <f t="shared" si="4"/>
        <v/>
      </c>
      <c r="P708" s="4" t="str">
        <f t="shared" si="5"/>
        <v/>
      </c>
      <c r="Q708" s="4" t="str">
        <f>IF(U708="","",SUMIF(Productos!E:E,U708,Productos!A:A))</f>
        <v/>
      </c>
      <c r="R708" s="4" t="str">
        <f t="array" ref="R708">IF(L708="","", max(1,SUMIF(I:I,XLOOKUP(U708,Productos!E:E,Productos!G:G,"",0,1),J:J)))</f>
        <v/>
      </c>
      <c r="S708" s="4" t="str">
        <f>IF(Q708="","",IF(SUMIFS(Compat_Vetado!D:D,Compat_Vetado!B:B,SUM(G:G),Compat_Vetado!C:C,Q708)=1,"SI",IF(OR(SUMIF(Cotizador!E:E,Q708,Cotizador!G:G)&gt;0,SUMIFS(Compat_Vetado!D:D,Compat_Vetado!B:B,SUM(G:G),Compat_Vetado!C:C,Q708)=-1),"NO","")))</f>
        <v/>
      </c>
      <c r="T708" s="4" t="str">
        <f t="shared" si="6"/>
        <v/>
      </c>
      <c r="U708" s="4" t="str">
        <f>IFERROR(__xludf.DUMMYFUNCTION("IF(P708="""","""",IFERROR(INDEX(filter(Productos!E:E,Productos!F:F=L708,Productos!H:H=N708),P708),IF(M708=SUM(D:D),""Finalizar"",""-"")))"),"")</f>
        <v/>
      </c>
      <c r="V708" s="4" t="str">
        <f>IFERROR(__xludf.DUMMYFUNCTION("IF(OR($U708="""",COUNTIF($I:$I,IFERROR(unique(filter(Prod_Prop!$H:$H,Prod_Prop!$G:$G=$U708,Prod_Prop!$E:$E=V$1)),""Check""))=0),"""",IFERROR(unique(filter(Prod_Prop!$H:$H,Prod_Prop!$G:$G=$U708,Prod_Prop!$E:$E=V$1)),""""))"),"")</f>
        <v/>
      </c>
      <c r="W708" s="4" t="str">
        <f>IF(V708="","",SUMIFS(Prod_Prop!$J:$J,Prod_Prop!$B:$B,$Q708,Prod_Prop!$H:$H,V708,Prod_Prop!$I:$I,W$1)*IF(V708="Peso",$R708,1))</f>
        <v/>
      </c>
      <c r="X708" s="4" t="str">
        <f>IF(V708="","",SUMIFS(Prod_Prop!$J:$J,Prod_Prop!$B:$B,$Q708,Prod_Prop!$H:$H,V708,Prod_Prop!$I:$I,X$1)*IF(V708="Peso",$R708,1))</f>
        <v/>
      </c>
      <c r="Y708" s="4" t="str">
        <f>IFERROR(__xludf.DUMMYFUNCTION("IF(OR($U708="""",COUNTIF($I:$I,IFERROR(unique(filter(Prod_Prop!$H:$H,Prod_Prop!$G:$G=$U708,Prod_Prop!$E:$E=Y$1)),""Check""))=0),"""",IFERROR(unique(filter(Prod_Prop!$H:$H,Prod_Prop!$G:$G=$U708,Prod_Prop!$E:$E=Y$1)),""""))"),"")</f>
        <v/>
      </c>
      <c r="Z708" s="4" t="str">
        <f>IF(Y708="","",SUMIFS(Prod_Prop!$J:$J,Prod_Prop!$B:$B,$Q708,Prod_Prop!$H:$H,Y708,Prod_Prop!$I:$I,Z$1)*IF(Y708="Peso",$R708,1))</f>
        <v/>
      </c>
      <c r="AA708" s="4" t="str">
        <f>IF(Y708="","",SUMIFS(Prod_Prop!$J:$J,Prod_Prop!$B:$B,$Q708,Prod_Prop!$H:$H,Y708,Prod_Prop!$I:$I,AA$1)*IF(Y708="Peso",$R708,1))</f>
        <v/>
      </c>
      <c r="AB708" s="4" t="str">
        <f>IFERROR(__xludf.DUMMYFUNCTION("IF(OR($U708="""",COUNTIF($I:$I,IFERROR(unique(filter(Prod_Prop!$H:$H,Prod_Prop!$G:$G=$U708,Prod_Prop!$E:$E=AB$1)),""Check""))=0),"""",IFERROR(unique(filter(Prod_Prop!$H:$H,Prod_Prop!$G:$G=$U708,Prod_Prop!$E:$E=AB$1)),""""))"),"")</f>
        <v/>
      </c>
      <c r="AC708" s="4" t="str">
        <f>IF(AB708="","",SUMIFS(Prod_Prop!$J:$J,Prod_Prop!$B:$B,$Q708,Prod_Prop!$H:$H,AB708,Prod_Prop!$I:$I,AC$1)*IF(AB708="Peso",$R708,1))</f>
        <v/>
      </c>
      <c r="AD708" s="4" t="str">
        <f>IF(AB708="","",SUMIFS(Prod_Prop!$J:$J,Prod_Prop!$B:$B,$Q708,Prod_Prop!$H:$H,AB708,Prod_Prop!$I:$I,AD$1)*IF(AB708="Peso",$R708,1))</f>
        <v/>
      </c>
    </row>
    <row r="709">
      <c r="A709" s="4" t="str">
        <f t="array" ref="A709">IF(COUNTIF(A$1:A708,Cotizador!F$2)=maxifs(Familias!E:E,Familias!D:D,Cotizador!F$2),IF(COUNTIF(A$1:A708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09" s="4" t="str">
        <f t="shared" si="1"/>
        <v/>
      </c>
      <c r="C709" s="4" t="str">
        <f t="array" ref="C709">IF(B709="","",IF(A709=XLOOKUP(A$2,Implementos!B:B,Implementos!C:C,"",0,1),B709+maxifs(B$1:B708,A$1:A708,A$2),B709))</f>
        <v/>
      </c>
      <c r="D709" s="4" t="str">
        <f>IF(B709="","", COUNTIFS(Productos!F:F,A709,Productos!H:H,B709)+IF(F709="SI",0,1))</f>
        <v/>
      </c>
      <c r="E709" s="4" t="str">
        <f>IFERROR(__xludf.DUMMYFUNCTION("IF($B709="""","""",INDEX(filter(Familias!F:F,Familias!$D:$D=$A709,Familias!$E:$E=$B709),1))"),"")</f>
        <v/>
      </c>
      <c r="F709" s="4" t="str">
        <f>IFERROR(__xludf.DUMMYFUNCTION("IF($B709="""","""",INDEX(filter(Familias!G:G,Familias!$D:$D=$A709,Familias!$E:$E=$B709),1))"),"")</f>
        <v/>
      </c>
      <c r="G709" s="4" t="str">
        <f t="array" ref="G709">IF(C709=1,XLOOKUP(C709,Cotizador!D:D,Cotizador!E:E,"",0,1),"")</f>
        <v/>
      </c>
      <c r="I709" s="4"/>
      <c r="J709" s="8" t="str">
        <f>IF(I709="","",SUMIF(Cotizador!I$1:V$1,I709,Cotizador!I$2:V$2))</f>
        <v/>
      </c>
      <c r="L709" s="4" t="str">
        <f t="array" ref="L709">IF(COUNTIF(L$1:L708,A$2)=SUMIF(A:A,A$2,D:D),IF(COUNTIF(L$1:L708,XLOOKUP(A$2,Implementos!B:B,Implementos!C:C,"",0,1))=SUMIF(A:A,XLOOKUP(A$2,Implementos!B:B,Implementos!C:C,"",0,1),D:D),"",XLOOKUP(A$2,Implementos!B:B,Implementos!C:C,"",0,1)),A$2)</f>
        <v/>
      </c>
      <c r="M709" s="4" t="str">
        <f t="shared" si="2"/>
        <v/>
      </c>
      <c r="N709" s="4" t="str">
        <f t="shared" si="3"/>
        <v/>
      </c>
      <c r="O709" s="4" t="str">
        <f t="shared" si="4"/>
        <v/>
      </c>
      <c r="P709" s="4" t="str">
        <f t="shared" si="5"/>
        <v/>
      </c>
      <c r="Q709" s="4" t="str">
        <f>IF(U709="","",SUMIF(Productos!E:E,U709,Productos!A:A))</f>
        <v/>
      </c>
      <c r="R709" s="4" t="str">
        <f t="array" ref="R709">IF(L709="","", max(1,SUMIF(I:I,XLOOKUP(U709,Productos!E:E,Productos!G:G,"",0,1),J:J)))</f>
        <v/>
      </c>
      <c r="S709" s="4" t="str">
        <f>IF(Q709="","",IF(SUMIFS(Compat_Vetado!D:D,Compat_Vetado!B:B,SUM(G:G),Compat_Vetado!C:C,Q709)=1,"SI",IF(OR(SUMIF(Cotizador!E:E,Q709,Cotizador!G:G)&gt;0,SUMIFS(Compat_Vetado!D:D,Compat_Vetado!B:B,SUM(G:G),Compat_Vetado!C:C,Q709)=-1),"NO","")))</f>
        <v/>
      </c>
      <c r="T709" s="4" t="str">
        <f t="shared" si="6"/>
        <v/>
      </c>
      <c r="U709" s="4" t="str">
        <f>IFERROR(__xludf.DUMMYFUNCTION("IF(P709="""","""",IFERROR(INDEX(filter(Productos!E:E,Productos!F:F=L709,Productos!H:H=N709),P709),IF(M709=SUM(D:D),""Finalizar"",""-"")))"),"")</f>
        <v/>
      </c>
      <c r="V709" s="4" t="str">
        <f>IFERROR(__xludf.DUMMYFUNCTION("IF(OR($U709="""",COUNTIF($I:$I,IFERROR(unique(filter(Prod_Prop!$H:$H,Prod_Prop!$G:$G=$U709,Prod_Prop!$E:$E=V$1)),""Check""))=0),"""",IFERROR(unique(filter(Prod_Prop!$H:$H,Prod_Prop!$G:$G=$U709,Prod_Prop!$E:$E=V$1)),""""))"),"")</f>
        <v/>
      </c>
      <c r="W709" s="4" t="str">
        <f>IF(V709="","",SUMIFS(Prod_Prop!$J:$J,Prod_Prop!$B:$B,$Q709,Prod_Prop!$H:$H,V709,Prod_Prop!$I:$I,W$1)*IF(V709="Peso",$R709,1))</f>
        <v/>
      </c>
      <c r="X709" s="4" t="str">
        <f>IF(V709="","",SUMIFS(Prod_Prop!$J:$J,Prod_Prop!$B:$B,$Q709,Prod_Prop!$H:$H,V709,Prod_Prop!$I:$I,X$1)*IF(V709="Peso",$R709,1))</f>
        <v/>
      </c>
      <c r="Y709" s="4" t="str">
        <f>IFERROR(__xludf.DUMMYFUNCTION("IF(OR($U709="""",COUNTIF($I:$I,IFERROR(unique(filter(Prod_Prop!$H:$H,Prod_Prop!$G:$G=$U709,Prod_Prop!$E:$E=Y$1)),""Check""))=0),"""",IFERROR(unique(filter(Prod_Prop!$H:$H,Prod_Prop!$G:$G=$U709,Prod_Prop!$E:$E=Y$1)),""""))"),"")</f>
        <v/>
      </c>
      <c r="Z709" s="4" t="str">
        <f>IF(Y709="","",SUMIFS(Prod_Prop!$J:$J,Prod_Prop!$B:$B,$Q709,Prod_Prop!$H:$H,Y709,Prod_Prop!$I:$I,Z$1)*IF(Y709="Peso",$R709,1))</f>
        <v/>
      </c>
      <c r="AA709" s="4" t="str">
        <f>IF(Y709="","",SUMIFS(Prod_Prop!$J:$J,Prod_Prop!$B:$B,$Q709,Prod_Prop!$H:$H,Y709,Prod_Prop!$I:$I,AA$1)*IF(Y709="Peso",$R709,1))</f>
        <v/>
      </c>
      <c r="AB709" s="4" t="str">
        <f>IFERROR(__xludf.DUMMYFUNCTION("IF(OR($U709="""",COUNTIF($I:$I,IFERROR(unique(filter(Prod_Prop!$H:$H,Prod_Prop!$G:$G=$U709,Prod_Prop!$E:$E=AB$1)),""Check""))=0),"""",IFERROR(unique(filter(Prod_Prop!$H:$H,Prod_Prop!$G:$G=$U709,Prod_Prop!$E:$E=AB$1)),""""))"),"")</f>
        <v/>
      </c>
      <c r="AC709" s="4" t="str">
        <f>IF(AB709="","",SUMIFS(Prod_Prop!$J:$J,Prod_Prop!$B:$B,$Q709,Prod_Prop!$H:$H,AB709,Prod_Prop!$I:$I,AC$1)*IF(AB709="Peso",$R709,1))</f>
        <v/>
      </c>
      <c r="AD709" s="4" t="str">
        <f>IF(AB709="","",SUMIFS(Prod_Prop!$J:$J,Prod_Prop!$B:$B,$Q709,Prod_Prop!$H:$H,AB709,Prod_Prop!$I:$I,AD$1)*IF(AB709="Peso",$R709,1))</f>
        <v/>
      </c>
    </row>
    <row r="710">
      <c r="A710" s="4" t="str">
        <f t="array" ref="A710">IF(COUNTIF(A$1:A709,Cotizador!F$2)=maxifs(Familias!E:E,Familias!D:D,Cotizador!F$2),IF(COUNTIF(A$1:A709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0" s="4" t="str">
        <f t="shared" si="1"/>
        <v/>
      </c>
      <c r="C710" s="4" t="str">
        <f t="array" ref="C710">IF(B710="","",IF(A710=XLOOKUP(A$2,Implementos!B:B,Implementos!C:C,"",0,1),B710+maxifs(B$1:B709,A$1:A709,A$2),B710))</f>
        <v/>
      </c>
      <c r="D710" s="4" t="str">
        <f>IF(B710="","", COUNTIFS(Productos!F:F,A710,Productos!H:H,B710)+IF(F710="SI",0,1))</f>
        <v/>
      </c>
      <c r="E710" s="4" t="str">
        <f>IFERROR(__xludf.DUMMYFUNCTION("IF($B710="""","""",INDEX(filter(Familias!F:F,Familias!$D:$D=$A710,Familias!$E:$E=$B710),1))"),"")</f>
        <v/>
      </c>
      <c r="F710" s="4" t="str">
        <f>IFERROR(__xludf.DUMMYFUNCTION("IF($B710="""","""",INDEX(filter(Familias!G:G,Familias!$D:$D=$A710,Familias!$E:$E=$B710),1))"),"")</f>
        <v/>
      </c>
      <c r="G710" s="4" t="str">
        <f t="array" ref="G710">IF(C710=1,XLOOKUP(C710,Cotizador!D:D,Cotizador!E:E,"",0,1),"")</f>
        <v/>
      </c>
      <c r="I710" s="4"/>
      <c r="J710" s="8" t="str">
        <f>IF(I710="","",SUMIF(Cotizador!I$1:V$1,I710,Cotizador!I$2:V$2))</f>
        <v/>
      </c>
      <c r="L710" s="4" t="str">
        <f t="array" ref="L710">IF(COUNTIF(L$1:L709,A$2)=SUMIF(A:A,A$2,D:D),IF(COUNTIF(L$1:L709,XLOOKUP(A$2,Implementos!B:B,Implementos!C:C,"",0,1))=SUMIF(A:A,XLOOKUP(A$2,Implementos!B:B,Implementos!C:C,"",0,1),D:D),"",XLOOKUP(A$2,Implementos!B:B,Implementos!C:C,"",0,1)),A$2)</f>
        <v/>
      </c>
      <c r="M710" s="4" t="str">
        <f t="shared" si="2"/>
        <v/>
      </c>
      <c r="N710" s="4" t="str">
        <f t="shared" si="3"/>
        <v/>
      </c>
      <c r="O710" s="4" t="str">
        <f t="shared" si="4"/>
        <v/>
      </c>
      <c r="P710" s="4" t="str">
        <f t="shared" si="5"/>
        <v/>
      </c>
      <c r="Q710" s="4" t="str">
        <f>IF(U710="","",SUMIF(Productos!E:E,U710,Productos!A:A))</f>
        <v/>
      </c>
      <c r="R710" s="4" t="str">
        <f t="array" ref="R710">IF(L710="","", max(1,SUMIF(I:I,XLOOKUP(U710,Productos!E:E,Productos!G:G,"",0,1),J:J)))</f>
        <v/>
      </c>
      <c r="S710" s="4" t="str">
        <f>IF(Q710="","",IF(SUMIFS(Compat_Vetado!D:D,Compat_Vetado!B:B,SUM(G:G),Compat_Vetado!C:C,Q710)=1,"SI",IF(OR(SUMIF(Cotizador!E:E,Q710,Cotizador!G:G)&gt;0,SUMIFS(Compat_Vetado!D:D,Compat_Vetado!B:B,SUM(G:G),Compat_Vetado!C:C,Q710)=-1),"NO","")))</f>
        <v/>
      </c>
      <c r="T710" s="4" t="str">
        <f t="shared" si="6"/>
        <v/>
      </c>
      <c r="U710" s="4" t="str">
        <f>IFERROR(__xludf.DUMMYFUNCTION("IF(P710="""","""",IFERROR(INDEX(filter(Productos!E:E,Productos!F:F=L710,Productos!H:H=N710),P710),IF(M710=SUM(D:D),""Finalizar"",""-"")))"),"")</f>
        <v/>
      </c>
      <c r="V710" s="4" t="str">
        <f>IFERROR(__xludf.DUMMYFUNCTION("IF(OR($U710="""",COUNTIF($I:$I,IFERROR(unique(filter(Prod_Prop!$H:$H,Prod_Prop!$G:$G=$U710,Prod_Prop!$E:$E=V$1)),""Check""))=0),"""",IFERROR(unique(filter(Prod_Prop!$H:$H,Prod_Prop!$G:$G=$U710,Prod_Prop!$E:$E=V$1)),""""))"),"")</f>
        <v/>
      </c>
      <c r="W710" s="4" t="str">
        <f>IF(V710="","",SUMIFS(Prod_Prop!$J:$J,Prod_Prop!$B:$B,$Q710,Prod_Prop!$H:$H,V710,Prod_Prop!$I:$I,W$1)*IF(V710="Peso",$R710,1))</f>
        <v/>
      </c>
      <c r="X710" s="4" t="str">
        <f>IF(V710="","",SUMIFS(Prod_Prop!$J:$J,Prod_Prop!$B:$B,$Q710,Prod_Prop!$H:$H,V710,Prod_Prop!$I:$I,X$1)*IF(V710="Peso",$R710,1))</f>
        <v/>
      </c>
      <c r="Y710" s="4" t="str">
        <f>IFERROR(__xludf.DUMMYFUNCTION("IF(OR($U710="""",COUNTIF($I:$I,IFERROR(unique(filter(Prod_Prop!$H:$H,Prod_Prop!$G:$G=$U710,Prod_Prop!$E:$E=Y$1)),""Check""))=0),"""",IFERROR(unique(filter(Prod_Prop!$H:$H,Prod_Prop!$G:$G=$U710,Prod_Prop!$E:$E=Y$1)),""""))"),"")</f>
        <v/>
      </c>
      <c r="Z710" s="4" t="str">
        <f>IF(Y710="","",SUMIFS(Prod_Prop!$J:$J,Prod_Prop!$B:$B,$Q710,Prod_Prop!$H:$H,Y710,Prod_Prop!$I:$I,Z$1)*IF(Y710="Peso",$R710,1))</f>
        <v/>
      </c>
      <c r="AA710" s="4" t="str">
        <f>IF(Y710="","",SUMIFS(Prod_Prop!$J:$J,Prod_Prop!$B:$B,$Q710,Prod_Prop!$H:$H,Y710,Prod_Prop!$I:$I,AA$1)*IF(Y710="Peso",$R710,1))</f>
        <v/>
      </c>
      <c r="AB710" s="4" t="str">
        <f>IFERROR(__xludf.DUMMYFUNCTION("IF(OR($U710="""",COUNTIF($I:$I,IFERROR(unique(filter(Prod_Prop!$H:$H,Prod_Prop!$G:$G=$U710,Prod_Prop!$E:$E=AB$1)),""Check""))=0),"""",IFERROR(unique(filter(Prod_Prop!$H:$H,Prod_Prop!$G:$G=$U710,Prod_Prop!$E:$E=AB$1)),""""))"),"")</f>
        <v/>
      </c>
      <c r="AC710" s="4" t="str">
        <f>IF(AB710="","",SUMIFS(Prod_Prop!$J:$J,Prod_Prop!$B:$B,$Q710,Prod_Prop!$H:$H,AB710,Prod_Prop!$I:$I,AC$1)*IF(AB710="Peso",$R710,1))</f>
        <v/>
      </c>
      <c r="AD710" s="4" t="str">
        <f>IF(AB710="","",SUMIFS(Prod_Prop!$J:$J,Prod_Prop!$B:$B,$Q710,Prod_Prop!$H:$H,AB710,Prod_Prop!$I:$I,AD$1)*IF(AB710="Peso",$R710,1))</f>
        <v/>
      </c>
    </row>
    <row r="711">
      <c r="A711" s="4" t="str">
        <f t="array" ref="A711">IF(COUNTIF(A$1:A710,Cotizador!F$2)=maxifs(Familias!E:E,Familias!D:D,Cotizador!F$2),IF(COUNTIF(A$1:A710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1" s="4" t="str">
        <f t="shared" si="1"/>
        <v/>
      </c>
      <c r="C711" s="4" t="str">
        <f t="array" ref="C711">IF(B711="","",IF(A711=XLOOKUP(A$2,Implementos!B:B,Implementos!C:C,"",0,1),B711+maxifs(B$1:B710,A$1:A710,A$2),B711))</f>
        <v/>
      </c>
      <c r="D711" s="4" t="str">
        <f>IF(B711="","", COUNTIFS(Productos!F:F,A711,Productos!H:H,B711)+IF(F711="SI",0,1))</f>
        <v/>
      </c>
      <c r="E711" s="4" t="str">
        <f>IFERROR(__xludf.DUMMYFUNCTION("IF($B711="""","""",INDEX(filter(Familias!F:F,Familias!$D:$D=$A711,Familias!$E:$E=$B711),1))"),"")</f>
        <v/>
      </c>
      <c r="F711" s="4" t="str">
        <f>IFERROR(__xludf.DUMMYFUNCTION("IF($B711="""","""",INDEX(filter(Familias!G:G,Familias!$D:$D=$A711,Familias!$E:$E=$B711),1))"),"")</f>
        <v/>
      </c>
      <c r="G711" s="4" t="str">
        <f t="array" ref="G711">IF(C711=1,XLOOKUP(C711,Cotizador!D:D,Cotizador!E:E,"",0,1),"")</f>
        <v/>
      </c>
      <c r="I711" s="4"/>
      <c r="J711" s="8" t="str">
        <f>IF(I711="","",SUMIF(Cotizador!I$1:V$1,I711,Cotizador!I$2:V$2))</f>
        <v/>
      </c>
      <c r="L711" s="4" t="str">
        <f t="array" ref="L711">IF(COUNTIF(L$1:L710,A$2)=SUMIF(A:A,A$2,D:D),IF(COUNTIF(L$1:L710,XLOOKUP(A$2,Implementos!B:B,Implementos!C:C,"",0,1))=SUMIF(A:A,XLOOKUP(A$2,Implementos!B:B,Implementos!C:C,"",0,1),D:D),"",XLOOKUP(A$2,Implementos!B:B,Implementos!C:C,"",0,1)),A$2)</f>
        <v/>
      </c>
      <c r="M711" s="4" t="str">
        <f t="shared" si="2"/>
        <v/>
      </c>
      <c r="N711" s="4" t="str">
        <f t="shared" si="3"/>
        <v/>
      </c>
      <c r="O711" s="4" t="str">
        <f t="shared" si="4"/>
        <v/>
      </c>
      <c r="P711" s="4" t="str">
        <f t="shared" si="5"/>
        <v/>
      </c>
      <c r="Q711" s="4" t="str">
        <f>IF(U711="","",SUMIF(Productos!E:E,U711,Productos!A:A))</f>
        <v/>
      </c>
      <c r="R711" s="4" t="str">
        <f t="array" ref="R711">IF(L711="","", max(1,SUMIF(I:I,XLOOKUP(U711,Productos!E:E,Productos!G:G,"",0,1),J:J)))</f>
        <v/>
      </c>
      <c r="S711" s="4" t="str">
        <f>IF(Q711="","",IF(SUMIFS(Compat_Vetado!D:D,Compat_Vetado!B:B,SUM(G:G),Compat_Vetado!C:C,Q711)=1,"SI",IF(OR(SUMIF(Cotizador!E:E,Q711,Cotizador!G:G)&gt;0,SUMIFS(Compat_Vetado!D:D,Compat_Vetado!B:B,SUM(G:G),Compat_Vetado!C:C,Q711)=-1),"NO","")))</f>
        <v/>
      </c>
      <c r="T711" s="4" t="str">
        <f t="shared" si="6"/>
        <v/>
      </c>
      <c r="U711" s="4" t="str">
        <f>IFERROR(__xludf.DUMMYFUNCTION("IF(P711="""","""",IFERROR(INDEX(filter(Productos!E:E,Productos!F:F=L711,Productos!H:H=N711),P711),IF(M711=SUM(D:D),""Finalizar"",""-"")))"),"")</f>
        <v/>
      </c>
      <c r="V711" s="4" t="str">
        <f>IFERROR(__xludf.DUMMYFUNCTION("IF(OR($U711="""",COUNTIF($I:$I,IFERROR(unique(filter(Prod_Prop!$H:$H,Prod_Prop!$G:$G=$U711,Prod_Prop!$E:$E=V$1)),""Check""))=0),"""",IFERROR(unique(filter(Prod_Prop!$H:$H,Prod_Prop!$G:$G=$U711,Prod_Prop!$E:$E=V$1)),""""))"),"")</f>
        <v/>
      </c>
      <c r="W711" s="4" t="str">
        <f>IF(V711="","",SUMIFS(Prod_Prop!$J:$J,Prod_Prop!$B:$B,$Q711,Prod_Prop!$H:$H,V711,Prod_Prop!$I:$I,W$1)*IF(V711="Peso",$R711,1))</f>
        <v/>
      </c>
      <c r="X711" s="4" t="str">
        <f>IF(V711="","",SUMIFS(Prod_Prop!$J:$J,Prod_Prop!$B:$B,$Q711,Prod_Prop!$H:$H,V711,Prod_Prop!$I:$I,X$1)*IF(V711="Peso",$R711,1))</f>
        <v/>
      </c>
      <c r="Y711" s="4" t="str">
        <f>IFERROR(__xludf.DUMMYFUNCTION("IF(OR($U711="""",COUNTIF($I:$I,IFERROR(unique(filter(Prod_Prop!$H:$H,Prod_Prop!$G:$G=$U711,Prod_Prop!$E:$E=Y$1)),""Check""))=0),"""",IFERROR(unique(filter(Prod_Prop!$H:$H,Prod_Prop!$G:$G=$U711,Prod_Prop!$E:$E=Y$1)),""""))"),"")</f>
        <v/>
      </c>
      <c r="Z711" s="4" t="str">
        <f>IF(Y711="","",SUMIFS(Prod_Prop!$J:$J,Prod_Prop!$B:$B,$Q711,Prod_Prop!$H:$H,Y711,Prod_Prop!$I:$I,Z$1)*IF(Y711="Peso",$R711,1))</f>
        <v/>
      </c>
      <c r="AA711" s="4" t="str">
        <f>IF(Y711="","",SUMIFS(Prod_Prop!$J:$J,Prod_Prop!$B:$B,$Q711,Prod_Prop!$H:$H,Y711,Prod_Prop!$I:$I,AA$1)*IF(Y711="Peso",$R711,1))</f>
        <v/>
      </c>
      <c r="AB711" s="4" t="str">
        <f>IFERROR(__xludf.DUMMYFUNCTION("IF(OR($U711="""",COUNTIF($I:$I,IFERROR(unique(filter(Prod_Prop!$H:$H,Prod_Prop!$G:$G=$U711,Prod_Prop!$E:$E=AB$1)),""Check""))=0),"""",IFERROR(unique(filter(Prod_Prop!$H:$H,Prod_Prop!$G:$G=$U711,Prod_Prop!$E:$E=AB$1)),""""))"),"")</f>
        <v/>
      </c>
      <c r="AC711" s="4" t="str">
        <f>IF(AB711="","",SUMIFS(Prod_Prop!$J:$J,Prod_Prop!$B:$B,$Q711,Prod_Prop!$H:$H,AB711,Prod_Prop!$I:$I,AC$1)*IF(AB711="Peso",$R711,1))</f>
        <v/>
      </c>
      <c r="AD711" s="4" t="str">
        <f>IF(AB711="","",SUMIFS(Prod_Prop!$J:$J,Prod_Prop!$B:$B,$Q711,Prod_Prop!$H:$H,AB711,Prod_Prop!$I:$I,AD$1)*IF(AB711="Peso",$R711,1))</f>
        <v/>
      </c>
    </row>
    <row r="712">
      <c r="A712" s="4" t="str">
        <f t="array" ref="A712">IF(COUNTIF(A$1:A711,Cotizador!F$2)=maxifs(Familias!E:E,Familias!D:D,Cotizador!F$2),IF(COUNTIF(A$1:A711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2" s="4" t="str">
        <f t="shared" si="1"/>
        <v/>
      </c>
      <c r="C712" s="4" t="str">
        <f t="array" ref="C712">IF(B712="","",IF(A712=XLOOKUP(A$2,Implementos!B:B,Implementos!C:C,"",0,1),B712+maxifs(B$1:B711,A$1:A711,A$2),B712))</f>
        <v/>
      </c>
      <c r="D712" s="4" t="str">
        <f>IF(B712="","", COUNTIFS(Productos!F:F,A712,Productos!H:H,B712)+IF(F712="SI",0,1))</f>
        <v/>
      </c>
      <c r="E712" s="4" t="str">
        <f>IFERROR(__xludf.DUMMYFUNCTION("IF($B712="""","""",INDEX(filter(Familias!F:F,Familias!$D:$D=$A712,Familias!$E:$E=$B712),1))"),"")</f>
        <v/>
      </c>
      <c r="F712" s="4" t="str">
        <f>IFERROR(__xludf.DUMMYFUNCTION("IF($B712="""","""",INDEX(filter(Familias!G:G,Familias!$D:$D=$A712,Familias!$E:$E=$B712),1))"),"")</f>
        <v/>
      </c>
      <c r="G712" s="4" t="str">
        <f t="array" ref="G712">IF(C712=1,XLOOKUP(C712,Cotizador!D:D,Cotizador!E:E,"",0,1),"")</f>
        <v/>
      </c>
      <c r="I712" s="4"/>
      <c r="J712" s="8" t="str">
        <f>IF(I712="","",SUMIF(Cotizador!I$1:V$1,I712,Cotizador!I$2:V$2))</f>
        <v/>
      </c>
      <c r="L712" s="4" t="str">
        <f t="array" ref="L712">IF(COUNTIF(L$1:L711,A$2)=SUMIF(A:A,A$2,D:D),IF(COUNTIF(L$1:L711,XLOOKUP(A$2,Implementos!B:B,Implementos!C:C,"",0,1))=SUMIF(A:A,XLOOKUP(A$2,Implementos!B:B,Implementos!C:C,"",0,1),D:D),"",XLOOKUP(A$2,Implementos!B:B,Implementos!C:C,"",0,1)),A$2)</f>
        <v/>
      </c>
      <c r="M712" s="4" t="str">
        <f t="shared" si="2"/>
        <v/>
      </c>
      <c r="N712" s="4" t="str">
        <f t="shared" si="3"/>
        <v/>
      </c>
      <c r="O712" s="4" t="str">
        <f t="shared" si="4"/>
        <v/>
      </c>
      <c r="P712" s="4" t="str">
        <f t="shared" si="5"/>
        <v/>
      </c>
      <c r="Q712" s="4" t="str">
        <f>IF(U712="","",SUMIF(Productos!E:E,U712,Productos!A:A))</f>
        <v/>
      </c>
      <c r="R712" s="4" t="str">
        <f t="array" ref="R712">IF(L712="","", max(1,SUMIF(I:I,XLOOKUP(U712,Productos!E:E,Productos!G:G,"",0,1),J:J)))</f>
        <v/>
      </c>
      <c r="S712" s="4" t="str">
        <f>IF(Q712="","",IF(SUMIFS(Compat_Vetado!D:D,Compat_Vetado!B:B,SUM(G:G),Compat_Vetado!C:C,Q712)=1,"SI",IF(OR(SUMIF(Cotizador!E:E,Q712,Cotizador!G:G)&gt;0,SUMIFS(Compat_Vetado!D:D,Compat_Vetado!B:B,SUM(G:G),Compat_Vetado!C:C,Q712)=-1),"NO","")))</f>
        <v/>
      </c>
      <c r="T712" s="4" t="str">
        <f t="shared" si="6"/>
        <v/>
      </c>
      <c r="U712" s="4" t="str">
        <f>IFERROR(__xludf.DUMMYFUNCTION("IF(P712="""","""",IFERROR(INDEX(filter(Productos!E:E,Productos!F:F=L712,Productos!H:H=N712),P712),IF(M712=SUM(D:D),""Finalizar"",""-"")))"),"")</f>
        <v/>
      </c>
      <c r="V712" s="4" t="str">
        <f>IFERROR(__xludf.DUMMYFUNCTION("IF(OR($U712="""",COUNTIF($I:$I,IFERROR(unique(filter(Prod_Prop!$H:$H,Prod_Prop!$G:$G=$U712,Prod_Prop!$E:$E=V$1)),""Check""))=0),"""",IFERROR(unique(filter(Prod_Prop!$H:$H,Prod_Prop!$G:$G=$U712,Prod_Prop!$E:$E=V$1)),""""))"),"")</f>
        <v/>
      </c>
      <c r="W712" s="4" t="str">
        <f>IF(V712="","",SUMIFS(Prod_Prop!$J:$J,Prod_Prop!$B:$B,$Q712,Prod_Prop!$H:$H,V712,Prod_Prop!$I:$I,W$1)*IF(V712="Peso",$R712,1))</f>
        <v/>
      </c>
      <c r="X712" s="4" t="str">
        <f>IF(V712="","",SUMIFS(Prod_Prop!$J:$J,Prod_Prop!$B:$B,$Q712,Prod_Prop!$H:$H,V712,Prod_Prop!$I:$I,X$1)*IF(V712="Peso",$R712,1))</f>
        <v/>
      </c>
      <c r="Y712" s="4" t="str">
        <f>IFERROR(__xludf.DUMMYFUNCTION("IF(OR($U712="""",COUNTIF($I:$I,IFERROR(unique(filter(Prod_Prop!$H:$H,Prod_Prop!$G:$G=$U712,Prod_Prop!$E:$E=Y$1)),""Check""))=0),"""",IFERROR(unique(filter(Prod_Prop!$H:$H,Prod_Prop!$G:$G=$U712,Prod_Prop!$E:$E=Y$1)),""""))"),"")</f>
        <v/>
      </c>
      <c r="Z712" s="4" t="str">
        <f>IF(Y712="","",SUMIFS(Prod_Prop!$J:$J,Prod_Prop!$B:$B,$Q712,Prod_Prop!$H:$H,Y712,Prod_Prop!$I:$I,Z$1)*IF(Y712="Peso",$R712,1))</f>
        <v/>
      </c>
      <c r="AA712" s="4" t="str">
        <f>IF(Y712="","",SUMIFS(Prod_Prop!$J:$J,Prod_Prop!$B:$B,$Q712,Prod_Prop!$H:$H,Y712,Prod_Prop!$I:$I,AA$1)*IF(Y712="Peso",$R712,1))</f>
        <v/>
      </c>
      <c r="AB712" s="4" t="str">
        <f>IFERROR(__xludf.DUMMYFUNCTION("IF(OR($U712="""",COUNTIF($I:$I,IFERROR(unique(filter(Prod_Prop!$H:$H,Prod_Prop!$G:$G=$U712,Prod_Prop!$E:$E=AB$1)),""Check""))=0),"""",IFERROR(unique(filter(Prod_Prop!$H:$H,Prod_Prop!$G:$G=$U712,Prod_Prop!$E:$E=AB$1)),""""))"),"")</f>
        <v/>
      </c>
      <c r="AC712" s="4" t="str">
        <f>IF(AB712="","",SUMIFS(Prod_Prop!$J:$J,Prod_Prop!$B:$B,$Q712,Prod_Prop!$H:$H,AB712,Prod_Prop!$I:$I,AC$1)*IF(AB712="Peso",$R712,1))</f>
        <v/>
      </c>
      <c r="AD712" s="4" t="str">
        <f>IF(AB712="","",SUMIFS(Prod_Prop!$J:$J,Prod_Prop!$B:$B,$Q712,Prod_Prop!$H:$H,AB712,Prod_Prop!$I:$I,AD$1)*IF(AB712="Peso",$R712,1))</f>
        <v/>
      </c>
    </row>
    <row r="713">
      <c r="A713" s="4" t="str">
        <f t="array" ref="A713">IF(COUNTIF(A$1:A712,Cotizador!F$2)=maxifs(Familias!E:E,Familias!D:D,Cotizador!F$2),IF(COUNTIF(A$1:A712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3" s="4" t="str">
        <f t="shared" si="1"/>
        <v/>
      </c>
      <c r="C713" s="4" t="str">
        <f t="array" ref="C713">IF(B713="","",IF(A713=XLOOKUP(A$2,Implementos!B:B,Implementos!C:C,"",0,1),B713+maxifs(B$1:B712,A$1:A712,A$2),B713))</f>
        <v/>
      </c>
      <c r="D713" s="4" t="str">
        <f>IF(B713="","", COUNTIFS(Productos!F:F,A713,Productos!H:H,B713)+IF(F713="SI",0,1))</f>
        <v/>
      </c>
      <c r="E713" s="4" t="str">
        <f>IFERROR(__xludf.DUMMYFUNCTION("IF($B713="""","""",INDEX(filter(Familias!F:F,Familias!$D:$D=$A713,Familias!$E:$E=$B713),1))"),"")</f>
        <v/>
      </c>
      <c r="F713" s="4" t="str">
        <f>IFERROR(__xludf.DUMMYFUNCTION("IF($B713="""","""",INDEX(filter(Familias!G:G,Familias!$D:$D=$A713,Familias!$E:$E=$B713),1))"),"")</f>
        <v/>
      </c>
      <c r="G713" s="4" t="str">
        <f t="array" ref="G713">IF(C713=1,XLOOKUP(C713,Cotizador!D:D,Cotizador!E:E,"",0,1),"")</f>
        <v/>
      </c>
      <c r="I713" s="4"/>
      <c r="J713" s="8" t="str">
        <f>IF(I713="","",SUMIF(Cotizador!I$1:V$1,I713,Cotizador!I$2:V$2))</f>
        <v/>
      </c>
      <c r="L713" s="4" t="str">
        <f t="array" ref="L713">IF(COUNTIF(L$1:L712,A$2)=SUMIF(A:A,A$2,D:D),IF(COUNTIF(L$1:L712,XLOOKUP(A$2,Implementos!B:B,Implementos!C:C,"",0,1))=SUMIF(A:A,XLOOKUP(A$2,Implementos!B:B,Implementos!C:C,"",0,1),D:D),"",XLOOKUP(A$2,Implementos!B:B,Implementos!C:C,"",0,1)),A$2)</f>
        <v/>
      </c>
      <c r="M713" s="4" t="str">
        <f t="shared" si="2"/>
        <v/>
      </c>
      <c r="N713" s="4" t="str">
        <f t="shared" si="3"/>
        <v/>
      </c>
      <c r="O713" s="4" t="str">
        <f t="shared" si="4"/>
        <v/>
      </c>
      <c r="P713" s="4" t="str">
        <f t="shared" si="5"/>
        <v/>
      </c>
      <c r="Q713" s="4" t="str">
        <f>IF(U713="","",SUMIF(Productos!E:E,U713,Productos!A:A))</f>
        <v/>
      </c>
      <c r="R713" s="4" t="str">
        <f t="array" ref="R713">IF(L713="","", max(1,SUMIF(I:I,XLOOKUP(U713,Productos!E:E,Productos!G:G,"",0,1),J:J)))</f>
        <v/>
      </c>
      <c r="S713" s="4" t="str">
        <f>IF(Q713="","",IF(SUMIFS(Compat_Vetado!D:D,Compat_Vetado!B:B,SUM(G:G),Compat_Vetado!C:C,Q713)=1,"SI",IF(OR(SUMIF(Cotizador!E:E,Q713,Cotizador!G:G)&gt;0,SUMIFS(Compat_Vetado!D:D,Compat_Vetado!B:B,SUM(G:G),Compat_Vetado!C:C,Q713)=-1),"NO","")))</f>
        <v/>
      </c>
      <c r="T713" s="4" t="str">
        <f t="shared" si="6"/>
        <v/>
      </c>
      <c r="U713" s="4" t="str">
        <f>IFERROR(__xludf.DUMMYFUNCTION("IF(P713="""","""",IFERROR(INDEX(filter(Productos!E:E,Productos!F:F=L713,Productos!H:H=N713),P713),IF(M713=SUM(D:D),""Finalizar"",""-"")))"),"")</f>
        <v/>
      </c>
      <c r="V713" s="4" t="str">
        <f>IFERROR(__xludf.DUMMYFUNCTION("IF(OR($U713="""",COUNTIF($I:$I,IFERROR(unique(filter(Prod_Prop!$H:$H,Prod_Prop!$G:$G=$U713,Prod_Prop!$E:$E=V$1)),""Check""))=0),"""",IFERROR(unique(filter(Prod_Prop!$H:$H,Prod_Prop!$G:$G=$U713,Prod_Prop!$E:$E=V$1)),""""))"),"")</f>
        <v/>
      </c>
      <c r="W713" s="4" t="str">
        <f>IF(V713="","",SUMIFS(Prod_Prop!$J:$J,Prod_Prop!$B:$B,$Q713,Prod_Prop!$H:$H,V713,Prod_Prop!$I:$I,W$1)*IF(V713="Peso",$R713,1))</f>
        <v/>
      </c>
      <c r="X713" s="4" t="str">
        <f>IF(V713="","",SUMIFS(Prod_Prop!$J:$J,Prod_Prop!$B:$B,$Q713,Prod_Prop!$H:$H,V713,Prod_Prop!$I:$I,X$1)*IF(V713="Peso",$R713,1))</f>
        <v/>
      </c>
      <c r="Y713" s="4" t="str">
        <f>IFERROR(__xludf.DUMMYFUNCTION("IF(OR($U713="""",COUNTIF($I:$I,IFERROR(unique(filter(Prod_Prop!$H:$H,Prod_Prop!$G:$G=$U713,Prod_Prop!$E:$E=Y$1)),""Check""))=0),"""",IFERROR(unique(filter(Prod_Prop!$H:$H,Prod_Prop!$G:$G=$U713,Prod_Prop!$E:$E=Y$1)),""""))"),"")</f>
        <v/>
      </c>
      <c r="Z713" s="4" t="str">
        <f>IF(Y713="","",SUMIFS(Prod_Prop!$J:$J,Prod_Prop!$B:$B,$Q713,Prod_Prop!$H:$H,Y713,Prod_Prop!$I:$I,Z$1)*IF(Y713="Peso",$R713,1))</f>
        <v/>
      </c>
      <c r="AA713" s="4" t="str">
        <f>IF(Y713="","",SUMIFS(Prod_Prop!$J:$J,Prod_Prop!$B:$B,$Q713,Prod_Prop!$H:$H,Y713,Prod_Prop!$I:$I,AA$1)*IF(Y713="Peso",$R713,1))</f>
        <v/>
      </c>
      <c r="AB713" s="4" t="str">
        <f>IFERROR(__xludf.DUMMYFUNCTION("IF(OR($U713="""",COUNTIF($I:$I,IFERROR(unique(filter(Prod_Prop!$H:$H,Prod_Prop!$G:$G=$U713,Prod_Prop!$E:$E=AB$1)),""Check""))=0),"""",IFERROR(unique(filter(Prod_Prop!$H:$H,Prod_Prop!$G:$G=$U713,Prod_Prop!$E:$E=AB$1)),""""))"),"")</f>
        <v/>
      </c>
      <c r="AC713" s="4" t="str">
        <f>IF(AB713="","",SUMIFS(Prod_Prop!$J:$J,Prod_Prop!$B:$B,$Q713,Prod_Prop!$H:$H,AB713,Prod_Prop!$I:$I,AC$1)*IF(AB713="Peso",$R713,1))</f>
        <v/>
      </c>
      <c r="AD713" s="4" t="str">
        <f>IF(AB713="","",SUMIFS(Prod_Prop!$J:$J,Prod_Prop!$B:$B,$Q713,Prod_Prop!$H:$H,AB713,Prod_Prop!$I:$I,AD$1)*IF(AB713="Peso",$R713,1))</f>
        <v/>
      </c>
    </row>
    <row r="714">
      <c r="A714" s="4" t="str">
        <f t="array" ref="A714">IF(COUNTIF(A$1:A713,Cotizador!F$2)=maxifs(Familias!E:E,Familias!D:D,Cotizador!F$2),IF(COUNTIF(A$1:A713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4" s="4" t="str">
        <f t="shared" si="1"/>
        <v/>
      </c>
      <c r="C714" s="4" t="str">
        <f t="array" ref="C714">IF(B714="","",IF(A714=XLOOKUP(A$2,Implementos!B:B,Implementos!C:C,"",0,1),B714+maxifs(B$1:B713,A$1:A713,A$2),B714))</f>
        <v/>
      </c>
      <c r="D714" s="4" t="str">
        <f>IF(B714="","", COUNTIFS(Productos!F:F,A714,Productos!H:H,B714)+IF(F714="SI",0,1))</f>
        <v/>
      </c>
      <c r="E714" s="4" t="str">
        <f>IFERROR(__xludf.DUMMYFUNCTION("IF($B714="""","""",INDEX(filter(Familias!F:F,Familias!$D:$D=$A714,Familias!$E:$E=$B714),1))"),"")</f>
        <v/>
      </c>
      <c r="F714" s="4" t="str">
        <f>IFERROR(__xludf.DUMMYFUNCTION("IF($B714="""","""",INDEX(filter(Familias!G:G,Familias!$D:$D=$A714,Familias!$E:$E=$B714),1))"),"")</f>
        <v/>
      </c>
      <c r="G714" s="4" t="str">
        <f t="array" ref="G714">IF(C714=1,XLOOKUP(C714,Cotizador!D:D,Cotizador!E:E,"",0,1),"")</f>
        <v/>
      </c>
      <c r="I714" s="4"/>
      <c r="J714" s="8" t="str">
        <f>IF(I714="","",SUMIF(Cotizador!I$1:V$1,I714,Cotizador!I$2:V$2))</f>
        <v/>
      </c>
      <c r="L714" s="4" t="str">
        <f t="array" ref="L714">IF(COUNTIF(L$1:L713,A$2)=SUMIF(A:A,A$2,D:D),IF(COUNTIF(L$1:L713,XLOOKUP(A$2,Implementos!B:B,Implementos!C:C,"",0,1))=SUMIF(A:A,XLOOKUP(A$2,Implementos!B:B,Implementos!C:C,"",0,1),D:D),"",XLOOKUP(A$2,Implementos!B:B,Implementos!C:C,"",0,1)),A$2)</f>
        <v/>
      </c>
      <c r="M714" s="4" t="str">
        <f t="shared" si="2"/>
        <v/>
      </c>
      <c r="N714" s="4" t="str">
        <f t="shared" si="3"/>
        <v/>
      </c>
      <c r="O714" s="4" t="str">
        <f t="shared" si="4"/>
        <v/>
      </c>
      <c r="P714" s="4" t="str">
        <f t="shared" si="5"/>
        <v/>
      </c>
      <c r="Q714" s="4" t="str">
        <f>IF(U714="","",SUMIF(Productos!E:E,U714,Productos!A:A))</f>
        <v/>
      </c>
      <c r="R714" s="4" t="str">
        <f t="array" ref="R714">IF(L714="","", max(1,SUMIF(I:I,XLOOKUP(U714,Productos!E:E,Productos!G:G,"",0,1),J:J)))</f>
        <v/>
      </c>
      <c r="S714" s="4" t="str">
        <f>IF(Q714="","",IF(SUMIFS(Compat_Vetado!D:D,Compat_Vetado!B:B,SUM(G:G),Compat_Vetado!C:C,Q714)=1,"SI",IF(OR(SUMIF(Cotizador!E:E,Q714,Cotizador!G:G)&gt;0,SUMIFS(Compat_Vetado!D:D,Compat_Vetado!B:B,SUM(G:G),Compat_Vetado!C:C,Q714)=-1),"NO","")))</f>
        <v/>
      </c>
      <c r="T714" s="4" t="str">
        <f t="shared" si="6"/>
        <v/>
      </c>
      <c r="U714" s="4" t="str">
        <f>IFERROR(__xludf.DUMMYFUNCTION("IF(P714="""","""",IFERROR(INDEX(filter(Productos!E:E,Productos!F:F=L714,Productos!H:H=N714),P714),IF(M714=SUM(D:D),""Finalizar"",""-"")))"),"")</f>
        <v/>
      </c>
      <c r="V714" s="4" t="str">
        <f>IFERROR(__xludf.DUMMYFUNCTION("IF(OR($U714="""",COUNTIF($I:$I,IFERROR(unique(filter(Prod_Prop!$H:$H,Prod_Prop!$G:$G=$U714,Prod_Prop!$E:$E=V$1)),""Check""))=0),"""",IFERROR(unique(filter(Prod_Prop!$H:$H,Prod_Prop!$G:$G=$U714,Prod_Prop!$E:$E=V$1)),""""))"),"")</f>
        <v/>
      </c>
      <c r="W714" s="4" t="str">
        <f>IF(V714="","",SUMIFS(Prod_Prop!$J:$J,Prod_Prop!$B:$B,$Q714,Prod_Prop!$H:$H,V714,Prod_Prop!$I:$I,W$1)*IF(V714="Peso",$R714,1))</f>
        <v/>
      </c>
      <c r="X714" s="4" t="str">
        <f>IF(V714="","",SUMIFS(Prod_Prop!$J:$J,Prod_Prop!$B:$B,$Q714,Prod_Prop!$H:$H,V714,Prod_Prop!$I:$I,X$1)*IF(V714="Peso",$R714,1))</f>
        <v/>
      </c>
      <c r="Y714" s="4" t="str">
        <f>IFERROR(__xludf.DUMMYFUNCTION("IF(OR($U714="""",COUNTIF($I:$I,IFERROR(unique(filter(Prod_Prop!$H:$H,Prod_Prop!$G:$G=$U714,Prod_Prop!$E:$E=Y$1)),""Check""))=0),"""",IFERROR(unique(filter(Prod_Prop!$H:$H,Prod_Prop!$G:$G=$U714,Prod_Prop!$E:$E=Y$1)),""""))"),"")</f>
        <v/>
      </c>
      <c r="Z714" s="4" t="str">
        <f>IF(Y714="","",SUMIFS(Prod_Prop!$J:$J,Prod_Prop!$B:$B,$Q714,Prod_Prop!$H:$H,Y714,Prod_Prop!$I:$I,Z$1)*IF(Y714="Peso",$R714,1))</f>
        <v/>
      </c>
      <c r="AA714" s="4" t="str">
        <f>IF(Y714="","",SUMIFS(Prod_Prop!$J:$J,Prod_Prop!$B:$B,$Q714,Prod_Prop!$H:$H,Y714,Prod_Prop!$I:$I,AA$1)*IF(Y714="Peso",$R714,1))</f>
        <v/>
      </c>
      <c r="AB714" s="4" t="str">
        <f>IFERROR(__xludf.DUMMYFUNCTION("IF(OR($U714="""",COUNTIF($I:$I,IFERROR(unique(filter(Prod_Prop!$H:$H,Prod_Prop!$G:$G=$U714,Prod_Prop!$E:$E=AB$1)),""Check""))=0),"""",IFERROR(unique(filter(Prod_Prop!$H:$H,Prod_Prop!$G:$G=$U714,Prod_Prop!$E:$E=AB$1)),""""))"),"")</f>
        <v/>
      </c>
      <c r="AC714" s="4" t="str">
        <f>IF(AB714="","",SUMIFS(Prod_Prop!$J:$J,Prod_Prop!$B:$B,$Q714,Prod_Prop!$H:$H,AB714,Prod_Prop!$I:$I,AC$1)*IF(AB714="Peso",$R714,1))</f>
        <v/>
      </c>
      <c r="AD714" s="4" t="str">
        <f>IF(AB714="","",SUMIFS(Prod_Prop!$J:$J,Prod_Prop!$B:$B,$Q714,Prod_Prop!$H:$H,AB714,Prod_Prop!$I:$I,AD$1)*IF(AB714="Peso",$R714,1))</f>
        <v/>
      </c>
    </row>
    <row r="715">
      <c r="A715" s="4" t="str">
        <f t="array" ref="A715">IF(COUNTIF(A$1:A714,Cotizador!F$2)=maxifs(Familias!E:E,Familias!D:D,Cotizador!F$2),IF(COUNTIF(A$1:A714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5" s="4" t="str">
        <f t="shared" si="1"/>
        <v/>
      </c>
      <c r="C715" s="4" t="str">
        <f t="array" ref="C715">IF(B715="","",IF(A715=XLOOKUP(A$2,Implementos!B:B,Implementos!C:C,"",0,1),B715+maxifs(B$1:B714,A$1:A714,A$2),B715))</f>
        <v/>
      </c>
      <c r="D715" s="4" t="str">
        <f>IF(B715="","", COUNTIFS(Productos!F:F,A715,Productos!H:H,B715)+IF(F715="SI",0,1))</f>
        <v/>
      </c>
      <c r="E715" s="4" t="str">
        <f>IFERROR(__xludf.DUMMYFUNCTION("IF($B715="""","""",INDEX(filter(Familias!F:F,Familias!$D:$D=$A715,Familias!$E:$E=$B715),1))"),"")</f>
        <v/>
      </c>
      <c r="F715" s="4" t="str">
        <f>IFERROR(__xludf.DUMMYFUNCTION("IF($B715="""","""",INDEX(filter(Familias!G:G,Familias!$D:$D=$A715,Familias!$E:$E=$B715),1))"),"")</f>
        <v/>
      </c>
      <c r="G715" s="4" t="str">
        <f t="array" ref="G715">IF(C715=1,XLOOKUP(C715,Cotizador!D:D,Cotizador!E:E,"",0,1),"")</f>
        <v/>
      </c>
      <c r="I715" s="4"/>
      <c r="J715" s="8" t="str">
        <f>IF(I715="","",SUMIF(Cotizador!I$1:V$1,I715,Cotizador!I$2:V$2))</f>
        <v/>
      </c>
      <c r="L715" s="4" t="str">
        <f t="array" ref="L715">IF(COUNTIF(L$1:L714,A$2)=SUMIF(A:A,A$2,D:D),IF(COUNTIF(L$1:L714,XLOOKUP(A$2,Implementos!B:B,Implementos!C:C,"",0,1))=SUMIF(A:A,XLOOKUP(A$2,Implementos!B:B,Implementos!C:C,"",0,1),D:D),"",XLOOKUP(A$2,Implementos!B:B,Implementos!C:C,"",0,1)),A$2)</f>
        <v/>
      </c>
      <c r="M715" s="4" t="str">
        <f t="shared" si="2"/>
        <v/>
      </c>
      <c r="N715" s="4" t="str">
        <f t="shared" si="3"/>
        <v/>
      </c>
      <c r="O715" s="4" t="str">
        <f t="shared" si="4"/>
        <v/>
      </c>
      <c r="P715" s="4" t="str">
        <f t="shared" si="5"/>
        <v/>
      </c>
      <c r="Q715" s="4" t="str">
        <f>IF(U715="","",SUMIF(Productos!E:E,U715,Productos!A:A))</f>
        <v/>
      </c>
      <c r="R715" s="4" t="str">
        <f t="array" ref="R715">IF(L715="","", max(1,SUMIF(I:I,XLOOKUP(U715,Productos!E:E,Productos!G:G,"",0,1),J:J)))</f>
        <v/>
      </c>
      <c r="S715" s="4" t="str">
        <f>IF(Q715="","",IF(SUMIFS(Compat_Vetado!D:D,Compat_Vetado!B:B,SUM(G:G),Compat_Vetado!C:C,Q715)=1,"SI",IF(OR(SUMIF(Cotizador!E:E,Q715,Cotizador!G:G)&gt;0,SUMIFS(Compat_Vetado!D:D,Compat_Vetado!B:B,SUM(G:G),Compat_Vetado!C:C,Q715)=-1),"NO","")))</f>
        <v/>
      </c>
      <c r="T715" s="4" t="str">
        <f t="shared" si="6"/>
        <v/>
      </c>
      <c r="U715" s="4" t="str">
        <f>IFERROR(__xludf.DUMMYFUNCTION("IF(P715="""","""",IFERROR(INDEX(filter(Productos!E:E,Productos!F:F=L715,Productos!H:H=N715),P715),IF(M715=SUM(D:D),""Finalizar"",""-"")))"),"")</f>
        <v/>
      </c>
      <c r="V715" s="4" t="str">
        <f>IFERROR(__xludf.DUMMYFUNCTION("IF(OR($U715="""",COUNTIF($I:$I,IFERROR(unique(filter(Prod_Prop!$H:$H,Prod_Prop!$G:$G=$U715,Prod_Prop!$E:$E=V$1)),""Check""))=0),"""",IFERROR(unique(filter(Prod_Prop!$H:$H,Prod_Prop!$G:$G=$U715,Prod_Prop!$E:$E=V$1)),""""))"),"")</f>
        <v/>
      </c>
      <c r="W715" s="4" t="str">
        <f>IF(V715="","",SUMIFS(Prod_Prop!$J:$J,Prod_Prop!$B:$B,$Q715,Prod_Prop!$H:$H,V715,Prod_Prop!$I:$I,W$1)*IF(V715="Peso",$R715,1))</f>
        <v/>
      </c>
      <c r="X715" s="4" t="str">
        <f>IF(V715="","",SUMIFS(Prod_Prop!$J:$J,Prod_Prop!$B:$B,$Q715,Prod_Prop!$H:$H,V715,Prod_Prop!$I:$I,X$1)*IF(V715="Peso",$R715,1))</f>
        <v/>
      </c>
      <c r="Y715" s="4" t="str">
        <f>IFERROR(__xludf.DUMMYFUNCTION("IF(OR($U715="""",COUNTIF($I:$I,IFERROR(unique(filter(Prod_Prop!$H:$H,Prod_Prop!$G:$G=$U715,Prod_Prop!$E:$E=Y$1)),""Check""))=0),"""",IFERROR(unique(filter(Prod_Prop!$H:$H,Prod_Prop!$G:$G=$U715,Prod_Prop!$E:$E=Y$1)),""""))"),"")</f>
        <v/>
      </c>
      <c r="Z715" s="4" t="str">
        <f>IF(Y715="","",SUMIFS(Prod_Prop!$J:$J,Prod_Prop!$B:$B,$Q715,Prod_Prop!$H:$H,Y715,Prod_Prop!$I:$I,Z$1)*IF(Y715="Peso",$R715,1))</f>
        <v/>
      </c>
      <c r="AA715" s="4" t="str">
        <f>IF(Y715="","",SUMIFS(Prod_Prop!$J:$J,Prod_Prop!$B:$B,$Q715,Prod_Prop!$H:$H,Y715,Prod_Prop!$I:$I,AA$1)*IF(Y715="Peso",$R715,1))</f>
        <v/>
      </c>
      <c r="AB715" s="4" t="str">
        <f>IFERROR(__xludf.DUMMYFUNCTION("IF(OR($U715="""",COUNTIF($I:$I,IFERROR(unique(filter(Prod_Prop!$H:$H,Prod_Prop!$G:$G=$U715,Prod_Prop!$E:$E=AB$1)),""Check""))=0),"""",IFERROR(unique(filter(Prod_Prop!$H:$H,Prod_Prop!$G:$G=$U715,Prod_Prop!$E:$E=AB$1)),""""))"),"")</f>
        <v/>
      </c>
      <c r="AC715" s="4" t="str">
        <f>IF(AB715="","",SUMIFS(Prod_Prop!$J:$J,Prod_Prop!$B:$B,$Q715,Prod_Prop!$H:$H,AB715,Prod_Prop!$I:$I,AC$1)*IF(AB715="Peso",$R715,1))</f>
        <v/>
      </c>
      <c r="AD715" s="4" t="str">
        <f>IF(AB715="","",SUMIFS(Prod_Prop!$J:$J,Prod_Prop!$B:$B,$Q715,Prod_Prop!$H:$H,AB715,Prod_Prop!$I:$I,AD$1)*IF(AB715="Peso",$R715,1))</f>
        <v/>
      </c>
    </row>
    <row r="716">
      <c r="A716" s="4" t="str">
        <f t="array" ref="A716">IF(COUNTIF(A$1:A715,Cotizador!F$2)=maxifs(Familias!E:E,Familias!D:D,Cotizador!F$2),IF(COUNTIF(A$1:A715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6" s="4" t="str">
        <f t="shared" si="1"/>
        <v/>
      </c>
      <c r="C716" s="4" t="str">
        <f t="array" ref="C716">IF(B716="","",IF(A716=XLOOKUP(A$2,Implementos!B:B,Implementos!C:C,"",0,1),B716+maxifs(B$1:B715,A$1:A715,A$2),B716))</f>
        <v/>
      </c>
      <c r="D716" s="4" t="str">
        <f>IF(B716="","", COUNTIFS(Productos!F:F,A716,Productos!H:H,B716)+IF(F716="SI",0,1))</f>
        <v/>
      </c>
      <c r="E716" s="4" t="str">
        <f>IFERROR(__xludf.DUMMYFUNCTION("IF($B716="""","""",INDEX(filter(Familias!F:F,Familias!$D:$D=$A716,Familias!$E:$E=$B716),1))"),"")</f>
        <v/>
      </c>
      <c r="F716" s="4" t="str">
        <f>IFERROR(__xludf.DUMMYFUNCTION("IF($B716="""","""",INDEX(filter(Familias!G:G,Familias!$D:$D=$A716,Familias!$E:$E=$B716),1))"),"")</f>
        <v/>
      </c>
      <c r="G716" s="4" t="str">
        <f t="array" ref="G716">IF(C716=1,XLOOKUP(C716,Cotizador!D:D,Cotizador!E:E,"",0,1),"")</f>
        <v/>
      </c>
      <c r="I716" s="4"/>
      <c r="J716" s="8" t="str">
        <f>IF(I716="","",SUMIF(Cotizador!I$1:V$1,I716,Cotizador!I$2:V$2))</f>
        <v/>
      </c>
      <c r="L716" s="4" t="str">
        <f t="array" ref="L716">IF(COUNTIF(L$1:L715,A$2)=SUMIF(A:A,A$2,D:D),IF(COUNTIF(L$1:L715,XLOOKUP(A$2,Implementos!B:B,Implementos!C:C,"",0,1))=SUMIF(A:A,XLOOKUP(A$2,Implementos!B:B,Implementos!C:C,"",0,1),D:D),"",XLOOKUP(A$2,Implementos!B:B,Implementos!C:C,"",0,1)),A$2)</f>
        <v/>
      </c>
      <c r="M716" s="4" t="str">
        <f t="shared" si="2"/>
        <v/>
      </c>
      <c r="N716" s="4" t="str">
        <f t="shared" si="3"/>
        <v/>
      </c>
      <c r="O716" s="4" t="str">
        <f t="shared" si="4"/>
        <v/>
      </c>
      <c r="P716" s="4" t="str">
        <f t="shared" si="5"/>
        <v/>
      </c>
      <c r="Q716" s="4" t="str">
        <f>IF(U716="","",SUMIF(Productos!E:E,U716,Productos!A:A))</f>
        <v/>
      </c>
      <c r="R716" s="4" t="str">
        <f t="array" ref="R716">IF(L716="","", max(1,SUMIF(I:I,XLOOKUP(U716,Productos!E:E,Productos!G:G,"",0,1),J:J)))</f>
        <v/>
      </c>
      <c r="S716" s="4" t="str">
        <f>IF(Q716="","",IF(SUMIFS(Compat_Vetado!D:D,Compat_Vetado!B:B,SUM(G:G),Compat_Vetado!C:C,Q716)=1,"SI",IF(OR(SUMIF(Cotizador!E:E,Q716,Cotizador!G:G)&gt;0,SUMIFS(Compat_Vetado!D:D,Compat_Vetado!B:B,SUM(G:G),Compat_Vetado!C:C,Q716)=-1),"NO","")))</f>
        <v/>
      </c>
      <c r="T716" s="4" t="str">
        <f t="shared" si="6"/>
        <v/>
      </c>
      <c r="U716" s="4" t="str">
        <f>IFERROR(__xludf.DUMMYFUNCTION("IF(P716="""","""",IFERROR(INDEX(filter(Productos!E:E,Productos!F:F=L716,Productos!H:H=N716),P716),IF(M716=SUM(D:D),""Finalizar"",""-"")))"),"")</f>
        <v/>
      </c>
      <c r="V716" s="4" t="str">
        <f>IFERROR(__xludf.DUMMYFUNCTION("IF(OR($U716="""",COUNTIF($I:$I,IFERROR(unique(filter(Prod_Prop!$H:$H,Prod_Prop!$G:$G=$U716,Prod_Prop!$E:$E=V$1)),""Check""))=0),"""",IFERROR(unique(filter(Prod_Prop!$H:$H,Prod_Prop!$G:$G=$U716,Prod_Prop!$E:$E=V$1)),""""))"),"")</f>
        <v/>
      </c>
      <c r="W716" s="4" t="str">
        <f>IF(V716="","",SUMIFS(Prod_Prop!$J:$J,Prod_Prop!$B:$B,$Q716,Prod_Prop!$H:$H,V716,Prod_Prop!$I:$I,W$1)*IF(V716="Peso",$R716,1))</f>
        <v/>
      </c>
      <c r="X716" s="4" t="str">
        <f>IF(V716="","",SUMIFS(Prod_Prop!$J:$J,Prod_Prop!$B:$B,$Q716,Prod_Prop!$H:$H,V716,Prod_Prop!$I:$I,X$1)*IF(V716="Peso",$R716,1))</f>
        <v/>
      </c>
      <c r="Y716" s="4" t="str">
        <f>IFERROR(__xludf.DUMMYFUNCTION("IF(OR($U716="""",COUNTIF($I:$I,IFERROR(unique(filter(Prod_Prop!$H:$H,Prod_Prop!$G:$G=$U716,Prod_Prop!$E:$E=Y$1)),""Check""))=0),"""",IFERROR(unique(filter(Prod_Prop!$H:$H,Prod_Prop!$G:$G=$U716,Prod_Prop!$E:$E=Y$1)),""""))"),"")</f>
        <v/>
      </c>
      <c r="Z716" s="4" t="str">
        <f>IF(Y716="","",SUMIFS(Prod_Prop!$J:$J,Prod_Prop!$B:$B,$Q716,Prod_Prop!$H:$H,Y716,Prod_Prop!$I:$I,Z$1)*IF(Y716="Peso",$R716,1))</f>
        <v/>
      </c>
      <c r="AA716" s="4" t="str">
        <f>IF(Y716="","",SUMIFS(Prod_Prop!$J:$J,Prod_Prop!$B:$B,$Q716,Prod_Prop!$H:$H,Y716,Prod_Prop!$I:$I,AA$1)*IF(Y716="Peso",$R716,1))</f>
        <v/>
      </c>
      <c r="AB716" s="4" t="str">
        <f>IFERROR(__xludf.DUMMYFUNCTION("IF(OR($U716="""",COUNTIF($I:$I,IFERROR(unique(filter(Prod_Prop!$H:$H,Prod_Prop!$G:$G=$U716,Prod_Prop!$E:$E=AB$1)),""Check""))=0),"""",IFERROR(unique(filter(Prod_Prop!$H:$H,Prod_Prop!$G:$G=$U716,Prod_Prop!$E:$E=AB$1)),""""))"),"")</f>
        <v/>
      </c>
      <c r="AC716" s="4" t="str">
        <f>IF(AB716="","",SUMIFS(Prod_Prop!$J:$J,Prod_Prop!$B:$B,$Q716,Prod_Prop!$H:$H,AB716,Prod_Prop!$I:$I,AC$1)*IF(AB716="Peso",$R716,1))</f>
        <v/>
      </c>
      <c r="AD716" s="4" t="str">
        <f>IF(AB716="","",SUMIFS(Prod_Prop!$J:$J,Prod_Prop!$B:$B,$Q716,Prod_Prop!$H:$H,AB716,Prod_Prop!$I:$I,AD$1)*IF(AB716="Peso",$R716,1))</f>
        <v/>
      </c>
    </row>
    <row r="717">
      <c r="A717" s="4" t="str">
        <f t="array" ref="A717">IF(COUNTIF(A$1:A716,Cotizador!F$2)=maxifs(Familias!E:E,Familias!D:D,Cotizador!F$2),IF(COUNTIF(A$1:A716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7" s="4" t="str">
        <f t="shared" si="1"/>
        <v/>
      </c>
      <c r="C717" s="4" t="str">
        <f t="array" ref="C717">IF(B717="","",IF(A717=XLOOKUP(A$2,Implementos!B:B,Implementos!C:C,"",0,1),B717+maxifs(B$1:B716,A$1:A716,A$2),B717))</f>
        <v/>
      </c>
      <c r="D717" s="4" t="str">
        <f>IF(B717="","", COUNTIFS(Productos!F:F,A717,Productos!H:H,B717)+IF(F717="SI",0,1))</f>
        <v/>
      </c>
      <c r="E717" s="4" t="str">
        <f>IFERROR(__xludf.DUMMYFUNCTION("IF($B717="""","""",INDEX(filter(Familias!F:F,Familias!$D:$D=$A717,Familias!$E:$E=$B717),1))"),"")</f>
        <v/>
      </c>
      <c r="F717" s="4" t="str">
        <f>IFERROR(__xludf.DUMMYFUNCTION("IF($B717="""","""",INDEX(filter(Familias!G:G,Familias!$D:$D=$A717,Familias!$E:$E=$B717),1))"),"")</f>
        <v/>
      </c>
      <c r="G717" s="4" t="str">
        <f t="array" ref="G717">IF(C717=1,XLOOKUP(C717,Cotizador!D:D,Cotizador!E:E,"",0,1),"")</f>
        <v/>
      </c>
      <c r="I717" s="4"/>
      <c r="J717" s="8" t="str">
        <f>IF(I717="","",SUMIF(Cotizador!I$1:V$1,I717,Cotizador!I$2:V$2))</f>
        <v/>
      </c>
      <c r="L717" s="4" t="str">
        <f t="array" ref="L717">IF(COUNTIF(L$1:L716,A$2)=SUMIF(A:A,A$2,D:D),IF(COUNTIF(L$1:L716,XLOOKUP(A$2,Implementos!B:B,Implementos!C:C,"",0,1))=SUMIF(A:A,XLOOKUP(A$2,Implementos!B:B,Implementos!C:C,"",0,1),D:D),"",XLOOKUP(A$2,Implementos!B:B,Implementos!C:C,"",0,1)),A$2)</f>
        <v/>
      </c>
      <c r="M717" s="4" t="str">
        <f t="shared" si="2"/>
        <v/>
      </c>
      <c r="N717" s="4" t="str">
        <f t="shared" si="3"/>
        <v/>
      </c>
      <c r="O717" s="4" t="str">
        <f t="shared" si="4"/>
        <v/>
      </c>
      <c r="P717" s="4" t="str">
        <f t="shared" si="5"/>
        <v/>
      </c>
      <c r="Q717" s="4" t="str">
        <f>IF(U717="","",SUMIF(Productos!E:E,U717,Productos!A:A))</f>
        <v/>
      </c>
      <c r="R717" s="4" t="str">
        <f t="array" ref="R717">IF(L717="","", max(1,SUMIF(I:I,XLOOKUP(U717,Productos!E:E,Productos!G:G,"",0,1),J:J)))</f>
        <v/>
      </c>
      <c r="S717" s="4" t="str">
        <f>IF(Q717="","",IF(SUMIFS(Compat_Vetado!D:D,Compat_Vetado!B:B,SUM(G:G),Compat_Vetado!C:C,Q717)=1,"SI",IF(OR(SUMIF(Cotizador!E:E,Q717,Cotizador!G:G)&gt;0,SUMIFS(Compat_Vetado!D:D,Compat_Vetado!B:B,SUM(G:G),Compat_Vetado!C:C,Q717)=-1),"NO","")))</f>
        <v/>
      </c>
      <c r="T717" s="4" t="str">
        <f t="shared" si="6"/>
        <v/>
      </c>
      <c r="U717" s="4" t="str">
        <f>IFERROR(__xludf.DUMMYFUNCTION("IF(P717="""","""",IFERROR(INDEX(filter(Productos!E:E,Productos!F:F=L717,Productos!H:H=N717),P717),IF(M717=SUM(D:D),""Finalizar"",""-"")))"),"")</f>
        <v/>
      </c>
      <c r="V717" s="4" t="str">
        <f>IFERROR(__xludf.DUMMYFUNCTION("IF(OR($U717="""",COUNTIF($I:$I,IFERROR(unique(filter(Prod_Prop!$H:$H,Prod_Prop!$G:$G=$U717,Prod_Prop!$E:$E=V$1)),""Check""))=0),"""",IFERROR(unique(filter(Prod_Prop!$H:$H,Prod_Prop!$G:$G=$U717,Prod_Prop!$E:$E=V$1)),""""))"),"")</f>
        <v/>
      </c>
      <c r="W717" s="4" t="str">
        <f>IF(V717="","",SUMIFS(Prod_Prop!$J:$J,Prod_Prop!$B:$B,$Q717,Prod_Prop!$H:$H,V717,Prod_Prop!$I:$I,W$1)*IF(V717="Peso",$R717,1))</f>
        <v/>
      </c>
      <c r="X717" s="4" t="str">
        <f>IF(V717="","",SUMIFS(Prod_Prop!$J:$J,Prod_Prop!$B:$B,$Q717,Prod_Prop!$H:$H,V717,Prod_Prop!$I:$I,X$1)*IF(V717="Peso",$R717,1))</f>
        <v/>
      </c>
      <c r="Y717" s="4" t="str">
        <f>IFERROR(__xludf.DUMMYFUNCTION("IF(OR($U717="""",COUNTIF($I:$I,IFERROR(unique(filter(Prod_Prop!$H:$H,Prod_Prop!$G:$G=$U717,Prod_Prop!$E:$E=Y$1)),""Check""))=0),"""",IFERROR(unique(filter(Prod_Prop!$H:$H,Prod_Prop!$G:$G=$U717,Prod_Prop!$E:$E=Y$1)),""""))"),"")</f>
        <v/>
      </c>
      <c r="Z717" s="4" t="str">
        <f>IF(Y717="","",SUMIFS(Prod_Prop!$J:$J,Prod_Prop!$B:$B,$Q717,Prod_Prop!$H:$H,Y717,Prod_Prop!$I:$I,Z$1)*IF(Y717="Peso",$R717,1))</f>
        <v/>
      </c>
      <c r="AA717" s="4" t="str">
        <f>IF(Y717="","",SUMIFS(Prod_Prop!$J:$J,Prod_Prop!$B:$B,$Q717,Prod_Prop!$H:$H,Y717,Prod_Prop!$I:$I,AA$1)*IF(Y717="Peso",$R717,1))</f>
        <v/>
      </c>
      <c r="AB717" s="4" t="str">
        <f>IFERROR(__xludf.DUMMYFUNCTION("IF(OR($U717="""",COUNTIF($I:$I,IFERROR(unique(filter(Prod_Prop!$H:$H,Prod_Prop!$G:$G=$U717,Prod_Prop!$E:$E=AB$1)),""Check""))=0),"""",IFERROR(unique(filter(Prod_Prop!$H:$H,Prod_Prop!$G:$G=$U717,Prod_Prop!$E:$E=AB$1)),""""))"),"")</f>
        <v/>
      </c>
      <c r="AC717" s="4" t="str">
        <f>IF(AB717="","",SUMIFS(Prod_Prop!$J:$J,Prod_Prop!$B:$B,$Q717,Prod_Prop!$H:$H,AB717,Prod_Prop!$I:$I,AC$1)*IF(AB717="Peso",$R717,1))</f>
        <v/>
      </c>
      <c r="AD717" s="4" t="str">
        <f>IF(AB717="","",SUMIFS(Prod_Prop!$J:$J,Prod_Prop!$B:$B,$Q717,Prod_Prop!$H:$H,AB717,Prod_Prop!$I:$I,AD$1)*IF(AB717="Peso",$R717,1))</f>
        <v/>
      </c>
    </row>
    <row r="718">
      <c r="A718" s="4" t="str">
        <f t="array" ref="A718">IF(COUNTIF(A$1:A717,Cotizador!F$2)=maxifs(Familias!E:E,Familias!D:D,Cotizador!F$2),IF(COUNTIF(A$1:A717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8" s="4" t="str">
        <f t="shared" si="1"/>
        <v/>
      </c>
      <c r="C718" s="4" t="str">
        <f t="array" ref="C718">IF(B718="","",IF(A718=XLOOKUP(A$2,Implementos!B:B,Implementos!C:C,"",0,1),B718+maxifs(B$1:B717,A$1:A717,A$2),B718))</f>
        <v/>
      </c>
      <c r="D718" s="4" t="str">
        <f>IF(B718="","", COUNTIFS(Productos!F:F,A718,Productos!H:H,B718)+IF(F718="SI",0,1))</f>
        <v/>
      </c>
      <c r="E718" s="4" t="str">
        <f>IFERROR(__xludf.DUMMYFUNCTION("IF($B718="""","""",INDEX(filter(Familias!F:F,Familias!$D:$D=$A718,Familias!$E:$E=$B718),1))"),"")</f>
        <v/>
      </c>
      <c r="F718" s="4" t="str">
        <f>IFERROR(__xludf.DUMMYFUNCTION("IF($B718="""","""",INDEX(filter(Familias!G:G,Familias!$D:$D=$A718,Familias!$E:$E=$B718),1))"),"")</f>
        <v/>
      </c>
      <c r="G718" s="4" t="str">
        <f t="array" ref="G718">IF(C718=1,XLOOKUP(C718,Cotizador!D:D,Cotizador!E:E,"",0,1),"")</f>
        <v/>
      </c>
      <c r="I718" s="4"/>
      <c r="J718" s="8" t="str">
        <f>IF(I718="","",SUMIF(Cotizador!I$1:V$1,I718,Cotizador!I$2:V$2))</f>
        <v/>
      </c>
      <c r="L718" s="4" t="str">
        <f t="array" ref="L718">IF(COUNTIF(L$1:L717,A$2)=SUMIF(A:A,A$2,D:D),IF(COUNTIF(L$1:L717,XLOOKUP(A$2,Implementos!B:B,Implementos!C:C,"",0,1))=SUMIF(A:A,XLOOKUP(A$2,Implementos!B:B,Implementos!C:C,"",0,1),D:D),"",XLOOKUP(A$2,Implementos!B:B,Implementos!C:C,"",0,1)),A$2)</f>
        <v/>
      </c>
      <c r="M718" s="4" t="str">
        <f t="shared" si="2"/>
        <v/>
      </c>
      <c r="N718" s="4" t="str">
        <f t="shared" si="3"/>
        <v/>
      </c>
      <c r="O718" s="4" t="str">
        <f t="shared" si="4"/>
        <v/>
      </c>
      <c r="P718" s="4" t="str">
        <f t="shared" si="5"/>
        <v/>
      </c>
      <c r="Q718" s="4" t="str">
        <f>IF(U718="","",SUMIF(Productos!E:E,U718,Productos!A:A))</f>
        <v/>
      </c>
      <c r="R718" s="4" t="str">
        <f t="array" ref="R718">IF(L718="","", max(1,SUMIF(I:I,XLOOKUP(U718,Productos!E:E,Productos!G:G,"",0,1),J:J)))</f>
        <v/>
      </c>
      <c r="S718" s="4" t="str">
        <f>IF(Q718="","",IF(SUMIFS(Compat_Vetado!D:D,Compat_Vetado!B:B,SUM(G:G),Compat_Vetado!C:C,Q718)=1,"SI",IF(OR(SUMIF(Cotizador!E:E,Q718,Cotizador!G:G)&gt;0,SUMIFS(Compat_Vetado!D:D,Compat_Vetado!B:B,SUM(G:G),Compat_Vetado!C:C,Q718)=-1),"NO","")))</f>
        <v/>
      </c>
      <c r="T718" s="4" t="str">
        <f t="shared" si="6"/>
        <v/>
      </c>
      <c r="U718" s="4" t="str">
        <f>IFERROR(__xludf.DUMMYFUNCTION("IF(P718="""","""",IFERROR(INDEX(filter(Productos!E:E,Productos!F:F=L718,Productos!H:H=N718),P718),IF(M718=SUM(D:D),""Finalizar"",""-"")))"),"")</f>
        <v/>
      </c>
      <c r="V718" s="4" t="str">
        <f>IFERROR(__xludf.DUMMYFUNCTION("IF(OR($U718="""",COUNTIF($I:$I,IFERROR(unique(filter(Prod_Prop!$H:$H,Prod_Prop!$G:$G=$U718,Prod_Prop!$E:$E=V$1)),""Check""))=0),"""",IFERROR(unique(filter(Prod_Prop!$H:$H,Prod_Prop!$G:$G=$U718,Prod_Prop!$E:$E=V$1)),""""))"),"")</f>
        <v/>
      </c>
      <c r="W718" s="4" t="str">
        <f>IF(V718="","",SUMIFS(Prod_Prop!$J:$J,Prod_Prop!$B:$B,$Q718,Prod_Prop!$H:$H,V718,Prod_Prop!$I:$I,W$1)*IF(V718="Peso",$R718,1))</f>
        <v/>
      </c>
      <c r="X718" s="4" t="str">
        <f>IF(V718="","",SUMIFS(Prod_Prop!$J:$J,Prod_Prop!$B:$B,$Q718,Prod_Prop!$H:$H,V718,Prod_Prop!$I:$I,X$1)*IF(V718="Peso",$R718,1))</f>
        <v/>
      </c>
      <c r="Y718" s="4" t="str">
        <f>IFERROR(__xludf.DUMMYFUNCTION("IF(OR($U718="""",COUNTIF($I:$I,IFERROR(unique(filter(Prod_Prop!$H:$H,Prod_Prop!$G:$G=$U718,Prod_Prop!$E:$E=Y$1)),""Check""))=0),"""",IFERROR(unique(filter(Prod_Prop!$H:$H,Prod_Prop!$G:$G=$U718,Prod_Prop!$E:$E=Y$1)),""""))"),"")</f>
        <v/>
      </c>
      <c r="Z718" s="4" t="str">
        <f>IF(Y718="","",SUMIFS(Prod_Prop!$J:$J,Prod_Prop!$B:$B,$Q718,Prod_Prop!$H:$H,Y718,Prod_Prop!$I:$I,Z$1)*IF(Y718="Peso",$R718,1))</f>
        <v/>
      </c>
      <c r="AA718" s="4" t="str">
        <f>IF(Y718="","",SUMIFS(Prod_Prop!$J:$J,Prod_Prop!$B:$B,$Q718,Prod_Prop!$H:$H,Y718,Prod_Prop!$I:$I,AA$1)*IF(Y718="Peso",$R718,1))</f>
        <v/>
      </c>
      <c r="AB718" s="4" t="str">
        <f>IFERROR(__xludf.DUMMYFUNCTION("IF(OR($U718="""",COUNTIF($I:$I,IFERROR(unique(filter(Prod_Prop!$H:$H,Prod_Prop!$G:$G=$U718,Prod_Prop!$E:$E=AB$1)),""Check""))=0),"""",IFERROR(unique(filter(Prod_Prop!$H:$H,Prod_Prop!$G:$G=$U718,Prod_Prop!$E:$E=AB$1)),""""))"),"")</f>
        <v/>
      </c>
      <c r="AC718" s="4" t="str">
        <f>IF(AB718="","",SUMIFS(Prod_Prop!$J:$J,Prod_Prop!$B:$B,$Q718,Prod_Prop!$H:$H,AB718,Prod_Prop!$I:$I,AC$1)*IF(AB718="Peso",$R718,1))</f>
        <v/>
      </c>
      <c r="AD718" s="4" t="str">
        <f>IF(AB718="","",SUMIFS(Prod_Prop!$J:$J,Prod_Prop!$B:$B,$Q718,Prod_Prop!$H:$H,AB718,Prod_Prop!$I:$I,AD$1)*IF(AB718="Peso",$R718,1))</f>
        <v/>
      </c>
    </row>
    <row r="719">
      <c r="A719" s="4" t="str">
        <f t="array" ref="A719">IF(COUNTIF(A$1:A718,Cotizador!F$2)=maxifs(Familias!E:E,Familias!D:D,Cotizador!F$2),IF(COUNTIF(A$1:A718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19" s="4" t="str">
        <f t="shared" si="1"/>
        <v/>
      </c>
      <c r="C719" s="4" t="str">
        <f t="array" ref="C719">IF(B719="","",IF(A719=XLOOKUP(A$2,Implementos!B:B,Implementos!C:C,"",0,1),B719+maxifs(B$1:B718,A$1:A718,A$2),B719))</f>
        <v/>
      </c>
      <c r="D719" s="4" t="str">
        <f>IF(B719="","", COUNTIFS(Productos!F:F,A719,Productos!H:H,B719)+IF(F719="SI",0,1))</f>
        <v/>
      </c>
      <c r="E719" s="4" t="str">
        <f>IFERROR(__xludf.DUMMYFUNCTION("IF($B719="""","""",INDEX(filter(Familias!F:F,Familias!$D:$D=$A719,Familias!$E:$E=$B719),1))"),"")</f>
        <v/>
      </c>
      <c r="F719" s="4" t="str">
        <f>IFERROR(__xludf.DUMMYFUNCTION("IF($B719="""","""",INDEX(filter(Familias!G:G,Familias!$D:$D=$A719,Familias!$E:$E=$B719),1))"),"")</f>
        <v/>
      </c>
      <c r="G719" s="4" t="str">
        <f t="array" ref="G719">IF(C719=1,XLOOKUP(C719,Cotizador!D:D,Cotizador!E:E,"",0,1),"")</f>
        <v/>
      </c>
      <c r="I719" s="4"/>
      <c r="J719" s="8" t="str">
        <f>IF(I719="","",SUMIF(Cotizador!I$1:V$1,I719,Cotizador!I$2:V$2))</f>
        <v/>
      </c>
      <c r="L719" s="4" t="str">
        <f t="array" ref="L719">IF(COUNTIF(L$1:L718,A$2)=SUMIF(A:A,A$2,D:D),IF(COUNTIF(L$1:L718,XLOOKUP(A$2,Implementos!B:B,Implementos!C:C,"",0,1))=SUMIF(A:A,XLOOKUP(A$2,Implementos!B:B,Implementos!C:C,"",0,1),D:D),"",XLOOKUP(A$2,Implementos!B:B,Implementos!C:C,"",0,1)),A$2)</f>
        <v/>
      </c>
      <c r="M719" s="4" t="str">
        <f t="shared" si="2"/>
        <v/>
      </c>
      <c r="N719" s="4" t="str">
        <f t="shared" si="3"/>
        <v/>
      </c>
      <c r="O719" s="4" t="str">
        <f t="shared" si="4"/>
        <v/>
      </c>
      <c r="P719" s="4" t="str">
        <f t="shared" si="5"/>
        <v/>
      </c>
      <c r="Q719" s="4" t="str">
        <f>IF(U719="","",SUMIF(Productos!E:E,U719,Productos!A:A))</f>
        <v/>
      </c>
      <c r="R719" s="4" t="str">
        <f t="array" ref="R719">IF(L719="","", max(1,SUMIF(I:I,XLOOKUP(U719,Productos!E:E,Productos!G:G,"",0,1),J:J)))</f>
        <v/>
      </c>
      <c r="S719" s="4" t="str">
        <f>IF(Q719="","",IF(SUMIFS(Compat_Vetado!D:D,Compat_Vetado!B:B,SUM(G:G),Compat_Vetado!C:C,Q719)=1,"SI",IF(OR(SUMIF(Cotizador!E:E,Q719,Cotizador!G:G)&gt;0,SUMIFS(Compat_Vetado!D:D,Compat_Vetado!B:B,SUM(G:G),Compat_Vetado!C:C,Q719)=-1),"NO","")))</f>
        <v/>
      </c>
      <c r="T719" s="4" t="str">
        <f t="shared" si="6"/>
        <v/>
      </c>
      <c r="U719" s="4" t="str">
        <f>IFERROR(__xludf.DUMMYFUNCTION("IF(P719="""","""",IFERROR(INDEX(filter(Productos!E:E,Productos!F:F=L719,Productos!H:H=N719),P719),IF(M719=SUM(D:D),""Finalizar"",""-"")))"),"")</f>
        <v/>
      </c>
      <c r="V719" s="4" t="str">
        <f>IFERROR(__xludf.DUMMYFUNCTION("IF(OR($U719="""",COUNTIF($I:$I,IFERROR(unique(filter(Prod_Prop!$H:$H,Prod_Prop!$G:$G=$U719,Prod_Prop!$E:$E=V$1)),""Check""))=0),"""",IFERROR(unique(filter(Prod_Prop!$H:$H,Prod_Prop!$G:$G=$U719,Prod_Prop!$E:$E=V$1)),""""))"),"")</f>
        <v/>
      </c>
      <c r="W719" s="4" t="str">
        <f>IF(V719="","",SUMIFS(Prod_Prop!$J:$J,Prod_Prop!$B:$B,$Q719,Prod_Prop!$H:$H,V719,Prod_Prop!$I:$I,W$1)*IF(V719="Peso",$R719,1))</f>
        <v/>
      </c>
      <c r="X719" s="4" t="str">
        <f>IF(V719="","",SUMIFS(Prod_Prop!$J:$J,Prod_Prop!$B:$B,$Q719,Prod_Prop!$H:$H,V719,Prod_Prop!$I:$I,X$1)*IF(V719="Peso",$R719,1))</f>
        <v/>
      </c>
      <c r="Y719" s="4" t="str">
        <f>IFERROR(__xludf.DUMMYFUNCTION("IF(OR($U719="""",COUNTIF($I:$I,IFERROR(unique(filter(Prod_Prop!$H:$H,Prod_Prop!$G:$G=$U719,Prod_Prop!$E:$E=Y$1)),""Check""))=0),"""",IFERROR(unique(filter(Prod_Prop!$H:$H,Prod_Prop!$G:$G=$U719,Prod_Prop!$E:$E=Y$1)),""""))"),"")</f>
        <v/>
      </c>
      <c r="Z719" s="4" t="str">
        <f>IF(Y719="","",SUMIFS(Prod_Prop!$J:$J,Prod_Prop!$B:$B,$Q719,Prod_Prop!$H:$H,Y719,Prod_Prop!$I:$I,Z$1)*IF(Y719="Peso",$R719,1))</f>
        <v/>
      </c>
      <c r="AA719" s="4" t="str">
        <f>IF(Y719="","",SUMIFS(Prod_Prop!$J:$J,Prod_Prop!$B:$B,$Q719,Prod_Prop!$H:$H,Y719,Prod_Prop!$I:$I,AA$1)*IF(Y719="Peso",$R719,1))</f>
        <v/>
      </c>
      <c r="AB719" s="4" t="str">
        <f>IFERROR(__xludf.DUMMYFUNCTION("IF(OR($U719="""",COUNTIF($I:$I,IFERROR(unique(filter(Prod_Prop!$H:$H,Prod_Prop!$G:$G=$U719,Prod_Prop!$E:$E=AB$1)),""Check""))=0),"""",IFERROR(unique(filter(Prod_Prop!$H:$H,Prod_Prop!$G:$G=$U719,Prod_Prop!$E:$E=AB$1)),""""))"),"")</f>
        <v/>
      </c>
      <c r="AC719" s="4" t="str">
        <f>IF(AB719="","",SUMIFS(Prod_Prop!$J:$J,Prod_Prop!$B:$B,$Q719,Prod_Prop!$H:$H,AB719,Prod_Prop!$I:$I,AC$1)*IF(AB719="Peso",$R719,1))</f>
        <v/>
      </c>
      <c r="AD719" s="4" t="str">
        <f>IF(AB719="","",SUMIFS(Prod_Prop!$J:$J,Prod_Prop!$B:$B,$Q719,Prod_Prop!$H:$H,AB719,Prod_Prop!$I:$I,AD$1)*IF(AB719="Peso",$R719,1))</f>
        <v/>
      </c>
    </row>
    <row r="720">
      <c r="A720" s="4" t="str">
        <f t="array" ref="A720">IF(COUNTIF(A$1:A719,Cotizador!F$2)=maxifs(Familias!E:E,Familias!D:D,Cotizador!F$2),IF(COUNTIF(A$1:A719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0" s="4" t="str">
        <f t="shared" si="1"/>
        <v/>
      </c>
      <c r="C720" s="4" t="str">
        <f t="array" ref="C720">IF(B720="","",IF(A720=XLOOKUP(A$2,Implementos!B:B,Implementos!C:C,"",0,1),B720+maxifs(B$1:B719,A$1:A719,A$2),B720))</f>
        <v/>
      </c>
      <c r="D720" s="4" t="str">
        <f>IF(B720="","", COUNTIFS(Productos!F:F,A720,Productos!H:H,B720)+IF(F720="SI",0,1))</f>
        <v/>
      </c>
      <c r="E720" s="4" t="str">
        <f>IFERROR(__xludf.DUMMYFUNCTION("IF($B720="""","""",INDEX(filter(Familias!F:F,Familias!$D:$D=$A720,Familias!$E:$E=$B720),1))"),"")</f>
        <v/>
      </c>
      <c r="F720" s="4" t="str">
        <f>IFERROR(__xludf.DUMMYFUNCTION("IF($B720="""","""",INDEX(filter(Familias!G:G,Familias!$D:$D=$A720,Familias!$E:$E=$B720),1))"),"")</f>
        <v/>
      </c>
      <c r="G720" s="4" t="str">
        <f t="array" ref="G720">IF(C720=1,XLOOKUP(C720,Cotizador!D:D,Cotizador!E:E,"",0,1),"")</f>
        <v/>
      </c>
      <c r="I720" s="4"/>
      <c r="J720" s="8" t="str">
        <f>IF(I720="","",SUMIF(Cotizador!I$1:V$1,I720,Cotizador!I$2:V$2))</f>
        <v/>
      </c>
      <c r="L720" s="4" t="str">
        <f t="array" ref="L720">IF(COUNTIF(L$1:L719,A$2)=SUMIF(A:A,A$2,D:D),IF(COUNTIF(L$1:L719,XLOOKUP(A$2,Implementos!B:B,Implementos!C:C,"",0,1))=SUMIF(A:A,XLOOKUP(A$2,Implementos!B:B,Implementos!C:C,"",0,1),D:D),"",XLOOKUP(A$2,Implementos!B:B,Implementos!C:C,"",0,1)),A$2)</f>
        <v/>
      </c>
      <c r="M720" s="4" t="str">
        <f t="shared" si="2"/>
        <v/>
      </c>
      <c r="N720" s="4" t="str">
        <f t="shared" si="3"/>
        <v/>
      </c>
      <c r="O720" s="4" t="str">
        <f t="shared" si="4"/>
        <v/>
      </c>
      <c r="P720" s="4" t="str">
        <f t="shared" si="5"/>
        <v/>
      </c>
      <c r="Q720" s="4" t="str">
        <f>IF(U720="","",SUMIF(Productos!E:E,U720,Productos!A:A))</f>
        <v/>
      </c>
      <c r="R720" s="4" t="str">
        <f t="array" ref="R720">IF(L720="","", max(1,SUMIF(I:I,XLOOKUP(U720,Productos!E:E,Productos!G:G,"",0,1),J:J)))</f>
        <v/>
      </c>
      <c r="S720" s="4" t="str">
        <f>IF(Q720="","",IF(SUMIFS(Compat_Vetado!D:D,Compat_Vetado!B:B,SUM(G:G),Compat_Vetado!C:C,Q720)=1,"SI",IF(OR(SUMIF(Cotizador!E:E,Q720,Cotizador!G:G)&gt;0,SUMIFS(Compat_Vetado!D:D,Compat_Vetado!B:B,SUM(G:G),Compat_Vetado!C:C,Q720)=-1),"NO","")))</f>
        <v/>
      </c>
      <c r="T720" s="4" t="str">
        <f t="shared" si="6"/>
        <v/>
      </c>
      <c r="U720" s="4" t="str">
        <f>IFERROR(__xludf.DUMMYFUNCTION("IF(P720="""","""",IFERROR(INDEX(filter(Productos!E:E,Productos!F:F=L720,Productos!H:H=N720),P720),IF(M720=SUM(D:D),""Finalizar"",""-"")))"),"")</f>
        <v/>
      </c>
      <c r="V720" s="4" t="str">
        <f>IFERROR(__xludf.DUMMYFUNCTION("IF(OR($U720="""",COUNTIF($I:$I,IFERROR(unique(filter(Prod_Prop!$H:$H,Prod_Prop!$G:$G=$U720,Prod_Prop!$E:$E=V$1)),""Check""))=0),"""",IFERROR(unique(filter(Prod_Prop!$H:$H,Prod_Prop!$G:$G=$U720,Prod_Prop!$E:$E=V$1)),""""))"),"")</f>
        <v/>
      </c>
      <c r="W720" s="4" t="str">
        <f>IF(V720="","",SUMIFS(Prod_Prop!$J:$J,Prod_Prop!$B:$B,$Q720,Prod_Prop!$H:$H,V720,Prod_Prop!$I:$I,W$1)*IF(V720="Peso",$R720,1))</f>
        <v/>
      </c>
      <c r="X720" s="4" t="str">
        <f>IF(V720="","",SUMIFS(Prod_Prop!$J:$J,Prod_Prop!$B:$B,$Q720,Prod_Prop!$H:$H,V720,Prod_Prop!$I:$I,X$1)*IF(V720="Peso",$R720,1))</f>
        <v/>
      </c>
      <c r="Y720" s="4" t="str">
        <f>IFERROR(__xludf.DUMMYFUNCTION("IF(OR($U720="""",COUNTIF($I:$I,IFERROR(unique(filter(Prod_Prop!$H:$H,Prod_Prop!$G:$G=$U720,Prod_Prop!$E:$E=Y$1)),""Check""))=0),"""",IFERROR(unique(filter(Prod_Prop!$H:$H,Prod_Prop!$G:$G=$U720,Prod_Prop!$E:$E=Y$1)),""""))"),"")</f>
        <v/>
      </c>
      <c r="Z720" s="4" t="str">
        <f>IF(Y720="","",SUMIFS(Prod_Prop!$J:$J,Prod_Prop!$B:$B,$Q720,Prod_Prop!$H:$H,Y720,Prod_Prop!$I:$I,Z$1)*IF(Y720="Peso",$R720,1))</f>
        <v/>
      </c>
      <c r="AA720" s="4" t="str">
        <f>IF(Y720="","",SUMIFS(Prod_Prop!$J:$J,Prod_Prop!$B:$B,$Q720,Prod_Prop!$H:$H,Y720,Prod_Prop!$I:$I,AA$1)*IF(Y720="Peso",$R720,1))</f>
        <v/>
      </c>
      <c r="AB720" s="4" t="str">
        <f>IFERROR(__xludf.DUMMYFUNCTION("IF(OR($U720="""",COUNTIF($I:$I,IFERROR(unique(filter(Prod_Prop!$H:$H,Prod_Prop!$G:$G=$U720,Prod_Prop!$E:$E=AB$1)),""Check""))=0),"""",IFERROR(unique(filter(Prod_Prop!$H:$H,Prod_Prop!$G:$G=$U720,Prod_Prop!$E:$E=AB$1)),""""))"),"")</f>
        <v/>
      </c>
      <c r="AC720" s="4" t="str">
        <f>IF(AB720="","",SUMIFS(Prod_Prop!$J:$J,Prod_Prop!$B:$B,$Q720,Prod_Prop!$H:$H,AB720,Prod_Prop!$I:$I,AC$1)*IF(AB720="Peso",$R720,1))</f>
        <v/>
      </c>
      <c r="AD720" s="4" t="str">
        <f>IF(AB720="","",SUMIFS(Prod_Prop!$J:$J,Prod_Prop!$B:$B,$Q720,Prod_Prop!$H:$H,AB720,Prod_Prop!$I:$I,AD$1)*IF(AB720="Peso",$R720,1))</f>
        <v/>
      </c>
    </row>
    <row r="721">
      <c r="A721" s="4" t="str">
        <f t="array" ref="A721">IF(COUNTIF(A$1:A720,Cotizador!F$2)=maxifs(Familias!E:E,Familias!D:D,Cotizador!F$2),IF(COUNTIF(A$1:A720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1" s="4" t="str">
        <f t="shared" si="1"/>
        <v/>
      </c>
      <c r="C721" s="4" t="str">
        <f t="array" ref="C721">IF(B721="","",IF(A721=XLOOKUP(A$2,Implementos!B:B,Implementos!C:C,"",0,1),B721+maxifs(B$1:B720,A$1:A720,A$2),B721))</f>
        <v/>
      </c>
      <c r="D721" s="4" t="str">
        <f>IF(B721="","", COUNTIFS(Productos!F:F,A721,Productos!H:H,B721)+IF(F721="SI",0,1))</f>
        <v/>
      </c>
      <c r="E721" s="4" t="str">
        <f>IFERROR(__xludf.DUMMYFUNCTION("IF($B721="""","""",INDEX(filter(Familias!F:F,Familias!$D:$D=$A721,Familias!$E:$E=$B721),1))"),"")</f>
        <v/>
      </c>
      <c r="F721" s="4" t="str">
        <f>IFERROR(__xludf.DUMMYFUNCTION("IF($B721="""","""",INDEX(filter(Familias!G:G,Familias!$D:$D=$A721,Familias!$E:$E=$B721),1))"),"")</f>
        <v/>
      </c>
      <c r="G721" s="4" t="str">
        <f t="array" ref="G721">IF(C721=1,XLOOKUP(C721,Cotizador!D:D,Cotizador!E:E,"",0,1),"")</f>
        <v/>
      </c>
      <c r="I721" s="4"/>
      <c r="J721" s="8" t="str">
        <f>IF(I721="","",SUMIF(Cotizador!I$1:V$1,I721,Cotizador!I$2:V$2))</f>
        <v/>
      </c>
      <c r="L721" s="4" t="str">
        <f t="array" ref="L721">IF(COUNTIF(L$1:L720,A$2)=SUMIF(A:A,A$2,D:D),IF(COUNTIF(L$1:L720,XLOOKUP(A$2,Implementos!B:B,Implementos!C:C,"",0,1))=SUMIF(A:A,XLOOKUP(A$2,Implementos!B:B,Implementos!C:C,"",0,1),D:D),"",XLOOKUP(A$2,Implementos!B:B,Implementos!C:C,"",0,1)),A$2)</f>
        <v/>
      </c>
      <c r="M721" s="4" t="str">
        <f t="shared" si="2"/>
        <v/>
      </c>
      <c r="N721" s="4" t="str">
        <f t="shared" si="3"/>
        <v/>
      </c>
      <c r="O721" s="4" t="str">
        <f t="shared" si="4"/>
        <v/>
      </c>
      <c r="P721" s="4" t="str">
        <f t="shared" si="5"/>
        <v/>
      </c>
      <c r="Q721" s="4" t="str">
        <f>IF(U721="","",SUMIF(Productos!E:E,U721,Productos!A:A))</f>
        <v/>
      </c>
      <c r="R721" s="4" t="str">
        <f t="array" ref="R721">IF(L721="","", max(1,SUMIF(I:I,XLOOKUP(U721,Productos!E:E,Productos!G:G,"",0,1),J:J)))</f>
        <v/>
      </c>
      <c r="S721" s="4" t="str">
        <f>IF(Q721="","",IF(SUMIFS(Compat_Vetado!D:D,Compat_Vetado!B:B,SUM(G:G),Compat_Vetado!C:C,Q721)=1,"SI",IF(OR(SUMIF(Cotizador!E:E,Q721,Cotizador!G:G)&gt;0,SUMIFS(Compat_Vetado!D:D,Compat_Vetado!B:B,SUM(G:G),Compat_Vetado!C:C,Q721)=-1),"NO","")))</f>
        <v/>
      </c>
      <c r="T721" s="4" t="str">
        <f t="shared" si="6"/>
        <v/>
      </c>
      <c r="U721" s="4" t="str">
        <f>IFERROR(__xludf.DUMMYFUNCTION("IF(P721="""","""",IFERROR(INDEX(filter(Productos!E:E,Productos!F:F=L721,Productos!H:H=N721),P721),IF(M721=SUM(D:D),""Finalizar"",""-"")))"),"")</f>
        <v/>
      </c>
      <c r="V721" s="4" t="str">
        <f>IFERROR(__xludf.DUMMYFUNCTION("IF(OR($U721="""",COUNTIF($I:$I,IFERROR(unique(filter(Prod_Prop!$H:$H,Prod_Prop!$G:$G=$U721,Prod_Prop!$E:$E=V$1)),""Check""))=0),"""",IFERROR(unique(filter(Prod_Prop!$H:$H,Prod_Prop!$G:$G=$U721,Prod_Prop!$E:$E=V$1)),""""))"),"")</f>
        <v/>
      </c>
      <c r="W721" s="4" t="str">
        <f>IF(V721="","",SUMIFS(Prod_Prop!$J:$J,Prod_Prop!$B:$B,$Q721,Prod_Prop!$H:$H,V721,Prod_Prop!$I:$I,W$1)*IF(V721="Peso",$R721,1))</f>
        <v/>
      </c>
      <c r="X721" s="4" t="str">
        <f>IF(V721="","",SUMIFS(Prod_Prop!$J:$J,Prod_Prop!$B:$B,$Q721,Prod_Prop!$H:$H,V721,Prod_Prop!$I:$I,X$1)*IF(V721="Peso",$R721,1))</f>
        <v/>
      </c>
      <c r="Y721" s="4" t="str">
        <f>IFERROR(__xludf.DUMMYFUNCTION("IF(OR($U721="""",COUNTIF($I:$I,IFERROR(unique(filter(Prod_Prop!$H:$H,Prod_Prop!$G:$G=$U721,Prod_Prop!$E:$E=Y$1)),""Check""))=0),"""",IFERROR(unique(filter(Prod_Prop!$H:$H,Prod_Prop!$G:$G=$U721,Prod_Prop!$E:$E=Y$1)),""""))"),"")</f>
        <v/>
      </c>
      <c r="Z721" s="4" t="str">
        <f>IF(Y721="","",SUMIFS(Prod_Prop!$J:$J,Prod_Prop!$B:$B,$Q721,Prod_Prop!$H:$H,Y721,Prod_Prop!$I:$I,Z$1)*IF(Y721="Peso",$R721,1))</f>
        <v/>
      </c>
      <c r="AA721" s="4" t="str">
        <f>IF(Y721="","",SUMIFS(Prod_Prop!$J:$J,Prod_Prop!$B:$B,$Q721,Prod_Prop!$H:$H,Y721,Prod_Prop!$I:$I,AA$1)*IF(Y721="Peso",$R721,1))</f>
        <v/>
      </c>
      <c r="AB721" s="4" t="str">
        <f>IFERROR(__xludf.DUMMYFUNCTION("IF(OR($U721="""",COUNTIF($I:$I,IFERROR(unique(filter(Prod_Prop!$H:$H,Prod_Prop!$G:$G=$U721,Prod_Prop!$E:$E=AB$1)),""Check""))=0),"""",IFERROR(unique(filter(Prod_Prop!$H:$H,Prod_Prop!$G:$G=$U721,Prod_Prop!$E:$E=AB$1)),""""))"),"")</f>
        <v/>
      </c>
      <c r="AC721" s="4" t="str">
        <f>IF(AB721="","",SUMIFS(Prod_Prop!$J:$J,Prod_Prop!$B:$B,$Q721,Prod_Prop!$H:$H,AB721,Prod_Prop!$I:$I,AC$1)*IF(AB721="Peso",$R721,1))</f>
        <v/>
      </c>
      <c r="AD721" s="4" t="str">
        <f>IF(AB721="","",SUMIFS(Prod_Prop!$J:$J,Prod_Prop!$B:$B,$Q721,Prod_Prop!$H:$H,AB721,Prod_Prop!$I:$I,AD$1)*IF(AB721="Peso",$R721,1))</f>
        <v/>
      </c>
    </row>
    <row r="722">
      <c r="A722" s="4" t="str">
        <f t="array" ref="A722">IF(COUNTIF(A$1:A721,Cotizador!F$2)=maxifs(Familias!E:E,Familias!D:D,Cotizador!F$2),IF(COUNTIF(A$1:A721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2" s="4" t="str">
        <f t="shared" si="1"/>
        <v/>
      </c>
      <c r="C722" s="4" t="str">
        <f t="array" ref="C722">IF(B722="","",IF(A722=XLOOKUP(A$2,Implementos!B:B,Implementos!C:C,"",0,1),B722+maxifs(B$1:B721,A$1:A721,A$2),B722))</f>
        <v/>
      </c>
      <c r="D722" s="4" t="str">
        <f>IF(B722="","", COUNTIFS(Productos!F:F,A722,Productos!H:H,B722)+IF(F722="SI",0,1))</f>
        <v/>
      </c>
      <c r="E722" s="4" t="str">
        <f>IFERROR(__xludf.DUMMYFUNCTION("IF($B722="""","""",INDEX(filter(Familias!F:F,Familias!$D:$D=$A722,Familias!$E:$E=$B722),1))"),"")</f>
        <v/>
      </c>
      <c r="F722" s="4" t="str">
        <f>IFERROR(__xludf.DUMMYFUNCTION("IF($B722="""","""",INDEX(filter(Familias!G:G,Familias!$D:$D=$A722,Familias!$E:$E=$B722),1))"),"")</f>
        <v/>
      </c>
      <c r="G722" s="4" t="str">
        <f t="array" ref="G722">IF(C722=1,XLOOKUP(C722,Cotizador!D:D,Cotizador!E:E,"",0,1),"")</f>
        <v/>
      </c>
      <c r="I722" s="4"/>
      <c r="J722" s="8" t="str">
        <f>IF(I722="","",SUMIF(Cotizador!I$1:V$1,I722,Cotizador!I$2:V$2))</f>
        <v/>
      </c>
      <c r="L722" s="4" t="str">
        <f t="array" ref="L722">IF(COUNTIF(L$1:L721,A$2)=SUMIF(A:A,A$2,D:D),IF(COUNTIF(L$1:L721,XLOOKUP(A$2,Implementos!B:B,Implementos!C:C,"",0,1))=SUMIF(A:A,XLOOKUP(A$2,Implementos!B:B,Implementos!C:C,"",0,1),D:D),"",XLOOKUP(A$2,Implementos!B:B,Implementos!C:C,"",0,1)),A$2)</f>
        <v/>
      </c>
      <c r="M722" s="4" t="str">
        <f t="shared" si="2"/>
        <v/>
      </c>
      <c r="N722" s="4" t="str">
        <f t="shared" si="3"/>
        <v/>
      </c>
      <c r="O722" s="4" t="str">
        <f t="shared" si="4"/>
        <v/>
      </c>
      <c r="P722" s="4" t="str">
        <f t="shared" si="5"/>
        <v/>
      </c>
      <c r="Q722" s="4" t="str">
        <f>IF(U722="","",SUMIF(Productos!E:E,U722,Productos!A:A))</f>
        <v/>
      </c>
      <c r="R722" s="4" t="str">
        <f t="array" ref="R722">IF(L722="","", max(1,SUMIF(I:I,XLOOKUP(U722,Productos!E:E,Productos!G:G,"",0,1),J:J)))</f>
        <v/>
      </c>
      <c r="S722" s="4" t="str">
        <f>IF(Q722="","",IF(SUMIFS(Compat_Vetado!D:D,Compat_Vetado!B:B,SUM(G:G),Compat_Vetado!C:C,Q722)=1,"SI",IF(OR(SUMIF(Cotizador!E:E,Q722,Cotizador!G:G)&gt;0,SUMIFS(Compat_Vetado!D:D,Compat_Vetado!B:B,SUM(G:G),Compat_Vetado!C:C,Q722)=-1),"NO","")))</f>
        <v/>
      </c>
      <c r="T722" s="4" t="str">
        <f t="shared" si="6"/>
        <v/>
      </c>
      <c r="U722" s="4" t="str">
        <f>IFERROR(__xludf.DUMMYFUNCTION("IF(P722="""","""",IFERROR(INDEX(filter(Productos!E:E,Productos!F:F=L722,Productos!H:H=N722),P722),IF(M722=SUM(D:D),""Finalizar"",""-"")))"),"")</f>
        <v/>
      </c>
      <c r="V722" s="4" t="str">
        <f>IFERROR(__xludf.DUMMYFUNCTION("IF(OR($U722="""",COUNTIF($I:$I,IFERROR(unique(filter(Prod_Prop!$H:$H,Prod_Prop!$G:$G=$U722,Prod_Prop!$E:$E=V$1)),""Check""))=0),"""",IFERROR(unique(filter(Prod_Prop!$H:$H,Prod_Prop!$G:$G=$U722,Prod_Prop!$E:$E=V$1)),""""))"),"")</f>
        <v/>
      </c>
      <c r="W722" s="4" t="str">
        <f>IF(V722="","",SUMIFS(Prod_Prop!$J:$J,Prod_Prop!$B:$B,$Q722,Prod_Prop!$H:$H,V722,Prod_Prop!$I:$I,W$1)*IF(V722="Peso",$R722,1))</f>
        <v/>
      </c>
      <c r="X722" s="4" t="str">
        <f>IF(V722="","",SUMIFS(Prod_Prop!$J:$J,Prod_Prop!$B:$B,$Q722,Prod_Prop!$H:$H,V722,Prod_Prop!$I:$I,X$1)*IF(V722="Peso",$R722,1))</f>
        <v/>
      </c>
      <c r="Y722" s="4" t="str">
        <f>IFERROR(__xludf.DUMMYFUNCTION("IF(OR($U722="""",COUNTIF($I:$I,IFERROR(unique(filter(Prod_Prop!$H:$H,Prod_Prop!$G:$G=$U722,Prod_Prop!$E:$E=Y$1)),""Check""))=0),"""",IFERROR(unique(filter(Prod_Prop!$H:$H,Prod_Prop!$G:$G=$U722,Prod_Prop!$E:$E=Y$1)),""""))"),"")</f>
        <v/>
      </c>
      <c r="Z722" s="4" t="str">
        <f>IF(Y722="","",SUMIFS(Prod_Prop!$J:$J,Prod_Prop!$B:$B,$Q722,Prod_Prop!$H:$H,Y722,Prod_Prop!$I:$I,Z$1)*IF(Y722="Peso",$R722,1))</f>
        <v/>
      </c>
      <c r="AA722" s="4" t="str">
        <f>IF(Y722="","",SUMIFS(Prod_Prop!$J:$J,Prod_Prop!$B:$B,$Q722,Prod_Prop!$H:$H,Y722,Prod_Prop!$I:$I,AA$1)*IF(Y722="Peso",$R722,1))</f>
        <v/>
      </c>
      <c r="AB722" s="4" t="str">
        <f>IFERROR(__xludf.DUMMYFUNCTION("IF(OR($U722="""",COUNTIF($I:$I,IFERROR(unique(filter(Prod_Prop!$H:$H,Prod_Prop!$G:$G=$U722,Prod_Prop!$E:$E=AB$1)),""Check""))=0),"""",IFERROR(unique(filter(Prod_Prop!$H:$H,Prod_Prop!$G:$G=$U722,Prod_Prop!$E:$E=AB$1)),""""))"),"")</f>
        <v/>
      </c>
      <c r="AC722" s="4" t="str">
        <f>IF(AB722="","",SUMIFS(Prod_Prop!$J:$J,Prod_Prop!$B:$B,$Q722,Prod_Prop!$H:$H,AB722,Prod_Prop!$I:$I,AC$1)*IF(AB722="Peso",$R722,1))</f>
        <v/>
      </c>
      <c r="AD722" s="4" t="str">
        <f>IF(AB722="","",SUMIFS(Prod_Prop!$J:$J,Prod_Prop!$B:$B,$Q722,Prod_Prop!$H:$H,AB722,Prod_Prop!$I:$I,AD$1)*IF(AB722="Peso",$R722,1))</f>
        <v/>
      </c>
    </row>
    <row r="723">
      <c r="A723" s="4" t="str">
        <f t="array" ref="A723">IF(COUNTIF(A$1:A722,Cotizador!F$2)=maxifs(Familias!E:E,Familias!D:D,Cotizador!F$2),IF(COUNTIF(A$1:A722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3" s="4" t="str">
        <f t="shared" si="1"/>
        <v/>
      </c>
      <c r="C723" s="4" t="str">
        <f t="array" ref="C723">IF(B723="","",IF(A723=XLOOKUP(A$2,Implementos!B:B,Implementos!C:C,"",0,1),B723+maxifs(B$1:B722,A$1:A722,A$2),B723))</f>
        <v/>
      </c>
      <c r="D723" s="4" t="str">
        <f>IF(B723="","", COUNTIFS(Productos!F:F,A723,Productos!H:H,B723)+IF(F723="SI",0,1))</f>
        <v/>
      </c>
      <c r="E723" s="4" t="str">
        <f>IFERROR(__xludf.DUMMYFUNCTION("IF($B723="""","""",INDEX(filter(Familias!F:F,Familias!$D:$D=$A723,Familias!$E:$E=$B723),1))"),"")</f>
        <v/>
      </c>
      <c r="F723" s="4" t="str">
        <f>IFERROR(__xludf.DUMMYFUNCTION("IF($B723="""","""",INDEX(filter(Familias!G:G,Familias!$D:$D=$A723,Familias!$E:$E=$B723),1))"),"")</f>
        <v/>
      </c>
      <c r="G723" s="4" t="str">
        <f t="array" ref="G723">IF(C723=1,XLOOKUP(C723,Cotizador!D:D,Cotizador!E:E,"",0,1),"")</f>
        <v/>
      </c>
      <c r="I723" s="4"/>
      <c r="J723" s="8" t="str">
        <f>IF(I723="","",SUMIF(Cotizador!I$1:V$1,I723,Cotizador!I$2:V$2))</f>
        <v/>
      </c>
      <c r="L723" s="4" t="str">
        <f t="array" ref="L723">IF(COUNTIF(L$1:L722,A$2)=SUMIF(A:A,A$2,D:D),IF(COUNTIF(L$1:L722,XLOOKUP(A$2,Implementos!B:B,Implementos!C:C,"",0,1))=SUMIF(A:A,XLOOKUP(A$2,Implementos!B:B,Implementos!C:C,"",0,1),D:D),"",XLOOKUP(A$2,Implementos!B:B,Implementos!C:C,"",0,1)),A$2)</f>
        <v/>
      </c>
      <c r="M723" s="4" t="str">
        <f t="shared" si="2"/>
        <v/>
      </c>
      <c r="N723" s="4" t="str">
        <f t="shared" si="3"/>
        <v/>
      </c>
      <c r="O723" s="4" t="str">
        <f t="shared" si="4"/>
        <v/>
      </c>
      <c r="P723" s="4" t="str">
        <f t="shared" si="5"/>
        <v/>
      </c>
      <c r="Q723" s="4" t="str">
        <f>IF(U723="","",SUMIF(Productos!E:E,U723,Productos!A:A))</f>
        <v/>
      </c>
      <c r="R723" s="4" t="str">
        <f t="array" ref="R723">IF(L723="","", max(1,SUMIF(I:I,XLOOKUP(U723,Productos!E:E,Productos!G:G,"",0,1),J:J)))</f>
        <v/>
      </c>
      <c r="S723" s="4" t="str">
        <f>IF(Q723="","",IF(SUMIFS(Compat_Vetado!D:D,Compat_Vetado!B:B,SUM(G:G),Compat_Vetado!C:C,Q723)=1,"SI",IF(OR(SUMIF(Cotizador!E:E,Q723,Cotizador!G:G)&gt;0,SUMIFS(Compat_Vetado!D:D,Compat_Vetado!B:B,SUM(G:G),Compat_Vetado!C:C,Q723)=-1),"NO","")))</f>
        <v/>
      </c>
      <c r="T723" s="4" t="str">
        <f t="shared" si="6"/>
        <v/>
      </c>
      <c r="U723" s="4" t="str">
        <f>IFERROR(__xludf.DUMMYFUNCTION("IF(P723="""","""",IFERROR(INDEX(filter(Productos!E:E,Productos!F:F=L723,Productos!H:H=N723),P723),IF(M723=SUM(D:D),""Finalizar"",""-"")))"),"")</f>
        <v/>
      </c>
      <c r="V723" s="4" t="str">
        <f>IFERROR(__xludf.DUMMYFUNCTION("IF(OR($U723="""",COUNTIF($I:$I,IFERROR(unique(filter(Prod_Prop!$H:$H,Prod_Prop!$G:$G=$U723,Prod_Prop!$E:$E=V$1)),""Check""))=0),"""",IFERROR(unique(filter(Prod_Prop!$H:$H,Prod_Prop!$G:$G=$U723,Prod_Prop!$E:$E=V$1)),""""))"),"")</f>
        <v/>
      </c>
      <c r="W723" s="4" t="str">
        <f>IF(V723="","",SUMIFS(Prod_Prop!$J:$J,Prod_Prop!$B:$B,$Q723,Prod_Prop!$H:$H,V723,Prod_Prop!$I:$I,W$1)*IF(V723="Peso",$R723,1))</f>
        <v/>
      </c>
      <c r="X723" s="4" t="str">
        <f>IF(V723="","",SUMIFS(Prod_Prop!$J:$J,Prod_Prop!$B:$B,$Q723,Prod_Prop!$H:$H,V723,Prod_Prop!$I:$I,X$1)*IF(V723="Peso",$R723,1))</f>
        <v/>
      </c>
      <c r="Y723" s="4" t="str">
        <f>IFERROR(__xludf.DUMMYFUNCTION("IF(OR($U723="""",COUNTIF($I:$I,IFERROR(unique(filter(Prod_Prop!$H:$H,Prod_Prop!$G:$G=$U723,Prod_Prop!$E:$E=Y$1)),""Check""))=0),"""",IFERROR(unique(filter(Prod_Prop!$H:$H,Prod_Prop!$G:$G=$U723,Prod_Prop!$E:$E=Y$1)),""""))"),"")</f>
        <v/>
      </c>
      <c r="Z723" s="4" t="str">
        <f>IF(Y723="","",SUMIFS(Prod_Prop!$J:$J,Prod_Prop!$B:$B,$Q723,Prod_Prop!$H:$H,Y723,Prod_Prop!$I:$I,Z$1)*IF(Y723="Peso",$R723,1))</f>
        <v/>
      </c>
      <c r="AA723" s="4" t="str">
        <f>IF(Y723="","",SUMIFS(Prod_Prop!$J:$J,Prod_Prop!$B:$B,$Q723,Prod_Prop!$H:$H,Y723,Prod_Prop!$I:$I,AA$1)*IF(Y723="Peso",$R723,1))</f>
        <v/>
      </c>
      <c r="AB723" s="4" t="str">
        <f>IFERROR(__xludf.DUMMYFUNCTION("IF(OR($U723="""",COUNTIF($I:$I,IFERROR(unique(filter(Prod_Prop!$H:$H,Prod_Prop!$G:$G=$U723,Prod_Prop!$E:$E=AB$1)),""Check""))=0),"""",IFERROR(unique(filter(Prod_Prop!$H:$H,Prod_Prop!$G:$G=$U723,Prod_Prop!$E:$E=AB$1)),""""))"),"")</f>
        <v/>
      </c>
      <c r="AC723" s="4" t="str">
        <f>IF(AB723="","",SUMIFS(Prod_Prop!$J:$J,Prod_Prop!$B:$B,$Q723,Prod_Prop!$H:$H,AB723,Prod_Prop!$I:$I,AC$1)*IF(AB723="Peso",$R723,1))</f>
        <v/>
      </c>
      <c r="AD723" s="4" t="str">
        <f>IF(AB723="","",SUMIFS(Prod_Prop!$J:$J,Prod_Prop!$B:$B,$Q723,Prod_Prop!$H:$H,AB723,Prod_Prop!$I:$I,AD$1)*IF(AB723="Peso",$R723,1))</f>
        <v/>
      </c>
    </row>
    <row r="724">
      <c r="A724" s="4" t="str">
        <f t="array" ref="A724">IF(COUNTIF(A$1:A723,Cotizador!F$2)=maxifs(Familias!E:E,Familias!D:D,Cotizador!F$2),IF(COUNTIF(A$1:A723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4" s="4" t="str">
        <f t="shared" si="1"/>
        <v/>
      </c>
      <c r="C724" s="4" t="str">
        <f t="array" ref="C724">IF(B724="","",IF(A724=XLOOKUP(A$2,Implementos!B:B,Implementos!C:C,"",0,1),B724+maxifs(B$1:B723,A$1:A723,A$2),B724))</f>
        <v/>
      </c>
      <c r="D724" s="4" t="str">
        <f>IF(B724="","", COUNTIFS(Productos!F:F,A724,Productos!H:H,B724)+IF(F724="SI",0,1))</f>
        <v/>
      </c>
      <c r="E724" s="4" t="str">
        <f>IFERROR(__xludf.DUMMYFUNCTION("IF($B724="""","""",INDEX(filter(Familias!F:F,Familias!$D:$D=$A724,Familias!$E:$E=$B724),1))"),"")</f>
        <v/>
      </c>
      <c r="F724" s="4" t="str">
        <f>IFERROR(__xludf.DUMMYFUNCTION("IF($B724="""","""",INDEX(filter(Familias!G:G,Familias!$D:$D=$A724,Familias!$E:$E=$B724),1))"),"")</f>
        <v/>
      </c>
      <c r="G724" s="4" t="str">
        <f t="array" ref="G724">IF(C724=1,XLOOKUP(C724,Cotizador!D:D,Cotizador!E:E,"",0,1),"")</f>
        <v/>
      </c>
      <c r="I724" s="4"/>
      <c r="J724" s="8" t="str">
        <f>IF(I724="","",SUMIF(Cotizador!I$1:V$1,I724,Cotizador!I$2:V$2))</f>
        <v/>
      </c>
      <c r="L724" s="4" t="str">
        <f t="array" ref="L724">IF(COUNTIF(L$1:L723,A$2)=SUMIF(A:A,A$2,D:D),IF(COUNTIF(L$1:L723,XLOOKUP(A$2,Implementos!B:B,Implementos!C:C,"",0,1))=SUMIF(A:A,XLOOKUP(A$2,Implementos!B:B,Implementos!C:C,"",0,1),D:D),"",XLOOKUP(A$2,Implementos!B:B,Implementos!C:C,"",0,1)),A$2)</f>
        <v/>
      </c>
      <c r="M724" s="4" t="str">
        <f t="shared" si="2"/>
        <v/>
      </c>
      <c r="N724" s="4" t="str">
        <f t="shared" si="3"/>
        <v/>
      </c>
      <c r="O724" s="4" t="str">
        <f t="shared" si="4"/>
        <v/>
      </c>
      <c r="P724" s="4" t="str">
        <f t="shared" si="5"/>
        <v/>
      </c>
      <c r="Q724" s="4" t="str">
        <f>IF(U724="","",SUMIF(Productos!E:E,U724,Productos!A:A))</f>
        <v/>
      </c>
      <c r="R724" s="4" t="str">
        <f t="array" ref="R724">IF(L724="","", max(1,SUMIF(I:I,XLOOKUP(U724,Productos!E:E,Productos!G:G,"",0,1),J:J)))</f>
        <v/>
      </c>
      <c r="S724" s="4" t="str">
        <f>IF(Q724="","",IF(SUMIFS(Compat_Vetado!D:D,Compat_Vetado!B:B,SUM(G:G),Compat_Vetado!C:C,Q724)=1,"SI",IF(OR(SUMIF(Cotizador!E:E,Q724,Cotizador!G:G)&gt;0,SUMIFS(Compat_Vetado!D:D,Compat_Vetado!B:B,SUM(G:G),Compat_Vetado!C:C,Q724)=-1),"NO","")))</f>
        <v/>
      </c>
      <c r="T724" s="4" t="str">
        <f t="shared" si="6"/>
        <v/>
      </c>
      <c r="U724" s="4" t="str">
        <f>IFERROR(__xludf.DUMMYFUNCTION("IF(P724="""","""",IFERROR(INDEX(filter(Productos!E:E,Productos!F:F=L724,Productos!H:H=N724),P724),IF(M724=SUM(D:D),""Finalizar"",""-"")))"),"")</f>
        <v/>
      </c>
      <c r="V724" s="4" t="str">
        <f>IFERROR(__xludf.DUMMYFUNCTION("IF(OR($U724="""",COUNTIF($I:$I,IFERROR(unique(filter(Prod_Prop!$H:$H,Prod_Prop!$G:$G=$U724,Prod_Prop!$E:$E=V$1)),""Check""))=0),"""",IFERROR(unique(filter(Prod_Prop!$H:$H,Prod_Prop!$G:$G=$U724,Prod_Prop!$E:$E=V$1)),""""))"),"")</f>
        <v/>
      </c>
      <c r="W724" s="4" t="str">
        <f>IF(V724="","",SUMIFS(Prod_Prop!$J:$J,Prod_Prop!$B:$B,$Q724,Prod_Prop!$H:$H,V724,Prod_Prop!$I:$I,W$1)*IF(V724="Peso",$R724,1))</f>
        <v/>
      </c>
      <c r="X724" s="4" t="str">
        <f>IF(V724="","",SUMIFS(Prod_Prop!$J:$J,Prod_Prop!$B:$B,$Q724,Prod_Prop!$H:$H,V724,Prod_Prop!$I:$I,X$1)*IF(V724="Peso",$R724,1))</f>
        <v/>
      </c>
      <c r="Y724" s="4" t="str">
        <f>IFERROR(__xludf.DUMMYFUNCTION("IF(OR($U724="""",COUNTIF($I:$I,IFERROR(unique(filter(Prod_Prop!$H:$H,Prod_Prop!$G:$G=$U724,Prod_Prop!$E:$E=Y$1)),""Check""))=0),"""",IFERROR(unique(filter(Prod_Prop!$H:$H,Prod_Prop!$G:$G=$U724,Prod_Prop!$E:$E=Y$1)),""""))"),"")</f>
        <v/>
      </c>
      <c r="Z724" s="4" t="str">
        <f>IF(Y724="","",SUMIFS(Prod_Prop!$J:$J,Prod_Prop!$B:$B,$Q724,Prod_Prop!$H:$H,Y724,Prod_Prop!$I:$I,Z$1)*IF(Y724="Peso",$R724,1))</f>
        <v/>
      </c>
      <c r="AA724" s="4" t="str">
        <f>IF(Y724="","",SUMIFS(Prod_Prop!$J:$J,Prod_Prop!$B:$B,$Q724,Prod_Prop!$H:$H,Y724,Prod_Prop!$I:$I,AA$1)*IF(Y724="Peso",$R724,1))</f>
        <v/>
      </c>
      <c r="AB724" s="4" t="str">
        <f>IFERROR(__xludf.DUMMYFUNCTION("IF(OR($U724="""",COUNTIF($I:$I,IFERROR(unique(filter(Prod_Prop!$H:$H,Prod_Prop!$G:$G=$U724,Prod_Prop!$E:$E=AB$1)),""Check""))=0),"""",IFERROR(unique(filter(Prod_Prop!$H:$H,Prod_Prop!$G:$G=$U724,Prod_Prop!$E:$E=AB$1)),""""))"),"")</f>
        <v/>
      </c>
      <c r="AC724" s="4" t="str">
        <f>IF(AB724="","",SUMIFS(Prod_Prop!$J:$J,Prod_Prop!$B:$B,$Q724,Prod_Prop!$H:$H,AB724,Prod_Prop!$I:$I,AC$1)*IF(AB724="Peso",$R724,1))</f>
        <v/>
      </c>
      <c r="AD724" s="4" t="str">
        <f>IF(AB724="","",SUMIFS(Prod_Prop!$J:$J,Prod_Prop!$B:$B,$Q724,Prod_Prop!$H:$H,AB724,Prod_Prop!$I:$I,AD$1)*IF(AB724="Peso",$R724,1))</f>
        <v/>
      </c>
    </row>
    <row r="725">
      <c r="A725" s="4" t="str">
        <f t="array" ref="A725">IF(COUNTIF(A$1:A724,Cotizador!F$2)=maxifs(Familias!E:E,Familias!D:D,Cotizador!F$2),IF(COUNTIF(A$1:A724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5" s="4" t="str">
        <f t="shared" si="1"/>
        <v/>
      </c>
      <c r="C725" s="4" t="str">
        <f t="array" ref="C725">IF(B725="","",IF(A725=XLOOKUP(A$2,Implementos!B:B,Implementos!C:C,"",0,1),B725+maxifs(B$1:B724,A$1:A724,A$2),B725))</f>
        <v/>
      </c>
      <c r="D725" s="4" t="str">
        <f>IF(B725="","", COUNTIFS(Productos!F:F,A725,Productos!H:H,B725)+IF(F725="SI",0,1))</f>
        <v/>
      </c>
      <c r="E725" s="4" t="str">
        <f>IFERROR(__xludf.DUMMYFUNCTION("IF($B725="""","""",INDEX(filter(Familias!F:F,Familias!$D:$D=$A725,Familias!$E:$E=$B725),1))"),"")</f>
        <v/>
      </c>
      <c r="F725" s="4" t="str">
        <f>IFERROR(__xludf.DUMMYFUNCTION("IF($B725="""","""",INDEX(filter(Familias!G:G,Familias!$D:$D=$A725,Familias!$E:$E=$B725),1))"),"")</f>
        <v/>
      </c>
      <c r="G725" s="4" t="str">
        <f t="array" ref="G725">IF(C725=1,XLOOKUP(C725,Cotizador!D:D,Cotizador!E:E,"",0,1),"")</f>
        <v/>
      </c>
      <c r="I725" s="4"/>
      <c r="J725" s="8" t="str">
        <f>IF(I725="","",SUMIF(Cotizador!I$1:V$1,I725,Cotizador!I$2:V$2))</f>
        <v/>
      </c>
      <c r="L725" s="4" t="str">
        <f t="array" ref="L725">IF(COUNTIF(L$1:L724,A$2)=SUMIF(A:A,A$2,D:D),IF(COUNTIF(L$1:L724,XLOOKUP(A$2,Implementos!B:B,Implementos!C:C,"",0,1))=SUMIF(A:A,XLOOKUP(A$2,Implementos!B:B,Implementos!C:C,"",0,1),D:D),"",XLOOKUP(A$2,Implementos!B:B,Implementos!C:C,"",0,1)),A$2)</f>
        <v/>
      </c>
      <c r="M725" s="4" t="str">
        <f t="shared" si="2"/>
        <v/>
      </c>
      <c r="N725" s="4" t="str">
        <f t="shared" si="3"/>
        <v/>
      </c>
      <c r="O725" s="4" t="str">
        <f t="shared" si="4"/>
        <v/>
      </c>
      <c r="P725" s="4" t="str">
        <f t="shared" si="5"/>
        <v/>
      </c>
      <c r="Q725" s="4" t="str">
        <f>IF(U725="","",SUMIF(Productos!E:E,U725,Productos!A:A))</f>
        <v/>
      </c>
      <c r="R725" s="4" t="str">
        <f t="array" ref="R725">IF(L725="","", max(1,SUMIF(I:I,XLOOKUP(U725,Productos!E:E,Productos!G:G,"",0,1),J:J)))</f>
        <v/>
      </c>
      <c r="S725" s="4" t="str">
        <f>IF(Q725="","",IF(SUMIFS(Compat_Vetado!D:D,Compat_Vetado!B:B,SUM(G:G),Compat_Vetado!C:C,Q725)=1,"SI",IF(OR(SUMIF(Cotizador!E:E,Q725,Cotizador!G:G)&gt;0,SUMIFS(Compat_Vetado!D:D,Compat_Vetado!B:B,SUM(G:G),Compat_Vetado!C:C,Q725)=-1),"NO","")))</f>
        <v/>
      </c>
      <c r="T725" s="4" t="str">
        <f t="shared" si="6"/>
        <v/>
      </c>
      <c r="U725" s="4" t="str">
        <f>IFERROR(__xludf.DUMMYFUNCTION("IF(P725="""","""",IFERROR(INDEX(filter(Productos!E:E,Productos!F:F=L725,Productos!H:H=N725),P725),IF(M725=SUM(D:D),""Finalizar"",""-"")))"),"")</f>
        <v/>
      </c>
      <c r="V725" s="4" t="str">
        <f>IFERROR(__xludf.DUMMYFUNCTION("IF(OR($U725="""",COUNTIF($I:$I,IFERROR(unique(filter(Prod_Prop!$H:$H,Prod_Prop!$G:$G=$U725,Prod_Prop!$E:$E=V$1)),""Check""))=0),"""",IFERROR(unique(filter(Prod_Prop!$H:$H,Prod_Prop!$G:$G=$U725,Prod_Prop!$E:$E=V$1)),""""))"),"")</f>
        <v/>
      </c>
      <c r="W725" s="4" t="str">
        <f>IF(V725="","",SUMIFS(Prod_Prop!$J:$J,Prod_Prop!$B:$B,$Q725,Prod_Prop!$H:$H,V725,Prod_Prop!$I:$I,W$1)*IF(V725="Peso",$R725,1))</f>
        <v/>
      </c>
      <c r="X725" s="4" t="str">
        <f>IF(V725="","",SUMIFS(Prod_Prop!$J:$J,Prod_Prop!$B:$B,$Q725,Prod_Prop!$H:$H,V725,Prod_Prop!$I:$I,X$1)*IF(V725="Peso",$R725,1))</f>
        <v/>
      </c>
      <c r="Y725" s="4" t="str">
        <f>IFERROR(__xludf.DUMMYFUNCTION("IF(OR($U725="""",COUNTIF($I:$I,IFERROR(unique(filter(Prod_Prop!$H:$H,Prod_Prop!$G:$G=$U725,Prod_Prop!$E:$E=Y$1)),""Check""))=0),"""",IFERROR(unique(filter(Prod_Prop!$H:$H,Prod_Prop!$G:$G=$U725,Prod_Prop!$E:$E=Y$1)),""""))"),"")</f>
        <v/>
      </c>
      <c r="Z725" s="4" t="str">
        <f>IF(Y725="","",SUMIFS(Prod_Prop!$J:$J,Prod_Prop!$B:$B,$Q725,Prod_Prop!$H:$H,Y725,Prod_Prop!$I:$I,Z$1)*IF(Y725="Peso",$R725,1))</f>
        <v/>
      </c>
      <c r="AA725" s="4" t="str">
        <f>IF(Y725="","",SUMIFS(Prod_Prop!$J:$J,Prod_Prop!$B:$B,$Q725,Prod_Prop!$H:$H,Y725,Prod_Prop!$I:$I,AA$1)*IF(Y725="Peso",$R725,1))</f>
        <v/>
      </c>
      <c r="AB725" s="4" t="str">
        <f>IFERROR(__xludf.DUMMYFUNCTION("IF(OR($U725="""",COUNTIF($I:$I,IFERROR(unique(filter(Prod_Prop!$H:$H,Prod_Prop!$G:$G=$U725,Prod_Prop!$E:$E=AB$1)),""Check""))=0),"""",IFERROR(unique(filter(Prod_Prop!$H:$H,Prod_Prop!$G:$G=$U725,Prod_Prop!$E:$E=AB$1)),""""))"),"")</f>
        <v/>
      </c>
      <c r="AC725" s="4" t="str">
        <f>IF(AB725="","",SUMIFS(Prod_Prop!$J:$J,Prod_Prop!$B:$B,$Q725,Prod_Prop!$H:$H,AB725,Prod_Prop!$I:$I,AC$1)*IF(AB725="Peso",$R725,1))</f>
        <v/>
      </c>
      <c r="AD725" s="4" t="str">
        <f>IF(AB725="","",SUMIFS(Prod_Prop!$J:$J,Prod_Prop!$B:$B,$Q725,Prod_Prop!$H:$H,AB725,Prod_Prop!$I:$I,AD$1)*IF(AB725="Peso",$R725,1))</f>
        <v/>
      </c>
    </row>
    <row r="726">
      <c r="A726" s="4" t="str">
        <f t="array" ref="A726">IF(COUNTIF(A$1:A725,Cotizador!F$2)=maxifs(Familias!E:E,Familias!D:D,Cotizador!F$2),IF(COUNTIF(A$1:A725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6" s="4" t="str">
        <f t="shared" si="1"/>
        <v/>
      </c>
      <c r="C726" s="4" t="str">
        <f t="array" ref="C726">IF(B726="","",IF(A726=XLOOKUP(A$2,Implementos!B:B,Implementos!C:C,"",0,1),B726+maxifs(B$1:B725,A$1:A725,A$2),B726))</f>
        <v/>
      </c>
      <c r="D726" s="4" t="str">
        <f>IF(B726="","", COUNTIFS(Productos!F:F,A726,Productos!H:H,B726)+IF(F726="SI",0,1))</f>
        <v/>
      </c>
      <c r="E726" s="4" t="str">
        <f>IFERROR(__xludf.DUMMYFUNCTION("IF($B726="""","""",INDEX(filter(Familias!F:F,Familias!$D:$D=$A726,Familias!$E:$E=$B726),1))"),"")</f>
        <v/>
      </c>
      <c r="F726" s="4" t="str">
        <f>IFERROR(__xludf.DUMMYFUNCTION("IF($B726="""","""",INDEX(filter(Familias!G:G,Familias!$D:$D=$A726,Familias!$E:$E=$B726),1))"),"")</f>
        <v/>
      </c>
      <c r="G726" s="4" t="str">
        <f t="array" ref="G726">IF(C726=1,XLOOKUP(C726,Cotizador!D:D,Cotizador!E:E,"",0,1),"")</f>
        <v/>
      </c>
      <c r="I726" s="4"/>
      <c r="J726" s="8" t="str">
        <f>IF(I726="","",SUMIF(Cotizador!I$1:V$1,I726,Cotizador!I$2:V$2))</f>
        <v/>
      </c>
      <c r="L726" s="4" t="str">
        <f t="array" ref="L726">IF(COUNTIF(L$1:L725,A$2)=SUMIF(A:A,A$2,D:D),IF(COUNTIF(L$1:L725,XLOOKUP(A$2,Implementos!B:B,Implementos!C:C,"",0,1))=SUMIF(A:A,XLOOKUP(A$2,Implementos!B:B,Implementos!C:C,"",0,1),D:D),"",XLOOKUP(A$2,Implementos!B:B,Implementos!C:C,"",0,1)),A$2)</f>
        <v/>
      </c>
      <c r="M726" s="4" t="str">
        <f t="shared" si="2"/>
        <v/>
      </c>
      <c r="N726" s="4" t="str">
        <f t="shared" si="3"/>
        <v/>
      </c>
      <c r="O726" s="4" t="str">
        <f t="shared" si="4"/>
        <v/>
      </c>
      <c r="P726" s="4" t="str">
        <f t="shared" si="5"/>
        <v/>
      </c>
      <c r="Q726" s="4" t="str">
        <f>IF(U726="","",SUMIF(Productos!E:E,U726,Productos!A:A))</f>
        <v/>
      </c>
      <c r="R726" s="4" t="str">
        <f t="array" ref="R726">IF(L726="","", max(1,SUMIF(I:I,XLOOKUP(U726,Productos!E:E,Productos!G:G,"",0,1),J:J)))</f>
        <v/>
      </c>
      <c r="S726" s="4" t="str">
        <f>IF(Q726="","",IF(SUMIFS(Compat_Vetado!D:D,Compat_Vetado!B:B,SUM(G:G),Compat_Vetado!C:C,Q726)=1,"SI",IF(OR(SUMIF(Cotizador!E:E,Q726,Cotizador!G:G)&gt;0,SUMIFS(Compat_Vetado!D:D,Compat_Vetado!B:B,SUM(G:G),Compat_Vetado!C:C,Q726)=-1),"NO","")))</f>
        <v/>
      </c>
      <c r="T726" s="4" t="str">
        <f t="shared" si="6"/>
        <v/>
      </c>
      <c r="U726" s="4" t="str">
        <f>IFERROR(__xludf.DUMMYFUNCTION("IF(P726="""","""",IFERROR(INDEX(filter(Productos!E:E,Productos!F:F=L726,Productos!H:H=N726),P726),IF(M726=SUM(D:D),""Finalizar"",""-"")))"),"")</f>
        <v/>
      </c>
      <c r="V726" s="4" t="str">
        <f>IFERROR(__xludf.DUMMYFUNCTION("IF(OR($U726="""",COUNTIF($I:$I,IFERROR(unique(filter(Prod_Prop!$H:$H,Prod_Prop!$G:$G=$U726,Prod_Prop!$E:$E=V$1)),""Check""))=0),"""",IFERROR(unique(filter(Prod_Prop!$H:$H,Prod_Prop!$G:$G=$U726,Prod_Prop!$E:$E=V$1)),""""))"),"")</f>
        <v/>
      </c>
      <c r="W726" s="4" t="str">
        <f>IF(V726="","",SUMIFS(Prod_Prop!$J:$J,Prod_Prop!$B:$B,$Q726,Prod_Prop!$H:$H,V726,Prod_Prop!$I:$I,W$1)*IF(V726="Peso",$R726,1))</f>
        <v/>
      </c>
      <c r="X726" s="4" t="str">
        <f>IF(V726="","",SUMIFS(Prod_Prop!$J:$J,Prod_Prop!$B:$B,$Q726,Prod_Prop!$H:$H,V726,Prod_Prop!$I:$I,X$1)*IF(V726="Peso",$R726,1))</f>
        <v/>
      </c>
      <c r="Y726" s="4" t="str">
        <f>IFERROR(__xludf.DUMMYFUNCTION("IF(OR($U726="""",COUNTIF($I:$I,IFERROR(unique(filter(Prod_Prop!$H:$H,Prod_Prop!$G:$G=$U726,Prod_Prop!$E:$E=Y$1)),""Check""))=0),"""",IFERROR(unique(filter(Prod_Prop!$H:$H,Prod_Prop!$G:$G=$U726,Prod_Prop!$E:$E=Y$1)),""""))"),"")</f>
        <v/>
      </c>
      <c r="Z726" s="4" t="str">
        <f>IF(Y726="","",SUMIFS(Prod_Prop!$J:$J,Prod_Prop!$B:$B,$Q726,Prod_Prop!$H:$H,Y726,Prod_Prop!$I:$I,Z$1)*IF(Y726="Peso",$R726,1))</f>
        <v/>
      </c>
      <c r="AA726" s="4" t="str">
        <f>IF(Y726="","",SUMIFS(Prod_Prop!$J:$J,Prod_Prop!$B:$B,$Q726,Prod_Prop!$H:$H,Y726,Prod_Prop!$I:$I,AA$1)*IF(Y726="Peso",$R726,1))</f>
        <v/>
      </c>
      <c r="AB726" s="4" t="str">
        <f>IFERROR(__xludf.DUMMYFUNCTION("IF(OR($U726="""",COUNTIF($I:$I,IFERROR(unique(filter(Prod_Prop!$H:$H,Prod_Prop!$G:$G=$U726,Prod_Prop!$E:$E=AB$1)),""Check""))=0),"""",IFERROR(unique(filter(Prod_Prop!$H:$H,Prod_Prop!$G:$G=$U726,Prod_Prop!$E:$E=AB$1)),""""))"),"")</f>
        <v/>
      </c>
      <c r="AC726" s="4" t="str">
        <f>IF(AB726="","",SUMIFS(Prod_Prop!$J:$J,Prod_Prop!$B:$B,$Q726,Prod_Prop!$H:$H,AB726,Prod_Prop!$I:$I,AC$1)*IF(AB726="Peso",$R726,1))</f>
        <v/>
      </c>
      <c r="AD726" s="4" t="str">
        <f>IF(AB726="","",SUMIFS(Prod_Prop!$J:$J,Prod_Prop!$B:$B,$Q726,Prod_Prop!$H:$H,AB726,Prod_Prop!$I:$I,AD$1)*IF(AB726="Peso",$R726,1))</f>
        <v/>
      </c>
    </row>
    <row r="727">
      <c r="A727" s="4" t="str">
        <f t="array" ref="A727">IF(COUNTIF(A$1:A726,Cotizador!F$2)=maxifs(Familias!E:E,Familias!D:D,Cotizador!F$2),IF(COUNTIF(A$1:A726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7" s="4" t="str">
        <f t="shared" si="1"/>
        <v/>
      </c>
      <c r="C727" s="4" t="str">
        <f t="array" ref="C727">IF(B727="","",IF(A727=XLOOKUP(A$2,Implementos!B:B,Implementos!C:C,"",0,1),B727+maxifs(B$1:B726,A$1:A726,A$2),B727))</f>
        <v/>
      </c>
      <c r="D727" s="4" t="str">
        <f>IF(B727="","", COUNTIFS(Productos!F:F,A727,Productos!H:H,B727)+IF(F727="SI",0,1))</f>
        <v/>
      </c>
      <c r="E727" s="4" t="str">
        <f>IFERROR(__xludf.DUMMYFUNCTION("IF($B727="""","""",INDEX(filter(Familias!F:F,Familias!$D:$D=$A727,Familias!$E:$E=$B727),1))"),"")</f>
        <v/>
      </c>
      <c r="F727" s="4" t="str">
        <f>IFERROR(__xludf.DUMMYFUNCTION("IF($B727="""","""",INDEX(filter(Familias!G:G,Familias!$D:$D=$A727,Familias!$E:$E=$B727),1))"),"")</f>
        <v/>
      </c>
      <c r="G727" s="4" t="str">
        <f t="array" ref="G727">IF(C727=1,XLOOKUP(C727,Cotizador!D:D,Cotizador!E:E,"",0,1),"")</f>
        <v/>
      </c>
      <c r="I727" s="4"/>
      <c r="J727" s="8" t="str">
        <f>IF(I727="","",SUMIF(Cotizador!I$1:V$1,I727,Cotizador!I$2:V$2))</f>
        <v/>
      </c>
      <c r="L727" s="4" t="str">
        <f t="array" ref="L727">IF(COUNTIF(L$1:L726,A$2)=SUMIF(A:A,A$2,D:D),IF(COUNTIF(L$1:L726,XLOOKUP(A$2,Implementos!B:B,Implementos!C:C,"",0,1))=SUMIF(A:A,XLOOKUP(A$2,Implementos!B:B,Implementos!C:C,"",0,1),D:D),"",XLOOKUP(A$2,Implementos!B:B,Implementos!C:C,"",0,1)),A$2)</f>
        <v/>
      </c>
      <c r="M727" s="4" t="str">
        <f t="shared" si="2"/>
        <v/>
      </c>
      <c r="N727" s="4" t="str">
        <f t="shared" si="3"/>
        <v/>
      </c>
      <c r="O727" s="4" t="str">
        <f t="shared" si="4"/>
        <v/>
      </c>
      <c r="P727" s="4" t="str">
        <f t="shared" si="5"/>
        <v/>
      </c>
      <c r="Q727" s="4" t="str">
        <f>IF(U727="","",SUMIF(Productos!E:E,U727,Productos!A:A))</f>
        <v/>
      </c>
      <c r="R727" s="4" t="str">
        <f t="array" ref="R727">IF(L727="","", max(1,SUMIF(I:I,XLOOKUP(U727,Productos!E:E,Productos!G:G,"",0,1),J:J)))</f>
        <v/>
      </c>
      <c r="S727" s="4" t="str">
        <f>IF(Q727="","",IF(SUMIFS(Compat_Vetado!D:D,Compat_Vetado!B:B,SUM(G:G),Compat_Vetado!C:C,Q727)=1,"SI",IF(OR(SUMIF(Cotizador!E:E,Q727,Cotizador!G:G)&gt;0,SUMIFS(Compat_Vetado!D:D,Compat_Vetado!B:B,SUM(G:G),Compat_Vetado!C:C,Q727)=-1),"NO","")))</f>
        <v/>
      </c>
      <c r="T727" s="4" t="str">
        <f t="shared" si="6"/>
        <v/>
      </c>
      <c r="U727" s="4" t="str">
        <f>IFERROR(__xludf.DUMMYFUNCTION("IF(P727="""","""",IFERROR(INDEX(filter(Productos!E:E,Productos!F:F=L727,Productos!H:H=N727),P727),IF(M727=SUM(D:D),""Finalizar"",""-"")))"),"")</f>
        <v/>
      </c>
      <c r="V727" s="4" t="str">
        <f>IFERROR(__xludf.DUMMYFUNCTION("IF(OR($U727="""",COUNTIF($I:$I,IFERROR(unique(filter(Prod_Prop!$H:$H,Prod_Prop!$G:$G=$U727,Prod_Prop!$E:$E=V$1)),""Check""))=0),"""",IFERROR(unique(filter(Prod_Prop!$H:$H,Prod_Prop!$G:$G=$U727,Prod_Prop!$E:$E=V$1)),""""))"),"")</f>
        <v/>
      </c>
      <c r="W727" s="4" t="str">
        <f>IF(V727="","",SUMIFS(Prod_Prop!$J:$J,Prod_Prop!$B:$B,$Q727,Prod_Prop!$H:$H,V727,Prod_Prop!$I:$I,W$1)*IF(V727="Peso",$R727,1))</f>
        <v/>
      </c>
      <c r="X727" s="4" t="str">
        <f>IF(V727="","",SUMIFS(Prod_Prop!$J:$J,Prod_Prop!$B:$B,$Q727,Prod_Prop!$H:$H,V727,Prod_Prop!$I:$I,X$1)*IF(V727="Peso",$R727,1))</f>
        <v/>
      </c>
      <c r="Y727" s="4" t="str">
        <f>IFERROR(__xludf.DUMMYFUNCTION("IF(OR($U727="""",COUNTIF($I:$I,IFERROR(unique(filter(Prod_Prop!$H:$H,Prod_Prop!$G:$G=$U727,Prod_Prop!$E:$E=Y$1)),""Check""))=0),"""",IFERROR(unique(filter(Prod_Prop!$H:$H,Prod_Prop!$G:$G=$U727,Prod_Prop!$E:$E=Y$1)),""""))"),"")</f>
        <v/>
      </c>
      <c r="Z727" s="4" t="str">
        <f>IF(Y727="","",SUMIFS(Prod_Prop!$J:$J,Prod_Prop!$B:$B,$Q727,Prod_Prop!$H:$H,Y727,Prod_Prop!$I:$I,Z$1)*IF(Y727="Peso",$R727,1))</f>
        <v/>
      </c>
      <c r="AA727" s="4" t="str">
        <f>IF(Y727="","",SUMIFS(Prod_Prop!$J:$J,Prod_Prop!$B:$B,$Q727,Prod_Prop!$H:$H,Y727,Prod_Prop!$I:$I,AA$1)*IF(Y727="Peso",$R727,1))</f>
        <v/>
      </c>
      <c r="AB727" s="4" t="str">
        <f>IFERROR(__xludf.DUMMYFUNCTION("IF(OR($U727="""",COUNTIF($I:$I,IFERROR(unique(filter(Prod_Prop!$H:$H,Prod_Prop!$G:$G=$U727,Prod_Prop!$E:$E=AB$1)),""Check""))=0),"""",IFERROR(unique(filter(Prod_Prop!$H:$H,Prod_Prop!$G:$G=$U727,Prod_Prop!$E:$E=AB$1)),""""))"),"")</f>
        <v/>
      </c>
      <c r="AC727" s="4" t="str">
        <f>IF(AB727="","",SUMIFS(Prod_Prop!$J:$J,Prod_Prop!$B:$B,$Q727,Prod_Prop!$H:$H,AB727,Prod_Prop!$I:$I,AC$1)*IF(AB727="Peso",$R727,1))</f>
        <v/>
      </c>
      <c r="AD727" s="4" t="str">
        <f>IF(AB727="","",SUMIFS(Prod_Prop!$J:$J,Prod_Prop!$B:$B,$Q727,Prod_Prop!$H:$H,AB727,Prod_Prop!$I:$I,AD$1)*IF(AB727="Peso",$R727,1))</f>
        <v/>
      </c>
    </row>
    <row r="728">
      <c r="A728" s="4" t="str">
        <f t="array" ref="A728">IF(COUNTIF(A$1:A727,Cotizador!F$2)=maxifs(Familias!E:E,Familias!D:D,Cotizador!F$2),IF(COUNTIF(A$1:A727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8" s="4" t="str">
        <f t="shared" si="1"/>
        <v/>
      </c>
      <c r="C728" s="4" t="str">
        <f t="array" ref="C728">IF(B728="","",IF(A728=XLOOKUP(A$2,Implementos!B:B,Implementos!C:C,"",0,1),B728+maxifs(B$1:B727,A$1:A727,A$2),B728))</f>
        <v/>
      </c>
      <c r="D728" s="4" t="str">
        <f>IF(B728="","", COUNTIFS(Productos!F:F,A728,Productos!H:H,B728)+IF(F728="SI",0,1))</f>
        <v/>
      </c>
      <c r="E728" s="4" t="str">
        <f>IFERROR(__xludf.DUMMYFUNCTION("IF($B728="""","""",INDEX(filter(Familias!F:F,Familias!$D:$D=$A728,Familias!$E:$E=$B728),1))"),"")</f>
        <v/>
      </c>
      <c r="F728" s="4" t="str">
        <f>IFERROR(__xludf.DUMMYFUNCTION("IF($B728="""","""",INDEX(filter(Familias!G:G,Familias!$D:$D=$A728,Familias!$E:$E=$B728),1))"),"")</f>
        <v/>
      </c>
      <c r="G728" s="4" t="str">
        <f t="array" ref="G728">IF(C728=1,XLOOKUP(C728,Cotizador!D:D,Cotizador!E:E,"",0,1),"")</f>
        <v/>
      </c>
      <c r="I728" s="4"/>
      <c r="J728" s="8" t="str">
        <f>IF(I728="","",SUMIF(Cotizador!I$1:V$1,I728,Cotizador!I$2:V$2))</f>
        <v/>
      </c>
      <c r="L728" s="4" t="str">
        <f t="array" ref="L728">IF(COUNTIF(L$1:L727,A$2)=SUMIF(A:A,A$2,D:D),IF(COUNTIF(L$1:L727,XLOOKUP(A$2,Implementos!B:B,Implementos!C:C,"",0,1))=SUMIF(A:A,XLOOKUP(A$2,Implementos!B:B,Implementos!C:C,"",0,1),D:D),"",XLOOKUP(A$2,Implementos!B:B,Implementos!C:C,"",0,1)),A$2)</f>
        <v/>
      </c>
      <c r="M728" s="4" t="str">
        <f t="shared" si="2"/>
        <v/>
      </c>
      <c r="N728" s="4" t="str">
        <f t="shared" si="3"/>
        <v/>
      </c>
      <c r="O728" s="4" t="str">
        <f t="shared" si="4"/>
        <v/>
      </c>
      <c r="P728" s="4" t="str">
        <f t="shared" si="5"/>
        <v/>
      </c>
      <c r="Q728" s="4" t="str">
        <f>IF(U728="","",SUMIF(Productos!E:E,U728,Productos!A:A))</f>
        <v/>
      </c>
      <c r="R728" s="4" t="str">
        <f t="array" ref="R728">IF(L728="","", max(1,SUMIF(I:I,XLOOKUP(U728,Productos!E:E,Productos!G:G,"",0,1),J:J)))</f>
        <v/>
      </c>
      <c r="S728" s="4" t="str">
        <f>IF(Q728="","",IF(SUMIFS(Compat_Vetado!D:D,Compat_Vetado!B:B,SUM(G:G),Compat_Vetado!C:C,Q728)=1,"SI",IF(OR(SUMIF(Cotizador!E:E,Q728,Cotizador!G:G)&gt;0,SUMIFS(Compat_Vetado!D:D,Compat_Vetado!B:B,SUM(G:G),Compat_Vetado!C:C,Q728)=-1),"NO","")))</f>
        <v/>
      </c>
      <c r="T728" s="4" t="str">
        <f t="shared" si="6"/>
        <v/>
      </c>
      <c r="U728" s="4" t="str">
        <f>IFERROR(__xludf.DUMMYFUNCTION("IF(P728="""","""",IFERROR(INDEX(filter(Productos!E:E,Productos!F:F=L728,Productos!H:H=N728),P728),IF(M728=SUM(D:D),""Finalizar"",""-"")))"),"")</f>
        <v/>
      </c>
      <c r="V728" s="4" t="str">
        <f>IFERROR(__xludf.DUMMYFUNCTION("IF(OR($U728="""",COUNTIF($I:$I,IFERROR(unique(filter(Prod_Prop!$H:$H,Prod_Prop!$G:$G=$U728,Prod_Prop!$E:$E=V$1)),""Check""))=0),"""",IFERROR(unique(filter(Prod_Prop!$H:$H,Prod_Prop!$G:$G=$U728,Prod_Prop!$E:$E=V$1)),""""))"),"")</f>
        <v/>
      </c>
      <c r="W728" s="4" t="str">
        <f>IF(V728="","",SUMIFS(Prod_Prop!$J:$J,Prod_Prop!$B:$B,$Q728,Prod_Prop!$H:$H,V728,Prod_Prop!$I:$I,W$1)*IF(V728="Peso",$R728,1))</f>
        <v/>
      </c>
      <c r="X728" s="4" t="str">
        <f>IF(V728="","",SUMIFS(Prod_Prop!$J:$J,Prod_Prop!$B:$B,$Q728,Prod_Prop!$H:$H,V728,Prod_Prop!$I:$I,X$1)*IF(V728="Peso",$R728,1))</f>
        <v/>
      </c>
      <c r="Y728" s="4" t="str">
        <f>IFERROR(__xludf.DUMMYFUNCTION("IF(OR($U728="""",COUNTIF($I:$I,IFERROR(unique(filter(Prod_Prop!$H:$H,Prod_Prop!$G:$G=$U728,Prod_Prop!$E:$E=Y$1)),""Check""))=0),"""",IFERROR(unique(filter(Prod_Prop!$H:$H,Prod_Prop!$G:$G=$U728,Prod_Prop!$E:$E=Y$1)),""""))"),"")</f>
        <v/>
      </c>
      <c r="Z728" s="4" t="str">
        <f>IF(Y728="","",SUMIFS(Prod_Prop!$J:$J,Prod_Prop!$B:$B,$Q728,Prod_Prop!$H:$H,Y728,Prod_Prop!$I:$I,Z$1)*IF(Y728="Peso",$R728,1))</f>
        <v/>
      </c>
      <c r="AA728" s="4" t="str">
        <f>IF(Y728="","",SUMIFS(Prod_Prop!$J:$J,Prod_Prop!$B:$B,$Q728,Prod_Prop!$H:$H,Y728,Prod_Prop!$I:$I,AA$1)*IF(Y728="Peso",$R728,1))</f>
        <v/>
      </c>
      <c r="AB728" s="4" t="str">
        <f>IFERROR(__xludf.DUMMYFUNCTION("IF(OR($U728="""",COUNTIF($I:$I,IFERROR(unique(filter(Prod_Prop!$H:$H,Prod_Prop!$G:$G=$U728,Prod_Prop!$E:$E=AB$1)),""Check""))=0),"""",IFERROR(unique(filter(Prod_Prop!$H:$H,Prod_Prop!$G:$G=$U728,Prod_Prop!$E:$E=AB$1)),""""))"),"")</f>
        <v/>
      </c>
      <c r="AC728" s="4" t="str">
        <f>IF(AB728="","",SUMIFS(Prod_Prop!$J:$J,Prod_Prop!$B:$B,$Q728,Prod_Prop!$H:$H,AB728,Prod_Prop!$I:$I,AC$1)*IF(AB728="Peso",$R728,1))</f>
        <v/>
      </c>
      <c r="AD728" s="4" t="str">
        <f>IF(AB728="","",SUMIFS(Prod_Prop!$J:$J,Prod_Prop!$B:$B,$Q728,Prod_Prop!$H:$H,AB728,Prod_Prop!$I:$I,AD$1)*IF(AB728="Peso",$R728,1))</f>
        <v/>
      </c>
    </row>
    <row r="729">
      <c r="A729" s="4" t="str">
        <f t="array" ref="A729">IF(COUNTIF(A$1:A728,Cotizador!F$2)=maxifs(Familias!E:E,Familias!D:D,Cotizador!F$2),IF(COUNTIF(A$1:A728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29" s="4" t="str">
        <f t="shared" si="1"/>
        <v/>
      </c>
      <c r="C729" s="4" t="str">
        <f t="array" ref="C729">IF(B729="","",IF(A729=XLOOKUP(A$2,Implementos!B:B,Implementos!C:C,"",0,1),B729+maxifs(B$1:B728,A$1:A728,A$2),B729))</f>
        <v/>
      </c>
      <c r="D729" s="4" t="str">
        <f>IF(B729="","", COUNTIFS(Productos!F:F,A729,Productos!H:H,B729)+IF(F729="SI",0,1))</f>
        <v/>
      </c>
      <c r="E729" s="4" t="str">
        <f>IFERROR(__xludf.DUMMYFUNCTION("IF($B729="""","""",INDEX(filter(Familias!F:F,Familias!$D:$D=$A729,Familias!$E:$E=$B729),1))"),"")</f>
        <v/>
      </c>
      <c r="F729" s="4" t="str">
        <f>IFERROR(__xludf.DUMMYFUNCTION("IF($B729="""","""",INDEX(filter(Familias!G:G,Familias!$D:$D=$A729,Familias!$E:$E=$B729),1))"),"")</f>
        <v/>
      </c>
      <c r="G729" s="4" t="str">
        <f t="array" ref="G729">IF(C729=1,XLOOKUP(C729,Cotizador!D:D,Cotizador!E:E,"",0,1),"")</f>
        <v/>
      </c>
      <c r="I729" s="4"/>
      <c r="J729" s="8" t="str">
        <f>IF(I729="","",SUMIF(Cotizador!I$1:V$1,I729,Cotizador!I$2:V$2))</f>
        <v/>
      </c>
      <c r="L729" s="4" t="str">
        <f t="array" ref="L729">IF(COUNTIF(L$1:L728,A$2)=SUMIF(A:A,A$2,D:D),IF(COUNTIF(L$1:L728,XLOOKUP(A$2,Implementos!B:B,Implementos!C:C,"",0,1))=SUMIF(A:A,XLOOKUP(A$2,Implementos!B:B,Implementos!C:C,"",0,1),D:D),"",XLOOKUP(A$2,Implementos!B:B,Implementos!C:C,"",0,1)),A$2)</f>
        <v/>
      </c>
      <c r="M729" s="4" t="str">
        <f t="shared" si="2"/>
        <v/>
      </c>
      <c r="N729" s="4" t="str">
        <f t="shared" si="3"/>
        <v/>
      </c>
      <c r="O729" s="4" t="str">
        <f t="shared" si="4"/>
        <v/>
      </c>
      <c r="P729" s="4" t="str">
        <f t="shared" si="5"/>
        <v/>
      </c>
      <c r="Q729" s="4" t="str">
        <f>IF(U729="","",SUMIF(Productos!E:E,U729,Productos!A:A))</f>
        <v/>
      </c>
      <c r="R729" s="4" t="str">
        <f t="array" ref="R729">IF(L729="","", max(1,SUMIF(I:I,XLOOKUP(U729,Productos!E:E,Productos!G:G,"",0,1),J:J)))</f>
        <v/>
      </c>
      <c r="S729" s="4" t="str">
        <f>IF(Q729="","",IF(SUMIFS(Compat_Vetado!D:D,Compat_Vetado!B:B,SUM(G:G),Compat_Vetado!C:C,Q729)=1,"SI",IF(OR(SUMIF(Cotizador!E:E,Q729,Cotizador!G:G)&gt;0,SUMIFS(Compat_Vetado!D:D,Compat_Vetado!B:B,SUM(G:G),Compat_Vetado!C:C,Q729)=-1),"NO","")))</f>
        <v/>
      </c>
      <c r="T729" s="4" t="str">
        <f t="shared" si="6"/>
        <v/>
      </c>
      <c r="U729" s="4" t="str">
        <f>IFERROR(__xludf.DUMMYFUNCTION("IF(P729="""","""",IFERROR(INDEX(filter(Productos!E:E,Productos!F:F=L729,Productos!H:H=N729),P729),IF(M729=SUM(D:D),""Finalizar"",""-"")))"),"")</f>
        <v/>
      </c>
      <c r="V729" s="4" t="str">
        <f>IFERROR(__xludf.DUMMYFUNCTION("IF(OR($U729="""",COUNTIF($I:$I,IFERROR(unique(filter(Prod_Prop!$H:$H,Prod_Prop!$G:$G=$U729,Prod_Prop!$E:$E=V$1)),""Check""))=0),"""",IFERROR(unique(filter(Prod_Prop!$H:$H,Prod_Prop!$G:$G=$U729,Prod_Prop!$E:$E=V$1)),""""))"),"")</f>
        <v/>
      </c>
      <c r="W729" s="4" t="str">
        <f>IF(V729="","",SUMIFS(Prod_Prop!$J:$J,Prod_Prop!$B:$B,$Q729,Prod_Prop!$H:$H,V729,Prod_Prop!$I:$I,W$1)*IF(V729="Peso",$R729,1))</f>
        <v/>
      </c>
      <c r="X729" s="4" t="str">
        <f>IF(V729="","",SUMIFS(Prod_Prop!$J:$J,Prod_Prop!$B:$B,$Q729,Prod_Prop!$H:$H,V729,Prod_Prop!$I:$I,X$1)*IF(V729="Peso",$R729,1))</f>
        <v/>
      </c>
      <c r="Y729" s="4" t="str">
        <f>IFERROR(__xludf.DUMMYFUNCTION("IF(OR($U729="""",COUNTIF($I:$I,IFERROR(unique(filter(Prod_Prop!$H:$H,Prod_Prop!$G:$G=$U729,Prod_Prop!$E:$E=Y$1)),""Check""))=0),"""",IFERROR(unique(filter(Prod_Prop!$H:$H,Prod_Prop!$G:$G=$U729,Prod_Prop!$E:$E=Y$1)),""""))"),"")</f>
        <v/>
      </c>
      <c r="Z729" s="4" t="str">
        <f>IF(Y729="","",SUMIFS(Prod_Prop!$J:$J,Prod_Prop!$B:$B,$Q729,Prod_Prop!$H:$H,Y729,Prod_Prop!$I:$I,Z$1)*IF(Y729="Peso",$R729,1))</f>
        <v/>
      </c>
      <c r="AA729" s="4" t="str">
        <f>IF(Y729="","",SUMIFS(Prod_Prop!$J:$J,Prod_Prop!$B:$B,$Q729,Prod_Prop!$H:$H,Y729,Prod_Prop!$I:$I,AA$1)*IF(Y729="Peso",$R729,1))</f>
        <v/>
      </c>
      <c r="AB729" s="4" t="str">
        <f>IFERROR(__xludf.DUMMYFUNCTION("IF(OR($U729="""",COUNTIF($I:$I,IFERROR(unique(filter(Prod_Prop!$H:$H,Prod_Prop!$G:$G=$U729,Prod_Prop!$E:$E=AB$1)),""Check""))=0),"""",IFERROR(unique(filter(Prod_Prop!$H:$H,Prod_Prop!$G:$G=$U729,Prod_Prop!$E:$E=AB$1)),""""))"),"")</f>
        <v/>
      </c>
      <c r="AC729" s="4" t="str">
        <f>IF(AB729="","",SUMIFS(Prod_Prop!$J:$J,Prod_Prop!$B:$B,$Q729,Prod_Prop!$H:$H,AB729,Prod_Prop!$I:$I,AC$1)*IF(AB729="Peso",$R729,1))</f>
        <v/>
      </c>
      <c r="AD729" s="4" t="str">
        <f>IF(AB729="","",SUMIFS(Prod_Prop!$J:$J,Prod_Prop!$B:$B,$Q729,Prod_Prop!$H:$H,AB729,Prod_Prop!$I:$I,AD$1)*IF(AB729="Peso",$R729,1))</f>
        <v/>
      </c>
    </row>
    <row r="730">
      <c r="A730" s="4" t="str">
        <f t="array" ref="A730">IF(COUNTIF(A$1:A729,Cotizador!F$2)=maxifs(Familias!E:E,Familias!D:D,Cotizador!F$2),IF(COUNTIF(A$1:A729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0" s="4" t="str">
        <f t="shared" si="1"/>
        <v/>
      </c>
      <c r="C730" s="4" t="str">
        <f t="array" ref="C730">IF(B730="","",IF(A730=XLOOKUP(A$2,Implementos!B:B,Implementos!C:C,"",0,1),B730+maxifs(B$1:B729,A$1:A729,A$2),B730))</f>
        <v/>
      </c>
      <c r="D730" s="4" t="str">
        <f>IF(B730="","", COUNTIFS(Productos!F:F,A730,Productos!H:H,B730)+IF(F730="SI",0,1))</f>
        <v/>
      </c>
      <c r="E730" s="4" t="str">
        <f>IFERROR(__xludf.DUMMYFUNCTION("IF($B730="""","""",INDEX(filter(Familias!F:F,Familias!$D:$D=$A730,Familias!$E:$E=$B730),1))"),"")</f>
        <v/>
      </c>
      <c r="F730" s="4" t="str">
        <f>IFERROR(__xludf.DUMMYFUNCTION("IF($B730="""","""",INDEX(filter(Familias!G:G,Familias!$D:$D=$A730,Familias!$E:$E=$B730),1))"),"")</f>
        <v/>
      </c>
      <c r="G730" s="4" t="str">
        <f t="array" ref="G730">IF(C730=1,XLOOKUP(C730,Cotizador!D:D,Cotizador!E:E,"",0,1),"")</f>
        <v/>
      </c>
      <c r="I730" s="4"/>
      <c r="J730" s="8" t="str">
        <f>IF(I730="","",SUMIF(Cotizador!I$1:V$1,I730,Cotizador!I$2:V$2))</f>
        <v/>
      </c>
      <c r="L730" s="4" t="str">
        <f t="array" ref="L730">IF(COUNTIF(L$1:L729,A$2)=SUMIF(A:A,A$2,D:D),IF(COUNTIF(L$1:L729,XLOOKUP(A$2,Implementos!B:B,Implementos!C:C,"",0,1))=SUMIF(A:A,XLOOKUP(A$2,Implementos!B:B,Implementos!C:C,"",0,1),D:D),"",XLOOKUP(A$2,Implementos!B:B,Implementos!C:C,"",0,1)),A$2)</f>
        <v/>
      </c>
      <c r="M730" s="4" t="str">
        <f t="shared" si="2"/>
        <v/>
      </c>
      <c r="N730" s="4" t="str">
        <f t="shared" si="3"/>
        <v/>
      </c>
      <c r="O730" s="4" t="str">
        <f t="shared" si="4"/>
        <v/>
      </c>
      <c r="P730" s="4" t="str">
        <f t="shared" si="5"/>
        <v/>
      </c>
      <c r="Q730" s="4" t="str">
        <f>IF(U730="","",SUMIF(Productos!E:E,U730,Productos!A:A))</f>
        <v/>
      </c>
      <c r="R730" s="4" t="str">
        <f t="array" ref="R730">IF(L730="","", max(1,SUMIF(I:I,XLOOKUP(U730,Productos!E:E,Productos!G:G,"",0,1),J:J)))</f>
        <v/>
      </c>
      <c r="S730" s="4" t="str">
        <f>IF(Q730="","",IF(SUMIFS(Compat_Vetado!D:D,Compat_Vetado!B:B,SUM(G:G),Compat_Vetado!C:C,Q730)=1,"SI",IF(OR(SUMIF(Cotizador!E:E,Q730,Cotizador!G:G)&gt;0,SUMIFS(Compat_Vetado!D:D,Compat_Vetado!B:B,SUM(G:G),Compat_Vetado!C:C,Q730)=-1),"NO","")))</f>
        <v/>
      </c>
      <c r="T730" s="4" t="str">
        <f t="shared" si="6"/>
        <v/>
      </c>
      <c r="U730" s="4" t="str">
        <f>IFERROR(__xludf.DUMMYFUNCTION("IF(P730="""","""",IFERROR(INDEX(filter(Productos!E:E,Productos!F:F=L730,Productos!H:H=N730),P730),IF(M730=SUM(D:D),""Finalizar"",""-"")))"),"")</f>
        <v/>
      </c>
      <c r="V730" s="4" t="str">
        <f>IFERROR(__xludf.DUMMYFUNCTION("IF(OR($U730="""",COUNTIF($I:$I,IFERROR(unique(filter(Prod_Prop!$H:$H,Prod_Prop!$G:$G=$U730,Prod_Prop!$E:$E=V$1)),""Check""))=0),"""",IFERROR(unique(filter(Prod_Prop!$H:$H,Prod_Prop!$G:$G=$U730,Prod_Prop!$E:$E=V$1)),""""))"),"")</f>
        <v/>
      </c>
      <c r="W730" s="4" t="str">
        <f>IF(V730="","",SUMIFS(Prod_Prop!$J:$J,Prod_Prop!$B:$B,$Q730,Prod_Prop!$H:$H,V730,Prod_Prop!$I:$I,W$1)*IF(V730="Peso",$R730,1))</f>
        <v/>
      </c>
      <c r="X730" s="4" t="str">
        <f>IF(V730="","",SUMIFS(Prod_Prop!$J:$J,Prod_Prop!$B:$B,$Q730,Prod_Prop!$H:$H,V730,Prod_Prop!$I:$I,X$1)*IF(V730="Peso",$R730,1))</f>
        <v/>
      </c>
      <c r="Y730" s="4" t="str">
        <f>IFERROR(__xludf.DUMMYFUNCTION("IF(OR($U730="""",COUNTIF($I:$I,IFERROR(unique(filter(Prod_Prop!$H:$H,Prod_Prop!$G:$G=$U730,Prod_Prop!$E:$E=Y$1)),""Check""))=0),"""",IFERROR(unique(filter(Prod_Prop!$H:$H,Prod_Prop!$G:$G=$U730,Prod_Prop!$E:$E=Y$1)),""""))"),"")</f>
        <v/>
      </c>
      <c r="Z730" s="4" t="str">
        <f>IF(Y730="","",SUMIFS(Prod_Prop!$J:$J,Prod_Prop!$B:$B,$Q730,Prod_Prop!$H:$H,Y730,Prod_Prop!$I:$I,Z$1)*IF(Y730="Peso",$R730,1))</f>
        <v/>
      </c>
      <c r="AA730" s="4" t="str">
        <f>IF(Y730="","",SUMIFS(Prod_Prop!$J:$J,Prod_Prop!$B:$B,$Q730,Prod_Prop!$H:$H,Y730,Prod_Prop!$I:$I,AA$1)*IF(Y730="Peso",$R730,1))</f>
        <v/>
      </c>
      <c r="AB730" s="4" t="str">
        <f>IFERROR(__xludf.DUMMYFUNCTION("IF(OR($U730="""",COUNTIF($I:$I,IFERROR(unique(filter(Prod_Prop!$H:$H,Prod_Prop!$G:$G=$U730,Prod_Prop!$E:$E=AB$1)),""Check""))=0),"""",IFERROR(unique(filter(Prod_Prop!$H:$H,Prod_Prop!$G:$G=$U730,Prod_Prop!$E:$E=AB$1)),""""))"),"")</f>
        <v/>
      </c>
      <c r="AC730" s="4" t="str">
        <f>IF(AB730="","",SUMIFS(Prod_Prop!$J:$J,Prod_Prop!$B:$B,$Q730,Prod_Prop!$H:$H,AB730,Prod_Prop!$I:$I,AC$1)*IF(AB730="Peso",$R730,1))</f>
        <v/>
      </c>
      <c r="AD730" s="4" t="str">
        <f>IF(AB730="","",SUMIFS(Prod_Prop!$J:$J,Prod_Prop!$B:$B,$Q730,Prod_Prop!$H:$H,AB730,Prod_Prop!$I:$I,AD$1)*IF(AB730="Peso",$R730,1))</f>
        <v/>
      </c>
    </row>
    <row r="731">
      <c r="A731" s="4" t="str">
        <f t="array" ref="A731">IF(COUNTIF(A$1:A730,Cotizador!F$2)=maxifs(Familias!E:E,Familias!D:D,Cotizador!F$2),IF(COUNTIF(A$1:A730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1" s="4" t="str">
        <f t="shared" si="1"/>
        <v/>
      </c>
      <c r="C731" s="4" t="str">
        <f t="array" ref="C731">IF(B731="","",IF(A731=XLOOKUP(A$2,Implementos!B:B,Implementos!C:C,"",0,1),B731+maxifs(B$1:B730,A$1:A730,A$2),B731))</f>
        <v/>
      </c>
      <c r="D731" s="4" t="str">
        <f>IF(B731="","", COUNTIFS(Productos!F:F,A731,Productos!H:H,B731)+IF(F731="SI",0,1))</f>
        <v/>
      </c>
      <c r="E731" s="4" t="str">
        <f>IFERROR(__xludf.DUMMYFUNCTION("IF($B731="""","""",INDEX(filter(Familias!F:F,Familias!$D:$D=$A731,Familias!$E:$E=$B731),1))"),"")</f>
        <v/>
      </c>
      <c r="F731" s="4" t="str">
        <f>IFERROR(__xludf.DUMMYFUNCTION("IF($B731="""","""",INDEX(filter(Familias!G:G,Familias!$D:$D=$A731,Familias!$E:$E=$B731),1))"),"")</f>
        <v/>
      </c>
      <c r="G731" s="4" t="str">
        <f t="array" ref="G731">IF(C731=1,XLOOKUP(C731,Cotizador!D:D,Cotizador!E:E,"",0,1),"")</f>
        <v/>
      </c>
      <c r="I731" s="4"/>
      <c r="J731" s="8" t="str">
        <f>IF(I731="","",SUMIF(Cotizador!I$1:V$1,I731,Cotizador!I$2:V$2))</f>
        <v/>
      </c>
      <c r="L731" s="4" t="str">
        <f t="array" ref="L731">IF(COUNTIF(L$1:L730,A$2)=SUMIF(A:A,A$2,D:D),IF(COUNTIF(L$1:L730,XLOOKUP(A$2,Implementos!B:B,Implementos!C:C,"",0,1))=SUMIF(A:A,XLOOKUP(A$2,Implementos!B:B,Implementos!C:C,"",0,1),D:D),"",XLOOKUP(A$2,Implementos!B:B,Implementos!C:C,"",0,1)),A$2)</f>
        <v/>
      </c>
      <c r="M731" s="4" t="str">
        <f t="shared" si="2"/>
        <v/>
      </c>
      <c r="N731" s="4" t="str">
        <f t="shared" si="3"/>
        <v/>
      </c>
      <c r="O731" s="4" t="str">
        <f t="shared" si="4"/>
        <v/>
      </c>
      <c r="P731" s="4" t="str">
        <f t="shared" si="5"/>
        <v/>
      </c>
      <c r="Q731" s="4" t="str">
        <f>IF(U731="","",SUMIF(Productos!E:E,U731,Productos!A:A))</f>
        <v/>
      </c>
      <c r="R731" s="4" t="str">
        <f t="array" ref="R731">IF(L731="","", max(1,SUMIF(I:I,XLOOKUP(U731,Productos!E:E,Productos!G:G,"",0,1),J:J)))</f>
        <v/>
      </c>
      <c r="S731" s="4" t="str">
        <f>IF(Q731="","",IF(SUMIFS(Compat_Vetado!D:D,Compat_Vetado!B:B,SUM(G:G),Compat_Vetado!C:C,Q731)=1,"SI",IF(OR(SUMIF(Cotizador!E:E,Q731,Cotizador!G:G)&gt;0,SUMIFS(Compat_Vetado!D:D,Compat_Vetado!B:B,SUM(G:G),Compat_Vetado!C:C,Q731)=-1),"NO","")))</f>
        <v/>
      </c>
      <c r="T731" s="4" t="str">
        <f t="shared" si="6"/>
        <v/>
      </c>
      <c r="U731" s="4" t="str">
        <f>IFERROR(__xludf.DUMMYFUNCTION("IF(P731="""","""",IFERROR(INDEX(filter(Productos!E:E,Productos!F:F=L731,Productos!H:H=N731),P731),IF(M731=SUM(D:D),""Finalizar"",""-"")))"),"")</f>
        <v/>
      </c>
      <c r="V731" s="4" t="str">
        <f>IFERROR(__xludf.DUMMYFUNCTION("IF(OR($U731="""",COUNTIF($I:$I,IFERROR(unique(filter(Prod_Prop!$H:$H,Prod_Prop!$G:$G=$U731,Prod_Prop!$E:$E=V$1)),""Check""))=0),"""",IFERROR(unique(filter(Prod_Prop!$H:$H,Prod_Prop!$G:$G=$U731,Prod_Prop!$E:$E=V$1)),""""))"),"")</f>
        <v/>
      </c>
      <c r="W731" s="4" t="str">
        <f>IF(V731="","",SUMIFS(Prod_Prop!$J:$J,Prod_Prop!$B:$B,$Q731,Prod_Prop!$H:$H,V731,Prod_Prop!$I:$I,W$1)*IF(V731="Peso",$R731,1))</f>
        <v/>
      </c>
      <c r="X731" s="4" t="str">
        <f>IF(V731="","",SUMIFS(Prod_Prop!$J:$J,Prod_Prop!$B:$B,$Q731,Prod_Prop!$H:$H,V731,Prod_Prop!$I:$I,X$1)*IF(V731="Peso",$R731,1))</f>
        <v/>
      </c>
      <c r="Y731" s="4" t="str">
        <f>IFERROR(__xludf.DUMMYFUNCTION("IF(OR($U731="""",COUNTIF($I:$I,IFERROR(unique(filter(Prod_Prop!$H:$H,Prod_Prop!$G:$G=$U731,Prod_Prop!$E:$E=Y$1)),""Check""))=0),"""",IFERROR(unique(filter(Prod_Prop!$H:$H,Prod_Prop!$G:$G=$U731,Prod_Prop!$E:$E=Y$1)),""""))"),"")</f>
        <v/>
      </c>
      <c r="Z731" s="4" t="str">
        <f>IF(Y731="","",SUMIFS(Prod_Prop!$J:$J,Prod_Prop!$B:$B,$Q731,Prod_Prop!$H:$H,Y731,Prod_Prop!$I:$I,Z$1)*IF(Y731="Peso",$R731,1))</f>
        <v/>
      </c>
      <c r="AA731" s="4" t="str">
        <f>IF(Y731="","",SUMIFS(Prod_Prop!$J:$J,Prod_Prop!$B:$B,$Q731,Prod_Prop!$H:$H,Y731,Prod_Prop!$I:$I,AA$1)*IF(Y731="Peso",$R731,1))</f>
        <v/>
      </c>
      <c r="AB731" s="4" t="str">
        <f>IFERROR(__xludf.DUMMYFUNCTION("IF(OR($U731="""",COUNTIF($I:$I,IFERROR(unique(filter(Prod_Prop!$H:$H,Prod_Prop!$G:$G=$U731,Prod_Prop!$E:$E=AB$1)),""Check""))=0),"""",IFERROR(unique(filter(Prod_Prop!$H:$H,Prod_Prop!$G:$G=$U731,Prod_Prop!$E:$E=AB$1)),""""))"),"")</f>
        <v/>
      </c>
      <c r="AC731" s="4" t="str">
        <f>IF(AB731="","",SUMIFS(Prod_Prop!$J:$J,Prod_Prop!$B:$B,$Q731,Prod_Prop!$H:$H,AB731,Prod_Prop!$I:$I,AC$1)*IF(AB731="Peso",$R731,1))</f>
        <v/>
      </c>
      <c r="AD731" s="4" t="str">
        <f>IF(AB731="","",SUMIFS(Prod_Prop!$J:$J,Prod_Prop!$B:$B,$Q731,Prod_Prop!$H:$H,AB731,Prod_Prop!$I:$I,AD$1)*IF(AB731="Peso",$R731,1))</f>
        <v/>
      </c>
    </row>
    <row r="732">
      <c r="A732" s="4" t="str">
        <f t="array" ref="A732">IF(COUNTIF(A$1:A731,Cotizador!F$2)=maxifs(Familias!E:E,Familias!D:D,Cotizador!F$2),IF(COUNTIF(A$1:A731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2" s="4" t="str">
        <f t="shared" si="1"/>
        <v/>
      </c>
      <c r="C732" s="4" t="str">
        <f t="array" ref="C732">IF(B732="","",IF(A732=XLOOKUP(A$2,Implementos!B:B,Implementos!C:C,"",0,1),B732+maxifs(B$1:B731,A$1:A731,A$2),B732))</f>
        <v/>
      </c>
      <c r="D732" s="4" t="str">
        <f>IF(B732="","", COUNTIFS(Productos!F:F,A732,Productos!H:H,B732)+IF(F732="SI",0,1))</f>
        <v/>
      </c>
      <c r="E732" s="4" t="str">
        <f>IFERROR(__xludf.DUMMYFUNCTION("IF($B732="""","""",INDEX(filter(Familias!F:F,Familias!$D:$D=$A732,Familias!$E:$E=$B732),1))"),"")</f>
        <v/>
      </c>
      <c r="F732" s="4" t="str">
        <f>IFERROR(__xludf.DUMMYFUNCTION("IF($B732="""","""",INDEX(filter(Familias!G:G,Familias!$D:$D=$A732,Familias!$E:$E=$B732),1))"),"")</f>
        <v/>
      </c>
      <c r="G732" s="4" t="str">
        <f t="array" ref="G732">IF(C732=1,XLOOKUP(C732,Cotizador!D:D,Cotizador!E:E,"",0,1),"")</f>
        <v/>
      </c>
      <c r="I732" s="4"/>
      <c r="J732" s="8" t="str">
        <f>IF(I732="","",SUMIF(Cotizador!I$1:V$1,I732,Cotizador!I$2:V$2))</f>
        <v/>
      </c>
      <c r="L732" s="4" t="str">
        <f t="array" ref="L732">IF(COUNTIF(L$1:L731,A$2)=SUMIF(A:A,A$2,D:D),IF(COUNTIF(L$1:L731,XLOOKUP(A$2,Implementos!B:B,Implementos!C:C,"",0,1))=SUMIF(A:A,XLOOKUP(A$2,Implementos!B:B,Implementos!C:C,"",0,1),D:D),"",XLOOKUP(A$2,Implementos!B:B,Implementos!C:C,"",0,1)),A$2)</f>
        <v/>
      </c>
      <c r="M732" s="4" t="str">
        <f t="shared" si="2"/>
        <v/>
      </c>
      <c r="N732" s="4" t="str">
        <f t="shared" si="3"/>
        <v/>
      </c>
      <c r="O732" s="4" t="str">
        <f t="shared" si="4"/>
        <v/>
      </c>
      <c r="P732" s="4" t="str">
        <f t="shared" si="5"/>
        <v/>
      </c>
      <c r="Q732" s="4" t="str">
        <f>IF(U732="","",SUMIF(Productos!E:E,U732,Productos!A:A))</f>
        <v/>
      </c>
      <c r="R732" s="4" t="str">
        <f t="array" ref="R732">IF(L732="","", max(1,SUMIF(I:I,XLOOKUP(U732,Productos!E:E,Productos!G:G,"",0,1),J:J)))</f>
        <v/>
      </c>
      <c r="S732" s="4" t="str">
        <f>IF(Q732="","",IF(SUMIFS(Compat_Vetado!D:D,Compat_Vetado!B:B,SUM(G:G),Compat_Vetado!C:C,Q732)=1,"SI",IF(OR(SUMIF(Cotizador!E:E,Q732,Cotizador!G:G)&gt;0,SUMIFS(Compat_Vetado!D:D,Compat_Vetado!B:B,SUM(G:G),Compat_Vetado!C:C,Q732)=-1),"NO","")))</f>
        <v/>
      </c>
      <c r="T732" s="4" t="str">
        <f t="shared" si="6"/>
        <v/>
      </c>
      <c r="U732" s="4" t="str">
        <f>IFERROR(__xludf.DUMMYFUNCTION("IF(P732="""","""",IFERROR(INDEX(filter(Productos!E:E,Productos!F:F=L732,Productos!H:H=N732),P732),IF(M732=SUM(D:D),""Finalizar"",""-"")))"),"")</f>
        <v/>
      </c>
      <c r="V732" s="4" t="str">
        <f>IFERROR(__xludf.DUMMYFUNCTION("IF(OR($U732="""",COUNTIF($I:$I,IFERROR(unique(filter(Prod_Prop!$H:$H,Prod_Prop!$G:$G=$U732,Prod_Prop!$E:$E=V$1)),""Check""))=0),"""",IFERROR(unique(filter(Prod_Prop!$H:$H,Prod_Prop!$G:$G=$U732,Prod_Prop!$E:$E=V$1)),""""))"),"")</f>
        <v/>
      </c>
      <c r="W732" s="4" t="str">
        <f>IF(V732="","",SUMIFS(Prod_Prop!$J:$J,Prod_Prop!$B:$B,$Q732,Prod_Prop!$H:$H,V732,Prod_Prop!$I:$I,W$1)*IF(V732="Peso",$R732,1))</f>
        <v/>
      </c>
      <c r="X732" s="4" t="str">
        <f>IF(V732="","",SUMIFS(Prod_Prop!$J:$J,Prod_Prop!$B:$B,$Q732,Prod_Prop!$H:$H,V732,Prod_Prop!$I:$I,X$1)*IF(V732="Peso",$R732,1))</f>
        <v/>
      </c>
      <c r="Y732" s="4" t="str">
        <f>IFERROR(__xludf.DUMMYFUNCTION("IF(OR($U732="""",COUNTIF($I:$I,IFERROR(unique(filter(Prod_Prop!$H:$H,Prod_Prop!$G:$G=$U732,Prod_Prop!$E:$E=Y$1)),""Check""))=0),"""",IFERROR(unique(filter(Prod_Prop!$H:$H,Prod_Prop!$G:$G=$U732,Prod_Prop!$E:$E=Y$1)),""""))"),"")</f>
        <v/>
      </c>
      <c r="Z732" s="4" t="str">
        <f>IF(Y732="","",SUMIFS(Prod_Prop!$J:$J,Prod_Prop!$B:$B,$Q732,Prod_Prop!$H:$H,Y732,Prod_Prop!$I:$I,Z$1)*IF(Y732="Peso",$R732,1))</f>
        <v/>
      </c>
      <c r="AA732" s="4" t="str">
        <f>IF(Y732="","",SUMIFS(Prod_Prop!$J:$J,Prod_Prop!$B:$B,$Q732,Prod_Prop!$H:$H,Y732,Prod_Prop!$I:$I,AA$1)*IF(Y732="Peso",$R732,1))</f>
        <v/>
      </c>
      <c r="AB732" s="4" t="str">
        <f>IFERROR(__xludf.DUMMYFUNCTION("IF(OR($U732="""",COUNTIF($I:$I,IFERROR(unique(filter(Prod_Prop!$H:$H,Prod_Prop!$G:$G=$U732,Prod_Prop!$E:$E=AB$1)),""Check""))=0),"""",IFERROR(unique(filter(Prod_Prop!$H:$H,Prod_Prop!$G:$G=$U732,Prod_Prop!$E:$E=AB$1)),""""))"),"")</f>
        <v/>
      </c>
      <c r="AC732" s="4" t="str">
        <f>IF(AB732="","",SUMIFS(Prod_Prop!$J:$J,Prod_Prop!$B:$B,$Q732,Prod_Prop!$H:$H,AB732,Prod_Prop!$I:$I,AC$1)*IF(AB732="Peso",$R732,1))</f>
        <v/>
      </c>
      <c r="AD732" s="4" t="str">
        <f>IF(AB732="","",SUMIFS(Prod_Prop!$J:$J,Prod_Prop!$B:$B,$Q732,Prod_Prop!$H:$H,AB732,Prod_Prop!$I:$I,AD$1)*IF(AB732="Peso",$R732,1))</f>
        <v/>
      </c>
    </row>
    <row r="733">
      <c r="A733" s="4" t="str">
        <f t="array" ref="A733">IF(COUNTIF(A$1:A732,Cotizador!F$2)=maxifs(Familias!E:E,Familias!D:D,Cotizador!F$2),IF(COUNTIF(A$1:A732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3" s="4" t="str">
        <f t="shared" si="1"/>
        <v/>
      </c>
      <c r="C733" s="4" t="str">
        <f t="array" ref="C733">IF(B733="","",IF(A733=XLOOKUP(A$2,Implementos!B:B,Implementos!C:C,"",0,1),B733+maxifs(B$1:B732,A$1:A732,A$2),B733))</f>
        <v/>
      </c>
      <c r="D733" s="4" t="str">
        <f>IF(B733="","", COUNTIFS(Productos!F:F,A733,Productos!H:H,B733)+IF(F733="SI",0,1))</f>
        <v/>
      </c>
      <c r="E733" s="4" t="str">
        <f>IFERROR(__xludf.DUMMYFUNCTION("IF($B733="""","""",INDEX(filter(Familias!F:F,Familias!$D:$D=$A733,Familias!$E:$E=$B733),1))"),"")</f>
        <v/>
      </c>
      <c r="F733" s="4" t="str">
        <f>IFERROR(__xludf.DUMMYFUNCTION("IF($B733="""","""",INDEX(filter(Familias!G:G,Familias!$D:$D=$A733,Familias!$E:$E=$B733),1))"),"")</f>
        <v/>
      </c>
      <c r="G733" s="4" t="str">
        <f t="array" ref="G733">IF(C733=1,XLOOKUP(C733,Cotizador!D:D,Cotizador!E:E,"",0,1),"")</f>
        <v/>
      </c>
      <c r="I733" s="4"/>
      <c r="J733" s="8" t="str">
        <f>IF(I733="","",SUMIF(Cotizador!I$1:V$1,I733,Cotizador!I$2:V$2))</f>
        <v/>
      </c>
      <c r="L733" s="4" t="str">
        <f t="array" ref="L733">IF(COUNTIF(L$1:L732,A$2)=SUMIF(A:A,A$2,D:D),IF(COUNTIF(L$1:L732,XLOOKUP(A$2,Implementos!B:B,Implementos!C:C,"",0,1))=SUMIF(A:A,XLOOKUP(A$2,Implementos!B:B,Implementos!C:C,"",0,1),D:D),"",XLOOKUP(A$2,Implementos!B:B,Implementos!C:C,"",0,1)),A$2)</f>
        <v/>
      </c>
      <c r="M733" s="4" t="str">
        <f t="shared" si="2"/>
        <v/>
      </c>
      <c r="N733" s="4" t="str">
        <f t="shared" si="3"/>
        <v/>
      </c>
      <c r="O733" s="4" t="str">
        <f t="shared" si="4"/>
        <v/>
      </c>
      <c r="P733" s="4" t="str">
        <f t="shared" si="5"/>
        <v/>
      </c>
      <c r="Q733" s="4" t="str">
        <f>IF(U733="","",SUMIF(Productos!E:E,U733,Productos!A:A))</f>
        <v/>
      </c>
      <c r="R733" s="4" t="str">
        <f t="array" ref="R733">IF(L733="","", max(1,SUMIF(I:I,XLOOKUP(U733,Productos!E:E,Productos!G:G,"",0,1),J:J)))</f>
        <v/>
      </c>
      <c r="S733" s="4" t="str">
        <f>IF(Q733="","",IF(SUMIFS(Compat_Vetado!D:D,Compat_Vetado!B:B,SUM(G:G),Compat_Vetado!C:C,Q733)=1,"SI",IF(OR(SUMIF(Cotizador!E:E,Q733,Cotizador!G:G)&gt;0,SUMIFS(Compat_Vetado!D:D,Compat_Vetado!B:B,SUM(G:G),Compat_Vetado!C:C,Q733)=-1),"NO","")))</f>
        <v/>
      </c>
      <c r="T733" s="4" t="str">
        <f t="shared" si="6"/>
        <v/>
      </c>
      <c r="U733" s="4" t="str">
        <f>IFERROR(__xludf.DUMMYFUNCTION("IF(P733="""","""",IFERROR(INDEX(filter(Productos!E:E,Productos!F:F=L733,Productos!H:H=N733),P733),IF(M733=SUM(D:D),""Finalizar"",""-"")))"),"")</f>
        <v/>
      </c>
      <c r="V733" s="4" t="str">
        <f>IFERROR(__xludf.DUMMYFUNCTION("IF(OR($U733="""",COUNTIF($I:$I,IFERROR(unique(filter(Prod_Prop!$H:$H,Prod_Prop!$G:$G=$U733,Prod_Prop!$E:$E=V$1)),""Check""))=0),"""",IFERROR(unique(filter(Prod_Prop!$H:$H,Prod_Prop!$G:$G=$U733,Prod_Prop!$E:$E=V$1)),""""))"),"")</f>
        <v/>
      </c>
      <c r="W733" s="4" t="str">
        <f>IF(V733="","",SUMIFS(Prod_Prop!$J:$J,Prod_Prop!$B:$B,$Q733,Prod_Prop!$H:$H,V733,Prod_Prop!$I:$I,W$1)*IF(V733="Peso",$R733,1))</f>
        <v/>
      </c>
      <c r="X733" s="4" t="str">
        <f>IF(V733="","",SUMIFS(Prod_Prop!$J:$J,Prod_Prop!$B:$B,$Q733,Prod_Prop!$H:$H,V733,Prod_Prop!$I:$I,X$1)*IF(V733="Peso",$R733,1))</f>
        <v/>
      </c>
      <c r="Y733" s="4" t="str">
        <f>IFERROR(__xludf.DUMMYFUNCTION("IF(OR($U733="""",COUNTIF($I:$I,IFERROR(unique(filter(Prod_Prop!$H:$H,Prod_Prop!$G:$G=$U733,Prod_Prop!$E:$E=Y$1)),""Check""))=0),"""",IFERROR(unique(filter(Prod_Prop!$H:$H,Prod_Prop!$G:$G=$U733,Prod_Prop!$E:$E=Y$1)),""""))"),"")</f>
        <v/>
      </c>
      <c r="Z733" s="4" t="str">
        <f>IF(Y733="","",SUMIFS(Prod_Prop!$J:$J,Prod_Prop!$B:$B,$Q733,Prod_Prop!$H:$H,Y733,Prod_Prop!$I:$I,Z$1)*IF(Y733="Peso",$R733,1))</f>
        <v/>
      </c>
      <c r="AA733" s="4" t="str">
        <f>IF(Y733="","",SUMIFS(Prod_Prop!$J:$J,Prod_Prop!$B:$B,$Q733,Prod_Prop!$H:$H,Y733,Prod_Prop!$I:$I,AA$1)*IF(Y733="Peso",$R733,1))</f>
        <v/>
      </c>
      <c r="AB733" s="4" t="str">
        <f>IFERROR(__xludf.DUMMYFUNCTION("IF(OR($U733="""",COUNTIF($I:$I,IFERROR(unique(filter(Prod_Prop!$H:$H,Prod_Prop!$G:$G=$U733,Prod_Prop!$E:$E=AB$1)),""Check""))=0),"""",IFERROR(unique(filter(Prod_Prop!$H:$H,Prod_Prop!$G:$G=$U733,Prod_Prop!$E:$E=AB$1)),""""))"),"")</f>
        <v/>
      </c>
      <c r="AC733" s="4" t="str">
        <f>IF(AB733="","",SUMIFS(Prod_Prop!$J:$J,Prod_Prop!$B:$B,$Q733,Prod_Prop!$H:$H,AB733,Prod_Prop!$I:$I,AC$1)*IF(AB733="Peso",$R733,1))</f>
        <v/>
      </c>
      <c r="AD733" s="4" t="str">
        <f>IF(AB733="","",SUMIFS(Prod_Prop!$J:$J,Prod_Prop!$B:$B,$Q733,Prod_Prop!$H:$H,AB733,Prod_Prop!$I:$I,AD$1)*IF(AB733="Peso",$R733,1))</f>
        <v/>
      </c>
    </row>
    <row r="734">
      <c r="A734" s="4" t="str">
        <f t="array" ref="A734">IF(COUNTIF(A$1:A733,Cotizador!F$2)=maxifs(Familias!E:E,Familias!D:D,Cotizador!F$2),IF(COUNTIF(A$1:A733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4" s="4" t="str">
        <f t="shared" si="1"/>
        <v/>
      </c>
      <c r="C734" s="4" t="str">
        <f t="array" ref="C734">IF(B734="","",IF(A734=XLOOKUP(A$2,Implementos!B:B,Implementos!C:C,"",0,1),B734+maxifs(B$1:B733,A$1:A733,A$2),B734))</f>
        <v/>
      </c>
      <c r="D734" s="4" t="str">
        <f>IF(B734="","", COUNTIFS(Productos!F:F,A734,Productos!H:H,B734)+IF(F734="SI",0,1))</f>
        <v/>
      </c>
      <c r="E734" s="4" t="str">
        <f>IFERROR(__xludf.DUMMYFUNCTION("IF($B734="""","""",INDEX(filter(Familias!F:F,Familias!$D:$D=$A734,Familias!$E:$E=$B734),1))"),"")</f>
        <v/>
      </c>
      <c r="F734" s="4" t="str">
        <f>IFERROR(__xludf.DUMMYFUNCTION("IF($B734="""","""",INDEX(filter(Familias!G:G,Familias!$D:$D=$A734,Familias!$E:$E=$B734),1))"),"")</f>
        <v/>
      </c>
      <c r="G734" s="4" t="str">
        <f t="array" ref="G734">IF(C734=1,XLOOKUP(C734,Cotizador!D:D,Cotizador!E:E,"",0,1),"")</f>
        <v/>
      </c>
      <c r="I734" s="4"/>
      <c r="J734" s="8" t="str">
        <f>IF(I734="","",SUMIF(Cotizador!I$1:V$1,I734,Cotizador!I$2:V$2))</f>
        <v/>
      </c>
      <c r="L734" s="4" t="str">
        <f t="array" ref="L734">IF(COUNTIF(L$1:L733,A$2)=SUMIF(A:A,A$2,D:D),IF(COUNTIF(L$1:L733,XLOOKUP(A$2,Implementos!B:B,Implementos!C:C,"",0,1))=SUMIF(A:A,XLOOKUP(A$2,Implementos!B:B,Implementos!C:C,"",0,1),D:D),"",XLOOKUP(A$2,Implementos!B:B,Implementos!C:C,"",0,1)),A$2)</f>
        <v/>
      </c>
      <c r="M734" s="4" t="str">
        <f t="shared" si="2"/>
        <v/>
      </c>
      <c r="N734" s="4" t="str">
        <f t="shared" si="3"/>
        <v/>
      </c>
      <c r="O734" s="4" t="str">
        <f t="shared" si="4"/>
        <v/>
      </c>
      <c r="P734" s="4" t="str">
        <f t="shared" si="5"/>
        <v/>
      </c>
      <c r="Q734" s="4" t="str">
        <f>IF(U734="","",SUMIF(Productos!E:E,U734,Productos!A:A))</f>
        <v/>
      </c>
      <c r="R734" s="4" t="str">
        <f t="array" ref="R734">IF(L734="","", max(1,SUMIF(I:I,XLOOKUP(U734,Productos!E:E,Productos!G:G,"",0,1),J:J)))</f>
        <v/>
      </c>
      <c r="S734" s="4" t="str">
        <f>IF(Q734="","",IF(SUMIFS(Compat_Vetado!D:D,Compat_Vetado!B:B,SUM(G:G),Compat_Vetado!C:C,Q734)=1,"SI",IF(OR(SUMIF(Cotizador!E:E,Q734,Cotizador!G:G)&gt;0,SUMIFS(Compat_Vetado!D:D,Compat_Vetado!B:B,SUM(G:G),Compat_Vetado!C:C,Q734)=-1),"NO","")))</f>
        <v/>
      </c>
      <c r="T734" s="4" t="str">
        <f t="shared" si="6"/>
        <v/>
      </c>
      <c r="U734" s="4" t="str">
        <f>IFERROR(__xludf.DUMMYFUNCTION("IF(P734="""","""",IFERROR(INDEX(filter(Productos!E:E,Productos!F:F=L734,Productos!H:H=N734),P734),IF(M734=SUM(D:D),""Finalizar"",""-"")))"),"")</f>
        <v/>
      </c>
      <c r="V734" s="4" t="str">
        <f>IFERROR(__xludf.DUMMYFUNCTION("IF(OR($U734="""",COUNTIF($I:$I,IFERROR(unique(filter(Prod_Prop!$H:$H,Prod_Prop!$G:$G=$U734,Prod_Prop!$E:$E=V$1)),""Check""))=0),"""",IFERROR(unique(filter(Prod_Prop!$H:$H,Prod_Prop!$G:$G=$U734,Prod_Prop!$E:$E=V$1)),""""))"),"")</f>
        <v/>
      </c>
      <c r="W734" s="4" t="str">
        <f>IF(V734="","",SUMIFS(Prod_Prop!$J:$J,Prod_Prop!$B:$B,$Q734,Prod_Prop!$H:$H,V734,Prod_Prop!$I:$I,W$1)*IF(V734="Peso",$R734,1))</f>
        <v/>
      </c>
      <c r="X734" s="4" t="str">
        <f>IF(V734="","",SUMIFS(Prod_Prop!$J:$J,Prod_Prop!$B:$B,$Q734,Prod_Prop!$H:$H,V734,Prod_Prop!$I:$I,X$1)*IF(V734="Peso",$R734,1))</f>
        <v/>
      </c>
      <c r="Y734" s="4" t="str">
        <f>IFERROR(__xludf.DUMMYFUNCTION("IF(OR($U734="""",COUNTIF($I:$I,IFERROR(unique(filter(Prod_Prop!$H:$H,Prod_Prop!$G:$G=$U734,Prod_Prop!$E:$E=Y$1)),""Check""))=0),"""",IFERROR(unique(filter(Prod_Prop!$H:$H,Prod_Prop!$G:$G=$U734,Prod_Prop!$E:$E=Y$1)),""""))"),"")</f>
        <v/>
      </c>
      <c r="Z734" s="4" t="str">
        <f>IF(Y734="","",SUMIFS(Prod_Prop!$J:$J,Prod_Prop!$B:$B,$Q734,Prod_Prop!$H:$H,Y734,Prod_Prop!$I:$I,Z$1)*IF(Y734="Peso",$R734,1))</f>
        <v/>
      </c>
      <c r="AA734" s="4" t="str">
        <f>IF(Y734="","",SUMIFS(Prod_Prop!$J:$J,Prod_Prop!$B:$B,$Q734,Prod_Prop!$H:$H,Y734,Prod_Prop!$I:$I,AA$1)*IF(Y734="Peso",$R734,1))</f>
        <v/>
      </c>
      <c r="AB734" s="4" t="str">
        <f>IFERROR(__xludf.DUMMYFUNCTION("IF(OR($U734="""",COUNTIF($I:$I,IFERROR(unique(filter(Prod_Prop!$H:$H,Prod_Prop!$G:$G=$U734,Prod_Prop!$E:$E=AB$1)),""Check""))=0),"""",IFERROR(unique(filter(Prod_Prop!$H:$H,Prod_Prop!$G:$G=$U734,Prod_Prop!$E:$E=AB$1)),""""))"),"")</f>
        <v/>
      </c>
      <c r="AC734" s="4" t="str">
        <f>IF(AB734="","",SUMIFS(Prod_Prop!$J:$J,Prod_Prop!$B:$B,$Q734,Prod_Prop!$H:$H,AB734,Prod_Prop!$I:$I,AC$1)*IF(AB734="Peso",$R734,1))</f>
        <v/>
      </c>
      <c r="AD734" s="4" t="str">
        <f>IF(AB734="","",SUMIFS(Prod_Prop!$J:$J,Prod_Prop!$B:$B,$Q734,Prod_Prop!$H:$H,AB734,Prod_Prop!$I:$I,AD$1)*IF(AB734="Peso",$R734,1))</f>
        <v/>
      </c>
    </row>
    <row r="735">
      <c r="A735" s="4" t="str">
        <f t="array" ref="A735">IF(COUNTIF(A$1:A734,Cotizador!F$2)=maxifs(Familias!E:E,Familias!D:D,Cotizador!F$2),IF(COUNTIF(A$1:A734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5" s="4" t="str">
        <f t="shared" si="1"/>
        <v/>
      </c>
      <c r="C735" s="4" t="str">
        <f t="array" ref="C735">IF(B735="","",IF(A735=XLOOKUP(A$2,Implementos!B:B,Implementos!C:C,"",0,1),B735+maxifs(B$1:B734,A$1:A734,A$2),B735))</f>
        <v/>
      </c>
      <c r="D735" s="4" t="str">
        <f>IF(B735="","", COUNTIFS(Productos!F:F,A735,Productos!H:H,B735)+IF(F735="SI",0,1))</f>
        <v/>
      </c>
      <c r="E735" s="4" t="str">
        <f>IFERROR(__xludf.DUMMYFUNCTION("IF($B735="""","""",INDEX(filter(Familias!F:F,Familias!$D:$D=$A735,Familias!$E:$E=$B735),1))"),"")</f>
        <v/>
      </c>
      <c r="F735" s="4" t="str">
        <f>IFERROR(__xludf.DUMMYFUNCTION("IF($B735="""","""",INDEX(filter(Familias!G:G,Familias!$D:$D=$A735,Familias!$E:$E=$B735),1))"),"")</f>
        <v/>
      </c>
      <c r="G735" s="4" t="str">
        <f t="array" ref="G735">IF(C735=1,XLOOKUP(C735,Cotizador!D:D,Cotizador!E:E,"",0,1),"")</f>
        <v/>
      </c>
      <c r="I735" s="4"/>
      <c r="J735" s="8" t="str">
        <f>IF(I735="","",SUMIF(Cotizador!I$1:V$1,I735,Cotizador!I$2:V$2))</f>
        <v/>
      </c>
      <c r="L735" s="4" t="str">
        <f t="array" ref="L735">IF(COUNTIF(L$1:L734,A$2)=SUMIF(A:A,A$2,D:D),IF(COUNTIF(L$1:L734,XLOOKUP(A$2,Implementos!B:B,Implementos!C:C,"",0,1))=SUMIF(A:A,XLOOKUP(A$2,Implementos!B:B,Implementos!C:C,"",0,1),D:D),"",XLOOKUP(A$2,Implementos!B:B,Implementos!C:C,"",0,1)),A$2)</f>
        <v/>
      </c>
      <c r="M735" s="4" t="str">
        <f t="shared" si="2"/>
        <v/>
      </c>
      <c r="N735" s="4" t="str">
        <f t="shared" si="3"/>
        <v/>
      </c>
      <c r="O735" s="4" t="str">
        <f t="shared" si="4"/>
        <v/>
      </c>
      <c r="P735" s="4" t="str">
        <f t="shared" si="5"/>
        <v/>
      </c>
      <c r="Q735" s="4" t="str">
        <f>IF(U735="","",SUMIF(Productos!E:E,U735,Productos!A:A))</f>
        <v/>
      </c>
      <c r="R735" s="4" t="str">
        <f t="array" ref="R735">IF(L735="","", max(1,SUMIF(I:I,XLOOKUP(U735,Productos!E:E,Productos!G:G,"",0,1),J:J)))</f>
        <v/>
      </c>
      <c r="S735" s="4" t="str">
        <f>IF(Q735="","",IF(SUMIFS(Compat_Vetado!D:D,Compat_Vetado!B:B,SUM(G:G),Compat_Vetado!C:C,Q735)=1,"SI",IF(OR(SUMIF(Cotizador!E:E,Q735,Cotizador!G:G)&gt;0,SUMIFS(Compat_Vetado!D:D,Compat_Vetado!B:B,SUM(G:G),Compat_Vetado!C:C,Q735)=-1),"NO","")))</f>
        <v/>
      </c>
      <c r="T735" s="4" t="str">
        <f t="shared" si="6"/>
        <v/>
      </c>
      <c r="U735" s="4" t="str">
        <f>IFERROR(__xludf.DUMMYFUNCTION("IF(P735="""","""",IFERROR(INDEX(filter(Productos!E:E,Productos!F:F=L735,Productos!H:H=N735),P735),IF(M735=SUM(D:D),""Finalizar"",""-"")))"),"")</f>
        <v/>
      </c>
      <c r="V735" s="4" t="str">
        <f>IFERROR(__xludf.DUMMYFUNCTION("IF(OR($U735="""",COUNTIF($I:$I,IFERROR(unique(filter(Prod_Prop!$H:$H,Prod_Prop!$G:$G=$U735,Prod_Prop!$E:$E=V$1)),""Check""))=0),"""",IFERROR(unique(filter(Prod_Prop!$H:$H,Prod_Prop!$G:$G=$U735,Prod_Prop!$E:$E=V$1)),""""))"),"")</f>
        <v/>
      </c>
      <c r="W735" s="4" t="str">
        <f>IF(V735="","",SUMIFS(Prod_Prop!$J:$J,Prod_Prop!$B:$B,$Q735,Prod_Prop!$H:$H,V735,Prod_Prop!$I:$I,W$1)*IF(V735="Peso",$R735,1))</f>
        <v/>
      </c>
      <c r="X735" s="4" t="str">
        <f>IF(V735="","",SUMIFS(Prod_Prop!$J:$J,Prod_Prop!$B:$B,$Q735,Prod_Prop!$H:$H,V735,Prod_Prop!$I:$I,X$1)*IF(V735="Peso",$R735,1))</f>
        <v/>
      </c>
      <c r="Y735" s="4" t="str">
        <f>IFERROR(__xludf.DUMMYFUNCTION("IF(OR($U735="""",COUNTIF($I:$I,IFERROR(unique(filter(Prod_Prop!$H:$H,Prod_Prop!$G:$G=$U735,Prod_Prop!$E:$E=Y$1)),""Check""))=0),"""",IFERROR(unique(filter(Prod_Prop!$H:$H,Prod_Prop!$G:$G=$U735,Prod_Prop!$E:$E=Y$1)),""""))"),"")</f>
        <v/>
      </c>
      <c r="Z735" s="4" t="str">
        <f>IF(Y735="","",SUMIFS(Prod_Prop!$J:$J,Prod_Prop!$B:$B,$Q735,Prod_Prop!$H:$H,Y735,Prod_Prop!$I:$I,Z$1)*IF(Y735="Peso",$R735,1))</f>
        <v/>
      </c>
      <c r="AA735" s="4" t="str">
        <f>IF(Y735="","",SUMIFS(Prod_Prop!$J:$J,Prod_Prop!$B:$B,$Q735,Prod_Prop!$H:$H,Y735,Prod_Prop!$I:$I,AA$1)*IF(Y735="Peso",$R735,1))</f>
        <v/>
      </c>
      <c r="AB735" s="4" t="str">
        <f>IFERROR(__xludf.DUMMYFUNCTION("IF(OR($U735="""",COUNTIF($I:$I,IFERROR(unique(filter(Prod_Prop!$H:$H,Prod_Prop!$G:$G=$U735,Prod_Prop!$E:$E=AB$1)),""Check""))=0),"""",IFERROR(unique(filter(Prod_Prop!$H:$H,Prod_Prop!$G:$G=$U735,Prod_Prop!$E:$E=AB$1)),""""))"),"")</f>
        <v/>
      </c>
      <c r="AC735" s="4" t="str">
        <f>IF(AB735="","",SUMIFS(Prod_Prop!$J:$J,Prod_Prop!$B:$B,$Q735,Prod_Prop!$H:$H,AB735,Prod_Prop!$I:$I,AC$1)*IF(AB735="Peso",$R735,1))</f>
        <v/>
      </c>
      <c r="AD735" s="4" t="str">
        <f>IF(AB735="","",SUMIFS(Prod_Prop!$J:$J,Prod_Prop!$B:$B,$Q735,Prod_Prop!$H:$H,AB735,Prod_Prop!$I:$I,AD$1)*IF(AB735="Peso",$R735,1))</f>
        <v/>
      </c>
    </row>
    <row r="736">
      <c r="A736" s="4" t="str">
        <f t="array" ref="A736">IF(COUNTIF(A$1:A735,Cotizador!F$2)=maxifs(Familias!E:E,Familias!D:D,Cotizador!F$2),IF(COUNTIF(A$1:A735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6" s="4" t="str">
        <f t="shared" si="1"/>
        <v/>
      </c>
      <c r="C736" s="4" t="str">
        <f t="array" ref="C736">IF(B736="","",IF(A736=XLOOKUP(A$2,Implementos!B:B,Implementos!C:C,"",0,1),B736+maxifs(B$1:B735,A$1:A735,A$2),B736))</f>
        <v/>
      </c>
      <c r="D736" s="4" t="str">
        <f>IF(B736="","", COUNTIFS(Productos!F:F,A736,Productos!H:H,B736)+IF(F736="SI",0,1))</f>
        <v/>
      </c>
      <c r="E736" s="4" t="str">
        <f>IFERROR(__xludf.DUMMYFUNCTION("IF($B736="""","""",INDEX(filter(Familias!F:F,Familias!$D:$D=$A736,Familias!$E:$E=$B736),1))"),"")</f>
        <v/>
      </c>
      <c r="F736" s="4" t="str">
        <f>IFERROR(__xludf.DUMMYFUNCTION("IF($B736="""","""",INDEX(filter(Familias!G:G,Familias!$D:$D=$A736,Familias!$E:$E=$B736),1))"),"")</f>
        <v/>
      </c>
      <c r="G736" s="4" t="str">
        <f t="array" ref="G736">IF(C736=1,XLOOKUP(C736,Cotizador!D:D,Cotizador!E:E,"",0,1),"")</f>
        <v/>
      </c>
      <c r="I736" s="4"/>
      <c r="J736" s="8" t="str">
        <f>IF(I736="","",SUMIF(Cotizador!I$1:V$1,I736,Cotizador!I$2:V$2))</f>
        <v/>
      </c>
      <c r="L736" s="4" t="str">
        <f t="array" ref="L736">IF(COUNTIF(L$1:L735,A$2)=SUMIF(A:A,A$2,D:D),IF(COUNTIF(L$1:L735,XLOOKUP(A$2,Implementos!B:B,Implementos!C:C,"",0,1))=SUMIF(A:A,XLOOKUP(A$2,Implementos!B:B,Implementos!C:C,"",0,1),D:D),"",XLOOKUP(A$2,Implementos!B:B,Implementos!C:C,"",0,1)),A$2)</f>
        <v/>
      </c>
      <c r="M736" s="4" t="str">
        <f t="shared" si="2"/>
        <v/>
      </c>
      <c r="N736" s="4" t="str">
        <f t="shared" si="3"/>
        <v/>
      </c>
      <c r="O736" s="4" t="str">
        <f t="shared" si="4"/>
        <v/>
      </c>
      <c r="P736" s="4" t="str">
        <f t="shared" si="5"/>
        <v/>
      </c>
      <c r="Q736" s="4" t="str">
        <f>IF(U736="","",SUMIF(Productos!E:E,U736,Productos!A:A))</f>
        <v/>
      </c>
      <c r="R736" s="4" t="str">
        <f t="array" ref="R736">IF(L736="","", max(1,SUMIF(I:I,XLOOKUP(U736,Productos!E:E,Productos!G:G,"",0,1),J:J)))</f>
        <v/>
      </c>
      <c r="S736" s="4" t="str">
        <f>IF(Q736="","",IF(SUMIFS(Compat_Vetado!D:D,Compat_Vetado!B:B,SUM(G:G),Compat_Vetado!C:C,Q736)=1,"SI",IF(OR(SUMIF(Cotizador!E:E,Q736,Cotizador!G:G)&gt;0,SUMIFS(Compat_Vetado!D:D,Compat_Vetado!B:B,SUM(G:G),Compat_Vetado!C:C,Q736)=-1),"NO","")))</f>
        <v/>
      </c>
      <c r="T736" s="4" t="str">
        <f t="shared" si="6"/>
        <v/>
      </c>
      <c r="U736" s="4" t="str">
        <f>IFERROR(__xludf.DUMMYFUNCTION("IF(P736="""","""",IFERROR(INDEX(filter(Productos!E:E,Productos!F:F=L736,Productos!H:H=N736),P736),IF(M736=SUM(D:D),""Finalizar"",""-"")))"),"")</f>
        <v/>
      </c>
      <c r="V736" s="4" t="str">
        <f>IFERROR(__xludf.DUMMYFUNCTION("IF(OR($U736="""",COUNTIF($I:$I,IFERROR(unique(filter(Prod_Prop!$H:$H,Prod_Prop!$G:$G=$U736,Prod_Prop!$E:$E=V$1)),""Check""))=0),"""",IFERROR(unique(filter(Prod_Prop!$H:$H,Prod_Prop!$G:$G=$U736,Prod_Prop!$E:$E=V$1)),""""))"),"")</f>
        <v/>
      </c>
      <c r="W736" s="4" t="str">
        <f>IF(V736="","",SUMIFS(Prod_Prop!$J:$J,Prod_Prop!$B:$B,$Q736,Prod_Prop!$H:$H,V736,Prod_Prop!$I:$I,W$1)*IF(V736="Peso",$R736,1))</f>
        <v/>
      </c>
      <c r="X736" s="4" t="str">
        <f>IF(V736="","",SUMIFS(Prod_Prop!$J:$J,Prod_Prop!$B:$B,$Q736,Prod_Prop!$H:$H,V736,Prod_Prop!$I:$I,X$1)*IF(V736="Peso",$R736,1))</f>
        <v/>
      </c>
      <c r="Y736" s="4" t="str">
        <f>IFERROR(__xludf.DUMMYFUNCTION("IF(OR($U736="""",COUNTIF($I:$I,IFERROR(unique(filter(Prod_Prop!$H:$H,Prod_Prop!$G:$G=$U736,Prod_Prop!$E:$E=Y$1)),""Check""))=0),"""",IFERROR(unique(filter(Prod_Prop!$H:$H,Prod_Prop!$G:$G=$U736,Prod_Prop!$E:$E=Y$1)),""""))"),"")</f>
        <v/>
      </c>
      <c r="Z736" s="4" t="str">
        <f>IF(Y736="","",SUMIFS(Prod_Prop!$J:$J,Prod_Prop!$B:$B,$Q736,Prod_Prop!$H:$H,Y736,Prod_Prop!$I:$I,Z$1)*IF(Y736="Peso",$R736,1))</f>
        <v/>
      </c>
      <c r="AA736" s="4" t="str">
        <f>IF(Y736="","",SUMIFS(Prod_Prop!$J:$J,Prod_Prop!$B:$B,$Q736,Prod_Prop!$H:$H,Y736,Prod_Prop!$I:$I,AA$1)*IF(Y736="Peso",$R736,1))</f>
        <v/>
      </c>
      <c r="AB736" s="4" t="str">
        <f>IFERROR(__xludf.DUMMYFUNCTION("IF(OR($U736="""",COUNTIF($I:$I,IFERROR(unique(filter(Prod_Prop!$H:$H,Prod_Prop!$G:$G=$U736,Prod_Prop!$E:$E=AB$1)),""Check""))=0),"""",IFERROR(unique(filter(Prod_Prop!$H:$H,Prod_Prop!$G:$G=$U736,Prod_Prop!$E:$E=AB$1)),""""))"),"")</f>
        <v/>
      </c>
      <c r="AC736" s="4" t="str">
        <f>IF(AB736="","",SUMIFS(Prod_Prop!$J:$J,Prod_Prop!$B:$B,$Q736,Prod_Prop!$H:$H,AB736,Prod_Prop!$I:$I,AC$1)*IF(AB736="Peso",$R736,1))</f>
        <v/>
      </c>
      <c r="AD736" s="4" t="str">
        <f>IF(AB736="","",SUMIFS(Prod_Prop!$J:$J,Prod_Prop!$B:$B,$Q736,Prod_Prop!$H:$H,AB736,Prod_Prop!$I:$I,AD$1)*IF(AB736="Peso",$R736,1))</f>
        <v/>
      </c>
    </row>
    <row r="737">
      <c r="A737" s="4" t="str">
        <f t="array" ref="A737">IF(COUNTIF(A$1:A736,Cotizador!F$2)=maxifs(Familias!E:E,Familias!D:D,Cotizador!F$2),IF(COUNTIF(A$1:A736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7" s="4" t="str">
        <f t="shared" si="1"/>
        <v/>
      </c>
      <c r="C737" s="4" t="str">
        <f t="array" ref="C737">IF(B737="","",IF(A737=XLOOKUP(A$2,Implementos!B:B,Implementos!C:C,"",0,1),B737+maxifs(B$1:B736,A$1:A736,A$2),B737))</f>
        <v/>
      </c>
      <c r="D737" s="4" t="str">
        <f>IF(B737="","", COUNTIFS(Productos!F:F,A737,Productos!H:H,B737)+IF(F737="SI",0,1))</f>
        <v/>
      </c>
      <c r="E737" s="4" t="str">
        <f>IFERROR(__xludf.DUMMYFUNCTION("IF($B737="""","""",INDEX(filter(Familias!F:F,Familias!$D:$D=$A737,Familias!$E:$E=$B737),1))"),"")</f>
        <v/>
      </c>
      <c r="F737" s="4" t="str">
        <f>IFERROR(__xludf.DUMMYFUNCTION("IF($B737="""","""",INDEX(filter(Familias!G:G,Familias!$D:$D=$A737,Familias!$E:$E=$B737),1))"),"")</f>
        <v/>
      </c>
      <c r="G737" s="4" t="str">
        <f t="array" ref="G737">IF(C737=1,XLOOKUP(C737,Cotizador!D:D,Cotizador!E:E,"",0,1),"")</f>
        <v/>
      </c>
      <c r="I737" s="4"/>
      <c r="J737" s="8" t="str">
        <f>IF(I737="","",SUMIF(Cotizador!I$1:V$1,I737,Cotizador!I$2:V$2))</f>
        <v/>
      </c>
      <c r="L737" s="4" t="str">
        <f t="array" ref="L737">IF(COUNTIF(L$1:L736,A$2)=SUMIF(A:A,A$2,D:D),IF(COUNTIF(L$1:L736,XLOOKUP(A$2,Implementos!B:B,Implementos!C:C,"",0,1))=SUMIF(A:A,XLOOKUP(A$2,Implementos!B:B,Implementos!C:C,"",0,1),D:D),"",XLOOKUP(A$2,Implementos!B:B,Implementos!C:C,"",0,1)),A$2)</f>
        <v/>
      </c>
      <c r="M737" s="4" t="str">
        <f t="shared" si="2"/>
        <v/>
      </c>
      <c r="N737" s="4" t="str">
        <f t="shared" si="3"/>
        <v/>
      </c>
      <c r="O737" s="4" t="str">
        <f t="shared" si="4"/>
        <v/>
      </c>
      <c r="P737" s="4" t="str">
        <f t="shared" si="5"/>
        <v/>
      </c>
      <c r="Q737" s="4" t="str">
        <f>IF(U737="","",SUMIF(Productos!E:E,U737,Productos!A:A))</f>
        <v/>
      </c>
      <c r="R737" s="4" t="str">
        <f t="array" ref="R737">IF(L737="","", max(1,SUMIF(I:I,XLOOKUP(U737,Productos!E:E,Productos!G:G,"",0,1),J:J)))</f>
        <v/>
      </c>
      <c r="S737" s="4" t="str">
        <f>IF(Q737="","",IF(SUMIFS(Compat_Vetado!D:D,Compat_Vetado!B:B,SUM(G:G),Compat_Vetado!C:C,Q737)=1,"SI",IF(OR(SUMIF(Cotizador!E:E,Q737,Cotizador!G:G)&gt;0,SUMIFS(Compat_Vetado!D:D,Compat_Vetado!B:B,SUM(G:G),Compat_Vetado!C:C,Q737)=-1),"NO","")))</f>
        <v/>
      </c>
      <c r="T737" s="4" t="str">
        <f t="shared" si="6"/>
        <v/>
      </c>
      <c r="U737" s="4" t="str">
        <f>IFERROR(__xludf.DUMMYFUNCTION("IF(P737="""","""",IFERROR(INDEX(filter(Productos!E:E,Productos!F:F=L737,Productos!H:H=N737),P737),IF(M737=SUM(D:D),""Finalizar"",""-"")))"),"")</f>
        <v/>
      </c>
      <c r="V737" s="4" t="str">
        <f>IFERROR(__xludf.DUMMYFUNCTION("IF(OR($U737="""",COUNTIF($I:$I,IFERROR(unique(filter(Prod_Prop!$H:$H,Prod_Prop!$G:$G=$U737,Prod_Prop!$E:$E=V$1)),""Check""))=0),"""",IFERROR(unique(filter(Prod_Prop!$H:$H,Prod_Prop!$G:$G=$U737,Prod_Prop!$E:$E=V$1)),""""))"),"")</f>
        <v/>
      </c>
      <c r="W737" s="4" t="str">
        <f>IF(V737="","",SUMIFS(Prod_Prop!$J:$J,Prod_Prop!$B:$B,$Q737,Prod_Prop!$H:$H,V737,Prod_Prop!$I:$I,W$1)*IF(V737="Peso",$R737,1))</f>
        <v/>
      </c>
      <c r="X737" s="4" t="str">
        <f>IF(V737="","",SUMIFS(Prod_Prop!$J:$J,Prod_Prop!$B:$B,$Q737,Prod_Prop!$H:$H,V737,Prod_Prop!$I:$I,X$1)*IF(V737="Peso",$R737,1))</f>
        <v/>
      </c>
      <c r="Y737" s="4" t="str">
        <f>IFERROR(__xludf.DUMMYFUNCTION("IF(OR($U737="""",COUNTIF($I:$I,IFERROR(unique(filter(Prod_Prop!$H:$H,Prod_Prop!$G:$G=$U737,Prod_Prop!$E:$E=Y$1)),""Check""))=0),"""",IFERROR(unique(filter(Prod_Prop!$H:$H,Prod_Prop!$G:$G=$U737,Prod_Prop!$E:$E=Y$1)),""""))"),"")</f>
        <v/>
      </c>
      <c r="Z737" s="4" t="str">
        <f>IF(Y737="","",SUMIFS(Prod_Prop!$J:$J,Prod_Prop!$B:$B,$Q737,Prod_Prop!$H:$H,Y737,Prod_Prop!$I:$I,Z$1)*IF(Y737="Peso",$R737,1))</f>
        <v/>
      </c>
      <c r="AA737" s="4" t="str">
        <f>IF(Y737="","",SUMIFS(Prod_Prop!$J:$J,Prod_Prop!$B:$B,$Q737,Prod_Prop!$H:$H,Y737,Prod_Prop!$I:$I,AA$1)*IF(Y737="Peso",$R737,1))</f>
        <v/>
      </c>
      <c r="AB737" s="4" t="str">
        <f>IFERROR(__xludf.DUMMYFUNCTION("IF(OR($U737="""",COUNTIF($I:$I,IFERROR(unique(filter(Prod_Prop!$H:$H,Prod_Prop!$G:$G=$U737,Prod_Prop!$E:$E=AB$1)),""Check""))=0),"""",IFERROR(unique(filter(Prod_Prop!$H:$H,Prod_Prop!$G:$G=$U737,Prod_Prop!$E:$E=AB$1)),""""))"),"")</f>
        <v/>
      </c>
      <c r="AC737" s="4" t="str">
        <f>IF(AB737="","",SUMIFS(Prod_Prop!$J:$J,Prod_Prop!$B:$B,$Q737,Prod_Prop!$H:$H,AB737,Prod_Prop!$I:$I,AC$1)*IF(AB737="Peso",$R737,1))</f>
        <v/>
      </c>
      <c r="AD737" s="4" t="str">
        <f>IF(AB737="","",SUMIFS(Prod_Prop!$J:$J,Prod_Prop!$B:$B,$Q737,Prod_Prop!$H:$H,AB737,Prod_Prop!$I:$I,AD$1)*IF(AB737="Peso",$R737,1))</f>
        <v/>
      </c>
    </row>
    <row r="738">
      <c r="A738" s="4" t="str">
        <f t="array" ref="A738">IF(COUNTIF(A$1:A737,Cotizador!F$2)=maxifs(Familias!E:E,Familias!D:D,Cotizador!F$2),IF(COUNTIF(A$1:A737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8" s="4" t="str">
        <f t="shared" si="1"/>
        <v/>
      </c>
      <c r="C738" s="4" t="str">
        <f t="array" ref="C738">IF(B738="","",IF(A738=XLOOKUP(A$2,Implementos!B:B,Implementos!C:C,"",0,1),B738+maxifs(B$1:B737,A$1:A737,A$2),B738))</f>
        <v/>
      </c>
      <c r="D738" s="4" t="str">
        <f>IF(B738="","", COUNTIFS(Productos!F:F,A738,Productos!H:H,B738)+IF(F738="SI",0,1))</f>
        <v/>
      </c>
      <c r="E738" s="4" t="str">
        <f>IFERROR(__xludf.DUMMYFUNCTION("IF($B738="""","""",INDEX(filter(Familias!F:F,Familias!$D:$D=$A738,Familias!$E:$E=$B738),1))"),"")</f>
        <v/>
      </c>
      <c r="F738" s="4" t="str">
        <f>IFERROR(__xludf.DUMMYFUNCTION("IF($B738="""","""",INDEX(filter(Familias!G:G,Familias!$D:$D=$A738,Familias!$E:$E=$B738),1))"),"")</f>
        <v/>
      </c>
      <c r="G738" s="4" t="str">
        <f t="array" ref="G738">IF(C738=1,XLOOKUP(C738,Cotizador!D:D,Cotizador!E:E,"",0,1),"")</f>
        <v/>
      </c>
      <c r="I738" s="4"/>
      <c r="J738" s="8" t="str">
        <f>IF(I738="","",SUMIF(Cotizador!I$1:V$1,I738,Cotizador!I$2:V$2))</f>
        <v/>
      </c>
      <c r="L738" s="4" t="str">
        <f t="array" ref="L738">IF(COUNTIF(L$1:L737,A$2)=SUMIF(A:A,A$2,D:D),IF(COUNTIF(L$1:L737,XLOOKUP(A$2,Implementos!B:B,Implementos!C:C,"",0,1))=SUMIF(A:A,XLOOKUP(A$2,Implementos!B:B,Implementos!C:C,"",0,1),D:D),"",XLOOKUP(A$2,Implementos!B:B,Implementos!C:C,"",0,1)),A$2)</f>
        <v/>
      </c>
      <c r="M738" s="4" t="str">
        <f t="shared" si="2"/>
        <v/>
      </c>
      <c r="N738" s="4" t="str">
        <f t="shared" si="3"/>
        <v/>
      </c>
      <c r="O738" s="4" t="str">
        <f t="shared" si="4"/>
        <v/>
      </c>
      <c r="P738" s="4" t="str">
        <f t="shared" si="5"/>
        <v/>
      </c>
      <c r="Q738" s="4" t="str">
        <f>IF(U738="","",SUMIF(Productos!E:E,U738,Productos!A:A))</f>
        <v/>
      </c>
      <c r="R738" s="4" t="str">
        <f t="array" ref="R738">IF(L738="","", max(1,SUMIF(I:I,XLOOKUP(U738,Productos!E:E,Productos!G:G,"",0,1),J:J)))</f>
        <v/>
      </c>
      <c r="S738" s="4" t="str">
        <f>IF(Q738="","",IF(SUMIFS(Compat_Vetado!D:D,Compat_Vetado!B:B,SUM(G:G),Compat_Vetado!C:C,Q738)=1,"SI",IF(OR(SUMIF(Cotizador!E:E,Q738,Cotizador!G:G)&gt;0,SUMIFS(Compat_Vetado!D:D,Compat_Vetado!B:B,SUM(G:G),Compat_Vetado!C:C,Q738)=-1),"NO","")))</f>
        <v/>
      </c>
      <c r="T738" s="4" t="str">
        <f t="shared" si="6"/>
        <v/>
      </c>
      <c r="U738" s="4" t="str">
        <f>IFERROR(__xludf.DUMMYFUNCTION("IF(P738="""","""",IFERROR(INDEX(filter(Productos!E:E,Productos!F:F=L738,Productos!H:H=N738),P738),IF(M738=SUM(D:D),""Finalizar"",""-"")))"),"")</f>
        <v/>
      </c>
      <c r="V738" s="4" t="str">
        <f>IFERROR(__xludf.DUMMYFUNCTION("IF(OR($U738="""",COUNTIF($I:$I,IFERROR(unique(filter(Prod_Prop!$H:$H,Prod_Prop!$G:$G=$U738,Prod_Prop!$E:$E=V$1)),""Check""))=0),"""",IFERROR(unique(filter(Prod_Prop!$H:$H,Prod_Prop!$G:$G=$U738,Prod_Prop!$E:$E=V$1)),""""))"),"")</f>
        <v/>
      </c>
      <c r="W738" s="4" t="str">
        <f>IF(V738="","",SUMIFS(Prod_Prop!$J:$J,Prod_Prop!$B:$B,$Q738,Prod_Prop!$H:$H,V738,Prod_Prop!$I:$I,W$1)*IF(V738="Peso",$R738,1))</f>
        <v/>
      </c>
      <c r="X738" s="4" t="str">
        <f>IF(V738="","",SUMIFS(Prod_Prop!$J:$J,Prod_Prop!$B:$B,$Q738,Prod_Prop!$H:$H,V738,Prod_Prop!$I:$I,X$1)*IF(V738="Peso",$R738,1))</f>
        <v/>
      </c>
      <c r="Y738" s="4" t="str">
        <f>IFERROR(__xludf.DUMMYFUNCTION("IF(OR($U738="""",COUNTIF($I:$I,IFERROR(unique(filter(Prod_Prop!$H:$H,Prod_Prop!$G:$G=$U738,Prod_Prop!$E:$E=Y$1)),""Check""))=0),"""",IFERROR(unique(filter(Prod_Prop!$H:$H,Prod_Prop!$G:$G=$U738,Prod_Prop!$E:$E=Y$1)),""""))"),"")</f>
        <v/>
      </c>
      <c r="Z738" s="4" t="str">
        <f>IF(Y738="","",SUMIFS(Prod_Prop!$J:$J,Prod_Prop!$B:$B,$Q738,Prod_Prop!$H:$H,Y738,Prod_Prop!$I:$I,Z$1)*IF(Y738="Peso",$R738,1))</f>
        <v/>
      </c>
      <c r="AA738" s="4" t="str">
        <f>IF(Y738="","",SUMIFS(Prod_Prop!$J:$J,Prod_Prop!$B:$B,$Q738,Prod_Prop!$H:$H,Y738,Prod_Prop!$I:$I,AA$1)*IF(Y738="Peso",$R738,1))</f>
        <v/>
      </c>
      <c r="AB738" s="4" t="str">
        <f>IFERROR(__xludf.DUMMYFUNCTION("IF(OR($U738="""",COUNTIF($I:$I,IFERROR(unique(filter(Prod_Prop!$H:$H,Prod_Prop!$G:$G=$U738,Prod_Prop!$E:$E=AB$1)),""Check""))=0),"""",IFERROR(unique(filter(Prod_Prop!$H:$H,Prod_Prop!$G:$G=$U738,Prod_Prop!$E:$E=AB$1)),""""))"),"")</f>
        <v/>
      </c>
      <c r="AC738" s="4" t="str">
        <f>IF(AB738="","",SUMIFS(Prod_Prop!$J:$J,Prod_Prop!$B:$B,$Q738,Prod_Prop!$H:$H,AB738,Prod_Prop!$I:$I,AC$1)*IF(AB738="Peso",$R738,1))</f>
        <v/>
      </c>
      <c r="AD738" s="4" t="str">
        <f>IF(AB738="","",SUMIFS(Prod_Prop!$J:$J,Prod_Prop!$B:$B,$Q738,Prod_Prop!$H:$H,AB738,Prod_Prop!$I:$I,AD$1)*IF(AB738="Peso",$R738,1))</f>
        <v/>
      </c>
    </row>
    <row r="739">
      <c r="A739" s="4" t="str">
        <f t="array" ref="A739">IF(COUNTIF(A$1:A738,Cotizador!F$2)=maxifs(Familias!E:E,Familias!D:D,Cotizador!F$2),IF(COUNTIF(A$1:A738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39" s="4" t="str">
        <f t="shared" si="1"/>
        <v/>
      </c>
      <c r="C739" s="4" t="str">
        <f t="array" ref="C739">IF(B739="","",IF(A739=XLOOKUP(A$2,Implementos!B:B,Implementos!C:C,"",0,1),B739+maxifs(B$1:B738,A$1:A738,A$2),B739))</f>
        <v/>
      </c>
      <c r="D739" s="4" t="str">
        <f>IF(B739="","", COUNTIFS(Productos!F:F,A739,Productos!H:H,B739)+IF(F739="SI",0,1))</f>
        <v/>
      </c>
      <c r="E739" s="4" t="str">
        <f>IFERROR(__xludf.DUMMYFUNCTION("IF($B739="""","""",INDEX(filter(Familias!F:F,Familias!$D:$D=$A739,Familias!$E:$E=$B739),1))"),"")</f>
        <v/>
      </c>
      <c r="F739" s="4" t="str">
        <f>IFERROR(__xludf.DUMMYFUNCTION("IF($B739="""","""",INDEX(filter(Familias!G:G,Familias!$D:$D=$A739,Familias!$E:$E=$B739),1))"),"")</f>
        <v/>
      </c>
      <c r="G739" s="4" t="str">
        <f t="array" ref="G739">IF(C739=1,XLOOKUP(C739,Cotizador!D:D,Cotizador!E:E,"",0,1),"")</f>
        <v/>
      </c>
      <c r="I739" s="4"/>
      <c r="J739" s="8" t="str">
        <f>IF(I739="","",SUMIF(Cotizador!I$1:V$1,I739,Cotizador!I$2:V$2))</f>
        <v/>
      </c>
      <c r="L739" s="4" t="str">
        <f t="array" ref="L739">IF(COUNTIF(L$1:L738,A$2)=SUMIF(A:A,A$2,D:D),IF(COUNTIF(L$1:L738,XLOOKUP(A$2,Implementos!B:B,Implementos!C:C,"",0,1))=SUMIF(A:A,XLOOKUP(A$2,Implementos!B:B,Implementos!C:C,"",0,1),D:D),"",XLOOKUP(A$2,Implementos!B:B,Implementos!C:C,"",0,1)),A$2)</f>
        <v/>
      </c>
      <c r="M739" s="4" t="str">
        <f t="shared" si="2"/>
        <v/>
      </c>
      <c r="N739" s="4" t="str">
        <f t="shared" si="3"/>
        <v/>
      </c>
      <c r="O739" s="4" t="str">
        <f t="shared" si="4"/>
        <v/>
      </c>
      <c r="P739" s="4" t="str">
        <f t="shared" si="5"/>
        <v/>
      </c>
      <c r="Q739" s="4" t="str">
        <f>IF(U739="","",SUMIF(Productos!E:E,U739,Productos!A:A))</f>
        <v/>
      </c>
      <c r="R739" s="4" t="str">
        <f t="array" ref="R739">IF(L739="","", max(1,SUMIF(I:I,XLOOKUP(U739,Productos!E:E,Productos!G:G,"",0,1),J:J)))</f>
        <v/>
      </c>
      <c r="S739" s="4" t="str">
        <f>IF(Q739="","",IF(SUMIFS(Compat_Vetado!D:D,Compat_Vetado!B:B,SUM(G:G),Compat_Vetado!C:C,Q739)=1,"SI",IF(OR(SUMIF(Cotizador!E:E,Q739,Cotizador!G:G)&gt;0,SUMIFS(Compat_Vetado!D:D,Compat_Vetado!B:B,SUM(G:G),Compat_Vetado!C:C,Q739)=-1),"NO","")))</f>
        <v/>
      </c>
      <c r="T739" s="4" t="str">
        <f t="shared" si="6"/>
        <v/>
      </c>
      <c r="U739" s="4" t="str">
        <f>IFERROR(__xludf.DUMMYFUNCTION("IF(P739="""","""",IFERROR(INDEX(filter(Productos!E:E,Productos!F:F=L739,Productos!H:H=N739),P739),IF(M739=SUM(D:D),""Finalizar"",""-"")))"),"")</f>
        <v/>
      </c>
      <c r="V739" s="4" t="str">
        <f>IFERROR(__xludf.DUMMYFUNCTION("IF(OR($U739="""",COUNTIF($I:$I,IFERROR(unique(filter(Prod_Prop!$H:$H,Prod_Prop!$G:$G=$U739,Prod_Prop!$E:$E=V$1)),""Check""))=0),"""",IFERROR(unique(filter(Prod_Prop!$H:$H,Prod_Prop!$G:$G=$U739,Prod_Prop!$E:$E=V$1)),""""))"),"")</f>
        <v/>
      </c>
      <c r="W739" s="4" t="str">
        <f>IF(V739="","",SUMIFS(Prod_Prop!$J:$J,Prod_Prop!$B:$B,$Q739,Prod_Prop!$H:$H,V739,Prod_Prop!$I:$I,W$1)*IF(V739="Peso",$R739,1))</f>
        <v/>
      </c>
      <c r="X739" s="4" t="str">
        <f>IF(V739="","",SUMIFS(Prod_Prop!$J:$J,Prod_Prop!$B:$B,$Q739,Prod_Prop!$H:$H,V739,Prod_Prop!$I:$I,X$1)*IF(V739="Peso",$R739,1))</f>
        <v/>
      </c>
      <c r="Y739" s="4" t="str">
        <f>IFERROR(__xludf.DUMMYFUNCTION("IF(OR($U739="""",COUNTIF($I:$I,IFERROR(unique(filter(Prod_Prop!$H:$H,Prod_Prop!$G:$G=$U739,Prod_Prop!$E:$E=Y$1)),""Check""))=0),"""",IFERROR(unique(filter(Prod_Prop!$H:$H,Prod_Prop!$G:$G=$U739,Prod_Prop!$E:$E=Y$1)),""""))"),"")</f>
        <v/>
      </c>
      <c r="Z739" s="4" t="str">
        <f>IF(Y739="","",SUMIFS(Prod_Prop!$J:$J,Prod_Prop!$B:$B,$Q739,Prod_Prop!$H:$H,Y739,Prod_Prop!$I:$I,Z$1)*IF(Y739="Peso",$R739,1))</f>
        <v/>
      </c>
      <c r="AA739" s="4" t="str">
        <f>IF(Y739="","",SUMIFS(Prod_Prop!$J:$J,Prod_Prop!$B:$B,$Q739,Prod_Prop!$H:$H,Y739,Prod_Prop!$I:$I,AA$1)*IF(Y739="Peso",$R739,1))</f>
        <v/>
      </c>
      <c r="AB739" s="4" t="str">
        <f>IFERROR(__xludf.DUMMYFUNCTION("IF(OR($U739="""",COUNTIF($I:$I,IFERROR(unique(filter(Prod_Prop!$H:$H,Prod_Prop!$G:$G=$U739,Prod_Prop!$E:$E=AB$1)),""Check""))=0),"""",IFERROR(unique(filter(Prod_Prop!$H:$H,Prod_Prop!$G:$G=$U739,Prod_Prop!$E:$E=AB$1)),""""))"),"")</f>
        <v/>
      </c>
      <c r="AC739" s="4" t="str">
        <f>IF(AB739="","",SUMIFS(Prod_Prop!$J:$J,Prod_Prop!$B:$B,$Q739,Prod_Prop!$H:$H,AB739,Prod_Prop!$I:$I,AC$1)*IF(AB739="Peso",$R739,1))</f>
        <v/>
      </c>
      <c r="AD739" s="4" t="str">
        <f>IF(AB739="","",SUMIFS(Prod_Prop!$J:$J,Prod_Prop!$B:$B,$Q739,Prod_Prop!$H:$H,AB739,Prod_Prop!$I:$I,AD$1)*IF(AB739="Peso",$R739,1))</f>
        <v/>
      </c>
    </row>
    <row r="740">
      <c r="A740" s="4" t="str">
        <f t="array" ref="A740">IF(COUNTIF(A$1:A739,Cotizador!F$2)=maxifs(Familias!E:E,Familias!D:D,Cotizador!F$2),IF(COUNTIF(A$1:A739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0" s="4" t="str">
        <f t="shared" si="1"/>
        <v/>
      </c>
      <c r="C740" s="4" t="str">
        <f t="array" ref="C740">IF(B740="","",IF(A740=XLOOKUP(A$2,Implementos!B:B,Implementos!C:C,"",0,1),B740+maxifs(B$1:B739,A$1:A739,A$2),B740))</f>
        <v/>
      </c>
      <c r="D740" s="4" t="str">
        <f>IF(B740="","", COUNTIFS(Productos!F:F,A740,Productos!H:H,B740)+IF(F740="SI",0,1))</f>
        <v/>
      </c>
      <c r="E740" s="4" t="str">
        <f>IFERROR(__xludf.DUMMYFUNCTION("IF($B740="""","""",INDEX(filter(Familias!F:F,Familias!$D:$D=$A740,Familias!$E:$E=$B740),1))"),"")</f>
        <v/>
      </c>
      <c r="F740" s="4" t="str">
        <f>IFERROR(__xludf.DUMMYFUNCTION("IF($B740="""","""",INDEX(filter(Familias!G:G,Familias!$D:$D=$A740,Familias!$E:$E=$B740),1))"),"")</f>
        <v/>
      </c>
      <c r="G740" s="4" t="str">
        <f t="array" ref="G740">IF(C740=1,XLOOKUP(C740,Cotizador!D:D,Cotizador!E:E,"",0,1),"")</f>
        <v/>
      </c>
      <c r="I740" s="4"/>
      <c r="J740" s="8" t="str">
        <f>IF(I740="","",SUMIF(Cotizador!I$1:V$1,I740,Cotizador!I$2:V$2))</f>
        <v/>
      </c>
      <c r="L740" s="4" t="str">
        <f t="array" ref="L740">IF(COUNTIF(L$1:L739,A$2)=SUMIF(A:A,A$2,D:D),IF(COUNTIF(L$1:L739,XLOOKUP(A$2,Implementos!B:B,Implementos!C:C,"",0,1))=SUMIF(A:A,XLOOKUP(A$2,Implementos!B:B,Implementos!C:C,"",0,1),D:D),"",XLOOKUP(A$2,Implementos!B:B,Implementos!C:C,"",0,1)),A$2)</f>
        <v/>
      </c>
      <c r="M740" s="4" t="str">
        <f t="shared" si="2"/>
        <v/>
      </c>
      <c r="N740" s="4" t="str">
        <f t="shared" si="3"/>
        <v/>
      </c>
      <c r="O740" s="4" t="str">
        <f t="shared" si="4"/>
        <v/>
      </c>
      <c r="P740" s="4" t="str">
        <f t="shared" si="5"/>
        <v/>
      </c>
      <c r="Q740" s="4" t="str">
        <f>IF(U740="","",SUMIF(Productos!E:E,U740,Productos!A:A))</f>
        <v/>
      </c>
      <c r="R740" s="4" t="str">
        <f t="array" ref="R740">IF(L740="","", max(1,SUMIF(I:I,XLOOKUP(U740,Productos!E:E,Productos!G:G,"",0,1),J:J)))</f>
        <v/>
      </c>
      <c r="S740" s="4" t="str">
        <f>IF(Q740="","",IF(SUMIFS(Compat_Vetado!D:D,Compat_Vetado!B:B,SUM(G:G),Compat_Vetado!C:C,Q740)=1,"SI",IF(OR(SUMIF(Cotizador!E:E,Q740,Cotizador!G:G)&gt;0,SUMIFS(Compat_Vetado!D:D,Compat_Vetado!B:B,SUM(G:G),Compat_Vetado!C:C,Q740)=-1),"NO","")))</f>
        <v/>
      </c>
      <c r="T740" s="4" t="str">
        <f t="shared" si="6"/>
        <v/>
      </c>
      <c r="U740" s="4" t="str">
        <f>IFERROR(__xludf.DUMMYFUNCTION("IF(P740="""","""",IFERROR(INDEX(filter(Productos!E:E,Productos!F:F=L740,Productos!H:H=N740),P740),IF(M740=SUM(D:D),""Finalizar"",""-"")))"),"")</f>
        <v/>
      </c>
      <c r="V740" s="4" t="str">
        <f>IFERROR(__xludf.DUMMYFUNCTION("IF(OR($U740="""",COUNTIF($I:$I,IFERROR(unique(filter(Prod_Prop!$H:$H,Prod_Prop!$G:$G=$U740,Prod_Prop!$E:$E=V$1)),""Check""))=0),"""",IFERROR(unique(filter(Prod_Prop!$H:$H,Prod_Prop!$G:$G=$U740,Prod_Prop!$E:$E=V$1)),""""))"),"")</f>
        <v/>
      </c>
      <c r="W740" s="4" t="str">
        <f>IF(V740="","",SUMIFS(Prod_Prop!$J:$J,Prod_Prop!$B:$B,$Q740,Prod_Prop!$H:$H,V740,Prod_Prop!$I:$I,W$1)*IF(V740="Peso",$R740,1))</f>
        <v/>
      </c>
      <c r="X740" s="4" t="str">
        <f>IF(V740="","",SUMIFS(Prod_Prop!$J:$J,Prod_Prop!$B:$B,$Q740,Prod_Prop!$H:$H,V740,Prod_Prop!$I:$I,X$1)*IF(V740="Peso",$R740,1))</f>
        <v/>
      </c>
      <c r="Y740" s="4" t="str">
        <f>IFERROR(__xludf.DUMMYFUNCTION("IF(OR($U740="""",COUNTIF($I:$I,IFERROR(unique(filter(Prod_Prop!$H:$H,Prod_Prop!$G:$G=$U740,Prod_Prop!$E:$E=Y$1)),""Check""))=0),"""",IFERROR(unique(filter(Prod_Prop!$H:$H,Prod_Prop!$G:$G=$U740,Prod_Prop!$E:$E=Y$1)),""""))"),"")</f>
        <v/>
      </c>
      <c r="Z740" s="4" t="str">
        <f>IF(Y740="","",SUMIFS(Prod_Prop!$J:$J,Prod_Prop!$B:$B,$Q740,Prod_Prop!$H:$H,Y740,Prod_Prop!$I:$I,Z$1)*IF(Y740="Peso",$R740,1))</f>
        <v/>
      </c>
      <c r="AA740" s="4" t="str">
        <f>IF(Y740="","",SUMIFS(Prod_Prop!$J:$J,Prod_Prop!$B:$B,$Q740,Prod_Prop!$H:$H,Y740,Prod_Prop!$I:$I,AA$1)*IF(Y740="Peso",$R740,1))</f>
        <v/>
      </c>
      <c r="AB740" s="4" t="str">
        <f>IFERROR(__xludf.DUMMYFUNCTION("IF(OR($U740="""",COUNTIF($I:$I,IFERROR(unique(filter(Prod_Prop!$H:$H,Prod_Prop!$G:$G=$U740,Prod_Prop!$E:$E=AB$1)),""Check""))=0),"""",IFERROR(unique(filter(Prod_Prop!$H:$H,Prod_Prop!$G:$G=$U740,Prod_Prop!$E:$E=AB$1)),""""))"),"")</f>
        <v/>
      </c>
      <c r="AC740" s="4" t="str">
        <f>IF(AB740="","",SUMIFS(Prod_Prop!$J:$J,Prod_Prop!$B:$B,$Q740,Prod_Prop!$H:$H,AB740,Prod_Prop!$I:$I,AC$1)*IF(AB740="Peso",$R740,1))</f>
        <v/>
      </c>
      <c r="AD740" s="4" t="str">
        <f>IF(AB740="","",SUMIFS(Prod_Prop!$J:$J,Prod_Prop!$B:$B,$Q740,Prod_Prop!$H:$H,AB740,Prod_Prop!$I:$I,AD$1)*IF(AB740="Peso",$R740,1))</f>
        <v/>
      </c>
    </row>
    <row r="741">
      <c r="A741" s="4" t="str">
        <f t="array" ref="A741">IF(COUNTIF(A$1:A740,Cotizador!F$2)=maxifs(Familias!E:E,Familias!D:D,Cotizador!F$2),IF(COUNTIF(A$1:A740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1" s="4" t="str">
        <f t="shared" si="1"/>
        <v/>
      </c>
      <c r="C741" s="4" t="str">
        <f t="array" ref="C741">IF(B741="","",IF(A741=XLOOKUP(A$2,Implementos!B:B,Implementos!C:C,"",0,1),B741+maxifs(B$1:B740,A$1:A740,A$2),B741))</f>
        <v/>
      </c>
      <c r="D741" s="4" t="str">
        <f>IF(B741="","", COUNTIFS(Productos!F:F,A741,Productos!H:H,B741)+IF(F741="SI",0,1))</f>
        <v/>
      </c>
      <c r="E741" s="4" t="str">
        <f>IFERROR(__xludf.DUMMYFUNCTION("IF($B741="""","""",INDEX(filter(Familias!F:F,Familias!$D:$D=$A741,Familias!$E:$E=$B741),1))"),"")</f>
        <v/>
      </c>
      <c r="F741" s="4" t="str">
        <f>IFERROR(__xludf.DUMMYFUNCTION("IF($B741="""","""",INDEX(filter(Familias!G:G,Familias!$D:$D=$A741,Familias!$E:$E=$B741),1))"),"")</f>
        <v/>
      </c>
      <c r="G741" s="4" t="str">
        <f t="array" ref="G741">IF(C741=1,XLOOKUP(C741,Cotizador!D:D,Cotizador!E:E,"",0,1),"")</f>
        <v/>
      </c>
      <c r="I741" s="4"/>
      <c r="J741" s="8" t="str">
        <f>IF(I741="","",SUMIF(Cotizador!I$1:V$1,I741,Cotizador!I$2:V$2))</f>
        <v/>
      </c>
      <c r="L741" s="4" t="str">
        <f t="array" ref="L741">IF(COUNTIF(L$1:L740,A$2)=SUMIF(A:A,A$2,D:D),IF(COUNTIF(L$1:L740,XLOOKUP(A$2,Implementos!B:B,Implementos!C:C,"",0,1))=SUMIF(A:A,XLOOKUP(A$2,Implementos!B:B,Implementos!C:C,"",0,1),D:D),"",XLOOKUP(A$2,Implementos!B:B,Implementos!C:C,"",0,1)),A$2)</f>
        <v/>
      </c>
      <c r="M741" s="4" t="str">
        <f t="shared" si="2"/>
        <v/>
      </c>
      <c r="N741" s="4" t="str">
        <f t="shared" si="3"/>
        <v/>
      </c>
      <c r="O741" s="4" t="str">
        <f t="shared" si="4"/>
        <v/>
      </c>
      <c r="P741" s="4" t="str">
        <f t="shared" si="5"/>
        <v/>
      </c>
      <c r="Q741" s="4" t="str">
        <f>IF(U741="","",SUMIF(Productos!E:E,U741,Productos!A:A))</f>
        <v/>
      </c>
      <c r="R741" s="4" t="str">
        <f t="array" ref="R741">IF(L741="","", max(1,SUMIF(I:I,XLOOKUP(U741,Productos!E:E,Productos!G:G,"",0,1),J:J)))</f>
        <v/>
      </c>
      <c r="S741" s="4" t="str">
        <f>IF(Q741="","",IF(SUMIFS(Compat_Vetado!D:D,Compat_Vetado!B:B,SUM(G:G),Compat_Vetado!C:C,Q741)=1,"SI",IF(OR(SUMIF(Cotizador!E:E,Q741,Cotizador!G:G)&gt;0,SUMIFS(Compat_Vetado!D:D,Compat_Vetado!B:B,SUM(G:G),Compat_Vetado!C:C,Q741)=-1),"NO","")))</f>
        <v/>
      </c>
      <c r="T741" s="4" t="str">
        <f t="shared" si="6"/>
        <v/>
      </c>
      <c r="U741" s="4" t="str">
        <f>IFERROR(__xludf.DUMMYFUNCTION("IF(P741="""","""",IFERROR(INDEX(filter(Productos!E:E,Productos!F:F=L741,Productos!H:H=N741),P741),IF(M741=SUM(D:D),""Finalizar"",""-"")))"),"")</f>
        <v/>
      </c>
      <c r="V741" s="4" t="str">
        <f>IFERROR(__xludf.DUMMYFUNCTION("IF(OR($U741="""",COUNTIF($I:$I,IFERROR(unique(filter(Prod_Prop!$H:$H,Prod_Prop!$G:$G=$U741,Prod_Prop!$E:$E=V$1)),""Check""))=0),"""",IFERROR(unique(filter(Prod_Prop!$H:$H,Prod_Prop!$G:$G=$U741,Prod_Prop!$E:$E=V$1)),""""))"),"")</f>
        <v/>
      </c>
      <c r="W741" s="4" t="str">
        <f>IF(V741="","",SUMIFS(Prod_Prop!$J:$J,Prod_Prop!$B:$B,$Q741,Prod_Prop!$H:$H,V741,Prod_Prop!$I:$I,W$1)*IF(V741="Peso",$R741,1))</f>
        <v/>
      </c>
      <c r="X741" s="4" t="str">
        <f>IF(V741="","",SUMIFS(Prod_Prop!$J:$J,Prod_Prop!$B:$B,$Q741,Prod_Prop!$H:$H,V741,Prod_Prop!$I:$I,X$1)*IF(V741="Peso",$R741,1))</f>
        <v/>
      </c>
      <c r="Y741" s="4" t="str">
        <f>IFERROR(__xludf.DUMMYFUNCTION("IF(OR($U741="""",COUNTIF($I:$I,IFERROR(unique(filter(Prod_Prop!$H:$H,Prod_Prop!$G:$G=$U741,Prod_Prop!$E:$E=Y$1)),""Check""))=0),"""",IFERROR(unique(filter(Prod_Prop!$H:$H,Prod_Prop!$G:$G=$U741,Prod_Prop!$E:$E=Y$1)),""""))"),"")</f>
        <v/>
      </c>
      <c r="Z741" s="4" t="str">
        <f>IF(Y741="","",SUMIFS(Prod_Prop!$J:$J,Prod_Prop!$B:$B,$Q741,Prod_Prop!$H:$H,Y741,Prod_Prop!$I:$I,Z$1)*IF(Y741="Peso",$R741,1))</f>
        <v/>
      </c>
      <c r="AA741" s="4" t="str">
        <f>IF(Y741="","",SUMIFS(Prod_Prop!$J:$J,Prod_Prop!$B:$B,$Q741,Prod_Prop!$H:$H,Y741,Prod_Prop!$I:$I,AA$1)*IF(Y741="Peso",$R741,1))</f>
        <v/>
      </c>
      <c r="AB741" s="4" t="str">
        <f>IFERROR(__xludf.DUMMYFUNCTION("IF(OR($U741="""",COUNTIF($I:$I,IFERROR(unique(filter(Prod_Prop!$H:$H,Prod_Prop!$G:$G=$U741,Prod_Prop!$E:$E=AB$1)),""Check""))=0),"""",IFERROR(unique(filter(Prod_Prop!$H:$H,Prod_Prop!$G:$G=$U741,Prod_Prop!$E:$E=AB$1)),""""))"),"")</f>
        <v/>
      </c>
      <c r="AC741" s="4" t="str">
        <f>IF(AB741="","",SUMIFS(Prod_Prop!$J:$J,Prod_Prop!$B:$B,$Q741,Prod_Prop!$H:$H,AB741,Prod_Prop!$I:$I,AC$1)*IF(AB741="Peso",$R741,1))</f>
        <v/>
      </c>
      <c r="AD741" s="4" t="str">
        <f>IF(AB741="","",SUMIFS(Prod_Prop!$J:$J,Prod_Prop!$B:$B,$Q741,Prod_Prop!$H:$H,AB741,Prod_Prop!$I:$I,AD$1)*IF(AB741="Peso",$R741,1))</f>
        <v/>
      </c>
    </row>
    <row r="742">
      <c r="A742" s="4" t="str">
        <f t="array" ref="A742">IF(COUNTIF(A$1:A741,Cotizador!F$2)=maxifs(Familias!E:E,Familias!D:D,Cotizador!F$2),IF(COUNTIF(A$1:A741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2" s="4" t="str">
        <f t="shared" si="1"/>
        <v/>
      </c>
      <c r="C742" s="4" t="str">
        <f t="array" ref="C742">IF(B742="","",IF(A742=XLOOKUP(A$2,Implementos!B:B,Implementos!C:C,"",0,1),B742+maxifs(B$1:B741,A$1:A741,A$2),B742))</f>
        <v/>
      </c>
      <c r="D742" s="4" t="str">
        <f>IF(B742="","", COUNTIFS(Productos!F:F,A742,Productos!H:H,B742)+IF(F742="SI",0,1))</f>
        <v/>
      </c>
      <c r="E742" s="4" t="str">
        <f>IFERROR(__xludf.DUMMYFUNCTION("IF($B742="""","""",INDEX(filter(Familias!F:F,Familias!$D:$D=$A742,Familias!$E:$E=$B742),1))"),"")</f>
        <v/>
      </c>
      <c r="F742" s="4" t="str">
        <f>IFERROR(__xludf.DUMMYFUNCTION("IF($B742="""","""",INDEX(filter(Familias!G:G,Familias!$D:$D=$A742,Familias!$E:$E=$B742),1))"),"")</f>
        <v/>
      </c>
      <c r="G742" s="4" t="str">
        <f t="array" ref="G742">IF(C742=1,XLOOKUP(C742,Cotizador!D:D,Cotizador!E:E,"",0,1),"")</f>
        <v/>
      </c>
      <c r="I742" s="4"/>
      <c r="J742" s="8" t="str">
        <f>IF(I742="","",SUMIF(Cotizador!I$1:V$1,I742,Cotizador!I$2:V$2))</f>
        <v/>
      </c>
      <c r="L742" s="4" t="str">
        <f t="array" ref="L742">IF(COUNTIF(L$1:L741,A$2)=SUMIF(A:A,A$2,D:D),IF(COUNTIF(L$1:L741,XLOOKUP(A$2,Implementos!B:B,Implementos!C:C,"",0,1))=SUMIF(A:A,XLOOKUP(A$2,Implementos!B:B,Implementos!C:C,"",0,1),D:D),"",XLOOKUP(A$2,Implementos!B:B,Implementos!C:C,"",0,1)),A$2)</f>
        <v/>
      </c>
      <c r="M742" s="4" t="str">
        <f t="shared" si="2"/>
        <v/>
      </c>
      <c r="N742" s="4" t="str">
        <f t="shared" si="3"/>
        <v/>
      </c>
      <c r="O742" s="4" t="str">
        <f t="shared" si="4"/>
        <v/>
      </c>
      <c r="P742" s="4" t="str">
        <f t="shared" si="5"/>
        <v/>
      </c>
      <c r="Q742" s="4" t="str">
        <f>IF(U742="","",SUMIF(Productos!E:E,U742,Productos!A:A))</f>
        <v/>
      </c>
      <c r="R742" s="4" t="str">
        <f t="array" ref="R742">IF(L742="","", max(1,SUMIF(I:I,XLOOKUP(U742,Productos!E:E,Productos!G:G,"",0,1),J:J)))</f>
        <v/>
      </c>
      <c r="S742" s="4" t="str">
        <f>IF(Q742="","",IF(SUMIFS(Compat_Vetado!D:D,Compat_Vetado!B:B,SUM(G:G),Compat_Vetado!C:C,Q742)=1,"SI",IF(OR(SUMIF(Cotizador!E:E,Q742,Cotizador!G:G)&gt;0,SUMIFS(Compat_Vetado!D:D,Compat_Vetado!B:B,SUM(G:G),Compat_Vetado!C:C,Q742)=-1),"NO","")))</f>
        <v/>
      </c>
      <c r="T742" s="4" t="str">
        <f t="shared" si="6"/>
        <v/>
      </c>
      <c r="U742" s="4" t="str">
        <f>IFERROR(__xludf.DUMMYFUNCTION("IF(P742="""","""",IFERROR(INDEX(filter(Productos!E:E,Productos!F:F=L742,Productos!H:H=N742),P742),IF(M742=SUM(D:D),""Finalizar"",""-"")))"),"")</f>
        <v/>
      </c>
      <c r="V742" s="4" t="str">
        <f>IFERROR(__xludf.DUMMYFUNCTION("IF(OR($U742="""",COUNTIF($I:$I,IFERROR(unique(filter(Prod_Prop!$H:$H,Prod_Prop!$G:$G=$U742,Prod_Prop!$E:$E=V$1)),""Check""))=0),"""",IFERROR(unique(filter(Prod_Prop!$H:$H,Prod_Prop!$G:$G=$U742,Prod_Prop!$E:$E=V$1)),""""))"),"")</f>
        <v/>
      </c>
      <c r="W742" s="4" t="str">
        <f>IF(V742="","",SUMIFS(Prod_Prop!$J:$J,Prod_Prop!$B:$B,$Q742,Prod_Prop!$H:$H,V742,Prod_Prop!$I:$I,W$1)*IF(V742="Peso",$R742,1))</f>
        <v/>
      </c>
      <c r="X742" s="4" t="str">
        <f>IF(V742="","",SUMIFS(Prod_Prop!$J:$J,Prod_Prop!$B:$B,$Q742,Prod_Prop!$H:$H,V742,Prod_Prop!$I:$I,X$1)*IF(V742="Peso",$R742,1))</f>
        <v/>
      </c>
      <c r="Y742" s="4" t="str">
        <f>IFERROR(__xludf.DUMMYFUNCTION("IF(OR($U742="""",COUNTIF($I:$I,IFERROR(unique(filter(Prod_Prop!$H:$H,Prod_Prop!$G:$G=$U742,Prod_Prop!$E:$E=Y$1)),""Check""))=0),"""",IFERROR(unique(filter(Prod_Prop!$H:$H,Prod_Prop!$G:$G=$U742,Prod_Prop!$E:$E=Y$1)),""""))"),"")</f>
        <v/>
      </c>
      <c r="Z742" s="4" t="str">
        <f>IF(Y742="","",SUMIFS(Prod_Prop!$J:$J,Prod_Prop!$B:$B,$Q742,Prod_Prop!$H:$H,Y742,Prod_Prop!$I:$I,Z$1)*IF(Y742="Peso",$R742,1))</f>
        <v/>
      </c>
      <c r="AA742" s="4" t="str">
        <f>IF(Y742="","",SUMIFS(Prod_Prop!$J:$J,Prod_Prop!$B:$B,$Q742,Prod_Prop!$H:$H,Y742,Prod_Prop!$I:$I,AA$1)*IF(Y742="Peso",$R742,1))</f>
        <v/>
      </c>
      <c r="AB742" s="4" t="str">
        <f>IFERROR(__xludf.DUMMYFUNCTION("IF(OR($U742="""",COUNTIF($I:$I,IFERROR(unique(filter(Prod_Prop!$H:$H,Prod_Prop!$G:$G=$U742,Prod_Prop!$E:$E=AB$1)),""Check""))=0),"""",IFERROR(unique(filter(Prod_Prop!$H:$H,Prod_Prop!$G:$G=$U742,Prod_Prop!$E:$E=AB$1)),""""))"),"")</f>
        <v/>
      </c>
      <c r="AC742" s="4" t="str">
        <f>IF(AB742="","",SUMIFS(Prod_Prop!$J:$J,Prod_Prop!$B:$B,$Q742,Prod_Prop!$H:$H,AB742,Prod_Prop!$I:$I,AC$1)*IF(AB742="Peso",$R742,1))</f>
        <v/>
      </c>
      <c r="AD742" s="4" t="str">
        <f>IF(AB742="","",SUMIFS(Prod_Prop!$J:$J,Prod_Prop!$B:$B,$Q742,Prod_Prop!$H:$H,AB742,Prod_Prop!$I:$I,AD$1)*IF(AB742="Peso",$R742,1))</f>
        <v/>
      </c>
    </row>
    <row r="743">
      <c r="A743" s="4" t="str">
        <f t="array" ref="A743">IF(COUNTIF(A$1:A742,Cotizador!F$2)=maxifs(Familias!E:E,Familias!D:D,Cotizador!F$2),IF(COUNTIF(A$1:A742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3" s="4" t="str">
        <f t="shared" si="1"/>
        <v/>
      </c>
      <c r="C743" s="4" t="str">
        <f t="array" ref="C743">IF(B743="","",IF(A743=XLOOKUP(A$2,Implementos!B:B,Implementos!C:C,"",0,1),B743+maxifs(B$1:B742,A$1:A742,A$2),B743))</f>
        <v/>
      </c>
      <c r="D743" s="4" t="str">
        <f>IF(B743="","", COUNTIFS(Productos!F:F,A743,Productos!H:H,B743)+IF(F743="SI",0,1))</f>
        <v/>
      </c>
      <c r="E743" s="4" t="str">
        <f>IFERROR(__xludf.DUMMYFUNCTION("IF($B743="""","""",INDEX(filter(Familias!F:F,Familias!$D:$D=$A743,Familias!$E:$E=$B743),1))"),"")</f>
        <v/>
      </c>
      <c r="F743" s="4" t="str">
        <f>IFERROR(__xludf.DUMMYFUNCTION("IF($B743="""","""",INDEX(filter(Familias!G:G,Familias!$D:$D=$A743,Familias!$E:$E=$B743),1))"),"")</f>
        <v/>
      </c>
      <c r="G743" s="4" t="str">
        <f t="array" ref="G743">IF(C743=1,XLOOKUP(C743,Cotizador!D:D,Cotizador!E:E,"",0,1),"")</f>
        <v/>
      </c>
      <c r="I743" s="4"/>
      <c r="J743" s="8" t="str">
        <f>IF(I743="","",SUMIF(Cotizador!I$1:V$1,I743,Cotizador!I$2:V$2))</f>
        <v/>
      </c>
      <c r="L743" s="4" t="str">
        <f t="array" ref="L743">IF(COUNTIF(L$1:L742,A$2)=SUMIF(A:A,A$2,D:D),IF(COUNTIF(L$1:L742,XLOOKUP(A$2,Implementos!B:B,Implementos!C:C,"",0,1))=SUMIF(A:A,XLOOKUP(A$2,Implementos!B:B,Implementos!C:C,"",0,1),D:D),"",XLOOKUP(A$2,Implementos!B:B,Implementos!C:C,"",0,1)),A$2)</f>
        <v/>
      </c>
      <c r="M743" s="4" t="str">
        <f t="shared" si="2"/>
        <v/>
      </c>
      <c r="N743" s="4" t="str">
        <f t="shared" si="3"/>
        <v/>
      </c>
      <c r="O743" s="4" t="str">
        <f t="shared" si="4"/>
        <v/>
      </c>
      <c r="P743" s="4" t="str">
        <f t="shared" si="5"/>
        <v/>
      </c>
      <c r="Q743" s="4" t="str">
        <f>IF(U743="","",SUMIF(Productos!E:E,U743,Productos!A:A))</f>
        <v/>
      </c>
      <c r="R743" s="4" t="str">
        <f t="array" ref="R743">IF(L743="","", max(1,SUMIF(I:I,XLOOKUP(U743,Productos!E:E,Productos!G:G,"",0,1),J:J)))</f>
        <v/>
      </c>
      <c r="S743" s="4" t="str">
        <f>IF(Q743="","",IF(SUMIFS(Compat_Vetado!D:D,Compat_Vetado!B:B,SUM(G:G),Compat_Vetado!C:C,Q743)=1,"SI",IF(OR(SUMIF(Cotizador!E:E,Q743,Cotizador!G:G)&gt;0,SUMIFS(Compat_Vetado!D:D,Compat_Vetado!B:B,SUM(G:G),Compat_Vetado!C:C,Q743)=-1),"NO","")))</f>
        <v/>
      </c>
      <c r="T743" s="4" t="str">
        <f t="shared" si="6"/>
        <v/>
      </c>
      <c r="U743" s="4" t="str">
        <f>IFERROR(__xludf.DUMMYFUNCTION("IF(P743="""","""",IFERROR(INDEX(filter(Productos!E:E,Productos!F:F=L743,Productos!H:H=N743),P743),IF(M743=SUM(D:D),""Finalizar"",""-"")))"),"")</f>
        <v/>
      </c>
      <c r="V743" s="4" t="str">
        <f>IFERROR(__xludf.DUMMYFUNCTION("IF(OR($U743="""",COUNTIF($I:$I,IFERROR(unique(filter(Prod_Prop!$H:$H,Prod_Prop!$G:$G=$U743,Prod_Prop!$E:$E=V$1)),""Check""))=0),"""",IFERROR(unique(filter(Prod_Prop!$H:$H,Prod_Prop!$G:$G=$U743,Prod_Prop!$E:$E=V$1)),""""))"),"")</f>
        <v/>
      </c>
      <c r="W743" s="4" t="str">
        <f>IF(V743="","",SUMIFS(Prod_Prop!$J:$J,Prod_Prop!$B:$B,$Q743,Prod_Prop!$H:$H,V743,Prod_Prop!$I:$I,W$1)*IF(V743="Peso",$R743,1))</f>
        <v/>
      </c>
      <c r="X743" s="4" t="str">
        <f>IF(V743="","",SUMIFS(Prod_Prop!$J:$J,Prod_Prop!$B:$B,$Q743,Prod_Prop!$H:$H,V743,Prod_Prop!$I:$I,X$1)*IF(V743="Peso",$R743,1))</f>
        <v/>
      </c>
      <c r="Y743" s="4" t="str">
        <f>IFERROR(__xludf.DUMMYFUNCTION("IF(OR($U743="""",COUNTIF($I:$I,IFERROR(unique(filter(Prod_Prop!$H:$H,Prod_Prop!$G:$G=$U743,Prod_Prop!$E:$E=Y$1)),""Check""))=0),"""",IFERROR(unique(filter(Prod_Prop!$H:$H,Prod_Prop!$G:$G=$U743,Prod_Prop!$E:$E=Y$1)),""""))"),"")</f>
        <v/>
      </c>
      <c r="Z743" s="4" t="str">
        <f>IF(Y743="","",SUMIFS(Prod_Prop!$J:$J,Prod_Prop!$B:$B,$Q743,Prod_Prop!$H:$H,Y743,Prod_Prop!$I:$I,Z$1)*IF(Y743="Peso",$R743,1))</f>
        <v/>
      </c>
      <c r="AA743" s="4" t="str">
        <f>IF(Y743="","",SUMIFS(Prod_Prop!$J:$J,Prod_Prop!$B:$B,$Q743,Prod_Prop!$H:$H,Y743,Prod_Prop!$I:$I,AA$1)*IF(Y743="Peso",$R743,1))</f>
        <v/>
      </c>
      <c r="AB743" s="4" t="str">
        <f>IFERROR(__xludf.DUMMYFUNCTION("IF(OR($U743="""",COUNTIF($I:$I,IFERROR(unique(filter(Prod_Prop!$H:$H,Prod_Prop!$G:$G=$U743,Prod_Prop!$E:$E=AB$1)),""Check""))=0),"""",IFERROR(unique(filter(Prod_Prop!$H:$H,Prod_Prop!$G:$G=$U743,Prod_Prop!$E:$E=AB$1)),""""))"),"")</f>
        <v/>
      </c>
      <c r="AC743" s="4" t="str">
        <f>IF(AB743="","",SUMIFS(Prod_Prop!$J:$J,Prod_Prop!$B:$B,$Q743,Prod_Prop!$H:$H,AB743,Prod_Prop!$I:$I,AC$1)*IF(AB743="Peso",$R743,1))</f>
        <v/>
      </c>
      <c r="AD743" s="4" t="str">
        <f>IF(AB743="","",SUMIFS(Prod_Prop!$J:$J,Prod_Prop!$B:$B,$Q743,Prod_Prop!$H:$H,AB743,Prod_Prop!$I:$I,AD$1)*IF(AB743="Peso",$R743,1))</f>
        <v/>
      </c>
    </row>
    <row r="744">
      <c r="A744" s="4" t="str">
        <f t="array" ref="A744">IF(COUNTIF(A$1:A743,Cotizador!F$2)=maxifs(Familias!E:E,Familias!D:D,Cotizador!F$2),IF(COUNTIF(A$1:A743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4" s="4" t="str">
        <f t="shared" si="1"/>
        <v/>
      </c>
      <c r="C744" s="4" t="str">
        <f t="array" ref="C744">IF(B744="","",IF(A744=XLOOKUP(A$2,Implementos!B:B,Implementos!C:C,"",0,1),B744+maxifs(B$1:B743,A$1:A743,A$2),B744))</f>
        <v/>
      </c>
      <c r="D744" s="4" t="str">
        <f>IF(B744="","", COUNTIFS(Productos!F:F,A744,Productos!H:H,B744)+IF(F744="SI",0,1))</f>
        <v/>
      </c>
      <c r="E744" s="4" t="str">
        <f>IFERROR(__xludf.DUMMYFUNCTION("IF($B744="""","""",INDEX(filter(Familias!F:F,Familias!$D:$D=$A744,Familias!$E:$E=$B744),1))"),"")</f>
        <v/>
      </c>
      <c r="F744" s="4" t="str">
        <f>IFERROR(__xludf.DUMMYFUNCTION("IF($B744="""","""",INDEX(filter(Familias!G:G,Familias!$D:$D=$A744,Familias!$E:$E=$B744),1))"),"")</f>
        <v/>
      </c>
      <c r="G744" s="4" t="str">
        <f t="array" ref="G744">IF(C744=1,XLOOKUP(C744,Cotizador!D:D,Cotizador!E:E,"",0,1),"")</f>
        <v/>
      </c>
      <c r="I744" s="4"/>
      <c r="J744" s="8" t="str">
        <f>IF(I744="","",SUMIF(Cotizador!I$1:V$1,I744,Cotizador!I$2:V$2))</f>
        <v/>
      </c>
      <c r="L744" s="4" t="str">
        <f t="array" ref="L744">IF(COUNTIF(L$1:L743,A$2)=SUMIF(A:A,A$2,D:D),IF(COUNTIF(L$1:L743,XLOOKUP(A$2,Implementos!B:B,Implementos!C:C,"",0,1))=SUMIF(A:A,XLOOKUP(A$2,Implementos!B:B,Implementos!C:C,"",0,1),D:D),"",XLOOKUP(A$2,Implementos!B:B,Implementos!C:C,"",0,1)),A$2)</f>
        <v/>
      </c>
      <c r="M744" s="4" t="str">
        <f t="shared" si="2"/>
        <v/>
      </c>
      <c r="N744" s="4" t="str">
        <f t="shared" si="3"/>
        <v/>
      </c>
      <c r="O744" s="4" t="str">
        <f t="shared" si="4"/>
        <v/>
      </c>
      <c r="P744" s="4" t="str">
        <f t="shared" si="5"/>
        <v/>
      </c>
      <c r="Q744" s="4" t="str">
        <f>IF(U744="","",SUMIF(Productos!E:E,U744,Productos!A:A))</f>
        <v/>
      </c>
      <c r="R744" s="4" t="str">
        <f t="array" ref="R744">IF(L744="","", max(1,SUMIF(I:I,XLOOKUP(U744,Productos!E:E,Productos!G:G,"",0,1),J:J)))</f>
        <v/>
      </c>
      <c r="S744" s="4" t="str">
        <f>IF(Q744="","",IF(SUMIFS(Compat_Vetado!D:D,Compat_Vetado!B:B,SUM(G:G),Compat_Vetado!C:C,Q744)=1,"SI",IF(OR(SUMIF(Cotizador!E:E,Q744,Cotizador!G:G)&gt;0,SUMIFS(Compat_Vetado!D:D,Compat_Vetado!B:B,SUM(G:G),Compat_Vetado!C:C,Q744)=-1),"NO","")))</f>
        <v/>
      </c>
      <c r="T744" s="4" t="str">
        <f t="shared" si="6"/>
        <v/>
      </c>
      <c r="U744" s="4" t="str">
        <f>IFERROR(__xludf.DUMMYFUNCTION("IF(P744="""","""",IFERROR(INDEX(filter(Productos!E:E,Productos!F:F=L744,Productos!H:H=N744),P744),IF(M744=SUM(D:D),""Finalizar"",""-"")))"),"")</f>
        <v/>
      </c>
      <c r="V744" s="4" t="str">
        <f>IFERROR(__xludf.DUMMYFUNCTION("IF(OR($U744="""",COUNTIF($I:$I,IFERROR(unique(filter(Prod_Prop!$H:$H,Prod_Prop!$G:$G=$U744,Prod_Prop!$E:$E=V$1)),""Check""))=0),"""",IFERROR(unique(filter(Prod_Prop!$H:$H,Prod_Prop!$G:$G=$U744,Prod_Prop!$E:$E=V$1)),""""))"),"")</f>
        <v/>
      </c>
      <c r="W744" s="4" t="str">
        <f>IF(V744="","",SUMIFS(Prod_Prop!$J:$J,Prod_Prop!$B:$B,$Q744,Prod_Prop!$H:$H,V744,Prod_Prop!$I:$I,W$1)*IF(V744="Peso",$R744,1))</f>
        <v/>
      </c>
      <c r="X744" s="4" t="str">
        <f>IF(V744="","",SUMIFS(Prod_Prop!$J:$J,Prod_Prop!$B:$B,$Q744,Prod_Prop!$H:$H,V744,Prod_Prop!$I:$I,X$1)*IF(V744="Peso",$R744,1))</f>
        <v/>
      </c>
      <c r="Y744" s="4" t="str">
        <f>IFERROR(__xludf.DUMMYFUNCTION("IF(OR($U744="""",COUNTIF($I:$I,IFERROR(unique(filter(Prod_Prop!$H:$H,Prod_Prop!$G:$G=$U744,Prod_Prop!$E:$E=Y$1)),""Check""))=0),"""",IFERROR(unique(filter(Prod_Prop!$H:$H,Prod_Prop!$G:$G=$U744,Prod_Prop!$E:$E=Y$1)),""""))"),"")</f>
        <v/>
      </c>
      <c r="Z744" s="4" t="str">
        <f>IF(Y744="","",SUMIFS(Prod_Prop!$J:$J,Prod_Prop!$B:$B,$Q744,Prod_Prop!$H:$H,Y744,Prod_Prop!$I:$I,Z$1)*IF(Y744="Peso",$R744,1))</f>
        <v/>
      </c>
      <c r="AA744" s="4" t="str">
        <f>IF(Y744="","",SUMIFS(Prod_Prop!$J:$J,Prod_Prop!$B:$B,$Q744,Prod_Prop!$H:$H,Y744,Prod_Prop!$I:$I,AA$1)*IF(Y744="Peso",$R744,1))</f>
        <v/>
      </c>
      <c r="AB744" s="4" t="str">
        <f>IFERROR(__xludf.DUMMYFUNCTION("IF(OR($U744="""",COUNTIF($I:$I,IFERROR(unique(filter(Prod_Prop!$H:$H,Prod_Prop!$G:$G=$U744,Prod_Prop!$E:$E=AB$1)),""Check""))=0),"""",IFERROR(unique(filter(Prod_Prop!$H:$H,Prod_Prop!$G:$G=$U744,Prod_Prop!$E:$E=AB$1)),""""))"),"")</f>
        <v/>
      </c>
      <c r="AC744" s="4" t="str">
        <f>IF(AB744="","",SUMIFS(Prod_Prop!$J:$J,Prod_Prop!$B:$B,$Q744,Prod_Prop!$H:$H,AB744,Prod_Prop!$I:$I,AC$1)*IF(AB744="Peso",$R744,1))</f>
        <v/>
      </c>
      <c r="AD744" s="4" t="str">
        <f>IF(AB744="","",SUMIFS(Prod_Prop!$J:$J,Prod_Prop!$B:$B,$Q744,Prod_Prop!$H:$H,AB744,Prod_Prop!$I:$I,AD$1)*IF(AB744="Peso",$R744,1))</f>
        <v/>
      </c>
    </row>
    <row r="745">
      <c r="A745" s="4" t="str">
        <f t="array" ref="A745">IF(COUNTIF(A$1:A744,Cotizador!F$2)=maxifs(Familias!E:E,Familias!D:D,Cotizador!F$2),IF(COUNTIF(A$1:A744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5" s="4" t="str">
        <f t="shared" si="1"/>
        <v/>
      </c>
      <c r="C745" s="4" t="str">
        <f t="array" ref="C745">IF(B745="","",IF(A745=XLOOKUP(A$2,Implementos!B:B,Implementos!C:C,"",0,1),B745+maxifs(B$1:B744,A$1:A744,A$2),B745))</f>
        <v/>
      </c>
      <c r="D745" s="4" t="str">
        <f>IF(B745="","", COUNTIFS(Productos!F:F,A745,Productos!H:H,B745)+IF(F745="SI",0,1))</f>
        <v/>
      </c>
      <c r="E745" s="4" t="str">
        <f>IFERROR(__xludf.DUMMYFUNCTION("IF($B745="""","""",INDEX(filter(Familias!F:F,Familias!$D:$D=$A745,Familias!$E:$E=$B745),1))"),"")</f>
        <v/>
      </c>
      <c r="F745" s="4" t="str">
        <f>IFERROR(__xludf.DUMMYFUNCTION("IF($B745="""","""",INDEX(filter(Familias!G:G,Familias!$D:$D=$A745,Familias!$E:$E=$B745),1))"),"")</f>
        <v/>
      </c>
      <c r="G745" s="4" t="str">
        <f t="array" ref="G745">IF(C745=1,XLOOKUP(C745,Cotizador!D:D,Cotizador!E:E,"",0,1),"")</f>
        <v/>
      </c>
      <c r="I745" s="4"/>
      <c r="J745" s="8" t="str">
        <f>IF(I745="","",SUMIF(Cotizador!I$1:V$1,I745,Cotizador!I$2:V$2))</f>
        <v/>
      </c>
      <c r="L745" s="4" t="str">
        <f t="array" ref="L745">IF(COUNTIF(L$1:L744,A$2)=SUMIF(A:A,A$2,D:D),IF(COUNTIF(L$1:L744,XLOOKUP(A$2,Implementos!B:B,Implementos!C:C,"",0,1))=SUMIF(A:A,XLOOKUP(A$2,Implementos!B:B,Implementos!C:C,"",0,1),D:D),"",XLOOKUP(A$2,Implementos!B:B,Implementos!C:C,"",0,1)),A$2)</f>
        <v/>
      </c>
      <c r="M745" s="4" t="str">
        <f t="shared" si="2"/>
        <v/>
      </c>
      <c r="N745" s="4" t="str">
        <f t="shared" si="3"/>
        <v/>
      </c>
      <c r="O745" s="4" t="str">
        <f t="shared" si="4"/>
        <v/>
      </c>
      <c r="P745" s="4" t="str">
        <f t="shared" si="5"/>
        <v/>
      </c>
      <c r="Q745" s="4" t="str">
        <f>IF(U745="","",SUMIF(Productos!E:E,U745,Productos!A:A))</f>
        <v/>
      </c>
      <c r="R745" s="4" t="str">
        <f t="array" ref="R745">IF(L745="","", max(1,SUMIF(I:I,XLOOKUP(U745,Productos!E:E,Productos!G:G,"",0,1),J:J)))</f>
        <v/>
      </c>
      <c r="S745" s="4" t="str">
        <f>IF(Q745="","",IF(SUMIFS(Compat_Vetado!D:D,Compat_Vetado!B:B,SUM(G:G),Compat_Vetado!C:C,Q745)=1,"SI",IF(OR(SUMIF(Cotizador!E:E,Q745,Cotizador!G:G)&gt;0,SUMIFS(Compat_Vetado!D:D,Compat_Vetado!B:B,SUM(G:G),Compat_Vetado!C:C,Q745)=-1),"NO","")))</f>
        <v/>
      </c>
      <c r="T745" s="4" t="str">
        <f t="shared" si="6"/>
        <v/>
      </c>
      <c r="U745" s="4" t="str">
        <f>IFERROR(__xludf.DUMMYFUNCTION("IF(P745="""","""",IFERROR(INDEX(filter(Productos!E:E,Productos!F:F=L745,Productos!H:H=N745),P745),IF(M745=SUM(D:D),""Finalizar"",""-"")))"),"")</f>
        <v/>
      </c>
      <c r="V745" s="4" t="str">
        <f>IFERROR(__xludf.DUMMYFUNCTION("IF(OR($U745="""",COUNTIF($I:$I,IFERROR(unique(filter(Prod_Prop!$H:$H,Prod_Prop!$G:$G=$U745,Prod_Prop!$E:$E=V$1)),""Check""))=0),"""",IFERROR(unique(filter(Prod_Prop!$H:$H,Prod_Prop!$G:$G=$U745,Prod_Prop!$E:$E=V$1)),""""))"),"")</f>
        <v/>
      </c>
      <c r="W745" s="4" t="str">
        <f>IF(V745="","",SUMIFS(Prod_Prop!$J:$J,Prod_Prop!$B:$B,$Q745,Prod_Prop!$H:$H,V745,Prod_Prop!$I:$I,W$1)*IF(V745="Peso",$R745,1))</f>
        <v/>
      </c>
      <c r="X745" s="4" t="str">
        <f>IF(V745="","",SUMIFS(Prod_Prop!$J:$J,Prod_Prop!$B:$B,$Q745,Prod_Prop!$H:$H,V745,Prod_Prop!$I:$I,X$1)*IF(V745="Peso",$R745,1))</f>
        <v/>
      </c>
      <c r="Y745" s="4" t="str">
        <f>IFERROR(__xludf.DUMMYFUNCTION("IF(OR($U745="""",COUNTIF($I:$I,IFERROR(unique(filter(Prod_Prop!$H:$H,Prod_Prop!$G:$G=$U745,Prod_Prop!$E:$E=Y$1)),""Check""))=0),"""",IFERROR(unique(filter(Prod_Prop!$H:$H,Prod_Prop!$G:$G=$U745,Prod_Prop!$E:$E=Y$1)),""""))"),"")</f>
        <v/>
      </c>
      <c r="Z745" s="4" t="str">
        <f>IF(Y745="","",SUMIFS(Prod_Prop!$J:$J,Prod_Prop!$B:$B,$Q745,Prod_Prop!$H:$H,Y745,Prod_Prop!$I:$I,Z$1)*IF(Y745="Peso",$R745,1))</f>
        <v/>
      </c>
      <c r="AA745" s="4" t="str">
        <f>IF(Y745="","",SUMIFS(Prod_Prop!$J:$J,Prod_Prop!$B:$B,$Q745,Prod_Prop!$H:$H,Y745,Prod_Prop!$I:$I,AA$1)*IF(Y745="Peso",$R745,1))</f>
        <v/>
      </c>
      <c r="AB745" s="4" t="str">
        <f>IFERROR(__xludf.DUMMYFUNCTION("IF(OR($U745="""",COUNTIF($I:$I,IFERROR(unique(filter(Prod_Prop!$H:$H,Prod_Prop!$G:$G=$U745,Prod_Prop!$E:$E=AB$1)),""Check""))=0),"""",IFERROR(unique(filter(Prod_Prop!$H:$H,Prod_Prop!$G:$G=$U745,Prod_Prop!$E:$E=AB$1)),""""))"),"")</f>
        <v/>
      </c>
      <c r="AC745" s="4" t="str">
        <f>IF(AB745="","",SUMIFS(Prod_Prop!$J:$J,Prod_Prop!$B:$B,$Q745,Prod_Prop!$H:$H,AB745,Prod_Prop!$I:$I,AC$1)*IF(AB745="Peso",$R745,1))</f>
        <v/>
      </c>
      <c r="AD745" s="4" t="str">
        <f>IF(AB745="","",SUMIFS(Prod_Prop!$J:$J,Prod_Prop!$B:$B,$Q745,Prod_Prop!$H:$H,AB745,Prod_Prop!$I:$I,AD$1)*IF(AB745="Peso",$R745,1))</f>
        <v/>
      </c>
    </row>
    <row r="746">
      <c r="A746" s="4" t="str">
        <f t="array" ref="A746">IF(COUNTIF(A$1:A745,Cotizador!F$2)=maxifs(Familias!E:E,Familias!D:D,Cotizador!F$2),IF(COUNTIF(A$1:A745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6" s="4" t="str">
        <f t="shared" si="1"/>
        <v/>
      </c>
      <c r="C746" s="4" t="str">
        <f t="array" ref="C746">IF(B746="","",IF(A746=XLOOKUP(A$2,Implementos!B:B,Implementos!C:C,"",0,1),B746+maxifs(B$1:B745,A$1:A745,A$2),B746))</f>
        <v/>
      </c>
      <c r="D746" s="4" t="str">
        <f>IF(B746="","", COUNTIFS(Productos!F:F,A746,Productos!H:H,B746)+IF(F746="SI",0,1))</f>
        <v/>
      </c>
      <c r="E746" s="4" t="str">
        <f>IFERROR(__xludf.DUMMYFUNCTION("IF($B746="""","""",INDEX(filter(Familias!F:F,Familias!$D:$D=$A746,Familias!$E:$E=$B746),1))"),"")</f>
        <v/>
      </c>
      <c r="F746" s="4" t="str">
        <f>IFERROR(__xludf.DUMMYFUNCTION("IF($B746="""","""",INDEX(filter(Familias!G:G,Familias!$D:$D=$A746,Familias!$E:$E=$B746),1))"),"")</f>
        <v/>
      </c>
      <c r="G746" s="4" t="str">
        <f t="array" ref="G746">IF(C746=1,XLOOKUP(C746,Cotizador!D:D,Cotizador!E:E,"",0,1),"")</f>
        <v/>
      </c>
      <c r="I746" s="4"/>
      <c r="J746" s="8" t="str">
        <f>IF(I746="","",SUMIF(Cotizador!I$1:V$1,I746,Cotizador!I$2:V$2))</f>
        <v/>
      </c>
      <c r="L746" s="4" t="str">
        <f t="array" ref="L746">IF(COUNTIF(L$1:L745,A$2)=SUMIF(A:A,A$2,D:D),IF(COUNTIF(L$1:L745,XLOOKUP(A$2,Implementos!B:B,Implementos!C:C,"",0,1))=SUMIF(A:A,XLOOKUP(A$2,Implementos!B:B,Implementos!C:C,"",0,1),D:D),"",XLOOKUP(A$2,Implementos!B:B,Implementos!C:C,"",0,1)),A$2)</f>
        <v/>
      </c>
      <c r="M746" s="4" t="str">
        <f t="shared" si="2"/>
        <v/>
      </c>
      <c r="N746" s="4" t="str">
        <f t="shared" si="3"/>
        <v/>
      </c>
      <c r="O746" s="4" t="str">
        <f t="shared" si="4"/>
        <v/>
      </c>
      <c r="P746" s="4" t="str">
        <f t="shared" si="5"/>
        <v/>
      </c>
      <c r="Q746" s="4" t="str">
        <f>IF(U746="","",SUMIF(Productos!E:E,U746,Productos!A:A))</f>
        <v/>
      </c>
      <c r="R746" s="4" t="str">
        <f t="array" ref="R746">IF(L746="","", max(1,SUMIF(I:I,XLOOKUP(U746,Productos!E:E,Productos!G:G,"",0,1),J:J)))</f>
        <v/>
      </c>
      <c r="S746" s="4" t="str">
        <f>IF(Q746="","",IF(SUMIFS(Compat_Vetado!D:D,Compat_Vetado!B:B,SUM(G:G),Compat_Vetado!C:C,Q746)=1,"SI",IF(OR(SUMIF(Cotizador!E:E,Q746,Cotizador!G:G)&gt;0,SUMIFS(Compat_Vetado!D:D,Compat_Vetado!B:B,SUM(G:G),Compat_Vetado!C:C,Q746)=-1),"NO","")))</f>
        <v/>
      </c>
      <c r="T746" s="4" t="str">
        <f t="shared" si="6"/>
        <v/>
      </c>
      <c r="U746" s="4" t="str">
        <f>IFERROR(__xludf.DUMMYFUNCTION("IF(P746="""","""",IFERROR(INDEX(filter(Productos!E:E,Productos!F:F=L746,Productos!H:H=N746),P746),IF(M746=SUM(D:D),""Finalizar"",""-"")))"),"")</f>
        <v/>
      </c>
      <c r="V746" s="4" t="str">
        <f>IFERROR(__xludf.DUMMYFUNCTION("IF(OR($U746="""",COUNTIF($I:$I,IFERROR(unique(filter(Prod_Prop!$H:$H,Prod_Prop!$G:$G=$U746,Prod_Prop!$E:$E=V$1)),""Check""))=0),"""",IFERROR(unique(filter(Prod_Prop!$H:$H,Prod_Prop!$G:$G=$U746,Prod_Prop!$E:$E=V$1)),""""))"),"")</f>
        <v/>
      </c>
      <c r="W746" s="4" t="str">
        <f>IF(V746="","",SUMIFS(Prod_Prop!$J:$J,Prod_Prop!$B:$B,$Q746,Prod_Prop!$H:$H,V746,Prod_Prop!$I:$I,W$1)*IF(V746="Peso",$R746,1))</f>
        <v/>
      </c>
      <c r="X746" s="4" t="str">
        <f>IF(V746="","",SUMIFS(Prod_Prop!$J:$J,Prod_Prop!$B:$B,$Q746,Prod_Prop!$H:$H,V746,Prod_Prop!$I:$I,X$1)*IF(V746="Peso",$R746,1))</f>
        <v/>
      </c>
      <c r="Y746" s="4" t="str">
        <f>IFERROR(__xludf.DUMMYFUNCTION("IF(OR($U746="""",COUNTIF($I:$I,IFERROR(unique(filter(Prod_Prop!$H:$H,Prod_Prop!$G:$G=$U746,Prod_Prop!$E:$E=Y$1)),""Check""))=0),"""",IFERROR(unique(filter(Prod_Prop!$H:$H,Prod_Prop!$G:$G=$U746,Prod_Prop!$E:$E=Y$1)),""""))"),"")</f>
        <v/>
      </c>
      <c r="Z746" s="4" t="str">
        <f>IF(Y746="","",SUMIFS(Prod_Prop!$J:$J,Prod_Prop!$B:$B,$Q746,Prod_Prop!$H:$H,Y746,Prod_Prop!$I:$I,Z$1)*IF(Y746="Peso",$R746,1))</f>
        <v/>
      </c>
      <c r="AA746" s="4" t="str">
        <f>IF(Y746="","",SUMIFS(Prod_Prop!$J:$J,Prod_Prop!$B:$B,$Q746,Prod_Prop!$H:$H,Y746,Prod_Prop!$I:$I,AA$1)*IF(Y746="Peso",$R746,1))</f>
        <v/>
      </c>
      <c r="AB746" s="4" t="str">
        <f>IFERROR(__xludf.DUMMYFUNCTION("IF(OR($U746="""",COUNTIF($I:$I,IFERROR(unique(filter(Prod_Prop!$H:$H,Prod_Prop!$G:$G=$U746,Prod_Prop!$E:$E=AB$1)),""Check""))=0),"""",IFERROR(unique(filter(Prod_Prop!$H:$H,Prod_Prop!$G:$G=$U746,Prod_Prop!$E:$E=AB$1)),""""))"),"")</f>
        <v/>
      </c>
      <c r="AC746" s="4" t="str">
        <f>IF(AB746="","",SUMIFS(Prod_Prop!$J:$J,Prod_Prop!$B:$B,$Q746,Prod_Prop!$H:$H,AB746,Prod_Prop!$I:$I,AC$1)*IF(AB746="Peso",$R746,1))</f>
        <v/>
      </c>
      <c r="AD746" s="4" t="str">
        <f>IF(AB746="","",SUMIFS(Prod_Prop!$J:$J,Prod_Prop!$B:$B,$Q746,Prod_Prop!$H:$H,AB746,Prod_Prop!$I:$I,AD$1)*IF(AB746="Peso",$R746,1))</f>
        <v/>
      </c>
    </row>
    <row r="747">
      <c r="A747" s="4" t="str">
        <f t="array" ref="A747">IF(COUNTIF(A$1:A746,Cotizador!F$2)=maxifs(Familias!E:E,Familias!D:D,Cotizador!F$2),IF(COUNTIF(A$1:A746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7" s="4" t="str">
        <f t="shared" si="1"/>
        <v/>
      </c>
      <c r="C747" s="4" t="str">
        <f t="array" ref="C747">IF(B747="","",IF(A747=XLOOKUP(A$2,Implementos!B:B,Implementos!C:C,"",0,1),B747+maxifs(B$1:B746,A$1:A746,A$2),B747))</f>
        <v/>
      </c>
      <c r="D747" s="4" t="str">
        <f>IF(B747="","", COUNTIFS(Productos!F:F,A747,Productos!H:H,B747)+IF(F747="SI",0,1))</f>
        <v/>
      </c>
      <c r="E747" s="4" t="str">
        <f>IFERROR(__xludf.DUMMYFUNCTION("IF($B747="""","""",INDEX(filter(Familias!F:F,Familias!$D:$D=$A747,Familias!$E:$E=$B747),1))"),"")</f>
        <v/>
      </c>
      <c r="F747" s="4" t="str">
        <f>IFERROR(__xludf.DUMMYFUNCTION("IF($B747="""","""",INDEX(filter(Familias!G:G,Familias!$D:$D=$A747,Familias!$E:$E=$B747),1))"),"")</f>
        <v/>
      </c>
      <c r="G747" s="4" t="str">
        <f t="array" ref="G747">IF(C747=1,XLOOKUP(C747,Cotizador!D:D,Cotizador!E:E,"",0,1),"")</f>
        <v/>
      </c>
      <c r="I747" s="4"/>
      <c r="J747" s="8" t="str">
        <f>IF(I747="","",SUMIF(Cotizador!I$1:V$1,I747,Cotizador!I$2:V$2))</f>
        <v/>
      </c>
      <c r="L747" s="4" t="str">
        <f t="array" ref="L747">IF(COUNTIF(L$1:L746,A$2)=SUMIF(A:A,A$2,D:D),IF(COUNTIF(L$1:L746,XLOOKUP(A$2,Implementos!B:B,Implementos!C:C,"",0,1))=SUMIF(A:A,XLOOKUP(A$2,Implementos!B:B,Implementos!C:C,"",0,1),D:D),"",XLOOKUP(A$2,Implementos!B:B,Implementos!C:C,"",0,1)),A$2)</f>
        <v/>
      </c>
      <c r="M747" s="4" t="str">
        <f t="shared" si="2"/>
        <v/>
      </c>
      <c r="N747" s="4" t="str">
        <f t="shared" si="3"/>
        <v/>
      </c>
      <c r="O747" s="4" t="str">
        <f t="shared" si="4"/>
        <v/>
      </c>
      <c r="P747" s="4" t="str">
        <f t="shared" si="5"/>
        <v/>
      </c>
      <c r="Q747" s="4" t="str">
        <f>IF(U747="","",SUMIF(Productos!E:E,U747,Productos!A:A))</f>
        <v/>
      </c>
      <c r="R747" s="4" t="str">
        <f t="array" ref="R747">IF(L747="","", max(1,SUMIF(I:I,XLOOKUP(U747,Productos!E:E,Productos!G:G,"",0,1),J:J)))</f>
        <v/>
      </c>
      <c r="S747" s="4" t="str">
        <f>IF(Q747="","",IF(SUMIFS(Compat_Vetado!D:D,Compat_Vetado!B:B,SUM(G:G),Compat_Vetado!C:C,Q747)=1,"SI",IF(OR(SUMIF(Cotizador!E:E,Q747,Cotizador!G:G)&gt;0,SUMIFS(Compat_Vetado!D:D,Compat_Vetado!B:B,SUM(G:G),Compat_Vetado!C:C,Q747)=-1),"NO","")))</f>
        <v/>
      </c>
      <c r="T747" s="4" t="str">
        <f t="shared" si="6"/>
        <v/>
      </c>
      <c r="U747" s="4" t="str">
        <f>IFERROR(__xludf.DUMMYFUNCTION("IF(P747="""","""",IFERROR(INDEX(filter(Productos!E:E,Productos!F:F=L747,Productos!H:H=N747),P747),IF(M747=SUM(D:D),""Finalizar"",""-"")))"),"")</f>
        <v/>
      </c>
      <c r="V747" s="4" t="str">
        <f>IFERROR(__xludf.DUMMYFUNCTION("IF(OR($U747="""",COUNTIF($I:$I,IFERROR(unique(filter(Prod_Prop!$H:$H,Prod_Prop!$G:$G=$U747,Prod_Prop!$E:$E=V$1)),""Check""))=0),"""",IFERROR(unique(filter(Prod_Prop!$H:$H,Prod_Prop!$G:$G=$U747,Prod_Prop!$E:$E=V$1)),""""))"),"")</f>
        <v/>
      </c>
      <c r="W747" s="4" t="str">
        <f>IF(V747="","",SUMIFS(Prod_Prop!$J:$J,Prod_Prop!$B:$B,$Q747,Prod_Prop!$H:$H,V747,Prod_Prop!$I:$I,W$1)*IF(V747="Peso",$R747,1))</f>
        <v/>
      </c>
      <c r="X747" s="4" t="str">
        <f>IF(V747="","",SUMIFS(Prod_Prop!$J:$J,Prod_Prop!$B:$B,$Q747,Prod_Prop!$H:$H,V747,Prod_Prop!$I:$I,X$1)*IF(V747="Peso",$R747,1))</f>
        <v/>
      </c>
      <c r="Y747" s="4" t="str">
        <f>IFERROR(__xludf.DUMMYFUNCTION("IF(OR($U747="""",COUNTIF($I:$I,IFERROR(unique(filter(Prod_Prop!$H:$H,Prod_Prop!$G:$G=$U747,Prod_Prop!$E:$E=Y$1)),""Check""))=0),"""",IFERROR(unique(filter(Prod_Prop!$H:$H,Prod_Prop!$G:$G=$U747,Prod_Prop!$E:$E=Y$1)),""""))"),"")</f>
        <v/>
      </c>
      <c r="Z747" s="4" t="str">
        <f>IF(Y747="","",SUMIFS(Prod_Prop!$J:$J,Prod_Prop!$B:$B,$Q747,Prod_Prop!$H:$H,Y747,Prod_Prop!$I:$I,Z$1)*IF(Y747="Peso",$R747,1))</f>
        <v/>
      </c>
      <c r="AA747" s="4" t="str">
        <f>IF(Y747="","",SUMIFS(Prod_Prop!$J:$J,Prod_Prop!$B:$B,$Q747,Prod_Prop!$H:$H,Y747,Prod_Prop!$I:$I,AA$1)*IF(Y747="Peso",$R747,1))</f>
        <v/>
      </c>
      <c r="AB747" s="4" t="str">
        <f>IFERROR(__xludf.DUMMYFUNCTION("IF(OR($U747="""",COUNTIF($I:$I,IFERROR(unique(filter(Prod_Prop!$H:$H,Prod_Prop!$G:$G=$U747,Prod_Prop!$E:$E=AB$1)),""Check""))=0),"""",IFERROR(unique(filter(Prod_Prop!$H:$H,Prod_Prop!$G:$G=$U747,Prod_Prop!$E:$E=AB$1)),""""))"),"")</f>
        <v/>
      </c>
      <c r="AC747" s="4" t="str">
        <f>IF(AB747="","",SUMIFS(Prod_Prop!$J:$J,Prod_Prop!$B:$B,$Q747,Prod_Prop!$H:$H,AB747,Prod_Prop!$I:$I,AC$1)*IF(AB747="Peso",$R747,1))</f>
        <v/>
      </c>
      <c r="AD747" s="4" t="str">
        <f>IF(AB747="","",SUMIFS(Prod_Prop!$J:$J,Prod_Prop!$B:$B,$Q747,Prod_Prop!$H:$H,AB747,Prod_Prop!$I:$I,AD$1)*IF(AB747="Peso",$R747,1))</f>
        <v/>
      </c>
    </row>
    <row r="748">
      <c r="A748" s="4" t="str">
        <f t="array" ref="A748">IF(COUNTIF(A$1:A747,Cotizador!F$2)=maxifs(Familias!E:E,Familias!D:D,Cotizador!F$2),IF(COUNTIF(A$1:A747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8" s="4" t="str">
        <f t="shared" si="1"/>
        <v/>
      </c>
      <c r="C748" s="4" t="str">
        <f t="array" ref="C748">IF(B748="","",IF(A748=XLOOKUP(A$2,Implementos!B:B,Implementos!C:C,"",0,1),B748+maxifs(B$1:B747,A$1:A747,A$2),B748))</f>
        <v/>
      </c>
      <c r="D748" s="4" t="str">
        <f>IF(B748="","", COUNTIFS(Productos!F:F,A748,Productos!H:H,B748)+IF(F748="SI",0,1))</f>
        <v/>
      </c>
      <c r="E748" s="4" t="str">
        <f>IFERROR(__xludf.DUMMYFUNCTION("IF($B748="""","""",INDEX(filter(Familias!F:F,Familias!$D:$D=$A748,Familias!$E:$E=$B748),1))"),"")</f>
        <v/>
      </c>
      <c r="F748" s="4" t="str">
        <f>IFERROR(__xludf.DUMMYFUNCTION("IF($B748="""","""",INDEX(filter(Familias!G:G,Familias!$D:$D=$A748,Familias!$E:$E=$B748),1))"),"")</f>
        <v/>
      </c>
      <c r="G748" s="4" t="str">
        <f t="array" ref="G748">IF(C748=1,XLOOKUP(C748,Cotizador!D:D,Cotizador!E:E,"",0,1),"")</f>
        <v/>
      </c>
      <c r="I748" s="4"/>
      <c r="J748" s="8" t="str">
        <f>IF(I748="","",SUMIF(Cotizador!I$1:V$1,I748,Cotizador!I$2:V$2))</f>
        <v/>
      </c>
      <c r="L748" s="4" t="str">
        <f t="array" ref="L748">IF(COUNTIF(L$1:L747,A$2)=SUMIF(A:A,A$2,D:D),IF(COUNTIF(L$1:L747,XLOOKUP(A$2,Implementos!B:B,Implementos!C:C,"",0,1))=SUMIF(A:A,XLOOKUP(A$2,Implementos!B:B,Implementos!C:C,"",0,1),D:D),"",XLOOKUP(A$2,Implementos!B:B,Implementos!C:C,"",0,1)),A$2)</f>
        <v/>
      </c>
      <c r="M748" s="4" t="str">
        <f t="shared" si="2"/>
        <v/>
      </c>
      <c r="N748" s="4" t="str">
        <f t="shared" si="3"/>
        <v/>
      </c>
      <c r="O748" s="4" t="str">
        <f t="shared" si="4"/>
        <v/>
      </c>
      <c r="P748" s="4" t="str">
        <f t="shared" si="5"/>
        <v/>
      </c>
      <c r="Q748" s="4" t="str">
        <f>IF(U748="","",SUMIF(Productos!E:E,U748,Productos!A:A))</f>
        <v/>
      </c>
      <c r="R748" s="4" t="str">
        <f t="array" ref="R748">IF(L748="","", max(1,SUMIF(I:I,XLOOKUP(U748,Productos!E:E,Productos!G:G,"",0,1),J:J)))</f>
        <v/>
      </c>
      <c r="S748" s="4" t="str">
        <f>IF(Q748="","",IF(SUMIFS(Compat_Vetado!D:D,Compat_Vetado!B:B,SUM(G:G),Compat_Vetado!C:C,Q748)=1,"SI",IF(OR(SUMIF(Cotizador!E:E,Q748,Cotizador!G:G)&gt;0,SUMIFS(Compat_Vetado!D:D,Compat_Vetado!B:B,SUM(G:G),Compat_Vetado!C:C,Q748)=-1),"NO","")))</f>
        <v/>
      </c>
      <c r="T748" s="4" t="str">
        <f t="shared" si="6"/>
        <v/>
      </c>
      <c r="U748" s="4" t="str">
        <f>IFERROR(__xludf.DUMMYFUNCTION("IF(P748="""","""",IFERROR(INDEX(filter(Productos!E:E,Productos!F:F=L748,Productos!H:H=N748),P748),IF(M748=SUM(D:D),""Finalizar"",""-"")))"),"")</f>
        <v/>
      </c>
      <c r="V748" s="4" t="str">
        <f>IFERROR(__xludf.DUMMYFUNCTION("IF(OR($U748="""",COUNTIF($I:$I,IFERROR(unique(filter(Prod_Prop!$H:$H,Prod_Prop!$G:$G=$U748,Prod_Prop!$E:$E=V$1)),""Check""))=0),"""",IFERROR(unique(filter(Prod_Prop!$H:$H,Prod_Prop!$G:$G=$U748,Prod_Prop!$E:$E=V$1)),""""))"),"")</f>
        <v/>
      </c>
      <c r="W748" s="4" t="str">
        <f>IF(V748="","",SUMIFS(Prod_Prop!$J:$J,Prod_Prop!$B:$B,$Q748,Prod_Prop!$H:$H,V748,Prod_Prop!$I:$I,W$1)*IF(V748="Peso",$R748,1))</f>
        <v/>
      </c>
      <c r="X748" s="4" t="str">
        <f>IF(V748="","",SUMIFS(Prod_Prop!$J:$J,Prod_Prop!$B:$B,$Q748,Prod_Prop!$H:$H,V748,Prod_Prop!$I:$I,X$1)*IF(V748="Peso",$R748,1))</f>
        <v/>
      </c>
      <c r="Y748" s="4" t="str">
        <f>IFERROR(__xludf.DUMMYFUNCTION("IF(OR($U748="""",COUNTIF($I:$I,IFERROR(unique(filter(Prod_Prop!$H:$H,Prod_Prop!$G:$G=$U748,Prod_Prop!$E:$E=Y$1)),""Check""))=0),"""",IFERROR(unique(filter(Prod_Prop!$H:$H,Prod_Prop!$G:$G=$U748,Prod_Prop!$E:$E=Y$1)),""""))"),"")</f>
        <v/>
      </c>
      <c r="Z748" s="4" t="str">
        <f>IF(Y748="","",SUMIFS(Prod_Prop!$J:$J,Prod_Prop!$B:$B,$Q748,Prod_Prop!$H:$H,Y748,Prod_Prop!$I:$I,Z$1)*IF(Y748="Peso",$R748,1))</f>
        <v/>
      </c>
      <c r="AA748" s="4" t="str">
        <f>IF(Y748="","",SUMIFS(Prod_Prop!$J:$J,Prod_Prop!$B:$B,$Q748,Prod_Prop!$H:$H,Y748,Prod_Prop!$I:$I,AA$1)*IF(Y748="Peso",$R748,1))</f>
        <v/>
      </c>
      <c r="AB748" s="4" t="str">
        <f>IFERROR(__xludf.DUMMYFUNCTION("IF(OR($U748="""",COUNTIF($I:$I,IFERROR(unique(filter(Prod_Prop!$H:$H,Prod_Prop!$G:$G=$U748,Prod_Prop!$E:$E=AB$1)),""Check""))=0),"""",IFERROR(unique(filter(Prod_Prop!$H:$H,Prod_Prop!$G:$G=$U748,Prod_Prop!$E:$E=AB$1)),""""))"),"")</f>
        <v/>
      </c>
      <c r="AC748" s="4" t="str">
        <f>IF(AB748="","",SUMIFS(Prod_Prop!$J:$J,Prod_Prop!$B:$B,$Q748,Prod_Prop!$H:$H,AB748,Prod_Prop!$I:$I,AC$1)*IF(AB748="Peso",$R748,1))</f>
        <v/>
      </c>
      <c r="AD748" s="4" t="str">
        <f>IF(AB748="","",SUMIFS(Prod_Prop!$J:$J,Prod_Prop!$B:$B,$Q748,Prod_Prop!$H:$H,AB748,Prod_Prop!$I:$I,AD$1)*IF(AB748="Peso",$R748,1))</f>
        <v/>
      </c>
    </row>
    <row r="749">
      <c r="A749" s="4" t="str">
        <f t="array" ref="A749">IF(COUNTIF(A$1:A748,Cotizador!F$2)=maxifs(Familias!E:E,Familias!D:D,Cotizador!F$2),IF(COUNTIF(A$1:A748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49" s="4" t="str">
        <f t="shared" si="1"/>
        <v/>
      </c>
      <c r="C749" s="4" t="str">
        <f t="array" ref="C749">IF(B749="","",IF(A749=XLOOKUP(A$2,Implementos!B:B,Implementos!C:C,"",0,1),B749+maxifs(B$1:B748,A$1:A748,A$2),B749))</f>
        <v/>
      </c>
      <c r="D749" s="4" t="str">
        <f>IF(B749="","", COUNTIFS(Productos!F:F,A749,Productos!H:H,B749)+IF(F749="SI",0,1))</f>
        <v/>
      </c>
      <c r="E749" s="4" t="str">
        <f>IFERROR(__xludf.DUMMYFUNCTION("IF($B749="""","""",INDEX(filter(Familias!F:F,Familias!$D:$D=$A749,Familias!$E:$E=$B749),1))"),"")</f>
        <v/>
      </c>
      <c r="F749" s="4" t="str">
        <f>IFERROR(__xludf.DUMMYFUNCTION("IF($B749="""","""",INDEX(filter(Familias!G:G,Familias!$D:$D=$A749,Familias!$E:$E=$B749),1))"),"")</f>
        <v/>
      </c>
      <c r="G749" s="4" t="str">
        <f t="array" ref="G749">IF(C749=1,XLOOKUP(C749,Cotizador!D:D,Cotizador!E:E,"",0,1),"")</f>
        <v/>
      </c>
      <c r="I749" s="4"/>
      <c r="J749" s="8" t="str">
        <f>IF(I749="","",SUMIF(Cotizador!I$1:V$1,I749,Cotizador!I$2:V$2))</f>
        <v/>
      </c>
      <c r="L749" s="4" t="str">
        <f t="array" ref="L749">IF(COUNTIF(L$1:L748,A$2)=SUMIF(A:A,A$2,D:D),IF(COUNTIF(L$1:L748,XLOOKUP(A$2,Implementos!B:B,Implementos!C:C,"",0,1))=SUMIF(A:A,XLOOKUP(A$2,Implementos!B:B,Implementos!C:C,"",0,1),D:D),"",XLOOKUP(A$2,Implementos!B:B,Implementos!C:C,"",0,1)),A$2)</f>
        <v/>
      </c>
      <c r="M749" s="4" t="str">
        <f t="shared" si="2"/>
        <v/>
      </c>
      <c r="N749" s="4" t="str">
        <f t="shared" si="3"/>
        <v/>
      </c>
      <c r="O749" s="4" t="str">
        <f t="shared" si="4"/>
        <v/>
      </c>
      <c r="P749" s="4" t="str">
        <f t="shared" si="5"/>
        <v/>
      </c>
      <c r="Q749" s="4" t="str">
        <f>IF(U749="","",SUMIF(Productos!E:E,U749,Productos!A:A))</f>
        <v/>
      </c>
      <c r="R749" s="4" t="str">
        <f t="array" ref="R749">IF(L749="","", max(1,SUMIF(I:I,XLOOKUP(U749,Productos!E:E,Productos!G:G,"",0,1),J:J)))</f>
        <v/>
      </c>
      <c r="S749" s="4" t="str">
        <f>IF(Q749="","",IF(SUMIFS(Compat_Vetado!D:D,Compat_Vetado!B:B,SUM(G:G),Compat_Vetado!C:C,Q749)=1,"SI",IF(OR(SUMIF(Cotizador!E:E,Q749,Cotizador!G:G)&gt;0,SUMIFS(Compat_Vetado!D:D,Compat_Vetado!B:B,SUM(G:G),Compat_Vetado!C:C,Q749)=-1),"NO","")))</f>
        <v/>
      </c>
      <c r="T749" s="4" t="str">
        <f t="shared" si="6"/>
        <v/>
      </c>
      <c r="U749" s="4" t="str">
        <f>IFERROR(__xludf.DUMMYFUNCTION("IF(P749="""","""",IFERROR(INDEX(filter(Productos!E:E,Productos!F:F=L749,Productos!H:H=N749),P749),IF(M749=SUM(D:D),""Finalizar"",""-"")))"),"")</f>
        <v/>
      </c>
      <c r="V749" s="4" t="str">
        <f>IFERROR(__xludf.DUMMYFUNCTION("IF(OR($U749="""",COUNTIF($I:$I,IFERROR(unique(filter(Prod_Prop!$H:$H,Prod_Prop!$G:$G=$U749,Prod_Prop!$E:$E=V$1)),""Check""))=0),"""",IFERROR(unique(filter(Prod_Prop!$H:$H,Prod_Prop!$G:$G=$U749,Prod_Prop!$E:$E=V$1)),""""))"),"")</f>
        <v/>
      </c>
      <c r="W749" s="4" t="str">
        <f>IF(V749="","",SUMIFS(Prod_Prop!$J:$J,Prod_Prop!$B:$B,$Q749,Prod_Prop!$H:$H,V749,Prod_Prop!$I:$I,W$1)*IF(V749="Peso",$R749,1))</f>
        <v/>
      </c>
      <c r="X749" s="4" t="str">
        <f>IF(V749="","",SUMIFS(Prod_Prop!$J:$J,Prod_Prop!$B:$B,$Q749,Prod_Prop!$H:$H,V749,Prod_Prop!$I:$I,X$1)*IF(V749="Peso",$R749,1))</f>
        <v/>
      </c>
      <c r="Y749" s="4" t="str">
        <f>IFERROR(__xludf.DUMMYFUNCTION("IF(OR($U749="""",COUNTIF($I:$I,IFERROR(unique(filter(Prod_Prop!$H:$H,Prod_Prop!$G:$G=$U749,Prod_Prop!$E:$E=Y$1)),""Check""))=0),"""",IFERROR(unique(filter(Prod_Prop!$H:$H,Prod_Prop!$G:$G=$U749,Prod_Prop!$E:$E=Y$1)),""""))"),"")</f>
        <v/>
      </c>
      <c r="Z749" s="4" t="str">
        <f>IF(Y749="","",SUMIFS(Prod_Prop!$J:$J,Prod_Prop!$B:$B,$Q749,Prod_Prop!$H:$H,Y749,Prod_Prop!$I:$I,Z$1)*IF(Y749="Peso",$R749,1))</f>
        <v/>
      </c>
      <c r="AA749" s="4" t="str">
        <f>IF(Y749="","",SUMIFS(Prod_Prop!$J:$J,Prod_Prop!$B:$B,$Q749,Prod_Prop!$H:$H,Y749,Prod_Prop!$I:$I,AA$1)*IF(Y749="Peso",$R749,1))</f>
        <v/>
      </c>
      <c r="AB749" s="4" t="str">
        <f>IFERROR(__xludf.DUMMYFUNCTION("IF(OR($U749="""",COUNTIF($I:$I,IFERROR(unique(filter(Prod_Prop!$H:$H,Prod_Prop!$G:$G=$U749,Prod_Prop!$E:$E=AB$1)),""Check""))=0),"""",IFERROR(unique(filter(Prod_Prop!$H:$H,Prod_Prop!$G:$G=$U749,Prod_Prop!$E:$E=AB$1)),""""))"),"")</f>
        <v/>
      </c>
      <c r="AC749" s="4" t="str">
        <f>IF(AB749="","",SUMIFS(Prod_Prop!$J:$J,Prod_Prop!$B:$B,$Q749,Prod_Prop!$H:$H,AB749,Prod_Prop!$I:$I,AC$1)*IF(AB749="Peso",$R749,1))</f>
        <v/>
      </c>
      <c r="AD749" s="4" t="str">
        <f>IF(AB749="","",SUMIFS(Prod_Prop!$J:$J,Prod_Prop!$B:$B,$Q749,Prod_Prop!$H:$H,AB749,Prod_Prop!$I:$I,AD$1)*IF(AB749="Peso",$R749,1))</f>
        <v/>
      </c>
    </row>
    <row r="750">
      <c r="A750" s="4" t="str">
        <f t="array" ref="A750">IF(COUNTIF(A$1:A749,Cotizador!F$2)=maxifs(Familias!E:E,Familias!D:D,Cotizador!F$2),IF(COUNTIF(A$1:A749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0" s="4" t="str">
        <f t="shared" si="1"/>
        <v/>
      </c>
      <c r="C750" s="4" t="str">
        <f t="array" ref="C750">IF(B750="","",IF(A750=XLOOKUP(A$2,Implementos!B:B,Implementos!C:C,"",0,1),B750+maxifs(B$1:B749,A$1:A749,A$2),B750))</f>
        <v/>
      </c>
      <c r="D750" s="4" t="str">
        <f>IF(B750="","", COUNTIFS(Productos!F:F,A750,Productos!H:H,B750)+IF(F750="SI",0,1))</f>
        <v/>
      </c>
      <c r="E750" s="4" t="str">
        <f>IFERROR(__xludf.DUMMYFUNCTION("IF($B750="""","""",INDEX(filter(Familias!F:F,Familias!$D:$D=$A750,Familias!$E:$E=$B750),1))"),"")</f>
        <v/>
      </c>
      <c r="F750" s="4" t="str">
        <f>IFERROR(__xludf.DUMMYFUNCTION("IF($B750="""","""",INDEX(filter(Familias!G:G,Familias!$D:$D=$A750,Familias!$E:$E=$B750),1))"),"")</f>
        <v/>
      </c>
      <c r="G750" s="4" t="str">
        <f t="array" ref="G750">IF(C750=1,XLOOKUP(C750,Cotizador!D:D,Cotizador!E:E,"",0,1),"")</f>
        <v/>
      </c>
      <c r="I750" s="4"/>
      <c r="J750" s="8" t="str">
        <f>IF(I750="","",SUMIF(Cotizador!I$1:V$1,I750,Cotizador!I$2:V$2))</f>
        <v/>
      </c>
      <c r="L750" s="4" t="str">
        <f t="array" ref="L750">IF(COUNTIF(L$1:L749,A$2)=SUMIF(A:A,A$2,D:D),IF(COUNTIF(L$1:L749,XLOOKUP(A$2,Implementos!B:B,Implementos!C:C,"",0,1))=SUMIF(A:A,XLOOKUP(A$2,Implementos!B:B,Implementos!C:C,"",0,1),D:D),"",XLOOKUP(A$2,Implementos!B:B,Implementos!C:C,"",0,1)),A$2)</f>
        <v/>
      </c>
      <c r="M750" s="4" t="str">
        <f t="shared" si="2"/>
        <v/>
      </c>
      <c r="N750" s="4" t="str">
        <f t="shared" si="3"/>
        <v/>
      </c>
      <c r="O750" s="4" t="str">
        <f t="shared" si="4"/>
        <v/>
      </c>
      <c r="P750" s="4" t="str">
        <f t="shared" si="5"/>
        <v/>
      </c>
      <c r="Q750" s="4" t="str">
        <f>IF(U750="","",SUMIF(Productos!E:E,U750,Productos!A:A))</f>
        <v/>
      </c>
      <c r="R750" s="4" t="str">
        <f t="array" ref="R750">IF(L750="","", max(1,SUMIF(I:I,XLOOKUP(U750,Productos!E:E,Productos!G:G,"",0,1),J:J)))</f>
        <v/>
      </c>
      <c r="S750" s="4" t="str">
        <f>IF(Q750="","",IF(SUMIFS(Compat_Vetado!D:D,Compat_Vetado!B:B,SUM(G:G),Compat_Vetado!C:C,Q750)=1,"SI",IF(OR(SUMIF(Cotizador!E:E,Q750,Cotizador!G:G)&gt;0,SUMIFS(Compat_Vetado!D:D,Compat_Vetado!B:B,SUM(G:G),Compat_Vetado!C:C,Q750)=-1),"NO","")))</f>
        <v/>
      </c>
      <c r="T750" s="4" t="str">
        <f t="shared" si="6"/>
        <v/>
      </c>
      <c r="U750" s="4" t="str">
        <f>IFERROR(__xludf.DUMMYFUNCTION("IF(P750="""","""",IFERROR(INDEX(filter(Productos!E:E,Productos!F:F=L750,Productos!H:H=N750),P750),IF(M750=SUM(D:D),""Finalizar"",""-"")))"),"")</f>
        <v/>
      </c>
      <c r="V750" s="4" t="str">
        <f>IFERROR(__xludf.DUMMYFUNCTION("IF(OR($U750="""",COUNTIF($I:$I,IFERROR(unique(filter(Prod_Prop!$H:$H,Prod_Prop!$G:$G=$U750,Prod_Prop!$E:$E=V$1)),""Check""))=0),"""",IFERROR(unique(filter(Prod_Prop!$H:$H,Prod_Prop!$G:$G=$U750,Prod_Prop!$E:$E=V$1)),""""))"),"")</f>
        <v/>
      </c>
      <c r="W750" s="4" t="str">
        <f>IF(V750="","",SUMIFS(Prod_Prop!$J:$J,Prod_Prop!$B:$B,$Q750,Prod_Prop!$H:$H,V750,Prod_Prop!$I:$I,W$1)*IF(V750="Peso",$R750,1))</f>
        <v/>
      </c>
      <c r="X750" s="4" t="str">
        <f>IF(V750="","",SUMIFS(Prod_Prop!$J:$J,Prod_Prop!$B:$B,$Q750,Prod_Prop!$H:$H,V750,Prod_Prop!$I:$I,X$1)*IF(V750="Peso",$R750,1))</f>
        <v/>
      </c>
      <c r="Y750" s="4" t="str">
        <f>IFERROR(__xludf.DUMMYFUNCTION("IF(OR($U750="""",COUNTIF($I:$I,IFERROR(unique(filter(Prod_Prop!$H:$H,Prod_Prop!$G:$G=$U750,Prod_Prop!$E:$E=Y$1)),""Check""))=0),"""",IFERROR(unique(filter(Prod_Prop!$H:$H,Prod_Prop!$G:$G=$U750,Prod_Prop!$E:$E=Y$1)),""""))"),"")</f>
        <v/>
      </c>
      <c r="Z750" s="4" t="str">
        <f>IF(Y750="","",SUMIFS(Prod_Prop!$J:$J,Prod_Prop!$B:$B,$Q750,Prod_Prop!$H:$H,Y750,Prod_Prop!$I:$I,Z$1)*IF(Y750="Peso",$R750,1))</f>
        <v/>
      </c>
      <c r="AA750" s="4" t="str">
        <f>IF(Y750="","",SUMIFS(Prod_Prop!$J:$J,Prod_Prop!$B:$B,$Q750,Prod_Prop!$H:$H,Y750,Prod_Prop!$I:$I,AA$1)*IF(Y750="Peso",$R750,1))</f>
        <v/>
      </c>
      <c r="AB750" s="4" t="str">
        <f>IFERROR(__xludf.DUMMYFUNCTION("IF(OR($U750="""",COUNTIF($I:$I,IFERROR(unique(filter(Prod_Prop!$H:$H,Prod_Prop!$G:$G=$U750,Prod_Prop!$E:$E=AB$1)),""Check""))=0),"""",IFERROR(unique(filter(Prod_Prop!$H:$H,Prod_Prop!$G:$G=$U750,Prod_Prop!$E:$E=AB$1)),""""))"),"")</f>
        <v/>
      </c>
      <c r="AC750" s="4" t="str">
        <f>IF(AB750="","",SUMIFS(Prod_Prop!$J:$J,Prod_Prop!$B:$B,$Q750,Prod_Prop!$H:$H,AB750,Prod_Prop!$I:$I,AC$1)*IF(AB750="Peso",$R750,1))</f>
        <v/>
      </c>
      <c r="AD750" s="4" t="str">
        <f>IF(AB750="","",SUMIFS(Prod_Prop!$J:$J,Prod_Prop!$B:$B,$Q750,Prod_Prop!$H:$H,AB750,Prod_Prop!$I:$I,AD$1)*IF(AB750="Peso",$R750,1))</f>
        <v/>
      </c>
    </row>
    <row r="751">
      <c r="A751" s="4" t="str">
        <f t="array" ref="A751">IF(COUNTIF(A$1:A750,Cotizador!F$2)=maxifs(Familias!E:E,Familias!D:D,Cotizador!F$2),IF(COUNTIF(A$1:A750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1" s="4" t="str">
        <f t="shared" si="1"/>
        <v/>
      </c>
      <c r="C751" s="4" t="str">
        <f t="array" ref="C751">IF(B751="","",IF(A751=XLOOKUP(A$2,Implementos!B:B,Implementos!C:C,"",0,1),B751+maxifs(B$1:B750,A$1:A750,A$2),B751))</f>
        <v/>
      </c>
      <c r="D751" s="4" t="str">
        <f>IF(B751="","", COUNTIFS(Productos!F:F,A751,Productos!H:H,B751)+IF(F751="SI",0,1))</f>
        <v/>
      </c>
      <c r="E751" s="4" t="str">
        <f>IFERROR(__xludf.DUMMYFUNCTION("IF($B751="""","""",INDEX(filter(Familias!F:F,Familias!$D:$D=$A751,Familias!$E:$E=$B751),1))"),"")</f>
        <v/>
      </c>
      <c r="F751" s="4" t="str">
        <f>IFERROR(__xludf.DUMMYFUNCTION("IF($B751="""","""",INDEX(filter(Familias!G:G,Familias!$D:$D=$A751,Familias!$E:$E=$B751),1))"),"")</f>
        <v/>
      </c>
      <c r="G751" s="4" t="str">
        <f t="array" ref="G751">IF(C751=1,XLOOKUP(C751,Cotizador!D:D,Cotizador!E:E,"",0,1),"")</f>
        <v/>
      </c>
      <c r="I751" s="4"/>
      <c r="J751" s="8" t="str">
        <f>IF(I751="","",SUMIF(Cotizador!I$1:V$1,I751,Cotizador!I$2:V$2))</f>
        <v/>
      </c>
      <c r="L751" s="4" t="str">
        <f t="array" ref="L751">IF(COUNTIF(L$1:L750,A$2)=SUMIF(A:A,A$2,D:D),IF(COUNTIF(L$1:L750,XLOOKUP(A$2,Implementos!B:B,Implementos!C:C,"",0,1))=SUMIF(A:A,XLOOKUP(A$2,Implementos!B:B,Implementos!C:C,"",0,1),D:D),"",XLOOKUP(A$2,Implementos!B:B,Implementos!C:C,"",0,1)),A$2)</f>
        <v/>
      </c>
      <c r="M751" s="4" t="str">
        <f t="shared" si="2"/>
        <v/>
      </c>
      <c r="N751" s="4" t="str">
        <f t="shared" si="3"/>
        <v/>
      </c>
      <c r="O751" s="4" t="str">
        <f t="shared" si="4"/>
        <v/>
      </c>
      <c r="P751" s="4" t="str">
        <f t="shared" si="5"/>
        <v/>
      </c>
      <c r="Q751" s="4" t="str">
        <f>IF(U751="","",SUMIF(Productos!E:E,U751,Productos!A:A))</f>
        <v/>
      </c>
      <c r="R751" s="4" t="str">
        <f t="array" ref="R751">IF(L751="","", max(1,SUMIF(I:I,XLOOKUP(U751,Productos!E:E,Productos!G:G,"",0,1),J:J)))</f>
        <v/>
      </c>
      <c r="S751" s="4" t="str">
        <f>IF(Q751="","",IF(SUMIFS(Compat_Vetado!D:D,Compat_Vetado!B:B,SUM(G:G),Compat_Vetado!C:C,Q751)=1,"SI",IF(OR(SUMIF(Cotizador!E:E,Q751,Cotizador!G:G)&gt;0,SUMIFS(Compat_Vetado!D:D,Compat_Vetado!B:B,SUM(G:G),Compat_Vetado!C:C,Q751)=-1),"NO","")))</f>
        <v/>
      </c>
      <c r="T751" s="4" t="str">
        <f t="shared" si="6"/>
        <v/>
      </c>
      <c r="U751" s="4" t="str">
        <f>IFERROR(__xludf.DUMMYFUNCTION("IF(P751="""","""",IFERROR(INDEX(filter(Productos!E:E,Productos!F:F=L751,Productos!H:H=N751),P751),IF(M751=SUM(D:D),""Finalizar"",""-"")))"),"")</f>
        <v/>
      </c>
      <c r="V751" s="4" t="str">
        <f>IFERROR(__xludf.DUMMYFUNCTION("IF(OR($U751="""",COUNTIF($I:$I,IFERROR(unique(filter(Prod_Prop!$H:$H,Prod_Prop!$G:$G=$U751,Prod_Prop!$E:$E=V$1)),""Check""))=0),"""",IFERROR(unique(filter(Prod_Prop!$H:$H,Prod_Prop!$G:$G=$U751,Prod_Prop!$E:$E=V$1)),""""))"),"")</f>
        <v/>
      </c>
      <c r="W751" s="4" t="str">
        <f>IF(V751="","",SUMIFS(Prod_Prop!$J:$J,Prod_Prop!$B:$B,$Q751,Prod_Prop!$H:$H,V751,Prod_Prop!$I:$I,W$1)*IF(V751="Peso",$R751,1))</f>
        <v/>
      </c>
      <c r="X751" s="4" t="str">
        <f>IF(V751="","",SUMIFS(Prod_Prop!$J:$J,Prod_Prop!$B:$B,$Q751,Prod_Prop!$H:$H,V751,Prod_Prop!$I:$I,X$1)*IF(V751="Peso",$R751,1))</f>
        <v/>
      </c>
      <c r="Y751" s="4" t="str">
        <f>IFERROR(__xludf.DUMMYFUNCTION("IF(OR($U751="""",COUNTIF($I:$I,IFERROR(unique(filter(Prod_Prop!$H:$H,Prod_Prop!$G:$G=$U751,Prod_Prop!$E:$E=Y$1)),""Check""))=0),"""",IFERROR(unique(filter(Prod_Prop!$H:$H,Prod_Prop!$G:$G=$U751,Prod_Prop!$E:$E=Y$1)),""""))"),"")</f>
        <v/>
      </c>
      <c r="Z751" s="4" t="str">
        <f>IF(Y751="","",SUMIFS(Prod_Prop!$J:$J,Prod_Prop!$B:$B,$Q751,Prod_Prop!$H:$H,Y751,Prod_Prop!$I:$I,Z$1)*IF(Y751="Peso",$R751,1))</f>
        <v/>
      </c>
      <c r="AA751" s="4" t="str">
        <f>IF(Y751="","",SUMIFS(Prod_Prop!$J:$J,Prod_Prop!$B:$B,$Q751,Prod_Prop!$H:$H,Y751,Prod_Prop!$I:$I,AA$1)*IF(Y751="Peso",$R751,1))</f>
        <v/>
      </c>
      <c r="AB751" s="4" t="str">
        <f>IFERROR(__xludf.DUMMYFUNCTION("IF(OR($U751="""",COUNTIF($I:$I,IFERROR(unique(filter(Prod_Prop!$H:$H,Prod_Prop!$G:$G=$U751,Prod_Prop!$E:$E=AB$1)),""Check""))=0),"""",IFERROR(unique(filter(Prod_Prop!$H:$H,Prod_Prop!$G:$G=$U751,Prod_Prop!$E:$E=AB$1)),""""))"),"")</f>
        <v/>
      </c>
      <c r="AC751" s="4" t="str">
        <f>IF(AB751="","",SUMIFS(Prod_Prop!$J:$J,Prod_Prop!$B:$B,$Q751,Prod_Prop!$H:$H,AB751,Prod_Prop!$I:$I,AC$1)*IF(AB751="Peso",$R751,1))</f>
        <v/>
      </c>
      <c r="AD751" s="4" t="str">
        <f>IF(AB751="","",SUMIFS(Prod_Prop!$J:$J,Prod_Prop!$B:$B,$Q751,Prod_Prop!$H:$H,AB751,Prod_Prop!$I:$I,AD$1)*IF(AB751="Peso",$R751,1))</f>
        <v/>
      </c>
    </row>
    <row r="752">
      <c r="A752" s="4" t="str">
        <f t="array" ref="A752">IF(COUNTIF(A$1:A751,Cotizador!F$2)=maxifs(Familias!E:E,Familias!D:D,Cotizador!F$2),IF(COUNTIF(A$1:A751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2" s="4" t="str">
        <f t="shared" si="1"/>
        <v/>
      </c>
      <c r="C752" s="4" t="str">
        <f t="array" ref="C752">IF(B752="","",IF(A752=XLOOKUP(A$2,Implementos!B:B,Implementos!C:C,"",0,1),B752+maxifs(B$1:B751,A$1:A751,A$2),B752))</f>
        <v/>
      </c>
      <c r="D752" s="4" t="str">
        <f>IF(B752="","", COUNTIFS(Productos!F:F,A752,Productos!H:H,B752)+IF(F752="SI",0,1))</f>
        <v/>
      </c>
      <c r="E752" s="4" t="str">
        <f>IFERROR(__xludf.DUMMYFUNCTION("IF($B752="""","""",INDEX(filter(Familias!F:F,Familias!$D:$D=$A752,Familias!$E:$E=$B752),1))"),"")</f>
        <v/>
      </c>
      <c r="F752" s="4" t="str">
        <f>IFERROR(__xludf.DUMMYFUNCTION("IF($B752="""","""",INDEX(filter(Familias!G:G,Familias!$D:$D=$A752,Familias!$E:$E=$B752),1))"),"")</f>
        <v/>
      </c>
      <c r="G752" s="4" t="str">
        <f t="array" ref="G752">IF(C752=1,XLOOKUP(C752,Cotizador!D:D,Cotizador!E:E,"",0,1),"")</f>
        <v/>
      </c>
      <c r="I752" s="4"/>
      <c r="J752" s="8" t="str">
        <f>IF(I752="","",SUMIF(Cotizador!I$1:V$1,I752,Cotizador!I$2:V$2))</f>
        <v/>
      </c>
      <c r="L752" s="4" t="str">
        <f t="array" ref="L752">IF(COUNTIF(L$1:L751,A$2)=SUMIF(A:A,A$2,D:D),IF(COUNTIF(L$1:L751,XLOOKUP(A$2,Implementos!B:B,Implementos!C:C,"",0,1))=SUMIF(A:A,XLOOKUP(A$2,Implementos!B:B,Implementos!C:C,"",0,1),D:D),"",XLOOKUP(A$2,Implementos!B:B,Implementos!C:C,"",0,1)),A$2)</f>
        <v/>
      </c>
      <c r="M752" s="4" t="str">
        <f t="shared" si="2"/>
        <v/>
      </c>
      <c r="N752" s="4" t="str">
        <f t="shared" si="3"/>
        <v/>
      </c>
      <c r="O752" s="4" t="str">
        <f t="shared" si="4"/>
        <v/>
      </c>
      <c r="P752" s="4" t="str">
        <f t="shared" si="5"/>
        <v/>
      </c>
      <c r="Q752" s="4" t="str">
        <f>IF(U752="","",SUMIF(Productos!E:E,U752,Productos!A:A))</f>
        <v/>
      </c>
      <c r="R752" s="4" t="str">
        <f t="array" ref="R752">IF(L752="","", max(1,SUMIF(I:I,XLOOKUP(U752,Productos!E:E,Productos!G:G,"",0,1),J:J)))</f>
        <v/>
      </c>
      <c r="S752" s="4" t="str">
        <f>IF(Q752="","",IF(SUMIFS(Compat_Vetado!D:D,Compat_Vetado!B:B,SUM(G:G),Compat_Vetado!C:C,Q752)=1,"SI",IF(OR(SUMIF(Cotizador!E:E,Q752,Cotizador!G:G)&gt;0,SUMIFS(Compat_Vetado!D:D,Compat_Vetado!B:B,SUM(G:G),Compat_Vetado!C:C,Q752)=-1),"NO","")))</f>
        <v/>
      </c>
      <c r="T752" s="4" t="str">
        <f t="shared" si="6"/>
        <v/>
      </c>
      <c r="U752" s="4" t="str">
        <f>IFERROR(__xludf.DUMMYFUNCTION("IF(P752="""","""",IFERROR(INDEX(filter(Productos!E:E,Productos!F:F=L752,Productos!H:H=N752),P752),IF(M752=SUM(D:D),""Finalizar"",""-"")))"),"")</f>
        <v/>
      </c>
      <c r="V752" s="4" t="str">
        <f>IFERROR(__xludf.DUMMYFUNCTION("IF(OR($U752="""",COUNTIF($I:$I,IFERROR(unique(filter(Prod_Prop!$H:$H,Prod_Prop!$G:$G=$U752,Prod_Prop!$E:$E=V$1)),""Check""))=0),"""",IFERROR(unique(filter(Prod_Prop!$H:$H,Prod_Prop!$G:$G=$U752,Prod_Prop!$E:$E=V$1)),""""))"),"")</f>
        <v/>
      </c>
      <c r="W752" s="4" t="str">
        <f>IF(V752="","",SUMIFS(Prod_Prop!$J:$J,Prod_Prop!$B:$B,$Q752,Prod_Prop!$H:$H,V752,Prod_Prop!$I:$I,W$1)*IF(V752="Peso",$R752,1))</f>
        <v/>
      </c>
      <c r="X752" s="4" t="str">
        <f>IF(V752="","",SUMIFS(Prod_Prop!$J:$J,Prod_Prop!$B:$B,$Q752,Prod_Prop!$H:$H,V752,Prod_Prop!$I:$I,X$1)*IF(V752="Peso",$R752,1))</f>
        <v/>
      </c>
      <c r="Y752" s="4" t="str">
        <f>IFERROR(__xludf.DUMMYFUNCTION("IF(OR($U752="""",COUNTIF($I:$I,IFERROR(unique(filter(Prod_Prop!$H:$H,Prod_Prop!$G:$G=$U752,Prod_Prop!$E:$E=Y$1)),""Check""))=0),"""",IFERROR(unique(filter(Prod_Prop!$H:$H,Prod_Prop!$G:$G=$U752,Prod_Prop!$E:$E=Y$1)),""""))"),"")</f>
        <v/>
      </c>
      <c r="Z752" s="4" t="str">
        <f>IF(Y752="","",SUMIFS(Prod_Prop!$J:$J,Prod_Prop!$B:$B,$Q752,Prod_Prop!$H:$H,Y752,Prod_Prop!$I:$I,Z$1)*IF(Y752="Peso",$R752,1))</f>
        <v/>
      </c>
      <c r="AA752" s="4" t="str">
        <f>IF(Y752="","",SUMIFS(Prod_Prop!$J:$J,Prod_Prop!$B:$B,$Q752,Prod_Prop!$H:$H,Y752,Prod_Prop!$I:$I,AA$1)*IF(Y752="Peso",$R752,1))</f>
        <v/>
      </c>
      <c r="AB752" s="4" t="str">
        <f>IFERROR(__xludf.DUMMYFUNCTION("IF(OR($U752="""",COUNTIF($I:$I,IFERROR(unique(filter(Prod_Prop!$H:$H,Prod_Prop!$G:$G=$U752,Prod_Prop!$E:$E=AB$1)),""Check""))=0),"""",IFERROR(unique(filter(Prod_Prop!$H:$H,Prod_Prop!$G:$G=$U752,Prod_Prop!$E:$E=AB$1)),""""))"),"")</f>
        <v/>
      </c>
      <c r="AC752" s="4" t="str">
        <f>IF(AB752="","",SUMIFS(Prod_Prop!$J:$J,Prod_Prop!$B:$B,$Q752,Prod_Prop!$H:$H,AB752,Prod_Prop!$I:$I,AC$1)*IF(AB752="Peso",$R752,1))</f>
        <v/>
      </c>
      <c r="AD752" s="4" t="str">
        <f>IF(AB752="","",SUMIFS(Prod_Prop!$J:$J,Prod_Prop!$B:$B,$Q752,Prod_Prop!$H:$H,AB752,Prod_Prop!$I:$I,AD$1)*IF(AB752="Peso",$R752,1))</f>
        <v/>
      </c>
    </row>
    <row r="753">
      <c r="A753" s="4" t="str">
        <f t="array" ref="A753">IF(COUNTIF(A$1:A752,Cotizador!F$2)=maxifs(Familias!E:E,Familias!D:D,Cotizador!F$2),IF(COUNTIF(A$1:A752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3" s="4" t="str">
        <f t="shared" si="1"/>
        <v/>
      </c>
      <c r="C753" s="4" t="str">
        <f t="array" ref="C753">IF(B753="","",IF(A753=XLOOKUP(A$2,Implementos!B:B,Implementos!C:C,"",0,1),B753+maxifs(B$1:B752,A$1:A752,A$2),B753))</f>
        <v/>
      </c>
      <c r="D753" s="4" t="str">
        <f>IF(B753="","", COUNTIFS(Productos!F:F,A753,Productos!H:H,B753)+IF(F753="SI",0,1))</f>
        <v/>
      </c>
      <c r="E753" s="4" t="str">
        <f>IFERROR(__xludf.DUMMYFUNCTION("IF($B753="""","""",INDEX(filter(Familias!F:F,Familias!$D:$D=$A753,Familias!$E:$E=$B753),1))"),"")</f>
        <v/>
      </c>
      <c r="F753" s="4" t="str">
        <f>IFERROR(__xludf.DUMMYFUNCTION("IF($B753="""","""",INDEX(filter(Familias!G:G,Familias!$D:$D=$A753,Familias!$E:$E=$B753),1))"),"")</f>
        <v/>
      </c>
      <c r="G753" s="4" t="str">
        <f t="array" ref="G753">IF(C753=1,XLOOKUP(C753,Cotizador!D:D,Cotizador!E:E,"",0,1),"")</f>
        <v/>
      </c>
      <c r="I753" s="4"/>
      <c r="J753" s="8" t="str">
        <f>IF(I753="","",SUMIF(Cotizador!I$1:V$1,I753,Cotizador!I$2:V$2))</f>
        <v/>
      </c>
      <c r="L753" s="4" t="str">
        <f t="array" ref="L753">IF(COUNTIF(L$1:L752,A$2)=SUMIF(A:A,A$2,D:D),IF(COUNTIF(L$1:L752,XLOOKUP(A$2,Implementos!B:B,Implementos!C:C,"",0,1))=SUMIF(A:A,XLOOKUP(A$2,Implementos!B:B,Implementos!C:C,"",0,1),D:D),"",XLOOKUP(A$2,Implementos!B:B,Implementos!C:C,"",0,1)),A$2)</f>
        <v/>
      </c>
      <c r="M753" s="4" t="str">
        <f t="shared" si="2"/>
        <v/>
      </c>
      <c r="N753" s="4" t="str">
        <f t="shared" si="3"/>
        <v/>
      </c>
      <c r="O753" s="4" t="str">
        <f t="shared" si="4"/>
        <v/>
      </c>
      <c r="P753" s="4" t="str">
        <f t="shared" si="5"/>
        <v/>
      </c>
      <c r="Q753" s="4" t="str">
        <f>IF(U753="","",SUMIF(Productos!E:E,U753,Productos!A:A))</f>
        <v/>
      </c>
      <c r="R753" s="4" t="str">
        <f t="array" ref="R753">IF(L753="","", max(1,SUMIF(I:I,XLOOKUP(U753,Productos!E:E,Productos!G:G,"",0,1),J:J)))</f>
        <v/>
      </c>
      <c r="S753" s="4" t="str">
        <f>IF(Q753="","",IF(SUMIFS(Compat_Vetado!D:D,Compat_Vetado!B:B,SUM(G:G),Compat_Vetado!C:C,Q753)=1,"SI",IF(OR(SUMIF(Cotizador!E:E,Q753,Cotizador!G:G)&gt;0,SUMIFS(Compat_Vetado!D:D,Compat_Vetado!B:B,SUM(G:G),Compat_Vetado!C:C,Q753)=-1),"NO","")))</f>
        <v/>
      </c>
      <c r="T753" s="4" t="str">
        <f t="shared" si="6"/>
        <v/>
      </c>
      <c r="U753" s="4" t="str">
        <f>IFERROR(__xludf.DUMMYFUNCTION("IF(P753="""","""",IFERROR(INDEX(filter(Productos!E:E,Productos!F:F=L753,Productos!H:H=N753),P753),IF(M753=SUM(D:D),""Finalizar"",""-"")))"),"")</f>
        <v/>
      </c>
      <c r="V753" s="4" t="str">
        <f>IFERROR(__xludf.DUMMYFUNCTION("IF(OR($U753="""",COUNTIF($I:$I,IFERROR(unique(filter(Prod_Prop!$H:$H,Prod_Prop!$G:$G=$U753,Prod_Prop!$E:$E=V$1)),""Check""))=0),"""",IFERROR(unique(filter(Prod_Prop!$H:$H,Prod_Prop!$G:$G=$U753,Prod_Prop!$E:$E=V$1)),""""))"),"")</f>
        <v/>
      </c>
      <c r="W753" s="4" t="str">
        <f>IF(V753="","",SUMIFS(Prod_Prop!$J:$J,Prod_Prop!$B:$B,$Q753,Prod_Prop!$H:$H,V753,Prod_Prop!$I:$I,W$1)*IF(V753="Peso",$R753,1))</f>
        <v/>
      </c>
      <c r="X753" s="4" t="str">
        <f>IF(V753="","",SUMIFS(Prod_Prop!$J:$J,Prod_Prop!$B:$B,$Q753,Prod_Prop!$H:$H,V753,Prod_Prop!$I:$I,X$1)*IF(V753="Peso",$R753,1))</f>
        <v/>
      </c>
      <c r="Y753" s="4" t="str">
        <f>IFERROR(__xludf.DUMMYFUNCTION("IF(OR($U753="""",COUNTIF($I:$I,IFERROR(unique(filter(Prod_Prop!$H:$H,Prod_Prop!$G:$G=$U753,Prod_Prop!$E:$E=Y$1)),""Check""))=0),"""",IFERROR(unique(filter(Prod_Prop!$H:$H,Prod_Prop!$G:$G=$U753,Prod_Prop!$E:$E=Y$1)),""""))"),"")</f>
        <v/>
      </c>
      <c r="Z753" s="4" t="str">
        <f>IF(Y753="","",SUMIFS(Prod_Prop!$J:$J,Prod_Prop!$B:$B,$Q753,Prod_Prop!$H:$H,Y753,Prod_Prop!$I:$I,Z$1)*IF(Y753="Peso",$R753,1))</f>
        <v/>
      </c>
      <c r="AA753" s="4" t="str">
        <f>IF(Y753="","",SUMIFS(Prod_Prop!$J:$J,Prod_Prop!$B:$B,$Q753,Prod_Prop!$H:$H,Y753,Prod_Prop!$I:$I,AA$1)*IF(Y753="Peso",$R753,1))</f>
        <v/>
      </c>
      <c r="AB753" s="4" t="str">
        <f>IFERROR(__xludf.DUMMYFUNCTION("IF(OR($U753="""",COUNTIF($I:$I,IFERROR(unique(filter(Prod_Prop!$H:$H,Prod_Prop!$G:$G=$U753,Prod_Prop!$E:$E=AB$1)),""Check""))=0),"""",IFERROR(unique(filter(Prod_Prop!$H:$H,Prod_Prop!$G:$G=$U753,Prod_Prop!$E:$E=AB$1)),""""))"),"")</f>
        <v/>
      </c>
      <c r="AC753" s="4" t="str">
        <f>IF(AB753="","",SUMIFS(Prod_Prop!$J:$J,Prod_Prop!$B:$B,$Q753,Prod_Prop!$H:$H,AB753,Prod_Prop!$I:$I,AC$1)*IF(AB753="Peso",$R753,1))</f>
        <v/>
      </c>
      <c r="AD753" s="4" t="str">
        <f>IF(AB753="","",SUMIFS(Prod_Prop!$J:$J,Prod_Prop!$B:$B,$Q753,Prod_Prop!$H:$H,AB753,Prod_Prop!$I:$I,AD$1)*IF(AB753="Peso",$R753,1))</f>
        <v/>
      </c>
    </row>
    <row r="754">
      <c r="A754" s="4" t="str">
        <f t="array" ref="A754">IF(COUNTIF(A$1:A753,Cotizador!F$2)=maxifs(Familias!E:E,Familias!D:D,Cotizador!F$2),IF(COUNTIF(A$1:A753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4" s="4" t="str">
        <f t="shared" si="1"/>
        <v/>
      </c>
      <c r="C754" s="4" t="str">
        <f t="array" ref="C754">IF(B754="","",IF(A754=XLOOKUP(A$2,Implementos!B:B,Implementos!C:C,"",0,1),B754+maxifs(B$1:B753,A$1:A753,A$2),B754))</f>
        <v/>
      </c>
      <c r="D754" s="4" t="str">
        <f>IF(B754="","", COUNTIFS(Productos!F:F,A754,Productos!H:H,B754)+IF(F754="SI",0,1))</f>
        <v/>
      </c>
      <c r="E754" s="4" t="str">
        <f>IFERROR(__xludf.DUMMYFUNCTION("IF($B754="""","""",INDEX(filter(Familias!F:F,Familias!$D:$D=$A754,Familias!$E:$E=$B754),1))"),"")</f>
        <v/>
      </c>
      <c r="F754" s="4" t="str">
        <f>IFERROR(__xludf.DUMMYFUNCTION("IF($B754="""","""",INDEX(filter(Familias!G:G,Familias!$D:$D=$A754,Familias!$E:$E=$B754),1))"),"")</f>
        <v/>
      </c>
      <c r="G754" s="4" t="str">
        <f t="array" ref="G754">IF(C754=1,XLOOKUP(C754,Cotizador!D:D,Cotizador!E:E,"",0,1),"")</f>
        <v/>
      </c>
      <c r="I754" s="4"/>
      <c r="J754" s="8" t="str">
        <f>IF(I754="","",SUMIF(Cotizador!I$1:V$1,I754,Cotizador!I$2:V$2))</f>
        <v/>
      </c>
      <c r="L754" s="4" t="str">
        <f t="array" ref="L754">IF(COUNTIF(L$1:L753,A$2)=SUMIF(A:A,A$2,D:D),IF(COUNTIF(L$1:L753,XLOOKUP(A$2,Implementos!B:B,Implementos!C:C,"",0,1))=SUMIF(A:A,XLOOKUP(A$2,Implementos!B:B,Implementos!C:C,"",0,1),D:D),"",XLOOKUP(A$2,Implementos!B:B,Implementos!C:C,"",0,1)),A$2)</f>
        <v/>
      </c>
      <c r="M754" s="4" t="str">
        <f t="shared" si="2"/>
        <v/>
      </c>
      <c r="N754" s="4" t="str">
        <f t="shared" si="3"/>
        <v/>
      </c>
      <c r="O754" s="4" t="str">
        <f t="shared" si="4"/>
        <v/>
      </c>
      <c r="P754" s="4" t="str">
        <f t="shared" si="5"/>
        <v/>
      </c>
      <c r="Q754" s="4" t="str">
        <f>IF(U754="","",SUMIF(Productos!E:E,U754,Productos!A:A))</f>
        <v/>
      </c>
      <c r="R754" s="4" t="str">
        <f t="array" ref="R754">IF(L754="","", max(1,SUMIF(I:I,XLOOKUP(U754,Productos!E:E,Productos!G:G,"",0,1),J:J)))</f>
        <v/>
      </c>
      <c r="S754" s="4" t="str">
        <f>IF(Q754="","",IF(SUMIFS(Compat_Vetado!D:D,Compat_Vetado!B:B,SUM(G:G),Compat_Vetado!C:C,Q754)=1,"SI",IF(OR(SUMIF(Cotizador!E:E,Q754,Cotizador!G:G)&gt;0,SUMIFS(Compat_Vetado!D:D,Compat_Vetado!B:B,SUM(G:G),Compat_Vetado!C:C,Q754)=-1),"NO","")))</f>
        <v/>
      </c>
      <c r="T754" s="4" t="str">
        <f t="shared" si="6"/>
        <v/>
      </c>
      <c r="U754" s="4" t="str">
        <f>IFERROR(__xludf.DUMMYFUNCTION("IF(P754="""","""",IFERROR(INDEX(filter(Productos!E:E,Productos!F:F=L754,Productos!H:H=N754),P754),IF(M754=SUM(D:D),""Finalizar"",""-"")))"),"")</f>
        <v/>
      </c>
      <c r="V754" s="4" t="str">
        <f>IFERROR(__xludf.DUMMYFUNCTION("IF(OR($U754="""",COUNTIF($I:$I,IFERROR(unique(filter(Prod_Prop!$H:$H,Prod_Prop!$G:$G=$U754,Prod_Prop!$E:$E=V$1)),""Check""))=0),"""",IFERROR(unique(filter(Prod_Prop!$H:$H,Prod_Prop!$G:$G=$U754,Prod_Prop!$E:$E=V$1)),""""))"),"")</f>
        <v/>
      </c>
      <c r="W754" s="4" t="str">
        <f>IF(V754="","",SUMIFS(Prod_Prop!$J:$J,Prod_Prop!$B:$B,$Q754,Prod_Prop!$H:$H,V754,Prod_Prop!$I:$I,W$1)*IF(V754="Peso",$R754,1))</f>
        <v/>
      </c>
      <c r="X754" s="4" t="str">
        <f>IF(V754="","",SUMIFS(Prod_Prop!$J:$J,Prod_Prop!$B:$B,$Q754,Prod_Prop!$H:$H,V754,Prod_Prop!$I:$I,X$1)*IF(V754="Peso",$R754,1))</f>
        <v/>
      </c>
      <c r="Y754" s="4" t="str">
        <f>IFERROR(__xludf.DUMMYFUNCTION("IF(OR($U754="""",COUNTIF($I:$I,IFERROR(unique(filter(Prod_Prop!$H:$H,Prod_Prop!$G:$G=$U754,Prod_Prop!$E:$E=Y$1)),""Check""))=0),"""",IFERROR(unique(filter(Prod_Prop!$H:$H,Prod_Prop!$G:$G=$U754,Prod_Prop!$E:$E=Y$1)),""""))"),"")</f>
        <v/>
      </c>
      <c r="Z754" s="4" t="str">
        <f>IF(Y754="","",SUMIFS(Prod_Prop!$J:$J,Prod_Prop!$B:$B,$Q754,Prod_Prop!$H:$H,Y754,Prod_Prop!$I:$I,Z$1)*IF(Y754="Peso",$R754,1))</f>
        <v/>
      </c>
      <c r="AA754" s="4" t="str">
        <f>IF(Y754="","",SUMIFS(Prod_Prop!$J:$J,Prod_Prop!$B:$B,$Q754,Prod_Prop!$H:$H,Y754,Prod_Prop!$I:$I,AA$1)*IF(Y754="Peso",$R754,1))</f>
        <v/>
      </c>
      <c r="AB754" s="4" t="str">
        <f>IFERROR(__xludf.DUMMYFUNCTION("IF(OR($U754="""",COUNTIF($I:$I,IFERROR(unique(filter(Prod_Prop!$H:$H,Prod_Prop!$G:$G=$U754,Prod_Prop!$E:$E=AB$1)),""Check""))=0),"""",IFERROR(unique(filter(Prod_Prop!$H:$H,Prod_Prop!$G:$G=$U754,Prod_Prop!$E:$E=AB$1)),""""))"),"")</f>
        <v/>
      </c>
      <c r="AC754" s="4" t="str">
        <f>IF(AB754="","",SUMIFS(Prod_Prop!$J:$J,Prod_Prop!$B:$B,$Q754,Prod_Prop!$H:$H,AB754,Prod_Prop!$I:$I,AC$1)*IF(AB754="Peso",$R754,1))</f>
        <v/>
      </c>
      <c r="AD754" s="4" t="str">
        <f>IF(AB754="","",SUMIFS(Prod_Prop!$J:$J,Prod_Prop!$B:$B,$Q754,Prod_Prop!$H:$H,AB754,Prod_Prop!$I:$I,AD$1)*IF(AB754="Peso",$R754,1))</f>
        <v/>
      </c>
    </row>
    <row r="755">
      <c r="A755" s="4" t="str">
        <f t="array" ref="A755">IF(COUNTIF(A$1:A754,Cotizador!F$2)=maxifs(Familias!E:E,Familias!D:D,Cotizador!F$2),IF(COUNTIF(A$1:A754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5" s="4" t="str">
        <f t="shared" si="1"/>
        <v/>
      </c>
      <c r="C755" s="4" t="str">
        <f t="array" ref="C755">IF(B755="","",IF(A755=XLOOKUP(A$2,Implementos!B:B,Implementos!C:C,"",0,1),B755+maxifs(B$1:B754,A$1:A754,A$2),B755))</f>
        <v/>
      </c>
      <c r="D755" s="4" t="str">
        <f>IF(B755="","", COUNTIFS(Productos!F:F,A755,Productos!H:H,B755)+IF(F755="SI",0,1))</f>
        <v/>
      </c>
      <c r="E755" s="4" t="str">
        <f>IFERROR(__xludf.DUMMYFUNCTION("IF($B755="""","""",INDEX(filter(Familias!F:F,Familias!$D:$D=$A755,Familias!$E:$E=$B755),1))"),"")</f>
        <v/>
      </c>
      <c r="F755" s="4" t="str">
        <f>IFERROR(__xludf.DUMMYFUNCTION("IF($B755="""","""",INDEX(filter(Familias!G:G,Familias!$D:$D=$A755,Familias!$E:$E=$B755),1))"),"")</f>
        <v/>
      </c>
      <c r="G755" s="4" t="str">
        <f t="array" ref="G755">IF(C755=1,XLOOKUP(C755,Cotizador!D:D,Cotizador!E:E,"",0,1),"")</f>
        <v/>
      </c>
      <c r="I755" s="4"/>
      <c r="J755" s="8" t="str">
        <f>IF(I755="","",SUMIF(Cotizador!I$1:V$1,I755,Cotizador!I$2:V$2))</f>
        <v/>
      </c>
      <c r="L755" s="4" t="str">
        <f t="array" ref="L755">IF(COUNTIF(L$1:L754,A$2)=SUMIF(A:A,A$2,D:D),IF(COUNTIF(L$1:L754,XLOOKUP(A$2,Implementos!B:B,Implementos!C:C,"",0,1))=SUMIF(A:A,XLOOKUP(A$2,Implementos!B:B,Implementos!C:C,"",0,1),D:D),"",XLOOKUP(A$2,Implementos!B:B,Implementos!C:C,"",0,1)),A$2)</f>
        <v/>
      </c>
      <c r="M755" s="4" t="str">
        <f t="shared" si="2"/>
        <v/>
      </c>
      <c r="N755" s="4" t="str">
        <f t="shared" si="3"/>
        <v/>
      </c>
      <c r="O755" s="4" t="str">
        <f t="shared" si="4"/>
        <v/>
      </c>
      <c r="P755" s="4" t="str">
        <f t="shared" si="5"/>
        <v/>
      </c>
      <c r="Q755" s="4" t="str">
        <f>IF(U755="","",SUMIF(Productos!E:E,U755,Productos!A:A))</f>
        <v/>
      </c>
      <c r="R755" s="4" t="str">
        <f t="array" ref="R755">IF(L755="","", max(1,SUMIF(I:I,XLOOKUP(U755,Productos!E:E,Productos!G:G,"",0,1),J:J)))</f>
        <v/>
      </c>
      <c r="S755" s="4" t="str">
        <f>IF(Q755="","",IF(SUMIFS(Compat_Vetado!D:D,Compat_Vetado!B:B,SUM(G:G),Compat_Vetado!C:C,Q755)=1,"SI",IF(OR(SUMIF(Cotizador!E:E,Q755,Cotizador!G:G)&gt;0,SUMIFS(Compat_Vetado!D:D,Compat_Vetado!B:B,SUM(G:G),Compat_Vetado!C:C,Q755)=-1),"NO","")))</f>
        <v/>
      </c>
      <c r="T755" s="4" t="str">
        <f t="shared" si="6"/>
        <v/>
      </c>
      <c r="U755" s="4" t="str">
        <f>IFERROR(__xludf.DUMMYFUNCTION("IF(P755="""","""",IFERROR(INDEX(filter(Productos!E:E,Productos!F:F=L755,Productos!H:H=N755),P755),IF(M755=SUM(D:D),""Finalizar"",""-"")))"),"")</f>
        <v/>
      </c>
      <c r="V755" s="4" t="str">
        <f>IFERROR(__xludf.DUMMYFUNCTION("IF(OR($U755="""",COUNTIF($I:$I,IFERROR(unique(filter(Prod_Prop!$H:$H,Prod_Prop!$G:$G=$U755,Prod_Prop!$E:$E=V$1)),""Check""))=0),"""",IFERROR(unique(filter(Prod_Prop!$H:$H,Prod_Prop!$G:$G=$U755,Prod_Prop!$E:$E=V$1)),""""))"),"")</f>
        <v/>
      </c>
      <c r="W755" s="4" t="str">
        <f>IF(V755="","",SUMIFS(Prod_Prop!$J:$J,Prod_Prop!$B:$B,$Q755,Prod_Prop!$H:$H,V755,Prod_Prop!$I:$I,W$1)*IF(V755="Peso",$R755,1))</f>
        <v/>
      </c>
      <c r="X755" s="4" t="str">
        <f>IF(V755="","",SUMIFS(Prod_Prop!$J:$J,Prod_Prop!$B:$B,$Q755,Prod_Prop!$H:$H,V755,Prod_Prop!$I:$I,X$1)*IF(V755="Peso",$R755,1))</f>
        <v/>
      </c>
      <c r="Y755" s="4" t="str">
        <f>IFERROR(__xludf.DUMMYFUNCTION("IF(OR($U755="""",COUNTIF($I:$I,IFERROR(unique(filter(Prod_Prop!$H:$H,Prod_Prop!$G:$G=$U755,Prod_Prop!$E:$E=Y$1)),""Check""))=0),"""",IFERROR(unique(filter(Prod_Prop!$H:$H,Prod_Prop!$G:$G=$U755,Prod_Prop!$E:$E=Y$1)),""""))"),"")</f>
        <v/>
      </c>
      <c r="Z755" s="4" t="str">
        <f>IF(Y755="","",SUMIFS(Prod_Prop!$J:$J,Prod_Prop!$B:$B,$Q755,Prod_Prop!$H:$H,Y755,Prod_Prop!$I:$I,Z$1)*IF(Y755="Peso",$R755,1))</f>
        <v/>
      </c>
      <c r="AA755" s="4" t="str">
        <f>IF(Y755="","",SUMIFS(Prod_Prop!$J:$J,Prod_Prop!$B:$B,$Q755,Prod_Prop!$H:$H,Y755,Prod_Prop!$I:$I,AA$1)*IF(Y755="Peso",$R755,1))</f>
        <v/>
      </c>
      <c r="AB755" s="4" t="str">
        <f>IFERROR(__xludf.DUMMYFUNCTION("IF(OR($U755="""",COUNTIF($I:$I,IFERROR(unique(filter(Prod_Prop!$H:$H,Prod_Prop!$G:$G=$U755,Prod_Prop!$E:$E=AB$1)),""Check""))=0),"""",IFERROR(unique(filter(Prod_Prop!$H:$H,Prod_Prop!$G:$G=$U755,Prod_Prop!$E:$E=AB$1)),""""))"),"")</f>
        <v/>
      </c>
      <c r="AC755" s="4" t="str">
        <f>IF(AB755="","",SUMIFS(Prod_Prop!$J:$J,Prod_Prop!$B:$B,$Q755,Prod_Prop!$H:$H,AB755,Prod_Prop!$I:$I,AC$1)*IF(AB755="Peso",$R755,1))</f>
        <v/>
      </c>
      <c r="AD755" s="4" t="str">
        <f>IF(AB755="","",SUMIFS(Prod_Prop!$J:$J,Prod_Prop!$B:$B,$Q755,Prod_Prop!$H:$H,AB755,Prod_Prop!$I:$I,AD$1)*IF(AB755="Peso",$R755,1))</f>
        <v/>
      </c>
    </row>
    <row r="756">
      <c r="A756" s="4" t="str">
        <f t="array" ref="A756">IF(COUNTIF(A$1:A755,Cotizador!F$2)=maxifs(Familias!E:E,Familias!D:D,Cotizador!F$2),IF(COUNTIF(A$1:A755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6" s="4" t="str">
        <f t="shared" si="1"/>
        <v/>
      </c>
      <c r="C756" s="4" t="str">
        <f t="array" ref="C756">IF(B756="","",IF(A756=XLOOKUP(A$2,Implementos!B:B,Implementos!C:C,"",0,1),B756+maxifs(B$1:B755,A$1:A755,A$2),B756))</f>
        <v/>
      </c>
      <c r="D756" s="4" t="str">
        <f>IF(B756="","", COUNTIFS(Productos!F:F,A756,Productos!H:H,B756)+IF(F756="SI",0,1))</f>
        <v/>
      </c>
      <c r="E756" s="4" t="str">
        <f>IFERROR(__xludf.DUMMYFUNCTION("IF($B756="""","""",INDEX(filter(Familias!F:F,Familias!$D:$D=$A756,Familias!$E:$E=$B756),1))"),"")</f>
        <v/>
      </c>
      <c r="F756" s="4" t="str">
        <f>IFERROR(__xludf.DUMMYFUNCTION("IF($B756="""","""",INDEX(filter(Familias!G:G,Familias!$D:$D=$A756,Familias!$E:$E=$B756),1))"),"")</f>
        <v/>
      </c>
      <c r="G756" s="4" t="str">
        <f t="array" ref="G756">IF(C756=1,XLOOKUP(C756,Cotizador!D:D,Cotizador!E:E,"",0,1),"")</f>
        <v/>
      </c>
      <c r="I756" s="4"/>
      <c r="J756" s="8" t="str">
        <f>IF(I756="","",SUMIF(Cotizador!I$1:V$1,I756,Cotizador!I$2:V$2))</f>
        <v/>
      </c>
      <c r="L756" s="4" t="str">
        <f t="array" ref="L756">IF(COUNTIF(L$1:L755,A$2)=SUMIF(A:A,A$2,D:D),IF(COUNTIF(L$1:L755,XLOOKUP(A$2,Implementos!B:B,Implementos!C:C,"",0,1))=SUMIF(A:A,XLOOKUP(A$2,Implementos!B:B,Implementos!C:C,"",0,1),D:D),"",XLOOKUP(A$2,Implementos!B:B,Implementos!C:C,"",0,1)),A$2)</f>
        <v/>
      </c>
      <c r="M756" s="4" t="str">
        <f t="shared" si="2"/>
        <v/>
      </c>
      <c r="N756" s="4" t="str">
        <f t="shared" si="3"/>
        <v/>
      </c>
      <c r="O756" s="4" t="str">
        <f t="shared" si="4"/>
        <v/>
      </c>
      <c r="P756" s="4" t="str">
        <f t="shared" si="5"/>
        <v/>
      </c>
      <c r="Q756" s="4" t="str">
        <f>IF(U756="","",SUMIF(Productos!E:E,U756,Productos!A:A))</f>
        <v/>
      </c>
      <c r="R756" s="4" t="str">
        <f t="array" ref="R756">IF(L756="","", max(1,SUMIF(I:I,XLOOKUP(U756,Productos!E:E,Productos!G:G,"",0,1),J:J)))</f>
        <v/>
      </c>
      <c r="S756" s="4" t="str">
        <f>IF(Q756="","",IF(SUMIFS(Compat_Vetado!D:D,Compat_Vetado!B:B,SUM(G:G),Compat_Vetado!C:C,Q756)=1,"SI",IF(OR(SUMIF(Cotizador!E:E,Q756,Cotizador!G:G)&gt;0,SUMIFS(Compat_Vetado!D:D,Compat_Vetado!B:B,SUM(G:G),Compat_Vetado!C:C,Q756)=-1),"NO","")))</f>
        <v/>
      </c>
      <c r="T756" s="4" t="str">
        <f t="shared" si="6"/>
        <v/>
      </c>
      <c r="U756" s="4" t="str">
        <f>IFERROR(__xludf.DUMMYFUNCTION("IF(P756="""","""",IFERROR(INDEX(filter(Productos!E:E,Productos!F:F=L756,Productos!H:H=N756),P756),IF(M756=SUM(D:D),""Finalizar"",""-"")))"),"")</f>
        <v/>
      </c>
      <c r="V756" s="4" t="str">
        <f>IFERROR(__xludf.DUMMYFUNCTION("IF(OR($U756="""",COUNTIF($I:$I,IFERROR(unique(filter(Prod_Prop!$H:$H,Prod_Prop!$G:$G=$U756,Prod_Prop!$E:$E=V$1)),""Check""))=0),"""",IFERROR(unique(filter(Prod_Prop!$H:$H,Prod_Prop!$G:$G=$U756,Prod_Prop!$E:$E=V$1)),""""))"),"")</f>
        <v/>
      </c>
      <c r="W756" s="4" t="str">
        <f>IF(V756="","",SUMIFS(Prod_Prop!$J:$J,Prod_Prop!$B:$B,$Q756,Prod_Prop!$H:$H,V756,Prod_Prop!$I:$I,W$1)*IF(V756="Peso",$R756,1))</f>
        <v/>
      </c>
      <c r="X756" s="4" t="str">
        <f>IF(V756="","",SUMIFS(Prod_Prop!$J:$J,Prod_Prop!$B:$B,$Q756,Prod_Prop!$H:$H,V756,Prod_Prop!$I:$I,X$1)*IF(V756="Peso",$R756,1))</f>
        <v/>
      </c>
      <c r="Y756" s="4" t="str">
        <f>IFERROR(__xludf.DUMMYFUNCTION("IF(OR($U756="""",COUNTIF($I:$I,IFERROR(unique(filter(Prod_Prop!$H:$H,Prod_Prop!$G:$G=$U756,Prod_Prop!$E:$E=Y$1)),""Check""))=0),"""",IFERROR(unique(filter(Prod_Prop!$H:$H,Prod_Prop!$G:$G=$U756,Prod_Prop!$E:$E=Y$1)),""""))"),"")</f>
        <v/>
      </c>
      <c r="Z756" s="4" t="str">
        <f>IF(Y756="","",SUMIFS(Prod_Prop!$J:$J,Prod_Prop!$B:$B,$Q756,Prod_Prop!$H:$H,Y756,Prod_Prop!$I:$I,Z$1)*IF(Y756="Peso",$R756,1))</f>
        <v/>
      </c>
      <c r="AA756" s="4" t="str">
        <f>IF(Y756="","",SUMIFS(Prod_Prop!$J:$J,Prod_Prop!$B:$B,$Q756,Prod_Prop!$H:$H,Y756,Prod_Prop!$I:$I,AA$1)*IF(Y756="Peso",$R756,1))</f>
        <v/>
      </c>
      <c r="AB756" s="4" t="str">
        <f>IFERROR(__xludf.DUMMYFUNCTION("IF(OR($U756="""",COUNTIF($I:$I,IFERROR(unique(filter(Prod_Prop!$H:$H,Prod_Prop!$G:$G=$U756,Prod_Prop!$E:$E=AB$1)),""Check""))=0),"""",IFERROR(unique(filter(Prod_Prop!$H:$H,Prod_Prop!$G:$G=$U756,Prod_Prop!$E:$E=AB$1)),""""))"),"")</f>
        <v/>
      </c>
      <c r="AC756" s="4" t="str">
        <f>IF(AB756="","",SUMIFS(Prod_Prop!$J:$J,Prod_Prop!$B:$B,$Q756,Prod_Prop!$H:$H,AB756,Prod_Prop!$I:$I,AC$1)*IF(AB756="Peso",$R756,1))</f>
        <v/>
      </c>
      <c r="AD756" s="4" t="str">
        <f>IF(AB756="","",SUMIFS(Prod_Prop!$J:$J,Prod_Prop!$B:$B,$Q756,Prod_Prop!$H:$H,AB756,Prod_Prop!$I:$I,AD$1)*IF(AB756="Peso",$R756,1))</f>
        <v/>
      </c>
    </row>
    <row r="757">
      <c r="A757" s="4" t="str">
        <f t="array" ref="A757">IF(COUNTIF(A$1:A756,Cotizador!F$2)=maxifs(Familias!E:E,Familias!D:D,Cotizador!F$2),IF(COUNTIF(A$1:A756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7" s="4" t="str">
        <f t="shared" si="1"/>
        <v/>
      </c>
      <c r="C757" s="4" t="str">
        <f t="array" ref="C757">IF(B757="","",IF(A757=XLOOKUP(A$2,Implementos!B:B,Implementos!C:C,"",0,1),B757+maxifs(B$1:B756,A$1:A756,A$2),B757))</f>
        <v/>
      </c>
      <c r="D757" s="4" t="str">
        <f>IF(B757="","", COUNTIFS(Productos!F:F,A757,Productos!H:H,B757)+IF(F757="SI",0,1))</f>
        <v/>
      </c>
      <c r="E757" s="4" t="str">
        <f>IFERROR(__xludf.DUMMYFUNCTION("IF($B757="""","""",INDEX(filter(Familias!F:F,Familias!$D:$D=$A757,Familias!$E:$E=$B757),1))"),"")</f>
        <v/>
      </c>
      <c r="F757" s="4" t="str">
        <f>IFERROR(__xludf.DUMMYFUNCTION("IF($B757="""","""",INDEX(filter(Familias!G:G,Familias!$D:$D=$A757,Familias!$E:$E=$B757),1))"),"")</f>
        <v/>
      </c>
      <c r="G757" s="4" t="str">
        <f t="array" ref="G757">IF(C757=1,XLOOKUP(C757,Cotizador!D:D,Cotizador!E:E,"",0,1),"")</f>
        <v/>
      </c>
      <c r="I757" s="4"/>
      <c r="J757" s="8" t="str">
        <f>IF(I757="","",SUMIF(Cotizador!I$1:V$1,I757,Cotizador!I$2:V$2))</f>
        <v/>
      </c>
      <c r="L757" s="4" t="str">
        <f t="array" ref="L757">IF(COUNTIF(L$1:L756,A$2)=SUMIF(A:A,A$2,D:D),IF(COUNTIF(L$1:L756,XLOOKUP(A$2,Implementos!B:B,Implementos!C:C,"",0,1))=SUMIF(A:A,XLOOKUP(A$2,Implementos!B:B,Implementos!C:C,"",0,1),D:D),"",XLOOKUP(A$2,Implementos!B:B,Implementos!C:C,"",0,1)),A$2)</f>
        <v/>
      </c>
      <c r="M757" s="4" t="str">
        <f t="shared" si="2"/>
        <v/>
      </c>
      <c r="N757" s="4" t="str">
        <f t="shared" si="3"/>
        <v/>
      </c>
      <c r="O757" s="4" t="str">
        <f t="shared" si="4"/>
        <v/>
      </c>
      <c r="P757" s="4" t="str">
        <f t="shared" si="5"/>
        <v/>
      </c>
      <c r="Q757" s="4" t="str">
        <f>IF(U757="","",SUMIF(Productos!E:E,U757,Productos!A:A))</f>
        <v/>
      </c>
      <c r="R757" s="4" t="str">
        <f t="array" ref="R757">IF(L757="","", max(1,SUMIF(I:I,XLOOKUP(U757,Productos!E:E,Productos!G:G,"",0,1),J:J)))</f>
        <v/>
      </c>
      <c r="S757" s="4" t="str">
        <f>IF(Q757="","",IF(SUMIFS(Compat_Vetado!D:D,Compat_Vetado!B:B,SUM(G:G),Compat_Vetado!C:C,Q757)=1,"SI",IF(OR(SUMIF(Cotizador!E:E,Q757,Cotizador!G:G)&gt;0,SUMIFS(Compat_Vetado!D:D,Compat_Vetado!B:B,SUM(G:G),Compat_Vetado!C:C,Q757)=-1),"NO","")))</f>
        <v/>
      </c>
      <c r="T757" s="4" t="str">
        <f t="shared" si="6"/>
        <v/>
      </c>
      <c r="U757" s="4" t="str">
        <f>IFERROR(__xludf.DUMMYFUNCTION("IF(P757="""","""",IFERROR(INDEX(filter(Productos!E:E,Productos!F:F=L757,Productos!H:H=N757),P757),IF(M757=SUM(D:D),""Finalizar"",""-"")))"),"")</f>
        <v/>
      </c>
      <c r="V757" s="4" t="str">
        <f>IFERROR(__xludf.DUMMYFUNCTION("IF(OR($U757="""",COUNTIF($I:$I,IFERROR(unique(filter(Prod_Prop!$H:$H,Prod_Prop!$G:$G=$U757,Prod_Prop!$E:$E=V$1)),""Check""))=0),"""",IFERROR(unique(filter(Prod_Prop!$H:$H,Prod_Prop!$G:$G=$U757,Prod_Prop!$E:$E=V$1)),""""))"),"")</f>
        <v/>
      </c>
      <c r="W757" s="4" t="str">
        <f>IF(V757="","",SUMIFS(Prod_Prop!$J:$J,Prod_Prop!$B:$B,$Q757,Prod_Prop!$H:$H,V757,Prod_Prop!$I:$I,W$1)*IF(V757="Peso",$R757,1))</f>
        <v/>
      </c>
      <c r="X757" s="4" t="str">
        <f>IF(V757="","",SUMIFS(Prod_Prop!$J:$J,Prod_Prop!$B:$B,$Q757,Prod_Prop!$H:$H,V757,Prod_Prop!$I:$I,X$1)*IF(V757="Peso",$R757,1))</f>
        <v/>
      </c>
      <c r="Y757" s="4" t="str">
        <f>IFERROR(__xludf.DUMMYFUNCTION("IF(OR($U757="""",COUNTIF($I:$I,IFERROR(unique(filter(Prod_Prop!$H:$H,Prod_Prop!$G:$G=$U757,Prod_Prop!$E:$E=Y$1)),""Check""))=0),"""",IFERROR(unique(filter(Prod_Prop!$H:$H,Prod_Prop!$G:$G=$U757,Prod_Prop!$E:$E=Y$1)),""""))"),"")</f>
        <v/>
      </c>
      <c r="Z757" s="4" t="str">
        <f>IF(Y757="","",SUMIFS(Prod_Prop!$J:$J,Prod_Prop!$B:$B,$Q757,Prod_Prop!$H:$H,Y757,Prod_Prop!$I:$I,Z$1)*IF(Y757="Peso",$R757,1))</f>
        <v/>
      </c>
      <c r="AA757" s="4" t="str">
        <f>IF(Y757="","",SUMIFS(Prod_Prop!$J:$J,Prod_Prop!$B:$B,$Q757,Prod_Prop!$H:$H,Y757,Prod_Prop!$I:$I,AA$1)*IF(Y757="Peso",$R757,1))</f>
        <v/>
      </c>
      <c r="AB757" s="4" t="str">
        <f>IFERROR(__xludf.DUMMYFUNCTION("IF(OR($U757="""",COUNTIF($I:$I,IFERROR(unique(filter(Prod_Prop!$H:$H,Prod_Prop!$G:$G=$U757,Prod_Prop!$E:$E=AB$1)),""Check""))=0),"""",IFERROR(unique(filter(Prod_Prop!$H:$H,Prod_Prop!$G:$G=$U757,Prod_Prop!$E:$E=AB$1)),""""))"),"")</f>
        <v/>
      </c>
      <c r="AC757" s="4" t="str">
        <f>IF(AB757="","",SUMIFS(Prod_Prop!$J:$J,Prod_Prop!$B:$B,$Q757,Prod_Prop!$H:$H,AB757,Prod_Prop!$I:$I,AC$1)*IF(AB757="Peso",$R757,1))</f>
        <v/>
      </c>
      <c r="AD757" s="4" t="str">
        <f>IF(AB757="","",SUMIFS(Prod_Prop!$J:$J,Prod_Prop!$B:$B,$Q757,Prod_Prop!$H:$H,AB757,Prod_Prop!$I:$I,AD$1)*IF(AB757="Peso",$R757,1))</f>
        <v/>
      </c>
    </row>
    <row r="758">
      <c r="A758" s="4" t="str">
        <f t="array" ref="A758">IF(COUNTIF(A$1:A757,Cotizador!F$2)=maxifs(Familias!E:E,Familias!D:D,Cotizador!F$2),IF(COUNTIF(A$1:A757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8" s="4" t="str">
        <f t="shared" si="1"/>
        <v/>
      </c>
      <c r="C758" s="4" t="str">
        <f t="array" ref="C758">IF(B758="","",IF(A758=XLOOKUP(A$2,Implementos!B:B,Implementos!C:C,"",0,1),B758+maxifs(B$1:B757,A$1:A757,A$2),B758))</f>
        <v/>
      </c>
      <c r="D758" s="4" t="str">
        <f>IF(B758="","", COUNTIFS(Productos!F:F,A758,Productos!H:H,B758)+IF(F758="SI",0,1))</f>
        <v/>
      </c>
      <c r="E758" s="4" t="str">
        <f>IFERROR(__xludf.DUMMYFUNCTION("IF($B758="""","""",INDEX(filter(Familias!F:F,Familias!$D:$D=$A758,Familias!$E:$E=$B758),1))"),"")</f>
        <v/>
      </c>
      <c r="F758" s="4" t="str">
        <f>IFERROR(__xludf.DUMMYFUNCTION("IF($B758="""","""",INDEX(filter(Familias!G:G,Familias!$D:$D=$A758,Familias!$E:$E=$B758),1))"),"")</f>
        <v/>
      </c>
      <c r="G758" s="4" t="str">
        <f t="array" ref="G758">IF(C758=1,XLOOKUP(C758,Cotizador!D:D,Cotizador!E:E,"",0,1),"")</f>
        <v/>
      </c>
      <c r="I758" s="4"/>
      <c r="J758" s="8" t="str">
        <f>IF(I758="","",SUMIF(Cotizador!I$1:V$1,I758,Cotizador!I$2:V$2))</f>
        <v/>
      </c>
      <c r="L758" s="4" t="str">
        <f t="array" ref="L758">IF(COUNTIF(L$1:L757,A$2)=SUMIF(A:A,A$2,D:D),IF(COUNTIF(L$1:L757,XLOOKUP(A$2,Implementos!B:B,Implementos!C:C,"",0,1))=SUMIF(A:A,XLOOKUP(A$2,Implementos!B:B,Implementos!C:C,"",0,1),D:D),"",XLOOKUP(A$2,Implementos!B:B,Implementos!C:C,"",0,1)),A$2)</f>
        <v/>
      </c>
      <c r="M758" s="4" t="str">
        <f t="shared" si="2"/>
        <v/>
      </c>
      <c r="N758" s="4" t="str">
        <f t="shared" si="3"/>
        <v/>
      </c>
      <c r="O758" s="4" t="str">
        <f t="shared" si="4"/>
        <v/>
      </c>
      <c r="P758" s="4" t="str">
        <f t="shared" si="5"/>
        <v/>
      </c>
      <c r="Q758" s="4" t="str">
        <f>IF(U758="","",SUMIF(Productos!E:E,U758,Productos!A:A))</f>
        <v/>
      </c>
      <c r="R758" s="4" t="str">
        <f t="array" ref="R758">IF(L758="","", max(1,SUMIF(I:I,XLOOKUP(U758,Productos!E:E,Productos!G:G,"",0,1),J:J)))</f>
        <v/>
      </c>
      <c r="S758" s="4" t="str">
        <f>IF(Q758="","",IF(SUMIFS(Compat_Vetado!D:D,Compat_Vetado!B:B,SUM(G:G),Compat_Vetado!C:C,Q758)=1,"SI",IF(OR(SUMIF(Cotizador!E:E,Q758,Cotizador!G:G)&gt;0,SUMIFS(Compat_Vetado!D:D,Compat_Vetado!B:B,SUM(G:G),Compat_Vetado!C:C,Q758)=-1),"NO","")))</f>
        <v/>
      </c>
      <c r="T758" s="4" t="str">
        <f t="shared" si="6"/>
        <v/>
      </c>
      <c r="U758" s="4" t="str">
        <f>IFERROR(__xludf.DUMMYFUNCTION("IF(P758="""","""",IFERROR(INDEX(filter(Productos!E:E,Productos!F:F=L758,Productos!H:H=N758),P758),IF(M758=SUM(D:D),""Finalizar"",""-"")))"),"")</f>
        <v/>
      </c>
      <c r="V758" s="4" t="str">
        <f>IFERROR(__xludf.DUMMYFUNCTION("IF(OR($U758="""",COUNTIF($I:$I,IFERROR(unique(filter(Prod_Prop!$H:$H,Prod_Prop!$G:$G=$U758,Prod_Prop!$E:$E=V$1)),""Check""))=0),"""",IFERROR(unique(filter(Prod_Prop!$H:$H,Prod_Prop!$G:$G=$U758,Prod_Prop!$E:$E=V$1)),""""))"),"")</f>
        <v/>
      </c>
      <c r="W758" s="4" t="str">
        <f>IF(V758="","",SUMIFS(Prod_Prop!$J:$J,Prod_Prop!$B:$B,$Q758,Prod_Prop!$H:$H,V758,Prod_Prop!$I:$I,W$1)*IF(V758="Peso",$R758,1))</f>
        <v/>
      </c>
      <c r="X758" s="4" t="str">
        <f>IF(V758="","",SUMIFS(Prod_Prop!$J:$J,Prod_Prop!$B:$B,$Q758,Prod_Prop!$H:$H,V758,Prod_Prop!$I:$I,X$1)*IF(V758="Peso",$R758,1))</f>
        <v/>
      </c>
      <c r="Y758" s="4" t="str">
        <f>IFERROR(__xludf.DUMMYFUNCTION("IF(OR($U758="""",COUNTIF($I:$I,IFERROR(unique(filter(Prod_Prop!$H:$H,Prod_Prop!$G:$G=$U758,Prod_Prop!$E:$E=Y$1)),""Check""))=0),"""",IFERROR(unique(filter(Prod_Prop!$H:$H,Prod_Prop!$G:$G=$U758,Prod_Prop!$E:$E=Y$1)),""""))"),"")</f>
        <v/>
      </c>
      <c r="Z758" s="4" t="str">
        <f>IF(Y758="","",SUMIFS(Prod_Prop!$J:$J,Prod_Prop!$B:$B,$Q758,Prod_Prop!$H:$H,Y758,Prod_Prop!$I:$I,Z$1)*IF(Y758="Peso",$R758,1))</f>
        <v/>
      </c>
      <c r="AA758" s="4" t="str">
        <f>IF(Y758="","",SUMIFS(Prod_Prop!$J:$J,Prod_Prop!$B:$B,$Q758,Prod_Prop!$H:$H,Y758,Prod_Prop!$I:$I,AA$1)*IF(Y758="Peso",$R758,1))</f>
        <v/>
      </c>
      <c r="AB758" s="4" t="str">
        <f>IFERROR(__xludf.DUMMYFUNCTION("IF(OR($U758="""",COUNTIF($I:$I,IFERROR(unique(filter(Prod_Prop!$H:$H,Prod_Prop!$G:$G=$U758,Prod_Prop!$E:$E=AB$1)),""Check""))=0),"""",IFERROR(unique(filter(Prod_Prop!$H:$H,Prod_Prop!$G:$G=$U758,Prod_Prop!$E:$E=AB$1)),""""))"),"")</f>
        <v/>
      </c>
      <c r="AC758" s="4" t="str">
        <f>IF(AB758="","",SUMIFS(Prod_Prop!$J:$J,Prod_Prop!$B:$B,$Q758,Prod_Prop!$H:$H,AB758,Prod_Prop!$I:$I,AC$1)*IF(AB758="Peso",$R758,1))</f>
        <v/>
      </c>
      <c r="AD758" s="4" t="str">
        <f>IF(AB758="","",SUMIFS(Prod_Prop!$J:$J,Prod_Prop!$B:$B,$Q758,Prod_Prop!$H:$H,AB758,Prod_Prop!$I:$I,AD$1)*IF(AB758="Peso",$R758,1))</f>
        <v/>
      </c>
    </row>
    <row r="759">
      <c r="A759" s="4" t="str">
        <f t="array" ref="A759">IF(COUNTIF(A$1:A758,Cotizador!F$2)=maxifs(Familias!E:E,Familias!D:D,Cotizador!F$2),IF(COUNTIF(A$1:A758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59" s="4" t="str">
        <f t="shared" si="1"/>
        <v/>
      </c>
      <c r="C759" s="4" t="str">
        <f t="array" ref="C759">IF(B759="","",IF(A759=XLOOKUP(A$2,Implementos!B:B,Implementos!C:C,"",0,1),B759+maxifs(B$1:B758,A$1:A758,A$2),B759))</f>
        <v/>
      </c>
      <c r="D759" s="4" t="str">
        <f>IF(B759="","", COUNTIFS(Productos!F:F,A759,Productos!H:H,B759)+IF(F759="SI",0,1))</f>
        <v/>
      </c>
      <c r="E759" s="4" t="str">
        <f>IFERROR(__xludf.DUMMYFUNCTION("IF($B759="""","""",INDEX(filter(Familias!F:F,Familias!$D:$D=$A759,Familias!$E:$E=$B759),1))"),"")</f>
        <v/>
      </c>
      <c r="F759" s="4" t="str">
        <f>IFERROR(__xludf.DUMMYFUNCTION("IF($B759="""","""",INDEX(filter(Familias!G:G,Familias!$D:$D=$A759,Familias!$E:$E=$B759),1))"),"")</f>
        <v/>
      </c>
      <c r="G759" s="4" t="str">
        <f t="array" ref="G759">IF(C759=1,XLOOKUP(C759,Cotizador!D:D,Cotizador!E:E,"",0,1),"")</f>
        <v/>
      </c>
      <c r="I759" s="4"/>
      <c r="J759" s="8" t="str">
        <f>IF(I759="","",SUMIF(Cotizador!I$1:V$1,I759,Cotizador!I$2:V$2))</f>
        <v/>
      </c>
      <c r="L759" s="4" t="str">
        <f t="array" ref="L759">IF(COUNTIF(L$1:L758,A$2)=SUMIF(A:A,A$2,D:D),IF(COUNTIF(L$1:L758,XLOOKUP(A$2,Implementos!B:B,Implementos!C:C,"",0,1))=SUMIF(A:A,XLOOKUP(A$2,Implementos!B:B,Implementos!C:C,"",0,1),D:D),"",XLOOKUP(A$2,Implementos!B:B,Implementos!C:C,"",0,1)),A$2)</f>
        <v/>
      </c>
      <c r="M759" s="4" t="str">
        <f t="shared" si="2"/>
        <v/>
      </c>
      <c r="N759" s="4" t="str">
        <f t="shared" si="3"/>
        <v/>
      </c>
      <c r="O759" s="4" t="str">
        <f t="shared" si="4"/>
        <v/>
      </c>
      <c r="P759" s="4" t="str">
        <f t="shared" si="5"/>
        <v/>
      </c>
      <c r="Q759" s="4" t="str">
        <f>IF(U759="","",SUMIF(Productos!E:E,U759,Productos!A:A))</f>
        <v/>
      </c>
      <c r="R759" s="4" t="str">
        <f t="array" ref="R759">IF(L759="","", max(1,SUMIF(I:I,XLOOKUP(U759,Productos!E:E,Productos!G:G,"",0,1),J:J)))</f>
        <v/>
      </c>
      <c r="S759" s="4" t="str">
        <f>IF(Q759="","",IF(SUMIFS(Compat_Vetado!D:D,Compat_Vetado!B:B,SUM(G:G),Compat_Vetado!C:C,Q759)=1,"SI",IF(OR(SUMIF(Cotizador!E:E,Q759,Cotizador!G:G)&gt;0,SUMIFS(Compat_Vetado!D:D,Compat_Vetado!B:B,SUM(G:G),Compat_Vetado!C:C,Q759)=-1),"NO","")))</f>
        <v/>
      </c>
      <c r="T759" s="4" t="str">
        <f t="shared" si="6"/>
        <v/>
      </c>
      <c r="U759" s="4" t="str">
        <f>IFERROR(__xludf.DUMMYFUNCTION("IF(P759="""","""",IFERROR(INDEX(filter(Productos!E:E,Productos!F:F=L759,Productos!H:H=N759),P759),IF(M759=SUM(D:D),""Finalizar"",""-"")))"),"")</f>
        <v/>
      </c>
      <c r="V759" s="4" t="str">
        <f>IFERROR(__xludf.DUMMYFUNCTION("IF(OR($U759="""",COUNTIF($I:$I,IFERROR(unique(filter(Prod_Prop!$H:$H,Prod_Prop!$G:$G=$U759,Prod_Prop!$E:$E=V$1)),""Check""))=0),"""",IFERROR(unique(filter(Prod_Prop!$H:$H,Prod_Prop!$G:$G=$U759,Prod_Prop!$E:$E=V$1)),""""))"),"")</f>
        <v/>
      </c>
      <c r="W759" s="4" t="str">
        <f>IF(V759="","",SUMIFS(Prod_Prop!$J:$J,Prod_Prop!$B:$B,$Q759,Prod_Prop!$H:$H,V759,Prod_Prop!$I:$I,W$1)*IF(V759="Peso",$R759,1))</f>
        <v/>
      </c>
      <c r="X759" s="4" t="str">
        <f>IF(V759="","",SUMIFS(Prod_Prop!$J:$J,Prod_Prop!$B:$B,$Q759,Prod_Prop!$H:$H,V759,Prod_Prop!$I:$I,X$1)*IF(V759="Peso",$R759,1))</f>
        <v/>
      </c>
      <c r="Y759" s="4" t="str">
        <f>IFERROR(__xludf.DUMMYFUNCTION("IF(OR($U759="""",COUNTIF($I:$I,IFERROR(unique(filter(Prod_Prop!$H:$H,Prod_Prop!$G:$G=$U759,Prod_Prop!$E:$E=Y$1)),""Check""))=0),"""",IFERROR(unique(filter(Prod_Prop!$H:$H,Prod_Prop!$G:$G=$U759,Prod_Prop!$E:$E=Y$1)),""""))"),"")</f>
        <v/>
      </c>
      <c r="Z759" s="4" t="str">
        <f>IF(Y759="","",SUMIFS(Prod_Prop!$J:$J,Prod_Prop!$B:$B,$Q759,Prod_Prop!$H:$H,Y759,Prod_Prop!$I:$I,Z$1)*IF(Y759="Peso",$R759,1))</f>
        <v/>
      </c>
      <c r="AA759" s="4" t="str">
        <f>IF(Y759="","",SUMIFS(Prod_Prop!$J:$J,Prod_Prop!$B:$B,$Q759,Prod_Prop!$H:$H,Y759,Prod_Prop!$I:$I,AA$1)*IF(Y759="Peso",$R759,1))</f>
        <v/>
      </c>
      <c r="AB759" s="4" t="str">
        <f>IFERROR(__xludf.DUMMYFUNCTION("IF(OR($U759="""",COUNTIF($I:$I,IFERROR(unique(filter(Prod_Prop!$H:$H,Prod_Prop!$G:$G=$U759,Prod_Prop!$E:$E=AB$1)),""Check""))=0),"""",IFERROR(unique(filter(Prod_Prop!$H:$H,Prod_Prop!$G:$G=$U759,Prod_Prop!$E:$E=AB$1)),""""))"),"")</f>
        <v/>
      </c>
      <c r="AC759" s="4" t="str">
        <f>IF(AB759="","",SUMIFS(Prod_Prop!$J:$J,Prod_Prop!$B:$B,$Q759,Prod_Prop!$H:$H,AB759,Prod_Prop!$I:$I,AC$1)*IF(AB759="Peso",$R759,1))</f>
        <v/>
      </c>
      <c r="AD759" s="4" t="str">
        <f>IF(AB759="","",SUMIFS(Prod_Prop!$J:$J,Prod_Prop!$B:$B,$Q759,Prod_Prop!$H:$H,AB759,Prod_Prop!$I:$I,AD$1)*IF(AB759="Peso",$R759,1))</f>
        <v/>
      </c>
    </row>
    <row r="760">
      <c r="A760" s="4" t="str">
        <f t="array" ref="A760">IF(COUNTIF(A$1:A759,Cotizador!F$2)=maxifs(Familias!E:E,Familias!D:D,Cotizador!F$2),IF(COUNTIF(A$1:A759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0" s="4" t="str">
        <f t="shared" si="1"/>
        <v/>
      </c>
      <c r="C760" s="4" t="str">
        <f t="array" ref="C760">IF(B760="","",IF(A760=XLOOKUP(A$2,Implementos!B:B,Implementos!C:C,"",0,1),B760+maxifs(B$1:B759,A$1:A759,A$2),B760))</f>
        <v/>
      </c>
      <c r="D760" s="4" t="str">
        <f>IF(B760="","", COUNTIFS(Productos!F:F,A760,Productos!H:H,B760)+IF(F760="SI",0,1))</f>
        <v/>
      </c>
      <c r="E760" s="4" t="str">
        <f>IFERROR(__xludf.DUMMYFUNCTION("IF($B760="""","""",INDEX(filter(Familias!F:F,Familias!$D:$D=$A760,Familias!$E:$E=$B760),1))"),"")</f>
        <v/>
      </c>
      <c r="F760" s="4" t="str">
        <f>IFERROR(__xludf.DUMMYFUNCTION("IF($B760="""","""",INDEX(filter(Familias!G:G,Familias!$D:$D=$A760,Familias!$E:$E=$B760),1))"),"")</f>
        <v/>
      </c>
      <c r="G760" s="4" t="str">
        <f t="array" ref="G760">IF(C760=1,XLOOKUP(C760,Cotizador!D:D,Cotizador!E:E,"",0,1),"")</f>
        <v/>
      </c>
      <c r="I760" s="4"/>
      <c r="J760" s="8" t="str">
        <f>IF(I760="","",SUMIF(Cotizador!I$1:V$1,I760,Cotizador!I$2:V$2))</f>
        <v/>
      </c>
      <c r="L760" s="4" t="str">
        <f t="array" ref="L760">IF(COUNTIF(L$1:L759,A$2)=SUMIF(A:A,A$2,D:D),IF(COUNTIF(L$1:L759,XLOOKUP(A$2,Implementos!B:B,Implementos!C:C,"",0,1))=SUMIF(A:A,XLOOKUP(A$2,Implementos!B:B,Implementos!C:C,"",0,1),D:D),"",XLOOKUP(A$2,Implementos!B:B,Implementos!C:C,"",0,1)),A$2)</f>
        <v/>
      </c>
      <c r="M760" s="4" t="str">
        <f t="shared" si="2"/>
        <v/>
      </c>
      <c r="N760" s="4" t="str">
        <f t="shared" si="3"/>
        <v/>
      </c>
      <c r="O760" s="4" t="str">
        <f t="shared" si="4"/>
        <v/>
      </c>
      <c r="P760" s="4" t="str">
        <f t="shared" si="5"/>
        <v/>
      </c>
      <c r="Q760" s="4" t="str">
        <f>IF(U760="","",SUMIF(Productos!E:E,U760,Productos!A:A))</f>
        <v/>
      </c>
      <c r="R760" s="4" t="str">
        <f t="array" ref="R760">IF(L760="","", max(1,SUMIF(I:I,XLOOKUP(U760,Productos!E:E,Productos!G:G,"",0,1),J:J)))</f>
        <v/>
      </c>
      <c r="S760" s="4" t="str">
        <f>IF(Q760="","",IF(SUMIFS(Compat_Vetado!D:D,Compat_Vetado!B:B,SUM(G:G),Compat_Vetado!C:C,Q760)=1,"SI",IF(OR(SUMIF(Cotizador!E:E,Q760,Cotizador!G:G)&gt;0,SUMIFS(Compat_Vetado!D:D,Compat_Vetado!B:B,SUM(G:G),Compat_Vetado!C:C,Q760)=-1),"NO","")))</f>
        <v/>
      </c>
      <c r="T760" s="4" t="str">
        <f t="shared" si="6"/>
        <v/>
      </c>
      <c r="U760" s="4" t="str">
        <f>IFERROR(__xludf.DUMMYFUNCTION("IF(P760="""","""",IFERROR(INDEX(filter(Productos!E:E,Productos!F:F=L760,Productos!H:H=N760),P760),IF(M760=SUM(D:D),""Finalizar"",""-"")))"),"")</f>
        <v/>
      </c>
      <c r="V760" s="4" t="str">
        <f>IFERROR(__xludf.DUMMYFUNCTION("IF(OR($U760="""",COUNTIF($I:$I,IFERROR(unique(filter(Prod_Prop!$H:$H,Prod_Prop!$G:$G=$U760,Prod_Prop!$E:$E=V$1)),""Check""))=0),"""",IFERROR(unique(filter(Prod_Prop!$H:$H,Prod_Prop!$G:$G=$U760,Prod_Prop!$E:$E=V$1)),""""))"),"")</f>
        <v/>
      </c>
      <c r="W760" s="4" t="str">
        <f>IF(V760="","",SUMIFS(Prod_Prop!$J:$J,Prod_Prop!$B:$B,$Q760,Prod_Prop!$H:$H,V760,Prod_Prop!$I:$I,W$1)*IF(V760="Peso",$R760,1))</f>
        <v/>
      </c>
      <c r="X760" s="4" t="str">
        <f>IF(V760="","",SUMIFS(Prod_Prop!$J:$J,Prod_Prop!$B:$B,$Q760,Prod_Prop!$H:$H,V760,Prod_Prop!$I:$I,X$1)*IF(V760="Peso",$R760,1))</f>
        <v/>
      </c>
      <c r="Y760" s="4" t="str">
        <f>IFERROR(__xludf.DUMMYFUNCTION("IF(OR($U760="""",COUNTIF($I:$I,IFERROR(unique(filter(Prod_Prop!$H:$H,Prod_Prop!$G:$G=$U760,Prod_Prop!$E:$E=Y$1)),""Check""))=0),"""",IFERROR(unique(filter(Prod_Prop!$H:$H,Prod_Prop!$G:$G=$U760,Prod_Prop!$E:$E=Y$1)),""""))"),"")</f>
        <v/>
      </c>
      <c r="Z760" s="4" t="str">
        <f>IF(Y760="","",SUMIFS(Prod_Prop!$J:$J,Prod_Prop!$B:$B,$Q760,Prod_Prop!$H:$H,Y760,Prod_Prop!$I:$I,Z$1)*IF(Y760="Peso",$R760,1))</f>
        <v/>
      </c>
      <c r="AA760" s="4" t="str">
        <f>IF(Y760="","",SUMIFS(Prod_Prop!$J:$J,Prod_Prop!$B:$B,$Q760,Prod_Prop!$H:$H,Y760,Prod_Prop!$I:$I,AA$1)*IF(Y760="Peso",$R760,1))</f>
        <v/>
      </c>
      <c r="AB760" s="4" t="str">
        <f>IFERROR(__xludf.DUMMYFUNCTION("IF(OR($U760="""",COUNTIF($I:$I,IFERROR(unique(filter(Prod_Prop!$H:$H,Prod_Prop!$G:$G=$U760,Prod_Prop!$E:$E=AB$1)),""Check""))=0),"""",IFERROR(unique(filter(Prod_Prop!$H:$H,Prod_Prop!$G:$G=$U760,Prod_Prop!$E:$E=AB$1)),""""))"),"")</f>
        <v/>
      </c>
      <c r="AC760" s="4" t="str">
        <f>IF(AB760="","",SUMIFS(Prod_Prop!$J:$J,Prod_Prop!$B:$B,$Q760,Prod_Prop!$H:$H,AB760,Prod_Prop!$I:$I,AC$1)*IF(AB760="Peso",$R760,1))</f>
        <v/>
      </c>
      <c r="AD760" s="4" t="str">
        <f>IF(AB760="","",SUMIFS(Prod_Prop!$J:$J,Prod_Prop!$B:$B,$Q760,Prod_Prop!$H:$H,AB760,Prod_Prop!$I:$I,AD$1)*IF(AB760="Peso",$R760,1))</f>
        <v/>
      </c>
    </row>
    <row r="761">
      <c r="A761" s="4" t="str">
        <f t="array" ref="A761">IF(COUNTIF(A$1:A760,Cotizador!F$2)=maxifs(Familias!E:E,Familias!D:D,Cotizador!F$2),IF(COUNTIF(A$1:A760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1" s="4" t="str">
        <f t="shared" si="1"/>
        <v/>
      </c>
      <c r="C761" s="4" t="str">
        <f t="array" ref="C761">IF(B761="","",IF(A761=XLOOKUP(A$2,Implementos!B:B,Implementos!C:C,"",0,1),B761+maxifs(B$1:B760,A$1:A760,A$2),B761))</f>
        <v/>
      </c>
      <c r="D761" s="4" t="str">
        <f>IF(B761="","", COUNTIFS(Productos!F:F,A761,Productos!H:H,B761)+IF(F761="SI",0,1))</f>
        <v/>
      </c>
      <c r="E761" s="4" t="str">
        <f>IFERROR(__xludf.DUMMYFUNCTION("IF($B761="""","""",INDEX(filter(Familias!F:F,Familias!$D:$D=$A761,Familias!$E:$E=$B761),1))"),"")</f>
        <v/>
      </c>
      <c r="F761" s="4" t="str">
        <f>IFERROR(__xludf.DUMMYFUNCTION("IF($B761="""","""",INDEX(filter(Familias!G:G,Familias!$D:$D=$A761,Familias!$E:$E=$B761),1))"),"")</f>
        <v/>
      </c>
      <c r="G761" s="4" t="str">
        <f t="array" ref="G761">IF(C761=1,XLOOKUP(C761,Cotizador!D:D,Cotizador!E:E,"",0,1),"")</f>
        <v/>
      </c>
      <c r="I761" s="4"/>
      <c r="J761" s="8" t="str">
        <f>IF(I761="","",SUMIF(Cotizador!I$1:V$1,I761,Cotizador!I$2:V$2))</f>
        <v/>
      </c>
      <c r="L761" s="4" t="str">
        <f t="array" ref="L761">IF(COUNTIF(L$1:L760,A$2)=SUMIF(A:A,A$2,D:D),IF(COUNTIF(L$1:L760,XLOOKUP(A$2,Implementos!B:B,Implementos!C:C,"",0,1))=SUMIF(A:A,XLOOKUP(A$2,Implementos!B:B,Implementos!C:C,"",0,1),D:D),"",XLOOKUP(A$2,Implementos!B:B,Implementos!C:C,"",0,1)),A$2)</f>
        <v/>
      </c>
      <c r="M761" s="4" t="str">
        <f t="shared" si="2"/>
        <v/>
      </c>
      <c r="N761" s="4" t="str">
        <f t="shared" si="3"/>
        <v/>
      </c>
      <c r="O761" s="4" t="str">
        <f t="shared" si="4"/>
        <v/>
      </c>
      <c r="P761" s="4" t="str">
        <f t="shared" si="5"/>
        <v/>
      </c>
      <c r="Q761" s="4" t="str">
        <f>IF(U761="","",SUMIF(Productos!E:E,U761,Productos!A:A))</f>
        <v/>
      </c>
      <c r="R761" s="4" t="str">
        <f t="array" ref="R761">IF(L761="","", max(1,SUMIF(I:I,XLOOKUP(U761,Productos!E:E,Productos!G:G,"",0,1),J:J)))</f>
        <v/>
      </c>
      <c r="S761" s="4" t="str">
        <f>IF(Q761="","",IF(SUMIFS(Compat_Vetado!D:D,Compat_Vetado!B:B,SUM(G:G),Compat_Vetado!C:C,Q761)=1,"SI",IF(OR(SUMIF(Cotizador!E:E,Q761,Cotizador!G:G)&gt;0,SUMIFS(Compat_Vetado!D:D,Compat_Vetado!B:B,SUM(G:G),Compat_Vetado!C:C,Q761)=-1),"NO","")))</f>
        <v/>
      </c>
      <c r="T761" s="4" t="str">
        <f t="shared" si="6"/>
        <v/>
      </c>
      <c r="U761" s="4" t="str">
        <f>IFERROR(__xludf.DUMMYFUNCTION("IF(P761="""","""",IFERROR(INDEX(filter(Productos!E:E,Productos!F:F=L761,Productos!H:H=N761),P761),IF(M761=SUM(D:D),""Finalizar"",""-"")))"),"")</f>
        <v/>
      </c>
      <c r="V761" s="4" t="str">
        <f>IFERROR(__xludf.DUMMYFUNCTION("IF(OR($U761="""",COUNTIF($I:$I,IFERROR(unique(filter(Prod_Prop!$H:$H,Prod_Prop!$G:$G=$U761,Prod_Prop!$E:$E=V$1)),""Check""))=0),"""",IFERROR(unique(filter(Prod_Prop!$H:$H,Prod_Prop!$G:$G=$U761,Prod_Prop!$E:$E=V$1)),""""))"),"")</f>
        <v/>
      </c>
      <c r="W761" s="4" t="str">
        <f>IF(V761="","",SUMIFS(Prod_Prop!$J:$J,Prod_Prop!$B:$B,$Q761,Prod_Prop!$H:$H,V761,Prod_Prop!$I:$I,W$1)*IF(V761="Peso",$R761,1))</f>
        <v/>
      </c>
      <c r="X761" s="4" t="str">
        <f>IF(V761="","",SUMIFS(Prod_Prop!$J:$J,Prod_Prop!$B:$B,$Q761,Prod_Prop!$H:$H,V761,Prod_Prop!$I:$I,X$1)*IF(V761="Peso",$R761,1))</f>
        <v/>
      </c>
      <c r="Y761" s="4" t="str">
        <f>IFERROR(__xludf.DUMMYFUNCTION("IF(OR($U761="""",COUNTIF($I:$I,IFERROR(unique(filter(Prod_Prop!$H:$H,Prod_Prop!$G:$G=$U761,Prod_Prop!$E:$E=Y$1)),""Check""))=0),"""",IFERROR(unique(filter(Prod_Prop!$H:$H,Prod_Prop!$G:$G=$U761,Prod_Prop!$E:$E=Y$1)),""""))"),"")</f>
        <v/>
      </c>
      <c r="Z761" s="4" t="str">
        <f>IF(Y761="","",SUMIFS(Prod_Prop!$J:$J,Prod_Prop!$B:$B,$Q761,Prod_Prop!$H:$H,Y761,Prod_Prop!$I:$I,Z$1)*IF(Y761="Peso",$R761,1))</f>
        <v/>
      </c>
      <c r="AA761" s="4" t="str">
        <f>IF(Y761="","",SUMIFS(Prod_Prop!$J:$J,Prod_Prop!$B:$B,$Q761,Prod_Prop!$H:$H,Y761,Prod_Prop!$I:$I,AA$1)*IF(Y761="Peso",$R761,1))</f>
        <v/>
      </c>
      <c r="AB761" s="4" t="str">
        <f>IFERROR(__xludf.DUMMYFUNCTION("IF(OR($U761="""",COUNTIF($I:$I,IFERROR(unique(filter(Prod_Prop!$H:$H,Prod_Prop!$G:$G=$U761,Prod_Prop!$E:$E=AB$1)),""Check""))=0),"""",IFERROR(unique(filter(Prod_Prop!$H:$H,Prod_Prop!$G:$G=$U761,Prod_Prop!$E:$E=AB$1)),""""))"),"")</f>
        <v/>
      </c>
      <c r="AC761" s="4" t="str">
        <f>IF(AB761="","",SUMIFS(Prod_Prop!$J:$J,Prod_Prop!$B:$B,$Q761,Prod_Prop!$H:$H,AB761,Prod_Prop!$I:$I,AC$1)*IF(AB761="Peso",$R761,1))</f>
        <v/>
      </c>
      <c r="AD761" s="4" t="str">
        <f>IF(AB761="","",SUMIFS(Prod_Prop!$J:$J,Prod_Prop!$B:$B,$Q761,Prod_Prop!$H:$H,AB761,Prod_Prop!$I:$I,AD$1)*IF(AB761="Peso",$R761,1))</f>
        <v/>
      </c>
    </row>
    <row r="762">
      <c r="A762" s="4" t="str">
        <f t="array" ref="A762">IF(COUNTIF(A$1:A761,Cotizador!F$2)=maxifs(Familias!E:E,Familias!D:D,Cotizador!F$2),IF(COUNTIF(A$1:A761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2" s="4" t="str">
        <f t="shared" si="1"/>
        <v/>
      </c>
      <c r="C762" s="4" t="str">
        <f t="array" ref="C762">IF(B762="","",IF(A762=XLOOKUP(A$2,Implementos!B:B,Implementos!C:C,"",0,1),B762+maxifs(B$1:B761,A$1:A761,A$2),B762))</f>
        <v/>
      </c>
      <c r="D762" s="4" t="str">
        <f>IF(B762="","", COUNTIFS(Productos!F:F,A762,Productos!H:H,B762)+IF(F762="SI",0,1))</f>
        <v/>
      </c>
      <c r="E762" s="4" t="str">
        <f>IFERROR(__xludf.DUMMYFUNCTION("IF($B762="""","""",INDEX(filter(Familias!F:F,Familias!$D:$D=$A762,Familias!$E:$E=$B762),1))"),"")</f>
        <v/>
      </c>
      <c r="F762" s="4" t="str">
        <f>IFERROR(__xludf.DUMMYFUNCTION("IF($B762="""","""",INDEX(filter(Familias!G:G,Familias!$D:$D=$A762,Familias!$E:$E=$B762),1))"),"")</f>
        <v/>
      </c>
      <c r="G762" s="4" t="str">
        <f t="array" ref="G762">IF(C762=1,XLOOKUP(C762,Cotizador!D:D,Cotizador!E:E,"",0,1),"")</f>
        <v/>
      </c>
      <c r="I762" s="4"/>
      <c r="J762" s="8" t="str">
        <f>IF(I762="","",SUMIF(Cotizador!I$1:V$1,I762,Cotizador!I$2:V$2))</f>
        <v/>
      </c>
      <c r="L762" s="4" t="str">
        <f t="array" ref="L762">IF(COUNTIF(L$1:L761,A$2)=SUMIF(A:A,A$2,D:D),IF(COUNTIF(L$1:L761,XLOOKUP(A$2,Implementos!B:B,Implementos!C:C,"",0,1))=SUMIF(A:A,XLOOKUP(A$2,Implementos!B:B,Implementos!C:C,"",0,1),D:D),"",XLOOKUP(A$2,Implementos!B:B,Implementos!C:C,"",0,1)),A$2)</f>
        <v/>
      </c>
      <c r="M762" s="4" t="str">
        <f t="shared" si="2"/>
        <v/>
      </c>
      <c r="N762" s="4" t="str">
        <f t="shared" si="3"/>
        <v/>
      </c>
      <c r="O762" s="4" t="str">
        <f t="shared" si="4"/>
        <v/>
      </c>
      <c r="P762" s="4" t="str">
        <f t="shared" si="5"/>
        <v/>
      </c>
      <c r="Q762" s="4" t="str">
        <f>IF(U762="","",SUMIF(Productos!E:E,U762,Productos!A:A))</f>
        <v/>
      </c>
      <c r="R762" s="4" t="str">
        <f t="array" ref="R762">IF(L762="","", max(1,SUMIF(I:I,XLOOKUP(U762,Productos!E:E,Productos!G:G,"",0,1),J:J)))</f>
        <v/>
      </c>
      <c r="S762" s="4" t="str">
        <f>IF(Q762="","",IF(SUMIFS(Compat_Vetado!D:D,Compat_Vetado!B:B,SUM(G:G),Compat_Vetado!C:C,Q762)=1,"SI",IF(OR(SUMIF(Cotizador!E:E,Q762,Cotizador!G:G)&gt;0,SUMIFS(Compat_Vetado!D:D,Compat_Vetado!B:B,SUM(G:G),Compat_Vetado!C:C,Q762)=-1),"NO","")))</f>
        <v/>
      </c>
      <c r="T762" s="4" t="str">
        <f t="shared" si="6"/>
        <v/>
      </c>
      <c r="U762" s="4" t="str">
        <f>IFERROR(__xludf.DUMMYFUNCTION("IF(P762="""","""",IFERROR(INDEX(filter(Productos!E:E,Productos!F:F=L762,Productos!H:H=N762),P762),IF(M762=SUM(D:D),""Finalizar"",""-"")))"),"")</f>
        <v/>
      </c>
      <c r="V762" s="4" t="str">
        <f>IFERROR(__xludf.DUMMYFUNCTION("IF(OR($U762="""",COUNTIF($I:$I,IFERROR(unique(filter(Prod_Prop!$H:$H,Prod_Prop!$G:$G=$U762,Prod_Prop!$E:$E=V$1)),""Check""))=0),"""",IFERROR(unique(filter(Prod_Prop!$H:$H,Prod_Prop!$G:$G=$U762,Prod_Prop!$E:$E=V$1)),""""))"),"")</f>
        <v/>
      </c>
      <c r="W762" s="4" t="str">
        <f>IF(V762="","",SUMIFS(Prod_Prop!$J:$J,Prod_Prop!$B:$B,$Q762,Prod_Prop!$H:$H,V762,Prod_Prop!$I:$I,W$1)*IF(V762="Peso",$R762,1))</f>
        <v/>
      </c>
      <c r="X762" s="4" t="str">
        <f>IF(V762="","",SUMIFS(Prod_Prop!$J:$J,Prod_Prop!$B:$B,$Q762,Prod_Prop!$H:$H,V762,Prod_Prop!$I:$I,X$1)*IF(V762="Peso",$R762,1))</f>
        <v/>
      </c>
      <c r="Y762" s="4" t="str">
        <f>IFERROR(__xludf.DUMMYFUNCTION("IF(OR($U762="""",COUNTIF($I:$I,IFERROR(unique(filter(Prod_Prop!$H:$H,Prod_Prop!$G:$G=$U762,Prod_Prop!$E:$E=Y$1)),""Check""))=0),"""",IFERROR(unique(filter(Prod_Prop!$H:$H,Prod_Prop!$G:$G=$U762,Prod_Prop!$E:$E=Y$1)),""""))"),"")</f>
        <v/>
      </c>
      <c r="Z762" s="4" t="str">
        <f>IF(Y762="","",SUMIFS(Prod_Prop!$J:$J,Prod_Prop!$B:$B,$Q762,Prod_Prop!$H:$H,Y762,Prod_Prop!$I:$I,Z$1)*IF(Y762="Peso",$R762,1))</f>
        <v/>
      </c>
      <c r="AA762" s="4" t="str">
        <f>IF(Y762="","",SUMIFS(Prod_Prop!$J:$J,Prod_Prop!$B:$B,$Q762,Prod_Prop!$H:$H,Y762,Prod_Prop!$I:$I,AA$1)*IF(Y762="Peso",$R762,1))</f>
        <v/>
      </c>
      <c r="AB762" s="4" t="str">
        <f>IFERROR(__xludf.DUMMYFUNCTION("IF(OR($U762="""",COUNTIF($I:$I,IFERROR(unique(filter(Prod_Prop!$H:$H,Prod_Prop!$G:$G=$U762,Prod_Prop!$E:$E=AB$1)),""Check""))=0),"""",IFERROR(unique(filter(Prod_Prop!$H:$H,Prod_Prop!$G:$G=$U762,Prod_Prop!$E:$E=AB$1)),""""))"),"")</f>
        <v/>
      </c>
      <c r="AC762" s="4" t="str">
        <f>IF(AB762="","",SUMIFS(Prod_Prop!$J:$J,Prod_Prop!$B:$B,$Q762,Prod_Prop!$H:$H,AB762,Prod_Prop!$I:$I,AC$1)*IF(AB762="Peso",$R762,1))</f>
        <v/>
      </c>
      <c r="AD762" s="4" t="str">
        <f>IF(AB762="","",SUMIFS(Prod_Prop!$J:$J,Prod_Prop!$B:$B,$Q762,Prod_Prop!$H:$H,AB762,Prod_Prop!$I:$I,AD$1)*IF(AB762="Peso",$R762,1))</f>
        <v/>
      </c>
    </row>
    <row r="763">
      <c r="A763" s="4" t="str">
        <f t="array" ref="A763">IF(COUNTIF(A$1:A762,Cotizador!F$2)=maxifs(Familias!E:E,Familias!D:D,Cotizador!F$2),IF(COUNTIF(A$1:A762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3" s="4" t="str">
        <f t="shared" si="1"/>
        <v/>
      </c>
      <c r="C763" s="4" t="str">
        <f t="array" ref="C763">IF(B763="","",IF(A763=XLOOKUP(A$2,Implementos!B:B,Implementos!C:C,"",0,1),B763+maxifs(B$1:B762,A$1:A762,A$2),B763))</f>
        <v/>
      </c>
      <c r="D763" s="4" t="str">
        <f>IF(B763="","", COUNTIFS(Productos!F:F,A763,Productos!H:H,B763)+IF(F763="SI",0,1))</f>
        <v/>
      </c>
      <c r="E763" s="4" t="str">
        <f>IFERROR(__xludf.DUMMYFUNCTION("IF($B763="""","""",INDEX(filter(Familias!F:F,Familias!$D:$D=$A763,Familias!$E:$E=$B763),1))"),"")</f>
        <v/>
      </c>
      <c r="F763" s="4" t="str">
        <f>IFERROR(__xludf.DUMMYFUNCTION("IF($B763="""","""",INDEX(filter(Familias!G:G,Familias!$D:$D=$A763,Familias!$E:$E=$B763),1))"),"")</f>
        <v/>
      </c>
      <c r="G763" s="4" t="str">
        <f t="array" ref="G763">IF(C763=1,XLOOKUP(C763,Cotizador!D:D,Cotizador!E:E,"",0,1),"")</f>
        <v/>
      </c>
      <c r="I763" s="4"/>
      <c r="J763" s="8" t="str">
        <f>IF(I763="","",SUMIF(Cotizador!I$1:V$1,I763,Cotizador!I$2:V$2))</f>
        <v/>
      </c>
      <c r="L763" s="4" t="str">
        <f t="array" ref="L763">IF(COUNTIF(L$1:L762,A$2)=SUMIF(A:A,A$2,D:D),IF(COUNTIF(L$1:L762,XLOOKUP(A$2,Implementos!B:B,Implementos!C:C,"",0,1))=SUMIF(A:A,XLOOKUP(A$2,Implementos!B:B,Implementos!C:C,"",0,1),D:D),"",XLOOKUP(A$2,Implementos!B:B,Implementos!C:C,"",0,1)),A$2)</f>
        <v/>
      </c>
      <c r="M763" s="4" t="str">
        <f t="shared" si="2"/>
        <v/>
      </c>
      <c r="N763" s="4" t="str">
        <f t="shared" si="3"/>
        <v/>
      </c>
      <c r="O763" s="4" t="str">
        <f t="shared" si="4"/>
        <v/>
      </c>
      <c r="P763" s="4" t="str">
        <f t="shared" si="5"/>
        <v/>
      </c>
      <c r="Q763" s="4" t="str">
        <f>IF(U763="","",SUMIF(Productos!E:E,U763,Productos!A:A))</f>
        <v/>
      </c>
      <c r="R763" s="4" t="str">
        <f t="array" ref="R763">IF(L763="","", max(1,SUMIF(I:I,XLOOKUP(U763,Productos!E:E,Productos!G:G,"",0,1),J:J)))</f>
        <v/>
      </c>
      <c r="S763" s="4" t="str">
        <f>IF(Q763="","",IF(SUMIFS(Compat_Vetado!D:D,Compat_Vetado!B:B,SUM(G:G),Compat_Vetado!C:C,Q763)=1,"SI",IF(OR(SUMIF(Cotizador!E:E,Q763,Cotizador!G:G)&gt;0,SUMIFS(Compat_Vetado!D:D,Compat_Vetado!B:B,SUM(G:G),Compat_Vetado!C:C,Q763)=-1),"NO","")))</f>
        <v/>
      </c>
      <c r="T763" s="4" t="str">
        <f t="shared" si="6"/>
        <v/>
      </c>
      <c r="U763" s="4" t="str">
        <f>IFERROR(__xludf.DUMMYFUNCTION("IF(P763="""","""",IFERROR(INDEX(filter(Productos!E:E,Productos!F:F=L763,Productos!H:H=N763),P763),IF(M763=SUM(D:D),""Finalizar"",""-"")))"),"")</f>
        <v/>
      </c>
      <c r="V763" s="4" t="str">
        <f>IFERROR(__xludf.DUMMYFUNCTION("IF(OR($U763="""",COUNTIF($I:$I,IFERROR(unique(filter(Prod_Prop!$H:$H,Prod_Prop!$G:$G=$U763,Prod_Prop!$E:$E=V$1)),""Check""))=0),"""",IFERROR(unique(filter(Prod_Prop!$H:$H,Prod_Prop!$G:$G=$U763,Prod_Prop!$E:$E=V$1)),""""))"),"")</f>
        <v/>
      </c>
      <c r="W763" s="4" t="str">
        <f>IF(V763="","",SUMIFS(Prod_Prop!$J:$J,Prod_Prop!$B:$B,$Q763,Prod_Prop!$H:$H,V763,Prod_Prop!$I:$I,W$1)*IF(V763="Peso",$R763,1))</f>
        <v/>
      </c>
      <c r="X763" s="4" t="str">
        <f>IF(V763="","",SUMIFS(Prod_Prop!$J:$J,Prod_Prop!$B:$B,$Q763,Prod_Prop!$H:$H,V763,Prod_Prop!$I:$I,X$1)*IF(V763="Peso",$R763,1))</f>
        <v/>
      </c>
      <c r="Y763" s="4" t="str">
        <f>IFERROR(__xludf.DUMMYFUNCTION("IF(OR($U763="""",COUNTIF($I:$I,IFERROR(unique(filter(Prod_Prop!$H:$H,Prod_Prop!$G:$G=$U763,Prod_Prop!$E:$E=Y$1)),""Check""))=0),"""",IFERROR(unique(filter(Prod_Prop!$H:$H,Prod_Prop!$G:$G=$U763,Prod_Prop!$E:$E=Y$1)),""""))"),"")</f>
        <v/>
      </c>
      <c r="Z763" s="4" t="str">
        <f>IF(Y763="","",SUMIFS(Prod_Prop!$J:$J,Prod_Prop!$B:$B,$Q763,Prod_Prop!$H:$H,Y763,Prod_Prop!$I:$I,Z$1)*IF(Y763="Peso",$R763,1))</f>
        <v/>
      </c>
      <c r="AA763" s="4" t="str">
        <f>IF(Y763="","",SUMIFS(Prod_Prop!$J:$J,Prod_Prop!$B:$B,$Q763,Prod_Prop!$H:$H,Y763,Prod_Prop!$I:$I,AA$1)*IF(Y763="Peso",$R763,1))</f>
        <v/>
      </c>
      <c r="AB763" s="4" t="str">
        <f>IFERROR(__xludf.DUMMYFUNCTION("IF(OR($U763="""",COUNTIF($I:$I,IFERROR(unique(filter(Prod_Prop!$H:$H,Prod_Prop!$G:$G=$U763,Prod_Prop!$E:$E=AB$1)),""Check""))=0),"""",IFERROR(unique(filter(Prod_Prop!$H:$H,Prod_Prop!$G:$G=$U763,Prod_Prop!$E:$E=AB$1)),""""))"),"")</f>
        <v/>
      </c>
      <c r="AC763" s="4" t="str">
        <f>IF(AB763="","",SUMIFS(Prod_Prop!$J:$J,Prod_Prop!$B:$B,$Q763,Prod_Prop!$H:$H,AB763,Prod_Prop!$I:$I,AC$1)*IF(AB763="Peso",$R763,1))</f>
        <v/>
      </c>
      <c r="AD763" s="4" t="str">
        <f>IF(AB763="","",SUMIFS(Prod_Prop!$J:$J,Prod_Prop!$B:$B,$Q763,Prod_Prop!$H:$H,AB763,Prod_Prop!$I:$I,AD$1)*IF(AB763="Peso",$R763,1))</f>
        <v/>
      </c>
    </row>
    <row r="764">
      <c r="A764" s="4" t="str">
        <f t="array" ref="A764">IF(COUNTIF(A$1:A763,Cotizador!F$2)=maxifs(Familias!E:E,Familias!D:D,Cotizador!F$2),IF(COUNTIF(A$1:A763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4" s="4" t="str">
        <f t="shared" si="1"/>
        <v/>
      </c>
      <c r="C764" s="4" t="str">
        <f t="array" ref="C764">IF(B764="","",IF(A764=XLOOKUP(A$2,Implementos!B:B,Implementos!C:C,"",0,1),B764+maxifs(B$1:B763,A$1:A763,A$2),B764))</f>
        <v/>
      </c>
      <c r="D764" s="4" t="str">
        <f>IF(B764="","", COUNTIFS(Productos!F:F,A764,Productos!H:H,B764)+IF(F764="SI",0,1))</f>
        <v/>
      </c>
      <c r="E764" s="4" t="str">
        <f>IFERROR(__xludf.DUMMYFUNCTION("IF($B764="""","""",INDEX(filter(Familias!F:F,Familias!$D:$D=$A764,Familias!$E:$E=$B764),1))"),"")</f>
        <v/>
      </c>
      <c r="F764" s="4" t="str">
        <f>IFERROR(__xludf.DUMMYFUNCTION("IF($B764="""","""",INDEX(filter(Familias!G:G,Familias!$D:$D=$A764,Familias!$E:$E=$B764),1))"),"")</f>
        <v/>
      </c>
      <c r="G764" s="4" t="str">
        <f t="array" ref="G764">IF(C764=1,XLOOKUP(C764,Cotizador!D:D,Cotizador!E:E,"",0,1),"")</f>
        <v/>
      </c>
      <c r="I764" s="4"/>
      <c r="J764" s="8" t="str">
        <f>IF(I764="","",SUMIF(Cotizador!I$1:V$1,I764,Cotizador!I$2:V$2))</f>
        <v/>
      </c>
      <c r="L764" s="4" t="str">
        <f t="array" ref="L764">IF(COUNTIF(L$1:L763,A$2)=SUMIF(A:A,A$2,D:D),IF(COUNTIF(L$1:L763,XLOOKUP(A$2,Implementos!B:B,Implementos!C:C,"",0,1))=SUMIF(A:A,XLOOKUP(A$2,Implementos!B:B,Implementos!C:C,"",0,1),D:D),"",XLOOKUP(A$2,Implementos!B:B,Implementos!C:C,"",0,1)),A$2)</f>
        <v/>
      </c>
      <c r="M764" s="4" t="str">
        <f t="shared" si="2"/>
        <v/>
      </c>
      <c r="N764" s="4" t="str">
        <f t="shared" si="3"/>
        <v/>
      </c>
      <c r="O764" s="4" t="str">
        <f t="shared" si="4"/>
        <v/>
      </c>
      <c r="P764" s="4" t="str">
        <f t="shared" si="5"/>
        <v/>
      </c>
      <c r="Q764" s="4" t="str">
        <f>IF(U764="","",SUMIF(Productos!E:E,U764,Productos!A:A))</f>
        <v/>
      </c>
      <c r="R764" s="4" t="str">
        <f t="array" ref="R764">IF(L764="","", max(1,SUMIF(I:I,XLOOKUP(U764,Productos!E:E,Productos!G:G,"",0,1),J:J)))</f>
        <v/>
      </c>
      <c r="S764" s="4" t="str">
        <f>IF(Q764="","",IF(SUMIFS(Compat_Vetado!D:D,Compat_Vetado!B:B,SUM(G:G),Compat_Vetado!C:C,Q764)=1,"SI",IF(OR(SUMIF(Cotizador!E:E,Q764,Cotizador!G:G)&gt;0,SUMIFS(Compat_Vetado!D:D,Compat_Vetado!B:B,SUM(G:G),Compat_Vetado!C:C,Q764)=-1),"NO","")))</f>
        <v/>
      </c>
      <c r="T764" s="4" t="str">
        <f t="shared" si="6"/>
        <v/>
      </c>
      <c r="U764" s="4" t="str">
        <f>IFERROR(__xludf.DUMMYFUNCTION("IF(P764="""","""",IFERROR(INDEX(filter(Productos!E:E,Productos!F:F=L764,Productos!H:H=N764),P764),IF(M764=SUM(D:D),""Finalizar"",""-"")))"),"")</f>
        <v/>
      </c>
      <c r="V764" s="4" t="str">
        <f>IFERROR(__xludf.DUMMYFUNCTION("IF(OR($U764="""",COUNTIF($I:$I,IFERROR(unique(filter(Prod_Prop!$H:$H,Prod_Prop!$G:$G=$U764,Prod_Prop!$E:$E=V$1)),""Check""))=0),"""",IFERROR(unique(filter(Prod_Prop!$H:$H,Prod_Prop!$G:$G=$U764,Prod_Prop!$E:$E=V$1)),""""))"),"")</f>
        <v/>
      </c>
      <c r="W764" s="4" t="str">
        <f>IF(V764="","",SUMIFS(Prod_Prop!$J:$J,Prod_Prop!$B:$B,$Q764,Prod_Prop!$H:$H,V764,Prod_Prop!$I:$I,W$1)*IF(V764="Peso",$R764,1))</f>
        <v/>
      </c>
      <c r="X764" s="4" t="str">
        <f>IF(V764="","",SUMIFS(Prod_Prop!$J:$J,Prod_Prop!$B:$B,$Q764,Prod_Prop!$H:$H,V764,Prod_Prop!$I:$I,X$1)*IF(V764="Peso",$R764,1))</f>
        <v/>
      </c>
      <c r="Y764" s="4" t="str">
        <f>IFERROR(__xludf.DUMMYFUNCTION("IF(OR($U764="""",COUNTIF($I:$I,IFERROR(unique(filter(Prod_Prop!$H:$H,Prod_Prop!$G:$G=$U764,Prod_Prop!$E:$E=Y$1)),""Check""))=0),"""",IFERROR(unique(filter(Prod_Prop!$H:$H,Prod_Prop!$G:$G=$U764,Prod_Prop!$E:$E=Y$1)),""""))"),"")</f>
        <v/>
      </c>
      <c r="Z764" s="4" t="str">
        <f>IF(Y764="","",SUMIFS(Prod_Prop!$J:$J,Prod_Prop!$B:$B,$Q764,Prod_Prop!$H:$H,Y764,Prod_Prop!$I:$I,Z$1)*IF(Y764="Peso",$R764,1))</f>
        <v/>
      </c>
      <c r="AA764" s="4" t="str">
        <f>IF(Y764="","",SUMIFS(Prod_Prop!$J:$J,Prod_Prop!$B:$B,$Q764,Prod_Prop!$H:$H,Y764,Prod_Prop!$I:$I,AA$1)*IF(Y764="Peso",$R764,1))</f>
        <v/>
      </c>
      <c r="AB764" s="4" t="str">
        <f>IFERROR(__xludf.DUMMYFUNCTION("IF(OR($U764="""",COUNTIF($I:$I,IFERROR(unique(filter(Prod_Prop!$H:$H,Prod_Prop!$G:$G=$U764,Prod_Prop!$E:$E=AB$1)),""Check""))=0),"""",IFERROR(unique(filter(Prod_Prop!$H:$H,Prod_Prop!$G:$G=$U764,Prod_Prop!$E:$E=AB$1)),""""))"),"")</f>
        <v/>
      </c>
      <c r="AC764" s="4" t="str">
        <f>IF(AB764="","",SUMIFS(Prod_Prop!$J:$J,Prod_Prop!$B:$B,$Q764,Prod_Prop!$H:$H,AB764,Prod_Prop!$I:$I,AC$1)*IF(AB764="Peso",$R764,1))</f>
        <v/>
      </c>
      <c r="AD764" s="4" t="str">
        <f>IF(AB764="","",SUMIFS(Prod_Prop!$J:$J,Prod_Prop!$B:$B,$Q764,Prod_Prop!$H:$H,AB764,Prod_Prop!$I:$I,AD$1)*IF(AB764="Peso",$R764,1))</f>
        <v/>
      </c>
    </row>
    <row r="765">
      <c r="A765" s="4" t="str">
        <f t="array" ref="A765">IF(COUNTIF(A$1:A764,Cotizador!F$2)=maxifs(Familias!E:E,Familias!D:D,Cotizador!F$2),IF(COUNTIF(A$1:A764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5" s="4" t="str">
        <f t="shared" si="1"/>
        <v/>
      </c>
      <c r="C765" s="4" t="str">
        <f t="array" ref="C765">IF(B765="","",IF(A765=XLOOKUP(A$2,Implementos!B:B,Implementos!C:C,"",0,1),B765+maxifs(B$1:B764,A$1:A764,A$2),B765))</f>
        <v/>
      </c>
      <c r="D765" s="4" t="str">
        <f>IF(B765="","", COUNTIFS(Productos!F:F,A765,Productos!H:H,B765)+IF(F765="SI",0,1))</f>
        <v/>
      </c>
      <c r="E765" s="4" t="str">
        <f>IFERROR(__xludf.DUMMYFUNCTION("IF($B765="""","""",INDEX(filter(Familias!F:F,Familias!$D:$D=$A765,Familias!$E:$E=$B765),1))"),"")</f>
        <v/>
      </c>
      <c r="F765" s="4" t="str">
        <f>IFERROR(__xludf.DUMMYFUNCTION("IF($B765="""","""",INDEX(filter(Familias!G:G,Familias!$D:$D=$A765,Familias!$E:$E=$B765),1))"),"")</f>
        <v/>
      </c>
      <c r="G765" s="4" t="str">
        <f t="array" ref="G765">IF(C765=1,XLOOKUP(C765,Cotizador!D:D,Cotizador!E:E,"",0,1),"")</f>
        <v/>
      </c>
      <c r="I765" s="4"/>
      <c r="J765" s="8" t="str">
        <f>IF(I765="","",SUMIF(Cotizador!I$1:V$1,I765,Cotizador!I$2:V$2))</f>
        <v/>
      </c>
      <c r="L765" s="4" t="str">
        <f t="array" ref="L765">IF(COUNTIF(L$1:L764,A$2)=SUMIF(A:A,A$2,D:D),IF(COUNTIF(L$1:L764,XLOOKUP(A$2,Implementos!B:B,Implementos!C:C,"",0,1))=SUMIF(A:A,XLOOKUP(A$2,Implementos!B:B,Implementos!C:C,"",0,1),D:D),"",XLOOKUP(A$2,Implementos!B:B,Implementos!C:C,"",0,1)),A$2)</f>
        <v/>
      </c>
      <c r="M765" s="4" t="str">
        <f t="shared" si="2"/>
        <v/>
      </c>
      <c r="N765" s="4" t="str">
        <f t="shared" si="3"/>
        <v/>
      </c>
      <c r="O765" s="4" t="str">
        <f t="shared" si="4"/>
        <v/>
      </c>
      <c r="P765" s="4" t="str">
        <f t="shared" si="5"/>
        <v/>
      </c>
      <c r="Q765" s="4" t="str">
        <f>IF(U765="","",SUMIF(Productos!E:E,U765,Productos!A:A))</f>
        <v/>
      </c>
      <c r="R765" s="4" t="str">
        <f t="array" ref="R765">IF(L765="","", max(1,SUMIF(I:I,XLOOKUP(U765,Productos!E:E,Productos!G:G,"",0,1),J:J)))</f>
        <v/>
      </c>
      <c r="S765" s="4" t="str">
        <f>IF(Q765="","",IF(SUMIFS(Compat_Vetado!D:D,Compat_Vetado!B:B,SUM(G:G),Compat_Vetado!C:C,Q765)=1,"SI",IF(OR(SUMIF(Cotizador!E:E,Q765,Cotizador!G:G)&gt;0,SUMIFS(Compat_Vetado!D:D,Compat_Vetado!B:B,SUM(G:G),Compat_Vetado!C:C,Q765)=-1),"NO","")))</f>
        <v/>
      </c>
      <c r="T765" s="4" t="str">
        <f t="shared" si="6"/>
        <v/>
      </c>
      <c r="U765" s="4" t="str">
        <f>IFERROR(__xludf.DUMMYFUNCTION("IF(P765="""","""",IFERROR(INDEX(filter(Productos!E:E,Productos!F:F=L765,Productos!H:H=N765),P765),IF(M765=SUM(D:D),""Finalizar"",""-"")))"),"")</f>
        <v/>
      </c>
      <c r="V765" s="4" t="str">
        <f>IFERROR(__xludf.DUMMYFUNCTION("IF(OR($U765="""",COUNTIF($I:$I,IFERROR(unique(filter(Prod_Prop!$H:$H,Prod_Prop!$G:$G=$U765,Prod_Prop!$E:$E=V$1)),""Check""))=0),"""",IFERROR(unique(filter(Prod_Prop!$H:$H,Prod_Prop!$G:$G=$U765,Prod_Prop!$E:$E=V$1)),""""))"),"")</f>
        <v/>
      </c>
      <c r="W765" s="4" t="str">
        <f>IF(V765="","",SUMIFS(Prod_Prop!$J:$J,Prod_Prop!$B:$B,$Q765,Prod_Prop!$H:$H,V765,Prod_Prop!$I:$I,W$1)*IF(V765="Peso",$R765,1))</f>
        <v/>
      </c>
      <c r="X765" s="4" t="str">
        <f>IF(V765="","",SUMIFS(Prod_Prop!$J:$J,Prod_Prop!$B:$B,$Q765,Prod_Prop!$H:$H,V765,Prod_Prop!$I:$I,X$1)*IF(V765="Peso",$R765,1))</f>
        <v/>
      </c>
      <c r="Y765" s="4" t="str">
        <f>IFERROR(__xludf.DUMMYFUNCTION("IF(OR($U765="""",COUNTIF($I:$I,IFERROR(unique(filter(Prod_Prop!$H:$H,Prod_Prop!$G:$G=$U765,Prod_Prop!$E:$E=Y$1)),""Check""))=0),"""",IFERROR(unique(filter(Prod_Prop!$H:$H,Prod_Prop!$G:$G=$U765,Prod_Prop!$E:$E=Y$1)),""""))"),"")</f>
        <v/>
      </c>
      <c r="Z765" s="4" t="str">
        <f>IF(Y765="","",SUMIFS(Prod_Prop!$J:$J,Prod_Prop!$B:$B,$Q765,Prod_Prop!$H:$H,Y765,Prod_Prop!$I:$I,Z$1)*IF(Y765="Peso",$R765,1))</f>
        <v/>
      </c>
      <c r="AA765" s="4" t="str">
        <f>IF(Y765="","",SUMIFS(Prod_Prop!$J:$J,Prod_Prop!$B:$B,$Q765,Prod_Prop!$H:$H,Y765,Prod_Prop!$I:$I,AA$1)*IF(Y765="Peso",$R765,1))</f>
        <v/>
      </c>
      <c r="AB765" s="4" t="str">
        <f>IFERROR(__xludf.DUMMYFUNCTION("IF(OR($U765="""",COUNTIF($I:$I,IFERROR(unique(filter(Prod_Prop!$H:$H,Prod_Prop!$G:$G=$U765,Prod_Prop!$E:$E=AB$1)),""Check""))=0),"""",IFERROR(unique(filter(Prod_Prop!$H:$H,Prod_Prop!$G:$G=$U765,Prod_Prop!$E:$E=AB$1)),""""))"),"")</f>
        <v/>
      </c>
      <c r="AC765" s="4" t="str">
        <f>IF(AB765="","",SUMIFS(Prod_Prop!$J:$J,Prod_Prop!$B:$B,$Q765,Prod_Prop!$H:$H,AB765,Prod_Prop!$I:$I,AC$1)*IF(AB765="Peso",$R765,1))</f>
        <v/>
      </c>
      <c r="AD765" s="4" t="str">
        <f>IF(AB765="","",SUMIFS(Prod_Prop!$J:$J,Prod_Prop!$B:$B,$Q765,Prod_Prop!$H:$H,AB765,Prod_Prop!$I:$I,AD$1)*IF(AB765="Peso",$R765,1))</f>
        <v/>
      </c>
    </row>
    <row r="766">
      <c r="A766" s="4" t="str">
        <f t="array" ref="A766">IF(COUNTIF(A$1:A765,Cotizador!F$2)=maxifs(Familias!E:E,Familias!D:D,Cotizador!F$2),IF(COUNTIF(A$1:A765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6" s="4" t="str">
        <f t="shared" si="1"/>
        <v/>
      </c>
      <c r="C766" s="4" t="str">
        <f t="array" ref="C766">IF(B766="","",IF(A766=XLOOKUP(A$2,Implementos!B:B,Implementos!C:C,"",0,1),B766+maxifs(B$1:B765,A$1:A765,A$2),B766))</f>
        <v/>
      </c>
      <c r="D766" s="4" t="str">
        <f>IF(B766="","", COUNTIFS(Productos!F:F,A766,Productos!H:H,B766)+IF(F766="SI",0,1))</f>
        <v/>
      </c>
      <c r="E766" s="4" t="str">
        <f>IFERROR(__xludf.DUMMYFUNCTION("IF($B766="""","""",INDEX(filter(Familias!F:F,Familias!$D:$D=$A766,Familias!$E:$E=$B766),1))"),"")</f>
        <v/>
      </c>
      <c r="F766" s="4" t="str">
        <f>IFERROR(__xludf.DUMMYFUNCTION("IF($B766="""","""",INDEX(filter(Familias!G:G,Familias!$D:$D=$A766,Familias!$E:$E=$B766),1))"),"")</f>
        <v/>
      </c>
      <c r="G766" s="4" t="str">
        <f t="array" ref="G766">IF(C766=1,XLOOKUP(C766,Cotizador!D:D,Cotizador!E:E,"",0,1),"")</f>
        <v/>
      </c>
      <c r="I766" s="4"/>
      <c r="J766" s="8" t="str">
        <f>IF(I766="","",SUMIF(Cotizador!I$1:V$1,I766,Cotizador!I$2:V$2))</f>
        <v/>
      </c>
      <c r="L766" s="4" t="str">
        <f t="array" ref="L766">IF(COUNTIF(L$1:L765,A$2)=SUMIF(A:A,A$2,D:D),IF(COUNTIF(L$1:L765,XLOOKUP(A$2,Implementos!B:B,Implementos!C:C,"",0,1))=SUMIF(A:A,XLOOKUP(A$2,Implementos!B:B,Implementos!C:C,"",0,1),D:D),"",XLOOKUP(A$2,Implementos!B:B,Implementos!C:C,"",0,1)),A$2)</f>
        <v/>
      </c>
      <c r="M766" s="4" t="str">
        <f t="shared" si="2"/>
        <v/>
      </c>
      <c r="N766" s="4" t="str">
        <f t="shared" si="3"/>
        <v/>
      </c>
      <c r="O766" s="4" t="str">
        <f t="shared" si="4"/>
        <v/>
      </c>
      <c r="P766" s="4" t="str">
        <f t="shared" si="5"/>
        <v/>
      </c>
      <c r="Q766" s="4" t="str">
        <f>IF(U766="","",SUMIF(Productos!E:E,U766,Productos!A:A))</f>
        <v/>
      </c>
      <c r="R766" s="4" t="str">
        <f t="array" ref="R766">IF(L766="","", max(1,SUMIF(I:I,XLOOKUP(U766,Productos!E:E,Productos!G:G,"",0,1),J:J)))</f>
        <v/>
      </c>
      <c r="S766" s="4" t="str">
        <f>IF(Q766="","",IF(SUMIFS(Compat_Vetado!D:D,Compat_Vetado!B:B,SUM(G:G),Compat_Vetado!C:C,Q766)=1,"SI",IF(OR(SUMIF(Cotizador!E:E,Q766,Cotizador!G:G)&gt;0,SUMIFS(Compat_Vetado!D:D,Compat_Vetado!B:B,SUM(G:G),Compat_Vetado!C:C,Q766)=-1),"NO","")))</f>
        <v/>
      </c>
      <c r="T766" s="4" t="str">
        <f t="shared" si="6"/>
        <v/>
      </c>
      <c r="U766" s="4" t="str">
        <f>IFERROR(__xludf.DUMMYFUNCTION("IF(P766="""","""",IFERROR(INDEX(filter(Productos!E:E,Productos!F:F=L766,Productos!H:H=N766),P766),IF(M766=SUM(D:D),""Finalizar"",""-"")))"),"")</f>
        <v/>
      </c>
      <c r="V766" s="4" t="str">
        <f>IFERROR(__xludf.DUMMYFUNCTION("IF(OR($U766="""",COUNTIF($I:$I,IFERROR(unique(filter(Prod_Prop!$H:$H,Prod_Prop!$G:$G=$U766,Prod_Prop!$E:$E=V$1)),""Check""))=0),"""",IFERROR(unique(filter(Prod_Prop!$H:$H,Prod_Prop!$G:$G=$U766,Prod_Prop!$E:$E=V$1)),""""))"),"")</f>
        <v/>
      </c>
      <c r="W766" s="4" t="str">
        <f>IF(V766="","",SUMIFS(Prod_Prop!$J:$J,Prod_Prop!$B:$B,$Q766,Prod_Prop!$H:$H,V766,Prod_Prop!$I:$I,W$1)*IF(V766="Peso",$R766,1))</f>
        <v/>
      </c>
      <c r="X766" s="4" t="str">
        <f>IF(V766="","",SUMIFS(Prod_Prop!$J:$J,Prod_Prop!$B:$B,$Q766,Prod_Prop!$H:$H,V766,Prod_Prop!$I:$I,X$1)*IF(V766="Peso",$R766,1))</f>
        <v/>
      </c>
      <c r="Y766" s="4" t="str">
        <f>IFERROR(__xludf.DUMMYFUNCTION("IF(OR($U766="""",COUNTIF($I:$I,IFERROR(unique(filter(Prod_Prop!$H:$H,Prod_Prop!$G:$G=$U766,Prod_Prop!$E:$E=Y$1)),""Check""))=0),"""",IFERROR(unique(filter(Prod_Prop!$H:$H,Prod_Prop!$G:$G=$U766,Prod_Prop!$E:$E=Y$1)),""""))"),"")</f>
        <v/>
      </c>
      <c r="Z766" s="4" t="str">
        <f>IF(Y766="","",SUMIFS(Prod_Prop!$J:$J,Prod_Prop!$B:$B,$Q766,Prod_Prop!$H:$H,Y766,Prod_Prop!$I:$I,Z$1)*IF(Y766="Peso",$R766,1))</f>
        <v/>
      </c>
      <c r="AA766" s="4" t="str">
        <f>IF(Y766="","",SUMIFS(Prod_Prop!$J:$J,Prod_Prop!$B:$B,$Q766,Prod_Prop!$H:$H,Y766,Prod_Prop!$I:$I,AA$1)*IF(Y766="Peso",$R766,1))</f>
        <v/>
      </c>
      <c r="AB766" s="4" t="str">
        <f>IFERROR(__xludf.DUMMYFUNCTION("IF(OR($U766="""",COUNTIF($I:$I,IFERROR(unique(filter(Prod_Prop!$H:$H,Prod_Prop!$G:$G=$U766,Prod_Prop!$E:$E=AB$1)),""Check""))=0),"""",IFERROR(unique(filter(Prod_Prop!$H:$H,Prod_Prop!$G:$G=$U766,Prod_Prop!$E:$E=AB$1)),""""))"),"")</f>
        <v/>
      </c>
      <c r="AC766" s="4" t="str">
        <f>IF(AB766="","",SUMIFS(Prod_Prop!$J:$J,Prod_Prop!$B:$B,$Q766,Prod_Prop!$H:$H,AB766,Prod_Prop!$I:$I,AC$1)*IF(AB766="Peso",$R766,1))</f>
        <v/>
      </c>
      <c r="AD766" s="4" t="str">
        <f>IF(AB766="","",SUMIFS(Prod_Prop!$J:$J,Prod_Prop!$B:$B,$Q766,Prod_Prop!$H:$H,AB766,Prod_Prop!$I:$I,AD$1)*IF(AB766="Peso",$R766,1))</f>
        <v/>
      </c>
    </row>
    <row r="767">
      <c r="A767" s="4" t="str">
        <f t="array" ref="A767">IF(COUNTIF(A$1:A766,Cotizador!F$2)=maxifs(Familias!E:E,Familias!D:D,Cotizador!F$2),IF(COUNTIF(A$1:A766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7" s="4" t="str">
        <f t="shared" si="1"/>
        <v/>
      </c>
      <c r="C767" s="4" t="str">
        <f t="array" ref="C767">IF(B767="","",IF(A767=XLOOKUP(A$2,Implementos!B:B,Implementos!C:C,"",0,1),B767+maxifs(B$1:B766,A$1:A766,A$2),B767))</f>
        <v/>
      </c>
      <c r="D767" s="4" t="str">
        <f>IF(B767="","", COUNTIFS(Productos!F:F,A767,Productos!H:H,B767)+IF(F767="SI",0,1))</f>
        <v/>
      </c>
      <c r="E767" s="4" t="str">
        <f>IFERROR(__xludf.DUMMYFUNCTION("IF($B767="""","""",INDEX(filter(Familias!F:F,Familias!$D:$D=$A767,Familias!$E:$E=$B767),1))"),"")</f>
        <v/>
      </c>
      <c r="F767" s="4" t="str">
        <f>IFERROR(__xludf.DUMMYFUNCTION("IF($B767="""","""",INDEX(filter(Familias!G:G,Familias!$D:$D=$A767,Familias!$E:$E=$B767),1))"),"")</f>
        <v/>
      </c>
      <c r="G767" s="4" t="str">
        <f t="array" ref="G767">IF(C767=1,XLOOKUP(C767,Cotizador!D:D,Cotizador!E:E,"",0,1),"")</f>
        <v/>
      </c>
      <c r="I767" s="4"/>
      <c r="J767" s="8" t="str">
        <f>IF(I767="","",SUMIF(Cotizador!I$1:V$1,I767,Cotizador!I$2:V$2))</f>
        <v/>
      </c>
      <c r="L767" s="4" t="str">
        <f t="array" ref="L767">IF(COUNTIF(L$1:L766,A$2)=SUMIF(A:A,A$2,D:D),IF(COUNTIF(L$1:L766,XLOOKUP(A$2,Implementos!B:B,Implementos!C:C,"",0,1))=SUMIF(A:A,XLOOKUP(A$2,Implementos!B:B,Implementos!C:C,"",0,1),D:D),"",XLOOKUP(A$2,Implementos!B:B,Implementos!C:C,"",0,1)),A$2)</f>
        <v/>
      </c>
      <c r="M767" s="4" t="str">
        <f t="shared" si="2"/>
        <v/>
      </c>
      <c r="N767" s="4" t="str">
        <f t="shared" si="3"/>
        <v/>
      </c>
      <c r="O767" s="4" t="str">
        <f t="shared" si="4"/>
        <v/>
      </c>
      <c r="P767" s="4" t="str">
        <f t="shared" si="5"/>
        <v/>
      </c>
      <c r="Q767" s="4" t="str">
        <f>IF(U767="","",SUMIF(Productos!E:E,U767,Productos!A:A))</f>
        <v/>
      </c>
      <c r="R767" s="4" t="str">
        <f t="array" ref="R767">IF(L767="","", max(1,SUMIF(I:I,XLOOKUP(U767,Productos!E:E,Productos!G:G,"",0,1),J:J)))</f>
        <v/>
      </c>
      <c r="S767" s="4" t="str">
        <f>IF(Q767="","",IF(SUMIFS(Compat_Vetado!D:D,Compat_Vetado!B:B,SUM(G:G),Compat_Vetado!C:C,Q767)=1,"SI",IF(OR(SUMIF(Cotizador!E:E,Q767,Cotizador!G:G)&gt;0,SUMIFS(Compat_Vetado!D:D,Compat_Vetado!B:B,SUM(G:G),Compat_Vetado!C:C,Q767)=-1),"NO","")))</f>
        <v/>
      </c>
      <c r="T767" s="4" t="str">
        <f t="shared" si="6"/>
        <v/>
      </c>
      <c r="U767" s="4" t="str">
        <f>IFERROR(__xludf.DUMMYFUNCTION("IF(P767="""","""",IFERROR(INDEX(filter(Productos!E:E,Productos!F:F=L767,Productos!H:H=N767),P767),IF(M767=SUM(D:D),""Finalizar"",""-"")))"),"")</f>
        <v/>
      </c>
      <c r="V767" s="4" t="str">
        <f>IFERROR(__xludf.DUMMYFUNCTION("IF(OR($U767="""",COUNTIF($I:$I,IFERROR(unique(filter(Prod_Prop!$H:$H,Prod_Prop!$G:$G=$U767,Prod_Prop!$E:$E=V$1)),""Check""))=0),"""",IFERROR(unique(filter(Prod_Prop!$H:$H,Prod_Prop!$G:$G=$U767,Prod_Prop!$E:$E=V$1)),""""))"),"")</f>
        <v/>
      </c>
      <c r="W767" s="4" t="str">
        <f>IF(V767="","",SUMIFS(Prod_Prop!$J:$J,Prod_Prop!$B:$B,$Q767,Prod_Prop!$H:$H,V767,Prod_Prop!$I:$I,W$1)*IF(V767="Peso",$R767,1))</f>
        <v/>
      </c>
      <c r="X767" s="4" t="str">
        <f>IF(V767="","",SUMIFS(Prod_Prop!$J:$J,Prod_Prop!$B:$B,$Q767,Prod_Prop!$H:$H,V767,Prod_Prop!$I:$I,X$1)*IF(V767="Peso",$R767,1))</f>
        <v/>
      </c>
      <c r="Y767" s="4" t="str">
        <f>IFERROR(__xludf.DUMMYFUNCTION("IF(OR($U767="""",COUNTIF($I:$I,IFERROR(unique(filter(Prod_Prop!$H:$H,Prod_Prop!$G:$G=$U767,Prod_Prop!$E:$E=Y$1)),""Check""))=0),"""",IFERROR(unique(filter(Prod_Prop!$H:$H,Prod_Prop!$G:$G=$U767,Prod_Prop!$E:$E=Y$1)),""""))"),"")</f>
        <v/>
      </c>
      <c r="Z767" s="4" t="str">
        <f>IF(Y767="","",SUMIFS(Prod_Prop!$J:$J,Prod_Prop!$B:$B,$Q767,Prod_Prop!$H:$H,Y767,Prod_Prop!$I:$I,Z$1)*IF(Y767="Peso",$R767,1))</f>
        <v/>
      </c>
      <c r="AA767" s="4" t="str">
        <f>IF(Y767="","",SUMIFS(Prod_Prop!$J:$J,Prod_Prop!$B:$B,$Q767,Prod_Prop!$H:$H,Y767,Prod_Prop!$I:$I,AA$1)*IF(Y767="Peso",$R767,1))</f>
        <v/>
      </c>
      <c r="AB767" s="4" t="str">
        <f>IFERROR(__xludf.DUMMYFUNCTION("IF(OR($U767="""",COUNTIF($I:$I,IFERROR(unique(filter(Prod_Prop!$H:$H,Prod_Prop!$G:$G=$U767,Prod_Prop!$E:$E=AB$1)),""Check""))=0),"""",IFERROR(unique(filter(Prod_Prop!$H:$H,Prod_Prop!$G:$G=$U767,Prod_Prop!$E:$E=AB$1)),""""))"),"")</f>
        <v/>
      </c>
      <c r="AC767" s="4" t="str">
        <f>IF(AB767="","",SUMIFS(Prod_Prop!$J:$J,Prod_Prop!$B:$B,$Q767,Prod_Prop!$H:$H,AB767,Prod_Prop!$I:$I,AC$1)*IF(AB767="Peso",$R767,1))</f>
        <v/>
      </c>
      <c r="AD767" s="4" t="str">
        <f>IF(AB767="","",SUMIFS(Prod_Prop!$J:$J,Prod_Prop!$B:$B,$Q767,Prod_Prop!$H:$H,AB767,Prod_Prop!$I:$I,AD$1)*IF(AB767="Peso",$R767,1))</f>
        <v/>
      </c>
    </row>
    <row r="768">
      <c r="A768" s="4" t="str">
        <f t="array" ref="A768">IF(COUNTIF(A$1:A767,Cotizador!F$2)=maxifs(Familias!E:E,Familias!D:D,Cotizador!F$2),IF(COUNTIF(A$1:A767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8" s="4" t="str">
        <f t="shared" si="1"/>
        <v/>
      </c>
      <c r="C768" s="4" t="str">
        <f t="array" ref="C768">IF(B768="","",IF(A768=XLOOKUP(A$2,Implementos!B:B,Implementos!C:C,"",0,1),B768+maxifs(B$1:B767,A$1:A767,A$2),B768))</f>
        <v/>
      </c>
      <c r="D768" s="4" t="str">
        <f>IF(B768="","", COUNTIFS(Productos!F:F,A768,Productos!H:H,B768)+IF(F768="SI",0,1))</f>
        <v/>
      </c>
      <c r="E768" s="4" t="str">
        <f>IFERROR(__xludf.DUMMYFUNCTION("IF($B768="""","""",INDEX(filter(Familias!F:F,Familias!$D:$D=$A768,Familias!$E:$E=$B768),1))"),"")</f>
        <v/>
      </c>
      <c r="F768" s="4" t="str">
        <f>IFERROR(__xludf.DUMMYFUNCTION("IF($B768="""","""",INDEX(filter(Familias!G:G,Familias!$D:$D=$A768,Familias!$E:$E=$B768),1))"),"")</f>
        <v/>
      </c>
      <c r="G768" s="4" t="str">
        <f t="array" ref="G768">IF(C768=1,XLOOKUP(C768,Cotizador!D:D,Cotizador!E:E,"",0,1),"")</f>
        <v/>
      </c>
      <c r="I768" s="4"/>
      <c r="J768" s="8" t="str">
        <f>IF(I768="","",SUMIF(Cotizador!I$1:V$1,I768,Cotizador!I$2:V$2))</f>
        <v/>
      </c>
      <c r="L768" s="4" t="str">
        <f t="array" ref="L768">IF(COUNTIF(L$1:L767,A$2)=SUMIF(A:A,A$2,D:D),IF(COUNTIF(L$1:L767,XLOOKUP(A$2,Implementos!B:B,Implementos!C:C,"",0,1))=SUMIF(A:A,XLOOKUP(A$2,Implementos!B:B,Implementos!C:C,"",0,1),D:D),"",XLOOKUP(A$2,Implementos!B:B,Implementos!C:C,"",0,1)),A$2)</f>
        <v/>
      </c>
      <c r="M768" s="4" t="str">
        <f t="shared" si="2"/>
        <v/>
      </c>
      <c r="N768" s="4" t="str">
        <f t="shared" si="3"/>
        <v/>
      </c>
      <c r="O768" s="4" t="str">
        <f t="shared" si="4"/>
        <v/>
      </c>
      <c r="P768" s="4" t="str">
        <f t="shared" si="5"/>
        <v/>
      </c>
      <c r="Q768" s="4" t="str">
        <f>IF(U768="","",SUMIF(Productos!E:E,U768,Productos!A:A))</f>
        <v/>
      </c>
      <c r="R768" s="4" t="str">
        <f t="array" ref="R768">IF(L768="","", max(1,SUMIF(I:I,XLOOKUP(U768,Productos!E:E,Productos!G:G,"",0,1),J:J)))</f>
        <v/>
      </c>
      <c r="S768" s="4" t="str">
        <f>IF(Q768="","",IF(SUMIFS(Compat_Vetado!D:D,Compat_Vetado!B:B,SUM(G:G),Compat_Vetado!C:C,Q768)=1,"SI",IF(OR(SUMIF(Cotizador!E:E,Q768,Cotizador!G:G)&gt;0,SUMIFS(Compat_Vetado!D:D,Compat_Vetado!B:B,SUM(G:G),Compat_Vetado!C:C,Q768)=-1),"NO","")))</f>
        <v/>
      </c>
      <c r="T768" s="4" t="str">
        <f t="shared" si="6"/>
        <v/>
      </c>
      <c r="U768" s="4" t="str">
        <f>IFERROR(__xludf.DUMMYFUNCTION("IF(P768="""","""",IFERROR(INDEX(filter(Productos!E:E,Productos!F:F=L768,Productos!H:H=N768),P768),IF(M768=SUM(D:D),""Finalizar"",""-"")))"),"")</f>
        <v/>
      </c>
      <c r="V768" s="4" t="str">
        <f>IFERROR(__xludf.DUMMYFUNCTION("IF(OR($U768="""",COUNTIF($I:$I,IFERROR(unique(filter(Prod_Prop!$H:$H,Prod_Prop!$G:$G=$U768,Prod_Prop!$E:$E=V$1)),""Check""))=0),"""",IFERROR(unique(filter(Prod_Prop!$H:$H,Prod_Prop!$G:$G=$U768,Prod_Prop!$E:$E=V$1)),""""))"),"")</f>
        <v/>
      </c>
      <c r="W768" s="4" t="str">
        <f>IF(V768="","",SUMIFS(Prod_Prop!$J:$J,Prod_Prop!$B:$B,$Q768,Prod_Prop!$H:$H,V768,Prod_Prop!$I:$I,W$1)*IF(V768="Peso",$R768,1))</f>
        <v/>
      </c>
      <c r="X768" s="4" t="str">
        <f>IF(V768="","",SUMIFS(Prod_Prop!$J:$J,Prod_Prop!$B:$B,$Q768,Prod_Prop!$H:$H,V768,Prod_Prop!$I:$I,X$1)*IF(V768="Peso",$R768,1))</f>
        <v/>
      </c>
      <c r="Y768" s="4" t="str">
        <f>IFERROR(__xludf.DUMMYFUNCTION("IF(OR($U768="""",COUNTIF($I:$I,IFERROR(unique(filter(Prod_Prop!$H:$H,Prod_Prop!$G:$G=$U768,Prod_Prop!$E:$E=Y$1)),""Check""))=0),"""",IFERROR(unique(filter(Prod_Prop!$H:$H,Prod_Prop!$G:$G=$U768,Prod_Prop!$E:$E=Y$1)),""""))"),"")</f>
        <v/>
      </c>
      <c r="Z768" s="4" t="str">
        <f>IF(Y768="","",SUMIFS(Prod_Prop!$J:$J,Prod_Prop!$B:$B,$Q768,Prod_Prop!$H:$H,Y768,Prod_Prop!$I:$I,Z$1)*IF(Y768="Peso",$R768,1))</f>
        <v/>
      </c>
      <c r="AA768" s="4" t="str">
        <f>IF(Y768="","",SUMIFS(Prod_Prop!$J:$J,Prod_Prop!$B:$B,$Q768,Prod_Prop!$H:$H,Y768,Prod_Prop!$I:$I,AA$1)*IF(Y768="Peso",$R768,1))</f>
        <v/>
      </c>
      <c r="AB768" s="4" t="str">
        <f>IFERROR(__xludf.DUMMYFUNCTION("IF(OR($U768="""",COUNTIF($I:$I,IFERROR(unique(filter(Prod_Prop!$H:$H,Prod_Prop!$G:$G=$U768,Prod_Prop!$E:$E=AB$1)),""Check""))=0),"""",IFERROR(unique(filter(Prod_Prop!$H:$H,Prod_Prop!$G:$G=$U768,Prod_Prop!$E:$E=AB$1)),""""))"),"")</f>
        <v/>
      </c>
      <c r="AC768" s="4" t="str">
        <f>IF(AB768="","",SUMIFS(Prod_Prop!$J:$J,Prod_Prop!$B:$B,$Q768,Prod_Prop!$H:$H,AB768,Prod_Prop!$I:$I,AC$1)*IF(AB768="Peso",$R768,1))</f>
        <v/>
      </c>
      <c r="AD768" s="4" t="str">
        <f>IF(AB768="","",SUMIFS(Prod_Prop!$J:$J,Prod_Prop!$B:$B,$Q768,Prod_Prop!$H:$H,AB768,Prod_Prop!$I:$I,AD$1)*IF(AB768="Peso",$R768,1))</f>
        <v/>
      </c>
    </row>
    <row r="769">
      <c r="A769" s="4" t="str">
        <f t="array" ref="A769">IF(COUNTIF(A$1:A768,Cotizador!F$2)=maxifs(Familias!E:E,Familias!D:D,Cotizador!F$2),IF(COUNTIF(A$1:A768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69" s="4" t="str">
        <f t="shared" si="1"/>
        <v/>
      </c>
      <c r="C769" s="4" t="str">
        <f t="array" ref="C769">IF(B769="","",IF(A769=XLOOKUP(A$2,Implementos!B:B,Implementos!C:C,"",0,1),B769+maxifs(B$1:B768,A$1:A768,A$2),B769))</f>
        <v/>
      </c>
      <c r="D769" s="4" t="str">
        <f>IF(B769="","", COUNTIFS(Productos!F:F,A769,Productos!H:H,B769)+IF(F769="SI",0,1))</f>
        <v/>
      </c>
      <c r="E769" s="4" t="str">
        <f>IFERROR(__xludf.DUMMYFUNCTION("IF($B769="""","""",INDEX(filter(Familias!F:F,Familias!$D:$D=$A769,Familias!$E:$E=$B769),1))"),"")</f>
        <v/>
      </c>
      <c r="F769" s="4" t="str">
        <f>IFERROR(__xludf.DUMMYFUNCTION("IF($B769="""","""",INDEX(filter(Familias!G:G,Familias!$D:$D=$A769,Familias!$E:$E=$B769),1))"),"")</f>
        <v/>
      </c>
      <c r="G769" s="4" t="str">
        <f t="array" ref="G769">IF(C769=1,XLOOKUP(C769,Cotizador!D:D,Cotizador!E:E,"",0,1),"")</f>
        <v/>
      </c>
      <c r="I769" s="4"/>
      <c r="J769" s="8" t="str">
        <f>IF(I769="","",SUMIF(Cotizador!I$1:V$1,I769,Cotizador!I$2:V$2))</f>
        <v/>
      </c>
      <c r="L769" s="4" t="str">
        <f t="array" ref="L769">IF(COUNTIF(L$1:L768,A$2)=SUMIF(A:A,A$2,D:D),IF(COUNTIF(L$1:L768,XLOOKUP(A$2,Implementos!B:B,Implementos!C:C,"",0,1))=SUMIF(A:A,XLOOKUP(A$2,Implementos!B:B,Implementos!C:C,"",0,1),D:D),"",XLOOKUP(A$2,Implementos!B:B,Implementos!C:C,"",0,1)),A$2)</f>
        <v/>
      </c>
      <c r="M769" s="4" t="str">
        <f t="shared" si="2"/>
        <v/>
      </c>
      <c r="N769" s="4" t="str">
        <f t="shared" si="3"/>
        <v/>
      </c>
      <c r="O769" s="4" t="str">
        <f t="shared" si="4"/>
        <v/>
      </c>
      <c r="P769" s="4" t="str">
        <f t="shared" si="5"/>
        <v/>
      </c>
      <c r="Q769" s="4" t="str">
        <f>IF(U769="","",SUMIF(Productos!E:E,U769,Productos!A:A))</f>
        <v/>
      </c>
      <c r="R769" s="4" t="str">
        <f t="array" ref="R769">IF(L769="","", max(1,SUMIF(I:I,XLOOKUP(U769,Productos!E:E,Productos!G:G,"",0,1),J:J)))</f>
        <v/>
      </c>
      <c r="S769" s="4" t="str">
        <f>IF(Q769="","",IF(SUMIFS(Compat_Vetado!D:D,Compat_Vetado!B:B,SUM(G:G),Compat_Vetado!C:C,Q769)=1,"SI",IF(OR(SUMIF(Cotizador!E:E,Q769,Cotizador!G:G)&gt;0,SUMIFS(Compat_Vetado!D:D,Compat_Vetado!B:B,SUM(G:G),Compat_Vetado!C:C,Q769)=-1),"NO","")))</f>
        <v/>
      </c>
      <c r="T769" s="4" t="str">
        <f t="shared" si="6"/>
        <v/>
      </c>
      <c r="U769" s="4" t="str">
        <f>IFERROR(__xludf.DUMMYFUNCTION("IF(P769="""","""",IFERROR(INDEX(filter(Productos!E:E,Productos!F:F=L769,Productos!H:H=N769),P769),IF(M769=SUM(D:D),""Finalizar"",""-"")))"),"")</f>
        <v/>
      </c>
      <c r="V769" s="4" t="str">
        <f>IFERROR(__xludf.DUMMYFUNCTION("IF(OR($U769="""",COUNTIF($I:$I,IFERROR(unique(filter(Prod_Prop!$H:$H,Prod_Prop!$G:$G=$U769,Prod_Prop!$E:$E=V$1)),""Check""))=0),"""",IFERROR(unique(filter(Prod_Prop!$H:$H,Prod_Prop!$G:$G=$U769,Prod_Prop!$E:$E=V$1)),""""))"),"")</f>
        <v/>
      </c>
      <c r="W769" s="4" t="str">
        <f>IF(V769="","",SUMIFS(Prod_Prop!$J:$J,Prod_Prop!$B:$B,$Q769,Prod_Prop!$H:$H,V769,Prod_Prop!$I:$I,W$1)*IF(V769="Peso",$R769,1))</f>
        <v/>
      </c>
      <c r="X769" s="4" t="str">
        <f>IF(V769="","",SUMIFS(Prod_Prop!$J:$J,Prod_Prop!$B:$B,$Q769,Prod_Prop!$H:$H,V769,Prod_Prop!$I:$I,X$1)*IF(V769="Peso",$R769,1))</f>
        <v/>
      </c>
      <c r="Y769" s="4" t="str">
        <f>IFERROR(__xludf.DUMMYFUNCTION("IF(OR($U769="""",COUNTIF($I:$I,IFERROR(unique(filter(Prod_Prop!$H:$H,Prod_Prop!$G:$G=$U769,Prod_Prop!$E:$E=Y$1)),""Check""))=0),"""",IFERROR(unique(filter(Prod_Prop!$H:$H,Prod_Prop!$G:$G=$U769,Prod_Prop!$E:$E=Y$1)),""""))"),"")</f>
        <v/>
      </c>
      <c r="Z769" s="4" t="str">
        <f>IF(Y769="","",SUMIFS(Prod_Prop!$J:$J,Prod_Prop!$B:$B,$Q769,Prod_Prop!$H:$H,Y769,Prod_Prop!$I:$I,Z$1)*IF(Y769="Peso",$R769,1))</f>
        <v/>
      </c>
      <c r="AA769" s="4" t="str">
        <f>IF(Y769="","",SUMIFS(Prod_Prop!$J:$J,Prod_Prop!$B:$B,$Q769,Prod_Prop!$H:$H,Y769,Prod_Prop!$I:$I,AA$1)*IF(Y769="Peso",$R769,1))</f>
        <v/>
      </c>
      <c r="AB769" s="4" t="str">
        <f>IFERROR(__xludf.DUMMYFUNCTION("IF(OR($U769="""",COUNTIF($I:$I,IFERROR(unique(filter(Prod_Prop!$H:$H,Prod_Prop!$G:$G=$U769,Prod_Prop!$E:$E=AB$1)),""Check""))=0),"""",IFERROR(unique(filter(Prod_Prop!$H:$H,Prod_Prop!$G:$G=$U769,Prod_Prop!$E:$E=AB$1)),""""))"),"")</f>
        <v/>
      </c>
      <c r="AC769" s="4" t="str">
        <f>IF(AB769="","",SUMIFS(Prod_Prop!$J:$J,Prod_Prop!$B:$B,$Q769,Prod_Prop!$H:$H,AB769,Prod_Prop!$I:$I,AC$1)*IF(AB769="Peso",$R769,1))</f>
        <v/>
      </c>
      <c r="AD769" s="4" t="str">
        <f>IF(AB769="","",SUMIFS(Prod_Prop!$J:$J,Prod_Prop!$B:$B,$Q769,Prod_Prop!$H:$H,AB769,Prod_Prop!$I:$I,AD$1)*IF(AB769="Peso",$R769,1))</f>
        <v/>
      </c>
    </row>
    <row r="770">
      <c r="A770" s="4" t="str">
        <f t="array" ref="A770">IF(COUNTIF(A$1:A769,Cotizador!F$2)=maxifs(Familias!E:E,Familias!D:D,Cotizador!F$2),IF(COUNTIF(A$1:A769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0" s="4" t="str">
        <f t="shared" si="1"/>
        <v/>
      </c>
      <c r="C770" s="4" t="str">
        <f t="array" ref="C770">IF(B770="","",IF(A770=XLOOKUP(A$2,Implementos!B:B,Implementos!C:C,"",0,1),B770+maxifs(B$1:B769,A$1:A769,A$2),B770))</f>
        <v/>
      </c>
      <c r="D770" s="4" t="str">
        <f>IF(B770="","", COUNTIFS(Productos!F:F,A770,Productos!H:H,B770)+IF(F770="SI",0,1))</f>
        <v/>
      </c>
      <c r="E770" s="4" t="str">
        <f>IFERROR(__xludf.DUMMYFUNCTION("IF($B770="""","""",INDEX(filter(Familias!F:F,Familias!$D:$D=$A770,Familias!$E:$E=$B770),1))"),"")</f>
        <v/>
      </c>
      <c r="F770" s="4" t="str">
        <f>IFERROR(__xludf.DUMMYFUNCTION("IF($B770="""","""",INDEX(filter(Familias!G:G,Familias!$D:$D=$A770,Familias!$E:$E=$B770),1))"),"")</f>
        <v/>
      </c>
      <c r="G770" s="4" t="str">
        <f t="array" ref="G770">IF(C770=1,XLOOKUP(C770,Cotizador!D:D,Cotizador!E:E,"",0,1),"")</f>
        <v/>
      </c>
      <c r="I770" s="4"/>
      <c r="J770" s="8" t="str">
        <f>IF(I770="","",SUMIF(Cotizador!I$1:V$1,I770,Cotizador!I$2:V$2))</f>
        <v/>
      </c>
      <c r="L770" s="4" t="str">
        <f t="array" ref="L770">IF(COUNTIF(L$1:L769,A$2)=SUMIF(A:A,A$2,D:D),IF(COUNTIF(L$1:L769,XLOOKUP(A$2,Implementos!B:B,Implementos!C:C,"",0,1))=SUMIF(A:A,XLOOKUP(A$2,Implementos!B:B,Implementos!C:C,"",0,1),D:D),"",XLOOKUP(A$2,Implementos!B:B,Implementos!C:C,"",0,1)),A$2)</f>
        <v/>
      </c>
      <c r="M770" s="4" t="str">
        <f t="shared" si="2"/>
        <v/>
      </c>
      <c r="N770" s="4" t="str">
        <f t="shared" si="3"/>
        <v/>
      </c>
      <c r="O770" s="4" t="str">
        <f t="shared" si="4"/>
        <v/>
      </c>
      <c r="P770" s="4" t="str">
        <f t="shared" si="5"/>
        <v/>
      </c>
      <c r="Q770" s="4" t="str">
        <f>IF(U770="","",SUMIF(Productos!E:E,U770,Productos!A:A))</f>
        <v/>
      </c>
      <c r="R770" s="4" t="str">
        <f t="array" ref="R770">IF(L770="","", max(1,SUMIF(I:I,XLOOKUP(U770,Productos!E:E,Productos!G:G,"",0,1),J:J)))</f>
        <v/>
      </c>
      <c r="S770" s="4" t="str">
        <f>IF(Q770="","",IF(SUMIFS(Compat_Vetado!D:D,Compat_Vetado!B:B,SUM(G:G),Compat_Vetado!C:C,Q770)=1,"SI",IF(OR(SUMIF(Cotizador!E:E,Q770,Cotizador!G:G)&gt;0,SUMIFS(Compat_Vetado!D:D,Compat_Vetado!B:B,SUM(G:G),Compat_Vetado!C:C,Q770)=-1),"NO","")))</f>
        <v/>
      </c>
      <c r="T770" s="4" t="str">
        <f t="shared" si="6"/>
        <v/>
      </c>
      <c r="U770" s="4" t="str">
        <f>IFERROR(__xludf.DUMMYFUNCTION("IF(P770="""","""",IFERROR(INDEX(filter(Productos!E:E,Productos!F:F=L770,Productos!H:H=N770),P770),IF(M770=SUM(D:D),""Finalizar"",""-"")))"),"")</f>
        <v/>
      </c>
      <c r="V770" s="4" t="str">
        <f>IFERROR(__xludf.DUMMYFUNCTION("IF(OR($U770="""",COUNTIF($I:$I,IFERROR(unique(filter(Prod_Prop!$H:$H,Prod_Prop!$G:$G=$U770,Prod_Prop!$E:$E=V$1)),""Check""))=0),"""",IFERROR(unique(filter(Prod_Prop!$H:$H,Prod_Prop!$G:$G=$U770,Prod_Prop!$E:$E=V$1)),""""))"),"")</f>
        <v/>
      </c>
      <c r="W770" s="4" t="str">
        <f>IF(V770="","",SUMIFS(Prod_Prop!$J:$J,Prod_Prop!$B:$B,$Q770,Prod_Prop!$H:$H,V770,Prod_Prop!$I:$I,W$1)*IF(V770="Peso",$R770,1))</f>
        <v/>
      </c>
      <c r="X770" s="4" t="str">
        <f>IF(V770="","",SUMIFS(Prod_Prop!$J:$J,Prod_Prop!$B:$B,$Q770,Prod_Prop!$H:$H,V770,Prod_Prop!$I:$I,X$1)*IF(V770="Peso",$R770,1))</f>
        <v/>
      </c>
      <c r="Y770" s="4" t="str">
        <f>IFERROR(__xludf.DUMMYFUNCTION("IF(OR($U770="""",COUNTIF($I:$I,IFERROR(unique(filter(Prod_Prop!$H:$H,Prod_Prop!$G:$G=$U770,Prod_Prop!$E:$E=Y$1)),""Check""))=0),"""",IFERROR(unique(filter(Prod_Prop!$H:$H,Prod_Prop!$G:$G=$U770,Prod_Prop!$E:$E=Y$1)),""""))"),"")</f>
        <v/>
      </c>
      <c r="Z770" s="4" t="str">
        <f>IF(Y770="","",SUMIFS(Prod_Prop!$J:$J,Prod_Prop!$B:$B,$Q770,Prod_Prop!$H:$H,Y770,Prod_Prop!$I:$I,Z$1)*IF(Y770="Peso",$R770,1))</f>
        <v/>
      </c>
      <c r="AA770" s="4" t="str">
        <f>IF(Y770="","",SUMIFS(Prod_Prop!$J:$J,Prod_Prop!$B:$B,$Q770,Prod_Prop!$H:$H,Y770,Prod_Prop!$I:$I,AA$1)*IF(Y770="Peso",$R770,1))</f>
        <v/>
      </c>
      <c r="AB770" s="4" t="str">
        <f>IFERROR(__xludf.DUMMYFUNCTION("IF(OR($U770="""",COUNTIF($I:$I,IFERROR(unique(filter(Prod_Prop!$H:$H,Prod_Prop!$G:$G=$U770,Prod_Prop!$E:$E=AB$1)),""Check""))=0),"""",IFERROR(unique(filter(Prod_Prop!$H:$H,Prod_Prop!$G:$G=$U770,Prod_Prop!$E:$E=AB$1)),""""))"),"")</f>
        <v/>
      </c>
      <c r="AC770" s="4" t="str">
        <f>IF(AB770="","",SUMIFS(Prod_Prop!$J:$J,Prod_Prop!$B:$B,$Q770,Prod_Prop!$H:$H,AB770,Prod_Prop!$I:$I,AC$1)*IF(AB770="Peso",$R770,1))</f>
        <v/>
      </c>
      <c r="AD770" s="4" t="str">
        <f>IF(AB770="","",SUMIFS(Prod_Prop!$J:$J,Prod_Prop!$B:$B,$Q770,Prod_Prop!$H:$H,AB770,Prod_Prop!$I:$I,AD$1)*IF(AB770="Peso",$R770,1))</f>
        <v/>
      </c>
    </row>
    <row r="771">
      <c r="A771" s="4" t="str">
        <f t="array" ref="A771">IF(COUNTIF(A$1:A770,Cotizador!F$2)=maxifs(Familias!E:E,Familias!D:D,Cotizador!F$2),IF(COUNTIF(A$1:A770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1" s="4" t="str">
        <f t="shared" si="1"/>
        <v/>
      </c>
      <c r="C771" s="4" t="str">
        <f t="array" ref="C771">IF(B771="","",IF(A771=XLOOKUP(A$2,Implementos!B:B,Implementos!C:C,"",0,1),B771+maxifs(B$1:B770,A$1:A770,A$2),B771))</f>
        <v/>
      </c>
      <c r="D771" s="4" t="str">
        <f>IF(B771="","", COUNTIFS(Productos!F:F,A771,Productos!H:H,B771)+IF(F771="SI",0,1))</f>
        <v/>
      </c>
      <c r="E771" s="4" t="str">
        <f>IFERROR(__xludf.DUMMYFUNCTION("IF($B771="""","""",INDEX(filter(Familias!F:F,Familias!$D:$D=$A771,Familias!$E:$E=$B771),1))"),"")</f>
        <v/>
      </c>
      <c r="F771" s="4" t="str">
        <f>IFERROR(__xludf.DUMMYFUNCTION("IF($B771="""","""",INDEX(filter(Familias!G:G,Familias!$D:$D=$A771,Familias!$E:$E=$B771),1))"),"")</f>
        <v/>
      </c>
      <c r="G771" s="4" t="str">
        <f t="array" ref="G771">IF(C771=1,XLOOKUP(C771,Cotizador!D:D,Cotizador!E:E,"",0,1),"")</f>
        <v/>
      </c>
      <c r="I771" s="4"/>
      <c r="J771" s="8" t="str">
        <f>IF(I771="","",SUMIF(Cotizador!I$1:V$1,I771,Cotizador!I$2:V$2))</f>
        <v/>
      </c>
      <c r="L771" s="4" t="str">
        <f t="array" ref="L771">IF(COUNTIF(L$1:L770,A$2)=SUMIF(A:A,A$2,D:D),IF(COUNTIF(L$1:L770,XLOOKUP(A$2,Implementos!B:B,Implementos!C:C,"",0,1))=SUMIF(A:A,XLOOKUP(A$2,Implementos!B:B,Implementos!C:C,"",0,1),D:D),"",XLOOKUP(A$2,Implementos!B:B,Implementos!C:C,"",0,1)),A$2)</f>
        <v/>
      </c>
      <c r="M771" s="4" t="str">
        <f t="shared" si="2"/>
        <v/>
      </c>
      <c r="N771" s="4" t="str">
        <f t="shared" si="3"/>
        <v/>
      </c>
      <c r="O771" s="4" t="str">
        <f t="shared" si="4"/>
        <v/>
      </c>
      <c r="P771" s="4" t="str">
        <f t="shared" si="5"/>
        <v/>
      </c>
      <c r="Q771" s="4" t="str">
        <f>IF(U771="","",SUMIF(Productos!E:E,U771,Productos!A:A))</f>
        <v/>
      </c>
      <c r="R771" s="4" t="str">
        <f t="array" ref="R771">IF(L771="","", max(1,SUMIF(I:I,XLOOKUP(U771,Productos!E:E,Productos!G:G,"",0,1),J:J)))</f>
        <v/>
      </c>
      <c r="S771" s="4" t="str">
        <f>IF(Q771="","",IF(SUMIFS(Compat_Vetado!D:D,Compat_Vetado!B:B,SUM(G:G),Compat_Vetado!C:C,Q771)=1,"SI",IF(OR(SUMIF(Cotizador!E:E,Q771,Cotizador!G:G)&gt;0,SUMIFS(Compat_Vetado!D:D,Compat_Vetado!B:B,SUM(G:G),Compat_Vetado!C:C,Q771)=-1),"NO","")))</f>
        <v/>
      </c>
      <c r="T771" s="4" t="str">
        <f t="shared" si="6"/>
        <v/>
      </c>
      <c r="U771" s="4" t="str">
        <f>IFERROR(__xludf.DUMMYFUNCTION("IF(P771="""","""",IFERROR(INDEX(filter(Productos!E:E,Productos!F:F=L771,Productos!H:H=N771),P771),IF(M771=SUM(D:D),""Finalizar"",""-"")))"),"")</f>
        <v/>
      </c>
      <c r="V771" s="4" t="str">
        <f>IFERROR(__xludf.DUMMYFUNCTION("IF(OR($U771="""",COUNTIF($I:$I,IFERROR(unique(filter(Prod_Prop!$H:$H,Prod_Prop!$G:$G=$U771,Prod_Prop!$E:$E=V$1)),""Check""))=0),"""",IFERROR(unique(filter(Prod_Prop!$H:$H,Prod_Prop!$G:$G=$U771,Prod_Prop!$E:$E=V$1)),""""))"),"")</f>
        <v/>
      </c>
      <c r="W771" s="4" t="str">
        <f>IF(V771="","",SUMIFS(Prod_Prop!$J:$J,Prod_Prop!$B:$B,$Q771,Prod_Prop!$H:$H,V771,Prod_Prop!$I:$I,W$1)*IF(V771="Peso",$R771,1))</f>
        <v/>
      </c>
      <c r="X771" s="4" t="str">
        <f>IF(V771="","",SUMIFS(Prod_Prop!$J:$J,Prod_Prop!$B:$B,$Q771,Prod_Prop!$H:$H,V771,Prod_Prop!$I:$I,X$1)*IF(V771="Peso",$R771,1))</f>
        <v/>
      </c>
      <c r="Y771" s="4" t="str">
        <f>IFERROR(__xludf.DUMMYFUNCTION("IF(OR($U771="""",COUNTIF($I:$I,IFERROR(unique(filter(Prod_Prop!$H:$H,Prod_Prop!$G:$G=$U771,Prod_Prop!$E:$E=Y$1)),""Check""))=0),"""",IFERROR(unique(filter(Prod_Prop!$H:$H,Prod_Prop!$G:$G=$U771,Prod_Prop!$E:$E=Y$1)),""""))"),"")</f>
        <v/>
      </c>
      <c r="Z771" s="4" t="str">
        <f>IF(Y771="","",SUMIFS(Prod_Prop!$J:$J,Prod_Prop!$B:$B,$Q771,Prod_Prop!$H:$H,Y771,Prod_Prop!$I:$I,Z$1)*IF(Y771="Peso",$R771,1))</f>
        <v/>
      </c>
      <c r="AA771" s="4" t="str">
        <f>IF(Y771="","",SUMIFS(Prod_Prop!$J:$J,Prod_Prop!$B:$B,$Q771,Prod_Prop!$H:$H,Y771,Prod_Prop!$I:$I,AA$1)*IF(Y771="Peso",$R771,1))</f>
        <v/>
      </c>
      <c r="AB771" s="4" t="str">
        <f>IFERROR(__xludf.DUMMYFUNCTION("IF(OR($U771="""",COUNTIF($I:$I,IFERROR(unique(filter(Prod_Prop!$H:$H,Prod_Prop!$G:$G=$U771,Prod_Prop!$E:$E=AB$1)),""Check""))=0),"""",IFERROR(unique(filter(Prod_Prop!$H:$H,Prod_Prop!$G:$G=$U771,Prod_Prop!$E:$E=AB$1)),""""))"),"")</f>
        <v/>
      </c>
      <c r="AC771" s="4" t="str">
        <f>IF(AB771="","",SUMIFS(Prod_Prop!$J:$J,Prod_Prop!$B:$B,$Q771,Prod_Prop!$H:$H,AB771,Prod_Prop!$I:$I,AC$1)*IF(AB771="Peso",$R771,1))</f>
        <v/>
      </c>
      <c r="AD771" s="4" t="str">
        <f>IF(AB771="","",SUMIFS(Prod_Prop!$J:$J,Prod_Prop!$B:$B,$Q771,Prod_Prop!$H:$H,AB771,Prod_Prop!$I:$I,AD$1)*IF(AB771="Peso",$R771,1))</f>
        <v/>
      </c>
    </row>
    <row r="772">
      <c r="A772" s="4" t="str">
        <f t="array" ref="A772">IF(COUNTIF(A$1:A771,Cotizador!F$2)=maxifs(Familias!E:E,Familias!D:D,Cotizador!F$2),IF(COUNTIF(A$1:A771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2" s="4" t="str">
        <f t="shared" si="1"/>
        <v/>
      </c>
      <c r="C772" s="4" t="str">
        <f t="array" ref="C772">IF(B772="","",IF(A772=XLOOKUP(A$2,Implementos!B:B,Implementos!C:C,"",0,1),B772+maxifs(B$1:B771,A$1:A771,A$2),B772))</f>
        <v/>
      </c>
      <c r="D772" s="4" t="str">
        <f>IF(B772="","", COUNTIFS(Productos!F:F,A772,Productos!H:H,B772)+IF(F772="SI",0,1))</f>
        <v/>
      </c>
      <c r="E772" s="4" t="str">
        <f>IFERROR(__xludf.DUMMYFUNCTION("IF($B772="""","""",INDEX(filter(Familias!F:F,Familias!$D:$D=$A772,Familias!$E:$E=$B772),1))"),"")</f>
        <v/>
      </c>
      <c r="F772" s="4" t="str">
        <f>IFERROR(__xludf.DUMMYFUNCTION("IF($B772="""","""",INDEX(filter(Familias!G:G,Familias!$D:$D=$A772,Familias!$E:$E=$B772),1))"),"")</f>
        <v/>
      </c>
      <c r="G772" s="4" t="str">
        <f t="array" ref="G772">IF(C772=1,XLOOKUP(C772,Cotizador!D:D,Cotizador!E:E,"",0,1),"")</f>
        <v/>
      </c>
      <c r="I772" s="4"/>
      <c r="J772" s="8" t="str">
        <f>IF(I772="","",SUMIF(Cotizador!I$1:V$1,I772,Cotizador!I$2:V$2))</f>
        <v/>
      </c>
      <c r="L772" s="4" t="str">
        <f t="array" ref="L772">IF(COUNTIF(L$1:L771,A$2)=SUMIF(A:A,A$2,D:D),IF(COUNTIF(L$1:L771,XLOOKUP(A$2,Implementos!B:B,Implementos!C:C,"",0,1))=SUMIF(A:A,XLOOKUP(A$2,Implementos!B:B,Implementos!C:C,"",0,1),D:D),"",XLOOKUP(A$2,Implementos!B:B,Implementos!C:C,"",0,1)),A$2)</f>
        <v/>
      </c>
      <c r="M772" s="4" t="str">
        <f t="shared" si="2"/>
        <v/>
      </c>
      <c r="N772" s="4" t="str">
        <f t="shared" si="3"/>
        <v/>
      </c>
      <c r="O772" s="4" t="str">
        <f t="shared" si="4"/>
        <v/>
      </c>
      <c r="P772" s="4" t="str">
        <f t="shared" si="5"/>
        <v/>
      </c>
      <c r="Q772" s="4" t="str">
        <f>IF(U772="","",SUMIF(Productos!E:E,U772,Productos!A:A))</f>
        <v/>
      </c>
      <c r="R772" s="4" t="str">
        <f t="array" ref="R772">IF(L772="","", max(1,SUMIF(I:I,XLOOKUP(U772,Productos!E:E,Productos!G:G,"",0,1),J:J)))</f>
        <v/>
      </c>
      <c r="S772" s="4" t="str">
        <f>IF(Q772="","",IF(SUMIFS(Compat_Vetado!D:D,Compat_Vetado!B:B,SUM(G:G),Compat_Vetado!C:C,Q772)=1,"SI",IF(OR(SUMIF(Cotizador!E:E,Q772,Cotizador!G:G)&gt;0,SUMIFS(Compat_Vetado!D:D,Compat_Vetado!B:B,SUM(G:G),Compat_Vetado!C:C,Q772)=-1),"NO","")))</f>
        <v/>
      </c>
      <c r="T772" s="4" t="str">
        <f t="shared" si="6"/>
        <v/>
      </c>
      <c r="U772" s="4" t="str">
        <f>IFERROR(__xludf.DUMMYFUNCTION("IF(P772="""","""",IFERROR(INDEX(filter(Productos!E:E,Productos!F:F=L772,Productos!H:H=N772),P772),IF(M772=SUM(D:D),""Finalizar"",""-"")))"),"")</f>
        <v/>
      </c>
      <c r="V772" s="4" t="str">
        <f>IFERROR(__xludf.DUMMYFUNCTION("IF(OR($U772="""",COUNTIF($I:$I,IFERROR(unique(filter(Prod_Prop!$H:$H,Prod_Prop!$G:$G=$U772,Prod_Prop!$E:$E=V$1)),""Check""))=0),"""",IFERROR(unique(filter(Prod_Prop!$H:$H,Prod_Prop!$G:$G=$U772,Prod_Prop!$E:$E=V$1)),""""))"),"")</f>
        <v/>
      </c>
      <c r="W772" s="4" t="str">
        <f>IF(V772="","",SUMIFS(Prod_Prop!$J:$J,Prod_Prop!$B:$B,$Q772,Prod_Prop!$H:$H,V772,Prod_Prop!$I:$I,W$1)*IF(V772="Peso",$R772,1))</f>
        <v/>
      </c>
      <c r="X772" s="4" t="str">
        <f>IF(V772="","",SUMIFS(Prod_Prop!$J:$J,Prod_Prop!$B:$B,$Q772,Prod_Prop!$H:$H,V772,Prod_Prop!$I:$I,X$1)*IF(V772="Peso",$R772,1))</f>
        <v/>
      </c>
      <c r="Y772" s="4" t="str">
        <f>IFERROR(__xludf.DUMMYFUNCTION("IF(OR($U772="""",COUNTIF($I:$I,IFERROR(unique(filter(Prod_Prop!$H:$H,Prod_Prop!$G:$G=$U772,Prod_Prop!$E:$E=Y$1)),""Check""))=0),"""",IFERROR(unique(filter(Prod_Prop!$H:$H,Prod_Prop!$G:$G=$U772,Prod_Prop!$E:$E=Y$1)),""""))"),"")</f>
        <v/>
      </c>
      <c r="Z772" s="4" t="str">
        <f>IF(Y772="","",SUMIFS(Prod_Prop!$J:$J,Prod_Prop!$B:$B,$Q772,Prod_Prop!$H:$H,Y772,Prod_Prop!$I:$I,Z$1)*IF(Y772="Peso",$R772,1))</f>
        <v/>
      </c>
      <c r="AA772" s="4" t="str">
        <f>IF(Y772="","",SUMIFS(Prod_Prop!$J:$J,Prod_Prop!$B:$B,$Q772,Prod_Prop!$H:$H,Y772,Prod_Prop!$I:$I,AA$1)*IF(Y772="Peso",$R772,1))</f>
        <v/>
      </c>
      <c r="AB772" s="4" t="str">
        <f>IFERROR(__xludf.DUMMYFUNCTION("IF(OR($U772="""",COUNTIF($I:$I,IFERROR(unique(filter(Prod_Prop!$H:$H,Prod_Prop!$G:$G=$U772,Prod_Prop!$E:$E=AB$1)),""Check""))=0),"""",IFERROR(unique(filter(Prod_Prop!$H:$H,Prod_Prop!$G:$G=$U772,Prod_Prop!$E:$E=AB$1)),""""))"),"")</f>
        <v/>
      </c>
      <c r="AC772" s="4" t="str">
        <f>IF(AB772="","",SUMIFS(Prod_Prop!$J:$J,Prod_Prop!$B:$B,$Q772,Prod_Prop!$H:$H,AB772,Prod_Prop!$I:$I,AC$1)*IF(AB772="Peso",$R772,1))</f>
        <v/>
      </c>
      <c r="AD772" s="4" t="str">
        <f>IF(AB772="","",SUMIFS(Prod_Prop!$J:$J,Prod_Prop!$B:$B,$Q772,Prod_Prop!$H:$H,AB772,Prod_Prop!$I:$I,AD$1)*IF(AB772="Peso",$R772,1))</f>
        <v/>
      </c>
    </row>
    <row r="773">
      <c r="A773" s="4" t="str">
        <f t="array" ref="A773">IF(COUNTIF(A$1:A772,Cotizador!F$2)=maxifs(Familias!E:E,Familias!D:D,Cotizador!F$2),IF(COUNTIF(A$1:A772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3" s="4" t="str">
        <f t="shared" si="1"/>
        <v/>
      </c>
      <c r="C773" s="4" t="str">
        <f t="array" ref="C773">IF(B773="","",IF(A773=XLOOKUP(A$2,Implementos!B:B,Implementos!C:C,"",0,1),B773+maxifs(B$1:B772,A$1:A772,A$2),B773))</f>
        <v/>
      </c>
      <c r="D773" s="4" t="str">
        <f>IF(B773="","", COUNTIFS(Productos!F:F,A773,Productos!H:H,B773)+IF(F773="SI",0,1))</f>
        <v/>
      </c>
      <c r="E773" s="4" t="str">
        <f>IFERROR(__xludf.DUMMYFUNCTION("IF($B773="""","""",INDEX(filter(Familias!F:F,Familias!$D:$D=$A773,Familias!$E:$E=$B773),1))"),"")</f>
        <v/>
      </c>
      <c r="F773" s="4" t="str">
        <f>IFERROR(__xludf.DUMMYFUNCTION("IF($B773="""","""",INDEX(filter(Familias!G:G,Familias!$D:$D=$A773,Familias!$E:$E=$B773),1))"),"")</f>
        <v/>
      </c>
      <c r="G773" s="4" t="str">
        <f t="array" ref="G773">IF(C773=1,XLOOKUP(C773,Cotizador!D:D,Cotizador!E:E,"",0,1),"")</f>
        <v/>
      </c>
      <c r="I773" s="4"/>
      <c r="J773" s="8" t="str">
        <f>IF(I773="","",SUMIF(Cotizador!I$1:V$1,I773,Cotizador!I$2:V$2))</f>
        <v/>
      </c>
      <c r="L773" s="4" t="str">
        <f t="array" ref="L773">IF(COUNTIF(L$1:L772,A$2)=SUMIF(A:A,A$2,D:D),IF(COUNTIF(L$1:L772,XLOOKUP(A$2,Implementos!B:B,Implementos!C:C,"",0,1))=SUMIF(A:A,XLOOKUP(A$2,Implementos!B:B,Implementos!C:C,"",0,1),D:D),"",XLOOKUP(A$2,Implementos!B:B,Implementos!C:C,"",0,1)),A$2)</f>
        <v/>
      </c>
      <c r="M773" s="4" t="str">
        <f t="shared" si="2"/>
        <v/>
      </c>
      <c r="N773" s="4" t="str">
        <f t="shared" si="3"/>
        <v/>
      </c>
      <c r="O773" s="4" t="str">
        <f t="shared" si="4"/>
        <v/>
      </c>
      <c r="P773" s="4" t="str">
        <f t="shared" si="5"/>
        <v/>
      </c>
      <c r="Q773" s="4" t="str">
        <f>IF(U773="","",SUMIF(Productos!E:E,U773,Productos!A:A))</f>
        <v/>
      </c>
      <c r="R773" s="4" t="str">
        <f t="array" ref="R773">IF(L773="","", max(1,SUMIF(I:I,XLOOKUP(U773,Productos!E:E,Productos!G:G,"",0,1),J:J)))</f>
        <v/>
      </c>
      <c r="S773" s="4" t="str">
        <f>IF(Q773="","",IF(SUMIFS(Compat_Vetado!D:D,Compat_Vetado!B:B,SUM(G:G),Compat_Vetado!C:C,Q773)=1,"SI",IF(OR(SUMIF(Cotizador!E:E,Q773,Cotizador!G:G)&gt;0,SUMIFS(Compat_Vetado!D:D,Compat_Vetado!B:B,SUM(G:G),Compat_Vetado!C:C,Q773)=-1),"NO","")))</f>
        <v/>
      </c>
      <c r="T773" s="4" t="str">
        <f t="shared" si="6"/>
        <v/>
      </c>
      <c r="U773" s="4" t="str">
        <f>IFERROR(__xludf.DUMMYFUNCTION("IF(P773="""","""",IFERROR(INDEX(filter(Productos!E:E,Productos!F:F=L773,Productos!H:H=N773),P773),IF(M773=SUM(D:D),""Finalizar"",""-"")))"),"")</f>
        <v/>
      </c>
      <c r="V773" s="4" t="str">
        <f>IFERROR(__xludf.DUMMYFUNCTION("IF(OR($U773="""",COUNTIF($I:$I,IFERROR(unique(filter(Prod_Prop!$H:$H,Prod_Prop!$G:$G=$U773,Prod_Prop!$E:$E=V$1)),""Check""))=0),"""",IFERROR(unique(filter(Prod_Prop!$H:$H,Prod_Prop!$G:$G=$U773,Prod_Prop!$E:$E=V$1)),""""))"),"")</f>
        <v/>
      </c>
      <c r="W773" s="4" t="str">
        <f>IF(V773="","",SUMIFS(Prod_Prop!$J:$J,Prod_Prop!$B:$B,$Q773,Prod_Prop!$H:$H,V773,Prod_Prop!$I:$I,W$1)*IF(V773="Peso",$R773,1))</f>
        <v/>
      </c>
      <c r="X773" s="4" t="str">
        <f>IF(V773="","",SUMIFS(Prod_Prop!$J:$J,Prod_Prop!$B:$B,$Q773,Prod_Prop!$H:$H,V773,Prod_Prop!$I:$I,X$1)*IF(V773="Peso",$R773,1))</f>
        <v/>
      </c>
      <c r="Y773" s="4" t="str">
        <f>IFERROR(__xludf.DUMMYFUNCTION("IF(OR($U773="""",COUNTIF($I:$I,IFERROR(unique(filter(Prod_Prop!$H:$H,Prod_Prop!$G:$G=$U773,Prod_Prop!$E:$E=Y$1)),""Check""))=0),"""",IFERROR(unique(filter(Prod_Prop!$H:$H,Prod_Prop!$G:$G=$U773,Prod_Prop!$E:$E=Y$1)),""""))"),"")</f>
        <v/>
      </c>
      <c r="Z773" s="4" t="str">
        <f>IF(Y773="","",SUMIFS(Prod_Prop!$J:$J,Prod_Prop!$B:$B,$Q773,Prod_Prop!$H:$H,Y773,Prod_Prop!$I:$I,Z$1)*IF(Y773="Peso",$R773,1))</f>
        <v/>
      </c>
      <c r="AA773" s="4" t="str">
        <f>IF(Y773="","",SUMIFS(Prod_Prop!$J:$J,Prod_Prop!$B:$B,$Q773,Prod_Prop!$H:$H,Y773,Prod_Prop!$I:$I,AA$1)*IF(Y773="Peso",$R773,1))</f>
        <v/>
      </c>
      <c r="AB773" s="4" t="str">
        <f>IFERROR(__xludf.DUMMYFUNCTION("IF(OR($U773="""",COUNTIF($I:$I,IFERROR(unique(filter(Prod_Prop!$H:$H,Prod_Prop!$G:$G=$U773,Prod_Prop!$E:$E=AB$1)),""Check""))=0),"""",IFERROR(unique(filter(Prod_Prop!$H:$H,Prod_Prop!$G:$G=$U773,Prod_Prop!$E:$E=AB$1)),""""))"),"")</f>
        <v/>
      </c>
      <c r="AC773" s="4" t="str">
        <f>IF(AB773="","",SUMIFS(Prod_Prop!$J:$J,Prod_Prop!$B:$B,$Q773,Prod_Prop!$H:$H,AB773,Prod_Prop!$I:$I,AC$1)*IF(AB773="Peso",$R773,1))</f>
        <v/>
      </c>
      <c r="AD773" s="4" t="str">
        <f>IF(AB773="","",SUMIFS(Prod_Prop!$J:$J,Prod_Prop!$B:$B,$Q773,Prod_Prop!$H:$H,AB773,Prod_Prop!$I:$I,AD$1)*IF(AB773="Peso",$R773,1))</f>
        <v/>
      </c>
    </row>
    <row r="774">
      <c r="A774" s="4" t="str">
        <f t="array" ref="A774">IF(COUNTIF(A$1:A773,Cotizador!F$2)=maxifs(Familias!E:E,Familias!D:D,Cotizador!F$2),IF(COUNTIF(A$1:A773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4" s="4" t="str">
        <f t="shared" si="1"/>
        <v/>
      </c>
      <c r="C774" s="4" t="str">
        <f t="array" ref="C774">IF(B774="","",IF(A774=XLOOKUP(A$2,Implementos!B:B,Implementos!C:C,"",0,1),B774+maxifs(B$1:B773,A$1:A773,A$2),B774))</f>
        <v/>
      </c>
      <c r="D774" s="4" t="str">
        <f>IF(B774="","", COUNTIFS(Productos!F:F,A774,Productos!H:H,B774)+IF(F774="SI",0,1))</f>
        <v/>
      </c>
      <c r="E774" s="4" t="str">
        <f>IFERROR(__xludf.DUMMYFUNCTION("IF($B774="""","""",INDEX(filter(Familias!F:F,Familias!$D:$D=$A774,Familias!$E:$E=$B774),1))"),"")</f>
        <v/>
      </c>
      <c r="F774" s="4" t="str">
        <f>IFERROR(__xludf.DUMMYFUNCTION("IF($B774="""","""",INDEX(filter(Familias!G:G,Familias!$D:$D=$A774,Familias!$E:$E=$B774),1))"),"")</f>
        <v/>
      </c>
      <c r="G774" s="4" t="str">
        <f t="array" ref="G774">IF(C774=1,XLOOKUP(C774,Cotizador!D:D,Cotizador!E:E,"",0,1),"")</f>
        <v/>
      </c>
      <c r="I774" s="4"/>
      <c r="J774" s="8" t="str">
        <f>IF(I774="","",SUMIF(Cotizador!I$1:V$1,I774,Cotizador!I$2:V$2))</f>
        <v/>
      </c>
      <c r="L774" s="4" t="str">
        <f t="array" ref="L774">IF(COUNTIF(L$1:L773,A$2)=SUMIF(A:A,A$2,D:D),IF(COUNTIF(L$1:L773,XLOOKUP(A$2,Implementos!B:B,Implementos!C:C,"",0,1))=SUMIF(A:A,XLOOKUP(A$2,Implementos!B:B,Implementos!C:C,"",0,1),D:D),"",XLOOKUP(A$2,Implementos!B:B,Implementos!C:C,"",0,1)),A$2)</f>
        <v/>
      </c>
      <c r="M774" s="4" t="str">
        <f t="shared" si="2"/>
        <v/>
      </c>
      <c r="N774" s="4" t="str">
        <f t="shared" si="3"/>
        <v/>
      </c>
      <c r="O774" s="4" t="str">
        <f t="shared" si="4"/>
        <v/>
      </c>
      <c r="P774" s="4" t="str">
        <f t="shared" si="5"/>
        <v/>
      </c>
      <c r="Q774" s="4" t="str">
        <f>IF(U774="","",SUMIF(Productos!E:E,U774,Productos!A:A))</f>
        <v/>
      </c>
      <c r="R774" s="4" t="str">
        <f t="array" ref="R774">IF(L774="","", max(1,SUMIF(I:I,XLOOKUP(U774,Productos!E:E,Productos!G:G,"",0,1),J:J)))</f>
        <v/>
      </c>
      <c r="S774" s="4" t="str">
        <f>IF(Q774="","",IF(SUMIFS(Compat_Vetado!D:D,Compat_Vetado!B:B,SUM(G:G),Compat_Vetado!C:C,Q774)=1,"SI",IF(OR(SUMIF(Cotizador!E:E,Q774,Cotizador!G:G)&gt;0,SUMIFS(Compat_Vetado!D:D,Compat_Vetado!B:B,SUM(G:G),Compat_Vetado!C:C,Q774)=-1),"NO","")))</f>
        <v/>
      </c>
      <c r="T774" s="4" t="str">
        <f t="shared" si="6"/>
        <v/>
      </c>
      <c r="U774" s="4" t="str">
        <f>IFERROR(__xludf.DUMMYFUNCTION("IF(P774="""","""",IFERROR(INDEX(filter(Productos!E:E,Productos!F:F=L774,Productos!H:H=N774),P774),IF(M774=SUM(D:D),""Finalizar"",""-"")))"),"")</f>
        <v/>
      </c>
      <c r="V774" s="4" t="str">
        <f>IFERROR(__xludf.DUMMYFUNCTION("IF(OR($U774="""",COUNTIF($I:$I,IFERROR(unique(filter(Prod_Prop!$H:$H,Prod_Prop!$G:$G=$U774,Prod_Prop!$E:$E=V$1)),""Check""))=0),"""",IFERROR(unique(filter(Prod_Prop!$H:$H,Prod_Prop!$G:$G=$U774,Prod_Prop!$E:$E=V$1)),""""))"),"")</f>
        <v/>
      </c>
      <c r="W774" s="4" t="str">
        <f>IF(V774="","",SUMIFS(Prod_Prop!$J:$J,Prod_Prop!$B:$B,$Q774,Prod_Prop!$H:$H,V774,Prod_Prop!$I:$I,W$1)*IF(V774="Peso",$R774,1))</f>
        <v/>
      </c>
      <c r="X774" s="4" t="str">
        <f>IF(V774="","",SUMIFS(Prod_Prop!$J:$J,Prod_Prop!$B:$B,$Q774,Prod_Prop!$H:$H,V774,Prod_Prop!$I:$I,X$1)*IF(V774="Peso",$R774,1))</f>
        <v/>
      </c>
      <c r="Y774" s="4" t="str">
        <f>IFERROR(__xludf.DUMMYFUNCTION("IF(OR($U774="""",COUNTIF($I:$I,IFERROR(unique(filter(Prod_Prop!$H:$H,Prod_Prop!$G:$G=$U774,Prod_Prop!$E:$E=Y$1)),""Check""))=0),"""",IFERROR(unique(filter(Prod_Prop!$H:$H,Prod_Prop!$G:$G=$U774,Prod_Prop!$E:$E=Y$1)),""""))"),"")</f>
        <v/>
      </c>
      <c r="Z774" s="4" t="str">
        <f>IF(Y774="","",SUMIFS(Prod_Prop!$J:$J,Prod_Prop!$B:$B,$Q774,Prod_Prop!$H:$H,Y774,Prod_Prop!$I:$I,Z$1)*IF(Y774="Peso",$R774,1))</f>
        <v/>
      </c>
      <c r="AA774" s="4" t="str">
        <f>IF(Y774="","",SUMIFS(Prod_Prop!$J:$J,Prod_Prop!$B:$B,$Q774,Prod_Prop!$H:$H,Y774,Prod_Prop!$I:$I,AA$1)*IF(Y774="Peso",$R774,1))</f>
        <v/>
      </c>
      <c r="AB774" s="4" t="str">
        <f>IFERROR(__xludf.DUMMYFUNCTION("IF(OR($U774="""",COUNTIF($I:$I,IFERROR(unique(filter(Prod_Prop!$H:$H,Prod_Prop!$G:$G=$U774,Prod_Prop!$E:$E=AB$1)),""Check""))=0),"""",IFERROR(unique(filter(Prod_Prop!$H:$H,Prod_Prop!$G:$G=$U774,Prod_Prop!$E:$E=AB$1)),""""))"),"")</f>
        <v/>
      </c>
      <c r="AC774" s="4" t="str">
        <f>IF(AB774="","",SUMIFS(Prod_Prop!$J:$J,Prod_Prop!$B:$B,$Q774,Prod_Prop!$H:$H,AB774,Prod_Prop!$I:$I,AC$1)*IF(AB774="Peso",$R774,1))</f>
        <v/>
      </c>
      <c r="AD774" s="4" t="str">
        <f>IF(AB774="","",SUMIFS(Prod_Prop!$J:$J,Prod_Prop!$B:$B,$Q774,Prod_Prop!$H:$H,AB774,Prod_Prop!$I:$I,AD$1)*IF(AB774="Peso",$R774,1))</f>
        <v/>
      </c>
    </row>
    <row r="775">
      <c r="A775" s="4" t="str">
        <f t="array" ref="A775">IF(COUNTIF(A$1:A774,Cotizador!F$2)=maxifs(Familias!E:E,Familias!D:D,Cotizador!F$2),IF(COUNTIF(A$1:A774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5" s="4" t="str">
        <f t="shared" si="1"/>
        <v/>
      </c>
      <c r="C775" s="4" t="str">
        <f t="array" ref="C775">IF(B775="","",IF(A775=XLOOKUP(A$2,Implementos!B:B,Implementos!C:C,"",0,1),B775+maxifs(B$1:B774,A$1:A774,A$2),B775))</f>
        <v/>
      </c>
      <c r="D775" s="4" t="str">
        <f>IF(B775="","", COUNTIFS(Productos!F:F,A775,Productos!H:H,B775)+IF(F775="SI",0,1))</f>
        <v/>
      </c>
      <c r="E775" s="4" t="str">
        <f>IFERROR(__xludf.DUMMYFUNCTION("IF($B775="""","""",INDEX(filter(Familias!F:F,Familias!$D:$D=$A775,Familias!$E:$E=$B775),1))"),"")</f>
        <v/>
      </c>
      <c r="F775" s="4" t="str">
        <f>IFERROR(__xludf.DUMMYFUNCTION("IF($B775="""","""",INDEX(filter(Familias!G:G,Familias!$D:$D=$A775,Familias!$E:$E=$B775),1))"),"")</f>
        <v/>
      </c>
      <c r="G775" s="4" t="str">
        <f t="array" ref="G775">IF(C775=1,XLOOKUP(C775,Cotizador!D:D,Cotizador!E:E,"",0,1),"")</f>
        <v/>
      </c>
      <c r="I775" s="4"/>
      <c r="J775" s="8" t="str">
        <f>IF(I775="","",SUMIF(Cotizador!I$1:V$1,I775,Cotizador!I$2:V$2))</f>
        <v/>
      </c>
      <c r="L775" s="4" t="str">
        <f t="array" ref="L775">IF(COUNTIF(L$1:L774,A$2)=SUMIF(A:A,A$2,D:D),IF(COUNTIF(L$1:L774,XLOOKUP(A$2,Implementos!B:B,Implementos!C:C,"",0,1))=SUMIF(A:A,XLOOKUP(A$2,Implementos!B:B,Implementos!C:C,"",0,1),D:D),"",XLOOKUP(A$2,Implementos!B:B,Implementos!C:C,"",0,1)),A$2)</f>
        <v/>
      </c>
      <c r="M775" s="4" t="str">
        <f t="shared" si="2"/>
        <v/>
      </c>
      <c r="N775" s="4" t="str">
        <f t="shared" si="3"/>
        <v/>
      </c>
      <c r="O775" s="4" t="str">
        <f t="shared" si="4"/>
        <v/>
      </c>
      <c r="P775" s="4" t="str">
        <f t="shared" si="5"/>
        <v/>
      </c>
      <c r="Q775" s="4" t="str">
        <f>IF(U775="","",SUMIF(Productos!E:E,U775,Productos!A:A))</f>
        <v/>
      </c>
      <c r="R775" s="4" t="str">
        <f t="array" ref="R775">IF(L775="","", max(1,SUMIF(I:I,XLOOKUP(U775,Productos!E:E,Productos!G:G,"",0,1),J:J)))</f>
        <v/>
      </c>
      <c r="S775" s="4" t="str">
        <f>IF(Q775="","",IF(SUMIFS(Compat_Vetado!D:D,Compat_Vetado!B:B,SUM(G:G),Compat_Vetado!C:C,Q775)=1,"SI",IF(OR(SUMIF(Cotizador!E:E,Q775,Cotizador!G:G)&gt;0,SUMIFS(Compat_Vetado!D:D,Compat_Vetado!B:B,SUM(G:G),Compat_Vetado!C:C,Q775)=-1),"NO","")))</f>
        <v/>
      </c>
      <c r="T775" s="4" t="str">
        <f t="shared" si="6"/>
        <v/>
      </c>
      <c r="U775" s="4" t="str">
        <f>IFERROR(__xludf.DUMMYFUNCTION("IF(P775="""","""",IFERROR(INDEX(filter(Productos!E:E,Productos!F:F=L775,Productos!H:H=N775),P775),IF(M775=SUM(D:D),""Finalizar"",""-"")))"),"")</f>
        <v/>
      </c>
      <c r="V775" s="4" t="str">
        <f>IFERROR(__xludf.DUMMYFUNCTION("IF(OR($U775="""",COUNTIF($I:$I,IFERROR(unique(filter(Prod_Prop!$H:$H,Prod_Prop!$G:$G=$U775,Prod_Prop!$E:$E=V$1)),""Check""))=0),"""",IFERROR(unique(filter(Prod_Prop!$H:$H,Prod_Prop!$G:$G=$U775,Prod_Prop!$E:$E=V$1)),""""))"),"")</f>
        <v/>
      </c>
      <c r="W775" s="4" t="str">
        <f>IF(V775="","",SUMIFS(Prod_Prop!$J:$J,Prod_Prop!$B:$B,$Q775,Prod_Prop!$H:$H,V775,Prod_Prop!$I:$I,W$1)*IF(V775="Peso",$R775,1))</f>
        <v/>
      </c>
      <c r="X775" s="4" t="str">
        <f>IF(V775="","",SUMIFS(Prod_Prop!$J:$J,Prod_Prop!$B:$B,$Q775,Prod_Prop!$H:$H,V775,Prod_Prop!$I:$I,X$1)*IF(V775="Peso",$R775,1))</f>
        <v/>
      </c>
      <c r="Y775" s="4" t="str">
        <f>IFERROR(__xludf.DUMMYFUNCTION("IF(OR($U775="""",COUNTIF($I:$I,IFERROR(unique(filter(Prod_Prop!$H:$H,Prod_Prop!$G:$G=$U775,Prod_Prop!$E:$E=Y$1)),""Check""))=0),"""",IFERROR(unique(filter(Prod_Prop!$H:$H,Prod_Prop!$G:$G=$U775,Prod_Prop!$E:$E=Y$1)),""""))"),"")</f>
        <v/>
      </c>
      <c r="Z775" s="4" t="str">
        <f>IF(Y775="","",SUMIFS(Prod_Prop!$J:$J,Prod_Prop!$B:$B,$Q775,Prod_Prop!$H:$H,Y775,Prod_Prop!$I:$I,Z$1)*IF(Y775="Peso",$R775,1))</f>
        <v/>
      </c>
      <c r="AA775" s="4" t="str">
        <f>IF(Y775="","",SUMIFS(Prod_Prop!$J:$J,Prod_Prop!$B:$B,$Q775,Prod_Prop!$H:$H,Y775,Prod_Prop!$I:$I,AA$1)*IF(Y775="Peso",$R775,1))</f>
        <v/>
      </c>
      <c r="AB775" s="4" t="str">
        <f>IFERROR(__xludf.DUMMYFUNCTION("IF(OR($U775="""",COUNTIF($I:$I,IFERROR(unique(filter(Prod_Prop!$H:$H,Prod_Prop!$G:$G=$U775,Prod_Prop!$E:$E=AB$1)),""Check""))=0),"""",IFERROR(unique(filter(Prod_Prop!$H:$H,Prod_Prop!$G:$G=$U775,Prod_Prop!$E:$E=AB$1)),""""))"),"")</f>
        <v/>
      </c>
      <c r="AC775" s="4" t="str">
        <f>IF(AB775="","",SUMIFS(Prod_Prop!$J:$J,Prod_Prop!$B:$B,$Q775,Prod_Prop!$H:$H,AB775,Prod_Prop!$I:$I,AC$1)*IF(AB775="Peso",$R775,1))</f>
        <v/>
      </c>
      <c r="AD775" s="4" t="str">
        <f>IF(AB775="","",SUMIFS(Prod_Prop!$J:$J,Prod_Prop!$B:$B,$Q775,Prod_Prop!$H:$H,AB775,Prod_Prop!$I:$I,AD$1)*IF(AB775="Peso",$R775,1))</f>
        <v/>
      </c>
    </row>
    <row r="776">
      <c r="A776" s="4" t="str">
        <f t="array" ref="A776">IF(COUNTIF(A$1:A775,Cotizador!F$2)=maxifs(Familias!E:E,Familias!D:D,Cotizador!F$2),IF(COUNTIF(A$1:A775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6" s="4" t="str">
        <f t="shared" si="1"/>
        <v/>
      </c>
      <c r="C776" s="4" t="str">
        <f t="array" ref="C776">IF(B776="","",IF(A776=XLOOKUP(A$2,Implementos!B:B,Implementos!C:C,"",0,1),B776+maxifs(B$1:B775,A$1:A775,A$2),B776))</f>
        <v/>
      </c>
      <c r="D776" s="4" t="str">
        <f>IF(B776="","", COUNTIFS(Productos!F:F,A776,Productos!H:H,B776)+IF(F776="SI",0,1))</f>
        <v/>
      </c>
      <c r="E776" s="4" t="str">
        <f>IFERROR(__xludf.DUMMYFUNCTION("IF($B776="""","""",INDEX(filter(Familias!F:F,Familias!$D:$D=$A776,Familias!$E:$E=$B776),1))"),"")</f>
        <v/>
      </c>
      <c r="F776" s="4" t="str">
        <f>IFERROR(__xludf.DUMMYFUNCTION("IF($B776="""","""",INDEX(filter(Familias!G:G,Familias!$D:$D=$A776,Familias!$E:$E=$B776),1))"),"")</f>
        <v/>
      </c>
      <c r="G776" s="4" t="str">
        <f t="array" ref="G776">IF(C776=1,XLOOKUP(C776,Cotizador!D:D,Cotizador!E:E,"",0,1),"")</f>
        <v/>
      </c>
      <c r="I776" s="4"/>
      <c r="J776" s="8" t="str">
        <f>IF(I776="","",SUMIF(Cotizador!I$1:V$1,I776,Cotizador!I$2:V$2))</f>
        <v/>
      </c>
      <c r="L776" s="4" t="str">
        <f t="array" ref="L776">IF(COUNTIF(L$1:L775,A$2)=SUMIF(A:A,A$2,D:D),IF(COUNTIF(L$1:L775,XLOOKUP(A$2,Implementos!B:B,Implementos!C:C,"",0,1))=SUMIF(A:A,XLOOKUP(A$2,Implementos!B:B,Implementos!C:C,"",0,1),D:D),"",XLOOKUP(A$2,Implementos!B:B,Implementos!C:C,"",0,1)),A$2)</f>
        <v/>
      </c>
      <c r="M776" s="4" t="str">
        <f t="shared" si="2"/>
        <v/>
      </c>
      <c r="N776" s="4" t="str">
        <f t="shared" si="3"/>
        <v/>
      </c>
      <c r="O776" s="4" t="str">
        <f t="shared" si="4"/>
        <v/>
      </c>
      <c r="P776" s="4" t="str">
        <f t="shared" si="5"/>
        <v/>
      </c>
      <c r="Q776" s="4" t="str">
        <f>IF(U776="","",SUMIF(Productos!E:E,U776,Productos!A:A))</f>
        <v/>
      </c>
      <c r="R776" s="4" t="str">
        <f t="array" ref="R776">IF(L776="","", max(1,SUMIF(I:I,XLOOKUP(U776,Productos!E:E,Productos!G:G,"",0,1),J:J)))</f>
        <v/>
      </c>
      <c r="S776" s="4" t="str">
        <f>IF(Q776="","",IF(SUMIFS(Compat_Vetado!D:D,Compat_Vetado!B:B,SUM(G:G),Compat_Vetado!C:C,Q776)=1,"SI",IF(OR(SUMIF(Cotizador!E:E,Q776,Cotizador!G:G)&gt;0,SUMIFS(Compat_Vetado!D:D,Compat_Vetado!B:B,SUM(G:G),Compat_Vetado!C:C,Q776)=-1),"NO","")))</f>
        <v/>
      </c>
      <c r="T776" s="4" t="str">
        <f t="shared" si="6"/>
        <v/>
      </c>
      <c r="U776" s="4" t="str">
        <f>IFERROR(__xludf.DUMMYFUNCTION("IF(P776="""","""",IFERROR(INDEX(filter(Productos!E:E,Productos!F:F=L776,Productos!H:H=N776),P776),IF(M776=SUM(D:D),""Finalizar"",""-"")))"),"")</f>
        <v/>
      </c>
      <c r="V776" s="4" t="str">
        <f>IFERROR(__xludf.DUMMYFUNCTION("IF(OR($U776="""",COUNTIF($I:$I,IFERROR(unique(filter(Prod_Prop!$H:$H,Prod_Prop!$G:$G=$U776,Prod_Prop!$E:$E=V$1)),""Check""))=0),"""",IFERROR(unique(filter(Prod_Prop!$H:$H,Prod_Prop!$G:$G=$U776,Prod_Prop!$E:$E=V$1)),""""))"),"")</f>
        <v/>
      </c>
      <c r="W776" s="4" t="str">
        <f>IF(V776="","",SUMIFS(Prod_Prop!$J:$J,Prod_Prop!$B:$B,$Q776,Prod_Prop!$H:$H,V776,Prod_Prop!$I:$I,W$1)*IF(V776="Peso",$R776,1))</f>
        <v/>
      </c>
      <c r="X776" s="4" t="str">
        <f>IF(V776="","",SUMIFS(Prod_Prop!$J:$J,Prod_Prop!$B:$B,$Q776,Prod_Prop!$H:$H,V776,Prod_Prop!$I:$I,X$1)*IF(V776="Peso",$R776,1))</f>
        <v/>
      </c>
      <c r="Y776" s="4" t="str">
        <f>IFERROR(__xludf.DUMMYFUNCTION("IF(OR($U776="""",COUNTIF($I:$I,IFERROR(unique(filter(Prod_Prop!$H:$H,Prod_Prop!$G:$G=$U776,Prod_Prop!$E:$E=Y$1)),""Check""))=0),"""",IFERROR(unique(filter(Prod_Prop!$H:$H,Prod_Prop!$G:$G=$U776,Prod_Prop!$E:$E=Y$1)),""""))"),"")</f>
        <v/>
      </c>
      <c r="Z776" s="4" t="str">
        <f>IF(Y776="","",SUMIFS(Prod_Prop!$J:$J,Prod_Prop!$B:$B,$Q776,Prod_Prop!$H:$H,Y776,Prod_Prop!$I:$I,Z$1)*IF(Y776="Peso",$R776,1))</f>
        <v/>
      </c>
      <c r="AA776" s="4" t="str">
        <f>IF(Y776="","",SUMIFS(Prod_Prop!$J:$J,Prod_Prop!$B:$B,$Q776,Prod_Prop!$H:$H,Y776,Prod_Prop!$I:$I,AA$1)*IF(Y776="Peso",$R776,1))</f>
        <v/>
      </c>
      <c r="AB776" s="4" t="str">
        <f>IFERROR(__xludf.DUMMYFUNCTION("IF(OR($U776="""",COUNTIF($I:$I,IFERROR(unique(filter(Prod_Prop!$H:$H,Prod_Prop!$G:$G=$U776,Prod_Prop!$E:$E=AB$1)),""Check""))=0),"""",IFERROR(unique(filter(Prod_Prop!$H:$H,Prod_Prop!$G:$G=$U776,Prod_Prop!$E:$E=AB$1)),""""))"),"")</f>
        <v/>
      </c>
      <c r="AC776" s="4" t="str">
        <f>IF(AB776="","",SUMIFS(Prod_Prop!$J:$J,Prod_Prop!$B:$B,$Q776,Prod_Prop!$H:$H,AB776,Prod_Prop!$I:$I,AC$1)*IF(AB776="Peso",$R776,1))</f>
        <v/>
      </c>
      <c r="AD776" s="4" t="str">
        <f>IF(AB776="","",SUMIFS(Prod_Prop!$J:$J,Prod_Prop!$B:$B,$Q776,Prod_Prop!$H:$H,AB776,Prod_Prop!$I:$I,AD$1)*IF(AB776="Peso",$R776,1))</f>
        <v/>
      </c>
    </row>
    <row r="777">
      <c r="A777" s="4" t="str">
        <f t="array" ref="A777">IF(COUNTIF(A$1:A776,Cotizador!F$2)=maxifs(Familias!E:E,Familias!D:D,Cotizador!F$2),IF(COUNTIF(A$1:A776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7" s="4" t="str">
        <f t="shared" si="1"/>
        <v/>
      </c>
      <c r="C777" s="4" t="str">
        <f t="array" ref="C777">IF(B777="","",IF(A777=XLOOKUP(A$2,Implementos!B:B,Implementos!C:C,"",0,1),B777+maxifs(B$1:B776,A$1:A776,A$2),B777))</f>
        <v/>
      </c>
      <c r="D777" s="4" t="str">
        <f>IF(B777="","", COUNTIFS(Productos!F:F,A777,Productos!H:H,B777)+IF(F777="SI",0,1))</f>
        <v/>
      </c>
      <c r="E777" s="4" t="str">
        <f>IFERROR(__xludf.DUMMYFUNCTION("IF($B777="""","""",INDEX(filter(Familias!F:F,Familias!$D:$D=$A777,Familias!$E:$E=$B777),1))"),"")</f>
        <v/>
      </c>
      <c r="F777" s="4" t="str">
        <f>IFERROR(__xludf.DUMMYFUNCTION("IF($B777="""","""",INDEX(filter(Familias!G:G,Familias!$D:$D=$A777,Familias!$E:$E=$B777),1))"),"")</f>
        <v/>
      </c>
      <c r="G777" s="4" t="str">
        <f t="array" ref="G777">IF(C777=1,XLOOKUP(C777,Cotizador!D:D,Cotizador!E:E,"",0,1),"")</f>
        <v/>
      </c>
      <c r="I777" s="4"/>
      <c r="J777" s="8" t="str">
        <f>IF(I777="","",SUMIF(Cotizador!I$1:V$1,I777,Cotizador!I$2:V$2))</f>
        <v/>
      </c>
      <c r="L777" s="4" t="str">
        <f t="array" ref="L777">IF(COUNTIF(L$1:L776,A$2)=SUMIF(A:A,A$2,D:D),IF(COUNTIF(L$1:L776,XLOOKUP(A$2,Implementos!B:B,Implementos!C:C,"",0,1))=SUMIF(A:A,XLOOKUP(A$2,Implementos!B:B,Implementos!C:C,"",0,1),D:D),"",XLOOKUP(A$2,Implementos!B:B,Implementos!C:C,"",0,1)),A$2)</f>
        <v/>
      </c>
      <c r="M777" s="4" t="str">
        <f t="shared" si="2"/>
        <v/>
      </c>
      <c r="N777" s="4" t="str">
        <f t="shared" si="3"/>
        <v/>
      </c>
      <c r="O777" s="4" t="str">
        <f t="shared" si="4"/>
        <v/>
      </c>
      <c r="P777" s="4" t="str">
        <f t="shared" si="5"/>
        <v/>
      </c>
      <c r="Q777" s="4" t="str">
        <f>IF(U777="","",SUMIF(Productos!E:E,U777,Productos!A:A))</f>
        <v/>
      </c>
      <c r="R777" s="4" t="str">
        <f t="array" ref="R777">IF(L777="","", max(1,SUMIF(I:I,XLOOKUP(U777,Productos!E:E,Productos!G:G,"",0,1),J:J)))</f>
        <v/>
      </c>
      <c r="S777" s="4" t="str">
        <f>IF(Q777="","",IF(SUMIFS(Compat_Vetado!D:D,Compat_Vetado!B:B,SUM(G:G),Compat_Vetado!C:C,Q777)=1,"SI",IF(OR(SUMIF(Cotizador!E:E,Q777,Cotizador!G:G)&gt;0,SUMIFS(Compat_Vetado!D:D,Compat_Vetado!B:B,SUM(G:G),Compat_Vetado!C:C,Q777)=-1),"NO","")))</f>
        <v/>
      </c>
      <c r="T777" s="4" t="str">
        <f t="shared" si="6"/>
        <v/>
      </c>
      <c r="U777" s="4" t="str">
        <f>IFERROR(__xludf.DUMMYFUNCTION("IF(P777="""","""",IFERROR(INDEX(filter(Productos!E:E,Productos!F:F=L777,Productos!H:H=N777),P777),IF(M777=SUM(D:D),""Finalizar"",""-"")))"),"")</f>
        <v/>
      </c>
      <c r="V777" s="4" t="str">
        <f>IFERROR(__xludf.DUMMYFUNCTION("IF(OR($U777="""",COUNTIF($I:$I,IFERROR(unique(filter(Prod_Prop!$H:$H,Prod_Prop!$G:$G=$U777,Prod_Prop!$E:$E=V$1)),""Check""))=0),"""",IFERROR(unique(filter(Prod_Prop!$H:$H,Prod_Prop!$G:$G=$U777,Prod_Prop!$E:$E=V$1)),""""))"),"")</f>
        <v/>
      </c>
      <c r="W777" s="4" t="str">
        <f>IF(V777="","",SUMIFS(Prod_Prop!$J:$J,Prod_Prop!$B:$B,$Q777,Prod_Prop!$H:$H,V777,Prod_Prop!$I:$I,W$1)*IF(V777="Peso",$R777,1))</f>
        <v/>
      </c>
      <c r="X777" s="4" t="str">
        <f>IF(V777="","",SUMIFS(Prod_Prop!$J:$J,Prod_Prop!$B:$B,$Q777,Prod_Prop!$H:$H,V777,Prod_Prop!$I:$I,X$1)*IF(V777="Peso",$R777,1))</f>
        <v/>
      </c>
      <c r="Y777" s="4" t="str">
        <f>IFERROR(__xludf.DUMMYFUNCTION("IF(OR($U777="""",COUNTIF($I:$I,IFERROR(unique(filter(Prod_Prop!$H:$H,Prod_Prop!$G:$G=$U777,Prod_Prop!$E:$E=Y$1)),""Check""))=0),"""",IFERROR(unique(filter(Prod_Prop!$H:$H,Prod_Prop!$G:$G=$U777,Prod_Prop!$E:$E=Y$1)),""""))"),"")</f>
        <v/>
      </c>
      <c r="Z777" s="4" t="str">
        <f>IF(Y777="","",SUMIFS(Prod_Prop!$J:$J,Prod_Prop!$B:$B,$Q777,Prod_Prop!$H:$H,Y777,Prod_Prop!$I:$I,Z$1)*IF(Y777="Peso",$R777,1))</f>
        <v/>
      </c>
      <c r="AA777" s="4" t="str">
        <f>IF(Y777="","",SUMIFS(Prod_Prop!$J:$J,Prod_Prop!$B:$B,$Q777,Prod_Prop!$H:$H,Y777,Prod_Prop!$I:$I,AA$1)*IF(Y777="Peso",$R777,1))</f>
        <v/>
      </c>
      <c r="AB777" s="4" t="str">
        <f>IFERROR(__xludf.DUMMYFUNCTION("IF(OR($U777="""",COUNTIF($I:$I,IFERROR(unique(filter(Prod_Prop!$H:$H,Prod_Prop!$G:$G=$U777,Prod_Prop!$E:$E=AB$1)),""Check""))=0),"""",IFERROR(unique(filter(Prod_Prop!$H:$H,Prod_Prop!$G:$G=$U777,Prod_Prop!$E:$E=AB$1)),""""))"),"")</f>
        <v/>
      </c>
      <c r="AC777" s="4" t="str">
        <f>IF(AB777="","",SUMIFS(Prod_Prop!$J:$J,Prod_Prop!$B:$B,$Q777,Prod_Prop!$H:$H,AB777,Prod_Prop!$I:$I,AC$1)*IF(AB777="Peso",$R777,1))</f>
        <v/>
      </c>
      <c r="AD777" s="4" t="str">
        <f>IF(AB777="","",SUMIFS(Prod_Prop!$J:$J,Prod_Prop!$B:$B,$Q777,Prod_Prop!$H:$H,AB777,Prod_Prop!$I:$I,AD$1)*IF(AB777="Peso",$R777,1))</f>
        <v/>
      </c>
    </row>
    <row r="778">
      <c r="A778" s="4" t="str">
        <f t="array" ref="A778">IF(COUNTIF(A$1:A777,Cotizador!F$2)=maxifs(Familias!E:E,Familias!D:D,Cotizador!F$2),IF(COUNTIF(A$1:A777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8" s="4" t="str">
        <f t="shared" si="1"/>
        <v/>
      </c>
      <c r="C778" s="4" t="str">
        <f t="array" ref="C778">IF(B778="","",IF(A778=XLOOKUP(A$2,Implementos!B:B,Implementos!C:C,"",0,1),B778+maxifs(B$1:B777,A$1:A777,A$2),B778))</f>
        <v/>
      </c>
      <c r="D778" s="4" t="str">
        <f>IF(B778="","", COUNTIFS(Productos!F:F,A778,Productos!H:H,B778)+IF(F778="SI",0,1))</f>
        <v/>
      </c>
      <c r="E778" s="4" t="str">
        <f>IFERROR(__xludf.DUMMYFUNCTION("IF($B778="""","""",INDEX(filter(Familias!F:F,Familias!$D:$D=$A778,Familias!$E:$E=$B778),1))"),"")</f>
        <v/>
      </c>
      <c r="F778" s="4" t="str">
        <f>IFERROR(__xludf.DUMMYFUNCTION("IF($B778="""","""",INDEX(filter(Familias!G:G,Familias!$D:$D=$A778,Familias!$E:$E=$B778),1))"),"")</f>
        <v/>
      </c>
      <c r="G778" s="4" t="str">
        <f t="array" ref="G778">IF(C778=1,XLOOKUP(C778,Cotizador!D:D,Cotizador!E:E,"",0,1),"")</f>
        <v/>
      </c>
      <c r="I778" s="4"/>
      <c r="J778" s="8" t="str">
        <f>IF(I778="","",SUMIF(Cotizador!I$1:V$1,I778,Cotizador!I$2:V$2))</f>
        <v/>
      </c>
      <c r="L778" s="4" t="str">
        <f t="array" ref="L778">IF(COUNTIF(L$1:L777,A$2)=SUMIF(A:A,A$2,D:D),IF(COUNTIF(L$1:L777,XLOOKUP(A$2,Implementos!B:B,Implementos!C:C,"",0,1))=SUMIF(A:A,XLOOKUP(A$2,Implementos!B:B,Implementos!C:C,"",0,1),D:D),"",XLOOKUP(A$2,Implementos!B:B,Implementos!C:C,"",0,1)),A$2)</f>
        <v/>
      </c>
      <c r="M778" s="4" t="str">
        <f t="shared" si="2"/>
        <v/>
      </c>
      <c r="N778" s="4" t="str">
        <f t="shared" si="3"/>
        <v/>
      </c>
      <c r="O778" s="4" t="str">
        <f t="shared" si="4"/>
        <v/>
      </c>
      <c r="P778" s="4" t="str">
        <f t="shared" si="5"/>
        <v/>
      </c>
      <c r="Q778" s="4" t="str">
        <f>IF(U778="","",SUMIF(Productos!E:E,U778,Productos!A:A))</f>
        <v/>
      </c>
      <c r="R778" s="4" t="str">
        <f t="array" ref="R778">IF(L778="","", max(1,SUMIF(I:I,XLOOKUP(U778,Productos!E:E,Productos!G:G,"",0,1),J:J)))</f>
        <v/>
      </c>
      <c r="S778" s="4" t="str">
        <f>IF(Q778="","",IF(SUMIFS(Compat_Vetado!D:D,Compat_Vetado!B:B,SUM(G:G),Compat_Vetado!C:C,Q778)=1,"SI",IF(OR(SUMIF(Cotizador!E:E,Q778,Cotizador!G:G)&gt;0,SUMIFS(Compat_Vetado!D:D,Compat_Vetado!B:B,SUM(G:G),Compat_Vetado!C:C,Q778)=-1),"NO","")))</f>
        <v/>
      </c>
      <c r="T778" s="4" t="str">
        <f t="shared" si="6"/>
        <v/>
      </c>
      <c r="U778" s="4" t="str">
        <f>IFERROR(__xludf.DUMMYFUNCTION("IF(P778="""","""",IFERROR(INDEX(filter(Productos!E:E,Productos!F:F=L778,Productos!H:H=N778),P778),IF(M778=SUM(D:D),""Finalizar"",""-"")))"),"")</f>
        <v/>
      </c>
      <c r="V778" s="4" t="str">
        <f>IFERROR(__xludf.DUMMYFUNCTION("IF(OR($U778="""",COUNTIF($I:$I,IFERROR(unique(filter(Prod_Prop!$H:$H,Prod_Prop!$G:$G=$U778,Prod_Prop!$E:$E=V$1)),""Check""))=0),"""",IFERROR(unique(filter(Prod_Prop!$H:$H,Prod_Prop!$G:$G=$U778,Prod_Prop!$E:$E=V$1)),""""))"),"")</f>
        <v/>
      </c>
      <c r="W778" s="4" t="str">
        <f>IF(V778="","",SUMIFS(Prod_Prop!$J:$J,Prod_Prop!$B:$B,$Q778,Prod_Prop!$H:$H,V778,Prod_Prop!$I:$I,W$1)*IF(V778="Peso",$R778,1))</f>
        <v/>
      </c>
      <c r="X778" s="4" t="str">
        <f>IF(V778="","",SUMIFS(Prod_Prop!$J:$J,Prod_Prop!$B:$B,$Q778,Prod_Prop!$H:$H,V778,Prod_Prop!$I:$I,X$1)*IF(V778="Peso",$R778,1))</f>
        <v/>
      </c>
      <c r="Y778" s="4" t="str">
        <f>IFERROR(__xludf.DUMMYFUNCTION("IF(OR($U778="""",COUNTIF($I:$I,IFERROR(unique(filter(Prod_Prop!$H:$H,Prod_Prop!$G:$G=$U778,Prod_Prop!$E:$E=Y$1)),""Check""))=0),"""",IFERROR(unique(filter(Prod_Prop!$H:$H,Prod_Prop!$G:$G=$U778,Prod_Prop!$E:$E=Y$1)),""""))"),"")</f>
        <v/>
      </c>
      <c r="Z778" s="4" t="str">
        <f>IF(Y778="","",SUMIFS(Prod_Prop!$J:$J,Prod_Prop!$B:$B,$Q778,Prod_Prop!$H:$H,Y778,Prod_Prop!$I:$I,Z$1)*IF(Y778="Peso",$R778,1))</f>
        <v/>
      </c>
      <c r="AA778" s="4" t="str">
        <f>IF(Y778="","",SUMIFS(Prod_Prop!$J:$J,Prod_Prop!$B:$B,$Q778,Prod_Prop!$H:$H,Y778,Prod_Prop!$I:$I,AA$1)*IF(Y778="Peso",$R778,1))</f>
        <v/>
      </c>
      <c r="AB778" s="4" t="str">
        <f>IFERROR(__xludf.DUMMYFUNCTION("IF(OR($U778="""",COUNTIF($I:$I,IFERROR(unique(filter(Prod_Prop!$H:$H,Prod_Prop!$G:$G=$U778,Prod_Prop!$E:$E=AB$1)),""Check""))=0),"""",IFERROR(unique(filter(Prod_Prop!$H:$H,Prod_Prop!$G:$G=$U778,Prod_Prop!$E:$E=AB$1)),""""))"),"")</f>
        <v/>
      </c>
      <c r="AC778" s="4" t="str">
        <f>IF(AB778="","",SUMIFS(Prod_Prop!$J:$J,Prod_Prop!$B:$B,$Q778,Prod_Prop!$H:$H,AB778,Prod_Prop!$I:$I,AC$1)*IF(AB778="Peso",$R778,1))</f>
        <v/>
      </c>
      <c r="AD778" s="4" t="str">
        <f>IF(AB778="","",SUMIFS(Prod_Prop!$J:$J,Prod_Prop!$B:$B,$Q778,Prod_Prop!$H:$H,AB778,Prod_Prop!$I:$I,AD$1)*IF(AB778="Peso",$R778,1))</f>
        <v/>
      </c>
    </row>
    <row r="779">
      <c r="A779" s="4" t="str">
        <f t="array" ref="A779">IF(COUNTIF(A$1:A778,Cotizador!F$2)=maxifs(Familias!E:E,Familias!D:D,Cotizador!F$2),IF(COUNTIF(A$1:A778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79" s="4" t="str">
        <f t="shared" si="1"/>
        <v/>
      </c>
      <c r="C779" s="4" t="str">
        <f t="array" ref="C779">IF(B779="","",IF(A779=XLOOKUP(A$2,Implementos!B:B,Implementos!C:C,"",0,1),B779+maxifs(B$1:B778,A$1:A778,A$2),B779))</f>
        <v/>
      </c>
      <c r="D779" s="4" t="str">
        <f>IF(B779="","", COUNTIFS(Productos!F:F,A779,Productos!H:H,B779)+IF(F779="SI",0,1))</f>
        <v/>
      </c>
      <c r="E779" s="4" t="str">
        <f>IFERROR(__xludf.DUMMYFUNCTION("IF($B779="""","""",INDEX(filter(Familias!F:F,Familias!$D:$D=$A779,Familias!$E:$E=$B779),1))"),"")</f>
        <v/>
      </c>
      <c r="F779" s="4" t="str">
        <f>IFERROR(__xludf.DUMMYFUNCTION("IF($B779="""","""",INDEX(filter(Familias!G:G,Familias!$D:$D=$A779,Familias!$E:$E=$B779),1))"),"")</f>
        <v/>
      </c>
      <c r="G779" s="4" t="str">
        <f t="array" ref="G779">IF(C779=1,XLOOKUP(C779,Cotizador!D:D,Cotizador!E:E,"",0,1),"")</f>
        <v/>
      </c>
      <c r="I779" s="4"/>
      <c r="J779" s="8" t="str">
        <f>IF(I779="","",SUMIF(Cotizador!I$1:V$1,I779,Cotizador!I$2:V$2))</f>
        <v/>
      </c>
      <c r="L779" s="4" t="str">
        <f t="array" ref="L779">IF(COUNTIF(L$1:L778,A$2)=SUMIF(A:A,A$2,D:D),IF(COUNTIF(L$1:L778,XLOOKUP(A$2,Implementos!B:B,Implementos!C:C,"",0,1))=SUMIF(A:A,XLOOKUP(A$2,Implementos!B:B,Implementos!C:C,"",0,1),D:D),"",XLOOKUP(A$2,Implementos!B:B,Implementos!C:C,"",0,1)),A$2)</f>
        <v/>
      </c>
      <c r="M779" s="4" t="str">
        <f t="shared" si="2"/>
        <v/>
      </c>
      <c r="N779" s="4" t="str">
        <f t="shared" si="3"/>
        <v/>
      </c>
      <c r="O779" s="4" t="str">
        <f t="shared" si="4"/>
        <v/>
      </c>
      <c r="P779" s="4" t="str">
        <f t="shared" si="5"/>
        <v/>
      </c>
      <c r="Q779" s="4" t="str">
        <f>IF(U779="","",SUMIF(Productos!E:E,U779,Productos!A:A))</f>
        <v/>
      </c>
      <c r="R779" s="4" t="str">
        <f t="array" ref="R779">IF(L779="","", max(1,SUMIF(I:I,XLOOKUP(U779,Productos!E:E,Productos!G:G,"",0,1),J:J)))</f>
        <v/>
      </c>
      <c r="S779" s="4" t="str">
        <f>IF(Q779="","",IF(SUMIFS(Compat_Vetado!D:D,Compat_Vetado!B:B,SUM(G:G),Compat_Vetado!C:C,Q779)=1,"SI",IF(OR(SUMIF(Cotizador!E:E,Q779,Cotizador!G:G)&gt;0,SUMIFS(Compat_Vetado!D:D,Compat_Vetado!B:B,SUM(G:G),Compat_Vetado!C:C,Q779)=-1),"NO","")))</f>
        <v/>
      </c>
      <c r="T779" s="4" t="str">
        <f t="shared" si="6"/>
        <v/>
      </c>
      <c r="U779" s="4" t="str">
        <f>IFERROR(__xludf.DUMMYFUNCTION("IF(P779="""","""",IFERROR(INDEX(filter(Productos!E:E,Productos!F:F=L779,Productos!H:H=N779),P779),IF(M779=SUM(D:D),""Finalizar"",""-"")))"),"")</f>
        <v/>
      </c>
      <c r="V779" s="4" t="str">
        <f>IFERROR(__xludf.DUMMYFUNCTION("IF(OR($U779="""",COUNTIF($I:$I,IFERROR(unique(filter(Prod_Prop!$H:$H,Prod_Prop!$G:$G=$U779,Prod_Prop!$E:$E=V$1)),""Check""))=0),"""",IFERROR(unique(filter(Prod_Prop!$H:$H,Prod_Prop!$G:$G=$U779,Prod_Prop!$E:$E=V$1)),""""))"),"")</f>
        <v/>
      </c>
      <c r="W779" s="4" t="str">
        <f>IF(V779="","",SUMIFS(Prod_Prop!$J:$J,Prod_Prop!$B:$B,$Q779,Prod_Prop!$H:$H,V779,Prod_Prop!$I:$I,W$1)*IF(V779="Peso",$R779,1))</f>
        <v/>
      </c>
      <c r="X779" s="4" t="str">
        <f>IF(V779="","",SUMIFS(Prod_Prop!$J:$J,Prod_Prop!$B:$B,$Q779,Prod_Prop!$H:$H,V779,Prod_Prop!$I:$I,X$1)*IF(V779="Peso",$R779,1))</f>
        <v/>
      </c>
      <c r="Y779" s="4" t="str">
        <f>IFERROR(__xludf.DUMMYFUNCTION("IF(OR($U779="""",COUNTIF($I:$I,IFERROR(unique(filter(Prod_Prop!$H:$H,Prod_Prop!$G:$G=$U779,Prod_Prop!$E:$E=Y$1)),""Check""))=0),"""",IFERROR(unique(filter(Prod_Prop!$H:$H,Prod_Prop!$G:$G=$U779,Prod_Prop!$E:$E=Y$1)),""""))"),"")</f>
        <v/>
      </c>
      <c r="Z779" s="4" t="str">
        <f>IF(Y779="","",SUMIFS(Prod_Prop!$J:$J,Prod_Prop!$B:$B,$Q779,Prod_Prop!$H:$H,Y779,Prod_Prop!$I:$I,Z$1)*IF(Y779="Peso",$R779,1))</f>
        <v/>
      </c>
      <c r="AA779" s="4" t="str">
        <f>IF(Y779="","",SUMIFS(Prod_Prop!$J:$J,Prod_Prop!$B:$B,$Q779,Prod_Prop!$H:$H,Y779,Prod_Prop!$I:$I,AA$1)*IF(Y779="Peso",$R779,1))</f>
        <v/>
      </c>
      <c r="AB779" s="4" t="str">
        <f>IFERROR(__xludf.DUMMYFUNCTION("IF(OR($U779="""",COUNTIF($I:$I,IFERROR(unique(filter(Prod_Prop!$H:$H,Prod_Prop!$G:$G=$U779,Prod_Prop!$E:$E=AB$1)),""Check""))=0),"""",IFERROR(unique(filter(Prod_Prop!$H:$H,Prod_Prop!$G:$G=$U779,Prod_Prop!$E:$E=AB$1)),""""))"),"")</f>
        <v/>
      </c>
      <c r="AC779" s="4" t="str">
        <f>IF(AB779="","",SUMIFS(Prod_Prop!$J:$J,Prod_Prop!$B:$B,$Q779,Prod_Prop!$H:$H,AB779,Prod_Prop!$I:$I,AC$1)*IF(AB779="Peso",$R779,1))</f>
        <v/>
      </c>
      <c r="AD779" s="4" t="str">
        <f>IF(AB779="","",SUMIFS(Prod_Prop!$J:$J,Prod_Prop!$B:$B,$Q779,Prod_Prop!$H:$H,AB779,Prod_Prop!$I:$I,AD$1)*IF(AB779="Peso",$R779,1))</f>
        <v/>
      </c>
    </row>
    <row r="780">
      <c r="A780" s="4" t="str">
        <f t="array" ref="A780">IF(COUNTIF(A$1:A779,Cotizador!F$2)=maxifs(Familias!E:E,Familias!D:D,Cotizador!F$2),IF(COUNTIF(A$1:A779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0" s="4" t="str">
        <f t="shared" si="1"/>
        <v/>
      </c>
      <c r="C780" s="4" t="str">
        <f t="array" ref="C780">IF(B780="","",IF(A780=XLOOKUP(A$2,Implementos!B:B,Implementos!C:C,"",0,1),B780+maxifs(B$1:B779,A$1:A779,A$2),B780))</f>
        <v/>
      </c>
      <c r="D780" s="4" t="str">
        <f>IF(B780="","", COUNTIFS(Productos!F:F,A780,Productos!H:H,B780)+IF(F780="SI",0,1))</f>
        <v/>
      </c>
      <c r="E780" s="4" t="str">
        <f>IFERROR(__xludf.DUMMYFUNCTION("IF($B780="""","""",INDEX(filter(Familias!F:F,Familias!$D:$D=$A780,Familias!$E:$E=$B780),1))"),"")</f>
        <v/>
      </c>
      <c r="F780" s="4" t="str">
        <f>IFERROR(__xludf.DUMMYFUNCTION("IF($B780="""","""",INDEX(filter(Familias!G:G,Familias!$D:$D=$A780,Familias!$E:$E=$B780),1))"),"")</f>
        <v/>
      </c>
      <c r="G780" s="4" t="str">
        <f t="array" ref="G780">IF(C780=1,XLOOKUP(C780,Cotizador!D:D,Cotizador!E:E,"",0,1),"")</f>
        <v/>
      </c>
      <c r="I780" s="4"/>
      <c r="J780" s="8" t="str">
        <f>IF(I780="","",SUMIF(Cotizador!I$1:V$1,I780,Cotizador!I$2:V$2))</f>
        <v/>
      </c>
      <c r="L780" s="4" t="str">
        <f t="array" ref="L780">IF(COUNTIF(L$1:L779,A$2)=SUMIF(A:A,A$2,D:D),IF(COUNTIF(L$1:L779,XLOOKUP(A$2,Implementos!B:B,Implementos!C:C,"",0,1))=SUMIF(A:A,XLOOKUP(A$2,Implementos!B:B,Implementos!C:C,"",0,1),D:D),"",XLOOKUP(A$2,Implementos!B:B,Implementos!C:C,"",0,1)),A$2)</f>
        <v/>
      </c>
      <c r="M780" s="4" t="str">
        <f t="shared" si="2"/>
        <v/>
      </c>
      <c r="N780" s="4" t="str">
        <f t="shared" si="3"/>
        <v/>
      </c>
      <c r="O780" s="4" t="str">
        <f t="shared" si="4"/>
        <v/>
      </c>
      <c r="P780" s="4" t="str">
        <f t="shared" si="5"/>
        <v/>
      </c>
      <c r="Q780" s="4" t="str">
        <f>IF(U780="","",SUMIF(Productos!E:E,U780,Productos!A:A))</f>
        <v/>
      </c>
      <c r="R780" s="4" t="str">
        <f t="array" ref="R780">IF(L780="","", max(1,SUMIF(I:I,XLOOKUP(U780,Productos!E:E,Productos!G:G,"",0,1),J:J)))</f>
        <v/>
      </c>
      <c r="S780" s="4" t="str">
        <f>IF(Q780="","",IF(SUMIFS(Compat_Vetado!D:D,Compat_Vetado!B:B,SUM(G:G),Compat_Vetado!C:C,Q780)=1,"SI",IF(OR(SUMIF(Cotizador!E:E,Q780,Cotizador!G:G)&gt;0,SUMIFS(Compat_Vetado!D:D,Compat_Vetado!B:B,SUM(G:G),Compat_Vetado!C:C,Q780)=-1),"NO","")))</f>
        <v/>
      </c>
      <c r="T780" s="4" t="str">
        <f t="shared" si="6"/>
        <v/>
      </c>
      <c r="U780" s="4" t="str">
        <f>IFERROR(__xludf.DUMMYFUNCTION("IF(P780="""","""",IFERROR(INDEX(filter(Productos!E:E,Productos!F:F=L780,Productos!H:H=N780),P780),IF(M780=SUM(D:D),""Finalizar"",""-"")))"),"")</f>
        <v/>
      </c>
      <c r="V780" s="4" t="str">
        <f>IFERROR(__xludf.DUMMYFUNCTION("IF(OR($U780="""",COUNTIF($I:$I,IFERROR(unique(filter(Prod_Prop!$H:$H,Prod_Prop!$G:$G=$U780,Prod_Prop!$E:$E=V$1)),""Check""))=0),"""",IFERROR(unique(filter(Prod_Prop!$H:$H,Prod_Prop!$G:$G=$U780,Prod_Prop!$E:$E=V$1)),""""))"),"")</f>
        <v/>
      </c>
      <c r="W780" s="4" t="str">
        <f>IF(V780="","",SUMIFS(Prod_Prop!$J:$J,Prod_Prop!$B:$B,$Q780,Prod_Prop!$H:$H,V780,Prod_Prop!$I:$I,W$1)*IF(V780="Peso",$R780,1))</f>
        <v/>
      </c>
      <c r="X780" s="4" t="str">
        <f>IF(V780="","",SUMIFS(Prod_Prop!$J:$J,Prod_Prop!$B:$B,$Q780,Prod_Prop!$H:$H,V780,Prod_Prop!$I:$I,X$1)*IF(V780="Peso",$R780,1))</f>
        <v/>
      </c>
      <c r="Y780" s="4" t="str">
        <f>IFERROR(__xludf.DUMMYFUNCTION("IF(OR($U780="""",COUNTIF($I:$I,IFERROR(unique(filter(Prod_Prop!$H:$H,Prod_Prop!$G:$G=$U780,Prod_Prop!$E:$E=Y$1)),""Check""))=0),"""",IFERROR(unique(filter(Prod_Prop!$H:$H,Prod_Prop!$G:$G=$U780,Prod_Prop!$E:$E=Y$1)),""""))"),"")</f>
        <v/>
      </c>
      <c r="Z780" s="4" t="str">
        <f>IF(Y780="","",SUMIFS(Prod_Prop!$J:$J,Prod_Prop!$B:$B,$Q780,Prod_Prop!$H:$H,Y780,Prod_Prop!$I:$I,Z$1)*IF(Y780="Peso",$R780,1))</f>
        <v/>
      </c>
      <c r="AA780" s="4" t="str">
        <f>IF(Y780="","",SUMIFS(Prod_Prop!$J:$J,Prod_Prop!$B:$B,$Q780,Prod_Prop!$H:$H,Y780,Prod_Prop!$I:$I,AA$1)*IF(Y780="Peso",$R780,1))</f>
        <v/>
      </c>
      <c r="AB780" s="4" t="str">
        <f>IFERROR(__xludf.DUMMYFUNCTION("IF(OR($U780="""",COUNTIF($I:$I,IFERROR(unique(filter(Prod_Prop!$H:$H,Prod_Prop!$G:$G=$U780,Prod_Prop!$E:$E=AB$1)),""Check""))=0),"""",IFERROR(unique(filter(Prod_Prop!$H:$H,Prod_Prop!$G:$G=$U780,Prod_Prop!$E:$E=AB$1)),""""))"),"")</f>
        <v/>
      </c>
      <c r="AC780" s="4" t="str">
        <f>IF(AB780="","",SUMIFS(Prod_Prop!$J:$J,Prod_Prop!$B:$B,$Q780,Prod_Prop!$H:$H,AB780,Prod_Prop!$I:$I,AC$1)*IF(AB780="Peso",$R780,1))</f>
        <v/>
      </c>
      <c r="AD780" s="4" t="str">
        <f>IF(AB780="","",SUMIFS(Prod_Prop!$J:$J,Prod_Prop!$B:$B,$Q780,Prod_Prop!$H:$H,AB780,Prod_Prop!$I:$I,AD$1)*IF(AB780="Peso",$R780,1))</f>
        <v/>
      </c>
    </row>
    <row r="781">
      <c r="A781" s="4" t="str">
        <f t="array" ref="A781">IF(COUNTIF(A$1:A780,Cotizador!F$2)=maxifs(Familias!E:E,Familias!D:D,Cotizador!F$2),IF(COUNTIF(A$1:A780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1" s="4" t="str">
        <f t="shared" si="1"/>
        <v/>
      </c>
      <c r="C781" s="4" t="str">
        <f t="array" ref="C781">IF(B781="","",IF(A781=XLOOKUP(A$2,Implementos!B:B,Implementos!C:C,"",0,1),B781+maxifs(B$1:B780,A$1:A780,A$2),B781))</f>
        <v/>
      </c>
      <c r="D781" s="4" t="str">
        <f>IF(B781="","", COUNTIFS(Productos!F:F,A781,Productos!H:H,B781)+IF(F781="SI",0,1))</f>
        <v/>
      </c>
      <c r="E781" s="4" t="str">
        <f>IFERROR(__xludf.DUMMYFUNCTION("IF($B781="""","""",INDEX(filter(Familias!F:F,Familias!$D:$D=$A781,Familias!$E:$E=$B781),1))"),"")</f>
        <v/>
      </c>
      <c r="F781" s="4" t="str">
        <f>IFERROR(__xludf.DUMMYFUNCTION("IF($B781="""","""",INDEX(filter(Familias!G:G,Familias!$D:$D=$A781,Familias!$E:$E=$B781),1))"),"")</f>
        <v/>
      </c>
      <c r="G781" s="4" t="str">
        <f t="array" ref="G781">IF(C781=1,XLOOKUP(C781,Cotizador!D:D,Cotizador!E:E,"",0,1),"")</f>
        <v/>
      </c>
      <c r="I781" s="4"/>
      <c r="J781" s="8" t="str">
        <f>IF(I781="","",SUMIF(Cotizador!I$1:V$1,I781,Cotizador!I$2:V$2))</f>
        <v/>
      </c>
      <c r="L781" s="4" t="str">
        <f t="array" ref="L781">IF(COUNTIF(L$1:L780,A$2)=SUMIF(A:A,A$2,D:D),IF(COUNTIF(L$1:L780,XLOOKUP(A$2,Implementos!B:B,Implementos!C:C,"",0,1))=SUMIF(A:A,XLOOKUP(A$2,Implementos!B:B,Implementos!C:C,"",0,1),D:D),"",XLOOKUP(A$2,Implementos!B:B,Implementos!C:C,"",0,1)),A$2)</f>
        <v/>
      </c>
      <c r="M781" s="4" t="str">
        <f t="shared" si="2"/>
        <v/>
      </c>
      <c r="N781" s="4" t="str">
        <f t="shared" si="3"/>
        <v/>
      </c>
      <c r="O781" s="4" t="str">
        <f t="shared" si="4"/>
        <v/>
      </c>
      <c r="P781" s="4" t="str">
        <f t="shared" si="5"/>
        <v/>
      </c>
      <c r="Q781" s="4" t="str">
        <f>IF(U781="","",SUMIF(Productos!E:E,U781,Productos!A:A))</f>
        <v/>
      </c>
      <c r="R781" s="4" t="str">
        <f t="array" ref="R781">IF(L781="","", max(1,SUMIF(I:I,XLOOKUP(U781,Productos!E:E,Productos!G:G,"",0,1),J:J)))</f>
        <v/>
      </c>
      <c r="S781" s="4" t="str">
        <f>IF(Q781="","",IF(SUMIFS(Compat_Vetado!D:D,Compat_Vetado!B:B,SUM(G:G),Compat_Vetado!C:C,Q781)=1,"SI",IF(OR(SUMIF(Cotizador!E:E,Q781,Cotizador!G:G)&gt;0,SUMIFS(Compat_Vetado!D:D,Compat_Vetado!B:B,SUM(G:G),Compat_Vetado!C:C,Q781)=-1),"NO","")))</f>
        <v/>
      </c>
      <c r="T781" s="4" t="str">
        <f t="shared" si="6"/>
        <v/>
      </c>
      <c r="U781" s="4" t="str">
        <f>IFERROR(__xludf.DUMMYFUNCTION("IF(P781="""","""",IFERROR(INDEX(filter(Productos!E:E,Productos!F:F=L781,Productos!H:H=N781),P781),IF(M781=SUM(D:D),""Finalizar"",""-"")))"),"")</f>
        <v/>
      </c>
      <c r="V781" s="4" t="str">
        <f>IFERROR(__xludf.DUMMYFUNCTION("IF(OR($U781="""",COUNTIF($I:$I,IFERROR(unique(filter(Prod_Prop!$H:$H,Prod_Prop!$G:$G=$U781,Prod_Prop!$E:$E=V$1)),""Check""))=0),"""",IFERROR(unique(filter(Prod_Prop!$H:$H,Prod_Prop!$G:$G=$U781,Prod_Prop!$E:$E=V$1)),""""))"),"")</f>
        <v/>
      </c>
      <c r="W781" s="4" t="str">
        <f>IF(V781="","",SUMIFS(Prod_Prop!$J:$J,Prod_Prop!$B:$B,$Q781,Prod_Prop!$H:$H,V781,Prod_Prop!$I:$I,W$1)*IF(V781="Peso",$R781,1))</f>
        <v/>
      </c>
      <c r="X781" s="4" t="str">
        <f>IF(V781="","",SUMIFS(Prod_Prop!$J:$J,Prod_Prop!$B:$B,$Q781,Prod_Prop!$H:$H,V781,Prod_Prop!$I:$I,X$1)*IF(V781="Peso",$R781,1))</f>
        <v/>
      </c>
      <c r="Y781" s="4" t="str">
        <f>IFERROR(__xludf.DUMMYFUNCTION("IF(OR($U781="""",COUNTIF($I:$I,IFERROR(unique(filter(Prod_Prop!$H:$H,Prod_Prop!$G:$G=$U781,Prod_Prop!$E:$E=Y$1)),""Check""))=0),"""",IFERROR(unique(filter(Prod_Prop!$H:$H,Prod_Prop!$G:$G=$U781,Prod_Prop!$E:$E=Y$1)),""""))"),"")</f>
        <v/>
      </c>
      <c r="Z781" s="4" t="str">
        <f>IF(Y781="","",SUMIFS(Prod_Prop!$J:$J,Prod_Prop!$B:$B,$Q781,Prod_Prop!$H:$H,Y781,Prod_Prop!$I:$I,Z$1)*IF(Y781="Peso",$R781,1))</f>
        <v/>
      </c>
      <c r="AA781" s="4" t="str">
        <f>IF(Y781="","",SUMIFS(Prod_Prop!$J:$J,Prod_Prop!$B:$B,$Q781,Prod_Prop!$H:$H,Y781,Prod_Prop!$I:$I,AA$1)*IF(Y781="Peso",$R781,1))</f>
        <v/>
      </c>
      <c r="AB781" s="4" t="str">
        <f>IFERROR(__xludf.DUMMYFUNCTION("IF(OR($U781="""",COUNTIF($I:$I,IFERROR(unique(filter(Prod_Prop!$H:$H,Prod_Prop!$G:$G=$U781,Prod_Prop!$E:$E=AB$1)),""Check""))=0),"""",IFERROR(unique(filter(Prod_Prop!$H:$H,Prod_Prop!$G:$G=$U781,Prod_Prop!$E:$E=AB$1)),""""))"),"")</f>
        <v/>
      </c>
      <c r="AC781" s="4" t="str">
        <f>IF(AB781="","",SUMIFS(Prod_Prop!$J:$J,Prod_Prop!$B:$B,$Q781,Prod_Prop!$H:$H,AB781,Prod_Prop!$I:$I,AC$1)*IF(AB781="Peso",$R781,1))</f>
        <v/>
      </c>
      <c r="AD781" s="4" t="str">
        <f>IF(AB781="","",SUMIFS(Prod_Prop!$J:$J,Prod_Prop!$B:$B,$Q781,Prod_Prop!$H:$H,AB781,Prod_Prop!$I:$I,AD$1)*IF(AB781="Peso",$R781,1))</f>
        <v/>
      </c>
    </row>
    <row r="782">
      <c r="A782" s="4" t="str">
        <f t="array" ref="A782">IF(COUNTIF(A$1:A781,Cotizador!F$2)=maxifs(Familias!E:E,Familias!D:D,Cotizador!F$2),IF(COUNTIF(A$1:A781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2" s="4" t="str">
        <f t="shared" si="1"/>
        <v/>
      </c>
      <c r="C782" s="4" t="str">
        <f t="array" ref="C782">IF(B782="","",IF(A782=XLOOKUP(A$2,Implementos!B:B,Implementos!C:C,"",0,1),B782+maxifs(B$1:B781,A$1:A781,A$2),B782))</f>
        <v/>
      </c>
      <c r="D782" s="4" t="str">
        <f>IF(B782="","", COUNTIFS(Productos!F:F,A782,Productos!H:H,B782)+IF(F782="SI",0,1))</f>
        <v/>
      </c>
      <c r="E782" s="4" t="str">
        <f>IFERROR(__xludf.DUMMYFUNCTION("IF($B782="""","""",INDEX(filter(Familias!F:F,Familias!$D:$D=$A782,Familias!$E:$E=$B782),1))"),"")</f>
        <v/>
      </c>
      <c r="F782" s="4" t="str">
        <f>IFERROR(__xludf.DUMMYFUNCTION("IF($B782="""","""",INDEX(filter(Familias!G:G,Familias!$D:$D=$A782,Familias!$E:$E=$B782),1))"),"")</f>
        <v/>
      </c>
      <c r="G782" s="4" t="str">
        <f t="array" ref="G782">IF(C782=1,XLOOKUP(C782,Cotizador!D:D,Cotizador!E:E,"",0,1),"")</f>
        <v/>
      </c>
      <c r="I782" s="4"/>
      <c r="J782" s="8" t="str">
        <f>IF(I782="","",SUMIF(Cotizador!I$1:V$1,I782,Cotizador!I$2:V$2))</f>
        <v/>
      </c>
      <c r="L782" s="4" t="str">
        <f t="array" ref="L782">IF(COUNTIF(L$1:L781,A$2)=SUMIF(A:A,A$2,D:D),IF(COUNTIF(L$1:L781,XLOOKUP(A$2,Implementos!B:B,Implementos!C:C,"",0,1))=SUMIF(A:A,XLOOKUP(A$2,Implementos!B:B,Implementos!C:C,"",0,1),D:D),"",XLOOKUP(A$2,Implementos!B:B,Implementos!C:C,"",0,1)),A$2)</f>
        <v/>
      </c>
      <c r="M782" s="4" t="str">
        <f t="shared" si="2"/>
        <v/>
      </c>
      <c r="N782" s="4" t="str">
        <f t="shared" si="3"/>
        <v/>
      </c>
      <c r="O782" s="4" t="str">
        <f t="shared" si="4"/>
        <v/>
      </c>
      <c r="P782" s="4" t="str">
        <f t="shared" si="5"/>
        <v/>
      </c>
      <c r="Q782" s="4" t="str">
        <f>IF(U782="","",SUMIF(Productos!E:E,U782,Productos!A:A))</f>
        <v/>
      </c>
      <c r="R782" s="4" t="str">
        <f t="array" ref="R782">IF(L782="","", max(1,SUMIF(I:I,XLOOKUP(U782,Productos!E:E,Productos!G:G,"",0,1),J:J)))</f>
        <v/>
      </c>
      <c r="S782" s="4" t="str">
        <f>IF(Q782="","",IF(SUMIFS(Compat_Vetado!D:D,Compat_Vetado!B:B,SUM(G:G),Compat_Vetado!C:C,Q782)=1,"SI",IF(OR(SUMIF(Cotizador!E:E,Q782,Cotizador!G:G)&gt;0,SUMIFS(Compat_Vetado!D:D,Compat_Vetado!B:B,SUM(G:G),Compat_Vetado!C:C,Q782)=-1),"NO","")))</f>
        <v/>
      </c>
      <c r="T782" s="4" t="str">
        <f t="shared" si="6"/>
        <v/>
      </c>
      <c r="U782" s="4" t="str">
        <f>IFERROR(__xludf.DUMMYFUNCTION("IF(P782="""","""",IFERROR(INDEX(filter(Productos!E:E,Productos!F:F=L782,Productos!H:H=N782),P782),IF(M782=SUM(D:D),""Finalizar"",""-"")))"),"")</f>
        <v/>
      </c>
      <c r="V782" s="4" t="str">
        <f>IFERROR(__xludf.DUMMYFUNCTION("IF(OR($U782="""",COUNTIF($I:$I,IFERROR(unique(filter(Prod_Prop!$H:$H,Prod_Prop!$G:$G=$U782,Prod_Prop!$E:$E=V$1)),""Check""))=0),"""",IFERROR(unique(filter(Prod_Prop!$H:$H,Prod_Prop!$G:$G=$U782,Prod_Prop!$E:$E=V$1)),""""))"),"")</f>
        <v/>
      </c>
      <c r="W782" s="4" t="str">
        <f>IF(V782="","",SUMIFS(Prod_Prop!$J:$J,Prod_Prop!$B:$B,$Q782,Prod_Prop!$H:$H,V782,Prod_Prop!$I:$I,W$1)*IF(V782="Peso",$R782,1))</f>
        <v/>
      </c>
      <c r="X782" s="4" t="str">
        <f>IF(V782="","",SUMIFS(Prod_Prop!$J:$J,Prod_Prop!$B:$B,$Q782,Prod_Prop!$H:$H,V782,Prod_Prop!$I:$I,X$1)*IF(V782="Peso",$R782,1))</f>
        <v/>
      </c>
      <c r="Y782" s="4" t="str">
        <f>IFERROR(__xludf.DUMMYFUNCTION("IF(OR($U782="""",COUNTIF($I:$I,IFERROR(unique(filter(Prod_Prop!$H:$H,Prod_Prop!$G:$G=$U782,Prod_Prop!$E:$E=Y$1)),""Check""))=0),"""",IFERROR(unique(filter(Prod_Prop!$H:$H,Prod_Prop!$G:$G=$U782,Prod_Prop!$E:$E=Y$1)),""""))"),"")</f>
        <v/>
      </c>
      <c r="Z782" s="4" t="str">
        <f>IF(Y782="","",SUMIFS(Prod_Prop!$J:$J,Prod_Prop!$B:$B,$Q782,Prod_Prop!$H:$H,Y782,Prod_Prop!$I:$I,Z$1)*IF(Y782="Peso",$R782,1))</f>
        <v/>
      </c>
      <c r="AA782" s="4" t="str">
        <f>IF(Y782="","",SUMIFS(Prod_Prop!$J:$J,Prod_Prop!$B:$B,$Q782,Prod_Prop!$H:$H,Y782,Prod_Prop!$I:$I,AA$1)*IF(Y782="Peso",$R782,1))</f>
        <v/>
      </c>
      <c r="AB782" s="4" t="str">
        <f>IFERROR(__xludf.DUMMYFUNCTION("IF(OR($U782="""",COUNTIF($I:$I,IFERROR(unique(filter(Prod_Prop!$H:$H,Prod_Prop!$G:$G=$U782,Prod_Prop!$E:$E=AB$1)),""Check""))=0),"""",IFERROR(unique(filter(Prod_Prop!$H:$H,Prod_Prop!$G:$G=$U782,Prod_Prop!$E:$E=AB$1)),""""))"),"")</f>
        <v/>
      </c>
      <c r="AC782" s="4" t="str">
        <f>IF(AB782="","",SUMIFS(Prod_Prop!$J:$J,Prod_Prop!$B:$B,$Q782,Prod_Prop!$H:$H,AB782,Prod_Prop!$I:$I,AC$1)*IF(AB782="Peso",$R782,1))</f>
        <v/>
      </c>
      <c r="AD782" s="4" t="str">
        <f>IF(AB782="","",SUMIFS(Prod_Prop!$J:$J,Prod_Prop!$B:$B,$Q782,Prod_Prop!$H:$H,AB782,Prod_Prop!$I:$I,AD$1)*IF(AB782="Peso",$R782,1))</f>
        <v/>
      </c>
    </row>
    <row r="783">
      <c r="A783" s="4" t="str">
        <f t="array" ref="A783">IF(COUNTIF(A$1:A782,Cotizador!F$2)=maxifs(Familias!E:E,Familias!D:D,Cotizador!F$2),IF(COUNTIF(A$1:A782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3" s="4" t="str">
        <f t="shared" si="1"/>
        <v/>
      </c>
      <c r="C783" s="4" t="str">
        <f t="array" ref="C783">IF(B783="","",IF(A783=XLOOKUP(A$2,Implementos!B:B,Implementos!C:C,"",0,1),B783+maxifs(B$1:B782,A$1:A782,A$2),B783))</f>
        <v/>
      </c>
      <c r="D783" s="4" t="str">
        <f>IF(B783="","", COUNTIFS(Productos!F:F,A783,Productos!H:H,B783)+IF(F783="SI",0,1))</f>
        <v/>
      </c>
      <c r="E783" s="4" t="str">
        <f>IFERROR(__xludf.DUMMYFUNCTION("IF($B783="""","""",INDEX(filter(Familias!F:F,Familias!$D:$D=$A783,Familias!$E:$E=$B783),1))"),"")</f>
        <v/>
      </c>
      <c r="F783" s="4" t="str">
        <f>IFERROR(__xludf.DUMMYFUNCTION("IF($B783="""","""",INDEX(filter(Familias!G:G,Familias!$D:$D=$A783,Familias!$E:$E=$B783),1))"),"")</f>
        <v/>
      </c>
      <c r="G783" s="4" t="str">
        <f t="array" ref="G783">IF(C783=1,XLOOKUP(C783,Cotizador!D:D,Cotizador!E:E,"",0,1),"")</f>
        <v/>
      </c>
      <c r="I783" s="4"/>
      <c r="J783" s="8" t="str">
        <f>IF(I783="","",SUMIF(Cotizador!I$1:V$1,I783,Cotizador!I$2:V$2))</f>
        <v/>
      </c>
      <c r="L783" s="4" t="str">
        <f t="array" ref="L783">IF(COUNTIF(L$1:L782,A$2)=SUMIF(A:A,A$2,D:D),IF(COUNTIF(L$1:L782,XLOOKUP(A$2,Implementos!B:B,Implementos!C:C,"",0,1))=SUMIF(A:A,XLOOKUP(A$2,Implementos!B:B,Implementos!C:C,"",0,1),D:D),"",XLOOKUP(A$2,Implementos!B:B,Implementos!C:C,"",0,1)),A$2)</f>
        <v/>
      </c>
      <c r="M783" s="4" t="str">
        <f t="shared" si="2"/>
        <v/>
      </c>
      <c r="N783" s="4" t="str">
        <f t="shared" si="3"/>
        <v/>
      </c>
      <c r="O783" s="4" t="str">
        <f t="shared" si="4"/>
        <v/>
      </c>
      <c r="P783" s="4" t="str">
        <f t="shared" si="5"/>
        <v/>
      </c>
      <c r="Q783" s="4" t="str">
        <f>IF(U783="","",SUMIF(Productos!E:E,U783,Productos!A:A))</f>
        <v/>
      </c>
      <c r="R783" s="4" t="str">
        <f t="array" ref="R783">IF(L783="","", max(1,SUMIF(I:I,XLOOKUP(U783,Productos!E:E,Productos!G:G,"",0,1),J:J)))</f>
        <v/>
      </c>
      <c r="S783" s="4" t="str">
        <f>IF(Q783="","",IF(SUMIFS(Compat_Vetado!D:D,Compat_Vetado!B:B,SUM(G:G),Compat_Vetado!C:C,Q783)=1,"SI",IF(OR(SUMIF(Cotizador!E:E,Q783,Cotizador!G:G)&gt;0,SUMIFS(Compat_Vetado!D:D,Compat_Vetado!B:B,SUM(G:G),Compat_Vetado!C:C,Q783)=-1),"NO","")))</f>
        <v/>
      </c>
      <c r="T783" s="4" t="str">
        <f t="shared" si="6"/>
        <v/>
      </c>
      <c r="U783" s="4" t="str">
        <f>IFERROR(__xludf.DUMMYFUNCTION("IF(P783="""","""",IFERROR(INDEX(filter(Productos!E:E,Productos!F:F=L783,Productos!H:H=N783),P783),IF(M783=SUM(D:D),""Finalizar"",""-"")))"),"")</f>
        <v/>
      </c>
      <c r="V783" s="4" t="str">
        <f>IFERROR(__xludf.DUMMYFUNCTION("IF(OR($U783="""",COUNTIF($I:$I,IFERROR(unique(filter(Prod_Prop!$H:$H,Prod_Prop!$G:$G=$U783,Prod_Prop!$E:$E=V$1)),""Check""))=0),"""",IFERROR(unique(filter(Prod_Prop!$H:$H,Prod_Prop!$G:$G=$U783,Prod_Prop!$E:$E=V$1)),""""))"),"")</f>
        <v/>
      </c>
      <c r="W783" s="4" t="str">
        <f>IF(V783="","",SUMIFS(Prod_Prop!$J:$J,Prod_Prop!$B:$B,$Q783,Prod_Prop!$H:$H,V783,Prod_Prop!$I:$I,W$1)*IF(V783="Peso",$R783,1))</f>
        <v/>
      </c>
      <c r="X783" s="4" t="str">
        <f>IF(V783="","",SUMIFS(Prod_Prop!$J:$J,Prod_Prop!$B:$B,$Q783,Prod_Prop!$H:$H,V783,Prod_Prop!$I:$I,X$1)*IF(V783="Peso",$R783,1))</f>
        <v/>
      </c>
      <c r="Y783" s="4" t="str">
        <f>IFERROR(__xludf.DUMMYFUNCTION("IF(OR($U783="""",COUNTIF($I:$I,IFERROR(unique(filter(Prod_Prop!$H:$H,Prod_Prop!$G:$G=$U783,Prod_Prop!$E:$E=Y$1)),""Check""))=0),"""",IFERROR(unique(filter(Prod_Prop!$H:$H,Prod_Prop!$G:$G=$U783,Prod_Prop!$E:$E=Y$1)),""""))"),"")</f>
        <v/>
      </c>
      <c r="Z783" s="4" t="str">
        <f>IF(Y783="","",SUMIFS(Prod_Prop!$J:$J,Prod_Prop!$B:$B,$Q783,Prod_Prop!$H:$H,Y783,Prod_Prop!$I:$I,Z$1)*IF(Y783="Peso",$R783,1))</f>
        <v/>
      </c>
      <c r="AA783" s="4" t="str">
        <f>IF(Y783="","",SUMIFS(Prod_Prop!$J:$J,Prod_Prop!$B:$B,$Q783,Prod_Prop!$H:$H,Y783,Prod_Prop!$I:$I,AA$1)*IF(Y783="Peso",$R783,1))</f>
        <v/>
      </c>
      <c r="AB783" s="4" t="str">
        <f>IFERROR(__xludf.DUMMYFUNCTION("IF(OR($U783="""",COUNTIF($I:$I,IFERROR(unique(filter(Prod_Prop!$H:$H,Prod_Prop!$G:$G=$U783,Prod_Prop!$E:$E=AB$1)),""Check""))=0),"""",IFERROR(unique(filter(Prod_Prop!$H:$H,Prod_Prop!$G:$G=$U783,Prod_Prop!$E:$E=AB$1)),""""))"),"")</f>
        <v/>
      </c>
      <c r="AC783" s="4" t="str">
        <f>IF(AB783="","",SUMIFS(Prod_Prop!$J:$J,Prod_Prop!$B:$B,$Q783,Prod_Prop!$H:$H,AB783,Prod_Prop!$I:$I,AC$1)*IF(AB783="Peso",$R783,1))</f>
        <v/>
      </c>
      <c r="AD783" s="4" t="str">
        <f>IF(AB783="","",SUMIFS(Prod_Prop!$J:$J,Prod_Prop!$B:$B,$Q783,Prod_Prop!$H:$H,AB783,Prod_Prop!$I:$I,AD$1)*IF(AB783="Peso",$R783,1))</f>
        <v/>
      </c>
    </row>
    <row r="784">
      <c r="A784" s="4" t="str">
        <f t="array" ref="A784">IF(COUNTIF(A$1:A783,Cotizador!F$2)=maxifs(Familias!E:E,Familias!D:D,Cotizador!F$2),IF(COUNTIF(A$1:A783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4" s="4" t="str">
        <f t="shared" si="1"/>
        <v/>
      </c>
      <c r="C784" s="4" t="str">
        <f t="array" ref="C784">IF(B784="","",IF(A784=XLOOKUP(A$2,Implementos!B:B,Implementos!C:C,"",0,1),B784+maxifs(B$1:B783,A$1:A783,A$2),B784))</f>
        <v/>
      </c>
      <c r="D784" s="4" t="str">
        <f>IF(B784="","", COUNTIFS(Productos!F:F,A784,Productos!H:H,B784)+IF(F784="SI",0,1))</f>
        <v/>
      </c>
      <c r="E784" s="4" t="str">
        <f>IFERROR(__xludf.DUMMYFUNCTION("IF($B784="""","""",INDEX(filter(Familias!F:F,Familias!$D:$D=$A784,Familias!$E:$E=$B784),1))"),"")</f>
        <v/>
      </c>
      <c r="F784" s="4" t="str">
        <f>IFERROR(__xludf.DUMMYFUNCTION("IF($B784="""","""",INDEX(filter(Familias!G:G,Familias!$D:$D=$A784,Familias!$E:$E=$B784),1))"),"")</f>
        <v/>
      </c>
      <c r="G784" s="4" t="str">
        <f t="array" ref="G784">IF(C784=1,XLOOKUP(C784,Cotizador!D:D,Cotizador!E:E,"",0,1),"")</f>
        <v/>
      </c>
      <c r="I784" s="4"/>
      <c r="J784" s="8" t="str">
        <f>IF(I784="","",SUMIF(Cotizador!I$1:V$1,I784,Cotizador!I$2:V$2))</f>
        <v/>
      </c>
      <c r="L784" s="4" t="str">
        <f t="array" ref="L784">IF(COUNTIF(L$1:L783,A$2)=SUMIF(A:A,A$2,D:D),IF(COUNTIF(L$1:L783,XLOOKUP(A$2,Implementos!B:B,Implementos!C:C,"",0,1))=SUMIF(A:A,XLOOKUP(A$2,Implementos!B:B,Implementos!C:C,"",0,1),D:D),"",XLOOKUP(A$2,Implementos!B:B,Implementos!C:C,"",0,1)),A$2)</f>
        <v/>
      </c>
      <c r="M784" s="4" t="str">
        <f t="shared" si="2"/>
        <v/>
      </c>
      <c r="N784" s="4" t="str">
        <f t="shared" si="3"/>
        <v/>
      </c>
      <c r="O784" s="4" t="str">
        <f t="shared" si="4"/>
        <v/>
      </c>
      <c r="P784" s="4" t="str">
        <f t="shared" si="5"/>
        <v/>
      </c>
      <c r="Q784" s="4" t="str">
        <f>IF(U784="","",SUMIF(Productos!E:E,U784,Productos!A:A))</f>
        <v/>
      </c>
      <c r="R784" s="4" t="str">
        <f t="array" ref="R784">IF(L784="","", max(1,SUMIF(I:I,XLOOKUP(U784,Productos!E:E,Productos!G:G,"",0,1),J:J)))</f>
        <v/>
      </c>
      <c r="S784" s="4" t="str">
        <f>IF(Q784="","",IF(SUMIFS(Compat_Vetado!D:D,Compat_Vetado!B:B,SUM(G:G),Compat_Vetado!C:C,Q784)=1,"SI",IF(OR(SUMIF(Cotizador!E:E,Q784,Cotizador!G:G)&gt;0,SUMIFS(Compat_Vetado!D:D,Compat_Vetado!B:B,SUM(G:G),Compat_Vetado!C:C,Q784)=-1),"NO","")))</f>
        <v/>
      </c>
      <c r="T784" s="4" t="str">
        <f t="shared" si="6"/>
        <v/>
      </c>
      <c r="U784" s="4" t="str">
        <f>IFERROR(__xludf.DUMMYFUNCTION("IF(P784="""","""",IFERROR(INDEX(filter(Productos!E:E,Productos!F:F=L784,Productos!H:H=N784),P784),IF(M784=SUM(D:D),""Finalizar"",""-"")))"),"")</f>
        <v/>
      </c>
      <c r="V784" s="4" t="str">
        <f>IFERROR(__xludf.DUMMYFUNCTION("IF(OR($U784="""",COUNTIF($I:$I,IFERROR(unique(filter(Prod_Prop!$H:$H,Prod_Prop!$G:$G=$U784,Prod_Prop!$E:$E=V$1)),""Check""))=0),"""",IFERROR(unique(filter(Prod_Prop!$H:$H,Prod_Prop!$G:$G=$U784,Prod_Prop!$E:$E=V$1)),""""))"),"")</f>
        <v/>
      </c>
      <c r="W784" s="4" t="str">
        <f>IF(V784="","",SUMIFS(Prod_Prop!$J:$J,Prod_Prop!$B:$B,$Q784,Prod_Prop!$H:$H,V784,Prod_Prop!$I:$I,W$1)*IF(V784="Peso",$R784,1))</f>
        <v/>
      </c>
      <c r="X784" s="4" t="str">
        <f>IF(V784="","",SUMIFS(Prod_Prop!$J:$J,Prod_Prop!$B:$B,$Q784,Prod_Prop!$H:$H,V784,Prod_Prop!$I:$I,X$1)*IF(V784="Peso",$R784,1))</f>
        <v/>
      </c>
      <c r="Y784" s="4" t="str">
        <f>IFERROR(__xludf.DUMMYFUNCTION("IF(OR($U784="""",COUNTIF($I:$I,IFERROR(unique(filter(Prod_Prop!$H:$H,Prod_Prop!$G:$G=$U784,Prod_Prop!$E:$E=Y$1)),""Check""))=0),"""",IFERROR(unique(filter(Prod_Prop!$H:$H,Prod_Prop!$G:$G=$U784,Prod_Prop!$E:$E=Y$1)),""""))"),"")</f>
        <v/>
      </c>
      <c r="Z784" s="4" t="str">
        <f>IF(Y784="","",SUMIFS(Prod_Prop!$J:$J,Prod_Prop!$B:$B,$Q784,Prod_Prop!$H:$H,Y784,Prod_Prop!$I:$I,Z$1)*IF(Y784="Peso",$R784,1))</f>
        <v/>
      </c>
      <c r="AA784" s="4" t="str">
        <f>IF(Y784="","",SUMIFS(Prod_Prop!$J:$J,Prod_Prop!$B:$B,$Q784,Prod_Prop!$H:$H,Y784,Prod_Prop!$I:$I,AA$1)*IF(Y784="Peso",$R784,1))</f>
        <v/>
      </c>
      <c r="AB784" s="4" t="str">
        <f>IFERROR(__xludf.DUMMYFUNCTION("IF(OR($U784="""",COUNTIF($I:$I,IFERROR(unique(filter(Prod_Prop!$H:$H,Prod_Prop!$G:$G=$U784,Prod_Prop!$E:$E=AB$1)),""Check""))=0),"""",IFERROR(unique(filter(Prod_Prop!$H:$H,Prod_Prop!$G:$G=$U784,Prod_Prop!$E:$E=AB$1)),""""))"),"")</f>
        <v/>
      </c>
      <c r="AC784" s="4" t="str">
        <f>IF(AB784="","",SUMIFS(Prod_Prop!$J:$J,Prod_Prop!$B:$B,$Q784,Prod_Prop!$H:$H,AB784,Prod_Prop!$I:$I,AC$1)*IF(AB784="Peso",$R784,1))</f>
        <v/>
      </c>
      <c r="AD784" s="4" t="str">
        <f>IF(AB784="","",SUMIFS(Prod_Prop!$J:$J,Prod_Prop!$B:$B,$Q784,Prod_Prop!$H:$H,AB784,Prod_Prop!$I:$I,AD$1)*IF(AB784="Peso",$R784,1))</f>
        <v/>
      </c>
    </row>
    <row r="785">
      <c r="A785" s="4" t="str">
        <f t="array" ref="A785">IF(COUNTIF(A$1:A784,Cotizador!F$2)=maxifs(Familias!E:E,Familias!D:D,Cotizador!F$2),IF(COUNTIF(A$1:A784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5" s="4" t="str">
        <f t="shared" si="1"/>
        <v/>
      </c>
      <c r="C785" s="4" t="str">
        <f t="array" ref="C785">IF(B785="","",IF(A785=XLOOKUP(A$2,Implementos!B:B,Implementos!C:C,"",0,1),B785+maxifs(B$1:B784,A$1:A784,A$2),B785))</f>
        <v/>
      </c>
      <c r="D785" s="4" t="str">
        <f>IF(B785="","", COUNTIFS(Productos!F:F,A785,Productos!H:H,B785)+IF(F785="SI",0,1))</f>
        <v/>
      </c>
      <c r="E785" s="4" t="str">
        <f>IFERROR(__xludf.DUMMYFUNCTION("IF($B785="""","""",INDEX(filter(Familias!F:F,Familias!$D:$D=$A785,Familias!$E:$E=$B785),1))"),"")</f>
        <v/>
      </c>
      <c r="F785" s="4" t="str">
        <f>IFERROR(__xludf.DUMMYFUNCTION("IF($B785="""","""",INDEX(filter(Familias!G:G,Familias!$D:$D=$A785,Familias!$E:$E=$B785),1))"),"")</f>
        <v/>
      </c>
      <c r="G785" s="4" t="str">
        <f t="array" ref="G785">IF(C785=1,XLOOKUP(C785,Cotizador!D:D,Cotizador!E:E,"",0,1),"")</f>
        <v/>
      </c>
      <c r="I785" s="4"/>
      <c r="J785" s="8" t="str">
        <f>IF(I785="","",SUMIF(Cotizador!I$1:V$1,I785,Cotizador!I$2:V$2))</f>
        <v/>
      </c>
      <c r="L785" s="4" t="str">
        <f t="array" ref="L785">IF(COUNTIF(L$1:L784,A$2)=SUMIF(A:A,A$2,D:D),IF(COUNTIF(L$1:L784,XLOOKUP(A$2,Implementos!B:B,Implementos!C:C,"",0,1))=SUMIF(A:A,XLOOKUP(A$2,Implementos!B:B,Implementos!C:C,"",0,1),D:D),"",XLOOKUP(A$2,Implementos!B:B,Implementos!C:C,"",0,1)),A$2)</f>
        <v/>
      </c>
      <c r="M785" s="4" t="str">
        <f t="shared" si="2"/>
        <v/>
      </c>
      <c r="N785" s="4" t="str">
        <f t="shared" si="3"/>
        <v/>
      </c>
      <c r="O785" s="4" t="str">
        <f t="shared" si="4"/>
        <v/>
      </c>
      <c r="P785" s="4" t="str">
        <f t="shared" si="5"/>
        <v/>
      </c>
      <c r="Q785" s="4" t="str">
        <f>IF(U785="","",SUMIF(Productos!E:E,U785,Productos!A:A))</f>
        <v/>
      </c>
      <c r="R785" s="4" t="str">
        <f t="array" ref="R785">IF(L785="","", max(1,SUMIF(I:I,XLOOKUP(U785,Productos!E:E,Productos!G:G,"",0,1),J:J)))</f>
        <v/>
      </c>
      <c r="S785" s="4" t="str">
        <f>IF(Q785="","",IF(SUMIFS(Compat_Vetado!D:D,Compat_Vetado!B:B,SUM(G:G),Compat_Vetado!C:C,Q785)=1,"SI",IF(OR(SUMIF(Cotizador!E:E,Q785,Cotizador!G:G)&gt;0,SUMIFS(Compat_Vetado!D:D,Compat_Vetado!B:B,SUM(G:G),Compat_Vetado!C:C,Q785)=-1),"NO","")))</f>
        <v/>
      </c>
      <c r="T785" s="4" t="str">
        <f t="shared" si="6"/>
        <v/>
      </c>
      <c r="U785" s="4" t="str">
        <f>IFERROR(__xludf.DUMMYFUNCTION("IF(P785="""","""",IFERROR(INDEX(filter(Productos!E:E,Productos!F:F=L785,Productos!H:H=N785),P785),IF(M785=SUM(D:D),""Finalizar"",""-"")))"),"")</f>
        <v/>
      </c>
      <c r="V785" s="4" t="str">
        <f>IFERROR(__xludf.DUMMYFUNCTION("IF(OR($U785="""",COUNTIF($I:$I,IFERROR(unique(filter(Prod_Prop!$H:$H,Prod_Prop!$G:$G=$U785,Prod_Prop!$E:$E=V$1)),""Check""))=0),"""",IFERROR(unique(filter(Prod_Prop!$H:$H,Prod_Prop!$G:$G=$U785,Prod_Prop!$E:$E=V$1)),""""))"),"")</f>
        <v/>
      </c>
      <c r="W785" s="4" t="str">
        <f>IF(V785="","",SUMIFS(Prod_Prop!$J:$J,Prod_Prop!$B:$B,$Q785,Prod_Prop!$H:$H,V785,Prod_Prop!$I:$I,W$1)*IF(V785="Peso",$R785,1))</f>
        <v/>
      </c>
      <c r="X785" s="4" t="str">
        <f>IF(V785="","",SUMIFS(Prod_Prop!$J:$J,Prod_Prop!$B:$B,$Q785,Prod_Prop!$H:$H,V785,Prod_Prop!$I:$I,X$1)*IF(V785="Peso",$R785,1))</f>
        <v/>
      </c>
      <c r="Y785" s="4" t="str">
        <f>IFERROR(__xludf.DUMMYFUNCTION("IF(OR($U785="""",COUNTIF($I:$I,IFERROR(unique(filter(Prod_Prop!$H:$H,Prod_Prop!$G:$G=$U785,Prod_Prop!$E:$E=Y$1)),""Check""))=0),"""",IFERROR(unique(filter(Prod_Prop!$H:$H,Prod_Prop!$G:$G=$U785,Prod_Prop!$E:$E=Y$1)),""""))"),"")</f>
        <v/>
      </c>
      <c r="Z785" s="4" t="str">
        <f>IF(Y785="","",SUMIFS(Prod_Prop!$J:$J,Prod_Prop!$B:$B,$Q785,Prod_Prop!$H:$H,Y785,Prod_Prop!$I:$I,Z$1)*IF(Y785="Peso",$R785,1))</f>
        <v/>
      </c>
      <c r="AA785" s="4" t="str">
        <f>IF(Y785="","",SUMIFS(Prod_Prop!$J:$J,Prod_Prop!$B:$B,$Q785,Prod_Prop!$H:$H,Y785,Prod_Prop!$I:$I,AA$1)*IF(Y785="Peso",$R785,1))</f>
        <v/>
      </c>
      <c r="AB785" s="4" t="str">
        <f>IFERROR(__xludf.DUMMYFUNCTION("IF(OR($U785="""",COUNTIF($I:$I,IFERROR(unique(filter(Prod_Prop!$H:$H,Prod_Prop!$G:$G=$U785,Prod_Prop!$E:$E=AB$1)),""Check""))=0),"""",IFERROR(unique(filter(Prod_Prop!$H:$H,Prod_Prop!$G:$G=$U785,Prod_Prop!$E:$E=AB$1)),""""))"),"")</f>
        <v/>
      </c>
      <c r="AC785" s="4" t="str">
        <f>IF(AB785="","",SUMIFS(Prod_Prop!$J:$J,Prod_Prop!$B:$B,$Q785,Prod_Prop!$H:$H,AB785,Prod_Prop!$I:$I,AC$1)*IF(AB785="Peso",$R785,1))</f>
        <v/>
      </c>
      <c r="AD785" s="4" t="str">
        <f>IF(AB785="","",SUMIFS(Prod_Prop!$J:$J,Prod_Prop!$B:$B,$Q785,Prod_Prop!$H:$H,AB785,Prod_Prop!$I:$I,AD$1)*IF(AB785="Peso",$R785,1))</f>
        <v/>
      </c>
    </row>
    <row r="786">
      <c r="A786" s="4" t="str">
        <f t="array" ref="A786">IF(COUNTIF(A$1:A785,Cotizador!F$2)=maxifs(Familias!E:E,Familias!D:D,Cotizador!F$2),IF(COUNTIF(A$1:A785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6" s="4" t="str">
        <f t="shared" si="1"/>
        <v/>
      </c>
      <c r="C786" s="4" t="str">
        <f t="array" ref="C786">IF(B786="","",IF(A786=XLOOKUP(A$2,Implementos!B:B,Implementos!C:C,"",0,1),B786+maxifs(B$1:B785,A$1:A785,A$2),B786))</f>
        <v/>
      </c>
      <c r="D786" s="4" t="str">
        <f>IF(B786="","", COUNTIFS(Productos!F:F,A786,Productos!H:H,B786)+IF(F786="SI",0,1))</f>
        <v/>
      </c>
      <c r="E786" s="4" t="str">
        <f>IFERROR(__xludf.DUMMYFUNCTION("IF($B786="""","""",INDEX(filter(Familias!F:F,Familias!$D:$D=$A786,Familias!$E:$E=$B786),1))"),"")</f>
        <v/>
      </c>
      <c r="F786" s="4" t="str">
        <f>IFERROR(__xludf.DUMMYFUNCTION("IF($B786="""","""",INDEX(filter(Familias!G:G,Familias!$D:$D=$A786,Familias!$E:$E=$B786),1))"),"")</f>
        <v/>
      </c>
      <c r="G786" s="4" t="str">
        <f t="array" ref="G786">IF(C786=1,XLOOKUP(C786,Cotizador!D:D,Cotizador!E:E,"",0,1),"")</f>
        <v/>
      </c>
      <c r="I786" s="4"/>
      <c r="J786" s="8" t="str">
        <f>IF(I786="","",SUMIF(Cotizador!I$1:V$1,I786,Cotizador!I$2:V$2))</f>
        <v/>
      </c>
      <c r="L786" s="4" t="str">
        <f t="array" ref="L786">IF(COUNTIF(L$1:L785,A$2)=SUMIF(A:A,A$2,D:D),IF(COUNTIF(L$1:L785,XLOOKUP(A$2,Implementos!B:B,Implementos!C:C,"",0,1))=SUMIF(A:A,XLOOKUP(A$2,Implementos!B:B,Implementos!C:C,"",0,1),D:D),"",XLOOKUP(A$2,Implementos!B:B,Implementos!C:C,"",0,1)),A$2)</f>
        <v/>
      </c>
      <c r="M786" s="4" t="str">
        <f t="shared" si="2"/>
        <v/>
      </c>
      <c r="N786" s="4" t="str">
        <f t="shared" si="3"/>
        <v/>
      </c>
      <c r="O786" s="4" t="str">
        <f t="shared" si="4"/>
        <v/>
      </c>
      <c r="P786" s="4" t="str">
        <f t="shared" si="5"/>
        <v/>
      </c>
      <c r="Q786" s="4" t="str">
        <f>IF(U786="","",SUMIF(Productos!E:E,U786,Productos!A:A))</f>
        <v/>
      </c>
      <c r="R786" s="4" t="str">
        <f t="array" ref="R786">IF(L786="","", max(1,SUMIF(I:I,XLOOKUP(U786,Productos!E:E,Productos!G:G,"",0,1),J:J)))</f>
        <v/>
      </c>
      <c r="S786" s="4" t="str">
        <f>IF(Q786="","",IF(SUMIFS(Compat_Vetado!D:D,Compat_Vetado!B:B,SUM(G:G),Compat_Vetado!C:C,Q786)=1,"SI",IF(OR(SUMIF(Cotizador!E:E,Q786,Cotizador!G:G)&gt;0,SUMIFS(Compat_Vetado!D:D,Compat_Vetado!B:B,SUM(G:G),Compat_Vetado!C:C,Q786)=-1),"NO","")))</f>
        <v/>
      </c>
      <c r="T786" s="4" t="str">
        <f t="shared" si="6"/>
        <v/>
      </c>
      <c r="U786" s="4" t="str">
        <f>IFERROR(__xludf.DUMMYFUNCTION("IF(P786="""","""",IFERROR(INDEX(filter(Productos!E:E,Productos!F:F=L786,Productos!H:H=N786),P786),IF(M786=SUM(D:D),""Finalizar"",""-"")))"),"")</f>
        <v/>
      </c>
      <c r="V786" s="4" t="str">
        <f>IFERROR(__xludf.DUMMYFUNCTION("IF(OR($U786="""",COUNTIF($I:$I,IFERROR(unique(filter(Prod_Prop!$H:$H,Prod_Prop!$G:$G=$U786,Prod_Prop!$E:$E=V$1)),""Check""))=0),"""",IFERROR(unique(filter(Prod_Prop!$H:$H,Prod_Prop!$G:$G=$U786,Prod_Prop!$E:$E=V$1)),""""))"),"")</f>
        <v/>
      </c>
      <c r="W786" s="4" t="str">
        <f>IF(V786="","",SUMIFS(Prod_Prop!$J:$J,Prod_Prop!$B:$B,$Q786,Prod_Prop!$H:$H,V786,Prod_Prop!$I:$I,W$1)*IF(V786="Peso",$R786,1))</f>
        <v/>
      </c>
      <c r="X786" s="4" t="str">
        <f>IF(V786="","",SUMIFS(Prod_Prop!$J:$J,Prod_Prop!$B:$B,$Q786,Prod_Prop!$H:$H,V786,Prod_Prop!$I:$I,X$1)*IF(V786="Peso",$R786,1))</f>
        <v/>
      </c>
      <c r="Y786" s="4" t="str">
        <f>IFERROR(__xludf.DUMMYFUNCTION("IF(OR($U786="""",COUNTIF($I:$I,IFERROR(unique(filter(Prod_Prop!$H:$H,Prod_Prop!$G:$G=$U786,Prod_Prop!$E:$E=Y$1)),""Check""))=0),"""",IFERROR(unique(filter(Prod_Prop!$H:$H,Prod_Prop!$G:$G=$U786,Prod_Prop!$E:$E=Y$1)),""""))"),"")</f>
        <v/>
      </c>
      <c r="Z786" s="4" t="str">
        <f>IF(Y786="","",SUMIFS(Prod_Prop!$J:$J,Prod_Prop!$B:$B,$Q786,Prod_Prop!$H:$H,Y786,Prod_Prop!$I:$I,Z$1)*IF(Y786="Peso",$R786,1))</f>
        <v/>
      </c>
      <c r="AA786" s="4" t="str">
        <f>IF(Y786="","",SUMIFS(Prod_Prop!$J:$J,Prod_Prop!$B:$B,$Q786,Prod_Prop!$H:$H,Y786,Prod_Prop!$I:$I,AA$1)*IF(Y786="Peso",$R786,1))</f>
        <v/>
      </c>
      <c r="AB786" s="4" t="str">
        <f>IFERROR(__xludf.DUMMYFUNCTION("IF(OR($U786="""",COUNTIF($I:$I,IFERROR(unique(filter(Prod_Prop!$H:$H,Prod_Prop!$G:$G=$U786,Prod_Prop!$E:$E=AB$1)),""Check""))=0),"""",IFERROR(unique(filter(Prod_Prop!$H:$H,Prod_Prop!$G:$G=$U786,Prod_Prop!$E:$E=AB$1)),""""))"),"")</f>
        <v/>
      </c>
      <c r="AC786" s="4" t="str">
        <f>IF(AB786="","",SUMIFS(Prod_Prop!$J:$J,Prod_Prop!$B:$B,$Q786,Prod_Prop!$H:$H,AB786,Prod_Prop!$I:$I,AC$1)*IF(AB786="Peso",$R786,1))</f>
        <v/>
      </c>
      <c r="AD786" s="4" t="str">
        <f>IF(AB786="","",SUMIFS(Prod_Prop!$J:$J,Prod_Prop!$B:$B,$Q786,Prod_Prop!$H:$H,AB786,Prod_Prop!$I:$I,AD$1)*IF(AB786="Peso",$R786,1))</f>
        <v/>
      </c>
    </row>
    <row r="787">
      <c r="A787" s="4" t="str">
        <f t="array" ref="A787">IF(COUNTIF(A$1:A786,Cotizador!F$2)=maxifs(Familias!E:E,Familias!D:D,Cotizador!F$2),IF(COUNTIF(A$1:A786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7" s="4" t="str">
        <f t="shared" si="1"/>
        <v/>
      </c>
      <c r="C787" s="4" t="str">
        <f t="array" ref="C787">IF(B787="","",IF(A787=XLOOKUP(A$2,Implementos!B:B,Implementos!C:C,"",0,1),B787+maxifs(B$1:B786,A$1:A786,A$2),B787))</f>
        <v/>
      </c>
      <c r="D787" s="4" t="str">
        <f>IF(B787="","", COUNTIFS(Productos!F:F,A787,Productos!H:H,B787)+IF(F787="SI",0,1))</f>
        <v/>
      </c>
      <c r="E787" s="4" t="str">
        <f>IFERROR(__xludf.DUMMYFUNCTION("IF($B787="""","""",INDEX(filter(Familias!F:F,Familias!$D:$D=$A787,Familias!$E:$E=$B787),1))"),"")</f>
        <v/>
      </c>
      <c r="F787" s="4" t="str">
        <f>IFERROR(__xludf.DUMMYFUNCTION("IF($B787="""","""",INDEX(filter(Familias!G:G,Familias!$D:$D=$A787,Familias!$E:$E=$B787),1))"),"")</f>
        <v/>
      </c>
      <c r="G787" s="4" t="str">
        <f t="array" ref="G787">IF(C787=1,XLOOKUP(C787,Cotizador!D:D,Cotizador!E:E,"",0,1),"")</f>
        <v/>
      </c>
      <c r="I787" s="4"/>
      <c r="J787" s="8" t="str">
        <f>IF(I787="","",SUMIF(Cotizador!I$1:V$1,I787,Cotizador!I$2:V$2))</f>
        <v/>
      </c>
      <c r="L787" s="4" t="str">
        <f t="array" ref="L787">IF(COUNTIF(L$1:L786,A$2)=SUMIF(A:A,A$2,D:D),IF(COUNTIF(L$1:L786,XLOOKUP(A$2,Implementos!B:B,Implementos!C:C,"",0,1))=SUMIF(A:A,XLOOKUP(A$2,Implementos!B:B,Implementos!C:C,"",0,1),D:D),"",XLOOKUP(A$2,Implementos!B:B,Implementos!C:C,"",0,1)),A$2)</f>
        <v/>
      </c>
      <c r="M787" s="4" t="str">
        <f t="shared" si="2"/>
        <v/>
      </c>
      <c r="N787" s="4" t="str">
        <f t="shared" si="3"/>
        <v/>
      </c>
      <c r="O787" s="4" t="str">
        <f t="shared" si="4"/>
        <v/>
      </c>
      <c r="P787" s="4" t="str">
        <f t="shared" si="5"/>
        <v/>
      </c>
      <c r="Q787" s="4" t="str">
        <f>IF(U787="","",SUMIF(Productos!E:E,U787,Productos!A:A))</f>
        <v/>
      </c>
      <c r="R787" s="4" t="str">
        <f t="array" ref="R787">IF(L787="","", max(1,SUMIF(I:I,XLOOKUP(U787,Productos!E:E,Productos!G:G,"",0,1),J:J)))</f>
        <v/>
      </c>
      <c r="S787" s="4" t="str">
        <f>IF(Q787="","",IF(SUMIFS(Compat_Vetado!D:D,Compat_Vetado!B:B,SUM(G:G),Compat_Vetado!C:C,Q787)=1,"SI",IF(OR(SUMIF(Cotizador!E:E,Q787,Cotizador!G:G)&gt;0,SUMIFS(Compat_Vetado!D:D,Compat_Vetado!B:B,SUM(G:G),Compat_Vetado!C:C,Q787)=-1),"NO","")))</f>
        <v/>
      </c>
      <c r="T787" s="4" t="str">
        <f t="shared" si="6"/>
        <v/>
      </c>
      <c r="U787" s="4" t="str">
        <f>IFERROR(__xludf.DUMMYFUNCTION("IF(P787="""","""",IFERROR(INDEX(filter(Productos!E:E,Productos!F:F=L787,Productos!H:H=N787),P787),IF(M787=SUM(D:D),""Finalizar"",""-"")))"),"")</f>
        <v/>
      </c>
      <c r="V787" s="4" t="str">
        <f>IFERROR(__xludf.DUMMYFUNCTION("IF(OR($U787="""",COUNTIF($I:$I,IFERROR(unique(filter(Prod_Prop!$H:$H,Prod_Prop!$G:$G=$U787,Prod_Prop!$E:$E=V$1)),""Check""))=0),"""",IFERROR(unique(filter(Prod_Prop!$H:$H,Prod_Prop!$G:$G=$U787,Prod_Prop!$E:$E=V$1)),""""))"),"")</f>
        <v/>
      </c>
      <c r="W787" s="4" t="str">
        <f>IF(V787="","",SUMIFS(Prod_Prop!$J:$J,Prod_Prop!$B:$B,$Q787,Prod_Prop!$H:$H,V787,Prod_Prop!$I:$I,W$1)*IF(V787="Peso",$R787,1))</f>
        <v/>
      </c>
      <c r="X787" s="4" t="str">
        <f>IF(V787="","",SUMIFS(Prod_Prop!$J:$J,Prod_Prop!$B:$B,$Q787,Prod_Prop!$H:$H,V787,Prod_Prop!$I:$I,X$1)*IF(V787="Peso",$R787,1))</f>
        <v/>
      </c>
      <c r="Y787" s="4" t="str">
        <f>IFERROR(__xludf.DUMMYFUNCTION("IF(OR($U787="""",COUNTIF($I:$I,IFERROR(unique(filter(Prod_Prop!$H:$H,Prod_Prop!$G:$G=$U787,Prod_Prop!$E:$E=Y$1)),""Check""))=0),"""",IFERROR(unique(filter(Prod_Prop!$H:$H,Prod_Prop!$G:$G=$U787,Prod_Prop!$E:$E=Y$1)),""""))"),"")</f>
        <v/>
      </c>
      <c r="Z787" s="4" t="str">
        <f>IF(Y787="","",SUMIFS(Prod_Prop!$J:$J,Prod_Prop!$B:$B,$Q787,Prod_Prop!$H:$H,Y787,Prod_Prop!$I:$I,Z$1)*IF(Y787="Peso",$R787,1))</f>
        <v/>
      </c>
      <c r="AA787" s="4" t="str">
        <f>IF(Y787="","",SUMIFS(Prod_Prop!$J:$J,Prod_Prop!$B:$B,$Q787,Prod_Prop!$H:$H,Y787,Prod_Prop!$I:$I,AA$1)*IF(Y787="Peso",$R787,1))</f>
        <v/>
      </c>
      <c r="AB787" s="4" t="str">
        <f>IFERROR(__xludf.DUMMYFUNCTION("IF(OR($U787="""",COUNTIF($I:$I,IFERROR(unique(filter(Prod_Prop!$H:$H,Prod_Prop!$G:$G=$U787,Prod_Prop!$E:$E=AB$1)),""Check""))=0),"""",IFERROR(unique(filter(Prod_Prop!$H:$H,Prod_Prop!$G:$G=$U787,Prod_Prop!$E:$E=AB$1)),""""))"),"")</f>
        <v/>
      </c>
      <c r="AC787" s="4" t="str">
        <f>IF(AB787="","",SUMIFS(Prod_Prop!$J:$J,Prod_Prop!$B:$B,$Q787,Prod_Prop!$H:$H,AB787,Prod_Prop!$I:$I,AC$1)*IF(AB787="Peso",$R787,1))</f>
        <v/>
      </c>
      <c r="AD787" s="4" t="str">
        <f>IF(AB787="","",SUMIFS(Prod_Prop!$J:$J,Prod_Prop!$B:$B,$Q787,Prod_Prop!$H:$H,AB787,Prod_Prop!$I:$I,AD$1)*IF(AB787="Peso",$R787,1))</f>
        <v/>
      </c>
    </row>
    <row r="788">
      <c r="A788" s="4" t="str">
        <f t="array" ref="A788">IF(COUNTIF(A$1:A787,Cotizador!F$2)=maxifs(Familias!E:E,Familias!D:D,Cotizador!F$2),IF(COUNTIF(A$1:A787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8" s="4" t="str">
        <f t="shared" si="1"/>
        <v/>
      </c>
      <c r="C788" s="4" t="str">
        <f t="array" ref="C788">IF(B788="","",IF(A788=XLOOKUP(A$2,Implementos!B:B,Implementos!C:C,"",0,1),B788+maxifs(B$1:B787,A$1:A787,A$2),B788))</f>
        <v/>
      </c>
      <c r="D788" s="4" t="str">
        <f>IF(B788="","", COUNTIFS(Productos!F:F,A788,Productos!H:H,B788)+IF(F788="SI",0,1))</f>
        <v/>
      </c>
      <c r="E788" s="4" t="str">
        <f>IFERROR(__xludf.DUMMYFUNCTION("IF($B788="""","""",INDEX(filter(Familias!F:F,Familias!$D:$D=$A788,Familias!$E:$E=$B788),1))"),"")</f>
        <v/>
      </c>
      <c r="F788" s="4" t="str">
        <f>IFERROR(__xludf.DUMMYFUNCTION("IF($B788="""","""",INDEX(filter(Familias!G:G,Familias!$D:$D=$A788,Familias!$E:$E=$B788),1))"),"")</f>
        <v/>
      </c>
      <c r="G788" s="4" t="str">
        <f t="array" ref="G788">IF(C788=1,XLOOKUP(C788,Cotizador!D:D,Cotizador!E:E,"",0,1),"")</f>
        <v/>
      </c>
      <c r="I788" s="4"/>
      <c r="J788" s="8" t="str">
        <f>IF(I788="","",SUMIF(Cotizador!I$1:V$1,I788,Cotizador!I$2:V$2))</f>
        <v/>
      </c>
      <c r="L788" s="4" t="str">
        <f t="array" ref="L788">IF(COUNTIF(L$1:L787,A$2)=SUMIF(A:A,A$2,D:D),IF(COUNTIF(L$1:L787,XLOOKUP(A$2,Implementos!B:B,Implementos!C:C,"",0,1))=SUMIF(A:A,XLOOKUP(A$2,Implementos!B:B,Implementos!C:C,"",0,1),D:D),"",XLOOKUP(A$2,Implementos!B:B,Implementos!C:C,"",0,1)),A$2)</f>
        <v/>
      </c>
      <c r="M788" s="4" t="str">
        <f t="shared" si="2"/>
        <v/>
      </c>
      <c r="N788" s="4" t="str">
        <f t="shared" si="3"/>
        <v/>
      </c>
      <c r="O788" s="4" t="str">
        <f t="shared" si="4"/>
        <v/>
      </c>
      <c r="P788" s="4" t="str">
        <f t="shared" si="5"/>
        <v/>
      </c>
      <c r="Q788" s="4" t="str">
        <f>IF(U788="","",SUMIF(Productos!E:E,U788,Productos!A:A))</f>
        <v/>
      </c>
      <c r="R788" s="4" t="str">
        <f t="array" ref="R788">IF(L788="","", max(1,SUMIF(I:I,XLOOKUP(U788,Productos!E:E,Productos!G:G,"",0,1),J:J)))</f>
        <v/>
      </c>
      <c r="S788" s="4" t="str">
        <f>IF(Q788="","",IF(SUMIFS(Compat_Vetado!D:D,Compat_Vetado!B:B,SUM(G:G),Compat_Vetado!C:C,Q788)=1,"SI",IF(OR(SUMIF(Cotizador!E:E,Q788,Cotizador!G:G)&gt;0,SUMIFS(Compat_Vetado!D:D,Compat_Vetado!B:B,SUM(G:G),Compat_Vetado!C:C,Q788)=-1),"NO","")))</f>
        <v/>
      </c>
      <c r="T788" s="4" t="str">
        <f t="shared" si="6"/>
        <v/>
      </c>
      <c r="U788" s="4" t="str">
        <f>IFERROR(__xludf.DUMMYFUNCTION("IF(P788="""","""",IFERROR(INDEX(filter(Productos!E:E,Productos!F:F=L788,Productos!H:H=N788),P788),IF(M788=SUM(D:D),""Finalizar"",""-"")))"),"")</f>
        <v/>
      </c>
      <c r="V788" s="4" t="str">
        <f>IFERROR(__xludf.DUMMYFUNCTION("IF(OR($U788="""",COUNTIF($I:$I,IFERROR(unique(filter(Prod_Prop!$H:$H,Prod_Prop!$G:$G=$U788,Prod_Prop!$E:$E=V$1)),""Check""))=0),"""",IFERROR(unique(filter(Prod_Prop!$H:$H,Prod_Prop!$G:$G=$U788,Prod_Prop!$E:$E=V$1)),""""))"),"")</f>
        <v/>
      </c>
      <c r="W788" s="4" t="str">
        <f>IF(V788="","",SUMIFS(Prod_Prop!$J:$J,Prod_Prop!$B:$B,$Q788,Prod_Prop!$H:$H,V788,Prod_Prop!$I:$I,W$1)*IF(V788="Peso",$R788,1))</f>
        <v/>
      </c>
      <c r="X788" s="4" t="str">
        <f>IF(V788="","",SUMIFS(Prod_Prop!$J:$J,Prod_Prop!$B:$B,$Q788,Prod_Prop!$H:$H,V788,Prod_Prop!$I:$I,X$1)*IF(V788="Peso",$R788,1))</f>
        <v/>
      </c>
      <c r="Y788" s="4" t="str">
        <f>IFERROR(__xludf.DUMMYFUNCTION("IF(OR($U788="""",COUNTIF($I:$I,IFERROR(unique(filter(Prod_Prop!$H:$H,Prod_Prop!$G:$G=$U788,Prod_Prop!$E:$E=Y$1)),""Check""))=0),"""",IFERROR(unique(filter(Prod_Prop!$H:$H,Prod_Prop!$G:$G=$U788,Prod_Prop!$E:$E=Y$1)),""""))"),"")</f>
        <v/>
      </c>
      <c r="Z788" s="4" t="str">
        <f>IF(Y788="","",SUMIFS(Prod_Prop!$J:$J,Prod_Prop!$B:$B,$Q788,Prod_Prop!$H:$H,Y788,Prod_Prop!$I:$I,Z$1)*IF(Y788="Peso",$R788,1))</f>
        <v/>
      </c>
      <c r="AA788" s="4" t="str">
        <f>IF(Y788="","",SUMIFS(Prod_Prop!$J:$J,Prod_Prop!$B:$B,$Q788,Prod_Prop!$H:$H,Y788,Prod_Prop!$I:$I,AA$1)*IF(Y788="Peso",$R788,1))</f>
        <v/>
      </c>
      <c r="AB788" s="4" t="str">
        <f>IFERROR(__xludf.DUMMYFUNCTION("IF(OR($U788="""",COUNTIF($I:$I,IFERROR(unique(filter(Prod_Prop!$H:$H,Prod_Prop!$G:$G=$U788,Prod_Prop!$E:$E=AB$1)),""Check""))=0),"""",IFERROR(unique(filter(Prod_Prop!$H:$H,Prod_Prop!$G:$G=$U788,Prod_Prop!$E:$E=AB$1)),""""))"),"")</f>
        <v/>
      </c>
      <c r="AC788" s="4" t="str">
        <f>IF(AB788="","",SUMIFS(Prod_Prop!$J:$J,Prod_Prop!$B:$B,$Q788,Prod_Prop!$H:$H,AB788,Prod_Prop!$I:$I,AC$1)*IF(AB788="Peso",$R788,1))</f>
        <v/>
      </c>
      <c r="AD788" s="4" t="str">
        <f>IF(AB788="","",SUMIFS(Prod_Prop!$J:$J,Prod_Prop!$B:$B,$Q788,Prod_Prop!$H:$H,AB788,Prod_Prop!$I:$I,AD$1)*IF(AB788="Peso",$R788,1))</f>
        <v/>
      </c>
    </row>
    <row r="789">
      <c r="A789" s="4" t="str">
        <f t="array" ref="A789">IF(COUNTIF(A$1:A788,Cotizador!F$2)=maxifs(Familias!E:E,Familias!D:D,Cotizador!F$2),IF(COUNTIF(A$1:A788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89" s="4" t="str">
        <f t="shared" si="1"/>
        <v/>
      </c>
      <c r="C789" s="4" t="str">
        <f t="array" ref="C789">IF(B789="","",IF(A789=XLOOKUP(A$2,Implementos!B:B,Implementos!C:C,"",0,1),B789+maxifs(B$1:B788,A$1:A788,A$2),B789))</f>
        <v/>
      </c>
      <c r="D789" s="4" t="str">
        <f>IF(B789="","", COUNTIFS(Productos!F:F,A789,Productos!H:H,B789)+IF(F789="SI",0,1))</f>
        <v/>
      </c>
      <c r="E789" s="4" t="str">
        <f>IFERROR(__xludf.DUMMYFUNCTION("IF($B789="""","""",INDEX(filter(Familias!F:F,Familias!$D:$D=$A789,Familias!$E:$E=$B789),1))"),"")</f>
        <v/>
      </c>
      <c r="F789" s="4" t="str">
        <f>IFERROR(__xludf.DUMMYFUNCTION("IF($B789="""","""",INDEX(filter(Familias!G:G,Familias!$D:$D=$A789,Familias!$E:$E=$B789),1))"),"")</f>
        <v/>
      </c>
      <c r="G789" s="4" t="str">
        <f t="array" ref="G789">IF(C789=1,XLOOKUP(C789,Cotizador!D:D,Cotizador!E:E,"",0,1),"")</f>
        <v/>
      </c>
      <c r="I789" s="4"/>
      <c r="J789" s="8" t="str">
        <f>IF(I789="","",SUMIF(Cotizador!I$1:V$1,I789,Cotizador!I$2:V$2))</f>
        <v/>
      </c>
      <c r="L789" s="4" t="str">
        <f t="array" ref="L789">IF(COUNTIF(L$1:L788,A$2)=SUMIF(A:A,A$2,D:D),IF(COUNTIF(L$1:L788,XLOOKUP(A$2,Implementos!B:B,Implementos!C:C,"",0,1))=SUMIF(A:A,XLOOKUP(A$2,Implementos!B:B,Implementos!C:C,"",0,1),D:D),"",XLOOKUP(A$2,Implementos!B:B,Implementos!C:C,"",0,1)),A$2)</f>
        <v/>
      </c>
      <c r="M789" s="4" t="str">
        <f t="shared" si="2"/>
        <v/>
      </c>
      <c r="N789" s="4" t="str">
        <f t="shared" si="3"/>
        <v/>
      </c>
      <c r="O789" s="4" t="str">
        <f t="shared" si="4"/>
        <v/>
      </c>
      <c r="P789" s="4" t="str">
        <f t="shared" si="5"/>
        <v/>
      </c>
      <c r="Q789" s="4" t="str">
        <f>IF(U789="","",SUMIF(Productos!E:E,U789,Productos!A:A))</f>
        <v/>
      </c>
      <c r="R789" s="4" t="str">
        <f t="array" ref="R789">IF(L789="","", max(1,SUMIF(I:I,XLOOKUP(U789,Productos!E:E,Productos!G:G,"",0,1),J:J)))</f>
        <v/>
      </c>
      <c r="S789" s="4" t="str">
        <f>IF(Q789="","",IF(SUMIFS(Compat_Vetado!D:D,Compat_Vetado!B:B,SUM(G:G),Compat_Vetado!C:C,Q789)=1,"SI",IF(OR(SUMIF(Cotizador!E:E,Q789,Cotizador!G:G)&gt;0,SUMIFS(Compat_Vetado!D:D,Compat_Vetado!B:B,SUM(G:G),Compat_Vetado!C:C,Q789)=-1),"NO","")))</f>
        <v/>
      </c>
      <c r="T789" s="4" t="str">
        <f t="shared" si="6"/>
        <v/>
      </c>
      <c r="U789" s="4" t="str">
        <f>IFERROR(__xludf.DUMMYFUNCTION("IF(P789="""","""",IFERROR(INDEX(filter(Productos!E:E,Productos!F:F=L789,Productos!H:H=N789),P789),IF(M789=SUM(D:D),""Finalizar"",""-"")))"),"")</f>
        <v/>
      </c>
      <c r="V789" s="4" t="str">
        <f>IFERROR(__xludf.DUMMYFUNCTION("IF(OR($U789="""",COUNTIF($I:$I,IFERROR(unique(filter(Prod_Prop!$H:$H,Prod_Prop!$G:$G=$U789,Prod_Prop!$E:$E=V$1)),""Check""))=0),"""",IFERROR(unique(filter(Prod_Prop!$H:$H,Prod_Prop!$G:$G=$U789,Prod_Prop!$E:$E=V$1)),""""))"),"")</f>
        <v/>
      </c>
      <c r="W789" s="4" t="str">
        <f>IF(V789="","",SUMIFS(Prod_Prop!$J:$J,Prod_Prop!$B:$B,$Q789,Prod_Prop!$H:$H,V789,Prod_Prop!$I:$I,W$1)*IF(V789="Peso",$R789,1))</f>
        <v/>
      </c>
      <c r="X789" s="4" t="str">
        <f>IF(V789="","",SUMIFS(Prod_Prop!$J:$J,Prod_Prop!$B:$B,$Q789,Prod_Prop!$H:$H,V789,Prod_Prop!$I:$I,X$1)*IF(V789="Peso",$R789,1))</f>
        <v/>
      </c>
      <c r="Y789" s="4" t="str">
        <f>IFERROR(__xludf.DUMMYFUNCTION("IF(OR($U789="""",COUNTIF($I:$I,IFERROR(unique(filter(Prod_Prop!$H:$H,Prod_Prop!$G:$G=$U789,Prod_Prop!$E:$E=Y$1)),""Check""))=0),"""",IFERROR(unique(filter(Prod_Prop!$H:$H,Prod_Prop!$G:$G=$U789,Prod_Prop!$E:$E=Y$1)),""""))"),"")</f>
        <v/>
      </c>
      <c r="Z789" s="4" t="str">
        <f>IF(Y789="","",SUMIFS(Prod_Prop!$J:$J,Prod_Prop!$B:$B,$Q789,Prod_Prop!$H:$H,Y789,Prod_Prop!$I:$I,Z$1)*IF(Y789="Peso",$R789,1))</f>
        <v/>
      </c>
      <c r="AA789" s="4" t="str">
        <f>IF(Y789="","",SUMIFS(Prod_Prop!$J:$J,Prod_Prop!$B:$B,$Q789,Prod_Prop!$H:$H,Y789,Prod_Prop!$I:$I,AA$1)*IF(Y789="Peso",$R789,1))</f>
        <v/>
      </c>
      <c r="AB789" s="4" t="str">
        <f>IFERROR(__xludf.DUMMYFUNCTION("IF(OR($U789="""",COUNTIF($I:$I,IFERROR(unique(filter(Prod_Prop!$H:$H,Prod_Prop!$G:$G=$U789,Prod_Prop!$E:$E=AB$1)),""Check""))=0),"""",IFERROR(unique(filter(Prod_Prop!$H:$H,Prod_Prop!$G:$G=$U789,Prod_Prop!$E:$E=AB$1)),""""))"),"")</f>
        <v/>
      </c>
      <c r="AC789" s="4" t="str">
        <f>IF(AB789="","",SUMIFS(Prod_Prop!$J:$J,Prod_Prop!$B:$B,$Q789,Prod_Prop!$H:$H,AB789,Prod_Prop!$I:$I,AC$1)*IF(AB789="Peso",$R789,1))</f>
        <v/>
      </c>
      <c r="AD789" s="4" t="str">
        <f>IF(AB789="","",SUMIFS(Prod_Prop!$J:$J,Prod_Prop!$B:$B,$Q789,Prod_Prop!$H:$H,AB789,Prod_Prop!$I:$I,AD$1)*IF(AB789="Peso",$R789,1))</f>
        <v/>
      </c>
    </row>
    <row r="790">
      <c r="A790" s="4" t="str">
        <f t="array" ref="A790">IF(COUNTIF(A$1:A789,Cotizador!F$2)=maxifs(Familias!E:E,Familias!D:D,Cotizador!F$2),IF(COUNTIF(A$1:A789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0" s="4" t="str">
        <f t="shared" si="1"/>
        <v/>
      </c>
      <c r="C790" s="4" t="str">
        <f t="array" ref="C790">IF(B790="","",IF(A790=XLOOKUP(A$2,Implementos!B:B,Implementos!C:C,"",0,1),B790+maxifs(B$1:B789,A$1:A789,A$2),B790))</f>
        <v/>
      </c>
      <c r="D790" s="4" t="str">
        <f>IF(B790="","", COUNTIFS(Productos!F:F,A790,Productos!H:H,B790)+IF(F790="SI",0,1))</f>
        <v/>
      </c>
      <c r="E790" s="4" t="str">
        <f>IFERROR(__xludf.DUMMYFUNCTION("IF($B790="""","""",INDEX(filter(Familias!F:F,Familias!$D:$D=$A790,Familias!$E:$E=$B790),1))"),"")</f>
        <v/>
      </c>
      <c r="F790" s="4" t="str">
        <f>IFERROR(__xludf.DUMMYFUNCTION("IF($B790="""","""",INDEX(filter(Familias!G:G,Familias!$D:$D=$A790,Familias!$E:$E=$B790),1))"),"")</f>
        <v/>
      </c>
      <c r="G790" s="4" t="str">
        <f t="array" ref="G790">IF(C790=1,XLOOKUP(C790,Cotizador!D:D,Cotizador!E:E,"",0,1),"")</f>
        <v/>
      </c>
      <c r="I790" s="4"/>
      <c r="J790" s="8" t="str">
        <f>IF(I790="","",SUMIF(Cotizador!I$1:V$1,I790,Cotizador!I$2:V$2))</f>
        <v/>
      </c>
      <c r="L790" s="4" t="str">
        <f t="array" ref="L790">IF(COUNTIF(L$1:L789,A$2)=SUMIF(A:A,A$2,D:D),IF(COUNTIF(L$1:L789,XLOOKUP(A$2,Implementos!B:B,Implementos!C:C,"",0,1))=SUMIF(A:A,XLOOKUP(A$2,Implementos!B:B,Implementos!C:C,"",0,1),D:D),"",XLOOKUP(A$2,Implementos!B:B,Implementos!C:C,"",0,1)),A$2)</f>
        <v/>
      </c>
      <c r="M790" s="4" t="str">
        <f t="shared" si="2"/>
        <v/>
      </c>
      <c r="N790" s="4" t="str">
        <f t="shared" si="3"/>
        <v/>
      </c>
      <c r="O790" s="4" t="str">
        <f t="shared" si="4"/>
        <v/>
      </c>
      <c r="P790" s="4" t="str">
        <f t="shared" si="5"/>
        <v/>
      </c>
      <c r="Q790" s="4" t="str">
        <f>IF(U790="","",SUMIF(Productos!E:E,U790,Productos!A:A))</f>
        <v/>
      </c>
      <c r="R790" s="4" t="str">
        <f t="array" ref="R790">IF(L790="","", max(1,SUMIF(I:I,XLOOKUP(U790,Productos!E:E,Productos!G:G,"",0,1),J:J)))</f>
        <v/>
      </c>
      <c r="S790" s="4" t="str">
        <f>IF(Q790="","",IF(SUMIFS(Compat_Vetado!D:D,Compat_Vetado!B:B,SUM(G:G),Compat_Vetado!C:C,Q790)=1,"SI",IF(OR(SUMIF(Cotizador!E:E,Q790,Cotizador!G:G)&gt;0,SUMIFS(Compat_Vetado!D:D,Compat_Vetado!B:B,SUM(G:G),Compat_Vetado!C:C,Q790)=-1),"NO","")))</f>
        <v/>
      </c>
      <c r="T790" s="4" t="str">
        <f t="shared" si="6"/>
        <v/>
      </c>
      <c r="U790" s="4" t="str">
        <f>IFERROR(__xludf.DUMMYFUNCTION("IF(P790="""","""",IFERROR(INDEX(filter(Productos!E:E,Productos!F:F=L790,Productos!H:H=N790),P790),IF(M790=SUM(D:D),""Finalizar"",""-"")))"),"")</f>
        <v/>
      </c>
      <c r="V790" s="4" t="str">
        <f>IFERROR(__xludf.DUMMYFUNCTION("IF(OR($U790="""",COUNTIF($I:$I,IFERROR(unique(filter(Prod_Prop!$H:$H,Prod_Prop!$G:$G=$U790,Prod_Prop!$E:$E=V$1)),""Check""))=0),"""",IFERROR(unique(filter(Prod_Prop!$H:$H,Prod_Prop!$G:$G=$U790,Prod_Prop!$E:$E=V$1)),""""))"),"")</f>
        <v/>
      </c>
      <c r="W790" s="4" t="str">
        <f>IF(V790="","",SUMIFS(Prod_Prop!$J:$J,Prod_Prop!$B:$B,$Q790,Prod_Prop!$H:$H,V790,Prod_Prop!$I:$I,W$1)*IF(V790="Peso",$R790,1))</f>
        <v/>
      </c>
      <c r="X790" s="4" t="str">
        <f>IF(V790="","",SUMIFS(Prod_Prop!$J:$J,Prod_Prop!$B:$B,$Q790,Prod_Prop!$H:$H,V790,Prod_Prop!$I:$I,X$1)*IF(V790="Peso",$R790,1))</f>
        <v/>
      </c>
      <c r="Y790" s="4" t="str">
        <f>IFERROR(__xludf.DUMMYFUNCTION("IF(OR($U790="""",COUNTIF($I:$I,IFERROR(unique(filter(Prod_Prop!$H:$H,Prod_Prop!$G:$G=$U790,Prod_Prop!$E:$E=Y$1)),""Check""))=0),"""",IFERROR(unique(filter(Prod_Prop!$H:$H,Prod_Prop!$G:$G=$U790,Prod_Prop!$E:$E=Y$1)),""""))"),"")</f>
        <v/>
      </c>
      <c r="Z790" s="4" t="str">
        <f>IF(Y790="","",SUMIFS(Prod_Prop!$J:$J,Prod_Prop!$B:$B,$Q790,Prod_Prop!$H:$H,Y790,Prod_Prop!$I:$I,Z$1)*IF(Y790="Peso",$R790,1))</f>
        <v/>
      </c>
      <c r="AA790" s="4" t="str">
        <f>IF(Y790="","",SUMIFS(Prod_Prop!$J:$J,Prod_Prop!$B:$B,$Q790,Prod_Prop!$H:$H,Y790,Prod_Prop!$I:$I,AA$1)*IF(Y790="Peso",$R790,1))</f>
        <v/>
      </c>
      <c r="AB790" s="4" t="str">
        <f>IFERROR(__xludf.DUMMYFUNCTION("IF(OR($U790="""",COUNTIF($I:$I,IFERROR(unique(filter(Prod_Prop!$H:$H,Prod_Prop!$G:$G=$U790,Prod_Prop!$E:$E=AB$1)),""Check""))=0),"""",IFERROR(unique(filter(Prod_Prop!$H:$H,Prod_Prop!$G:$G=$U790,Prod_Prop!$E:$E=AB$1)),""""))"),"")</f>
        <v/>
      </c>
      <c r="AC790" s="4" t="str">
        <f>IF(AB790="","",SUMIFS(Prod_Prop!$J:$J,Prod_Prop!$B:$B,$Q790,Prod_Prop!$H:$H,AB790,Prod_Prop!$I:$I,AC$1)*IF(AB790="Peso",$R790,1))</f>
        <v/>
      </c>
      <c r="AD790" s="4" t="str">
        <f>IF(AB790="","",SUMIFS(Prod_Prop!$J:$J,Prod_Prop!$B:$B,$Q790,Prod_Prop!$H:$H,AB790,Prod_Prop!$I:$I,AD$1)*IF(AB790="Peso",$R790,1))</f>
        <v/>
      </c>
    </row>
    <row r="791">
      <c r="A791" s="4" t="str">
        <f t="array" ref="A791">IF(COUNTIF(A$1:A790,Cotizador!F$2)=maxifs(Familias!E:E,Familias!D:D,Cotizador!F$2),IF(COUNTIF(A$1:A790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1" s="4" t="str">
        <f t="shared" si="1"/>
        <v/>
      </c>
      <c r="C791" s="4" t="str">
        <f t="array" ref="C791">IF(B791="","",IF(A791=XLOOKUP(A$2,Implementos!B:B,Implementos!C:C,"",0,1),B791+maxifs(B$1:B790,A$1:A790,A$2),B791))</f>
        <v/>
      </c>
      <c r="D791" s="4" t="str">
        <f>IF(B791="","", COUNTIFS(Productos!F:F,A791,Productos!H:H,B791)+IF(F791="SI",0,1))</f>
        <v/>
      </c>
      <c r="E791" s="4" t="str">
        <f>IFERROR(__xludf.DUMMYFUNCTION("IF($B791="""","""",INDEX(filter(Familias!F:F,Familias!$D:$D=$A791,Familias!$E:$E=$B791),1))"),"")</f>
        <v/>
      </c>
      <c r="F791" s="4" t="str">
        <f>IFERROR(__xludf.DUMMYFUNCTION("IF($B791="""","""",INDEX(filter(Familias!G:G,Familias!$D:$D=$A791,Familias!$E:$E=$B791),1))"),"")</f>
        <v/>
      </c>
      <c r="G791" s="4" t="str">
        <f t="array" ref="G791">IF(C791=1,XLOOKUP(C791,Cotizador!D:D,Cotizador!E:E,"",0,1),"")</f>
        <v/>
      </c>
      <c r="I791" s="4"/>
      <c r="J791" s="8" t="str">
        <f>IF(I791="","",SUMIF(Cotizador!I$1:V$1,I791,Cotizador!I$2:V$2))</f>
        <v/>
      </c>
      <c r="L791" s="4" t="str">
        <f t="array" ref="L791">IF(COUNTIF(L$1:L790,A$2)=SUMIF(A:A,A$2,D:D),IF(COUNTIF(L$1:L790,XLOOKUP(A$2,Implementos!B:B,Implementos!C:C,"",0,1))=SUMIF(A:A,XLOOKUP(A$2,Implementos!B:B,Implementos!C:C,"",0,1),D:D),"",XLOOKUP(A$2,Implementos!B:B,Implementos!C:C,"",0,1)),A$2)</f>
        <v/>
      </c>
      <c r="M791" s="4" t="str">
        <f t="shared" si="2"/>
        <v/>
      </c>
      <c r="N791" s="4" t="str">
        <f t="shared" si="3"/>
        <v/>
      </c>
      <c r="O791" s="4" t="str">
        <f t="shared" si="4"/>
        <v/>
      </c>
      <c r="P791" s="4" t="str">
        <f t="shared" si="5"/>
        <v/>
      </c>
      <c r="Q791" s="4" t="str">
        <f>IF(U791="","",SUMIF(Productos!E:E,U791,Productos!A:A))</f>
        <v/>
      </c>
      <c r="R791" s="4" t="str">
        <f t="array" ref="R791">IF(L791="","", max(1,SUMIF(I:I,XLOOKUP(U791,Productos!E:E,Productos!G:G,"",0,1),J:J)))</f>
        <v/>
      </c>
      <c r="S791" s="4" t="str">
        <f>IF(Q791="","",IF(SUMIFS(Compat_Vetado!D:D,Compat_Vetado!B:B,SUM(G:G),Compat_Vetado!C:C,Q791)=1,"SI",IF(OR(SUMIF(Cotizador!E:E,Q791,Cotizador!G:G)&gt;0,SUMIFS(Compat_Vetado!D:D,Compat_Vetado!B:B,SUM(G:G),Compat_Vetado!C:C,Q791)=-1),"NO","")))</f>
        <v/>
      </c>
      <c r="T791" s="4" t="str">
        <f t="shared" si="6"/>
        <v/>
      </c>
      <c r="U791" s="4" t="str">
        <f>IFERROR(__xludf.DUMMYFUNCTION("IF(P791="""","""",IFERROR(INDEX(filter(Productos!E:E,Productos!F:F=L791,Productos!H:H=N791),P791),IF(M791=SUM(D:D),""Finalizar"",""-"")))"),"")</f>
        <v/>
      </c>
      <c r="V791" s="4" t="str">
        <f>IFERROR(__xludf.DUMMYFUNCTION("IF(OR($U791="""",COUNTIF($I:$I,IFERROR(unique(filter(Prod_Prop!$H:$H,Prod_Prop!$G:$G=$U791,Prod_Prop!$E:$E=V$1)),""Check""))=0),"""",IFERROR(unique(filter(Prod_Prop!$H:$H,Prod_Prop!$G:$G=$U791,Prod_Prop!$E:$E=V$1)),""""))"),"")</f>
        <v/>
      </c>
      <c r="W791" s="4" t="str">
        <f>IF(V791="","",SUMIFS(Prod_Prop!$J:$J,Prod_Prop!$B:$B,$Q791,Prod_Prop!$H:$H,V791,Prod_Prop!$I:$I,W$1)*IF(V791="Peso",$R791,1))</f>
        <v/>
      </c>
      <c r="X791" s="4" t="str">
        <f>IF(V791="","",SUMIFS(Prod_Prop!$J:$J,Prod_Prop!$B:$B,$Q791,Prod_Prop!$H:$H,V791,Prod_Prop!$I:$I,X$1)*IF(V791="Peso",$R791,1))</f>
        <v/>
      </c>
      <c r="Y791" s="4" t="str">
        <f>IFERROR(__xludf.DUMMYFUNCTION("IF(OR($U791="""",COUNTIF($I:$I,IFERROR(unique(filter(Prod_Prop!$H:$H,Prod_Prop!$G:$G=$U791,Prod_Prop!$E:$E=Y$1)),""Check""))=0),"""",IFERROR(unique(filter(Prod_Prop!$H:$H,Prod_Prop!$G:$G=$U791,Prod_Prop!$E:$E=Y$1)),""""))"),"")</f>
        <v/>
      </c>
      <c r="Z791" s="4" t="str">
        <f>IF(Y791="","",SUMIFS(Prod_Prop!$J:$J,Prod_Prop!$B:$B,$Q791,Prod_Prop!$H:$H,Y791,Prod_Prop!$I:$I,Z$1)*IF(Y791="Peso",$R791,1))</f>
        <v/>
      </c>
      <c r="AA791" s="4" t="str">
        <f>IF(Y791="","",SUMIFS(Prod_Prop!$J:$J,Prod_Prop!$B:$B,$Q791,Prod_Prop!$H:$H,Y791,Prod_Prop!$I:$I,AA$1)*IF(Y791="Peso",$R791,1))</f>
        <v/>
      </c>
      <c r="AB791" s="4" t="str">
        <f>IFERROR(__xludf.DUMMYFUNCTION("IF(OR($U791="""",COUNTIF($I:$I,IFERROR(unique(filter(Prod_Prop!$H:$H,Prod_Prop!$G:$G=$U791,Prod_Prop!$E:$E=AB$1)),""Check""))=0),"""",IFERROR(unique(filter(Prod_Prop!$H:$H,Prod_Prop!$G:$G=$U791,Prod_Prop!$E:$E=AB$1)),""""))"),"")</f>
        <v/>
      </c>
      <c r="AC791" s="4" t="str">
        <f>IF(AB791="","",SUMIFS(Prod_Prop!$J:$J,Prod_Prop!$B:$B,$Q791,Prod_Prop!$H:$H,AB791,Prod_Prop!$I:$I,AC$1)*IF(AB791="Peso",$R791,1))</f>
        <v/>
      </c>
      <c r="AD791" s="4" t="str">
        <f>IF(AB791="","",SUMIFS(Prod_Prop!$J:$J,Prod_Prop!$B:$B,$Q791,Prod_Prop!$H:$H,AB791,Prod_Prop!$I:$I,AD$1)*IF(AB791="Peso",$R791,1))</f>
        <v/>
      </c>
    </row>
    <row r="792">
      <c r="A792" s="4" t="str">
        <f t="array" ref="A792">IF(COUNTIF(A$1:A791,Cotizador!F$2)=maxifs(Familias!E:E,Familias!D:D,Cotizador!F$2),IF(COUNTIF(A$1:A791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2" s="4" t="str">
        <f t="shared" si="1"/>
        <v/>
      </c>
      <c r="C792" s="4" t="str">
        <f t="array" ref="C792">IF(B792="","",IF(A792=XLOOKUP(A$2,Implementos!B:B,Implementos!C:C,"",0,1),B792+maxifs(B$1:B791,A$1:A791,A$2),B792))</f>
        <v/>
      </c>
      <c r="D792" s="4" t="str">
        <f>IF(B792="","", COUNTIFS(Productos!F:F,A792,Productos!H:H,B792)+IF(F792="SI",0,1))</f>
        <v/>
      </c>
      <c r="E792" s="4" t="str">
        <f>IFERROR(__xludf.DUMMYFUNCTION("IF($B792="""","""",INDEX(filter(Familias!F:F,Familias!$D:$D=$A792,Familias!$E:$E=$B792),1))"),"")</f>
        <v/>
      </c>
      <c r="F792" s="4" t="str">
        <f>IFERROR(__xludf.DUMMYFUNCTION("IF($B792="""","""",INDEX(filter(Familias!G:G,Familias!$D:$D=$A792,Familias!$E:$E=$B792),1))"),"")</f>
        <v/>
      </c>
      <c r="G792" s="4" t="str">
        <f t="array" ref="G792">IF(C792=1,XLOOKUP(C792,Cotizador!D:D,Cotizador!E:E,"",0,1),"")</f>
        <v/>
      </c>
      <c r="I792" s="4"/>
      <c r="J792" s="8" t="str">
        <f>IF(I792="","",SUMIF(Cotizador!I$1:V$1,I792,Cotizador!I$2:V$2))</f>
        <v/>
      </c>
      <c r="L792" s="4" t="str">
        <f t="array" ref="L792">IF(COUNTIF(L$1:L791,A$2)=SUMIF(A:A,A$2,D:D),IF(COUNTIF(L$1:L791,XLOOKUP(A$2,Implementos!B:B,Implementos!C:C,"",0,1))=SUMIF(A:A,XLOOKUP(A$2,Implementos!B:B,Implementos!C:C,"",0,1),D:D),"",XLOOKUP(A$2,Implementos!B:B,Implementos!C:C,"",0,1)),A$2)</f>
        <v/>
      </c>
      <c r="M792" s="4" t="str">
        <f t="shared" si="2"/>
        <v/>
      </c>
      <c r="N792" s="4" t="str">
        <f t="shared" si="3"/>
        <v/>
      </c>
      <c r="O792" s="4" t="str">
        <f t="shared" si="4"/>
        <v/>
      </c>
      <c r="P792" s="4" t="str">
        <f t="shared" si="5"/>
        <v/>
      </c>
      <c r="Q792" s="4" t="str">
        <f>IF(U792="","",SUMIF(Productos!E:E,U792,Productos!A:A))</f>
        <v/>
      </c>
      <c r="R792" s="4" t="str">
        <f t="array" ref="R792">IF(L792="","", max(1,SUMIF(I:I,XLOOKUP(U792,Productos!E:E,Productos!G:G,"",0,1),J:J)))</f>
        <v/>
      </c>
      <c r="S792" s="4" t="str">
        <f>IF(Q792="","",IF(SUMIFS(Compat_Vetado!D:D,Compat_Vetado!B:B,SUM(G:G),Compat_Vetado!C:C,Q792)=1,"SI",IF(OR(SUMIF(Cotizador!E:E,Q792,Cotizador!G:G)&gt;0,SUMIFS(Compat_Vetado!D:D,Compat_Vetado!B:B,SUM(G:G),Compat_Vetado!C:C,Q792)=-1),"NO","")))</f>
        <v/>
      </c>
      <c r="T792" s="4" t="str">
        <f t="shared" si="6"/>
        <v/>
      </c>
      <c r="U792" s="4" t="str">
        <f>IFERROR(__xludf.DUMMYFUNCTION("IF(P792="""","""",IFERROR(INDEX(filter(Productos!E:E,Productos!F:F=L792,Productos!H:H=N792),P792),IF(M792=SUM(D:D),""Finalizar"",""-"")))"),"")</f>
        <v/>
      </c>
      <c r="V792" s="4" t="str">
        <f>IFERROR(__xludf.DUMMYFUNCTION("IF(OR($U792="""",COUNTIF($I:$I,IFERROR(unique(filter(Prod_Prop!$H:$H,Prod_Prop!$G:$G=$U792,Prod_Prop!$E:$E=V$1)),""Check""))=0),"""",IFERROR(unique(filter(Prod_Prop!$H:$H,Prod_Prop!$G:$G=$U792,Prod_Prop!$E:$E=V$1)),""""))"),"")</f>
        <v/>
      </c>
      <c r="W792" s="4" t="str">
        <f>IF(V792="","",SUMIFS(Prod_Prop!$J:$J,Prod_Prop!$B:$B,$Q792,Prod_Prop!$H:$H,V792,Prod_Prop!$I:$I,W$1)*IF(V792="Peso",$R792,1))</f>
        <v/>
      </c>
      <c r="X792" s="4" t="str">
        <f>IF(V792="","",SUMIFS(Prod_Prop!$J:$J,Prod_Prop!$B:$B,$Q792,Prod_Prop!$H:$H,V792,Prod_Prop!$I:$I,X$1)*IF(V792="Peso",$R792,1))</f>
        <v/>
      </c>
      <c r="Y792" s="4" t="str">
        <f>IFERROR(__xludf.DUMMYFUNCTION("IF(OR($U792="""",COUNTIF($I:$I,IFERROR(unique(filter(Prod_Prop!$H:$H,Prod_Prop!$G:$G=$U792,Prod_Prop!$E:$E=Y$1)),""Check""))=0),"""",IFERROR(unique(filter(Prod_Prop!$H:$H,Prod_Prop!$G:$G=$U792,Prod_Prop!$E:$E=Y$1)),""""))"),"")</f>
        <v/>
      </c>
      <c r="Z792" s="4" t="str">
        <f>IF(Y792="","",SUMIFS(Prod_Prop!$J:$J,Prod_Prop!$B:$B,$Q792,Prod_Prop!$H:$H,Y792,Prod_Prop!$I:$I,Z$1)*IF(Y792="Peso",$R792,1))</f>
        <v/>
      </c>
      <c r="AA792" s="4" t="str">
        <f>IF(Y792="","",SUMIFS(Prod_Prop!$J:$J,Prod_Prop!$B:$B,$Q792,Prod_Prop!$H:$H,Y792,Prod_Prop!$I:$I,AA$1)*IF(Y792="Peso",$R792,1))</f>
        <v/>
      </c>
      <c r="AB792" s="4" t="str">
        <f>IFERROR(__xludf.DUMMYFUNCTION("IF(OR($U792="""",COUNTIF($I:$I,IFERROR(unique(filter(Prod_Prop!$H:$H,Prod_Prop!$G:$G=$U792,Prod_Prop!$E:$E=AB$1)),""Check""))=0),"""",IFERROR(unique(filter(Prod_Prop!$H:$H,Prod_Prop!$G:$G=$U792,Prod_Prop!$E:$E=AB$1)),""""))"),"")</f>
        <v/>
      </c>
      <c r="AC792" s="4" t="str">
        <f>IF(AB792="","",SUMIFS(Prod_Prop!$J:$J,Prod_Prop!$B:$B,$Q792,Prod_Prop!$H:$H,AB792,Prod_Prop!$I:$I,AC$1)*IF(AB792="Peso",$R792,1))</f>
        <v/>
      </c>
      <c r="AD792" s="4" t="str">
        <f>IF(AB792="","",SUMIFS(Prod_Prop!$J:$J,Prod_Prop!$B:$B,$Q792,Prod_Prop!$H:$H,AB792,Prod_Prop!$I:$I,AD$1)*IF(AB792="Peso",$R792,1))</f>
        <v/>
      </c>
    </row>
    <row r="793">
      <c r="A793" s="4" t="str">
        <f t="array" ref="A793">IF(COUNTIF(A$1:A792,Cotizador!F$2)=maxifs(Familias!E:E,Familias!D:D,Cotizador!F$2),IF(COUNTIF(A$1:A792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3" s="4" t="str">
        <f t="shared" si="1"/>
        <v/>
      </c>
      <c r="C793" s="4" t="str">
        <f t="array" ref="C793">IF(B793="","",IF(A793=XLOOKUP(A$2,Implementos!B:B,Implementos!C:C,"",0,1),B793+maxifs(B$1:B792,A$1:A792,A$2),B793))</f>
        <v/>
      </c>
      <c r="D793" s="4" t="str">
        <f>IF(B793="","", COUNTIFS(Productos!F:F,A793,Productos!H:H,B793)+IF(F793="SI",0,1))</f>
        <v/>
      </c>
      <c r="E793" s="4" t="str">
        <f>IFERROR(__xludf.DUMMYFUNCTION("IF($B793="""","""",INDEX(filter(Familias!F:F,Familias!$D:$D=$A793,Familias!$E:$E=$B793),1))"),"")</f>
        <v/>
      </c>
      <c r="F793" s="4" t="str">
        <f>IFERROR(__xludf.DUMMYFUNCTION("IF($B793="""","""",INDEX(filter(Familias!G:G,Familias!$D:$D=$A793,Familias!$E:$E=$B793),1))"),"")</f>
        <v/>
      </c>
      <c r="G793" s="4" t="str">
        <f t="array" ref="G793">IF(C793=1,XLOOKUP(C793,Cotizador!D:D,Cotizador!E:E,"",0,1),"")</f>
        <v/>
      </c>
      <c r="I793" s="4"/>
      <c r="J793" s="8" t="str">
        <f>IF(I793="","",SUMIF(Cotizador!I$1:V$1,I793,Cotizador!I$2:V$2))</f>
        <v/>
      </c>
      <c r="L793" s="4" t="str">
        <f t="array" ref="L793">IF(COUNTIF(L$1:L792,A$2)=SUMIF(A:A,A$2,D:D),IF(COUNTIF(L$1:L792,XLOOKUP(A$2,Implementos!B:B,Implementos!C:C,"",0,1))=SUMIF(A:A,XLOOKUP(A$2,Implementos!B:B,Implementos!C:C,"",0,1),D:D),"",XLOOKUP(A$2,Implementos!B:B,Implementos!C:C,"",0,1)),A$2)</f>
        <v/>
      </c>
      <c r="M793" s="4" t="str">
        <f t="shared" si="2"/>
        <v/>
      </c>
      <c r="N793" s="4" t="str">
        <f t="shared" si="3"/>
        <v/>
      </c>
      <c r="O793" s="4" t="str">
        <f t="shared" si="4"/>
        <v/>
      </c>
      <c r="P793" s="4" t="str">
        <f t="shared" si="5"/>
        <v/>
      </c>
      <c r="Q793" s="4" t="str">
        <f>IF(U793="","",SUMIF(Productos!E:E,U793,Productos!A:A))</f>
        <v/>
      </c>
      <c r="R793" s="4" t="str">
        <f t="array" ref="R793">IF(L793="","", max(1,SUMIF(I:I,XLOOKUP(U793,Productos!E:E,Productos!G:G,"",0,1),J:J)))</f>
        <v/>
      </c>
      <c r="S793" s="4" t="str">
        <f>IF(Q793="","",IF(SUMIFS(Compat_Vetado!D:D,Compat_Vetado!B:B,SUM(G:G),Compat_Vetado!C:C,Q793)=1,"SI",IF(OR(SUMIF(Cotizador!E:E,Q793,Cotizador!G:G)&gt;0,SUMIFS(Compat_Vetado!D:D,Compat_Vetado!B:B,SUM(G:G),Compat_Vetado!C:C,Q793)=-1),"NO","")))</f>
        <v/>
      </c>
      <c r="T793" s="4" t="str">
        <f t="shared" si="6"/>
        <v/>
      </c>
      <c r="U793" s="4" t="str">
        <f>IFERROR(__xludf.DUMMYFUNCTION("IF(P793="""","""",IFERROR(INDEX(filter(Productos!E:E,Productos!F:F=L793,Productos!H:H=N793),P793),IF(M793=SUM(D:D),""Finalizar"",""-"")))"),"")</f>
        <v/>
      </c>
      <c r="V793" s="4" t="str">
        <f>IFERROR(__xludf.DUMMYFUNCTION("IF(OR($U793="""",COUNTIF($I:$I,IFERROR(unique(filter(Prod_Prop!$H:$H,Prod_Prop!$G:$G=$U793,Prod_Prop!$E:$E=V$1)),""Check""))=0),"""",IFERROR(unique(filter(Prod_Prop!$H:$H,Prod_Prop!$G:$G=$U793,Prod_Prop!$E:$E=V$1)),""""))"),"")</f>
        <v/>
      </c>
      <c r="W793" s="4" t="str">
        <f>IF(V793="","",SUMIFS(Prod_Prop!$J:$J,Prod_Prop!$B:$B,$Q793,Prod_Prop!$H:$H,V793,Prod_Prop!$I:$I,W$1)*IF(V793="Peso",$R793,1))</f>
        <v/>
      </c>
      <c r="X793" s="4" t="str">
        <f>IF(V793="","",SUMIFS(Prod_Prop!$J:$J,Prod_Prop!$B:$B,$Q793,Prod_Prop!$H:$H,V793,Prod_Prop!$I:$I,X$1)*IF(V793="Peso",$R793,1))</f>
        <v/>
      </c>
      <c r="Y793" s="4" t="str">
        <f>IFERROR(__xludf.DUMMYFUNCTION("IF(OR($U793="""",COUNTIF($I:$I,IFERROR(unique(filter(Prod_Prop!$H:$H,Prod_Prop!$G:$G=$U793,Prod_Prop!$E:$E=Y$1)),""Check""))=0),"""",IFERROR(unique(filter(Prod_Prop!$H:$H,Prod_Prop!$G:$G=$U793,Prod_Prop!$E:$E=Y$1)),""""))"),"")</f>
        <v/>
      </c>
      <c r="Z793" s="4" t="str">
        <f>IF(Y793="","",SUMIFS(Prod_Prop!$J:$J,Prod_Prop!$B:$B,$Q793,Prod_Prop!$H:$H,Y793,Prod_Prop!$I:$I,Z$1)*IF(Y793="Peso",$R793,1))</f>
        <v/>
      </c>
      <c r="AA793" s="4" t="str">
        <f>IF(Y793="","",SUMIFS(Prod_Prop!$J:$J,Prod_Prop!$B:$B,$Q793,Prod_Prop!$H:$H,Y793,Prod_Prop!$I:$I,AA$1)*IF(Y793="Peso",$R793,1))</f>
        <v/>
      </c>
      <c r="AB793" s="4" t="str">
        <f>IFERROR(__xludf.DUMMYFUNCTION("IF(OR($U793="""",COUNTIF($I:$I,IFERROR(unique(filter(Prod_Prop!$H:$H,Prod_Prop!$G:$G=$U793,Prod_Prop!$E:$E=AB$1)),""Check""))=0),"""",IFERROR(unique(filter(Prod_Prop!$H:$H,Prod_Prop!$G:$G=$U793,Prod_Prop!$E:$E=AB$1)),""""))"),"")</f>
        <v/>
      </c>
      <c r="AC793" s="4" t="str">
        <f>IF(AB793="","",SUMIFS(Prod_Prop!$J:$J,Prod_Prop!$B:$B,$Q793,Prod_Prop!$H:$H,AB793,Prod_Prop!$I:$I,AC$1)*IF(AB793="Peso",$R793,1))</f>
        <v/>
      </c>
      <c r="AD793" s="4" t="str">
        <f>IF(AB793="","",SUMIFS(Prod_Prop!$J:$J,Prod_Prop!$B:$B,$Q793,Prod_Prop!$H:$H,AB793,Prod_Prop!$I:$I,AD$1)*IF(AB793="Peso",$R793,1))</f>
        <v/>
      </c>
    </row>
    <row r="794">
      <c r="A794" s="4" t="str">
        <f t="array" ref="A794">IF(COUNTIF(A$1:A793,Cotizador!F$2)=maxifs(Familias!E:E,Familias!D:D,Cotizador!F$2),IF(COUNTIF(A$1:A793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4" s="4" t="str">
        <f t="shared" si="1"/>
        <v/>
      </c>
      <c r="C794" s="4" t="str">
        <f t="array" ref="C794">IF(B794="","",IF(A794=XLOOKUP(A$2,Implementos!B:B,Implementos!C:C,"",0,1),B794+maxifs(B$1:B793,A$1:A793,A$2),B794))</f>
        <v/>
      </c>
      <c r="D794" s="4" t="str">
        <f>IF(B794="","", COUNTIFS(Productos!F:F,A794,Productos!H:H,B794)+IF(F794="SI",0,1))</f>
        <v/>
      </c>
      <c r="E794" s="4" t="str">
        <f>IFERROR(__xludf.DUMMYFUNCTION("IF($B794="""","""",INDEX(filter(Familias!F:F,Familias!$D:$D=$A794,Familias!$E:$E=$B794),1))"),"")</f>
        <v/>
      </c>
      <c r="F794" s="4" t="str">
        <f>IFERROR(__xludf.DUMMYFUNCTION("IF($B794="""","""",INDEX(filter(Familias!G:G,Familias!$D:$D=$A794,Familias!$E:$E=$B794),1))"),"")</f>
        <v/>
      </c>
      <c r="G794" s="4" t="str">
        <f t="array" ref="G794">IF(C794=1,XLOOKUP(C794,Cotizador!D:D,Cotizador!E:E,"",0,1),"")</f>
        <v/>
      </c>
      <c r="I794" s="4"/>
      <c r="J794" s="8" t="str">
        <f>IF(I794="","",SUMIF(Cotizador!I$1:V$1,I794,Cotizador!I$2:V$2))</f>
        <v/>
      </c>
      <c r="L794" s="4" t="str">
        <f t="array" ref="L794">IF(COUNTIF(L$1:L793,A$2)=SUMIF(A:A,A$2,D:D),IF(COUNTIF(L$1:L793,XLOOKUP(A$2,Implementos!B:B,Implementos!C:C,"",0,1))=SUMIF(A:A,XLOOKUP(A$2,Implementos!B:B,Implementos!C:C,"",0,1),D:D),"",XLOOKUP(A$2,Implementos!B:B,Implementos!C:C,"",0,1)),A$2)</f>
        <v/>
      </c>
      <c r="M794" s="4" t="str">
        <f t="shared" si="2"/>
        <v/>
      </c>
      <c r="N794" s="4" t="str">
        <f t="shared" si="3"/>
        <v/>
      </c>
      <c r="O794" s="4" t="str">
        <f t="shared" si="4"/>
        <v/>
      </c>
      <c r="P794" s="4" t="str">
        <f t="shared" si="5"/>
        <v/>
      </c>
      <c r="Q794" s="4" t="str">
        <f>IF(U794="","",SUMIF(Productos!E:E,U794,Productos!A:A))</f>
        <v/>
      </c>
      <c r="R794" s="4" t="str">
        <f t="array" ref="R794">IF(L794="","", max(1,SUMIF(I:I,XLOOKUP(U794,Productos!E:E,Productos!G:G,"",0,1),J:J)))</f>
        <v/>
      </c>
      <c r="S794" s="4" t="str">
        <f>IF(Q794="","",IF(SUMIFS(Compat_Vetado!D:D,Compat_Vetado!B:B,SUM(G:G),Compat_Vetado!C:C,Q794)=1,"SI",IF(OR(SUMIF(Cotizador!E:E,Q794,Cotizador!G:G)&gt;0,SUMIFS(Compat_Vetado!D:D,Compat_Vetado!B:B,SUM(G:G),Compat_Vetado!C:C,Q794)=-1),"NO","")))</f>
        <v/>
      </c>
      <c r="T794" s="4" t="str">
        <f t="shared" si="6"/>
        <v/>
      </c>
      <c r="U794" s="4" t="str">
        <f>IFERROR(__xludf.DUMMYFUNCTION("IF(P794="""","""",IFERROR(INDEX(filter(Productos!E:E,Productos!F:F=L794,Productos!H:H=N794),P794),IF(M794=SUM(D:D),""Finalizar"",""-"")))"),"")</f>
        <v/>
      </c>
      <c r="V794" s="4" t="str">
        <f>IFERROR(__xludf.DUMMYFUNCTION("IF(OR($U794="""",COUNTIF($I:$I,IFERROR(unique(filter(Prod_Prop!$H:$H,Prod_Prop!$G:$G=$U794,Prod_Prop!$E:$E=V$1)),""Check""))=0),"""",IFERROR(unique(filter(Prod_Prop!$H:$H,Prod_Prop!$G:$G=$U794,Prod_Prop!$E:$E=V$1)),""""))"),"")</f>
        <v/>
      </c>
      <c r="W794" s="4" t="str">
        <f>IF(V794="","",SUMIFS(Prod_Prop!$J:$J,Prod_Prop!$B:$B,$Q794,Prod_Prop!$H:$H,V794,Prod_Prop!$I:$I,W$1)*IF(V794="Peso",$R794,1))</f>
        <v/>
      </c>
      <c r="X794" s="4" t="str">
        <f>IF(V794="","",SUMIFS(Prod_Prop!$J:$J,Prod_Prop!$B:$B,$Q794,Prod_Prop!$H:$H,V794,Prod_Prop!$I:$I,X$1)*IF(V794="Peso",$R794,1))</f>
        <v/>
      </c>
      <c r="Y794" s="4" t="str">
        <f>IFERROR(__xludf.DUMMYFUNCTION("IF(OR($U794="""",COUNTIF($I:$I,IFERROR(unique(filter(Prod_Prop!$H:$H,Prod_Prop!$G:$G=$U794,Prod_Prop!$E:$E=Y$1)),""Check""))=0),"""",IFERROR(unique(filter(Prod_Prop!$H:$H,Prod_Prop!$G:$G=$U794,Prod_Prop!$E:$E=Y$1)),""""))"),"")</f>
        <v/>
      </c>
      <c r="Z794" s="4" t="str">
        <f>IF(Y794="","",SUMIFS(Prod_Prop!$J:$J,Prod_Prop!$B:$B,$Q794,Prod_Prop!$H:$H,Y794,Prod_Prop!$I:$I,Z$1)*IF(Y794="Peso",$R794,1))</f>
        <v/>
      </c>
      <c r="AA794" s="4" t="str">
        <f>IF(Y794="","",SUMIFS(Prod_Prop!$J:$J,Prod_Prop!$B:$B,$Q794,Prod_Prop!$H:$H,Y794,Prod_Prop!$I:$I,AA$1)*IF(Y794="Peso",$R794,1))</f>
        <v/>
      </c>
      <c r="AB794" s="4" t="str">
        <f>IFERROR(__xludf.DUMMYFUNCTION("IF(OR($U794="""",COUNTIF($I:$I,IFERROR(unique(filter(Prod_Prop!$H:$H,Prod_Prop!$G:$G=$U794,Prod_Prop!$E:$E=AB$1)),""Check""))=0),"""",IFERROR(unique(filter(Prod_Prop!$H:$H,Prod_Prop!$G:$G=$U794,Prod_Prop!$E:$E=AB$1)),""""))"),"")</f>
        <v/>
      </c>
      <c r="AC794" s="4" t="str">
        <f>IF(AB794="","",SUMIFS(Prod_Prop!$J:$J,Prod_Prop!$B:$B,$Q794,Prod_Prop!$H:$H,AB794,Prod_Prop!$I:$I,AC$1)*IF(AB794="Peso",$R794,1))</f>
        <v/>
      </c>
      <c r="AD794" s="4" t="str">
        <f>IF(AB794="","",SUMIFS(Prod_Prop!$J:$J,Prod_Prop!$B:$B,$Q794,Prod_Prop!$H:$H,AB794,Prod_Prop!$I:$I,AD$1)*IF(AB794="Peso",$R794,1))</f>
        <v/>
      </c>
    </row>
    <row r="795">
      <c r="A795" s="4" t="str">
        <f t="array" ref="A795">IF(COUNTIF(A$1:A794,Cotizador!F$2)=maxifs(Familias!E:E,Familias!D:D,Cotizador!F$2),IF(COUNTIF(A$1:A794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5" s="4" t="str">
        <f t="shared" si="1"/>
        <v/>
      </c>
      <c r="C795" s="4" t="str">
        <f t="array" ref="C795">IF(B795="","",IF(A795=XLOOKUP(A$2,Implementos!B:B,Implementos!C:C,"",0,1),B795+maxifs(B$1:B794,A$1:A794,A$2),B795))</f>
        <v/>
      </c>
      <c r="D795" s="4" t="str">
        <f>IF(B795="","", COUNTIFS(Productos!F:F,A795,Productos!H:H,B795)+IF(F795="SI",0,1))</f>
        <v/>
      </c>
      <c r="E795" s="4" t="str">
        <f>IFERROR(__xludf.DUMMYFUNCTION("IF($B795="""","""",INDEX(filter(Familias!F:F,Familias!$D:$D=$A795,Familias!$E:$E=$B795),1))"),"")</f>
        <v/>
      </c>
      <c r="F795" s="4" t="str">
        <f>IFERROR(__xludf.DUMMYFUNCTION("IF($B795="""","""",INDEX(filter(Familias!G:G,Familias!$D:$D=$A795,Familias!$E:$E=$B795),1))"),"")</f>
        <v/>
      </c>
      <c r="G795" s="4" t="str">
        <f t="array" ref="G795">IF(C795=1,XLOOKUP(C795,Cotizador!D:D,Cotizador!E:E,"",0,1),"")</f>
        <v/>
      </c>
      <c r="I795" s="4"/>
      <c r="J795" s="8" t="str">
        <f>IF(I795="","",SUMIF(Cotizador!I$1:V$1,I795,Cotizador!I$2:V$2))</f>
        <v/>
      </c>
      <c r="L795" s="4" t="str">
        <f t="array" ref="L795">IF(COUNTIF(L$1:L794,A$2)=SUMIF(A:A,A$2,D:D),IF(COUNTIF(L$1:L794,XLOOKUP(A$2,Implementos!B:B,Implementos!C:C,"",0,1))=SUMIF(A:A,XLOOKUP(A$2,Implementos!B:B,Implementos!C:C,"",0,1),D:D),"",XLOOKUP(A$2,Implementos!B:B,Implementos!C:C,"",0,1)),A$2)</f>
        <v/>
      </c>
      <c r="M795" s="4" t="str">
        <f t="shared" si="2"/>
        <v/>
      </c>
      <c r="N795" s="4" t="str">
        <f t="shared" si="3"/>
        <v/>
      </c>
      <c r="O795" s="4" t="str">
        <f t="shared" si="4"/>
        <v/>
      </c>
      <c r="P795" s="4" t="str">
        <f t="shared" si="5"/>
        <v/>
      </c>
      <c r="Q795" s="4" t="str">
        <f>IF(U795="","",SUMIF(Productos!E:E,U795,Productos!A:A))</f>
        <v/>
      </c>
      <c r="R795" s="4" t="str">
        <f t="array" ref="R795">IF(L795="","", max(1,SUMIF(I:I,XLOOKUP(U795,Productos!E:E,Productos!G:G,"",0,1),J:J)))</f>
        <v/>
      </c>
      <c r="S795" s="4" t="str">
        <f>IF(Q795="","",IF(SUMIFS(Compat_Vetado!D:D,Compat_Vetado!B:B,SUM(G:G),Compat_Vetado!C:C,Q795)=1,"SI",IF(OR(SUMIF(Cotizador!E:E,Q795,Cotizador!G:G)&gt;0,SUMIFS(Compat_Vetado!D:D,Compat_Vetado!B:B,SUM(G:G),Compat_Vetado!C:C,Q795)=-1),"NO","")))</f>
        <v/>
      </c>
      <c r="T795" s="4" t="str">
        <f t="shared" si="6"/>
        <v/>
      </c>
      <c r="U795" s="4" t="str">
        <f>IFERROR(__xludf.DUMMYFUNCTION("IF(P795="""","""",IFERROR(INDEX(filter(Productos!E:E,Productos!F:F=L795,Productos!H:H=N795),P795),IF(M795=SUM(D:D),""Finalizar"",""-"")))"),"")</f>
        <v/>
      </c>
      <c r="V795" s="4" t="str">
        <f>IFERROR(__xludf.DUMMYFUNCTION("IF(OR($U795="""",COUNTIF($I:$I,IFERROR(unique(filter(Prod_Prop!$H:$H,Prod_Prop!$G:$G=$U795,Prod_Prop!$E:$E=V$1)),""Check""))=0),"""",IFERROR(unique(filter(Prod_Prop!$H:$H,Prod_Prop!$G:$G=$U795,Prod_Prop!$E:$E=V$1)),""""))"),"")</f>
        <v/>
      </c>
      <c r="W795" s="4" t="str">
        <f>IF(V795="","",SUMIFS(Prod_Prop!$J:$J,Prod_Prop!$B:$B,$Q795,Prod_Prop!$H:$H,V795,Prod_Prop!$I:$I,W$1)*IF(V795="Peso",$R795,1))</f>
        <v/>
      </c>
      <c r="X795" s="4" t="str">
        <f>IF(V795="","",SUMIFS(Prod_Prop!$J:$J,Prod_Prop!$B:$B,$Q795,Prod_Prop!$H:$H,V795,Prod_Prop!$I:$I,X$1)*IF(V795="Peso",$R795,1))</f>
        <v/>
      </c>
      <c r="Y795" s="4" t="str">
        <f>IFERROR(__xludf.DUMMYFUNCTION("IF(OR($U795="""",COUNTIF($I:$I,IFERROR(unique(filter(Prod_Prop!$H:$H,Prod_Prop!$G:$G=$U795,Prod_Prop!$E:$E=Y$1)),""Check""))=0),"""",IFERROR(unique(filter(Prod_Prop!$H:$H,Prod_Prop!$G:$G=$U795,Prod_Prop!$E:$E=Y$1)),""""))"),"")</f>
        <v/>
      </c>
      <c r="Z795" s="4" t="str">
        <f>IF(Y795="","",SUMIFS(Prod_Prop!$J:$J,Prod_Prop!$B:$B,$Q795,Prod_Prop!$H:$H,Y795,Prod_Prop!$I:$I,Z$1)*IF(Y795="Peso",$R795,1))</f>
        <v/>
      </c>
      <c r="AA795" s="4" t="str">
        <f>IF(Y795="","",SUMIFS(Prod_Prop!$J:$J,Prod_Prop!$B:$B,$Q795,Prod_Prop!$H:$H,Y795,Prod_Prop!$I:$I,AA$1)*IF(Y795="Peso",$R795,1))</f>
        <v/>
      </c>
      <c r="AB795" s="4" t="str">
        <f>IFERROR(__xludf.DUMMYFUNCTION("IF(OR($U795="""",COUNTIF($I:$I,IFERROR(unique(filter(Prod_Prop!$H:$H,Prod_Prop!$G:$G=$U795,Prod_Prop!$E:$E=AB$1)),""Check""))=0),"""",IFERROR(unique(filter(Prod_Prop!$H:$H,Prod_Prop!$G:$G=$U795,Prod_Prop!$E:$E=AB$1)),""""))"),"")</f>
        <v/>
      </c>
      <c r="AC795" s="4" t="str">
        <f>IF(AB795="","",SUMIFS(Prod_Prop!$J:$J,Prod_Prop!$B:$B,$Q795,Prod_Prop!$H:$H,AB795,Prod_Prop!$I:$I,AC$1)*IF(AB795="Peso",$R795,1))</f>
        <v/>
      </c>
      <c r="AD795" s="4" t="str">
        <f>IF(AB795="","",SUMIFS(Prod_Prop!$J:$J,Prod_Prop!$B:$B,$Q795,Prod_Prop!$H:$H,AB795,Prod_Prop!$I:$I,AD$1)*IF(AB795="Peso",$R795,1))</f>
        <v/>
      </c>
    </row>
    <row r="796">
      <c r="A796" s="4" t="str">
        <f t="array" ref="A796">IF(COUNTIF(A$1:A795,Cotizador!F$2)=maxifs(Familias!E:E,Familias!D:D,Cotizador!F$2),IF(COUNTIF(A$1:A795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6" s="4" t="str">
        <f t="shared" si="1"/>
        <v/>
      </c>
      <c r="C796" s="4" t="str">
        <f t="array" ref="C796">IF(B796="","",IF(A796=XLOOKUP(A$2,Implementos!B:B,Implementos!C:C,"",0,1),B796+maxifs(B$1:B795,A$1:A795,A$2),B796))</f>
        <v/>
      </c>
      <c r="D796" s="4" t="str">
        <f>IF(B796="","", COUNTIFS(Productos!F:F,A796,Productos!H:H,B796)+IF(F796="SI",0,1))</f>
        <v/>
      </c>
      <c r="E796" s="4" t="str">
        <f>IFERROR(__xludf.DUMMYFUNCTION("IF($B796="""","""",INDEX(filter(Familias!F:F,Familias!$D:$D=$A796,Familias!$E:$E=$B796),1))"),"")</f>
        <v/>
      </c>
      <c r="F796" s="4" t="str">
        <f>IFERROR(__xludf.DUMMYFUNCTION("IF($B796="""","""",INDEX(filter(Familias!G:G,Familias!$D:$D=$A796,Familias!$E:$E=$B796),1))"),"")</f>
        <v/>
      </c>
      <c r="G796" s="4" t="str">
        <f t="array" ref="G796">IF(C796=1,XLOOKUP(C796,Cotizador!D:D,Cotizador!E:E,"",0,1),"")</f>
        <v/>
      </c>
      <c r="I796" s="4"/>
      <c r="J796" s="8" t="str">
        <f>IF(I796="","",SUMIF(Cotizador!I$1:V$1,I796,Cotizador!I$2:V$2))</f>
        <v/>
      </c>
      <c r="L796" s="4" t="str">
        <f t="array" ref="L796">IF(COUNTIF(L$1:L795,A$2)=SUMIF(A:A,A$2,D:D),IF(COUNTIF(L$1:L795,XLOOKUP(A$2,Implementos!B:B,Implementos!C:C,"",0,1))=SUMIF(A:A,XLOOKUP(A$2,Implementos!B:B,Implementos!C:C,"",0,1),D:D),"",XLOOKUP(A$2,Implementos!B:B,Implementos!C:C,"",0,1)),A$2)</f>
        <v/>
      </c>
      <c r="M796" s="4" t="str">
        <f t="shared" si="2"/>
        <v/>
      </c>
      <c r="N796" s="4" t="str">
        <f t="shared" si="3"/>
        <v/>
      </c>
      <c r="O796" s="4" t="str">
        <f t="shared" si="4"/>
        <v/>
      </c>
      <c r="P796" s="4" t="str">
        <f t="shared" si="5"/>
        <v/>
      </c>
      <c r="Q796" s="4" t="str">
        <f>IF(U796="","",SUMIF(Productos!E:E,U796,Productos!A:A))</f>
        <v/>
      </c>
      <c r="R796" s="4" t="str">
        <f t="array" ref="R796">IF(L796="","", max(1,SUMIF(I:I,XLOOKUP(U796,Productos!E:E,Productos!G:G,"",0,1),J:J)))</f>
        <v/>
      </c>
      <c r="S796" s="4" t="str">
        <f>IF(Q796="","",IF(SUMIFS(Compat_Vetado!D:D,Compat_Vetado!B:B,SUM(G:G),Compat_Vetado!C:C,Q796)=1,"SI",IF(OR(SUMIF(Cotizador!E:E,Q796,Cotizador!G:G)&gt;0,SUMIFS(Compat_Vetado!D:D,Compat_Vetado!B:B,SUM(G:G),Compat_Vetado!C:C,Q796)=-1),"NO","")))</f>
        <v/>
      </c>
      <c r="T796" s="4" t="str">
        <f t="shared" si="6"/>
        <v/>
      </c>
      <c r="U796" s="4" t="str">
        <f>IFERROR(__xludf.DUMMYFUNCTION("IF(P796="""","""",IFERROR(INDEX(filter(Productos!E:E,Productos!F:F=L796,Productos!H:H=N796),P796),IF(M796=SUM(D:D),""Finalizar"",""-"")))"),"")</f>
        <v/>
      </c>
      <c r="V796" s="4" t="str">
        <f>IFERROR(__xludf.DUMMYFUNCTION("IF(OR($U796="""",COUNTIF($I:$I,IFERROR(unique(filter(Prod_Prop!$H:$H,Prod_Prop!$G:$G=$U796,Prod_Prop!$E:$E=V$1)),""Check""))=0),"""",IFERROR(unique(filter(Prod_Prop!$H:$H,Prod_Prop!$G:$G=$U796,Prod_Prop!$E:$E=V$1)),""""))"),"")</f>
        <v/>
      </c>
      <c r="W796" s="4" t="str">
        <f>IF(V796="","",SUMIFS(Prod_Prop!$J:$J,Prod_Prop!$B:$B,$Q796,Prod_Prop!$H:$H,V796,Prod_Prop!$I:$I,W$1)*IF(V796="Peso",$R796,1))</f>
        <v/>
      </c>
      <c r="X796" s="4" t="str">
        <f>IF(V796="","",SUMIFS(Prod_Prop!$J:$J,Prod_Prop!$B:$B,$Q796,Prod_Prop!$H:$H,V796,Prod_Prop!$I:$I,X$1)*IF(V796="Peso",$R796,1))</f>
        <v/>
      </c>
      <c r="Y796" s="4" t="str">
        <f>IFERROR(__xludf.DUMMYFUNCTION("IF(OR($U796="""",COUNTIF($I:$I,IFERROR(unique(filter(Prod_Prop!$H:$H,Prod_Prop!$G:$G=$U796,Prod_Prop!$E:$E=Y$1)),""Check""))=0),"""",IFERROR(unique(filter(Prod_Prop!$H:$H,Prod_Prop!$G:$G=$U796,Prod_Prop!$E:$E=Y$1)),""""))"),"")</f>
        <v/>
      </c>
      <c r="Z796" s="4" t="str">
        <f>IF(Y796="","",SUMIFS(Prod_Prop!$J:$J,Prod_Prop!$B:$B,$Q796,Prod_Prop!$H:$H,Y796,Prod_Prop!$I:$I,Z$1)*IF(Y796="Peso",$R796,1))</f>
        <v/>
      </c>
      <c r="AA796" s="4" t="str">
        <f>IF(Y796="","",SUMIFS(Prod_Prop!$J:$J,Prod_Prop!$B:$B,$Q796,Prod_Prop!$H:$H,Y796,Prod_Prop!$I:$I,AA$1)*IF(Y796="Peso",$R796,1))</f>
        <v/>
      </c>
      <c r="AB796" s="4" t="str">
        <f>IFERROR(__xludf.DUMMYFUNCTION("IF(OR($U796="""",COUNTIF($I:$I,IFERROR(unique(filter(Prod_Prop!$H:$H,Prod_Prop!$G:$G=$U796,Prod_Prop!$E:$E=AB$1)),""Check""))=0),"""",IFERROR(unique(filter(Prod_Prop!$H:$H,Prod_Prop!$G:$G=$U796,Prod_Prop!$E:$E=AB$1)),""""))"),"")</f>
        <v/>
      </c>
      <c r="AC796" s="4" t="str">
        <f>IF(AB796="","",SUMIFS(Prod_Prop!$J:$J,Prod_Prop!$B:$B,$Q796,Prod_Prop!$H:$H,AB796,Prod_Prop!$I:$I,AC$1)*IF(AB796="Peso",$R796,1))</f>
        <v/>
      </c>
      <c r="AD796" s="4" t="str">
        <f>IF(AB796="","",SUMIFS(Prod_Prop!$J:$J,Prod_Prop!$B:$B,$Q796,Prod_Prop!$H:$H,AB796,Prod_Prop!$I:$I,AD$1)*IF(AB796="Peso",$R796,1))</f>
        <v/>
      </c>
    </row>
    <row r="797">
      <c r="A797" s="4" t="str">
        <f t="array" ref="A797">IF(COUNTIF(A$1:A796,Cotizador!F$2)=maxifs(Familias!E:E,Familias!D:D,Cotizador!F$2),IF(COUNTIF(A$1:A796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7" s="4" t="str">
        <f t="shared" si="1"/>
        <v/>
      </c>
      <c r="C797" s="4" t="str">
        <f t="array" ref="C797">IF(B797="","",IF(A797=XLOOKUP(A$2,Implementos!B:B,Implementos!C:C,"",0,1),B797+maxifs(B$1:B796,A$1:A796,A$2),B797))</f>
        <v/>
      </c>
      <c r="D797" s="4" t="str">
        <f>IF(B797="","", COUNTIFS(Productos!F:F,A797,Productos!H:H,B797)+IF(F797="SI",0,1))</f>
        <v/>
      </c>
      <c r="E797" s="4" t="str">
        <f>IFERROR(__xludf.DUMMYFUNCTION("IF($B797="""","""",INDEX(filter(Familias!F:F,Familias!$D:$D=$A797,Familias!$E:$E=$B797),1))"),"")</f>
        <v/>
      </c>
      <c r="F797" s="4" t="str">
        <f>IFERROR(__xludf.DUMMYFUNCTION("IF($B797="""","""",INDEX(filter(Familias!G:G,Familias!$D:$D=$A797,Familias!$E:$E=$B797),1))"),"")</f>
        <v/>
      </c>
      <c r="G797" s="4" t="str">
        <f t="array" ref="G797">IF(C797=1,XLOOKUP(C797,Cotizador!D:D,Cotizador!E:E,"",0,1),"")</f>
        <v/>
      </c>
      <c r="I797" s="4"/>
      <c r="J797" s="8" t="str">
        <f>IF(I797="","",SUMIF(Cotizador!I$1:V$1,I797,Cotizador!I$2:V$2))</f>
        <v/>
      </c>
      <c r="L797" s="4" t="str">
        <f t="array" ref="L797">IF(COUNTIF(L$1:L796,A$2)=SUMIF(A:A,A$2,D:D),IF(COUNTIF(L$1:L796,XLOOKUP(A$2,Implementos!B:B,Implementos!C:C,"",0,1))=SUMIF(A:A,XLOOKUP(A$2,Implementos!B:B,Implementos!C:C,"",0,1),D:D),"",XLOOKUP(A$2,Implementos!B:B,Implementos!C:C,"",0,1)),A$2)</f>
        <v/>
      </c>
      <c r="M797" s="4" t="str">
        <f t="shared" si="2"/>
        <v/>
      </c>
      <c r="N797" s="4" t="str">
        <f t="shared" si="3"/>
        <v/>
      </c>
      <c r="O797" s="4" t="str">
        <f t="shared" si="4"/>
        <v/>
      </c>
      <c r="P797" s="4" t="str">
        <f t="shared" si="5"/>
        <v/>
      </c>
      <c r="Q797" s="4" t="str">
        <f>IF(U797="","",SUMIF(Productos!E:E,U797,Productos!A:A))</f>
        <v/>
      </c>
      <c r="R797" s="4" t="str">
        <f t="array" ref="R797">IF(L797="","", max(1,SUMIF(I:I,XLOOKUP(U797,Productos!E:E,Productos!G:G,"",0,1),J:J)))</f>
        <v/>
      </c>
      <c r="S797" s="4" t="str">
        <f>IF(Q797="","",IF(SUMIFS(Compat_Vetado!D:D,Compat_Vetado!B:B,SUM(G:G),Compat_Vetado!C:C,Q797)=1,"SI",IF(OR(SUMIF(Cotizador!E:E,Q797,Cotizador!G:G)&gt;0,SUMIFS(Compat_Vetado!D:D,Compat_Vetado!B:B,SUM(G:G),Compat_Vetado!C:C,Q797)=-1),"NO","")))</f>
        <v/>
      </c>
      <c r="T797" s="4" t="str">
        <f t="shared" si="6"/>
        <v/>
      </c>
      <c r="U797" s="4" t="str">
        <f>IFERROR(__xludf.DUMMYFUNCTION("IF(P797="""","""",IFERROR(INDEX(filter(Productos!E:E,Productos!F:F=L797,Productos!H:H=N797),P797),IF(M797=SUM(D:D),""Finalizar"",""-"")))"),"")</f>
        <v/>
      </c>
      <c r="V797" s="4" t="str">
        <f>IFERROR(__xludf.DUMMYFUNCTION("IF(OR($U797="""",COUNTIF($I:$I,IFERROR(unique(filter(Prod_Prop!$H:$H,Prod_Prop!$G:$G=$U797,Prod_Prop!$E:$E=V$1)),""Check""))=0),"""",IFERROR(unique(filter(Prod_Prop!$H:$H,Prod_Prop!$G:$G=$U797,Prod_Prop!$E:$E=V$1)),""""))"),"")</f>
        <v/>
      </c>
      <c r="W797" s="4" t="str">
        <f>IF(V797="","",SUMIFS(Prod_Prop!$J:$J,Prod_Prop!$B:$B,$Q797,Prod_Prop!$H:$H,V797,Prod_Prop!$I:$I,W$1)*IF(V797="Peso",$R797,1))</f>
        <v/>
      </c>
      <c r="X797" s="4" t="str">
        <f>IF(V797="","",SUMIFS(Prod_Prop!$J:$J,Prod_Prop!$B:$B,$Q797,Prod_Prop!$H:$H,V797,Prod_Prop!$I:$I,X$1)*IF(V797="Peso",$R797,1))</f>
        <v/>
      </c>
      <c r="Y797" s="4" t="str">
        <f>IFERROR(__xludf.DUMMYFUNCTION("IF(OR($U797="""",COUNTIF($I:$I,IFERROR(unique(filter(Prod_Prop!$H:$H,Prod_Prop!$G:$G=$U797,Prod_Prop!$E:$E=Y$1)),""Check""))=0),"""",IFERROR(unique(filter(Prod_Prop!$H:$H,Prod_Prop!$G:$G=$U797,Prod_Prop!$E:$E=Y$1)),""""))"),"")</f>
        <v/>
      </c>
      <c r="Z797" s="4" t="str">
        <f>IF(Y797="","",SUMIFS(Prod_Prop!$J:$J,Prod_Prop!$B:$B,$Q797,Prod_Prop!$H:$H,Y797,Prod_Prop!$I:$I,Z$1)*IF(Y797="Peso",$R797,1))</f>
        <v/>
      </c>
      <c r="AA797" s="4" t="str">
        <f>IF(Y797="","",SUMIFS(Prod_Prop!$J:$J,Prod_Prop!$B:$B,$Q797,Prod_Prop!$H:$H,Y797,Prod_Prop!$I:$I,AA$1)*IF(Y797="Peso",$R797,1))</f>
        <v/>
      </c>
      <c r="AB797" s="4" t="str">
        <f>IFERROR(__xludf.DUMMYFUNCTION("IF(OR($U797="""",COUNTIF($I:$I,IFERROR(unique(filter(Prod_Prop!$H:$H,Prod_Prop!$G:$G=$U797,Prod_Prop!$E:$E=AB$1)),""Check""))=0),"""",IFERROR(unique(filter(Prod_Prop!$H:$H,Prod_Prop!$G:$G=$U797,Prod_Prop!$E:$E=AB$1)),""""))"),"")</f>
        <v/>
      </c>
      <c r="AC797" s="4" t="str">
        <f>IF(AB797="","",SUMIFS(Prod_Prop!$J:$J,Prod_Prop!$B:$B,$Q797,Prod_Prop!$H:$H,AB797,Prod_Prop!$I:$I,AC$1)*IF(AB797="Peso",$R797,1))</f>
        <v/>
      </c>
      <c r="AD797" s="4" t="str">
        <f>IF(AB797="","",SUMIFS(Prod_Prop!$J:$J,Prod_Prop!$B:$B,$Q797,Prod_Prop!$H:$H,AB797,Prod_Prop!$I:$I,AD$1)*IF(AB797="Peso",$R797,1))</f>
        <v/>
      </c>
    </row>
    <row r="798">
      <c r="A798" s="4" t="str">
        <f t="array" ref="A798">IF(COUNTIF(A$1:A797,Cotizador!F$2)=maxifs(Familias!E:E,Familias!D:D,Cotizador!F$2),IF(COUNTIF(A$1:A797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8" s="4" t="str">
        <f t="shared" si="1"/>
        <v/>
      </c>
      <c r="C798" s="4" t="str">
        <f t="array" ref="C798">IF(B798="","",IF(A798=XLOOKUP(A$2,Implementos!B:B,Implementos!C:C,"",0,1),B798+maxifs(B$1:B797,A$1:A797,A$2),B798))</f>
        <v/>
      </c>
      <c r="D798" s="4" t="str">
        <f>IF(B798="","", COUNTIFS(Productos!F:F,A798,Productos!H:H,B798)+IF(F798="SI",0,1))</f>
        <v/>
      </c>
      <c r="E798" s="4" t="str">
        <f>IFERROR(__xludf.DUMMYFUNCTION("IF($B798="""","""",INDEX(filter(Familias!F:F,Familias!$D:$D=$A798,Familias!$E:$E=$B798),1))"),"")</f>
        <v/>
      </c>
      <c r="F798" s="4" t="str">
        <f>IFERROR(__xludf.DUMMYFUNCTION("IF($B798="""","""",INDEX(filter(Familias!G:G,Familias!$D:$D=$A798,Familias!$E:$E=$B798),1))"),"")</f>
        <v/>
      </c>
      <c r="G798" s="4" t="str">
        <f t="array" ref="G798">IF(C798=1,XLOOKUP(C798,Cotizador!D:D,Cotizador!E:E,"",0,1),"")</f>
        <v/>
      </c>
      <c r="I798" s="4"/>
      <c r="J798" s="8" t="str">
        <f>IF(I798="","",SUMIF(Cotizador!I$1:V$1,I798,Cotizador!I$2:V$2))</f>
        <v/>
      </c>
      <c r="L798" s="4" t="str">
        <f t="array" ref="L798">IF(COUNTIF(L$1:L797,A$2)=SUMIF(A:A,A$2,D:D),IF(COUNTIF(L$1:L797,XLOOKUP(A$2,Implementos!B:B,Implementos!C:C,"",0,1))=SUMIF(A:A,XLOOKUP(A$2,Implementos!B:B,Implementos!C:C,"",0,1),D:D),"",XLOOKUP(A$2,Implementos!B:B,Implementos!C:C,"",0,1)),A$2)</f>
        <v/>
      </c>
      <c r="M798" s="4" t="str">
        <f t="shared" si="2"/>
        <v/>
      </c>
      <c r="N798" s="4" t="str">
        <f t="shared" si="3"/>
        <v/>
      </c>
      <c r="O798" s="4" t="str">
        <f t="shared" si="4"/>
        <v/>
      </c>
      <c r="P798" s="4" t="str">
        <f t="shared" si="5"/>
        <v/>
      </c>
      <c r="Q798" s="4" t="str">
        <f>IF(U798="","",SUMIF(Productos!E:E,U798,Productos!A:A))</f>
        <v/>
      </c>
      <c r="R798" s="4" t="str">
        <f t="array" ref="R798">IF(L798="","", max(1,SUMIF(I:I,XLOOKUP(U798,Productos!E:E,Productos!G:G,"",0,1),J:J)))</f>
        <v/>
      </c>
      <c r="S798" s="4" t="str">
        <f>IF(Q798="","",IF(SUMIFS(Compat_Vetado!D:D,Compat_Vetado!B:B,SUM(G:G),Compat_Vetado!C:C,Q798)=1,"SI",IF(OR(SUMIF(Cotizador!E:E,Q798,Cotizador!G:G)&gt;0,SUMIFS(Compat_Vetado!D:D,Compat_Vetado!B:B,SUM(G:G),Compat_Vetado!C:C,Q798)=-1),"NO","")))</f>
        <v/>
      </c>
      <c r="T798" s="4" t="str">
        <f t="shared" si="6"/>
        <v/>
      </c>
      <c r="U798" s="4" t="str">
        <f>IFERROR(__xludf.DUMMYFUNCTION("IF(P798="""","""",IFERROR(INDEX(filter(Productos!E:E,Productos!F:F=L798,Productos!H:H=N798),P798),IF(M798=SUM(D:D),""Finalizar"",""-"")))"),"")</f>
        <v/>
      </c>
      <c r="V798" s="4" t="str">
        <f>IFERROR(__xludf.DUMMYFUNCTION("IF(OR($U798="""",COUNTIF($I:$I,IFERROR(unique(filter(Prod_Prop!$H:$H,Prod_Prop!$G:$G=$U798,Prod_Prop!$E:$E=V$1)),""Check""))=0),"""",IFERROR(unique(filter(Prod_Prop!$H:$H,Prod_Prop!$G:$G=$U798,Prod_Prop!$E:$E=V$1)),""""))"),"")</f>
        <v/>
      </c>
      <c r="W798" s="4" t="str">
        <f>IF(V798="","",SUMIFS(Prod_Prop!$J:$J,Prod_Prop!$B:$B,$Q798,Prod_Prop!$H:$H,V798,Prod_Prop!$I:$I,W$1)*IF(V798="Peso",$R798,1))</f>
        <v/>
      </c>
      <c r="X798" s="4" t="str">
        <f>IF(V798="","",SUMIFS(Prod_Prop!$J:$J,Prod_Prop!$B:$B,$Q798,Prod_Prop!$H:$H,V798,Prod_Prop!$I:$I,X$1)*IF(V798="Peso",$R798,1))</f>
        <v/>
      </c>
      <c r="Y798" s="4" t="str">
        <f>IFERROR(__xludf.DUMMYFUNCTION("IF(OR($U798="""",COUNTIF($I:$I,IFERROR(unique(filter(Prod_Prop!$H:$H,Prod_Prop!$G:$G=$U798,Prod_Prop!$E:$E=Y$1)),""Check""))=0),"""",IFERROR(unique(filter(Prod_Prop!$H:$H,Prod_Prop!$G:$G=$U798,Prod_Prop!$E:$E=Y$1)),""""))"),"")</f>
        <v/>
      </c>
      <c r="Z798" s="4" t="str">
        <f>IF(Y798="","",SUMIFS(Prod_Prop!$J:$J,Prod_Prop!$B:$B,$Q798,Prod_Prop!$H:$H,Y798,Prod_Prop!$I:$I,Z$1)*IF(Y798="Peso",$R798,1))</f>
        <v/>
      </c>
      <c r="AA798" s="4" t="str">
        <f>IF(Y798="","",SUMIFS(Prod_Prop!$J:$J,Prod_Prop!$B:$B,$Q798,Prod_Prop!$H:$H,Y798,Prod_Prop!$I:$I,AA$1)*IF(Y798="Peso",$R798,1))</f>
        <v/>
      </c>
      <c r="AB798" s="4" t="str">
        <f>IFERROR(__xludf.DUMMYFUNCTION("IF(OR($U798="""",COUNTIF($I:$I,IFERROR(unique(filter(Prod_Prop!$H:$H,Prod_Prop!$G:$G=$U798,Prod_Prop!$E:$E=AB$1)),""Check""))=0),"""",IFERROR(unique(filter(Prod_Prop!$H:$H,Prod_Prop!$G:$G=$U798,Prod_Prop!$E:$E=AB$1)),""""))"),"")</f>
        <v/>
      </c>
      <c r="AC798" s="4" t="str">
        <f>IF(AB798="","",SUMIFS(Prod_Prop!$J:$J,Prod_Prop!$B:$B,$Q798,Prod_Prop!$H:$H,AB798,Prod_Prop!$I:$I,AC$1)*IF(AB798="Peso",$R798,1))</f>
        <v/>
      </c>
      <c r="AD798" s="4" t="str">
        <f>IF(AB798="","",SUMIFS(Prod_Prop!$J:$J,Prod_Prop!$B:$B,$Q798,Prod_Prop!$H:$H,AB798,Prod_Prop!$I:$I,AD$1)*IF(AB798="Peso",$R798,1))</f>
        <v/>
      </c>
    </row>
    <row r="799">
      <c r="A799" s="4" t="str">
        <f t="array" ref="A799">IF(COUNTIF(A$1:A798,Cotizador!F$2)=maxifs(Familias!E:E,Familias!D:D,Cotizador!F$2),IF(COUNTIF(A$1:A798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799" s="4" t="str">
        <f t="shared" si="1"/>
        <v/>
      </c>
      <c r="C799" s="4" t="str">
        <f t="array" ref="C799">IF(B799="","",IF(A799=XLOOKUP(A$2,Implementos!B:B,Implementos!C:C,"",0,1),B799+maxifs(B$1:B798,A$1:A798,A$2),B799))</f>
        <v/>
      </c>
      <c r="D799" s="4" t="str">
        <f>IF(B799="","", COUNTIFS(Productos!F:F,A799,Productos!H:H,B799)+IF(F799="SI",0,1))</f>
        <v/>
      </c>
      <c r="E799" s="4" t="str">
        <f>IFERROR(__xludf.DUMMYFUNCTION("IF($B799="""","""",INDEX(filter(Familias!F:F,Familias!$D:$D=$A799,Familias!$E:$E=$B799),1))"),"")</f>
        <v/>
      </c>
      <c r="F799" s="4" t="str">
        <f>IFERROR(__xludf.DUMMYFUNCTION("IF($B799="""","""",INDEX(filter(Familias!G:G,Familias!$D:$D=$A799,Familias!$E:$E=$B799),1))"),"")</f>
        <v/>
      </c>
      <c r="G799" s="4" t="str">
        <f t="array" ref="G799">IF(C799=1,XLOOKUP(C799,Cotizador!D:D,Cotizador!E:E,"",0,1),"")</f>
        <v/>
      </c>
      <c r="I799" s="4"/>
      <c r="J799" s="8" t="str">
        <f>IF(I799="","",SUMIF(Cotizador!I$1:V$1,I799,Cotizador!I$2:V$2))</f>
        <v/>
      </c>
      <c r="L799" s="4" t="str">
        <f t="array" ref="L799">IF(COUNTIF(L$1:L798,A$2)=SUMIF(A:A,A$2,D:D),IF(COUNTIF(L$1:L798,XLOOKUP(A$2,Implementos!B:B,Implementos!C:C,"",0,1))=SUMIF(A:A,XLOOKUP(A$2,Implementos!B:B,Implementos!C:C,"",0,1),D:D),"",XLOOKUP(A$2,Implementos!B:B,Implementos!C:C,"",0,1)),A$2)</f>
        <v/>
      </c>
      <c r="M799" s="4" t="str">
        <f t="shared" si="2"/>
        <v/>
      </c>
      <c r="N799" s="4" t="str">
        <f t="shared" si="3"/>
        <v/>
      </c>
      <c r="O799" s="4" t="str">
        <f t="shared" si="4"/>
        <v/>
      </c>
      <c r="P799" s="4" t="str">
        <f t="shared" si="5"/>
        <v/>
      </c>
      <c r="Q799" s="4" t="str">
        <f>IF(U799="","",SUMIF(Productos!E:E,U799,Productos!A:A))</f>
        <v/>
      </c>
      <c r="R799" s="4" t="str">
        <f t="array" ref="R799">IF(L799="","", max(1,SUMIF(I:I,XLOOKUP(U799,Productos!E:E,Productos!G:G,"",0,1),J:J)))</f>
        <v/>
      </c>
      <c r="S799" s="4" t="str">
        <f>IF(Q799="","",IF(SUMIFS(Compat_Vetado!D:D,Compat_Vetado!B:B,SUM(G:G),Compat_Vetado!C:C,Q799)=1,"SI",IF(OR(SUMIF(Cotizador!E:E,Q799,Cotizador!G:G)&gt;0,SUMIFS(Compat_Vetado!D:D,Compat_Vetado!B:B,SUM(G:G),Compat_Vetado!C:C,Q799)=-1),"NO","")))</f>
        <v/>
      </c>
      <c r="T799" s="4" t="str">
        <f t="shared" si="6"/>
        <v/>
      </c>
      <c r="U799" s="4" t="str">
        <f>IFERROR(__xludf.DUMMYFUNCTION("IF(P799="""","""",IFERROR(INDEX(filter(Productos!E:E,Productos!F:F=L799,Productos!H:H=N799),P799),IF(M799=SUM(D:D),""Finalizar"",""-"")))"),"")</f>
        <v/>
      </c>
      <c r="V799" s="4" t="str">
        <f>IFERROR(__xludf.DUMMYFUNCTION("IF(OR($U799="""",COUNTIF($I:$I,IFERROR(unique(filter(Prod_Prop!$H:$H,Prod_Prop!$G:$G=$U799,Prod_Prop!$E:$E=V$1)),""Check""))=0),"""",IFERROR(unique(filter(Prod_Prop!$H:$H,Prod_Prop!$G:$G=$U799,Prod_Prop!$E:$E=V$1)),""""))"),"")</f>
        <v/>
      </c>
      <c r="W799" s="4" t="str">
        <f>IF(V799="","",SUMIFS(Prod_Prop!$J:$J,Prod_Prop!$B:$B,$Q799,Prod_Prop!$H:$H,V799,Prod_Prop!$I:$I,W$1)*IF(V799="Peso",$R799,1))</f>
        <v/>
      </c>
      <c r="X799" s="4" t="str">
        <f>IF(V799="","",SUMIFS(Prod_Prop!$J:$J,Prod_Prop!$B:$B,$Q799,Prod_Prop!$H:$H,V799,Prod_Prop!$I:$I,X$1)*IF(V799="Peso",$R799,1))</f>
        <v/>
      </c>
      <c r="Y799" s="4" t="str">
        <f>IFERROR(__xludf.DUMMYFUNCTION("IF(OR($U799="""",COUNTIF($I:$I,IFERROR(unique(filter(Prod_Prop!$H:$H,Prod_Prop!$G:$G=$U799,Prod_Prop!$E:$E=Y$1)),""Check""))=0),"""",IFERROR(unique(filter(Prod_Prop!$H:$H,Prod_Prop!$G:$G=$U799,Prod_Prop!$E:$E=Y$1)),""""))"),"")</f>
        <v/>
      </c>
      <c r="Z799" s="4" t="str">
        <f>IF(Y799="","",SUMIFS(Prod_Prop!$J:$J,Prod_Prop!$B:$B,$Q799,Prod_Prop!$H:$H,Y799,Prod_Prop!$I:$I,Z$1)*IF(Y799="Peso",$R799,1))</f>
        <v/>
      </c>
      <c r="AA799" s="4" t="str">
        <f>IF(Y799="","",SUMIFS(Prod_Prop!$J:$J,Prod_Prop!$B:$B,$Q799,Prod_Prop!$H:$H,Y799,Prod_Prop!$I:$I,AA$1)*IF(Y799="Peso",$R799,1))</f>
        <v/>
      </c>
      <c r="AB799" s="4" t="str">
        <f>IFERROR(__xludf.DUMMYFUNCTION("IF(OR($U799="""",COUNTIF($I:$I,IFERROR(unique(filter(Prod_Prop!$H:$H,Prod_Prop!$G:$G=$U799,Prod_Prop!$E:$E=AB$1)),""Check""))=0),"""",IFERROR(unique(filter(Prod_Prop!$H:$H,Prod_Prop!$G:$G=$U799,Prod_Prop!$E:$E=AB$1)),""""))"),"")</f>
        <v/>
      </c>
      <c r="AC799" s="4" t="str">
        <f>IF(AB799="","",SUMIFS(Prod_Prop!$J:$J,Prod_Prop!$B:$B,$Q799,Prod_Prop!$H:$H,AB799,Prod_Prop!$I:$I,AC$1)*IF(AB799="Peso",$R799,1))</f>
        <v/>
      </c>
      <c r="AD799" s="4" t="str">
        <f>IF(AB799="","",SUMIFS(Prod_Prop!$J:$J,Prod_Prop!$B:$B,$Q799,Prod_Prop!$H:$H,AB799,Prod_Prop!$I:$I,AD$1)*IF(AB799="Peso",$R799,1))</f>
        <v/>
      </c>
    </row>
    <row r="800">
      <c r="A800" s="4" t="str">
        <f t="array" ref="A800">IF(COUNTIF(A$1:A799,Cotizador!F$2)=maxifs(Familias!E:E,Familias!D:D,Cotizador!F$2),IF(COUNTIF(A$1:A799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0" s="4" t="str">
        <f t="shared" si="1"/>
        <v/>
      </c>
      <c r="C800" s="4" t="str">
        <f t="array" ref="C800">IF(B800="","",IF(A800=XLOOKUP(A$2,Implementos!B:B,Implementos!C:C,"",0,1),B800+maxifs(B$1:B799,A$1:A799,A$2),B800))</f>
        <v/>
      </c>
      <c r="D800" s="4" t="str">
        <f>IF(B800="","", COUNTIFS(Productos!F:F,A800,Productos!H:H,B800)+IF(F800="SI",0,1))</f>
        <v/>
      </c>
      <c r="E800" s="4" t="str">
        <f>IFERROR(__xludf.DUMMYFUNCTION("IF($B800="""","""",INDEX(filter(Familias!F:F,Familias!$D:$D=$A800,Familias!$E:$E=$B800),1))"),"")</f>
        <v/>
      </c>
      <c r="F800" s="4" t="str">
        <f>IFERROR(__xludf.DUMMYFUNCTION("IF($B800="""","""",INDEX(filter(Familias!G:G,Familias!$D:$D=$A800,Familias!$E:$E=$B800),1))"),"")</f>
        <v/>
      </c>
      <c r="G800" s="4" t="str">
        <f t="array" ref="G800">IF(C800=1,XLOOKUP(C800,Cotizador!D:D,Cotizador!E:E,"",0,1),"")</f>
        <v/>
      </c>
      <c r="I800" s="4"/>
      <c r="J800" s="8" t="str">
        <f>IF(I800="","",SUMIF(Cotizador!I$1:V$1,I800,Cotizador!I$2:V$2))</f>
        <v/>
      </c>
      <c r="L800" s="4" t="str">
        <f t="array" ref="L800">IF(COUNTIF(L$1:L799,A$2)=SUMIF(A:A,A$2,D:D),IF(COUNTIF(L$1:L799,XLOOKUP(A$2,Implementos!B:B,Implementos!C:C,"",0,1))=SUMIF(A:A,XLOOKUP(A$2,Implementos!B:B,Implementos!C:C,"",0,1),D:D),"",XLOOKUP(A$2,Implementos!B:B,Implementos!C:C,"",0,1)),A$2)</f>
        <v/>
      </c>
      <c r="M800" s="4" t="str">
        <f t="shared" si="2"/>
        <v/>
      </c>
      <c r="N800" s="4" t="str">
        <f t="shared" si="3"/>
        <v/>
      </c>
      <c r="O800" s="4" t="str">
        <f t="shared" si="4"/>
        <v/>
      </c>
      <c r="P800" s="4" t="str">
        <f t="shared" si="5"/>
        <v/>
      </c>
      <c r="Q800" s="4" t="str">
        <f>IF(U800="","",SUMIF(Productos!E:E,U800,Productos!A:A))</f>
        <v/>
      </c>
      <c r="R800" s="4" t="str">
        <f t="array" ref="R800">IF(L800="","", max(1,SUMIF(I:I,XLOOKUP(U800,Productos!E:E,Productos!G:G,"",0,1),J:J)))</f>
        <v/>
      </c>
      <c r="S800" s="4" t="str">
        <f>IF(Q800="","",IF(SUMIFS(Compat_Vetado!D:D,Compat_Vetado!B:B,SUM(G:G),Compat_Vetado!C:C,Q800)=1,"SI",IF(OR(SUMIF(Cotizador!E:E,Q800,Cotizador!G:G)&gt;0,SUMIFS(Compat_Vetado!D:D,Compat_Vetado!B:B,SUM(G:G),Compat_Vetado!C:C,Q800)=-1),"NO","")))</f>
        <v/>
      </c>
      <c r="T800" s="4" t="str">
        <f t="shared" si="6"/>
        <v/>
      </c>
      <c r="U800" s="4" t="str">
        <f>IFERROR(__xludf.DUMMYFUNCTION("IF(P800="""","""",IFERROR(INDEX(filter(Productos!E:E,Productos!F:F=L800,Productos!H:H=N800),P800),IF(M800=SUM(D:D),""Finalizar"",""-"")))"),"")</f>
        <v/>
      </c>
      <c r="V800" s="4" t="str">
        <f>IFERROR(__xludf.DUMMYFUNCTION("IF(OR($U800="""",COUNTIF($I:$I,IFERROR(unique(filter(Prod_Prop!$H:$H,Prod_Prop!$G:$G=$U800,Prod_Prop!$E:$E=V$1)),""Check""))=0),"""",IFERROR(unique(filter(Prod_Prop!$H:$H,Prod_Prop!$G:$G=$U800,Prod_Prop!$E:$E=V$1)),""""))"),"")</f>
        <v/>
      </c>
      <c r="W800" s="4" t="str">
        <f>IF(V800="","",SUMIFS(Prod_Prop!$J:$J,Prod_Prop!$B:$B,$Q800,Prod_Prop!$H:$H,V800,Prod_Prop!$I:$I,W$1)*IF(V800="Peso",$R800,1))</f>
        <v/>
      </c>
      <c r="X800" s="4" t="str">
        <f>IF(V800="","",SUMIFS(Prod_Prop!$J:$J,Prod_Prop!$B:$B,$Q800,Prod_Prop!$H:$H,V800,Prod_Prop!$I:$I,X$1)*IF(V800="Peso",$R800,1))</f>
        <v/>
      </c>
      <c r="Y800" s="4" t="str">
        <f>IFERROR(__xludf.DUMMYFUNCTION("IF(OR($U800="""",COUNTIF($I:$I,IFERROR(unique(filter(Prod_Prop!$H:$H,Prod_Prop!$G:$G=$U800,Prod_Prop!$E:$E=Y$1)),""Check""))=0),"""",IFERROR(unique(filter(Prod_Prop!$H:$H,Prod_Prop!$G:$G=$U800,Prod_Prop!$E:$E=Y$1)),""""))"),"")</f>
        <v/>
      </c>
      <c r="Z800" s="4" t="str">
        <f>IF(Y800="","",SUMIFS(Prod_Prop!$J:$J,Prod_Prop!$B:$B,$Q800,Prod_Prop!$H:$H,Y800,Prod_Prop!$I:$I,Z$1)*IF(Y800="Peso",$R800,1))</f>
        <v/>
      </c>
      <c r="AA800" s="4" t="str">
        <f>IF(Y800="","",SUMIFS(Prod_Prop!$J:$J,Prod_Prop!$B:$B,$Q800,Prod_Prop!$H:$H,Y800,Prod_Prop!$I:$I,AA$1)*IF(Y800="Peso",$R800,1))</f>
        <v/>
      </c>
      <c r="AB800" s="4" t="str">
        <f>IFERROR(__xludf.DUMMYFUNCTION("IF(OR($U800="""",COUNTIF($I:$I,IFERROR(unique(filter(Prod_Prop!$H:$H,Prod_Prop!$G:$G=$U800,Prod_Prop!$E:$E=AB$1)),""Check""))=0),"""",IFERROR(unique(filter(Prod_Prop!$H:$H,Prod_Prop!$G:$G=$U800,Prod_Prop!$E:$E=AB$1)),""""))"),"")</f>
        <v/>
      </c>
      <c r="AC800" s="4" t="str">
        <f>IF(AB800="","",SUMIFS(Prod_Prop!$J:$J,Prod_Prop!$B:$B,$Q800,Prod_Prop!$H:$H,AB800,Prod_Prop!$I:$I,AC$1)*IF(AB800="Peso",$R800,1))</f>
        <v/>
      </c>
      <c r="AD800" s="4" t="str">
        <f>IF(AB800="","",SUMIFS(Prod_Prop!$J:$J,Prod_Prop!$B:$B,$Q800,Prod_Prop!$H:$H,AB800,Prod_Prop!$I:$I,AD$1)*IF(AB800="Peso",$R800,1))</f>
        <v/>
      </c>
    </row>
    <row r="801">
      <c r="A801" s="4" t="str">
        <f t="array" ref="A801">IF(COUNTIF(A$1:A800,Cotizador!F$2)=maxifs(Familias!E:E,Familias!D:D,Cotizador!F$2),IF(COUNTIF(A$1:A800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1" s="4" t="str">
        <f t="shared" si="1"/>
        <v/>
      </c>
      <c r="C801" s="4" t="str">
        <f t="array" ref="C801">IF(B801="","",IF(A801=XLOOKUP(A$2,Implementos!B:B,Implementos!C:C,"",0,1),B801+maxifs(B$1:B800,A$1:A800,A$2),B801))</f>
        <v/>
      </c>
      <c r="D801" s="4" t="str">
        <f>IF(B801="","", COUNTIFS(Productos!F:F,A801,Productos!H:H,B801)+IF(F801="SI",0,1))</f>
        <v/>
      </c>
      <c r="E801" s="4" t="str">
        <f>IFERROR(__xludf.DUMMYFUNCTION("IF($B801="""","""",INDEX(filter(Familias!F:F,Familias!$D:$D=$A801,Familias!$E:$E=$B801),1))"),"")</f>
        <v/>
      </c>
      <c r="F801" s="4" t="str">
        <f>IFERROR(__xludf.DUMMYFUNCTION("IF($B801="""","""",INDEX(filter(Familias!G:G,Familias!$D:$D=$A801,Familias!$E:$E=$B801),1))"),"")</f>
        <v/>
      </c>
      <c r="G801" s="4" t="str">
        <f t="array" ref="G801">IF(C801=1,XLOOKUP(C801,Cotizador!D:D,Cotizador!E:E,"",0,1),"")</f>
        <v/>
      </c>
      <c r="I801" s="4"/>
      <c r="J801" s="8" t="str">
        <f>IF(I801="","",SUMIF(Cotizador!I$1:V$1,I801,Cotizador!I$2:V$2))</f>
        <v/>
      </c>
      <c r="L801" s="4" t="str">
        <f t="array" ref="L801">IF(COUNTIF(L$1:L800,A$2)=SUMIF(A:A,A$2,D:D),IF(COUNTIF(L$1:L800,XLOOKUP(A$2,Implementos!B:B,Implementos!C:C,"",0,1))=SUMIF(A:A,XLOOKUP(A$2,Implementos!B:B,Implementos!C:C,"",0,1),D:D),"",XLOOKUP(A$2,Implementos!B:B,Implementos!C:C,"",0,1)),A$2)</f>
        <v/>
      </c>
      <c r="M801" s="4" t="str">
        <f t="shared" si="2"/>
        <v/>
      </c>
      <c r="N801" s="4" t="str">
        <f t="shared" si="3"/>
        <v/>
      </c>
      <c r="O801" s="4" t="str">
        <f t="shared" si="4"/>
        <v/>
      </c>
      <c r="P801" s="4" t="str">
        <f t="shared" si="5"/>
        <v/>
      </c>
      <c r="Q801" s="4" t="str">
        <f>IF(U801="","",SUMIF(Productos!E:E,U801,Productos!A:A))</f>
        <v/>
      </c>
      <c r="R801" s="4" t="str">
        <f t="array" ref="R801">IF(L801="","", max(1,SUMIF(I:I,XLOOKUP(U801,Productos!E:E,Productos!G:G,"",0,1),J:J)))</f>
        <v/>
      </c>
      <c r="S801" s="4" t="str">
        <f>IF(Q801="","",IF(SUMIFS(Compat_Vetado!D:D,Compat_Vetado!B:B,SUM(G:G),Compat_Vetado!C:C,Q801)=1,"SI",IF(OR(SUMIF(Cotizador!E:E,Q801,Cotizador!G:G)&gt;0,SUMIFS(Compat_Vetado!D:D,Compat_Vetado!B:B,SUM(G:G),Compat_Vetado!C:C,Q801)=-1),"NO","")))</f>
        <v/>
      </c>
      <c r="T801" s="4" t="str">
        <f t="shared" si="6"/>
        <v/>
      </c>
      <c r="U801" s="4" t="str">
        <f>IFERROR(__xludf.DUMMYFUNCTION("IF(P801="""","""",IFERROR(INDEX(filter(Productos!E:E,Productos!F:F=L801,Productos!H:H=N801),P801),IF(M801=SUM(D:D),""Finalizar"",""-"")))"),"")</f>
        <v/>
      </c>
      <c r="V801" s="4" t="str">
        <f>IFERROR(__xludf.DUMMYFUNCTION("IF(OR($U801="""",COUNTIF($I:$I,IFERROR(unique(filter(Prod_Prop!$H:$H,Prod_Prop!$G:$G=$U801,Prod_Prop!$E:$E=V$1)),""Check""))=0),"""",IFERROR(unique(filter(Prod_Prop!$H:$H,Prod_Prop!$G:$G=$U801,Prod_Prop!$E:$E=V$1)),""""))"),"")</f>
        <v/>
      </c>
      <c r="W801" s="4" t="str">
        <f>IF(V801="","",SUMIFS(Prod_Prop!$J:$J,Prod_Prop!$B:$B,$Q801,Prod_Prop!$H:$H,V801,Prod_Prop!$I:$I,W$1)*IF(V801="Peso",$R801,1))</f>
        <v/>
      </c>
      <c r="X801" s="4" t="str">
        <f>IF(V801="","",SUMIFS(Prod_Prop!$J:$J,Prod_Prop!$B:$B,$Q801,Prod_Prop!$H:$H,V801,Prod_Prop!$I:$I,X$1)*IF(V801="Peso",$R801,1))</f>
        <v/>
      </c>
      <c r="Y801" s="4" t="str">
        <f>IFERROR(__xludf.DUMMYFUNCTION("IF(OR($U801="""",COUNTIF($I:$I,IFERROR(unique(filter(Prod_Prop!$H:$H,Prod_Prop!$G:$G=$U801,Prod_Prop!$E:$E=Y$1)),""Check""))=0),"""",IFERROR(unique(filter(Prod_Prop!$H:$H,Prod_Prop!$G:$G=$U801,Prod_Prop!$E:$E=Y$1)),""""))"),"")</f>
        <v/>
      </c>
      <c r="Z801" s="4" t="str">
        <f>IF(Y801="","",SUMIFS(Prod_Prop!$J:$J,Prod_Prop!$B:$B,$Q801,Prod_Prop!$H:$H,Y801,Prod_Prop!$I:$I,Z$1)*IF(Y801="Peso",$R801,1))</f>
        <v/>
      </c>
      <c r="AA801" s="4" t="str">
        <f>IF(Y801="","",SUMIFS(Prod_Prop!$J:$J,Prod_Prop!$B:$B,$Q801,Prod_Prop!$H:$H,Y801,Prod_Prop!$I:$I,AA$1)*IF(Y801="Peso",$R801,1))</f>
        <v/>
      </c>
      <c r="AB801" s="4" t="str">
        <f>IFERROR(__xludf.DUMMYFUNCTION("IF(OR($U801="""",COUNTIF($I:$I,IFERROR(unique(filter(Prod_Prop!$H:$H,Prod_Prop!$G:$G=$U801,Prod_Prop!$E:$E=AB$1)),""Check""))=0),"""",IFERROR(unique(filter(Prod_Prop!$H:$H,Prod_Prop!$G:$G=$U801,Prod_Prop!$E:$E=AB$1)),""""))"),"")</f>
        <v/>
      </c>
      <c r="AC801" s="4" t="str">
        <f>IF(AB801="","",SUMIFS(Prod_Prop!$J:$J,Prod_Prop!$B:$B,$Q801,Prod_Prop!$H:$H,AB801,Prod_Prop!$I:$I,AC$1)*IF(AB801="Peso",$R801,1))</f>
        <v/>
      </c>
      <c r="AD801" s="4" t="str">
        <f>IF(AB801="","",SUMIFS(Prod_Prop!$J:$J,Prod_Prop!$B:$B,$Q801,Prod_Prop!$H:$H,AB801,Prod_Prop!$I:$I,AD$1)*IF(AB801="Peso",$R801,1))</f>
        <v/>
      </c>
    </row>
    <row r="802">
      <c r="A802" s="4" t="str">
        <f t="array" ref="A802">IF(COUNTIF(A$1:A801,Cotizador!F$2)=maxifs(Familias!E:E,Familias!D:D,Cotizador!F$2),IF(COUNTIF(A$1:A801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2" s="4" t="str">
        <f t="shared" si="1"/>
        <v/>
      </c>
      <c r="C802" s="4" t="str">
        <f t="array" ref="C802">IF(B802="","",IF(A802=XLOOKUP(A$2,Implementos!B:B,Implementos!C:C,"",0,1),B802+maxifs(B$1:B801,A$1:A801,A$2),B802))</f>
        <v/>
      </c>
      <c r="D802" s="4" t="str">
        <f>IF(B802="","", COUNTIFS(Productos!F:F,A802,Productos!H:H,B802)+IF(F802="SI",0,1))</f>
        <v/>
      </c>
      <c r="E802" s="4" t="str">
        <f>IFERROR(__xludf.DUMMYFUNCTION("IF($B802="""","""",INDEX(filter(Familias!F:F,Familias!$D:$D=$A802,Familias!$E:$E=$B802),1))"),"")</f>
        <v/>
      </c>
      <c r="F802" s="4" t="str">
        <f>IFERROR(__xludf.DUMMYFUNCTION("IF($B802="""","""",INDEX(filter(Familias!G:G,Familias!$D:$D=$A802,Familias!$E:$E=$B802),1))"),"")</f>
        <v/>
      </c>
      <c r="G802" s="4" t="str">
        <f t="array" ref="G802">IF(C802=1,XLOOKUP(C802,Cotizador!D:D,Cotizador!E:E,"",0,1),"")</f>
        <v/>
      </c>
      <c r="I802" s="4"/>
      <c r="J802" s="8" t="str">
        <f>IF(I802="","",SUMIF(Cotizador!I$1:V$1,I802,Cotizador!I$2:V$2))</f>
        <v/>
      </c>
      <c r="L802" s="4" t="str">
        <f t="array" ref="L802">IF(COUNTIF(L$1:L801,A$2)=SUMIF(A:A,A$2,D:D),IF(COUNTIF(L$1:L801,XLOOKUP(A$2,Implementos!B:B,Implementos!C:C,"",0,1))=SUMIF(A:A,XLOOKUP(A$2,Implementos!B:B,Implementos!C:C,"",0,1),D:D),"",XLOOKUP(A$2,Implementos!B:B,Implementos!C:C,"",0,1)),A$2)</f>
        <v/>
      </c>
      <c r="M802" s="4" t="str">
        <f t="shared" si="2"/>
        <v/>
      </c>
      <c r="N802" s="4" t="str">
        <f t="shared" si="3"/>
        <v/>
      </c>
      <c r="O802" s="4" t="str">
        <f t="shared" si="4"/>
        <v/>
      </c>
      <c r="P802" s="4" t="str">
        <f t="shared" si="5"/>
        <v/>
      </c>
      <c r="Q802" s="4" t="str">
        <f>IF(U802="","",SUMIF(Productos!E:E,U802,Productos!A:A))</f>
        <v/>
      </c>
      <c r="R802" s="4" t="str">
        <f t="array" ref="R802">IF(L802="","", max(1,SUMIF(I:I,XLOOKUP(U802,Productos!E:E,Productos!G:G,"",0,1),J:J)))</f>
        <v/>
      </c>
      <c r="S802" s="4" t="str">
        <f>IF(Q802="","",IF(SUMIFS(Compat_Vetado!D:D,Compat_Vetado!B:B,SUM(G:G),Compat_Vetado!C:C,Q802)=1,"SI",IF(OR(SUMIF(Cotizador!E:E,Q802,Cotizador!G:G)&gt;0,SUMIFS(Compat_Vetado!D:D,Compat_Vetado!B:B,SUM(G:G),Compat_Vetado!C:C,Q802)=-1),"NO","")))</f>
        <v/>
      </c>
      <c r="T802" s="4" t="str">
        <f t="shared" si="6"/>
        <v/>
      </c>
      <c r="U802" s="4" t="str">
        <f>IFERROR(__xludf.DUMMYFUNCTION("IF(P802="""","""",IFERROR(INDEX(filter(Productos!E:E,Productos!F:F=L802,Productos!H:H=N802),P802),IF(M802=SUM(D:D),""Finalizar"",""-"")))"),"")</f>
        <v/>
      </c>
      <c r="V802" s="4" t="str">
        <f>IFERROR(__xludf.DUMMYFUNCTION("IF(OR($U802="""",COUNTIF($I:$I,IFERROR(unique(filter(Prod_Prop!$H:$H,Prod_Prop!$G:$G=$U802,Prod_Prop!$E:$E=V$1)),""Check""))=0),"""",IFERROR(unique(filter(Prod_Prop!$H:$H,Prod_Prop!$G:$G=$U802,Prod_Prop!$E:$E=V$1)),""""))"),"")</f>
        <v/>
      </c>
      <c r="W802" s="4" t="str">
        <f>IF(V802="","",SUMIFS(Prod_Prop!$J:$J,Prod_Prop!$B:$B,$Q802,Prod_Prop!$H:$H,V802,Prod_Prop!$I:$I,W$1)*IF(V802="Peso",$R802,1))</f>
        <v/>
      </c>
      <c r="X802" s="4" t="str">
        <f>IF(V802="","",SUMIFS(Prod_Prop!$J:$J,Prod_Prop!$B:$B,$Q802,Prod_Prop!$H:$H,V802,Prod_Prop!$I:$I,X$1)*IF(V802="Peso",$R802,1))</f>
        <v/>
      </c>
      <c r="Y802" s="4" t="str">
        <f>IFERROR(__xludf.DUMMYFUNCTION("IF(OR($U802="""",COUNTIF($I:$I,IFERROR(unique(filter(Prod_Prop!$H:$H,Prod_Prop!$G:$G=$U802,Prod_Prop!$E:$E=Y$1)),""Check""))=0),"""",IFERROR(unique(filter(Prod_Prop!$H:$H,Prod_Prop!$G:$G=$U802,Prod_Prop!$E:$E=Y$1)),""""))"),"")</f>
        <v/>
      </c>
      <c r="Z802" s="4" t="str">
        <f>IF(Y802="","",SUMIFS(Prod_Prop!$J:$J,Prod_Prop!$B:$B,$Q802,Prod_Prop!$H:$H,Y802,Prod_Prop!$I:$I,Z$1)*IF(Y802="Peso",$R802,1))</f>
        <v/>
      </c>
      <c r="AA802" s="4" t="str">
        <f>IF(Y802="","",SUMIFS(Prod_Prop!$J:$J,Prod_Prop!$B:$B,$Q802,Prod_Prop!$H:$H,Y802,Prod_Prop!$I:$I,AA$1)*IF(Y802="Peso",$R802,1))</f>
        <v/>
      </c>
      <c r="AB802" s="4" t="str">
        <f>IFERROR(__xludf.DUMMYFUNCTION("IF(OR($U802="""",COUNTIF($I:$I,IFERROR(unique(filter(Prod_Prop!$H:$H,Prod_Prop!$G:$G=$U802,Prod_Prop!$E:$E=AB$1)),""Check""))=0),"""",IFERROR(unique(filter(Prod_Prop!$H:$H,Prod_Prop!$G:$G=$U802,Prod_Prop!$E:$E=AB$1)),""""))"),"")</f>
        <v/>
      </c>
      <c r="AC802" s="4" t="str">
        <f>IF(AB802="","",SUMIFS(Prod_Prop!$J:$J,Prod_Prop!$B:$B,$Q802,Prod_Prop!$H:$H,AB802,Prod_Prop!$I:$I,AC$1)*IF(AB802="Peso",$R802,1))</f>
        <v/>
      </c>
      <c r="AD802" s="4" t="str">
        <f>IF(AB802="","",SUMIFS(Prod_Prop!$J:$J,Prod_Prop!$B:$B,$Q802,Prod_Prop!$H:$H,AB802,Prod_Prop!$I:$I,AD$1)*IF(AB802="Peso",$R802,1))</f>
        <v/>
      </c>
    </row>
    <row r="803">
      <c r="A803" s="4" t="str">
        <f t="array" ref="A803">IF(COUNTIF(A$1:A802,Cotizador!F$2)=maxifs(Familias!E:E,Familias!D:D,Cotizador!F$2),IF(COUNTIF(A$1:A802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3" s="4" t="str">
        <f t="shared" si="1"/>
        <v/>
      </c>
      <c r="C803" s="4" t="str">
        <f t="array" ref="C803">IF(B803="","",IF(A803=XLOOKUP(A$2,Implementos!B:B,Implementos!C:C,"",0,1),B803+maxifs(B$1:B802,A$1:A802,A$2),B803))</f>
        <v/>
      </c>
      <c r="D803" s="4" t="str">
        <f>IF(B803="","", COUNTIFS(Productos!F:F,A803,Productos!H:H,B803)+IF(F803="SI",0,1))</f>
        <v/>
      </c>
      <c r="E803" s="4" t="str">
        <f>IFERROR(__xludf.DUMMYFUNCTION("IF($B803="""","""",INDEX(filter(Familias!F:F,Familias!$D:$D=$A803,Familias!$E:$E=$B803),1))"),"")</f>
        <v/>
      </c>
      <c r="F803" s="4" t="str">
        <f>IFERROR(__xludf.DUMMYFUNCTION("IF($B803="""","""",INDEX(filter(Familias!G:G,Familias!$D:$D=$A803,Familias!$E:$E=$B803),1))"),"")</f>
        <v/>
      </c>
      <c r="G803" s="4" t="str">
        <f t="array" ref="G803">IF(C803=1,XLOOKUP(C803,Cotizador!D:D,Cotizador!E:E,"",0,1),"")</f>
        <v/>
      </c>
      <c r="I803" s="4"/>
      <c r="J803" s="8" t="str">
        <f>IF(I803="","",SUMIF(Cotizador!I$1:V$1,I803,Cotizador!I$2:V$2))</f>
        <v/>
      </c>
      <c r="L803" s="4" t="str">
        <f t="array" ref="L803">IF(COUNTIF(L$1:L802,A$2)=SUMIF(A:A,A$2,D:D),IF(COUNTIF(L$1:L802,XLOOKUP(A$2,Implementos!B:B,Implementos!C:C,"",0,1))=SUMIF(A:A,XLOOKUP(A$2,Implementos!B:B,Implementos!C:C,"",0,1),D:D),"",XLOOKUP(A$2,Implementos!B:B,Implementos!C:C,"",0,1)),A$2)</f>
        <v/>
      </c>
      <c r="M803" s="4" t="str">
        <f t="shared" si="2"/>
        <v/>
      </c>
      <c r="N803" s="4" t="str">
        <f t="shared" si="3"/>
        <v/>
      </c>
      <c r="O803" s="4" t="str">
        <f t="shared" si="4"/>
        <v/>
      </c>
      <c r="P803" s="4" t="str">
        <f t="shared" si="5"/>
        <v/>
      </c>
      <c r="Q803" s="4" t="str">
        <f>IF(U803="","",SUMIF(Productos!E:E,U803,Productos!A:A))</f>
        <v/>
      </c>
      <c r="R803" s="4" t="str">
        <f t="array" ref="R803">IF(L803="","", max(1,SUMIF(I:I,XLOOKUP(U803,Productos!E:E,Productos!G:G,"",0,1),J:J)))</f>
        <v/>
      </c>
      <c r="S803" s="4" t="str">
        <f>IF(Q803="","",IF(SUMIFS(Compat_Vetado!D:D,Compat_Vetado!B:B,SUM(G:G),Compat_Vetado!C:C,Q803)=1,"SI",IF(OR(SUMIF(Cotizador!E:E,Q803,Cotizador!G:G)&gt;0,SUMIFS(Compat_Vetado!D:D,Compat_Vetado!B:B,SUM(G:G),Compat_Vetado!C:C,Q803)=-1),"NO","")))</f>
        <v/>
      </c>
      <c r="T803" s="4" t="str">
        <f t="shared" si="6"/>
        <v/>
      </c>
      <c r="U803" s="4" t="str">
        <f>IFERROR(__xludf.DUMMYFUNCTION("IF(P803="""","""",IFERROR(INDEX(filter(Productos!E:E,Productos!F:F=L803,Productos!H:H=N803),P803),IF(M803=SUM(D:D),""Finalizar"",""-"")))"),"")</f>
        <v/>
      </c>
      <c r="V803" s="4" t="str">
        <f>IFERROR(__xludf.DUMMYFUNCTION("IF(OR($U803="""",COUNTIF($I:$I,IFERROR(unique(filter(Prod_Prop!$H:$H,Prod_Prop!$G:$G=$U803,Prod_Prop!$E:$E=V$1)),""Check""))=0),"""",IFERROR(unique(filter(Prod_Prop!$H:$H,Prod_Prop!$G:$G=$U803,Prod_Prop!$E:$E=V$1)),""""))"),"")</f>
        <v/>
      </c>
      <c r="W803" s="4" t="str">
        <f>IF(V803="","",SUMIFS(Prod_Prop!$J:$J,Prod_Prop!$B:$B,$Q803,Prod_Prop!$H:$H,V803,Prod_Prop!$I:$I,W$1)*IF(V803="Peso",$R803,1))</f>
        <v/>
      </c>
      <c r="X803" s="4" t="str">
        <f>IF(V803="","",SUMIFS(Prod_Prop!$J:$J,Prod_Prop!$B:$B,$Q803,Prod_Prop!$H:$H,V803,Prod_Prop!$I:$I,X$1)*IF(V803="Peso",$R803,1))</f>
        <v/>
      </c>
      <c r="Y803" s="4" t="str">
        <f>IFERROR(__xludf.DUMMYFUNCTION("IF(OR($U803="""",COUNTIF($I:$I,IFERROR(unique(filter(Prod_Prop!$H:$H,Prod_Prop!$G:$G=$U803,Prod_Prop!$E:$E=Y$1)),""Check""))=0),"""",IFERROR(unique(filter(Prod_Prop!$H:$H,Prod_Prop!$G:$G=$U803,Prod_Prop!$E:$E=Y$1)),""""))"),"")</f>
        <v/>
      </c>
      <c r="Z803" s="4" t="str">
        <f>IF(Y803="","",SUMIFS(Prod_Prop!$J:$J,Prod_Prop!$B:$B,$Q803,Prod_Prop!$H:$H,Y803,Prod_Prop!$I:$I,Z$1)*IF(Y803="Peso",$R803,1))</f>
        <v/>
      </c>
      <c r="AA803" s="4" t="str">
        <f>IF(Y803="","",SUMIFS(Prod_Prop!$J:$J,Prod_Prop!$B:$B,$Q803,Prod_Prop!$H:$H,Y803,Prod_Prop!$I:$I,AA$1)*IF(Y803="Peso",$R803,1))</f>
        <v/>
      </c>
      <c r="AB803" s="4" t="str">
        <f>IFERROR(__xludf.DUMMYFUNCTION("IF(OR($U803="""",COUNTIF($I:$I,IFERROR(unique(filter(Prod_Prop!$H:$H,Prod_Prop!$G:$G=$U803,Prod_Prop!$E:$E=AB$1)),""Check""))=0),"""",IFERROR(unique(filter(Prod_Prop!$H:$H,Prod_Prop!$G:$G=$U803,Prod_Prop!$E:$E=AB$1)),""""))"),"")</f>
        <v/>
      </c>
      <c r="AC803" s="4" t="str">
        <f>IF(AB803="","",SUMIFS(Prod_Prop!$J:$J,Prod_Prop!$B:$B,$Q803,Prod_Prop!$H:$H,AB803,Prod_Prop!$I:$I,AC$1)*IF(AB803="Peso",$R803,1))</f>
        <v/>
      </c>
      <c r="AD803" s="4" t="str">
        <f>IF(AB803="","",SUMIFS(Prod_Prop!$J:$J,Prod_Prop!$B:$B,$Q803,Prod_Prop!$H:$H,AB803,Prod_Prop!$I:$I,AD$1)*IF(AB803="Peso",$R803,1))</f>
        <v/>
      </c>
    </row>
    <row r="804">
      <c r="A804" s="4" t="str">
        <f t="array" ref="A804">IF(COUNTIF(A$1:A803,Cotizador!F$2)=maxifs(Familias!E:E,Familias!D:D,Cotizador!F$2),IF(COUNTIF(A$1:A803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4" s="4" t="str">
        <f t="shared" si="1"/>
        <v/>
      </c>
      <c r="C804" s="4" t="str">
        <f t="array" ref="C804">IF(B804="","",IF(A804=XLOOKUP(A$2,Implementos!B:B,Implementos!C:C,"",0,1),B804+maxifs(B$1:B803,A$1:A803,A$2),B804))</f>
        <v/>
      </c>
      <c r="D804" s="4" t="str">
        <f>IF(B804="","", COUNTIFS(Productos!F:F,A804,Productos!H:H,B804)+IF(F804="SI",0,1))</f>
        <v/>
      </c>
      <c r="E804" s="4" t="str">
        <f>IFERROR(__xludf.DUMMYFUNCTION("IF($B804="""","""",INDEX(filter(Familias!F:F,Familias!$D:$D=$A804,Familias!$E:$E=$B804),1))"),"")</f>
        <v/>
      </c>
      <c r="F804" s="4" t="str">
        <f>IFERROR(__xludf.DUMMYFUNCTION("IF($B804="""","""",INDEX(filter(Familias!G:G,Familias!$D:$D=$A804,Familias!$E:$E=$B804),1))"),"")</f>
        <v/>
      </c>
      <c r="G804" s="4" t="str">
        <f t="array" ref="G804">IF(C804=1,XLOOKUP(C804,Cotizador!D:D,Cotizador!E:E,"",0,1),"")</f>
        <v/>
      </c>
      <c r="I804" s="4"/>
      <c r="J804" s="8" t="str">
        <f>IF(I804="","",SUMIF(Cotizador!I$1:V$1,I804,Cotizador!I$2:V$2))</f>
        <v/>
      </c>
      <c r="L804" s="4" t="str">
        <f t="array" ref="L804">IF(COUNTIF(L$1:L803,A$2)=SUMIF(A:A,A$2,D:D),IF(COUNTIF(L$1:L803,XLOOKUP(A$2,Implementos!B:B,Implementos!C:C,"",0,1))=SUMIF(A:A,XLOOKUP(A$2,Implementos!B:B,Implementos!C:C,"",0,1),D:D),"",XLOOKUP(A$2,Implementos!B:B,Implementos!C:C,"",0,1)),A$2)</f>
        <v/>
      </c>
      <c r="M804" s="4" t="str">
        <f t="shared" si="2"/>
        <v/>
      </c>
      <c r="N804" s="4" t="str">
        <f t="shared" si="3"/>
        <v/>
      </c>
      <c r="O804" s="4" t="str">
        <f t="shared" si="4"/>
        <v/>
      </c>
      <c r="P804" s="4" t="str">
        <f t="shared" si="5"/>
        <v/>
      </c>
      <c r="Q804" s="4" t="str">
        <f>IF(U804="","",SUMIF(Productos!E:E,U804,Productos!A:A))</f>
        <v/>
      </c>
      <c r="R804" s="4" t="str">
        <f t="array" ref="R804">IF(L804="","", max(1,SUMIF(I:I,XLOOKUP(U804,Productos!E:E,Productos!G:G,"",0,1),J:J)))</f>
        <v/>
      </c>
      <c r="S804" s="4" t="str">
        <f>IF(Q804="","",IF(SUMIFS(Compat_Vetado!D:D,Compat_Vetado!B:B,SUM(G:G),Compat_Vetado!C:C,Q804)=1,"SI",IF(OR(SUMIF(Cotizador!E:E,Q804,Cotizador!G:G)&gt;0,SUMIFS(Compat_Vetado!D:D,Compat_Vetado!B:B,SUM(G:G),Compat_Vetado!C:C,Q804)=-1),"NO","")))</f>
        <v/>
      </c>
      <c r="T804" s="4" t="str">
        <f t="shared" si="6"/>
        <v/>
      </c>
      <c r="U804" s="4" t="str">
        <f>IFERROR(__xludf.DUMMYFUNCTION("IF(P804="""","""",IFERROR(INDEX(filter(Productos!E:E,Productos!F:F=L804,Productos!H:H=N804),P804),IF(M804=SUM(D:D),""Finalizar"",""-"")))"),"")</f>
        <v/>
      </c>
      <c r="V804" s="4" t="str">
        <f>IFERROR(__xludf.DUMMYFUNCTION("IF(OR($U804="""",COUNTIF($I:$I,IFERROR(unique(filter(Prod_Prop!$H:$H,Prod_Prop!$G:$G=$U804,Prod_Prop!$E:$E=V$1)),""Check""))=0),"""",IFERROR(unique(filter(Prod_Prop!$H:$H,Prod_Prop!$G:$G=$U804,Prod_Prop!$E:$E=V$1)),""""))"),"")</f>
        <v/>
      </c>
      <c r="W804" s="4" t="str">
        <f>IF(V804="","",SUMIFS(Prod_Prop!$J:$J,Prod_Prop!$B:$B,$Q804,Prod_Prop!$H:$H,V804,Prod_Prop!$I:$I,W$1)*IF(V804="Peso",$R804,1))</f>
        <v/>
      </c>
      <c r="X804" s="4" t="str">
        <f>IF(V804="","",SUMIFS(Prod_Prop!$J:$J,Prod_Prop!$B:$B,$Q804,Prod_Prop!$H:$H,V804,Prod_Prop!$I:$I,X$1)*IF(V804="Peso",$R804,1))</f>
        <v/>
      </c>
      <c r="Y804" s="4" t="str">
        <f>IFERROR(__xludf.DUMMYFUNCTION("IF(OR($U804="""",COUNTIF($I:$I,IFERROR(unique(filter(Prod_Prop!$H:$H,Prod_Prop!$G:$G=$U804,Prod_Prop!$E:$E=Y$1)),""Check""))=0),"""",IFERROR(unique(filter(Prod_Prop!$H:$H,Prod_Prop!$G:$G=$U804,Prod_Prop!$E:$E=Y$1)),""""))"),"")</f>
        <v/>
      </c>
      <c r="Z804" s="4" t="str">
        <f>IF(Y804="","",SUMIFS(Prod_Prop!$J:$J,Prod_Prop!$B:$B,$Q804,Prod_Prop!$H:$H,Y804,Prod_Prop!$I:$I,Z$1)*IF(Y804="Peso",$R804,1))</f>
        <v/>
      </c>
      <c r="AA804" s="4" t="str">
        <f>IF(Y804="","",SUMIFS(Prod_Prop!$J:$J,Prod_Prop!$B:$B,$Q804,Prod_Prop!$H:$H,Y804,Prod_Prop!$I:$I,AA$1)*IF(Y804="Peso",$R804,1))</f>
        <v/>
      </c>
      <c r="AB804" s="4" t="str">
        <f>IFERROR(__xludf.DUMMYFUNCTION("IF(OR($U804="""",COUNTIF($I:$I,IFERROR(unique(filter(Prod_Prop!$H:$H,Prod_Prop!$G:$G=$U804,Prod_Prop!$E:$E=AB$1)),""Check""))=0),"""",IFERROR(unique(filter(Prod_Prop!$H:$H,Prod_Prop!$G:$G=$U804,Prod_Prop!$E:$E=AB$1)),""""))"),"")</f>
        <v/>
      </c>
      <c r="AC804" s="4" t="str">
        <f>IF(AB804="","",SUMIFS(Prod_Prop!$J:$J,Prod_Prop!$B:$B,$Q804,Prod_Prop!$H:$H,AB804,Prod_Prop!$I:$I,AC$1)*IF(AB804="Peso",$R804,1))</f>
        <v/>
      </c>
      <c r="AD804" s="4" t="str">
        <f>IF(AB804="","",SUMIFS(Prod_Prop!$J:$J,Prod_Prop!$B:$B,$Q804,Prod_Prop!$H:$H,AB804,Prod_Prop!$I:$I,AD$1)*IF(AB804="Peso",$R804,1))</f>
        <v/>
      </c>
    </row>
    <row r="805">
      <c r="A805" s="4" t="str">
        <f t="array" ref="A805">IF(COUNTIF(A$1:A804,Cotizador!F$2)=maxifs(Familias!E:E,Familias!D:D,Cotizador!F$2),IF(COUNTIF(A$1:A804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5" s="4" t="str">
        <f t="shared" si="1"/>
        <v/>
      </c>
      <c r="C805" s="4" t="str">
        <f t="array" ref="C805">IF(B805="","",IF(A805=XLOOKUP(A$2,Implementos!B:B,Implementos!C:C,"",0,1),B805+maxifs(B$1:B804,A$1:A804,A$2),B805))</f>
        <v/>
      </c>
      <c r="D805" s="4" t="str">
        <f>IF(B805="","", COUNTIFS(Productos!F:F,A805,Productos!H:H,B805)+IF(F805="SI",0,1))</f>
        <v/>
      </c>
      <c r="E805" s="4" t="str">
        <f>IFERROR(__xludf.DUMMYFUNCTION("IF($B805="""","""",INDEX(filter(Familias!F:F,Familias!$D:$D=$A805,Familias!$E:$E=$B805),1))"),"")</f>
        <v/>
      </c>
      <c r="F805" s="4" t="str">
        <f>IFERROR(__xludf.DUMMYFUNCTION("IF($B805="""","""",INDEX(filter(Familias!G:G,Familias!$D:$D=$A805,Familias!$E:$E=$B805),1))"),"")</f>
        <v/>
      </c>
      <c r="G805" s="4" t="str">
        <f t="array" ref="G805">IF(C805=1,XLOOKUP(C805,Cotizador!D:D,Cotizador!E:E,"",0,1),"")</f>
        <v/>
      </c>
      <c r="I805" s="4"/>
      <c r="J805" s="8" t="str">
        <f>IF(I805="","",SUMIF(Cotizador!I$1:V$1,I805,Cotizador!I$2:V$2))</f>
        <v/>
      </c>
      <c r="L805" s="4" t="str">
        <f t="array" ref="L805">IF(COUNTIF(L$1:L804,A$2)=SUMIF(A:A,A$2,D:D),IF(COUNTIF(L$1:L804,XLOOKUP(A$2,Implementos!B:B,Implementos!C:C,"",0,1))=SUMIF(A:A,XLOOKUP(A$2,Implementos!B:B,Implementos!C:C,"",0,1),D:D),"",XLOOKUP(A$2,Implementos!B:B,Implementos!C:C,"",0,1)),A$2)</f>
        <v/>
      </c>
      <c r="M805" s="4" t="str">
        <f t="shared" si="2"/>
        <v/>
      </c>
      <c r="N805" s="4" t="str">
        <f t="shared" si="3"/>
        <v/>
      </c>
      <c r="O805" s="4" t="str">
        <f t="shared" si="4"/>
        <v/>
      </c>
      <c r="P805" s="4" t="str">
        <f t="shared" si="5"/>
        <v/>
      </c>
      <c r="Q805" s="4" t="str">
        <f>IF(U805="","",SUMIF(Productos!E:E,U805,Productos!A:A))</f>
        <v/>
      </c>
      <c r="R805" s="4" t="str">
        <f t="array" ref="R805">IF(L805="","", max(1,SUMIF(I:I,XLOOKUP(U805,Productos!E:E,Productos!G:G,"",0,1),J:J)))</f>
        <v/>
      </c>
      <c r="S805" s="4" t="str">
        <f>IF(Q805="","",IF(SUMIFS(Compat_Vetado!D:D,Compat_Vetado!B:B,SUM(G:G),Compat_Vetado!C:C,Q805)=1,"SI",IF(OR(SUMIF(Cotizador!E:E,Q805,Cotizador!G:G)&gt;0,SUMIFS(Compat_Vetado!D:D,Compat_Vetado!B:B,SUM(G:G),Compat_Vetado!C:C,Q805)=-1),"NO","")))</f>
        <v/>
      </c>
      <c r="T805" s="4" t="str">
        <f t="shared" si="6"/>
        <v/>
      </c>
      <c r="U805" s="4" t="str">
        <f>IFERROR(__xludf.DUMMYFUNCTION("IF(P805="""","""",IFERROR(INDEX(filter(Productos!E:E,Productos!F:F=L805,Productos!H:H=N805),P805),IF(M805=SUM(D:D),""Finalizar"",""-"")))"),"")</f>
        <v/>
      </c>
      <c r="V805" s="4" t="str">
        <f>IFERROR(__xludf.DUMMYFUNCTION("IF(OR($U805="""",COUNTIF($I:$I,IFERROR(unique(filter(Prod_Prop!$H:$H,Prod_Prop!$G:$G=$U805,Prod_Prop!$E:$E=V$1)),""Check""))=0),"""",IFERROR(unique(filter(Prod_Prop!$H:$H,Prod_Prop!$G:$G=$U805,Prod_Prop!$E:$E=V$1)),""""))"),"")</f>
        <v/>
      </c>
      <c r="W805" s="4" t="str">
        <f>IF(V805="","",SUMIFS(Prod_Prop!$J:$J,Prod_Prop!$B:$B,$Q805,Prod_Prop!$H:$H,V805,Prod_Prop!$I:$I,W$1)*IF(V805="Peso",$R805,1))</f>
        <v/>
      </c>
      <c r="X805" s="4" t="str">
        <f>IF(V805="","",SUMIFS(Prod_Prop!$J:$J,Prod_Prop!$B:$B,$Q805,Prod_Prop!$H:$H,V805,Prod_Prop!$I:$I,X$1)*IF(V805="Peso",$R805,1))</f>
        <v/>
      </c>
      <c r="Y805" s="4" t="str">
        <f>IFERROR(__xludf.DUMMYFUNCTION("IF(OR($U805="""",COUNTIF($I:$I,IFERROR(unique(filter(Prod_Prop!$H:$H,Prod_Prop!$G:$G=$U805,Prod_Prop!$E:$E=Y$1)),""Check""))=0),"""",IFERROR(unique(filter(Prod_Prop!$H:$H,Prod_Prop!$G:$G=$U805,Prod_Prop!$E:$E=Y$1)),""""))"),"")</f>
        <v/>
      </c>
      <c r="Z805" s="4" t="str">
        <f>IF(Y805="","",SUMIFS(Prod_Prop!$J:$J,Prod_Prop!$B:$B,$Q805,Prod_Prop!$H:$H,Y805,Prod_Prop!$I:$I,Z$1)*IF(Y805="Peso",$R805,1))</f>
        <v/>
      </c>
      <c r="AA805" s="4" t="str">
        <f>IF(Y805="","",SUMIFS(Prod_Prop!$J:$J,Prod_Prop!$B:$B,$Q805,Prod_Prop!$H:$H,Y805,Prod_Prop!$I:$I,AA$1)*IF(Y805="Peso",$R805,1))</f>
        <v/>
      </c>
      <c r="AB805" s="4" t="str">
        <f>IFERROR(__xludf.DUMMYFUNCTION("IF(OR($U805="""",COUNTIF($I:$I,IFERROR(unique(filter(Prod_Prop!$H:$H,Prod_Prop!$G:$G=$U805,Prod_Prop!$E:$E=AB$1)),""Check""))=0),"""",IFERROR(unique(filter(Prod_Prop!$H:$H,Prod_Prop!$G:$G=$U805,Prod_Prop!$E:$E=AB$1)),""""))"),"")</f>
        <v/>
      </c>
      <c r="AC805" s="4" t="str">
        <f>IF(AB805="","",SUMIFS(Prod_Prop!$J:$J,Prod_Prop!$B:$B,$Q805,Prod_Prop!$H:$H,AB805,Prod_Prop!$I:$I,AC$1)*IF(AB805="Peso",$R805,1))</f>
        <v/>
      </c>
      <c r="AD805" s="4" t="str">
        <f>IF(AB805="","",SUMIFS(Prod_Prop!$J:$J,Prod_Prop!$B:$B,$Q805,Prod_Prop!$H:$H,AB805,Prod_Prop!$I:$I,AD$1)*IF(AB805="Peso",$R805,1))</f>
        <v/>
      </c>
    </row>
    <row r="806">
      <c r="A806" s="4" t="str">
        <f t="array" ref="A806">IF(COUNTIF(A$1:A805,Cotizador!F$2)=maxifs(Familias!E:E,Familias!D:D,Cotizador!F$2),IF(COUNTIF(A$1:A805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6" s="4" t="str">
        <f t="shared" si="1"/>
        <v/>
      </c>
      <c r="C806" s="4" t="str">
        <f t="array" ref="C806">IF(B806="","",IF(A806=XLOOKUP(A$2,Implementos!B:B,Implementos!C:C,"",0,1),B806+maxifs(B$1:B805,A$1:A805,A$2),B806))</f>
        <v/>
      </c>
      <c r="D806" s="4" t="str">
        <f>IF(B806="","", COUNTIFS(Productos!F:F,A806,Productos!H:H,B806)+IF(F806="SI",0,1))</f>
        <v/>
      </c>
      <c r="E806" s="4" t="str">
        <f>IFERROR(__xludf.DUMMYFUNCTION("IF($B806="""","""",INDEX(filter(Familias!F:F,Familias!$D:$D=$A806,Familias!$E:$E=$B806),1))"),"")</f>
        <v/>
      </c>
      <c r="F806" s="4" t="str">
        <f>IFERROR(__xludf.DUMMYFUNCTION("IF($B806="""","""",INDEX(filter(Familias!G:G,Familias!$D:$D=$A806,Familias!$E:$E=$B806),1))"),"")</f>
        <v/>
      </c>
      <c r="G806" s="4" t="str">
        <f t="array" ref="G806">IF(C806=1,XLOOKUP(C806,Cotizador!D:D,Cotizador!E:E,"",0,1),"")</f>
        <v/>
      </c>
      <c r="I806" s="4"/>
      <c r="J806" s="8" t="str">
        <f>IF(I806="","",SUMIF(Cotizador!I$1:V$1,I806,Cotizador!I$2:V$2))</f>
        <v/>
      </c>
      <c r="L806" s="4" t="str">
        <f t="array" ref="L806">IF(COUNTIF(L$1:L805,A$2)=SUMIF(A:A,A$2,D:D),IF(COUNTIF(L$1:L805,XLOOKUP(A$2,Implementos!B:B,Implementos!C:C,"",0,1))=SUMIF(A:A,XLOOKUP(A$2,Implementos!B:B,Implementos!C:C,"",0,1),D:D),"",XLOOKUP(A$2,Implementos!B:B,Implementos!C:C,"",0,1)),A$2)</f>
        <v/>
      </c>
      <c r="M806" s="4" t="str">
        <f t="shared" si="2"/>
        <v/>
      </c>
      <c r="N806" s="4" t="str">
        <f t="shared" si="3"/>
        <v/>
      </c>
      <c r="O806" s="4" t="str">
        <f t="shared" si="4"/>
        <v/>
      </c>
      <c r="P806" s="4" t="str">
        <f t="shared" si="5"/>
        <v/>
      </c>
      <c r="Q806" s="4" t="str">
        <f>IF(U806="","",SUMIF(Productos!E:E,U806,Productos!A:A))</f>
        <v/>
      </c>
      <c r="R806" s="4" t="str">
        <f t="array" ref="R806">IF(L806="","", max(1,SUMIF(I:I,XLOOKUP(U806,Productos!E:E,Productos!G:G,"",0,1),J:J)))</f>
        <v/>
      </c>
      <c r="S806" s="4" t="str">
        <f>IF(Q806="","",IF(SUMIFS(Compat_Vetado!D:D,Compat_Vetado!B:B,SUM(G:G),Compat_Vetado!C:C,Q806)=1,"SI",IF(OR(SUMIF(Cotizador!E:E,Q806,Cotizador!G:G)&gt;0,SUMIFS(Compat_Vetado!D:D,Compat_Vetado!B:B,SUM(G:G),Compat_Vetado!C:C,Q806)=-1),"NO","")))</f>
        <v/>
      </c>
      <c r="T806" s="4" t="str">
        <f t="shared" si="6"/>
        <v/>
      </c>
      <c r="U806" s="4" t="str">
        <f>IFERROR(__xludf.DUMMYFUNCTION("IF(P806="""","""",IFERROR(INDEX(filter(Productos!E:E,Productos!F:F=L806,Productos!H:H=N806),P806),IF(M806=SUM(D:D),""Finalizar"",""-"")))"),"")</f>
        <v/>
      </c>
      <c r="V806" s="4" t="str">
        <f>IFERROR(__xludf.DUMMYFUNCTION("IF(OR($U806="""",COUNTIF($I:$I,IFERROR(unique(filter(Prod_Prop!$H:$H,Prod_Prop!$G:$G=$U806,Prod_Prop!$E:$E=V$1)),""Check""))=0),"""",IFERROR(unique(filter(Prod_Prop!$H:$H,Prod_Prop!$G:$G=$U806,Prod_Prop!$E:$E=V$1)),""""))"),"")</f>
        <v/>
      </c>
      <c r="W806" s="4" t="str">
        <f>IF(V806="","",SUMIFS(Prod_Prop!$J:$J,Prod_Prop!$B:$B,$Q806,Prod_Prop!$H:$H,V806,Prod_Prop!$I:$I,W$1)*IF(V806="Peso",$R806,1))</f>
        <v/>
      </c>
      <c r="X806" s="4" t="str">
        <f>IF(V806="","",SUMIFS(Prod_Prop!$J:$J,Prod_Prop!$B:$B,$Q806,Prod_Prop!$H:$H,V806,Prod_Prop!$I:$I,X$1)*IF(V806="Peso",$R806,1))</f>
        <v/>
      </c>
      <c r="Y806" s="4" t="str">
        <f>IFERROR(__xludf.DUMMYFUNCTION("IF(OR($U806="""",COUNTIF($I:$I,IFERROR(unique(filter(Prod_Prop!$H:$H,Prod_Prop!$G:$G=$U806,Prod_Prop!$E:$E=Y$1)),""Check""))=0),"""",IFERROR(unique(filter(Prod_Prop!$H:$H,Prod_Prop!$G:$G=$U806,Prod_Prop!$E:$E=Y$1)),""""))"),"")</f>
        <v/>
      </c>
      <c r="Z806" s="4" t="str">
        <f>IF(Y806="","",SUMIFS(Prod_Prop!$J:$J,Prod_Prop!$B:$B,$Q806,Prod_Prop!$H:$H,Y806,Prod_Prop!$I:$I,Z$1)*IF(Y806="Peso",$R806,1))</f>
        <v/>
      </c>
      <c r="AA806" s="4" t="str">
        <f>IF(Y806="","",SUMIFS(Prod_Prop!$J:$J,Prod_Prop!$B:$B,$Q806,Prod_Prop!$H:$H,Y806,Prod_Prop!$I:$I,AA$1)*IF(Y806="Peso",$R806,1))</f>
        <v/>
      </c>
      <c r="AB806" s="4" t="str">
        <f>IFERROR(__xludf.DUMMYFUNCTION("IF(OR($U806="""",COUNTIF($I:$I,IFERROR(unique(filter(Prod_Prop!$H:$H,Prod_Prop!$G:$G=$U806,Prod_Prop!$E:$E=AB$1)),""Check""))=0),"""",IFERROR(unique(filter(Prod_Prop!$H:$H,Prod_Prop!$G:$G=$U806,Prod_Prop!$E:$E=AB$1)),""""))"),"")</f>
        <v/>
      </c>
      <c r="AC806" s="4" t="str">
        <f>IF(AB806="","",SUMIFS(Prod_Prop!$J:$J,Prod_Prop!$B:$B,$Q806,Prod_Prop!$H:$H,AB806,Prod_Prop!$I:$I,AC$1)*IF(AB806="Peso",$R806,1))</f>
        <v/>
      </c>
      <c r="AD806" s="4" t="str">
        <f>IF(AB806="","",SUMIFS(Prod_Prop!$J:$J,Prod_Prop!$B:$B,$Q806,Prod_Prop!$H:$H,AB806,Prod_Prop!$I:$I,AD$1)*IF(AB806="Peso",$R806,1))</f>
        <v/>
      </c>
    </row>
    <row r="807">
      <c r="A807" s="4" t="str">
        <f t="array" ref="A807">IF(COUNTIF(A$1:A806,Cotizador!F$2)=maxifs(Familias!E:E,Familias!D:D,Cotizador!F$2),IF(COUNTIF(A$1:A806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7" s="4" t="str">
        <f t="shared" si="1"/>
        <v/>
      </c>
      <c r="C807" s="4" t="str">
        <f t="array" ref="C807">IF(B807="","",IF(A807=XLOOKUP(A$2,Implementos!B:B,Implementos!C:C,"",0,1),B807+maxifs(B$1:B806,A$1:A806,A$2),B807))</f>
        <v/>
      </c>
      <c r="D807" s="4" t="str">
        <f>IF(B807="","", COUNTIFS(Productos!F:F,A807,Productos!H:H,B807)+IF(F807="SI",0,1))</f>
        <v/>
      </c>
      <c r="E807" s="4" t="str">
        <f>IFERROR(__xludf.DUMMYFUNCTION("IF($B807="""","""",INDEX(filter(Familias!F:F,Familias!$D:$D=$A807,Familias!$E:$E=$B807),1))"),"")</f>
        <v/>
      </c>
      <c r="F807" s="4" t="str">
        <f>IFERROR(__xludf.DUMMYFUNCTION("IF($B807="""","""",INDEX(filter(Familias!G:G,Familias!$D:$D=$A807,Familias!$E:$E=$B807),1))"),"")</f>
        <v/>
      </c>
      <c r="G807" s="4" t="str">
        <f t="array" ref="G807">IF(C807=1,XLOOKUP(C807,Cotizador!D:D,Cotizador!E:E,"",0,1),"")</f>
        <v/>
      </c>
      <c r="I807" s="4"/>
      <c r="J807" s="8" t="str">
        <f>IF(I807="","",SUMIF(Cotizador!I$1:V$1,I807,Cotizador!I$2:V$2))</f>
        <v/>
      </c>
      <c r="L807" s="4" t="str">
        <f t="array" ref="L807">IF(COUNTIF(L$1:L806,A$2)=SUMIF(A:A,A$2,D:D),IF(COUNTIF(L$1:L806,XLOOKUP(A$2,Implementos!B:B,Implementos!C:C,"",0,1))=SUMIF(A:A,XLOOKUP(A$2,Implementos!B:B,Implementos!C:C,"",0,1),D:D),"",XLOOKUP(A$2,Implementos!B:B,Implementos!C:C,"",0,1)),A$2)</f>
        <v/>
      </c>
      <c r="M807" s="4" t="str">
        <f t="shared" si="2"/>
        <v/>
      </c>
      <c r="N807" s="4" t="str">
        <f t="shared" si="3"/>
        <v/>
      </c>
      <c r="O807" s="4" t="str">
        <f t="shared" si="4"/>
        <v/>
      </c>
      <c r="P807" s="4" t="str">
        <f t="shared" si="5"/>
        <v/>
      </c>
      <c r="Q807" s="4" t="str">
        <f>IF(U807="","",SUMIF(Productos!E:E,U807,Productos!A:A))</f>
        <v/>
      </c>
      <c r="R807" s="4" t="str">
        <f t="array" ref="R807">IF(L807="","", max(1,SUMIF(I:I,XLOOKUP(U807,Productos!E:E,Productos!G:G,"",0,1),J:J)))</f>
        <v/>
      </c>
      <c r="S807" s="4" t="str">
        <f>IF(Q807="","",IF(SUMIFS(Compat_Vetado!D:D,Compat_Vetado!B:B,SUM(G:G),Compat_Vetado!C:C,Q807)=1,"SI",IF(OR(SUMIF(Cotizador!E:E,Q807,Cotizador!G:G)&gt;0,SUMIFS(Compat_Vetado!D:D,Compat_Vetado!B:B,SUM(G:G),Compat_Vetado!C:C,Q807)=-1),"NO","")))</f>
        <v/>
      </c>
      <c r="T807" s="4" t="str">
        <f t="shared" si="6"/>
        <v/>
      </c>
      <c r="U807" s="4" t="str">
        <f>IFERROR(__xludf.DUMMYFUNCTION("IF(P807="""","""",IFERROR(INDEX(filter(Productos!E:E,Productos!F:F=L807,Productos!H:H=N807),P807),IF(M807=SUM(D:D),""Finalizar"",""-"")))"),"")</f>
        <v/>
      </c>
      <c r="V807" s="4" t="str">
        <f>IFERROR(__xludf.DUMMYFUNCTION("IF(OR($U807="""",COUNTIF($I:$I,IFERROR(unique(filter(Prod_Prop!$H:$H,Prod_Prop!$G:$G=$U807,Prod_Prop!$E:$E=V$1)),""Check""))=0),"""",IFERROR(unique(filter(Prod_Prop!$H:$H,Prod_Prop!$G:$G=$U807,Prod_Prop!$E:$E=V$1)),""""))"),"")</f>
        <v/>
      </c>
      <c r="W807" s="4" t="str">
        <f>IF(V807="","",SUMIFS(Prod_Prop!$J:$J,Prod_Prop!$B:$B,$Q807,Prod_Prop!$H:$H,V807,Prod_Prop!$I:$I,W$1)*IF(V807="Peso",$R807,1))</f>
        <v/>
      </c>
      <c r="X807" s="4" t="str">
        <f>IF(V807="","",SUMIFS(Prod_Prop!$J:$J,Prod_Prop!$B:$B,$Q807,Prod_Prop!$H:$H,V807,Prod_Prop!$I:$I,X$1)*IF(V807="Peso",$R807,1))</f>
        <v/>
      </c>
      <c r="Y807" s="4" t="str">
        <f>IFERROR(__xludf.DUMMYFUNCTION("IF(OR($U807="""",COUNTIF($I:$I,IFERROR(unique(filter(Prod_Prop!$H:$H,Prod_Prop!$G:$G=$U807,Prod_Prop!$E:$E=Y$1)),""Check""))=0),"""",IFERROR(unique(filter(Prod_Prop!$H:$H,Prod_Prop!$G:$G=$U807,Prod_Prop!$E:$E=Y$1)),""""))"),"")</f>
        <v/>
      </c>
      <c r="Z807" s="4" t="str">
        <f>IF(Y807="","",SUMIFS(Prod_Prop!$J:$J,Prod_Prop!$B:$B,$Q807,Prod_Prop!$H:$H,Y807,Prod_Prop!$I:$I,Z$1)*IF(Y807="Peso",$R807,1))</f>
        <v/>
      </c>
      <c r="AA807" s="4" t="str">
        <f>IF(Y807="","",SUMIFS(Prod_Prop!$J:$J,Prod_Prop!$B:$B,$Q807,Prod_Prop!$H:$H,Y807,Prod_Prop!$I:$I,AA$1)*IF(Y807="Peso",$R807,1))</f>
        <v/>
      </c>
      <c r="AB807" s="4" t="str">
        <f>IFERROR(__xludf.DUMMYFUNCTION("IF(OR($U807="""",COUNTIF($I:$I,IFERROR(unique(filter(Prod_Prop!$H:$H,Prod_Prop!$G:$G=$U807,Prod_Prop!$E:$E=AB$1)),""Check""))=0),"""",IFERROR(unique(filter(Prod_Prop!$H:$H,Prod_Prop!$G:$G=$U807,Prod_Prop!$E:$E=AB$1)),""""))"),"")</f>
        <v/>
      </c>
      <c r="AC807" s="4" t="str">
        <f>IF(AB807="","",SUMIFS(Prod_Prop!$J:$J,Prod_Prop!$B:$B,$Q807,Prod_Prop!$H:$H,AB807,Prod_Prop!$I:$I,AC$1)*IF(AB807="Peso",$R807,1))</f>
        <v/>
      </c>
      <c r="AD807" s="4" t="str">
        <f>IF(AB807="","",SUMIFS(Prod_Prop!$J:$J,Prod_Prop!$B:$B,$Q807,Prod_Prop!$H:$H,AB807,Prod_Prop!$I:$I,AD$1)*IF(AB807="Peso",$R807,1))</f>
        <v/>
      </c>
    </row>
    <row r="808">
      <c r="A808" s="4" t="str">
        <f t="array" ref="A808">IF(COUNTIF(A$1:A807,Cotizador!F$2)=maxifs(Familias!E:E,Familias!D:D,Cotizador!F$2),IF(COUNTIF(A$1:A807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8" s="4" t="str">
        <f t="shared" si="1"/>
        <v/>
      </c>
      <c r="C808" s="4" t="str">
        <f t="array" ref="C808">IF(B808="","",IF(A808=XLOOKUP(A$2,Implementos!B:B,Implementos!C:C,"",0,1),B808+maxifs(B$1:B807,A$1:A807,A$2),B808))</f>
        <v/>
      </c>
      <c r="D808" s="4" t="str">
        <f>IF(B808="","", COUNTIFS(Productos!F:F,A808,Productos!H:H,B808)+IF(F808="SI",0,1))</f>
        <v/>
      </c>
      <c r="E808" s="4" t="str">
        <f>IFERROR(__xludf.DUMMYFUNCTION("IF($B808="""","""",INDEX(filter(Familias!F:F,Familias!$D:$D=$A808,Familias!$E:$E=$B808),1))"),"")</f>
        <v/>
      </c>
      <c r="F808" s="4" t="str">
        <f>IFERROR(__xludf.DUMMYFUNCTION("IF($B808="""","""",INDEX(filter(Familias!G:G,Familias!$D:$D=$A808,Familias!$E:$E=$B808),1))"),"")</f>
        <v/>
      </c>
      <c r="G808" s="4" t="str">
        <f t="array" ref="G808">IF(C808=1,XLOOKUP(C808,Cotizador!D:D,Cotizador!E:E,"",0,1),"")</f>
        <v/>
      </c>
      <c r="I808" s="4"/>
      <c r="J808" s="8" t="str">
        <f>IF(I808="","",SUMIF(Cotizador!I$1:V$1,I808,Cotizador!I$2:V$2))</f>
        <v/>
      </c>
      <c r="L808" s="4" t="str">
        <f t="array" ref="L808">IF(COUNTIF(L$1:L807,A$2)=SUMIF(A:A,A$2,D:D),IF(COUNTIF(L$1:L807,XLOOKUP(A$2,Implementos!B:B,Implementos!C:C,"",0,1))=SUMIF(A:A,XLOOKUP(A$2,Implementos!B:B,Implementos!C:C,"",0,1),D:D),"",XLOOKUP(A$2,Implementos!B:B,Implementos!C:C,"",0,1)),A$2)</f>
        <v/>
      </c>
      <c r="M808" s="4" t="str">
        <f t="shared" si="2"/>
        <v/>
      </c>
      <c r="N808" s="4" t="str">
        <f t="shared" si="3"/>
        <v/>
      </c>
      <c r="O808" s="4" t="str">
        <f t="shared" si="4"/>
        <v/>
      </c>
      <c r="P808" s="4" t="str">
        <f t="shared" si="5"/>
        <v/>
      </c>
      <c r="Q808" s="4" t="str">
        <f>IF(U808="","",SUMIF(Productos!E:E,U808,Productos!A:A))</f>
        <v/>
      </c>
      <c r="R808" s="4" t="str">
        <f t="array" ref="R808">IF(L808="","", max(1,SUMIF(I:I,XLOOKUP(U808,Productos!E:E,Productos!G:G,"",0,1),J:J)))</f>
        <v/>
      </c>
      <c r="S808" s="4" t="str">
        <f>IF(Q808="","",IF(SUMIFS(Compat_Vetado!D:D,Compat_Vetado!B:B,SUM(G:G),Compat_Vetado!C:C,Q808)=1,"SI",IF(OR(SUMIF(Cotizador!E:E,Q808,Cotizador!G:G)&gt;0,SUMIFS(Compat_Vetado!D:D,Compat_Vetado!B:B,SUM(G:G),Compat_Vetado!C:C,Q808)=-1),"NO","")))</f>
        <v/>
      </c>
      <c r="T808" s="4" t="str">
        <f t="shared" si="6"/>
        <v/>
      </c>
      <c r="U808" s="4" t="str">
        <f>IFERROR(__xludf.DUMMYFUNCTION("IF(P808="""","""",IFERROR(INDEX(filter(Productos!E:E,Productos!F:F=L808,Productos!H:H=N808),P808),IF(M808=SUM(D:D),""Finalizar"",""-"")))"),"")</f>
        <v/>
      </c>
      <c r="V808" s="4" t="str">
        <f>IFERROR(__xludf.DUMMYFUNCTION("IF(OR($U808="""",COUNTIF($I:$I,IFERROR(unique(filter(Prod_Prop!$H:$H,Prod_Prop!$G:$G=$U808,Prod_Prop!$E:$E=V$1)),""Check""))=0),"""",IFERROR(unique(filter(Prod_Prop!$H:$H,Prod_Prop!$G:$G=$U808,Prod_Prop!$E:$E=V$1)),""""))"),"")</f>
        <v/>
      </c>
      <c r="W808" s="4" t="str">
        <f>IF(V808="","",SUMIFS(Prod_Prop!$J:$J,Prod_Prop!$B:$B,$Q808,Prod_Prop!$H:$H,V808,Prod_Prop!$I:$I,W$1)*IF(V808="Peso",$R808,1))</f>
        <v/>
      </c>
      <c r="X808" s="4" t="str">
        <f>IF(V808="","",SUMIFS(Prod_Prop!$J:$J,Prod_Prop!$B:$B,$Q808,Prod_Prop!$H:$H,V808,Prod_Prop!$I:$I,X$1)*IF(V808="Peso",$R808,1))</f>
        <v/>
      </c>
      <c r="Y808" s="4" t="str">
        <f>IFERROR(__xludf.DUMMYFUNCTION("IF(OR($U808="""",COUNTIF($I:$I,IFERROR(unique(filter(Prod_Prop!$H:$H,Prod_Prop!$G:$G=$U808,Prod_Prop!$E:$E=Y$1)),""Check""))=0),"""",IFERROR(unique(filter(Prod_Prop!$H:$H,Prod_Prop!$G:$G=$U808,Prod_Prop!$E:$E=Y$1)),""""))"),"")</f>
        <v/>
      </c>
      <c r="Z808" s="4" t="str">
        <f>IF(Y808="","",SUMIFS(Prod_Prop!$J:$J,Prod_Prop!$B:$B,$Q808,Prod_Prop!$H:$H,Y808,Prod_Prop!$I:$I,Z$1)*IF(Y808="Peso",$R808,1))</f>
        <v/>
      </c>
      <c r="AA808" s="4" t="str">
        <f>IF(Y808="","",SUMIFS(Prod_Prop!$J:$J,Prod_Prop!$B:$B,$Q808,Prod_Prop!$H:$H,Y808,Prod_Prop!$I:$I,AA$1)*IF(Y808="Peso",$R808,1))</f>
        <v/>
      </c>
      <c r="AB808" s="4" t="str">
        <f>IFERROR(__xludf.DUMMYFUNCTION("IF(OR($U808="""",COUNTIF($I:$I,IFERROR(unique(filter(Prod_Prop!$H:$H,Prod_Prop!$G:$G=$U808,Prod_Prop!$E:$E=AB$1)),""Check""))=0),"""",IFERROR(unique(filter(Prod_Prop!$H:$H,Prod_Prop!$G:$G=$U808,Prod_Prop!$E:$E=AB$1)),""""))"),"")</f>
        <v/>
      </c>
      <c r="AC808" s="4" t="str">
        <f>IF(AB808="","",SUMIFS(Prod_Prop!$J:$J,Prod_Prop!$B:$B,$Q808,Prod_Prop!$H:$H,AB808,Prod_Prop!$I:$I,AC$1)*IF(AB808="Peso",$R808,1))</f>
        <v/>
      </c>
      <c r="AD808" s="4" t="str">
        <f>IF(AB808="","",SUMIFS(Prod_Prop!$J:$J,Prod_Prop!$B:$B,$Q808,Prod_Prop!$H:$H,AB808,Prod_Prop!$I:$I,AD$1)*IF(AB808="Peso",$R808,1))</f>
        <v/>
      </c>
    </row>
    <row r="809">
      <c r="A809" s="4" t="str">
        <f t="array" ref="A809">IF(COUNTIF(A$1:A808,Cotizador!F$2)=maxifs(Familias!E:E,Familias!D:D,Cotizador!F$2),IF(COUNTIF(A$1:A808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09" s="4" t="str">
        <f t="shared" si="1"/>
        <v/>
      </c>
      <c r="C809" s="4" t="str">
        <f t="array" ref="C809">IF(B809="","",IF(A809=XLOOKUP(A$2,Implementos!B:B,Implementos!C:C,"",0,1),B809+maxifs(B$1:B808,A$1:A808,A$2),B809))</f>
        <v/>
      </c>
      <c r="D809" s="4" t="str">
        <f>IF(B809="","", COUNTIFS(Productos!F:F,A809,Productos!H:H,B809)+IF(F809="SI",0,1))</f>
        <v/>
      </c>
      <c r="E809" s="4" t="str">
        <f>IFERROR(__xludf.DUMMYFUNCTION("IF($B809="""","""",INDEX(filter(Familias!F:F,Familias!$D:$D=$A809,Familias!$E:$E=$B809),1))"),"")</f>
        <v/>
      </c>
      <c r="F809" s="4" t="str">
        <f>IFERROR(__xludf.DUMMYFUNCTION("IF($B809="""","""",INDEX(filter(Familias!G:G,Familias!$D:$D=$A809,Familias!$E:$E=$B809),1))"),"")</f>
        <v/>
      </c>
      <c r="G809" s="4" t="str">
        <f t="array" ref="G809">IF(C809=1,XLOOKUP(C809,Cotizador!D:D,Cotizador!E:E,"",0,1),"")</f>
        <v/>
      </c>
      <c r="I809" s="4"/>
      <c r="J809" s="8" t="str">
        <f>IF(I809="","",SUMIF(Cotizador!I$1:V$1,I809,Cotizador!I$2:V$2))</f>
        <v/>
      </c>
      <c r="L809" s="4" t="str">
        <f t="array" ref="L809">IF(COUNTIF(L$1:L808,A$2)=SUMIF(A:A,A$2,D:D),IF(COUNTIF(L$1:L808,XLOOKUP(A$2,Implementos!B:B,Implementos!C:C,"",0,1))=SUMIF(A:A,XLOOKUP(A$2,Implementos!B:B,Implementos!C:C,"",0,1),D:D),"",XLOOKUP(A$2,Implementos!B:B,Implementos!C:C,"",0,1)),A$2)</f>
        <v/>
      </c>
      <c r="M809" s="4" t="str">
        <f t="shared" si="2"/>
        <v/>
      </c>
      <c r="N809" s="4" t="str">
        <f t="shared" si="3"/>
        <v/>
      </c>
      <c r="O809" s="4" t="str">
        <f t="shared" si="4"/>
        <v/>
      </c>
      <c r="P809" s="4" t="str">
        <f t="shared" si="5"/>
        <v/>
      </c>
      <c r="Q809" s="4" t="str">
        <f>IF(U809="","",SUMIF(Productos!E:E,U809,Productos!A:A))</f>
        <v/>
      </c>
      <c r="R809" s="4" t="str">
        <f t="array" ref="R809">IF(L809="","", max(1,SUMIF(I:I,XLOOKUP(U809,Productos!E:E,Productos!G:G,"",0,1),J:J)))</f>
        <v/>
      </c>
      <c r="S809" s="4" t="str">
        <f>IF(Q809="","",IF(SUMIFS(Compat_Vetado!D:D,Compat_Vetado!B:B,SUM(G:G),Compat_Vetado!C:C,Q809)=1,"SI",IF(OR(SUMIF(Cotizador!E:E,Q809,Cotizador!G:G)&gt;0,SUMIFS(Compat_Vetado!D:D,Compat_Vetado!B:B,SUM(G:G),Compat_Vetado!C:C,Q809)=-1),"NO","")))</f>
        <v/>
      </c>
      <c r="T809" s="4" t="str">
        <f t="shared" si="6"/>
        <v/>
      </c>
      <c r="U809" s="4" t="str">
        <f>IFERROR(__xludf.DUMMYFUNCTION("IF(P809="""","""",IFERROR(INDEX(filter(Productos!E:E,Productos!F:F=L809,Productos!H:H=N809),P809),IF(M809=SUM(D:D),""Finalizar"",""-"")))"),"")</f>
        <v/>
      </c>
      <c r="V809" s="4" t="str">
        <f>IFERROR(__xludf.DUMMYFUNCTION("IF(OR($U809="""",COUNTIF($I:$I,IFERROR(unique(filter(Prod_Prop!$H:$H,Prod_Prop!$G:$G=$U809,Prod_Prop!$E:$E=V$1)),""Check""))=0),"""",IFERROR(unique(filter(Prod_Prop!$H:$H,Prod_Prop!$G:$G=$U809,Prod_Prop!$E:$E=V$1)),""""))"),"")</f>
        <v/>
      </c>
      <c r="W809" s="4" t="str">
        <f>IF(V809="","",SUMIFS(Prod_Prop!$J:$J,Prod_Prop!$B:$B,$Q809,Prod_Prop!$H:$H,V809,Prod_Prop!$I:$I,W$1)*IF(V809="Peso",$R809,1))</f>
        <v/>
      </c>
      <c r="X809" s="4" t="str">
        <f>IF(V809="","",SUMIFS(Prod_Prop!$J:$J,Prod_Prop!$B:$B,$Q809,Prod_Prop!$H:$H,V809,Prod_Prop!$I:$I,X$1)*IF(V809="Peso",$R809,1))</f>
        <v/>
      </c>
      <c r="Y809" s="4" t="str">
        <f>IFERROR(__xludf.DUMMYFUNCTION("IF(OR($U809="""",COUNTIF($I:$I,IFERROR(unique(filter(Prod_Prop!$H:$H,Prod_Prop!$G:$G=$U809,Prod_Prop!$E:$E=Y$1)),""Check""))=0),"""",IFERROR(unique(filter(Prod_Prop!$H:$H,Prod_Prop!$G:$G=$U809,Prod_Prop!$E:$E=Y$1)),""""))"),"")</f>
        <v/>
      </c>
      <c r="Z809" s="4" t="str">
        <f>IF(Y809="","",SUMIFS(Prod_Prop!$J:$J,Prod_Prop!$B:$B,$Q809,Prod_Prop!$H:$H,Y809,Prod_Prop!$I:$I,Z$1)*IF(Y809="Peso",$R809,1))</f>
        <v/>
      </c>
      <c r="AA809" s="4" t="str">
        <f>IF(Y809="","",SUMIFS(Prod_Prop!$J:$J,Prod_Prop!$B:$B,$Q809,Prod_Prop!$H:$H,Y809,Prod_Prop!$I:$I,AA$1)*IF(Y809="Peso",$R809,1))</f>
        <v/>
      </c>
      <c r="AB809" s="4" t="str">
        <f>IFERROR(__xludf.DUMMYFUNCTION("IF(OR($U809="""",COUNTIF($I:$I,IFERROR(unique(filter(Prod_Prop!$H:$H,Prod_Prop!$G:$G=$U809,Prod_Prop!$E:$E=AB$1)),""Check""))=0),"""",IFERROR(unique(filter(Prod_Prop!$H:$H,Prod_Prop!$G:$G=$U809,Prod_Prop!$E:$E=AB$1)),""""))"),"")</f>
        <v/>
      </c>
      <c r="AC809" s="4" t="str">
        <f>IF(AB809="","",SUMIFS(Prod_Prop!$J:$J,Prod_Prop!$B:$B,$Q809,Prod_Prop!$H:$H,AB809,Prod_Prop!$I:$I,AC$1)*IF(AB809="Peso",$R809,1))</f>
        <v/>
      </c>
      <c r="AD809" s="4" t="str">
        <f>IF(AB809="","",SUMIFS(Prod_Prop!$J:$J,Prod_Prop!$B:$B,$Q809,Prod_Prop!$H:$H,AB809,Prod_Prop!$I:$I,AD$1)*IF(AB809="Peso",$R809,1))</f>
        <v/>
      </c>
    </row>
    <row r="810">
      <c r="A810" s="4" t="str">
        <f t="array" ref="A810">IF(COUNTIF(A$1:A809,Cotizador!F$2)=maxifs(Familias!E:E,Familias!D:D,Cotizador!F$2),IF(COUNTIF(A$1:A809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0" s="4" t="str">
        <f t="shared" si="1"/>
        <v/>
      </c>
      <c r="C810" s="4" t="str">
        <f t="array" ref="C810">IF(B810="","",IF(A810=XLOOKUP(A$2,Implementos!B:B,Implementos!C:C,"",0,1),B810+maxifs(B$1:B809,A$1:A809,A$2),B810))</f>
        <v/>
      </c>
      <c r="D810" s="4" t="str">
        <f>IF(B810="","", COUNTIFS(Productos!F:F,A810,Productos!H:H,B810)+IF(F810="SI",0,1))</f>
        <v/>
      </c>
      <c r="E810" s="4" t="str">
        <f>IFERROR(__xludf.DUMMYFUNCTION("IF($B810="""","""",INDEX(filter(Familias!F:F,Familias!$D:$D=$A810,Familias!$E:$E=$B810),1))"),"")</f>
        <v/>
      </c>
      <c r="F810" s="4" t="str">
        <f>IFERROR(__xludf.DUMMYFUNCTION("IF($B810="""","""",INDEX(filter(Familias!G:G,Familias!$D:$D=$A810,Familias!$E:$E=$B810),1))"),"")</f>
        <v/>
      </c>
      <c r="G810" s="4" t="str">
        <f t="array" ref="G810">IF(C810=1,XLOOKUP(C810,Cotizador!D:D,Cotizador!E:E,"",0,1),"")</f>
        <v/>
      </c>
      <c r="I810" s="4"/>
      <c r="J810" s="8" t="str">
        <f>IF(I810="","",SUMIF(Cotizador!I$1:V$1,I810,Cotizador!I$2:V$2))</f>
        <v/>
      </c>
      <c r="L810" s="4" t="str">
        <f t="array" ref="L810">IF(COUNTIF(L$1:L809,A$2)=SUMIF(A:A,A$2,D:D),IF(COUNTIF(L$1:L809,XLOOKUP(A$2,Implementos!B:B,Implementos!C:C,"",0,1))=SUMIF(A:A,XLOOKUP(A$2,Implementos!B:B,Implementos!C:C,"",0,1),D:D),"",XLOOKUP(A$2,Implementos!B:B,Implementos!C:C,"",0,1)),A$2)</f>
        <v/>
      </c>
      <c r="M810" s="4" t="str">
        <f t="shared" si="2"/>
        <v/>
      </c>
      <c r="N810" s="4" t="str">
        <f t="shared" si="3"/>
        <v/>
      </c>
      <c r="O810" s="4" t="str">
        <f t="shared" si="4"/>
        <v/>
      </c>
      <c r="P810" s="4" t="str">
        <f t="shared" si="5"/>
        <v/>
      </c>
      <c r="Q810" s="4" t="str">
        <f>IF(U810="","",SUMIF(Productos!E:E,U810,Productos!A:A))</f>
        <v/>
      </c>
      <c r="R810" s="4" t="str">
        <f t="array" ref="R810">IF(L810="","", max(1,SUMIF(I:I,XLOOKUP(U810,Productos!E:E,Productos!G:G,"",0,1),J:J)))</f>
        <v/>
      </c>
      <c r="S810" s="4" t="str">
        <f>IF(Q810="","",IF(SUMIFS(Compat_Vetado!D:D,Compat_Vetado!B:B,SUM(G:G),Compat_Vetado!C:C,Q810)=1,"SI",IF(OR(SUMIF(Cotizador!E:E,Q810,Cotizador!G:G)&gt;0,SUMIFS(Compat_Vetado!D:D,Compat_Vetado!B:B,SUM(G:G),Compat_Vetado!C:C,Q810)=-1),"NO","")))</f>
        <v/>
      </c>
      <c r="T810" s="4" t="str">
        <f t="shared" si="6"/>
        <v/>
      </c>
      <c r="U810" s="4" t="str">
        <f>IFERROR(__xludf.DUMMYFUNCTION("IF(P810="""","""",IFERROR(INDEX(filter(Productos!E:E,Productos!F:F=L810,Productos!H:H=N810),P810),IF(M810=SUM(D:D),""Finalizar"",""-"")))"),"")</f>
        <v/>
      </c>
      <c r="V810" s="4" t="str">
        <f>IFERROR(__xludf.DUMMYFUNCTION("IF(OR($U810="""",COUNTIF($I:$I,IFERROR(unique(filter(Prod_Prop!$H:$H,Prod_Prop!$G:$G=$U810,Prod_Prop!$E:$E=V$1)),""Check""))=0),"""",IFERROR(unique(filter(Prod_Prop!$H:$H,Prod_Prop!$G:$G=$U810,Prod_Prop!$E:$E=V$1)),""""))"),"")</f>
        <v/>
      </c>
      <c r="W810" s="4" t="str">
        <f>IF(V810="","",SUMIFS(Prod_Prop!$J:$J,Prod_Prop!$B:$B,$Q810,Prod_Prop!$H:$H,V810,Prod_Prop!$I:$I,W$1)*IF(V810="Peso",$R810,1))</f>
        <v/>
      </c>
      <c r="X810" s="4" t="str">
        <f>IF(V810="","",SUMIFS(Prod_Prop!$J:$J,Prod_Prop!$B:$B,$Q810,Prod_Prop!$H:$H,V810,Prod_Prop!$I:$I,X$1)*IF(V810="Peso",$R810,1))</f>
        <v/>
      </c>
      <c r="Y810" s="4" t="str">
        <f>IFERROR(__xludf.DUMMYFUNCTION("IF(OR($U810="""",COUNTIF($I:$I,IFERROR(unique(filter(Prod_Prop!$H:$H,Prod_Prop!$G:$G=$U810,Prod_Prop!$E:$E=Y$1)),""Check""))=0),"""",IFERROR(unique(filter(Prod_Prop!$H:$H,Prod_Prop!$G:$G=$U810,Prod_Prop!$E:$E=Y$1)),""""))"),"")</f>
        <v/>
      </c>
      <c r="Z810" s="4" t="str">
        <f>IF(Y810="","",SUMIFS(Prod_Prop!$J:$J,Prod_Prop!$B:$B,$Q810,Prod_Prop!$H:$H,Y810,Prod_Prop!$I:$I,Z$1)*IF(Y810="Peso",$R810,1))</f>
        <v/>
      </c>
      <c r="AA810" s="4" t="str">
        <f>IF(Y810="","",SUMIFS(Prod_Prop!$J:$J,Prod_Prop!$B:$B,$Q810,Prod_Prop!$H:$H,Y810,Prod_Prop!$I:$I,AA$1)*IF(Y810="Peso",$R810,1))</f>
        <v/>
      </c>
      <c r="AB810" s="4" t="str">
        <f>IFERROR(__xludf.DUMMYFUNCTION("IF(OR($U810="""",COUNTIF($I:$I,IFERROR(unique(filter(Prod_Prop!$H:$H,Prod_Prop!$G:$G=$U810,Prod_Prop!$E:$E=AB$1)),""Check""))=0),"""",IFERROR(unique(filter(Prod_Prop!$H:$H,Prod_Prop!$G:$G=$U810,Prod_Prop!$E:$E=AB$1)),""""))"),"")</f>
        <v/>
      </c>
      <c r="AC810" s="4" t="str">
        <f>IF(AB810="","",SUMIFS(Prod_Prop!$J:$J,Prod_Prop!$B:$B,$Q810,Prod_Prop!$H:$H,AB810,Prod_Prop!$I:$I,AC$1)*IF(AB810="Peso",$R810,1))</f>
        <v/>
      </c>
      <c r="AD810" s="4" t="str">
        <f>IF(AB810="","",SUMIFS(Prod_Prop!$J:$J,Prod_Prop!$B:$B,$Q810,Prod_Prop!$H:$H,AB810,Prod_Prop!$I:$I,AD$1)*IF(AB810="Peso",$R810,1))</f>
        <v/>
      </c>
    </row>
    <row r="811">
      <c r="A811" s="4" t="str">
        <f t="array" ref="A811">IF(COUNTIF(A$1:A810,Cotizador!F$2)=maxifs(Familias!E:E,Familias!D:D,Cotizador!F$2),IF(COUNTIF(A$1:A810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1" s="4" t="str">
        <f t="shared" si="1"/>
        <v/>
      </c>
      <c r="C811" s="4" t="str">
        <f t="array" ref="C811">IF(B811="","",IF(A811=XLOOKUP(A$2,Implementos!B:B,Implementos!C:C,"",0,1),B811+maxifs(B$1:B810,A$1:A810,A$2),B811))</f>
        <v/>
      </c>
      <c r="D811" s="4" t="str">
        <f>IF(B811="","", COUNTIFS(Productos!F:F,A811,Productos!H:H,B811)+IF(F811="SI",0,1))</f>
        <v/>
      </c>
      <c r="E811" s="4" t="str">
        <f>IFERROR(__xludf.DUMMYFUNCTION("IF($B811="""","""",INDEX(filter(Familias!F:F,Familias!$D:$D=$A811,Familias!$E:$E=$B811),1))"),"")</f>
        <v/>
      </c>
      <c r="F811" s="4" t="str">
        <f>IFERROR(__xludf.DUMMYFUNCTION("IF($B811="""","""",INDEX(filter(Familias!G:G,Familias!$D:$D=$A811,Familias!$E:$E=$B811),1))"),"")</f>
        <v/>
      </c>
      <c r="G811" s="4" t="str">
        <f t="array" ref="G811">IF(C811=1,XLOOKUP(C811,Cotizador!D:D,Cotizador!E:E,"",0,1),"")</f>
        <v/>
      </c>
      <c r="I811" s="4"/>
      <c r="J811" s="8" t="str">
        <f>IF(I811="","",SUMIF(Cotizador!I$1:V$1,I811,Cotizador!I$2:V$2))</f>
        <v/>
      </c>
      <c r="L811" s="4" t="str">
        <f t="array" ref="L811">IF(COUNTIF(L$1:L810,A$2)=SUMIF(A:A,A$2,D:D),IF(COUNTIF(L$1:L810,XLOOKUP(A$2,Implementos!B:B,Implementos!C:C,"",0,1))=SUMIF(A:A,XLOOKUP(A$2,Implementos!B:B,Implementos!C:C,"",0,1),D:D),"",XLOOKUP(A$2,Implementos!B:B,Implementos!C:C,"",0,1)),A$2)</f>
        <v/>
      </c>
      <c r="M811" s="4" t="str">
        <f t="shared" si="2"/>
        <v/>
      </c>
      <c r="N811" s="4" t="str">
        <f t="shared" si="3"/>
        <v/>
      </c>
      <c r="O811" s="4" t="str">
        <f t="shared" si="4"/>
        <v/>
      </c>
      <c r="P811" s="4" t="str">
        <f t="shared" si="5"/>
        <v/>
      </c>
      <c r="Q811" s="4" t="str">
        <f>IF(U811="","",SUMIF(Productos!E:E,U811,Productos!A:A))</f>
        <v/>
      </c>
      <c r="R811" s="4" t="str">
        <f t="array" ref="R811">IF(L811="","", max(1,SUMIF(I:I,XLOOKUP(U811,Productos!E:E,Productos!G:G,"",0,1),J:J)))</f>
        <v/>
      </c>
      <c r="S811" s="4" t="str">
        <f>IF(Q811="","",IF(SUMIFS(Compat_Vetado!D:D,Compat_Vetado!B:B,SUM(G:G),Compat_Vetado!C:C,Q811)=1,"SI",IF(OR(SUMIF(Cotizador!E:E,Q811,Cotizador!G:G)&gt;0,SUMIFS(Compat_Vetado!D:D,Compat_Vetado!B:B,SUM(G:G),Compat_Vetado!C:C,Q811)=-1),"NO","")))</f>
        <v/>
      </c>
      <c r="T811" s="4" t="str">
        <f t="shared" si="6"/>
        <v/>
      </c>
      <c r="U811" s="4" t="str">
        <f>IFERROR(__xludf.DUMMYFUNCTION("IF(P811="""","""",IFERROR(INDEX(filter(Productos!E:E,Productos!F:F=L811,Productos!H:H=N811),P811),IF(M811=SUM(D:D),""Finalizar"",""-"")))"),"")</f>
        <v/>
      </c>
      <c r="V811" s="4" t="str">
        <f>IFERROR(__xludf.DUMMYFUNCTION("IF(OR($U811="""",COUNTIF($I:$I,IFERROR(unique(filter(Prod_Prop!$H:$H,Prod_Prop!$G:$G=$U811,Prod_Prop!$E:$E=V$1)),""Check""))=0),"""",IFERROR(unique(filter(Prod_Prop!$H:$H,Prod_Prop!$G:$G=$U811,Prod_Prop!$E:$E=V$1)),""""))"),"")</f>
        <v/>
      </c>
      <c r="W811" s="4" t="str">
        <f>IF(V811="","",SUMIFS(Prod_Prop!$J:$J,Prod_Prop!$B:$B,$Q811,Prod_Prop!$H:$H,V811,Prod_Prop!$I:$I,W$1)*IF(V811="Peso",$R811,1))</f>
        <v/>
      </c>
      <c r="X811" s="4" t="str">
        <f>IF(V811="","",SUMIFS(Prod_Prop!$J:$J,Prod_Prop!$B:$B,$Q811,Prod_Prop!$H:$H,V811,Prod_Prop!$I:$I,X$1)*IF(V811="Peso",$R811,1))</f>
        <v/>
      </c>
      <c r="Y811" s="4" t="str">
        <f>IFERROR(__xludf.DUMMYFUNCTION("IF(OR($U811="""",COUNTIF($I:$I,IFERROR(unique(filter(Prod_Prop!$H:$H,Prod_Prop!$G:$G=$U811,Prod_Prop!$E:$E=Y$1)),""Check""))=0),"""",IFERROR(unique(filter(Prod_Prop!$H:$H,Prod_Prop!$G:$G=$U811,Prod_Prop!$E:$E=Y$1)),""""))"),"")</f>
        <v/>
      </c>
      <c r="Z811" s="4" t="str">
        <f>IF(Y811="","",SUMIFS(Prod_Prop!$J:$J,Prod_Prop!$B:$B,$Q811,Prod_Prop!$H:$H,Y811,Prod_Prop!$I:$I,Z$1)*IF(Y811="Peso",$R811,1))</f>
        <v/>
      </c>
      <c r="AA811" s="4" t="str">
        <f>IF(Y811="","",SUMIFS(Prod_Prop!$J:$J,Prod_Prop!$B:$B,$Q811,Prod_Prop!$H:$H,Y811,Prod_Prop!$I:$I,AA$1)*IF(Y811="Peso",$R811,1))</f>
        <v/>
      </c>
      <c r="AB811" s="4" t="str">
        <f>IFERROR(__xludf.DUMMYFUNCTION("IF(OR($U811="""",COUNTIF($I:$I,IFERROR(unique(filter(Prod_Prop!$H:$H,Prod_Prop!$G:$G=$U811,Prod_Prop!$E:$E=AB$1)),""Check""))=0),"""",IFERROR(unique(filter(Prod_Prop!$H:$H,Prod_Prop!$G:$G=$U811,Prod_Prop!$E:$E=AB$1)),""""))"),"")</f>
        <v/>
      </c>
      <c r="AC811" s="4" t="str">
        <f>IF(AB811="","",SUMIFS(Prod_Prop!$J:$J,Prod_Prop!$B:$B,$Q811,Prod_Prop!$H:$H,AB811,Prod_Prop!$I:$I,AC$1)*IF(AB811="Peso",$R811,1))</f>
        <v/>
      </c>
      <c r="AD811" s="4" t="str">
        <f>IF(AB811="","",SUMIFS(Prod_Prop!$J:$J,Prod_Prop!$B:$B,$Q811,Prod_Prop!$H:$H,AB811,Prod_Prop!$I:$I,AD$1)*IF(AB811="Peso",$R811,1))</f>
        <v/>
      </c>
    </row>
    <row r="812">
      <c r="A812" s="4" t="str">
        <f t="array" ref="A812">IF(COUNTIF(A$1:A811,Cotizador!F$2)=maxifs(Familias!E:E,Familias!D:D,Cotizador!F$2),IF(COUNTIF(A$1:A811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2" s="4" t="str">
        <f t="shared" si="1"/>
        <v/>
      </c>
      <c r="C812" s="4" t="str">
        <f t="array" ref="C812">IF(B812="","",IF(A812=XLOOKUP(A$2,Implementos!B:B,Implementos!C:C,"",0,1),B812+maxifs(B$1:B811,A$1:A811,A$2),B812))</f>
        <v/>
      </c>
      <c r="D812" s="4" t="str">
        <f>IF(B812="","", COUNTIFS(Productos!F:F,A812,Productos!H:H,B812)+IF(F812="SI",0,1))</f>
        <v/>
      </c>
      <c r="E812" s="4" t="str">
        <f>IFERROR(__xludf.DUMMYFUNCTION("IF($B812="""","""",INDEX(filter(Familias!F:F,Familias!$D:$D=$A812,Familias!$E:$E=$B812),1))"),"")</f>
        <v/>
      </c>
      <c r="F812" s="4" t="str">
        <f>IFERROR(__xludf.DUMMYFUNCTION("IF($B812="""","""",INDEX(filter(Familias!G:G,Familias!$D:$D=$A812,Familias!$E:$E=$B812),1))"),"")</f>
        <v/>
      </c>
      <c r="G812" s="4" t="str">
        <f t="array" ref="G812">IF(C812=1,XLOOKUP(C812,Cotizador!D:D,Cotizador!E:E,"",0,1),"")</f>
        <v/>
      </c>
      <c r="I812" s="4"/>
      <c r="J812" s="8" t="str">
        <f>IF(I812="","",SUMIF(Cotizador!I$1:V$1,I812,Cotizador!I$2:V$2))</f>
        <v/>
      </c>
      <c r="L812" s="4" t="str">
        <f t="array" ref="L812">IF(COUNTIF(L$1:L811,A$2)=SUMIF(A:A,A$2,D:D),IF(COUNTIF(L$1:L811,XLOOKUP(A$2,Implementos!B:B,Implementos!C:C,"",0,1))=SUMIF(A:A,XLOOKUP(A$2,Implementos!B:B,Implementos!C:C,"",0,1),D:D),"",XLOOKUP(A$2,Implementos!B:B,Implementos!C:C,"",0,1)),A$2)</f>
        <v/>
      </c>
      <c r="M812" s="4" t="str">
        <f t="shared" si="2"/>
        <v/>
      </c>
      <c r="N812" s="4" t="str">
        <f t="shared" si="3"/>
        <v/>
      </c>
      <c r="O812" s="4" t="str">
        <f t="shared" si="4"/>
        <v/>
      </c>
      <c r="P812" s="4" t="str">
        <f t="shared" si="5"/>
        <v/>
      </c>
      <c r="Q812" s="4" t="str">
        <f>IF(U812="","",SUMIF(Productos!E:E,U812,Productos!A:A))</f>
        <v/>
      </c>
      <c r="R812" s="4" t="str">
        <f t="array" ref="R812">IF(L812="","", max(1,SUMIF(I:I,XLOOKUP(U812,Productos!E:E,Productos!G:G,"",0,1),J:J)))</f>
        <v/>
      </c>
      <c r="S812" s="4" t="str">
        <f>IF(Q812="","",IF(SUMIFS(Compat_Vetado!D:D,Compat_Vetado!B:B,SUM(G:G),Compat_Vetado!C:C,Q812)=1,"SI",IF(OR(SUMIF(Cotizador!E:E,Q812,Cotizador!G:G)&gt;0,SUMIFS(Compat_Vetado!D:D,Compat_Vetado!B:B,SUM(G:G),Compat_Vetado!C:C,Q812)=-1),"NO","")))</f>
        <v/>
      </c>
      <c r="T812" s="4" t="str">
        <f t="shared" si="6"/>
        <v/>
      </c>
      <c r="U812" s="4" t="str">
        <f>IFERROR(__xludf.DUMMYFUNCTION("IF(P812="""","""",IFERROR(INDEX(filter(Productos!E:E,Productos!F:F=L812,Productos!H:H=N812),P812),IF(M812=SUM(D:D),""Finalizar"",""-"")))"),"")</f>
        <v/>
      </c>
      <c r="V812" s="4" t="str">
        <f>IFERROR(__xludf.DUMMYFUNCTION("IF(OR($U812="""",COUNTIF($I:$I,IFERROR(unique(filter(Prod_Prop!$H:$H,Prod_Prop!$G:$G=$U812,Prod_Prop!$E:$E=V$1)),""Check""))=0),"""",IFERROR(unique(filter(Prod_Prop!$H:$H,Prod_Prop!$G:$G=$U812,Prod_Prop!$E:$E=V$1)),""""))"),"")</f>
        <v/>
      </c>
      <c r="W812" s="4" t="str">
        <f>IF(V812="","",SUMIFS(Prod_Prop!$J:$J,Prod_Prop!$B:$B,$Q812,Prod_Prop!$H:$H,V812,Prod_Prop!$I:$I,W$1)*IF(V812="Peso",$R812,1))</f>
        <v/>
      </c>
      <c r="X812" s="4" t="str">
        <f>IF(V812="","",SUMIFS(Prod_Prop!$J:$J,Prod_Prop!$B:$B,$Q812,Prod_Prop!$H:$H,V812,Prod_Prop!$I:$I,X$1)*IF(V812="Peso",$R812,1))</f>
        <v/>
      </c>
      <c r="Y812" s="4" t="str">
        <f>IFERROR(__xludf.DUMMYFUNCTION("IF(OR($U812="""",COUNTIF($I:$I,IFERROR(unique(filter(Prod_Prop!$H:$H,Prod_Prop!$G:$G=$U812,Prod_Prop!$E:$E=Y$1)),""Check""))=0),"""",IFERROR(unique(filter(Prod_Prop!$H:$H,Prod_Prop!$G:$G=$U812,Prod_Prop!$E:$E=Y$1)),""""))"),"")</f>
        <v/>
      </c>
      <c r="Z812" s="4" t="str">
        <f>IF(Y812="","",SUMIFS(Prod_Prop!$J:$J,Prod_Prop!$B:$B,$Q812,Prod_Prop!$H:$H,Y812,Prod_Prop!$I:$I,Z$1)*IF(Y812="Peso",$R812,1))</f>
        <v/>
      </c>
      <c r="AA812" s="4" t="str">
        <f>IF(Y812="","",SUMIFS(Prod_Prop!$J:$J,Prod_Prop!$B:$B,$Q812,Prod_Prop!$H:$H,Y812,Prod_Prop!$I:$I,AA$1)*IF(Y812="Peso",$R812,1))</f>
        <v/>
      </c>
      <c r="AB812" s="4" t="str">
        <f>IFERROR(__xludf.DUMMYFUNCTION("IF(OR($U812="""",COUNTIF($I:$I,IFERROR(unique(filter(Prod_Prop!$H:$H,Prod_Prop!$G:$G=$U812,Prod_Prop!$E:$E=AB$1)),""Check""))=0),"""",IFERROR(unique(filter(Prod_Prop!$H:$H,Prod_Prop!$G:$G=$U812,Prod_Prop!$E:$E=AB$1)),""""))"),"")</f>
        <v/>
      </c>
      <c r="AC812" s="4" t="str">
        <f>IF(AB812="","",SUMIFS(Prod_Prop!$J:$J,Prod_Prop!$B:$B,$Q812,Prod_Prop!$H:$H,AB812,Prod_Prop!$I:$I,AC$1)*IF(AB812="Peso",$R812,1))</f>
        <v/>
      </c>
      <c r="AD812" s="4" t="str">
        <f>IF(AB812="","",SUMIFS(Prod_Prop!$J:$J,Prod_Prop!$B:$B,$Q812,Prod_Prop!$H:$H,AB812,Prod_Prop!$I:$I,AD$1)*IF(AB812="Peso",$R812,1))</f>
        <v/>
      </c>
    </row>
    <row r="813">
      <c r="A813" s="4" t="str">
        <f t="array" ref="A813">IF(COUNTIF(A$1:A812,Cotizador!F$2)=maxifs(Familias!E:E,Familias!D:D,Cotizador!F$2),IF(COUNTIF(A$1:A812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3" s="4" t="str">
        <f t="shared" si="1"/>
        <v/>
      </c>
      <c r="C813" s="4" t="str">
        <f t="array" ref="C813">IF(B813="","",IF(A813=XLOOKUP(A$2,Implementos!B:B,Implementos!C:C,"",0,1),B813+maxifs(B$1:B812,A$1:A812,A$2),B813))</f>
        <v/>
      </c>
      <c r="D813" s="4" t="str">
        <f>IF(B813="","", COUNTIFS(Productos!F:F,A813,Productos!H:H,B813)+IF(F813="SI",0,1))</f>
        <v/>
      </c>
      <c r="E813" s="4" t="str">
        <f>IFERROR(__xludf.DUMMYFUNCTION("IF($B813="""","""",INDEX(filter(Familias!F:F,Familias!$D:$D=$A813,Familias!$E:$E=$B813),1))"),"")</f>
        <v/>
      </c>
      <c r="F813" s="4" t="str">
        <f>IFERROR(__xludf.DUMMYFUNCTION("IF($B813="""","""",INDEX(filter(Familias!G:G,Familias!$D:$D=$A813,Familias!$E:$E=$B813),1))"),"")</f>
        <v/>
      </c>
      <c r="G813" s="4" t="str">
        <f t="array" ref="G813">IF(C813=1,XLOOKUP(C813,Cotizador!D:D,Cotizador!E:E,"",0,1),"")</f>
        <v/>
      </c>
      <c r="I813" s="4"/>
      <c r="J813" s="8" t="str">
        <f>IF(I813="","",SUMIF(Cotizador!I$1:V$1,I813,Cotizador!I$2:V$2))</f>
        <v/>
      </c>
      <c r="L813" s="4" t="str">
        <f t="array" ref="L813">IF(COUNTIF(L$1:L812,A$2)=SUMIF(A:A,A$2,D:D),IF(COUNTIF(L$1:L812,XLOOKUP(A$2,Implementos!B:B,Implementos!C:C,"",0,1))=SUMIF(A:A,XLOOKUP(A$2,Implementos!B:B,Implementos!C:C,"",0,1),D:D),"",XLOOKUP(A$2,Implementos!B:B,Implementos!C:C,"",0,1)),A$2)</f>
        <v/>
      </c>
      <c r="M813" s="4" t="str">
        <f t="shared" si="2"/>
        <v/>
      </c>
      <c r="N813" s="4" t="str">
        <f t="shared" si="3"/>
        <v/>
      </c>
      <c r="O813" s="4" t="str">
        <f t="shared" si="4"/>
        <v/>
      </c>
      <c r="P813" s="4" t="str">
        <f t="shared" si="5"/>
        <v/>
      </c>
      <c r="Q813" s="4" t="str">
        <f>IF(U813="","",SUMIF(Productos!E:E,U813,Productos!A:A))</f>
        <v/>
      </c>
      <c r="R813" s="4" t="str">
        <f t="array" ref="R813">IF(L813="","", max(1,SUMIF(I:I,XLOOKUP(U813,Productos!E:E,Productos!G:G,"",0,1),J:J)))</f>
        <v/>
      </c>
      <c r="S813" s="4" t="str">
        <f>IF(Q813="","",IF(SUMIFS(Compat_Vetado!D:D,Compat_Vetado!B:B,SUM(G:G),Compat_Vetado!C:C,Q813)=1,"SI",IF(OR(SUMIF(Cotizador!E:E,Q813,Cotizador!G:G)&gt;0,SUMIFS(Compat_Vetado!D:D,Compat_Vetado!B:B,SUM(G:G),Compat_Vetado!C:C,Q813)=-1),"NO","")))</f>
        <v/>
      </c>
      <c r="T813" s="4" t="str">
        <f t="shared" si="6"/>
        <v/>
      </c>
      <c r="U813" s="4" t="str">
        <f>IFERROR(__xludf.DUMMYFUNCTION("IF(P813="""","""",IFERROR(INDEX(filter(Productos!E:E,Productos!F:F=L813,Productos!H:H=N813),P813),IF(M813=SUM(D:D),""Finalizar"",""-"")))"),"")</f>
        <v/>
      </c>
      <c r="V813" s="4" t="str">
        <f>IFERROR(__xludf.DUMMYFUNCTION("IF(OR($U813="""",COUNTIF($I:$I,IFERROR(unique(filter(Prod_Prop!$H:$H,Prod_Prop!$G:$G=$U813,Prod_Prop!$E:$E=V$1)),""Check""))=0),"""",IFERROR(unique(filter(Prod_Prop!$H:$H,Prod_Prop!$G:$G=$U813,Prod_Prop!$E:$E=V$1)),""""))"),"")</f>
        <v/>
      </c>
      <c r="W813" s="4" t="str">
        <f>IF(V813="","",SUMIFS(Prod_Prop!$J:$J,Prod_Prop!$B:$B,$Q813,Prod_Prop!$H:$H,V813,Prod_Prop!$I:$I,W$1)*IF(V813="Peso",$R813,1))</f>
        <v/>
      </c>
      <c r="X813" s="4" t="str">
        <f>IF(V813="","",SUMIFS(Prod_Prop!$J:$J,Prod_Prop!$B:$B,$Q813,Prod_Prop!$H:$H,V813,Prod_Prop!$I:$I,X$1)*IF(V813="Peso",$R813,1))</f>
        <v/>
      </c>
      <c r="Y813" s="4" t="str">
        <f>IFERROR(__xludf.DUMMYFUNCTION("IF(OR($U813="""",COUNTIF($I:$I,IFERROR(unique(filter(Prod_Prop!$H:$H,Prod_Prop!$G:$G=$U813,Prod_Prop!$E:$E=Y$1)),""Check""))=0),"""",IFERROR(unique(filter(Prod_Prop!$H:$H,Prod_Prop!$G:$G=$U813,Prod_Prop!$E:$E=Y$1)),""""))"),"")</f>
        <v/>
      </c>
      <c r="Z813" s="4" t="str">
        <f>IF(Y813="","",SUMIFS(Prod_Prop!$J:$J,Prod_Prop!$B:$B,$Q813,Prod_Prop!$H:$H,Y813,Prod_Prop!$I:$I,Z$1)*IF(Y813="Peso",$R813,1))</f>
        <v/>
      </c>
      <c r="AA813" s="4" t="str">
        <f>IF(Y813="","",SUMIFS(Prod_Prop!$J:$J,Prod_Prop!$B:$B,$Q813,Prod_Prop!$H:$H,Y813,Prod_Prop!$I:$I,AA$1)*IF(Y813="Peso",$R813,1))</f>
        <v/>
      </c>
      <c r="AB813" s="4" t="str">
        <f>IFERROR(__xludf.DUMMYFUNCTION("IF(OR($U813="""",COUNTIF($I:$I,IFERROR(unique(filter(Prod_Prop!$H:$H,Prod_Prop!$G:$G=$U813,Prod_Prop!$E:$E=AB$1)),""Check""))=0),"""",IFERROR(unique(filter(Prod_Prop!$H:$H,Prod_Prop!$G:$G=$U813,Prod_Prop!$E:$E=AB$1)),""""))"),"")</f>
        <v/>
      </c>
      <c r="AC813" s="4" t="str">
        <f>IF(AB813="","",SUMIFS(Prod_Prop!$J:$J,Prod_Prop!$B:$B,$Q813,Prod_Prop!$H:$H,AB813,Prod_Prop!$I:$I,AC$1)*IF(AB813="Peso",$R813,1))</f>
        <v/>
      </c>
      <c r="AD813" s="4" t="str">
        <f>IF(AB813="","",SUMIFS(Prod_Prop!$J:$J,Prod_Prop!$B:$B,$Q813,Prod_Prop!$H:$H,AB813,Prod_Prop!$I:$I,AD$1)*IF(AB813="Peso",$R813,1))</f>
        <v/>
      </c>
    </row>
    <row r="814">
      <c r="A814" s="4" t="str">
        <f t="array" ref="A814">IF(COUNTIF(A$1:A813,Cotizador!F$2)=maxifs(Familias!E:E,Familias!D:D,Cotizador!F$2),IF(COUNTIF(A$1:A813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4" s="4" t="str">
        <f t="shared" si="1"/>
        <v/>
      </c>
      <c r="C814" s="4" t="str">
        <f t="array" ref="C814">IF(B814="","",IF(A814=XLOOKUP(A$2,Implementos!B:B,Implementos!C:C,"",0,1),B814+maxifs(B$1:B813,A$1:A813,A$2),B814))</f>
        <v/>
      </c>
      <c r="D814" s="4" t="str">
        <f>IF(B814="","", COUNTIFS(Productos!F:F,A814,Productos!H:H,B814)+IF(F814="SI",0,1))</f>
        <v/>
      </c>
      <c r="E814" s="4" t="str">
        <f>IFERROR(__xludf.DUMMYFUNCTION("IF($B814="""","""",INDEX(filter(Familias!F:F,Familias!$D:$D=$A814,Familias!$E:$E=$B814),1))"),"")</f>
        <v/>
      </c>
      <c r="F814" s="4" t="str">
        <f>IFERROR(__xludf.DUMMYFUNCTION("IF($B814="""","""",INDEX(filter(Familias!G:G,Familias!$D:$D=$A814,Familias!$E:$E=$B814),1))"),"")</f>
        <v/>
      </c>
      <c r="G814" s="4" t="str">
        <f t="array" ref="G814">IF(C814=1,XLOOKUP(C814,Cotizador!D:D,Cotizador!E:E,"",0,1),"")</f>
        <v/>
      </c>
      <c r="I814" s="4"/>
      <c r="J814" s="8" t="str">
        <f>IF(I814="","",SUMIF(Cotizador!I$1:V$1,I814,Cotizador!I$2:V$2))</f>
        <v/>
      </c>
      <c r="L814" s="4" t="str">
        <f t="array" ref="L814">IF(COUNTIF(L$1:L813,A$2)=SUMIF(A:A,A$2,D:D),IF(COUNTIF(L$1:L813,XLOOKUP(A$2,Implementos!B:B,Implementos!C:C,"",0,1))=SUMIF(A:A,XLOOKUP(A$2,Implementos!B:B,Implementos!C:C,"",0,1),D:D),"",XLOOKUP(A$2,Implementos!B:B,Implementos!C:C,"",0,1)),A$2)</f>
        <v/>
      </c>
      <c r="M814" s="4" t="str">
        <f t="shared" si="2"/>
        <v/>
      </c>
      <c r="N814" s="4" t="str">
        <f t="shared" si="3"/>
        <v/>
      </c>
      <c r="O814" s="4" t="str">
        <f t="shared" si="4"/>
        <v/>
      </c>
      <c r="P814" s="4" t="str">
        <f t="shared" si="5"/>
        <v/>
      </c>
      <c r="Q814" s="4" t="str">
        <f>IF(U814="","",SUMIF(Productos!E:E,U814,Productos!A:A))</f>
        <v/>
      </c>
      <c r="R814" s="4" t="str">
        <f t="array" ref="R814">IF(L814="","", max(1,SUMIF(I:I,XLOOKUP(U814,Productos!E:E,Productos!G:G,"",0,1),J:J)))</f>
        <v/>
      </c>
      <c r="S814" s="4" t="str">
        <f>IF(Q814="","",IF(SUMIFS(Compat_Vetado!D:D,Compat_Vetado!B:B,SUM(G:G),Compat_Vetado!C:C,Q814)=1,"SI",IF(OR(SUMIF(Cotizador!E:E,Q814,Cotizador!G:G)&gt;0,SUMIFS(Compat_Vetado!D:D,Compat_Vetado!B:B,SUM(G:G),Compat_Vetado!C:C,Q814)=-1),"NO","")))</f>
        <v/>
      </c>
      <c r="T814" s="4" t="str">
        <f t="shared" si="6"/>
        <v/>
      </c>
      <c r="U814" s="4" t="str">
        <f>IFERROR(__xludf.DUMMYFUNCTION("IF(P814="""","""",IFERROR(INDEX(filter(Productos!E:E,Productos!F:F=L814,Productos!H:H=N814),P814),IF(M814=SUM(D:D),""Finalizar"",""-"")))"),"")</f>
        <v/>
      </c>
      <c r="V814" s="4" t="str">
        <f>IFERROR(__xludf.DUMMYFUNCTION("IF(OR($U814="""",COUNTIF($I:$I,IFERROR(unique(filter(Prod_Prop!$H:$H,Prod_Prop!$G:$G=$U814,Prod_Prop!$E:$E=V$1)),""Check""))=0),"""",IFERROR(unique(filter(Prod_Prop!$H:$H,Prod_Prop!$G:$G=$U814,Prod_Prop!$E:$E=V$1)),""""))"),"")</f>
        <v/>
      </c>
      <c r="W814" s="4" t="str">
        <f>IF(V814="","",SUMIFS(Prod_Prop!$J:$J,Prod_Prop!$B:$B,$Q814,Prod_Prop!$H:$H,V814,Prod_Prop!$I:$I,W$1)*IF(V814="Peso",$R814,1))</f>
        <v/>
      </c>
      <c r="X814" s="4" t="str">
        <f>IF(V814="","",SUMIFS(Prod_Prop!$J:$J,Prod_Prop!$B:$B,$Q814,Prod_Prop!$H:$H,V814,Prod_Prop!$I:$I,X$1)*IF(V814="Peso",$R814,1))</f>
        <v/>
      </c>
      <c r="Y814" s="4" t="str">
        <f>IFERROR(__xludf.DUMMYFUNCTION("IF(OR($U814="""",COUNTIF($I:$I,IFERROR(unique(filter(Prod_Prop!$H:$H,Prod_Prop!$G:$G=$U814,Prod_Prop!$E:$E=Y$1)),""Check""))=0),"""",IFERROR(unique(filter(Prod_Prop!$H:$H,Prod_Prop!$G:$G=$U814,Prod_Prop!$E:$E=Y$1)),""""))"),"")</f>
        <v/>
      </c>
      <c r="Z814" s="4" t="str">
        <f>IF(Y814="","",SUMIFS(Prod_Prop!$J:$J,Prod_Prop!$B:$B,$Q814,Prod_Prop!$H:$H,Y814,Prod_Prop!$I:$I,Z$1)*IF(Y814="Peso",$R814,1))</f>
        <v/>
      </c>
      <c r="AA814" s="4" t="str">
        <f>IF(Y814="","",SUMIFS(Prod_Prop!$J:$J,Prod_Prop!$B:$B,$Q814,Prod_Prop!$H:$H,Y814,Prod_Prop!$I:$I,AA$1)*IF(Y814="Peso",$R814,1))</f>
        <v/>
      </c>
      <c r="AB814" s="4" t="str">
        <f>IFERROR(__xludf.DUMMYFUNCTION("IF(OR($U814="""",COUNTIF($I:$I,IFERROR(unique(filter(Prod_Prop!$H:$H,Prod_Prop!$G:$G=$U814,Prod_Prop!$E:$E=AB$1)),""Check""))=0),"""",IFERROR(unique(filter(Prod_Prop!$H:$H,Prod_Prop!$G:$G=$U814,Prod_Prop!$E:$E=AB$1)),""""))"),"")</f>
        <v/>
      </c>
      <c r="AC814" s="4" t="str">
        <f>IF(AB814="","",SUMIFS(Prod_Prop!$J:$J,Prod_Prop!$B:$B,$Q814,Prod_Prop!$H:$H,AB814,Prod_Prop!$I:$I,AC$1)*IF(AB814="Peso",$R814,1))</f>
        <v/>
      </c>
      <c r="AD814" s="4" t="str">
        <f>IF(AB814="","",SUMIFS(Prod_Prop!$J:$J,Prod_Prop!$B:$B,$Q814,Prod_Prop!$H:$H,AB814,Prod_Prop!$I:$I,AD$1)*IF(AB814="Peso",$R814,1))</f>
        <v/>
      </c>
    </row>
    <row r="815">
      <c r="A815" s="4" t="str">
        <f t="array" ref="A815">IF(COUNTIF(A$1:A814,Cotizador!F$2)=maxifs(Familias!E:E,Familias!D:D,Cotizador!F$2),IF(COUNTIF(A$1:A814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5" s="4" t="str">
        <f t="shared" si="1"/>
        <v/>
      </c>
      <c r="C815" s="4" t="str">
        <f t="array" ref="C815">IF(B815="","",IF(A815=XLOOKUP(A$2,Implementos!B:B,Implementos!C:C,"",0,1),B815+maxifs(B$1:B814,A$1:A814,A$2),B815))</f>
        <v/>
      </c>
      <c r="D815" s="4" t="str">
        <f>IF(B815="","", COUNTIFS(Productos!F:F,A815,Productos!H:H,B815)+IF(F815="SI",0,1))</f>
        <v/>
      </c>
      <c r="E815" s="4" t="str">
        <f>IFERROR(__xludf.DUMMYFUNCTION("IF($B815="""","""",INDEX(filter(Familias!F:F,Familias!$D:$D=$A815,Familias!$E:$E=$B815),1))"),"")</f>
        <v/>
      </c>
      <c r="F815" s="4" t="str">
        <f>IFERROR(__xludf.DUMMYFUNCTION("IF($B815="""","""",INDEX(filter(Familias!G:G,Familias!$D:$D=$A815,Familias!$E:$E=$B815),1))"),"")</f>
        <v/>
      </c>
      <c r="G815" s="4" t="str">
        <f t="array" ref="G815">IF(C815=1,XLOOKUP(C815,Cotizador!D:D,Cotizador!E:E,"",0,1),"")</f>
        <v/>
      </c>
      <c r="I815" s="4"/>
      <c r="J815" s="8" t="str">
        <f>IF(I815="","",SUMIF(Cotizador!I$1:V$1,I815,Cotizador!I$2:V$2))</f>
        <v/>
      </c>
      <c r="L815" s="4" t="str">
        <f t="array" ref="L815">IF(COUNTIF(L$1:L814,A$2)=SUMIF(A:A,A$2,D:D),IF(COUNTIF(L$1:L814,XLOOKUP(A$2,Implementos!B:B,Implementos!C:C,"",0,1))=SUMIF(A:A,XLOOKUP(A$2,Implementos!B:B,Implementos!C:C,"",0,1),D:D),"",XLOOKUP(A$2,Implementos!B:B,Implementos!C:C,"",0,1)),A$2)</f>
        <v/>
      </c>
      <c r="M815" s="4" t="str">
        <f t="shared" si="2"/>
        <v/>
      </c>
      <c r="N815" s="4" t="str">
        <f t="shared" si="3"/>
        <v/>
      </c>
      <c r="O815" s="4" t="str">
        <f t="shared" si="4"/>
        <v/>
      </c>
      <c r="P815" s="4" t="str">
        <f t="shared" si="5"/>
        <v/>
      </c>
      <c r="Q815" s="4" t="str">
        <f>IF(U815="","",SUMIF(Productos!E:E,U815,Productos!A:A))</f>
        <v/>
      </c>
      <c r="R815" s="4" t="str">
        <f t="array" ref="R815">IF(L815="","", max(1,SUMIF(I:I,XLOOKUP(U815,Productos!E:E,Productos!G:G,"",0,1),J:J)))</f>
        <v/>
      </c>
      <c r="S815" s="4" t="str">
        <f>IF(Q815="","",IF(SUMIFS(Compat_Vetado!D:D,Compat_Vetado!B:B,SUM(G:G),Compat_Vetado!C:C,Q815)=1,"SI",IF(OR(SUMIF(Cotizador!E:E,Q815,Cotizador!G:G)&gt;0,SUMIFS(Compat_Vetado!D:D,Compat_Vetado!B:B,SUM(G:G),Compat_Vetado!C:C,Q815)=-1),"NO","")))</f>
        <v/>
      </c>
      <c r="T815" s="4" t="str">
        <f t="shared" si="6"/>
        <v/>
      </c>
      <c r="U815" s="4" t="str">
        <f>IFERROR(__xludf.DUMMYFUNCTION("IF(P815="""","""",IFERROR(INDEX(filter(Productos!E:E,Productos!F:F=L815,Productos!H:H=N815),P815),IF(M815=SUM(D:D),""Finalizar"",""-"")))"),"")</f>
        <v/>
      </c>
      <c r="V815" s="4" t="str">
        <f>IFERROR(__xludf.DUMMYFUNCTION("IF(OR($U815="""",COUNTIF($I:$I,IFERROR(unique(filter(Prod_Prop!$H:$H,Prod_Prop!$G:$G=$U815,Prod_Prop!$E:$E=V$1)),""Check""))=0),"""",IFERROR(unique(filter(Prod_Prop!$H:$H,Prod_Prop!$G:$G=$U815,Prod_Prop!$E:$E=V$1)),""""))"),"")</f>
        <v/>
      </c>
      <c r="W815" s="4" t="str">
        <f>IF(V815="","",SUMIFS(Prod_Prop!$J:$J,Prod_Prop!$B:$B,$Q815,Prod_Prop!$H:$H,V815,Prod_Prop!$I:$I,W$1)*IF(V815="Peso",$R815,1))</f>
        <v/>
      </c>
      <c r="X815" s="4" t="str">
        <f>IF(V815="","",SUMIFS(Prod_Prop!$J:$J,Prod_Prop!$B:$B,$Q815,Prod_Prop!$H:$H,V815,Prod_Prop!$I:$I,X$1)*IF(V815="Peso",$R815,1))</f>
        <v/>
      </c>
      <c r="Y815" s="4" t="str">
        <f>IFERROR(__xludf.DUMMYFUNCTION("IF(OR($U815="""",COUNTIF($I:$I,IFERROR(unique(filter(Prod_Prop!$H:$H,Prod_Prop!$G:$G=$U815,Prod_Prop!$E:$E=Y$1)),""Check""))=0),"""",IFERROR(unique(filter(Prod_Prop!$H:$H,Prod_Prop!$G:$G=$U815,Prod_Prop!$E:$E=Y$1)),""""))"),"")</f>
        <v/>
      </c>
      <c r="Z815" s="4" t="str">
        <f>IF(Y815="","",SUMIFS(Prod_Prop!$J:$J,Prod_Prop!$B:$B,$Q815,Prod_Prop!$H:$H,Y815,Prod_Prop!$I:$I,Z$1)*IF(Y815="Peso",$R815,1))</f>
        <v/>
      </c>
      <c r="AA815" s="4" t="str">
        <f>IF(Y815="","",SUMIFS(Prod_Prop!$J:$J,Prod_Prop!$B:$B,$Q815,Prod_Prop!$H:$H,Y815,Prod_Prop!$I:$I,AA$1)*IF(Y815="Peso",$R815,1))</f>
        <v/>
      </c>
      <c r="AB815" s="4" t="str">
        <f>IFERROR(__xludf.DUMMYFUNCTION("IF(OR($U815="""",COUNTIF($I:$I,IFERROR(unique(filter(Prod_Prop!$H:$H,Prod_Prop!$G:$G=$U815,Prod_Prop!$E:$E=AB$1)),""Check""))=0),"""",IFERROR(unique(filter(Prod_Prop!$H:$H,Prod_Prop!$G:$G=$U815,Prod_Prop!$E:$E=AB$1)),""""))"),"")</f>
        <v/>
      </c>
      <c r="AC815" s="4" t="str">
        <f>IF(AB815="","",SUMIFS(Prod_Prop!$J:$J,Prod_Prop!$B:$B,$Q815,Prod_Prop!$H:$H,AB815,Prod_Prop!$I:$I,AC$1)*IF(AB815="Peso",$R815,1))</f>
        <v/>
      </c>
      <c r="AD815" s="4" t="str">
        <f>IF(AB815="","",SUMIFS(Prod_Prop!$J:$J,Prod_Prop!$B:$B,$Q815,Prod_Prop!$H:$H,AB815,Prod_Prop!$I:$I,AD$1)*IF(AB815="Peso",$R815,1))</f>
        <v/>
      </c>
    </row>
    <row r="816">
      <c r="A816" s="4" t="str">
        <f t="array" ref="A816">IF(COUNTIF(A$1:A815,Cotizador!F$2)=maxifs(Familias!E:E,Familias!D:D,Cotizador!F$2),IF(COUNTIF(A$1:A815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6" s="4" t="str">
        <f t="shared" si="1"/>
        <v/>
      </c>
      <c r="C816" s="4" t="str">
        <f t="array" ref="C816">IF(B816="","",IF(A816=XLOOKUP(A$2,Implementos!B:B,Implementos!C:C,"",0,1),B816+maxifs(B$1:B815,A$1:A815,A$2),B816))</f>
        <v/>
      </c>
      <c r="D816" s="4" t="str">
        <f>IF(B816="","", COUNTIFS(Productos!F:F,A816,Productos!H:H,B816)+IF(F816="SI",0,1))</f>
        <v/>
      </c>
      <c r="E816" s="4" t="str">
        <f>IFERROR(__xludf.DUMMYFUNCTION("IF($B816="""","""",INDEX(filter(Familias!F:F,Familias!$D:$D=$A816,Familias!$E:$E=$B816),1))"),"")</f>
        <v/>
      </c>
      <c r="F816" s="4" t="str">
        <f>IFERROR(__xludf.DUMMYFUNCTION("IF($B816="""","""",INDEX(filter(Familias!G:G,Familias!$D:$D=$A816,Familias!$E:$E=$B816),1))"),"")</f>
        <v/>
      </c>
      <c r="G816" s="4" t="str">
        <f t="array" ref="G816">IF(C816=1,XLOOKUP(C816,Cotizador!D:D,Cotizador!E:E,"",0,1),"")</f>
        <v/>
      </c>
      <c r="I816" s="4"/>
      <c r="J816" s="8" t="str">
        <f>IF(I816="","",SUMIF(Cotizador!I$1:V$1,I816,Cotizador!I$2:V$2))</f>
        <v/>
      </c>
      <c r="L816" s="4" t="str">
        <f t="array" ref="L816">IF(COUNTIF(L$1:L815,A$2)=SUMIF(A:A,A$2,D:D),IF(COUNTIF(L$1:L815,XLOOKUP(A$2,Implementos!B:B,Implementos!C:C,"",0,1))=SUMIF(A:A,XLOOKUP(A$2,Implementos!B:B,Implementos!C:C,"",0,1),D:D),"",XLOOKUP(A$2,Implementos!B:B,Implementos!C:C,"",0,1)),A$2)</f>
        <v/>
      </c>
      <c r="M816" s="4" t="str">
        <f t="shared" si="2"/>
        <v/>
      </c>
      <c r="N816" s="4" t="str">
        <f t="shared" si="3"/>
        <v/>
      </c>
      <c r="O816" s="4" t="str">
        <f t="shared" si="4"/>
        <v/>
      </c>
      <c r="P816" s="4" t="str">
        <f t="shared" si="5"/>
        <v/>
      </c>
      <c r="Q816" s="4" t="str">
        <f>IF(U816="","",SUMIF(Productos!E:E,U816,Productos!A:A))</f>
        <v/>
      </c>
      <c r="R816" s="4" t="str">
        <f t="array" ref="R816">IF(L816="","", max(1,SUMIF(I:I,XLOOKUP(U816,Productos!E:E,Productos!G:G,"",0,1),J:J)))</f>
        <v/>
      </c>
      <c r="S816" s="4" t="str">
        <f>IF(Q816="","",IF(SUMIFS(Compat_Vetado!D:D,Compat_Vetado!B:B,SUM(G:G),Compat_Vetado!C:C,Q816)=1,"SI",IF(OR(SUMIF(Cotizador!E:E,Q816,Cotizador!G:G)&gt;0,SUMIFS(Compat_Vetado!D:D,Compat_Vetado!B:B,SUM(G:G),Compat_Vetado!C:C,Q816)=-1),"NO","")))</f>
        <v/>
      </c>
      <c r="T816" s="4" t="str">
        <f t="shared" si="6"/>
        <v/>
      </c>
      <c r="U816" s="4" t="str">
        <f>IFERROR(__xludf.DUMMYFUNCTION("IF(P816="""","""",IFERROR(INDEX(filter(Productos!E:E,Productos!F:F=L816,Productos!H:H=N816),P816),IF(M816=SUM(D:D),""Finalizar"",""-"")))"),"")</f>
        <v/>
      </c>
      <c r="V816" s="4" t="str">
        <f>IFERROR(__xludf.DUMMYFUNCTION("IF(OR($U816="""",COUNTIF($I:$I,IFERROR(unique(filter(Prod_Prop!$H:$H,Prod_Prop!$G:$G=$U816,Prod_Prop!$E:$E=V$1)),""Check""))=0),"""",IFERROR(unique(filter(Prod_Prop!$H:$H,Prod_Prop!$G:$G=$U816,Prod_Prop!$E:$E=V$1)),""""))"),"")</f>
        <v/>
      </c>
      <c r="W816" s="4" t="str">
        <f>IF(V816="","",SUMIFS(Prod_Prop!$J:$J,Prod_Prop!$B:$B,$Q816,Prod_Prop!$H:$H,V816,Prod_Prop!$I:$I,W$1)*IF(V816="Peso",$R816,1))</f>
        <v/>
      </c>
      <c r="X816" s="4" t="str">
        <f>IF(V816="","",SUMIFS(Prod_Prop!$J:$J,Prod_Prop!$B:$B,$Q816,Prod_Prop!$H:$H,V816,Prod_Prop!$I:$I,X$1)*IF(V816="Peso",$R816,1))</f>
        <v/>
      </c>
      <c r="Y816" s="4" t="str">
        <f>IFERROR(__xludf.DUMMYFUNCTION("IF(OR($U816="""",COUNTIF($I:$I,IFERROR(unique(filter(Prod_Prop!$H:$H,Prod_Prop!$G:$G=$U816,Prod_Prop!$E:$E=Y$1)),""Check""))=0),"""",IFERROR(unique(filter(Prod_Prop!$H:$H,Prod_Prop!$G:$G=$U816,Prod_Prop!$E:$E=Y$1)),""""))"),"")</f>
        <v/>
      </c>
      <c r="Z816" s="4" t="str">
        <f>IF(Y816="","",SUMIFS(Prod_Prop!$J:$J,Prod_Prop!$B:$B,$Q816,Prod_Prop!$H:$H,Y816,Prod_Prop!$I:$I,Z$1)*IF(Y816="Peso",$R816,1))</f>
        <v/>
      </c>
      <c r="AA816" s="4" t="str">
        <f>IF(Y816="","",SUMIFS(Prod_Prop!$J:$J,Prod_Prop!$B:$B,$Q816,Prod_Prop!$H:$H,Y816,Prod_Prop!$I:$I,AA$1)*IF(Y816="Peso",$R816,1))</f>
        <v/>
      </c>
      <c r="AB816" s="4" t="str">
        <f>IFERROR(__xludf.DUMMYFUNCTION("IF(OR($U816="""",COUNTIF($I:$I,IFERROR(unique(filter(Prod_Prop!$H:$H,Prod_Prop!$G:$G=$U816,Prod_Prop!$E:$E=AB$1)),""Check""))=0),"""",IFERROR(unique(filter(Prod_Prop!$H:$H,Prod_Prop!$G:$G=$U816,Prod_Prop!$E:$E=AB$1)),""""))"),"")</f>
        <v/>
      </c>
      <c r="AC816" s="4" t="str">
        <f>IF(AB816="","",SUMIFS(Prod_Prop!$J:$J,Prod_Prop!$B:$B,$Q816,Prod_Prop!$H:$H,AB816,Prod_Prop!$I:$I,AC$1)*IF(AB816="Peso",$R816,1))</f>
        <v/>
      </c>
      <c r="AD816" s="4" t="str">
        <f>IF(AB816="","",SUMIFS(Prod_Prop!$J:$J,Prod_Prop!$B:$B,$Q816,Prod_Prop!$H:$H,AB816,Prod_Prop!$I:$I,AD$1)*IF(AB816="Peso",$R816,1))</f>
        <v/>
      </c>
    </row>
    <row r="817">
      <c r="A817" s="4" t="str">
        <f t="array" ref="A817">IF(COUNTIF(A$1:A816,Cotizador!F$2)=maxifs(Familias!E:E,Familias!D:D,Cotizador!F$2),IF(COUNTIF(A$1:A816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7" s="4" t="str">
        <f t="shared" si="1"/>
        <v/>
      </c>
      <c r="C817" s="4" t="str">
        <f t="array" ref="C817">IF(B817="","",IF(A817=XLOOKUP(A$2,Implementos!B:B,Implementos!C:C,"",0,1),B817+maxifs(B$1:B816,A$1:A816,A$2),B817))</f>
        <v/>
      </c>
      <c r="D817" s="4" t="str">
        <f>IF(B817="","", COUNTIFS(Productos!F:F,A817,Productos!H:H,B817)+IF(F817="SI",0,1))</f>
        <v/>
      </c>
      <c r="E817" s="4" t="str">
        <f>IFERROR(__xludf.DUMMYFUNCTION("IF($B817="""","""",INDEX(filter(Familias!F:F,Familias!$D:$D=$A817,Familias!$E:$E=$B817),1))"),"")</f>
        <v/>
      </c>
      <c r="F817" s="4" t="str">
        <f>IFERROR(__xludf.DUMMYFUNCTION("IF($B817="""","""",INDEX(filter(Familias!G:G,Familias!$D:$D=$A817,Familias!$E:$E=$B817),1))"),"")</f>
        <v/>
      </c>
      <c r="G817" s="4" t="str">
        <f t="array" ref="G817">IF(C817=1,XLOOKUP(C817,Cotizador!D:D,Cotizador!E:E,"",0,1),"")</f>
        <v/>
      </c>
      <c r="I817" s="4"/>
      <c r="J817" s="8" t="str">
        <f>IF(I817="","",SUMIF(Cotizador!I$1:V$1,I817,Cotizador!I$2:V$2))</f>
        <v/>
      </c>
      <c r="L817" s="4" t="str">
        <f t="array" ref="L817">IF(COUNTIF(L$1:L816,A$2)=SUMIF(A:A,A$2,D:D),IF(COUNTIF(L$1:L816,XLOOKUP(A$2,Implementos!B:B,Implementos!C:C,"",0,1))=SUMIF(A:A,XLOOKUP(A$2,Implementos!B:B,Implementos!C:C,"",0,1),D:D),"",XLOOKUP(A$2,Implementos!B:B,Implementos!C:C,"",0,1)),A$2)</f>
        <v/>
      </c>
      <c r="M817" s="4" t="str">
        <f t="shared" si="2"/>
        <v/>
      </c>
      <c r="N817" s="4" t="str">
        <f t="shared" si="3"/>
        <v/>
      </c>
      <c r="O817" s="4" t="str">
        <f t="shared" si="4"/>
        <v/>
      </c>
      <c r="P817" s="4" t="str">
        <f t="shared" si="5"/>
        <v/>
      </c>
      <c r="Q817" s="4" t="str">
        <f>IF(U817="","",SUMIF(Productos!E:E,U817,Productos!A:A))</f>
        <v/>
      </c>
      <c r="R817" s="4" t="str">
        <f t="array" ref="R817">IF(L817="","", max(1,SUMIF(I:I,XLOOKUP(U817,Productos!E:E,Productos!G:G,"",0,1),J:J)))</f>
        <v/>
      </c>
      <c r="S817" s="4" t="str">
        <f>IF(Q817="","",IF(SUMIFS(Compat_Vetado!D:D,Compat_Vetado!B:B,SUM(G:G),Compat_Vetado!C:C,Q817)=1,"SI",IF(OR(SUMIF(Cotizador!E:E,Q817,Cotizador!G:G)&gt;0,SUMIFS(Compat_Vetado!D:D,Compat_Vetado!B:B,SUM(G:G),Compat_Vetado!C:C,Q817)=-1),"NO","")))</f>
        <v/>
      </c>
      <c r="T817" s="4" t="str">
        <f t="shared" si="6"/>
        <v/>
      </c>
      <c r="U817" s="4" t="str">
        <f>IFERROR(__xludf.DUMMYFUNCTION("IF(P817="""","""",IFERROR(INDEX(filter(Productos!E:E,Productos!F:F=L817,Productos!H:H=N817),P817),IF(M817=SUM(D:D),""Finalizar"",""-"")))"),"")</f>
        <v/>
      </c>
      <c r="V817" s="4" t="str">
        <f>IFERROR(__xludf.DUMMYFUNCTION("IF(OR($U817="""",COUNTIF($I:$I,IFERROR(unique(filter(Prod_Prop!$H:$H,Prod_Prop!$G:$G=$U817,Prod_Prop!$E:$E=V$1)),""Check""))=0),"""",IFERROR(unique(filter(Prod_Prop!$H:$H,Prod_Prop!$G:$G=$U817,Prod_Prop!$E:$E=V$1)),""""))"),"")</f>
        <v/>
      </c>
      <c r="W817" s="4" t="str">
        <f>IF(V817="","",SUMIFS(Prod_Prop!$J:$J,Prod_Prop!$B:$B,$Q817,Prod_Prop!$H:$H,V817,Prod_Prop!$I:$I,W$1)*IF(V817="Peso",$R817,1))</f>
        <v/>
      </c>
      <c r="X817" s="4" t="str">
        <f>IF(V817="","",SUMIFS(Prod_Prop!$J:$J,Prod_Prop!$B:$B,$Q817,Prod_Prop!$H:$H,V817,Prod_Prop!$I:$I,X$1)*IF(V817="Peso",$R817,1))</f>
        <v/>
      </c>
      <c r="Y817" s="4" t="str">
        <f>IFERROR(__xludf.DUMMYFUNCTION("IF(OR($U817="""",COUNTIF($I:$I,IFERROR(unique(filter(Prod_Prop!$H:$H,Prod_Prop!$G:$G=$U817,Prod_Prop!$E:$E=Y$1)),""Check""))=0),"""",IFERROR(unique(filter(Prod_Prop!$H:$H,Prod_Prop!$G:$G=$U817,Prod_Prop!$E:$E=Y$1)),""""))"),"")</f>
        <v/>
      </c>
      <c r="Z817" s="4" t="str">
        <f>IF(Y817="","",SUMIFS(Prod_Prop!$J:$J,Prod_Prop!$B:$B,$Q817,Prod_Prop!$H:$H,Y817,Prod_Prop!$I:$I,Z$1)*IF(Y817="Peso",$R817,1))</f>
        <v/>
      </c>
      <c r="AA817" s="4" t="str">
        <f>IF(Y817="","",SUMIFS(Prod_Prop!$J:$J,Prod_Prop!$B:$B,$Q817,Prod_Prop!$H:$H,Y817,Prod_Prop!$I:$I,AA$1)*IF(Y817="Peso",$R817,1))</f>
        <v/>
      </c>
      <c r="AB817" s="4" t="str">
        <f>IFERROR(__xludf.DUMMYFUNCTION("IF(OR($U817="""",COUNTIF($I:$I,IFERROR(unique(filter(Prod_Prop!$H:$H,Prod_Prop!$G:$G=$U817,Prod_Prop!$E:$E=AB$1)),""Check""))=0),"""",IFERROR(unique(filter(Prod_Prop!$H:$H,Prod_Prop!$G:$G=$U817,Prod_Prop!$E:$E=AB$1)),""""))"),"")</f>
        <v/>
      </c>
      <c r="AC817" s="4" t="str">
        <f>IF(AB817="","",SUMIFS(Prod_Prop!$J:$J,Prod_Prop!$B:$B,$Q817,Prod_Prop!$H:$H,AB817,Prod_Prop!$I:$I,AC$1)*IF(AB817="Peso",$R817,1))</f>
        <v/>
      </c>
      <c r="AD817" s="4" t="str">
        <f>IF(AB817="","",SUMIFS(Prod_Prop!$J:$J,Prod_Prop!$B:$B,$Q817,Prod_Prop!$H:$H,AB817,Prod_Prop!$I:$I,AD$1)*IF(AB817="Peso",$R817,1))</f>
        <v/>
      </c>
    </row>
    <row r="818">
      <c r="A818" s="4" t="str">
        <f t="array" ref="A818">IF(COUNTIF(A$1:A817,Cotizador!F$2)=maxifs(Familias!E:E,Familias!D:D,Cotizador!F$2),IF(COUNTIF(A$1:A817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8" s="4" t="str">
        <f t="shared" si="1"/>
        <v/>
      </c>
      <c r="C818" s="4" t="str">
        <f t="array" ref="C818">IF(B818="","",IF(A818=XLOOKUP(A$2,Implementos!B:B,Implementos!C:C,"",0,1),B818+maxifs(B$1:B817,A$1:A817,A$2),B818))</f>
        <v/>
      </c>
      <c r="D818" s="4" t="str">
        <f>IF(B818="","", COUNTIFS(Productos!F:F,A818,Productos!H:H,B818)+IF(F818="SI",0,1))</f>
        <v/>
      </c>
      <c r="E818" s="4" t="str">
        <f>IFERROR(__xludf.DUMMYFUNCTION("IF($B818="""","""",INDEX(filter(Familias!F:F,Familias!$D:$D=$A818,Familias!$E:$E=$B818),1))"),"")</f>
        <v/>
      </c>
      <c r="F818" s="4" t="str">
        <f>IFERROR(__xludf.DUMMYFUNCTION("IF($B818="""","""",INDEX(filter(Familias!G:G,Familias!$D:$D=$A818,Familias!$E:$E=$B818),1))"),"")</f>
        <v/>
      </c>
      <c r="G818" s="4" t="str">
        <f t="array" ref="G818">IF(C818=1,XLOOKUP(C818,Cotizador!D:D,Cotizador!E:E,"",0,1),"")</f>
        <v/>
      </c>
      <c r="I818" s="4"/>
      <c r="J818" s="8" t="str">
        <f>IF(I818="","",SUMIF(Cotizador!I$1:V$1,I818,Cotizador!I$2:V$2))</f>
        <v/>
      </c>
      <c r="L818" s="4" t="str">
        <f t="array" ref="L818">IF(COUNTIF(L$1:L817,A$2)=SUMIF(A:A,A$2,D:D),IF(COUNTIF(L$1:L817,XLOOKUP(A$2,Implementos!B:B,Implementos!C:C,"",0,1))=SUMIF(A:A,XLOOKUP(A$2,Implementos!B:B,Implementos!C:C,"",0,1),D:D),"",XLOOKUP(A$2,Implementos!B:B,Implementos!C:C,"",0,1)),A$2)</f>
        <v/>
      </c>
      <c r="M818" s="4" t="str">
        <f t="shared" si="2"/>
        <v/>
      </c>
      <c r="N818" s="4" t="str">
        <f t="shared" si="3"/>
        <v/>
      </c>
      <c r="O818" s="4" t="str">
        <f t="shared" si="4"/>
        <v/>
      </c>
      <c r="P818" s="4" t="str">
        <f t="shared" si="5"/>
        <v/>
      </c>
      <c r="Q818" s="4" t="str">
        <f>IF(U818="","",SUMIF(Productos!E:E,U818,Productos!A:A))</f>
        <v/>
      </c>
      <c r="R818" s="4" t="str">
        <f t="array" ref="R818">IF(L818="","", max(1,SUMIF(I:I,XLOOKUP(U818,Productos!E:E,Productos!G:G,"",0,1),J:J)))</f>
        <v/>
      </c>
      <c r="S818" s="4" t="str">
        <f>IF(Q818="","",IF(SUMIFS(Compat_Vetado!D:D,Compat_Vetado!B:B,SUM(G:G),Compat_Vetado!C:C,Q818)=1,"SI",IF(OR(SUMIF(Cotizador!E:E,Q818,Cotizador!G:G)&gt;0,SUMIFS(Compat_Vetado!D:D,Compat_Vetado!B:B,SUM(G:G),Compat_Vetado!C:C,Q818)=-1),"NO","")))</f>
        <v/>
      </c>
      <c r="T818" s="4" t="str">
        <f t="shared" si="6"/>
        <v/>
      </c>
      <c r="U818" s="4" t="str">
        <f>IFERROR(__xludf.DUMMYFUNCTION("IF(P818="""","""",IFERROR(INDEX(filter(Productos!E:E,Productos!F:F=L818,Productos!H:H=N818),P818),IF(M818=SUM(D:D),""Finalizar"",""-"")))"),"")</f>
        <v/>
      </c>
      <c r="V818" s="4" t="str">
        <f>IFERROR(__xludf.DUMMYFUNCTION("IF(OR($U818="""",COUNTIF($I:$I,IFERROR(unique(filter(Prod_Prop!$H:$H,Prod_Prop!$G:$G=$U818,Prod_Prop!$E:$E=V$1)),""Check""))=0),"""",IFERROR(unique(filter(Prod_Prop!$H:$H,Prod_Prop!$G:$G=$U818,Prod_Prop!$E:$E=V$1)),""""))"),"")</f>
        <v/>
      </c>
      <c r="W818" s="4" t="str">
        <f>IF(V818="","",SUMIFS(Prod_Prop!$J:$J,Prod_Prop!$B:$B,$Q818,Prod_Prop!$H:$H,V818,Prod_Prop!$I:$I,W$1)*IF(V818="Peso",$R818,1))</f>
        <v/>
      </c>
      <c r="X818" s="4" t="str">
        <f>IF(V818="","",SUMIFS(Prod_Prop!$J:$J,Prod_Prop!$B:$B,$Q818,Prod_Prop!$H:$H,V818,Prod_Prop!$I:$I,X$1)*IF(V818="Peso",$R818,1))</f>
        <v/>
      </c>
      <c r="Y818" s="4" t="str">
        <f>IFERROR(__xludf.DUMMYFUNCTION("IF(OR($U818="""",COUNTIF($I:$I,IFERROR(unique(filter(Prod_Prop!$H:$H,Prod_Prop!$G:$G=$U818,Prod_Prop!$E:$E=Y$1)),""Check""))=0),"""",IFERROR(unique(filter(Prod_Prop!$H:$H,Prod_Prop!$G:$G=$U818,Prod_Prop!$E:$E=Y$1)),""""))"),"")</f>
        <v/>
      </c>
      <c r="Z818" s="4" t="str">
        <f>IF(Y818="","",SUMIFS(Prod_Prop!$J:$J,Prod_Prop!$B:$B,$Q818,Prod_Prop!$H:$H,Y818,Prod_Prop!$I:$I,Z$1)*IF(Y818="Peso",$R818,1))</f>
        <v/>
      </c>
      <c r="AA818" s="4" t="str">
        <f>IF(Y818="","",SUMIFS(Prod_Prop!$J:$J,Prod_Prop!$B:$B,$Q818,Prod_Prop!$H:$H,Y818,Prod_Prop!$I:$I,AA$1)*IF(Y818="Peso",$R818,1))</f>
        <v/>
      </c>
      <c r="AB818" s="4" t="str">
        <f>IFERROR(__xludf.DUMMYFUNCTION("IF(OR($U818="""",COUNTIF($I:$I,IFERROR(unique(filter(Prod_Prop!$H:$H,Prod_Prop!$G:$G=$U818,Prod_Prop!$E:$E=AB$1)),""Check""))=0),"""",IFERROR(unique(filter(Prod_Prop!$H:$H,Prod_Prop!$G:$G=$U818,Prod_Prop!$E:$E=AB$1)),""""))"),"")</f>
        <v/>
      </c>
      <c r="AC818" s="4" t="str">
        <f>IF(AB818="","",SUMIFS(Prod_Prop!$J:$J,Prod_Prop!$B:$B,$Q818,Prod_Prop!$H:$H,AB818,Prod_Prop!$I:$I,AC$1)*IF(AB818="Peso",$R818,1))</f>
        <v/>
      </c>
      <c r="AD818" s="4" t="str">
        <f>IF(AB818="","",SUMIFS(Prod_Prop!$J:$J,Prod_Prop!$B:$B,$Q818,Prod_Prop!$H:$H,AB818,Prod_Prop!$I:$I,AD$1)*IF(AB818="Peso",$R818,1))</f>
        <v/>
      </c>
    </row>
    <row r="819">
      <c r="A819" s="4" t="str">
        <f t="array" ref="A819">IF(COUNTIF(A$1:A818,Cotizador!F$2)=maxifs(Familias!E:E,Familias!D:D,Cotizador!F$2),IF(COUNTIF(A$1:A818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19" s="4" t="str">
        <f t="shared" si="1"/>
        <v/>
      </c>
      <c r="C819" s="4" t="str">
        <f t="array" ref="C819">IF(B819="","",IF(A819=XLOOKUP(A$2,Implementos!B:B,Implementos!C:C,"",0,1),B819+maxifs(B$1:B818,A$1:A818,A$2),B819))</f>
        <v/>
      </c>
      <c r="D819" s="4" t="str">
        <f>IF(B819="","", COUNTIFS(Productos!F:F,A819,Productos!H:H,B819)+IF(F819="SI",0,1))</f>
        <v/>
      </c>
      <c r="E819" s="4" t="str">
        <f>IFERROR(__xludf.DUMMYFUNCTION("IF($B819="""","""",INDEX(filter(Familias!F:F,Familias!$D:$D=$A819,Familias!$E:$E=$B819),1))"),"")</f>
        <v/>
      </c>
      <c r="F819" s="4" t="str">
        <f>IFERROR(__xludf.DUMMYFUNCTION("IF($B819="""","""",INDEX(filter(Familias!G:G,Familias!$D:$D=$A819,Familias!$E:$E=$B819),1))"),"")</f>
        <v/>
      </c>
      <c r="G819" s="4" t="str">
        <f t="array" ref="G819">IF(C819=1,XLOOKUP(C819,Cotizador!D:D,Cotizador!E:E,"",0,1),"")</f>
        <v/>
      </c>
      <c r="I819" s="4"/>
      <c r="J819" s="8" t="str">
        <f>IF(I819="","",SUMIF(Cotizador!I$1:V$1,I819,Cotizador!I$2:V$2))</f>
        <v/>
      </c>
      <c r="L819" s="4" t="str">
        <f t="array" ref="L819">IF(COUNTIF(L$1:L818,A$2)=SUMIF(A:A,A$2,D:D),IF(COUNTIF(L$1:L818,XLOOKUP(A$2,Implementos!B:B,Implementos!C:C,"",0,1))=SUMIF(A:A,XLOOKUP(A$2,Implementos!B:B,Implementos!C:C,"",0,1),D:D),"",XLOOKUP(A$2,Implementos!B:B,Implementos!C:C,"",0,1)),A$2)</f>
        <v/>
      </c>
      <c r="M819" s="4" t="str">
        <f t="shared" si="2"/>
        <v/>
      </c>
      <c r="N819" s="4" t="str">
        <f t="shared" si="3"/>
        <v/>
      </c>
      <c r="O819" s="4" t="str">
        <f t="shared" si="4"/>
        <v/>
      </c>
      <c r="P819" s="4" t="str">
        <f t="shared" si="5"/>
        <v/>
      </c>
      <c r="Q819" s="4" t="str">
        <f>IF(U819="","",SUMIF(Productos!E:E,U819,Productos!A:A))</f>
        <v/>
      </c>
      <c r="R819" s="4" t="str">
        <f t="array" ref="R819">IF(L819="","", max(1,SUMIF(I:I,XLOOKUP(U819,Productos!E:E,Productos!G:G,"",0,1),J:J)))</f>
        <v/>
      </c>
      <c r="S819" s="4" t="str">
        <f>IF(Q819="","",IF(SUMIFS(Compat_Vetado!D:D,Compat_Vetado!B:B,SUM(G:G),Compat_Vetado!C:C,Q819)=1,"SI",IF(OR(SUMIF(Cotizador!E:E,Q819,Cotizador!G:G)&gt;0,SUMIFS(Compat_Vetado!D:D,Compat_Vetado!B:B,SUM(G:G),Compat_Vetado!C:C,Q819)=-1),"NO","")))</f>
        <v/>
      </c>
      <c r="T819" s="4" t="str">
        <f t="shared" si="6"/>
        <v/>
      </c>
      <c r="U819" s="4" t="str">
        <f>IFERROR(__xludf.DUMMYFUNCTION("IF(P819="""","""",IFERROR(INDEX(filter(Productos!E:E,Productos!F:F=L819,Productos!H:H=N819),P819),IF(M819=SUM(D:D),""Finalizar"",""-"")))"),"")</f>
        <v/>
      </c>
      <c r="V819" s="4" t="str">
        <f>IFERROR(__xludf.DUMMYFUNCTION("IF(OR($U819="""",COUNTIF($I:$I,IFERROR(unique(filter(Prod_Prop!$H:$H,Prod_Prop!$G:$G=$U819,Prod_Prop!$E:$E=V$1)),""Check""))=0),"""",IFERROR(unique(filter(Prod_Prop!$H:$H,Prod_Prop!$G:$G=$U819,Prod_Prop!$E:$E=V$1)),""""))"),"")</f>
        <v/>
      </c>
      <c r="W819" s="4" t="str">
        <f>IF(V819="","",SUMIFS(Prod_Prop!$J:$J,Prod_Prop!$B:$B,$Q819,Prod_Prop!$H:$H,V819,Prod_Prop!$I:$I,W$1)*IF(V819="Peso",$R819,1))</f>
        <v/>
      </c>
      <c r="X819" s="4" t="str">
        <f>IF(V819="","",SUMIFS(Prod_Prop!$J:$J,Prod_Prop!$B:$B,$Q819,Prod_Prop!$H:$H,V819,Prod_Prop!$I:$I,X$1)*IF(V819="Peso",$R819,1))</f>
        <v/>
      </c>
      <c r="Y819" s="4" t="str">
        <f>IFERROR(__xludf.DUMMYFUNCTION("IF(OR($U819="""",COUNTIF($I:$I,IFERROR(unique(filter(Prod_Prop!$H:$H,Prod_Prop!$G:$G=$U819,Prod_Prop!$E:$E=Y$1)),""Check""))=0),"""",IFERROR(unique(filter(Prod_Prop!$H:$H,Prod_Prop!$G:$G=$U819,Prod_Prop!$E:$E=Y$1)),""""))"),"")</f>
        <v/>
      </c>
      <c r="Z819" s="4" t="str">
        <f>IF(Y819="","",SUMIFS(Prod_Prop!$J:$J,Prod_Prop!$B:$B,$Q819,Prod_Prop!$H:$H,Y819,Prod_Prop!$I:$I,Z$1)*IF(Y819="Peso",$R819,1))</f>
        <v/>
      </c>
      <c r="AA819" s="4" t="str">
        <f>IF(Y819="","",SUMIFS(Prod_Prop!$J:$J,Prod_Prop!$B:$B,$Q819,Prod_Prop!$H:$H,Y819,Prod_Prop!$I:$I,AA$1)*IF(Y819="Peso",$R819,1))</f>
        <v/>
      </c>
      <c r="AB819" s="4" t="str">
        <f>IFERROR(__xludf.DUMMYFUNCTION("IF(OR($U819="""",COUNTIF($I:$I,IFERROR(unique(filter(Prod_Prop!$H:$H,Prod_Prop!$G:$G=$U819,Prod_Prop!$E:$E=AB$1)),""Check""))=0),"""",IFERROR(unique(filter(Prod_Prop!$H:$H,Prod_Prop!$G:$G=$U819,Prod_Prop!$E:$E=AB$1)),""""))"),"")</f>
        <v/>
      </c>
      <c r="AC819" s="4" t="str">
        <f>IF(AB819="","",SUMIFS(Prod_Prop!$J:$J,Prod_Prop!$B:$B,$Q819,Prod_Prop!$H:$H,AB819,Prod_Prop!$I:$I,AC$1)*IF(AB819="Peso",$R819,1))</f>
        <v/>
      </c>
      <c r="AD819" s="4" t="str">
        <f>IF(AB819="","",SUMIFS(Prod_Prop!$J:$J,Prod_Prop!$B:$B,$Q819,Prod_Prop!$H:$H,AB819,Prod_Prop!$I:$I,AD$1)*IF(AB819="Peso",$R819,1))</f>
        <v/>
      </c>
    </row>
    <row r="820">
      <c r="A820" s="4" t="str">
        <f t="array" ref="A820">IF(COUNTIF(A$1:A819,Cotizador!F$2)=maxifs(Familias!E:E,Familias!D:D,Cotizador!F$2),IF(COUNTIF(A$1:A819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0" s="4" t="str">
        <f t="shared" si="1"/>
        <v/>
      </c>
      <c r="C820" s="4" t="str">
        <f t="array" ref="C820">IF(B820="","",IF(A820=XLOOKUP(A$2,Implementos!B:B,Implementos!C:C,"",0,1),B820+maxifs(B$1:B819,A$1:A819,A$2),B820))</f>
        <v/>
      </c>
      <c r="D820" s="4" t="str">
        <f>IF(B820="","", COUNTIFS(Productos!F:F,A820,Productos!H:H,B820)+IF(F820="SI",0,1))</f>
        <v/>
      </c>
      <c r="E820" s="4" t="str">
        <f>IFERROR(__xludf.DUMMYFUNCTION("IF($B820="""","""",INDEX(filter(Familias!F:F,Familias!$D:$D=$A820,Familias!$E:$E=$B820),1))"),"")</f>
        <v/>
      </c>
      <c r="F820" s="4" t="str">
        <f>IFERROR(__xludf.DUMMYFUNCTION("IF($B820="""","""",INDEX(filter(Familias!G:G,Familias!$D:$D=$A820,Familias!$E:$E=$B820),1))"),"")</f>
        <v/>
      </c>
      <c r="G820" s="4" t="str">
        <f t="array" ref="G820">IF(C820=1,XLOOKUP(C820,Cotizador!D:D,Cotizador!E:E,"",0,1),"")</f>
        <v/>
      </c>
      <c r="I820" s="4"/>
      <c r="J820" s="8" t="str">
        <f>IF(I820="","",SUMIF(Cotizador!I$1:V$1,I820,Cotizador!I$2:V$2))</f>
        <v/>
      </c>
      <c r="L820" s="4" t="str">
        <f t="array" ref="L820">IF(COUNTIF(L$1:L819,A$2)=SUMIF(A:A,A$2,D:D),IF(COUNTIF(L$1:L819,XLOOKUP(A$2,Implementos!B:B,Implementos!C:C,"",0,1))=SUMIF(A:A,XLOOKUP(A$2,Implementos!B:B,Implementos!C:C,"",0,1),D:D),"",XLOOKUP(A$2,Implementos!B:B,Implementos!C:C,"",0,1)),A$2)</f>
        <v/>
      </c>
      <c r="M820" s="4" t="str">
        <f t="shared" si="2"/>
        <v/>
      </c>
      <c r="N820" s="4" t="str">
        <f t="shared" si="3"/>
        <v/>
      </c>
      <c r="O820" s="4" t="str">
        <f t="shared" si="4"/>
        <v/>
      </c>
      <c r="P820" s="4" t="str">
        <f t="shared" si="5"/>
        <v/>
      </c>
      <c r="Q820" s="4" t="str">
        <f>IF(U820="","",SUMIF(Productos!E:E,U820,Productos!A:A))</f>
        <v/>
      </c>
      <c r="R820" s="4" t="str">
        <f t="array" ref="R820">IF(L820="","", max(1,SUMIF(I:I,XLOOKUP(U820,Productos!E:E,Productos!G:G,"",0,1),J:J)))</f>
        <v/>
      </c>
      <c r="S820" s="4" t="str">
        <f>IF(Q820="","",IF(SUMIFS(Compat_Vetado!D:D,Compat_Vetado!B:B,SUM(G:G),Compat_Vetado!C:C,Q820)=1,"SI",IF(OR(SUMIF(Cotizador!E:E,Q820,Cotizador!G:G)&gt;0,SUMIFS(Compat_Vetado!D:D,Compat_Vetado!B:B,SUM(G:G),Compat_Vetado!C:C,Q820)=-1),"NO","")))</f>
        <v/>
      </c>
      <c r="T820" s="4" t="str">
        <f t="shared" si="6"/>
        <v/>
      </c>
      <c r="U820" s="4" t="str">
        <f>IFERROR(__xludf.DUMMYFUNCTION("IF(P820="""","""",IFERROR(INDEX(filter(Productos!E:E,Productos!F:F=L820,Productos!H:H=N820),P820),IF(M820=SUM(D:D),""Finalizar"",""-"")))"),"")</f>
        <v/>
      </c>
      <c r="V820" s="4" t="str">
        <f>IFERROR(__xludf.DUMMYFUNCTION("IF(OR($U820="""",COUNTIF($I:$I,IFERROR(unique(filter(Prod_Prop!$H:$H,Prod_Prop!$G:$G=$U820,Prod_Prop!$E:$E=V$1)),""Check""))=0),"""",IFERROR(unique(filter(Prod_Prop!$H:$H,Prod_Prop!$G:$G=$U820,Prod_Prop!$E:$E=V$1)),""""))"),"")</f>
        <v/>
      </c>
      <c r="W820" s="4" t="str">
        <f>IF(V820="","",SUMIFS(Prod_Prop!$J:$J,Prod_Prop!$B:$B,$Q820,Prod_Prop!$H:$H,V820,Prod_Prop!$I:$I,W$1)*IF(V820="Peso",$R820,1))</f>
        <v/>
      </c>
      <c r="X820" s="4" t="str">
        <f>IF(V820="","",SUMIFS(Prod_Prop!$J:$J,Prod_Prop!$B:$B,$Q820,Prod_Prop!$H:$H,V820,Prod_Prop!$I:$I,X$1)*IF(V820="Peso",$R820,1))</f>
        <v/>
      </c>
      <c r="Y820" s="4" t="str">
        <f>IFERROR(__xludf.DUMMYFUNCTION("IF(OR($U820="""",COUNTIF($I:$I,IFERROR(unique(filter(Prod_Prop!$H:$H,Prod_Prop!$G:$G=$U820,Prod_Prop!$E:$E=Y$1)),""Check""))=0),"""",IFERROR(unique(filter(Prod_Prop!$H:$H,Prod_Prop!$G:$G=$U820,Prod_Prop!$E:$E=Y$1)),""""))"),"")</f>
        <v/>
      </c>
      <c r="Z820" s="4" t="str">
        <f>IF(Y820="","",SUMIFS(Prod_Prop!$J:$J,Prod_Prop!$B:$B,$Q820,Prod_Prop!$H:$H,Y820,Prod_Prop!$I:$I,Z$1)*IF(Y820="Peso",$R820,1))</f>
        <v/>
      </c>
      <c r="AA820" s="4" t="str">
        <f>IF(Y820="","",SUMIFS(Prod_Prop!$J:$J,Prod_Prop!$B:$B,$Q820,Prod_Prop!$H:$H,Y820,Prod_Prop!$I:$I,AA$1)*IF(Y820="Peso",$R820,1))</f>
        <v/>
      </c>
      <c r="AB820" s="4" t="str">
        <f>IFERROR(__xludf.DUMMYFUNCTION("IF(OR($U820="""",COUNTIF($I:$I,IFERROR(unique(filter(Prod_Prop!$H:$H,Prod_Prop!$G:$G=$U820,Prod_Prop!$E:$E=AB$1)),""Check""))=0),"""",IFERROR(unique(filter(Prod_Prop!$H:$H,Prod_Prop!$G:$G=$U820,Prod_Prop!$E:$E=AB$1)),""""))"),"")</f>
        <v/>
      </c>
      <c r="AC820" s="4" t="str">
        <f>IF(AB820="","",SUMIFS(Prod_Prop!$J:$J,Prod_Prop!$B:$B,$Q820,Prod_Prop!$H:$H,AB820,Prod_Prop!$I:$I,AC$1)*IF(AB820="Peso",$R820,1))</f>
        <v/>
      </c>
      <c r="AD820" s="4" t="str">
        <f>IF(AB820="","",SUMIFS(Prod_Prop!$J:$J,Prod_Prop!$B:$B,$Q820,Prod_Prop!$H:$H,AB820,Prod_Prop!$I:$I,AD$1)*IF(AB820="Peso",$R820,1))</f>
        <v/>
      </c>
    </row>
    <row r="821">
      <c r="A821" s="4" t="str">
        <f t="array" ref="A821">IF(COUNTIF(A$1:A820,Cotizador!F$2)=maxifs(Familias!E:E,Familias!D:D,Cotizador!F$2),IF(COUNTIF(A$1:A820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1" s="4" t="str">
        <f t="shared" si="1"/>
        <v/>
      </c>
      <c r="C821" s="4" t="str">
        <f t="array" ref="C821">IF(B821="","",IF(A821=XLOOKUP(A$2,Implementos!B:B,Implementos!C:C,"",0,1),B821+maxifs(B$1:B820,A$1:A820,A$2),B821))</f>
        <v/>
      </c>
      <c r="D821" s="4" t="str">
        <f>IF(B821="","", COUNTIFS(Productos!F:F,A821,Productos!H:H,B821)+IF(F821="SI",0,1))</f>
        <v/>
      </c>
      <c r="E821" s="4" t="str">
        <f>IFERROR(__xludf.DUMMYFUNCTION("IF($B821="""","""",INDEX(filter(Familias!F:F,Familias!$D:$D=$A821,Familias!$E:$E=$B821),1))"),"")</f>
        <v/>
      </c>
      <c r="F821" s="4" t="str">
        <f>IFERROR(__xludf.DUMMYFUNCTION("IF($B821="""","""",INDEX(filter(Familias!G:G,Familias!$D:$D=$A821,Familias!$E:$E=$B821),1))"),"")</f>
        <v/>
      </c>
      <c r="G821" s="4" t="str">
        <f t="array" ref="G821">IF(C821=1,XLOOKUP(C821,Cotizador!D:D,Cotizador!E:E,"",0,1),"")</f>
        <v/>
      </c>
      <c r="I821" s="4"/>
      <c r="J821" s="8" t="str">
        <f>IF(I821="","",SUMIF(Cotizador!I$1:V$1,I821,Cotizador!I$2:V$2))</f>
        <v/>
      </c>
      <c r="L821" s="4" t="str">
        <f t="array" ref="L821">IF(COUNTIF(L$1:L820,A$2)=SUMIF(A:A,A$2,D:D),IF(COUNTIF(L$1:L820,XLOOKUP(A$2,Implementos!B:B,Implementos!C:C,"",0,1))=SUMIF(A:A,XLOOKUP(A$2,Implementos!B:B,Implementos!C:C,"",0,1),D:D),"",XLOOKUP(A$2,Implementos!B:B,Implementos!C:C,"",0,1)),A$2)</f>
        <v/>
      </c>
      <c r="M821" s="4" t="str">
        <f t="shared" si="2"/>
        <v/>
      </c>
      <c r="N821" s="4" t="str">
        <f t="shared" si="3"/>
        <v/>
      </c>
      <c r="O821" s="4" t="str">
        <f t="shared" si="4"/>
        <v/>
      </c>
      <c r="P821" s="4" t="str">
        <f t="shared" si="5"/>
        <v/>
      </c>
      <c r="Q821" s="4" t="str">
        <f>IF(U821="","",SUMIF(Productos!E:E,U821,Productos!A:A))</f>
        <v/>
      </c>
      <c r="R821" s="4" t="str">
        <f t="array" ref="R821">IF(L821="","", max(1,SUMIF(I:I,XLOOKUP(U821,Productos!E:E,Productos!G:G,"",0,1),J:J)))</f>
        <v/>
      </c>
      <c r="S821" s="4" t="str">
        <f>IF(Q821="","",IF(SUMIFS(Compat_Vetado!D:D,Compat_Vetado!B:B,SUM(G:G),Compat_Vetado!C:C,Q821)=1,"SI",IF(OR(SUMIF(Cotizador!E:E,Q821,Cotizador!G:G)&gt;0,SUMIFS(Compat_Vetado!D:D,Compat_Vetado!B:B,SUM(G:G),Compat_Vetado!C:C,Q821)=-1),"NO","")))</f>
        <v/>
      </c>
      <c r="T821" s="4" t="str">
        <f t="shared" si="6"/>
        <v/>
      </c>
      <c r="U821" s="4" t="str">
        <f>IFERROR(__xludf.DUMMYFUNCTION("IF(P821="""","""",IFERROR(INDEX(filter(Productos!E:E,Productos!F:F=L821,Productos!H:H=N821),P821),IF(M821=SUM(D:D),""Finalizar"",""-"")))"),"")</f>
        <v/>
      </c>
      <c r="V821" s="4" t="str">
        <f>IFERROR(__xludf.DUMMYFUNCTION("IF(OR($U821="""",COUNTIF($I:$I,IFERROR(unique(filter(Prod_Prop!$H:$H,Prod_Prop!$G:$G=$U821,Prod_Prop!$E:$E=V$1)),""Check""))=0),"""",IFERROR(unique(filter(Prod_Prop!$H:$H,Prod_Prop!$G:$G=$U821,Prod_Prop!$E:$E=V$1)),""""))"),"")</f>
        <v/>
      </c>
      <c r="W821" s="4" t="str">
        <f>IF(V821="","",SUMIFS(Prod_Prop!$J:$J,Prod_Prop!$B:$B,$Q821,Prod_Prop!$H:$H,V821,Prod_Prop!$I:$I,W$1)*IF(V821="Peso",$R821,1))</f>
        <v/>
      </c>
      <c r="X821" s="4" t="str">
        <f>IF(V821="","",SUMIFS(Prod_Prop!$J:$J,Prod_Prop!$B:$B,$Q821,Prod_Prop!$H:$H,V821,Prod_Prop!$I:$I,X$1)*IF(V821="Peso",$R821,1))</f>
        <v/>
      </c>
      <c r="Y821" s="4" t="str">
        <f>IFERROR(__xludf.DUMMYFUNCTION("IF(OR($U821="""",COUNTIF($I:$I,IFERROR(unique(filter(Prod_Prop!$H:$H,Prod_Prop!$G:$G=$U821,Prod_Prop!$E:$E=Y$1)),""Check""))=0),"""",IFERROR(unique(filter(Prod_Prop!$H:$H,Prod_Prop!$G:$G=$U821,Prod_Prop!$E:$E=Y$1)),""""))"),"")</f>
        <v/>
      </c>
      <c r="Z821" s="4" t="str">
        <f>IF(Y821="","",SUMIFS(Prod_Prop!$J:$J,Prod_Prop!$B:$B,$Q821,Prod_Prop!$H:$H,Y821,Prod_Prop!$I:$I,Z$1)*IF(Y821="Peso",$R821,1))</f>
        <v/>
      </c>
      <c r="AA821" s="4" t="str">
        <f>IF(Y821="","",SUMIFS(Prod_Prop!$J:$J,Prod_Prop!$B:$B,$Q821,Prod_Prop!$H:$H,Y821,Prod_Prop!$I:$I,AA$1)*IF(Y821="Peso",$R821,1))</f>
        <v/>
      </c>
      <c r="AB821" s="4" t="str">
        <f>IFERROR(__xludf.DUMMYFUNCTION("IF(OR($U821="""",COUNTIF($I:$I,IFERROR(unique(filter(Prod_Prop!$H:$H,Prod_Prop!$G:$G=$U821,Prod_Prop!$E:$E=AB$1)),""Check""))=0),"""",IFERROR(unique(filter(Prod_Prop!$H:$H,Prod_Prop!$G:$G=$U821,Prod_Prop!$E:$E=AB$1)),""""))"),"")</f>
        <v/>
      </c>
      <c r="AC821" s="4" t="str">
        <f>IF(AB821="","",SUMIFS(Prod_Prop!$J:$J,Prod_Prop!$B:$B,$Q821,Prod_Prop!$H:$H,AB821,Prod_Prop!$I:$I,AC$1)*IF(AB821="Peso",$R821,1))</f>
        <v/>
      </c>
      <c r="AD821" s="4" t="str">
        <f>IF(AB821="","",SUMIFS(Prod_Prop!$J:$J,Prod_Prop!$B:$B,$Q821,Prod_Prop!$H:$H,AB821,Prod_Prop!$I:$I,AD$1)*IF(AB821="Peso",$R821,1))</f>
        <v/>
      </c>
    </row>
    <row r="822">
      <c r="A822" s="4" t="str">
        <f t="array" ref="A822">IF(COUNTIF(A$1:A821,Cotizador!F$2)=maxifs(Familias!E:E,Familias!D:D,Cotizador!F$2),IF(COUNTIF(A$1:A821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2" s="4" t="str">
        <f t="shared" si="1"/>
        <v/>
      </c>
      <c r="C822" s="4" t="str">
        <f t="array" ref="C822">IF(B822="","",IF(A822=XLOOKUP(A$2,Implementos!B:B,Implementos!C:C,"",0,1),B822+maxifs(B$1:B821,A$1:A821,A$2),B822))</f>
        <v/>
      </c>
      <c r="D822" s="4" t="str">
        <f>IF(B822="","", COUNTIFS(Productos!F:F,A822,Productos!H:H,B822)+IF(F822="SI",0,1))</f>
        <v/>
      </c>
      <c r="E822" s="4" t="str">
        <f>IFERROR(__xludf.DUMMYFUNCTION("IF($B822="""","""",INDEX(filter(Familias!F:F,Familias!$D:$D=$A822,Familias!$E:$E=$B822),1))"),"")</f>
        <v/>
      </c>
      <c r="F822" s="4" t="str">
        <f>IFERROR(__xludf.DUMMYFUNCTION("IF($B822="""","""",INDEX(filter(Familias!G:G,Familias!$D:$D=$A822,Familias!$E:$E=$B822),1))"),"")</f>
        <v/>
      </c>
      <c r="G822" s="4" t="str">
        <f t="array" ref="G822">IF(C822=1,XLOOKUP(C822,Cotizador!D:D,Cotizador!E:E,"",0,1),"")</f>
        <v/>
      </c>
      <c r="I822" s="4"/>
      <c r="J822" s="8" t="str">
        <f>IF(I822="","",SUMIF(Cotizador!I$1:V$1,I822,Cotizador!I$2:V$2))</f>
        <v/>
      </c>
      <c r="L822" s="4" t="str">
        <f t="array" ref="L822">IF(COUNTIF(L$1:L821,A$2)=SUMIF(A:A,A$2,D:D),IF(COUNTIF(L$1:L821,XLOOKUP(A$2,Implementos!B:B,Implementos!C:C,"",0,1))=SUMIF(A:A,XLOOKUP(A$2,Implementos!B:B,Implementos!C:C,"",0,1),D:D),"",XLOOKUP(A$2,Implementos!B:B,Implementos!C:C,"",0,1)),A$2)</f>
        <v/>
      </c>
      <c r="M822" s="4" t="str">
        <f t="shared" si="2"/>
        <v/>
      </c>
      <c r="N822" s="4" t="str">
        <f t="shared" si="3"/>
        <v/>
      </c>
      <c r="O822" s="4" t="str">
        <f t="shared" si="4"/>
        <v/>
      </c>
      <c r="P822" s="4" t="str">
        <f t="shared" si="5"/>
        <v/>
      </c>
      <c r="Q822" s="4" t="str">
        <f>IF(U822="","",SUMIF(Productos!E:E,U822,Productos!A:A))</f>
        <v/>
      </c>
      <c r="R822" s="4" t="str">
        <f t="array" ref="R822">IF(L822="","", max(1,SUMIF(I:I,XLOOKUP(U822,Productos!E:E,Productos!G:G,"",0,1),J:J)))</f>
        <v/>
      </c>
      <c r="S822" s="4" t="str">
        <f>IF(Q822="","",IF(SUMIFS(Compat_Vetado!D:D,Compat_Vetado!B:B,SUM(G:G),Compat_Vetado!C:C,Q822)=1,"SI",IF(OR(SUMIF(Cotizador!E:E,Q822,Cotizador!G:G)&gt;0,SUMIFS(Compat_Vetado!D:D,Compat_Vetado!B:B,SUM(G:G),Compat_Vetado!C:C,Q822)=-1),"NO","")))</f>
        <v/>
      </c>
      <c r="T822" s="4" t="str">
        <f t="shared" si="6"/>
        <v/>
      </c>
      <c r="U822" s="4" t="str">
        <f>IFERROR(__xludf.DUMMYFUNCTION("IF(P822="""","""",IFERROR(INDEX(filter(Productos!E:E,Productos!F:F=L822,Productos!H:H=N822),P822),IF(M822=SUM(D:D),""Finalizar"",""-"")))"),"")</f>
        <v/>
      </c>
      <c r="V822" s="4" t="str">
        <f>IFERROR(__xludf.DUMMYFUNCTION("IF(OR($U822="""",COUNTIF($I:$I,IFERROR(unique(filter(Prod_Prop!$H:$H,Prod_Prop!$G:$G=$U822,Prod_Prop!$E:$E=V$1)),""Check""))=0),"""",IFERROR(unique(filter(Prod_Prop!$H:$H,Prod_Prop!$G:$G=$U822,Prod_Prop!$E:$E=V$1)),""""))"),"")</f>
        <v/>
      </c>
      <c r="W822" s="4" t="str">
        <f>IF(V822="","",SUMIFS(Prod_Prop!$J:$J,Prod_Prop!$B:$B,$Q822,Prod_Prop!$H:$H,V822,Prod_Prop!$I:$I,W$1)*IF(V822="Peso",$R822,1))</f>
        <v/>
      </c>
      <c r="X822" s="4" t="str">
        <f>IF(V822="","",SUMIFS(Prod_Prop!$J:$J,Prod_Prop!$B:$B,$Q822,Prod_Prop!$H:$H,V822,Prod_Prop!$I:$I,X$1)*IF(V822="Peso",$R822,1))</f>
        <v/>
      </c>
      <c r="Y822" s="4" t="str">
        <f>IFERROR(__xludf.DUMMYFUNCTION("IF(OR($U822="""",COUNTIF($I:$I,IFERROR(unique(filter(Prod_Prop!$H:$H,Prod_Prop!$G:$G=$U822,Prod_Prop!$E:$E=Y$1)),""Check""))=0),"""",IFERROR(unique(filter(Prod_Prop!$H:$H,Prod_Prop!$G:$G=$U822,Prod_Prop!$E:$E=Y$1)),""""))"),"")</f>
        <v/>
      </c>
      <c r="Z822" s="4" t="str">
        <f>IF(Y822="","",SUMIFS(Prod_Prop!$J:$J,Prod_Prop!$B:$B,$Q822,Prod_Prop!$H:$H,Y822,Prod_Prop!$I:$I,Z$1)*IF(Y822="Peso",$R822,1))</f>
        <v/>
      </c>
      <c r="AA822" s="4" t="str">
        <f>IF(Y822="","",SUMIFS(Prod_Prop!$J:$J,Prod_Prop!$B:$B,$Q822,Prod_Prop!$H:$H,Y822,Prod_Prop!$I:$I,AA$1)*IF(Y822="Peso",$R822,1))</f>
        <v/>
      </c>
      <c r="AB822" s="4" t="str">
        <f>IFERROR(__xludf.DUMMYFUNCTION("IF(OR($U822="""",COUNTIF($I:$I,IFERROR(unique(filter(Prod_Prop!$H:$H,Prod_Prop!$G:$G=$U822,Prod_Prop!$E:$E=AB$1)),""Check""))=0),"""",IFERROR(unique(filter(Prod_Prop!$H:$H,Prod_Prop!$G:$G=$U822,Prod_Prop!$E:$E=AB$1)),""""))"),"")</f>
        <v/>
      </c>
      <c r="AC822" s="4" t="str">
        <f>IF(AB822="","",SUMIFS(Prod_Prop!$J:$J,Prod_Prop!$B:$B,$Q822,Prod_Prop!$H:$H,AB822,Prod_Prop!$I:$I,AC$1)*IF(AB822="Peso",$R822,1))</f>
        <v/>
      </c>
      <c r="AD822" s="4" t="str">
        <f>IF(AB822="","",SUMIFS(Prod_Prop!$J:$J,Prod_Prop!$B:$B,$Q822,Prod_Prop!$H:$H,AB822,Prod_Prop!$I:$I,AD$1)*IF(AB822="Peso",$R822,1))</f>
        <v/>
      </c>
    </row>
    <row r="823">
      <c r="A823" s="4" t="str">
        <f t="array" ref="A823">IF(COUNTIF(A$1:A822,Cotizador!F$2)=maxifs(Familias!E:E,Familias!D:D,Cotizador!F$2),IF(COUNTIF(A$1:A822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3" s="4" t="str">
        <f t="shared" si="1"/>
        <v/>
      </c>
      <c r="C823" s="4" t="str">
        <f t="array" ref="C823">IF(B823="","",IF(A823=XLOOKUP(A$2,Implementos!B:B,Implementos!C:C,"",0,1),B823+maxifs(B$1:B822,A$1:A822,A$2),B823))</f>
        <v/>
      </c>
      <c r="D823" s="4" t="str">
        <f>IF(B823="","", COUNTIFS(Productos!F:F,A823,Productos!H:H,B823)+IF(F823="SI",0,1))</f>
        <v/>
      </c>
      <c r="E823" s="4" t="str">
        <f>IFERROR(__xludf.DUMMYFUNCTION("IF($B823="""","""",INDEX(filter(Familias!F:F,Familias!$D:$D=$A823,Familias!$E:$E=$B823),1))"),"")</f>
        <v/>
      </c>
      <c r="F823" s="4" t="str">
        <f>IFERROR(__xludf.DUMMYFUNCTION("IF($B823="""","""",INDEX(filter(Familias!G:G,Familias!$D:$D=$A823,Familias!$E:$E=$B823),1))"),"")</f>
        <v/>
      </c>
      <c r="G823" s="4" t="str">
        <f t="array" ref="G823">IF(C823=1,XLOOKUP(C823,Cotizador!D:D,Cotizador!E:E,"",0,1),"")</f>
        <v/>
      </c>
      <c r="I823" s="4"/>
      <c r="J823" s="8" t="str">
        <f>IF(I823="","",SUMIF(Cotizador!I$1:V$1,I823,Cotizador!I$2:V$2))</f>
        <v/>
      </c>
      <c r="L823" s="4" t="str">
        <f t="array" ref="L823">IF(COUNTIF(L$1:L822,A$2)=SUMIF(A:A,A$2,D:D),IF(COUNTIF(L$1:L822,XLOOKUP(A$2,Implementos!B:B,Implementos!C:C,"",0,1))=SUMIF(A:A,XLOOKUP(A$2,Implementos!B:B,Implementos!C:C,"",0,1),D:D),"",XLOOKUP(A$2,Implementos!B:B,Implementos!C:C,"",0,1)),A$2)</f>
        <v/>
      </c>
      <c r="M823" s="4" t="str">
        <f t="shared" si="2"/>
        <v/>
      </c>
      <c r="N823" s="4" t="str">
        <f t="shared" si="3"/>
        <v/>
      </c>
      <c r="O823" s="4" t="str">
        <f t="shared" si="4"/>
        <v/>
      </c>
      <c r="P823" s="4" t="str">
        <f t="shared" si="5"/>
        <v/>
      </c>
      <c r="Q823" s="4" t="str">
        <f>IF(U823="","",SUMIF(Productos!E:E,U823,Productos!A:A))</f>
        <v/>
      </c>
      <c r="R823" s="4" t="str">
        <f t="array" ref="R823">IF(L823="","", max(1,SUMIF(I:I,XLOOKUP(U823,Productos!E:E,Productos!G:G,"",0,1),J:J)))</f>
        <v/>
      </c>
      <c r="S823" s="4" t="str">
        <f>IF(Q823="","",IF(SUMIFS(Compat_Vetado!D:D,Compat_Vetado!B:B,SUM(G:G),Compat_Vetado!C:C,Q823)=1,"SI",IF(OR(SUMIF(Cotizador!E:E,Q823,Cotizador!G:G)&gt;0,SUMIFS(Compat_Vetado!D:D,Compat_Vetado!B:B,SUM(G:G),Compat_Vetado!C:C,Q823)=-1),"NO","")))</f>
        <v/>
      </c>
      <c r="T823" s="4" t="str">
        <f t="shared" si="6"/>
        <v/>
      </c>
      <c r="U823" s="4" t="str">
        <f>IFERROR(__xludf.DUMMYFUNCTION("IF(P823="""","""",IFERROR(INDEX(filter(Productos!E:E,Productos!F:F=L823,Productos!H:H=N823),P823),IF(M823=SUM(D:D),""Finalizar"",""-"")))"),"")</f>
        <v/>
      </c>
      <c r="V823" s="4" t="str">
        <f>IFERROR(__xludf.DUMMYFUNCTION("IF(OR($U823="""",COUNTIF($I:$I,IFERROR(unique(filter(Prod_Prop!$H:$H,Prod_Prop!$G:$G=$U823,Prod_Prop!$E:$E=V$1)),""Check""))=0),"""",IFERROR(unique(filter(Prod_Prop!$H:$H,Prod_Prop!$G:$G=$U823,Prod_Prop!$E:$E=V$1)),""""))"),"")</f>
        <v/>
      </c>
      <c r="W823" s="4" t="str">
        <f>IF(V823="","",SUMIFS(Prod_Prop!$J:$J,Prod_Prop!$B:$B,$Q823,Prod_Prop!$H:$H,V823,Prod_Prop!$I:$I,W$1)*IF(V823="Peso",$R823,1))</f>
        <v/>
      </c>
      <c r="X823" s="4" t="str">
        <f>IF(V823="","",SUMIFS(Prod_Prop!$J:$J,Prod_Prop!$B:$B,$Q823,Prod_Prop!$H:$H,V823,Prod_Prop!$I:$I,X$1)*IF(V823="Peso",$R823,1))</f>
        <v/>
      </c>
      <c r="Y823" s="4" t="str">
        <f>IFERROR(__xludf.DUMMYFUNCTION("IF(OR($U823="""",COUNTIF($I:$I,IFERROR(unique(filter(Prod_Prop!$H:$H,Prod_Prop!$G:$G=$U823,Prod_Prop!$E:$E=Y$1)),""Check""))=0),"""",IFERROR(unique(filter(Prod_Prop!$H:$H,Prod_Prop!$G:$G=$U823,Prod_Prop!$E:$E=Y$1)),""""))"),"")</f>
        <v/>
      </c>
      <c r="Z823" s="4" t="str">
        <f>IF(Y823="","",SUMIFS(Prod_Prop!$J:$J,Prod_Prop!$B:$B,$Q823,Prod_Prop!$H:$H,Y823,Prod_Prop!$I:$I,Z$1)*IF(Y823="Peso",$R823,1))</f>
        <v/>
      </c>
      <c r="AA823" s="4" t="str">
        <f>IF(Y823="","",SUMIFS(Prod_Prop!$J:$J,Prod_Prop!$B:$B,$Q823,Prod_Prop!$H:$H,Y823,Prod_Prop!$I:$I,AA$1)*IF(Y823="Peso",$R823,1))</f>
        <v/>
      </c>
      <c r="AB823" s="4" t="str">
        <f>IFERROR(__xludf.DUMMYFUNCTION("IF(OR($U823="""",COUNTIF($I:$I,IFERROR(unique(filter(Prod_Prop!$H:$H,Prod_Prop!$G:$G=$U823,Prod_Prop!$E:$E=AB$1)),""Check""))=0),"""",IFERROR(unique(filter(Prod_Prop!$H:$H,Prod_Prop!$G:$G=$U823,Prod_Prop!$E:$E=AB$1)),""""))"),"")</f>
        <v/>
      </c>
      <c r="AC823" s="4" t="str">
        <f>IF(AB823="","",SUMIFS(Prod_Prop!$J:$J,Prod_Prop!$B:$B,$Q823,Prod_Prop!$H:$H,AB823,Prod_Prop!$I:$I,AC$1)*IF(AB823="Peso",$R823,1))</f>
        <v/>
      </c>
      <c r="AD823" s="4" t="str">
        <f>IF(AB823="","",SUMIFS(Prod_Prop!$J:$J,Prod_Prop!$B:$B,$Q823,Prod_Prop!$H:$H,AB823,Prod_Prop!$I:$I,AD$1)*IF(AB823="Peso",$R823,1))</f>
        <v/>
      </c>
    </row>
    <row r="824">
      <c r="A824" s="4" t="str">
        <f t="array" ref="A824">IF(COUNTIF(A$1:A823,Cotizador!F$2)=maxifs(Familias!E:E,Familias!D:D,Cotizador!F$2),IF(COUNTIF(A$1:A823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4" s="4" t="str">
        <f t="shared" si="1"/>
        <v/>
      </c>
      <c r="C824" s="4" t="str">
        <f t="array" ref="C824">IF(B824="","",IF(A824=XLOOKUP(A$2,Implementos!B:B,Implementos!C:C,"",0,1),B824+maxifs(B$1:B823,A$1:A823,A$2),B824))</f>
        <v/>
      </c>
      <c r="D824" s="4" t="str">
        <f>IF(B824="","", COUNTIFS(Productos!F:F,A824,Productos!H:H,B824)+IF(F824="SI",0,1))</f>
        <v/>
      </c>
      <c r="E824" s="4" t="str">
        <f>IFERROR(__xludf.DUMMYFUNCTION("IF($B824="""","""",INDEX(filter(Familias!F:F,Familias!$D:$D=$A824,Familias!$E:$E=$B824),1))"),"")</f>
        <v/>
      </c>
      <c r="F824" s="4" t="str">
        <f>IFERROR(__xludf.DUMMYFUNCTION("IF($B824="""","""",INDEX(filter(Familias!G:G,Familias!$D:$D=$A824,Familias!$E:$E=$B824),1))"),"")</f>
        <v/>
      </c>
      <c r="G824" s="4" t="str">
        <f t="array" ref="G824">IF(C824=1,XLOOKUP(C824,Cotizador!D:D,Cotizador!E:E,"",0,1),"")</f>
        <v/>
      </c>
      <c r="I824" s="4"/>
      <c r="J824" s="8" t="str">
        <f>IF(I824="","",SUMIF(Cotizador!I$1:V$1,I824,Cotizador!I$2:V$2))</f>
        <v/>
      </c>
      <c r="L824" s="4" t="str">
        <f t="array" ref="L824">IF(COUNTIF(L$1:L823,A$2)=SUMIF(A:A,A$2,D:D),IF(COUNTIF(L$1:L823,XLOOKUP(A$2,Implementos!B:B,Implementos!C:C,"",0,1))=SUMIF(A:A,XLOOKUP(A$2,Implementos!B:B,Implementos!C:C,"",0,1),D:D),"",XLOOKUP(A$2,Implementos!B:B,Implementos!C:C,"",0,1)),A$2)</f>
        <v/>
      </c>
      <c r="M824" s="4" t="str">
        <f t="shared" si="2"/>
        <v/>
      </c>
      <c r="N824" s="4" t="str">
        <f t="shared" si="3"/>
        <v/>
      </c>
      <c r="O824" s="4" t="str">
        <f t="shared" si="4"/>
        <v/>
      </c>
      <c r="P824" s="4" t="str">
        <f t="shared" si="5"/>
        <v/>
      </c>
      <c r="Q824" s="4" t="str">
        <f>IF(U824="","",SUMIF(Productos!E:E,U824,Productos!A:A))</f>
        <v/>
      </c>
      <c r="R824" s="4" t="str">
        <f t="array" ref="R824">IF(L824="","", max(1,SUMIF(I:I,XLOOKUP(U824,Productos!E:E,Productos!G:G,"",0,1),J:J)))</f>
        <v/>
      </c>
      <c r="S824" s="4" t="str">
        <f>IF(Q824="","",IF(SUMIFS(Compat_Vetado!D:D,Compat_Vetado!B:B,SUM(G:G),Compat_Vetado!C:C,Q824)=1,"SI",IF(OR(SUMIF(Cotizador!E:E,Q824,Cotizador!G:G)&gt;0,SUMIFS(Compat_Vetado!D:D,Compat_Vetado!B:B,SUM(G:G),Compat_Vetado!C:C,Q824)=-1),"NO","")))</f>
        <v/>
      </c>
      <c r="T824" s="4" t="str">
        <f t="shared" si="6"/>
        <v/>
      </c>
      <c r="U824" s="4" t="str">
        <f>IFERROR(__xludf.DUMMYFUNCTION("IF(P824="""","""",IFERROR(INDEX(filter(Productos!E:E,Productos!F:F=L824,Productos!H:H=N824),P824),IF(M824=SUM(D:D),""Finalizar"",""-"")))"),"")</f>
        <v/>
      </c>
      <c r="V824" s="4" t="str">
        <f>IFERROR(__xludf.DUMMYFUNCTION("IF(OR($U824="""",COUNTIF($I:$I,IFERROR(unique(filter(Prod_Prop!$H:$H,Prod_Prop!$G:$G=$U824,Prod_Prop!$E:$E=V$1)),""Check""))=0),"""",IFERROR(unique(filter(Prod_Prop!$H:$H,Prod_Prop!$G:$G=$U824,Prod_Prop!$E:$E=V$1)),""""))"),"")</f>
        <v/>
      </c>
      <c r="W824" s="4" t="str">
        <f>IF(V824="","",SUMIFS(Prod_Prop!$J:$J,Prod_Prop!$B:$B,$Q824,Prod_Prop!$H:$H,V824,Prod_Prop!$I:$I,W$1)*IF(V824="Peso",$R824,1))</f>
        <v/>
      </c>
      <c r="X824" s="4" t="str">
        <f>IF(V824="","",SUMIFS(Prod_Prop!$J:$J,Prod_Prop!$B:$B,$Q824,Prod_Prop!$H:$H,V824,Prod_Prop!$I:$I,X$1)*IF(V824="Peso",$R824,1))</f>
        <v/>
      </c>
      <c r="Y824" s="4" t="str">
        <f>IFERROR(__xludf.DUMMYFUNCTION("IF(OR($U824="""",COUNTIF($I:$I,IFERROR(unique(filter(Prod_Prop!$H:$H,Prod_Prop!$G:$G=$U824,Prod_Prop!$E:$E=Y$1)),""Check""))=0),"""",IFERROR(unique(filter(Prod_Prop!$H:$H,Prod_Prop!$G:$G=$U824,Prod_Prop!$E:$E=Y$1)),""""))"),"")</f>
        <v/>
      </c>
      <c r="Z824" s="4" t="str">
        <f>IF(Y824="","",SUMIFS(Prod_Prop!$J:$J,Prod_Prop!$B:$B,$Q824,Prod_Prop!$H:$H,Y824,Prod_Prop!$I:$I,Z$1)*IF(Y824="Peso",$R824,1))</f>
        <v/>
      </c>
      <c r="AA824" s="4" t="str">
        <f>IF(Y824="","",SUMIFS(Prod_Prop!$J:$J,Prod_Prop!$B:$B,$Q824,Prod_Prop!$H:$H,Y824,Prod_Prop!$I:$I,AA$1)*IF(Y824="Peso",$R824,1))</f>
        <v/>
      </c>
      <c r="AB824" s="4" t="str">
        <f>IFERROR(__xludf.DUMMYFUNCTION("IF(OR($U824="""",COUNTIF($I:$I,IFERROR(unique(filter(Prod_Prop!$H:$H,Prod_Prop!$G:$G=$U824,Prod_Prop!$E:$E=AB$1)),""Check""))=0),"""",IFERROR(unique(filter(Prod_Prop!$H:$H,Prod_Prop!$G:$G=$U824,Prod_Prop!$E:$E=AB$1)),""""))"),"")</f>
        <v/>
      </c>
      <c r="AC824" s="4" t="str">
        <f>IF(AB824="","",SUMIFS(Prod_Prop!$J:$J,Prod_Prop!$B:$B,$Q824,Prod_Prop!$H:$H,AB824,Prod_Prop!$I:$I,AC$1)*IF(AB824="Peso",$R824,1))</f>
        <v/>
      </c>
      <c r="AD824" s="4" t="str">
        <f>IF(AB824="","",SUMIFS(Prod_Prop!$J:$J,Prod_Prop!$B:$B,$Q824,Prod_Prop!$H:$H,AB824,Prod_Prop!$I:$I,AD$1)*IF(AB824="Peso",$R824,1))</f>
        <v/>
      </c>
    </row>
    <row r="825">
      <c r="A825" s="4" t="str">
        <f t="array" ref="A825">IF(COUNTIF(A$1:A824,Cotizador!F$2)=maxifs(Familias!E:E,Familias!D:D,Cotizador!F$2),IF(COUNTIF(A$1:A824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5" s="4" t="str">
        <f t="shared" si="1"/>
        <v/>
      </c>
      <c r="C825" s="4" t="str">
        <f t="array" ref="C825">IF(B825="","",IF(A825=XLOOKUP(A$2,Implementos!B:B,Implementos!C:C,"",0,1),B825+maxifs(B$1:B824,A$1:A824,A$2),B825))</f>
        <v/>
      </c>
      <c r="D825" s="4" t="str">
        <f>IF(B825="","", COUNTIFS(Productos!F:F,A825,Productos!H:H,B825)+IF(F825="SI",0,1))</f>
        <v/>
      </c>
      <c r="E825" s="4" t="str">
        <f>IFERROR(__xludf.DUMMYFUNCTION("IF($B825="""","""",INDEX(filter(Familias!F:F,Familias!$D:$D=$A825,Familias!$E:$E=$B825),1))"),"")</f>
        <v/>
      </c>
      <c r="F825" s="4" t="str">
        <f>IFERROR(__xludf.DUMMYFUNCTION("IF($B825="""","""",INDEX(filter(Familias!G:G,Familias!$D:$D=$A825,Familias!$E:$E=$B825),1))"),"")</f>
        <v/>
      </c>
      <c r="G825" s="4" t="str">
        <f t="array" ref="G825">IF(C825=1,XLOOKUP(C825,Cotizador!D:D,Cotizador!E:E,"",0,1),"")</f>
        <v/>
      </c>
      <c r="I825" s="4"/>
      <c r="J825" s="8" t="str">
        <f>IF(I825="","",SUMIF(Cotizador!I$1:V$1,I825,Cotizador!I$2:V$2))</f>
        <v/>
      </c>
      <c r="L825" s="4" t="str">
        <f t="array" ref="L825">IF(COUNTIF(L$1:L824,A$2)=SUMIF(A:A,A$2,D:D),IF(COUNTIF(L$1:L824,XLOOKUP(A$2,Implementos!B:B,Implementos!C:C,"",0,1))=SUMIF(A:A,XLOOKUP(A$2,Implementos!B:B,Implementos!C:C,"",0,1),D:D),"",XLOOKUP(A$2,Implementos!B:B,Implementos!C:C,"",0,1)),A$2)</f>
        <v/>
      </c>
      <c r="M825" s="4" t="str">
        <f t="shared" si="2"/>
        <v/>
      </c>
      <c r="N825" s="4" t="str">
        <f t="shared" si="3"/>
        <v/>
      </c>
      <c r="O825" s="4" t="str">
        <f t="shared" si="4"/>
        <v/>
      </c>
      <c r="P825" s="4" t="str">
        <f t="shared" si="5"/>
        <v/>
      </c>
      <c r="Q825" s="4" t="str">
        <f>IF(U825="","",SUMIF(Productos!E:E,U825,Productos!A:A))</f>
        <v/>
      </c>
      <c r="R825" s="4" t="str">
        <f t="array" ref="R825">IF(L825="","", max(1,SUMIF(I:I,XLOOKUP(U825,Productos!E:E,Productos!G:G,"",0,1),J:J)))</f>
        <v/>
      </c>
      <c r="S825" s="4" t="str">
        <f>IF(Q825="","",IF(SUMIFS(Compat_Vetado!D:D,Compat_Vetado!B:B,SUM(G:G),Compat_Vetado!C:C,Q825)=1,"SI",IF(OR(SUMIF(Cotizador!E:E,Q825,Cotizador!G:G)&gt;0,SUMIFS(Compat_Vetado!D:D,Compat_Vetado!B:B,SUM(G:G),Compat_Vetado!C:C,Q825)=-1),"NO","")))</f>
        <v/>
      </c>
      <c r="T825" s="4" t="str">
        <f t="shared" si="6"/>
        <v/>
      </c>
      <c r="U825" s="4" t="str">
        <f>IFERROR(__xludf.DUMMYFUNCTION("IF(P825="""","""",IFERROR(INDEX(filter(Productos!E:E,Productos!F:F=L825,Productos!H:H=N825),P825),IF(M825=SUM(D:D),""Finalizar"",""-"")))"),"")</f>
        <v/>
      </c>
      <c r="V825" s="4" t="str">
        <f>IFERROR(__xludf.DUMMYFUNCTION("IF(OR($U825="""",COUNTIF($I:$I,IFERROR(unique(filter(Prod_Prop!$H:$H,Prod_Prop!$G:$G=$U825,Prod_Prop!$E:$E=V$1)),""Check""))=0),"""",IFERROR(unique(filter(Prod_Prop!$H:$H,Prod_Prop!$G:$G=$U825,Prod_Prop!$E:$E=V$1)),""""))"),"")</f>
        <v/>
      </c>
      <c r="W825" s="4" t="str">
        <f>IF(V825="","",SUMIFS(Prod_Prop!$J:$J,Prod_Prop!$B:$B,$Q825,Prod_Prop!$H:$H,V825,Prod_Prop!$I:$I,W$1)*IF(V825="Peso",$R825,1))</f>
        <v/>
      </c>
      <c r="X825" s="4" t="str">
        <f>IF(V825="","",SUMIFS(Prod_Prop!$J:$J,Prod_Prop!$B:$B,$Q825,Prod_Prop!$H:$H,V825,Prod_Prop!$I:$I,X$1)*IF(V825="Peso",$R825,1))</f>
        <v/>
      </c>
      <c r="Y825" s="4" t="str">
        <f>IFERROR(__xludf.DUMMYFUNCTION("IF(OR($U825="""",COUNTIF($I:$I,IFERROR(unique(filter(Prod_Prop!$H:$H,Prod_Prop!$G:$G=$U825,Prod_Prop!$E:$E=Y$1)),""Check""))=0),"""",IFERROR(unique(filter(Prod_Prop!$H:$H,Prod_Prop!$G:$G=$U825,Prod_Prop!$E:$E=Y$1)),""""))"),"")</f>
        <v/>
      </c>
      <c r="Z825" s="4" t="str">
        <f>IF(Y825="","",SUMIFS(Prod_Prop!$J:$J,Prod_Prop!$B:$B,$Q825,Prod_Prop!$H:$H,Y825,Prod_Prop!$I:$I,Z$1)*IF(Y825="Peso",$R825,1))</f>
        <v/>
      </c>
      <c r="AA825" s="4" t="str">
        <f>IF(Y825="","",SUMIFS(Prod_Prop!$J:$J,Prod_Prop!$B:$B,$Q825,Prod_Prop!$H:$H,Y825,Prod_Prop!$I:$I,AA$1)*IF(Y825="Peso",$R825,1))</f>
        <v/>
      </c>
      <c r="AB825" s="4" t="str">
        <f>IFERROR(__xludf.DUMMYFUNCTION("IF(OR($U825="""",COUNTIF($I:$I,IFERROR(unique(filter(Prod_Prop!$H:$H,Prod_Prop!$G:$G=$U825,Prod_Prop!$E:$E=AB$1)),""Check""))=0),"""",IFERROR(unique(filter(Prod_Prop!$H:$H,Prod_Prop!$G:$G=$U825,Prod_Prop!$E:$E=AB$1)),""""))"),"")</f>
        <v/>
      </c>
      <c r="AC825" s="4" t="str">
        <f>IF(AB825="","",SUMIFS(Prod_Prop!$J:$J,Prod_Prop!$B:$B,$Q825,Prod_Prop!$H:$H,AB825,Prod_Prop!$I:$I,AC$1)*IF(AB825="Peso",$R825,1))</f>
        <v/>
      </c>
      <c r="AD825" s="4" t="str">
        <f>IF(AB825="","",SUMIFS(Prod_Prop!$J:$J,Prod_Prop!$B:$B,$Q825,Prod_Prop!$H:$H,AB825,Prod_Prop!$I:$I,AD$1)*IF(AB825="Peso",$R825,1))</f>
        <v/>
      </c>
    </row>
    <row r="826">
      <c r="A826" s="4" t="str">
        <f t="array" ref="A826">IF(COUNTIF(A$1:A825,Cotizador!F$2)=maxifs(Familias!E:E,Familias!D:D,Cotizador!F$2),IF(COUNTIF(A$1:A825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6" s="4" t="str">
        <f t="shared" si="1"/>
        <v/>
      </c>
      <c r="C826" s="4" t="str">
        <f t="array" ref="C826">IF(B826="","",IF(A826=XLOOKUP(A$2,Implementos!B:B,Implementos!C:C,"",0,1),B826+maxifs(B$1:B825,A$1:A825,A$2),B826))</f>
        <v/>
      </c>
      <c r="D826" s="4" t="str">
        <f>IF(B826="","", COUNTIFS(Productos!F:F,A826,Productos!H:H,B826)+IF(F826="SI",0,1))</f>
        <v/>
      </c>
      <c r="E826" s="4" t="str">
        <f>IFERROR(__xludf.DUMMYFUNCTION("IF($B826="""","""",INDEX(filter(Familias!F:F,Familias!$D:$D=$A826,Familias!$E:$E=$B826),1))"),"")</f>
        <v/>
      </c>
      <c r="F826" s="4" t="str">
        <f>IFERROR(__xludf.DUMMYFUNCTION("IF($B826="""","""",INDEX(filter(Familias!G:G,Familias!$D:$D=$A826,Familias!$E:$E=$B826),1))"),"")</f>
        <v/>
      </c>
      <c r="G826" s="4" t="str">
        <f t="array" ref="G826">IF(C826=1,XLOOKUP(C826,Cotizador!D:D,Cotizador!E:E,"",0,1),"")</f>
        <v/>
      </c>
      <c r="I826" s="4"/>
      <c r="J826" s="8" t="str">
        <f>IF(I826="","",SUMIF(Cotizador!I$1:V$1,I826,Cotizador!I$2:V$2))</f>
        <v/>
      </c>
      <c r="L826" s="4" t="str">
        <f t="array" ref="L826">IF(COUNTIF(L$1:L825,A$2)=SUMIF(A:A,A$2,D:D),IF(COUNTIF(L$1:L825,XLOOKUP(A$2,Implementos!B:B,Implementos!C:C,"",0,1))=SUMIF(A:A,XLOOKUP(A$2,Implementos!B:B,Implementos!C:C,"",0,1),D:D),"",XLOOKUP(A$2,Implementos!B:B,Implementos!C:C,"",0,1)),A$2)</f>
        <v/>
      </c>
      <c r="M826" s="4" t="str">
        <f t="shared" si="2"/>
        <v/>
      </c>
      <c r="N826" s="4" t="str">
        <f t="shared" si="3"/>
        <v/>
      </c>
      <c r="O826" s="4" t="str">
        <f t="shared" si="4"/>
        <v/>
      </c>
      <c r="P826" s="4" t="str">
        <f t="shared" si="5"/>
        <v/>
      </c>
      <c r="Q826" s="4" t="str">
        <f>IF(U826="","",SUMIF(Productos!E:E,U826,Productos!A:A))</f>
        <v/>
      </c>
      <c r="R826" s="4" t="str">
        <f t="array" ref="R826">IF(L826="","", max(1,SUMIF(I:I,XLOOKUP(U826,Productos!E:E,Productos!G:G,"",0,1),J:J)))</f>
        <v/>
      </c>
      <c r="S826" s="4" t="str">
        <f>IF(Q826="","",IF(SUMIFS(Compat_Vetado!D:D,Compat_Vetado!B:B,SUM(G:G),Compat_Vetado!C:C,Q826)=1,"SI",IF(OR(SUMIF(Cotizador!E:E,Q826,Cotizador!G:G)&gt;0,SUMIFS(Compat_Vetado!D:D,Compat_Vetado!B:B,SUM(G:G),Compat_Vetado!C:C,Q826)=-1),"NO","")))</f>
        <v/>
      </c>
      <c r="T826" s="4" t="str">
        <f t="shared" si="6"/>
        <v/>
      </c>
      <c r="U826" s="4" t="str">
        <f>IFERROR(__xludf.DUMMYFUNCTION("IF(P826="""","""",IFERROR(INDEX(filter(Productos!E:E,Productos!F:F=L826,Productos!H:H=N826),P826),IF(M826=SUM(D:D),""Finalizar"",""-"")))"),"")</f>
        <v/>
      </c>
      <c r="V826" s="4" t="str">
        <f>IFERROR(__xludf.DUMMYFUNCTION("IF(OR($U826="""",COUNTIF($I:$I,IFERROR(unique(filter(Prod_Prop!$H:$H,Prod_Prop!$G:$G=$U826,Prod_Prop!$E:$E=V$1)),""Check""))=0),"""",IFERROR(unique(filter(Prod_Prop!$H:$H,Prod_Prop!$G:$G=$U826,Prod_Prop!$E:$E=V$1)),""""))"),"")</f>
        <v/>
      </c>
      <c r="W826" s="4" t="str">
        <f>IF(V826="","",SUMIFS(Prod_Prop!$J:$J,Prod_Prop!$B:$B,$Q826,Prod_Prop!$H:$H,V826,Prod_Prop!$I:$I,W$1)*IF(V826="Peso",$R826,1))</f>
        <v/>
      </c>
      <c r="X826" s="4" t="str">
        <f>IF(V826="","",SUMIFS(Prod_Prop!$J:$J,Prod_Prop!$B:$B,$Q826,Prod_Prop!$H:$H,V826,Prod_Prop!$I:$I,X$1)*IF(V826="Peso",$R826,1))</f>
        <v/>
      </c>
      <c r="Y826" s="4" t="str">
        <f>IFERROR(__xludf.DUMMYFUNCTION("IF(OR($U826="""",COUNTIF($I:$I,IFERROR(unique(filter(Prod_Prop!$H:$H,Prod_Prop!$G:$G=$U826,Prod_Prop!$E:$E=Y$1)),""Check""))=0),"""",IFERROR(unique(filter(Prod_Prop!$H:$H,Prod_Prop!$G:$G=$U826,Prod_Prop!$E:$E=Y$1)),""""))"),"")</f>
        <v/>
      </c>
      <c r="Z826" s="4" t="str">
        <f>IF(Y826="","",SUMIFS(Prod_Prop!$J:$J,Prod_Prop!$B:$B,$Q826,Prod_Prop!$H:$H,Y826,Prod_Prop!$I:$I,Z$1)*IF(Y826="Peso",$R826,1))</f>
        <v/>
      </c>
      <c r="AA826" s="4" t="str">
        <f>IF(Y826="","",SUMIFS(Prod_Prop!$J:$J,Prod_Prop!$B:$B,$Q826,Prod_Prop!$H:$H,Y826,Prod_Prop!$I:$I,AA$1)*IF(Y826="Peso",$R826,1))</f>
        <v/>
      </c>
      <c r="AB826" s="4" t="str">
        <f>IFERROR(__xludf.DUMMYFUNCTION("IF(OR($U826="""",COUNTIF($I:$I,IFERROR(unique(filter(Prod_Prop!$H:$H,Prod_Prop!$G:$G=$U826,Prod_Prop!$E:$E=AB$1)),""Check""))=0),"""",IFERROR(unique(filter(Prod_Prop!$H:$H,Prod_Prop!$G:$G=$U826,Prod_Prop!$E:$E=AB$1)),""""))"),"")</f>
        <v/>
      </c>
      <c r="AC826" s="4" t="str">
        <f>IF(AB826="","",SUMIFS(Prod_Prop!$J:$J,Prod_Prop!$B:$B,$Q826,Prod_Prop!$H:$H,AB826,Prod_Prop!$I:$I,AC$1)*IF(AB826="Peso",$R826,1))</f>
        <v/>
      </c>
      <c r="AD826" s="4" t="str">
        <f>IF(AB826="","",SUMIFS(Prod_Prop!$J:$J,Prod_Prop!$B:$B,$Q826,Prod_Prop!$H:$H,AB826,Prod_Prop!$I:$I,AD$1)*IF(AB826="Peso",$R826,1))</f>
        <v/>
      </c>
    </row>
    <row r="827">
      <c r="A827" s="4" t="str">
        <f t="array" ref="A827">IF(COUNTIF(A$1:A826,Cotizador!F$2)=maxifs(Familias!E:E,Familias!D:D,Cotizador!F$2),IF(COUNTIF(A$1:A826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7" s="4" t="str">
        <f t="shared" si="1"/>
        <v/>
      </c>
      <c r="C827" s="4" t="str">
        <f t="array" ref="C827">IF(B827="","",IF(A827=XLOOKUP(A$2,Implementos!B:B,Implementos!C:C,"",0,1),B827+maxifs(B$1:B826,A$1:A826,A$2),B827))</f>
        <v/>
      </c>
      <c r="D827" s="4" t="str">
        <f>IF(B827="","", COUNTIFS(Productos!F:F,A827,Productos!H:H,B827)+IF(F827="SI",0,1))</f>
        <v/>
      </c>
      <c r="E827" s="4" t="str">
        <f>IFERROR(__xludf.DUMMYFUNCTION("IF($B827="""","""",INDEX(filter(Familias!F:F,Familias!$D:$D=$A827,Familias!$E:$E=$B827),1))"),"")</f>
        <v/>
      </c>
      <c r="F827" s="4" t="str">
        <f>IFERROR(__xludf.DUMMYFUNCTION("IF($B827="""","""",INDEX(filter(Familias!G:G,Familias!$D:$D=$A827,Familias!$E:$E=$B827),1))"),"")</f>
        <v/>
      </c>
      <c r="G827" s="4" t="str">
        <f t="array" ref="G827">IF(C827=1,XLOOKUP(C827,Cotizador!D:D,Cotizador!E:E,"",0,1),"")</f>
        <v/>
      </c>
      <c r="I827" s="4"/>
      <c r="J827" s="8" t="str">
        <f>IF(I827="","",SUMIF(Cotizador!I$1:V$1,I827,Cotizador!I$2:V$2))</f>
        <v/>
      </c>
      <c r="L827" s="4" t="str">
        <f t="array" ref="L827">IF(COUNTIF(L$1:L826,A$2)=SUMIF(A:A,A$2,D:D),IF(COUNTIF(L$1:L826,XLOOKUP(A$2,Implementos!B:B,Implementos!C:C,"",0,1))=SUMIF(A:A,XLOOKUP(A$2,Implementos!B:B,Implementos!C:C,"",0,1),D:D),"",XLOOKUP(A$2,Implementos!B:B,Implementos!C:C,"",0,1)),A$2)</f>
        <v/>
      </c>
      <c r="M827" s="4" t="str">
        <f t="shared" si="2"/>
        <v/>
      </c>
      <c r="N827" s="4" t="str">
        <f t="shared" si="3"/>
        <v/>
      </c>
      <c r="O827" s="4" t="str">
        <f t="shared" si="4"/>
        <v/>
      </c>
      <c r="P827" s="4" t="str">
        <f t="shared" si="5"/>
        <v/>
      </c>
      <c r="Q827" s="4" t="str">
        <f>IF(U827="","",SUMIF(Productos!E:E,U827,Productos!A:A))</f>
        <v/>
      </c>
      <c r="R827" s="4" t="str">
        <f t="array" ref="R827">IF(L827="","", max(1,SUMIF(I:I,XLOOKUP(U827,Productos!E:E,Productos!G:G,"",0,1),J:J)))</f>
        <v/>
      </c>
      <c r="S827" s="4" t="str">
        <f>IF(Q827="","",IF(SUMIFS(Compat_Vetado!D:D,Compat_Vetado!B:B,SUM(G:G),Compat_Vetado!C:C,Q827)=1,"SI",IF(OR(SUMIF(Cotizador!E:E,Q827,Cotizador!G:G)&gt;0,SUMIFS(Compat_Vetado!D:D,Compat_Vetado!B:B,SUM(G:G),Compat_Vetado!C:C,Q827)=-1),"NO","")))</f>
        <v/>
      </c>
      <c r="T827" s="4" t="str">
        <f t="shared" si="6"/>
        <v/>
      </c>
      <c r="U827" s="4" t="str">
        <f>IFERROR(__xludf.DUMMYFUNCTION("IF(P827="""","""",IFERROR(INDEX(filter(Productos!E:E,Productos!F:F=L827,Productos!H:H=N827),P827),IF(M827=SUM(D:D),""Finalizar"",""-"")))"),"")</f>
        <v/>
      </c>
      <c r="V827" s="4" t="str">
        <f>IFERROR(__xludf.DUMMYFUNCTION("IF(OR($U827="""",COUNTIF($I:$I,IFERROR(unique(filter(Prod_Prop!$H:$H,Prod_Prop!$G:$G=$U827,Prod_Prop!$E:$E=V$1)),""Check""))=0),"""",IFERROR(unique(filter(Prod_Prop!$H:$H,Prod_Prop!$G:$G=$U827,Prod_Prop!$E:$E=V$1)),""""))"),"")</f>
        <v/>
      </c>
      <c r="W827" s="4" t="str">
        <f>IF(V827="","",SUMIFS(Prod_Prop!$J:$J,Prod_Prop!$B:$B,$Q827,Prod_Prop!$H:$H,V827,Prod_Prop!$I:$I,W$1)*IF(V827="Peso",$R827,1))</f>
        <v/>
      </c>
      <c r="X827" s="4" t="str">
        <f>IF(V827="","",SUMIFS(Prod_Prop!$J:$J,Prod_Prop!$B:$B,$Q827,Prod_Prop!$H:$H,V827,Prod_Prop!$I:$I,X$1)*IF(V827="Peso",$R827,1))</f>
        <v/>
      </c>
      <c r="Y827" s="4" t="str">
        <f>IFERROR(__xludf.DUMMYFUNCTION("IF(OR($U827="""",COUNTIF($I:$I,IFERROR(unique(filter(Prod_Prop!$H:$H,Prod_Prop!$G:$G=$U827,Prod_Prop!$E:$E=Y$1)),""Check""))=0),"""",IFERROR(unique(filter(Prod_Prop!$H:$H,Prod_Prop!$G:$G=$U827,Prod_Prop!$E:$E=Y$1)),""""))"),"")</f>
        <v/>
      </c>
      <c r="Z827" s="4" t="str">
        <f>IF(Y827="","",SUMIFS(Prod_Prop!$J:$J,Prod_Prop!$B:$B,$Q827,Prod_Prop!$H:$H,Y827,Prod_Prop!$I:$I,Z$1)*IF(Y827="Peso",$R827,1))</f>
        <v/>
      </c>
      <c r="AA827" s="4" t="str">
        <f>IF(Y827="","",SUMIFS(Prod_Prop!$J:$J,Prod_Prop!$B:$B,$Q827,Prod_Prop!$H:$H,Y827,Prod_Prop!$I:$I,AA$1)*IF(Y827="Peso",$R827,1))</f>
        <v/>
      </c>
      <c r="AB827" s="4" t="str">
        <f>IFERROR(__xludf.DUMMYFUNCTION("IF(OR($U827="""",COUNTIF($I:$I,IFERROR(unique(filter(Prod_Prop!$H:$H,Prod_Prop!$G:$G=$U827,Prod_Prop!$E:$E=AB$1)),""Check""))=0),"""",IFERROR(unique(filter(Prod_Prop!$H:$H,Prod_Prop!$G:$G=$U827,Prod_Prop!$E:$E=AB$1)),""""))"),"")</f>
        <v/>
      </c>
      <c r="AC827" s="4" t="str">
        <f>IF(AB827="","",SUMIFS(Prod_Prop!$J:$J,Prod_Prop!$B:$B,$Q827,Prod_Prop!$H:$H,AB827,Prod_Prop!$I:$I,AC$1)*IF(AB827="Peso",$R827,1))</f>
        <v/>
      </c>
      <c r="AD827" s="4" t="str">
        <f>IF(AB827="","",SUMIFS(Prod_Prop!$J:$J,Prod_Prop!$B:$B,$Q827,Prod_Prop!$H:$H,AB827,Prod_Prop!$I:$I,AD$1)*IF(AB827="Peso",$R827,1))</f>
        <v/>
      </c>
    </row>
    <row r="828">
      <c r="A828" s="4" t="str">
        <f t="array" ref="A828">IF(COUNTIF(A$1:A827,Cotizador!F$2)=maxifs(Familias!E:E,Familias!D:D,Cotizador!F$2),IF(COUNTIF(A$1:A827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8" s="4" t="str">
        <f t="shared" si="1"/>
        <v/>
      </c>
      <c r="C828" s="4" t="str">
        <f t="array" ref="C828">IF(B828="","",IF(A828=XLOOKUP(A$2,Implementos!B:B,Implementos!C:C,"",0,1),B828+maxifs(B$1:B827,A$1:A827,A$2),B828))</f>
        <v/>
      </c>
      <c r="D828" s="4" t="str">
        <f>IF(B828="","", COUNTIFS(Productos!F:F,A828,Productos!H:H,B828)+IF(F828="SI",0,1))</f>
        <v/>
      </c>
      <c r="E828" s="4" t="str">
        <f>IFERROR(__xludf.DUMMYFUNCTION("IF($B828="""","""",INDEX(filter(Familias!F:F,Familias!$D:$D=$A828,Familias!$E:$E=$B828),1))"),"")</f>
        <v/>
      </c>
      <c r="F828" s="4" t="str">
        <f>IFERROR(__xludf.DUMMYFUNCTION("IF($B828="""","""",INDEX(filter(Familias!G:G,Familias!$D:$D=$A828,Familias!$E:$E=$B828),1))"),"")</f>
        <v/>
      </c>
      <c r="G828" s="4" t="str">
        <f t="array" ref="G828">IF(C828=1,XLOOKUP(C828,Cotizador!D:D,Cotizador!E:E,"",0,1),"")</f>
        <v/>
      </c>
      <c r="I828" s="4"/>
      <c r="J828" s="8" t="str">
        <f>IF(I828="","",SUMIF(Cotizador!I$1:V$1,I828,Cotizador!I$2:V$2))</f>
        <v/>
      </c>
      <c r="L828" s="4" t="str">
        <f t="array" ref="L828">IF(COUNTIF(L$1:L827,A$2)=SUMIF(A:A,A$2,D:D),IF(COUNTIF(L$1:L827,XLOOKUP(A$2,Implementos!B:B,Implementos!C:C,"",0,1))=SUMIF(A:A,XLOOKUP(A$2,Implementos!B:B,Implementos!C:C,"",0,1),D:D),"",XLOOKUP(A$2,Implementos!B:B,Implementos!C:C,"",0,1)),A$2)</f>
        <v/>
      </c>
      <c r="M828" s="4" t="str">
        <f t="shared" si="2"/>
        <v/>
      </c>
      <c r="N828" s="4" t="str">
        <f t="shared" si="3"/>
        <v/>
      </c>
      <c r="O828" s="4" t="str">
        <f t="shared" si="4"/>
        <v/>
      </c>
      <c r="P828" s="4" t="str">
        <f t="shared" si="5"/>
        <v/>
      </c>
      <c r="Q828" s="4" t="str">
        <f>IF(U828="","",SUMIF(Productos!E:E,U828,Productos!A:A))</f>
        <v/>
      </c>
      <c r="R828" s="4" t="str">
        <f t="array" ref="R828">IF(L828="","", max(1,SUMIF(I:I,XLOOKUP(U828,Productos!E:E,Productos!G:G,"",0,1),J:J)))</f>
        <v/>
      </c>
      <c r="S828" s="4" t="str">
        <f>IF(Q828="","",IF(SUMIFS(Compat_Vetado!D:D,Compat_Vetado!B:B,SUM(G:G),Compat_Vetado!C:C,Q828)=1,"SI",IF(OR(SUMIF(Cotizador!E:E,Q828,Cotizador!G:G)&gt;0,SUMIFS(Compat_Vetado!D:D,Compat_Vetado!B:B,SUM(G:G),Compat_Vetado!C:C,Q828)=-1),"NO","")))</f>
        <v/>
      </c>
      <c r="T828" s="4" t="str">
        <f t="shared" si="6"/>
        <v/>
      </c>
      <c r="U828" s="4" t="str">
        <f>IFERROR(__xludf.DUMMYFUNCTION("IF(P828="""","""",IFERROR(INDEX(filter(Productos!E:E,Productos!F:F=L828,Productos!H:H=N828),P828),IF(M828=SUM(D:D),""Finalizar"",""-"")))"),"")</f>
        <v/>
      </c>
      <c r="V828" s="4" t="str">
        <f>IFERROR(__xludf.DUMMYFUNCTION("IF(OR($U828="""",COUNTIF($I:$I,IFERROR(unique(filter(Prod_Prop!$H:$H,Prod_Prop!$G:$G=$U828,Prod_Prop!$E:$E=V$1)),""Check""))=0),"""",IFERROR(unique(filter(Prod_Prop!$H:$H,Prod_Prop!$G:$G=$U828,Prod_Prop!$E:$E=V$1)),""""))"),"")</f>
        <v/>
      </c>
      <c r="W828" s="4" t="str">
        <f>IF(V828="","",SUMIFS(Prod_Prop!$J:$J,Prod_Prop!$B:$B,$Q828,Prod_Prop!$H:$H,V828,Prod_Prop!$I:$I,W$1)*IF(V828="Peso",$R828,1))</f>
        <v/>
      </c>
      <c r="X828" s="4" t="str">
        <f>IF(V828="","",SUMIFS(Prod_Prop!$J:$J,Prod_Prop!$B:$B,$Q828,Prod_Prop!$H:$H,V828,Prod_Prop!$I:$I,X$1)*IF(V828="Peso",$R828,1))</f>
        <v/>
      </c>
      <c r="Y828" s="4" t="str">
        <f>IFERROR(__xludf.DUMMYFUNCTION("IF(OR($U828="""",COUNTIF($I:$I,IFERROR(unique(filter(Prod_Prop!$H:$H,Prod_Prop!$G:$G=$U828,Prod_Prop!$E:$E=Y$1)),""Check""))=0),"""",IFERROR(unique(filter(Prod_Prop!$H:$H,Prod_Prop!$G:$G=$U828,Prod_Prop!$E:$E=Y$1)),""""))"),"")</f>
        <v/>
      </c>
      <c r="Z828" s="4" t="str">
        <f>IF(Y828="","",SUMIFS(Prod_Prop!$J:$J,Prod_Prop!$B:$B,$Q828,Prod_Prop!$H:$H,Y828,Prod_Prop!$I:$I,Z$1)*IF(Y828="Peso",$R828,1))</f>
        <v/>
      </c>
      <c r="AA828" s="4" t="str">
        <f>IF(Y828="","",SUMIFS(Prod_Prop!$J:$J,Prod_Prop!$B:$B,$Q828,Prod_Prop!$H:$H,Y828,Prod_Prop!$I:$I,AA$1)*IF(Y828="Peso",$R828,1))</f>
        <v/>
      </c>
      <c r="AB828" s="4" t="str">
        <f>IFERROR(__xludf.DUMMYFUNCTION("IF(OR($U828="""",COUNTIF($I:$I,IFERROR(unique(filter(Prod_Prop!$H:$H,Prod_Prop!$G:$G=$U828,Prod_Prop!$E:$E=AB$1)),""Check""))=0),"""",IFERROR(unique(filter(Prod_Prop!$H:$H,Prod_Prop!$G:$G=$U828,Prod_Prop!$E:$E=AB$1)),""""))"),"")</f>
        <v/>
      </c>
      <c r="AC828" s="4" t="str">
        <f>IF(AB828="","",SUMIFS(Prod_Prop!$J:$J,Prod_Prop!$B:$B,$Q828,Prod_Prop!$H:$H,AB828,Prod_Prop!$I:$I,AC$1)*IF(AB828="Peso",$R828,1))</f>
        <v/>
      </c>
      <c r="AD828" s="4" t="str">
        <f>IF(AB828="","",SUMIFS(Prod_Prop!$J:$J,Prod_Prop!$B:$B,$Q828,Prod_Prop!$H:$H,AB828,Prod_Prop!$I:$I,AD$1)*IF(AB828="Peso",$R828,1))</f>
        <v/>
      </c>
    </row>
    <row r="829">
      <c r="A829" s="4" t="str">
        <f t="array" ref="A829">IF(COUNTIF(A$1:A828,Cotizador!F$2)=maxifs(Familias!E:E,Familias!D:D,Cotizador!F$2),IF(COUNTIF(A$1:A828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29" s="4" t="str">
        <f t="shared" si="1"/>
        <v/>
      </c>
      <c r="C829" s="4" t="str">
        <f t="array" ref="C829">IF(B829="","",IF(A829=XLOOKUP(A$2,Implementos!B:B,Implementos!C:C,"",0,1),B829+maxifs(B$1:B828,A$1:A828,A$2),B829))</f>
        <v/>
      </c>
      <c r="D829" s="4" t="str">
        <f>IF(B829="","", COUNTIFS(Productos!F:F,A829,Productos!H:H,B829)+IF(F829="SI",0,1))</f>
        <v/>
      </c>
      <c r="E829" s="4" t="str">
        <f>IFERROR(__xludf.DUMMYFUNCTION("IF($B829="""","""",INDEX(filter(Familias!F:F,Familias!$D:$D=$A829,Familias!$E:$E=$B829),1))"),"")</f>
        <v/>
      </c>
      <c r="F829" s="4" t="str">
        <f>IFERROR(__xludf.DUMMYFUNCTION("IF($B829="""","""",INDEX(filter(Familias!G:G,Familias!$D:$D=$A829,Familias!$E:$E=$B829),1))"),"")</f>
        <v/>
      </c>
      <c r="G829" s="4" t="str">
        <f t="array" ref="G829">IF(C829=1,XLOOKUP(C829,Cotizador!D:D,Cotizador!E:E,"",0,1),"")</f>
        <v/>
      </c>
      <c r="I829" s="4"/>
      <c r="J829" s="8" t="str">
        <f>IF(I829="","",SUMIF(Cotizador!I$1:V$1,I829,Cotizador!I$2:V$2))</f>
        <v/>
      </c>
      <c r="L829" s="4" t="str">
        <f t="array" ref="L829">IF(COUNTIF(L$1:L828,A$2)=SUMIF(A:A,A$2,D:D),IF(COUNTIF(L$1:L828,XLOOKUP(A$2,Implementos!B:B,Implementos!C:C,"",0,1))=SUMIF(A:A,XLOOKUP(A$2,Implementos!B:B,Implementos!C:C,"",0,1),D:D),"",XLOOKUP(A$2,Implementos!B:B,Implementos!C:C,"",0,1)),A$2)</f>
        <v/>
      </c>
      <c r="M829" s="4" t="str">
        <f t="shared" si="2"/>
        <v/>
      </c>
      <c r="N829" s="4" t="str">
        <f t="shared" si="3"/>
        <v/>
      </c>
      <c r="O829" s="4" t="str">
        <f t="shared" si="4"/>
        <v/>
      </c>
      <c r="P829" s="4" t="str">
        <f t="shared" si="5"/>
        <v/>
      </c>
      <c r="Q829" s="4" t="str">
        <f>IF(U829="","",SUMIF(Productos!E:E,U829,Productos!A:A))</f>
        <v/>
      </c>
      <c r="R829" s="4" t="str">
        <f t="array" ref="R829">IF(L829="","", max(1,SUMIF(I:I,XLOOKUP(U829,Productos!E:E,Productos!G:G,"",0,1),J:J)))</f>
        <v/>
      </c>
      <c r="S829" s="4" t="str">
        <f>IF(Q829="","",IF(SUMIFS(Compat_Vetado!D:D,Compat_Vetado!B:B,SUM(G:G),Compat_Vetado!C:C,Q829)=1,"SI",IF(OR(SUMIF(Cotizador!E:E,Q829,Cotizador!G:G)&gt;0,SUMIFS(Compat_Vetado!D:D,Compat_Vetado!B:B,SUM(G:G),Compat_Vetado!C:C,Q829)=-1),"NO","")))</f>
        <v/>
      </c>
      <c r="T829" s="4" t="str">
        <f t="shared" si="6"/>
        <v/>
      </c>
      <c r="U829" s="4" t="str">
        <f>IFERROR(__xludf.DUMMYFUNCTION("IF(P829="""","""",IFERROR(INDEX(filter(Productos!E:E,Productos!F:F=L829,Productos!H:H=N829),P829),IF(M829=SUM(D:D),""Finalizar"",""-"")))"),"")</f>
        <v/>
      </c>
      <c r="V829" s="4" t="str">
        <f>IFERROR(__xludf.DUMMYFUNCTION("IF(OR($U829="""",COUNTIF($I:$I,IFERROR(unique(filter(Prod_Prop!$H:$H,Prod_Prop!$G:$G=$U829,Prod_Prop!$E:$E=V$1)),""Check""))=0),"""",IFERROR(unique(filter(Prod_Prop!$H:$H,Prod_Prop!$G:$G=$U829,Prod_Prop!$E:$E=V$1)),""""))"),"")</f>
        <v/>
      </c>
      <c r="W829" s="4" t="str">
        <f>IF(V829="","",SUMIFS(Prod_Prop!$J:$J,Prod_Prop!$B:$B,$Q829,Prod_Prop!$H:$H,V829,Prod_Prop!$I:$I,W$1)*IF(V829="Peso",$R829,1))</f>
        <v/>
      </c>
      <c r="X829" s="4" t="str">
        <f>IF(V829="","",SUMIFS(Prod_Prop!$J:$J,Prod_Prop!$B:$B,$Q829,Prod_Prop!$H:$H,V829,Prod_Prop!$I:$I,X$1)*IF(V829="Peso",$R829,1))</f>
        <v/>
      </c>
      <c r="Y829" s="4" t="str">
        <f>IFERROR(__xludf.DUMMYFUNCTION("IF(OR($U829="""",COUNTIF($I:$I,IFERROR(unique(filter(Prod_Prop!$H:$H,Prod_Prop!$G:$G=$U829,Prod_Prop!$E:$E=Y$1)),""Check""))=0),"""",IFERROR(unique(filter(Prod_Prop!$H:$H,Prod_Prop!$G:$G=$U829,Prod_Prop!$E:$E=Y$1)),""""))"),"")</f>
        <v/>
      </c>
      <c r="Z829" s="4" t="str">
        <f>IF(Y829="","",SUMIFS(Prod_Prop!$J:$J,Prod_Prop!$B:$B,$Q829,Prod_Prop!$H:$H,Y829,Prod_Prop!$I:$I,Z$1)*IF(Y829="Peso",$R829,1))</f>
        <v/>
      </c>
      <c r="AA829" s="4" t="str">
        <f>IF(Y829="","",SUMIFS(Prod_Prop!$J:$J,Prod_Prop!$B:$B,$Q829,Prod_Prop!$H:$H,Y829,Prod_Prop!$I:$I,AA$1)*IF(Y829="Peso",$R829,1))</f>
        <v/>
      </c>
      <c r="AB829" s="4" t="str">
        <f>IFERROR(__xludf.DUMMYFUNCTION("IF(OR($U829="""",COUNTIF($I:$I,IFERROR(unique(filter(Prod_Prop!$H:$H,Prod_Prop!$G:$G=$U829,Prod_Prop!$E:$E=AB$1)),""Check""))=0),"""",IFERROR(unique(filter(Prod_Prop!$H:$H,Prod_Prop!$G:$G=$U829,Prod_Prop!$E:$E=AB$1)),""""))"),"")</f>
        <v/>
      </c>
      <c r="AC829" s="4" t="str">
        <f>IF(AB829="","",SUMIFS(Prod_Prop!$J:$J,Prod_Prop!$B:$B,$Q829,Prod_Prop!$H:$H,AB829,Prod_Prop!$I:$I,AC$1)*IF(AB829="Peso",$R829,1))</f>
        <v/>
      </c>
      <c r="AD829" s="4" t="str">
        <f>IF(AB829="","",SUMIFS(Prod_Prop!$J:$J,Prod_Prop!$B:$B,$Q829,Prod_Prop!$H:$H,AB829,Prod_Prop!$I:$I,AD$1)*IF(AB829="Peso",$R829,1))</f>
        <v/>
      </c>
    </row>
    <row r="830">
      <c r="A830" s="4" t="str">
        <f t="array" ref="A830">IF(COUNTIF(A$1:A829,Cotizador!F$2)=maxifs(Familias!E:E,Familias!D:D,Cotizador!F$2),IF(COUNTIF(A$1:A829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0" s="4" t="str">
        <f t="shared" si="1"/>
        <v/>
      </c>
      <c r="C830" s="4" t="str">
        <f t="array" ref="C830">IF(B830="","",IF(A830=XLOOKUP(A$2,Implementos!B:B,Implementos!C:C,"",0,1),B830+maxifs(B$1:B829,A$1:A829,A$2),B830))</f>
        <v/>
      </c>
      <c r="D830" s="4" t="str">
        <f>IF(B830="","", COUNTIFS(Productos!F:F,A830,Productos!H:H,B830)+IF(F830="SI",0,1))</f>
        <v/>
      </c>
      <c r="E830" s="4" t="str">
        <f>IFERROR(__xludf.DUMMYFUNCTION("IF($B830="""","""",INDEX(filter(Familias!F:F,Familias!$D:$D=$A830,Familias!$E:$E=$B830),1))"),"")</f>
        <v/>
      </c>
      <c r="F830" s="4" t="str">
        <f>IFERROR(__xludf.DUMMYFUNCTION("IF($B830="""","""",INDEX(filter(Familias!G:G,Familias!$D:$D=$A830,Familias!$E:$E=$B830),1))"),"")</f>
        <v/>
      </c>
      <c r="G830" s="4" t="str">
        <f t="array" ref="G830">IF(C830=1,XLOOKUP(C830,Cotizador!D:D,Cotizador!E:E,"",0,1),"")</f>
        <v/>
      </c>
      <c r="I830" s="4"/>
      <c r="J830" s="8" t="str">
        <f>IF(I830="","",SUMIF(Cotizador!I$1:V$1,I830,Cotizador!I$2:V$2))</f>
        <v/>
      </c>
      <c r="L830" s="4" t="str">
        <f t="array" ref="L830">IF(COUNTIF(L$1:L829,A$2)=SUMIF(A:A,A$2,D:D),IF(COUNTIF(L$1:L829,XLOOKUP(A$2,Implementos!B:B,Implementos!C:C,"",0,1))=SUMIF(A:A,XLOOKUP(A$2,Implementos!B:B,Implementos!C:C,"",0,1),D:D),"",XLOOKUP(A$2,Implementos!B:B,Implementos!C:C,"",0,1)),A$2)</f>
        <v/>
      </c>
      <c r="M830" s="4" t="str">
        <f t="shared" si="2"/>
        <v/>
      </c>
      <c r="N830" s="4" t="str">
        <f t="shared" si="3"/>
        <v/>
      </c>
      <c r="O830" s="4" t="str">
        <f t="shared" si="4"/>
        <v/>
      </c>
      <c r="P830" s="4" t="str">
        <f t="shared" si="5"/>
        <v/>
      </c>
      <c r="Q830" s="4" t="str">
        <f>IF(U830="","",SUMIF(Productos!E:E,U830,Productos!A:A))</f>
        <v/>
      </c>
      <c r="R830" s="4" t="str">
        <f t="array" ref="R830">IF(L830="","", max(1,SUMIF(I:I,XLOOKUP(U830,Productos!E:E,Productos!G:G,"",0,1),J:J)))</f>
        <v/>
      </c>
      <c r="S830" s="4" t="str">
        <f>IF(Q830="","",IF(SUMIFS(Compat_Vetado!D:D,Compat_Vetado!B:B,SUM(G:G),Compat_Vetado!C:C,Q830)=1,"SI",IF(OR(SUMIF(Cotizador!E:E,Q830,Cotizador!G:G)&gt;0,SUMIFS(Compat_Vetado!D:D,Compat_Vetado!B:B,SUM(G:G),Compat_Vetado!C:C,Q830)=-1),"NO","")))</f>
        <v/>
      </c>
      <c r="T830" s="4" t="str">
        <f t="shared" si="6"/>
        <v/>
      </c>
      <c r="U830" s="4" t="str">
        <f>IFERROR(__xludf.DUMMYFUNCTION("IF(P830="""","""",IFERROR(INDEX(filter(Productos!E:E,Productos!F:F=L830,Productos!H:H=N830),P830),IF(M830=SUM(D:D),""Finalizar"",""-"")))"),"")</f>
        <v/>
      </c>
      <c r="V830" s="4" t="str">
        <f>IFERROR(__xludf.DUMMYFUNCTION("IF(OR($U830="""",COUNTIF($I:$I,IFERROR(unique(filter(Prod_Prop!$H:$H,Prod_Prop!$G:$G=$U830,Prod_Prop!$E:$E=V$1)),""Check""))=0),"""",IFERROR(unique(filter(Prod_Prop!$H:$H,Prod_Prop!$G:$G=$U830,Prod_Prop!$E:$E=V$1)),""""))"),"")</f>
        <v/>
      </c>
      <c r="W830" s="4" t="str">
        <f>IF(V830="","",SUMIFS(Prod_Prop!$J:$J,Prod_Prop!$B:$B,$Q830,Prod_Prop!$H:$H,V830,Prod_Prop!$I:$I,W$1)*IF(V830="Peso",$R830,1))</f>
        <v/>
      </c>
      <c r="X830" s="4" t="str">
        <f>IF(V830="","",SUMIFS(Prod_Prop!$J:$J,Prod_Prop!$B:$B,$Q830,Prod_Prop!$H:$H,V830,Prod_Prop!$I:$I,X$1)*IF(V830="Peso",$R830,1))</f>
        <v/>
      </c>
      <c r="Y830" s="4" t="str">
        <f>IFERROR(__xludf.DUMMYFUNCTION("IF(OR($U830="""",COUNTIF($I:$I,IFERROR(unique(filter(Prod_Prop!$H:$H,Prod_Prop!$G:$G=$U830,Prod_Prop!$E:$E=Y$1)),""Check""))=0),"""",IFERROR(unique(filter(Prod_Prop!$H:$H,Prod_Prop!$G:$G=$U830,Prod_Prop!$E:$E=Y$1)),""""))"),"")</f>
        <v/>
      </c>
      <c r="Z830" s="4" t="str">
        <f>IF(Y830="","",SUMIFS(Prod_Prop!$J:$J,Prod_Prop!$B:$B,$Q830,Prod_Prop!$H:$H,Y830,Prod_Prop!$I:$I,Z$1)*IF(Y830="Peso",$R830,1))</f>
        <v/>
      </c>
      <c r="AA830" s="4" t="str">
        <f>IF(Y830="","",SUMIFS(Prod_Prop!$J:$J,Prod_Prop!$B:$B,$Q830,Prod_Prop!$H:$H,Y830,Prod_Prop!$I:$I,AA$1)*IF(Y830="Peso",$R830,1))</f>
        <v/>
      </c>
      <c r="AB830" s="4" t="str">
        <f>IFERROR(__xludf.DUMMYFUNCTION("IF(OR($U830="""",COUNTIF($I:$I,IFERROR(unique(filter(Prod_Prop!$H:$H,Prod_Prop!$G:$G=$U830,Prod_Prop!$E:$E=AB$1)),""Check""))=0),"""",IFERROR(unique(filter(Prod_Prop!$H:$H,Prod_Prop!$G:$G=$U830,Prod_Prop!$E:$E=AB$1)),""""))"),"")</f>
        <v/>
      </c>
      <c r="AC830" s="4" t="str">
        <f>IF(AB830="","",SUMIFS(Prod_Prop!$J:$J,Prod_Prop!$B:$B,$Q830,Prod_Prop!$H:$H,AB830,Prod_Prop!$I:$I,AC$1)*IF(AB830="Peso",$R830,1))</f>
        <v/>
      </c>
      <c r="AD830" s="4" t="str">
        <f>IF(AB830="","",SUMIFS(Prod_Prop!$J:$J,Prod_Prop!$B:$B,$Q830,Prod_Prop!$H:$H,AB830,Prod_Prop!$I:$I,AD$1)*IF(AB830="Peso",$R830,1))</f>
        <v/>
      </c>
    </row>
    <row r="831">
      <c r="A831" s="4" t="str">
        <f t="array" ref="A831">IF(COUNTIF(A$1:A830,Cotizador!F$2)=maxifs(Familias!E:E,Familias!D:D,Cotizador!F$2),IF(COUNTIF(A$1:A830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1" s="4" t="str">
        <f t="shared" si="1"/>
        <v/>
      </c>
      <c r="C831" s="4" t="str">
        <f t="array" ref="C831">IF(B831="","",IF(A831=XLOOKUP(A$2,Implementos!B:B,Implementos!C:C,"",0,1),B831+maxifs(B$1:B830,A$1:A830,A$2),B831))</f>
        <v/>
      </c>
      <c r="D831" s="4" t="str">
        <f>IF(B831="","", COUNTIFS(Productos!F:F,A831,Productos!H:H,B831)+IF(F831="SI",0,1))</f>
        <v/>
      </c>
      <c r="E831" s="4" t="str">
        <f>IFERROR(__xludf.DUMMYFUNCTION("IF($B831="""","""",INDEX(filter(Familias!F:F,Familias!$D:$D=$A831,Familias!$E:$E=$B831),1))"),"")</f>
        <v/>
      </c>
      <c r="F831" s="4" t="str">
        <f>IFERROR(__xludf.DUMMYFUNCTION("IF($B831="""","""",INDEX(filter(Familias!G:G,Familias!$D:$D=$A831,Familias!$E:$E=$B831),1))"),"")</f>
        <v/>
      </c>
      <c r="G831" s="4" t="str">
        <f t="array" ref="G831">IF(C831=1,XLOOKUP(C831,Cotizador!D:D,Cotizador!E:E,"",0,1),"")</f>
        <v/>
      </c>
      <c r="I831" s="4"/>
      <c r="J831" s="8" t="str">
        <f>IF(I831="","",SUMIF(Cotizador!I$1:V$1,I831,Cotizador!I$2:V$2))</f>
        <v/>
      </c>
      <c r="L831" s="4" t="str">
        <f t="array" ref="L831">IF(COUNTIF(L$1:L830,A$2)=SUMIF(A:A,A$2,D:D),IF(COUNTIF(L$1:L830,XLOOKUP(A$2,Implementos!B:B,Implementos!C:C,"",0,1))=SUMIF(A:A,XLOOKUP(A$2,Implementos!B:B,Implementos!C:C,"",0,1),D:D),"",XLOOKUP(A$2,Implementos!B:B,Implementos!C:C,"",0,1)),A$2)</f>
        <v/>
      </c>
      <c r="M831" s="4" t="str">
        <f t="shared" si="2"/>
        <v/>
      </c>
      <c r="N831" s="4" t="str">
        <f t="shared" si="3"/>
        <v/>
      </c>
      <c r="O831" s="4" t="str">
        <f t="shared" si="4"/>
        <v/>
      </c>
      <c r="P831" s="4" t="str">
        <f t="shared" si="5"/>
        <v/>
      </c>
      <c r="Q831" s="4" t="str">
        <f>IF(U831="","",SUMIF(Productos!E:E,U831,Productos!A:A))</f>
        <v/>
      </c>
      <c r="R831" s="4" t="str">
        <f t="array" ref="R831">IF(L831="","", max(1,SUMIF(I:I,XLOOKUP(U831,Productos!E:E,Productos!G:G,"",0,1),J:J)))</f>
        <v/>
      </c>
      <c r="S831" s="4" t="str">
        <f>IF(Q831="","",IF(SUMIFS(Compat_Vetado!D:D,Compat_Vetado!B:B,SUM(G:G),Compat_Vetado!C:C,Q831)=1,"SI",IF(OR(SUMIF(Cotizador!E:E,Q831,Cotizador!G:G)&gt;0,SUMIFS(Compat_Vetado!D:D,Compat_Vetado!B:B,SUM(G:G),Compat_Vetado!C:C,Q831)=-1),"NO","")))</f>
        <v/>
      </c>
      <c r="T831" s="4" t="str">
        <f t="shared" si="6"/>
        <v/>
      </c>
      <c r="U831" s="4" t="str">
        <f>IFERROR(__xludf.DUMMYFUNCTION("IF(P831="""","""",IFERROR(INDEX(filter(Productos!E:E,Productos!F:F=L831,Productos!H:H=N831),P831),IF(M831=SUM(D:D),""Finalizar"",""-"")))"),"")</f>
        <v/>
      </c>
      <c r="V831" s="4" t="str">
        <f>IFERROR(__xludf.DUMMYFUNCTION("IF(OR($U831="""",COUNTIF($I:$I,IFERROR(unique(filter(Prod_Prop!$H:$H,Prod_Prop!$G:$G=$U831,Prod_Prop!$E:$E=V$1)),""Check""))=0),"""",IFERROR(unique(filter(Prod_Prop!$H:$H,Prod_Prop!$G:$G=$U831,Prod_Prop!$E:$E=V$1)),""""))"),"")</f>
        <v/>
      </c>
      <c r="W831" s="4" t="str">
        <f>IF(V831="","",SUMIFS(Prod_Prop!$J:$J,Prod_Prop!$B:$B,$Q831,Prod_Prop!$H:$H,V831,Prod_Prop!$I:$I,W$1)*IF(V831="Peso",$R831,1))</f>
        <v/>
      </c>
      <c r="X831" s="4" t="str">
        <f>IF(V831="","",SUMIFS(Prod_Prop!$J:$J,Prod_Prop!$B:$B,$Q831,Prod_Prop!$H:$H,V831,Prod_Prop!$I:$I,X$1)*IF(V831="Peso",$R831,1))</f>
        <v/>
      </c>
      <c r="Y831" s="4" t="str">
        <f>IFERROR(__xludf.DUMMYFUNCTION("IF(OR($U831="""",COUNTIF($I:$I,IFERROR(unique(filter(Prod_Prop!$H:$H,Prod_Prop!$G:$G=$U831,Prod_Prop!$E:$E=Y$1)),""Check""))=0),"""",IFERROR(unique(filter(Prod_Prop!$H:$H,Prod_Prop!$G:$G=$U831,Prod_Prop!$E:$E=Y$1)),""""))"),"")</f>
        <v/>
      </c>
      <c r="Z831" s="4" t="str">
        <f>IF(Y831="","",SUMIFS(Prod_Prop!$J:$J,Prod_Prop!$B:$B,$Q831,Prod_Prop!$H:$H,Y831,Prod_Prop!$I:$I,Z$1)*IF(Y831="Peso",$R831,1))</f>
        <v/>
      </c>
      <c r="AA831" s="4" t="str">
        <f>IF(Y831="","",SUMIFS(Prod_Prop!$J:$J,Prod_Prop!$B:$B,$Q831,Prod_Prop!$H:$H,Y831,Prod_Prop!$I:$I,AA$1)*IF(Y831="Peso",$R831,1))</f>
        <v/>
      </c>
      <c r="AB831" s="4" t="str">
        <f>IFERROR(__xludf.DUMMYFUNCTION("IF(OR($U831="""",COUNTIF($I:$I,IFERROR(unique(filter(Prod_Prop!$H:$H,Prod_Prop!$G:$G=$U831,Prod_Prop!$E:$E=AB$1)),""Check""))=0),"""",IFERROR(unique(filter(Prod_Prop!$H:$H,Prod_Prop!$G:$G=$U831,Prod_Prop!$E:$E=AB$1)),""""))"),"")</f>
        <v/>
      </c>
      <c r="AC831" s="4" t="str">
        <f>IF(AB831="","",SUMIFS(Prod_Prop!$J:$J,Prod_Prop!$B:$B,$Q831,Prod_Prop!$H:$H,AB831,Prod_Prop!$I:$I,AC$1)*IF(AB831="Peso",$R831,1))</f>
        <v/>
      </c>
      <c r="AD831" s="4" t="str">
        <f>IF(AB831="","",SUMIFS(Prod_Prop!$J:$J,Prod_Prop!$B:$B,$Q831,Prod_Prop!$H:$H,AB831,Prod_Prop!$I:$I,AD$1)*IF(AB831="Peso",$R831,1))</f>
        <v/>
      </c>
    </row>
    <row r="832">
      <c r="A832" s="4" t="str">
        <f t="array" ref="A832">IF(COUNTIF(A$1:A831,Cotizador!F$2)=maxifs(Familias!E:E,Familias!D:D,Cotizador!F$2),IF(COUNTIF(A$1:A831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2" s="4" t="str">
        <f t="shared" si="1"/>
        <v/>
      </c>
      <c r="C832" s="4" t="str">
        <f t="array" ref="C832">IF(B832="","",IF(A832=XLOOKUP(A$2,Implementos!B:B,Implementos!C:C,"",0,1),B832+maxifs(B$1:B831,A$1:A831,A$2),B832))</f>
        <v/>
      </c>
      <c r="D832" s="4" t="str">
        <f>IF(B832="","", COUNTIFS(Productos!F:F,A832,Productos!H:H,B832)+IF(F832="SI",0,1))</f>
        <v/>
      </c>
      <c r="E832" s="4" t="str">
        <f>IFERROR(__xludf.DUMMYFUNCTION("IF($B832="""","""",INDEX(filter(Familias!F:F,Familias!$D:$D=$A832,Familias!$E:$E=$B832),1))"),"")</f>
        <v/>
      </c>
      <c r="F832" s="4" t="str">
        <f>IFERROR(__xludf.DUMMYFUNCTION("IF($B832="""","""",INDEX(filter(Familias!G:G,Familias!$D:$D=$A832,Familias!$E:$E=$B832),1))"),"")</f>
        <v/>
      </c>
      <c r="G832" s="4" t="str">
        <f t="array" ref="G832">IF(C832=1,XLOOKUP(C832,Cotizador!D:D,Cotizador!E:E,"",0,1),"")</f>
        <v/>
      </c>
      <c r="I832" s="4"/>
      <c r="J832" s="8" t="str">
        <f>IF(I832="","",SUMIF(Cotizador!I$1:V$1,I832,Cotizador!I$2:V$2))</f>
        <v/>
      </c>
      <c r="L832" s="4" t="str">
        <f t="array" ref="L832">IF(COUNTIF(L$1:L831,A$2)=SUMIF(A:A,A$2,D:D),IF(COUNTIF(L$1:L831,XLOOKUP(A$2,Implementos!B:B,Implementos!C:C,"",0,1))=SUMIF(A:A,XLOOKUP(A$2,Implementos!B:B,Implementos!C:C,"",0,1),D:D),"",XLOOKUP(A$2,Implementos!B:B,Implementos!C:C,"",0,1)),A$2)</f>
        <v/>
      </c>
      <c r="M832" s="4" t="str">
        <f t="shared" si="2"/>
        <v/>
      </c>
      <c r="N832" s="4" t="str">
        <f t="shared" si="3"/>
        <v/>
      </c>
      <c r="O832" s="4" t="str">
        <f t="shared" si="4"/>
        <v/>
      </c>
      <c r="P832" s="4" t="str">
        <f t="shared" si="5"/>
        <v/>
      </c>
      <c r="Q832" s="4" t="str">
        <f>IF(U832="","",SUMIF(Productos!E:E,U832,Productos!A:A))</f>
        <v/>
      </c>
      <c r="R832" s="4" t="str">
        <f t="array" ref="R832">IF(L832="","", max(1,SUMIF(I:I,XLOOKUP(U832,Productos!E:E,Productos!G:G,"",0,1),J:J)))</f>
        <v/>
      </c>
      <c r="S832" s="4" t="str">
        <f>IF(Q832="","",IF(SUMIFS(Compat_Vetado!D:D,Compat_Vetado!B:B,SUM(G:G),Compat_Vetado!C:C,Q832)=1,"SI",IF(OR(SUMIF(Cotizador!E:E,Q832,Cotizador!G:G)&gt;0,SUMIFS(Compat_Vetado!D:D,Compat_Vetado!B:B,SUM(G:G),Compat_Vetado!C:C,Q832)=-1),"NO","")))</f>
        <v/>
      </c>
      <c r="T832" s="4" t="str">
        <f t="shared" si="6"/>
        <v/>
      </c>
      <c r="U832" s="4" t="str">
        <f>IFERROR(__xludf.DUMMYFUNCTION("IF(P832="""","""",IFERROR(INDEX(filter(Productos!E:E,Productos!F:F=L832,Productos!H:H=N832),P832),IF(M832=SUM(D:D),""Finalizar"",""-"")))"),"")</f>
        <v/>
      </c>
      <c r="V832" s="4" t="str">
        <f>IFERROR(__xludf.DUMMYFUNCTION("IF(OR($U832="""",COUNTIF($I:$I,IFERROR(unique(filter(Prod_Prop!$H:$H,Prod_Prop!$G:$G=$U832,Prod_Prop!$E:$E=V$1)),""Check""))=0),"""",IFERROR(unique(filter(Prod_Prop!$H:$H,Prod_Prop!$G:$G=$U832,Prod_Prop!$E:$E=V$1)),""""))"),"")</f>
        <v/>
      </c>
      <c r="W832" s="4" t="str">
        <f>IF(V832="","",SUMIFS(Prod_Prop!$J:$J,Prod_Prop!$B:$B,$Q832,Prod_Prop!$H:$H,V832,Prod_Prop!$I:$I,W$1)*IF(V832="Peso",$R832,1))</f>
        <v/>
      </c>
      <c r="X832" s="4" t="str">
        <f>IF(V832="","",SUMIFS(Prod_Prop!$J:$J,Prod_Prop!$B:$B,$Q832,Prod_Prop!$H:$H,V832,Prod_Prop!$I:$I,X$1)*IF(V832="Peso",$R832,1))</f>
        <v/>
      </c>
      <c r="Y832" s="4" t="str">
        <f>IFERROR(__xludf.DUMMYFUNCTION("IF(OR($U832="""",COUNTIF($I:$I,IFERROR(unique(filter(Prod_Prop!$H:$H,Prod_Prop!$G:$G=$U832,Prod_Prop!$E:$E=Y$1)),""Check""))=0),"""",IFERROR(unique(filter(Prod_Prop!$H:$H,Prod_Prop!$G:$G=$U832,Prod_Prop!$E:$E=Y$1)),""""))"),"")</f>
        <v/>
      </c>
      <c r="Z832" s="4" t="str">
        <f>IF(Y832="","",SUMIFS(Prod_Prop!$J:$J,Prod_Prop!$B:$B,$Q832,Prod_Prop!$H:$H,Y832,Prod_Prop!$I:$I,Z$1)*IF(Y832="Peso",$R832,1))</f>
        <v/>
      </c>
      <c r="AA832" s="4" t="str">
        <f>IF(Y832="","",SUMIFS(Prod_Prop!$J:$J,Prod_Prop!$B:$B,$Q832,Prod_Prop!$H:$H,Y832,Prod_Prop!$I:$I,AA$1)*IF(Y832="Peso",$R832,1))</f>
        <v/>
      </c>
      <c r="AB832" s="4" t="str">
        <f>IFERROR(__xludf.DUMMYFUNCTION("IF(OR($U832="""",COUNTIF($I:$I,IFERROR(unique(filter(Prod_Prop!$H:$H,Prod_Prop!$G:$G=$U832,Prod_Prop!$E:$E=AB$1)),""Check""))=0),"""",IFERROR(unique(filter(Prod_Prop!$H:$H,Prod_Prop!$G:$G=$U832,Prod_Prop!$E:$E=AB$1)),""""))"),"")</f>
        <v/>
      </c>
      <c r="AC832" s="4" t="str">
        <f>IF(AB832="","",SUMIFS(Prod_Prop!$J:$J,Prod_Prop!$B:$B,$Q832,Prod_Prop!$H:$H,AB832,Prod_Prop!$I:$I,AC$1)*IF(AB832="Peso",$R832,1))</f>
        <v/>
      </c>
      <c r="AD832" s="4" t="str">
        <f>IF(AB832="","",SUMIFS(Prod_Prop!$J:$J,Prod_Prop!$B:$B,$Q832,Prod_Prop!$H:$H,AB832,Prod_Prop!$I:$I,AD$1)*IF(AB832="Peso",$R832,1))</f>
        <v/>
      </c>
    </row>
    <row r="833">
      <c r="A833" s="4" t="str">
        <f t="array" ref="A833">IF(COUNTIF(A$1:A832,Cotizador!F$2)=maxifs(Familias!E:E,Familias!D:D,Cotizador!F$2),IF(COUNTIF(A$1:A832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3" s="4" t="str">
        <f t="shared" si="1"/>
        <v/>
      </c>
      <c r="C833" s="4" t="str">
        <f t="array" ref="C833">IF(B833="","",IF(A833=XLOOKUP(A$2,Implementos!B:B,Implementos!C:C,"",0,1),B833+maxifs(B$1:B832,A$1:A832,A$2),B833))</f>
        <v/>
      </c>
      <c r="D833" s="4" t="str">
        <f>IF(B833="","", COUNTIFS(Productos!F:F,A833,Productos!H:H,B833)+IF(F833="SI",0,1))</f>
        <v/>
      </c>
      <c r="E833" s="4" t="str">
        <f>IFERROR(__xludf.DUMMYFUNCTION("IF($B833="""","""",INDEX(filter(Familias!F:F,Familias!$D:$D=$A833,Familias!$E:$E=$B833),1))"),"")</f>
        <v/>
      </c>
      <c r="F833" s="4" t="str">
        <f>IFERROR(__xludf.DUMMYFUNCTION("IF($B833="""","""",INDEX(filter(Familias!G:G,Familias!$D:$D=$A833,Familias!$E:$E=$B833),1))"),"")</f>
        <v/>
      </c>
      <c r="G833" s="4" t="str">
        <f t="array" ref="G833">IF(C833=1,XLOOKUP(C833,Cotizador!D:D,Cotizador!E:E,"",0,1),"")</f>
        <v/>
      </c>
      <c r="I833" s="4"/>
      <c r="J833" s="8" t="str">
        <f>IF(I833="","",SUMIF(Cotizador!I$1:V$1,I833,Cotizador!I$2:V$2))</f>
        <v/>
      </c>
      <c r="L833" s="4" t="str">
        <f t="array" ref="L833">IF(COUNTIF(L$1:L832,A$2)=SUMIF(A:A,A$2,D:D),IF(COUNTIF(L$1:L832,XLOOKUP(A$2,Implementos!B:B,Implementos!C:C,"",0,1))=SUMIF(A:A,XLOOKUP(A$2,Implementos!B:B,Implementos!C:C,"",0,1),D:D),"",XLOOKUP(A$2,Implementos!B:B,Implementos!C:C,"",0,1)),A$2)</f>
        <v/>
      </c>
      <c r="M833" s="4" t="str">
        <f t="shared" si="2"/>
        <v/>
      </c>
      <c r="N833" s="4" t="str">
        <f t="shared" si="3"/>
        <v/>
      </c>
      <c r="O833" s="4" t="str">
        <f t="shared" si="4"/>
        <v/>
      </c>
      <c r="P833" s="4" t="str">
        <f t="shared" si="5"/>
        <v/>
      </c>
      <c r="Q833" s="4" t="str">
        <f>IF(U833="","",SUMIF(Productos!E:E,U833,Productos!A:A))</f>
        <v/>
      </c>
      <c r="R833" s="4" t="str">
        <f t="array" ref="R833">IF(L833="","", max(1,SUMIF(I:I,XLOOKUP(U833,Productos!E:E,Productos!G:G,"",0,1),J:J)))</f>
        <v/>
      </c>
      <c r="S833" s="4" t="str">
        <f>IF(Q833="","",IF(SUMIFS(Compat_Vetado!D:D,Compat_Vetado!B:B,SUM(G:G),Compat_Vetado!C:C,Q833)=1,"SI",IF(OR(SUMIF(Cotizador!E:E,Q833,Cotizador!G:G)&gt;0,SUMIFS(Compat_Vetado!D:D,Compat_Vetado!B:B,SUM(G:G),Compat_Vetado!C:C,Q833)=-1),"NO","")))</f>
        <v/>
      </c>
      <c r="T833" s="4" t="str">
        <f t="shared" si="6"/>
        <v/>
      </c>
      <c r="U833" s="4" t="str">
        <f>IFERROR(__xludf.DUMMYFUNCTION("IF(P833="""","""",IFERROR(INDEX(filter(Productos!E:E,Productos!F:F=L833,Productos!H:H=N833),P833),IF(M833=SUM(D:D),""Finalizar"",""-"")))"),"")</f>
        <v/>
      </c>
      <c r="V833" s="4" t="str">
        <f>IFERROR(__xludf.DUMMYFUNCTION("IF(OR($U833="""",COUNTIF($I:$I,IFERROR(unique(filter(Prod_Prop!$H:$H,Prod_Prop!$G:$G=$U833,Prod_Prop!$E:$E=V$1)),""Check""))=0),"""",IFERROR(unique(filter(Prod_Prop!$H:$H,Prod_Prop!$G:$G=$U833,Prod_Prop!$E:$E=V$1)),""""))"),"")</f>
        <v/>
      </c>
      <c r="W833" s="4" t="str">
        <f>IF(V833="","",SUMIFS(Prod_Prop!$J:$J,Prod_Prop!$B:$B,$Q833,Prod_Prop!$H:$H,V833,Prod_Prop!$I:$I,W$1)*IF(V833="Peso",$R833,1))</f>
        <v/>
      </c>
      <c r="X833" s="4" t="str">
        <f>IF(V833="","",SUMIFS(Prod_Prop!$J:$J,Prod_Prop!$B:$B,$Q833,Prod_Prop!$H:$H,V833,Prod_Prop!$I:$I,X$1)*IF(V833="Peso",$R833,1))</f>
        <v/>
      </c>
      <c r="Y833" s="4" t="str">
        <f>IFERROR(__xludf.DUMMYFUNCTION("IF(OR($U833="""",COUNTIF($I:$I,IFERROR(unique(filter(Prod_Prop!$H:$H,Prod_Prop!$G:$G=$U833,Prod_Prop!$E:$E=Y$1)),""Check""))=0),"""",IFERROR(unique(filter(Prod_Prop!$H:$H,Prod_Prop!$G:$G=$U833,Prod_Prop!$E:$E=Y$1)),""""))"),"")</f>
        <v/>
      </c>
      <c r="Z833" s="4" t="str">
        <f>IF(Y833="","",SUMIFS(Prod_Prop!$J:$J,Prod_Prop!$B:$B,$Q833,Prod_Prop!$H:$H,Y833,Prod_Prop!$I:$I,Z$1)*IF(Y833="Peso",$R833,1))</f>
        <v/>
      </c>
      <c r="AA833" s="4" t="str">
        <f>IF(Y833="","",SUMIFS(Prod_Prop!$J:$J,Prod_Prop!$B:$B,$Q833,Prod_Prop!$H:$H,Y833,Prod_Prop!$I:$I,AA$1)*IF(Y833="Peso",$R833,1))</f>
        <v/>
      </c>
      <c r="AB833" s="4" t="str">
        <f>IFERROR(__xludf.DUMMYFUNCTION("IF(OR($U833="""",COUNTIF($I:$I,IFERROR(unique(filter(Prod_Prop!$H:$H,Prod_Prop!$G:$G=$U833,Prod_Prop!$E:$E=AB$1)),""Check""))=0),"""",IFERROR(unique(filter(Prod_Prop!$H:$H,Prod_Prop!$G:$G=$U833,Prod_Prop!$E:$E=AB$1)),""""))"),"")</f>
        <v/>
      </c>
      <c r="AC833" s="4" t="str">
        <f>IF(AB833="","",SUMIFS(Prod_Prop!$J:$J,Prod_Prop!$B:$B,$Q833,Prod_Prop!$H:$H,AB833,Prod_Prop!$I:$I,AC$1)*IF(AB833="Peso",$R833,1))</f>
        <v/>
      </c>
      <c r="AD833" s="4" t="str">
        <f>IF(AB833="","",SUMIFS(Prod_Prop!$J:$J,Prod_Prop!$B:$B,$Q833,Prod_Prop!$H:$H,AB833,Prod_Prop!$I:$I,AD$1)*IF(AB833="Peso",$R833,1))</f>
        <v/>
      </c>
    </row>
    <row r="834">
      <c r="A834" s="4" t="str">
        <f t="array" ref="A834">IF(COUNTIF(A$1:A833,Cotizador!F$2)=maxifs(Familias!E:E,Familias!D:D,Cotizador!F$2),IF(COUNTIF(A$1:A833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4" s="4" t="str">
        <f t="shared" si="1"/>
        <v/>
      </c>
      <c r="C834" s="4" t="str">
        <f t="array" ref="C834">IF(B834="","",IF(A834=XLOOKUP(A$2,Implementos!B:B,Implementos!C:C,"",0,1),B834+maxifs(B$1:B833,A$1:A833,A$2),B834))</f>
        <v/>
      </c>
      <c r="D834" s="4" t="str">
        <f>IF(B834="","", COUNTIFS(Productos!F:F,A834,Productos!H:H,B834)+IF(F834="SI",0,1))</f>
        <v/>
      </c>
      <c r="E834" s="4" t="str">
        <f>IFERROR(__xludf.DUMMYFUNCTION("IF($B834="""","""",INDEX(filter(Familias!F:F,Familias!$D:$D=$A834,Familias!$E:$E=$B834),1))"),"")</f>
        <v/>
      </c>
      <c r="F834" s="4" t="str">
        <f>IFERROR(__xludf.DUMMYFUNCTION("IF($B834="""","""",INDEX(filter(Familias!G:G,Familias!$D:$D=$A834,Familias!$E:$E=$B834),1))"),"")</f>
        <v/>
      </c>
      <c r="G834" s="4" t="str">
        <f t="array" ref="G834">IF(C834=1,XLOOKUP(C834,Cotizador!D:D,Cotizador!E:E,"",0,1),"")</f>
        <v/>
      </c>
      <c r="I834" s="4"/>
      <c r="J834" s="8" t="str">
        <f>IF(I834="","",SUMIF(Cotizador!I$1:V$1,I834,Cotizador!I$2:V$2))</f>
        <v/>
      </c>
      <c r="L834" s="4" t="str">
        <f t="array" ref="L834">IF(COUNTIF(L$1:L833,A$2)=SUMIF(A:A,A$2,D:D),IF(COUNTIF(L$1:L833,XLOOKUP(A$2,Implementos!B:B,Implementos!C:C,"",0,1))=SUMIF(A:A,XLOOKUP(A$2,Implementos!B:B,Implementos!C:C,"",0,1),D:D),"",XLOOKUP(A$2,Implementos!B:B,Implementos!C:C,"",0,1)),A$2)</f>
        <v/>
      </c>
      <c r="M834" s="4" t="str">
        <f t="shared" si="2"/>
        <v/>
      </c>
      <c r="N834" s="4" t="str">
        <f t="shared" si="3"/>
        <v/>
      </c>
      <c r="O834" s="4" t="str">
        <f t="shared" si="4"/>
        <v/>
      </c>
      <c r="P834" s="4" t="str">
        <f t="shared" si="5"/>
        <v/>
      </c>
      <c r="Q834" s="4" t="str">
        <f>IF(U834="","",SUMIF(Productos!E:E,U834,Productos!A:A))</f>
        <v/>
      </c>
      <c r="R834" s="4" t="str">
        <f t="array" ref="R834">IF(L834="","", max(1,SUMIF(I:I,XLOOKUP(U834,Productos!E:E,Productos!G:G,"",0,1),J:J)))</f>
        <v/>
      </c>
      <c r="S834" s="4" t="str">
        <f>IF(Q834="","",IF(SUMIFS(Compat_Vetado!D:D,Compat_Vetado!B:B,SUM(G:G),Compat_Vetado!C:C,Q834)=1,"SI",IF(OR(SUMIF(Cotizador!E:E,Q834,Cotizador!G:G)&gt;0,SUMIFS(Compat_Vetado!D:D,Compat_Vetado!B:B,SUM(G:G),Compat_Vetado!C:C,Q834)=-1),"NO","")))</f>
        <v/>
      </c>
      <c r="T834" s="4" t="str">
        <f t="shared" si="6"/>
        <v/>
      </c>
      <c r="U834" s="4" t="str">
        <f>IFERROR(__xludf.DUMMYFUNCTION("IF(P834="""","""",IFERROR(INDEX(filter(Productos!E:E,Productos!F:F=L834,Productos!H:H=N834),P834),IF(M834=SUM(D:D),""Finalizar"",""-"")))"),"")</f>
        <v/>
      </c>
      <c r="V834" s="4" t="str">
        <f>IFERROR(__xludf.DUMMYFUNCTION("IF(OR($U834="""",COUNTIF($I:$I,IFERROR(unique(filter(Prod_Prop!$H:$H,Prod_Prop!$G:$G=$U834,Prod_Prop!$E:$E=V$1)),""Check""))=0),"""",IFERROR(unique(filter(Prod_Prop!$H:$H,Prod_Prop!$G:$G=$U834,Prod_Prop!$E:$E=V$1)),""""))"),"")</f>
        <v/>
      </c>
      <c r="W834" s="4" t="str">
        <f>IF(V834="","",SUMIFS(Prod_Prop!$J:$J,Prod_Prop!$B:$B,$Q834,Prod_Prop!$H:$H,V834,Prod_Prop!$I:$I,W$1)*IF(V834="Peso",$R834,1))</f>
        <v/>
      </c>
      <c r="X834" s="4" t="str">
        <f>IF(V834="","",SUMIFS(Prod_Prop!$J:$J,Prod_Prop!$B:$B,$Q834,Prod_Prop!$H:$H,V834,Prod_Prop!$I:$I,X$1)*IF(V834="Peso",$R834,1))</f>
        <v/>
      </c>
      <c r="Y834" s="4" t="str">
        <f>IFERROR(__xludf.DUMMYFUNCTION("IF(OR($U834="""",COUNTIF($I:$I,IFERROR(unique(filter(Prod_Prop!$H:$H,Prod_Prop!$G:$G=$U834,Prod_Prop!$E:$E=Y$1)),""Check""))=0),"""",IFERROR(unique(filter(Prod_Prop!$H:$H,Prod_Prop!$G:$G=$U834,Prod_Prop!$E:$E=Y$1)),""""))"),"")</f>
        <v/>
      </c>
      <c r="Z834" s="4" t="str">
        <f>IF(Y834="","",SUMIFS(Prod_Prop!$J:$J,Prod_Prop!$B:$B,$Q834,Prod_Prop!$H:$H,Y834,Prod_Prop!$I:$I,Z$1)*IF(Y834="Peso",$R834,1))</f>
        <v/>
      </c>
      <c r="AA834" s="4" t="str">
        <f>IF(Y834="","",SUMIFS(Prod_Prop!$J:$J,Prod_Prop!$B:$B,$Q834,Prod_Prop!$H:$H,Y834,Prod_Prop!$I:$I,AA$1)*IF(Y834="Peso",$R834,1))</f>
        <v/>
      </c>
      <c r="AB834" s="4" t="str">
        <f>IFERROR(__xludf.DUMMYFUNCTION("IF(OR($U834="""",COUNTIF($I:$I,IFERROR(unique(filter(Prod_Prop!$H:$H,Prod_Prop!$G:$G=$U834,Prod_Prop!$E:$E=AB$1)),""Check""))=0),"""",IFERROR(unique(filter(Prod_Prop!$H:$H,Prod_Prop!$G:$G=$U834,Prod_Prop!$E:$E=AB$1)),""""))"),"")</f>
        <v/>
      </c>
      <c r="AC834" s="4" t="str">
        <f>IF(AB834="","",SUMIFS(Prod_Prop!$J:$J,Prod_Prop!$B:$B,$Q834,Prod_Prop!$H:$H,AB834,Prod_Prop!$I:$I,AC$1)*IF(AB834="Peso",$R834,1))</f>
        <v/>
      </c>
      <c r="AD834" s="4" t="str">
        <f>IF(AB834="","",SUMIFS(Prod_Prop!$J:$J,Prod_Prop!$B:$B,$Q834,Prod_Prop!$H:$H,AB834,Prod_Prop!$I:$I,AD$1)*IF(AB834="Peso",$R834,1))</f>
        <v/>
      </c>
    </row>
    <row r="835">
      <c r="A835" s="4" t="str">
        <f t="array" ref="A835">IF(COUNTIF(A$1:A834,Cotizador!F$2)=maxifs(Familias!E:E,Familias!D:D,Cotizador!F$2),IF(COUNTIF(A$1:A834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5" s="4" t="str">
        <f t="shared" si="1"/>
        <v/>
      </c>
      <c r="C835" s="4" t="str">
        <f t="array" ref="C835">IF(B835="","",IF(A835=XLOOKUP(A$2,Implementos!B:B,Implementos!C:C,"",0,1),B835+maxifs(B$1:B834,A$1:A834,A$2),B835))</f>
        <v/>
      </c>
      <c r="D835" s="4" t="str">
        <f>IF(B835="","", COUNTIFS(Productos!F:F,A835,Productos!H:H,B835)+IF(F835="SI",0,1))</f>
        <v/>
      </c>
      <c r="E835" s="4" t="str">
        <f>IFERROR(__xludf.DUMMYFUNCTION("IF($B835="""","""",INDEX(filter(Familias!F:F,Familias!$D:$D=$A835,Familias!$E:$E=$B835),1))"),"")</f>
        <v/>
      </c>
      <c r="F835" s="4" t="str">
        <f>IFERROR(__xludf.DUMMYFUNCTION("IF($B835="""","""",INDEX(filter(Familias!G:G,Familias!$D:$D=$A835,Familias!$E:$E=$B835),1))"),"")</f>
        <v/>
      </c>
      <c r="G835" s="4" t="str">
        <f t="array" ref="G835">IF(C835=1,XLOOKUP(C835,Cotizador!D:D,Cotizador!E:E,"",0,1),"")</f>
        <v/>
      </c>
      <c r="I835" s="4"/>
      <c r="J835" s="8" t="str">
        <f>IF(I835="","",SUMIF(Cotizador!I$1:V$1,I835,Cotizador!I$2:V$2))</f>
        <v/>
      </c>
      <c r="L835" s="4" t="str">
        <f t="array" ref="L835">IF(COUNTIF(L$1:L834,A$2)=SUMIF(A:A,A$2,D:D),IF(COUNTIF(L$1:L834,XLOOKUP(A$2,Implementos!B:B,Implementos!C:C,"",0,1))=SUMIF(A:A,XLOOKUP(A$2,Implementos!B:B,Implementos!C:C,"",0,1),D:D),"",XLOOKUP(A$2,Implementos!B:B,Implementos!C:C,"",0,1)),A$2)</f>
        <v/>
      </c>
      <c r="M835" s="4" t="str">
        <f t="shared" si="2"/>
        <v/>
      </c>
      <c r="N835" s="4" t="str">
        <f t="shared" si="3"/>
        <v/>
      </c>
      <c r="O835" s="4" t="str">
        <f t="shared" si="4"/>
        <v/>
      </c>
      <c r="P835" s="4" t="str">
        <f t="shared" si="5"/>
        <v/>
      </c>
      <c r="Q835" s="4" t="str">
        <f>IF(U835="","",SUMIF(Productos!E:E,U835,Productos!A:A))</f>
        <v/>
      </c>
      <c r="R835" s="4" t="str">
        <f t="array" ref="R835">IF(L835="","", max(1,SUMIF(I:I,XLOOKUP(U835,Productos!E:E,Productos!G:G,"",0,1),J:J)))</f>
        <v/>
      </c>
      <c r="S835" s="4" t="str">
        <f>IF(Q835="","",IF(SUMIFS(Compat_Vetado!D:D,Compat_Vetado!B:B,SUM(G:G),Compat_Vetado!C:C,Q835)=1,"SI",IF(OR(SUMIF(Cotizador!E:E,Q835,Cotizador!G:G)&gt;0,SUMIFS(Compat_Vetado!D:D,Compat_Vetado!B:B,SUM(G:G),Compat_Vetado!C:C,Q835)=-1),"NO","")))</f>
        <v/>
      </c>
      <c r="T835" s="4" t="str">
        <f t="shared" si="6"/>
        <v/>
      </c>
      <c r="U835" s="4" t="str">
        <f>IFERROR(__xludf.DUMMYFUNCTION("IF(P835="""","""",IFERROR(INDEX(filter(Productos!E:E,Productos!F:F=L835,Productos!H:H=N835),P835),IF(M835=SUM(D:D),""Finalizar"",""-"")))"),"")</f>
        <v/>
      </c>
      <c r="V835" s="4" t="str">
        <f>IFERROR(__xludf.DUMMYFUNCTION("IF(OR($U835="""",COUNTIF($I:$I,IFERROR(unique(filter(Prod_Prop!$H:$H,Prod_Prop!$G:$G=$U835,Prod_Prop!$E:$E=V$1)),""Check""))=0),"""",IFERROR(unique(filter(Prod_Prop!$H:$H,Prod_Prop!$G:$G=$U835,Prod_Prop!$E:$E=V$1)),""""))"),"")</f>
        <v/>
      </c>
      <c r="W835" s="4" t="str">
        <f>IF(V835="","",SUMIFS(Prod_Prop!$J:$J,Prod_Prop!$B:$B,$Q835,Prod_Prop!$H:$H,V835,Prod_Prop!$I:$I,W$1)*IF(V835="Peso",$R835,1))</f>
        <v/>
      </c>
      <c r="X835" s="4" t="str">
        <f>IF(V835="","",SUMIFS(Prod_Prop!$J:$J,Prod_Prop!$B:$B,$Q835,Prod_Prop!$H:$H,V835,Prod_Prop!$I:$I,X$1)*IF(V835="Peso",$R835,1))</f>
        <v/>
      </c>
      <c r="Y835" s="4" t="str">
        <f>IFERROR(__xludf.DUMMYFUNCTION("IF(OR($U835="""",COUNTIF($I:$I,IFERROR(unique(filter(Prod_Prop!$H:$H,Prod_Prop!$G:$G=$U835,Prod_Prop!$E:$E=Y$1)),""Check""))=0),"""",IFERROR(unique(filter(Prod_Prop!$H:$H,Prod_Prop!$G:$G=$U835,Prod_Prop!$E:$E=Y$1)),""""))"),"")</f>
        <v/>
      </c>
      <c r="Z835" s="4" t="str">
        <f>IF(Y835="","",SUMIFS(Prod_Prop!$J:$J,Prod_Prop!$B:$B,$Q835,Prod_Prop!$H:$H,Y835,Prod_Prop!$I:$I,Z$1)*IF(Y835="Peso",$R835,1))</f>
        <v/>
      </c>
      <c r="AA835" s="4" t="str">
        <f>IF(Y835="","",SUMIFS(Prod_Prop!$J:$J,Prod_Prop!$B:$B,$Q835,Prod_Prop!$H:$H,Y835,Prod_Prop!$I:$I,AA$1)*IF(Y835="Peso",$R835,1))</f>
        <v/>
      </c>
      <c r="AB835" s="4" t="str">
        <f>IFERROR(__xludf.DUMMYFUNCTION("IF(OR($U835="""",COUNTIF($I:$I,IFERROR(unique(filter(Prod_Prop!$H:$H,Prod_Prop!$G:$G=$U835,Prod_Prop!$E:$E=AB$1)),""Check""))=0),"""",IFERROR(unique(filter(Prod_Prop!$H:$H,Prod_Prop!$G:$G=$U835,Prod_Prop!$E:$E=AB$1)),""""))"),"")</f>
        <v/>
      </c>
      <c r="AC835" s="4" t="str">
        <f>IF(AB835="","",SUMIFS(Prod_Prop!$J:$J,Prod_Prop!$B:$B,$Q835,Prod_Prop!$H:$H,AB835,Prod_Prop!$I:$I,AC$1)*IF(AB835="Peso",$R835,1))</f>
        <v/>
      </c>
      <c r="AD835" s="4" t="str">
        <f>IF(AB835="","",SUMIFS(Prod_Prop!$J:$J,Prod_Prop!$B:$B,$Q835,Prod_Prop!$H:$H,AB835,Prod_Prop!$I:$I,AD$1)*IF(AB835="Peso",$R835,1))</f>
        <v/>
      </c>
    </row>
    <row r="836">
      <c r="A836" s="4" t="str">
        <f t="array" ref="A836">IF(COUNTIF(A$1:A835,Cotizador!F$2)=maxifs(Familias!E:E,Familias!D:D,Cotizador!F$2),IF(COUNTIF(A$1:A835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6" s="4" t="str">
        <f t="shared" si="1"/>
        <v/>
      </c>
      <c r="C836" s="4" t="str">
        <f t="array" ref="C836">IF(B836="","",IF(A836=XLOOKUP(A$2,Implementos!B:B,Implementos!C:C,"",0,1),B836+maxifs(B$1:B835,A$1:A835,A$2),B836))</f>
        <v/>
      </c>
      <c r="D836" s="4" t="str">
        <f>IF(B836="","", COUNTIFS(Productos!F:F,A836,Productos!H:H,B836)+IF(F836="SI",0,1))</f>
        <v/>
      </c>
      <c r="E836" s="4" t="str">
        <f>IFERROR(__xludf.DUMMYFUNCTION("IF($B836="""","""",INDEX(filter(Familias!F:F,Familias!$D:$D=$A836,Familias!$E:$E=$B836),1))"),"")</f>
        <v/>
      </c>
      <c r="F836" s="4" t="str">
        <f>IFERROR(__xludf.DUMMYFUNCTION("IF($B836="""","""",INDEX(filter(Familias!G:G,Familias!$D:$D=$A836,Familias!$E:$E=$B836),1))"),"")</f>
        <v/>
      </c>
      <c r="G836" s="4" t="str">
        <f t="array" ref="G836">IF(C836=1,XLOOKUP(C836,Cotizador!D:D,Cotizador!E:E,"",0,1),"")</f>
        <v/>
      </c>
      <c r="I836" s="4"/>
      <c r="J836" s="8" t="str">
        <f>IF(I836="","",SUMIF(Cotizador!I$1:V$1,I836,Cotizador!I$2:V$2))</f>
        <v/>
      </c>
      <c r="L836" s="4" t="str">
        <f t="array" ref="L836">IF(COUNTIF(L$1:L835,A$2)=SUMIF(A:A,A$2,D:D),IF(COUNTIF(L$1:L835,XLOOKUP(A$2,Implementos!B:B,Implementos!C:C,"",0,1))=SUMIF(A:A,XLOOKUP(A$2,Implementos!B:B,Implementos!C:C,"",0,1),D:D),"",XLOOKUP(A$2,Implementos!B:B,Implementos!C:C,"",0,1)),A$2)</f>
        <v/>
      </c>
      <c r="M836" s="4" t="str">
        <f t="shared" si="2"/>
        <v/>
      </c>
      <c r="N836" s="4" t="str">
        <f t="shared" si="3"/>
        <v/>
      </c>
      <c r="O836" s="4" t="str">
        <f t="shared" si="4"/>
        <v/>
      </c>
      <c r="P836" s="4" t="str">
        <f t="shared" si="5"/>
        <v/>
      </c>
      <c r="Q836" s="4" t="str">
        <f>IF(U836="","",SUMIF(Productos!E:E,U836,Productos!A:A))</f>
        <v/>
      </c>
      <c r="R836" s="4" t="str">
        <f t="array" ref="R836">IF(L836="","", max(1,SUMIF(I:I,XLOOKUP(U836,Productos!E:E,Productos!G:G,"",0,1),J:J)))</f>
        <v/>
      </c>
      <c r="S836" s="4" t="str">
        <f>IF(Q836="","",IF(SUMIFS(Compat_Vetado!D:D,Compat_Vetado!B:B,SUM(G:G),Compat_Vetado!C:C,Q836)=1,"SI",IF(OR(SUMIF(Cotizador!E:E,Q836,Cotizador!G:G)&gt;0,SUMIFS(Compat_Vetado!D:D,Compat_Vetado!B:B,SUM(G:G),Compat_Vetado!C:C,Q836)=-1),"NO","")))</f>
        <v/>
      </c>
      <c r="T836" s="4" t="str">
        <f t="shared" si="6"/>
        <v/>
      </c>
      <c r="U836" s="4" t="str">
        <f>IFERROR(__xludf.DUMMYFUNCTION("IF(P836="""","""",IFERROR(INDEX(filter(Productos!E:E,Productos!F:F=L836,Productos!H:H=N836),P836),IF(M836=SUM(D:D),""Finalizar"",""-"")))"),"")</f>
        <v/>
      </c>
      <c r="V836" s="4" t="str">
        <f>IFERROR(__xludf.DUMMYFUNCTION("IF(OR($U836="""",COUNTIF($I:$I,IFERROR(unique(filter(Prod_Prop!$H:$H,Prod_Prop!$G:$G=$U836,Prod_Prop!$E:$E=V$1)),""Check""))=0),"""",IFERROR(unique(filter(Prod_Prop!$H:$H,Prod_Prop!$G:$G=$U836,Prod_Prop!$E:$E=V$1)),""""))"),"")</f>
        <v/>
      </c>
      <c r="W836" s="4" t="str">
        <f>IF(V836="","",SUMIFS(Prod_Prop!$J:$J,Prod_Prop!$B:$B,$Q836,Prod_Prop!$H:$H,V836,Prod_Prop!$I:$I,W$1)*IF(V836="Peso",$R836,1))</f>
        <v/>
      </c>
      <c r="X836" s="4" t="str">
        <f>IF(V836="","",SUMIFS(Prod_Prop!$J:$J,Prod_Prop!$B:$B,$Q836,Prod_Prop!$H:$H,V836,Prod_Prop!$I:$I,X$1)*IF(V836="Peso",$R836,1))</f>
        <v/>
      </c>
      <c r="Y836" s="4" t="str">
        <f>IFERROR(__xludf.DUMMYFUNCTION("IF(OR($U836="""",COUNTIF($I:$I,IFERROR(unique(filter(Prod_Prop!$H:$H,Prod_Prop!$G:$G=$U836,Prod_Prop!$E:$E=Y$1)),""Check""))=0),"""",IFERROR(unique(filter(Prod_Prop!$H:$H,Prod_Prop!$G:$G=$U836,Prod_Prop!$E:$E=Y$1)),""""))"),"")</f>
        <v/>
      </c>
      <c r="Z836" s="4" t="str">
        <f>IF(Y836="","",SUMIFS(Prod_Prop!$J:$J,Prod_Prop!$B:$B,$Q836,Prod_Prop!$H:$H,Y836,Prod_Prop!$I:$I,Z$1)*IF(Y836="Peso",$R836,1))</f>
        <v/>
      </c>
      <c r="AA836" s="4" t="str">
        <f>IF(Y836="","",SUMIFS(Prod_Prop!$J:$J,Prod_Prop!$B:$B,$Q836,Prod_Prop!$H:$H,Y836,Prod_Prop!$I:$I,AA$1)*IF(Y836="Peso",$R836,1))</f>
        <v/>
      </c>
      <c r="AB836" s="4" t="str">
        <f>IFERROR(__xludf.DUMMYFUNCTION("IF(OR($U836="""",COUNTIF($I:$I,IFERROR(unique(filter(Prod_Prop!$H:$H,Prod_Prop!$G:$G=$U836,Prod_Prop!$E:$E=AB$1)),""Check""))=0),"""",IFERROR(unique(filter(Prod_Prop!$H:$H,Prod_Prop!$G:$G=$U836,Prod_Prop!$E:$E=AB$1)),""""))"),"")</f>
        <v/>
      </c>
      <c r="AC836" s="4" t="str">
        <f>IF(AB836="","",SUMIFS(Prod_Prop!$J:$J,Prod_Prop!$B:$B,$Q836,Prod_Prop!$H:$H,AB836,Prod_Prop!$I:$I,AC$1)*IF(AB836="Peso",$R836,1))</f>
        <v/>
      </c>
      <c r="AD836" s="4" t="str">
        <f>IF(AB836="","",SUMIFS(Prod_Prop!$J:$J,Prod_Prop!$B:$B,$Q836,Prod_Prop!$H:$H,AB836,Prod_Prop!$I:$I,AD$1)*IF(AB836="Peso",$R836,1))</f>
        <v/>
      </c>
    </row>
    <row r="837">
      <c r="A837" s="4" t="str">
        <f t="array" ref="A837">IF(COUNTIF(A$1:A836,Cotizador!F$2)=maxifs(Familias!E:E,Familias!D:D,Cotizador!F$2),IF(COUNTIF(A$1:A836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7" s="4" t="str">
        <f t="shared" si="1"/>
        <v/>
      </c>
      <c r="C837" s="4" t="str">
        <f t="array" ref="C837">IF(B837="","",IF(A837=XLOOKUP(A$2,Implementos!B:B,Implementos!C:C,"",0,1),B837+maxifs(B$1:B836,A$1:A836,A$2),B837))</f>
        <v/>
      </c>
      <c r="D837" s="4" t="str">
        <f>IF(B837="","", COUNTIFS(Productos!F:F,A837,Productos!H:H,B837)+IF(F837="SI",0,1))</f>
        <v/>
      </c>
      <c r="E837" s="4" t="str">
        <f>IFERROR(__xludf.DUMMYFUNCTION("IF($B837="""","""",INDEX(filter(Familias!F:F,Familias!$D:$D=$A837,Familias!$E:$E=$B837),1))"),"")</f>
        <v/>
      </c>
      <c r="F837" s="4" t="str">
        <f>IFERROR(__xludf.DUMMYFUNCTION("IF($B837="""","""",INDEX(filter(Familias!G:G,Familias!$D:$D=$A837,Familias!$E:$E=$B837),1))"),"")</f>
        <v/>
      </c>
      <c r="G837" s="4" t="str">
        <f t="array" ref="G837">IF(C837=1,XLOOKUP(C837,Cotizador!D:D,Cotizador!E:E,"",0,1),"")</f>
        <v/>
      </c>
      <c r="I837" s="4"/>
      <c r="J837" s="8" t="str">
        <f>IF(I837="","",SUMIF(Cotizador!I$1:V$1,I837,Cotizador!I$2:V$2))</f>
        <v/>
      </c>
      <c r="L837" s="4" t="str">
        <f t="array" ref="L837">IF(COUNTIF(L$1:L836,A$2)=SUMIF(A:A,A$2,D:D),IF(COUNTIF(L$1:L836,XLOOKUP(A$2,Implementos!B:B,Implementos!C:C,"",0,1))=SUMIF(A:A,XLOOKUP(A$2,Implementos!B:B,Implementos!C:C,"",0,1),D:D),"",XLOOKUP(A$2,Implementos!B:B,Implementos!C:C,"",0,1)),A$2)</f>
        <v/>
      </c>
      <c r="M837" s="4" t="str">
        <f t="shared" si="2"/>
        <v/>
      </c>
      <c r="N837" s="4" t="str">
        <f t="shared" si="3"/>
        <v/>
      </c>
      <c r="O837" s="4" t="str">
        <f t="shared" si="4"/>
        <v/>
      </c>
      <c r="P837" s="4" t="str">
        <f t="shared" si="5"/>
        <v/>
      </c>
      <c r="Q837" s="4" t="str">
        <f>IF(U837="","",SUMIF(Productos!E:E,U837,Productos!A:A))</f>
        <v/>
      </c>
      <c r="R837" s="4" t="str">
        <f t="array" ref="R837">IF(L837="","", max(1,SUMIF(I:I,XLOOKUP(U837,Productos!E:E,Productos!G:G,"",0,1),J:J)))</f>
        <v/>
      </c>
      <c r="S837" s="4" t="str">
        <f>IF(Q837="","",IF(SUMIFS(Compat_Vetado!D:D,Compat_Vetado!B:B,SUM(G:G),Compat_Vetado!C:C,Q837)=1,"SI",IF(OR(SUMIF(Cotizador!E:E,Q837,Cotizador!G:G)&gt;0,SUMIFS(Compat_Vetado!D:D,Compat_Vetado!B:B,SUM(G:G),Compat_Vetado!C:C,Q837)=-1),"NO","")))</f>
        <v/>
      </c>
      <c r="T837" s="4" t="str">
        <f t="shared" si="6"/>
        <v/>
      </c>
      <c r="U837" s="4" t="str">
        <f>IFERROR(__xludf.DUMMYFUNCTION("IF(P837="""","""",IFERROR(INDEX(filter(Productos!E:E,Productos!F:F=L837,Productos!H:H=N837),P837),IF(M837=SUM(D:D),""Finalizar"",""-"")))"),"")</f>
        <v/>
      </c>
      <c r="V837" s="4" t="str">
        <f>IFERROR(__xludf.DUMMYFUNCTION("IF(OR($U837="""",COUNTIF($I:$I,IFERROR(unique(filter(Prod_Prop!$H:$H,Prod_Prop!$G:$G=$U837,Prod_Prop!$E:$E=V$1)),""Check""))=0),"""",IFERROR(unique(filter(Prod_Prop!$H:$H,Prod_Prop!$G:$G=$U837,Prod_Prop!$E:$E=V$1)),""""))"),"")</f>
        <v/>
      </c>
      <c r="W837" s="4" t="str">
        <f>IF(V837="","",SUMIFS(Prod_Prop!$J:$J,Prod_Prop!$B:$B,$Q837,Prod_Prop!$H:$H,V837,Prod_Prop!$I:$I,W$1)*IF(V837="Peso",$R837,1))</f>
        <v/>
      </c>
      <c r="X837" s="4" t="str">
        <f>IF(V837="","",SUMIFS(Prod_Prop!$J:$J,Prod_Prop!$B:$B,$Q837,Prod_Prop!$H:$H,V837,Prod_Prop!$I:$I,X$1)*IF(V837="Peso",$R837,1))</f>
        <v/>
      </c>
      <c r="Y837" s="4" t="str">
        <f>IFERROR(__xludf.DUMMYFUNCTION("IF(OR($U837="""",COUNTIF($I:$I,IFERROR(unique(filter(Prod_Prop!$H:$H,Prod_Prop!$G:$G=$U837,Prod_Prop!$E:$E=Y$1)),""Check""))=0),"""",IFERROR(unique(filter(Prod_Prop!$H:$H,Prod_Prop!$G:$G=$U837,Prod_Prop!$E:$E=Y$1)),""""))"),"")</f>
        <v/>
      </c>
      <c r="Z837" s="4" t="str">
        <f>IF(Y837="","",SUMIFS(Prod_Prop!$J:$J,Prod_Prop!$B:$B,$Q837,Prod_Prop!$H:$H,Y837,Prod_Prop!$I:$I,Z$1)*IF(Y837="Peso",$R837,1))</f>
        <v/>
      </c>
      <c r="AA837" s="4" t="str">
        <f>IF(Y837="","",SUMIFS(Prod_Prop!$J:$J,Prod_Prop!$B:$B,$Q837,Prod_Prop!$H:$H,Y837,Prod_Prop!$I:$I,AA$1)*IF(Y837="Peso",$R837,1))</f>
        <v/>
      </c>
      <c r="AB837" s="4" t="str">
        <f>IFERROR(__xludf.DUMMYFUNCTION("IF(OR($U837="""",COUNTIF($I:$I,IFERROR(unique(filter(Prod_Prop!$H:$H,Prod_Prop!$G:$G=$U837,Prod_Prop!$E:$E=AB$1)),""Check""))=0),"""",IFERROR(unique(filter(Prod_Prop!$H:$H,Prod_Prop!$G:$G=$U837,Prod_Prop!$E:$E=AB$1)),""""))"),"")</f>
        <v/>
      </c>
      <c r="AC837" s="4" t="str">
        <f>IF(AB837="","",SUMIFS(Prod_Prop!$J:$J,Prod_Prop!$B:$B,$Q837,Prod_Prop!$H:$H,AB837,Prod_Prop!$I:$I,AC$1)*IF(AB837="Peso",$R837,1))</f>
        <v/>
      </c>
      <c r="AD837" s="4" t="str">
        <f>IF(AB837="","",SUMIFS(Prod_Prop!$J:$J,Prod_Prop!$B:$B,$Q837,Prod_Prop!$H:$H,AB837,Prod_Prop!$I:$I,AD$1)*IF(AB837="Peso",$R837,1))</f>
        <v/>
      </c>
    </row>
    <row r="838">
      <c r="A838" s="4" t="str">
        <f t="array" ref="A838">IF(COUNTIF(A$1:A837,Cotizador!F$2)=maxifs(Familias!E:E,Familias!D:D,Cotizador!F$2),IF(COUNTIF(A$1:A837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8" s="4" t="str">
        <f t="shared" si="1"/>
        <v/>
      </c>
      <c r="C838" s="4" t="str">
        <f t="array" ref="C838">IF(B838="","",IF(A838=XLOOKUP(A$2,Implementos!B:B,Implementos!C:C,"",0,1),B838+maxifs(B$1:B837,A$1:A837,A$2),B838))</f>
        <v/>
      </c>
      <c r="D838" s="4" t="str">
        <f>IF(B838="","", COUNTIFS(Productos!F:F,A838,Productos!H:H,B838)+IF(F838="SI",0,1))</f>
        <v/>
      </c>
      <c r="E838" s="4" t="str">
        <f>IFERROR(__xludf.DUMMYFUNCTION("IF($B838="""","""",INDEX(filter(Familias!F:F,Familias!$D:$D=$A838,Familias!$E:$E=$B838),1))"),"")</f>
        <v/>
      </c>
      <c r="F838" s="4" t="str">
        <f>IFERROR(__xludf.DUMMYFUNCTION("IF($B838="""","""",INDEX(filter(Familias!G:G,Familias!$D:$D=$A838,Familias!$E:$E=$B838),1))"),"")</f>
        <v/>
      </c>
      <c r="G838" s="4" t="str">
        <f t="array" ref="G838">IF(C838=1,XLOOKUP(C838,Cotizador!D:D,Cotizador!E:E,"",0,1),"")</f>
        <v/>
      </c>
      <c r="I838" s="4"/>
      <c r="J838" s="8" t="str">
        <f>IF(I838="","",SUMIF(Cotizador!I$1:V$1,I838,Cotizador!I$2:V$2))</f>
        <v/>
      </c>
      <c r="L838" s="4" t="str">
        <f t="array" ref="L838">IF(COUNTIF(L$1:L837,A$2)=SUMIF(A:A,A$2,D:D),IF(COUNTIF(L$1:L837,XLOOKUP(A$2,Implementos!B:B,Implementos!C:C,"",0,1))=SUMIF(A:A,XLOOKUP(A$2,Implementos!B:B,Implementos!C:C,"",0,1),D:D),"",XLOOKUP(A$2,Implementos!B:B,Implementos!C:C,"",0,1)),A$2)</f>
        <v/>
      </c>
      <c r="M838" s="4" t="str">
        <f t="shared" si="2"/>
        <v/>
      </c>
      <c r="N838" s="4" t="str">
        <f t="shared" si="3"/>
        <v/>
      </c>
      <c r="O838" s="4" t="str">
        <f t="shared" si="4"/>
        <v/>
      </c>
      <c r="P838" s="4" t="str">
        <f t="shared" si="5"/>
        <v/>
      </c>
      <c r="Q838" s="4" t="str">
        <f>IF(U838="","",SUMIF(Productos!E:E,U838,Productos!A:A))</f>
        <v/>
      </c>
      <c r="R838" s="4" t="str">
        <f t="array" ref="R838">IF(L838="","", max(1,SUMIF(I:I,XLOOKUP(U838,Productos!E:E,Productos!G:G,"",0,1),J:J)))</f>
        <v/>
      </c>
      <c r="S838" s="4" t="str">
        <f>IF(Q838="","",IF(SUMIFS(Compat_Vetado!D:D,Compat_Vetado!B:B,SUM(G:G),Compat_Vetado!C:C,Q838)=1,"SI",IF(OR(SUMIF(Cotizador!E:E,Q838,Cotizador!G:G)&gt;0,SUMIFS(Compat_Vetado!D:D,Compat_Vetado!B:B,SUM(G:G),Compat_Vetado!C:C,Q838)=-1),"NO","")))</f>
        <v/>
      </c>
      <c r="T838" s="4" t="str">
        <f t="shared" si="6"/>
        <v/>
      </c>
      <c r="U838" s="4" t="str">
        <f>IFERROR(__xludf.DUMMYFUNCTION("IF(P838="""","""",IFERROR(INDEX(filter(Productos!E:E,Productos!F:F=L838,Productos!H:H=N838),P838),IF(M838=SUM(D:D),""Finalizar"",""-"")))"),"")</f>
        <v/>
      </c>
      <c r="V838" s="4" t="str">
        <f>IFERROR(__xludf.DUMMYFUNCTION("IF(OR($U838="""",COUNTIF($I:$I,IFERROR(unique(filter(Prod_Prop!$H:$H,Prod_Prop!$G:$G=$U838,Prod_Prop!$E:$E=V$1)),""Check""))=0),"""",IFERROR(unique(filter(Prod_Prop!$H:$H,Prod_Prop!$G:$G=$U838,Prod_Prop!$E:$E=V$1)),""""))"),"")</f>
        <v/>
      </c>
      <c r="W838" s="4" t="str">
        <f>IF(V838="","",SUMIFS(Prod_Prop!$J:$J,Prod_Prop!$B:$B,$Q838,Prod_Prop!$H:$H,V838,Prod_Prop!$I:$I,W$1)*IF(V838="Peso",$R838,1))</f>
        <v/>
      </c>
      <c r="X838" s="4" t="str">
        <f>IF(V838="","",SUMIFS(Prod_Prop!$J:$J,Prod_Prop!$B:$B,$Q838,Prod_Prop!$H:$H,V838,Prod_Prop!$I:$I,X$1)*IF(V838="Peso",$R838,1))</f>
        <v/>
      </c>
      <c r="Y838" s="4" t="str">
        <f>IFERROR(__xludf.DUMMYFUNCTION("IF(OR($U838="""",COUNTIF($I:$I,IFERROR(unique(filter(Prod_Prop!$H:$H,Prod_Prop!$G:$G=$U838,Prod_Prop!$E:$E=Y$1)),""Check""))=0),"""",IFERROR(unique(filter(Prod_Prop!$H:$H,Prod_Prop!$G:$G=$U838,Prod_Prop!$E:$E=Y$1)),""""))"),"")</f>
        <v/>
      </c>
      <c r="Z838" s="4" t="str">
        <f>IF(Y838="","",SUMIFS(Prod_Prop!$J:$J,Prod_Prop!$B:$B,$Q838,Prod_Prop!$H:$H,Y838,Prod_Prop!$I:$I,Z$1)*IF(Y838="Peso",$R838,1))</f>
        <v/>
      </c>
      <c r="AA838" s="4" t="str">
        <f>IF(Y838="","",SUMIFS(Prod_Prop!$J:$J,Prod_Prop!$B:$B,$Q838,Prod_Prop!$H:$H,Y838,Prod_Prop!$I:$I,AA$1)*IF(Y838="Peso",$R838,1))</f>
        <v/>
      </c>
      <c r="AB838" s="4" t="str">
        <f>IFERROR(__xludf.DUMMYFUNCTION("IF(OR($U838="""",COUNTIF($I:$I,IFERROR(unique(filter(Prod_Prop!$H:$H,Prod_Prop!$G:$G=$U838,Prod_Prop!$E:$E=AB$1)),""Check""))=0),"""",IFERROR(unique(filter(Prod_Prop!$H:$H,Prod_Prop!$G:$G=$U838,Prod_Prop!$E:$E=AB$1)),""""))"),"")</f>
        <v/>
      </c>
      <c r="AC838" s="4" t="str">
        <f>IF(AB838="","",SUMIFS(Prod_Prop!$J:$J,Prod_Prop!$B:$B,$Q838,Prod_Prop!$H:$H,AB838,Prod_Prop!$I:$I,AC$1)*IF(AB838="Peso",$R838,1))</f>
        <v/>
      </c>
      <c r="AD838" s="4" t="str">
        <f>IF(AB838="","",SUMIFS(Prod_Prop!$J:$J,Prod_Prop!$B:$B,$Q838,Prod_Prop!$H:$H,AB838,Prod_Prop!$I:$I,AD$1)*IF(AB838="Peso",$R838,1))</f>
        <v/>
      </c>
    </row>
    <row r="839">
      <c r="A839" s="4" t="str">
        <f t="array" ref="A839">IF(COUNTIF(A$1:A838,Cotizador!F$2)=maxifs(Familias!E:E,Familias!D:D,Cotizador!F$2),IF(COUNTIF(A$1:A838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39" s="4" t="str">
        <f t="shared" si="1"/>
        <v/>
      </c>
      <c r="C839" s="4" t="str">
        <f t="array" ref="C839">IF(B839="","",IF(A839=XLOOKUP(A$2,Implementos!B:B,Implementos!C:C,"",0,1),B839+maxifs(B$1:B838,A$1:A838,A$2),B839))</f>
        <v/>
      </c>
      <c r="D839" s="4" t="str">
        <f>IF(B839="","", COUNTIFS(Productos!F:F,A839,Productos!H:H,B839)+IF(F839="SI",0,1))</f>
        <v/>
      </c>
      <c r="E839" s="4" t="str">
        <f>IFERROR(__xludf.DUMMYFUNCTION("IF($B839="""","""",INDEX(filter(Familias!F:F,Familias!$D:$D=$A839,Familias!$E:$E=$B839),1))"),"")</f>
        <v/>
      </c>
      <c r="F839" s="4" t="str">
        <f>IFERROR(__xludf.DUMMYFUNCTION("IF($B839="""","""",INDEX(filter(Familias!G:G,Familias!$D:$D=$A839,Familias!$E:$E=$B839),1))"),"")</f>
        <v/>
      </c>
      <c r="G839" s="4" t="str">
        <f t="array" ref="G839">IF(C839=1,XLOOKUP(C839,Cotizador!D:D,Cotizador!E:E,"",0,1),"")</f>
        <v/>
      </c>
      <c r="I839" s="4"/>
      <c r="J839" s="8" t="str">
        <f>IF(I839="","",SUMIF(Cotizador!I$1:V$1,I839,Cotizador!I$2:V$2))</f>
        <v/>
      </c>
      <c r="L839" s="4" t="str">
        <f t="array" ref="L839">IF(COUNTIF(L$1:L838,A$2)=SUMIF(A:A,A$2,D:D),IF(COUNTIF(L$1:L838,XLOOKUP(A$2,Implementos!B:B,Implementos!C:C,"",0,1))=SUMIF(A:A,XLOOKUP(A$2,Implementos!B:B,Implementos!C:C,"",0,1),D:D),"",XLOOKUP(A$2,Implementos!B:B,Implementos!C:C,"",0,1)),A$2)</f>
        <v/>
      </c>
      <c r="M839" s="4" t="str">
        <f t="shared" si="2"/>
        <v/>
      </c>
      <c r="N839" s="4" t="str">
        <f t="shared" si="3"/>
        <v/>
      </c>
      <c r="O839" s="4" t="str">
        <f t="shared" si="4"/>
        <v/>
      </c>
      <c r="P839" s="4" t="str">
        <f t="shared" si="5"/>
        <v/>
      </c>
      <c r="Q839" s="4" t="str">
        <f>IF(U839="","",SUMIF(Productos!E:E,U839,Productos!A:A))</f>
        <v/>
      </c>
      <c r="R839" s="4" t="str">
        <f t="array" ref="R839">IF(L839="","", max(1,SUMIF(I:I,XLOOKUP(U839,Productos!E:E,Productos!G:G,"",0,1),J:J)))</f>
        <v/>
      </c>
      <c r="S839" s="4" t="str">
        <f>IF(Q839="","",IF(SUMIFS(Compat_Vetado!D:D,Compat_Vetado!B:B,SUM(G:G),Compat_Vetado!C:C,Q839)=1,"SI",IF(OR(SUMIF(Cotizador!E:E,Q839,Cotizador!G:G)&gt;0,SUMIFS(Compat_Vetado!D:D,Compat_Vetado!B:B,SUM(G:G),Compat_Vetado!C:C,Q839)=-1),"NO","")))</f>
        <v/>
      </c>
      <c r="T839" s="4" t="str">
        <f t="shared" si="6"/>
        <v/>
      </c>
      <c r="U839" s="4" t="str">
        <f>IFERROR(__xludf.DUMMYFUNCTION("IF(P839="""","""",IFERROR(INDEX(filter(Productos!E:E,Productos!F:F=L839,Productos!H:H=N839),P839),IF(M839=SUM(D:D),""Finalizar"",""-"")))"),"")</f>
        <v/>
      </c>
      <c r="V839" s="4" t="str">
        <f>IFERROR(__xludf.DUMMYFUNCTION("IF(OR($U839="""",COUNTIF($I:$I,IFERROR(unique(filter(Prod_Prop!$H:$H,Prod_Prop!$G:$G=$U839,Prod_Prop!$E:$E=V$1)),""Check""))=0),"""",IFERROR(unique(filter(Prod_Prop!$H:$H,Prod_Prop!$G:$G=$U839,Prod_Prop!$E:$E=V$1)),""""))"),"")</f>
        <v/>
      </c>
      <c r="W839" s="4" t="str">
        <f>IF(V839="","",SUMIFS(Prod_Prop!$J:$J,Prod_Prop!$B:$B,$Q839,Prod_Prop!$H:$H,V839,Prod_Prop!$I:$I,W$1)*IF(V839="Peso",$R839,1))</f>
        <v/>
      </c>
      <c r="X839" s="4" t="str">
        <f>IF(V839="","",SUMIFS(Prod_Prop!$J:$J,Prod_Prop!$B:$B,$Q839,Prod_Prop!$H:$H,V839,Prod_Prop!$I:$I,X$1)*IF(V839="Peso",$R839,1))</f>
        <v/>
      </c>
      <c r="Y839" s="4" t="str">
        <f>IFERROR(__xludf.DUMMYFUNCTION("IF(OR($U839="""",COUNTIF($I:$I,IFERROR(unique(filter(Prod_Prop!$H:$H,Prod_Prop!$G:$G=$U839,Prod_Prop!$E:$E=Y$1)),""Check""))=0),"""",IFERROR(unique(filter(Prod_Prop!$H:$H,Prod_Prop!$G:$G=$U839,Prod_Prop!$E:$E=Y$1)),""""))"),"")</f>
        <v/>
      </c>
      <c r="Z839" s="4" t="str">
        <f>IF(Y839="","",SUMIFS(Prod_Prop!$J:$J,Prod_Prop!$B:$B,$Q839,Prod_Prop!$H:$H,Y839,Prod_Prop!$I:$I,Z$1)*IF(Y839="Peso",$R839,1))</f>
        <v/>
      </c>
      <c r="AA839" s="4" t="str">
        <f>IF(Y839="","",SUMIFS(Prod_Prop!$J:$J,Prod_Prop!$B:$B,$Q839,Prod_Prop!$H:$H,Y839,Prod_Prop!$I:$I,AA$1)*IF(Y839="Peso",$R839,1))</f>
        <v/>
      </c>
      <c r="AB839" s="4" t="str">
        <f>IFERROR(__xludf.DUMMYFUNCTION("IF(OR($U839="""",COUNTIF($I:$I,IFERROR(unique(filter(Prod_Prop!$H:$H,Prod_Prop!$G:$G=$U839,Prod_Prop!$E:$E=AB$1)),""Check""))=0),"""",IFERROR(unique(filter(Prod_Prop!$H:$H,Prod_Prop!$G:$G=$U839,Prod_Prop!$E:$E=AB$1)),""""))"),"")</f>
        <v/>
      </c>
      <c r="AC839" s="4" t="str">
        <f>IF(AB839="","",SUMIFS(Prod_Prop!$J:$J,Prod_Prop!$B:$B,$Q839,Prod_Prop!$H:$H,AB839,Prod_Prop!$I:$I,AC$1)*IF(AB839="Peso",$R839,1))</f>
        <v/>
      </c>
      <c r="AD839" s="4" t="str">
        <f>IF(AB839="","",SUMIFS(Prod_Prop!$J:$J,Prod_Prop!$B:$B,$Q839,Prod_Prop!$H:$H,AB839,Prod_Prop!$I:$I,AD$1)*IF(AB839="Peso",$R839,1))</f>
        <v/>
      </c>
    </row>
    <row r="840">
      <c r="A840" s="4" t="str">
        <f t="array" ref="A840">IF(COUNTIF(A$1:A839,Cotizador!F$2)=maxifs(Familias!E:E,Familias!D:D,Cotizador!F$2),IF(COUNTIF(A$1:A839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0" s="4" t="str">
        <f t="shared" si="1"/>
        <v/>
      </c>
      <c r="C840" s="4" t="str">
        <f t="array" ref="C840">IF(B840="","",IF(A840=XLOOKUP(A$2,Implementos!B:B,Implementos!C:C,"",0,1),B840+maxifs(B$1:B839,A$1:A839,A$2),B840))</f>
        <v/>
      </c>
      <c r="D840" s="4" t="str">
        <f>IF(B840="","", COUNTIFS(Productos!F:F,A840,Productos!H:H,B840)+IF(F840="SI",0,1))</f>
        <v/>
      </c>
      <c r="E840" s="4" t="str">
        <f>IFERROR(__xludf.DUMMYFUNCTION("IF($B840="""","""",INDEX(filter(Familias!F:F,Familias!$D:$D=$A840,Familias!$E:$E=$B840),1))"),"")</f>
        <v/>
      </c>
      <c r="F840" s="4" t="str">
        <f>IFERROR(__xludf.DUMMYFUNCTION("IF($B840="""","""",INDEX(filter(Familias!G:G,Familias!$D:$D=$A840,Familias!$E:$E=$B840),1))"),"")</f>
        <v/>
      </c>
      <c r="G840" s="4" t="str">
        <f t="array" ref="G840">IF(C840=1,XLOOKUP(C840,Cotizador!D:D,Cotizador!E:E,"",0,1),"")</f>
        <v/>
      </c>
      <c r="I840" s="4"/>
      <c r="J840" s="8" t="str">
        <f>IF(I840="","",SUMIF(Cotizador!I$1:V$1,I840,Cotizador!I$2:V$2))</f>
        <v/>
      </c>
      <c r="L840" s="4" t="str">
        <f t="array" ref="L840">IF(COUNTIF(L$1:L839,A$2)=SUMIF(A:A,A$2,D:D),IF(COUNTIF(L$1:L839,XLOOKUP(A$2,Implementos!B:B,Implementos!C:C,"",0,1))=SUMIF(A:A,XLOOKUP(A$2,Implementos!B:B,Implementos!C:C,"",0,1),D:D),"",XLOOKUP(A$2,Implementos!B:B,Implementos!C:C,"",0,1)),A$2)</f>
        <v/>
      </c>
      <c r="M840" s="4" t="str">
        <f t="shared" si="2"/>
        <v/>
      </c>
      <c r="N840" s="4" t="str">
        <f t="shared" si="3"/>
        <v/>
      </c>
      <c r="O840" s="4" t="str">
        <f t="shared" si="4"/>
        <v/>
      </c>
      <c r="P840" s="4" t="str">
        <f t="shared" si="5"/>
        <v/>
      </c>
      <c r="Q840" s="4" t="str">
        <f>IF(U840="","",SUMIF(Productos!E:E,U840,Productos!A:A))</f>
        <v/>
      </c>
      <c r="R840" s="4" t="str">
        <f t="array" ref="R840">IF(L840="","", max(1,SUMIF(I:I,XLOOKUP(U840,Productos!E:E,Productos!G:G,"",0,1),J:J)))</f>
        <v/>
      </c>
      <c r="S840" s="4" t="str">
        <f>IF(Q840="","",IF(SUMIFS(Compat_Vetado!D:D,Compat_Vetado!B:B,SUM(G:G),Compat_Vetado!C:C,Q840)=1,"SI",IF(OR(SUMIF(Cotizador!E:E,Q840,Cotizador!G:G)&gt;0,SUMIFS(Compat_Vetado!D:D,Compat_Vetado!B:B,SUM(G:G),Compat_Vetado!C:C,Q840)=-1),"NO","")))</f>
        <v/>
      </c>
      <c r="T840" s="4" t="str">
        <f t="shared" si="6"/>
        <v/>
      </c>
      <c r="U840" s="4" t="str">
        <f>IFERROR(__xludf.DUMMYFUNCTION("IF(P840="""","""",IFERROR(INDEX(filter(Productos!E:E,Productos!F:F=L840,Productos!H:H=N840),P840),IF(M840=SUM(D:D),""Finalizar"",""-"")))"),"")</f>
        <v/>
      </c>
      <c r="V840" s="4" t="str">
        <f>IFERROR(__xludf.DUMMYFUNCTION("IF(OR($U840="""",COUNTIF($I:$I,IFERROR(unique(filter(Prod_Prop!$H:$H,Prod_Prop!$G:$G=$U840,Prod_Prop!$E:$E=V$1)),""Check""))=0),"""",IFERROR(unique(filter(Prod_Prop!$H:$H,Prod_Prop!$G:$G=$U840,Prod_Prop!$E:$E=V$1)),""""))"),"")</f>
        <v/>
      </c>
      <c r="W840" s="4" t="str">
        <f>IF(V840="","",SUMIFS(Prod_Prop!$J:$J,Prod_Prop!$B:$B,$Q840,Prod_Prop!$H:$H,V840,Prod_Prop!$I:$I,W$1)*IF(V840="Peso",$R840,1))</f>
        <v/>
      </c>
      <c r="X840" s="4" t="str">
        <f>IF(V840="","",SUMIFS(Prod_Prop!$J:$J,Prod_Prop!$B:$B,$Q840,Prod_Prop!$H:$H,V840,Prod_Prop!$I:$I,X$1)*IF(V840="Peso",$R840,1))</f>
        <v/>
      </c>
      <c r="Y840" s="4" t="str">
        <f>IFERROR(__xludf.DUMMYFUNCTION("IF(OR($U840="""",COUNTIF($I:$I,IFERROR(unique(filter(Prod_Prop!$H:$H,Prod_Prop!$G:$G=$U840,Prod_Prop!$E:$E=Y$1)),""Check""))=0),"""",IFERROR(unique(filter(Prod_Prop!$H:$H,Prod_Prop!$G:$G=$U840,Prod_Prop!$E:$E=Y$1)),""""))"),"")</f>
        <v/>
      </c>
      <c r="Z840" s="4" t="str">
        <f>IF(Y840="","",SUMIFS(Prod_Prop!$J:$J,Prod_Prop!$B:$B,$Q840,Prod_Prop!$H:$H,Y840,Prod_Prop!$I:$I,Z$1)*IF(Y840="Peso",$R840,1))</f>
        <v/>
      </c>
      <c r="AA840" s="4" t="str">
        <f>IF(Y840="","",SUMIFS(Prod_Prop!$J:$J,Prod_Prop!$B:$B,$Q840,Prod_Prop!$H:$H,Y840,Prod_Prop!$I:$I,AA$1)*IF(Y840="Peso",$R840,1))</f>
        <v/>
      </c>
      <c r="AB840" s="4" t="str">
        <f>IFERROR(__xludf.DUMMYFUNCTION("IF(OR($U840="""",COUNTIF($I:$I,IFERROR(unique(filter(Prod_Prop!$H:$H,Prod_Prop!$G:$G=$U840,Prod_Prop!$E:$E=AB$1)),""Check""))=0),"""",IFERROR(unique(filter(Prod_Prop!$H:$H,Prod_Prop!$G:$G=$U840,Prod_Prop!$E:$E=AB$1)),""""))"),"")</f>
        <v/>
      </c>
      <c r="AC840" s="4" t="str">
        <f>IF(AB840="","",SUMIFS(Prod_Prop!$J:$J,Prod_Prop!$B:$B,$Q840,Prod_Prop!$H:$H,AB840,Prod_Prop!$I:$I,AC$1)*IF(AB840="Peso",$R840,1))</f>
        <v/>
      </c>
      <c r="AD840" s="4" t="str">
        <f>IF(AB840="","",SUMIFS(Prod_Prop!$J:$J,Prod_Prop!$B:$B,$Q840,Prod_Prop!$H:$H,AB840,Prod_Prop!$I:$I,AD$1)*IF(AB840="Peso",$R840,1))</f>
        <v/>
      </c>
    </row>
    <row r="841">
      <c r="A841" s="4" t="str">
        <f t="array" ref="A841">IF(COUNTIF(A$1:A840,Cotizador!F$2)=maxifs(Familias!E:E,Familias!D:D,Cotizador!F$2),IF(COUNTIF(A$1:A840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1" s="4" t="str">
        <f t="shared" si="1"/>
        <v/>
      </c>
      <c r="C841" s="4" t="str">
        <f t="array" ref="C841">IF(B841="","",IF(A841=XLOOKUP(A$2,Implementos!B:B,Implementos!C:C,"",0,1),B841+maxifs(B$1:B840,A$1:A840,A$2),B841))</f>
        <v/>
      </c>
      <c r="D841" s="4" t="str">
        <f>IF(B841="","", COUNTIFS(Productos!F:F,A841,Productos!H:H,B841)+IF(F841="SI",0,1))</f>
        <v/>
      </c>
      <c r="E841" s="4" t="str">
        <f>IFERROR(__xludf.DUMMYFUNCTION("IF($B841="""","""",INDEX(filter(Familias!F:F,Familias!$D:$D=$A841,Familias!$E:$E=$B841),1))"),"")</f>
        <v/>
      </c>
      <c r="F841" s="4" t="str">
        <f>IFERROR(__xludf.DUMMYFUNCTION("IF($B841="""","""",INDEX(filter(Familias!G:G,Familias!$D:$D=$A841,Familias!$E:$E=$B841),1))"),"")</f>
        <v/>
      </c>
      <c r="G841" s="4" t="str">
        <f t="array" ref="G841">IF(C841=1,XLOOKUP(C841,Cotizador!D:D,Cotizador!E:E,"",0,1),"")</f>
        <v/>
      </c>
      <c r="I841" s="4"/>
      <c r="J841" s="8" t="str">
        <f>IF(I841="","",SUMIF(Cotizador!I$1:V$1,I841,Cotizador!I$2:V$2))</f>
        <v/>
      </c>
      <c r="L841" s="4" t="str">
        <f t="array" ref="L841">IF(COUNTIF(L$1:L840,A$2)=SUMIF(A:A,A$2,D:D),IF(COUNTIF(L$1:L840,XLOOKUP(A$2,Implementos!B:B,Implementos!C:C,"",0,1))=SUMIF(A:A,XLOOKUP(A$2,Implementos!B:B,Implementos!C:C,"",0,1),D:D),"",XLOOKUP(A$2,Implementos!B:B,Implementos!C:C,"",0,1)),A$2)</f>
        <v/>
      </c>
      <c r="M841" s="4" t="str">
        <f t="shared" si="2"/>
        <v/>
      </c>
      <c r="N841" s="4" t="str">
        <f t="shared" si="3"/>
        <v/>
      </c>
      <c r="O841" s="4" t="str">
        <f t="shared" si="4"/>
        <v/>
      </c>
      <c r="P841" s="4" t="str">
        <f t="shared" si="5"/>
        <v/>
      </c>
      <c r="Q841" s="4" t="str">
        <f>IF(U841="","",SUMIF(Productos!E:E,U841,Productos!A:A))</f>
        <v/>
      </c>
      <c r="R841" s="4" t="str">
        <f t="array" ref="R841">IF(L841="","", max(1,SUMIF(I:I,XLOOKUP(U841,Productos!E:E,Productos!G:G,"",0,1),J:J)))</f>
        <v/>
      </c>
      <c r="S841" s="4" t="str">
        <f>IF(Q841="","",IF(SUMIFS(Compat_Vetado!D:D,Compat_Vetado!B:B,SUM(G:G),Compat_Vetado!C:C,Q841)=1,"SI",IF(OR(SUMIF(Cotizador!E:E,Q841,Cotizador!G:G)&gt;0,SUMIFS(Compat_Vetado!D:D,Compat_Vetado!B:B,SUM(G:G),Compat_Vetado!C:C,Q841)=-1),"NO","")))</f>
        <v/>
      </c>
      <c r="T841" s="4" t="str">
        <f t="shared" si="6"/>
        <v/>
      </c>
      <c r="U841" s="4" t="str">
        <f>IFERROR(__xludf.DUMMYFUNCTION("IF(P841="""","""",IFERROR(INDEX(filter(Productos!E:E,Productos!F:F=L841,Productos!H:H=N841),P841),IF(M841=SUM(D:D),""Finalizar"",""-"")))"),"")</f>
        <v/>
      </c>
      <c r="V841" s="4" t="str">
        <f>IFERROR(__xludf.DUMMYFUNCTION("IF(OR($U841="""",COUNTIF($I:$I,IFERROR(unique(filter(Prod_Prop!$H:$H,Prod_Prop!$G:$G=$U841,Prod_Prop!$E:$E=V$1)),""Check""))=0),"""",IFERROR(unique(filter(Prod_Prop!$H:$H,Prod_Prop!$G:$G=$U841,Prod_Prop!$E:$E=V$1)),""""))"),"")</f>
        <v/>
      </c>
      <c r="W841" s="4" t="str">
        <f>IF(V841="","",SUMIFS(Prod_Prop!$J:$J,Prod_Prop!$B:$B,$Q841,Prod_Prop!$H:$H,V841,Prod_Prop!$I:$I,W$1)*IF(V841="Peso",$R841,1))</f>
        <v/>
      </c>
      <c r="X841" s="4" t="str">
        <f>IF(V841="","",SUMIFS(Prod_Prop!$J:$J,Prod_Prop!$B:$B,$Q841,Prod_Prop!$H:$H,V841,Prod_Prop!$I:$I,X$1)*IF(V841="Peso",$R841,1))</f>
        <v/>
      </c>
      <c r="Y841" s="4" t="str">
        <f>IFERROR(__xludf.DUMMYFUNCTION("IF(OR($U841="""",COUNTIF($I:$I,IFERROR(unique(filter(Prod_Prop!$H:$H,Prod_Prop!$G:$G=$U841,Prod_Prop!$E:$E=Y$1)),""Check""))=0),"""",IFERROR(unique(filter(Prod_Prop!$H:$H,Prod_Prop!$G:$G=$U841,Prod_Prop!$E:$E=Y$1)),""""))"),"")</f>
        <v/>
      </c>
      <c r="Z841" s="4" t="str">
        <f>IF(Y841="","",SUMIFS(Prod_Prop!$J:$J,Prod_Prop!$B:$B,$Q841,Prod_Prop!$H:$H,Y841,Prod_Prop!$I:$I,Z$1)*IF(Y841="Peso",$R841,1))</f>
        <v/>
      </c>
      <c r="AA841" s="4" t="str">
        <f>IF(Y841="","",SUMIFS(Prod_Prop!$J:$J,Prod_Prop!$B:$B,$Q841,Prod_Prop!$H:$H,Y841,Prod_Prop!$I:$I,AA$1)*IF(Y841="Peso",$R841,1))</f>
        <v/>
      </c>
      <c r="AB841" s="4" t="str">
        <f>IFERROR(__xludf.DUMMYFUNCTION("IF(OR($U841="""",COUNTIF($I:$I,IFERROR(unique(filter(Prod_Prop!$H:$H,Prod_Prop!$G:$G=$U841,Prod_Prop!$E:$E=AB$1)),""Check""))=0),"""",IFERROR(unique(filter(Prod_Prop!$H:$H,Prod_Prop!$G:$G=$U841,Prod_Prop!$E:$E=AB$1)),""""))"),"")</f>
        <v/>
      </c>
      <c r="AC841" s="4" t="str">
        <f>IF(AB841="","",SUMIFS(Prod_Prop!$J:$J,Prod_Prop!$B:$B,$Q841,Prod_Prop!$H:$H,AB841,Prod_Prop!$I:$I,AC$1)*IF(AB841="Peso",$R841,1))</f>
        <v/>
      </c>
      <c r="AD841" s="4" t="str">
        <f>IF(AB841="","",SUMIFS(Prod_Prop!$J:$J,Prod_Prop!$B:$B,$Q841,Prod_Prop!$H:$H,AB841,Prod_Prop!$I:$I,AD$1)*IF(AB841="Peso",$R841,1))</f>
        <v/>
      </c>
    </row>
    <row r="842">
      <c r="A842" s="4" t="str">
        <f t="array" ref="A842">IF(COUNTIF(A$1:A841,Cotizador!F$2)=maxifs(Familias!E:E,Familias!D:D,Cotizador!F$2),IF(COUNTIF(A$1:A841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2" s="4" t="str">
        <f t="shared" si="1"/>
        <v/>
      </c>
      <c r="C842" s="4" t="str">
        <f t="array" ref="C842">IF(B842="","",IF(A842=XLOOKUP(A$2,Implementos!B:B,Implementos!C:C,"",0,1),B842+maxifs(B$1:B841,A$1:A841,A$2),B842))</f>
        <v/>
      </c>
      <c r="D842" s="4" t="str">
        <f>IF(B842="","", COUNTIFS(Productos!F:F,A842,Productos!H:H,B842)+IF(F842="SI",0,1))</f>
        <v/>
      </c>
      <c r="E842" s="4" t="str">
        <f>IFERROR(__xludf.DUMMYFUNCTION("IF($B842="""","""",INDEX(filter(Familias!F:F,Familias!$D:$D=$A842,Familias!$E:$E=$B842),1))"),"")</f>
        <v/>
      </c>
      <c r="F842" s="4" t="str">
        <f>IFERROR(__xludf.DUMMYFUNCTION("IF($B842="""","""",INDEX(filter(Familias!G:G,Familias!$D:$D=$A842,Familias!$E:$E=$B842),1))"),"")</f>
        <v/>
      </c>
      <c r="G842" s="4" t="str">
        <f t="array" ref="G842">IF(C842=1,XLOOKUP(C842,Cotizador!D:D,Cotizador!E:E,"",0,1),"")</f>
        <v/>
      </c>
      <c r="I842" s="4"/>
      <c r="J842" s="8" t="str">
        <f>IF(I842="","",SUMIF(Cotizador!I$1:V$1,I842,Cotizador!I$2:V$2))</f>
        <v/>
      </c>
      <c r="L842" s="4" t="str">
        <f t="array" ref="L842">IF(COUNTIF(L$1:L841,A$2)=SUMIF(A:A,A$2,D:D),IF(COUNTIF(L$1:L841,XLOOKUP(A$2,Implementos!B:B,Implementos!C:C,"",0,1))=SUMIF(A:A,XLOOKUP(A$2,Implementos!B:B,Implementos!C:C,"",0,1),D:D),"",XLOOKUP(A$2,Implementos!B:B,Implementos!C:C,"",0,1)),A$2)</f>
        <v/>
      </c>
      <c r="M842" s="4" t="str">
        <f t="shared" si="2"/>
        <v/>
      </c>
      <c r="N842" s="4" t="str">
        <f t="shared" si="3"/>
        <v/>
      </c>
      <c r="O842" s="4" t="str">
        <f t="shared" si="4"/>
        <v/>
      </c>
      <c r="P842" s="4" t="str">
        <f t="shared" si="5"/>
        <v/>
      </c>
      <c r="Q842" s="4" t="str">
        <f>IF(U842="","",SUMIF(Productos!E:E,U842,Productos!A:A))</f>
        <v/>
      </c>
      <c r="R842" s="4" t="str">
        <f t="array" ref="R842">IF(L842="","", max(1,SUMIF(I:I,XLOOKUP(U842,Productos!E:E,Productos!G:G,"",0,1),J:J)))</f>
        <v/>
      </c>
      <c r="S842" s="4" t="str">
        <f>IF(Q842="","",IF(SUMIFS(Compat_Vetado!D:D,Compat_Vetado!B:B,SUM(G:G),Compat_Vetado!C:C,Q842)=1,"SI",IF(OR(SUMIF(Cotizador!E:E,Q842,Cotizador!G:G)&gt;0,SUMIFS(Compat_Vetado!D:D,Compat_Vetado!B:B,SUM(G:G),Compat_Vetado!C:C,Q842)=-1),"NO","")))</f>
        <v/>
      </c>
      <c r="T842" s="4" t="str">
        <f t="shared" si="6"/>
        <v/>
      </c>
      <c r="U842" s="4" t="str">
        <f>IFERROR(__xludf.DUMMYFUNCTION("IF(P842="""","""",IFERROR(INDEX(filter(Productos!E:E,Productos!F:F=L842,Productos!H:H=N842),P842),IF(M842=SUM(D:D),""Finalizar"",""-"")))"),"")</f>
        <v/>
      </c>
      <c r="V842" s="4" t="str">
        <f>IFERROR(__xludf.DUMMYFUNCTION("IF(OR($U842="""",COUNTIF($I:$I,IFERROR(unique(filter(Prod_Prop!$H:$H,Prod_Prop!$G:$G=$U842,Prod_Prop!$E:$E=V$1)),""Check""))=0),"""",IFERROR(unique(filter(Prod_Prop!$H:$H,Prod_Prop!$G:$G=$U842,Prod_Prop!$E:$E=V$1)),""""))"),"")</f>
        <v/>
      </c>
      <c r="W842" s="4" t="str">
        <f>IF(V842="","",SUMIFS(Prod_Prop!$J:$J,Prod_Prop!$B:$B,$Q842,Prod_Prop!$H:$H,V842,Prod_Prop!$I:$I,W$1)*IF(V842="Peso",$R842,1))</f>
        <v/>
      </c>
      <c r="X842" s="4" t="str">
        <f>IF(V842="","",SUMIFS(Prod_Prop!$J:$J,Prod_Prop!$B:$B,$Q842,Prod_Prop!$H:$H,V842,Prod_Prop!$I:$I,X$1)*IF(V842="Peso",$R842,1))</f>
        <v/>
      </c>
      <c r="Y842" s="4" t="str">
        <f>IFERROR(__xludf.DUMMYFUNCTION("IF(OR($U842="""",COUNTIF($I:$I,IFERROR(unique(filter(Prod_Prop!$H:$H,Prod_Prop!$G:$G=$U842,Prod_Prop!$E:$E=Y$1)),""Check""))=0),"""",IFERROR(unique(filter(Prod_Prop!$H:$H,Prod_Prop!$G:$G=$U842,Prod_Prop!$E:$E=Y$1)),""""))"),"")</f>
        <v/>
      </c>
      <c r="Z842" s="4" t="str">
        <f>IF(Y842="","",SUMIFS(Prod_Prop!$J:$J,Prod_Prop!$B:$B,$Q842,Prod_Prop!$H:$H,Y842,Prod_Prop!$I:$I,Z$1)*IF(Y842="Peso",$R842,1))</f>
        <v/>
      </c>
      <c r="AA842" s="4" t="str">
        <f>IF(Y842="","",SUMIFS(Prod_Prop!$J:$J,Prod_Prop!$B:$B,$Q842,Prod_Prop!$H:$H,Y842,Prod_Prop!$I:$I,AA$1)*IF(Y842="Peso",$R842,1))</f>
        <v/>
      </c>
      <c r="AB842" s="4" t="str">
        <f>IFERROR(__xludf.DUMMYFUNCTION("IF(OR($U842="""",COUNTIF($I:$I,IFERROR(unique(filter(Prod_Prop!$H:$H,Prod_Prop!$G:$G=$U842,Prod_Prop!$E:$E=AB$1)),""Check""))=0),"""",IFERROR(unique(filter(Prod_Prop!$H:$H,Prod_Prop!$G:$G=$U842,Prod_Prop!$E:$E=AB$1)),""""))"),"")</f>
        <v/>
      </c>
      <c r="AC842" s="4" t="str">
        <f>IF(AB842="","",SUMIFS(Prod_Prop!$J:$J,Prod_Prop!$B:$B,$Q842,Prod_Prop!$H:$H,AB842,Prod_Prop!$I:$I,AC$1)*IF(AB842="Peso",$R842,1))</f>
        <v/>
      </c>
      <c r="AD842" s="4" t="str">
        <f>IF(AB842="","",SUMIFS(Prod_Prop!$J:$J,Prod_Prop!$B:$B,$Q842,Prod_Prop!$H:$H,AB842,Prod_Prop!$I:$I,AD$1)*IF(AB842="Peso",$R842,1))</f>
        <v/>
      </c>
    </row>
    <row r="843">
      <c r="A843" s="4" t="str">
        <f t="array" ref="A843">IF(COUNTIF(A$1:A842,Cotizador!F$2)=maxifs(Familias!E:E,Familias!D:D,Cotizador!F$2),IF(COUNTIF(A$1:A842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3" s="4" t="str">
        <f t="shared" si="1"/>
        <v/>
      </c>
      <c r="C843" s="4" t="str">
        <f t="array" ref="C843">IF(B843="","",IF(A843=XLOOKUP(A$2,Implementos!B:B,Implementos!C:C,"",0,1),B843+maxifs(B$1:B842,A$1:A842,A$2),B843))</f>
        <v/>
      </c>
      <c r="D843" s="4" t="str">
        <f>IF(B843="","", COUNTIFS(Productos!F:F,A843,Productos!H:H,B843)+IF(F843="SI",0,1))</f>
        <v/>
      </c>
      <c r="E843" s="4" t="str">
        <f>IFERROR(__xludf.DUMMYFUNCTION("IF($B843="""","""",INDEX(filter(Familias!F:F,Familias!$D:$D=$A843,Familias!$E:$E=$B843),1))"),"")</f>
        <v/>
      </c>
      <c r="F843" s="4" t="str">
        <f>IFERROR(__xludf.DUMMYFUNCTION("IF($B843="""","""",INDEX(filter(Familias!G:G,Familias!$D:$D=$A843,Familias!$E:$E=$B843),1))"),"")</f>
        <v/>
      </c>
      <c r="G843" s="4" t="str">
        <f t="array" ref="G843">IF(C843=1,XLOOKUP(C843,Cotizador!D:D,Cotizador!E:E,"",0,1),"")</f>
        <v/>
      </c>
      <c r="I843" s="4"/>
      <c r="J843" s="8" t="str">
        <f>IF(I843="","",SUMIF(Cotizador!I$1:V$1,I843,Cotizador!I$2:V$2))</f>
        <v/>
      </c>
      <c r="L843" s="4" t="str">
        <f t="array" ref="L843">IF(COUNTIF(L$1:L842,A$2)=SUMIF(A:A,A$2,D:D),IF(COUNTIF(L$1:L842,XLOOKUP(A$2,Implementos!B:B,Implementos!C:C,"",0,1))=SUMIF(A:A,XLOOKUP(A$2,Implementos!B:B,Implementos!C:C,"",0,1),D:D),"",XLOOKUP(A$2,Implementos!B:B,Implementos!C:C,"",0,1)),A$2)</f>
        <v/>
      </c>
      <c r="M843" s="4" t="str">
        <f t="shared" si="2"/>
        <v/>
      </c>
      <c r="N843" s="4" t="str">
        <f t="shared" si="3"/>
        <v/>
      </c>
      <c r="O843" s="4" t="str">
        <f t="shared" si="4"/>
        <v/>
      </c>
      <c r="P843" s="4" t="str">
        <f t="shared" si="5"/>
        <v/>
      </c>
      <c r="Q843" s="4" t="str">
        <f>IF(U843="","",SUMIF(Productos!E:E,U843,Productos!A:A))</f>
        <v/>
      </c>
      <c r="R843" s="4" t="str">
        <f t="array" ref="R843">IF(L843="","", max(1,SUMIF(I:I,XLOOKUP(U843,Productos!E:E,Productos!G:G,"",0,1),J:J)))</f>
        <v/>
      </c>
      <c r="S843" s="4" t="str">
        <f>IF(Q843="","",IF(SUMIFS(Compat_Vetado!D:D,Compat_Vetado!B:B,SUM(G:G),Compat_Vetado!C:C,Q843)=1,"SI",IF(OR(SUMIF(Cotizador!E:E,Q843,Cotizador!G:G)&gt;0,SUMIFS(Compat_Vetado!D:D,Compat_Vetado!B:B,SUM(G:G),Compat_Vetado!C:C,Q843)=-1),"NO","")))</f>
        <v/>
      </c>
      <c r="T843" s="4" t="str">
        <f t="shared" si="6"/>
        <v/>
      </c>
      <c r="U843" s="4" t="str">
        <f>IFERROR(__xludf.DUMMYFUNCTION("IF(P843="""","""",IFERROR(INDEX(filter(Productos!E:E,Productos!F:F=L843,Productos!H:H=N843),P843),IF(M843=SUM(D:D),""Finalizar"",""-"")))"),"")</f>
        <v/>
      </c>
      <c r="V843" s="4" t="str">
        <f>IFERROR(__xludf.DUMMYFUNCTION("IF(OR($U843="""",COUNTIF($I:$I,IFERROR(unique(filter(Prod_Prop!$H:$H,Prod_Prop!$G:$G=$U843,Prod_Prop!$E:$E=V$1)),""Check""))=0),"""",IFERROR(unique(filter(Prod_Prop!$H:$H,Prod_Prop!$G:$G=$U843,Prod_Prop!$E:$E=V$1)),""""))"),"")</f>
        <v/>
      </c>
      <c r="W843" s="4" t="str">
        <f>IF(V843="","",SUMIFS(Prod_Prop!$J:$J,Prod_Prop!$B:$B,$Q843,Prod_Prop!$H:$H,V843,Prod_Prop!$I:$I,W$1)*IF(V843="Peso",$R843,1))</f>
        <v/>
      </c>
      <c r="X843" s="4" t="str">
        <f>IF(V843="","",SUMIFS(Prod_Prop!$J:$J,Prod_Prop!$B:$B,$Q843,Prod_Prop!$H:$H,V843,Prod_Prop!$I:$I,X$1)*IF(V843="Peso",$R843,1))</f>
        <v/>
      </c>
      <c r="Y843" s="4" t="str">
        <f>IFERROR(__xludf.DUMMYFUNCTION("IF(OR($U843="""",COUNTIF($I:$I,IFERROR(unique(filter(Prod_Prop!$H:$H,Prod_Prop!$G:$G=$U843,Prod_Prop!$E:$E=Y$1)),""Check""))=0),"""",IFERROR(unique(filter(Prod_Prop!$H:$H,Prod_Prop!$G:$G=$U843,Prod_Prop!$E:$E=Y$1)),""""))"),"")</f>
        <v/>
      </c>
      <c r="Z843" s="4" t="str">
        <f>IF(Y843="","",SUMIFS(Prod_Prop!$J:$J,Prod_Prop!$B:$B,$Q843,Prod_Prop!$H:$H,Y843,Prod_Prop!$I:$I,Z$1)*IF(Y843="Peso",$R843,1))</f>
        <v/>
      </c>
      <c r="AA843" s="4" t="str">
        <f>IF(Y843="","",SUMIFS(Prod_Prop!$J:$J,Prod_Prop!$B:$B,$Q843,Prod_Prop!$H:$H,Y843,Prod_Prop!$I:$I,AA$1)*IF(Y843="Peso",$R843,1))</f>
        <v/>
      </c>
      <c r="AB843" s="4" t="str">
        <f>IFERROR(__xludf.DUMMYFUNCTION("IF(OR($U843="""",COUNTIF($I:$I,IFERROR(unique(filter(Prod_Prop!$H:$H,Prod_Prop!$G:$G=$U843,Prod_Prop!$E:$E=AB$1)),""Check""))=0),"""",IFERROR(unique(filter(Prod_Prop!$H:$H,Prod_Prop!$G:$G=$U843,Prod_Prop!$E:$E=AB$1)),""""))"),"")</f>
        <v/>
      </c>
      <c r="AC843" s="4" t="str">
        <f>IF(AB843="","",SUMIFS(Prod_Prop!$J:$J,Prod_Prop!$B:$B,$Q843,Prod_Prop!$H:$H,AB843,Prod_Prop!$I:$I,AC$1)*IF(AB843="Peso",$R843,1))</f>
        <v/>
      </c>
      <c r="AD843" s="4" t="str">
        <f>IF(AB843="","",SUMIFS(Prod_Prop!$J:$J,Prod_Prop!$B:$B,$Q843,Prod_Prop!$H:$H,AB843,Prod_Prop!$I:$I,AD$1)*IF(AB843="Peso",$R843,1))</f>
        <v/>
      </c>
    </row>
    <row r="844">
      <c r="A844" s="4" t="str">
        <f t="array" ref="A844">IF(COUNTIF(A$1:A843,Cotizador!F$2)=maxifs(Familias!E:E,Familias!D:D,Cotizador!F$2),IF(COUNTIF(A$1:A843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4" s="4" t="str">
        <f t="shared" si="1"/>
        <v/>
      </c>
      <c r="C844" s="4" t="str">
        <f t="array" ref="C844">IF(B844="","",IF(A844=XLOOKUP(A$2,Implementos!B:B,Implementos!C:C,"",0,1),B844+maxifs(B$1:B843,A$1:A843,A$2),B844))</f>
        <v/>
      </c>
      <c r="D844" s="4" t="str">
        <f>IF(B844="","", COUNTIFS(Productos!F:F,A844,Productos!H:H,B844)+IF(F844="SI",0,1))</f>
        <v/>
      </c>
      <c r="E844" s="4" t="str">
        <f>IFERROR(__xludf.DUMMYFUNCTION("IF($B844="""","""",INDEX(filter(Familias!F:F,Familias!$D:$D=$A844,Familias!$E:$E=$B844),1))"),"")</f>
        <v/>
      </c>
      <c r="F844" s="4" t="str">
        <f>IFERROR(__xludf.DUMMYFUNCTION("IF($B844="""","""",INDEX(filter(Familias!G:G,Familias!$D:$D=$A844,Familias!$E:$E=$B844),1))"),"")</f>
        <v/>
      </c>
      <c r="G844" s="4" t="str">
        <f t="array" ref="G844">IF(C844=1,XLOOKUP(C844,Cotizador!D:D,Cotizador!E:E,"",0,1),"")</f>
        <v/>
      </c>
      <c r="I844" s="4"/>
      <c r="J844" s="8" t="str">
        <f>IF(I844="","",SUMIF(Cotizador!I$1:V$1,I844,Cotizador!I$2:V$2))</f>
        <v/>
      </c>
      <c r="L844" s="4" t="str">
        <f t="array" ref="L844">IF(COUNTIF(L$1:L843,A$2)=SUMIF(A:A,A$2,D:D),IF(COUNTIF(L$1:L843,XLOOKUP(A$2,Implementos!B:B,Implementos!C:C,"",0,1))=SUMIF(A:A,XLOOKUP(A$2,Implementos!B:B,Implementos!C:C,"",0,1),D:D),"",XLOOKUP(A$2,Implementos!B:B,Implementos!C:C,"",0,1)),A$2)</f>
        <v/>
      </c>
      <c r="M844" s="4" t="str">
        <f t="shared" si="2"/>
        <v/>
      </c>
      <c r="N844" s="4" t="str">
        <f t="shared" si="3"/>
        <v/>
      </c>
      <c r="O844" s="4" t="str">
        <f t="shared" si="4"/>
        <v/>
      </c>
      <c r="P844" s="4" t="str">
        <f t="shared" si="5"/>
        <v/>
      </c>
      <c r="Q844" s="4" t="str">
        <f>IF(U844="","",SUMIF(Productos!E:E,U844,Productos!A:A))</f>
        <v/>
      </c>
      <c r="R844" s="4" t="str">
        <f t="array" ref="R844">IF(L844="","", max(1,SUMIF(I:I,XLOOKUP(U844,Productos!E:E,Productos!G:G,"",0,1),J:J)))</f>
        <v/>
      </c>
      <c r="S844" s="4" t="str">
        <f>IF(Q844="","",IF(SUMIFS(Compat_Vetado!D:D,Compat_Vetado!B:B,SUM(G:G),Compat_Vetado!C:C,Q844)=1,"SI",IF(OR(SUMIF(Cotizador!E:E,Q844,Cotizador!G:G)&gt;0,SUMIFS(Compat_Vetado!D:D,Compat_Vetado!B:B,SUM(G:G),Compat_Vetado!C:C,Q844)=-1),"NO","")))</f>
        <v/>
      </c>
      <c r="T844" s="4" t="str">
        <f t="shared" si="6"/>
        <v/>
      </c>
      <c r="U844" s="4" t="str">
        <f>IFERROR(__xludf.DUMMYFUNCTION("IF(P844="""","""",IFERROR(INDEX(filter(Productos!E:E,Productos!F:F=L844,Productos!H:H=N844),P844),IF(M844=SUM(D:D),""Finalizar"",""-"")))"),"")</f>
        <v/>
      </c>
      <c r="V844" s="4" t="str">
        <f>IFERROR(__xludf.DUMMYFUNCTION("IF(OR($U844="""",COUNTIF($I:$I,IFERROR(unique(filter(Prod_Prop!$H:$H,Prod_Prop!$G:$G=$U844,Prod_Prop!$E:$E=V$1)),""Check""))=0),"""",IFERROR(unique(filter(Prod_Prop!$H:$H,Prod_Prop!$G:$G=$U844,Prod_Prop!$E:$E=V$1)),""""))"),"")</f>
        <v/>
      </c>
      <c r="W844" s="4" t="str">
        <f>IF(V844="","",SUMIFS(Prod_Prop!$J:$J,Prod_Prop!$B:$B,$Q844,Prod_Prop!$H:$H,V844,Prod_Prop!$I:$I,W$1)*IF(V844="Peso",$R844,1))</f>
        <v/>
      </c>
      <c r="X844" s="4" t="str">
        <f>IF(V844="","",SUMIFS(Prod_Prop!$J:$J,Prod_Prop!$B:$B,$Q844,Prod_Prop!$H:$H,V844,Prod_Prop!$I:$I,X$1)*IF(V844="Peso",$R844,1))</f>
        <v/>
      </c>
      <c r="Y844" s="4" t="str">
        <f>IFERROR(__xludf.DUMMYFUNCTION("IF(OR($U844="""",COUNTIF($I:$I,IFERROR(unique(filter(Prod_Prop!$H:$H,Prod_Prop!$G:$G=$U844,Prod_Prop!$E:$E=Y$1)),""Check""))=0),"""",IFERROR(unique(filter(Prod_Prop!$H:$H,Prod_Prop!$G:$G=$U844,Prod_Prop!$E:$E=Y$1)),""""))"),"")</f>
        <v/>
      </c>
      <c r="Z844" s="4" t="str">
        <f>IF(Y844="","",SUMIFS(Prod_Prop!$J:$J,Prod_Prop!$B:$B,$Q844,Prod_Prop!$H:$H,Y844,Prod_Prop!$I:$I,Z$1)*IF(Y844="Peso",$R844,1))</f>
        <v/>
      </c>
      <c r="AA844" s="4" t="str">
        <f>IF(Y844="","",SUMIFS(Prod_Prop!$J:$J,Prod_Prop!$B:$B,$Q844,Prod_Prop!$H:$H,Y844,Prod_Prop!$I:$I,AA$1)*IF(Y844="Peso",$R844,1))</f>
        <v/>
      </c>
      <c r="AB844" s="4" t="str">
        <f>IFERROR(__xludf.DUMMYFUNCTION("IF(OR($U844="""",COUNTIF($I:$I,IFERROR(unique(filter(Prod_Prop!$H:$H,Prod_Prop!$G:$G=$U844,Prod_Prop!$E:$E=AB$1)),""Check""))=0),"""",IFERROR(unique(filter(Prod_Prop!$H:$H,Prod_Prop!$G:$G=$U844,Prod_Prop!$E:$E=AB$1)),""""))"),"")</f>
        <v/>
      </c>
      <c r="AC844" s="4" t="str">
        <f>IF(AB844="","",SUMIFS(Prod_Prop!$J:$J,Prod_Prop!$B:$B,$Q844,Prod_Prop!$H:$H,AB844,Prod_Prop!$I:$I,AC$1)*IF(AB844="Peso",$R844,1))</f>
        <v/>
      </c>
      <c r="AD844" s="4" t="str">
        <f>IF(AB844="","",SUMIFS(Prod_Prop!$J:$J,Prod_Prop!$B:$B,$Q844,Prod_Prop!$H:$H,AB844,Prod_Prop!$I:$I,AD$1)*IF(AB844="Peso",$R844,1))</f>
        <v/>
      </c>
    </row>
    <row r="845">
      <c r="A845" s="4" t="str">
        <f t="array" ref="A845">IF(COUNTIF(A$1:A844,Cotizador!F$2)=maxifs(Familias!E:E,Familias!D:D,Cotizador!F$2),IF(COUNTIF(A$1:A844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5" s="4" t="str">
        <f t="shared" si="1"/>
        <v/>
      </c>
      <c r="C845" s="4" t="str">
        <f t="array" ref="C845">IF(B845="","",IF(A845=XLOOKUP(A$2,Implementos!B:B,Implementos!C:C,"",0,1),B845+maxifs(B$1:B844,A$1:A844,A$2),B845))</f>
        <v/>
      </c>
      <c r="D845" s="4" t="str">
        <f>IF(B845="","", COUNTIFS(Productos!F:F,A845,Productos!H:H,B845)+IF(F845="SI",0,1))</f>
        <v/>
      </c>
      <c r="E845" s="4" t="str">
        <f>IFERROR(__xludf.DUMMYFUNCTION("IF($B845="""","""",INDEX(filter(Familias!F:F,Familias!$D:$D=$A845,Familias!$E:$E=$B845),1))"),"")</f>
        <v/>
      </c>
      <c r="F845" s="4" t="str">
        <f>IFERROR(__xludf.DUMMYFUNCTION("IF($B845="""","""",INDEX(filter(Familias!G:G,Familias!$D:$D=$A845,Familias!$E:$E=$B845),1))"),"")</f>
        <v/>
      </c>
      <c r="G845" s="4" t="str">
        <f t="array" ref="G845">IF(C845=1,XLOOKUP(C845,Cotizador!D:D,Cotizador!E:E,"",0,1),"")</f>
        <v/>
      </c>
      <c r="I845" s="4"/>
      <c r="J845" s="8" t="str">
        <f>IF(I845="","",SUMIF(Cotizador!I$1:V$1,I845,Cotizador!I$2:V$2))</f>
        <v/>
      </c>
      <c r="L845" s="4" t="str">
        <f t="array" ref="L845">IF(COUNTIF(L$1:L844,A$2)=SUMIF(A:A,A$2,D:D),IF(COUNTIF(L$1:L844,XLOOKUP(A$2,Implementos!B:B,Implementos!C:C,"",0,1))=SUMIF(A:A,XLOOKUP(A$2,Implementos!B:B,Implementos!C:C,"",0,1),D:D),"",XLOOKUP(A$2,Implementos!B:B,Implementos!C:C,"",0,1)),A$2)</f>
        <v/>
      </c>
      <c r="M845" s="4" t="str">
        <f t="shared" si="2"/>
        <v/>
      </c>
      <c r="N845" s="4" t="str">
        <f t="shared" si="3"/>
        <v/>
      </c>
      <c r="O845" s="4" t="str">
        <f t="shared" si="4"/>
        <v/>
      </c>
      <c r="P845" s="4" t="str">
        <f t="shared" si="5"/>
        <v/>
      </c>
      <c r="Q845" s="4" t="str">
        <f>IF(U845="","",SUMIF(Productos!E:E,U845,Productos!A:A))</f>
        <v/>
      </c>
      <c r="R845" s="4" t="str">
        <f t="array" ref="R845">IF(L845="","", max(1,SUMIF(I:I,XLOOKUP(U845,Productos!E:E,Productos!G:G,"",0,1),J:J)))</f>
        <v/>
      </c>
      <c r="S845" s="4" t="str">
        <f>IF(Q845="","",IF(SUMIFS(Compat_Vetado!D:D,Compat_Vetado!B:B,SUM(G:G),Compat_Vetado!C:C,Q845)=1,"SI",IF(OR(SUMIF(Cotizador!E:E,Q845,Cotizador!G:G)&gt;0,SUMIFS(Compat_Vetado!D:D,Compat_Vetado!B:B,SUM(G:G),Compat_Vetado!C:C,Q845)=-1),"NO","")))</f>
        <v/>
      </c>
      <c r="T845" s="4" t="str">
        <f t="shared" si="6"/>
        <v/>
      </c>
      <c r="U845" s="4" t="str">
        <f>IFERROR(__xludf.DUMMYFUNCTION("IF(P845="""","""",IFERROR(INDEX(filter(Productos!E:E,Productos!F:F=L845,Productos!H:H=N845),P845),IF(M845=SUM(D:D),""Finalizar"",""-"")))"),"")</f>
        <v/>
      </c>
      <c r="V845" s="4" t="str">
        <f>IFERROR(__xludf.DUMMYFUNCTION("IF(OR($U845="""",COUNTIF($I:$I,IFERROR(unique(filter(Prod_Prop!$H:$H,Prod_Prop!$G:$G=$U845,Prod_Prop!$E:$E=V$1)),""Check""))=0),"""",IFERROR(unique(filter(Prod_Prop!$H:$H,Prod_Prop!$G:$G=$U845,Prod_Prop!$E:$E=V$1)),""""))"),"")</f>
        <v/>
      </c>
      <c r="W845" s="4" t="str">
        <f>IF(V845="","",SUMIFS(Prod_Prop!$J:$J,Prod_Prop!$B:$B,$Q845,Prod_Prop!$H:$H,V845,Prod_Prop!$I:$I,W$1)*IF(V845="Peso",$R845,1))</f>
        <v/>
      </c>
      <c r="X845" s="4" t="str">
        <f>IF(V845="","",SUMIFS(Prod_Prop!$J:$J,Prod_Prop!$B:$B,$Q845,Prod_Prop!$H:$H,V845,Prod_Prop!$I:$I,X$1)*IF(V845="Peso",$R845,1))</f>
        <v/>
      </c>
      <c r="Y845" s="4" t="str">
        <f>IFERROR(__xludf.DUMMYFUNCTION("IF(OR($U845="""",COUNTIF($I:$I,IFERROR(unique(filter(Prod_Prop!$H:$H,Prod_Prop!$G:$G=$U845,Prod_Prop!$E:$E=Y$1)),""Check""))=0),"""",IFERROR(unique(filter(Prod_Prop!$H:$H,Prod_Prop!$G:$G=$U845,Prod_Prop!$E:$E=Y$1)),""""))"),"")</f>
        <v/>
      </c>
      <c r="Z845" s="4" t="str">
        <f>IF(Y845="","",SUMIFS(Prod_Prop!$J:$J,Prod_Prop!$B:$B,$Q845,Prod_Prop!$H:$H,Y845,Prod_Prop!$I:$I,Z$1)*IF(Y845="Peso",$R845,1))</f>
        <v/>
      </c>
      <c r="AA845" s="4" t="str">
        <f>IF(Y845="","",SUMIFS(Prod_Prop!$J:$J,Prod_Prop!$B:$B,$Q845,Prod_Prop!$H:$H,Y845,Prod_Prop!$I:$I,AA$1)*IF(Y845="Peso",$R845,1))</f>
        <v/>
      </c>
      <c r="AB845" s="4" t="str">
        <f>IFERROR(__xludf.DUMMYFUNCTION("IF(OR($U845="""",COUNTIF($I:$I,IFERROR(unique(filter(Prod_Prop!$H:$H,Prod_Prop!$G:$G=$U845,Prod_Prop!$E:$E=AB$1)),""Check""))=0),"""",IFERROR(unique(filter(Prod_Prop!$H:$H,Prod_Prop!$G:$G=$U845,Prod_Prop!$E:$E=AB$1)),""""))"),"")</f>
        <v/>
      </c>
      <c r="AC845" s="4" t="str">
        <f>IF(AB845="","",SUMIFS(Prod_Prop!$J:$J,Prod_Prop!$B:$B,$Q845,Prod_Prop!$H:$H,AB845,Prod_Prop!$I:$I,AC$1)*IF(AB845="Peso",$R845,1))</f>
        <v/>
      </c>
      <c r="AD845" s="4" t="str">
        <f>IF(AB845="","",SUMIFS(Prod_Prop!$J:$J,Prod_Prop!$B:$B,$Q845,Prod_Prop!$H:$H,AB845,Prod_Prop!$I:$I,AD$1)*IF(AB845="Peso",$R845,1))</f>
        <v/>
      </c>
    </row>
    <row r="846">
      <c r="A846" s="4" t="str">
        <f t="array" ref="A846">IF(COUNTIF(A$1:A845,Cotizador!F$2)=maxifs(Familias!E:E,Familias!D:D,Cotizador!F$2),IF(COUNTIF(A$1:A845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6" s="4" t="str">
        <f t="shared" si="1"/>
        <v/>
      </c>
      <c r="C846" s="4" t="str">
        <f t="array" ref="C846">IF(B846="","",IF(A846=XLOOKUP(A$2,Implementos!B:B,Implementos!C:C,"",0,1),B846+maxifs(B$1:B845,A$1:A845,A$2),B846))</f>
        <v/>
      </c>
      <c r="D846" s="4" t="str">
        <f>IF(B846="","", COUNTIFS(Productos!F:F,A846,Productos!H:H,B846)+IF(F846="SI",0,1))</f>
        <v/>
      </c>
      <c r="E846" s="4" t="str">
        <f>IFERROR(__xludf.DUMMYFUNCTION("IF($B846="""","""",INDEX(filter(Familias!F:F,Familias!$D:$D=$A846,Familias!$E:$E=$B846),1))"),"")</f>
        <v/>
      </c>
      <c r="F846" s="4" t="str">
        <f>IFERROR(__xludf.DUMMYFUNCTION("IF($B846="""","""",INDEX(filter(Familias!G:G,Familias!$D:$D=$A846,Familias!$E:$E=$B846),1))"),"")</f>
        <v/>
      </c>
      <c r="G846" s="4" t="str">
        <f t="array" ref="G846">IF(C846=1,XLOOKUP(C846,Cotizador!D:D,Cotizador!E:E,"",0,1),"")</f>
        <v/>
      </c>
      <c r="I846" s="4"/>
      <c r="J846" s="8" t="str">
        <f>IF(I846="","",SUMIF(Cotizador!I$1:V$1,I846,Cotizador!I$2:V$2))</f>
        <v/>
      </c>
      <c r="L846" s="4" t="str">
        <f t="array" ref="L846">IF(COUNTIF(L$1:L845,A$2)=SUMIF(A:A,A$2,D:D),IF(COUNTIF(L$1:L845,XLOOKUP(A$2,Implementos!B:B,Implementos!C:C,"",0,1))=SUMIF(A:A,XLOOKUP(A$2,Implementos!B:B,Implementos!C:C,"",0,1),D:D),"",XLOOKUP(A$2,Implementos!B:B,Implementos!C:C,"",0,1)),A$2)</f>
        <v/>
      </c>
      <c r="M846" s="4" t="str">
        <f t="shared" si="2"/>
        <v/>
      </c>
      <c r="N846" s="4" t="str">
        <f t="shared" si="3"/>
        <v/>
      </c>
      <c r="O846" s="4" t="str">
        <f t="shared" si="4"/>
        <v/>
      </c>
      <c r="P846" s="4" t="str">
        <f t="shared" si="5"/>
        <v/>
      </c>
      <c r="Q846" s="4" t="str">
        <f>IF(U846="","",SUMIF(Productos!E:E,U846,Productos!A:A))</f>
        <v/>
      </c>
      <c r="R846" s="4" t="str">
        <f t="array" ref="R846">IF(L846="","", max(1,SUMIF(I:I,XLOOKUP(U846,Productos!E:E,Productos!G:G,"",0,1),J:J)))</f>
        <v/>
      </c>
      <c r="S846" s="4" t="str">
        <f>IF(Q846="","",IF(SUMIFS(Compat_Vetado!D:D,Compat_Vetado!B:B,SUM(G:G),Compat_Vetado!C:C,Q846)=1,"SI",IF(OR(SUMIF(Cotizador!E:E,Q846,Cotizador!G:G)&gt;0,SUMIFS(Compat_Vetado!D:D,Compat_Vetado!B:B,SUM(G:G),Compat_Vetado!C:C,Q846)=-1),"NO","")))</f>
        <v/>
      </c>
      <c r="T846" s="4" t="str">
        <f t="shared" si="6"/>
        <v/>
      </c>
      <c r="U846" s="4" t="str">
        <f>IFERROR(__xludf.DUMMYFUNCTION("IF(P846="""","""",IFERROR(INDEX(filter(Productos!E:E,Productos!F:F=L846,Productos!H:H=N846),P846),IF(M846=SUM(D:D),""Finalizar"",""-"")))"),"")</f>
        <v/>
      </c>
      <c r="V846" s="4" t="str">
        <f>IFERROR(__xludf.DUMMYFUNCTION("IF(OR($U846="""",COUNTIF($I:$I,IFERROR(unique(filter(Prod_Prop!$H:$H,Prod_Prop!$G:$G=$U846,Prod_Prop!$E:$E=V$1)),""Check""))=0),"""",IFERROR(unique(filter(Prod_Prop!$H:$H,Prod_Prop!$G:$G=$U846,Prod_Prop!$E:$E=V$1)),""""))"),"")</f>
        <v/>
      </c>
      <c r="W846" s="4" t="str">
        <f>IF(V846="","",SUMIFS(Prod_Prop!$J:$J,Prod_Prop!$B:$B,$Q846,Prod_Prop!$H:$H,V846,Prod_Prop!$I:$I,W$1)*IF(V846="Peso",$R846,1))</f>
        <v/>
      </c>
      <c r="X846" s="4" t="str">
        <f>IF(V846="","",SUMIFS(Prod_Prop!$J:$J,Prod_Prop!$B:$B,$Q846,Prod_Prop!$H:$H,V846,Prod_Prop!$I:$I,X$1)*IF(V846="Peso",$R846,1))</f>
        <v/>
      </c>
      <c r="Y846" s="4" t="str">
        <f>IFERROR(__xludf.DUMMYFUNCTION("IF(OR($U846="""",COUNTIF($I:$I,IFERROR(unique(filter(Prod_Prop!$H:$H,Prod_Prop!$G:$G=$U846,Prod_Prop!$E:$E=Y$1)),""Check""))=0),"""",IFERROR(unique(filter(Prod_Prop!$H:$H,Prod_Prop!$G:$G=$U846,Prod_Prop!$E:$E=Y$1)),""""))"),"")</f>
        <v/>
      </c>
      <c r="Z846" s="4" t="str">
        <f>IF(Y846="","",SUMIFS(Prod_Prop!$J:$J,Prod_Prop!$B:$B,$Q846,Prod_Prop!$H:$H,Y846,Prod_Prop!$I:$I,Z$1)*IF(Y846="Peso",$R846,1))</f>
        <v/>
      </c>
      <c r="AA846" s="4" t="str">
        <f>IF(Y846="","",SUMIFS(Prod_Prop!$J:$J,Prod_Prop!$B:$B,$Q846,Prod_Prop!$H:$H,Y846,Prod_Prop!$I:$I,AA$1)*IF(Y846="Peso",$R846,1))</f>
        <v/>
      </c>
      <c r="AB846" s="4" t="str">
        <f>IFERROR(__xludf.DUMMYFUNCTION("IF(OR($U846="""",COUNTIF($I:$I,IFERROR(unique(filter(Prod_Prop!$H:$H,Prod_Prop!$G:$G=$U846,Prod_Prop!$E:$E=AB$1)),""Check""))=0),"""",IFERROR(unique(filter(Prod_Prop!$H:$H,Prod_Prop!$G:$G=$U846,Prod_Prop!$E:$E=AB$1)),""""))"),"")</f>
        <v/>
      </c>
      <c r="AC846" s="4" t="str">
        <f>IF(AB846="","",SUMIFS(Prod_Prop!$J:$J,Prod_Prop!$B:$B,$Q846,Prod_Prop!$H:$H,AB846,Prod_Prop!$I:$I,AC$1)*IF(AB846="Peso",$R846,1))</f>
        <v/>
      </c>
      <c r="AD846" s="4" t="str">
        <f>IF(AB846="","",SUMIFS(Prod_Prop!$J:$J,Prod_Prop!$B:$B,$Q846,Prod_Prop!$H:$H,AB846,Prod_Prop!$I:$I,AD$1)*IF(AB846="Peso",$R846,1))</f>
        <v/>
      </c>
    </row>
    <row r="847">
      <c r="A847" s="4" t="str">
        <f t="array" ref="A847">IF(COUNTIF(A$1:A846,Cotizador!F$2)=maxifs(Familias!E:E,Familias!D:D,Cotizador!F$2),IF(COUNTIF(A$1:A846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7" s="4" t="str">
        <f t="shared" si="1"/>
        <v/>
      </c>
      <c r="C847" s="4" t="str">
        <f t="array" ref="C847">IF(B847="","",IF(A847=XLOOKUP(A$2,Implementos!B:B,Implementos!C:C,"",0,1),B847+maxifs(B$1:B846,A$1:A846,A$2),B847))</f>
        <v/>
      </c>
      <c r="D847" s="4" t="str">
        <f>IF(B847="","", COUNTIFS(Productos!F:F,A847,Productos!H:H,B847)+IF(F847="SI",0,1))</f>
        <v/>
      </c>
      <c r="E847" s="4" t="str">
        <f>IFERROR(__xludf.DUMMYFUNCTION("IF($B847="""","""",INDEX(filter(Familias!F:F,Familias!$D:$D=$A847,Familias!$E:$E=$B847),1))"),"")</f>
        <v/>
      </c>
      <c r="F847" s="4" t="str">
        <f>IFERROR(__xludf.DUMMYFUNCTION("IF($B847="""","""",INDEX(filter(Familias!G:G,Familias!$D:$D=$A847,Familias!$E:$E=$B847),1))"),"")</f>
        <v/>
      </c>
      <c r="G847" s="4" t="str">
        <f t="array" ref="G847">IF(C847=1,XLOOKUP(C847,Cotizador!D:D,Cotizador!E:E,"",0,1),"")</f>
        <v/>
      </c>
      <c r="I847" s="4"/>
      <c r="J847" s="8" t="str">
        <f>IF(I847="","",SUMIF(Cotizador!I$1:V$1,I847,Cotizador!I$2:V$2))</f>
        <v/>
      </c>
      <c r="L847" s="4" t="str">
        <f t="array" ref="L847">IF(COUNTIF(L$1:L846,A$2)=SUMIF(A:A,A$2,D:D),IF(COUNTIF(L$1:L846,XLOOKUP(A$2,Implementos!B:B,Implementos!C:C,"",0,1))=SUMIF(A:A,XLOOKUP(A$2,Implementos!B:B,Implementos!C:C,"",0,1),D:D),"",XLOOKUP(A$2,Implementos!B:B,Implementos!C:C,"",0,1)),A$2)</f>
        <v/>
      </c>
      <c r="M847" s="4" t="str">
        <f t="shared" si="2"/>
        <v/>
      </c>
      <c r="N847" s="4" t="str">
        <f t="shared" si="3"/>
        <v/>
      </c>
      <c r="O847" s="4" t="str">
        <f t="shared" si="4"/>
        <v/>
      </c>
      <c r="P847" s="4" t="str">
        <f t="shared" si="5"/>
        <v/>
      </c>
      <c r="Q847" s="4" t="str">
        <f>IF(U847="","",SUMIF(Productos!E:E,U847,Productos!A:A))</f>
        <v/>
      </c>
      <c r="R847" s="4" t="str">
        <f t="array" ref="R847">IF(L847="","", max(1,SUMIF(I:I,XLOOKUP(U847,Productos!E:E,Productos!G:G,"",0,1),J:J)))</f>
        <v/>
      </c>
      <c r="S847" s="4" t="str">
        <f>IF(Q847="","",IF(SUMIFS(Compat_Vetado!D:D,Compat_Vetado!B:B,SUM(G:G),Compat_Vetado!C:C,Q847)=1,"SI",IF(OR(SUMIF(Cotizador!E:E,Q847,Cotizador!G:G)&gt;0,SUMIFS(Compat_Vetado!D:D,Compat_Vetado!B:B,SUM(G:G),Compat_Vetado!C:C,Q847)=-1),"NO","")))</f>
        <v/>
      </c>
      <c r="T847" s="4" t="str">
        <f t="shared" si="6"/>
        <v/>
      </c>
      <c r="U847" s="4" t="str">
        <f>IFERROR(__xludf.DUMMYFUNCTION("IF(P847="""","""",IFERROR(INDEX(filter(Productos!E:E,Productos!F:F=L847,Productos!H:H=N847),P847),IF(M847=SUM(D:D),""Finalizar"",""-"")))"),"")</f>
        <v/>
      </c>
      <c r="V847" s="4" t="str">
        <f>IFERROR(__xludf.DUMMYFUNCTION("IF(OR($U847="""",COUNTIF($I:$I,IFERROR(unique(filter(Prod_Prop!$H:$H,Prod_Prop!$G:$G=$U847,Prod_Prop!$E:$E=V$1)),""Check""))=0),"""",IFERROR(unique(filter(Prod_Prop!$H:$H,Prod_Prop!$G:$G=$U847,Prod_Prop!$E:$E=V$1)),""""))"),"")</f>
        <v/>
      </c>
      <c r="W847" s="4" t="str">
        <f>IF(V847="","",SUMIFS(Prod_Prop!$J:$J,Prod_Prop!$B:$B,$Q847,Prod_Prop!$H:$H,V847,Prod_Prop!$I:$I,W$1)*IF(V847="Peso",$R847,1))</f>
        <v/>
      </c>
      <c r="X847" s="4" t="str">
        <f>IF(V847="","",SUMIFS(Prod_Prop!$J:$J,Prod_Prop!$B:$B,$Q847,Prod_Prop!$H:$H,V847,Prod_Prop!$I:$I,X$1)*IF(V847="Peso",$R847,1))</f>
        <v/>
      </c>
      <c r="Y847" s="4" t="str">
        <f>IFERROR(__xludf.DUMMYFUNCTION("IF(OR($U847="""",COUNTIF($I:$I,IFERROR(unique(filter(Prod_Prop!$H:$H,Prod_Prop!$G:$G=$U847,Prod_Prop!$E:$E=Y$1)),""Check""))=0),"""",IFERROR(unique(filter(Prod_Prop!$H:$H,Prod_Prop!$G:$G=$U847,Prod_Prop!$E:$E=Y$1)),""""))"),"")</f>
        <v/>
      </c>
      <c r="Z847" s="4" t="str">
        <f>IF(Y847="","",SUMIFS(Prod_Prop!$J:$J,Prod_Prop!$B:$B,$Q847,Prod_Prop!$H:$H,Y847,Prod_Prop!$I:$I,Z$1)*IF(Y847="Peso",$R847,1))</f>
        <v/>
      </c>
      <c r="AA847" s="4" t="str">
        <f>IF(Y847="","",SUMIFS(Prod_Prop!$J:$J,Prod_Prop!$B:$B,$Q847,Prod_Prop!$H:$H,Y847,Prod_Prop!$I:$I,AA$1)*IF(Y847="Peso",$R847,1))</f>
        <v/>
      </c>
      <c r="AB847" s="4" t="str">
        <f>IFERROR(__xludf.DUMMYFUNCTION("IF(OR($U847="""",COUNTIF($I:$I,IFERROR(unique(filter(Prod_Prop!$H:$H,Prod_Prop!$G:$G=$U847,Prod_Prop!$E:$E=AB$1)),""Check""))=0),"""",IFERROR(unique(filter(Prod_Prop!$H:$H,Prod_Prop!$G:$G=$U847,Prod_Prop!$E:$E=AB$1)),""""))"),"")</f>
        <v/>
      </c>
      <c r="AC847" s="4" t="str">
        <f>IF(AB847="","",SUMIFS(Prod_Prop!$J:$J,Prod_Prop!$B:$B,$Q847,Prod_Prop!$H:$H,AB847,Prod_Prop!$I:$I,AC$1)*IF(AB847="Peso",$R847,1))</f>
        <v/>
      </c>
      <c r="AD847" s="4" t="str">
        <f>IF(AB847="","",SUMIFS(Prod_Prop!$J:$J,Prod_Prop!$B:$B,$Q847,Prod_Prop!$H:$H,AB847,Prod_Prop!$I:$I,AD$1)*IF(AB847="Peso",$R847,1))</f>
        <v/>
      </c>
    </row>
    <row r="848">
      <c r="A848" s="4" t="str">
        <f t="array" ref="A848">IF(COUNTIF(A$1:A847,Cotizador!F$2)=maxifs(Familias!E:E,Familias!D:D,Cotizador!F$2),IF(COUNTIF(A$1:A847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8" s="4" t="str">
        <f t="shared" si="1"/>
        <v/>
      </c>
      <c r="C848" s="4" t="str">
        <f t="array" ref="C848">IF(B848="","",IF(A848=XLOOKUP(A$2,Implementos!B:B,Implementos!C:C,"",0,1),B848+maxifs(B$1:B847,A$1:A847,A$2),B848))</f>
        <v/>
      </c>
      <c r="D848" s="4" t="str">
        <f>IF(B848="","", COUNTIFS(Productos!F:F,A848,Productos!H:H,B848)+IF(F848="SI",0,1))</f>
        <v/>
      </c>
      <c r="E848" s="4" t="str">
        <f>IFERROR(__xludf.DUMMYFUNCTION("IF($B848="""","""",INDEX(filter(Familias!F:F,Familias!$D:$D=$A848,Familias!$E:$E=$B848),1))"),"")</f>
        <v/>
      </c>
      <c r="F848" s="4" t="str">
        <f>IFERROR(__xludf.DUMMYFUNCTION("IF($B848="""","""",INDEX(filter(Familias!G:G,Familias!$D:$D=$A848,Familias!$E:$E=$B848),1))"),"")</f>
        <v/>
      </c>
      <c r="G848" s="4" t="str">
        <f t="array" ref="G848">IF(C848=1,XLOOKUP(C848,Cotizador!D:D,Cotizador!E:E,"",0,1),"")</f>
        <v/>
      </c>
      <c r="I848" s="4"/>
      <c r="J848" s="8" t="str">
        <f>IF(I848="","",SUMIF(Cotizador!I$1:V$1,I848,Cotizador!I$2:V$2))</f>
        <v/>
      </c>
      <c r="L848" s="4" t="str">
        <f t="array" ref="L848">IF(COUNTIF(L$1:L847,A$2)=SUMIF(A:A,A$2,D:D),IF(COUNTIF(L$1:L847,XLOOKUP(A$2,Implementos!B:B,Implementos!C:C,"",0,1))=SUMIF(A:A,XLOOKUP(A$2,Implementos!B:B,Implementos!C:C,"",0,1),D:D),"",XLOOKUP(A$2,Implementos!B:B,Implementos!C:C,"",0,1)),A$2)</f>
        <v/>
      </c>
      <c r="M848" s="4" t="str">
        <f t="shared" si="2"/>
        <v/>
      </c>
      <c r="N848" s="4" t="str">
        <f t="shared" si="3"/>
        <v/>
      </c>
      <c r="O848" s="4" t="str">
        <f t="shared" si="4"/>
        <v/>
      </c>
      <c r="P848" s="4" t="str">
        <f t="shared" si="5"/>
        <v/>
      </c>
      <c r="Q848" s="4" t="str">
        <f>IF(U848="","",SUMIF(Productos!E:E,U848,Productos!A:A))</f>
        <v/>
      </c>
      <c r="R848" s="4" t="str">
        <f t="array" ref="R848">IF(L848="","", max(1,SUMIF(I:I,XLOOKUP(U848,Productos!E:E,Productos!G:G,"",0,1),J:J)))</f>
        <v/>
      </c>
      <c r="S848" s="4" t="str">
        <f>IF(Q848="","",IF(SUMIFS(Compat_Vetado!D:D,Compat_Vetado!B:B,SUM(G:G),Compat_Vetado!C:C,Q848)=1,"SI",IF(OR(SUMIF(Cotizador!E:E,Q848,Cotizador!G:G)&gt;0,SUMIFS(Compat_Vetado!D:D,Compat_Vetado!B:B,SUM(G:G),Compat_Vetado!C:C,Q848)=-1),"NO","")))</f>
        <v/>
      </c>
      <c r="T848" s="4" t="str">
        <f t="shared" si="6"/>
        <v/>
      </c>
      <c r="U848" s="4" t="str">
        <f>IFERROR(__xludf.DUMMYFUNCTION("IF(P848="""","""",IFERROR(INDEX(filter(Productos!E:E,Productos!F:F=L848,Productos!H:H=N848),P848),IF(M848=SUM(D:D),""Finalizar"",""-"")))"),"")</f>
        <v/>
      </c>
      <c r="V848" s="4" t="str">
        <f>IFERROR(__xludf.DUMMYFUNCTION("IF(OR($U848="""",COUNTIF($I:$I,IFERROR(unique(filter(Prod_Prop!$H:$H,Prod_Prop!$G:$G=$U848,Prod_Prop!$E:$E=V$1)),""Check""))=0),"""",IFERROR(unique(filter(Prod_Prop!$H:$H,Prod_Prop!$G:$G=$U848,Prod_Prop!$E:$E=V$1)),""""))"),"")</f>
        <v/>
      </c>
      <c r="W848" s="4" t="str">
        <f>IF(V848="","",SUMIFS(Prod_Prop!$J:$J,Prod_Prop!$B:$B,$Q848,Prod_Prop!$H:$H,V848,Prod_Prop!$I:$I,W$1)*IF(V848="Peso",$R848,1))</f>
        <v/>
      </c>
      <c r="X848" s="4" t="str">
        <f>IF(V848="","",SUMIFS(Prod_Prop!$J:$J,Prod_Prop!$B:$B,$Q848,Prod_Prop!$H:$H,V848,Prod_Prop!$I:$I,X$1)*IF(V848="Peso",$R848,1))</f>
        <v/>
      </c>
      <c r="Y848" s="4" t="str">
        <f>IFERROR(__xludf.DUMMYFUNCTION("IF(OR($U848="""",COUNTIF($I:$I,IFERROR(unique(filter(Prod_Prop!$H:$H,Prod_Prop!$G:$G=$U848,Prod_Prop!$E:$E=Y$1)),""Check""))=0),"""",IFERROR(unique(filter(Prod_Prop!$H:$H,Prod_Prop!$G:$G=$U848,Prod_Prop!$E:$E=Y$1)),""""))"),"")</f>
        <v/>
      </c>
      <c r="Z848" s="4" t="str">
        <f>IF(Y848="","",SUMIFS(Prod_Prop!$J:$J,Prod_Prop!$B:$B,$Q848,Prod_Prop!$H:$H,Y848,Prod_Prop!$I:$I,Z$1)*IF(Y848="Peso",$R848,1))</f>
        <v/>
      </c>
      <c r="AA848" s="4" t="str">
        <f>IF(Y848="","",SUMIFS(Prod_Prop!$J:$J,Prod_Prop!$B:$B,$Q848,Prod_Prop!$H:$H,Y848,Prod_Prop!$I:$I,AA$1)*IF(Y848="Peso",$R848,1))</f>
        <v/>
      </c>
      <c r="AB848" s="4" t="str">
        <f>IFERROR(__xludf.DUMMYFUNCTION("IF(OR($U848="""",COUNTIF($I:$I,IFERROR(unique(filter(Prod_Prop!$H:$H,Prod_Prop!$G:$G=$U848,Prod_Prop!$E:$E=AB$1)),""Check""))=0),"""",IFERROR(unique(filter(Prod_Prop!$H:$H,Prod_Prop!$G:$G=$U848,Prod_Prop!$E:$E=AB$1)),""""))"),"")</f>
        <v/>
      </c>
      <c r="AC848" s="4" t="str">
        <f>IF(AB848="","",SUMIFS(Prod_Prop!$J:$J,Prod_Prop!$B:$B,$Q848,Prod_Prop!$H:$H,AB848,Prod_Prop!$I:$I,AC$1)*IF(AB848="Peso",$R848,1))</f>
        <v/>
      </c>
      <c r="AD848" s="4" t="str">
        <f>IF(AB848="","",SUMIFS(Prod_Prop!$J:$J,Prod_Prop!$B:$B,$Q848,Prod_Prop!$H:$H,AB848,Prod_Prop!$I:$I,AD$1)*IF(AB848="Peso",$R848,1))</f>
        <v/>
      </c>
    </row>
    <row r="849">
      <c r="A849" s="4" t="str">
        <f t="array" ref="A849">IF(COUNTIF(A$1:A848,Cotizador!F$2)=maxifs(Familias!E:E,Familias!D:D,Cotizador!F$2),IF(COUNTIF(A$1:A848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49" s="4" t="str">
        <f t="shared" si="1"/>
        <v/>
      </c>
      <c r="C849" s="4" t="str">
        <f t="array" ref="C849">IF(B849="","",IF(A849=XLOOKUP(A$2,Implementos!B:B,Implementos!C:C,"",0,1),B849+maxifs(B$1:B848,A$1:A848,A$2),B849))</f>
        <v/>
      </c>
      <c r="D849" s="4" t="str">
        <f>IF(B849="","", COUNTIFS(Productos!F:F,A849,Productos!H:H,B849)+IF(F849="SI",0,1))</f>
        <v/>
      </c>
      <c r="E849" s="4" t="str">
        <f>IFERROR(__xludf.DUMMYFUNCTION("IF($B849="""","""",INDEX(filter(Familias!F:F,Familias!$D:$D=$A849,Familias!$E:$E=$B849),1))"),"")</f>
        <v/>
      </c>
      <c r="F849" s="4" t="str">
        <f>IFERROR(__xludf.DUMMYFUNCTION("IF($B849="""","""",INDEX(filter(Familias!G:G,Familias!$D:$D=$A849,Familias!$E:$E=$B849),1))"),"")</f>
        <v/>
      </c>
      <c r="G849" s="4" t="str">
        <f t="array" ref="G849">IF(C849=1,XLOOKUP(C849,Cotizador!D:D,Cotizador!E:E,"",0,1),"")</f>
        <v/>
      </c>
      <c r="I849" s="4"/>
      <c r="J849" s="8" t="str">
        <f>IF(I849="","",SUMIF(Cotizador!I$1:V$1,I849,Cotizador!I$2:V$2))</f>
        <v/>
      </c>
      <c r="L849" s="4" t="str">
        <f t="array" ref="L849">IF(COUNTIF(L$1:L848,A$2)=SUMIF(A:A,A$2,D:D),IF(COUNTIF(L$1:L848,XLOOKUP(A$2,Implementos!B:B,Implementos!C:C,"",0,1))=SUMIF(A:A,XLOOKUP(A$2,Implementos!B:B,Implementos!C:C,"",0,1),D:D),"",XLOOKUP(A$2,Implementos!B:B,Implementos!C:C,"",0,1)),A$2)</f>
        <v/>
      </c>
      <c r="M849" s="4" t="str">
        <f t="shared" si="2"/>
        <v/>
      </c>
      <c r="N849" s="4" t="str">
        <f t="shared" si="3"/>
        <v/>
      </c>
      <c r="O849" s="4" t="str">
        <f t="shared" si="4"/>
        <v/>
      </c>
      <c r="P849" s="4" t="str">
        <f t="shared" si="5"/>
        <v/>
      </c>
      <c r="Q849" s="4" t="str">
        <f>IF(U849="","",SUMIF(Productos!E:E,U849,Productos!A:A))</f>
        <v/>
      </c>
      <c r="R849" s="4" t="str">
        <f t="array" ref="R849">IF(L849="","", max(1,SUMIF(I:I,XLOOKUP(U849,Productos!E:E,Productos!G:G,"",0,1),J:J)))</f>
        <v/>
      </c>
      <c r="S849" s="4" t="str">
        <f>IF(Q849="","",IF(SUMIFS(Compat_Vetado!D:D,Compat_Vetado!B:B,SUM(G:G),Compat_Vetado!C:C,Q849)=1,"SI",IF(OR(SUMIF(Cotizador!E:E,Q849,Cotizador!G:G)&gt;0,SUMIFS(Compat_Vetado!D:D,Compat_Vetado!B:B,SUM(G:G),Compat_Vetado!C:C,Q849)=-1),"NO","")))</f>
        <v/>
      </c>
      <c r="T849" s="4" t="str">
        <f t="shared" si="6"/>
        <v/>
      </c>
      <c r="U849" s="4" t="str">
        <f>IFERROR(__xludf.DUMMYFUNCTION("IF(P849="""","""",IFERROR(INDEX(filter(Productos!E:E,Productos!F:F=L849,Productos!H:H=N849),P849),IF(M849=SUM(D:D),""Finalizar"",""-"")))"),"")</f>
        <v/>
      </c>
      <c r="V849" s="4" t="str">
        <f>IFERROR(__xludf.DUMMYFUNCTION("IF(OR($U849="""",COUNTIF($I:$I,IFERROR(unique(filter(Prod_Prop!$H:$H,Prod_Prop!$G:$G=$U849,Prod_Prop!$E:$E=V$1)),""Check""))=0),"""",IFERROR(unique(filter(Prod_Prop!$H:$H,Prod_Prop!$G:$G=$U849,Prod_Prop!$E:$E=V$1)),""""))"),"")</f>
        <v/>
      </c>
      <c r="W849" s="4" t="str">
        <f>IF(V849="","",SUMIFS(Prod_Prop!$J:$J,Prod_Prop!$B:$B,$Q849,Prod_Prop!$H:$H,V849,Prod_Prop!$I:$I,W$1)*IF(V849="Peso",$R849,1))</f>
        <v/>
      </c>
      <c r="X849" s="4" t="str">
        <f>IF(V849="","",SUMIFS(Prod_Prop!$J:$J,Prod_Prop!$B:$B,$Q849,Prod_Prop!$H:$H,V849,Prod_Prop!$I:$I,X$1)*IF(V849="Peso",$R849,1))</f>
        <v/>
      </c>
      <c r="Y849" s="4" t="str">
        <f>IFERROR(__xludf.DUMMYFUNCTION("IF(OR($U849="""",COUNTIF($I:$I,IFERROR(unique(filter(Prod_Prop!$H:$H,Prod_Prop!$G:$G=$U849,Prod_Prop!$E:$E=Y$1)),""Check""))=0),"""",IFERROR(unique(filter(Prod_Prop!$H:$H,Prod_Prop!$G:$G=$U849,Prod_Prop!$E:$E=Y$1)),""""))"),"")</f>
        <v/>
      </c>
      <c r="Z849" s="4" t="str">
        <f>IF(Y849="","",SUMIFS(Prod_Prop!$J:$J,Prod_Prop!$B:$B,$Q849,Prod_Prop!$H:$H,Y849,Prod_Prop!$I:$I,Z$1)*IF(Y849="Peso",$R849,1))</f>
        <v/>
      </c>
      <c r="AA849" s="4" t="str">
        <f>IF(Y849="","",SUMIFS(Prod_Prop!$J:$J,Prod_Prop!$B:$B,$Q849,Prod_Prop!$H:$H,Y849,Prod_Prop!$I:$I,AA$1)*IF(Y849="Peso",$R849,1))</f>
        <v/>
      </c>
      <c r="AB849" s="4" t="str">
        <f>IFERROR(__xludf.DUMMYFUNCTION("IF(OR($U849="""",COUNTIF($I:$I,IFERROR(unique(filter(Prod_Prop!$H:$H,Prod_Prop!$G:$G=$U849,Prod_Prop!$E:$E=AB$1)),""Check""))=0),"""",IFERROR(unique(filter(Prod_Prop!$H:$H,Prod_Prop!$G:$G=$U849,Prod_Prop!$E:$E=AB$1)),""""))"),"")</f>
        <v/>
      </c>
      <c r="AC849" s="4" t="str">
        <f>IF(AB849="","",SUMIFS(Prod_Prop!$J:$J,Prod_Prop!$B:$B,$Q849,Prod_Prop!$H:$H,AB849,Prod_Prop!$I:$I,AC$1)*IF(AB849="Peso",$R849,1))</f>
        <v/>
      </c>
      <c r="AD849" s="4" t="str">
        <f>IF(AB849="","",SUMIFS(Prod_Prop!$J:$J,Prod_Prop!$B:$B,$Q849,Prod_Prop!$H:$H,AB849,Prod_Prop!$I:$I,AD$1)*IF(AB849="Peso",$R849,1))</f>
        <v/>
      </c>
    </row>
    <row r="850">
      <c r="A850" s="4" t="str">
        <f t="array" ref="A850">IF(COUNTIF(A$1:A849,Cotizador!F$2)=maxifs(Familias!E:E,Familias!D:D,Cotizador!F$2),IF(COUNTIF(A$1:A849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0" s="4" t="str">
        <f t="shared" si="1"/>
        <v/>
      </c>
      <c r="C850" s="4" t="str">
        <f t="array" ref="C850">IF(B850="","",IF(A850=XLOOKUP(A$2,Implementos!B:B,Implementos!C:C,"",0,1),B850+maxifs(B$1:B849,A$1:A849,A$2),B850))</f>
        <v/>
      </c>
      <c r="D850" s="4" t="str">
        <f>IF(B850="","", COUNTIFS(Productos!F:F,A850,Productos!H:H,B850)+IF(F850="SI",0,1))</f>
        <v/>
      </c>
      <c r="E850" s="4" t="str">
        <f>IFERROR(__xludf.DUMMYFUNCTION("IF($B850="""","""",INDEX(filter(Familias!F:F,Familias!$D:$D=$A850,Familias!$E:$E=$B850),1))"),"")</f>
        <v/>
      </c>
      <c r="F850" s="4" t="str">
        <f>IFERROR(__xludf.DUMMYFUNCTION("IF($B850="""","""",INDEX(filter(Familias!G:G,Familias!$D:$D=$A850,Familias!$E:$E=$B850),1))"),"")</f>
        <v/>
      </c>
      <c r="G850" s="4" t="str">
        <f t="array" ref="G850">IF(C850=1,XLOOKUP(C850,Cotizador!D:D,Cotizador!E:E,"",0,1),"")</f>
        <v/>
      </c>
      <c r="I850" s="4"/>
      <c r="J850" s="8" t="str">
        <f>IF(I850="","",SUMIF(Cotizador!I$1:V$1,I850,Cotizador!I$2:V$2))</f>
        <v/>
      </c>
      <c r="L850" s="4" t="str">
        <f t="array" ref="L850">IF(COUNTIF(L$1:L849,A$2)=SUMIF(A:A,A$2,D:D),IF(COUNTIF(L$1:L849,XLOOKUP(A$2,Implementos!B:B,Implementos!C:C,"",0,1))=SUMIF(A:A,XLOOKUP(A$2,Implementos!B:B,Implementos!C:C,"",0,1),D:D),"",XLOOKUP(A$2,Implementos!B:B,Implementos!C:C,"",0,1)),A$2)</f>
        <v/>
      </c>
      <c r="M850" s="4" t="str">
        <f t="shared" si="2"/>
        <v/>
      </c>
      <c r="N850" s="4" t="str">
        <f t="shared" si="3"/>
        <v/>
      </c>
      <c r="O850" s="4" t="str">
        <f t="shared" si="4"/>
        <v/>
      </c>
      <c r="P850" s="4" t="str">
        <f t="shared" si="5"/>
        <v/>
      </c>
      <c r="Q850" s="4" t="str">
        <f>IF(U850="","",SUMIF(Productos!E:E,U850,Productos!A:A))</f>
        <v/>
      </c>
      <c r="R850" s="4" t="str">
        <f t="array" ref="R850">IF(L850="","", max(1,SUMIF(I:I,XLOOKUP(U850,Productos!E:E,Productos!G:G,"",0,1),J:J)))</f>
        <v/>
      </c>
      <c r="S850" s="4" t="str">
        <f>IF(Q850="","",IF(SUMIFS(Compat_Vetado!D:D,Compat_Vetado!B:B,SUM(G:G),Compat_Vetado!C:C,Q850)=1,"SI",IF(OR(SUMIF(Cotizador!E:E,Q850,Cotizador!G:G)&gt;0,SUMIFS(Compat_Vetado!D:D,Compat_Vetado!B:B,SUM(G:G),Compat_Vetado!C:C,Q850)=-1),"NO","")))</f>
        <v/>
      </c>
      <c r="T850" s="4" t="str">
        <f t="shared" si="6"/>
        <v/>
      </c>
      <c r="U850" s="4" t="str">
        <f>IFERROR(__xludf.DUMMYFUNCTION("IF(P850="""","""",IFERROR(INDEX(filter(Productos!E:E,Productos!F:F=L850,Productos!H:H=N850),P850),IF(M850=SUM(D:D),""Finalizar"",""-"")))"),"")</f>
        <v/>
      </c>
      <c r="V850" s="4" t="str">
        <f>IFERROR(__xludf.DUMMYFUNCTION("IF(OR($U850="""",COUNTIF($I:$I,IFERROR(unique(filter(Prod_Prop!$H:$H,Prod_Prop!$G:$G=$U850,Prod_Prop!$E:$E=V$1)),""Check""))=0),"""",IFERROR(unique(filter(Prod_Prop!$H:$H,Prod_Prop!$G:$G=$U850,Prod_Prop!$E:$E=V$1)),""""))"),"")</f>
        <v/>
      </c>
      <c r="W850" s="4" t="str">
        <f>IF(V850="","",SUMIFS(Prod_Prop!$J:$J,Prod_Prop!$B:$B,$Q850,Prod_Prop!$H:$H,V850,Prod_Prop!$I:$I,W$1)*IF(V850="Peso",$R850,1))</f>
        <v/>
      </c>
      <c r="X850" s="4" t="str">
        <f>IF(V850="","",SUMIFS(Prod_Prop!$J:$J,Prod_Prop!$B:$B,$Q850,Prod_Prop!$H:$H,V850,Prod_Prop!$I:$I,X$1)*IF(V850="Peso",$R850,1))</f>
        <v/>
      </c>
      <c r="Y850" s="4" t="str">
        <f>IFERROR(__xludf.DUMMYFUNCTION("IF(OR($U850="""",COUNTIF($I:$I,IFERROR(unique(filter(Prod_Prop!$H:$H,Prod_Prop!$G:$G=$U850,Prod_Prop!$E:$E=Y$1)),""Check""))=0),"""",IFERROR(unique(filter(Prod_Prop!$H:$H,Prod_Prop!$G:$G=$U850,Prod_Prop!$E:$E=Y$1)),""""))"),"")</f>
        <v/>
      </c>
      <c r="Z850" s="4" t="str">
        <f>IF(Y850="","",SUMIFS(Prod_Prop!$J:$J,Prod_Prop!$B:$B,$Q850,Prod_Prop!$H:$H,Y850,Prod_Prop!$I:$I,Z$1)*IF(Y850="Peso",$R850,1))</f>
        <v/>
      </c>
      <c r="AA850" s="4" t="str">
        <f>IF(Y850="","",SUMIFS(Prod_Prop!$J:$J,Prod_Prop!$B:$B,$Q850,Prod_Prop!$H:$H,Y850,Prod_Prop!$I:$I,AA$1)*IF(Y850="Peso",$R850,1))</f>
        <v/>
      </c>
      <c r="AB850" s="4" t="str">
        <f>IFERROR(__xludf.DUMMYFUNCTION("IF(OR($U850="""",COUNTIF($I:$I,IFERROR(unique(filter(Prod_Prop!$H:$H,Prod_Prop!$G:$G=$U850,Prod_Prop!$E:$E=AB$1)),""Check""))=0),"""",IFERROR(unique(filter(Prod_Prop!$H:$H,Prod_Prop!$G:$G=$U850,Prod_Prop!$E:$E=AB$1)),""""))"),"")</f>
        <v/>
      </c>
      <c r="AC850" s="4" t="str">
        <f>IF(AB850="","",SUMIFS(Prod_Prop!$J:$J,Prod_Prop!$B:$B,$Q850,Prod_Prop!$H:$H,AB850,Prod_Prop!$I:$I,AC$1)*IF(AB850="Peso",$R850,1))</f>
        <v/>
      </c>
      <c r="AD850" s="4" t="str">
        <f>IF(AB850="","",SUMIFS(Prod_Prop!$J:$J,Prod_Prop!$B:$B,$Q850,Prod_Prop!$H:$H,AB850,Prod_Prop!$I:$I,AD$1)*IF(AB850="Peso",$R850,1))</f>
        <v/>
      </c>
    </row>
    <row r="851">
      <c r="A851" s="4" t="str">
        <f t="array" ref="A851">IF(COUNTIF(A$1:A850,Cotizador!F$2)=maxifs(Familias!E:E,Familias!D:D,Cotizador!F$2),IF(COUNTIF(A$1:A850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1" s="4" t="str">
        <f t="shared" si="1"/>
        <v/>
      </c>
      <c r="C851" s="4" t="str">
        <f t="array" ref="C851">IF(B851="","",IF(A851=XLOOKUP(A$2,Implementos!B:B,Implementos!C:C,"",0,1),B851+maxifs(B$1:B850,A$1:A850,A$2),B851))</f>
        <v/>
      </c>
      <c r="D851" s="4" t="str">
        <f>IF(B851="","", COUNTIFS(Productos!F:F,A851,Productos!H:H,B851)+IF(F851="SI",0,1))</f>
        <v/>
      </c>
      <c r="E851" s="4" t="str">
        <f>IFERROR(__xludf.DUMMYFUNCTION("IF($B851="""","""",INDEX(filter(Familias!F:F,Familias!$D:$D=$A851,Familias!$E:$E=$B851),1))"),"")</f>
        <v/>
      </c>
      <c r="F851" s="4" t="str">
        <f>IFERROR(__xludf.DUMMYFUNCTION("IF($B851="""","""",INDEX(filter(Familias!G:G,Familias!$D:$D=$A851,Familias!$E:$E=$B851),1))"),"")</f>
        <v/>
      </c>
      <c r="G851" s="4" t="str">
        <f t="array" ref="G851">IF(C851=1,XLOOKUP(C851,Cotizador!D:D,Cotizador!E:E,"",0,1),"")</f>
        <v/>
      </c>
      <c r="I851" s="4"/>
      <c r="J851" s="8" t="str">
        <f>IF(I851="","",SUMIF(Cotizador!I$1:V$1,I851,Cotizador!I$2:V$2))</f>
        <v/>
      </c>
      <c r="L851" s="4" t="str">
        <f t="array" ref="L851">IF(COUNTIF(L$1:L850,A$2)=SUMIF(A:A,A$2,D:D),IF(COUNTIF(L$1:L850,XLOOKUP(A$2,Implementos!B:B,Implementos!C:C,"",0,1))=SUMIF(A:A,XLOOKUP(A$2,Implementos!B:B,Implementos!C:C,"",0,1),D:D),"",XLOOKUP(A$2,Implementos!B:B,Implementos!C:C,"",0,1)),A$2)</f>
        <v/>
      </c>
      <c r="M851" s="4" t="str">
        <f t="shared" si="2"/>
        <v/>
      </c>
      <c r="N851" s="4" t="str">
        <f t="shared" si="3"/>
        <v/>
      </c>
      <c r="O851" s="4" t="str">
        <f t="shared" si="4"/>
        <v/>
      </c>
      <c r="P851" s="4" t="str">
        <f t="shared" si="5"/>
        <v/>
      </c>
      <c r="Q851" s="4" t="str">
        <f>IF(U851="","",SUMIF(Productos!E:E,U851,Productos!A:A))</f>
        <v/>
      </c>
      <c r="R851" s="4" t="str">
        <f t="array" ref="R851">IF(L851="","", max(1,SUMIF(I:I,XLOOKUP(U851,Productos!E:E,Productos!G:G,"",0,1),J:J)))</f>
        <v/>
      </c>
      <c r="S851" s="4" t="str">
        <f>IF(Q851="","",IF(SUMIFS(Compat_Vetado!D:D,Compat_Vetado!B:B,SUM(G:G),Compat_Vetado!C:C,Q851)=1,"SI",IF(OR(SUMIF(Cotizador!E:E,Q851,Cotizador!G:G)&gt;0,SUMIFS(Compat_Vetado!D:D,Compat_Vetado!B:B,SUM(G:G),Compat_Vetado!C:C,Q851)=-1),"NO","")))</f>
        <v/>
      </c>
      <c r="T851" s="4" t="str">
        <f t="shared" si="6"/>
        <v/>
      </c>
      <c r="U851" s="4" t="str">
        <f>IFERROR(__xludf.DUMMYFUNCTION("IF(P851="""","""",IFERROR(INDEX(filter(Productos!E:E,Productos!F:F=L851,Productos!H:H=N851),P851),IF(M851=SUM(D:D),""Finalizar"",""-"")))"),"")</f>
        <v/>
      </c>
      <c r="V851" s="4" t="str">
        <f>IFERROR(__xludf.DUMMYFUNCTION("IF(OR($U851="""",COUNTIF($I:$I,IFERROR(unique(filter(Prod_Prop!$H:$H,Prod_Prop!$G:$G=$U851,Prod_Prop!$E:$E=V$1)),""Check""))=0),"""",IFERROR(unique(filter(Prod_Prop!$H:$H,Prod_Prop!$G:$G=$U851,Prod_Prop!$E:$E=V$1)),""""))"),"")</f>
        <v/>
      </c>
      <c r="W851" s="4" t="str">
        <f>IF(V851="","",SUMIFS(Prod_Prop!$J:$J,Prod_Prop!$B:$B,$Q851,Prod_Prop!$H:$H,V851,Prod_Prop!$I:$I,W$1)*IF(V851="Peso",$R851,1))</f>
        <v/>
      </c>
      <c r="X851" s="4" t="str">
        <f>IF(V851="","",SUMIFS(Prod_Prop!$J:$J,Prod_Prop!$B:$B,$Q851,Prod_Prop!$H:$H,V851,Prod_Prop!$I:$I,X$1)*IF(V851="Peso",$R851,1))</f>
        <v/>
      </c>
      <c r="Y851" s="4" t="str">
        <f>IFERROR(__xludf.DUMMYFUNCTION("IF(OR($U851="""",COUNTIF($I:$I,IFERROR(unique(filter(Prod_Prop!$H:$H,Prod_Prop!$G:$G=$U851,Prod_Prop!$E:$E=Y$1)),""Check""))=0),"""",IFERROR(unique(filter(Prod_Prop!$H:$H,Prod_Prop!$G:$G=$U851,Prod_Prop!$E:$E=Y$1)),""""))"),"")</f>
        <v/>
      </c>
      <c r="Z851" s="4" t="str">
        <f>IF(Y851="","",SUMIFS(Prod_Prop!$J:$J,Prod_Prop!$B:$B,$Q851,Prod_Prop!$H:$H,Y851,Prod_Prop!$I:$I,Z$1)*IF(Y851="Peso",$R851,1))</f>
        <v/>
      </c>
      <c r="AA851" s="4" t="str">
        <f>IF(Y851="","",SUMIFS(Prod_Prop!$J:$J,Prod_Prop!$B:$B,$Q851,Prod_Prop!$H:$H,Y851,Prod_Prop!$I:$I,AA$1)*IF(Y851="Peso",$R851,1))</f>
        <v/>
      </c>
      <c r="AB851" s="4" t="str">
        <f>IFERROR(__xludf.DUMMYFUNCTION("IF(OR($U851="""",COUNTIF($I:$I,IFERROR(unique(filter(Prod_Prop!$H:$H,Prod_Prop!$G:$G=$U851,Prod_Prop!$E:$E=AB$1)),""Check""))=0),"""",IFERROR(unique(filter(Prod_Prop!$H:$H,Prod_Prop!$G:$G=$U851,Prod_Prop!$E:$E=AB$1)),""""))"),"")</f>
        <v/>
      </c>
      <c r="AC851" s="4" t="str">
        <f>IF(AB851="","",SUMIFS(Prod_Prop!$J:$J,Prod_Prop!$B:$B,$Q851,Prod_Prop!$H:$H,AB851,Prod_Prop!$I:$I,AC$1)*IF(AB851="Peso",$R851,1))</f>
        <v/>
      </c>
      <c r="AD851" s="4" t="str">
        <f>IF(AB851="","",SUMIFS(Prod_Prop!$J:$J,Prod_Prop!$B:$B,$Q851,Prod_Prop!$H:$H,AB851,Prod_Prop!$I:$I,AD$1)*IF(AB851="Peso",$R851,1))</f>
        <v/>
      </c>
    </row>
    <row r="852">
      <c r="A852" s="4" t="str">
        <f t="array" ref="A852">IF(COUNTIF(A$1:A851,Cotizador!F$2)=maxifs(Familias!E:E,Familias!D:D,Cotizador!F$2),IF(COUNTIF(A$1:A851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2" s="4" t="str">
        <f t="shared" si="1"/>
        <v/>
      </c>
      <c r="C852" s="4" t="str">
        <f t="array" ref="C852">IF(B852="","",IF(A852=XLOOKUP(A$2,Implementos!B:B,Implementos!C:C,"",0,1),B852+maxifs(B$1:B851,A$1:A851,A$2),B852))</f>
        <v/>
      </c>
      <c r="D852" s="4" t="str">
        <f>IF(B852="","", COUNTIFS(Productos!F:F,A852,Productos!H:H,B852)+IF(F852="SI",0,1))</f>
        <v/>
      </c>
      <c r="E852" s="4" t="str">
        <f>IFERROR(__xludf.DUMMYFUNCTION("IF($B852="""","""",INDEX(filter(Familias!F:F,Familias!$D:$D=$A852,Familias!$E:$E=$B852),1))"),"")</f>
        <v/>
      </c>
      <c r="F852" s="4" t="str">
        <f>IFERROR(__xludf.DUMMYFUNCTION("IF($B852="""","""",INDEX(filter(Familias!G:G,Familias!$D:$D=$A852,Familias!$E:$E=$B852),1))"),"")</f>
        <v/>
      </c>
      <c r="G852" s="4" t="str">
        <f t="array" ref="G852">IF(C852=1,XLOOKUP(C852,Cotizador!D:D,Cotizador!E:E,"",0,1),"")</f>
        <v/>
      </c>
      <c r="I852" s="4"/>
      <c r="J852" s="8" t="str">
        <f>IF(I852="","",SUMIF(Cotizador!I$1:V$1,I852,Cotizador!I$2:V$2))</f>
        <v/>
      </c>
      <c r="L852" s="4" t="str">
        <f t="array" ref="L852">IF(COUNTIF(L$1:L851,A$2)=SUMIF(A:A,A$2,D:D),IF(COUNTIF(L$1:L851,XLOOKUP(A$2,Implementos!B:B,Implementos!C:C,"",0,1))=SUMIF(A:A,XLOOKUP(A$2,Implementos!B:B,Implementos!C:C,"",0,1),D:D),"",XLOOKUP(A$2,Implementos!B:B,Implementos!C:C,"",0,1)),A$2)</f>
        <v/>
      </c>
      <c r="M852" s="4" t="str">
        <f t="shared" si="2"/>
        <v/>
      </c>
      <c r="N852" s="4" t="str">
        <f t="shared" si="3"/>
        <v/>
      </c>
      <c r="O852" s="4" t="str">
        <f t="shared" si="4"/>
        <v/>
      </c>
      <c r="P852" s="4" t="str">
        <f t="shared" si="5"/>
        <v/>
      </c>
      <c r="Q852" s="4" t="str">
        <f>IF(U852="","",SUMIF(Productos!E:E,U852,Productos!A:A))</f>
        <v/>
      </c>
      <c r="R852" s="4" t="str">
        <f t="array" ref="R852">IF(L852="","", max(1,SUMIF(I:I,XLOOKUP(U852,Productos!E:E,Productos!G:G,"",0,1),J:J)))</f>
        <v/>
      </c>
      <c r="S852" s="4" t="str">
        <f>IF(Q852="","",IF(SUMIFS(Compat_Vetado!D:D,Compat_Vetado!B:B,SUM(G:G),Compat_Vetado!C:C,Q852)=1,"SI",IF(OR(SUMIF(Cotizador!E:E,Q852,Cotizador!G:G)&gt;0,SUMIFS(Compat_Vetado!D:D,Compat_Vetado!B:B,SUM(G:G),Compat_Vetado!C:C,Q852)=-1),"NO","")))</f>
        <v/>
      </c>
      <c r="T852" s="4" t="str">
        <f t="shared" si="6"/>
        <v/>
      </c>
      <c r="U852" s="4" t="str">
        <f>IFERROR(__xludf.DUMMYFUNCTION("IF(P852="""","""",IFERROR(INDEX(filter(Productos!E:E,Productos!F:F=L852,Productos!H:H=N852),P852),IF(M852=SUM(D:D),""Finalizar"",""-"")))"),"")</f>
        <v/>
      </c>
      <c r="V852" s="4" t="str">
        <f>IFERROR(__xludf.DUMMYFUNCTION("IF(OR($U852="""",COUNTIF($I:$I,IFERROR(unique(filter(Prod_Prop!$H:$H,Prod_Prop!$G:$G=$U852,Prod_Prop!$E:$E=V$1)),""Check""))=0),"""",IFERROR(unique(filter(Prod_Prop!$H:$H,Prod_Prop!$G:$G=$U852,Prod_Prop!$E:$E=V$1)),""""))"),"")</f>
        <v/>
      </c>
      <c r="W852" s="4" t="str">
        <f>IF(V852="","",SUMIFS(Prod_Prop!$J:$J,Prod_Prop!$B:$B,$Q852,Prod_Prop!$H:$H,V852,Prod_Prop!$I:$I,W$1)*IF(V852="Peso",$R852,1))</f>
        <v/>
      </c>
      <c r="X852" s="4" t="str">
        <f>IF(V852="","",SUMIFS(Prod_Prop!$J:$J,Prod_Prop!$B:$B,$Q852,Prod_Prop!$H:$H,V852,Prod_Prop!$I:$I,X$1)*IF(V852="Peso",$R852,1))</f>
        <v/>
      </c>
      <c r="Y852" s="4" t="str">
        <f>IFERROR(__xludf.DUMMYFUNCTION("IF(OR($U852="""",COUNTIF($I:$I,IFERROR(unique(filter(Prod_Prop!$H:$H,Prod_Prop!$G:$G=$U852,Prod_Prop!$E:$E=Y$1)),""Check""))=0),"""",IFERROR(unique(filter(Prod_Prop!$H:$H,Prod_Prop!$G:$G=$U852,Prod_Prop!$E:$E=Y$1)),""""))"),"")</f>
        <v/>
      </c>
      <c r="Z852" s="4" t="str">
        <f>IF(Y852="","",SUMIFS(Prod_Prop!$J:$J,Prod_Prop!$B:$B,$Q852,Prod_Prop!$H:$H,Y852,Prod_Prop!$I:$I,Z$1)*IF(Y852="Peso",$R852,1))</f>
        <v/>
      </c>
      <c r="AA852" s="4" t="str">
        <f>IF(Y852="","",SUMIFS(Prod_Prop!$J:$J,Prod_Prop!$B:$B,$Q852,Prod_Prop!$H:$H,Y852,Prod_Prop!$I:$I,AA$1)*IF(Y852="Peso",$R852,1))</f>
        <v/>
      </c>
      <c r="AB852" s="4" t="str">
        <f>IFERROR(__xludf.DUMMYFUNCTION("IF(OR($U852="""",COUNTIF($I:$I,IFERROR(unique(filter(Prod_Prop!$H:$H,Prod_Prop!$G:$G=$U852,Prod_Prop!$E:$E=AB$1)),""Check""))=0),"""",IFERROR(unique(filter(Prod_Prop!$H:$H,Prod_Prop!$G:$G=$U852,Prod_Prop!$E:$E=AB$1)),""""))"),"")</f>
        <v/>
      </c>
      <c r="AC852" s="4" t="str">
        <f>IF(AB852="","",SUMIFS(Prod_Prop!$J:$J,Prod_Prop!$B:$B,$Q852,Prod_Prop!$H:$H,AB852,Prod_Prop!$I:$I,AC$1)*IF(AB852="Peso",$R852,1))</f>
        <v/>
      </c>
      <c r="AD852" s="4" t="str">
        <f>IF(AB852="","",SUMIFS(Prod_Prop!$J:$J,Prod_Prop!$B:$B,$Q852,Prod_Prop!$H:$H,AB852,Prod_Prop!$I:$I,AD$1)*IF(AB852="Peso",$R852,1))</f>
        <v/>
      </c>
    </row>
    <row r="853">
      <c r="A853" s="4" t="str">
        <f t="array" ref="A853">IF(COUNTIF(A$1:A852,Cotizador!F$2)=maxifs(Familias!E:E,Familias!D:D,Cotizador!F$2),IF(COUNTIF(A$1:A852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3" s="4" t="str">
        <f t="shared" si="1"/>
        <v/>
      </c>
      <c r="C853" s="4" t="str">
        <f t="array" ref="C853">IF(B853="","",IF(A853=XLOOKUP(A$2,Implementos!B:B,Implementos!C:C,"",0,1),B853+maxifs(B$1:B852,A$1:A852,A$2),B853))</f>
        <v/>
      </c>
      <c r="D853" s="4" t="str">
        <f>IF(B853="","", COUNTIFS(Productos!F:F,A853,Productos!H:H,B853)+IF(F853="SI",0,1))</f>
        <v/>
      </c>
      <c r="E853" s="4" t="str">
        <f>IFERROR(__xludf.DUMMYFUNCTION("IF($B853="""","""",INDEX(filter(Familias!F:F,Familias!$D:$D=$A853,Familias!$E:$E=$B853),1))"),"")</f>
        <v/>
      </c>
      <c r="F853" s="4" t="str">
        <f>IFERROR(__xludf.DUMMYFUNCTION("IF($B853="""","""",INDEX(filter(Familias!G:G,Familias!$D:$D=$A853,Familias!$E:$E=$B853),1))"),"")</f>
        <v/>
      </c>
      <c r="G853" s="4" t="str">
        <f t="array" ref="G853">IF(C853=1,XLOOKUP(C853,Cotizador!D:D,Cotizador!E:E,"",0,1),"")</f>
        <v/>
      </c>
      <c r="I853" s="4"/>
      <c r="J853" s="8" t="str">
        <f>IF(I853="","",SUMIF(Cotizador!I$1:V$1,I853,Cotizador!I$2:V$2))</f>
        <v/>
      </c>
      <c r="L853" s="4" t="str">
        <f t="array" ref="L853">IF(COUNTIF(L$1:L852,A$2)=SUMIF(A:A,A$2,D:D),IF(COUNTIF(L$1:L852,XLOOKUP(A$2,Implementos!B:B,Implementos!C:C,"",0,1))=SUMIF(A:A,XLOOKUP(A$2,Implementos!B:B,Implementos!C:C,"",0,1),D:D),"",XLOOKUP(A$2,Implementos!B:B,Implementos!C:C,"",0,1)),A$2)</f>
        <v/>
      </c>
      <c r="M853" s="4" t="str">
        <f t="shared" si="2"/>
        <v/>
      </c>
      <c r="N853" s="4" t="str">
        <f t="shared" si="3"/>
        <v/>
      </c>
      <c r="O853" s="4" t="str">
        <f t="shared" si="4"/>
        <v/>
      </c>
      <c r="P853" s="4" t="str">
        <f t="shared" si="5"/>
        <v/>
      </c>
      <c r="Q853" s="4" t="str">
        <f>IF(U853="","",SUMIF(Productos!E:E,U853,Productos!A:A))</f>
        <v/>
      </c>
      <c r="R853" s="4" t="str">
        <f t="array" ref="R853">IF(L853="","", max(1,SUMIF(I:I,XLOOKUP(U853,Productos!E:E,Productos!G:G,"",0,1),J:J)))</f>
        <v/>
      </c>
      <c r="S853" s="4" t="str">
        <f>IF(Q853="","",IF(SUMIFS(Compat_Vetado!D:D,Compat_Vetado!B:B,SUM(G:G),Compat_Vetado!C:C,Q853)=1,"SI",IF(OR(SUMIF(Cotizador!E:E,Q853,Cotizador!G:G)&gt;0,SUMIFS(Compat_Vetado!D:D,Compat_Vetado!B:B,SUM(G:G),Compat_Vetado!C:C,Q853)=-1),"NO","")))</f>
        <v/>
      </c>
      <c r="T853" s="4" t="str">
        <f t="shared" si="6"/>
        <v/>
      </c>
      <c r="U853" s="4" t="str">
        <f>IFERROR(__xludf.DUMMYFUNCTION("IF(P853="""","""",IFERROR(INDEX(filter(Productos!E:E,Productos!F:F=L853,Productos!H:H=N853),P853),IF(M853=SUM(D:D),""Finalizar"",""-"")))"),"")</f>
        <v/>
      </c>
      <c r="V853" s="4" t="str">
        <f>IFERROR(__xludf.DUMMYFUNCTION("IF(OR($U853="""",COUNTIF($I:$I,IFERROR(unique(filter(Prod_Prop!$H:$H,Prod_Prop!$G:$G=$U853,Prod_Prop!$E:$E=V$1)),""Check""))=0),"""",IFERROR(unique(filter(Prod_Prop!$H:$H,Prod_Prop!$G:$G=$U853,Prod_Prop!$E:$E=V$1)),""""))"),"")</f>
        <v/>
      </c>
      <c r="W853" s="4" t="str">
        <f>IF(V853="","",SUMIFS(Prod_Prop!$J:$J,Prod_Prop!$B:$B,$Q853,Prod_Prop!$H:$H,V853,Prod_Prop!$I:$I,W$1)*IF(V853="Peso",$R853,1))</f>
        <v/>
      </c>
      <c r="X853" s="4" t="str">
        <f>IF(V853="","",SUMIFS(Prod_Prop!$J:$J,Prod_Prop!$B:$B,$Q853,Prod_Prop!$H:$H,V853,Prod_Prop!$I:$I,X$1)*IF(V853="Peso",$R853,1))</f>
        <v/>
      </c>
      <c r="Y853" s="4" t="str">
        <f>IFERROR(__xludf.DUMMYFUNCTION("IF(OR($U853="""",COUNTIF($I:$I,IFERROR(unique(filter(Prod_Prop!$H:$H,Prod_Prop!$G:$G=$U853,Prod_Prop!$E:$E=Y$1)),""Check""))=0),"""",IFERROR(unique(filter(Prod_Prop!$H:$H,Prod_Prop!$G:$G=$U853,Prod_Prop!$E:$E=Y$1)),""""))"),"")</f>
        <v/>
      </c>
      <c r="Z853" s="4" t="str">
        <f>IF(Y853="","",SUMIFS(Prod_Prop!$J:$J,Prod_Prop!$B:$B,$Q853,Prod_Prop!$H:$H,Y853,Prod_Prop!$I:$I,Z$1)*IF(Y853="Peso",$R853,1))</f>
        <v/>
      </c>
      <c r="AA853" s="4" t="str">
        <f>IF(Y853="","",SUMIFS(Prod_Prop!$J:$J,Prod_Prop!$B:$B,$Q853,Prod_Prop!$H:$H,Y853,Prod_Prop!$I:$I,AA$1)*IF(Y853="Peso",$R853,1))</f>
        <v/>
      </c>
      <c r="AB853" s="4" t="str">
        <f>IFERROR(__xludf.DUMMYFUNCTION("IF(OR($U853="""",COUNTIF($I:$I,IFERROR(unique(filter(Prod_Prop!$H:$H,Prod_Prop!$G:$G=$U853,Prod_Prop!$E:$E=AB$1)),""Check""))=0),"""",IFERROR(unique(filter(Prod_Prop!$H:$H,Prod_Prop!$G:$G=$U853,Prod_Prop!$E:$E=AB$1)),""""))"),"")</f>
        <v/>
      </c>
      <c r="AC853" s="4" t="str">
        <f>IF(AB853="","",SUMIFS(Prod_Prop!$J:$J,Prod_Prop!$B:$B,$Q853,Prod_Prop!$H:$H,AB853,Prod_Prop!$I:$I,AC$1)*IF(AB853="Peso",$R853,1))</f>
        <v/>
      </c>
      <c r="AD853" s="4" t="str">
        <f>IF(AB853="","",SUMIFS(Prod_Prop!$J:$J,Prod_Prop!$B:$B,$Q853,Prod_Prop!$H:$H,AB853,Prod_Prop!$I:$I,AD$1)*IF(AB853="Peso",$R853,1))</f>
        <v/>
      </c>
    </row>
    <row r="854">
      <c r="A854" s="4" t="str">
        <f t="array" ref="A854">IF(COUNTIF(A$1:A853,Cotizador!F$2)=maxifs(Familias!E:E,Familias!D:D,Cotizador!F$2),IF(COUNTIF(A$1:A853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4" s="4" t="str">
        <f t="shared" si="1"/>
        <v/>
      </c>
      <c r="C854" s="4" t="str">
        <f t="array" ref="C854">IF(B854="","",IF(A854=XLOOKUP(A$2,Implementos!B:B,Implementos!C:C,"",0,1),B854+maxifs(B$1:B853,A$1:A853,A$2),B854))</f>
        <v/>
      </c>
      <c r="D854" s="4" t="str">
        <f>IF(B854="","", COUNTIFS(Productos!F:F,A854,Productos!H:H,B854)+IF(F854="SI",0,1))</f>
        <v/>
      </c>
      <c r="E854" s="4" t="str">
        <f>IFERROR(__xludf.DUMMYFUNCTION("IF($B854="""","""",INDEX(filter(Familias!F:F,Familias!$D:$D=$A854,Familias!$E:$E=$B854),1))"),"")</f>
        <v/>
      </c>
      <c r="F854" s="4" t="str">
        <f>IFERROR(__xludf.DUMMYFUNCTION("IF($B854="""","""",INDEX(filter(Familias!G:G,Familias!$D:$D=$A854,Familias!$E:$E=$B854),1))"),"")</f>
        <v/>
      </c>
      <c r="G854" s="4" t="str">
        <f t="array" ref="G854">IF(C854=1,XLOOKUP(C854,Cotizador!D:D,Cotizador!E:E,"",0,1),"")</f>
        <v/>
      </c>
      <c r="I854" s="4"/>
      <c r="J854" s="8" t="str">
        <f>IF(I854="","",SUMIF(Cotizador!I$1:V$1,I854,Cotizador!I$2:V$2))</f>
        <v/>
      </c>
      <c r="L854" s="4" t="str">
        <f t="array" ref="L854">IF(COUNTIF(L$1:L853,A$2)=SUMIF(A:A,A$2,D:D),IF(COUNTIF(L$1:L853,XLOOKUP(A$2,Implementos!B:B,Implementos!C:C,"",0,1))=SUMIF(A:A,XLOOKUP(A$2,Implementos!B:B,Implementos!C:C,"",0,1),D:D),"",XLOOKUP(A$2,Implementos!B:B,Implementos!C:C,"",0,1)),A$2)</f>
        <v/>
      </c>
      <c r="M854" s="4" t="str">
        <f t="shared" si="2"/>
        <v/>
      </c>
      <c r="N854" s="4" t="str">
        <f t="shared" si="3"/>
        <v/>
      </c>
      <c r="O854" s="4" t="str">
        <f t="shared" si="4"/>
        <v/>
      </c>
      <c r="P854" s="4" t="str">
        <f t="shared" si="5"/>
        <v/>
      </c>
      <c r="Q854" s="4" t="str">
        <f>IF(U854="","",SUMIF(Productos!E:E,U854,Productos!A:A))</f>
        <v/>
      </c>
      <c r="R854" s="4" t="str">
        <f t="array" ref="R854">IF(L854="","", max(1,SUMIF(I:I,XLOOKUP(U854,Productos!E:E,Productos!G:G,"",0,1),J:J)))</f>
        <v/>
      </c>
      <c r="S854" s="4" t="str">
        <f>IF(Q854="","",IF(SUMIFS(Compat_Vetado!D:D,Compat_Vetado!B:B,SUM(G:G),Compat_Vetado!C:C,Q854)=1,"SI",IF(OR(SUMIF(Cotizador!E:E,Q854,Cotizador!G:G)&gt;0,SUMIFS(Compat_Vetado!D:D,Compat_Vetado!B:B,SUM(G:G),Compat_Vetado!C:C,Q854)=-1),"NO","")))</f>
        <v/>
      </c>
      <c r="T854" s="4" t="str">
        <f t="shared" si="6"/>
        <v/>
      </c>
      <c r="U854" s="4" t="str">
        <f>IFERROR(__xludf.DUMMYFUNCTION("IF(P854="""","""",IFERROR(INDEX(filter(Productos!E:E,Productos!F:F=L854,Productos!H:H=N854),P854),IF(M854=SUM(D:D),""Finalizar"",""-"")))"),"")</f>
        <v/>
      </c>
      <c r="V854" s="4" t="str">
        <f>IFERROR(__xludf.DUMMYFUNCTION("IF(OR($U854="""",COUNTIF($I:$I,IFERROR(unique(filter(Prod_Prop!$H:$H,Prod_Prop!$G:$G=$U854,Prod_Prop!$E:$E=V$1)),""Check""))=0),"""",IFERROR(unique(filter(Prod_Prop!$H:$H,Prod_Prop!$G:$G=$U854,Prod_Prop!$E:$E=V$1)),""""))"),"")</f>
        <v/>
      </c>
      <c r="W854" s="4" t="str">
        <f>IF(V854="","",SUMIFS(Prod_Prop!$J:$J,Prod_Prop!$B:$B,$Q854,Prod_Prop!$H:$H,V854,Prod_Prop!$I:$I,W$1)*IF(V854="Peso",$R854,1))</f>
        <v/>
      </c>
      <c r="X854" s="4" t="str">
        <f>IF(V854="","",SUMIFS(Prod_Prop!$J:$J,Prod_Prop!$B:$B,$Q854,Prod_Prop!$H:$H,V854,Prod_Prop!$I:$I,X$1)*IF(V854="Peso",$R854,1))</f>
        <v/>
      </c>
      <c r="Y854" s="4" t="str">
        <f>IFERROR(__xludf.DUMMYFUNCTION("IF(OR($U854="""",COUNTIF($I:$I,IFERROR(unique(filter(Prod_Prop!$H:$H,Prod_Prop!$G:$G=$U854,Prod_Prop!$E:$E=Y$1)),""Check""))=0),"""",IFERROR(unique(filter(Prod_Prop!$H:$H,Prod_Prop!$G:$G=$U854,Prod_Prop!$E:$E=Y$1)),""""))"),"")</f>
        <v/>
      </c>
      <c r="Z854" s="4" t="str">
        <f>IF(Y854="","",SUMIFS(Prod_Prop!$J:$J,Prod_Prop!$B:$B,$Q854,Prod_Prop!$H:$H,Y854,Prod_Prop!$I:$I,Z$1)*IF(Y854="Peso",$R854,1))</f>
        <v/>
      </c>
      <c r="AA854" s="4" t="str">
        <f>IF(Y854="","",SUMIFS(Prod_Prop!$J:$J,Prod_Prop!$B:$B,$Q854,Prod_Prop!$H:$H,Y854,Prod_Prop!$I:$I,AA$1)*IF(Y854="Peso",$R854,1))</f>
        <v/>
      </c>
      <c r="AB854" s="4" t="str">
        <f>IFERROR(__xludf.DUMMYFUNCTION("IF(OR($U854="""",COUNTIF($I:$I,IFERROR(unique(filter(Prod_Prop!$H:$H,Prod_Prop!$G:$G=$U854,Prod_Prop!$E:$E=AB$1)),""Check""))=0),"""",IFERROR(unique(filter(Prod_Prop!$H:$H,Prod_Prop!$G:$G=$U854,Prod_Prop!$E:$E=AB$1)),""""))"),"")</f>
        <v/>
      </c>
      <c r="AC854" s="4" t="str">
        <f>IF(AB854="","",SUMIFS(Prod_Prop!$J:$J,Prod_Prop!$B:$B,$Q854,Prod_Prop!$H:$H,AB854,Prod_Prop!$I:$I,AC$1)*IF(AB854="Peso",$R854,1))</f>
        <v/>
      </c>
      <c r="AD854" s="4" t="str">
        <f>IF(AB854="","",SUMIFS(Prod_Prop!$J:$J,Prod_Prop!$B:$B,$Q854,Prod_Prop!$H:$H,AB854,Prod_Prop!$I:$I,AD$1)*IF(AB854="Peso",$R854,1))</f>
        <v/>
      </c>
    </row>
    <row r="855">
      <c r="A855" s="4" t="str">
        <f t="array" ref="A855">IF(COUNTIF(A$1:A854,Cotizador!F$2)=maxifs(Familias!E:E,Familias!D:D,Cotizador!F$2),IF(COUNTIF(A$1:A854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5" s="4" t="str">
        <f t="shared" si="1"/>
        <v/>
      </c>
      <c r="C855" s="4" t="str">
        <f t="array" ref="C855">IF(B855="","",IF(A855=XLOOKUP(A$2,Implementos!B:B,Implementos!C:C,"",0,1),B855+maxifs(B$1:B854,A$1:A854,A$2),B855))</f>
        <v/>
      </c>
      <c r="D855" s="4" t="str">
        <f>IF(B855="","", COUNTIFS(Productos!F:F,A855,Productos!H:H,B855)+IF(F855="SI",0,1))</f>
        <v/>
      </c>
      <c r="E855" s="4" t="str">
        <f>IFERROR(__xludf.DUMMYFUNCTION("IF($B855="""","""",INDEX(filter(Familias!F:F,Familias!$D:$D=$A855,Familias!$E:$E=$B855),1))"),"")</f>
        <v/>
      </c>
      <c r="F855" s="4" t="str">
        <f>IFERROR(__xludf.DUMMYFUNCTION("IF($B855="""","""",INDEX(filter(Familias!G:G,Familias!$D:$D=$A855,Familias!$E:$E=$B855),1))"),"")</f>
        <v/>
      </c>
      <c r="G855" s="4" t="str">
        <f t="array" ref="G855">IF(C855=1,XLOOKUP(C855,Cotizador!D:D,Cotizador!E:E,"",0,1),"")</f>
        <v/>
      </c>
      <c r="I855" s="4"/>
      <c r="J855" s="8" t="str">
        <f>IF(I855="","",SUMIF(Cotizador!I$1:V$1,I855,Cotizador!I$2:V$2))</f>
        <v/>
      </c>
      <c r="L855" s="4" t="str">
        <f t="array" ref="L855">IF(COUNTIF(L$1:L854,A$2)=SUMIF(A:A,A$2,D:D),IF(COUNTIF(L$1:L854,XLOOKUP(A$2,Implementos!B:B,Implementos!C:C,"",0,1))=SUMIF(A:A,XLOOKUP(A$2,Implementos!B:B,Implementos!C:C,"",0,1),D:D),"",XLOOKUP(A$2,Implementos!B:B,Implementos!C:C,"",0,1)),A$2)</f>
        <v/>
      </c>
      <c r="M855" s="4" t="str">
        <f t="shared" si="2"/>
        <v/>
      </c>
      <c r="N855" s="4" t="str">
        <f t="shared" si="3"/>
        <v/>
      </c>
      <c r="O855" s="4" t="str">
        <f t="shared" si="4"/>
        <v/>
      </c>
      <c r="P855" s="4" t="str">
        <f t="shared" si="5"/>
        <v/>
      </c>
      <c r="Q855" s="4" t="str">
        <f>IF(U855="","",SUMIF(Productos!E:E,U855,Productos!A:A))</f>
        <v/>
      </c>
      <c r="R855" s="4" t="str">
        <f t="array" ref="R855">IF(L855="","", max(1,SUMIF(I:I,XLOOKUP(U855,Productos!E:E,Productos!G:G,"",0,1),J:J)))</f>
        <v/>
      </c>
      <c r="S855" s="4" t="str">
        <f>IF(Q855="","",IF(SUMIFS(Compat_Vetado!D:D,Compat_Vetado!B:B,SUM(G:G),Compat_Vetado!C:C,Q855)=1,"SI",IF(OR(SUMIF(Cotizador!E:E,Q855,Cotizador!G:G)&gt;0,SUMIFS(Compat_Vetado!D:D,Compat_Vetado!B:B,SUM(G:G),Compat_Vetado!C:C,Q855)=-1),"NO","")))</f>
        <v/>
      </c>
      <c r="T855" s="4" t="str">
        <f t="shared" si="6"/>
        <v/>
      </c>
      <c r="U855" s="4" t="str">
        <f>IFERROR(__xludf.DUMMYFUNCTION("IF(P855="""","""",IFERROR(INDEX(filter(Productos!E:E,Productos!F:F=L855,Productos!H:H=N855),P855),IF(M855=SUM(D:D),""Finalizar"",""-"")))"),"")</f>
        <v/>
      </c>
      <c r="V855" s="4" t="str">
        <f>IFERROR(__xludf.DUMMYFUNCTION("IF(OR($U855="""",COUNTIF($I:$I,IFERROR(unique(filter(Prod_Prop!$H:$H,Prod_Prop!$G:$G=$U855,Prod_Prop!$E:$E=V$1)),""Check""))=0),"""",IFERROR(unique(filter(Prod_Prop!$H:$H,Prod_Prop!$G:$G=$U855,Prod_Prop!$E:$E=V$1)),""""))"),"")</f>
        <v/>
      </c>
      <c r="W855" s="4" t="str">
        <f>IF(V855="","",SUMIFS(Prod_Prop!$J:$J,Prod_Prop!$B:$B,$Q855,Prod_Prop!$H:$H,V855,Prod_Prop!$I:$I,W$1)*IF(V855="Peso",$R855,1))</f>
        <v/>
      </c>
      <c r="X855" s="4" t="str">
        <f>IF(V855="","",SUMIFS(Prod_Prop!$J:$J,Prod_Prop!$B:$B,$Q855,Prod_Prop!$H:$H,V855,Prod_Prop!$I:$I,X$1)*IF(V855="Peso",$R855,1))</f>
        <v/>
      </c>
      <c r="Y855" s="4" t="str">
        <f>IFERROR(__xludf.DUMMYFUNCTION("IF(OR($U855="""",COUNTIF($I:$I,IFERROR(unique(filter(Prod_Prop!$H:$H,Prod_Prop!$G:$G=$U855,Prod_Prop!$E:$E=Y$1)),""Check""))=0),"""",IFERROR(unique(filter(Prod_Prop!$H:$H,Prod_Prop!$G:$G=$U855,Prod_Prop!$E:$E=Y$1)),""""))"),"")</f>
        <v/>
      </c>
      <c r="Z855" s="4" t="str">
        <f>IF(Y855="","",SUMIFS(Prod_Prop!$J:$J,Prod_Prop!$B:$B,$Q855,Prod_Prop!$H:$H,Y855,Prod_Prop!$I:$I,Z$1)*IF(Y855="Peso",$R855,1))</f>
        <v/>
      </c>
      <c r="AA855" s="4" t="str">
        <f>IF(Y855="","",SUMIFS(Prod_Prop!$J:$J,Prod_Prop!$B:$B,$Q855,Prod_Prop!$H:$H,Y855,Prod_Prop!$I:$I,AA$1)*IF(Y855="Peso",$R855,1))</f>
        <v/>
      </c>
      <c r="AB855" s="4" t="str">
        <f>IFERROR(__xludf.DUMMYFUNCTION("IF(OR($U855="""",COUNTIF($I:$I,IFERROR(unique(filter(Prod_Prop!$H:$H,Prod_Prop!$G:$G=$U855,Prod_Prop!$E:$E=AB$1)),""Check""))=0),"""",IFERROR(unique(filter(Prod_Prop!$H:$H,Prod_Prop!$G:$G=$U855,Prod_Prop!$E:$E=AB$1)),""""))"),"")</f>
        <v/>
      </c>
      <c r="AC855" s="4" t="str">
        <f>IF(AB855="","",SUMIFS(Prod_Prop!$J:$J,Prod_Prop!$B:$B,$Q855,Prod_Prop!$H:$H,AB855,Prod_Prop!$I:$I,AC$1)*IF(AB855="Peso",$R855,1))</f>
        <v/>
      </c>
      <c r="AD855" s="4" t="str">
        <f>IF(AB855="","",SUMIFS(Prod_Prop!$J:$J,Prod_Prop!$B:$B,$Q855,Prod_Prop!$H:$H,AB855,Prod_Prop!$I:$I,AD$1)*IF(AB855="Peso",$R855,1))</f>
        <v/>
      </c>
    </row>
    <row r="856">
      <c r="A856" s="4" t="str">
        <f t="array" ref="A856">IF(COUNTIF(A$1:A855,Cotizador!F$2)=maxifs(Familias!E:E,Familias!D:D,Cotizador!F$2),IF(COUNTIF(A$1:A855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6" s="4" t="str">
        <f t="shared" si="1"/>
        <v/>
      </c>
      <c r="C856" s="4" t="str">
        <f t="array" ref="C856">IF(B856="","",IF(A856=XLOOKUP(A$2,Implementos!B:B,Implementos!C:C,"",0,1),B856+maxifs(B$1:B855,A$1:A855,A$2),B856))</f>
        <v/>
      </c>
      <c r="D856" s="4" t="str">
        <f>IF(B856="","", COUNTIFS(Productos!F:F,A856,Productos!H:H,B856)+IF(F856="SI",0,1))</f>
        <v/>
      </c>
      <c r="E856" s="4" t="str">
        <f>IFERROR(__xludf.DUMMYFUNCTION("IF($B856="""","""",INDEX(filter(Familias!F:F,Familias!$D:$D=$A856,Familias!$E:$E=$B856),1))"),"")</f>
        <v/>
      </c>
      <c r="F856" s="4" t="str">
        <f>IFERROR(__xludf.DUMMYFUNCTION("IF($B856="""","""",INDEX(filter(Familias!G:G,Familias!$D:$D=$A856,Familias!$E:$E=$B856),1))"),"")</f>
        <v/>
      </c>
      <c r="G856" s="4" t="str">
        <f t="array" ref="G856">IF(C856=1,XLOOKUP(C856,Cotizador!D:D,Cotizador!E:E,"",0,1),"")</f>
        <v/>
      </c>
      <c r="I856" s="4"/>
      <c r="J856" s="8" t="str">
        <f>IF(I856="","",SUMIF(Cotizador!I$1:V$1,I856,Cotizador!I$2:V$2))</f>
        <v/>
      </c>
      <c r="L856" s="4" t="str">
        <f t="array" ref="L856">IF(COUNTIF(L$1:L855,A$2)=SUMIF(A:A,A$2,D:D),IF(COUNTIF(L$1:L855,XLOOKUP(A$2,Implementos!B:B,Implementos!C:C,"",0,1))=SUMIF(A:A,XLOOKUP(A$2,Implementos!B:B,Implementos!C:C,"",0,1),D:D),"",XLOOKUP(A$2,Implementos!B:B,Implementos!C:C,"",0,1)),A$2)</f>
        <v/>
      </c>
      <c r="M856" s="4" t="str">
        <f t="shared" si="2"/>
        <v/>
      </c>
      <c r="N856" s="4" t="str">
        <f t="shared" si="3"/>
        <v/>
      </c>
      <c r="O856" s="4" t="str">
        <f t="shared" si="4"/>
        <v/>
      </c>
      <c r="P856" s="4" t="str">
        <f t="shared" si="5"/>
        <v/>
      </c>
      <c r="Q856" s="4" t="str">
        <f>IF(U856="","",SUMIF(Productos!E:E,U856,Productos!A:A))</f>
        <v/>
      </c>
      <c r="R856" s="4" t="str">
        <f t="array" ref="R856">IF(L856="","", max(1,SUMIF(I:I,XLOOKUP(U856,Productos!E:E,Productos!G:G,"",0,1),J:J)))</f>
        <v/>
      </c>
      <c r="S856" s="4" t="str">
        <f>IF(Q856="","",IF(SUMIFS(Compat_Vetado!D:D,Compat_Vetado!B:B,SUM(G:G),Compat_Vetado!C:C,Q856)=1,"SI",IF(OR(SUMIF(Cotizador!E:E,Q856,Cotizador!G:G)&gt;0,SUMIFS(Compat_Vetado!D:D,Compat_Vetado!B:B,SUM(G:G),Compat_Vetado!C:C,Q856)=-1),"NO","")))</f>
        <v/>
      </c>
      <c r="T856" s="4" t="str">
        <f t="shared" si="6"/>
        <v/>
      </c>
      <c r="U856" s="4" t="str">
        <f>IFERROR(__xludf.DUMMYFUNCTION("IF(P856="""","""",IFERROR(INDEX(filter(Productos!E:E,Productos!F:F=L856,Productos!H:H=N856),P856),IF(M856=SUM(D:D),""Finalizar"",""-"")))"),"")</f>
        <v/>
      </c>
      <c r="V856" s="4" t="str">
        <f>IFERROR(__xludf.DUMMYFUNCTION("IF(OR($U856="""",COUNTIF($I:$I,IFERROR(unique(filter(Prod_Prop!$H:$H,Prod_Prop!$G:$G=$U856,Prod_Prop!$E:$E=V$1)),""Check""))=0),"""",IFERROR(unique(filter(Prod_Prop!$H:$H,Prod_Prop!$G:$G=$U856,Prod_Prop!$E:$E=V$1)),""""))"),"")</f>
        <v/>
      </c>
      <c r="W856" s="4" t="str">
        <f>IF(V856="","",SUMIFS(Prod_Prop!$J:$J,Prod_Prop!$B:$B,$Q856,Prod_Prop!$H:$H,V856,Prod_Prop!$I:$I,W$1)*IF(V856="Peso",$R856,1))</f>
        <v/>
      </c>
      <c r="X856" s="4" t="str">
        <f>IF(V856="","",SUMIFS(Prod_Prop!$J:$J,Prod_Prop!$B:$B,$Q856,Prod_Prop!$H:$H,V856,Prod_Prop!$I:$I,X$1)*IF(V856="Peso",$R856,1))</f>
        <v/>
      </c>
      <c r="Y856" s="4" t="str">
        <f>IFERROR(__xludf.DUMMYFUNCTION("IF(OR($U856="""",COUNTIF($I:$I,IFERROR(unique(filter(Prod_Prop!$H:$H,Prod_Prop!$G:$G=$U856,Prod_Prop!$E:$E=Y$1)),""Check""))=0),"""",IFERROR(unique(filter(Prod_Prop!$H:$H,Prod_Prop!$G:$G=$U856,Prod_Prop!$E:$E=Y$1)),""""))"),"")</f>
        <v/>
      </c>
      <c r="Z856" s="4" t="str">
        <f>IF(Y856="","",SUMIFS(Prod_Prop!$J:$J,Prod_Prop!$B:$B,$Q856,Prod_Prop!$H:$H,Y856,Prod_Prop!$I:$I,Z$1)*IF(Y856="Peso",$R856,1))</f>
        <v/>
      </c>
      <c r="AA856" s="4" t="str">
        <f>IF(Y856="","",SUMIFS(Prod_Prop!$J:$J,Prod_Prop!$B:$B,$Q856,Prod_Prop!$H:$H,Y856,Prod_Prop!$I:$I,AA$1)*IF(Y856="Peso",$R856,1))</f>
        <v/>
      </c>
      <c r="AB856" s="4" t="str">
        <f>IFERROR(__xludf.DUMMYFUNCTION("IF(OR($U856="""",COUNTIF($I:$I,IFERROR(unique(filter(Prod_Prop!$H:$H,Prod_Prop!$G:$G=$U856,Prod_Prop!$E:$E=AB$1)),""Check""))=0),"""",IFERROR(unique(filter(Prod_Prop!$H:$H,Prod_Prop!$G:$G=$U856,Prod_Prop!$E:$E=AB$1)),""""))"),"")</f>
        <v/>
      </c>
      <c r="AC856" s="4" t="str">
        <f>IF(AB856="","",SUMIFS(Prod_Prop!$J:$J,Prod_Prop!$B:$B,$Q856,Prod_Prop!$H:$H,AB856,Prod_Prop!$I:$I,AC$1)*IF(AB856="Peso",$R856,1))</f>
        <v/>
      </c>
      <c r="AD856" s="4" t="str">
        <f>IF(AB856="","",SUMIFS(Prod_Prop!$J:$J,Prod_Prop!$B:$B,$Q856,Prod_Prop!$H:$H,AB856,Prod_Prop!$I:$I,AD$1)*IF(AB856="Peso",$R856,1))</f>
        <v/>
      </c>
    </row>
    <row r="857">
      <c r="A857" s="4" t="str">
        <f t="array" ref="A857">IF(COUNTIF(A$1:A856,Cotizador!F$2)=maxifs(Familias!E:E,Familias!D:D,Cotizador!F$2),IF(COUNTIF(A$1:A856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7" s="4" t="str">
        <f t="shared" si="1"/>
        <v/>
      </c>
      <c r="C857" s="4" t="str">
        <f t="array" ref="C857">IF(B857="","",IF(A857=XLOOKUP(A$2,Implementos!B:B,Implementos!C:C,"",0,1),B857+maxifs(B$1:B856,A$1:A856,A$2),B857))</f>
        <v/>
      </c>
      <c r="D857" s="4" t="str">
        <f>IF(B857="","", COUNTIFS(Productos!F:F,A857,Productos!H:H,B857)+IF(F857="SI",0,1))</f>
        <v/>
      </c>
      <c r="E857" s="4" t="str">
        <f>IFERROR(__xludf.DUMMYFUNCTION("IF($B857="""","""",INDEX(filter(Familias!F:F,Familias!$D:$D=$A857,Familias!$E:$E=$B857),1))"),"")</f>
        <v/>
      </c>
      <c r="F857" s="4" t="str">
        <f>IFERROR(__xludf.DUMMYFUNCTION("IF($B857="""","""",INDEX(filter(Familias!G:G,Familias!$D:$D=$A857,Familias!$E:$E=$B857),1))"),"")</f>
        <v/>
      </c>
      <c r="G857" s="4" t="str">
        <f t="array" ref="G857">IF(C857=1,XLOOKUP(C857,Cotizador!D:D,Cotizador!E:E,"",0,1),"")</f>
        <v/>
      </c>
      <c r="I857" s="4"/>
      <c r="J857" s="8" t="str">
        <f>IF(I857="","",SUMIF(Cotizador!I$1:V$1,I857,Cotizador!I$2:V$2))</f>
        <v/>
      </c>
      <c r="L857" s="4" t="str">
        <f t="array" ref="L857">IF(COUNTIF(L$1:L856,A$2)=SUMIF(A:A,A$2,D:D),IF(COUNTIF(L$1:L856,XLOOKUP(A$2,Implementos!B:B,Implementos!C:C,"",0,1))=SUMIF(A:A,XLOOKUP(A$2,Implementos!B:B,Implementos!C:C,"",0,1),D:D),"",XLOOKUP(A$2,Implementos!B:B,Implementos!C:C,"",0,1)),A$2)</f>
        <v/>
      </c>
      <c r="M857" s="4" t="str">
        <f t="shared" si="2"/>
        <v/>
      </c>
      <c r="N857" s="4" t="str">
        <f t="shared" si="3"/>
        <v/>
      </c>
      <c r="O857" s="4" t="str">
        <f t="shared" si="4"/>
        <v/>
      </c>
      <c r="P857" s="4" t="str">
        <f t="shared" si="5"/>
        <v/>
      </c>
      <c r="Q857" s="4" t="str">
        <f>IF(U857="","",SUMIF(Productos!E:E,U857,Productos!A:A))</f>
        <v/>
      </c>
      <c r="R857" s="4" t="str">
        <f t="array" ref="R857">IF(L857="","", max(1,SUMIF(I:I,XLOOKUP(U857,Productos!E:E,Productos!G:G,"",0,1),J:J)))</f>
        <v/>
      </c>
      <c r="S857" s="4" t="str">
        <f>IF(Q857="","",IF(SUMIFS(Compat_Vetado!D:D,Compat_Vetado!B:B,SUM(G:G),Compat_Vetado!C:C,Q857)=1,"SI",IF(OR(SUMIF(Cotizador!E:E,Q857,Cotizador!G:G)&gt;0,SUMIFS(Compat_Vetado!D:D,Compat_Vetado!B:B,SUM(G:G),Compat_Vetado!C:C,Q857)=-1),"NO","")))</f>
        <v/>
      </c>
      <c r="T857" s="4" t="str">
        <f t="shared" si="6"/>
        <v/>
      </c>
      <c r="U857" s="4" t="str">
        <f>IFERROR(__xludf.DUMMYFUNCTION("IF(P857="""","""",IFERROR(INDEX(filter(Productos!E:E,Productos!F:F=L857,Productos!H:H=N857),P857),IF(M857=SUM(D:D),""Finalizar"",""-"")))"),"")</f>
        <v/>
      </c>
      <c r="V857" s="4" t="str">
        <f>IFERROR(__xludf.DUMMYFUNCTION("IF(OR($U857="""",COUNTIF($I:$I,IFERROR(unique(filter(Prod_Prop!$H:$H,Prod_Prop!$G:$G=$U857,Prod_Prop!$E:$E=V$1)),""Check""))=0),"""",IFERROR(unique(filter(Prod_Prop!$H:$H,Prod_Prop!$G:$G=$U857,Prod_Prop!$E:$E=V$1)),""""))"),"")</f>
        <v/>
      </c>
      <c r="W857" s="4" t="str">
        <f>IF(V857="","",SUMIFS(Prod_Prop!$J:$J,Prod_Prop!$B:$B,$Q857,Prod_Prop!$H:$H,V857,Prod_Prop!$I:$I,W$1)*IF(V857="Peso",$R857,1))</f>
        <v/>
      </c>
      <c r="X857" s="4" t="str">
        <f>IF(V857="","",SUMIFS(Prod_Prop!$J:$J,Prod_Prop!$B:$B,$Q857,Prod_Prop!$H:$H,V857,Prod_Prop!$I:$I,X$1)*IF(V857="Peso",$R857,1))</f>
        <v/>
      </c>
      <c r="Y857" s="4" t="str">
        <f>IFERROR(__xludf.DUMMYFUNCTION("IF(OR($U857="""",COUNTIF($I:$I,IFERROR(unique(filter(Prod_Prop!$H:$H,Prod_Prop!$G:$G=$U857,Prod_Prop!$E:$E=Y$1)),""Check""))=0),"""",IFERROR(unique(filter(Prod_Prop!$H:$H,Prod_Prop!$G:$G=$U857,Prod_Prop!$E:$E=Y$1)),""""))"),"")</f>
        <v/>
      </c>
      <c r="Z857" s="4" t="str">
        <f>IF(Y857="","",SUMIFS(Prod_Prop!$J:$J,Prod_Prop!$B:$B,$Q857,Prod_Prop!$H:$H,Y857,Prod_Prop!$I:$I,Z$1)*IF(Y857="Peso",$R857,1))</f>
        <v/>
      </c>
      <c r="AA857" s="4" t="str">
        <f>IF(Y857="","",SUMIFS(Prod_Prop!$J:$J,Prod_Prop!$B:$B,$Q857,Prod_Prop!$H:$H,Y857,Prod_Prop!$I:$I,AA$1)*IF(Y857="Peso",$R857,1))</f>
        <v/>
      </c>
      <c r="AB857" s="4" t="str">
        <f>IFERROR(__xludf.DUMMYFUNCTION("IF(OR($U857="""",COUNTIF($I:$I,IFERROR(unique(filter(Prod_Prop!$H:$H,Prod_Prop!$G:$G=$U857,Prod_Prop!$E:$E=AB$1)),""Check""))=0),"""",IFERROR(unique(filter(Prod_Prop!$H:$H,Prod_Prop!$G:$G=$U857,Prod_Prop!$E:$E=AB$1)),""""))"),"")</f>
        <v/>
      </c>
      <c r="AC857" s="4" t="str">
        <f>IF(AB857="","",SUMIFS(Prod_Prop!$J:$J,Prod_Prop!$B:$B,$Q857,Prod_Prop!$H:$H,AB857,Prod_Prop!$I:$I,AC$1)*IF(AB857="Peso",$R857,1))</f>
        <v/>
      </c>
      <c r="AD857" s="4" t="str">
        <f>IF(AB857="","",SUMIFS(Prod_Prop!$J:$J,Prod_Prop!$B:$B,$Q857,Prod_Prop!$H:$H,AB857,Prod_Prop!$I:$I,AD$1)*IF(AB857="Peso",$R857,1))</f>
        <v/>
      </c>
    </row>
    <row r="858">
      <c r="A858" s="4" t="str">
        <f t="array" ref="A858">IF(COUNTIF(A$1:A857,Cotizador!F$2)=maxifs(Familias!E:E,Familias!D:D,Cotizador!F$2),IF(COUNTIF(A$1:A857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8" s="4" t="str">
        <f t="shared" si="1"/>
        <v/>
      </c>
      <c r="C858" s="4" t="str">
        <f t="array" ref="C858">IF(B858="","",IF(A858=XLOOKUP(A$2,Implementos!B:B,Implementos!C:C,"",0,1),B858+maxifs(B$1:B857,A$1:A857,A$2),B858))</f>
        <v/>
      </c>
      <c r="D858" s="4" t="str">
        <f>IF(B858="","", COUNTIFS(Productos!F:F,A858,Productos!H:H,B858)+IF(F858="SI",0,1))</f>
        <v/>
      </c>
      <c r="E858" s="4" t="str">
        <f>IFERROR(__xludf.DUMMYFUNCTION("IF($B858="""","""",INDEX(filter(Familias!F:F,Familias!$D:$D=$A858,Familias!$E:$E=$B858),1))"),"")</f>
        <v/>
      </c>
      <c r="F858" s="4" t="str">
        <f>IFERROR(__xludf.DUMMYFUNCTION("IF($B858="""","""",INDEX(filter(Familias!G:G,Familias!$D:$D=$A858,Familias!$E:$E=$B858),1))"),"")</f>
        <v/>
      </c>
      <c r="G858" s="4" t="str">
        <f t="array" ref="G858">IF(C858=1,XLOOKUP(C858,Cotizador!D:D,Cotizador!E:E,"",0,1),"")</f>
        <v/>
      </c>
      <c r="I858" s="4"/>
      <c r="J858" s="8" t="str">
        <f>IF(I858="","",SUMIF(Cotizador!I$1:V$1,I858,Cotizador!I$2:V$2))</f>
        <v/>
      </c>
      <c r="L858" s="4" t="str">
        <f t="array" ref="L858">IF(COUNTIF(L$1:L857,A$2)=SUMIF(A:A,A$2,D:D),IF(COUNTIF(L$1:L857,XLOOKUP(A$2,Implementos!B:B,Implementos!C:C,"",0,1))=SUMIF(A:A,XLOOKUP(A$2,Implementos!B:B,Implementos!C:C,"",0,1),D:D),"",XLOOKUP(A$2,Implementos!B:B,Implementos!C:C,"",0,1)),A$2)</f>
        <v/>
      </c>
      <c r="M858" s="4" t="str">
        <f t="shared" si="2"/>
        <v/>
      </c>
      <c r="N858" s="4" t="str">
        <f t="shared" si="3"/>
        <v/>
      </c>
      <c r="O858" s="4" t="str">
        <f t="shared" si="4"/>
        <v/>
      </c>
      <c r="P858" s="4" t="str">
        <f t="shared" si="5"/>
        <v/>
      </c>
      <c r="Q858" s="4" t="str">
        <f>IF(U858="","",SUMIF(Productos!E:E,U858,Productos!A:A))</f>
        <v/>
      </c>
      <c r="R858" s="4" t="str">
        <f t="array" ref="R858">IF(L858="","", max(1,SUMIF(I:I,XLOOKUP(U858,Productos!E:E,Productos!G:G,"",0,1),J:J)))</f>
        <v/>
      </c>
      <c r="S858" s="4" t="str">
        <f>IF(Q858="","",IF(SUMIFS(Compat_Vetado!D:D,Compat_Vetado!B:B,SUM(G:G),Compat_Vetado!C:C,Q858)=1,"SI",IF(OR(SUMIF(Cotizador!E:E,Q858,Cotizador!G:G)&gt;0,SUMIFS(Compat_Vetado!D:D,Compat_Vetado!B:B,SUM(G:G),Compat_Vetado!C:C,Q858)=-1),"NO","")))</f>
        <v/>
      </c>
      <c r="T858" s="4" t="str">
        <f t="shared" si="6"/>
        <v/>
      </c>
      <c r="U858" s="4" t="str">
        <f>IFERROR(__xludf.DUMMYFUNCTION("IF(P858="""","""",IFERROR(INDEX(filter(Productos!E:E,Productos!F:F=L858,Productos!H:H=N858),P858),IF(M858=SUM(D:D),""Finalizar"",""-"")))"),"")</f>
        <v/>
      </c>
      <c r="V858" s="4" t="str">
        <f>IFERROR(__xludf.DUMMYFUNCTION("IF(OR($U858="""",COUNTIF($I:$I,IFERROR(unique(filter(Prod_Prop!$H:$H,Prod_Prop!$G:$G=$U858,Prod_Prop!$E:$E=V$1)),""Check""))=0),"""",IFERROR(unique(filter(Prod_Prop!$H:$H,Prod_Prop!$G:$G=$U858,Prod_Prop!$E:$E=V$1)),""""))"),"")</f>
        <v/>
      </c>
      <c r="W858" s="4" t="str">
        <f>IF(V858="","",SUMIFS(Prod_Prop!$J:$J,Prod_Prop!$B:$B,$Q858,Prod_Prop!$H:$H,V858,Prod_Prop!$I:$I,W$1)*IF(V858="Peso",$R858,1))</f>
        <v/>
      </c>
      <c r="X858" s="4" t="str">
        <f>IF(V858="","",SUMIFS(Prod_Prop!$J:$J,Prod_Prop!$B:$B,$Q858,Prod_Prop!$H:$H,V858,Prod_Prop!$I:$I,X$1)*IF(V858="Peso",$R858,1))</f>
        <v/>
      </c>
      <c r="Y858" s="4" t="str">
        <f>IFERROR(__xludf.DUMMYFUNCTION("IF(OR($U858="""",COUNTIF($I:$I,IFERROR(unique(filter(Prod_Prop!$H:$H,Prod_Prop!$G:$G=$U858,Prod_Prop!$E:$E=Y$1)),""Check""))=0),"""",IFERROR(unique(filter(Prod_Prop!$H:$H,Prod_Prop!$G:$G=$U858,Prod_Prop!$E:$E=Y$1)),""""))"),"")</f>
        <v/>
      </c>
      <c r="Z858" s="4" t="str">
        <f>IF(Y858="","",SUMIFS(Prod_Prop!$J:$J,Prod_Prop!$B:$B,$Q858,Prod_Prop!$H:$H,Y858,Prod_Prop!$I:$I,Z$1)*IF(Y858="Peso",$R858,1))</f>
        <v/>
      </c>
      <c r="AA858" s="4" t="str">
        <f>IF(Y858="","",SUMIFS(Prod_Prop!$J:$J,Prod_Prop!$B:$B,$Q858,Prod_Prop!$H:$H,Y858,Prod_Prop!$I:$I,AA$1)*IF(Y858="Peso",$R858,1))</f>
        <v/>
      </c>
      <c r="AB858" s="4" t="str">
        <f>IFERROR(__xludf.DUMMYFUNCTION("IF(OR($U858="""",COUNTIF($I:$I,IFERROR(unique(filter(Prod_Prop!$H:$H,Prod_Prop!$G:$G=$U858,Prod_Prop!$E:$E=AB$1)),""Check""))=0),"""",IFERROR(unique(filter(Prod_Prop!$H:$H,Prod_Prop!$G:$G=$U858,Prod_Prop!$E:$E=AB$1)),""""))"),"")</f>
        <v/>
      </c>
      <c r="AC858" s="4" t="str">
        <f>IF(AB858="","",SUMIFS(Prod_Prop!$J:$J,Prod_Prop!$B:$B,$Q858,Prod_Prop!$H:$H,AB858,Prod_Prop!$I:$I,AC$1)*IF(AB858="Peso",$R858,1))</f>
        <v/>
      </c>
      <c r="AD858" s="4" t="str">
        <f>IF(AB858="","",SUMIFS(Prod_Prop!$J:$J,Prod_Prop!$B:$B,$Q858,Prod_Prop!$H:$H,AB858,Prod_Prop!$I:$I,AD$1)*IF(AB858="Peso",$R858,1))</f>
        <v/>
      </c>
    </row>
    <row r="859">
      <c r="A859" s="4" t="str">
        <f t="array" ref="A859">IF(COUNTIF(A$1:A858,Cotizador!F$2)=maxifs(Familias!E:E,Familias!D:D,Cotizador!F$2),IF(COUNTIF(A$1:A858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59" s="4" t="str">
        <f t="shared" si="1"/>
        <v/>
      </c>
      <c r="C859" s="4" t="str">
        <f t="array" ref="C859">IF(B859="","",IF(A859=XLOOKUP(A$2,Implementos!B:B,Implementos!C:C,"",0,1),B859+maxifs(B$1:B858,A$1:A858,A$2),B859))</f>
        <v/>
      </c>
      <c r="D859" s="4" t="str">
        <f>IF(B859="","", COUNTIFS(Productos!F:F,A859,Productos!H:H,B859)+IF(F859="SI",0,1))</f>
        <v/>
      </c>
      <c r="E859" s="4" t="str">
        <f>IFERROR(__xludf.DUMMYFUNCTION("IF($B859="""","""",INDEX(filter(Familias!F:F,Familias!$D:$D=$A859,Familias!$E:$E=$B859),1))"),"")</f>
        <v/>
      </c>
      <c r="F859" s="4" t="str">
        <f>IFERROR(__xludf.DUMMYFUNCTION("IF($B859="""","""",INDEX(filter(Familias!G:G,Familias!$D:$D=$A859,Familias!$E:$E=$B859),1))"),"")</f>
        <v/>
      </c>
      <c r="G859" s="4" t="str">
        <f t="array" ref="G859">IF(C859=1,XLOOKUP(C859,Cotizador!D:D,Cotizador!E:E,"",0,1),"")</f>
        <v/>
      </c>
      <c r="I859" s="4"/>
      <c r="J859" s="8" t="str">
        <f>IF(I859="","",SUMIF(Cotizador!I$1:V$1,I859,Cotizador!I$2:V$2))</f>
        <v/>
      </c>
      <c r="L859" s="4" t="str">
        <f t="array" ref="L859">IF(COUNTIF(L$1:L858,A$2)=SUMIF(A:A,A$2,D:D),IF(COUNTIF(L$1:L858,XLOOKUP(A$2,Implementos!B:B,Implementos!C:C,"",0,1))=SUMIF(A:A,XLOOKUP(A$2,Implementos!B:B,Implementos!C:C,"",0,1),D:D),"",XLOOKUP(A$2,Implementos!B:B,Implementos!C:C,"",0,1)),A$2)</f>
        <v/>
      </c>
      <c r="M859" s="4" t="str">
        <f t="shared" si="2"/>
        <v/>
      </c>
      <c r="N859" s="4" t="str">
        <f t="shared" si="3"/>
        <v/>
      </c>
      <c r="O859" s="4" t="str">
        <f t="shared" si="4"/>
        <v/>
      </c>
      <c r="P859" s="4" t="str">
        <f t="shared" si="5"/>
        <v/>
      </c>
      <c r="Q859" s="4" t="str">
        <f>IF(U859="","",SUMIF(Productos!E:E,U859,Productos!A:A))</f>
        <v/>
      </c>
      <c r="R859" s="4" t="str">
        <f t="array" ref="R859">IF(L859="","", max(1,SUMIF(I:I,XLOOKUP(U859,Productos!E:E,Productos!G:G,"",0,1),J:J)))</f>
        <v/>
      </c>
      <c r="S859" s="4" t="str">
        <f>IF(Q859="","",IF(SUMIFS(Compat_Vetado!D:D,Compat_Vetado!B:B,SUM(G:G),Compat_Vetado!C:C,Q859)=1,"SI",IF(OR(SUMIF(Cotizador!E:E,Q859,Cotizador!G:G)&gt;0,SUMIFS(Compat_Vetado!D:D,Compat_Vetado!B:B,SUM(G:G),Compat_Vetado!C:C,Q859)=-1),"NO","")))</f>
        <v/>
      </c>
      <c r="T859" s="4" t="str">
        <f t="shared" si="6"/>
        <v/>
      </c>
      <c r="U859" s="4" t="str">
        <f>IFERROR(__xludf.DUMMYFUNCTION("IF(P859="""","""",IFERROR(INDEX(filter(Productos!E:E,Productos!F:F=L859,Productos!H:H=N859),P859),IF(M859=SUM(D:D),""Finalizar"",""-"")))"),"")</f>
        <v/>
      </c>
      <c r="V859" s="4" t="str">
        <f>IFERROR(__xludf.DUMMYFUNCTION("IF(OR($U859="""",COUNTIF($I:$I,IFERROR(unique(filter(Prod_Prop!$H:$H,Prod_Prop!$G:$G=$U859,Prod_Prop!$E:$E=V$1)),""Check""))=0),"""",IFERROR(unique(filter(Prod_Prop!$H:$H,Prod_Prop!$G:$G=$U859,Prod_Prop!$E:$E=V$1)),""""))"),"")</f>
        <v/>
      </c>
      <c r="W859" s="4" t="str">
        <f>IF(V859="","",SUMIFS(Prod_Prop!$J:$J,Prod_Prop!$B:$B,$Q859,Prod_Prop!$H:$H,V859,Prod_Prop!$I:$I,W$1)*IF(V859="Peso",$R859,1))</f>
        <v/>
      </c>
      <c r="X859" s="4" t="str">
        <f>IF(V859="","",SUMIFS(Prod_Prop!$J:$J,Prod_Prop!$B:$B,$Q859,Prod_Prop!$H:$H,V859,Prod_Prop!$I:$I,X$1)*IF(V859="Peso",$R859,1))</f>
        <v/>
      </c>
      <c r="Y859" s="4" t="str">
        <f>IFERROR(__xludf.DUMMYFUNCTION("IF(OR($U859="""",COUNTIF($I:$I,IFERROR(unique(filter(Prod_Prop!$H:$H,Prod_Prop!$G:$G=$U859,Prod_Prop!$E:$E=Y$1)),""Check""))=0),"""",IFERROR(unique(filter(Prod_Prop!$H:$H,Prod_Prop!$G:$G=$U859,Prod_Prop!$E:$E=Y$1)),""""))"),"")</f>
        <v/>
      </c>
      <c r="Z859" s="4" t="str">
        <f>IF(Y859="","",SUMIFS(Prod_Prop!$J:$J,Prod_Prop!$B:$B,$Q859,Prod_Prop!$H:$H,Y859,Prod_Prop!$I:$I,Z$1)*IF(Y859="Peso",$R859,1))</f>
        <v/>
      </c>
      <c r="AA859" s="4" t="str">
        <f>IF(Y859="","",SUMIFS(Prod_Prop!$J:$J,Prod_Prop!$B:$B,$Q859,Prod_Prop!$H:$H,Y859,Prod_Prop!$I:$I,AA$1)*IF(Y859="Peso",$R859,1))</f>
        <v/>
      </c>
      <c r="AB859" s="4" t="str">
        <f>IFERROR(__xludf.DUMMYFUNCTION("IF(OR($U859="""",COUNTIF($I:$I,IFERROR(unique(filter(Prod_Prop!$H:$H,Prod_Prop!$G:$G=$U859,Prod_Prop!$E:$E=AB$1)),""Check""))=0),"""",IFERROR(unique(filter(Prod_Prop!$H:$H,Prod_Prop!$G:$G=$U859,Prod_Prop!$E:$E=AB$1)),""""))"),"")</f>
        <v/>
      </c>
      <c r="AC859" s="4" t="str">
        <f>IF(AB859="","",SUMIFS(Prod_Prop!$J:$J,Prod_Prop!$B:$B,$Q859,Prod_Prop!$H:$H,AB859,Prod_Prop!$I:$I,AC$1)*IF(AB859="Peso",$R859,1))</f>
        <v/>
      </c>
      <c r="AD859" s="4" t="str">
        <f>IF(AB859="","",SUMIFS(Prod_Prop!$J:$J,Prod_Prop!$B:$B,$Q859,Prod_Prop!$H:$H,AB859,Prod_Prop!$I:$I,AD$1)*IF(AB859="Peso",$R859,1))</f>
        <v/>
      </c>
    </row>
    <row r="860">
      <c r="A860" s="4" t="str">
        <f t="array" ref="A860">IF(COUNTIF(A$1:A859,Cotizador!F$2)=maxifs(Familias!E:E,Familias!D:D,Cotizador!F$2),IF(COUNTIF(A$1:A859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0" s="4" t="str">
        <f t="shared" si="1"/>
        <v/>
      </c>
      <c r="C860" s="4" t="str">
        <f t="array" ref="C860">IF(B860="","",IF(A860=XLOOKUP(A$2,Implementos!B:B,Implementos!C:C,"",0,1),B860+maxifs(B$1:B859,A$1:A859,A$2),B860))</f>
        <v/>
      </c>
      <c r="D860" s="4" t="str">
        <f>IF(B860="","", COUNTIFS(Productos!F:F,A860,Productos!H:H,B860)+IF(F860="SI",0,1))</f>
        <v/>
      </c>
      <c r="E860" s="4" t="str">
        <f>IFERROR(__xludf.DUMMYFUNCTION("IF($B860="""","""",INDEX(filter(Familias!F:F,Familias!$D:$D=$A860,Familias!$E:$E=$B860),1))"),"")</f>
        <v/>
      </c>
      <c r="F860" s="4" t="str">
        <f>IFERROR(__xludf.DUMMYFUNCTION("IF($B860="""","""",INDEX(filter(Familias!G:G,Familias!$D:$D=$A860,Familias!$E:$E=$B860),1))"),"")</f>
        <v/>
      </c>
      <c r="G860" s="4" t="str">
        <f t="array" ref="G860">IF(C860=1,XLOOKUP(C860,Cotizador!D:D,Cotizador!E:E,"",0,1),"")</f>
        <v/>
      </c>
      <c r="I860" s="4"/>
      <c r="J860" s="8" t="str">
        <f>IF(I860="","",SUMIF(Cotizador!I$1:V$1,I860,Cotizador!I$2:V$2))</f>
        <v/>
      </c>
      <c r="L860" s="4" t="str">
        <f t="array" ref="L860">IF(COUNTIF(L$1:L859,A$2)=SUMIF(A:A,A$2,D:D),IF(COUNTIF(L$1:L859,XLOOKUP(A$2,Implementos!B:B,Implementos!C:C,"",0,1))=SUMIF(A:A,XLOOKUP(A$2,Implementos!B:B,Implementos!C:C,"",0,1),D:D),"",XLOOKUP(A$2,Implementos!B:B,Implementos!C:C,"",0,1)),A$2)</f>
        <v/>
      </c>
      <c r="M860" s="4" t="str">
        <f t="shared" si="2"/>
        <v/>
      </c>
      <c r="N860" s="4" t="str">
        <f t="shared" si="3"/>
        <v/>
      </c>
      <c r="O860" s="4" t="str">
        <f t="shared" si="4"/>
        <v/>
      </c>
      <c r="P860" s="4" t="str">
        <f t="shared" si="5"/>
        <v/>
      </c>
      <c r="Q860" s="4" t="str">
        <f>IF(U860="","",SUMIF(Productos!E:E,U860,Productos!A:A))</f>
        <v/>
      </c>
      <c r="R860" s="4" t="str">
        <f t="array" ref="R860">IF(L860="","", max(1,SUMIF(I:I,XLOOKUP(U860,Productos!E:E,Productos!G:G,"",0,1),J:J)))</f>
        <v/>
      </c>
      <c r="S860" s="4" t="str">
        <f>IF(Q860="","",IF(SUMIFS(Compat_Vetado!D:D,Compat_Vetado!B:B,SUM(G:G),Compat_Vetado!C:C,Q860)=1,"SI",IF(OR(SUMIF(Cotizador!E:E,Q860,Cotizador!G:G)&gt;0,SUMIFS(Compat_Vetado!D:D,Compat_Vetado!B:B,SUM(G:G),Compat_Vetado!C:C,Q860)=-1),"NO","")))</f>
        <v/>
      </c>
      <c r="T860" s="4" t="str">
        <f t="shared" si="6"/>
        <v/>
      </c>
      <c r="U860" s="4" t="str">
        <f>IFERROR(__xludf.DUMMYFUNCTION("IF(P860="""","""",IFERROR(INDEX(filter(Productos!E:E,Productos!F:F=L860,Productos!H:H=N860),P860),IF(M860=SUM(D:D),""Finalizar"",""-"")))"),"")</f>
        <v/>
      </c>
      <c r="V860" s="4" t="str">
        <f>IFERROR(__xludf.DUMMYFUNCTION("IF(OR($U860="""",COUNTIF($I:$I,IFERROR(unique(filter(Prod_Prop!$H:$H,Prod_Prop!$G:$G=$U860,Prod_Prop!$E:$E=V$1)),""Check""))=0),"""",IFERROR(unique(filter(Prod_Prop!$H:$H,Prod_Prop!$G:$G=$U860,Prod_Prop!$E:$E=V$1)),""""))"),"")</f>
        <v/>
      </c>
      <c r="W860" s="4" t="str">
        <f>IF(V860="","",SUMIFS(Prod_Prop!$J:$J,Prod_Prop!$B:$B,$Q860,Prod_Prop!$H:$H,V860,Prod_Prop!$I:$I,W$1)*IF(V860="Peso",$R860,1))</f>
        <v/>
      </c>
      <c r="X860" s="4" t="str">
        <f>IF(V860="","",SUMIFS(Prod_Prop!$J:$J,Prod_Prop!$B:$B,$Q860,Prod_Prop!$H:$H,V860,Prod_Prop!$I:$I,X$1)*IF(V860="Peso",$R860,1))</f>
        <v/>
      </c>
      <c r="Y860" s="4" t="str">
        <f>IFERROR(__xludf.DUMMYFUNCTION("IF(OR($U860="""",COUNTIF($I:$I,IFERROR(unique(filter(Prod_Prop!$H:$H,Prod_Prop!$G:$G=$U860,Prod_Prop!$E:$E=Y$1)),""Check""))=0),"""",IFERROR(unique(filter(Prod_Prop!$H:$H,Prod_Prop!$G:$G=$U860,Prod_Prop!$E:$E=Y$1)),""""))"),"")</f>
        <v/>
      </c>
      <c r="Z860" s="4" t="str">
        <f>IF(Y860="","",SUMIFS(Prod_Prop!$J:$J,Prod_Prop!$B:$B,$Q860,Prod_Prop!$H:$H,Y860,Prod_Prop!$I:$I,Z$1)*IF(Y860="Peso",$R860,1))</f>
        <v/>
      </c>
      <c r="AA860" s="4" t="str">
        <f>IF(Y860="","",SUMIFS(Prod_Prop!$J:$J,Prod_Prop!$B:$B,$Q860,Prod_Prop!$H:$H,Y860,Prod_Prop!$I:$I,AA$1)*IF(Y860="Peso",$R860,1))</f>
        <v/>
      </c>
      <c r="AB860" s="4" t="str">
        <f>IFERROR(__xludf.DUMMYFUNCTION("IF(OR($U860="""",COUNTIF($I:$I,IFERROR(unique(filter(Prod_Prop!$H:$H,Prod_Prop!$G:$G=$U860,Prod_Prop!$E:$E=AB$1)),""Check""))=0),"""",IFERROR(unique(filter(Prod_Prop!$H:$H,Prod_Prop!$G:$G=$U860,Prod_Prop!$E:$E=AB$1)),""""))"),"")</f>
        <v/>
      </c>
      <c r="AC860" s="4" t="str">
        <f>IF(AB860="","",SUMIFS(Prod_Prop!$J:$J,Prod_Prop!$B:$B,$Q860,Prod_Prop!$H:$H,AB860,Prod_Prop!$I:$I,AC$1)*IF(AB860="Peso",$R860,1))</f>
        <v/>
      </c>
      <c r="AD860" s="4" t="str">
        <f>IF(AB860="","",SUMIFS(Prod_Prop!$J:$J,Prod_Prop!$B:$B,$Q860,Prod_Prop!$H:$H,AB860,Prod_Prop!$I:$I,AD$1)*IF(AB860="Peso",$R860,1))</f>
        <v/>
      </c>
    </row>
    <row r="861">
      <c r="A861" s="4" t="str">
        <f t="array" ref="A861">IF(COUNTIF(A$1:A860,Cotizador!F$2)=maxifs(Familias!E:E,Familias!D:D,Cotizador!F$2),IF(COUNTIF(A$1:A860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1" s="4" t="str">
        <f t="shared" si="1"/>
        <v/>
      </c>
      <c r="C861" s="4" t="str">
        <f t="array" ref="C861">IF(B861="","",IF(A861=XLOOKUP(A$2,Implementos!B:B,Implementos!C:C,"",0,1),B861+maxifs(B$1:B860,A$1:A860,A$2),B861))</f>
        <v/>
      </c>
      <c r="D861" s="4" t="str">
        <f>IF(B861="","", COUNTIFS(Productos!F:F,A861,Productos!H:H,B861)+IF(F861="SI",0,1))</f>
        <v/>
      </c>
      <c r="E861" s="4" t="str">
        <f>IFERROR(__xludf.DUMMYFUNCTION("IF($B861="""","""",INDEX(filter(Familias!F:F,Familias!$D:$D=$A861,Familias!$E:$E=$B861),1))"),"")</f>
        <v/>
      </c>
      <c r="F861" s="4" t="str">
        <f>IFERROR(__xludf.DUMMYFUNCTION("IF($B861="""","""",INDEX(filter(Familias!G:G,Familias!$D:$D=$A861,Familias!$E:$E=$B861),1))"),"")</f>
        <v/>
      </c>
      <c r="G861" s="4" t="str">
        <f t="array" ref="G861">IF(C861=1,XLOOKUP(C861,Cotizador!D:D,Cotizador!E:E,"",0,1),"")</f>
        <v/>
      </c>
      <c r="I861" s="4"/>
      <c r="J861" s="8" t="str">
        <f>IF(I861="","",SUMIF(Cotizador!I$1:V$1,I861,Cotizador!I$2:V$2))</f>
        <v/>
      </c>
      <c r="L861" s="4" t="str">
        <f t="array" ref="L861">IF(COUNTIF(L$1:L860,A$2)=SUMIF(A:A,A$2,D:D),IF(COUNTIF(L$1:L860,XLOOKUP(A$2,Implementos!B:B,Implementos!C:C,"",0,1))=SUMIF(A:A,XLOOKUP(A$2,Implementos!B:B,Implementos!C:C,"",0,1),D:D),"",XLOOKUP(A$2,Implementos!B:B,Implementos!C:C,"",0,1)),A$2)</f>
        <v/>
      </c>
      <c r="M861" s="4" t="str">
        <f t="shared" si="2"/>
        <v/>
      </c>
      <c r="N861" s="4" t="str">
        <f t="shared" si="3"/>
        <v/>
      </c>
      <c r="O861" s="4" t="str">
        <f t="shared" si="4"/>
        <v/>
      </c>
      <c r="P861" s="4" t="str">
        <f t="shared" si="5"/>
        <v/>
      </c>
      <c r="Q861" s="4" t="str">
        <f>IF(U861="","",SUMIF(Productos!E:E,U861,Productos!A:A))</f>
        <v/>
      </c>
      <c r="R861" s="4" t="str">
        <f t="array" ref="R861">IF(L861="","", max(1,SUMIF(I:I,XLOOKUP(U861,Productos!E:E,Productos!G:G,"",0,1),J:J)))</f>
        <v/>
      </c>
      <c r="S861" s="4" t="str">
        <f>IF(Q861="","",IF(SUMIFS(Compat_Vetado!D:D,Compat_Vetado!B:B,SUM(G:G),Compat_Vetado!C:C,Q861)=1,"SI",IF(OR(SUMIF(Cotizador!E:E,Q861,Cotizador!G:G)&gt;0,SUMIFS(Compat_Vetado!D:D,Compat_Vetado!B:B,SUM(G:G),Compat_Vetado!C:C,Q861)=-1),"NO","")))</f>
        <v/>
      </c>
      <c r="T861" s="4" t="str">
        <f t="shared" si="6"/>
        <v/>
      </c>
      <c r="U861" s="4" t="str">
        <f>IFERROR(__xludf.DUMMYFUNCTION("IF(P861="""","""",IFERROR(INDEX(filter(Productos!E:E,Productos!F:F=L861,Productos!H:H=N861),P861),IF(M861=SUM(D:D),""Finalizar"",""-"")))"),"")</f>
        <v/>
      </c>
      <c r="V861" s="4" t="str">
        <f>IFERROR(__xludf.DUMMYFUNCTION("IF(OR($U861="""",COUNTIF($I:$I,IFERROR(unique(filter(Prod_Prop!$H:$H,Prod_Prop!$G:$G=$U861,Prod_Prop!$E:$E=V$1)),""Check""))=0),"""",IFERROR(unique(filter(Prod_Prop!$H:$H,Prod_Prop!$G:$G=$U861,Prod_Prop!$E:$E=V$1)),""""))"),"")</f>
        <v/>
      </c>
      <c r="W861" s="4" t="str">
        <f>IF(V861="","",SUMIFS(Prod_Prop!$J:$J,Prod_Prop!$B:$B,$Q861,Prod_Prop!$H:$H,V861,Prod_Prop!$I:$I,W$1)*IF(V861="Peso",$R861,1))</f>
        <v/>
      </c>
      <c r="X861" s="4" t="str">
        <f>IF(V861="","",SUMIFS(Prod_Prop!$J:$J,Prod_Prop!$B:$B,$Q861,Prod_Prop!$H:$H,V861,Prod_Prop!$I:$I,X$1)*IF(V861="Peso",$R861,1))</f>
        <v/>
      </c>
      <c r="Y861" s="4" t="str">
        <f>IFERROR(__xludf.DUMMYFUNCTION("IF(OR($U861="""",COUNTIF($I:$I,IFERROR(unique(filter(Prod_Prop!$H:$H,Prod_Prop!$G:$G=$U861,Prod_Prop!$E:$E=Y$1)),""Check""))=0),"""",IFERROR(unique(filter(Prod_Prop!$H:$H,Prod_Prop!$G:$G=$U861,Prod_Prop!$E:$E=Y$1)),""""))"),"")</f>
        <v/>
      </c>
      <c r="Z861" s="4" t="str">
        <f>IF(Y861="","",SUMIFS(Prod_Prop!$J:$J,Prod_Prop!$B:$B,$Q861,Prod_Prop!$H:$H,Y861,Prod_Prop!$I:$I,Z$1)*IF(Y861="Peso",$R861,1))</f>
        <v/>
      </c>
      <c r="AA861" s="4" t="str">
        <f>IF(Y861="","",SUMIFS(Prod_Prop!$J:$J,Prod_Prop!$B:$B,$Q861,Prod_Prop!$H:$H,Y861,Prod_Prop!$I:$I,AA$1)*IF(Y861="Peso",$R861,1))</f>
        <v/>
      </c>
      <c r="AB861" s="4" t="str">
        <f>IFERROR(__xludf.DUMMYFUNCTION("IF(OR($U861="""",COUNTIF($I:$I,IFERROR(unique(filter(Prod_Prop!$H:$H,Prod_Prop!$G:$G=$U861,Prod_Prop!$E:$E=AB$1)),""Check""))=0),"""",IFERROR(unique(filter(Prod_Prop!$H:$H,Prod_Prop!$G:$G=$U861,Prod_Prop!$E:$E=AB$1)),""""))"),"")</f>
        <v/>
      </c>
      <c r="AC861" s="4" t="str">
        <f>IF(AB861="","",SUMIFS(Prod_Prop!$J:$J,Prod_Prop!$B:$B,$Q861,Prod_Prop!$H:$H,AB861,Prod_Prop!$I:$I,AC$1)*IF(AB861="Peso",$R861,1))</f>
        <v/>
      </c>
      <c r="AD861" s="4" t="str">
        <f>IF(AB861="","",SUMIFS(Prod_Prop!$J:$J,Prod_Prop!$B:$B,$Q861,Prod_Prop!$H:$H,AB861,Prod_Prop!$I:$I,AD$1)*IF(AB861="Peso",$R861,1))</f>
        <v/>
      </c>
    </row>
    <row r="862">
      <c r="A862" s="4" t="str">
        <f t="array" ref="A862">IF(COUNTIF(A$1:A861,Cotizador!F$2)=maxifs(Familias!E:E,Familias!D:D,Cotizador!F$2),IF(COUNTIF(A$1:A861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2" s="4" t="str">
        <f t="shared" si="1"/>
        <v/>
      </c>
      <c r="C862" s="4" t="str">
        <f t="array" ref="C862">IF(B862="","",IF(A862=XLOOKUP(A$2,Implementos!B:B,Implementos!C:C,"",0,1),B862+maxifs(B$1:B861,A$1:A861,A$2),B862))</f>
        <v/>
      </c>
      <c r="D862" s="4" t="str">
        <f>IF(B862="","", COUNTIFS(Productos!F:F,A862,Productos!H:H,B862)+IF(F862="SI",0,1))</f>
        <v/>
      </c>
      <c r="E862" s="4" t="str">
        <f>IFERROR(__xludf.DUMMYFUNCTION("IF($B862="""","""",INDEX(filter(Familias!F:F,Familias!$D:$D=$A862,Familias!$E:$E=$B862),1))"),"")</f>
        <v/>
      </c>
      <c r="F862" s="4" t="str">
        <f>IFERROR(__xludf.DUMMYFUNCTION("IF($B862="""","""",INDEX(filter(Familias!G:G,Familias!$D:$D=$A862,Familias!$E:$E=$B862),1))"),"")</f>
        <v/>
      </c>
      <c r="G862" s="4" t="str">
        <f t="array" ref="G862">IF(C862=1,XLOOKUP(C862,Cotizador!D:D,Cotizador!E:E,"",0,1),"")</f>
        <v/>
      </c>
      <c r="I862" s="4"/>
      <c r="J862" s="8" t="str">
        <f>IF(I862="","",SUMIF(Cotizador!I$1:V$1,I862,Cotizador!I$2:V$2))</f>
        <v/>
      </c>
      <c r="L862" s="4" t="str">
        <f t="array" ref="L862">IF(COUNTIF(L$1:L861,A$2)=SUMIF(A:A,A$2,D:D),IF(COUNTIF(L$1:L861,XLOOKUP(A$2,Implementos!B:B,Implementos!C:C,"",0,1))=SUMIF(A:A,XLOOKUP(A$2,Implementos!B:B,Implementos!C:C,"",0,1),D:D),"",XLOOKUP(A$2,Implementos!B:B,Implementos!C:C,"",0,1)),A$2)</f>
        <v/>
      </c>
      <c r="M862" s="4" t="str">
        <f t="shared" si="2"/>
        <v/>
      </c>
      <c r="N862" s="4" t="str">
        <f t="shared" si="3"/>
        <v/>
      </c>
      <c r="O862" s="4" t="str">
        <f t="shared" si="4"/>
        <v/>
      </c>
      <c r="P862" s="4" t="str">
        <f t="shared" si="5"/>
        <v/>
      </c>
      <c r="Q862" s="4" t="str">
        <f>IF(U862="","",SUMIF(Productos!E:E,U862,Productos!A:A))</f>
        <v/>
      </c>
      <c r="R862" s="4" t="str">
        <f t="array" ref="R862">IF(L862="","", max(1,SUMIF(I:I,XLOOKUP(U862,Productos!E:E,Productos!G:G,"",0,1),J:J)))</f>
        <v/>
      </c>
      <c r="S862" s="4" t="str">
        <f>IF(Q862="","",IF(SUMIFS(Compat_Vetado!D:D,Compat_Vetado!B:B,SUM(G:G),Compat_Vetado!C:C,Q862)=1,"SI",IF(OR(SUMIF(Cotizador!E:E,Q862,Cotizador!G:G)&gt;0,SUMIFS(Compat_Vetado!D:D,Compat_Vetado!B:B,SUM(G:G),Compat_Vetado!C:C,Q862)=-1),"NO","")))</f>
        <v/>
      </c>
      <c r="T862" s="4" t="str">
        <f t="shared" si="6"/>
        <v/>
      </c>
      <c r="U862" s="4" t="str">
        <f>IFERROR(__xludf.DUMMYFUNCTION("IF(P862="""","""",IFERROR(INDEX(filter(Productos!E:E,Productos!F:F=L862,Productos!H:H=N862),P862),IF(M862=SUM(D:D),""Finalizar"",""-"")))"),"")</f>
        <v/>
      </c>
      <c r="V862" s="4" t="str">
        <f>IFERROR(__xludf.DUMMYFUNCTION("IF(OR($U862="""",COUNTIF($I:$I,IFERROR(unique(filter(Prod_Prop!$H:$H,Prod_Prop!$G:$G=$U862,Prod_Prop!$E:$E=V$1)),""Check""))=0),"""",IFERROR(unique(filter(Prod_Prop!$H:$H,Prod_Prop!$G:$G=$U862,Prod_Prop!$E:$E=V$1)),""""))"),"")</f>
        <v/>
      </c>
      <c r="W862" s="4" t="str">
        <f>IF(V862="","",SUMIFS(Prod_Prop!$J:$J,Prod_Prop!$B:$B,$Q862,Prod_Prop!$H:$H,V862,Prod_Prop!$I:$I,W$1)*IF(V862="Peso",$R862,1))</f>
        <v/>
      </c>
      <c r="X862" s="4" t="str">
        <f>IF(V862="","",SUMIFS(Prod_Prop!$J:$J,Prod_Prop!$B:$B,$Q862,Prod_Prop!$H:$H,V862,Prod_Prop!$I:$I,X$1)*IF(V862="Peso",$R862,1))</f>
        <v/>
      </c>
      <c r="Y862" s="4" t="str">
        <f>IFERROR(__xludf.DUMMYFUNCTION("IF(OR($U862="""",COUNTIF($I:$I,IFERROR(unique(filter(Prod_Prop!$H:$H,Prod_Prop!$G:$G=$U862,Prod_Prop!$E:$E=Y$1)),""Check""))=0),"""",IFERROR(unique(filter(Prod_Prop!$H:$H,Prod_Prop!$G:$G=$U862,Prod_Prop!$E:$E=Y$1)),""""))"),"")</f>
        <v/>
      </c>
      <c r="Z862" s="4" t="str">
        <f>IF(Y862="","",SUMIFS(Prod_Prop!$J:$J,Prod_Prop!$B:$B,$Q862,Prod_Prop!$H:$H,Y862,Prod_Prop!$I:$I,Z$1)*IF(Y862="Peso",$R862,1))</f>
        <v/>
      </c>
      <c r="AA862" s="4" t="str">
        <f>IF(Y862="","",SUMIFS(Prod_Prop!$J:$J,Prod_Prop!$B:$B,$Q862,Prod_Prop!$H:$H,Y862,Prod_Prop!$I:$I,AA$1)*IF(Y862="Peso",$R862,1))</f>
        <v/>
      </c>
      <c r="AB862" s="4" t="str">
        <f>IFERROR(__xludf.DUMMYFUNCTION("IF(OR($U862="""",COUNTIF($I:$I,IFERROR(unique(filter(Prod_Prop!$H:$H,Prod_Prop!$G:$G=$U862,Prod_Prop!$E:$E=AB$1)),""Check""))=0),"""",IFERROR(unique(filter(Prod_Prop!$H:$H,Prod_Prop!$G:$G=$U862,Prod_Prop!$E:$E=AB$1)),""""))"),"")</f>
        <v/>
      </c>
      <c r="AC862" s="4" t="str">
        <f>IF(AB862="","",SUMIFS(Prod_Prop!$J:$J,Prod_Prop!$B:$B,$Q862,Prod_Prop!$H:$H,AB862,Prod_Prop!$I:$I,AC$1)*IF(AB862="Peso",$R862,1))</f>
        <v/>
      </c>
      <c r="AD862" s="4" t="str">
        <f>IF(AB862="","",SUMIFS(Prod_Prop!$J:$J,Prod_Prop!$B:$B,$Q862,Prod_Prop!$H:$H,AB862,Prod_Prop!$I:$I,AD$1)*IF(AB862="Peso",$R862,1))</f>
        <v/>
      </c>
    </row>
    <row r="863">
      <c r="A863" s="4" t="str">
        <f t="array" ref="A863">IF(COUNTIF(A$1:A862,Cotizador!F$2)=maxifs(Familias!E:E,Familias!D:D,Cotizador!F$2),IF(COUNTIF(A$1:A862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3" s="4" t="str">
        <f t="shared" si="1"/>
        <v/>
      </c>
      <c r="C863" s="4" t="str">
        <f t="array" ref="C863">IF(B863="","",IF(A863=XLOOKUP(A$2,Implementos!B:B,Implementos!C:C,"",0,1),B863+maxifs(B$1:B862,A$1:A862,A$2),B863))</f>
        <v/>
      </c>
      <c r="D863" s="4" t="str">
        <f>IF(B863="","", COUNTIFS(Productos!F:F,A863,Productos!H:H,B863)+IF(F863="SI",0,1))</f>
        <v/>
      </c>
      <c r="E863" s="4" t="str">
        <f>IFERROR(__xludf.DUMMYFUNCTION("IF($B863="""","""",INDEX(filter(Familias!F:F,Familias!$D:$D=$A863,Familias!$E:$E=$B863),1))"),"")</f>
        <v/>
      </c>
      <c r="F863" s="4" t="str">
        <f>IFERROR(__xludf.DUMMYFUNCTION("IF($B863="""","""",INDEX(filter(Familias!G:G,Familias!$D:$D=$A863,Familias!$E:$E=$B863),1))"),"")</f>
        <v/>
      </c>
      <c r="G863" s="4" t="str">
        <f t="array" ref="G863">IF(C863=1,XLOOKUP(C863,Cotizador!D:D,Cotizador!E:E,"",0,1),"")</f>
        <v/>
      </c>
      <c r="I863" s="4"/>
      <c r="J863" s="8" t="str">
        <f>IF(I863="","",SUMIF(Cotizador!I$1:V$1,I863,Cotizador!I$2:V$2))</f>
        <v/>
      </c>
      <c r="L863" s="4" t="str">
        <f t="array" ref="L863">IF(COUNTIF(L$1:L862,A$2)=SUMIF(A:A,A$2,D:D),IF(COUNTIF(L$1:L862,XLOOKUP(A$2,Implementos!B:B,Implementos!C:C,"",0,1))=SUMIF(A:A,XLOOKUP(A$2,Implementos!B:B,Implementos!C:C,"",0,1),D:D),"",XLOOKUP(A$2,Implementos!B:B,Implementos!C:C,"",0,1)),A$2)</f>
        <v/>
      </c>
      <c r="M863" s="4" t="str">
        <f t="shared" si="2"/>
        <v/>
      </c>
      <c r="N863" s="4" t="str">
        <f t="shared" si="3"/>
        <v/>
      </c>
      <c r="O863" s="4" t="str">
        <f t="shared" si="4"/>
        <v/>
      </c>
      <c r="P863" s="4" t="str">
        <f t="shared" si="5"/>
        <v/>
      </c>
      <c r="Q863" s="4" t="str">
        <f>IF(U863="","",SUMIF(Productos!E:E,U863,Productos!A:A))</f>
        <v/>
      </c>
      <c r="R863" s="4" t="str">
        <f t="array" ref="R863">IF(L863="","", max(1,SUMIF(I:I,XLOOKUP(U863,Productos!E:E,Productos!G:G,"",0,1),J:J)))</f>
        <v/>
      </c>
      <c r="S863" s="4" t="str">
        <f>IF(Q863="","",IF(SUMIFS(Compat_Vetado!D:D,Compat_Vetado!B:B,SUM(G:G),Compat_Vetado!C:C,Q863)=1,"SI",IF(OR(SUMIF(Cotizador!E:E,Q863,Cotizador!G:G)&gt;0,SUMIFS(Compat_Vetado!D:D,Compat_Vetado!B:B,SUM(G:G),Compat_Vetado!C:C,Q863)=-1),"NO","")))</f>
        <v/>
      </c>
      <c r="T863" s="4" t="str">
        <f t="shared" si="6"/>
        <v/>
      </c>
      <c r="U863" s="4" t="str">
        <f>IFERROR(__xludf.DUMMYFUNCTION("IF(P863="""","""",IFERROR(INDEX(filter(Productos!E:E,Productos!F:F=L863,Productos!H:H=N863),P863),IF(M863=SUM(D:D),""Finalizar"",""-"")))"),"")</f>
        <v/>
      </c>
      <c r="V863" s="4" t="str">
        <f>IFERROR(__xludf.DUMMYFUNCTION("IF(OR($U863="""",COUNTIF($I:$I,IFERROR(unique(filter(Prod_Prop!$H:$H,Prod_Prop!$G:$G=$U863,Prod_Prop!$E:$E=V$1)),""Check""))=0),"""",IFERROR(unique(filter(Prod_Prop!$H:$H,Prod_Prop!$G:$G=$U863,Prod_Prop!$E:$E=V$1)),""""))"),"")</f>
        <v/>
      </c>
      <c r="W863" s="4" t="str">
        <f>IF(V863="","",SUMIFS(Prod_Prop!$J:$J,Prod_Prop!$B:$B,$Q863,Prod_Prop!$H:$H,V863,Prod_Prop!$I:$I,W$1)*IF(V863="Peso",$R863,1))</f>
        <v/>
      </c>
      <c r="X863" s="4" t="str">
        <f>IF(V863="","",SUMIFS(Prod_Prop!$J:$J,Prod_Prop!$B:$B,$Q863,Prod_Prop!$H:$H,V863,Prod_Prop!$I:$I,X$1)*IF(V863="Peso",$R863,1))</f>
        <v/>
      </c>
      <c r="Y863" s="4" t="str">
        <f>IFERROR(__xludf.DUMMYFUNCTION("IF(OR($U863="""",COUNTIF($I:$I,IFERROR(unique(filter(Prod_Prop!$H:$H,Prod_Prop!$G:$G=$U863,Prod_Prop!$E:$E=Y$1)),""Check""))=0),"""",IFERROR(unique(filter(Prod_Prop!$H:$H,Prod_Prop!$G:$G=$U863,Prod_Prop!$E:$E=Y$1)),""""))"),"")</f>
        <v/>
      </c>
      <c r="Z863" s="4" t="str">
        <f>IF(Y863="","",SUMIFS(Prod_Prop!$J:$J,Prod_Prop!$B:$B,$Q863,Prod_Prop!$H:$H,Y863,Prod_Prop!$I:$I,Z$1)*IF(Y863="Peso",$R863,1))</f>
        <v/>
      </c>
      <c r="AA863" s="4" t="str">
        <f>IF(Y863="","",SUMIFS(Prod_Prop!$J:$J,Prod_Prop!$B:$B,$Q863,Prod_Prop!$H:$H,Y863,Prod_Prop!$I:$I,AA$1)*IF(Y863="Peso",$R863,1))</f>
        <v/>
      </c>
      <c r="AB863" s="4" t="str">
        <f>IFERROR(__xludf.DUMMYFUNCTION("IF(OR($U863="""",COUNTIF($I:$I,IFERROR(unique(filter(Prod_Prop!$H:$H,Prod_Prop!$G:$G=$U863,Prod_Prop!$E:$E=AB$1)),""Check""))=0),"""",IFERROR(unique(filter(Prod_Prop!$H:$H,Prod_Prop!$G:$G=$U863,Prod_Prop!$E:$E=AB$1)),""""))"),"")</f>
        <v/>
      </c>
      <c r="AC863" s="4" t="str">
        <f>IF(AB863="","",SUMIFS(Prod_Prop!$J:$J,Prod_Prop!$B:$B,$Q863,Prod_Prop!$H:$H,AB863,Prod_Prop!$I:$I,AC$1)*IF(AB863="Peso",$R863,1))</f>
        <v/>
      </c>
      <c r="AD863" s="4" t="str">
        <f>IF(AB863="","",SUMIFS(Prod_Prop!$J:$J,Prod_Prop!$B:$B,$Q863,Prod_Prop!$H:$H,AB863,Prod_Prop!$I:$I,AD$1)*IF(AB863="Peso",$R863,1))</f>
        <v/>
      </c>
    </row>
    <row r="864">
      <c r="A864" s="4" t="str">
        <f t="array" ref="A864">IF(COUNTIF(A$1:A863,Cotizador!F$2)=maxifs(Familias!E:E,Familias!D:D,Cotizador!F$2),IF(COUNTIF(A$1:A863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4" s="4" t="str">
        <f t="shared" si="1"/>
        <v/>
      </c>
      <c r="C864" s="4" t="str">
        <f t="array" ref="C864">IF(B864="","",IF(A864=XLOOKUP(A$2,Implementos!B:B,Implementos!C:C,"",0,1),B864+maxifs(B$1:B863,A$1:A863,A$2),B864))</f>
        <v/>
      </c>
      <c r="D864" s="4" t="str">
        <f>IF(B864="","", COUNTIFS(Productos!F:F,A864,Productos!H:H,B864)+IF(F864="SI",0,1))</f>
        <v/>
      </c>
      <c r="E864" s="4" t="str">
        <f>IFERROR(__xludf.DUMMYFUNCTION("IF($B864="""","""",INDEX(filter(Familias!F:F,Familias!$D:$D=$A864,Familias!$E:$E=$B864),1))"),"")</f>
        <v/>
      </c>
      <c r="F864" s="4" t="str">
        <f>IFERROR(__xludf.DUMMYFUNCTION("IF($B864="""","""",INDEX(filter(Familias!G:G,Familias!$D:$D=$A864,Familias!$E:$E=$B864),1))"),"")</f>
        <v/>
      </c>
      <c r="G864" s="4" t="str">
        <f t="array" ref="G864">IF(C864=1,XLOOKUP(C864,Cotizador!D:D,Cotizador!E:E,"",0,1),"")</f>
        <v/>
      </c>
      <c r="I864" s="4"/>
      <c r="J864" s="8" t="str">
        <f>IF(I864="","",SUMIF(Cotizador!I$1:V$1,I864,Cotizador!I$2:V$2))</f>
        <v/>
      </c>
      <c r="L864" s="4" t="str">
        <f t="array" ref="L864">IF(COUNTIF(L$1:L863,A$2)=SUMIF(A:A,A$2,D:D),IF(COUNTIF(L$1:L863,XLOOKUP(A$2,Implementos!B:B,Implementos!C:C,"",0,1))=SUMIF(A:A,XLOOKUP(A$2,Implementos!B:B,Implementos!C:C,"",0,1),D:D),"",XLOOKUP(A$2,Implementos!B:B,Implementos!C:C,"",0,1)),A$2)</f>
        <v/>
      </c>
      <c r="M864" s="4" t="str">
        <f t="shared" si="2"/>
        <v/>
      </c>
      <c r="N864" s="4" t="str">
        <f t="shared" si="3"/>
        <v/>
      </c>
      <c r="O864" s="4" t="str">
        <f t="shared" si="4"/>
        <v/>
      </c>
      <c r="P864" s="4" t="str">
        <f t="shared" si="5"/>
        <v/>
      </c>
      <c r="Q864" s="4" t="str">
        <f>IF(U864="","",SUMIF(Productos!E:E,U864,Productos!A:A))</f>
        <v/>
      </c>
      <c r="R864" s="4" t="str">
        <f t="array" ref="R864">IF(L864="","", max(1,SUMIF(I:I,XLOOKUP(U864,Productos!E:E,Productos!G:G,"",0,1),J:J)))</f>
        <v/>
      </c>
      <c r="S864" s="4" t="str">
        <f>IF(Q864="","",IF(SUMIFS(Compat_Vetado!D:D,Compat_Vetado!B:B,SUM(G:G),Compat_Vetado!C:C,Q864)=1,"SI",IF(OR(SUMIF(Cotizador!E:E,Q864,Cotizador!G:G)&gt;0,SUMIFS(Compat_Vetado!D:D,Compat_Vetado!B:B,SUM(G:G),Compat_Vetado!C:C,Q864)=-1),"NO","")))</f>
        <v/>
      </c>
      <c r="T864" s="4" t="str">
        <f t="shared" si="6"/>
        <v/>
      </c>
      <c r="U864" s="4" t="str">
        <f>IFERROR(__xludf.DUMMYFUNCTION("IF(P864="""","""",IFERROR(INDEX(filter(Productos!E:E,Productos!F:F=L864,Productos!H:H=N864),P864),IF(M864=SUM(D:D),""Finalizar"",""-"")))"),"")</f>
        <v/>
      </c>
      <c r="V864" s="4" t="str">
        <f>IFERROR(__xludf.DUMMYFUNCTION("IF(OR($U864="""",COUNTIF($I:$I,IFERROR(unique(filter(Prod_Prop!$H:$H,Prod_Prop!$G:$G=$U864,Prod_Prop!$E:$E=V$1)),""Check""))=0),"""",IFERROR(unique(filter(Prod_Prop!$H:$H,Prod_Prop!$G:$G=$U864,Prod_Prop!$E:$E=V$1)),""""))"),"")</f>
        <v/>
      </c>
      <c r="W864" s="4" t="str">
        <f>IF(V864="","",SUMIFS(Prod_Prop!$J:$J,Prod_Prop!$B:$B,$Q864,Prod_Prop!$H:$H,V864,Prod_Prop!$I:$I,W$1)*IF(V864="Peso",$R864,1))</f>
        <v/>
      </c>
      <c r="X864" s="4" t="str">
        <f>IF(V864="","",SUMIFS(Prod_Prop!$J:$J,Prod_Prop!$B:$B,$Q864,Prod_Prop!$H:$H,V864,Prod_Prop!$I:$I,X$1)*IF(V864="Peso",$R864,1))</f>
        <v/>
      </c>
      <c r="Y864" s="4" t="str">
        <f>IFERROR(__xludf.DUMMYFUNCTION("IF(OR($U864="""",COUNTIF($I:$I,IFERROR(unique(filter(Prod_Prop!$H:$H,Prod_Prop!$G:$G=$U864,Prod_Prop!$E:$E=Y$1)),""Check""))=0),"""",IFERROR(unique(filter(Prod_Prop!$H:$H,Prod_Prop!$G:$G=$U864,Prod_Prop!$E:$E=Y$1)),""""))"),"")</f>
        <v/>
      </c>
      <c r="Z864" s="4" t="str">
        <f>IF(Y864="","",SUMIFS(Prod_Prop!$J:$J,Prod_Prop!$B:$B,$Q864,Prod_Prop!$H:$H,Y864,Prod_Prop!$I:$I,Z$1)*IF(Y864="Peso",$R864,1))</f>
        <v/>
      </c>
      <c r="AA864" s="4" t="str">
        <f>IF(Y864="","",SUMIFS(Prod_Prop!$J:$J,Prod_Prop!$B:$B,$Q864,Prod_Prop!$H:$H,Y864,Prod_Prop!$I:$I,AA$1)*IF(Y864="Peso",$R864,1))</f>
        <v/>
      </c>
      <c r="AB864" s="4" t="str">
        <f>IFERROR(__xludf.DUMMYFUNCTION("IF(OR($U864="""",COUNTIF($I:$I,IFERROR(unique(filter(Prod_Prop!$H:$H,Prod_Prop!$G:$G=$U864,Prod_Prop!$E:$E=AB$1)),""Check""))=0),"""",IFERROR(unique(filter(Prod_Prop!$H:$H,Prod_Prop!$G:$G=$U864,Prod_Prop!$E:$E=AB$1)),""""))"),"")</f>
        <v/>
      </c>
      <c r="AC864" s="4" t="str">
        <f>IF(AB864="","",SUMIFS(Prod_Prop!$J:$J,Prod_Prop!$B:$B,$Q864,Prod_Prop!$H:$H,AB864,Prod_Prop!$I:$I,AC$1)*IF(AB864="Peso",$R864,1))</f>
        <v/>
      </c>
      <c r="AD864" s="4" t="str">
        <f>IF(AB864="","",SUMIFS(Prod_Prop!$J:$J,Prod_Prop!$B:$B,$Q864,Prod_Prop!$H:$H,AB864,Prod_Prop!$I:$I,AD$1)*IF(AB864="Peso",$R864,1))</f>
        <v/>
      </c>
    </row>
    <row r="865">
      <c r="A865" s="4" t="str">
        <f t="array" ref="A865">IF(COUNTIF(A$1:A864,Cotizador!F$2)=maxifs(Familias!E:E,Familias!D:D,Cotizador!F$2),IF(COUNTIF(A$1:A864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5" s="4" t="str">
        <f t="shared" si="1"/>
        <v/>
      </c>
      <c r="C865" s="4" t="str">
        <f t="array" ref="C865">IF(B865="","",IF(A865=XLOOKUP(A$2,Implementos!B:B,Implementos!C:C,"",0,1),B865+maxifs(B$1:B864,A$1:A864,A$2),B865))</f>
        <v/>
      </c>
      <c r="D865" s="4" t="str">
        <f>IF(B865="","", COUNTIFS(Productos!F:F,A865,Productos!H:H,B865)+IF(F865="SI",0,1))</f>
        <v/>
      </c>
      <c r="E865" s="4" t="str">
        <f>IFERROR(__xludf.DUMMYFUNCTION("IF($B865="""","""",INDEX(filter(Familias!F:F,Familias!$D:$D=$A865,Familias!$E:$E=$B865),1))"),"")</f>
        <v/>
      </c>
      <c r="F865" s="4" t="str">
        <f>IFERROR(__xludf.DUMMYFUNCTION("IF($B865="""","""",INDEX(filter(Familias!G:G,Familias!$D:$D=$A865,Familias!$E:$E=$B865),1))"),"")</f>
        <v/>
      </c>
      <c r="G865" s="4" t="str">
        <f t="array" ref="G865">IF(C865=1,XLOOKUP(C865,Cotizador!D:D,Cotizador!E:E,"",0,1),"")</f>
        <v/>
      </c>
      <c r="I865" s="4"/>
      <c r="J865" s="8" t="str">
        <f>IF(I865="","",SUMIF(Cotizador!I$1:V$1,I865,Cotizador!I$2:V$2))</f>
        <v/>
      </c>
      <c r="L865" s="4" t="str">
        <f t="array" ref="L865">IF(COUNTIF(L$1:L864,A$2)=SUMIF(A:A,A$2,D:D),IF(COUNTIF(L$1:L864,XLOOKUP(A$2,Implementos!B:B,Implementos!C:C,"",0,1))=SUMIF(A:A,XLOOKUP(A$2,Implementos!B:B,Implementos!C:C,"",0,1),D:D),"",XLOOKUP(A$2,Implementos!B:B,Implementos!C:C,"",0,1)),A$2)</f>
        <v/>
      </c>
      <c r="M865" s="4" t="str">
        <f t="shared" si="2"/>
        <v/>
      </c>
      <c r="N865" s="4" t="str">
        <f t="shared" si="3"/>
        <v/>
      </c>
      <c r="O865" s="4" t="str">
        <f t="shared" si="4"/>
        <v/>
      </c>
      <c r="P865" s="4" t="str">
        <f t="shared" si="5"/>
        <v/>
      </c>
      <c r="Q865" s="4" t="str">
        <f>IF(U865="","",SUMIF(Productos!E:E,U865,Productos!A:A))</f>
        <v/>
      </c>
      <c r="R865" s="4" t="str">
        <f t="array" ref="R865">IF(L865="","", max(1,SUMIF(I:I,XLOOKUP(U865,Productos!E:E,Productos!G:G,"",0,1),J:J)))</f>
        <v/>
      </c>
      <c r="S865" s="4" t="str">
        <f>IF(Q865="","",IF(SUMIFS(Compat_Vetado!D:D,Compat_Vetado!B:B,SUM(G:G),Compat_Vetado!C:C,Q865)=1,"SI",IF(OR(SUMIF(Cotizador!E:E,Q865,Cotizador!G:G)&gt;0,SUMIFS(Compat_Vetado!D:D,Compat_Vetado!B:B,SUM(G:G),Compat_Vetado!C:C,Q865)=-1),"NO","")))</f>
        <v/>
      </c>
      <c r="T865" s="4" t="str">
        <f t="shared" si="6"/>
        <v/>
      </c>
      <c r="U865" s="4" t="str">
        <f>IFERROR(__xludf.DUMMYFUNCTION("IF(P865="""","""",IFERROR(INDEX(filter(Productos!E:E,Productos!F:F=L865,Productos!H:H=N865),P865),IF(M865=SUM(D:D),""Finalizar"",""-"")))"),"")</f>
        <v/>
      </c>
      <c r="V865" s="4" t="str">
        <f>IFERROR(__xludf.DUMMYFUNCTION("IF(OR($U865="""",COUNTIF($I:$I,IFERROR(unique(filter(Prod_Prop!$H:$H,Prod_Prop!$G:$G=$U865,Prod_Prop!$E:$E=V$1)),""Check""))=0),"""",IFERROR(unique(filter(Prod_Prop!$H:$H,Prod_Prop!$G:$G=$U865,Prod_Prop!$E:$E=V$1)),""""))"),"")</f>
        <v/>
      </c>
      <c r="W865" s="4" t="str">
        <f>IF(V865="","",SUMIFS(Prod_Prop!$J:$J,Prod_Prop!$B:$B,$Q865,Prod_Prop!$H:$H,V865,Prod_Prop!$I:$I,W$1)*IF(V865="Peso",$R865,1))</f>
        <v/>
      </c>
      <c r="X865" s="4" t="str">
        <f>IF(V865="","",SUMIFS(Prod_Prop!$J:$J,Prod_Prop!$B:$B,$Q865,Prod_Prop!$H:$H,V865,Prod_Prop!$I:$I,X$1)*IF(V865="Peso",$R865,1))</f>
        <v/>
      </c>
      <c r="Y865" s="4" t="str">
        <f>IFERROR(__xludf.DUMMYFUNCTION("IF(OR($U865="""",COUNTIF($I:$I,IFERROR(unique(filter(Prod_Prop!$H:$H,Prod_Prop!$G:$G=$U865,Prod_Prop!$E:$E=Y$1)),""Check""))=0),"""",IFERROR(unique(filter(Prod_Prop!$H:$H,Prod_Prop!$G:$G=$U865,Prod_Prop!$E:$E=Y$1)),""""))"),"")</f>
        <v/>
      </c>
      <c r="Z865" s="4" t="str">
        <f>IF(Y865="","",SUMIFS(Prod_Prop!$J:$J,Prod_Prop!$B:$B,$Q865,Prod_Prop!$H:$H,Y865,Prod_Prop!$I:$I,Z$1)*IF(Y865="Peso",$R865,1))</f>
        <v/>
      </c>
      <c r="AA865" s="4" t="str">
        <f>IF(Y865="","",SUMIFS(Prod_Prop!$J:$J,Prod_Prop!$B:$B,$Q865,Prod_Prop!$H:$H,Y865,Prod_Prop!$I:$I,AA$1)*IF(Y865="Peso",$R865,1))</f>
        <v/>
      </c>
      <c r="AB865" s="4" t="str">
        <f>IFERROR(__xludf.DUMMYFUNCTION("IF(OR($U865="""",COUNTIF($I:$I,IFERROR(unique(filter(Prod_Prop!$H:$H,Prod_Prop!$G:$G=$U865,Prod_Prop!$E:$E=AB$1)),""Check""))=0),"""",IFERROR(unique(filter(Prod_Prop!$H:$H,Prod_Prop!$G:$G=$U865,Prod_Prop!$E:$E=AB$1)),""""))"),"")</f>
        <v/>
      </c>
      <c r="AC865" s="4" t="str">
        <f>IF(AB865="","",SUMIFS(Prod_Prop!$J:$J,Prod_Prop!$B:$B,$Q865,Prod_Prop!$H:$H,AB865,Prod_Prop!$I:$I,AC$1)*IF(AB865="Peso",$R865,1))</f>
        <v/>
      </c>
      <c r="AD865" s="4" t="str">
        <f>IF(AB865="","",SUMIFS(Prod_Prop!$J:$J,Prod_Prop!$B:$B,$Q865,Prod_Prop!$H:$H,AB865,Prod_Prop!$I:$I,AD$1)*IF(AB865="Peso",$R865,1))</f>
        <v/>
      </c>
    </row>
    <row r="866">
      <c r="A866" s="4" t="str">
        <f t="array" ref="A866">IF(COUNTIF(A$1:A865,Cotizador!F$2)=maxifs(Familias!E:E,Familias!D:D,Cotizador!F$2),IF(COUNTIF(A$1:A865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6" s="4" t="str">
        <f t="shared" si="1"/>
        <v/>
      </c>
      <c r="C866" s="4" t="str">
        <f t="array" ref="C866">IF(B866="","",IF(A866=XLOOKUP(A$2,Implementos!B:B,Implementos!C:C,"",0,1),B866+maxifs(B$1:B865,A$1:A865,A$2),B866))</f>
        <v/>
      </c>
      <c r="D866" s="4" t="str">
        <f>IF(B866="","", COUNTIFS(Productos!F:F,A866,Productos!H:H,B866)+IF(F866="SI",0,1))</f>
        <v/>
      </c>
      <c r="E866" s="4" t="str">
        <f>IFERROR(__xludf.DUMMYFUNCTION("IF($B866="""","""",INDEX(filter(Familias!F:F,Familias!$D:$D=$A866,Familias!$E:$E=$B866),1))"),"")</f>
        <v/>
      </c>
      <c r="F866" s="4" t="str">
        <f>IFERROR(__xludf.DUMMYFUNCTION("IF($B866="""","""",INDEX(filter(Familias!G:G,Familias!$D:$D=$A866,Familias!$E:$E=$B866),1))"),"")</f>
        <v/>
      </c>
      <c r="G866" s="4" t="str">
        <f t="array" ref="G866">IF(C866=1,XLOOKUP(C866,Cotizador!D:D,Cotizador!E:E,"",0,1),"")</f>
        <v/>
      </c>
      <c r="I866" s="4"/>
      <c r="J866" s="8" t="str">
        <f>IF(I866="","",SUMIF(Cotizador!I$1:V$1,I866,Cotizador!I$2:V$2))</f>
        <v/>
      </c>
      <c r="L866" s="4" t="str">
        <f t="array" ref="L866">IF(COUNTIF(L$1:L865,A$2)=SUMIF(A:A,A$2,D:D),IF(COUNTIF(L$1:L865,XLOOKUP(A$2,Implementos!B:B,Implementos!C:C,"",0,1))=SUMIF(A:A,XLOOKUP(A$2,Implementos!B:B,Implementos!C:C,"",0,1),D:D),"",XLOOKUP(A$2,Implementos!B:B,Implementos!C:C,"",0,1)),A$2)</f>
        <v/>
      </c>
      <c r="M866" s="4" t="str">
        <f t="shared" si="2"/>
        <v/>
      </c>
      <c r="N866" s="4" t="str">
        <f t="shared" si="3"/>
        <v/>
      </c>
      <c r="O866" s="4" t="str">
        <f t="shared" si="4"/>
        <v/>
      </c>
      <c r="P866" s="4" t="str">
        <f t="shared" si="5"/>
        <v/>
      </c>
      <c r="Q866" s="4" t="str">
        <f>IF(U866="","",SUMIF(Productos!E:E,U866,Productos!A:A))</f>
        <v/>
      </c>
      <c r="R866" s="4" t="str">
        <f t="array" ref="R866">IF(L866="","", max(1,SUMIF(I:I,XLOOKUP(U866,Productos!E:E,Productos!G:G,"",0,1),J:J)))</f>
        <v/>
      </c>
      <c r="S866" s="4" t="str">
        <f>IF(Q866="","",IF(SUMIFS(Compat_Vetado!D:D,Compat_Vetado!B:B,SUM(G:G),Compat_Vetado!C:C,Q866)=1,"SI",IF(OR(SUMIF(Cotizador!E:E,Q866,Cotizador!G:G)&gt;0,SUMIFS(Compat_Vetado!D:D,Compat_Vetado!B:B,SUM(G:G),Compat_Vetado!C:C,Q866)=-1),"NO","")))</f>
        <v/>
      </c>
      <c r="T866" s="4" t="str">
        <f t="shared" si="6"/>
        <v/>
      </c>
      <c r="U866" s="4" t="str">
        <f>IFERROR(__xludf.DUMMYFUNCTION("IF(P866="""","""",IFERROR(INDEX(filter(Productos!E:E,Productos!F:F=L866,Productos!H:H=N866),P866),IF(M866=SUM(D:D),""Finalizar"",""-"")))"),"")</f>
        <v/>
      </c>
      <c r="V866" s="4" t="str">
        <f>IFERROR(__xludf.DUMMYFUNCTION("IF(OR($U866="""",COUNTIF($I:$I,IFERROR(unique(filter(Prod_Prop!$H:$H,Prod_Prop!$G:$G=$U866,Prod_Prop!$E:$E=V$1)),""Check""))=0),"""",IFERROR(unique(filter(Prod_Prop!$H:$H,Prod_Prop!$G:$G=$U866,Prod_Prop!$E:$E=V$1)),""""))"),"")</f>
        <v/>
      </c>
      <c r="W866" s="4" t="str">
        <f>IF(V866="","",SUMIFS(Prod_Prop!$J:$J,Prod_Prop!$B:$B,$Q866,Prod_Prop!$H:$H,V866,Prod_Prop!$I:$I,W$1)*IF(V866="Peso",$R866,1))</f>
        <v/>
      </c>
      <c r="X866" s="4" t="str">
        <f>IF(V866="","",SUMIFS(Prod_Prop!$J:$J,Prod_Prop!$B:$B,$Q866,Prod_Prop!$H:$H,V866,Prod_Prop!$I:$I,X$1)*IF(V866="Peso",$R866,1))</f>
        <v/>
      </c>
      <c r="Y866" s="4" t="str">
        <f>IFERROR(__xludf.DUMMYFUNCTION("IF(OR($U866="""",COUNTIF($I:$I,IFERROR(unique(filter(Prod_Prop!$H:$H,Prod_Prop!$G:$G=$U866,Prod_Prop!$E:$E=Y$1)),""Check""))=0),"""",IFERROR(unique(filter(Prod_Prop!$H:$H,Prod_Prop!$G:$G=$U866,Prod_Prop!$E:$E=Y$1)),""""))"),"")</f>
        <v/>
      </c>
      <c r="Z866" s="4" t="str">
        <f>IF(Y866="","",SUMIFS(Prod_Prop!$J:$J,Prod_Prop!$B:$B,$Q866,Prod_Prop!$H:$H,Y866,Prod_Prop!$I:$I,Z$1)*IF(Y866="Peso",$R866,1))</f>
        <v/>
      </c>
      <c r="AA866" s="4" t="str">
        <f>IF(Y866="","",SUMIFS(Prod_Prop!$J:$J,Prod_Prop!$B:$B,$Q866,Prod_Prop!$H:$H,Y866,Prod_Prop!$I:$I,AA$1)*IF(Y866="Peso",$R866,1))</f>
        <v/>
      </c>
      <c r="AB866" s="4" t="str">
        <f>IFERROR(__xludf.DUMMYFUNCTION("IF(OR($U866="""",COUNTIF($I:$I,IFERROR(unique(filter(Prod_Prop!$H:$H,Prod_Prop!$G:$G=$U866,Prod_Prop!$E:$E=AB$1)),""Check""))=0),"""",IFERROR(unique(filter(Prod_Prop!$H:$H,Prod_Prop!$G:$G=$U866,Prod_Prop!$E:$E=AB$1)),""""))"),"")</f>
        <v/>
      </c>
      <c r="AC866" s="4" t="str">
        <f>IF(AB866="","",SUMIFS(Prod_Prop!$J:$J,Prod_Prop!$B:$B,$Q866,Prod_Prop!$H:$H,AB866,Prod_Prop!$I:$I,AC$1)*IF(AB866="Peso",$R866,1))</f>
        <v/>
      </c>
      <c r="AD866" s="4" t="str">
        <f>IF(AB866="","",SUMIFS(Prod_Prop!$J:$J,Prod_Prop!$B:$B,$Q866,Prod_Prop!$H:$H,AB866,Prod_Prop!$I:$I,AD$1)*IF(AB866="Peso",$R866,1))</f>
        <v/>
      </c>
    </row>
    <row r="867">
      <c r="A867" s="4" t="str">
        <f t="array" ref="A867">IF(COUNTIF(A$1:A866,Cotizador!F$2)=maxifs(Familias!E:E,Familias!D:D,Cotizador!F$2),IF(COUNTIF(A$1:A866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7" s="4" t="str">
        <f t="shared" si="1"/>
        <v/>
      </c>
      <c r="C867" s="4" t="str">
        <f t="array" ref="C867">IF(B867="","",IF(A867=XLOOKUP(A$2,Implementos!B:B,Implementos!C:C,"",0,1),B867+maxifs(B$1:B866,A$1:A866,A$2),B867))</f>
        <v/>
      </c>
      <c r="D867" s="4" t="str">
        <f>IF(B867="","", COUNTIFS(Productos!F:F,A867,Productos!H:H,B867)+IF(F867="SI",0,1))</f>
        <v/>
      </c>
      <c r="E867" s="4" t="str">
        <f>IFERROR(__xludf.DUMMYFUNCTION("IF($B867="""","""",INDEX(filter(Familias!F:F,Familias!$D:$D=$A867,Familias!$E:$E=$B867),1))"),"")</f>
        <v/>
      </c>
      <c r="F867" s="4" t="str">
        <f>IFERROR(__xludf.DUMMYFUNCTION("IF($B867="""","""",INDEX(filter(Familias!G:G,Familias!$D:$D=$A867,Familias!$E:$E=$B867),1))"),"")</f>
        <v/>
      </c>
      <c r="G867" s="4" t="str">
        <f t="array" ref="G867">IF(C867=1,XLOOKUP(C867,Cotizador!D:D,Cotizador!E:E,"",0,1),"")</f>
        <v/>
      </c>
      <c r="I867" s="4"/>
      <c r="J867" s="8" t="str">
        <f>IF(I867="","",SUMIF(Cotizador!I$1:V$1,I867,Cotizador!I$2:V$2))</f>
        <v/>
      </c>
      <c r="L867" s="4" t="str">
        <f t="array" ref="L867">IF(COUNTIF(L$1:L866,A$2)=SUMIF(A:A,A$2,D:D),IF(COUNTIF(L$1:L866,XLOOKUP(A$2,Implementos!B:B,Implementos!C:C,"",0,1))=SUMIF(A:A,XLOOKUP(A$2,Implementos!B:B,Implementos!C:C,"",0,1),D:D),"",XLOOKUP(A$2,Implementos!B:B,Implementos!C:C,"",0,1)),A$2)</f>
        <v/>
      </c>
      <c r="M867" s="4" t="str">
        <f t="shared" si="2"/>
        <v/>
      </c>
      <c r="N867" s="4" t="str">
        <f t="shared" si="3"/>
        <v/>
      </c>
      <c r="O867" s="4" t="str">
        <f t="shared" si="4"/>
        <v/>
      </c>
      <c r="P867" s="4" t="str">
        <f t="shared" si="5"/>
        <v/>
      </c>
      <c r="Q867" s="4" t="str">
        <f>IF(U867="","",SUMIF(Productos!E:E,U867,Productos!A:A))</f>
        <v/>
      </c>
      <c r="R867" s="4" t="str">
        <f t="array" ref="R867">IF(L867="","", max(1,SUMIF(I:I,XLOOKUP(U867,Productos!E:E,Productos!G:G,"",0,1),J:J)))</f>
        <v/>
      </c>
      <c r="S867" s="4" t="str">
        <f>IF(Q867="","",IF(SUMIFS(Compat_Vetado!D:D,Compat_Vetado!B:B,SUM(G:G),Compat_Vetado!C:C,Q867)=1,"SI",IF(OR(SUMIF(Cotizador!E:E,Q867,Cotizador!G:G)&gt;0,SUMIFS(Compat_Vetado!D:D,Compat_Vetado!B:B,SUM(G:G),Compat_Vetado!C:C,Q867)=-1),"NO","")))</f>
        <v/>
      </c>
      <c r="T867" s="4" t="str">
        <f t="shared" si="6"/>
        <v/>
      </c>
      <c r="U867" s="4" t="str">
        <f>IFERROR(__xludf.DUMMYFUNCTION("IF(P867="""","""",IFERROR(INDEX(filter(Productos!E:E,Productos!F:F=L867,Productos!H:H=N867),P867),IF(M867=SUM(D:D),""Finalizar"",""-"")))"),"")</f>
        <v/>
      </c>
      <c r="V867" s="4" t="str">
        <f>IFERROR(__xludf.DUMMYFUNCTION("IF(OR($U867="""",COUNTIF($I:$I,IFERROR(unique(filter(Prod_Prop!$H:$H,Prod_Prop!$G:$G=$U867,Prod_Prop!$E:$E=V$1)),""Check""))=0),"""",IFERROR(unique(filter(Prod_Prop!$H:$H,Prod_Prop!$G:$G=$U867,Prod_Prop!$E:$E=V$1)),""""))"),"")</f>
        <v/>
      </c>
      <c r="W867" s="4" t="str">
        <f>IF(V867="","",SUMIFS(Prod_Prop!$J:$J,Prod_Prop!$B:$B,$Q867,Prod_Prop!$H:$H,V867,Prod_Prop!$I:$I,W$1)*IF(V867="Peso",$R867,1))</f>
        <v/>
      </c>
      <c r="X867" s="4" t="str">
        <f>IF(V867="","",SUMIFS(Prod_Prop!$J:$J,Prod_Prop!$B:$B,$Q867,Prod_Prop!$H:$H,V867,Prod_Prop!$I:$I,X$1)*IF(V867="Peso",$R867,1))</f>
        <v/>
      </c>
      <c r="Y867" s="4" t="str">
        <f>IFERROR(__xludf.DUMMYFUNCTION("IF(OR($U867="""",COUNTIF($I:$I,IFERROR(unique(filter(Prod_Prop!$H:$H,Prod_Prop!$G:$G=$U867,Prod_Prop!$E:$E=Y$1)),""Check""))=0),"""",IFERROR(unique(filter(Prod_Prop!$H:$H,Prod_Prop!$G:$G=$U867,Prod_Prop!$E:$E=Y$1)),""""))"),"")</f>
        <v/>
      </c>
      <c r="Z867" s="4" t="str">
        <f>IF(Y867="","",SUMIFS(Prod_Prop!$J:$J,Prod_Prop!$B:$B,$Q867,Prod_Prop!$H:$H,Y867,Prod_Prop!$I:$I,Z$1)*IF(Y867="Peso",$R867,1))</f>
        <v/>
      </c>
      <c r="AA867" s="4" t="str">
        <f>IF(Y867="","",SUMIFS(Prod_Prop!$J:$J,Prod_Prop!$B:$B,$Q867,Prod_Prop!$H:$H,Y867,Prod_Prop!$I:$I,AA$1)*IF(Y867="Peso",$R867,1))</f>
        <v/>
      </c>
      <c r="AB867" s="4" t="str">
        <f>IFERROR(__xludf.DUMMYFUNCTION("IF(OR($U867="""",COUNTIF($I:$I,IFERROR(unique(filter(Prod_Prop!$H:$H,Prod_Prop!$G:$G=$U867,Prod_Prop!$E:$E=AB$1)),""Check""))=0),"""",IFERROR(unique(filter(Prod_Prop!$H:$H,Prod_Prop!$G:$G=$U867,Prod_Prop!$E:$E=AB$1)),""""))"),"")</f>
        <v/>
      </c>
      <c r="AC867" s="4" t="str">
        <f>IF(AB867="","",SUMIFS(Prod_Prop!$J:$J,Prod_Prop!$B:$B,$Q867,Prod_Prop!$H:$H,AB867,Prod_Prop!$I:$I,AC$1)*IF(AB867="Peso",$R867,1))</f>
        <v/>
      </c>
      <c r="AD867" s="4" t="str">
        <f>IF(AB867="","",SUMIFS(Prod_Prop!$J:$J,Prod_Prop!$B:$B,$Q867,Prod_Prop!$H:$H,AB867,Prod_Prop!$I:$I,AD$1)*IF(AB867="Peso",$R867,1))</f>
        <v/>
      </c>
    </row>
    <row r="868">
      <c r="A868" s="4" t="str">
        <f t="array" ref="A868">IF(COUNTIF(A$1:A867,Cotizador!F$2)=maxifs(Familias!E:E,Familias!D:D,Cotizador!F$2),IF(COUNTIF(A$1:A867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8" s="4" t="str">
        <f t="shared" si="1"/>
        <v/>
      </c>
      <c r="C868" s="4" t="str">
        <f t="array" ref="C868">IF(B868="","",IF(A868=XLOOKUP(A$2,Implementos!B:B,Implementos!C:C,"",0,1),B868+maxifs(B$1:B867,A$1:A867,A$2),B868))</f>
        <v/>
      </c>
      <c r="D868" s="4" t="str">
        <f>IF(B868="","", COUNTIFS(Productos!F:F,A868,Productos!H:H,B868)+IF(F868="SI",0,1))</f>
        <v/>
      </c>
      <c r="E868" s="4" t="str">
        <f>IFERROR(__xludf.DUMMYFUNCTION("IF($B868="""","""",INDEX(filter(Familias!F:F,Familias!$D:$D=$A868,Familias!$E:$E=$B868),1))"),"")</f>
        <v/>
      </c>
      <c r="F868" s="4" t="str">
        <f>IFERROR(__xludf.DUMMYFUNCTION("IF($B868="""","""",INDEX(filter(Familias!G:G,Familias!$D:$D=$A868,Familias!$E:$E=$B868),1))"),"")</f>
        <v/>
      </c>
      <c r="G868" s="4" t="str">
        <f t="array" ref="G868">IF(C868=1,XLOOKUP(C868,Cotizador!D:D,Cotizador!E:E,"",0,1),"")</f>
        <v/>
      </c>
      <c r="I868" s="4"/>
      <c r="J868" s="8" t="str">
        <f>IF(I868="","",SUMIF(Cotizador!I$1:V$1,I868,Cotizador!I$2:V$2))</f>
        <v/>
      </c>
      <c r="L868" s="4" t="str">
        <f t="array" ref="L868">IF(COUNTIF(L$1:L867,A$2)=SUMIF(A:A,A$2,D:D),IF(COUNTIF(L$1:L867,XLOOKUP(A$2,Implementos!B:B,Implementos!C:C,"",0,1))=SUMIF(A:A,XLOOKUP(A$2,Implementos!B:B,Implementos!C:C,"",0,1),D:D),"",XLOOKUP(A$2,Implementos!B:B,Implementos!C:C,"",0,1)),A$2)</f>
        <v/>
      </c>
      <c r="M868" s="4" t="str">
        <f t="shared" si="2"/>
        <v/>
      </c>
      <c r="N868" s="4" t="str">
        <f t="shared" si="3"/>
        <v/>
      </c>
      <c r="O868" s="4" t="str">
        <f t="shared" si="4"/>
        <v/>
      </c>
      <c r="P868" s="4" t="str">
        <f t="shared" si="5"/>
        <v/>
      </c>
      <c r="Q868" s="4" t="str">
        <f>IF(U868="","",SUMIF(Productos!E:E,U868,Productos!A:A))</f>
        <v/>
      </c>
      <c r="R868" s="4" t="str">
        <f t="array" ref="R868">IF(L868="","", max(1,SUMIF(I:I,XLOOKUP(U868,Productos!E:E,Productos!G:G,"",0,1),J:J)))</f>
        <v/>
      </c>
      <c r="S868" s="4" t="str">
        <f>IF(Q868="","",IF(SUMIFS(Compat_Vetado!D:D,Compat_Vetado!B:B,SUM(G:G),Compat_Vetado!C:C,Q868)=1,"SI",IF(OR(SUMIF(Cotizador!E:E,Q868,Cotizador!G:G)&gt;0,SUMIFS(Compat_Vetado!D:D,Compat_Vetado!B:B,SUM(G:G),Compat_Vetado!C:C,Q868)=-1),"NO","")))</f>
        <v/>
      </c>
      <c r="T868" s="4" t="str">
        <f t="shared" si="6"/>
        <v/>
      </c>
      <c r="U868" s="4" t="str">
        <f>IFERROR(__xludf.DUMMYFUNCTION("IF(P868="""","""",IFERROR(INDEX(filter(Productos!E:E,Productos!F:F=L868,Productos!H:H=N868),P868),IF(M868=SUM(D:D),""Finalizar"",""-"")))"),"")</f>
        <v/>
      </c>
      <c r="V868" s="4" t="str">
        <f>IFERROR(__xludf.DUMMYFUNCTION("IF(OR($U868="""",COUNTIF($I:$I,IFERROR(unique(filter(Prod_Prop!$H:$H,Prod_Prop!$G:$G=$U868,Prod_Prop!$E:$E=V$1)),""Check""))=0),"""",IFERROR(unique(filter(Prod_Prop!$H:$H,Prod_Prop!$G:$G=$U868,Prod_Prop!$E:$E=V$1)),""""))"),"")</f>
        <v/>
      </c>
      <c r="W868" s="4" t="str">
        <f>IF(V868="","",SUMIFS(Prod_Prop!$J:$J,Prod_Prop!$B:$B,$Q868,Prod_Prop!$H:$H,V868,Prod_Prop!$I:$I,W$1)*IF(V868="Peso",$R868,1))</f>
        <v/>
      </c>
      <c r="X868" s="4" t="str">
        <f>IF(V868="","",SUMIFS(Prod_Prop!$J:$J,Prod_Prop!$B:$B,$Q868,Prod_Prop!$H:$H,V868,Prod_Prop!$I:$I,X$1)*IF(V868="Peso",$R868,1))</f>
        <v/>
      </c>
      <c r="Y868" s="4" t="str">
        <f>IFERROR(__xludf.DUMMYFUNCTION("IF(OR($U868="""",COUNTIF($I:$I,IFERROR(unique(filter(Prod_Prop!$H:$H,Prod_Prop!$G:$G=$U868,Prod_Prop!$E:$E=Y$1)),""Check""))=0),"""",IFERROR(unique(filter(Prod_Prop!$H:$H,Prod_Prop!$G:$G=$U868,Prod_Prop!$E:$E=Y$1)),""""))"),"")</f>
        <v/>
      </c>
      <c r="Z868" s="4" t="str">
        <f>IF(Y868="","",SUMIFS(Prod_Prop!$J:$J,Prod_Prop!$B:$B,$Q868,Prod_Prop!$H:$H,Y868,Prod_Prop!$I:$I,Z$1)*IF(Y868="Peso",$R868,1))</f>
        <v/>
      </c>
      <c r="AA868" s="4" t="str">
        <f>IF(Y868="","",SUMIFS(Prod_Prop!$J:$J,Prod_Prop!$B:$B,$Q868,Prod_Prop!$H:$H,Y868,Prod_Prop!$I:$I,AA$1)*IF(Y868="Peso",$R868,1))</f>
        <v/>
      </c>
      <c r="AB868" s="4" t="str">
        <f>IFERROR(__xludf.DUMMYFUNCTION("IF(OR($U868="""",COUNTIF($I:$I,IFERROR(unique(filter(Prod_Prop!$H:$H,Prod_Prop!$G:$G=$U868,Prod_Prop!$E:$E=AB$1)),""Check""))=0),"""",IFERROR(unique(filter(Prod_Prop!$H:$H,Prod_Prop!$G:$G=$U868,Prod_Prop!$E:$E=AB$1)),""""))"),"")</f>
        <v/>
      </c>
      <c r="AC868" s="4" t="str">
        <f>IF(AB868="","",SUMIFS(Prod_Prop!$J:$J,Prod_Prop!$B:$B,$Q868,Prod_Prop!$H:$H,AB868,Prod_Prop!$I:$I,AC$1)*IF(AB868="Peso",$R868,1))</f>
        <v/>
      </c>
      <c r="AD868" s="4" t="str">
        <f>IF(AB868="","",SUMIFS(Prod_Prop!$J:$J,Prod_Prop!$B:$B,$Q868,Prod_Prop!$H:$H,AB868,Prod_Prop!$I:$I,AD$1)*IF(AB868="Peso",$R868,1))</f>
        <v/>
      </c>
    </row>
    <row r="869">
      <c r="A869" s="4" t="str">
        <f t="array" ref="A869">IF(COUNTIF(A$1:A868,Cotizador!F$2)=maxifs(Familias!E:E,Familias!D:D,Cotizador!F$2),IF(COUNTIF(A$1:A868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69" s="4" t="str">
        <f t="shared" si="1"/>
        <v/>
      </c>
      <c r="C869" s="4" t="str">
        <f t="array" ref="C869">IF(B869="","",IF(A869=XLOOKUP(A$2,Implementos!B:B,Implementos!C:C,"",0,1),B869+maxifs(B$1:B868,A$1:A868,A$2),B869))</f>
        <v/>
      </c>
      <c r="D869" s="4" t="str">
        <f>IF(B869="","", COUNTIFS(Productos!F:F,A869,Productos!H:H,B869)+IF(F869="SI",0,1))</f>
        <v/>
      </c>
      <c r="E869" s="4" t="str">
        <f>IFERROR(__xludf.DUMMYFUNCTION("IF($B869="""","""",INDEX(filter(Familias!F:F,Familias!$D:$D=$A869,Familias!$E:$E=$B869),1))"),"")</f>
        <v/>
      </c>
      <c r="F869" s="4" t="str">
        <f>IFERROR(__xludf.DUMMYFUNCTION("IF($B869="""","""",INDEX(filter(Familias!G:G,Familias!$D:$D=$A869,Familias!$E:$E=$B869),1))"),"")</f>
        <v/>
      </c>
      <c r="G869" s="4" t="str">
        <f t="array" ref="G869">IF(C869=1,XLOOKUP(C869,Cotizador!D:D,Cotizador!E:E,"",0,1),"")</f>
        <v/>
      </c>
      <c r="I869" s="4"/>
      <c r="J869" s="8" t="str">
        <f>IF(I869="","",SUMIF(Cotizador!I$1:V$1,I869,Cotizador!I$2:V$2))</f>
        <v/>
      </c>
      <c r="L869" s="4" t="str">
        <f t="array" ref="L869">IF(COUNTIF(L$1:L868,A$2)=SUMIF(A:A,A$2,D:D),IF(COUNTIF(L$1:L868,XLOOKUP(A$2,Implementos!B:B,Implementos!C:C,"",0,1))=SUMIF(A:A,XLOOKUP(A$2,Implementos!B:B,Implementos!C:C,"",0,1),D:D),"",XLOOKUP(A$2,Implementos!B:B,Implementos!C:C,"",0,1)),A$2)</f>
        <v/>
      </c>
      <c r="M869" s="4" t="str">
        <f t="shared" si="2"/>
        <v/>
      </c>
      <c r="N869" s="4" t="str">
        <f t="shared" si="3"/>
        <v/>
      </c>
      <c r="O869" s="4" t="str">
        <f t="shared" si="4"/>
        <v/>
      </c>
      <c r="P869" s="4" t="str">
        <f t="shared" si="5"/>
        <v/>
      </c>
      <c r="Q869" s="4" t="str">
        <f>IF(U869="","",SUMIF(Productos!E:E,U869,Productos!A:A))</f>
        <v/>
      </c>
      <c r="R869" s="4" t="str">
        <f t="array" ref="R869">IF(L869="","", max(1,SUMIF(I:I,XLOOKUP(U869,Productos!E:E,Productos!G:G,"",0,1),J:J)))</f>
        <v/>
      </c>
      <c r="S869" s="4" t="str">
        <f>IF(Q869="","",IF(SUMIFS(Compat_Vetado!D:D,Compat_Vetado!B:B,SUM(G:G),Compat_Vetado!C:C,Q869)=1,"SI",IF(OR(SUMIF(Cotizador!E:E,Q869,Cotizador!G:G)&gt;0,SUMIFS(Compat_Vetado!D:D,Compat_Vetado!B:B,SUM(G:G),Compat_Vetado!C:C,Q869)=-1),"NO","")))</f>
        <v/>
      </c>
      <c r="T869" s="4" t="str">
        <f t="shared" si="6"/>
        <v/>
      </c>
      <c r="U869" s="4" t="str">
        <f>IFERROR(__xludf.DUMMYFUNCTION("IF(P869="""","""",IFERROR(INDEX(filter(Productos!E:E,Productos!F:F=L869,Productos!H:H=N869),P869),IF(M869=SUM(D:D),""Finalizar"",""-"")))"),"")</f>
        <v/>
      </c>
      <c r="V869" s="4" t="str">
        <f>IFERROR(__xludf.DUMMYFUNCTION("IF(OR($U869="""",COUNTIF($I:$I,IFERROR(unique(filter(Prod_Prop!$H:$H,Prod_Prop!$G:$G=$U869,Prod_Prop!$E:$E=V$1)),""Check""))=0),"""",IFERROR(unique(filter(Prod_Prop!$H:$H,Prod_Prop!$G:$G=$U869,Prod_Prop!$E:$E=V$1)),""""))"),"")</f>
        <v/>
      </c>
      <c r="W869" s="4" t="str">
        <f>IF(V869="","",SUMIFS(Prod_Prop!$J:$J,Prod_Prop!$B:$B,$Q869,Prod_Prop!$H:$H,V869,Prod_Prop!$I:$I,W$1)*IF(V869="Peso",$R869,1))</f>
        <v/>
      </c>
      <c r="X869" s="4" t="str">
        <f>IF(V869="","",SUMIFS(Prod_Prop!$J:$J,Prod_Prop!$B:$B,$Q869,Prod_Prop!$H:$H,V869,Prod_Prop!$I:$I,X$1)*IF(V869="Peso",$R869,1))</f>
        <v/>
      </c>
      <c r="Y869" s="4" t="str">
        <f>IFERROR(__xludf.DUMMYFUNCTION("IF(OR($U869="""",COUNTIF($I:$I,IFERROR(unique(filter(Prod_Prop!$H:$H,Prod_Prop!$G:$G=$U869,Prod_Prop!$E:$E=Y$1)),""Check""))=0),"""",IFERROR(unique(filter(Prod_Prop!$H:$H,Prod_Prop!$G:$G=$U869,Prod_Prop!$E:$E=Y$1)),""""))"),"")</f>
        <v/>
      </c>
      <c r="Z869" s="4" t="str">
        <f>IF(Y869="","",SUMIFS(Prod_Prop!$J:$J,Prod_Prop!$B:$B,$Q869,Prod_Prop!$H:$H,Y869,Prod_Prop!$I:$I,Z$1)*IF(Y869="Peso",$R869,1))</f>
        <v/>
      </c>
      <c r="AA869" s="4" t="str">
        <f>IF(Y869="","",SUMIFS(Prod_Prop!$J:$J,Prod_Prop!$B:$B,$Q869,Prod_Prop!$H:$H,Y869,Prod_Prop!$I:$I,AA$1)*IF(Y869="Peso",$R869,1))</f>
        <v/>
      </c>
      <c r="AB869" s="4" t="str">
        <f>IFERROR(__xludf.DUMMYFUNCTION("IF(OR($U869="""",COUNTIF($I:$I,IFERROR(unique(filter(Prod_Prop!$H:$H,Prod_Prop!$G:$G=$U869,Prod_Prop!$E:$E=AB$1)),""Check""))=0),"""",IFERROR(unique(filter(Prod_Prop!$H:$H,Prod_Prop!$G:$G=$U869,Prod_Prop!$E:$E=AB$1)),""""))"),"")</f>
        <v/>
      </c>
      <c r="AC869" s="4" t="str">
        <f>IF(AB869="","",SUMIFS(Prod_Prop!$J:$J,Prod_Prop!$B:$B,$Q869,Prod_Prop!$H:$H,AB869,Prod_Prop!$I:$I,AC$1)*IF(AB869="Peso",$R869,1))</f>
        <v/>
      </c>
      <c r="AD869" s="4" t="str">
        <f>IF(AB869="","",SUMIFS(Prod_Prop!$J:$J,Prod_Prop!$B:$B,$Q869,Prod_Prop!$H:$H,AB869,Prod_Prop!$I:$I,AD$1)*IF(AB869="Peso",$R869,1))</f>
        <v/>
      </c>
    </row>
    <row r="870">
      <c r="A870" s="4" t="str">
        <f t="array" ref="A870">IF(COUNTIF(A$1:A869,Cotizador!F$2)=maxifs(Familias!E:E,Familias!D:D,Cotizador!F$2),IF(COUNTIF(A$1:A869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0" s="4" t="str">
        <f t="shared" si="1"/>
        <v/>
      </c>
      <c r="C870" s="4" t="str">
        <f t="array" ref="C870">IF(B870="","",IF(A870=XLOOKUP(A$2,Implementos!B:B,Implementos!C:C,"",0,1),B870+maxifs(B$1:B869,A$1:A869,A$2),B870))</f>
        <v/>
      </c>
      <c r="D870" s="4" t="str">
        <f>IF(B870="","", COUNTIFS(Productos!F:F,A870,Productos!H:H,B870)+IF(F870="SI",0,1))</f>
        <v/>
      </c>
      <c r="E870" s="4" t="str">
        <f>IFERROR(__xludf.DUMMYFUNCTION("IF($B870="""","""",INDEX(filter(Familias!F:F,Familias!$D:$D=$A870,Familias!$E:$E=$B870),1))"),"")</f>
        <v/>
      </c>
      <c r="F870" s="4" t="str">
        <f>IFERROR(__xludf.DUMMYFUNCTION("IF($B870="""","""",INDEX(filter(Familias!G:G,Familias!$D:$D=$A870,Familias!$E:$E=$B870),1))"),"")</f>
        <v/>
      </c>
      <c r="G870" s="4" t="str">
        <f t="array" ref="G870">IF(C870=1,XLOOKUP(C870,Cotizador!D:D,Cotizador!E:E,"",0,1),"")</f>
        <v/>
      </c>
      <c r="I870" s="4"/>
      <c r="J870" s="8" t="str">
        <f>IF(I870="","",SUMIF(Cotizador!I$1:V$1,I870,Cotizador!I$2:V$2))</f>
        <v/>
      </c>
      <c r="L870" s="4" t="str">
        <f t="array" ref="L870">IF(COUNTIF(L$1:L869,A$2)=SUMIF(A:A,A$2,D:D),IF(COUNTIF(L$1:L869,XLOOKUP(A$2,Implementos!B:B,Implementos!C:C,"",0,1))=SUMIF(A:A,XLOOKUP(A$2,Implementos!B:B,Implementos!C:C,"",0,1),D:D),"",XLOOKUP(A$2,Implementos!B:B,Implementos!C:C,"",0,1)),A$2)</f>
        <v/>
      </c>
      <c r="M870" s="4" t="str">
        <f t="shared" si="2"/>
        <v/>
      </c>
      <c r="N870" s="4" t="str">
        <f t="shared" si="3"/>
        <v/>
      </c>
      <c r="O870" s="4" t="str">
        <f t="shared" si="4"/>
        <v/>
      </c>
      <c r="P870" s="4" t="str">
        <f t="shared" si="5"/>
        <v/>
      </c>
      <c r="Q870" s="4" t="str">
        <f>IF(U870="","",SUMIF(Productos!E:E,U870,Productos!A:A))</f>
        <v/>
      </c>
      <c r="R870" s="4" t="str">
        <f t="array" ref="R870">IF(L870="","", max(1,SUMIF(I:I,XLOOKUP(U870,Productos!E:E,Productos!G:G,"",0,1),J:J)))</f>
        <v/>
      </c>
      <c r="S870" s="4" t="str">
        <f>IF(Q870="","",IF(SUMIFS(Compat_Vetado!D:D,Compat_Vetado!B:B,SUM(G:G),Compat_Vetado!C:C,Q870)=1,"SI",IF(OR(SUMIF(Cotizador!E:E,Q870,Cotizador!G:G)&gt;0,SUMIFS(Compat_Vetado!D:D,Compat_Vetado!B:B,SUM(G:G),Compat_Vetado!C:C,Q870)=-1),"NO","")))</f>
        <v/>
      </c>
      <c r="T870" s="4" t="str">
        <f t="shared" si="6"/>
        <v/>
      </c>
      <c r="U870" s="4" t="str">
        <f>IFERROR(__xludf.DUMMYFUNCTION("IF(P870="""","""",IFERROR(INDEX(filter(Productos!E:E,Productos!F:F=L870,Productos!H:H=N870),P870),IF(M870=SUM(D:D),""Finalizar"",""-"")))"),"")</f>
        <v/>
      </c>
      <c r="V870" s="4" t="str">
        <f>IFERROR(__xludf.DUMMYFUNCTION("IF(OR($U870="""",COUNTIF($I:$I,IFERROR(unique(filter(Prod_Prop!$H:$H,Prod_Prop!$G:$G=$U870,Prod_Prop!$E:$E=V$1)),""Check""))=0),"""",IFERROR(unique(filter(Prod_Prop!$H:$H,Prod_Prop!$G:$G=$U870,Prod_Prop!$E:$E=V$1)),""""))"),"")</f>
        <v/>
      </c>
      <c r="W870" s="4" t="str">
        <f>IF(V870="","",SUMIFS(Prod_Prop!$J:$J,Prod_Prop!$B:$B,$Q870,Prod_Prop!$H:$H,V870,Prod_Prop!$I:$I,W$1)*IF(V870="Peso",$R870,1))</f>
        <v/>
      </c>
      <c r="X870" s="4" t="str">
        <f>IF(V870="","",SUMIFS(Prod_Prop!$J:$J,Prod_Prop!$B:$B,$Q870,Prod_Prop!$H:$H,V870,Prod_Prop!$I:$I,X$1)*IF(V870="Peso",$R870,1))</f>
        <v/>
      </c>
      <c r="Y870" s="4" t="str">
        <f>IFERROR(__xludf.DUMMYFUNCTION("IF(OR($U870="""",COUNTIF($I:$I,IFERROR(unique(filter(Prod_Prop!$H:$H,Prod_Prop!$G:$G=$U870,Prod_Prop!$E:$E=Y$1)),""Check""))=0),"""",IFERROR(unique(filter(Prod_Prop!$H:$H,Prod_Prop!$G:$G=$U870,Prod_Prop!$E:$E=Y$1)),""""))"),"")</f>
        <v/>
      </c>
      <c r="Z870" s="4" t="str">
        <f>IF(Y870="","",SUMIFS(Prod_Prop!$J:$J,Prod_Prop!$B:$B,$Q870,Prod_Prop!$H:$H,Y870,Prod_Prop!$I:$I,Z$1)*IF(Y870="Peso",$R870,1))</f>
        <v/>
      </c>
      <c r="AA870" s="4" t="str">
        <f>IF(Y870="","",SUMIFS(Prod_Prop!$J:$J,Prod_Prop!$B:$B,$Q870,Prod_Prop!$H:$H,Y870,Prod_Prop!$I:$I,AA$1)*IF(Y870="Peso",$R870,1))</f>
        <v/>
      </c>
      <c r="AB870" s="4" t="str">
        <f>IFERROR(__xludf.DUMMYFUNCTION("IF(OR($U870="""",COUNTIF($I:$I,IFERROR(unique(filter(Prod_Prop!$H:$H,Prod_Prop!$G:$G=$U870,Prod_Prop!$E:$E=AB$1)),""Check""))=0),"""",IFERROR(unique(filter(Prod_Prop!$H:$H,Prod_Prop!$G:$G=$U870,Prod_Prop!$E:$E=AB$1)),""""))"),"")</f>
        <v/>
      </c>
      <c r="AC870" s="4" t="str">
        <f>IF(AB870="","",SUMIFS(Prod_Prop!$J:$J,Prod_Prop!$B:$B,$Q870,Prod_Prop!$H:$H,AB870,Prod_Prop!$I:$I,AC$1)*IF(AB870="Peso",$R870,1))</f>
        <v/>
      </c>
      <c r="AD870" s="4" t="str">
        <f>IF(AB870="","",SUMIFS(Prod_Prop!$J:$J,Prod_Prop!$B:$B,$Q870,Prod_Prop!$H:$H,AB870,Prod_Prop!$I:$I,AD$1)*IF(AB870="Peso",$R870,1))</f>
        <v/>
      </c>
    </row>
    <row r="871">
      <c r="A871" s="4" t="str">
        <f t="array" ref="A871">IF(COUNTIF(A$1:A870,Cotizador!F$2)=maxifs(Familias!E:E,Familias!D:D,Cotizador!F$2),IF(COUNTIF(A$1:A870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1" s="4" t="str">
        <f t="shared" si="1"/>
        <v/>
      </c>
      <c r="C871" s="4" t="str">
        <f t="array" ref="C871">IF(B871="","",IF(A871=XLOOKUP(A$2,Implementos!B:B,Implementos!C:C,"",0,1),B871+maxifs(B$1:B870,A$1:A870,A$2),B871))</f>
        <v/>
      </c>
      <c r="D871" s="4" t="str">
        <f>IF(B871="","", COUNTIFS(Productos!F:F,A871,Productos!H:H,B871)+IF(F871="SI",0,1))</f>
        <v/>
      </c>
      <c r="E871" s="4" t="str">
        <f>IFERROR(__xludf.DUMMYFUNCTION("IF($B871="""","""",INDEX(filter(Familias!F:F,Familias!$D:$D=$A871,Familias!$E:$E=$B871),1))"),"")</f>
        <v/>
      </c>
      <c r="F871" s="4" t="str">
        <f>IFERROR(__xludf.DUMMYFUNCTION("IF($B871="""","""",INDEX(filter(Familias!G:G,Familias!$D:$D=$A871,Familias!$E:$E=$B871),1))"),"")</f>
        <v/>
      </c>
      <c r="G871" s="4" t="str">
        <f t="array" ref="G871">IF(C871=1,XLOOKUP(C871,Cotizador!D:D,Cotizador!E:E,"",0,1),"")</f>
        <v/>
      </c>
      <c r="I871" s="4"/>
      <c r="J871" s="8" t="str">
        <f>IF(I871="","",SUMIF(Cotizador!I$1:V$1,I871,Cotizador!I$2:V$2))</f>
        <v/>
      </c>
      <c r="L871" s="4" t="str">
        <f t="array" ref="L871">IF(COUNTIF(L$1:L870,A$2)=SUMIF(A:A,A$2,D:D),IF(COUNTIF(L$1:L870,XLOOKUP(A$2,Implementos!B:B,Implementos!C:C,"",0,1))=SUMIF(A:A,XLOOKUP(A$2,Implementos!B:B,Implementos!C:C,"",0,1),D:D),"",XLOOKUP(A$2,Implementos!B:B,Implementos!C:C,"",0,1)),A$2)</f>
        <v/>
      </c>
      <c r="M871" s="4" t="str">
        <f t="shared" si="2"/>
        <v/>
      </c>
      <c r="N871" s="4" t="str">
        <f t="shared" si="3"/>
        <v/>
      </c>
      <c r="O871" s="4" t="str">
        <f t="shared" si="4"/>
        <v/>
      </c>
      <c r="P871" s="4" t="str">
        <f t="shared" si="5"/>
        <v/>
      </c>
      <c r="Q871" s="4" t="str">
        <f>IF(U871="","",SUMIF(Productos!E:E,U871,Productos!A:A))</f>
        <v/>
      </c>
      <c r="R871" s="4" t="str">
        <f t="array" ref="R871">IF(L871="","", max(1,SUMIF(I:I,XLOOKUP(U871,Productos!E:E,Productos!G:G,"",0,1),J:J)))</f>
        <v/>
      </c>
      <c r="S871" s="4" t="str">
        <f>IF(Q871="","",IF(SUMIFS(Compat_Vetado!D:D,Compat_Vetado!B:B,SUM(G:G),Compat_Vetado!C:C,Q871)=1,"SI",IF(OR(SUMIF(Cotizador!E:E,Q871,Cotizador!G:G)&gt;0,SUMIFS(Compat_Vetado!D:D,Compat_Vetado!B:B,SUM(G:G),Compat_Vetado!C:C,Q871)=-1),"NO","")))</f>
        <v/>
      </c>
      <c r="T871" s="4" t="str">
        <f t="shared" si="6"/>
        <v/>
      </c>
      <c r="U871" s="4" t="str">
        <f>IFERROR(__xludf.DUMMYFUNCTION("IF(P871="""","""",IFERROR(INDEX(filter(Productos!E:E,Productos!F:F=L871,Productos!H:H=N871),P871),IF(M871=SUM(D:D),""Finalizar"",""-"")))"),"")</f>
        <v/>
      </c>
      <c r="V871" s="4" t="str">
        <f>IFERROR(__xludf.DUMMYFUNCTION("IF(OR($U871="""",COUNTIF($I:$I,IFERROR(unique(filter(Prod_Prop!$H:$H,Prod_Prop!$G:$G=$U871,Prod_Prop!$E:$E=V$1)),""Check""))=0),"""",IFERROR(unique(filter(Prod_Prop!$H:$H,Prod_Prop!$G:$G=$U871,Prod_Prop!$E:$E=V$1)),""""))"),"")</f>
        <v/>
      </c>
      <c r="W871" s="4" t="str">
        <f>IF(V871="","",SUMIFS(Prod_Prop!$J:$J,Prod_Prop!$B:$B,$Q871,Prod_Prop!$H:$H,V871,Prod_Prop!$I:$I,W$1)*IF(V871="Peso",$R871,1))</f>
        <v/>
      </c>
      <c r="X871" s="4" t="str">
        <f>IF(V871="","",SUMIFS(Prod_Prop!$J:$J,Prod_Prop!$B:$B,$Q871,Prod_Prop!$H:$H,V871,Prod_Prop!$I:$I,X$1)*IF(V871="Peso",$R871,1))</f>
        <v/>
      </c>
      <c r="Y871" s="4" t="str">
        <f>IFERROR(__xludf.DUMMYFUNCTION("IF(OR($U871="""",COUNTIF($I:$I,IFERROR(unique(filter(Prod_Prop!$H:$H,Prod_Prop!$G:$G=$U871,Prod_Prop!$E:$E=Y$1)),""Check""))=0),"""",IFERROR(unique(filter(Prod_Prop!$H:$H,Prod_Prop!$G:$G=$U871,Prod_Prop!$E:$E=Y$1)),""""))"),"")</f>
        <v/>
      </c>
      <c r="Z871" s="4" t="str">
        <f>IF(Y871="","",SUMIFS(Prod_Prop!$J:$J,Prod_Prop!$B:$B,$Q871,Prod_Prop!$H:$H,Y871,Prod_Prop!$I:$I,Z$1)*IF(Y871="Peso",$R871,1))</f>
        <v/>
      </c>
      <c r="AA871" s="4" t="str">
        <f>IF(Y871="","",SUMIFS(Prod_Prop!$J:$J,Prod_Prop!$B:$B,$Q871,Prod_Prop!$H:$H,Y871,Prod_Prop!$I:$I,AA$1)*IF(Y871="Peso",$R871,1))</f>
        <v/>
      </c>
      <c r="AB871" s="4" t="str">
        <f>IFERROR(__xludf.DUMMYFUNCTION("IF(OR($U871="""",COUNTIF($I:$I,IFERROR(unique(filter(Prod_Prop!$H:$H,Prod_Prop!$G:$G=$U871,Prod_Prop!$E:$E=AB$1)),""Check""))=0),"""",IFERROR(unique(filter(Prod_Prop!$H:$H,Prod_Prop!$G:$G=$U871,Prod_Prop!$E:$E=AB$1)),""""))"),"")</f>
        <v/>
      </c>
      <c r="AC871" s="4" t="str">
        <f>IF(AB871="","",SUMIFS(Prod_Prop!$J:$J,Prod_Prop!$B:$B,$Q871,Prod_Prop!$H:$H,AB871,Prod_Prop!$I:$I,AC$1)*IF(AB871="Peso",$R871,1))</f>
        <v/>
      </c>
      <c r="AD871" s="4" t="str">
        <f>IF(AB871="","",SUMIFS(Prod_Prop!$J:$J,Prod_Prop!$B:$B,$Q871,Prod_Prop!$H:$H,AB871,Prod_Prop!$I:$I,AD$1)*IF(AB871="Peso",$R871,1))</f>
        <v/>
      </c>
    </row>
    <row r="872">
      <c r="A872" s="4" t="str">
        <f t="array" ref="A872">IF(COUNTIF(A$1:A871,Cotizador!F$2)=maxifs(Familias!E:E,Familias!D:D,Cotizador!F$2),IF(COUNTIF(A$1:A871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2" s="4" t="str">
        <f t="shared" si="1"/>
        <v/>
      </c>
      <c r="C872" s="4" t="str">
        <f t="array" ref="C872">IF(B872="","",IF(A872=XLOOKUP(A$2,Implementos!B:B,Implementos!C:C,"",0,1),B872+maxifs(B$1:B871,A$1:A871,A$2),B872))</f>
        <v/>
      </c>
      <c r="D872" s="4" t="str">
        <f>IF(B872="","", COUNTIFS(Productos!F:F,A872,Productos!H:H,B872)+IF(F872="SI",0,1))</f>
        <v/>
      </c>
      <c r="E872" s="4" t="str">
        <f>IFERROR(__xludf.DUMMYFUNCTION("IF($B872="""","""",INDEX(filter(Familias!F:F,Familias!$D:$D=$A872,Familias!$E:$E=$B872),1))"),"")</f>
        <v/>
      </c>
      <c r="F872" s="4" t="str">
        <f>IFERROR(__xludf.DUMMYFUNCTION("IF($B872="""","""",INDEX(filter(Familias!G:G,Familias!$D:$D=$A872,Familias!$E:$E=$B872),1))"),"")</f>
        <v/>
      </c>
      <c r="G872" s="4" t="str">
        <f t="array" ref="G872">IF(C872=1,XLOOKUP(C872,Cotizador!D:D,Cotizador!E:E,"",0,1),"")</f>
        <v/>
      </c>
      <c r="I872" s="4"/>
      <c r="J872" s="8" t="str">
        <f>IF(I872="","",SUMIF(Cotizador!I$1:V$1,I872,Cotizador!I$2:V$2))</f>
        <v/>
      </c>
      <c r="L872" s="4" t="str">
        <f t="array" ref="L872">IF(COUNTIF(L$1:L871,A$2)=SUMIF(A:A,A$2,D:D),IF(COUNTIF(L$1:L871,XLOOKUP(A$2,Implementos!B:B,Implementos!C:C,"",0,1))=SUMIF(A:A,XLOOKUP(A$2,Implementos!B:B,Implementos!C:C,"",0,1),D:D),"",XLOOKUP(A$2,Implementos!B:B,Implementos!C:C,"",0,1)),A$2)</f>
        <v/>
      </c>
      <c r="M872" s="4" t="str">
        <f t="shared" si="2"/>
        <v/>
      </c>
      <c r="N872" s="4" t="str">
        <f t="shared" si="3"/>
        <v/>
      </c>
      <c r="O872" s="4" t="str">
        <f t="shared" si="4"/>
        <v/>
      </c>
      <c r="P872" s="4" t="str">
        <f t="shared" si="5"/>
        <v/>
      </c>
      <c r="Q872" s="4" t="str">
        <f>IF(U872="","",SUMIF(Productos!E:E,U872,Productos!A:A))</f>
        <v/>
      </c>
      <c r="R872" s="4" t="str">
        <f t="array" ref="R872">IF(L872="","", max(1,SUMIF(I:I,XLOOKUP(U872,Productos!E:E,Productos!G:G,"",0,1),J:J)))</f>
        <v/>
      </c>
      <c r="S872" s="4" t="str">
        <f>IF(Q872="","",IF(SUMIFS(Compat_Vetado!D:D,Compat_Vetado!B:B,SUM(G:G),Compat_Vetado!C:C,Q872)=1,"SI",IF(OR(SUMIF(Cotizador!E:E,Q872,Cotizador!G:G)&gt;0,SUMIFS(Compat_Vetado!D:D,Compat_Vetado!B:B,SUM(G:G),Compat_Vetado!C:C,Q872)=-1),"NO","")))</f>
        <v/>
      </c>
      <c r="T872" s="4" t="str">
        <f t="shared" si="6"/>
        <v/>
      </c>
      <c r="U872" s="4" t="str">
        <f>IFERROR(__xludf.DUMMYFUNCTION("IF(P872="""","""",IFERROR(INDEX(filter(Productos!E:E,Productos!F:F=L872,Productos!H:H=N872),P872),IF(M872=SUM(D:D),""Finalizar"",""-"")))"),"")</f>
        <v/>
      </c>
      <c r="V872" s="4" t="str">
        <f>IFERROR(__xludf.DUMMYFUNCTION("IF(OR($U872="""",COUNTIF($I:$I,IFERROR(unique(filter(Prod_Prop!$H:$H,Prod_Prop!$G:$G=$U872,Prod_Prop!$E:$E=V$1)),""Check""))=0),"""",IFERROR(unique(filter(Prod_Prop!$H:$H,Prod_Prop!$G:$G=$U872,Prod_Prop!$E:$E=V$1)),""""))"),"")</f>
        <v/>
      </c>
      <c r="W872" s="4" t="str">
        <f>IF(V872="","",SUMIFS(Prod_Prop!$J:$J,Prod_Prop!$B:$B,$Q872,Prod_Prop!$H:$H,V872,Prod_Prop!$I:$I,W$1)*IF(V872="Peso",$R872,1))</f>
        <v/>
      </c>
      <c r="X872" s="4" t="str">
        <f>IF(V872="","",SUMIFS(Prod_Prop!$J:$J,Prod_Prop!$B:$B,$Q872,Prod_Prop!$H:$H,V872,Prod_Prop!$I:$I,X$1)*IF(V872="Peso",$R872,1))</f>
        <v/>
      </c>
      <c r="Y872" s="4" t="str">
        <f>IFERROR(__xludf.DUMMYFUNCTION("IF(OR($U872="""",COUNTIF($I:$I,IFERROR(unique(filter(Prod_Prop!$H:$H,Prod_Prop!$G:$G=$U872,Prod_Prop!$E:$E=Y$1)),""Check""))=0),"""",IFERROR(unique(filter(Prod_Prop!$H:$H,Prod_Prop!$G:$G=$U872,Prod_Prop!$E:$E=Y$1)),""""))"),"")</f>
        <v/>
      </c>
      <c r="Z872" s="4" t="str">
        <f>IF(Y872="","",SUMIFS(Prod_Prop!$J:$J,Prod_Prop!$B:$B,$Q872,Prod_Prop!$H:$H,Y872,Prod_Prop!$I:$I,Z$1)*IF(Y872="Peso",$R872,1))</f>
        <v/>
      </c>
      <c r="AA872" s="4" t="str">
        <f>IF(Y872="","",SUMIFS(Prod_Prop!$J:$J,Prod_Prop!$B:$B,$Q872,Prod_Prop!$H:$H,Y872,Prod_Prop!$I:$I,AA$1)*IF(Y872="Peso",$R872,1))</f>
        <v/>
      </c>
      <c r="AB872" s="4" t="str">
        <f>IFERROR(__xludf.DUMMYFUNCTION("IF(OR($U872="""",COUNTIF($I:$I,IFERROR(unique(filter(Prod_Prop!$H:$H,Prod_Prop!$G:$G=$U872,Prod_Prop!$E:$E=AB$1)),""Check""))=0),"""",IFERROR(unique(filter(Prod_Prop!$H:$H,Prod_Prop!$G:$G=$U872,Prod_Prop!$E:$E=AB$1)),""""))"),"")</f>
        <v/>
      </c>
      <c r="AC872" s="4" t="str">
        <f>IF(AB872="","",SUMIFS(Prod_Prop!$J:$J,Prod_Prop!$B:$B,$Q872,Prod_Prop!$H:$H,AB872,Prod_Prop!$I:$I,AC$1)*IF(AB872="Peso",$R872,1))</f>
        <v/>
      </c>
      <c r="AD872" s="4" t="str">
        <f>IF(AB872="","",SUMIFS(Prod_Prop!$J:$J,Prod_Prop!$B:$B,$Q872,Prod_Prop!$H:$H,AB872,Prod_Prop!$I:$I,AD$1)*IF(AB872="Peso",$R872,1))</f>
        <v/>
      </c>
    </row>
    <row r="873">
      <c r="A873" s="4" t="str">
        <f t="array" ref="A873">IF(COUNTIF(A$1:A872,Cotizador!F$2)=maxifs(Familias!E:E,Familias!D:D,Cotizador!F$2),IF(COUNTIF(A$1:A872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3" s="4" t="str">
        <f t="shared" si="1"/>
        <v/>
      </c>
      <c r="C873" s="4" t="str">
        <f t="array" ref="C873">IF(B873="","",IF(A873=XLOOKUP(A$2,Implementos!B:B,Implementos!C:C,"",0,1),B873+maxifs(B$1:B872,A$1:A872,A$2),B873))</f>
        <v/>
      </c>
      <c r="D873" s="4" t="str">
        <f>IF(B873="","", COUNTIFS(Productos!F:F,A873,Productos!H:H,B873)+IF(F873="SI",0,1))</f>
        <v/>
      </c>
      <c r="E873" s="4" t="str">
        <f>IFERROR(__xludf.DUMMYFUNCTION("IF($B873="""","""",INDEX(filter(Familias!F:F,Familias!$D:$D=$A873,Familias!$E:$E=$B873),1))"),"")</f>
        <v/>
      </c>
      <c r="F873" s="4" t="str">
        <f>IFERROR(__xludf.DUMMYFUNCTION("IF($B873="""","""",INDEX(filter(Familias!G:G,Familias!$D:$D=$A873,Familias!$E:$E=$B873),1))"),"")</f>
        <v/>
      </c>
      <c r="G873" s="4" t="str">
        <f t="array" ref="G873">IF(C873=1,XLOOKUP(C873,Cotizador!D:D,Cotizador!E:E,"",0,1),"")</f>
        <v/>
      </c>
      <c r="I873" s="4"/>
      <c r="J873" s="8" t="str">
        <f>IF(I873="","",SUMIF(Cotizador!I$1:V$1,I873,Cotizador!I$2:V$2))</f>
        <v/>
      </c>
      <c r="L873" s="4" t="str">
        <f t="array" ref="L873">IF(COUNTIF(L$1:L872,A$2)=SUMIF(A:A,A$2,D:D),IF(COUNTIF(L$1:L872,XLOOKUP(A$2,Implementos!B:B,Implementos!C:C,"",0,1))=SUMIF(A:A,XLOOKUP(A$2,Implementos!B:B,Implementos!C:C,"",0,1),D:D),"",XLOOKUP(A$2,Implementos!B:B,Implementos!C:C,"",0,1)),A$2)</f>
        <v/>
      </c>
      <c r="M873" s="4" t="str">
        <f t="shared" si="2"/>
        <v/>
      </c>
      <c r="N873" s="4" t="str">
        <f t="shared" si="3"/>
        <v/>
      </c>
      <c r="O873" s="4" t="str">
        <f t="shared" si="4"/>
        <v/>
      </c>
      <c r="P873" s="4" t="str">
        <f t="shared" si="5"/>
        <v/>
      </c>
      <c r="Q873" s="4" t="str">
        <f>IF(U873="","",SUMIF(Productos!E:E,U873,Productos!A:A))</f>
        <v/>
      </c>
      <c r="R873" s="4" t="str">
        <f t="array" ref="R873">IF(L873="","", max(1,SUMIF(I:I,XLOOKUP(U873,Productos!E:E,Productos!G:G,"",0,1),J:J)))</f>
        <v/>
      </c>
      <c r="S873" s="4" t="str">
        <f>IF(Q873="","",IF(SUMIFS(Compat_Vetado!D:D,Compat_Vetado!B:B,SUM(G:G),Compat_Vetado!C:C,Q873)=1,"SI",IF(OR(SUMIF(Cotizador!E:E,Q873,Cotizador!G:G)&gt;0,SUMIFS(Compat_Vetado!D:D,Compat_Vetado!B:B,SUM(G:G),Compat_Vetado!C:C,Q873)=-1),"NO","")))</f>
        <v/>
      </c>
      <c r="T873" s="4" t="str">
        <f t="shared" si="6"/>
        <v/>
      </c>
      <c r="U873" s="4" t="str">
        <f>IFERROR(__xludf.DUMMYFUNCTION("IF(P873="""","""",IFERROR(INDEX(filter(Productos!E:E,Productos!F:F=L873,Productos!H:H=N873),P873),IF(M873=SUM(D:D),""Finalizar"",""-"")))"),"")</f>
        <v/>
      </c>
      <c r="V873" s="4" t="str">
        <f>IFERROR(__xludf.DUMMYFUNCTION("IF(OR($U873="""",COUNTIF($I:$I,IFERROR(unique(filter(Prod_Prop!$H:$H,Prod_Prop!$G:$G=$U873,Prod_Prop!$E:$E=V$1)),""Check""))=0),"""",IFERROR(unique(filter(Prod_Prop!$H:$H,Prod_Prop!$G:$G=$U873,Prod_Prop!$E:$E=V$1)),""""))"),"")</f>
        <v/>
      </c>
      <c r="W873" s="4" t="str">
        <f>IF(V873="","",SUMIFS(Prod_Prop!$J:$J,Prod_Prop!$B:$B,$Q873,Prod_Prop!$H:$H,V873,Prod_Prop!$I:$I,W$1)*IF(V873="Peso",$R873,1))</f>
        <v/>
      </c>
      <c r="X873" s="4" t="str">
        <f>IF(V873="","",SUMIFS(Prod_Prop!$J:$J,Prod_Prop!$B:$B,$Q873,Prod_Prop!$H:$H,V873,Prod_Prop!$I:$I,X$1)*IF(V873="Peso",$R873,1))</f>
        <v/>
      </c>
      <c r="Y873" s="4" t="str">
        <f>IFERROR(__xludf.DUMMYFUNCTION("IF(OR($U873="""",COUNTIF($I:$I,IFERROR(unique(filter(Prod_Prop!$H:$H,Prod_Prop!$G:$G=$U873,Prod_Prop!$E:$E=Y$1)),""Check""))=0),"""",IFERROR(unique(filter(Prod_Prop!$H:$H,Prod_Prop!$G:$G=$U873,Prod_Prop!$E:$E=Y$1)),""""))"),"")</f>
        <v/>
      </c>
      <c r="Z873" s="4" t="str">
        <f>IF(Y873="","",SUMIFS(Prod_Prop!$J:$J,Prod_Prop!$B:$B,$Q873,Prod_Prop!$H:$H,Y873,Prod_Prop!$I:$I,Z$1)*IF(Y873="Peso",$R873,1))</f>
        <v/>
      </c>
      <c r="AA873" s="4" t="str">
        <f>IF(Y873="","",SUMIFS(Prod_Prop!$J:$J,Prod_Prop!$B:$B,$Q873,Prod_Prop!$H:$H,Y873,Prod_Prop!$I:$I,AA$1)*IF(Y873="Peso",$R873,1))</f>
        <v/>
      </c>
      <c r="AB873" s="4" t="str">
        <f>IFERROR(__xludf.DUMMYFUNCTION("IF(OR($U873="""",COUNTIF($I:$I,IFERROR(unique(filter(Prod_Prop!$H:$H,Prod_Prop!$G:$G=$U873,Prod_Prop!$E:$E=AB$1)),""Check""))=0),"""",IFERROR(unique(filter(Prod_Prop!$H:$H,Prod_Prop!$G:$G=$U873,Prod_Prop!$E:$E=AB$1)),""""))"),"")</f>
        <v/>
      </c>
      <c r="AC873" s="4" t="str">
        <f>IF(AB873="","",SUMIFS(Prod_Prop!$J:$J,Prod_Prop!$B:$B,$Q873,Prod_Prop!$H:$H,AB873,Prod_Prop!$I:$I,AC$1)*IF(AB873="Peso",$R873,1))</f>
        <v/>
      </c>
      <c r="AD873" s="4" t="str">
        <f>IF(AB873="","",SUMIFS(Prod_Prop!$J:$J,Prod_Prop!$B:$B,$Q873,Prod_Prop!$H:$H,AB873,Prod_Prop!$I:$I,AD$1)*IF(AB873="Peso",$R873,1))</f>
        <v/>
      </c>
    </row>
    <row r="874">
      <c r="A874" s="4" t="str">
        <f t="array" ref="A874">IF(COUNTIF(A$1:A873,Cotizador!F$2)=maxifs(Familias!E:E,Familias!D:D,Cotizador!F$2),IF(COUNTIF(A$1:A873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4" s="4" t="str">
        <f t="shared" si="1"/>
        <v/>
      </c>
      <c r="C874" s="4" t="str">
        <f t="array" ref="C874">IF(B874="","",IF(A874=XLOOKUP(A$2,Implementos!B:B,Implementos!C:C,"",0,1),B874+maxifs(B$1:B873,A$1:A873,A$2),B874))</f>
        <v/>
      </c>
      <c r="D874" s="4" t="str">
        <f>IF(B874="","", COUNTIFS(Productos!F:F,A874,Productos!H:H,B874)+IF(F874="SI",0,1))</f>
        <v/>
      </c>
      <c r="E874" s="4" t="str">
        <f>IFERROR(__xludf.DUMMYFUNCTION("IF($B874="""","""",INDEX(filter(Familias!F:F,Familias!$D:$D=$A874,Familias!$E:$E=$B874),1))"),"")</f>
        <v/>
      </c>
      <c r="F874" s="4" t="str">
        <f>IFERROR(__xludf.DUMMYFUNCTION("IF($B874="""","""",INDEX(filter(Familias!G:G,Familias!$D:$D=$A874,Familias!$E:$E=$B874),1))"),"")</f>
        <v/>
      </c>
      <c r="G874" s="4" t="str">
        <f t="array" ref="G874">IF(C874=1,XLOOKUP(C874,Cotizador!D:D,Cotizador!E:E,"",0,1),"")</f>
        <v/>
      </c>
      <c r="I874" s="4"/>
      <c r="J874" s="8" t="str">
        <f>IF(I874="","",SUMIF(Cotizador!I$1:V$1,I874,Cotizador!I$2:V$2))</f>
        <v/>
      </c>
      <c r="L874" s="4" t="str">
        <f t="array" ref="L874">IF(COUNTIF(L$1:L873,A$2)=SUMIF(A:A,A$2,D:D),IF(COUNTIF(L$1:L873,XLOOKUP(A$2,Implementos!B:B,Implementos!C:C,"",0,1))=SUMIF(A:A,XLOOKUP(A$2,Implementos!B:B,Implementos!C:C,"",0,1),D:D),"",XLOOKUP(A$2,Implementos!B:B,Implementos!C:C,"",0,1)),A$2)</f>
        <v/>
      </c>
      <c r="M874" s="4" t="str">
        <f t="shared" si="2"/>
        <v/>
      </c>
      <c r="N874" s="4" t="str">
        <f t="shared" si="3"/>
        <v/>
      </c>
      <c r="O874" s="4" t="str">
        <f t="shared" si="4"/>
        <v/>
      </c>
      <c r="P874" s="4" t="str">
        <f t="shared" si="5"/>
        <v/>
      </c>
      <c r="Q874" s="4" t="str">
        <f>IF(U874="","",SUMIF(Productos!E:E,U874,Productos!A:A))</f>
        <v/>
      </c>
      <c r="R874" s="4" t="str">
        <f t="array" ref="R874">IF(L874="","", max(1,SUMIF(I:I,XLOOKUP(U874,Productos!E:E,Productos!G:G,"",0,1),J:J)))</f>
        <v/>
      </c>
      <c r="S874" s="4" t="str">
        <f>IF(Q874="","",IF(SUMIFS(Compat_Vetado!D:D,Compat_Vetado!B:B,SUM(G:G),Compat_Vetado!C:C,Q874)=1,"SI",IF(OR(SUMIF(Cotizador!E:E,Q874,Cotizador!G:G)&gt;0,SUMIFS(Compat_Vetado!D:D,Compat_Vetado!B:B,SUM(G:G),Compat_Vetado!C:C,Q874)=-1),"NO","")))</f>
        <v/>
      </c>
      <c r="T874" s="4" t="str">
        <f t="shared" si="6"/>
        <v/>
      </c>
      <c r="U874" s="4" t="str">
        <f>IFERROR(__xludf.DUMMYFUNCTION("IF(P874="""","""",IFERROR(INDEX(filter(Productos!E:E,Productos!F:F=L874,Productos!H:H=N874),P874),IF(M874=SUM(D:D),""Finalizar"",""-"")))"),"")</f>
        <v/>
      </c>
      <c r="V874" s="4" t="str">
        <f>IFERROR(__xludf.DUMMYFUNCTION("IF(OR($U874="""",COUNTIF($I:$I,IFERROR(unique(filter(Prod_Prop!$H:$H,Prod_Prop!$G:$G=$U874,Prod_Prop!$E:$E=V$1)),""Check""))=0),"""",IFERROR(unique(filter(Prod_Prop!$H:$H,Prod_Prop!$G:$G=$U874,Prod_Prop!$E:$E=V$1)),""""))"),"")</f>
        <v/>
      </c>
      <c r="W874" s="4" t="str">
        <f>IF(V874="","",SUMIFS(Prod_Prop!$J:$J,Prod_Prop!$B:$B,$Q874,Prod_Prop!$H:$H,V874,Prod_Prop!$I:$I,W$1)*IF(V874="Peso",$R874,1))</f>
        <v/>
      </c>
      <c r="X874" s="4" t="str">
        <f>IF(V874="","",SUMIFS(Prod_Prop!$J:$J,Prod_Prop!$B:$B,$Q874,Prod_Prop!$H:$H,V874,Prod_Prop!$I:$I,X$1)*IF(V874="Peso",$R874,1))</f>
        <v/>
      </c>
      <c r="Y874" s="4" t="str">
        <f>IFERROR(__xludf.DUMMYFUNCTION("IF(OR($U874="""",COUNTIF($I:$I,IFERROR(unique(filter(Prod_Prop!$H:$H,Prod_Prop!$G:$G=$U874,Prod_Prop!$E:$E=Y$1)),""Check""))=0),"""",IFERROR(unique(filter(Prod_Prop!$H:$H,Prod_Prop!$G:$G=$U874,Prod_Prop!$E:$E=Y$1)),""""))"),"")</f>
        <v/>
      </c>
      <c r="Z874" s="4" t="str">
        <f>IF(Y874="","",SUMIFS(Prod_Prop!$J:$J,Prod_Prop!$B:$B,$Q874,Prod_Prop!$H:$H,Y874,Prod_Prop!$I:$I,Z$1)*IF(Y874="Peso",$R874,1))</f>
        <v/>
      </c>
      <c r="AA874" s="4" t="str">
        <f>IF(Y874="","",SUMIFS(Prod_Prop!$J:$J,Prod_Prop!$B:$B,$Q874,Prod_Prop!$H:$H,Y874,Prod_Prop!$I:$I,AA$1)*IF(Y874="Peso",$R874,1))</f>
        <v/>
      </c>
      <c r="AB874" s="4" t="str">
        <f>IFERROR(__xludf.DUMMYFUNCTION("IF(OR($U874="""",COUNTIF($I:$I,IFERROR(unique(filter(Prod_Prop!$H:$H,Prod_Prop!$G:$G=$U874,Prod_Prop!$E:$E=AB$1)),""Check""))=0),"""",IFERROR(unique(filter(Prod_Prop!$H:$H,Prod_Prop!$G:$G=$U874,Prod_Prop!$E:$E=AB$1)),""""))"),"")</f>
        <v/>
      </c>
      <c r="AC874" s="4" t="str">
        <f>IF(AB874="","",SUMIFS(Prod_Prop!$J:$J,Prod_Prop!$B:$B,$Q874,Prod_Prop!$H:$H,AB874,Prod_Prop!$I:$I,AC$1)*IF(AB874="Peso",$R874,1))</f>
        <v/>
      </c>
      <c r="AD874" s="4" t="str">
        <f>IF(AB874="","",SUMIFS(Prod_Prop!$J:$J,Prod_Prop!$B:$B,$Q874,Prod_Prop!$H:$H,AB874,Prod_Prop!$I:$I,AD$1)*IF(AB874="Peso",$R874,1))</f>
        <v/>
      </c>
    </row>
    <row r="875">
      <c r="A875" s="4" t="str">
        <f t="array" ref="A875">IF(COUNTIF(A$1:A874,Cotizador!F$2)=maxifs(Familias!E:E,Familias!D:D,Cotizador!F$2),IF(COUNTIF(A$1:A874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5" s="4" t="str">
        <f t="shared" si="1"/>
        <v/>
      </c>
      <c r="C875" s="4" t="str">
        <f t="array" ref="C875">IF(B875="","",IF(A875=XLOOKUP(A$2,Implementos!B:B,Implementos!C:C,"",0,1),B875+maxifs(B$1:B874,A$1:A874,A$2),B875))</f>
        <v/>
      </c>
      <c r="D875" s="4" t="str">
        <f>IF(B875="","", COUNTIFS(Productos!F:F,A875,Productos!H:H,B875)+IF(F875="SI",0,1))</f>
        <v/>
      </c>
      <c r="E875" s="4" t="str">
        <f>IFERROR(__xludf.DUMMYFUNCTION("IF($B875="""","""",INDEX(filter(Familias!F:F,Familias!$D:$D=$A875,Familias!$E:$E=$B875),1))"),"")</f>
        <v/>
      </c>
      <c r="F875" s="4" t="str">
        <f>IFERROR(__xludf.DUMMYFUNCTION("IF($B875="""","""",INDEX(filter(Familias!G:G,Familias!$D:$D=$A875,Familias!$E:$E=$B875),1))"),"")</f>
        <v/>
      </c>
      <c r="G875" s="4" t="str">
        <f t="array" ref="G875">IF(C875=1,XLOOKUP(C875,Cotizador!D:D,Cotizador!E:E,"",0,1),"")</f>
        <v/>
      </c>
      <c r="I875" s="4"/>
      <c r="J875" s="8" t="str">
        <f>IF(I875="","",SUMIF(Cotizador!I$1:V$1,I875,Cotizador!I$2:V$2))</f>
        <v/>
      </c>
      <c r="L875" s="4" t="str">
        <f t="array" ref="L875">IF(COUNTIF(L$1:L874,A$2)=SUMIF(A:A,A$2,D:D),IF(COUNTIF(L$1:L874,XLOOKUP(A$2,Implementos!B:B,Implementos!C:C,"",0,1))=SUMIF(A:A,XLOOKUP(A$2,Implementos!B:B,Implementos!C:C,"",0,1),D:D),"",XLOOKUP(A$2,Implementos!B:B,Implementos!C:C,"",0,1)),A$2)</f>
        <v/>
      </c>
      <c r="M875" s="4" t="str">
        <f t="shared" si="2"/>
        <v/>
      </c>
      <c r="N875" s="4" t="str">
        <f t="shared" si="3"/>
        <v/>
      </c>
      <c r="O875" s="4" t="str">
        <f t="shared" si="4"/>
        <v/>
      </c>
      <c r="P875" s="4" t="str">
        <f t="shared" si="5"/>
        <v/>
      </c>
      <c r="Q875" s="4" t="str">
        <f>IF(U875="","",SUMIF(Productos!E:E,U875,Productos!A:A))</f>
        <v/>
      </c>
      <c r="R875" s="4" t="str">
        <f t="array" ref="R875">IF(L875="","", max(1,SUMIF(I:I,XLOOKUP(U875,Productos!E:E,Productos!G:G,"",0,1),J:J)))</f>
        <v/>
      </c>
      <c r="S875" s="4" t="str">
        <f>IF(Q875="","",IF(SUMIFS(Compat_Vetado!D:D,Compat_Vetado!B:B,SUM(G:G),Compat_Vetado!C:C,Q875)=1,"SI",IF(OR(SUMIF(Cotizador!E:E,Q875,Cotizador!G:G)&gt;0,SUMIFS(Compat_Vetado!D:D,Compat_Vetado!B:B,SUM(G:G),Compat_Vetado!C:C,Q875)=-1),"NO","")))</f>
        <v/>
      </c>
      <c r="T875" s="4" t="str">
        <f t="shared" si="6"/>
        <v/>
      </c>
      <c r="U875" s="4" t="str">
        <f>IFERROR(__xludf.DUMMYFUNCTION("IF(P875="""","""",IFERROR(INDEX(filter(Productos!E:E,Productos!F:F=L875,Productos!H:H=N875),P875),IF(M875=SUM(D:D),""Finalizar"",""-"")))"),"")</f>
        <v/>
      </c>
      <c r="V875" s="4" t="str">
        <f>IFERROR(__xludf.DUMMYFUNCTION("IF(OR($U875="""",COUNTIF($I:$I,IFERROR(unique(filter(Prod_Prop!$H:$H,Prod_Prop!$G:$G=$U875,Prod_Prop!$E:$E=V$1)),""Check""))=0),"""",IFERROR(unique(filter(Prod_Prop!$H:$H,Prod_Prop!$G:$G=$U875,Prod_Prop!$E:$E=V$1)),""""))"),"")</f>
        <v/>
      </c>
      <c r="W875" s="4" t="str">
        <f>IF(V875="","",SUMIFS(Prod_Prop!$J:$J,Prod_Prop!$B:$B,$Q875,Prod_Prop!$H:$H,V875,Prod_Prop!$I:$I,W$1)*IF(V875="Peso",$R875,1))</f>
        <v/>
      </c>
      <c r="X875" s="4" t="str">
        <f>IF(V875="","",SUMIFS(Prod_Prop!$J:$J,Prod_Prop!$B:$B,$Q875,Prod_Prop!$H:$H,V875,Prod_Prop!$I:$I,X$1)*IF(V875="Peso",$R875,1))</f>
        <v/>
      </c>
      <c r="Y875" s="4" t="str">
        <f>IFERROR(__xludf.DUMMYFUNCTION("IF(OR($U875="""",COUNTIF($I:$I,IFERROR(unique(filter(Prod_Prop!$H:$H,Prod_Prop!$G:$G=$U875,Prod_Prop!$E:$E=Y$1)),""Check""))=0),"""",IFERROR(unique(filter(Prod_Prop!$H:$H,Prod_Prop!$G:$G=$U875,Prod_Prop!$E:$E=Y$1)),""""))"),"")</f>
        <v/>
      </c>
      <c r="Z875" s="4" t="str">
        <f>IF(Y875="","",SUMIFS(Prod_Prop!$J:$J,Prod_Prop!$B:$B,$Q875,Prod_Prop!$H:$H,Y875,Prod_Prop!$I:$I,Z$1)*IF(Y875="Peso",$R875,1))</f>
        <v/>
      </c>
      <c r="AA875" s="4" t="str">
        <f>IF(Y875="","",SUMIFS(Prod_Prop!$J:$J,Prod_Prop!$B:$B,$Q875,Prod_Prop!$H:$H,Y875,Prod_Prop!$I:$I,AA$1)*IF(Y875="Peso",$R875,1))</f>
        <v/>
      </c>
      <c r="AB875" s="4" t="str">
        <f>IFERROR(__xludf.DUMMYFUNCTION("IF(OR($U875="""",COUNTIF($I:$I,IFERROR(unique(filter(Prod_Prop!$H:$H,Prod_Prop!$G:$G=$U875,Prod_Prop!$E:$E=AB$1)),""Check""))=0),"""",IFERROR(unique(filter(Prod_Prop!$H:$H,Prod_Prop!$G:$G=$U875,Prod_Prop!$E:$E=AB$1)),""""))"),"")</f>
        <v/>
      </c>
      <c r="AC875" s="4" t="str">
        <f>IF(AB875="","",SUMIFS(Prod_Prop!$J:$J,Prod_Prop!$B:$B,$Q875,Prod_Prop!$H:$H,AB875,Prod_Prop!$I:$I,AC$1)*IF(AB875="Peso",$R875,1))</f>
        <v/>
      </c>
      <c r="AD875" s="4" t="str">
        <f>IF(AB875="","",SUMIFS(Prod_Prop!$J:$J,Prod_Prop!$B:$B,$Q875,Prod_Prop!$H:$H,AB875,Prod_Prop!$I:$I,AD$1)*IF(AB875="Peso",$R875,1))</f>
        <v/>
      </c>
    </row>
    <row r="876">
      <c r="A876" s="4" t="str">
        <f t="array" ref="A876">IF(COUNTIF(A$1:A875,Cotizador!F$2)=maxifs(Familias!E:E,Familias!D:D,Cotizador!F$2),IF(COUNTIF(A$1:A875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6" s="4" t="str">
        <f t="shared" si="1"/>
        <v/>
      </c>
      <c r="C876" s="4" t="str">
        <f t="array" ref="C876">IF(B876="","",IF(A876=XLOOKUP(A$2,Implementos!B:B,Implementos!C:C,"",0,1),B876+maxifs(B$1:B875,A$1:A875,A$2),B876))</f>
        <v/>
      </c>
      <c r="D876" s="4" t="str">
        <f>IF(B876="","", COUNTIFS(Productos!F:F,A876,Productos!H:H,B876)+IF(F876="SI",0,1))</f>
        <v/>
      </c>
      <c r="E876" s="4" t="str">
        <f>IFERROR(__xludf.DUMMYFUNCTION("IF($B876="""","""",INDEX(filter(Familias!F:F,Familias!$D:$D=$A876,Familias!$E:$E=$B876),1))"),"")</f>
        <v/>
      </c>
      <c r="F876" s="4" t="str">
        <f>IFERROR(__xludf.DUMMYFUNCTION("IF($B876="""","""",INDEX(filter(Familias!G:G,Familias!$D:$D=$A876,Familias!$E:$E=$B876),1))"),"")</f>
        <v/>
      </c>
      <c r="G876" s="4" t="str">
        <f t="array" ref="G876">IF(C876=1,XLOOKUP(C876,Cotizador!D:D,Cotizador!E:E,"",0,1),"")</f>
        <v/>
      </c>
      <c r="I876" s="4"/>
      <c r="J876" s="8" t="str">
        <f>IF(I876="","",SUMIF(Cotizador!I$1:V$1,I876,Cotizador!I$2:V$2))</f>
        <v/>
      </c>
      <c r="L876" s="4" t="str">
        <f t="array" ref="L876">IF(COUNTIF(L$1:L875,A$2)=SUMIF(A:A,A$2,D:D),IF(COUNTIF(L$1:L875,XLOOKUP(A$2,Implementos!B:B,Implementos!C:C,"",0,1))=SUMIF(A:A,XLOOKUP(A$2,Implementos!B:B,Implementos!C:C,"",0,1),D:D),"",XLOOKUP(A$2,Implementos!B:B,Implementos!C:C,"",0,1)),A$2)</f>
        <v/>
      </c>
      <c r="M876" s="4" t="str">
        <f t="shared" si="2"/>
        <v/>
      </c>
      <c r="N876" s="4" t="str">
        <f t="shared" si="3"/>
        <v/>
      </c>
      <c r="O876" s="4" t="str">
        <f t="shared" si="4"/>
        <v/>
      </c>
      <c r="P876" s="4" t="str">
        <f t="shared" si="5"/>
        <v/>
      </c>
      <c r="Q876" s="4" t="str">
        <f>IF(U876="","",SUMIF(Productos!E:E,U876,Productos!A:A))</f>
        <v/>
      </c>
      <c r="R876" s="4" t="str">
        <f t="array" ref="R876">IF(L876="","", max(1,SUMIF(I:I,XLOOKUP(U876,Productos!E:E,Productos!G:G,"",0,1),J:J)))</f>
        <v/>
      </c>
      <c r="S876" s="4" t="str">
        <f>IF(Q876="","",IF(SUMIFS(Compat_Vetado!D:D,Compat_Vetado!B:B,SUM(G:G),Compat_Vetado!C:C,Q876)=1,"SI",IF(OR(SUMIF(Cotizador!E:E,Q876,Cotizador!G:G)&gt;0,SUMIFS(Compat_Vetado!D:D,Compat_Vetado!B:B,SUM(G:G),Compat_Vetado!C:C,Q876)=-1),"NO","")))</f>
        <v/>
      </c>
      <c r="T876" s="4" t="str">
        <f t="shared" si="6"/>
        <v/>
      </c>
      <c r="U876" s="4" t="str">
        <f>IFERROR(__xludf.DUMMYFUNCTION("IF(P876="""","""",IFERROR(INDEX(filter(Productos!E:E,Productos!F:F=L876,Productos!H:H=N876),P876),IF(M876=SUM(D:D),""Finalizar"",""-"")))"),"")</f>
        <v/>
      </c>
      <c r="V876" s="4" t="str">
        <f>IFERROR(__xludf.DUMMYFUNCTION("IF(OR($U876="""",COUNTIF($I:$I,IFERROR(unique(filter(Prod_Prop!$H:$H,Prod_Prop!$G:$G=$U876,Prod_Prop!$E:$E=V$1)),""Check""))=0),"""",IFERROR(unique(filter(Prod_Prop!$H:$H,Prod_Prop!$G:$G=$U876,Prod_Prop!$E:$E=V$1)),""""))"),"")</f>
        <v/>
      </c>
      <c r="W876" s="4" t="str">
        <f>IF(V876="","",SUMIFS(Prod_Prop!$J:$J,Prod_Prop!$B:$B,$Q876,Prod_Prop!$H:$H,V876,Prod_Prop!$I:$I,W$1)*IF(V876="Peso",$R876,1))</f>
        <v/>
      </c>
      <c r="X876" s="4" t="str">
        <f>IF(V876="","",SUMIFS(Prod_Prop!$J:$J,Prod_Prop!$B:$B,$Q876,Prod_Prop!$H:$H,V876,Prod_Prop!$I:$I,X$1)*IF(V876="Peso",$R876,1))</f>
        <v/>
      </c>
      <c r="Y876" s="4" t="str">
        <f>IFERROR(__xludf.DUMMYFUNCTION("IF(OR($U876="""",COUNTIF($I:$I,IFERROR(unique(filter(Prod_Prop!$H:$H,Prod_Prop!$G:$G=$U876,Prod_Prop!$E:$E=Y$1)),""Check""))=0),"""",IFERROR(unique(filter(Prod_Prop!$H:$H,Prod_Prop!$G:$G=$U876,Prod_Prop!$E:$E=Y$1)),""""))"),"")</f>
        <v/>
      </c>
      <c r="Z876" s="4" t="str">
        <f>IF(Y876="","",SUMIFS(Prod_Prop!$J:$J,Prod_Prop!$B:$B,$Q876,Prod_Prop!$H:$H,Y876,Prod_Prop!$I:$I,Z$1)*IF(Y876="Peso",$R876,1))</f>
        <v/>
      </c>
      <c r="AA876" s="4" t="str">
        <f>IF(Y876="","",SUMIFS(Prod_Prop!$J:$J,Prod_Prop!$B:$B,$Q876,Prod_Prop!$H:$H,Y876,Prod_Prop!$I:$I,AA$1)*IF(Y876="Peso",$R876,1))</f>
        <v/>
      </c>
      <c r="AB876" s="4" t="str">
        <f>IFERROR(__xludf.DUMMYFUNCTION("IF(OR($U876="""",COUNTIF($I:$I,IFERROR(unique(filter(Prod_Prop!$H:$H,Prod_Prop!$G:$G=$U876,Prod_Prop!$E:$E=AB$1)),""Check""))=0),"""",IFERROR(unique(filter(Prod_Prop!$H:$H,Prod_Prop!$G:$G=$U876,Prod_Prop!$E:$E=AB$1)),""""))"),"")</f>
        <v/>
      </c>
      <c r="AC876" s="4" t="str">
        <f>IF(AB876="","",SUMIFS(Prod_Prop!$J:$J,Prod_Prop!$B:$B,$Q876,Prod_Prop!$H:$H,AB876,Prod_Prop!$I:$I,AC$1)*IF(AB876="Peso",$R876,1))</f>
        <v/>
      </c>
      <c r="AD876" s="4" t="str">
        <f>IF(AB876="","",SUMIFS(Prod_Prop!$J:$J,Prod_Prop!$B:$B,$Q876,Prod_Prop!$H:$H,AB876,Prod_Prop!$I:$I,AD$1)*IF(AB876="Peso",$R876,1))</f>
        <v/>
      </c>
    </row>
    <row r="877">
      <c r="A877" s="4" t="str">
        <f t="array" ref="A877">IF(COUNTIF(A$1:A876,Cotizador!F$2)=maxifs(Familias!E:E,Familias!D:D,Cotizador!F$2),IF(COUNTIF(A$1:A876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7" s="4" t="str">
        <f t="shared" si="1"/>
        <v/>
      </c>
      <c r="C877" s="4" t="str">
        <f t="array" ref="C877">IF(B877="","",IF(A877=XLOOKUP(A$2,Implementos!B:B,Implementos!C:C,"",0,1),B877+maxifs(B$1:B876,A$1:A876,A$2),B877))</f>
        <v/>
      </c>
      <c r="D877" s="4" t="str">
        <f>IF(B877="","", COUNTIFS(Productos!F:F,A877,Productos!H:H,B877)+IF(F877="SI",0,1))</f>
        <v/>
      </c>
      <c r="E877" s="4" t="str">
        <f>IFERROR(__xludf.DUMMYFUNCTION("IF($B877="""","""",INDEX(filter(Familias!F:F,Familias!$D:$D=$A877,Familias!$E:$E=$B877),1))"),"")</f>
        <v/>
      </c>
      <c r="F877" s="4" t="str">
        <f>IFERROR(__xludf.DUMMYFUNCTION("IF($B877="""","""",INDEX(filter(Familias!G:G,Familias!$D:$D=$A877,Familias!$E:$E=$B877),1))"),"")</f>
        <v/>
      </c>
      <c r="G877" s="4" t="str">
        <f t="array" ref="G877">IF(C877=1,XLOOKUP(C877,Cotizador!D:D,Cotizador!E:E,"",0,1),"")</f>
        <v/>
      </c>
      <c r="I877" s="4"/>
      <c r="J877" s="8" t="str">
        <f>IF(I877="","",SUMIF(Cotizador!I$1:V$1,I877,Cotizador!I$2:V$2))</f>
        <v/>
      </c>
      <c r="L877" s="4" t="str">
        <f t="array" ref="L877">IF(COUNTIF(L$1:L876,A$2)=SUMIF(A:A,A$2,D:D),IF(COUNTIF(L$1:L876,XLOOKUP(A$2,Implementos!B:B,Implementos!C:C,"",0,1))=SUMIF(A:A,XLOOKUP(A$2,Implementos!B:B,Implementos!C:C,"",0,1),D:D),"",XLOOKUP(A$2,Implementos!B:B,Implementos!C:C,"",0,1)),A$2)</f>
        <v/>
      </c>
      <c r="M877" s="4" t="str">
        <f t="shared" si="2"/>
        <v/>
      </c>
      <c r="N877" s="4" t="str">
        <f t="shared" si="3"/>
        <v/>
      </c>
      <c r="O877" s="4" t="str">
        <f t="shared" si="4"/>
        <v/>
      </c>
      <c r="P877" s="4" t="str">
        <f t="shared" si="5"/>
        <v/>
      </c>
      <c r="Q877" s="4" t="str">
        <f>IF(U877="","",SUMIF(Productos!E:E,U877,Productos!A:A))</f>
        <v/>
      </c>
      <c r="R877" s="4" t="str">
        <f t="array" ref="R877">IF(L877="","", max(1,SUMIF(I:I,XLOOKUP(U877,Productos!E:E,Productos!G:G,"",0,1),J:J)))</f>
        <v/>
      </c>
      <c r="S877" s="4" t="str">
        <f>IF(Q877="","",IF(SUMIFS(Compat_Vetado!D:D,Compat_Vetado!B:B,SUM(G:G),Compat_Vetado!C:C,Q877)=1,"SI",IF(OR(SUMIF(Cotizador!E:E,Q877,Cotizador!G:G)&gt;0,SUMIFS(Compat_Vetado!D:D,Compat_Vetado!B:B,SUM(G:G),Compat_Vetado!C:C,Q877)=-1),"NO","")))</f>
        <v/>
      </c>
      <c r="T877" s="4" t="str">
        <f t="shared" si="6"/>
        <v/>
      </c>
      <c r="U877" s="4" t="str">
        <f>IFERROR(__xludf.DUMMYFUNCTION("IF(P877="""","""",IFERROR(INDEX(filter(Productos!E:E,Productos!F:F=L877,Productos!H:H=N877),P877),IF(M877=SUM(D:D),""Finalizar"",""-"")))"),"")</f>
        <v/>
      </c>
      <c r="V877" s="4" t="str">
        <f>IFERROR(__xludf.DUMMYFUNCTION("IF(OR($U877="""",COUNTIF($I:$I,IFERROR(unique(filter(Prod_Prop!$H:$H,Prod_Prop!$G:$G=$U877,Prod_Prop!$E:$E=V$1)),""Check""))=0),"""",IFERROR(unique(filter(Prod_Prop!$H:$H,Prod_Prop!$G:$G=$U877,Prod_Prop!$E:$E=V$1)),""""))"),"")</f>
        <v/>
      </c>
      <c r="W877" s="4" t="str">
        <f>IF(V877="","",SUMIFS(Prod_Prop!$J:$J,Prod_Prop!$B:$B,$Q877,Prod_Prop!$H:$H,V877,Prod_Prop!$I:$I,W$1)*IF(V877="Peso",$R877,1))</f>
        <v/>
      </c>
      <c r="X877" s="4" t="str">
        <f>IF(V877="","",SUMIFS(Prod_Prop!$J:$J,Prod_Prop!$B:$B,$Q877,Prod_Prop!$H:$H,V877,Prod_Prop!$I:$I,X$1)*IF(V877="Peso",$R877,1))</f>
        <v/>
      </c>
      <c r="Y877" s="4" t="str">
        <f>IFERROR(__xludf.DUMMYFUNCTION("IF(OR($U877="""",COUNTIF($I:$I,IFERROR(unique(filter(Prod_Prop!$H:$H,Prod_Prop!$G:$G=$U877,Prod_Prop!$E:$E=Y$1)),""Check""))=0),"""",IFERROR(unique(filter(Prod_Prop!$H:$H,Prod_Prop!$G:$G=$U877,Prod_Prop!$E:$E=Y$1)),""""))"),"")</f>
        <v/>
      </c>
      <c r="Z877" s="4" t="str">
        <f>IF(Y877="","",SUMIFS(Prod_Prop!$J:$J,Prod_Prop!$B:$B,$Q877,Prod_Prop!$H:$H,Y877,Prod_Prop!$I:$I,Z$1)*IF(Y877="Peso",$R877,1))</f>
        <v/>
      </c>
      <c r="AA877" s="4" t="str">
        <f>IF(Y877="","",SUMIFS(Prod_Prop!$J:$J,Prod_Prop!$B:$B,$Q877,Prod_Prop!$H:$H,Y877,Prod_Prop!$I:$I,AA$1)*IF(Y877="Peso",$R877,1))</f>
        <v/>
      </c>
      <c r="AB877" s="4" t="str">
        <f>IFERROR(__xludf.DUMMYFUNCTION("IF(OR($U877="""",COUNTIF($I:$I,IFERROR(unique(filter(Prod_Prop!$H:$H,Prod_Prop!$G:$G=$U877,Prod_Prop!$E:$E=AB$1)),""Check""))=0),"""",IFERROR(unique(filter(Prod_Prop!$H:$H,Prod_Prop!$G:$G=$U877,Prod_Prop!$E:$E=AB$1)),""""))"),"")</f>
        <v/>
      </c>
      <c r="AC877" s="4" t="str">
        <f>IF(AB877="","",SUMIFS(Prod_Prop!$J:$J,Prod_Prop!$B:$B,$Q877,Prod_Prop!$H:$H,AB877,Prod_Prop!$I:$I,AC$1)*IF(AB877="Peso",$R877,1))</f>
        <v/>
      </c>
      <c r="AD877" s="4" t="str">
        <f>IF(AB877="","",SUMIFS(Prod_Prop!$J:$J,Prod_Prop!$B:$B,$Q877,Prod_Prop!$H:$H,AB877,Prod_Prop!$I:$I,AD$1)*IF(AB877="Peso",$R877,1))</f>
        <v/>
      </c>
    </row>
    <row r="878">
      <c r="A878" s="4" t="str">
        <f t="array" ref="A878">IF(COUNTIF(A$1:A877,Cotizador!F$2)=maxifs(Familias!E:E,Familias!D:D,Cotizador!F$2),IF(COUNTIF(A$1:A877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8" s="4" t="str">
        <f t="shared" si="1"/>
        <v/>
      </c>
      <c r="C878" s="4" t="str">
        <f t="array" ref="C878">IF(B878="","",IF(A878=XLOOKUP(A$2,Implementos!B:B,Implementos!C:C,"",0,1),B878+maxifs(B$1:B877,A$1:A877,A$2),B878))</f>
        <v/>
      </c>
      <c r="D878" s="4" t="str">
        <f>IF(B878="","", COUNTIFS(Productos!F:F,A878,Productos!H:H,B878)+IF(F878="SI",0,1))</f>
        <v/>
      </c>
      <c r="E878" s="4" t="str">
        <f>IFERROR(__xludf.DUMMYFUNCTION("IF($B878="""","""",INDEX(filter(Familias!F:F,Familias!$D:$D=$A878,Familias!$E:$E=$B878),1))"),"")</f>
        <v/>
      </c>
      <c r="F878" s="4" t="str">
        <f>IFERROR(__xludf.DUMMYFUNCTION("IF($B878="""","""",INDEX(filter(Familias!G:G,Familias!$D:$D=$A878,Familias!$E:$E=$B878),1))"),"")</f>
        <v/>
      </c>
      <c r="G878" s="4" t="str">
        <f t="array" ref="G878">IF(C878=1,XLOOKUP(C878,Cotizador!D:D,Cotizador!E:E,"",0,1),"")</f>
        <v/>
      </c>
      <c r="I878" s="4"/>
      <c r="J878" s="8" t="str">
        <f>IF(I878="","",SUMIF(Cotizador!I$1:V$1,I878,Cotizador!I$2:V$2))</f>
        <v/>
      </c>
      <c r="L878" s="4" t="str">
        <f t="array" ref="L878">IF(COUNTIF(L$1:L877,A$2)=SUMIF(A:A,A$2,D:D),IF(COUNTIF(L$1:L877,XLOOKUP(A$2,Implementos!B:B,Implementos!C:C,"",0,1))=SUMIF(A:A,XLOOKUP(A$2,Implementos!B:B,Implementos!C:C,"",0,1),D:D),"",XLOOKUP(A$2,Implementos!B:B,Implementos!C:C,"",0,1)),A$2)</f>
        <v/>
      </c>
      <c r="M878" s="4" t="str">
        <f t="shared" si="2"/>
        <v/>
      </c>
      <c r="N878" s="4" t="str">
        <f t="shared" si="3"/>
        <v/>
      </c>
      <c r="O878" s="4" t="str">
        <f t="shared" si="4"/>
        <v/>
      </c>
      <c r="P878" s="4" t="str">
        <f t="shared" si="5"/>
        <v/>
      </c>
      <c r="Q878" s="4" t="str">
        <f>IF(U878="","",SUMIF(Productos!E:E,U878,Productos!A:A))</f>
        <v/>
      </c>
      <c r="R878" s="4" t="str">
        <f t="array" ref="R878">IF(L878="","", max(1,SUMIF(I:I,XLOOKUP(U878,Productos!E:E,Productos!G:G,"",0,1),J:J)))</f>
        <v/>
      </c>
      <c r="S878" s="4" t="str">
        <f>IF(Q878="","",IF(SUMIFS(Compat_Vetado!D:D,Compat_Vetado!B:B,SUM(G:G),Compat_Vetado!C:C,Q878)=1,"SI",IF(OR(SUMIF(Cotizador!E:E,Q878,Cotizador!G:G)&gt;0,SUMIFS(Compat_Vetado!D:D,Compat_Vetado!B:B,SUM(G:G),Compat_Vetado!C:C,Q878)=-1),"NO","")))</f>
        <v/>
      </c>
      <c r="T878" s="4" t="str">
        <f t="shared" si="6"/>
        <v/>
      </c>
      <c r="U878" s="4" t="str">
        <f>IFERROR(__xludf.DUMMYFUNCTION("IF(P878="""","""",IFERROR(INDEX(filter(Productos!E:E,Productos!F:F=L878,Productos!H:H=N878),P878),IF(M878=SUM(D:D),""Finalizar"",""-"")))"),"")</f>
        <v/>
      </c>
      <c r="V878" s="4" t="str">
        <f>IFERROR(__xludf.DUMMYFUNCTION("IF(OR($U878="""",COUNTIF($I:$I,IFERROR(unique(filter(Prod_Prop!$H:$H,Prod_Prop!$G:$G=$U878,Prod_Prop!$E:$E=V$1)),""Check""))=0),"""",IFERROR(unique(filter(Prod_Prop!$H:$H,Prod_Prop!$G:$G=$U878,Prod_Prop!$E:$E=V$1)),""""))"),"")</f>
        <v/>
      </c>
      <c r="W878" s="4" t="str">
        <f>IF(V878="","",SUMIFS(Prod_Prop!$J:$J,Prod_Prop!$B:$B,$Q878,Prod_Prop!$H:$H,V878,Prod_Prop!$I:$I,W$1)*IF(V878="Peso",$R878,1))</f>
        <v/>
      </c>
      <c r="X878" s="4" t="str">
        <f>IF(V878="","",SUMIFS(Prod_Prop!$J:$J,Prod_Prop!$B:$B,$Q878,Prod_Prop!$H:$H,V878,Prod_Prop!$I:$I,X$1)*IF(V878="Peso",$R878,1))</f>
        <v/>
      </c>
      <c r="Y878" s="4" t="str">
        <f>IFERROR(__xludf.DUMMYFUNCTION("IF(OR($U878="""",COUNTIF($I:$I,IFERROR(unique(filter(Prod_Prop!$H:$H,Prod_Prop!$G:$G=$U878,Prod_Prop!$E:$E=Y$1)),""Check""))=0),"""",IFERROR(unique(filter(Prod_Prop!$H:$H,Prod_Prop!$G:$G=$U878,Prod_Prop!$E:$E=Y$1)),""""))"),"")</f>
        <v/>
      </c>
      <c r="Z878" s="4" t="str">
        <f>IF(Y878="","",SUMIFS(Prod_Prop!$J:$J,Prod_Prop!$B:$B,$Q878,Prod_Prop!$H:$H,Y878,Prod_Prop!$I:$I,Z$1)*IF(Y878="Peso",$R878,1))</f>
        <v/>
      </c>
      <c r="AA878" s="4" t="str">
        <f>IF(Y878="","",SUMIFS(Prod_Prop!$J:$J,Prod_Prop!$B:$B,$Q878,Prod_Prop!$H:$H,Y878,Prod_Prop!$I:$I,AA$1)*IF(Y878="Peso",$R878,1))</f>
        <v/>
      </c>
      <c r="AB878" s="4" t="str">
        <f>IFERROR(__xludf.DUMMYFUNCTION("IF(OR($U878="""",COUNTIF($I:$I,IFERROR(unique(filter(Prod_Prop!$H:$H,Prod_Prop!$G:$G=$U878,Prod_Prop!$E:$E=AB$1)),""Check""))=0),"""",IFERROR(unique(filter(Prod_Prop!$H:$H,Prod_Prop!$G:$G=$U878,Prod_Prop!$E:$E=AB$1)),""""))"),"")</f>
        <v/>
      </c>
      <c r="AC878" s="4" t="str">
        <f>IF(AB878="","",SUMIFS(Prod_Prop!$J:$J,Prod_Prop!$B:$B,$Q878,Prod_Prop!$H:$H,AB878,Prod_Prop!$I:$I,AC$1)*IF(AB878="Peso",$R878,1))</f>
        <v/>
      </c>
      <c r="AD878" s="4" t="str">
        <f>IF(AB878="","",SUMIFS(Prod_Prop!$J:$J,Prod_Prop!$B:$B,$Q878,Prod_Prop!$H:$H,AB878,Prod_Prop!$I:$I,AD$1)*IF(AB878="Peso",$R878,1))</f>
        <v/>
      </c>
    </row>
    <row r="879">
      <c r="A879" s="4" t="str">
        <f t="array" ref="A879">IF(COUNTIF(A$1:A878,Cotizador!F$2)=maxifs(Familias!E:E,Familias!D:D,Cotizador!F$2),IF(COUNTIF(A$1:A878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79" s="4" t="str">
        <f t="shared" si="1"/>
        <v/>
      </c>
      <c r="C879" s="4" t="str">
        <f t="array" ref="C879">IF(B879="","",IF(A879=XLOOKUP(A$2,Implementos!B:B,Implementos!C:C,"",0,1),B879+maxifs(B$1:B878,A$1:A878,A$2),B879))</f>
        <v/>
      </c>
      <c r="D879" s="4" t="str">
        <f>IF(B879="","", COUNTIFS(Productos!F:F,A879,Productos!H:H,B879)+IF(F879="SI",0,1))</f>
        <v/>
      </c>
      <c r="E879" s="4" t="str">
        <f>IFERROR(__xludf.DUMMYFUNCTION("IF($B879="""","""",INDEX(filter(Familias!F:F,Familias!$D:$D=$A879,Familias!$E:$E=$B879),1))"),"")</f>
        <v/>
      </c>
      <c r="F879" s="4" t="str">
        <f>IFERROR(__xludf.DUMMYFUNCTION("IF($B879="""","""",INDEX(filter(Familias!G:G,Familias!$D:$D=$A879,Familias!$E:$E=$B879),1))"),"")</f>
        <v/>
      </c>
      <c r="G879" s="4" t="str">
        <f t="array" ref="G879">IF(C879=1,XLOOKUP(C879,Cotizador!D:D,Cotizador!E:E,"",0,1),"")</f>
        <v/>
      </c>
      <c r="I879" s="4"/>
      <c r="J879" s="8" t="str">
        <f>IF(I879="","",SUMIF(Cotizador!I$1:V$1,I879,Cotizador!I$2:V$2))</f>
        <v/>
      </c>
      <c r="L879" s="4" t="str">
        <f t="array" ref="L879">IF(COUNTIF(L$1:L878,A$2)=SUMIF(A:A,A$2,D:D),IF(COUNTIF(L$1:L878,XLOOKUP(A$2,Implementos!B:B,Implementos!C:C,"",0,1))=SUMIF(A:A,XLOOKUP(A$2,Implementos!B:B,Implementos!C:C,"",0,1),D:D),"",XLOOKUP(A$2,Implementos!B:B,Implementos!C:C,"",0,1)),A$2)</f>
        <v/>
      </c>
      <c r="M879" s="4" t="str">
        <f t="shared" si="2"/>
        <v/>
      </c>
      <c r="N879" s="4" t="str">
        <f t="shared" si="3"/>
        <v/>
      </c>
      <c r="O879" s="4" t="str">
        <f t="shared" si="4"/>
        <v/>
      </c>
      <c r="P879" s="4" t="str">
        <f t="shared" si="5"/>
        <v/>
      </c>
      <c r="Q879" s="4" t="str">
        <f>IF(U879="","",SUMIF(Productos!E:E,U879,Productos!A:A))</f>
        <v/>
      </c>
      <c r="R879" s="4" t="str">
        <f t="array" ref="R879">IF(L879="","", max(1,SUMIF(I:I,XLOOKUP(U879,Productos!E:E,Productos!G:G,"",0,1),J:J)))</f>
        <v/>
      </c>
      <c r="S879" s="4" t="str">
        <f>IF(Q879="","",IF(SUMIFS(Compat_Vetado!D:D,Compat_Vetado!B:B,SUM(G:G),Compat_Vetado!C:C,Q879)=1,"SI",IF(OR(SUMIF(Cotizador!E:E,Q879,Cotizador!G:G)&gt;0,SUMIFS(Compat_Vetado!D:D,Compat_Vetado!B:B,SUM(G:G),Compat_Vetado!C:C,Q879)=-1),"NO","")))</f>
        <v/>
      </c>
      <c r="T879" s="4" t="str">
        <f t="shared" si="6"/>
        <v/>
      </c>
      <c r="U879" s="4" t="str">
        <f>IFERROR(__xludf.DUMMYFUNCTION("IF(P879="""","""",IFERROR(INDEX(filter(Productos!E:E,Productos!F:F=L879,Productos!H:H=N879),P879),IF(M879=SUM(D:D),""Finalizar"",""-"")))"),"")</f>
        <v/>
      </c>
      <c r="V879" s="4" t="str">
        <f>IFERROR(__xludf.DUMMYFUNCTION("IF(OR($U879="""",COUNTIF($I:$I,IFERROR(unique(filter(Prod_Prop!$H:$H,Prod_Prop!$G:$G=$U879,Prod_Prop!$E:$E=V$1)),""Check""))=0),"""",IFERROR(unique(filter(Prod_Prop!$H:$H,Prod_Prop!$G:$G=$U879,Prod_Prop!$E:$E=V$1)),""""))"),"")</f>
        <v/>
      </c>
      <c r="W879" s="4" t="str">
        <f>IF(V879="","",SUMIFS(Prod_Prop!$J:$J,Prod_Prop!$B:$B,$Q879,Prod_Prop!$H:$H,V879,Prod_Prop!$I:$I,W$1)*IF(V879="Peso",$R879,1))</f>
        <v/>
      </c>
      <c r="X879" s="4" t="str">
        <f>IF(V879="","",SUMIFS(Prod_Prop!$J:$J,Prod_Prop!$B:$B,$Q879,Prod_Prop!$H:$H,V879,Prod_Prop!$I:$I,X$1)*IF(V879="Peso",$R879,1))</f>
        <v/>
      </c>
      <c r="Y879" s="4" t="str">
        <f>IFERROR(__xludf.DUMMYFUNCTION("IF(OR($U879="""",COUNTIF($I:$I,IFERROR(unique(filter(Prod_Prop!$H:$H,Prod_Prop!$G:$G=$U879,Prod_Prop!$E:$E=Y$1)),""Check""))=0),"""",IFERROR(unique(filter(Prod_Prop!$H:$H,Prod_Prop!$G:$G=$U879,Prod_Prop!$E:$E=Y$1)),""""))"),"")</f>
        <v/>
      </c>
      <c r="Z879" s="4" t="str">
        <f>IF(Y879="","",SUMIFS(Prod_Prop!$J:$J,Prod_Prop!$B:$B,$Q879,Prod_Prop!$H:$H,Y879,Prod_Prop!$I:$I,Z$1)*IF(Y879="Peso",$R879,1))</f>
        <v/>
      </c>
      <c r="AA879" s="4" t="str">
        <f>IF(Y879="","",SUMIFS(Prod_Prop!$J:$J,Prod_Prop!$B:$B,$Q879,Prod_Prop!$H:$H,Y879,Prod_Prop!$I:$I,AA$1)*IF(Y879="Peso",$R879,1))</f>
        <v/>
      </c>
      <c r="AB879" s="4" t="str">
        <f>IFERROR(__xludf.DUMMYFUNCTION("IF(OR($U879="""",COUNTIF($I:$I,IFERROR(unique(filter(Prod_Prop!$H:$H,Prod_Prop!$G:$G=$U879,Prod_Prop!$E:$E=AB$1)),""Check""))=0),"""",IFERROR(unique(filter(Prod_Prop!$H:$H,Prod_Prop!$G:$G=$U879,Prod_Prop!$E:$E=AB$1)),""""))"),"")</f>
        <v/>
      </c>
      <c r="AC879" s="4" t="str">
        <f>IF(AB879="","",SUMIFS(Prod_Prop!$J:$J,Prod_Prop!$B:$B,$Q879,Prod_Prop!$H:$H,AB879,Prod_Prop!$I:$I,AC$1)*IF(AB879="Peso",$R879,1))</f>
        <v/>
      </c>
      <c r="AD879" s="4" t="str">
        <f>IF(AB879="","",SUMIFS(Prod_Prop!$J:$J,Prod_Prop!$B:$B,$Q879,Prod_Prop!$H:$H,AB879,Prod_Prop!$I:$I,AD$1)*IF(AB879="Peso",$R879,1))</f>
        <v/>
      </c>
    </row>
    <row r="880">
      <c r="A880" s="4" t="str">
        <f t="array" ref="A880">IF(COUNTIF(A$1:A879,Cotizador!F$2)=maxifs(Familias!E:E,Familias!D:D,Cotizador!F$2),IF(COUNTIF(A$1:A879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0" s="4" t="str">
        <f t="shared" si="1"/>
        <v/>
      </c>
      <c r="C880" s="4" t="str">
        <f t="array" ref="C880">IF(B880="","",IF(A880=XLOOKUP(A$2,Implementos!B:B,Implementos!C:C,"",0,1),B880+maxifs(B$1:B879,A$1:A879,A$2),B880))</f>
        <v/>
      </c>
      <c r="D880" s="4" t="str">
        <f>IF(B880="","", COUNTIFS(Productos!F:F,A880,Productos!H:H,B880)+IF(F880="SI",0,1))</f>
        <v/>
      </c>
      <c r="E880" s="4" t="str">
        <f>IFERROR(__xludf.DUMMYFUNCTION("IF($B880="""","""",INDEX(filter(Familias!F:F,Familias!$D:$D=$A880,Familias!$E:$E=$B880),1))"),"")</f>
        <v/>
      </c>
      <c r="F880" s="4" t="str">
        <f>IFERROR(__xludf.DUMMYFUNCTION("IF($B880="""","""",INDEX(filter(Familias!G:G,Familias!$D:$D=$A880,Familias!$E:$E=$B880),1))"),"")</f>
        <v/>
      </c>
      <c r="G880" s="4" t="str">
        <f t="array" ref="G880">IF(C880=1,XLOOKUP(C880,Cotizador!D:D,Cotizador!E:E,"",0,1),"")</f>
        <v/>
      </c>
      <c r="I880" s="4"/>
      <c r="J880" s="8" t="str">
        <f>IF(I880="","",SUMIF(Cotizador!I$1:V$1,I880,Cotizador!I$2:V$2))</f>
        <v/>
      </c>
      <c r="L880" s="4" t="str">
        <f t="array" ref="L880">IF(COUNTIF(L$1:L879,A$2)=SUMIF(A:A,A$2,D:D),IF(COUNTIF(L$1:L879,XLOOKUP(A$2,Implementos!B:B,Implementos!C:C,"",0,1))=SUMIF(A:A,XLOOKUP(A$2,Implementos!B:B,Implementos!C:C,"",0,1),D:D),"",XLOOKUP(A$2,Implementos!B:B,Implementos!C:C,"",0,1)),A$2)</f>
        <v/>
      </c>
      <c r="M880" s="4" t="str">
        <f t="shared" si="2"/>
        <v/>
      </c>
      <c r="N880" s="4" t="str">
        <f t="shared" si="3"/>
        <v/>
      </c>
      <c r="O880" s="4" t="str">
        <f t="shared" si="4"/>
        <v/>
      </c>
      <c r="P880" s="4" t="str">
        <f t="shared" si="5"/>
        <v/>
      </c>
      <c r="Q880" s="4" t="str">
        <f>IF(U880="","",SUMIF(Productos!E:E,U880,Productos!A:A))</f>
        <v/>
      </c>
      <c r="R880" s="4" t="str">
        <f t="array" ref="R880">IF(L880="","", max(1,SUMIF(I:I,XLOOKUP(U880,Productos!E:E,Productos!G:G,"",0,1),J:J)))</f>
        <v/>
      </c>
      <c r="S880" s="4" t="str">
        <f>IF(Q880="","",IF(SUMIFS(Compat_Vetado!D:D,Compat_Vetado!B:B,SUM(G:G),Compat_Vetado!C:C,Q880)=1,"SI",IF(OR(SUMIF(Cotizador!E:E,Q880,Cotizador!G:G)&gt;0,SUMIFS(Compat_Vetado!D:D,Compat_Vetado!B:B,SUM(G:G),Compat_Vetado!C:C,Q880)=-1),"NO","")))</f>
        <v/>
      </c>
      <c r="T880" s="4" t="str">
        <f t="shared" si="6"/>
        <v/>
      </c>
      <c r="U880" s="4" t="str">
        <f>IFERROR(__xludf.DUMMYFUNCTION("IF(P880="""","""",IFERROR(INDEX(filter(Productos!E:E,Productos!F:F=L880,Productos!H:H=N880),P880),IF(M880=SUM(D:D),""Finalizar"",""-"")))"),"")</f>
        <v/>
      </c>
      <c r="V880" s="4" t="str">
        <f>IFERROR(__xludf.DUMMYFUNCTION("IF(OR($U880="""",COUNTIF($I:$I,IFERROR(unique(filter(Prod_Prop!$H:$H,Prod_Prop!$G:$G=$U880,Prod_Prop!$E:$E=V$1)),""Check""))=0),"""",IFERROR(unique(filter(Prod_Prop!$H:$H,Prod_Prop!$G:$G=$U880,Prod_Prop!$E:$E=V$1)),""""))"),"")</f>
        <v/>
      </c>
      <c r="W880" s="4" t="str">
        <f>IF(V880="","",SUMIFS(Prod_Prop!$J:$J,Prod_Prop!$B:$B,$Q880,Prod_Prop!$H:$H,V880,Prod_Prop!$I:$I,W$1)*IF(V880="Peso",$R880,1))</f>
        <v/>
      </c>
      <c r="X880" s="4" t="str">
        <f>IF(V880="","",SUMIFS(Prod_Prop!$J:$J,Prod_Prop!$B:$B,$Q880,Prod_Prop!$H:$H,V880,Prod_Prop!$I:$I,X$1)*IF(V880="Peso",$R880,1))</f>
        <v/>
      </c>
      <c r="Y880" s="4" t="str">
        <f>IFERROR(__xludf.DUMMYFUNCTION("IF(OR($U880="""",COUNTIF($I:$I,IFERROR(unique(filter(Prod_Prop!$H:$H,Prod_Prop!$G:$G=$U880,Prod_Prop!$E:$E=Y$1)),""Check""))=0),"""",IFERROR(unique(filter(Prod_Prop!$H:$H,Prod_Prop!$G:$G=$U880,Prod_Prop!$E:$E=Y$1)),""""))"),"")</f>
        <v/>
      </c>
      <c r="Z880" s="4" t="str">
        <f>IF(Y880="","",SUMIFS(Prod_Prop!$J:$J,Prod_Prop!$B:$B,$Q880,Prod_Prop!$H:$H,Y880,Prod_Prop!$I:$I,Z$1)*IF(Y880="Peso",$R880,1))</f>
        <v/>
      </c>
      <c r="AA880" s="4" t="str">
        <f>IF(Y880="","",SUMIFS(Prod_Prop!$J:$J,Prod_Prop!$B:$B,$Q880,Prod_Prop!$H:$H,Y880,Prod_Prop!$I:$I,AA$1)*IF(Y880="Peso",$R880,1))</f>
        <v/>
      </c>
      <c r="AB880" s="4" t="str">
        <f>IFERROR(__xludf.DUMMYFUNCTION("IF(OR($U880="""",COUNTIF($I:$I,IFERROR(unique(filter(Prod_Prop!$H:$H,Prod_Prop!$G:$G=$U880,Prod_Prop!$E:$E=AB$1)),""Check""))=0),"""",IFERROR(unique(filter(Prod_Prop!$H:$H,Prod_Prop!$G:$G=$U880,Prod_Prop!$E:$E=AB$1)),""""))"),"")</f>
        <v/>
      </c>
      <c r="AC880" s="4" t="str">
        <f>IF(AB880="","",SUMIFS(Prod_Prop!$J:$J,Prod_Prop!$B:$B,$Q880,Prod_Prop!$H:$H,AB880,Prod_Prop!$I:$I,AC$1)*IF(AB880="Peso",$R880,1))</f>
        <v/>
      </c>
      <c r="AD880" s="4" t="str">
        <f>IF(AB880="","",SUMIFS(Prod_Prop!$J:$J,Prod_Prop!$B:$B,$Q880,Prod_Prop!$H:$H,AB880,Prod_Prop!$I:$I,AD$1)*IF(AB880="Peso",$R880,1))</f>
        <v/>
      </c>
    </row>
    <row r="881">
      <c r="A881" s="4" t="str">
        <f t="array" ref="A881">IF(COUNTIF(A$1:A880,Cotizador!F$2)=maxifs(Familias!E:E,Familias!D:D,Cotizador!F$2),IF(COUNTIF(A$1:A880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1" s="4" t="str">
        <f t="shared" si="1"/>
        <v/>
      </c>
      <c r="C881" s="4" t="str">
        <f t="array" ref="C881">IF(B881="","",IF(A881=XLOOKUP(A$2,Implementos!B:B,Implementos!C:C,"",0,1),B881+maxifs(B$1:B880,A$1:A880,A$2),B881))</f>
        <v/>
      </c>
      <c r="D881" s="4" t="str">
        <f>IF(B881="","", COUNTIFS(Productos!F:F,A881,Productos!H:H,B881)+IF(F881="SI",0,1))</f>
        <v/>
      </c>
      <c r="E881" s="4" t="str">
        <f>IFERROR(__xludf.DUMMYFUNCTION("IF($B881="""","""",INDEX(filter(Familias!F:F,Familias!$D:$D=$A881,Familias!$E:$E=$B881),1))"),"")</f>
        <v/>
      </c>
      <c r="F881" s="4" t="str">
        <f>IFERROR(__xludf.DUMMYFUNCTION("IF($B881="""","""",INDEX(filter(Familias!G:G,Familias!$D:$D=$A881,Familias!$E:$E=$B881),1))"),"")</f>
        <v/>
      </c>
      <c r="G881" s="4" t="str">
        <f t="array" ref="G881">IF(C881=1,XLOOKUP(C881,Cotizador!D:D,Cotizador!E:E,"",0,1),"")</f>
        <v/>
      </c>
      <c r="I881" s="4"/>
      <c r="J881" s="8" t="str">
        <f>IF(I881="","",SUMIF(Cotizador!I$1:V$1,I881,Cotizador!I$2:V$2))</f>
        <v/>
      </c>
      <c r="L881" s="4" t="str">
        <f t="array" ref="L881">IF(COUNTIF(L$1:L880,A$2)=SUMIF(A:A,A$2,D:D),IF(COUNTIF(L$1:L880,XLOOKUP(A$2,Implementos!B:B,Implementos!C:C,"",0,1))=SUMIF(A:A,XLOOKUP(A$2,Implementos!B:B,Implementos!C:C,"",0,1),D:D),"",XLOOKUP(A$2,Implementos!B:B,Implementos!C:C,"",0,1)),A$2)</f>
        <v/>
      </c>
      <c r="M881" s="4" t="str">
        <f t="shared" si="2"/>
        <v/>
      </c>
      <c r="N881" s="4" t="str">
        <f t="shared" si="3"/>
        <v/>
      </c>
      <c r="O881" s="4" t="str">
        <f t="shared" si="4"/>
        <v/>
      </c>
      <c r="P881" s="4" t="str">
        <f t="shared" si="5"/>
        <v/>
      </c>
      <c r="Q881" s="4" t="str">
        <f>IF(U881="","",SUMIF(Productos!E:E,U881,Productos!A:A))</f>
        <v/>
      </c>
      <c r="R881" s="4" t="str">
        <f t="array" ref="R881">IF(L881="","", max(1,SUMIF(I:I,XLOOKUP(U881,Productos!E:E,Productos!G:G,"",0,1),J:J)))</f>
        <v/>
      </c>
      <c r="S881" s="4" t="str">
        <f>IF(Q881="","",IF(SUMIFS(Compat_Vetado!D:D,Compat_Vetado!B:B,SUM(G:G),Compat_Vetado!C:C,Q881)=1,"SI",IF(OR(SUMIF(Cotizador!E:E,Q881,Cotizador!G:G)&gt;0,SUMIFS(Compat_Vetado!D:D,Compat_Vetado!B:B,SUM(G:G),Compat_Vetado!C:C,Q881)=-1),"NO","")))</f>
        <v/>
      </c>
      <c r="T881" s="4" t="str">
        <f t="shared" si="6"/>
        <v/>
      </c>
      <c r="U881" s="4" t="str">
        <f>IFERROR(__xludf.DUMMYFUNCTION("IF(P881="""","""",IFERROR(INDEX(filter(Productos!E:E,Productos!F:F=L881,Productos!H:H=N881),P881),IF(M881=SUM(D:D),""Finalizar"",""-"")))"),"")</f>
        <v/>
      </c>
      <c r="V881" s="4" t="str">
        <f>IFERROR(__xludf.DUMMYFUNCTION("IF(OR($U881="""",COUNTIF($I:$I,IFERROR(unique(filter(Prod_Prop!$H:$H,Prod_Prop!$G:$G=$U881,Prod_Prop!$E:$E=V$1)),""Check""))=0),"""",IFERROR(unique(filter(Prod_Prop!$H:$H,Prod_Prop!$G:$G=$U881,Prod_Prop!$E:$E=V$1)),""""))"),"")</f>
        <v/>
      </c>
      <c r="W881" s="4" t="str">
        <f>IF(V881="","",SUMIFS(Prod_Prop!$J:$J,Prod_Prop!$B:$B,$Q881,Prod_Prop!$H:$H,V881,Prod_Prop!$I:$I,W$1)*IF(V881="Peso",$R881,1))</f>
        <v/>
      </c>
      <c r="X881" s="4" t="str">
        <f>IF(V881="","",SUMIFS(Prod_Prop!$J:$J,Prod_Prop!$B:$B,$Q881,Prod_Prop!$H:$H,V881,Prod_Prop!$I:$I,X$1)*IF(V881="Peso",$R881,1))</f>
        <v/>
      </c>
      <c r="Y881" s="4" t="str">
        <f>IFERROR(__xludf.DUMMYFUNCTION("IF(OR($U881="""",COUNTIF($I:$I,IFERROR(unique(filter(Prod_Prop!$H:$H,Prod_Prop!$G:$G=$U881,Prod_Prop!$E:$E=Y$1)),""Check""))=0),"""",IFERROR(unique(filter(Prod_Prop!$H:$H,Prod_Prop!$G:$G=$U881,Prod_Prop!$E:$E=Y$1)),""""))"),"")</f>
        <v/>
      </c>
      <c r="Z881" s="4" t="str">
        <f>IF(Y881="","",SUMIFS(Prod_Prop!$J:$J,Prod_Prop!$B:$B,$Q881,Prod_Prop!$H:$H,Y881,Prod_Prop!$I:$I,Z$1)*IF(Y881="Peso",$R881,1))</f>
        <v/>
      </c>
      <c r="AA881" s="4" t="str">
        <f>IF(Y881="","",SUMIFS(Prod_Prop!$J:$J,Prod_Prop!$B:$B,$Q881,Prod_Prop!$H:$H,Y881,Prod_Prop!$I:$I,AA$1)*IF(Y881="Peso",$R881,1))</f>
        <v/>
      </c>
      <c r="AB881" s="4" t="str">
        <f>IFERROR(__xludf.DUMMYFUNCTION("IF(OR($U881="""",COUNTIF($I:$I,IFERROR(unique(filter(Prod_Prop!$H:$H,Prod_Prop!$G:$G=$U881,Prod_Prop!$E:$E=AB$1)),""Check""))=0),"""",IFERROR(unique(filter(Prod_Prop!$H:$H,Prod_Prop!$G:$G=$U881,Prod_Prop!$E:$E=AB$1)),""""))"),"")</f>
        <v/>
      </c>
      <c r="AC881" s="4" t="str">
        <f>IF(AB881="","",SUMIFS(Prod_Prop!$J:$J,Prod_Prop!$B:$B,$Q881,Prod_Prop!$H:$H,AB881,Prod_Prop!$I:$I,AC$1)*IF(AB881="Peso",$R881,1))</f>
        <v/>
      </c>
      <c r="AD881" s="4" t="str">
        <f>IF(AB881="","",SUMIFS(Prod_Prop!$J:$J,Prod_Prop!$B:$B,$Q881,Prod_Prop!$H:$H,AB881,Prod_Prop!$I:$I,AD$1)*IF(AB881="Peso",$R881,1))</f>
        <v/>
      </c>
    </row>
    <row r="882">
      <c r="A882" s="4" t="str">
        <f t="array" ref="A882">IF(COUNTIF(A$1:A881,Cotizador!F$2)=maxifs(Familias!E:E,Familias!D:D,Cotizador!F$2),IF(COUNTIF(A$1:A881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2" s="4" t="str">
        <f t="shared" si="1"/>
        <v/>
      </c>
      <c r="C882" s="4" t="str">
        <f t="array" ref="C882">IF(B882="","",IF(A882=XLOOKUP(A$2,Implementos!B:B,Implementos!C:C,"",0,1),B882+maxifs(B$1:B881,A$1:A881,A$2),B882))</f>
        <v/>
      </c>
      <c r="D882" s="4" t="str">
        <f>IF(B882="","", COUNTIFS(Productos!F:F,A882,Productos!H:H,B882)+IF(F882="SI",0,1))</f>
        <v/>
      </c>
      <c r="E882" s="4" t="str">
        <f>IFERROR(__xludf.DUMMYFUNCTION("IF($B882="""","""",INDEX(filter(Familias!F:F,Familias!$D:$D=$A882,Familias!$E:$E=$B882),1))"),"")</f>
        <v/>
      </c>
      <c r="F882" s="4" t="str">
        <f>IFERROR(__xludf.DUMMYFUNCTION("IF($B882="""","""",INDEX(filter(Familias!G:G,Familias!$D:$D=$A882,Familias!$E:$E=$B882),1))"),"")</f>
        <v/>
      </c>
      <c r="G882" s="4" t="str">
        <f t="array" ref="G882">IF(C882=1,XLOOKUP(C882,Cotizador!D:D,Cotizador!E:E,"",0,1),"")</f>
        <v/>
      </c>
      <c r="I882" s="4"/>
      <c r="J882" s="8" t="str">
        <f>IF(I882="","",SUMIF(Cotizador!I$1:V$1,I882,Cotizador!I$2:V$2))</f>
        <v/>
      </c>
      <c r="L882" s="4" t="str">
        <f t="array" ref="L882">IF(COUNTIF(L$1:L881,A$2)=SUMIF(A:A,A$2,D:D),IF(COUNTIF(L$1:L881,XLOOKUP(A$2,Implementos!B:B,Implementos!C:C,"",0,1))=SUMIF(A:A,XLOOKUP(A$2,Implementos!B:B,Implementos!C:C,"",0,1),D:D),"",XLOOKUP(A$2,Implementos!B:B,Implementos!C:C,"",0,1)),A$2)</f>
        <v/>
      </c>
      <c r="M882" s="4" t="str">
        <f t="shared" si="2"/>
        <v/>
      </c>
      <c r="N882" s="4" t="str">
        <f t="shared" si="3"/>
        <v/>
      </c>
      <c r="O882" s="4" t="str">
        <f t="shared" si="4"/>
        <v/>
      </c>
      <c r="P882" s="4" t="str">
        <f t="shared" si="5"/>
        <v/>
      </c>
      <c r="Q882" s="4" t="str">
        <f>IF(U882="","",SUMIF(Productos!E:E,U882,Productos!A:A))</f>
        <v/>
      </c>
      <c r="R882" s="4" t="str">
        <f t="array" ref="R882">IF(L882="","", max(1,SUMIF(I:I,XLOOKUP(U882,Productos!E:E,Productos!G:G,"",0,1),J:J)))</f>
        <v/>
      </c>
      <c r="S882" s="4" t="str">
        <f>IF(Q882="","",IF(SUMIFS(Compat_Vetado!D:D,Compat_Vetado!B:B,SUM(G:G),Compat_Vetado!C:C,Q882)=1,"SI",IF(OR(SUMIF(Cotizador!E:E,Q882,Cotizador!G:G)&gt;0,SUMIFS(Compat_Vetado!D:D,Compat_Vetado!B:B,SUM(G:G),Compat_Vetado!C:C,Q882)=-1),"NO","")))</f>
        <v/>
      </c>
      <c r="T882" s="4" t="str">
        <f t="shared" si="6"/>
        <v/>
      </c>
      <c r="U882" s="4" t="str">
        <f>IFERROR(__xludf.DUMMYFUNCTION("IF(P882="""","""",IFERROR(INDEX(filter(Productos!E:E,Productos!F:F=L882,Productos!H:H=N882),P882),IF(M882=SUM(D:D),""Finalizar"",""-"")))"),"")</f>
        <v/>
      </c>
      <c r="V882" s="4" t="str">
        <f>IFERROR(__xludf.DUMMYFUNCTION("IF(OR($U882="""",COUNTIF($I:$I,IFERROR(unique(filter(Prod_Prop!$H:$H,Prod_Prop!$G:$G=$U882,Prod_Prop!$E:$E=V$1)),""Check""))=0),"""",IFERROR(unique(filter(Prod_Prop!$H:$H,Prod_Prop!$G:$G=$U882,Prod_Prop!$E:$E=V$1)),""""))"),"")</f>
        <v/>
      </c>
      <c r="W882" s="4" t="str">
        <f>IF(V882="","",SUMIFS(Prod_Prop!$J:$J,Prod_Prop!$B:$B,$Q882,Prod_Prop!$H:$H,V882,Prod_Prop!$I:$I,W$1)*IF(V882="Peso",$R882,1))</f>
        <v/>
      </c>
      <c r="X882" s="4" t="str">
        <f>IF(V882="","",SUMIFS(Prod_Prop!$J:$J,Prod_Prop!$B:$B,$Q882,Prod_Prop!$H:$H,V882,Prod_Prop!$I:$I,X$1)*IF(V882="Peso",$R882,1))</f>
        <v/>
      </c>
      <c r="Y882" s="4" t="str">
        <f>IFERROR(__xludf.DUMMYFUNCTION("IF(OR($U882="""",COUNTIF($I:$I,IFERROR(unique(filter(Prod_Prop!$H:$H,Prod_Prop!$G:$G=$U882,Prod_Prop!$E:$E=Y$1)),""Check""))=0),"""",IFERROR(unique(filter(Prod_Prop!$H:$H,Prod_Prop!$G:$G=$U882,Prod_Prop!$E:$E=Y$1)),""""))"),"")</f>
        <v/>
      </c>
      <c r="Z882" s="4" t="str">
        <f>IF(Y882="","",SUMIFS(Prod_Prop!$J:$J,Prod_Prop!$B:$B,$Q882,Prod_Prop!$H:$H,Y882,Prod_Prop!$I:$I,Z$1)*IF(Y882="Peso",$R882,1))</f>
        <v/>
      </c>
      <c r="AA882" s="4" t="str">
        <f>IF(Y882="","",SUMIFS(Prod_Prop!$J:$J,Prod_Prop!$B:$B,$Q882,Prod_Prop!$H:$H,Y882,Prod_Prop!$I:$I,AA$1)*IF(Y882="Peso",$R882,1))</f>
        <v/>
      </c>
      <c r="AB882" s="4" t="str">
        <f>IFERROR(__xludf.DUMMYFUNCTION("IF(OR($U882="""",COUNTIF($I:$I,IFERROR(unique(filter(Prod_Prop!$H:$H,Prod_Prop!$G:$G=$U882,Prod_Prop!$E:$E=AB$1)),""Check""))=0),"""",IFERROR(unique(filter(Prod_Prop!$H:$H,Prod_Prop!$G:$G=$U882,Prod_Prop!$E:$E=AB$1)),""""))"),"")</f>
        <v/>
      </c>
      <c r="AC882" s="4" t="str">
        <f>IF(AB882="","",SUMIFS(Prod_Prop!$J:$J,Prod_Prop!$B:$B,$Q882,Prod_Prop!$H:$H,AB882,Prod_Prop!$I:$I,AC$1)*IF(AB882="Peso",$R882,1))</f>
        <v/>
      </c>
      <c r="AD882" s="4" t="str">
        <f>IF(AB882="","",SUMIFS(Prod_Prop!$J:$J,Prod_Prop!$B:$B,$Q882,Prod_Prop!$H:$H,AB882,Prod_Prop!$I:$I,AD$1)*IF(AB882="Peso",$R882,1))</f>
        <v/>
      </c>
    </row>
    <row r="883">
      <c r="A883" s="4" t="str">
        <f t="array" ref="A883">IF(COUNTIF(A$1:A882,Cotizador!F$2)=maxifs(Familias!E:E,Familias!D:D,Cotizador!F$2),IF(COUNTIF(A$1:A882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3" s="4" t="str">
        <f t="shared" si="1"/>
        <v/>
      </c>
      <c r="C883" s="4" t="str">
        <f t="array" ref="C883">IF(B883="","",IF(A883=XLOOKUP(A$2,Implementos!B:B,Implementos!C:C,"",0,1),B883+maxifs(B$1:B882,A$1:A882,A$2),B883))</f>
        <v/>
      </c>
      <c r="D883" s="4" t="str">
        <f>IF(B883="","", COUNTIFS(Productos!F:F,A883,Productos!H:H,B883)+IF(F883="SI",0,1))</f>
        <v/>
      </c>
      <c r="E883" s="4" t="str">
        <f>IFERROR(__xludf.DUMMYFUNCTION("IF($B883="""","""",INDEX(filter(Familias!F:F,Familias!$D:$D=$A883,Familias!$E:$E=$B883),1))"),"")</f>
        <v/>
      </c>
      <c r="F883" s="4" t="str">
        <f>IFERROR(__xludf.DUMMYFUNCTION("IF($B883="""","""",INDEX(filter(Familias!G:G,Familias!$D:$D=$A883,Familias!$E:$E=$B883),1))"),"")</f>
        <v/>
      </c>
      <c r="G883" s="4" t="str">
        <f t="array" ref="G883">IF(C883=1,XLOOKUP(C883,Cotizador!D:D,Cotizador!E:E,"",0,1),"")</f>
        <v/>
      </c>
      <c r="I883" s="4"/>
      <c r="J883" s="8" t="str">
        <f>IF(I883="","",SUMIF(Cotizador!I$1:V$1,I883,Cotizador!I$2:V$2))</f>
        <v/>
      </c>
      <c r="L883" s="4" t="str">
        <f t="array" ref="L883">IF(COUNTIF(L$1:L882,A$2)=SUMIF(A:A,A$2,D:D),IF(COUNTIF(L$1:L882,XLOOKUP(A$2,Implementos!B:B,Implementos!C:C,"",0,1))=SUMIF(A:A,XLOOKUP(A$2,Implementos!B:B,Implementos!C:C,"",0,1),D:D),"",XLOOKUP(A$2,Implementos!B:B,Implementos!C:C,"",0,1)),A$2)</f>
        <v/>
      </c>
      <c r="M883" s="4" t="str">
        <f t="shared" si="2"/>
        <v/>
      </c>
      <c r="N883" s="4" t="str">
        <f t="shared" si="3"/>
        <v/>
      </c>
      <c r="O883" s="4" t="str">
        <f t="shared" si="4"/>
        <v/>
      </c>
      <c r="P883" s="4" t="str">
        <f t="shared" si="5"/>
        <v/>
      </c>
      <c r="Q883" s="4" t="str">
        <f>IF(U883="","",SUMIF(Productos!E:E,U883,Productos!A:A))</f>
        <v/>
      </c>
      <c r="R883" s="4" t="str">
        <f t="array" ref="R883">IF(L883="","", max(1,SUMIF(I:I,XLOOKUP(U883,Productos!E:E,Productos!G:G,"",0,1),J:J)))</f>
        <v/>
      </c>
      <c r="S883" s="4" t="str">
        <f>IF(Q883="","",IF(SUMIFS(Compat_Vetado!D:D,Compat_Vetado!B:B,SUM(G:G),Compat_Vetado!C:C,Q883)=1,"SI",IF(OR(SUMIF(Cotizador!E:E,Q883,Cotizador!G:G)&gt;0,SUMIFS(Compat_Vetado!D:D,Compat_Vetado!B:B,SUM(G:G),Compat_Vetado!C:C,Q883)=-1),"NO","")))</f>
        <v/>
      </c>
      <c r="T883" s="4" t="str">
        <f t="shared" si="6"/>
        <v/>
      </c>
      <c r="U883" s="4" t="str">
        <f>IFERROR(__xludf.DUMMYFUNCTION("IF(P883="""","""",IFERROR(INDEX(filter(Productos!E:E,Productos!F:F=L883,Productos!H:H=N883),P883),IF(M883=SUM(D:D),""Finalizar"",""-"")))"),"")</f>
        <v/>
      </c>
      <c r="V883" s="4" t="str">
        <f>IFERROR(__xludf.DUMMYFUNCTION("IF(OR($U883="""",COUNTIF($I:$I,IFERROR(unique(filter(Prod_Prop!$H:$H,Prod_Prop!$G:$G=$U883,Prod_Prop!$E:$E=V$1)),""Check""))=0),"""",IFERROR(unique(filter(Prod_Prop!$H:$H,Prod_Prop!$G:$G=$U883,Prod_Prop!$E:$E=V$1)),""""))"),"")</f>
        <v/>
      </c>
      <c r="W883" s="4" t="str">
        <f>IF(V883="","",SUMIFS(Prod_Prop!$J:$J,Prod_Prop!$B:$B,$Q883,Prod_Prop!$H:$H,V883,Prod_Prop!$I:$I,W$1)*IF(V883="Peso",$R883,1))</f>
        <v/>
      </c>
      <c r="X883" s="4" t="str">
        <f>IF(V883="","",SUMIFS(Prod_Prop!$J:$J,Prod_Prop!$B:$B,$Q883,Prod_Prop!$H:$H,V883,Prod_Prop!$I:$I,X$1)*IF(V883="Peso",$R883,1))</f>
        <v/>
      </c>
      <c r="Y883" s="4" t="str">
        <f>IFERROR(__xludf.DUMMYFUNCTION("IF(OR($U883="""",COUNTIF($I:$I,IFERROR(unique(filter(Prod_Prop!$H:$H,Prod_Prop!$G:$G=$U883,Prod_Prop!$E:$E=Y$1)),""Check""))=0),"""",IFERROR(unique(filter(Prod_Prop!$H:$H,Prod_Prop!$G:$G=$U883,Prod_Prop!$E:$E=Y$1)),""""))"),"")</f>
        <v/>
      </c>
      <c r="Z883" s="4" t="str">
        <f>IF(Y883="","",SUMIFS(Prod_Prop!$J:$J,Prod_Prop!$B:$B,$Q883,Prod_Prop!$H:$H,Y883,Prod_Prop!$I:$I,Z$1)*IF(Y883="Peso",$R883,1))</f>
        <v/>
      </c>
      <c r="AA883" s="4" t="str">
        <f>IF(Y883="","",SUMIFS(Prod_Prop!$J:$J,Prod_Prop!$B:$B,$Q883,Prod_Prop!$H:$H,Y883,Prod_Prop!$I:$I,AA$1)*IF(Y883="Peso",$R883,1))</f>
        <v/>
      </c>
      <c r="AB883" s="4" t="str">
        <f>IFERROR(__xludf.DUMMYFUNCTION("IF(OR($U883="""",COUNTIF($I:$I,IFERROR(unique(filter(Prod_Prop!$H:$H,Prod_Prop!$G:$G=$U883,Prod_Prop!$E:$E=AB$1)),""Check""))=0),"""",IFERROR(unique(filter(Prod_Prop!$H:$H,Prod_Prop!$G:$G=$U883,Prod_Prop!$E:$E=AB$1)),""""))"),"")</f>
        <v/>
      </c>
      <c r="AC883" s="4" t="str">
        <f>IF(AB883="","",SUMIFS(Prod_Prop!$J:$J,Prod_Prop!$B:$B,$Q883,Prod_Prop!$H:$H,AB883,Prod_Prop!$I:$I,AC$1)*IF(AB883="Peso",$R883,1))</f>
        <v/>
      </c>
      <c r="AD883" s="4" t="str">
        <f>IF(AB883="","",SUMIFS(Prod_Prop!$J:$J,Prod_Prop!$B:$B,$Q883,Prod_Prop!$H:$H,AB883,Prod_Prop!$I:$I,AD$1)*IF(AB883="Peso",$R883,1))</f>
        <v/>
      </c>
    </row>
    <row r="884">
      <c r="A884" s="4" t="str">
        <f t="array" ref="A884">IF(COUNTIF(A$1:A883,Cotizador!F$2)=maxifs(Familias!E:E,Familias!D:D,Cotizador!F$2),IF(COUNTIF(A$1:A883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4" s="4" t="str">
        <f t="shared" si="1"/>
        <v/>
      </c>
      <c r="C884" s="4" t="str">
        <f t="array" ref="C884">IF(B884="","",IF(A884=XLOOKUP(A$2,Implementos!B:B,Implementos!C:C,"",0,1),B884+maxifs(B$1:B883,A$1:A883,A$2),B884))</f>
        <v/>
      </c>
      <c r="D884" s="4" t="str">
        <f>IF(B884="","", COUNTIFS(Productos!F:F,A884,Productos!H:H,B884)+IF(F884="SI",0,1))</f>
        <v/>
      </c>
      <c r="E884" s="4" t="str">
        <f>IFERROR(__xludf.DUMMYFUNCTION("IF($B884="""","""",INDEX(filter(Familias!F:F,Familias!$D:$D=$A884,Familias!$E:$E=$B884),1))"),"")</f>
        <v/>
      </c>
      <c r="F884" s="4" t="str">
        <f>IFERROR(__xludf.DUMMYFUNCTION("IF($B884="""","""",INDEX(filter(Familias!G:G,Familias!$D:$D=$A884,Familias!$E:$E=$B884),1))"),"")</f>
        <v/>
      </c>
      <c r="G884" s="4" t="str">
        <f t="array" ref="G884">IF(C884=1,XLOOKUP(C884,Cotizador!D:D,Cotizador!E:E,"",0,1),"")</f>
        <v/>
      </c>
      <c r="I884" s="4"/>
      <c r="J884" s="8" t="str">
        <f>IF(I884="","",SUMIF(Cotizador!I$1:V$1,I884,Cotizador!I$2:V$2))</f>
        <v/>
      </c>
      <c r="L884" s="4" t="str">
        <f t="array" ref="L884">IF(COUNTIF(L$1:L883,A$2)=SUMIF(A:A,A$2,D:D),IF(COUNTIF(L$1:L883,XLOOKUP(A$2,Implementos!B:B,Implementos!C:C,"",0,1))=SUMIF(A:A,XLOOKUP(A$2,Implementos!B:B,Implementos!C:C,"",0,1),D:D),"",XLOOKUP(A$2,Implementos!B:B,Implementos!C:C,"",0,1)),A$2)</f>
        <v/>
      </c>
      <c r="M884" s="4" t="str">
        <f t="shared" si="2"/>
        <v/>
      </c>
      <c r="N884" s="4" t="str">
        <f t="shared" si="3"/>
        <v/>
      </c>
      <c r="O884" s="4" t="str">
        <f t="shared" si="4"/>
        <v/>
      </c>
      <c r="P884" s="4" t="str">
        <f t="shared" si="5"/>
        <v/>
      </c>
      <c r="Q884" s="4" t="str">
        <f>IF(U884="","",SUMIF(Productos!E:E,U884,Productos!A:A))</f>
        <v/>
      </c>
      <c r="R884" s="4" t="str">
        <f t="array" ref="R884">IF(L884="","", max(1,SUMIF(I:I,XLOOKUP(U884,Productos!E:E,Productos!G:G,"",0,1),J:J)))</f>
        <v/>
      </c>
      <c r="S884" s="4" t="str">
        <f>IF(Q884="","",IF(SUMIFS(Compat_Vetado!D:D,Compat_Vetado!B:B,SUM(G:G),Compat_Vetado!C:C,Q884)=1,"SI",IF(OR(SUMIF(Cotizador!E:E,Q884,Cotizador!G:G)&gt;0,SUMIFS(Compat_Vetado!D:D,Compat_Vetado!B:B,SUM(G:G),Compat_Vetado!C:C,Q884)=-1),"NO","")))</f>
        <v/>
      </c>
      <c r="T884" s="4" t="str">
        <f t="shared" si="6"/>
        <v/>
      </c>
      <c r="U884" s="4" t="str">
        <f>IFERROR(__xludf.DUMMYFUNCTION("IF(P884="""","""",IFERROR(INDEX(filter(Productos!E:E,Productos!F:F=L884,Productos!H:H=N884),P884),IF(M884=SUM(D:D),""Finalizar"",""-"")))"),"")</f>
        <v/>
      </c>
      <c r="V884" s="4" t="str">
        <f>IFERROR(__xludf.DUMMYFUNCTION("IF(OR($U884="""",COUNTIF($I:$I,IFERROR(unique(filter(Prod_Prop!$H:$H,Prod_Prop!$G:$G=$U884,Prod_Prop!$E:$E=V$1)),""Check""))=0),"""",IFERROR(unique(filter(Prod_Prop!$H:$H,Prod_Prop!$G:$G=$U884,Prod_Prop!$E:$E=V$1)),""""))"),"")</f>
        <v/>
      </c>
      <c r="W884" s="4" t="str">
        <f>IF(V884="","",SUMIFS(Prod_Prop!$J:$J,Prod_Prop!$B:$B,$Q884,Prod_Prop!$H:$H,V884,Prod_Prop!$I:$I,W$1)*IF(V884="Peso",$R884,1))</f>
        <v/>
      </c>
      <c r="X884" s="4" t="str">
        <f>IF(V884="","",SUMIFS(Prod_Prop!$J:$J,Prod_Prop!$B:$B,$Q884,Prod_Prop!$H:$H,V884,Prod_Prop!$I:$I,X$1)*IF(V884="Peso",$R884,1))</f>
        <v/>
      </c>
      <c r="Y884" s="4" t="str">
        <f>IFERROR(__xludf.DUMMYFUNCTION("IF(OR($U884="""",COUNTIF($I:$I,IFERROR(unique(filter(Prod_Prop!$H:$H,Prod_Prop!$G:$G=$U884,Prod_Prop!$E:$E=Y$1)),""Check""))=0),"""",IFERROR(unique(filter(Prod_Prop!$H:$H,Prod_Prop!$G:$G=$U884,Prod_Prop!$E:$E=Y$1)),""""))"),"")</f>
        <v/>
      </c>
      <c r="Z884" s="4" t="str">
        <f>IF(Y884="","",SUMIFS(Prod_Prop!$J:$J,Prod_Prop!$B:$B,$Q884,Prod_Prop!$H:$H,Y884,Prod_Prop!$I:$I,Z$1)*IF(Y884="Peso",$R884,1))</f>
        <v/>
      </c>
      <c r="AA884" s="4" t="str">
        <f>IF(Y884="","",SUMIFS(Prod_Prop!$J:$J,Prod_Prop!$B:$B,$Q884,Prod_Prop!$H:$H,Y884,Prod_Prop!$I:$I,AA$1)*IF(Y884="Peso",$R884,1))</f>
        <v/>
      </c>
      <c r="AB884" s="4" t="str">
        <f>IFERROR(__xludf.DUMMYFUNCTION("IF(OR($U884="""",COUNTIF($I:$I,IFERROR(unique(filter(Prod_Prop!$H:$H,Prod_Prop!$G:$G=$U884,Prod_Prop!$E:$E=AB$1)),""Check""))=0),"""",IFERROR(unique(filter(Prod_Prop!$H:$H,Prod_Prop!$G:$G=$U884,Prod_Prop!$E:$E=AB$1)),""""))"),"")</f>
        <v/>
      </c>
      <c r="AC884" s="4" t="str">
        <f>IF(AB884="","",SUMIFS(Prod_Prop!$J:$J,Prod_Prop!$B:$B,$Q884,Prod_Prop!$H:$H,AB884,Prod_Prop!$I:$I,AC$1)*IF(AB884="Peso",$R884,1))</f>
        <v/>
      </c>
      <c r="AD884" s="4" t="str">
        <f>IF(AB884="","",SUMIFS(Prod_Prop!$J:$J,Prod_Prop!$B:$B,$Q884,Prod_Prop!$H:$H,AB884,Prod_Prop!$I:$I,AD$1)*IF(AB884="Peso",$R884,1))</f>
        <v/>
      </c>
    </row>
    <row r="885">
      <c r="A885" s="4" t="str">
        <f t="array" ref="A885">IF(COUNTIF(A$1:A884,Cotizador!F$2)=maxifs(Familias!E:E,Familias!D:D,Cotizador!F$2),IF(COUNTIF(A$1:A884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5" s="4" t="str">
        <f t="shared" si="1"/>
        <v/>
      </c>
      <c r="C885" s="4" t="str">
        <f t="array" ref="C885">IF(B885="","",IF(A885=XLOOKUP(A$2,Implementos!B:B,Implementos!C:C,"",0,1),B885+maxifs(B$1:B884,A$1:A884,A$2),B885))</f>
        <v/>
      </c>
      <c r="D885" s="4" t="str">
        <f>IF(B885="","", COUNTIFS(Productos!F:F,A885,Productos!H:H,B885)+IF(F885="SI",0,1))</f>
        <v/>
      </c>
      <c r="E885" s="4" t="str">
        <f>IFERROR(__xludf.DUMMYFUNCTION("IF($B885="""","""",INDEX(filter(Familias!F:F,Familias!$D:$D=$A885,Familias!$E:$E=$B885),1))"),"")</f>
        <v/>
      </c>
      <c r="F885" s="4" t="str">
        <f>IFERROR(__xludf.DUMMYFUNCTION("IF($B885="""","""",INDEX(filter(Familias!G:G,Familias!$D:$D=$A885,Familias!$E:$E=$B885),1))"),"")</f>
        <v/>
      </c>
      <c r="G885" s="4" t="str">
        <f t="array" ref="G885">IF(C885=1,XLOOKUP(C885,Cotizador!D:D,Cotizador!E:E,"",0,1),"")</f>
        <v/>
      </c>
      <c r="I885" s="4"/>
      <c r="J885" s="8" t="str">
        <f>IF(I885="","",SUMIF(Cotizador!I$1:V$1,I885,Cotizador!I$2:V$2))</f>
        <v/>
      </c>
      <c r="L885" s="4" t="str">
        <f t="array" ref="L885">IF(COUNTIF(L$1:L884,A$2)=SUMIF(A:A,A$2,D:D),IF(COUNTIF(L$1:L884,XLOOKUP(A$2,Implementos!B:B,Implementos!C:C,"",0,1))=SUMIF(A:A,XLOOKUP(A$2,Implementos!B:B,Implementos!C:C,"",0,1),D:D),"",XLOOKUP(A$2,Implementos!B:B,Implementos!C:C,"",0,1)),A$2)</f>
        <v/>
      </c>
      <c r="M885" s="4" t="str">
        <f t="shared" si="2"/>
        <v/>
      </c>
      <c r="N885" s="4" t="str">
        <f t="shared" si="3"/>
        <v/>
      </c>
      <c r="O885" s="4" t="str">
        <f t="shared" si="4"/>
        <v/>
      </c>
      <c r="P885" s="4" t="str">
        <f t="shared" si="5"/>
        <v/>
      </c>
      <c r="Q885" s="4" t="str">
        <f>IF(U885="","",SUMIF(Productos!E:E,U885,Productos!A:A))</f>
        <v/>
      </c>
      <c r="R885" s="4" t="str">
        <f t="array" ref="R885">IF(L885="","", max(1,SUMIF(I:I,XLOOKUP(U885,Productos!E:E,Productos!G:G,"",0,1),J:J)))</f>
        <v/>
      </c>
      <c r="S885" s="4" t="str">
        <f>IF(Q885="","",IF(SUMIFS(Compat_Vetado!D:D,Compat_Vetado!B:B,SUM(G:G),Compat_Vetado!C:C,Q885)=1,"SI",IF(OR(SUMIF(Cotizador!E:E,Q885,Cotizador!G:G)&gt;0,SUMIFS(Compat_Vetado!D:D,Compat_Vetado!B:B,SUM(G:G),Compat_Vetado!C:C,Q885)=-1),"NO","")))</f>
        <v/>
      </c>
      <c r="T885" s="4" t="str">
        <f t="shared" si="6"/>
        <v/>
      </c>
      <c r="U885" s="4" t="str">
        <f>IFERROR(__xludf.DUMMYFUNCTION("IF(P885="""","""",IFERROR(INDEX(filter(Productos!E:E,Productos!F:F=L885,Productos!H:H=N885),P885),IF(M885=SUM(D:D),""Finalizar"",""-"")))"),"")</f>
        <v/>
      </c>
      <c r="V885" s="4" t="str">
        <f>IFERROR(__xludf.DUMMYFUNCTION("IF(OR($U885="""",COUNTIF($I:$I,IFERROR(unique(filter(Prod_Prop!$H:$H,Prod_Prop!$G:$G=$U885,Prod_Prop!$E:$E=V$1)),""Check""))=0),"""",IFERROR(unique(filter(Prod_Prop!$H:$H,Prod_Prop!$G:$G=$U885,Prod_Prop!$E:$E=V$1)),""""))"),"")</f>
        <v/>
      </c>
      <c r="W885" s="4" t="str">
        <f>IF(V885="","",SUMIFS(Prod_Prop!$J:$J,Prod_Prop!$B:$B,$Q885,Prod_Prop!$H:$H,V885,Prod_Prop!$I:$I,W$1)*IF(V885="Peso",$R885,1))</f>
        <v/>
      </c>
      <c r="X885" s="4" t="str">
        <f>IF(V885="","",SUMIFS(Prod_Prop!$J:$J,Prod_Prop!$B:$B,$Q885,Prod_Prop!$H:$H,V885,Prod_Prop!$I:$I,X$1)*IF(V885="Peso",$R885,1))</f>
        <v/>
      </c>
      <c r="Y885" s="4" t="str">
        <f>IFERROR(__xludf.DUMMYFUNCTION("IF(OR($U885="""",COUNTIF($I:$I,IFERROR(unique(filter(Prod_Prop!$H:$H,Prod_Prop!$G:$G=$U885,Prod_Prop!$E:$E=Y$1)),""Check""))=0),"""",IFERROR(unique(filter(Prod_Prop!$H:$H,Prod_Prop!$G:$G=$U885,Prod_Prop!$E:$E=Y$1)),""""))"),"")</f>
        <v/>
      </c>
      <c r="Z885" s="4" t="str">
        <f>IF(Y885="","",SUMIFS(Prod_Prop!$J:$J,Prod_Prop!$B:$B,$Q885,Prod_Prop!$H:$H,Y885,Prod_Prop!$I:$I,Z$1)*IF(Y885="Peso",$R885,1))</f>
        <v/>
      </c>
      <c r="AA885" s="4" t="str">
        <f>IF(Y885="","",SUMIFS(Prod_Prop!$J:$J,Prod_Prop!$B:$B,$Q885,Prod_Prop!$H:$H,Y885,Prod_Prop!$I:$I,AA$1)*IF(Y885="Peso",$R885,1))</f>
        <v/>
      </c>
      <c r="AB885" s="4" t="str">
        <f>IFERROR(__xludf.DUMMYFUNCTION("IF(OR($U885="""",COUNTIF($I:$I,IFERROR(unique(filter(Prod_Prop!$H:$H,Prod_Prop!$G:$G=$U885,Prod_Prop!$E:$E=AB$1)),""Check""))=0),"""",IFERROR(unique(filter(Prod_Prop!$H:$H,Prod_Prop!$G:$G=$U885,Prod_Prop!$E:$E=AB$1)),""""))"),"")</f>
        <v/>
      </c>
      <c r="AC885" s="4" t="str">
        <f>IF(AB885="","",SUMIFS(Prod_Prop!$J:$J,Prod_Prop!$B:$B,$Q885,Prod_Prop!$H:$H,AB885,Prod_Prop!$I:$I,AC$1)*IF(AB885="Peso",$R885,1))</f>
        <v/>
      </c>
      <c r="AD885" s="4" t="str">
        <f>IF(AB885="","",SUMIFS(Prod_Prop!$J:$J,Prod_Prop!$B:$B,$Q885,Prod_Prop!$H:$H,AB885,Prod_Prop!$I:$I,AD$1)*IF(AB885="Peso",$R885,1))</f>
        <v/>
      </c>
    </row>
    <row r="886">
      <c r="A886" s="4" t="str">
        <f t="array" ref="A886">IF(COUNTIF(A$1:A885,Cotizador!F$2)=maxifs(Familias!E:E,Familias!D:D,Cotizador!F$2),IF(COUNTIF(A$1:A885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6" s="4" t="str">
        <f t="shared" si="1"/>
        <v/>
      </c>
      <c r="C886" s="4" t="str">
        <f t="array" ref="C886">IF(B886="","",IF(A886=XLOOKUP(A$2,Implementos!B:B,Implementos!C:C,"",0,1),B886+maxifs(B$1:B885,A$1:A885,A$2),B886))</f>
        <v/>
      </c>
      <c r="D886" s="4" t="str">
        <f>IF(B886="","", COUNTIFS(Productos!F:F,A886,Productos!H:H,B886)+IF(F886="SI",0,1))</f>
        <v/>
      </c>
      <c r="E886" s="4" t="str">
        <f>IFERROR(__xludf.DUMMYFUNCTION("IF($B886="""","""",INDEX(filter(Familias!F:F,Familias!$D:$D=$A886,Familias!$E:$E=$B886),1))"),"")</f>
        <v/>
      </c>
      <c r="F886" s="4" t="str">
        <f>IFERROR(__xludf.DUMMYFUNCTION("IF($B886="""","""",INDEX(filter(Familias!G:G,Familias!$D:$D=$A886,Familias!$E:$E=$B886),1))"),"")</f>
        <v/>
      </c>
      <c r="G886" s="4" t="str">
        <f t="array" ref="G886">IF(C886=1,XLOOKUP(C886,Cotizador!D:D,Cotizador!E:E,"",0,1),"")</f>
        <v/>
      </c>
      <c r="I886" s="4"/>
      <c r="J886" s="8" t="str">
        <f>IF(I886="","",SUMIF(Cotizador!I$1:V$1,I886,Cotizador!I$2:V$2))</f>
        <v/>
      </c>
      <c r="L886" s="4" t="str">
        <f t="array" ref="L886">IF(COUNTIF(L$1:L885,A$2)=SUMIF(A:A,A$2,D:D),IF(COUNTIF(L$1:L885,XLOOKUP(A$2,Implementos!B:B,Implementos!C:C,"",0,1))=SUMIF(A:A,XLOOKUP(A$2,Implementos!B:B,Implementos!C:C,"",0,1),D:D),"",XLOOKUP(A$2,Implementos!B:B,Implementos!C:C,"",0,1)),A$2)</f>
        <v/>
      </c>
      <c r="M886" s="4" t="str">
        <f t="shared" si="2"/>
        <v/>
      </c>
      <c r="N886" s="4" t="str">
        <f t="shared" si="3"/>
        <v/>
      </c>
      <c r="O886" s="4" t="str">
        <f t="shared" si="4"/>
        <v/>
      </c>
      <c r="P886" s="4" t="str">
        <f t="shared" si="5"/>
        <v/>
      </c>
      <c r="Q886" s="4" t="str">
        <f>IF(U886="","",SUMIF(Productos!E:E,U886,Productos!A:A))</f>
        <v/>
      </c>
      <c r="R886" s="4" t="str">
        <f t="array" ref="R886">IF(L886="","", max(1,SUMIF(I:I,XLOOKUP(U886,Productos!E:E,Productos!G:G,"",0,1),J:J)))</f>
        <v/>
      </c>
      <c r="S886" s="4" t="str">
        <f>IF(Q886="","",IF(SUMIFS(Compat_Vetado!D:D,Compat_Vetado!B:B,SUM(G:G),Compat_Vetado!C:C,Q886)=1,"SI",IF(OR(SUMIF(Cotizador!E:E,Q886,Cotizador!G:G)&gt;0,SUMIFS(Compat_Vetado!D:D,Compat_Vetado!B:B,SUM(G:G),Compat_Vetado!C:C,Q886)=-1),"NO","")))</f>
        <v/>
      </c>
      <c r="T886" s="4" t="str">
        <f t="shared" si="6"/>
        <v/>
      </c>
      <c r="U886" s="4" t="str">
        <f>IFERROR(__xludf.DUMMYFUNCTION("IF(P886="""","""",IFERROR(INDEX(filter(Productos!E:E,Productos!F:F=L886,Productos!H:H=N886),P886),IF(M886=SUM(D:D),""Finalizar"",""-"")))"),"")</f>
        <v/>
      </c>
      <c r="V886" s="4" t="str">
        <f>IFERROR(__xludf.DUMMYFUNCTION("IF(OR($U886="""",COUNTIF($I:$I,IFERROR(unique(filter(Prod_Prop!$H:$H,Prod_Prop!$G:$G=$U886,Prod_Prop!$E:$E=V$1)),""Check""))=0),"""",IFERROR(unique(filter(Prod_Prop!$H:$H,Prod_Prop!$G:$G=$U886,Prod_Prop!$E:$E=V$1)),""""))"),"")</f>
        <v/>
      </c>
      <c r="W886" s="4" t="str">
        <f>IF(V886="","",SUMIFS(Prod_Prop!$J:$J,Prod_Prop!$B:$B,$Q886,Prod_Prop!$H:$H,V886,Prod_Prop!$I:$I,W$1)*IF(V886="Peso",$R886,1))</f>
        <v/>
      </c>
      <c r="X886" s="4" t="str">
        <f>IF(V886="","",SUMIFS(Prod_Prop!$J:$J,Prod_Prop!$B:$B,$Q886,Prod_Prop!$H:$H,V886,Prod_Prop!$I:$I,X$1)*IF(V886="Peso",$R886,1))</f>
        <v/>
      </c>
      <c r="Y886" s="4" t="str">
        <f>IFERROR(__xludf.DUMMYFUNCTION("IF(OR($U886="""",COUNTIF($I:$I,IFERROR(unique(filter(Prod_Prop!$H:$H,Prod_Prop!$G:$G=$U886,Prod_Prop!$E:$E=Y$1)),""Check""))=0),"""",IFERROR(unique(filter(Prod_Prop!$H:$H,Prod_Prop!$G:$G=$U886,Prod_Prop!$E:$E=Y$1)),""""))"),"")</f>
        <v/>
      </c>
      <c r="Z886" s="4" t="str">
        <f>IF(Y886="","",SUMIFS(Prod_Prop!$J:$J,Prod_Prop!$B:$B,$Q886,Prod_Prop!$H:$H,Y886,Prod_Prop!$I:$I,Z$1)*IF(Y886="Peso",$R886,1))</f>
        <v/>
      </c>
      <c r="AA886" s="4" t="str">
        <f>IF(Y886="","",SUMIFS(Prod_Prop!$J:$J,Prod_Prop!$B:$B,$Q886,Prod_Prop!$H:$H,Y886,Prod_Prop!$I:$I,AA$1)*IF(Y886="Peso",$R886,1))</f>
        <v/>
      </c>
      <c r="AB886" s="4" t="str">
        <f>IFERROR(__xludf.DUMMYFUNCTION("IF(OR($U886="""",COUNTIF($I:$I,IFERROR(unique(filter(Prod_Prop!$H:$H,Prod_Prop!$G:$G=$U886,Prod_Prop!$E:$E=AB$1)),""Check""))=0),"""",IFERROR(unique(filter(Prod_Prop!$H:$H,Prod_Prop!$G:$G=$U886,Prod_Prop!$E:$E=AB$1)),""""))"),"")</f>
        <v/>
      </c>
      <c r="AC886" s="4" t="str">
        <f>IF(AB886="","",SUMIFS(Prod_Prop!$J:$J,Prod_Prop!$B:$B,$Q886,Prod_Prop!$H:$H,AB886,Prod_Prop!$I:$I,AC$1)*IF(AB886="Peso",$R886,1))</f>
        <v/>
      </c>
      <c r="AD886" s="4" t="str">
        <f>IF(AB886="","",SUMIFS(Prod_Prop!$J:$J,Prod_Prop!$B:$B,$Q886,Prod_Prop!$H:$H,AB886,Prod_Prop!$I:$I,AD$1)*IF(AB886="Peso",$R886,1))</f>
        <v/>
      </c>
    </row>
    <row r="887">
      <c r="A887" s="4" t="str">
        <f t="array" ref="A887">IF(COUNTIF(A$1:A886,Cotizador!F$2)=maxifs(Familias!E:E,Familias!D:D,Cotizador!F$2),IF(COUNTIF(A$1:A886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7" s="4" t="str">
        <f t="shared" si="1"/>
        <v/>
      </c>
      <c r="C887" s="4" t="str">
        <f t="array" ref="C887">IF(B887="","",IF(A887=XLOOKUP(A$2,Implementos!B:B,Implementos!C:C,"",0,1),B887+maxifs(B$1:B886,A$1:A886,A$2),B887))</f>
        <v/>
      </c>
      <c r="D887" s="4" t="str">
        <f>IF(B887="","", COUNTIFS(Productos!F:F,A887,Productos!H:H,B887)+IF(F887="SI",0,1))</f>
        <v/>
      </c>
      <c r="E887" s="4" t="str">
        <f>IFERROR(__xludf.DUMMYFUNCTION("IF($B887="""","""",INDEX(filter(Familias!F:F,Familias!$D:$D=$A887,Familias!$E:$E=$B887),1))"),"")</f>
        <v/>
      </c>
      <c r="F887" s="4" t="str">
        <f>IFERROR(__xludf.DUMMYFUNCTION("IF($B887="""","""",INDEX(filter(Familias!G:G,Familias!$D:$D=$A887,Familias!$E:$E=$B887),1))"),"")</f>
        <v/>
      </c>
      <c r="G887" s="4" t="str">
        <f t="array" ref="G887">IF(C887=1,XLOOKUP(C887,Cotizador!D:D,Cotizador!E:E,"",0,1),"")</f>
        <v/>
      </c>
      <c r="I887" s="4"/>
      <c r="J887" s="8" t="str">
        <f>IF(I887="","",SUMIF(Cotizador!I$1:V$1,I887,Cotizador!I$2:V$2))</f>
        <v/>
      </c>
      <c r="L887" s="4" t="str">
        <f t="array" ref="L887">IF(COUNTIF(L$1:L886,A$2)=SUMIF(A:A,A$2,D:D),IF(COUNTIF(L$1:L886,XLOOKUP(A$2,Implementos!B:B,Implementos!C:C,"",0,1))=SUMIF(A:A,XLOOKUP(A$2,Implementos!B:B,Implementos!C:C,"",0,1),D:D),"",XLOOKUP(A$2,Implementos!B:B,Implementos!C:C,"",0,1)),A$2)</f>
        <v/>
      </c>
      <c r="M887" s="4" t="str">
        <f t="shared" si="2"/>
        <v/>
      </c>
      <c r="N887" s="4" t="str">
        <f t="shared" si="3"/>
        <v/>
      </c>
      <c r="O887" s="4" t="str">
        <f t="shared" si="4"/>
        <v/>
      </c>
      <c r="P887" s="4" t="str">
        <f t="shared" si="5"/>
        <v/>
      </c>
      <c r="Q887" s="4" t="str">
        <f>IF(U887="","",SUMIF(Productos!E:E,U887,Productos!A:A))</f>
        <v/>
      </c>
      <c r="R887" s="4" t="str">
        <f t="array" ref="R887">IF(L887="","", max(1,SUMIF(I:I,XLOOKUP(U887,Productos!E:E,Productos!G:G,"",0,1),J:J)))</f>
        <v/>
      </c>
      <c r="S887" s="4" t="str">
        <f>IF(Q887="","",IF(SUMIFS(Compat_Vetado!D:D,Compat_Vetado!B:B,SUM(G:G),Compat_Vetado!C:C,Q887)=1,"SI",IF(OR(SUMIF(Cotizador!E:E,Q887,Cotizador!G:G)&gt;0,SUMIFS(Compat_Vetado!D:D,Compat_Vetado!B:B,SUM(G:G),Compat_Vetado!C:C,Q887)=-1),"NO","")))</f>
        <v/>
      </c>
      <c r="T887" s="4" t="str">
        <f t="shared" si="6"/>
        <v/>
      </c>
      <c r="U887" s="4" t="str">
        <f>IFERROR(__xludf.DUMMYFUNCTION("IF(P887="""","""",IFERROR(INDEX(filter(Productos!E:E,Productos!F:F=L887,Productos!H:H=N887),P887),IF(M887=SUM(D:D),""Finalizar"",""-"")))"),"")</f>
        <v/>
      </c>
      <c r="V887" s="4" t="str">
        <f>IFERROR(__xludf.DUMMYFUNCTION("IF(OR($U887="""",COUNTIF($I:$I,IFERROR(unique(filter(Prod_Prop!$H:$H,Prod_Prop!$G:$G=$U887,Prod_Prop!$E:$E=V$1)),""Check""))=0),"""",IFERROR(unique(filter(Prod_Prop!$H:$H,Prod_Prop!$G:$G=$U887,Prod_Prop!$E:$E=V$1)),""""))"),"")</f>
        <v/>
      </c>
      <c r="W887" s="4" t="str">
        <f>IF(V887="","",SUMIFS(Prod_Prop!$J:$J,Prod_Prop!$B:$B,$Q887,Prod_Prop!$H:$H,V887,Prod_Prop!$I:$I,W$1)*IF(V887="Peso",$R887,1))</f>
        <v/>
      </c>
      <c r="X887" s="4" t="str">
        <f>IF(V887="","",SUMIFS(Prod_Prop!$J:$J,Prod_Prop!$B:$B,$Q887,Prod_Prop!$H:$H,V887,Prod_Prop!$I:$I,X$1)*IF(V887="Peso",$R887,1))</f>
        <v/>
      </c>
      <c r="Y887" s="4" t="str">
        <f>IFERROR(__xludf.DUMMYFUNCTION("IF(OR($U887="""",COUNTIF($I:$I,IFERROR(unique(filter(Prod_Prop!$H:$H,Prod_Prop!$G:$G=$U887,Prod_Prop!$E:$E=Y$1)),""Check""))=0),"""",IFERROR(unique(filter(Prod_Prop!$H:$H,Prod_Prop!$G:$G=$U887,Prod_Prop!$E:$E=Y$1)),""""))"),"")</f>
        <v/>
      </c>
      <c r="Z887" s="4" t="str">
        <f>IF(Y887="","",SUMIFS(Prod_Prop!$J:$J,Prod_Prop!$B:$B,$Q887,Prod_Prop!$H:$H,Y887,Prod_Prop!$I:$I,Z$1)*IF(Y887="Peso",$R887,1))</f>
        <v/>
      </c>
      <c r="AA887" s="4" t="str">
        <f>IF(Y887="","",SUMIFS(Prod_Prop!$J:$J,Prod_Prop!$B:$B,$Q887,Prod_Prop!$H:$H,Y887,Prod_Prop!$I:$I,AA$1)*IF(Y887="Peso",$R887,1))</f>
        <v/>
      </c>
      <c r="AB887" s="4" t="str">
        <f>IFERROR(__xludf.DUMMYFUNCTION("IF(OR($U887="""",COUNTIF($I:$I,IFERROR(unique(filter(Prod_Prop!$H:$H,Prod_Prop!$G:$G=$U887,Prod_Prop!$E:$E=AB$1)),""Check""))=0),"""",IFERROR(unique(filter(Prod_Prop!$H:$H,Prod_Prop!$G:$G=$U887,Prod_Prop!$E:$E=AB$1)),""""))"),"")</f>
        <v/>
      </c>
      <c r="AC887" s="4" t="str">
        <f>IF(AB887="","",SUMIFS(Prod_Prop!$J:$J,Prod_Prop!$B:$B,$Q887,Prod_Prop!$H:$H,AB887,Prod_Prop!$I:$I,AC$1)*IF(AB887="Peso",$R887,1))</f>
        <v/>
      </c>
      <c r="AD887" s="4" t="str">
        <f>IF(AB887="","",SUMIFS(Prod_Prop!$J:$J,Prod_Prop!$B:$B,$Q887,Prod_Prop!$H:$H,AB887,Prod_Prop!$I:$I,AD$1)*IF(AB887="Peso",$R887,1))</f>
        <v/>
      </c>
    </row>
    <row r="888">
      <c r="A888" s="4" t="str">
        <f t="array" ref="A888">IF(COUNTIF(A$1:A887,Cotizador!F$2)=maxifs(Familias!E:E,Familias!D:D,Cotizador!F$2),IF(COUNTIF(A$1:A887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8" s="4" t="str">
        <f t="shared" si="1"/>
        <v/>
      </c>
      <c r="C888" s="4" t="str">
        <f t="array" ref="C888">IF(B888="","",IF(A888=XLOOKUP(A$2,Implementos!B:B,Implementos!C:C,"",0,1),B888+maxifs(B$1:B887,A$1:A887,A$2),B888))</f>
        <v/>
      </c>
      <c r="D888" s="4" t="str">
        <f>IF(B888="","", COUNTIFS(Productos!F:F,A888,Productos!H:H,B888)+IF(F888="SI",0,1))</f>
        <v/>
      </c>
      <c r="E888" s="4" t="str">
        <f>IFERROR(__xludf.DUMMYFUNCTION("IF($B888="""","""",INDEX(filter(Familias!F:F,Familias!$D:$D=$A888,Familias!$E:$E=$B888),1))"),"")</f>
        <v/>
      </c>
      <c r="F888" s="4" t="str">
        <f>IFERROR(__xludf.DUMMYFUNCTION("IF($B888="""","""",INDEX(filter(Familias!G:G,Familias!$D:$D=$A888,Familias!$E:$E=$B888),1))"),"")</f>
        <v/>
      </c>
      <c r="G888" s="4" t="str">
        <f t="array" ref="G888">IF(C888=1,XLOOKUP(C888,Cotizador!D:D,Cotizador!E:E,"",0,1),"")</f>
        <v/>
      </c>
      <c r="I888" s="4"/>
      <c r="J888" s="8" t="str">
        <f>IF(I888="","",SUMIF(Cotizador!I$1:V$1,I888,Cotizador!I$2:V$2))</f>
        <v/>
      </c>
      <c r="L888" s="4" t="str">
        <f t="array" ref="L888">IF(COUNTIF(L$1:L887,A$2)=SUMIF(A:A,A$2,D:D),IF(COUNTIF(L$1:L887,XLOOKUP(A$2,Implementos!B:B,Implementos!C:C,"",0,1))=SUMIF(A:A,XLOOKUP(A$2,Implementos!B:B,Implementos!C:C,"",0,1),D:D),"",XLOOKUP(A$2,Implementos!B:B,Implementos!C:C,"",0,1)),A$2)</f>
        <v/>
      </c>
      <c r="M888" s="4" t="str">
        <f t="shared" si="2"/>
        <v/>
      </c>
      <c r="N888" s="4" t="str">
        <f t="shared" si="3"/>
        <v/>
      </c>
      <c r="O888" s="4" t="str">
        <f t="shared" si="4"/>
        <v/>
      </c>
      <c r="P888" s="4" t="str">
        <f t="shared" si="5"/>
        <v/>
      </c>
      <c r="Q888" s="4" t="str">
        <f>IF(U888="","",SUMIF(Productos!E:E,U888,Productos!A:A))</f>
        <v/>
      </c>
      <c r="R888" s="4" t="str">
        <f t="array" ref="R888">IF(L888="","", max(1,SUMIF(I:I,XLOOKUP(U888,Productos!E:E,Productos!G:G,"",0,1),J:J)))</f>
        <v/>
      </c>
      <c r="S888" s="4" t="str">
        <f>IF(Q888="","",IF(SUMIFS(Compat_Vetado!D:D,Compat_Vetado!B:B,SUM(G:G),Compat_Vetado!C:C,Q888)=1,"SI",IF(OR(SUMIF(Cotizador!E:E,Q888,Cotizador!G:G)&gt;0,SUMIFS(Compat_Vetado!D:D,Compat_Vetado!B:B,SUM(G:G),Compat_Vetado!C:C,Q888)=-1),"NO","")))</f>
        <v/>
      </c>
      <c r="T888" s="4" t="str">
        <f t="shared" si="6"/>
        <v/>
      </c>
      <c r="U888" s="4" t="str">
        <f>IFERROR(__xludf.DUMMYFUNCTION("IF(P888="""","""",IFERROR(INDEX(filter(Productos!E:E,Productos!F:F=L888,Productos!H:H=N888),P888),IF(M888=SUM(D:D),""Finalizar"",""-"")))"),"")</f>
        <v/>
      </c>
      <c r="V888" s="4" t="str">
        <f>IFERROR(__xludf.DUMMYFUNCTION("IF(OR($U888="""",COUNTIF($I:$I,IFERROR(unique(filter(Prod_Prop!$H:$H,Prod_Prop!$G:$G=$U888,Prod_Prop!$E:$E=V$1)),""Check""))=0),"""",IFERROR(unique(filter(Prod_Prop!$H:$H,Prod_Prop!$G:$G=$U888,Prod_Prop!$E:$E=V$1)),""""))"),"")</f>
        <v/>
      </c>
      <c r="W888" s="4" t="str">
        <f>IF(V888="","",SUMIFS(Prod_Prop!$J:$J,Prod_Prop!$B:$B,$Q888,Prod_Prop!$H:$H,V888,Prod_Prop!$I:$I,W$1)*IF(V888="Peso",$R888,1))</f>
        <v/>
      </c>
      <c r="X888" s="4" t="str">
        <f>IF(V888="","",SUMIFS(Prod_Prop!$J:$J,Prod_Prop!$B:$B,$Q888,Prod_Prop!$H:$H,V888,Prod_Prop!$I:$I,X$1)*IF(V888="Peso",$R888,1))</f>
        <v/>
      </c>
      <c r="Y888" s="4" t="str">
        <f>IFERROR(__xludf.DUMMYFUNCTION("IF(OR($U888="""",COUNTIF($I:$I,IFERROR(unique(filter(Prod_Prop!$H:$H,Prod_Prop!$G:$G=$U888,Prod_Prop!$E:$E=Y$1)),""Check""))=0),"""",IFERROR(unique(filter(Prod_Prop!$H:$H,Prod_Prop!$G:$G=$U888,Prod_Prop!$E:$E=Y$1)),""""))"),"")</f>
        <v/>
      </c>
      <c r="Z888" s="4" t="str">
        <f>IF(Y888="","",SUMIFS(Prod_Prop!$J:$J,Prod_Prop!$B:$B,$Q888,Prod_Prop!$H:$H,Y888,Prod_Prop!$I:$I,Z$1)*IF(Y888="Peso",$R888,1))</f>
        <v/>
      </c>
      <c r="AA888" s="4" t="str">
        <f>IF(Y888="","",SUMIFS(Prod_Prop!$J:$J,Prod_Prop!$B:$B,$Q888,Prod_Prop!$H:$H,Y888,Prod_Prop!$I:$I,AA$1)*IF(Y888="Peso",$R888,1))</f>
        <v/>
      </c>
      <c r="AB888" s="4" t="str">
        <f>IFERROR(__xludf.DUMMYFUNCTION("IF(OR($U888="""",COUNTIF($I:$I,IFERROR(unique(filter(Prod_Prop!$H:$H,Prod_Prop!$G:$G=$U888,Prod_Prop!$E:$E=AB$1)),""Check""))=0),"""",IFERROR(unique(filter(Prod_Prop!$H:$H,Prod_Prop!$G:$G=$U888,Prod_Prop!$E:$E=AB$1)),""""))"),"")</f>
        <v/>
      </c>
      <c r="AC888" s="4" t="str">
        <f>IF(AB888="","",SUMIFS(Prod_Prop!$J:$J,Prod_Prop!$B:$B,$Q888,Prod_Prop!$H:$H,AB888,Prod_Prop!$I:$I,AC$1)*IF(AB888="Peso",$R888,1))</f>
        <v/>
      </c>
      <c r="AD888" s="4" t="str">
        <f>IF(AB888="","",SUMIFS(Prod_Prop!$J:$J,Prod_Prop!$B:$B,$Q888,Prod_Prop!$H:$H,AB888,Prod_Prop!$I:$I,AD$1)*IF(AB888="Peso",$R888,1))</f>
        <v/>
      </c>
    </row>
    <row r="889">
      <c r="A889" s="4" t="str">
        <f t="array" ref="A889">IF(COUNTIF(A$1:A888,Cotizador!F$2)=maxifs(Familias!E:E,Familias!D:D,Cotizador!F$2),IF(COUNTIF(A$1:A888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89" s="4" t="str">
        <f t="shared" si="1"/>
        <v/>
      </c>
      <c r="C889" s="4" t="str">
        <f t="array" ref="C889">IF(B889="","",IF(A889=XLOOKUP(A$2,Implementos!B:B,Implementos!C:C,"",0,1),B889+maxifs(B$1:B888,A$1:A888,A$2),B889))</f>
        <v/>
      </c>
      <c r="D889" s="4" t="str">
        <f>IF(B889="","", COUNTIFS(Productos!F:F,A889,Productos!H:H,B889)+IF(F889="SI",0,1))</f>
        <v/>
      </c>
      <c r="E889" s="4" t="str">
        <f>IFERROR(__xludf.DUMMYFUNCTION("IF($B889="""","""",INDEX(filter(Familias!F:F,Familias!$D:$D=$A889,Familias!$E:$E=$B889),1))"),"")</f>
        <v/>
      </c>
      <c r="F889" s="4" t="str">
        <f>IFERROR(__xludf.DUMMYFUNCTION("IF($B889="""","""",INDEX(filter(Familias!G:G,Familias!$D:$D=$A889,Familias!$E:$E=$B889),1))"),"")</f>
        <v/>
      </c>
      <c r="G889" s="4" t="str">
        <f t="array" ref="G889">IF(C889=1,XLOOKUP(C889,Cotizador!D:D,Cotizador!E:E,"",0,1),"")</f>
        <v/>
      </c>
      <c r="I889" s="4"/>
      <c r="J889" s="8" t="str">
        <f>IF(I889="","",SUMIF(Cotizador!I$1:V$1,I889,Cotizador!I$2:V$2))</f>
        <v/>
      </c>
      <c r="L889" s="4" t="str">
        <f t="array" ref="L889">IF(COUNTIF(L$1:L888,A$2)=SUMIF(A:A,A$2,D:D),IF(COUNTIF(L$1:L888,XLOOKUP(A$2,Implementos!B:B,Implementos!C:C,"",0,1))=SUMIF(A:A,XLOOKUP(A$2,Implementos!B:B,Implementos!C:C,"",0,1),D:D),"",XLOOKUP(A$2,Implementos!B:B,Implementos!C:C,"",0,1)),A$2)</f>
        <v/>
      </c>
      <c r="M889" s="4" t="str">
        <f t="shared" si="2"/>
        <v/>
      </c>
      <c r="N889" s="4" t="str">
        <f t="shared" si="3"/>
        <v/>
      </c>
      <c r="O889" s="4" t="str">
        <f t="shared" si="4"/>
        <v/>
      </c>
      <c r="P889" s="4" t="str">
        <f t="shared" si="5"/>
        <v/>
      </c>
      <c r="Q889" s="4" t="str">
        <f>IF(U889="","",SUMIF(Productos!E:E,U889,Productos!A:A))</f>
        <v/>
      </c>
      <c r="R889" s="4" t="str">
        <f t="array" ref="R889">IF(L889="","", max(1,SUMIF(I:I,XLOOKUP(U889,Productos!E:E,Productos!G:G,"",0,1),J:J)))</f>
        <v/>
      </c>
      <c r="S889" s="4" t="str">
        <f>IF(Q889="","",IF(SUMIFS(Compat_Vetado!D:D,Compat_Vetado!B:B,SUM(G:G),Compat_Vetado!C:C,Q889)=1,"SI",IF(OR(SUMIF(Cotizador!E:E,Q889,Cotizador!G:G)&gt;0,SUMIFS(Compat_Vetado!D:D,Compat_Vetado!B:B,SUM(G:G),Compat_Vetado!C:C,Q889)=-1),"NO","")))</f>
        <v/>
      </c>
      <c r="T889" s="4" t="str">
        <f t="shared" si="6"/>
        <v/>
      </c>
      <c r="U889" s="4" t="str">
        <f>IFERROR(__xludf.DUMMYFUNCTION("IF(P889="""","""",IFERROR(INDEX(filter(Productos!E:E,Productos!F:F=L889,Productos!H:H=N889),P889),IF(M889=SUM(D:D),""Finalizar"",""-"")))"),"")</f>
        <v/>
      </c>
      <c r="V889" s="4" t="str">
        <f>IFERROR(__xludf.DUMMYFUNCTION("IF(OR($U889="""",COUNTIF($I:$I,IFERROR(unique(filter(Prod_Prop!$H:$H,Prod_Prop!$G:$G=$U889,Prod_Prop!$E:$E=V$1)),""Check""))=0),"""",IFERROR(unique(filter(Prod_Prop!$H:$H,Prod_Prop!$G:$G=$U889,Prod_Prop!$E:$E=V$1)),""""))"),"")</f>
        <v/>
      </c>
      <c r="W889" s="4" t="str">
        <f>IF(V889="","",SUMIFS(Prod_Prop!$J:$J,Prod_Prop!$B:$B,$Q889,Prod_Prop!$H:$H,V889,Prod_Prop!$I:$I,W$1)*IF(V889="Peso",$R889,1))</f>
        <v/>
      </c>
      <c r="X889" s="4" t="str">
        <f>IF(V889="","",SUMIFS(Prod_Prop!$J:$J,Prod_Prop!$B:$B,$Q889,Prod_Prop!$H:$H,V889,Prod_Prop!$I:$I,X$1)*IF(V889="Peso",$R889,1))</f>
        <v/>
      </c>
      <c r="Y889" s="4" t="str">
        <f>IFERROR(__xludf.DUMMYFUNCTION("IF(OR($U889="""",COUNTIF($I:$I,IFERROR(unique(filter(Prod_Prop!$H:$H,Prod_Prop!$G:$G=$U889,Prod_Prop!$E:$E=Y$1)),""Check""))=0),"""",IFERROR(unique(filter(Prod_Prop!$H:$H,Prod_Prop!$G:$G=$U889,Prod_Prop!$E:$E=Y$1)),""""))"),"")</f>
        <v/>
      </c>
      <c r="Z889" s="4" t="str">
        <f>IF(Y889="","",SUMIFS(Prod_Prop!$J:$J,Prod_Prop!$B:$B,$Q889,Prod_Prop!$H:$H,Y889,Prod_Prop!$I:$I,Z$1)*IF(Y889="Peso",$R889,1))</f>
        <v/>
      </c>
      <c r="AA889" s="4" t="str">
        <f>IF(Y889="","",SUMIFS(Prod_Prop!$J:$J,Prod_Prop!$B:$B,$Q889,Prod_Prop!$H:$H,Y889,Prod_Prop!$I:$I,AA$1)*IF(Y889="Peso",$R889,1))</f>
        <v/>
      </c>
      <c r="AB889" s="4" t="str">
        <f>IFERROR(__xludf.DUMMYFUNCTION("IF(OR($U889="""",COUNTIF($I:$I,IFERROR(unique(filter(Prod_Prop!$H:$H,Prod_Prop!$G:$G=$U889,Prod_Prop!$E:$E=AB$1)),""Check""))=0),"""",IFERROR(unique(filter(Prod_Prop!$H:$H,Prod_Prop!$G:$G=$U889,Prod_Prop!$E:$E=AB$1)),""""))"),"")</f>
        <v/>
      </c>
      <c r="AC889" s="4" t="str">
        <f>IF(AB889="","",SUMIFS(Prod_Prop!$J:$J,Prod_Prop!$B:$B,$Q889,Prod_Prop!$H:$H,AB889,Prod_Prop!$I:$I,AC$1)*IF(AB889="Peso",$R889,1))</f>
        <v/>
      </c>
      <c r="AD889" s="4" t="str">
        <f>IF(AB889="","",SUMIFS(Prod_Prop!$J:$J,Prod_Prop!$B:$B,$Q889,Prod_Prop!$H:$H,AB889,Prod_Prop!$I:$I,AD$1)*IF(AB889="Peso",$R889,1))</f>
        <v/>
      </c>
    </row>
    <row r="890">
      <c r="A890" s="4" t="str">
        <f t="array" ref="A890">IF(COUNTIF(A$1:A889,Cotizador!F$2)=maxifs(Familias!E:E,Familias!D:D,Cotizador!F$2),IF(COUNTIF(A$1:A889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0" s="4" t="str">
        <f t="shared" si="1"/>
        <v/>
      </c>
      <c r="C890" s="4" t="str">
        <f t="array" ref="C890">IF(B890="","",IF(A890=XLOOKUP(A$2,Implementos!B:B,Implementos!C:C,"",0,1),B890+maxifs(B$1:B889,A$1:A889,A$2),B890))</f>
        <v/>
      </c>
      <c r="D890" s="4" t="str">
        <f>IF(B890="","", COUNTIFS(Productos!F:F,A890,Productos!H:H,B890)+IF(F890="SI",0,1))</f>
        <v/>
      </c>
      <c r="E890" s="4" t="str">
        <f>IFERROR(__xludf.DUMMYFUNCTION("IF($B890="""","""",INDEX(filter(Familias!F:F,Familias!$D:$D=$A890,Familias!$E:$E=$B890),1))"),"")</f>
        <v/>
      </c>
      <c r="F890" s="4" t="str">
        <f>IFERROR(__xludf.DUMMYFUNCTION("IF($B890="""","""",INDEX(filter(Familias!G:G,Familias!$D:$D=$A890,Familias!$E:$E=$B890),1))"),"")</f>
        <v/>
      </c>
      <c r="G890" s="4" t="str">
        <f t="array" ref="G890">IF(C890=1,XLOOKUP(C890,Cotizador!D:D,Cotizador!E:E,"",0,1),"")</f>
        <v/>
      </c>
      <c r="I890" s="4"/>
      <c r="J890" s="8" t="str">
        <f>IF(I890="","",SUMIF(Cotizador!I$1:V$1,I890,Cotizador!I$2:V$2))</f>
        <v/>
      </c>
      <c r="L890" s="4" t="str">
        <f t="array" ref="L890">IF(COUNTIF(L$1:L889,A$2)=SUMIF(A:A,A$2,D:D),IF(COUNTIF(L$1:L889,XLOOKUP(A$2,Implementos!B:B,Implementos!C:C,"",0,1))=SUMIF(A:A,XLOOKUP(A$2,Implementos!B:B,Implementos!C:C,"",0,1),D:D),"",XLOOKUP(A$2,Implementos!B:B,Implementos!C:C,"",0,1)),A$2)</f>
        <v/>
      </c>
      <c r="M890" s="4" t="str">
        <f t="shared" si="2"/>
        <v/>
      </c>
      <c r="N890" s="4" t="str">
        <f t="shared" si="3"/>
        <v/>
      </c>
      <c r="O890" s="4" t="str">
        <f t="shared" si="4"/>
        <v/>
      </c>
      <c r="P890" s="4" t="str">
        <f t="shared" si="5"/>
        <v/>
      </c>
      <c r="Q890" s="4" t="str">
        <f>IF(U890="","",SUMIF(Productos!E:E,U890,Productos!A:A))</f>
        <v/>
      </c>
      <c r="R890" s="4" t="str">
        <f t="array" ref="R890">IF(L890="","", max(1,SUMIF(I:I,XLOOKUP(U890,Productos!E:E,Productos!G:G,"",0,1),J:J)))</f>
        <v/>
      </c>
      <c r="S890" s="4" t="str">
        <f>IF(Q890="","",IF(SUMIFS(Compat_Vetado!D:D,Compat_Vetado!B:B,SUM(G:G),Compat_Vetado!C:C,Q890)=1,"SI",IF(OR(SUMIF(Cotizador!E:E,Q890,Cotizador!G:G)&gt;0,SUMIFS(Compat_Vetado!D:D,Compat_Vetado!B:B,SUM(G:G),Compat_Vetado!C:C,Q890)=-1),"NO","")))</f>
        <v/>
      </c>
      <c r="T890" s="4" t="str">
        <f t="shared" si="6"/>
        <v/>
      </c>
      <c r="U890" s="4" t="str">
        <f>IFERROR(__xludf.DUMMYFUNCTION("IF(P890="""","""",IFERROR(INDEX(filter(Productos!E:E,Productos!F:F=L890,Productos!H:H=N890),P890),IF(M890=SUM(D:D),""Finalizar"",""-"")))"),"")</f>
        <v/>
      </c>
      <c r="V890" s="4" t="str">
        <f>IFERROR(__xludf.DUMMYFUNCTION("IF(OR($U890="""",COUNTIF($I:$I,IFERROR(unique(filter(Prod_Prop!$H:$H,Prod_Prop!$G:$G=$U890,Prod_Prop!$E:$E=V$1)),""Check""))=0),"""",IFERROR(unique(filter(Prod_Prop!$H:$H,Prod_Prop!$G:$G=$U890,Prod_Prop!$E:$E=V$1)),""""))"),"")</f>
        <v/>
      </c>
      <c r="W890" s="4" t="str">
        <f>IF(V890="","",SUMIFS(Prod_Prop!$J:$J,Prod_Prop!$B:$B,$Q890,Prod_Prop!$H:$H,V890,Prod_Prop!$I:$I,W$1)*IF(V890="Peso",$R890,1))</f>
        <v/>
      </c>
      <c r="X890" s="4" t="str">
        <f>IF(V890="","",SUMIFS(Prod_Prop!$J:$J,Prod_Prop!$B:$B,$Q890,Prod_Prop!$H:$H,V890,Prod_Prop!$I:$I,X$1)*IF(V890="Peso",$R890,1))</f>
        <v/>
      </c>
      <c r="Y890" s="4" t="str">
        <f>IFERROR(__xludf.DUMMYFUNCTION("IF(OR($U890="""",COUNTIF($I:$I,IFERROR(unique(filter(Prod_Prop!$H:$H,Prod_Prop!$G:$G=$U890,Prod_Prop!$E:$E=Y$1)),""Check""))=0),"""",IFERROR(unique(filter(Prod_Prop!$H:$H,Prod_Prop!$G:$G=$U890,Prod_Prop!$E:$E=Y$1)),""""))"),"")</f>
        <v/>
      </c>
      <c r="Z890" s="4" t="str">
        <f>IF(Y890="","",SUMIFS(Prod_Prop!$J:$J,Prod_Prop!$B:$B,$Q890,Prod_Prop!$H:$H,Y890,Prod_Prop!$I:$I,Z$1)*IF(Y890="Peso",$R890,1))</f>
        <v/>
      </c>
      <c r="AA890" s="4" t="str">
        <f>IF(Y890="","",SUMIFS(Prod_Prop!$J:$J,Prod_Prop!$B:$B,$Q890,Prod_Prop!$H:$H,Y890,Prod_Prop!$I:$I,AA$1)*IF(Y890="Peso",$R890,1))</f>
        <v/>
      </c>
      <c r="AB890" s="4" t="str">
        <f>IFERROR(__xludf.DUMMYFUNCTION("IF(OR($U890="""",COUNTIF($I:$I,IFERROR(unique(filter(Prod_Prop!$H:$H,Prod_Prop!$G:$G=$U890,Prod_Prop!$E:$E=AB$1)),""Check""))=0),"""",IFERROR(unique(filter(Prod_Prop!$H:$H,Prod_Prop!$G:$G=$U890,Prod_Prop!$E:$E=AB$1)),""""))"),"")</f>
        <v/>
      </c>
      <c r="AC890" s="4" t="str">
        <f>IF(AB890="","",SUMIFS(Prod_Prop!$J:$J,Prod_Prop!$B:$B,$Q890,Prod_Prop!$H:$H,AB890,Prod_Prop!$I:$I,AC$1)*IF(AB890="Peso",$R890,1))</f>
        <v/>
      </c>
      <c r="AD890" s="4" t="str">
        <f>IF(AB890="","",SUMIFS(Prod_Prop!$J:$J,Prod_Prop!$B:$B,$Q890,Prod_Prop!$H:$H,AB890,Prod_Prop!$I:$I,AD$1)*IF(AB890="Peso",$R890,1))</f>
        <v/>
      </c>
    </row>
    <row r="891">
      <c r="A891" s="4" t="str">
        <f t="array" ref="A891">IF(COUNTIF(A$1:A890,Cotizador!F$2)=maxifs(Familias!E:E,Familias!D:D,Cotizador!F$2),IF(COUNTIF(A$1:A890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1" s="4" t="str">
        <f t="shared" si="1"/>
        <v/>
      </c>
      <c r="C891" s="4" t="str">
        <f t="array" ref="C891">IF(B891="","",IF(A891=XLOOKUP(A$2,Implementos!B:B,Implementos!C:C,"",0,1),B891+maxifs(B$1:B890,A$1:A890,A$2),B891))</f>
        <v/>
      </c>
      <c r="D891" s="4" t="str">
        <f>IF(B891="","", COUNTIFS(Productos!F:F,A891,Productos!H:H,B891)+IF(F891="SI",0,1))</f>
        <v/>
      </c>
      <c r="E891" s="4" t="str">
        <f>IFERROR(__xludf.DUMMYFUNCTION("IF($B891="""","""",INDEX(filter(Familias!F:F,Familias!$D:$D=$A891,Familias!$E:$E=$B891),1))"),"")</f>
        <v/>
      </c>
      <c r="F891" s="4" t="str">
        <f>IFERROR(__xludf.DUMMYFUNCTION("IF($B891="""","""",INDEX(filter(Familias!G:G,Familias!$D:$D=$A891,Familias!$E:$E=$B891),1))"),"")</f>
        <v/>
      </c>
      <c r="G891" s="4" t="str">
        <f t="array" ref="G891">IF(C891=1,XLOOKUP(C891,Cotizador!D:D,Cotizador!E:E,"",0,1),"")</f>
        <v/>
      </c>
      <c r="I891" s="4"/>
      <c r="J891" s="8" t="str">
        <f>IF(I891="","",SUMIF(Cotizador!I$1:V$1,I891,Cotizador!I$2:V$2))</f>
        <v/>
      </c>
      <c r="L891" s="4" t="str">
        <f t="array" ref="L891">IF(COUNTIF(L$1:L890,A$2)=SUMIF(A:A,A$2,D:D),IF(COUNTIF(L$1:L890,XLOOKUP(A$2,Implementos!B:B,Implementos!C:C,"",0,1))=SUMIF(A:A,XLOOKUP(A$2,Implementos!B:B,Implementos!C:C,"",0,1),D:D),"",XLOOKUP(A$2,Implementos!B:B,Implementos!C:C,"",0,1)),A$2)</f>
        <v/>
      </c>
      <c r="M891" s="4" t="str">
        <f t="shared" si="2"/>
        <v/>
      </c>
      <c r="N891" s="4" t="str">
        <f t="shared" si="3"/>
        <v/>
      </c>
      <c r="O891" s="4" t="str">
        <f t="shared" si="4"/>
        <v/>
      </c>
      <c r="P891" s="4" t="str">
        <f t="shared" si="5"/>
        <v/>
      </c>
      <c r="Q891" s="4" t="str">
        <f>IF(U891="","",SUMIF(Productos!E:E,U891,Productos!A:A))</f>
        <v/>
      </c>
      <c r="R891" s="4" t="str">
        <f t="array" ref="R891">IF(L891="","", max(1,SUMIF(I:I,XLOOKUP(U891,Productos!E:E,Productos!G:G,"",0,1),J:J)))</f>
        <v/>
      </c>
      <c r="S891" s="4" t="str">
        <f>IF(Q891="","",IF(SUMIFS(Compat_Vetado!D:D,Compat_Vetado!B:B,SUM(G:G),Compat_Vetado!C:C,Q891)=1,"SI",IF(OR(SUMIF(Cotizador!E:E,Q891,Cotizador!G:G)&gt;0,SUMIFS(Compat_Vetado!D:D,Compat_Vetado!B:B,SUM(G:G),Compat_Vetado!C:C,Q891)=-1),"NO","")))</f>
        <v/>
      </c>
      <c r="T891" s="4" t="str">
        <f t="shared" si="6"/>
        <v/>
      </c>
      <c r="U891" s="4" t="str">
        <f>IFERROR(__xludf.DUMMYFUNCTION("IF(P891="""","""",IFERROR(INDEX(filter(Productos!E:E,Productos!F:F=L891,Productos!H:H=N891),P891),IF(M891=SUM(D:D),""Finalizar"",""-"")))"),"")</f>
        <v/>
      </c>
      <c r="V891" s="4" t="str">
        <f>IFERROR(__xludf.DUMMYFUNCTION("IF(OR($U891="""",COUNTIF($I:$I,IFERROR(unique(filter(Prod_Prop!$H:$H,Prod_Prop!$G:$G=$U891,Prod_Prop!$E:$E=V$1)),""Check""))=0),"""",IFERROR(unique(filter(Prod_Prop!$H:$H,Prod_Prop!$G:$G=$U891,Prod_Prop!$E:$E=V$1)),""""))"),"")</f>
        <v/>
      </c>
      <c r="W891" s="4" t="str">
        <f>IF(V891="","",SUMIFS(Prod_Prop!$J:$J,Prod_Prop!$B:$B,$Q891,Prod_Prop!$H:$H,V891,Prod_Prop!$I:$I,W$1)*IF(V891="Peso",$R891,1))</f>
        <v/>
      </c>
      <c r="X891" s="4" t="str">
        <f>IF(V891="","",SUMIFS(Prod_Prop!$J:$J,Prod_Prop!$B:$B,$Q891,Prod_Prop!$H:$H,V891,Prod_Prop!$I:$I,X$1)*IF(V891="Peso",$R891,1))</f>
        <v/>
      </c>
      <c r="Y891" s="4" t="str">
        <f>IFERROR(__xludf.DUMMYFUNCTION("IF(OR($U891="""",COUNTIF($I:$I,IFERROR(unique(filter(Prod_Prop!$H:$H,Prod_Prop!$G:$G=$U891,Prod_Prop!$E:$E=Y$1)),""Check""))=0),"""",IFERROR(unique(filter(Prod_Prop!$H:$H,Prod_Prop!$G:$G=$U891,Prod_Prop!$E:$E=Y$1)),""""))"),"")</f>
        <v/>
      </c>
      <c r="Z891" s="4" t="str">
        <f>IF(Y891="","",SUMIFS(Prod_Prop!$J:$J,Prod_Prop!$B:$B,$Q891,Prod_Prop!$H:$H,Y891,Prod_Prop!$I:$I,Z$1)*IF(Y891="Peso",$R891,1))</f>
        <v/>
      </c>
      <c r="AA891" s="4" t="str">
        <f>IF(Y891="","",SUMIFS(Prod_Prop!$J:$J,Prod_Prop!$B:$B,$Q891,Prod_Prop!$H:$H,Y891,Prod_Prop!$I:$I,AA$1)*IF(Y891="Peso",$R891,1))</f>
        <v/>
      </c>
      <c r="AB891" s="4" t="str">
        <f>IFERROR(__xludf.DUMMYFUNCTION("IF(OR($U891="""",COUNTIF($I:$I,IFERROR(unique(filter(Prod_Prop!$H:$H,Prod_Prop!$G:$G=$U891,Prod_Prop!$E:$E=AB$1)),""Check""))=0),"""",IFERROR(unique(filter(Prod_Prop!$H:$H,Prod_Prop!$G:$G=$U891,Prod_Prop!$E:$E=AB$1)),""""))"),"")</f>
        <v/>
      </c>
      <c r="AC891" s="4" t="str">
        <f>IF(AB891="","",SUMIFS(Prod_Prop!$J:$J,Prod_Prop!$B:$B,$Q891,Prod_Prop!$H:$H,AB891,Prod_Prop!$I:$I,AC$1)*IF(AB891="Peso",$R891,1))</f>
        <v/>
      </c>
      <c r="AD891" s="4" t="str">
        <f>IF(AB891="","",SUMIFS(Prod_Prop!$J:$J,Prod_Prop!$B:$B,$Q891,Prod_Prop!$H:$H,AB891,Prod_Prop!$I:$I,AD$1)*IF(AB891="Peso",$R891,1))</f>
        <v/>
      </c>
    </row>
    <row r="892">
      <c r="A892" s="4" t="str">
        <f t="array" ref="A892">IF(COUNTIF(A$1:A891,Cotizador!F$2)=maxifs(Familias!E:E,Familias!D:D,Cotizador!F$2),IF(COUNTIF(A$1:A891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2" s="4" t="str">
        <f t="shared" si="1"/>
        <v/>
      </c>
      <c r="C892" s="4" t="str">
        <f t="array" ref="C892">IF(B892="","",IF(A892=XLOOKUP(A$2,Implementos!B:B,Implementos!C:C,"",0,1),B892+maxifs(B$1:B891,A$1:A891,A$2),B892))</f>
        <v/>
      </c>
      <c r="D892" s="4" t="str">
        <f>IF(B892="","", COUNTIFS(Productos!F:F,A892,Productos!H:H,B892)+IF(F892="SI",0,1))</f>
        <v/>
      </c>
      <c r="E892" s="4" t="str">
        <f>IFERROR(__xludf.DUMMYFUNCTION("IF($B892="""","""",INDEX(filter(Familias!F:F,Familias!$D:$D=$A892,Familias!$E:$E=$B892),1))"),"")</f>
        <v/>
      </c>
      <c r="F892" s="4" t="str">
        <f>IFERROR(__xludf.DUMMYFUNCTION("IF($B892="""","""",INDEX(filter(Familias!G:G,Familias!$D:$D=$A892,Familias!$E:$E=$B892),1))"),"")</f>
        <v/>
      </c>
      <c r="G892" s="4" t="str">
        <f t="array" ref="G892">IF(C892=1,XLOOKUP(C892,Cotizador!D:D,Cotizador!E:E,"",0,1),"")</f>
        <v/>
      </c>
      <c r="I892" s="4"/>
      <c r="J892" s="8" t="str">
        <f>IF(I892="","",SUMIF(Cotizador!I$1:V$1,I892,Cotizador!I$2:V$2))</f>
        <v/>
      </c>
      <c r="L892" s="4" t="str">
        <f t="array" ref="L892">IF(COUNTIF(L$1:L891,A$2)=SUMIF(A:A,A$2,D:D),IF(COUNTIF(L$1:L891,XLOOKUP(A$2,Implementos!B:B,Implementos!C:C,"",0,1))=SUMIF(A:A,XLOOKUP(A$2,Implementos!B:B,Implementos!C:C,"",0,1),D:D),"",XLOOKUP(A$2,Implementos!B:B,Implementos!C:C,"",0,1)),A$2)</f>
        <v/>
      </c>
      <c r="M892" s="4" t="str">
        <f t="shared" si="2"/>
        <v/>
      </c>
      <c r="N892" s="4" t="str">
        <f t="shared" si="3"/>
        <v/>
      </c>
      <c r="O892" s="4" t="str">
        <f t="shared" si="4"/>
        <v/>
      </c>
      <c r="P892" s="4" t="str">
        <f t="shared" si="5"/>
        <v/>
      </c>
      <c r="Q892" s="4" t="str">
        <f>IF(U892="","",SUMIF(Productos!E:E,U892,Productos!A:A))</f>
        <v/>
      </c>
      <c r="R892" s="4" t="str">
        <f t="array" ref="R892">IF(L892="","", max(1,SUMIF(I:I,XLOOKUP(U892,Productos!E:E,Productos!G:G,"",0,1),J:J)))</f>
        <v/>
      </c>
      <c r="S892" s="4" t="str">
        <f>IF(Q892="","",IF(SUMIFS(Compat_Vetado!D:D,Compat_Vetado!B:B,SUM(G:G),Compat_Vetado!C:C,Q892)=1,"SI",IF(OR(SUMIF(Cotizador!E:E,Q892,Cotizador!G:G)&gt;0,SUMIFS(Compat_Vetado!D:D,Compat_Vetado!B:B,SUM(G:G),Compat_Vetado!C:C,Q892)=-1),"NO","")))</f>
        <v/>
      </c>
      <c r="T892" s="4" t="str">
        <f t="shared" si="6"/>
        <v/>
      </c>
      <c r="U892" s="4" t="str">
        <f>IFERROR(__xludf.DUMMYFUNCTION("IF(P892="""","""",IFERROR(INDEX(filter(Productos!E:E,Productos!F:F=L892,Productos!H:H=N892),P892),IF(M892=SUM(D:D),""Finalizar"",""-"")))"),"")</f>
        <v/>
      </c>
      <c r="V892" s="4" t="str">
        <f>IFERROR(__xludf.DUMMYFUNCTION("IF(OR($U892="""",COUNTIF($I:$I,IFERROR(unique(filter(Prod_Prop!$H:$H,Prod_Prop!$G:$G=$U892,Prod_Prop!$E:$E=V$1)),""Check""))=0),"""",IFERROR(unique(filter(Prod_Prop!$H:$H,Prod_Prop!$G:$G=$U892,Prod_Prop!$E:$E=V$1)),""""))"),"")</f>
        <v/>
      </c>
      <c r="W892" s="4" t="str">
        <f>IF(V892="","",SUMIFS(Prod_Prop!$J:$J,Prod_Prop!$B:$B,$Q892,Prod_Prop!$H:$H,V892,Prod_Prop!$I:$I,W$1)*IF(V892="Peso",$R892,1))</f>
        <v/>
      </c>
      <c r="X892" s="4" t="str">
        <f>IF(V892="","",SUMIFS(Prod_Prop!$J:$J,Prod_Prop!$B:$B,$Q892,Prod_Prop!$H:$H,V892,Prod_Prop!$I:$I,X$1)*IF(V892="Peso",$R892,1))</f>
        <v/>
      </c>
      <c r="Y892" s="4" t="str">
        <f>IFERROR(__xludf.DUMMYFUNCTION("IF(OR($U892="""",COUNTIF($I:$I,IFERROR(unique(filter(Prod_Prop!$H:$H,Prod_Prop!$G:$G=$U892,Prod_Prop!$E:$E=Y$1)),""Check""))=0),"""",IFERROR(unique(filter(Prod_Prop!$H:$H,Prod_Prop!$G:$G=$U892,Prod_Prop!$E:$E=Y$1)),""""))"),"")</f>
        <v/>
      </c>
      <c r="Z892" s="4" t="str">
        <f>IF(Y892="","",SUMIFS(Prod_Prop!$J:$J,Prod_Prop!$B:$B,$Q892,Prod_Prop!$H:$H,Y892,Prod_Prop!$I:$I,Z$1)*IF(Y892="Peso",$R892,1))</f>
        <v/>
      </c>
      <c r="AA892" s="4" t="str">
        <f>IF(Y892="","",SUMIFS(Prod_Prop!$J:$J,Prod_Prop!$B:$B,$Q892,Prod_Prop!$H:$H,Y892,Prod_Prop!$I:$I,AA$1)*IF(Y892="Peso",$R892,1))</f>
        <v/>
      </c>
      <c r="AB892" s="4" t="str">
        <f>IFERROR(__xludf.DUMMYFUNCTION("IF(OR($U892="""",COUNTIF($I:$I,IFERROR(unique(filter(Prod_Prop!$H:$H,Prod_Prop!$G:$G=$U892,Prod_Prop!$E:$E=AB$1)),""Check""))=0),"""",IFERROR(unique(filter(Prod_Prop!$H:$H,Prod_Prop!$G:$G=$U892,Prod_Prop!$E:$E=AB$1)),""""))"),"")</f>
        <v/>
      </c>
      <c r="AC892" s="4" t="str">
        <f>IF(AB892="","",SUMIFS(Prod_Prop!$J:$J,Prod_Prop!$B:$B,$Q892,Prod_Prop!$H:$H,AB892,Prod_Prop!$I:$I,AC$1)*IF(AB892="Peso",$R892,1))</f>
        <v/>
      </c>
      <c r="AD892" s="4" t="str">
        <f>IF(AB892="","",SUMIFS(Prod_Prop!$J:$J,Prod_Prop!$B:$B,$Q892,Prod_Prop!$H:$H,AB892,Prod_Prop!$I:$I,AD$1)*IF(AB892="Peso",$R892,1))</f>
        <v/>
      </c>
    </row>
    <row r="893">
      <c r="A893" s="4" t="str">
        <f t="array" ref="A893">IF(COUNTIF(A$1:A892,Cotizador!F$2)=maxifs(Familias!E:E,Familias!D:D,Cotizador!F$2),IF(COUNTIF(A$1:A892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3" s="4" t="str">
        <f t="shared" si="1"/>
        <v/>
      </c>
      <c r="C893" s="4" t="str">
        <f t="array" ref="C893">IF(B893="","",IF(A893=XLOOKUP(A$2,Implementos!B:B,Implementos!C:C,"",0,1),B893+maxifs(B$1:B892,A$1:A892,A$2),B893))</f>
        <v/>
      </c>
      <c r="D893" s="4" t="str">
        <f>IF(B893="","", COUNTIFS(Productos!F:F,A893,Productos!H:H,B893)+IF(F893="SI",0,1))</f>
        <v/>
      </c>
      <c r="E893" s="4" t="str">
        <f>IFERROR(__xludf.DUMMYFUNCTION("IF($B893="""","""",INDEX(filter(Familias!F:F,Familias!$D:$D=$A893,Familias!$E:$E=$B893),1))"),"")</f>
        <v/>
      </c>
      <c r="F893" s="4" t="str">
        <f>IFERROR(__xludf.DUMMYFUNCTION("IF($B893="""","""",INDEX(filter(Familias!G:G,Familias!$D:$D=$A893,Familias!$E:$E=$B893),1))"),"")</f>
        <v/>
      </c>
      <c r="G893" s="4" t="str">
        <f t="array" ref="G893">IF(C893=1,XLOOKUP(C893,Cotizador!D:D,Cotizador!E:E,"",0,1),"")</f>
        <v/>
      </c>
      <c r="I893" s="4"/>
      <c r="J893" s="8" t="str">
        <f>IF(I893="","",SUMIF(Cotizador!I$1:V$1,I893,Cotizador!I$2:V$2))</f>
        <v/>
      </c>
      <c r="L893" s="4" t="str">
        <f t="array" ref="L893">IF(COUNTIF(L$1:L892,A$2)=SUMIF(A:A,A$2,D:D),IF(COUNTIF(L$1:L892,XLOOKUP(A$2,Implementos!B:B,Implementos!C:C,"",0,1))=SUMIF(A:A,XLOOKUP(A$2,Implementos!B:B,Implementos!C:C,"",0,1),D:D),"",XLOOKUP(A$2,Implementos!B:B,Implementos!C:C,"",0,1)),A$2)</f>
        <v/>
      </c>
      <c r="M893" s="4" t="str">
        <f t="shared" si="2"/>
        <v/>
      </c>
      <c r="N893" s="4" t="str">
        <f t="shared" si="3"/>
        <v/>
      </c>
      <c r="O893" s="4" t="str">
        <f t="shared" si="4"/>
        <v/>
      </c>
      <c r="P893" s="4" t="str">
        <f t="shared" si="5"/>
        <v/>
      </c>
      <c r="Q893" s="4" t="str">
        <f>IF(U893="","",SUMIF(Productos!E:E,U893,Productos!A:A))</f>
        <v/>
      </c>
      <c r="R893" s="4" t="str">
        <f t="array" ref="R893">IF(L893="","", max(1,SUMIF(I:I,XLOOKUP(U893,Productos!E:E,Productos!G:G,"",0,1),J:J)))</f>
        <v/>
      </c>
      <c r="S893" s="4" t="str">
        <f>IF(Q893="","",IF(SUMIFS(Compat_Vetado!D:D,Compat_Vetado!B:B,SUM(G:G),Compat_Vetado!C:C,Q893)=1,"SI",IF(OR(SUMIF(Cotizador!E:E,Q893,Cotizador!G:G)&gt;0,SUMIFS(Compat_Vetado!D:D,Compat_Vetado!B:B,SUM(G:G),Compat_Vetado!C:C,Q893)=-1),"NO","")))</f>
        <v/>
      </c>
      <c r="T893" s="4" t="str">
        <f t="shared" si="6"/>
        <v/>
      </c>
      <c r="U893" s="4" t="str">
        <f>IFERROR(__xludf.DUMMYFUNCTION("IF(P893="""","""",IFERROR(INDEX(filter(Productos!E:E,Productos!F:F=L893,Productos!H:H=N893),P893),IF(M893=SUM(D:D),""Finalizar"",""-"")))"),"")</f>
        <v/>
      </c>
      <c r="V893" s="4" t="str">
        <f>IFERROR(__xludf.DUMMYFUNCTION("IF(OR($U893="""",COUNTIF($I:$I,IFERROR(unique(filter(Prod_Prop!$H:$H,Prod_Prop!$G:$G=$U893,Prod_Prop!$E:$E=V$1)),""Check""))=0),"""",IFERROR(unique(filter(Prod_Prop!$H:$H,Prod_Prop!$G:$G=$U893,Prod_Prop!$E:$E=V$1)),""""))"),"")</f>
        <v/>
      </c>
      <c r="W893" s="4" t="str">
        <f>IF(V893="","",SUMIFS(Prod_Prop!$J:$J,Prod_Prop!$B:$B,$Q893,Prod_Prop!$H:$H,V893,Prod_Prop!$I:$I,W$1)*IF(V893="Peso",$R893,1))</f>
        <v/>
      </c>
      <c r="X893" s="4" t="str">
        <f>IF(V893="","",SUMIFS(Prod_Prop!$J:$J,Prod_Prop!$B:$B,$Q893,Prod_Prop!$H:$H,V893,Prod_Prop!$I:$I,X$1)*IF(V893="Peso",$R893,1))</f>
        <v/>
      </c>
      <c r="Y893" s="4" t="str">
        <f>IFERROR(__xludf.DUMMYFUNCTION("IF(OR($U893="""",COUNTIF($I:$I,IFERROR(unique(filter(Prod_Prop!$H:$H,Prod_Prop!$G:$G=$U893,Prod_Prop!$E:$E=Y$1)),""Check""))=0),"""",IFERROR(unique(filter(Prod_Prop!$H:$H,Prod_Prop!$G:$G=$U893,Prod_Prop!$E:$E=Y$1)),""""))"),"")</f>
        <v/>
      </c>
      <c r="Z893" s="4" t="str">
        <f>IF(Y893="","",SUMIFS(Prod_Prop!$J:$J,Prod_Prop!$B:$B,$Q893,Prod_Prop!$H:$H,Y893,Prod_Prop!$I:$I,Z$1)*IF(Y893="Peso",$R893,1))</f>
        <v/>
      </c>
      <c r="AA893" s="4" t="str">
        <f>IF(Y893="","",SUMIFS(Prod_Prop!$J:$J,Prod_Prop!$B:$B,$Q893,Prod_Prop!$H:$H,Y893,Prod_Prop!$I:$I,AA$1)*IF(Y893="Peso",$R893,1))</f>
        <v/>
      </c>
      <c r="AB893" s="4" t="str">
        <f>IFERROR(__xludf.DUMMYFUNCTION("IF(OR($U893="""",COUNTIF($I:$I,IFERROR(unique(filter(Prod_Prop!$H:$H,Prod_Prop!$G:$G=$U893,Prod_Prop!$E:$E=AB$1)),""Check""))=0),"""",IFERROR(unique(filter(Prod_Prop!$H:$H,Prod_Prop!$G:$G=$U893,Prod_Prop!$E:$E=AB$1)),""""))"),"")</f>
        <v/>
      </c>
      <c r="AC893" s="4" t="str">
        <f>IF(AB893="","",SUMIFS(Prod_Prop!$J:$J,Prod_Prop!$B:$B,$Q893,Prod_Prop!$H:$H,AB893,Prod_Prop!$I:$I,AC$1)*IF(AB893="Peso",$R893,1))</f>
        <v/>
      </c>
      <c r="AD893" s="4" t="str">
        <f>IF(AB893="","",SUMIFS(Prod_Prop!$J:$J,Prod_Prop!$B:$B,$Q893,Prod_Prop!$H:$H,AB893,Prod_Prop!$I:$I,AD$1)*IF(AB893="Peso",$R893,1))</f>
        <v/>
      </c>
    </row>
    <row r="894">
      <c r="A894" s="4" t="str">
        <f t="array" ref="A894">IF(COUNTIF(A$1:A893,Cotizador!F$2)=maxifs(Familias!E:E,Familias!D:D,Cotizador!F$2),IF(COUNTIF(A$1:A893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4" s="4" t="str">
        <f t="shared" si="1"/>
        <v/>
      </c>
      <c r="C894" s="4" t="str">
        <f t="array" ref="C894">IF(B894="","",IF(A894=XLOOKUP(A$2,Implementos!B:B,Implementos!C:C,"",0,1),B894+maxifs(B$1:B893,A$1:A893,A$2),B894))</f>
        <v/>
      </c>
      <c r="D894" s="4" t="str">
        <f>IF(B894="","", COUNTIFS(Productos!F:F,A894,Productos!H:H,B894)+IF(F894="SI",0,1))</f>
        <v/>
      </c>
      <c r="E894" s="4" t="str">
        <f>IFERROR(__xludf.DUMMYFUNCTION("IF($B894="""","""",INDEX(filter(Familias!F:F,Familias!$D:$D=$A894,Familias!$E:$E=$B894),1))"),"")</f>
        <v/>
      </c>
      <c r="F894" s="4" t="str">
        <f>IFERROR(__xludf.DUMMYFUNCTION("IF($B894="""","""",INDEX(filter(Familias!G:G,Familias!$D:$D=$A894,Familias!$E:$E=$B894),1))"),"")</f>
        <v/>
      </c>
      <c r="G894" s="4" t="str">
        <f t="array" ref="G894">IF(C894=1,XLOOKUP(C894,Cotizador!D:D,Cotizador!E:E,"",0,1),"")</f>
        <v/>
      </c>
      <c r="I894" s="4"/>
      <c r="J894" s="8" t="str">
        <f>IF(I894="","",SUMIF(Cotizador!I$1:V$1,I894,Cotizador!I$2:V$2))</f>
        <v/>
      </c>
      <c r="L894" s="4" t="str">
        <f t="array" ref="L894">IF(COUNTIF(L$1:L893,A$2)=SUMIF(A:A,A$2,D:D),IF(COUNTIF(L$1:L893,XLOOKUP(A$2,Implementos!B:B,Implementos!C:C,"",0,1))=SUMIF(A:A,XLOOKUP(A$2,Implementos!B:B,Implementos!C:C,"",0,1),D:D),"",XLOOKUP(A$2,Implementos!B:B,Implementos!C:C,"",0,1)),A$2)</f>
        <v/>
      </c>
      <c r="M894" s="4" t="str">
        <f t="shared" si="2"/>
        <v/>
      </c>
      <c r="N894" s="4" t="str">
        <f t="shared" si="3"/>
        <v/>
      </c>
      <c r="O894" s="4" t="str">
        <f t="shared" si="4"/>
        <v/>
      </c>
      <c r="P894" s="4" t="str">
        <f t="shared" si="5"/>
        <v/>
      </c>
      <c r="Q894" s="4" t="str">
        <f>IF(U894="","",SUMIF(Productos!E:E,U894,Productos!A:A))</f>
        <v/>
      </c>
      <c r="R894" s="4" t="str">
        <f t="array" ref="R894">IF(L894="","", max(1,SUMIF(I:I,XLOOKUP(U894,Productos!E:E,Productos!G:G,"",0,1),J:J)))</f>
        <v/>
      </c>
      <c r="S894" s="4" t="str">
        <f>IF(Q894="","",IF(SUMIFS(Compat_Vetado!D:D,Compat_Vetado!B:B,SUM(G:G),Compat_Vetado!C:C,Q894)=1,"SI",IF(OR(SUMIF(Cotizador!E:E,Q894,Cotizador!G:G)&gt;0,SUMIFS(Compat_Vetado!D:D,Compat_Vetado!B:B,SUM(G:G),Compat_Vetado!C:C,Q894)=-1),"NO","")))</f>
        <v/>
      </c>
      <c r="T894" s="4" t="str">
        <f t="shared" si="6"/>
        <v/>
      </c>
      <c r="U894" s="4" t="str">
        <f>IFERROR(__xludf.DUMMYFUNCTION("IF(P894="""","""",IFERROR(INDEX(filter(Productos!E:E,Productos!F:F=L894,Productos!H:H=N894),P894),IF(M894=SUM(D:D),""Finalizar"",""-"")))"),"")</f>
        <v/>
      </c>
      <c r="V894" s="4" t="str">
        <f>IFERROR(__xludf.DUMMYFUNCTION("IF(OR($U894="""",COUNTIF($I:$I,IFERROR(unique(filter(Prod_Prop!$H:$H,Prod_Prop!$G:$G=$U894,Prod_Prop!$E:$E=V$1)),""Check""))=0),"""",IFERROR(unique(filter(Prod_Prop!$H:$H,Prod_Prop!$G:$G=$U894,Prod_Prop!$E:$E=V$1)),""""))"),"")</f>
        <v/>
      </c>
      <c r="W894" s="4" t="str">
        <f>IF(V894="","",SUMIFS(Prod_Prop!$J:$J,Prod_Prop!$B:$B,$Q894,Prod_Prop!$H:$H,V894,Prod_Prop!$I:$I,W$1)*IF(V894="Peso",$R894,1))</f>
        <v/>
      </c>
      <c r="X894" s="4" t="str">
        <f>IF(V894="","",SUMIFS(Prod_Prop!$J:$J,Prod_Prop!$B:$B,$Q894,Prod_Prop!$H:$H,V894,Prod_Prop!$I:$I,X$1)*IF(V894="Peso",$R894,1))</f>
        <v/>
      </c>
      <c r="Y894" s="4" t="str">
        <f>IFERROR(__xludf.DUMMYFUNCTION("IF(OR($U894="""",COUNTIF($I:$I,IFERROR(unique(filter(Prod_Prop!$H:$H,Prod_Prop!$G:$G=$U894,Prod_Prop!$E:$E=Y$1)),""Check""))=0),"""",IFERROR(unique(filter(Prod_Prop!$H:$H,Prod_Prop!$G:$G=$U894,Prod_Prop!$E:$E=Y$1)),""""))"),"")</f>
        <v/>
      </c>
      <c r="Z894" s="4" t="str">
        <f>IF(Y894="","",SUMIFS(Prod_Prop!$J:$J,Prod_Prop!$B:$B,$Q894,Prod_Prop!$H:$H,Y894,Prod_Prop!$I:$I,Z$1)*IF(Y894="Peso",$R894,1))</f>
        <v/>
      </c>
      <c r="AA894" s="4" t="str">
        <f>IF(Y894="","",SUMIFS(Prod_Prop!$J:$J,Prod_Prop!$B:$B,$Q894,Prod_Prop!$H:$H,Y894,Prod_Prop!$I:$I,AA$1)*IF(Y894="Peso",$R894,1))</f>
        <v/>
      </c>
      <c r="AB894" s="4" t="str">
        <f>IFERROR(__xludf.DUMMYFUNCTION("IF(OR($U894="""",COUNTIF($I:$I,IFERROR(unique(filter(Prod_Prop!$H:$H,Prod_Prop!$G:$G=$U894,Prod_Prop!$E:$E=AB$1)),""Check""))=0),"""",IFERROR(unique(filter(Prod_Prop!$H:$H,Prod_Prop!$G:$G=$U894,Prod_Prop!$E:$E=AB$1)),""""))"),"")</f>
        <v/>
      </c>
      <c r="AC894" s="4" t="str">
        <f>IF(AB894="","",SUMIFS(Prod_Prop!$J:$J,Prod_Prop!$B:$B,$Q894,Prod_Prop!$H:$H,AB894,Prod_Prop!$I:$I,AC$1)*IF(AB894="Peso",$R894,1))</f>
        <v/>
      </c>
      <c r="AD894" s="4" t="str">
        <f>IF(AB894="","",SUMIFS(Prod_Prop!$J:$J,Prod_Prop!$B:$B,$Q894,Prod_Prop!$H:$H,AB894,Prod_Prop!$I:$I,AD$1)*IF(AB894="Peso",$R894,1))</f>
        <v/>
      </c>
    </row>
    <row r="895">
      <c r="A895" s="4" t="str">
        <f t="array" ref="A895">IF(COUNTIF(A$1:A894,Cotizador!F$2)=maxifs(Familias!E:E,Familias!D:D,Cotizador!F$2),IF(COUNTIF(A$1:A894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5" s="4" t="str">
        <f t="shared" si="1"/>
        <v/>
      </c>
      <c r="C895" s="4" t="str">
        <f t="array" ref="C895">IF(B895="","",IF(A895=XLOOKUP(A$2,Implementos!B:B,Implementos!C:C,"",0,1),B895+maxifs(B$1:B894,A$1:A894,A$2),B895))</f>
        <v/>
      </c>
      <c r="D895" s="4" t="str">
        <f>IF(B895="","", COUNTIFS(Productos!F:F,A895,Productos!H:H,B895)+IF(F895="SI",0,1))</f>
        <v/>
      </c>
      <c r="E895" s="4" t="str">
        <f>IFERROR(__xludf.DUMMYFUNCTION("IF($B895="""","""",INDEX(filter(Familias!F:F,Familias!$D:$D=$A895,Familias!$E:$E=$B895),1))"),"")</f>
        <v/>
      </c>
      <c r="F895" s="4" t="str">
        <f>IFERROR(__xludf.DUMMYFUNCTION("IF($B895="""","""",INDEX(filter(Familias!G:G,Familias!$D:$D=$A895,Familias!$E:$E=$B895),1))"),"")</f>
        <v/>
      </c>
      <c r="G895" s="4" t="str">
        <f t="array" ref="G895">IF(C895=1,XLOOKUP(C895,Cotizador!D:D,Cotizador!E:E,"",0,1),"")</f>
        <v/>
      </c>
      <c r="I895" s="4"/>
      <c r="J895" s="8" t="str">
        <f>IF(I895="","",SUMIF(Cotizador!I$1:V$1,I895,Cotizador!I$2:V$2))</f>
        <v/>
      </c>
      <c r="L895" s="4" t="str">
        <f t="array" ref="L895">IF(COUNTIF(L$1:L894,A$2)=SUMIF(A:A,A$2,D:D),IF(COUNTIF(L$1:L894,XLOOKUP(A$2,Implementos!B:B,Implementos!C:C,"",0,1))=SUMIF(A:A,XLOOKUP(A$2,Implementos!B:B,Implementos!C:C,"",0,1),D:D),"",XLOOKUP(A$2,Implementos!B:B,Implementos!C:C,"",0,1)),A$2)</f>
        <v/>
      </c>
      <c r="M895" s="4" t="str">
        <f t="shared" si="2"/>
        <v/>
      </c>
      <c r="N895" s="4" t="str">
        <f t="shared" si="3"/>
        <v/>
      </c>
      <c r="O895" s="4" t="str">
        <f t="shared" si="4"/>
        <v/>
      </c>
      <c r="P895" s="4" t="str">
        <f t="shared" si="5"/>
        <v/>
      </c>
      <c r="Q895" s="4" t="str">
        <f>IF(U895="","",SUMIF(Productos!E:E,U895,Productos!A:A))</f>
        <v/>
      </c>
      <c r="R895" s="4" t="str">
        <f t="array" ref="R895">IF(L895="","", max(1,SUMIF(I:I,XLOOKUP(U895,Productos!E:E,Productos!G:G,"",0,1),J:J)))</f>
        <v/>
      </c>
      <c r="S895" s="4" t="str">
        <f>IF(Q895="","",IF(SUMIFS(Compat_Vetado!D:D,Compat_Vetado!B:B,SUM(G:G),Compat_Vetado!C:C,Q895)=1,"SI",IF(OR(SUMIF(Cotizador!E:E,Q895,Cotizador!G:G)&gt;0,SUMIFS(Compat_Vetado!D:D,Compat_Vetado!B:B,SUM(G:G),Compat_Vetado!C:C,Q895)=-1),"NO","")))</f>
        <v/>
      </c>
      <c r="T895" s="4" t="str">
        <f t="shared" si="6"/>
        <v/>
      </c>
      <c r="U895" s="4" t="str">
        <f>IFERROR(__xludf.DUMMYFUNCTION("IF(P895="""","""",IFERROR(INDEX(filter(Productos!E:E,Productos!F:F=L895,Productos!H:H=N895),P895),IF(M895=SUM(D:D),""Finalizar"",""-"")))"),"")</f>
        <v/>
      </c>
      <c r="V895" s="4" t="str">
        <f>IFERROR(__xludf.DUMMYFUNCTION("IF(OR($U895="""",COUNTIF($I:$I,IFERROR(unique(filter(Prod_Prop!$H:$H,Prod_Prop!$G:$G=$U895,Prod_Prop!$E:$E=V$1)),""Check""))=0),"""",IFERROR(unique(filter(Prod_Prop!$H:$H,Prod_Prop!$G:$G=$U895,Prod_Prop!$E:$E=V$1)),""""))"),"")</f>
        <v/>
      </c>
      <c r="W895" s="4" t="str">
        <f>IF(V895="","",SUMIFS(Prod_Prop!$J:$J,Prod_Prop!$B:$B,$Q895,Prod_Prop!$H:$H,V895,Prod_Prop!$I:$I,W$1)*IF(V895="Peso",$R895,1))</f>
        <v/>
      </c>
      <c r="X895" s="4" t="str">
        <f>IF(V895="","",SUMIFS(Prod_Prop!$J:$J,Prod_Prop!$B:$B,$Q895,Prod_Prop!$H:$H,V895,Prod_Prop!$I:$I,X$1)*IF(V895="Peso",$R895,1))</f>
        <v/>
      </c>
      <c r="Y895" s="4" t="str">
        <f>IFERROR(__xludf.DUMMYFUNCTION("IF(OR($U895="""",COUNTIF($I:$I,IFERROR(unique(filter(Prod_Prop!$H:$H,Prod_Prop!$G:$G=$U895,Prod_Prop!$E:$E=Y$1)),""Check""))=0),"""",IFERROR(unique(filter(Prod_Prop!$H:$H,Prod_Prop!$G:$G=$U895,Prod_Prop!$E:$E=Y$1)),""""))"),"")</f>
        <v/>
      </c>
      <c r="Z895" s="4" t="str">
        <f>IF(Y895="","",SUMIFS(Prod_Prop!$J:$J,Prod_Prop!$B:$B,$Q895,Prod_Prop!$H:$H,Y895,Prod_Prop!$I:$I,Z$1)*IF(Y895="Peso",$R895,1))</f>
        <v/>
      </c>
      <c r="AA895" s="4" t="str">
        <f>IF(Y895="","",SUMIFS(Prod_Prop!$J:$J,Prod_Prop!$B:$B,$Q895,Prod_Prop!$H:$H,Y895,Prod_Prop!$I:$I,AA$1)*IF(Y895="Peso",$R895,1))</f>
        <v/>
      </c>
      <c r="AB895" s="4" t="str">
        <f>IFERROR(__xludf.DUMMYFUNCTION("IF(OR($U895="""",COUNTIF($I:$I,IFERROR(unique(filter(Prod_Prop!$H:$H,Prod_Prop!$G:$G=$U895,Prod_Prop!$E:$E=AB$1)),""Check""))=0),"""",IFERROR(unique(filter(Prod_Prop!$H:$H,Prod_Prop!$G:$G=$U895,Prod_Prop!$E:$E=AB$1)),""""))"),"")</f>
        <v/>
      </c>
      <c r="AC895" s="4" t="str">
        <f>IF(AB895="","",SUMIFS(Prod_Prop!$J:$J,Prod_Prop!$B:$B,$Q895,Prod_Prop!$H:$H,AB895,Prod_Prop!$I:$I,AC$1)*IF(AB895="Peso",$R895,1))</f>
        <v/>
      </c>
      <c r="AD895" s="4" t="str">
        <f>IF(AB895="","",SUMIFS(Prod_Prop!$J:$J,Prod_Prop!$B:$B,$Q895,Prod_Prop!$H:$H,AB895,Prod_Prop!$I:$I,AD$1)*IF(AB895="Peso",$R895,1))</f>
        <v/>
      </c>
    </row>
    <row r="896">
      <c r="A896" s="4" t="str">
        <f t="array" ref="A896">IF(COUNTIF(A$1:A895,Cotizador!F$2)=maxifs(Familias!E:E,Familias!D:D,Cotizador!F$2),IF(COUNTIF(A$1:A895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6" s="4" t="str">
        <f t="shared" si="1"/>
        <v/>
      </c>
      <c r="C896" s="4" t="str">
        <f t="array" ref="C896">IF(B896="","",IF(A896=XLOOKUP(A$2,Implementos!B:B,Implementos!C:C,"",0,1),B896+maxifs(B$1:B895,A$1:A895,A$2),B896))</f>
        <v/>
      </c>
      <c r="D896" s="4" t="str">
        <f>IF(B896="","", COUNTIFS(Productos!F:F,A896,Productos!H:H,B896)+IF(F896="SI",0,1))</f>
        <v/>
      </c>
      <c r="E896" s="4" t="str">
        <f>IFERROR(__xludf.DUMMYFUNCTION("IF($B896="""","""",INDEX(filter(Familias!F:F,Familias!$D:$D=$A896,Familias!$E:$E=$B896),1))"),"")</f>
        <v/>
      </c>
      <c r="F896" s="4" t="str">
        <f>IFERROR(__xludf.DUMMYFUNCTION("IF($B896="""","""",INDEX(filter(Familias!G:G,Familias!$D:$D=$A896,Familias!$E:$E=$B896),1))"),"")</f>
        <v/>
      </c>
      <c r="G896" s="4" t="str">
        <f t="array" ref="G896">IF(C896=1,XLOOKUP(C896,Cotizador!D:D,Cotizador!E:E,"",0,1),"")</f>
        <v/>
      </c>
      <c r="I896" s="4"/>
      <c r="J896" s="8" t="str">
        <f>IF(I896="","",SUMIF(Cotizador!I$1:V$1,I896,Cotizador!I$2:V$2))</f>
        <v/>
      </c>
      <c r="L896" s="4" t="str">
        <f t="array" ref="L896">IF(COUNTIF(L$1:L895,A$2)=SUMIF(A:A,A$2,D:D),IF(COUNTIF(L$1:L895,XLOOKUP(A$2,Implementos!B:B,Implementos!C:C,"",0,1))=SUMIF(A:A,XLOOKUP(A$2,Implementos!B:B,Implementos!C:C,"",0,1),D:D),"",XLOOKUP(A$2,Implementos!B:B,Implementos!C:C,"",0,1)),A$2)</f>
        <v/>
      </c>
      <c r="M896" s="4" t="str">
        <f t="shared" si="2"/>
        <v/>
      </c>
      <c r="N896" s="4" t="str">
        <f t="shared" si="3"/>
        <v/>
      </c>
      <c r="O896" s="4" t="str">
        <f t="shared" si="4"/>
        <v/>
      </c>
      <c r="P896" s="4" t="str">
        <f t="shared" si="5"/>
        <v/>
      </c>
      <c r="Q896" s="4" t="str">
        <f>IF(U896="","",SUMIF(Productos!E:E,U896,Productos!A:A))</f>
        <v/>
      </c>
      <c r="R896" s="4" t="str">
        <f t="array" ref="R896">IF(L896="","", max(1,SUMIF(I:I,XLOOKUP(U896,Productos!E:E,Productos!G:G,"",0,1),J:J)))</f>
        <v/>
      </c>
      <c r="S896" s="4" t="str">
        <f>IF(Q896="","",IF(SUMIFS(Compat_Vetado!D:D,Compat_Vetado!B:B,SUM(G:G),Compat_Vetado!C:C,Q896)=1,"SI",IF(OR(SUMIF(Cotizador!E:E,Q896,Cotizador!G:G)&gt;0,SUMIFS(Compat_Vetado!D:D,Compat_Vetado!B:B,SUM(G:G),Compat_Vetado!C:C,Q896)=-1),"NO","")))</f>
        <v/>
      </c>
      <c r="T896" s="4" t="str">
        <f t="shared" si="6"/>
        <v/>
      </c>
      <c r="U896" s="4" t="str">
        <f>IFERROR(__xludf.DUMMYFUNCTION("IF(P896="""","""",IFERROR(INDEX(filter(Productos!E:E,Productos!F:F=L896,Productos!H:H=N896),P896),IF(M896=SUM(D:D),""Finalizar"",""-"")))"),"")</f>
        <v/>
      </c>
      <c r="V896" s="4" t="str">
        <f>IFERROR(__xludf.DUMMYFUNCTION("IF(OR($U896="""",COUNTIF($I:$I,IFERROR(unique(filter(Prod_Prop!$H:$H,Prod_Prop!$G:$G=$U896,Prod_Prop!$E:$E=V$1)),""Check""))=0),"""",IFERROR(unique(filter(Prod_Prop!$H:$H,Prod_Prop!$G:$G=$U896,Prod_Prop!$E:$E=V$1)),""""))"),"")</f>
        <v/>
      </c>
      <c r="W896" s="4" t="str">
        <f>IF(V896="","",SUMIFS(Prod_Prop!$J:$J,Prod_Prop!$B:$B,$Q896,Prod_Prop!$H:$H,V896,Prod_Prop!$I:$I,W$1)*IF(V896="Peso",$R896,1))</f>
        <v/>
      </c>
      <c r="X896" s="4" t="str">
        <f>IF(V896="","",SUMIFS(Prod_Prop!$J:$J,Prod_Prop!$B:$B,$Q896,Prod_Prop!$H:$H,V896,Prod_Prop!$I:$I,X$1)*IF(V896="Peso",$R896,1))</f>
        <v/>
      </c>
      <c r="Y896" s="4" t="str">
        <f>IFERROR(__xludf.DUMMYFUNCTION("IF(OR($U896="""",COUNTIF($I:$I,IFERROR(unique(filter(Prod_Prop!$H:$H,Prod_Prop!$G:$G=$U896,Prod_Prop!$E:$E=Y$1)),""Check""))=0),"""",IFERROR(unique(filter(Prod_Prop!$H:$H,Prod_Prop!$G:$G=$U896,Prod_Prop!$E:$E=Y$1)),""""))"),"")</f>
        <v/>
      </c>
      <c r="Z896" s="4" t="str">
        <f>IF(Y896="","",SUMIFS(Prod_Prop!$J:$J,Prod_Prop!$B:$B,$Q896,Prod_Prop!$H:$H,Y896,Prod_Prop!$I:$I,Z$1)*IF(Y896="Peso",$R896,1))</f>
        <v/>
      </c>
      <c r="AA896" s="4" t="str">
        <f>IF(Y896="","",SUMIFS(Prod_Prop!$J:$J,Prod_Prop!$B:$B,$Q896,Prod_Prop!$H:$H,Y896,Prod_Prop!$I:$I,AA$1)*IF(Y896="Peso",$R896,1))</f>
        <v/>
      </c>
      <c r="AB896" s="4" t="str">
        <f>IFERROR(__xludf.DUMMYFUNCTION("IF(OR($U896="""",COUNTIF($I:$I,IFERROR(unique(filter(Prod_Prop!$H:$H,Prod_Prop!$G:$G=$U896,Prod_Prop!$E:$E=AB$1)),""Check""))=0),"""",IFERROR(unique(filter(Prod_Prop!$H:$H,Prod_Prop!$G:$G=$U896,Prod_Prop!$E:$E=AB$1)),""""))"),"")</f>
        <v/>
      </c>
      <c r="AC896" s="4" t="str">
        <f>IF(AB896="","",SUMIFS(Prod_Prop!$J:$J,Prod_Prop!$B:$B,$Q896,Prod_Prop!$H:$H,AB896,Prod_Prop!$I:$I,AC$1)*IF(AB896="Peso",$R896,1))</f>
        <v/>
      </c>
      <c r="AD896" s="4" t="str">
        <f>IF(AB896="","",SUMIFS(Prod_Prop!$J:$J,Prod_Prop!$B:$B,$Q896,Prod_Prop!$H:$H,AB896,Prod_Prop!$I:$I,AD$1)*IF(AB896="Peso",$R896,1))</f>
        <v/>
      </c>
    </row>
    <row r="897">
      <c r="A897" s="4" t="str">
        <f t="array" ref="A897">IF(COUNTIF(A$1:A896,Cotizador!F$2)=maxifs(Familias!E:E,Familias!D:D,Cotizador!F$2),IF(COUNTIF(A$1:A896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7" s="4" t="str">
        <f t="shared" si="1"/>
        <v/>
      </c>
      <c r="C897" s="4" t="str">
        <f t="array" ref="C897">IF(B897="","",IF(A897=XLOOKUP(A$2,Implementos!B:B,Implementos!C:C,"",0,1),B897+maxifs(B$1:B896,A$1:A896,A$2),B897))</f>
        <v/>
      </c>
      <c r="D897" s="4" t="str">
        <f>IF(B897="","", COUNTIFS(Productos!F:F,A897,Productos!H:H,B897)+IF(F897="SI",0,1))</f>
        <v/>
      </c>
      <c r="E897" s="4" t="str">
        <f>IFERROR(__xludf.DUMMYFUNCTION("IF($B897="""","""",INDEX(filter(Familias!F:F,Familias!$D:$D=$A897,Familias!$E:$E=$B897),1))"),"")</f>
        <v/>
      </c>
      <c r="F897" s="4" t="str">
        <f>IFERROR(__xludf.DUMMYFUNCTION("IF($B897="""","""",INDEX(filter(Familias!G:G,Familias!$D:$D=$A897,Familias!$E:$E=$B897),1))"),"")</f>
        <v/>
      </c>
      <c r="G897" s="4" t="str">
        <f t="array" ref="G897">IF(C897=1,XLOOKUP(C897,Cotizador!D:D,Cotizador!E:E,"",0,1),"")</f>
        <v/>
      </c>
      <c r="I897" s="4"/>
      <c r="J897" s="8" t="str">
        <f>IF(I897="","",SUMIF(Cotizador!I$1:V$1,I897,Cotizador!I$2:V$2))</f>
        <v/>
      </c>
      <c r="L897" s="4" t="str">
        <f t="array" ref="L897">IF(COUNTIF(L$1:L896,A$2)=SUMIF(A:A,A$2,D:D),IF(COUNTIF(L$1:L896,XLOOKUP(A$2,Implementos!B:B,Implementos!C:C,"",0,1))=SUMIF(A:A,XLOOKUP(A$2,Implementos!B:B,Implementos!C:C,"",0,1),D:D),"",XLOOKUP(A$2,Implementos!B:B,Implementos!C:C,"",0,1)),A$2)</f>
        <v/>
      </c>
      <c r="M897" s="4" t="str">
        <f t="shared" si="2"/>
        <v/>
      </c>
      <c r="N897" s="4" t="str">
        <f t="shared" si="3"/>
        <v/>
      </c>
      <c r="O897" s="4" t="str">
        <f t="shared" si="4"/>
        <v/>
      </c>
      <c r="P897" s="4" t="str">
        <f t="shared" si="5"/>
        <v/>
      </c>
      <c r="Q897" s="4" t="str">
        <f>IF(U897="","",SUMIF(Productos!E:E,U897,Productos!A:A))</f>
        <v/>
      </c>
      <c r="R897" s="4" t="str">
        <f t="array" ref="R897">IF(L897="","", max(1,SUMIF(I:I,XLOOKUP(U897,Productos!E:E,Productos!G:G,"",0,1),J:J)))</f>
        <v/>
      </c>
      <c r="S897" s="4" t="str">
        <f>IF(Q897="","",IF(SUMIFS(Compat_Vetado!D:D,Compat_Vetado!B:B,SUM(G:G),Compat_Vetado!C:C,Q897)=1,"SI",IF(OR(SUMIF(Cotizador!E:E,Q897,Cotizador!G:G)&gt;0,SUMIFS(Compat_Vetado!D:D,Compat_Vetado!B:B,SUM(G:G),Compat_Vetado!C:C,Q897)=-1),"NO","")))</f>
        <v/>
      </c>
      <c r="T897" s="4" t="str">
        <f t="shared" si="6"/>
        <v/>
      </c>
      <c r="U897" s="4" t="str">
        <f>IFERROR(__xludf.DUMMYFUNCTION("IF(P897="""","""",IFERROR(INDEX(filter(Productos!E:E,Productos!F:F=L897,Productos!H:H=N897),P897),IF(M897=SUM(D:D),""Finalizar"",""-"")))"),"")</f>
        <v/>
      </c>
      <c r="V897" s="4" t="str">
        <f>IFERROR(__xludf.DUMMYFUNCTION("IF(OR($U897="""",COUNTIF($I:$I,IFERROR(unique(filter(Prod_Prop!$H:$H,Prod_Prop!$G:$G=$U897,Prod_Prop!$E:$E=V$1)),""Check""))=0),"""",IFERROR(unique(filter(Prod_Prop!$H:$H,Prod_Prop!$G:$G=$U897,Prod_Prop!$E:$E=V$1)),""""))"),"")</f>
        <v/>
      </c>
      <c r="W897" s="4" t="str">
        <f>IF(V897="","",SUMIFS(Prod_Prop!$J:$J,Prod_Prop!$B:$B,$Q897,Prod_Prop!$H:$H,V897,Prod_Prop!$I:$I,W$1)*IF(V897="Peso",$R897,1))</f>
        <v/>
      </c>
      <c r="X897" s="4" t="str">
        <f>IF(V897="","",SUMIFS(Prod_Prop!$J:$J,Prod_Prop!$B:$B,$Q897,Prod_Prop!$H:$H,V897,Prod_Prop!$I:$I,X$1)*IF(V897="Peso",$R897,1))</f>
        <v/>
      </c>
      <c r="Y897" s="4" t="str">
        <f>IFERROR(__xludf.DUMMYFUNCTION("IF(OR($U897="""",COUNTIF($I:$I,IFERROR(unique(filter(Prod_Prop!$H:$H,Prod_Prop!$G:$G=$U897,Prod_Prop!$E:$E=Y$1)),""Check""))=0),"""",IFERROR(unique(filter(Prod_Prop!$H:$H,Prod_Prop!$G:$G=$U897,Prod_Prop!$E:$E=Y$1)),""""))"),"")</f>
        <v/>
      </c>
      <c r="Z897" s="4" t="str">
        <f>IF(Y897="","",SUMIFS(Prod_Prop!$J:$J,Prod_Prop!$B:$B,$Q897,Prod_Prop!$H:$H,Y897,Prod_Prop!$I:$I,Z$1)*IF(Y897="Peso",$R897,1))</f>
        <v/>
      </c>
      <c r="AA897" s="4" t="str">
        <f>IF(Y897="","",SUMIFS(Prod_Prop!$J:$J,Prod_Prop!$B:$B,$Q897,Prod_Prop!$H:$H,Y897,Prod_Prop!$I:$I,AA$1)*IF(Y897="Peso",$R897,1))</f>
        <v/>
      </c>
      <c r="AB897" s="4" t="str">
        <f>IFERROR(__xludf.DUMMYFUNCTION("IF(OR($U897="""",COUNTIF($I:$I,IFERROR(unique(filter(Prod_Prop!$H:$H,Prod_Prop!$G:$G=$U897,Prod_Prop!$E:$E=AB$1)),""Check""))=0),"""",IFERROR(unique(filter(Prod_Prop!$H:$H,Prod_Prop!$G:$G=$U897,Prod_Prop!$E:$E=AB$1)),""""))"),"")</f>
        <v/>
      </c>
      <c r="AC897" s="4" t="str">
        <f>IF(AB897="","",SUMIFS(Prod_Prop!$J:$J,Prod_Prop!$B:$B,$Q897,Prod_Prop!$H:$H,AB897,Prod_Prop!$I:$I,AC$1)*IF(AB897="Peso",$R897,1))</f>
        <v/>
      </c>
      <c r="AD897" s="4" t="str">
        <f>IF(AB897="","",SUMIFS(Prod_Prop!$J:$J,Prod_Prop!$B:$B,$Q897,Prod_Prop!$H:$H,AB897,Prod_Prop!$I:$I,AD$1)*IF(AB897="Peso",$R897,1))</f>
        <v/>
      </c>
    </row>
    <row r="898">
      <c r="A898" s="4" t="str">
        <f t="array" ref="A898">IF(COUNTIF(A$1:A897,Cotizador!F$2)=maxifs(Familias!E:E,Familias!D:D,Cotizador!F$2),IF(COUNTIF(A$1:A897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8" s="4" t="str">
        <f t="shared" si="1"/>
        <v/>
      </c>
      <c r="C898" s="4" t="str">
        <f t="array" ref="C898">IF(B898="","",IF(A898=XLOOKUP(A$2,Implementos!B:B,Implementos!C:C,"",0,1),B898+maxifs(B$1:B897,A$1:A897,A$2),B898))</f>
        <v/>
      </c>
      <c r="D898" s="4" t="str">
        <f>IF(B898="","", COUNTIFS(Productos!F:F,A898,Productos!H:H,B898)+IF(F898="SI",0,1))</f>
        <v/>
      </c>
      <c r="E898" s="4" t="str">
        <f>IFERROR(__xludf.DUMMYFUNCTION("IF($B898="""","""",INDEX(filter(Familias!F:F,Familias!$D:$D=$A898,Familias!$E:$E=$B898),1))"),"")</f>
        <v/>
      </c>
      <c r="F898" s="4" t="str">
        <f>IFERROR(__xludf.DUMMYFUNCTION("IF($B898="""","""",INDEX(filter(Familias!G:G,Familias!$D:$D=$A898,Familias!$E:$E=$B898),1))"),"")</f>
        <v/>
      </c>
      <c r="G898" s="4" t="str">
        <f t="array" ref="G898">IF(C898=1,XLOOKUP(C898,Cotizador!D:D,Cotizador!E:E,"",0,1),"")</f>
        <v/>
      </c>
      <c r="I898" s="4"/>
      <c r="J898" s="8" t="str">
        <f>IF(I898="","",SUMIF(Cotizador!I$1:V$1,I898,Cotizador!I$2:V$2))</f>
        <v/>
      </c>
      <c r="L898" s="4" t="str">
        <f t="array" ref="L898">IF(COUNTIF(L$1:L897,A$2)=SUMIF(A:A,A$2,D:D),IF(COUNTIF(L$1:L897,XLOOKUP(A$2,Implementos!B:B,Implementos!C:C,"",0,1))=SUMIF(A:A,XLOOKUP(A$2,Implementos!B:B,Implementos!C:C,"",0,1),D:D),"",XLOOKUP(A$2,Implementos!B:B,Implementos!C:C,"",0,1)),A$2)</f>
        <v/>
      </c>
      <c r="M898" s="4" t="str">
        <f t="shared" si="2"/>
        <v/>
      </c>
      <c r="N898" s="4" t="str">
        <f t="shared" si="3"/>
        <v/>
      </c>
      <c r="O898" s="4" t="str">
        <f t="shared" si="4"/>
        <v/>
      </c>
      <c r="P898" s="4" t="str">
        <f t="shared" si="5"/>
        <v/>
      </c>
      <c r="Q898" s="4" t="str">
        <f>IF(U898="","",SUMIF(Productos!E:E,U898,Productos!A:A))</f>
        <v/>
      </c>
      <c r="R898" s="4" t="str">
        <f t="array" ref="R898">IF(L898="","", max(1,SUMIF(I:I,XLOOKUP(U898,Productos!E:E,Productos!G:G,"",0,1),J:J)))</f>
        <v/>
      </c>
      <c r="S898" s="4" t="str">
        <f>IF(Q898="","",IF(SUMIFS(Compat_Vetado!D:D,Compat_Vetado!B:B,SUM(G:G),Compat_Vetado!C:C,Q898)=1,"SI",IF(OR(SUMIF(Cotizador!E:E,Q898,Cotizador!G:G)&gt;0,SUMIFS(Compat_Vetado!D:D,Compat_Vetado!B:B,SUM(G:G),Compat_Vetado!C:C,Q898)=-1),"NO","")))</f>
        <v/>
      </c>
      <c r="T898" s="4" t="str">
        <f t="shared" si="6"/>
        <v/>
      </c>
      <c r="U898" s="4" t="str">
        <f>IFERROR(__xludf.DUMMYFUNCTION("IF(P898="""","""",IFERROR(INDEX(filter(Productos!E:E,Productos!F:F=L898,Productos!H:H=N898),P898),IF(M898=SUM(D:D),""Finalizar"",""-"")))"),"")</f>
        <v/>
      </c>
      <c r="V898" s="4" t="str">
        <f>IFERROR(__xludf.DUMMYFUNCTION("IF(OR($U898="""",COUNTIF($I:$I,IFERROR(unique(filter(Prod_Prop!$H:$H,Prod_Prop!$G:$G=$U898,Prod_Prop!$E:$E=V$1)),""Check""))=0),"""",IFERROR(unique(filter(Prod_Prop!$H:$H,Prod_Prop!$G:$G=$U898,Prod_Prop!$E:$E=V$1)),""""))"),"")</f>
        <v/>
      </c>
      <c r="W898" s="4" t="str">
        <f>IF(V898="","",SUMIFS(Prod_Prop!$J:$J,Prod_Prop!$B:$B,$Q898,Prod_Prop!$H:$H,V898,Prod_Prop!$I:$I,W$1)*IF(V898="Peso",$R898,1))</f>
        <v/>
      </c>
      <c r="X898" s="4" t="str">
        <f>IF(V898="","",SUMIFS(Prod_Prop!$J:$J,Prod_Prop!$B:$B,$Q898,Prod_Prop!$H:$H,V898,Prod_Prop!$I:$I,X$1)*IF(V898="Peso",$R898,1))</f>
        <v/>
      </c>
      <c r="Y898" s="4" t="str">
        <f>IFERROR(__xludf.DUMMYFUNCTION("IF(OR($U898="""",COUNTIF($I:$I,IFERROR(unique(filter(Prod_Prop!$H:$H,Prod_Prop!$G:$G=$U898,Prod_Prop!$E:$E=Y$1)),""Check""))=0),"""",IFERROR(unique(filter(Prod_Prop!$H:$H,Prod_Prop!$G:$G=$U898,Prod_Prop!$E:$E=Y$1)),""""))"),"")</f>
        <v/>
      </c>
      <c r="Z898" s="4" t="str">
        <f>IF(Y898="","",SUMIFS(Prod_Prop!$J:$J,Prod_Prop!$B:$B,$Q898,Prod_Prop!$H:$H,Y898,Prod_Prop!$I:$I,Z$1)*IF(Y898="Peso",$R898,1))</f>
        <v/>
      </c>
      <c r="AA898" s="4" t="str">
        <f>IF(Y898="","",SUMIFS(Prod_Prop!$J:$J,Prod_Prop!$B:$B,$Q898,Prod_Prop!$H:$H,Y898,Prod_Prop!$I:$I,AA$1)*IF(Y898="Peso",$R898,1))</f>
        <v/>
      </c>
      <c r="AB898" s="4" t="str">
        <f>IFERROR(__xludf.DUMMYFUNCTION("IF(OR($U898="""",COUNTIF($I:$I,IFERROR(unique(filter(Prod_Prop!$H:$H,Prod_Prop!$G:$G=$U898,Prod_Prop!$E:$E=AB$1)),""Check""))=0),"""",IFERROR(unique(filter(Prod_Prop!$H:$H,Prod_Prop!$G:$G=$U898,Prod_Prop!$E:$E=AB$1)),""""))"),"")</f>
        <v/>
      </c>
      <c r="AC898" s="4" t="str">
        <f>IF(AB898="","",SUMIFS(Prod_Prop!$J:$J,Prod_Prop!$B:$B,$Q898,Prod_Prop!$H:$H,AB898,Prod_Prop!$I:$I,AC$1)*IF(AB898="Peso",$R898,1))</f>
        <v/>
      </c>
      <c r="AD898" s="4" t="str">
        <f>IF(AB898="","",SUMIFS(Prod_Prop!$J:$J,Prod_Prop!$B:$B,$Q898,Prod_Prop!$H:$H,AB898,Prod_Prop!$I:$I,AD$1)*IF(AB898="Peso",$R898,1))</f>
        <v/>
      </c>
    </row>
    <row r="899">
      <c r="A899" s="4" t="str">
        <f t="array" ref="A899">IF(COUNTIF(A$1:A898,Cotizador!F$2)=maxifs(Familias!E:E,Familias!D:D,Cotizador!F$2),IF(COUNTIF(A$1:A898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899" s="4" t="str">
        <f t="shared" si="1"/>
        <v/>
      </c>
      <c r="C899" s="4" t="str">
        <f t="array" ref="C899">IF(B899="","",IF(A899=XLOOKUP(A$2,Implementos!B:B,Implementos!C:C,"",0,1),B899+maxifs(B$1:B898,A$1:A898,A$2),B899))</f>
        <v/>
      </c>
      <c r="D899" s="4" t="str">
        <f>IF(B899="","", COUNTIFS(Productos!F:F,A899,Productos!H:H,B899)+IF(F899="SI",0,1))</f>
        <v/>
      </c>
      <c r="E899" s="4" t="str">
        <f>IFERROR(__xludf.DUMMYFUNCTION("IF($B899="""","""",INDEX(filter(Familias!F:F,Familias!$D:$D=$A899,Familias!$E:$E=$B899),1))"),"")</f>
        <v/>
      </c>
      <c r="F899" s="4" t="str">
        <f>IFERROR(__xludf.DUMMYFUNCTION("IF($B899="""","""",INDEX(filter(Familias!G:G,Familias!$D:$D=$A899,Familias!$E:$E=$B899),1))"),"")</f>
        <v/>
      </c>
      <c r="G899" s="4" t="str">
        <f t="array" ref="G899">IF(C899=1,XLOOKUP(C899,Cotizador!D:D,Cotizador!E:E,"",0,1),"")</f>
        <v/>
      </c>
      <c r="I899" s="4"/>
      <c r="J899" s="8" t="str">
        <f>IF(I899="","",SUMIF(Cotizador!I$1:V$1,I899,Cotizador!I$2:V$2))</f>
        <v/>
      </c>
      <c r="L899" s="4" t="str">
        <f t="array" ref="L899">IF(COUNTIF(L$1:L898,A$2)=SUMIF(A:A,A$2,D:D),IF(COUNTIF(L$1:L898,XLOOKUP(A$2,Implementos!B:B,Implementos!C:C,"",0,1))=SUMIF(A:A,XLOOKUP(A$2,Implementos!B:B,Implementos!C:C,"",0,1),D:D),"",XLOOKUP(A$2,Implementos!B:B,Implementos!C:C,"",0,1)),A$2)</f>
        <v/>
      </c>
      <c r="M899" s="4" t="str">
        <f t="shared" si="2"/>
        <v/>
      </c>
      <c r="N899" s="4" t="str">
        <f t="shared" si="3"/>
        <v/>
      </c>
      <c r="O899" s="4" t="str">
        <f t="shared" si="4"/>
        <v/>
      </c>
      <c r="P899" s="4" t="str">
        <f t="shared" si="5"/>
        <v/>
      </c>
      <c r="Q899" s="4" t="str">
        <f>IF(U899="","",SUMIF(Productos!E:E,U899,Productos!A:A))</f>
        <v/>
      </c>
      <c r="R899" s="4" t="str">
        <f t="array" ref="R899">IF(L899="","", max(1,SUMIF(I:I,XLOOKUP(U899,Productos!E:E,Productos!G:G,"",0,1),J:J)))</f>
        <v/>
      </c>
      <c r="S899" s="4" t="str">
        <f>IF(Q899="","",IF(SUMIFS(Compat_Vetado!D:D,Compat_Vetado!B:B,SUM(G:G),Compat_Vetado!C:C,Q899)=1,"SI",IF(OR(SUMIF(Cotizador!E:E,Q899,Cotizador!G:G)&gt;0,SUMIFS(Compat_Vetado!D:D,Compat_Vetado!B:B,SUM(G:G),Compat_Vetado!C:C,Q899)=-1),"NO","")))</f>
        <v/>
      </c>
      <c r="T899" s="4" t="str">
        <f t="shared" si="6"/>
        <v/>
      </c>
      <c r="U899" s="4" t="str">
        <f>IFERROR(__xludf.DUMMYFUNCTION("IF(P899="""","""",IFERROR(INDEX(filter(Productos!E:E,Productos!F:F=L899,Productos!H:H=N899),P899),IF(M899=SUM(D:D),""Finalizar"",""-"")))"),"")</f>
        <v/>
      </c>
      <c r="V899" s="4" t="str">
        <f>IFERROR(__xludf.DUMMYFUNCTION("IF(OR($U899="""",COUNTIF($I:$I,IFERROR(unique(filter(Prod_Prop!$H:$H,Prod_Prop!$G:$G=$U899,Prod_Prop!$E:$E=V$1)),""Check""))=0),"""",IFERROR(unique(filter(Prod_Prop!$H:$H,Prod_Prop!$G:$G=$U899,Prod_Prop!$E:$E=V$1)),""""))"),"")</f>
        <v/>
      </c>
      <c r="W899" s="4" t="str">
        <f>IF(V899="","",SUMIFS(Prod_Prop!$J:$J,Prod_Prop!$B:$B,$Q899,Prod_Prop!$H:$H,V899,Prod_Prop!$I:$I,W$1)*IF(V899="Peso",$R899,1))</f>
        <v/>
      </c>
      <c r="X899" s="4" t="str">
        <f>IF(V899="","",SUMIFS(Prod_Prop!$J:$J,Prod_Prop!$B:$B,$Q899,Prod_Prop!$H:$H,V899,Prod_Prop!$I:$I,X$1)*IF(V899="Peso",$R899,1))</f>
        <v/>
      </c>
      <c r="Y899" s="4" t="str">
        <f>IFERROR(__xludf.DUMMYFUNCTION("IF(OR($U899="""",COUNTIF($I:$I,IFERROR(unique(filter(Prod_Prop!$H:$H,Prod_Prop!$G:$G=$U899,Prod_Prop!$E:$E=Y$1)),""Check""))=0),"""",IFERROR(unique(filter(Prod_Prop!$H:$H,Prod_Prop!$G:$G=$U899,Prod_Prop!$E:$E=Y$1)),""""))"),"")</f>
        <v/>
      </c>
      <c r="Z899" s="4" t="str">
        <f>IF(Y899="","",SUMIFS(Prod_Prop!$J:$J,Prod_Prop!$B:$B,$Q899,Prod_Prop!$H:$H,Y899,Prod_Prop!$I:$I,Z$1)*IF(Y899="Peso",$R899,1))</f>
        <v/>
      </c>
      <c r="AA899" s="4" t="str">
        <f>IF(Y899="","",SUMIFS(Prod_Prop!$J:$J,Prod_Prop!$B:$B,$Q899,Prod_Prop!$H:$H,Y899,Prod_Prop!$I:$I,AA$1)*IF(Y899="Peso",$R899,1))</f>
        <v/>
      </c>
      <c r="AB899" s="4" t="str">
        <f>IFERROR(__xludf.DUMMYFUNCTION("IF(OR($U899="""",COUNTIF($I:$I,IFERROR(unique(filter(Prod_Prop!$H:$H,Prod_Prop!$G:$G=$U899,Prod_Prop!$E:$E=AB$1)),""Check""))=0),"""",IFERROR(unique(filter(Prod_Prop!$H:$H,Prod_Prop!$G:$G=$U899,Prod_Prop!$E:$E=AB$1)),""""))"),"")</f>
        <v/>
      </c>
      <c r="AC899" s="4" t="str">
        <f>IF(AB899="","",SUMIFS(Prod_Prop!$J:$J,Prod_Prop!$B:$B,$Q899,Prod_Prop!$H:$H,AB899,Prod_Prop!$I:$I,AC$1)*IF(AB899="Peso",$R899,1))</f>
        <v/>
      </c>
      <c r="AD899" s="4" t="str">
        <f>IF(AB899="","",SUMIFS(Prod_Prop!$J:$J,Prod_Prop!$B:$B,$Q899,Prod_Prop!$H:$H,AB899,Prod_Prop!$I:$I,AD$1)*IF(AB899="Peso",$R899,1))</f>
        <v/>
      </c>
    </row>
    <row r="900">
      <c r="A900" s="4" t="str">
        <f t="array" ref="A900">IF(COUNTIF(A$1:A899,Cotizador!F$2)=maxifs(Familias!E:E,Familias!D:D,Cotizador!F$2),IF(COUNTIF(A$1:A899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0" s="4" t="str">
        <f t="shared" si="1"/>
        <v/>
      </c>
      <c r="C900" s="4" t="str">
        <f t="array" ref="C900">IF(B900="","",IF(A900=XLOOKUP(A$2,Implementos!B:B,Implementos!C:C,"",0,1),B900+maxifs(B$1:B899,A$1:A899,A$2),B900))</f>
        <v/>
      </c>
      <c r="D900" s="4" t="str">
        <f>IF(B900="","", COUNTIFS(Productos!F:F,A900,Productos!H:H,B900)+IF(F900="SI",0,1))</f>
        <v/>
      </c>
      <c r="E900" s="4" t="str">
        <f>IFERROR(__xludf.DUMMYFUNCTION("IF($B900="""","""",INDEX(filter(Familias!F:F,Familias!$D:$D=$A900,Familias!$E:$E=$B900),1))"),"")</f>
        <v/>
      </c>
      <c r="F900" s="4" t="str">
        <f>IFERROR(__xludf.DUMMYFUNCTION("IF($B900="""","""",INDEX(filter(Familias!G:G,Familias!$D:$D=$A900,Familias!$E:$E=$B900),1))"),"")</f>
        <v/>
      </c>
      <c r="G900" s="4" t="str">
        <f t="array" ref="G900">IF(C900=1,XLOOKUP(C900,Cotizador!D:D,Cotizador!E:E,"",0,1),"")</f>
        <v/>
      </c>
      <c r="I900" s="4"/>
      <c r="J900" s="8" t="str">
        <f>IF(I900="","",SUMIF(Cotizador!I$1:V$1,I900,Cotizador!I$2:V$2))</f>
        <v/>
      </c>
      <c r="L900" s="4" t="str">
        <f t="array" ref="L900">IF(COUNTIF(L$1:L899,A$2)=SUMIF(A:A,A$2,D:D),IF(COUNTIF(L$1:L899,XLOOKUP(A$2,Implementos!B:B,Implementos!C:C,"",0,1))=SUMIF(A:A,XLOOKUP(A$2,Implementos!B:B,Implementos!C:C,"",0,1),D:D),"",XLOOKUP(A$2,Implementos!B:B,Implementos!C:C,"",0,1)),A$2)</f>
        <v/>
      </c>
      <c r="M900" s="4" t="str">
        <f t="shared" si="2"/>
        <v/>
      </c>
      <c r="N900" s="4" t="str">
        <f t="shared" si="3"/>
        <v/>
      </c>
      <c r="O900" s="4" t="str">
        <f t="shared" si="4"/>
        <v/>
      </c>
      <c r="P900" s="4" t="str">
        <f t="shared" si="5"/>
        <v/>
      </c>
      <c r="Q900" s="4" t="str">
        <f>IF(U900="","",SUMIF(Productos!E:E,U900,Productos!A:A))</f>
        <v/>
      </c>
      <c r="R900" s="4" t="str">
        <f t="array" ref="R900">IF(L900="","", max(1,SUMIF(I:I,XLOOKUP(U900,Productos!E:E,Productos!G:G,"",0,1),J:J)))</f>
        <v/>
      </c>
      <c r="S900" s="4" t="str">
        <f>IF(Q900="","",IF(SUMIFS(Compat_Vetado!D:D,Compat_Vetado!B:B,SUM(G:G),Compat_Vetado!C:C,Q900)=1,"SI",IF(OR(SUMIF(Cotizador!E:E,Q900,Cotizador!G:G)&gt;0,SUMIFS(Compat_Vetado!D:D,Compat_Vetado!B:B,SUM(G:G),Compat_Vetado!C:C,Q900)=-1),"NO","")))</f>
        <v/>
      </c>
      <c r="T900" s="4" t="str">
        <f t="shared" si="6"/>
        <v/>
      </c>
      <c r="U900" s="4" t="str">
        <f>IFERROR(__xludf.DUMMYFUNCTION("IF(P900="""","""",IFERROR(INDEX(filter(Productos!E:E,Productos!F:F=L900,Productos!H:H=N900),P900),IF(M900=SUM(D:D),""Finalizar"",""-"")))"),"")</f>
        <v/>
      </c>
      <c r="V900" s="4" t="str">
        <f>IFERROR(__xludf.DUMMYFUNCTION("IF(OR($U900="""",COUNTIF($I:$I,IFERROR(unique(filter(Prod_Prop!$H:$H,Prod_Prop!$G:$G=$U900,Prod_Prop!$E:$E=V$1)),""Check""))=0),"""",IFERROR(unique(filter(Prod_Prop!$H:$H,Prod_Prop!$G:$G=$U900,Prod_Prop!$E:$E=V$1)),""""))"),"")</f>
        <v/>
      </c>
      <c r="W900" s="4" t="str">
        <f>IF(V900="","",SUMIFS(Prod_Prop!$J:$J,Prod_Prop!$B:$B,$Q900,Prod_Prop!$H:$H,V900,Prod_Prop!$I:$I,W$1)*IF(V900="Peso",$R900,1))</f>
        <v/>
      </c>
      <c r="X900" s="4" t="str">
        <f>IF(V900="","",SUMIFS(Prod_Prop!$J:$J,Prod_Prop!$B:$B,$Q900,Prod_Prop!$H:$H,V900,Prod_Prop!$I:$I,X$1)*IF(V900="Peso",$R900,1))</f>
        <v/>
      </c>
      <c r="Y900" s="4" t="str">
        <f>IFERROR(__xludf.DUMMYFUNCTION("IF(OR($U900="""",COUNTIF($I:$I,IFERROR(unique(filter(Prod_Prop!$H:$H,Prod_Prop!$G:$G=$U900,Prod_Prop!$E:$E=Y$1)),""Check""))=0),"""",IFERROR(unique(filter(Prod_Prop!$H:$H,Prod_Prop!$G:$G=$U900,Prod_Prop!$E:$E=Y$1)),""""))"),"")</f>
        <v/>
      </c>
      <c r="Z900" s="4" t="str">
        <f>IF(Y900="","",SUMIFS(Prod_Prop!$J:$J,Prod_Prop!$B:$B,$Q900,Prod_Prop!$H:$H,Y900,Prod_Prop!$I:$I,Z$1)*IF(Y900="Peso",$R900,1))</f>
        <v/>
      </c>
      <c r="AA900" s="4" t="str">
        <f>IF(Y900="","",SUMIFS(Prod_Prop!$J:$J,Prod_Prop!$B:$B,$Q900,Prod_Prop!$H:$H,Y900,Prod_Prop!$I:$I,AA$1)*IF(Y900="Peso",$R900,1))</f>
        <v/>
      </c>
      <c r="AB900" s="4" t="str">
        <f>IFERROR(__xludf.DUMMYFUNCTION("IF(OR($U900="""",COUNTIF($I:$I,IFERROR(unique(filter(Prod_Prop!$H:$H,Prod_Prop!$G:$G=$U900,Prod_Prop!$E:$E=AB$1)),""Check""))=0),"""",IFERROR(unique(filter(Prod_Prop!$H:$H,Prod_Prop!$G:$G=$U900,Prod_Prop!$E:$E=AB$1)),""""))"),"")</f>
        <v/>
      </c>
      <c r="AC900" s="4" t="str">
        <f>IF(AB900="","",SUMIFS(Prod_Prop!$J:$J,Prod_Prop!$B:$B,$Q900,Prod_Prop!$H:$H,AB900,Prod_Prop!$I:$I,AC$1)*IF(AB900="Peso",$R900,1))</f>
        <v/>
      </c>
      <c r="AD900" s="4" t="str">
        <f>IF(AB900="","",SUMIFS(Prod_Prop!$J:$J,Prod_Prop!$B:$B,$Q900,Prod_Prop!$H:$H,AB900,Prod_Prop!$I:$I,AD$1)*IF(AB900="Peso",$R900,1))</f>
        <v/>
      </c>
    </row>
    <row r="901">
      <c r="A901" s="4" t="str">
        <f t="array" ref="A901">IF(COUNTIF(A$1:A900,Cotizador!F$2)=maxifs(Familias!E:E,Familias!D:D,Cotizador!F$2),IF(COUNTIF(A$1:A900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1" s="4" t="str">
        <f t="shared" si="1"/>
        <v/>
      </c>
      <c r="C901" s="4" t="str">
        <f t="array" ref="C901">IF(B901="","",IF(A901=XLOOKUP(A$2,Implementos!B:B,Implementos!C:C,"",0,1),B901+maxifs(B$1:B900,A$1:A900,A$2),B901))</f>
        <v/>
      </c>
      <c r="D901" s="4" t="str">
        <f>IF(B901="","", COUNTIFS(Productos!F:F,A901,Productos!H:H,B901)+IF(F901="SI",0,1))</f>
        <v/>
      </c>
      <c r="E901" s="4" t="str">
        <f>IFERROR(__xludf.DUMMYFUNCTION("IF($B901="""","""",INDEX(filter(Familias!F:F,Familias!$D:$D=$A901,Familias!$E:$E=$B901),1))"),"")</f>
        <v/>
      </c>
      <c r="F901" s="4" t="str">
        <f>IFERROR(__xludf.DUMMYFUNCTION("IF($B901="""","""",INDEX(filter(Familias!G:G,Familias!$D:$D=$A901,Familias!$E:$E=$B901),1))"),"")</f>
        <v/>
      </c>
      <c r="G901" s="4" t="str">
        <f t="array" ref="G901">IF(C901=1,XLOOKUP(C901,Cotizador!D:D,Cotizador!E:E,"",0,1),"")</f>
        <v/>
      </c>
      <c r="I901" s="4"/>
      <c r="J901" s="8" t="str">
        <f>IF(I901="","",SUMIF(Cotizador!I$1:V$1,I901,Cotizador!I$2:V$2))</f>
        <v/>
      </c>
      <c r="L901" s="4" t="str">
        <f t="array" ref="L901">IF(COUNTIF(L$1:L900,A$2)=SUMIF(A:A,A$2,D:D),IF(COUNTIF(L$1:L900,XLOOKUP(A$2,Implementos!B:B,Implementos!C:C,"",0,1))=SUMIF(A:A,XLOOKUP(A$2,Implementos!B:B,Implementos!C:C,"",0,1),D:D),"",XLOOKUP(A$2,Implementos!B:B,Implementos!C:C,"",0,1)),A$2)</f>
        <v/>
      </c>
      <c r="M901" s="4" t="str">
        <f t="shared" si="2"/>
        <v/>
      </c>
      <c r="N901" s="4" t="str">
        <f t="shared" si="3"/>
        <v/>
      </c>
      <c r="O901" s="4" t="str">
        <f t="shared" si="4"/>
        <v/>
      </c>
      <c r="P901" s="4" t="str">
        <f t="shared" si="5"/>
        <v/>
      </c>
      <c r="Q901" s="4" t="str">
        <f>IF(U901="","",SUMIF(Productos!E:E,U901,Productos!A:A))</f>
        <v/>
      </c>
      <c r="R901" s="4" t="str">
        <f t="array" ref="R901">IF(L901="","", max(1,SUMIF(I:I,XLOOKUP(U901,Productos!E:E,Productos!G:G,"",0,1),J:J)))</f>
        <v/>
      </c>
      <c r="S901" s="4" t="str">
        <f>IF(Q901="","",IF(SUMIFS(Compat_Vetado!D:D,Compat_Vetado!B:B,SUM(G:G),Compat_Vetado!C:C,Q901)=1,"SI",IF(OR(SUMIF(Cotizador!E:E,Q901,Cotizador!G:G)&gt;0,SUMIFS(Compat_Vetado!D:D,Compat_Vetado!B:B,SUM(G:G),Compat_Vetado!C:C,Q901)=-1),"NO","")))</f>
        <v/>
      </c>
      <c r="T901" s="4" t="str">
        <f t="shared" si="6"/>
        <v/>
      </c>
      <c r="U901" s="4" t="str">
        <f>IFERROR(__xludf.DUMMYFUNCTION("IF(P901="""","""",IFERROR(INDEX(filter(Productos!E:E,Productos!F:F=L901,Productos!H:H=N901),P901),IF(M901=SUM(D:D),""Finalizar"",""-"")))"),"")</f>
        <v/>
      </c>
      <c r="V901" s="4" t="str">
        <f>IFERROR(__xludf.DUMMYFUNCTION("IF(OR($U901="""",COUNTIF($I:$I,IFERROR(unique(filter(Prod_Prop!$H:$H,Prod_Prop!$G:$G=$U901,Prod_Prop!$E:$E=V$1)),""Check""))=0),"""",IFERROR(unique(filter(Prod_Prop!$H:$H,Prod_Prop!$G:$G=$U901,Prod_Prop!$E:$E=V$1)),""""))"),"")</f>
        <v/>
      </c>
      <c r="W901" s="4" t="str">
        <f>IF(V901="","",SUMIFS(Prod_Prop!$J:$J,Prod_Prop!$B:$B,$Q901,Prod_Prop!$H:$H,V901,Prod_Prop!$I:$I,W$1)*IF(V901="Peso",$R901,1))</f>
        <v/>
      </c>
      <c r="X901" s="4" t="str">
        <f>IF(V901="","",SUMIFS(Prod_Prop!$J:$J,Prod_Prop!$B:$B,$Q901,Prod_Prop!$H:$H,V901,Prod_Prop!$I:$I,X$1)*IF(V901="Peso",$R901,1))</f>
        <v/>
      </c>
      <c r="Y901" s="4" t="str">
        <f>IFERROR(__xludf.DUMMYFUNCTION("IF(OR($U901="""",COUNTIF($I:$I,IFERROR(unique(filter(Prod_Prop!$H:$H,Prod_Prop!$G:$G=$U901,Prod_Prop!$E:$E=Y$1)),""Check""))=0),"""",IFERROR(unique(filter(Prod_Prop!$H:$H,Prod_Prop!$G:$G=$U901,Prod_Prop!$E:$E=Y$1)),""""))"),"")</f>
        <v/>
      </c>
      <c r="Z901" s="4" t="str">
        <f>IF(Y901="","",SUMIFS(Prod_Prop!$J:$J,Prod_Prop!$B:$B,$Q901,Prod_Prop!$H:$H,Y901,Prod_Prop!$I:$I,Z$1)*IF(Y901="Peso",$R901,1))</f>
        <v/>
      </c>
      <c r="AA901" s="4" t="str">
        <f>IF(Y901="","",SUMIFS(Prod_Prop!$J:$J,Prod_Prop!$B:$B,$Q901,Prod_Prop!$H:$H,Y901,Prod_Prop!$I:$I,AA$1)*IF(Y901="Peso",$R901,1))</f>
        <v/>
      </c>
      <c r="AB901" s="4" t="str">
        <f>IFERROR(__xludf.DUMMYFUNCTION("IF(OR($U901="""",COUNTIF($I:$I,IFERROR(unique(filter(Prod_Prop!$H:$H,Prod_Prop!$G:$G=$U901,Prod_Prop!$E:$E=AB$1)),""Check""))=0),"""",IFERROR(unique(filter(Prod_Prop!$H:$H,Prod_Prop!$G:$G=$U901,Prod_Prop!$E:$E=AB$1)),""""))"),"")</f>
        <v/>
      </c>
      <c r="AC901" s="4" t="str">
        <f>IF(AB901="","",SUMIFS(Prod_Prop!$J:$J,Prod_Prop!$B:$B,$Q901,Prod_Prop!$H:$H,AB901,Prod_Prop!$I:$I,AC$1)*IF(AB901="Peso",$R901,1))</f>
        <v/>
      </c>
      <c r="AD901" s="4" t="str">
        <f>IF(AB901="","",SUMIFS(Prod_Prop!$J:$J,Prod_Prop!$B:$B,$Q901,Prod_Prop!$H:$H,AB901,Prod_Prop!$I:$I,AD$1)*IF(AB901="Peso",$R901,1))</f>
        <v/>
      </c>
    </row>
    <row r="902">
      <c r="A902" s="4" t="str">
        <f t="array" ref="A902">IF(COUNTIF(A$1:A901,Cotizador!F$2)=maxifs(Familias!E:E,Familias!D:D,Cotizador!F$2),IF(COUNTIF(A$1:A901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2" s="4" t="str">
        <f t="shared" si="1"/>
        <v/>
      </c>
      <c r="C902" s="4" t="str">
        <f t="array" ref="C902">IF(B902="","",IF(A902=XLOOKUP(A$2,Implementos!B:B,Implementos!C:C,"",0,1),B902+maxifs(B$1:B901,A$1:A901,A$2),B902))</f>
        <v/>
      </c>
      <c r="D902" s="4" t="str">
        <f>IF(B902="","", COUNTIFS(Productos!F:F,A902,Productos!H:H,B902)+IF(F902="SI",0,1))</f>
        <v/>
      </c>
      <c r="E902" s="4" t="str">
        <f>IFERROR(__xludf.DUMMYFUNCTION("IF($B902="""","""",INDEX(filter(Familias!F:F,Familias!$D:$D=$A902,Familias!$E:$E=$B902),1))"),"")</f>
        <v/>
      </c>
      <c r="F902" s="4" t="str">
        <f>IFERROR(__xludf.DUMMYFUNCTION("IF($B902="""","""",INDEX(filter(Familias!G:G,Familias!$D:$D=$A902,Familias!$E:$E=$B902),1))"),"")</f>
        <v/>
      </c>
      <c r="G902" s="4" t="str">
        <f t="array" ref="G902">IF(C902=1,XLOOKUP(C902,Cotizador!D:D,Cotizador!E:E,"",0,1),"")</f>
        <v/>
      </c>
      <c r="I902" s="4"/>
      <c r="J902" s="8" t="str">
        <f>IF(I902="","",SUMIF(Cotizador!I$1:V$1,I902,Cotizador!I$2:V$2))</f>
        <v/>
      </c>
      <c r="L902" s="4" t="str">
        <f t="array" ref="L902">IF(COUNTIF(L$1:L901,A$2)=SUMIF(A:A,A$2,D:D),IF(COUNTIF(L$1:L901,XLOOKUP(A$2,Implementos!B:B,Implementos!C:C,"",0,1))=SUMIF(A:A,XLOOKUP(A$2,Implementos!B:B,Implementos!C:C,"",0,1),D:D),"",XLOOKUP(A$2,Implementos!B:B,Implementos!C:C,"",0,1)),A$2)</f>
        <v/>
      </c>
      <c r="M902" s="4" t="str">
        <f t="shared" si="2"/>
        <v/>
      </c>
      <c r="N902" s="4" t="str">
        <f t="shared" si="3"/>
        <v/>
      </c>
      <c r="O902" s="4" t="str">
        <f t="shared" si="4"/>
        <v/>
      </c>
      <c r="P902" s="4" t="str">
        <f t="shared" si="5"/>
        <v/>
      </c>
      <c r="Q902" s="4" t="str">
        <f>IF(U902="","",SUMIF(Productos!E:E,U902,Productos!A:A))</f>
        <v/>
      </c>
      <c r="R902" s="4" t="str">
        <f t="array" ref="R902">IF(L902="","", max(1,SUMIF(I:I,XLOOKUP(U902,Productos!E:E,Productos!G:G,"",0,1),J:J)))</f>
        <v/>
      </c>
      <c r="S902" s="4" t="str">
        <f>IF(Q902="","",IF(SUMIFS(Compat_Vetado!D:D,Compat_Vetado!B:B,SUM(G:G),Compat_Vetado!C:C,Q902)=1,"SI",IF(OR(SUMIF(Cotizador!E:E,Q902,Cotizador!G:G)&gt;0,SUMIFS(Compat_Vetado!D:D,Compat_Vetado!B:B,SUM(G:G),Compat_Vetado!C:C,Q902)=-1),"NO","")))</f>
        <v/>
      </c>
      <c r="T902" s="4" t="str">
        <f t="shared" si="6"/>
        <v/>
      </c>
      <c r="U902" s="4" t="str">
        <f>IFERROR(__xludf.DUMMYFUNCTION("IF(P902="""","""",IFERROR(INDEX(filter(Productos!E:E,Productos!F:F=L902,Productos!H:H=N902),P902),IF(M902=SUM(D:D),""Finalizar"",""-"")))"),"")</f>
        <v/>
      </c>
      <c r="V902" s="4" t="str">
        <f>IFERROR(__xludf.DUMMYFUNCTION("IF(OR($U902="""",COUNTIF($I:$I,IFERROR(unique(filter(Prod_Prop!$H:$H,Prod_Prop!$G:$G=$U902,Prod_Prop!$E:$E=V$1)),""Check""))=0),"""",IFERROR(unique(filter(Prod_Prop!$H:$H,Prod_Prop!$G:$G=$U902,Prod_Prop!$E:$E=V$1)),""""))"),"")</f>
        <v/>
      </c>
      <c r="W902" s="4" t="str">
        <f>IF(V902="","",SUMIFS(Prod_Prop!$J:$J,Prod_Prop!$B:$B,$Q902,Prod_Prop!$H:$H,V902,Prod_Prop!$I:$I,W$1)*IF(V902="Peso",$R902,1))</f>
        <v/>
      </c>
      <c r="X902" s="4" t="str">
        <f>IF(V902="","",SUMIFS(Prod_Prop!$J:$J,Prod_Prop!$B:$B,$Q902,Prod_Prop!$H:$H,V902,Prod_Prop!$I:$I,X$1)*IF(V902="Peso",$R902,1))</f>
        <v/>
      </c>
      <c r="Y902" s="4" t="str">
        <f>IFERROR(__xludf.DUMMYFUNCTION("IF(OR($U902="""",COUNTIF($I:$I,IFERROR(unique(filter(Prod_Prop!$H:$H,Prod_Prop!$G:$G=$U902,Prod_Prop!$E:$E=Y$1)),""Check""))=0),"""",IFERROR(unique(filter(Prod_Prop!$H:$H,Prod_Prop!$G:$G=$U902,Prod_Prop!$E:$E=Y$1)),""""))"),"")</f>
        <v/>
      </c>
      <c r="Z902" s="4" t="str">
        <f>IF(Y902="","",SUMIFS(Prod_Prop!$J:$J,Prod_Prop!$B:$B,$Q902,Prod_Prop!$H:$H,Y902,Prod_Prop!$I:$I,Z$1)*IF(Y902="Peso",$R902,1))</f>
        <v/>
      </c>
      <c r="AA902" s="4" t="str">
        <f>IF(Y902="","",SUMIFS(Prod_Prop!$J:$J,Prod_Prop!$B:$B,$Q902,Prod_Prop!$H:$H,Y902,Prod_Prop!$I:$I,AA$1)*IF(Y902="Peso",$R902,1))</f>
        <v/>
      </c>
      <c r="AB902" s="4" t="str">
        <f>IFERROR(__xludf.DUMMYFUNCTION("IF(OR($U902="""",COUNTIF($I:$I,IFERROR(unique(filter(Prod_Prop!$H:$H,Prod_Prop!$G:$G=$U902,Prod_Prop!$E:$E=AB$1)),""Check""))=0),"""",IFERROR(unique(filter(Prod_Prop!$H:$H,Prod_Prop!$G:$G=$U902,Prod_Prop!$E:$E=AB$1)),""""))"),"")</f>
        <v/>
      </c>
      <c r="AC902" s="4" t="str">
        <f>IF(AB902="","",SUMIFS(Prod_Prop!$J:$J,Prod_Prop!$B:$B,$Q902,Prod_Prop!$H:$H,AB902,Prod_Prop!$I:$I,AC$1)*IF(AB902="Peso",$R902,1))</f>
        <v/>
      </c>
      <c r="AD902" s="4" t="str">
        <f>IF(AB902="","",SUMIFS(Prod_Prop!$J:$J,Prod_Prop!$B:$B,$Q902,Prod_Prop!$H:$H,AB902,Prod_Prop!$I:$I,AD$1)*IF(AB902="Peso",$R902,1))</f>
        <v/>
      </c>
    </row>
    <row r="903">
      <c r="A903" s="4" t="str">
        <f t="array" ref="A903">IF(COUNTIF(A$1:A902,Cotizador!F$2)=maxifs(Familias!E:E,Familias!D:D,Cotizador!F$2),IF(COUNTIF(A$1:A902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3" s="4" t="str">
        <f t="shared" si="1"/>
        <v/>
      </c>
      <c r="C903" s="4" t="str">
        <f t="array" ref="C903">IF(B903="","",IF(A903=XLOOKUP(A$2,Implementos!B:B,Implementos!C:C,"",0,1),B903+maxifs(B$1:B902,A$1:A902,A$2),B903))</f>
        <v/>
      </c>
      <c r="D903" s="4" t="str">
        <f>IF(B903="","", COUNTIFS(Productos!F:F,A903,Productos!H:H,B903)+IF(F903="SI",0,1))</f>
        <v/>
      </c>
      <c r="E903" s="4" t="str">
        <f>IFERROR(__xludf.DUMMYFUNCTION("IF($B903="""","""",INDEX(filter(Familias!F:F,Familias!$D:$D=$A903,Familias!$E:$E=$B903),1))"),"")</f>
        <v/>
      </c>
      <c r="F903" s="4" t="str">
        <f>IFERROR(__xludf.DUMMYFUNCTION("IF($B903="""","""",INDEX(filter(Familias!G:G,Familias!$D:$D=$A903,Familias!$E:$E=$B903),1))"),"")</f>
        <v/>
      </c>
      <c r="G903" s="4" t="str">
        <f t="array" ref="G903">IF(C903=1,XLOOKUP(C903,Cotizador!D:D,Cotizador!E:E,"",0,1),"")</f>
        <v/>
      </c>
      <c r="I903" s="4"/>
      <c r="J903" s="8" t="str">
        <f>IF(I903="","",SUMIF(Cotizador!I$1:V$1,I903,Cotizador!I$2:V$2))</f>
        <v/>
      </c>
      <c r="L903" s="4" t="str">
        <f t="array" ref="L903">IF(COUNTIF(L$1:L902,A$2)=SUMIF(A:A,A$2,D:D),IF(COUNTIF(L$1:L902,XLOOKUP(A$2,Implementos!B:B,Implementos!C:C,"",0,1))=SUMIF(A:A,XLOOKUP(A$2,Implementos!B:B,Implementos!C:C,"",0,1),D:D),"",XLOOKUP(A$2,Implementos!B:B,Implementos!C:C,"",0,1)),A$2)</f>
        <v/>
      </c>
      <c r="M903" s="4" t="str">
        <f t="shared" si="2"/>
        <v/>
      </c>
      <c r="N903" s="4" t="str">
        <f t="shared" si="3"/>
        <v/>
      </c>
      <c r="O903" s="4" t="str">
        <f t="shared" si="4"/>
        <v/>
      </c>
      <c r="P903" s="4" t="str">
        <f t="shared" si="5"/>
        <v/>
      </c>
      <c r="Q903" s="4" t="str">
        <f>IF(U903="","",SUMIF(Productos!E:E,U903,Productos!A:A))</f>
        <v/>
      </c>
      <c r="R903" s="4" t="str">
        <f t="array" ref="R903">IF(L903="","", max(1,SUMIF(I:I,XLOOKUP(U903,Productos!E:E,Productos!G:G,"",0,1),J:J)))</f>
        <v/>
      </c>
      <c r="S903" s="4" t="str">
        <f>IF(Q903="","",IF(SUMIFS(Compat_Vetado!D:D,Compat_Vetado!B:B,SUM(G:G),Compat_Vetado!C:C,Q903)=1,"SI",IF(OR(SUMIF(Cotizador!E:E,Q903,Cotizador!G:G)&gt;0,SUMIFS(Compat_Vetado!D:D,Compat_Vetado!B:B,SUM(G:G),Compat_Vetado!C:C,Q903)=-1),"NO","")))</f>
        <v/>
      </c>
      <c r="T903" s="4" t="str">
        <f t="shared" si="6"/>
        <v/>
      </c>
      <c r="U903" s="4" t="str">
        <f>IFERROR(__xludf.DUMMYFUNCTION("IF(P903="""","""",IFERROR(INDEX(filter(Productos!E:E,Productos!F:F=L903,Productos!H:H=N903),P903),IF(M903=SUM(D:D),""Finalizar"",""-"")))"),"")</f>
        <v/>
      </c>
      <c r="V903" s="4" t="str">
        <f>IFERROR(__xludf.DUMMYFUNCTION("IF(OR($U903="""",COUNTIF($I:$I,IFERROR(unique(filter(Prod_Prop!$H:$H,Prod_Prop!$G:$G=$U903,Prod_Prop!$E:$E=V$1)),""Check""))=0),"""",IFERROR(unique(filter(Prod_Prop!$H:$H,Prod_Prop!$G:$G=$U903,Prod_Prop!$E:$E=V$1)),""""))"),"")</f>
        <v/>
      </c>
      <c r="W903" s="4" t="str">
        <f>IF(V903="","",SUMIFS(Prod_Prop!$J:$J,Prod_Prop!$B:$B,$Q903,Prod_Prop!$H:$H,V903,Prod_Prop!$I:$I,W$1)*IF(V903="Peso",$R903,1))</f>
        <v/>
      </c>
      <c r="X903" s="4" t="str">
        <f>IF(V903="","",SUMIFS(Prod_Prop!$J:$J,Prod_Prop!$B:$B,$Q903,Prod_Prop!$H:$H,V903,Prod_Prop!$I:$I,X$1)*IF(V903="Peso",$R903,1))</f>
        <v/>
      </c>
      <c r="Y903" s="4" t="str">
        <f>IFERROR(__xludf.DUMMYFUNCTION("IF(OR($U903="""",COUNTIF($I:$I,IFERROR(unique(filter(Prod_Prop!$H:$H,Prod_Prop!$G:$G=$U903,Prod_Prop!$E:$E=Y$1)),""Check""))=0),"""",IFERROR(unique(filter(Prod_Prop!$H:$H,Prod_Prop!$G:$G=$U903,Prod_Prop!$E:$E=Y$1)),""""))"),"")</f>
        <v/>
      </c>
      <c r="Z903" s="4" t="str">
        <f>IF(Y903="","",SUMIFS(Prod_Prop!$J:$J,Prod_Prop!$B:$B,$Q903,Prod_Prop!$H:$H,Y903,Prod_Prop!$I:$I,Z$1)*IF(Y903="Peso",$R903,1))</f>
        <v/>
      </c>
      <c r="AA903" s="4" t="str">
        <f>IF(Y903="","",SUMIFS(Prod_Prop!$J:$J,Prod_Prop!$B:$B,$Q903,Prod_Prop!$H:$H,Y903,Prod_Prop!$I:$I,AA$1)*IF(Y903="Peso",$R903,1))</f>
        <v/>
      </c>
      <c r="AB903" s="4" t="str">
        <f>IFERROR(__xludf.DUMMYFUNCTION("IF(OR($U903="""",COUNTIF($I:$I,IFERROR(unique(filter(Prod_Prop!$H:$H,Prod_Prop!$G:$G=$U903,Prod_Prop!$E:$E=AB$1)),""Check""))=0),"""",IFERROR(unique(filter(Prod_Prop!$H:$H,Prod_Prop!$G:$G=$U903,Prod_Prop!$E:$E=AB$1)),""""))"),"")</f>
        <v/>
      </c>
      <c r="AC903" s="4" t="str">
        <f>IF(AB903="","",SUMIFS(Prod_Prop!$J:$J,Prod_Prop!$B:$B,$Q903,Prod_Prop!$H:$H,AB903,Prod_Prop!$I:$I,AC$1)*IF(AB903="Peso",$R903,1))</f>
        <v/>
      </c>
      <c r="AD903" s="4" t="str">
        <f>IF(AB903="","",SUMIFS(Prod_Prop!$J:$J,Prod_Prop!$B:$B,$Q903,Prod_Prop!$H:$H,AB903,Prod_Prop!$I:$I,AD$1)*IF(AB903="Peso",$R903,1))</f>
        <v/>
      </c>
    </row>
    <row r="904">
      <c r="A904" s="4" t="str">
        <f t="array" ref="A904">IF(COUNTIF(A$1:A903,Cotizador!F$2)=maxifs(Familias!E:E,Familias!D:D,Cotizador!F$2),IF(COUNTIF(A$1:A903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4" s="4" t="str">
        <f t="shared" si="1"/>
        <v/>
      </c>
      <c r="C904" s="4" t="str">
        <f t="array" ref="C904">IF(B904="","",IF(A904=XLOOKUP(A$2,Implementos!B:B,Implementos!C:C,"",0,1),B904+maxifs(B$1:B903,A$1:A903,A$2),B904))</f>
        <v/>
      </c>
      <c r="D904" s="4" t="str">
        <f>IF(B904="","", COUNTIFS(Productos!F:F,A904,Productos!H:H,B904)+IF(F904="SI",0,1))</f>
        <v/>
      </c>
      <c r="E904" s="4" t="str">
        <f>IFERROR(__xludf.DUMMYFUNCTION("IF($B904="""","""",INDEX(filter(Familias!F:F,Familias!$D:$D=$A904,Familias!$E:$E=$B904),1))"),"")</f>
        <v/>
      </c>
      <c r="F904" s="4" t="str">
        <f>IFERROR(__xludf.DUMMYFUNCTION("IF($B904="""","""",INDEX(filter(Familias!G:G,Familias!$D:$D=$A904,Familias!$E:$E=$B904),1))"),"")</f>
        <v/>
      </c>
      <c r="G904" s="4" t="str">
        <f t="array" ref="G904">IF(C904=1,XLOOKUP(C904,Cotizador!D:D,Cotizador!E:E,"",0,1),"")</f>
        <v/>
      </c>
      <c r="I904" s="4"/>
      <c r="J904" s="8" t="str">
        <f>IF(I904="","",SUMIF(Cotizador!I$1:V$1,I904,Cotizador!I$2:V$2))</f>
        <v/>
      </c>
      <c r="L904" s="4" t="str">
        <f t="array" ref="L904">IF(COUNTIF(L$1:L903,A$2)=SUMIF(A:A,A$2,D:D),IF(COUNTIF(L$1:L903,XLOOKUP(A$2,Implementos!B:B,Implementos!C:C,"",0,1))=SUMIF(A:A,XLOOKUP(A$2,Implementos!B:B,Implementos!C:C,"",0,1),D:D),"",XLOOKUP(A$2,Implementos!B:B,Implementos!C:C,"",0,1)),A$2)</f>
        <v/>
      </c>
      <c r="M904" s="4" t="str">
        <f t="shared" si="2"/>
        <v/>
      </c>
      <c r="N904" s="4" t="str">
        <f t="shared" si="3"/>
        <v/>
      </c>
      <c r="O904" s="4" t="str">
        <f t="shared" si="4"/>
        <v/>
      </c>
      <c r="P904" s="4" t="str">
        <f t="shared" si="5"/>
        <v/>
      </c>
      <c r="Q904" s="4" t="str">
        <f>IF(U904="","",SUMIF(Productos!E:E,U904,Productos!A:A))</f>
        <v/>
      </c>
      <c r="R904" s="4" t="str">
        <f t="array" ref="R904">IF(L904="","", max(1,SUMIF(I:I,XLOOKUP(U904,Productos!E:E,Productos!G:G,"",0,1),J:J)))</f>
        <v/>
      </c>
      <c r="S904" s="4" t="str">
        <f>IF(Q904="","",IF(SUMIFS(Compat_Vetado!D:D,Compat_Vetado!B:B,SUM(G:G),Compat_Vetado!C:C,Q904)=1,"SI",IF(OR(SUMIF(Cotizador!E:E,Q904,Cotizador!G:G)&gt;0,SUMIFS(Compat_Vetado!D:D,Compat_Vetado!B:B,SUM(G:G),Compat_Vetado!C:C,Q904)=-1),"NO","")))</f>
        <v/>
      </c>
      <c r="T904" s="4" t="str">
        <f t="shared" si="6"/>
        <v/>
      </c>
      <c r="U904" s="4" t="str">
        <f>IFERROR(__xludf.DUMMYFUNCTION("IF(P904="""","""",IFERROR(INDEX(filter(Productos!E:E,Productos!F:F=L904,Productos!H:H=N904),P904),IF(M904=SUM(D:D),""Finalizar"",""-"")))"),"")</f>
        <v/>
      </c>
      <c r="V904" s="4" t="str">
        <f>IFERROR(__xludf.DUMMYFUNCTION("IF(OR($U904="""",COUNTIF($I:$I,IFERROR(unique(filter(Prod_Prop!$H:$H,Prod_Prop!$G:$G=$U904,Prod_Prop!$E:$E=V$1)),""Check""))=0),"""",IFERROR(unique(filter(Prod_Prop!$H:$H,Prod_Prop!$G:$G=$U904,Prod_Prop!$E:$E=V$1)),""""))"),"")</f>
        <v/>
      </c>
      <c r="W904" s="4" t="str">
        <f>IF(V904="","",SUMIFS(Prod_Prop!$J:$J,Prod_Prop!$B:$B,$Q904,Prod_Prop!$H:$H,V904,Prod_Prop!$I:$I,W$1)*IF(V904="Peso",$R904,1))</f>
        <v/>
      </c>
      <c r="X904" s="4" t="str">
        <f>IF(V904="","",SUMIFS(Prod_Prop!$J:$J,Prod_Prop!$B:$B,$Q904,Prod_Prop!$H:$H,V904,Prod_Prop!$I:$I,X$1)*IF(V904="Peso",$R904,1))</f>
        <v/>
      </c>
      <c r="Y904" s="4" t="str">
        <f>IFERROR(__xludf.DUMMYFUNCTION("IF(OR($U904="""",COUNTIF($I:$I,IFERROR(unique(filter(Prod_Prop!$H:$H,Prod_Prop!$G:$G=$U904,Prod_Prop!$E:$E=Y$1)),""Check""))=0),"""",IFERROR(unique(filter(Prod_Prop!$H:$H,Prod_Prop!$G:$G=$U904,Prod_Prop!$E:$E=Y$1)),""""))"),"")</f>
        <v/>
      </c>
      <c r="Z904" s="4" t="str">
        <f>IF(Y904="","",SUMIFS(Prod_Prop!$J:$J,Prod_Prop!$B:$B,$Q904,Prod_Prop!$H:$H,Y904,Prod_Prop!$I:$I,Z$1)*IF(Y904="Peso",$R904,1))</f>
        <v/>
      </c>
      <c r="AA904" s="4" t="str">
        <f>IF(Y904="","",SUMIFS(Prod_Prop!$J:$J,Prod_Prop!$B:$B,$Q904,Prod_Prop!$H:$H,Y904,Prod_Prop!$I:$I,AA$1)*IF(Y904="Peso",$R904,1))</f>
        <v/>
      </c>
      <c r="AB904" s="4" t="str">
        <f>IFERROR(__xludf.DUMMYFUNCTION("IF(OR($U904="""",COUNTIF($I:$I,IFERROR(unique(filter(Prod_Prop!$H:$H,Prod_Prop!$G:$G=$U904,Prod_Prop!$E:$E=AB$1)),""Check""))=0),"""",IFERROR(unique(filter(Prod_Prop!$H:$H,Prod_Prop!$G:$G=$U904,Prod_Prop!$E:$E=AB$1)),""""))"),"")</f>
        <v/>
      </c>
      <c r="AC904" s="4" t="str">
        <f>IF(AB904="","",SUMIFS(Prod_Prop!$J:$J,Prod_Prop!$B:$B,$Q904,Prod_Prop!$H:$H,AB904,Prod_Prop!$I:$I,AC$1)*IF(AB904="Peso",$R904,1))</f>
        <v/>
      </c>
      <c r="AD904" s="4" t="str">
        <f>IF(AB904="","",SUMIFS(Prod_Prop!$J:$J,Prod_Prop!$B:$B,$Q904,Prod_Prop!$H:$H,AB904,Prod_Prop!$I:$I,AD$1)*IF(AB904="Peso",$R904,1))</f>
        <v/>
      </c>
    </row>
    <row r="905">
      <c r="A905" s="4" t="str">
        <f t="array" ref="A905">IF(COUNTIF(A$1:A904,Cotizador!F$2)=maxifs(Familias!E:E,Familias!D:D,Cotizador!F$2),IF(COUNTIF(A$1:A904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5" s="4" t="str">
        <f t="shared" si="1"/>
        <v/>
      </c>
      <c r="C905" s="4" t="str">
        <f t="array" ref="C905">IF(B905="","",IF(A905=XLOOKUP(A$2,Implementos!B:B,Implementos!C:C,"",0,1),B905+maxifs(B$1:B904,A$1:A904,A$2),B905))</f>
        <v/>
      </c>
      <c r="D905" s="4" t="str">
        <f>IF(B905="","", COUNTIFS(Productos!F:F,A905,Productos!H:H,B905)+IF(F905="SI",0,1))</f>
        <v/>
      </c>
      <c r="E905" s="4" t="str">
        <f>IFERROR(__xludf.DUMMYFUNCTION("IF($B905="""","""",INDEX(filter(Familias!F:F,Familias!$D:$D=$A905,Familias!$E:$E=$B905),1))"),"")</f>
        <v/>
      </c>
      <c r="F905" s="4" t="str">
        <f>IFERROR(__xludf.DUMMYFUNCTION("IF($B905="""","""",INDEX(filter(Familias!G:G,Familias!$D:$D=$A905,Familias!$E:$E=$B905),1))"),"")</f>
        <v/>
      </c>
      <c r="G905" s="4" t="str">
        <f t="array" ref="G905">IF(C905=1,XLOOKUP(C905,Cotizador!D:D,Cotizador!E:E,"",0,1),"")</f>
        <v/>
      </c>
      <c r="I905" s="4"/>
      <c r="J905" s="8" t="str">
        <f>IF(I905="","",SUMIF(Cotizador!I$1:V$1,I905,Cotizador!I$2:V$2))</f>
        <v/>
      </c>
      <c r="L905" s="4" t="str">
        <f t="array" ref="L905">IF(COUNTIF(L$1:L904,A$2)=SUMIF(A:A,A$2,D:D),IF(COUNTIF(L$1:L904,XLOOKUP(A$2,Implementos!B:B,Implementos!C:C,"",0,1))=SUMIF(A:A,XLOOKUP(A$2,Implementos!B:B,Implementos!C:C,"",0,1),D:D),"",XLOOKUP(A$2,Implementos!B:B,Implementos!C:C,"",0,1)),A$2)</f>
        <v/>
      </c>
      <c r="M905" s="4" t="str">
        <f t="shared" si="2"/>
        <v/>
      </c>
      <c r="N905" s="4" t="str">
        <f t="shared" si="3"/>
        <v/>
      </c>
      <c r="O905" s="4" t="str">
        <f t="shared" si="4"/>
        <v/>
      </c>
      <c r="P905" s="4" t="str">
        <f t="shared" si="5"/>
        <v/>
      </c>
      <c r="Q905" s="4" t="str">
        <f>IF(U905="","",SUMIF(Productos!E:E,U905,Productos!A:A))</f>
        <v/>
      </c>
      <c r="R905" s="4" t="str">
        <f t="array" ref="R905">IF(L905="","", max(1,SUMIF(I:I,XLOOKUP(U905,Productos!E:E,Productos!G:G,"",0,1),J:J)))</f>
        <v/>
      </c>
      <c r="S905" s="4" t="str">
        <f>IF(Q905="","",IF(SUMIFS(Compat_Vetado!D:D,Compat_Vetado!B:B,SUM(G:G),Compat_Vetado!C:C,Q905)=1,"SI",IF(OR(SUMIF(Cotizador!E:E,Q905,Cotizador!G:G)&gt;0,SUMIFS(Compat_Vetado!D:D,Compat_Vetado!B:B,SUM(G:G),Compat_Vetado!C:C,Q905)=-1),"NO","")))</f>
        <v/>
      </c>
      <c r="T905" s="4" t="str">
        <f t="shared" si="6"/>
        <v/>
      </c>
      <c r="U905" s="4" t="str">
        <f>IFERROR(__xludf.DUMMYFUNCTION("IF(P905="""","""",IFERROR(INDEX(filter(Productos!E:E,Productos!F:F=L905,Productos!H:H=N905),P905),IF(M905=SUM(D:D),""Finalizar"",""-"")))"),"")</f>
        <v/>
      </c>
      <c r="V905" s="4" t="str">
        <f>IFERROR(__xludf.DUMMYFUNCTION("IF(OR($U905="""",COUNTIF($I:$I,IFERROR(unique(filter(Prod_Prop!$H:$H,Prod_Prop!$G:$G=$U905,Prod_Prop!$E:$E=V$1)),""Check""))=0),"""",IFERROR(unique(filter(Prod_Prop!$H:$H,Prod_Prop!$G:$G=$U905,Prod_Prop!$E:$E=V$1)),""""))"),"")</f>
        <v/>
      </c>
      <c r="W905" s="4" t="str">
        <f>IF(V905="","",SUMIFS(Prod_Prop!$J:$J,Prod_Prop!$B:$B,$Q905,Prod_Prop!$H:$H,V905,Prod_Prop!$I:$I,W$1)*IF(V905="Peso",$R905,1))</f>
        <v/>
      </c>
      <c r="X905" s="4" t="str">
        <f>IF(V905="","",SUMIFS(Prod_Prop!$J:$J,Prod_Prop!$B:$B,$Q905,Prod_Prop!$H:$H,V905,Prod_Prop!$I:$I,X$1)*IF(V905="Peso",$R905,1))</f>
        <v/>
      </c>
      <c r="Y905" s="4" t="str">
        <f>IFERROR(__xludf.DUMMYFUNCTION("IF(OR($U905="""",COUNTIF($I:$I,IFERROR(unique(filter(Prod_Prop!$H:$H,Prod_Prop!$G:$G=$U905,Prod_Prop!$E:$E=Y$1)),""Check""))=0),"""",IFERROR(unique(filter(Prod_Prop!$H:$H,Prod_Prop!$G:$G=$U905,Prod_Prop!$E:$E=Y$1)),""""))"),"")</f>
        <v/>
      </c>
      <c r="Z905" s="4" t="str">
        <f>IF(Y905="","",SUMIFS(Prod_Prop!$J:$J,Prod_Prop!$B:$B,$Q905,Prod_Prop!$H:$H,Y905,Prod_Prop!$I:$I,Z$1)*IF(Y905="Peso",$R905,1))</f>
        <v/>
      </c>
      <c r="AA905" s="4" t="str">
        <f>IF(Y905="","",SUMIFS(Prod_Prop!$J:$J,Prod_Prop!$B:$B,$Q905,Prod_Prop!$H:$H,Y905,Prod_Prop!$I:$I,AA$1)*IF(Y905="Peso",$R905,1))</f>
        <v/>
      </c>
      <c r="AB905" s="4" t="str">
        <f>IFERROR(__xludf.DUMMYFUNCTION("IF(OR($U905="""",COUNTIF($I:$I,IFERROR(unique(filter(Prod_Prop!$H:$H,Prod_Prop!$G:$G=$U905,Prod_Prop!$E:$E=AB$1)),""Check""))=0),"""",IFERROR(unique(filter(Prod_Prop!$H:$H,Prod_Prop!$G:$G=$U905,Prod_Prop!$E:$E=AB$1)),""""))"),"")</f>
        <v/>
      </c>
      <c r="AC905" s="4" t="str">
        <f>IF(AB905="","",SUMIFS(Prod_Prop!$J:$J,Prod_Prop!$B:$B,$Q905,Prod_Prop!$H:$H,AB905,Prod_Prop!$I:$I,AC$1)*IF(AB905="Peso",$R905,1))</f>
        <v/>
      </c>
      <c r="AD905" s="4" t="str">
        <f>IF(AB905="","",SUMIFS(Prod_Prop!$J:$J,Prod_Prop!$B:$B,$Q905,Prod_Prop!$H:$H,AB905,Prod_Prop!$I:$I,AD$1)*IF(AB905="Peso",$R905,1))</f>
        <v/>
      </c>
    </row>
    <row r="906">
      <c r="A906" s="4" t="str">
        <f t="array" ref="A906">IF(COUNTIF(A$1:A905,Cotizador!F$2)=maxifs(Familias!E:E,Familias!D:D,Cotizador!F$2),IF(COUNTIF(A$1:A905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6" s="4" t="str">
        <f t="shared" si="1"/>
        <v/>
      </c>
      <c r="C906" s="4" t="str">
        <f t="array" ref="C906">IF(B906="","",IF(A906=XLOOKUP(A$2,Implementos!B:B,Implementos!C:C,"",0,1),B906+maxifs(B$1:B905,A$1:A905,A$2),B906))</f>
        <v/>
      </c>
      <c r="D906" s="4" t="str">
        <f>IF(B906="","", COUNTIFS(Productos!F:F,A906,Productos!H:H,B906)+IF(F906="SI",0,1))</f>
        <v/>
      </c>
      <c r="E906" s="4" t="str">
        <f>IFERROR(__xludf.DUMMYFUNCTION("IF($B906="""","""",INDEX(filter(Familias!F:F,Familias!$D:$D=$A906,Familias!$E:$E=$B906),1))"),"")</f>
        <v/>
      </c>
      <c r="F906" s="4" t="str">
        <f>IFERROR(__xludf.DUMMYFUNCTION("IF($B906="""","""",INDEX(filter(Familias!G:G,Familias!$D:$D=$A906,Familias!$E:$E=$B906),1))"),"")</f>
        <v/>
      </c>
      <c r="G906" s="4" t="str">
        <f t="array" ref="G906">IF(C906=1,XLOOKUP(C906,Cotizador!D:D,Cotizador!E:E,"",0,1),"")</f>
        <v/>
      </c>
      <c r="I906" s="4"/>
      <c r="J906" s="8" t="str">
        <f>IF(I906="","",SUMIF(Cotizador!I$1:V$1,I906,Cotizador!I$2:V$2))</f>
        <v/>
      </c>
      <c r="L906" s="4" t="str">
        <f t="array" ref="L906">IF(COUNTIF(L$1:L905,A$2)=SUMIF(A:A,A$2,D:D),IF(COUNTIF(L$1:L905,XLOOKUP(A$2,Implementos!B:B,Implementos!C:C,"",0,1))=SUMIF(A:A,XLOOKUP(A$2,Implementos!B:B,Implementos!C:C,"",0,1),D:D),"",XLOOKUP(A$2,Implementos!B:B,Implementos!C:C,"",0,1)),A$2)</f>
        <v/>
      </c>
      <c r="M906" s="4" t="str">
        <f t="shared" si="2"/>
        <v/>
      </c>
      <c r="N906" s="4" t="str">
        <f t="shared" si="3"/>
        <v/>
      </c>
      <c r="O906" s="4" t="str">
        <f t="shared" si="4"/>
        <v/>
      </c>
      <c r="P906" s="4" t="str">
        <f t="shared" si="5"/>
        <v/>
      </c>
      <c r="Q906" s="4" t="str">
        <f>IF(U906="","",SUMIF(Productos!E:E,U906,Productos!A:A))</f>
        <v/>
      </c>
      <c r="R906" s="4" t="str">
        <f t="array" ref="R906">IF(L906="","", max(1,SUMIF(I:I,XLOOKUP(U906,Productos!E:E,Productos!G:G,"",0,1),J:J)))</f>
        <v/>
      </c>
      <c r="S906" s="4" t="str">
        <f>IF(Q906="","",IF(SUMIFS(Compat_Vetado!D:D,Compat_Vetado!B:B,SUM(G:G),Compat_Vetado!C:C,Q906)=1,"SI",IF(OR(SUMIF(Cotizador!E:E,Q906,Cotizador!G:G)&gt;0,SUMIFS(Compat_Vetado!D:D,Compat_Vetado!B:B,SUM(G:G),Compat_Vetado!C:C,Q906)=-1),"NO","")))</f>
        <v/>
      </c>
      <c r="T906" s="4" t="str">
        <f t="shared" si="6"/>
        <v/>
      </c>
      <c r="U906" s="4" t="str">
        <f>IFERROR(__xludf.DUMMYFUNCTION("IF(P906="""","""",IFERROR(INDEX(filter(Productos!E:E,Productos!F:F=L906,Productos!H:H=N906),P906),IF(M906=SUM(D:D),""Finalizar"",""-"")))"),"")</f>
        <v/>
      </c>
      <c r="V906" s="4" t="str">
        <f>IFERROR(__xludf.DUMMYFUNCTION("IF(OR($U906="""",COUNTIF($I:$I,IFERROR(unique(filter(Prod_Prop!$H:$H,Prod_Prop!$G:$G=$U906,Prod_Prop!$E:$E=V$1)),""Check""))=0),"""",IFERROR(unique(filter(Prod_Prop!$H:$H,Prod_Prop!$G:$G=$U906,Prod_Prop!$E:$E=V$1)),""""))"),"")</f>
        <v/>
      </c>
      <c r="W906" s="4" t="str">
        <f>IF(V906="","",SUMIFS(Prod_Prop!$J:$J,Prod_Prop!$B:$B,$Q906,Prod_Prop!$H:$H,V906,Prod_Prop!$I:$I,W$1)*IF(V906="Peso",$R906,1))</f>
        <v/>
      </c>
      <c r="X906" s="4" t="str">
        <f>IF(V906="","",SUMIFS(Prod_Prop!$J:$J,Prod_Prop!$B:$B,$Q906,Prod_Prop!$H:$H,V906,Prod_Prop!$I:$I,X$1)*IF(V906="Peso",$R906,1))</f>
        <v/>
      </c>
      <c r="Y906" s="4" t="str">
        <f>IFERROR(__xludf.DUMMYFUNCTION("IF(OR($U906="""",COUNTIF($I:$I,IFERROR(unique(filter(Prod_Prop!$H:$H,Prod_Prop!$G:$G=$U906,Prod_Prop!$E:$E=Y$1)),""Check""))=0),"""",IFERROR(unique(filter(Prod_Prop!$H:$H,Prod_Prop!$G:$G=$U906,Prod_Prop!$E:$E=Y$1)),""""))"),"")</f>
        <v/>
      </c>
      <c r="Z906" s="4" t="str">
        <f>IF(Y906="","",SUMIFS(Prod_Prop!$J:$J,Prod_Prop!$B:$B,$Q906,Prod_Prop!$H:$H,Y906,Prod_Prop!$I:$I,Z$1)*IF(Y906="Peso",$R906,1))</f>
        <v/>
      </c>
      <c r="AA906" s="4" t="str">
        <f>IF(Y906="","",SUMIFS(Prod_Prop!$J:$J,Prod_Prop!$B:$B,$Q906,Prod_Prop!$H:$H,Y906,Prod_Prop!$I:$I,AA$1)*IF(Y906="Peso",$R906,1))</f>
        <v/>
      </c>
      <c r="AB906" s="4" t="str">
        <f>IFERROR(__xludf.DUMMYFUNCTION("IF(OR($U906="""",COUNTIF($I:$I,IFERROR(unique(filter(Prod_Prop!$H:$H,Prod_Prop!$G:$G=$U906,Prod_Prop!$E:$E=AB$1)),""Check""))=0),"""",IFERROR(unique(filter(Prod_Prop!$H:$H,Prod_Prop!$G:$G=$U906,Prod_Prop!$E:$E=AB$1)),""""))"),"")</f>
        <v/>
      </c>
      <c r="AC906" s="4" t="str">
        <f>IF(AB906="","",SUMIFS(Prod_Prop!$J:$J,Prod_Prop!$B:$B,$Q906,Prod_Prop!$H:$H,AB906,Prod_Prop!$I:$I,AC$1)*IF(AB906="Peso",$R906,1))</f>
        <v/>
      </c>
      <c r="AD906" s="4" t="str">
        <f>IF(AB906="","",SUMIFS(Prod_Prop!$J:$J,Prod_Prop!$B:$B,$Q906,Prod_Prop!$H:$H,AB906,Prod_Prop!$I:$I,AD$1)*IF(AB906="Peso",$R906,1))</f>
        <v/>
      </c>
    </row>
    <row r="907">
      <c r="A907" s="4" t="str">
        <f t="array" ref="A907">IF(COUNTIF(A$1:A906,Cotizador!F$2)=maxifs(Familias!E:E,Familias!D:D,Cotizador!F$2),IF(COUNTIF(A$1:A906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7" s="4" t="str">
        <f t="shared" si="1"/>
        <v/>
      </c>
      <c r="C907" s="4" t="str">
        <f t="array" ref="C907">IF(B907="","",IF(A907=XLOOKUP(A$2,Implementos!B:B,Implementos!C:C,"",0,1),B907+maxifs(B$1:B906,A$1:A906,A$2),B907))</f>
        <v/>
      </c>
      <c r="D907" s="4" t="str">
        <f>IF(B907="","", COUNTIFS(Productos!F:F,A907,Productos!H:H,B907)+IF(F907="SI",0,1))</f>
        <v/>
      </c>
      <c r="E907" s="4" t="str">
        <f>IFERROR(__xludf.DUMMYFUNCTION("IF($B907="""","""",INDEX(filter(Familias!F:F,Familias!$D:$D=$A907,Familias!$E:$E=$B907),1))"),"")</f>
        <v/>
      </c>
      <c r="F907" s="4" t="str">
        <f>IFERROR(__xludf.DUMMYFUNCTION("IF($B907="""","""",INDEX(filter(Familias!G:G,Familias!$D:$D=$A907,Familias!$E:$E=$B907),1))"),"")</f>
        <v/>
      </c>
      <c r="G907" s="4" t="str">
        <f t="array" ref="G907">IF(C907=1,XLOOKUP(C907,Cotizador!D:D,Cotizador!E:E,"",0,1),"")</f>
        <v/>
      </c>
      <c r="I907" s="4"/>
      <c r="J907" s="8" t="str">
        <f>IF(I907="","",SUMIF(Cotizador!I$1:V$1,I907,Cotizador!I$2:V$2))</f>
        <v/>
      </c>
      <c r="L907" s="4" t="str">
        <f t="array" ref="L907">IF(COUNTIF(L$1:L906,A$2)=SUMIF(A:A,A$2,D:D),IF(COUNTIF(L$1:L906,XLOOKUP(A$2,Implementos!B:B,Implementos!C:C,"",0,1))=SUMIF(A:A,XLOOKUP(A$2,Implementos!B:B,Implementos!C:C,"",0,1),D:D),"",XLOOKUP(A$2,Implementos!B:B,Implementos!C:C,"",0,1)),A$2)</f>
        <v/>
      </c>
      <c r="M907" s="4" t="str">
        <f t="shared" si="2"/>
        <v/>
      </c>
      <c r="N907" s="4" t="str">
        <f t="shared" si="3"/>
        <v/>
      </c>
      <c r="O907" s="4" t="str">
        <f t="shared" si="4"/>
        <v/>
      </c>
      <c r="P907" s="4" t="str">
        <f t="shared" si="5"/>
        <v/>
      </c>
      <c r="Q907" s="4" t="str">
        <f>IF(U907="","",SUMIF(Productos!E:E,U907,Productos!A:A))</f>
        <v/>
      </c>
      <c r="R907" s="4" t="str">
        <f t="array" ref="R907">IF(L907="","", max(1,SUMIF(I:I,XLOOKUP(U907,Productos!E:E,Productos!G:G,"",0,1),J:J)))</f>
        <v/>
      </c>
      <c r="S907" s="4" t="str">
        <f>IF(Q907="","",IF(SUMIFS(Compat_Vetado!D:D,Compat_Vetado!B:B,SUM(G:G),Compat_Vetado!C:C,Q907)=1,"SI",IF(OR(SUMIF(Cotizador!E:E,Q907,Cotizador!G:G)&gt;0,SUMIFS(Compat_Vetado!D:D,Compat_Vetado!B:B,SUM(G:G),Compat_Vetado!C:C,Q907)=-1),"NO","")))</f>
        <v/>
      </c>
      <c r="T907" s="4" t="str">
        <f t="shared" si="6"/>
        <v/>
      </c>
      <c r="U907" s="4" t="str">
        <f>IFERROR(__xludf.DUMMYFUNCTION("IF(P907="""","""",IFERROR(INDEX(filter(Productos!E:E,Productos!F:F=L907,Productos!H:H=N907),P907),IF(M907=SUM(D:D),""Finalizar"",""-"")))"),"")</f>
        <v/>
      </c>
      <c r="V907" s="4" t="str">
        <f>IFERROR(__xludf.DUMMYFUNCTION("IF(OR($U907="""",COUNTIF($I:$I,IFERROR(unique(filter(Prod_Prop!$H:$H,Prod_Prop!$G:$G=$U907,Prod_Prop!$E:$E=V$1)),""Check""))=0),"""",IFERROR(unique(filter(Prod_Prop!$H:$H,Prod_Prop!$G:$G=$U907,Prod_Prop!$E:$E=V$1)),""""))"),"")</f>
        <v/>
      </c>
      <c r="W907" s="4" t="str">
        <f>IF(V907="","",SUMIFS(Prod_Prop!$J:$J,Prod_Prop!$B:$B,$Q907,Prod_Prop!$H:$H,V907,Prod_Prop!$I:$I,W$1)*IF(V907="Peso",$R907,1))</f>
        <v/>
      </c>
      <c r="X907" s="4" t="str">
        <f>IF(V907="","",SUMIFS(Prod_Prop!$J:$J,Prod_Prop!$B:$B,$Q907,Prod_Prop!$H:$H,V907,Prod_Prop!$I:$I,X$1)*IF(V907="Peso",$R907,1))</f>
        <v/>
      </c>
      <c r="Y907" s="4" t="str">
        <f>IFERROR(__xludf.DUMMYFUNCTION("IF(OR($U907="""",COUNTIF($I:$I,IFERROR(unique(filter(Prod_Prop!$H:$H,Prod_Prop!$G:$G=$U907,Prod_Prop!$E:$E=Y$1)),""Check""))=0),"""",IFERROR(unique(filter(Prod_Prop!$H:$H,Prod_Prop!$G:$G=$U907,Prod_Prop!$E:$E=Y$1)),""""))"),"")</f>
        <v/>
      </c>
      <c r="Z907" s="4" t="str">
        <f>IF(Y907="","",SUMIFS(Prod_Prop!$J:$J,Prod_Prop!$B:$B,$Q907,Prod_Prop!$H:$H,Y907,Prod_Prop!$I:$I,Z$1)*IF(Y907="Peso",$R907,1))</f>
        <v/>
      </c>
      <c r="AA907" s="4" t="str">
        <f>IF(Y907="","",SUMIFS(Prod_Prop!$J:$J,Prod_Prop!$B:$B,$Q907,Prod_Prop!$H:$H,Y907,Prod_Prop!$I:$I,AA$1)*IF(Y907="Peso",$R907,1))</f>
        <v/>
      </c>
      <c r="AB907" s="4" t="str">
        <f>IFERROR(__xludf.DUMMYFUNCTION("IF(OR($U907="""",COUNTIF($I:$I,IFERROR(unique(filter(Prod_Prop!$H:$H,Prod_Prop!$G:$G=$U907,Prod_Prop!$E:$E=AB$1)),""Check""))=0),"""",IFERROR(unique(filter(Prod_Prop!$H:$H,Prod_Prop!$G:$G=$U907,Prod_Prop!$E:$E=AB$1)),""""))"),"")</f>
        <v/>
      </c>
      <c r="AC907" s="4" t="str">
        <f>IF(AB907="","",SUMIFS(Prod_Prop!$J:$J,Prod_Prop!$B:$B,$Q907,Prod_Prop!$H:$H,AB907,Prod_Prop!$I:$I,AC$1)*IF(AB907="Peso",$R907,1))</f>
        <v/>
      </c>
      <c r="AD907" s="4" t="str">
        <f>IF(AB907="","",SUMIFS(Prod_Prop!$J:$J,Prod_Prop!$B:$B,$Q907,Prod_Prop!$H:$H,AB907,Prod_Prop!$I:$I,AD$1)*IF(AB907="Peso",$R907,1))</f>
        <v/>
      </c>
    </row>
    <row r="908">
      <c r="A908" s="4" t="str">
        <f t="array" ref="A908">IF(COUNTIF(A$1:A907,Cotizador!F$2)=maxifs(Familias!E:E,Familias!D:D,Cotizador!F$2),IF(COUNTIF(A$1:A907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8" s="4" t="str">
        <f t="shared" si="1"/>
        <v/>
      </c>
      <c r="C908" s="4" t="str">
        <f t="array" ref="C908">IF(B908="","",IF(A908=XLOOKUP(A$2,Implementos!B:B,Implementos!C:C,"",0,1),B908+maxifs(B$1:B907,A$1:A907,A$2),B908))</f>
        <v/>
      </c>
      <c r="D908" s="4" t="str">
        <f>IF(B908="","", COUNTIFS(Productos!F:F,A908,Productos!H:H,B908)+IF(F908="SI",0,1))</f>
        <v/>
      </c>
      <c r="E908" s="4" t="str">
        <f>IFERROR(__xludf.DUMMYFUNCTION("IF($B908="""","""",INDEX(filter(Familias!F:F,Familias!$D:$D=$A908,Familias!$E:$E=$B908),1))"),"")</f>
        <v/>
      </c>
      <c r="F908" s="4" t="str">
        <f>IFERROR(__xludf.DUMMYFUNCTION("IF($B908="""","""",INDEX(filter(Familias!G:G,Familias!$D:$D=$A908,Familias!$E:$E=$B908),1))"),"")</f>
        <v/>
      </c>
      <c r="G908" s="4" t="str">
        <f t="array" ref="G908">IF(C908=1,XLOOKUP(C908,Cotizador!D:D,Cotizador!E:E,"",0,1),"")</f>
        <v/>
      </c>
      <c r="I908" s="4"/>
      <c r="J908" s="8" t="str">
        <f>IF(I908="","",SUMIF(Cotizador!I$1:V$1,I908,Cotizador!I$2:V$2))</f>
        <v/>
      </c>
      <c r="L908" s="4" t="str">
        <f t="array" ref="L908">IF(COUNTIF(L$1:L907,A$2)=SUMIF(A:A,A$2,D:D),IF(COUNTIF(L$1:L907,XLOOKUP(A$2,Implementos!B:B,Implementos!C:C,"",0,1))=SUMIF(A:A,XLOOKUP(A$2,Implementos!B:B,Implementos!C:C,"",0,1),D:D),"",XLOOKUP(A$2,Implementos!B:B,Implementos!C:C,"",0,1)),A$2)</f>
        <v/>
      </c>
      <c r="M908" s="4" t="str">
        <f t="shared" si="2"/>
        <v/>
      </c>
      <c r="N908" s="4" t="str">
        <f t="shared" si="3"/>
        <v/>
      </c>
      <c r="O908" s="4" t="str">
        <f t="shared" si="4"/>
        <v/>
      </c>
      <c r="P908" s="4" t="str">
        <f t="shared" si="5"/>
        <v/>
      </c>
      <c r="Q908" s="4" t="str">
        <f>IF(U908="","",SUMIF(Productos!E:E,U908,Productos!A:A))</f>
        <v/>
      </c>
      <c r="R908" s="4" t="str">
        <f t="array" ref="R908">IF(L908="","", max(1,SUMIF(I:I,XLOOKUP(U908,Productos!E:E,Productos!G:G,"",0,1),J:J)))</f>
        <v/>
      </c>
      <c r="S908" s="4" t="str">
        <f>IF(Q908="","",IF(SUMIFS(Compat_Vetado!D:D,Compat_Vetado!B:B,SUM(G:G),Compat_Vetado!C:C,Q908)=1,"SI",IF(OR(SUMIF(Cotizador!E:E,Q908,Cotizador!G:G)&gt;0,SUMIFS(Compat_Vetado!D:D,Compat_Vetado!B:B,SUM(G:G),Compat_Vetado!C:C,Q908)=-1),"NO","")))</f>
        <v/>
      </c>
      <c r="T908" s="4" t="str">
        <f t="shared" si="6"/>
        <v/>
      </c>
      <c r="U908" s="4" t="str">
        <f>IFERROR(__xludf.DUMMYFUNCTION("IF(P908="""","""",IFERROR(INDEX(filter(Productos!E:E,Productos!F:F=L908,Productos!H:H=N908),P908),IF(M908=SUM(D:D),""Finalizar"",""-"")))"),"")</f>
        <v/>
      </c>
      <c r="V908" s="4" t="str">
        <f>IFERROR(__xludf.DUMMYFUNCTION("IF(OR($U908="""",COUNTIF($I:$I,IFERROR(unique(filter(Prod_Prop!$H:$H,Prod_Prop!$G:$G=$U908,Prod_Prop!$E:$E=V$1)),""Check""))=0),"""",IFERROR(unique(filter(Prod_Prop!$H:$H,Prod_Prop!$G:$G=$U908,Prod_Prop!$E:$E=V$1)),""""))"),"")</f>
        <v/>
      </c>
      <c r="W908" s="4" t="str">
        <f>IF(V908="","",SUMIFS(Prod_Prop!$J:$J,Prod_Prop!$B:$B,$Q908,Prod_Prop!$H:$H,V908,Prod_Prop!$I:$I,W$1)*IF(V908="Peso",$R908,1))</f>
        <v/>
      </c>
      <c r="X908" s="4" t="str">
        <f>IF(V908="","",SUMIFS(Prod_Prop!$J:$J,Prod_Prop!$B:$B,$Q908,Prod_Prop!$H:$H,V908,Prod_Prop!$I:$I,X$1)*IF(V908="Peso",$R908,1))</f>
        <v/>
      </c>
      <c r="Y908" s="4" t="str">
        <f>IFERROR(__xludf.DUMMYFUNCTION("IF(OR($U908="""",COUNTIF($I:$I,IFERROR(unique(filter(Prod_Prop!$H:$H,Prod_Prop!$G:$G=$U908,Prod_Prop!$E:$E=Y$1)),""Check""))=0),"""",IFERROR(unique(filter(Prod_Prop!$H:$H,Prod_Prop!$G:$G=$U908,Prod_Prop!$E:$E=Y$1)),""""))"),"")</f>
        <v/>
      </c>
      <c r="Z908" s="4" t="str">
        <f>IF(Y908="","",SUMIFS(Prod_Prop!$J:$J,Prod_Prop!$B:$B,$Q908,Prod_Prop!$H:$H,Y908,Prod_Prop!$I:$I,Z$1)*IF(Y908="Peso",$R908,1))</f>
        <v/>
      </c>
      <c r="AA908" s="4" t="str">
        <f>IF(Y908="","",SUMIFS(Prod_Prop!$J:$J,Prod_Prop!$B:$B,$Q908,Prod_Prop!$H:$H,Y908,Prod_Prop!$I:$I,AA$1)*IF(Y908="Peso",$R908,1))</f>
        <v/>
      </c>
      <c r="AB908" s="4" t="str">
        <f>IFERROR(__xludf.DUMMYFUNCTION("IF(OR($U908="""",COUNTIF($I:$I,IFERROR(unique(filter(Prod_Prop!$H:$H,Prod_Prop!$G:$G=$U908,Prod_Prop!$E:$E=AB$1)),""Check""))=0),"""",IFERROR(unique(filter(Prod_Prop!$H:$H,Prod_Prop!$G:$G=$U908,Prod_Prop!$E:$E=AB$1)),""""))"),"")</f>
        <v/>
      </c>
      <c r="AC908" s="4" t="str">
        <f>IF(AB908="","",SUMIFS(Prod_Prop!$J:$J,Prod_Prop!$B:$B,$Q908,Prod_Prop!$H:$H,AB908,Prod_Prop!$I:$I,AC$1)*IF(AB908="Peso",$R908,1))</f>
        <v/>
      </c>
      <c r="AD908" s="4" t="str">
        <f>IF(AB908="","",SUMIFS(Prod_Prop!$J:$J,Prod_Prop!$B:$B,$Q908,Prod_Prop!$H:$H,AB908,Prod_Prop!$I:$I,AD$1)*IF(AB908="Peso",$R908,1))</f>
        <v/>
      </c>
    </row>
    <row r="909">
      <c r="A909" s="4" t="str">
        <f t="array" ref="A909">IF(COUNTIF(A$1:A908,Cotizador!F$2)=maxifs(Familias!E:E,Familias!D:D,Cotizador!F$2),IF(COUNTIF(A$1:A908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09" s="4" t="str">
        <f t="shared" si="1"/>
        <v/>
      </c>
      <c r="C909" s="4" t="str">
        <f t="array" ref="C909">IF(B909="","",IF(A909=XLOOKUP(A$2,Implementos!B:B,Implementos!C:C,"",0,1),B909+maxifs(B$1:B908,A$1:A908,A$2),B909))</f>
        <v/>
      </c>
      <c r="D909" s="4" t="str">
        <f>IF(B909="","", COUNTIFS(Productos!F:F,A909,Productos!H:H,B909)+IF(F909="SI",0,1))</f>
        <v/>
      </c>
      <c r="E909" s="4" t="str">
        <f>IFERROR(__xludf.DUMMYFUNCTION("IF($B909="""","""",INDEX(filter(Familias!F:F,Familias!$D:$D=$A909,Familias!$E:$E=$B909),1))"),"")</f>
        <v/>
      </c>
      <c r="F909" s="4" t="str">
        <f>IFERROR(__xludf.DUMMYFUNCTION("IF($B909="""","""",INDEX(filter(Familias!G:G,Familias!$D:$D=$A909,Familias!$E:$E=$B909),1))"),"")</f>
        <v/>
      </c>
      <c r="G909" s="4" t="str">
        <f t="array" ref="G909">IF(C909=1,XLOOKUP(C909,Cotizador!D:D,Cotizador!E:E,"",0,1),"")</f>
        <v/>
      </c>
      <c r="I909" s="4"/>
      <c r="J909" s="8" t="str">
        <f>IF(I909="","",SUMIF(Cotizador!I$1:V$1,I909,Cotizador!I$2:V$2))</f>
        <v/>
      </c>
      <c r="L909" s="4" t="str">
        <f t="array" ref="L909">IF(COUNTIF(L$1:L908,A$2)=SUMIF(A:A,A$2,D:D),IF(COUNTIF(L$1:L908,XLOOKUP(A$2,Implementos!B:B,Implementos!C:C,"",0,1))=SUMIF(A:A,XLOOKUP(A$2,Implementos!B:B,Implementos!C:C,"",0,1),D:D),"",XLOOKUP(A$2,Implementos!B:B,Implementos!C:C,"",0,1)),A$2)</f>
        <v/>
      </c>
      <c r="M909" s="4" t="str">
        <f t="shared" si="2"/>
        <v/>
      </c>
      <c r="N909" s="4" t="str">
        <f t="shared" si="3"/>
        <v/>
      </c>
      <c r="O909" s="4" t="str">
        <f t="shared" si="4"/>
        <v/>
      </c>
      <c r="P909" s="4" t="str">
        <f t="shared" si="5"/>
        <v/>
      </c>
      <c r="Q909" s="4" t="str">
        <f>IF(U909="","",SUMIF(Productos!E:E,U909,Productos!A:A))</f>
        <v/>
      </c>
      <c r="R909" s="4" t="str">
        <f t="array" ref="R909">IF(L909="","", max(1,SUMIF(I:I,XLOOKUP(U909,Productos!E:E,Productos!G:G,"",0,1),J:J)))</f>
        <v/>
      </c>
      <c r="S909" s="4" t="str">
        <f>IF(Q909="","",IF(SUMIFS(Compat_Vetado!D:D,Compat_Vetado!B:B,SUM(G:G),Compat_Vetado!C:C,Q909)=1,"SI",IF(OR(SUMIF(Cotizador!E:E,Q909,Cotizador!G:G)&gt;0,SUMIFS(Compat_Vetado!D:D,Compat_Vetado!B:B,SUM(G:G),Compat_Vetado!C:C,Q909)=-1),"NO","")))</f>
        <v/>
      </c>
      <c r="T909" s="4" t="str">
        <f t="shared" si="6"/>
        <v/>
      </c>
      <c r="U909" s="4" t="str">
        <f>IFERROR(__xludf.DUMMYFUNCTION("IF(P909="""","""",IFERROR(INDEX(filter(Productos!E:E,Productos!F:F=L909,Productos!H:H=N909),P909),IF(M909=SUM(D:D),""Finalizar"",""-"")))"),"")</f>
        <v/>
      </c>
      <c r="V909" s="4" t="str">
        <f>IFERROR(__xludf.DUMMYFUNCTION("IF(OR($U909="""",COUNTIF($I:$I,IFERROR(unique(filter(Prod_Prop!$H:$H,Prod_Prop!$G:$G=$U909,Prod_Prop!$E:$E=V$1)),""Check""))=0),"""",IFERROR(unique(filter(Prod_Prop!$H:$H,Prod_Prop!$G:$G=$U909,Prod_Prop!$E:$E=V$1)),""""))"),"")</f>
        <v/>
      </c>
      <c r="W909" s="4" t="str">
        <f>IF(V909="","",SUMIFS(Prod_Prop!$J:$J,Prod_Prop!$B:$B,$Q909,Prod_Prop!$H:$H,V909,Prod_Prop!$I:$I,W$1)*IF(V909="Peso",$R909,1))</f>
        <v/>
      </c>
      <c r="X909" s="4" t="str">
        <f>IF(V909="","",SUMIFS(Prod_Prop!$J:$J,Prod_Prop!$B:$B,$Q909,Prod_Prop!$H:$H,V909,Prod_Prop!$I:$I,X$1)*IF(V909="Peso",$R909,1))</f>
        <v/>
      </c>
      <c r="Y909" s="4" t="str">
        <f>IFERROR(__xludf.DUMMYFUNCTION("IF(OR($U909="""",COUNTIF($I:$I,IFERROR(unique(filter(Prod_Prop!$H:$H,Prod_Prop!$G:$G=$U909,Prod_Prop!$E:$E=Y$1)),""Check""))=0),"""",IFERROR(unique(filter(Prod_Prop!$H:$H,Prod_Prop!$G:$G=$U909,Prod_Prop!$E:$E=Y$1)),""""))"),"")</f>
        <v/>
      </c>
      <c r="Z909" s="4" t="str">
        <f>IF(Y909="","",SUMIFS(Prod_Prop!$J:$J,Prod_Prop!$B:$B,$Q909,Prod_Prop!$H:$H,Y909,Prod_Prop!$I:$I,Z$1)*IF(Y909="Peso",$R909,1))</f>
        <v/>
      </c>
      <c r="AA909" s="4" t="str">
        <f>IF(Y909="","",SUMIFS(Prod_Prop!$J:$J,Prod_Prop!$B:$B,$Q909,Prod_Prop!$H:$H,Y909,Prod_Prop!$I:$I,AA$1)*IF(Y909="Peso",$R909,1))</f>
        <v/>
      </c>
      <c r="AB909" s="4" t="str">
        <f>IFERROR(__xludf.DUMMYFUNCTION("IF(OR($U909="""",COUNTIF($I:$I,IFERROR(unique(filter(Prod_Prop!$H:$H,Prod_Prop!$G:$G=$U909,Prod_Prop!$E:$E=AB$1)),""Check""))=0),"""",IFERROR(unique(filter(Prod_Prop!$H:$H,Prod_Prop!$G:$G=$U909,Prod_Prop!$E:$E=AB$1)),""""))"),"")</f>
        <v/>
      </c>
      <c r="AC909" s="4" t="str">
        <f>IF(AB909="","",SUMIFS(Prod_Prop!$J:$J,Prod_Prop!$B:$B,$Q909,Prod_Prop!$H:$H,AB909,Prod_Prop!$I:$I,AC$1)*IF(AB909="Peso",$R909,1))</f>
        <v/>
      </c>
      <c r="AD909" s="4" t="str">
        <f>IF(AB909="","",SUMIFS(Prod_Prop!$J:$J,Prod_Prop!$B:$B,$Q909,Prod_Prop!$H:$H,AB909,Prod_Prop!$I:$I,AD$1)*IF(AB909="Peso",$R909,1))</f>
        <v/>
      </c>
    </row>
    <row r="910">
      <c r="A910" s="4" t="str">
        <f t="array" ref="A910">IF(COUNTIF(A$1:A909,Cotizador!F$2)=maxifs(Familias!E:E,Familias!D:D,Cotizador!F$2),IF(COUNTIF(A$1:A909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0" s="4" t="str">
        <f t="shared" si="1"/>
        <v/>
      </c>
      <c r="C910" s="4" t="str">
        <f t="array" ref="C910">IF(B910="","",IF(A910=XLOOKUP(A$2,Implementos!B:B,Implementos!C:C,"",0,1),B910+maxifs(B$1:B909,A$1:A909,A$2),B910))</f>
        <v/>
      </c>
      <c r="D910" s="4" t="str">
        <f>IF(B910="","", COUNTIFS(Productos!F:F,A910,Productos!H:H,B910)+IF(F910="SI",0,1))</f>
        <v/>
      </c>
      <c r="E910" s="4" t="str">
        <f>IFERROR(__xludf.DUMMYFUNCTION("IF($B910="""","""",INDEX(filter(Familias!F:F,Familias!$D:$D=$A910,Familias!$E:$E=$B910),1))"),"")</f>
        <v/>
      </c>
      <c r="F910" s="4" t="str">
        <f>IFERROR(__xludf.DUMMYFUNCTION("IF($B910="""","""",INDEX(filter(Familias!G:G,Familias!$D:$D=$A910,Familias!$E:$E=$B910),1))"),"")</f>
        <v/>
      </c>
      <c r="G910" s="4" t="str">
        <f t="array" ref="G910">IF(C910=1,XLOOKUP(C910,Cotizador!D:D,Cotizador!E:E,"",0,1),"")</f>
        <v/>
      </c>
      <c r="I910" s="4"/>
      <c r="J910" s="8" t="str">
        <f>IF(I910="","",SUMIF(Cotizador!I$1:V$1,I910,Cotizador!I$2:V$2))</f>
        <v/>
      </c>
      <c r="L910" s="4" t="str">
        <f t="array" ref="L910">IF(COUNTIF(L$1:L909,A$2)=SUMIF(A:A,A$2,D:D),IF(COUNTIF(L$1:L909,XLOOKUP(A$2,Implementos!B:B,Implementos!C:C,"",0,1))=SUMIF(A:A,XLOOKUP(A$2,Implementos!B:B,Implementos!C:C,"",0,1),D:D),"",XLOOKUP(A$2,Implementos!B:B,Implementos!C:C,"",0,1)),A$2)</f>
        <v/>
      </c>
      <c r="M910" s="4" t="str">
        <f t="shared" si="2"/>
        <v/>
      </c>
      <c r="N910" s="4" t="str">
        <f t="shared" si="3"/>
        <v/>
      </c>
      <c r="O910" s="4" t="str">
        <f t="shared" si="4"/>
        <v/>
      </c>
      <c r="P910" s="4" t="str">
        <f t="shared" si="5"/>
        <v/>
      </c>
      <c r="Q910" s="4" t="str">
        <f>IF(U910="","",SUMIF(Productos!E:E,U910,Productos!A:A))</f>
        <v/>
      </c>
      <c r="R910" s="4" t="str">
        <f t="array" ref="R910">IF(L910="","", max(1,SUMIF(I:I,XLOOKUP(U910,Productos!E:E,Productos!G:G,"",0,1),J:J)))</f>
        <v/>
      </c>
      <c r="S910" s="4" t="str">
        <f>IF(Q910="","",IF(SUMIFS(Compat_Vetado!D:D,Compat_Vetado!B:B,SUM(G:G),Compat_Vetado!C:C,Q910)=1,"SI",IF(OR(SUMIF(Cotizador!E:E,Q910,Cotizador!G:G)&gt;0,SUMIFS(Compat_Vetado!D:D,Compat_Vetado!B:B,SUM(G:G),Compat_Vetado!C:C,Q910)=-1),"NO","")))</f>
        <v/>
      </c>
      <c r="T910" s="4" t="str">
        <f t="shared" si="6"/>
        <v/>
      </c>
      <c r="U910" s="4" t="str">
        <f>IFERROR(__xludf.DUMMYFUNCTION("IF(P910="""","""",IFERROR(INDEX(filter(Productos!E:E,Productos!F:F=L910,Productos!H:H=N910),P910),IF(M910=SUM(D:D),""Finalizar"",""-"")))"),"")</f>
        <v/>
      </c>
      <c r="V910" s="4" t="str">
        <f>IFERROR(__xludf.DUMMYFUNCTION("IF(OR($U910="""",COUNTIF($I:$I,IFERROR(unique(filter(Prod_Prop!$H:$H,Prod_Prop!$G:$G=$U910,Prod_Prop!$E:$E=V$1)),""Check""))=0),"""",IFERROR(unique(filter(Prod_Prop!$H:$H,Prod_Prop!$G:$G=$U910,Prod_Prop!$E:$E=V$1)),""""))"),"")</f>
        <v/>
      </c>
      <c r="W910" s="4" t="str">
        <f>IF(V910="","",SUMIFS(Prod_Prop!$J:$J,Prod_Prop!$B:$B,$Q910,Prod_Prop!$H:$H,V910,Prod_Prop!$I:$I,W$1)*IF(V910="Peso",$R910,1))</f>
        <v/>
      </c>
      <c r="X910" s="4" t="str">
        <f>IF(V910="","",SUMIFS(Prod_Prop!$J:$J,Prod_Prop!$B:$B,$Q910,Prod_Prop!$H:$H,V910,Prod_Prop!$I:$I,X$1)*IF(V910="Peso",$R910,1))</f>
        <v/>
      </c>
      <c r="Y910" s="4" t="str">
        <f>IFERROR(__xludf.DUMMYFUNCTION("IF(OR($U910="""",COUNTIF($I:$I,IFERROR(unique(filter(Prod_Prop!$H:$H,Prod_Prop!$G:$G=$U910,Prod_Prop!$E:$E=Y$1)),""Check""))=0),"""",IFERROR(unique(filter(Prod_Prop!$H:$H,Prod_Prop!$G:$G=$U910,Prod_Prop!$E:$E=Y$1)),""""))"),"")</f>
        <v/>
      </c>
      <c r="Z910" s="4" t="str">
        <f>IF(Y910="","",SUMIFS(Prod_Prop!$J:$J,Prod_Prop!$B:$B,$Q910,Prod_Prop!$H:$H,Y910,Prod_Prop!$I:$I,Z$1)*IF(Y910="Peso",$R910,1))</f>
        <v/>
      </c>
      <c r="AA910" s="4" t="str">
        <f>IF(Y910="","",SUMIFS(Prod_Prop!$J:$J,Prod_Prop!$B:$B,$Q910,Prod_Prop!$H:$H,Y910,Prod_Prop!$I:$I,AA$1)*IF(Y910="Peso",$R910,1))</f>
        <v/>
      </c>
      <c r="AB910" s="4" t="str">
        <f>IFERROR(__xludf.DUMMYFUNCTION("IF(OR($U910="""",COUNTIF($I:$I,IFERROR(unique(filter(Prod_Prop!$H:$H,Prod_Prop!$G:$G=$U910,Prod_Prop!$E:$E=AB$1)),""Check""))=0),"""",IFERROR(unique(filter(Prod_Prop!$H:$H,Prod_Prop!$G:$G=$U910,Prod_Prop!$E:$E=AB$1)),""""))"),"")</f>
        <v/>
      </c>
      <c r="AC910" s="4" t="str">
        <f>IF(AB910="","",SUMIFS(Prod_Prop!$J:$J,Prod_Prop!$B:$B,$Q910,Prod_Prop!$H:$H,AB910,Prod_Prop!$I:$I,AC$1)*IF(AB910="Peso",$R910,1))</f>
        <v/>
      </c>
      <c r="AD910" s="4" t="str">
        <f>IF(AB910="","",SUMIFS(Prod_Prop!$J:$J,Prod_Prop!$B:$B,$Q910,Prod_Prop!$H:$H,AB910,Prod_Prop!$I:$I,AD$1)*IF(AB910="Peso",$R910,1))</f>
        <v/>
      </c>
    </row>
    <row r="911">
      <c r="A911" s="4" t="str">
        <f t="array" ref="A911">IF(COUNTIF(A$1:A910,Cotizador!F$2)=maxifs(Familias!E:E,Familias!D:D,Cotizador!F$2),IF(COUNTIF(A$1:A910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1" s="4" t="str">
        <f t="shared" si="1"/>
        <v/>
      </c>
      <c r="C911" s="4" t="str">
        <f t="array" ref="C911">IF(B911="","",IF(A911=XLOOKUP(A$2,Implementos!B:B,Implementos!C:C,"",0,1),B911+maxifs(B$1:B910,A$1:A910,A$2),B911))</f>
        <v/>
      </c>
      <c r="D911" s="4" t="str">
        <f>IF(B911="","", COUNTIFS(Productos!F:F,A911,Productos!H:H,B911)+IF(F911="SI",0,1))</f>
        <v/>
      </c>
      <c r="E911" s="4" t="str">
        <f>IFERROR(__xludf.DUMMYFUNCTION("IF($B911="""","""",INDEX(filter(Familias!F:F,Familias!$D:$D=$A911,Familias!$E:$E=$B911),1))"),"")</f>
        <v/>
      </c>
      <c r="F911" s="4" t="str">
        <f>IFERROR(__xludf.DUMMYFUNCTION("IF($B911="""","""",INDEX(filter(Familias!G:G,Familias!$D:$D=$A911,Familias!$E:$E=$B911),1))"),"")</f>
        <v/>
      </c>
      <c r="G911" s="4" t="str">
        <f t="array" ref="G911">IF(C911=1,XLOOKUP(C911,Cotizador!D:D,Cotizador!E:E,"",0,1),"")</f>
        <v/>
      </c>
      <c r="I911" s="4"/>
      <c r="J911" s="8" t="str">
        <f>IF(I911="","",SUMIF(Cotizador!I$1:V$1,I911,Cotizador!I$2:V$2))</f>
        <v/>
      </c>
      <c r="L911" s="4" t="str">
        <f t="array" ref="L911">IF(COUNTIF(L$1:L910,A$2)=SUMIF(A:A,A$2,D:D),IF(COUNTIF(L$1:L910,XLOOKUP(A$2,Implementos!B:B,Implementos!C:C,"",0,1))=SUMIF(A:A,XLOOKUP(A$2,Implementos!B:B,Implementos!C:C,"",0,1),D:D),"",XLOOKUP(A$2,Implementos!B:B,Implementos!C:C,"",0,1)),A$2)</f>
        <v/>
      </c>
      <c r="M911" s="4" t="str">
        <f t="shared" si="2"/>
        <v/>
      </c>
      <c r="N911" s="4" t="str">
        <f t="shared" si="3"/>
        <v/>
      </c>
      <c r="O911" s="4" t="str">
        <f t="shared" si="4"/>
        <v/>
      </c>
      <c r="P911" s="4" t="str">
        <f t="shared" si="5"/>
        <v/>
      </c>
      <c r="Q911" s="4" t="str">
        <f>IF(U911="","",SUMIF(Productos!E:E,U911,Productos!A:A))</f>
        <v/>
      </c>
      <c r="R911" s="4" t="str">
        <f t="array" ref="R911">IF(L911="","", max(1,SUMIF(I:I,XLOOKUP(U911,Productos!E:E,Productos!G:G,"",0,1),J:J)))</f>
        <v/>
      </c>
      <c r="S911" s="4" t="str">
        <f>IF(Q911="","",IF(SUMIFS(Compat_Vetado!D:D,Compat_Vetado!B:B,SUM(G:G),Compat_Vetado!C:C,Q911)=1,"SI",IF(OR(SUMIF(Cotizador!E:E,Q911,Cotizador!G:G)&gt;0,SUMIFS(Compat_Vetado!D:D,Compat_Vetado!B:B,SUM(G:G),Compat_Vetado!C:C,Q911)=-1),"NO","")))</f>
        <v/>
      </c>
      <c r="T911" s="4" t="str">
        <f t="shared" si="6"/>
        <v/>
      </c>
      <c r="U911" s="4" t="str">
        <f>IFERROR(__xludf.DUMMYFUNCTION("IF(P911="""","""",IFERROR(INDEX(filter(Productos!E:E,Productos!F:F=L911,Productos!H:H=N911),P911),IF(M911=SUM(D:D),""Finalizar"",""-"")))"),"")</f>
        <v/>
      </c>
      <c r="V911" s="4" t="str">
        <f>IFERROR(__xludf.DUMMYFUNCTION("IF(OR($U911="""",COUNTIF($I:$I,IFERROR(unique(filter(Prod_Prop!$H:$H,Prod_Prop!$G:$G=$U911,Prod_Prop!$E:$E=V$1)),""Check""))=0),"""",IFERROR(unique(filter(Prod_Prop!$H:$H,Prod_Prop!$G:$G=$U911,Prod_Prop!$E:$E=V$1)),""""))"),"")</f>
        <v/>
      </c>
      <c r="W911" s="4" t="str">
        <f>IF(V911="","",SUMIFS(Prod_Prop!$J:$J,Prod_Prop!$B:$B,$Q911,Prod_Prop!$H:$H,V911,Prod_Prop!$I:$I,W$1)*IF(V911="Peso",$R911,1))</f>
        <v/>
      </c>
      <c r="X911" s="4" t="str">
        <f>IF(V911="","",SUMIFS(Prod_Prop!$J:$J,Prod_Prop!$B:$B,$Q911,Prod_Prop!$H:$H,V911,Prod_Prop!$I:$I,X$1)*IF(V911="Peso",$R911,1))</f>
        <v/>
      </c>
      <c r="Y911" s="4" t="str">
        <f>IFERROR(__xludf.DUMMYFUNCTION("IF(OR($U911="""",COUNTIF($I:$I,IFERROR(unique(filter(Prod_Prop!$H:$H,Prod_Prop!$G:$G=$U911,Prod_Prop!$E:$E=Y$1)),""Check""))=0),"""",IFERROR(unique(filter(Prod_Prop!$H:$H,Prod_Prop!$G:$G=$U911,Prod_Prop!$E:$E=Y$1)),""""))"),"")</f>
        <v/>
      </c>
      <c r="Z911" s="4" t="str">
        <f>IF(Y911="","",SUMIFS(Prod_Prop!$J:$J,Prod_Prop!$B:$B,$Q911,Prod_Prop!$H:$H,Y911,Prod_Prop!$I:$I,Z$1)*IF(Y911="Peso",$R911,1))</f>
        <v/>
      </c>
      <c r="AA911" s="4" t="str">
        <f>IF(Y911="","",SUMIFS(Prod_Prop!$J:$J,Prod_Prop!$B:$B,$Q911,Prod_Prop!$H:$H,Y911,Prod_Prop!$I:$I,AA$1)*IF(Y911="Peso",$R911,1))</f>
        <v/>
      </c>
      <c r="AB911" s="4" t="str">
        <f>IFERROR(__xludf.DUMMYFUNCTION("IF(OR($U911="""",COUNTIF($I:$I,IFERROR(unique(filter(Prod_Prop!$H:$H,Prod_Prop!$G:$G=$U911,Prod_Prop!$E:$E=AB$1)),""Check""))=0),"""",IFERROR(unique(filter(Prod_Prop!$H:$H,Prod_Prop!$G:$G=$U911,Prod_Prop!$E:$E=AB$1)),""""))"),"")</f>
        <v/>
      </c>
      <c r="AC911" s="4" t="str">
        <f>IF(AB911="","",SUMIFS(Prod_Prop!$J:$J,Prod_Prop!$B:$B,$Q911,Prod_Prop!$H:$H,AB911,Prod_Prop!$I:$I,AC$1)*IF(AB911="Peso",$R911,1))</f>
        <v/>
      </c>
      <c r="AD911" s="4" t="str">
        <f>IF(AB911="","",SUMIFS(Prod_Prop!$J:$J,Prod_Prop!$B:$B,$Q911,Prod_Prop!$H:$H,AB911,Prod_Prop!$I:$I,AD$1)*IF(AB911="Peso",$R911,1))</f>
        <v/>
      </c>
    </row>
    <row r="912">
      <c r="A912" s="4" t="str">
        <f t="array" ref="A912">IF(COUNTIF(A$1:A911,Cotizador!F$2)=maxifs(Familias!E:E,Familias!D:D,Cotizador!F$2),IF(COUNTIF(A$1:A911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2" s="4" t="str">
        <f t="shared" si="1"/>
        <v/>
      </c>
      <c r="C912" s="4" t="str">
        <f t="array" ref="C912">IF(B912="","",IF(A912=XLOOKUP(A$2,Implementos!B:B,Implementos!C:C,"",0,1),B912+maxifs(B$1:B911,A$1:A911,A$2),B912))</f>
        <v/>
      </c>
      <c r="D912" s="4" t="str">
        <f>IF(B912="","", COUNTIFS(Productos!F:F,A912,Productos!H:H,B912)+IF(F912="SI",0,1))</f>
        <v/>
      </c>
      <c r="E912" s="4" t="str">
        <f>IFERROR(__xludf.DUMMYFUNCTION("IF($B912="""","""",INDEX(filter(Familias!F:F,Familias!$D:$D=$A912,Familias!$E:$E=$B912),1))"),"")</f>
        <v/>
      </c>
      <c r="F912" s="4" t="str">
        <f>IFERROR(__xludf.DUMMYFUNCTION("IF($B912="""","""",INDEX(filter(Familias!G:G,Familias!$D:$D=$A912,Familias!$E:$E=$B912),1))"),"")</f>
        <v/>
      </c>
      <c r="G912" s="4" t="str">
        <f t="array" ref="G912">IF(C912=1,XLOOKUP(C912,Cotizador!D:D,Cotizador!E:E,"",0,1),"")</f>
        <v/>
      </c>
      <c r="I912" s="4"/>
      <c r="J912" s="8" t="str">
        <f>IF(I912="","",SUMIF(Cotizador!I$1:V$1,I912,Cotizador!I$2:V$2))</f>
        <v/>
      </c>
      <c r="L912" s="4" t="str">
        <f t="array" ref="L912">IF(COUNTIF(L$1:L911,A$2)=SUMIF(A:A,A$2,D:D),IF(COUNTIF(L$1:L911,XLOOKUP(A$2,Implementos!B:B,Implementos!C:C,"",0,1))=SUMIF(A:A,XLOOKUP(A$2,Implementos!B:B,Implementos!C:C,"",0,1),D:D),"",XLOOKUP(A$2,Implementos!B:B,Implementos!C:C,"",0,1)),A$2)</f>
        <v/>
      </c>
      <c r="M912" s="4" t="str">
        <f t="shared" si="2"/>
        <v/>
      </c>
      <c r="N912" s="4" t="str">
        <f t="shared" si="3"/>
        <v/>
      </c>
      <c r="O912" s="4" t="str">
        <f t="shared" si="4"/>
        <v/>
      </c>
      <c r="P912" s="4" t="str">
        <f t="shared" si="5"/>
        <v/>
      </c>
      <c r="Q912" s="4" t="str">
        <f>IF(U912="","",SUMIF(Productos!E:E,U912,Productos!A:A))</f>
        <v/>
      </c>
      <c r="R912" s="4" t="str">
        <f t="array" ref="R912">IF(L912="","", max(1,SUMIF(I:I,XLOOKUP(U912,Productos!E:E,Productos!G:G,"",0,1),J:J)))</f>
        <v/>
      </c>
      <c r="S912" s="4" t="str">
        <f>IF(Q912="","",IF(SUMIFS(Compat_Vetado!D:D,Compat_Vetado!B:B,SUM(G:G),Compat_Vetado!C:C,Q912)=1,"SI",IF(OR(SUMIF(Cotizador!E:E,Q912,Cotizador!G:G)&gt;0,SUMIFS(Compat_Vetado!D:D,Compat_Vetado!B:B,SUM(G:G),Compat_Vetado!C:C,Q912)=-1),"NO","")))</f>
        <v/>
      </c>
      <c r="T912" s="4" t="str">
        <f t="shared" si="6"/>
        <v/>
      </c>
      <c r="U912" s="4" t="str">
        <f>IFERROR(__xludf.DUMMYFUNCTION("IF(P912="""","""",IFERROR(INDEX(filter(Productos!E:E,Productos!F:F=L912,Productos!H:H=N912),P912),IF(M912=SUM(D:D),""Finalizar"",""-"")))"),"")</f>
        <v/>
      </c>
      <c r="V912" s="4" t="str">
        <f>IFERROR(__xludf.DUMMYFUNCTION("IF(OR($U912="""",COUNTIF($I:$I,IFERROR(unique(filter(Prod_Prop!$H:$H,Prod_Prop!$G:$G=$U912,Prod_Prop!$E:$E=V$1)),""Check""))=0),"""",IFERROR(unique(filter(Prod_Prop!$H:$H,Prod_Prop!$G:$G=$U912,Prod_Prop!$E:$E=V$1)),""""))"),"")</f>
        <v/>
      </c>
      <c r="W912" s="4" t="str">
        <f>IF(V912="","",SUMIFS(Prod_Prop!$J:$J,Prod_Prop!$B:$B,$Q912,Prod_Prop!$H:$H,V912,Prod_Prop!$I:$I,W$1)*IF(V912="Peso",$R912,1))</f>
        <v/>
      </c>
      <c r="X912" s="4" t="str">
        <f>IF(V912="","",SUMIFS(Prod_Prop!$J:$J,Prod_Prop!$B:$B,$Q912,Prod_Prop!$H:$H,V912,Prod_Prop!$I:$I,X$1)*IF(V912="Peso",$R912,1))</f>
        <v/>
      </c>
      <c r="Y912" s="4" t="str">
        <f>IFERROR(__xludf.DUMMYFUNCTION("IF(OR($U912="""",COUNTIF($I:$I,IFERROR(unique(filter(Prod_Prop!$H:$H,Prod_Prop!$G:$G=$U912,Prod_Prop!$E:$E=Y$1)),""Check""))=0),"""",IFERROR(unique(filter(Prod_Prop!$H:$H,Prod_Prop!$G:$G=$U912,Prod_Prop!$E:$E=Y$1)),""""))"),"")</f>
        <v/>
      </c>
      <c r="Z912" s="4" t="str">
        <f>IF(Y912="","",SUMIFS(Prod_Prop!$J:$J,Prod_Prop!$B:$B,$Q912,Prod_Prop!$H:$H,Y912,Prod_Prop!$I:$I,Z$1)*IF(Y912="Peso",$R912,1))</f>
        <v/>
      </c>
      <c r="AA912" s="4" t="str">
        <f>IF(Y912="","",SUMIFS(Prod_Prop!$J:$J,Prod_Prop!$B:$B,$Q912,Prod_Prop!$H:$H,Y912,Prod_Prop!$I:$I,AA$1)*IF(Y912="Peso",$R912,1))</f>
        <v/>
      </c>
      <c r="AB912" s="4" t="str">
        <f>IFERROR(__xludf.DUMMYFUNCTION("IF(OR($U912="""",COUNTIF($I:$I,IFERROR(unique(filter(Prod_Prop!$H:$H,Prod_Prop!$G:$G=$U912,Prod_Prop!$E:$E=AB$1)),""Check""))=0),"""",IFERROR(unique(filter(Prod_Prop!$H:$H,Prod_Prop!$G:$G=$U912,Prod_Prop!$E:$E=AB$1)),""""))"),"")</f>
        <v/>
      </c>
      <c r="AC912" s="4" t="str">
        <f>IF(AB912="","",SUMIFS(Prod_Prop!$J:$J,Prod_Prop!$B:$B,$Q912,Prod_Prop!$H:$H,AB912,Prod_Prop!$I:$I,AC$1)*IF(AB912="Peso",$R912,1))</f>
        <v/>
      </c>
      <c r="AD912" s="4" t="str">
        <f>IF(AB912="","",SUMIFS(Prod_Prop!$J:$J,Prod_Prop!$B:$B,$Q912,Prod_Prop!$H:$H,AB912,Prod_Prop!$I:$I,AD$1)*IF(AB912="Peso",$R912,1))</f>
        <v/>
      </c>
    </row>
    <row r="913">
      <c r="A913" s="4" t="str">
        <f t="array" ref="A913">IF(COUNTIF(A$1:A912,Cotizador!F$2)=maxifs(Familias!E:E,Familias!D:D,Cotizador!F$2),IF(COUNTIF(A$1:A912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3" s="4" t="str">
        <f t="shared" si="1"/>
        <v/>
      </c>
      <c r="C913" s="4" t="str">
        <f t="array" ref="C913">IF(B913="","",IF(A913=XLOOKUP(A$2,Implementos!B:B,Implementos!C:C,"",0,1),B913+maxifs(B$1:B912,A$1:A912,A$2),B913))</f>
        <v/>
      </c>
      <c r="D913" s="4" t="str">
        <f>IF(B913="","", COUNTIFS(Productos!F:F,A913,Productos!H:H,B913)+IF(F913="SI",0,1))</f>
        <v/>
      </c>
      <c r="E913" s="4" t="str">
        <f>IFERROR(__xludf.DUMMYFUNCTION("IF($B913="""","""",INDEX(filter(Familias!F:F,Familias!$D:$D=$A913,Familias!$E:$E=$B913),1))"),"")</f>
        <v/>
      </c>
      <c r="F913" s="4" t="str">
        <f>IFERROR(__xludf.DUMMYFUNCTION("IF($B913="""","""",INDEX(filter(Familias!G:G,Familias!$D:$D=$A913,Familias!$E:$E=$B913),1))"),"")</f>
        <v/>
      </c>
      <c r="G913" s="4" t="str">
        <f t="array" ref="G913">IF(C913=1,XLOOKUP(C913,Cotizador!D:D,Cotizador!E:E,"",0,1),"")</f>
        <v/>
      </c>
      <c r="I913" s="4"/>
      <c r="J913" s="8" t="str">
        <f>IF(I913="","",SUMIF(Cotizador!I$1:V$1,I913,Cotizador!I$2:V$2))</f>
        <v/>
      </c>
      <c r="L913" s="4" t="str">
        <f t="array" ref="L913">IF(COUNTIF(L$1:L912,A$2)=SUMIF(A:A,A$2,D:D),IF(COUNTIF(L$1:L912,XLOOKUP(A$2,Implementos!B:B,Implementos!C:C,"",0,1))=SUMIF(A:A,XLOOKUP(A$2,Implementos!B:B,Implementos!C:C,"",0,1),D:D),"",XLOOKUP(A$2,Implementos!B:B,Implementos!C:C,"",0,1)),A$2)</f>
        <v/>
      </c>
      <c r="M913" s="4" t="str">
        <f t="shared" si="2"/>
        <v/>
      </c>
      <c r="N913" s="4" t="str">
        <f t="shared" si="3"/>
        <v/>
      </c>
      <c r="O913" s="4" t="str">
        <f t="shared" si="4"/>
        <v/>
      </c>
      <c r="P913" s="4" t="str">
        <f t="shared" si="5"/>
        <v/>
      </c>
      <c r="Q913" s="4" t="str">
        <f>IF(U913="","",SUMIF(Productos!E:E,U913,Productos!A:A))</f>
        <v/>
      </c>
      <c r="R913" s="4" t="str">
        <f t="array" ref="R913">IF(L913="","", max(1,SUMIF(I:I,XLOOKUP(U913,Productos!E:E,Productos!G:G,"",0,1),J:J)))</f>
        <v/>
      </c>
      <c r="S913" s="4" t="str">
        <f>IF(Q913="","",IF(SUMIFS(Compat_Vetado!D:D,Compat_Vetado!B:B,SUM(G:G),Compat_Vetado!C:C,Q913)=1,"SI",IF(OR(SUMIF(Cotizador!E:E,Q913,Cotizador!G:G)&gt;0,SUMIFS(Compat_Vetado!D:D,Compat_Vetado!B:B,SUM(G:G),Compat_Vetado!C:C,Q913)=-1),"NO","")))</f>
        <v/>
      </c>
      <c r="T913" s="4" t="str">
        <f t="shared" si="6"/>
        <v/>
      </c>
      <c r="U913" s="4" t="str">
        <f>IFERROR(__xludf.DUMMYFUNCTION("IF(P913="""","""",IFERROR(INDEX(filter(Productos!E:E,Productos!F:F=L913,Productos!H:H=N913),P913),IF(M913=SUM(D:D),""Finalizar"",""-"")))"),"")</f>
        <v/>
      </c>
      <c r="V913" s="4" t="str">
        <f>IFERROR(__xludf.DUMMYFUNCTION("IF(OR($U913="""",COUNTIF($I:$I,IFERROR(unique(filter(Prod_Prop!$H:$H,Prod_Prop!$G:$G=$U913,Prod_Prop!$E:$E=V$1)),""Check""))=0),"""",IFERROR(unique(filter(Prod_Prop!$H:$H,Prod_Prop!$G:$G=$U913,Prod_Prop!$E:$E=V$1)),""""))"),"")</f>
        <v/>
      </c>
      <c r="W913" s="4" t="str">
        <f>IF(V913="","",SUMIFS(Prod_Prop!$J:$J,Prod_Prop!$B:$B,$Q913,Prod_Prop!$H:$H,V913,Prod_Prop!$I:$I,W$1)*IF(V913="Peso",$R913,1))</f>
        <v/>
      </c>
      <c r="X913" s="4" t="str">
        <f>IF(V913="","",SUMIFS(Prod_Prop!$J:$J,Prod_Prop!$B:$B,$Q913,Prod_Prop!$H:$H,V913,Prod_Prop!$I:$I,X$1)*IF(V913="Peso",$R913,1))</f>
        <v/>
      </c>
      <c r="Y913" s="4" t="str">
        <f>IFERROR(__xludf.DUMMYFUNCTION("IF(OR($U913="""",COUNTIF($I:$I,IFERROR(unique(filter(Prod_Prop!$H:$H,Prod_Prop!$G:$G=$U913,Prod_Prop!$E:$E=Y$1)),""Check""))=0),"""",IFERROR(unique(filter(Prod_Prop!$H:$H,Prod_Prop!$G:$G=$U913,Prod_Prop!$E:$E=Y$1)),""""))"),"")</f>
        <v/>
      </c>
      <c r="Z913" s="4" t="str">
        <f>IF(Y913="","",SUMIFS(Prod_Prop!$J:$J,Prod_Prop!$B:$B,$Q913,Prod_Prop!$H:$H,Y913,Prod_Prop!$I:$I,Z$1)*IF(Y913="Peso",$R913,1))</f>
        <v/>
      </c>
      <c r="AA913" s="4" t="str">
        <f>IF(Y913="","",SUMIFS(Prod_Prop!$J:$J,Prod_Prop!$B:$B,$Q913,Prod_Prop!$H:$H,Y913,Prod_Prop!$I:$I,AA$1)*IF(Y913="Peso",$R913,1))</f>
        <v/>
      </c>
      <c r="AB913" s="4" t="str">
        <f>IFERROR(__xludf.DUMMYFUNCTION("IF(OR($U913="""",COUNTIF($I:$I,IFERROR(unique(filter(Prod_Prop!$H:$H,Prod_Prop!$G:$G=$U913,Prod_Prop!$E:$E=AB$1)),""Check""))=0),"""",IFERROR(unique(filter(Prod_Prop!$H:$H,Prod_Prop!$G:$G=$U913,Prod_Prop!$E:$E=AB$1)),""""))"),"")</f>
        <v/>
      </c>
      <c r="AC913" s="4" t="str">
        <f>IF(AB913="","",SUMIFS(Prod_Prop!$J:$J,Prod_Prop!$B:$B,$Q913,Prod_Prop!$H:$H,AB913,Prod_Prop!$I:$I,AC$1)*IF(AB913="Peso",$R913,1))</f>
        <v/>
      </c>
      <c r="AD913" s="4" t="str">
        <f>IF(AB913="","",SUMIFS(Prod_Prop!$J:$J,Prod_Prop!$B:$B,$Q913,Prod_Prop!$H:$H,AB913,Prod_Prop!$I:$I,AD$1)*IF(AB913="Peso",$R913,1))</f>
        <v/>
      </c>
    </row>
    <row r="914">
      <c r="A914" s="4" t="str">
        <f t="array" ref="A914">IF(COUNTIF(A$1:A913,Cotizador!F$2)=maxifs(Familias!E:E,Familias!D:D,Cotizador!F$2),IF(COUNTIF(A$1:A913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4" s="4" t="str">
        <f t="shared" si="1"/>
        <v/>
      </c>
      <c r="C914" s="4" t="str">
        <f t="array" ref="C914">IF(B914="","",IF(A914=XLOOKUP(A$2,Implementos!B:B,Implementos!C:C,"",0,1),B914+maxifs(B$1:B913,A$1:A913,A$2),B914))</f>
        <v/>
      </c>
      <c r="D914" s="4" t="str">
        <f>IF(B914="","", COUNTIFS(Productos!F:F,A914,Productos!H:H,B914)+IF(F914="SI",0,1))</f>
        <v/>
      </c>
      <c r="E914" s="4" t="str">
        <f>IFERROR(__xludf.DUMMYFUNCTION("IF($B914="""","""",INDEX(filter(Familias!F:F,Familias!$D:$D=$A914,Familias!$E:$E=$B914),1))"),"")</f>
        <v/>
      </c>
      <c r="F914" s="4" t="str">
        <f>IFERROR(__xludf.DUMMYFUNCTION("IF($B914="""","""",INDEX(filter(Familias!G:G,Familias!$D:$D=$A914,Familias!$E:$E=$B914),1))"),"")</f>
        <v/>
      </c>
      <c r="G914" s="4" t="str">
        <f t="array" ref="G914">IF(C914=1,XLOOKUP(C914,Cotizador!D:D,Cotizador!E:E,"",0,1),"")</f>
        <v/>
      </c>
      <c r="I914" s="4"/>
      <c r="J914" s="8" t="str">
        <f>IF(I914="","",SUMIF(Cotizador!I$1:V$1,I914,Cotizador!I$2:V$2))</f>
        <v/>
      </c>
      <c r="L914" s="4" t="str">
        <f t="array" ref="L914">IF(COUNTIF(L$1:L913,A$2)=SUMIF(A:A,A$2,D:D),IF(COUNTIF(L$1:L913,XLOOKUP(A$2,Implementos!B:B,Implementos!C:C,"",0,1))=SUMIF(A:A,XLOOKUP(A$2,Implementos!B:B,Implementos!C:C,"",0,1),D:D),"",XLOOKUP(A$2,Implementos!B:B,Implementos!C:C,"",0,1)),A$2)</f>
        <v/>
      </c>
      <c r="M914" s="4" t="str">
        <f t="shared" si="2"/>
        <v/>
      </c>
      <c r="N914" s="4" t="str">
        <f t="shared" si="3"/>
        <v/>
      </c>
      <c r="O914" s="4" t="str">
        <f t="shared" si="4"/>
        <v/>
      </c>
      <c r="P914" s="4" t="str">
        <f t="shared" si="5"/>
        <v/>
      </c>
      <c r="Q914" s="4" t="str">
        <f>IF(U914="","",SUMIF(Productos!E:E,U914,Productos!A:A))</f>
        <v/>
      </c>
      <c r="R914" s="4" t="str">
        <f t="array" ref="R914">IF(L914="","", max(1,SUMIF(I:I,XLOOKUP(U914,Productos!E:E,Productos!G:G,"",0,1),J:J)))</f>
        <v/>
      </c>
      <c r="S914" s="4" t="str">
        <f>IF(Q914="","",IF(SUMIFS(Compat_Vetado!D:D,Compat_Vetado!B:B,SUM(G:G),Compat_Vetado!C:C,Q914)=1,"SI",IF(OR(SUMIF(Cotizador!E:E,Q914,Cotizador!G:G)&gt;0,SUMIFS(Compat_Vetado!D:D,Compat_Vetado!B:B,SUM(G:G),Compat_Vetado!C:C,Q914)=-1),"NO","")))</f>
        <v/>
      </c>
      <c r="T914" s="4" t="str">
        <f t="shared" si="6"/>
        <v/>
      </c>
      <c r="U914" s="4" t="str">
        <f>IFERROR(__xludf.DUMMYFUNCTION("IF(P914="""","""",IFERROR(INDEX(filter(Productos!E:E,Productos!F:F=L914,Productos!H:H=N914),P914),IF(M914=SUM(D:D),""Finalizar"",""-"")))"),"")</f>
        <v/>
      </c>
      <c r="V914" s="4" t="str">
        <f>IFERROR(__xludf.DUMMYFUNCTION("IF(OR($U914="""",COUNTIF($I:$I,IFERROR(unique(filter(Prod_Prop!$H:$H,Prod_Prop!$G:$G=$U914,Prod_Prop!$E:$E=V$1)),""Check""))=0),"""",IFERROR(unique(filter(Prod_Prop!$H:$H,Prod_Prop!$G:$G=$U914,Prod_Prop!$E:$E=V$1)),""""))"),"")</f>
        <v/>
      </c>
      <c r="W914" s="4" t="str">
        <f>IF(V914="","",SUMIFS(Prod_Prop!$J:$J,Prod_Prop!$B:$B,$Q914,Prod_Prop!$H:$H,V914,Prod_Prop!$I:$I,W$1)*IF(V914="Peso",$R914,1))</f>
        <v/>
      </c>
      <c r="X914" s="4" t="str">
        <f>IF(V914="","",SUMIFS(Prod_Prop!$J:$J,Prod_Prop!$B:$B,$Q914,Prod_Prop!$H:$H,V914,Prod_Prop!$I:$I,X$1)*IF(V914="Peso",$R914,1))</f>
        <v/>
      </c>
      <c r="Y914" s="4" t="str">
        <f>IFERROR(__xludf.DUMMYFUNCTION("IF(OR($U914="""",COUNTIF($I:$I,IFERROR(unique(filter(Prod_Prop!$H:$H,Prod_Prop!$G:$G=$U914,Prod_Prop!$E:$E=Y$1)),""Check""))=0),"""",IFERROR(unique(filter(Prod_Prop!$H:$H,Prod_Prop!$G:$G=$U914,Prod_Prop!$E:$E=Y$1)),""""))"),"")</f>
        <v/>
      </c>
      <c r="Z914" s="4" t="str">
        <f>IF(Y914="","",SUMIFS(Prod_Prop!$J:$J,Prod_Prop!$B:$B,$Q914,Prod_Prop!$H:$H,Y914,Prod_Prop!$I:$I,Z$1)*IF(Y914="Peso",$R914,1))</f>
        <v/>
      </c>
      <c r="AA914" s="4" t="str">
        <f>IF(Y914="","",SUMIFS(Prod_Prop!$J:$J,Prod_Prop!$B:$B,$Q914,Prod_Prop!$H:$H,Y914,Prod_Prop!$I:$I,AA$1)*IF(Y914="Peso",$R914,1))</f>
        <v/>
      </c>
      <c r="AB914" s="4" t="str">
        <f>IFERROR(__xludf.DUMMYFUNCTION("IF(OR($U914="""",COUNTIF($I:$I,IFERROR(unique(filter(Prod_Prop!$H:$H,Prod_Prop!$G:$G=$U914,Prod_Prop!$E:$E=AB$1)),""Check""))=0),"""",IFERROR(unique(filter(Prod_Prop!$H:$H,Prod_Prop!$G:$G=$U914,Prod_Prop!$E:$E=AB$1)),""""))"),"")</f>
        <v/>
      </c>
      <c r="AC914" s="4" t="str">
        <f>IF(AB914="","",SUMIFS(Prod_Prop!$J:$J,Prod_Prop!$B:$B,$Q914,Prod_Prop!$H:$H,AB914,Prod_Prop!$I:$I,AC$1)*IF(AB914="Peso",$R914,1))</f>
        <v/>
      </c>
      <c r="AD914" s="4" t="str">
        <f>IF(AB914="","",SUMIFS(Prod_Prop!$J:$J,Prod_Prop!$B:$B,$Q914,Prod_Prop!$H:$H,AB914,Prod_Prop!$I:$I,AD$1)*IF(AB914="Peso",$R914,1))</f>
        <v/>
      </c>
    </row>
    <row r="915">
      <c r="A915" s="4" t="str">
        <f t="array" ref="A915">IF(COUNTIF(A$1:A914,Cotizador!F$2)=maxifs(Familias!E:E,Familias!D:D,Cotizador!F$2),IF(COUNTIF(A$1:A914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5" s="4" t="str">
        <f t="shared" si="1"/>
        <v/>
      </c>
      <c r="C915" s="4" t="str">
        <f t="array" ref="C915">IF(B915="","",IF(A915=XLOOKUP(A$2,Implementos!B:B,Implementos!C:C,"",0,1),B915+maxifs(B$1:B914,A$1:A914,A$2),B915))</f>
        <v/>
      </c>
      <c r="D915" s="4" t="str">
        <f>IF(B915="","", COUNTIFS(Productos!F:F,A915,Productos!H:H,B915)+IF(F915="SI",0,1))</f>
        <v/>
      </c>
      <c r="E915" s="4" t="str">
        <f>IFERROR(__xludf.DUMMYFUNCTION("IF($B915="""","""",INDEX(filter(Familias!F:F,Familias!$D:$D=$A915,Familias!$E:$E=$B915),1))"),"")</f>
        <v/>
      </c>
      <c r="F915" s="4" t="str">
        <f>IFERROR(__xludf.DUMMYFUNCTION("IF($B915="""","""",INDEX(filter(Familias!G:G,Familias!$D:$D=$A915,Familias!$E:$E=$B915),1))"),"")</f>
        <v/>
      </c>
      <c r="G915" s="4" t="str">
        <f t="array" ref="G915">IF(C915=1,XLOOKUP(C915,Cotizador!D:D,Cotizador!E:E,"",0,1),"")</f>
        <v/>
      </c>
      <c r="I915" s="4"/>
      <c r="J915" s="8" t="str">
        <f>IF(I915="","",SUMIF(Cotizador!I$1:V$1,I915,Cotizador!I$2:V$2))</f>
        <v/>
      </c>
      <c r="L915" s="4" t="str">
        <f t="array" ref="L915">IF(COUNTIF(L$1:L914,A$2)=SUMIF(A:A,A$2,D:D),IF(COUNTIF(L$1:L914,XLOOKUP(A$2,Implementos!B:B,Implementos!C:C,"",0,1))=SUMIF(A:A,XLOOKUP(A$2,Implementos!B:B,Implementos!C:C,"",0,1),D:D),"",XLOOKUP(A$2,Implementos!B:B,Implementos!C:C,"",0,1)),A$2)</f>
        <v/>
      </c>
      <c r="M915" s="4" t="str">
        <f t="shared" si="2"/>
        <v/>
      </c>
      <c r="N915" s="4" t="str">
        <f t="shared" si="3"/>
        <v/>
      </c>
      <c r="O915" s="4" t="str">
        <f t="shared" si="4"/>
        <v/>
      </c>
      <c r="P915" s="4" t="str">
        <f t="shared" si="5"/>
        <v/>
      </c>
      <c r="Q915" s="4" t="str">
        <f>IF(U915="","",SUMIF(Productos!E:E,U915,Productos!A:A))</f>
        <v/>
      </c>
      <c r="R915" s="4" t="str">
        <f t="array" ref="R915">IF(L915="","", max(1,SUMIF(I:I,XLOOKUP(U915,Productos!E:E,Productos!G:G,"",0,1),J:J)))</f>
        <v/>
      </c>
      <c r="S915" s="4" t="str">
        <f>IF(Q915="","",IF(SUMIFS(Compat_Vetado!D:D,Compat_Vetado!B:B,SUM(G:G),Compat_Vetado!C:C,Q915)=1,"SI",IF(OR(SUMIF(Cotizador!E:E,Q915,Cotizador!G:G)&gt;0,SUMIFS(Compat_Vetado!D:D,Compat_Vetado!B:B,SUM(G:G),Compat_Vetado!C:C,Q915)=-1),"NO","")))</f>
        <v/>
      </c>
      <c r="T915" s="4" t="str">
        <f t="shared" si="6"/>
        <v/>
      </c>
      <c r="U915" s="4" t="str">
        <f>IFERROR(__xludf.DUMMYFUNCTION("IF(P915="""","""",IFERROR(INDEX(filter(Productos!E:E,Productos!F:F=L915,Productos!H:H=N915),P915),IF(M915=SUM(D:D),""Finalizar"",""-"")))"),"")</f>
        <v/>
      </c>
      <c r="V915" s="4" t="str">
        <f>IFERROR(__xludf.DUMMYFUNCTION("IF(OR($U915="""",COUNTIF($I:$I,IFERROR(unique(filter(Prod_Prop!$H:$H,Prod_Prop!$G:$G=$U915,Prod_Prop!$E:$E=V$1)),""Check""))=0),"""",IFERROR(unique(filter(Prod_Prop!$H:$H,Prod_Prop!$G:$G=$U915,Prod_Prop!$E:$E=V$1)),""""))"),"")</f>
        <v/>
      </c>
      <c r="W915" s="4" t="str">
        <f>IF(V915="","",SUMIFS(Prod_Prop!$J:$J,Prod_Prop!$B:$B,$Q915,Prod_Prop!$H:$H,V915,Prod_Prop!$I:$I,W$1)*IF(V915="Peso",$R915,1))</f>
        <v/>
      </c>
      <c r="X915" s="4" t="str">
        <f>IF(V915="","",SUMIFS(Prod_Prop!$J:$J,Prod_Prop!$B:$B,$Q915,Prod_Prop!$H:$H,V915,Prod_Prop!$I:$I,X$1)*IF(V915="Peso",$R915,1))</f>
        <v/>
      </c>
      <c r="Y915" s="4" t="str">
        <f>IFERROR(__xludf.DUMMYFUNCTION("IF(OR($U915="""",COUNTIF($I:$I,IFERROR(unique(filter(Prod_Prop!$H:$H,Prod_Prop!$G:$G=$U915,Prod_Prop!$E:$E=Y$1)),""Check""))=0),"""",IFERROR(unique(filter(Prod_Prop!$H:$H,Prod_Prop!$G:$G=$U915,Prod_Prop!$E:$E=Y$1)),""""))"),"")</f>
        <v/>
      </c>
      <c r="Z915" s="4" t="str">
        <f>IF(Y915="","",SUMIFS(Prod_Prop!$J:$J,Prod_Prop!$B:$B,$Q915,Prod_Prop!$H:$H,Y915,Prod_Prop!$I:$I,Z$1)*IF(Y915="Peso",$R915,1))</f>
        <v/>
      </c>
      <c r="AA915" s="4" t="str">
        <f>IF(Y915="","",SUMIFS(Prod_Prop!$J:$J,Prod_Prop!$B:$B,$Q915,Prod_Prop!$H:$H,Y915,Prod_Prop!$I:$I,AA$1)*IF(Y915="Peso",$R915,1))</f>
        <v/>
      </c>
      <c r="AB915" s="4" t="str">
        <f>IFERROR(__xludf.DUMMYFUNCTION("IF(OR($U915="""",COUNTIF($I:$I,IFERROR(unique(filter(Prod_Prop!$H:$H,Prod_Prop!$G:$G=$U915,Prod_Prop!$E:$E=AB$1)),""Check""))=0),"""",IFERROR(unique(filter(Prod_Prop!$H:$H,Prod_Prop!$G:$G=$U915,Prod_Prop!$E:$E=AB$1)),""""))"),"")</f>
        <v/>
      </c>
      <c r="AC915" s="4" t="str">
        <f>IF(AB915="","",SUMIFS(Prod_Prop!$J:$J,Prod_Prop!$B:$B,$Q915,Prod_Prop!$H:$H,AB915,Prod_Prop!$I:$I,AC$1)*IF(AB915="Peso",$R915,1))</f>
        <v/>
      </c>
      <c r="AD915" s="4" t="str">
        <f>IF(AB915="","",SUMIFS(Prod_Prop!$J:$J,Prod_Prop!$B:$B,$Q915,Prod_Prop!$H:$H,AB915,Prod_Prop!$I:$I,AD$1)*IF(AB915="Peso",$R915,1))</f>
        <v/>
      </c>
    </row>
    <row r="916">
      <c r="A916" s="4" t="str">
        <f t="array" ref="A916">IF(COUNTIF(A$1:A915,Cotizador!F$2)=maxifs(Familias!E:E,Familias!D:D,Cotizador!F$2),IF(COUNTIF(A$1:A915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6" s="4" t="str">
        <f t="shared" si="1"/>
        <v/>
      </c>
      <c r="C916" s="4" t="str">
        <f t="array" ref="C916">IF(B916="","",IF(A916=XLOOKUP(A$2,Implementos!B:B,Implementos!C:C,"",0,1),B916+maxifs(B$1:B915,A$1:A915,A$2),B916))</f>
        <v/>
      </c>
      <c r="D916" s="4" t="str">
        <f>IF(B916="","", COUNTIFS(Productos!F:F,A916,Productos!H:H,B916)+IF(F916="SI",0,1))</f>
        <v/>
      </c>
      <c r="E916" s="4" t="str">
        <f>IFERROR(__xludf.DUMMYFUNCTION("IF($B916="""","""",INDEX(filter(Familias!F:F,Familias!$D:$D=$A916,Familias!$E:$E=$B916),1))"),"")</f>
        <v/>
      </c>
      <c r="F916" s="4" t="str">
        <f>IFERROR(__xludf.DUMMYFUNCTION("IF($B916="""","""",INDEX(filter(Familias!G:G,Familias!$D:$D=$A916,Familias!$E:$E=$B916),1))"),"")</f>
        <v/>
      </c>
      <c r="G916" s="4" t="str">
        <f t="array" ref="G916">IF(C916=1,XLOOKUP(C916,Cotizador!D:D,Cotizador!E:E,"",0,1),"")</f>
        <v/>
      </c>
      <c r="I916" s="4"/>
      <c r="J916" s="8" t="str">
        <f>IF(I916="","",SUMIF(Cotizador!I$1:V$1,I916,Cotizador!I$2:V$2))</f>
        <v/>
      </c>
      <c r="L916" s="4" t="str">
        <f t="array" ref="L916">IF(COUNTIF(L$1:L915,A$2)=SUMIF(A:A,A$2,D:D),IF(COUNTIF(L$1:L915,XLOOKUP(A$2,Implementos!B:B,Implementos!C:C,"",0,1))=SUMIF(A:A,XLOOKUP(A$2,Implementos!B:B,Implementos!C:C,"",0,1),D:D),"",XLOOKUP(A$2,Implementos!B:B,Implementos!C:C,"",0,1)),A$2)</f>
        <v/>
      </c>
      <c r="M916" s="4" t="str">
        <f t="shared" si="2"/>
        <v/>
      </c>
      <c r="N916" s="4" t="str">
        <f t="shared" si="3"/>
        <v/>
      </c>
      <c r="O916" s="4" t="str">
        <f t="shared" si="4"/>
        <v/>
      </c>
      <c r="P916" s="4" t="str">
        <f t="shared" si="5"/>
        <v/>
      </c>
      <c r="Q916" s="4" t="str">
        <f>IF(U916="","",SUMIF(Productos!E:E,U916,Productos!A:A))</f>
        <v/>
      </c>
      <c r="R916" s="4" t="str">
        <f t="array" ref="R916">IF(L916="","", max(1,SUMIF(I:I,XLOOKUP(U916,Productos!E:E,Productos!G:G,"",0,1),J:J)))</f>
        <v/>
      </c>
      <c r="S916" s="4" t="str">
        <f>IF(Q916="","",IF(SUMIFS(Compat_Vetado!D:D,Compat_Vetado!B:B,SUM(G:G),Compat_Vetado!C:C,Q916)=1,"SI",IF(OR(SUMIF(Cotizador!E:E,Q916,Cotizador!G:G)&gt;0,SUMIFS(Compat_Vetado!D:D,Compat_Vetado!B:B,SUM(G:G),Compat_Vetado!C:C,Q916)=-1),"NO","")))</f>
        <v/>
      </c>
      <c r="T916" s="4" t="str">
        <f t="shared" si="6"/>
        <v/>
      </c>
      <c r="U916" s="4" t="str">
        <f>IFERROR(__xludf.DUMMYFUNCTION("IF(P916="""","""",IFERROR(INDEX(filter(Productos!E:E,Productos!F:F=L916,Productos!H:H=N916),P916),IF(M916=SUM(D:D),""Finalizar"",""-"")))"),"")</f>
        <v/>
      </c>
      <c r="V916" s="4" t="str">
        <f>IFERROR(__xludf.DUMMYFUNCTION("IF(OR($U916="""",COUNTIF($I:$I,IFERROR(unique(filter(Prod_Prop!$H:$H,Prod_Prop!$G:$G=$U916,Prod_Prop!$E:$E=V$1)),""Check""))=0),"""",IFERROR(unique(filter(Prod_Prop!$H:$H,Prod_Prop!$G:$G=$U916,Prod_Prop!$E:$E=V$1)),""""))"),"")</f>
        <v/>
      </c>
      <c r="W916" s="4" t="str">
        <f>IF(V916="","",SUMIFS(Prod_Prop!$J:$J,Prod_Prop!$B:$B,$Q916,Prod_Prop!$H:$H,V916,Prod_Prop!$I:$I,W$1)*IF(V916="Peso",$R916,1))</f>
        <v/>
      </c>
      <c r="X916" s="4" t="str">
        <f>IF(V916="","",SUMIFS(Prod_Prop!$J:$J,Prod_Prop!$B:$B,$Q916,Prod_Prop!$H:$H,V916,Prod_Prop!$I:$I,X$1)*IF(V916="Peso",$R916,1))</f>
        <v/>
      </c>
      <c r="Y916" s="4" t="str">
        <f>IFERROR(__xludf.DUMMYFUNCTION("IF(OR($U916="""",COUNTIF($I:$I,IFERROR(unique(filter(Prod_Prop!$H:$H,Prod_Prop!$G:$G=$U916,Prod_Prop!$E:$E=Y$1)),""Check""))=0),"""",IFERROR(unique(filter(Prod_Prop!$H:$H,Prod_Prop!$G:$G=$U916,Prod_Prop!$E:$E=Y$1)),""""))"),"")</f>
        <v/>
      </c>
      <c r="Z916" s="4" t="str">
        <f>IF(Y916="","",SUMIFS(Prod_Prop!$J:$J,Prod_Prop!$B:$B,$Q916,Prod_Prop!$H:$H,Y916,Prod_Prop!$I:$I,Z$1)*IF(Y916="Peso",$R916,1))</f>
        <v/>
      </c>
      <c r="AA916" s="4" t="str">
        <f>IF(Y916="","",SUMIFS(Prod_Prop!$J:$J,Prod_Prop!$B:$B,$Q916,Prod_Prop!$H:$H,Y916,Prod_Prop!$I:$I,AA$1)*IF(Y916="Peso",$R916,1))</f>
        <v/>
      </c>
      <c r="AB916" s="4" t="str">
        <f>IFERROR(__xludf.DUMMYFUNCTION("IF(OR($U916="""",COUNTIF($I:$I,IFERROR(unique(filter(Prod_Prop!$H:$H,Prod_Prop!$G:$G=$U916,Prod_Prop!$E:$E=AB$1)),""Check""))=0),"""",IFERROR(unique(filter(Prod_Prop!$H:$H,Prod_Prop!$G:$G=$U916,Prod_Prop!$E:$E=AB$1)),""""))"),"")</f>
        <v/>
      </c>
      <c r="AC916" s="4" t="str">
        <f>IF(AB916="","",SUMIFS(Prod_Prop!$J:$J,Prod_Prop!$B:$B,$Q916,Prod_Prop!$H:$H,AB916,Prod_Prop!$I:$I,AC$1)*IF(AB916="Peso",$R916,1))</f>
        <v/>
      </c>
      <c r="AD916" s="4" t="str">
        <f>IF(AB916="","",SUMIFS(Prod_Prop!$J:$J,Prod_Prop!$B:$B,$Q916,Prod_Prop!$H:$H,AB916,Prod_Prop!$I:$I,AD$1)*IF(AB916="Peso",$R916,1))</f>
        <v/>
      </c>
    </row>
    <row r="917">
      <c r="A917" s="4" t="str">
        <f t="array" ref="A917">IF(COUNTIF(A$1:A916,Cotizador!F$2)=maxifs(Familias!E:E,Familias!D:D,Cotizador!F$2),IF(COUNTIF(A$1:A916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7" s="4" t="str">
        <f t="shared" si="1"/>
        <v/>
      </c>
      <c r="C917" s="4" t="str">
        <f t="array" ref="C917">IF(B917="","",IF(A917=XLOOKUP(A$2,Implementos!B:B,Implementos!C:C,"",0,1),B917+maxifs(B$1:B916,A$1:A916,A$2),B917))</f>
        <v/>
      </c>
      <c r="D917" s="4" t="str">
        <f>IF(B917="","", COUNTIFS(Productos!F:F,A917,Productos!H:H,B917)+IF(F917="SI",0,1))</f>
        <v/>
      </c>
      <c r="E917" s="4" t="str">
        <f>IFERROR(__xludf.DUMMYFUNCTION("IF($B917="""","""",INDEX(filter(Familias!F:F,Familias!$D:$D=$A917,Familias!$E:$E=$B917),1))"),"")</f>
        <v/>
      </c>
      <c r="F917" s="4" t="str">
        <f>IFERROR(__xludf.DUMMYFUNCTION("IF($B917="""","""",INDEX(filter(Familias!G:G,Familias!$D:$D=$A917,Familias!$E:$E=$B917),1))"),"")</f>
        <v/>
      </c>
      <c r="G917" s="4" t="str">
        <f t="array" ref="G917">IF(C917=1,XLOOKUP(C917,Cotizador!D:D,Cotizador!E:E,"",0,1),"")</f>
        <v/>
      </c>
      <c r="I917" s="4"/>
      <c r="J917" s="8" t="str">
        <f>IF(I917="","",SUMIF(Cotizador!I$1:V$1,I917,Cotizador!I$2:V$2))</f>
        <v/>
      </c>
      <c r="L917" s="4" t="str">
        <f t="array" ref="L917">IF(COUNTIF(L$1:L916,A$2)=SUMIF(A:A,A$2,D:D),IF(COUNTIF(L$1:L916,XLOOKUP(A$2,Implementos!B:B,Implementos!C:C,"",0,1))=SUMIF(A:A,XLOOKUP(A$2,Implementos!B:B,Implementos!C:C,"",0,1),D:D),"",XLOOKUP(A$2,Implementos!B:B,Implementos!C:C,"",0,1)),A$2)</f>
        <v/>
      </c>
      <c r="M917" s="4" t="str">
        <f t="shared" si="2"/>
        <v/>
      </c>
      <c r="N917" s="4" t="str">
        <f t="shared" si="3"/>
        <v/>
      </c>
      <c r="O917" s="4" t="str">
        <f t="shared" si="4"/>
        <v/>
      </c>
      <c r="P917" s="4" t="str">
        <f t="shared" si="5"/>
        <v/>
      </c>
      <c r="Q917" s="4" t="str">
        <f>IF(U917="","",SUMIF(Productos!E:E,U917,Productos!A:A))</f>
        <v/>
      </c>
      <c r="R917" s="4" t="str">
        <f t="array" ref="R917">IF(L917="","", max(1,SUMIF(I:I,XLOOKUP(U917,Productos!E:E,Productos!G:G,"",0,1),J:J)))</f>
        <v/>
      </c>
      <c r="S917" s="4" t="str">
        <f>IF(Q917="","",IF(SUMIFS(Compat_Vetado!D:D,Compat_Vetado!B:B,SUM(G:G),Compat_Vetado!C:C,Q917)=1,"SI",IF(OR(SUMIF(Cotizador!E:E,Q917,Cotizador!G:G)&gt;0,SUMIFS(Compat_Vetado!D:D,Compat_Vetado!B:B,SUM(G:G),Compat_Vetado!C:C,Q917)=-1),"NO","")))</f>
        <v/>
      </c>
      <c r="T917" s="4" t="str">
        <f t="shared" si="6"/>
        <v/>
      </c>
      <c r="U917" s="4" t="str">
        <f>IFERROR(__xludf.DUMMYFUNCTION("IF(P917="""","""",IFERROR(INDEX(filter(Productos!E:E,Productos!F:F=L917,Productos!H:H=N917),P917),IF(M917=SUM(D:D),""Finalizar"",""-"")))"),"")</f>
        <v/>
      </c>
      <c r="V917" s="4" t="str">
        <f>IFERROR(__xludf.DUMMYFUNCTION("IF(OR($U917="""",COUNTIF($I:$I,IFERROR(unique(filter(Prod_Prop!$H:$H,Prod_Prop!$G:$G=$U917,Prod_Prop!$E:$E=V$1)),""Check""))=0),"""",IFERROR(unique(filter(Prod_Prop!$H:$H,Prod_Prop!$G:$G=$U917,Prod_Prop!$E:$E=V$1)),""""))"),"")</f>
        <v/>
      </c>
      <c r="W917" s="4" t="str">
        <f>IF(V917="","",SUMIFS(Prod_Prop!$J:$J,Prod_Prop!$B:$B,$Q917,Prod_Prop!$H:$H,V917,Prod_Prop!$I:$I,W$1)*IF(V917="Peso",$R917,1))</f>
        <v/>
      </c>
      <c r="X917" s="4" t="str">
        <f>IF(V917="","",SUMIFS(Prod_Prop!$J:$J,Prod_Prop!$B:$B,$Q917,Prod_Prop!$H:$H,V917,Prod_Prop!$I:$I,X$1)*IF(V917="Peso",$R917,1))</f>
        <v/>
      </c>
      <c r="Y917" s="4" t="str">
        <f>IFERROR(__xludf.DUMMYFUNCTION("IF(OR($U917="""",COUNTIF($I:$I,IFERROR(unique(filter(Prod_Prop!$H:$H,Prod_Prop!$G:$G=$U917,Prod_Prop!$E:$E=Y$1)),""Check""))=0),"""",IFERROR(unique(filter(Prod_Prop!$H:$H,Prod_Prop!$G:$G=$U917,Prod_Prop!$E:$E=Y$1)),""""))"),"")</f>
        <v/>
      </c>
      <c r="Z917" s="4" t="str">
        <f>IF(Y917="","",SUMIFS(Prod_Prop!$J:$J,Prod_Prop!$B:$B,$Q917,Prod_Prop!$H:$H,Y917,Prod_Prop!$I:$I,Z$1)*IF(Y917="Peso",$R917,1))</f>
        <v/>
      </c>
      <c r="AA917" s="4" t="str">
        <f>IF(Y917="","",SUMIFS(Prod_Prop!$J:$J,Prod_Prop!$B:$B,$Q917,Prod_Prop!$H:$H,Y917,Prod_Prop!$I:$I,AA$1)*IF(Y917="Peso",$R917,1))</f>
        <v/>
      </c>
      <c r="AB917" s="4" t="str">
        <f>IFERROR(__xludf.DUMMYFUNCTION("IF(OR($U917="""",COUNTIF($I:$I,IFERROR(unique(filter(Prod_Prop!$H:$H,Prod_Prop!$G:$G=$U917,Prod_Prop!$E:$E=AB$1)),""Check""))=0),"""",IFERROR(unique(filter(Prod_Prop!$H:$H,Prod_Prop!$G:$G=$U917,Prod_Prop!$E:$E=AB$1)),""""))"),"")</f>
        <v/>
      </c>
      <c r="AC917" s="4" t="str">
        <f>IF(AB917="","",SUMIFS(Prod_Prop!$J:$J,Prod_Prop!$B:$B,$Q917,Prod_Prop!$H:$H,AB917,Prod_Prop!$I:$I,AC$1)*IF(AB917="Peso",$R917,1))</f>
        <v/>
      </c>
      <c r="AD917" s="4" t="str">
        <f>IF(AB917="","",SUMIFS(Prod_Prop!$J:$J,Prod_Prop!$B:$B,$Q917,Prod_Prop!$H:$H,AB917,Prod_Prop!$I:$I,AD$1)*IF(AB917="Peso",$R917,1))</f>
        <v/>
      </c>
    </row>
    <row r="918">
      <c r="A918" s="4" t="str">
        <f t="array" ref="A918">IF(COUNTIF(A$1:A917,Cotizador!F$2)=maxifs(Familias!E:E,Familias!D:D,Cotizador!F$2),IF(COUNTIF(A$1:A917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8" s="4" t="str">
        <f t="shared" si="1"/>
        <v/>
      </c>
      <c r="C918" s="4" t="str">
        <f t="array" ref="C918">IF(B918="","",IF(A918=XLOOKUP(A$2,Implementos!B:B,Implementos!C:C,"",0,1),B918+maxifs(B$1:B917,A$1:A917,A$2),B918))</f>
        <v/>
      </c>
      <c r="D918" s="4" t="str">
        <f>IF(B918="","", COUNTIFS(Productos!F:F,A918,Productos!H:H,B918)+IF(F918="SI",0,1))</f>
        <v/>
      </c>
      <c r="E918" s="4" t="str">
        <f>IFERROR(__xludf.DUMMYFUNCTION("IF($B918="""","""",INDEX(filter(Familias!F:F,Familias!$D:$D=$A918,Familias!$E:$E=$B918),1))"),"")</f>
        <v/>
      </c>
      <c r="F918" s="4" t="str">
        <f>IFERROR(__xludf.DUMMYFUNCTION("IF($B918="""","""",INDEX(filter(Familias!G:G,Familias!$D:$D=$A918,Familias!$E:$E=$B918),1))"),"")</f>
        <v/>
      </c>
      <c r="G918" s="4" t="str">
        <f t="array" ref="G918">IF(C918=1,XLOOKUP(C918,Cotizador!D:D,Cotizador!E:E,"",0,1),"")</f>
        <v/>
      </c>
      <c r="I918" s="4"/>
      <c r="J918" s="8" t="str">
        <f>IF(I918="","",SUMIF(Cotizador!I$1:V$1,I918,Cotizador!I$2:V$2))</f>
        <v/>
      </c>
      <c r="L918" s="4" t="str">
        <f t="array" ref="L918">IF(COUNTIF(L$1:L917,A$2)=SUMIF(A:A,A$2,D:D),IF(COUNTIF(L$1:L917,XLOOKUP(A$2,Implementos!B:B,Implementos!C:C,"",0,1))=SUMIF(A:A,XLOOKUP(A$2,Implementos!B:B,Implementos!C:C,"",0,1),D:D),"",XLOOKUP(A$2,Implementos!B:B,Implementos!C:C,"",0,1)),A$2)</f>
        <v/>
      </c>
      <c r="M918" s="4" t="str">
        <f t="shared" si="2"/>
        <v/>
      </c>
      <c r="N918" s="4" t="str">
        <f t="shared" si="3"/>
        <v/>
      </c>
      <c r="O918" s="4" t="str">
        <f t="shared" si="4"/>
        <v/>
      </c>
      <c r="P918" s="4" t="str">
        <f t="shared" si="5"/>
        <v/>
      </c>
      <c r="Q918" s="4" t="str">
        <f>IF(U918="","",SUMIF(Productos!E:E,U918,Productos!A:A))</f>
        <v/>
      </c>
      <c r="R918" s="4" t="str">
        <f t="array" ref="R918">IF(L918="","", max(1,SUMIF(I:I,XLOOKUP(U918,Productos!E:E,Productos!G:G,"",0,1),J:J)))</f>
        <v/>
      </c>
      <c r="S918" s="4" t="str">
        <f>IF(Q918="","",IF(SUMIFS(Compat_Vetado!D:D,Compat_Vetado!B:B,SUM(G:G),Compat_Vetado!C:C,Q918)=1,"SI",IF(OR(SUMIF(Cotizador!E:E,Q918,Cotizador!G:G)&gt;0,SUMIFS(Compat_Vetado!D:D,Compat_Vetado!B:B,SUM(G:G),Compat_Vetado!C:C,Q918)=-1),"NO","")))</f>
        <v/>
      </c>
      <c r="T918" s="4" t="str">
        <f t="shared" si="6"/>
        <v/>
      </c>
      <c r="U918" s="4" t="str">
        <f>IFERROR(__xludf.DUMMYFUNCTION("IF(P918="""","""",IFERROR(INDEX(filter(Productos!E:E,Productos!F:F=L918,Productos!H:H=N918),P918),IF(M918=SUM(D:D),""Finalizar"",""-"")))"),"")</f>
        <v/>
      </c>
      <c r="V918" s="4" t="str">
        <f>IFERROR(__xludf.DUMMYFUNCTION("IF(OR($U918="""",COUNTIF($I:$I,IFERROR(unique(filter(Prod_Prop!$H:$H,Prod_Prop!$G:$G=$U918,Prod_Prop!$E:$E=V$1)),""Check""))=0),"""",IFERROR(unique(filter(Prod_Prop!$H:$H,Prod_Prop!$G:$G=$U918,Prod_Prop!$E:$E=V$1)),""""))"),"")</f>
        <v/>
      </c>
      <c r="W918" s="4" t="str">
        <f>IF(V918="","",SUMIFS(Prod_Prop!$J:$J,Prod_Prop!$B:$B,$Q918,Prod_Prop!$H:$H,V918,Prod_Prop!$I:$I,W$1)*IF(V918="Peso",$R918,1))</f>
        <v/>
      </c>
      <c r="X918" s="4" t="str">
        <f>IF(V918="","",SUMIFS(Prod_Prop!$J:$J,Prod_Prop!$B:$B,$Q918,Prod_Prop!$H:$H,V918,Prod_Prop!$I:$I,X$1)*IF(V918="Peso",$R918,1))</f>
        <v/>
      </c>
      <c r="Y918" s="4" t="str">
        <f>IFERROR(__xludf.DUMMYFUNCTION("IF(OR($U918="""",COUNTIF($I:$I,IFERROR(unique(filter(Prod_Prop!$H:$H,Prod_Prop!$G:$G=$U918,Prod_Prop!$E:$E=Y$1)),""Check""))=0),"""",IFERROR(unique(filter(Prod_Prop!$H:$H,Prod_Prop!$G:$G=$U918,Prod_Prop!$E:$E=Y$1)),""""))"),"")</f>
        <v/>
      </c>
      <c r="Z918" s="4" t="str">
        <f>IF(Y918="","",SUMIFS(Prod_Prop!$J:$J,Prod_Prop!$B:$B,$Q918,Prod_Prop!$H:$H,Y918,Prod_Prop!$I:$I,Z$1)*IF(Y918="Peso",$R918,1))</f>
        <v/>
      </c>
      <c r="AA918" s="4" t="str">
        <f>IF(Y918="","",SUMIFS(Prod_Prop!$J:$J,Prod_Prop!$B:$B,$Q918,Prod_Prop!$H:$H,Y918,Prod_Prop!$I:$I,AA$1)*IF(Y918="Peso",$R918,1))</f>
        <v/>
      </c>
      <c r="AB918" s="4" t="str">
        <f>IFERROR(__xludf.DUMMYFUNCTION("IF(OR($U918="""",COUNTIF($I:$I,IFERROR(unique(filter(Prod_Prop!$H:$H,Prod_Prop!$G:$G=$U918,Prod_Prop!$E:$E=AB$1)),""Check""))=0),"""",IFERROR(unique(filter(Prod_Prop!$H:$H,Prod_Prop!$G:$G=$U918,Prod_Prop!$E:$E=AB$1)),""""))"),"")</f>
        <v/>
      </c>
      <c r="AC918" s="4" t="str">
        <f>IF(AB918="","",SUMIFS(Prod_Prop!$J:$J,Prod_Prop!$B:$B,$Q918,Prod_Prop!$H:$H,AB918,Prod_Prop!$I:$I,AC$1)*IF(AB918="Peso",$R918,1))</f>
        <v/>
      </c>
      <c r="AD918" s="4" t="str">
        <f>IF(AB918="","",SUMIFS(Prod_Prop!$J:$J,Prod_Prop!$B:$B,$Q918,Prod_Prop!$H:$H,AB918,Prod_Prop!$I:$I,AD$1)*IF(AB918="Peso",$R918,1))</f>
        <v/>
      </c>
    </row>
    <row r="919">
      <c r="A919" s="4" t="str">
        <f t="array" ref="A919">IF(COUNTIF(A$1:A918,Cotizador!F$2)=maxifs(Familias!E:E,Familias!D:D,Cotizador!F$2),IF(COUNTIF(A$1:A918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19" s="4" t="str">
        <f t="shared" si="1"/>
        <v/>
      </c>
      <c r="C919" s="4" t="str">
        <f t="array" ref="C919">IF(B919="","",IF(A919=XLOOKUP(A$2,Implementos!B:B,Implementos!C:C,"",0,1),B919+maxifs(B$1:B918,A$1:A918,A$2),B919))</f>
        <v/>
      </c>
      <c r="D919" s="4" t="str">
        <f>IF(B919="","", COUNTIFS(Productos!F:F,A919,Productos!H:H,B919)+IF(F919="SI",0,1))</f>
        <v/>
      </c>
      <c r="E919" s="4" t="str">
        <f>IFERROR(__xludf.DUMMYFUNCTION("IF($B919="""","""",INDEX(filter(Familias!F:F,Familias!$D:$D=$A919,Familias!$E:$E=$B919),1))"),"")</f>
        <v/>
      </c>
      <c r="F919" s="4" t="str">
        <f>IFERROR(__xludf.DUMMYFUNCTION("IF($B919="""","""",INDEX(filter(Familias!G:G,Familias!$D:$D=$A919,Familias!$E:$E=$B919),1))"),"")</f>
        <v/>
      </c>
      <c r="G919" s="4" t="str">
        <f t="array" ref="G919">IF(C919=1,XLOOKUP(C919,Cotizador!D:D,Cotizador!E:E,"",0,1),"")</f>
        <v/>
      </c>
      <c r="I919" s="4"/>
      <c r="J919" s="8" t="str">
        <f>IF(I919="","",SUMIF(Cotizador!I$1:V$1,I919,Cotizador!I$2:V$2))</f>
        <v/>
      </c>
      <c r="L919" s="4" t="str">
        <f t="array" ref="L919">IF(COUNTIF(L$1:L918,A$2)=SUMIF(A:A,A$2,D:D),IF(COUNTIF(L$1:L918,XLOOKUP(A$2,Implementos!B:B,Implementos!C:C,"",0,1))=SUMIF(A:A,XLOOKUP(A$2,Implementos!B:B,Implementos!C:C,"",0,1),D:D),"",XLOOKUP(A$2,Implementos!B:B,Implementos!C:C,"",0,1)),A$2)</f>
        <v/>
      </c>
      <c r="M919" s="4" t="str">
        <f t="shared" si="2"/>
        <v/>
      </c>
      <c r="N919" s="4" t="str">
        <f t="shared" si="3"/>
        <v/>
      </c>
      <c r="O919" s="4" t="str">
        <f t="shared" si="4"/>
        <v/>
      </c>
      <c r="P919" s="4" t="str">
        <f t="shared" si="5"/>
        <v/>
      </c>
      <c r="Q919" s="4" t="str">
        <f>IF(U919="","",SUMIF(Productos!E:E,U919,Productos!A:A))</f>
        <v/>
      </c>
      <c r="R919" s="4" t="str">
        <f t="array" ref="R919">IF(L919="","", max(1,SUMIF(I:I,XLOOKUP(U919,Productos!E:E,Productos!G:G,"",0,1),J:J)))</f>
        <v/>
      </c>
      <c r="S919" s="4" t="str">
        <f>IF(Q919="","",IF(SUMIFS(Compat_Vetado!D:D,Compat_Vetado!B:B,SUM(G:G),Compat_Vetado!C:C,Q919)=1,"SI",IF(OR(SUMIF(Cotizador!E:E,Q919,Cotizador!G:G)&gt;0,SUMIFS(Compat_Vetado!D:D,Compat_Vetado!B:B,SUM(G:G),Compat_Vetado!C:C,Q919)=-1),"NO","")))</f>
        <v/>
      </c>
      <c r="T919" s="4" t="str">
        <f t="shared" si="6"/>
        <v/>
      </c>
      <c r="U919" s="4" t="str">
        <f>IFERROR(__xludf.DUMMYFUNCTION("IF(P919="""","""",IFERROR(INDEX(filter(Productos!E:E,Productos!F:F=L919,Productos!H:H=N919),P919),IF(M919=SUM(D:D),""Finalizar"",""-"")))"),"")</f>
        <v/>
      </c>
      <c r="V919" s="4" t="str">
        <f>IFERROR(__xludf.DUMMYFUNCTION("IF(OR($U919="""",COUNTIF($I:$I,IFERROR(unique(filter(Prod_Prop!$H:$H,Prod_Prop!$G:$G=$U919,Prod_Prop!$E:$E=V$1)),""Check""))=0),"""",IFERROR(unique(filter(Prod_Prop!$H:$H,Prod_Prop!$G:$G=$U919,Prod_Prop!$E:$E=V$1)),""""))"),"")</f>
        <v/>
      </c>
      <c r="W919" s="4" t="str">
        <f>IF(V919="","",SUMIFS(Prod_Prop!$J:$J,Prod_Prop!$B:$B,$Q919,Prod_Prop!$H:$H,V919,Prod_Prop!$I:$I,W$1)*IF(V919="Peso",$R919,1))</f>
        <v/>
      </c>
      <c r="X919" s="4" t="str">
        <f>IF(V919="","",SUMIFS(Prod_Prop!$J:$J,Prod_Prop!$B:$B,$Q919,Prod_Prop!$H:$H,V919,Prod_Prop!$I:$I,X$1)*IF(V919="Peso",$R919,1))</f>
        <v/>
      </c>
      <c r="Y919" s="4" t="str">
        <f>IFERROR(__xludf.DUMMYFUNCTION("IF(OR($U919="""",COUNTIF($I:$I,IFERROR(unique(filter(Prod_Prop!$H:$H,Prod_Prop!$G:$G=$U919,Prod_Prop!$E:$E=Y$1)),""Check""))=0),"""",IFERROR(unique(filter(Prod_Prop!$H:$H,Prod_Prop!$G:$G=$U919,Prod_Prop!$E:$E=Y$1)),""""))"),"")</f>
        <v/>
      </c>
      <c r="Z919" s="4" t="str">
        <f>IF(Y919="","",SUMIFS(Prod_Prop!$J:$J,Prod_Prop!$B:$B,$Q919,Prod_Prop!$H:$H,Y919,Prod_Prop!$I:$I,Z$1)*IF(Y919="Peso",$R919,1))</f>
        <v/>
      </c>
      <c r="AA919" s="4" t="str">
        <f>IF(Y919="","",SUMIFS(Prod_Prop!$J:$J,Prod_Prop!$B:$B,$Q919,Prod_Prop!$H:$H,Y919,Prod_Prop!$I:$I,AA$1)*IF(Y919="Peso",$R919,1))</f>
        <v/>
      </c>
      <c r="AB919" s="4" t="str">
        <f>IFERROR(__xludf.DUMMYFUNCTION("IF(OR($U919="""",COUNTIF($I:$I,IFERROR(unique(filter(Prod_Prop!$H:$H,Prod_Prop!$G:$G=$U919,Prod_Prop!$E:$E=AB$1)),""Check""))=0),"""",IFERROR(unique(filter(Prod_Prop!$H:$H,Prod_Prop!$G:$G=$U919,Prod_Prop!$E:$E=AB$1)),""""))"),"")</f>
        <v/>
      </c>
      <c r="AC919" s="4" t="str">
        <f>IF(AB919="","",SUMIFS(Prod_Prop!$J:$J,Prod_Prop!$B:$B,$Q919,Prod_Prop!$H:$H,AB919,Prod_Prop!$I:$I,AC$1)*IF(AB919="Peso",$R919,1))</f>
        <v/>
      </c>
      <c r="AD919" s="4" t="str">
        <f>IF(AB919="","",SUMIFS(Prod_Prop!$J:$J,Prod_Prop!$B:$B,$Q919,Prod_Prop!$H:$H,AB919,Prod_Prop!$I:$I,AD$1)*IF(AB919="Peso",$R919,1))</f>
        <v/>
      </c>
    </row>
    <row r="920">
      <c r="A920" s="4" t="str">
        <f t="array" ref="A920">IF(COUNTIF(A$1:A919,Cotizador!F$2)=maxifs(Familias!E:E,Familias!D:D,Cotizador!F$2),IF(COUNTIF(A$1:A919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0" s="4" t="str">
        <f t="shared" si="1"/>
        <v/>
      </c>
      <c r="C920" s="4" t="str">
        <f t="array" ref="C920">IF(B920="","",IF(A920=XLOOKUP(A$2,Implementos!B:B,Implementos!C:C,"",0,1),B920+maxifs(B$1:B919,A$1:A919,A$2),B920))</f>
        <v/>
      </c>
      <c r="D920" s="4" t="str">
        <f>IF(B920="","", COUNTIFS(Productos!F:F,A920,Productos!H:H,B920)+IF(F920="SI",0,1))</f>
        <v/>
      </c>
      <c r="E920" s="4" t="str">
        <f>IFERROR(__xludf.DUMMYFUNCTION("IF($B920="""","""",INDEX(filter(Familias!F:F,Familias!$D:$D=$A920,Familias!$E:$E=$B920),1))"),"")</f>
        <v/>
      </c>
      <c r="F920" s="4" t="str">
        <f>IFERROR(__xludf.DUMMYFUNCTION("IF($B920="""","""",INDEX(filter(Familias!G:G,Familias!$D:$D=$A920,Familias!$E:$E=$B920),1))"),"")</f>
        <v/>
      </c>
      <c r="G920" s="4" t="str">
        <f t="array" ref="G920">IF(C920=1,XLOOKUP(C920,Cotizador!D:D,Cotizador!E:E,"",0,1),"")</f>
        <v/>
      </c>
      <c r="I920" s="4"/>
      <c r="J920" s="8" t="str">
        <f>IF(I920="","",SUMIF(Cotizador!I$1:V$1,I920,Cotizador!I$2:V$2))</f>
        <v/>
      </c>
      <c r="L920" s="4" t="str">
        <f t="array" ref="L920">IF(COUNTIF(L$1:L919,A$2)=SUMIF(A:A,A$2,D:D),IF(COUNTIF(L$1:L919,XLOOKUP(A$2,Implementos!B:B,Implementos!C:C,"",0,1))=SUMIF(A:A,XLOOKUP(A$2,Implementos!B:B,Implementos!C:C,"",0,1),D:D),"",XLOOKUP(A$2,Implementos!B:B,Implementos!C:C,"",0,1)),A$2)</f>
        <v/>
      </c>
      <c r="M920" s="4" t="str">
        <f t="shared" si="2"/>
        <v/>
      </c>
      <c r="N920" s="4" t="str">
        <f t="shared" si="3"/>
        <v/>
      </c>
      <c r="O920" s="4" t="str">
        <f t="shared" si="4"/>
        <v/>
      </c>
      <c r="P920" s="4" t="str">
        <f t="shared" si="5"/>
        <v/>
      </c>
      <c r="Q920" s="4" t="str">
        <f>IF(U920="","",SUMIF(Productos!E:E,U920,Productos!A:A))</f>
        <v/>
      </c>
      <c r="R920" s="4" t="str">
        <f t="array" ref="R920">IF(L920="","", max(1,SUMIF(I:I,XLOOKUP(U920,Productos!E:E,Productos!G:G,"",0,1),J:J)))</f>
        <v/>
      </c>
      <c r="S920" s="4" t="str">
        <f>IF(Q920="","",IF(SUMIFS(Compat_Vetado!D:D,Compat_Vetado!B:B,SUM(G:G),Compat_Vetado!C:C,Q920)=1,"SI",IF(OR(SUMIF(Cotizador!E:E,Q920,Cotizador!G:G)&gt;0,SUMIFS(Compat_Vetado!D:D,Compat_Vetado!B:B,SUM(G:G),Compat_Vetado!C:C,Q920)=-1),"NO","")))</f>
        <v/>
      </c>
      <c r="T920" s="4" t="str">
        <f t="shared" si="6"/>
        <v/>
      </c>
      <c r="U920" s="4" t="str">
        <f>IFERROR(__xludf.DUMMYFUNCTION("IF(P920="""","""",IFERROR(INDEX(filter(Productos!E:E,Productos!F:F=L920,Productos!H:H=N920),P920),IF(M920=SUM(D:D),""Finalizar"",""-"")))"),"")</f>
        <v/>
      </c>
      <c r="V920" s="4" t="str">
        <f>IFERROR(__xludf.DUMMYFUNCTION("IF(OR($U920="""",COUNTIF($I:$I,IFERROR(unique(filter(Prod_Prop!$H:$H,Prod_Prop!$G:$G=$U920,Prod_Prop!$E:$E=V$1)),""Check""))=0),"""",IFERROR(unique(filter(Prod_Prop!$H:$H,Prod_Prop!$G:$G=$U920,Prod_Prop!$E:$E=V$1)),""""))"),"")</f>
        <v/>
      </c>
      <c r="W920" s="4" t="str">
        <f>IF(V920="","",SUMIFS(Prod_Prop!$J:$J,Prod_Prop!$B:$B,$Q920,Prod_Prop!$H:$H,V920,Prod_Prop!$I:$I,W$1)*IF(V920="Peso",$R920,1))</f>
        <v/>
      </c>
      <c r="X920" s="4" t="str">
        <f>IF(V920="","",SUMIFS(Prod_Prop!$J:$J,Prod_Prop!$B:$B,$Q920,Prod_Prop!$H:$H,V920,Prod_Prop!$I:$I,X$1)*IF(V920="Peso",$R920,1))</f>
        <v/>
      </c>
      <c r="Y920" s="4" t="str">
        <f>IFERROR(__xludf.DUMMYFUNCTION("IF(OR($U920="""",COUNTIF($I:$I,IFERROR(unique(filter(Prod_Prop!$H:$H,Prod_Prop!$G:$G=$U920,Prod_Prop!$E:$E=Y$1)),""Check""))=0),"""",IFERROR(unique(filter(Prod_Prop!$H:$H,Prod_Prop!$G:$G=$U920,Prod_Prop!$E:$E=Y$1)),""""))"),"")</f>
        <v/>
      </c>
      <c r="Z920" s="4" t="str">
        <f>IF(Y920="","",SUMIFS(Prod_Prop!$J:$J,Prod_Prop!$B:$B,$Q920,Prod_Prop!$H:$H,Y920,Prod_Prop!$I:$I,Z$1)*IF(Y920="Peso",$R920,1))</f>
        <v/>
      </c>
      <c r="AA920" s="4" t="str">
        <f>IF(Y920="","",SUMIFS(Prod_Prop!$J:$J,Prod_Prop!$B:$B,$Q920,Prod_Prop!$H:$H,Y920,Prod_Prop!$I:$I,AA$1)*IF(Y920="Peso",$R920,1))</f>
        <v/>
      </c>
      <c r="AB920" s="4" t="str">
        <f>IFERROR(__xludf.DUMMYFUNCTION("IF(OR($U920="""",COUNTIF($I:$I,IFERROR(unique(filter(Prod_Prop!$H:$H,Prod_Prop!$G:$G=$U920,Prod_Prop!$E:$E=AB$1)),""Check""))=0),"""",IFERROR(unique(filter(Prod_Prop!$H:$H,Prod_Prop!$G:$G=$U920,Prod_Prop!$E:$E=AB$1)),""""))"),"")</f>
        <v/>
      </c>
      <c r="AC920" s="4" t="str">
        <f>IF(AB920="","",SUMIFS(Prod_Prop!$J:$J,Prod_Prop!$B:$B,$Q920,Prod_Prop!$H:$H,AB920,Prod_Prop!$I:$I,AC$1)*IF(AB920="Peso",$R920,1))</f>
        <v/>
      </c>
      <c r="AD920" s="4" t="str">
        <f>IF(AB920="","",SUMIFS(Prod_Prop!$J:$J,Prod_Prop!$B:$B,$Q920,Prod_Prop!$H:$H,AB920,Prod_Prop!$I:$I,AD$1)*IF(AB920="Peso",$R920,1))</f>
        <v/>
      </c>
    </row>
    <row r="921">
      <c r="A921" s="4" t="str">
        <f t="array" ref="A921">IF(COUNTIF(A$1:A920,Cotizador!F$2)=maxifs(Familias!E:E,Familias!D:D,Cotizador!F$2),IF(COUNTIF(A$1:A920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1" s="4" t="str">
        <f t="shared" si="1"/>
        <v/>
      </c>
      <c r="C921" s="4" t="str">
        <f t="array" ref="C921">IF(B921="","",IF(A921=XLOOKUP(A$2,Implementos!B:B,Implementos!C:C,"",0,1),B921+maxifs(B$1:B920,A$1:A920,A$2),B921))</f>
        <v/>
      </c>
      <c r="D921" s="4" t="str">
        <f>IF(B921="","", COUNTIFS(Productos!F:F,A921,Productos!H:H,B921)+IF(F921="SI",0,1))</f>
        <v/>
      </c>
      <c r="E921" s="4" t="str">
        <f>IFERROR(__xludf.DUMMYFUNCTION("IF($B921="""","""",INDEX(filter(Familias!F:F,Familias!$D:$D=$A921,Familias!$E:$E=$B921),1))"),"")</f>
        <v/>
      </c>
      <c r="F921" s="4" t="str">
        <f>IFERROR(__xludf.DUMMYFUNCTION("IF($B921="""","""",INDEX(filter(Familias!G:G,Familias!$D:$D=$A921,Familias!$E:$E=$B921),1))"),"")</f>
        <v/>
      </c>
      <c r="G921" s="4" t="str">
        <f t="array" ref="G921">IF(C921=1,XLOOKUP(C921,Cotizador!D:D,Cotizador!E:E,"",0,1),"")</f>
        <v/>
      </c>
      <c r="I921" s="4"/>
      <c r="J921" s="8" t="str">
        <f>IF(I921="","",SUMIF(Cotizador!I$1:V$1,I921,Cotizador!I$2:V$2))</f>
        <v/>
      </c>
      <c r="L921" s="4" t="str">
        <f t="array" ref="L921">IF(COUNTIF(L$1:L920,A$2)=SUMIF(A:A,A$2,D:D),IF(COUNTIF(L$1:L920,XLOOKUP(A$2,Implementos!B:B,Implementos!C:C,"",0,1))=SUMIF(A:A,XLOOKUP(A$2,Implementos!B:B,Implementos!C:C,"",0,1),D:D),"",XLOOKUP(A$2,Implementos!B:B,Implementos!C:C,"",0,1)),A$2)</f>
        <v/>
      </c>
      <c r="M921" s="4" t="str">
        <f t="shared" si="2"/>
        <v/>
      </c>
      <c r="N921" s="4" t="str">
        <f t="shared" si="3"/>
        <v/>
      </c>
      <c r="O921" s="4" t="str">
        <f t="shared" si="4"/>
        <v/>
      </c>
      <c r="P921" s="4" t="str">
        <f t="shared" si="5"/>
        <v/>
      </c>
      <c r="Q921" s="4" t="str">
        <f>IF(U921="","",SUMIF(Productos!E:E,U921,Productos!A:A))</f>
        <v/>
      </c>
      <c r="R921" s="4" t="str">
        <f t="array" ref="R921">IF(L921="","", max(1,SUMIF(I:I,XLOOKUP(U921,Productos!E:E,Productos!G:G,"",0,1),J:J)))</f>
        <v/>
      </c>
      <c r="S921" s="4" t="str">
        <f>IF(Q921="","",IF(SUMIFS(Compat_Vetado!D:D,Compat_Vetado!B:B,SUM(G:G),Compat_Vetado!C:C,Q921)=1,"SI",IF(OR(SUMIF(Cotizador!E:E,Q921,Cotizador!G:G)&gt;0,SUMIFS(Compat_Vetado!D:D,Compat_Vetado!B:B,SUM(G:G),Compat_Vetado!C:C,Q921)=-1),"NO","")))</f>
        <v/>
      </c>
      <c r="T921" s="4" t="str">
        <f t="shared" si="6"/>
        <v/>
      </c>
      <c r="U921" s="4" t="str">
        <f>IFERROR(__xludf.DUMMYFUNCTION("IF(P921="""","""",IFERROR(INDEX(filter(Productos!E:E,Productos!F:F=L921,Productos!H:H=N921),P921),IF(M921=SUM(D:D),""Finalizar"",""-"")))"),"")</f>
        <v/>
      </c>
      <c r="V921" s="4" t="str">
        <f>IFERROR(__xludf.DUMMYFUNCTION("IF(OR($U921="""",COUNTIF($I:$I,IFERROR(unique(filter(Prod_Prop!$H:$H,Prod_Prop!$G:$G=$U921,Prod_Prop!$E:$E=V$1)),""Check""))=0),"""",IFERROR(unique(filter(Prod_Prop!$H:$H,Prod_Prop!$G:$G=$U921,Prod_Prop!$E:$E=V$1)),""""))"),"")</f>
        <v/>
      </c>
      <c r="W921" s="4" t="str">
        <f>IF(V921="","",SUMIFS(Prod_Prop!$J:$J,Prod_Prop!$B:$B,$Q921,Prod_Prop!$H:$H,V921,Prod_Prop!$I:$I,W$1)*IF(V921="Peso",$R921,1))</f>
        <v/>
      </c>
      <c r="X921" s="4" t="str">
        <f>IF(V921="","",SUMIFS(Prod_Prop!$J:$J,Prod_Prop!$B:$B,$Q921,Prod_Prop!$H:$H,V921,Prod_Prop!$I:$I,X$1)*IF(V921="Peso",$R921,1))</f>
        <v/>
      </c>
      <c r="Y921" s="4" t="str">
        <f>IFERROR(__xludf.DUMMYFUNCTION("IF(OR($U921="""",COUNTIF($I:$I,IFERROR(unique(filter(Prod_Prop!$H:$H,Prod_Prop!$G:$G=$U921,Prod_Prop!$E:$E=Y$1)),""Check""))=0),"""",IFERROR(unique(filter(Prod_Prop!$H:$H,Prod_Prop!$G:$G=$U921,Prod_Prop!$E:$E=Y$1)),""""))"),"")</f>
        <v/>
      </c>
      <c r="Z921" s="4" t="str">
        <f>IF(Y921="","",SUMIFS(Prod_Prop!$J:$J,Prod_Prop!$B:$B,$Q921,Prod_Prop!$H:$H,Y921,Prod_Prop!$I:$I,Z$1)*IF(Y921="Peso",$R921,1))</f>
        <v/>
      </c>
      <c r="AA921" s="4" t="str">
        <f>IF(Y921="","",SUMIFS(Prod_Prop!$J:$J,Prod_Prop!$B:$B,$Q921,Prod_Prop!$H:$H,Y921,Prod_Prop!$I:$I,AA$1)*IF(Y921="Peso",$R921,1))</f>
        <v/>
      </c>
      <c r="AB921" s="4" t="str">
        <f>IFERROR(__xludf.DUMMYFUNCTION("IF(OR($U921="""",COUNTIF($I:$I,IFERROR(unique(filter(Prod_Prop!$H:$H,Prod_Prop!$G:$G=$U921,Prod_Prop!$E:$E=AB$1)),""Check""))=0),"""",IFERROR(unique(filter(Prod_Prop!$H:$H,Prod_Prop!$G:$G=$U921,Prod_Prop!$E:$E=AB$1)),""""))"),"")</f>
        <v/>
      </c>
      <c r="AC921" s="4" t="str">
        <f>IF(AB921="","",SUMIFS(Prod_Prop!$J:$J,Prod_Prop!$B:$B,$Q921,Prod_Prop!$H:$H,AB921,Prod_Prop!$I:$I,AC$1)*IF(AB921="Peso",$R921,1))</f>
        <v/>
      </c>
      <c r="AD921" s="4" t="str">
        <f>IF(AB921="","",SUMIFS(Prod_Prop!$J:$J,Prod_Prop!$B:$B,$Q921,Prod_Prop!$H:$H,AB921,Prod_Prop!$I:$I,AD$1)*IF(AB921="Peso",$R921,1))</f>
        <v/>
      </c>
    </row>
    <row r="922">
      <c r="A922" s="4" t="str">
        <f t="array" ref="A922">IF(COUNTIF(A$1:A921,Cotizador!F$2)=maxifs(Familias!E:E,Familias!D:D,Cotizador!F$2),IF(COUNTIF(A$1:A921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2" s="4" t="str">
        <f t="shared" si="1"/>
        <v/>
      </c>
      <c r="C922" s="4" t="str">
        <f t="array" ref="C922">IF(B922="","",IF(A922=XLOOKUP(A$2,Implementos!B:B,Implementos!C:C,"",0,1),B922+maxifs(B$1:B921,A$1:A921,A$2),B922))</f>
        <v/>
      </c>
      <c r="D922" s="4" t="str">
        <f>IF(B922="","", COUNTIFS(Productos!F:F,A922,Productos!H:H,B922)+IF(F922="SI",0,1))</f>
        <v/>
      </c>
      <c r="E922" s="4" t="str">
        <f>IFERROR(__xludf.DUMMYFUNCTION("IF($B922="""","""",INDEX(filter(Familias!F:F,Familias!$D:$D=$A922,Familias!$E:$E=$B922),1))"),"")</f>
        <v/>
      </c>
      <c r="F922" s="4" t="str">
        <f>IFERROR(__xludf.DUMMYFUNCTION("IF($B922="""","""",INDEX(filter(Familias!G:G,Familias!$D:$D=$A922,Familias!$E:$E=$B922),1))"),"")</f>
        <v/>
      </c>
      <c r="G922" s="4" t="str">
        <f t="array" ref="G922">IF(C922=1,XLOOKUP(C922,Cotizador!D:D,Cotizador!E:E,"",0,1),"")</f>
        <v/>
      </c>
      <c r="I922" s="4"/>
      <c r="J922" s="8" t="str">
        <f>IF(I922="","",SUMIF(Cotizador!I$1:V$1,I922,Cotizador!I$2:V$2))</f>
        <v/>
      </c>
      <c r="L922" s="4" t="str">
        <f t="array" ref="L922">IF(COUNTIF(L$1:L921,A$2)=SUMIF(A:A,A$2,D:D),IF(COUNTIF(L$1:L921,XLOOKUP(A$2,Implementos!B:B,Implementos!C:C,"",0,1))=SUMIF(A:A,XLOOKUP(A$2,Implementos!B:B,Implementos!C:C,"",0,1),D:D),"",XLOOKUP(A$2,Implementos!B:B,Implementos!C:C,"",0,1)),A$2)</f>
        <v/>
      </c>
      <c r="M922" s="4" t="str">
        <f t="shared" si="2"/>
        <v/>
      </c>
      <c r="N922" s="4" t="str">
        <f t="shared" si="3"/>
        <v/>
      </c>
      <c r="O922" s="4" t="str">
        <f t="shared" si="4"/>
        <v/>
      </c>
      <c r="P922" s="4" t="str">
        <f t="shared" si="5"/>
        <v/>
      </c>
      <c r="Q922" s="4" t="str">
        <f>IF(U922="","",SUMIF(Productos!E:E,U922,Productos!A:A))</f>
        <v/>
      </c>
      <c r="R922" s="4" t="str">
        <f t="array" ref="R922">IF(L922="","", max(1,SUMIF(I:I,XLOOKUP(U922,Productos!E:E,Productos!G:G,"",0,1),J:J)))</f>
        <v/>
      </c>
      <c r="S922" s="4" t="str">
        <f>IF(Q922="","",IF(SUMIFS(Compat_Vetado!D:D,Compat_Vetado!B:B,SUM(G:G),Compat_Vetado!C:C,Q922)=1,"SI",IF(OR(SUMIF(Cotizador!E:E,Q922,Cotizador!G:G)&gt;0,SUMIFS(Compat_Vetado!D:D,Compat_Vetado!B:B,SUM(G:G),Compat_Vetado!C:C,Q922)=-1),"NO","")))</f>
        <v/>
      </c>
      <c r="T922" s="4" t="str">
        <f t="shared" si="6"/>
        <v/>
      </c>
      <c r="U922" s="4" t="str">
        <f>IFERROR(__xludf.DUMMYFUNCTION("IF(P922="""","""",IFERROR(INDEX(filter(Productos!E:E,Productos!F:F=L922,Productos!H:H=N922),P922),IF(M922=SUM(D:D),""Finalizar"",""-"")))"),"")</f>
        <v/>
      </c>
      <c r="V922" s="4" t="str">
        <f>IFERROR(__xludf.DUMMYFUNCTION("IF(OR($U922="""",COUNTIF($I:$I,IFERROR(unique(filter(Prod_Prop!$H:$H,Prod_Prop!$G:$G=$U922,Prod_Prop!$E:$E=V$1)),""Check""))=0),"""",IFERROR(unique(filter(Prod_Prop!$H:$H,Prod_Prop!$G:$G=$U922,Prod_Prop!$E:$E=V$1)),""""))"),"")</f>
        <v/>
      </c>
      <c r="W922" s="4" t="str">
        <f>IF(V922="","",SUMIFS(Prod_Prop!$J:$J,Prod_Prop!$B:$B,$Q922,Prod_Prop!$H:$H,V922,Prod_Prop!$I:$I,W$1)*IF(V922="Peso",$R922,1))</f>
        <v/>
      </c>
      <c r="X922" s="4" t="str">
        <f>IF(V922="","",SUMIFS(Prod_Prop!$J:$J,Prod_Prop!$B:$B,$Q922,Prod_Prop!$H:$H,V922,Prod_Prop!$I:$I,X$1)*IF(V922="Peso",$R922,1))</f>
        <v/>
      </c>
      <c r="Y922" s="4" t="str">
        <f>IFERROR(__xludf.DUMMYFUNCTION("IF(OR($U922="""",COUNTIF($I:$I,IFERROR(unique(filter(Prod_Prop!$H:$H,Prod_Prop!$G:$G=$U922,Prod_Prop!$E:$E=Y$1)),""Check""))=0),"""",IFERROR(unique(filter(Prod_Prop!$H:$H,Prod_Prop!$G:$G=$U922,Prod_Prop!$E:$E=Y$1)),""""))"),"")</f>
        <v/>
      </c>
      <c r="Z922" s="4" t="str">
        <f>IF(Y922="","",SUMIFS(Prod_Prop!$J:$J,Prod_Prop!$B:$B,$Q922,Prod_Prop!$H:$H,Y922,Prod_Prop!$I:$I,Z$1)*IF(Y922="Peso",$R922,1))</f>
        <v/>
      </c>
      <c r="AA922" s="4" t="str">
        <f>IF(Y922="","",SUMIFS(Prod_Prop!$J:$J,Prod_Prop!$B:$B,$Q922,Prod_Prop!$H:$H,Y922,Prod_Prop!$I:$I,AA$1)*IF(Y922="Peso",$R922,1))</f>
        <v/>
      </c>
      <c r="AB922" s="4" t="str">
        <f>IFERROR(__xludf.DUMMYFUNCTION("IF(OR($U922="""",COUNTIF($I:$I,IFERROR(unique(filter(Prod_Prop!$H:$H,Prod_Prop!$G:$G=$U922,Prod_Prop!$E:$E=AB$1)),""Check""))=0),"""",IFERROR(unique(filter(Prod_Prop!$H:$H,Prod_Prop!$G:$G=$U922,Prod_Prop!$E:$E=AB$1)),""""))"),"")</f>
        <v/>
      </c>
      <c r="AC922" s="4" t="str">
        <f>IF(AB922="","",SUMIFS(Prod_Prop!$J:$J,Prod_Prop!$B:$B,$Q922,Prod_Prop!$H:$H,AB922,Prod_Prop!$I:$I,AC$1)*IF(AB922="Peso",$R922,1))</f>
        <v/>
      </c>
      <c r="AD922" s="4" t="str">
        <f>IF(AB922="","",SUMIFS(Prod_Prop!$J:$J,Prod_Prop!$B:$B,$Q922,Prod_Prop!$H:$H,AB922,Prod_Prop!$I:$I,AD$1)*IF(AB922="Peso",$R922,1))</f>
        <v/>
      </c>
    </row>
    <row r="923">
      <c r="A923" s="4" t="str">
        <f t="array" ref="A923">IF(COUNTIF(A$1:A922,Cotizador!F$2)=maxifs(Familias!E:E,Familias!D:D,Cotizador!F$2),IF(COUNTIF(A$1:A922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3" s="4" t="str">
        <f t="shared" si="1"/>
        <v/>
      </c>
      <c r="C923" s="4" t="str">
        <f t="array" ref="C923">IF(B923="","",IF(A923=XLOOKUP(A$2,Implementos!B:B,Implementos!C:C,"",0,1),B923+maxifs(B$1:B922,A$1:A922,A$2),B923))</f>
        <v/>
      </c>
      <c r="D923" s="4" t="str">
        <f>IF(B923="","", COUNTIFS(Productos!F:F,A923,Productos!H:H,B923)+IF(F923="SI",0,1))</f>
        <v/>
      </c>
      <c r="E923" s="4" t="str">
        <f>IFERROR(__xludf.DUMMYFUNCTION("IF($B923="""","""",INDEX(filter(Familias!F:F,Familias!$D:$D=$A923,Familias!$E:$E=$B923),1))"),"")</f>
        <v/>
      </c>
      <c r="F923" s="4" t="str">
        <f>IFERROR(__xludf.DUMMYFUNCTION("IF($B923="""","""",INDEX(filter(Familias!G:G,Familias!$D:$D=$A923,Familias!$E:$E=$B923),1))"),"")</f>
        <v/>
      </c>
      <c r="G923" s="4" t="str">
        <f t="array" ref="G923">IF(C923=1,XLOOKUP(C923,Cotizador!D:D,Cotizador!E:E,"",0,1),"")</f>
        <v/>
      </c>
      <c r="I923" s="4"/>
      <c r="J923" s="8" t="str">
        <f>IF(I923="","",SUMIF(Cotizador!I$1:V$1,I923,Cotizador!I$2:V$2))</f>
        <v/>
      </c>
      <c r="L923" s="4" t="str">
        <f t="array" ref="L923">IF(COUNTIF(L$1:L922,A$2)=SUMIF(A:A,A$2,D:D),IF(COUNTIF(L$1:L922,XLOOKUP(A$2,Implementos!B:B,Implementos!C:C,"",0,1))=SUMIF(A:A,XLOOKUP(A$2,Implementos!B:B,Implementos!C:C,"",0,1),D:D),"",XLOOKUP(A$2,Implementos!B:B,Implementos!C:C,"",0,1)),A$2)</f>
        <v/>
      </c>
      <c r="M923" s="4" t="str">
        <f t="shared" si="2"/>
        <v/>
      </c>
      <c r="N923" s="4" t="str">
        <f t="shared" si="3"/>
        <v/>
      </c>
      <c r="O923" s="4" t="str">
        <f t="shared" si="4"/>
        <v/>
      </c>
      <c r="P923" s="4" t="str">
        <f t="shared" si="5"/>
        <v/>
      </c>
      <c r="Q923" s="4" t="str">
        <f>IF(U923="","",SUMIF(Productos!E:E,U923,Productos!A:A))</f>
        <v/>
      </c>
      <c r="R923" s="4" t="str">
        <f t="array" ref="R923">IF(L923="","", max(1,SUMIF(I:I,XLOOKUP(U923,Productos!E:E,Productos!G:G,"",0,1),J:J)))</f>
        <v/>
      </c>
      <c r="S923" s="4" t="str">
        <f>IF(Q923="","",IF(SUMIFS(Compat_Vetado!D:D,Compat_Vetado!B:B,SUM(G:G),Compat_Vetado!C:C,Q923)=1,"SI",IF(OR(SUMIF(Cotizador!E:E,Q923,Cotizador!G:G)&gt;0,SUMIFS(Compat_Vetado!D:D,Compat_Vetado!B:B,SUM(G:G),Compat_Vetado!C:C,Q923)=-1),"NO","")))</f>
        <v/>
      </c>
      <c r="T923" s="4" t="str">
        <f t="shared" si="6"/>
        <v/>
      </c>
      <c r="U923" s="4" t="str">
        <f>IFERROR(__xludf.DUMMYFUNCTION("IF(P923="""","""",IFERROR(INDEX(filter(Productos!E:E,Productos!F:F=L923,Productos!H:H=N923),P923),IF(M923=SUM(D:D),""Finalizar"",""-"")))"),"")</f>
        <v/>
      </c>
      <c r="V923" s="4" t="str">
        <f>IFERROR(__xludf.DUMMYFUNCTION("IF(OR($U923="""",COUNTIF($I:$I,IFERROR(unique(filter(Prod_Prop!$H:$H,Prod_Prop!$G:$G=$U923,Prod_Prop!$E:$E=V$1)),""Check""))=0),"""",IFERROR(unique(filter(Prod_Prop!$H:$H,Prod_Prop!$G:$G=$U923,Prod_Prop!$E:$E=V$1)),""""))"),"")</f>
        <v/>
      </c>
      <c r="W923" s="4" t="str">
        <f>IF(V923="","",SUMIFS(Prod_Prop!$J:$J,Prod_Prop!$B:$B,$Q923,Prod_Prop!$H:$H,V923,Prod_Prop!$I:$I,W$1)*IF(V923="Peso",$R923,1))</f>
        <v/>
      </c>
      <c r="X923" s="4" t="str">
        <f>IF(V923="","",SUMIFS(Prod_Prop!$J:$J,Prod_Prop!$B:$B,$Q923,Prod_Prop!$H:$H,V923,Prod_Prop!$I:$I,X$1)*IF(V923="Peso",$R923,1))</f>
        <v/>
      </c>
      <c r="Y923" s="4" t="str">
        <f>IFERROR(__xludf.DUMMYFUNCTION("IF(OR($U923="""",COUNTIF($I:$I,IFERROR(unique(filter(Prod_Prop!$H:$H,Prod_Prop!$G:$G=$U923,Prod_Prop!$E:$E=Y$1)),""Check""))=0),"""",IFERROR(unique(filter(Prod_Prop!$H:$H,Prod_Prop!$G:$G=$U923,Prod_Prop!$E:$E=Y$1)),""""))"),"")</f>
        <v/>
      </c>
      <c r="Z923" s="4" t="str">
        <f>IF(Y923="","",SUMIFS(Prod_Prop!$J:$J,Prod_Prop!$B:$B,$Q923,Prod_Prop!$H:$H,Y923,Prod_Prop!$I:$I,Z$1)*IF(Y923="Peso",$R923,1))</f>
        <v/>
      </c>
      <c r="AA923" s="4" t="str">
        <f>IF(Y923="","",SUMIFS(Prod_Prop!$J:$J,Prod_Prop!$B:$B,$Q923,Prod_Prop!$H:$H,Y923,Prod_Prop!$I:$I,AA$1)*IF(Y923="Peso",$R923,1))</f>
        <v/>
      </c>
      <c r="AB923" s="4" t="str">
        <f>IFERROR(__xludf.DUMMYFUNCTION("IF(OR($U923="""",COUNTIF($I:$I,IFERROR(unique(filter(Prod_Prop!$H:$H,Prod_Prop!$G:$G=$U923,Prod_Prop!$E:$E=AB$1)),""Check""))=0),"""",IFERROR(unique(filter(Prod_Prop!$H:$H,Prod_Prop!$G:$G=$U923,Prod_Prop!$E:$E=AB$1)),""""))"),"")</f>
        <v/>
      </c>
      <c r="AC923" s="4" t="str">
        <f>IF(AB923="","",SUMIFS(Prod_Prop!$J:$J,Prod_Prop!$B:$B,$Q923,Prod_Prop!$H:$H,AB923,Prod_Prop!$I:$I,AC$1)*IF(AB923="Peso",$R923,1))</f>
        <v/>
      </c>
      <c r="AD923" s="4" t="str">
        <f>IF(AB923="","",SUMIFS(Prod_Prop!$J:$J,Prod_Prop!$B:$B,$Q923,Prod_Prop!$H:$H,AB923,Prod_Prop!$I:$I,AD$1)*IF(AB923="Peso",$R923,1))</f>
        <v/>
      </c>
    </row>
    <row r="924">
      <c r="A924" s="4" t="str">
        <f t="array" ref="A924">IF(COUNTIF(A$1:A923,Cotizador!F$2)=maxifs(Familias!E:E,Familias!D:D,Cotizador!F$2),IF(COUNTIF(A$1:A923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4" s="4" t="str">
        <f t="shared" si="1"/>
        <v/>
      </c>
      <c r="C924" s="4" t="str">
        <f t="array" ref="C924">IF(B924="","",IF(A924=XLOOKUP(A$2,Implementos!B:B,Implementos!C:C,"",0,1),B924+maxifs(B$1:B923,A$1:A923,A$2),B924))</f>
        <v/>
      </c>
      <c r="D924" s="4" t="str">
        <f>IF(B924="","", COUNTIFS(Productos!F:F,A924,Productos!H:H,B924)+IF(F924="SI",0,1))</f>
        <v/>
      </c>
      <c r="E924" s="4" t="str">
        <f>IFERROR(__xludf.DUMMYFUNCTION("IF($B924="""","""",INDEX(filter(Familias!F:F,Familias!$D:$D=$A924,Familias!$E:$E=$B924),1))"),"")</f>
        <v/>
      </c>
      <c r="F924" s="4" t="str">
        <f>IFERROR(__xludf.DUMMYFUNCTION("IF($B924="""","""",INDEX(filter(Familias!G:G,Familias!$D:$D=$A924,Familias!$E:$E=$B924),1))"),"")</f>
        <v/>
      </c>
      <c r="G924" s="4" t="str">
        <f t="array" ref="G924">IF(C924=1,XLOOKUP(C924,Cotizador!D:D,Cotizador!E:E,"",0,1),"")</f>
        <v/>
      </c>
      <c r="I924" s="4"/>
      <c r="J924" s="8" t="str">
        <f>IF(I924="","",SUMIF(Cotizador!I$1:V$1,I924,Cotizador!I$2:V$2))</f>
        <v/>
      </c>
      <c r="L924" s="4" t="str">
        <f t="array" ref="L924">IF(COUNTIF(L$1:L923,A$2)=SUMIF(A:A,A$2,D:D),IF(COUNTIF(L$1:L923,XLOOKUP(A$2,Implementos!B:B,Implementos!C:C,"",0,1))=SUMIF(A:A,XLOOKUP(A$2,Implementos!B:B,Implementos!C:C,"",0,1),D:D),"",XLOOKUP(A$2,Implementos!B:B,Implementos!C:C,"",0,1)),A$2)</f>
        <v/>
      </c>
      <c r="M924" s="4" t="str">
        <f t="shared" si="2"/>
        <v/>
      </c>
      <c r="N924" s="4" t="str">
        <f t="shared" si="3"/>
        <v/>
      </c>
      <c r="O924" s="4" t="str">
        <f t="shared" si="4"/>
        <v/>
      </c>
      <c r="P924" s="4" t="str">
        <f t="shared" si="5"/>
        <v/>
      </c>
      <c r="Q924" s="4" t="str">
        <f>IF(U924="","",SUMIF(Productos!E:E,U924,Productos!A:A))</f>
        <v/>
      </c>
      <c r="R924" s="4" t="str">
        <f t="array" ref="R924">IF(L924="","", max(1,SUMIF(I:I,XLOOKUP(U924,Productos!E:E,Productos!G:G,"",0,1),J:J)))</f>
        <v/>
      </c>
      <c r="S924" s="4" t="str">
        <f>IF(Q924="","",IF(SUMIFS(Compat_Vetado!D:D,Compat_Vetado!B:B,SUM(G:G),Compat_Vetado!C:C,Q924)=1,"SI",IF(OR(SUMIF(Cotizador!E:E,Q924,Cotizador!G:G)&gt;0,SUMIFS(Compat_Vetado!D:D,Compat_Vetado!B:B,SUM(G:G),Compat_Vetado!C:C,Q924)=-1),"NO","")))</f>
        <v/>
      </c>
      <c r="T924" s="4" t="str">
        <f t="shared" si="6"/>
        <v/>
      </c>
      <c r="U924" s="4" t="str">
        <f>IFERROR(__xludf.DUMMYFUNCTION("IF(P924="""","""",IFERROR(INDEX(filter(Productos!E:E,Productos!F:F=L924,Productos!H:H=N924),P924),IF(M924=SUM(D:D),""Finalizar"",""-"")))"),"")</f>
        <v/>
      </c>
      <c r="V924" s="4" t="str">
        <f>IFERROR(__xludf.DUMMYFUNCTION("IF(OR($U924="""",COUNTIF($I:$I,IFERROR(unique(filter(Prod_Prop!$H:$H,Prod_Prop!$G:$G=$U924,Prod_Prop!$E:$E=V$1)),""Check""))=0),"""",IFERROR(unique(filter(Prod_Prop!$H:$H,Prod_Prop!$G:$G=$U924,Prod_Prop!$E:$E=V$1)),""""))"),"")</f>
        <v/>
      </c>
      <c r="W924" s="4" t="str">
        <f>IF(V924="","",SUMIFS(Prod_Prop!$J:$J,Prod_Prop!$B:$B,$Q924,Prod_Prop!$H:$H,V924,Prod_Prop!$I:$I,W$1)*IF(V924="Peso",$R924,1))</f>
        <v/>
      </c>
      <c r="X924" s="4" t="str">
        <f>IF(V924="","",SUMIFS(Prod_Prop!$J:$J,Prod_Prop!$B:$B,$Q924,Prod_Prop!$H:$H,V924,Prod_Prop!$I:$I,X$1)*IF(V924="Peso",$R924,1))</f>
        <v/>
      </c>
      <c r="Y924" s="4" t="str">
        <f>IFERROR(__xludf.DUMMYFUNCTION("IF(OR($U924="""",COUNTIF($I:$I,IFERROR(unique(filter(Prod_Prop!$H:$H,Prod_Prop!$G:$G=$U924,Prod_Prop!$E:$E=Y$1)),""Check""))=0),"""",IFERROR(unique(filter(Prod_Prop!$H:$H,Prod_Prop!$G:$G=$U924,Prod_Prop!$E:$E=Y$1)),""""))"),"")</f>
        <v/>
      </c>
      <c r="Z924" s="4" t="str">
        <f>IF(Y924="","",SUMIFS(Prod_Prop!$J:$J,Prod_Prop!$B:$B,$Q924,Prod_Prop!$H:$H,Y924,Prod_Prop!$I:$I,Z$1)*IF(Y924="Peso",$R924,1))</f>
        <v/>
      </c>
      <c r="AA924" s="4" t="str">
        <f>IF(Y924="","",SUMIFS(Prod_Prop!$J:$J,Prod_Prop!$B:$B,$Q924,Prod_Prop!$H:$H,Y924,Prod_Prop!$I:$I,AA$1)*IF(Y924="Peso",$R924,1))</f>
        <v/>
      </c>
      <c r="AB924" s="4" t="str">
        <f>IFERROR(__xludf.DUMMYFUNCTION("IF(OR($U924="""",COUNTIF($I:$I,IFERROR(unique(filter(Prod_Prop!$H:$H,Prod_Prop!$G:$G=$U924,Prod_Prop!$E:$E=AB$1)),""Check""))=0),"""",IFERROR(unique(filter(Prod_Prop!$H:$H,Prod_Prop!$G:$G=$U924,Prod_Prop!$E:$E=AB$1)),""""))"),"")</f>
        <v/>
      </c>
      <c r="AC924" s="4" t="str">
        <f>IF(AB924="","",SUMIFS(Prod_Prop!$J:$J,Prod_Prop!$B:$B,$Q924,Prod_Prop!$H:$H,AB924,Prod_Prop!$I:$I,AC$1)*IF(AB924="Peso",$R924,1))</f>
        <v/>
      </c>
      <c r="AD924" s="4" t="str">
        <f>IF(AB924="","",SUMIFS(Prod_Prop!$J:$J,Prod_Prop!$B:$B,$Q924,Prod_Prop!$H:$H,AB924,Prod_Prop!$I:$I,AD$1)*IF(AB924="Peso",$R924,1))</f>
        <v/>
      </c>
    </row>
    <row r="925">
      <c r="A925" s="4" t="str">
        <f t="array" ref="A925">IF(COUNTIF(A$1:A924,Cotizador!F$2)=maxifs(Familias!E:E,Familias!D:D,Cotizador!F$2),IF(COUNTIF(A$1:A924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5" s="4" t="str">
        <f t="shared" si="1"/>
        <v/>
      </c>
      <c r="C925" s="4" t="str">
        <f t="array" ref="C925">IF(B925="","",IF(A925=XLOOKUP(A$2,Implementos!B:B,Implementos!C:C,"",0,1),B925+maxifs(B$1:B924,A$1:A924,A$2),B925))</f>
        <v/>
      </c>
      <c r="D925" s="4" t="str">
        <f>IF(B925="","", COUNTIFS(Productos!F:F,A925,Productos!H:H,B925)+IF(F925="SI",0,1))</f>
        <v/>
      </c>
      <c r="E925" s="4" t="str">
        <f>IFERROR(__xludf.DUMMYFUNCTION("IF($B925="""","""",INDEX(filter(Familias!F:F,Familias!$D:$D=$A925,Familias!$E:$E=$B925),1))"),"")</f>
        <v/>
      </c>
      <c r="F925" s="4" t="str">
        <f>IFERROR(__xludf.DUMMYFUNCTION("IF($B925="""","""",INDEX(filter(Familias!G:G,Familias!$D:$D=$A925,Familias!$E:$E=$B925),1))"),"")</f>
        <v/>
      </c>
      <c r="G925" s="4" t="str">
        <f t="array" ref="G925">IF(C925=1,XLOOKUP(C925,Cotizador!D:D,Cotizador!E:E,"",0,1),"")</f>
        <v/>
      </c>
      <c r="I925" s="4"/>
      <c r="J925" s="8" t="str">
        <f>IF(I925="","",SUMIF(Cotizador!I$1:V$1,I925,Cotizador!I$2:V$2))</f>
        <v/>
      </c>
      <c r="L925" s="4" t="str">
        <f t="array" ref="L925">IF(COUNTIF(L$1:L924,A$2)=SUMIF(A:A,A$2,D:D),IF(COUNTIF(L$1:L924,XLOOKUP(A$2,Implementos!B:B,Implementos!C:C,"",0,1))=SUMIF(A:A,XLOOKUP(A$2,Implementos!B:B,Implementos!C:C,"",0,1),D:D),"",XLOOKUP(A$2,Implementos!B:B,Implementos!C:C,"",0,1)),A$2)</f>
        <v/>
      </c>
      <c r="M925" s="4" t="str">
        <f t="shared" si="2"/>
        <v/>
      </c>
      <c r="N925" s="4" t="str">
        <f t="shared" si="3"/>
        <v/>
      </c>
      <c r="O925" s="4" t="str">
        <f t="shared" si="4"/>
        <v/>
      </c>
      <c r="P925" s="4" t="str">
        <f t="shared" si="5"/>
        <v/>
      </c>
      <c r="Q925" s="4" t="str">
        <f>IF(U925="","",SUMIF(Productos!E:E,U925,Productos!A:A))</f>
        <v/>
      </c>
      <c r="R925" s="4" t="str">
        <f t="array" ref="R925">IF(L925="","", max(1,SUMIF(I:I,XLOOKUP(U925,Productos!E:E,Productos!G:G,"",0,1),J:J)))</f>
        <v/>
      </c>
      <c r="S925" s="4" t="str">
        <f>IF(Q925="","",IF(SUMIFS(Compat_Vetado!D:D,Compat_Vetado!B:B,SUM(G:G),Compat_Vetado!C:C,Q925)=1,"SI",IF(OR(SUMIF(Cotizador!E:E,Q925,Cotizador!G:G)&gt;0,SUMIFS(Compat_Vetado!D:D,Compat_Vetado!B:B,SUM(G:G),Compat_Vetado!C:C,Q925)=-1),"NO","")))</f>
        <v/>
      </c>
      <c r="T925" s="4" t="str">
        <f t="shared" si="6"/>
        <v/>
      </c>
      <c r="U925" s="4" t="str">
        <f>IFERROR(__xludf.DUMMYFUNCTION("IF(P925="""","""",IFERROR(INDEX(filter(Productos!E:E,Productos!F:F=L925,Productos!H:H=N925),P925),IF(M925=SUM(D:D),""Finalizar"",""-"")))"),"")</f>
        <v/>
      </c>
      <c r="V925" s="4" t="str">
        <f>IFERROR(__xludf.DUMMYFUNCTION("IF(OR($U925="""",COUNTIF($I:$I,IFERROR(unique(filter(Prod_Prop!$H:$H,Prod_Prop!$G:$G=$U925,Prod_Prop!$E:$E=V$1)),""Check""))=0),"""",IFERROR(unique(filter(Prod_Prop!$H:$H,Prod_Prop!$G:$G=$U925,Prod_Prop!$E:$E=V$1)),""""))"),"")</f>
        <v/>
      </c>
      <c r="W925" s="4" t="str">
        <f>IF(V925="","",SUMIFS(Prod_Prop!$J:$J,Prod_Prop!$B:$B,$Q925,Prod_Prop!$H:$H,V925,Prod_Prop!$I:$I,W$1)*IF(V925="Peso",$R925,1))</f>
        <v/>
      </c>
      <c r="X925" s="4" t="str">
        <f>IF(V925="","",SUMIFS(Prod_Prop!$J:$J,Prod_Prop!$B:$B,$Q925,Prod_Prop!$H:$H,V925,Prod_Prop!$I:$I,X$1)*IF(V925="Peso",$R925,1))</f>
        <v/>
      </c>
      <c r="Y925" s="4" t="str">
        <f>IFERROR(__xludf.DUMMYFUNCTION("IF(OR($U925="""",COUNTIF($I:$I,IFERROR(unique(filter(Prod_Prop!$H:$H,Prod_Prop!$G:$G=$U925,Prod_Prop!$E:$E=Y$1)),""Check""))=0),"""",IFERROR(unique(filter(Prod_Prop!$H:$H,Prod_Prop!$G:$G=$U925,Prod_Prop!$E:$E=Y$1)),""""))"),"")</f>
        <v/>
      </c>
      <c r="Z925" s="4" t="str">
        <f>IF(Y925="","",SUMIFS(Prod_Prop!$J:$J,Prod_Prop!$B:$B,$Q925,Prod_Prop!$H:$H,Y925,Prod_Prop!$I:$I,Z$1)*IF(Y925="Peso",$R925,1))</f>
        <v/>
      </c>
      <c r="AA925" s="4" t="str">
        <f>IF(Y925="","",SUMIFS(Prod_Prop!$J:$J,Prod_Prop!$B:$B,$Q925,Prod_Prop!$H:$H,Y925,Prod_Prop!$I:$I,AA$1)*IF(Y925="Peso",$R925,1))</f>
        <v/>
      </c>
      <c r="AB925" s="4" t="str">
        <f>IFERROR(__xludf.DUMMYFUNCTION("IF(OR($U925="""",COUNTIF($I:$I,IFERROR(unique(filter(Prod_Prop!$H:$H,Prod_Prop!$G:$G=$U925,Prod_Prop!$E:$E=AB$1)),""Check""))=0),"""",IFERROR(unique(filter(Prod_Prop!$H:$H,Prod_Prop!$G:$G=$U925,Prod_Prop!$E:$E=AB$1)),""""))"),"")</f>
        <v/>
      </c>
      <c r="AC925" s="4" t="str">
        <f>IF(AB925="","",SUMIFS(Prod_Prop!$J:$J,Prod_Prop!$B:$B,$Q925,Prod_Prop!$H:$H,AB925,Prod_Prop!$I:$I,AC$1)*IF(AB925="Peso",$R925,1))</f>
        <v/>
      </c>
      <c r="AD925" s="4" t="str">
        <f>IF(AB925="","",SUMIFS(Prod_Prop!$J:$J,Prod_Prop!$B:$B,$Q925,Prod_Prop!$H:$H,AB925,Prod_Prop!$I:$I,AD$1)*IF(AB925="Peso",$R925,1))</f>
        <v/>
      </c>
    </row>
    <row r="926">
      <c r="A926" s="4" t="str">
        <f t="array" ref="A926">IF(COUNTIF(A$1:A925,Cotizador!F$2)=maxifs(Familias!E:E,Familias!D:D,Cotizador!F$2),IF(COUNTIF(A$1:A925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6" s="4" t="str">
        <f t="shared" si="1"/>
        <v/>
      </c>
      <c r="C926" s="4" t="str">
        <f t="array" ref="C926">IF(B926="","",IF(A926=XLOOKUP(A$2,Implementos!B:B,Implementos!C:C,"",0,1),B926+maxifs(B$1:B925,A$1:A925,A$2),B926))</f>
        <v/>
      </c>
      <c r="D926" s="4" t="str">
        <f>IF(B926="","", COUNTIFS(Productos!F:F,A926,Productos!H:H,B926)+IF(F926="SI",0,1))</f>
        <v/>
      </c>
      <c r="E926" s="4" t="str">
        <f>IFERROR(__xludf.DUMMYFUNCTION("IF($B926="""","""",INDEX(filter(Familias!F:F,Familias!$D:$D=$A926,Familias!$E:$E=$B926),1))"),"")</f>
        <v/>
      </c>
      <c r="F926" s="4" t="str">
        <f>IFERROR(__xludf.DUMMYFUNCTION("IF($B926="""","""",INDEX(filter(Familias!G:G,Familias!$D:$D=$A926,Familias!$E:$E=$B926),1))"),"")</f>
        <v/>
      </c>
      <c r="G926" s="4" t="str">
        <f t="array" ref="G926">IF(C926=1,XLOOKUP(C926,Cotizador!D:D,Cotizador!E:E,"",0,1),"")</f>
        <v/>
      </c>
      <c r="I926" s="4"/>
      <c r="J926" s="8" t="str">
        <f>IF(I926="","",SUMIF(Cotizador!I$1:V$1,I926,Cotizador!I$2:V$2))</f>
        <v/>
      </c>
      <c r="L926" s="4" t="str">
        <f t="array" ref="L926">IF(COUNTIF(L$1:L925,A$2)=SUMIF(A:A,A$2,D:D),IF(COUNTIF(L$1:L925,XLOOKUP(A$2,Implementos!B:B,Implementos!C:C,"",0,1))=SUMIF(A:A,XLOOKUP(A$2,Implementos!B:B,Implementos!C:C,"",0,1),D:D),"",XLOOKUP(A$2,Implementos!B:B,Implementos!C:C,"",0,1)),A$2)</f>
        <v/>
      </c>
      <c r="M926" s="4" t="str">
        <f t="shared" si="2"/>
        <v/>
      </c>
      <c r="N926" s="4" t="str">
        <f t="shared" si="3"/>
        <v/>
      </c>
      <c r="O926" s="4" t="str">
        <f t="shared" si="4"/>
        <v/>
      </c>
      <c r="P926" s="4" t="str">
        <f t="shared" si="5"/>
        <v/>
      </c>
      <c r="Q926" s="4" t="str">
        <f>IF(U926="","",SUMIF(Productos!E:E,U926,Productos!A:A))</f>
        <v/>
      </c>
      <c r="R926" s="4" t="str">
        <f t="array" ref="R926">IF(L926="","", max(1,SUMIF(I:I,XLOOKUP(U926,Productos!E:E,Productos!G:G,"",0,1),J:J)))</f>
        <v/>
      </c>
      <c r="S926" s="4" t="str">
        <f>IF(Q926="","",IF(SUMIFS(Compat_Vetado!D:D,Compat_Vetado!B:B,SUM(G:G),Compat_Vetado!C:C,Q926)=1,"SI",IF(OR(SUMIF(Cotizador!E:E,Q926,Cotizador!G:G)&gt;0,SUMIFS(Compat_Vetado!D:D,Compat_Vetado!B:B,SUM(G:G),Compat_Vetado!C:C,Q926)=-1),"NO","")))</f>
        <v/>
      </c>
      <c r="T926" s="4" t="str">
        <f t="shared" si="6"/>
        <v/>
      </c>
      <c r="U926" s="4" t="str">
        <f>IFERROR(__xludf.DUMMYFUNCTION("IF(P926="""","""",IFERROR(INDEX(filter(Productos!E:E,Productos!F:F=L926,Productos!H:H=N926),P926),IF(M926=SUM(D:D),""Finalizar"",""-"")))"),"")</f>
        <v/>
      </c>
      <c r="V926" s="4" t="str">
        <f>IFERROR(__xludf.DUMMYFUNCTION("IF(OR($U926="""",COUNTIF($I:$I,IFERROR(unique(filter(Prod_Prop!$H:$H,Prod_Prop!$G:$G=$U926,Prod_Prop!$E:$E=V$1)),""Check""))=0),"""",IFERROR(unique(filter(Prod_Prop!$H:$H,Prod_Prop!$G:$G=$U926,Prod_Prop!$E:$E=V$1)),""""))"),"")</f>
        <v/>
      </c>
      <c r="W926" s="4" t="str">
        <f>IF(V926="","",SUMIFS(Prod_Prop!$J:$J,Prod_Prop!$B:$B,$Q926,Prod_Prop!$H:$H,V926,Prod_Prop!$I:$I,W$1)*IF(V926="Peso",$R926,1))</f>
        <v/>
      </c>
      <c r="X926" s="4" t="str">
        <f>IF(V926="","",SUMIFS(Prod_Prop!$J:$J,Prod_Prop!$B:$B,$Q926,Prod_Prop!$H:$H,V926,Prod_Prop!$I:$I,X$1)*IF(V926="Peso",$R926,1))</f>
        <v/>
      </c>
      <c r="Y926" s="4" t="str">
        <f>IFERROR(__xludf.DUMMYFUNCTION("IF(OR($U926="""",COUNTIF($I:$I,IFERROR(unique(filter(Prod_Prop!$H:$H,Prod_Prop!$G:$G=$U926,Prod_Prop!$E:$E=Y$1)),""Check""))=0),"""",IFERROR(unique(filter(Prod_Prop!$H:$H,Prod_Prop!$G:$G=$U926,Prod_Prop!$E:$E=Y$1)),""""))"),"")</f>
        <v/>
      </c>
      <c r="Z926" s="4" t="str">
        <f>IF(Y926="","",SUMIFS(Prod_Prop!$J:$J,Prod_Prop!$B:$B,$Q926,Prod_Prop!$H:$H,Y926,Prod_Prop!$I:$I,Z$1)*IF(Y926="Peso",$R926,1))</f>
        <v/>
      </c>
      <c r="AA926" s="4" t="str">
        <f>IF(Y926="","",SUMIFS(Prod_Prop!$J:$J,Prod_Prop!$B:$B,$Q926,Prod_Prop!$H:$H,Y926,Prod_Prop!$I:$I,AA$1)*IF(Y926="Peso",$R926,1))</f>
        <v/>
      </c>
      <c r="AB926" s="4" t="str">
        <f>IFERROR(__xludf.DUMMYFUNCTION("IF(OR($U926="""",COUNTIF($I:$I,IFERROR(unique(filter(Prod_Prop!$H:$H,Prod_Prop!$G:$G=$U926,Prod_Prop!$E:$E=AB$1)),""Check""))=0),"""",IFERROR(unique(filter(Prod_Prop!$H:$H,Prod_Prop!$G:$G=$U926,Prod_Prop!$E:$E=AB$1)),""""))"),"")</f>
        <v/>
      </c>
      <c r="AC926" s="4" t="str">
        <f>IF(AB926="","",SUMIFS(Prod_Prop!$J:$J,Prod_Prop!$B:$B,$Q926,Prod_Prop!$H:$H,AB926,Prod_Prop!$I:$I,AC$1)*IF(AB926="Peso",$R926,1))</f>
        <v/>
      </c>
      <c r="AD926" s="4" t="str">
        <f>IF(AB926="","",SUMIFS(Prod_Prop!$J:$J,Prod_Prop!$B:$B,$Q926,Prod_Prop!$H:$H,AB926,Prod_Prop!$I:$I,AD$1)*IF(AB926="Peso",$R926,1))</f>
        <v/>
      </c>
    </row>
    <row r="927">
      <c r="A927" s="4" t="str">
        <f t="array" ref="A927">IF(COUNTIF(A$1:A926,Cotizador!F$2)=maxifs(Familias!E:E,Familias!D:D,Cotizador!F$2),IF(COUNTIF(A$1:A926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7" s="4" t="str">
        <f t="shared" si="1"/>
        <v/>
      </c>
      <c r="C927" s="4" t="str">
        <f t="array" ref="C927">IF(B927="","",IF(A927=XLOOKUP(A$2,Implementos!B:B,Implementos!C:C,"",0,1),B927+maxifs(B$1:B926,A$1:A926,A$2),B927))</f>
        <v/>
      </c>
      <c r="D927" s="4" t="str">
        <f>IF(B927="","", COUNTIFS(Productos!F:F,A927,Productos!H:H,B927)+IF(F927="SI",0,1))</f>
        <v/>
      </c>
      <c r="E927" s="4" t="str">
        <f>IFERROR(__xludf.DUMMYFUNCTION("IF($B927="""","""",INDEX(filter(Familias!F:F,Familias!$D:$D=$A927,Familias!$E:$E=$B927),1))"),"")</f>
        <v/>
      </c>
      <c r="F927" s="4" t="str">
        <f>IFERROR(__xludf.DUMMYFUNCTION("IF($B927="""","""",INDEX(filter(Familias!G:G,Familias!$D:$D=$A927,Familias!$E:$E=$B927),1))"),"")</f>
        <v/>
      </c>
      <c r="G927" s="4" t="str">
        <f t="array" ref="G927">IF(C927=1,XLOOKUP(C927,Cotizador!D:D,Cotizador!E:E,"",0,1),"")</f>
        <v/>
      </c>
      <c r="I927" s="4"/>
      <c r="J927" s="8" t="str">
        <f>IF(I927="","",SUMIF(Cotizador!I$1:V$1,I927,Cotizador!I$2:V$2))</f>
        <v/>
      </c>
      <c r="L927" s="4" t="str">
        <f t="array" ref="L927">IF(COUNTIF(L$1:L926,A$2)=SUMIF(A:A,A$2,D:D),IF(COUNTIF(L$1:L926,XLOOKUP(A$2,Implementos!B:B,Implementos!C:C,"",0,1))=SUMIF(A:A,XLOOKUP(A$2,Implementos!B:B,Implementos!C:C,"",0,1),D:D),"",XLOOKUP(A$2,Implementos!B:B,Implementos!C:C,"",0,1)),A$2)</f>
        <v/>
      </c>
      <c r="M927" s="4" t="str">
        <f t="shared" si="2"/>
        <v/>
      </c>
      <c r="N927" s="4" t="str">
        <f t="shared" si="3"/>
        <v/>
      </c>
      <c r="O927" s="4" t="str">
        <f t="shared" si="4"/>
        <v/>
      </c>
      <c r="P927" s="4" t="str">
        <f t="shared" si="5"/>
        <v/>
      </c>
      <c r="Q927" s="4" t="str">
        <f>IF(U927="","",SUMIF(Productos!E:E,U927,Productos!A:A))</f>
        <v/>
      </c>
      <c r="R927" s="4" t="str">
        <f t="array" ref="R927">IF(L927="","", max(1,SUMIF(I:I,XLOOKUP(U927,Productos!E:E,Productos!G:G,"",0,1),J:J)))</f>
        <v/>
      </c>
      <c r="S927" s="4" t="str">
        <f>IF(Q927="","",IF(SUMIFS(Compat_Vetado!D:D,Compat_Vetado!B:B,SUM(G:G),Compat_Vetado!C:C,Q927)=1,"SI",IF(OR(SUMIF(Cotizador!E:E,Q927,Cotizador!G:G)&gt;0,SUMIFS(Compat_Vetado!D:D,Compat_Vetado!B:B,SUM(G:G),Compat_Vetado!C:C,Q927)=-1),"NO","")))</f>
        <v/>
      </c>
      <c r="T927" s="4" t="str">
        <f t="shared" si="6"/>
        <v/>
      </c>
      <c r="U927" s="4" t="str">
        <f>IFERROR(__xludf.DUMMYFUNCTION("IF(P927="""","""",IFERROR(INDEX(filter(Productos!E:E,Productos!F:F=L927,Productos!H:H=N927),P927),IF(M927=SUM(D:D),""Finalizar"",""-"")))"),"")</f>
        <v/>
      </c>
      <c r="V927" s="4" t="str">
        <f>IFERROR(__xludf.DUMMYFUNCTION("IF(OR($U927="""",COUNTIF($I:$I,IFERROR(unique(filter(Prod_Prop!$H:$H,Prod_Prop!$G:$G=$U927,Prod_Prop!$E:$E=V$1)),""Check""))=0),"""",IFERROR(unique(filter(Prod_Prop!$H:$H,Prod_Prop!$G:$G=$U927,Prod_Prop!$E:$E=V$1)),""""))"),"")</f>
        <v/>
      </c>
      <c r="W927" s="4" t="str">
        <f>IF(V927="","",SUMIFS(Prod_Prop!$J:$J,Prod_Prop!$B:$B,$Q927,Prod_Prop!$H:$H,V927,Prod_Prop!$I:$I,W$1)*IF(V927="Peso",$R927,1))</f>
        <v/>
      </c>
      <c r="X927" s="4" t="str">
        <f>IF(V927="","",SUMIFS(Prod_Prop!$J:$J,Prod_Prop!$B:$B,$Q927,Prod_Prop!$H:$H,V927,Prod_Prop!$I:$I,X$1)*IF(V927="Peso",$R927,1))</f>
        <v/>
      </c>
      <c r="Y927" s="4" t="str">
        <f>IFERROR(__xludf.DUMMYFUNCTION("IF(OR($U927="""",COUNTIF($I:$I,IFERROR(unique(filter(Prod_Prop!$H:$H,Prod_Prop!$G:$G=$U927,Prod_Prop!$E:$E=Y$1)),""Check""))=0),"""",IFERROR(unique(filter(Prod_Prop!$H:$H,Prod_Prop!$G:$G=$U927,Prod_Prop!$E:$E=Y$1)),""""))"),"")</f>
        <v/>
      </c>
      <c r="Z927" s="4" t="str">
        <f>IF(Y927="","",SUMIFS(Prod_Prop!$J:$J,Prod_Prop!$B:$B,$Q927,Prod_Prop!$H:$H,Y927,Prod_Prop!$I:$I,Z$1)*IF(Y927="Peso",$R927,1))</f>
        <v/>
      </c>
      <c r="AA927" s="4" t="str">
        <f>IF(Y927="","",SUMIFS(Prod_Prop!$J:$J,Prod_Prop!$B:$B,$Q927,Prod_Prop!$H:$H,Y927,Prod_Prop!$I:$I,AA$1)*IF(Y927="Peso",$R927,1))</f>
        <v/>
      </c>
      <c r="AB927" s="4" t="str">
        <f>IFERROR(__xludf.DUMMYFUNCTION("IF(OR($U927="""",COUNTIF($I:$I,IFERROR(unique(filter(Prod_Prop!$H:$H,Prod_Prop!$G:$G=$U927,Prod_Prop!$E:$E=AB$1)),""Check""))=0),"""",IFERROR(unique(filter(Prod_Prop!$H:$H,Prod_Prop!$G:$G=$U927,Prod_Prop!$E:$E=AB$1)),""""))"),"")</f>
        <v/>
      </c>
      <c r="AC927" s="4" t="str">
        <f>IF(AB927="","",SUMIFS(Prod_Prop!$J:$J,Prod_Prop!$B:$B,$Q927,Prod_Prop!$H:$H,AB927,Prod_Prop!$I:$I,AC$1)*IF(AB927="Peso",$R927,1))</f>
        <v/>
      </c>
      <c r="AD927" s="4" t="str">
        <f>IF(AB927="","",SUMIFS(Prod_Prop!$J:$J,Prod_Prop!$B:$B,$Q927,Prod_Prop!$H:$H,AB927,Prod_Prop!$I:$I,AD$1)*IF(AB927="Peso",$R927,1))</f>
        <v/>
      </c>
    </row>
    <row r="928">
      <c r="A928" s="4" t="str">
        <f t="array" ref="A928">IF(COUNTIF(A$1:A927,Cotizador!F$2)=maxifs(Familias!E:E,Familias!D:D,Cotizador!F$2),IF(COUNTIF(A$1:A927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8" s="4" t="str">
        <f t="shared" si="1"/>
        <v/>
      </c>
      <c r="C928" s="4" t="str">
        <f t="array" ref="C928">IF(B928="","",IF(A928=XLOOKUP(A$2,Implementos!B:B,Implementos!C:C,"",0,1),B928+maxifs(B$1:B927,A$1:A927,A$2),B928))</f>
        <v/>
      </c>
      <c r="D928" s="4" t="str">
        <f>IF(B928="","", COUNTIFS(Productos!F:F,A928,Productos!H:H,B928)+IF(F928="SI",0,1))</f>
        <v/>
      </c>
      <c r="E928" s="4" t="str">
        <f>IFERROR(__xludf.DUMMYFUNCTION("IF($B928="""","""",INDEX(filter(Familias!F:F,Familias!$D:$D=$A928,Familias!$E:$E=$B928),1))"),"")</f>
        <v/>
      </c>
      <c r="F928" s="4" t="str">
        <f>IFERROR(__xludf.DUMMYFUNCTION("IF($B928="""","""",INDEX(filter(Familias!G:G,Familias!$D:$D=$A928,Familias!$E:$E=$B928),1))"),"")</f>
        <v/>
      </c>
      <c r="G928" s="4" t="str">
        <f t="array" ref="G928">IF(C928=1,XLOOKUP(C928,Cotizador!D:D,Cotizador!E:E,"",0,1),"")</f>
        <v/>
      </c>
      <c r="I928" s="4"/>
      <c r="J928" s="8" t="str">
        <f>IF(I928="","",SUMIF(Cotizador!I$1:V$1,I928,Cotizador!I$2:V$2))</f>
        <v/>
      </c>
      <c r="L928" s="4" t="str">
        <f t="array" ref="L928">IF(COUNTIF(L$1:L927,A$2)=SUMIF(A:A,A$2,D:D),IF(COUNTIF(L$1:L927,XLOOKUP(A$2,Implementos!B:B,Implementos!C:C,"",0,1))=SUMIF(A:A,XLOOKUP(A$2,Implementos!B:B,Implementos!C:C,"",0,1),D:D),"",XLOOKUP(A$2,Implementos!B:B,Implementos!C:C,"",0,1)),A$2)</f>
        <v/>
      </c>
      <c r="M928" s="4" t="str">
        <f t="shared" si="2"/>
        <v/>
      </c>
      <c r="N928" s="4" t="str">
        <f t="shared" si="3"/>
        <v/>
      </c>
      <c r="O928" s="4" t="str">
        <f t="shared" si="4"/>
        <v/>
      </c>
      <c r="P928" s="4" t="str">
        <f t="shared" si="5"/>
        <v/>
      </c>
      <c r="Q928" s="4" t="str">
        <f>IF(U928="","",SUMIF(Productos!E:E,U928,Productos!A:A))</f>
        <v/>
      </c>
      <c r="R928" s="4" t="str">
        <f t="array" ref="R928">IF(L928="","", max(1,SUMIF(I:I,XLOOKUP(U928,Productos!E:E,Productos!G:G,"",0,1),J:J)))</f>
        <v/>
      </c>
      <c r="S928" s="4" t="str">
        <f>IF(Q928="","",IF(SUMIFS(Compat_Vetado!D:D,Compat_Vetado!B:B,SUM(G:G),Compat_Vetado!C:C,Q928)=1,"SI",IF(OR(SUMIF(Cotizador!E:E,Q928,Cotizador!G:G)&gt;0,SUMIFS(Compat_Vetado!D:D,Compat_Vetado!B:B,SUM(G:G),Compat_Vetado!C:C,Q928)=-1),"NO","")))</f>
        <v/>
      </c>
      <c r="T928" s="4" t="str">
        <f t="shared" si="6"/>
        <v/>
      </c>
      <c r="U928" s="4" t="str">
        <f>IFERROR(__xludf.DUMMYFUNCTION("IF(P928="""","""",IFERROR(INDEX(filter(Productos!E:E,Productos!F:F=L928,Productos!H:H=N928),P928),IF(M928=SUM(D:D),""Finalizar"",""-"")))"),"")</f>
        <v/>
      </c>
      <c r="V928" s="4" t="str">
        <f>IFERROR(__xludf.DUMMYFUNCTION("IF(OR($U928="""",COUNTIF($I:$I,IFERROR(unique(filter(Prod_Prop!$H:$H,Prod_Prop!$G:$G=$U928,Prod_Prop!$E:$E=V$1)),""Check""))=0),"""",IFERROR(unique(filter(Prod_Prop!$H:$H,Prod_Prop!$G:$G=$U928,Prod_Prop!$E:$E=V$1)),""""))"),"")</f>
        <v/>
      </c>
      <c r="W928" s="4" t="str">
        <f>IF(V928="","",SUMIFS(Prod_Prop!$J:$J,Prod_Prop!$B:$B,$Q928,Prod_Prop!$H:$H,V928,Prod_Prop!$I:$I,W$1)*IF(V928="Peso",$R928,1))</f>
        <v/>
      </c>
      <c r="X928" s="4" t="str">
        <f>IF(V928="","",SUMIFS(Prod_Prop!$J:$J,Prod_Prop!$B:$B,$Q928,Prod_Prop!$H:$H,V928,Prod_Prop!$I:$I,X$1)*IF(V928="Peso",$R928,1))</f>
        <v/>
      </c>
      <c r="Y928" s="4" t="str">
        <f>IFERROR(__xludf.DUMMYFUNCTION("IF(OR($U928="""",COUNTIF($I:$I,IFERROR(unique(filter(Prod_Prop!$H:$H,Prod_Prop!$G:$G=$U928,Prod_Prop!$E:$E=Y$1)),""Check""))=0),"""",IFERROR(unique(filter(Prod_Prop!$H:$H,Prod_Prop!$G:$G=$U928,Prod_Prop!$E:$E=Y$1)),""""))"),"")</f>
        <v/>
      </c>
      <c r="Z928" s="4" t="str">
        <f>IF(Y928="","",SUMIFS(Prod_Prop!$J:$J,Prod_Prop!$B:$B,$Q928,Prod_Prop!$H:$H,Y928,Prod_Prop!$I:$I,Z$1)*IF(Y928="Peso",$R928,1))</f>
        <v/>
      </c>
      <c r="AA928" s="4" t="str">
        <f>IF(Y928="","",SUMIFS(Prod_Prop!$J:$J,Prod_Prop!$B:$B,$Q928,Prod_Prop!$H:$H,Y928,Prod_Prop!$I:$I,AA$1)*IF(Y928="Peso",$R928,1))</f>
        <v/>
      </c>
      <c r="AB928" s="4" t="str">
        <f>IFERROR(__xludf.DUMMYFUNCTION("IF(OR($U928="""",COUNTIF($I:$I,IFERROR(unique(filter(Prod_Prop!$H:$H,Prod_Prop!$G:$G=$U928,Prod_Prop!$E:$E=AB$1)),""Check""))=0),"""",IFERROR(unique(filter(Prod_Prop!$H:$H,Prod_Prop!$G:$G=$U928,Prod_Prop!$E:$E=AB$1)),""""))"),"")</f>
        <v/>
      </c>
      <c r="AC928" s="4" t="str">
        <f>IF(AB928="","",SUMIFS(Prod_Prop!$J:$J,Prod_Prop!$B:$B,$Q928,Prod_Prop!$H:$H,AB928,Prod_Prop!$I:$I,AC$1)*IF(AB928="Peso",$R928,1))</f>
        <v/>
      </c>
      <c r="AD928" s="4" t="str">
        <f>IF(AB928="","",SUMIFS(Prod_Prop!$J:$J,Prod_Prop!$B:$B,$Q928,Prod_Prop!$H:$H,AB928,Prod_Prop!$I:$I,AD$1)*IF(AB928="Peso",$R928,1))</f>
        <v/>
      </c>
    </row>
    <row r="929">
      <c r="A929" s="4" t="str">
        <f t="array" ref="A929">IF(COUNTIF(A$1:A928,Cotizador!F$2)=maxifs(Familias!E:E,Familias!D:D,Cotizador!F$2),IF(COUNTIF(A$1:A928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29" s="4" t="str">
        <f t="shared" si="1"/>
        <v/>
      </c>
      <c r="C929" s="4" t="str">
        <f t="array" ref="C929">IF(B929="","",IF(A929=XLOOKUP(A$2,Implementos!B:B,Implementos!C:C,"",0,1),B929+maxifs(B$1:B928,A$1:A928,A$2),B929))</f>
        <v/>
      </c>
      <c r="D929" s="4" t="str">
        <f>IF(B929="","", COUNTIFS(Productos!F:F,A929,Productos!H:H,B929)+IF(F929="SI",0,1))</f>
        <v/>
      </c>
      <c r="E929" s="4" t="str">
        <f>IFERROR(__xludf.DUMMYFUNCTION("IF($B929="""","""",INDEX(filter(Familias!F:F,Familias!$D:$D=$A929,Familias!$E:$E=$B929),1))"),"")</f>
        <v/>
      </c>
      <c r="F929" s="4" t="str">
        <f>IFERROR(__xludf.DUMMYFUNCTION("IF($B929="""","""",INDEX(filter(Familias!G:G,Familias!$D:$D=$A929,Familias!$E:$E=$B929),1))"),"")</f>
        <v/>
      </c>
      <c r="G929" s="4" t="str">
        <f t="array" ref="G929">IF(C929=1,XLOOKUP(C929,Cotizador!D:D,Cotizador!E:E,"",0,1),"")</f>
        <v/>
      </c>
      <c r="I929" s="4"/>
      <c r="J929" s="8" t="str">
        <f>IF(I929="","",SUMIF(Cotizador!I$1:V$1,I929,Cotizador!I$2:V$2))</f>
        <v/>
      </c>
      <c r="L929" s="4" t="str">
        <f t="array" ref="L929">IF(COUNTIF(L$1:L928,A$2)=SUMIF(A:A,A$2,D:D),IF(COUNTIF(L$1:L928,XLOOKUP(A$2,Implementos!B:B,Implementos!C:C,"",0,1))=SUMIF(A:A,XLOOKUP(A$2,Implementos!B:B,Implementos!C:C,"",0,1),D:D),"",XLOOKUP(A$2,Implementos!B:B,Implementos!C:C,"",0,1)),A$2)</f>
        <v/>
      </c>
      <c r="M929" s="4" t="str">
        <f t="shared" si="2"/>
        <v/>
      </c>
      <c r="N929" s="4" t="str">
        <f t="shared" si="3"/>
        <v/>
      </c>
      <c r="O929" s="4" t="str">
        <f t="shared" si="4"/>
        <v/>
      </c>
      <c r="P929" s="4" t="str">
        <f t="shared" si="5"/>
        <v/>
      </c>
      <c r="Q929" s="4" t="str">
        <f>IF(U929="","",SUMIF(Productos!E:E,U929,Productos!A:A))</f>
        <v/>
      </c>
      <c r="R929" s="4" t="str">
        <f t="array" ref="R929">IF(L929="","", max(1,SUMIF(I:I,XLOOKUP(U929,Productos!E:E,Productos!G:G,"",0,1),J:J)))</f>
        <v/>
      </c>
      <c r="S929" s="4" t="str">
        <f>IF(Q929="","",IF(SUMIFS(Compat_Vetado!D:D,Compat_Vetado!B:B,SUM(G:G),Compat_Vetado!C:C,Q929)=1,"SI",IF(OR(SUMIF(Cotizador!E:E,Q929,Cotizador!G:G)&gt;0,SUMIFS(Compat_Vetado!D:D,Compat_Vetado!B:B,SUM(G:G),Compat_Vetado!C:C,Q929)=-1),"NO","")))</f>
        <v/>
      </c>
      <c r="T929" s="4" t="str">
        <f t="shared" si="6"/>
        <v/>
      </c>
      <c r="U929" s="4" t="str">
        <f>IFERROR(__xludf.DUMMYFUNCTION("IF(P929="""","""",IFERROR(INDEX(filter(Productos!E:E,Productos!F:F=L929,Productos!H:H=N929),P929),IF(M929=SUM(D:D),""Finalizar"",""-"")))"),"")</f>
        <v/>
      </c>
      <c r="V929" s="4" t="str">
        <f>IFERROR(__xludf.DUMMYFUNCTION("IF(OR($U929="""",COUNTIF($I:$I,IFERROR(unique(filter(Prod_Prop!$H:$H,Prod_Prop!$G:$G=$U929,Prod_Prop!$E:$E=V$1)),""Check""))=0),"""",IFERROR(unique(filter(Prod_Prop!$H:$H,Prod_Prop!$G:$G=$U929,Prod_Prop!$E:$E=V$1)),""""))"),"")</f>
        <v/>
      </c>
      <c r="W929" s="4" t="str">
        <f>IF(V929="","",SUMIFS(Prod_Prop!$J:$J,Prod_Prop!$B:$B,$Q929,Prod_Prop!$H:$H,V929,Prod_Prop!$I:$I,W$1)*IF(V929="Peso",$R929,1))</f>
        <v/>
      </c>
      <c r="X929" s="4" t="str">
        <f>IF(V929="","",SUMIFS(Prod_Prop!$J:$J,Prod_Prop!$B:$B,$Q929,Prod_Prop!$H:$H,V929,Prod_Prop!$I:$I,X$1)*IF(V929="Peso",$R929,1))</f>
        <v/>
      </c>
      <c r="Y929" s="4" t="str">
        <f>IFERROR(__xludf.DUMMYFUNCTION("IF(OR($U929="""",COUNTIF($I:$I,IFERROR(unique(filter(Prod_Prop!$H:$H,Prod_Prop!$G:$G=$U929,Prod_Prop!$E:$E=Y$1)),""Check""))=0),"""",IFERROR(unique(filter(Prod_Prop!$H:$H,Prod_Prop!$G:$G=$U929,Prod_Prop!$E:$E=Y$1)),""""))"),"")</f>
        <v/>
      </c>
      <c r="Z929" s="4" t="str">
        <f>IF(Y929="","",SUMIFS(Prod_Prop!$J:$J,Prod_Prop!$B:$B,$Q929,Prod_Prop!$H:$H,Y929,Prod_Prop!$I:$I,Z$1)*IF(Y929="Peso",$R929,1))</f>
        <v/>
      </c>
      <c r="AA929" s="4" t="str">
        <f>IF(Y929="","",SUMIFS(Prod_Prop!$J:$J,Prod_Prop!$B:$B,$Q929,Prod_Prop!$H:$H,Y929,Prod_Prop!$I:$I,AA$1)*IF(Y929="Peso",$R929,1))</f>
        <v/>
      </c>
      <c r="AB929" s="4" t="str">
        <f>IFERROR(__xludf.DUMMYFUNCTION("IF(OR($U929="""",COUNTIF($I:$I,IFERROR(unique(filter(Prod_Prop!$H:$H,Prod_Prop!$G:$G=$U929,Prod_Prop!$E:$E=AB$1)),""Check""))=0),"""",IFERROR(unique(filter(Prod_Prop!$H:$H,Prod_Prop!$G:$G=$U929,Prod_Prop!$E:$E=AB$1)),""""))"),"")</f>
        <v/>
      </c>
      <c r="AC929" s="4" t="str">
        <f>IF(AB929="","",SUMIFS(Prod_Prop!$J:$J,Prod_Prop!$B:$B,$Q929,Prod_Prop!$H:$H,AB929,Prod_Prop!$I:$I,AC$1)*IF(AB929="Peso",$R929,1))</f>
        <v/>
      </c>
      <c r="AD929" s="4" t="str">
        <f>IF(AB929="","",SUMIFS(Prod_Prop!$J:$J,Prod_Prop!$B:$B,$Q929,Prod_Prop!$H:$H,AB929,Prod_Prop!$I:$I,AD$1)*IF(AB929="Peso",$R929,1))</f>
        <v/>
      </c>
    </row>
    <row r="930">
      <c r="A930" s="4" t="str">
        <f t="array" ref="A930">IF(COUNTIF(A$1:A929,Cotizador!F$2)=maxifs(Familias!E:E,Familias!D:D,Cotizador!F$2),IF(COUNTIF(A$1:A929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0" s="4" t="str">
        <f t="shared" si="1"/>
        <v/>
      </c>
      <c r="C930" s="4" t="str">
        <f t="array" ref="C930">IF(B930="","",IF(A930=XLOOKUP(A$2,Implementos!B:B,Implementos!C:C,"",0,1),B930+maxifs(B$1:B929,A$1:A929,A$2),B930))</f>
        <v/>
      </c>
      <c r="D930" s="4" t="str">
        <f>IF(B930="","", COUNTIFS(Productos!F:F,A930,Productos!H:H,B930)+IF(F930="SI",0,1))</f>
        <v/>
      </c>
      <c r="E930" s="4" t="str">
        <f>IFERROR(__xludf.DUMMYFUNCTION("IF($B930="""","""",INDEX(filter(Familias!F:F,Familias!$D:$D=$A930,Familias!$E:$E=$B930),1))"),"")</f>
        <v/>
      </c>
      <c r="F930" s="4" t="str">
        <f>IFERROR(__xludf.DUMMYFUNCTION("IF($B930="""","""",INDEX(filter(Familias!G:G,Familias!$D:$D=$A930,Familias!$E:$E=$B930),1))"),"")</f>
        <v/>
      </c>
      <c r="G930" s="4" t="str">
        <f t="array" ref="G930">IF(C930=1,XLOOKUP(C930,Cotizador!D:D,Cotizador!E:E,"",0,1),"")</f>
        <v/>
      </c>
      <c r="I930" s="4"/>
      <c r="J930" s="8" t="str">
        <f>IF(I930="","",SUMIF(Cotizador!I$1:V$1,I930,Cotizador!I$2:V$2))</f>
        <v/>
      </c>
      <c r="L930" s="4" t="str">
        <f t="array" ref="L930">IF(COUNTIF(L$1:L929,A$2)=SUMIF(A:A,A$2,D:D),IF(COUNTIF(L$1:L929,XLOOKUP(A$2,Implementos!B:B,Implementos!C:C,"",0,1))=SUMIF(A:A,XLOOKUP(A$2,Implementos!B:B,Implementos!C:C,"",0,1),D:D),"",XLOOKUP(A$2,Implementos!B:B,Implementos!C:C,"",0,1)),A$2)</f>
        <v/>
      </c>
      <c r="M930" s="4" t="str">
        <f t="shared" si="2"/>
        <v/>
      </c>
      <c r="N930" s="4" t="str">
        <f t="shared" si="3"/>
        <v/>
      </c>
      <c r="O930" s="4" t="str">
        <f t="shared" si="4"/>
        <v/>
      </c>
      <c r="P930" s="4" t="str">
        <f t="shared" si="5"/>
        <v/>
      </c>
      <c r="Q930" s="4" t="str">
        <f>IF(U930="","",SUMIF(Productos!E:E,U930,Productos!A:A))</f>
        <v/>
      </c>
      <c r="R930" s="4" t="str">
        <f t="array" ref="R930">IF(L930="","", max(1,SUMIF(I:I,XLOOKUP(U930,Productos!E:E,Productos!G:G,"",0,1),J:J)))</f>
        <v/>
      </c>
      <c r="S930" s="4" t="str">
        <f>IF(Q930="","",IF(SUMIFS(Compat_Vetado!D:D,Compat_Vetado!B:B,SUM(G:G),Compat_Vetado!C:C,Q930)=1,"SI",IF(OR(SUMIF(Cotizador!E:E,Q930,Cotizador!G:G)&gt;0,SUMIFS(Compat_Vetado!D:D,Compat_Vetado!B:B,SUM(G:G),Compat_Vetado!C:C,Q930)=-1),"NO","")))</f>
        <v/>
      </c>
      <c r="T930" s="4" t="str">
        <f t="shared" si="6"/>
        <v/>
      </c>
      <c r="U930" s="4" t="str">
        <f>IFERROR(__xludf.DUMMYFUNCTION("IF(P930="""","""",IFERROR(INDEX(filter(Productos!E:E,Productos!F:F=L930,Productos!H:H=N930),P930),IF(M930=SUM(D:D),""Finalizar"",""-"")))"),"")</f>
        <v/>
      </c>
      <c r="V930" s="4" t="str">
        <f>IFERROR(__xludf.DUMMYFUNCTION("IF(OR($U930="""",COUNTIF($I:$I,IFERROR(unique(filter(Prod_Prop!$H:$H,Prod_Prop!$G:$G=$U930,Prod_Prop!$E:$E=V$1)),""Check""))=0),"""",IFERROR(unique(filter(Prod_Prop!$H:$H,Prod_Prop!$G:$G=$U930,Prod_Prop!$E:$E=V$1)),""""))"),"")</f>
        <v/>
      </c>
      <c r="W930" s="4" t="str">
        <f>IF(V930="","",SUMIFS(Prod_Prop!$J:$J,Prod_Prop!$B:$B,$Q930,Prod_Prop!$H:$H,V930,Prod_Prop!$I:$I,W$1)*IF(V930="Peso",$R930,1))</f>
        <v/>
      </c>
      <c r="X930" s="4" t="str">
        <f>IF(V930="","",SUMIFS(Prod_Prop!$J:$J,Prod_Prop!$B:$B,$Q930,Prod_Prop!$H:$H,V930,Prod_Prop!$I:$I,X$1)*IF(V930="Peso",$R930,1))</f>
        <v/>
      </c>
      <c r="Y930" s="4" t="str">
        <f>IFERROR(__xludf.DUMMYFUNCTION("IF(OR($U930="""",COUNTIF($I:$I,IFERROR(unique(filter(Prod_Prop!$H:$H,Prod_Prop!$G:$G=$U930,Prod_Prop!$E:$E=Y$1)),""Check""))=0),"""",IFERROR(unique(filter(Prod_Prop!$H:$H,Prod_Prop!$G:$G=$U930,Prod_Prop!$E:$E=Y$1)),""""))"),"")</f>
        <v/>
      </c>
      <c r="Z930" s="4" t="str">
        <f>IF(Y930="","",SUMIFS(Prod_Prop!$J:$J,Prod_Prop!$B:$B,$Q930,Prod_Prop!$H:$H,Y930,Prod_Prop!$I:$I,Z$1)*IF(Y930="Peso",$R930,1))</f>
        <v/>
      </c>
      <c r="AA930" s="4" t="str">
        <f>IF(Y930="","",SUMIFS(Prod_Prop!$J:$J,Prod_Prop!$B:$B,$Q930,Prod_Prop!$H:$H,Y930,Prod_Prop!$I:$I,AA$1)*IF(Y930="Peso",$R930,1))</f>
        <v/>
      </c>
      <c r="AB930" s="4" t="str">
        <f>IFERROR(__xludf.DUMMYFUNCTION("IF(OR($U930="""",COUNTIF($I:$I,IFERROR(unique(filter(Prod_Prop!$H:$H,Prod_Prop!$G:$G=$U930,Prod_Prop!$E:$E=AB$1)),""Check""))=0),"""",IFERROR(unique(filter(Prod_Prop!$H:$H,Prod_Prop!$G:$G=$U930,Prod_Prop!$E:$E=AB$1)),""""))"),"")</f>
        <v/>
      </c>
      <c r="AC930" s="4" t="str">
        <f>IF(AB930="","",SUMIFS(Prod_Prop!$J:$J,Prod_Prop!$B:$B,$Q930,Prod_Prop!$H:$H,AB930,Prod_Prop!$I:$I,AC$1)*IF(AB930="Peso",$R930,1))</f>
        <v/>
      </c>
      <c r="AD930" s="4" t="str">
        <f>IF(AB930="","",SUMIFS(Prod_Prop!$J:$J,Prod_Prop!$B:$B,$Q930,Prod_Prop!$H:$H,AB930,Prod_Prop!$I:$I,AD$1)*IF(AB930="Peso",$R930,1))</f>
        <v/>
      </c>
    </row>
    <row r="931">
      <c r="A931" s="4" t="str">
        <f t="array" ref="A931">IF(COUNTIF(A$1:A930,Cotizador!F$2)=maxifs(Familias!E:E,Familias!D:D,Cotizador!F$2),IF(COUNTIF(A$1:A930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1" s="4" t="str">
        <f t="shared" si="1"/>
        <v/>
      </c>
      <c r="C931" s="4" t="str">
        <f t="array" ref="C931">IF(B931="","",IF(A931=XLOOKUP(A$2,Implementos!B:B,Implementos!C:C,"",0,1),B931+maxifs(B$1:B930,A$1:A930,A$2),B931))</f>
        <v/>
      </c>
      <c r="D931" s="4" t="str">
        <f>IF(B931="","", COUNTIFS(Productos!F:F,A931,Productos!H:H,B931)+IF(F931="SI",0,1))</f>
        <v/>
      </c>
      <c r="E931" s="4" t="str">
        <f>IFERROR(__xludf.DUMMYFUNCTION("IF($B931="""","""",INDEX(filter(Familias!F:F,Familias!$D:$D=$A931,Familias!$E:$E=$B931),1))"),"")</f>
        <v/>
      </c>
      <c r="F931" s="4" t="str">
        <f>IFERROR(__xludf.DUMMYFUNCTION("IF($B931="""","""",INDEX(filter(Familias!G:G,Familias!$D:$D=$A931,Familias!$E:$E=$B931),1))"),"")</f>
        <v/>
      </c>
      <c r="G931" s="4" t="str">
        <f t="array" ref="G931">IF(C931=1,XLOOKUP(C931,Cotizador!D:D,Cotizador!E:E,"",0,1),"")</f>
        <v/>
      </c>
      <c r="I931" s="4"/>
      <c r="J931" s="8" t="str">
        <f>IF(I931="","",SUMIF(Cotizador!I$1:V$1,I931,Cotizador!I$2:V$2))</f>
        <v/>
      </c>
      <c r="L931" s="4" t="str">
        <f t="array" ref="L931">IF(COUNTIF(L$1:L930,A$2)=SUMIF(A:A,A$2,D:D),IF(COUNTIF(L$1:L930,XLOOKUP(A$2,Implementos!B:B,Implementos!C:C,"",0,1))=SUMIF(A:A,XLOOKUP(A$2,Implementos!B:B,Implementos!C:C,"",0,1),D:D),"",XLOOKUP(A$2,Implementos!B:B,Implementos!C:C,"",0,1)),A$2)</f>
        <v/>
      </c>
      <c r="M931" s="4" t="str">
        <f t="shared" si="2"/>
        <v/>
      </c>
      <c r="N931" s="4" t="str">
        <f t="shared" si="3"/>
        <v/>
      </c>
      <c r="O931" s="4" t="str">
        <f t="shared" si="4"/>
        <v/>
      </c>
      <c r="P931" s="4" t="str">
        <f t="shared" si="5"/>
        <v/>
      </c>
      <c r="Q931" s="4" t="str">
        <f>IF(U931="","",SUMIF(Productos!E:E,U931,Productos!A:A))</f>
        <v/>
      </c>
      <c r="R931" s="4" t="str">
        <f t="array" ref="R931">IF(L931="","", max(1,SUMIF(I:I,XLOOKUP(U931,Productos!E:E,Productos!G:G,"",0,1),J:J)))</f>
        <v/>
      </c>
      <c r="S931" s="4" t="str">
        <f>IF(Q931="","",IF(SUMIFS(Compat_Vetado!D:D,Compat_Vetado!B:B,SUM(G:G),Compat_Vetado!C:C,Q931)=1,"SI",IF(OR(SUMIF(Cotizador!E:E,Q931,Cotizador!G:G)&gt;0,SUMIFS(Compat_Vetado!D:D,Compat_Vetado!B:B,SUM(G:G),Compat_Vetado!C:C,Q931)=-1),"NO","")))</f>
        <v/>
      </c>
      <c r="T931" s="4" t="str">
        <f t="shared" si="6"/>
        <v/>
      </c>
      <c r="U931" s="4" t="str">
        <f>IFERROR(__xludf.DUMMYFUNCTION("IF(P931="""","""",IFERROR(INDEX(filter(Productos!E:E,Productos!F:F=L931,Productos!H:H=N931),P931),IF(M931=SUM(D:D),""Finalizar"",""-"")))"),"")</f>
        <v/>
      </c>
      <c r="V931" s="4" t="str">
        <f>IFERROR(__xludf.DUMMYFUNCTION("IF(OR($U931="""",COUNTIF($I:$I,IFERROR(unique(filter(Prod_Prop!$H:$H,Prod_Prop!$G:$G=$U931,Prod_Prop!$E:$E=V$1)),""Check""))=0),"""",IFERROR(unique(filter(Prod_Prop!$H:$H,Prod_Prop!$G:$G=$U931,Prod_Prop!$E:$E=V$1)),""""))"),"")</f>
        <v/>
      </c>
      <c r="W931" s="4" t="str">
        <f>IF(V931="","",SUMIFS(Prod_Prop!$J:$J,Prod_Prop!$B:$B,$Q931,Prod_Prop!$H:$H,V931,Prod_Prop!$I:$I,W$1)*IF(V931="Peso",$R931,1))</f>
        <v/>
      </c>
      <c r="X931" s="4" t="str">
        <f>IF(V931="","",SUMIFS(Prod_Prop!$J:$J,Prod_Prop!$B:$B,$Q931,Prod_Prop!$H:$H,V931,Prod_Prop!$I:$I,X$1)*IF(V931="Peso",$R931,1))</f>
        <v/>
      </c>
      <c r="Y931" s="4" t="str">
        <f>IFERROR(__xludf.DUMMYFUNCTION("IF(OR($U931="""",COUNTIF($I:$I,IFERROR(unique(filter(Prod_Prop!$H:$H,Prod_Prop!$G:$G=$U931,Prod_Prop!$E:$E=Y$1)),""Check""))=0),"""",IFERROR(unique(filter(Prod_Prop!$H:$H,Prod_Prop!$G:$G=$U931,Prod_Prop!$E:$E=Y$1)),""""))"),"")</f>
        <v/>
      </c>
      <c r="Z931" s="4" t="str">
        <f>IF(Y931="","",SUMIFS(Prod_Prop!$J:$J,Prod_Prop!$B:$B,$Q931,Prod_Prop!$H:$H,Y931,Prod_Prop!$I:$I,Z$1)*IF(Y931="Peso",$R931,1))</f>
        <v/>
      </c>
      <c r="AA931" s="4" t="str">
        <f>IF(Y931="","",SUMIFS(Prod_Prop!$J:$J,Prod_Prop!$B:$B,$Q931,Prod_Prop!$H:$H,Y931,Prod_Prop!$I:$I,AA$1)*IF(Y931="Peso",$R931,1))</f>
        <v/>
      </c>
      <c r="AB931" s="4" t="str">
        <f>IFERROR(__xludf.DUMMYFUNCTION("IF(OR($U931="""",COUNTIF($I:$I,IFERROR(unique(filter(Prod_Prop!$H:$H,Prod_Prop!$G:$G=$U931,Prod_Prop!$E:$E=AB$1)),""Check""))=0),"""",IFERROR(unique(filter(Prod_Prop!$H:$H,Prod_Prop!$G:$G=$U931,Prod_Prop!$E:$E=AB$1)),""""))"),"")</f>
        <v/>
      </c>
      <c r="AC931" s="4" t="str">
        <f>IF(AB931="","",SUMIFS(Prod_Prop!$J:$J,Prod_Prop!$B:$B,$Q931,Prod_Prop!$H:$H,AB931,Prod_Prop!$I:$I,AC$1)*IF(AB931="Peso",$R931,1))</f>
        <v/>
      </c>
      <c r="AD931" s="4" t="str">
        <f>IF(AB931="","",SUMIFS(Prod_Prop!$J:$J,Prod_Prop!$B:$B,$Q931,Prod_Prop!$H:$H,AB931,Prod_Prop!$I:$I,AD$1)*IF(AB931="Peso",$R931,1))</f>
        <v/>
      </c>
    </row>
    <row r="932">
      <c r="A932" s="4" t="str">
        <f t="array" ref="A932">IF(COUNTIF(A$1:A931,Cotizador!F$2)=maxifs(Familias!E:E,Familias!D:D,Cotizador!F$2),IF(COUNTIF(A$1:A931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2" s="4" t="str">
        <f t="shared" si="1"/>
        <v/>
      </c>
      <c r="C932" s="4" t="str">
        <f t="array" ref="C932">IF(B932="","",IF(A932=XLOOKUP(A$2,Implementos!B:B,Implementos!C:C,"",0,1),B932+maxifs(B$1:B931,A$1:A931,A$2),B932))</f>
        <v/>
      </c>
      <c r="D932" s="4" t="str">
        <f>IF(B932="","", COUNTIFS(Productos!F:F,A932,Productos!H:H,B932)+IF(F932="SI",0,1))</f>
        <v/>
      </c>
      <c r="E932" s="4" t="str">
        <f>IFERROR(__xludf.DUMMYFUNCTION("IF($B932="""","""",INDEX(filter(Familias!F:F,Familias!$D:$D=$A932,Familias!$E:$E=$B932),1))"),"")</f>
        <v/>
      </c>
      <c r="F932" s="4" t="str">
        <f>IFERROR(__xludf.DUMMYFUNCTION("IF($B932="""","""",INDEX(filter(Familias!G:G,Familias!$D:$D=$A932,Familias!$E:$E=$B932),1))"),"")</f>
        <v/>
      </c>
      <c r="G932" s="4" t="str">
        <f t="array" ref="G932">IF(C932=1,XLOOKUP(C932,Cotizador!D:D,Cotizador!E:E,"",0,1),"")</f>
        <v/>
      </c>
      <c r="I932" s="4"/>
      <c r="J932" s="8" t="str">
        <f>IF(I932="","",SUMIF(Cotizador!I$1:V$1,I932,Cotizador!I$2:V$2))</f>
        <v/>
      </c>
      <c r="L932" s="4" t="str">
        <f t="array" ref="L932">IF(COUNTIF(L$1:L931,A$2)=SUMIF(A:A,A$2,D:D),IF(COUNTIF(L$1:L931,XLOOKUP(A$2,Implementos!B:B,Implementos!C:C,"",0,1))=SUMIF(A:A,XLOOKUP(A$2,Implementos!B:B,Implementos!C:C,"",0,1),D:D),"",XLOOKUP(A$2,Implementos!B:B,Implementos!C:C,"",0,1)),A$2)</f>
        <v/>
      </c>
      <c r="M932" s="4" t="str">
        <f t="shared" si="2"/>
        <v/>
      </c>
      <c r="N932" s="4" t="str">
        <f t="shared" si="3"/>
        <v/>
      </c>
      <c r="O932" s="4" t="str">
        <f t="shared" si="4"/>
        <v/>
      </c>
      <c r="P932" s="4" t="str">
        <f t="shared" si="5"/>
        <v/>
      </c>
      <c r="Q932" s="4" t="str">
        <f>IF(U932="","",SUMIF(Productos!E:E,U932,Productos!A:A))</f>
        <v/>
      </c>
      <c r="R932" s="4" t="str">
        <f t="array" ref="R932">IF(L932="","", max(1,SUMIF(I:I,XLOOKUP(U932,Productos!E:E,Productos!G:G,"",0,1),J:J)))</f>
        <v/>
      </c>
      <c r="S932" s="4" t="str">
        <f>IF(Q932="","",IF(SUMIFS(Compat_Vetado!D:D,Compat_Vetado!B:B,SUM(G:G),Compat_Vetado!C:C,Q932)=1,"SI",IF(OR(SUMIF(Cotizador!E:E,Q932,Cotizador!G:G)&gt;0,SUMIFS(Compat_Vetado!D:D,Compat_Vetado!B:B,SUM(G:G),Compat_Vetado!C:C,Q932)=-1),"NO","")))</f>
        <v/>
      </c>
      <c r="T932" s="4" t="str">
        <f t="shared" si="6"/>
        <v/>
      </c>
      <c r="U932" s="4" t="str">
        <f>IFERROR(__xludf.DUMMYFUNCTION("IF(P932="""","""",IFERROR(INDEX(filter(Productos!E:E,Productos!F:F=L932,Productos!H:H=N932),P932),IF(M932=SUM(D:D),""Finalizar"",""-"")))"),"")</f>
        <v/>
      </c>
      <c r="V932" s="4" t="str">
        <f>IFERROR(__xludf.DUMMYFUNCTION("IF(OR($U932="""",COUNTIF($I:$I,IFERROR(unique(filter(Prod_Prop!$H:$H,Prod_Prop!$G:$G=$U932,Prod_Prop!$E:$E=V$1)),""Check""))=0),"""",IFERROR(unique(filter(Prod_Prop!$H:$H,Prod_Prop!$G:$G=$U932,Prod_Prop!$E:$E=V$1)),""""))"),"")</f>
        <v/>
      </c>
      <c r="W932" s="4" t="str">
        <f>IF(V932="","",SUMIFS(Prod_Prop!$J:$J,Prod_Prop!$B:$B,$Q932,Prod_Prop!$H:$H,V932,Prod_Prop!$I:$I,W$1)*IF(V932="Peso",$R932,1))</f>
        <v/>
      </c>
      <c r="X932" s="4" t="str">
        <f>IF(V932="","",SUMIFS(Prod_Prop!$J:$J,Prod_Prop!$B:$B,$Q932,Prod_Prop!$H:$H,V932,Prod_Prop!$I:$I,X$1)*IF(V932="Peso",$R932,1))</f>
        <v/>
      </c>
      <c r="Y932" s="4" t="str">
        <f>IFERROR(__xludf.DUMMYFUNCTION("IF(OR($U932="""",COUNTIF($I:$I,IFERROR(unique(filter(Prod_Prop!$H:$H,Prod_Prop!$G:$G=$U932,Prod_Prop!$E:$E=Y$1)),""Check""))=0),"""",IFERROR(unique(filter(Prod_Prop!$H:$H,Prod_Prop!$G:$G=$U932,Prod_Prop!$E:$E=Y$1)),""""))"),"")</f>
        <v/>
      </c>
      <c r="Z932" s="4" t="str">
        <f>IF(Y932="","",SUMIFS(Prod_Prop!$J:$J,Prod_Prop!$B:$B,$Q932,Prod_Prop!$H:$H,Y932,Prod_Prop!$I:$I,Z$1)*IF(Y932="Peso",$R932,1))</f>
        <v/>
      </c>
      <c r="AA932" s="4" t="str">
        <f>IF(Y932="","",SUMIFS(Prod_Prop!$J:$J,Prod_Prop!$B:$B,$Q932,Prod_Prop!$H:$H,Y932,Prod_Prop!$I:$I,AA$1)*IF(Y932="Peso",$R932,1))</f>
        <v/>
      </c>
      <c r="AB932" s="4" t="str">
        <f>IFERROR(__xludf.DUMMYFUNCTION("IF(OR($U932="""",COUNTIF($I:$I,IFERROR(unique(filter(Prod_Prop!$H:$H,Prod_Prop!$G:$G=$U932,Prod_Prop!$E:$E=AB$1)),""Check""))=0),"""",IFERROR(unique(filter(Prod_Prop!$H:$H,Prod_Prop!$G:$G=$U932,Prod_Prop!$E:$E=AB$1)),""""))"),"")</f>
        <v/>
      </c>
      <c r="AC932" s="4" t="str">
        <f>IF(AB932="","",SUMIFS(Prod_Prop!$J:$J,Prod_Prop!$B:$B,$Q932,Prod_Prop!$H:$H,AB932,Prod_Prop!$I:$I,AC$1)*IF(AB932="Peso",$R932,1))</f>
        <v/>
      </c>
      <c r="AD932" s="4" t="str">
        <f>IF(AB932="","",SUMIFS(Prod_Prop!$J:$J,Prod_Prop!$B:$B,$Q932,Prod_Prop!$H:$H,AB932,Prod_Prop!$I:$I,AD$1)*IF(AB932="Peso",$R932,1))</f>
        <v/>
      </c>
    </row>
    <row r="933">
      <c r="A933" s="4" t="str">
        <f t="array" ref="A933">IF(COUNTIF(A$1:A932,Cotizador!F$2)=maxifs(Familias!E:E,Familias!D:D,Cotizador!F$2),IF(COUNTIF(A$1:A932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3" s="4" t="str">
        <f t="shared" si="1"/>
        <v/>
      </c>
      <c r="C933" s="4" t="str">
        <f t="array" ref="C933">IF(B933="","",IF(A933=XLOOKUP(A$2,Implementos!B:B,Implementos!C:C,"",0,1),B933+maxifs(B$1:B932,A$1:A932,A$2),B933))</f>
        <v/>
      </c>
      <c r="D933" s="4" t="str">
        <f>IF(B933="","", COUNTIFS(Productos!F:F,A933,Productos!H:H,B933)+IF(F933="SI",0,1))</f>
        <v/>
      </c>
      <c r="E933" s="4" t="str">
        <f>IFERROR(__xludf.DUMMYFUNCTION("IF($B933="""","""",INDEX(filter(Familias!F:F,Familias!$D:$D=$A933,Familias!$E:$E=$B933),1))"),"")</f>
        <v/>
      </c>
      <c r="F933" s="4" t="str">
        <f>IFERROR(__xludf.DUMMYFUNCTION("IF($B933="""","""",INDEX(filter(Familias!G:G,Familias!$D:$D=$A933,Familias!$E:$E=$B933),1))"),"")</f>
        <v/>
      </c>
      <c r="G933" s="4" t="str">
        <f t="array" ref="G933">IF(C933=1,XLOOKUP(C933,Cotizador!D:D,Cotizador!E:E,"",0,1),"")</f>
        <v/>
      </c>
      <c r="I933" s="4"/>
      <c r="J933" s="8" t="str">
        <f>IF(I933="","",SUMIF(Cotizador!I$1:V$1,I933,Cotizador!I$2:V$2))</f>
        <v/>
      </c>
      <c r="L933" s="4" t="str">
        <f t="array" ref="L933">IF(COUNTIF(L$1:L932,A$2)=SUMIF(A:A,A$2,D:D),IF(COUNTIF(L$1:L932,XLOOKUP(A$2,Implementos!B:B,Implementos!C:C,"",0,1))=SUMIF(A:A,XLOOKUP(A$2,Implementos!B:B,Implementos!C:C,"",0,1),D:D),"",XLOOKUP(A$2,Implementos!B:B,Implementos!C:C,"",0,1)),A$2)</f>
        <v/>
      </c>
      <c r="M933" s="4" t="str">
        <f t="shared" si="2"/>
        <v/>
      </c>
      <c r="N933" s="4" t="str">
        <f t="shared" si="3"/>
        <v/>
      </c>
      <c r="O933" s="4" t="str">
        <f t="shared" si="4"/>
        <v/>
      </c>
      <c r="P933" s="4" t="str">
        <f t="shared" si="5"/>
        <v/>
      </c>
      <c r="Q933" s="4" t="str">
        <f>IF(U933="","",SUMIF(Productos!E:E,U933,Productos!A:A))</f>
        <v/>
      </c>
      <c r="R933" s="4" t="str">
        <f t="array" ref="R933">IF(L933="","", max(1,SUMIF(I:I,XLOOKUP(U933,Productos!E:E,Productos!G:G,"",0,1),J:J)))</f>
        <v/>
      </c>
      <c r="S933" s="4" t="str">
        <f>IF(Q933="","",IF(SUMIFS(Compat_Vetado!D:D,Compat_Vetado!B:B,SUM(G:G),Compat_Vetado!C:C,Q933)=1,"SI",IF(OR(SUMIF(Cotizador!E:E,Q933,Cotizador!G:G)&gt;0,SUMIFS(Compat_Vetado!D:D,Compat_Vetado!B:B,SUM(G:G),Compat_Vetado!C:C,Q933)=-1),"NO","")))</f>
        <v/>
      </c>
      <c r="T933" s="4" t="str">
        <f t="shared" si="6"/>
        <v/>
      </c>
      <c r="U933" s="4" t="str">
        <f>IFERROR(__xludf.DUMMYFUNCTION("IF(P933="""","""",IFERROR(INDEX(filter(Productos!E:E,Productos!F:F=L933,Productos!H:H=N933),P933),IF(M933=SUM(D:D),""Finalizar"",""-"")))"),"")</f>
        <v/>
      </c>
      <c r="V933" s="4" t="str">
        <f>IFERROR(__xludf.DUMMYFUNCTION("IF(OR($U933="""",COUNTIF($I:$I,IFERROR(unique(filter(Prod_Prop!$H:$H,Prod_Prop!$G:$G=$U933,Prod_Prop!$E:$E=V$1)),""Check""))=0),"""",IFERROR(unique(filter(Prod_Prop!$H:$H,Prod_Prop!$G:$G=$U933,Prod_Prop!$E:$E=V$1)),""""))"),"")</f>
        <v/>
      </c>
      <c r="W933" s="4" t="str">
        <f>IF(V933="","",SUMIFS(Prod_Prop!$J:$J,Prod_Prop!$B:$B,$Q933,Prod_Prop!$H:$H,V933,Prod_Prop!$I:$I,W$1)*IF(V933="Peso",$R933,1))</f>
        <v/>
      </c>
      <c r="X933" s="4" t="str">
        <f>IF(V933="","",SUMIFS(Prod_Prop!$J:$J,Prod_Prop!$B:$B,$Q933,Prod_Prop!$H:$H,V933,Prod_Prop!$I:$I,X$1)*IF(V933="Peso",$R933,1))</f>
        <v/>
      </c>
      <c r="Y933" s="4" t="str">
        <f>IFERROR(__xludf.DUMMYFUNCTION("IF(OR($U933="""",COUNTIF($I:$I,IFERROR(unique(filter(Prod_Prop!$H:$H,Prod_Prop!$G:$G=$U933,Prod_Prop!$E:$E=Y$1)),""Check""))=0),"""",IFERROR(unique(filter(Prod_Prop!$H:$H,Prod_Prop!$G:$G=$U933,Prod_Prop!$E:$E=Y$1)),""""))"),"")</f>
        <v/>
      </c>
      <c r="Z933" s="4" t="str">
        <f>IF(Y933="","",SUMIFS(Prod_Prop!$J:$J,Prod_Prop!$B:$B,$Q933,Prod_Prop!$H:$H,Y933,Prod_Prop!$I:$I,Z$1)*IF(Y933="Peso",$R933,1))</f>
        <v/>
      </c>
      <c r="AA933" s="4" t="str">
        <f>IF(Y933="","",SUMIFS(Prod_Prop!$J:$J,Prod_Prop!$B:$B,$Q933,Prod_Prop!$H:$H,Y933,Prod_Prop!$I:$I,AA$1)*IF(Y933="Peso",$R933,1))</f>
        <v/>
      </c>
      <c r="AB933" s="4" t="str">
        <f>IFERROR(__xludf.DUMMYFUNCTION("IF(OR($U933="""",COUNTIF($I:$I,IFERROR(unique(filter(Prod_Prop!$H:$H,Prod_Prop!$G:$G=$U933,Prod_Prop!$E:$E=AB$1)),""Check""))=0),"""",IFERROR(unique(filter(Prod_Prop!$H:$H,Prod_Prop!$G:$G=$U933,Prod_Prop!$E:$E=AB$1)),""""))"),"")</f>
        <v/>
      </c>
      <c r="AC933" s="4" t="str">
        <f>IF(AB933="","",SUMIFS(Prod_Prop!$J:$J,Prod_Prop!$B:$B,$Q933,Prod_Prop!$H:$H,AB933,Prod_Prop!$I:$I,AC$1)*IF(AB933="Peso",$R933,1))</f>
        <v/>
      </c>
      <c r="AD933" s="4" t="str">
        <f>IF(AB933="","",SUMIFS(Prod_Prop!$J:$J,Prod_Prop!$B:$B,$Q933,Prod_Prop!$H:$H,AB933,Prod_Prop!$I:$I,AD$1)*IF(AB933="Peso",$R933,1))</f>
        <v/>
      </c>
    </row>
    <row r="934">
      <c r="A934" s="4" t="str">
        <f t="array" ref="A934">IF(COUNTIF(A$1:A933,Cotizador!F$2)=maxifs(Familias!E:E,Familias!D:D,Cotizador!F$2),IF(COUNTIF(A$1:A933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4" s="4" t="str">
        <f t="shared" si="1"/>
        <v/>
      </c>
      <c r="C934" s="4" t="str">
        <f t="array" ref="C934">IF(B934="","",IF(A934=XLOOKUP(A$2,Implementos!B:B,Implementos!C:C,"",0,1),B934+maxifs(B$1:B933,A$1:A933,A$2),B934))</f>
        <v/>
      </c>
      <c r="D934" s="4" t="str">
        <f>IF(B934="","", COUNTIFS(Productos!F:F,A934,Productos!H:H,B934)+IF(F934="SI",0,1))</f>
        <v/>
      </c>
      <c r="E934" s="4" t="str">
        <f>IFERROR(__xludf.DUMMYFUNCTION("IF($B934="""","""",INDEX(filter(Familias!F:F,Familias!$D:$D=$A934,Familias!$E:$E=$B934),1))"),"")</f>
        <v/>
      </c>
      <c r="F934" s="4" t="str">
        <f>IFERROR(__xludf.DUMMYFUNCTION("IF($B934="""","""",INDEX(filter(Familias!G:G,Familias!$D:$D=$A934,Familias!$E:$E=$B934),1))"),"")</f>
        <v/>
      </c>
      <c r="G934" s="4" t="str">
        <f t="array" ref="G934">IF(C934=1,XLOOKUP(C934,Cotizador!D:D,Cotizador!E:E,"",0,1),"")</f>
        <v/>
      </c>
      <c r="I934" s="4"/>
      <c r="J934" s="8" t="str">
        <f>IF(I934="","",SUMIF(Cotizador!I$1:V$1,I934,Cotizador!I$2:V$2))</f>
        <v/>
      </c>
      <c r="L934" s="4" t="str">
        <f t="array" ref="L934">IF(COUNTIF(L$1:L933,A$2)=SUMIF(A:A,A$2,D:D),IF(COUNTIF(L$1:L933,XLOOKUP(A$2,Implementos!B:B,Implementos!C:C,"",0,1))=SUMIF(A:A,XLOOKUP(A$2,Implementos!B:B,Implementos!C:C,"",0,1),D:D),"",XLOOKUP(A$2,Implementos!B:B,Implementos!C:C,"",0,1)),A$2)</f>
        <v/>
      </c>
      <c r="M934" s="4" t="str">
        <f t="shared" si="2"/>
        <v/>
      </c>
      <c r="N934" s="4" t="str">
        <f t="shared" si="3"/>
        <v/>
      </c>
      <c r="O934" s="4" t="str">
        <f t="shared" si="4"/>
        <v/>
      </c>
      <c r="P934" s="4" t="str">
        <f t="shared" si="5"/>
        <v/>
      </c>
      <c r="Q934" s="4" t="str">
        <f>IF(U934="","",SUMIF(Productos!E:E,U934,Productos!A:A))</f>
        <v/>
      </c>
      <c r="R934" s="4" t="str">
        <f t="array" ref="R934">IF(L934="","", max(1,SUMIF(I:I,XLOOKUP(U934,Productos!E:E,Productos!G:G,"",0,1),J:J)))</f>
        <v/>
      </c>
      <c r="S934" s="4" t="str">
        <f>IF(Q934="","",IF(SUMIFS(Compat_Vetado!D:D,Compat_Vetado!B:B,SUM(G:G),Compat_Vetado!C:C,Q934)=1,"SI",IF(OR(SUMIF(Cotizador!E:E,Q934,Cotizador!G:G)&gt;0,SUMIFS(Compat_Vetado!D:D,Compat_Vetado!B:B,SUM(G:G),Compat_Vetado!C:C,Q934)=-1),"NO","")))</f>
        <v/>
      </c>
      <c r="T934" s="4" t="str">
        <f t="shared" si="6"/>
        <v/>
      </c>
      <c r="U934" s="4" t="str">
        <f>IFERROR(__xludf.DUMMYFUNCTION("IF(P934="""","""",IFERROR(INDEX(filter(Productos!E:E,Productos!F:F=L934,Productos!H:H=N934),P934),IF(M934=SUM(D:D),""Finalizar"",""-"")))"),"")</f>
        <v/>
      </c>
      <c r="V934" s="4" t="str">
        <f>IFERROR(__xludf.DUMMYFUNCTION("IF(OR($U934="""",COUNTIF($I:$I,IFERROR(unique(filter(Prod_Prop!$H:$H,Prod_Prop!$G:$G=$U934,Prod_Prop!$E:$E=V$1)),""Check""))=0),"""",IFERROR(unique(filter(Prod_Prop!$H:$H,Prod_Prop!$G:$G=$U934,Prod_Prop!$E:$E=V$1)),""""))"),"")</f>
        <v/>
      </c>
      <c r="W934" s="4" t="str">
        <f>IF(V934="","",SUMIFS(Prod_Prop!$J:$J,Prod_Prop!$B:$B,$Q934,Prod_Prop!$H:$H,V934,Prod_Prop!$I:$I,W$1)*IF(V934="Peso",$R934,1))</f>
        <v/>
      </c>
      <c r="X934" s="4" t="str">
        <f>IF(V934="","",SUMIFS(Prod_Prop!$J:$J,Prod_Prop!$B:$B,$Q934,Prod_Prop!$H:$H,V934,Prod_Prop!$I:$I,X$1)*IF(V934="Peso",$R934,1))</f>
        <v/>
      </c>
      <c r="Y934" s="4" t="str">
        <f>IFERROR(__xludf.DUMMYFUNCTION("IF(OR($U934="""",COUNTIF($I:$I,IFERROR(unique(filter(Prod_Prop!$H:$H,Prod_Prop!$G:$G=$U934,Prod_Prop!$E:$E=Y$1)),""Check""))=0),"""",IFERROR(unique(filter(Prod_Prop!$H:$H,Prod_Prop!$G:$G=$U934,Prod_Prop!$E:$E=Y$1)),""""))"),"")</f>
        <v/>
      </c>
      <c r="Z934" s="4" t="str">
        <f>IF(Y934="","",SUMIFS(Prod_Prop!$J:$J,Prod_Prop!$B:$B,$Q934,Prod_Prop!$H:$H,Y934,Prod_Prop!$I:$I,Z$1)*IF(Y934="Peso",$R934,1))</f>
        <v/>
      </c>
      <c r="AA934" s="4" t="str">
        <f>IF(Y934="","",SUMIFS(Prod_Prop!$J:$J,Prod_Prop!$B:$B,$Q934,Prod_Prop!$H:$H,Y934,Prod_Prop!$I:$I,AA$1)*IF(Y934="Peso",$R934,1))</f>
        <v/>
      </c>
      <c r="AB934" s="4" t="str">
        <f>IFERROR(__xludf.DUMMYFUNCTION("IF(OR($U934="""",COUNTIF($I:$I,IFERROR(unique(filter(Prod_Prop!$H:$H,Prod_Prop!$G:$G=$U934,Prod_Prop!$E:$E=AB$1)),""Check""))=0),"""",IFERROR(unique(filter(Prod_Prop!$H:$H,Prod_Prop!$G:$G=$U934,Prod_Prop!$E:$E=AB$1)),""""))"),"")</f>
        <v/>
      </c>
      <c r="AC934" s="4" t="str">
        <f>IF(AB934="","",SUMIFS(Prod_Prop!$J:$J,Prod_Prop!$B:$B,$Q934,Prod_Prop!$H:$H,AB934,Prod_Prop!$I:$I,AC$1)*IF(AB934="Peso",$R934,1))</f>
        <v/>
      </c>
      <c r="AD934" s="4" t="str">
        <f>IF(AB934="","",SUMIFS(Prod_Prop!$J:$J,Prod_Prop!$B:$B,$Q934,Prod_Prop!$H:$H,AB934,Prod_Prop!$I:$I,AD$1)*IF(AB934="Peso",$R934,1))</f>
        <v/>
      </c>
    </row>
    <row r="935">
      <c r="A935" s="4" t="str">
        <f t="array" ref="A935">IF(COUNTIF(A$1:A934,Cotizador!F$2)=maxifs(Familias!E:E,Familias!D:D,Cotizador!F$2),IF(COUNTIF(A$1:A934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5" s="4" t="str">
        <f t="shared" si="1"/>
        <v/>
      </c>
      <c r="C935" s="4" t="str">
        <f t="array" ref="C935">IF(B935="","",IF(A935=XLOOKUP(A$2,Implementos!B:B,Implementos!C:C,"",0,1),B935+maxifs(B$1:B934,A$1:A934,A$2),B935))</f>
        <v/>
      </c>
      <c r="D935" s="4" t="str">
        <f>IF(B935="","", COUNTIFS(Productos!F:F,A935,Productos!H:H,B935)+IF(F935="SI",0,1))</f>
        <v/>
      </c>
      <c r="E935" s="4" t="str">
        <f>IFERROR(__xludf.DUMMYFUNCTION("IF($B935="""","""",INDEX(filter(Familias!F:F,Familias!$D:$D=$A935,Familias!$E:$E=$B935),1))"),"")</f>
        <v/>
      </c>
      <c r="F935" s="4" t="str">
        <f>IFERROR(__xludf.DUMMYFUNCTION("IF($B935="""","""",INDEX(filter(Familias!G:G,Familias!$D:$D=$A935,Familias!$E:$E=$B935),1))"),"")</f>
        <v/>
      </c>
      <c r="G935" s="4" t="str">
        <f t="array" ref="G935">IF(C935=1,XLOOKUP(C935,Cotizador!D:D,Cotizador!E:E,"",0,1),"")</f>
        <v/>
      </c>
      <c r="I935" s="4"/>
      <c r="J935" s="8" t="str">
        <f>IF(I935="","",SUMIF(Cotizador!I$1:V$1,I935,Cotizador!I$2:V$2))</f>
        <v/>
      </c>
      <c r="L935" s="4" t="str">
        <f t="array" ref="L935">IF(COUNTIF(L$1:L934,A$2)=SUMIF(A:A,A$2,D:D),IF(COUNTIF(L$1:L934,XLOOKUP(A$2,Implementos!B:B,Implementos!C:C,"",0,1))=SUMIF(A:A,XLOOKUP(A$2,Implementos!B:B,Implementos!C:C,"",0,1),D:D),"",XLOOKUP(A$2,Implementos!B:B,Implementos!C:C,"",0,1)),A$2)</f>
        <v/>
      </c>
      <c r="M935" s="4" t="str">
        <f t="shared" si="2"/>
        <v/>
      </c>
      <c r="N935" s="4" t="str">
        <f t="shared" si="3"/>
        <v/>
      </c>
      <c r="O935" s="4" t="str">
        <f t="shared" si="4"/>
        <v/>
      </c>
      <c r="P935" s="4" t="str">
        <f t="shared" si="5"/>
        <v/>
      </c>
      <c r="Q935" s="4" t="str">
        <f>IF(U935="","",SUMIF(Productos!E:E,U935,Productos!A:A))</f>
        <v/>
      </c>
      <c r="R935" s="4" t="str">
        <f t="array" ref="R935">IF(L935="","", max(1,SUMIF(I:I,XLOOKUP(U935,Productos!E:E,Productos!G:G,"",0,1),J:J)))</f>
        <v/>
      </c>
      <c r="S935" s="4" t="str">
        <f>IF(Q935="","",IF(SUMIFS(Compat_Vetado!D:D,Compat_Vetado!B:B,SUM(G:G),Compat_Vetado!C:C,Q935)=1,"SI",IF(OR(SUMIF(Cotizador!E:E,Q935,Cotizador!G:G)&gt;0,SUMIFS(Compat_Vetado!D:D,Compat_Vetado!B:B,SUM(G:G),Compat_Vetado!C:C,Q935)=-1),"NO","")))</f>
        <v/>
      </c>
      <c r="T935" s="4" t="str">
        <f t="shared" si="6"/>
        <v/>
      </c>
      <c r="U935" s="4" t="str">
        <f>IFERROR(__xludf.DUMMYFUNCTION("IF(P935="""","""",IFERROR(INDEX(filter(Productos!E:E,Productos!F:F=L935,Productos!H:H=N935),P935),IF(M935=SUM(D:D),""Finalizar"",""-"")))"),"")</f>
        <v/>
      </c>
      <c r="V935" s="4" t="str">
        <f>IFERROR(__xludf.DUMMYFUNCTION("IF(OR($U935="""",COUNTIF($I:$I,IFERROR(unique(filter(Prod_Prop!$H:$H,Prod_Prop!$G:$G=$U935,Prod_Prop!$E:$E=V$1)),""Check""))=0),"""",IFERROR(unique(filter(Prod_Prop!$H:$H,Prod_Prop!$G:$G=$U935,Prod_Prop!$E:$E=V$1)),""""))"),"")</f>
        <v/>
      </c>
      <c r="W935" s="4" t="str">
        <f>IF(V935="","",SUMIFS(Prod_Prop!$J:$J,Prod_Prop!$B:$B,$Q935,Prod_Prop!$H:$H,V935,Prod_Prop!$I:$I,W$1)*IF(V935="Peso",$R935,1))</f>
        <v/>
      </c>
      <c r="X935" s="4" t="str">
        <f>IF(V935="","",SUMIFS(Prod_Prop!$J:$J,Prod_Prop!$B:$B,$Q935,Prod_Prop!$H:$H,V935,Prod_Prop!$I:$I,X$1)*IF(V935="Peso",$R935,1))</f>
        <v/>
      </c>
      <c r="Y935" s="4" t="str">
        <f>IFERROR(__xludf.DUMMYFUNCTION("IF(OR($U935="""",COUNTIF($I:$I,IFERROR(unique(filter(Prod_Prop!$H:$H,Prod_Prop!$G:$G=$U935,Prod_Prop!$E:$E=Y$1)),""Check""))=0),"""",IFERROR(unique(filter(Prod_Prop!$H:$H,Prod_Prop!$G:$G=$U935,Prod_Prop!$E:$E=Y$1)),""""))"),"")</f>
        <v/>
      </c>
      <c r="Z935" s="4" t="str">
        <f>IF(Y935="","",SUMIFS(Prod_Prop!$J:$J,Prod_Prop!$B:$B,$Q935,Prod_Prop!$H:$H,Y935,Prod_Prop!$I:$I,Z$1)*IF(Y935="Peso",$R935,1))</f>
        <v/>
      </c>
      <c r="AA935" s="4" t="str">
        <f>IF(Y935="","",SUMIFS(Prod_Prop!$J:$J,Prod_Prop!$B:$B,$Q935,Prod_Prop!$H:$H,Y935,Prod_Prop!$I:$I,AA$1)*IF(Y935="Peso",$R935,1))</f>
        <v/>
      </c>
      <c r="AB935" s="4" t="str">
        <f>IFERROR(__xludf.DUMMYFUNCTION("IF(OR($U935="""",COUNTIF($I:$I,IFERROR(unique(filter(Prod_Prop!$H:$H,Prod_Prop!$G:$G=$U935,Prod_Prop!$E:$E=AB$1)),""Check""))=0),"""",IFERROR(unique(filter(Prod_Prop!$H:$H,Prod_Prop!$G:$G=$U935,Prod_Prop!$E:$E=AB$1)),""""))"),"")</f>
        <v/>
      </c>
      <c r="AC935" s="4" t="str">
        <f>IF(AB935="","",SUMIFS(Prod_Prop!$J:$J,Prod_Prop!$B:$B,$Q935,Prod_Prop!$H:$H,AB935,Prod_Prop!$I:$I,AC$1)*IF(AB935="Peso",$R935,1))</f>
        <v/>
      </c>
      <c r="AD935" s="4" t="str">
        <f>IF(AB935="","",SUMIFS(Prod_Prop!$J:$J,Prod_Prop!$B:$B,$Q935,Prod_Prop!$H:$H,AB935,Prod_Prop!$I:$I,AD$1)*IF(AB935="Peso",$R935,1))</f>
        <v/>
      </c>
    </row>
    <row r="936">
      <c r="A936" s="4" t="str">
        <f t="array" ref="A936">IF(COUNTIF(A$1:A935,Cotizador!F$2)=maxifs(Familias!E:E,Familias!D:D,Cotizador!F$2),IF(COUNTIF(A$1:A935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6" s="4" t="str">
        <f t="shared" si="1"/>
        <v/>
      </c>
      <c r="C936" s="4" t="str">
        <f t="array" ref="C936">IF(B936="","",IF(A936=XLOOKUP(A$2,Implementos!B:B,Implementos!C:C,"",0,1),B936+maxifs(B$1:B935,A$1:A935,A$2),B936))</f>
        <v/>
      </c>
      <c r="D936" s="4" t="str">
        <f>IF(B936="","", COUNTIFS(Productos!F:F,A936,Productos!H:H,B936)+IF(F936="SI",0,1))</f>
        <v/>
      </c>
      <c r="E936" s="4" t="str">
        <f>IFERROR(__xludf.DUMMYFUNCTION("IF($B936="""","""",INDEX(filter(Familias!F:F,Familias!$D:$D=$A936,Familias!$E:$E=$B936),1))"),"")</f>
        <v/>
      </c>
      <c r="F936" s="4" t="str">
        <f>IFERROR(__xludf.DUMMYFUNCTION("IF($B936="""","""",INDEX(filter(Familias!G:G,Familias!$D:$D=$A936,Familias!$E:$E=$B936),1))"),"")</f>
        <v/>
      </c>
      <c r="G936" s="4" t="str">
        <f t="array" ref="G936">IF(C936=1,XLOOKUP(C936,Cotizador!D:D,Cotizador!E:E,"",0,1),"")</f>
        <v/>
      </c>
      <c r="I936" s="4"/>
      <c r="J936" s="8" t="str">
        <f>IF(I936="","",SUMIF(Cotizador!I$1:V$1,I936,Cotizador!I$2:V$2))</f>
        <v/>
      </c>
      <c r="L936" s="4" t="str">
        <f t="array" ref="L936">IF(COUNTIF(L$1:L935,A$2)=SUMIF(A:A,A$2,D:D),IF(COUNTIF(L$1:L935,XLOOKUP(A$2,Implementos!B:B,Implementos!C:C,"",0,1))=SUMIF(A:A,XLOOKUP(A$2,Implementos!B:B,Implementos!C:C,"",0,1),D:D),"",XLOOKUP(A$2,Implementos!B:B,Implementos!C:C,"",0,1)),A$2)</f>
        <v/>
      </c>
      <c r="M936" s="4" t="str">
        <f t="shared" si="2"/>
        <v/>
      </c>
      <c r="N936" s="4" t="str">
        <f t="shared" si="3"/>
        <v/>
      </c>
      <c r="O936" s="4" t="str">
        <f t="shared" si="4"/>
        <v/>
      </c>
      <c r="P936" s="4" t="str">
        <f t="shared" si="5"/>
        <v/>
      </c>
      <c r="Q936" s="4" t="str">
        <f>IF(U936="","",SUMIF(Productos!E:E,U936,Productos!A:A))</f>
        <v/>
      </c>
      <c r="R936" s="4" t="str">
        <f t="array" ref="R936">IF(L936="","", max(1,SUMIF(I:I,XLOOKUP(U936,Productos!E:E,Productos!G:G,"",0,1),J:J)))</f>
        <v/>
      </c>
      <c r="S936" s="4" t="str">
        <f>IF(Q936="","",IF(SUMIFS(Compat_Vetado!D:D,Compat_Vetado!B:B,SUM(G:G),Compat_Vetado!C:C,Q936)=1,"SI",IF(OR(SUMIF(Cotizador!E:E,Q936,Cotizador!G:G)&gt;0,SUMIFS(Compat_Vetado!D:D,Compat_Vetado!B:B,SUM(G:G),Compat_Vetado!C:C,Q936)=-1),"NO","")))</f>
        <v/>
      </c>
      <c r="T936" s="4" t="str">
        <f t="shared" si="6"/>
        <v/>
      </c>
      <c r="U936" s="4" t="str">
        <f>IFERROR(__xludf.DUMMYFUNCTION("IF(P936="""","""",IFERROR(INDEX(filter(Productos!E:E,Productos!F:F=L936,Productos!H:H=N936),P936),IF(M936=SUM(D:D),""Finalizar"",""-"")))"),"")</f>
        <v/>
      </c>
      <c r="V936" s="4" t="str">
        <f>IFERROR(__xludf.DUMMYFUNCTION("IF(OR($U936="""",COUNTIF($I:$I,IFERROR(unique(filter(Prod_Prop!$H:$H,Prod_Prop!$G:$G=$U936,Prod_Prop!$E:$E=V$1)),""Check""))=0),"""",IFERROR(unique(filter(Prod_Prop!$H:$H,Prod_Prop!$G:$G=$U936,Prod_Prop!$E:$E=V$1)),""""))"),"")</f>
        <v/>
      </c>
      <c r="W936" s="4" t="str">
        <f>IF(V936="","",SUMIFS(Prod_Prop!$J:$J,Prod_Prop!$B:$B,$Q936,Prod_Prop!$H:$H,V936,Prod_Prop!$I:$I,W$1)*IF(V936="Peso",$R936,1))</f>
        <v/>
      </c>
      <c r="X936" s="4" t="str">
        <f>IF(V936="","",SUMIFS(Prod_Prop!$J:$J,Prod_Prop!$B:$B,$Q936,Prod_Prop!$H:$H,V936,Prod_Prop!$I:$I,X$1)*IF(V936="Peso",$R936,1))</f>
        <v/>
      </c>
      <c r="Y936" s="4" t="str">
        <f>IFERROR(__xludf.DUMMYFUNCTION("IF(OR($U936="""",COUNTIF($I:$I,IFERROR(unique(filter(Prod_Prop!$H:$H,Prod_Prop!$G:$G=$U936,Prod_Prop!$E:$E=Y$1)),""Check""))=0),"""",IFERROR(unique(filter(Prod_Prop!$H:$H,Prod_Prop!$G:$G=$U936,Prod_Prop!$E:$E=Y$1)),""""))"),"")</f>
        <v/>
      </c>
      <c r="Z936" s="4" t="str">
        <f>IF(Y936="","",SUMIFS(Prod_Prop!$J:$J,Prod_Prop!$B:$B,$Q936,Prod_Prop!$H:$H,Y936,Prod_Prop!$I:$I,Z$1)*IF(Y936="Peso",$R936,1))</f>
        <v/>
      </c>
      <c r="AA936" s="4" t="str">
        <f>IF(Y936="","",SUMIFS(Prod_Prop!$J:$J,Prod_Prop!$B:$B,$Q936,Prod_Prop!$H:$H,Y936,Prod_Prop!$I:$I,AA$1)*IF(Y936="Peso",$R936,1))</f>
        <v/>
      </c>
      <c r="AB936" s="4" t="str">
        <f>IFERROR(__xludf.DUMMYFUNCTION("IF(OR($U936="""",COUNTIF($I:$I,IFERROR(unique(filter(Prod_Prop!$H:$H,Prod_Prop!$G:$G=$U936,Prod_Prop!$E:$E=AB$1)),""Check""))=0),"""",IFERROR(unique(filter(Prod_Prop!$H:$H,Prod_Prop!$G:$G=$U936,Prod_Prop!$E:$E=AB$1)),""""))"),"")</f>
        <v/>
      </c>
      <c r="AC936" s="4" t="str">
        <f>IF(AB936="","",SUMIFS(Prod_Prop!$J:$J,Prod_Prop!$B:$B,$Q936,Prod_Prop!$H:$H,AB936,Prod_Prop!$I:$I,AC$1)*IF(AB936="Peso",$R936,1))</f>
        <v/>
      </c>
      <c r="AD936" s="4" t="str">
        <f>IF(AB936="","",SUMIFS(Prod_Prop!$J:$J,Prod_Prop!$B:$B,$Q936,Prod_Prop!$H:$H,AB936,Prod_Prop!$I:$I,AD$1)*IF(AB936="Peso",$R936,1))</f>
        <v/>
      </c>
    </row>
    <row r="937">
      <c r="A937" s="4" t="str">
        <f t="array" ref="A937">IF(COUNTIF(A$1:A936,Cotizador!F$2)=maxifs(Familias!E:E,Familias!D:D,Cotizador!F$2),IF(COUNTIF(A$1:A936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7" s="4" t="str">
        <f t="shared" si="1"/>
        <v/>
      </c>
      <c r="C937" s="4" t="str">
        <f t="array" ref="C937">IF(B937="","",IF(A937=XLOOKUP(A$2,Implementos!B:B,Implementos!C:C,"",0,1),B937+maxifs(B$1:B936,A$1:A936,A$2),B937))</f>
        <v/>
      </c>
      <c r="D937" s="4" t="str">
        <f>IF(B937="","", COUNTIFS(Productos!F:F,A937,Productos!H:H,B937)+IF(F937="SI",0,1))</f>
        <v/>
      </c>
      <c r="E937" s="4" t="str">
        <f>IFERROR(__xludf.DUMMYFUNCTION("IF($B937="""","""",INDEX(filter(Familias!F:F,Familias!$D:$D=$A937,Familias!$E:$E=$B937),1))"),"")</f>
        <v/>
      </c>
      <c r="F937" s="4" t="str">
        <f>IFERROR(__xludf.DUMMYFUNCTION("IF($B937="""","""",INDEX(filter(Familias!G:G,Familias!$D:$D=$A937,Familias!$E:$E=$B937),1))"),"")</f>
        <v/>
      </c>
      <c r="G937" s="4" t="str">
        <f t="array" ref="G937">IF(C937=1,XLOOKUP(C937,Cotizador!D:D,Cotizador!E:E,"",0,1),"")</f>
        <v/>
      </c>
      <c r="I937" s="4"/>
      <c r="J937" s="8" t="str">
        <f>IF(I937="","",SUMIF(Cotizador!I$1:V$1,I937,Cotizador!I$2:V$2))</f>
        <v/>
      </c>
      <c r="L937" s="4" t="str">
        <f t="array" ref="L937">IF(COUNTIF(L$1:L936,A$2)=SUMIF(A:A,A$2,D:D),IF(COUNTIF(L$1:L936,XLOOKUP(A$2,Implementos!B:B,Implementos!C:C,"",0,1))=SUMIF(A:A,XLOOKUP(A$2,Implementos!B:B,Implementos!C:C,"",0,1),D:D),"",XLOOKUP(A$2,Implementos!B:B,Implementos!C:C,"",0,1)),A$2)</f>
        <v/>
      </c>
      <c r="M937" s="4" t="str">
        <f t="shared" si="2"/>
        <v/>
      </c>
      <c r="N937" s="4" t="str">
        <f t="shared" si="3"/>
        <v/>
      </c>
      <c r="O937" s="4" t="str">
        <f t="shared" si="4"/>
        <v/>
      </c>
      <c r="P937" s="4" t="str">
        <f t="shared" si="5"/>
        <v/>
      </c>
      <c r="Q937" s="4" t="str">
        <f>IF(U937="","",SUMIF(Productos!E:E,U937,Productos!A:A))</f>
        <v/>
      </c>
      <c r="R937" s="4" t="str">
        <f t="array" ref="R937">IF(L937="","", max(1,SUMIF(I:I,XLOOKUP(U937,Productos!E:E,Productos!G:G,"",0,1),J:J)))</f>
        <v/>
      </c>
      <c r="S937" s="4" t="str">
        <f>IF(Q937="","",IF(SUMIFS(Compat_Vetado!D:D,Compat_Vetado!B:B,SUM(G:G),Compat_Vetado!C:C,Q937)=1,"SI",IF(OR(SUMIF(Cotizador!E:E,Q937,Cotizador!G:G)&gt;0,SUMIFS(Compat_Vetado!D:D,Compat_Vetado!B:B,SUM(G:G),Compat_Vetado!C:C,Q937)=-1),"NO","")))</f>
        <v/>
      </c>
      <c r="T937" s="4" t="str">
        <f t="shared" si="6"/>
        <v/>
      </c>
      <c r="U937" s="4" t="str">
        <f>IFERROR(__xludf.DUMMYFUNCTION("IF(P937="""","""",IFERROR(INDEX(filter(Productos!E:E,Productos!F:F=L937,Productos!H:H=N937),P937),IF(M937=SUM(D:D),""Finalizar"",""-"")))"),"")</f>
        <v/>
      </c>
      <c r="V937" s="4" t="str">
        <f>IFERROR(__xludf.DUMMYFUNCTION("IF(OR($U937="""",COUNTIF($I:$I,IFERROR(unique(filter(Prod_Prop!$H:$H,Prod_Prop!$G:$G=$U937,Prod_Prop!$E:$E=V$1)),""Check""))=0),"""",IFERROR(unique(filter(Prod_Prop!$H:$H,Prod_Prop!$G:$G=$U937,Prod_Prop!$E:$E=V$1)),""""))"),"")</f>
        <v/>
      </c>
      <c r="W937" s="4" t="str">
        <f>IF(V937="","",SUMIFS(Prod_Prop!$J:$J,Prod_Prop!$B:$B,$Q937,Prod_Prop!$H:$H,V937,Prod_Prop!$I:$I,W$1)*IF(V937="Peso",$R937,1))</f>
        <v/>
      </c>
      <c r="X937" s="4" t="str">
        <f>IF(V937="","",SUMIFS(Prod_Prop!$J:$J,Prod_Prop!$B:$B,$Q937,Prod_Prop!$H:$H,V937,Prod_Prop!$I:$I,X$1)*IF(V937="Peso",$R937,1))</f>
        <v/>
      </c>
      <c r="Y937" s="4" t="str">
        <f>IFERROR(__xludf.DUMMYFUNCTION("IF(OR($U937="""",COUNTIF($I:$I,IFERROR(unique(filter(Prod_Prop!$H:$H,Prod_Prop!$G:$G=$U937,Prod_Prop!$E:$E=Y$1)),""Check""))=0),"""",IFERROR(unique(filter(Prod_Prop!$H:$H,Prod_Prop!$G:$G=$U937,Prod_Prop!$E:$E=Y$1)),""""))"),"")</f>
        <v/>
      </c>
      <c r="Z937" s="4" t="str">
        <f>IF(Y937="","",SUMIFS(Prod_Prop!$J:$J,Prod_Prop!$B:$B,$Q937,Prod_Prop!$H:$H,Y937,Prod_Prop!$I:$I,Z$1)*IF(Y937="Peso",$R937,1))</f>
        <v/>
      </c>
      <c r="AA937" s="4" t="str">
        <f>IF(Y937="","",SUMIFS(Prod_Prop!$J:$J,Prod_Prop!$B:$B,$Q937,Prod_Prop!$H:$H,Y937,Prod_Prop!$I:$I,AA$1)*IF(Y937="Peso",$R937,1))</f>
        <v/>
      </c>
      <c r="AB937" s="4" t="str">
        <f>IFERROR(__xludf.DUMMYFUNCTION("IF(OR($U937="""",COUNTIF($I:$I,IFERROR(unique(filter(Prod_Prop!$H:$H,Prod_Prop!$G:$G=$U937,Prod_Prop!$E:$E=AB$1)),""Check""))=0),"""",IFERROR(unique(filter(Prod_Prop!$H:$H,Prod_Prop!$G:$G=$U937,Prod_Prop!$E:$E=AB$1)),""""))"),"")</f>
        <v/>
      </c>
      <c r="AC937" s="4" t="str">
        <f>IF(AB937="","",SUMIFS(Prod_Prop!$J:$J,Prod_Prop!$B:$B,$Q937,Prod_Prop!$H:$H,AB937,Prod_Prop!$I:$I,AC$1)*IF(AB937="Peso",$R937,1))</f>
        <v/>
      </c>
      <c r="AD937" s="4" t="str">
        <f>IF(AB937="","",SUMIFS(Prod_Prop!$J:$J,Prod_Prop!$B:$B,$Q937,Prod_Prop!$H:$H,AB937,Prod_Prop!$I:$I,AD$1)*IF(AB937="Peso",$R937,1))</f>
        <v/>
      </c>
    </row>
    <row r="938">
      <c r="A938" s="4" t="str">
        <f t="array" ref="A938">IF(COUNTIF(A$1:A937,Cotizador!F$2)=maxifs(Familias!E:E,Familias!D:D,Cotizador!F$2),IF(COUNTIF(A$1:A937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8" s="4" t="str">
        <f t="shared" si="1"/>
        <v/>
      </c>
      <c r="C938" s="4" t="str">
        <f t="array" ref="C938">IF(B938="","",IF(A938=XLOOKUP(A$2,Implementos!B:B,Implementos!C:C,"",0,1),B938+maxifs(B$1:B937,A$1:A937,A$2),B938))</f>
        <v/>
      </c>
      <c r="D938" s="4" t="str">
        <f>IF(B938="","", COUNTIFS(Productos!F:F,A938,Productos!H:H,B938)+IF(F938="SI",0,1))</f>
        <v/>
      </c>
      <c r="E938" s="4" t="str">
        <f>IFERROR(__xludf.DUMMYFUNCTION("IF($B938="""","""",INDEX(filter(Familias!F:F,Familias!$D:$D=$A938,Familias!$E:$E=$B938),1))"),"")</f>
        <v/>
      </c>
      <c r="F938" s="4" t="str">
        <f>IFERROR(__xludf.DUMMYFUNCTION("IF($B938="""","""",INDEX(filter(Familias!G:G,Familias!$D:$D=$A938,Familias!$E:$E=$B938),1))"),"")</f>
        <v/>
      </c>
      <c r="G938" s="4" t="str">
        <f t="array" ref="G938">IF(C938=1,XLOOKUP(C938,Cotizador!D:D,Cotizador!E:E,"",0,1),"")</f>
        <v/>
      </c>
      <c r="I938" s="4"/>
      <c r="J938" s="8" t="str">
        <f>IF(I938="","",SUMIF(Cotizador!I$1:V$1,I938,Cotizador!I$2:V$2))</f>
        <v/>
      </c>
      <c r="L938" s="4" t="str">
        <f t="array" ref="L938">IF(COUNTIF(L$1:L937,A$2)=SUMIF(A:A,A$2,D:D),IF(COUNTIF(L$1:L937,XLOOKUP(A$2,Implementos!B:B,Implementos!C:C,"",0,1))=SUMIF(A:A,XLOOKUP(A$2,Implementos!B:B,Implementos!C:C,"",0,1),D:D),"",XLOOKUP(A$2,Implementos!B:B,Implementos!C:C,"",0,1)),A$2)</f>
        <v/>
      </c>
      <c r="M938" s="4" t="str">
        <f t="shared" si="2"/>
        <v/>
      </c>
      <c r="N938" s="4" t="str">
        <f t="shared" si="3"/>
        <v/>
      </c>
      <c r="O938" s="4" t="str">
        <f t="shared" si="4"/>
        <v/>
      </c>
      <c r="P938" s="4" t="str">
        <f t="shared" si="5"/>
        <v/>
      </c>
      <c r="Q938" s="4" t="str">
        <f>IF(U938="","",SUMIF(Productos!E:E,U938,Productos!A:A))</f>
        <v/>
      </c>
      <c r="R938" s="4" t="str">
        <f t="array" ref="R938">IF(L938="","", max(1,SUMIF(I:I,XLOOKUP(U938,Productos!E:E,Productos!G:G,"",0,1),J:J)))</f>
        <v/>
      </c>
      <c r="S938" s="4" t="str">
        <f>IF(Q938="","",IF(SUMIFS(Compat_Vetado!D:D,Compat_Vetado!B:B,SUM(G:G),Compat_Vetado!C:C,Q938)=1,"SI",IF(OR(SUMIF(Cotizador!E:E,Q938,Cotizador!G:G)&gt;0,SUMIFS(Compat_Vetado!D:D,Compat_Vetado!B:B,SUM(G:G),Compat_Vetado!C:C,Q938)=-1),"NO","")))</f>
        <v/>
      </c>
      <c r="T938" s="4" t="str">
        <f t="shared" si="6"/>
        <v/>
      </c>
      <c r="U938" s="4" t="str">
        <f>IFERROR(__xludf.DUMMYFUNCTION("IF(P938="""","""",IFERROR(INDEX(filter(Productos!E:E,Productos!F:F=L938,Productos!H:H=N938),P938),IF(M938=SUM(D:D),""Finalizar"",""-"")))"),"")</f>
        <v/>
      </c>
      <c r="V938" s="4" t="str">
        <f>IFERROR(__xludf.DUMMYFUNCTION("IF(OR($U938="""",COUNTIF($I:$I,IFERROR(unique(filter(Prod_Prop!$H:$H,Prod_Prop!$G:$G=$U938,Prod_Prop!$E:$E=V$1)),""Check""))=0),"""",IFERROR(unique(filter(Prod_Prop!$H:$H,Prod_Prop!$G:$G=$U938,Prod_Prop!$E:$E=V$1)),""""))"),"")</f>
        <v/>
      </c>
      <c r="W938" s="4" t="str">
        <f>IF(V938="","",SUMIFS(Prod_Prop!$J:$J,Prod_Prop!$B:$B,$Q938,Prod_Prop!$H:$H,V938,Prod_Prop!$I:$I,W$1)*IF(V938="Peso",$R938,1))</f>
        <v/>
      </c>
      <c r="X938" s="4" t="str">
        <f>IF(V938="","",SUMIFS(Prod_Prop!$J:$J,Prod_Prop!$B:$B,$Q938,Prod_Prop!$H:$H,V938,Prod_Prop!$I:$I,X$1)*IF(V938="Peso",$R938,1))</f>
        <v/>
      </c>
      <c r="Y938" s="4" t="str">
        <f>IFERROR(__xludf.DUMMYFUNCTION("IF(OR($U938="""",COUNTIF($I:$I,IFERROR(unique(filter(Prod_Prop!$H:$H,Prod_Prop!$G:$G=$U938,Prod_Prop!$E:$E=Y$1)),""Check""))=0),"""",IFERROR(unique(filter(Prod_Prop!$H:$H,Prod_Prop!$G:$G=$U938,Prod_Prop!$E:$E=Y$1)),""""))"),"")</f>
        <v/>
      </c>
      <c r="Z938" s="4" t="str">
        <f>IF(Y938="","",SUMIFS(Prod_Prop!$J:$J,Prod_Prop!$B:$B,$Q938,Prod_Prop!$H:$H,Y938,Prod_Prop!$I:$I,Z$1)*IF(Y938="Peso",$R938,1))</f>
        <v/>
      </c>
      <c r="AA938" s="4" t="str">
        <f>IF(Y938="","",SUMIFS(Prod_Prop!$J:$J,Prod_Prop!$B:$B,$Q938,Prod_Prop!$H:$H,Y938,Prod_Prop!$I:$I,AA$1)*IF(Y938="Peso",$R938,1))</f>
        <v/>
      </c>
      <c r="AB938" s="4" t="str">
        <f>IFERROR(__xludf.DUMMYFUNCTION("IF(OR($U938="""",COUNTIF($I:$I,IFERROR(unique(filter(Prod_Prop!$H:$H,Prod_Prop!$G:$G=$U938,Prod_Prop!$E:$E=AB$1)),""Check""))=0),"""",IFERROR(unique(filter(Prod_Prop!$H:$H,Prod_Prop!$G:$G=$U938,Prod_Prop!$E:$E=AB$1)),""""))"),"")</f>
        <v/>
      </c>
      <c r="AC938" s="4" t="str">
        <f>IF(AB938="","",SUMIFS(Prod_Prop!$J:$J,Prod_Prop!$B:$B,$Q938,Prod_Prop!$H:$H,AB938,Prod_Prop!$I:$I,AC$1)*IF(AB938="Peso",$R938,1))</f>
        <v/>
      </c>
      <c r="AD938" s="4" t="str">
        <f>IF(AB938="","",SUMIFS(Prod_Prop!$J:$J,Prod_Prop!$B:$B,$Q938,Prod_Prop!$H:$H,AB938,Prod_Prop!$I:$I,AD$1)*IF(AB938="Peso",$R938,1))</f>
        <v/>
      </c>
    </row>
    <row r="939">
      <c r="A939" s="4" t="str">
        <f t="array" ref="A939">IF(COUNTIF(A$1:A938,Cotizador!F$2)=maxifs(Familias!E:E,Familias!D:D,Cotizador!F$2),IF(COUNTIF(A$1:A938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39" s="4" t="str">
        <f t="shared" si="1"/>
        <v/>
      </c>
      <c r="C939" s="4" t="str">
        <f t="array" ref="C939">IF(B939="","",IF(A939=XLOOKUP(A$2,Implementos!B:B,Implementos!C:C,"",0,1),B939+maxifs(B$1:B938,A$1:A938,A$2),B939))</f>
        <v/>
      </c>
      <c r="D939" s="4" t="str">
        <f>IF(B939="","", COUNTIFS(Productos!F:F,A939,Productos!H:H,B939)+IF(F939="SI",0,1))</f>
        <v/>
      </c>
      <c r="E939" s="4" t="str">
        <f>IFERROR(__xludf.DUMMYFUNCTION("IF($B939="""","""",INDEX(filter(Familias!F:F,Familias!$D:$D=$A939,Familias!$E:$E=$B939),1))"),"")</f>
        <v/>
      </c>
      <c r="F939" s="4" t="str">
        <f>IFERROR(__xludf.DUMMYFUNCTION("IF($B939="""","""",INDEX(filter(Familias!G:G,Familias!$D:$D=$A939,Familias!$E:$E=$B939),1))"),"")</f>
        <v/>
      </c>
      <c r="G939" s="4" t="str">
        <f t="array" ref="G939">IF(C939=1,XLOOKUP(C939,Cotizador!D:D,Cotizador!E:E,"",0,1),"")</f>
        <v/>
      </c>
      <c r="I939" s="4"/>
      <c r="J939" s="8" t="str">
        <f>IF(I939="","",SUMIF(Cotizador!I$1:V$1,I939,Cotizador!I$2:V$2))</f>
        <v/>
      </c>
      <c r="L939" s="4" t="str">
        <f t="array" ref="L939">IF(COUNTIF(L$1:L938,A$2)=SUMIF(A:A,A$2,D:D),IF(COUNTIF(L$1:L938,XLOOKUP(A$2,Implementos!B:B,Implementos!C:C,"",0,1))=SUMIF(A:A,XLOOKUP(A$2,Implementos!B:B,Implementos!C:C,"",0,1),D:D),"",XLOOKUP(A$2,Implementos!B:B,Implementos!C:C,"",0,1)),A$2)</f>
        <v/>
      </c>
      <c r="M939" s="4" t="str">
        <f t="shared" si="2"/>
        <v/>
      </c>
      <c r="N939" s="4" t="str">
        <f t="shared" si="3"/>
        <v/>
      </c>
      <c r="O939" s="4" t="str">
        <f t="shared" si="4"/>
        <v/>
      </c>
      <c r="P939" s="4" t="str">
        <f t="shared" si="5"/>
        <v/>
      </c>
      <c r="Q939" s="4" t="str">
        <f>IF(U939="","",SUMIF(Productos!E:E,U939,Productos!A:A))</f>
        <v/>
      </c>
      <c r="R939" s="4" t="str">
        <f t="array" ref="R939">IF(L939="","", max(1,SUMIF(I:I,XLOOKUP(U939,Productos!E:E,Productos!G:G,"",0,1),J:J)))</f>
        <v/>
      </c>
      <c r="S939" s="4" t="str">
        <f>IF(Q939="","",IF(SUMIFS(Compat_Vetado!D:D,Compat_Vetado!B:B,SUM(G:G),Compat_Vetado!C:C,Q939)=1,"SI",IF(OR(SUMIF(Cotizador!E:E,Q939,Cotizador!G:G)&gt;0,SUMIFS(Compat_Vetado!D:D,Compat_Vetado!B:B,SUM(G:G),Compat_Vetado!C:C,Q939)=-1),"NO","")))</f>
        <v/>
      </c>
      <c r="T939" s="4" t="str">
        <f t="shared" si="6"/>
        <v/>
      </c>
      <c r="U939" s="4" t="str">
        <f>IFERROR(__xludf.DUMMYFUNCTION("IF(P939="""","""",IFERROR(INDEX(filter(Productos!E:E,Productos!F:F=L939,Productos!H:H=N939),P939),IF(M939=SUM(D:D),""Finalizar"",""-"")))"),"")</f>
        <v/>
      </c>
      <c r="V939" s="4" t="str">
        <f>IFERROR(__xludf.DUMMYFUNCTION("IF(OR($U939="""",COUNTIF($I:$I,IFERROR(unique(filter(Prod_Prop!$H:$H,Prod_Prop!$G:$G=$U939,Prod_Prop!$E:$E=V$1)),""Check""))=0),"""",IFERROR(unique(filter(Prod_Prop!$H:$H,Prod_Prop!$G:$G=$U939,Prod_Prop!$E:$E=V$1)),""""))"),"")</f>
        <v/>
      </c>
      <c r="W939" s="4" t="str">
        <f>IF(V939="","",SUMIFS(Prod_Prop!$J:$J,Prod_Prop!$B:$B,$Q939,Prod_Prop!$H:$H,V939,Prod_Prop!$I:$I,W$1)*IF(V939="Peso",$R939,1))</f>
        <v/>
      </c>
      <c r="X939" s="4" t="str">
        <f>IF(V939="","",SUMIFS(Prod_Prop!$J:$J,Prod_Prop!$B:$B,$Q939,Prod_Prop!$H:$H,V939,Prod_Prop!$I:$I,X$1)*IF(V939="Peso",$R939,1))</f>
        <v/>
      </c>
      <c r="Y939" s="4" t="str">
        <f>IFERROR(__xludf.DUMMYFUNCTION("IF(OR($U939="""",COUNTIF($I:$I,IFERROR(unique(filter(Prod_Prop!$H:$H,Prod_Prop!$G:$G=$U939,Prod_Prop!$E:$E=Y$1)),""Check""))=0),"""",IFERROR(unique(filter(Prod_Prop!$H:$H,Prod_Prop!$G:$G=$U939,Prod_Prop!$E:$E=Y$1)),""""))"),"")</f>
        <v/>
      </c>
      <c r="Z939" s="4" t="str">
        <f>IF(Y939="","",SUMIFS(Prod_Prop!$J:$J,Prod_Prop!$B:$B,$Q939,Prod_Prop!$H:$H,Y939,Prod_Prop!$I:$I,Z$1)*IF(Y939="Peso",$R939,1))</f>
        <v/>
      </c>
      <c r="AA939" s="4" t="str">
        <f>IF(Y939="","",SUMIFS(Prod_Prop!$J:$J,Prod_Prop!$B:$B,$Q939,Prod_Prop!$H:$H,Y939,Prod_Prop!$I:$I,AA$1)*IF(Y939="Peso",$R939,1))</f>
        <v/>
      </c>
      <c r="AB939" s="4" t="str">
        <f>IFERROR(__xludf.DUMMYFUNCTION("IF(OR($U939="""",COUNTIF($I:$I,IFERROR(unique(filter(Prod_Prop!$H:$H,Prod_Prop!$G:$G=$U939,Prod_Prop!$E:$E=AB$1)),""Check""))=0),"""",IFERROR(unique(filter(Prod_Prop!$H:$H,Prod_Prop!$G:$G=$U939,Prod_Prop!$E:$E=AB$1)),""""))"),"")</f>
        <v/>
      </c>
      <c r="AC939" s="4" t="str">
        <f>IF(AB939="","",SUMIFS(Prod_Prop!$J:$J,Prod_Prop!$B:$B,$Q939,Prod_Prop!$H:$H,AB939,Prod_Prop!$I:$I,AC$1)*IF(AB939="Peso",$R939,1))</f>
        <v/>
      </c>
      <c r="AD939" s="4" t="str">
        <f>IF(AB939="","",SUMIFS(Prod_Prop!$J:$J,Prod_Prop!$B:$B,$Q939,Prod_Prop!$H:$H,AB939,Prod_Prop!$I:$I,AD$1)*IF(AB939="Peso",$R939,1))</f>
        <v/>
      </c>
    </row>
    <row r="940">
      <c r="A940" s="4" t="str">
        <f t="array" ref="A940">IF(COUNTIF(A$1:A939,Cotizador!F$2)=maxifs(Familias!E:E,Familias!D:D,Cotizador!F$2),IF(COUNTIF(A$1:A939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0" s="4" t="str">
        <f t="shared" si="1"/>
        <v/>
      </c>
      <c r="C940" s="4" t="str">
        <f t="array" ref="C940">IF(B940="","",IF(A940=XLOOKUP(A$2,Implementos!B:B,Implementos!C:C,"",0,1),B940+maxifs(B$1:B939,A$1:A939,A$2),B940))</f>
        <v/>
      </c>
      <c r="D940" s="4" t="str">
        <f>IF(B940="","", COUNTIFS(Productos!F:F,A940,Productos!H:H,B940)+IF(F940="SI",0,1))</f>
        <v/>
      </c>
      <c r="E940" s="4" t="str">
        <f>IFERROR(__xludf.DUMMYFUNCTION("IF($B940="""","""",INDEX(filter(Familias!F:F,Familias!$D:$D=$A940,Familias!$E:$E=$B940),1))"),"")</f>
        <v/>
      </c>
      <c r="F940" s="4" t="str">
        <f>IFERROR(__xludf.DUMMYFUNCTION("IF($B940="""","""",INDEX(filter(Familias!G:G,Familias!$D:$D=$A940,Familias!$E:$E=$B940),1))"),"")</f>
        <v/>
      </c>
      <c r="G940" s="4" t="str">
        <f t="array" ref="G940">IF(C940=1,XLOOKUP(C940,Cotizador!D:D,Cotizador!E:E,"",0,1),"")</f>
        <v/>
      </c>
      <c r="I940" s="4"/>
      <c r="J940" s="8" t="str">
        <f>IF(I940="","",SUMIF(Cotizador!I$1:V$1,I940,Cotizador!I$2:V$2))</f>
        <v/>
      </c>
      <c r="L940" s="4" t="str">
        <f t="array" ref="L940">IF(COUNTIF(L$1:L939,A$2)=SUMIF(A:A,A$2,D:D),IF(COUNTIF(L$1:L939,XLOOKUP(A$2,Implementos!B:B,Implementos!C:C,"",0,1))=SUMIF(A:A,XLOOKUP(A$2,Implementos!B:B,Implementos!C:C,"",0,1),D:D),"",XLOOKUP(A$2,Implementos!B:B,Implementos!C:C,"",0,1)),A$2)</f>
        <v/>
      </c>
      <c r="M940" s="4" t="str">
        <f t="shared" si="2"/>
        <v/>
      </c>
      <c r="N940" s="4" t="str">
        <f t="shared" si="3"/>
        <v/>
      </c>
      <c r="O940" s="4" t="str">
        <f t="shared" si="4"/>
        <v/>
      </c>
      <c r="P940" s="4" t="str">
        <f t="shared" si="5"/>
        <v/>
      </c>
      <c r="Q940" s="4" t="str">
        <f>IF(U940="","",SUMIF(Productos!E:E,U940,Productos!A:A))</f>
        <v/>
      </c>
      <c r="R940" s="4" t="str">
        <f t="array" ref="R940">IF(L940="","", max(1,SUMIF(I:I,XLOOKUP(U940,Productos!E:E,Productos!G:G,"",0,1),J:J)))</f>
        <v/>
      </c>
      <c r="S940" s="4" t="str">
        <f>IF(Q940="","",IF(SUMIFS(Compat_Vetado!D:D,Compat_Vetado!B:B,SUM(G:G),Compat_Vetado!C:C,Q940)=1,"SI",IF(OR(SUMIF(Cotizador!E:E,Q940,Cotizador!G:G)&gt;0,SUMIFS(Compat_Vetado!D:D,Compat_Vetado!B:B,SUM(G:G),Compat_Vetado!C:C,Q940)=-1),"NO","")))</f>
        <v/>
      </c>
      <c r="T940" s="4" t="str">
        <f t="shared" si="6"/>
        <v/>
      </c>
      <c r="U940" s="4" t="str">
        <f>IFERROR(__xludf.DUMMYFUNCTION("IF(P940="""","""",IFERROR(INDEX(filter(Productos!E:E,Productos!F:F=L940,Productos!H:H=N940),P940),IF(M940=SUM(D:D),""Finalizar"",""-"")))"),"")</f>
        <v/>
      </c>
      <c r="V940" s="4" t="str">
        <f>IFERROR(__xludf.DUMMYFUNCTION("IF(OR($U940="""",COUNTIF($I:$I,IFERROR(unique(filter(Prod_Prop!$H:$H,Prod_Prop!$G:$G=$U940,Prod_Prop!$E:$E=V$1)),""Check""))=0),"""",IFERROR(unique(filter(Prod_Prop!$H:$H,Prod_Prop!$G:$G=$U940,Prod_Prop!$E:$E=V$1)),""""))"),"")</f>
        <v/>
      </c>
      <c r="W940" s="4" t="str">
        <f>IF(V940="","",SUMIFS(Prod_Prop!$J:$J,Prod_Prop!$B:$B,$Q940,Prod_Prop!$H:$H,V940,Prod_Prop!$I:$I,W$1)*IF(V940="Peso",$R940,1))</f>
        <v/>
      </c>
      <c r="X940" s="4" t="str">
        <f>IF(V940="","",SUMIFS(Prod_Prop!$J:$J,Prod_Prop!$B:$B,$Q940,Prod_Prop!$H:$H,V940,Prod_Prop!$I:$I,X$1)*IF(V940="Peso",$R940,1))</f>
        <v/>
      </c>
      <c r="Y940" s="4" t="str">
        <f>IFERROR(__xludf.DUMMYFUNCTION("IF(OR($U940="""",COUNTIF($I:$I,IFERROR(unique(filter(Prod_Prop!$H:$H,Prod_Prop!$G:$G=$U940,Prod_Prop!$E:$E=Y$1)),""Check""))=0),"""",IFERROR(unique(filter(Prod_Prop!$H:$H,Prod_Prop!$G:$G=$U940,Prod_Prop!$E:$E=Y$1)),""""))"),"")</f>
        <v/>
      </c>
      <c r="Z940" s="4" t="str">
        <f>IF(Y940="","",SUMIFS(Prod_Prop!$J:$J,Prod_Prop!$B:$B,$Q940,Prod_Prop!$H:$H,Y940,Prod_Prop!$I:$I,Z$1)*IF(Y940="Peso",$R940,1))</f>
        <v/>
      </c>
      <c r="AA940" s="4" t="str">
        <f>IF(Y940="","",SUMIFS(Prod_Prop!$J:$J,Prod_Prop!$B:$B,$Q940,Prod_Prop!$H:$H,Y940,Prod_Prop!$I:$I,AA$1)*IF(Y940="Peso",$R940,1))</f>
        <v/>
      </c>
      <c r="AB940" s="4" t="str">
        <f>IFERROR(__xludf.DUMMYFUNCTION("IF(OR($U940="""",COUNTIF($I:$I,IFERROR(unique(filter(Prod_Prop!$H:$H,Prod_Prop!$G:$G=$U940,Prod_Prop!$E:$E=AB$1)),""Check""))=0),"""",IFERROR(unique(filter(Prod_Prop!$H:$H,Prod_Prop!$G:$G=$U940,Prod_Prop!$E:$E=AB$1)),""""))"),"")</f>
        <v/>
      </c>
      <c r="AC940" s="4" t="str">
        <f>IF(AB940="","",SUMIFS(Prod_Prop!$J:$J,Prod_Prop!$B:$B,$Q940,Prod_Prop!$H:$H,AB940,Prod_Prop!$I:$I,AC$1)*IF(AB940="Peso",$R940,1))</f>
        <v/>
      </c>
      <c r="AD940" s="4" t="str">
        <f>IF(AB940="","",SUMIFS(Prod_Prop!$J:$J,Prod_Prop!$B:$B,$Q940,Prod_Prop!$H:$H,AB940,Prod_Prop!$I:$I,AD$1)*IF(AB940="Peso",$R940,1))</f>
        <v/>
      </c>
    </row>
    <row r="941">
      <c r="A941" s="4" t="str">
        <f t="array" ref="A941">IF(COUNTIF(A$1:A940,Cotizador!F$2)=maxifs(Familias!E:E,Familias!D:D,Cotizador!F$2),IF(COUNTIF(A$1:A940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1" s="4" t="str">
        <f t="shared" si="1"/>
        <v/>
      </c>
      <c r="C941" s="4" t="str">
        <f t="array" ref="C941">IF(B941="","",IF(A941=XLOOKUP(A$2,Implementos!B:B,Implementos!C:C,"",0,1),B941+maxifs(B$1:B940,A$1:A940,A$2),B941))</f>
        <v/>
      </c>
      <c r="D941" s="4" t="str">
        <f>IF(B941="","", COUNTIFS(Productos!F:F,A941,Productos!H:H,B941)+IF(F941="SI",0,1))</f>
        <v/>
      </c>
      <c r="E941" s="4" t="str">
        <f>IFERROR(__xludf.DUMMYFUNCTION("IF($B941="""","""",INDEX(filter(Familias!F:F,Familias!$D:$D=$A941,Familias!$E:$E=$B941),1))"),"")</f>
        <v/>
      </c>
      <c r="F941" s="4" t="str">
        <f>IFERROR(__xludf.DUMMYFUNCTION("IF($B941="""","""",INDEX(filter(Familias!G:G,Familias!$D:$D=$A941,Familias!$E:$E=$B941),1))"),"")</f>
        <v/>
      </c>
      <c r="G941" s="4" t="str">
        <f t="array" ref="G941">IF(C941=1,XLOOKUP(C941,Cotizador!D:D,Cotizador!E:E,"",0,1),"")</f>
        <v/>
      </c>
      <c r="I941" s="4"/>
      <c r="J941" s="8" t="str">
        <f>IF(I941="","",SUMIF(Cotizador!I$1:V$1,I941,Cotizador!I$2:V$2))</f>
        <v/>
      </c>
      <c r="L941" s="4" t="str">
        <f t="array" ref="L941">IF(COUNTIF(L$1:L940,A$2)=SUMIF(A:A,A$2,D:D),IF(COUNTIF(L$1:L940,XLOOKUP(A$2,Implementos!B:B,Implementos!C:C,"",0,1))=SUMIF(A:A,XLOOKUP(A$2,Implementos!B:B,Implementos!C:C,"",0,1),D:D),"",XLOOKUP(A$2,Implementos!B:B,Implementos!C:C,"",0,1)),A$2)</f>
        <v/>
      </c>
      <c r="M941" s="4" t="str">
        <f t="shared" si="2"/>
        <v/>
      </c>
      <c r="N941" s="4" t="str">
        <f t="shared" si="3"/>
        <v/>
      </c>
      <c r="O941" s="4" t="str">
        <f t="shared" si="4"/>
        <v/>
      </c>
      <c r="P941" s="4" t="str">
        <f t="shared" si="5"/>
        <v/>
      </c>
      <c r="Q941" s="4" t="str">
        <f>IF(U941="","",SUMIF(Productos!E:E,U941,Productos!A:A))</f>
        <v/>
      </c>
      <c r="R941" s="4" t="str">
        <f t="array" ref="R941">IF(L941="","", max(1,SUMIF(I:I,XLOOKUP(U941,Productos!E:E,Productos!G:G,"",0,1),J:J)))</f>
        <v/>
      </c>
      <c r="S941" s="4" t="str">
        <f>IF(Q941="","",IF(SUMIFS(Compat_Vetado!D:D,Compat_Vetado!B:B,SUM(G:G),Compat_Vetado!C:C,Q941)=1,"SI",IF(OR(SUMIF(Cotizador!E:E,Q941,Cotizador!G:G)&gt;0,SUMIFS(Compat_Vetado!D:D,Compat_Vetado!B:B,SUM(G:G),Compat_Vetado!C:C,Q941)=-1),"NO","")))</f>
        <v/>
      </c>
      <c r="T941" s="4" t="str">
        <f t="shared" si="6"/>
        <v/>
      </c>
      <c r="U941" s="4" t="str">
        <f>IFERROR(__xludf.DUMMYFUNCTION("IF(P941="""","""",IFERROR(INDEX(filter(Productos!E:E,Productos!F:F=L941,Productos!H:H=N941),P941),IF(M941=SUM(D:D),""Finalizar"",""-"")))"),"")</f>
        <v/>
      </c>
      <c r="V941" s="4" t="str">
        <f>IFERROR(__xludf.DUMMYFUNCTION("IF(OR($U941="""",COUNTIF($I:$I,IFERROR(unique(filter(Prod_Prop!$H:$H,Prod_Prop!$G:$G=$U941,Prod_Prop!$E:$E=V$1)),""Check""))=0),"""",IFERROR(unique(filter(Prod_Prop!$H:$H,Prod_Prop!$G:$G=$U941,Prod_Prop!$E:$E=V$1)),""""))"),"")</f>
        <v/>
      </c>
      <c r="W941" s="4" t="str">
        <f>IF(V941="","",SUMIFS(Prod_Prop!$J:$J,Prod_Prop!$B:$B,$Q941,Prod_Prop!$H:$H,V941,Prod_Prop!$I:$I,W$1)*IF(V941="Peso",$R941,1))</f>
        <v/>
      </c>
      <c r="X941" s="4" t="str">
        <f>IF(V941="","",SUMIFS(Prod_Prop!$J:$J,Prod_Prop!$B:$B,$Q941,Prod_Prop!$H:$H,V941,Prod_Prop!$I:$I,X$1)*IF(V941="Peso",$R941,1))</f>
        <v/>
      </c>
      <c r="Y941" s="4" t="str">
        <f>IFERROR(__xludf.DUMMYFUNCTION("IF(OR($U941="""",COUNTIF($I:$I,IFERROR(unique(filter(Prod_Prop!$H:$H,Prod_Prop!$G:$G=$U941,Prod_Prop!$E:$E=Y$1)),""Check""))=0),"""",IFERROR(unique(filter(Prod_Prop!$H:$H,Prod_Prop!$G:$G=$U941,Prod_Prop!$E:$E=Y$1)),""""))"),"")</f>
        <v/>
      </c>
      <c r="Z941" s="4" t="str">
        <f>IF(Y941="","",SUMIFS(Prod_Prop!$J:$J,Prod_Prop!$B:$B,$Q941,Prod_Prop!$H:$H,Y941,Prod_Prop!$I:$I,Z$1)*IF(Y941="Peso",$R941,1))</f>
        <v/>
      </c>
      <c r="AA941" s="4" t="str">
        <f>IF(Y941="","",SUMIFS(Prod_Prop!$J:$J,Prod_Prop!$B:$B,$Q941,Prod_Prop!$H:$H,Y941,Prod_Prop!$I:$I,AA$1)*IF(Y941="Peso",$R941,1))</f>
        <v/>
      </c>
      <c r="AB941" s="4" t="str">
        <f>IFERROR(__xludf.DUMMYFUNCTION("IF(OR($U941="""",COUNTIF($I:$I,IFERROR(unique(filter(Prod_Prop!$H:$H,Prod_Prop!$G:$G=$U941,Prod_Prop!$E:$E=AB$1)),""Check""))=0),"""",IFERROR(unique(filter(Prod_Prop!$H:$H,Prod_Prop!$G:$G=$U941,Prod_Prop!$E:$E=AB$1)),""""))"),"")</f>
        <v/>
      </c>
      <c r="AC941" s="4" t="str">
        <f>IF(AB941="","",SUMIFS(Prod_Prop!$J:$J,Prod_Prop!$B:$B,$Q941,Prod_Prop!$H:$H,AB941,Prod_Prop!$I:$I,AC$1)*IF(AB941="Peso",$R941,1))</f>
        <v/>
      </c>
      <c r="AD941" s="4" t="str">
        <f>IF(AB941="","",SUMIFS(Prod_Prop!$J:$J,Prod_Prop!$B:$B,$Q941,Prod_Prop!$H:$H,AB941,Prod_Prop!$I:$I,AD$1)*IF(AB941="Peso",$R941,1))</f>
        <v/>
      </c>
    </row>
    <row r="942">
      <c r="A942" s="4" t="str">
        <f t="array" ref="A942">IF(COUNTIF(A$1:A941,Cotizador!F$2)=maxifs(Familias!E:E,Familias!D:D,Cotizador!F$2),IF(COUNTIF(A$1:A941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2" s="4" t="str">
        <f t="shared" si="1"/>
        <v/>
      </c>
      <c r="C942" s="4" t="str">
        <f t="array" ref="C942">IF(B942="","",IF(A942=XLOOKUP(A$2,Implementos!B:B,Implementos!C:C,"",0,1),B942+maxifs(B$1:B941,A$1:A941,A$2),B942))</f>
        <v/>
      </c>
      <c r="D942" s="4" t="str">
        <f>IF(B942="","", COUNTIFS(Productos!F:F,A942,Productos!H:H,B942)+IF(F942="SI",0,1))</f>
        <v/>
      </c>
      <c r="E942" s="4" t="str">
        <f>IFERROR(__xludf.DUMMYFUNCTION("IF($B942="""","""",INDEX(filter(Familias!F:F,Familias!$D:$D=$A942,Familias!$E:$E=$B942),1))"),"")</f>
        <v/>
      </c>
      <c r="F942" s="4" t="str">
        <f>IFERROR(__xludf.DUMMYFUNCTION("IF($B942="""","""",INDEX(filter(Familias!G:G,Familias!$D:$D=$A942,Familias!$E:$E=$B942),1))"),"")</f>
        <v/>
      </c>
      <c r="G942" s="4" t="str">
        <f t="array" ref="G942">IF(C942=1,XLOOKUP(C942,Cotizador!D:D,Cotizador!E:E,"",0,1),"")</f>
        <v/>
      </c>
      <c r="I942" s="4"/>
      <c r="J942" s="8" t="str">
        <f>IF(I942="","",SUMIF(Cotizador!I$1:V$1,I942,Cotizador!I$2:V$2))</f>
        <v/>
      </c>
      <c r="L942" s="4" t="str">
        <f t="array" ref="L942">IF(COUNTIF(L$1:L941,A$2)=SUMIF(A:A,A$2,D:D),IF(COUNTIF(L$1:L941,XLOOKUP(A$2,Implementos!B:B,Implementos!C:C,"",0,1))=SUMIF(A:A,XLOOKUP(A$2,Implementos!B:B,Implementos!C:C,"",0,1),D:D),"",XLOOKUP(A$2,Implementos!B:B,Implementos!C:C,"",0,1)),A$2)</f>
        <v/>
      </c>
      <c r="M942" s="4" t="str">
        <f t="shared" si="2"/>
        <v/>
      </c>
      <c r="N942" s="4" t="str">
        <f t="shared" si="3"/>
        <v/>
      </c>
      <c r="O942" s="4" t="str">
        <f t="shared" si="4"/>
        <v/>
      </c>
      <c r="P942" s="4" t="str">
        <f t="shared" si="5"/>
        <v/>
      </c>
      <c r="Q942" s="4" t="str">
        <f>IF(U942="","",SUMIF(Productos!E:E,U942,Productos!A:A))</f>
        <v/>
      </c>
      <c r="R942" s="4" t="str">
        <f t="array" ref="R942">IF(L942="","", max(1,SUMIF(I:I,XLOOKUP(U942,Productos!E:E,Productos!G:G,"",0,1),J:J)))</f>
        <v/>
      </c>
      <c r="S942" s="4" t="str">
        <f>IF(Q942="","",IF(SUMIFS(Compat_Vetado!D:D,Compat_Vetado!B:B,SUM(G:G),Compat_Vetado!C:C,Q942)=1,"SI",IF(OR(SUMIF(Cotizador!E:E,Q942,Cotizador!G:G)&gt;0,SUMIFS(Compat_Vetado!D:D,Compat_Vetado!B:B,SUM(G:G),Compat_Vetado!C:C,Q942)=-1),"NO","")))</f>
        <v/>
      </c>
      <c r="T942" s="4" t="str">
        <f t="shared" si="6"/>
        <v/>
      </c>
      <c r="U942" s="4" t="str">
        <f>IFERROR(__xludf.DUMMYFUNCTION("IF(P942="""","""",IFERROR(INDEX(filter(Productos!E:E,Productos!F:F=L942,Productos!H:H=N942),P942),IF(M942=SUM(D:D),""Finalizar"",""-"")))"),"")</f>
        <v/>
      </c>
      <c r="V942" s="4" t="str">
        <f>IFERROR(__xludf.DUMMYFUNCTION("IF(OR($U942="""",COUNTIF($I:$I,IFERROR(unique(filter(Prod_Prop!$H:$H,Prod_Prop!$G:$G=$U942,Prod_Prop!$E:$E=V$1)),""Check""))=0),"""",IFERROR(unique(filter(Prod_Prop!$H:$H,Prod_Prop!$G:$G=$U942,Prod_Prop!$E:$E=V$1)),""""))"),"")</f>
        <v/>
      </c>
      <c r="W942" s="4" t="str">
        <f>IF(V942="","",SUMIFS(Prod_Prop!$J:$J,Prod_Prop!$B:$B,$Q942,Prod_Prop!$H:$H,V942,Prod_Prop!$I:$I,W$1)*IF(V942="Peso",$R942,1))</f>
        <v/>
      </c>
      <c r="X942" s="4" t="str">
        <f>IF(V942="","",SUMIFS(Prod_Prop!$J:$J,Prod_Prop!$B:$B,$Q942,Prod_Prop!$H:$H,V942,Prod_Prop!$I:$I,X$1)*IF(V942="Peso",$R942,1))</f>
        <v/>
      </c>
      <c r="Y942" s="4" t="str">
        <f>IFERROR(__xludf.DUMMYFUNCTION("IF(OR($U942="""",COUNTIF($I:$I,IFERROR(unique(filter(Prod_Prop!$H:$H,Prod_Prop!$G:$G=$U942,Prod_Prop!$E:$E=Y$1)),""Check""))=0),"""",IFERROR(unique(filter(Prod_Prop!$H:$H,Prod_Prop!$G:$G=$U942,Prod_Prop!$E:$E=Y$1)),""""))"),"")</f>
        <v/>
      </c>
      <c r="Z942" s="4" t="str">
        <f>IF(Y942="","",SUMIFS(Prod_Prop!$J:$J,Prod_Prop!$B:$B,$Q942,Prod_Prop!$H:$H,Y942,Prod_Prop!$I:$I,Z$1)*IF(Y942="Peso",$R942,1))</f>
        <v/>
      </c>
      <c r="AA942" s="4" t="str">
        <f>IF(Y942="","",SUMIFS(Prod_Prop!$J:$J,Prod_Prop!$B:$B,$Q942,Prod_Prop!$H:$H,Y942,Prod_Prop!$I:$I,AA$1)*IF(Y942="Peso",$R942,1))</f>
        <v/>
      </c>
      <c r="AB942" s="4" t="str">
        <f>IFERROR(__xludf.DUMMYFUNCTION("IF(OR($U942="""",COUNTIF($I:$I,IFERROR(unique(filter(Prod_Prop!$H:$H,Prod_Prop!$G:$G=$U942,Prod_Prop!$E:$E=AB$1)),""Check""))=0),"""",IFERROR(unique(filter(Prod_Prop!$H:$H,Prod_Prop!$G:$G=$U942,Prod_Prop!$E:$E=AB$1)),""""))"),"")</f>
        <v/>
      </c>
      <c r="AC942" s="4" t="str">
        <f>IF(AB942="","",SUMIFS(Prod_Prop!$J:$J,Prod_Prop!$B:$B,$Q942,Prod_Prop!$H:$H,AB942,Prod_Prop!$I:$I,AC$1)*IF(AB942="Peso",$R942,1))</f>
        <v/>
      </c>
      <c r="AD942" s="4" t="str">
        <f>IF(AB942="","",SUMIFS(Prod_Prop!$J:$J,Prod_Prop!$B:$B,$Q942,Prod_Prop!$H:$H,AB942,Prod_Prop!$I:$I,AD$1)*IF(AB942="Peso",$R942,1))</f>
        <v/>
      </c>
    </row>
    <row r="943">
      <c r="A943" s="4" t="str">
        <f t="array" ref="A943">IF(COUNTIF(A$1:A942,Cotizador!F$2)=maxifs(Familias!E:E,Familias!D:D,Cotizador!F$2),IF(COUNTIF(A$1:A942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3" s="4" t="str">
        <f t="shared" si="1"/>
        <v/>
      </c>
      <c r="C943" s="4" t="str">
        <f t="array" ref="C943">IF(B943="","",IF(A943=XLOOKUP(A$2,Implementos!B:B,Implementos!C:C,"",0,1),B943+maxifs(B$1:B942,A$1:A942,A$2),B943))</f>
        <v/>
      </c>
      <c r="D943" s="4" t="str">
        <f>IF(B943="","", COUNTIFS(Productos!F:F,A943,Productos!H:H,B943)+IF(F943="SI",0,1))</f>
        <v/>
      </c>
      <c r="E943" s="4" t="str">
        <f>IFERROR(__xludf.DUMMYFUNCTION("IF($B943="""","""",INDEX(filter(Familias!F:F,Familias!$D:$D=$A943,Familias!$E:$E=$B943),1))"),"")</f>
        <v/>
      </c>
      <c r="F943" s="4" t="str">
        <f>IFERROR(__xludf.DUMMYFUNCTION("IF($B943="""","""",INDEX(filter(Familias!G:G,Familias!$D:$D=$A943,Familias!$E:$E=$B943),1))"),"")</f>
        <v/>
      </c>
      <c r="G943" s="4" t="str">
        <f t="array" ref="G943">IF(C943=1,XLOOKUP(C943,Cotizador!D:D,Cotizador!E:E,"",0,1),"")</f>
        <v/>
      </c>
      <c r="I943" s="4"/>
      <c r="J943" s="8" t="str">
        <f>IF(I943="","",SUMIF(Cotizador!I$1:V$1,I943,Cotizador!I$2:V$2))</f>
        <v/>
      </c>
      <c r="L943" s="4" t="str">
        <f t="array" ref="L943">IF(COUNTIF(L$1:L942,A$2)=SUMIF(A:A,A$2,D:D),IF(COUNTIF(L$1:L942,XLOOKUP(A$2,Implementos!B:B,Implementos!C:C,"",0,1))=SUMIF(A:A,XLOOKUP(A$2,Implementos!B:B,Implementos!C:C,"",0,1),D:D),"",XLOOKUP(A$2,Implementos!B:B,Implementos!C:C,"",0,1)),A$2)</f>
        <v/>
      </c>
      <c r="M943" s="4" t="str">
        <f t="shared" si="2"/>
        <v/>
      </c>
      <c r="N943" s="4" t="str">
        <f t="shared" si="3"/>
        <v/>
      </c>
      <c r="O943" s="4" t="str">
        <f t="shared" si="4"/>
        <v/>
      </c>
      <c r="P943" s="4" t="str">
        <f t="shared" si="5"/>
        <v/>
      </c>
      <c r="Q943" s="4" t="str">
        <f>IF(U943="","",SUMIF(Productos!E:E,U943,Productos!A:A))</f>
        <v/>
      </c>
      <c r="R943" s="4" t="str">
        <f t="array" ref="R943">IF(L943="","", max(1,SUMIF(I:I,XLOOKUP(U943,Productos!E:E,Productos!G:G,"",0,1),J:J)))</f>
        <v/>
      </c>
      <c r="S943" s="4" t="str">
        <f>IF(Q943="","",IF(SUMIFS(Compat_Vetado!D:D,Compat_Vetado!B:B,SUM(G:G),Compat_Vetado!C:C,Q943)=1,"SI",IF(OR(SUMIF(Cotizador!E:E,Q943,Cotizador!G:G)&gt;0,SUMIFS(Compat_Vetado!D:D,Compat_Vetado!B:B,SUM(G:G),Compat_Vetado!C:C,Q943)=-1),"NO","")))</f>
        <v/>
      </c>
      <c r="T943" s="4" t="str">
        <f t="shared" si="6"/>
        <v/>
      </c>
      <c r="U943" s="4" t="str">
        <f>IFERROR(__xludf.DUMMYFUNCTION("IF(P943="""","""",IFERROR(INDEX(filter(Productos!E:E,Productos!F:F=L943,Productos!H:H=N943),P943),IF(M943=SUM(D:D),""Finalizar"",""-"")))"),"")</f>
        <v/>
      </c>
      <c r="V943" s="4" t="str">
        <f>IFERROR(__xludf.DUMMYFUNCTION("IF(OR($U943="""",COUNTIF($I:$I,IFERROR(unique(filter(Prod_Prop!$H:$H,Prod_Prop!$G:$G=$U943,Prod_Prop!$E:$E=V$1)),""Check""))=0),"""",IFERROR(unique(filter(Prod_Prop!$H:$H,Prod_Prop!$G:$G=$U943,Prod_Prop!$E:$E=V$1)),""""))"),"")</f>
        <v/>
      </c>
      <c r="W943" s="4" t="str">
        <f>IF(V943="","",SUMIFS(Prod_Prop!$J:$J,Prod_Prop!$B:$B,$Q943,Prod_Prop!$H:$H,V943,Prod_Prop!$I:$I,W$1)*IF(V943="Peso",$R943,1))</f>
        <v/>
      </c>
      <c r="X943" s="4" t="str">
        <f>IF(V943="","",SUMIFS(Prod_Prop!$J:$J,Prod_Prop!$B:$B,$Q943,Prod_Prop!$H:$H,V943,Prod_Prop!$I:$I,X$1)*IF(V943="Peso",$R943,1))</f>
        <v/>
      </c>
      <c r="Y943" s="4" t="str">
        <f>IFERROR(__xludf.DUMMYFUNCTION("IF(OR($U943="""",COUNTIF($I:$I,IFERROR(unique(filter(Prod_Prop!$H:$H,Prod_Prop!$G:$G=$U943,Prod_Prop!$E:$E=Y$1)),""Check""))=0),"""",IFERROR(unique(filter(Prod_Prop!$H:$H,Prod_Prop!$G:$G=$U943,Prod_Prop!$E:$E=Y$1)),""""))"),"")</f>
        <v/>
      </c>
      <c r="Z943" s="4" t="str">
        <f>IF(Y943="","",SUMIFS(Prod_Prop!$J:$J,Prod_Prop!$B:$B,$Q943,Prod_Prop!$H:$H,Y943,Prod_Prop!$I:$I,Z$1)*IF(Y943="Peso",$R943,1))</f>
        <v/>
      </c>
      <c r="AA943" s="4" t="str">
        <f>IF(Y943="","",SUMIFS(Prod_Prop!$J:$J,Prod_Prop!$B:$B,$Q943,Prod_Prop!$H:$H,Y943,Prod_Prop!$I:$I,AA$1)*IF(Y943="Peso",$R943,1))</f>
        <v/>
      </c>
      <c r="AB943" s="4" t="str">
        <f>IFERROR(__xludf.DUMMYFUNCTION("IF(OR($U943="""",COUNTIF($I:$I,IFERROR(unique(filter(Prod_Prop!$H:$H,Prod_Prop!$G:$G=$U943,Prod_Prop!$E:$E=AB$1)),""Check""))=0),"""",IFERROR(unique(filter(Prod_Prop!$H:$H,Prod_Prop!$G:$G=$U943,Prod_Prop!$E:$E=AB$1)),""""))"),"")</f>
        <v/>
      </c>
      <c r="AC943" s="4" t="str">
        <f>IF(AB943="","",SUMIFS(Prod_Prop!$J:$J,Prod_Prop!$B:$B,$Q943,Prod_Prop!$H:$H,AB943,Prod_Prop!$I:$I,AC$1)*IF(AB943="Peso",$R943,1))</f>
        <v/>
      </c>
      <c r="AD943" s="4" t="str">
        <f>IF(AB943="","",SUMIFS(Prod_Prop!$J:$J,Prod_Prop!$B:$B,$Q943,Prod_Prop!$H:$H,AB943,Prod_Prop!$I:$I,AD$1)*IF(AB943="Peso",$R943,1))</f>
        <v/>
      </c>
    </row>
    <row r="944">
      <c r="A944" s="4" t="str">
        <f t="array" ref="A944">IF(COUNTIF(A$1:A943,Cotizador!F$2)=maxifs(Familias!E:E,Familias!D:D,Cotizador!F$2),IF(COUNTIF(A$1:A943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4" s="4" t="str">
        <f t="shared" si="1"/>
        <v/>
      </c>
      <c r="C944" s="4" t="str">
        <f t="array" ref="C944">IF(B944="","",IF(A944=XLOOKUP(A$2,Implementos!B:B,Implementos!C:C,"",0,1),B944+maxifs(B$1:B943,A$1:A943,A$2),B944))</f>
        <v/>
      </c>
      <c r="D944" s="4" t="str">
        <f>IF(B944="","", COUNTIFS(Productos!F:F,A944,Productos!H:H,B944)+IF(F944="SI",0,1))</f>
        <v/>
      </c>
      <c r="E944" s="4" t="str">
        <f>IFERROR(__xludf.DUMMYFUNCTION("IF($B944="""","""",INDEX(filter(Familias!F:F,Familias!$D:$D=$A944,Familias!$E:$E=$B944),1))"),"")</f>
        <v/>
      </c>
      <c r="F944" s="4" t="str">
        <f>IFERROR(__xludf.DUMMYFUNCTION("IF($B944="""","""",INDEX(filter(Familias!G:G,Familias!$D:$D=$A944,Familias!$E:$E=$B944),1))"),"")</f>
        <v/>
      </c>
      <c r="G944" s="4" t="str">
        <f t="array" ref="G944">IF(C944=1,XLOOKUP(C944,Cotizador!D:D,Cotizador!E:E,"",0,1),"")</f>
        <v/>
      </c>
      <c r="I944" s="4"/>
      <c r="J944" s="8" t="str">
        <f>IF(I944="","",SUMIF(Cotizador!I$1:V$1,I944,Cotizador!I$2:V$2))</f>
        <v/>
      </c>
      <c r="L944" s="4" t="str">
        <f t="array" ref="L944">IF(COUNTIF(L$1:L943,A$2)=SUMIF(A:A,A$2,D:D),IF(COUNTIF(L$1:L943,XLOOKUP(A$2,Implementos!B:B,Implementos!C:C,"",0,1))=SUMIF(A:A,XLOOKUP(A$2,Implementos!B:B,Implementos!C:C,"",0,1),D:D),"",XLOOKUP(A$2,Implementos!B:B,Implementos!C:C,"",0,1)),A$2)</f>
        <v/>
      </c>
      <c r="M944" s="4" t="str">
        <f t="shared" si="2"/>
        <v/>
      </c>
      <c r="N944" s="4" t="str">
        <f t="shared" si="3"/>
        <v/>
      </c>
      <c r="O944" s="4" t="str">
        <f t="shared" si="4"/>
        <v/>
      </c>
      <c r="P944" s="4" t="str">
        <f t="shared" si="5"/>
        <v/>
      </c>
      <c r="Q944" s="4" t="str">
        <f>IF(U944="","",SUMIF(Productos!E:E,U944,Productos!A:A))</f>
        <v/>
      </c>
      <c r="R944" s="4" t="str">
        <f t="array" ref="R944">IF(L944="","", max(1,SUMIF(I:I,XLOOKUP(U944,Productos!E:E,Productos!G:G,"",0,1),J:J)))</f>
        <v/>
      </c>
      <c r="S944" s="4" t="str">
        <f>IF(Q944="","",IF(SUMIFS(Compat_Vetado!D:D,Compat_Vetado!B:B,SUM(G:G),Compat_Vetado!C:C,Q944)=1,"SI",IF(OR(SUMIF(Cotizador!E:E,Q944,Cotizador!G:G)&gt;0,SUMIFS(Compat_Vetado!D:D,Compat_Vetado!B:B,SUM(G:G),Compat_Vetado!C:C,Q944)=-1),"NO","")))</f>
        <v/>
      </c>
      <c r="T944" s="4" t="str">
        <f t="shared" si="6"/>
        <v/>
      </c>
      <c r="U944" s="4" t="str">
        <f>IFERROR(__xludf.DUMMYFUNCTION("IF(P944="""","""",IFERROR(INDEX(filter(Productos!E:E,Productos!F:F=L944,Productos!H:H=N944),P944),IF(M944=SUM(D:D),""Finalizar"",""-"")))"),"")</f>
        <v/>
      </c>
      <c r="V944" s="4" t="str">
        <f>IFERROR(__xludf.DUMMYFUNCTION("IF(OR($U944="""",COUNTIF($I:$I,IFERROR(unique(filter(Prod_Prop!$H:$H,Prod_Prop!$G:$G=$U944,Prod_Prop!$E:$E=V$1)),""Check""))=0),"""",IFERROR(unique(filter(Prod_Prop!$H:$H,Prod_Prop!$G:$G=$U944,Prod_Prop!$E:$E=V$1)),""""))"),"")</f>
        <v/>
      </c>
      <c r="W944" s="4" t="str">
        <f>IF(V944="","",SUMIFS(Prod_Prop!$J:$J,Prod_Prop!$B:$B,$Q944,Prod_Prop!$H:$H,V944,Prod_Prop!$I:$I,W$1)*IF(V944="Peso",$R944,1))</f>
        <v/>
      </c>
      <c r="X944" s="4" t="str">
        <f>IF(V944="","",SUMIFS(Prod_Prop!$J:$J,Prod_Prop!$B:$B,$Q944,Prod_Prop!$H:$H,V944,Prod_Prop!$I:$I,X$1)*IF(V944="Peso",$R944,1))</f>
        <v/>
      </c>
      <c r="Y944" s="4" t="str">
        <f>IFERROR(__xludf.DUMMYFUNCTION("IF(OR($U944="""",COUNTIF($I:$I,IFERROR(unique(filter(Prod_Prop!$H:$H,Prod_Prop!$G:$G=$U944,Prod_Prop!$E:$E=Y$1)),""Check""))=0),"""",IFERROR(unique(filter(Prod_Prop!$H:$H,Prod_Prop!$G:$G=$U944,Prod_Prop!$E:$E=Y$1)),""""))"),"")</f>
        <v/>
      </c>
      <c r="Z944" s="4" t="str">
        <f>IF(Y944="","",SUMIFS(Prod_Prop!$J:$J,Prod_Prop!$B:$B,$Q944,Prod_Prop!$H:$H,Y944,Prod_Prop!$I:$I,Z$1)*IF(Y944="Peso",$R944,1))</f>
        <v/>
      </c>
      <c r="AA944" s="4" t="str">
        <f>IF(Y944="","",SUMIFS(Prod_Prop!$J:$J,Prod_Prop!$B:$B,$Q944,Prod_Prop!$H:$H,Y944,Prod_Prop!$I:$I,AA$1)*IF(Y944="Peso",$R944,1))</f>
        <v/>
      </c>
      <c r="AB944" s="4" t="str">
        <f>IFERROR(__xludf.DUMMYFUNCTION("IF(OR($U944="""",COUNTIF($I:$I,IFERROR(unique(filter(Prod_Prop!$H:$H,Prod_Prop!$G:$G=$U944,Prod_Prop!$E:$E=AB$1)),""Check""))=0),"""",IFERROR(unique(filter(Prod_Prop!$H:$H,Prod_Prop!$G:$G=$U944,Prod_Prop!$E:$E=AB$1)),""""))"),"")</f>
        <v/>
      </c>
      <c r="AC944" s="4" t="str">
        <f>IF(AB944="","",SUMIFS(Prod_Prop!$J:$J,Prod_Prop!$B:$B,$Q944,Prod_Prop!$H:$H,AB944,Prod_Prop!$I:$I,AC$1)*IF(AB944="Peso",$R944,1))</f>
        <v/>
      </c>
      <c r="AD944" s="4" t="str">
        <f>IF(AB944="","",SUMIFS(Prod_Prop!$J:$J,Prod_Prop!$B:$B,$Q944,Prod_Prop!$H:$H,AB944,Prod_Prop!$I:$I,AD$1)*IF(AB944="Peso",$R944,1))</f>
        <v/>
      </c>
    </row>
    <row r="945">
      <c r="A945" s="4" t="str">
        <f t="array" ref="A945">IF(COUNTIF(A$1:A944,Cotizador!F$2)=maxifs(Familias!E:E,Familias!D:D,Cotizador!F$2),IF(COUNTIF(A$1:A944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5" s="4" t="str">
        <f t="shared" si="1"/>
        <v/>
      </c>
      <c r="C945" s="4" t="str">
        <f t="array" ref="C945">IF(B945="","",IF(A945=XLOOKUP(A$2,Implementos!B:B,Implementos!C:C,"",0,1),B945+maxifs(B$1:B944,A$1:A944,A$2),B945))</f>
        <v/>
      </c>
      <c r="D945" s="4" t="str">
        <f>IF(B945="","", COUNTIFS(Productos!F:F,A945,Productos!H:H,B945)+IF(F945="SI",0,1))</f>
        <v/>
      </c>
      <c r="E945" s="4" t="str">
        <f>IFERROR(__xludf.DUMMYFUNCTION("IF($B945="""","""",INDEX(filter(Familias!F:F,Familias!$D:$D=$A945,Familias!$E:$E=$B945),1))"),"")</f>
        <v/>
      </c>
      <c r="F945" s="4" t="str">
        <f>IFERROR(__xludf.DUMMYFUNCTION("IF($B945="""","""",INDEX(filter(Familias!G:G,Familias!$D:$D=$A945,Familias!$E:$E=$B945),1))"),"")</f>
        <v/>
      </c>
      <c r="G945" s="4" t="str">
        <f t="array" ref="G945">IF(C945=1,XLOOKUP(C945,Cotizador!D:D,Cotizador!E:E,"",0,1),"")</f>
        <v/>
      </c>
      <c r="I945" s="4"/>
      <c r="J945" s="8" t="str">
        <f>IF(I945="","",SUMIF(Cotizador!I$1:V$1,I945,Cotizador!I$2:V$2))</f>
        <v/>
      </c>
      <c r="L945" s="4" t="str">
        <f t="array" ref="L945">IF(COUNTIF(L$1:L944,A$2)=SUMIF(A:A,A$2,D:D),IF(COUNTIF(L$1:L944,XLOOKUP(A$2,Implementos!B:B,Implementos!C:C,"",0,1))=SUMIF(A:A,XLOOKUP(A$2,Implementos!B:B,Implementos!C:C,"",0,1),D:D),"",XLOOKUP(A$2,Implementos!B:B,Implementos!C:C,"",0,1)),A$2)</f>
        <v/>
      </c>
      <c r="M945" s="4" t="str">
        <f t="shared" si="2"/>
        <v/>
      </c>
      <c r="N945" s="4" t="str">
        <f t="shared" si="3"/>
        <v/>
      </c>
      <c r="O945" s="4" t="str">
        <f t="shared" si="4"/>
        <v/>
      </c>
      <c r="P945" s="4" t="str">
        <f t="shared" si="5"/>
        <v/>
      </c>
      <c r="Q945" s="4" t="str">
        <f>IF(U945="","",SUMIF(Productos!E:E,U945,Productos!A:A))</f>
        <v/>
      </c>
      <c r="R945" s="4" t="str">
        <f t="array" ref="R945">IF(L945="","", max(1,SUMIF(I:I,XLOOKUP(U945,Productos!E:E,Productos!G:G,"",0,1),J:J)))</f>
        <v/>
      </c>
      <c r="S945" s="4" t="str">
        <f>IF(Q945="","",IF(SUMIFS(Compat_Vetado!D:D,Compat_Vetado!B:B,SUM(G:G),Compat_Vetado!C:C,Q945)=1,"SI",IF(OR(SUMIF(Cotizador!E:E,Q945,Cotizador!G:G)&gt;0,SUMIFS(Compat_Vetado!D:D,Compat_Vetado!B:B,SUM(G:G),Compat_Vetado!C:C,Q945)=-1),"NO","")))</f>
        <v/>
      </c>
      <c r="T945" s="4" t="str">
        <f t="shared" si="6"/>
        <v/>
      </c>
      <c r="U945" s="4" t="str">
        <f>IFERROR(__xludf.DUMMYFUNCTION("IF(P945="""","""",IFERROR(INDEX(filter(Productos!E:E,Productos!F:F=L945,Productos!H:H=N945),P945),IF(M945=SUM(D:D),""Finalizar"",""-"")))"),"")</f>
        <v/>
      </c>
      <c r="V945" s="4" t="str">
        <f>IFERROR(__xludf.DUMMYFUNCTION("IF(OR($U945="""",COUNTIF($I:$I,IFERROR(unique(filter(Prod_Prop!$H:$H,Prod_Prop!$G:$G=$U945,Prod_Prop!$E:$E=V$1)),""Check""))=0),"""",IFERROR(unique(filter(Prod_Prop!$H:$H,Prod_Prop!$G:$G=$U945,Prod_Prop!$E:$E=V$1)),""""))"),"")</f>
        <v/>
      </c>
      <c r="W945" s="4" t="str">
        <f>IF(V945="","",SUMIFS(Prod_Prop!$J:$J,Prod_Prop!$B:$B,$Q945,Prod_Prop!$H:$H,V945,Prod_Prop!$I:$I,W$1)*IF(V945="Peso",$R945,1))</f>
        <v/>
      </c>
      <c r="X945" s="4" t="str">
        <f>IF(V945="","",SUMIFS(Prod_Prop!$J:$J,Prod_Prop!$B:$B,$Q945,Prod_Prop!$H:$H,V945,Prod_Prop!$I:$I,X$1)*IF(V945="Peso",$R945,1))</f>
        <v/>
      </c>
      <c r="Y945" s="4" t="str">
        <f>IFERROR(__xludf.DUMMYFUNCTION("IF(OR($U945="""",COUNTIF($I:$I,IFERROR(unique(filter(Prod_Prop!$H:$H,Prod_Prop!$G:$G=$U945,Prod_Prop!$E:$E=Y$1)),""Check""))=0),"""",IFERROR(unique(filter(Prod_Prop!$H:$H,Prod_Prop!$G:$G=$U945,Prod_Prop!$E:$E=Y$1)),""""))"),"")</f>
        <v/>
      </c>
      <c r="Z945" s="4" t="str">
        <f>IF(Y945="","",SUMIFS(Prod_Prop!$J:$J,Prod_Prop!$B:$B,$Q945,Prod_Prop!$H:$H,Y945,Prod_Prop!$I:$I,Z$1)*IF(Y945="Peso",$R945,1))</f>
        <v/>
      </c>
      <c r="AA945" s="4" t="str">
        <f>IF(Y945="","",SUMIFS(Prod_Prop!$J:$J,Prod_Prop!$B:$B,$Q945,Prod_Prop!$H:$H,Y945,Prod_Prop!$I:$I,AA$1)*IF(Y945="Peso",$R945,1))</f>
        <v/>
      </c>
      <c r="AB945" s="4" t="str">
        <f>IFERROR(__xludf.DUMMYFUNCTION("IF(OR($U945="""",COUNTIF($I:$I,IFERROR(unique(filter(Prod_Prop!$H:$H,Prod_Prop!$G:$G=$U945,Prod_Prop!$E:$E=AB$1)),""Check""))=0),"""",IFERROR(unique(filter(Prod_Prop!$H:$H,Prod_Prop!$G:$G=$U945,Prod_Prop!$E:$E=AB$1)),""""))"),"")</f>
        <v/>
      </c>
      <c r="AC945" s="4" t="str">
        <f>IF(AB945="","",SUMIFS(Prod_Prop!$J:$J,Prod_Prop!$B:$B,$Q945,Prod_Prop!$H:$H,AB945,Prod_Prop!$I:$I,AC$1)*IF(AB945="Peso",$R945,1))</f>
        <v/>
      </c>
      <c r="AD945" s="4" t="str">
        <f>IF(AB945="","",SUMIFS(Prod_Prop!$J:$J,Prod_Prop!$B:$B,$Q945,Prod_Prop!$H:$H,AB945,Prod_Prop!$I:$I,AD$1)*IF(AB945="Peso",$R945,1))</f>
        <v/>
      </c>
    </row>
    <row r="946">
      <c r="A946" s="4" t="str">
        <f t="array" ref="A946">IF(COUNTIF(A$1:A945,Cotizador!F$2)=maxifs(Familias!E:E,Familias!D:D,Cotizador!F$2),IF(COUNTIF(A$1:A945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6" s="4" t="str">
        <f t="shared" si="1"/>
        <v/>
      </c>
      <c r="C946" s="4" t="str">
        <f t="array" ref="C946">IF(B946="","",IF(A946=XLOOKUP(A$2,Implementos!B:B,Implementos!C:C,"",0,1),B946+maxifs(B$1:B945,A$1:A945,A$2),B946))</f>
        <v/>
      </c>
      <c r="D946" s="4" t="str">
        <f>IF(B946="","", COUNTIFS(Productos!F:F,A946,Productos!H:H,B946)+IF(F946="SI",0,1))</f>
        <v/>
      </c>
      <c r="E946" s="4" t="str">
        <f>IFERROR(__xludf.DUMMYFUNCTION("IF($B946="""","""",INDEX(filter(Familias!F:F,Familias!$D:$D=$A946,Familias!$E:$E=$B946),1))"),"")</f>
        <v/>
      </c>
      <c r="F946" s="4" t="str">
        <f>IFERROR(__xludf.DUMMYFUNCTION("IF($B946="""","""",INDEX(filter(Familias!G:G,Familias!$D:$D=$A946,Familias!$E:$E=$B946),1))"),"")</f>
        <v/>
      </c>
      <c r="G946" s="4" t="str">
        <f t="array" ref="G946">IF(C946=1,XLOOKUP(C946,Cotizador!D:D,Cotizador!E:E,"",0,1),"")</f>
        <v/>
      </c>
      <c r="I946" s="4"/>
      <c r="J946" s="8" t="str">
        <f>IF(I946="","",SUMIF(Cotizador!I$1:V$1,I946,Cotizador!I$2:V$2))</f>
        <v/>
      </c>
      <c r="L946" s="4" t="str">
        <f t="array" ref="L946">IF(COUNTIF(L$1:L945,A$2)=SUMIF(A:A,A$2,D:D),IF(COUNTIF(L$1:L945,XLOOKUP(A$2,Implementos!B:B,Implementos!C:C,"",0,1))=SUMIF(A:A,XLOOKUP(A$2,Implementos!B:B,Implementos!C:C,"",0,1),D:D),"",XLOOKUP(A$2,Implementos!B:B,Implementos!C:C,"",0,1)),A$2)</f>
        <v/>
      </c>
      <c r="M946" s="4" t="str">
        <f t="shared" si="2"/>
        <v/>
      </c>
      <c r="N946" s="4" t="str">
        <f t="shared" si="3"/>
        <v/>
      </c>
      <c r="O946" s="4" t="str">
        <f t="shared" si="4"/>
        <v/>
      </c>
      <c r="P946" s="4" t="str">
        <f t="shared" si="5"/>
        <v/>
      </c>
      <c r="Q946" s="4" t="str">
        <f>IF(U946="","",SUMIF(Productos!E:E,U946,Productos!A:A))</f>
        <v/>
      </c>
      <c r="R946" s="4" t="str">
        <f t="array" ref="R946">IF(L946="","", max(1,SUMIF(I:I,XLOOKUP(U946,Productos!E:E,Productos!G:G,"",0,1),J:J)))</f>
        <v/>
      </c>
      <c r="S946" s="4" t="str">
        <f>IF(Q946="","",IF(SUMIFS(Compat_Vetado!D:D,Compat_Vetado!B:B,SUM(G:G),Compat_Vetado!C:C,Q946)=1,"SI",IF(OR(SUMIF(Cotizador!E:E,Q946,Cotizador!G:G)&gt;0,SUMIFS(Compat_Vetado!D:D,Compat_Vetado!B:B,SUM(G:G),Compat_Vetado!C:C,Q946)=-1),"NO","")))</f>
        <v/>
      </c>
      <c r="T946" s="4" t="str">
        <f t="shared" si="6"/>
        <v/>
      </c>
      <c r="U946" s="4" t="str">
        <f>IFERROR(__xludf.DUMMYFUNCTION("IF(P946="""","""",IFERROR(INDEX(filter(Productos!E:E,Productos!F:F=L946,Productos!H:H=N946),P946),IF(M946=SUM(D:D),""Finalizar"",""-"")))"),"")</f>
        <v/>
      </c>
      <c r="V946" s="4" t="str">
        <f>IFERROR(__xludf.DUMMYFUNCTION("IF(OR($U946="""",COUNTIF($I:$I,IFERROR(unique(filter(Prod_Prop!$H:$H,Prod_Prop!$G:$G=$U946,Prod_Prop!$E:$E=V$1)),""Check""))=0),"""",IFERROR(unique(filter(Prod_Prop!$H:$H,Prod_Prop!$G:$G=$U946,Prod_Prop!$E:$E=V$1)),""""))"),"")</f>
        <v/>
      </c>
      <c r="W946" s="4" t="str">
        <f>IF(V946="","",SUMIFS(Prod_Prop!$J:$J,Prod_Prop!$B:$B,$Q946,Prod_Prop!$H:$H,V946,Prod_Prop!$I:$I,W$1)*IF(V946="Peso",$R946,1))</f>
        <v/>
      </c>
      <c r="X946" s="4" t="str">
        <f>IF(V946="","",SUMIFS(Prod_Prop!$J:$J,Prod_Prop!$B:$B,$Q946,Prod_Prop!$H:$H,V946,Prod_Prop!$I:$I,X$1)*IF(V946="Peso",$R946,1))</f>
        <v/>
      </c>
      <c r="Y946" s="4" t="str">
        <f>IFERROR(__xludf.DUMMYFUNCTION("IF(OR($U946="""",COUNTIF($I:$I,IFERROR(unique(filter(Prod_Prop!$H:$H,Prod_Prop!$G:$G=$U946,Prod_Prop!$E:$E=Y$1)),""Check""))=0),"""",IFERROR(unique(filter(Prod_Prop!$H:$H,Prod_Prop!$G:$G=$U946,Prod_Prop!$E:$E=Y$1)),""""))"),"")</f>
        <v/>
      </c>
      <c r="Z946" s="4" t="str">
        <f>IF(Y946="","",SUMIFS(Prod_Prop!$J:$J,Prod_Prop!$B:$B,$Q946,Prod_Prop!$H:$H,Y946,Prod_Prop!$I:$I,Z$1)*IF(Y946="Peso",$R946,1))</f>
        <v/>
      </c>
      <c r="AA946" s="4" t="str">
        <f>IF(Y946="","",SUMIFS(Prod_Prop!$J:$J,Prod_Prop!$B:$B,$Q946,Prod_Prop!$H:$H,Y946,Prod_Prop!$I:$I,AA$1)*IF(Y946="Peso",$R946,1))</f>
        <v/>
      </c>
      <c r="AB946" s="4" t="str">
        <f>IFERROR(__xludf.DUMMYFUNCTION("IF(OR($U946="""",COUNTIF($I:$I,IFERROR(unique(filter(Prod_Prop!$H:$H,Prod_Prop!$G:$G=$U946,Prod_Prop!$E:$E=AB$1)),""Check""))=0),"""",IFERROR(unique(filter(Prod_Prop!$H:$H,Prod_Prop!$G:$G=$U946,Prod_Prop!$E:$E=AB$1)),""""))"),"")</f>
        <v/>
      </c>
      <c r="AC946" s="4" t="str">
        <f>IF(AB946="","",SUMIFS(Prod_Prop!$J:$J,Prod_Prop!$B:$B,$Q946,Prod_Prop!$H:$H,AB946,Prod_Prop!$I:$I,AC$1)*IF(AB946="Peso",$R946,1))</f>
        <v/>
      </c>
      <c r="AD946" s="4" t="str">
        <f>IF(AB946="","",SUMIFS(Prod_Prop!$J:$J,Prod_Prop!$B:$B,$Q946,Prod_Prop!$H:$H,AB946,Prod_Prop!$I:$I,AD$1)*IF(AB946="Peso",$R946,1))</f>
        <v/>
      </c>
    </row>
    <row r="947">
      <c r="A947" s="4" t="str">
        <f t="array" ref="A947">IF(COUNTIF(A$1:A946,Cotizador!F$2)=maxifs(Familias!E:E,Familias!D:D,Cotizador!F$2),IF(COUNTIF(A$1:A946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7" s="4" t="str">
        <f t="shared" si="1"/>
        <v/>
      </c>
      <c r="C947" s="4" t="str">
        <f t="array" ref="C947">IF(B947="","",IF(A947=XLOOKUP(A$2,Implementos!B:B,Implementos!C:C,"",0,1),B947+maxifs(B$1:B946,A$1:A946,A$2),B947))</f>
        <v/>
      </c>
      <c r="D947" s="4" t="str">
        <f>IF(B947="","", COUNTIFS(Productos!F:F,A947,Productos!H:H,B947)+IF(F947="SI",0,1))</f>
        <v/>
      </c>
      <c r="E947" s="4" t="str">
        <f>IFERROR(__xludf.DUMMYFUNCTION("IF($B947="""","""",INDEX(filter(Familias!F:F,Familias!$D:$D=$A947,Familias!$E:$E=$B947),1))"),"")</f>
        <v/>
      </c>
      <c r="F947" s="4" t="str">
        <f>IFERROR(__xludf.DUMMYFUNCTION("IF($B947="""","""",INDEX(filter(Familias!G:G,Familias!$D:$D=$A947,Familias!$E:$E=$B947),1))"),"")</f>
        <v/>
      </c>
      <c r="G947" s="4" t="str">
        <f t="array" ref="G947">IF(C947=1,XLOOKUP(C947,Cotizador!D:D,Cotizador!E:E,"",0,1),"")</f>
        <v/>
      </c>
      <c r="I947" s="4"/>
      <c r="J947" s="8" t="str">
        <f>IF(I947="","",SUMIF(Cotizador!I$1:V$1,I947,Cotizador!I$2:V$2))</f>
        <v/>
      </c>
      <c r="L947" s="4" t="str">
        <f t="array" ref="L947">IF(COUNTIF(L$1:L946,A$2)=SUMIF(A:A,A$2,D:D),IF(COUNTIF(L$1:L946,XLOOKUP(A$2,Implementos!B:B,Implementos!C:C,"",0,1))=SUMIF(A:A,XLOOKUP(A$2,Implementos!B:B,Implementos!C:C,"",0,1),D:D),"",XLOOKUP(A$2,Implementos!B:B,Implementos!C:C,"",0,1)),A$2)</f>
        <v/>
      </c>
      <c r="M947" s="4" t="str">
        <f t="shared" si="2"/>
        <v/>
      </c>
      <c r="N947" s="4" t="str">
        <f t="shared" si="3"/>
        <v/>
      </c>
      <c r="O947" s="4" t="str">
        <f t="shared" si="4"/>
        <v/>
      </c>
      <c r="P947" s="4" t="str">
        <f t="shared" si="5"/>
        <v/>
      </c>
      <c r="Q947" s="4" t="str">
        <f>IF(U947="","",SUMIF(Productos!E:E,U947,Productos!A:A))</f>
        <v/>
      </c>
      <c r="R947" s="4" t="str">
        <f t="array" ref="R947">IF(L947="","", max(1,SUMIF(I:I,XLOOKUP(U947,Productos!E:E,Productos!G:G,"",0,1),J:J)))</f>
        <v/>
      </c>
      <c r="S947" s="4" t="str">
        <f>IF(Q947="","",IF(SUMIFS(Compat_Vetado!D:D,Compat_Vetado!B:B,SUM(G:G),Compat_Vetado!C:C,Q947)=1,"SI",IF(OR(SUMIF(Cotizador!E:E,Q947,Cotizador!G:G)&gt;0,SUMIFS(Compat_Vetado!D:D,Compat_Vetado!B:B,SUM(G:G),Compat_Vetado!C:C,Q947)=-1),"NO","")))</f>
        <v/>
      </c>
      <c r="T947" s="4" t="str">
        <f t="shared" si="6"/>
        <v/>
      </c>
      <c r="U947" s="4" t="str">
        <f>IFERROR(__xludf.DUMMYFUNCTION("IF(P947="""","""",IFERROR(INDEX(filter(Productos!E:E,Productos!F:F=L947,Productos!H:H=N947),P947),IF(M947=SUM(D:D),""Finalizar"",""-"")))"),"")</f>
        <v/>
      </c>
      <c r="V947" s="4" t="str">
        <f>IFERROR(__xludf.DUMMYFUNCTION("IF(OR($U947="""",COUNTIF($I:$I,IFERROR(unique(filter(Prod_Prop!$H:$H,Prod_Prop!$G:$G=$U947,Prod_Prop!$E:$E=V$1)),""Check""))=0),"""",IFERROR(unique(filter(Prod_Prop!$H:$H,Prod_Prop!$G:$G=$U947,Prod_Prop!$E:$E=V$1)),""""))"),"")</f>
        <v/>
      </c>
      <c r="W947" s="4" t="str">
        <f>IF(V947="","",SUMIFS(Prod_Prop!$J:$J,Prod_Prop!$B:$B,$Q947,Prod_Prop!$H:$H,V947,Prod_Prop!$I:$I,W$1)*IF(V947="Peso",$R947,1))</f>
        <v/>
      </c>
      <c r="X947" s="4" t="str">
        <f>IF(V947="","",SUMIFS(Prod_Prop!$J:$J,Prod_Prop!$B:$B,$Q947,Prod_Prop!$H:$H,V947,Prod_Prop!$I:$I,X$1)*IF(V947="Peso",$R947,1))</f>
        <v/>
      </c>
      <c r="Y947" s="4" t="str">
        <f>IFERROR(__xludf.DUMMYFUNCTION("IF(OR($U947="""",COUNTIF($I:$I,IFERROR(unique(filter(Prod_Prop!$H:$H,Prod_Prop!$G:$G=$U947,Prod_Prop!$E:$E=Y$1)),""Check""))=0),"""",IFERROR(unique(filter(Prod_Prop!$H:$H,Prod_Prop!$G:$G=$U947,Prod_Prop!$E:$E=Y$1)),""""))"),"")</f>
        <v/>
      </c>
      <c r="Z947" s="4" t="str">
        <f>IF(Y947="","",SUMIFS(Prod_Prop!$J:$J,Prod_Prop!$B:$B,$Q947,Prod_Prop!$H:$H,Y947,Prod_Prop!$I:$I,Z$1)*IF(Y947="Peso",$R947,1))</f>
        <v/>
      </c>
      <c r="AA947" s="4" t="str">
        <f>IF(Y947="","",SUMIFS(Prod_Prop!$J:$J,Prod_Prop!$B:$B,$Q947,Prod_Prop!$H:$H,Y947,Prod_Prop!$I:$I,AA$1)*IF(Y947="Peso",$R947,1))</f>
        <v/>
      </c>
      <c r="AB947" s="4" t="str">
        <f>IFERROR(__xludf.DUMMYFUNCTION("IF(OR($U947="""",COUNTIF($I:$I,IFERROR(unique(filter(Prod_Prop!$H:$H,Prod_Prop!$G:$G=$U947,Prod_Prop!$E:$E=AB$1)),""Check""))=0),"""",IFERROR(unique(filter(Prod_Prop!$H:$H,Prod_Prop!$G:$G=$U947,Prod_Prop!$E:$E=AB$1)),""""))"),"")</f>
        <v/>
      </c>
      <c r="AC947" s="4" t="str">
        <f>IF(AB947="","",SUMIFS(Prod_Prop!$J:$J,Prod_Prop!$B:$B,$Q947,Prod_Prop!$H:$H,AB947,Prod_Prop!$I:$I,AC$1)*IF(AB947="Peso",$R947,1))</f>
        <v/>
      </c>
      <c r="AD947" s="4" t="str">
        <f>IF(AB947="","",SUMIFS(Prod_Prop!$J:$J,Prod_Prop!$B:$B,$Q947,Prod_Prop!$H:$H,AB947,Prod_Prop!$I:$I,AD$1)*IF(AB947="Peso",$R947,1))</f>
        <v/>
      </c>
    </row>
    <row r="948">
      <c r="A948" s="4" t="str">
        <f t="array" ref="A948">IF(COUNTIF(A$1:A947,Cotizador!F$2)=maxifs(Familias!E:E,Familias!D:D,Cotizador!F$2),IF(COUNTIF(A$1:A947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8" s="4" t="str">
        <f t="shared" si="1"/>
        <v/>
      </c>
      <c r="C948" s="4" t="str">
        <f t="array" ref="C948">IF(B948="","",IF(A948=XLOOKUP(A$2,Implementos!B:B,Implementos!C:C,"",0,1),B948+maxifs(B$1:B947,A$1:A947,A$2),B948))</f>
        <v/>
      </c>
      <c r="D948" s="4" t="str">
        <f>IF(B948="","", COUNTIFS(Productos!F:F,A948,Productos!H:H,B948)+IF(F948="SI",0,1))</f>
        <v/>
      </c>
      <c r="E948" s="4" t="str">
        <f>IFERROR(__xludf.DUMMYFUNCTION("IF($B948="""","""",INDEX(filter(Familias!F:F,Familias!$D:$D=$A948,Familias!$E:$E=$B948),1))"),"")</f>
        <v/>
      </c>
      <c r="F948" s="4" t="str">
        <f>IFERROR(__xludf.DUMMYFUNCTION("IF($B948="""","""",INDEX(filter(Familias!G:G,Familias!$D:$D=$A948,Familias!$E:$E=$B948),1))"),"")</f>
        <v/>
      </c>
      <c r="G948" s="4" t="str">
        <f t="array" ref="G948">IF(C948=1,XLOOKUP(C948,Cotizador!D:D,Cotizador!E:E,"",0,1),"")</f>
        <v/>
      </c>
      <c r="I948" s="4"/>
      <c r="J948" s="8" t="str">
        <f>IF(I948="","",SUMIF(Cotizador!I$1:V$1,I948,Cotizador!I$2:V$2))</f>
        <v/>
      </c>
      <c r="L948" s="4" t="str">
        <f t="array" ref="L948">IF(COUNTIF(L$1:L947,A$2)=SUMIF(A:A,A$2,D:D),IF(COUNTIF(L$1:L947,XLOOKUP(A$2,Implementos!B:B,Implementos!C:C,"",0,1))=SUMIF(A:A,XLOOKUP(A$2,Implementos!B:B,Implementos!C:C,"",0,1),D:D),"",XLOOKUP(A$2,Implementos!B:B,Implementos!C:C,"",0,1)),A$2)</f>
        <v/>
      </c>
      <c r="M948" s="4" t="str">
        <f t="shared" si="2"/>
        <v/>
      </c>
      <c r="N948" s="4" t="str">
        <f t="shared" si="3"/>
        <v/>
      </c>
      <c r="O948" s="4" t="str">
        <f t="shared" si="4"/>
        <v/>
      </c>
      <c r="P948" s="4" t="str">
        <f t="shared" si="5"/>
        <v/>
      </c>
      <c r="Q948" s="4" t="str">
        <f>IF(U948="","",SUMIF(Productos!E:E,U948,Productos!A:A))</f>
        <v/>
      </c>
      <c r="R948" s="4" t="str">
        <f t="array" ref="R948">IF(L948="","", max(1,SUMIF(I:I,XLOOKUP(U948,Productos!E:E,Productos!G:G,"",0,1),J:J)))</f>
        <v/>
      </c>
      <c r="S948" s="4" t="str">
        <f>IF(Q948="","",IF(SUMIFS(Compat_Vetado!D:D,Compat_Vetado!B:B,SUM(G:G),Compat_Vetado!C:C,Q948)=1,"SI",IF(OR(SUMIF(Cotizador!E:E,Q948,Cotizador!G:G)&gt;0,SUMIFS(Compat_Vetado!D:D,Compat_Vetado!B:B,SUM(G:G),Compat_Vetado!C:C,Q948)=-1),"NO","")))</f>
        <v/>
      </c>
      <c r="T948" s="4" t="str">
        <f t="shared" si="6"/>
        <v/>
      </c>
      <c r="U948" s="4" t="str">
        <f>IFERROR(__xludf.DUMMYFUNCTION("IF(P948="""","""",IFERROR(INDEX(filter(Productos!E:E,Productos!F:F=L948,Productos!H:H=N948),P948),IF(M948=SUM(D:D),""Finalizar"",""-"")))"),"")</f>
        <v/>
      </c>
      <c r="V948" s="4" t="str">
        <f>IFERROR(__xludf.DUMMYFUNCTION("IF(OR($U948="""",COUNTIF($I:$I,IFERROR(unique(filter(Prod_Prop!$H:$H,Prod_Prop!$G:$G=$U948,Prod_Prop!$E:$E=V$1)),""Check""))=0),"""",IFERROR(unique(filter(Prod_Prop!$H:$H,Prod_Prop!$G:$G=$U948,Prod_Prop!$E:$E=V$1)),""""))"),"")</f>
        <v/>
      </c>
      <c r="W948" s="4" t="str">
        <f>IF(V948="","",SUMIFS(Prod_Prop!$J:$J,Prod_Prop!$B:$B,$Q948,Prod_Prop!$H:$H,V948,Prod_Prop!$I:$I,W$1)*IF(V948="Peso",$R948,1))</f>
        <v/>
      </c>
      <c r="X948" s="4" t="str">
        <f>IF(V948="","",SUMIFS(Prod_Prop!$J:$J,Prod_Prop!$B:$B,$Q948,Prod_Prop!$H:$H,V948,Prod_Prop!$I:$I,X$1)*IF(V948="Peso",$R948,1))</f>
        <v/>
      </c>
      <c r="Y948" s="4" t="str">
        <f>IFERROR(__xludf.DUMMYFUNCTION("IF(OR($U948="""",COUNTIF($I:$I,IFERROR(unique(filter(Prod_Prop!$H:$H,Prod_Prop!$G:$G=$U948,Prod_Prop!$E:$E=Y$1)),""Check""))=0),"""",IFERROR(unique(filter(Prod_Prop!$H:$H,Prod_Prop!$G:$G=$U948,Prod_Prop!$E:$E=Y$1)),""""))"),"")</f>
        <v/>
      </c>
      <c r="Z948" s="4" t="str">
        <f>IF(Y948="","",SUMIFS(Prod_Prop!$J:$J,Prod_Prop!$B:$B,$Q948,Prod_Prop!$H:$H,Y948,Prod_Prop!$I:$I,Z$1)*IF(Y948="Peso",$R948,1))</f>
        <v/>
      </c>
      <c r="AA948" s="4" t="str">
        <f>IF(Y948="","",SUMIFS(Prod_Prop!$J:$J,Prod_Prop!$B:$B,$Q948,Prod_Prop!$H:$H,Y948,Prod_Prop!$I:$I,AA$1)*IF(Y948="Peso",$R948,1))</f>
        <v/>
      </c>
      <c r="AB948" s="4" t="str">
        <f>IFERROR(__xludf.DUMMYFUNCTION("IF(OR($U948="""",COUNTIF($I:$I,IFERROR(unique(filter(Prod_Prop!$H:$H,Prod_Prop!$G:$G=$U948,Prod_Prop!$E:$E=AB$1)),""Check""))=0),"""",IFERROR(unique(filter(Prod_Prop!$H:$H,Prod_Prop!$G:$G=$U948,Prod_Prop!$E:$E=AB$1)),""""))"),"")</f>
        <v/>
      </c>
      <c r="AC948" s="4" t="str">
        <f>IF(AB948="","",SUMIFS(Prod_Prop!$J:$J,Prod_Prop!$B:$B,$Q948,Prod_Prop!$H:$H,AB948,Prod_Prop!$I:$I,AC$1)*IF(AB948="Peso",$R948,1))</f>
        <v/>
      </c>
      <c r="AD948" s="4" t="str">
        <f>IF(AB948="","",SUMIFS(Prod_Prop!$J:$J,Prod_Prop!$B:$B,$Q948,Prod_Prop!$H:$H,AB948,Prod_Prop!$I:$I,AD$1)*IF(AB948="Peso",$R948,1))</f>
        <v/>
      </c>
    </row>
    <row r="949">
      <c r="A949" s="4" t="str">
        <f t="array" ref="A949">IF(COUNTIF(A$1:A948,Cotizador!F$2)=maxifs(Familias!E:E,Familias!D:D,Cotizador!F$2),IF(COUNTIF(A$1:A948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49" s="4" t="str">
        <f t="shared" si="1"/>
        <v/>
      </c>
      <c r="C949" s="4" t="str">
        <f t="array" ref="C949">IF(B949="","",IF(A949=XLOOKUP(A$2,Implementos!B:B,Implementos!C:C,"",0,1),B949+maxifs(B$1:B948,A$1:A948,A$2),B949))</f>
        <v/>
      </c>
      <c r="D949" s="4" t="str">
        <f>IF(B949="","", COUNTIFS(Productos!F:F,A949,Productos!H:H,B949)+IF(F949="SI",0,1))</f>
        <v/>
      </c>
      <c r="E949" s="4" t="str">
        <f>IFERROR(__xludf.DUMMYFUNCTION("IF($B949="""","""",INDEX(filter(Familias!F:F,Familias!$D:$D=$A949,Familias!$E:$E=$B949),1))"),"")</f>
        <v/>
      </c>
      <c r="F949" s="4" t="str">
        <f>IFERROR(__xludf.DUMMYFUNCTION("IF($B949="""","""",INDEX(filter(Familias!G:G,Familias!$D:$D=$A949,Familias!$E:$E=$B949),1))"),"")</f>
        <v/>
      </c>
      <c r="G949" s="4" t="str">
        <f t="array" ref="G949">IF(C949=1,XLOOKUP(C949,Cotizador!D:D,Cotizador!E:E,"",0,1),"")</f>
        <v/>
      </c>
      <c r="I949" s="4"/>
      <c r="J949" s="8" t="str">
        <f>IF(I949="","",SUMIF(Cotizador!I$1:V$1,I949,Cotizador!I$2:V$2))</f>
        <v/>
      </c>
      <c r="L949" s="4" t="str">
        <f t="array" ref="L949">IF(COUNTIF(L$1:L948,A$2)=SUMIF(A:A,A$2,D:D),IF(COUNTIF(L$1:L948,XLOOKUP(A$2,Implementos!B:B,Implementos!C:C,"",0,1))=SUMIF(A:A,XLOOKUP(A$2,Implementos!B:B,Implementos!C:C,"",0,1),D:D),"",XLOOKUP(A$2,Implementos!B:B,Implementos!C:C,"",0,1)),A$2)</f>
        <v/>
      </c>
      <c r="M949" s="4" t="str">
        <f t="shared" si="2"/>
        <v/>
      </c>
      <c r="N949" s="4" t="str">
        <f t="shared" si="3"/>
        <v/>
      </c>
      <c r="O949" s="4" t="str">
        <f t="shared" si="4"/>
        <v/>
      </c>
      <c r="P949" s="4" t="str">
        <f t="shared" si="5"/>
        <v/>
      </c>
      <c r="Q949" s="4" t="str">
        <f>IF(U949="","",SUMIF(Productos!E:E,U949,Productos!A:A))</f>
        <v/>
      </c>
      <c r="R949" s="4" t="str">
        <f t="array" ref="R949">IF(L949="","", max(1,SUMIF(I:I,XLOOKUP(U949,Productos!E:E,Productos!G:G,"",0,1),J:J)))</f>
        <v/>
      </c>
      <c r="S949" s="4" t="str">
        <f>IF(Q949="","",IF(SUMIFS(Compat_Vetado!D:D,Compat_Vetado!B:B,SUM(G:G),Compat_Vetado!C:C,Q949)=1,"SI",IF(OR(SUMIF(Cotizador!E:E,Q949,Cotizador!G:G)&gt;0,SUMIFS(Compat_Vetado!D:D,Compat_Vetado!B:B,SUM(G:G),Compat_Vetado!C:C,Q949)=-1),"NO","")))</f>
        <v/>
      </c>
      <c r="T949" s="4" t="str">
        <f t="shared" si="6"/>
        <v/>
      </c>
      <c r="U949" s="4" t="str">
        <f>IFERROR(__xludf.DUMMYFUNCTION("IF(P949="""","""",IFERROR(INDEX(filter(Productos!E:E,Productos!F:F=L949,Productos!H:H=N949),P949),IF(M949=SUM(D:D),""Finalizar"",""-"")))"),"")</f>
        <v/>
      </c>
      <c r="V949" s="4" t="str">
        <f>IFERROR(__xludf.DUMMYFUNCTION("IF(OR($U949="""",COUNTIF($I:$I,IFERROR(unique(filter(Prod_Prop!$H:$H,Prod_Prop!$G:$G=$U949,Prod_Prop!$E:$E=V$1)),""Check""))=0),"""",IFERROR(unique(filter(Prod_Prop!$H:$H,Prod_Prop!$G:$G=$U949,Prod_Prop!$E:$E=V$1)),""""))"),"")</f>
        <v/>
      </c>
      <c r="W949" s="4" t="str">
        <f>IF(V949="","",SUMIFS(Prod_Prop!$J:$J,Prod_Prop!$B:$B,$Q949,Prod_Prop!$H:$H,V949,Prod_Prop!$I:$I,W$1)*IF(V949="Peso",$R949,1))</f>
        <v/>
      </c>
      <c r="X949" s="4" t="str">
        <f>IF(V949="","",SUMIFS(Prod_Prop!$J:$J,Prod_Prop!$B:$B,$Q949,Prod_Prop!$H:$H,V949,Prod_Prop!$I:$I,X$1)*IF(V949="Peso",$R949,1))</f>
        <v/>
      </c>
      <c r="Y949" s="4" t="str">
        <f>IFERROR(__xludf.DUMMYFUNCTION("IF(OR($U949="""",COUNTIF($I:$I,IFERROR(unique(filter(Prod_Prop!$H:$H,Prod_Prop!$G:$G=$U949,Prod_Prop!$E:$E=Y$1)),""Check""))=0),"""",IFERROR(unique(filter(Prod_Prop!$H:$H,Prod_Prop!$G:$G=$U949,Prod_Prop!$E:$E=Y$1)),""""))"),"")</f>
        <v/>
      </c>
      <c r="Z949" s="4" t="str">
        <f>IF(Y949="","",SUMIFS(Prod_Prop!$J:$J,Prod_Prop!$B:$B,$Q949,Prod_Prop!$H:$H,Y949,Prod_Prop!$I:$I,Z$1)*IF(Y949="Peso",$R949,1))</f>
        <v/>
      </c>
      <c r="AA949" s="4" t="str">
        <f>IF(Y949="","",SUMIFS(Prod_Prop!$J:$J,Prod_Prop!$B:$B,$Q949,Prod_Prop!$H:$H,Y949,Prod_Prop!$I:$I,AA$1)*IF(Y949="Peso",$R949,1))</f>
        <v/>
      </c>
      <c r="AB949" s="4" t="str">
        <f>IFERROR(__xludf.DUMMYFUNCTION("IF(OR($U949="""",COUNTIF($I:$I,IFERROR(unique(filter(Prod_Prop!$H:$H,Prod_Prop!$G:$G=$U949,Prod_Prop!$E:$E=AB$1)),""Check""))=0),"""",IFERROR(unique(filter(Prod_Prop!$H:$H,Prod_Prop!$G:$G=$U949,Prod_Prop!$E:$E=AB$1)),""""))"),"")</f>
        <v/>
      </c>
      <c r="AC949" s="4" t="str">
        <f>IF(AB949="","",SUMIFS(Prod_Prop!$J:$J,Prod_Prop!$B:$B,$Q949,Prod_Prop!$H:$H,AB949,Prod_Prop!$I:$I,AC$1)*IF(AB949="Peso",$R949,1))</f>
        <v/>
      </c>
      <c r="AD949" s="4" t="str">
        <f>IF(AB949="","",SUMIFS(Prod_Prop!$J:$J,Prod_Prop!$B:$B,$Q949,Prod_Prop!$H:$H,AB949,Prod_Prop!$I:$I,AD$1)*IF(AB949="Peso",$R949,1))</f>
        <v/>
      </c>
    </row>
    <row r="950">
      <c r="A950" s="4" t="str">
        <f t="array" ref="A950">IF(COUNTIF(A$1:A949,Cotizador!F$2)=maxifs(Familias!E:E,Familias!D:D,Cotizador!F$2),IF(COUNTIF(A$1:A949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0" s="4" t="str">
        <f t="shared" si="1"/>
        <v/>
      </c>
      <c r="C950" s="4" t="str">
        <f t="array" ref="C950">IF(B950="","",IF(A950=XLOOKUP(A$2,Implementos!B:B,Implementos!C:C,"",0,1),B950+maxifs(B$1:B949,A$1:A949,A$2),B950))</f>
        <v/>
      </c>
      <c r="D950" s="4" t="str">
        <f>IF(B950="","", COUNTIFS(Productos!F:F,A950,Productos!H:H,B950)+IF(F950="SI",0,1))</f>
        <v/>
      </c>
      <c r="E950" s="4" t="str">
        <f>IFERROR(__xludf.DUMMYFUNCTION("IF($B950="""","""",INDEX(filter(Familias!F:F,Familias!$D:$D=$A950,Familias!$E:$E=$B950),1))"),"")</f>
        <v/>
      </c>
      <c r="F950" s="4" t="str">
        <f>IFERROR(__xludf.DUMMYFUNCTION("IF($B950="""","""",INDEX(filter(Familias!G:G,Familias!$D:$D=$A950,Familias!$E:$E=$B950),1))"),"")</f>
        <v/>
      </c>
      <c r="G950" s="4" t="str">
        <f t="array" ref="G950">IF(C950=1,XLOOKUP(C950,Cotizador!D:D,Cotizador!E:E,"",0,1),"")</f>
        <v/>
      </c>
      <c r="I950" s="4"/>
      <c r="J950" s="8" t="str">
        <f>IF(I950="","",SUMIF(Cotizador!I$1:V$1,I950,Cotizador!I$2:V$2))</f>
        <v/>
      </c>
      <c r="L950" s="4" t="str">
        <f t="array" ref="L950">IF(COUNTIF(L$1:L949,A$2)=SUMIF(A:A,A$2,D:D),IF(COUNTIF(L$1:L949,XLOOKUP(A$2,Implementos!B:B,Implementos!C:C,"",0,1))=SUMIF(A:A,XLOOKUP(A$2,Implementos!B:B,Implementos!C:C,"",0,1),D:D),"",XLOOKUP(A$2,Implementos!B:B,Implementos!C:C,"",0,1)),A$2)</f>
        <v/>
      </c>
      <c r="M950" s="4" t="str">
        <f t="shared" si="2"/>
        <v/>
      </c>
      <c r="N950" s="4" t="str">
        <f t="shared" si="3"/>
        <v/>
      </c>
      <c r="O950" s="4" t="str">
        <f t="shared" si="4"/>
        <v/>
      </c>
      <c r="P950" s="4" t="str">
        <f t="shared" si="5"/>
        <v/>
      </c>
      <c r="Q950" s="4" t="str">
        <f>IF(U950="","",SUMIF(Productos!E:E,U950,Productos!A:A))</f>
        <v/>
      </c>
      <c r="R950" s="4" t="str">
        <f t="array" ref="R950">IF(L950="","", max(1,SUMIF(I:I,XLOOKUP(U950,Productos!E:E,Productos!G:G,"",0,1),J:J)))</f>
        <v/>
      </c>
      <c r="S950" s="4" t="str">
        <f>IF(Q950="","",IF(SUMIFS(Compat_Vetado!D:D,Compat_Vetado!B:B,SUM(G:G),Compat_Vetado!C:C,Q950)=1,"SI",IF(OR(SUMIF(Cotizador!E:E,Q950,Cotizador!G:G)&gt;0,SUMIFS(Compat_Vetado!D:D,Compat_Vetado!B:B,SUM(G:G),Compat_Vetado!C:C,Q950)=-1),"NO","")))</f>
        <v/>
      </c>
      <c r="T950" s="4" t="str">
        <f t="shared" si="6"/>
        <v/>
      </c>
      <c r="U950" s="4" t="str">
        <f>IFERROR(__xludf.DUMMYFUNCTION("IF(P950="""","""",IFERROR(INDEX(filter(Productos!E:E,Productos!F:F=L950,Productos!H:H=N950),P950),IF(M950=SUM(D:D),""Finalizar"",""-"")))"),"")</f>
        <v/>
      </c>
      <c r="V950" s="4" t="str">
        <f>IFERROR(__xludf.DUMMYFUNCTION("IF(OR($U950="""",COUNTIF($I:$I,IFERROR(unique(filter(Prod_Prop!$H:$H,Prod_Prop!$G:$G=$U950,Prod_Prop!$E:$E=V$1)),""Check""))=0),"""",IFERROR(unique(filter(Prod_Prop!$H:$H,Prod_Prop!$G:$G=$U950,Prod_Prop!$E:$E=V$1)),""""))"),"")</f>
        <v/>
      </c>
      <c r="W950" s="4" t="str">
        <f>IF(V950="","",SUMIFS(Prod_Prop!$J:$J,Prod_Prop!$B:$B,$Q950,Prod_Prop!$H:$H,V950,Prod_Prop!$I:$I,W$1)*IF(V950="Peso",$R950,1))</f>
        <v/>
      </c>
      <c r="X950" s="4" t="str">
        <f>IF(V950="","",SUMIFS(Prod_Prop!$J:$J,Prod_Prop!$B:$B,$Q950,Prod_Prop!$H:$H,V950,Prod_Prop!$I:$I,X$1)*IF(V950="Peso",$R950,1))</f>
        <v/>
      </c>
      <c r="Y950" s="4" t="str">
        <f>IFERROR(__xludf.DUMMYFUNCTION("IF(OR($U950="""",COUNTIF($I:$I,IFERROR(unique(filter(Prod_Prop!$H:$H,Prod_Prop!$G:$G=$U950,Prod_Prop!$E:$E=Y$1)),""Check""))=0),"""",IFERROR(unique(filter(Prod_Prop!$H:$H,Prod_Prop!$G:$G=$U950,Prod_Prop!$E:$E=Y$1)),""""))"),"")</f>
        <v/>
      </c>
      <c r="Z950" s="4" t="str">
        <f>IF(Y950="","",SUMIFS(Prod_Prop!$J:$J,Prod_Prop!$B:$B,$Q950,Prod_Prop!$H:$H,Y950,Prod_Prop!$I:$I,Z$1)*IF(Y950="Peso",$R950,1))</f>
        <v/>
      </c>
      <c r="AA950" s="4" t="str">
        <f>IF(Y950="","",SUMIFS(Prod_Prop!$J:$J,Prod_Prop!$B:$B,$Q950,Prod_Prop!$H:$H,Y950,Prod_Prop!$I:$I,AA$1)*IF(Y950="Peso",$R950,1))</f>
        <v/>
      </c>
      <c r="AB950" s="4" t="str">
        <f>IFERROR(__xludf.DUMMYFUNCTION("IF(OR($U950="""",COUNTIF($I:$I,IFERROR(unique(filter(Prod_Prop!$H:$H,Prod_Prop!$G:$G=$U950,Prod_Prop!$E:$E=AB$1)),""Check""))=0),"""",IFERROR(unique(filter(Prod_Prop!$H:$H,Prod_Prop!$G:$G=$U950,Prod_Prop!$E:$E=AB$1)),""""))"),"")</f>
        <v/>
      </c>
      <c r="AC950" s="4" t="str">
        <f>IF(AB950="","",SUMIFS(Prod_Prop!$J:$J,Prod_Prop!$B:$B,$Q950,Prod_Prop!$H:$H,AB950,Prod_Prop!$I:$I,AC$1)*IF(AB950="Peso",$R950,1))</f>
        <v/>
      </c>
      <c r="AD950" s="4" t="str">
        <f>IF(AB950="","",SUMIFS(Prod_Prop!$J:$J,Prod_Prop!$B:$B,$Q950,Prod_Prop!$H:$H,AB950,Prod_Prop!$I:$I,AD$1)*IF(AB950="Peso",$R950,1))</f>
        <v/>
      </c>
    </row>
    <row r="951">
      <c r="A951" s="4" t="str">
        <f t="array" ref="A951">IF(COUNTIF(A$1:A950,Cotizador!F$2)=maxifs(Familias!E:E,Familias!D:D,Cotizador!F$2),IF(COUNTIF(A$1:A950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1" s="4" t="str">
        <f t="shared" si="1"/>
        <v/>
      </c>
      <c r="C951" s="4" t="str">
        <f t="array" ref="C951">IF(B951="","",IF(A951=XLOOKUP(A$2,Implementos!B:B,Implementos!C:C,"",0,1),B951+maxifs(B$1:B950,A$1:A950,A$2),B951))</f>
        <v/>
      </c>
      <c r="D951" s="4" t="str">
        <f>IF(B951="","", COUNTIFS(Productos!F:F,A951,Productos!H:H,B951)+IF(F951="SI",0,1))</f>
        <v/>
      </c>
      <c r="E951" s="4" t="str">
        <f>IFERROR(__xludf.DUMMYFUNCTION("IF($B951="""","""",INDEX(filter(Familias!F:F,Familias!$D:$D=$A951,Familias!$E:$E=$B951),1))"),"")</f>
        <v/>
      </c>
      <c r="F951" s="4" t="str">
        <f>IFERROR(__xludf.DUMMYFUNCTION("IF($B951="""","""",INDEX(filter(Familias!G:G,Familias!$D:$D=$A951,Familias!$E:$E=$B951),1))"),"")</f>
        <v/>
      </c>
      <c r="G951" s="4" t="str">
        <f t="array" ref="G951">IF(C951=1,XLOOKUP(C951,Cotizador!D:D,Cotizador!E:E,"",0,1),"")</f>
        <v/>
      </c>
      <c r="I951" s="4"/>
      <c r="J951" s="8" t="str">
        <f>IF(I951="","",SUMIF(Cotizador!I$1:V$1,I951,Cotizador!I$2:V$2))</f>
        <v/>
      </c>
      <c r="L951" s="4" t="str">
        <f t="array" ref="L951">IF(COUNTIF(L$1:L950,A$2)=SUMIF(A:A,A$2,D:D),IF(COUNTIF(L$1:L950,XLOOKUP(A$2,Implementos!B:B,Implementos!C:C,"",0,1))=SUMIF(A:A,XLOOKUP(A$2,Implementos!B:B,Implementos!C:C,"",0,1),D:D),"",XLOOKUP(A$2,Implementos!B:B,Implementos!C:C,"",0,1)),A$2)</f>
        <v/>
      </c>
      <c r="M951" s="4" t="str">
        <f t="shared" si="2"/>
        <v/>
      </c>
      <c r="N951" s="4" t="str">
        <f t="shared" si="3"/>
        <v/>
      </c>
      <c r="O951" s="4" t="str">
        <f t="shared" si="4"/>
        <v/>
      </c>
      <c r="P951" s="4" t="str">
        <f t="shared" si="5"/>
        <v/>
      </c>
      <c r="Q951" s="4" t="str">
        <f>IF(U951="","",SUMIF(Productos!E:E,U951,Productos!A:A))</f>
        <v/>
      </c>
      <c r="R951" s="4" t="str">
        <f t="array" ref="R951">IF(L951="","", max(1,SUMIF(I:I,XLOOKUP(U951,Productos!E:E,Productos!G:G,"",0,1),J:J)))</f>
        <v/>
      </c>
      <c r="S951" s="4" t="str">
        <f>IF(Q951="","",IF(SUMIFS(Compat_Vetado!D:D,Compat_Vetado!B:B,SUM(G:G),Compat_Vetado!C:C,Q951)=1,"SI",IF(OR(SUMIF(Cotizador!E:E,Q951,Cotizador!G:G)&gt;0,SUMIFS(Compat_Vetado!D:D,Compat_Vetado!B:B,SUM(G:G),Compat_Vetado!C:C,Q951)=-1),"NO","")))</f>
        <v/>
      </c>
      <c r="T951" s="4" t="str">
        <f t="shared" si="6"/>
        <v/>
      </c>
      <c r="U951" s="4" t="str">
        <f>IFERROR(__xludf.DUMMYFUNCTION("IF(P951="""","""",IFERROR(INDEX(filter(Productos!E:E,Productos!F:F=L951,Productos!H:H=N951),P951),IF(M951=SUM(D:D),""Finalizar"",""-"")))"),"")</f>
        <v/>
      </c>
      <c r="V951" s="4" t="str">
        <f>IFERROR(__xludf.DUMMYFUNCTION("IF(OR($U951="""",COUNTIF($I:$I,IFERROR(unique(filter(Prod_Prop!$H:$H,Prod_Prop!$G:$G=$U951,Prod_Prop!$E:$E=V$1)),""Check""))=0),"""",IFERROR(unique(filter(Prod_Prop!$H:$H,Prod_Prop!$G:$G=$U951,Prod_Prop!$E:$E=V$1)),""""))"),"")</f>
        <v/>
      </c>
      <c r="W951" s="4" t="str">
        <f>IF(V951="","",SUMIFS(Prod_Prop!$J:$J,Prod_Prop!$B:$B,$Q951,Prod_Prop!$H:$H,V951,Prod_Prop!$I:$I,W$1)*IF(V951="Peso",$R951,1))</f>
        <v/>
      </c>
      <c r="X951" s="4" t="str">
        <f>IF(V951="","",SUMIFS(Prod_Prop!$J:$J,Prod_Prop!$B:$B,$Q951,Prod_Prop!$H:$H,V951,Prod_Prop!$I:$I,X$1)*IF(V951="Peso",$R951,1))</f>
        <v/>
      </c>
      <c r="Y951" s="4" t="str">
        <f>IFERROR(__xludf.DUMMYFUNCTION("IF(OR($U951="""",COUNTIF($I:$I,IFERROR(unique(filter(Prod_Prop!$H:$H,Prod_Prop!$G:$G=$U951,Prod_Prop!$E:$E=Y$1)),""Check""))=0),"""",IFERROR(unique(filter(Prod_Prop!$H:$H,Prod_Prop!$G:$G=$U951,Prod_Prop!$E:$E=Y$1)),""""))"),"")</f>
        <v/>
      </c>
      <c r="Z951" s="4" t="str">
        <f>IF(Y951="","",SUMIFS(Prod_Prop!$J:$J,Prod_Prop!$B:$B,$Q951,Prod_Prop!$H:$H,Y951,Prod_Prop!$I:$I,Z$1)*IF(Y951="Peso",$R951,1))</f>
        <v/>
      </c>
      <c r="AA951" s="4" t="str">
        <f>IF(Y951="","",SUMIFS(Prod_Prop!$J:$J,Prod_Prop!$B:$B,$Q951,Prod_Prop!$H:$H,Y951,Prod_Prop!$I:$I,AA$1)*IF(Y951="Peso",$R951,1))</f>
        <v/>
      </c>
      <c r="AB951" s="4" t="str">
        <f>IFERROR(__xludf.DUMMYFUNCTION("IF(OR($U951="""",COUNTIF($I:$I,IFERROR(unique(filter(Prod_Prop!$H:$H,Prod_Prop!$G:$G=$U951,Prod_Prop!$E:$E=AB$1)),""Check""))=0),"""",IFERROR(unique(filter(Prod_Prop!$H:$H,Prod_Prop!$G:$G=$U951,Prod_Prop!$E:$E=AB$1)),""""))"),"")</f>
        <v/>
      </c>
      <c r="AC951" s="4" t="str">
        <f>IF(AB951="","",SUMIFS(Prod_Prop!$J:$J,Prod_Prop!$B:$B,$Q951,Prod_Prop!$H:$H,AB951,Prod_Prop!$I:$I,AC$1)*IF(AB951="Peso",$R951,1))</f>
        <v/>
      </c>
      <c r="AD951" s="4" t="str">
        <f>IF(AB951="","",SUMIFS(Prod_Prop!$J:$J,Prod_Prop!$B:$B,$Q951,Prod_Prop!$H:$H,AB951,Prod_Prop!$I:$I,AD$1)*IF(AB951="Peso",$R951,1))</f>
        <v/>
      </c>
    </row>
    <row r="952">
      <c r="A952" s="4" t="str">
        <f t="array" ref="A952">IF(COUNTIF(A$1:A951,Cotizador!F$2)=maxifs(Familias!E:E,Familias!D:D,Cotizador!F$2),IF(COUNTIF(A$1:A951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2" s="4" t="str">
        <f t="shared" si="1"/>
        <v/>
      </c>
      <c r="C952" s="4" t="str">
        <f t="array" ref="C952">IF(B952="","",IF(A952=XLOOKUP(A$2,Implementos!B:B,Implementos!C:C,"",0,1),B952+maxifs(B$1:B951,A$1:A951,A$2),B952))</f>
        <v/>
      </c>
      <c r="D952" s="4" t="str">
        <f>IF(B952="","", COUNTIFS(Productos!F:F,A952,Productos!H:H,B952)+IF(F952="SI",0,1))</f>
        <v/>
      </c>
      <c r="E952" s="4" t="str">
        <f>IFERROR(__xludf.DUMMYFUNCTION("IF($B952="""","""",INDEX(filter(Familias!F:F,Familias!$D:$D=$A952,Familias!$E:$E=$B952),1))"),"")</f>
        <v/>
      </c>
      <c r="F952" s="4" t="str">
        <f>IFERROR(__xludf.DUMMYFUNCTION("IF($B952="""","""",INDEX(filter(Familias!G:G,Familias!$D:$D=$A952,Familias!$E:$E=$B952),1))"),"")</f>
        <v/>
      </c>
      <c r="G952" s="4" t="str">
        <f t="array" ref="G952">IF(C952=1,XLOOKUP(C952,Cotizador!D:D,Cotizador!E:E,"",0,1),"")</f>
        <v/>
      </c>
      <c r="I952" s="4"/>
      <c r="J952" s="8" t="str">
        <f>IF(I952="","",SUMIF(Cotizador!I$1:V$1,I952,Cotizador!I$2:V$2))</f>
        <v/>
      </c>
      <c r="L952" s="4" t="str">
        <f t="array" ref="L952">IF(COUNTIF(L$1:L951,A$2)=SUMIF(A:A,A$2,D:D),IF(COUNTIF(L$1:L951,XLOOKUP(A$2,Implementos!B:B,Implementos!C:C,"",0,1))=SUMIF(A:A,XLOOKUP(A$2,Implementos!B:B,Implementos!C:C,"",0,1),D:D),"",XLOOKUP(A$2,Implementos!B:B,Implementos!C:C,"",0,1)),A$2)</f>
        <v/>
      </c>
      <c r="M952" s="4" t="str">
        <f t="shared" si="2"/>
        <v/>
      </c>
      <c r="N952" s="4" t="str">
        <f t="shared" si="3"/>
        <v/>
      </c>
      <c r="O952" s="4" t="str">
        <f t="shared" si="4"/>
        <v/>
      </c>
      <c r="P952" s="4" t="str">
        <f t="shared" si="5"/>
        <v/>
      </c>
      <c r="Q952" s="4" t="str">
        <f>IF(U952="","",SUMIF(Productos!E:E,U952,Productos!A:A))</f>
        <v/>
      </c>
      <c r="R952" s="4" t="str">
        <f t="array" ref="R952">IF(L952="","", max(1,SUMIF(I:I,XLOOKUP(U952,Productos!E:E,Productos!G:G,"",0,1),J:J)))</f>
        <v/>
      </c>
      <c r="S952" s="4" t="str">
        <f>IF(Q952="","",IF(SUMIFS(Compat_Vetado!D:D,Compat_Vetado!B:B,SUM(G:G),Compat_Vetado!C:C,Q952)=1,"SI",IF(OR(SUMIF(Cotizador!E:E,Q952,Cotizador!G:G)&gt;0,SUMIFS(Compat_Vetado!D:D,Compat_Vetado!B:B,SUM(G:G),Compat_Vetado!C:C,Q952)=-1),"NO","")))</f>
        <v/>
      </c>
      <c r="T952" s="4" t="str">
        <f t="shared" si="6"/>
        <v/>
      </c>
      <c r="U952" s="4" t="str">
        <f>IFERROR(__xludf.DUMMYFUNCTION("IF(P952="""","""",IFERROR(INDEX(filter(Productos!E:E,Productos!F:F=L952,Productos!H:H=N952),P952),IF(M952=SUM(D:D),""Finalizar"",""-"")))"),"")</f>
        <v/>
      </c>
      <c r="V952" s="4" t="str">
        <f>IFERROR(__xludf.DUMMYFUNCTION("IF(OR($U952="""",COUNTIF($I:$I,IFERROR(unique(filter(Prod_Prop!$H:$H,Prod_Prop!$G:$G=$U952,Prod_Prop!$E:$E=V$1)),""Check""))=0),"""",IFERROR(unique(filter(Prod_Prop!$H:$H,Prod_Prop!$G:$G=$U952,Prod_Prop!$E:$E=V$1)),""""))"),"")</f>
        <v/>
      </c>
      <c r="W952" s="4" t="str">
        <f>IF(V952="","",SUMIFS(Prod_Prop!$J:$J,Prod_Prop!$B:$B,$Q952,Prod_Prop!$H:$H,V952,Prod_Prop!$I:$I,W$1)*IF(V952="Peso",$R952,1))</f>
        <v/>
      </c>
      <c r="X952" s="4" t="str">
        <f>IF(V952="","",SUMIFS(Prod_Prop!$J:$J,Prod_Prop!$B:$B,$Q952,Prod_Prop!$H:$H,V952,Prod_Prop!$I:$I,X$1)*IF(V952="Peso",$R952,1))</f>
        <v/>
      </c>
      <c r="Y952" s="4" t="str">
        <f>IFERROR(__xludf.DUMMYFUNCTION("IF(OR($U952="""",COUNTIF($I:$I,IFERROR(unique(filter(Prod_Prop!$H:$H,Prod_Prop!$G:$G=$U952,Prod_Prop!$E:$E=Y$1)),""Check""))=0),"""",IFERROR(unique(filter(Prod_Prop!$H:$H,Prod_Prop!$G:$G=$U952,Prod_Prop!$E:$E=Y$1)),""""))"),"")</f>
        <v/>
      </c>
      <c r="Z952" s="4" t="str">
        <f>IF(Y952="","",SUMIFS(Prod_Prop!$J:$J,Prod_Prop!$B:$B,$Q952,Prod_Prop!$H:$H,Y952,Prod_Prop!$I:$I,Z$1)*IF(Y952="Peso",$R952,1))</f>
        <v/>
      </c>
      <c r="AA952" s="4" t="str">
        <f>IF(Y952="","",SUMIFS(Prod_Prop!$J:$J,Prod_Prop!$B:$B,$Q952,Prod_Prop!$H:$H,Y952,Prod_Prop!$I:$I,AA$1)*IF(Y952="Peso",$R952,1))</f>
        <v/>
      </c>
      <c r="AB952" s="4" t="str">
        <f>IFERROR(__xludf.DUMMYFUNCTION("IF(OR($U952="""",COUNTIF($I:$I,IFERROR(unique(filter(Prod_Prop!$H:$H,Prod_Prop!$G:$G=$U952,Prod_Prop!$E:$E=AB$1)),""Check""))=0),"""",IFERROR(unique(filter(Prod_Prop!$H:$H,Prod_Prop!$G:$G=$U952,Prod_Prop!$E:$E=AB$1)),""""))"),"")</f>
        <v/>
      </c>
      <c r="AC952" s="4" t="str">
        <f>IF(AB952="","",SUMIFS(Prod_Prop!$J:$J,Prod_Prop!$B:$B,$Q952,Prod_Prop!$H:$H,AB952,Prod_Prop!$I:$I,AC$1)*IF(AB952="Peso",$R952,1))</f>
        <v/>
      </c>
      <c r="AD952" s="4" t="str">
        <f>IF(AB952="","",SUMIFS(Prod_Prop!$J:$J,Prod_Prop!$B:$B,$Q952,Prod_Prop!$H:$H,AB952,Prod_Prop!$I:$I,AD$1)*IF(AB952="Peso",$R952,1))</f>
        <v/>
      </c>
    </row>
    <row r="953">
      <c r="A953" s="4" t="str">
        <f t="array" ref="A953">IF(COUNTIF(A$1:A952,Cotizador!F$2)=maxifs(Familias!E:E,Familias!D:D,Cotizador!F$2),IF(COUNTIF(A$1:A952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3" s="4" t="str">
        <f t="shared" si="1"/>
        <v/>
      </c>
      <c r="C953" s="4" t="str">
        <f t="array" ref="C953">IF(B953="","",IF(A953=XLOOKUP(A$2,Implementos!B:B,Implementos!C:C,"",0,1),B953+maxifs(B$1:B952,A$1:A952,A$2),B953))</f>
        <v/>
      </c>
      <c r="D953" s="4" t="str">
        <f>IF(B953="","", COUNTIFS(Productos!F:F,A953,Productos!H:H,B953)+IF(F953="SI",0,1))</f>
        <v/>
      </c>
      <c r="E953" s="4" t="str">
        <f>IFERROR(__xludf.DUMMYFUNCTION("IF($B953="""","""",INDEX(filter(Familias!F:F,Familias!$D:$D=$A953,Familias!$E:$E=$B953),1))"),"")</f>
        <v/>
      </c>
      <c r="F953" s="4" t="str">
        <f>IFERROR(__xludf.DUMMYFUNCTION("IF($B953="""","""",INDEX(filter(Familias!G:G,Familias!$D:$D=$A953,Familias!$E:$E=$B953),1))"),"")</f>
        <v/>
      </c>
      <c r="G953" s="4" t="str">
        <f t="array" ref="G953">IF(C953=1,XLOOKUP(C953,Cotizador!D:D,Cotizador!E:E,"",0,1),"")</f>
        <v/>
      </c>
      <c r="I953" s="4"/>
      <c r="J953" s="8" t="str">
        <f>IF(I953="","",SUMIF(Cotizador!I$1:V$1,I953,Cotizador!I$2:V$2))</f>
        <v/>
      </c>
      <c r="L953" s="4" t="str">
        <f t="array" ref="L953">IF(COUNTIF(L$1:L952,A$2)=SUMIF(A:A,A$2,D:D),IF(COUNTIF(L$1:L952,XLOOKUP(A$2,Implementos!B:B,Implementos!C:C,"",0,1))=SUMIF(A:A,XLOOKUP(A$2,Implementos!B:B,Implementos!C:C,"",0,1),D:D),"",XLOOKUP(A$2,Implementos!B:B,Implementos!C:C,"",0,1)),A$2)</f>
        <v/>
      </c>
      <c r="M953" s="4" t="str">
        <f t="shared" si="2"/>
        <v/>
      </c>
      <c r="N953" s="4" t="str">
        <f t="shared" si="3"/>
        <v/>
      </c>
      <c r="O953" s="4" t="str">
        <f t="shared" si="4"/>
        <v/>
      </c>
      <c r="P953" s="4" t="str">
        <f t="shared" si="5"/>
        <v/>
      </c>
      <c r="Q953" s="4" t="str">
        <f>IF(U953="","",SUMIF(Productos!E:E,U953,Productos!A:A))</f>
        <v/>
      </c>
      <c r="R953" s="4" t="str">
        <f t="array" ref="R953">IF(L953="","", max(1,SUMIF(I:I,XLOOKUP(U953,Productos!E:E,Productos!G:G,"",0,1),J:J)))</f>
        <v/>
      </c>
      <c r="S953" s="4" t="str">
        <f>IF(Q953="","",IF(SUMIFS(Compat_Vetado!D:D,Compat_Vetado!B:B,SUM(G:G),Compat_Vetado!C:C,Q953)=1,"SI",IF(OR(SUMIF(Cotizador!E:E,Q953,Cotizador!G:G)&gt;0,SUMIFS(Compat_Vetado!D:D,Compat_Vetado!B:B,SUM(G:G),Compat_Vetado!C:C,Q953)=-1),"NO","")))</f>
        <v/>
      </c>
      <c r="T953" s="4" t="str">
        <f t="shared" si="6"/>
        <v/>
      </c>
      <c r="U953" s="4" t="str">
        <f>IFERROR(__xludf.DUMMYFUNCTION("IF(P953="""","""",IFERROR(INDEX(filter(Productos!E:E,Productos!F:F=L953,Productos!H:H=N953),P953),IF(M953=SUM(D:D),""Finalizar"",""-"")))"),"")</f>
        <v/>
      </c>
      <c r="V953" s="4" t="str">
        <f>IFERROR(__xludf.DUMMYFUNCTION("IF(OR($U953="""",COUNTIF($I:$I,IFERROR(unique(filter(Prod_Prop!$H:$H,Prod_Prop!$G:$G=$U953,Prod_Prop!$E:$E=V$1)),""Check""))=0),"""",IFERROR(unique(filter(Prod_Prop!$H:$H,Prod_Prop!$G:$G=$U953,Prod_Prop!$E:$E=V$1)),""""))"),"")</f>
        <v/>
      </c>
      <c r="W953" s="4" t="str">
        <f>IF(V953="","",SUMIFS(Prod_Prop!$J:$J,Prod_Prop!$B:$B,$Q953,Prod_Prop!$H:$H,V953,Prod_Prop!$I:$I,W$1)*IF(V953="Peso",$R953,1))</f>
        <v/>
      </c>
      <c r="X953" s="4" t="str">
        <f>IF(V953="","",SUMIFS(Prod_Prop!$J:$J,Prod_Prop!$B:$B,$Q953,Prod_Prop!$H:$H,V953,Prod_Prop!$I:$I,X$1)*IF(V953="Peso",$R953,1))</f>
        <v/>
      </c>
      <c r="Y953" s="4" t="str">
        <f>IFERROR(__xludf.DUMMYFUNCTION("IF(OR($U953="""",COUNTIF($I:$I,IFERROR(unique(filter(Prod_Prop!$H:$H,Prod_Prop!$G:$G=$U953,Prod_Prop!$E:$E=Y$1)),""Check""))=0),"""",IFERROR(unique(filter(Prod_Prop!$H:$H,Prod_Prop!$G:$G=$U953,Prod_Prop!$E:$E=Y$1)),""""))"),"")</f>
        <v/>
      </c>
      <c r="Z953" s="4" t="str">
        <f>IF(Y953="","",SUMIFS(Prod_Prop!$J:$J,Prod_Prop!$B:$B,$Q953,Prod_Prop!$H:$H,Y953,Prod_Prop!$I:$I,Z$1)*IF(Y953="Peso",$R953,1))</f>
        <v/>
      </c>
      <c r="AA953" s="4" t="str">
        <f>IF(Y953="","",SUMIFS(Prod_Prop!$J:$J,Prod_Prop!$B:$B,$Q953,Prod_Prop!$H:$H,Y953,Prod_Prop!$I:$I,AA$1)*IF(Y953="Peso",$R953,1))</f>
        <v/>
      </c>
      <c r="AB953" s="4" t="str">
        <f>IFERROR(__xludf.DUMMYFUNCTION("IF(OR($U953="""",COUNTIF($I:$I,IFERROR(unique(filter(Prod_Prop!$H:$H,Prod_Prop!$G:$G=$U953,Prod_Prop!$E:$E=AB$1)),""Check""))=0),"""",IFERROR(unique(filter(Prod_Prop!$H:$H,Prod_Prop!$G:$G=$U953,Prod_Prop!$E:$E=AB$1)),""""))"),"")</f>
        <v/>
      </c>
      <c r="AC953" s="4" t="str">
        <f>IF(AB953="","",SUMIFS(Prod_Prop!$J:$J,Prod_Prop!$B:$B,$Q953,Prod_Prop!$H:$H,AB953,Prod_Prop!$I:$I,AC$1)*IF(AB953="Peso",$R953,1))</f>
        <v/>
      </c>
      <c r="AD953" s="4" t="str">
        <f>IF(AB953="","",SUMIFS(Prod_Prop!$J:$J,Prod_Prop!$B:$B,$Q953,Prod_Prop!$H:$H,AB953,Prod_Prop!$I:$I,AD$1)*IF(AB953="Peso",$R953,1))</f>
        <v/>
      </c>
    </row>
    <row r="954">
      <c r="A954" s="4" t="str">
        <f t="array" ref="A954">IF(COUNTIF(A$1:A953,Cotizador!F$2)=maxifs(Familias!E:E,Familias!D:D,Cotizador!F$2),IF(COUNTIF(A$1:A953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4" s="4" t="str">
        <f t="shared" si="1"/>
        <v/>
      </c>
      <c r="C954" s="4" t="str">
        <f t="array" ref="C954">IF(B954="","",IF(A954=XLOOKUP(A$2,Implementos!B:B,Implementos!C:C,"",0,1),B954+maxifs(B$1:B953,A$1:A953,A$2),B954))</f>
        <v/>
      </c>
      <c r="D954" s="4" t="str">
        <f>IF(B954="","", COUNTIFS(Productos!F:F,A954,Productos!H:H,B954)+IF(F954="SI",0,1))</f>
        <v/>
      </c>
      <c r="E954" s="4" t="str">
        <f>IFERROR(__xludf.DUMMYFUNCTION("IF($B954="""","""",INDEX(filter(Familias!F:F,Familias!$D:$D=$A954,Familias!$E:$E=$B954),1))"),"")</f>
        <v/>
      </c>
      <c r="F954" s="4" t="str">
        <f>IFERROR(__xludf.DUMMYFUNCTION("IF($B954="""","""",INDEX(filter(Familias!G:G,Familias!$D:$D=$A954,Familias!$E:$E=$B954),1))"),"")</f>
        <v/>
      </c>
      <c r="G954" s="4" t="str">
        <f t="array" ref="G954">IF(C954=1,XLOOKUP(C954,Cotizador!D:D,Cotizador!E:E,"",0,1),"")</f>
        <v/>
      </c>
      <c r="I954" s="4"/>
      <c r="J954" s="8" t="str">
        <f>IF(I954="","",SUMIF(Cotizador!I$1:V$1,I954,Cotizador!I$2:V$2))</f>
        <v/>
      </c>
      <c r="L954" s="4" t="str">
        <f t="array" ref="L954">IF(COUNTIF(L$1:L953,A$2)=SUMIF(A:A,A$2,D:D),IF(COUNTIF(L$1:L953,XLOOKUP(A$2,Implementos!B:B,Implementos!C:C,"",0,1))=SUMIF(A:A,XLOOKUP(A$2,Implementos!B:B,Implementos!C:C,"",0,1),D:D),"",XLOOKUP(A$2,Implementos!B:B,Implementos!C:C,"",0,1)),A$2)</f>
        <v/>
      </c>
      <c r="M954" s="4" t="str">
        <f t="shared" si="2"/>
        <v/>
      </c>
      <c r="N954" s="4" t="str">
        <f t="shared" si="3"/>
        <v/>
      </c>
      <c r="O954" s="4" t="str">
        <f t="shared" si="4"/>
        <v/>
      </c>
      <c r="P954" s="4" t="str">
        <f t="shared" si="5"/>
        <v/>
      </c>
      <c r="Q954" s="4" t="str">
        <f>IF(U954="","",SUMIF(Productos!E:E,U954,Productos!A:A))</f>
        <v/>
      </c>
      <c r="R954" s="4" t="str">
        <f t="array" ref="R954">IF(L954="","", max(1,SUMIF(I:I,XLOOKUP(U954,Productos!E:E,Productos!G:G,"",0,1),J:J)))</f>
        <v/>
      </c>
      <c r="S954" s="4" t="str">
        <f>IF(Q954="","",IF(SUMIFS(Compat_Vetado!D:D,Compat_Vetado!B:B,SUM(G:G),Compat_Vetado!C:C,Q954)=1,"SI",IF(OR(SUMIF(Cotizador!E:E,Q954,Cotizador!G:G)&gt;0,SUMIFS(Compat_Vetado!D:D,Compat_Vetado!B:B,SUM(G:G),Compat_Vetado!C:C,Q954)=-1),"NO","")))</f>
        <v/>
      </c>
      <c r="T954" s="4" t="str">
        <f t="shared" si="6"/>
        <v/>
      </c>
      <c r="U954" s="4" t="str">
        <f>IFERROR(__xludf.DUMMYFUNCTION("IF(P954="""","""",IFERROR(INDEX(filter(Productos!E:E,Productos!F:F=L954,Productos!H:H=N954),P954),IF(M954=SUM(D:D),""Finalizar"",""-"")))"),"")</f>
        <v/>
      </c>
      <c r="V954" s="4" t="str">
        <f>IFERROR(__xludf.DUMMYFUNCTION("IF(OR($U954="""",COUNTIF($I:$I,IFERROR(unique(filter(Prod_Prop!$H:$H,Prod_Prop!$G:$G=$U954,Prod_Prop!$E:$E=V$1)),""Check""))=0),"""",IFERROR(unique(filter(Prod_Prop!$H:$H,Prod_Prop!$G:$G=$U954,Prod_Prop!$E:$E=V$1)),""""))"),"")</f>
        <v/>
      </c>
      <c r="W954" s="4" t="str">
        <f>IF(V954="","",SUMIFS(Prod_Prop!$J:$J,Prod_Prop!$B:$B,$Q954,Prod_Prop!$H:$H,V954,Prod_Prop!$I:$I,W$1)*IF(V954="Peso",$R954,1))</f>
        <v/>
      </c>
      <c r="X954" s="4" t="str">
        <f>IF(V954="","",SUMIFS(Prod_Prop!$J:$J,Prod_Prop!$B:$B,$Q954,Prod_Prop!$H:$H,V954,Prod_Prop!$I:$I,X$1)*IF(V954="Peso",$R954,1))</f>
        <v/>
      </c>
      <c r="Y954" s="4" t="str">
        <f>IFERROR(__xludf.DUMMYFUNCTION("IF(OR($U954="""",COUNTIF($I:$I,IFERROR(unique(filter(Prod_Prop!$H:$H,Prod_Prop!$G:$G=$U954,Prod_Prop!$E:$E=Y$1)),""Check""))=0),"""",IFERROR(unique(filter(Prod_Prop!$H:$H,Prod_Prop!$G:$G=$U954,Prod_Prop!$E:$E=Y$1)),""""))"),"")</f>
        <v/>
      </c>
      <c r="Z954" s="4" t="str">
        <f>IF(Y954="","",SUMIFS(Prod_Prop!$J:$J,Prod_Prop!$B:$B,$Q954,Prod_Prop!$H:$H,Y954,Prod_Prop!$I:$I,Z$1)*IF(Y954="Peso",$R954,1))</f>
        <v/>
      </c>
      <c r="AA954" s="4" t="str">
        <f>IF(Y954="","",SUMIFS(Prod_Prop!$J:$J,Prod_Prop!$B:$B,$Q954,Prod_Prop!$H:$H,Y954,Prod_Prop!$I:$I,AA$1)*IF(Y954="Peso",$R954,1))</f>
        <v/>
      </c>
      <c r="AB954" s="4" t="str">
        <f>IFERROR(__xludf.DUMMYFUNCTION("IF(OR($U954="""",COUNTIF($I:$I,IFERROR(unique(filter(Prod_Prop!$H:$H,Prod_Prop!$G:$G=$U954,Prod_Prop!$E:$E=AB$1)),""Check""))=0),"""",IFERROR(unique(filter(Prod_Prop!$H:$H,Prod_Prop!$G:$G=$U954,Prod_Prop!$E:$E=AB$1)),""""))"),"")</f>
        <v/>
      </c>
      <c r="AC954" s="4" t="str">
        <f>IF(AB954="","",SUMIFS(Prod_Prop!$J:$J,Prod_Prop!$B:$B,$Q954,Prod_Prop!$H:$H,AB954,Prod_Prop!$I:$I,AC$1)*IF(AB954="Peso",$R954,1))</f>
        <v/>
      </c>
      <c r="AD954" s="4" t="str">
        <f>IF(AB954="","",SUMIFS(Prod_Prop!$J:$J,Prod_Prop!$B:$B,$Q954,Prod_Prop!$H:$H,AB954,Prod_Prop!$I:$I,AD$1)*IF(AB954="Peso",$R954,1))</f>
        <v/>
      </c>
    </row>
    <row r="955">
      <c r="A955" s="4" t="str">
        <f t="array" ref="A955">IF(COUNTIF(A$1:A954,Cotizador!F$2)=maxifs(Familias!E:E,Familias!D:D,Cotizador!F$2),IF(COUNTIF(A$1:A954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5" s="4" t="str">
        <f t="shared" si="1"/>
        <v/>
      </c>
      <c r="C955" s="4" t="str">
        <f t="array" ref="C955">IF(B955="","",IF(A955=XLOOKUP(A$2,Implementos!B:B,Implementos!C:C,"",0,1),B955+maxifs(B$1:B954,A$1:A954,A$2),B955))</f>
        <v/>
      </c>
      <c r="D955" s="4" t="str">
        <f>IF(B955="","", COUNTIFS(Productos!F:F,A955,Productos!H:H,B955)+IF(F955="SI",0,1))</f>
        <v/>
      </c>
      <c r="E955" s="4" t="str">
        <f>IFERROR(__xludf.DUMMYFUNCTION("IF($B955="""","""",INDEX(filter(Familias!F:F,Familias!$D:$D=$A955,Familias!$E:$E=$B955),1))"),"")</f>
        <v/>
      </c>
      <c r="F955" s="4" t="str">
        <f>IFERROR(__xludf.DUMMYFUNCTION("IF($B955="""","""",INDEX(filter(Familias!G:G,Familias!$D:$D=$A955,Familias!$E:$E=$B955),1))"),"")</f>
        <v/>
      </c>
      <c r="G955" s="4" t="str">
        <f t="array" ref="G955">IF(C955=1,XLOOKUP(C955,Cotizador!D:D,Cotizador!E:E,"",0,1),"")</f>
        <v/>
      </c>
      <c r="I955" s="4"/>
      <c r="J955" s="8" t="str">
        <f>IF(I955="","",SUMIF(Cotizador!I$1:V$1,I955,Cotizador!I$2:V$2))</f>
        <v/>
      </c>
      <c r="L955" s="4" t="str">
        <f t="array" ref="L955">IF(COUNTIF(L$1:L954,A$2)=SUMIF(A:A,A$2,D:D),IF(COUNTIF(L$1:L954,XLOOKUP(A$2,Implementos!B:B,Implementos!C:C,"",0,1))=SUMIF(A:A,XLOOKUP(A$2,Implementos!B:B,Implementos!C:C,"",0,1),D:D),"",XLOOKUP(A$2,Implementos!B:B,Implementos!C:C,"",0,1)),A$2)</f>
        <v/>
      </c>
      <c r="M955" s="4" t="str">
        <f t="shared" si="2"/>
        <v/>
      </c>
      <c r="N955" s="4" t="str">
        <f t="shared" si="3"/>
        <v/>
      </c>
      <c r="O955" s="4" t="str">
        <f t="shared" si="4"/>
        <v/>
      </c>
      <c r="P955" s="4" t="str">
        <f t="shared" si="5"/>
        <v/>
      </c>
      <c r="Q955" s="4" t="str">
        <f>IF(U955="","",SUMIF(Productos!E:E,U955,Productos!A:A))</f>
        <v/>
      </c>
      <c r="R955" s="4" t="str">
        <f t="array" ref="R955">IF(L955="","", max(1,SUMIF(I:I,XLOOKUP(U955,Productos!E:E,Productos!G:G,"",0,1),J:J)))</f>
        <v/>
      </c>
      <c r="S955" s="4" t="str">
        <f>IF(Q955="","",IF(SUMIFS(Compat_Vetado!D:D,Compat_Vetado!B:B,SUM(G:G),Compat_Vetado!C:C,Q955)=1,"SI",IF(OR(SUMIF(Cotizador!E:E,Q955,Cotizador!G:G)&gt;0,SUMIFS(Compat_Vetado!D:D,Compat_Vetado!B:B,SUM(G:G),Compat_Vetado!C:C,Q955)=-1),"NO","")))</f>
        <v/>
      </c>
      <c r="T955" s="4" t="str">
        <f t="shared" si="6"/>
        <v/>
      </c>
      <c r="U955" s="4" t="str">
        <f>IFERROR(__xludf.DUMMYFUNCTION("IF(P955="""","""",IFERROR(INDEX(filter(Productos!E:E,Productos!F:F=L955,Productos!H:H=N955),P955),IF(M955=SUM(D:D),""Finalizar"",""-"")))"),"")</f>
        <v/>
      </c>
      <c r="V955" s="4" t="str">
        <f>IFERROR(__xludf.DUMMYFUNCTION("IF(OR($U955="""",COUNTIF($I:$I,IFERROR(unique(filter(Prod_Prop!$H:$H,Prod_Prop!$G:$G=$U955,Prod_Prop!$E:$E=V$1)),""Check""))=0),"""",IFERROR(unique(filter(Prod_Prop!$H:$H,Prod_Prop!$G:$G=$U955,Prod_Prop!$E:$E=V$1)),""""))"),"")</f>
        <v/>
      </c>
      <c r="W955" s="4" t="str">
        <f>IF(V955="","",SUMIFS(Prod_Prop!$J:$J,Prod_Prop!$B:$B,$Q955,Prod_Prop!$H:$H,V955,Prod_Prop!$I:$I,W$1)*IF(V955="Peso",$R955,1))</f>
        <v/>
      </c>
      <c r="X955" s="4" t="str">
        <f>IF(V955="","",SUMIFS(Prod_Prop!$J:$J,Prod_Prop!$B:$B,$Q955,Prod_Prop!$H:$H,V955,Prod_Prop!$I:$I,X$1)*IF(V955="Peso",$R955,1))</f>
        <v/>
      </c>
      <c r="Y955" s="4" t="str">
        <f>IFERROR(__xludf.DUMMYFUNCTION("IF(OR($U955="""",COUNTIF($I:$I,IFERROR(unique(filter(Prod_Prop!$H:$H,Prod_Prop!$G:$G=$U955,Prod_Prop!$E:$E=Y$1)),""Check""))=0),"""",IFERROR(unique(filter(Prod_Prop!$H:$H,Prod_Prop!$G:$G=$U955,Prod_Prop!$E:$E=Y$1)),""""))"),"")</f>
        <v/>
      </c>
      <c r="Z955" s="4" t="str">
        <f>IF(Y955="","",SUMIFS(Prod_Prop!$J:$J,Prod_Prop!$B:$B,$Q955,Prod_Prop!$H:$H,Y955,Prod_Prop!$I:$I,Z$1)*IF(Y955="Peso",$R955,1))</f>
        <v/>
      </c>
      <c r="AA955" s="4" t="str">
        <f>IF(Y955="","",SUMIFS(Prod_Prop!$J:$J,Prod_Prop!$B:$B,$Q955,Prod_Prop!$H:$H,Y955,Prod_Prop!$I:$I,AA$1)*IF(Y955="Peso",$R955,1))</f>
        <v/>
      </c>
      <c r="AB955" s="4" t="str">
        <f>IFERROR(__xludf.DUMMYFUNCTION("IF(OR($U955="""",COUNTIF($I:$I,IFERROR(unique(filter(Prod_Prop!$H:$H,Prod_Prop!$G:$G=$U955,Prod_Prop!$E:$E=AB$1)),""Check""))=0),"""",IFERROR(unique(filter(Prod_Prop!$H:$H,Prod_Prop!$G:$G=$U955,Prod_Prop!$E:$E=AB$1)),""""))"),"")</f>
        <v/>
      </c>
      <c r="AC955" s="4" t="str">
        <f>IF(AB955="","",SUMIFS(Prod_Prop!$J:$J,Prod_Prop!$B:$B,$Q955,Prod_Prop!$H:$H,AB955,Prod_Prop!$I:$I,AC$1)*IF(AB955="Peso",$R955,1))</f>
        <v/>
      </c>
      <c r="AD955" s="4" t="str">
        <f>IF(AB955="","",SUMIFS(Prod_Prop!$J:$J,Prod_Prop!$B:$B,$Q955,Prod_Prop!$H:$H,AB955,Prod_Prop!$I:$I,AD$1)*IF(AB955="Peso",$R955,1))</f>
        <v/>
      </c>
    </row>
    <row r="956">
      <c r="A956" s="4" t="str">
        <f t="array" ref="A956">IF(COUNTIF(A$1:A955,Cotizador!F$2)=maxifs(Familias!E:E,Familias!D:D,Cotizador!F$2),IF(COUNTIF(A$1:A955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6" s="4" t="str">
        <f t="shared" si="1"/>
        <v/>
      </c>
      <c r="C956" s="4" t="str">
        <f t="array" ref="C956">IF(B956="","",IF(A956=XLOOKUP(A$2,Implementos!B:B,Implementos!C:C,"",0,1),B956+maxifs(B$1:B955,A$1:A955,A$2),B956))</f>
        <v/>
      </c>
      <c r="D956" s="4" t="str">
        <f>IF(B956="","", COUNTIFS(Productos!F:F,A956,Productos!H:H,B956)+IF(F956="SI",0,1))</f>
        <v/>
      </c>
      <c r="E956" s="4" t="str">
        <f>IFERROR(__xludf.DUMMYFUNCTION("IF($B956="""","""",INDEX(filter(Familias!F:F,Familias!$D:$D=$A956,Familias!$E:$E=$B956),1))"),"")</f>
        <v/>
      </c>
      <c r="F956" s="4" t="str">
        <f>IFERROR(__xludf.DUMMYFUNCTION("IF($B956="""","""",INDEX(filter(Familias!G:G,Familias!$D:$D=$A956,Familias!$E:$E=$B956),1))"),"")</f>
        <v/>
      </c>
      <c r="G956" s="4" t="str">
        <f t="array" ref="G956">IF(C956=1,XLOOKUP(C956,Cotizador!D:D,Cotizador!E:E,"",0,1),"")</f>
        <v/>
      </c>
      <c r="I956" s="4"/>
      <c r="J956" s="8" t="str">
        <f>IF(I956="","",SUMIF(Cotizador!I$1:V$1,I956,Cotizador!I$2:V$2))</f>
        <v/>
      </c>
      <c r="L956" s="4" t="str">
        <f t="array" ref="L956">IF(COUNTIF(L$1:L955,A$2)=SUMIF(A:A,A$2,D:D),IF(COUNTIF(L$1:L955,XLOOKUP(A$2,Implementos!B:B,Implementos!C:C,"",0,1))=SUMIF(A:A,XLOOKUP(A$2,Implementos!B:B,Implementos!C:C,"",0,1),D:D),"",XLOOKUP(A$2,Implementos!B:B,Implementos!C:C,"",0,1)),A$2)</f>
        <v/>
      </c>
      <c r="M956" s="4" t="str">
        <f t="shared" si="2"/>
        <v/>
      </c>
      <c r="N956" s="4" t="str">
        <f t="shared" si="3"/>
        <v/>
      </c>
      <c r="O956" s="4" t="str">
        <f t="shared" si="4"/>
        <v/>
      </c>
      <c r="P956" s="4" t="str">
        <f t="shared" si="5"/>
        <v/>
      </c>
      <c r="Q956" s="4" t="str">
        <f>IF(U956="","",SUMIF(Productos!E:E,U956,Productos!A:A))</f>
        <v/>
      </c>
      <c r="R956" s="4" t="str">
        <f t="array" ref="R956">IF(L956="","", max(1,SUMIF(I:I,XLOOKUP(U956,Productos!E:E,Productos!G:G,"",0,1),J:J)))</f>
        <v/>
      </c>
      <c r="S956" s="4" t="str">
        <f>IF(Q956="","",IF(SUMIFS(Compat_Vetado!D:D,Compat_Vetado!B:B,SUM(G:G),Compat_Vetado!C:C,Q956)=1,"SI",IF(OR(SUMIF(Cotizador!E:E,Q956,Cotizador!G:G)&gt;0,SUMIFS(Compat_Vetado!D:D,Compat_Vetado!B:B,SUM(G:G),Compat_Vetado!C:C,Q956)=-1),"NO","")))</f>
        <v/>
      </c>
      <c r="T956" s="4" t="str">
        <f t="shared" si="6"/>
        <v/>
      </c>
      <c r="U956" s="4" t="str">
        <f>IFERROR(__xludf.DUMMYFUNCTION("IF(P956="""","""",IFERROR(INDEX(filter(Productos!E:E,Productos!F:F=L956,Productos!H:H=N956),P956),IF(M956=SUM(D:D),""Finalizar"",""-"")))"),"")</f>
        <v/>
      </c>
      <c r="V956" s="4" t="str">
        <f>IFERROR(__xludf.DUMMYFUNCTION("IF(OR($U956="""",COUNTIF($I:$I,IFERROR(unique(filter(Prod_Prop!$H:$H,Prod_Prop!$G:$G=$U956,Prod_Prop!$E:$E=V$1)),""Check""))=0),"""",IFERROR(unique(filter(Prod_Prop!$H:$H,Prod_Prop!$G:$G=$U956,Prod_Prop!$E:$E=V$1)),""""))"),"")</f>
        <v/>
      </c>
      <c r="W956" s="4" t="str">
        <f>IF(V956="","",SUMIFS(Prod_Prop!$J:$J,Prod_Prop!$B:$B,$Q956,Prod_Prop!$H:$H,V956,Prod_Prop!$I:$I,W$1)*IF(V956="Peso",$R956,1))</f>
        <v/>
      </c>
      <c r="X956" s="4" t="str">
        <f>IF(V956="","",SUMIFS(Prod_Prop!$J:$J,Prod_Prop!$B:$B,$Q956,Prod_Prop!$H:$H,V956,Prod_Prop!$I:$I,X$1)*IF(V956="Peso",$R956,1))</f>
        <v/>
      </c>
      <c r="Y956" s="4" t="str">
        <f>IFERROR(__xludf.DUMMYFUNCTION("IF(OR($U956="""",COUNTIF($I:$I,IFERROR(unique(filter(Prod_Prop!$H:$H,Prod_Prop!$G:$G=$U956,Prod_Prop!$E:$E=Y$1)),""Check""))=0),"""",IFERROR(unique(filter(Prod_Prop!$H:$H,Prod_Prop!$G:$G=$U956,Prod_Prop!$E:$E=Y$1)),""""))"),"")</f>
        <v/>
      </c>
      <c r="Z956" s="4" t="str">
        <f>IF(Y956="","",SUMIFS(Prod_Prop!$J:$J,Prod_Prop!$B:$B,$Q956,Prod_Prop!$H:$H,Y956,Prod_Prop!$I:$I,Z$1)*IF(Y956="Peso",$R956,1))</f>
        <v/>
      </c>
      <c r="AA956" s="4" t="str">
        <f>IF(Y956="","",SUMIFS(Prod_Prop!$J:$J,Prod_Prop!$B:$B,$Q956,Prod_Prop!$H:$H,Y956,Prod_Prop!$I:$I,AA$1)*IF(Y956="Peso",$R956,1))</f>
        <v/>
      </c>
      <c r="AB956" s="4" t="str">
        <f>IFERROR(__xludf.DUMMYFUNCTION("IF(OR($U956="""",COUNTIF($I:$I,IFERROR(unique(filter(Prod_Prop!$H:$H,Prod_Prop!$G:$G=$U956,Prod_Prop!$E:$E=AB$1)),""Check""))=0),"""",IFERROR(unique(filter(Prod_Prop!$H:$H,Prod_Prop!$G:$G=$U956,Prod_Prop!$E:$E=AB$1)),""""))"),"")</f>
        <v/>
      </c>
      <c r="AC956" s="4" t="str">
        <f>IF(AB956="","",SUMIFS(Prod_Prop!$J:$J,Prod_Prop!$B:$B,$Q956,Prod_Prop!$H:$H,AB956,Prod_Prop!$I:$I,AC$1)*IF(AB956="Peso",$R956,1))</f>
        <v/>
      </c>
      <c r="AD956" s="4" t="str">
        <f>IF(AB956="","",SUMIFS(Prod_Prop!$J:$J,Prod_Prop!$B:$B,$Q956,Prod_Prop!$H:$H,AB956,Prod_Prop!$I:$I,AD$1)*IF(AB956="Peso",$R956,1))</f>
        <v/>
      </c>
    </row>
    <row r="957">
      <c r="A957" s="4" t="str">
        <f t="array" ref="A957">IF(COUNTIF(A$1:A956,Cotizador!F$2)=maxifs(Familias!E:E,Familias!D:D,Cotizador!F$2),IF(COUNTIF(A$1:A956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7" s="4" t="str">
        <f t="shared" si="1"/>
        <v/>
      </c>
      <c r="C957" s="4" t="str">
        <f t="array" ref="C957">IF(B957="","",IF(A957=XLOOKUP(A$2,Implementos!B:B,Implementos!C:C,"",0,1),B957+maxifs(B$1:B956,A$1:A956,A$2),B957))</f>
        <v/>
      </c>
      <c r="D957" s="4" t="str">
        <f>IF(B957="","", COUNTIFS(Productos!F:F,A957,Productos!H:H,B957)+IF(F957="SI",0,1))</f>
        <v/>
      </c>
      <c r="E957" s="4" t="str">
        <f>IFERROR(__xludf.DUMMYFUNCTION("IF($B957="""","""",INDEX(filter(Familias!F:F,Familias!$D:$D=$A957,Familias!$E:$E=$B957),1))"),"")</f>
        <v/>
      </c>
      <c r="F957" s="4" t="str">
        <f>IFERROR(__xludf.DUMMYFUNCTION("IF($B957="""","""",INDEX(filter(Familias!G:G,Familias!$D:$D=$A957,Familias!$E:$E=$B957),1))"),"")</f>
        <v/>
      </c>
      <c r="G957" s="4" t="str">
        <f t="array" ref="G957">IF(C957=1,XLOOKUP(C957,Cotizador!D:D,Cotizador!E:E,"",0,1),"")</f>
        <v/>
      </c>
      <c r="I957" s="4"/>
      <c r="J957" s="8" t="str">
        <f>IF(I957="","",SUMIF(Cotizador!I$1:V$1,I957,Cotizador!I$2:V$2))</f>
        <v/>
      </c>
      <c r="L957" s="4" t="str">
        <f t="array" ref="L957">IF(COUNTIF(L$1:L956,A$2)=SUMIF(A:A,A$2,D:D),IF(COUNTIF(L$1:L956,XLOOKUP(A$2,Implementos!B:B,Implementos!C:C,"",0,1))=SUMIF(A:A,XLOOKUP(A$2,Implementos!B:B,Implementos!C:C,"",0,1),D:D),"",XLOOKUP(A$2,Implementos!B:B,Implementos!C:C,"",0,1)),A$2)</f>
        <v/>
      </c>
      <c r="M957" s="4" t="str">
        <f t="shared" si="2"/>
        <v/>
      </c>
      <c r="N957" s="4" t="str">
        <f t="shared" si="3"/>
        <v/>
      </c>
      <c r="O957" s="4" t="str">
        <f t="shared" si="4"/>
        <v/>
      </c>
      <c r="P957" s="4" t="str">
        <f t="shared" si="5"/>
        <v/>
      </c>
      <c r="Q957" s="4" t="str">
        <f>IF(U957="","",SUMIF(Productos!E:E,U957,Productos!A:A))</f>
        <v/>
      </c>
      <c r="R957" s="4" t="str">
        <f t="array" ref="R957">IF(L957="","", max(1,SUMIF(I:I,XLOOKUP(U957,Productos!E:E,Productos!G:G,"",0,1),J:J)))</f>
        <v/>
      </c>
      <c r="S957" s="4" t="str">
        <f>IF(Q957="","",IF(SUMIFS(Compat_Vetado!D:D,Compat_Vetado!B:B,SUM(G:G),Compat_Vetado!C:C,Q957)=1,"SI",IF(OR(SUMIF(Cotizador!E:E,Q957,Cotizador!G:G)&gt;0,SUMIFS(Compat_Vetado!D:D,Compat_Vetado!B:B,SUM(G:G),Compat_Vetado!C:C,Q957)=-1),"NO","")))</f>
        <v/>
      </c>
      <c r="T957" s="4" t="str">
        <f t="shared" si="6"/>
        <v/>
      </c>
      <c r="U957" s="4" t="str">
        <f>IFERROR(__xludf.DUMMYFUNCTION("IF(P957="""","""",IFERROR(INDEX(filter(Productos!E:E,Productos!F:F=L957,Productos!H:H=N957),P957),IF(M957=SUM(D:D),""Finalizar"",""-"")))"),"")</f>
        <v/>
      </c>
      <c r="V957" s="4" t="str">
        <f>IFERROR(__xludf.DUMMYFUNCTION("IF(OR($U957="""",COUNTIF($I:$I,IFERROR(unique(filter(Prod_Prop!$H:$H,Prod_Prop!$G:$G=$U957,Prod_Prop!$E:$E=V$1)),""Check""))=0),"""",IFERROR(unique(filter(Prod_Prop!$H:$H,Prod_Prop!$G:$G=$U957,Prod_Prop!$E:$E=V$1)),""""))"),"")</f>
        <v/>
      </c>
      <c r="W957" s="4" t="str">
        <f>IF(V957="","",SUMIFS(Prod_Prop!$J:$J,Prod_Prop!$B:$B,$Q957,Prod_Prop!$H:$H,V957,Prod_Prop!$I:$I,W$1)*IF(V957="Peso",$R957,1))</f>
        <v/>
      </c>
      <c r="X957" s="4" t="str">
        <f>IF(V957="","",SUMIFS(Prod_Prop!$J:$J,Prod_Prop!$B:$B,$Q957,Prod_Prop!$H:$H,V957,Prod_Prop!$I:$I,X$1)*IF(V957="Peso",$R957,1))</f>
        <v/>
      </c>
      <c r="Y957" s="4" t="str">
        <f>IFERROR(__xludf.DUMMYFUNCTION("IF(OR($U957="""",COUNTIF($I:$I,IFERROR(unique(filter(Prod_Prop!$H:$H,Prod_Prop!$G:$G=$U957,Prod_Prop!$E:$E=Y$1)),""Check""))=0),"""",IFERROR(unique(filter(Prod_Prop!$H:$H,Prod_Prop!$G:$G=$U957,Prod_Prop!$E:$E=Y$1)),""""))"),"")</f>
        <v/>
      </c>
      <c r="Z957" s="4" t="str">
        <f>IF(Y957="","",SUMIFS(Prod_Prop!$J:$J,Prod_Prop!$B:$B,$Q957,Prod_Prop!$H:$H,Y957,Prod_Prop!$I:$I,Z$1)*IF(Y957="Peso",$R957,1))</f>
        <v/>
      </c>
      <c r="AA957" s="4" t="str">
        <f>IF(Y957="","",SUMIFS(Prod_Prop!$J:$J,Prod_Prop!$B:$B,$Q957,Prod_Prop!$H:$H,Y957,Prod_Prop!$I:$I,AA$1)*IF(Y957="Peso",$R957,1))</f>
        <v/>
      </c>
      <c r="AB957" s="4" t="str">
        <f>IFERROR(__xludf.DUMMYFUNCTION("IF(OR($U957="""",COUNTIF($I:$I,IFERROR(unique(filter(Prod_Prop!$H:$H,Prod_Prop!$G:$G=$U957,Prod_Prop!$E:$E=AB$1)),""Check""))=0),"""",IFERROR(unique(filter(Prod_Prop!$H:$H,Prod_Prop!$G:$G=$U957,Prod_Prop!$E:$E=AB$1)),""""))"),"")</f>
        <v/>
      </c>
      <c r="AC957" s="4" t="str">
        <f>IF(AB957="","",SUMIFS(Prod_Prop!$J:$J,Prod_Prop!$B:$B,$Q957,Prod_Prop!$H:$H,AB957,Prod_Prop!$I:$I,AC$1)*IF(AB957="Peso",$R957,1))</f>
        <v/>
      </c>
      <c r="AD957" s="4" t="str">
        <f>IF(AB957="","",SUMIFS(Prod_Prop!$J:$J,Prod_Prop!$B:$B,$Q957,Prod_Prop!$H:$H,AB957,Prod_Prop!$I:$I,AD$1)*IF(AB957="Peso",$R957,1))</f>
        <v/>
      </c>
    </row>
    <row r="958">
      <c r="A958" s="4" t="str">
        <f t="array" ref="A958">IF(COUNTIF(A$1:A957,Cotizador!F$2)=maxifs(Familias!E:E,Familias!D:D,Cotizador!F$2),IF(COUNTIF(A$1:A957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8" s="4" t="str">
        <f t="shared" si="1"/>
        <v/>
      </c>
      <c r="C958" s="4" t="str">
        <f t="array" ref="C958">IF(B958="","",IF(A958=XLOOKUP(A$2,Implementos!B:B,Implementos!C:C,"",0,1),B958+maxifs(B$1:B957,A$1:A957,A$2),B958))</f>
        <v/>
      </c>
      <c r="D958" s="4" t="str">
        <f>IF(B958="","", COUNTIFS(Productos!F:F,A958,Productos!H:H,B958)+IF(F958="SI",0,1))</f>
        <v/>
      </c>
      <c r="E958" s="4" t="str">
        <f>IFERROR(__xludf.DUMMYFUNCTION("IF($B958="""","""",INDEX(filter(Familias!F:F,Familias!$D:$D=$A958,Familias!$E:$E=$B958),1))"),"")</f>
        <v/>
      </c>
      <c r="F958" s="4" t="str">
        <f>IFERROR(__xludf.DUMMYFUNCTION("IF($B958="""","""",INDEX(filter(Familias!G:G,Familias!$D:$D=$A958,Familias!$E:$E=$B958),1))"),"")</f>
        <v/>
      </c>
      <c r="G958" s="4" t="str">
        <f t="array" ref="G958">IF(C958=1,XLOOKUP(C958,Cotizador!D:D,Cotizador!E:E,"",0,1),"")</f>
        <v/>
      </c>
      <c r="I958" s="4"/>
      <c r="J958" s="8" t="str">
        <f>IF(I958="","",SUMIF(Cotizador!I$1:V$1,I958,Cotizador!I$2:V$2))</f>
        <v/>
      </c>
      <c r="L958" s="4" t="str">
        <f t="array" ref="L958">IF(COUNTIF(L$1:L957,A$2)=SUMIF(A:A,A$2,D:D),IF(COUNTIF(L$1:L957,XLOOKUP(A$2,Implementos!B:B,Implementos!C:C,"",0,1))=SUMIF(A:A,XLOOKUP(A$2,Implementos!B:B,Implementos!C:C,"",0,1),D:D),"",XLOOKUP(A$2,Implementos!B:B,Implementos!C:C,"",0,1)),A$2)</f>
        <v/>
      </c>
      <c r="M958" s="4" t="str">
        <f t="shared" si="2"/>
        <v/>
      </c>
      <c r="N958" s="4" t="str">
        <f t="shared" si="3"/>
        <v/>
      </c>
      <c r="O958" s="4" t="str">
        <f t="shared" si="4"/>
        <v/>
      </c>
      <c r="P958" s="4" t="str">
        <f t="shared" si="5"/>
        <v/>
      </c>
      <c r="Q958" s="4" t="str">
        <f>IF(U958="","",SUMIF(Productos!E:E,U958,Productos!A:A))</f>
        <v/>
      </c>
      <c r="R958" s="4" t="str">
        <f t="array" ref="R958">IF(L958="","", max(1,SUMIF(I:I,XLOOKUP(U958,Productos!E:E,Productos!G:G,"",0,1),J:J)))</f>
        <v/>
      </c>
      <c r="S958" s="4" t="str">
        <f>IF(Q958="","",IF(SUMIFS(Compat_Vetado!D:D,Compat_Vetado!B:B,SUM(G:G),Compat_Vetado!C:C,Q958)=1,"SI",IF(OR(SUMIF(Cotizador!E:E,Q958,Cotizador!G:G)&gt;0,SUMIFS(Compat_Vetado!D:D,Compat_Vetado!B:B,SUM(G:G),Compat_Vetado!C:C,Q958)=-1),"NO","")))</f>
        <v/>
      </c>
      <c r="T958" s="4" t="str">
        <f t="shared" si="6"/>
        <v/>
      </c>
      <c r="U958" s="4" t="str">
        <f>IFERROR(__xludf.DUMMYFUNCTION("IF(P958="""","""",IFERROR(INDEX(filter(Productos!E:E,Productos!F:F=L958,Productos!H:H=N958),P958),IF(M958=SUM(D:D),""Finalizar"",""-"")))"),"")</f>
        <v/>
      </c>
      <c r="V958" s="4" t="str">
        <f>IFERROR(__xludf.DUMMYFUNCTION("IF(OR($U958="""",COUNTIF($I:$I,IFERROR(unique(filter(Prod_Prop!$H:$H,Prod_Prop!$G:$G=$U958,Prod_Prop!$E:$E=V$1)),""Check""))=0),"""",IFERROR(unique(filter(Prod_Prop!$H:$H,Prod_Prop!$G:$G=$U958,Prod_Prop!$E:$E=V$1)),""""))"),"")</f>
        <v/>
      </c>
      <c r="W958" s="4" t="str">
        <f>IF(V958="","",SUMIFS(Prod_Prop!$J:$J,Prod_Prop!$B:$B,$Q958,Prod_Prop!$H:$H,V958,Prod_Prop!$I:$I,W$1)*IF(V958="Peso",$R958,1))</f>
        <v/>
      </c>
      <c r="X958" s="4" t="str">
        <f>IF(V958="","",SUMIFS(Prod_Prop!$J:$J,Prod_Prop!$B:$B,$Q958,Prod_Prop!$H:$H,V958,Prod_Prop!$I:$I,X$1)*IF(V958="Peso",$R958,1))</f>
        <v/>
      </c>
      <c r="Y958" s="4" t="str">
        <f>IFERROR(__xludf.DUMMYFUNCTION("IF(OR($U958="""",COUNTIF($I:$I,IFERROR(unique(filter(Prod_Prop!$H:$H,Prod_Prop!$G:$G=$U958,Prod_Prop!$E:$E=Y$1)),""Check""))=0),"""",IFERROR(unique(filter(Prod_Prop!$H:$H,Prod_Prop!$G:$G=$U958,Prod_Prop!$E:$E=Y$1)),""""))"),"")</f>
        <v/>
      </c>
      <c r="Z958" s="4" t="str">
        <f>IF(Y958="","",SUMIFS(Prod_Prop!$J:$J,Prod_Prop!$B:$B,$Q958,Prod_Prop!$H:$H,Y958,Prod_Prop!$I:$I,Z$1)*IF(Y958="Peso",$R958,1))</f>
        <v/>
      </c>
      <c r="AA958" s="4" t="str">
        <f>IF(Y958="","",SUMIFS(Prod_Prop!$J:$J,Prod_Prop!$B:$B,$Q958,Prod_Prop!$H:$H,Y958,Prod_Prop!$I:$I,AA$1)*IF(Y958="Peso",$R958,1))</f>
        <v/>
      </c>
      <c r="AB958" s="4" t="str">
        <f>IFERROR(__xludf.DUMMYFUNCTION("IF(OR($U958="""",COUNTIF($I:$I,IFERROR(unique(filter(Prod_Prop!$H:$H,Prod_Prop!$G:$G=$U958,Prod_Prop!$E:$E=AB$1)),""Check""))=0),"""",IFERROR(unique(filter(Prod_Prop!$H:$H,Prod_Prop!$G:$G=$U958,Prod_Prop!$E:$E=AB$1)),""""))"),"")</f>
        <v/>
      </c>
      <c r="AC958" s="4" t="str">
        <f>IF(AB958="","",SUMIFS(Prod_Prop!$J:$J,Prod_Prop!$B:$B,$Q958,Prod_Prop!$H:$H,AB958,Prod_Prop!$I:$I,AC$1)*IF(AB958="Peso",$R958,1))</f>
        <v/>
      </c>
      <c r="AD958" s="4" t="str">
        <f>IF(AB958="","",SUMIFS(Prod_Prop!$J:$J,Prod_Prop!$B:$B,$Q958,Prod_Prop!$H:$H,AB958,Prod_Prop!$I:$I,AD$1)*IF(AB958="Peso",$R958,1))</f>
        <v/>
      </c>
    </row>
    <row r="959">
      <c r="A959" s="4" t="str">
        <f t="array" ref="A959">IF(COUNTIF(A$1:A958,Cotizador!F$2)=maxifs(Familias!E:E,Familias!D:D,Cotizador!F$2),IF(COUNTIF(A$1:A958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59" s="4" t="str">
        <f t="shared" si="1"/>
        <v/>
      </c>
      <c r="C959" s="4" t="str">
        <f t="array" ref="C959">IF(B959="","",IF(A959=XLOOKUP(A$2,Implementos!B:B,Implementos!C:C,"",0,1),B959+maxifs(B$1:B958,A$1:A958,A$2),B959))</f>
        <v/>
      </c>
      <c r="D959" s="4" t="str">
        <f>IF(B959="","", COUNTIFS(Productos!F:F,A959,Productos!H:H,B959)+IF(F959="SI",0,1))</f>
        <v/>
      </c>
      <c r="E959" s="4" t="str">
        <f>IFERROR(__xludf.DUMMYFUNCTION("IF($B959="""","""",INDEX(filter(Familias!F:F,Familias!$D:$D=$A959,Familias!$E:$E=$B959),1))"),"")</f>
        <v/>
      </c>
      <c r="F959" s="4" t="str">
        <f>IFERROR(__xludf.DUMMYFUNCTION("IF($B959="""","""",INDEX(filter(Familias!G:G,Familias!$D:$D=$A959,Familias!$E:$E=$B959),1))"),"")</f>
        <v/>
      </c>
      <c r="G959" s="4" t="str">
        <f t="array" ref="G959">IF(C959=1,XLOOKUP(C959,Cotizador!D:D,Cotizador!E:E,"",0,1),"")</f>
        <v/>
      </c>
      <c r="I959" s="4"/>
      <c r="J959" s="8" t="str">
        <f>IF(I959="","",SUMIF(Cotizador!I$1:V$1,I959,Cotizador!I$2:V$2))</f>
        <v/>
      </c>
      <c r="L959" s="4" t="str">
        <f t="array" ref="L959">IF(COUNTIF(L$1:L958,A$2)=SUMIF(A:A,A$2,D:D),IF(COUNTIF(L$1:L958,XLOOKUP(A$2,Implementos!B:B,Implementos!C:C,"",0,1))=SUMIF(A:A,XLOOKUP(A$2,Implementos!B:B,Implementos!C:C,"",0,1),D:D),"",XLOOKUP(A$2,Implementos!B:B,Implementos!C:C,"",0,1)),A$2)</f>
        <v/>
      </c>
      <c r="M959" s="4" t="str">
        <f t="shared" si="2"/>
        <v/>
      </c>
      <c r="N959" s="4" t="str">
        <f t="shared" si="3"/>
        <v/>
      </c>
      <c r="O959" s="4" t="str">
        <f t="shared" si="4"/>
        <v/>
      </c>
      <c r="P959" s="4" t="str">
        <f t="shared" si="5"/>
        <v/>
      </c>
      <c r="Q959" s="4" t="str">
        <f>IF(U959="","",SUMIF(Productos!E:E,U959,Productos!A:A))</f>
        <v/>
      </c>
      <c r="R959" s="4" t="str">
        <f t="array" ref="R959">IF(L959="","", max(1,SUMIF(I:I,XLOOKUP(U959,Productos!E:E,Productos!G:G,"",0,1),J:J)))</f>
        <v/>
      </c>
      <c r="S959" s="4" t="str">
        <f>IF(Q959="","",IF(SUMIFS(Compat_Vetado!D:D,Compat_Vetado!B:B,SUM(G:G),Compat_Vetado!C:C,Q959)=1,"SI",IF(OR(SUMIF(Cotizador!E:E,Q959,Cotizador!G:G)&gt;0,SUMIFS(Compat_Vetado!D:D,Compat_Vetado!B:B,SUM(G:G),Compat_Vetado!C:C,Q959)=-1),"NO","")))</f>
        <v/>
      </c>
      <c r="T959" s="4" t="str">
        <f t="shared" si="6"/>
        <v/>
      </c>
      <c r="U959" s="4" t="str">
        <f>IFERROR(__xludf.DUMMYFUNCTION("IF(P959="""","""",IFERROR(INDEX(filter(Productos!E:E,Productos!F:F=L959,Productos!H:H=N959),P959),IF(M959=SUM(D:D),""Finalizar"",""-"")))"),"")</f>
        <v/>
      </c>
      <c r="V959" s="4" t="str">
        <f>IFERROR(__xludf.DUMMYFUNCTION("IF(OR($U959="""",COUNTIF($I:$I,IFERROR(unique(filter(Prod_Prop!$H:$H,Prod_Prop!$G:$G=$U959,Prod_Prop!$E:$E=V$1)),""Check""))=0),"""",IFERROR(unique(filter(Prod_Prop!$H:$H,Prod_Prop!$G:$G=$U959,Prod_Prop!$E:$E=V$1)),""""))"),"")</f>
        <v/>
      </c>
      <c r="W959" s="4" t="str">
        <f>IF(V959="","",SUMIFS(Prod_Prop!$J:$J,Prod_Prop!$B:$B,$Q959,Prod_Prop!$H:$H,V959,Prod_Prop!$I:$I,W$1)*IF(V959="Peso",$R959,1))</f>
        <v/>
      </c>
      <c r="X959" s="4" t="str">
        <f>IF(V959="","",SUMIFS(Prod_Prop!$J:$J,Prod_Prop!$B:$B,$Q959,Prod_Prop!$H:$H,V959,Prod_Prop!$I:$I,X$1)*IF(V959="Peso",$R959,1))</f>
        <v/>
      </c>
      <c r="Y959" s="4" t="str">
        <f>IFERROR(__xludf.DUMMYFUNCTION("IF(OR($U959="""",COUNTIF($I:$I,IFERROR(unique(filter(Prod_Prop!$H:$H,Prod_Prop!$G:$G=$U959,Prod_Prop!$E:$E=Y$1)),""Check""))=0),"""",IFERROR(unique(filter(Prod_Prop!$H:$H,Prod_Prop!$G:$G=$U959,Prod_Prop!$E:$E=Y$1)),""""))"),"")</f>
        <v/>
      </c>
      <c r="Z959" s="4" t="str">
        <f>IF(Y959="","",SUMIFS(Prod_Prop!$J:$J,Prod_Prop!$B:$B,$Q959,Prod_Prop!$H:$H,Y959,Prod_Prop!$I:$I,Z$1)*IF(Y959="Peso",$R959,1))</f>
        <v/>
      </c>
      <c r="AA959" s="4" t="str">
        <f>IF(Y959="","",SUMIFS(Prod_Prop!$J:$J,Prod_Prop!$B:$B,$Q959,Prod_Prop!$H:$H,Y959,Prod_Prop!$I:$I,AA$1)*IF(Y959="Peso",$R959,1))</f>
        <v/>
      </c>
      <c r="AB959" s="4" t="str">
        <f>IFERROR(__xludf.DUMMYFUNCTION("IF(OR($U959="""",COUNTIF($I:$I,IFERROR(unique(filter(Prod_Prop!$H:$H,Prod_Prop!$G:$G=$U959,Prod_Prop!$E:$E=AB$1)),""Check""))=0),"""",IFERROR(unique(filter(Prod_Prop!$H:$H,Prod_Prop!$G:$G=$U959,Prod_Prop!$E:$E=AB$1)),""""))"),"")</f>
        <v/>
      </c>
      <c r="AC959" s="4" t="str">
        <f>IF(AB959="","",SUMIFS(Prod_Prop!$J:$J,Prod_Prop!$B:$B,$Q959,Prod_Prop!$H:$H,AB959,Prod_Prop!$I:$I,AC$1)*IF(AB959="Peso",$R959,1))</f>
        <v/>
      </c>
      <c r="AD959" s="4" t="str">
        <f>IF(AB959="","",SUMIFS(Prod_Prop!$J:$J,Prod_Prop!$B:$B,$Q959,Prod_Prop!$H:$H,AB959,Prod_Prop!$I:$I,AD$1)*IF(AB959="Peso",$R959,1))</f>
        <v/>
      </c>
    </row>
    <row r="960">
      <c r="A960" s="4" t="str">
        <f t="array" ref="A960">IF(COUNTIF(A$1:A959,Cotizador!F$2)=maxifs(Familias!E:E,Familias!D:D,Cotizador!F$2),IF(COUNTIF(A$1:A959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0" s="4" t="str">
        <f t="shared" si="1"/>
        <v/>
      </c>
      <c r="C960" s="4" t="str">
        <f t="array" ref="C960">IF(B960="","",IF(A960=XLOOKUP(A$2,Implementos!B:B,Implementos!C:C,"",0,1),B960+maxifs(B$1:B959,A$1:A959,A$2),B960))</f>
        <v/>
      </c>
      <c r="D960" s="4" t="str">
        <f>IF(B960="","", COUNTIFS(Productos!F:F,A960,Productos!H:H,B960)+IF(F960="SI",0,1))</f>
        <v/>
      </c>
      <c r="E960" s="4" t="str">
        <f>IFERROR(__xludf.DUMMYFUNCTION("IF($B960="""","""",INDEX(filter(Familias!F:F,Familias!$D:$D=$A960,Familias!$E:$E=$B960),1))"),"")</f>
        <v/>
      </c>
      <c r="F960" s="4" t="str">
        <f>IFERROR(__xludf.DUMMYFUNCTION("IF($B960="""","""",INDEX(filter(Familias!G:G,Familias!$D:$D=$A960,Familias!$E:$E=$B960),1))"),"")</f>
        <v/>
      </c>
      <c r="G960" s="4" t="str">
        <f t="array" ref="G960">IF(C960=1,XLOOKUP(C960,Cotizador!D:D,Cotizador!E:E,"",0,1),"")</f>
        <v/>
      </c>
      <c r="I960" s="4"/>
      <c r="J960" s="8" t="str">
        <f>IF(I960="","",SUMIF(Cotizador!I$1:V$1,I960,Cotizador!I$2:V$2))</f>
        <v/>
      </c>
      <c r="L960" s="4" t="str">
        <f t="array" ref="L960">IF(COUNTIF(L$1:L959,A$2)=SUMIF(A:A,A$2,D:D),IF(COUNTIF(L$1:L959,XLOOKUP(A$2,Implementos!B:B,Implementos!C:C,"",0,1))=SUMIF(A:A,XLOOKUP(A$2,Implementos!B:B,Implementos!C:C,"",0,1),D:D),"",XLOOKUP(A$2,Implementos!B:B,Implementos!C:C,"",0,1)),A$2)</f>
        <v/>
      </c>
      <c r="M960" s="4" t="str">
        <f t="shared" si="2"/>
        <v/>
      </c>
      <c r="N960" s="4" t="str">
        <f t="shared" si="3"/>
        <v/>
      </c>
      <c r="O960" s="4" t="str">
        <f t="shared" si="4"/>
        <v/>
      </c>
      <c r="P960" s="4" t="str">
        <f t="shared" si="5"/>
        <v/>
      </c>
      <c r="Q960" s="4" t="str">
        <f>IF(U960="","",SUMIF(Productos!E:E,U960,Productos!A:A))</f>
        <v/>
      </c>
      <c r="R960" s="4" t="str">
        <f t="array" ref="R960">IF(L960="","", max(1,SUMIF(I:I,XLOOKUP(U960,Productos!E:E,Productos!G:G,"",0,1),J:J)))</f>
        <v/>
      </c>
      <c r="S960" s="4" t="str">
        <f>IF(Q960="","",IF(SUMIFS(Compat_Vetado!D:D,Compat_Vetado!B:B,SUM(G:G),Compat_Vetado!C:C,Q960)=1,"SI",IF(OR(SUMIF(Cotizador!E:E,Q960,Cotizador!G:G)&gt;0,SUMIFS(Compat_Vetado!D:D,Compat_Vetado!B:B,SUM(G:G),Compat_Vetado!C:C,Q960)=-1),"NO","")))</f>
        <v/>
      </c>
      <c r="T960" s="4" t="str">
        <f t="shared" si="6"/>
        <v/>
      </c>
      <c r="U960" s="4" t="str">
        <f>IFERROR(__xludf.DUMMYFUNCTION("IF(P960="""","""",IFERROR(INDEX(filter(Productos!E:E,Productos!F:F=L960,Productos!H:H=N960),P960),IF(M960=SUM(D:D),""Finalizar"",""-"")))"),"")</f>
        <v/>
      </c>
      <c r="V960" s="4" t="str">
        <f>IFERROR(__xludf.DUMMYFUNCTION("IF(OR($U960="""",COUNTIF($I:$I,IFERROR(unique(filter(Prod_Prop!$H:$H,Prod_Prop!$G:$G=$U960,Prod_Prop!$E:$E=V$1)),""Check""))=0),"""",IFERROR(unique(filter(Prod_Prop!$H:$H,Prod_Prop!$G:$G=$U960,Prod_Prop!$E:$E=V$1)),""""))"),"")</f>
        <v/>
      </c>
      <c r="W960" s="4" t="str">
        <f>IF(V960="","",SUMIFS(Prod_Prop!$J:$J,Prod_Prop!$B:$B,$Q960,Prod_Prop!$H:$H,V960,Prod_Prop!$I:$I,W$1)*IF(V960="Peso",$R960,1))</f>
        <v/>
      </c>
      <c r="X960" s="4" t="str">
        <f>IF(V960="","",SUMIFS(Prod_Prop!$J:$J,Prod_Prop!$B:$B,$Q960,Prod_Prop!$H:$H,V960,Prod_Prop!$I:$I,X$1)*IF(V960="Peso",$R960,1))</f>
        <v/>
      </c>
      <c r="Y960" s="4" t="str">
        <f>IFERROR(__xludf.DUMMYFUNCTION("IF(OR($U960="""",COUNTIF($I:$I,IFERROR(unique(filter(Prod_Prop!$H:$H,Prod_Prop!$G:$G=$U960,Prod_Prop!$E:$E=Y$1)),""Check""))=0),"""",IFERROR(unique(filter(Prod_Prop!$H:$H,Prod_Prop!$G:$G=$U960,Prod_Prop!$E:$E=Y$1)),""""))"),"")</f>
        <v/>
      </c>
      <c r="Z960" s="4" t="str">
        <f>IF(Y960="","",SUMIFS(Prod_Prop!$J:$J,Prod_Prop!$B:$B,$Q960,Prod_Prop!$H:$H,Y960,Prod_Prop!$I:$I,Z$1)*IF(Y960="Peso",$R960,1))</f>
        <v/>
      </c>
      <c r="AA960" s="4" t="str">
        <f>IF(Y960="","",SUMIFS(Prod_Prop!$J:$J,Prod_Prop!$B:$B,$Q960,Prod_Prop!$H:$H,Y960,Prod_Prop!$I:$I,AA$1)*IF(Y960="Peso",$R960,1))</f>
        <v/>
      </c>
      <c r="AB960" s="4" t="str">
        <f>IFERROR(__xludf.DUMMYFUNCTION("IF(OR($U960="""",COUNTIF($I:$I,IFERROR(unique(filter(Prod_Prop!$H:$H,Prod_Prop!$G:$G=$U960,Prod_Prop!$E:$E=AB$1)),""Check""))=0),"""",IFERROR(unique(filter(Prod_Prop!$H:$H,Prod_Prop!$G:$G=$U960,Prod_Prop!$E:$E=AB$1)),""""))"),"")</f>
        <v/>
      </c>
      <c r="AC960" s="4" t="str">
        <f>IF(AB960="","",SUMIFS(Prod_Prop!$J:$J,Prod_Prop!$B:$B,$Q960,Prod_Prop!$H:$H,AB960,Prod_Prop!$I:$I,AC$1)*IF(AB960="Peso",$R960,1))</f>
        <v/>
      </c>
      <c r="AD960" s="4" t="str">
        <f>IF(AB960="","",SUMIFS(Prod_Prop!$J:$J,Prod_Prop!$B:$B,$Q960,Prod_Prop!$H:$H,AB960,Prod_Prop!$I:$I,AD$1)*IF(AB960="Peso",$R960,1))</f>
        <v/>
      </c>
    </row>
    <row r="961">
      <c r="A961" s="4" t="str">
        <f t="array" ref="A961">IF(COUNTIF(A$1:A960,Cotizador!F$2)=maxifs(Familias!E:E,Familias!D:D,Cotizador!F$2),IF(COUNTIF(A$1:A960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1" s="4" t="str">
        <f t="shared" si="1"/>
        <v/>
      </c>
      <c r="C961" s="4" t="str">
        <f t="array" ref="C961">IF(B961="","",IF(A961=XLOOKUP(A$2,Implementos!B:B,Implementos!C:C,"",0,1),B961+maxifs(B$1:B960,A$1:A960,A$2),B961))</f>
        <v/>
      </c>
      <c r="D961" s="4" t="str">
        <f>IF(B961="","", COUNTIFS(Productos!F:F,A961,Productos!H:H,B961)+IF(F961="SI",0,1))</f>
        <v/>
      </c>
      <c r="E961" s="4" t="str">
        <f>IFERROR(__xludf.DUMMYFUNCTION("IF($B961="""","""",INDEX(filter(Familias!F:F,Familias!$D:$D=$A961,Familias!$E:$E=$B961),1))"),"")</f>
        <v/>
      </c>
      <c r="F961" s="4" t="str">
        <f>IFERROR(__xludf.DUMMYFUNCTION("IF($B961="""","""",INDEX(filter(Familias!G:G,Familias!$D:$D=$A961,Familias!$E:$E=$B961),1))"),"")</f>
        <v/>
      </c>
      <c r="G961" s="4" t="str">
        <f t="array" ref="G961">IF(C961=1,XLOOKUP(C961,Cotizador!D:D,Cotizador!E:E,"",0,1),"")</f>
        <v/>
      </c>
      <c r="I961" s="4"/>
      <c r="J961" s="8" t="str">
        <f>IF(I961="","",SUMIF(Cotizador!I$1:V$1,I961,Cotizador!I$2:V$2))</f>
        <v/>
      </c>
      <c r="L961" s="4" t="str">
        <f t="array" ref="L961">IF(COUNTIF(L$1:L960,A$2)=SUMIF(A:A,A$2,D:D),IF(COUNTIF(L$1:L960,XLOOKUP(A$2,Implementos!B:B,Implementos!C:C,"",0,1))=SUMIF(A:A,XLOOKUP(A$2,Implementos!B:B,Implementos!C:C,"",0,1),D:D),"",XLOOKUP(A$2,Implementos!B:B,Implementos!C:C,"",0,1)),A$2)</f>
        <v/>
      </c>
      <c r="M961" s="4" t="str">
        <f t="shared" si="2"/>
        <v/>
      </c>
      <c r="N961" s="4" t="str">
        <f t="shared" si="3"/>
        <v/>
      </c>
      <c r="O961" s="4" t="str">
        <f t="shared" si="4"/>
        <v/>
      </c>
      <c r="P961" s="4" t="str">
        <f t="shared" si="5"/>
        <v/>
      </c>
      <c r="Q961" s="4" t="str">
        <f>IF(U961="","",SUMIF(Productos!E:E,U961,Productos!A:A))</f>
        <v/>
      </c>
      <c r="R961" s="4" t="str">
        <f t="array" ref="R961">IF(L961="","", max(1,SUMIF(I:I,XLOOKUP(U961,Productos!E:E,Productos!G:G,"",0,1),J:J)))</f>
        <v/>
      </c>
      <c r="S961" s="4" t="str">
        <f>IF(Q961="","",IF(SUMIFS(Compat_Vetado!D:D,Compat_Vetado!B:B,SUM(G:G),Compat_Vetado!C:C,Q961)=1,"SI",IF(OR(SUMIF(Cotizador!E:E,Q961,Cotizador!G:G)&gt;0,SUMIFS(Compat_Vetado!D:D,Compat_Vetado!B:B,SUM(G:G),Compat_Vetado!C:C,Q961)=-1),"NO","")))</f>
        <v/>
      </c>
      <c r="T961" s="4" t="str">
        <f t="shared" si="6"/>
        <v/>
      </c>
      <c r="U961" s="4" t="str">
        <f>IFERROR(__xludf.DUMMYFUNCTION("IF(P961="""","""",IFERROR(INDEX(filter(Productos!E:E,Productos!F:F=L961,Productos!H:H=N961),P961),IF(M961=SUM(D:D),""Finalizar"",""-"")))"),"")</f>
        <v/>
      </c>
      <c r="V961" s="4" t="str">
        <f>IFERROR(__xludf.DUMMYFUNCTION("IF(OR($U961="""",COUNTIF($I:$I,IFERROR(unique(filter(Prod_Prop!$H:$H,Prod_Prop!$G:$G=$U961,Prod_Prop!$E:$E=V$1)),""Check""))=0),"""",IFERROR(unique(filter(Prod_Prop!$H:$H,Prod_Prop!$G:$G=$U961,Prod_Prop!$E:$E=V$1)),""""))"),"")</f>
        <v/>
      </c>
      <c r="W961" s="4" t="str">
        <f>IF(V961="","",SUMIFS(Prod_Prop!$J:$J,Prod_Prop!$B:$B,$Q961,Prod_Prop!$H:$H,V961,Prod_Prop!$I:$I,W$1)*IF(V961="Peso",$R961,1))</f>
        <v/>
      </c>
      <c r="X961" s="4" t="str">
        <f>IF(V961="","",SUMIFS(Prod_Prop!$J:$J,Prod_Prop!$B:$B,$Q961,Prod_Prop!$H:$H,V961,Prod_Prop!$I:$I,X$1)*IF(V961="Peso",$R961,1))</f>
        <v/>
      </c>
      <c r="Y961" s="4" t="str">
        <f>IFERROR(__xludf.DUMMYFUNCTION("IF(OR($U961="""",COUNTIF($I:$I,IFERROR(unique(filter(Prod_Prop!$H:$H,Prod_Prop!$G:$G=$U961,Prod_Prop!$E:$E=Y$1)),""Check""))=0),"""",IFERROR(unique(filter(Prod_Prop!$H:$H,Prod_Prop!$G:$G=$U961,Prod_Prop!$E:$E=Y$1)),""""))"),"")</f>
        <v/>
      </c>
      <c r="Z961" s="4" t="str">
        <f>IF(Y961="","",SUMIFS(Prod_Prop!$J:$J,Prod_Prop!$B:$B,$Q961,Prod_Prop!$H:$H,Y961,Prod_Prop!$I:$I,Z$1)*IF(Y961="Peso",$R961,1))</f>
        <v/>
      </c>
      <c r="AA961" s="4" t="str">
        <f>IF(Y961="","",SUMIFS(Prod_Prop!$J:$J,Prod_Prop!$B:$B,$Q961,Prod_Prop!$H:$H,Y961,Prod_Prop!$I:$I,AA$1)*IF(Y961="Peso",$R961,1))</f>
        <v/>
      </c>
      <c r="AB961" s="4" t="str">
        <f>IFERROR(__xludf.DUMMYFUNCTION("IF(OR($U961="""",COUNTIF($I:$I,IFERROR(unique(filter(Prod_Prop!$H:$H,Prod_Prop!$G:$G=$U961,Prod_Prop!$E:$E=AB$1)),""Check""))=0),"""",IFERROR(unique(filter(Prod_Prop!$H:$H,Prod_Prop!$G:$G=$U961,Prod_Prop!$E:$E=AB$1)),""""))"),"")</f>
        <v/>
      </c>
      <c r="AC961" s="4" t="str">
        <f>IF(AB961="","",SUMIFS(Prod_Prop!$J:$J,Prod_Prop!$B:$B,$Q961,Prod_Prop!$H:$H,AB961,Prod_Prop!$I:$I,AC$1)*IF(AB961="Peso",$R961,1))</f>
        <v/>
      </c>
      <c r="AD961" s="4" t="str">
        <f>IF(AB961="","",SUMIFS(Prod_Prop!$J:$J,Prod_Prop!$B:$B,$Q961,Prod_Prop!$H:$H,AB961,Prod_Prop!$I:$I,AD$1)*IF(AB961="Peso",$R961,1))</f>
        <v/>
      </c>
    </row>
    <row r="962">
      <c r="A962" s="4" t="str">
        <f t="array" ref="A962">IF(COUNTIF(A$1:A961,Cotizador!F$2)=maxifs(Familias!E:E,Familias!D:D,Cotizador!F$2),IF(COUNTIF(A$1:A961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2" s="4" t="str">
        <f t="shared" si="1"/>
        <v/>
      </c>
      <c r="C962" s="4" t="str">
        <f t="array" ref="C962">IF(B962="","",IF(A962=XLOOKUP(A$2,Implementos!B:B,Implementos!C:C,"",0,1),B962+maxifs(B$1:B961,A$1:A961,A$2),B962))</f>
        <v/>
      </c>
      <c r="D962" s="4" t="str">
        <f>IF(B962="","", COUNTIFS(Productos!F:F,A962,Productos!H:H,B962)+IF(F962="SI",0,1))</f>
        <v/>
      </c>
      <c r="E962" s="4" t="str">
        <f>IFERROR(__xludf.DUMMYFUNCTION("IF($B962="""","""",INDEX(filter(Familias!F:F,Familias!$D:$D=$A962,Familias!$E:$E=$B962),1))"),"")</f>
        <v/>
      </c>
      <c r="F962" s="4" t="str">
        <f>IFERROR(__xludf.DUMMYFUNCTION("IF($B962="""","""",INDEX(filter(Familias!G:G,Familias!$D:$D=$A962,Familias!$E:$E=$B962),1))"),"")</f>
        <v/>
      </c>
      <c r="G962" s="4" t="str">
        <f t="array" ref="G962">IF(C962=1,XLOOKUP(C962,Cotizador!D:D,Cotizador!E:E,"",0,1),"")</f>
        <v/>
      </c>
      <c r="I962" s="4"/>
      <c r="J962" s="8" t="str">
        <f>IF(I962="","",SUMIF(Cotizador!I$1:V$1,I962,Cotizador!I$2:V$2))</f>
        <v/>
      </c>
      <c r="L962" s="4" t="str">
        <f t="array" ref="L962">IF(COUNTIF(L$1:L961,A$2)=SUMIF(A:A,A$2,D:D),IF(COUNTIF(L$1:L961,XLOOKUP(A$2,Implementos!B:B,Implementos!C:C,"",0,1))=SUMIF(A:A,XLOOKUP(A$2,Implementos!B:B,Implementos!C:C,"",0,1),D:D),"",XLOOKUP(A$2,Implementos!B:B,Implementos!C:C,"",0,1)),A$2)</f>
        <v/>
      </c>
      <c r="M962" s="4" t="str">
        <f t="shared" si="2"/>
        <v/>
      </c>
      <c r="N962" s="4" t="str">
        <f t="shared" si="3"/>
        <v/>
      </c>
      <c r="O962" s="4" t="str">
        <f t="shared" si="4"/>
        <v/>
      </c>
      <c r="P962" s="4" t="str">
        <f t="shared" si="5"/>
        <v/>
      </c>
      <c r="Q962" s="4" t="str">
        <f>IF(U962="","",SUMIF(Productos!E:E,U962,Productos!A:A))</f>
        <v/>
      </c>
      <c r="R962" s="4" t="str">
        <f t="array" ref="R962">IF(L962="","", max(1,SUMIF(I:I,XLOOKUP(U962,Productos!E:E,Productos!G:G,"",0,1),J:J)))</f>
        <v/>
      </c>
      <c r="S962" s="4" t="str">
        <f>IF(Q962="","",IF(SUMIFS(Compat_Vetado!D:D,Compat_Vetado!B:B,SUM(G:G),Compat_Vetado!C:C,Q962)=1,"SI",IF(OR(SUMIF(Cotizador!E:E,Q962,Cotizador!G:G)&gt;0,SUMIFS(Compat_Vetado!D:D,Compat_Vetado!B:B,SUM(G:G),Compat_Vetado!C:C,Q962)=-1),"NO","")))</f>
        <v/>
      </c>
      <c r="T962" s="4" t="str">
        <f t="shared" si="6"/>
        <v/>
      </c>
      <c r="U962" s="4" t="str">
        <f>IFERROR(__xludf.DUMMYFUNCTION("IF(P962="""","""",IFERROR(INDEX(filter(Productos!E:E,Productos!F:F=L962,Productos!H:H=N962),P962),IF(M962=SUM(D:D),""Finalizar"",""-"")))"),"")</f>
        <v/>
      </c>
      <c r="V962" s="4" t="str">
        <f>IFERROR(__xludf.DUMMYFUNCTION("IF(OR($U962="""",COUNTIF($I:$I,IFERROR(unique(filter(Prod_Prop!$H:$H,Prod_Prop!$G:$G=$U962,Prod_Prop!$E:$E=V$1)),""Check""))=0),"""",IFERROR(unique(filter(Prod_Prop!$H:$H,Prod_Prop!$G:$G=$U962,Prod_Prop!$E:$E=V$1)),""""))"),"")</f>
        <v/>
      </c>
      <c r="W962" s="4" t="str">
        <f>IF(V962="","",SUMIFS(Prod_Prop!$J:$J,Prod_Prop!$B:$B,$Q962,Prod_Prop!$H:$H,V962,Prod_Prop!$I:$I,W$1)*IF(V962="Peso",$R962,1))</f>
        <v/>
      </c>
      <c r="X962" s="4" t="str">
        <f>IF(V962="","",SUMIFS(Prod_Prop!$J:$J,Prod_Prop!$B:$B,$Q962,Prod_Prop!$H:$H,V962,Prod_Prop!$I:$I,X$1)*IF(V962="Peso",$R962,1))</f>
        <v/>
      </c>
      <c r="Y962" s="4" t="str">
        <f>IFERROR(__xludf.DUMMYFUNCTION("IF(OR($U962="""",COUNTIF($I:$I,IFERROR(unique(filter(Prod_Prop!$H:$H,Prod_Prop!$G:$G=$U962,Prod_Prop!$E:$E=Y$1)),""Check""))=0),"""",IFERROR(unique(filter(Prod_Prop!$H:$H,Prod_Prop!$G:$G=$U962,Prod_Prop!$E:$E=Y$1)),""""))"),"")</f>
        <v/>
      </c>
      <c r="Z962" s="4" t="str">
        <f>IF(Y962="","",SUMIFS(Prod_Prop!$J:$J,Prod_Prop!$B:$B,$Q962,Prod_Prop!$H:$H,Y962,Prod_Prop!$I:$I,Z$1)*IF(Y962="Peso",$R962,1))</f>
        <v/>
      </c>
      <c r="AA962" s="4" t="str">
        <f>IF(Y962="","",SUMIFS(Prod_Prop!$J:$J,Prod_Prop!$B:$B,$Q962,Prod_Prop!$H:$H,Y962,Prod_Prop!$I:$I,AA$1)*IF(Y962="Peso",$R962,1))</f>
        <v/>
      </c>
      <c r="AB962" s="4" t="str">
        <f>IFERROR(__xludf.DUMMYFUNCTION("IF(OR($U962="""",COUNTIF($I:$I,IFERROR(unique(filter(Prod_Prop!$H:$H,Prod_Prop!$G:$G=$U962,Prod_Prop!$E:$E=AB$1)),""Check""))=0),"""",IFERROR(unique(filter(Prod_Prop!$H:$H,Prod_Prop!$G:$G=$U962,Prod_Prop!$E:$E=AB$1)),""""))"),"")</f>
        <v/>
      </c>
      <c r="AC962" s="4" t="str">
        <f>IF(AB962="","",SUMIFS(Prod_Prop!$J:$J,Prod_Prop!$B:$B,$Q962,Prod_Prop!$H:$H,AB962,Prod_Prop!$I:$I,AC$1)*IF(AB962="Peso",$R962,1))</f>
        <v/>
      </c>
      <c r="AD962" s="4" t="str">
        <f>IF(AB962="","",SUMIFS(Prod_Prop!$J:$J,Prod_Prop!$B:$B,$Q962,Prod_Prop!$H:$H,AB962,Prod_Prop!$I:$I,AD$1)*IF(AB962="Peso",$R962,1))</f>
        <v/>
      </c>
    </row>
    <row r="963">
      <c r="A963" s="4" t="str">
        <f t="array" ref="A963">IF(COUNTIF(A$1:A962,Cotizador!F$2)=maxifs(Familias!E:E,Familias!D:D,Cotizador!F$2),IF(COUNTIF(A$1:A962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3" s="4" t="str">
        <f t="shared" si="1"/>
        <v/>
      </c>
      <c r="C963" s="4" t="str">
        <f t="array" ref="C963">IF(B963="","",IF(A963=XLOOKUP(A$2,Implementos!B:B,Implementos!C:C,"",0,1),B963+maxifs(B$1:B962,A$1:A962,A$2),B963))</f>
        <v/>
      </c>
      <c r="D963" s="4" t="str">
        <f>IF(B963="","", COUNTIFS(Productos!F:F,A963,Productos!H:H,B963)+IF(F963="SI",0,1))</f>
        <v/>
      </c>
      <c r="E963" s="4" t="str">
        <f>IFERROR(__xludf.DUMMYFUNCTION("IF($B963="""","""",INDEX(filter(Familias!F:F,Familias!$D:$D=$A963,Familias!$E:$E=$B963),1))"),"")</f>
        <v/>
      </c>
      <c r="F963" s="4" t="str">
        <f>IFERROR(__xludf.DUMMYFUNCTION("IF($B963="""","""",INDEX(filter(Familias!G:G,Familias!$D:$D=$A963,Familias!$E:$E=$B963),1))"),"")</f>
        <v/>
      </c>
      <c r="G963" s="4" t="str">
        <f t="array" ref="G963">IF(C963=1,XLOOKUP(C963,Cotizador!D:D,Cotizador!E:E,"",0,1),"")</f>
        <v/>
      </c>
      <c r="I963" s="4"/>
      <c r="J963" s="8" t="str">
        <f>IF(I963="","",SUMIF(Cotizador!I$1:V$1,I963,Cotizador!I$2:V$2))</f>
        <v/>
      </c>
      <c r="L963" s="4" t="str">
        <f t="array" ref="L963">IF(COUNTIF(L$1:L962,A$2)=SUMIF(A:A,A$2,D:D),IF(COUNTIF(L$1:L962,XLOOKUP(A$2,Implementos!B:B,Implementos!C:C,"",0,1))=SUMIF(A:A,XLOOKUP(A$2,Implementos!B:B,Implementos!C:C,"",0,1),D:D),"",XLOOKUP(A$2,Implementos!B:B,Implementos!C:C,"",0,1)),A$2)</f>
        <v/>
      </c>
      <c r="M963" s="4" t="str">
        <f t="shared" si="2"/>
        <v/>
      </c>
      <c r="N963" s="4" t="str">
        <f t="shared" si="3"/>
        <v/>
      </c>
      <c r="O963" s="4" t="str">
        <f t="shared" si="4"/>
        <v/>
      </c>
      <c r="P963" s="4" t="str">
        <f t="shared" si="5"/>
        <v/>
      </c>
      <c r="Q963" s="4" t="str">
        <f>IF(U963="","",SUMIF(Productos!E:E,U963,Productos!A:A))</f>
        <v/>
      </c>
      <c r="R963" s="4" t="str">
        <f t="array" ref="R963">IF(L963="","", max(1,SUMIF(I:I,XLOOKUP(U963,Productos!E:E,Productos!G:G,"",0,1),J:J)))</f>
        <v/>
      </c>
      <c r="S963" s="4" t="str">
        <f>IF(Q963="","",IF(SUMIFS(Compat_Vetado!D:D,Compat_Vetado!B:B,SUM(G:G),Compat_Vetado!C:C,Q963)=1,"SI",IF(OR(SUMIF(Cotizador!E:E,Q963,Cotizador!G:G)&gt;0,SUMIFS(Compat_Vetado!D:D,Compat_Vetado!B:B,SUM(G:G),Compat_Vetado!C:C,Q963)=-1),"NO","")))</f>
        <v/>
      </c>
      <c r="T963" s="4" t="str">
        <f t="shared" si="6"/>
        <v/>
      </c>
      <c r="U963" s="4" t="str">
        <f>IFERROR(__xludf.DUMMYFUNCTION("IF(P963="""","""",IFERROR(INDEX(filter(Productos!E:E,Productos!F:F=L963,Productos!H:H=N963),P963),IF(M963=SUM(D:D),""Finalizar"",""-"")))"),"")</f>
        <v/>
      </c>
      <c r="V963" s="4" t="str">
        <f>IFERROR(__xludf.DUMMYFUNCTION("IF(OR($U963="""",COUNTIF($I:$I,IFERROR(unique(filter(Prod_Prop!$H:$H,Prod_Prop!$G:$G=$U963,Prod_Prop!$E:$E=V$1)),""Check""))=0),"""",IFERROR(unique(filter(Prod_Prop!$H:$H,Prod_Prop!$G:$G=$U963,Prod_Prop!$E:$E=V$1)),""""))"),"")</f>
        <v/>
      </c>
      <c r="W963" s="4" t="str">
        <f>IF(V963="","",SUMIFS(Prod_Prop!$J:$J,Prod_Prop!$B:$B,$Q963,Prod_Prop!$H:$H,V963,Prod_Prop!$I:$I,W$1)*IF(V963="Peso",$R963,1))</f>
        <v/>
      </c>
      <c r="X963" s="4" t="str">
        <f>IF(V963="","",SUMIFS(Prod_Prop!$J:$J,Prod_Prop!$B:$B,$Q963,Prod_Prop!$H:$H,V963,Prod_Prop!$I:$I,X$1)*IF(V963="Peso",$R963,1))</f>
        <v/>
      </c>
      <c r="Y963" s="4" t="str">
        <f>IFERROR(__xludf.DUMMYFUNCTION("IF(OR($U963="""",COUNTIF($I:$I,IFERROR(unique(filter(Prod_Prop!$H:$H,Prod_Prop!$G:$G=$U963,Prod_Prop!$E:$E=Y$1)),""Check""))=0),"""",IFERROR(unique(filter(Prod_Prop!$H:$H,Prod_Prop!$G:$G=$U963,Prod_Prop!$E:$E=Y$1)),""""))"),"")</f>
        <v/>
      </c>
      <c r="Z963" s="4" t="str">
        <f>IF(Y963="","",SUMIFS(Prod_Prop!$J:$J,Prod_Prop!$B:$B,$Q963,Prod_Prop!$H:$H,Y963,Prod_Prop!$I:$I,Z$1)*IF(Y963="Peso",$R963,1))</f>
        <v/>
      </c>
      <c r="AA963" s="4" t="str">
        <f>IF(Y963="","",SUMIFS(Prod_Prop!$J:$J,Prod_Prop!$B:$B,$Q963,Prod_Prop!$H:$H,Y963,Prod_Prop!$I:$I,AA$1)*IF(Y963="Peso",$R963,1))</f>
        <v/>
      </c>
      <c r="AB963" s="4" t="str">
        <f>IFERROR(__xludf.DUMMYFUNCTION("IF(OR($U963="""",COUNTIF($I:$I,IFERROR(unique(filter(Prod_Prop!$H:$H,Prod_Prop!$G:$G=$U963,Prod_Prop!$E:$E=AB$1)),""Check""))=0),"""",IFERROR(unique(filter(Prod_Prop!$H:$H,Prod_Prop!$G:$G=$U963,Prod_Prop!$E:$E=AB$1)),""""))"),"")</f>
        <v/>
      </c>
      <c r="AC963" s="4" t="str">
        <f>IF(AB963="","",SUMIFS(Prod_Prop!$J:$J,Prod_Prop!$B:$B,$Q963,Prod_Prop!$H:$H,AB963,Prod_Prop!$I:$I,AC$1)*IF(AB963="Peso",$R963,1))</f>
        <v/>
      </c>
      <c r="AD963" s="4" t="str">
        <f>IF(AB963="","",SUMIFS(Prod_Prop!$J:$J,Prod_Prop!$B:$B,$Q963,Prod_Prop!$H:$H,AB963,Prod_Prop!$I:$I,AD$1)*IF(AB963="Peso",$R963,1))</f>
        <v/>
      </c>
    </row>
    <row r="964">
      <c r="A964" s="4" t="str">
        <f t="array" ref="A964">IF(COUNTIF(A$1:A963,Cotizador!F$2)=maxifs(Familias!E:E,Familias!D:D,Cotizador!F$2),IF(COUNTIF(A$1:A963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4" s="4" t="str">
        <f t="shared" si="1"/>
        <v/>
      </c>
      <c r="C964" s="4" t="str">
        <f t="array" ref="C964">IF(B964="","",IF(A964=XLOOKUP(A$2,Implementos!B:B,Implementos!C:C,"",0,1),B964+maxifs(B$1:B963,A$1:A963,A$2),B964))</f>
        <v/>
      </c>
      <c r="D964" s="4" t="str">
        <f>IF(B964="","", COUNTIFS(Productos!F:F,A964,Productos!H:H,B964)+IF(F964="SI",0,1))</f>
        <v/>
      </c>
      <c r="E964" s="4" t="str">
        <f>IFERROR(__xludf.DUMMYFUNCTION("IF($B964="""","""",INDEX(filter(Familias!F:F,Familias!$D:$D=$A964,Familias!$E:$E=$B964),1))"),"")</f>
        <v/>
      </c>
      <c r="F964" s="4" t="str">
        <f>IFERROR(__xludf.DUMMYFUNCTION("IF($B964="""","""",INDEX(filter(Familias!G:G,Familias!$D:$D=$A964,Familias!$E:$E=$B964),1))"),"")</f>
        <v/>
      </c>
      <c r="G964" s="4" t="str">
        <f t="array" ref="G964">IF(C964=1,XLOOKUP(C964,Cotizador!D:D,Cotizador!E:E,"",0,1),"")</f>
        <v/>
      </c>
      <c r="I964" s="4"/>
      <c r="J964" s="8" t="str">
        <f>IF(I964="","",SUMIF(Cotizador!I$1:V$1,I964,Cotizador!I$2:V$2))</f>
        <v/>
      </c>
      <c r="L964" s="4" t="str">
        <f t="array" ref="L964">IF(COUNTIF(L$1:L963,A$2)=SUMIF(A:A,A$2,D:D),IF(COUNTIF(L$1:L963,XLOOKUP(A$2,Implementos!B:B,Implementos!C:C,"",0,1))=SUMIF(A:A,XLOOKUP(A$2,Implementos!B:B,Implementos!C:C,"",0,1),D:D),"",XLOOKUP(A$2,Implementos!B:B,Implementos!C:C,"",0,1)),A$2)</f>
        <v/>
      </c>
      <c r="M964" s="4" t="str">
        <f t="shared" si="2"/>
        <v/>
      </c>
      <c r="N964" s="4" t="str">
        <f t="shared" si="3"/>
        <v/>
      </c>
      <c r="O964" s="4" t="str">
        <f t="shared" si="4"/>
        <v/>
      </c>
      <c r="P964" s="4" t="str">
        <f t="shared" si="5"/>
        <v/>
      </c>
      <c r="Q964" s="4" t="str">
        <f>IF(U964="","",SUMIF(Productos!E:E,U964,Productos!A:A))</f>
        <v/>
      </c>
      <c r="R964" s="4" t="str">
        <f t="array" ref="R964">IF(L964="","", max(1,SUMIF(I:I,XLOOKUP(U964,Productos!E:E,Productos!G:G,"",0,1),J:J)))</f>
        <v/>
      </c>
      <c r="S964" s="4" t="str">
        <f>IF(Q964="","",IF(SUMIFS(Compat_Vetado!D:D,Compat_Vetado!B:B,SUM(G:G),Compat_Vetado!C:C,Q964)=1,"SI",IF(OR(SUMIF(Cotizador!E:E,Q964,Cotizador!G:G)&gt;0,SUMIFS(Compat_Vetado!D:D,Compat_Vetado!B:B,SUM(G:G),Compat_Vetado!C:C,Q964)=-1),"NO","")))</f>
        <v/>
      </c>
      <c r="T964" s="4" t="str">
        <f t="shared" si="6"/>
        <v/>
      </c>
      <c r="U964" s="4" t="str">
        <f>IFERROR(__xludf.DUMMYFUNCTION("IF(P964="""","""",IFERROR(INDEX(filter(Productos!E:E,Productos!F:F=L964,Productos!H:H=N964),P964),IF(M964=SUM(D:D),""Finalizar"",""-"")))"),"")</f>
        <v/>
      </c>
      <c r="V964" s="4" t="str">
        <f>IFERROR(__xludf.DUMMYFUNCTION("IF(OR($U964="""",COUNTIF($I:$I,IFERROR(unique(filter(Prod_Prop!$H:$H,Prod_Prop!$G:$G=$U964,Prod_Prop!$E:$E=V$1)),""Check""))=0),"""",IFERROR(unique(filter(Prod_Prop!$H:$H,Prod_Prop!$G:$G=$U964,Prod_Prop!$E:$E=V$1)),""""))"),"")</f>
        <v/>
      </c>
      <c r="W964" s="4" t="str">
        <f>IF(V964="","",SUMIFS(Prod_Prop!$J:$J,Prod_Prop!$B:$B,$Q964,Prod_Prop!$H:$H,V964,Prod_Prop!$I:$I,W$1)*IF(V964="Peso",$R964,1))</f>
        <v/>
      </c>
      <c r="X964" s="4" t="str">
        <f>IF(V964="","",SUMIFS(Prod_Prop!$J:$J,Prod_Prop!$B:$B,$Q964,Prod_Prop!$H:$H,V964,Prod_Prop!$I:$I,X$1)*IF(V964="Peso",$R964,1))</f>
        <v/>
      </c>
      <c r="Y964" s="4" t="str">
        <f>IFERROR(__xludf.DUMMYFUNCTION("IF(OR($U964="""",COUNTIF($I:$I,IFERROR(unique(filter(Prod_Prop!$H:$H,Prod_Prop!$G:$G=$U964,Prod_Prop!$E:$E=Y$1)),""Check""))=0),"""",IFERROR(unique(filter(Prod_Prop!$H:$H,Prod_Prop!$G:$G=$U964,Prod_Prop!$E:$E=Y$1)),""""))"),"")</f>
        <v/>
      </c>
      <c r="Z964" s="4" t="str">
        <f>IF(Y964="","",SUMIFS(Prod_Prop!$J:$J,Prod_Prop!$B:$B,$Q964,Prod_Prop!$H:$H,Y964,Prod_Prop!$I:$I,Z$1)*IF(Y964="Peso",$R964,1))</f>
        <v/>
      </c>
      <c r="AA964" s="4" t="str">
        <f>IF(Y964="","",SUMIFS(Prod_Prop!$J:$J,Prod_Prop!$B:$B,$Q964,Prod_Prop!$H:$H,Y964,Prod_Prop!$I:$I,AA$1)*IF(Y964="Peso",$R964,1))</f>
        <v/>
      </c>
      <c r="AB964" s="4" t="str">
        <f>IFERROR(__xludf.DUMMYFUNCTION("IF(OR($U964="""",COUNTIF($I:$I,IFERROR(unique(filter(Prod_Prop!$H:$H,Prod_Prop!$G:$G=$U964,Prod_Prop!$E:$E=AB$1)),""Check""))=0),"""",IFERROR(unique(filter(Prod_Prop!$H:$H,Prod_Prop!$G:$G=$U964,Prod_Prop!$E:$E=AB$1)),""""))"),"")</f>
        <v/>
      </c>
      <c r="AC964" s="4" t="str">
        <f>IF(AB964="","",SUMIFS(Prod_Prop!$J:$J,Prod_Prop!$B:$B,$Q964,Prod_Prop!$H:$H,AB964,Prod_Prop!$I:$I,AC$1)*IF(AB964="Peso",$R964,1))</f>
        <v/>
      </c>
      <c r="AD964" s="4" t="str">
        <f>IF(AB964="","",SUMIFS(Prod_Prop!$J:$J,Prod_Prop!$B:$B,$Q964,Prod_Prop!$H:$H,AB964,Prod_Prop!$I:$I,AD$1)*IF(AB964="Peso",$R964,1))</f>
        <v/>
      </c>
    </row>
    <row r="965">
      <c r="A965" s="4" t="str">
        <f t="array" ref="A965">IF(COUNTIF(A$1:A964,Cotizador!F$2)=maxifs(Familias!E:E,Familias!D:D,Cotizador!F$2),IF(COUNTIF(A$1:A964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5" s="4" t="str">
        <f t="shared" si="1"/>
        <v/>
      </c>
      <c r="C965" s="4" t="str">
        <f t="array" ref="C965">IF(B965="","",IF(A965=XLOOKUP(A$2,Implementos!B:B,Implementos!C:C,"",0,1),B965+maxifs(B$1:B964,A$1:A964,A$2),B965))</f>
        <v/>
      </c>
      <c r="D965" s="4" t="str">
        <f>IF(B965="","", COUNTIFS(Productos!F:F,A965,Productos!H:H,B965)+IF(F965="SI",0,1))</f>
        <v/>
      </c>
      <c r="E965" s="4" t="str">
        <f>IFERROR(__xludf.DUMMYFUNCTION("IF($B965="""","""",INDEX(filter(Familias!F:F,Familias!$D:$D=$A965,Familias!$E:$E=$B965),1))"),"")</f>
        <v/>
      </c>
      <c r="F965" s="4" t="str">
        <f>IFERROR(__xludf.DUMMYFUNCTION("IF($B965="""","""",INDEX(filter(Familias!G:G,Familias!$D:$D=$A965,Familias!$E:$E=$B965),1))"),"")</f>
        <v/>
      </c>
      <c r="G965" s="4" t="str">
        <f t="array" ref="G965">IF(C965=1,XLOOKUP(C965,Cotizador!D:D,Cotizador!E:E,"",0,1),"")</f>
        <v/>
      </c>
      <c r="I965" s="4"/>
      <c r="J965" s="8" t="str">
        <f>IF(I965="","",SUMIF(Cotizador!I$1:V$1,I965,Cotizador!I$2:V$2))</f>
        <v/>
      </c>
      <c r="L965" s="4" t="str">
        <f t="array" ref="L965">IF(COUNTIF(L$1:L964,A$2)=SUMIF(A:A,A$2,D:D),IF(COUNTIF(L$1:L964,XLOOKUP(A$2,Implementos!B:B,Implementos!C:C,"",0,1))=SUMIF(A:A,XLOOKUP(A$2,Implementos!B:B,Implementos!C:C,"",0,1),D:D),"",XLOOKUP(A$2,Implementos!B:B,Implementos!C:C,"",0,1)),A$2)</f>
        <v/>
      </c>
      <c r="M965" s="4" t="str">
        <f t="shared" si="2"/>
        <v/>
      </c>
      <c r="N965" s="4" t="str">
        <f t="shared" si="3"/>
        <v/>
      </c>
      <c r="O965" s="4" t="str">
        <f t="shared" si="4"/>
        <v/>
      </c>
      <c r="P965" s="4" t="str">
        <f t="shared" si="5"/>
        <v/>
      </c>
      <c r="Q965" s="4" t="str">
        <f>IF(U965="","",SUMIF(Productos!E:E,U965,Productos!A:A))</f>
        <v/>
      </c>
      <c r="R965" s="4" t="str">
        <f t="array" ref="R965">IF(L965="","", max(1,SUMIF(I:I,XLOOKUP(U965,Productos!E:E,Productos!G:G,"",0,1),J:J)))</f>
        <v/>
      </c>
      <c r="S965" s="4" t="str">
        <f>IF(Q965="","",IF(SUMIFS(Compat_Vetado!D:D,Compat_Vetado!B:B,SUM(G:G),Compat_Vetado!C:C,Q965)=1,"SI",IF(OR(SUMIF(Cotizador!E:E,Q965,Cotizador!G:G)&gt;0,SUMIFS(Compat_Vetado!D:D,Compat_Vetado!B:B,SUM(G:G),Compat_Vetado!C:C,Q965)=-1),"NO","")))</f>
        <v/>
      </c>
      <c r="T965" s="4" t="str">
        <f t="shared" si="6"/>
        <v/>
      </c>
      <c r="U965" s="4" t="str">
        <f>IFERROR(__xludf.DUMMYFUNCTION("IF(P965="""","""",IFERROR(INDEX(filter(Productos!E:E,Productos!F:F=L965,Productos!H:H=N965),P965),IF(M965=SUM(D:D),""Finalizar"",""-"")))"),"")</f>
        <v/>
      </c>
      <c r="V965" s="4" t="str">
        <f>IFERROR(__xludf.DUMMYFUNCTION("IF(OR($U965="""",COUNTIF($I:$I,IFERROR(unique(filter(Prod_Prop!$H:$H,Prod_Prop!$G:$G=$U965,Prod_Prop!$E:$E=V$1)),""Check""))=0),"""",IFERROR(unique(filter(Prod_Prop!$H:$H,Prod_Prop!$G:$G=$U965,Prod_Prop!$E:$E=V$1)),""""))"),"")</f>
        <v/>
      </c>
      <c r="W965" s="4" t="str">
        <f>IF(V965="","",SUMIFS(Prod_Prop!$J:$J,Prod_Prop!$B:$B,$Q965,Prod_Prop!$H:$H,V965,Prod_Prop!$I:$I,W$1)*IF(V965="Peso",$R965,1))</f>
        <v/>
      </c>
      <c r="X965" s="4" t="str">
        <f>IF(V965="","",SUMIFS(Prod_Prop!$J:$J,Prod_Prop!$B:$B,$Q965,Prod_Prop!$H:$H,V965,Prod_Prop!$I:$I,X$1)*IF(V965="Peso",$R965,1))</f>
        <v/>
      </c>
      <c r="Y965" s="4" t="str">
        <f>IFERROR(__xludf.DUMMYFUNCTION("IF(OR($U965="""",COUNTIF($I:$I,IFERROR(unique(filter(Prod_Prop!$H:$H,Prod_Prop!$G:$G=$U965,Prod_Prop!$E:$E=Y$1)),""Check""))=0),"""",IFERROR(unique(filter(Prod_Prop!$H:$H,Prod_Prop!$G:$G=$U965,Prod_Prop!$E:$E=Y$1)),""""))"),"")</f>
        <v/>
      </c>
      <c r="Z965" s="4" t="str">
        <f>IF(Y965="","",SUMIFS(Prod_Prop!$J:$J,Prod_Prop!$B:$B,$Q965,Prod_Prop!$H:$H,Y965,Prod_Prop!$I:$I,Z$1)*IF(Y965="Peso",$R965,1))</f>
        <v/>
      </c>
      <c r="AA965" s="4" t="str">
        <f>IF(Y965="","",SUMIFS(Prod_Prop!$J:$J,Prod_Prop!$B:$B,$Q965,Prod_Prop!$H:$H,Y965,Prod_Prop!$I:$I,AA$1)*IF(Y965="Peso",$R965,1))</f>
        <v/>
      </c>
      <c r="AB965" s="4" t="str">
        <f>IFERROR(__xludf.DUMMYFUNCTION("IF(OR($U965="""",COUNTIF($I:$I,IFERROR(unique(filter(Prod_Prop!$H:$H,Prod_Prop!$G:$G=$U965,Prod_Prop!$E:$E=AB$1)),""Check""))=0),"""",IFERROR(unique(filter(Prod_Prop!$H:$H,Prod_Prop!$G:$G=$U965,Prod_Prop!$E:$E=AB$1)),""""))"),"")</f>
        <v/>
      </c>
      <c r="AC965" s="4" t="str">
        <f>IF(AB965="","",SUMIFS(Prod_Prop!$J:$J,Prod_Prop!$B:$B,$Q965,Prod_Prop!$H:$H,AB965,Prod_Prop!$I:$I,AC$1)*IF(AB965="Peso",$R965,1))</f>
        <v/>
      </c>
      <c r="AD965" s="4" t="str">
        <f>IF(AB965="","",SUMIFS(Prod_Prop!$J:$J,Prod_Prop!$B:$B,$Q965,Prod_Prop!$H:$H,AB965,Prod_Prop!$I:$I,AD$1)*IF(AB965="Peso",$R965,1))</f>
        <v/>
      </c>
    </row>
    <row r="966">
      <c r="A966" s="4" t="str">
        <f t="array" ref="A966">IF(COUNTIF(A$1:A965,Cotizador!F$2)=maxifs(Familias!E:E,Familias!D:D,Cotizador!F$2),IF(COUNTIF(A$1:A965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6" s="4" t="str">
        <f t="shared" si="1"/>
        <v/>
      </c>
      <c r="C966" s="4" t="str">
        <f t="array" ref="C966">IF(B966="","",IF(A966=XLOOKUP(A$2,Implementos!B:B,Implementos!C:C,"",0,1),B966+maxifs(B$1:B965,A$1:A965,A$2),B966))</f>
        <v/>
      </c>
      <c r="D966" s="4" t="str">
        <f>IF(B966="","", COUNTIFS(Productos!F:F,A966,Productos!H:H,B966)+IF(F966="SI",0,1))</f>
        <v/>
      </c>
      <c r="E966" s="4" t="str">
        <f>IFERROR(__xludf.DUMMYFUNCTION("IF($B966="""","""",INDEX(filter(Familias!F:F,Familias!$D:$D=$A966,Familias!$E:$E=$B966),1))"),"")</f>
        <v/>
      </c>
      <c r="F966" s="4" t="str">
        <f>IFERROR(__xludf.DUMMYFUNCTION("IF($B966="""","""",INDEX(filter(Familias!G:G,Familias!$D:$D=$A966,Familias!$E:$E=$B966),1))"),"")</f>
        <v/>
      </c>
      <c r="G966" s="4" t="str">
        <f t="array" ref="G966">IF(C966=1,XLOOKUP(C966,Cotizador!D:D,Cotizador!E:E,"",0,1),"")</f>
        <v/>
      </c>
      <c r="I966" s="4"/>
      <c r="J966" s="8" t="str">
        <f>IF(I966="","",SUMIF(Cotizador!I$1:V$1,I966,Cotizador!I$2:V$2))</f>
        <v/>
      </c>
      <c r="L966" s="4" t="str">
        <f t="array" ref="L966">IF(COUNTIF(L$1:L965,A$2)=SUMIF(A:A,A$2,D:D),IF(COUNTIF(L$1:L965,XLOOKUP(A$2,Implementos!B:B,Implementos!C:C,"",0,1))=SUMIF(A:A,XLOOKUP(A$2,Implementos!B:B,Implementos!C:C,"",0,1),D:D),"",XLOOKUP(A$2,Implementos!B:B,Implementos!C:C,"",0,1)),A$2)</f>
        <v/>
      </c>
      <c r="M966" s="4" t="str">
        <f t="shared" si="2"/>
        <v/>
      </c>
      <c r="N966" s="4" t="str">
        <f t="shared" si="3"/>
        <v/>
      </c>
      <c r="O966" s="4" t="str">
        <f t="shared" si="4"/>
        <v/>
      </c>
      <c r="P966" s="4" t="str">
        <f t="shared" si="5"/>
        <v/>
      </c>
      <c r="Q966" s="4" t="str">
        <f>IF(U966="","",SUMIF(Productos!E:E,U966,Productos!A:A))</f>
        <v/>
      </c>
      <c r="R966" s="4" t="str">
        <f t="array" ref="R966">IF(L966="","", max(1,SUMIF(I:I,XLOOKUP(U966,Productos!E:E,Productos!G:G,"",0,1),J:J)))</f>
        <v/>
      </c>
      <c r="S966" s="4" t="str">
        <f>IF(Q966="","",IF(SUMIFS(Compat_Vetado!D:D,Compat_Vetado!B:B,SUM(G:G),Compat_Vetado!C:C,Q966)=1,"SI",IF(OR(SUMIF(Cotizador!E:E,Q966,Cotizador!G:G)&gt;0,SUMIFS(Compat_Vetado!D:D,Compat_Vetado!B:B,SUM(G:G),Compat_Vetado!C:C,Q966)=-1),"NO","")))</f>
        <v/>
      </c>
      <c r="T966" s="4" t="str">
        <f t="shared" si="6"/>
        <v/>
      </c>
      <c r="U966" s="4" t="str">
        <f>IFERROR(__xludf.DUMMYFUNCTION("IF(P966="""","""",IFERROR(INDEX(filter(Productos!E:E,Productos!F:F=L966,Productos!H:H=N966),P966),IF(M966=SUM(D:D),""Finalizar"",""-"")))"),"")</f>
        <v/>
      </c>
      <c r="V966" s="4" t="str">
        <f>IFERROR(__xludf.DUMMYFUNCTION("IF(OR($U966="""",COUNTIF($I:$I,IFERROR(unique(filter(Prod_Prop!$H:$H,Prod_Prop!$G:$G=$U966,Prod_Prop!$E:$E=V$1)),""Check""))=0),"""",IFERROR(unique(filter(Prod_Prop!$H:$H,Prod_Prop!$G:$G=$U966,Prod_Prop!$E:$E=V$1)),""""))"),"")</f>
        <v/>
      </c>
      <c r="W966" s="4" t="str">
        <f>IF(V966="","",SUMIFS(Prod_Prop!$J:$J,Prod_Prop!$B:$B,$Q966,Prod_Prop!$H:$H,V966,Prod_Prop!$I:$I,W$1)*IF(V966="Peso",$R966,1))</f>
        <v/>
      </c>
      <c r="X966" s="4" t="str">
        <f>IF(V966="","",SUMIFS(Prod_Prop!$J:$J,Prod_Prop!$B:$B,$Q966,Prod_Prop!$H:$H,V966,Prod_Prop!$I:$I,X$1)*IF(V966="Peso",$R966,1))</f>
        <v/>
      </c>
      <c r="Y966" s="4" t="str">
        <f>IFERROR(__xludf.DUMMYFUNCTION("IF(OR($U966="""",COUNTIF($I:$I,IFERROR(unique(filter(Prod_Prop!$H:$H,Prod_Prop!$G:$G=$U966,Prod_Prop!$E:$E=Y$1)),""Check""))=0),"""",IFERROR(unique(filter(Prod_Prop!$H:$H,Prod_Prop!$G:$G=$U966,Prod_Prop!$E:$E=Y$1)),""""))"),"")</f>
        <v/>
      </c>
      <c r="Z966" s="4" t="str">
        <f>IF(Y966="","",SUMIFS(Prod_Prop!$J:$J,Prod_Prop!$B:$B,$Q966,Prod_Prop!$H:$H,Y966,Prod_Prop!$I:$I,Z$1)*IF(Y966="Peso",$R966,1))</f>
        <v/>
      </c>
      <c r="AA966" s="4" t="str">
        <f>IF(Y966="","",SUMIFS(Prod_Prop!$J:$J,Prod_Prop!$B:$B,$Q966,Prod_Prop!$H:$H,Y966,Prod_Prop!$I:$I,AA$1)*IF(Y966="Peso",$R966,1))</f>
        <v/>
      </c>
      <c r="AB966" s="4" t="str">
        <f>IFERROR(__xludf.DUMMYFUNCTION("IF(OR($U966="""",COUNTIF($I:$I,IFERROR(unique(filter(Prod_Prop!$H:$H,Prod_Prop!$G:$G=$U966,Prod_Prop!$E:$E=AB$1)),""Check""))=0),"""",IFERROR(unique(filter(Prod_Prop!$H:$H,Prod_Prop!$G:$G=$U966,Prod_Prop!$E:$E=AB$1)),""""))"),"")</f>
        <v/>
      </c>
      <c r="AC966" s="4" t="str">
        <f>IF(AB966="","",SUMIFS(Prod_Prop!$J:$J,Prod_Prop!$B:$B,$Q966,Prod_Prop!$H:$H,AB966,Prod_Prop!$I:$I,AC$1)*IF(AB966="Peso",$R966,1))</f>
        <v/>
      </c>
      <c r="AD966" s="4" t="str">
        <f>IF(AB966="","",SUMIFS(Prod_Prop!$J:$J,Prod_Prop!$B:$B,$Q966,Prod_Prop!$H:$H,AB966,Prod_Prop!$I:$I,AD$1)*IF(AB966="Peso",$R966,1))</f>
        <v/>
      </c>
    </row>
    <row r="967">
      <c r="A967" s="4" t="str">
        <f t="array" ref="A967">IF(COUNTIF(A$1:A966,Cotizador!F$2)=maxifs(Familias!E:E,Familias!D:D,Cotizador!F$2),IF(COUNTIF(A$1:A966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7" s="4" t="str">
        <f t="shared" si="1"/>
        <v/>
      </c>
      <c r="C967" s="4" t="str">
        <f t="array" ref="C967">IF(B967="","",IF(A967=XLOOKUP(A$2,Implementos!B:B,Implementos!C:C,"",0,1),B967+maxifs(B$1:B966,A$1:A966,A$2),B967))</f>
        <v/>
      </c>
      <c r="D967" s="4" t="str">
        <f>IF(B967="","", COUNTIFS(Productos!F:F,A967,Productos!H:H,B967)+IF(F967="SI",0,1))</f>
        <v/>
      </c>
      <c r="E967" s="4" t="str">
        <f>IFERROR(__xludf.DUMMYFUNCTION("IF($B967="""","""",INDEX(filter(Familias!F:F,Familias!$D:$D=$A967,Familias!$E:$E=$B967),1))"),"")</f>
        <v/>
      </c>
      <c r="F967" s="4" t="str">
        <f>IFERROR(__xludf.DUMMYFUNCTION("IF($B967="""","""",INDEX(filter(Familias!G:G,Familias!$D:$D=$A967,Familias!$E:$E=$B967),1))"),"")</f>
        <v/>
      </c>
      <c r="G967" s="4" t="str">
        <f t="array" ref="G967">IF(C967=1,XLOOKUP(C967,Cotizador!D:D,Cotizador!E:E,"",0,1),"")</f>
        <v/>
      </c>
      <c r="I967" s="4"/>
      <c r="J967" s="8" t="str">
        <f>IF(I967="","",SUMIF(Cotizador!I$1:V$1,I967,Cotizador!I$2:V$2))</f>
        <v/>
      </c>
      <c r="L967" s="4" t="str">
        <f t="array" ref="L967">IF(COUNTIF(L$1:L966,A$2)=SUMIF(A:A,A$2,D:D),IF(COUNTIF(L$1:L966,XLOOKUP(A$2,Implementos!B:B,Implementos!C:C,"",0,1))=SUMIF(A:A,XLOOKUP(A$2,Implementos!B:B,Implementos!C:C,"",0,1),D:D),"",XLOOKUP(A$2,Implementos!B:B,Implementos!C:C,"",0,1)),A$2)</f>
        <v/>
      </c>
      <c r="M967" s="4" t="str">
        <f t="shared" si="2"/>
        <v/>
      </c>
      <c r="N967" s="4" t="str">
        <f t="shared" si="3"/>
        <v/>
      </c>
      <c r="O967" s="4" t="str">
        <f t="shared" si="4"/>
        <v/>
      </c>
      <c r="P967" s="4" t="str">
        <f t="shared" si="5"/>
        <v/>
      </c>
      <c r="Q967" s="4" t="str">
        <f>IF(U967="","",SUMIF(Productos!E:E,U967,Productos!A:A))</f>
        <v/>
      </c>
      <c r="R967" s="4" t="str">
        <f t="array" ref="R967">IF(L967="","", max(1,SUMIF(I:I,XLOOKUP(U967,Productos!E:E,Productos!G:G,"",0,1),J:J)))</f>
        <v/>
      </c>
      <c r="S967" s="4" t="str">
        <f>IF(Q967="","",IF(SUMIFS(Compat_Vetado!D:D,Compat_Vetado!B:B,SUM(G:G),Compat_Vetado!C:C,Q967)=1,"SI",IF(OR(SUMIF(Cotizador!E:E,Q967,Cotizador!G:G)&gt;0,SUMIFS(Compat_Vetado!D:D,Compat_Vetado!B:B,SUM(G:G),Compat_Vetado!C:C,Q967)=-1),"NO","")))</f>
        <v/>
      </c>
      <c r="T967" s="4" t="str">
        <f t="shared" si="6"/>
        <v/>
      </c>
      <c r="U967" s="4" t="str">
        <f>IFERROR(__xludf.DUMMYFUNCTION("IF(P967="""","""",IFERROR(INDEX(filter(Productos!E:E,Productos!F:F=L967,Productos!H:H=N967),P967),IF(M967=SUM(D:D),""Finalizar"",""-"")))"),"")</f>
        <v/>
      </c>
      <c r="V967" s="4" t="str">
        <f>IFERROR(__xludf.DUMMYFUNCTION("IF(OR($U967="""",COUNTIF($I:$I,IFERROR(unique(filter(Prod_Prop!$H:$H,Prod_Prop!$G:$G=$U967,Prod_Prop!$E:$E=V$1)),""Check""))=0),"""",IFERROR(unique(filter(Prod_Prop!$H:$H,Prod_Prop!$G:$G=$U967,Prod_Prop!$E:$E=V$1)),""""))"),"")</f>
        <v/>
      </c>
      <c r="W967" s="4" t="str">
        <f>IF(V967="","",SUMIFS(Prod_Prop!$J:$J,Prod_Prop!$B:$B,$Q967,Prod_Prop!$H:$H,V967,Prod_Prop!$I:$I,W$1)*IF(V967="Peso",$R967,1))</f>
        <v/>
      </c>
      <c r="X967" s="4" t="str">
        <f>IF(V967="","",SUMIFS(Prod_Prop!$J:$J,Prod_Prop!$B:$B,$Q967,Prod_Prop!$H:$H,V967,Prod_Prop!$I:$I,X$1)*IF(V967="Peso",$R967,1))</f>
        <v/>
      </c>
      <c r="Y967" s="4" t="str">
        <f>IFERROR(__xludf.DUMMYFUNCTION("IF(OR($U967="""",COUNTIF($I:$I,IFERROR(unique(filter(Prod_Prop!$H:$H,Prod_Prop!$G:$G=$U967,Prod_Prop!$E:$E=Y$1)),""Check""))=0),"""",IFERROR(unique(filter(Prod_Prop!$H:$H,Prod_Prop!$G:$G=$U967,Prod_Prop!$E:$E=Y$1)),""""))"),"")</f>
        <v/>
      </c>
      <c r="Z967" s="4" t="str">
        <f>IF(Y967="","",SUMIFS(Prod_Prop!$J:$J,Prod_Prop!$B:$B,$Q967,Prod_Prop!$H:$H,Y967,Prod_Prop!$I:$I,Z$1)*IF(Y967="Peso",$R967,1))</f>
        <v/>
      </c>
      <c r="AA967" s="4" t="str">
        <f>IF(Y967="","",SUMIFS(Prod_Prop!$J:$J,Prod_Prop!$B:$B,$Q967,Prod_Prop!$H:$H,Y967,Prod_Prop!$I:$I,AA$1)*IF(Y967="Peso",$R967,1))</f>
        <v/>
      </c>
      <c r="AB967" s="4" t="str">
        <f>IFERROR(__xludf.DUMMYFUNCTION("IF(OR($U967="""",COUNTIF($I:$I,IFERROR(unique(filter(Prod_Prop!$H:$H,Prod_Prop!$G:$G=$U967,Prod_Prop!$E:$E=AB$1)),""Check""))=0),"""",IFERROR(unique(filter(Prod_Prop!$H:$H,Prod_Prop!$G:$G=$U967,Prod_Prop!$E:$E=AB$1)),""""))"),"")</f>
        <v/>
      </c>
      <c r="AC967" s="4" t="str">
        <f>IF(AB967="","",SUMIFS(Prod_Prop!$J:$J,Prod_Prop!$B:$B,$Q967,Prod_Prop!$H:$H,AB967,Prod_Prop!$I:$I,AC$1)*IF(AB967="Peso",$R967,1))</f>
        <v/>
      </c>
      <c r="AD967" s="4" t="str">
        <f>IF(AB967="","",SUMIFS(Prod_Prop!$J:$J,Prod_Prop!$B:$B,$Q967,Prod_Prop!$H:$H,AB967,Prod_Prop!$I:$I,AD$1)*IF(AB967="Peso",$R967,1))</f>
        <v/>
      </c>
    </row>
    <row r="968">
      <c r="A968" s="4" t="str">
        <f t="array" ref="A968">IF(COUNTIF(A$1:A967,Cotizador!F$2)=maxifs(Familias!E:E,Familias!D:D,Cotizador!F$2),IF(COUNTIF(A$1:A967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8" s="4" t="str">
        <f t="shared" si="1"/>
        <v/>
      </c>
      <c r="C968" s="4" t="str">
        <f t="array" ref="C968">IF(B968="","",IF(A968=XLOOKUP(A$2,Implementos!B:B,Implementos!C:C,"",0,1),B968+maxifs(B$1:B967,A$1:A967,A$2),B968))</f>
        <v/>
      </c>
      <c r="D968" s="4" t="str">
        <f>IF(B968="","", COUNTIFS(Productos!F:F,A968,Productos!H:H,B968)+IF(F968="SI",0,1))</f>
        <v/>
      </c>
      <c r="E968" s="4" t="str">
        <f>IFERROR(__xludf.DUMMYFUNCTION("IF($B968="""","""",INDEX(filter(Familias!F:F,Familias!$D:$D=$A968,Familias!$E:$E=$B968),1))"),"")</f>
        <v/>
      </c>
      <c r="F968" s="4" t="str">
        <f>IFERROR(__xludf.DUMMYFUNCTION("IF($B968="""","""",INDEX(filter(Familias!G:G,Familias!$D:$D=$A968,Familias!$E:$E=$B968),1))"),"")</f>
        <v/>
      </c>
      <c r="G968" s="4" t="str">
        <f t="array" ref="G968">IF(C968=1,XLOOKUP(C968,Cotizador!D:D,Cotizador!E:E,"",0,1),"")</f>
        <v/>
      </c>
      <c r="I968" s="4"/>
      <c r="J968" s="8" t="str">
        <f>IF(I968="","",SUMIF(Cotizador!I$1:V$1,I968,Cotizador!I$2:V$2))</f>
        <v/>
      </c>
      <c r="L968" s="4" t="str">
        <f t="array" ref="L968">IF(COUNTIF(L$1:L967,A$2)=SUMIF(A:A,A$2,D:D),IF(COUNTIF(L$1:L967,XLOOKUP(A$2,Implementos!B:B,Implementos!C:C,"",0,1))=SUMIF(A:A,XLOOKUP(A$2,Implementos!B:B,Implementos!C:C,"",0,1),D:D),"",XLOOKUP(A$2,Implementos!B:B,Implementos!C:C,"",0,1)),A$2)</f>
        <v/>
      </c>
      <c r="M968" s="4" t="str">
        <f t="shared" si="2"/>
        <v/>
      </c>
      <c r="N968" s="4" t="str">
        <f t="shared" si="3"/>
        <v/>
      </c>
      <c r="O968" s="4" t="str">
        <f t="shared" si="4"/>
        <v/>
      </c>
      <c r="P968" s="4" t="str">
        <f t="shared" si="5"/>
        <v/>
      </c>
      <c r="Q968" s="4" t="str">
        <f>IF(U968="","",SUMIF(Productos!E:E,U968,Productos!A:A))</f>
        <v/>
      </c>
      <c r="R968" s="4" t="str">
        <f t="array" ref="R968">IF(L968="","", max(1,SUMIF(I:I,XLOOKUP(U968,Productos!E:E,Productos!G:G,"",0,1),J:J)))</f>
        <v/>
      </c>
      <c r="S968" s="4" t="str">
        <f>IF(Q968="","",IF(SUMIFS(Compat_Vetado!D:D,Compat_Vetado!B:B,SUM(G:G),Compat_Vetado!C:C,Q968)=1,"SI",IF(OR(SUMIF(Cotizador!E:E,Q968,Cotizador!G:G)&gt;0,SUMIFS(Compat_Vetado!D:D,Compat_Vetado!B:B,SUM(G:G),Compat_Vetado!C:C,Q968)=-1),"NO","")))</f>
        <v/>
      </c>
      <c r="T968" s="4" t="str">
        <f t="shared" si="6"/>
        <v/>
      </c>
      <c r="U968" s="4" t="str">
        <f>IFERROR(__xludf.DUMMYFUNCTION("IF(P968="""","""",IFERROR(INDEX(filter(Productos!E:E,Productos!F:F=L968,Productos!H:H=N968),P968),IF(M968=SUM(D:D),""Finalizar"",""-"")))"),"")</f>
        <v/>
      </c>
      <c r="V968" s="4" t="str">
        <f>IFERROR(__xludf.DUMMYFUNCTION("IF(OR($U968="""",COUNTIF($I:$I,IFERROR(unique(filter(Prod_Prop!$H:$H,Prod_Prop!$G:$G=$U968,Prod_Prop!$E:$E=V$1)),""Check""))=0),"""",IFERROR(unique(filter(Prod_Prop!$H:$H,Prod_Prop!$G:$G=$U968,Prod_Prop!$E:$E=V$1)),""""))"),"")</f>
        <v/>
      </c>
      <c r="W968" s="4" t="str">
        <f>IF(V968="","",SUMIFS(Prod_Prop!$J:$J,Prod_Prop!$B:$B,$Q968,Prod_Prop!$H:$H,V968,Prod_Prop!$I:$I,W$1)*IF(V968="Peso",$R968,1))</f>
        <v/>
      </c>
      <c r="X968" s="4" t="str">
        <f>IF(V968="","",SUMIFS(Prod_Prop!$J:$J,Prod_Prop!$B:$B,$Q968,Prod_Prop!$H:$H,V968,Prod_Prop!$I:$I,X$1)*IF(V968="Peso",$R968,1))</f>
        <v/>
      </c>
      <c r="Y968" s="4" t="str">
        <f>IFERROR(__xludf.DUMMYFUNCTION("IF(OR($U968="""",COUNTIF($I:$I,IFERROR(unique(filter(Prod_Prop!$H:$H,Prod_Prop!$G:$G=$U968,Prod_Prop!$E:$E=Y$1)),""Check""))=0),"""",IFERROR(unique(filter(Prod_Prop!$H:$H,Prod_Prop!$G:$G=$U968,Prod_Prop!$E:$E=Y$1)),""""))"),"")</f>
        <v/>
      </c>
      <c r="Z968" s="4" t="str">
        <f>IF(Y968="","",SUMIFS(Prod_Prop!$J:$J,Prod_Prop!$B:$B,$Q968,Prod_Prop!$H:$H,Y968,Prod_Prop!$I:$I,Z$1)*IF(Y968="Peso",$R968,1))</f>
        <v/>
      </c>
      <c r="AA968" s="4" t="str">
        <f>IF(Y968="","",SUMIFS(Prod_Prop!$J:$J,Prod_Prop!$B:$B,$Q968,Prod_Prop!$H:$H,Y968,Prod_Prop!$I:$I,AA$1)*IF(Y968="Peso",$R968,1))</f>
        <v/>
      </c>
      <c r="AB968" s="4" t="str">
        <f>IFERROR(__xludf.DUMMYFUNCTION("IF(OR($U968="""",COUNTIF($I:$I,IFERROR(unique(filter(Prod_Prop!$H:$H,Prod_Prop!$G:$G=$U968,Prod_Prop!$E:$E=AB$1)),""Check""))=0),"""",IFERROR(unique(filter(Prod_Prop!$H:$H,Prod_Prop!$G:$G=$U968,Prod_Prop!$E:$E=AB$1)),""""))"),"")</f>
        <v/>
      </c>
      <c r="AC968" s="4" t="str">
        <f>IF(AB968="","",SUMIFS(Prod_Prop!$J:$J,Prod_Prop!$B:$B,$Q968,Prod_Prop!$H:$H,AB968,Prod_Prop!$I:$I,AC$1)*IF(AB968="Peso",$R968,1))</f>
        <v/>
      </c>
      <c r="AD968" s="4" t="str">
        <f>IF(AB968="","",SUMIFS(Prod_Prop!$J:$J,Prod_Prop!$B:$B,$Q968,Prod_Prop!$H:$H,AB968,Prod_Prop!$I:$I,AD$1)*IF(AB968="Peso",$R968,1))</f>
        <v/>
      </c>
    </row>
    <row r="969">
      <c r="A969" s="4" t="str">
        <f t="array" ref="A969">IF(COUNTIF(A$1:A968,Cotizador!F$2)=maxifs(Familias!E:E,Familias!D:D,Cotizador!F$2),IF(COUNTIF(A$1:A968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69" s="4" t="str">
        <f t="shared" si="1"/>
        <v/>
      </c>
      <c r="C969" s="4" t="str">
        <f t="array" ref="C969">IF(B969="","",IF(A969=XLOOKUP(A$2,Implementos!B:B,Implementos!C:C,"",0,1),B969+maxifs(B$1:B968,A$1:A968,A$2),B969))</f>
        <v/>
      </c>
      <c r="D969" s="4" t="str">
        <f>IF(B969="","", COUNTIFS(Productos!F:F,A969,Productos!H:H,B969)+IF(F969="SI",0,1))</f>
        <v/>
      </c>
      <c r="E969" s="4" t="str">
        <f>IFERROR(__xludf.DUMMYFUNCTION("IF($B969="""","""",INDEX(filter(Familias!F:F,Familias!$D:$D=$A969,Familias!$E:$E=$B969),1))"),"")</f>
        <v/>
      </c>
      <c r="F969" s="4" t="str">
        <f>IFERROR(__xludf.DUMMYFUNCTION("IF($B969="""","""",INDEX(filter(Familias!G:G,Familias!$D:$D=$A969,Familias!$E:$E=$B969),1))"),"")</f>
        <v/>
      </c>
      <c r="G969" s="4" t="str">
        <f t="array" ref="G969">IF(C969=1,XLOOKUP(C969,Cotizador!D:D,Cotizador!E:E,"",0,1),"")</f>
        <v/>
      </c>
      <c r="I969" s="4"/>
      <c r="J969" s="8" t="str">
        <f>IF(I969="","",SUMIF(Cotizador!I$1:V$1,I969,Cotizador!I$2:V$2))</f>
        <v/>
      </c>
      <c r="L969" s="4" t="str">
        <f t="array" ref="L969">IF(COUNTIF(L$1:L968,A$2)=SUMIF(A:A,A$2,D:D),IF(COUNTIF(L$1:L968,XLOOKUP(A$2,Implementos!B:B,Implementos!C:C,"",0,1))=SUMIF(A:A,XLOOKUP(A$2,Implementos!B:B,Implementos!C:C,"",0,1),D:D),"",XLOOKUP(A$2,Implementos!B:B,Implementos!C:C,"",0,1)),A$2)</f>
        <v/>
      </c>
      <c r="M969" s="4" t="str">
        <f t="shared" si="2"/>
        <v/>
      </c>
      <c r="N969" s="4" t="str">
        <f t="shared" si="3"/>
        <v/>
      </c>
      <c r="O969" s="4" t="str">
        <f t="shared" si="4"/>
        <v/>
      </c>
      <c r="P969" s="4" t="str">
        <f t="shared" si="5"/>
        <v/>
      </c>
      <c r="Q969" s="4" t="str">
        <f>IF(U969="","",SUMIF(Productos!E:E,U969,Productos!A:A))</f>
        <v/>
      </c>
      <c r="R969" s="4" t="str">
        <f t="array" ref="R969">IF(L969="","", max(1,SUMIF(I:I,XLOOKUP(U969,Productos!E:E,Productos!G:G,"",0,1),J:J)))</f>
        <v/>
      </c>
      <c r="S969" s="4" t="str">
        <f>IF(Q969="","",IF(SUMIFS(Compat_Vetado!D:D,Compat_Vetado!B:B,SUM(G:G),Compat_Vetado!C:C,Q969)=1,"SI",IF(OR(SUMIF(Cotizador!E:E,Q969,Cotizador!G:G)&gt;0,SUMIFS(Compat_Vetado!D:D,Compat_Vetado!B:B,SUM(G:G),Compat_Vetado!C:C,Q969)=-1),"NO","")))</f>
        <v/>
      </c>
      <c r="T969" s="4" t="str">
        <f t="shared" si="6"/>
        <v/>
      </c>
      <c r="U969" s="4" t="str">
        <f>IFERROR(__xludf.DUMMYFUNCTION("IF(P969="""","""",IFERROR(INDEX(filter(Productos!E:E,Productos!F:F=L969,Productos!H:H=N969),P969),IF(M969=SUM(D:D),""Finalizar"",""-"")))"),"")</f>
        <v/>
      </c>
      <c r="V969" s="4" t="str">
        <f>IFERROR(__xludf.DUMMYFUNCTION("IF(OR($U969="""",COUNTIF($I:$I,IFERROR(unique(filter(Prod_Prop!$H:$H,Prod_Prop!$G:$G=$U969,Prod_Prop!$E:$E=V$1)),""Check""))=0),"""",IFERROR(unique(filter(Prod_Prop!$H:$H,Prod_Prop!$G:$G=$U969,Prod_Prop!$E:$E=V$1)),""""))"),"")</f>
        <v/>
      </c>
      <c r="W969" s="4" t="str">
        <f>IF(V969="","",SUMIFS(Prod_Prop!$J:$J,Prod_Prop!$B:$B,$Q969,Prod_Prop!$H:$H,V969,Prod_Prop!$I:$I,W$1)*IF(V969="Peso",$R969,1))</f>
        <v/>
      </c>
      <c r="X969" s="4" t="str">
        <f>IF(V969="","",SUMIFS(Prod_Prop!$J:$J,Prod_Prop!$B:$B,$Q969,Prod_Prop!$H:$H,V969,Prod_Prop!$I:$I,X$1)*IF(V969="Peso",$R969,1))</f>
        <v/>
      </c>
      <c r="Y969" s="4" t="str">
        <f>IFERROR(__xludf.DUMMYFUNCTION("IF(OR($U969="""",COUNTIF($I:$I,IFERROR(unique(filter(Prod_Prop!$H:$H,Prod_Prop!$G:$G=$U969,Prod_Prop!$E:$E=Y$1)),""Check""))=0),"""",IFERROR(unique(filter(Prod_Prop!$H:$H,Prod_Prop!$G:$G=$U969,Prod_Prop!$E:$E=Y$1)),""""))"),"")</f>
        <v/>
      </c>
      <c r="Z969" s="4" t="str">
        <f>IF(Y969="","",SUMIFS(Prod_Prop!$J:$J,Prod_Prop!$B:$B,$Q969,Prod_Prop!$H:$H,Y969,Prod_Prop!$I:$I,Z$1)*IF(Y969="Peso",$R969,1))</f>
        <v/>
      </c>
      <c r="AA969" s="4" t="str">
        <f>IF(Y969="","",SUMIFS(Prod_Prop!$J:$J,Prod_Prop!$B:$B,$Q969,Prod_Prop!$H:$H,Y969,Prod_Prop!$I:$I,AA$1)*IF(Y969="Peso",$R969,1))</f>
        <v/>
      </c>
      <c r="AB969" s="4" t="str">
        <f>IFERROR(__xludf.DUMMYFUNCTION("IF(OR($U969="""",COUNTIF($I:$I,IFERROR(unique(filter(Prod_Prop!$H:$H,Prod_Prop!$G:$G=$U969,Prod_Prop!$E:$E=AB$1)),""Check""))=0),"""",IFERROR(unique(filter(Prod_Prop!$H:$H,Prod_Prop!$G:$G=$U969,Prod_Prop!$E:$E=AB$1)),""""))"),"")</f>
        <v/>
      </c>
      <c r="AC969" s="4" t="str">
        <f>IF(AB969="","",SUMIFS(Prod_Prop!$J:$J,Prod_Prop!$B:$B,$Q969,Prod_Prop!$H:$H,AB969,Prod_Prop!$I:$I,AC$1)*IF(AB969="Peso",$R969,1))</f>
        <v/>
      </c>
      <c r="AD969" s="4" t="str">
        <f>IF(AB969="","",SUMIFS(Prod_Prop!$J:$J,Prod_Prop!$B:$B,$Q969,Prod_Prop!$H:$H,AB969,Prod_Prop!$I:$I,AD$1)*IF(AB969="Peso",$R969,1))</f>
        <v/>
      </c>
    </row>
    <row r="970">
      <c r="A970" s="4" t="str">
        <f t="array" ref="A970">IF(COUNTIF(A$1:A969,Cotizador!F$2)=maxifs(Familias!E:E,Familias!D:D,Cotizador!F$2),IF(COUNTIF(A$1:A969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0" s="4" t="str">
        <f t="shared" si="1"/>
        <v/>
      </c>
      <c r="C970" s="4" t="str">
        <f t="array" ref="C970">IF(B970="","",IF(A970=XLOOKUP(A$2,Implementos!B:B,Implementos!C:C,"",0,1),B970+maxifs(B$1:B969,A$1:A969,A$2),B970))</f>
        <v/>
      </c>
      <c r="D970" s="4" t="str">
        <f>IF(B970="","", COUNTIFS(Productos!F:F,A970,Productos!H:H,B970)+IF(F970="SI",0,1))</f>
        <v/>
      </c>
      <c r="E970" s="4" t="str">
        <f>IFERROR(__xludf.DUMMYFUNCTION("IF($B970="""","""",INDEX(filter(Familias!F:F,Familias!$D:$D=$A970,Familias!$E:$E=$B970),1))"),"")</f>
        <v/>
      </c>
      <c r="F970" s="4" t="str">
        <f>IFERROR(__xludf.DUMMYFUNCTION("IF($B970="""","""",INDEX(filter(Familias!G:G,Familias!$D:$D=$A970,Familias!$E:$E=$B970),1))"),"")</f>
        <v/>
      </c>
      <c r="G970" s="4" t="str">
        <f t="array" ref="G970">IF(C970=1,XLOOKUP(C970,Cotizador!D:D,Cotizador!E:E,"",0,1),"")</f>
        <v/>
      </c>
      <c r="I970" s="4"/>
      <c r="J970" s="8" t="str">
        <f>IF(I970="","",SUMIF(Cotizador!I$1:V$1,I970,Cotizador!I$2:V$2))</f>
        <v/>
      </c>
      <c r="L970" s="4" t="str">
        <f t="array" ref="L970">IF(COUNTIF(L$1:L969,A$2)=SUMIF(A:A,A$2,D:D),IF(COUNTIF(L$1:L969,XLOOKUP(A$2,Implementos!B:B,Implementos!C:C,"",0,1))=SUMIF(A:A,XLOOKUP(A$2,Implementos!B:B,Implementos!C:C,"",0,1),D:D),"",XLOOKUP(A$2,Implementos!B:B,Implementos!C:C,"",0,1)),A$2)</f>
        <v/>
      </c>
      <c r="M970" s="4" t="str">
        <f t="shared" si="2"/>
        <v/>
      </c>
      <c r="N970" s="4" t="str">
        <f t="shared" si="3"/>
        <v/>
      </c>
      <c r="O970" s="4" t="str">
        <f t="shared" si="4"/>
        <v/>
      </c>
      <c r="P970" s="4" t="str">
        <f t="shared" si="5"/>
        <v/>
      </c>
      <c r="Q970" s="4" t="str">
        <f>IF(U970="","",SUMIF(Productos!E:E,U970,Productos!A:A))</f>
        <v/>
      </c>
      <c r="R970" s="4" t="str">
        <f t="array" ref="R970">IF(L970="","", max(1,SUMIF(I:I,XLOOKUP(U970,Productos!E:E,Productos!G:G,"",0,1),J:J)))</f>
        <v/>
      </c>
      <c r="S970" s="4" t="str">
        <f>IF(Q970="","",IF(SUMIFS(Compat_Vetado!D:D,Compat_Vetado!B:B,SUM(G:G),Compat_Vetado!C:C,Q970)=1,"SI",IF(OR(SUMIF(Cotizador!E:E,Q970,Cotizador!G:G)&gt;0,SUMIFS(Compat_Vetado!D:D,Compat_Vetado!B:B,SUM(G:G),Compat_Vetado!C:C,Q970)=-1),"NO","")))</f>
        <v/>
      </c>
      <c r="T970" s="4" t="str">
        <f t="shared" si="6"/>
        <v/>
      </c>
      <c r="U970" s="4" t="str">
        <f>IFERROR(__xludf.DUMMYFUNCTION("IF(P970="""","""",IFERROR(INDEX(filter(Productos!E:E,Productos!F:F=L970,Productos!H:H=N970),P970),IF(M970=SUM(D:D),""Finalizar"",""-"")))"),"")</f>
        <v/>
      </c>
      <c r="V970" s="4" t="str">
        <f>IFERROR(__xludf.DUMMYFUNCTION("IF(OR($U970="""",COUNTIF($I:$I,IFERROR(unique(filter(Prod_Prop!$H:$H,Prod_Prop!$G:$G=$U970,Prod_Prop!$E:$E=V$1)),""Check""))=0),"""",IFERROR(unique(filter(Prod_Prop!$H:$H,Prod_Prop!$G:$G=$U970,Prod_Prop!$E:$E=V$1)),""""))"),"")</f>
        <v/>
      </c>
      <c r="W970" s="4" t="str">
        <f>IF(V970="","",SUMIFS(Prod_Prop!$J:$J,Prod_Prop!$B:$B,$Q970,Prod_Prop!$H:$H,V970,Prod_Prop!$I:$I,W$1)*IF(V970="Peso",$R970,1))</f>
        <v/>
      </c>
      <c r="X970" s="4" t="str">
        <f>IF(V970="","",SUMIFS(Prod_Prop!$J:$J,Prod_Prop!$B:$B,$Q970,Prod_Prop!$H:$H,V970,Prod_Prop!$I:$I,X$1)*IF(V970="Peso",$R970,1))</f>
        <v/>
      </c>
      <c r="Y970" s="4" t="str">
        <f>IFERROR(__xludf.DUMMYFUNCTION("IF(OR($U970="""",COUNTIF($I:$I,IFERROR(unique(filter(Prod_Prop!$H:$H,Prod_Prop!$G:$G=$U970,Prod_Prop!$E:$E=Y$1)),""Check""))=0),"""",IFERROR(unique(filter(Prod_Prop!$H:$H,Prod_Prop!$G:$G=$U970,Prod_Prop!$E:$E=Y$1)),""""))"),"")</f>
        <v/>
      </c>
      <c r="Z970" s="4" t="str">
        <f>IF(Y970="","",SUMIFS(Prod_Prop!$J:$J,Prod_Prop!$B:$B,$Q970,Prod_Prop!$H:$H,Y970,Prod_Prop!$I:$I,Z$1)*IF(Y970="Peso",$R970,1))</f>
        <v/>
      </c>
      <c r="AA970" s="4" t="str">
        <f>IF(Y970="","",SUMIFS(Prod_Prop!$J:$J,Prod_Prop!$B:$B,$Q970,Prod_Prop!$H:$H,Y970,Prod_Prop!$I:$I,AA$1)*IF(Y970="Peso",$R970,1))</f>
        <v/>
      </c>
      <c r="AB970" s="4" t="str">
        <f>IFERROR(__xludf.DUMMYFUNCTION("IF(OR($U970="""",COUNTIF($I:$I,IFERROR(unique(filter(Prod_Prop!$H:$H,Prod_Prop!$G:$G=$U970,Prod_Prop!$E:$E=AB$1)),""Check""))=0),"""",IFERROR(unique(filter(Prod_Prop!$H:$H,Prod_Prop!$G:$G=$U970,Prod_Prop!$E:$E=AB$1)),""""))"),"")</f>
        <v/>
      </c>
      <c r="AC970" s="4" t="str">
        <f>IF(AB970="","",SUMIFS(Prod_Prop!$J:$J,Prod_Prop!$B:$B,$Q970,Prod_Prop!$H:$H,AB970,Prod_Prop!$I:$I,AC$1)*IF(AB970="Peso",$R970,1))</f>
        <v/>
      </c>
      <c r="AD970" s="4" t="str">
        <f>IF(AB970="","",SUMIFS(Prod_Prop!$J:$J,Prod_Prop!$B:$B,$Q970,Prod_Prop!$H:$H,AB970,Prod_Prop!$I:$I,AD$1)*IF(AB970="Peso",$R970,1))</f>
        <v/>
      </c>
    </row>
    <row r="971">
      <c r="A971" s="4" t="str">
        <f t="array" ref="A971">IF(COUNTIF(A$1:A970,Cotizador!F$2)=maxifs(Familias!E:E,Familias!D:D,Cotizador!F$2),IF(COUNTIF(A$1:A970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1" s="4" t="str">
        <f t="shared" si="1"/>
        <v/>
      </c>
      <c r="C971" s="4" t="str">
        <f t="array" ref="C971">IF(B971="","",IF(A971=XLOOKUP(A$2,Implementos!B:B,Implementos!C:C,"",0,1),B971+maxifs(B$1:B970,A$1:A970,A$2),B971))</f>
        <v/>
      </c>
      <c r="D971" s="4" t="str">
        <f>IF(B971="","", COUNTIFS(Productos!F:F,A971,Productos!H:H,B971)+IF(F971="SI",0,1))</f>
        <v/>
      </c>
      <c r="E971" s="4" t="str">
        <f>IFERROR(__xludf.DUMMYFUNCTION("IF($B971="""","""",INDEX(filter(Familias!F:F,Familias!$D:$D=$A971,Familias!$E:$E=$B971),1))"),"")</f>
        <v/>
      </c>
      <c r="F971" s="4" t="str">
        <f>IFERROR(__xludf.DUMMYFUNCTION("IF($B971="""","""",INDEX(filter(Familias!G:G,Familias!$D:$D=$A971,Familias!$E:$E=$B971),1))"),"")</f>
        <v/>
      </c>
      <c r="G971" s="4" t="str">
        <f t="array" ref="G971">IF(C971=1,XLOOKUP(C971,Cotizador!D:D,Cotizador!E:E,"",0,1),"")</f>
        <v/>
      </c>
      <c r="I971" s="4"/>
      <c r="J971" s="8" t="str">
        <f>IF(I971="","",SUMIF(Cotizador!I$1:V$1,I971,Cotizador!I$2:V$2))</f>
        <v/>
      </c>
      <c r="L971" s="4" t="str">
        <f t="array" ref="L971">IF(COUNTIF(L$1:L970,A$2)=SUMIF(A:A,A$2,D:D),IF(COUNTIF(L$1:L970,XLOOKUP(A$2,Implementos!B:B,Implementos!C:C,"",0,1))=SUMIF(A:A,XLOOKUP(A$2,Implementos!B:B,Implementos!C:C,"",0,1),D:D),"",XLOOKUP(A$2,Implementos!B:B,Implementos!C:C,"",0,1)),A$2)</f>
        <v/>
      </c>
      <c r="M971" s="4" t="str">
        <f t="shared" si="2"/>
        <v/>
      </c>
      <c r="N971" s="4" t="str">
        <f t="shared" si="3"/>
        <v/>
      </c>
      <c r="O971" s="4" t="str">
        <f t="shared" si="4"/>
        <v/>
      </c>
      <c r="P971" s="4" t="str">
        <f t="shared" si="5"/>
        <v/>
      </c>
      <c r="Q971" s="4" t="str">
        <f>IF(U971="","",SUMIF(Productos!E:E,U971,Productos!A:A))</f>
        <v/>
      </c>
      <c r="R971" s="4" t="str">
        <f t="array" ref="R971">IF(L971="","", max(1,SUMIF(I:I,XLOOKUP(U971,Productos!E:E,Productos!G:G,"",0,1),J:J)))</f>
        <v/>
      </c>
      <c r="S971" s="4" t="str">
        <f>IF(Q971="","",IF(SUMIFS(Compat_Vetado!D:D,Compat_Vetado!B:B,SUM(G:G),Compat_Vetado!C:C,Q971)=1,"SI",IF(OR(SUMIF(Cotizador!E:E,Q971,Cotizador!G:G)&gt;0,SUMIFS(Compat_Vetado!D:D,Compat_Vetado!B:B,SUM(G:G),Compat_Vetado!C:C,Q971)=-1),"NO","")))</f>
        <v/>
      </c>
      <c r="T971" s="4" t="str">
        <f t="shared" si="6"/>
        <v/>
      </c>
      <c r="U971" s="4" t="str">
        <f>IFERROR(__xludf.DUMMYFUNCTION("IF(P971="""","""",IFERROR(INDEX(filter(Productos!E:E,Productos!F:F=L971,Productos!H:H=N971),P971),IF(M971=SUM(D:D),""Finalizar"",""-"")))"),"")</f>
        <v/>
      </c>
      <c r="V971" s="4" t="str">
        <f>IFERROR(__xludf.DUMMYFUNCTION("IF(OR($U971="""",COUNTIF($I:$I,IFERROR(unique(filter(Prod_Prop!$H:$H,Prod_Prop!$G:$G=$U971,Prod_Prop!$E:$E=V$1)),""Check""))=0),"""",IFERROR(unique(filter(Prod_Prop!$H:$H,Prod_Prop!$G:$G=$U971,Prod_Prop!$E:$E=V$1)),""""))"),"")</f>
        <v/>
      </c>
      <c r="W971" s="4" t="str">
        <f>IF(V971="","",SUMIFS(Prod_Prop!$J:$J,Prod_Prop!$B:$B,$Q971,Prod_Prop!$H:$H,V971,Prod_Prop!$I:$I,W$1)*IF(V971="Peso",$R971,1))</f>
        <v/>
      </c>
      <c r="X971" s="4" t="str">
        <f>IF(V971="","",SUMIFS(Prod_Prop!$J:$J,Prod_Prop!$B:$B,$Q971,Prod_Prop!$H:$H,V971,Prod_Prop!$I:$I,X$1)*IF(V971="Peso",$R971,1))</f>
        <v/>
      </c>
      <c r="Y971" s="4" t="str">
        <f>IFERROR(__xludf.DUMMYFUNCTION("IF(OR($U971="""",COUNTIF($I:$I,IFERROR(unique(filter(Prod_Prop!$H:$H,Prod_Prop!$G:$G=$U971,Prod_Prop!$E:$E=Y$1)),""Check""))=0),"""",IFERROR(unique(filter(Prod_Prop!$H:$H,Prod_Prop!$G:$G=$U971,Prod_Prop!$E:$E=Y$1)),""""))"),"")</f>
        <v/>
      </c>
      <c r="Z971" s="4" t="str">
        <f>IF(Y971="","",SUMIFS(Prod_Prop!$J:$J,Prod_Prop!$B:$B,$Q971,Prod_Prop!$H:$H,Y971,Prod_Prop!$I:$I,Z$1)*IF(Y971="Peso",$R971,1))</f>
        <v/>
      </c>
      <c r="AA971" s="4" t="str">
        <f>IF(Y971="","",SUMIFS(Prod_Prop!$J:$J,Prod_Prop!$B:$B,$Q971,Prod_Prop!$H:$H,Y971,Prod_Prop!$I:$I,AA$1)*IF(Y971="Peso",$R971,1))</f>
        <v/>
      </c>
      <c r="AB971" s="4" t="str">
        <f>IFERROR(__xludf.DUMMYFUNCTION("IF(OR($U971="""",COUNTIF($I:$I,IFERROR(unique(filter(Prod_Prop!$H:$H,Prod_Prop!$G:$G=$U971,Prod_Prop!$E:$E=AB$1)),""Check""))=0),"""",IFERROR(unique(filter(Prod_Prop!$H:$H,Prod_Prop!$G:$G=$U971,Prod_Prop!$E:$E=AB$1)),""""))"),"")</f>
        <v/>
      </c>
      <c r="AC971" s="4" t="str">
        <f>IF(AB971="","",SUMIFS(Prod_Prop!$J:$J,Prod_Prop!$B:$B,$Q971,Prod_Prop!$H:$H,AB971,Prod_Prop!$I:$I,AC$1)*IF(AB971="Peso",$R971,1))</f>
        <v/>
      </c>
      <c r="AD971" s="4" t="str">
        <f>IF(AB971="","",SUMIFS(Prod_Prop!$J:$J,Prod_Prop!$B:$B,$Q971,Prod_Prop!$H:$H,AB971,Prod_Prop!$I:$I,AD$1)*IF(AB971="Peso",$R971,1))</f>
        <v/>
      </c>
    </row>
    <row r="972">
      <c r="A972" s="4" t="str">
        <f t="array" ref="A972">IF(COUNTIF(A$1:A971,Cotizador!F$2)=maxifs(Familias!E:E,Familias!D:D,Cotizador!F$2),IF(COUNTIF(A$1:A971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2" s="4" t="str">
        <f t="shared" si="1"/>
        <v/>
      </c>
      <c r="C972" s="4" t="str">
        <f t="array" ref="C972">IF(B972="","",IF(A972=XLOOKUP(A$2,Implementos!B:B,Implementos!C:C,"",0,1),B972+maxifs(B$1:B971,A$1:A971,A$2),B972))</f>
        <v/>
      </c>
      <c r="D972" s="4" t="str">
        <f>IF(B972="","", COUNTIFS(Productos!F:F,A972,Productos!H:H,B972)+IF(F972="SI",0,1))</f>
        <v/>
      </c>
      <c r="E972" s="4" t="str">
        <f>IFERROR(__xludf.DUMMYFUNCTION("IF($B972="""","""",INDEX(filter(Familias!F:F,Familias!$D:$D=$A972,Familias!$E:$E=$B972),1))"),"")</f>
        <v/>
      </c>
      <c r="F972" s="4" t="str">
        <f>IFERROR(__xludf.DUMMYFUNCTION("IF($B972="""","""",INDEX(filter(Familias!G:G,Familias!$D:$D=$A972,Familias!$E:$E=$B972),1))"),"")</f>
        <v/>
      </c>
      <c r="G972" s="4" t="str">
        <f t="array" ref="G972">IF(C972=1,XLOOKUP(C972,Cotizador!D:D,Cotizador!E:E,"",0,1),"")</f>
        <v/>
      </c>
      <c r="I972" s="4"/>
      <c r="J972" s="8" t="str">
        <f>IF(I972="","",SUMIF(Cotizador!I$1:V$1,I972,Cotizador!I$2:V$2))</f>
        <v/>
      </c>
      <c r="L972" s="4" t="str">
        <f t="array" ref="L972">IF(COUNTIF(L$1:L971,A$2)=SUMIF(A:A,A$2,D:D),IF(COUNTIF(L$1:L971,XLOOKUP(A$2,Implementos!B:B,Implementos!C:C,"",0,1))=SUMIF(A:A,XLOOKUP(A$2,Implementos!B:B,Implementos!C:C,"",0,1),D:D),"",XLOOKUP(A$2,Implementos!B:B,Implementos!C:C,"",0,1)),A$2)</f>
        <v/>
      </c>
      <c r="M972" s="4" t="str">
        <f t="shared" si="2"/>
        <v/>
      </c>
      <c r="N972" s="4" t="str">
        <f t="shared" si="3"/>
        <v/>
      </c>
      <c r="O972" s="4" t="str">
        <f t="shared" si="4"/>
        <v/>
      </c>
      <c r="P972" s="4" t="str">
        <f t="shared" si="5"/>
        <v/>
      </c>
      <c r="Q972" s="4" t="str">
        <f>IF(U972="","",SUMIF(Productos!E:E,U972,Productos!A:A))</f>
        <v/>
      </c>
      <c r="R972" s="4" t="str">
        <f t="array" ref="R972">IF(L972="","", max(1,SUMIF(I:I,XLOOKUP(U972,Productos!E:E,Productos!G:G,"",0,1),J:J)))</f>
        <v/>
      </c>
      <c r="S972" s="4" t="str">
        <f>IF(Q972="","",IF(SUMIFS(Compat_Vetado!D:D,Compat_Vetado!B:B,SUM(G:G),Compat_Vetado!C:C,Q972)=1,"SI",IF(OR(SUMIF(Cotizador!E:E,Q972,Cotizador!G:G)&gt;0,SUMIFS(Compat_Vetado!D:D,Compat_Vetado!B:B,SUM(G:G),Compat_Vetado!C:C,Q972)=-1),"NO","")))</f>
        <v/>
      </c>
      <c r="T972" s="4" t="str">
        <f t="shared" si="6"/>
        <v/>
      </c>
      <c r="U972" s="4" t="str">
        <f>IFERROR(__xludf.DUMMYFUNCTION("IF(P972="""","""",IFERROR(INDEX(filter(Productos!E:E,Productos!F:F=L972,Productos!H:H=N972),P972),IF(M972=SUM(D:D),""Finalizar"",""-"")))"),"")</f>
        <v/>
      </c>
      <c r="V972" s="4" t="str">
        <f>IFERROR(__xludf.DUMMYFUNCTION("IF(OR($U972="""",COUNTIF($I:$I,IFERROR(unique(filter(Prod_Prop!$H:$H,Prod_Prop!$G:$G=$U972,Prod_Prop!$E:$E=V$1)),""Check""))=0),"""",IFERROR(unique(filter(Prod_Prop!$H:$H,Prod_Prop!$G:$G=$U972,Prod_Prop!$E:$E=V$1)),""""))"),"")</f>
        <v/>
      </c>
      <c r="W972" s="4" t="str">
        <f>IF(V972="","",SUMIFS(Prod_Prop!$J:$J,Prod_Prop!$B:$B,$Q972,Prod_Prop!$H:$H,V972,Prod_Prop!$I:$I,W$1)*IF(V972="Peso",$R972,1))</f>
        <v/>
      </c>
      <c r="X972" s="4" t="str">
        <f>IF(V972="","",SUMIFS(Prod_Prop!$J:$J,Prod_Prop!$B:$B,$Q972,Prod_Prop!$H:$H,V972,Prod_Prop!$I:$I,X$1)*IF(V972="Peso",$R972,1))</f>
        <v/>
      </c>
      <c r="Y972" s="4" t="str">
        <f>IFERROR(__xludf.DUMMYFUNCTION("IF(OR($U972="""",COUNTIF($I:$I,IFERROR(unique(filter(Prod_Prop!$H:$H,Prod_Prop!$G:$G=$U972,Prod_Prop!$E:$E=Y$1)),""Check""))=0),"""",IFERROR(unique(filter(Prod_Prop!$H:$H,Prod_Prop!$G:$G=$U972,Prod_Prop!$E:$E=Y$1)),""""))"),"")</f>
        <v/>
      </c>
      <c r="Z972" s="4" t="str">
        <f>IF(Y972="","",SUMIFS(Prod_Prop!$J:$J,Prod_Prop!$B:$B,$Q972,Prod_Prop!$H:$H,Y972,Prod_Prop!$I:$I,Z$1)*IF(Y972="Peso",$R972,1))</f>
        <v/>
      </c>
      <c r="AA972" s="4" t="str">
        <f>IF(Y972="","",SUMIFS(Prod_Prop!$J:$J,Prod_Prop!$B:$B,$Q972,Prod_Prop!$H:$H,Y972,Prod_Prop!$I:$I,AA$1)*IF(Y972="Peso",$R972,1))</f>
        <v/>
      </c>
      <c r="AB972" s="4" t="str">
        <f>IFERROR(__xludf.DUMMYFUNCTION("IF(OR($U972="""",COUNTIF($I:$I,IFERROR(unique(filter(Prod_Prop!$H:$H,Prod_Prop!$G:$G=$U972,Prod_Prop!$E:$E=AB$1)),""Check""))=0),"""",IFERROR(unique(filter(Prod_Prop!$H:$H,Prod_Prop!$G:$G=$U972,Prod_Prop!$E:$E=AB$1)),""""))"),"")</f>
        <v/>
      </c>
      <c r="AC972" s="4" t="str">
        <f>IF(AB972="","",SUMIFS(Prod_Prop!$J:$J,Prod_Prop!$B:$B,$Q972,Prod_Prop!$H:$H,AB972,Prod_Prop!$I:$I,AC$1)*IF(AB972="Peso",$R972,1))</f>
        <v/>
      </c>
      <c r="AD972" s="4" t="str">
        <f>IF(AB972="","",SUMIFS(Prod_Prop!$J:$J,Prod_Prop!$B:$B,$Q972,Prod_Prop!$H:$H,AB972,Prod_Prop!$I:$I,AD$1)*IF(AB972="Peso",$R972,1))</f>
        <v/>
      </c>
    </row>
    <row r="973">
      <c r="A973" s="4" t="str">
        <f t="array" ref="A973">IF(COUNTIF(A$1:A972,Cotizador!F$2)=maxifs(Familias!E:E,Familias!D:D,Cotizador!F$2),IF(COUNTIF(A$1:A972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3" s="4" t="str">
        <f t="shared" si="1"/>
        <v/>
      </c>
      <c r="C973" s="4" t="str">
        <f t="array" ref="C973">IF(B973="","",IF(A973=XLOOKUP(A$2,Implementos!B:B,Implementos!C:C,"",0,1),B973+maxifs(B$1:B972,A$1:A972,A$2),B973))</f>
        <v/>
      </c>
      <c r="D973" s="4" t="str">
        <f>IF(B973="","", COUNTIFS(Productos!F:F,A973,Productos!H:H,B973)+IF(F973="SI",0,1))</f>
        <v/>
      </c>
      <c r="E973" s="4" t="str">
        <f>IFERROR(__xludf.DUMMYFUNCTION("IF($B973="""","""",INDEX(filter(Familias!F:F,Familias!$D:$D=$A973,Familias!$E:$E=$B973),1))"),"")</f>
        <v/>
      </c>
      <c r="F973" s="4" t="str">
        <f>IFERROR(__xludf.DUMMYFUNCTION("IF($B973="""","""",INDEX(filter(Familias!G:G,Familias!$D:$D=$A973,Familias!$E:$E=$B973),1))"),"")</f>
        <v/>
      </c>
      <c r="G973" s="4" t="str">
        <f t="array" ref="G973">IF(C973=1,XLOOKUP(C973,Cotizador!D:D,Cotizador!E:E,"",0,1),"")</f>
        <v/>
      </c>
      <c r="I973" s="4"/>
      <c r="J973" s="8" t="str">
        <f>IF(I973="","",SUMIF(Cotizador!I$1:V$1,I973,Cotizador!I$2:V$2))</f>
        <v/>
      </c>
      <c r="L973" s="4" t="str">
        <f t="array" ref="L973">IF(COUNTIF(L$1:L972,A$2)=SUMIF(A:A,A$2,D:D),IF(COUNTIF(L$1:L972,XLOOKUP(A$2,Implementos!B:B,Implementos!C:C,"",0,1))=SUMIF(A:A,XLOOKUP(A$2,Implementos!B:B,Implementos!C:C,"",0,1),D:D),"",XLOOKUP(A$2,Implementos!B:B,Implementos!C:C,"",0,1)),A$2)</f>
        <v/>
      </c>
      <c r="M973" s="4" t="str">
        <f t="shared" si="2"/>
        <v/>
      </c>
      <c r="N973" s="4" t="str">
        <f t="shared" si="3"/>
        <v/>
      </c>
      <c r="O973" s="4" t="str">
        <f t="shared" si="4"/>
        <v/>
      </c>
      <c r="P973" s="4" t="str">
        <f t="shared" si="5"/>
        <v/>
      </c>
      <c r="Q973" s="4" t="str">
        <f>IF(U973="","",SUMIF(Productos!E:E,U973,Productos!A:A))</f>
        <v/>
      </c>
      <c r="R973" s="4" t="str">
        <f t="array" ref="R973">IF(L973="","", max(1,SUMIF(I:I,XLOOKUP(U973,Productos!E:E,Productos!G:G,"",0,1),J:J)))</f>
        <v/>
      </c>
      <c r="S973" s="4" t="str">
        <f>IF(Q973="","",IF(SUMIFS(Compat_Vetado!D:D,Compat_Vetado!B:B,SUM(G:G),Compat_Vetado!C:C,Q973)=1,"SI",IF(OR(SUMIF(Cotizador!E:E,Q973,Cotizador!G:G)&gt;0,SUMIFS(Compat_Vetado!D:D,Compat_Vetado!B:B,SUM(G:G),Compat_Vetado!C:C,Q973)=-1),"NO","")))</f>
        <v/>
      </c>
      <c r="T973" s="4" t="str">
        <f t="shared" si="6"/>
        <v/>
      </c>
      <c r="U973" s="4" t="str">
        <f>IFERROR(__xludf.DUMMYFUNCTION("IF(P973="""","""",IFERROR(INDEX(filter(Productos!E:E,Productos!F:F=L973,Productos!H:H=N973),P973),IF(M973=SUM(D:D),""Finalizar"",""-"")))"),"")</f>
        <v/>
      </c>
      <c r="V973" s="4" t="str">
        <f>IFERROR(__xludf.DUMMYFUNCTION("IF(OR($U973="""",COUNTIF($I:$I,IFERROR(unique(filter(Prod_Prop!$H:$H,Prod_Prop!$G:$G=$U973,Prod_Prop!$E:$E=V$1)),""Check""))=0),"""",IFERROR(unique(filter(Prod_Prop!$H:$H,Prod_Prop!$G:$G=$U973,Prod_Prop!$E:$E=V$1)),""""))"),"")</f>
        <v/>
      </c>
      <c r="W973" s="4" t="str">
        <f>IF(V973="","",SUMIFS(Prod_Prop!$J:$J,Prod_Prop!$B:$B,$Q973,Prod_Prop!$H:$H,V973,Prod_Prop!$I:$I,W$1)*IF(V973="Peso",$R973,1))</f>
        <v/>
      </c>
      <c r="X973" s="4" t="str">
        <f>IF(V973="","",SUMIFS(Prod_Prop!$J:$J,Prod_Prop!$B:$B,$Q973,Prod_Prop!$H:$H,V973,Prod_Prop!$I:$I,X$1)*IF(V973="Peso",$R973,1))</f>
        <v/>
      </c>
      <c r="Y973" s="4" t="str">
        <f>IFERROR(__xludf.DUMMYFUNCTION("IF(OR($U973="""",COUNTIF($I:$I,IFERROR(unique(filter(Prod_Prop!$H:$H,Prod_Prop!$G:$G=$U973,Prod_Prop!$E:$E=Y$1)),""Check""))=0),"""",IFERROR(unique(filter(Prod_Prop!$H:$H,Prod_Prop!$G:$G=$U973,Prod_Prop!$E:$E=Y$1)),""""))"),"")</f>
        <v/>
      </c>
      <c r="Z973" s="4" t="str">
        <f>IF(Y973="","",SUMIFS(Prod_Prop!$J:$J,Prod_Prop!$B:$B,$Q973,Prod_Prop!$H:$H,Y973,Prod_Prop!$I:$I,Z$1)*IF(Y973="Peso",$R973,1))</f>
        <v/>
      </c>
      <c r="AA973" s="4" t="str">
        <f>IF(Y973="","",SUMIFS(Prod_Prop!$J:$J,Prod_Prop!$B:$B,$Q973,Prod_Prop!$H:$H,Y973,Prod_Prop!$I:$I,AA$1)*IF(Y973="Peso",$R973,1))</f>
        <v/>
      </c>
      <c r="AB973" s="4" t="str">
        <f>IFERROR(__xludf.DUMMYFUNCTION("IF(OR($U973="""",COUNTIF($I:$I,IFERROR(unique(filter(Prod_Prop!$H:$H,Prod_Prop!$G:$G=$U973,Prod_Prop!$E:$E=AB$1)),""Check""))=0),"""",IFERROR(unique(filter(Prod_Prop!$H:$H,Prod_Prop!$G:$G=$U973,Prod_Prop!$E:$E=AB$1)),""""))"),"")</f>
        <v/>
      </c>
      <c r="AC973" s="4" t="str">
        <f>IF(AB973="","",SUMIFS(Prod_Prop!$J:$J,Prod_Prop!$B:$B,$Q973,Prod_Prop!$H:$H,AB973,Prod_Prop!$I:$I,AC$1)*IF(AB973="Peso",$R973,1))</f>
        <v/>
      </c>
      <c r="AD973" s="4" t="str">
        <f>IF(AB973="","",SUMIFS(Prod_Prop!$J:$J,Prod_Prop!$B:$B,$Q973,Prod_Prop!$H:$H,AB973,Prod_Prop!$I:$I,AD$1)*IF(AB973="Peso",$R973,1))</f>
        <v/>
      </c>
    </row>
    <row r="974">
      <c r="A974" s="4" t="str">
        <f t="array" ref="A974">IF(COUNTIF(A$1:A973,Cotizador!F$2)=maxifs(Familias!E:E,Familias!D:D,Cotizador!F$2),IF(COUNTIF(A$1:A973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4" s="4" t="str">
        <f t="shared" si="1"/>
        <v/>
      </c>
      <c r="C974" s="4" t="str">
        <f t="array" ref="C974">IF(B974="","",IF(A974=XLOOKUP(A$2,Implementos!B:B,Implementos!C:C,"",0,1),B974+maxifs(B$1:B973,A$1:A973,A$2),B974))</f>
        <v/>
      </c>
      <c r="D974" s="4" t="str">
        <f>IF(B974="","", COUNTIFS(Productos!F:F,A974,Productos!H:H,B974)+IF(F974="SI",0,1))</f>
        <v/>
      </c>
      <c r="E974" s="4" t="str">
        <f>IFERROR(__xludf.DUMMYFUNCTION("IF($B974="""","""",INDEX(filter(Familias!F:F,Familias!$D:$D=$A974,Familias!$E:$E=$B974),1))"),"")</f>
        <v/>
      </c>
      <c r="F974" s="4" t="str">
        <f>IFERROR(__xludf.DUMMYFUNCTION("IF($B974="""","""",INDEX(filter(Familias!G:G,Familias!$D:$D=$A974,Familias!$E:$E=$B974),1))"),"")</f>
        <v/>
      </c>
      <c r="G974" s="4" t="str">
        <f t="array" ref="G974">IF(C974=1,XLOOKUP(C974,Cotizador!D:D,Cotizador!E:E,"",0,1),"")</f>
        <v/>
      </c>
      <c r="I974" s="4"/>
      <c r="J974" s="8" t="str">
        <f>IF(I974="","",SUMIF(Cotizador!I$1:V$1,I974,Cotizador!I$2:V$2))</f>
        <v/>
      </c>
      <c r="L974" s="4" t="str">
        <f t="array" ref="L974">IF(COUNTIF(L$1:L973,A$2)=SUMIF(A:A,A$2,D:D),IF(COUNTIF(L$1:L973,XLOOKUP(A$2,Implementos!B:B,Implementos!C:C,"",0,1))=SUMIF(A:A,XLOOKUP(A$2,Implementos!B:B,Implementos!C:C,"",0,1),D:D),"",XLOOKUP(A$2,Implementos!B:B,Implementos!C:C,"",0,1)),A$2)</f>
        <v/>
      </c>
      <c r="M974" s="4" t="str">
        <f t="shared" si="2"/>
        <v/>
      </c>
      <c r="N974" s="4" t="str">
        <f t="shared" si="3"/>
        <v/>
      </c>
      <c r="O974" s="4" t="str">
        <f t="shared" si="4"/>
        <v/>
      </c>
      <c r="P974" s="4" t="str">
        <f t="shared" si="5"/>
        <v/>
      </c>
      <c r="Q974" s="4" t="str">
        <f>IF(U974="","",SUMIF(Productos!E:E,U974,Productos!A:A))</f>
        <v/>
      </c>
      <c r="R974" s="4" t="str">
        <f t="array" ref="R974">IF(L974="","", max(1,SUMIF(I:I,XLOOKUP(U974,Productos!E:E,Productos!G:G,"",0,1),J:J)))</f>
        <v/>
      </c>
      <c r="S974" s="4" t="str">
        <f>IF(Q974="","",IF(SUMIFS(Compat_Vetado!D:D,Compat_Vetado!B:B,SUM(G:G),Compat_Vetado!C:C,Q974)=1,"SI",IF(OR(SUMIF(Cotizador!E:E,Q974,Cotizador!G:G)&gt;0,SUMIFS(Compat_Vetado!D:D,Compat_Vetado!B:B,SUM(G:G),Compat_Vetado!C:C,Q974)=-1),"NO","")))</f>
        <v/>
      </c>
      <c r="T974" s="4" t="str">
        <f t="shared" si="6"/>
        <v/>
      </c>
      <c r="U974" s="4" t="str">
        <f>IFERROR(__xludf.DUMMYFUNCTION("IF(P974="""","""",IFERROR(INDEX(filter(Productos!E:E,Productos!F:F=L974,Productos!H:H=N974),P974),IF(M974=SUM(D:D),""Finalizar"",""-"")))"),"")</f>
        <v/>
      </c>
      <c r="V974" s="4" t="str">
        <f>IFERROR(__xludf.DUMMYFUNCTION("IF(OR($U974="""",COUNTIF($I:$I,IFERROR(unique(filter(Prod_Prop!$H:$H,Prod_Prop!$G:$G=$U974,Prod_Prop!$E:$E=V$1)),""Check""))=0),"""",IFERROR(unique(filter(Prod_Prop!$H:$H,Prod_Prop!$G:$G=$U974,Prod_Prop!$E:$E=V$1)),""""))"),"")</f>
        <v/>
      </c>
      <c r="W974" s="4" t="str">
        <f>IF(V974="","",SUMIFS(Prod_Prop!$J:$J,Prod_Prop!$B:$B,$Q974,Prod_Prop!$H:$H,V974,Prod_Prop!$I:$I,W$1)*IF(V974="Peso",$R974,1))</f>
        <v/>
      </c>
      <c r="X974" s="4" t="str">
        <f>IF(V974="","",SUMIFS(Prod_Prop!$J:$J,Prod_Prop!$B:$B,$Q974,Prod_Prop!$H:$H,V974,Prod_Prop!$I:$I,X$1)*IF(V974="Peso",$R974,1))</f>
        <v/>
      </c>
      <c r="Y974" s="4" t="str">
        <f>IFERROR(__xludf.DUMMYFUNCTION("IF(OR($U974="""",COUNTIF($I:$I,IFERROR(unique(filter(Prod_Prop!$H:$H,Prod_Prop!$G:$G=$U974,Prod_Prop!$E:$E=Y$1)),""Check""))=0),"""",IFERROR(unique(filter(Prod_Prop!$H:$H,Prod_Prop!$G:$G=$U974,Prod_Prop!$E:$E=Y$1)),""""))"),"")</f>
        <v/>
      </c>
      <c r="Z974" s="4" t="str">
        <f>IF(Y974="","",SUMIFS(Prod_Prop!$J:$J,Prod_Prop!$B:$B,$Q974,Prod_Prop!$H:$H,Y974,Prod_Prop!$I:$I,Z$1)*IF(Y974="Peso",$R974,1))</f>
        <v/>
      </c>
      <c r="AA974" s="4" t="str">
        <f>IF(Y974="","",SUMIFS(Prod_Prop!$J:$J,Prod_Prop!$B:$B,$Q974,Prod_Prop!$H:$H,Y974,Prod_Prop!$I:$I,AA$1)*IF(Y974="Peso",$R974,1))</f>
        <v/>
      </c>
      <c r="AB974" s="4" t="str">
        <f>IFERROR(__xludf.DUMMYFUNCTION("IF(OR($U974="""",COUNTIF($I:$I,IFERROR(unique(filter(Prod_Prop!$H:$H,Prod_Prop!$G:$G=$U974,Prod_Prop!$E:$E=AB$1)),""Check""))=0),"""",IFERROR(unique(filter(Prod_Prop!$H:$H,Prod_Prop!$G:$G=$U974,Prod_Prop!$E:$E=AB$1)),""""))"),"")</f>
        <v/>
      </c>
      <c r="AC974" s="4" t="str">
        <f>IF(AB974="","",SUMIFS(Prod_Prop!$J:$J,Prod_Prop!$B:$B,$Q974,Prod_Prop!$H:$H,AB974,Prod_Prop!$I:$I,AC$1)*IF(AB974="Peso",$R974,1))</f>
        <v/>
      </c>
      <c r="AD974" s="4" t="str">
        <f>IF(AB974="","",SUMIFS(Prod_Prop!$J:$J,Prod_Prop!$B:$B,$Q974,Prod_Prop!$H:$H,AB974,Prod_Prop!$I:$I,AD$1)*IF(AB974="Peso",$R974,1))</f>
        <v/>
      </c>
    </row>
    <row r="975">
      <c r="A975" s="4" t="str">
        <f t="array" ref="A975">IF(COUNTIF(A$1:A974,Cotizador!F$2)=maxifs(Familias!E:E,Familias!D:D,Cotizador!F$2),IF(COUNTIF(A$1:A974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5" s="4" t="str">
        <f t="shared" si="1"/>
        <v/>
      </c>
      <c r="C975" s="4" t="str">
        <f t="array" ref="C975">IF(B975="","",IF(A975=XLOOKUP(A$2,Implementos!B:B,Implementos!C:C,"",0,1),B975+maxifs(B$1:B974,A$1:A974,A$2),B975))</f>
        <v/>
      </c>
      <c r="D975" s="4" t="str">
        <f>IF(B975="","", COUNTIFS(Productos!F:F,A975,Productos!H:H,B975)+IF(F975="SI",0,1))</f>
        <v/>
      </c>
      <c r="E975" s="4" t="str">
        <f>IFERROR(__xludf.DUMMYFUNCTION("IF($B975="""","""",INDEX(filter(Familias!F:F,Familias!$D:$D=$A975,Familias!$E:$E=$B975),1))"),"")</f>
        <v/>
      </c>
      <c r="F975" s="4" t="str">
        <f>IFERROR(__xludf.DUMMYFUNCTION("IF($B975="""","""",INDEX(filter(Familias!G:G,Familias!$D:$D=$A975,Familias!$E:$E=$B975),1))"),"")</f>
        <v/>
      </c>
      <c r="G975" s="4" t="str">
        <f t="array" ref="G975">IF(C975=1,XLOOKUP(C975,Cotizador!D:D,Cotizador!E:E,"",0,1),"")</f>
        <v/>
      </c>
      <c r="I975" s="4"/>
      <c r="J975" s="8" t="str">
        <f>IF(I975="","",SUMIF(Cotizador!I$1:V$1,I975,Cotizador!I$2:V$2))</f>
        <v/>
      </c>
      <c r="L975" s="4" t="str">
        <f t="array" ref="L975">IF(COUNTIF(L$1:L974,A$2)=SUMIF(A:A,A$2,D:D),IF(COUNTIF(L$1:L974,XLOOKUP(A$2,Implementos!B:B,Implementos!C:C,"",0,1))=SUMIF(A:A,XLOOKUP(A$2,Implementos!B:B,Implementos!C:C,"",0,1),D:D),"",XLOOKUP(A$2,Implementos!B:B,Implementos!C:C,"",0,1)),A$2)</f>
        <v/>
      </c>
      <c r="M975" s="4" t="str">
        <f t="shared" si="2"/>
        <v/>
      </c>
      <c r="N975" s="4" t="str">
        <f t="shared" si="3"/>
        <v/>
      </c>
      <c r="O975" s="4" t="str">
        <f t="shared" si="4"/>
        <v/>
      </c>
      <c r="P975" s="4" t="str">
        <f t="shared" si="5"/>
        <v/>
      </c>
      <c r="Q975" s="4" t="str">
        <f>IF(U975="","",SUMIF(Productos!E:E,U975,Productos!A:A))</f>
        <v/>
      </c>
      <c r="R975" s="4" t="str">
        <f t="array" ref="R975">IF(L975="","", max(1,SUMIF(I:I,XLOOKUP(U975,Productos!E:E,Productos!G:G,"",0,1),J:J)))</f>
        <v/>
      </c>
      <c r="S975" s="4" t="str">
        <f>IF(Q975="","",IF(SUMIFS(Compat_Vetado!D:D,Compat_Vetado!B:B,SUM(G:G),Compat_Vetado!C:C,Q975)=1,"SI",IF(OR(SUMIF(Cotizador!E:E,Q975,Cotizador!G:G)&gt;0,SUMIFS(Compat_Vetado!D:D,Compat_Vetado!B:B,SUM(G:G),Compat_Vetado!C:C,Q975)=-1),"NO","")))</f>
        <v/>
      </c>
      <c r="T975" s="4" t="str">
        <f t="shared" si="6"/>
        <v/>
      </c>
      <c r="U975" s="4" t="str">
        <f>IFERROR(__xludf.DUMMYFUNCTION("IF(P975="""","""",IFERROR(INDEX(filter(Productos!E:E,Productos!F:F=L975,Productos!H:H=N975),P975),IF(M975=SUM(D:D),""Finalizar"",""-"")))"),"")</f>
        <v/>
      </c>
      <c r="V975" s="4" t="str">
        <f>IFERROR(__xludf.DUMMYFUNCTION("IF(OR($U975="""",COUNTIF($I:$I,IFERROR(unique(filter(Prod_Prop!$H:$H,Prod_Prop!$G:$G=$U975,Prod_Prop!$E:$E=V$1)),""Check""))=0),"""",IFERROR(unique(filter(Prod_Prop!$H:$H,Prod_Prop!$G:$G=$U975,Prod_Prop!$E:$E=V$1)),""""))"),"")</f>
        <v/>
      </c>
      <c r="W975" s="4" t="str">
        <f>IF(V975="","",SUMIFS(Prod_Prop!$J:$J,Prod_Prop!$B:$B,$Q975,Prod_Prop!$H:$H,V975,Prod_Prop!$I:$I,W$1)*IF(V975="Peso",$R975,1))</f>
        <v/>
      </c>
      <c r="X975" s="4" t="str">
        <f>IF(V975="","",SUMIFS(Prod_Prop!$J:$J,Prod_Prop!$B:$B,$Q975,Prod_Prop!$H:$H,V975,Prod_Prop!$I:$I,X$1)*IF(V975="Peso",$R975,1))</f>
        <v/>
      </c>
      <c r="Y975" s="4" t="str">
        <f>IFERROR(__xludf.DUMMYFUNCTION("IF(OR($U975="""",COUNTIF($I:$I,IFERROR(unique(filter(Prod_Prop!$H:$H,Prod_Prop!$G:$G=$U975,Prod_Prop!$E:$E=Y$1)),""Check""))=0),"""",IFERROR(unique(filter(Prod_Prop!$H:$H,Prod_Prop!$G:$G=$U975,Prod_Prop!$E:$E=Y$1)),""""))"),"")</f>
        <v/>
      </c>
      <c r="Z975" s="4" t="str">
        <f>IF(Y975="","",SUMIFS(Prod_Prop!$J:$J,Prod_Prop!$B:$B,$Q975,Prod_Prop!$H:$H,Y975,Prod_Prop!$I:$I,Z$1)*IF(Y975="Peso",$R975,1))</f>
        <v/>
      </c>
      <c r="AA975" s="4" t="str">
        <f>IF(Y975="","",SUMIFS(Prod_Prop!$J:$J,Prod_Prop!$B:$B,$Q975,Prod_Prop!$H:$H,Y975,Prod_Prop!$I:$I,AA$1)*IF(Y975="Peso",$R975,1))</f>
        <v/>
      </c>
      <c r="AB975" s="4" t="str">
        <f>IFERROR(__xludf.DUMMYFUNCTION("IF(OR($U975="""",COUNTIF($I:$I,IFERROR(unique(filter(Prod_Prop!$H:$H,Prod_Prop!$G:$G=$U975,Prod_Prop!$E:$E=AB$1)),""Check""))=0),"""",IFERROR(unique(filter(Prod_Prop!$H:$H,Prod_Prop!$G:$G=$U975,Prod_Prop!$E:$E=AB$1)),""""))"),"")</f>
        <v/>
      </c>
      <c r="AC975" s="4" t="str">
        <f>IF(AB975="","",SUMIFS(Prod_Prop!$J:$J,Prod_Prop!$B:$B,$Q975,Prod_Prop!$H:$H,AB975,Prod_Prop!$I:$I,AC$1)*IF(AB975="Peso",$R975,1))</f>
        <v/>
      </c>
      <c r="AD975" s="4" t="str">
        <f>IF(AB975="","",SUMIFS(Prod_Prop!$J:$J,Prod_Prop!$B:$B,$Q975,Prod_Prop!$H:$H,AB975,Prod_Prop!$I:$I,AD$1)*IF(AB975="Peso",$R975,1))</f>
        <v/>
      </c>
    </row>
    <row r="976">
      <c r="A976" s="4" t="str">
        <f t="array" ref="A976">IF(COUNTIF(A$1:A975,Cotizador!F$2)=maxifs(Familias!E:E,Familias!D:D,Cotizador!F$2),IF(COUNTIF(A$1:A975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6" s="4" t="str">
        <f t="shared" si="1"/>
        <v/>
      </c>
      <c r="C976" s="4" t="str">
        <f t="array" ref="C976">IF(B976="","",IF(A976=XLOOKUP(A$2,Implementos!B:B,Implementos!C:C,"",0,1),B976+maxifs(B$1:B975,A$1:A975,A$2),B976))</f>
        <v/>
      </c>
      <c r="D976" s="4" t="str">
        <f>IF(B976="","", COUNTIFS(Productos!F:F,A976,Productos!H:H,B976)+IF(F976="SI",0,1))</f>
        <v/>
      </c>
      <c r="E976" s="4" t="str">
        <f>IFERROR(__xludf.DUMMYFUNCTION("IF($B976="""","""",INDEX(filter(Familias!F:F,Familias!$D:$D=$A976,Familias!$E:$E=$B976),1))"),"")</f>
        <v/>
      </c>
      <c r="F976" s="4" t="str">
        <f>IFERROR(__xludf.DUMMYFUNCTION("IF($B976="""","""",INDEX(filter(Familias!G:G,Familias!$D:$D=$A976,Familias!$E:$E=$B976),1))"),"")</f>
        <v/>
      </c>
      <c r="G976" s="4" t="str">
        <f t="array" ref="G976">IF(C976=1,XLOOKUP(C976,Cotizador!D:D,Cotizador!E:E,"",0,1),"")</f>
        <v/>
      </c>
      <c r="I976" s="4"/>
      <c r="J976" s="8" t="str">
        <f>IF(I976="","",SUMIF(Cotizador!I$1:V$1,I976,Cotizador!I$2:V$2))</f>
        <v/>
      </c>
      <c r="L976" s="4" t="str">
        <f t="array" ref="L976">IF(COUNTIF(L$1:L975,A$2)=SUMIF(A:A,A$2,D:D),IF(COUNTIF(L$1:L975,XLOOKUP(A$2,Implementos!B:B,Implementos!C:C,"",0,1))=SUMIF(A:A,XLOOKUP(A$2,Implementos!B:B,Implementos!C:C,"",0,1),D:D),"",XLOOKUP(A$2,Implementos!B:B,Implementos!C:C,"",0,1)),A$2)</f>
        <v/>
      </c>
      <c r="M976" s="4" t="str">
        <f t="shared" si="2"/>
        <v/>
      </c>
      <c r="N976" s="4" t="str">
        <f t="shared" si="3"/>
        <v/>
      </c>
      <c r="O976" s="4" t="str">
        <f t="shared" si="4"/>
        <v/>
      </c>
      <c r="P976" s="4" t="str">
        <f t="shared" si="5"/>
        <v/>
      </c>
      <c r="Q976" s="4" t="str">
        <f>IF(U976="","",SUMIF(Productos!E:E,U976,Productos!A:A))</f>
        <v/>
      </c>
      <c r="R976" s="4" t="str">
        <f t="array" ref="R976">IF(L976="","", max(1,SUMIF(I:I,XLOOKUP(U976,Productos!E:E,Productos!G:G,"",0,1),J:J)))</f>
        <v/>
      </c>
      <c r="S976" s="4" t="str">
        <f>IF(Q976="","",IF(SUMIFS(Compat_Vetado!D:D,Compat_Vetado!B:B,SUM(G:G),Compat_Vetado!C:C,Q976)=1,"SI",IF(OR(SUMIF(Cotizador!E:E,Q976,Cotizador!G:G)&gt;0,SUMIFS(Compat_Vetado!D:D,Compat_Vetado!B:B,SUM(G:G),Compat_Vetado!C:C,Q976)=-1),"NO","")))</f>
        <v/>
      </c>
      <c r="T976" s="4" t="str">
        <f t="shared" si="6"/>
        <v/>
      </c>
      <c r="U976" s="4" t="str">
        <f>IFERROR(__xludf.DUMMYFUNCTION("IF(P976="""","""",IFERROR(INDEX(filter(Productos!E:E,Productos!F:F=L976,Productos!H:H=N976),P976),IF(M976=SUM(D:D),""Finalizar"",""-"")))"),"")</f>
        <v/>
      </c>
      <c r="V976" s="4" t="str">
        <f>IFERROR(__xludf.DUMMYFUNCTION("IF(OR($U976="""",COUNTIF($I:$I,IFERROR(unique(filter(Prod_Prop!$H:$H,Prod_Prop!$G:$G=$U976,Prod_Prop!$E:$E=V$1)),""Check""))=0),"""",IFERROR(unique(filter(Prod_Prop!$H:$H,Prod_Prop!$G:$G=$U976,Prod_Prop!$E:$E=V$1)),""""))"),"")</f>
        <v/>
      </c>
      <c r="W976" s="4" t="str">
        <f>IF(V976="","",SUMIFS(Prod_Prop!$J:$J,Prod_Prop!$B:$B,$Q976,Prod_Prop!$H:$H,V976,Prod_Prop!$I:$I,W$1)*IF(V976="Peso",$R976,1))</f>
        <v/>
      </c>
      <c r="X976" s="4" t="str">
        <f>IF(V976="","",SUMIFS(Prod_Prop!$J:$J,Prod_Prop!$B:$B,$Q976,Prod_Prop!$H:$H,V976,Prod_Prop!$I:$I,X$1)*IF(V976="Peso",$R976,1))</f>
        <v/>
      </c>
      <c r="Y976" s="4" t="str">
        <f>IFERROR(__xludf.DUMMYFUNCTION("IF(OR($U976="""",COUNTIF($I:$I,IFERROR(unique(filter(Prod_Prop!$H:$H,Prod_Prop!$G:$G=$U976,Prod_Prop!$E:$E=Y$1)),""Check""))=0),"""",IFERROR(unique(filter(Prod_Prop!$H:$H,Prod_Prop!$G:$G=$U976,Prod_Prop!$E:$E=Y$1)),""""))"),"")</f>
        <v/>
      </c>
      <c r="Z976" s="4" t="str">
        <f>IF(Y976="","",SUMIFS(Prod_Prop!$J:$J,Prod_Prop!$B:$B,$Q976,Prod_Prop!$H:$H,Y976,Prod_Prop!$I:$I,Z$1)*IF(Y976="Peso",$R976,1))</f>
        <v/>
      </c>
      <c r="AA976" s="4" t="str">
        <f>IF(Y976="","",SUMIFS(Prod_Prop!$J:$J,Prod_Prop!$B:$B,$Q976,Prod_Prop!$H:$H,Y976,Prod_Prop!$I:$I,AA$1)*IF(Y976="Peso",$R976,1))</f>
        <v/>
      </c>
      <c r="AB976" s="4" t="str">
        <f>IFERROR(__xludf.DUMMYFUNCTION("IF(OR($U976="""",COUNTIF($I:$I,IFERROR(unique(filter(Prod_Prop!$H:$H,Prod_Prop!$G:$G=$U976,Prod_Prop!$E:$E=AB$1)),""Check""))=0),"""",IFERROR(unique(filter(Prod_Prop!$H:$H,Prod_Prop!$G:$G=$U976,Prod_Prop!$E:$E=AB$1)),""""))"),"")</f>
        <v/>
      </c>
      <c r="AC976" s="4" t="str">
        <f>IF(AB976="","",SUMIFS(Prod_Prop!$J:$J,Prod_Prop!$B:$B,$Q976,Prod_Prop!$H:$H,AB976,Prod_Prop!$I:$I,AC$1)*IF(AB976="Peso",$R976,1))</f>
        <v/>
      </c>
      <c r="AD976" s="4" t="str">
        <f>IF(AB976="","",SUMIFS(Prod_Prop!$J:$J,Prod_Prop!$B:$B,$Q976,Prod_Prop!$H:$H,AB976,Prod_Prop!$I:$I,AD$1)*IF(AB976="Peso",$R976,1))</f>
        <v/>
      </c>
    </row>
    <row r="977">
      <c r="A977" s="4" t="str">
        <f t="array" ref="A977">IF(COUNTIF(A$1:A976,Cotizador!F$2)=maxifs(Familias!E:E,Familias!D:D,Cotizador!F$2),IF(COUNTIF(A$1:A976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7" s="4" t="str">
        <f t="shared" si="1"/>
        <v/>
      </c>
      <c r="C977" s="4" t="str">
        <f t="array" ref="C977">IF(B977="","",IF(A977=XLOOKUP(A$2,Implementos!B:B,Implementos!C:C,"",0,1),B977+maxifs(B$1:B976,A$1:A976,A$2),B977))</f>
        <v/>
      </c>
      <c r="D977" s="4" t="str">
        <f>IF(B977="","", COUNTIFS(Productos!F:F,A977,Productos!H:H,B977)+IF(F977="SI",0,1))</f>
        <v/>
      </c>
      <c r="E977" s="4" t="str">
        <f>IFERROR(__xludf.DUMMYFUNCTION("IF($B977="""","""",INDEX(filter(Familias!F:F,Familias!$D:$D=$A977,Familias!$E:$E=$B977),1))"),"")</f>
        <v/>
      </c>
      <c r="F977" s="4" t="str">
        <f>IFERROR(__xludf.DUMMYFUNCTION("IF($B977="""","""",INDEX(filter(Familias!G:G,Familias!$D:$D=$A977,Familias!$E:$E=$B977),1))"),"")</f>
        <v/>
      </c>
      <c r="G977" s="4" t="str">
        <f t="array" ref="G977">IF(C977=1,XLOOKUP(C977,Cotizador!D:D,Cotizador!E:E,"",0,1),"")</f>
        <v/>
      </c>
      <c r="I977" s="4"/>
      <c r="J977" s="8" t="str">
        <f>IF(I977="","",SUMIF(Cotizador!I$1:V$1,I977,Cotizador!I$2:V$2))</f>
        <v/>
      </c>
      <c r="L977" s="4" t="str">
        <f t="array" ref="L977">IF(COUNTIF(L$1:L976,A$2)=SUMIF(A:A,A$2,D:D),IF(COUNTIF(L$1:L976,XLOOKUP(A$2,Implementos!B:B,Implementos!C:C,"",0,1))=SUMIF(A:A,XLOOKUP(A$2,Implementos!B:B,Implementos!C:C,"",0,1),D:D),"",XLOOKUP(A$2,Implementos!B:B,Implementos!C:C,"",0,1)),A$2)</f>
        <v/>
      </c>
      <c r="M977" s="4" t="str">
        <f t="shared" si="2"/>
        <v/>
      </c>
      <c r="N977" s="4" t="str">
        <f t="shared" si="3"/>
        <v/>
      </c>
      <c r="O977" s="4" t="str">
        <f t="shared" si="4"/>
        <v/>
      </c>
      <c r="P977" s="4" t="str">
        <f t="shared" si="5"/>
        <v/>
      </c>
      <c r="Q977" s="4" t="str">
        <f>IF(U977="","",SUMIF(Productos!E:E,U977,Productos!A:A))</f>
        <v/>
      </c>
      <c r="R977" s="4" t="str">
        <f t="array" ref="R977">IF(L977="","", max(1,SUMIF(I:I,XLOOKUP(U977,Productos!E:E,Productos!G:G,"",0,1),J:J)))</f>
        <v/>
      </c>
      <c r="S977" s="4" t="str">
        <f>IF(Q977="","",IF(SUMIFS(Compat_Vetado!D:D,Compat_Vetado!B:B,SUM(G:G),Compat_Vetado!C:C,Q977)=1,"SI",IF(OR(SUMIF(Cotizador!E:E,Q977,Cotizador!G:G)&gt;0,SUMIFS(Compat_Vetado!D:D,Compat_Vetado!B:B,SUM(G:G),Compat_Vetado!C:C,Q977)=-1),"NO","")))</f>
        <v/>
      </c>
      <c r="T977" s="4" t="str">
        <f t="shared" si="6"/>
        <v/>
      </c>
      <c r="U977" s="4" t="str">
        <f>IFERROR(__xludf.DUMMYFUNCTION("IF(P977="""","""",IFERROR(INDEX(filter(Productos!E:E,Productos!F:F=L977,Productos!H:H=N977),P977),IF(M977=SUM(D:D),""Finalizar"",""-"")))"),"")</f>
        <v/>
      </c>
      <c r="V977" s="4" t="str">
        <f>IFERROR(__xludf.DUMMYFUNCTION("IF(OR($U977="""",COUNTIF($I:$I,IFERROR(unique(filter(Prod_Prop!$H:$H,Prod_Prop!$G:$G=$U977,Prod_Prop!$E:$E=V$1)),""Check""))=0),"""",IFERROR(unique(filter(Prod_Prop!$H:$H,Prod_Prop!$G:$G=$U977,Prod_Prop!$E:$E=V$1)),""""))"),"")</f>
        <v/>
      </c>
      <c r="W977" s="4" t="str">
        <f>IF(V977="","",SUMIFS(Prod_Prop!$J:$J,Prod_Prop!$B:$B,$Q977,Prod_Prop!$H:$H,V977,Prod_Prop!$I:$I,W$1)*IF(V977="Peso",$R977,1))</f>
        <v/>
      </c>
      <c r="X977" s="4" t="str">
        <f>IF(V977="","",SUMIFS(Prod_Prop!$J:$J,Prod_Prop!$B:$B,$Q977,Prod_Prop!$H:$H,V977,Prod_Prop!$I:$I,X$1)*IF(V977="Peso",$R977,1))</f>
        <v/>
      </c>
      <c r="Y977" s="4" t="str">
        <f>IFERROR(__xludf.DUMMYFUNCTION("IF(OR($U977="""",COUNTIF($I:$I,IFERROR(unique(filter(Prod_Prop!$H:$H,Prod_Prop!$G:$G=$U977,Prod_Prop!$E:$E=Y$1)),""Check""))=0),"""",IFERROR(unique(filter(Prod_Prop!$H:$H,Prod_Prop!$G:$G=$U977,Prod_Prop!$E:$E=Y$1)),""""))"),"")</f>
        <v/>
      </c>
      <c r="Z977" s="4" t="str">
        <f>IF(Y977="","",SUMIFS(Prod_Prop!$J:$J,Prod_Prop!$B:$B,$Q977,Prod_Prop!$H:$H,Y977,Prod_Prop!$I:$I,Z$1)*IF(Y977="Peso",$R977,1))</f>
        <v/>
      </c>
      <c r="AA977" s="4" t="str">
        <f>IF(Y977="","",SUMIFS(Prod_Prop!$J:$J,Prod_Prop!$B:$B,$Q977,Prod_Prop!$H:$H,Y977,Prod_Prop!$I:$I,AA$1)*IF(Y977="Peso",$R977,1))</f>
        <v/>
      </c>
      <c r="AB977" s="4" t="str">
        <f>IFERROR(__xludf.DUMMYFUNCTION("IF(OR($U977="""",COUNTIF($I:$I,IFERROR(unique(filter(Prod_Prop!$H:$H,Prod_Prop!$G:$G=$U977,Prod_Prop!$E:$E=AB$1)),""Check""))=0),"""",IFERROR(unique(filter(Prod_Prop!$H:$H,Prod_Prop!$G:$G=$U977,Prod_Prop!$E:$E=AB$1)),""""))"),"")</f>
        <v/>
      </c>
      <c r="AC977" s="4" t="str">
        <f>IF(AB977="","",SUMIFS(Prod_Prop!$J:$J,Prod_Prop!$B:$B,$Q977,Prod_Prop!$H:$H,AB977,Prod_Prop!$I:$I,AC$1)*IF(AB977="Peso",$R977,1))</f>
        <v/>
      </c>
      <c r="AD977" s="4" t="str">
        <f>IF(AB977="","",SUMIFS(Prod_Prop!$J:$J,Prod_Prop!$B:$B,$Q977,Prod_Prop!$H:$H,AB977,Prod_Prop!$I:$I,AD$1)*IF(AB977="Peso",$R977,1))</f>
        <v/>
      </c>
    </row>
    <row r="978">
      <c r="A978" s="4" t="str">
        <f t="array" ref="A978">IF(COUNTIF(A$1:A977,Cotizador!F$2)=maxifs(Familias!E:E,Familias!D:D,Cotizador!F$2),IF(COUNTIF(A$1:A977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8" s="4" t="str">
        <f t="shared" si="1"/>
        <v/>
      </c>
      <c r="C978" s="4" t="str">
        <f t="array" ref="C978">IF(B978="","",IF(A978=XLOOKUP(A$2,Implementos!B:B,Implementos!C:C,"",0,1),B978+maxifs(B$1:B977,A$1:A977,A$2),B978))</f>
        <v/>
      </c>
      <c r="D978" s="4" t="str">
        <f>IF(B978="","", COUNTIFS(Productos!F:F,A978,Productos!H:H,B978)+IF(F978="SI",0,1))</f>
        <v/>
      </c>
      <c r="E978" s="4" t="str">
        <f>IFERROR(__xludf.DUMMYFUNCTION("IF($B978="""","""",INDEX(filter(Familias!F:F,Familias!$D:$D=$A978,Familias!$E:$E=$B978),1))"),"")</f>
        <v/>
      </c>
      <c r="F978" s="4" t="str">
        <f>IFERROR(__xludf.DUMMYFUNCTION("IF($B978="""","""",INDEX(filter(Familias!G:G,Familias!$D:$D=$A978,Familias!$E:$E=$B978),1))"),"")</f>
        <v/>
      </c>
      <c r="G978" s="4" t="str">
        <f t="array" ref="G978">IF(C978=1,XLOOKUP(C978,Cotizador!D:D,Cotizador!E:E,"",0,1),"")</f>
        <v/>
      </c>
      <c r="I978" s="4"/>
      <c r="J978" s="8" t="str">
        <f>IF(I978="","",SUMIF(Cotizador!I$1:V$1,I978,Cotizador!I$2:V$2))</f>
        <v/>
      </c>
      <c r="L978" s="4" t="str">
        <f t="array" ref="L978">IF(COUNTIF(L$1:L977,A$2)=SUMIF(A:A,A$2,D:D),IF(COUNTIF(L$1:L977,XLOOKUP(A$2,Implementos!B:B,Implementos!C:C,"",0,1))=SUMIF(A:A,XLOOKUP(A$2,Implementos!B:B,Implementos!C:C,"",0,1),D:D),"",XLOOKUP(A$2,Implementos!B:B,Implementos!C:C,"",0,1)),A$2)</f>
        <v/>
      </c>
      <c r="M978" s="4" t="str">
        <f t="shared" si="2"/>
        <v/>
      </c>
      <c r="N978" s="4" t="str">
        <f t="shared" si="3"/>
        <v/>
      </c>
      <c r="O978" s="4" t="str">
        <f t="shared" si="4"/>
        <v/>
      </c>
      <c r="P978" s="4" t="str">
        <f t="shared" si="5"/>
        <v/>
      </c>
      <c r="Q978" s="4" t="str">
        <f>IF(U978="","",SUMIF(Productos!E:E,U978,Productos!A:A))</f>
        <v/>
      </c>
      <c r="R978" s="4" t="str">
        <f t="array" ref="R978">IF(L978="","", max(1,SUMIF(I:I,XLOOKUP(U978,Productos!E:E,Productos!G:G,"",0,1),J:J)))</f>
        <v/>
      </c>
      <c r="S978" s="4" t="str">
        <f>IF(Q978="","",IF(SUMIFS(Compat_Vetado!D:D,Compat_Vetado!B:B,SUM(G:G),Compat_Vetado!C:C,Q978)=1,"SI",IF(OR(SUMIF(Cotizador!E:E,Q978,Cotizador!G:G)&gt;0,SUMIFS(Compat_Vetado!D:D,Compat_Vetado!B:B,SUM(G:G),Compat_Vetado!C:C,Q978)=-1),"NO","")))</f>
        <v/>
      </c>
      <c r="T978" s="4" t="str">
        <f t="shared" si="6"/>
        <v/>
      </c>
      <c r="U978" s="4" t="str">
        <f>IFERROR(__xludf.DUMMYFUNCTION("IF(P978="""","""",IFERROR(INDEX(filter(Productos!E:E,Productos!F:F=L978,Productos!H:H=N978),P978),IF(M978=SUM(D:D),""Finalizar"",""-"")))"),"")</f>
        <v/>
      </c>
      <c r="V978" s="4" t="str">
        <f>IFERROR(__xludf.DUMMYFUNCTION("IF(OR($U978="""",COUNTIF($I:$I,IFERROR(unique(filter(Prod_Prop!$H:$H,Prod_Prop!$G:$G=$U978,Prod_Prop!$E:$E=V$1)),""Check""))=0),"""",IFERROR(unique(filter(Prod_Prop!$H:$H,Prod_Prop!$G:$G=$U978,Prod_Prop!$E:$E=V$1)),""""))"),"")</f>
        <v/>
      </c>
      <c r="W978" s="4" t="str">
        <f>IF(V978="","",SUMIFS(Prod_Prop!$J:$J,Prod_Prop!$B:$B,$Q978,Prod_Prop!$H:$H,V978,Prod_Prop!$I:$I,W$1)*IF(V978="Peso",$R978,1))</f>
        <v/>
      </c>
      <c r="X978" s="4" t="str">
        <f>IF(V978="","",SUMIFS(Prod_Prop!$J:$J,Prod_Prop!$B:$B,$Q978,Prod_Prop!$H:$H,V978,Prod_Prop!$I:$I,X$1)*IF(V978="Peso",$R978,1))</f>
        <v/>
      </c>
      <c r="Y978" s="4" t="str">
        <f>IFERROR(__xludf.DUMMYFUNCTION("IF(OR($U978="""",COUNTIF($I:$I,IFERROR(unique(filter(Prod_Prop!$H:$H,Prod_Prop!$G:$G=$U978,Prod_Prop!$E:$E=Y$1)),""Check""))=0),"""",IFERROR(unique(filter(Prod_Prop!$H:$H,Prod_Prop!$G:$G=$U978,Prod_Prop!$E:$E=Y$1)),""""))"),"")</f>
        <v/>
      </c>
      <c r="Z978" s="4" t="str">
        <f>IF(Y978="","",SUMIFS(Prod_Prop!$J:$J,Prod_Prop!$B:$B,$Q978,Prod_Prop!$H:$H,Y978,Prod_Prop!$I:$I,Z$1)*IF(Y978="Peso",$R978,1))</f>
        <v/>
      </c>
      <c r="AA978" s="4" t="str">
        <f>IF(Y978="","",SUMIFS(Prod_Prop!$J:$J,Prod_Prop!$B:$B,$Q978,Prod_Prop!$H:$H,Y978,Prod_Prop!$I:$I,AA$1)*IF(Y978="Peso",$R978,1))</f>
        <v/>
      </c>
      <c r="AB978" s="4" t="str">
        <f>IFERROR(__xludf.DUMMYFUNCTION("IF(OR($U978="""",COUNTIF($I:$I,IFERROR(unique(filter(Prod_Prop!$H:$H,Prod_Prop!$G:$G=$U978,Prod_Prop!$E:$E=AB$1)),""Check""))=0),"""",IFERROR(unique(filter(Prod_Prop!$H:$H,Prod_Prop!$G:$G=$U978,Prod_Prop!$E:$E=AB$1)),""""))"),"")</f>
        <v/>
      </c>
      <c r="AC978" s="4" t="str">
        <f>IF(AB978="","",SUMIFS(Prod_Prop!$J:$J,Prod_Prop!$B:$B,$Q978,Prod_Prop!$H:$H,AB978,Prod_Prop!$I:$I,AC$1)*IF(AB978="Peso",$R978,1))</f>
        <v/>
      </c>
      <c r="AD978" s="4" t="str">
        <f>IF(AB978="","",SUMIFS(Prod_Prop!$J:$J,Prod_Prop!$B:$B,$Q978,Prod_Prop!$H:$H,AB978,Prod_Prop!$I:$I,AD$1)*IF(AB978="Peso",$R978,1))</f>
        <v/>
      </c>
    </row>
    <row r="979">
      <c r="A979" s="4" t="str">
        <f t="array" ref="A979">IF(COUNTIF(A$1:A978,Cotizador!F$2)=maxifs(Familias!E:E,Familias!D:D,Cotizador!F$2),IF(COUNTIF(A$1:A978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79" s="4" t="str">
        <f t="shared" si="1"/>
        <v/>
      </c>
      <c r="C979" s="4" t="str">
        <f t="array" ref="C979">IF(B979="","",IF(A979=XLOOKUP(A$2,Implementos!B:B,Implementos!C:C,"",0,1),B979+maxifs(B$1:B978,A$1:A978,A$2),B979))</f>
        <v/>
      </c>
      <c r="D979" s="4" t="str">
        <f>IF(B979="","", COUNTIFS(Productos!F:F,A979,Productos!H:H,B979)+IF(F979="SI",0,1))</f>
        <v/>
      </c>
      <c r="E979" s="4" t="str">
        <f>IFERROR(__xludf.DUMMYFUNCTION("IF($B979="""","""",INDEX(filter(Familias!F:F,Familias!$D:$D=$A979,Familias!$E:$E=$B979),1))"),"")</f>
        <v/>
      </c>
      <c r="F979" s="4" t="str">
        <f>IFERROR(__xludf.DUMMYFUNCTION("IF($B979="""","""",INDEX(filter(Familias!G:G,Familias!$D:$D=$A979,Familias!$E:$E=$B979),1))"),"")</f>
        <v/>
      </c>
      <c r="G979" s="4" t="str">
        <f t="array" ref="G979">IF(C979=1,XLOOKUP(C979,Cotizador!D:D,Cotizador!E:E,"",0,1),"")</f>
        <v/>
      </c>
      <c r="I979" s="4"/>
      <c r="J979" s="8" t="str">
        <f>IF(I979="","",SUMIF(Cotizador!I$1:V$1,I979,Cotizador!I$2:V$2))</f>
        <v/>
      </c>
      <c r="L979" s="4" t="str">
        <f t="array" ref="L979">IF(COUNTIF(L$1:L978,A$2)=SUMIF(A:A,A$2,D:D),IF(COUNTIF(L$1:L978,XLOOKUP(A$2,Implementos!B:B,Implementos!C:C,"",0,1))=SUMIF(A:A,XLOOKUP(A$2,Implementos!B:B,Implementos!C:C,"",0,1),D:D),"",XLOOKUP(A$2,Implementos!B:B,Implementos!C:C,"",0,1)),A$2)</f>
        <v/>
      </c>
      <c r="M979" s="4" t="str">
        <f t="shared" si="2"/>
        <v/>
      </c>
      <c r="N979" s="4" t="str">
        <f t="shared" si="3"/>
        <v/>
      </c>
      <c r="O979" s="4" t="str">
        <f t="shared" si="4"/>
        <v/>
      </c>
      <c r="P979" s="4" t="str">
        <f t="shared" si="5"/>
        <v/>
      </c>
      <c r="Q979" s="4" t="str">
        <f>IF(U979="","",SUMIF(Productos!E:E,U979,Productos!A:A))</f>
        <v/>
      </c>
      <c r="R979" s="4" t="str">
        <f t="array" ref="R979">IF(L979="","", max(1,SUMIF(I:I,XLOOKUP(U979,Productos!E:E,Productos!G:G,"",0,1),J:J)))</f>
        <v/>
      </c>
      <c r="S979" s="4" t="str">
        <f>IF(Q979="","",IF(SUMIFS(Compat_Vetado!D:D,Compat_Vetado!B:B,SUM(G:G),Compat_Vetado!C:C,Q979)=1,"SI",IF(OR(SUMIF(Cotizador!E:E,Q979,Cotizador!G:G)&gt;0,SUMIFS(Compat_Vetado!D:D,Compat_Vetado!B:B,SUM(G:G),Compat_Vetado!C:C,Q979)=-1),"NO","")))</f>
        <v/>
      </c>
      <c r="T979" s="4" t="str">
        <f t="shared" si="6"/>
        <v/>
      </c>
      <c r="U979" s="4" t="str">
        <f>IFERROR(__xludf.DUMMYFUNCTION("IF(P979="""","""",IFERROR(INDEX(filter(Productos!E:E,Productos!F:F=L979,Productos!H:H=N979),P979),IF(M979=SUM(D:D),""Finalizar"",""-"")))"),"")</f>
        <v/>
      </c>
      <c r="V979" s="4" t="str">
        <f>IFERROR(__xludf.DUMMYFUNCTION("IF(OR($U979="""",COUNTIF($I:$I,IFERROR(unique(filter(Prod_Prop!$H:$H,Prod_Prop!$G:$G=$U979,Prod_Prop!$E:$E=V$1)),""Check""))=0),"""",IFERROR(unique(filter(Prod_Prop!$H:$H,Prod_Prop!$G:$G=$U979,Prod_Prop!$E:$E=V$1)),""""))"),"")</f>
        <v/>
      </c>
      <c r="W979" s="4" t="str">
        <f>IF(V979="","",SUMIFS(Prod_Prop!$J:$J,Prod_Prop!$B:$B,$Q979,Prod_Prop!$H:$H,V979,Prod_Prop!$I:$I,W$1)*IF(V979="Peso",$R979,1))</f>
        <v/>
      </c>
      <c r="X979" s="4" t="str">
        <f>IF(V979="","",SUMIFS(Prod_Prop!$J:$J,Prod_Prop!$B:$B,$Q979,Prod_Prop!$H:$H,V979,Prod_Prop!$I:$I,X$1)*IF(V979="Peso",$R979,1))</f>
        <v/>
      </c>
      <c r="Y979" s="4" t="str">
        <f>IFERROR(__xludf.DUMMYFUNCTION("IF(OR($U979="""",COUNTIF($I:$I,IFERROR(unique(filter(Prod_Prop!$H:$H,Prod_Prop!$G:$G=$U979,Prod_Prop!$E:$E=Y$1)),""Check""))=0),"""",IFERROR(unique(filter(Prod_Prop!$H:$H,Prod_Prop!$G:$G=$U979,Prod_Prop!$E:$E=Y$1)),""""))"),"")</f>
        <v/>
      </c>
      <c r="Z979" s="4" t="str">
        <f>IF(Y979="","",SUMIFS(Prod_Prop!$J:$J,Prod_Prop!$B:$B,$Q979,Prod_Prop!$H:$H,Y979,Prod_Prop!$I:$I,Z$1)*IF(Y979="Peso",$R979,1))</f>
        <v/>
      </c>
      <c r="AA979" s="4" t="str">
        <f>IF(Y979="","",SUMIFS(Prod_Prop!$J:$J,Prod_Prop!$B:$B,$Q979,Prod_Prop!$H:$H,Y979,Prod_Prop!$I:$I,AA$1)*IF(Y979="Peso",$R979,1))</f>
        <v/>
      </c>
      <c r="AB979" s="4" t="str">
        <f>IFERROR(__xludf.DUMMYFUNCTION("IF(OR($U979="""",COUNTIF($I:$I,IFERROR(unique(filter(Prod_Prop!$H:$H,Prod_Prop!$G:$G=$U979,Prod_Prop!$E:$E=AB$1)),""Check""))=0),"""",IFERROR(unique(filter(Prod_Prop!$H:$H,Prod_Prop!$G:$G=$U979,Prod_Prop!$E:$E=AB$1)),""""))"),"")</f>
        <v/>
      </c>
      <c r="AC979" s="4" t="str">
        <f>IF(AB979="","",SUMIFS(Prod_Prop!$J:$J,Prod_Prop!$B:$B,$Q979,Prod_Prop!$H:$H,AB979,Prod_Prop!$I:$I,AC$1)*IF(AB979="Peso",$R979,1))</f>
        <v/>
      </c>
      <c r="AD979" s="4" t="str">
        <f>IF(AB979="","",SUMIFS(Prod_Prop!$J:$J,Prod_Prop!$B:$B,$Q979,Prod_Prop!$H:$H,AB979,Prod_Prop!$I:$I,AD$1)*IF(AB979="Peso",$R979,1))</f>
        <v/>
      </c>
    </row>
    <row r="980">
      <c r="A980" s="4" t="str">
        <f t="array" ref="A980">IF(COUNTIF(A$1:A979,Cotizador!F$2)=maxifs(Familias!E:E,Familias!D:D,Cotizador!F$2),IF(COUNTIF(A$1:A979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0" s="4" t="str">
        <f t="shared" si="1"/>
        <v/>
      </c>
      <c r="C980" s="4" t="str">
        <f t="array" ref="C980">IF(B980="","",IF(A980=XLOOKUP(A$2,Implementos!B:B,Implementos!C:C,"",0,1),B980+maxifs(B$1:B979,A$1:A979,A$2),B980))</f>
        <v/>
      </c>
      <c r="D980" s="4" t="str">
        <f>IF(B980="","", COUNTIFS(Productos!F:F,A980,Productos!H:H,B980)+IF(F980="SI",0,1))</f>
        <v/>
      </c>
      <c r="E980" s="4" t="str">
        <f>IFERROR(__xludf.DUMMYFUNCTION("IF($B980="""","""",INDEX(filter(Familias!F:F,Familias!$D:$D=$A980,Familias!$E:$E=$B980),1))"),"")</f>
        <v/>
      </c>
      <c r="F980" s="4" t="str">
        <f>IFERROR(__xludf.DUMMYFUNCTION("IF($B980="""","""",INDEX(filter(Familias!G:G,Familias!$D:$D=$A980,Familias!$E:$E=$B980),1))"),"")</f>
        <v/>
      </c>
      <c r="G980" s="4" t="str">
        <f t="array" ref="G980">IF(C980=1,XLOOKUP(C980,Cotizador!D:D,Cotizador!E:E,"",0,1),"")</f>
        <v/>
      </c>
      <c r="I980" s="4"/>
      <c r="J980" s="8" t="str">
        <f>IF(I980="","",SUMIF(Cotizador!I$1:V$1,I980,Cotizador!I$2:V$2))</f>
        <v/>
      </c>
      <c r="L980" s="4" t="str">
        <f t="array" ref="L980">IF(COUNTIF(L$1:L979,A$2)=SUMIF(A:A,A$2,D:D),IF(COUNTIF(L$1:L979,XLOOKUP(A$2,Implementos!B:B,Implementos!C:C,"",0,1))=SUMIF(A:A,XLOOKUP(A$2,Implementos!B:B,Implementos!C:C,"",0,1),D:D),"",XLOOKUP(A$2,Implementos!B:B,Implementos!C:C,"",0,1)),A$2)</f>
        <v/>
      </c>
      <c r="M980" s="4" t="str">
        <f t="shared" si="2"/>
        <v/>
      </c>
      <c r="N980" s="4" t="str">
        <f t="shared" si="3"/>
        <v/>
      </c>
      <c r="O980" s="4" t="str">
        <f t="shared" si="4"/>
        <v/>
      </c>
      <c r="P980" s="4" t="str">
        <f t="shared" si="5"/>
        <v/>
      </c>
      <c r="Q980" s="4" t="str">
        <f>IF(U980="","",SUMIF(Productos!E:E,U980,Productos!A:A))</f>
        <v/>
      </c>
      <c r="R980" s="4" t="str">
        <f t="array" ref="R980">IF(L980="","", max(1,SUMIF(I:I,XLOOKUP(U980,Productos!E:E,Productos!G:G,"",0,1),J:J)))</f>
        <v/>
      </c>
      <c r="S980" s="4" t="str">
        <f>IF(Q980="","",IF(SUMIFS(Compat_Vetado!D:D,Compat_Vetado!B:B,SUM(G:G),Compat_Vetado!C:C,Q980)=1,"SI",IF(OR(SUMIF(Cotizador!E:E,Q980,Cotizador!G:G)&gt;0,SUMIFS(Compat_Vetado!D:D,Compat_Vetado!B:B,SUM(G:G),Compat_Vetado!C:C,Q980)=-1),"NO","")))</f>
        <v/>
      </c>
      <c r="T980" s="4" t="str">
        <f t="shared" si="6"/>
        <v/>
      </c>
      <c r="U980" s="4" t="str">
        <f>IFERROR(__xludf.DUMMYFUNCTION("IF(P980="""","""",IFERROR(INDEX(filter(Productos!E:E,Productos!F:F=L980,Productos!H:H=N980),P980),IF(M980=SUM(D:D),""Finalizar"",""-"")))"),"")</f>
        <v/>
      </c>
      <c r="V980" s="4" t="str">
        <f>IFERROR(__xludf.DUMMYFUNCTION("IF(OR($U980="""",COUNTIF($I:$I,IFERROR(unique(filter(Prod_Prop!$H:$H,Prod_Prop!$G:$G=$U980,Prod_Prop!$E:$E=V$1)),""Check""))=0),"""",IFERROR(unique(filter(Prod_Prop!$H:$H,Prod_Prop!$G:$G=$U980,Prod_Prop!$E:$E=V$1)),""""))"),"")</f>
        <v/>
      </c>
      <c r="W980" s="4" t="str">
        <f>IF(V980="","",SUMIFS(Prod_Prop!$J:$J,Prod_Prop!$B:$B,$Q980,Prod_Prop!$H:$H,V980,Prod_Prop!$I:$I,W$1)*IF(V980="Peso",$R980,1))</f>
        <v/>
      </c>
      <c r="X980" s="4" t="str">
        <f>IF(V980="","",SUMIFS(Prod_Prop!$J:$J,Prod_Prop!$B:$B,$Q980,Prod_Prop!$H:$H,V980,Prod_Prop!$I:$I,X$1)*IF(V980="Peso",$R980,1))</f>
        <v/>
      </c>
      <c r="Y980" s="4" t="str">
        <f>IFERROR(__xludf.DUMMYFUNCTION("IF(OR($U980="""",COUNTIF($I:$I,IFERROR(unique(filter(Prod_Prop!$H:$H,Prod_Prop!$G:$G=$U980,Prod_Prop!$E:$E=Y$1)),""Check""))=0),"""",IFERROR(unique(filter(Prod_Prop!$H:$H,Prod_Prop!$G:$G=$U980,Prod_Prop!$E:$E=Y$1)),""""))"),"")</f>
        <v/>
      </c>
      <c r="Z980" s="4" t="str">
        <f>IF(Y980="","",SUMIFS(Prod_Prop!$J:$J,Prod_Prop!$B:$B,$Q980,Prod_Prop!$H:$H,Y980,Prod_Prop!$I:$I,Z$1)*IF(Y980="Peso",$R980,1))</f>
        <v/>
      </c>
      <c r="AA980" s="4" t="str">
        <f>IF(Y980="","",SUMIFS(Prod_Prop!$J:$J,Prod_Prop!$B:$B,$Q980,Prod_Prop!$H:$H,Y980,Prod_Prop!$I:$I,AA$1)*IF(Y980="Peso",$R980,1))</f>
        <v/>
      </c>
      <c r="AB980" s="4" t="str">
        <f>IFERROR(__xludf.DUMMYFUNCTION("IF(OR($U980="""",COUNTIF($I:$I,IFERROR(unique(filter(Prod_Prop!$H:$H,Prod_Prop!$G:$G=$U980,Prod_Prop!$E:$E=AB$1)),""Check""))=0),"""",IFERROR(unique(filter(Prod_Prop!$H:$H,Prod_Prop!$G:$G=$U980,Prod_Prop!$E:$E=AB$1)),""""))"),"")</f>
        <v/>
      </c>
      <c r="AC980" s="4" t="str">
        <f>IF(AB980="","",SUMIFS(Prod_Prop!$J:$J,Prod_Prop!$B:$B,$Q980,Prod_Prop!$H:$H,AB980,Prod_Prop!$I:$I,AC$1)*IF(AB980="Peso",$R980,1))</f>
        <v/>
      </c>
      <c r="AD980" s="4" t="str">
        <f>IF(AB980="","",SUMIFS(Prod_Prop!$J:$J,Prod_Prop!$B:$B,$Q980,Prod_Prop!$H:$H,AB980,Prod_Prop!$I:$I,AD$1)*IF(AB980="Peso",$R980,1))</f>
        <v/>
      </c>
    </row>
    <row r="981">
      <c r="A981" s="4" t="str">
        <f t="array" ref="A981">IF(COUNTIF(A$1:A980,Cotizador!F$2)=maxifs(Familias!E:E,Familias!D:D,Cotizador!F$2),IF(COUNTIF(A$1:A980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1" s="4" t="str">
        <f t="shared" si="1"/>
        <v/>
      </c>
      <c r="C981" s="4" t="str">
        <f t="array" ref="C981">IF(B981="","",IF(A981=XLOOKUP(A$2,Implementos!B:B,Implementos!C:C,"",0,1),B981+maxifs(B$1:B980,A$1:A980,A$2),B981))</f>
        <v/>
      </c>
      <c r="D981" s="4" t="str">
        <f>IF(B981="","", COUNTIFS(Productos!F:F,A981,Productos!H:H,B981)+IF(F981="SI",0,1))</f>
        <v/>
      </c>
      <c r="E981" s="4" t="str">
        <f>IFERROR(__xludf.DUMMYFUNCTION("IF($B981="""","""",INDEX(filter(Familias!F:F,Familias!$D:$D=$A981,Familias!$E:$E=$B981),1))"),"")</f>
        <v/>
      </c>
      <c r="F981" s="4" t="str">
        <f>IFERROR(__xludf.DUMMYFUNCTION("IF($B981="""","""",INDEX(filter(Familias!G:G,Familias!$D:$D=$A981,Familias!$E:$E=$B981),1))"),"")</f>
        <v/>
      </c>
      <c r="G981" s="4" t="str">
        <f t="array" ref="G981">IF(C981=1,XLOOKUP(C981,Cotizador!D:D,Cotizador!E:E,"",0,1),"")</f>
        <v/>
      </c>
      <c r="I981" s="4"/>
      <c r="J981" s="8" t="str">
        <f>IF(I981="","",SUMIF(Cotizador!I$1:V$1,I981,Cotizador!I$2:V$2))</f>
        <v/>
      </c>
      <c r="L981" s="4" t="str">
        <f t="array" ref="L981">IF(COUNTIF(L$1:L980,A$2)=SUMIF(A:A,A$2,D:D),IF(COUNTIF(L$1:L980,XLOOKUP(A$2,Implementos!B:B,Implementos!C:C,"",0,1))=SUMIF(A:A,XLOOKUP(A$2,Implementos!B:B,Implementos!C:C,"",0,1),D:D),"",XLOOKUP(A$2,Implementos!B:B,Implementos!C:C,"",0,1)),A$2)</f>
        <v/>
      </c>
      <c r="M981" s="4" t="str">
        <f t="shared" si="2"/>
        <v/>
      </c>
      <c r="N981" s="4" t="str">
        <f t="shared" si="3"/>
        <v/>
      </c>
      <c r="O981" s="4" t="str">
        <f t="shared" si="4"/>
        <v/>
      </c>
      <c r="P981" s="4" t="str">
        <f t="shared" si="5"/>
        <v/>
      </c>
      <c r="Q981" s="4" t="str">
        <f>IF(U981="","",SUMIF(Productos!E:E,U981,Productos!A:A))</f>
        <v/>
      </c>
      <c r="R981" s="4" t="str">
        <f t="array" ref="R981">IF(L981="","", max(1,SUMIF(I:I,XLOOKUP(U981,Productos!E:E,Productos!G:G,"",0,1),J:J)))</f>
        <v/>
      </c>
      <c r="S981" s="4" t="str">
        <f>IF(Q981="","",IF(SUMIFS(Compat_Vetado!D:D,Compat_Vetado!B:B,SUM(G:G),Compat_Vetado!C:C,Q981)=1,"SI",IF(OR(SUMIF(Cotizador!E:E,Q981,Cotizador!G:G)&gt;0,SUMIFS(Compat_Vetado!D:D,Compat_Vetado!B:B,SUM(G:G),Compat_Vetado!C:C,Q981)=-1),"NO","")))</f>
        <v/>
      </c>
      <c r="T981" s="4" t="str">
        <f t="shared" si="6"/>
        <v/>
      </c>
      <c r="U981" s="4" t="str">
        <f>IFERROR(__xludf.DUMMYFUNCTION("IF(P981="""","""",IFERROR(INDEX(filter(Productos!E:E,Productos!F:F=L981,Productos!H:H=N981),P981),IF(M981=SUM(D:D),""Finalizar"",""-"")))"),"")</f>
        <v/>
      </c>
      <c r="V981" s="4" t="str">
        <f>IFERROR(__xludf.DUMMYFUNCTION("IF(OR($U981="""",COUNTIF($I:$I,IFERROR(unique(filter(Prod_Prop!$H:$H,Prod_Prop!$G:$G=$U981,Prod_Prop!$E:$E=V$1)),""Check""))=0),"""",IFERROR(unique(filter(Prod_Prop!$H:$H,Prod_Prop!$G:$G=$U981,Prod_Prop!$E:$E=V$1)),""""))"),"")</f>
        <v/>
      </c>
      <c r="W981" s="4" t="str">
        <f>IF(V981="","",SUMIFS(Prod_Prop!$J:$J,Prod_Prop!$B:$B,$Q981,Prod_Prop!$H:$H,V981,Prod_Prop!$I:$I,W$1)*IF(V981="Peso",$R981,1))</f>
        <v/>
      </c>
      <c r="X981" s="4" t="str">
        <f>IF(V981="","",SUMIFS(Prod_Prop!$J:$J,Prod_Prop!$B:$B,$Q981,Prod_Prop!$H:$H,V981,Prod_Prop!$I:$I,X$1)*IF(V981="Peso",$R981,1))</f>
        <v/>
      </c>
      <c r="Y981" s="4" t="str">
        <f>IFERROR(__xludf.DUMMYFUNCTION("IF(OR($U981="""",COUNTIF($I:$I,IFERROR(unique(filter(Prod_Prop!$H:$H,Prod_Prop!$G:$G=$U981,Prod_Prop!$E:$E=Y$1)),""Check""))=0),"""",IFERROR(unique(filter(Prod_Prop!$H:$H,Prod_Prop!$G:$G=$U981,Prod_Prop!$E:$E=Y$1)),""""))"),"")</f>
        <v/>
      </c>
      <c r="Z981" s="4" t="str">
        <f>IF(Y981="","",SUMIFS(Prod_Prop!$J:$J,Prod_Prop!$B:$B,$Q981,Prod_Prop!$H:$H,Y981,Prod_Prop!$I:$I,Z$1)*IF(Y981="Peso",$R981,1))</f>
        <v/>
      </c>
      <c r="AA981" s="4" t="str">
        <f>IF(Y981="","",SUMIFS(Prod_Prop!$J:$J,Prod_Prop!$B:$B,$Q981,Prod_Prop!$H:$H,Y981,Prod_Prop!$I:$I,AA$1)*IF(Y981="Peso",$R981,1))</f>
        <v/>
      </c>
      <c r="AB981" s="4" t="str">
        <f>IFERROR(__xludf.DUMMYFUNCTION("IF(OR($U981="""",COUNTIF($I:$I,IFERROR(unique(filter(Prod_Prop!$H:$H,Prod_Prop!$G:$G=$U981,Prod_Prop!$E:$E=AB$1)),""Check""))=0),"""",IFERROR(unique(filter(Prod_Prop!$H:$H,Prod_Prop!$G:$G=$U981,Prod_Prop!$E:$E=AB$1)),""""))"),"")</f>
        <v/>
      </c>
      <c r="AC981" s="4" t="str">
        <f>IF(AB981="","",SUMIFS(Prod_Prop!$J:$J,Prod_Prop!$B:$B,$Q981,Prod_Prop!$H:$H,AB981,Prod_Prop!$I:$I,AC$1)*IF(AB981="Peso",$R981,1))</f>
        <v/>
      </c>
      <c r="AD981" s="4" t="str">
        <f>IF(AB981="","",SUMIFS(Prod_Prop!$J:$J,Prod_Prop!$B:$B,$Q981,Prod_Prop!$H:$H,AB981,Prod_Prop!$I:$I,AD$1)*IF(AB981="Peso",$R981,1))</f>
        <v/>
      </c>
    </row>
    <row r="982">
      <c r="A982" s="4" t="str">
        <f t="array" ref="A982">IF(COUNTIF(A$1:A981,Cotizador!F$2)=maxifs(Familias!E:E,Familias!D:D,Cotizador!F$2),IF(COUNTIF(A$1:A981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2" s="4" t="str">
        <f t="shared" si="1"/>
        <v/>
      </c>
      <c r="C982" s="4" t="str">
        <f t="array" ref="C982">IF(B982="","",IF(A982=XLOOKUP(A$2,Implementos!B:B,Implementos!C:C,"",0,1),B982+maxifs(B$1:B981,A$1:A981,A$2),B982))</f>
        <v/>
      </c>
      <c r="D982" s="4" t="str">
        <f>IF(B982="","", COUNTIFS(Productos!F:F,A982,Productos!H:H,B982)+IF(F982="SI",0,1))</f>
        <v/>
      </c>
      <c r="E982" s="4" t="str">
        <f>IFERROR(__xludf.DUMMYFUNCTION("IF($B982="""","""",INDEX(filter(Familias!F:F,Familias!$D:$D=$A982,Familias!$E:$E=$B982),1))"),"")</f>
        <v/>
      </c>
      <c r="F982" s="4" t="str">
        <f>IFERROR(__xludf.DUMMYFUNCTION("IF($B982="""","""",INDEX(filter(Familias!G:G,Familias!$D:$D=$A982,Familias!$E:$E=$B982),1))"),"")</f>
        <v/>
      </c>
      <c r="G982" s="4" t="str">
        <f t="array" ref="G982">IF(C982=1,XLOOKUP(C982,Cotizador!D:D,Cotizador!E:E,"",0,1),"")</f>
        <v/>
      </c>
      <c r="I982" s="4"/>
      <c r="J982" s="8" t="str">
        <f>IF(I982="","",SUMIF(Cotizador!I$1:V$1,I982,Cotizador!I$2:V$2))</f>
        <v/>
      </c>
      <c r="L982" s="4" t="str">
        <f t="array" ref="L982">IF(COUNTIF(L$1:L981,A$2)=SUMIF(A:A,A$2,D:D),IF(COUNTIF(L$1:L981,XLOOKUP(A$2,Implementos!B:B,Implementos!C:C,"",0,1))=SUMIF(A:A,XLOOKUP(A$2,Implementos!B:B,Implementos!C:C,"",0,1),D:D),"",XLOOKUP(A$2,Implementos!B:B,Implementos!C:C,"",0,1)),A$2)</f>
        <v/>
      </c>
      <c r="M982" s="4" t="str">
        <f t="shared" si="2"/>
        <v/>
      </c>
      <c r="N982" s="4" t="str">
        <f t="shared" si="3"/>
        <v/>
      </c>
      <c r="O982" s="4" t="str">
        <f t="shared" si="4"/>
        <v/>
      </c>
      <c r="P982" s="4" t="str">
        <f t="shared" si="5"/>
        <v/>
      </c>
      <c r="Q982" s="4" t="str">
        <f>IF(U982="","",SUMIF(Productos!E:E,U982,Productos!A:A))</f>
        <v/>
      </c>
      <c r="R982" s="4" t="str">
        <f t="array" ref="R982">IF(L982="","", max(1,SUMIF(I:I,XLOOKUP(U982,Productos!E:E,Productos!G:G,"",0,1),J:J)))</f>
        <v/>
      </c>
      <c r="S982" s="4" t="str">
        <f>IF(Q982="","",IF(SUMIFS(Compat_Vetado!D:D,Compat_Vetado!B:B,SUM(G:G),Compat_Vetado!C:C,Q982)=1,"SI",IF(OR(SUMIF(Cotizador!E:E,Q982,Cotizador!G:G)&gt;0,SUMIFS(Compat_Vetado!D:D,Compat_Vetado!B:B,SUM(G:G),Compat_Vetado!C:C,Q982)=-1),"NO","")))</f>
        <v/>
      </c>
      <c r="T982" s="4" t="str">
        <f t="shared" si="6"/>
        <v/>
      </c>
      <c r="U982" s="4" t="str">
        <f>IFERROR(__xludf.DUMMYFUNCTION("IF(P982="""","""",IFERROR(INDEX(filter(Productos!E:E,Productos!F:F=L982,Productos!H:H=N982),P982),IF(M982=SUM(D:D),""Finalizar"",""-"")))"),"")</f>
        <v/>
      </c>
      <c r="V982" s="4" t="str">
        <f>IFERROR(__xludf.DUMMYFUNCTION("IF(OR($U982="""",COUNTIF($I:$I,IFERROR(unique(filter(Prod_Prop!$H:$H,Prod_Prop!$G:$G=$U982,Prod_Prop!$E:$E=V$1)),""Check""))=0),"""",IFERROR(unique(filter(Prod_Prop!$H:$H,Prod_Prop!$G:$G=$U982,Prod_Prop!$E:$E=V$1)),""""))"),"")</f>
        <v/>
      </c>
      <c r="W982" s="4" t="str">
        <f>IF(V982="","",SUMIFS(Prod_Prop!$J:$J,Prod_Prop!$B:$B,$Q982,Prod_Prop!$H:$H,V982,Prod_Prop!$I:$I,W$1)*IF(V982="Peso",$R982,1))</f>
        <v/>
      </c>
      <c r="X982" s="4" t="str">
        <f>IF(V982="","",SUMIFS(Prod_Prop!$J:$J,Prod_Prop!$B:$B,$Q982,Prod_Prop!$H:$H,V982,Prod_Prop!$I:$I,X$1)*IF(V982="Peso",$R982,1))</f>
        <v/>
      </c>
      <c r="Y982" s="4" t="str">
        <f>IFERROR(__xludf.DUMMYFUNCTION("IF(OR($U982="""",COUNTIF($I:$I,IFERROR(unique(filter(Prod_Prop!$H:$H,Prod_Prop!$G:$G=$U982,Prod_Prop!$E:$E=Y$1)),""Check""))=0),"""",IFERROR(unique(filter(Prod_Prop!$H:$H,Prod_Prop!$G:$G=$U982,Prod_Prop!$E:$E=Y$1)),""""))"),"")</f>
        <v/>
      </c>
      <c r="Z982" s="4" t="str">
        <f>IF(Y982="","",SUMIFS(Prod_Prop!$J:$J,Prod_Prop!$B:$B,$Q982,Prod_Prop!$H:$H,Y982,Prod_Prop!$I:$I,Z$1)*IF(Y982="Peso",$R982,1))</f>
        <v/>
      </c>
      <c r="AA982" s="4" t="str">
        <f>IF(Y982="","",SUMIFS(Prod_Prop!$J:$J,Prod_Prop!$B:$B,$Q982,Prod_Prop!$H:$H,Y982,Prod_Prop!$I:$I,AA$1)*IF(Y982="Peso",$R982,1))</f>
        <v/>
      </c>
      <c r="AB982" s="4" t="str">
        <f>IFERROR(__xludf.DUMMYFUNCTION("IF(OR($U982="""",COUNTIF($I:$I,IFERROR(unique(filter(Prod_Prop!$H:$H,Prod_Prop!$G:$G=$U982,Prod_Prop!$E:$E=AB$1)),""Check""))=0),"""",IFERROR(unique(filter(Prod_Prop!$H:$H,Prod_Prop!$G:$G=$U982,Prod_Prop!$E:$E=AB$1)),""""))"),"")</f>
        <v/>
      </c>
      <c r="AC982" s="4" t="str">
        <f>IF(AB982="","",SUMIFS(Prod_Prop!$J:$J,Prod_Prop!$B:$B,$Q982,Prod_Prop!$H:$H,AB982,Prod_Prop!$I:$I,AC$1)*IF(AB982="Peso",$R982,1))</f>
        <v/>
      </c>
      <c r="AD982" s="4" t="str">
        <f>IF(AB982="","",SUMIFS(Prod_Prop!$J:$J,Prod_Prop!$B:$B,$Q982,Prod_Prop!$H:$H,AB982,Prod_Prop!$I:$I,AD$1)*IF(AB982="Peso",$R982,1))</f>
        <v/>
      </c>
    </row>
    <row r="983">
      <c r="A983" s="4" t="str">
        <f t="array" ref="A983">IF(COUNTIF(A$1:A982,Cotizador!F$2)=maxifs(Familias!E:E,Familias!D:D,Cotizador!F$2),IF(COUNTIF(A$1:A982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3" s="4" t="str">
        <f t="shared" si="1"/>
        <v/>
      </c>
      <c r="C983" s="4" t="str">
        <f t="array" ref="C983">IF(B983="","",IF(A983=XLOOKUP(A$2,Implementos!B:B,Implementos!C:C,"",0,1),B983+maxifs(B$1:B982,A$1:A982,A$2),B983))</f>
        <v/>
      </c>
      <c r="D983" s="4" t="str">
        <f>IF(B983="","", COUNTIFS(Productos!F:F,A983,Productos!H:H,B983)+IF(F983="SI",0,1))</f>
        <v/>
      </c>
      <c r="E983" s="4" t="str">
        <f>IFERROR(__xludf.DUMMYFUNCTION("IF($B983="""","""",INDEX(filter(Familias!F:F,Familias!$D:$D=$A983,Familias!$E:$E=$B983),1))"),"")</f>
        <v/>
      </c>
      <c r="F983" s="4" t="str">
        <f>IFERROR(__xludf.DUMMYFUNCTION("IF($B983="""","""",INDEX(filter(Familias!G:G,Familias!$D:$D=$A983,Familias!$E:$E=$B983),1))"),"")</f>
        <v/>
      </c>
      <c r="G983" s="4" t="str">
        <f t="array" ref="G983">IF(C983=1,XLOOKUP(C983,Cotizador!D:D,Cotizador!E:E,"",0,1),"")</f>
        <v/>
      </c>
      <c r="I983" s="4"/>
      <c r="J983" s="8" t="str">
        <f>IF(I983="","",SUMIF(Cotizador!I$1:V$1,I983,Cotizador!I$2:V$2))</f>
        <v/>
      </c>
      <c r="L983" s="4" t="str">
        <f t="array" ref="L983">IF(COUNTIF(L$1:L982,A$2)=SUMIF(A:A,A$2,D:D),IF(COUNTIF(L$1:L982,XLOOKUP(A$2,Implementos!B:B,Implementos!C:C,"",0,1))=SUMIF(A:A,XLOOKUP(A$2,Implementos!B:B,Implementos!C:C,"",0,1),D:D),"",XLOOKUP(A$2,Implementos!B:B,Implementos!C:C,"",0,1)),A$2)</f>
        <v/>
      </c>
      <c r="M983" s="4" t="str">
        <f t="shared" si="2"/>
        <v/>
      </c>
      <c r="N983" s="4" t="str">
        <f t="shared" si="3"/>
        <v/>
      </c>
      <c r="O983" s="4" t="str">
        <f t="shared" si="4"/>
        <v/>
      </c>
      <c r="P983" s="4" t="str">
        <f t="shared" si="5"/>
        <v/>
      </c>
      <c r="Q983" s="4" t="str">
        <f>IF(U983="","",SUMIF(Productos!E:E,U983,Productos!A:A))</f>
        <v/>
      </c>
      <c r="R983" s="4" t="str">
        <f t="array" ref="R983">IF(L983="","", max(1,SUMIF(I:I,XLOOKUP(U983,Productos!E:E,Productos!G:G,"",0,1),J:J)))</f>
        <v/>
      </c>
      <c r="S983" s="4" t="str">
        <f>IF(Q983="","",IF(SUMIFS(Compat_Vetado!D:D,Compat_Vetado!B:B,SUM(G:G),Compat_Vetado!C:C,Q983)=1,"SI",IF(OR(SUMIF(Cotizador!E:E,Q983,Cotizador!G:G)&gt;0,SUMIFS(Compat_Vetado!D:D,Compat_Vetado!B:B,SUM(G:G),Compat_Vetado!C:C,Q983)=-1),"NO","")))</f>
        <v/>
      </c>
      <c r="T983" s="4" t="str">
        <f t="shared" si="6"/>
        <v/>
      </c>
      <c r="U983" s="4" t="str">
        <f>IFERROR(__xludf.DUMMYFUNCTION("IF(P983="""","""",IFERROR(INDEX(filter(Productos!E:E,Productos!F:F=L983,Productos!H:H=N983),P983),IF(M983=SUM(D:D),""Finalizar"",""-"")))"),"")</f>
        <v/>
      </c>
      <c r="V983" s="4" t="str">
        <f>IFERROR(__xludf.DUMMYFUNCTION("IF(OR($U983="""",COUNTIF($I:$I,IFERROR(unique(filter(Prod_Prop!$H:$H,Prod_Prop!$G:$G=$U983,Prod_Prop!$E:$E=V$1)),""Check""))=0),"""",IFERROR(unique(filter(Prod_Prop!$H:$H,Prod_Prop!$G:$G=$U983,Prod_Prop!$E:$E=V$1)),""""))"),"")</f>
        <v/>
      </c>
      <c r="W983" s="4" t="str">
        <f>IF(V983="","",SUMIFS(Prod_Prop!$J:$J,Prod_Prop!$B:$B,$Q983,Prod_Prop!$H:$H,V983,Prod_Prop!$I:$I,W$1)*IF(V983="Peso",$R983,1))</f>
        <v/>
      </c>
      <c r="X983" s="4" t="str">
        <f>IF(V983="","",SUMIFS(Prod_Prop!$J:$J,Prod_Prop!$B:$B,$Q983,Prod_Prop!$H:$H,V983,Prod_Prop!$I:$I,X$1)*IF(V983="Peso",$R983,1))</f>
        <v/>
      </c>
      <c r="Y983" s="4" t="str">
        <f>IFERROR(__xludf.DUMMYFUNCTION("IF(OR($U983="""",COUNTIF($I:$I,IFERROR(unique(filter(Prod_Prop!$H:$H,Prod_Prop!$G:$G=$U983,Prod_Prop!$E:$E=Y$1)),""Check""))=0),"""",IFERROR(unique(filter(Prod_Prop!$H:$H,Prod_Prop!$G:$G=$U983,Prod_Prop!$E:$E=Y$1)),""""))"),"")</f>
        <v/>
      </c>
      <c r="Z983" s="4" t="str">
        <f>IF(Y983="","",SUMIFS(Prod_Prop!$J:$J,Prod_Prop!$B:$B,$Q983,Prod_Prop!$H:$H,Y983,Prod_Prop!$I:$I,Z$1)*IF(Y983="Peso",$R983,1))</f>
        <v/>
      </c>
      <c r="AA983" s="4" t="str">
        <f>IF(Y983="","",SUMIFS(Prod_Prop!$J:$J,Prod_Prop!$B:$B,$Q983,Prod_Prop!$H:$H,Y983,Prod_Prop!$I:$I,AA$1)*IF(Y983="Peso",$R983,1))</f>
        <v/>
      </c>
      <c r="AB983" s="4" t="str">
        <f>IFERROR(__xludf.DUMMYFUNCTION("IF(OR($U983="""",COUNTIF($I:$I,IFERROR(unique(filter(Prod_Prop!$H:$H,Prod_Prop!$G:$G=$U983,Prod_Prop!$E:$E=AB$1)),""Check""))=0),"""",IFERROR(unique(filter(Prod_Prop!$H:$H,Prod_Prop!$G:$G=$U983,Prod_Prop!$E:$E=AB$1)),""""))"),"")</f>
        <v/>
      </c>
      <c r="AC983" s="4" t="str">
        <f>IF(AB983="","",SUMIFS(Prod_Prop!$J:$J,Prod_Prop!$B:$B,$Q983,Prod_Prop!$H:$H,AB983,Prod_Prop!$I:$I,AC$1)*IF(AB983="Peso",$R983,1))</f>
        <v/>
      </c>
      <c r="AD983" s="4" t="str">
        <f>IF(AB983="","",SUMIFS(Prod_Prop!$J:$J,Prod_Prop!$B:$B,$Q983,Prod_Prop!$H:$H,AB983,Prod_Prop!$I:$I,AD$1)*IF(AB983="Peso",$R983,1))</f>
        <v/>
      </c>
    </row>
    <row r="984">
      <c r="A984" s="4" t="str">
        <f t="array" ref="A984">IF(COUNTIF(A$1:A983,Cotizador!F$2)=maxifs(Familias!E:E,Familias!D:D,Cotizador!F$2),IF(COUNTIF(A$1:A983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4" s="4" t="str">
        <f t="shared" si="1"/>
        <v/>
      </c>
      <c r="C984" s="4" t="str">
        <f t="array" ref="C984">IF(B984="","",IF(A984=XLOOKUP(A$2,Implementos!B:B,Implementos!C:C,"",0,1),B984+maxifs(B$1:B983,A$1:A983,A$2),B984))</f>
        <v/>
      </c>
      <c r="D984" s="4" t="str">
        <f>IF(B984="","", COUNTIFS(Productos!F:F,A984,Productos!H:H,B984)+IF(F984="SI",0,1))</f>
        <v/>
      </c>
      <c r="E984" s="4" t="str">
        <f>IFERROR(__xludf.DUMMYFUNCTION("IF($B984="""","""",INDEX(filter(Familias!F:F,Familias!$D:$D=$A984,Familias!$E:$E=$B984),1))"),"")</f>
        <v/>
      </c>
      <c r="F984" s="4" t="str">
        <f>IFERROR(__xludf.DUMMYFUNCTION("IF($B984="""","""",INDEX(filter(Familias!G:G,Familias!$D:$D=$A984,Familias!$E:$E=$B984),1))"),"")</f>
        <v/>
      </c>
      <c r="G984" s="4" t="str">
        <f t="array" ref="G984">IF(C984=1,XLOOKUP(C984,Cotizador!D:D,Cotizador!E:E,"",0,1),"")</f>
        <v/>
      </c>
      <c r="I984" s="4"/>
      <c r="J984" s="8" t="str">
        <f>IF(I984="","",SUMIF(Cotizador!I$1:V$1,I984,Cotizador!I$2:V$2))</f>
        <v/>
      </c>
      <c r="L984" s="4" t="str">
        <f t="array" ref="L984">IF(COUNTIF(L$1:L983,A$2)=SUMIF(A:A,A$2,D:D),IF(COUNTIF(L$1:L983,XLOOKUP(A$2,Implementos!B:B,Implementos!C:C,"",0,1))=SUMIF(A:A,XLOOKUP(A$2,Implementos!B:B,Implementos!C:C,"",0,1),D:D),"",XLOOKUP(A$2,Implementos!B:B,Implementos!C:C,"",0,1)),A$2)</f>
        <v/>
      </c>
      <c r="M984" s="4" t="str">
        <f t="shared" si="2"/>
        <v/>
      </c>
      <c r="N984" s="4" t="str">
        <f t="shared" si="3"/>
        <v/>
      </c>
      <c r="O984" s="4" t="str">
        <f t="shared" si="4"/>
        <v/>
      </c>
      <c r="P984" s="4" t="str">
        <f t="shared" si="5"/>
        <v/>
      </c>
      <c r="Q984" s="4" t="str">
        <f>IF(U984="","",SUMIF(Productos!E:E,U984,Productos!A:A))</f>
        <v/>
      </c>
      <c r="R984" s="4" t="str">
        <f t="array" ref="R984">IF(L984="","", max(1,SUMIF(I:I,XLOOKUP(U984,Productos!E:E,Productos!G:G,"",0,1),J:J)))</f>
        <v/>
      </c>
      <c r="S984" s="4" t="str">
        <f>IF(Q984="","",IF(SUMIFS(Compat_Vetado!D:D,Compat_Vetado!B:B,SUM(G:G),Compat_Vetado!C:C,Q984)=1,"SI",IF(OR(SUMIF(Cotizador!E:E,Q984,Cotizador!G:G)&gt;0,SUMIFS(Compat_Vetado!D:D,Compat_Vetado!B:B,SUM(G:G),Compat_Vetado!C:C,Q984)=-1),"NO","")))</f>
        <v/>
      </c>
      <c r="T984" s="4" t="str">
        <f t="shared" si="6"/>
        <v/>
      </c>
      <c r="U984" s="4" t="str">
        <f>IFERROR(__xludf.DUMMYFUNCTION("IF(P984="""","""",IFERROR(INDEX(filter(Productos!E:E,Productos!F:F=L984,Productos!H:H=N984),P984),IF(M984=SUM(D:D),""Finalizar"",""-"")))"),"")</f>
        <v/>
      </c>
      <c r="V984" s="4" t="str">
        <f>IFERROR(__xludf.DUMMYFUNCTION("IF(OR($U984="""",COUNTIF($I:$I,IFERROR(unique(filter(Prod_Prop!$H:$H,Prod_Prop!$G:$G=$U984,Prod_Prop!$E:$E=V$1)),""Check""))=0),"""",IFERROR(unique(filter(Prod_Prop!$H:$H,Prod_Prop!$G:$G=$U984,Prod_Prop!$E:$E=V$1)),""""))"),"")</f>
        <v/>
      </c>
      <c r="W984" s="4" t="str">
        <f>IF(V984="","",SUMIFS(Prod_Prop!$J:$J,Prod_Prop!$B:$B,$Q984,Prod_Prop!$H:$H,V984,Prod_Prop!$I:$I,W$1)*IF(V984="Peso",$R984,1))</f>
        <v/>
      </c>
      <c r="X984" s="4" t="str">
        <f>IF(V984="","",SUMIFS(Prod_Prop!$J:$J,Prod_Prop!$B:$B,$Q984,Prod_Prop!$H:$H,V984,Prod_Prop!$I:$I,X$1)*IF(V984="Peso",$R984,1))</f>
        <v/>
      </c>
      <c r="Y984" s="4" t="str">
        <f>IFERROR(__xludf.DUMMYFUNCTION("IF(OR($U984="""",COUNTIF($I:$I,IFERROR(unique(filter(Prod_Prop!$H:$H,Prod_Prop!$G:$G=$U984,Prod_Prop!$E:$E=Y$1)),""Check""))=0),"""",IFERROR(unique(filter(Prod_Prop!$H:$H,Prod_Prop!$G:$G=$U984,Prod_Prop!$E:$E=Y$1)),""""))"),"")</f>
        <v/>
      </c>
      <c r="Z984" s="4" t="str">
        <f>IF(Y984="","",SUMIFS(Prod_Prop!$J:$J,Prod_Prop!$B:$B,$Q984,Prod_Prop!$H:$H,Y984,Prod_Prop!$I:$I,Z$1)*IF(Y984="Peso",$R984,1))</f>
        <v/>
      </c>
      <c r="AA984" s="4" t="str">
        <f>IF(Y984="","",SUMIFS(Prod_Prop!$J:$J,Prod_Prop!$B:$B,$Q984,Prod_Prop!$H:$H,Y984,Prod_Prop!$I:$I,AA$1)*IF(Y984="Peso",$R984,1))</f>
        <v/>
      </c>
      <c r="AB984" s="4" t="str">
        <f>IFERROR(__xludf.DUMMYFUNCTION("IF(OR($U984="""",COUNTIF($I:$I,IFERROR(unique(filter(Prod_Prop!$H:$H,Prod_Prop!$G:$G=$U984,Prod_Prop!$E:$E=AB$1)),""Check""))=0),"""",IFERROR(unique(filter(Prod_Prop!$H:$H,Prod_Prop!$G:$G=$U984,Prod_Prop!$E:$E=AB$1)),""""))"),"")</f>
        <v/>
      </c>
      <c r="AC984" s="4" t="str">
        <f>IF(AB984="","",SUMIFS(Prod_Prop!$J:$J,Prod_Prop!$B:$B,$Q984,Prod_Prop!$H:$H,AB984,Prod_Prop!$I:$I,AC$1)*IF(AB984="Peso",$R984,1))</f>
        <v/>
      </c>
      <c r="AD984" s="4" t="str">
        <f>IF(AB984="","",SUMIFS(Prod_Prop!$J:$J,Prod_Prop!$B:$B,$Q984,Prod_Prop!$H:$H,AB984,Prod_Prop!$I:$I,AD$1)*IF(AB984="Peso",$R984,1))</f>
        <v/>
      </c>
    </row>
    <row r="985">
      <c r="A985" s="4" t="str">
        <f t="array" ref="A985">IF(COUNTIF(A$1:A984,Cotizador!F$2)=maxifs(Familias!E:E,Familias!D:D,Cotizador!F$2),IF(COUNTIF(A$1:A984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5" s="4" t="str">
        <f t="shared" si="1"/>
        <v/>
      </c>
      <c r="C985" s="4" t="str">
        <f t="array" ref="C985">IF(B985="","",IF(A985=XLOOKUP(A$2,Implementos!B:B,Implementos!C:C,"",0,1),B985+maxifs(B$1:B984,A$1:A984,A$2),B985))</f>
        <v/>
      </c>
      <c r="D985" s="4" t="str">
        <f>IF(B985="","", COUNTIFS(Productos!F:F,A985,Productos!H:H,B985)+IF(F985="SI",0,1))</f>
        <v/>
      </c>
      <c r="E985" s="4" t="str">
        <f>IFERROR(__xludf.DUMMYFUNCTION("IF($B985="""","""",INDEX(filter(Familias!F:F,Familias!$D:$D=$A985,Familias!$E:$E=$B985),1))"),"")</f>
        <v/>
      </c>
      <c r="F985" s="4" t="str">
        <f>IFERROR(__xludf.DUMMYFUNCTION("IF($B985="""","""",INDEX(filter(Familias!G:G,Familias!$D:$D=$A985,Familias!$E:$E=$B985),1))"),"")</f>
        <v/>
      </c>
      <c r="G985" s="4" t="str">
        <f t="array" ref="G985">IF(C985=1,XLOOKUP(C985,Cotizador!D:D,Cotizador!E:E,"",0,1),"")</f>
        <v/>
      </c>
      <c r="I985" s="4"/>
      <c r="J985" s="8" t="str">
        <f>IF(I985="","",SUMIF(Cotizador!I$1:V$1,I985,Cotizador!I$2:V$2))</f>
        <v/>
      </c>
      <c r="L985" s="4" t="str">
        <f t="array" ref="L985">IF(COUNTIF(L$1:L984,A$2)=SUMIF(A:A,A$2,D:D),IF(COUNTIF(L$1:L984,XLOOKUP(A$2,Implementos!B:B,Implementos!C:C,"",0,1))=SUMIF(A:A,XLOOKUP(A$2,Implementos!B:B,Implementos!C:C,"",0,1),D:D),"",XLOOKUP(A$2,Implementos!B:B,Implementos!C:C,"",0,1)),A$2)</f>
        <v/>
      </c>
      <c r="M985" s="4" t="str">
        <f t="shared" si="2"/>
        <v/>
      </c>
      <c r="N985" s="4" t="str">
        <f t="shared" si="3"/>
        <v/>
      </c>
      <c r="O985" s="4" t="str">
        <f t="shared" si="4"/>
        <v/>
      </c>
      <c r="P985" s="4" t="str">
        <f t="shared" si="5"/>
        <v/>
      </c>
      <c r="Q985" s="4" t="str">
        <f>IF(U985="","",SUMIF(Productos!E:E,U985,Productos!A:A))</f>
        <v/>
      </c>
      <c r="R985" s="4" t="str">
        <f t="array" ref="R985">IF(L985="","", max(1,SUMIF(I:I,XLOOKUP(U985,Productos!E:E,Productos!G:G,"",0,1),J:J)))</f>
        <v/>
      </c>
      <c r="S985" s="4" t="str">
        <f>IF(Q985="","",IF(SUMIFS(Compat_Vetado!D:D,Compat_Vetado!B:B,SUM(G:G),Compat_Vetado!C:C,Q985)=1,"SI",IF(OR(SUMIF(Cotizador!E:E,Q985,Cotizador!G:G)&gt;0,SUMIFS(Compat_Vetado!D:D,Compat_Vetado!B:B,SUM(G:G),Compat_Vetado!C:C,Q985)=-1),"NO","")))</f>
        <v/>
      </c>
      <c r="T985" s="4" t="str">
        <f t="shared" si="6"/>
        <v/>
      </c>
      <c r="U985" s="4" t="str">
        <f>IFERROR(__xludf.DUMMYFUNCTION("IF(P985="""","""",IFERROR(INDEX(filter(Productos!E:E,Productos!F:F=L985,Productos!H:H=N985),P985),IF(M985=SUM(D:D),""Finalizar"",""-"")))"),"")</f>
        <v/>
      </c>
      <c r="V985" s="4" t="str">
        <f>IFERROR(__xludf.DUMMYFUNCTION("IF(OR($U985="""",COUNTIF($I:$I,IFERROR(unique(filter(Prod_Prop!$H:$H,Prod_Prop!$G:$G=$U985,Prod_Prop!$E:$E=V$1)),""Check""))=0),"""",IFERROR(unique(filter(Prod_Prop!$H:$H,Prod_Prop!$G:$G=$U985,Prod_Prop!$E:$E=V$1)),""""))"),"")</f>
        <v/>
      </c>
      <c r="W985" s="4" t="str">
        <f>IF(V985="","",SUMIFS(Prod_Prop!$J:$J,Prod_Prop!$B:$B,$Q985,Prod_Prop!$H:$H,V985,Prod_Prop!$I:$I,W$1)*IF(V985="Peso",$R985,1))</f>
        <v/>
      </c>
      <c r="X985" s="4" t="str">
        <f>IF(V985="","",SUMIFS(Prod_Prop!$J:$J,Prod_Prop!$B:$B,$Q985,Prod_Prop!$H:$H,V985,Prod_Prop!$I:$I,X$1)*IF(V985="Peso",$R985,1))</f>
        <v/>
      </c>
      <c r="Y985" s="4" t="str">
        <f>IFERROR(__xludf.DUMMYFUNCTION("IF(OR($U985="""",COUNTIF($I:$I,IFERROR(unique(filter(Prod_Prop!$H:$H,Prod_Prop!$G:$G=$U985,Prod_Prop!$E:$E=Y$1)),""Check""))=0),"""",IFERROR(unique(filter(Prod_Prop!$H:$H,Prod_Prop!$G:$G=$U985,Prod_Prop!$E:$E=Y$1)),""""))"),"")</f>
        <v/>
      </c>
      <c r="Z985" s="4" t="str">
        <f>IF(Y985="","",SUMIFS(Prod_Prop!$J:$J,Prod_Prop!$B:$B,$Q985,Prod_Prop!$H:$H,Y985,Prod_Prop!$I:$I,Z$1)*IF(Y985="Peso",$R985,1))</f>
        <v/>
      </c>
      <c r="AA985" s="4" t="str">
        <f>IF(Y985="","",SUMIFS(Prod_Prop!$J:$J,Prod_Prop!$B:$B,$Q985,Prod_Prop!$H:$H,Y985,Prod_Prop!$I:$I,AA$1)*IF(Y985="Peso",$R985,1))</f>
        <v/>
      </c>
      <c r="AB985" s="4" t="str">
        <f>IFERROR(__xludf.DUMMYFUNCTION("IF(OR($U985="""",COUNTIF($I:$I,IFERROR(unique(filter(Prod_Prop!$H:$H,Prod_Prop!$G:$G=$U985,Prod_Prop!$E:$E=AB$1)),""Check""))=0),"""",IFERROR(unique(filter(Prod_Prop!$H:$H,Prod_Prop!$G:$G=$U985,Prod_Prop!$E:$E=AB$1)),""""))"),"")</f>
        <v/>
      </c>
      <c r="AC985" s="4" t="str">
        <f>IF(AB985="","",SUMIFS(Prod_Prop!$J:$J,Prod_Prop!$B:$B,$Q985,Prod_Prop!$H:$H,AB985,Prod_Prop!$I:$I,AC$1)*IF(AB985="Peso",$R985,1))</f>
        <v/>
      </c>
      <c r="AD985" s="4" t="str">
        <f>IF(AB985="","",SUMIFS(Prod_Prop!$J:$J,Prod_Prop!$B:$B,$Q985,Prod_Prop!$H:$H,AB985,Prod_Prop!$I:$I,AD$1)*IF(AB985="Peso",$R985,1))</f>
        <v/>
      </c>
    </row>
    <row r="986">
      <c r="A986" s="4" t="str">
        <f t="array" ref="A986">IF(COUNTIF(A$1:A985,Cotizador!F$2)=maxifs(Familias!E:E,Familias!D:D,Cotizador!F$2),IF(COUNTIF(A$1:A985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6" s="4" t="str">
        <f t="shared" si="1"/>
        <v/>
      </c>
      <c r="C986" s="4" t="str">
        <f t="array" ref="C986">IF(B986="","",IF(A986=XLOOKUP(A$2,Implementos!B:B,Implementos!C:C,"",0,1),B986+maxifs(B$1:B985,A$1:A985,A$2),B986))</f>
        <v/>
      </c>
      <c r="D986" s="4" t="str">
        <f>IF(B986="","", COUNTIFS(Productos!F:F,A986,Productos!H:H,B986)+IF(F986="SI",0,1))</f>
        <v/>
      </c>
      <c r="E986" s="4" t="str">
        <f>IFERROR(__xludf.DUMMYFUNCTION("IF($B986="""","""",INDEX(filter(Familias!F:F,Familias!$D:$D=$A986,Familias!$E:$E=$B986),1))"),"")</f>
        <v/>
      </c>
      <c r="F986" s="4" t="str">
        <f>IFERROR(__xludf.DUMMYFUNCTION("IF($B986="""","""",INDEX(filter(Familias!G:G,Familias!$D:$D=$A986,Familias!$E:$E=$B986),1))"),"")</f>
        <v/>
      </c>
      <c r="G986" s="4" t="str">
        <f t="array" ref="G986">IF(C986=1,XLOOKUP(C986,Cotizador!D:D,Cotizador!E:E,"",0,1),"")</f>
        <v/>
      </c>
      <c r="I986" s="4"/>
      <c r="J986" s="8" t="str">
        <f>IF(I986="","",SUMIF(Cotizador!I$1:V$1,I986,Cotizador!I$2:V$2))</f>
        <v/>
      </c>
      <c r="L986" s="4" t="str">
        <f t="array" ref="L986">IF(COUNTIF(L$1:L985,A$2)=SUMIF(A:A,A$2,D:D),IF(COUNTIF(L$1:L985,XLOOKUP(A$2,Implementos!B:B,Implementos!C:C,"",0,1))=SUMIF(A:A,XLOOKUP(A$2,Implementos!B:B,Implementos!C:C,"",0,1),D:D),"",XLOOKUP(A$2,Implementos!B:B,Implementos!C:C,"",0,1)),A$2)</f>
        <v/>
      </c>
      <c r="M986" s="4" t="str">
        <f t="shared" si="2"/>
        <v/>
      </c>
      <c r="N986" s="4" t="str">
        <f t="shared" si="3"/>
        <v/>
      </c>
      <c r="O986" s="4" t="str">
        <f t="shared" si="4"/>
        <v/>
      </c>
      <c r="P986" s="4" t="str">
        <f t="shared" si="5"/>
        <v/>
      </c>
      <c r="Q986" s="4" t="str">
        <f>IF(U986="","",SUMIF(Productos!E:E,U986,Productos!A:A))</f>
        <v/>
      </c>
      <c r="R986" s="4" t="str">
        <f t="array" ref="R986">IF(L986="","", max(1,SUMIF(I:I,XLOOKUP(U986,Productos!E:E,Productos!G:G,"",0,1),J:J)))</f>
        <v/>
      </c>
      <c r="S986" s="4" t="str">
        <f>IF(Q986="","",IF(SUMIFS(Compat_Vetado!D:D,Compat_Vetado!B:B,SUM(G:G),Compat_Vetado!C:C,Q986)=1,"SI",IF(OR(SUMIF(Cotizador!E:E,Q986,Cotizador!G:G)&gt;0,SUMIFS(Compat_Vetado!D:D,Compat_Vetado!B:B,SUM(G:G),Compat_Vetado!C:C,Q986)=-1),"NO","")))</f>
        <v/>
      </c>
      <c r="T986" s="4" t="str">
        <f t="shared" si="6"/>
        <v/>
      </c>
      <c r="U986" s="4" t="str">
        <f>IFERROR(__xludf.DUMMYFUNCTION("IF(P986="""","""",IFERROR(INDEX(filter(Productos!E:E,Productos!F:F=L986,Productos!H:H=N986),P986),IF(M986=SUM(D:D),""Finalizar"",""-"")))"),"")</f>
        <v/>
      </c>
      <c r="V986" s="4" t="str">
        <f>IFERROR(__xludf.DUMMYFUNCTION("IF(OR($U986="""",COUNTIF($I:$I,IFERROR(unique(filter(Prod_Prop!$H:$H,Prod_Prop!$G:$G=$U986,Prod_Prop!$E:$E=V$1)),""Check""))=0),"""",IFERROR(unique(filter(Prod_Prop!$H:$H,Prod_Prop!$G:$G=$U986,Prod_Prop!$E:$E=V$1)),""""))"),"")</f>
        <v/>
      </c>
      <c r="W986" s="4" t="str">
        <f>IF(V986="","",SUMIFS(Prod_Prop!$J:$J,Prod_Prop!$B:$B,$Q986,Prod_Prop!$H:$H,V986,Prod_Prop!$I:$I,W$1)*IF(V986="Peso",$R986,1))</f>
        <v/>
      </c>
      <c r="X986" s="4" t="str">
        <f>IF(V986="","",SUMIFS(Prod_Prop!$J:$J,Prod_Prop!$B:$B,$Q986,Prod_Prop!$H:$H,V986,Prod_Prop!$I:$I,X$1)*IF(V986="Peso",$R986,1))</f>
        <v/>
      </c>
      <c r="Y986" s="4" t="str">
        <f>IFERROR(__xludf.DUMMYFUNCTION("IF(OR($U986="""",COUNTIF($I:$I,IFERROR(unique(filter(Prod_Prop!$H:$H,Prod_Prop!$G:$G=$U986,Prod_Prop!$E:$E=Y$1)),""Check""))=0),"""",IFERROR(unique(filter(Prod_Prop!$H:$H,Prod_Prop!$G:$G=$U986,Prod_Prop!$E:$E=Y$1)),""""))"),"")</f>
        <v/>
      </c>
      <c r="Z986" s="4" t="str">
        <f>IF(Y986="","",SUMIFS(Prod_Prop!$J:$J,Prod_Prop!$B:$B,$Q986,Prod_Prop!$H:$H,Y986,Prod_Prop!$I:$I,Z$1)*IF(Y986="Peso",$R986,1))</f>
        <v/>
      </c>
      <c r="AA986" s="4" t="str">
        <f>IF(Y986="","",SUMIFS(Prod_Prop!$J:$J,Prod_Prop!$B:$B,$Q986,Prod_Prop!$H:$H,Y986,Prod_Prop!$I:$I,AA$1)*IF(Y986="Peso",$R986,1))</f>
        <v/>
      </c>
      <c r="AB986" s="4" t="str">
        <f>IFERROR(__xludf.DUMMYFUNCTION("IF(OR($U986="""",COUNTIF($I:$I,IFERROR(unique(filter(Prod_Prop!$H:$H,Prod_Prop!$G:$G=$U986,Prod_Prop!$E:$E=AB$1)),""Check""))=0),"""",IFERROR(unique(filter(Prod_Prop!$H:$H,Prod_Prop!$G:$G=$U986,Prod_Prop!$E:$E=AB$1)),""""))"),"")</f>
        <v/>
      </c>
      <c r="AC986" s="4" t="str">
        <f>IF(AB986="","",SUMIFS(Prod_Prop!$J:$J,Prod_Prop!$B:$B,$Q986,Prod_Prop!$H:$H,AB986,Prod_Prop!$I:$I,AC$1)*IF(AB986="Peso",$R986,1))</f>
        <v/>
      </c>
      <c r="AD986" s="4" t="str">
        <f>IF(AB986="","",SUMIFS(Prod_Prop!$J:$J,Prod_Prop!$B:$B,$Q986,Prod_Prop!$H:$H,AB986,Prod_Prop!$I:$I,AD$1)*IF(AB986="Peso",$R986,1))</f>
        <v/>
      </c>
    </row>
    <row r="987">
      <c r="A987" s="4" t="str">
        <f t="array" ref="A987">IF(COUNTIF(A$1:A986,Cotizador!F$2)=maxifs(Familias!E:E,Familias!D:D,Cotizador!F$2),IF(COUNTIF(A$1:A986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7" s="4" t="str">
        <f t="shared" si="1"/>
        <v/>
      </c>
      <c r="C987" s="4" t="str">
        <f t="array" ref="C987">IF(B987="","",IF(A987=XLOOKUP(A$2,Implementos!B:B,Implementos!C:C,"",0,1),B987+maxifs(B$1:B986,A$1:A986,A$2),B987))</f>
        <v/>
      </c>
      <c r="D987" s="4" t="str">
        <f>IF(B987="","", COUNTIFS(Productos!F:F,A987,Productos!H:H,B987)+IF(F987="SI",0,1))</f>
        <v/>
      </c>
      <c r="E987" s="4" t="str">
        <f>IFERROR(__xludf.DUMMYFUNCTION("IF($B987="""","""",INDEX(filter(Familias!F:F,Familias!$D:$D=$A987,Familias!$E:$E=$B987),1))"),"")</f>
        <v/>
      </c>
      <c r="F987" s="4" t="str">
        <f>IFERROR(__xludf.DUMMYFUNCTION("IF($B987="""","""",INDEX(filter(Familias!G:G,Familias!$D:$D=$A987,Familias!$E:$E=$B987),1))"),"")</f>
        <v/>
      </c>
      <c r="G987" s="4" t="str">
        <f t="array" ref="G987">IF(C987=1,XLOOKUP(C987,Cotizador!D:D,Cotizador!E:E,"",0,1),"")</f>
        <v/>
      </c>
      <c r="I987" s="4"/>
      <c r="J987" s="8" t="str">
        <f>IF(I987="","",SUMIF(Cotizador!I$1:V$1,I987,Cotizador!I$2:V$2))</f>
        <v/>
      </c>
      <c r="L987" s="4" t="str">
        <f t="array" ref="L987">IF(COUNTIF(L$1:L986,A$2)=SUMIF(A:A,A$2,D:D),IF(COUNTIF(L$1:L986,XLOOKUP(A$2,Implementos!B:B,Implementos!C:C,"",0,1))=SUMIF(A:A,XLOOKUP(A$2,Implementos!B:B,Implementos!C:C,"",0,1),D:D),"",XLOOKUP(A$2,Implementos!B:B,Implementos!C:C,"",0,1)),A$2)</f>
        <v/>
      </c>
      <c r="M987" s="4" t="str">
        <f t="shared" si="2"/>
        <v/>
      </c>
      <c r="N987" s="4" t="str">
        <f t="shared" si="3"/>
        <v/>
      </c>
      <c r="O987" s="4" t="str">
        <f t="shared" si="4"/>
        <v/>
      </c>
      <c r="P987" s="4" t="str">
        <f t="shared" si="5"/>
        <v/>
      </c>
      <c r="Q987" s="4" t="str">
        <f>IF(U987="","",SUMIF(Productos!E:E,U987,Productos!A:A))</f>
        <v/>
      </c>
      <c r="R987" s="4" t="str">
        <f t="array" ref="R987">IF(L987="","", max(1,SUMIF(I:I,XLOOKUP(U987,Productos!E:E,Productos!G:G,"",0,1),J:J)))</f>
        <v/>
      </c>
      <c r="S987" s="4" t="str">
        <f>IF(Q987="","",IF(SUMIFS(Compat_Vetado!D:D,Compat_Vetado!B:B,SUM(G:G),Compat_Vetado!C:C,Q987)=1,"SI",IF(OR(SUMIF(Cotizador!E:E,Q987,Cotizador!G:G)&gt;0,SUMIFS(Compat_Vetado!D:D,Compat_Vetado!B:B,SUM(G:G),Compat_Vetado!C:C,Q987)=-1),"NO","")))</f>
        <v/>
      </c>
      <c r="T987" s="4" t="str">
        <f t="shared" si="6"/>
        <v/>
      </c>
      <c r="U987" s="4" t="str">
        <f>IFERROR(__xludf.DUMMYFUNCTION("IF(P987="""","""",IFERROR(INDEX(filter(Productos!E:E,Productos!F:F=L987,Productos!H:H=N987),P987),IF(M987=SUM(D:D),""Finalizar"",""-"")))"),"")</f>
        <v/>
      </c>
      <c r="V987" s="4" t="str">
        <f>IFERROR(__xludf.DUMMYFUNCTION("IF(OR($U987="""",COUNTIF($I:$I,IFERROR(unique(filter(Prod_Prop!$H:$H,Prod_Prop!$G:$G=$U987,Prod_Prop!$E:$E=V$1)),""Check""))=0),"""",IFERROR(unique(filter(Prod_Prop!$H:$H,Prod_Prop!$G:$G=$U987,Prod_Prop!$E:$E=V$1)),""""))"),"")</f>
        <v/>
      </c>
      <c r="W987" s="4" t="str">
        <f>IF(V987="","",SUMIFS(Prod_Prop!$J:$J,Prod_Prop!$B:$B,$Q987,Prod_Prop!$H:$H,V987,Prod_Prop!$I:$I,W$1)*IF(V987="Peso",$R987,1))</f>
        <v/>
      </c>
      <c r="X987" s="4" t="str">
        <f>IF(V987="","",SUMIFS(Prod_Prop!$J:$J,Prod_Prop!$B:$B,$Q987,Prod_Prop!$H:$H,V987,Prod_Prop!$I:$I,X$1)*IF(V987="Peso",$R987,1))</f>
        <v/>
      </c>
      <c r="Y987" s="4" t="str">
        <f>IFERROR(__xludf.DUMMYFUNCTION("IF(OR($U987="""",COUNTIF($I:$I,IFERROR(unique(filter(Prod_Prop!$H:$H,Prod_Prop!$G:$G=$U987,Prod_Prop!$E:$E=Y$1)),""Check""))=0),"""",IFERROR(unique(filter(Prod_Prop!$H:$H,Prod_Prop!$G:$G=$U987,Prod_Prop!$E:$E=Y$1)),""""))"),"")</f>
        <v/>
      </c>
      <c r="Z987" s="4" t="str">
        <f>IF(Y987="","",SUMIFS(Prod_Prop!$J:$J,Prod_Prop!$B:$B,$Q987,Prod_Prop!$H:$H,Y987,Prod_Prop!$I:$I,Z$1)*IF(Y987="Peso",$R987,1))</f>
        <v/>
      </c>
      <c r="AA987" s="4" t="str">
        <f>IF(Y987="","",SUMIFS(Prod_Prop!$J:$J,Prod_Prop!$B:$B,$Q987,Prod_Prop!$H:$H,Y987,Prod_Prop!$I:$I,AA$1)*IF(Y987="Peso",$R987,1))</f>
        <v/>
      </c>
      <c r="AB987" s="4" t="str">
        <f>IFERROR(__xludf.DUMMYFUNCTION("IF(OR($U987="""",COUNTIF($I:$I,IFERROR(unique(filter(Prod_Prop!$H:$H,Prod_Prop!$G:$G=$U987,Prod_Prop!$E:$E=AB$1)),""Check""))=0),"""",IFERROR(unique(filter(Prod_Prop!$H:$H,Prod_Prop!$G:$G=$U987,Prod_Prop!$E:$E=AB$1)),""""))"),"")</f>
        <v/>
      </c>
      <c r="AC987" s="4" t="str">
        <f>IF(AB987="","",SUMIFS(Prod_Prop!$J:$J,Prod_Prop!$B:$B,$Q987,Prod_Prop!$H:$H,AB987,Prod_Prop!$I:$I,AC$1)*IF(AB987="Peso",$R987,1))</f>
        <v/>
      </c>
      <c r="AD987" s="4" t="str">
        <f>IF(AB987="","",SUMIFS(Prod_Prop!$J:$J,Prod_Prop!$B:$B,$Q987,Prod_Prop!$H:$H,AB987,Prod_Prop!$I:$I,AD$1)*IF(AB987="Peso",$R987,1))</f>
        <v/>
      </c>
    </row>
    <row r="988">
      <c r="A988" s="4" t="str">
        <f t="array" ref="A988">IF(COUNTIF(A$1:A987,Cotizador!F$2)=maxifs(Familias!E:E,Familias!D:D,Cotizador!F$2),IF(COUNTIF(A$1:A987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8" s="4" t="str">
        <f t="shared" si="1"/>
        <v/>
      </c>
      <c r="C988" s="4" t="str">
        <f t="array" ref="C988">IF(B988="","",IF(A988=XLOOKUP(A$2,Implementos!B:B,Implementos!C:C,"",0,1),B988+maxifs(B$1:B987,A$1:A987,A$2),B988))</f>
        <v/>
      </c>
      <c r="D988" s="4" t="str">
        <f>IF(B988="","", COUNTIFS(Productos!F:F,A988,Productos!H:H,B988)+IF(F988="SI",0,1))</f>
        <v/>
      </c>
      <c r="E988" s="4" t="str">
        <f>IFERROR(__xludf.DUMMYFUNCTION("IF($B988="""","""",INDEX(filter(Familias!F:F,Familias!$D:$D=$A988,Familias!$E:$E=$B988),1))"),"")</f>
        <v/>
      </c>
      <c r="F988" s="4" t="str">
        <f>IFERROR(__xludf.DUMMYFUNCTION("IF($B988="""","""",INDEX(filter(Familias!G:G,Familias!$D:$D=$A988,Familias!$E:$E=$B988),1))"),"")</f>
        <v/>
      </c>
      <c r="G988" s="4" t="str">
        <f t="array" ref="G988">IF(C988=1,XLOOKUP(C988,Cotizador!D:D,Cotizador!E:E,"",0,1),"")</f>
        <v/>
      </c>
      <c r="I988" s="4"/>
      <c r="J988" s="8" t="str">
        <f>IF(I988="","",SUMIF(Cotizador!I$1:V$1,I988,Cotizador!I$2:V$2))</f>
        <v/>
      </c>
      <c r="L988" s="4" t="str">
        <f t="array" ref="L988">IF(COUNTIF(L$1:L987,A$2)=SUMIF(A:A,A$2,D:D),IF(COUNTIF(L$1:L987,XLOOKUP(A$2,Implementos!B:B,Implementos!C:C,"",0,1))=SUMIF(A:A,XLOOKUP(A$2,Implementos!B:B,Implementos!C:C,"",0,1),D:D),"",XLOOKUP(A$2,Implementos!B:B,Implementos!C:C,"",0,1)),A$2)</f>
        <v/>
      </c>
      <c r="M988" s="4" t="str">
        <f t="shared" si="2"/>
        <v/>
      </c>
      <c r="N988" s="4" t="str">
        <f t="shared" si="3"/>
        <v/>
      </c>
      <c r="O988" s="4" t="str">
        <f t="shared" si="4"/>
        <v/>
      </c>
      <c r="P988" s="4" t="str">
        <f t="shared" si="5"/>
        <v/>
      </c>
      <c r="Q988" s="4" t="str">
        <f>IF(U988="","",SUMIF(Productos!E:E,U988,Productos!A:A))</f>
        <v/>
      </c>
      <c r="R988" s="4" t="str">
        <f t="array" ref="R988">IF(L988="","", max(1,SUMIF(I:I,XLOOKUP(U988,Productos!E:E,Productos!G:G,"",0,1),J:J)))</f>
        <v/>
      </c>
      <c r="S988" s="4" t="str">
        <f>IF(Q988="","",IF(SUMIFS(Compat_Vetado!D:D,Compat_Vetado!B:B,SUM(G:G),Compat_Vetado!C:C,Q988)=1,"SI",IF(OR(SUMIF(Cotizador!E:E,Q988,Cotizador!G:G)&gt;0,SUMIFS(Compat_Vetado!D:D,Compat_Vetado!B:B,SUM(G:G),Compat_Vetado!C:C,Q988)=-1),"NO","")))</f>
        <v/>
      </c>
      <c r="T988" s="4" t="str">
        <f t="shared" si="6"/>
        <v/>
      </c>
      <c r="U988" s="4" t="str">
        <f>IFERROR(__xludf.DUMMYFUNCTION("IF(P988="""","""",IFERROR(INDEX(filter(Productos!E:E,Productos!F:F=L988,Productos!H:H=N988),P988),IF(M988=SUM(D:D),""Finalizar"",""-"")))"),"")</f>
        <v/>
      </c>
      <c r="V988" s="4" t="str">
        <f>IFERROR(__xludf.DUMMYFUNCTION("IF(OR($U988="""",COUNTIF($I:$I,IFERROR(unique(filter(Prod_Prop!$H:$H,Prod_Prop!$G:$G=$U988,Prod_Prop!$E:$E=V$1)),""Check""))=0),"""",IFERROR(unique(filter(Prod_Prop!$H:$H,Prod_Prop!$G:$G=$U988,Prod_Prop!$E:$E=V$1)),""""))"),"")</f>
        <v/>
      </c>
      <c r="W988" s="4" t="str">
        <f>IF(V988="","",SUMIFS(Prod_Prop!$J:$J,Prod_Prop!$B:$B,$Q988,Prod_Prop!$H:$H,V988,Prod_Prop!$I:$I,W$1)*IF(V988="Peso",$R988,1))</f>
        <v/>
      </c>
      <c r="X988" s="4" t="str">
        <f>IF(V988="","",SUMIFS(Prod_Prop!$J:$J,Prod_Prop!$B:$B,$Q988,Prod_Prop!$H:$H,V988,Prod_Prop!$I:$I,X$1)*IF(V988="Peso",$R988,1))</f>
        <v/>
      </c>
      <c r="Y988" s="4" t="str">
        <f>IFERROR(__xludf.DUMMYFUNCTION("IF(OR($U988="""",COUNTIF($I:$I,IFERROR(unique(filter(Prod_Prop!$H:$H,Prod_Prop!$G:$G=$U988,Prod_Prop!$E:$E=Y$1)),""Check""))=0),"""",IFERROR(unique(filter(Prod_Prop!$H:$H,Prod_Prop!$G:$G=$U988,Prod_Prop!$E:$E=Y$1)),""""))"),"")</f>
        <v/>
      </c>
      <c r="Z988" s="4" t="str">
        <f>IF(Y988="","",SUMIFS(Prod_Prop!$J:$J,Prod_Prop!$B:$B,$Q988,Prod_Prop!$H:$H,Y988,Prod_Prop!$I:$I,Z$1)*IF(Y988="Peso",$R988,1))</f>
        <v/>
      </c>
      <c r="AA988" s="4" t="str">
        <f>IF(Y988="","",SUMIFS(Prod_Prop!$J:$J,Prod_Prop!$B:$B,$Q988,Prod_Prop!$H:$H,Y988,Prod_Prop!$I:$I,AA$1)*IF(Y988="Peso",$R988,1))</f>
        <v/>
      </c>
      <c r="AB988" s="4" t="str">
        <f>IFERROR(__xludf.DUMMYFUNCTION("IF(OR($U988="""",COUNTIF($I:$I,IFERROR(unique(filter(Prod_Prop!$H:$H,Prod_Prop!$G:$G=$U988,Prod_Prop!$E:$E=AB$1)),""Check""))=0),"""",IFERROR(unique(filter(Prod_Prop!$H:$H,Prod_Prop!$G:$G=$U988,Prod_Prop!$E:$E=AB$1)),""""))"),"")</f>
        <v/>
      </c>
      <c r="AC988" s="4" t="str">
        <f>IF(AB988="","",SUMIFS(Prod_Prop!$J:$J,Prod_Prop!$B:$B,$Q988,Prod_Prop!$H:$H,AB988,Prod_Prop!$I:$I,AC$1)*IF(AB988="Peso",$R988,1))</f>
        <v/>
      </c>
      <c r="AD988" s="4" t="str">
        <f>IF(AB988="","",SUMIFS(Prod_Prop!$J:$J,Prod_Prop!$B:$B,$Q988,Prod_Prop!$H:$H,AB988,Prod_Prop!$I:$I,AD$1)*IF(AB988="Peso",$R988,1))</f>
        <v/>
      </c>
    </row>
    <row r="989">
      <c r="A989" s="4" t="str">
        <f t="array" ref="A989">IF(COUNTIF(A$1:A988,Cotizador!F$2)=maxifs(Familias!E:E,Familias!D:D,Cotizador!F$2),IF(COUNTIF(A$1:A988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89" s="4" t="str">
        <f t="shared" si="1"/>
        <v/>
      </c>
      <c r="C989" s="4" t="str">
        <f t="array" ref="C989">IF(B989="","",IF(A989=XLOOKUP(A$2,Implementos!B:B,Implementos!C:C,"",0,1),B989+maxifs(B$1:B988,A$1:A988,A$2),B989))</f>
        <v/>
      </c>
      <c r="D989" s="4" t="str">
        <f>IF(B989="","", COUNTIFS(Productos!F:F,A989,Productos!H:H,B989)+IF(F989="SI",0,1))</f>
        <v/>
      </c>
      <c r="E989" s="4" t="str">
        <f>IFERROR(__xludf.DUMMYFUNCTION("IF($B989="""","""",INDEX(filter(Familias!F:F,Familias!$D:$D=$A989,Familias!$E:$E=$B989),1))"),"")</f>
        <v/>
      </c>
      <c r="F989" s="4" t="str">
        <f>IFERROR(__xludf.DUMMYFUNCTION("IF($B989="""","""",INDEX(filter(Familias!G:G,Familias!$D:$D=$A989,Familias!$E:$E=$B989),1))"),"")</f>
        <v/>
      </c>
      <c r="G989" s="4" t="str">
        <f t="array" ref="G989">IF(C989=1,XLOOKUP(C989,Cotizador!D:D,Cotizador!E:E,"",0,1),"")</f>
        <v/>
      </c>
      <c r="I989" s="4"/>
      <c r="J989" s="8" t="str">
        <f>IF(I989="","",SUMIF(Cotizador!I$1:V$1,I989,Cotizador!I$2:V$2))</f>
        <v/>
      </c>
      <c r="L989" s="4" t="str">
        <f t="array" ref="L989">IF(COUNTIF(L$1:L988,A$2)=SUMIF(A:A,A$2,D:D),IF(COUNTIF(L$1:L988,XLOOKUP(A$2,Implementos!B:B,Implementos!C:C,"",0,1))=SUMIF(A:A,XLOOKUP(A$2,Implementos!B:B,Implementos!C:C,"",0,1),D:D),"",XLOOKUP(A$2,Implementos!B:B,Implementos!C:C,"",0,1)),A$2)</f>
        <v/>
      </c>
      <c r="M989" s="4" t="str">
        <f t="shared" si="2"/>
        <v/>
      </c>
      <c r="N989" s="4" t="str">
        <f t="shared" si="3"/>
        <v/>
      </c>
      <c r="O989" s="4" t="str">
        <f t="shared" si="4"/>
        <v/>
      </c>
      <c r="P989" s="4" t="str">
        <f t="shared" si="5"/>
        <v/>
      </c>
      <c r="Q989" s="4" t="str">
        <f>IF(U989="","",SUMIF(Productos!E:E,U989,Productos!A:A))</f>
        <v/>
      </c>
      <c r="R989" s="4" t="str">
        <f t="array" ref="R989">IF(L989="","", max(1,SUMIF(I:I,XLOOKUP(U989,Productos!E:E,Productos!G:G,"",0,1),J:J)))</f>
        <v/>
      </c>
      <c r="S989" s="4" t="str">
        <f>IF(Q989="","",IF(SUMIFS(Compat_Vetado!D:D,Compat_Vetado!B:B,SUM(G:G),Compat_Vetado!C:C,Q989)=1,"SI",IF(OR(SUMIF(Cotizador!E:E,Q989,Cotizador!G:G)&gt;0,SUMIFS(Compat_Vetado!D:D,Compat_Vetado!B:B,SUM(G:G),Compat_Vetado!C:C,Q989)=-1),"NO","")))</f>
        <v/>
      </c>
      <c r="T989" s="4" t="str">
        <f t="shared" si="6"/>
        <v/>
      </c>
      <c r="U989" s="4" t="str">
        <f>IFERROR(__xludf.DUMMYFUNCTION("IF(P989="""","""",IFERROR(INDEX(filter(Productos!E:E,Productos!F:F=L989,Productos!H:H=N989),P989),IF(M989=SUM(D:D),""Finalizar"",""-"")))"),"")</f>
        <v/>
      </c>
      <c r="V989" s="4" t="str">
        <f>IFERROR(__xludf.DUMMYFUNCTION("IF(OR($U989="""",COUNTIF($I:$I,IFERROR(unique(filter(Prod_Prop!$H:$H,Prod_Prop!$G:$G=$U989,Prod_Prop!$E:$E=V$1)),""Check""))=0),"""",IFERROR(unique(filter(Prod_Prop!$H:$H,Prod_Prop!$G:$G=$U989,Prod_Prop!$E:$E=V$1)),""""))"),"")</f>
        <v/>
      </c>
      <c r="W989" s="4" t="str">
        <f>IF(V989="","",SUMIFS(Prod_Prop!$J:$J,Prod_Prop!$B:$B,$Q989,Prod_Prop!$H:$H,V989,Prod_Prop!$I:$I,W$1)*IF(V989="Peso",$R989,1))</f>
        <v/>
      </c>
      <c r="X989" s="4" t="str">
        <f>IF(V989="","",SUMIFS(Prod_Prop!$J:$J,Prod_Prop!$B:$B,$Q989,Prod_Prop!$H:$H,V989,Prod_Prop!$I:$I,X$1)*IF(V989="Peso",$R989,1))</f>
        <v/>
      </c>
      <c r="Y989" s="4" t="str">
        <f>IFERROR(__xludf.DUMMYFUNCTION("IF(OR($U989="""",COUNTIF($I:$I,IFERROR(unique(filter(Prod_Prop!$H:$H,Prod_Prop!$G:$G=$U989,Prod_Prop!$E:$E=Y$1)),""Check""))=0),"""",IFERROR(unique(filter(Prod_Prop!$H:$H,Prod_Prop!$G:$G=$U989,Prod_Prop!$E:$E=Y$1)),""""))"),"")</f>
        <v/>
      </c>
      <c r="Z989" s="4" t="str">
        <f>IF(Y989="","",SUMIFS(Prod_Prop!$J:$J,Prod_Prop!$B:$B,$Q989,Prod_Prop!$H:$H,Y989,Prod_Prop!$I:$I,Z$1)*IF(Y989="Peso",$R989,1))</f>
        <v/>
      </c>
      <c r="AA989" s="4" t="str">
        <f>IF(Y989="","",SUMIFS(Prod_Prop!$J:$J,Prod_Prop!$B:$B,$Q989,Prod_Prop!$H:$H,Y989,Prod_Prop!$I:$I,AA$1)*IF(Y989="Peso",$R989,1))</f>
        <v/>
      </c>
      <c r="AB989" s="4" t="str">
        <f>IFERROR(__xludf.DUMMYFUNCTION("IF(OR($U989="""",COUNTIF($I:$I,IFERROR(unique(filter(Prod_Prop!$H:$H,Prod_Prop!$G:$G=$U989,Prod_Prop!$E:$E=AB$1)),""Check""))=0),"""",IFERROR(unique(filter(Prod_Prop!$H:$H,Prod_Prop!$G:$G=$U989,Prod_Prop!$E:$E=AB$1)),""""))"),"")</f>
        <v/>
      </c>
      <c r="AC989" s="4" t="str">
        <f>IF(AB989="","",SUMIFS(Prod_Prop!$J:$J,Prod_Prop!$B:$B,$Q989,Prod_Prop!$H:$H,AB989,Prod_Prop!$I:$I,AC$1)*IF(AB989="Peso",$R989,1))</f>
        <v/>
      </c>
      <c r="AD989" s="4" t="str">
        <f>IF(AB989="","",SUMIFS(Prod_Prop!$J:$J,Prod_Prop!$B:$B,$Q989,Prod_Prop!$H:$H,AB989,Prod_Prop!$I:$I,AD$1)*IF(AB989="Peso",$R989,1))</f>
        <v/>
      </c>
    </row>
    <row r="990">
      <c r="A990" s="4" t="str">
        <f t="array" ref="A990">IF(COUNTIF(A$1:A989,Cotizador!F$2)=maxifs(Familias!E:E,Familias!D:D,Cotizador!F$2),IF(COUNTIF(A$1:A989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0" s="4" t="str">
        <f t="shared" si="1"/>
        <v/>
      </c>
      <c r="C990" s="4" t="str">
        <f t="array" ref="C990">IF(B990="","",IF(A990=XLOOKUP(A$2,Implementos!B:B,Implementos!C:C,"",0,1),B990+maxifs(B$1:B989,A$1:A989,A$2),B990))</f>
        <v/>
      </c>
      <c r="D990" s="4" t="str">
        <f>IF(B990="","", COUNTIFS(Productos!F:F,A990,Productos!H:H,B990)+IF(F990="SI",0,1))</f>
        <v/>
      </c>
      <c r="E990" s="4" t="str">
        <f>IFERROR(__xludf.DUMMYFUNCTION("IF($B990="""","""",INDEX(filter(Familias!F:F,Familias!$D:$D=$A990,Familias!$E:$E=$B990),1))"),"")</f>
        <v/>
      </c>
      <c r="F990" s="4" t="str">
        <f>IFERROR(__xludf.DUMMYFUNCTION("IF($B990="""","""",INDEX(filter(Familias!G:G,Familias!$D:$D=$A990,Familias!$E:$E=$B990),1))"),"")</f>
        <v/>
      </c>
      <c r="G990" s="4" t="str">
        <f t="array" ref="G990">IF(C990=1,XLOOKUP(C990,Cotizador!D:D,Cotizador!E:E,"",0,1),"")</f>
        <v/>
      </c>
      <c r="I990" s="4"/>
      <c r="J990" s="8" t="str">
        <f>IF(I990="","",SUMIF(Cotizador!I$1:V$1,I990,Cotizador!I$2:V$2))</f>
        <v/>
      </c>
      <c r="L990" s="4" t="str">
        <f t="array" ref="L990">IF(COUNTIF(L$1:L989,A$2)=SUMIF(A:A,A$2,D:D),IF(COUNTIF(L$1:L989,XLOOKUP(A$2,Implementos!B:B,Implementos!C:C,"",0,1))=SUMIF(A:A,XLOOKUP(A$2,Implementos!B:B,Implementos!C:C,"",0,1),D:D),"",XLOOKUP(A$2,Implementos!B:B,Implementos!C:C,"",0,1)),A$2)</f>
        <v/>
      </c>
      <c r="M990" s="4" t="str">
        <f t="shared" si="2"/>
        <v/>
      </c>
      <c r="N990" s="4" t="str">
        <f t="shared" si="3"/>
        <v/>
      </c>
      <c r="O990" s="4" t="str">
        <f t="shared" si="4"/>
        <v/>
      </c>
      <c r="P990" s="4" t="str">
        <f t="shared" si="5"/>
        <v/>
      </c>
      <c r="Q990" s="4" t="str">
        <f>IF(U990="","",SUMIF(Productos!E:E,U990,Productos!A:A))</f>
        <v/>
      </c>
      <c r="R990" s="4" t="str">
        <f t="array" ref="R990">IF(L990="","", max(1,SUMIF(I:I,XLOOKUP(U990,Productos!E:E,Productos!G:G,"",0,1),J:J)))</f>
        <v/>
      </c>
      <c r="S990" s="4" t="str">
        <f>IF(Q990="","",IF(SUMIFS(Compat_Vetado!D:D,Compat_Vetado!B:B,SUM(G:G),Compat_Vetado!C:C,Q990)=1,"SI",IF(OR(SUMIF(Cotizador!E:E,Q990,Cotizador!G:G)&gt;0,SUMIFS(Compat_Vetado!D:D,Compat_Vetado!B:B,SUM(G:G),Compat_Vetado!C:C,Q990)=-1),"NO","")))</f>
        <v/>
      </c>
      <c r="T990" s="4" t="str">
        <f t="shared" si="6"/>
        <v/>
      </c>
      <c r="U990" s="4" t="str">
        <f>IFERROR(__xludf.DUMMYFUNCTION("IF(P990="""","""",IFERROR(INDEX(filter(Productos!E:E,Productos!F:F=L990,Productos!H:H=N990),P990),IF(M990=SUM(D:D),""Finalizar"",""-"")))"),"")</f>
        <v/>
      </c>
      <c r="V990" s="4" t="str">
        <f>IFERROR(__xludf.DUMMYFUNCTION("IF(OR($U990="""",COUNTIF($I:$I,IFERROR(unique(filter(Prod_Prop!$H:$H,Prod_Prop!$G:$G=$U990,Prod_Prop!$E:$E=V$1)),""Check""))=0),"""",IFERROR(unique(filter(Prod_Prop!$H:$H,Prod_Prop!$G:$G=$U990,Prod_Prop!$E:$E=V$1)),""""))"),"")</f>
        <v/>
      </c>
      <c r="W990" s="4" t="str">
        <f>IF(V990="","",SUMIFS(Prod_Prop!$J:$J,Prod_Prop!$B:$B,$Q990,Prod_Prop!$H:$H,V990,Prod_Prop!$I:$I,W$1)*IF(V990="Peso",$R990,1))</f>
        <v/>
      </c>
      <c r="X990" s="4" t="str">
        <f>IF(V990="","",SUMIFS(Prod_Prop!$J:$J,Prod_Prop!$B:$B,$Q990,Prod_Prop!$H:$H,V990,Prod_Prop!$I:$I,X$1)*IF(V990="Peso",$R990,1))</f>
        <v/>
      </c>
      <c r="Y990" s="4" t="str">
        <f>IFERROR(__xludf.DUMMYFUNCTION("IF(OR($U990="""",COUNTIF($I:$I,IFERROR(unique(filter(Prod_Prop!$H:$H,Prod_Prop!$G:$G=$U990,Prod_Prop!$E:$E=Y$1)),""Check""))=0),"""",IFERROR(unique(filter(Prod_Prop!$H:$H,Prod_Prop!$G:$G=$U990,Prod_Prop!$E:$E=Y$1)),""""))"),"")</f>
        <v/>
      </c>
      <c r="Z990" s="4" t="str">
        <f>IF(Y990="","",SUMIFS(Prod_Prop!$J:$J,Prod_Prop!$B:$B,$Q990,Prod_Prop!$H:$H,Y990,Prod_Prop!$I:$I,Z$1)*IF(Y990="Peso",$R990,1))</f>
        <v/>
      </c>
      <c r="AA990" s="4" t="str">
        <f>IF(Y990="","",SUMIFS(Prod_Prop!$J:$J,Prod_Prop!$B:$B,$Q990,Prod_Prop!$H:$H,Y990,Prod_Prop!$I:$I,AA$1)*IF(Y990="Peso",$R990,1))</f>
        <v/>
      </c>
      <c r="AB990" s="4" t="str">
        <f>IFERROR(__xludf.DUMMYFUNCTION("IF(OR($U990="""",COUNTIF($I:$I,IFERROR(unique(filter(Prod_Prop!$H:$H,Prod_Prop!$G:$G=$U990,Prod_Prop!$E:$E=AB$1)),""Check""))=0),"""",IFERROR(unique(filter(Prod_Prop!$H:$H,Prod_Prop!$G:$G=$U990,Prod_Prop!$E:$E=AB$1)),""""))"),"")</f>
        <v/>
      </c>
      <c r="AC990" s="4" t="str">
        <f>IF(AB990="","",SUMIFS(Prod_Prop!$J:$J,Prod_Prop!$B:$B,$Q990,Prod_Prop!$H:$H,AB990,Prod_Prop!$I:$I,AC$1)*IF(AB990="Peso",$R990,1))</f>
        <v/>
      </c>
      <c r="AD990" s="4" t="str">
        <f>IF(AB990="","",SUMIFS(Prod_Prop!$J:$J,Prod_Prop!$B:$B,$Q990,Prod_Prop!$H:$H,AB990,Prod_Prop!$I:$I,AD$1)*IF(AB990="Peso",$R990,1))</f>
        <v/>
      </c>
    </row>
    <row r="991">
      <c r="A991" s="4" t="str">
        <f t="array" ref="A991">IF(COUNTIF(A$1:A990,Cotizador!F$2)=maxifs(Familias!E:E,Familias!D:D,Cotizador!F$2),IF(COUNTIF(A$1:A990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1" s="4" t="str">
        <f t="shared" si="1"/>
        <v/>
      </c>
      <c r="C991" s="4" t="str">
        <f t="array" ref="C991">IF(B991="","",IF(A991=XLOOKUP(A$2,Implementos!B:B,Implementos!C:C,"",0,1),B991+maxifs(B$1:B990,A$1:A990,A$2),B991))</f>
        <v/>
      </c>
      <c r="D991" s="4" t="str">
        <f>IF(B991="","", COUNTIFS(Productos!F:F,A991,Productos!H:H,B991)+IF(F991="SI",0,1))</f>
        <v/>
      </c>
      <c r="E991" s="4" t="str">
        <f>IFERROR(__xludf.DUMMYFUNCTION("IF($B991="""","""",INDEX(filter(Familias!F:F,Familias!$D:$D=$A991,Familias!$E:$E=$B991),1))"),"")</f>
        <v/>
      </c>
      <c r="F991" s="4" t="str">
        <f>IFERROR(__xludf.DUMMYFUNCTION("IF($B991="""","""",INDEX(filter(Familias!G:G,Familias!$D:$D=$A991,Familias!$E:$E=$B991),1))"),"")</f>
        <v/>
      </c>
      <c r="G991" s="4" t="str">
        <f t="array" ref="G991">IF(C991=1,XLOOKUP(C991,Cotizador!D:D,Cotizador!E:E,"",0,1),"")</f>
        <v/>
      </c>
      <c r="I991" s="4"/>
      <c r="J991" s="8" t="str">
        <f>IF(I991="","",SUMIF(Cotizador!I$1:V$1,I991,Cotizador!I$2:V$2))</f>
        <v/>
      </c>
      <c r="L991" s="4" t="str">
        <f t="array" ref="L991">IF(COUNTIF(L$1:L990,A$2)=SUMIF(A:A,A$2,D:D),IF(COUNTIF(L$1:L990,XLOOKUP(A$2,Implementos!B:B,Implementos!C:C,"",0,1))=SUMIF(A:A,XLOOKUP(A$2,Implementos!B:B,Implementos!C:C,"",0,1),D:D),"",XLOOKUP(A$2,Implementos!B:B,Implementos!C:C,"",0,1)),A$2)</f>
        <v/>
      </c>
      <c r="M991" s="4" t="str">
        <f t="shared" si="2"/>
        <v/>
      </c>
      <c r="N991" s="4" t="str">
        <f t="shared" si="3"/>
        <v/>
      </c>
      <c r="O991" s="4" t="str">
        <f t="shared" si="4"/>
        <v/>
      </c>
      <c r="P991" s="4" t="str">
        <f t="shared" si="5"/>
        <v/>
      </c>
      <c r="Q991" s="4" t="str">
        <f>IF(U991="","",SUMIF(Productos!E:E,U991,Productos!A:A))</f>
        <v/>
      </c>
      <c r="R991" s="4" t="str">
        <f t="array" ref="R991">IF(L991="","", max(1,SUMIF(I:I,XLOOKUP(U991,Productos!E:E,Productos!G:G,"",0,1),J:J)))</f>
        <v/>
      </c>
      <c r="S991" s="4" t="str">
        <f>IF(Q991="","",IF(SUMIFS(Compat_Vetado!D:D,Compat_Vetado!B:B,SUM(G:G),Compat_Vetado!C:C,Q991)=1,"SI",IF(OR(SUMIF(Cotizador!E:E,Q991,Cotizador!G:G)&gt;0,SUMIFS(Compat_Vetado!D:D,Compat_Vetado!B:B,SUM(G:G),Compat_Vetado!C:C,Q991)=-1),"NO","")))</f>
        <v/>
      </c>
      <c r="T991" s="4" t="str">
        <f t="shared" si="6"/>
        <v/>
      </c>
      <c r="U991" s="4" t="str">
        <f>IFERROR(__xludf.DUMMYFUNCTION("IF(P991="""","""",IFERROR(INDEX(filter(Productos!E:E,Productos!F:F=L991,Productos!H:H=N991),P991),IF(M991=SUM(D:D),""Finalizar"",""-"")))"),"")</f>
        <v/>
      </c>
      <c r="V991" s="4" t="str">
        <f>IFERROR(__xludf.DUMMYFUNCTION("IF(OR($U991="""",COUNTIF($I:$I,IFERROR(unique(filter(Prod_Prop!$H:$H,Prod_Prop!$G:$G=$U991,Prod_Prop!$E:$E=V$1)),""Check""))=0),"""",IFERROR(unique(filter(Prod_Prop!$H:$H,Prod_Prop!$G:$G=$U991,Prod_Prop!$E:$E=V$1)),""""))"),"")</f>
        <v/>
      </c>
      <c r="W991" s="4" t="str">
        <f>IF(V991="","",SUMIFS(Prod_Prop!$J:$J,Prod_Prop!$B:$B,$Q991,Prod_Prop!$H:$H,V991,Prod_Prop!$I:$I,W$1)*IF(V991="Peso",$R991,1))</f>
        <v/>
      </c>
      <c r="X991" s="4" t="str">
        <f>IF(V991="","",SUMIFS(Prod_Prop!$J:$J,Prod_Prop!$B:$B,$Q991,Prod_Prop!$H:$H,V991,Prod_Prop!$I:$I,X$1)*IF(V991="Peso",$R991,1))</f>
        <v/>
      </c>
      <c r="Y991" s="4" t="str">
        <f>IFERROR(__xludf.DUMMYFUNCTION("IF(OR($U991="""",COUNTIF($I:$I,IFERROR(unique(filter(Prod_Prop!$H:$H,Prod_Prop!$G:$G=$U991,Prod_Prop!$E:$E=Y$1)),""Check""))=0),"""",IFERROR(unique(filter(Prod_Prop!$H:$H,Prod_Prop!$G:$G=$U991,Prod_Prop!$E:$E=Y$1)),""""))"),"")</f>
        <v/>
      </c>
      <c r="Z991" s="4" t="str">
        <f>IF(Y991="","",SUMIFS(Prod_Prop!$J:$J,Prod_Prop!$B:$B,$Q991,Prod_Prop!$H:$H,Y991,Prod_Prop!$I:$I,Z$1)*IF(Y991="Peso",$R991,1))</f>
        <v/>
      </c>
      <c r="AA991" s="4" t="str">
        <f>IF(Y991="","",SUMIFS(Prod_Prop!$J:$J,Prod_Prop!$B:$B,$Q991,Prod_Prop!$H:$H,Y991,Prod_Prop!$I:$I,AA$1)*IF(Y991="Peso",$R991,1))</f>
        <v/>
      </c>
      <c r="AB991" s="4" t="str">
        <f>IFERROR(__xludf.DUMMYFUNCTION("IF(OR($U991="""",COUNTIF($I:$I,IFERROR(unique(filter(Prod_Prop!$H:$H,Prod_Prop!$G:$G=$U991,Prod_Prop!$E:$E=AB$1)),""Check""))=0),"""",IFERROR(unique(filter(Prod_Prop!$H:$H,Prod_Prop!$G:$G=$U991,Prod_Prop!$E:$E=AB$1)),""""))"),"")</f>
        <v/>
      </c>
      <c r="AC991" s="4" t="str">
        <f>IF(AB991="","",SUMIFS(Prod_Prop!$J:$J,Prod_Prop!$B:$B,$Q991,Prod_Prop!$H:$H,AB991,Prod_Prop!$I:$I,AC$1)*IF(AB991="Peso",$R991,1))</f>
        <v/>
      </c>
      <c r="AD991" s="4" t="str">
        <f>IF(AB991="","",SUMIFS(Prod_Prop!$J:$J,Prod_Prop!$B:$B,$Q991,Prod_Prop!$H:$H,AB991,Prod_Prop!$I:$I,AD$1)*IF(AB991="Peso",$R991,1))</f>
        <v/>
      </c>
    </row>
    <row r="992">
      <c r="A992" s="4" t="str">
        <f t="array" ref="A992">IF(COUNTIF(A$1:A991,Cotizador!F$2)=maxifs(Familias!E:E,Familias!D:D,Cotizador!F$2),IF(COUNTIF(A$1:A991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2" s="4" t="str">
        <f t="shared" si="1"/>
        <v/>
      </c>
      <c r="C992" s="4" t="str">
        <f t="array" ref="C992">IF(B992="","",IF(A992=XLOOKUP(A$2,Implementos!B:B,Implementos!C:C,"",0,1),B992+maxifs(B$1:B991,A$1:A991,A$2),B992))</f>
        <v/>
      </c>
      <c r="D992" s="4" t="str">
        <f>IF(B992="","", COUNTIFS(Productos!F:F,A992,Productos!H:H,B992)+IF(F992="SI",0,1))</f>
        <v/>
      </c>
      <c r="E992" s="4" t="str">
        <f>IFERROR(__xludf.DUMMYFUNCTION("IF($B992="""","""",INDEX(filter(Familias!F:F,Familias!$D:$D=$A992,Familias!$E:$E=$B992),1))"),"")</f>
        <v/>
      </c>
      <c r="F992" s="4" t="str">
        <f>IFERROR(__xludf.DUMMYFUNCTION("IF($B992="""","""",INDEX(filter(Familias!G:G,Familias!$D:$D=$A992,Familias!$E:$E=$B992),1))"),"")</f>
        <v/>
      </c>
      <c r="G992" s="4" t="str">
        <f t="array" ref="G992">IF(C992=1,XLOOKUP(C992,Cotizador!D:D,Cotizador!E:E,"",0,1),"")</f>
        <v/>
      </c>
      <c r="I992" s="4"/>
      <c r="J992" s="8" t="str">
        <f>IF(I992="","",SUMIF(Cotizador!I$1:V$1,I992,Cotizador!I$2:V$2))</f>
        <v/>
      </c>
      <c r="L992" s="4" t="str">
        <f t="array" ref="L992">IF(COUNTIF(L$1:L991,A$2)=SUMIF(A:A,A$2,D:D),IF(COUNTIF(L$1:L991,XLOOKUP(A$2,Implementos!B:B,Implementos!C:C,"",0,1))=SUMIF(A:A,XLOOKUP(A$2,Implementos!B:B,Implementos!C:C,"",0,1),D:D),"",XLOOKUP(A$2,Implementos!B:B,Implementos!C:C,"",0,1)),A$2)</f>
        <v/>
      </c>
      <c r="M992" s="4" t="str">
        <f t="shared" si="2"/>
        <v/>
      </c>
      <c r="N992" s="4" t="str">
        <f t="shared" si="3"/>
        <v/>
      </c>
      <c r="O992" s="4" t="str">
        <f t="shared" si="4"/>
        <v/>
      </c>
      <c r="P992" s="4" t="str">
        <f t="shared" si="5"/>
        <v/>
      </c>
      <c r="Q992" s="4" t="str">
        <f>IF(U992="","",SUMIF(Productos!E:E,U992,Productos!A:A))</f>
        <v/>
      </c>
      <c r="R992" s="4" t="str">
        <f t="array" ref="R992">IF(L992="","", max(1,SUMIF(I:I,XLOOKUP(U992,Productos!E:E,Productos!G:G,"",0,1),J:J)))</f>
        <v/>
      </c>
      <c r="S992" s="4" t="str">
        <f>IF(Q992="","",IF(SUMIFS(Compat_Vetado!D:D,Compat_Vetado!B:B,SUM(G:G),Compat_Vetado!C:C,Q992)=1,"SI",IF(OR(SUMIF(Cotizador!E:E,Q992,Cotizador!G:G)&gt;0,SUMIFS(Compat_Vetado!D:D,Compat_Vetado!B:B,SUM(G:G),Compat_Vetado!C:C,Q992)=-1),"NO","")))</f>
        <v/>
      </c>
      <c r="T992" s="4" t="str">
        <f t="shared" si="6"/>
        <v/>
      </c>
      <c r="U992" s="4" t="str">
        <f>IFERROR(__xludf.DUMMYFUNCTION("IF(P992="""","""",IFERROR(INDEX(filter(Productos!E:E,Productos!F:F=L992,Productos!H:H=N992),P992),IF(M992=SUM(D:D),""Finalizar"",""-"")))"),"")</f>
        <v/>
      </c>
      <c r="V992" s="4" t="str">
        <f>IFERROR(__xludf.DUMMYFUNCTION("IF(OR($U992="""",COUNTIF($I:$I,IFERROR(unique(filter(Prod_Prop!$H:$H,Prod_Prop!$G:$G=$U992,Prod_Prop!$E:$E=V$1)),""Check""))=0),"""",IFERROR(unique(filter(Prod_Prop!$H:$H,Prod_Prop!$G:$G=$U992,Prod_Prop!$E:$E=V$1)),""""))"),"")</f>
        <v/>
      </c>
      <c r="W992" s="4" t="str">
        <f>IF(V992="","",SUMIFS(Prod_Prop!$J:$J,Prod_Prop!$B:$B,$Q992,Prod_Prop!$H:$H,V992,Prod_Prop!$I:$I,W$1)*IF(V992="Peso",$R992,1))</f>
        <v/>
      </c>
      <c r="X992" s="4" t="str">
        <f>IF(V992="","",SUMIFS(Prod_Prop!$J:$J,Prod_Prop!$B:$B,$Q992,Prod_Prop!$H:$H,V992,Prod_Prop!$I:$I,X$1)*IF(V992="Peso",$R992,1))</f>
        <v/>
      </c>
      <c r="Y992" s="4" t="str">
        <f>IFERROR(__xludf.DUMMYFUNCTION("IF(OR($U992="""",COUNTIF($I:$I,IFERROR(unique(filter(Prod_Prop!$H:$H,Prod_Prop!$G:$G=$U992,Prod_Prop!$E:$E=Y$1)),""Check""))=0),"""",IFERROR(unique(filter(Prod_Prop!$H:$H,Prod_Prop!$G:$G=$U992,Prod_Prop!$E:$E=Y$1)),""""))"),"")</f>
        <v/>
      </c>
      <c r="Z992" s="4" t="str">
        <f>IF(Y992="","",SUMIFS(Prod_Prop!$J:$J,Prod_Prop!$B:$B,$Q992,Prod_Prop!$H:$H,Y992,Prod_Prop!$I:$I,Z$1)*IF(Y992="Peso",$R992,1))</f>
        <v/>
      </c>
      <c r="AA992" s="4" t="str">
        <f>IF(Y992="","",SUMIFS(Prod_Prop!$J:$J,Prod_Prop!$B:$B,$Q992,Prod_Prop!$H:$H,Y992,Prod_Prop!$I:$I,AA$1)*IF(Y992="Peso",$R992,1))</f>
        <v/>
      </c>
      <c r="AB992" s="4" t="str">
        <f>IFERROR(__xludf.DUMMYFUNCTION("IF(OR($U992="""",COUNTIF($I:$I,IFERROR(unique(filter(Prod_Prop!$H:$H,Prod_Prop!$G:$G=$U992,Prod_Prop!$E:$E=AB$1)),""Check""))=0),"""",IFERROR(unique(filter(Prod_Prop!$H:$H,Prod_Prop!$G:$G=$U992,Prod_Prop!$E:$E=AB$1)),""""))"),"")</f>
        <v/>
      </c>
      <c r="AC992" s="4" t="str">
        <f>IF(AB992="","",SUMIFS(Prod_Prop!$J:$J,Prod_Prop!$B:$B,$Q992,Prod_Prop!$H:$H,AB992,Prod_Prop!$I:$I,AC$1)*IF(AB992="Peso",$R992,1))</f>
        <v/>
      </c>
      <c r="AD992" s="4" t="str">
        <f>IF(AB992="","",SUMIFS(Prod_Prop!$J:$J,Prod_Prop!$B:$B,$Q992,Prod_Prop!$H:$H,AB992,Prod_Prop!$I:$I,AD$1)*IF(AB992="Peso",$R992,1))</f>
        <v/>
      </c>
    </row>
    <row r="993">
      <c r="A993" s="4" t="str">
        <f t="array" ref="A993">IF(COUNTIF(A$1:A992,Cotizador!F$2)=maxifs(Familias!E:E,Familias!D:D,Cotizador!F$2),IF(COUNTIF(A$1:A992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3" s="4" t="str">
        <f t="shared" si="1"/>
        <v/>
      </c>
      <c r="C993" s="4" t="str">
        <f t="array" ref="C993">IF(B993="","",IF(A993=XLOOKUP(A$2,Implementos!B:B,Implementos!C:C,"",0,1),B993+maxifs(B$1:B992,A$1:A992,A$2),B993))</f>
        <v/>
      </c>
      <c r="D993" s="4" t="str">
        <f>IF(B993="","", COUNTIFS(Productos!F:F,A993,Productos!H:H,B993)+IF(F993="SI",0,1))</f>
        <v/>
      </c>
      <c r="E993" s="4" t="str">
        <f>IFERROR(__xludf.DUMMYFUNCTION("IF($B993="""","""",INDEX(filter(Familias!F:F,Familias!$D:$D=$A993,Familias!$E:$E=$B993),1))"),"")</f>
        <v/>
      </c>
      <c r="F993" s="4" t="str">
        <f>IFERROR(__xludf.DUMMYFUNCTION("IF($B993="""","""",INDEX(filter(Familias!G:G,Familias!$D:$D=$A993,Familias!$E:$E=$B993),1))"),"")</f>
        <v/>
      </c>
      <c r="G993" s="4" t="str">
        <f t="array" ref="G993">IF(C993=1,XLOOKUP(C993,Cotizador!D:D,Cotizador!E:E,"",0,1),"")</f>
        <v/>
      </c>
      <c r="I993" s="4"/>
      <c r="J993" s="8" t="str">
        <f>IF(I993="","",SUMIF(Cotizador!I$1:V$1,I993,Cotizador!I$2:V$2))</f>
        <v/>
      </c>
      <c r="L993" s="4" t="str">
        <f t="array" ref="L993">IF(COUNTIF(L$1:L992,A$2)=SUMIF(A:A,A$2,D:D),IF(COUNTIF(L$1:L992,XLOOKUP(A$2,Implementos!B:B,Implementos!C:C,"",0,1))=SUMIF(A:A,XLOOKUP(A$2,Implementos!B:B,Implementos!C:C,"",0,1),D:D),"",XLOOKUP(A$2,Implementos!B:B,Implementos!C:C,"",0,1)),A$2)</f>
        <v/>
      </c>
      <c r="M993" s="4" t="str">
        <f t="shared" si="2"/>
        <v/>
      </c>
      <c r="N993" s="4" t="str">
        <f t="shared" si="3"/>
        <v/>
      </c>
      <c r="O993" s="4" t="str">
        <f t="shared" si="4"/>
        <v/>
      </c>
      <c r="P993" s="4" t="str">
        <f t="shared" si="5"/>
        <v/>
      </c>
      <c r="Q993" s="4" t="str">
        <f>IF(U993="","",SUMIF(Productos!E:E,U993,Productos!A:A))</f>
        <v/>
      </c>
      <c r="R993" s="4" t="str">
        <f t="array" ref="R993">IF(L993="","", max(1,SUMIF(I:I,XLOOKUP(U993,Productos!E:E,Productos!G:G,"",0,1),J:J)))</f>
        <v/>
      </c>
      <c r="S993" s="4" t="str">
        <f>IF(Q993="","",IF(SUMIFS(Compat_Vetado!D:D,Compat_Vetado!B:B,SUM(G:G),Compat_Vetado!C:C,Q993)=1,"SI",IF(OR(SUMIF(Cotizador!E:E,Q993,Cotizador!G:G)&gt;0,SUMIFS(Compat_Vetado!D:D,Compat_Vetado!B:B,SUM(G:G),Compat_Vetado!C:C,Q993)=-1),"NO","")))</f>
        <v/>
      </c>
      <c r="T993" s="4" t="str">
        <f t="shared" si="6"/>
        <v/>
      </c>
      <c r="U993" s="4" t="str">
        <f>IFERROR(__xludf.DUMMYFUNCTION("IF(P993="""","""",IFERROR(INDEX(filter(Productos!E:E,Productos!F:F=L993,Productos!H:H=N993),P993),IF(M993=SUM(D:D),""Finalizar"",""-"")))"),"")</f>
        <v/>
      </c>
      <c r="V993" s="4" t="str">
        <f>IFERROR(__xludf.DUMMYFUNCTION("IF(OR($U993="""",COUNTIF($I:$I,IFERROR(unique(filter(Prod_Prop!$H:$H,Prod_Prop!$G:$G=$U993,Prod_Prop!$E:$E=V$1)),""Check""))=0),"""",IFERROR(unique(filter(Prod_Prop!$H:$H,Prod_Prop!$G:$G=$U993,Prod_Prop!$E:$E=V$1)),""""))"),"")</f>
        <v/>
      </c>
      <c r="W993" s="4" t="str">
        <f>IF(V993="","",SUMIFS(Prod_Prop!$J:$J,Prod_Prop!$B:$B,$Q993,Prod_Prop!$H:$H,V993,Prod_Prop!$I:$I,W$1)*IF(V993="Peso",$R993,1))</f>
        <v/>
      </c>
      <c r="X993" s="4" t="str">
        <f>IF(V993="","",SUMIFS(Prod_Prop!$J:$J,Prod_Prop!$B:$B,$Q993,Prod_Prop!$H:$H,V993,Prod_Prop!$I:$I,X$1)*IF(V993="Peso",$R993,1))</f>
        <v/>
      </c>
      <c r="Y993" s="4" t="str">
        <f>IFERROR(__xludf.DUMMYFUNCTION("IF(OR($U993="""",COUNTIF($I:$I,IFERROR(unique(filter(Prod_Prop!$H:$H,Prod_Prop!$G:$G=$U993,Prod_Prop!$E:$E=Y$1)),""Check""))=0),"""",IFERROR(unique(filter(Prod_Prop!$H:$H,Prod_Prop!$G:$G=$U993,Prod_Prop!$E:$E=Y$1)),""""))"),"")</f>
        <v/>
      </c>
      <c r="Z993" s="4" t="str">
        <f>IF(Y993="","",SUMIFS(Prod_Prop!$J:$J,Prod_Prop!$B:$B,$Q993,Prod_Prop!$H:$H,Y993,Prod_Prop!$I:$I,Z$1)*IF(Y993="Peso",$R993,1))</f>
        <v/>
      </c>
      <c r="AA993" s="4" t="str">
        <f>IF(Y993="","",SUMIFS(Prod_Prop!$J:$J,Prod_Prop!$B:$B,$Q993,Prod_Prop!$H:$H,Y993,Prod_Prop!$I:$I,AA$1)*IF(Y993="Peso",$R993,1))</f>
        <v/>
      </c>
      <c r="AB993" s="4" t="str">
        <f>IFERROR(__xludf.DUMMYFUNCTION("IF(OR($U993="""",COUNTIF($I:$I,IFERROR(unique(filter(Prod_Prop!$H:$H,Prod_Prop!$G:$G=$U993,Prod_Prop!$E:$E=AB$1)),""Check""))=0),"""",IFERROR(unique(filter(Prod_Prop!$H:$H,Prod_Prop!$G:$G=$U993,Prod_Prop!$E:$E=AB$1)),""""))"),"")</f>
        <v/>
      </c>
      <c r="AC993" s="4" t="str">
        <f>IF(AB993="","",SUMIFS(Prod_Prop!$J:$J,Prod_Prop!$B:$B,$Q993,Prod_Prop!$H:$H,AB993,Prod_Prop!$I:$I,AC$1)*IF(AB993="Peso",$R993,1))</f>
        <v/>
      </c>
      <c r="AD993" s="4" t="str">
        <f>IF(AB993="","",SUMIFS(Prod_Prop!$J:$J,Prod_Prop!$B:$B,$Q993,Prod_Prop!$H:$H,AB993,Prod_Prop!$I:$I,AD$1)*IF(AB993="Peso",$R993,1))</f>
        <v/>
      </c>
    </row>
    <row r="994">
      <c r="A994" s="4" t="str">
        <f t="array" ref="A994">IF(COUNTIF(A$1:A993,Cotizador!F$2)=maxifs(Familias!E:E,Familias!D:D,Cotizador!F$2),IF(COUNTIF(A$1:A993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4" s="4" t="str">
        <f t="shared" si="1"/>
        <v/>
      </c>
      <c r="C994" s="4" t="str">
        <f t="array" ref="C994">IF(B994="","",IF(A994=XLOOKUP(A$2,Implementos!B:B,Implementos!C:C,"",0,1),B994+maxifs(B$1:B993,A$1:A993,A$2),B994))</f>
        <v/>
      </c>
      <c r="D994" s="4" t="str">
        <f>IF(B994="","", COUNTIFS(Productos!F:F,A994,Productos!H:H,B994)+IF(F994="SI",0,1))</f>
        <v/>
      </c>
      <c r="E994" s="4" t="str">
        <f>IFERROR(__xludf.DUMMYFUNCTION("IF($B994="""","""",INDEX(filter(Familias!F:F,Familias!$D:$D=$A994,Familias!$E:$E=$B994),1))"),"")</f>
        <v/>
      </c>
      <c r="F994" s="4" t="str">
        <f>IFERROR(__xludf.DUMMYFUNCTION("IF($B994="""","""",INDEX(filter(Familias!G:G,Familias!$D:$D=$A994,Familias!$E:$E=$B994),1))"),"")</f>
        <v/>
      </c>
      <c r="G994" s="4" t="str">
        <f t="array" ref="G994">IF(C994=1,XLOOKUP(C994,Cotizador!D:D,Cotizador!E:E,"",0,1),"")</f>
        <v/>
      </c>
      <c r="I994" s="4"/>
      <c r="J994" s="8" t="str">
        <f>IF(I994="","",SUMIF(Cotizador!I$1:V$1,I994,Cotizador!I$2:V$2))</f>
        <v/>
      </c>
      <c r="L994" s="4" t="str">
        <f t="array" ref="L994">IF(COUNTIF(L$1:L993,A$2)=SUMIF(A:A,A$2,D:D),IF(COUNTIF(L$1:L993,XLOOKUP(A$2,Implementos!B:B,Implementos!C:C,"",0,1))=SUMIF(A:A,XLOOKUP(A$2,Implementos!B:B,Implementos!C:C,"",0,1),D:D),"",XLOOKUP(A$2,Implementos!B:B,Implementos!C:C,"",0,1)),A$2)</f>
        <v/>
      </c>
      <c r="M994" s="4" t="str">
        <f t="shared" si="2"/>
        <v/>
      </c>
      <c r="N994" s="4" t="str">
        <f t="shared" si="3"/>
        <v/>
      </c>
      <c r="O994" s="4" t="str">
        <f t="shared" si="4"/>
        <v/>
      </c>
      <c r="P994" s="4" t="str">
        <f t="shared" si="5"/>
        <v/>
      </c>
      <c r="Q994" s="4" t="str">
        <f>IF(U994="","",SUMIF(Productos!E:E,U994,Productos!A:A))</f>
        <v/>
      </c>
      <c r="R994" s="4" t="str">
        <f t="array" ref="R994">IF(L994="","", max(1,SUMIF(I:I,XLOOKUP(U994,Productos!E:E,Productos!G:G,"",0,1),J:J)))</f>
        <v/>
      </c>
      <c r="S994" s="4" t="str">
        <f>IF(Q994="","",IF(SUMIFS(Compat_Vetado!D:D,Compat_Vetado!B:B,SUM(G:G),Compat_Vetado!C:C,Q994)=1,"SI",IF(OR(SUMIF(Cotizador!E:E,Q994,Cotizador!G:G)&gt;0,SUMIFS(Compat_Vetado!D:D,Compat_Vetado!B:B,SUM(G:G),Compat_Vetado!C:C,Q994)=-1),"NO","")))</f>
        <v/>
      </c>
      <c r="T994" s="4" t="str">
        <f t="shared" si="6"/>
        <v/>
      </c>
      <c r="U994" s="4" t="str">
        <f>IFERROR(__xludf.DUMMYFUNCTION("IF(P994="""","""",IFERROR(INDEX(filter(Productos!E:E,Productos!F:F=L994,Productos!H:H=N994),P994),IF(M994=SUM(D:D),""Finalizar"",""-"")))"),"")</f>
        <v/>
      </c>
      <c r="V994" s="4" t="str">
        <f>IFERROR(__xludf.DUMMYFUNCTION("IF(OR($U994="""",COUNTIF($I:$I,IFERROR(unique(filter(Prod_Prop!$H:$H,Prod_Prop!$G:$G=$U994,Prod_Prop!$E:$E=V$1)),""Check""))=0),"""",IFERROR(unique(filter(Prod_Prop!$H:$H,Prod_Prop!$G:$G=$U994,Prod_Prop!$E:$E=V$1)),""""))"),"")</f>
        <v/>
      </c>
      <c r="W994" s="4" t="str">
        <f>IF(V994="","",SUMIFS(Prod_Prop!$J:$J,Prod_Prop!$B:$B,$Q994,Prod_Prop!$H:$H,V994,Prod_Prop!$I:$I,W$1)*IF(V994="Peso",$R994,1))</f>
        <v/>
      </c>
      <c r="X994" s="4" t="str">
        <f>IF(V994="","",SUMIFS(Prod_Prop!$J:$J,Prod_Prop!$B:$B,$Q994,Prod_Prop!$H:$H,V994,Prod_Prop!$I:$I,X$1)*IF(V994="Peso",$R994,1))</f>
        <v/>
      </c>
      <c r="Y994" s="4" t="str">
        <f>IFERROR(__xludf.DUMMYFUNCTION("IF(OR($U994="""",COUNTIF($I:$I,IFERROR(unique(filter(Prod_Prop!$H:$H,Prod_Prop!$G:$G=$U994,Prod_Prop!$E:$E=Y$1)),""Check""))=0),"""",IFERROR(unique(filter(Prod_Prop!$H:$H,Prod_Prop!$G:$G=$U994,Prod_Prop!$E:$E=Y$1)),""""))"),"")</f>
        <v/>
      </c>
      <c r="Z994" s="4" t="str">
        <f>IF(Y994="","",SUMIFS(Prod_Prop!$J:$J,Prod_Prop!$B:$B,$Q994,Prod_Prop!$H:$H,Y994,Prod_Prop!$I:$I,Z$1)*IF(Y994="Peso",$R994,1))</f>
        <v/>
      </c>
      <c r="AA994" s="4" t="str">
        <f>IF(Y994="","",SUMIFS(Prod_Prop!$J:$J,Prod_Prop!$B:$B,$Q994,Prod_Prop!$H:$H,Y994,Prod_Prop!$I:$I,AA$1)*IF(Y994="Peso",$R994,1))</f>
        <v/>
      </c>
      <c r="AB994" s="4" t="str">
        <f>IFERROR(__xludf.DUMMYFUNCTION("IF(OR($U994="""",COUNTIF($I:$I,IFERROR(unique(filter(Prod_Prop!$H:$H,Prod_Prop!$G:$G=$U994,Prod_Prop!$E:$E=AB$1)),""Check""))=0),"""",IFERROR(unique(filter(Prod_Prop!$H:$H,Prod_Prop!$G:$G=$U994,Prod_Prop!$E:$E=AB$1)),""""))"),"")</f>
        <v/>
      </c>
      <c r="AC994" s="4" t="str">
        <f>IF(AB994="","",SUMIFS(Prod_Prop!$J:$J,Prod_Prop!$B:$B,$Q994,Prod_Prop!$H:$H,AB994,Prod_Prop!$I:$I,AC$1)*IF(AB994="Peso",$R994,1))</f>
        <v/>
      </c>
      <c r="AD994" s="4" t="str">
        <f>IF(AB994="","",SUMIFS(Prod_Prop!$J:$J,Prod_Prop!$B:$B,$Q994,Prod_Prop!$H:$H,AB994,Prod_Prop!$I:$I,AD$1)*IF(AB994="Peso",$R994,1))</f>
        <v/>
      </c>
    </row>
    <row r="995">
      <c r="A995" s="4" t="str">
        <f t="array" ref="A995">IF(COUNTIF(A$1:A994,Cotizador!F$2)=maxifs(Familias!E:E,Familias!D:D,Cotizador!F$2),IF(COUNTIF(A$1:A994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5" s="4" t="str">
        <f t="shared" si="1"/>
        <v/>
      </c>
      <c r="C995" s="4" t="str">
        <f t="array" ref="C995">IF(B995="","",IF(A995=XLOOKUP(A$2,Implementos!B:B,Implementos!C:C,"",0,1),B995+maxifs(B$1:B994,A$1:A994,A$2),B995))</f>
        <v/>
      </c>
      <c r="D995" s="4" t="str">
        <f>IF(B995="","", COUNTIFS(Productos!F:F,A995,Productos!H:H,B995)+IF(F995="SI",0,1))</f>
        <v/>
      </c>
      <c r="E995" s="4" t="str">
        <f>IFERROR(__xludf.DUMMYFUNCTION("IF($B995="""","""",INDEX(filter(Familias!F:F,Familias!$D:$D=$A995,Familias!$E:$E=$B995),1))"),"")</f>
        <v/>
      </c>
      <c r="F995" s="4" t="str">
        <f>IFERROR(__xludf.DUMMYFUNCTION("IF($B995="""","""",INDEX(filter(Familias!G:G,Familias!$D:$D=$A995,Familias!$E:$E=$B995),1))"),"")</f>
        <v/>
      </c>
      <c r="G995" s="4" t="str">
        <f t="array" ref="G995">IF(C995=1,XLOOKUP(C995,Cotizador!D:D,Cotizador!E:E,"",0,1),"")</f>
        <v/>
      </c>
      <c r="I995" s="4"/>
      <c r="J995" s="8" t="str">
        <f>IF(I995="","",SUMIF(Cotizador!I$1:V$1,I995,Cotizador!I$2:V$2))</f>
        <v/>
      </c>
      <c r="L995" s="4" t="str">
        <f t="array" ref="L995">IF(COUNTIF(L$1:L994,A$2)=SUMIF(A:A,A$2,D:D),IF(COUNTIF(L$1:L994,XLOOKUP(A$2,Implementos!B:B,Implementos!C:C,"",0,1))=SUMIF(A:A,XLOOKUP(A$2,Implementos!B:B,Implementos!C:C,"",0,1),D:D),"",XLOOKUP(A$2,Implementos!B:B,Implementos!C:C,"",0,1)),A$2)</f>
        <v/>
      </c>
      <c r="M995" s="4" t="str">
        <f t="shared" si="2"/>
        <v/>
      </c>
      <c r="N995" s="4" t="str">
        <f t="shared" si="3"/>
        <v/>
      </c>
      <c r="O995" s="4" t="str">
        <f t="shared" si="4"/>
        <v/>
      </c>
      <c r="P995" s="4" t="str">
        <f t="shared" si="5"/>
        <v/>
      </c>
      <c r="Q995" s="4" t="str">
        <f>IF(U995="","",SUMIF(Productos!E:E,U995,Productos!A:A))</f>
        <v/>
      </c>
      <c r="R995" s="4" t="str">
        <f t="array" ref="R995">IF(L995="","", max(1,SUMIF(I:I,XLOOKUP(U995,Productos!E:E,Productos!G:G,"",0,1),J:J)))</f>
        <v/>
      </c>
      <c r="S995" s="4" t="str">
        <f>IF(Q995="","",IF(SUMIFS(Compat_Vetado!D:D,Compat_Vetado!B:B,SUM(G:G),Compat_Vetado!C:C,Q995)=1,"SI",IF(OR(SUMIF(Cotizador!E:E,Q995,Cotizador!G:G)&gt;0,SUMIFS(Compat_Vetado!D:D,Compat_Vetado!B:B,SUM(G:G),Compat_Vetado!C:C,Q995)=-1),"NO","")))</f>
        <v/>
      </c>
      <c r="T995" s="4" t="str">
        <f t="shared" si="6"/>
        <v/>
      </c>
      <c r="U995" s="4" t="str">
        <f>IFERROR(__xludf.DUMMYFUNCTION("IF(P995="""","""",IFERROR(INDEX(filter(Productos!E:E,Productos!F:F=L995,Productos!H:H=N995),P995),IF(M995=SUM(D:D),""Finalizar"",""-"")))"),"")</f>
        <v/>
      </c>
      <c r="V995" s="4" t="str">
        <f>IFERROR(__xludf.DUMMYFUNCTION("IF(OR($U995="""",COUNTIF($I:$I,IFERROR(unique(filter(Prod_Prop!$H:$H,Prod_Prop!$G:$G=$U995,Prod_Prop!$E:$E=V$1)),""Check""))=0),"""",IFERROR(unique(filter(Prod_Prop!$H:$H,Prod_Prop!$G:$G=$U995,Prod_Prop!$E:$E=V$1)),""""))"),"")</f>
        <v/>
      </c>
      <c r="W995" s="4" t="str">
        <f>IF(V995="","",SUMIFS(Prod_Prop!$J:$J,Prod_Prop!$B:$B,$Q995,Prod_Prop!$H:$H,V995,Prod_Prop!$I:$I,W$1)*IF(V995="Peso",$R995,1))</f>
        <v/>
      </c>
      <c r="X995" s="4" t="str">
        <f>IF(V995="","",SUMIFS(Prod_Prop!$J:$J,Prod_Prop!$B:$B,$Q995,Prod_Prop!$H:$H,V995,Prod_Prop!$I:$I,X$1)*IF(V995="Peso",$R995,1))</f>
        <v/>
      </c>
      <c r="Y995" s="4" t="str">
        <f>IFERROR(__xludf.DUMMYFUNCTION("IF(OR($U995="""",COUNTIF($I:$I,IFERROR(unique(filter(Prod_Prop!$H:$H,Prod_Prop!$G:$G=$U995,Prod_Prop!$E:$E=Y$1)),""Check""))=0),"""",IFERROR(unique(filter(Prod_Prop!$H:$H,Prod_Prop!$G:$G=$U995,Prod_Prop!$E:$E=Y$1)),""""))"),"")</f>
        <v/>
      </c>
      <c r="Z995" s="4" t="str">
        <f>IF(Y995="","",SUMIFS(Prod_Prop!$J:$J,Prod_Prop!$B:$B,$Q995,Prod_Prop!$H:$H,Y995,Prod_Prop!$I:$I,Z$1)*IF(Y995="Peso",$R995,1))</f>
        <v/>
      </c>
      <c r="AA995" s="4" t="str">
        <f>IF(Y995="","",SUMIFS(Prod_Prop!$J:$J,Prod_Prop!$B:$B,$Q995,Prod_Prop!$H:$H,Y995,Prod_Prop!$I:$I,AA$1)*IF(Y995="Peso",$R995,1))</f>
        <v/>
      </c>
      <c r="AB995" s="4" t="str">
        <f>IFERROR(__xludf.DUMMYFUNCTION("IF(OR($U995="""",COUNTIF($I:$I,IFERROR(unique(filter(Prod_Prop!$H:$H,Prod_Prop!$G:$G=$U995,Prod_Prop!$E:$E=AB$1)),""Check""))=0),"""",IFERROR(unique(filter(Prod_Prop!$H:$H,Prod_Prop!$G:$G=$U995,Prod_Prop!$E:$E=AB$1)),""""))"),"")</f>
        <v/>
      </c>
      <c r="AC995" s="4" t="str">
        <f>IF(AB995="","",SUMIFS(Prod_Prop!$J:$J,Prod_Prop!$B:$B,$Q995,Prod_Prop!$H:$H,AB995,Prod_Prop!$I:$I,AC$1)*IF(AB995="Peso",$R995,1))</f>
        <v/>
      </c>
      <c r="AD995" s="4" t="str">
        <f>IF(AB995="","",SUMIFS(Prod_Prop!$J:$J,Prod_Prop!$B:$B,$Q995,Prod_Prop!$H:$H,AB995,Prod_Prop!$I:$I,AD$1)*IF(AB995="Peso",$R995,1))</f>
        <v/>
      </c>
    </row>
    <row r="996">
      <c r="A996" s="4" t="str">
        <f t="array" ref="A996">IF(COUNTIF(A$1:A995,Cotizador!F$2)=maxifs(Familias!E:E,Familias!D:D,Cotizador!F$2),IF(COUNTIF(A$1:A995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6" s="4" t="str">
        <f t="shared" si="1"/>
        <v/>
      </c>
      <c r="C996" s="4" t="str">
        <f t="array" ref="C996">IF(B996="","",IF(A996=XLOOKUP(A$2,Implementos!B:B,Implementos!C:C,"",0,1),B996+maxifs(B$1:B995,A$1:A995,A$2),B996))</f>
        <v/>
      </c>
      <c r="D996" s="4" t="str">
        <f>IF(B996="","", COUNTIFS(Productos!F:F,A996,Productos!H:H,B996)+IF(F996="SI",0,1))</f>
        <v/>
      </c>
      <c r="E996" s="4" t="str">
        <f>IFERROR(__xludf.DUMMYFUNCTION("IF($B996="""","""",INDEX(filter(Familias!F:F,Familias!$D:$D=$A996,Familias!$E:$E=$B996),1))"),"")</f>
        <v/>
      </c>
      <c r="F996" s="4" t="str">
        <f>IFERROR(__xludf.DUMMYFUNCTION("IF($B996="""","""",INDEX(filter(Familias!G:G,Familias!$D:$D=$A996,Familias!$E:$E=$B996),1))"),"")</f>
        <v/>
      </c>
      <c r="G996" s="4" t="str">
        <f t="array" ref="G996">IF(C996=1,XLOOKUP(C996,Cotizador!D:D,Cotizador!E:E,"",0,1),"")</f>
        <v/>
      </c>
      <c r="I996" s="4"/>
      <c r="J996" s="8" t="str">
        <f>IF(I996="","",SUMIF(Cotizador!I$1:V$1,I996,Cotizador!I$2:V$2))</f>
        <v/>
      </c>
      <c r="L996" s="4" t="str">
        <f t="array" ref="L996">IF(COUNTIF(L$1:L995,A$2)=SUMIF(A:A,A$2,D:D),IF(COUNTIF(L$1:L995,XLOOKUP(A$2,Implementos!B:B,Implementos!C:C,"",0,1))=SUMIF(A:A,XLOOKUP(A$2,Implementos!B:B,Implementos!C:C,"",0,1),D:D),"",XLOOKUP(A$2,Implementos!B:B,Implementos!C:C,"",0,1)),A$2)</f>
        <v/>
      </c>
      <c r="M996" s="4" t="str">
        <f t="shared" si="2"/>
        <v/>
      </c>
      <c r="N996" s="4" t="str">
        <f t="shared" si="3"/>
        <v/>
      </c>
      <c r="O996" s="4" t="str">
        <f t="shared" si="4"/>
        <v/>
      </c>
      <c r="P996" s="4" t="str">
        <f t="shared" si="5"/>
        <v/>
      </c>
      <c r="Q996" s="4" t="str">
        <f>IF(U996="","",SUMIF(Productos!E:E,U996,Productos!A:A))</f>
        <v/>
      </c>
      <c r="R996" s="4" t="str">
        <f t="array" ref="R996">IF(L996="","", max(1,SUMIF(I:I,XLOOKUP(U996,Productos!E:E,Productos!G:G,"",0,1),J:J)))</f>
        <v/>
      </c>
      <c r="S996" s="4" t="str">
        <f>IF(Q996="","",IF(SUMIFS(Compat_Vetado!D:D,Compat_Vetado!B:B,SUM(G:G),Compat_Vetado!C:C,Q996)=1,"SI",IF(OR(SUMIF(Cotizador!E:E,Q996,Cotizador!G:G)&gt;0,SUMIFS(Compat_Vetado!D:D,Compat_Vetado!B:B,SUM(G:G),Compat_Vetado!C:C,Q996)=-1),"NO","")))</f>
        <v/>
      </c>
      <c r="T996" s="4" t="str">
        <f t="shared" si="6"/>
        <v/>
      </c>
      <c r="U996" s="4" t="str">
        <f>IFERROR(__xludf.DUMMYFUNCTION("IF(P996="""","""",IFERROR(INDEX(filter(Productos!E:E,Productos!F:F=L996,Productos!H:H=N996),P996),IF(M996=SUM(D:D),""Finalizar"",""-"")))"),"")</f>
        <v/>
      </c>
      <c r="V996" s="4" t="str">
        <f>IFERROR(__xludf.DUMMYFUNCTION("IF(OR($U996="""",COUNTIF($I:$I,IFERROR(unique(filter(Prod_Prop!$H:$H,Prod_Prop!$G:$G=$U996,Prod_Prop!$E:$E=V$1)),""Check""))=0),"""",IFERROR(unique(filter(Prod_Prop!$H:$H,Prod_Prop!$G:$G=$U996,Prod_Prop!$E:$E=V$1)),""""))"),"")</f>
        <v/>
      </c>
      <c r="W996" s="4" t="str">
        <f>IF(V996="","",SUMIFS(Prod_Prop!$J:$J,Prod_Prop!$B:$B,$Q996,Prod_Prop!$H:$H,V996,Prod_Prop!$I:$I,W$1)*IF(V996="Peso",$R996,1))</f>
        <v/>
      </c>
      <c r="X996" s="4" t="str">
        <f>IF(V996="","",SUMIFS(Prod_Prop!$J:$J,Prod_Prop!$B:$B,$Q996,Prod_Prop!$H:$H,V996,Prod_Prop!$I:$I,X$1)*IF(V996="Peso",$R996,1))</f>
        <v/>
      </c>
      <c r="Y996" s="4" t="str">
        <f>IFERROR(__xludf.DUMMYFUNCTION("IF(OR($U996="""",COUNTIF($I:$I,IFERROR(unique(filter(Prod_Prop!$H:$H,Prod_Prop!$G:$G=$U996,Prod_Prop!$E:$E=Y$1)),""Check""))=0),"""",IFERROR(unique(filter(Prod_Prop!$H:$H,Prod_Prop!$G:$G=$U996,Prod_Prop!$E:$E=Y$1)),""""))"),"")</f>
        <v/>
      </c>
      <c r="Z996" s="4" t="str">
        <f>IF(Y996="","",SUMIFS(Prod_Prop!$J:$J,Prod_Prop!$B:$B,$Q996,Prod_Prop!$H:$H,Y996,Prod_Prop!$I:$I,Z$1)*IF(Y996="Peso",$R996,1))</f>
        <v/>
      </c>
      <c r="AA996" s="4" t="str">
        <f>IF(Y996="","",SUMIFS(Prod_Prop!$J:$J,Prod_Prop!$B:$B,$Q996,Prod_Prop!$H:$H,Y996,Prod_Prop!$I:$I,AA$1)*IF(Y996="Peso",$R996,1))</f>
        <v/>
      </c>
      <c r="AB996" s="4" t="str">
        <f>IFERROR(__xludf.DUMMYFUNCTION("IF(OR($U996="""",COUNTIF($I:$I,IFERROR(unique(filter(Prod_Prop!$H:$H,Prod_Prop!$G:$G=$U996,Prod_Prop!$E:$E=AB$1)),""Check""))=0),"""",IFERROR(unique(filter(Prod_Prop!$H:$H,Prod_Prop!$G:$G=$U996,Prod_Prop!$E:$E=AB$1)),""""))"),"")</f>
        <v/>
      </c>
      <c r="AC996" s="4" t="str">
        <f>IF(AB996="","",SUMIFS(Prod_Prop!$J:$J,Prod_Prop!$B:$B,$Q996,Prod_Prop!$H:$H,AB996,Prod_Prop!$I:$I,AC$1)*IF(AB996="Peso",$R996,1))</f>
        <v/>
      </c>
      <c r="AD996" s="4" t="str">
        <f>IF(AB996="","",SUMIFS(Prod_Prop!$J:$J,Prod_Prop!$B:$B,$Q996,Prod_Prop!$H:$H,AB996,Prod_Prop!$I:$I,AD$1)*IF(AB996="Peso",$R996,1))</f>
        <v/>
      </c>
    </row>
    <row r="997">
      <c r="A997" s="4" t="str">
        <f t="array" ref="A997">IF(COUNTIF(A$1:A996,Cotizador!F$2)=maxifs(Familias!E:E,Familias!D:D,Cotizador!F$2),IF(COUNTIF(A$1:A996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7" s="4" t="str">
        <f t="shared" si="1"/>
        <v/>
      </c>
      <c r="C997" s="4" t="str">
        <f t="array" ref="C997">IF(B997="","",IF(A997=XLOOKUP(A$2,Implementos!B:B,Implementos!C:C,"",0,1),B997+maxifs(B$1:B996,A$1:A996,A$2),B997))</f>
        <v/>
      </c>
      <c r="D997" s="4" t="str">
        <f>IF(B997="","", COUNTIFS(Productos!F:F,A997,Productos!H:H,B997)+IF(F997="SI",0,1))</f>
        <v/>
      </c>
      <c r="E997" s="4" t="str">
        <f>IFERROR(__xludf.DUMMYFUNCTION("IF($B997="""","""",INDEX(filter(Familias!F:F,Familias!$D:$D=$A997,Familias!$E:$E=$B997),1))"),"")</f>
        <v/>
      </c>
      <c r="F997" s="4" t="str">
        <f>IFERROR(__xludf.DUMMYFUNCTION("IF($B997="""","""",INDEX(filter(Familias!G:G,Familias!$D:$D=$A997,Familias!$E:$E=$B997),1))"),"")</f>
        <v/>
      </c>
      <c r="G997" s="4" t="str">
        <f t="array" ref="G997">IF(C997=1,XLOOKUP(C997,Cotizador!D:D,Cotizador!E:E,"",0,1),"")</f>
        <v/>
      </c>
      <c r="I997" s="4"/>
      <c r="J997" s="8" t="str">
        <f>IF(I997="","",SUMIF(Cotizador!I$1:V$1,I997,Cotizador!I$2:V$2))</f>
        <v/>
      </c>
      <c r="L997" s="4" t="str">
        <f t="array" ref="L997">IF(COUNTIF(L$1:L996,A$2)=SUMIF(A:A,A$2,D:D),IF(COUNTIF(L$1:L996,XLOOKUP(A$2,Implementos!B:B,Implementos!C:C,"",0,1))=SUMIF(A:A,XLOOKUP(A$2,Implementos!B:B,Implementos!C:C,"",0,1),D:D),"",XLOOKUP(A$2,Implementos!B:B,Implementos!C:C,"",0,1)),A$2)</f>
        <v/>
      </c>
      <c r="M997" s="4" t="str">
        <f t="shared" si="2"/>
        <v/>
      </c>
      <c r="N997" s="4" t="str">
        <f t="shared" si="3"/>
        <v/>
      </c>
      <c r="O997" s="4" t="str">
        <f t="shared" si="4"/>
        <v/>
      </c>
      <c r="P997" s="4" t="str">
        <f t="shared" si="5"/>
        <v/>
      </c>
      <c r="Q997" s="4" t="str">
        <f>IF(U997="","",SUMIF(Productos!E:E,U997,Productos!A:A))</f>
        <v/>
      </c>
      <c r="R997" s="4" t="str">
        <f t="array" ref="R997">IF(L997="","", max(1,SUMIF(I:I,XLOOKUP(U997,Productos!E:E,Productos!G:G,"",0,1),J:J)))</f>
        <v/>
      </c>
      <c r="S997" s="4" t="str">
        <f>IF(Q997="","",IF(SUMIFS(Compat_Vetado!D:D,Compat_Vetado!B:B,SUM(G:G),Compat_Vetado!C:C,Q997)=1,"SI",IF(OR(SUMIF(Cotizador!E:E,Q997,Cotizador!G:G)&gt;0,SUMIFS(Compat_Vetado!D:D,Compat_Vetado!B:B,SUM(G:G),Compat_Vetado!C:C,Q997)=-1),"NO","")))</f>
        <v/>
      </c>
      <c r="T997" s="4" t="str">
        <f t="shared" si="6"/>
        <v/>
      </c>
      <c r="U997" s="4" t="str">
        <f>IFERROR(__xludf.DUMMYFUNCTION("IF(P997="""","""",IFERROR(INDEX(filter(Productos!E:E,Productos!F:F=L997,Productos!H:H=N997),P997),IF(M997=SUM(D:D),""Finalizar"",""-"")))"),"")</f>
        <v/>
      </c>
      <c r="V997" s="4" t="str">
        <f>IFERROR(__xludf.DUMMYFUNCTION("IF(OR($U997="""",COUNTIF($I:$I,IFERROR(unique(filter(Prod_Prop!$H:$H,Prod_Prop!$G:$G=$U997,Prod_Prop!$E:$E=V$1)),""Check""))=0),"""",IFERROR(unique(filter(Prod_Prop!$H:$H,Prod_Prop!$G:$G=$U997,Prod_Prop!$E:$E=V$1)),""""))"),"")</f>
        <v/>
      </c>
      <c r="W997" s="4" t="str">
        <f>IF(V997="","",SUMIFS(Prod_Prop!$J:$J,Prod_Prop!$B:$B,$Q997,Prod_Prop!$H:$H,V997,Prod_Prop!$I:$I,W$1)*IF(V997="Peso",$R997,1))</f>
        <v/>
      </c>
      <c r="X997" s="4" t="str">
        <f>IF(V997="","",SUMIFS(Prod_Prop!$J:$J,Prod_Prop!$B:$B,$Q997,Prod_Prop!$H:$H,V997,Prod_Prop!$I:$I,X$1)*IF(V997="Peso",$R997,1))</f>
        <v/>
      </c>
      <c r="Y997" s="4" t="str">
        <f>IFERROR(__xludf.DUMMYFUNCTION("IF(OR($U997="""",COUNTIF($I:$I,IFERROR(unique(filter(Prod_Prop!$H:$H,Prod_Prop!$G:$G=$U997,Prod_Prop!$E:$E=Y$1)),""Check""))=0),"""",IFERROR(unique(filter(Prod_Prop!$H:$H,Prod_Prop!$G:$G=$U997,Prod_Prop!$E:$E=Y$1)),""""))"),"")</f>
        <v/>
      </c>
      <c r="Z997" s="4" t="str">
        <f>IF(Y997="","",SUMIFS(Prod_Prop!$J:$J,Prod_Prop!$B:$B,$Q997,Prod_Prop!$H:$H,Y997,Prod_Prop!$I:$I,Z$1)*IF(Y997="Peso",$R997,1))</f>
        <v/>
      </c>
      <c r="AA997" s="4" t="str">
        <f>IF(Y997="","",SUMIFS(Prod_Prop!$J:$J,Prod_Prop!$B:$B,$Q997,Prod_Prop!$H:$H,Y997,Prod_Prop!$I:$I,AA$1)*IF(Y997="Peso",$R997,1))</f>
        <v/>
      </c>
      <c r="AB997" s="4" t="str">
        <f>IFERROR(__xludf.DUMMYFUNCTION("IF(OR($U997="""",COUNTIF($I:$I,IFERROR(unique(filter(Prod_Prop!$H:$H,Prod_Prop!$G:$G=$U997,Prod_Prop!$E:$E=AB$1)),""Check""))=0),"""",IFERROR(unique(filter(Prod_Prop!$H:$H,Prod_Prop!$G:$G=$U997,Prod_Prop!$E:$E=AB$1)),""""))"),"")</f>
        <v/>
      </c>
      <c r="AC997" s="4" t="str">
        <f>IF(AB997="","",SUMIFS(Prod_Prop!$J:$J,Prod_Prop!$B:$B,$Q997,Prod_Prop!$H:$H,AB997,Prod_Prop!$I:$I,AC$1)*IF(AB997="Peso",$R997,1))</f>
        <v/>
      </c>
      <c r="AD997" s="4" t="str">
        <f>IF(AB997="","",SUMIFS(Prod_Prop!$J:$J,Prod_Prop!$B:$B,$Q997,Prod_Prop!$H:$H,AB997,Prod_Prop!$I:$I,AD$1)*IF(AB997="Peso",$R997,1))</f>
        <v/>
      </c>
    </row>
    <row r="998">
      <c r="A998" s="4" t="str">
        <f t="array" ref="A998">IF(COUNTIF(A$1:A997,Cotizador!F$2)=maxifs(Familias!E:E,Familias!D:D,Cotizador!F$2),IF(COUNTIF(A$1:A997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8" s="4" t="str">
        <f t="shared" si="1"/>
        <v/>
      </c>
      <c r="C998" s="4" t="str">
        <f t="array" ref="C998">IF(B998="","",IF(A998=XLOOKUP(A$2,Implementos!B:B,Implementos!C:C,"",0,1),B998+maxifs(B$1:B997,A$1:A997,A$2),B998))</f>
        <v/>
      </c>
      <c r="D998" s="4" t="str">
        <f>IF(B998="","", COUNTIFS(Productos!F:F,A998,Productos!H:H,B998)+IF(F998="SI",0,1))</f>
        <v/>
      </c>
      <c r="E998" s="4" t="str">
        <f>IFERROR(__xludf.DUMMYFUNCTION("IF($B998="""","""",INDEX(filter(Familias!F:F,Familias!$D:$D=$A998,Familias!$E:$E=$B998),1))"),"")</f>
        <v/>
      </c>
      <c r="F998" s="4" t="str">
        <f>IFERROR(__xludf.DUMMYFUNCTION("IF($B998="""","""",INDEX(filter(Familias!G:G,Familias!$D:$D=$A998,Familias!$E:$E=$B998),1))"),"")</f>
        <v/>
      </c>
      <c r="G998" s="4" t="str">
        <f t="array" ref="G998">IF(C998=1,XLOOKUP(C998,Cotizador!D:D,Cotizador!E:E,"",0,1),"")</f>
        <v/>
      </c>
      <c r="I998" s="4"/>
      <c r="J998" s="8" t="str">
        <f>IF(I998="","",SUMIF(Cotizador!I$1:V$1,I998,Cotizador!I$2:V$2))</f>
        <v/>
      </c>
      <c r="L998" s="4" t="str">
        <f t="array" ref="L998">IF(COUNTIF(L$1:L997,A$2)=SUMIF(A:A,A$2,D:D),IF(COUNTIF(L$1:L997,XLOOKUP(A$2,Implementos!B:B,Implementos!C:C,"",0,1))=SUMIF(A:A,XLOOKUP(A$2,Implementos!B:B,Implementos!C:C,"",0,1),D:D),"",XLOOKUP(A$2,Implementos!B:B,Implementos!C:C,"",0,1)),A$2)</f>
        <v/>
      </c>
      <c r="M998" s="4" t="str">
        <f t="shared" si="2"/>
        <v/>
      </c>
      <c r="N998" s="4" t="str">
        <f t="shared" si="3"/>
        <v/>
      </c>
      <c r="O998" s="4" t="str">
        <f t="shared" si="4"/>
        <v/>
      </c>
      <c r="P998" s="4" t="str">
        <f t="shared" si="5"/>
        <v/>
      </c>
      <c r="Q998" s="4" t="str">
        <f>IF(U998="","",SUMIF(Productos!E:E,U998,Productos!A:A))</f>
        <v/>
      </c>
      <c r="R998" s="4" t="str">
        <f t="array" ref="R998">IF(L998="","", max(1,SUMIF(I:I,XLOOKUP(U998,Productos!E:E,Productos!G:G,"",0,1),J:J)))</f>
        <v/>
      </c>
      <c r="S998" s="4" t="str">
        <f>IF(Q998="","",IF(SUMIFS(Compat_Vetado!D:D,Compat_Vetado!B:B,SUM(G:G),Compat_Vetado!C:C,Q998)=1,"SI",IF(OR(SUMIF(Cotizador!E:E,Q998,Cotizador!G:G)&gt;0,SUMIFS(Compat_Vetado!D:D,Compat_Vetado!B:B,SUM(G:G),Compat_Vetado!C:C,Q998)=-1),"NO","")))</f>
        <v/>
      </c>
      <c r="T998" s="4" t="str">
        <f t="shared" si="6"/>
        <v/>
      </c>
      <c r="U998" s="4" t="str">
        <f>IFERROR(__xludf.DUMMYFUNCTION("IF(P998="""","""",IFERROR(INDEX(filter(Productos!E:E,Productos!F:F=L998,Productos!H:H=N998),P998),IF(M998=SUM(D:D),""Finalizar"",""-"")))"),"")</f>
        <v/>
      </c>
      <c r="V998" s="4" t="str">
        <f>IFERROR(__xludf.DUMMYFUNCTION("IF(OR($U998="""",COUNTIF($I:$I,IFERROR(unique(filter(Prod_Prop!$H:$H,Prod_Prop!$G:$G=$U998,Prod_Prop!$E:$E=V$1)),""Check""))=0),"""",IFERROR(unique(filter(Prod_Prop!$H:$H,Prod_Prop!$G:$G=$U998,Prod_Prop!$E:$E=V$1)),""""))"),"")</f>
        <v/>
      </c>
      <c r="W998" s="4" t="str">
        <f>IF(V998="","",SUMIFS(Prod_Prop!$J:$J,Prod_Prop!$B:$B,$Q998,Prod_Prop!$H:$H,V998,Prod_Prop!$I:$I,W$1)*IF(V998="Peso",$R998,1))</f>
        <v/>
      </c>
      <c r="X998" s="4" t="str">
        <f>IF(V998="","",SUMIFS(Prod_Prop!$J:$J,Prod_Prop!$B:$B,$Q998,Prod_Prop!$H:$H,V998,Prod_Prop!$I:$I,X$1)*IF(V998="Peso",$R998,1))</f>
        <v/>
      </c>
      <c r="Y998" s="4" t="str">
        <f>IFERROR(__xludf.DUMMYFUNCTION("IF(OR($U998="""",COUNTIF($I:$I,IFERROR(unique(filter(Prod_Prop!$H:$H,Prod_Prop!$G:$G=$U998,Prod_Prop!$E:$E=Y$1)),""Check""))=0),"""",IFERROR(unique(filter(Prod_Prop!$H:$H,Prod_Prop!$G:$G=$U998,Prod_Prop!$E:$E=Y$1)),""""))"),"")</f>
        <v/>
      </c>
      <c r="Z998" s="4" t="str">
        <f>IF(Y998="","",SUMIFS(Prod_Prop!$J:$J,Prod_Prop!$B:$B,$Q998,Prod_Prop!$H:$H,Y998,Prod_Prop!$I:$I,Z$1)*IF(Y998="Peso",$R998,1))</f>
        <v/>
      </c>
      <c r="AA998" s="4" t="str">
        <f>IF(Y998="","",SUMIFS(Prod_Prop!$J:$J,Prod_Prop!$B:$B,$Q998,Prod_Prop!$H:$H,Y998,Prod_Prop!$I:$I,AA$1)*IF(Y998="Peso",$R998,1))</f>
        <v/>
      </c>
      <c r="AB998" s="4" t="str">
        <f>IFERROR(__xludf.DUMMYFUNCTION("IF(OR($U998="""",COUNTIF($I:$I,IFERROR(unique(filter(Prod_Prop!$H:$H,Prod_Prop!$G:$G=$U998,Prod_Prop!$E:$E=AB$1)),""Check""))=0),"""",IFERROR(unique(filter(Prod_Prop!$H:$H,Prod_Prop!$G:$G=$U998,Prod_Prop!$E:$E=AB$1)),""""))"),"")</f>
        <v/>
      </c>
      <c r="AC998" s="4" t="str">
        <f>IF(AB998="","",SUMIFS(Prod_Prop!$J:$J,Prod_Prop!$B:$B,$Q998,Prod_Prop!$H:$H,AB998,Prod_Prop!$I:$I,AC$1)*IF(AB998="Peso",$R998,1))</f>
        <v/>
      </c>
      <c r="AD998" s="4" t="str">
        <f>IF(AB998="","",SUMIFS(Prod_Prop!$J:$J,Prod_Prop!$B:$B,$Q998,Prod_Prop!$H:$H,AB998,Prod_Prop!$I:$I,AD$1)*IF(AB998="Peso",$R998,1))</f>
        <v/>
      </c>
    </row>
    <row r="999">
      <c r="A999" s="4" t="str">
        <f t="array" ref="A999">IF(COUNTIF(A$1:A998,Cotizador!F$2)=maxifs(Familias!E:E,Familias!D:D,Cotizador!F$2),IF(COUNTIF(A$1:A998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999" s="4" t="str">
        <f t="shared" si="1"/>
        <v/>
      </c>
      <c r="C999" s="4" t="str">
        <f t="array" ref="C999">IF(B999="","",IF(A999=XLOOKUP(A$2,Implementos!B:B,Implementos!C:C,"",0,1),B999+maxifs(B$1:B998,A$1:A998,A$2),B999))</f>
        <v/>
      </c>
      <c r="D999" s="4" t="str">
        <f>IF(B999="","", COUNTIFS(Productos!F:F,A999,Productos!H:H,B999)+IF(F999="SI",0,1))</f>
        <v/>
      </c>
      <c r="E999" s="4" t="str">
        <f>IFERROR(__xludf.DUMMYFUNCTION("IF($B999="""","""",INDEX(filter(Familias!F:F,Familias!$D:$D=$A999,Familias!$E:$E=$B999),1))"),"")</f>
        <v/>
      </c>
      <c r="F999" s="4" t="str">
        <f>IFERROR(__xludf.DUMMYFUNCTION("IF($B999="""","""",INDEX(filter(Familias!G:G,Familias!$D:$D=$A999,Familias!$E:$E=$B999),1))"),"")</f>
        <v/>
      </c>
      <c r="G999" s="4" t="str">
        <f t="array" ref="G999">IF(C999=1,XLOOKUP(C999,Cotizador!D:D,Cotizador!E:E,"",0,1),"")</f>
        <v/>
      </c>
      <c r="I999" s="4"/>
      <c r="J999" s="8" t="str">
        <f>IF(I999="","",SUMIF(Cotizador!I$1:V$1,I999,Cotizador!I$2:V$2))</f>
        <v/>
      </c>
      <c r="L999" s="4" t="str">
        <f t="array" ref="L999">IF(COUNTIF(L$1:L998,A$2)=SUMIF(A:A,A$2,D:D),IF(COUNTIF(L$1:L998,XLOOKUP(A$2,Implementos!B:B,Implementos!C:C,"",0,1))=SUMIF(A:A,XLOOKUP(A$2,Implementos!B:B,Implementos!C:C,"",0,1),D:D),"",XLOOKUP(A$2,Implementos!B:B,Implementos!C:C,"",0,1)),A$2)</f>
        <v/>
      </c>
      <c r="M999" s="4" t="str">
        <f t="shared" si="2"/>
        <v/>
      </c>
      <c r="N999" s="4" t="str">
        <f t="shared" si="3"/>
        <v/>
      </c>
      <c r="O999" s="4" t="str">
        <f t="shared" si="4"/>
        <v/>
      </c>
      <c r="P999" s="4" t="str">
        <f t="shared" si="5"/>
        <v/>
      </c>
      <c r="Q999" s="4" t="str">
        <f>IF(U999="","",SUMIF(Productos!E:E,U999,Productos!A:A))</f>
        <v/>
      </c>
      <c r="R999" s="4" t="str">
        <f t="array" ref="R999">IF(L999="","", max(1,SUMIF(I:I,XLOOKUP(U999,Productos!E:E,Productos!G:G,"",0,1),J:J)))</f>
        <v/>
      </c>
      <c r="S999" s="4" t="str">
        <f>IF(Q999="","",IF(SUMIFS(Compat_Vetado!D:D,Compat_Vetado!B:B,SUM(G:G),Compat_Vetado!C:C,Q999)=1,"SI",IF(OR(SUMIF(Cotizador!E:E,Q999,Cotizador!G:G)&gt;0,SUMIFS(Compat_Vetado!D:D,Compat_Vetado!B:B,SUM(G:G),Compat_Vetado!C:C,Q999)=-1),"NO","")))</f>
        <v/>
      </c>
      <c r="T999" s="4" t="str">
        <f t="shared" si="6"/>
        <v/>
      </c>
      <c r="U999" s="4" t="str">
        <f>IFERROR(__xludf.DUMMYFUNCTION("IF(P999="""","""",IFERROR(INDEX(filter(Productos!E:E,Productos!F:F=L999,Productos!H:H=N999),P999),IF(M999=SUM(D:D),""Finalizar"",""-"")))"),"")</f>
        <v/>
      </c>
      <c r="V999" s="4" t="str">
        <f>IFERROR(__xludf.DUMMYFUNCTION("IF(OR($U999="""",COUNTIF($I:$I,IFERROR(unique(filter(Prod_Prop!$H:$H,Prod_Prop!$G:$G=$U999,Prod_Prop!$E:$E=V$1)),""Check""))=0),"""",IFERROR(unique(filter(Prod_Prop!$H:$H,Prod_Prop!$G:$G=$U999,Prod_Prop!$E:$E=V$1)),""""))"),"")</f>
        <v/>
      </c>
      <c r="W999" s="4" t="str">
        <f>IF(V999="","",SUMIFS(Prod_Prop!$J:$J,Prod_Prop!$B:$B,$Q999,Prod_Prop!$H:$H,V999,Prod_Prop!$I:$I,W$1)*IF(V999="Peso",$R999,1))</f>
        <v/>
      </c>
      <c r="X999" s="4" t="str">
        <f>IF(V999="","",SUMIFS(Prod_Prop!$J:$J,Prod_Prop!$B:$B,$Q999,Prod_Prop!$H:$H,V999,Prod_Prop!$I:$I,X$1)*IF(V999="Peso",$R999,1))</f>
        <v/>
      </c>
      <c r="Y999" s="4" t="str">
        <f>IFERROR(__xludf.DUMMYFUNCTION("IF(OR($U999="""",COUNTIF($I:$I,IFERROR(unique(filter(Prod_Prop!$H:$H,Prod_Prop!$G:$G=$U999,Prod_Prop!$E:$E=Y$1)),""Check""))=0),"""",IFERROR(unique(filter(Prod_Prop!$H:$H,Prod_Prop!$G:$G=$U999,Prod_Prop!$E:$E=Y$1)),""""))"),"")</f>
        <v/>
      </c>
      <c r="Z999" s="4" t="str">
        <f>IF(Y999="","",SUMIFS(Prod_Prop!$J:$J,Prod_Prop!$B:$B,$Q999,Prod_Prop!$H:$H,Y999,Prod_Prop!$I:$I,Z$1)*IF(Y999="Peso",$R999,1))</f>
        <v/>
      </c>
      <c r="AA999" s="4" t="str">
        <f>IF(Y999="","",SUMIFS(Prod_Prop!$J:$J,Prod_Prop!$B:$B,$Q999,Prod_Prop!$H:$H,Y999,Prod_Prop!$I:$I,AA$1)*IF(Y999="Peso",$R999,1))</f>
        <v/>
      </c>
      <c r="AB999" s="4" t="str">
        <f>IFERROR(__xludf.DUMMYFUNCTION("IF(OR($U999="""",COUNTIF($I:$I,IFERROR(unique(filter(Prod_Prop!$H:$H,Prod_Prop!$G:$G=$U999,Prod_Prop!$E:$E=AB$1)),""Check""))=0),"""",IFERROR(unique(filter(Prod_Prop!$H:$H,Prod_Prop!$G:$G=$U999,Prod_Prop!$E:$E=AB$1)),""""))"),"")</f>
        <v/>
      </c>
      <c r="AC999" s="4" t="str">
        <f>IF(AB999="","",SUMIFS(Prod_Prop!$J:$J,Prod_Prop!$B:$B,$Q999,Prod_Prop!$H:$H,AB999,Prod_Prop!$I:$I,AC$1)*IF(AB999="Peso",$R999,1))</f>
        <v/>
      </c>
      <c r="AD999" s="4" t="str">
        <f>IF(AB999="","",SUMIFS(Prod_Prop!$J:$J,Prod_Prop!$B:$B,$Q999,Prod_Prop!$H:$H,AB999,Prod_Prop!$I:$I,AD$1)*IF(AB999="Peso",$R999,1))</f>
        <v/>
      </c>
    </row>
    <row r="1000">
      <c r="A1000" s="4" t="str">
        <f t="array" ref="A1000">IF(COUNTIF(A$1:A999,Cotizador!F$2)=maxifs(Familias!E:E,Familias!D:D,Cotizador!F$2),IF(COUNTIF(A$1:A999,XLOOKUP(Cotizador!F$2,Implementos!B:B,Implementos!C:C,"",0,1))=SUMIFS(Implementos!D:D,Implementos!B:B,Cotizador!F$2,Implementos!C:C,XLOOKUP(Cotizador!F$2,Implementos!B:B,Implementos!C:C,"",0,1)),"",XLOOKUP(Cotizador!F$2,Implementos!B:B,Implementos!C:C,"",0,1)),Cotizador!F$2)</f>
        <v/>
      </c>
      <c r="B1000" s="4" t="str">
        <f t="shared" si="1"/>
        <v/>
      </c>
      <c r="C1000" s="4" t="str">
        <f t="array" ref="C1000">IF(B1000="","",IF(A1000=XLOOKUP(A$2,Implementos!B:B,Implementos!C:C,"",0,1),B1000+maxifs(B$1:B999,A$1:A999,A$2),B1000))</f>
        <v/>
      </c>
      <c r="D1000" s="4" t="str">
        <f>IF(B1000="","", COUNTIFS(Productos!F:F,A1000,Productos!H:H,B1000)+IF(F1000="SI",0,1))</f>
        <v/>
      </c>
      <c r="E1000" s="4" t="str">
        <f>IFERROR(__xludf.DUMMYFUNCTION("IF($B1000="""","""",INDEX(filter(Familias!F:F,Familias!$D:$D=$A1000,Familias!$E:$E=$B1000),1))"),"")</f>
        <v/>
      </c>
      <c r="F1000" s="4" t="str">
        <f>IFERROR(__xludf.DUMMYFUNCTION("IF($B1000="""","""",INDEX(filter(Familias!G:G,Familias!$D:$D=$A1000,Familias!$E:$E=$B1000),1))"),"")</f>
        <v/>
      </c>
      <c r="G1000" s="4" t="str">
        <f t="array" ref="G1000">IF(C1000=1,XLOOKUP(C1000,Cotizador!D:D,Cotizador!E:E,"",0,1),"")</f>
        <v/>
      </c>
      <c r="I1000" s="4"/>
      <c r="J1000" s="8" t="str">
        <f>IF(I1000="","",SUMIF(Cotizador!I$1:V$1,I1000,Cotizador!I$2:V$2))</f>
        <v/>
      </c>
      <c r="L1000" s="4" t="str">
        <f t="array" ref="L1000">IF(COUNTIF(L$1:L999,A$2)=SUMIF(A:A,A$2,D:D),IF(COUNTIF(L$1:L999,XLOOKUP(A$2,Implementos!B:B,Implementos!C:C,"",0,1))=SUMIF(A:A,XLOOKUP(A$2,Implementos!B:B,Implementos!C:C,"",0,1),D:D),"",XLOOKUP(A$2,Implementos!B:B,Implementos!C:C,"",0,1)),A$2)</f>
        <v/>
      </c>
      <c r="M1000" s="4" t="str">
        <f t="shared" si="2"/>
        <v/>
      </c>
      <c r="N1000" s="4" t="str">
        <f t="shared" si="3"/>
        <v/>
      </c>
      <c r="O1000" s="4" t="str">
        <f t="shared" si="4"/>
        <v/>
      </c>
      <c r="P1000" s="4" t="str">
        <f t="shared" si="5"/>
        <v/>
      </c>
      <c r="Q1000" s="4" t="str">
        <f>IF(U1000="","",SUMIF(Productos!E:E,U1000,Productos!A:A))</f>
        <v/>
      </c>
      <c r="R1000" s="4" t="str">
        <f t="array" ref="R1000">IF(L1000="","", max(1,SUMIF(I:I,XLOOKUP(U1000,Productos!E:E,Productos!G:G,"",0,1),J:J)))</f>
        <v/>
      </c>
      <c r="S1000" s="4" t="str">
        <f>IF(Q1000="","",IF(SUMIFS(Compat_Vetado!D:D,Compat_Vetado!B:B,SUM(G:G),Compat_Vetado!C:C,Q1000)=1,"SI",IF(OR(SUMIF(Cotizador!E:E,Q1000,Cotizador!G:G)&gt;0,SUMIFS(Compat_Vetado!D:D,Compat_Vetado!B:B,SUM(G:G),Compat_Vetado!C:C,Q1000)=-1),"NO","")))</f>
        <v/>
      </c>
      <c r="T1000" s="4" t="str">
        <f t="shared" si="6"/>
        <v/>
      </c>
      <c r="U1000" s="4" t="str">
        <f>IFERROR(__xludf.DUMMYFUNCTION("IF(P1000="""","""",IFERROR(INDEX(filter(Productos!E:E,Productos!F:F=L1000,Productos!H:H=N1000),P1000),IF(M1000=SUM(D:D),""Finalizar"",""-"")))"),"")</f>
        <v/>
      </c>
      <c r="V1000" s="4" t="str">
        <f>IFERROR(__xludf.DUMMYFUNCTION("IF(OR($U1000="""",COUNTIF($I:$I,IFERROR(unique(filter(Prod_Prop!$H:$H,Prod_Prop!$G:$G=$U1000,Prod_Prop!$E:$E=V$1)),""Check""))=0),"""",IFERROR(unique(filter(Prod_Prop!$H:$H,Prod_Prop!$G:$G=$U1000,Prod_Prop!$E:$E=V$1)),""""))"),"")</f>
        <v/>
      </c>
      <c r="W1000" s="4" t="str">
        <f>IF(V1000="","",SUMIFS(Prod_Prop!$J:$J,Prod_Prop!$B:$B,$Q1000,Prod_Prop!$H:$H,V1000,Prod_Prop!$I:$I,W$1)*IF(V1000="Peso",$R1000,1))</f>
        <v/>
      </c>
      <c r="X1000" s="4" t="str">
        <f>IF(V1000="","",SUMIFS(Prod_Prop!$J:$J,Prod_Prop!$B:$B,$Q1000,Prod_Prop!$H:$H,V1000,Prod_Prop!$I:$I,X$1)*IF(V1000="Peso",$R1000,1))</f>
        <v/>
      </c>
      <c r="Y1000" s="4" t="str">
        <f>IFERROR(__xludf.DUMMYFUNCTION("IF(OR($U1000="""",COUNTIF($I:$I,IFERROR(unique(filter(Prod_Prop!$H:$H,Prod_Prop!$G:$G=$U1000,Prod_Prop!$E:$E=Y$1)),""Check""))=0),"""",IFERROR(unique(filter(Prod_Prop!$H:$H,Prod_Prop!$G:$G=$U1000,Prod_Prop!$E:$E=Y$1)),""""))"),"")</f>
        <v/>
      </c>
      <c r="Z1000" s="4" t="str">
        <f>IF(Y1000="","",SUMIFS(Prod_Prop!$J:$J,Prod_Prop!$B:$B,$Q1000,Prod_Prop!$H:$H,Y1000,Prod_Prop!$I:$I,Z$1)*IF(Y1000="Peso",$R1000,1))</f>
        <v/>
      </c>
      <c r="AA1000" s="4" t="str">
        <f>IF(Y1000="","",SUMIFS(Prod_Prop!$J:$J,Prod_Prop!$B:$B,$Q1000,Prod_Prop!$H:$H,Y1000,Prod_Prop!$I:$I,AA$1)*IF(Y1000="Peso",$R1000,1))</f>
        <v/>
      </c>
      <c r="AB1000" s="4" t="str">
        <f>IFERROR(__xludf.DUMMYFUNCTION("IF(OR($U1000="""",COUNTIF($I:$I,IFERROR(unique(filter(Prod_Prop!$H:$H,Prod_Prop!$G:$G=$U1000,Prod_Prop!$E:$E=AB$1)),""Check""))=0),"""",IFERROR(unique(filter(Prod_Prop!$H:$H,Prod_Prop!$G:$G=$U1000,Prod_Prop!$E:$E=AB$1)),""""))"),"")</f>
        <v/>
      </c>
      <c r="AC1000" s="4" t="str">
        <f>IF(AB1000="","",SUMIFS(Prod_Prop!$J:$J,Prod_Prop!$B:$B,$Q1000,Prod_Prop!$H:$H,AB1000,Prod_Prop!$I:$I,AC$1)*IF(AB1000="Peso",$R1000,1))</f>
        <v/>
      </c>
      <c r="AD1000" s="4" t="str">
        <f>IF(AB1000="","",SUMIFS(Prod_Prop!$J:$J,Prod_Prop!$B:$B,$Q1000,Prod_Prop!$H:$H,AB1000,Prod_Prop!$I:$I,AD$1)*IF(AB1000="Peso",$R1000,1))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7.0"/>
    <col customWidth="1" min="3" max="5" width="9.75"/>
    <col customWidth="1" min="6" max="6" width="45.75"/>
    <col customWidth="1" min="7" max="7" width="10.63"/>
    <col customWidth="1" min="8" max="8" width="15.0"/>
    <col customWidth="1" min="9" max="22" width="11.25"/>
    <col customWidth="1" min="23" max="23" width="7.13"/>
    <col customWidth="1" min="24" max="24" width="38.0"/>
    <col customWidth="1" min="25" max="25" width="36.0"/>
    <col customWidth="1" min="26" max="27" width="29.0"/>
  </cols>
  <sheetData>
    <row r="1">
      <c r="A1" s="5" t="s">
        <v>5</v>
      </c>
      <c r="B1" s="5" t="s">
        <v>24</v>
      </c>
      <c r="C1" s="5" t="s">
        <v>15</v>
      </c>
      <c r="D1" s="5" t="s">
        <v>7</v>
      </c>
      <c r="E1" s="5" t="s">
        <v>25</v>
      </c>
      <c r="F1" s="5" t="s">
        <v>26</v>
      </c>
      <c r="G1" s="5" t="s">
        <v>18</v>
      </c>
      <c r="H1" s="9" t="s">
        <v>27</v>
      </c>
      <c r="I1" s="4" t="str">
        <f>IFERROR(__xludf.DUMMYFUNCTION("IF(F2="""","""",TRANSPOSE(unique(filter(Prod_Prop!H:H,(Prod_Prop!C:C=E2)+(Prod_Prop!C:C=10)))))"),"Capacidad")</f>
        <v>Capacidad</v>
      </c>
      <c r="J1" s="4" t="str">
        <f>IFERROR(__xludf.DUMMYFUNCTION("""COMPUTED_VALUE"""),"Peso")</f>
        <v>Peso</v>
      </c>
      <c r="K1" s="4" t="str">
        <f>IFERROR(__xludf.DUMMYFUNCTION("""COMPUTED_VALUE"""),"Longitud")</f>
        <v>Longitud</v>
      </c>
      <c r="L1" s="4" t="str">
        <f>IFERROR(__xludf.DUMMYFUNCTION("""COMPUTED_VALUE"""),"Altura")</f>
        <v>Altura</v>
      </c>
      <c r="M1" s="4" t="str">
        <f>IFERROR(__xludf.DUMMYFUNCTION("""COMPUTED_VALUE"""),"LongitudLat")</f>
        <v>LongitudLat</v>
      </c>
      <c r="N1" s="4" t="str">
        <f>IFERROR(__xludf.DUMMYFUNCTION("""COMPUTED_VALUE"""),"Elásticos")</f>
        <v>Elásticos</v>
      </c>
      <c r="O1" s="4" t="str">
        <f>IFERROR(__xludf.DUMMYFUNCTION("""COMPUTED_VALUE"""),"Llantas")</f>
        <v>Llantas</v>
      </c>
      <c r="P1" s="4" t="str">
        <f>IFERROR(__xludf.DUMMYFUNCTION("""COMPUTED_VALUE"""),"Ejes")</f>
        <v>Ejes</v>
      </c>
      <c r="Q1" s="4" t="str">
        <f>IFERROR(__xludf.DUMMYFUNCTION("""COMPUTED_VALUE"""),"Centro")</f>
        <v>Centro</v>
      </c>
      <c r="R1" s="4"/>
      <c r="S1" s="4"/>
      <c r="T1" s="4"/>
      <c r="U1" s="4"/>
      <c r="V1" s="4"/>
    </row>
    <row r="2">
      <c r="A2" s="2"/>
      <c r="B2" s="2"/>
      <c r="C2" s="2"/>
      <c r="D2" s="2" t="s">
        <v>5</v>
      </c>
      <c r="E2" s="2">
        <f>IF(OR(F2="",F2="Selecciona.."),"",IF(D2="Implemento",SUMIF(Implementos!B:B,F2,Implementos!A:A),SUMIF(Productos!E:E,F2,Productos!A:A)))</f>
        <v>6</v>
      </c>
      <c r="F2" s="2" t="s">
        <v>28</v>
      </c>
      <c r="G2" s="10"/>
      <c r="H2" s="11">
        <f>SUM(H4:H1002)</f>
        <v>4350979</v>
      </c>
      <c r="I2" s="8">
        <f t="shared" ref="I2:V2" si="1">IF(I1="","", IF(OR(I1="Longitud",I1="Peso",I1="Capacidad"),SUM(I4:I1002),max(I4:I1002)))</f>
        <v>5575</v>
      </c>
      <c r="J2" s="8">
        <f t="shared" si="1"/>
        <v>4841.25</v>
      </c>
      <c r="K2" s="8">
        <f t="shared" si="1"/>
        <v>4.95</v>
      </c>
      <c r="L2" s="8">
        <f t="shared" si="1"/>
        <v>870</v>
      </c>
      <c r="M2" s="4">
        <f t="shared" si="1"/>
        <v>0</v>
      </c>
      <c r="N2" s="4">
        <f t="shared" si="1"/>
        <v>0</v>
      </c>
      <c r="O2" s="4">
        <f t="shared" si="1"/>
        <v>0</v>
      </c>
      <c r="P2" s="4">
        <f t="shared" si="1"/>
        <v>0</v>
      </c>
      <c r="Q2" s="4">
        <f t="shared" si="1"/>
        <v>0</v>
      </c>
      <c r="R2" s="4" t="str">
        <f t="shared" si="1"/>
        <v/>
      </c>
      <c r="S2" s="4" t="str">
        <f t="shared" si="1"/>
        <v/>
      </c>
      <c r="T2" s="4" t="str">
        <f t="shared" si="1"/>
        <v/>
      </c>
      <c r="U2" s="4" t="str">
        <f t="shared" si="1"/>
        <v/>
      </c>
      <c r="V2" s="4" t="str">
        <f t="shared" si="1"/>
        <v/>
      </c>
    </row>
    <row r="3">
      <c r="A3" s="2"/>
      <c r="B3" s="2"/>
      <c r="C3" s="2"/>
      <c r="D3" s="2"/>
      <c r="E3" s="2"/>
      <c r="F3" s="2"/>
      <c r="G3" s="10"/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2" t="str">
        <f t="array" ref="A4">IF(E4="","",XLOOKUP(D4,'Validaciones Cotizador'!C:C,'Validaciones Cotizador'!A:A,"",0,1))</f>
        <v>Acoplados Rurales</v>
      </c>
      <c r="B4" s="2" t="str">
        <f t="array" ref="B4">IF(F4="","",XLOOKUP(F4,Productos!E:E,Productos!G:G,"",0,1))</f>
        <v>Tanques Metálicos para Acoplados</v>
      </c>
      <c r="C4" s="2">
        <f>IF(A4="","",SUMIFS('Validaciones Cotizador'!B:B,'Validaciones Cotizador'!C:C,D4,'Validaciones Cotizador'!A:A,A4))</f>
        <v>1</v>
      </c>
      <c r="D4" s="2">
        <v>1.0</v>
      </c>
      <c r="E4" s="2">
        <f>IF(OR(F4="",F4="Selecciona.."),"",IF(D4="Implemento",SUMIF(Implementos!B:B,F4,Implementos!A:A),SUMIF(Productos!E:E,F4,Productos!A:A)))</f>
        <v>56</v>
      </c>
      <c r="F4" s="2" t="s">
        <v>29</v>
      </c>
      <c r="G4" s="10">
        <f t="array" ref="G4">IF(OR(F4="",F4="-",F4="Selecciona..",F4="Finalizar"),"",IF(A4="Rodados",XLOOKUP(B4,'Validaciones Cotizador'!I:I,'Validaciones Cotizador'!J:J,0,0,1),1))</f>
        <v>1</v>
      </c>
      <c r="H4" s="11">
        <f>IF(OR(F4="",F4="Selecciona.."),"",SUMIF(Precio_Productos!K:K,E4,Precio_Productos!J:J)*G4)</f>
        <v>2953506</v>
      </c>
      <c r="I4" s="8">
        <f t="array" ref="I4">IF($E4="","", XLOOKUP(SUMIFS(Prod_Prop!$A:$A,Prod_Prop!$B:$B,$E4,Prod_Prop!$H:$H,I$1,Prod_Prop!$I:$I,"Exacto"),Prod_Prop!$A:$A,Prod_Prop!$J:$J,"",0,1))</f>
        <v>4000</v>
      </c>
      <c r="J4" s="8">
        <f t="array" ref="J4">IF($E4="","", XLOOKUP(SUMIFS(Prod_Prop!$A:$A,Prod_Prop!$B:$B,$E4,Prod_Prop!$H:$H,J$1,Prod_Prop!$I:$I,"Exacto"),Prod_Prop!$A:$A,Prod_Prop!$J:$J,"",0,1))</f>
        <v>3560</v>
      </c>
      <c r="K4" s="8">
        <f t="array" ref="K4">IF($E4="","", XLOOKUP(SUMIFS(Prod_Prop!$A:$A,Prod_Prop!$B:$B,$E4,Prod_Prop!$H:$H,K$1,Prod_Prop!$I:$I,"Exacto"),Prod_Prop!$A:$A,Prod_Prop!$J:$J,"",0,1))</f>
        <v>3.2</v>
      </c>
      <c r="L4" s="8">
        <f t="array" ref="L4">IF($E4="","", XLOOKUP(SUMIFS(Prod_Prop!$A:$A,Prod_Prop!$B:$B,$E4,Prod_Prop!$H:$H,L$1,Prod_Prop!$I:$I,"Exacto"),Prod_Prop!$A:$A,Prod_Prop!$J:$J,"",0,1))</f>
        <v>870</v>
      </c>
      <c r="M4" s="4" t="str">
        <f t="array" ref="M4">IF($E4="","", XLOOKUP(SUMIFS(Prod_Prop!$A:$A,Prod_Prop!$B:$B,$E4,Prod_Prop!$H:$H,M$1,Prod_Prop!$I:$I,"Exacto"),Prod_Prop!$A:$A,Prod_Prop!$J:$J,"",0,1))</f>
        <v/>
      </c>
      <c r="N4" s="4" t="str">
        <f t="array" ref="N4">IF($E4="","", XLOOKUP(SUMIFS(Prod_Prop!$A:$A,Prod_Prop!$B:$B,$E4,Prod_Prop!$H:$H,N$1,Prod_Prop!$I:$I,"Exacto"),Prod_Prop!$A:$A,Prod_Prop!$J:$J,"",0,1))</f>
        <v/>
      </c>
      <c r="O4" s="4" t="str">
        <f t="array" ref="O4">IF($E4="","", XLOOKUP(SUMIFS(Prod_Prop!$A:$A,Prod_Prop!$B:$B,$E4,Prod_Prop!$H:$H,O$1,Prod_Prop!$I:$I,"Exacto"),Prod_Prop!$A:$A,Prod_Prop!$J:$J,"",0,1))</f>
        <v/>
      </c>
      <c r="P4" s="4" t="str">
        <f t="array" ref="P4">IF($E4="","", XLOOKUP(SUMIFS(Prod_Prop!$A:$A,Prod_Prop!$B:$B,$E4,Prod_Prop!$H:$H,P$1,Prod_Prop!$I:$I,"Exacto"),Prod_Prop!$A:$A,Prod_Prop!$J:$J,"",0,1))</f>
        <v/>
      </c>
      <c r="Q4" s="4" t="str">
        <f t="array" ref="Q4">IF($E4="","", XLOOKUP(SUMIFS(Prod_Prop!$A:$A,Prod_Prop!$B:$B,$E4,Prod_Prop!$H:$H,Q$1,Prod_Prop!$I:$I,"Exacto"),Prod_Prop!$A:$A,Prod_Prop!$J:$J,"",0,1))</f>
        <v/>
      </c>
      <c r="R4" s="4" t="str">
        <f t="array" ref="R4">IF($E4="","", XLOOKUP(SUMIFS(Prod_Prop!$A:$A,Prod_Prop!$B:$B,$E4,Prod_Prop!$H:$H,R$1,Prod_Prop!$I:$I,"Exacto"),Prod_Prop!$A:$A,Prod_Prop!$J:$J,"",0,1))</f>
        <v/>
      </c>
      <c r="S4" s="4" t="str">
        <f t="array" ref="S4">IF($E4="","", XLOOKUP(SUMIFS(Prod_Prop!$A:$A,Prod_Prop!$B:$B,$E4,Prod_Prop!$H:$H,S$1,Prod_Prop!$I:$I,"Exacto"),Prod_Prop!$A:$A,Prod_Prop!$J:$J,"",0,1))</f>
        <v/>
      </c>
      <c r="T4" s="4" t="str">
        <f t="array" ref="T4">IF($E4="","", XLOOKUP(SUMIFS(Prod_Prop!$A:$A,Prod_Prop!$B:$B,$E4,Prod_Prop!$H:$H,T$1,Prod_Prop!$I:$I,"Exacto"),Prod_Prop!$A:$A,Prod_Prop!$J:$J,"",0,1))</f>
        <v/>
      </c>
      <c r="U4" s="4" t="str">
        <f t="array" ref="U4">IF($E4="","", XLOOKUP(SUMIFS(Prod_Prop!$A:$A,Prod_Prop!$B:$B,$E4,Prod_Prop!$H:$H,U$1,Prod_Prop!$I:$I,"Exacto"),Prod_Prop!$A:$A,Prod_Prop!$J:$J,"",0,1))</f>
        <v/>
      </c>
      <c r="V4" s="4" t="str">
        <f t="array" ref="V4">IF($E4="","", XLOOKUP(SUMIFS(Prod_Prop!$A:$A,Prod_Prop!$B:$B,$E4,Prod_Prop!$H:$H,V$1,Prod_Prop!$I:$I,"Exacto"),Prod_Prop!$A:$A,Prod_Prop!$J:$J,"",0,1))</f>
        <v/>
      </c>
      <c r="X4" s="3" t="str">
        <f>IFERROR(__xludf.DUMMYFUNCTION("IF(D4="""","""",IFERROR(TRANSPOSE(FILTER('Validaciones Cotizador'!U:U,'Validaciones Cotizador'!O:O=D4,'Validaciones Cotizador'!T:T=""x"")),""Finalizar""))"),"Tanque Combustible 1100 lts Bajo")</f>
        <v>Tanque Combustible 1100 lts Bajo</v>
      </c>
      <c r="Y4" s="3" t="str">
        <f>IFERROR(__xludf.DUMMYFUNCTION("""COMPUTED_VALUE"""),"Tanque Combustible 1500 lts Standard")</f>
        <v>Tanque Combustible 1500 lts Standard</v>
      </c>
      <c r="Z4" s="3" t="str">
        <f>IFERROR(__xludf.DUMMYFUNCTION("""COMPUTED_VALUE"""),"Tanque Combustible 1800 lts Standard")</f>
        <v>Tanque Combustible 1800 lts Standard</v>
      </c>
      <c r="AA4" s="3" t="str">
        <f>IFERROR(__xludf.DUMMYFUNCTION("""COMPUTED_VALUE"""),"Tanque Combustible 2000 lts Bajo")</f>
        <v>Tanque Combustible 2000 lts Bajo</v>
      </c>
      <c r="AB4" s="3" t="str">
        <f>IFERROR(__xludf.DUMMYFUNCTION("""COMPUTED_VALUE"""),"Tanque Combustible 2000 lts Standard")</f>
        <v>Tanque Combustible 2000 lts Standard</v>
      </c>
      <c r="AC4" s="3" t="str">
        <f>IFERROR(__xludf.DUMMYFUNCTION("""COMPUTED_VALUE"""),"Tanque Combustible 3000 lts Standard")</f>
        <v>Tanque Combustible 3000 lts Standard</v>
      </c>
      <c r="AD4" s="3" t="str">
        <f>IFERROR(__xludf.DUMMYFUNCTION("""COMPUTED_VALUE"""),"Tanque Combustible 3000 lts Alto")</f>
        <v>Tanque Combustible 3000 lts Alto</v>
      </c>
      <c r="AE4" s="3" t="str">
        <f>IFERROR(__xludf.DUMMYFUNCTION("""COMPUTED_VALUE"""),"Tanque Combustible 4000 lts Standard")</f>
        <v>Tanque Combustible 4000 lts Standard</v>
      </c>
      <c r="AF4" s="3" t="str">
        <f>IFERROR(__xludf.DUMMYFUNCTION("""COMPUTED_VALUE"""),"Tanque Combustible 5000 lts Standard")</f>
        <v>Tanque Combustible 5000 lts Standard</v>
      </c>
      <c r="AG4" s="3" t="str">
        <f>IFERROR(__xludf.DUMMYFUNCTION("""COMPUTED_VALUE"""),"Tanque Combustible 5000 lts Alto")</f>
        <v>Tanque Combustible 5000 lts Alto</v>
      </c>
      <c r="AH4" s="3" t="str">
        <f>IFERROR(__xludf.DUMMYFUNCTION("""COMPUTED_VALUE"""),"Tanque Combustible 2000 lts Alto")</f>
        <v>Tanque Combustible 2000 lts Alto</v>
      </c>
      <c r="AI4" s="3" t="str">
        <f>IFERROR(__xludf.DUMMYFUNCTION("""COMPUTED_VALUE"""),"Medio Tanque Plastico Superior 700 Lts")</f>
        <v>Medio Tanque Plastico Superior 700 Lts</v>
      </c>
      <c r="AJ4" s="3" t="str">
        <f>IFERROR(__xludf.DUMMYFUNCTION("""COMPUTED_VALUE"""),"Plataforma Playo 4.00 x 1.90 x 0.45 Lateral Simple Baranda Fija")</f>
        <v>Plataforma Playo 4.00 x 1.90 x 0.45 Lateral Simple Baranda Fija</v>
      </c>
      <c r="AK4" s="3" t="str">
        <f>IFERROR(__xludf.DUMMYFUNCTION("""COMPUTED_VALUE"""),"Plataforma Playo 4.00 x 1.90 x 0.45 Lateral Simple Baranda Ventilada")</f>
        <v>Plataforma Playo 4.00 x 1.90 x 0.45 Lateral Simple Baranda Ventilada</v>
      </c>
      <c r="AL4" s="3" t="str">
        <f>IFERROR(__xludf.DUMMYFUNCTION("""COMPUTED_VALUE"""),"Plataforma Playo 4.00 x 1.90 x 0.45 Lateral Doble Baranda Ventilada")</f>
        <v>Plataforma Playo 4.00 x 1.90 x 0.45 Lateral Doble Baranda Ventilada</v>
      </c>
      <c r="AM4" s="3" t="str">
        <f>IFERROR(__xludf.DUMMYFUNCTION("""COMPUTED_VALUE"""),"Plataforma Playo 4.00 x 1.90 x 0.45 Lateral Doble Baranda Fija")</f>
        <v>Plataforma Playo 4.00 x 1.90 x 0.45 Lateral Doble Baranda Fija</v>
      </c>
      <c r="AN4" s="3" t="str">
        <f>IFERROR(__xludf.DUMMYFUNCTION("""COMPUTED_VALUE"""),"Plataforma Playo 4.00 x 1.90 x 0.72 Lateral Simple Baranda Fija")</f>
        <v>Plataforma Playo 4.00 x 1.90 x 0.72 Lateral Simple Baranda Fija</v>
      </c>
      <c r="AO4" s="3" t="str">
        <f>IFERROR(__xludf.DUMMYFUNCTION("""COMPUTED_VALUE"""),"Plataforma Playo 4.00 x 1.90 x 0.72 Lateral Doble Baranda Fija")</f>
        <v>Plataforma Playo 4.00 x 1.90 x 0.72 Lateral Doble Baranda Fija</v>
      </c>
      <c r="AP4" s="3" t="str">
        <f>IFERROR(__xludf.DUMMYFUNCTION("""COMPUTED_VALUE"""),"Plataforma Playo 5.00 x 2.20 x 0.60 Lateral Doble Trasera Rebatible")</f>
        <v>Plataforma Playo 5.00 x 2.20 x 0.60 Lateral Doble Trasera Rebatible</v>
      </c>
      <c r="AQ4" s="3" t="str">
        <f>IFERROR(__xludf.DUMMYFUNCTION("""COMPUTED_VALUE"""),"Plataforma Playo 5.00 x 2.20 x 0.60 Lateral Doble Baranda Fija C/Toldo")</f>
        <v>Plataforma Playo 5.00 x 2.20 x 0.60 Lateral Doble Baranda Fija C/Toldo</v>
      </c>
      <c r="AR4" s="3" t="str">
        <f>IFERROR(__xludf.DUMMYFUNCTION("""COMPUTED_VALUE"""),"Plataforma Playo 3.00 x 1.90 x 0.45 Lateral Simple Baranda Fija")</f>
        <v>Plataforma Playo 3.00 x 1.90 x 0.45 Lateral Simple Baranda Fija</v>
      </c>
      <c r="AS4" s="3" t="str">
        <f>IFERROR(__xludf.DUMMYFUNCTION("""COMPUTED_VALUE"""),"Plataforma Playo 3.00 x 1.90 x 0.45 Lateral Simple Baranda Ventilada")</f>
        <v>Plataforma Playo 3.00 x 1.90 x 0.45 Lateral Simple Baranda Ventilada</v>
      </c>
      <c r="AT4" s="3" t="str">
        <f>IFERROR(__xludf.DUMMYFUNCTION("""COMPUTED_VALUE"""),"Plataforma Playo 2.00 x 1.90 x 0.45 Lateral Simple Baranda Fija")</f>
        <v>Plataforma Playo 2.00 x 1.90 x 0.45 Lateral Simple Baranda Fija</v>
      </c>
      <c r="AU4" s="3" t="str">
        <f>IFERROR(__xludf.DUMMYFUNCTION("""COMPUTED_VALUE"""),"Plataforma Playo 5.00 x 1.90 x 0.60 Lateral Doble Baranda Fija")</f>
        <v>Plataforma Playo 5.00 x 1.90 x 0.60 Lateral Doble Baranda Fija</v>
      </c>
      <c r="AV4" s="3" t="str">
        <f>IFERROR(__xludf.DUMMYFUNCTION("""COMPUTED_VALUE"""),"Plataforma Playo 6.40 x 2.70 x 0.72 Lateral Doble Baranda Fija")</f>
        <v>Plataforma Playo 6.40 x 2.70 x 0.72 Lateral Doble Baranda Fija</v>
      </c>
      <c r="AW4" s="3" t="str">
        <f>IFERROR(__xludf.DUMMYFUNCTION("""COMPUTED_VALUE"""),"-")</f>
        <v>-</v>
      </c>
    </row>
    <row r="5">
      <c r="A5" s="2" t="str">
        <f t="array" ref="A5">IF(E5="","",XLOOKUP(D5,'Validaciones Cotizador'!C:C,'Validaciones Cotizador'!A:A,"",0,1))</f>
        <v>Acoplados Rurales</v>
      </c>
      <c r="B5" s="2" t="str">
        <f t="array" ref="B5">IF(F5="","",XLOOKUP(F5,Productos!E:E,Productos!G:G,"",0,1))</f>
        <v>Tanques Plásticos para Acoplados</v>
      </c>
      <c r="C5" s="2">
        <f>IF(A5="","",SUMIFS('Validaciones Cotizador'!B:B,'Validaciones Cotizador'!C:C,D5,'Validaciones Cotizador'!A:A,A5))</f>
        <v>1</v>
      </c>
      <c r="D5" s="4">
        <f>IFERROR(__xludf.DUMMYFUNCTION("IF(OR(F4=""Finalizar"",F4="""",F4=""Selecciona..""),"""",IF(OR(F4=""-"",INDEX(filter(Familias!F:F,Familias!D:D=A4,Familias!E:E=C4),1)=""O""),D4+1,D4))"),1.0)</f>
        <v>1</v>
      </c>
      <c r="E5" s="2">
        <f>IF(OR(F5="",F5="Selecciona.."),"",IF(D5="Implemento",SUMIF(Implementos!B:B,F5,Implementos!A:A),SUMIF(Productos!E:E,F5,Productos!A:A)))</f>
        <v>92</v>
      </c>
      <c r="F5" s="2" t="s">
        <v>30</v>
      </c>
      <c r="G5" s="10">
        <f t="array" ref="G5">IF(OR(F5="",F5="-",F5="Selecciona..",F5="Finalizar"),"",IF(A5="Rodados",XLOOKUP(B5,'Validaciones Cotizador'!I:I,'Validaciones Cotizador'!J:J,0,0,1),1))</f>
        <v>1</v>
      </c>
      <c r="H5" s="11">
        <f>IF(OR(F5="",F5="Selecciona.."),"",SUMIF(Precio_Productos!K:K,E5,Precio_Productos!J:J)*G5)</f>
        <v>763553</v>
      </c>
      <c r="I5" s="8">
        <f t="array" ref="I5">IF($E5="","", XLOOKUP(SUMIFS(Prod_Prop!$A:$A,Prod_Prop!$B:$B,$E5,Prod_Prop!$H:$H,I$1,Prod_Prop!$I:$I,"Exacto"),Prod_Prop!$A:$A,Prod_Prop!$J:$J,"",0,1))</f>
        <v>750</v>
      </c>
      <c r="J5" s="8">
        <f t="array" ref="J5">IF($E5="","", XLOOKUP(SUMIFS(Prod_Prop!$A:$A,Prod_Prop!$B:$B,$E5,Prod_Prop!$H:$H,J$1,Prod_Prop!$I:$I,"Exacto"),Prod_Prop!$A:$A,Prod_Prop!$J:$J,"",0,1))</f>
        <v>800</v>
      </c>
      <c r="K5" s="8">
        <f t="array" ref="K5">IF($E5="","", XLOOKUP(SUMIFS(Prod_Prop!$A:$A,Prod_Prop!$B:$B,$E5,Prod_Prop!$H:$H,K$1,Prod_Prop!$I:$I,"Exacto"),Prod_Prop!$A:$A,Prod_Prop!$J:$J,"",0,1))</f>
        <v>1</v>
      </c>
      <c r="L5" s="8">
        <f t="array" ref="L5">IF($E5="","", XLOOKUP(SUMIFS(Prod_Prop!$A:$A,Prod_Prop!$B:$B,$E5,Prod_Prop!$H:$H,L$1,Prod_Prop!$I:$I,"Exacto"),Prod_Prop!$A:$A,Prod_Prop!$J:$J,"",0,1))</f>
        <v>870</v>
      </c>
      <c r="M5" s="4" t="str">
        <f t="array" ref="M5">IF($E5="","", XLOOKUP(SUMIFS(Prod_Prop!$A:$A,Prod_Prop!$B:$B,$E5,Prod_Prop!$H:$H,M$1,Prod_Prop!$I:$I,"Exacto"),Prod_Prop!$A:$A,Prod_Prop!$J:$J,"",0,1))</f>
        <v/>
      </c>
      <c r="N5" s="4" t="str">
        <f t="array" ref="N5">IF($E5="","", XLOOKUP(SUMIFS(Prod_Prop!$A:$A,Prod_Prop!$B:$B,$E5,Prod_Prop!$H:$H,N$1,Prod_Prop!$I:$I,"Exacto"),Prod_Prop!$A:$A,Prod_Prop!$J:$J,"",0,1))</f>
        <v/>
      </c>
      <c r="O5" s="4" t="str">
        <f t="array" ref="O5">IF($E5="","", XLOOKUP(SUMIFS(Prod_Prop!$A:$A,Prod_Prop!$B:$B,$E5,Prod_Prop!$H:$H,O$1,Prod_Prop!$I:$I,"Exacto"),Prod_Prop!$A:$A,Prod_Prop!$J:$J,"",0,1))</f>
        <v/>
      </c>
      <c r="P5" s="4" t="str">
        <f t="array" ref="P5">IF($E5="","", XLOOKUP(SUMIFS(Prod_Prop!$A:$A,Prod_Prop!$B:$B,$E5,Prod_Prop!$H:$H,P$1,Prod_Prop!$I:$I,"Exacto"),Prod_Prop!$A:$A,Prod_Prop!$J:$J,"",0,1))</f>
        <v/>
      </c>
      <c r="Q5" s="4" t="str">
        <f t="array" ref="Q5">IF($E5="","", XLOOKUP(SUMIFS(Prod_Prop!$A:$A,Prod_Prop!$B:$B,$E5,Prod_Prop!$H:$H,Q$1,Prod_Prop!$I:$I,"Exacto"),Prod_Prop!$A:$A,Prod_Prop!$J:$J,"",0,1))</f>
        <v/>
      </c>
      <c r="R5" s="4" t="str">
        <f t="array" ref="R5">IF($E5="","", XLOOKUP(SUMIFS(Prod_Prop!$A:$A,Prod_Prop!$B:$B,$E5,Prod_Prop!$H:$H,R$1,Prod_Prop!$I:$I,"Exacto"),Prod_Prop!$A:$A,Prod_Prop!$J:$J,"",0,1))</f>
        <v/>
      </c>
      <c r="S5" s="4" t="str">
        <f t="array" ref="S5">IF($E5="","", XLOOKUP(SUMIFS(Prod_Prop!$A:$A,Prod_Prop!$B:$B,$E5,Prod_Prop!$H:$H,S$1,Prod_Prop!$I:$I,"Exacto"),Prod_Prop!$A:$A,Prod_Prop!$J:$J,"",0,1))</f>
        <v/>
      </c>
      <c r="T5" s="4" t="str">
        <f t="array" ref="T5">IF($E5="","", XLOOKUP(SUMIFS(Prod_Prop!$A:$A,Prod_Prop!$B:$B,$E5,Prod_Prop!$H:$H,T$1,Prod_Prop!$I:$I,"Exacto"),Prod_Prop!$A:$A,Prod_Prop!$J:$J,"",0,1))</f>
        <v/>
      </c>
      <c r="U5" s="4" t="str">
        <f t="array" ref="U5">IF($E5="","", XLOOKUP(SUMIFS(Prod_Prop!$A:$A,Prod_Prop!$B:$B,$E5,Prod_Prop!$H:$H,U$1,Prod_Prop!$I:$I,"Exacto"),Prod_Prop!$A:$A,Prod_Prop!$J:$J,"",0,1))</f>
        <v/>
      </c>
      <c r="V5" s="4" t="str">
        <f t="array" ref="V5">IF($E5="","", XLOOKUP(SUMIFS(Prod_Prop!$A:$A,Prod_Prop!$B:$B,$E5,Prod_Prop!$H:$H,V$1,Prod_Prop!$I:$I,"Exacto"),Prod_Prop!$A:$A,Prod_Prop!$J:$J,"",0,1))</f>
        <v/>
      </c>
      <c r="X5" s="3" t="str">
        <f>IFERROR(__xludf.DUMMYFUNCTION("IF(D5="""","""",IFERROR(TRANSPOSE(FILTER('Validaciones Cotizador'!U:U,'Validaciones Cotizador'!O:O=D5,'Validaciones Cotizador'!T:T=""x"")),""Finalizar""))"),"Tanque Combustible 1100 lts Bajo")</f>
        <v>Tanque Combustible 1100 lts Bajo</v>
      </c>
      <c r="Y5" s="3" t="str">
        <f>IFERROR(__xludf.DUMMYFUNCTION("""COMPUTED_VALUE"""),"Tanque Combustible 1500 lts Standard")</f>
        <v>Tanque Combustible 1500 lts Standard</v>
      </c>
      <c r="Z5" s="3" t="str">
        <f>IFERROR(__xludf.DUMMYFUNCTION("""COMPUTED_VALUE"""),"Tanque Combustible 1800 lts Standard")</f>
        <v>Tanque Combustible 1800 lts Standard</v>
      </c>
      <c r="AA5" s="3" t="str">
        <f>IFERROR(__xludf.DUMMYFUNCTION("""COMPUTED_VALUE"""),"Tanque Combustible 2000 lts Bajo")</f>
        <v>Tanque Combustible 2000 lts Bajo</v>
      </c>
      <c r="AB5" s="3" t="str">
        <f>IFERROR(__xludf.DUMMYFUNCTION("""COMPUTED_VALUE"""),"Tanque Combustible 2000 lts Standard")</f>
        <v>Tanque Combustible 2000 lts Standard</v>
      </c>
      <c r="AC5" s="3" t="str">
        <f>IFERROR(__xludf.DUMMYFUNCTION("""COMPUTED_VALUE"""),"Tanque Combustible 3000 lts Standard")</f>
        <v>Tanque Combustible 3000 lts Standard</v>
      </c>
      <c r="AD5" s="3" t="str">
        <f>IFERROR(__xludf.DUMMYFUNCTION("""COMPUTED_VALUE"""),"Tanque Combustible 3000 lts Alto")</f>
        <v>Tanque Combustible 3000 lts Alto</v>
      </c>
      <c r="AE5" s="3" t="str">
        <f>IFERROR(__xludf.DUMMYFUNCTION("""COMPUTED_VALUE"""),"Tanque Combustible 4000 lts Standard")</f>
        <v>Tanque Combustible 4000 lts Standard</v>
      </c>
      <c r="AF5" s="3" t="str">
        <f>IFERROR(__xludf.DUMMYFUNCTION("""COMPUTED_VALUE"""),"Tanque Combustible 5000 lts Standard")</f>
        <v>Tanque Combustible 5000 lts Standard</v>
      </c>
      <c r="AG5" s="3" t="str">
        <f>IFERROR(__xludf.DUMMYFUNCTION("""COMPUTED_VALUE"""),"Tanque Combustible 5000 lts Alto")</f>
        <v>Tanque Combustible 5000 lts Alto</v>
      </c>
      <c r="AH5" s="3" t="str">
        <f>IFERROR(__xludf.DUMMYFUNCTION("""COMPUTED_VALUE"""),"Tanque Combustible 2000 lts Alto")</f>
        <v>Tanque Combustible 2000 lts Alto</v>
      </c>
      <c r="AI5" s="3" t="str">
        <f>IFERROR(__xludf.DUMMYFUNCTION("""COMPUTED_VALUE"""),"Medio Tanque Plastico Superior 700 Lts")</f>
        <v>Medio Tanque Plastico Superior 700 Lts</v>
      </c>
      <c r="AJ5" s="3" t="str">
        <f>IFERROR(__xludf.DUMMYFUNCTION("""COMPUTED_VALUE"""),"Plataforma Playo 4.00 x 1.90 x 0.45 Lateral Simple Baranda Fija")</f>
        <v>Plataforma Playo 4.00 x 1.90 x 0.45 Lateral Simple Baranda Fija</v>
      </c>
      <c r="AK5" s="3" t="str">
        <f>IFERROR(__xludf.DUMMYFUNCTION("""COMPUTED_VALUE"""),"Plataforma Playo 4.00 x 1.90 x 0.45 Lateral Simple Baranda Ventilada")</f>
        <v>Plataforma Playo 4.00 x 1.90 x 0.45 Lateral Simple Baranda Ventilada</v>
      </c>
      <c r="AL5" s="3" t="str">
        <f>IFERROR(__xludf.DUMMYFUNCTION("""COMPUTED_VALUE"""),"Plataforma Playo 4.00 x 1.90 x 0.45 Lateral Doble Baranda Ventilada")</f>
        <v>Plataforma Playo 4.00 x 1.90 x 0.45 Lateral Doble Baranda Ventilada</v>
      </c>
      <c r="AM5" s="3" t="str">
        <f>IFERROR(__xludf.DUMMYFUNCTION("""COMPUTED_VALUE"""),"Plataforma Playo 4.00 x 1.90 x 0.45 Lateral Doble Baranda Fija")</f>
        <v>Plataforma Playo 4.00 x 1.90 x 0.45 Lateral Doble Baranda Fija</v>
      </c>
      <c r="AN5" s="3" t="str">
        <f>IFERROR(__xludf.DUMMYFUNCTION("""COMPUTED_VALUE"""),"Plataforma Playo 4.00 x 1.90 x 0.72 Lateral Simple Baranda Fija")</f>
        <v>Plataforma Playo 4.00 x 1.90 x 0.72 Lateral Simple Baranda Fija</v>
      </c>
      <c r="AO5" s="3" t="str">
        <f>IFERROR(__xludf.DUMMYFUNCTION("""COMPUTED_VALUE"""),"Plataforma Playo 4.00 x 1.90 x 0.72 Lateral Doble Baranda Fija")</f>
        <v>Plataforma Playo 4.00 x 1.90 x 0.72 Lateral Doble Baranda Fija</v>
      </c>
      <c r="AP5" s="3" t="str">
        <f>IFERROR(__xludf.DUMMYFUNCTION("""COMPUTED_VALUE"""),"Plataforma Playo 5.00 x 2.20 x 0.60 Lateral Doble Trasera Rebatible")</f>
        <v>Plataforma Playo 5.00 x 2.20 x 0.60 Lateral Doble Trasera Rebatible</v>
      </c>
      <c r="AQ5" s="3" t="str">
        <f>IFERROR(__xludf.DUMMYFUNCTION("""COMPUTED_VALUE"""),"Plataforma Playo 5.00 x 2.20 x 0.60 Lateral Doble Baranda Fija C/Toldo")</f>
        <v>Plataforma Playo 5.00 x 2.20 x 0.60 Lateral Doble Baranda Fija C/Toldo</v>
      </c>
      <c r="AR5" s="3" t="str">
        <f>IFERROR(__xludf.DUMMYFUNCTION("""COMPUTED_VALUE"""),"Plataforma Playo 3.00 x 1.90 x 0.45 Lateral Simple Baranda Fija")</f>
        <v>Plataforma Playo 3.00 x 1.90 x 0.45 Lateral Simple Baranda Fija</v>
      </c>
      <c r="AS5" s="3" t="str">
        <f>IFERROR(__xludf.DUMMYFUNCTION("""COMPUTED_VALUE"""),"Plataforma Playo 3.00 x 1.90 x 0.45 Lateral Simple Baranda Ventilada")</f>
        <v>Plataforma Playo 3.00 x 1.90 x 0.45 Lateral Simple Baranda Ventilada</v>
      </c>
      <c r="AT5" s="3" t="str">
        <f>IFERROR(__xludf.DUMMYFUNCTION("""COMPUTED_VALUE"""),"Plataforma Playo 2.00 x 1.90 x 0.45 Lateral Simple Baranda Fija")</f>
        <v>Plataforma Playo 2.00 x 1.90 x 0.45 Lateral Simple Baranda Fija</v>
      </c>
      <c r="AU5" s="3" t="str">
        <f>IFERROR(__xludf.DUMMYFUNCTION("""COMPUTED_VALUE"""),"Plataforma Playo 5.00 x 1.90 x 0.60 Lateral Doble Baranda Fija")</f>
        <v>Plataforma Playo 5.00 x 1.90 x 0.60 Lateral Doble Baranda Fija</v>
      </c>
      <c r="AV5" s="3" t="str">
        <f>IFERROR(__xludf.DUMMYFUNCTION("""COMPUTED_VALUE"""),"Plataforma Playo 6.40 x 2.70 x 0.72 Lateral Doble Baranda Fija")</f>
        <v>Plataforma Playo 6.40 x 2.70 x 0.72 Lateral Doble Baranda Fija</v>
      </c>
      <c r="AW5" s="3" t="str">
        <f>IFERROR(__xludf.DUMMYFUNCTION("""COMPUTED_VALUE"""),"-")</f>
        <v>-</v>
      </c>
    </row>
    <row r="6">
      <c r="A6" s="2" t="str">
        <f t="array" ref="A6">IF(E6="","",XLOOKUP(D6,'Validaciones Cotizador'!C:C,'Validaciones Cotizador'!A:A,"",0,1))</f>
        <v>Acoplados Rurales</v>
      </c>
      <c r="B6" s="2" t="str">
        <f t="array" ref="B6">IF(F6="","",XLOOKUP(F6,Productos!E:E,Productos!G:G,"",0,1))</f>
        <v/>
      </c>
      <c r="C6" s="2">
        <f>IF(A6="","",SUMIFS('Validaciones Cotizador'!B:B,'Validaciones Cotizador'!C:C,D6,'Validaciones Cotizador'!A:A,A6))</f>
        <v>1</v>
      </c>
      <c r="D6" s="4">
        <f>IFERROR(__xludf.DUMMYFUNCTION("IF(OR(F5=""Finalizar"",F5="""",F5=""Selecciona..""),"""",IF(OR(F5=""-"",INDEX(filter(Familias!F:F,Familias!D:D=A5,Familias!E:E=C5),1)=""O""),D5+1,D5))"),1.0)</f>
        <v>1</v>
      </c>
      <c r="E6" s="2">
        <f>IF(OR(F6="",F6="Selecciona.."),"",IF(D6="Implemento",SUMIF(Implementos!B:B,F6,Implementos!A:A),SUMIF(Productos!E:E,F6,Productos!A:A)))</f>
        <v>0</v>
      </c>
      <c r="F6" s="2" t="s">
        <v>31</v>
      </c>
      <c r="G6" s="10" t="str">
        <f t="array" ref="G6">IF(OR(F6="",F6="-",F6="Selecciona..",F6="Finalizar"),"",IF(A6="Rodados",XLOOKUP(B6,'Validaciones Cotizador'!I:I,'Validaciones Cotizador'!J:J,0,0,1),1))</f>
        <v/>
      </c>
      <c r="H6" s="11">
        <f>IF(OR(F6="",F6="Selecciona.."),"",SUMIF(Precio_Productos!K:K,E6,Precio_Productos!J:J)*G6)</f>
        <v>0</v>
      </c>
      <c r="I6" s="4" t="str">
        <f t="array" ref="I6">IF($E6="","", XLOOKUP(SUMIFS(Prod_Prop!$A:$A,Prod_Prop!$B:$B,$E6,Prod_Prop!$H:$H,I$1,Prod_Prop!$I:$I,"Exacto"),Prod_Prop!$A:$A,Prod_Prop!$J:$J,"",0,1))</f>
        <v/>
      </c>
      <c r="J6" s="4" t="str">
        <f t="array" ref="J6">IF($E6="","", XLOOKUP(SUMIFS(Prod_Prop!$A:$A,Prod_Prop!$B:$B,$E6,Prod_Prop!$H:$H,J$1,Prod_Prop!$I:$I,"Exacto"),Prod_Prop!$A:$A,Prod_Prop!$J:$J,"",0,1))</f>
        <v/>
      </c>
      <c r="K6" s="4" t="str">
        <f t="array" ref="K6">IF($E6="","", XLOOKUP(SUMIFS(Prod_Prop!$A:$A,Prod_Prop!$B:$B,$E6,Prod_Prop!$H:$H,K$1,Prod_Prop!$I:$I,"Exacto"),Prod_Prop!$A:$A,Prod_Prop!$J:$J,"",0,1))</f>
        <v/>
      </c>
      <c r="L6" s="4" t="str">
        <f t="array" ref="L6">IF($E6="","", XLOOKUP(SUMIFS(Prod_Prop!$A:$A,Prod_Prop!$B:$B,$E6,Prod_Prop!$H:$H,L$1,Prod_Prop!$I:$I,"Exacto"),Prod_Prop!$A:$A,Prod_Prop!$J:$J,"",0,1))</f>
        <v/>
      </c>
      <c r="M6" s="4" t="str">
        <f t="array" ref="M6">IF($E6="","", XLOOKUP(SUMIFS(Prod_Prop!$A:$A,Prod_Prop!$B:$B,$E6,Prod_Prop!$H:$H,M$1,Prod_Prop!$I:$I,"Exacto"),Prod_Prop!$A:$A,Prod_Prop!$J:$J,"",0,1))</f>
        <v/>
      </c>
      <c r="N6" s="4" t="str">
        <f t="array" ref="N6">IF($E6="","", XLOOKUP(SUMIFS(Prod_Prop!$A:$A,Prod_Prop!$B:$B,$E6,Prod_Prop!$H:$H,N$1,Prod_Prop!$I:$I,"Exacto"),Prod_Prop!$A:$A,Prod_Prop!$J:$J,"",0,1))</f>
        <v/>
      </c>
      <c r="O6" s="4" t="str">
        <f t="array" ref="O6">IF($E6="","", XLOOKUP(SUMIFS(Prod_Prop!$A:$A,Prod_Prop!$B:$B,$E6,Prod_Prop!$H:$H,O$1,Prod_Prop!$I:$I,"Exacto"),Prod_Prop!$A:$A,Prod_Prop!$J:$J,"",0,1))</f>
        <v/>
      </c>
      <c r="P6" s="4" t="str">
        <f t="array" ref="P6">IF($E6="","", XLOOKUP(SUMIFS(Prod_Prop!$A:$A,Prod_Prop!$B:$B,$E6,Prod_Prop!$H:$H,P$1,Prod_Prop!$I:$I,"Exacto"),Prod_Prop!$A:$A,Prod_Prop!$J:$J,"",0,1))</f>
        <v/>
      </c>
      <c r="Q6" s="4" t="str">
        <f t="array" ref="Q6">IF($E6="","", XLOOKUP(SUMIFS(Prod_Prop!$A:$A,Prod_Prop!$B:$B,$E6,Prod_Prop!$H:$H,Q$1,Prod_Prop!$I:$I,"Exacto"),Prod_Prop!$A:$A,Prod_Prop!$J:$J,"",0,1))</f>
        <v/>
      </c>
      <c r="R6" s="4" t="str">
        <f t="array" ref="R6">IF($E6="","", XLOOKUP(SUMIFS(Prod_Prop!$A:$A,Prod_Prop!$B:$B,$E6,Prod_Prop!$H:$H,R$1,Prod_Prop!$I:$I,"Exacto"),Prod_Prop!$A:$A,Prod_Prop!$J:$J,"",0,1))</f>
        <v/>
      </c>
      <c r="S6" s="4" t="str">
        <f t="array" ref="S6">IF($E6="","", XLOOKUP(SUMIFS(Prod_Prop!$A:$A,Prod_Prop!$B:$B,$E6,Prod_Prop!$H:$H,S$1,Prod_Prop!$I:$I,"Exacto"),Prod_Prop!$A:$A,Prod_Prop!$J:$J,"",0,1))</f>
        <v/>
      </c>
      <c r="T6" s="4" t="str">
        <f t="array" ref="T6">IF($E6="","", XLOOKUP(SUMIFS(Prod_Prop!$A:$A,Prod_Prop!$B:$B,$E6,Prod_Prop!$H:$H,T$1,Prod_Prop!$I:$I,"Exacto"),Prod_Prop!$A:$A,Prod_Prop!$J:$J,"",0,1))</f>
        <v/>
      </c>
      <c r="U6" s="4" t="str">
        <f t="array" ref="U6">IF($E6="","", XLOOKUP(SUMIFS(Prod_Prop!$A:$A,Prod_Prop!$B:$B,$E6,Prod_Prop!$H:$H,U$1,Prod_Prop!$I:$I,"Exacto"),Prod_Prop!$A:$A,Prod_Prop!$J:$J,"",0,1))</f>
        <v/>
      </c>
      <c r="V6" s="4" t="str">
        <f t="array" ref="V6">IF($E6="","", XLOOKUP(SUMIFS(Prod_Prop!$A:$A,Prod_Prop!$B:$B,$E6,Prod_Prop!$H:$H,V$1,Prod_Prop!$I:$I,"Exacto"),Prod_Prop!$A:$A,Prod_Prop!$J:$J,"",0,1))</f>
        <v/>
      </c>
      <c r="X6" s="3" t="str">
        <f>IFERROR(__xludf.DUMMYFUNCTION("IF(D6="""","""",IFERROR(TRANSPOSE(FILTER('Validaciones Cotizador'!U:U,'Validaciones Cotizador'!O:O=D6,'Validaciones Cotizador'!T:T=""x"")),""Finalizar""))"),"Tanque Combustible 1100 lts Bajo")</f>
        <v>Tanque Combustible 1100 lts Bajo</v>
      </c>
      <c r="Y6" s="3" t="str">
        <f>IFERROR(__xludf.DUMMYFUNCTION("""COMPUTED_VALUE"""),"Tanque Combustible 1500 lts Standard")</f>
        <v>Tanque Combustible 1500 lts Standard</v>
      </c>
      <c r="Z6" s="3" t="str">
        <f>IFERROR(__xludf.DUMMYFUNCTION("""COMPUTED_VALUE"""),"Tanque Combustible 1800 lts Standard")</f>
        <v>Tanque Combustible 1800 lts Standard</v>
      </c>
      <c r="AA6" s="3" t="str">
        <f>IFERROR(__xludf.DUMMYFUNCTION("""COMPUTED_VALUE"""),"Tanque Combustible 2000 lts Bajo")</f>
        <v>Tanque Combustible 2000 lts Bajo</v>
      </c>
      <c r="AB6" s="3" t="str">
        <f>IFERROR(__xludf.DUMMYFUNCTION("""COMPUTED_VALUE"""),"Tanque Combustible 2000 lts Standard")</f>
        <v>Tanque Combustible 2000 lts Standard</v>
      </c>
      <c r="AC6" s="3" t="str">
        <f>IFERROR(__xludf.DUMMYFUNCTION("""COMPUTED_VALUE"""),"Tanque Combustible 3000 lts Standard")</f>
        <v>Tanque Combustible 3000 lts Standard</v>
      </c>
      <c r="AD6" s="3" t="str">
        <f>IFERROR(__xludf.DUMMYFUNCTION("""COMPUTED_VALUE"""),"Tanque Combustible 3000 lts Alto")</f>
        <v>Tanque Combustible 3000 lts Alto</v>
      </c>
      <c r="AE6" s="3" t="str">
        <f>IFERROR(__xludf.DUMMYFUNCTION("""COMPUTED_VALUE"""),"Tanque Combustible 4000 lts Standard")</f>
        <v>Tanque Combustible 4000 lts Standard</v>
      </c>
      <c r="AF6" s="3" t="str">
        <f>IFERROR(__xludf.DUMMYFUNCTION("""COMPUTED_VALUE"""),"Tanque Combustible 5000 lts Standard")</f>
        <v>Tanque Combustible 5000 lts Standard</v>
      </c>
      <c r="AG6" s="3" t="str">
        <f>IFERROR(__xludf.DUMMYFUNCTION("""COMPUTED_VALUE"""),"Tanque Combustible 5000 lts Alto")</f>
        <v>Tanque Combustible 5000 lts Alto</v>
      </c>
      <c r="AH6" s="3" t="str">
        <f>IFERROR(__xludf.DUMMYFUNCTION("""COMPUTED_VALUE"""),"Tanque Combustible 2000 lts Alto")</f>
        <v>Tanque Combustible 2000 lts Alto</v>
      </c>
      <c r="AI6" s="3" t="str">
        <f>IFERROR(__xludf.DUMMYFUNCTION("""COMPUTED_VALUE"""),"Medio Tanque Plastico Superior 700 Lts")</f>
        <v>Medio Tanque Plastico Superior 700 Lts</v>
      </c>
      <c r="AJ6" s="3" t="str">
        <f>IFERROR(__xludf.DUMMYFUNCTION("""COMPUTED_VALUE"""),"Plataforma Playo 4.00 x 1.90 x 0.45 Lateral Simple Baranda Fija")</f>
        <v>Plataforma Playo 4.00 x 1.90 x 0.45 Lateral Simple Baranda Fija</v>
      </c>
      <c r="AK6" s="3" t="str">
        <f>IFERROR(__xludf.DUMMYFUNCTION("""COMPUTED_VALUE"""),"Plataforma Playo 4.00 x 1.90 x 0.45 Lateral Simple Baranda Ventilada")</f>
        <v>Plataforma Playo 4.00 x 1.90 x 0.45 Lateral Simple Baranda Ventilada</v>
      </c>
      <c r="AL6" s="3" t="str">
        <f>IFERROR(__xludf.DUMMYFUNCTION("""COMPUTED_VALUE"""),"Plataforma Playo 4.00 x 1.90 x 0.45 Lateral Doble Baranda Ventilada")</f>
        <v>Plataforma Playo 4.00 x 1.90 x 0.45 Lateral Doble Baranda Ventilada</v>
      </c>
      <c r="AM6" s="3" t="str">
        <f>IFERROR(__xludf.DUMMYFUNCTION("""COMPUTED_VALUE"""),"Plataforma Playo 4.00 x 1.90 x 0.45 Lateral Doble Baranda Fija")</f>
        <v>Plataforma Playo 4.00 x 1.90 x 0.45 Lateral Doble Baranda Fija</v>
      </c>
      <c r="AN6" s="3" t="str">
        <f>IFERROR(__xludf.DUMMYFUNCTION("""COMPUTED_VALUE"""),"Plataforma Playo 4.00 x 1.90 x 0.72 Lateral Simple Baranda Fija")</f>
        <v>Plataforma Playo 4.00 x 1.90 x 0.72 Lateral Simple Baranda Fija</v>
      </c>
      <c r="AO6" s="3" t="str">
        <f>IFERROR(__xludf.DUMMYFUNCTION("""COMPUTED_VALUE"""),"Plataforma Playo 4.00 x 1.90 x 0.72 Lateral Doble Baranda Fija")</f>
        <v>Plataforma Playo 4.00 x 1.90 x 0.72 Lateral Doble Baranda Fija</v>
      </c>
      <c r="AP6" s="3" t="str">
        <f>IFERROR(__xludf.DUMMYFUNCTION("""COMPUTED_VALUE"""),"Plataforma Playo 5.00 x 2.20 x 0.60 Lateral Doble Trasera Rebatible")</f>
        <v>Plataforma Playo 5.00 x 2.20 x 0.60 Lateral Doble Trasera Rebatible</v>
      </c>
      <c r="AQ6" s="3" t="str">
        <f>IFERROR(__xludf.DUMMYFUNCTION("""COMPUTED_VALUE"""),"Plataforma Playo 5.00 x 2.20 x 0.60 Lateral Doble Baranda Fija C/Toldo")</f>
        <v>Plataforma Playo 5.00 x 2.20 x 0.60 Lateral Doble Baranda Fija C/Toldo</v>
      </c>
      <c r="AR6" s="3" t="str">
        <f>IFERROR(__xludf.DUMMYFUNCTION("""COMPUTED_VALUE"""),"Plataforma Playo 3.00 x 1.90 x 0.45 Lateral Simple Baranda Fija")</f>
        <v>Plataforma Playo 3.00 x 1.90 x 0.45 Lateral Simple Baranda Fija</v>
      </c>
      <c r="AS6" s="3" t="str">
        <f>IFERROR(__xludf.DUMMYFUNCTION("""COMPUTED_VALUE"""),"Plataforma Playo 3.00 x 1.90 x 0.45 Lateral Simple Baranda Ventilada")</f>
        <v>Plataforma Playo 3.00 x 1.90 x 0.45 Lateral Simple Baranda Ventilada</v>
      </c>
      <c r="AT6" s="3" t="str">
        <f>IFERROR(__xludf.DUMMYFUNCTION("""COMPUTED_VALUE"""),"Plataforma Playo 2.00 x 1.90 x 0.45 Lateral Simple Baranda Fija")</f>
        <v>Plataforma Playo 2.00 x 1.90 x 0.45 Lateral Simple Baranda Fija</v>
      </c>
      <c r="AU6" s="3" t="str">
        <f>IFERROR(__xludf.DUMMYFUNCTION("""COMPUTED_VALUE"""),"Plataforma Playo 5.00 x 1.90 x 0.60 Lateral Doble Baranda Fija")</f>
        <v>Plataforma Playo 5.00 x 1.90 x 0.60 Lateral Doble Baranda Fija</v>
      </c>
      <c r="AV6" s="3" t="str">
        <f>IFERROR(__xludf.DUMMYFUNCTION("""COMPUTED_VALUE"""),"Plataforma Playo 6.40 x 2.70 x 0.72 Lateral Doble Baranda Fija")</f>
        <v>Plataforma Playo 6.40 x 2.70 x 0.72 Lateral Doble Baranda Fija</v>
      </c>
      <c r="AW6" s="3" t="str">
        <f>IFERROR(__xludf.DUMMYFUNCTION("""COMPUTED_VALUE"""),"-")</f>
        <v>-</v>
      </c>
    </row>
    <row r="7">
      <c r="A7" s="2" t="str">
        <f t="array" ref="A7">IF(E7="","",XLOOKUP(D7,'Validaciones Cotizador'!C:C,'Validaciones Cotizador'!A:A,"",0,1))</f>
        <v>Acoplados Rurales</v>
      </c>
      <c r="B7" s="2" t="str">
        <f t="array" ref="B7">IF(F7="","",XLOOKUP(F7,Productos!E:E,Productos!G:G,"",0,1))</f>
        <v>Cajones para Acoplados</v>
      </c>
      <c r="C7" s="2">
        <f>IF(A7="","",SUMIFS('Validaciones Cotizador'!B:B,'Validaciones Cotizador'!C:C,D7,'Validaciones Cotizador'!A:A,A7))</f>
        <v>2</v>
      </c>
      <c r="D7" s="4">
        <f>IFERROR(__xludf.DUMMYFUNCTION("IF(OR(F6=""Finalizar"",F6="""",F6=""Selecciona..""),"""",IF(OR(F6=""-"",INDEX(filter(Familias!F:F,Familias!D:D=A6,Familias!E:E=C6),1)=""O""),D6+1,D6))"),2.0)</f>
        <v>2</v>
      </c>
      <c r="E7" s="2">
        <f>IF(OR(F7="",F7="Selecciona.."),"",IF(D7="Implemento",SUMIF(Implementos!B:B,F7,Implementos!A:A),SUMIF(Productos!E:E,F7,Productos!A:A)))</f>
        <v>57</v>
      </c>
      <c r="F7" s="2" t="s">
        <v>32</v>
      </c>
      <c r="G7" s="10">
        <f t="array" ref="G7">IF(OR(F7="",F7="-",F7="Selecciona..",F7="Finalizar"),"",IF(A7="Rodados",XLOOKUP(B7,'Validaciones Cotizador'!I:I,'Validaciones Cotizador'!J:J,0,0,1),1))</f>
        <v>1</v>
      </c>
      <c r="H7" s="11">
        <f>IF(OR(F7="",F7="Selecciona.."),"",SUMIF(Precio_Productos!K:K,E7,Precio_Productos!J:J)*G7)</f>
        <v>633920</v>
      </c>
      <c r="I7" s="8">
        <f t="array" ref="I7">IF($E7="","", XLOOKUP(SUMIFS(Prod_Prop!$A:$A,Prod_Prop!$B:$B,$E7,Prod_Prop!$H:$H,I$1,Prod_Prop!$I:$I,"Exacto"),Prod_Prop!$A:$A,Prod_Prop!$J:$J,"",0,1))</f>
        <v>825</v>
      </c>
      <c r="J7" s="8">
        <f t="array" ref="J7">IF($E7="","", XLOOKUP(SUMIFS(Prod_Prop!$A:$A,Prod_Prop!$B:$B,$E7,Prod_Prop!$H:$H,J$1,Prod_Prop!$I:$I,"Exacto"),Prod_Prop!$A:$A,Prod_Prop!$J:$J,"",0,1))</f>
        <v>481.25</v>
      </c>
      <c r="K7" s="8">
        <f t="array" ref="K7">IF($E7="","", XLOOKUP(SUMIFS(Prod_Prop!$A:$A,Prod_Prop!$B:$B,$E7,Prod_Prop!$H:$H,K$1,Prod_Prop!$I:$I,"Exacto"),Prod_Prop!$A:$A,Prod_Prop!$J:$J,"",0,1))</f>
        <v>0.75</v>
      </c>
      <c r="L7" s="8">
        <f t="array" ref="L7">IF($E7="","", XLOOKUP(SUMIFS(Prod_Prop!$A:$A,Prod_Prop!$B:$B,$E7,Prod_Prop!$H:$H,L$1,Prod_Prop!$I:$I,"Exacto"),Prod_Prop!$A:$A,Prod_Prop!$J:$J,"",0,1))</f>
        <v>770</v>
      </c>
      <c r="M7" s="4" t="str">
        <f t="array" ref="M7">IF($E7="","", XLOOKUP(SUMIFS(Prod_Prop!$A:$A,Prod_Prop!$B:$B,$E7,Prod_Prop!$H:$H,M$1,Prod_Prop!$I:$I,"Exacto"),Prod_Prop!$A:$A,Prod_Prop!$J:$J,"",0,1))</f>
        <v/>
      </c>
      <c r="N7" s="4" t="str">
        <f t="array" ref="N7">IF($E7="","", XLOOKUP(SUMIFS(Prod_Prop!$A:$A,Prod_Prop!$B:$B,$E7,Prod_Prop!$H:$H,N$1,Prod_Prop!$I:$I,"Exacto"),Prod_Prop!$A:$A,Prod_Prop!$J:$J,"",0,1))</f>
        <v/>
      </c>
      <c r="O7" s="4" t="str">
        <f t="array" ref="O7">IF($E7="","", XLOOKUP(SUMIFS(Prod_Prop!$A:$A,Prod_Prop!$B:$B,$E7,Prod_Prop!$H:$H,O$1,Prod_Prop!$I:$I,"Exacto"),Prod_Prop!$A:$A,Prod_Prop!$J:$J,"",0,1))</f>
        <v/>
      </c>
      <c r="P7" s="4" t="str">
        <f t="array" ref="P7">IF($E7="","", XLOOKUP(SUMIFS(Prod_Prop!$A:$A,Prod_Prop!$B:$B,$E7,Prod_Prop!$H:$H,P$1,Prod_Prop!$I:$I,"Exacto"),Prod_Prop!$A:$A,Prod_Prop!$J:$J,"",0,1))</f>
        <v/>
      </c>
      <c r="Q7" s="4" t="str">
        <f t="array" ref="Q7">IF($E7="","", XLOOKUP(SUMIFS(Prod_Prop!$A:$A,Prod_Prop!$B:$B,$E7,Prod_Prop!$H:$H,Q$1,Prod_Prop!$I:$I,"Exacto"),Prod_Prop!$A:$A,Prod_Prop!$J:$J,"",0,1))</f>
        <v/>
      </c>
      <c r="R7" s="4" t="str">
        <f t="array" ref="R7">IF($E7="","", XLOOKUP(SUMIFS(Prod_Prop!$A:$A,Prod_Prop!$B:$B,$E7,Prod_Prop!$H:$H,R$1,Prod_Prop!$I:$I,"Exacto"),Prod_Prop!$A:$A,Prod_Prop!$J:$J,"",0,1))</f>
        <v/>
      </c>
      <c r="S7" s="4" t="str">
        <f t="array" ref="S7">IF($E7="","", XLOOKUP(SUMIFS(Prod_Prop!$A:$A,Prod_Prop!$B:$B,$E7,Prod_Prop!$H:$H,S$1,Prod_Prop!$I:$I,"Exacto"),Prod_Prop!$A:$A,Prod_Prop!$J:$J,"",0,1))</f>
        <v/>
      </c>
      <c r="T7" s="4" t="str">
        <f t="array" ref="T7">IF($E7="","", XLOOKUP(SUMIFS(Prod_Prop!$A:$A,Prod_Prop!$B:$B,$E7,Prod_Prop!$H:$H,T$1,Prod_Prop!$I:$I,"Exacto"),Prod_Prop!$A:$A,Prod_Prop!$J:$J,"",0,1))</f>
        <v/>
      </c>
      <c r="U7" s="4" t="str">
        <f t="array" ref="U7">IF($E7="","", XLOOKUP(SUMIFS(Prod_Prop!$A:$A,Prod_Prop!$B:$B,$E7,Prod_Prop!$H:$H,U$1,Prod_Prop!$I:$I,"Exacto"),Prod_Prop!$A:$A,Prod_Prop!$J:$J,"",0,1))</f>
        <v/>
      </c>
      <c r="V7" s="4" t="str">
        <f t="array" ref="V7">IF($E7="","", XLOOKUP(SUMIFS(Prod_Prop!$A:$A,Prod_Prop!$B:$B,$E7,Prod_Prop!$H:$H,V$1,Prod_Prop!$I:$I,"Exacto"),Prod_Prop!$A:$A,Prod_Prop!$J:$J,"",0,1))</f>
        <v/>
      </c>
      <c r="X7" s="3" t="str">
        <f>IFERROR(__xludf.DUMMYFUNCTION("IF(D7="""","""",IFERROR(TRANSPOSE(FILTER('Validaciones Cotizador'!U:U,'Validaciones Cotizador'!O:O=D7,'Validaciones Cotizador'!T:T=""x"")),""Finalizar""))"),"Baulera Standard - 1700 - C/Laterales")</f>
        <v>Baulera Standard - 1700 - C/Laterales</v>
      </c>
      <c r="Y7" s="3" t="str">
        <f>IFERROR(__xludf.DUMMYFUNCTION("""COMPUTED_VALUE"""),"Baulera Standard - 1000 - C/Laterales")</f>
        <v>Baulera Standard - 1000 - C/Laterales</v>
      </c>
      <c r="Z7" s="3" t="str">
        <f>IFERROR(__xludf.DUMMYFUNCTION("""COMPUTED_VALUE"""),"Baulera Standard - 750 - C/Laterales")</f>
        <v>Baulera Standard - 750 - C/Laterales</v>
      </c>
      <c r="AA7" s="3" t="str">
        <f>IFERROR(__xludf.DUMMYFUNCTION("""COMPUTED_VALUE"""),"Baulera Standard - 1300 - C/Laterales")</f>
        <v>Baulera Standard - 1300 - C/Laterales</v>
      </c>
      <c r="AB7" s="3" t="str">
        <f>IFERROR(__xludf.DUMMYFUNCTION("""COMPUTED_VALUE"""),"Baulera Alta - 750")</f>
        <v>Baulera Alta - 750</v>
      </c>
      <c r="AC7" s="3" t="str">
        <f>IFERROR(__xludf.DUMMYFUNCTION("""COMPUTED_VALUE"""),"Baulera Alta - 1500 - C/Laterales")</f>
        <v>Baulera Alta - 1500 - C/Laterales</v>
      </c>
      <c r="AD7" s="3" t="str">
        <f>IFERROR(__xludf.DUMMYFUNCTION("""COMPUTED_VALUE"""),"Baulera Extendida 1700 - C/Laterales")</f>
        <v>Baulera Extendida 1700 - C/Laterales</v>
      </c>
      <c r="AE7" s="3" t="str">
        <f>IFERROR(__xludf.DUMMYFUNCTION("""COMPUTED_VALUE"""),"Taller Móvil - 1500 x 1500 x 1700")</f>
        <v>Taller Móvil - 1500 x 1500 x 1700</v>
      </c>
      <c r="AF7" s="3" t="str">
        <f>IFERROR(__xludf.DUMMYFUNCTION("""COMPUTED_VALUE"""),"Cajón de Herramientas Mediano adelante")</f>
        <v>Cajón de Herramientas Mediano adelante</v>
      </c>
      <c r="AG7" s="3" t="str">
        <f>IFERROR(__xludf.DUMMYFUNCTION("""COMPUTED_VALUE"""),"-")</f>
        <v>-</v>
      </c>
    </row>
    <row r="8">
      <c r="A8" s="2" t="str">
        <f t="array" ref="A8">IF(E8="","",XLOOKUP(D8,'Validaciones Cotizador'!C:C,'Validaciones Cotizador'!A:A,"",0,1))</f>
        <v>Acoplados Rurales</v>
      </c>
      <c r="B8" s="2" t="str">
        <f t="array" ref="B8">IF(F8="","",XLOOKUP(F8,Productos!E:E,Productos!G:G,"",0,1))</f>
        <v/>
      </c>
      <c r="C8" s="2">
        <f>IF(A8="","",SUMIFS('Validaciones Cotizador'!B:B,'Validaciones Cotizador'!C:C,D8,'Validaciones Cotizador'!A:A,A8))</f>
        <v>2</v>
      </c>
      <c r="D8" s="4">
        <f>IFERROR(__xludf.DUMMYFUNCTION("IF(OR(F7=""Finalizar"",F7="""",F7=""Selecciona..""),"""",IF(OR(F7=""-"",INDEX(filter(Familias!F:F,Familias!D:D=A7,Familias!E:E=C7),1)=""O""),D7+1,D7))"),2.0)</f>
        <v>2</v>
      </c>
      <c r="E8" s="2">
        <f>IF(OR(F8="",F8="Selecciona.."),"",IF(D8="Implemento",SUMIF(Implementos!B:B,F8,Implementos!A:A),SUMIF(Productos!E:E,F8,Productos!A:A)))</f>
        <v>0</v>
      </c>
      <c r="F8" s="2" t="s">
        <v>31</v>
      </c>
      <c r="G8" s="10" t="str">
        <f t="array" ref="G8">IF(OR(F8="",F8="-",F8="Selecciona..",F8="Finalizar"),"",IF(A8="Rodados",XLOOKUP(B8,'Validaciones Cotizador'!I:I,'Validaciones Cotizador'!J:J,0,0,1),1))</f>
        <v/>
      </c>
      <c r="H8" s="11">
        <f>IF(OR(F8="",F8="Selecciona.."),"",SUMIF(Precio_Productos!K:K,E8,Precio_Productos!J:J)*G8)</f>
        <v>0</v>
      </c>
      <c r="I8" s="4" t="str">
        <f t="array" ref="I8">IF($E8="","", XLOOKUP(SUMIFS(Prod_Prop!$A:$A,Prod_Prop!$B:$B,$E8,Prod_Prop!$H:$H,I$1,Prod_Prop!$I:$I,"Exacto"),Prod_Prop!$A:$A,Prod_Prop!$J:$J,"",0,1))</f>
        <v/>
      </c>
      <c r="J8" s="4" t="str">
        <f t="array" ref="J8">IF($E8="","", XLOOKUP(SUMIFS(Prod_Prop!$A:$A,Prod_Prop!$B:$B,$E8,Prod_Prop!$H:$H,J$1,Prod_Prop!$I:$I,"Exacto"),Prod_Prop!$A:$A,Prod_Prop!$J:$J,"",0,1))</f>
        <v/>
      </c>
      <c r="K8" s="4" t="str">
        <f t="array" ref="K8">IF($E8="","", XLOOKUP(SUMIFS(Prod_Prop!$A:$A,Prod_Prop!$B:$B,$E8,Prod_Prop!$H:$H,K$1,Prod_Prop!$I:$I,"Exacto"),Prod_Prop!$A:$A,Prod_Prop!$J:$J,"",0,1))</f>
        <v/>
      </c>
      <c r="L8" s="4" t="str">
        <f t="array" ref="L8">IF($E8="","", XLOOKUP(SUMIFS(Prod_Prop!$A:$A,Prod_Prop!$B:$B,$E8,Prod_Prop!$H:$H,L$1,Prod_Prop!$I:$I,"Exacto"),Prod_Prop!$A:$A,Prod_Prop!$J:$J,"",0,1))</f>
        <v/>
      </c>
      <c r="M8" s="4" t="str">
        <f t="array" ref="M8">IF($E8="","", XLOOKUP(SUMIFS(Prod_Prop!$A:$A,Prod_Prop!$B:$B,$E8,Prod_Prop!$H:$H,M$1,Prod_Prop!$I:$I,"Exacto"),Prod_Prop!$A:$A,Prod_Prop!$J:$J,"",0,1))</f>
        <v/>
      </c>
      <c r="N8" s="4" t="str">
        <f t="array" ref="N8">IF($E8="","", XLOOKUP(SUMIFS(Prod_Prop!$A:$A,Prod_Prop!$B:$B,$E8,Prod_Prop!$H:$H,N$1,Prod_Prop!$I:$I,"Exacto"),Prod_Prop!$A:$A,Prod_Prop!$J:$J,"",0,1))</f>
        <v/>
      </c>
      <c r="O8" s="4" t="str">
        <f t="array" ref="O8">IF($E8="","", XLOOKUP(SUMIFS(Prod_Prop!$A:$A,Prod_Prop!$B:$B,$E8,Prod_Prop!$H:$H,O$1,Prod_Prop!$I:$I,"Exacto"),Prod_Prop!$A:$A,Prod_Prop!$J:$J,"",0,1))</f>
        <v/>
      </c>
      <c r="P8" s="4" t="str">
        <f t="array" ref="P8">IF($E8="","", XLOOKUP(SUMIFS(Prod_Prop!$A:$A,Prod_Prop!$B:$B,$E8,Prod_Prop!$H:$H,P$1,Prod_Prop!$I:$I,"Exacto"),Prod_Prop!$A:$A,Prod_Prop!$J:$J,"",0,1))</f>
        <v/>
      </c>
      <c r="Q8" s="4" t="str">
        <f t="array" ref="Q8">IF($E8="","", XLOOKUP(SUMIFS(Prod_Prop!$A:$A,Prod_Prop!$B:$B,$E8,Prod_Prop!$H:$H,Q$1,Prod_Prop!$I:$I,"Exacto"),Prod_Prop!$A:$A,Prod_Prop!$J:$J,"",0,1))</f>
        <v/>
      </c>
      <c r="R8" s="4" t="str">
        <f t="array" ref="R8">IF($E8="","", XLOOKUP(SUMIFS(Prod_Prop!$A:$A,Prod_Prop!$B:$B,$E8,Prod_Prop!$H:$H,R$1,Prod_Prop!$I:$I,"Exacto"),Prod_Prop!$A:$A,Prod_Prop!$J:$J,"",0,1))</f>
        <v/>
      </c>
      <c r="S8" s="4" t="str">
        <f t="array" ref="S8">IF($E8="","", XLOOKUP(SUMIFS(Prod_Prop!$A:$A,Prod_Prop!$B:$B,$E8,Prod_Prop!$H:$H,S$1,Prod_Prop!$I:$I,"Exacto"),Prod_Prop!$A:$A,Prod_Prop!$J:$J,"",0,1))</f>
        <v/>
      </c>
      <c r="T8" s="4" t="str">
        <f t="array" ref="T8">IF($E8="","", XLOOKUP(SUMIFS(Prod_Prop!$A:$A,Prod_Prop!$B:$B,$E8,Prod_Prop!$H:$H,T$1,Prod_Prop!$I:$I,"Exacto"),Prod_Prop!$A:$A,Prod_Prop!$J:$J,"",0,1))</f>
        <v/>
      </c>
      <c r="U8" s="4" t="str">
        <f t="array" ref="U8">IF($E8="","", XLOOKUP(SUMIFS(Prod_Prop!$A:$A,Prod_Prop!$B:$B,$E8,Prod_Prop!$H:$H,U$1,Prod_Prop!$I:$I,"Exacto"),Prod_Prop!$A:$A,Prod_Prop!$J:$J,"",0,1))</f>
        <v/>
      </c>
      <c r="V8" s="4" t="str">
        <f t="array" ref="V8">IF($E8="","", XLOOKUP(SUMIFS(Prod_Prop!$A:$A,Prod_Prop!$B:$B,$E8,Prod_Prop!$H:$H,V$1,Prod_Prop!$I:$I,"Exacto"),Prod_Prop!$A:$A,Prod_Prop!$J:$J,"",0,1))</f>
        <v/>
      </c>
      <c r="X8" s="3" t="str">
        <f>IFERROR(__xludf.DUMMYFUNCTION("IF(D8="""","""",IFERROR(TRANSPOSE(FILTER('Validaciones Cotizador'!U:U,'Validaciones Cotizador'!O:O=D8,'Validaciones Cotizador'!T:T=""x"")),""Finalizar""))"),"Baulera Standard - 1700 - C/Laterales")</f>
        <v>Baulera Standard - 1700 - C/Laterales</v>
      </c>
      <c r="Y8" s="3" t="str">
        <f>IFERROR(__xludf.DUMMYFUNCTION("""COMPUTED_VALUE"""),"Baulera Standard - 1000 - C/Laterales")</f>
        <v>Baulera Standard - 1000 - C/Laterales</v>
      </c>
      <c r="Z8" s="3" t="str">
        <f>IFERROR(__xludf.DUMMYFUNCTION("""COMPUTED_VALUE"""),"Baulera Standard - 750 - C/Laterales")</f>
        <v>Baulera Standard - 750 - C/Laterales</v>
      </c>
      <c r="AA8" s="3" t="str">
        <f>IFERROR(__xludf.DUMMYFUNCTION("""COMPUTED_VALUE"""),"Baulera Standard - 1300 - C/Laterales")</f>
        <v>Baulera Standard - 1300 - C/Laterales</v>
      </c>
      <c r="AB8" s="3" t="str">
        <f>IFERROR(__xludf.DUMMYFUNCTION("""COMPUTED_VALUE"""),"Baulera Alta - 750")</f>
        <v>Baulera Alta - 750</v>
      </c>
      <c r="AC8" s="3" t="str">
        <f>IFERROR(__xludf.DUMMYFUNCTION("""COMPUTED_VALUE"""),"Baulera Alta - 1500 - C/Laterales")</f>
        <v>Baulera Alta - 1500 - C/Laterales</v>
      </c>
      <c r="AD8" s="3" t="str">
        <f>IFERROR(__xludf.DUMMYFUNCTION("""COMPUTED_VALUE"""),"Baulera Extendida 1700 - C/Laterales")</f>
        <v>Baulera Extendida 1700 - C/Laterales</v>
      </c>
      <c r="AE8" s="3" t="str">
        <f>IFERROR(__xludf.DUMMYFUNCTION("""COMPUTED_VALUE"""),"Taller Móvil - 1500 x 1500 x 1700")</f>
        <v>Taller Móvil - 1500 x 1500 x 1700</v>
      </c>
      <c r="AF8" s="3" t="str">
        <f>IFERROR(__xludf.DUMMYFUNCTION("""COMPUTED_VALUE"""),"Cajón de Herramientas Mediano adelante")</f>
        <v>Cajón de Herramientas Mediano adelante</v>
      </c>
      <c r="AG8" s="3" t="str">
        <f>IFERROR(__xludf.DUMMYFUNCTION("""COMPUTED_VALUE"""),"-")</f>
        <v>-</v>
      </c>
    </row>
    <row r="9">
      <c r="A9" s="2" t="str">
        <f t="array" ref="A9">IF(E9="","",XLOOKUP(D9,'Validaciones Cotizador'!C:C,'Validaciones Cotizador'!A:A,"",0,1))</f>
        <v/>
      </c>
      <c r="B9" s="2" t="str">
        <f t="array" ref="B9">IF(F9="","",XLOOKUP(F9,Productos!E:E,Productos!G:G,"",0,1))</f>
        <v/>
      </c>
      <c r="C9" s="2" t="str">
        <f>IF(A9="","",SUMIFS('Validaciones Cotizador'!B:B,'Validaciones Cotizador'!C:C,D9,'Validaciones Cotizador'!A:A,A9))</f>
        <v/>
      </c>
      <c r="D9" s="4">
        <f>IFERROR(__xludf.DUMMYFUNCTION("IF(OR(F8=""Finalizar"",F8="""",F8=""Selecciona..""),"""",IF(OR(F8=""-"",INDEX(filter(Familias!F:F,Familias!D:D=A8,Familias!E:E=C8),1)=""O""),D8+1,D8))"),3.0)</f>
        <v>3</v>
      </c>
      <c r="E9" s="2" t="str">
        <f>IF(OR(F9="",F9="Selecciona.."),"",IF(D9="Implemento",SUMIF(Implementos!B:B,F9,Implementos!A:A),SUMIF(Productos!E:E,F9,Productos!A:A)))</f>
        <v/>
      </c>
      <c r="F9" s="2" t="str">
        <f t="shared" ref="F9:F1002" si="2">IF(D9="","","Selecciona..")</f>
        <v>Selecciona..</v>
      </c>
      <c r="G9" s="10" t="str">
        <f t="array" ref="G9">IF(OR(F9="",F9="-",F9="Selecciona..",F9="Finalizar"),"",IF(A9="Rodados",XLOOKUP(B9,'Validaciones Cotizador'!I:I,'Validaciones Cotizador'!J:J,0,0,1),1))</f>
        <v/>
      </c>
      <c r="H9" s="11" t="str">
        <f>IF(OR(F9="",F9="Selecciona.."),"",SUMIF(Precio_Productos!K:K,E9,Precio_Productos!J:J)*G9)</f>
        <v/>
      </c>
      <c r="I9" s="4" t="str">
        <f t="array" ref="I9">IF($E9="","", XLOOKUP(SUMIFS(Prod_Prop!$A:$A,Prod_Prop!$B:$B,$E9,Prod_Prop!$H:$H,I$1,Prod_Prop!$I:$I,"Exacto"),Prod_Prop!$A:$A,Prod_Prop!$J:$J,"",0,1))</f>
        <v/>
      </c>
      <c r="J9" s="4" t="str">
        <f t="array" ref="J9">IF($E9="","", XLOOKUP(SUMIFS(Prod_Prop!$A:$A,Prod_Prop!$B:$B,$E9,Prod_Prop!$H:$H,J$1,Prod_Prop!$I:$I,"Exacto"),Prod_Prop!$A:$A,Prod_Prop!$J:$J,"",0,1))</f>
        <v/>
      </c>
      <c r="K9" s="4" t="str">
        <f t="array" ref="K9">IF($E9="","", XLOOKUP(SUMIFS(Prod_Prop!$A:$A,Prod_Prop!$B:$B,$E9,Prod_Prop!$H:$H,K$1,Prod_Prop!$I:$I,"Exacto"),Prod_Prop!$A:$A,Prod_Prop!$J:$J,"",0,1))</f>
        <v/>
      </c>
      <c r="L9" s="4" t="str">
        <f t="array" ref="L9">IF($E9="","", XLOOKUP(SUMIFS(Prod_Prop!$A:$A,Prod_Prop!$B:$B,$E9,Prod_Prop!$H:$H,L$1,Prod_Prop!$I:$I,"Exacto"),Prod_Prop!$A:$A,Prod_Prop!$J:$J,"",0,1))</f>
        <v/>
      </c>
      <c r="M9" s="4" t="str">
        <f t="array" ref="M9">IF($E9="","", XLOOKUP(SUMIFS(Prod_Prop!$A:$A,Prod_Prop!$B:$B,$E9,Prod_Prop!$H:$H,M$1,Prod_Prop!$I:$I,"Exacto"),Prod_Prop!$A:$A,Prod_Prop!$J:$J,"",0,1))</f>
        <v/>
      </c>
      <c r="N9" s="4" t="str">
        <f t="array" ref="N9">IF($E9="","", XLOOKUP(SUMIFS(Prod_Prop!$A:$A,Prod_Prop!$B:$B,$E9,Prod_Prop!$H:$H,N$1,Prod_Prop!$I:$I,"Exacto"),Prod_Prop!$A:$A,Prod_Prop!$J:$J,"",0,1))</f>
        <v/>
      </c>
      <c r="O9" s="4" t="str">
        <f t="array" ref="O9">IF($E9="","", XLOOKUP(SUMIFS(Prod_Prop!$A:$A,Prod_Prop!$B:$B,$E9,Prod_Prop!$H:$H,O$1,Prod_Prop!$I:$I,"Exacto"),Prod_Prop!$A:$A,Prod_Prop!$J:$J,"",0,1))</f>
        <v/>
      </c>
      <c r="P9" s="4" t="str">
        <f t="array" ref="P9">IF($E9="","", XLOOKUP(SUMIFS(Prod_Prop!$A:$A,Prod_Prop!$B:$B,$E9,Prod_Prop!$H:$H,P$1,Prod_Prop!$I:$I,"Exacto"),Prod_Prop!$A:$A,Prod_Prop!$J:$J,"",0,1))</f>
        <v/>
      </c>
      <c r="Q9" s="4" t="str">
        <f t="array" ref="Q9">IF($E9="","", XLOOKUP(SUMIFS(Prod_Prop!$A:$A,Prod_Prop!$B:$B,$E9,Prod_Prop!$H:$H,Q$1,Prod_Prop!$I:$I,"Exacto"),Prod_Prop!$A:$A,Prod_Prop!$J:$J,"",0,1))</f>
        <v/>
      </c>
      <c r="R9" s="4" t="str">
        <f t="array" ref="R9">IF($E9="","", XLOOKUP(SUMIFS(Prod_Prop!$A:$A,Prod_Prop!$B:$B,$E9,Prod_Prop!$H:$H,R$1,Prod_Prop!$I:$I,"Exacto"),Prod_Prop!$A:$A,Prod_Prop!$J:$J,"",0,1))</f>
        <v/>
      </c>
      <c r="S9" s="4" t="str">
        <f t="array" ref="S9">IF($E9="","", XLOOKUP(SUMIFS(Prod_Prop!$A:$A,Prod_Prop!$B:$B,$E9,Prod_Prop!$H:$H,S$1,Prod_Prop!$I:$I,"Exacto"),Prod_Prop!$A:$A,Prod_Prop!$J:$J,"",0,1))</f>
        <v/>
      </c>
      <c r="T9" s="4" t="str">
        <f t="array" ref="T9">IF($E9="","", XLOOKUP(SUMIFS(Prod_Prop!$A:$A,Prod_Prop!$B:$B,$E9,Prod_Prop!$H:$H,T$1,Prod_Prop!$I:$I,"Exacto"),Prod_Prop!$A:$A,Prod_Prop!$J:$J,"",0,1))</f>
        <v/>
      </c>
      <c r="U9" s="4" t="str">
        <f t="array" ref="U9">IF($E9="","", XLOOKUP(SUMIFS(Prod_Prop!$A:$A,Prod_Prop!$B:$B,$E9,Prod_Prop!$H:$H,U$1,Prod_Prop!$I:$I,"Exacto"),Prod_Prop!$A:$A,Prod_Prop!$J:$J,"",0,1))</f>
        <v/>
      </c>
      <c r="V9" s="4" t="str">
        <f t="array" ref="V9">IF($E9="","", XLOOKUP(SUMIFS(Prod_Prop!$A:$A,Prod_Prop!$B:$B,$E9,Prod_Prop!$H:$H,V$1,Prod_Prop!$I:$I,"Exacto"),Prod_Prop!$A:$A,Prod_Prop!$J:$J,"",0,1))</f>
        <v/>
      </c>
      <c r="X9" s="3" t="str">
        <f>IFERROR(__xludf.DUMMYFUNCTION("IF(D9="""","""",IFERROR(TRANSPOSE(FILTER('Validaciones Cotizador'!U:U,'Validaciones Cotizador'!O:O=D9,'Validaciones Cotizador'!T:T=""x"")),""Finalizar""))"),"Chasis Acoplado 2 Ejes L5000")</f>
        <v>Chasis Acoplado 2 Ejes L5000</v>
      </c>
    </row>
    <row r="10">
      <c r="A10" s="2" t="str">
        <f t="array" ref="A10">IF(E10="","",XLOOKUP(D10,'Validaciones Cotizador'!C:C,'Validaciones Cotizador'!A:A,"",0,1))</f>
        <v/>
      </c>
      <c r="B10" s="2" t="str">
        <f t="array" ref="B10">IF(F10="","",XLOOKUP(F10,Productos!E:E,Productos!G:G,"",0,1))</f>
        <v/>
      </c>
      <c r="C10" s="2" t="str">
        <f>IF(A10="","",SUMIFS('Validaciones Cotizador'!B:B,'Validaciones Cotizador'!C:C,D10,'Validaciones Cotizador'!A:A,A10))</f>
        <v/>
      </c>
      <c r="D10" s="4" t="str">
        <f>IFERROR(__xludf.DUMMYFUNCTION("IF(OR(F9=""Finalizar"",F9="""",F9=""Selecciona..""),"""",IF(OR(F9=""-"",INDEX(filter(Familias!F:F,Familias!D:D=A9,Familias!E:E=C9),1)=""O""),D9+1,D9))"),"")</f>
        <v/>
      </c>
      <c r="E10" s="2" t="str">
        <f>IF(OR(F10="",F10="Selecciona.."),"",IF(D10="Implemento",SUMIF(Implementos!B:B,F10,Implementos!A:A),SUMIF(Productos!E:E,F10,Productos!A:A)))</f>
        <v/>
      </c>
      <c r="F10" s="2" t="str">
        <f t="shared" si="2"/>
        <v/>
      </c>
      <c r="G10" s="10" t="str">
        <f t="array" ref="G10">IF(OR(F10="",F10="-",F10="Selecciona..",F10="Finalizar"),"",IF(A10="Rodados",XLOOKUP(B10,'Validaciones Cotizador'!I:I,'Validaciones Cotizador'!J:J,0,0,1),1))</f>
        <v/>
      </c>
      <c r="H10" s="11" t="str">
        <f>IF(OR(F10="",F10="Selecciona.."),"",SUMIF(Precio_Productos!K:K,E10,Precio_Productos!J:J)*G10)</f>
        <v/>
      </c>
      <c r="I10" s="4" t="str">
        <f t="array" ref="I10">IF($E10="","", XLOOKUP(SUMIFS(Prod_Prop!$A:$A,Prod_Prop!$B:$B,$E10,Prod_Prop!$H:$H,I$1,Prod_Prop!$I:$I,"Exacto"),Prod_Prop!$A:$A,Prod_Prop!$J:$J,"",0,1))</f>
        <v/>
      </c>
      <c r="J10" s="4" t="str">
        <f t="array" ref="J10">IF($E10="","", XLOOKUP(SUMIFS(Prod_Prop!$A:$A,Prod_Prop!$B:$B,$E10,Prod_Prop!$H:$H,J$1,Prod_Prop!$I:$I,"Exacto"),Prod_Prop!$A:$A,Prod_Prop!$J:$J,"",0,1))</f>
        <v/>
      </c>
      <c r="K10" s="4" t="str">
        <f t="array" ref="K10">IF($E10="","", XLOOKUP(SUMIFS(Prod_Prop!$A:$A,Prod_Prop!$B:$B,$E10,Prod_Prop!$H:$H,K$1,Prod_Prop!$I:$I,"Exacto"),Prod_Prop!$A:$A,Prod_Prop!$J:$J,"",0,1))</f>
        <v/>
      </c>
      <c r="L10" s="4" t="str">
        <f t="array" ref="L10">IF($E10="","", XLOOKUP(SUMIFS(Prod_Prop!$A:$A,Prod_Prop!$B:$B,$E10,Prod_Prop!$H:$H,L$1,Prod_Prop!$I:$I,"Exacto"),Prod_Prop!$A:$A,Prod_Prop!$J:$J,"",0,1))</f>
        <v/>
      </c>
      <c r="M10" s="4" t="str">
        <f t="array" ref="M10">IF($E10="","", XLOOKUP(SUMIFS(Prod_Prop!$A:$A,Prod_Prop!$B:$B,$E10,Prod_Prop!$H:$H,M$1,Prod_Prop!$I:$I,"Exacto"),Prod_Prop!$A:$A,Prod_Prop!$J:$J,"",0,1))</f>
        <v/>
      </c>
      <c r="N10" s="4" t="str">
        <f t="array" ref="N10">IF($E10="","", XLOOKUP(SUMIFS(Prod_Prop!$A:$A,Prod_Prop!$B:$B,$E10,Prod_Prop!$H:$H,N$1,Prod_Prop!$I:$I,"Exacto"),Prod_Prop!$A:$A,Prod_Prop!$J:$J,"",0,1))</f>
        <v/>
      </c>
      <c r="O10" s="4" t="str">
        <f t="array" ref="O10">IF($E10="","", XLOOKUP(SUMIFS(Prod_Prop!$A:$A,Prod_Prop!$B:$B,$E10,Prod_Prop!$H:$H,O$1,Prod_Prop!$I:$I,"Exacto"),Prod_Prop!$A:$A,Prod_Prop!$J:$J,"",0,1))</f>
        <v/>
      </c>
      <c r="P10" s="4" t="str">
        <f t="array" ref="P10">IF($E10="","", XLOOKUP(SUMIFS(Prod_Prop!$A:$A,Prod_Prop!$B:$B,$E10,Prod_Prop!$H:$H,P$1,Prod_Prop!$I:$I,"Exacto"),Prod_Prop!$A:$A,Prod_Prop!$J:$J,"",0,1))</f>
        <v/>
      </c>
      <c r="Q10" s="4" t="str">
        <f t="array" ref="Q10">IF($E10="","", XLOOKUP(SUMIFS(Prod_Prop!$A:$A,Prod_Prop!$B:$B,$E10,Prod_Prop!$H:$H,Q$1,Prod_Prop!$I:$I,"Exacto"),Prod_Prop!$A:$A,Prod_Prop!$J:$J,"",0,1))</f>
        <v/>
      </c>
      <c r="R10" s="4" t="str">
        <f t="array" ref="R10">IF($E10="","", XLOOKUP(SUMIFS(Prod_Prop!$A:$A,Prod_Prop!$B:$B,$E10,Prod_Prop!$H:$H,R$1,Prod_Prop!$I:$I,"Exacto"),Prod_Prop!$A:$A,Prod_Prop!$J:$J,"",0,1))</f>
        <v/>
      </c>
      <c r="S10" s="4" t="str">
        <f t="array" ref="S10">IF($E10="","", XLOOKUP(SUMIFS(Prod_Prop!$A:$A,Prod_Prop!$B:$B,$E10,Prod_Prop!$H:$H,S$1,Prod_Prop!$I:$I,"Exacto"),Prod_Prop!$A:$A,Prod_Prop!$J:$J,"",0,1))</f>
        <v/>
      </c>
      <c r="T10" s="4" t="str">
        <f t="array" ref="T10">IF($E10="","", XLOOKUP(SUMIFS(Prod_Prop!$A:$A,Prod_Prop!$B:$B,$E10,Prod_Prop!$H:$H,T$1,Prod_Prop!$I:$I,"Exacto"),Prod_Prop!$A:$A,Prod_Prop!$J:$J,"",0,1))</f>
        <v/>
      </c>
      <c r="U10" s="4" t="str">
        <f t="array" ref="U10">IF($E10="","", XLOOKUP(SUMIFS(Prod_Prop!$A:$A,Prod_Prop!$B:$B,$E10,Prod_Prop!$H:$H,U$1,Prod_Prop!$I:$I,"Exacto"),Prod_Prop!$A:$A,Prod_Prop!$J:$J,"",0,1))</f>
        <v/>
      </c>
      <c r="V10" s="4" t="str">
        <f t="array" ref="V10">IF($E10="","", XLOOKUP(SUMIFS(Prod_Prop!$A:$A,Prod_Prop!$B:$B,$E10,Prod_Prop!$H:$H,V$1,Prod_Prop!$I:$I,"Exacto"),Prod_Prop!$A:$A,Prod_Prop!$J:$J,"",0,1))</f>
        <v/>
      </c>
      <c r="X10" s="3" t="str">
        <f>IFERROR(__xludf.DUMMYFUNCTION("IF(D10="""","""",IFERROR(TRANSPOSE(FILTER('Validaciones Cotizador'!U:U,'Validaciones Cotizador'!O:O=D10,'Validaciones Cotizador'!T:T=""x"")),""Finalizar""))"),"")</f>
        <v/>
      </c>
    </row>
    <row r="11">
      <c r="A11" s="2" t="str">
        <f t="array" ref="A11">IF(E11="","",XLOOKUP(D11,'Validaciones Cotizador'!C:C,'Validaciones Cotizador'!A:A,"",0,1))</f>
        <v/>
      </c>
      <c r="B11" s="2" t="str">
        <f t="array" ref="B11">IF(F11="","",XLOOKUP(F11,Productos!E:E,Productos!G:G,"",0,1))</f>
        <v/>
      </c>
      <c r="C11" s="2" t="str">
        <f>IF(A11="","",SUMIFS('Validaciones Cotizador'!B:B,'Validaciones Cotizador'!C:C,D11,'Validaciones Cotizador'!A:A,A11))</f>
        <v/>
      </c>
      <c r="D11" s="4" t="str">
        <f>IFERROR(__xludf.DUMMYFUNCTION("IF(OR(F10=""Finalizar"",F10="""",F10=""Selecciona..""),"""",IF(OR(F10=""-"",INDEX(filter(Familias!F:F,Familias!D:D=A10,Familias!E:E=C10),1)=""O""),D10+1,D10))"),"")</f>
        <v/>
      </c>
      <c r="E11" s="2" t="str">
        <f>IF(OR(F11="",F11="Selecciona.."),"",IF(D11="Implemento",SUMIF(Implementos!B:B,F11,Implementos!A:A),SUMIF(Productos!E:E,F11,Productos!A:A)))</f>
        <v/>
      </c>
      <c r="F11" s="2" t="str">
        <f t="shared" si="2"/>
        <v/>
      </c>
      <c r="G11" s="10" t="str">
        <f t="array" ref="G11">IF(OR(F11="",F11="-",F11="Selecciona..",F11="Finalizar"),"",IF(A11="Rodados",XLOOKUP(B11,'Validaciones Cotizador'!I:I,'Validaciones Cotizador'!J:J,0,0,1),1))</f>
        <v/>
      </c>
      <c r="H11" s="11" t="str">
        <f>IF(OR(F11="",F11="Selecciona.."),"",SUMIF(Precio_Productos!K:K,E11,Precio_Productos!J:J)*G11)</f>
        <v/>
      </c>
      <c r="I11" s="4" t="str">
        <f t="array" ref="I11">IF($E11="","", XLOOKUP(SUMIFS(Prod_Prop!$A:$A,Prod_Prop!$B:$B,$E11,Prod_Prop!$H:$H,I$1,Prod_Prop!$I:$I,"Exacto"),Prod_Prop!$A:$A,Prod_Prop!$J:$J,"",0,1))</f>
        <v/>
      </c>
      <c r="J11" s="4" t="str">
        <f t="array" ref="J11">IF($E11="","", XLOOKUP(SUMIFS(Prod_Prop!$A:$A,Prod_Prop!$B:$B,$E11,Prod_Prop!$H:$H,J$1,Prod_Prop!$I:$I,"Exacto"),Prod_Prop!$A:$A,Prod_Prop!$J:$J,"",0,1))</f>
        <v/>
      </c>
      <c r="K11" s="4" t="str">
        <f t="array" ref="K11">IF($E11="","", XLOOKUP(SUMIFS(Prod_Prop!$A:$A,Prod_Prop!$B:$B,$E11,Prod_Prop!$H:$H,K$1,Prod_Prop!$I:$I,"Exacto"),Prod_Prop!$A:$A,Prod_Prop!$J:$J,"",0,1))</f>
        <v/>
      </c>
      <c r="L11" s="4" t="str">
        <f t="array" ref="L11">IF($E11="","", XLOOKUP(SUMIFS(Prod_Prop!$A:$A,Prod_Prop!$B:$B,$E11,Prod_Prop!$H:$H,L$1,Prod_Prop!$I:$I,"Exacto"),Prod_Prop!$A:$A,Prod_Prop!$J:$J,"",0,1))</f>
        <v/>
      </c>
      <c r="M11" s="4" t="str">
        <f t="array" ref="M11">IF($E11="","", XLOOKUP(SUMIFS(Prod_Prop!$A:$A,Prod_Prop!$B:$B,$E11,Prod_Prop!$H:$H,M$1,Prod_Prop!$I:$I,"Exacto"),Prod_Prop!$A:$A,Prod_Prop!$J:$J,"",0,1))</f>
        <v/>
      </c>
      <c r="N11" s="4" t="str">
        <f t="array" ref="N11">IF($E11="","", XLOOKUP(SUMIFS(Prod_Prop!$A:$A,Prod_Prop!$B:$B,$E11,Prod_Prop!$H:$H,N$1,Prod_Prop!$I:$I,"Exacto"),Prod_Prop!$A:$A,Prod_Prop!$J:$J,"",0,1))</f>
        <v/>
      </c>
      <c r="O11" s="4" t="str">
        <f t="array" ref="O11">IF($E11="","", XLOOKUP(SUMIFS(Prod_Prop!$A:$A,Prod_Prop!$B:$B,$E11,Prod_Prop!$H:$H,O$1,Prod_Prop!$I:$I,"Exacto"),Prod_Prop!$A:$A,Prod_Prop!$J:$J,"",0,1))</f>
        <v/>
      </c>
      <c r="P11" s="4" t="str">
        <f t="array" ref="P11">IF($E11="","", XLOOKUP(SUMIFS(Prod_Prop!$A:$A,Prod_Prop!$B:$B,$E11,Prod_Prop!$H:$H,P$1,Prod_Prop!$I:$I,"Exacto"),Prod_Prop!$A:$A,Prod_Prop!$J:$J,"",0,1))</f>
        <v/>
      </c>
      <c r="Q11" s="4" t="str">
        <f t="array" ref="Q11">IF($E11="","", XLOOKUP(SUMIFS(Prod_Prop!$A:$A,Prod_Prop!$B:$B,$E11,Prod_Prop!$H:$H,Q$1,Prod_Prop!$I:$I,"Exacto"),Prod_Prop!$A:$A,Prod_Prop!$J:$J,"",0,1))</f>
        <v/>
      </c>
      <c r="R11" s="4" t="str">
        <f t="array" ref="R11">IF($E11="","", XLOOKUP(SUMIFS(Prod_Prop!$A:$A,Prod_Prop!$B:$B,$E11,Prod_Prop!$H:$H,R$1,Prod_Prop!$I:$I,"Exacto"),Prod_Prop!$A:$A,Prod_Prop!$J:$J,"",0,1))</f>
        <v/>
      </c>
      <c r="S11" s="4" t="str">
        <f t="array" ref="S11">IF($E11="","", XLOOKUP(SUMIFS(Prod_Prop!$A:$A,Prod_Prop!$B:$B,$E11,Prod_Prop!$H:$H,S$1,Prod_Prop!$I:$I,"Exacto"),Prod_Prop!$A:$A,Prod_Prop!$J:$J,"",0,1))</f>
        <v/>
      </c>
      <c r="T11" s="4" t="str">
        <f t="array" ref="T11">IF($E11="","", XLOOKUP(SUMIFS(Prod_Prop!$A:$A,Prod_Prop!$B:$B,$E11,Prod_Prop!$H:$H,T$1,Prod_Prop!$I:$I,"Exacto"),Prod_Prop!$A:$A,Prod_Prop!$J:$J,"",0,1))</f>
        <v/>
      </c>
      <c r="U11" s="4" t="str">
        <f t="array" ref="U11">IF($E11="","", XLOOKUP(SUMIFS(Prod_Prop!$A:$A,Prod_Prop!$B:$B,$E11,Prod_Prop!$H:$H,U$1,Prod_Prop!$I:$I,"Exacto"),Prod_Prop!$A:$A,Prod_Prop!$J:$J,"",0,1))</f>
        <v/>
      </c>
      <c r="V11" s="4" t="str">
        <f t="array" ref="V11">IF($E11="","", XLOOKUP(SUMIFS(Prod_Prop!$A:$A,Prod_Prop!$B:$B,$E11,Prod_Prop!$H:$H,V$1,Prod_Prop!$I:$I,"Exacto"),Prod_Prop!$A:$A,Prod_Prop!$J:$J,"",0,1))</f>
        <v/>
      </c>
      <c r="X11" s="3" t="str">
        <f>IFERROR(__xludf.DUMMYFUNCTION("IF(D11="""","""",IFERROR(TRANSPOSE(FILTER('Validaciones Cotizador'!U:U,'Validaciones Cotizador'!O:O=D11,'Validaciones Cotizador'!T:T=""x"")),""Finalizar""))"),"")</f>
        <v/>
      </c>
    </row>
    <row r="12">
      <c r="A12" s="2" t="str">
        <f t="array" ref="A12">IF(E12="","",XLOOKUP(D12,'Validaciones Cotizador'!C:C,'Validaciones Cotizador'!A:A,"",0,1))</f>
        <v/>
      </c>
      <c r="B12" s="2" t="str">
        <f t="array" ref="B12">IF(F12="","",XLOOKUP(F12,Productos!E:E,Productos!G:G,"",0,1))</f>
        <v/>
      </c>
      <c r="C12" s="2" t="str">
        <f>IF(A12="","",SUMIFS('Validaciones Cotizador'!B:B,'Validaciones Cotizador'!C:C,D12,'Validaciones Cotizador'!A:A,A12))</f>
        <v/>
      </c>
      <c r="D12" s="4" t="str">
        <f>IFERROR(__xludf.DUMMYFUNCTION("IF(OR(F11=""Finalizar"",F11="""",F11=""Selecciona..""),"""",IF(OR(F11=""-"",INDEX(filter(Familias!F:F,Familias!D:D=A11,Familias!E:E=C11),1)=""O""),D11+1,D11))"),"")</f>
        <v/>
      </c>
      <c r="E12" s="2" t="str">
        <f>IF(OR(F12="",F12="Selecciona.."),"",IF(D12="Implemento",SUMIF(Implementos!B:B,F12,Implementos!A:A),SUMIF(Productos!E:E,F12,Productos!A:A)))</f>
        <v/>
      </c>
      <c r="F12" s="2" t="str">
        <f t="shared" si="2"/>
        <v/>
      </c>
      <c r="G12" s="10" t="str">
        <f t="array" ref="G12">IF(OR(F12="",F12="-",F12="Selecciona..",F12="Finalizar"),"",IF(A12="Rodados",XLOOKUP(B12,'Validaciones Cotizador'!I:I,'Validaciones Cotizador'!J:J,0,0,1),1))</f>
        <v/>
      </c>
      <c r="H12" s="11" t="str">
        <f>IF(OR(F12="",F12="Selecciona.."),"",SUMIF(Precio_Productos!K:K,E12,Precio_Productos!J:J)*G12)</f>
        <v/>
      </c>
      <c r="I12" s="4" t="str">
        <f t="array" ref="I12">IF($E12="","", XLOOKUP(SUMIFS(Prod_Prop!$A:$A,Prod_Prop!$B:$B,$E12,Prod_Prop!$H:$H,I$1,Prod_Prop!$I:$I,"Exacto"),Prod_Prop!$A:$A,Prod_Prop!$J:$J,"",0,1))</f>
        <v/>
      </c>
      <c r="J12" s="4" t="str">
        <f t="array" ref="J12">IF($E12="","", XLOOKUP(SUMIFS(Prod_Prop!$A:$A,Prod_Prop!$B:$B,$E12,Prod_Prop!$H:$H,J$1,Prod_Prop!$I:$I,"Exacto"),Prod_Prop!$A:$A,Prod_Prop!$J:$J,"",0,1))</f>
        <v/>
      </c>
      <c r="K12" s="4" t="str">
        <f t="array" ref="K12">IF($E12="","", XLOOKUP(SUMIFS(Prod_Prop!$A:$A,Prod_Prop!$B:$B,$E12,Prod_Prop!$H:$H,K$1,Prod_Prop!$I:$I,"Exacto"),Prod_Prop!$A:$A,Prod_Prop!$J:$J,"",0,1))</f>
        <v/>
      </c>
      <c r="L12" s="4" t="str">
        <f t="array" ref="L12">IF($E12="","", XLOOKUP(SUMIFS(Prod_Prop!$A:$A,Prod_Prop!$B:$B,$E12,Prod_Prop!$H:$H,L$1,Prod_Prop!$I:$I,"Exacto"),Prod_Prop!$A:$A,Prod_Prop!$J:$J,"",0,1))</f>
        <v/>
      </c>
      <c r="M12" s="4" t="str">
        <f t="array" ref="M12">IF($E12="","", XLOOKUP(SUMIFS(Prod_Prop!$A:$A,Prod_Prop!$B:$B,$E12,Prod_Prop!$H:$H,M$1,Prod_Prop!$I:$I,"Exacto"),Prod_Prop!$A:$A,Prod_Prop!$J:$J,"",0,1))</f>
        <v/>
      </c>
      <c r="N12" s="4" t="str">
        <f t="array" ref="N12">IF($E12="","", XLOOKUP(SUMIFS(Prod_Prop!$A:$A,Prod_Prop!$B:$B,$E12,Prod_Prop!$H:$H,N$1,Prod_Prop!$I:$I,"Exacto"),Prod_Prop!$A:$A,Prod_Prop!$J:$J,"",0,1))</f>
        <v/>
      </c>
      <c r="O12" s="4" t="str">
        <f t="array" ref="O12">IF($E12="","", XLOOKUP(SUMIFS(Prod_Prop!$A:$A,Prod_Prop!$B:$B,$E12,Prod_Prop!$H:$H,O$1,Prod_Prop!$I:$I,"Exacto"),Prod_Prop!$A:$A,Prod_Prop!$J:$J,"",0,1))</f>
        <v/>
      </c>
      <c r="P12" s="4" t="str">
        <f t="array" ref="P12">IF($E12="","", XLOOKUP(SUMIFS(Prod_Prop!$A:$A,Prod_Prop!$B:$B,$E12,Prod_Prop!$H:$H,P$1,Prod_Prop!$I:$I,"Exacto"),Prod_Prop!$A:$A,Prod_Prop!$J:$J,"",0,1))</f>
        <v/>
      </c>
      <c r="Q12" s="4" t="str">
        <f t="array" ref="Q12">IF($E12="","", XLOOKUP(SUMIFS(Prod_Prop!$A:$A,Prod_Prop!$B:$B,$E12,Prod_Prop!$H:$H,Q$1,Prod_Prop!$I:$I,"Exacto"),Prod_Prop!$A:$A,Prod_Prop!$J:$J,"",0,1))</f>
        <v/>
      </c>
      <c r="R12" s="4" t="str">
        <f t="array" ref="R12">IF($E12="","", XLOOKUP(SUMIFS(Prod_Prop!$A:$A,Prod_Prop!$B:$B,$E12,Prod_Prop!$H:$H,R$1,Prod_Prop!$I:$I,"Exacto"),Prod_Prop!$A:$A,Prod_Prop!$J:$J,"",0,1))</f>
        <v/>
      </c>
      <c r="S12" s="4" t="str">
        <f t="array" ref="S12">IF($E12="","", XLOOKUP(SUMIFS(Prod_Prop!$A:$A,Prod_Prop!$B:$B,$E12,Prod_Prop!$H:$H,S$1,Prod_Prop!$I:$I,"Exacto"),Prod_Prop!$A:$A,Prod_Prop!$J:$J,"",0,1))</f>
        <v/>
      </c>
      <c r="T12" s="4" t="str">
        <f t="array" ref="T12">IF($E12="","", XLOOKUP(SUMIFS(Prod_Prop!$A:$A,Prod_Prop!$B:$B,$E12,Prod_Prop!$H:$H,T$1,Prod_Prop!$I:$I,"Exacto"),Prod_Prop!$A:$A,Prod_Prop!$J:$J,"",0,1))</f>
        <v/>
      </c>
      <c r="U12" s="4" t="str">
        <f t="array" ref="U12">IF($E12="","", XLOOKUP(SUMIFS(Prod_Prop!$A:$A,Prod_Prop!$B:$B,$E12,Prod_Prop!$H:$H,U$1,Prod_Prop!$I:$I,"Exacto"),Prod_Prop!$A:$A,Prod_Prop!$J:$J,"",0,1))</f>
        <v/>
      </c>
      <c r="V12" s="4" t="str">
        <f t="array" ref="V12">IF($E12="","", XLOOKUP(SUMIFS(Prod_Prop!$A:$A,Prod_Prop!$B:$B,$E12,Prod_Prop!$H:$H,V$1,Prod_Prop!$I:$I,"Exacto"),Prod_Prop!$A:$A,Prod_Prop!$J:$J,"",0,1))</f>
        <v/>
      </c>
      <c r="X12" s="3" t="str">
        <f>IFERROR(__xludf.DUMMYFUNCTION("IF(D12="""","""",IFERROR(TRANSPOSE(FILTER('Validaciones Cotizador'!U:U,'Validaciones Cotizador'!O:O=D12,'Validaciones Cotizador'!T:T=""x"")),""Finalizar""))"),"")</f>
        <v/>
      </c>
    </row>
    <row r="13">
      <c r="A13" s="2" t="str">
        <f t="array" ref="A13">IF(E13="","",XLOOKUP(D13,'Validaciones Cotizador'!C:C,'Validaciones Cotizador'!A:A,"",0,1))</f>
        <v/>
      </c>
      <c r="B13" s="2" t="str">
        <f t="array" ref="B13">IF(F13="","",XLOOKUP(F13,Productos!E:E,Productos!G:G,"",0,1))</f>
        <v/>
      </c>
      <c r="C13" s="2" t="str">
        <f>IF(A13="","",SUMIFS('Validaciones Cotizador'!B:B,'Validaciones Cotizador'!C:C,D13,'Validaciones Cotizador'!A:A,A13))</f>
        <v/>
      </c>
      <c r="D13" s="4" t="str">
        <f>IFERROR(__xludf.DUMMYFUNCTION("IF(OR(F12=""Finalizar"",F12="""",F12=""Selecciona..""),"""",IF(OR(F12=""-"",INDEX(filter(Familias!F:F,Familias!D:D=A12,Familias!E:E=C12),1)=""O""),D12+1,D12))"),"")</f>
        <v/>
      </c>
      <c r="E13" s="2" t="str">
        <f>IF(OR(F13="",F13="Selecciona.."),"",IF(D13="Implemento",SUMIF(Implementos!B:B,F13,Implementos!A:A),SUMIF(Productos!E:E,F13,Productos!A:A)))</f>
        <v/>
      </c>
      <c r="F13" s="2" t="str">
        <f t="shared" si="2"/>
        <v/>
      </c>
      <c r="G13" s="10" t="str">
        <f t="array" ref="G13">IF(OR(F13="",F13="-",F13="Selecciona..",F13="Finalizar"),"",IF(A13="Rodados",XLOOKUP(B13,'Validaciones Cotizador'!I:I,'Validaciones Cotizador'!J:J,0,0,1),1))</f>
        <v/>
      </c>
      <c r="H13" s="11" t="str">
        <f>IF(OR(F13="",F13="Selecciona.."),"",SUMIF(Precio_Productos!K:K,E13,Precio_Productos!J:J)*G13)</f>
        <v/>
      </c>
      <c r="I13" s="4" t="str">
        <f t="array" ref="I13">IF($E13="","", XLOOKUP(SUMIFS(Prod_Prop!$A:$A,Prod_Prop!$B:$B,$E13,Prod_Prop!$H:$H,I$1,Prod_Prop!$I:$I,"Exacto"),Prod_Prop!$A:$A,Prod_Prop!$J:$J,"",0,1))</f>
        <v/>
      </c>
      <c r="J13" s="4" t="str">
        <f t="array" ref="J13">IF($E13="","", XLOOKUP(SUMIFS(Prod_Prop!$A:$A,Prod_Prop!$B:$B,$E13,Prod_Prop!$H:$H,J$1,Prod_Prop!$I:$I,"Exacto"),Prod_Prop!$A:$A,Prod_Prop!$J:$J,"",0,1))</f>
        <v/>
      </c>
      <c r="K13" s="4" t="str">
        <f t="array" ref="K13">IF($E13="","", XLOOKUP(SUMIFS(Prod_Prop!$A:$A,Prod_Prop!$B:$B,$E13,Prod_Prop!$H:$H,K$1,Prod_Prop!$I:$I,"Exacto"),Prod_Prop!$A:$A,Prod_Prop!$J:$J,"",0,1))</f>
        <v/>
      </c>
      <c r="L13" s="4" t="str">
        <f t="array" ref="L13">IF($E13="","", XLOOKUP(SUMIFS(Prod_Prop!$A:$A,Prod_Prop!$B:$B,$E13,Prod_Prop!$H:$H,L$1,Prod_Prop!$I:$I,"Exacto"),Prod_Prop!$A:$A,Prod_Prop!$J:$J,"",0,1))</f>
        <v/>
      </c>
      <c r="M13" s="4" t="str">
        <f t="array" ref="M13">IF($E13="","", XLOOKUP(SUMIFS(Prod_Prop!$A:$A,Prod_Prop!$B:$B,$E13,Prod_Prop!$H:$H,M$1,Prod_Prop!$I:$I,"Exacto"),Prod_Prop!$A:$A,Prod_Prop!$J:$J,"",0,1))</f>
        <v/>
      </c>
      <c r="N13" s="4" t="str">
        <f t="array" ref="N13">IF($E13="","", XLOOKUP(SUMIFS(Prod_Prop!$A:$A,Prod_Prop!$B:$B,$E13,Prod_Prop!$H:$H,N$1,Prod_Prop!$I:$I,"Exacto"),Prod_Prop!$A:$A,Prod_Prop!$J:$J,"",0,1))</f>
        <v/>
      </c>
      <c r="O13" s="4" t="str">
        <f t="array" ref="O13">IF($E13="","", XLOOKUP(SUMIFS(Prod_Prop!$A:$A,Prod_Prop!$B:$B,$E13,Prod_Prop!$H:$H,O$1,Prod_Prop!$I:$I,"Exacto"),Prod_Prop!$A:$A,Prod_Prop!$J:$J,"",0,1))</f>
        <v/>
      </c>
      <c r="P13" s="4" t="str">
        <f t="array" ref="P13">IF($E13="","", XLOOKUP(SUMIFS(Prod_Prop!$A:$A,Prod_Prop!$B:$B,$E13,Prod_Prop!$H:$H,P$1,Prod_Prop!$I:$I,"Exacto"),Prod_Prop!$A:$A,Prod_Prop!$J:$J,"",0,1))</f>
        <v/>
      </c>
      <c r="Q13" s="4" t="str">
        <f t="array" ref="Q13">IF($E13="","", XLOOKUP(SUMIFS(Prod_Prop!$A:$A,Prod_Prop!$B:$B,$E13,Prod_Prop!$H:$H,Q$1,Prod_Prop!$I:$I,"Exacto"),Prod_Prop!$A:$A,Prod_Prop!$J:$J,"",0,1))</f>
        <v/>
      </c>
      <c r="R13" s="4" t="str">
        <f t="array" ref="R13">IF($E13="","", XLOOKUP(SUMIFS(Prod_Prop!$A:$A,Prod_Prop!$B:$B,$E13,Prod_Prop!$H:$H,R$1,Prod_Prop!$I:$I,"Exacto"),Prod_Prop!$A:$A,Prod_Prop!$J:$J,"",0,1))</f>
        <v/>
      </c>
      <c r="S13" s="4" t="str">
        <f t="array" ref="S13">IF($E13="","", XLOOKUP(SUMIFS(Prod_Prop!$A:$A,Prod_Prop!$B:$B,$E13,Prod_Prop!$H:$H,S$1,Prod_Prop!$I:$I,"Exacto"),Prod_Prop!$A:$A,Prod_Prop!$J:$J,"",0,1))</f>
        <v/>
      </c>
      <c r="T13" s="4" t="str">
        <f t="array" ref="T13">IF($E13="","", XLOOKUP(SUMIFS(Prod_Prop!$A:$A,Prod_Prop!$B:$B,$E13,Prod_Prop!$H:$H,T$1,Prod_Prop!$I:$I,"Exacto"),Prod_Prop!$A:$A,Prod_Prop!$J:$J,"",0,1))</f>
        <v/>
      </c>
      <c r="U13" s="4" t="str">
        <f t="array" ref="U13">IF($E13="","", XLOOKUP(SUMIFS(Prod_Prop!$A:$A,Prod_Prop!$B:$B,$E13,Prod_Prop!$H:$H,U$1,Prod_Prop!$I:$I,"Exacto"),Prod_Prop!$A:$A,Prod_Prop!$J:$J,"",0,1))</f>
        <v/>
      </c>
      <c r="V13" s="4" t="str">
        <f t="array" ref="V13">IF($E13="","", XLOOKUP(SUMIFS(Prod_Prop!$A:$A,Prod_Prop!$B:$B,$E13,Prod_Prop!$H:$H,V$1,Prod_Prop!$I:$I,"Exacto"),Prod_Prop!$A:$A,Prod_Prop!$J:$J,"",0,1))</f>
        <v/>
      </c>
      <c r="X13" s="3" t="str">
        <f>IFERROR(__xludf.DUMMYFUNCTION("IF(D13="""","""",IFERROR(TRANSPOSE(FILTER('Validaciones Cotizador'!U:U,'Validaciones Cotizador'!O:O=D13,'Validaciones Cotizador'!T:T=""x"")),""Finalizar""))"),"")</f>
        <v/>
      </c>
    </row>
    <row r="14">
      <c r="A14" s="2" t="str">
        <f t="array" ref="A14">IF(E14="","",XLOOKUP(D14,'Validaciones Cotizador'!C:C,'Validaciones Cotizador'!A:A,"",0,1))</f>
        <v/>
      </c>
      <c r="B14" s="2" t="str">
        <f t="array" ref="B14">IF(F14="","",XLOOKUP(F14,Productos!E:E,Productos!G:G,"",0,1))</f>
        <v/>
      </c>
      <c r="C14" s="2" t="str">
        <f>IF(A14="","",SUMIFS('Validaciones Cotizador'!B:B,'Validaciones Cotizador'!C:C,D14,'Validaciones Cotizador'!A:A,A14))</f>
        <v/>
      </c>
      <c r="D14" s="4" t="str">
        <f>IFERROR(__xludf.DUMMYFUNCTION("IF(OR(F13=""Finalizar"",F13="""",F13=""Selecciona..""),"""",IF(OR(F13=""-"",INDEX(filter(Familias!F:F,Familias!D:D=A13,Familias!E:E=C13),1)=""O""),D13+1,D13))"),"")</f>
        <v/>
      </c>
      <c r="E14" s="2" t="str">
        <f>IF(OR(F14="",F14="Selecciona.."),"",IF(D14="Implemento",SUMIF(Implementos!B:B,F14,Implementos!A:A),SUMIF(Productos!E:E,F14,Productos!A:A)))</f>
        <v/>
      </c>
      <c r="F14" s="2" t="str">
        <f t="shared" si="2"/>
        <v/>
      </c>
      <c r="G14" s="10" t="str">
        <f t="array" ref="G14">IF(OR(F14="",F14="-",F14="Selecciona..",F14="Finalizar"),"",IF(A14="Rodados",XLOOKUP(B14,'Validaciones Cotizador'!I:I,'Validaciones Cotizador'!J:J,0,0,1),1))</f>
        <v/>
      </c>
      <c r="H14" s="11" t="str">
        <f>IF(OR(F14="",F14="Selecciona.."),"",SUMIF(Precio_Productos!K:K,E14,Precio_Productos!J:J)*G14)</f>
        <v/>
      </c>
      <c r="I14" s="4" t="str">
        <f t="array" ref="I14">IF($E14="","", XLOOKUP(SUMIFS(Prod_Prop!$A:$A,Prod_Prop!$B:$B,$E14,Prod_Prop!$H:$H,I$1,Prod_Prop!$I:$I,"Exacto"),Prod_Prop!$A:$A,Prod_Prop!$J:$J,"",0,1))</f>
        <v/>
      </c>
      <c r="J14" s="4" t="str">
        <f t="array" ref="J14">IF($E14="","", XLOOKUP(SUMIFS(Prod_Prop!$A:$A,Prod_Prop!$B:$B,$E14,Prod_Prop!$H:$H,J$1,Prod_Prop!$I:$I,"Exacto"),Prod_Prop!$A:$A,Prod_Prop!$J:$J,"",0,1))</f>
        <v/>
      </c>
      <c r="K14" s="4" t="str">
        <f t="array" ref="K14">IF($E14="","", XLOOKUP(SUMIFS(Prod_Prop!$A:$A,Prod_Prop!$B:$B,$E14,Prod_Prop!$H:$H,K$1,Prod_Prop!$I:$I,"Exacto"),Prod_Prop!$A:$A,Prod_Prop!$J:$J,"",0,1))</f>
        <v/>
      </c>
      <c r="L14" s="4" t="str">
        <f t="array" ref="L14">IF($E14="","", XLOOKUP(SUMIFS(Prod_Prop!$A:$A,Prod_Prop!$B:$B,$E14,Prod_Prop!$H:$H,L$1,Prod_Prop!$I:$I,"Exacto"),Prod_Prop!$A:$A,Prod_Prop!$J:$J,"",0,1))</f>
        <v/>
      </c>
      <c r="M14" s="4" t="str">
        <f t="array" ref="M14">IF($E14="","", XLOOKUP(SUMIFS(Prod_Prop!$A:$A,Prod_Prop!$B:$B,$E14,Prod_Prop!$H:$H,M$1,Prod_Prop!$I:$I,"Exacto"),Prod_Prop!$A:$A,Prod_Prop!$J:$J,"",0,1))</f>
        <v/>
      </c>
      <c r="N14" s="4" t="str">
        <f t="array" ref="N14">IF($E14="","", XLOOKUP(SUMIFS(Prod_Prop!$A:$A,Prod_Prop!$B:$B,$E14,Prod_Prop!$H:$H,N$1,Prod_Prop!$I:$I,"Exacto"),Prod_Prop!$A:$A,Prod_Prop!$J:$J,"",0,1))</f>
        <v/>
      </c>
      <c r="O14" s="4" t="str">
        <f t="array" ref="O14">IF($E14="","", XLOOKUP(SUMIFS(Prod_Prop!$A:$A,Prod_Prop!$B:$B,$E14,Prod_Prop!$H:$H,O$1,Prod_Prop!$I:$I,"Exacto"),Prod_Prop!$A:$A,Prod_Prop!$J:$J,"",0,1))</f>
        <v/>
      </c>
      <c r="P14" s="4" t="str">
        <f t="array" ref="P14">IF($E14="","", XLOOKUP(SUMIFS(Prod_Prop!$A:$A,Prod_Prop!$B:$B,$E14,Prod_Prop!$H:$H,P$1,Prod_Prop!$I:$I,"Exacto"),Prod_Prop!$A:$A,Prod_Prop!$J:$J,"",0,1))</f>
        <v/>
      </c>
      <c r="Q14" s="4" t="str">
        <f t="array" ref="Q14">IF($E14="","", XLOOKUP(SUMIFS(Prod_Prop!$A:$A,Prod_Prop!$B:$B,$E14,Prod_Prop!$H:$H,Q$1,Prod_Prop!$I:$I,"Exacto"),Prod_Prop!$A:$A,Prod_Prop!$J:$J,"",0,1))</f>
        <v/>
      </c>
      <c r="R14" s="4" t="str">
        <f t="array" ref="R14">IF($E14="","", XLOOKUP(SUMIFS(Prod_Prop!$A:$A,Prod_Prop!$B:$B,$E14,Prod_Prop!$H:$H,R$1,Prod_Prop!$I:$I,"Exacto"),Prod_Prop!$A:$A,Prod_Prop!$J:$J,"",0,1))</f>
        <v/>
      </c>
      <c r="S14" s="4" t="str">
        <f t="array" ref="S14">IF($E14="","", XLOOKUP(SUMIFS(Prod_Prop!$A:$A,Prod_Prop!$B:$B,$E14,Prod_Prop!$H:$H,S$1,Prod_Prop!$I:$I,"Exacto"),Prod_Prop!$A:$A,Prod_Prop!$J:$J,"",0,1))</f>
        <v/>
      </c>
      <c r="T14" s="4" t="str">
        <f t="array" ref="T14">IF($E14="","", XLOOKUP(SUMIFS(Prod_Prop!$A:$A,Prod_Prop!$B:$B,$E14,Prod_Prop!$H:$H,T$1,Prod_Prop!$I:$I,"Exacto"),Prod_Prop!$A:$A,Prod_Prop!$J:$J,"",0,1))</f>
        <v/>
      </c>
      <c r="U14" s="4" t="str">
        <f t="array" ref="U14">IF($E14="","", XLOOKUP(SUMIFS(Prod_Prop!$A:$A,Prod_Prop!$B:$B,$E14,Prod_Prop!$H:$H,U$1,Prod_Prop!$I:$I,"Exacto"),Prod_Prop!$A:$A,Prod_Prop!$J:$J,"",0,1))</f>
        <v/>
      </c>
      <c r="V14" s="4" t="str">
        <f t="array" ref="V14">IF($E14="","", XLOOKUP(SUMIFS(Prod_Prop!$A:$A,Prod_Prop!$B:$B,$E14,Prod_Prop!$H:$H,V$1,Prod_Prop!$I:$I,"Exacto"),Prod_Prop!$A:$A,Prod_Prop!$J:$J,"",0,1))</f>
        <v/>
      </c>
      <c r="X14" s="3" t="str">
        <f>IFERROR(__xludf.DUMMYFUNCTION("IF(D14="""","""",IFERROR(TRANSPOSE(FILTER('Validaciones Cotizador'!U:U,'Validaciones Cotizador'!O:O=D14,'Validaciones Cotizador'!T:T=""x"")),""Finalizar""))"),"")</f>
        <v/>
      </c>
    </row>
    <row r="15">
      <c r="A15" s="2" t="str">
        <f t="array" ref="A15">IF(E15="","",XLOOKUP(D15,'Validaciones Cotizador'!C:C,'Validaciones Cotizador'!A:A,"",0,1))</f>
        <v/>
      </c>
      <c r="B15" s="2" t="str">
        <f t="array" ref="B15">IF(F15="","",XLOOKUP(F15,Productos!E:E,Productos!G:G,"",0,1))</f>
        <v/>
      </c>
      <c r="C15" s="2" t="str">
        <f>IF(A15="","",SUMIFS('Validaciones Cotizador'!B:B,'Validaciones Cotizador'!C:C,D15,'Validaciones Cotizador'!A:A,A15))</f>
        <v/>
      </c>
      <c r="D15" s="4" t="str">
        <f>IFERROR(__xludf.DUMMYFUNCTION("IF(OR(F14=""Finalizar"",F14="""",F14=""Selecciona..""),"""",IF(OR(F14=""-"",INDEX(filter(Familias!F:F,Familias!D:D=A14,Familias!E:E=C14),1)=""O""),D14+1,D14))"),"")</f>
        <v/>
      </c>
      <c r="E15" s="2" t="str">
        <f>IF(OR(F15="",F15="Selecciona.."),"",IF(D15="Implemento",SUMIF(Implementos!B:B,F15,Implementos!A:A),SUMIF(Productos!E:E,F15,Productos!A:A)))</f>
        <v/>
      </c>
      <c r="F15" s="2" t="str">
        <f t="shared" si="2"/>
        <v/>
      </c>
      <c r="G15" s="10" t="str">
        <f t="array" ref="G15">IF(OR(F15="",F15="-",F15="Selecciona..",F15="Finalizar"),"",IF(A15="Rodados",XLOOKUP(B15,'Validaciones Cotizador'!I:I,'Validaciones Cotizador'!J:J,0,0,1),1))</f>
        <v/>
      </c>
      <c r="H15" s="11" t="str">
        <f>IF(OR(F15="",F15="Selecciona.."),"",SUMIF(Precio_Productos!K:K,E15,Precio_Productos!J:J)*G15)</f>
        <v/>
      </c>
      <c r="I15" s="4" t="str">
        <f t="array" ref="I15">IF($E15="","", XLOOKUP(SUMIFS(Prod_Prop!$A:$A,Prod_Prop!$B:$B,$E15,Prod_Prop!$H:$H,I$1,Prod_Prop!$I:$I,"Exacto"),Prod_Prop!$A:$A,Prod_Prop!$J:$J,"",0,1))</f>
        <v/>
      </c>
      <c r="J15" s="4" t="str">
        <f t="array" ref="J15">IF($E15="","", XLOOKUP(SUMIFS(Prod_Prop!$A:$A,Prod_Prop!$B:$B,$E15,Prod_Prop!$H:$H,J$1,Prod_Prop!$I:$I,"Exacto"),Prod_Prop!$A:$A,Prod_Prop!$J:$J,"",0,1))</f>
        <v/>
      </c>
      <c r="K15" s="4" t="str">
        <f t="array" ref="K15">IF($E15="","", XLOOKUP(SUMIFS(Prod_Prop!$A:$A,Prod_Prop!$B:$B,$E15,Prod_Prop!$H:$H,K$1,Prod_Prop!$I:$I,"Exacto"),Prod_Prop!$A:$A,Prod_Prop!$J:$J,"",0,1))</f>
        <v/>
      </c>
      <c r="L15" s="4" t="str">
        <f t="array" ref="L15">IF($E15="","", XLOOKUP(SUMIFS(Prod_Prop!$A:$A,Prod_Prop!$B:$B,$E15,Prod_Prop!$H:$H,L$1,Prod_Prop!$I:$I,"Exacto"),Prod_Prop!$A:$A,Prod_Prop!$J:$J,"",0,1))</f>
        <v/>
      </c>
      <c r="M15" s="4" t="str">
        <f t="array" ref="M15">IF($E15="","", XLOOKUP(SUMIFS(Prod_Prop!$A:$A,Prod_Prop!$B:$B,$E15,Prod_Prop!$H:$H,M$1,Prod_Prop!$I:$I,"Exacto"),Prod_Prop!$A:$A,Prod_Prop!$J:$J,"",0,1))</f>
        <v/>
      </c>
      <c r="N15" s="4" t="str">
        <f t="array" ref="N15">IF($E15="","", XLOOKUP(SUMIFS(Prod_Prop!$A:$A,Prod_Prop!$B:$B,$E15,Prod_Prop!$H:$H,N$1,Prod_Prop!$I:$I,"Exacto"),Prod_Prop!$A:$A,Prod_Prop!$J:$J,"",0,1))</f>
        <v/>
      </c>
      <c r="O15" s="4" t="str">
        <f t="array" ref="O15">IF($E15="","", XLOOKUP(SUMIFS(Prod_Prop!$A:$A,Prod_Prop!$B:$B,$E15,Prod_Prop!$H:$H,O$1,Prod_Prop!$I:$I,"Exacto"),Prod_Prop!$A:$A,Prod_Prop!$J:$J,"",0,1))</f>
        <v/>
      </c>
      <c r="P15" s="4" t="str">
        <f t="array" ref="P15">IF($E15="","", XLOOKUP(SUMIFS(Prod_Prop!$A:$A,Prod_Prop!$B:$B,$E15,Prod_Prop!$H:$H,P$1,Prod_Prop!$I:$I,"Exacto"),Prod_Prop!$A:$A,Prod_Prop!$J:$J,"",0,1))</f>
        <v/>
      </c>
      <c r="Q15" s="4" t="str">
        <f t="array" ref="Q15">IF($E15="","", XLOOKUP(SUMIFS(Prod_Prop!$A:$A,Prod_Prop!$B:$B,$E15,Prod_Prop!$H:$H,Q$1,Prod_Prop!$I:$I,"Exacto"),Prod_Prop!$A:$A,Prod_Prop!$J:$J,"",0,1))</f>
        <v/>
      </c>
      <c r="R15" s="4" t="str">
        <f t="array" ref="R15">IF($E15="","", XLOOKUP(SUMIFS(Prod_Prop!$A:$A,Prod_Prop!$B:$B,$E15,Prod_Prop!$H:$H,R$1,Prod_Prop!$I:$I,"Exacto"),Prod_Prop!$A:$A,Prod_Prop!$J:$J,"",0,1))</f>
        <v/>
      </c>
      <c r="S15" s="4" t="str">
        <f t="array" ref="S15">IF($E15="","", XLOOKUP(SUMIFS(Prod_Prop!$A:$A,Prod_Prop!$B:$B,$E15,Prod_Prop!$H:$H,S$1,Prod_Prop!$I:$I,"Exacto"),Prod_Prop!$A:$A,Prod_Prop!$J:$J,"",0,1))</f>
        <v/>
      </c>
      <c r="T15" s="4" t="str">
        <f t="array" ref="T15">IF($E15="","", XLOOKUP(SUMIFS(Prod_Prop!$A:$A,Prod_Prop!$B:$B,$E15,Prod_Prop!$H:$H,T$1,Prod_Prop!$I:$I,"Exacto"),Prod_Prop!$A:$A,Prod_Prop!$J:$J,"",0,1))</f>
        <v/>
      </c>
      <c r="U15" s="4" t="str">
        <f t="array" ref="U15">IF($E15="","", XLOOKUP(SUMIFS(Prod_Prop!$A:$A,Prod_Prop!$B:$B,$E15,Prod_Prop!$H:$H,U$1,Prod_Prop!$I:$I,"Exacto"),Prod_Prop!$A:$A,Prod_Prop!$J:$J,"",0,1))</f>
        <v/>
      </c>
      <c r="V15" s="4" t="str">
        <f t="array" ref="V15">IF($E15="","", XLOOKUP(SUMIFS(Prod_Prop!$A:$A,Prod_Prop!$B:$B,$E15,Prod_Prop!$H:$H,V$1,Prod_Prop!$I:$I,"Exacto"),Prod_Prop!$A:$A,Prod_Prop!$J:$J,"",0,1))</f>
        <v/>
      </c>
      <c r="X15" s="3" t="str">
        <f>IFERROR(__xludf.DUMMYFUNCTION("IF(D15="""","""",IFERROR(TRANSPOSE(FILTER('Validaciones Cotizador'!U:U,'Validaciones Cotizador'!O:O=D15,'Validaciones Cotizador'!T:T=""x"")),""Finalizar""))"),"")</f>
        <v/>
      </c>
    </row>
    <row r="16">
      <c r="A16" s="2" t="str">
        <f t="array" ref="A16">IF(E16="","",XLOOKUP(D16,'Validaciones Cotizador'!C:C,'Validaciones Cotizador'!A:A,"",0,1))</f>
        <v/>
      </c>
      <c r="B16" s="2" t="str">
        <f t="array" ref="B16">IF(F16="","",XLOOKUP(F16,Productos!E:E,Productos!G:G,"",0,1))</f>
        <v/>
      </c>
      <c r="C16" s="2" t="str">
        <f>IF(A16="","",SUMIFS('Validaciones Cotizador'!B:B,'Validaciones Cotizador'!C:C,D16,'Validaciones Cotizador'!A:A,A16))</f>
        <v/>
      </c>
      <c r="D16" s="4" t="str">
        <f>IFERROR(__xludf.DUMMYFUNCTION("IF(OR(F15=""Finalizar"",F15="""",F15=""Selecciona..""),"""",IF(OR(F15=""-"",INDEX(filter(Familias!F:F,Familias!D:D=A15,Familias!E:E=C15),1)=""O""),D15+1,D15))"),"")</f>
        <v/>
      </c>
      <c r="E16" s="2" t="str">
        <f>IF(OR(F16="",F16="Selecciona.."),"",IF(D16="Implemento",SUMIF(Implementos!B:B,F16,Implementos!A:A),SUMIF(Productos!E:E,F16,Productos!A:A)))</f>
        <v/>
      </c>
      <c r="F16" s="2" t="str">
        <f t="shared" si="2"/>
        <v/>
      </c>
      <c r="G16" s="10" t="str">
        <f t="array" ref="G16">IF(OR(F16="",F16="-",F16="Selecciona..",F16="Finalizar"),"",IF(A16="Rodados",XLOOKUP(B16,'Validaciones Cotizador'!I:I,'Validaciones Cotizador'!J:J,0,0,1),1))</f>
        <v/>
      </c>
      <c r="H16" s="11" t="str">
        <f>IF(OR(F16="",F16="Selecciona.."),"",SUMIF(Precio_Productos!K:K,E16,Precio_Productos!J:J)*G16)</f>
        <v/>
      </c>
      <c r="I16" s="4" t="str">
        <f t="array" ref="I16">IF($E16="","", XLOOKUP(SUMIFS(Prod_Prop!$A:$A,Prod_Prop!$B:$B,$E16,Prod_Prop!$H:$H,I$1,Prod_Prop!$I:$I,"Exacto"),Prod_Prop!$A:$A,Prod_Prop!$J:$J,"",0,1))</f>
        <v/>
      </c>
      <c r="J16" s="4" t="str">
        <f t="array" ref="J16">IF($E16="","", XLOOKUP(SUMIFS(Prod_Prop!$A:$A,Prod_Prop!$B:$B,$E16,Prod_Prop!$H:$H,J$1,Prod_Prop!$I:$I,"Exacto"),Prod_Prop!$A:$A,Prod_Prop!$J:$J,"",0,1))</f>
        <v/>
      </c>
      <c r="K16" s="4" t="str">
        <f t="array" ref="K16">IF($E16="","", XLOOKUP(SUMIFS(Prod_Prop!$A:$A,Prod_Prop!$B:$B,$E16,Prod_Prop!$H:$H,K$1,Prod_Prop!$I:$I,"Exacto"),Prod_Prop!$A:$A,Prod_Prop!$J:$J,"",0,1))</f>
        <v/>
      </c>
      <c r="L16" s="4" t="str">
        <f t="array" ref="L16">IF($E16="","", XLOOKUP(SUMIFS(Prod_Prop!$A:$A,Prod_Prop!$B:$B,$E16,Prod_Prop!$H:$H,L$1,Prod_Prop!$I:$I,"Exacto"),Prod_Prop!$A:$A,Prod_Prop!$J:$J,"",0,1))</f>
        <v/>
      </c>
      <c r="M16" s="4" t="str">
        <f t="array" ref="M16">IF($E16="","", XLOOKUP(SUMIFS(Prod_Prop!$A:$A,Prod_Prop!$B:$B,$E16,Prod_Prop!$H:$H,M$1,Prod_Prop!$I:$I,"Exacto"),Prod_Prop!$A:$A,Prod_Prop!$J:$J,"",0,1))</f>
        <v/>
      </c>
      <c r="N16" s="4" t="str">
        <f t="array" ref="N16">IF($E16="","", XLOOKUP(SUMIFS(Prod_Prop!$A:$A,Prod_Prop!$B:$B,$E16,Prod_Prop!$H:$H,N$1,Prod_Prop!$I:$I,"Exacto"),Prod_Prop!$A:$A,Prod_Prop!$J:$J,"",0,1))</f>
        <v/>
      </c>
      <c r="O16" s="4" t="str">
        <f t="array" ref="O16">IF($E16="","", XLOOKUP(SUMIFS(Prod_Prop!$A:$A,Prod_Prop!$B:$B,$E16,Prod_Prop!$H:$H,O$1,Prod_Prop!$I:$I,"Exacto"),Prod_Prop!$A:$A,Prod_Prop!$J:$J,"",0,1))</f>
        <v/>
      </c>
      <c r="P16" s="4" t="str">
        <f t="array" ref="P16">IF($E16="","", XLOOKUP(SUMIFS(Prod_Prop!$A:$A,Prod_Prop!$B:$B,$E16,Prod_Prop!$H:$H,P$1,Prod_Prop!$I:$I,"Exacto"),Prod_Prop!$A:$A,Prod_Prop!$J:$J,"",0,1))</f>
        <v/>
      </c>
      <c r="Q16" s="4" t="str">
        <f t="array" ref="Q16">IF($E16="","", XLOOKUP(SUMIFS(Prod_Prop!$A:$A,Prod_Prop!$B:$B,$E16,Prod_Prop!$H:$H,Q$1,Prod_Prop!$I:$I,"Exacto"),Prod_Prop!$A:$A,Prod_Prop!$J:$J,"",0,1))</f>
        <v/>
      </c>
      <c r="R16" s="4" t="str">
        <f t="array" ref="R16">IF($E16="","", XLOOKUP(SUMIFS(Prod_Prop!$A:$A,Prod_Prop!$B:$B,$E16,Prod_Prop!$H:$H,R$1,Prod_Prop!$I:$I,"Exacto"),Prod_Prop!$A:$A,Prod_Prop!$J:$J,"",0,1))</f>
        <v/>
      </c>
      <c r="S16" s="4" t="str">
        <f t="array" ref="S16">IF($E16="","", XLOOKUP(SUMIFS(Prod_Prop!$A:$A,Prod_Prop!$B:$B,$E16,Prod_Prop!$H:$H,S$1,Prod_Prop!$I:$I,"Exacto"),Prod_Prop!$A:$A,Prod_Prop!$J:$J,"",0,1))</f>
        <v/>
      </c>
      <c r="T16" s="4" t="str">
        <f t="array" ref="T16">IF($E16="","", XLOOKUP(SUMIFS(Prod_Prop!$A:$A,Prod_Prop!$B:$B,$E16,Prod_Prop!$H:$H,T$1,Prod_Prop!$I:$I,"Exacto"),Prod_Prop!$A:$A,Prod_Prop!$J:$J,"",0,1))</f>
        <v/>
      </c>
      <c r="U16" s="4" t="str">
        <f t="array" ref="U16">IF($E16="","", XLOOKUP(SUMIFS(Prod_Prop!$A:$A,Prod_Prop!$B:$B,$E16,Prod_Prop!$H:$H,U$1,Prod_Prop!$I:$I,"Exacto"),Prod_Prop!$A:$A,Prod_Prop!$J:$J,"",0,1))</f>
        <v/>
      </c>
      <c r="V16" s="4" t="str">
        <f t="array" ref="V16">IF($E16="","", XLOOKUP(SUMIFS(Prod_Prop!$A:$A,Prod_Prop!$B:$B,$E16,Prod_Prop!$H:$H,V$1,Prod_Prop!$I:$I,"Exacto"),Prod_Prop!$A:$A,Prod_Prop!$J:$J,"",0,1))</f>
        <v/>
      </c>
      <c r="X16" s="3" t="str">
        <f>IFERROR(__xludf.DUMMYFUNCTION("IF(D16="""","""",IFERROR(TRANSPOSE(FILTER('Validaciones Cotizador'!U:U,'Validaciones Cotizador'!O:O=D16,'Validaciones Cotizador'!T:T=""x"")),""Finalizar""))"),"")</f>
        <v/>
      </c>
    </row>
    <row r="17">
      <c r="A17" s="2" t="str">
        <f t="array" ref="A17">IF(E17="","",XLOOKUP(D17,'Validaciones Cotizador'!C:C,'Validaciones Cotizador'!A:A,"",0,1))</f>
        <v/>
      </c>
      <c r="B17" s="2" t="str">
        <f t="array" ref="B17">IF(F17="","",XLOOKUP(F17,Productos!E:E,Productos!G:G,"",0,1))</f>
        <v/>
      </c>
      <c r="C17" s="2" t="str">
        <f>IF(A17="","",SUMIFS('Validaciones Cotizador'!B:B,'Validaciones Cotizador'!C:C,D17,'Validaciones Cotizador'!A:A,A17))</f>
        <v/>
      </c>
      <c r="D17" s="4" t="str">
        <f>IFERROR(__xludf.DUMMYFUNCTION("IF(OR(F16=""Finalizar"",F16="""",F16=""Selecciona..""),"""",IF(OR(F16=""-"",INDEX(filter(Familias!F:F,Familias!D:D=A16,Familias!E:E=C16),1)=""O""),D16+1,D16))"),"")</f>
        <v/>
      </c>
      <c r="E17" s="2" t="str">
        <f>IF(OR(F17="",F17="Selecciona.."),"",IF(D17="Implemento",SUMIF(Implementos!B:B,F17,Implementos!A:A),SUMIF(Productos!E:E,F17,Productos!A:A)))</f>
        <v/>
      </c>
      <c r="F17" s="2" t="str">
        <f t="shared" si="2"/>
        <v/>
      </c>
      <c r="G17" s="10" t="str">
        <f t="array" ref="G17">IF(OR(F17="",F17="-",F17="Selecciona..",F17="Finalizar"),"",IF(A17="Rodados",XLOOKUP(B17,'Validaciones Cotizador'!I:I,'Validaciones Cotizador'!J:J,0,0,1),1))</f>
        <v/>
      </c>
      <c r="H17" s="11" t="str">
        <f>IF(OR(F17="",F17="Selecciona.."),"",SUMIF(Precio_Productos!K:K,E17,Precio_Productos!J:J)*G17)</f>
        <v/>
      </c>
      <c r="I17" s="4" t="str">
        <f t="array" ref="I17">IF($E17="","", XLOOKUP(SUMIFS(Prod_Prop!$A:$A,Prod_Prop!$B:$B,$E17,Prod_Prop!$H:$H,I$1,Prod_Prop!$I:$I,"Exacto"),Prod_Prop!$A:$A,Prod_Prop!$J:$J,"",0,1))</f>
        <v/>
      </c>
      <c r="J17" s="4" t="str">
        <f t="array" ref="J17">IF($E17="","", XLOOKUP(SUMIFS(Prod_Prop!$A:$A,Prod_Prop!$B:$B,$E17,Prod_Prop!$H:$H,J$1,Prod_Prop!$I:$I,"Exacto"),Prod_Prop!$A:$A,Prod_Prop!$J:$J,"",0,1))</f>
        <v/>
      </c>
      <c r="K17" s="4" t="str">
        <f t="array" ref="K17">IF($E17="","", XLOOKUP(SUMIFS(Prod_Prop!$A:$A,Prod_Prop!$B:$B,$E17,Prod_Prop!$H:$H,K$1,Prod_Prop!$I:$I,"Exacto"),Prod_Prop!$A:$A,Prod_Prop!$J:$J,"",0,1))</f>
        <v/>
      </c>
      <c r="L17" s="4" t="str">
        <f t="array" ref="L17">IF($E17="","", XLOOKUP(SUMIFS(Prod_Prop!$A:$A,Prod_Prop!$B:$B,$E17,Prod_Prop!$H:$H,L$1,Prod_Prop!$I:$I,"Exacto"),Prod_Prop!$A:$A,Prod_Prop!$J:$J,"",0,1))</f>
        <v/>
      </c>
      <c r="M17" s="4" t="str">
        <f t="array" ref="M17">IF($E17="","", XLOOKUP(SUMIFS(Prod_Prop!$A:$A,Prod_Prop!$B:$B,$E17,Prod_Prop!$H:$H,M$1,Prod_Prop!$I:$I,"Exacto"),Prod_Prop!$A:$A,Prod_Prop!$J:$J,"",0,1))</f>
        <v/>
      </c>
      <c r="N17" s="4" t="str">
        <f t="array" ref="N17">IF($E17="","", XLOOKUP(SUMIFS(Prod_Prop!$A:$A,Prod_Prop!$B:$B,$E17,Prod_Prop!$H:$H,N$1,Prod_Prop!$I:$I,"Exacto"),Prod_Prop!$A:$A,Prod_Prop!$J:$J,"",0,1))</f>
        <v/>
      </c>
      <c r="O17" s="4" t="str">
        <f t="array" ref="O17">IF($E17="","", XLOOKUP(SUMIFS(Prod_Prop!$A:$A,Prod_Prop!$B:$B,$E17,Prod_Prop!$H:$H,O$1,Prod_Prop!$I:$I,"Exacto"),Prod_Prop!$A:$A,Prod_Prop!$J:$J,"",0,1))</f>
        <v/>
      </c>
      <c r="P17" s="4" t="str">
        <f t="array" ref="P17">IF($E17="","", XLOOKUP(SUMIFS(Prod_Prop!$A:$A,Prod_Prop!$B:$B,$E17,Prod_Prop!$H:$H,P$1,Prod_Prop!$I:$I,"Exacto"),Prod_Prop!$A:$A,Prod_Prop!$J:$J,"",0,1))</f>
        <v/>
      </c>
      <c r="Q17" s="4" t="str">
        <f t="array" ref="Q17">IF($E17="","", XLOOKUP(SUMIFS(Prod_Prop!$A:$A,Prod_Prop!$B:$B,$E17,Prod_Prop!$H:$H,Q$1,Prod_Prop!$I:$I,"Exacto"),Prod_Prop!$A:$A,Prod_Prop!$J:$J,"",0,1))</f>
        <v/>
      </c>
      <c r="R17" s="4" t="str">
        <f t="array" ref="R17">IF($E17="","", XLOOKUP(SUMIFS(Prod_Prop!$A:$A,Prod_Prop!$B:$B,$E17,Prod_Prop!$H:$H,R$1,Prod_Prop!$I:$I,"Exacto"),Prod_Prop!$A:$A,Prod_Prop!$J:$J,"",0,1))</f>
        <v/>
      </c>
      <c r="S17" s="4" t="str">
        <f t="array" ref="S17">IF($E17="","", XLOOKUP(SUMIFS(Prod_Prop!$A:$A,Prod_Prop!$B:$B,$E17,Prod_Prop!$H:$H,S$1,Prod_Prop!$I:$I,"Exacto"),Prod_Prop!$A:$A,Prod_Prop!$J:$J,"",0,1))</f>
        <v/>
      </c>
      <c r="T17" s="4" t="str">
        <f t="array" ref="T17">IF($E17="","", XLOOKUP(SUMIFS(Prod_Prop!$A:$A,Prod_Prop!$B:$B,$E17,Prod_Prop!$H:$H,T$1,Prod_Prop!$I:$I,"Exacto"),Prod_Prop!$A:$A,Prod_Prop!$J:$J,"",0,1))</f>
        <v/>
      </c>
      <c r="U17" s="4" t="str">
        <f t="array" ref="U17">IF($E17="","", XLOOKUP(SUMIFS(Prod_Prop!$A:$A,Prod_Prop!$B:$B,$E17,Prod_Prop!$H:$H,U$1,Prod_Prop!$I:$I,"Exacto"),Prod_Prop!$A:$A,Prod_Prop!$J:$J,"",0,1))</f>
        <v/>
      </c>
      <c r="V17" s="4" t="str">
        <f t="array" ref="V17">IF($E17="","", XLOOKUP(SUMIFS(Prod_Prop!$A:$A,Prod_Prop!$B:$B,$E17,Prod_Prop!$H:$H,V$1,Prod_Prop!$I:$I,"Exacto"),Prod_Prop!$A:$A,Prod_Prop!$J:$J,"",0,1))</f>
        <v/>
      </c>
      <c r="X17" s="3" t="str">
        <f>IFERROR(__xludf.DUMMYFUNCTION("IF(D17="""","""",IFERROR(TRANSPOSE(FILTER('Validaciones Cotizador'!U:U,'Validaciones Cotizador'!O:O=D17,'Validaciones Cotizador'!T:T=""x"")),""Finalizar""))"),"")</f>
        <v/>
      </c>
    </row>
    <row r="18">
      <c r="A18" s="2" t="str">
        <f t="array" ref="A18">IF(E18="","",XLOOKUP(D18,'Validaciones Cotizador'!C:C,'Validaciones Cotizador'!A:A,"",0,1))</f>
        <v/>
      </c>
      <c r="B18" s="2" t="str">
        <f t="array" ref="B18">IF(F18="","",XLOOKUP(F18,Productos!E:E,Productos!G:G,"",0,1))</f>
        <v/>
      </c>
      <c r="C18" s="2" t="str">
        <f>IF(A18="","",SUMIFS('Validaciones Cotizador'!B:B,'Validaciones Cotizador'!C:C,D18,'Validaciones Cotizador'!A:A,A18))</f>
        <v/>
      </c>
      <c r="D18" s="4" t="str">
        <f>IFERROR(__xludf.DUMMYFUNCTION("IF(OR(F17=""Finalizar"",F17="""",F17=""Selecciona..""),"""",IF(OR(F17=""-"",INDEX(filter(Familias!F:F,Familias!D:D=A17,Familias!E:E=C17),1)=""O""),D17+1,D17))"),"")</f>
        <v/>
      </c>
      <c r="E18" s="2" t="str">
        <f>IF(OR(F18="",F18="Selecciona.."),"",IF(D18="Implemento",SUMIF(Implementos!B:B,F18,Implementos!A:A),SUMIF(Productos!E:E,F18,Productos!A:A)))</f>
        <v/>
      </c>
      <c r="F18" s="2" t="str">
        <f t="shared" si="2"/>
        <v/>
      </c>
      <c r="G18" s="10" t="str">
        <f t="array" ref="G18">IF(OR(F18="",F18="-",F18="Selecciona..",F18="Finalizar"),"",IF(A18="Rodados",XLOOKUP(B18,'Validaciones Cotizador'!I:I,'Validaciones Cotizador'!J:J,0,0,1),1))</f>
        <v/>
      </c>
      <c r="H18" s="11" t="str">
        <f>IF(OR(F18="",F18="Selecciona.."),"",SUMIF(Precio_Productos!K:K,E18,Precio_Productos!J:J)*G18)</f>
        <v/>
      </c>
      <c r="I18" s="4" t="str">
        <f t="array" ref="I18">IF($E18="","", XLOOKUP(SUMIFS(Prod_Prop!$A:$A,Prod_Prop!$B:$B,$E18,Prod_Prop!$H:$H,I$1,Prod_Prop!$I:$I,"Exacto"),Prod_Prop!$A:$A,Prod_Prop!$J:$J,"",0,1))</f>
        <v/>
      </c>
      <c r="J18" s="4" t="str">
        <f t="array" ref="J18">IF($E18="","", XLOOKUP(SUMIFS(Prod_Prop!$A:$A,Prod_Prop!$B:$B,$E18,Prod_Prop!$H:$H,J$1,Prod_Prop!$I:$I,"Exacto"),Prod_Prop!$A:$A,Prod_Prop!$J:$J,"",0,1))</f>
        <v/>
      </c>
      <c r="K18" s="4" t="str">
        <f t="array" ref="K18">IF($E18="","", XLOOKUP(SUMIFS(Prod_Prop!$A:$A,Prod_Prop!$B:$B,$E18,Prod_Prop!$H:$H,K$1,Prod_Prop!$I:$I,"Exacto"),Prod_Prop!$A:$A,Prod_Prop!$J:$J,"",0,1))</f>
        <v/>
      </c>
      <c r="L18" s="4" t="str">
        <f t="array" ref="L18">IF($E18="","", XLOOKUP(SUMIFS(Prod_Prop!$A:$A,Prod_Prop!$B:$B,$E18,Prod_Prop!$H:$H,L$1,Prod_Prop!$I:$I,"Exacto"),Prod_Prop!$A:$A,Prod_Prop!$J:$J,"",0,1))</f>
        <v/>
      </c>
      <c r="M18" s="4" t="str">
        <f t="array" ref="M18">IF($E18="","", XLOOKUP(SUMIFS(Prod_Prop!$A:$A,Prod_Prop!$B:$B,$E18,Prod_Prop!$H:$H,M$1,Prod_Prop!$I:$I,"Exacto"),Prod_Prop!$A:$A,Prod_Prop!$J:$J,"",0,1))</f>
        <v/>
      </c>
      <c r="N18" s="4" t="str">
        <f t="array" ref="N18">IF($E18="","", XLOOKUP(SUMIFS(Prod_Prop!$A:$A,Prod_Prop!$B:$B,$E18,Prod_Prop!$H:$H,N$1,Prod_Prop!$I:$I,"Exacto"),Prod_Prop!$A:$A,Prod_Prop!$J:$J,"",0,1))</f>
        <v/>
      </c>
      <c r="O18" s="4" t="str">
        <f t="array" ref="O18">IF($E18="","", XLOOKUP(SUMIFS(Prod_Prop!$A:$A,Prod_Prop!$B:$B,$E18,Prod_Prop!$H:$H,O$1,Prod_Prop!$I:$I,"Exacto"),Prod_Prop!$A:$A,Prod_Prop!$J:$J,"",0,1))</f>
        <v/>
      </c>
      <c r="P18" s="4" t="str">
        <f t="array" ref="P18">IF($E18="","", XLOOKUP(SUMIFS(Prod_Prop!$A:$A,Prod_Prop!$B:$B,$E18,Prod_Prop!$H:$H,P$1,Prod_Prop!$I:$I,"Exacto"),Prod_Prop!$A:$A,Prod_Prop!$J:$J,"",0,1))</f>
        <v/>
      </c>
      <c r="Q18" s="4" t="str">
        <f t="array" ref="Q18">IF($E18="","", XLOOKUP(SUMIFS(Prod_Prop!$A:$A,Prod_Prop!$B:$B,$E18,Prod_Prop!$H:$H,Q$1,Prod_Prop!$I:$I,"Exacto"),Prod_Prop!$A:$A,Prod_Prop!$J:$J,"",0,1))</f>
        <v/>
      </c>
      <c r="R18" s="4" t="str">
        <f t="array" ref="R18">IF($E18="","", XLOOKUP(SUMIFS(Prod_Prop!$A:$A,Prod_Prop!$B:$B,$E18,Prod_Prop!$H:$H,R$1,Prod_Prop!$I:$I,"Exacto"),Prod_Prop!$A:$A,Prod_Prop!$J:$J,"",0,1))</f>
        <v/>
      </c>
      <c r="S18" s="4" t="str">
        <f t="array" ref="S18">IF($E18="","", XLOOKUP(SUMIFS(Prod_Prop!$A:$A,Prod_Prop!$B:$B,$E18,Prod_Prop!$H:$H,S$1,Prod_Prop!$I:$I,"Exacto"),Prod_Prop!$A:$A,Prod_Prop!$J:$J,"",0,1))</f>
        <v/>
      </c>
      <c r="T18" s="4" t="str">
        <f t="array" ref="T18">IF($E18="","", XLOOKUP(SUMIFS(Prod_Prop!$A:$A,Prod_Prop!$B:$B,$E18,Prod_Prop!$H:$H,T$1,Prod_Prop!$I:$I,"Exacto"),Prod_Prop!$A:$A,Prod_Prop!$J:$J,"",0,1))</f>
        <v/>
      </c>
      <c r="U18" s="4" t="str">
        <f t="array" ref="U18">IF($E18="","", XLOOKUP(SUMIFS(Prod_Prop!$A:$A,Prod_Prop!$B:$B,$E18,Prod_Prop!$H:$H,U$1,Prod_Prop!$I:$I,"Exacto"),Prod_Prop!$A:$A,Prod_Prop!$J:$J,"",0,1))</f>
        <v/>
      </c>
      <c r="V18" s="4" t="str">
        <f t="array" ref="V18">IF($E18="","", XLOOKUP(SUMIFS(Prod_Prop!$A:$A,Prod_Prop!$B:$B,$E18,Prod_Prop!$H:$H,V$1,Prod_Prop!$I:$I,"Exacto"),Prod_Prop!$A:$A,Prod_Prop!$J:$J,"",0,1))</f>
        <v/>
      </c>
      <c r="X18" s="3" t="str">
        <f>IFERROR(__xludf.DUMMYFUNCTION("IF(D18="""","""",IFERROR(TRANSPOSE(FILTER('Validaciones Cotizador'!U:U,'Validaciones Cotizador'!O:O=D18,'Validaciones Cotizador'!T:T=""x"")),""Finalizar""))"),"")</f>
        <v/>
      </c>
    </row>
    <row r="19">
      <c r="A19" s="2" t="str">
        <f t="array" ref="A19">IF(E19="","",XLOOKUP(D19,'Validaciones Cotizador'!C:C,'Validaciones Cotizador'!A:A,"",0,1))</f>
        <v/>
      </c>
      <c r="B19" s="2" t="str">
        <f t="array" ref="B19">IF(F19="","",XLOOKUP(F19,Productos!E:E,Productos!G:G,"",0,1))</f>
        <v/>
      </c>
      <c r="C19" s="2" t="str">
        <f>IF(A19="","",SUMIFS('Validaciones Cotizador'!B:B,'Validaciones Cotizador'!C:C,D19,'Validaciones Cotizador'!A:A,A19))</f>
        <v/>
      </c>
      <c r="D19" s="4" t="str">
        <f>IFERROR(__xludf.DUMMYFUNCTION("IF(OR(F18=""Finalizar"",F18="""",F18=""Selecciona..""),"""",IF(OR(F18=""-"",INDEX(filter(Familias!F:F,Familias!D:D=A18,Familias!E:E=C18),1)=""O""),D18+1,D18))"),"")</f>
        <v/>
      </c>
      <c r="E19" s="2" t="str">
        <f>IF(OR(F19="",F19="Selecciona.."),"",IF(D19="Implemento",SUMIF(Implementos!B:B,F19,Implementos!A:A),SUMIF(Productos!E:E,F19,Productos!A:A)))</f>
        <v/>
      </c>
      <c r="F19" s="2" t="str">
        <f t="shared" si="2"/>
        <v/>
      </c>
      <c r="G19" s="10" t="str">
        <f t="array" ref="G19">IF(OR(F19="",F19="-",F19="Selecciona..",F19="Finalizar"),"",IF(A19="Rodados",XLOOKUP(B19,'Validaciones Cotizador'!I:I,'Validaciones Cotizador'!J:J,0,0,1),1))</f>
        <v/>
      </c>
      <c r="H19" s="11" t="str">
        <f>IF(OR(F19="",F19="Selecciona.."),"",SUMIF(Precio_Productos!K:K,E19,Precio_Productos!J:J)*G19)</f>
        <v/>
      </c>
      <c r="I19" s="4" t="str">
        <f t="array" ref="I19">IF($E19="","", XLOOKUP(SUMIFS(Prod_Prop!$A:$A,Prod_Prop!$B:$B,$E19,Prod_Prop!$H:$H,I$1,Prod_Prop!$I:$I,"Exacto"),Prod_Prop!$A:$A,Prod_Prop!$J:$J,"",0,1))</f>
        <v/>
      </c>
      <c r="J19" s="4" t="str">
        <f t="array" ref="J19">IF($E19="","", XLOOKUP(SUMIFS(Prod_Prop!$A:$A,Prod_Prop!$B:$B,$E19,Prod_Prop!$H:$H,J$1,Prod_Prop!$I:$I,"Exacto"),Prod_Prop!$A:$A,Prod_Prop!$J:$J,"",0,1))</f>
        <v/>
      </c>
      <c r="K19" s="4" t="str">
        <f t="array" ref="K19">IF($E19="","", XLOOKUP(SUMIFS(Prod_Prop!$A:$A,Prod_Prop!$B:$B,$E19,Prod_Prop!$H:$H,K$1,Prod_Prop!$I:$I,"Exacto"),Prod_Prop!$A:$A,Prod_Prop!$J:$J,"",0,1))</f>
        <v/>
      </c>
      <c r="L19" s="4" t="str">
        <f t="array" ref="L19">IF($E19="","", XLOOKUP(SUMIFS(Prod_Prop!$A:$A,Prod_Prop!$B:$B,$E19,Prod_Prop!$H:$H,L$1,Prod_Prop!$I:$I,"Exacto"),Prod_Prop!$A:$A,Prod_Prop!$J:$J,"",0,1))</f>
        <v/>
      </c>
      <c r="M19" s="4" t="str">
        <f t="array" ref="M19">IF($E19="","", XLOOKUP(SUMIFS(Prod_Prop!$A:$A,Prod_Prop!$B:$B,$E19,Prod_Prop!$H:$H,M$1,Prod_Prop!$I:$I,"Exacto"),Prod_Prop!$A:$A,Prod_Prop!$J:$J,"",0,1))</f>
        <v/>
      </c>
      <c r="N19" s="4" t="str">
        <f t="array" ref="N19">IF($E19="","", XLOOKUP(SUMIFS(Prod_Prop!$A:$A,Prod_Prop!$B:$B,$E19,Prod_Prop!$H:$H,N$1,Prod_Prop!$I:$I,"Exacto"),Prod_Prop!$A:$A,Prod_Prop!$J:$J,"",0,1))</f>
        <v/>
      </c>
      <c r="O19" s="4" t="str">
        <f t="array" ref="O19">IF($E19="","", XLOOKUP(SUMIFS(Prod_Prop!$A:$A,Prod_Prop!$B:$B,$E19,Prod_Prop!$H:$H,O$1,Prod_Prop!$I:$I,"Exacto"),Prod_Prop!$A:$A,Prod_Prop!$J:$J,"",0,1))</f>
        <v/>
      </c>
      <c r="P19" s="4" t="str">
        <f t="array" ref="P19">IF($E19="","", XLOOKUP(SUMIFS(Prod_Prop!$A:$A,Prod_Prop!$B:$B,$E19,Prod_Prop!$H:$H,P$1,Prod_Prop!$I:$I,"Exacto"),Prod_Prop!$A:$A,Prod_Prop!$J:$J,"",0,1))</f>
        <v/>
      </c>
      <c r="Q19" s="4" t="str">
        <f t="array" ref="Q19">IF($E19="","", XLOOKUP(SUMIFS(Prod_Prop!$A:$A,Prod_Prop!$B:$B,$E19,Prod_Prop!$H:$H,Q$1,Prod_Prop!$I:$I,"Exacto"),Prod_Prop!$A:$A,Prod_Prop!$J:$J,"",0,1))</f>
        <v/>
      </c>
      <c r="R19" s="4" t="str">
        <f t="array" ref="R19">IF($E19="","", XLOOKUP(SUMIFS(Prod_Prop!$A:$A,Prod_Prop!$B:$B,$E19,Prod_Prop!$H:$H,R$1,Prod_Prop!$I:$I,"Exacto"),Prod_Prop!$A:$A,Prod_Prop!$J:$J,"",0,1))</f>
        <v/>
      </c>
      <c r="S19" s="4" t="str">
        <f t="array" ref="S19">IF($E19="","", XLOOKUP(SUMIFS(Prod_Prop!$A:$A,Prod_Prop!$B:$B,$E19,Prod_Prop!$H:$H,S$1,Prod_Prop!$I:$I,"Exacto"),Prod_Prop!$A:$A,Prod_Prop!$J:$J,"",0,1))</f>
        <v/>
      </c>
      <c r="T19" s="4" t="str">
        <f t="array" ref="T19">IF($E19="","", XLOOKUP(SUMIFS(Prod_Prop!$A:$A,Prod_Prop!$B:$B,$E19,Prod_Prop!$H:$H,T$1,Prod_Prop!$I:$I,"Exacto"),Prod_Prop!$A:$A,Prod_Prop!$J:$J,"",0,1))</f>
        <v/>
      </c>
      <c r="U19" s="4" t="str">
        <f t="array" ref="U19">IF($E19="","", XLOOKUP(SUMIFS(Prod_Prop!$A:$A,Prod_Prop!$B:$B,$E19,Prod_Prop!$H:$H,U$1,Prod_Prop!$I:$I,"Exacto"),Prod_Prop!$A:$A,Prod_Prop!$J:$J,"",0,1))</f>
        <v/>
      </c>
      <c r="V19" s="4" t="str">
        <f t="array" ref="V19">IF($E19="","", XLOOKUP(SUMIFS(Prod_Prop!$A:$A,Prod_Prop!$B:$B,$E19,Prod_Prop!$H:$H,V$1,Prod_Prop!$I:$I,"Exacto"),Prod_Prop!$A:$A,Prod_Prop!$J:$J,"",0,1))</f>
        <v/>
      </c>
      <c r="X19" s="3" t="str">
        <f>IFERROR(__xludf.DUMMYFUNCTION("IF(D19="""","""",IFERROR(TRANSPOSE(FILTER('Validaciones Cotizador'!U:U,'Validaciones Cotizador'!O:O=D19,'Validaciones Cotizador'!T:T=""x"")),""Finalizar""))"),"")</f>
        <v/>
      </c>
    </row>
    <row r="20">
      <c r="A20" s="2" t="str">
        <f t="array" ref="A20">IF(E20="","",XLOOKUP(D20,'Validaciones Cotizador'!C:C,'Validaciones Cotizador'!A:A,"",0,1))</f>
        <v/>
      </c>
      <c r="B20" s="2" t="str">
        <f t="array" ref="B20">IF(F20="","",XLOOKUP(F20,Productos!E:E,Productos!G:G,"",0,1))</f>
        <v/>
      </c>
      <c r="C20" s="2" t="str">
        <f>IF(A20="","",SUMIFS('Validaciones Cotizador'!B:B,'Validaciones Cotizador'!C:C,D20,'Validaciones Cotizador'!A:A,A20))</f>
        <v/>
      </c>
      <c r="D20" s="4" t="str">
        <f>IFERROR(__xludf.DUMMYFUNCTION("IF(OR(F19=""Finalizar"",F19="""",F19=""Selecciona..""),"""",IF(OR(F19=""-"",INDEX(filter(Familias!F:F,Familias!D:D=A19,Familias!E:E=C19),1)=""O""),D19+1,D19))"),"")</f>
        <v/>
      </c>
      <c r="E20" s="2" t="str">
        <f>IF(OR(F20="",F20="Selecciona.."),"",IF(D20="Implemento",SUMIF(Implementos!B:B,F20,Implementos!A:A),SUMIF(Productos!E:E,F20,Productos!A:A)))</f>
        <v/>
      </c>
      <c r="F20" s="2" t="str">
        <f t="shared" si="2"/>
        <v/>
      </c>
      <c r="G20" s="10" t="str">
        <f t="array" ref="G20">IF(OR(F20="",F20="-",F20="Selecciona..",F20="Finalizar"),"",IF(A20="Rodados",XLOOKUP(B20,'Validaciones Cotizador'!I:I,'Validaciones Cotizador'!J:J,0,0,1),1))</f>
        <v/>
      </c>
      <c r="H20" s="11" t="str">
        <f>IF(OR(F20="",F20="Selecciona.."),"",SUMIF(Precio_Productos!K:K,E20,Precio_Productos!J:J)*G20)</f>
        <v/>
      </c>
      <c r="I20" s="4" t="str">
        <f t="array" ref="I20">IF($E20="","", XLOOKUP(SUMIFS(Prod_Prop!$A:$A,Prod_Prop!$B:$B,$E20,Prod_Prop!$H:$H,I$1,Prod_Prop!$I:$I,"Exacto"),Prod_Prop!$A:$A,Prod_Prop!$J:$J,"",0,1))</f>
        <v/>
      </c>
      <c r="J20" s="4" t="str">
        <f t="array" ref="J20">IF($E20="","", XLOOKUP(SUMIFS(Prod_Prop!$A:$A,Prod_Prop!$B:$B,$E20,Prod_Prop!$H:$H,J$1,Prod_Prop!$I:$I,"Exacto"),Prod_Prop!$A:$A,Prod_Prop!$J:$J,"",0,1))</f>
        <v/>
      </c>
      <c r="K20" s="4" t="str">
        <f t="array" ref="K20">IF($E20="","", XLOOKUP(SUMIFS(Prod_Prop!$A:$A,Prod_Prop!$B:$B,$E20,Prod_Prop!$H:$H,K$1,Prod_Prop!$I:$I,"Exacto"),Prod_Prop!$A:$A,Prod_Prop!$J:$J,"",0,1))</f>
        <v/>
      </c>
      <c r="L20" s="4" t="str">
        <f t="array" ref="L20">IF($E20="","", XLOOKUP(SUMIFS(Prod_Prop!$A:$A,Prod_Prop!$B:$B,$E20,Prod_Prop!$H:$H,L$1,Prod_Prop!$I:$I,"Exacto"),Prod_Prop!$A:$A,Prod_Prop!$J:$J,"",0,1))</f>
        <v/>
      </c>
      <c r="M20" s="4" t="str">
        <f t="array" ref="M20">IF($E20="","", XLOOKUP(SUMIFS(Prod_Prop!$A:$A,Prod_Prop!$B:$B,$E20,Prod_Prop!$H:$H,M$1,Prod_Prop!$I:$I,"Exacto"),Prod_Prop!$A:$A,Prod_Prop!$J:$J,"",0,1))</f>
        <v/>
      </c>
      <c r="N20" s="4" t="str">
        <f t="array" ref="N20">IF($E20="","", XLOOKUP(SUMIFS(Prod_Prop!$A:$A,Prod_Prop!$B:$B,$E20,Prod_Prop!$H:$H,N$1,Prod_Prop!$I:$I,"Exacto"),Prod_Prop!$A:$A,Prod_Prop!$J:$J,"",0,1))</f>
        <v/>
      </c>
      <c r="O20" s="4" t="str">
        <f t="array" ref="O20">IF($E20="","", XLOOKUP(SUMIFS(Prod_Prop!$A:$A,Prod_Prop!$B:$B,$E20,Prod_Prop!$H:$H,O$1,Prod_Prop!$I:$I,"Exacto"),Prod_Prop!$A:$A,Prod_Prop!$J:$J,"",0,1))</f>
        <v/>
      </c>
      <c r="P20" s="4" t="str">
        <f t="array" ref="P20">IF($E20="","", XLOOKUP(SUMIFS(Prod_Prop!$A:$A,Prod_Prop!$B:$B,$E20,Prod_Prop!$H:$H,P$1,Prod_Prop!$I:$I,"Exacto"),Prod_Prop!$A:$A,Prod_Prop!$J:$J,"",0,1))</f>
        <v/>
      </c>
      <c r="Q20" s="4" t="str">
        <f t="array" ref="Q20">IF($E20="","", XLOOKUP(SUMIFS(Prod_Prop!$A:$A,Prod_Prop!$B:$B,$E20,Prod_Prop!$H:$H,Q$1,Prod_Prop!$I:$I,"Exacto"),Prod_Prop!$A:$A,Prod_Prop!$J:$J,"",0,1))</f>
        <v/>
      </c>
      <c r="R20" s="4" t="str">
        <f t="array" ref="R20">IF($E20="","", XLOOKUP(SUMIFS(Prod_Prop!$A:$A,Prod_Prop!$B:$B,$E20,Prod_Prop!$H:$H,R$1,Prod_Prop!$I:$I,"Exacto"),Prod_Prop!$A:$A,Prod_Prop!$J:$J,"",0,1))</f>
        <v/>
      </c>
      <c r="S20" s="4" t="str">
        <f t="array" ref="S20">IF($E20="","", XLOOKUP(SUMIFS(Prod_Prop!$A:$A,Prod_Prop!$B:$B,$E20,Prod_Prop!$H:$H,S$1,Prod_Prop!$I:$I,"Exacto"),Prod_Prop!$A:$A,Prod_Prop!$J:$J,"",0,1))</f>
        <v/>
      </c>
      <c r="T20" s="4" t="str">
        <f t="array" ref="T20">IF($E20="","", XLOOKUP(SUMIFS(Prod_Prop!$A:$A,Prod_Prop!$B:$B,$E20,Prod_Prop!$H:$H,T$1,Prod_Prop!$I:$I,"Exacto"),Prod_Prop!$A:$A,Prod_Prop!$J:$J,"",0,1))</f>
        <v/>
      </c>
      <c r="U20" s="4" t="str">
        <f t="array" ref="U20">IF($E20="","", XLOOKUP(SUMIFS(Prod_Prop!$A:$A,Prod_Prop!$B:$B,$E20,Prod_Prop!$H:$H,U$1,Prod_Prop!$I:$I,"Exacto"),Prod_Prop!$A:$A,Prod_Prop!$J:$J,"",0,1))</f>
        <v/>
      </c>
      <c r="V20" s="4" t="str">
        <f t="array" ref="V20">IF($E20="","", XLOOKUP(SUMIFS(Prod_Prop!$A:$A,Prod_Prop!$B:$B,$E20,Prod_Prop!$H:$H,V$1,Prod_Prop!$I:$I,"Exacto"),Prod_Prop!$A:$A,Prod_Prop!$J:$J,"",0,1))</f>
        <v/>
      </c>
      <c r="X20" s="3" t="str">
        <f>IFERROR(__xludf.DUMMYFUNCTION("IF(D20="""","""",IFERROR(TRANSPOSE(FILTER('Validaciones Cotizador'!U:U,'Validaciones Cotizador'!O:O=D20,'Validaciones Cotizador'!T:T=""x"")),""Finalizar""))"),"")</f>
        <v/>
      </c>
    </row>
    <row r="21">
      <c r="A21" s="2" t="str">
        <f t="array" ref="A21">IF(E21="","",XLOOKUP(D21,'Validaciones Cotizador'!C:C,'Validaciones Cotizador'!A:A,"",0,1))</f>
        <v/>
      </c>
      <c r="B21" s="2" t="str">
        <f t="array" ref="B21">IF(F21="","",XLOOKUP(F21,Productos!E:E,Productos!G:G,"",0,1))</f>
        <v/>
      </c>
      <c r="C21" s="2" t="str">
        <f>IF(A21="","",SUMIFS('Validaciones Cotizador'!B:B,'Validaciones Cotizador'!C:C,D21,'Validaciones Cotizador'!A:A,A21))</f>
        <v/>
      </c>
      <c r="D21" s="4" t="str">
        <f>IFERROR(__xludf.DUMMYFUNCTION("IF(OR(F20=""Finalizar"",F20="""",F20=""Selecciona..""),"""",IF(OR(F20=""-"",INDEX(filter(Familias!F:F,Familias!D:D=A20,Familias!E:E=C20),1)=""O""),D20+1,D20))"),"")</f>
        <v/>
      </c>
      <c r="E21" s="2" t="str">
        <f>IF(OR(F21="",F21="Selecciona.."),"",IF(D21="Implemento",SUMIF(Implementos!B:B,F21,Implementos!A:A),SUMIF(Productos!E:E,F21,Productos!A:A)))</f>
        <v/>
      </c>
      <c r="F21" s="2" t="str">
        <f t="shared" si="2"/>
        <v/>
      </c>
      <c r="G21" s="10" t="str">
        <f t="array" ref="G21">IF(OR(F21="",F21="-",F21="Selecciona..",F21="Finalizar"),"",IF(A21="Rodados",XLOOKUP(B21,'Validaciones Cotizador'!I:I,'Validaciones Cotizador'!J:J,0,0,1),1))</f>
        <v/>
      </c>
      <c r="H21" s="11" t="str">
        <f>IF(OR(F21="",F21="Selecciona.."),"",SUMIF(Precio_Productos!K:K,E21,Precio_Productos!J:J)*G21)</f>
        <v/>
      </c>
      <c r="I21" s="4" t="str">
        <f t="array" ref="I21">IF($E21="","", XLOOKUP(SUMIFS(Prod_Prop!$A:$A,Prod_Prop!$B:$B,$E21,Prod_Prop!$H:$H,I$1,Prod_Prop!$I:$I,"Exacto"),Prod_Prop!$A:$A,Prod_Prop!$J:$J,"",0,1))</f>
        <v/>
      </c>
      <c r="J21" s="4" t="str">
        <f t="array" ref="J21">IF($E21="","", XLOOKUP(SUMIFS(Prod_Prop!$A:$A,Prod_Prop!$B:$B,$E21,Prod_Prop!$H:$H,J$1,Prod_Prop!$I:$I,"Exacto"),Prod_Prop!$A:$A,Prod_Prop!$J:$J,"",0,1))</f>
        <v/>
      </c>
      <c r="K21" s="4" t="str">
        <f t="array" ref="K21">IF($E21="","", XLOOKUP(SUMIFS(Prod_Prop!$A:$A,Prod_Prop!$B:$B,$E21,Prod_Prop!$H:$H,K$1,Prod_Prop!$I:$I,"Exacto"),Prod_Prop!$A:$A,Prod_Prop!$J:$J,"",0,1))</f>
        <v/>
      </c>
      <c r="L21" s="4" t="str">
        <f t="array" ref="L21">IF($E21="","", XLOOKUP(SUMIFS(Prod_Prop!$A:$A,Prod_Prop!$B:$B,$E21,Prod_Prop!$H:$H,L$1,Prod_Prop!$I:$I,"Exacto"),Prod_Prop!$A:$A,Prod_Prop!$J:$J,"",0,1))</f>
        <v/>
      </c>
      <c r="M21" s="4" t="str">
        <f t="array" ref="M21">IF($E21="","", XLOOKUP(SUMIFS(Prod_Prop!$A:$A,Prod_Prop!$B:$B,$E21,Prod_Prop!$H:$H,M$1,Prod_Prop!$I:$I,"Exacto"),Prod_Prop!$A:$A,Prod_Prop!$J:$J,"",0,1))</f>
        <v/>
      </c>
      <c r="N21" s="4" t="str">
        <f t="array" ref="N21">IF($E21="","", XLOOKUP(SUMIFS(Prod_Prop!$A:$A,Prod_Prop!$B:$B,$E21,Prod_Prop!$H:$H,N$1,Prod_Prop!$I:$I,"Exacto"),Prod_Prop!$A:$A,Prod_Prop!$J:$J,"",0,1))</f>
        <v/>
      </c>
      <c r="O21" s="4" t="str">
        <f t="array" ref="O21">IF($E21="","", XLOOKUP(SUMIFS(Prod_Prop!$A:$A,Prod_Prop!$B:$B,$E21,Prod_Prop!$H:$H,O$1,Prod_Prop!$I:$I,"Exacto"),Prod_Prop!$A:$A,Prod_Prop!$J:$J,"",0,1))</f>
        <v/>
      </c>
      <c r="P21" s="4" t="str">
        <f t="array" ref="P21">IF($E21="","", XLOOKUP(SUMIFS(Prod_Prop!$A:$A,Prod_Prop!$B:$B,$E21,Prod_Prop!$H:$H,P$1,Prod_Prop!$I:$I,"Exacto"),Prod_Prop!$A:$A,Prod_Prop!$J:$J,"",0,1))</f>
        <v/>
      </c>
      <c r="Q21" s="4" t="str">
        <f t="array" ref="Q21">IF($E21="","", XLOOKUP(SUMIFS(Prod_Prop!$A:$A,Prod_Prop!$B:$B,$E21,Prod_Prop!$H:$H,Q$1,Prod_Prop!$I:$I,"Exacto"),Prod_Prop!$A:$A,Prod_Prop!$J:$J,"",0,1))</f>
        <v/>
      </c>
      <c r="R21" s="4" t="str">
        <f t="array" ref="R21">IF($E21="","", XLOOKUP(SUMIFS(Prod_Prop!$A:$A,Prod_Prop!$B:$B,$E21,Prod_Prop!$H:$H,R$1,Prod_Prop!$I:$I,"Exacto"),Prod_Prop!$A:$A,Prod_Prop!$J:$J,"",0,1))</f>
        <v/>
      </c>
      <c r="S21" s="4" t="str">
        <f t="array" ref="S21">IF($E21="","", XLOOKUP(SUMIFS(Prod_Prop!$A:$A,Prod_Prop!$B:$B,$E21,Prod_Prop!$H:$H,S$1,Prod_Prop!$I:$I,"Exacto"),Prod_Prop!$A:$A,Prod_Prop!$J:$J,"",0,1))</f>
        <v/>
      </c>
      <c r="T21" s="4" t="str">
        <f t="array" ref="T21">IF($E21="","", XLOOKUP(SUMIFS(Prod_Prop!$A:$A,Prod_Prop!$B:$B,$E21,Prod_Prop!$H:$H,T$1,Prod_Prop!$I:$I,"Exacto"),Prod_Prop!$A:$A,Prod_Prop!$J:$J,"",0,1))</f>
        <v/>
      </c>
      <c r="U21" s="4" t="str">
        <f t="array" ref="U21">IF($E21="","", XLOOKUP(SUMIFS(Prod_Prop!$A:$A,Prod_Prop!$B:$B,$E21,Prod_Prop!$H:$H,U$1,Prod_Prop!$I:$I,"Exacto"),Prod_Prop!$A:$A,Prod_Prop!$J:$J,"",0,1))</f>
        <v/>
      </c>
      <c r="V21" s="4" t="str">
        <f t="array" ref="V21">IF($E21="","", XLOOKUP(SUMIFS(Prod_Prop!$A:$A,Prod_Prop!$B:$B,$E21,Prod_Prop!$H:$H,V$1,Prod_Prop!$I:$I,"Exacto"),Prod_Prop!$A:$A,Prod_Prop!$J:$J,"",0,1))</f>
        <v/>
      </c>
      <c r="X21" s="3" t="str">
        <f>IFERROR(__xludf.DUMMYFUNCTION("IF(D21="""","""",IFERROR(TRANSPOSE(FILTER('Validaciones Cotizador'!U:U,'Validaciones Cotizador'!O:O=D21,'Validaciones Cotizador'!T:T=""x"")),""Finalizar""))"),"")</f>
        <v/>
      </c>
    </row>
    <row r="22">
      <c r="A22" s="2" t="str">
        <f t="array" ref="A22">IF(E22="","",XLOOKUP(D22,'Validaciones Cotizador'!C:C,'Validaciones Cotizador'!A:A,"",0,1))</f>
        <v/>
      </c>
      <c r="B22" s="2" t="str">
        <f t="array" ref="B22">IF(F22="","",XLOOKUP(F22,Productos!E:E,Productos!G:G,"",0,1))</f>
        <v/>
      </c>
      <c r="C22" s="2" t="str">
        <f>IF(A22="","",SUMIFS('Validaciones Cotizador'!B:B,'Validaciones Cotizador'!C:C,D22,'Validaciones Cotizador'!A:A,A22))</f>
        <v/>
      </c>
      <c r="D22" s="4" t="str">
        <f>IFERROR(__xludf.DUMMYFUNCTION("IF(OR(F21=""Finalizar"",F21="""",F21=""Selecciona..""),"""",IF(OR(F21=""-"",INDEX(filter(Familias!F:F,Familias!D:D=A21,Familias!E:E=C21),1)=""O""),D21+1,D21))"),"")</f>
        <v/>
      </c>
      <c r="E22" s="2" t="str">
        <f>IF(OR(F22="",F22="Selecciona.."),"",IF(D22="Implemento",SUMIF(Implementos!B:B,F22,Implementos!A:A),SUMIF(Productos!E:E,F22,Productos!A:A)))</f>
        <v/>
      </c>
      <c r="F22" s="2" t="str">
        <f t="shared" si="2"/>
        <v/>
      </c>
      <c r="G22" s="10" t="str">
        <f t="array" ref="G22">IF(OR(F22="",F22="-",F22="Selecciona..",F22="Finalizar"),"",IF(A22="Rodados",XLOOKUP(B22,'Validaciones Cotizador'!I:I,'Validaciones Cotizador'!J:J,0,0,1),1))</f>
        <v/>
      </c>
      <c r="H22" s="11" t="str">
        <f>IF(OR(F22="",F22="Selecciona.."),"",SUMIF(Precio_Productos!K:K,E22,Precio_Productos!J:J)*G22)</f>
        <v/>
      </c>
      <c r="I22" s="4" t="str">
        <f t="array" ref="I22">IF($E22="","", XLOOKUP(SUMIFS(Prod_Prop!$A:$A,Prod_Prop!$B:$B,$E22,Prod_Prop!$H:$H,I$1,Prod_Prop!$I:$I,"Exacto"),Prod_Prop!$A:$A,Prod_Prop!$J:$J,"",0,1))</f>
        <v/>
      </c>
      <c r="J22" s="4" t="str">
        <f t="array" ref="J22">IF($E22="","", XLOOKUP(SUMIFS(Prod_Prop!$A:$A,Prod_Prop!$B:$B,$E22,Prod_Prop!$H:$H,J$1,Prod_Prop!$I:$I,"Exacto"),Prod_Prop!$A:$A,Prod_Prop!$J:$J,"",0,1))</f>
        <v/>
      </c>
      <c r="K22" s="4" t="str">
        <f t="array" ref="K22">IF($E22="","", XLOOKUP(SUMIFS(Prod_Prop!$A:$A,Prod_Prop!$B:$B,$E22,Prod_Prop!$H:$H,K$1,Prod_Prop!$I:$I,"Exacto"),Prod_Prop!$A:$A,Prod_Prop!$J:$J,"",0,1))</f>
        <v/>
      </c>
      <c r="L22" s="4" t="str">
        <f t="array" ref="L22">IF($E22="","", XLOOKUP(SUMIFS(Prod_Prop!$A:$A,Prod_Prop!$B:$B,$E22,Prod_Prop!$H:$H,L$1,Prod_Prop!$I:$I,"Exacto"),Prod_Prop!$A:$A,Prod_Prop!$J:$J,"",0,1))</f>
        <v/>
      </c>
      <c r="M22" s="4" t="str">
        <f t="array" ref="M22">IF($E22="","", XLOOKUP(SUMIFS(Prod_Prop!$A:$A,Prod_Prop!$B:$B,$E22,Prod_Prop!$H:$H,M$1,Prod_Prop!$I:$I,"Exacto"),Prod_Prop!$A:$A,Prod_Prop!$J:$J,"",0,1))</f>
        <v/>
      </c>
      <c r="N22" s="4" t="str">
        <f t="array" ref="N22">IF($E22="","", XLOOKUP(SUMIFS(Prod_Prop!$A:$A,Prod_Prop!$B:$B,$E22,Prod_Prop!$H:$H,N$1,Prod_Prop!$I:$I,"Exacto"),Prod_Prop!$A:$A,Prod_Prop!$J:$J,"",0,1))</f>
        <v/>
      </c>
      <c r="O22" s="4" t="str">
        <f t="array" ref="O22">IF($E22="","", XLOOKUP(SUMIFS(Prod_Prop!$A:$A,Prod_Prop!$B:$B,$E22,Prod_Prop!$H:$H,O$1,Prod_Prop!$I:$I,"Exacto"),Prod_Prop!$A:$A,Prod_Prop!$J:$J,"",0,1))</f>
        <v/>
      </c>
      <c r="P22" s="4" t="str">
        <f t="array" ref="P22">IF($E22="","", XLOOKUP(SUMIFS(Prod_Prop!$A:$A,Prod_Prop!$B:$B,$E22,Prod_Prop!$H:$H,P$1,Prod_Prop!$I:$I,"Exacto"),Prod_Prop!$A:$A,Prod_Prop!$J:$J,"",0,1))</f>
        <v/>
      </c>
      <c r="Q22" s="4" t="str">
        <f t="array" ref="Q22">IF($E22="","", XLOOKUP(SUMIFS(Prod_Prop!$A:$A,Prod_Prop!$B:$B,$E22,Prod_Prop!$H:$H,Q$1,Prod_Prop!$I:$I,"Exacto"),Prod_Prop!$A:$A,Prod_Prop!$J:$J,"",0,1))</f>
        <v/>
      </c>
      <c r="R22" s="4" t="str">
        <f t="array" ref="R22">IF($E22="","", XLOOKUP(SUMIFS(Prod_Prop!$A:$A,Prod_Prop!$B:$B,$E22,Prod_Prop!$H:$H,R$1,Prod_Prop!$I:$I,"Exacto"),Prod_Prop!$A:$A,Prod_Prop!$J:$J,"",0,1))</f>
        <v/>
      </c>
      <c r="S22" s="4" t="str">
        <f t="array" ref="S22">IF($E22="","", XLOOKUP(SUMIFS(Prod_Prop!$A:$A,Prod_Prop!$B:$B,$E22,Prod_Prop!$H:$H,S$1,Prod_Prop!$I:$I,"Exacto"),Prod_Prop!$A:$A,Prod_Prop!$J:$J,"",0,1))</f>
        <v/>
      </c>
      <c r="T22" s="4" t="str">
        <f t="array" ref="T22">IF($E22="","", XLOOKUP(SUMIFS(Prod_Prop!$A:$A,Prod_Prop!$B:$B,$E22,Prod_Prop!$H:$H,T$1,Prod_Prop!$I:$I,"Exacto"),Prod_Prop!$A:$A,Prod_Prop!$J:$J,"",0,1))</f>
        <v/>
      </c>
      <c r="U22" s="4" t="str">
        <f t="array" ref="U22">IF($E22="","", XLOOKUP(SUMIFS(Prod_Prop!$A:$A,Prod_Prop!$B:$B,$E22,Prod_Prop!$H:$H,U$1,Prod_Prop!$I:$I,"Exacto"),Prod_Prop!$A:$A,Prod_Prop!$J:$J,"",0,1))</f>
        <v/>
      </c>
      <c r="V22" s="4" t="str">
        <f t="array" ref="V22">IF($E22="","", XLOOKUP(SUMIFS(Prod_Prop!$A:$A,Prod_Prop!$B:$B,$E22,Prod_Prop!$H:$H,V$1,Prod_Prop!$I:$I,"Exacto"),Prod_Prop!$A:$A,Prod_Prop!$J:$J,"",0,1))</f>
        <v/>
      </c>
      <c r="X22" s="3" t="str">
        <f>IFERROR(__xludf.DUMMYFUNCTION("IF(D22="""","""",IFERROR(TRANSPOSE(FILTER('Validaciones Cotizador'!U:U,'Validaciones Cotizador'!O:O=D22,'Validaciones Cotizador'!T:T=""x"")),""Finalizar""))"),"")</f>
        <v/>
      </c>
    </row>
    <row r="23">
      <c r="A23" s="2" t="str">
        <f t="array" ref="A23">IF(E23="","",XLOOKUP(D23,'Validaciones Cotizador'!C:C,'Validaciones Cotizador'!A:A,"",0,1))</f>
        <v/>
      </c>
      <c r="B23" s="2" t="str">
        <f t="array" ref="B23">IF(F23="","",XLOOKUP(F23,Productos!E:E,Productos!G:G,"",0,1))</f>
        <v/>
      </c>
      <c r="C23" s="2" t="str">
        <f>IF(A23="","",SUMIFS('Validaciones Cotizador'!B:B,'Validaciones Cotizador'!C:C,D23,'Validaciones Cotizador'!A:A,A23))</f>
        <v/>
      </c>
      <c r="D23" s="4" t="str">
        <f>IFERROR(__xludf.DUMMYFUNCTION("IF(OR(F22=""Finalizar"",F22="""",F22=""Selecciona..""),"""",IF(OR(F22=""-"",INDEX(filter(Familias!F:F,Familias!D:D=A22,Familias!E:E=C22),1)=""O""),D22+1,D22))"),"")</f>
        <v/>
      </c>
      <c r="E23" s="2" t="str">
        <f>IF(OR(F23="",F23="Selecciona.."),"",IF(D23="Implemento",SUMIF(Implementos!B:B,F23,Implementos!A:A),SUMIF(Productos!E:E,F23,Productos!A:A)))</f>
        <v/>
      </c>
      <c r="F23" s="2" t="str">
        <f t="shared" si="2"/>
        <v/>
      </c>
      <c r="G23" s="10" t="str">
        <f t="array" ref="G23">IF(OR(F23="",F23="-",F23="Selecciona..",F23="Finalizar"),"",IF(A23="Rodados",XLOOKUP(B23,'Validaciones Cotizador'!I:I,'Validaciones Cotizador'!J:J,0,0,1),1))</f>
        <v/>
      </c>
      <c r="H23" s="11" t="str">
        <f>IF(OR(F23="",F23="Selecciona.."),"",SUMIF(Precio_Productos!K:K,E23,Precio_Productos!J:J)*G23)</f>
        <v/>
      </c>
      <c r="I23" s="4" t="str">
        <f t="array" ref="I23">IF($E23="","", XLOOKUP(SUMIFS(Prod_Prop!$A:$A,Prod_Prop!$B:$B,$E23,Prod_Prop!$H:$H,I$1,Prod_Prop!$I:$I,"Exacto"),Prod_Prop!$A:$A,Prod_Prop!$J:$J,"",0,1))</f>
        <v/>
      </c>
      <c r="J23" s="4" t="str">
        <f t="array" ref="J23">IF($E23="","", XLOOKUP(SUMIFS(Prod_Prop!$A:$A,Prod_Prop!$B:$B,$E23,Prod_Prop!$H:$H,J$1,Prod_Prop!$I:$I,"Exacto"),Prod_Prop!$A:$A,Prod_Prop!$J:$J,"",0,1))</f>
        <v/>
      </c>
      <c r="K23" s="4" t="str">
        <f t="array" ref="K23">IF($E23="","", XLOOKUP(SUMIFS(Prod_Prop!$A:$A,Prod_Prop!$B:$B,$E23,Prod_Prop!$H:$H,K$1,Prod_Prop!$I:$I,"Exacto"),Prod_Prop!$A:$A,Prod_Prop!$J:$J,"",0,1))</f>
        <v/>
      </c>
      <c r="L23" s="4" t="str">
        <f t="array" ref="L23">IF($E23="","", XLOOKUP(SUMIFS(Prod_Prop!$A:$A,Prod_Prop!$B:$B,$E23,Prod_Prop!$H:$H,L$1,Prod_Prop!$I:$I,"Exacto"),Prod_Prop!$A:$A,Prod_Prop!$J:$J,"",0,1))</f>
        <v/>
      </c>
      <c r="M23" s="4" t="str">
        <f t="array" ref="M23">IF($E23="","", XLOOKUP(SUMIFS(Prod_Prop!$A:$A,Prod_Prop!$B:$B,$E23,Prod_Prop!$H:$H,M$1,Prod_Prop!$I:$I,"Exacto"),Prod_Prop!$A:$A,Prod_Prop!$J:$J,"",0,1))</f>
        <v/>
      </c>
      <c r="N23" s="4" t="str">
        <f t="array" ref="N23">IF($E23="","", XLOOKUP(SUMIFS(Prod_Prop!$A:$A,Prod_Prop!$B:$B,$E23,Prod_Prop!$H:$H,N$1,Prod_Prop!$I:$I,"Exacto"),Prod_Prop!$A:$A,Prod_Prop!$J:$J,"",0,1))</f>
        <v/>
      </c>
      <c r="O23" s="4" t="str">
        <f t="array" ref="O23">IF($E23="","", XLOOKUP(SUMIFS(Prod_Prop!$A:$A,Prod_Prop!$B:$B,$E23,Prod_Prop!$H:$H,O$1,Prod_Prop!$I:$I,"Exacto"),Prod_Prop!$A:$A,Prod_Prop!$J:$J,"",0,1))</f>
        <v/>
      </c>
      <c r="P23" s="4" t="str">
        <f t="array" ref="P23">IF($E23="","", XLOOKUP(SUMIFS(Prod_Prop!$A:$A,Prod_Prop!$B:$B,$E23,Prod_Prop!$H:$H,P$1,Prod_Prop!$I:$I,"Exacto"),Prod_Prop!$A:$A,Prod_Prop!$J:$J,"",0,1))</f>
        <v/>
      </c>
      <c r="Q23" s="4" t="str">
        <f t="array" ref="Q23">IF($E23="","", XLOOKUP(SUMIFS(Prod_Prop!$A:$A,Prod_Prop!$B:$B,$E23,Prod_Prop!$H:$H,Q$1,Prod_Prop!$I:$I,"Exacto"),Prod_Prop!$A:$A,Prod_Prop!$J:$J,"",0,1))</f>
        <v/>
      </c>
      <c r="R23" s="4" t="str">
        <f t="array" ref="R23">IF($E23="","", XLOOKUP(SUMIFS(Prod_Prop!$A:$A,Prod_Prop!$B:$B,$E23,Prod_Prop!$H:$H,R$1,Prod_Prop!$I:$I,"Exacto"),Prod_Prop!$A:$A,Prod_Prop!$J:$J,"",0,1))</f>
        <v/>
      </c>
      <c r="S23" s="4" t="str">
        <f t="array" ref="S23">IF($E23="","", XLOOKUP(SUMIFS(Prod_Prop!$A:$A,Prod_Prop!$B:$B,$E23,Prod_Prop!$H:$H,S$1,Prod_Prop!$I:$I,"Exacto"),Prod_Prop!$A:$A,Prod_Prop!$J:$J,"",0,1))</f>
        <v/>
      </c>
      <c r="T23" s="4" t="str">
        <f t="array" ref="T23">IF($E23="","", XLOOKUP(SUMIFS(Prod_Prop!$A:$A,Prod_Prop!$B:$B,$E23,Prod_Prop!$H:$H,T$1,Prod_Prop!$I:$I,"Exacto"),Prod_Prop!$A:$A,Prod_Prop!$J:$J,"",0,1))</f>
        <v/>
      </c>
      <c r="U23" s="4" t="str">
        <f t="array" ref="U23">IF($E23="","", XLOOKUP(SUMIFS(Prod_Prop!$A:$A,Prod_Prop!$B:$B,$E23,Prod_Prop!$H:$H,U$1,Prod_Prop!$I:$I,"Exacto"),Prod_Prop!$A:$A,Prod_Prop!$J:$J,"",0,1))</f>
        <v/>
      </c>
      <c r="V23" s="4" t="str">
        <f t="array" ref="V23">IF($E23="","", XLOOKUP(SUMIFS(Prod_Prop!$A:$A,Prod_Prop!$B:$B,$E23,Prod_Prop!$H:$H,V$1,Prod_Prop!$I:$I,"Exacto"),Prod_Prop!$A:$A,Prod_Prop!$J:$J,"",0,1))</f>
        <v/>
      </c>
      <c r="X23" s="3" t="str">
        <f>IFERROR(__xludf.DUMMYFUNCTION("IF(D23="""","""",IFERROR(TRANSPOSE(FILTER('Validaciones Cotizador'!U:U,'Validaciones Cotizador'!O:O=D23,'Validaciones Cotizador'!T:T=""x"")),""Finalizar""))"),"")</f>
        <v/>
      </c>
    </row>
    <row r="24">
      <c r="A24" s="2" t="str">
        <f t="array" ref="A24">IF(E24="","",XLOOKUP(D24,'Validaciones Cotizador'!C:C,'Validaciones Cotizador'!A:A,"",0,1))</f>
        <v/>
      </c>
      <c r="B24" s="2" t="str">
        <f t="array" ref="B24">IF(F24="","",XLOOKUP(F24,Productos!E:E,Productos!G:G,"",0,1))</f>
        <v/>
      </c>
      <c r="C24" s="2" t="str">
        <f>IF(A24="","",SUMIFS('Validaciones Cotizador'!B:B,'Validaciones Cotizador'!C:C,D24,'Validaciones Cotizador'!A:A,A24))</f>
        <v/>
      </c>
      <c r="D24" s="4" t="str">
        <f>IFERROR(__xludf.DUMMYFUNCTION("IF(OR(F23=""Finalizar"",F23="""",F23=""Selecciona..""),"""",IF(OR(F23=""-"",INDEX(filter(Familias!F:F,Familias!D:D=A23,Familias!E:E=C23),1)=""O""),D23+1,D23))"),"")</f>
        <v/>
      </c>
      <c r="E24" s="2" t="str">
        <f>IF(OR(F24="",F24="Selecciona.."),"",IF(D24="Implemento",SUMIF(Implementos!B:B,F24,Implementos!A:A),SUMIF(Productos!E:E,F24,Productos!A:A)))</f>
        <v/>
      </c>
      <c r="F24" s="2" t="str">
        <f t="shared" si="2"/>
        <v/>
      </c>
      <c r="G24" s="10" t="str">
        <f t="array" ref="G24">IF(OR(F24="",F24="-",F24="Selecciona..",F24="Finalizar"),"",IF(A24="Rodados",XLOOKUP(B24,'Validaciones Cotizador'!I:I,'Validaciones Cotizador'!J:J,0,0,1),1))</f>
        <v/>
      </c>
      <c r="H24" s="11" t="str">
        <f>IF(OR(F24="",F24="Selecciona.."),"",SUMIF(Precio_Productos!K:K,E24,Precio_Productos!J:J)*G24)</f>
        <v/>
      </c>
      <c r="I24" s="4" t="str">
        <f t="array" ref="I24">IF($E24="","", XLOOKUP(SUMIFS(Prod_Prop!$A:$A,Prod_Prop!$B:$B,$E24,Prod_Prop!$H:$H,I$1,Prod_Prop!$I:$I,"Exacto"),Prod_Prop!$A:$A,Prod_Prop!$J:$J,"",0,1))</f>
        <v/>
      </c>
      <c r="J24" s="4" t="str">
        <f t="array" ref="J24">IF($E24="","", XLOOKUP(SUMIFS(Prod_Prop!$A:$A,Prod_Prop!$B:$B,$E24,Prod_Prop!$H:$H,J$1,Prod_Prop!$I:$I,"Exacto"),Prod_Prop!$A:$A,Prod_Prop!$J:$J,"",0,1))</f>
        <v/>
      </c>
      <c r="K24" s="4" t="str">
        <f t="array" ref="K24">IF($E24="","", XLOOKUP(SUMIFS(Prod_Prop!$A:$A,Prod_Prop!$B:$B,$E24,Prod_Prop!$H:$H,K$1,Prod_Prop!$I:$I,"Exacto"),Prod_Prop!$A:$A,Prod_Prop!$J:$J,"",0,1))</f>
        <v/>
      </c>
      <c r="L24" s="4" t="str">
        <f t="array" ref="L24">IF($E24="","", XLOOKUP(SUMIFS(Prod_Prop!$A:$A,Prod_Prop!$B:$B,$E24,Prod_Prop!$H:$H,L$1,Prod_Prop!$I:$I,"Exacto"),Prod_Prop!$A:$A,Prod_Prop!$J:$J,"",0,1))</f>
        <v/>
      </c>
      <c r="M24" s="4" t="str">
        <f t="array" ref="M24">IF($E24="","", XLOOKUP(SUMIFS(Prod_Prop!$A:$A,Prod_Prop!$B:$B,$E24,Prod_Prop!$H:$H,M$1,Prod_Prop!$I:$I,"Exacto"),Prod_Prop!$A:$A,Prod_Prop!$J:$J,"",0,1))</f>
        <v/>
      </c>
      <c r="N24" s="4" t="str">
        <f t="array" ref="N24">IF($E24="","", XLOOKUP(SUMIFS(Prod_Prop!$A:$A,Prod_Prop!$B:$B,$E24,Prod_Prop!$H:$H,N$1,Prod_Prop!$I:$I,"Exacto"),Prod_Prop!$A:$A,Prod_Prop!$J:$J,"",0,1))</f>
        <v/>
      </c>
      <c r="O24" s="4" t="str">
        <f t="array" ref="O24">IF($E24="","", XLOOKUP(SUMIFS(Prod_Prop!$A:$A,Prod_Prop!$B:$B,$E24,Prod_Prop!$H:$H,O$1,Prod_Prop!$I:$I,"Exacto"),Prod_Prop!$A:$A,Prod_Prop!$J:$J,"",0,1))</f>
        <v/>
      </c>
      <c r="P24" s="4" t="str">
        <f t="array" ref="P24">IF($E24="","", XLOOKUP(SUMIFS(Prod_Prop!$A:$A,Prod_Prop!$B:$B,$E24,Prod_Prop!$H:$H,P$1,Prod_Prop!$I:$I,"Exacto"),Prod_Prop!$A:$A,Prod_Prop!$J:$J,"",0,1))</f>
        <v/>
      </c>
      <c r="Q24" s="4" t="str">
        <f t="array" ref="Q24">IF($E24="","", XLOOKUP(SUMIFS(Prod_Prop!$A:$A,Prod_Prop!$B:$B,$E24,Prod_Prop!$H:$H,Q$1,Prod_Prop!$I:$I,"Exacto"),Prod_Prop!$A:$A,Prod_Prop!$J:$J,"",0,1))</f>
        <v/>
      </c>
      <c r="R24" s="4" t="str">
        <f t="array" ref="R24">IF($E24="","", XLOOKUP(SUMIFS(Prod_Prop!$A:$A,Prod_Prop!$B:$B,$E24,Prod_Prop!$H:$H,R$1,Prod_Prop!$I:$I,"Exacto"),Prod_Prop!$A:$A,Prod_Prop!$J:$J,"",0,1))</f>
        <v/>
      </c>
      <c r="S24" s="4" t="str">
        <f t="array" ref="S24">IF($E24="","", XLOOKUP(SUMIFS(Prod_Prop!$A:$A,Prod_Prop!$B:$B,$E24,Prod_Prop!$H:$H,S$1,Prod_Prop!$I:$I,"Exacto"),Prod_Prop!$A:$A,Prod_Prop!$J:$J,"",0,1))</f>
        <v/>
      </c>
      <c r="T24" s="4" t="str">
        <f t="array" ref="T24">IF($E24="","", XLOOKUP(SUMIFS(Prod_Prop!$A:$A,Prod_Prop!$B:$B,$E24,Prod_Prop!$H:$H,T$1,Prod_Prop!$I:$I,"Exacto"),Prod_Prop!$A:$A,Prod_Prop!$J:$J,"",0,1))</f>
        <v/>
      </c>
      <c r="U24" s="4" t="str">
        <f t="array" ref="U24">IF($E24="","", XLOOKUP(SUMIFS(Prod_Prop!$A:$A,Prod_Prop!$B:$B,$E24,Prod_Prop!$H:$H,U$1,Prod_Prop!$I:$I,"Exacto"),Prod_Prop!$A:$A,Prod_Prop!$J:$J,"",0,1))</f>
        <v/>
      </c>
      <c r="V24" s="4" t="str">
        <f t="array" ref="V24">IF($E24="","", XLOOKUP(SUMIFS(Prod_Prop!$A:$A,Prod_Prop!$B:$B,$E24,Prod_Prop!$H:$H,V$1,Prod_Prop!$I:$I,"Exacto"),Prod_Prop!$A:$A,Prod_Prop!$J:$J,"",0,1))</f>
        <v/>
      </c>
      <c r="X24" s="3" t="str">
        <f>IFERROR(__xludf.DUMMYFUNCTION("IF(D24="""","""",IFERROR(TRANSPOSE(FILTER('Validaciones Cotizador'!U:U,'Validaciones Cotizador'!O:O=D24,'Validaciones Cotizador'!T:T=""x"")),""Finalizar""))"),"")</f>
        <v/>
      </c>
    </row>
    <row r="25">
      <c r="A25" s="2" t="str">
        <f t="array" ref="A25">IF(E25="","",XLOOKUP(D25,'Validaciones Cotizador'!C:C,'Validaciones Cotizador'!A:A,"",0,1))</f>
        <v/>
      </c>
      <c r="B25" s="2" t="str">
        <f t="array" ref="B25">IF(F25="","",XLOOKUP(F25,Productos!E:E,Productos!G:G,"",0,1))</f>
        <v/>
      </c>
      <c r="C25" s="2" t="str">
        <f>IF(A25="","",SUMIFS('Validaciones Cotizador'!B:B,'Validaciones Cotizador'!C:C,D25,'Validaciones Cotizador'!A:A,A25))</f>
        <v/>
      </c>
      <c r="D25" s="4" t="str">
        <f>IFERROR(__xludf.DUMMYFUNCTION("IF(OR(F24=""Finalizar"",F24="""",F24=""Selecciona..""),"""",IF(OR(F24=""-"",INDEX(filter(Familias!F:F,Familias!D:D=A24,Familias!E:E=C24),1)=""O""),D24+1,D24))"),"")</f>
        <v/>
      </c>
      <c r="E25" s="2" t="str">
        <f>IF(OR(F25="",F25="Selecciona.."),"",IF(D25="Implemento",SUMIF(Implementos!B:B,F25,Implementos!A:A),SUMIF(Productos!E:E,F25,Productos!A:A)))</f>
        <v/>
      </c>
      <c r="F25" s="2" t="str">
        <f t="shared" si="2"/>
        <v/>
      </c>
      <c r="G25" s="10" t="str">
        <f t="array" ref="G25">IF(OR(F25="",F25="-",F25="Selecciona..",F25="Finalizar"),"",IF(A25="Rodados",XLOOKUP(B25,'Validaciones Cotizador'!I:I,'Validaciones Cotizador'!J:J,0,0,1),1))</f>
        <v/>
      </c>
      <c r="H25" s="11" t="str">
        <f>IF(OR(F25="",F25="Selecciona.."),"",SUMIF(Precio_Productos!K:K,E25,Precio_Productos!J:J)*G25)</f>
        <v/>
      </c>
      <c r="I25" s="4" t="str">
        <f t="array" ref="I25">IF($E25="","", XLOOKUP(SUMIFS(Prod_Prop!$A:$A,Prod_Prop!$B:$B,$E25,Prod_Prop!$H:$H,I$1,Prod_Prop!$I:$I,"Exacto"),Prod_Prop!$A:$A,Prod_Prop!$J:$J,"",0,1))</f>
        <v/>
      </c>
      <c r="J25" s="4" t="str">
        <f t="array" ref="J25">IF($E25="","", XLOOKUP(SUMIFS(Prod_Prop!$A:$A,Prod_Prop!$B:$B,$E25,Prod_Prop!$H:$H,J$1,Prod_Prop!$I:$I,"Exacto"),Prod_Prop!$A:$A,Prod_Prop!$J:$J,"",0,1))</f>
        <v/>
      </c>
      <c r="K25" s="4" t="str">
        <f t="array" ref="K25">IF($E25="","", XLOOKUP(SUMIFS(Prod_Prop!$A:$A,Prod_Prop!$B:$B,$E25,Prod_Prop!$H:$H,K$1,Prod_Prop!$I:$I,"Exacto"),Prod_Prop!$A:$A,Prod_Prop!$J:$J,"",0,1))</f>
        <v/>
      </c>
      <c r="L25" s="4" t="str">
        <f t="array" ref="L25">IF($E25="","", XLOOKUP(SUMIFS(Prod_Prop!$A:$A,Prod_Prop!$B:$B,$E25,Prod_Prop!$H:$H,L$1,Prod_Prop!$I:$I,"Exacto"),Prod_Prop!$A:$A,Prod_Prop!$J:$J,"",0,1))</f>
        <v/>
      </c>
      <c r="M25" s="4" t="str">
        <f t="array" ref="M25">IF($E25="","", XLOOKUP(SUMIFS(Prod_Prop!$A:$A,Prod_Prop!$B:$B,$E25,Prod_Prop!$H:$H,M$1,Prod_Prop!$I:$I,"Exacto"),Prod_Prop!$A:$A,Prod_Prop!$J:$J,"",0,1))</f>
        <v/>
      </c>
      <c r="N25" s="4" t="str">
        <f t="array" ref="N25">IF($E25="","", XLOOKUP(SUMIFS(Prod_Prop!$A:$A,Prod_Prop!$B:$B,$E25,Prod_Prop!$H:$H,N$1,Prod_Prop!$I:$I,"Exacto"),Prod_Prop!$A:$A,Prod_Prop!$J:$J,"",0,1))</f>
        <v/>
      </c>
      <c r="O25" s="4" t="str">
        <f t="array" ref="O25">IF($E25="","", XLOOKUP(SUMIFS(Prod_Prop!$A:$A,Prod_Prop!$B:$B,$E25,Prod_Prop!$H:$H,O$1,Prod_Prop!$I:$I,"Exacto"),Prod_Prop!$A:$A,Prod_Prop!$J:$J,"",0,1))</f>
        <v/>
      </c>
      <c r="P25" s="4" t="str">
        <f t="array" ref="P25">IF($E25="","", XLOOKUP(SUMIFS(Prod_Prop!$A:$A,Prod_Prop!$B:$B,$E25,Prod_Prop!$H:$H,P$1,Prod_Prop!$I:$I,"Exacto"),Prod_Prop!$A:$A,Prod_Prop!$J:$J,"",0,1))</f>
        <v/>
      </c>
      <c r="Q25" s="4" t="str">
        <f t="array" ref="Q25">IF($E25="","", XLOOKUP(SUMIFS(Prod_Prop!$A:$A,Prod_Prop!$B:$B,$E25,Prod_Prop!$H:$H,Q$1,Prod_Prop!$I:$I,"Exacto"),Prod_Prop!$A:$A,Prod_Prop!$J:$J,"",0,1))</f>
        <v/>
      </c>
      <c r="R25" s="4" t="str">
        <f t="array" ref="R25">IF($E25="","", XLOOKUP(SUMIFS(Prod_Prop!$A:$A,Prod_Prop!$B:$B,$E25,Prod_Prop!$H:$H,R$1,Prod_Prop!$I:$I,"Exacto"),Prod_Prop!$A:$A,Prod_Prop!$J:$J,"",0,1))</f>
        <v/>
      </c>
      <c r="S25" s="4" t="str">
        <f t="array" ref="S25">IF($E25="","", XLOOKUP(SUMIFS(Prod_Prop!$A:$A,Prod_Prop!$B:$B,$E25,Prod_Prop!$H:$H,S$1,Prod_Prop!$I:$I,"Exacto"),Prod_Prop!$A:$A,Prod_Prop!$J:$J,"",0,1))</f>
        <v/>
      </c>
      <c r="T25" s="4" t="str">
        <f t="array" ref="T25">IF($E25="","", XLOOKUP(SUMIFS(Prod_Prop!$A:$A,Prod_Prop!$B:$B,$E25,Prod_Prop!$H:$H,T$1,Prod_Prop!$I:$I,"Exacto"),Prod_Prop!$A:$A,Prod_Prop!$J:$J,"",0,1))</f>
        <v/>
      </c>
      <c r="U25" s="4" t="str">
        <f t="array" ref="U25">IF($E25="","", XLOOKUP(SUMIFS(Prod_Prop!$A:$A,Prod_Prop!$B:$B,$E25,Prod_Prop!$H:$H,U$1,Prod_Prop!$I:$I,"Exacto"),Prod_Prop!$A:$A,Prod_Prop!$J:$J,"",0,1))</f>
        <v/>
      </c>
      <c r="V25" s="4" t="str">
        <f t="array" ref="V25">IF($E25="","", XLOOKUP(SUMIFS(Prod_Prop!$A:$A,Prod_Prop!$B:$B,$E25,Prod_Prop!$H:$H,V$1,Prod_Prop!$I:$I,"Exacto"),Prod_Prop!$A:$A,Prod_Prop!$J:$J,"",0,1))</f>
        <v/>
      </c>
      <c r="X25" s="3" t="str">
        <f>IFERROR(__xludf.DUMMYFUNCTION("IF(D25="""","""",IFERROR(TRANSPOSE(FILTER('Validaciones Cotizador'!U:U,'Validaciones Cotizador'!O:O=D25,'Validaciones Cotizador'!T:T=""x"")),""Finalizar""))"),"")</f>
        <v/>
      </c>
    </row>
    <row r="26">
      <c r="A26" s="2" t="str">
        <f t="array" ref="A26">IF(E26="","",XLOOKUP(D26,'Validaciones Cotizador'!C:C,'Validaciones Cotizador'!A:A,"",0,1))</f>
        <v/>
      </c>
      <c r="B26" s="2" t="str">
        <f t="array" ref="B26">IF(F26="","",XLOOKUP(F26,Productos!E:E,Productos!G:G,"",0,1))</f>
        <v/>
      </c>
      <c r="C26" s="2" t="str">
        <f>IF(A26="","",SUMIFS('Validaciones Cotizador'!B:B,'Validaciones Cotizador'!C:C,D26,'Validaciones Cotizador'!A:A,A26))</f>
        <v/>
      </c>
      <c r="D26" s="4" t="str">
        <f>IFERROR(__xludf.DUMMYFUNCTION("IF(OR(F25=""Finalizar"",F25="""",F25=""Selecciona..""),"""",IF(OR(F25=""-"",INDEX(filter(Familias!F:F,Familias!D:D=A25,Familias!E:E=C25),1)=""O""),D25+1,D25))"),"")</f>
        <v/>
      </c>
      <c r="E26" s="2" t="str">
        <f>IF(OR(F26="",F26="Selecciona.."),"",IF(D26="Implemento",SUMIF(Implementos!B:B,F26,Implementos!A:A),SUMIF(Productos!E:E,F26,Productos!A:A)))</f>
        <v/>
      </c>
      <c r="F26" s="2" t="str">
        <f t="shared" si="2"/>
        <v/>
      </c>
      <c r="G26" s="10" t="str">
        <f t="array" ref="G26">IF(OR(F26="",F26="-",F26="Selecciona..",F26="Finalizar"),"",IF(A26="Rodados",XLOOKUP(B26,'Validaciones Cotizador'!I:I,'Validaciones Cotizador'!J:J,0,0,1),1))</f>
        <v/>
      </c>
      <c r="H26" s="11" t="str">
        <f>IF(OR(F26="",F26="Selecciona.."),"",SUMIF(Precio_Productos!K:K,E26,Precio_Productos!J:J)*G26)</f>
        <v/>
      </c>
      <c r="I26" s="4" t="str">
        <f t="array" ref="I26">IF($E26="","", XLOOKUP(SUMIFS(Prod_Prop!$A:$A,Prod_Prop!$B:$B,$E26,Prod_Prop!$H:$H,I$1,Prod_Prop!$I:$I,"Exacto"),Prod_Prop!$A:$A,Prod_Prop!$J:$J,"",0,1))</f>
        <v/>
      </c>
      <c r="J26" s="4" t="str">
        <f t="array" ref="J26">IF($E26="","", XLOOKUP(SUMIFS(Prod_Prop!$A:$A,Prod_Prop!$B:$B,$E26,Prod_Prop!$H:$H,J$1,Prod_Prop!$I:$I,"Exacto"),Prod_Prop!$A:$A,Prod_Prop!$J:$J,"",0,1))</f>
        <v/>
      </c>
      <c r="K26" s="4" t="str">
        <f t="array" ref="K26">IF($E26="","", XLOOKUP(SUMIFS(Prod_Prop!$A:$A,Prod_Prop!$B:$B,$E26,Prod_Prop!$H:$H,K$1,Prod_Prop!$I:$I,"Exacto"),Prod_Prop!$A:$A,Prod_Prop!$J:$J,"",0,1))</f>
        <v/>
      </c>
      <c r="L26" s="4" t="str">
        <f t="array" ref="L26">IF($E26="","", XLOOKUP(SUMIFS(Prod_Prop!$A:$A,Prod_Prop!$B:$B,$E26,Prod_Prop!$H:$H,L$1,Prod_Prop!$I:$I,"Exacto"),Prod_Prop!$A:$A,Prod_Prop!$J:$J,"",0,1))</f>
        <v/>
      </c>
      <c r="M26" s="4" t="str">
        <f t="array" ref="M26">IF($E26="","", XLOOKUP(SUMIFS(Prod_Prop!$A:$A,Prod_Prop!$B:$B,$E26,Prod_Prop!$H:$H,M$1,Prod_Prop!$I:$I,"Exacto"),Prod_Prop!$A:$A,Prod_Prop!$J:$J,"",0,1))</f>
        <v/>
      </c>
      <c r="N26" s="4" t="str">
        <f t="array" ref="N26">IF($E26="","", XLOOKUP(SUMIFS(Prod_Prop!$A:$A,Prod_Prop!$B:$B,$E26,Prod_Prop!$H:$H,N$1,Prod_Prop!$I:$I,"Exacto"),Prod_Prop!$A:$A,Prod_Prop!$J:$J,"",0,1))</f>
        <v/>
      </c>
      <c r="O26" s="4" t="str">
        <f t="array" ref="O26">IF($E26="","", XLOOKUP(SUMIFS(Prod_Prop!$A:$A,Prod_Prop!$B:$B,$E26,Prod_Prop!$H:$H,O$1,Prod_Prop!$I:$I,"Exacto"),Prod_Prop!$A:$A,Prod_Prop!$J:$J,"",0,1))</f>
        <v/>
      </c>
      <c r="P26" s="4" t="str">
        <f t="array" ref="P26">IF($E26="","", XLOOKUP(SUMIFS(Prod_Prop!$A:$A,Prod_Prop!$B:$B,$E26,Prod_Prop!$H:$H,P$1,Prod_Prop!$I:$I,"Exacto"),Prod_Prop!$A:$A,Prod_Prop!$J:$J,"",0,1))</f>
        <v/>
      </c>
      <c r="Q26" s="4" t="str">
        <f t="array" ref="Q26">IF($E26="","", XLOOKUP(SUMIFS(Prod_Prop!$A:$A,Prod_Prop!$B:$B,$E26,Prod_Prop!$H:$H,Q$1,Prod_Prop!$I:$I,"Exacto"),Prod_Prop!$A:$A,Prod_Prop!$J:$J,"",0,1))</f>
        <v/>
      </c>
      <c r="R26" s="4" t="str">
        <f t="array" ref="R26">IF($E26="","", XLOOKUP(SUMIFS(Prod_Prop!$A:$A,Prod_Prop!$B:$B,$E26,Prod_Prop!$H:$H,R$1,Prod_Prop!$I:$I,"Exacto"),Prod_Prop!$A:$A,Prod_Prop!$J:$J,"",0,1))</f>
        <v/>
      </c>
      <c r="S26" s="4" t="str">
        <f t="array" ref="S26">IF($E26="","", XLOOKUP(SUMIFS(Prod_Prop!$A:$A,Prod_Prop!$B:$B,$E26,Prod_Prop!$H:$H,S$1,Prod_Prop!$I:$I,"Exacto"),Prod_Prop!$A:$A,Prod_Prop!$J:$J,"",0,1))</f>
        <v/>
      </c>
      <c r="T26" s="4" t="str">
        <f t="array" ref="T26">IF($E26="","", XLOOKUP(SUMIFS(Prod_Prop!$A:$A,Prod_Prop!$B:$B,$E26,Prod_Prop!$H:$H,T$1,Prod_Prop!$I:$I,"Exacto"),Prod_Prop!$A:$A,Prod_Prop!$J:$J,"",0,1))</f>
        <v/>
      </c>
      <c r="U26" s="4" t="str">
        <f t="array" ref="U26">IF($E26="","", XLOOKUP(SUMIFS(Prod_Prop!$A:$A,Prod_Prop!$B:$B,$E26,Prod_Prop!$H:$H,U$1,Prod_Prop!$I:$I,"Exacto"),Prod_Prop!$A:$A,Prod_Prop!$J:$J,"",0,1))</f>
        <v/>
      </c>
      <c r="V26" s="4" t="str">
        <f t="array" ref="V26">IF($E26="","", XLOOKUP(SUMIFS(Prod_Prop!$A:$A,Prod_Prop!$B:$B,$E26,Prod_Prop!$H:$H,V$1,Prod_Prop!$I:$I,"Exacto"),Prod_Prop!$A:$A,Prod_Prop!$J:$J,"",0,1))</f>
        <v/>
      </c>
      <c r="X26" s="3" t="str">
        <f>IFERROR(__xludf.DUMMYFUNCTION("IF(D26="""","""",IFERROR(TRANSPOSE(FILTER('Validaciones Cotizador'!U:U,'Validaciones Cotizador'!O:O=D26,'Validaciones Cotizador'!T:T=""x"")),""Finalizar""))"),"")</f>
        <v/>
      </c>
    </row>
    <row r="27">
      <c r="A27" s="2" t="str">
        <f t="array" ref="A27">IF(E27="","",XLOOKUP(D27,'Validaciones Cotizador'!C:C,'Validaciones Cotizador'!A:A,"",0,1))</f>
        <v/>
      </c>
      <c r="B27" s="2" t="str">
        <f t="array" ref="B27">IF(F27="","",XLOOKUP(F27,Productos!E:E,Productos!G:G,"",0,1))</f>
        <v/>
      </c>
      <c r="C27" s="2" t="str">
        <f>IF(A27="","",SUMIFS('Validaciones Cotizador'!B:B,'Validaciones Cotizador'!C:C,D27,'Validaciones Cotizador'!A:A,A27))</f>
        <v/>
      </c>
      <c r="D27" s="4" t="str">
        <f>IFERROR(__xludf.DUMMYFUNCTION("IF(OR(F26=""Finalizar"",F26="""",F26=""Selecciona..""),"""",IF(OR(F26=""-"",INDEX(filter(Familias!F:F,Familias!D:D=A26,Familias!E:E=C26),1)=""O""),D26+1,D26))"),"")</f>
        <v/>
      </c>
      <c r="E27" s="2" t="str">
        <f>IF(OR(F27="",F27="Selecciona.."),"",IF(D27="Implemento",SUMIF(Implementos!B:B,F27,Implementos!A:A),SUMIF(Productos!E:E,F27,Productos!A:A)))</f>
        <v/>
      </c>
      <c r="F27" s="2" t="str">
        <f t="shared" si="2"/>
        <v/>
      </c>
      <c r="G27" s="10" t="str">
        <f t="array" ref="G27">IF(OR(F27="",F27="-",F27="Selecciona..",F27="Finalizar"),"",IF(A27="Rodados",XLOOKUP(B27,'Validaciones Cotizador'!I:I,'Validaciones Cotizador'!J:J,0,0,1),1))</f>
        <v/>
      </c>
      <c r="H27" s="11" t="str">
        <f>IF(OR(F27="",F27="Selecciona.."),"",SUMIF(Precio_Productos!K:K,E27,Precio_Productos!J:J)*G27)</f>
        <v/>
      </c>
      <c r="I27" s="4" t="str">
        <f t="array" ref="I27">IF($E27="","", XLOOKUP(SUMIFS(Prod_Prop!$A:$A,Prod_Prop!$B:$B,$E27,Prod_Prop!$H:$H,I$1,Prod_Prop!$I:$I,"Exacto"),Prod_Prop!$A:$A,Prod_Prop!$J:$J,"",0,1))</f>
        <v/>
      </c>
      <c r="J27" s="4" t="str">
        <f t="array" ref="J27">IF($E27="","", XLOOKUP(SUMIFS(Prod_Prop!$A:$A,Prod_Prop!$B:$B,$E27,Prod_Prop!$H:$H,J$1,Prod_Prop!$I:$I,"Exacto"),Prod_Prop!$A:$A,Prod_Prop!$J:$J,"",0,1))</f>
        <v/>
      </c>
      <c r="K27" s="4" t="str">
        <f t="array" ref="K27">IF($E27="","", XLOOKUP(SUMIFS(Prod_Prop!$A:$A,Prod_Prop!$B:$B,$E27,Prod_Prop!$H:$H,K$1,Prod_Prop!$I:$I,"Exacto"),Prod_Prop!$A:$A,Prod_Prop!$J:$J,"",0,1))</f>
        <v/>
      </c>
      <c r="L27" s="4" t="str">
        <f t="array" ref="L27">IF($E27="","", XLOOKUP(SUMIFS(Prod_Prop!$A:$A,Prod_Prop!$B:$B,$E27,Prod_Prop!$H:$H,L$1,Prod_Prop!$I:$I,"Exacto"),Prod_Prop!$A:$A,Prod_Prop!$J:$J,"",0,1))</f>
        <v/>
      </c>
      <c r="M27" s="4" t="str">
        <f t="array" ref="M27">IF($E27="","", XLOOKUP(SUMIFS(Prod_Prop!$A:$A,Prod_Prop!$B:$B,$E27,Prod_Prop!$H:$H,M$1,Prod_Prop!$I:$I,"Exacto"),Prod_Prop!$A:$A,Prod_Prop!$J:$J,"",0,1))</f>
        <v/>
      </c>
      <c r="N27" s="4" t="str">
        <f t="array" ref="N27">IF($E27="","", XLOOKUP(SUMIFS(Prod_Prop!$A:$A,Prod_Prop!$B:$B,$E27,Prod_Prop!$H:$H,N$1,Prod_Prop!$I:$I,"Exacto"),Prod_Prop!$A:$A,Prod_Prop!$J:$J,"",0,1))</f>
        <v/>
      </c>
      <c r="O27" s="4" t="str">
        <f t="array" ref="O27">IF($E27="","", XLOOKUP(SUMIFS(Prod_Prop!$A:$A,Prod_Prop!$B:$B,$E27,Prod_Prop!$H:$H,O$1,Prod_Prop!$I:$I,"Exacto"),Prod_Prop!$A:$A,Prod_Prop!$J:$J,"",0,1))</f>
        <v/>
      </c>
      <c r="P27" s="4" t="str">
        <f t="array" ref="P27">IF($E27="","", XLOOKUP(SUMIFS(Prod_Prop!$A:$A,Prod_Prop!$B:$B,$E27,Prod_Prop!$H:$H,P$1,Prod_Prop!$I:$I,"Exacto"),Prod_Prop!$A:$A,Prod_Prop!$J:$J,"",0,1))</f>
        <v/>
      </c>
      <c r="Q27" s="4" t="str">
        <f t="array" ref="Q27">IF($E27="","", XLOOKUP(SUMIFS(Prod_Prop!$A:$A,Prod_Prop!$B:$B,$E27,Prod_Prop!$H:$H,Q$1,Prod_Prop!$I:$I,"Exacto"),Prod_Prop!$A:$A,Prod_Prop!$J:$J,"",0,1))</f>
        <v/>
      </c>
      <c r="R27" s="4" t="str">
        <f t="array" ref="R27">IF($E27="","", XLOOKUP(SUMIFS(Prod_Prop!$A:$A,Prod_Prop!$B:$B,$E27,Prod_Prop!$H:$H,R$1,Prod_Prop!$I:$I,"Exacto"),Prod_Prop!$A:$A,Prod_Prop!$J:$J,"",0,1))</f>
        <v/>
      </c>
      <c r="S27" s="4" t="str">
        <f t="array" ref="S27">IF($E27="","", XLOOKUP(SUMIFS(Prod_Prop!$A:$A,Prod_Prop!$B:$B,$E27,Prod_Prop!$H:$H,S$1,Prod_Prop!$I:$I,"Exacto"),Prod_Prop!$A:$A,Prod_Prop!$J:$J,"",0,1))</f>
        <v/>
      </c>
      <c r="T27" s="4" t="str">
        <f t="array" ref="T27">IF($E27="","", XLOOKUP(SUMIFS(Prod_Prop!$A:$A,Prod_Prop!$B:$B,$E27,Prod_Prop!$H:$H,T$1,Prod_Prop!$I:$I,"Exacto"),Prod_Prop!$A:$A,Prod_Prop!$J:$J,"",0,1))</f>
        <v/>
      </c>
      <c r="U27" s="4" t="str">
        <f t="array" ref="U27">IF($E27="","", XLOOKUP(SUMIFS(Prod_Prop!$A:$A,Prod_Prop!$B:$B,$E27,Prod_Prop!$H:$H,U$1,Prod_Prop!$I:$I,"Exacto"),Prod_Prop!$A:$A,Prod_Prop!$J:$J,"",0,1))</f>
        <v/>
      </c>
      <c r="V27" s="4" t="str">
        <f t="array" ref="V27">IF($E27="","", XLOOKUP(SUMIFS(Prod_Prop!$A:$A,Prod_Prop!$B:$B,$E27,Prod_Prop!$H:$H,V$1,Prod_Prop!$I:$I,"Exacto"),Prod_Prop!$A:$A,Prod_Prop!$J:$J,"",0,1))</f>
        <v/>
      </c>
      <c r="X27" s="3" t="str">
        <f>IFERROR(__xludf.DUMMYFUNCTION("IF(D27="""","""",IFERROR(TRANSPOSE(FILTER('Validaciones Cotizador'!U:U,'Validaciones Cotizador'!O:O=D27,'Validaciones Cotizador'!T:T=""x"")),""Finalizar""))"),"")</f>
        <v/>
      </c>
    </row>
    <row r="28">
      <c r="A28" s="2" t="str">
        <f t="array" ref="A28">IF(E28="","",XLOOKUP(D28,'Validaciones Cotizador'!C:C,'Validaciones Cotizador'!A:A,"",0,1))</f>
        <v/>
      </c>
      <c r="B28" s="2" t="str">
        <f t="array" ref="B28">IF(F28="","",XLOOKUP(F28,Productos!E:E,Productos!G:G,"",0,1))</f>
        <v/>
      </c>
      <c r="C28" s="2" t="str">
        <f>IF(A28="","",SUMIFS('Validaciones Cotizador'!B:B,'Validaciones Cotizador'!C:C,D28,'Validaciones Cotizador'!A:A,A28))</f>
        <v/>
      </c>
      <c r="D28" s="4" t="str">
        <f>IFERROR(__xludf.DUMMYFUNCTION("IF(OR(F27=""Finalizar"",F27="""",F27=""Selecciona..""),"""",IF(OR(F27=""-"",INDEX(filter(Familias!F:F,Familias!D:D=A27,Familias!E:E=C27),1)=""O""),D27+1,D27))"),"")</f>
        <v/>
      </c>
      <c r="E28" s="2" t="str">
        <f>IF(OR(F28="",F28="Selecciona.."),"",IF(D28="Implemento",SUMIF(Implementos!B:B,F28,Implementos!A:A),SUMIF(Productos!E:E,F28,Productos!A:A)))</f>
        <v/>
      </c>
      <c r="F28" s="2" t="str">
        <f t="shared" si="2"/>
        <v/>
      </c>
      <c r="G28" s="10" t="str">
        <f t="array" ref="G28">IF(OR(F28="",F28="-",F28="Selecciona..",F28="Finalizar"),"",IF(A28="Rodados",XLOOKUP(B28,'Validaciones Cotizador'!I:I,'Validaciones Cotizador'!J:J,0,0,1),1))</f>
        <v/>
      </c>
      <c r="H28" s="11" t="str">
        <f>IF(OR(F28="",F28="Selecciona.."),"",SUMIF(Precio_Productos!K:K,E28,Precio_Productos!J:J)*G28)</f>
        <v/>
      </c>
      <c r="I28" s="4" t="str">
        <f t="array" ref="I28">IF($E28="","", XLOOKUP(SUMIFS(Prod_Prop!$A:$A,Prod_Prop!$B:$B,$E28,Prod_Prop!$H:$H,I$1,Prod_Prop!$I:$I,"Exacto"),Prod_Prop!$A:$A,Prod_Prop!$J:$J,"",0,1))</f>
        <v/>
      </c>
      <c r="J28" s="4" t="str">
        <f t="array" ref="J28">IF($E28="","", XLOOKUP(SUMIFS(Prod_Prop!$A:$A,Prod_Prop!$B:$B,$E28,Prod_Prop!$H:$H,J$1,Prod_Prop!$I:$I,"Exacto"),Prod_Prop!$A:$A,Prod_Prop!$J:$J,"",0,1))</f>
        <v/>
      </c>
      <c r="K28" s="4" t="str">
        <f t="array" ref="K28">IF($E28="","", XLOOKUP(SUMIFS(Prod_Prop!$A:$A,Prod_Prop!$B:$B,$E28,Prod_Prop!$H:$H,K$1,Prod_Prop!$I:$I,"Exacto"),Prod_Prop!$A:$A,Prod_Prop!$J:$J,"",0,1))</f>
        <v/>
      </c>
      <c r="L28" s="4" t="str">
        <f t="array" ref="L28">IF($E28="","", XLOOKUP(SUMIFS(Prod_Prop!$A:$A,Prod_Prop!$B:$B,$E28,Prod_Prop!$H:$H,L$1,Prod_Prop!$I:$I,"Exacto"),Prod_Prop!$A:$A,Prod_Prop!$J:$J,"",0,1))</f>
        <v/>
      </c>
      <c r="M28" s="4" t="str">
        <f t="array" ref="M28">IF($E28="","", XLOOKUP(SUMIFS(Prod_Prop!$A:$A,Prod_Prop!$B:$B,$E28,Prod_Prop!$H:$H,M$1,Prod_Prop!$I:$I,"Exacto"),Prod_Prop!$A:$A,Prod_Prop!$J:$J,"",0,1))</f>
        <v/>
      </c>
      <c r="N28" s="4" t="str">
        <f t="array" ref="N28">IF($E28="","", XLOOKUP(SUMIFS(Prod_Prop!$A:$A,Prod_Prop!$B:$B,$E28,Prod_Prop!$H:$H,N$1,Prod_Prop!$I:$I,"Exacto"),Prod_Prop!$A:$A,Prod_Prop!$J:$J,"",0,1))</f>
        <v/>
      </c>
      <c r="O28" s="4" t="str">
        <f t="array" ref="O28">IF($E28="","", XLOOKUP(SUMIFS(Prod_Prop!$A:$A,Prod_Prop!$B:$B,$E28,Prod_Prop!$H:$H,O$1,Prod_Prop!$I:$I,"Exacto"),Prod_Prop!$A:$A,Prod_Prop!$J:$J,"",0,1))</f>
        <v/>
      </c>
      <c r="P28" s="4" t="str">
        <f t="array" ref="P28">IF($E28="","", XLOOKUP(SUMIFS(Prod_Prop!$A:$A,Prod_Prop!$B:$B,$E28,Prod_Prop!$H:$H,P$1,Prod_Prop!$I:$I,"Exacto"),Prod_Prop!$A:$A,Prod_Prop!$J:$J,"",0,1))</f>
        <v/>
      </c>
      <c r="Q28" s="4" t="str">
        <f t="array" ref="Q28">IF($E28="","", XLOOKUP(SUMIFS(Prod_Prop!$A:$A,Prod_Prop!$B:$B,$E28,Prod_Prop!$H:$H,Q$1,Prod_Prop!$I:$I,"Exacto"),Prod_Prop!$A:$A,Prod_Prop!$J:$J,"",0,1))</f>
        <v/>
      </c>
      <c r="R28" s="4" t="str">
        <f t="array" ref="R28">IF($E28="","", XLOOKUP(SUMIFS(Prod_Prop!$A:$A,Prod_Prop!$B:$B,$E28,Prod_Prop!$H:$H,R$1,Prod_Prop!$I:$I,"Exacto"),Prod_Prop!$A:$A,Prod_Prop!$J:$J,"",0,1))</f>
        <v/>
      </c>
      <c r="S28" s="4" t="str">
        <f t="array" ref="S28">IF($E28="","", XLOOKUP(SUMIFS(Prod_Prop!$A:$A,Prod_Prop!$B:$B,$E28,Prod_Prop!$H:$H,S$1,Prod_Prop!$I:$I,"Exacto"),Prod_Prop!$A:$A,Prod_Prop!$J:$J,"",0,1))</f>
        <v/>
      </c>
      <c r="T28" s="4" t="str">
        <f t="array" ref="T28">IF($E28="","", XLOOKUP(SUMIFS(Prod_Prop!$A:$A,Prod_Prop!$B:$B,$E28,Prod_Prop!$H:$H,T$1,Prod_Prop!$I:$I,"Exacto"),Prod_Prop!$A:$A,Prod_Prop!$J:$J,"",0,1))</f>
        <v/>
      </c>
      <c r="U28" s="4" t="str">
        <f t="array" ref="U28">IF($E28="","", XLOOKUP(SUMIFS(Prod_Prop!$A:$A,Prod_Prop!$B:$B,$E28,Prod_Prop!$H:$H,U$1,Prod_Prop!$I:$I,"Exacto"),Prod_Prop!$A:$A,Prod_Prop!$J:$J,"",0,1))</f>
        <v/>
      </c>
      <c r="V28" s="4" t="str">
        <f t="array" ref="V28">IF($E28="","", XLOOKUP(SUMIFS(Prod_Prop!$A:$A,Prod_Prop!$B:$B,$E28,Prod_Prop!$H:$H,V$1,Prod_Prop!$I:$I,"Exacto"),Prod_Prop!$A:$A,Prod_Prop!$J:$J,"",0,1))</f>
        <v/>
      </c>
      <c r="X28" s="3" t="str">
        <f>IFERROR(__xludf.DUMMYFUNCTION("IF(D28="""","""",IFERROR(TRANSPOSE(FILTER('Validaciones Cotizador'!U:U,'Validaciones Cotizador'!O:O=D28,'Validaciones Cotizador'!T:T=""x"")),""Finalizar""))"),"")</f>
        <v/>
      </c>
    </row>
    <row r="29">
      <c r="A29" s="2" t="str">
        <f t="array" ref="A29">IF(E29="","",XLOOKUP(D29,'Validaciones Cotizador'!C:C,'Validaciones Cotizador'!A:A,"",0,1))</f>
        <v/>
      </c>
      <c r="B29" s="2" t="str">
        <f t="array" ref="B29">IF(F29="","",XLOOKUP(F29,Productos!E:E,Productos!G:G,"",0,1))</f>
        <v/>
      </c>
      <c r="C29" s="2" t="str">
        <f>IF(A29="","",SUMIFS('Validaciones Cotizador'!B:B,'Validaciones Cotizador'!C:C,D29,'Validaciones Cotizador'!A:A,A29))</f>
        <v/>
      </c>
      <c r="D29" s="4" t="str">
        <f>IFERROR(__xludf.DUMMYFUNCTION("IF(OR(F28=""Finalizar"",F28="""",F28=""Selecciona..""),"""",IF(OR(F28=""-"",INDEX(filter(Familias!F:F,Familias!D:D=A28,Familias!E:E=C28),1)=""O""),D28+1,D28))"),"")</f>
        <v/>
      </c>
      <c r="E29" s="2" t="str">
        <f>IF(OR(F29="",F29="Selecciona.."),"",IF(D29="Implemento",SUMIF(Implementos!B:B,F29,Implementos!A:A),SUMIF(Productos!E:E,F29,Productos!A:A)))</f>
        <v/>
      </c>
      <c r="F29" s="2" t="str">
        <f t="shared" si="2"/>
        <v/>
      </c>
      <c r="G29" s="10" t="str">
        <f t="array" ref="G29">IF(OR(F29="",F29="-",F29="Selecciona..",F29="Finalizar"),"",IF(A29="Rodados",XLOOKUP(B29,'Validaciones Cotizador'!I:I,'Validaciones Cotizador'!J:J,0,0,1),1))</f>
        <v/>
      </c>
      <c r="H29" s="11" t="str">
        <f>IF(OR(F29="",F29="Selecciona.."),"",SUMIF(Precio_Productos!K:K,E29,Precio_Productos!J:J)*G29)</f>
        <v/>
      </c>
      <c r="I29" s="4" t="str">
        <f t="array" ref="I29">IF($E29="","", XLOOKUP(SUMIFS(Prod_Prop!$A:$A,Prod_Prop!$B:$B,$E29,Prod_Prop!$H:$H,I$1,Prod_Prop!$I:$I,"Exacto"),Prod_Prop!$A:$A,Prod_Prop!$J:$J,"",0,1))</f>
        <v/>
      </c>
      <c r="J29" s="4" t="str">
        <f t="array" ref="J29">IF($E29="","", XLOOKUP(SUMIFS(Prod_Prop!$A:$A,Prod_Prop!$B:$B,$E29,Prod_Prop!$H:$H,J$1,Prod_Prop!$I:$I,"Exacto"),Prod_Prop!$A:$A,Prod_Prop!$J:$J,"",0,1))</f>
        <v/>
      </c>
      <c r="K29" s="4" t="str">
        <f t="array" ref="K29">IF($E29="","", XLOOKUP(SUMIFS(Prod_Prop!$A:$A,Prod_Prop!$B:$B,$E29,Prod_Prop!$H:$H,K$1,Prod_Prop!$I:$I,"Exacto"),Prod_Prop!$A:$A,Prod_Prop!$J:$J,"",0,1))</f>
        <v/>
      </c>
      <c r="L29" s="4" t="str">
        <f t="array" ref="L29">IF($E29="","", XLOOKUP(SUMIFS(Prod_Prop!$A:$A,Prod_Prop!$B:$B,$E29,Prod_Prop!$H:$H,L$1,Prod_Prop!$I:$I,"Exacto"),Prod_Prop!$A:$A,Prod_Prop!$J:$J,"",0,1))</f>
        <v/>
      </c>
      <c r="M29" s="4" t="str">
        <f t="array" ref="M29">IF($E29="","", XLOOKUP(SUMIFS(Prod_Prop!$A:$A,Prod_Prop!$B:$B,$E29,Prod_Prop!$H:$H,M$1,Prod_Prop!$I:$I,"Exacto"),Prod_Prop!$A:$A,Prod_Prop!$J:$J,"",0,1))</f>
        <v/>
      </c>
      <c r="N29" s="4" t="str">
        <f t="array" ref="N29">IF($E29="","", XLOOKUP(SUMIFS(Prod_Prop!$A:$A,Prod_Prop!$B:$B,$E29,Prod_Prop!$H:$H,N$1,Prod_Prop!$I:$I,"Exacto"),Prod_Prop!$A:$A,Prod_Prop!$J:$J,"",0,1))</f>
        <v/>
      </c>
      <c r="O29" s="4" t="str">
        <f t="array" ref="O29">IF($E29="","", XLOOKUP(SUMIFS(Prod_Prop!$A:$A,Prod_Prop!$B:$B,$E29,Prod_Prop!$H:$H,O$1,Prod_Prop!$I:$I,"Exacto"),Prod_Prop!$A:$A,Prod_Prop!$J:$J,"",0,1))</f>
        <v/>
      </c>
      <c r="P29" s="4" t="str">
        <f t="array" ref="P29">IF($E29="","", XLOOKUP(SUMIFS(Prod_Prop!$A:$A,Prod_Prop!$B:$B,$E29,Prod_Prop!$H:$H,P$1,Prod_Prop!$I:$I,"Exacto"),Prod_Prop!$A:$A,Prod_Prop!$J:$J,"",0,1))</f>
        <v/>
      </c>
      <c r="Q29" s="4" t="str">
        <f t="array" ref="Q29">IF($E29="","", XLOOKUP(SUMIFS(Prod_Prop!$A:$A,Prod_Prop!$B:$B,$E29,Prod_Prop!$H:$H,Q$1,Prod_Prop!$I:$I,"Exacto"),Prod_Prop!$A:$A,Prod_Prop!$J:$J,"",0,1))</f>
        <v/>
      </c>
      <c r="R29" s="4" t="str">
        <f t="array" ref="R29">IF($E29="","", XLOOKUP(SUMIFS(Prod_Prop!$A:$A,Prod_Prop!$B:$B,$E29,Prod_Prop!$H:$H,R$1,Prod_Prop!$I:$I,"Exacto"),Prod_Prop!$A:$A,Prod_Prop!$J:$J,"",0,1))</f>
        <v/>
      </c>
      <c r="S29" s="4" t="str">
        <f t="array" ref="S29">IF($E29="","", XLOOKUP(SUMIFS(Prod_Prop!$A:$A,Prod_Prop!$B:$B,$E29,Prod_Prop!$H:$H,S$1,Prod_Prop!$I:$I,"Exacto"),Prod_Prop!$A:$A,Prod_Prop!$J:$J,"",0,1))</f>
        <v/>
      </c>
      <c r="T29" s="4" t="str">
        <f t="array" ref="T29">IF($E29="","", XLOOKUP(SUMIFS(Prod_Prop!$A:$A,Prod_Prop!$B:$B,$E29,Prod_Prop!$H:$H,T$1,Prod_Prop!$I:$I,"Exacto"),Prod_Prop!$A:$A,Prod_Prop!$J:$J,"",0,1))</f>
        <v/>
      </c>
      <c r="U29" s="4" t="str">
        <f t="array" ref="U29">IF($E29="","", XLOOKUP(SUMIFS(Prod_Prop!$A:$A,Prod_Prop!$B:$B,$E29,Prod_Prop!$H:$H,U$1,Prod_Prop!$I:$I,"Exacto"),Prod_Prop!$A:$A,Prod_Prop!$J:$J,"",0,1))</f>
        <v/>
      </c>
      <c r="V29" s="4" t="str">
        <f t="array" ref="V29">IF($E29="","", XLOOKUP(SUMIFS(Prod_Prop!$A:$A,Prod_Prop!$B:$B,$E29,Prod_Prop!$H:$H,V$1,Prod_Prop!$I:$I,"Exacto"),Prod_Prop!$A:$A,Prod_Prop!$J:$J,"",0,1))</f>
        <v/>
      </c>
      <c r="X29" s="3" t="str">
        <f>IFERROR(__xludf.DUMMYFUNCTION("IF(D29="""","""",IFERROR(TRANSPOSE(FILTER('Validaciones Cotizador'!U:U,'Validaciones Cotizador'!O:O=D29,'Validaciones Cotizador'!T:T=""x"")),""Finalizar""))"),"")</f>
        <v/>
      </c>
    </row>
    <row r="30">
      <c r="A30" s="2" t="str">
        <f t="array" ref="A30">IF(E30="","",XLOOKUP(D30,'Validaciones Cotizador'!C:C,'Validaciones Cotizador'!A:A,"",0,1))</f>
        <v/>
      </c>
      <c r="B30" s="2" t="str">
        <f t="array" ref="B30">IF(F30="","",XLOOKUP(F30,Productos!E:E,Productos!G:G,"",0,1))</f>
        <v/>
      </c>
      <c r="C30" s="2" t="str">
        <f>IF(A30="","",SUMIFS('Validaciones Cotizador'!B:B,'Validaciones Cotizador'!C:C,D30,'Validaciones Cotizador'!A:A,A30))</f>
        <v/>
      </c>
      <c r="D30" s="4" t="str">
        <f>IFERROR(__xludf.DUMMYFUNCTION("IF(OR(F29=""Finalizar"",F29="""",F29=""Selecciona..""),"""",IF(OR(F29=""-"",INDEX(filter(Familias!F:F,Familias!D:D=A29,Familias!E:E=C29),1)=""O""),D29+1,D29))"),"")</f>
        <v/>
      </c>
      <c r="E30" s="2" t="str">
        <f>IF(OR(F30="",F30="Selecciona.."),"",IF(D30="Implemento",SUMIF(Implementos!B:B,F30,Implementos!A:A),SUMIF(Productos!E:E,F30,Productos!A:A)))</f>
        <v/>
      </c>
      <c r="F30" s="2" t="str">
        <f t="shared" si="2"/>
        <v/>
      </c>
      <c r="G30" s="10" t="str">
        <f t="array" ref="G30">IF(OR(F30="",F30="-",F30="Selecciona..",F30="Finalizar"),"",IF(A30="Rodados",XLOOKUP(B30,'Validaciones Cotizador'!I:I,'Validaciones Cotizador'!J:J,0,0,1),1))</f>
        <v/>
      </c>
      <c r="H30" s="11" t="str">
        <f>IF(OR(F30="",F30="Selecciona.."),"",SUMIF(Precio_Productos!K:K,E30,Precio_Productos!J:J)*G30)</f>
        <v/>
      </c>
      <c r="I30" s="4" t="str">
        <f t="array" ref="I30">IF($E30="","", XLOOKUP(SUMIFS(Prod_Prop!$A:$A,Prod_Prop!$B:$B,$E30,Prod_Prop!$H:$H,I$1,Prod_Prop!$I:$I,"Exacto"),Prod_Prop!$A:$A,Prod_Prop!$J:$J,"",0,1))</f>
        <v/>
      </c>
      <c r="J30" s="4" t="str">
        <f t="array" ref="J30">IF($E30="","", XLOOKUP(SUMIFS(Prod_Prop!$A:$A,Prod_Prop!$B:$B,$E30,Prod_Prop!$H:$H,J$1,Prod_Prop!$I:$I,"Exacto"),Prod_Prop!$A:$A,Prod_Prop!$J:$J,"",0,1))</f>
        <v/>
      </c>
      <c r="K30" s="4" t="str">
        <f t="array" ref="K30">IF($E30="","", XLOOKUP(SUMIFS(Prod_Prop!$A:$A,Prod_Prop!$B:$B,$E30,Prod_Prop!$H:$H,K$1,Prod_Prop!$I:$I,"Exacto"),Prod_Prop!$A:$A,Prod_Prop!$J:$J,"",0,1))</f>
        <v/>
      </c>
      <c r="L30" s="4" t="str">
        <f t="array" ref="L30">IF($E30="","", XLOOKUP(SUMIFS(Prod_Prop!$A:$A,Prod_Prop!$B:$B,$E30,Prod_Prop!$H:$H,L$1,Prod_Prop!$I:$I,"Exacto"),Prod_Prop!$A:$A,Prod_Prop!$J:$J,"",0,1))</f>
        <v/>
      </c>
      <c r="M30" s="4" t="str">
        <f t="array" ref="M30">IF($E30="","", XLOOKUP(SUMIFS(Prod_Prop!$A:$A,Prod_Prop!$B:$B,$E30,Prod_Prop!$H:$H,M$1,Prod_Prop!$I:$I,"Exacto"),Prod_Prop!$A:$A,Prod_Prop!$J:$J,"",0,1))</f>
        <v/>
      </c>
      <c r="N30" s="4" t="str">
        <f t="array" ref="N30">IF($E30="","", XLOOKUP(SUMIFS(Prod_Prop!$A:$A,Prod_Prop!$B:$B,$E30,Prod_Prop!$H:$H,N$1,Prod_Prop!$I:$I,"Exacto"),Prod_Prop!$A:$A,Prod_Prop!$J:$J,"",0,1))</f>
        <v/>
      </c>
      <c r="O30" s="4" t="str">
        <f t="array" ref="O30">IF($E30="","", XLOOKUP(SUMIFS(Prod_Prop!$A:$A,Prod_Prop!$B:$B,$E30,Prod_Prop!$H:$H,O$1,Prod_Prop!$I:$I,"Exacto"),Prod_Prop!$A:$A,Prod_Prop!$J:$J,"",0,1))</f>
        <v/>
      </c>
      <c r="P30" s="4" t="str">
        <f t="array" ref="P30">IF($E30="","", XLOOKUP(SUMIFS(Prod_Prop!$A:$A,Prod_Prop!$B:$B,$E30,Prod_Prop!$H:$H,P$1,Prod_Prop!$I:$I,"Exacto"),Prod_Prop!$A:$A,Prod_Prop!$J:$J,"",0,1))</f>
        <v/>
      </c>
      <c r="Q30" s="4" t="str">
        <f t="array" ref="Q30">IF($E30="","", XLOOKUP(SUMIFS(Prod_Prop!$A:$A,Prod_Prop!$B:$B,$E30,Prod_Prop!$H:$H,Q$1,Prod_Prop!$I:$I,"Exacto"),Prod_Prop!$A:$A,Prod_Prop!$J:$J,"",0,1))</f>
        <v/>
      </c>
      <c r="R30" s="4" t="str">
        <f t="array" ref="R30">IF($E30="","", XLOOKUP(SUMIFS(Prod_Prop!$A:$A,Prod_Prop!$B:$B,$E30,Prod_Prop!$H:$H,R$1,Prod_Prop!$I:$I,"Exacto"),Prod_Prop!$A:$A,Prod_Prop!$J:$J,"",0,1))</f>
        <v/>
      </c>
      <c r="S30" s="4" t="str">
        <f t="array" ref="S30">IF($E30="","", XLOOKUP(SUMIFS(Prod_Prop!$A:$A,Prod_Prop!$B:$B,$E30,Prod_Prop!$H:$H,S$1,Prod_Prop!$I:$I,"Exacto"),Prod_Prop!$A:$A,Prod_Prop!$J:$J,"",0,1))</f>
        <v/>
      </c>
      <c r="T30" s="4" t="str">
        <f t="array" ref="T30">IF($E30="","", XLOOKUP(SUMIFS(Prod_Prop!$A:$A,Prod_Prop!$B:$B,$E30,Prod_Prop!$H:$H,T$1,Prod_Prop!$I:$I,"Exacto"),Prod_Prop!$A:$A,Prod_Prop!$J:$J,"",0,1))</f>
        <v/>
      </c>
      <c r="U30" s="4" t="str">
        <f t="array" ref="U30">IF($E30="","", XLOOKUP(SUMIFS(Prod_Prop!$A:$A,Prod_Prop!$B:$B,$E30,Prod_Prop!$H:$H,U$1,Prod_Prop!$I:$I,"Exacto"),Prod_Prop!$A:$A,Prod_Prop!$J:$J,"",0,1))</f>
        <v/>
      </c>
      <c r="V30" s="4" t="str">
        <f t="array" ref="V30">IF($E30="","", XLOOKUP(SUMIFS(Prod_Prop!$A:$A,Prod_Prop!$B:$B,$E30,Prod_Prop!$H:$H,V$1,Prod_Prop!$I:$I,"Exacto"),Prod_Prop!$A:$A,Prod_Prop!$J:$J,"",0,1))</f>
        <v/>
      </c>
      <c r="X30" s="3" t="str">
        <f>IFERROR(__xludf.DUMMYFUNCTION("IF(D30="""","""",IFERROR(TRANSPOSE(FILTER('Validaciones Cotizador'!U:U,'Validaciones Cotizador'!O:O=D30,'Validaciones Cotizador'!T:T=""x"")),""Finalizar""))"),"")</f>
        <v/>
      </c>
    </row>
    <row r="31">
      <c r="A31" s="2" t="str">
        <f t="array" ref="A31">IF(E31="","",XLOOKUP(D31,'Validaciones Cotizador'!C:C,'Validaciones Cotizador'!A:A,"",0,1))</f>
        <v/>
      </c>
      <c r="B31" s="2" t="str">
        <f t="array" ref="B31">IF(F31="","",XLOOKUP(F31,Productos!E:E,Productos!G:G,"",0,1))</f>
        <v/>
      </c>
      <c r="C31" s="2" t="str">
        <f>IF(A31="","",SUMIFS('Validaciones Cotizador'!B:B,'Validaciones Cotizador'!C:C,D31,'Validaciones Cotizador'!A:A,A31))</f>
        <v/>
      </c>
      <c r="D31" s="4" t="str">
        <f>IFERROR(__xludf.DUMMYFUNCTION("IF(OR(F30=""Finalizar"",F30="""",F30=""Selecciona..""),"""",IF(OR(F30=""-"",INDEX(filter(Familias!F:F,Familias!D:D=A30,Familias!E:E=C30),1)=""O""),D30+1,D30))"),"")</f>
        <v/>
      </c>
      <c r="E31" s="2" t="str">
        <f>IF(OR(F31="",F31="Selecciona.."),"",IF(D31="Implemento",SUMIF(Implementos!B:B,F31,Implementos!A:A),SUMIF(Productos!E:E,F31,Productos!A:A)))</f>
        <v/>
      </c>
      <c r="F31" s="2" t="str">
        <f t="shared" si="2"/>
        <v/>
      </c>
      <c r="G31" s="10" t="str">
        <f t="array" ref="G31">IF(OR(F31="",F31="-",F31="Selecciona..",F31="Finalizar"),"",IF(A31="Rodados",XLOOKUP(B31,'Validaciones Cotizador'!I:I,'Validaciones Cotizador'!J:J,0,0,1),1))</f>
        <v/>
      </c>
      <c r="H31" s="11" t="str">
        <f>IF(OR(F31="",F31="Selecciona.."),"",SUMIF(Precio_Productos!K:K,E31,Precio_Productos!J:J)*G31)</f>
        <v/>
      </c>
      <c r="I31" s="4" t="str">
        <f t="array" ref="I31">IF($E31="","", XLOOKUP(SUMIFS(Prod_Prop!$A:$A,Prod_Prop!$B:$B,$E31,Prod_Prop!$H:$H,I$1,Prod_Prop!$I:$I,"Exacto"),Prod_Prop!$A:$A,Prod_Prop!$J:$J,"",0,1))</f>
        <v/>
      </c>
      <c r="J31" s="4" t="str">
        <f t="array" ref="J31">IF($E31="","", XLOOKUP(SUMIFS(Prod_Prop!$A:$A,Prod_Prop!$B:$B,$E31,Prod_Prop!$H:$H,J$1,Prod_Prop!$I:$I,"Exacto"),Prod_Prop!$A:$A,Prod_Prop!$J:$J,"",0,1))</f>
        <v/>
      </c>
      <c r="K31" s="4" t="str">
        <f t="array" ref="K31">IF($E31="","", XLOOKUP(SUMIFS(Prod_Prop!$A:$A,Prod_Prop!$B:$B,$E31,Prod_Prop!$H:$H,K$1,Prod_Prop!$I:$I,"Exacto"),Prod_Prop!$A:$A,Prod_Prop!$J:$J,"",0,1))</f>
        <v/>
      </c>
      <c r="L31" s="4" t="str">
        <f t="array" ref="L31">IF($E31="","", XLOOKUP(SUMIFS(Prod_Prop!$A:$A,Prod_Prop!$B:$B,$E31,Prod_Prop!$H:$H,L$1,Prod_Prop!$I:$I,"Exacto"),Prod_Prop!$A:$A,Prod_Prop!$J:$J,"",0,1))</f>
        <v/>
      </c>
      <c r="M31" s="4" t="str">
        <f t="array" ref="M31">IF($E31="","", XLOOKUP(SUMIFS(Prod_Prop!$A:$A,Prod_Prop!$B:$B,$E31,Prod_Prop!$H:$H,M$1,Prod_Prop!$I:$I,"Exacto"),Prod_Prop!$A:$A,Prod_Prop!$J:$J,"",0,1))</f>
        <v/>
      </c>
      <c r="N31" s="4" t="str">
        <f t="array" ref="N31">IF($E31="","", XLOOKUP(SUMIFS(Prod_Prop!$A:$A,Prod_Prop!$B:$B,$E31,Prod_Prop!$H:$H,N$1,Prod_Prop!$I:$I,"Exacto"),Prod_Prop!$A:$A,Prod_Prop!$J:$J,"",0,1))</f>
        <v/>
      </c>
      <c r="O31" s="4" t="str">
        <f t="array" ref="O31">IF($E31="","", XLOOKUP(SUMIFS(Prod_Prop!$A:$A,Prod_Prop!$B:$B,$E31,Prod_Prop!$H:$H,O$1,Prod_Prop!$I:$I,"Exacto"),Prod_Prop!$A:$A,Prod_Prop!$J:$J,"",0,1))</f>
        <v/>
      </c>
      <c r="P31" s="4" t="str">
        <f t="array" ref="P31">IF($E31="","", XLOOKUP(SUMIFS(Prod_Prop!$A:$A,Prod_Prop!$B:$B,$E31,Prod_Prop!$H:$H,P$1,Prod_Prop!$I:$I,"Exacto"),Prod_Prop!$A:$A,Prod_Prop!$J:$J,"",0,1))</f>
        <v/>
      </c>
      <c r="Q31" s="4" t="str">
        <f t="array" ref="Q31">IF($E31="","", XLOOKUP(SUMIFS(Prod_Prop!$A:$A,Prod_Prop!$B:$B,$E31,Prod_Prop!$H:$H,Q$1,Prod_Prop!$I:$I,"Exacto"),Prod_Prop!$A:$A,Prod_Prop!$J:$J,"",0,1))</f>
        <v/>
      </c>
      <c r="R31" s="4" t="str">
        <f t="array" ref="R31">IF($E31="","", XLOOKUP(SUMIFS(Prod_Prop!$A:$A,Prod_Prop!$B:$B,$E31,Prod_Prop!$H:$H,R$1,Prod_Prop!$I:$I,"Exacto"),Prod_Prop!$A:$A,Prod_Prop!$J:$J,"",0,1))</f>
        <v/>
      </c>
      <c r="S31" s="4" t="str">
        <f t="array" ref="S31">IF($E31="","", XLOOKUP(SUMIFS(Prod_Prop!$A:$A,Prod_Prop!$B:$B,$E31,Prod_Prop!$H:$H,S$1,Prod_Prop!$I:$I,"Exacto"),Prod_Prop!$A:$A,Prod_Prop!$J:$J,"",0,1))</f>
        <v/>
      </c>
      <c r="T31" s="4" t="str">
        <f t="array" ref="T31">IF($E31="","", XLOOKUP(SUMIFS(Prod_Prop!$A:$A,Prod_Prop!$B:$B,$E31,Prod_Prop!$H:$H,T$1,Prod_Prop!$I:$I,"Exacto"),Prod_Prop!$A:$A,Prod_Prop!$J:$J,"",0,1))</f>
        <v/>
      </c>
      <c r="U31" s="4" t="str">
        <f t="array" ref="U31">IF($E31="","", XLOOKUP(SUMIFS(Prod_Prop!$A:$A,Prod_Prop!$B:$B,$E31,Prod_Prop!$H:$H,U$1,Prod_Prop!$I:$I,"Exacto"),Prod_Prop!$A:$A,Prod_Prop!$J:$J,"",0,1))</f>
        <v/>
      </c>
      <c r="V31" s="4" t="str">
        <f t="array" ref="V31">IF($E31="","", XLOOKUP(SUMIFS(Prod_Prop!$A:$A,Prod_Prop!$B:$B,$E31,Prod_Prop!$H:$H,V$1,Prod_Prop!$I:$I,"Exacto"),Prod_Prop!$A:$A,Prod_Prop!$J:$J,"",0,1))</f>
        <v/>
      </c>
      <c r="X31" s="3" t="str">
        <f>IFERROR(__xludf.DUMMYFUNCTION("IF(D31="""","""",IFERROR(TRANSPOSE(FILTER('Validaciones Cotizador'!U:U,'Validaciones Cotizador'!O:O=D31,'Validaciones Cotizador'!T:T=""x"")),""Finalizar""))"),"")</f>
        <v/>
      </c>
    </row>
    <row r="32">
      <c r="A32" s="2" t="str">
        <f t="array" ref="A32">IF(E32="","",XLOOKUP(D32,'Validaciones Cotizador'!C:C,'Validaciones Cotizador'!A:A,"",0,1))</f>
        <v/>
      </c>
      <c r="B32" s="2" t="str">
        <f t="array" ref="B32">IF(F32="","",XLOOKUP(F32,Productos!E:E,Productos!G:G,"",0,1))</f>
        <v/>
      </c>
      <c r="C32" s="2" t="str">
        <f>IF(A32="","",SUMIFS('Validaciones Cotizador'!B:B,'Validaciones Cotizador'!C:C,D32,'Validaciones Cotizador'!A:A,A32))</f>
        <v/>
      </c>
      <c r="D32" s="4" t="str">
        <f>IFERROR(__xludf.DUMMYFUNCTION("IF(OR(F31=""Finalizar"",F31="""",F31=""Selecciona..""),"""",IF(OR(F31=""-"",INDEX(filter(Familias!F:F,Familias!D:D=A31,Familias!E:E=C31),1)=""O""),D31+1,D31))"),"")</f>
        <v/>
      </c>
      <c r="E32" s="2" t="str">
        <f>IF(OR(F32="",F32="Selecciona.."),"",IF(D32="Implemento",SUMIF(Implementos!B:B,F32,Implementos!A:A),SUMIF(Productos!E:E,F32,Productos!A:A)))</f>
        <v/>
      </c>
      <c r="F32" s="2" t="str">
        <f t="shared" si="2"/>
        <v/>
      </c>
      <c r="G32" s="10" t="str">
        <f t="array" ref="G32">IF(OR(F32="",F32="-",F32="Selecciona..",F32="Finalizar"),"",IF(A32="Rodados",XLOOKUP(B32,'Validaciones Cotizador'!I:I,'Validaciones Cotizador'!J:J,0,0,1),1))</f>
        <v/>
      </c>
      <c r="H32" s="11" t="str">
        <f>IF(OR(F32="",F32="Selecciona.."),"",SUMIF(Precio_Productos!K:K,E32,Precio_Productos!J:J)*G32)</f>
        <v/>
      </c>
      <c r="I32" s="4" t="str">
        <f t="array" ref="I32">IF($E32="","", XLOOKUP(SUMIFS(Prod_Prop!$A:$A,Prod_Prop!$B:$B,$E32,Prod_Prop!$H:$H,I$1,Prod_Prop!$I:$I,"Exacto"),Prod_Prop!$A:$A,Prod_Prop!$J:$J,"",0,1))</f>
        <v/>
      </c>
      <c r="J32" s="4" t="str">
        <f t="array" ref="J32">IF($E32="","", XLOOKUP(SUMIFS(Prod_Prop!$A:$A,Prod_Prop!$B:$B,$E32,Prod_Prop!$H:$H,J$1,Prod_Prop!$I:$I,"Exacto"),Prod_Prop!$A:$A,Prod_Prop!$J:$J,"",0,1))</f>
        <v/>
      </c>
      <c r="K32" s="4" t="str">
        <f t="array" ref="K32">IF($E32="","", XLOOKUP(SUMIFS(Prod_Prop!$A:$A,Prod_Prop!$B:$B,$E32,Prod_Prop!$H:$H,K$1,Prod_Prop!$I:$I,"Exacto"),Prod_Prop!$A:$A,Prod_Prop!$J:$J,"",0,1))</f>
        <v/>
      </c>
      <c r="L32" s="4" t="str">
        <f t="array" ref="L32">IF($E32="","", XLOOKUP(SUMIFS(Prod_Prop!$A:$A,Prod_Prop!$B:$B,$E32,Prod_Prop!$H:$H,L$1,Prod_Prop!$I:$I,"Exacto"),Prod_Prop!$A:$A,Prod_Prop!$J:$J,"",0,1))</f>
        <v/>
      </c>
      <c r="M32" s="4" t="str">
        <f t="array" ref="M32">IF($E32="","", XLOOKUP(SUMIFS(Prod_Prop!$A:$A,Prod_Prop!$B:$B,$E32,Prod_Prop!$H:$H,M$1,Prod_Prop!$I:$I,"Exacto"),Prod_Prop!$A:$A,Prod_Prop!$J:$J,"",0,1))</f>
        <v/>
      </c>
      <c r="N32" s="4" t="str">
        <f t="array" ref="N32">IF($E32="","", XLOOKUP(SUMIFS(Prod_Prop!$A:$A,Prod_Prop!$B:$B,$E32,Prod_Prop!$H:$H,N$1,Prod_Prop!$I:$I,"Exacto"),Prod_Prop!$A:$A,Prod_Prop!$J:$J,"",0,1))</f>
        <v/>
      </c>
      <c r="O32" s="4" t="str">
        <f t="array" ref="O32">IF($E32="","", XLOOKUP(SUMIFS(Prod_Prop!$A:$A,Prod_Prop!$B:$B,$E32,Prod_Prop!$H:$H,O$1,Prod_Prop!$I:$I,"Exacto"),Prod_Prop!$A:$A,Prod_Prop!$J:$J,"",0,1))</f>
        <v/>
      </c>
      <c r="P32" s="4" t="str">
        <f t="array" ref="P32">IF($E32="","", XLOOKUP(SUMIFS(Prod_Prop!$A:$A,Prod_Prop!$B:$B,$E32,Prod_Prop!$H:$H,P$1,Prod_Prop!$I:$I,"Exacto"),Prod_Prop!$A:$A,Prod_Prop!$J:$J,"",0,1))</f>
        <v/>
      </c>
      <c r="Q32" s="4" t="str">
        <f t="array" ref="Q32">IF($E32="","", XLOOKUP(SUMIFS(Prod_Prop!$A:$A,Prod_Prop!$B:$B,$E32,Prod_Prop!$H:$H,Q$1,Prod_Prop!$I:$I,"Exacto"),Prod_Prop!$A:$A,Prod_Prop!$J:$J,"",0,1))</f>
        <v/>
      </c>
      <c r="R32" s="4" t="str">
        <f t="array" ref="R32">IF($E32="","", XLOOKUP(SUMIFS(Prod_Prop!$A:$A,Prod_Prop!$B:$B,$E32,Prod_Prop!$H:$H,R$1,Prod_Prop!$I:$I,"Exacto"),Prod_Prop!$A:$A,Prod_Prop!$J:$J,"",0,1))</f>
        <v/>
      </c>
      <c r="S32" s="4" t="str">
        <f t="array" ref="S32">IF($E32="","", XLOOKUP(SUMIFS(Prod_Prop!$A:$A,Prod_Prop!$B:$B,$E32,Prod_Prop!$H:$H,S$1,Prod_Prop!$I:$I,"Exacto"),Prod_Prop!$A:$A,Prod_Prop!$J:$J,"",0,1))</f>
        <v/>
      </c>
      <c r="T32" s="4" t="str">
        <f t="array" ref="T32">IF($E32="","", XLOOKUP(SUMIFS(Prod_Prop!$A:$A,Prod_Prop!$B:$B,$E32,Prod_Prop!$H:$H,T$1,Prod_Prop!$I:$I,"Exacto"),Prod_Prop!$A:$A,Prod_Prop!$J:$J,"",0,1))</f>
        <v/>
      </c>
      <c r="U32" s="4" t="str">
        <f t="array" ref="U32">IF($E32="","", XLOOKUP(SUMIFS(Prod_Prop!$A:$A,Prod_Prop!$B:$B,$E32,Prod_Prop!$H:$H,U$1,Prod_Prop!$I:$I,"Exacto"),Prod_Prop!$A:$A,Prod_Prop!$J:$J,"",0,1))</f>
        <v/>
      </c>
      <c r="V32" s="4" t="str">
        <f t="array" ref="V32">IF($E32="","", XLOOKUP(SUMIFS(Prod_Prop!$A:$A,Prod_Prop!$B:$B,$E32,Prod_Prop!$H:$H,V$1,Prod_Prop!$I:$I,"Exacto"),Prod_Prop!$A:$A,Prod_Prop!$J:$J,"",0,1))</f>
        <v/>
      </c>
      <c r="X32" s="3" t="str">
        <f>IFERROR(__xludf.DUMMYFUNCTION("IF(D32="""","""",IFERROR(TRANSPOSE(FILTER('Validaciones Cotizador'!U:U,'Validaciones Cotizador'!O:O=D32,'Validaciones Cotizador'!T:T=""x"")),""Finalizar""))"),"")</f>
        <v/>
      </c>
    </row>
    <row r="33">
      <c r="A33" s="2" t="str">
        <f t="array" ref="A33">IF(E33="","",XLOOKUP(D33,'Validaciones Cotizador'!C:C,'Validaciones Cotizador'!A:A,"",0,1))</f>
        <v/>
      </c>
      <c r="B33" s="2" t="str">
        <f t="array" ref="B33">IF(F33="","",XLOOKUP(F33,Productos!E:E,Productos!G:G,"",0,1))</f>
        <v/>
      </c>
      <c r="C33" s="2" t="str">
        <f>IF(A33="","",SUMIFS('Validaciones Cotizador'!B:B,'Validaciones Cotizador'!C:C,D33,'Validaciones Cotizador'!A:A,A33))</f>
        <v/>
      </c>
      <c r="D33" s="4" t="str">
        <f>IFERROR(__xludf.DUMMYFUNCTION("IF(OR(F32=""Finalizar"",F32="""",F32=""Selecciona..""),"""",IF(OR(F32=""-"",INDEX(filter(Familias!F:F,Familias!D:D=A32,Familias!E:E=C32),1)=""O""),D32+1,D32))"),"")</f>
        <v/>
      </c>
      <c r="E33" s="2" t="str">
        <f>IF(OR(F33="",F33="Selecciona.."),"",IF(D33="Implemento",SUMIF(Implementos!B:B,F33,Implementos!A:A),SUMIF(Productos!E:E,F33,Productos!A:A)))</f>
        <v/>
      </c>
      <c r="F33" s="2" t="str">
        <f t="shared" si="2"/>
        <v/>
      </c>
      <c r="G33" s="10" t="str">
        <f t="array" ref="G33">IF(OR(F33="",F33="-",F33="Selecciona..",F33="Finalizar"),"",IF(A33="Rodados",XLOOKUP(B33,'Validaciones Cotizador'!I:I,'Validaciones Cotizador'!J:J,0,0,1),1))</f>
        <v/>
      </c>
      <c r="H33" s="11" t="str">
        <f>IF(OR(F33="",F33="Selecciona.."),"",SUMIF(Precio_Productos!K:K,E33,Precio_Productos!J:J)*G33)</f>
        <v/>
      </c>
      <c r="I33" s="4" t="str">
        <f t="array" ref="I33">IF($E33="","", XLOOKUP(SUMIFS(Prod_Prop!$A:$A,Prod_Prop!$B:$B,$E33,Prod_Prop!$H:$H,I$1,Prod_Prop!$I:$I,"Exacto"),Prod_Prop!$A:$A,Prod_Prop!$J:$J,"",0,1))</f>
        <v/>
      </c>
      <c r="J33" s="4" t="str">
        <f t="array" ref="J33">IF($E33="","", XLOOKUP(SUMIFS(Prod_Prop!$A:$A,Prod_Prop!$B:$B,$E33,Prod_Prop!$H:$H,J$1,Prod_Prop!$I:$I,"Exacto"),Prod_Prop!$A:$A,Prod_Prop!$J:$J,"",0,1))</f>
        <v/>
      </c>
      <c r="K33" s="4" t="str">
        <f t="array" ref="K33">IF($E33="","", XLOOKUP(SUMIFS(Prod_Prop!$A:$A,Prod_Prop!$B:$B,$E33,Prod_Prop!$H:$H,K$1,Prod_Prop!$I:$I,"Exacto"),Prod_Prop!$A:$A,Prod_Prop!$J:$J,"",0,1))</f>
        <v/>
      </c>
      <c r="L33" s="4" t="str">
        <f t="array" ref="L33">IF($E33="","", XLOOKUP(SUMIFS(Prod_Prop!$A:$A,Prod_Prop!$B:$B,$E33,Prod_Prop!$H:$H,L$1,Prod_Prop!$I:$I,"Exacto"),Prod_Prop!$A:$A,Prod_Prop!$J:$J,"",0,1))</f>
        <v/>
      </c>
      <c r="M33" s="4" t="str">
        <f t="array" ref="M33">IF($E33="","", XLOOKUP(SUMIFS(Prod_Prop!$A:$A,Prod_Prop!$B:$B,$E33,Prod_Prop!$H:$H,M$1,Prod_Prop!$I:$I,"Exacto"),Prod_Prop!$A:$A,Prod_Prop!$J:$J,"",0,1))</f>
        <v/>
      </c>
      <c r="N33" s="4" t="str">
        <f t="array" ref="N33">IF($E33="","", XLOOKUP(SUMIFS(Prod_Prop!$A:$A,Prod_Prop!$B:$B,$E33,Prod_Prop!$H:$H,N$1,Prod_Prop!$I:$I,"Exacto"),Prod_Prop!$A:$A,Prod_Prop!$J:$J,"",0,1))</f>
        <v/>
      </c>
      <c r="O33" s="4" t="str">
        <f t="array" ref="O33">IF($E33="","", XLOOKUP(SUMIFS(Prod_Prop!$A:$A,Prod_Prop!$B:$B,$E33,Prod_Prop!$H:$H,O$1,Prod_Prop!$I:$I,"Exacto"),Prod_Prop!$A:$A,Prod_Prop!$J:$J,"",0,1))</f>
        <v/>
      </c>
      <c r="P33" s="4" t="str">
        <f t="array" ref="P33">IF($E33="","", XLOOKUP(SUMIFS(Prod_Prop!$A:$A,Prod_Prop!$B:$B,$E33,Prod_Prop!$H:$H,P$1,Prod_Prop!$I:$I,"Exacto"),Prod_Prop!$A:$A,Prod_Prop!$J:$J,"",0,1))</f>
        <v/>
      </c>
      <c r="Q33" s="4" t="str">
        <f t="array" ref="Q33">IF($E33="","", XLOOKUP(SUMIFS(Prod_Prop!$A:$A,Prod_Prop!$B:$B,$E33,Prod_Prop!$H:$H,Q$1,Prod_Prop!$I:$I,"Exacto"),Prod_Prop!$A:$A,Prod_Prop!$J:$J,"",0,1))</f>
        <v/>
      </c>
      <c r="R33" s="4" t="str">
        <f t="array" ref="R33">IF($E33="","", XLOOKUP(SUMIFS(Prod_Prop!$A:$A,Prod_Prop!$B:$B,$E33,Prod_Prop!$H:$H,R$1,Prod_Prop!$I:$I,"Exacto"),Prod_Prop!$A:$A,Prod_Prop!$J:$J,"",0,1))</f>
        <v/>
      </c>
      <c r="S33" s="4" t="str">
        <f t="array" ref="S33">IF($E33="","", XLOOKUP(SUMIFS(Prod_Prop!$A:$A,Prod_Prop!$B:$B,$E33,Prod_Prop!$H:$H,S$1,Prod_Prop!$I:$I,"Exacto"),Prod_Prop!$A:$A,Prod_Prop!$J:$J,"",0,1))</f>
        <v/>
      </c>
      <c r="T33" s="4" t="str">
        <f t="array" ref="T33">IF($E33="","", XLOOKUP(SUMIFS(Prod_Prop!$A:$A,Prod_Prop!$B:$B,$E33,Prod_Prop!$H:$H,T$1,Prod_Prop!$I:$I,"Exacto"),Prod_Prop!$A:$A,Prod_Prop!$J:$J,"",0,1))</f>
        <v/>
      </c>
      <c r="U33" s="4" t="str">
        <f t="array" ref="U33">IF($E33="","", XLOOKUP(SUMIFS(Prod_Prop!$A:$A,Prod_Prop!$B:$B,$E33,Prod_Prop!$H:$H,U$1,Prod_Prop!$I:$I,"Exacto"),Prod_Prop!$A:$A,Prod_Prop!$J:$J,"",0,1))</f>
        <v/>
      </c>
      <c r="V33" s="4" t="str">
        <f t="array" ref="V33">IF($E33="","", XLOOKUP(SUMIFS(Prod_Prop!$A:$A,Prod_Prop!$B:$B,$E33,Prod_Prop!$H:$H,V$1,Prod_Prop!$I:$I,"Exacto"),Prod_Prop!$A:$A,Prod_Prop!$J:$J,"",0,1))</f>
        <v/>
      </c>
      <c r="X33" s="3" t="str">
        <f>IFERROR(__xludf.DUMMYFUNCTION("IF(D33="""","""",IFERROR(TRANSPOSE(FILTER('Validaciones Cotizador'!U:U,'Validaciones Cotizador'!O:O=D33,'Validaciones Cotizador'!T:T=""x"")),""Finalizar""))"),"")</f>
        <v/>
      </c>
    </row>
    <row r="34">
      <c r="A34" s="2" t="str">
        <f t="array" ref="A34">IF(E34="","",XLOOKUP(D34,'Validaciones Cotizador'!C:C,'Validaciones Cotizador'!A:A,"",0,1))</f>
        <v/>
      </c>
      <c r="B34" s="2" t="str">
        <f t="array" ref="B34">IF(F34="","",XLOOKUP(F34,Productos!E:E,Productos!G:G,"",0,1))</f>
        <v/>
      </c>
      <c r="C34" s="2" t="str">
        <f>IF(A34="","",SUMIFS('Validaciones Cotizador'!B:B,'Validaciones Cotizador'!C:C,D34,'Validaciones Cotizador'!A:A,A34))</f>
        <v/>
      </c>
      <c r="D34" s="4" t="str">
        <f>IFERROR(__xludf.DUMMYFUNCTION("IF(OR(F33=""Finalizar"",F33="""",F33=""Selecciona..""),"""",IF(OR(F33=""-"",INDEX(filter(Familias!F:F,Familias!D:D=A33,Familias!E:E=C33),1)=""O""),D33+1,D33))"),"")</f>
        <v/>
      </c>
      <c r="E34" s="2" t="str">
        <f>IF(OR(F34="",F34="Selecciona.."),"",IF(D34="Implemento",SUMIF(Implementos!B:B,F34,Implementos!A:A),SUMIF(Productos!E:E,F34,Productos!A:A)))</f>
        <v/>
      </c>
      <c r="F34" s="2" t="str">
        <f t="shared" si="2"/>
        <v/>
      </c>
      <c r="G34" s="10" t="str">
        <f t="array" ref="G34">IF(OR(F34="",F34="-",F34="Selecciona..",F34="Finalizar"),"",IF(A34="Rodados",XLOOKUP(B34,'Validaciones Cotizador'!I:I,'Validaciones Cotizador'!J:J,0,0,1),1))</f>
        <v/>
      </c>
      <c r="H34" s="11" t="str">
        <f>IF(OR(F34="",F34="Selecciona.."),"",SUMIF(Precio_Productos!K:K,E34,Precio_Productos!J:J)*G34)</f>
        <v/>
      </c>
      <c r="I34" s="4" t="str">
        <f t="array" ref="I34">IF($E34="","", XLOOKUP(SUMIFS(Prod_Prop!$A:$A,Prod_Prop!$B:$B,$E34,Prod_Prop!$H:$H,I$1,Prod_Prop!$I:$I,"Exacto"),Prod_Prop!$A:$A,Prod_Prop!$J:$J,"",0,1))</f>
        <v/>
      </c>
      <c r="J34" s="4" t="str">
        <f t="array" ref="J34">IF($E34="","", XLOOKUP(SUMIFS(Prod_Prop!$A:$A,Prod_Prop!$B:$B,$E34,Prod_Prop!$H:$H,J$1,Prod_Prop!$I:$I,"Exacto"),Prod_Prop!$A:$A,Prod_Prop!$J:$J,"",0,1))</f>
        <v/>
      </c>
      <c r="K34" s="4" t="str">
        <f t="array" ref="K34">IF($E34="","", XLOOKUP(SUMIFS(Prod_Prop!$A:$A,Prod_Prop!$B:$B,$E34,Prod_Prop!$H:$H,K$1,Prod_Prop!$I:$I,"Exacto"),Prod_Prop!$A:$A,Prod_Prop!$J:$J,"",0,1))</f>
        <v/>
      </c>
      <c r="L34" s="4" t="str">
        <f t="array" ref="L34">IF($E34="","", XLOOKUP(SUMIFS(Prod_Prop!$A:$A,Prod_Prop!$B:$B,$E34,Prod_Prop!$H:$H,L$1,Prod_Prop!$I:$I,"Exacto"),Prod_Prop!$A:$A,Prod_Prop!$J:$J,"",0,1))</f>
        <v/>
      </c>
      <c r="M34" s="4" t="str">
        <f t="array" ref="M34">IF($E34="","", XLOOKUP(SUMIFS(Prod_Prop!$A:$A,Prod_Prop!$B:$B,$E34,Prod_Prop!$H:$H,M$1,Prod_Prop!$I:$I,"Exacto"),Prod_Prop!$A:$A,Prod_Prop!$J:$J,"",0,1))</f>
        <v/>
      </c>
      <c r="N34" s="4" t="str">
        <f t="array" ref="N34">IF($E34="","", XLOOKUP(SUMIFS(Prod_Prop!$A:$A,Prod_Prop!$B:$B,$E34,Prod_Prop!$H:$H,N$1,Prod_Prop!$I:$I,"Exacto"),Prod_Prop!$A:$A,Prod_Prop!$J:$J,"",0,1))</f>
        <v/>
      </c>
      <c r="O34" s="4" t="str">
        <f t="array" ref="O34">IF($E34="","", XLOOKUP(SUMIFS(Prod_Prop!$A:$A,Prod_Prop!$B:$B,$E34,Prod_Prop!$H:$H,O$1,Prod_Prop!$I:$I,"Exacto"),Prod_Prop!$A:$A,Prod_Prop!$J:$J,"",0,1))</f>
        <v/>
      </c>
      <c r="P34" s="4" t="str">
        <f t="array" ref="P34">IF($E34="","", XLOOKUP(SUMIFS(Prod_Prop!$A:$A,Prod_Prop!$B:$B,$E34,Prod_Prop!$H:$H,P$1,Prod_Prop!$I:$I,"Exacto"),Prod_Prop!$A:$A,Prod_Prop!$J:$J,"",0,1))</f>
        <v/>
      </c>
      <c r="Q34" s="4" t="str">
        <f t="array" ref="Q34">IF($E34="","", XLOOKUP(SUMIFS(Prod_Prop!$A:$A,Prod_Prop!$B:$B,$E34,Prod_Prop!$H:$H,Q$1,Prod_Prop!$I:$I,"Exacto"),Prod_Prop!$A:$A,Prod_Prop!$J:$J,"",0,1))</f>
        <v/>
      </c>
      <c r="R34" s="4" t="str">
        <f t="array" ref="R34">IF($E34="","", XLOOKUP(SUMIFS(Prod_Prop!$A:$A,Prod_Prop!$B:$B,$E34,Prod_Prop!$H:$H,R$1,Prod_Prop!$I:$I,"Exacto"),Prod_Prop!$A:$A,Prod_Prop!$J:$J,"",0,1))</f>
        <v/>
      </c>
      <c r="S34" s="4" t="str">
        <f t="array" ref="S34">IF($E34="","", XLOOKUP(SUMIFS(Prod_Prop!$A:$A,Prod_Prop!$B:$B,$E34,Prod_Prop!$H:$H,S$1,Prod_Prop!$I:$I,"Exacto"),Prod_Prop!$A:$A,Prod_Prop!$J:$J,"",0,1))</f>
        <v/>
      </c>
      <c r="T34" s="4" t="str">
        <f t="array" ref="T34">IF($E34="","", XLOOKUP(SUMIFS(Prod_Prop!$A:$A,Prod_Prop!$B:$B,$E34,Prod_Prop!$H:$H,T$1,Prod_Prop!$I:$I,"Exacto"),Prod_Prop!$A:$A,Prod_Prop!$J:$J,"",0,1))</f>
        <v/>
      </c>
      <c r="U34" s="4" t="str">
        <f t="array" ref="U34">IF($E34="","", XLOOKUP(SUMIFS(Prod_Prop!$A:$A,Prod_Prop!$B:$B,$E34,Prod_Prop!$H:$H,U$1,Prod_Prop!$I:$I,"Exacto"),Prod_Prop!$A:$A,Prod_Prop!$J:$J,"",0,1))</f>
        <v/>
      </c>
      <c r="V34" s="4" t="str">
        <f t="array" ref="V34">IF($E34="","", XLOOKUP(SUMIFS(Prod_Prop!$A:$A,Prod_Prop!$B:$B,$E34,Prod_Prop!$H:$H,V$1,Prod_Prop!$I:$I,"Exacto"),Prod_Prop!$A:$A,Prod_Prop!$J:$J,"",0,1))</f>
        <v/>
      </c>
      <c r="X34" s="3" t="str">
        <f>IFERROR(__xludf.DUMMYFUNCTION("IF(D34="""","""",IFERROR(TRANSPOSE(FILTER('Validaciones Cotizador'!U:U,'Validaciones Cotizador'!O:O=D34,'Validaciones Cotizador'!T:T=""x"")),""Finalizar""))"),"")</f>
        <v/>
      </c>
    </row>
    <row r="35">
      <c r="A35" s="2" t="str">
        <f t="array" ref="A35">IF(E35="","",XLOOKUP(D35,'Validaciones Cotizador'!C:C,'Validaciones Cotizador'!A:A,"",0,1))</f>
        <v/>
      </c>
      <c r="B35" s="2" t="str">
        <f t="array" ref="B35">IF(F35="","",XLOOKUP(F35,Productos!E:E,Productos!G:G,"",0,1))</f>
        <v/>
      </c>
      <c r="C35" s="2" t="str">
        <f>IF(A35="","",SUMIFS('Validaciones Cotizador'!B:B,'Validaciones Cotizador'!C:C,D35,'Validaciones Cotizador'!A:A,A35))</f>
        <v/>
      </c>
      <c r="D35" s="4" t="str">
        <f>IFERROR(__xludf.DUMMYFUNCTION("IF(OR(F34=""Finalizar"",F34="""",F34=""Selecciona..""),"""",IF(OR(F34=""-"",INDEX(filter(Familias!F:F,Familias!D:D=A34,Familias!E:E=C34),1)=""O""),D34+1,D34))"),"")</f>
        <v/>
      </c>
      <c r="E35" s="2" t="str">
        <f>IF(OR(F35="",F35="Selecciona.."),"",IF(D35="Implemento",SUMIF(Implementos!B:B,F35,Implementos!A:A),SUMIF(Productos!E:E,F35,Productos!A:A)))</f>
        <v/>
      </c>
      <c r="F35" s="2" t="str">
        <f t="shared" si="2"/>
        <v/>
      </c>
      <c r="G35" s="10" t="str">
        <f t="array" ref="G35">IF(OR(F35="",F35="-",F35="Selecciona..",F35="Finalizar"),"",IF(A35="Rodados",XLOOKUP(B35,'Validaciones Cotizador'!I:I,'Validaciones Cotizador'!J:J,0,0,1),1))</f>
        <v/>
      </c>
      <c r="H35" s="11" t="str">
        <f>IF(OR(F35="",F35="Selecciona.."),"",SUMIF(Precio_Productos!K:K,E35,Precio_Productos!J:J)*G35)</f>
        <v/>
      </c>
      <c r="I35" s="4" t="str">
        <f t="array" ref="I35">IF($E35="","", XLOOKUP(SUMIFS(Prod_Prop!$A:$A,Prod_Prop!$B:$B,$E35,Prod_Prop!$H:$H,I$1,Prod_Prop!$I:$I,"Exacto"),Prod_Prop!$A:$A,Prod_Prop!$J:$J,"",0,1))</f>
        <v/>
      </c>
      <c r="J35" s="4" t="str">
        <f t="array" ref="J35">IF($E35="","", XLOOKUP(SUMIFS(Prod_Prop!$A:$A,Prod_Prop!$B:$B,$E35,Prod_Prop!$H:$H,J$1,Prod_Prop!$I:$I,"Exacto"),Prod_Prop!$A:$A,Prod_Prop!$J:$J,"",0,1))</f>
        <v/>
      </c>
      <c r="K35" s="4" t="str">
        <f t="array" ref="K35">IF($E35="","", XLOOKUP(SUMIFS(Prod_Prop!$A:$A,Prod_Prop!$B:$B,$E35,Prod_Prop!$H:$H,K$1,Prod_Prop!$I:$I,"Exacto"),Prod_Prop!$A:$A,Prod_Prop!$J:$J,"",0,1))</f>
        <v/>
      </c>
      <c r="L35" s="4" t="str">
        <f t="array" ref="L35">IF($E35="","", XLOOKUP(SUMIFS(Prod_Prop!$A:$A,Prod_Prop!$B:$B,$E35,Prod_Prop!$H:$H,L$1,Prod_Prop!$I:$I,"Exacto"),Prod_Prop!$A:$A,Prod_Prop!$J:$J,"",0,1))</f>
        <v/>
      </c>
      <c r="M35" s="4" t="str">
        <f t="array" ref="M35">IF($E35="","", XLOOKUP(SUMIFS(Prod_Prop!$A:$A,Prod_Prop!$B:$B,$E35,Prod_Prop!$H:$H,M$1,Prod_Prop!$I:$I,"Exacto"),Prod_Prop!$A:$A,Prod_Prop!$J:$J,"",0,1))</f>
        <v/>
      </c>
      <c r="N35" s="4" t="str">
        <f t="array" ref="N35">IF($E35="","", XLOOKUP(SUMIFS(Prod_Prop!$A:$A,Prod_Prop!$B:$B,$E35,Prod_Prop!$H:$H,N$1,Prod_Prop!$I:$I,"Exacto"),Prod_Prop!$A:$A,Prod_Prop!$J:$J,"",0,1))</f>
        <v/>
      </c>
      <c r="O35" s="4" t="str">
        <f t="array" ref="O35">IF($E35="","", XLOOKUP(SUMIFS(Prod_Prop!$A:$A,Prod_Prop!$B:$B,$E35,Prod_Prop!$H:$H,O$1,Prod_Prop!$I:$I,"Exacto"),Prod_Prop!$A:$A,Prod_Prop!$J:$J,"",0,1))</f>
        <v/>
      </c>
      <c r="P35" s="4" t="str">
        <f t="array" ref="P35">IF($E35="","", XLOOKUP(SUMIFS(Prod_Prop!$A:$A,Prod_Prop!$B:$B,$E35,Prod_Prop!$H:$H,P$1,Prod_Prop!$I:$I,"Exacto"),Prod_Prop!$A:$A,Prod_Prop!$J:$J,"",0,1))</f>
        <v/>
      </c>
      <c r="Q35" s="4" t="str">
        <f t="array" ref="Q35">IF($E35="","", XLOOKUP(SUMIFS(Prod_Prop!$A:$A,Prod_Prop!$B:$B,$E35,Prod_Prop!$H:$H,Q$1,Prod_Prop!$I:$I,"Exacto"),Prod_Prop!$A:$A,Prod_Prop!$J:$J,"",0,1))</f>
        <v/>
      </c>
      <c r="R35" s="4" t="str">
        <f t="array" ref="R35">IF($E35="","", XLOOKUP(SUMIFS(Prod_Prop!$A:$A,Prod_Prop!$B:$B,$E35,Prod_Prop!$H:$H,R$1,Prod_Prop!$I:$I,"Exacto"),Prod_Prop!$A:$A,Prod_Prop!$J:$J,"",0,1))</f>
        <v/>
      </c>
      <c r="S35" s="4" t="str">
        <f t="array" ref="S35">IF($E35="","", XLOOKUP(SUMIFS(Prod_Prop!$A:$A,Prod_Prop!$B:$B,$E35,Prod_Prop!$H:$H,S$1,Prod_Prop!$I:$I,"Exacto"),Prod_Prop!$A:$A,Prod_Prop!$J:$J,"",0,1))</f>
        <v/>
      </c>
      <c r="T35" s="4" t="str">
        <f t="array" ref="T35">IF($E35="","", XLOOKUP(SUMIFS(Prod_Prop!$A:$A,Prod_Prop!$B:$B,$E35,Prod_Prop!$H:$H,T$1,Prod_Prop!$I:$I,"Exacto"),Prod_Prop!$A:$A,Prod_Prop!$J:$J,"",0,1))</f>
        <v/>
      </c>
      <c r="U35" s="4" t="str">
        <f t="array" ref="U35">IF($E35="","", XLOOKUP(SUMIFS(Prod_Prop!$A:$A,Prod_Prop!$B:$B,$E35,Prod_Prop!$H:$H,U$1,Prod_Prop!$I:$I,"Exacto"),Prod_Prop!$A:$A,Prod_Prop!$J:$J,"",0,1))</f>
        <v/>
      </c>
      <c r="V35" s="4" t="str">
        <f t="array" ref="V35">IF($E35="","", XLOOKUP(SUMIFS(Prod_Prop!$A:$A,Prod_Prop!$B:$B,$E35,Prod_Prop!$H:$H,V$1,Prod_Prop!$I:$I,"Exacto"),Prod_Prop!$A:$A,Prod_Prop!$J:$J,"",0,1))</f>
        <v/>
      </c>
      <c r="X35" s="3" t="str">
        <f>IFERROR(__xludf.DUMMYFUNCTION("IF(D35="""","""",IFERROR(TRANSPOSE(FILTER('Validaciones Cotizador'!U:U,'Validaciones Cotizador'!O:O=D35,'Validaciones Cotizador'!T:T=""x"")),""Finalizar""))"),"")</f>
        <v/>
      </c>
    </row>
    <row r="36">
      <c r="A36" s="2" t="str">
        <f t="array" ref="A36">IF(E36="","",XLOOKUP(D36,'Validaciones Cotizador'!C:C,'Validaciones Cotizador'!A:A,"",0,1))</f>
        <v/>
      </c>
      <c r="B36" s="2" t="str">
        <f t="array" ref="B36">IF(F36="","",XLOOKUP(F36,Productos!E:E,Productos!G:G,"",0,1))</f>
        <v/>
      </c>
      <c r="C36" s="2" t="str">
        <f>IF(A36="","",SUMIFS('Validaciones Cotizador'!B:B,'Validaciones Cotizador'!C:C,D36,'Validaciones Cotizador'!A:A,A36))</f>
        <v/>
      </c>
      <c r="D36" s="4" t="str">
        <f>IFERROR(__xludf.DUMMYFUNCTION("IF(OR(F35=""Finalizar"",F35="""",F35=""Selecciona..""),"""",IF(OR(F35=""-"",INDEX(filter(Familias!F:F,Familias!D:D=A35,Familias!E:E=C35),1)=""O""),D35+1,D35))"),"")</f>
        <v/>
      </c>
      <c r="E36" s="2" t="str">
        <f>IF(OR(F36="",F36="Selecciona.."),"",IF(D36="Implemento",SUMIF(Implementos!B:B,F36,Implementos!A:A),SUMIF(Productos!E:E,F36,Productos!A:A)))</f>
        <v/>
      </c>
      <c r="F36" s="2" t="str">
        <f t="shared" si="2"/>
        <v/>
      </c>
      <c r="G36" s="10" t="str">
        <f t="array" ref="G36">IF(OR(F36="",F36="-",F36="Selecciona..",F36="Finalizar"),"",IF(A36="Rodados",XLOOKUP(B36,'Validaciones Cotizador'!I:I,'Validaciones Cotizador'!J:J,0,0,1),1))</f>
        <v/>
      </c>
      <c r="H36" s="11" t="str">
        <f>IF(OR(F36="",F36="Selecciona.."),"",SUMIF(Precio_Productos!K:K,E36,Precio_Productos!J:J)*G36)</f>
        <v/>
      </c>
      <c r="I36" s="4" t="str">
        <f t="array" ref="I36">IF($E36="","", XLOOKUP(SUMIFS(Prod_Prop!$A:$A,Prod_Prop!$B:$B,$E36,Prod_Prop!$H:$H,I$1,Prod_Prop!$I:$I,"Exacto"),Prod_Prop!$A:$A,Prod_Prop!$J:$J,"",0,1))</f>
        <v/>
      </c>
      <c r="J36" s="4" t="str">
        <f t="array" ref="J36">IF($E36="","", XLOOKUP(SUMIFS(Prod_Prop!$A:$A,Prod_Prop!$B:$B,$E36,Prod_Prop!$H:$H,J$1,Prod_Prop!$I:$I,"Exacto"),Prod_Prop!$A:$A,Prod_Prop!$J:$J,"",0,1))</f>
        <v/>
      </c>
      <c r="K36" s="4" t="str">
        <f t="array" ref="K36">IF($E36="","", XLOOKUP(SUMIFS(Prod_Prop!$A:$A,Prod_Prop!$B:$B,$E36,Prod_Prop!$H:$H,K$1,Prod_Prop!$I:$I,"Exacto"),Prod_Prop!$A:$A,Prod_Prop!$J:$J,"",0,1))</f>
        <v/>
      </c>
      <c r="L36" s="4" t="str">
        <f t="array" ref="L36">IF($E36="","", XLOOKUP(SUMIFS(Prod_Prop!$A:$A,Prod_Prop!$B:$B,$E36,Prod_Prop!$H:$H,L$1,Prod_Prop!$I:$I,"Exacto"),Prod_Prop!$A:$A,Prod_Prop!$J:$J,"",0,1))</f>
        <v/>
      </c>
      <c r="M36" s="4" t="str">
        <f t="array" ref="M36">IF($E36="","", XLOOKUP(SUMIFS(Prod_Prop!$A:$A,Prod_Prop!$B:$B,$E36,Prod_Prop!$H:$H,M$1,Prod_Prop!$I:$I,"Exacto"),Prod_Prop!$A:$A,Prod_Prop!$J:$J,"",0,1))</f>
        <v/>
      </c>
      <c r="N36" s="4" t="str">
        <f t="array" ref="N36">IF($E36="","", XLOOKUP(SUMIFS(Prod_Prop!$A:$A,Prod_Prop!$B:$B,$E36,Prod_Prop!$H:$H,N$1,Prod_Prop!$I:$I,"Exacto"),Prod_Prop!$A:$A,Prod_Prop!$J:$J,"",0,1))</f>
        <v/>
      </c>
      <c r="O36" s="4" t="str">
        <f t="array" ref="O36">IF($E36="","", XLOOKUP(SUMIFS(Prod_Prop!$A:$A,Prod_Prop!$B:$B,$E36,Prod_Prop!$H:$H,O$1,Prod_Prop!$I:$I,"Exacto"),Prod_Prop!$A:$A,Prod_Prop!$J:$J,"",0,1))</f>
        <v/>
      </c>
      <c r="P36" s="4" t="str">
        <f t="array" ref="P36">IF($E36="","", XLOOKUP(SUMIFS(Prod_Prop!$A:$A,Prod_Prop!$B:$B,$E36,Prod_Prop!$H:$H,P$1,Prod_Prop!$I:$I,"Exacto"),Prod_Prop!$A:$A,Prod_Prop!$J:$J,"",0,1))</f>
        <v/>
      </c>
      <c r="Q36" s="4" t="str">
        <f t="array" ref="Q36">IF($E36="","", XLOOKUP(SUMIFS(Prod_Prop!$A:$A,Prod_Prop!$B:$B,$E36,Prod_Prop!$H:$H,Q$1,Prod_Prop!$I:$I,"Exacto"),Prod_Prop!$A:$A,Prod_Prop!$J:$J,"",0,1))</f>
        <v/>
      </c>
      <c r="R36" s="4" t="str">
        <f t="array" ref="R36">IF($E36="","", XLOOKUP(SUMIFS(Prod_Prop!$A:$A,Prod_Prop!$B:$B,$E36,Prod_Prop!$H:$H,R$1,Prod_Prop!$I:$I,"Exacto"),Prod_Prop!$A:$A,Prod_Prop!$J:$J,"",0,1))</f>
        <v/>
      </c>
      <c r="S36" s="4" t="str">
        <f t="array" ref="S36">IF($E36="","", XLOOKUP(SUMIFS(Prod_Prop!$A:$A,Prod_Prop!$B:$B,$E36,Prod_Prop!$H:$H,S$1,Prod_Prop!$I:$I,"Exacto"),Prod_Prop!$A:$A,Prod_Prop!$J:$J,"",0,1))</f>
        <v/>
      </c>
      <c r="T36" s="4" t="str">
        <f t="array" ref="T36">IF($E36="","", XLOOKUP(SUMIFS(Prod_Prop!$A:$A,Prod_Prop!$B:$B,$E36,Prod_Prop!$H:$H,T$1,Prod_Prop!$I:$I,"Exacto"),Prod_Prop!$A:$A,Prod_Prop!$J:$J,"",0,1))</f>
        <v/>
      </c>
      <c r="U36" s="4" t="str">
        <f t="array" ref="U36">IF($E36="","", XLOOKUP(SUMIFS(Prod_Prop!$A:$A,Prod_Prop!$B:$B,$E36,Prod_Prop!$H:$H,U$1,Prod_Prop!$I:$I,"Exacto"),Prod_Prop!$A:$A,Prod_Prop!$J:$J,"",0,1))</f>
        <v/>
      </c>
      <c r="V36" s="4" t="str">
        <f t="array" ref="V36">IF($E36="","", XLOOKUP(SUMIFS(Prod_Prop!$A:$A,Prod_Prop!$B:$B,$E36,Prod_Prop!$H:$H,V$1,Prod_Prop!$I:$I,"Exacto"),Prod_Prop!$A:$A,Prod_Prop!$J:$J,"",0,1))</f>
        <v/>
      </c>
      <c r="X36" s="3" t="str">
        <f>IFERROR(__xludf.DUMMYFUNCTION("IF(D36="""","""",IFERROR(TRANSPOSE(FILTER('Validaciones Cotizador'!U:U,'Validaciones Cotizador'!O:O=D36,'Validaciones Cotizador'!T:T=""x"")),""Finalizar""))"),"")</f>
        <v/>
      </c>
    </row>
    <row r="37">
      <c r="A37" s="2" t="str">
        <f t="array" ref="A37">IF(E37="","",XLOOKUP(D37,'Validaciones Cotizador'!C:C,'Validaciones Cotizador'!A:A,"",0,1))</f>
        <v/>
      </c>
      <c r="B37" s="2" t="str">
        <f t="array" ref="B37">IF(F37="","",XLOOKUP(F37,Productos!E:E,Productos!G:G,"",0,1))</f>
        <v/>
      </c>
      <c r="C37" s="2" t="str">
        <f>IF(A37="","",SUMIFS('Validaciones Cotizador'!B:B,'Validaciones Cotizador'!C:C,D37,'Validaciones Cotizador'!A:A,A37))</f>
        <v/>
      </c>
      <c r="D37" s="4" t="str">
        <f>IFERROR(__xludf.DUMMYFUNCTION("IF(OR(F36=""Finalizar"",F36="""",F36=""Selecciona..""),"""",IF(OR(F36=""-"",INDEX(filter(Familias!F:F,Familias!D:D=A36,Familias!E:E=C36),1)=""O""),D36+1,D36))"),"")</f>
        <v/>
      </c>
      <c r="E37" s="2" t="str">
        <f>IF(OR(F37="",F37="Selecciona.."),"",IF(D37="Implemento",SUMIF(Implementos!B:B,F37,Implementos!A:A),SUMIF(Productos!E:E,F37,Productos!A:A)))</f>
        <v/>
      </c>
      <c r="F37" s="2" t="str">
        <f t="shared" si="2"/>
        <v/>
      </c>
      <c r="G37" s="10" t="str">
        <f t="array" ref="G37">IF(OR(F37="",F37="-",F37="Selecciona..",F37="Finalizar"),"",IF(A37="Rodados",XLOOKUP(B37,'Validaciones Cotizador'!I:I,'Validaciones Cotizador'!J:J,0,0,1),1))</f>
        <v/>
      </c>
      <c r="H37" s="11" t="str">
        <f>IF(OR(F37="",F37="Selecciona.."),"",SUMIF(Precio_Productos!K:K,E37,Precio_Productos!J:J)*G37)</f>
        <v/>
      </c>
      <c r="I37" s="4" t="str">
        <f t="array" ref="I37">IF($E37="","", XLOOKUP(SUMIFS(Prod_Prop!$A:$A,Prod_Prop!$B:$B,$E37,Prod_Prop!$H:$H,I$1,Prod_Prop!$I:$I,"Exacto"),Prod_Prop!$A:$A,Prod_Prop!$J:$J,"",0,1))</f>
        <v/>
      </c>
      <c r="J37" s="4" t="str">
        <f t="array" ref="J37">IF($E37="","", XLOOKUP(SUMIFS(Prod_Prop!$A:$A,Prod_Prop!$B:$B,$E37,Prod_Prop!$H:$H,J$1,Prod_Prop!$I:$I,"Exacto"),Prod_Prop!$A:$A,Prod_Prop!$J:$J,"",0,1))</f>
        <v/>
      </c>
      <c r="K37" s="4" t="str">
        <f t="array" ref="K37">IF($E37="","", XLOOKUP(SUMIFS(Prod_Prop!$A:$A,Prod_Prop!$B:$B,$E37,Prod_Prop!$H:$H,K$1,Prod_Prop!$I:$I,"Exacto"),Prod_Prop!$A:$A,Prod_Prop!$J:$J,"",0,1))</f>
        <v/>
      </c>
      <c r="L37" s="4" t="str">
        <f t="array" ref="L37">IF($E37="","", XLOOKUP(SUMIFS(Prod_Prop!$A:$A,Prod_Prop!$B:$B,$E37,Prod_Prop!$H:$H,L$1,Prod_Prop!$I:$I,"Exacto"),Prod_Prop!$A:$A,Prod_Prop!$J:$J,"",0,1))</f>
        <v/>
      </c>
      <c r="M37" s="4" t="str">
        <f t="array" ref="M37">IF($E37="","", XLOOKUP(SUMIFS(Prod_Prop!$A:$A,Prod_Prop!$B:$B,$E37,Prod_Prop!$H:$H,M$1,Prod_Prop!$I:$I,"Exacto"),Prod_Prop!$A:$A,Prod_Prop!$J:$J,"",0,1))</f>
        <v/>
      </c>
      <c r="N37" s="4" t="str">
        <f t="array" ref="N37">IF($E37="","", XLOOKUP(SUMIFS(Prod_Prop!$A:$A,Prod_Prop!$B:$B,$E37,Prod_Prop!$H:$H,N$1,Prod_Prop!$I:$I,"Exacto"),Prod_Prop!$A:$A,Prod_Prop!$J:$J,"",0,1))</f>
        <v/>
      </c>
      <c r="O37" s="4" t="str">
        <f t="array" ref="O37">IF($E37="","", XLOOKUP(SUMIFS(Prod_Prop!$A:$A,Prod_Prop!$B:$B,$E37,Prod_Prop!$H:$H,O$1,Prod_Prop!$I:$I,"Exacto"),Prod_Prop!$A:$A,Prod_Prop!$J:$J,"",0,1))</f>
        <v/>
      </c>
      <c r="P37" s="4" t="str">
        <f t="array" ref="P37">IF($E37="","", XLOOKUP(SUMIFS(Prod_Prop!$A:$A,Prod_Prop!$B:$B,$E37,Prod_Prop!$H:$H,P$1,Prod_Prop!$I:$I,"Exacto"),Prod_Prop!$A:$A,Prod_Prop!$J:$J,"",0,1))</f>
        <v/>
      </c>
      <c r="Q37" s="4" t="str">
        <f t="array" ref="Q37">IF($E37="","", XLOOKUP(SUMIFS(Prod_Prop!$A:$A,Prod_Prop!$B:$B,$E37,Prod_Prop!$H:$H,Q$1,Prod_Prop!$I:$I,"Exacto"),Prod_Prop!$A:$A,Prod_Prop!$J:$J,"",0,1))</f>
        <v/>
      </c>
      <c r="R37" s="4" t="str">
        <f t="array" ref="R37">IF($E37="","", XLOOKUP(SUMIFS(Prod_Prop!$A:$A,Prod_Prop!$B:$B,$E37,Prod_Prop!$H:$H,R$1,Prod_Prop!$I:$I,"Exacto"),Prod_Prop!$A:$A,Prod_Prop!$J:$J,"",0,1))</f>
        <v/>
      </c>
      <c r="S37" s="4" t="str">
        <f t="array" ref="S37">IF($E37="","", XLOOKUP(SUMIFS(Prod_Prop!$A:$A,Prod_Prop!$B:$B,$E37,Prod_Prop!$H:$H,S$1,Prod_Prop!$I:$I,"Exacto"),Prod_Prop!$A:$A,Prod_Prop!$J:$J,"",0,1))</f>
        <v/>
      </c>
      <c r="T37" s="4" t="str">
        <f t="array" ref="T37">IF($E37="","", XLOOKUP(SUMIFS(Prod_Prop!$A:$A,Prod_Prop!$B:$B,$E37,Prod_Prop!$H:$H,T$1,Prod_Prop!$I:$I,"Exacto"),Prod_Prop!$A:$A,Prod_Prop!$J:$J,"",0,1))</f>
        <v/>
      </c>
      <c r="U37" s="4" t="str">
        <f t="array" ref="U37">IF($E37="","", XLOOKUP(SUMIFS(Prod_Prop!$A:$A,Prod_Prop!$B:$B,$E37,Prod_Prop!$H:$H,U$1,Prod_Prop!$I:$I,"Exacto"),Prod_Prop!$A:$A,Prod_Prop!$J:$J,"",0,1))</f>
        <v/>
      </c>
      <c r="V37" s="4" t="str">
        <f t="array" ref="V37">IF($E37="","", XLOOKUP(SUMIFS(Prod_Prop!$A:$A,Prod_Prop!$B:$B,$E37,Prod_Prop!$H:$H,V$1,Prod_Prop!$I:$I,"Exacto"),Prod_Prop!$A:$A,Prod_Prop!$J:$J,"",0,1))</f>
        <v/>
      </c>
      <c r="X37" s="3" t="str">
        <f>IFERROR(__xludf.DUMMYFUNCTION("IF(D37="""","""",IFERROR(TRANSPOSE(FILTER('Validaciones Cotizador'!U:U,'Validaciones Cotizador'!O:O=D37,'Validaciones Cotizador'!T:T=""x"")),""Finalizar""))"),"")</f>
        <v/>
      </c>
    </row>
    <row r="38">
      <c r="A38" s="2" t="str">
        <f t="array" ref="A38">IF(E38="","",XLOOKUP(D38,'Validaciones Cotizador'!C:C,'Validaciones Cotizador'!A:A,"",0,1))</f>
        <v/>
      </c>
      <c r="B38" s="2" t="str">
        <f t="array" ref="B38">IF(F38="","",XLOOKUP(F38,Productos!E:E,Productos!G:G,"",0,1))</f>
        <v/>
      </c>
      <c r="C38" s="2" t="str">
        <f>IF(A38="","",SUMIFS('Validaciones Cotizador'!B:B,'Validaciones Cotizador'!C:C,D38,'Validaciones Cotizador'!A:A,A38))</f>
        <v/>
      </c>
      <c r="D38" s="4" t="str">
        <f>IFERROR(__xludf.DUMMYFUNCTION("IF(OR(F37=""Finalizar"",F37="""",F37=""Selecciona..""),"""",IF(OR(F37=""-"",INDEX(filter(Familias!F:F,Familias!D:D=A37,Familias!E:E=C37),1)=""O""),D37+1,D37))"),"")</f>
        <v/>
      </c>
      <c r="E38" s="2" t="str">
        <f>IF(OR(F38="",F38="Selecciona.."),"",IF(D38="Implemento",SUMIF(Implementos!B:B,F38,Implementos!A:A),SUMIF(Productos!E:E,F38,Productos!A:A)))</f>
        <v/>
      </c>
      <c r="F38" s="2" t="str">
        <f t="shared" si="2"/>
        <v/>
      </c>
      <c r="G38" s="10" t="str">
        <f t="array" ref="G38">IF(OR(F38="",F38="-",F38="Selecciona..",F38="Finalizar"),"",IF(A38="Rodados",XLOOKUP(B38,'Validaciones Cotizador'!I:I,'Validaciones Cotizador'!J:J,0,0,1),1))</f>
        <v/>
      </c>
      <c r="H38" s="11" t="str">
        <f>IF(OR(F38="",F38="Selecciona.."),"",SUMIF(Precio_Productos!K:K,E38,Precio_Productos!J:J)*G38)</f>
        <v/>
      </c>
      <c r="I38" s="4" t="str">
        <f t="array" ref="I38">IF($E38="","", XLOOKUP(SUMIFS(Prod_Prop!$A:$A,Prod_Prop!$B:$B,$E38,Prod_Prop!$H:$H,I$1,Prod_Prop!$I:$I,"Exacto"),Prod_Prop!$A:$A,Prod_Prop!$J:$J,"",0,1))</f>
        <v/>
      </c>
      <c r="J38" s="4" t="str">
        <f t="array" ref="J38">IF($E38="","", XLOOKUP(SUMIFS(Prod_Prop!$A:$A,Prod_Prop!$B:$B,$E38,Prod_Prop!$H:$H,J$1,Prod_Prop!$I:$I,"Exacto"),Prod_Prop!$A:$A,Prod_Prop!$J:$J,"",0,1))</f>
        <v/>
      </c>
      <c r="K38" s="4" t="str">
        <f t="array" ref="K38">IF($E38="","", XLOOKUP(SUMIFS(Prod_Prop!$A:$A,Prod_Prop!$B:$B,$E38,Prod_Prop!$H:$H,K$1,Prod_Prop!$I:$I,"Exacto"),Prod_Prop!$A:$A,Prod_Prop!$J:$J,"",0,1))</f>
        <v/>
      </c>
      <c r="L38" s="4" t="str">
        <f t="array" ref="L38">IF($E38="","", XLOOKUP(SUMIFS(Prod_Prop!$A:$A,Prod_Prop!$B:$B,$E38,Prod_Prop!$H:$H,L$1,Prod_Prop!$I:$I,"Exacto"),Prod_Prop!$A:$A,Prod_Prop!$J:$J,"",0,1))</f>
        <v/>
      </c>
      <c r="M38" s="4" t="str">
        <f t="array" ref="M38">IF($E38="","", XLOOKUP(SUMIFS(Prod_Prop!$A:$A,Prod_Prop!$B:$B,$E38,Prod_Prop!$H:$H,M$1,Prod_Prop!$I:$I,"Exacto"),Prod_Prop!$A:$A,Prod_Prop!$J:$J,"",0,1))</f>
        <v/>
      </c>
      <c r="N38" s="4" t="str">
        <f t="array" ref="N38">IF($E38="","", XLOOKUP(SUMIFS(Prod_Prop!$A:$A,Prod_Prop!$B:$B,$E38,Prod_Prop!$H:$H,N$1,Prod_Prop!$I:$I,"Exacto"),Prod_Prop!$A:$A,Prod_Prop!$J:$J,"",0,1))</f>
        <v/>
      </c>
      <c r="O38" s="4" t="str">
        <f t="array" ref="O38">IF($E38="","", XLOOKUP(SUMIFS(Prod_Prop!$A:$A,Prod_Prop!$B:$B,$E38,Prod_Prop!$H:$H,O$1,Prod_Prop!$I:$I,"Exacto"),Prod_Prop!$A:$A,Prod_Prop!$J:$J,"",0,1))</f>
        <v/>
      </c>
      <c r="P38" s="4" t="str">
        <f t="array" ref="P38">IF($E38="","", XLOOKUP(SUMIFS(Prod_Prop!$A:$A,Prod_Prop!$B:$B,$E38,Prod_Prop!$H:$H,P$1,Prod_Prop!$I:$I,"Exacto"),Prod_Prop!$A:$A,Prod_Prop!$J:$J,"",0,1))</f>
        <v/>
      </c>
      <c r="Q38" s="4" t="str">
        <f t="array" ref="Q38">IF($E38="","", XLOOKUP(SUMIFS(Prod_Prop!$A:$A,Prod_Prop!$B:$B,$E38,Prod_Prop!$H:$H,Q$1,Prod_Prop!$I:$I,"Exacto"),Prod_Prop!$A:$A,Prod_Prop!$J:$J,"",0,1))</f>
        <v/>
      </c>
      <c r="R38" s="4" t="str">
        <f t="array" ref="R38">IF($E38="","", XLOOKUP(SUMIFS(Prod_Prop!$A:$A,Prod_Prop!$B:$B,$E38,Prod_Prop!$H:$H,R$1,Prod_Prop!$I:$I,"Exacto"),Prod_Prop!$A:$A,Prod_Prop!$J:$J,"",0,1))</f>
        <v/>
      </c>
      <c r="S38" s="4" t="str">
        <f t="array" ref="S38">IF($E38="","", XLOOKUP(SUMIFS(Prod_Prop!$A:$A,Prod_Prop!$B:$B,$E38,Prod_Prop!$H:$H,S$1,Prod_Prop!$I:$I,"Exacto"),Prod_Prop!$A:$A,Prod_Prop!$J:$J,"",0,1))</f>
        <v/>
      </c>
      <c r="T38" s="4" t="str">
        <f t="array" ref="T38">IF($E38="","", XLOOKUP(SUMIFS(Prod_Prop!$A:$A,Prod_Prop!$B:$B,$E38,Prod_Prop!$H:$H,T$1,Prod_Prop!$I:$I,"Exacto"),Prod_Prop!$A:$A,Prod_Prop!$J:$J,"",0,1))</f>
        <v/>
      </c>
      <c r="U38" s="4" t="str">
        <f t="array" ref="U38">IF($E38="","", XLOOKUP(SUMIFS(Prod_Prop!$A:$A,Prod_Prop!$B:$B,$E38,Prod_Prop!$H:$H,U$1,Prod_Prop!$I:$I,"Exacto"),Prod_Prop!$A:$A,Prod_Prop!$J:$J,"",0,1))</f>
        <v/>
      </c>
      <c r="V38" s="4" t="str">
        <f t="array" ref="V38">IF($E38="","", XLOOKUP(SUMIFS(Prod_Prop!$A:$A,Prod_Prop!$B:$B,$E38,Prod_Prop!$H:$H,V$1,Prod_Prop!$I:$I,"Exacto"),Prod_Prop!$A:$A,Prod_Prop!$J:$J,"",0,1))</f>
        <v/>
      </c>
      <c r="X38" s="3" t="str">
        <f>IFERROR(__xludf.DUMMYFUNCTION("IF(D38="""","""",IFERROR(TRANSPOSE(FILTER('Validaciones Cotizador'!U:U,'Validaciones Cotizador'!O:O=D38,'Validaciones Cotizador'!T:T=""x"")),""Finalizar""))"),"")</f>
        <v/>
      </c>
    </row>
    <row r="39">
      <c r="A39" s="2" t="str">
        <f t="array" ref="A39">IF(E39="","",XLOOKUP(D39,'Validaciones Cotizador'!C:C,'Validaciones Cotizador'!A:A,"",0,1))</f>
        <v/>
      </c>
      <c r="B39" s="2" t="str">
        <f t="array" ref="B39">IF(F39="","",XLOOKUP(F39,Productos!E:E,Productos!G:G,"",0,1))</f>
        <v/>
      </c>
      <c r="C39" s="2" t="str">
        <f>IF(A39="","",SUMIFS('Validaciones Cotizador'!B:B,'Validaciones Cotizador'!C:C,D39,'Validaciones Cotizador'!A:A,A39))</f>
        <v/>
      </c>
      <c r="D39" s="4" t="str">
        <f>IFERROR(__xludf.DUMMYFUNCTION("IF(OR(F38=""Finalizar"",F38="""",F38=""Selecciona..""),"""",IF(OR(F38=""-"",INDEX(filter(Familias!F:F,Familias!D:D=A38,Familias!E:E=C38),1)=""O""),D38+1,D38))"),"")</f>
        <v/>
      </c>
      <c r="E39" s="2" t="str">
        <f>IF(OR(F39="",F39="Selecciona.."),"",IF(D39="Implemento",SUMIF(Implementos!B:B,F39,Implementos!A:A),SUMIF(Productos!E:E,F39,Productos!A:A)))</f>
        <v/>
      </c>
      <c r="F39" s="2" t="str">
        <f t="shared" si="2"/>
        <v/>
      </c>
      <c r="G39" s="10" t="str">
        <f t="array" ref="G39">IF(OR(F39="",F39="-",F39="Selecciona..",F39="Finalizar"),"",IF(A39="Rodados",XLOOKUP(B39,'Validaciones Cotizador'!I:I,'Validaciones Cotizador'!J:J,0,0,1),1))</f>
        <v/>
      </c>
      <c r="H39" s="11" t="str">
        <f>IF(OR(F39="",F39="Selecciona.."),"",SUMIF(Precio_Productos!K:K,E39,Precio_Productos!J:J)*G39)</f>
        <v/>
      </c>
      <c r="I39" s="4" t="str">
        <f t="array" ref="I39">IF($E39="","", XLOOKUP(SUMIFS(Prod_Prop!$A:$A,Prod_Prop!$B:$B,$E39,Prod_Prop!$H:$H,I$1,Prod_Prop!$I:$I,"Exacto"),Prod_Prop!$A:$A,Prod_Prop!$J:$J,"",0,1))</f>
        <v/>
      </c>
      <c r="J39" s="4" t="str">
        <f t="array" ref="J39">IF($E39="","", XLOOKUP(SUMIFS(Prod_Prop!$A:$A,Prod_Prop!$B:$B,$E39,Prod_Prop!$H:$H,J$1,Prod_Prop!$I:$I,"Exacto"),Prod_Prop!$A:$A,Prod_Prop!$J:$J,"",0,1))</f>
        <v/>
      </c>
      <c r="K39" s="4" t="str">
        <f t="array" ref="K39">IF($E39="","", XLOOKUP(SUMIFS(Prod_Prop!$A:$A,Prod_Prop!$B:$B,$E39,Prod_Prop!$H:$H,K$1,Prod_Prop!$I:$I,"Exacto"),Prod_Prop!$A:$A,Prod_Prop!$J:$J,"",0,1))</f>
        <v/>
      </c>
      <c r="L39" s="4" t="str">
        <f t="array" ref="L39">IF($E39="","", XLOOKUP(SUMIFS(Prod_Prop!$A:$A,Prod_Prop!$B:$B,$E39,Prod_Prop!$H:$H,L$1,Prod_Prop!$I:$I,"Exacto"),Prod_Prop!$A:$A,Prod_Prop!$J:$J,"",0,1))</f>
        <v/>
      </c>
      <c r="M39" s="4" t="str">
        <f t="array" ref="M39">IF($E39="","", XLOOKUP(SUMIFS(Prod_Prop!$A:$A,Prod_Prop!$B:$B,$E39,Prod_Prop!$H:$H,M$1,Prod_Prop!$I:$I,"Exacto"),Prod_Prop!$A:$A,Prod_Prop!$J:$J,"",0,1))</f>
        <v/>
      </c>
      <c r="N39" s="4" t="str">
        <f t="array" ref="N39">IF($E39="","", XLOOKUP(SUMIFS(Prod_Prop!$A:$A,Prod_Prop!$B:$B,$E39,Prod_Prop!$H:$H,N$1,Prod_Prop!$I:$I,"Exacto"),Prod_Prop!$A:$A,Prod_Prop!$J:$J,"",0,1))</f>
        <v/>
      </c>
      <c r="O39" s="4" t="str">
        <f t="array" ref="O39">IF($E39="","", XLOOKUP(SUMIFS(Prod_Prop!$A:$A,Prod_Prop!$B:$B,$E39,Prod_Prop!$H:$H,O$1,Prod_Prop!$I:$I,"Exacto"),Prod_Prop!$A:$A,Prod_Prop!$J:$J,"",0,1))</f>
        <v/>
      </c>
      <c r="P39" s="4" t="str">
        <f t="array" ref="P39">IF($E39="","", XLOOKUP(SUMIFS(Prod_Prop!$A:$A,Prod_Prop!$B:$B,$E39,Prod_Prop!$H:$H,P$1,Prod_Prop!$I:$I,"Exacto"),Prod_Prop!$A:$A,Prod_Prop!$J:$J,"",0,1))</f>
        <v/>
      </c>
      <c r="Q39" s="4" t="str">
        <f t="array" ref="Q39">IF($E39="","", XLOOKUP(SUMIFS(Prod_Prop!$A:$A,Prod_Prop!$B:$B,$E39,Prod_Prop!$H:$H,Q$1,Prod_Prop!$I:$I,"Exacto"),Prod_Prop!$A:$A,Prod_Prop!$J:$J,"",0,1))</f>
        <v/>
      </c>
      <c r="R39" s="4" t="str">
        <f t="array" ref="R39">IF($E39="","", XLOOKUP(SUMIFS(Prod_Prop!$A:$A,Prod_Prop!$B:$B,$E39,Prod_Prop!$H:$H,R$1,Prod_Prop!$I:$I,"Exacto"),Prod_Prop!$A:$A,Prod_Prop!$J:$J,"",0,1))</f>
        <v/>
      </c>
      <c r="S39" s="4" t="str">
        <f t="array" ref="S39">IF($E39="","", XLOOKUP(SUMIFS(Prod_Prop!$A:$A,Prod_Prop!$B:$B,$E39,Prod_Prop!$H:$H,S$1,Prod_Prop!$I:$I,"Exacto"),Prod_Prop!$A:$A,Prod_Prop!$J:$J,"",0,1))</f>
        <v/>
      </c>
      <c r="T39" s="4" t="str">
        <f t="array" ref="T39">IF($E39="","", XLOOKUP(SUMIFS(Prod_Prop!$A:$A,Prod_Prop!$B:$B,$E39,Prod_Prop!$H:$H,T$1,Prod_Prop!$I:$I,"Exacto"),Prod_Prop!$A:$A,Prod_Prop!$J:$J,"",0,1))</f>
        <v/>
      </c>
      <c r="U39" s="4" t="str">
        <f t="array" ref="U39">IF($E39="","", XLOOKUP(SUMIFS(Prod_Prop!$A:$A,Prod_Prop!$B:$B,$E39,Prod_Prop!$H:$H,U$1,Prod_Prop!$I:$I,"Exacto"),Prod_Prop!$A:$A,Prod_Prop!$J:$J,"",0,1))</f>
        <v/>
      </c>
      <c r="V39" s="4" t="str">
        <f t="array" ref="V39">IF($E39="","", XLOOKUP(SUMIFS(Prod_Prop!$A:$A,Prod_Prop!$B:$B,$E39,Prod_Prop!$H:$H,V$1,Prod_Prop!$I:$I,"Exacto"),Prod_Prop!$A:$A,Prod_Prop!$J:$J,"",0,1))</f>
        <v/>
      </c>
      <c r="X39" s="3" t="str">
        <f>IFERROR(__xludf.DUMMYFUNCTION("IF(D39="""","""",IFERROR(TRANSPOSE(FILTER('Validaciones Cotizador'!U:U,'Validaciones Cotizador'!O:O=D39,'Validaciones Cotizador'!T:T=""x"")),""Finalizar""))"),"")</f>
        <v/>
      </c>
    </row>
    <row r="40">
      <c r="A40" s="2" t="str">
        <f t="array" ref="A40">IF(E40="","",XLOOKUP(D40,'Validaciones Cotizador'!C:C,'Validaciones Cotizador'!A:A,"",0,1))</f>
        <v/>
      </c>
      <c r="B40" s="2" t="str">
        <f t="array" ref="B40">IF(F40="","",XLOOKUP(F40,Productos!E:E,Productos!G:G,"",0,1))</f>
        <v/>
      </c>
      <c r="C40" s="2" t="str">
        <f>IF(A40="","",SUMIFS('Validaciones Cotizador'!B:B,'Validaciones Cotizador'!C:C,D40,'Validaciones Cotizador'!A:A,A40))</f>
        <v/>
      </c>
      <c r="D40" s="4" t="str">
        <f>IFERROR(__xludf.DUMMYFUNCTION("IF(OR(F39=""Finalizar"",F39="""",F39=""Selecciona..""),"""",IF(OR(F39=""-"",INDEX(filter(Familias!F:F,Familias!D:D=A39,Familias!E:E=C39),1)=""O""),D39+1,D39))"),"")</f>
        <v/>
      </c>
      <c r="E40" s="2" t="str">
        <f>IF(OR(F40="",F40="Selecciona.."),"",IF(D40="Implemento",SUMIF(Implementos!B:B,F40,Implementos!A:A),SUMIF(Productos!E:E,F40,Productos!A:A)))</f>
        <v/>
      </c>
      <c r="F40" s="2" t="str">
        <f t="shared" si="2"/>
        <v/>
      </c>
      <c r="G40" s="10" t="str">
        <f t="array" ref="G40">IF(OR(F40="",F40="-",F40="Selecciona..",F40="Finalizar"),"",IF(A40="Rodados",XLOOKUP(B40,'Validaciones Cotizador'!I:I,'Validaciones Cotizador'!J:J,0,0,1),1))</f>
        <v/>
      </c>
      <c r="H40" s="11" t="str">
        <f>IF(OR(F40="",F40="Selecciona.."),"",SUMIF(Precio_Productos!K:K,E40,Precio_Productos!J:J)*G40)</f>
        <v/>
      </c>
      <c r="I40" s="4" t="str">
        <f t="array" ref="I40">IF($E40="","", XLOOKUP(SUMIFS(Prod_Prop!$A:$A,Prod_Prop!$B:$B,$E40,Prod_Prop!$H:$H,I$1,Prod_Prop!$I:$I,"Exacto"),Prod_Prop!$A:$A,Prod_Prop!$J:$J,"",0,1))</f>
        <v/>
      </c>
      <c r="J40" s="4" t="str">
        <f t="array" ref="J40">IF($E40="","", XLOOKUP(SUMIFS(Prod_Prop!$A:$A,Prod_Prop!$B:$B,$E40,Prod_Prop!$H:$H,J$1,Prod_Prop!$I:$I,"Exacto"),Prod_Prop!$A:$A,Prod_Prop!$J:$J,"",0,1))</f>
        <v/>
      </c>
      <c r="K40" s="4" t="str">
        <f t="array" ref="K40">IF($E40="","", XLOOKUP(SUMIFS(Prod_Prop!$A:$A,Prod_Prop!$B:$B,$E40,Prod_Prop!$H:$H,K$1,Prod_Prop!$I:$I,"Exacto"),Prod_Prop!$A:$A,Prod_Prop!$J:$J,"",0,1))</f>
        <v/>
      </c>
      <c r="L40" s="4" t="str">
        <f t="array" ref="L40">IF($E40="","", XLOOKUP(SUMIFS(Prod_Prop!$A:$A,Prod_Prop!$B:$B,$E40,Prod_Prop!$H:$H,L$1,Prod_Prop!$I:$I,"Exacto"),Prod_Prop!$A:$A,Prod_Prop!$J:$J,"",0,1))</f>
        <v/>
      </c>
      <c r="M40" s="4" t="str">
        <f t="array" ref="M40">IF($E40="","", XLOOKUP(SUMIFS(Prod_Prop!$A:$A,Prod_Prop!$B:$B,$E40,Prod_Prop!$H:$H,M$1,Prod_Prop!$I:$I,"Exacto"),Prod_Prop!$A:$A,Prod_Prop!$J:$J,"",0,1))</f>
        <v/>
      </c>
      <c r="N40" s="4" t="str">
        <f t="array" ref="N40">IF($E40="","", XLOOKUP(SUMIFS(Prod_Prop!$A:$A,Prod_Prop!$B:$B,$E40,Prod_Prop!$H:$H,N$1,Prod_Prop!$I:$I,"Exacto"),Prod_Prop!$A:$A,Prod_Prop!$J:$J,"",0,1))</f>
        <v/>
      </c>
      <c r="O40" s="4" t="str">
        <f t="array" ref="O40">IF($E40="","", XLOOKUP(SUMIFS(Prod_Prop!$A:$A,Prod_Prop!$B:$B,$E40,Prod_Prop!$H:$H,O$1,Prod_Prop!$I:$I,"Exacto"),Prod_Prop!$A:$A,Prod_Prop!$J:$J,"",0,1))</f>
        <v/>
      </c>
      <c r="P40" s="4" t="str">
        <f t="array" ref="P40">IF($E40="","", XLOOKUP(SUMIFS(Prod_Prop!$A:$A,Prod_Prop!$B:$B,$E40,Prod_Prop!$H:$H,P$1,Prod_Prop!$I:$I,"Exacto"),Prod_Prop!$A:$A,Prod_Prop!$J:$J,"",0,1))</f>
        <v/>
      </c>
      <c r="Q40" s="4" t="str">
        <f t="array" ref="Q40">IF($E40="","", XLOOKUP(SUMIFS(Prod_Prop!$A:$A,Prod_Prop!$B:$B,$E40,Prod_Prop!$H:$H,Q$1,Prod_Prop!$I:$I,"Exacto"),Prod_Prop!$A:$A,Prod_Prop!$J:$J,"",0,1))</f>
        <v/>
      </c>
      <c r="R40" s="4" t="str">
        <f t="array" ref="R40">IF($E40="","", XLOOKUP(SUMIFS(Prod_Prop!$A:$A,Prod_Prop!$B:$B,$E40,Prod_Prop!$H:$H,R$1,Prod_Prop!$I:$I,"Exacto"),Prod_Prop!$A:$A,Prod_Prop!$J:$J,"",0,1))</f>
        <v/>
      </c>
      <c r="S40" s="4" t="str">
        <f t="array" ref="S40">IF($E40="","", XLOOKUP(SUMIFS(Prod_Prop!$A:$A,Prod_Prop!$B:$B,$E40,Prod_Prop!$H:$H,S$1,Prod_Prop!$I:$I,"Exacto"),Prod_Prop!$A:$A,Prod_Prop!$J:$J,"",0,1))</f>
        <v/>
      </c>
      <c r="T40" s="4" t="str">
        <f t="array" ref="T40">IF($E40="","", XLOOKUP(SUMIFS(Prod_Prop!$A:$A,Prod_Prop!$B:$B,$E40,Prod_Prop!$H:$H,T$1,Prod_Prop!$I:$I,"Exacto"),Prod_Prop!$A:$A,Prod_Prop!$J:$J,"",0,1))</f>
        <v/>
      </c>
      <c r="U40" s="4" t="str">
        <f t="array" ref="U40">IF($E40="","", XLOOKUP(SUMIFS(Prod_Prop!$A:$A,Prod_Prop!$B:$B,$E40,Prod_Prop!$H:$H,U$1,Prod_Prop!$I:$I,"Exacto"),Prod_Prop!$A:$A,Prod_Prop!$J:$J,"",0,1))</f>
        <v/>
      </c>
      <c r="V40" s="4" t="str">
        <f t="array" ref="V40">IF($E40="","", XLOOKUP(SUMIFS(Prod_Prop!$A:$A,Prod_Prop!$B:$B,$E40,Prod_Prop!$H:$H,V$1,Prod_Prop!$I:$I,"Exacto"),Prod_Prop!$A:$A,Prod_Prop!$J:$J,"",0,1))</f>
        <v/>
      </c>
      <c r="X40" s="3" t="str">
        <f>IFERROR(__xludf.DUMMYFUNCTION("IF(D40="""","""",IFERROR(TRANSPOSE(FILTER('Validaciones Cotizador'!U:U,'Validaciones Cotizador'!O:O=D40,'Validaciones Cotizador'!T:T=""x"")),""Finalizar""))"),"")</f>
        <v/>
      </c>
    </row>
    <row r="41">
      <c r="A41" s="2" t="str">
        <f t="array" ref="A41">IF(E41="","",XLOOKUP(D41,'Validaciones Cotizador'!C:C,'Validaciones Cotizador'!A:A,"",0,1))</f>
        <v/>
      </c>
      <c r="B41" s="2" t="str">
        <f t="array" ref="B41">IF(F41="","",XLOOKUP(F41,Productos!E:E,Productos!G:G,"",0,1))</f>
        <v/>
      </c>
      <c r="C41" s="2" t="str">
        <f>IF(A41="","",SUMIFS('Validaciones Cotizador'!B:B,'Validaciones Cotizador'!C:C,D41,'Validaciones Cotizador'!A:A,A41))</f>
        <v/>
      </c>
      <c r="D41" s="4" t="str">
        <f>IFERROR(__xludf.DUMMYFUNCTION("IF(OR(F40=""Finalizar"",F40="""",F40=""Selecciona..""),"""",IF(OR(F40=""-"",INDEX(filter(Familias!F:F,Familias!D:D=A40,Familias!E:E=C40),1)=""O""),D40+1,D40))"),"")</f>
        <v/>
      </c>
      <c r="E41" s="2" t="str">
        <f>IF(OR(F41="",F41="Selecciona.."),"",IF(D41="Implemento",SUMIF(Implementos!B:B,F41,Implementos!A:A),SUMIF(Productos!E:E,F41,Productos!A:A)))</f>
        <v/>
      </c>
      <c r="F41" s="2" t="str">
        <f t="shared" si="2"/>
        <v/>
      </c>
      <c r="G41" s="10" t="str">
        <f t="array" ref="G41">IF(OR(F41="",F41="-",F41="Selecciona..",F41="Finalizar"),"",IF(A41="Rodados",XLOOKUP(B41,'Validaciones Cotizador'!I:I,'Validaciones Cotizador'!J:J,0,0,1),1))</f>
        <v/>
      </c>
      <c r="H41" s="11" t="str">
        <f>IF(OR(F41="",F41="Selecciona.."),"",SUMIF(Precio_Productos!K:K,E41,Precio_Productos!J:J)*G41)</f>
        <v/>
      </c>
      <c r="I41" s="4" t="str">
        <f t="array" ref="I41">IF($E41="","", XLOOKUP(SUMIFS(Prod_Prop!$A:$A,Prod_Prop!$B:$B,$E41,Prod_Prop!$H:$H,I$1,Prod_Prop!$I:$I,"Exacto"),Prod_Prop!$A:$A,Prod_Prop!$J:$J,"",0,1))</f>
        <v/>
      </c>
      <c r="J41" s="4" t="str">
        <f t="array" ref="J41">IF($E41="","", XLOOKUP(SUMIFS(Prod_Prop!$A:$A,Prod_Prop!$B:$B,$E41,Prod_Prop!$H:$H,J$1,Prod_Prop!$I:$I,"Exacto"),Prod_Prop!$A:$A,Prod_Prop!$J:$J,"",0,1))</f>
        <v/>
      </c>
      <c r="K41" s="4" t="str">
        <f t="array" ref="K41">IF($E41="","", XLOOKUP(SUMIFS(Prod_Prop!$A:$A,Prod_Prop!$B:$B,$E41,Prod_Prop!$H:$H,K$1,Prod_Prop!$I:$I,"Exacto"),Prod_Prop!$A:$A,Prod_Prop!$J:$J,"",0,1))</f>
        <v/>
      </c>
      <c r="L41" s="4" t="str">
        <f t="array" ref="L41">IF($E41="","", XLOOKUP(SUMIFS(Prod_Prop!$A:$A,Prod_Prop!$B:$B,$E41,Prod_Prop!$H:$H,L$1,Prod_Prop!$I:$I,"Exacto"),Prod_Prop!$A:$A,Prod_Prop!$J:$J,"",0,1))</f>
        <v/>
      </c>
      <c r="M41" s="4" t="str">
        <f t="array" ref="M41">IF($E41="","", XLOOKUP(SUMIFS(Prod_Prop!$A:$A,Prod_Prop!$B:$B,$E41,Prod_Prop!$H:$H,M$1,Prod_Prop!$I:$I,"Exacto"),Prod_Prop!$A:$A,Prod_Prop!$J:$J,"",0,1))</f>
        <v/>
      </c>
      <c r="N41" s="4" t="str">
        <f t="array" ref="N41">IF($E41="","", XLOOKUP(SUMIFS(Prod_Prop!$A:$A,Prod_Prop!$B:$B,$E41,Prod_Prop!$H:$H,N$1,Prod_Prop!$I:$I,"Exacto"),Prod_Prop!$A:$A,Prod_Prop!$J:$J,"",0,1))</f>
        <v/>
      </c>
      <c r="O41" s="4" t="str">
        <f t="array" ref="O41">IF($E41="","", XLOOKUP(SUMIFS(Prod_Prop!$A:$A,Prod_Prop!$B:$B,$E41,Prod_Prop!$H:$H,O$1,Prod_Prop!$I:$I,"Exacto"),Prod_Prop!$A:$A,Prod_Prop!$J:$J,"",0,1))</f>
        <v/>
      </c>
      <c r="P41" s="4" t="str">
        <f t="array" ref="P41">IF($E41="","", XLOOKUP(SUMIFS(Prod_Prop!$A:$A,Prod_Prop!$B:$B,$E41,Prod_Prop!$H:$H,P$1,Prod_Prop!$I:$I,"Exacto"),Prod_Prop!$A:$A,Prod_Prop!$J:$J,"",0,1))</f>
        <v/>
      </c>
      <c r="Q41" s="4" t="str">
        <f t="array" ref="Q41">IF($E41="","", XLOOKUP(SUMIFS(Prod_Prop!$A:$A,Prod_Prop!$B:$B,$E41,Prod_Prop!$H:$H,Q$1,Prod_Prop!$I:$I,"Exacto"),Prod_Prop!$A:$A,Prod_Prop!$J:$J,"",0,1))</f>
        <v/>
      </c>
      <c r="R41" s="4" t="str">
        <f t="array" ref="R41">IF($E41="","", XLOOKUP(SUMIFS(Prod_Prop!$A:$A,Prod_Prop!$B:$B,$E41,Prod_Prop!$H:$H,R$1,Prod_Prop!$I:$I,"Exacto"),Prod_Prop!$A:$A,Prod_Prop!$J:$J,"",0,1))</f>
        <v/>
      </c>
      <c r="S41" s="4" t="str">
        <f t="array" ref="S41">IF($E41="","", XLOOKUP(SUMIFS(Prod_Prop!$A:$A,Prod_Prop!$B:$B,$E41,Prod_Prop!$H:$H,S$1,Prod_Prop!$I:$I,"Exacto"),Prod_Prop!$A:$A,Prod_Prop!$J:$J,"",0,1))</f>
        <v/>
      </c>
      <c r="T41" s="4" t="str">
        <f t="array" ref="T41">IF($E41="","", XLOOKUP(SUMIFS(Prod_Prop!$A:$A,Prod_Prop!$B:$B,$E41,Prod_Prop!$H:$H,T$1,Prod_Prop!$I:$I,"Exacto"),Prod_Prop!$A:$A,Prod_Prop!$J:$J,"",0,1))</f>
        <v/>
      </c>
      <c r="U41" s="4" t="str">
        <f t="array" ref="U41">IF($E41="","", XLOOKUP(SUMIFS(Prod_Prop!$A:$A,Prod_Prop!$B:$B,$E41,Prod_Prop!$H:$H,U$1,Prod_Prop!$I:$I,"Exacto"),Prod_Prop!$A:$A,Prod_Prop!$J:$J,"",0,1))</f>
        <v/>
      </c>
      <c r="V41" s="4" t="str">
        <f t="array" ref="V41">IF($E41="","", XLOOKUP(SUMIFS(Prod_Prop!$A:$A,Prod_Prop!$B:$B,$E41,Prod_Prop!$H:$H,V$1,Prod_Prop!$I:$I,"Exacto"),Prod_Prop!$A:$A,Prod_Prop!$J:$J,"",0,1))</f>
        <v/>
      </c>
      <c r="X41" s="3" t="str">
        <f>IFERROR(__xludf.DUMMYFUNCTION("IF(D41="""","""",IFERROR(TRANSPOSE(FILTER('Validaciones Cotizador'!U:U,'Validaciones Cotizador'!O:O=D41,'Validaciones Cotizador'!T:T=""x"")),""Finalizar""))"),"")</f>
        <v/>
      </c>
    </row>
    <row r="42">
      <c r="A42" s="2" t="str">
        <f t="array" ref="A42">IF(E42="","",XLOOKUP(D42,'Validaciones Cotizador'!C:C,'Validaciones Cotizador'!A:A,"",0,1))</f>
        <v/>
      </c>
      <c r="B42" s="2" t="str">
        <f t="array" ref="B42">IF(F42="","",XLOOKUP(F42,Productos!E:E,Productos!G:G,"",0,1))</f>
        <v/>
      </c>
      <c r="C42" s="2" t="str">
        <f>IF(A42="","",SUMIFS('Validaciones Cotizador'!B:B,'Validaciones Cotizador'!C:C,D42,'Validaciones Cotizador'!A:A,A42))</f>
        <v/>
      </c>
      <c r="D42" s="4" t="str">
        <f>IFERROR(__xludf.DUMMYFUNCTION("IF(OR(F41=""Finalizar"",F41="""",F41=""Selecciona..""),"""",IF(OR(F41=""-"",INDEX(filter(Familias!F:F,Familias!D:D=A41,Familias!E:E=C41),1)=""O""),D41+1,D41))"),"")</f>
        <v/>
      </c>
      <c r="E42" s="2" t="str">
        <f>IF(OR(F42="",F42="Selecciona.."),"",IF(D42="Implemento",SUMIF(Implementos!B:B,F42,Implementos!A:A),SUMIF(Productos!E:E,F42,Productos!A:A)))</f>
        <v/>
      </c>
      <c r="F42" s="2" t="str">
        <f t="shared" si="2"/>
        <v/>
      </c>
      <c r="G42" s="10" t="str">
        <f t="array" ref="G42">IF(OR(F42="",F42="-",F42="Selecciona..",F42="Finalizar"),"",IF(A42="Rodados",XLOOKUP(B42,'Validaciones Cotizador'!I:I,'Validaciones Cotizador'!J:J,0,0,1),1))</f>
        <v/>
      </c>
      <c r="H42" s="11" t="str">
        <f>IF(OR(F42="",F42="Selecciona.."),"",SUMIF(Precio_Productos!K:K,E42,Precio_Productos!J:J)*G42)</f>
        <v/>
      </c>
      <c r="I42" s="4" t="str">
        <f t="array" ref="I42">IF($E42="","", XLOOKUP(SUMIFS(Prod_Prop!$A:$A,Prod_Prop!$B:$B,$E42,Prod_Prop!$H:$H,I$1,Prod_Prop!$I:$I,"Exacto"),Prod_Prop!$A:$A,Prod_Prop!$J:$J,"",0,1))</f>
        <v/>
      </c>
      <c r="J42" s="4" t="str">
        <f t="array" ref="J42">IF($E42="","", XLOOKUP(SUMIFS(Prod_Prop!$A:$A,Prod_Prop!$B:$B,$E42,Prod_Prop!$H:$H,J$1,Prod_Prop!$I:$I,"Exacto"),Prod_Prop!$A:$A,Prod_Prop!$J:$J,"",0,1))</f>
        <v/>
      </c>
      <c r="K42" s="4" t="str">
        <f t="array" ref="K42">IF($E42="","", XLOOKUP(SUMIFS(Prod_Prop!$A:$A,Prod_Prop!$B:$B,$E42,Prod_Prop!$H:$H,K$1,Prod_Prop!$I:$I,"Exacto"),Prod_Prop!$A:$A,Prod_Prop!$J:$J,"",0,1))</f>
        <v/>
      </c>
      <c r="L42" s="4" t="str">
        <f t="array" ref="L42">IF($E42="","", XLOOKUP(SUMIFS(Prod_Prop!$A:$A,Prod_Prop!$B:$B,$E42,Prod_Prop!$H:$H,L$1,Prod_Prop!$I:$I,"Exacto"),Prod_Prop!$A:$A,Prod_Prop!$J:$J,"",0,1))</f>
        <v/>
      </c>
      <c r="M42" s="4" t="str">
        <f t="array" ref="M42">IF($E42="","", XLOOKUP(SUMIFS(Prod_Prop!$A:$A,Prod_Prop!$B:$B,$E42,Prod_Prop!$H:$H,M$1,Prod_Prop!$I:$I,"Exacto"),Prod_Prop!$A:$A,Prod_Prop!$J:$J,"",0,1))</f>
        <v/>
      </c>
      <c r="N42" s="4" t="str">
        <f t="array" ref="N42">IF($E42="","", XLOOKUP(SUMIFS(Prod_Prop!$A:$A,Prod_Prop!$B:$B,$E42,Prod_Prop!$H:$H,N$1,Prod_Prop!$I:$I,"Exacto"),Prod_Prop!$A:$A,Prod_Prop!$J:$J,"",0,1))</f>
        <v/>
      </c>
      <c r="O42" s="4" t="str">
        <f t="array" ref="O42">IF($E42="","", XLOOKUP(SUMIFS(Prod_Prop!$A:$A,Prod_Prop!$B:$B,$E42,Prod_Prop!$H:$H,O$1,Prod_Prop!$I:$I,"Exacto"),Prod_Prop!$A:$A,Prod_Prop!$J:$J,"",0,1))</f>
        <v/>
      </c>
      <c r="P42" s="4" t="str">
        <f t="array" ref="P42">IF($E42="","", XLOOKUP(SUMIFS(Prod_Prop!$A:$A,Prod_Prop!$B:$B,$E42,Prod_Prop!$H:$H,P$1,Prod_Prop!$I:$I,"Exacto"),Prod_Prop!$A:$A,Prod_Prop!$J:$J,"",0,1))</f>
        <v/>
      </c>
      <c r="Q42" s="4" t="str">
        <f t="array" ref="Q42">IF($E42="","", XLOOKUP(SUMIFS(Prod_Prop!$A:$A,Prod_Prop!$B:$B,$E42,Prod_Prop!$H:$H,Q$1,Prod_Prop!$I:$I,"Exacto"),Prod_Prop!$A:$A,Prod_Prop!$J:$J,"",0,1))</f>
        <v/>
      </c>
      <c r="R42" s="4" t="str">
        <f t="array" ref="R42">IF($E42="","", XLOOKUP(SUMIFS(Prod_Prop!$A:$A,Prod_Prop!$B:$B,$E42,Prod_Prop!$H:$H,R$1,Prod_Prop!$I:$I,"Exacto"),Prod_Prop!$A:$A,Prod_Prop!$J:$J,"",0,1))</f>
        <v/>
      </c>
      <c r="S42" s="4" t="str">
        <f t="array" ref="S42">IF($E42="","", XLOOKUP(SUMIFS(Prod_Prop!$A:$A,Prod_Prop!$B:$B,$E42,Prod_Prop!$H:$H,S$1,Prod_Prop!$I:$I,"Exacto"),Prod_Prop!$A:$A,Prod_Prop!$J:$J,"",0,1))</f>
        <v/>
      </c>
      <c r="T42" s="4" t="str">
        <f t="array" ref="T42">IF($E42="","", XLOOKUP(SUMIFS(Prod_Prop!$A:$A,Prod_Prop!$B:$B,$E42,Prod_Prop!$H:$H,T$1,Prod_Prop!$I:$I,"Exacto"),Prod_Prop!$A:$A,Prod_Prop!$J:$J,"",0,1))</f>
        <v/>
      </c>
      <c r="U42" s="4" t="str">
        <f t="array" ref="U42">IF($E42="","", XLOOKUP(SUMIFS(Prod_Prop!$A:$A,Prod_Prop!$B:$B,$E42,Prod_Prop!$H:$H,U$1,Prod_Prop!$I:$I,"Exacto"),Prod_Prop!$A:$A,Prod_Prop!$J:$J,"",0,1))</f>
        <v/>
      </c>
      <c r="V42" s="4" t="str">
        <f t="array" ref="V42">IF($E42="","", XLOOKUP(SUMIFS(Prod_Prop!$A:$A,Prod_Prop!$B:$B,$E42,Prod_Prop!$H:$H,V$1,Prod_Prop!$I:$I,"Exacto"),Prod_Prop!$A:$A,Prod_Prop!$J:$J,"",0,1))</f>
        <v/>
      </c>
      <c r="X42" s="3" t="str">
        <f>IFERROR(__xludf.DUMMYFUNCTION("IF(D42="""","""",IFERROR(TRANSPOSE(FILTER('Validaciones Cotizador'!U:U,'Validaciones Cotizador'!O:O=D42,'Validaciones Cotizador'!T:T=""x"")),""Finalizar""))"),"")</f>
        <v/>
      </c>
    </row>
    <row r="43">
      <c r="A43" s="2" t="str">
        <f t="array" ref="A43">IF(E43="","",XLOOKUP(D43,'Validaciones Cotizador'!C:C,'Validaciones Cotizador'!A:A,"",0,1))</f>
        <v/>
      </c>
      <c r="B43" s="2" t="str">
        <f t="array" ref="B43">IF(F43="","",XLOOKUP(F43,Productos!E:E,Productos!G:G,"",0,1))</f>
        <v/>
      </c>
      <c r="C43" s="2" t="str">
        <f>IF(A43="","",SUMIFS('Validaciones Cotizador'!B:B,'Validaciones Cotizador'!C:C,D43,'Validaciones Cotizador'!A:A,A43))</f>
        <v/>
      </c>
      <c r="D43" s="4" t="str">
        <f>IFERROR(__xludf.DUMMYFUNCTION("IF(OR(F42=""Finalizar"",F42="""",F42=""Selecciona..""),"""",IF(OR(F42=""-"",INDEX(filter(Familias!F:F,Familias!D:D=A42,Familias!E:E=C42),1)=""O""),D42+1,D42))"),"")</f>
        <v/>
      </c>
      <c r="E43" s="2" t="str">
        <f>IF(OR(F43="",F43="Selecciona.."),"",IF(D43="Implemento",SUMIF(Implementos!B:B,F43,Implementos!A:A),SUMIF(Productos!E:E,F43,Productos!A:A)))</f>
        <v/>
      </c>
      <c r="F43" s="2" t="str">
        <f t="shared" si="2"/>
        <v/>
      </c>
      <c r="G43" s="10" t="str">
        <f t="array" ref="G43">IF(OR(F43="",F43="-",F43="Selecciona..",F43="Finalizar"),"",IF(A43="Rodados",XLOOKUP(B43,'Validaciones Cotizador'!I:I,'Validaciones Cotizador'!J:J,0,0,1),1))</f>
        <v/>
      </c>
      <c r="H43" s="11" t="str">
        <f>IF(OR(F43="",F43="Selecciona.."),"",SUMIF(Precio_Productos!K:K,E43,Precio_Productos!J:J)*G43)</f>
        <v/>
      </c>
      <c r="I43" s="4" t="str">
        <f t="array" ref="I43">IF($E43="","", XLOOKUP(SUMIFS(Prod_Prop!$A:$A,Prod_Prop!$B:$B,$E43,Prod_Prop!$H:$H,I$1,Prod_Prop!$I:$I,"Exacto"),Prod_Prop!$A:$A,Prod_Prop!$J:$J,"",0,1))</f>
        <v/>
      </c>
      <c r="J43" s="4" t="str">
        <f t="array" ref="J43">IF($E43="","", XLOOKUP(SUMIFS(Prod_Prop!$A:$A,Prod_Prop!$B:$B,$E43,Prod_Prop!$H:$H,J$1,Prod_Prop!$I:$I,"Exacto"),Prod_Prop!$A:$A,Prod_Prop!$J:$J,"",0,1))</f>
        <v/>
      </c>
      <c r="K43" s="4" t="str">
        <f t="array" ref="K43">IF($E43="","", XLOOKUP(SUMIFS(Prod_Prop!$A:$A,Prod_Prop!$B:$B,$E43,Prod_Prop!$H:$H,K$1,Prod_Prop!$I:$I,"Exacto"),Prod_Prop!$A:$A,Prod_Prop!$J:$J,"",0,1))</f>
        <v/>
      </c>
      <c r="L43" s="4" t="str">
        <f t="array" ref="L43">IF($E43="","", XLOOKUP(SUMIFS(Prod_Prop!$A:$A,Prod_Prop!$B:$B,$E43,Prod_Prop!$H:$H,L$1,Prod_Prop!$I:$I,"Exacto"),Prod_Prop!$A:$A,Prod_Prop!$J:$J,"",0,1))</f>
        <v/>
      </c>
      <c r="M43" s="4" t="str">
        <f t="array" ref="M43">IF($E43="","", XLOOKUP(SUMIFS(Prod_Prop!$A:$A,Prod_Prop!$B:$B,$E43,Prod_Prop!$H:$H,M$1,Prod_Prop!$I:$I,"Exacto"),Prod_Prop!$A:$A,Prod_Prop!$J:$J,"",0,1))</f>
        <v/>
      </c>
      <c r="N43" s="4" t="str">
        <f t="array" ref="N43">IF($E43="","", XLOOKUP(SUMIFS(Prod_Prop!$A:$A,Prod_Prop!$B:$B,$E43,Prod_Prop!$H:$H,N$1,Prod_Prop!$I:$I,"Exacto"),Prod_Prop!$A:$A,Prod_Prop!$J:$J,"",0,1))</f>
        <v/>
      </c>
      <c r="O43" s="4" t="str">
        <f t="array" ref="O43">IF($E43="","", XLOOKUP(SUMIFS(Prod_Prop!$A:$A,Prod_Prop!$B:$B,$E43,Prod_Prop!$H:$H,O$1,Prod_Prop!$I:$I,"Exacto"),Prod_Prop!$A:$A,Prod_Prop!$J:$J,"",0,1))</f>
        <v/>
      </c>
      <c r="P43" s="4" t="str">
        <f t="array" ref="P43">IF($E43="","", XLOOKUP(SUMIFS(Prod_Prop!$A:$A,Prod_Prop!$B:$B,$E43,Prod_Prop!$H:$H,P$1,Prod_Prop!$I:$I,"Exacto"),Prod_Prop!$A:$A,Prod_Prop!$J:$J,"",0,1))</f>
        <v/>
      </c>
      <c r="Q43" s="4" t="str">
        <f t="array" ref="Q43">IF($E43="","", XLOOKUP(SUMIFS(Prod_Prop!$A:$A,Prod_Prop!$B:$B,$E43,Prod_Prop!$H:$H,Q$1,Prod_Prop!$I:$I,"Exacto"),Prod_Prop!$A:$A,Prod_Prop!$J:$J,"",0,1))</f>
        <v/>
      </c>
      <c r="R43" s="4" t="str">
        <f t="array" ref="R43">IF($E43="","", XLOOKUP(SUMIFS(Prod_Prop!$A:$A,Prod_Prop!$B:$B,$E43,Prod_Prop!$H:$H,R$1,Prod_Prop!$I:$I,"Exacto"),Prod_Prop!$A:$A,Prod_Prop!$J:$J,"",0,1))</f>
        <v/>
      </c>
      <c r="S43" s="4" t="str">
        <f t="array" ref="S43">IF($E43="","", XLOOKUP(SUMIFS(Prod_Prop!$A:$A,Prod_Prop!$B:$B,$E43,Prod_Prop!$H:$H,S$1,Prod_Prop!$I:$I,"Exacto"),Prod_Prop!$A:$A,Prod_Prop!$J:$J,"",0,1))</f>
        <v/>
      </c>
      <c r="T43" s="4" t="str">
        <f t="array" ref="T43">IF($E43="","", XLOOKUP(SUMIFS(Prod_Prop!$A:$A,Prod_Prop!$B:$B,$E43,Prod_Prop!$H:$H,T$1,Prod_Prop!$I:$I,"Exacto"),Prod_Prop!$A:$A,Prod_Prop!$J:$J,"",0,1))</f>
        <v/>
      </c>
      <c r="U43" s="4" t="str">
        <f t="array" ref="U43">IF($E43="","", XLOOKUP(SUMIFS(Prod_Prop!$A:$A,Prod_Prop!$B:$B,$E43,Prod_Prop!$H:$H,U$1,Prod_Prop!$I:$I,"Exacto"),Prod_Prop!$A:$A,Prod_Prop!$J:$J,"",0,1))</f>
        <v/>
      </c>
      <c r="V43" s="4" t="str">
        <f t="array" ref="V43">IF($E43="","", XLOOKUP(SUMIFS(Prod_Prop!$A:$A,Prod_Prop!$B:$B,$E43,Prod_Prop!$H:$H,V$1,Prod_Prop!$I:$I,"Exacto"),Prod_Prop!$A:$A,Prod_Prop!$J:$J,"",0,1))</f>
        <v/>
      </c>
      <c r="X43" s="3" t="str">
        <f>IFERROR(__xludf.DUMMYFUNCTION("IF(D43="""","""",IFERROR(TRANSPOSE(FILTER('Validaciones Cotizador'!U:U,'Validaciones Cotizador'!O:O=D43,'Validaciones Cotizador'!T:T=""x"")),""Finalizar""))"),"")</f>
        <v/>
      </c>
    </row>
    <row r="44">
      <c r="A44" s="2" t="str">
        <f t="array" ref="A44">IF(E44="","",XLOOKUP(D44,'Validaciones Cotizador'!C:C,'Validaciones Cotizador'!A:A,"",0,1))</f>
        <v/>
      </c>
      <c r="B44" s="2" t="str">
        <f t="array" ref="B44">IF(F44="","",XLOOKUP(F44,Productos!E:E,Productos!G:G,"",0,1))</f>
        <v/>
      </c>
      <c r="C44" s="2" t="str">
        <f>IF(A44="","",SUMIFS('Validaciones Cotizador'!B:B,'Validaciones Cotizador'!C:C,D44,'Validaciones Cotizador'!A:A,A44))</f>
        <v/>
      </c>
      <c r="D44" s="4" t="str">
        <f>IFERROR(__xludf.DUMMYFUNCTION("IF(OR(F43=""Finalizar"",F43="""",F43=""Selecciona..""),"""",IF(OR(F43=""-"",INDEX(filter(Familias!F:F,Familias!D:D=A43,Familias!E:E=C43),1)=""O""),D43+1,D43))"),"")</f>
        <v/>
      </c>
      <c r="E44" s="2" t="str">
        <f>IF(OR(F44="",F44="Selecciona.."),"",IF(D44="Implemento",SUMIF(Implementos!B:B,F44,Implementos!A:A),SUMIF(Productos!E:E,F44,Productos!A:A)))</f>
        <v/>
      </c>
      <c r="F44" s="2" t="str">
        <f t="shared" si="2"/>
        <v/>
      </c>
      <c r="G44" s="10" t="str">
        <f t="array" ref="G44">IF(OR(F44="",F44="-",F44="Selecciona..",F44="Finalizar"),"",IF(A44="Rodados",XLOOKUP(B44,'Validaciones Cotizador'!I:I,'Validaciones Cotizador'!J:J,0,0,1),1))</f>
        <v/>
      </c>
      <c r="H44" s="11" t="str">
        <f>IF(OR(F44="",F44="Selecciona.."),"",SUMIF(Precio_Productos!K:K,E44,Precio_Productos!J:J)*G44)</f>
        <v/>
      </c>
      <c r="I44" s="4" t="str">
        <f t="array" ref="I44">IF($E44="","", XLOOKUP(SUMIFS(Prod_Prop!$A:$A,Prod_Prop!$B:$B,$E44,Prod_Prop!$H:$H,I$1,Prod_Prop!$I:$I,"Exacto"),Prod_Prop!$A:$A,Prod_Prop!$J:$J,"",0,1))</f>
        <v/>
      </c>
      <c r="J44" s="4" t="str">
        <f t="array" ref="J44">IF($E44="","", XLOOKUP(SUMIFS(Prod_Prop!$A:$A,Prod_Prop!$B:$B,$E44,Prod_Prop!$H:$H,J$1,Prod_Prop!$I:$I,"Exacto"),Prod_Prop!$A:$A,Prod_Prop!$J:$J,"",0,1))</f>
        <v/>
      </c>
      <c r="K44" s="4" t="str">
        <f t="array" ref="K44">IF($E44="","", XLOOKUP(SUMIFS(Prod_Prop!$A:$A,Prod_Prop!$B:$B,$E44,Prod_Prop!$H:$H,K$1,Prod_Prop!$I:$I,"Exacto"),Prod_Prop!$A:$A,Prod_Prop!$J:$J,"",0,1))</f>
        <v/>
      </c>
      <c r="L44" s="4" t="str">
        <f t="array" ref="L44">IF($E44="","", XLOOKUP(SUMIFS(Prod_Prop!$A:$A,Prod_Prop!$B:$B,$E44,Prod_Prop!$H:$H,L$1,Prod_Prop!$I:$I,"Exacto"),Prod_Prop!$A:$A,Prod_Prop!$J:$J,"",0,1))</f>
        <v/>
      </c>
      <c r="M44" s="4" t="str">
        <f t="array" ref="M44">IF($E44="","", XLOOKUP(SUMIFS(Prod_Prop!$A:$A,Prod_Prop!$B:$B,$E44,Prod_Prop!$H:$H,M$1,Prod_Prop!$I:$I,"Exacto"),Prod_Prop!$A:$A,Prod_Prop!$J:$J,"",0,1))</f>
        <v/>
      </c>
      <c r="N44" s="4" t="str">
        <f t="array" ref="N44">IF($E44="","", XLOOKUP(SUMIFS(Prod_Prop!$A:$A,Prod_Prop!$B:$B,$E44,Prod_Prop!$H:$H,N$1,Prod_Prop!$I:$I,"Exacto"),Prod_Prop!$A:$A,Prod_Prop!$J:$J,"",0,1))</f>
        <v/>
      </c>
      <c r="O44" s="4" t="str">
        <f t="array" ref="O44">IF($E44="","", XLOOKUP(SUMIFS(Prod_Prop!$A:$A,Prod_Prop!$B:$B,$E44,Prod_Prop!$H:$H,O$1,Prod_Prop!$I:$I,"Exacto"),Prod_Prop!$A:$A,Prod_Prop!$J:$J,"",0,1))</f>
        <v/>
      </c>
      <c r="P44" s="4" t="str">
        <f t="array" ref="P44">IF($E44="","", XLOOKUP(SUMIFS(Prod_Prop!$A:$A,Prod_Prop!$B:$B,$E44,Prod_Prop!$H:$H,P$1,Prod_Prop!$I:$I,"Exacto"),Prod_Prop!$A:$A,Prod_Prop!$J:$J,"",0,1))</f>
        <v/>
      </c>
      <c r="Q44" s="4" t="str">
        <f t="array" ref="Q44">IF($E44="","", XLOOKUP(SUMIFS(Prod_Prop!$A:$A,Prod_Prop!$B:$B,$E44,Prod_Prop!$H:$H,Q$1,Prod_Prop!$I:$I,"Exacto"),Prod_Prop!$A:$A,Prod_Prop!$J:$J,"",0,1))</f>
        <v/>
      </c>
      <c r="R44" s="4" t="str">
        <f t="array" ref="R44">IF($E44="","", XLOOKUP(SUMIFS(Prod_Prop!$A:$A,Prod_Prop!$B:$B,$E44,Prod_Prop!$H:$H,R$1,Prod_Prop!$I:$I,"Exacto"),Prod_Prop!$A:$A,Prod_Prop!$J:$J,"",0,1))</f>
        <v/>
      </c>
      <c r="S44" s="4" t="str">
        <f t="array" ref="S44">IF($E44="","", XLOOKUP(SUMIFS(Prod_Prop!$A:$A,Prod_Prop!$B:$B,$E44,Prod_Prop!$H:$H,S$1,Prod_Prop!$I:$I,"Exacto"),Prod_Prop!$A:$A,Prod_Prop!$J:$J,"",0,1))</f>
        <v/>
      </c>
      <c r="T44" s="4" t="str">
        <f t="array" ref="T44">IF($E44="","", XLOOKUP(SUMIFS(Prod_Prop!$A:$A,Prod_Prop!$B:$B,$E44,Prod_Prop!$H:$H,T$1,Prod_Prop!$I:$I,"Exacto"),Prod_Prop!$A:$A,Prod_Prop!$J:$J,"",0,1))</f>
        <v/>
      </c>
      <c r="U44" s="4" t="str">
        <f t="array" ref="U44">IF($E44="","", XLOOKUP(SUMIFS(Prod_Prop!$A:$A,Prod_Prop!$B:$B,$E44,Prod_Prop!$H:$H,U$1,Prod_Prop!$I:$I,"Exacto"),Prod_Prop!$A:$A,Prod_Prop!$J:$J,"",0,1))</f>
        <v/>
      </c>
      <c r="V44" s="4" t="str">
        <f t="array" ref="V44">IF($E44="","", XLOOKUP(SUMIFS(Prod_Prop!$A:$A,Prod_Prop!$B:$B,$E44,Prod_Prop!$H:$H,V$1,Prod_Prop!$I:$I,"Exacto"),Prod_Prop!$A:$A,Prod_Prop!$J:$J,"",0,1))</f>
        <v/>
      </c>
      <c r="X44" s="3" t="str">
        <f>IFERROR(__xludf.DUMMYFUNCTION("IF(D44="""","""",IFERROR(TRANSPOSE(FILTER('Validaciones Cotizador'!U:U,'Validaciones Cotizador'!O:O=D44,'Validaciones Cotizador'!T:T=""x"")),""Finalizar""))"),"")</f>
        <v/>
      </c>
    </row>
    <row r="45">
      <c r="A45" s="2" t="str">
        <f t="array" ref="A45">IF(E45="","",XLOOKUP(D45,'Validaciones Cotizador'!C:C,'Validaciones Cotizador'!A:A,"",0,1))</f>
        <v/>
      </c>
      <c r="B45" s="2" t="str">
        <f t="array" ref="B45">IF(F45="","",XLOOKUP(F45,Productos!E:E,Productos!G:G,"",0,1))</f>
        <v/>
      </c>
      <c r="C45" s="2" t="str">
        <f>IF(A45="","",SUMIFS('Validaciones Cotizador'!B:B,'Validaciones Cotizador'!C:C,D45,'Validaciones Cotizador'!A:A,A45))</f>
        <v/>
      </c>
      <c r="D45" s="4" t="str">
        <f>IFERROR(__xludf.DUMMYFUNCTION("IF(OR(F44=""Finalizar"",F44="""",F44=""Selecciona..""),"""",IF(OR(F44=""-"",INDEX(filter(Familias!F:F,Familias!D:D=A44,Familias!E:E=C44),1)=""O""),D44+1,D44))"),"")</f>
        <v/>
      </c>
      <c r="E45" s="2" t="str">
        <f>IF(OR(F45="",F45="Selecciona.."),"",IF(D45="Implemento",SUMIF(Implementos!B:B,F45,Implementos!A:A),SUMIF(Productos!E:E,F45,Productos!A:A)))</f>
        <v/>
      </c>
      <c r="F45" s="2" t="str">
        <f t="shared" si="2"/>
        <v/>
      </c>
      <c r="G45" s="10" t="str">
        <f t="array" ref="G45">IF(OR(F45="",F45="-",F45="Selecciona..",F45="Finalizar"),"",IF(A45="Rodados",XLOOKUP(B45,'Validaciones Cotizador'!I:I,'Validaciones Cotizador'!J:J,0,0,1),1))</f>
        <v/>
      </c>
      <c r="H45" s="11" t="str">
        <f>IF(OR(F45="",F45="Selecciona.."),"",SUMIF(Precio_Productos!K:K,E45,Precio_Productos!J:J)*G45)</f>
        <v/>
      </c>
      <c r="I45" s="4" t="str">
        <f t="array" ref="I45">IF($E45="","", XLOOKUP(SUMIFS(Prod_Prop!$A:$A,Prod_Prop!$B:$B,$E45,Prod_Prop!$H:$H,I$1,Prod_Prop!$I:$I,"Exacto"),Prod_Prop!$A:$A,Prod_Prop!$J:$J,"",0,1))</f>
        <v/>
      </c>
      <c r="J45" s="4" t="str">
        <f t="array" ref="J45">IF($E45="","", XLOOKUP(SUMIFS(Prod_Prop!$A:$A,Prod_Prop!$B:$B,$E45,Prod_Prop!$H:$H,J$1,Prod_Prop!$I:$I,"Exacto"),Prod_Prop!$A:$A,Prod_Prop!$J:$J,"",0,1))</f>
        <v/>
      </c>
      <c r="K45" s="4" t="str">
        <f t="array" ref="K45">IF($E45="","", XLOOKUP(SUMIFS(Prod_Prop!$A:$A,Prod_Prop!$B:$B,$E45,Prod_Prop!$H:$H,K$1,Prod_Prop!$I:$I,"Exacto"),Prod_Prop!$A:$A,Prod_Prop!$J:$J,"",0,1))</f>
        <v/>
      </c>
      <c r="L45" s="4" t="str">
        <f t="array" ref="L45">IF($E45="","", XLOOKUP(SUMIFS(Prod_Prop!$A:$A,Prod_Prop!$B:$B,$E45,Prod_Prop!$H:$H,L$1,Prod_Prop!$I:$I,"Exacto"),Prod_Prop!$A:$A,Prod_Prop!$J:$J,"",0,1))</f>
        <v/>
      </c>
      <c r="M45" s="4" t="str">
        <f t="array" ref="M45">IF($E45="","", XLOOKUP(SUMIFS(Prod_Prop!$A:$A,Prod_Prop!$B:$B,$E45,Prod_Prop!$H:$H,M$1,Prod_Prop!$I:$I,"Exacto"),Prod_Prop!$A:$A,Prod_Prop!$J:$J,"",0,1))</f>
        <v/>
      </c>
      <c r="N45" s="4" t="str">
        <f t="array" ref="N45">IF($E45="","", XLOOKUP(SUMIFS(Prod_Prop!$A:$A,Prod_Prop!$B:$B,$E45,Prod_Prop!$H:$H,N$1,Prod_Prop!$I:$I,"Exacto"),Prod_Prop!$A:$A,Prod_Prop!$J:$J,"",0,1))</f>
        <v/>
      </c>
      <c r="O45" s="4" t="str">
        <f t="array" ref="O45">IF($E45="","", XLOOKUP(SUMIFS(Prod_Prop!$A:$A,Prod_Prop!$B:$B,$E45,Prod_Prop!$H:$H,O$1,Prod_Prop!$I:$I,"Exacto"),Prod_Prop!$A:$A,Prod_Prop!$J:$J,"",0,1))</f>
        <v/>
      </c>
      <c r="P45" s="4" t="str">
        <f t="array" ref="P45">IF($E45="","", XLOOKUP(SUMIFS(Prod_Prop!$A:$A,Prod_Prop!$B:$B,$E45,Prod_Prop!$H:$H,P$1,Prod_Prop!$I:$I,"Exacto"),Prod_Prop!$A:$A,Prod_Prop!$J:$J,"",0,1))</f>
        <v/>
      </c>
      <c r="Q45" s="4" t="str">
        <f t="array" ref="Q45">IF($E45="","", XLOOKUP(SUMIFS(Prod_Prop!$A:$A,Prod_Prop!$B:$B,$E45,Prod_Prop!$H:$H,Q$1,Prod_Prop!$I:$I,"Exacto"),Prod_Prop!$A:$A,Prod_Prop!$J:$J,"",0,1))</f>
        <v/>
      </c>
      <c r="R45" s="4" t="str">
        <f t="array" ref="R45">IF($E45="","", XLOOKUP(SUMIFS(Prod_Prop!$A:$A,Prod_Prop!$B:$B,$E45,Prod_Prop!$H:$H,R$1,Prod_Prop!$I:$I,"Exacto"),Prod_Prop!$A:$A,Prod_Prop!$J:$J,"",0,1))</f>
        <v/>
      </c>
      <c r="S45" s="4" t="str">
        <f t="array" ref="S45">IF($E45="","", XLOOKUP(SUMIFS(Prod_Prop!$A:$A,Prod_Prop!$B:$B,$E45,Prod_Prop!$H:$H,S$1,Prod_Prop!$I:$I,"Exacto"),Prod_Prop!$A:$A,Prod_Prop!$J:$J,"",0,1))</f>
        <v/>
      </c>
      <c r="T45" s="4" t="str">
        <f t="array" ref="T45">IF($E45="","", XLOOKUP(SUMIFS(Prod_Prop!$A:$A,Prod_Prop!$B:$B,$E45,Prod_Prop!$H:$H,T$1,Prod_Prop!$I:$I,"Exacto"),Prod_Prop!$A:$A,Prod_Prop!$J:$J,"",0,1))</f>
        <v/>
      </c>
      <c r="U45" s="4" t="str">
        <f t="array" ref="U45">IF($E45="","", XLOOKUP(SUMIFS(Prod_Prop!$A:$A,Prod_Prop!$B:$B,$E45,Prod_Prop!$H:$H,U$1,Prod_Prop!$I:$I,"Exacto"),Prod_Prop!$A:$A,Prod_Prop!$J:$J,"",0,1))</f>
        <v/>
      </c>
      <c r="V45" s="4" t="str">
        <f t="array" ref="V45">IF($E45="","", XLOOKUP(SUMIFS(Prod_Prop!$A:$A,Prod_Prop!$B:$B,$E45,Prod_Prop!$H:$H,V$1,Prod_Prop!$I:$I,"Exacto"),Prod_Prop!$A:$A,Prod_Prop!$J:$J,"",0,1))</f>
        <v/>
      </c>
      <c r="X45" s="3" t="str">
        <f>IFERROR(__xludf.DUMMYFUNCTION("IF(D45="""","""",IFERROR(TRANSPOSE(FILTER('Validaciones Cotizador'!U:U,'Validaciones Cotizador'!O:O=D45,'Validaciones Cotizador'!T:T=""x"")),""Finalizar""))"),"")</f>
        <v/>
      </c>
    </row>
    <row r="46">
      <c r="A46" s="2" t="str">
        <f t="array" ref="A46">IF(E46="","",XLOOKUP(D46,'Validaciones Cotizador'!C:C,'Validaciones Cotizador'!A:A,"",0,1))</f>
        <v/>
      </c>
      <c r="B46" s="2" t="str">
        <f t="array" ref="B46">IF(F46="","",XLOOKUP(F46,Productos!E:E,Productos!G:G,"",0,1))</f>
        <v/>
      </c>
      <c r="C46" s="2" t="str">
        <f>IF(A46="","",SUMIFS('Validaciones Cotizador'!B:B,'Validaciones Cotizador'!C:C,D46,'Validaciones Cotizador'!A:A,A46))</f>
        <v/>
      </c>
      <c r="D46" s="4" t="str">
        <f>IFERROR(__xludf.DUMMYFUNCTION("IF(OR(F45=""Finalizar"",F45="""",F45=""Selecciona..""),"""",IF(OR(F45=""-"",INDEX(filter(Familias!F:F,Familias!D:D=A45,Familias!E:E=C45),1)=""O""),D45+1,D45))"),"")</f>
        <v/>
      </c>
      <c r="E46" s="2" t="str">
        <f>IF(OR(F46="",F46="Selecciona.."),"",IF(D46="Implemento",SUMIF(Implementos!B:B,F46,Implementos!A:A),SUMIF(Productos!E:E,F46,Productos!A:A)))</f>
        <v/>
      </c>
      <c r="F46" s="2" t="str">
        <f t="shared" si="2"/>
        <v/>
      </c>
      <c r="G46" s="10" t="str">
        <f t="array" ref="G46">IF(OR(F46="",F46="-",F46="Selecciona..",F46="Finalizar"),"",IF(A46="Rodados",XLOOKUP(B46,'Validaciones Cotizador'!I:I,'Validaciones Cotizador'!J:J,0,0,1),1))</f>
        <v/>
      </c>
      <c r="H46" s="11" t="str">
        <f>IF(OR(F46="",F46="Selecciona.."),"",SUMIF(Precio_Productos!K:K,E46,Precio_Productos!J:J)*G46)</f>
        <v/>
      </c>
      <c r="I46" s="4" t="str">
        <f t="array" ref="I46">IF($E46="","", XLOOKUP(SUMIFS(Prod_Prop!$A:$A,Prod_Prop!$B:$B,$E46,Prod_Prop!$H:$H,I$1,Prod_Prop!$I:$I,"Exacto"),Prod_Prop!$A:$A,Prod_Prop!$J:$J,"",0,1))</f>
        <v/>
      </c>
      <c r="J46" s="4" t="str">
        <f t="array" ref="J46">IF($E46="","", XLOOKUP(SUMIFS(Prod_Prop!$A:$A,Prod_Prop!$B:$B,$E46,Prod_Prop!$H:$H,J$1,Prod_Prop!$I:$I,"Exacto"),Prod_Prop!$A:$A,Prod_Prop!$J:$J,"",0,1))</f>
        <v/>
      </c>
      <c r="K46" s="4" t="str">
        <f t="array" ref="K46">IF($E46="","", XLOOKUP(SUMIFS(Prod_Prop!$A:$A,Prod_Prop!$B:$B,$E46,Prod_Prop!$H:$H,K$1,Prod_Prop!$I:$I,"Exacto"),Prod_Prop!$A:$A,Prod_Prop!$J:$J,"",0,1))</f>
        <v/>
      </c>
      <c r="L46" s="4" t="str">
        <f t="array" ref="L46">IF($E46="","", XLOOKUP(SUMIFS(Prod_Prop!$A:$A,Prod_Prop!$B:$B,$E46,Prod_Prop!$H:$H,L$1,Prod_Prop!$I:$I,"Exacto"),Prod_Prop!$A:$A,Prod_Prop!$J:$J,"",0,1))</f>
        <v/>
      </c>
      <c r="M46" s="4" t="str">
        <f t="array" ref="M46">IF($E46="","", XLOOKUP(SUMIFS(Prod_Prop!$A:$A,Prod_Prop!$B:$B,$E46,Prod_Prop!$H:$H,M$1,Prod_Prop!$I:$I,"Exacto"),Prod_Prop!$A:$A,Prod_Prop!$J:$J,"",0,1))</f>
        <v/>
      </c>
      <c r="N46" s="4" t="str">
        <f t="array" ref="N46">IF($E46="","", XLOOKUP(SUMIFS(Prod_Prop!$A:$A,Prod_Prop!$B:$B,$E46,Prod_Prop!$H:$H,N$1,Prod_Prop!$I:$I,"Exacto"),Prod_Prop!$A:$A,Prod_Prop!$J:$J,"",0,1))</f>
        <v/>
      </c>
      <c r="O46" s="4" t="str">
        <f t="array" ref="O46">IF($E46="","", XLOOKUP(SUMIFS(Prod_Prop!$A:$A,Prod_Prop!$B:$B,$E46,Prod_Prop!$H:$H,O$1,Prod_Prop!$I:$I,"Exacto"),Prod_Prop!$A:$A,Prod_Prop!$J:$J,"",0,1))</f>
        <v/>
      </c>
      <c r="P46" s="4" t="str">
        <f t="array" ref="P46">IF($E46="","", XLOOKUP(SUMIFS(Prod_Prop!$A:$A,Prod_Prop!$B:$B,$E46,Prod_Prop!$H:$H,P$1,Prod_Prop!$I:$I,"Exacto"),Prod_Prop!$A:$A,Prod_Prop!$J:$J,"",0,1))</f>
        <v/>
      </c>
      <c r="Q46" s="4" t="str">
        <f t="array" ref="Q46">IF($E46="","", XLOOKUP(SUMIFS(Prod_Prop!$A:$A,Prod_Prop!$B:$B,$E46,Prod_Prop!$H:$H,Q$1,Prod_Prop!$I:$I,"Exacto"),Prod_Prop!$A:$A,Prod_Prop!$J:$J,"",0,1))</f>
        <v/>
      </c>
      <c r="R46" s="4" t="str">
        <f t="array" ref="R46">IF($E46="","", XLOOKUP(SUMIFS(Prod_Prop!$A:$A,Prod_Prop!$B:$B,$E46,Prod_Prop!$H:$H,R$1,Prod_Prop!$I:$I,"Exacto"),Prod_Prop!$A:$A,Prod_Prop!$J:$J,"",0,1))</f>
        <v/>
      </c>
      <c r="S46" s="4" t="str">
        <f t="array" ref="S46">IF($E46="","", XLOOKUP(SUMIFS(Prod_Prop!$A:$A,Prod_Prop!$B:$B,$E46,Prod_Prop!$H:$H,S$1,Prod_Prop!$I:$I,"Exacto"),Prod_Prop!$A:$A,Prod_Prop!$J:$J,"",0,1))</f>
        <v/>
      </c>
      <c r="T46" s="4" t="str">
        <f t="array" ref="T46">IF($E46="","", XLOOKUP(SUMIFS(Prod_Prop!$A:$A,Prod_Prop!$B:$B,$E46,Prod_Prop!$H:$H,T$1,Prod_Prop!$I:$I,"Exacto"),Prod_Prop!$A:$A,Prod_Prop!$J:$J,"",0,1))</f>
        <v/>
      </c>
      <c r="U46" s="4" t="str">
        <f t="array" ref="U46">IF($E46="","", XLOOKUP(SUMIFS(Prod_Prop!$A:$A,Prod_Prop!$B:$B,$E46,Prod_Prop!$H:$H,U$1,Prod_Prop!$I:$I,"Exacto"),Prod_Prop!$A:$A,Prod_Prop!$J:$J,"",0,1))</f>
        <v/>
      </c>
      <c r="V46" s="4" t="str">
        <f t="array" ref="V46">IF($E46="","", XLOOKUP(SUMIFS(Prod_Prop!$A:$A,Prod_Prop!$B:$B,$E46,Prod_Prop!$H:$H,V$1,Prod_Prop!$I:$I,"Exacto"),Prod_Prop!$A:$A,Prod_Prop!$J:$J,"",0,1))</f>
        <v/>
      </c>
      <c r="X46" s="3" t="str">
        <f>IFERROR(__xludf.DUMMYFUNCTION("IF(D46="""","""",IFERROR(TRANSPOSE(FILTER('Validaciones Cotizador'!U:U,'Validaciones Cotizador'!O:O=D46,'Validaciones Cotizador'!T:T=""x"")),""Finalizar""))"),"")</f>
        <v/>
      </c>
    </row>
    <row r="47">
      <c r="A47" s="2" t="str">
        <f t="array" ref="A47">IF(E47="","",XLOOKUP(D47,'Validaciones Cotizador'!C:C,'Validaciones Cotizador'!A:A,"",0,1))</f>
        <v/>
      </c>
      <c r="B47" s="2" t="str">
        <f t="array" ref="B47">IF(F47="","",XLOOKUP(F47,Productos!E:E,Productos!G:G,"",0,1))</f>
        <v/>
      </c>
      <c r="C47" s="2" t="str">
        <f>IF(A47="","",SUMIFS('Validaciones Cotizador'!B:B,'Validaciones Cotizador'!C:C,D47,'Validaciones Cotizador'!A:A,A47))</f>
        <v/>
      </c>
      <c r="D47" s="4" t="str">
        <f>IFERROR(__xludf.DUMMYFUNCTION("IF(OR(F46=""Finalizar"",F46="""",F46=""Selecciona..""),"""",IF(OR(F46=""-"",INDEX(filter(Familias!F:F,Familias!D:D=A46,Familias!E:E=C46),1)=""O""),D46+1,D46))"),"")</f>
        <v/>
      </c>
      <c r="E47" s="2" t="str">
        <f>IF(OR(F47="",F47="Selecciona.."),"",IF(D47="Implemento",SUMIF(Implementos!B:B,F47,Implementos!A:A),SUMIF(Productos!E:E,F47,Productos!A:A)))</f>
        <v/>
      </c>
      <c r="F47" s="2" t="str">
        <f t="shared" si="2"/>
        <v/>
      </c>
      <c r="G47" s="10" t="str">
        <f t="array" ref="G47">IF(OR(F47="",F47="-",F47="Selecciona..",F47="Finalizar"),"",IF(A47="Rodados",XLOOKUP(B47,'Validaciones Cotizador'!I:I,'Validaciones Cotizador'!J:J,0,0,1),1))</f>
        <v/>
      </c>
      <c r="H47" s="11" t="str">
        <f>IF(OR(F47="",F47="Selecciona.."),"",SUMIF(Precio_Productos!K:K,E47,Precio_Productos!J:J)*G47)</f>
        <v/>
      </c>
      <c r="I47" s="4" t="str">
        <f t="array" ref="I47">IF($E47="","", XLOOKUP(SUMIFS(Prod_Prop!$A:$A,Prod_Prop!$B:$B,$E47,Prod_Prop!$H:$H,I$1,Prod_Prop!$I:$I,"Exacto"),Prod_Prop!$A:$A,Prod_Prop!$J:$J,"",0,1))</f>
        <v/>
      </c>
      <c r="J47" s="4" t="str">
        <f t="array" ref="J47">IF($E47="","", XLOOKUP(SUMIFS(Prod_Prop!$A:$A,Prod_Prop!$B:$B,$E47,Prod_Prop!$H:$H,J$1,Prod_Prop!$I:$I,"Exacto"),Prod_Prop!$A:$A,Prod_Prop!$J:$J,"",0,1))</f>
        <v/>
      </c>
      <c r="K47" s="4" t="str">
        <f t="array" ref="K47">IF($E47="","", XLOOKUP(SUMIFS(Prod_Prop!$A:$A,Prod_Prop!$B:$B,$E47,Prod_Prop!$H:$H,K$1,Prod_Prop!$I:$I,"Exacto"),Prod_Prop!$A:$A,Prod_Prop!$J:$J,"",0,1))</f>
        <v/>
      </c>
      <c r="L47" s="4" t="str">
        <f t="array" ref="L47">IF($E47="","", XLOOKUP(SUMIFS(Prod_Prop!$A:$A,Prod_Prop!$B:$B,$E47,Prod_Prop!$H:$H,L$1,Prod_Prop!$I:$I,"Exacto"),Prod_Prop!$A:$A,Prod_Prop!$J:$J,"",0,1))</f>
        <v/>
      </c>
      <c r="M47" s="4" t="str">
        <f t="array" ref="M47">IF($E47="","", XLOOKUP(SUMIFS(Prod_Prop!$A:$A,Prod_Prop!$B:$B,$E47,Prod_Prop!$H:$H,M$1,Prod_Prop!$I:$I,"Exacto"),Prod_Prop!$A:$A,Prod_Prop!$J:$J,"",0,1))</f>
        <v/>
      </c>
      <c r="N47" s="4" t="str">
        <f t="array" ref="N47">IF($E47="","", XLOOKUP(SUMIFS(Prod_Prop!$A:$A,Prod_Prop!$B:$B,$E47,Prod_Prop!$H:$H,N$1,Prod_Prop!$I:$I,"Exacto"),Prod_Prop!$A:$A,Prod_Prop!$J:$J,"",0,1))</f>
        <v/>
      </c>
      <c r="O47" s="4" t="str">
        <f t="array" ref="O47">IF($E47="","", XLOOKUP(SUMIFS(Prod_Prop!$A:$A,Prod_Prop!$B:$B,$E47,Prod_Prop!$H:$H,O$1,Prod_Prop!$I:$I,"Exacto"),Prod_Prop!$A:$A,Prod_Prop!$J:$J,"",0,1))</f>
        <v/>
      </c>
      <c r="P47" s="4" t="str">
        <f t="array" ref="P47">IF($E47="","", XLOOKUP(SUMIFS(Prod_Prop!$A:$A,Prod_Prop!$B:$B,$E47,Prod_Prop!$H:$H,P$1,Prod_Prop!$I:$I,"Exacto"),Prod_Prop!$A:$A,Prod_Prop!$J:$J,"",0,1))</f>
        <v/>
      </c>
      <c r="Q47" s="4" t="str">
        <f t="array" ref="Q47">IF($E47="","", XLOOKUP(SUMIFS(Prod_Prop!$A:$A,Prod_Prop!$B:$B,$E47,Prod_Prop!$H:$H,Q$1,Prod_Prop!$I:$I,"Exacto"),Prod_Prop!$A:$A,Prod_Prop!$J:$J,"",0,1))</f>
        <v/>
      </c>
      <c r="R47" s="4" t="str">
        <f t="array" ref="R47">IF($E47="","", XLOOKUP(SUMIFS(Prod_Prop!$A:$A,Prod_Prop!$B:$B,$E47,Prod_Prop!$H:$H,R$1,Prod_Prop!$I:$I,"Exacto"),Prod_Prop!$A:$A,Prod_Prop!$J:$J,"",0,1))</f>
        <v/>
      </c>
      <c r="S47" s="4" t="str">
        <f t="array" ref="S47">IF($E47="","", XLOOKUP(SUMIFS(Prod_Prop!$A:$A,Prod_Prop!$B:$B,$E47,Prod_Prop!$H:$H,S$1,Prod_Prop!$I:$I,"Exacto"),Prod_Prop!$A:$A,Prod_Prop!$J:$J,"",0,1))</f>
        <v/>
      </c>
      <c r="T47" s="4" t="str">
        <f t="array" ref="T47">IF($E47="","", XLOOKUP(SUMIFS(Prod_Prop!$A:$A,Prod_Prop!$B:$B,$E47,Prod_Prop!$H:$H,T$1,Prod_Prop!$I:$I,"Exacto"),Prod_Prop!$A:$A,Prod_Prop!$J:$J,"",0,1))</f>
        <v/>
      </c>
      <c r="U47" s="4" t="str">
        <f t="array" ref="U47">IF($E47="","", XLOOKUP(SUMIFS(Prod_Prop!$A:$A,Prod_Prop!$B:$B,$E47,Prod_Prop!$H:$H,U$1,Prod_Prop!$I:$I,"Exacto"),Prod_Prop!$A:$A,Prod_Prop!$J:$J,"",0,1))</f>
        <v/>
      </c>
      <c r="V47" s="4" t="str">
        <f t="array" ref="V47">IF($E47="","", XLOOKUP(SUMIFS(Prod_Prop!$A:$A,Prod_Prop!$B:$B,$E47,Prod_Prop!$H:$H,V$1,Prod_Prop!$I:$I,"Exacto"),Prod_Prop!$A:$A,Prod_Prop!$J:$J,"",0,1))</f>
        <v/>
      </c>
      <c r="X47" s="3" t="str">
        <f>IFERROR(__xludf.DUMMYFUNCTION("IF(D47="""","""",IFERROR(TRANSPOSE(FILTER('Validaciones Cotizador'!U:U,'Validaciones Cotizador'!O:O=D47,'Validaciones Cotizador'!T:T=""x"")),""Finalizar""))"),"")</f>
        <v/>
      </c>
    </row>
    <row r="48">
      <c r="A48" s="2" t="str">
        <f t="array" ref="A48">IF(E48="","",XLOOKUP(D48,'Validaciones Cotizador'!C:C,'Validaciones Cotizador'!A:A,"",0,1))</f>
        <v/>
      </c>
      <c r="B48" s="2" t="str">
        <f t="array" ref="B48">IF(F48="","",XLOOKUP(F48,Productos!E:E,Productos!G:G,"",0,1))</f>
        <v/>
      </c>
      <c r="C48" s="2" t="str">
        <f>IF(A48="","",SUMIFS('Validaciones Cotizador'!B:B,'Validaciones Cotizador'!C:C,D48,'Validaciones Cotizador'!A:A,A48))</f>
        <v/>
      </c>
      <c r="D48" s="4" t="str">
        <f>IFERROR(__xludf.DUMMYFUNCTION("IF(OR(F47=""Finalizar"",F47="""",F47=""Selecciona..""),"""",IF(OR(F47=""-"",INDEX(filter(Familias!F:F,Familias!D:D=A47,Familias!E:E=C47),1)=""O""),D47+1,D47))"),"")</f>
        <v/>
      </c>
      <c r="E48" s="2" t="str">
        <f>IF(OR(F48="",F48="Selecciona.."),"",IF(D48="Implemento",SUMIF(Implementos!B:B,F48,Implementos!A:A),SUMIF(Productos!E:E,F48,Productos!A:A)))</f>
        <v/>
      </c>
      <c r="F48" s="2" t="str">
        <f t="shared" si="2"/>
        <v/>
      </c>
      <c r="G48" s="10" t="str">
        <f t="array" ref="G48">IF(OR(F48="",F48="-",F48="Selecciona..",F48="Finalizar"),"",IF(A48="Rodados",XLOOKUP(B48,'Validaciones Cotizador'!I:I,'Validaciones Cotizador'!J:J,0,0,1),1))</f>
        <v/>
      </c>
      <c r="H48" s="11" t="str">
        <f>IF(OR(F48="",F48="Selecciona.."),"",SUMIF(Precio_Productos!K:K,E48,Precio_Productos!J:J)*G48)</f>
        <v/>
      </c>
      <c r="I48" s="4" t="str">
        <f t="array" ref="I48">IF($E48="","", XLOOKUP(SUMIFS(Prod_Prop!$A:$A,Prod_Prop!$B:$B,$E48,Prod_Prop!$H:$H,I$1,Prod_Prop!$I:$I,"Exacto"),Prod_Prop!$A:$A,Prod_Prop!$J:$J,"",0,1))</f>
        <v/>
      </c>
      <c r="J48" s="4" t="str">
        <f t="array" ref="J48">IF($E48="","", XLOOKUP(SUMIFS(Prod_Prop!$A:$A,Prod_Prop!$B:$B,$E48,Prod_Prop!$H:$H,J$1,Prod_Prop!$I:$I,"Exacto"),Prod_Prop!$A:$A,Prod_Prop!$J:$J,"",0,1))</f>
        <v/>
      </c>
      <c r="K48" s="4" t="str">
        <f t="array" ref="K48">IF($E48="","", XLOOKUP(SUMIFS(Prod_Prop!$A:$A,Prod_Prop!$B:$B,$E48,Prod_Prop!$H:$H,K$1,Prod_Prop!$I:$I,"Exacto"),Prod_Prop!$A:$A,Prod_Prop!$J:$J,"",0,1))</f>
        <v/>
      </c>
      <c r="L48" s="4" t="str">
        <f t="array" ref="L48">IF($E48="","", XLOOKUP(SUMIFS(Prod_Prop!$A:$A,Prod_Prop!$B:$B,$E48,Prod_Prop!$H:$H,L$1,Prod_Prop!$I:$I,"Exacto"),Prod_Prop!$A:$A,Prod_Prop!$J:$J,"",0,1))</f>
        <v/>
      </c>
      <c r="M48" s="4" t="str">
        <f t="array" ref="M48">IF($E48="","", XLOOKUP(SUMIFS(Prod_Prop!$A:$A,Prod_Prop!$B:$B,$E48,Prod_Prop!$H:$H,M$1,Prod_Prop!$I:$I,"Exacto"),Prod_Prop!$A:$A,Prod_Prop!$J:$J,"",0,1))</f>
        <v/>
      </c>
      <c r="N48" s="4" t="str">
        <f t="array" ref="N48">IF($E48="","", XLOOKUP(SUMIFS(Prod_Prop!$A:$A,Prod_Prop!$B:$B,$E48,Prod_Prop!$H:$H,N$1,Prod_Prop!$I:$I,"Exacto"),Prod_Prop!$A:$A,Prod_Prop!$J:$J,"",0,1))</f>
        <v/>
      </c>
      <c r="O48" s="4" t="str">
        <f t="array" ref="O48">IF($E48="","", XLOOKUP(SUMIFS(Prod_Prop!$A:$A,Prod_Prop!$B:$B,$E48,Prod_Prop!$H:$H,O$1,Prod_Prop!$I:$I,"Exacto"),Prod_Prop!$A:$A,Prod_Prop!$J:$J,"",0,1))</f>
        <v/>
      </c>
      <c r="P48" s="4" t="str">
        <f t="array" ref="P48">IF($E48="","", XLOOKUP(SUMIFS(Prod_Prop!$A:$A,Prod_Prop!$B:$B,$E48,Prod_Prop!$H:$H,P$1,Prod_Prop!$I:$I,"Exacto"),Prod_Prop!$A:$A,Prod_Prop!$J:$J,"",0,1))</f>
        <v/>
      </c>
      <c r="Q48" s="4" t="str">
        <f t="array" ref="Q48">IF($E48="","", XLOOKUP(SUMIFS(Prod_Prop!$A:$A,Prod_Prop!$B:$B,$E48,Prod_Prop!$H:$H,Q$1,Prod_Prop!$I:$I,"Exacto"),Prod_Prop!$A:$A,Prod_Prop!$J:$J,"",0,1))</f>
        <v/>
      </c>
      <c r="R48" s="4" t="str">
        <f t="array" ref="R48">IF($E48="","", XLOOKUP(SUMIFS(Prod_Prop!$A:$A,Prod_Prop!$B:$B,$E48,Prod_Prop!$H:$H,R$1,Prod_Prop!$I:$I,"Exacto"),Prod_Prop!$A:$A,Prod_Prop!$J:$J,"",0,1))</f>
        <v/>
      </c>
      <c r="S48" s="4" t="str">
        <f t="array" ref="S48">IF($E48="","", XLOOKUP(SUMIFS(Prod_Prop!$A:$A,Prod_Prop!$B:$B,$E48,Prod_Prop!$H:$H,S$1,Prod_Prop!$I:$I,"Exacto"),Prod_Prop!$A:$A,Prod_Prop!$J:$J,"",0,1))</f>
        <v/>
      </c>
      <c r="T48" s="4" t="str">
        <f t="array" ref="T48">IF($E48="","", XLOOKUP(SUMIFS(Prod_Prop!$A:$A,Prod_Prop!$B:$B,$E48,Prod_Prop!$H:$H,T$1,Prod_Prop!$I:$I,"Exacto"),Prod_Prop!$A:$A,Prod_Prop!$J:$J,"",0,1))</f>
        <v/>
      </c>
      <c r="U48" s="4" t="str">
        <f t="array" ref="U48">IF($E48="","", XLOOKUP(SUMIFS(Prod_Prop!$A:$A,Prod_Prop!$B:$B,$E48,Prod_Prop!$H:$H,U$1,Prod_Prop!$I:$I,"Exacto"),Prod_Prop!$A:$A,Prod_Prop!$J:$J,"",0,1))</f>
        <v/>
      </c>
      <c r="V48" s="4" t="str">
        <f t="array" ref="V48">IF($E48="","", XLOOKUP(SUMIFS(Prod_Prop!$A:$A,Prod_Prop!$B:$B,$E48,Prod_Prop!$H:$H,V$1,Prod_Prop!$I:$I,"Exacto"),Prod_Prop!$A:$A,Prod_Prop!$J:$J,"",0,1))</f>
        <v/>
      </c>
      <c r="X48" s="3" t="str">
        <f>IFERROR(__xludf.DUMMYFUNCTION("IF(D48="""","""",IFERROR(TRANSPOSE(FILTER('Validaciones Cotizador'!U:U,'Validaciones Cotizador'!O:O=D48,'Validaciones Cotizador'!T:T=""x"")),""Finalizar""))"),"")</f>
        <v/>
      </c>
    </row>
    <row r="49">
      <c r="A49" s="2" t="str">
        <f t="array" ref="A49">IF(E49="","",XLOOKUP(D49,'Validaciones Cotizador'!C:C,'Validaciones Cotizador'!A:A,"",0,1))</f>
        <v/>
      </c>
      <c r="B49" s="2" t="str">
        <f t="array" ref="B49">IF(F49="","",XLOOKUP(F49,Productos!E:E,Productos!G:G,"",0,1))</f>
        <v/>
      </c>
      <c r="C49" s="2" t="str">
        <f>IF(A49="","",SUMIFS('Validaciones Cotizador'!B:B,'Validaciones Cotizador'!C:C,D49,'Validaciones Cotizador'!A:A,A49))</f>
        <v/>
      </c>
      <c r="D49" s="4" t="str">
        <f>IFERROR(__xludf.DUMMYFUNCTION("IF(OR(F48=""Finalizar"",F48="""",F48=""Selecciona..""),"""",IF(OR(F48=""-"",INDEX(filter(Familias!F:F,Familias!D:D=A48,Familias!E:E=C48),1)=""O""),D48+1,D48))"),"")</f>
        <v/>
      </c>
      <c r="E49" s="2" t="str">
        <f>IF(OR(F49="",F49="Selecciona.."),"",IF(D49="Implemento",SUMIF(Implementos!B:B,F49,Implementos!A:A),SUMIF(Productos!E:E,F49,Productos!A:A)))</f>
        <v/>
      </c>
      <c r="F49" s="2" t="str">
        <f t="shared" si="2"/>
        <v/>
      </c>
      <c r="G49" s="10" t="str">
        <f t="array" ref="G49">IF(OR(F49="",F49="-",F49="Selecciona..",F49="Finalizar"),"",IF(A49="Rodados",XLOOKUP(B49,'Validaciones Cotizador'!I:I,'Validaciones Cotizador'!J:J,0,0,1),1))</f>
        <v/>
      </c>
      <c r="H49" s="11" t="str">
        <f>IF(OR(F49="",F49="Selecciona.."),"",SUMIF(Precio_Productos!K:K,E49,Precio_Productos!J:J)*G49)</f>
        <v/>
      </c>
      <c r="I49" s="4" t="str">
        <f t="array" ref="I49">IF($E49="","", XLOOKUP(SUMIFS(Prod_Prop!$A:$A,Prod_Prop!$B:$B,$E49,Prod_Prop!$H:$H,I$1,Prod_Prop!$I:$I,"Exacto"),Prod_Prop!$A:$A,Prod_Prop!$J:$J,"",0,1))</f>
        <v/>
      </c>
      <c r="J49" s="4" t="str">
        <f t="array" ref="J49">IF($E49="","", XLOOKUP(SUMIFS(Prod_Prop!$A:$A,Prod_Prop!$B:$B,$E49,Prod_Prop!$H:$H,J$1,Prod_Prop!$I:$I,"Exacto"),Prod_Prop!$A:$A,Prod_Prop!$J:$J,"",0,1))</f>
        <v/>
      </c>
      <c r="K49" s="4" t="str">
        <f t="array" ref="K49">IF($E49="","", XLOOKUP(SUMIFS(Prod_Prop!$A:$A,Prod_Prop!$B:$B,$E49,Prod_Prop!$H:$H,K$1,Prod_Prop!$I:$I,"Exacto"),Prod_Prop!$A:$A,Prod_Prop!$J:$J,"",0,1))</f>
        <v/>
      </c>
      <c r="L49" s="4" t="str">
        <f t="array" ref="L49">IF($E49="","", XLOOKUP(SUMIFS(Prod_Prop!$A:$A,Prod_Prop!$B:$B,$E49,Prod_Prop!$H:$H,L$1,Prod_Prop!$I:$I,"Exacto"),Prod_Prop!$A:$A,Prod_Prop!$J:$J,"",0,1))</f>
        <v/>
      </c>
      <c r="M49" s="4" t="str">
        <f t="array" ref="M49">IF($E49="","", XLOOKUP(SUMIFS(Prod_Prop!$A:$A,Prod_Prop!$B:$B,$E49,Prod_Prop!$H:$H,M$1,Prod_Prop!$I:$I,"Exacto"),Prod_Prop!$A:$A,Prod_Prop!$J:$J,"",0,1))</f>
        <v/>
      </c>
      <c r="N49" s="4" t="str">
        <f t="array" ref="N49">IF($E49="","", XLOOKUP(SUMIFS(Prod_Prop!$A:$A,Prod_Prop!$B:$B,$E49,Prod_Prop!$H:$H,N$1,Prod_Prop!$I:$I,"Exacto"),Prod_Prop!$A:$A,Prod_Prop!$J:$J,"",0,1))</f>
        <v/>
      </c>
      <c r="O49" s="4" t="str">
        <f t="array" ref="O49">IF($E49="","", XLOOKUP(SUMIFS(Prod_Prop!$A:$A,Prod_Prop!$B:$B,$E49,Prod_Prop!$H:$H,O$1,Prod_Prop!$I:$I,"Exacto"),Prod_Prop!$A:$A,Prod_Prop!$J:$J,"",0,1))</f>
        <v/>
      </c>
      <c r="P49" s="4" t="str">
        <f t="array" ref="P49">IF($E49="","", XLOOKUP(SUMIFS(Prod_Prop!$A:$A,Prod_Prop!$B:$B,$E49,Prod_Prop!$H:$H,P$1,Prod_Prop!$I:$I,"Exacto"),Prod_Prop!$A:$A,Prod_Prop!$J:$J,"",0,1))</f>
        <v/>
      </c>
      <c r="Q49" s="4" t="str">
        <f t="array" ref="Q49">IF($E49="","", XLOOKUP(SUMIFS(Prod_Prop!$A:$A,Prod_Prop!$B:$B,$E49,Prod_Prop!$H:$H,Q$1,Prod_Prop!$I:$I,"Exacto"),Prod_Prop!$A:$A,Prod_Prop!$J:$J,"",0,1))</f>
        <v/>
      </c>
      <c r="R49" s="4" t="str">
        <f t="array" ref="R49">IF($E49="","", XLOOKUP(SUMIFS(Prod_Prop!$A:$A,Prod_Prop!$B:$B,$E49,Prod_Prop!$H:$H,R$1,Prod_Prop!$I:$I,"Exacto"),Prod_Prop!$A:$A,Prod_Prop!$J:$J,"",0,1))</f>
        <v/>
      </c>
      <c r="S49" s="4" t="str">
        <f t="array" ref="S49">IF($E49="","", XLOOKUP(SUMIFS(Prod_Prop!$A:$A,Prod_Prop!$B:$B,$E49,Prod_Prop!$H:$H,S$1,Prod_Prop!$I:$I,"Exacto"),Prod_Prop!$A:$A,Prod_Prop!$J:$J,"",0,1))</f>
        <v/>
      </c>
      <c r="T49" s="4" t="str">
        <f t="array" ref="T49">IF($E49="","", XLOOKUP(SUMIFS(Prod_Prop!$A:$A,Prod_Prop!$B:$B,$E49,Prod_Prop!$H:$H,T$1,Prod_Prop!$I:$I,"Exacto"),Prod_Prop!$A:$A,Prod_Prop!$J:$J,"",0,1))</f>
        <v/>
      </c>
      <c r="U49" s="4" t="str">
        <f t="array" ref="U49">IF($E49="","", XLOOKUP(SUMIFS(Prod_Prop!$A:$A,Prod_Prop!$B:$B,$E49,Prod_Prop!$H:$H,U$1,Prod_Prop!$I:$I,"Exacto"),Prod_Prop!$A:$A,Prod_Prop!$J:$J,"",0,1))</f>
        <v/>
      </c>
      <c r="V49" s="4" t="str">
        <f t="array" ref="V49">IF($E49="","", XLOOKUP(SUMIFS(Prod_Prop!$A:$A,Prod_Prop!$B:$B,$E49,Prod_Prop!$H:$H,V$1,Prod_Prop!$I:$I,"Exacto"),Prod_Prop!$A:$A,Prod_Prop!$J:$J,"",0,1))</f>
        <v/>
      </c>
      <c r="X49" s="3" t="str">
        <f>IFERROR(__xludf.DUMMYFUNCTION("IF(D49="""","""",IFERROR(TRANSPOSE(FILTER('Validaciones Cotizador'!U:U,'Validaciones Cotizador'!O:O=D49,'Validaciones Cotizador'!T:T=""x"")),""Finalizar""))"),"")</f>
        <v/>
      </c>
    </row>
    <row r="50">
      <c r="A50" s="2" t="str">
        <f t="array" ref="A50">IF(E50="","",XLOOKUP(D50,'Validaciones Cotizador'!C:C,'Validaciones Cotizador'!A:A,"",0,1))</f>
        <v/>
      </c>
      <c r="B50" s="2" t="str">
        <f t="array" ref="B50">IF(F50="","",XLOOKUP(F50,Productos!E:E,Productos!G:G,"",0,1))</f>
        <v/>
      </c>
      <c r="C50" s="2" t="str">
        <f>IF(A50="","",SUMIFS('Validaciones Cotizador'!B:B,'Validaciones Cotizador'!C:C,D50,'Validaciones Cotizador'!A:A,A50))</f>
        <v/>
      </c>
      <c r="D50" s="4" t="str">
        <f>IFERROR(__xludf.DUMMYFUNCTION("IF(OR(F49=""Finalizar"",F49="""",F49=""Selecciona..""),"""",IF(OR(F49=""-"",INDEX(filter(Familias!F:F,Familias!D:D=A49,Familias!E:E=C49),1)=""O""),D49+1,D49))"),"")</f>
        <v/>
      </c>
      <c r="E50" s="2" t="str">
        <f>IF(OR(F50="",F50="Selecciona.."),"",IF(D50="Implemento",SUMIF(Implementos!B:B,F50,Implementos!A:A),SUMIF(Productos!E:E,F50,Productos!A:A)))</f>
        <v/>
      </c>
      <c r="F50" s="2" t="str">
        <f t="shared" si="2"/>
        <v/>
      </c>
      <c r="G50" s="10" t="str">
        <f t="array" ref="G50">IF(OR(F50="",F50="-",F50="Selecciona..",F50="Finalizar"),"",IF(A50="Rodados",XLOOKUP(B50,'Validaciones Cotizador'!I:I,'Validaciones Cotizador'!J:J,0,0,1),1))</f>
        <v/>
      </c>
      <c r="H50" s="11" t="str">
        <f>IF(OR(F50="",F50="Selecciona.."),"",SUMIF(Precio_Productos!K:K,E50,Precio_Productos!J:J)*G50)</f>
        <v/>
      </c>
      <c r="I50" s="4" t="str">
        <f t="array" ref="I50">IF($E50="","", XLOOKUP(SUMIFS(Prod_Prop!$A:$A,Prod_Prop!$B:$B,$E50,Prod_Prop!$H:$H,I$1,Prod_Prop!$I:$I,"Exacto"),Prod_Prop!$A:$A,Prod_Prop!$J:$J,"",0,1))</f>
        <v/>
      </c>
      <c r="J50" s="4" t="str">
        <f t="array" ref="J50">IF($E50="","", XLOOKUP(SUMIFS(Prod_Prop!$A:$A,Prod_Prop!$B:$B,$E50,Prod_Prop!$H:$H,J$1,Prod_Prop!$I:$I,"Exacto"),Prod_Prop!$A:$A,Prod_Prop!$J:$J,"",0,1))</f>
        <v/>
      </c>
      <c r="K50" s="4" t="str">
        <f t="array" ref="K50">IF($E50="","", XLOOKUP(SUMIFS(Prod_Prop!$A:$A,Prod_Prop!$B:$B,$E50,Prod_Prop!$H:$H,K$1,Prod_Prop!$I:$I,"Exacto"),Prod_Prop!$A:$A,Prod_Prop!$J:$J,"",0,1))</f>
        <v/>
      </c>
      <c r="L50" s="4" t="str">
        <f t="array" ref="L50">IF($E50="","", XLOOKUP(SUMIFS(Prod_Prop!$A:$A,Prod_Prop!$B:$B,$E50,Prod_Prop!$H:$H,L$1,Prod_Prop!$I:$I,"Exacto"),Prod_Prop!$A:$A,Prod_Prop!$J:$J,"",0,1))</f>
        <v/>
      </c>
      <c r="M50" s="4" t="str">
        <f t="array" ref="M50">IF($E50="","", XLOOKUP(SUMIFS(Prod_Prop!$A:$A,Prod_Prop!$B:$B,$E50,Prod_Prop!$H:$H,M$1,Prod_Prop!$I:$I,"Exacto"),Prod_Prop!$A:$A,Prod_Prop!$J:$J,"",0,1))</f>
        <v/>
      </c>
      <c r="N50" s="4" t="str">
        <f t="array" ref="N50">IF($E50="","", XLOOKUP(SUMIFS(Prod_Prop!$A:$A,Prod_Prop!$B:$B,$E50,Prod_Prop!$H:$H,N$1,Prod_Prop!$I:$I,"Exacto"),Prod_Prop!$A:$A,Prod_Prop!$J:$J,"",0,1))</f>
        <v/>
      </c>
      <c r="O50" s="4" t="str">
        <f t="array" ref="O50">IF($E50="","", XLOOKUP(SUMIFS(Prod_Prop!$A:$A,Prod_Prop!$B:$B,$E50,Prod_Prop!$H:$H,O$1,Prod_Prop!$I:$I,"Exacto"),Prod_Prop!$A:$A,Prod_Prop!$J:$J,"",0,1))</f>
        <v/>
      </c>
      <c r="P50" s="4" t="str">
        <f t="array" ref="P50">IF($E50="","", XLOOKUP(SUMIFS(Prod_Prop!$A:$A,Prod_Prop!$B:$B,$E50,Prod_Prop!$H:$H,P$1,Prod_Prop!$I:$I,"Exacto"),Prod_Prop!$A:$A,Prod_Prop!$J:$J,"",0,1))</f>
        <v/>
      </c>
      <c r="Q50" s="4" t="str">
        <f t="array" ref="Q50">IF($E50="","", XLOOKUP(SUMIFS(Prod_Prop!$A:$A,Prod_Prop!$B:$B,$E50,Prod_Prop!$H:$H,Q$1,Prod_Prop!$I:$I,"Exacto"),Prod_Prop!$A:$A,Prod_Prop!$J:$J,"",0,1))</f>
        <v/>
      </c>
      <c r="R50" s="4" t="str">
        <f t="array" ref="R50">IF($E50="","", XLOOKUP(SUMIFS(Prod_Prop!$A:$A,Prod_Prop!$B:$B,$E50,Prod_Prop!$H:$H,R$1,Prod_Prop!$I:$I,"Exacto"),Prod_Prop!$A:$A,Prod_Prop!$J:$J,"",0,1))</f>
        <v/>
      </c>
      <c r="S50" s="4" t="str">
        <f t="array" ref="S50">IF($E50="","", XLOOKUP(SUMIFS(Prod_Prop!$A:$A,Prod_Prop!$B:$B,$E50,Prod_Prop!$H:$H,S$1,Prod_Prop!$I:$I,"Exacto"),Prod_Prop!$A:$A,Prod_Prop!$J:$J,"",0,1))</f>
        <v/>
      </c>
      <c r="T50" s="4" t="str">
        <f t="array" ref="T50">IF($E50="","", XLOOKUP(SUMIFS(Prod_Prop!$A:$A,Prod_Prop!$B:$B,$E50,Prod_Prop!$H:$H,T$1,Prod_Prop!$I:$I,"Exacto"),Prod_Prop!$A:$A,Prod_Prop!$J:$J,"",0,1))</f>
        <v/>
      </c>
      <c r="U50" s="4" t="str">
        <f t="array" ref="U50">IF($E50="","", XLOOKUP(SUMIFS(Prod_Prop!$A:$A,Prod_Prop!$B:$B,$E50,Prod_Prop!$H:$H,U$1,Prod_Prop!$I:$I,"Exacto"),Prod_Prop!$A:$A,Prod_Prop!$J:$J,"",0,1))</f>
        <v/>
      </c>
      <c r="V50" s="4" t="str">
        <f t="array" ref="V50">IF($E50="","", XLOOKUP(SUMIFS(Prod_Prop!$A:$A,Prod_Prop!$B:$B,$E50,Prod_Prop!$H:$H,V$1,Prod_Prop!$I:$I,"Exacto"),Prod_Prop!$A:$A,Prod_Prop!$J:$J,"",0,1))</f>
        <v/>
      </c>
      <c r="X50" s="3" t="str">
        <f>IFERROR(__xludf.DUMMYFUNCTION("IF(D50="""","""",IFERROR(TRANSPOSE(FILTER('Validaciones Cotizador'!U:U,'Validaciones Cotizador'!O:O=D50,'Validaciones Cotizador'!T:T=""x"")),""Finalizar""))"),"")</f>
        <v/>
      </c>
    </row>
    <row r="51">
      <c r="A51" s="2" t="str">
        <f t="array" ref="A51">IF(E51="","",XLOOKUP(D51,'Validaciones Cotizador'!C:C,'Validaciones Cotizador'!A:A,"",0,1))</f>
        <v/>
      </c>
      <c r="B51" s="2" t="str">
        <f t="array" ref="B51">IF(F51="","",XLOOKUP(F51,Productos!E:E,Productos!G:G,"",0,1))</f>
        <v/>
      </c>
      <c r="C51" s="2" t="str">
        <f>IF(A51="","",SUMIFS('Validaciones Cotizador'!B:B,'Validaciones Cotizador'!C:C,D51,'Validaciones Cotizador'!A:A,A51))</f>
        <v/>
      </c>
      <c r="D51" s="4" t="str">
        <f>IFERROR(__xludf.DUMMYFUNCTION("IF(OR(F50=""Finalizar"",F50="""",F50=""Selecciona..""),"""",IF(OR(F50=""-"",INDEX(filter(Familias!F:F,Familias!D:D=A50,Familias!E:E=C50),1)=""O""),D50+1,D50))"),"")</f>
        <v/>
      </c>
      <c r="E51" s="2" t="str">
        <f>IF(OR(F51="",F51="Selecciona.."),"",IF(D51="Implemento",SUMIF(Implementos!B:B,F51,Implementos!A:A),SUMIF(Productos!E:E,F51,Productos!A:A)))</f>
        <v/>
      </c>
      <c r="F51" s="2" t="str">
        <f t="shared" si="2"/>
        <v/>
      </c>
      <c r="G51" s="10" t="str">
        <f t="array" ref="G51">IF(OR(F51="",F51="-",F51="Selecciona..",F51="Finalizar"),"",IF(A51="Rodados",XLOOKUP(B51,'Validaciones Cotizador'!I:I,'Validaciones Cotizador'!J:J,0,0,1),1))</f>
        <v/>
      </c>
      <c r="H51" s="11" t="str">
        <f>IF(OR(F51="",F51="Selecciona.."),"",SUMIF(Precio_Productos!K:K,E51,Precio_Productos!J:J)*G51)</f>
        <v/>
      </c>
      <c r="I51" s="4" t="str">
        <f t="array" ref="I51">IF($E51="","", XLOOKUP(SUMIFS(Prod_Prop!$A:$A,Prod_Prop!$B:$B,$E51,Prod_Prop!$H:$H,I$1,Prod_Prop!$I:$I,"Exacto"),Prod_Prop!$A:$A,Prod_Prop!$J:$J,"",0,1))</f>
        <v/>
      </c>
      <c r="J51" s="4" t="str">
        <f t="array" ref="J51">IF($E51="","", XLOOKUP(SUMIFS(Prod_Prop!$A:$A,Prod_Prop!$B:$B,$E51,Prod_Prop!$H:$H,J$1,Prod_Prop!$I:$I,"Exacto"),Prod_Prop!$A:$A,Prod_Prop!$J:$J,"",0,1))</f>
        <v/>
      </c>
      <c r="K51" s="4" t="str">
        <f t="array" ref="K51">IF($E51="","", XLOOKUP(SUMIFS(Prod_Prop!$A:$A,Prod_Prop!$B:$B,$E51,Prod_Prop!$H:$H,K$1,Prod_Prop!$I:$I,"Exacto"),Prod_Prop!$A:$A,Prod_Prop!$J:$J,"",0,1))</f>
        <v/>
      </c>
      <c r="L51" s="4" t="str">
        <f t="array" ref="L51">IF($E51="","", XLOOKUP(SUMIFS(Prod_Prop!$A:$A,Prod_Prop!$B:$B,$E51,Prod_Prop!$H:$H,L$1,Prod_Prop!$I:$I,"Exacto"),Prod_Prop!$A:$A,Prod_Prop!$J:$J,"",0,1))</f>
        <v/>
      </c>
      <c r="M51" s="4" t="str">
        <f t="array" ref="M51">IF($E51="","", XLOOKUP(SUMIFS(Prod_Prop!$A:$A,Prod_Prop!$B:$B,$E51,Prod_Prop!$H:$H,M$1,Prod_Prop!$I:$I,"Exacto"),Prod_Prop!$A:$A,Prod_Prop!$J:$J,"",0,1))</f>
        <v/>
      </c>
      <c r="N51" s="4" t="str">
        <f t="array" ref="N51">IF($E51="","", XLOOKUP(SUMIFS(Prod_Prop!$A:$A,Prod_Prop!$B:$B,$E51,Prod_Prop!$H:$H,N$1,Prod_Prop!$I:$I,"Exacto"),Prod_Prop!$A:$A,Prod_Prop!$J:$J,"",0,1))</f>
        <v/>
      </c>
      <c r="O51" s="4" t="str">
        <f t="array" ref="O51">IF($E51="","", XLOOKUP(SUMIFS(Prod_Prop!$A:$A,Prod_Prop!$B:$B,$E51,Prod_Prop!$H:$H,O$1,Prod_Prop!$I:$I,"Exacto"),Prod_Prop!$A:$A,Prod_Prop!$J:$J,"",0,1))</f>
        <v/>
      </c>
      <c r="P51" s="4" t="str">
        <f t="array" ref="P51">IF($E51="","", XLOOKUP(SUMIFS(Prod_Prop!$A:$A,Prod_Prop!$B:$B,$E51,Prod_Prop!$H:$H,P$1,Prod_Prop!$I:$I,"Exacto"),Prod_Prop!$A:$A,Prod_Prop!$J:$J,"",0,1))</f>
        <v/>
      </c>
      <c r="Q51" s="4" t="str">
        <f t="array" ref="Q51">IF($E51="","", XLOOKUP(SUMIFS(Prod_Prop!$A:$A,Prod_Prop!$B:$B,$E51,Prod_Prop!$H:$H,Q$1,Prod_Prop!$I:$I,"Exacto"),Prod_Prop!$A:$A,Prod_Prop!$J:$J,"",0,1))</f>
        <v/>
      </c>
      <c r="R51" s="4" t="str">
        <f t="array" ref="R51">IF($E51="","", XLOOKUP(SUMIFS(Prod_Prop!$A:$A,Prod_Prop!$B:$B,$E51,Prod_Prop!$H:$H,R$1,Prod_Prop!$I:$I,"Exacto"),Prod_Prop!$A:$A,Prod_Prop!$J:$J,"",0,1))</f>
        <v/>
      </c>
      <c r="S51" s="4" t="str">
        <f t="array" ref="S51">IF($E51="","", XLOOKUP(SUMIFS(Prod_Prop!$A:$A,Prod_Prop!$B:$B,$E51,Prod_Prop!$H:$H,S$1,Prod_Prop!$I:$I,"Exacto"),Prod_Prop!$A:$A,Prod_Prop!$J:$J,"",0,1))</f>
        <v/>
      </c>
      <c r="T51" s="4" t="str">
        <f t="array" ref="T51">IF($E51="","", XLOOKUP(SUMIFS(Prod_Prop!$A:$A,Prod_Prop!$B:$B,$E51,Prod_Prop!$H:$H,T$1,Prod_Prop!$I:$I,"Exacto"),Prod_Prop!$A:$A,Prod_Prop!$J:$J,"",0,1))</f>
        <v/>
      </c>
      <c r="U51" s="4" t="str">
        <f t="array" ref="U51">IF($E51="","", XLOOKUP(SUMIFS(Prod_Prop!$A:$A,Prod_Prop!$B:$B,$E51,Prod_Prop!$H:$H,U$1,Prod_Prop!$I:$I,"Exacto"),Prod_Prop!$A:$A,Prod_Prop!$J:$J,"",0,1))</f>
        <v/>
      </c>
      <c r="V51" s="4" t="str">
        <f t="array" ref="V51">IF($E51="","", XLOOKUP(SUMIFS(Prod_Prop!$A:$A,Prod_Prop!$B:$B,$E51,Prod_Prop!$H:$H,V$1,Prod_Prop!$I:$I,"Exacto"),Prod_Prop!$A:$A,Prod_Prop!$J:$J,"",0,1))</f>
        <v/>
      </c>
      <c r="X51" s="3" t="str">
        <f>IFERROR(__xludf.DUMMYFUNCTION("IF(D51="""","""",IFERROR(TRANSPOSE(FILTER('Validaciones Cotizador'!U:U,'Validaciones Cotizador'!O:O=D51,'Validaciones Cotizador'!T:T=""x"")),""Finalizar""))"),"")</f>
        <v/>
      </c>
    </row>
    <row r="52">
      <c r="A52" s="2" t="str">
        <f t="array" ref="A52">IF(E52="","",XLOOKUP(D52,'Validaciones Cotizador'!C:C,'Validaciones Cotizador'!A:A,"",0,1))</f>
        <v/>
      </c>
      <c r="B52" s="2" t="str">
        <f t="array" ref="B52">IF(F52="","",XLOOKUP(F52,Productos!E:E,Productos!G:G,"",0,1))</f>
        <v/>
      </c>
      <c r="C52" s="2" t="str">
        <f>IF(A52="","",SUMIFS('Validaciones Cotizador'!B:B,'Validaciones Cotizador'!C:C,D52,'Validaciones Cotizador'!A:A,A52))</f>
        <v/>
      </c>
      <c r="D52" s="4" t="str">
        <f>IFERROR(__xludf.DUMMYFUNCTION("IF(OR(F51=""Finalizar"",F51="""",F51=""Selecciona..""),"""",IF(OR(F51=""-"",INDEX(filter(Familias!F:F,Familias!D:D=A51,Familias!E:E=C51),1)=""O""),D51+1,D51))"),"")</f>
        <v/>
      </c>
      <c r="E52" s="2" t="str">
        <f>IF(OR(F52="",F52="Selecciona.."),"",IF(D52="Implemento",SUMIF(Implementos!B:B,F52,Implementos!A:A),SUMIF(Productos!E:E,F52,Productos!A:A)))</f>
        <v/>
      </c>
      <c r="F52" s="2" t="str">
        <f t="shared" si="2"/>
        <v/>
      </c>
      <c r="G52" s="10" t="str">
        <f t="array" ref="G52">IF(OR(F52="",F52="-",F52="Selecciona..",F52="Finalizar"),"",IF(A52="Rodados",XLOOKUP(B52,'Validaciones Cotizador'!I:I,'Validaciones Cotizador'!J:J,0,0,1),1))</f>
        <v/>
      </c>
      <c r="H52" s="11" t="str">
        <f>IF(OR(F52="",F52="Selecciona.."),"",SUMIF(Precio_Productos!K:K,E52,Precio_Productos!J:J)*G52)</f>
        <v/>
      </c>
      <c r="I52" s="4" t="str">
        <f t="array" ref="I52">IF($E52="","", XLOOKUP(SUMIFS(Prod_Prop!$A:$A,Prod_Prop!$B:$B,$E52,Prod_Prop!$H:$H,I$1,Prod_Prop!$I:$I,"Exacto"),Prod_Prop!$A:$A,Prod_Prop!$J:$J,"",0,1))</f>
        <v/>
      </c>
      <c r="J52" s="4" t="str">
        <f t="array" ref="J52">IF($E52="","", XLOOKUP(SUMIFS(Prod_Prop!$A:$A,Prod_Prop!$B:$B,$E52,Prod_Prop!$H:$H,J$1,Prod_Prop!$I:$I,"Exacto"),Prod_Prop!$A:$A,Prod_Prop!$J:$J,"",0,1))</f>
        <v/>
      </c>
      <c r="K52" s="4" t="str">
        <f t="array" ref="K52">IF($E52="","", XLOOKUP(SUMIFS(Prod_Prop!$A:$A,Prod_Prop!$B:$B,$E52,Prod_Prop!$H:$H,K$1,Prod_Prop!$I:$I,"Exacto"),Prod_Prop!$A:$A,Prod_Prop!$J:$J,"",0,1))</f>
        <v/>
      </c>
      <c r="L52" s="4" t="str">
        <f t="array" ref="L52">IF($E52="","", XLOOKUP(SUMIFS(Prod_Prop!$A:$A,Prod_Prop!$B:$B,$E52,Prod_Prop!$H:$H,L$1,Prod_Prop!$I:$I,"Exacto"),Prod_Prop!$A:$A,Prod_Prop!$J:$J,"",0,1))</f>
        <v/>
      </c>
      <c r="M52" s="4" t="str">
        <f t="array" ref="M52">IF($E52="","", XLOOKUP(SUMIFS(Prod_Prop!$A:$A,Prod_Prop!$B:$B,$E52,Prod_Prop!$H:$H,M$1,Prod_Prop!$I:$I,"Exacto"),Prod_Prop!$A:$A,Prod_Prop!$J:$J,"",0,1))</f>
        <v/>
      </c>
      <c r="N52" s="4" t="str">
        <f t="array" ref="N52">IF($E52="","", XLOOKUP(SUMIFS(Prod_Prop!$A:$A,Prod_Prop!$B:$B,$E52,Prod_Prop!$H:$H,N$1,Prod_Prop!$I:$I,"Exacto"),Prod_Prop!$A:$A,Prod_Prop!$J:$J,"",0,1))</f>
        <v/>
      </c>
      <c r="O52" s="4" t="str">
        <f t="array" ref="O52">IF($E52="","", XLOOKUP(SUMIFS(Prod_Prop!$A:$A,Prod_Prop!$B:$B,$E52,Prod_Prop!$H:$H,O$1,Prod_Prop!$I:$I,"Exacto"),Prod_Prop!$A:$A,Prod_Prop!$J:$J,"",0,1))</f>
        <v/>
      </c>
      <c r="P52" s="4" t="str">
        <f t="array" ref="P52">IF($E52="","", XLOOKUP(SUMIFS(Prod_Prop!$A:$A,Prod_Prop!$B:$B,$E52,Prod_Prop!$H:$H,P$1,Prod_Prop!$I:$I,"Exacto"),Prod_Prop!$A:$A,Prod_Prop!$J:$J,"",0,1))</f>
        <v/>
      </c>
      <c r="Q52" s="4" t="str">
        <f t="array" ref="Q52">IF($E52="","", XLOOKUP(SUMIFS(Prod_Prop!$A:$A,Prod_Prop!$B:$B,$E52,Prod_Prop!$H:$H,Q$1,Prod_Prop!$I:$I,"Exacto"),Prod_Prop!$A:$A,Prod_Prop!$J:$J,"",0,1))</f>
        <v/>
      </c>
      <c r="R52" s="4" t="str">
        <f t="array" ref="R52">IF($E52="","", XLOOKUP(SUMIFS(Prod_Prop!$A:$A,Prod_Prop!$B:$B,$E52,Prod_Prop!$H:$H,R$1,Prod_Prop!$I:$I,"Exacto"),Prod_Prop!$A:$A,Prod_Prop!$J:$J,"",0,1))</f>
        <v/>
      </c>
      <c r="S52" s="4" t="str">
        <f t="array" ref="S52">IF($E52="","", XLOOKUP(SUMIFS(Prod_Prop!$A:$A,Prod_Prop!$B:$B,$E52,Prod_Prop!$H:$H,S$1,Prod_Prop!$I:$I,"Exacto"),Prod_Prop!$A:$A,Prod_Prop!$J:$J,"",0,1))</f>
        <v/>
      </c>
      <c r="T52" s="4" t="str">
        <f t="array" ref="T52">IF($E52="","", XLOOKUP(SUMIFS(Prod_Prop!$A:$A,Prod_Prop!$B:$B,$E52,Prod_Prop!$H:$H,T$1,Prod_Prop!$I:$I,"Exacto"),Prod_Prop!$A:$A,Prod_Prop!$J:$J,"",0,1))</f>
        <v/>
      </c>
      <c r="U52" s="4" t="str">
        <f t="array" ref="U52">IF($E52="","", XLOOKUP(SUMIFS(Prod_Prop!$A:$A,Prod_Prop!$B:$B,$E52,Prod_Prop!$H:$H,U$1,Prod_Prop!$I:$I,"Exacto"),Prod_Prop!$A:$A,Prod_Prop!$J:$J,"",0,1))</f>
        <v/>
      </c>
      <c r="V52" s="4" t="str">
        <f t="array" ref="V52">IF($E52="","", XLOOKUP(SUMIFS(Prod_Prop!$A:$A,Prod_Prop!$B:$B,$E52,Prod_Prop!$H:$H,V$1,Prod_Prop!$I:$I,"Exacto"),Prod_Prop!$A:$A,Prod_Prop!$J:$J,"",0,1))</f>
        <v/>
      </c>
      <c r="X52" s="3" t="str">
        <f>IFERROR(__xludf.DUMMYFUNCTION("IF(D52="""","""",IFERROR(TRANSPOSE(FILTER('Validaciones Cotizador'!U:U,'Validaciones Cotizador'!O:O=D52,'Validaciones Cotizador'!T:T=""x"")),""Finalizar""))"),"")</f>
        <v/>
      </c>
    </row>
    <row r="53">
      <c r="A53" s="2" t="str">
        <f t="array" ref="A53">IF(E53="","",XLOOKUP(D53,'Validaciones Cotizador'!C:C,'Validaciones Cotizador'!A:A,"",0,1))</f>
        <v/>
      </c>
      <c r="B53" s="2" t="str">
        <f t="array" ref="B53">IF(F53="","",XLOOKUP(F53,Productos!E:E,Productos!G:G,"",0,1))</f>
        <v/>
      </c>
      <c r="C53" s="2" t="str">
        <f>IF(A53="","",SUMIFS('Validaciones Cotizador'!B:B,'Validaciones Cotizador'!C:C,D53,'Validaciones Cotizador'!A:A,A53))</f>
        <v/>
      </c>
      <c r="D53" s="4" t="str">
        <f>IFERROR(__xludf.DUMMYFUNCTION("IF(OR(F52=""Finalizar"",F52="""",F52=""Selecciona..""),"""",IF(OR(F52=""-"",INDEX(filter(Familias!F:F,Familias!D:D=A52,Familias!E:E=C52),1)=""O""),D52+1,D52))"),"")</f>
        <v/>
      </c>
      <c r="E53" s="2" t="str">
        <f>IF(OR(F53="",F53="Selecciona.."),"",IF(D53="Implemento",SUMIF(Implementos!B:B,F53,Implementos!A:A),SUMIF(Productos!E:E,F53,Productos!A:A)))</f>
        <v/>
      </c>
      <c r="F53" s="2" t="str">
        <f t="shared" si="2"/>
        <v/>
      </c>
      <c r="G53" s="10" t="str">
        <f t="array" ref="G53">IF(OR(F53="",F53="-",F53="Selecciona..",F53="Finalizar"),"",IF(A53="Rodados",XLOOKUP(B53,'Validaciones Cotizador'!I:I,'Validaciones Cotizador'!J:J,0,0,1),1))</f>
        <v/>
      </c>
      <c r="H53" s="11" t="str">
        <f>IF(OR(F53="",F53="Selecciona.."),"",SUMIF(Precio_Productos!K:K,E53,Precio_Productos!J:J)*G53)</f>
        <v/>
      </c>
      <c r="I53" s="4" t="str">
        <f t="array" ref="I53">IF($E53="","", XLOOKUP(SUMIFS(Prod_Prop!$A:$A,Prod_Prop!$B:$B,$E53,Prod_Prop!$H:$H,I$1,Prod_Prop!$I:$I,"Exacto"),Prod_Prop!$A:$A,Prod_Prop!$J:$J,"",0,1))</f>
        <v/>
      </c>
      <c r="J53" s="4" t="str">
        <f t="array" ref="J53">IF($E53="","", XLOOKUP(SUMIFS(Prod_Prop!$A:$A,Prod_Prop!$B:$B,$E53,Prod_Prop!$H:$H,J$1,Prod_Prop!$I:$I,"Exacto"),Prod_Prop!$A:$A,Prod_Prop!$J:$J,"",0,1))</f>
        <v/>
      </c>
      <c r="K53" s="4" t="str">
        <f t="array" ref="K53">IF($E53="","", XLOOKUP(SUMIFS(Prod_Prop!$A:$A,Prod_Prop!$B:$B,$E53,Prod_Prop!$H:$H,K$1,Prod_Prop!$I:$I,"Exacto"),Prod_Prop!$A:$A,Prod_Prop!$J:$J,"",0,1))</f>
        <v/>
      </c>
      <c r="L53" s="4" t="str">
        <f t="array" ref="L53">IF($E53="","", XLOOKUP(SUMIFS(Prod_Prop!$A:$A,Prod_Prop!$B:$B,$E53,Prod_Prop!$H:$H,L$1,Prod_Prop!$I:$I,"Exacto"),Prod_Prop!$A:$A,Prod_Prop!$J:$J,"",0,1))</f>
        <v/>
      </c>
      <c r="M53" s="4" t="str">
        <f t="array" ref="M53">IF($E53="","", XLOOKUP(SUMIFS(Prod_Prop!$A:$A,Prod_Prop!$B:$B,$E53,Prod_Prop!$H:$H,M$1,Prod_Prop!$I:$I,"Exacto"),Prod_Prop!$A:$A,Prod_Prop!$J:$J,"",0,1))</f>
        <v/>
      </c>
      <c r="N53" s="4" t="str">
        <f t="array" ref="N53">IF($E53="","", XLOOKUP(SUMIFS(Prod_Prop!$A:$A,Prod_Prop!$B:$B,$E53,Prod_Prop!$H:$H,N$1,Prod_Prop!$I:$I,"Exacto"),Prod_Prop!$A:$A,Prod_Prop!$J:$J,"",0,1))</f>
        <v/>
      </c>
      <c r="O53" s="4" t="str">
        <f t="array" ref="O53">IF($E53="","", XLOOKUP(SUMIFS(Prod_Prop!$A:$A,Prod_Prop!$B:$B,$E53,Prod_Prop!$H:$H,O$1,Prod_Prop!$I:$I,"Exacto"),Prod_Prop!$A:$A,Prod_Prop!$J:$J,"",0,1))</f>
        <v/>
      </c>
      <c r="P53" s="4" t="str">
        <f t="array" ref="P53">IF($E53="","", XLOOKUP(SUMIFS(Prod_Prop!$A:$A,Prod_Prop!$B:$B,$E53,Prod_Prop!$H:$H,P$1,Prod_Prop!$I:$I,"Exacto"),Prod_Prop!$A:$A,Prod_Prop!$J:$J,"",0,1))</f>
        <v/>
      </c>
      <c r="Q53" s="4" t="str">
        <f t="array" ref="Q53">IF($E53="","", XLOOKUP(SUMIFS(Prod_Prop!$A:$A,Prod_Prop!$B:$B,$E53,Prod_Prop!$H:$H,Q$1,Prod_Prop!$I:$I,"Exacto"),Prod_Prop!$A:$A,Prod_Prop!$J:$J,"",0,1))</f>
        <v/>
      </c>
      <c r="R53" s="4" t="str">
        <f t="array" ref="R53">IF($E53="","", XLOOKUP(SUMIFS(Prod_Prop!$A:$A,Prod_Prop!$B:$B,$E53,Prod_Prop!$H:$H,R$1,Prod_Prop!$I:$I,"Exacto"),Prod_Prop!$A:$A,Prod_Prop!$J:$J,"",0,1))</f>
        <v/>
      </c>
      <c r="S53" s="4" t="str">
        <f t="array" ref="S53">IF($E53="","", XLOOKUP(SUMIFS(Prod_Prop!$A:$A,Prod_Prop!$B:$B,$E53,Prod_Prop!$H:$H,S$1,Prod_Prop!$I:$I,"Exacto"),Prod_Prop!$A:$A,Prod_Prop!$J:$J,"",0,1))</f>
        <v/>
      </c>
      <c r="T53" s="4" t="str">
        <f t="array" ref="T53">IF($E53="","", XLOOKUP(SUMIFS(Prod_Prop!$A:$A,Prod_Prop!$B:$B,$E53,Prod_Prop!$H:$H,T$1,Prod_Prop!$I:$I,"Exacto"),Prod_Prop!$A:$A,Prod_Prop!$J:$J,"",0,1))</f>
        <v/>
      </c>
      <c r="U53" s="4" t="str">
        <f t="array" ref="U53">IF($E53="","", XLOOKUP(SUMIFS(Prod_Prop!$A:$A,Prod_Prop!$B:$B,$E53,Prod_Prop!$H:$H,U$1,Prod_Prop!$I:$I,"Exacto"),Prod_Prop!$A:$A,Prod_Prop!$J:$J,"",0,1))</f>
        <v/>
      </c>
      <c r="V53" s="4" t="str">
        <f t="array" ref="V53">IF($E53="","", XLOOKUP(SUMIFS(Prod_Prop!$A:$A,Prod_Prop!$B:$B,$E53,Prod_Prop!$H:$H,V$1,Prod_Prop!$I:$I,"Exacto"),Prod_Prop!$A:$A,Prod_Prop!$J:$J,"",0,1))</f>
        <v/>
      </c>
      <c r="X53" s="3" t="str">
        <f>IFERROR(__xludf.DUMMYFUNCTION("IF(D53="""","""",IFERROR(TRANSPOSE(FILTER('Validaciones Cotizador'!U:U,'Validaciones Cotizador'!O:O=D53,'Validaciones Cotizador'!T:T=""x"")),""Finalizar""))"),"")</f>
        <v/>
      </c>
    </row>
    <row r="54">
      <c r="A54" s="2" t="str">
        <f t="array" ref="A54">IF(E54="","",XLOOKUP(D54,'Validaciones Cotizador'!C:C,'Validaciones Cotizador'!A:A,"",0,1))</f>
        <v/>
      </c>
      <c r="B54" s="2" t="str">
        <f t="array" ref="B54">IF(F54="","",XLOOKUP(F54,Productos!E:E,Productos!G:G,"",0,1))</f>
        <v/>
      </c>
      <c r="C54" s="2" t="str">
        <f>IF(A54="","",SUMIFS('Validaciones Cotizador'!B:B,'Validaciones Cotizador'!C:C,D54,'Validaciones Cotizador'!A:A,A54))</f>
        <v/>
      </c>
      <c r="D54" s="4" t="str">
        <f>IFERROR(__xludf.DUMMYFUNCTION("IF(OR(F53=""Finalizar"",F53="""",F53=""Selecciona..""),"""",IF(OR(F53=""-"",INDEX(filter(Familias!F:F,Familias!D:D=A53,Familias!E:E=C53),1)=""O""),D53+1,D53))"),"")</f>
        <v/>
      </c>
      <c r="E54" s="2" t="str">
        <f>IF(OR(F54="",F54="Selecciona.."),"",IF(D54="Implemento",SUMIF(Implementos!B:B,F54,Implementos!A:A),SUMIF(Productos!E:E,F54,Productos!A:A)))</f>
        <v/>
      </c>
      <c r="F54" s="2" t="str">
        <f t="shared" si="2"/>
        <v/>
      </c>
      <c r="G54" s="10" t="str">
        <f t="array" ref="G54">IF(OR(F54="",F54="-",F54="Selecciona..",F54="Finalizar"),"",IF(A54="Rodados",XLOOKUP(B54,'Validaciones Cotizador'!I:I,'Validaciones Cotizador'!J:J,0,0,1),1))</f>
        <v/>
      </c>
      <c r="H54" s="11" t="str">
        <f>IF(OR(F54="",F54="Selecciona.."),"",SUMIF(Precio_Productos!K:K,E54,Precio_Productos!J:J)*G54)</f>
        <v/>
      </c>
      <c r="I54" s="4" t="str">
        <f t="array" ref="I54">IF($E54="","", XLOOKUP(SUMIFS(Prod_Prop!$A:$A,Prod_Prop!$B:$B,$E54,Prod_Prop!$H:$H,I$1,Prod_Prop!$I:$I,"Exacto"),Prod_Prop!$A:$A,Prod_Prop!$J:$J,"",0,1))</f>
        <v/>
      </c>
      <c r="J54" s="4" t="str">
        <f t="array" ref="J54">IF($E54="","", XLOOKUP(SUMIFS(Prod_Prop!$A:$A,Prod_Prop!$B:$B,$E54,Prod_Prop!$H:$H,J$1,Prod_Prop!$I:$I,"Exacto"),Prod_Prop!$A:$A,Prod_Prop!$J:$J,"",0,1))</f>
        <v/>
      </c>
      <c r="K54" s="4" t="str">
        <f t="array" ref="K54">IF($E54="","", XLOOKUP(SUMIFS(Prod_Prop!$A:$A,Prod_Prop!$B:$B,$E54,Prod_Prop!$H:$H,K$1,Prod_Prop!$I:$I,"Exacto"),Prod_Prop!$A:$A,Prod_Prop!$J:$J,"",0,1))</f>
        <v/>
      </c>
      <c r="L54" s="4" t="str">
        <f t="array" ref="L54">IF($E54="","", XLOOKUP(SUMIFS(Prod_Prop!$A:$A,Prod_Prop!$B:$B,$E54,Prod_Prop!$H:$H,L$1,Prod_Prop!$I:$I,"Exacto"),Prod_Prop!$A:$A,Prod_Prop!$J:$J,"",0,1))</f>
        <v/>
      </c>
      <c r="M54" s="4" t="str">
        <f t="array" ref="M54">IF($E54="","", XLOOKUP(SUMIFS(Prod_Prop!$A:$A,Prod_Prop!$B:$B,$E54,Prod_Prop!$H:$H,M$1,Prod_Prop!$I:$I,"Exacto"),Prod_Prop!$A:$A,Prod_Prop!$J:$J,"",0,1))</f>
        <v/>
      </c>
      <c r="N54" s="4" t="str">
        <f t="array" ref="N54">IF($E54="","", XLOOKUP(SUMIFS(Prod_Prop!$A:$A,Prod_Prop!$B:$B,$E54,Prod_Prop!$H:$H,N$1,Prod_Prop!$I:$I,"Exacto"),Prod_Prop!$A:$A,Prod_Prop!$J:$J,"",0,1))</f>
        <v/>
      </c>
      <c r="O54" s="4" t="str">
        <f t="array" ref="O54">IF($E54="","", XLOOKUP(SUMIFS(Prod_Prop!$A:$A,Prod_Prop!$B:$B,$E54,Prod_Prop!$H:$H,O$1,Prod_Prop!$I:$I,"Exacto"),Prod_Prop!$A:$A,Prod_Prop!$J:$J,"",0,1))</f>
        <v/>
      </c>
      <c r="P54" s="4" t="str">
        <f t="array" ref="P54">IF($E54="","", XLOOKUP(SUMIFS(Prod_Prop!$A:$A,Prod_Prop!$B:$B,$E54,Prod_Prop!$H:$H,P$1,Prod_Prop!$I:$I,"Exacto"),Prod_Prop!$A:$A,Prod_Prop!$J:$J,"",0,1))</f>
        <v/>
      </c>
      <c r="Q54" s="4" t="str">
        <f t="array" ref="Q54">IF($E54="","", XLOOKUP(SUMIFS(Prod_Prop!$A:$A,Prod_Prop!$B:$B,$E54,Prod_Prop!$H:$H,Q$1,Prod_Prop!$I:$I,"Exacto"),Prod_Prop!$A:$A,Prod_Prop!$J:$J,"",0,1))</f>
        <v/>
      </c>
      <c r="R54" s="4" t="str">
        <f t="array" ref="R54">IF($E54="","", XLOOKUP(SUMIFS(Prod_Prop!$A:$A,Prod_Prop!$B:$B,$E54,Prod_Prop!$H:$H,R$1,Prod_Prop!$I:$I,"Exacto"),Prod_Prop!$A:$A,Prod_Prop!$J:$J,"",0,1))</f>
        <v/>
      </c>
      <c r="S54" s="4" t="str">
        <f t="array" ref="S54">IF($E54="","", XLOOKUP(SUMIFS(Prod_Prop!$A:$A,Prod_Prop!$B:$B,$E54,Prod_Prop!$H:$H,S$1,Prod_Prop!$I:$I,"Exacto"),Prod_Prop!$A:$A,Prod_Prop!$J:$J,"",0,1))</f>
        <v/>
      </c>
      <c r="T54" s="4" t="str">
        <f t="array" ref="T54">IF($E54="","", XLOOKUP(SUMIFS(Prod_Prop!$A:$A,Prod_Prop!$B:$B,$E54,Prod_Prop!$H:$H,T$1,Prod_Prop!$I:$I,"Exacto"),Prod_Prop!$A:$A,Prod_Prop!$J:$J,"",0,1))</f>
        <v/>
      </c>
      <c r="U54" s="4" t="str">
        <f t="array" ref="U54">IF($E54="","", XLOOKUP(SUMIFS(Prod_Prop!$A:$A,Prod_Prop!$B:$B,$E54,Prod_Prop!$H:$H,U$1,Prod_Prop!$I:$I,"Exacto"),Prod_Prop!$A:$A,Prod_Prop!$J:$J,"",0,1))</f>
        <v/>
      </c>
      <c r="V54" s="4" t="str">
        <f t="array" ref="V54">IF($E54="","", XLOOKUP(SUMIFS(Prod_Prop!$A:$A,Prod_Prop!$B:$B,$E54,Prod_Prop!$H:$H,V$1,Prod_Prop!$I:$I,"Exacto"),Prod_Prop!$A:$A,Prod_Prop!$J:$J,"",0,1))</f>
        <v/>
      </c>
      <c r="X54" s="3" t="str">
        <f>IFERROR(__xludf.DUMMYFUNCTION("IF(D54="""","""",IFERROR(TRANSPOSE(FILTER('Validaciones Cotizador'!U:U,'Validaciones Cotizador'!O:O=D54,'Validaciones Cotizador'!T:T=""x"")),""Finalizar""))"),"")</f>
        <v/>
      </c>
    </row>
    <row r="55">
      <c r="A55" s="2" t="str">
        <f t="array" ref="A55">IF(E55="","",XLOOKUP(D55,'Validaciones Cotizador'!C:C,'Validaciones Cotizador'!A:A,"",0,1))</f>
        <v/>
      </c>
      <c r="B55" s="2" t="str">
        <f t="array" ref="B55">IF(F55="","",XLOOKUP(F55,Productos!E:E,Productos!G:G,"",0,1))</f>
        <v/>
      </c>
      <c r="C55" s="2" t="str">
        <f>IF(A55="","",SUMIFS('Validaciones Cotizador'!B:B,'Validaciones Cotizador'!C:C,D55,'Validaciones Cotizador'!A:A,A55))</f>
        <v/>
      </c>
      <c r="D55" s="4" t="str">
        <f>IFERROR(__xludf.DUMMYFUNCTION("IF(OR(F54=""Finalizar"",F54="""",F54=""Selecciona..""),"""",IF(OR(F54=""-"",INDEX(filter(Familias!F:F,Familias!D:D=A54,Familias!E:E=C54),1)=""O""),D54+1,D54))"),"")</f>
        <v/>
      </c>
      <c r="E55" s="2" t="str">
        <f>IF(OR(F55="",F55="Selecciona.."),"",IF(D55="Implemento",SUMIF(Implementos!B:B,F55,Implementos!A:A),SUMIF(Productos!E:E,F55,Productos!A:A)))</f>
        <v/>
      </c>
      <c r="F55" s="2" t="str">
        <f t="shared" si="2"/>
        <v/>
      </c>
      <c r="G55" s="10" t="str">
        <f t="array" ref="G55">IF(OR(F55="",F55="-",F55="Selecciona..",F55="Finalizar"),"",IF(A55="Rodados",XLOOKUP(B55,'Validaciones Cotizador'!I:I,'Validaciones Cotizador'!J:J,0,0,1),1))</f>
        <v/>
      </c>
      <c r="H55" s="11" t="str">
        <f>IF(OR(F55="",F55="Selecciona.."),"",SUMIF(Precio_Productos!K:K,E55,Precio_Productos!J:J)*G55)</f>
        <v/>
      </c>
      <c r="I55" s="4" t="str">
        <f t="array" ref="I55">IF($E55="","", XLOOKUP(SUMIFS(Prod_Prop!$A:$A,Prod_Prop!$B:$B,$E55,Prod_Prop!$H:$H,I$1,Prod_Prop!$I:$I,"Exacto"),Prod_Prop!$A:$A,Prod_Prop!$J:$J,"",0,1))</f>
        <v/>
      </c>
      <c r="J55" s="4" t="str">
        <f t="array" ref="J55">IF($E55="","", XLOOKUP(SUMIFS(Prod_Prop!$A:$A,Prod_Prop!$B:$B,$E55,Prod_Prop!$H:$H,J$1,Prod_Prop!$I:$I,"Exacto"),Prod_Prop!$A:$A,Prod_Prop!$J:$J,"",0,1))</f>
        <v/>
      </c>
      <c r="K55" s="4" t="str">
        <f t="array" ref="K55">IF($E55="","", XLOOKUP(SUMIFS(Prod_Prop!$A:$A,Prod_Prop!$B:$B,$E55,Prod_Prop!$H:$H,K$1,Prod_Prop!$I:$I,"Exacto"),Prod_Prop!$A:$A,Prod_Prop!$J:$J,"",0,1))</f>
        <v/>
      </c>
      <c r="L55" s="4" t="str">
        <f t="array" ref="L55">IF($E55="","", XLOOKUP(SUMIFS(Prod_Prop!$A:$A,Prod_Prop!$B:$B,$E55,Prod_Prop!$H:$H,L$1,Prod_Prop!$I:$I,"Exacto"),Prod_Prop!$A:$A,Prod_Prop!$J:$J,"",0,1))</f>
        <v/>
      </c>
      <c r="M55" s="4" t="str">
        <f t="array" ref="M55">IF($E55="","", XLOOKUP(SUMIFS(Prod_Prop!$A:$A,Prod_Prop!$B:$B,$E55,Prod_Prop!$H:$H,M$1,Prod_Prop!$I:$I,"Exacto"),Prod_Prop!$A:$A,Prod_Prop!$J:$J,"",0,1))</f>
        <v/>
      </c>
      <c r="N55" s="4" t="str">
        <f t="array" ref="N55">IF($E55="","", XLOOKUP(SUMIFS(Prod_Prop!$A:$A,Prod_Prop!$B:$B,$E55,Prod_Prop!$H:$H,N$1,Prod_Prop!$I:$I,"Exacto"),Prod_Prop!$A:$A,Prod_Prop!$J:$J,"",0,1))</f>
        <v/>
      </c>
      <c r="O55" s="4" t="str">
        <f t="array" ref="O55">IF($E55="","", XLOOKUP(SUMIFS(Prod_Prop!$A:$A,Prod_Prop!$B:$B,$E55,Prod_Prop!$H:$H,O$1,Prod_Prop!$I:$I,"Exacto"),Prod_Prop!$A:$A,Prod_Prop!$J:$J,"",0,1))</f>
        <v/>
      </c>
      <c r="P55" s="4" t="str">
        <f t="array" ref="P55">IF($E55="","", XLOOKUP(SUMIFS(Prod_Prop!$A:$A,Prod_Prop!$B:$B,$E55,Prod_Prop!$H:$H,P$1,Prod_Prop!$I:$I,"Exacto"),Prod_Prop!$A:$A,Prod_Prop!$J:$J,"",0,1))</f>
        <v/>
      </c>
      <c r="Q55" s="4" t="str">
        <f t="array" ref="Q55">IF($E55="","", XLOOKUP(SUMIFS(Prod_Prop!$A:$A,Prod_Prop!$B:$B,$E55,Prod_Prop!$H:$H,Q$1,Prod_Prop!$I:$I,"Exacto"),Prod_Prop!$A:$A,Prod_Prop!$J:$J,"",0,1))</f>
        <v/>
      </c>
      <c r="R55" s="4" t="str">
        <f t="array" ref="R55">IF($E55="","", XLOOKUP(SUMIFS(Prod_Prop!$A:$A,Prod_Prop!$B:$B,$E55,Prod_Prop!$H:$H,R$1,Prod_Prop!$I:$I,"Exacto"),Prod_Prop!$A:$A,Prod_Prop!$J:$J,"",0,1))</f>
        <v/>
      </c>
      <c r="S55" s="4" t="str">
        <f t="array" ref="S55">IF($E55="","", XLOOKUP(SUMIFS(Prod_Prop!$A:$A,Prod_Prop!$B:$B,$E55,Prod_Prop!$H:$H,S$1,Prod_Prop!$I:$I,"Exacto"),Prod_Prop!$A:$A,Prod_Prop!$J:$J,"",0,1))</f>
        <v/>
      </c>
      <c r="T55" s="4" t="str">
        <f t="array" ref="T55">IF($E55="","", XLOOKUP(SUMIFS(Prod_Prop!$A:$A,Prod_Prop!$B:$B,$E55,Prod_Prop!$H:$H,T$1,Prod_Prop!$I:$I,"Exacto"),Prod_Prop!$A:$A,Prod_Prop!$J:$J,"",0,1))</f>
        <v/>
      </c>
      <c r="U55" s="4" t="str">
        <f t="array" ref="U55">IF($E55="","", XLOOKUP(SUMIFS(Prod_Prop!$A:$A,Prod_Prop!$B:$B,$E55,Prod_Prop!$H:$H,U$1,Prod_Prop!$I:$I,"Exacto"),Prod_Prop!$A:$A,Prod_Prop!$J:$J,"",0,1))</f>
        <v/>
      </c>
      <c r="V55" s="4" t="str">
        <f t="array" ref="V55">IF($E55="","", XLOOKUP(SUMIFS(Prod_Prop!$A:$A,Prod_Prop!$B:$B,$E55,Prod_Prop!$H:$H,V$1,Prod_Prop!$I:$I,"Exacto"),Prod_Prop!$A:$A,Prod_Prop!$J:$J,"",0,1))</f>
        <v/>
      </c>
      <c r="X55" s="3" t="str">
        <f>IFERROR(__xludf.DUMMYFUNCTION("IF(D55="""","""",IFERROR(TRANSPOSE(FILTER('Validaciones Cotizador'!U:U,'Validaciones Cotizador'!O:O=D55,'Validaciones Cotizador'!T:T=""x"")),""Finalizar""))"),"")</f>
        <v/>
      </c>
    </row>
    <row r="56">
      <c r="A56" s="2" t="str">
        <f t="array" ref="A56">IF(E56="","",XLOOKUP(D56,'Validaciones Cotizador'!C:C,'Validaciones Cotizador'!A:A,"",0,1))</f>
        <v/>
      </c>
      <c r="B56" s="2" t="str">
        <f t="array" ref="B56">IF(F56="","",XLOOKUP(F56,Productos!E:E,Productos!G:G,"",0,1))</f>
        <v/>
      </c>
      <c r="C56" s="2" t="str">
        <f>IF(A56="","",SUMIFS('Validaciones Cotizador'!B:B,'Validaciones Cotizador'!C:C,D56,'Validaciones Cotizador'!A:A,A56))</f>
        <v/>
      </c>
      <c r="D56" s="4" t="str">
        <f>IFERROR(__xludf.DUMMYFUNCTION("IF(OR(F55=""Finalizar"",F55="""",F55=""Selecciona..""),"""",IF(OR(F55=""-"",INDEX(filter(Familias!F:F,Familias!D:D=A55,Familias!E:E=C55),1)=""O""),D55+1,D55))"),"")</f>
        <v/>
      </c>
      <c r="E56" s="2" t="str">
        <f>IF(OR(F56="",F56="Selecciona.."),"",IF(D56="Implemento",SUMIF(Implementos!B:B,F56,Implementos!A:A),SUMIF(Productos!E:E,F56,Productos!A:A)))</f>
        <v/>
      </c>
      <c r="F56" s="2" t="str">
        <f t="shared" si="2"/>
        <v/>
      </c>
      <c r="G56" s="10" t="str">
        <f t="array" ref="G56">IF(OR(F56="",F56="-",F56="Selecciona..",F56="Finalizar"),"",IF(A56="Rodados",XLOOKUP(B56,'Validaciones Cotizador'!I:I,'Validaciones Cotizador'!J:J,0,0,1),1))</f>
        <v/>
      </c>
      <c r="H56" s="11" t="str">
        <f>IF(OR(F56="",F56="Selecciona.."),"",SUMIF(Precio_Productos!K:K,E56,Precio_Productos!J:J)*G56)</f>
        <v/>
      </c>
      <c r="I56" s="4" t="str">
        <f t="array" ref="I56">IF($E56="","", XLOOKUP(SUMIFS(Prod_Prop!$A:$A,Prod_Prop!$B:$B,$E56,Prod_Prop!$H:$H,I$1,Prod_Prop!$I:$I,"Exacto"),Prod_Prop!$A:$A,Prod_Prop!$J:$J,"",0,1))</f>
        <v/>
      </c>
      <c r="J56" s="4" t="str">
        <f t="array" ref="J56">IF($E56="","", XLOOKUP(SUMIFS(Prod_Prop!$A:$A,Prod_Prop!$B:$B,$E56,Prod_Prop!$H:$H,J$1,Prod_Prop!$I:$I,"Exacto"),Prod_Prop!$A:$A,Prod_Prop!$J:$J,"",0,1))</f>
        <v/>
      </c>
      <c r="K56" s="4" t="str">
        <f t="array" ref="K56">IF($E56="","", XLOOKUP(SUMIFS(Prod_Prop!$A:$A,Prod_Prop!$B:$B,$E56,Prod_Prop!$H:$H,K$1,Prod_Prop!$I:$I,"Exacto"),Prod_Prop!$A:$A,Prod_Prop!$J:$J,"",0,1))</f>
        <v/>
      </c>
      <c r="L56" s="4" t="str">
        <f t="array" ref="L56">IF($E56="","", XLOOKUP(SUMIFS(Prod_Prop!$A:$A,Prod_Prop!$B:$B,$E56,Prod_Prop!$H:$H,L$1,Prod_Prop!$I:$I,"Exacto"),Prod_Prop!$A:$A,Prod_Prop!$J:$J,"",0,1))</f>
        <v/>
      </c>
      <c r="M56" s="4" t="str">
        <f t="array" ref="M56">IF($E56="","", XLOOKUP(SUMIFS(Prod_Prop!$A:$A,Prod_Prop!$B:$B,$E56,Prod_Prop!$H:$H,M$1,Prod_Prop!$I:$I,"Exacto"),Prod_Prop!$A:$A,Prod_Prop!$J:$J,"",0,1))</f>
        <v/>
      </c>
      <c r="N56" s="4" t="str">
        <f t="array" ref="N56">IF($E56="","", XLOOKUP(SUMIFS(Prod_Prop!$A:$A,Prod_Prop!$B:$B,$E56,Prod_Prop!$H:$H,N$1,Prod_Prop!$I:$I,"Exacto"),Prod_Prop!$A:$A,Prod_Prop!$J:$J,"",0,1))</f>
        <v/>
      </c>
      <c r="O56" s="4" t="str">
        <f t="array" ref="O56">IF($E56="","", XLOOKUP(SUMIFS(Prod_Prop!$A:$A,Prod_Prop!$B:$B,$E56,Prod_Prop!$H:$H,O$1,Prod_Prop!$I:$I,"Exacto"),Prod_Prop!$A:$A,Prod_Prop!$J:$J,"",0,1))</f>
        <v/>
      </c>
      <c r="P56" s="4" t="str">
        <f t="array" ref="P56">IF($E56="","", XLOOKUP(SUMIFS(Prod_Prop!$A:$A,Prod_Prop!$B:$B,$E56,Prod_Prop!$H:$H,P$1,Prod_Prop!$I:$I,"Exacto"),Prod_Prop!$A:$A,Prod_Prop!$J:$J,"",0,1))</f>
        <v/>
      </c>
      <c r="Q56" s="4" t="str">
        <f t="array" ref="Q56">IF($E56="","", XLOOKUP(SUMIFS(Prod_Prop!$A:$A,Prod_Prop!$B:$B,$E56,Prod_Prop!$H:$H,Q$1,Prod_Prop!$I:$I,"Exacto"),Prod_Prop!$A:$A,Prod_Prop!$J:$J,"",0,1))</f>
        <v/>
      </c>
      <c r="R56" s="4" t="str">
        <f t="array" ref="R56">IF($E56="","", XLOOKUP(SUMIFS(Prod_Prop!$A:$A,Prod_Prop!$B:$B,$E56,Prod_Prop!$H:$H,R$1,Prod_Prop!$I:$I,"Exacto"),Prod_Prop!$A:$A,Prod_Prop!$J:$J,"",0,1))</f>
        <v/>
      </c>
      <c r="S56" s="4" t="str">
        <f t="array" ref="S56">IF($E56="","", XLOOKUP(SUMIFS(Prod_Prop!$A:$A,Prod_Prop!$B:$B,$E56,Prod_Prop!$H:$H,S$1,Prod_Prop!$I:$I,"Exacto"),Prod_Prop!$A:$A,Prod_Prop!$J:$J,"",0,1))</f>
        <v/>
      </c>
      <c r="T56" s="4" t="str">
        <f t="array" ref="T56">IF($E56="","", XLOOKUP(SUMIFS(Prod_Prop!$A:$A,Prod_Prop!$B:$B,$E56,Prod_Prop!$H:$H,T$1,Prod_Prop!$I:$I,"Exacto"),Prod_Prop!$A:$A,Prod_Prop!$J:$J,"",0,1))</f>
        <v/>
      </c>
      <c r="U56" s="4" t="str">
        <f t="array" ref="U56">IF($E56="","", XLOOKUP(SUMIFS(Prod_Prop!$A:$A,Prod_Prop!$B:$B,$E56,Prod_Prop!$H:$H,U$1,Prod_Prop!$I:$I,"Exacto"),Prod_Prop!$A:$A,Prod_Prop!$J:$J,"",0,1))</f>
        <v/>
      </c>
      <c r="V56" s="4" t="str">
        <f t="array" ref="V56">IF($E56="","", XLOOKUP(SUMIFS(Prod_Prop!$A:$A,Prod_Prop!$B:$B,$E56,Prod_Prop!$H:$H,V$1,Prod_Prop!$I:$I,"Exacto"),Prod_Prop!$A:$A,Prod_Prop!$J:$J,"",0,1))</f>
        <v/>
      </c>
      <c r="X56" s="3" t="str">
        <f>IFERROR(__xludf.DUMMYFUNCTION("IF(D56="""","""",IFERROR(TRANSPOSE(FILTER('Validaciones Cotizador'!U:U,'Validaciones Cotizador'!O:O=D56,'Validaciones Cotizador'!T:T=""x"")),""Finalizar""))"),"")</f>
        <v/>
      </c>
    </row>
    <row r="57">
      <c r="A57" s="2" t="str">
        <f t="array" ref="A57">IF(E57="","",XLOOKUP(D57,'Validaciones Cotizador'!C:C,'Validaciones Cotizador'!A:A,"",0,1))</f>
        <v/>
      </c>
      <c r="B57" s="2" t="str">
        <f t="array" ref="B57">IF(F57="","",XLOOKUP(F57,Productos!E:E,Productos!G:G,"",0,1))</f>
        <v/>
      </c>
      <c r="C57" s="2" t="str">
        <f>IF(A57="","",SUMIFS('Validaciones Cotizador'!B:B,'Validaciones Cotizador'!C:C,D57,'Validaciones Cotizador'!A:A,A57))</f>
        <v/>
      </c>
      <c r="D57" s="4" t="str">
        <f>IFERROR(__xludf.DUMMYFUNCTION("IF(OR(F56=""Finalizar"",F56="""",F56=""Selecciona..""),"""",IF(OR(F56=""-"",INDEX(filter(Familias!F:F,Familias!D:D=A56,Familias!E:E=C56),1)=""O""),D56+1,D56))"),"")</f>
        <v/>
      </c>
      <c r="E57" s="2" t="str">
        <f>IF(OR(F57="",F57="Selecciona.."),"",IF(D57="Implemento",SUMIF(Implementos!B:B,F57,Implementos!A:A),SUMIF(Productos!E:E,F57,Productos!A:A)))</f>
        <v/>
      </c>
      <c r="F57" s="2" t="str">
        <f t="shared" si="2"/>
        <v/>
      </c>
      <c r="G57" s="10" t="str">
        <f t="array" ref="G57">IF(OR(F57="",F57="-",F57="Selecciona..",F57="Finalizar"),"",IF(A57="Rodados",XLOOKUP(B57,'Validaciones Cotizador'!I:I,'Validaciones Cotizador'!J:J,0,0,1),1))</f>
        <v/>
      </c>
      <c r="H57" s="11" t="str">
        <f>IF(OR(F57="",F57="Selecciona.."),"",SUMIF(Precio_Productos!K:K,E57,Precio_Productos!J:J)*G57)</f>
        <v/>
      </c>
      <c r="I57" s="4" t="str">
        <f t="array" ref="I57">IF($E57="","", XLOOKUP(SUMIFS(Prod_Prop!$A:$A,Prod_Prop!$B:$B,$E57,Prod_Prop!$H:$H,I$1,Prod_Prop!$I:$I,"Exacto"),Prod_Prop!$A:$A,Prod_Prop!$J:$J,"",0,1))</f>
        <v/>
      </c>
      <c r="J57" s="4" t="str">
        <f t="array" ref="J57">IF($E57="","", XLOOKUP(SUMIFS(Prod_Prop!$A:$A,Prod_Prop!$B:$B,$E57,Prod_Prop!$H:$H,J$1,Prod_Prop!$I:$I,"Exacto"),Prod_Prop!$A:$A,Prod_Prop!$J:$J,"",0,1))</f>
        <v/>
      </c>
      <c r="K57" s="4" t="str">
        <f t="array" ref="K57">IF($E57="","", XLOOKUP(SUMIFS(Prod_Prop!$A:$A,Prod_Prop!$B:$B,$E57,Prod_Prop!$H:$H,K$1,Prod_Prop!$I:$I,"Exacto"),Prod_Prop!$A:$A,Prod_Prop!$J:$J,"",0,1))</f>
        <v/>
      </c>
      <c r="L57" s="4" t="str">
        <f t="array" ref="L57">IF($E57="","", XLOOKUP(SUMIFS(Prod_Prop!$A:$A,Prod_Prop!$B:$B,$E57,Prod_Prop!$H:$H,L$1,Prod_Prop!$I:$I,"Exacto"),Prod_Prop!$A:$A,Prod_Prop!$J:$J,"",0,1))</f>
        <v/>
      </c>
      <c r="M57" s="4" t="str">
        <f t="array" ref="M57">IF($E57="","", XLOOKUP(SUMIFS(Prod_Prop!$A:$A,Prod_Prop!$B:$B,$E57,Prod_Prop!$H:$H,M$1,Prod_Prop!$I:$I,"Exacto"),Prod_Prop!$A:$A,Prod_Prop!$J:$J,"",0,1))</f>
        <v/>
      </c>
      <c r="N57" s="4" t="str">
        <f t="array" ref="N57">IF($E57="","", XLOOKUP(SUMIFS(Prod_Prop!$A:$A,Prod_Prop!$B:$B,$E57,Prod_Prop!$H:$H,N$1,Prod_Prop!$I:$I,"Exacto"),Prod_Prop!$A:$A,Prod_Prop!$J:$J,"",0,1))</f>
        <v/>
      </c>
      <c r="O57" s="4" t="str">
        <f t="array" ref="O57">IF($E57="","", XLOOKUP(SUMIFS(Prod_Prop!$A:$A,Prod_Prop!$B:$B,$E57,Prod_Prop!$H:$H,O$1,Prod_Prop!$I:$I,"Exacto"),Prod_Prop!$A:$A,Prod_Prop!$J:$J,"",0,1))</f>
        <v/>
      </c>
      <c r="P57" s="4" t="str">
        <f t="array" ref="P57">IF($E57="","", XLOOKUP(SUMIFS(Prod_Prop!$A:$A,Prod_Prop!$B:$B,$E57,Prod_Prop!$H:$H,P$1,Prod_Prop!$I:$I,"Exacto"),Prod_Prop!$A:$A,Prod_Prop!$J:$J,"",0,1))</f>
        <v/>
      </c>
      <c r="Q57" s="4" t="str">
        <f t="array" ref="Q57">IF($E57="","", XLOOKUP(SUMIFS(Prod_Prop!$A:$A,Prod_Prop!$B:$B,$E57,Prod_Prop!$H:$H,Q$1,Prod_Prop!$I:$I,"Exacto"),Prod_Prop!$A:$A,Prod_Prop!$J:$J,"",0,1))</f>
        <v/>
      </c>
      <c r="R57" s="4" t="str">
        <f t="array" ref="R57">IF($E57="","", XLOOKUP(SUMIFS(Prod_Prop!$A:$A,Prod_Prop!$B:$B,$E57,Prod_Prop!$H:$H,R$1,Prod_Prop!$I:$I,"Exacto"),Prod_Prop!$A:$A,Prod_Prop!$J:$J,"",0,1))</f>
        <v/>
      </c>
      <c r="S57" s="4" t="str">
        <f t="array" ref="S57">IF($E57="","", XLOOKUP(SUMIFS(Prod_Prop!$A:$A,Prod_Prop!$B:$B,$E57,Prod_Prop!$H:$H,S$1,Prod_Prop!$I:$I,"Exacto"),Prod_Prop!$A:$A,Prod_Prop!$J:$J,"",0,1))</f>
        <v/>
      </c>
      <c r="T57" s="4" t="str">
        <f t="array" ref="T57">IF($E57="","", XLOOKUP(SUMIFS(Prod_Prop!$A:$A,Prod_Prop!$B:$B,$E57,Prod_Prop!$H:$H,T$1,Prod_Prop!$I:$I,"Exacto"),Prod_Prop!$A:$A,Prod_Prop!$J:$J,"",0,1))</f>
        <v/>
      </c>
      <c r="U57" s="4" t="str">
        <f t="array" ref="U57">IF($E57="","", XLOOKUP(SUMIFS(Prod_Prop!$A:$A,Prod_Prop!$B:$B,$E57,Prod_Prop!$H:$H,U$1,Prod_Prop!$I:$I,"Exacto"),Prod_Prop!$A:$A,Prod_Prop!$J:$J,"",0,1))</f>
        <v/>
      </c>
      <c r="V57" s="4" t="str">
        <f t="array" ref="V57">IF($E57="","", XLOOKUP(SUMIFS(Prod_Prop!$A:$A,Prod_Prop!$B:$B,$E57,Prod_Prop!$H:$H,V$1,Prod_Prop!$I:$I,"Exacto"),Prod_Prop!$A:$A,Prod_Prop!$J:$J,"",0,1))</f>
        <v/>
      </c>
      <c r="X57" s="3" t="str">
        <f>IFERROR(__xludf.DUMMYFUNCTION("IF(D57="""","""",IFERROR(TRANSPOSE(FILTER('Validaciones Cotizador'!U:U,'Validaciones Cotizador'!O:O=D57,'Validaciones Cotizador'!T:T=""x"")),""Finalizar""))"),"")</f>
        <v/>
      </c>
    </row>
    <row r="58">
      <c r="A58" s="2" t="str">
        <f t="array" ref="A58">IF(E58="","",XLOOKUP(D58,'Validaciones Cotizador'!C:C,'Validaciones Cotizador'!A:A,"",0,1))</f>
        <v/>
      </c>
      <c r="B58" s="2" t="str">
        <f t="array" ref="B58">IF(F58="","",XLOOKUP(F58,Productos!E:E,Productos!G:G,"",0,1))</f>
        <v/>
      </c>
      <c r="C58" s="2" t="str">
        <f>IF(A58="","",SUMIFS('Validaciones Cotizador'!B:B,'Validaciones Cotizador'!C:C,D58,'Validaciones Cotizador'!A:A,A58))</f>
        <v/>
      </c>
      <c r="D58" s="4" t="str">
        <f>IFERROR(__xludf.DUMMYFUNCTION("IF(OR(F57=""Finalizar"",F57="""",F57=""Selecciona..""),"""",IF(OR(F57=""-"",INDEX(filter(Familias!F:F,Familias!D:D=A57,Familias!E:E=C57),1)=""O""),D57+1,D57))"),"")</f>
        <v/>
      </c>
      <c r="E58" s="2" t="str">
        <f>IF(OR(F58="",F58="Selecciona.."),"",IF(D58="Implemento",SUMIF(Implementos!B:B,F58,Implementos!A:A),SUMIF(Productos!E:E,F58,Productos!A:A)))</f>
        <v/>
      </c>
      <c r="F58" s="2" t="str">
        <f t="shared" si="2"/>
        <v/>
      </c>
      <c r="G58" s="10" t="str">
        <f t="array" ref="G58">IF(OR(F58="",F58="-",F58="Selecciona..",F58="Finalizar"),"",IF(A58="Rodados",XLOOKUP(B58,'Validaciones Cotizador'!I:I,'Validaciones Cotizador'!J:J,0,0,1),1))</f>
        <v/>
      </c>
      <c r="H58" s="11" t="str">
        <f>IF(OR(F58="",F58="Selecciona.."),"",SUMIF(Precio_Productos!K:K,E58,Precio_Productos!J:J)*G58)</f>
        <v/>
      </c>
      <c r="I58" s="4" t="str">
        <f t="array" ref="I58">IF($E58="","", XLOOKUP(SUMIFS(Prod_Prop!$A:$A,Prod_Prop!$B:$B,$E58,Prod_Prop!$H:$H,I$1,Prod_Prop!$I:$I,"Exacto"),Prod_Prop!$A:$A,Prod_Prop!$J:$J,"",0,1))</f>
        <v/>
      </c>
      <c r="J58" s="4" t="str">
        <f t="array" ref="J58">IF($E58="","", XLOOKUP(SUMIFS(Prod_Prop!$A:$A,Prod_Prop!$B:$B,$E58,Prod_Prop!$H:$H,J$1,Prod_Prop!$I:$I,"Exacto"),Prod_Prop!$A:$A,Prod_Prop!$J:$J,"",0,1))</f>
        <v/>
      </c>
      <c r="K58" s="4" t="str">
        <f t="array" ref="K58">IF($E58="","", XLOOKUP(SUMIFS(Prod_Prop!$A:$A,Prod_Prop!$B:$B,$E58,Prod_Prop!$H:$H,K$1,Prod_Prop!$I:$I,"Exacto"),Prod_Prop!$A:$A,Prod_Prop!$J:$J,"",0,1))</f>
        <v/>
      </c>
      <c r="L58" s="4" t="str">
        <f t="array" ref="L58">IF($E58="","", XLOOKUP(SUMIFS(Prod_Prop!$A:$A,Prod_Prop!$B:$B,$E58,Prod_Prop!$H:$H,L$1,Prod_Prop!$I:$I,"Exacto"),Prod_Prop!$A:$A,Prod_Prop!$J:$J,"",0,1))</f>
        <v/>
      </c>
      <c r="M58" s="4" t="str">
        <f t="array" ref="M58">IF($E58="","", XLOOKUP(SUMIFS(Prod_Prop!$A:$A,Prod_Prop!$B:$B,$E58,Prod_Prop!$H:$H,M$1,Prod_Prop!$I:$I,"Exacto"),Prod_Prop!$A:$A,Prod_Prop!$J:$J,"",0,1))</f>
        <v/>
      </c>
      <c r="N58" s="4" t="str">
        <f t="array" ref="N58">IF($E58="","", XLOOKUP(SUMIFS(Prod_Prop!$A:$A,Prod_Prop!$B:$B,$E58,Prod_Prop!$H:$H,N$1,Prod_Prop!$I:$I,"Exacto"),Prod_Prop!$A:$A,Prod_Prop!$J:$J,"",0,1))</f>
        <v/>
      </c>
      <c r="O58" s="4" t="str">
        <f t="array" ref="O58">IF($E58="","", XLOOKUP(SUMIFS(Prod_Prop!$A:$A,Prod_Prop!$B:$B,$E58,Prod_Prop!$H:$H,O$1,Prod_Prop!$I:$I,"Exacto"),Prod_Prop!$A:$A,Prod_Prop!$J:$J,"",0,1))</f>
        <v/>
      </c>
      <c r="P58" s="4" t="str">
        <f t="array" ref="P58">IF($E58="","", XLOOKUP(SUMIFS(Prod_Prop!$A:$A,Prod_Prop!$B:$B,$E58,Prod_Prop!$H:$H,P$1,Prod_Prop!$I:$I,"Exacto"),Prod_Prop!$A:$A,Prod_Prop!$J:$J,"",0,1))</f>
        <v/>
      </c>
      <c r="Q58" s="4" t="str">
        <f t="array" ref="Q58">IF($E58="","", XLOOKUP(SUMIFS(Prod_Prop!$A:$A,Prod_Prop!$B:$B,$E58,Prod_Prop!$H:$H,Q$1,Prod_Prop!$I:$I,"Exacto"),Prod_Prop!$A:$A,Prod_Prop!$J:$J,"",0,1))</f>
        <v/>
      </c>
      <c r="R58" s="4" t="str">
        <f t="array" ref="R58">IF($E58="","", XLOOKUP(SUMIFS(Prod_Prop!$A:$A,Prod_Prop!$B:$B,$E58,Prod_Prop!$H:$H,R$1,Prod_Prop!$I:$I,"Exacto"),Prod_Prop!$A:$A,Prod_Prop!$J:$J,"",0,1))</f>
        <v/>
      </c>
      <c r="S58" s="4" t="str">
        <f t="array" ref="S58">IF($E58="","", XLOOKUP(SUMIFS(Prod_Prop!$A:$A,Prod_Prop!$B:$B,$E58,Prod_Prop!$H:$H,S$1,Prod_Prop!$I:$I,"Exacto"),Prod_Prop!$A:$A,Prod_Prop!$J:$J,"",0,1))</f>
        <v/>
      </c>
      <c r="T58" s="4" t="str">
        <f t="array" ref="T58">IF($E58="","", XLOOKUP(SUMIFS(Prod_Prop!$A:$A,Prod_Prop!$B:$B,$E58,Prod_Prop!$H:$H,T$1,Prod_Prop!$I:$I,"Exacto"),Prod_Prop!$A:$A,Prod_Prop!$J:$J,"",0,1))</f>
        <v/>
      </c>
      <c r="U58" s="4" t="str">
        <f t="array" ref="U58">IF($E58="","", XLOOKUP(SUMIFS(Prod_Prop!$A:$A,Prod_Prop!$B:$B,$E58,Prod_Prop!$H:$H,U$1,Prod_Prop!$I:$I,"Exacto"),Prod_Prop!$A:$A,Prod_Prop!$J:$J,"",0,1))</f>
        <v/>
      </c>
      <c r="V58" s="4" t="str">
        <f t="array" ref="V58">IF($E58="","", XLOOKUP(SUMIFS(Prod_Prop!$A:$A,Prod_Prop!$B:$B,$E58,Prod_Prop!$H:$H,V$1,Prod_Prop!$I:$I,"Exacto"),Prod_Prop!$A:$A,Prod_Prop!$J:$J,"",0,1))</f>
        <v/>
      </c>
      <c r="X58" s="3" t="str">
        <f>IFERROR(__xludf.DUMMYFUNCTION("IF(D58="""","""",IFERROR(TRANSPOSE(FILTER('Validaciones Cotizador'!U:U,'Validaciones Cotizador'!O:O=D58,'Validaciones Cotizador'!T:T=""x"")),""Finalizar""))"),"")</f>
        <v/>
      </c>
    </row>
    <row r="59">
      <c r="A59" s="2" t="str">
        <f t="array" ref="A59">IF(E59="","",XLOOKUP(D59,'Validaciones Cotizador'!C:C,'Validaciones Cotizador'!A:A,"",0,1))</f>
        <v/>
      </c>
      <c r="B59" s="2" t="str">
        <f t="array" ref="B59">IF(F59="","",XLOOKUP(F59,Productos!E:E,Productos!G:G,"",0,1))</f>
        <v/>
      </c>
      <c r="C59" s="2" t="str">
        <f>IF(A59="","",SUMIFS('Validaciones Cotizador'!B:B,'Validaciones Cotizador'!C:C,D59,'Validaciones Cotizador'!A:A,A59))</f>
        <v/>
      </c>
      <c r="D59" s="4" t="str">
        <f>IFERROR(__xludf.DUMMYFUNCTION("IF(OR(F58=""Finalizar"",F58="""",F58=""Selecciona..""),"""",IF(OR(F58=""-"",INDEX(filter(Familias!F:F,Familias!D:D=A58,Familias!E:E=C58),1)=""O""),D58+1,D58))"),"")</f>
        <v/>
      </c>
      <c r="E59" s="2" t="str">
        <f>IF(OR(F59="",F59="Selecciona.."),"",IF(D59="Implemento",SUMIF(Implementos!B:B,F59,Implementos!A:A),SUMIF(Productos!E:E,F59,Productos!A:A)))</f>
        <v/>
      </c>
      <c r="F59" s="2" t="str">
        <f t="shared" si="2"/>
        <v/>
      </c>
      <c r="G59" s="10" t="str">
        <f t="array" ref="G59">IF(OR(F59="",F59="-",F59="Selecciona..",F59="Finalizar"),"",IF(A59="Rodados",XLOOKUP(B59,'Validaciones Cotizador'!I:I,'Validaciones Cotizador'!J:J,0,0,1),1))</f>
        <v/>
      </c>
      <c r="H59" s="11" t="str">
        <f>IF(OR(F59="",F59="Selecciona.."),"",SUMIF(Precio_Productos!K:K,E59,Precio_Productos!J:J)*G59)</f>
        <v/>
      </c>
      <c r="I59" s="4" t="str">
        <f t="array" ref="I59">IF($E59="","", XLOOKUP(SUMIFS(Prod_Prop!$A:$A,Prod_Prop!$B:$B,$E59,Prod_Prop!$H:$H,I$1,Prod_Prop!$I:$I,"Exacto"),Prod_Prop!$A:$A,Prod_Prop!$J:$J,"",0,1))</f>
        <v/>
      </c>
      <c r="J59" s="4" t="str">
        <f t="array" ref="J59">IF($E59="","", XLOOKUP(SUMIFS(Prod_Prop!$A:$A,Prod_Prop!$B:$B,$E59,Prod_Prop!$H:$H,J$1,Prod_Prop!$I:$I,"Exacto"),Prod_Prop!$A:$A,Prod_Prop!$J:$J,"",0,1))</f>
        <v/>
      </c>
      <c r="K59" s="4" t="str">
        <f t="array" ref="K59">IF($E59="","", XLOOKUP(SUMIFS(Prod_Prop!$A:$A,Prod_Prop!$B:$B,$E59,Prod_Prop!$H:$H,K$1,Prod_Prop!$I:$I,"Exacto"),Prod_Prop!$A:$A,Prod_Prop!$J:$J,"",0,1))</f>
        <v/>
      </c>
      <c r="L59" s="4" t="str">
        <f t="array" ref="L59">IF($E59="","", XLOOKUP(SUMIFS(Prod_Prop!$A:$A,Prod_Prop!$B:$B,$E59,Prod_Prop!$H:$H,L$1,Prod_Prop!$I:$I,"Exacto"),Prod_Prop!$A:$A,Prod_Prop!$J:$J,"",0,1))</f>
        <v/>
      </c>
      <c r="M59" s="4" t="str">
        <f t="array" ref="M59">IF($E59="","", XLOOKUP(SUMIFS(Prod_Prop!$A:$A,Prod_Prop!$B:$B,$E59,Prod_Prop!$H:$H,M$1,Prod_Prop!$I:$I,"Exacto"),Prod_Prop!$A:$A,Prod_Prop!$J:$J,"",0,1))</f>
        <v/>
      </c>
      <c r="N59" s="4" t="str">
        <f t="array" ref="N59">IF($E59="","", XLOOKUP(SUMIFS(Prod_Prop!$A:$A,Prod_Prop!$B:$B,$E59,Prod_Prop!$H:$H,N$1,Prod_Prop!$I:$I,"Exacto"),Prod_Prop!$A:$A,Prod_Prop!$J:$J,"",0,1))</f>
        <v/>
      </c>
      <c r="O59" s="4" t="str">
        <f t="array" ref="O59">IF($E59="","", XLOOKUP(SUMIFS(Prod_Prop!$A:$A,Prod_Prop!$B:$B,$E59,Prod_Prop!$H:$H,O$1,Prod_Prop!$I:$I,"Exacto"),Prod_Prop!$A:$A,Prod_Prop!$J:$J,"",0,1))</f>
        <v/>
      </c>
      <c r="P59" s="4" t="str">
        <f t="array" ref="P59">IF($E59="","", XLOOKUP(SUMIFS(Prod_Prop!$A:$A,Prod_Prop!$B:$B,$E59,Prod_Prop!$H:$H,P$1,Prod_Prop!$I:$I,"Exacto"),Prod_Prop!$A:$A,Prod_Prop!$J:$J,"",0,1))</f>
        <v/>
      </c>
      <c r="Q59" s="4" t="str">
        <f t="array" ref="Q59">IF($E59="","", XLOOKUP(SUMIFS(Prod_Prop!$A:$A,Prod_Prop!$B:$B,$E59,Prod_Prop!$H:$H,Q$1,Prod_Prop!$I:$I,"Exacto"),Prod_Prop!$A:$A,Prod_Prop!$J:$J,"",0,1))</f>
        <v/>
      </c>
      <c r="R59" s="4" t="str">
        <f t="array" ref="R59">IF($E59="","", XLOOKUP(SUMIFS(Prod_Prop!$A:$A,Prod_Prop!$B:$B,$E59,Prod_Prop!$H:$H,R$1,Prod_Prop!$I:$I,"Exacto"),Prod_Prop!$A:$A,Prod_Prop!$J:$J,"",0,1))</f>
        <v/>
      </c>
      <c r="S59" s="4" t="str">
        <f t="array" ref="S59">IF($E59="","", XLOOKUP(SUMIFS(Prod_Prop!$A:$A,Prod_Prop!$B:$B,$E59,Prod_Prop!$H:$H,S$1,Prod_Prop!$I:$I,"Exacto"),Prod_Prop!$A:$A,Prod_Prop!$J:$J,"",0,1))</f>
        <v/>
      </c>
      <c r="T59" s="4" t="str">
        <f t="array" ref="T59">IF($E59="","", XLOOKUP(SUMIFS(Prod_Prop!$A:$A,Prod_Prop!$B:$B,$E59,Prod_Prop!$H:$H,T$1,Prod_Prop!$I:$I,"Exacto"),Prod_Prop!$A:$A,Prod_Prop!$J:$J,"",0,1))</f>
        <v/>
      </c>
      <c r="U59" s="4" t="str">
        <f t="array" ref="U59">IF($E59="","", XLOOKUP(SUMIFS(Prod_Prop!$A:$A,Prod_Prop!$B:$B,$E59,Prod_Prop!$H:$H,U$1,Prod_Prop!$I:$I,"Exacto"),Prod_Prop!$A:$A,Prod_Prop!$J:$J,"",0,1))</f>
        <v/>
      </c>
      <c r="V59" s="4" t="str">
        <f t="array" ref="V59">IF($E59="","", XLOOKUP(SUMIFS(Prod_Prop!$A:$A,Prod_Prop!$B:$B,$E59,Prod_Prop!$H:$H,V$1,Prod_Prop!$I:$I,"Exacto"),Prod_Prop!$A:$A,Prod_Prop!$J:$J,"",0,1))</f>
        <v/>
      </c>
      <c r="X59" s="3" t="str">
        <f>IFERROR(__xludf.DUMMYFUNCTION("IF(D59="""","""",IFERROR(TRANSPOSE(FILTER('Validaciones Cotizador'!U:U,'Validaciones Cotizador'!O:O=D59,'Validaciones Cotizador'!T:T=""x"")),""Finalizar""))"),"")</f>
        <v/>
      </c>
    </row>
    <row r="60">
      <c r="A60" s="2" t="str">
        <f t="array" ref="A60">IF(E60="","",XLOOKUP(D60,'Validaciones Cotizador'!C:C,'Validaciones Cotizador'!A:A,"",0,1))</f>
        <v/>
      </c>
      <c r="B60" s="2" t="str">
        <f t="array" ref="B60">IF(F60="","",XLOOKUP(F60,Productos!E:E,Productos!G:G,"",0,1))</f>
        <v/>
      </c>
      <c r="C60" s="2" t="str">
        <f>IF(A60="","",SUMIFS('Validaciones Cotizador'!B:B,'Validaciones Cotizador'!C:C,D60,'Validaciones Cotizador'!A:A,A60))</f>
        <v/>
      </c>
      <c r="D60" s="4" t="str">
        <f>IFERROR(__xludf.DUMMYFUNCTION("IF(OR(F59=""Finalizar"",F59="""",F59=""Selecciona..""),"""",IF(OR(F59=""-"",INDEX(filter(Familias!F:F,Familias!D:D=A59,Familias!E:E=C59),1)=""O""),D59+1,D59))"),"")</f>
        <v/>
      </c>
      <c r="E60" s="2" t="str">
        <f>IF(OR(F60="",F60="Selecciona.."),"",IF(D60="Implemento",SUMIF(Implementos!B:B,F60,Implementos!A:A),SUMIF(Productos!E:E,F60,Productos!A:A)))</f>
        <v/>
      </c>
      <c r="F60" s="2" t="str">
        <f t="shared" si="2"/>
        <v/>
      </c>
      <c r="G60" s="10" t="str">
        <f t="array" ref="G60">IF(OR(F60="",F60="-",F60="Selecciona..",F60="Finalizar"),"",IF(A60="Rodados",XLOOKUP(B60,'Validaciones Cotizador'!I:I,'Validaciones Cotizador'!J:J,0,0,1),1))</f>
        <v/>
      </c>
      <c r="H60" s="11" t="str">
        <f>IF(OR(F60="",F60="Selecciona.."),"",SUMIF(Precio_Productos!K:K,E60,Precio_Productos!J:J)*G60)</f>
        <v/>
      </c>
      <c r="I60" s="4" t="str">
        <f t="array" ref="I60">IF($E60="","", XLOOKUP(SUMIFS(Prod_Prop!$A:$A,Prod_Prop!$B:$B,$E60,Prod_Prop!$H:$H,I$1,Prod_Prop!$I:$I,"Exacto"),Prod_Prop!$A:$A,Prod_Prop!$J:$J,"",0,1))</f>
        <v/>
      </c>
      <c r="J60" s="4" t="str">
        <f t="array" ref="J60">IF($E60="","", XLOOKUP(SUMIFS(Prod_Prop!$A:$A,Prod_Prop!$B:$B,$E60,Prod_Prop!$H:$H,J$1,Prod_Prop!$I:$I,"Exacto"),Prod_Prop!$A:$A,Prod_Prop!$J:$J,"",0,1))</f>
        <v/>
      </c>
      <c r="K60" s="4" t="str">
        <f t="array" ref="K60">IF($E60="","", XLOOKUP(SUMIFS(Prod_Prop!$A:$A,Prod_Prop!$B:$B,$E60,Prod_Prop!$H:$H,K$1,Prod_Prop!$I:$I,"Exacto"),Prod_Prop!$A:$A,Prod_Prop!$J:$J,"",0,1))</f>
        <v/>
      </c>
      <c r="L60" s="4" t="str">
        <f t="array" ref="L60">IF($E60="","", XLOOKUP(SUMIFS(Prod_Prop!$A:$A,Prod_Prop!$B:$B,$E60,Prod_Prop!$H:$H,L$1,Prod_Prop!$I:$I,"Exacto"),Prod_Prop!$A:$A,Prod_Prop!$J:$J,"",0,1))</f>
        <v/>
      </c>
      <c r="M60" s="4" t="str">
        <f t="array" ref="M60">IF($E60="","", XLOOKUP(SUMIFS(Prod_Prop!$A:$A,Prod_Prop!$B:$B,$E60,Prod_Prop!$H:$H,M$1,Prod_Prop!$I:$I,"Exacto"),Prod_Prop!$A:$A,Prod_Prop!$J:$J,"",0,1))</f>
        <v/>
      </c>
      <c r="N60" s="4" t="str">
        <f t="array" ref="N60">IF($E60="","", XLOOKUP(SUMIFS(Prod_Prop!$A:$A,Prod_Prop!$B:$B,$E60,Prod_Prop!$H:$H,N$1,Prod_Prop!$I:$I,"Exacto"),Prod_Prop!$A:$A,Prod_Prop!$J:$J,"",0,1))</f>
        <v/>
      </c>
      <c r="O60" s="4" t="str">
        <f t="array" ref="O60">IF($E60="","", XLOOKUP(SUMIFS(Prod_Prop!$A:$A,Prod_Prop!$B:$B,$E60,Prod_Prop!$H:$H,O$1,Prod_Prop!$I:$I,"Exacto"),Prod_Prop!$A:$A,Prod_Prop!$J:$J,"",0,1))</f>
        <v/>
      </c>
      <c r="P60" s="4" t="str">
        <f t="array" ref="P60">IF($E60="","", XLOOKUP(SUMIFS(Prod_Prop!$A:$A,Prod_Prop!$B:$B,$E60,Prod_Prop!$H:$H,P$1,Prod_Prop!$I:$I,"Exacto"),Prod_Prop!$A:$A,Prod_Prop!$J:$J,"",0,1))</f>
        <v/>
      </c>
      <c r="Q60" s="4" t="str">
        <f t="array" ref="Q60">IF($E60="","", XLOOKUP(SUMIFS(Prod_Prop!$A:$A,Prod_Prop!$B:$B,$E60,Prod_Prop!$H:$H,Q$1,Prod_Prop!$I:$I,"Exacto"),Prod_Prop!$A:$A,Prod_Prop!$J:$J,"",0,1))</f>
        <v/>
      </c>
      <c r="R60" s="4" t="str">
        <f t="array" ref="R60">IF($E60="","", XLOOKUP(SUMIFS(Prod_Prop!$A:$A,Prod_Prop!$B:$B,$E60,Prod_Prop!$H:$H,R$1,Prod_Prop!$I:$I,"Exacto"),Prod_Prop!$A:$A,Prod_Prop!$J:$J,"",0,1))</f>
        <v/>
      </c>
      <c r="S60" s="4" t="str">
        <f t="array" ref="S60">IF($E60="","", XLOOKUP(SUMIFS(Prod_Prop!$A:$A,Prod_Prop!$B:$B,$E60,Prod_Prop!$H:$H,S$1,Prod_Prop!$I:$I,"Exacto"),Prod_Prop!$A:$A,Prod_Prop!$J:$J,"",0,1))</f>
        <v/>
      </c>
      <c r="T60" s="4" t="str">
        <f t="array" ref="T60">IF($E60="","", XLOOKUP(SUMIFS(Prod_Prop!$A:$A,Prod_Prop!$B:$B,$E60,Prod_Prop!$H:$H,T$1,Prod_Prop!$I:$I,"Exacto"),Prod_Prop!$A:$A,Prod_Prop!$J:$J,"",0,1))</f>
        <v/>
      </c>
      <c r="U60" s="4" t="str">
        <f t="array" ref="U60">IF($E60="","", XLOOKUP(SUMIFS(Prod_Prop!$A:$A,Prod_Prop!$B:$B,$E60,Prod_Prop!$H:$H,U$1,Prod_Prop!$I:$I,"Exacto"),Prod_Prop!$A:$A,Prod_Prop!$J:$J,"",0,1))</f>
        <v/>
      </c>
      <c r="V60" s="4" t="str">
        <f t="array" ref="V60">IF($E60="","", XLOOKUP(SUMIFS(Prod_Prop!$A:$A,Prod_Prop!$B:$B,$E60,Prod_Prop!$H:$H,V$1,Prod_Prop!$I:$I,"Exacto"),Prod_Prop!$A:$A,Prod_Prop!$J:$J,"",0,1))</f>
        <v/>
      </c>
      <c r="X60" s="3" t="str">
        <f>IFERROR(__xludf.DUMMYFUNCTION("IF(D60="""","""",IFERROR(TRANSPOSE(FILTER('Validaciones Cotizador'!U:U,'Validaciones Cotizador'!O:O=D60,'Validaciones Cotizador'!T:T=""x"")),""Finalizar""))"),"")</f>
        <v/>
      </c>
    </row>
    <row r="61">
      <c r="A61" s="2" t="str">
        <f t="array" ref="A61">IF(E61="","",XLOOKUP(D61,'Validaciones Cotizador'!C:C,'Validaciones Cotizador'!A:A,"",0,1))</f>
        <v/>
      </c>
      <c r="B61" s="2" t="str">
        <f t="array" ref="B61">IF(F61="","",XLOOKUP(F61,Productos!E:E,Productos!G:G,"",0,1))</f>
        <v/>
      </c>
      <c r="C61" s="2" t="str">
        <f>IF(A61="","",SUMIFS('Validaciones Cotizador'!B:B,'Validaciones Cotizador'!C:C,D61,'Validaciones Cotizador'!A:A,A61))</f>
        <v/>
      </c>
      <c r="D61" s="4" t="str">
        <f>IFERROR(__xludf.DUMMYFUNCTION("IF(OR(F60=""Finalizar"",F60="""",F60=""Selecciona..""),"""",IF(OR(F60=""-"",INDEX(filter(Familias!F:F,Familias!D:D=A60,Familias!E:E=C60),1)=""O""),D60+1,D60))"),"")</f>
        <v/>
      </c>
      <c r="E61" s="2" t="str">
        <f>IF(OR(F61="",F61="Selecciona.."),"",IF(D61="Implemento",SUMIF(Implementos!B:B,F61,Implementos!A:A),SUMIF(Productos!E:E,F61,Productos!A:A)))</f>
        <v/>
      </c>
      <c r="F61" s="2" t="str">
        <f t="shared" si="2"/>
        <v/>
      </c>
      <c r="G61" s="10" t="str">
        <f t="array" ref="G61">IF(OR(F61="",F61="-",F61="Selecciona..",F61="Finalizar"),"",IF(A61="Rodados",XLOOKUP(B61,'Validaciones Cotizador'!I:I,'Validaciones Cotizador'!J:J,0,0,1),1))</f>
        <v/>
      </c>
      <c r="H61" s="11" t="str">
        <f>IF(OR(F61="",F61="Selecciona.."),"",SUMIF(Precio_Productos!K:K,E61,Precio_Productos!J:J)*G61)</f>
        <v/>
      </c>
      <c r="I61" s="4" t="str">
        <f t="array" ref="I61">IF($E61="","", XLOOKUP(SUMIFS(Prod_Prop!$A:$A,Prod_Prop!$B:$B,$E61,Prod_Prop!$H:$H,I$1,Prod_Prop!$I:$I,"Exacto"),Prod_Prop!$A:$A,Prod_Prop!$J:$J,"",0,1))</f>
        <v/>
      </c>
      <c r="J61" s="4" t="str">
        <f t="array" ref="J61">IF($E61="","", XLOOKUP(SUMIFS(Prod_Prop!$A:$A,Prod_Prop!$B:$B,$E61,Prod_Prop!$H:$H,J$1,Prod_Prop!$I:$I,"Exacto"),Prod_Prop!$A:$A,Prod_Prop!$J:$J,"",0,1))</f>
        <v/>
      </c>
      <c r="K61" s="4" t="str">
        <f t="array" ref="K61">IF($E61="","", XLOOKUP(SUMIFS(Prod_Prop!$A:$A,Prod_Prop!$B:$B,$E61,Prod_Prop!$H:$H,K$1,Prod_Prop!$I:$I,"Exacto"),Prod_Prop!$A:$A,Prod_Prop!$J:$J,"",0,1))</f>
        <v/>
      </c>
      <c r="L61" s="4" t="str">
        <f t="array" ref="L61">IF($E61="","", XLOOKUP(SUMIFS(Prod_Prop!$A:$A,Prod_Prop!$B:$B,$E61,Prod_Prop!$H:$H,L$1,Prod_Prop!$I:$I,"Exacto"),Prod_Prop!$A:$A,Prod_Prop!$J:$J,"",0,1))</f>
        <v/>
      </c>
      <c r="M61" s="4" t="str">
        <f t="array" ref="M61">IF($E61="","", XLOOKUP(SUMIFS(Prod_Prop!$A:$A,Prod_Prop!$B:$B,$E61,Prod_Prop!$H:$H,M$1,Prod_Prop!$I:$I,"Exacto"),Prod_Prop!$A:$A,Prod_Prop!$J:$J,"",0,1))</f>
        <v/>
      </c>
      <c r="N61" s="4" t="str">
        <f t="array" ref="N61">IF($E61="","", XLOOKUP(SUMIFS(Prod_Prop!$A:$A,Prod_Prop!$B:$B,$E61,Prod_Prop!$H:$H,N$1,Prod_Prop!$I:$I,"Exacto"),Prod_Prop!$A:$A,Prod_Prop!$J:$J,"",0,1))</f>
        <v/>
      </c>
      <c r="O61" s="4" t="str">
        <f t="array" ref="O61">IF($E61="","", XLOOKUP(SUMIFS(Prod_Prop!$A:$A,Prod_Prop!$B:$B,$E61,Prod_Prop!$H:$H,O$1,Prod_Prop!$I:$I,"Exacto"),Prod_Prop!$A:$A,Prod_Prop!$J:$J,"",0,1))</f>
        <v/>
      </c>
      <c r="P61" s="4" t="str">
        <f t="array" ref="P61">IF($E61="","", XLOOKUP(SUMIFS(Prod_Prop!$A:$A,Prod_Prop!$B:$B,$E61,Prod_Prop!$H:$H,P$1,Prod_Prop!$I:$I,"Exacto"),Prod_Prop!$A:$A,Prod_Prop!$J:$J,"",0,1))</f>
        <v/>
      </c>
      <c r="Q61" s="4" t="str">
        <f t="array" ref="Q61">IF($E61="","", XLOOKUP(SUMIFS(Prod_Prop!$A:$A,Prod_Prop!$B:$B,$E61,Prod_Prop!$H:$H,Q$1,Prod_Prop!$I:$I,"Exacto"),Prod_Prop!$A:$A,Prod_Prop!$J:$J,"",0,1))</f>
        <v/>
      </c>
      <c r="R61" s="4" t="str">
        <f t="array" ref="R61">IF($E61="","", XLOOKUP(SUMIFS(Prod_Prop!$A:$A,Prod_Prop!$B:$B,$E61,Prod_Prop!$H:$H,R$1,Prod_Prop!$I:$I,"Exacto"),Prod_Prop!$A:$A,Prod_Prop!$J:$J,"",0,1))</f>
        <v/>
      </c>
      <c r="S61" s="4" t="str">
        <f t="array" ref="S61">IF($E61="","", XLOOKUP(SUMIFS(Prod_Prop!$A:$A,Prod_Prop!$B:$B,$E61,Prod_Prop!$H:$H,S$1,Prod_Prop!$I:$I,"Exacto"),Prod_Prop!$A:$A,Prod_Prop!$J:$J,"",0,1))</f>
        <v/>
      </c>
      <c r="T61" s="4" t="str">
        <f t="array" ref="T61">IF($E61="","", XLOOKUP(SUMIFS(Prod_Prop!$A:$A,Prod_Prop!$B:$B,$E61,Prod_Prop!$H:$H,T$1,Prod_Prop!$I:$I,"Exacto"),Prod_Prop!$A:$A,Prod_Prop!$J:$J,"",0,1))</f>
        <v/>
      </c>
      <c r="U61" s="4" t="str">
        <f t="array" ref="U61">IF($E61="","", XLOOKUP(SUMIFS(Prod_Prop!$A:$A,Prod_Prop!$B:$B,$E61,Prod_Prop!$H:$H,U$1,Prod_Prop!$I:$I,"Exacto"),Prod_Prop!$A:$A,Prod_Prop!$J:$J,"",0,1))</f>
        <v/>
      </c>
      <c r="V61" s="4" t="str">
        <f t="array" ref="V61">IF($E61="","", XLOOKUP(SUMIFS(Prod_Prop!$A:$A,Prod_Prop!$B:$B,$E61,Prod_Prop!$H:$H,V$1,Prod_Prop!$I:$I,"Exacto"),Prod_Prop!$A:$A,Prod_Prop!$J:$J,"",0,1))</f>
        <v/>
      </c>
      <c r="X61" s="3" t="str">
        <f>IFERROR(__xludf.DUMMYFUNCTION("IF(D61="""","""",IFERROR(TRANSPOSE(FILTER('Validaciones Cotizador'!U:U,'Validaciones Cotizador'!O:O=D61,'Validaciones Cotizador'!T:T=""x"")),""Finalizar""))"),"")</f>
        <v/>
      </c>
    </row>
    <row r="62">
      <c r="A62" s="2" t="str">
        <f t="array" ref="A62">IF(E62="","",XLOOKUP(D62,'Validaciones Cotizador'!C:C,'Validaciones Cotizador'!A:A,"",0,1))</f>
        <v/>
      </c>
      <c r="B62" s="2" t="str">
        <f t="array" ref="B62">IF(F62="","",XLOOKUP(F62,Productos!E:E,Productos!G:G,"",0,1))</f>
        <v/>
      </c>
      <c r="C62" s="2" t="str">
        <f>IF(A62="","",SUMIFS('Validaciones Cotizador'!B:B,'Validaciones Cotizador'!C:C,D62,'Validaciones Cotizador'!A:A,A62))</f>
        <v/>
      </c>
      <c r="D62" s="4" t="str">
        <f>IFERROR(__xludf.DUMMYFUNCTION("IF(OR(F61=""Finalizar"",F61="""",F61=""Selecciona..""),"""",IF(OR(F61=""-"",INDEX(filter(Familias!F:F,Familias!D:D=A61,Familias!E:E=C61),1)=""O""),D61+1,D61))"),"")</f>
        <v/>
      </c>
      <c r="E62" s="2" t="str">
        <f>IF(OR(F62="",F62="Selecciona.."),"",IF(D62="Implemento",SUMIF(Implementos!B:B,F62,Implementos!A:A),SUMIF(Productos!E:E,F62,Productos!A:A)))</f>
        <v/>
      </c>
      <c r="F62" s="2" t="str">
        <f t="shared" si="2"/>
        <v/>
      </c>
      <c r="G62" s="10" t="str">
        <f t="array" ref="G62">IF(OR(F62="",F62="-",F62="Selecciona..",F62="Finalizar"),"",IF(A62="Rodados",XLOOKUP(B62,'Validaciones Cotizador'!I:I,'Validaciones Cotizador'!J:J,0,0,1),1))</f>
        <v/>
      </c>
      <c r="H62" s="11" t="str">
        <f>IF(OR(F62="",F62="Selecciona.."),"",SUMIF(Precio_Productos!K:K,E62,Precio_Productos!J:J)*G62)</f>
        <v/>
      </c>
      <c r="I62" s="4" t="str">
        <f t="array" ref="I62">IF($E62="","", XLOOKUP(SUMIFS(Prod_Prop!$A:$A,Prod_Prop!$B:$B,$E62,Prod_Prop!$H:$H,I$1,Prod_Prop!$I:$I,"Exacto"),Prod_Prop!$A:$A,Prod_Prop!$J:$J,"",0,1))</f>
        <v/>
      </c>
      <c r="J62" s="4" t="str">
        <f t="array" ref="J62">IF($E62="","", XLOOKUP(SUMIFS(Prod_Prop!$A:$A,Prod_Prop!$B:$B,$E62,Prod_Prop!$H:$H,J$1,Prod_Prop!$I:$I,"Exacto"),Prod_Prop!$A:$A,Prod_Prop!$J:$J,"",0,1))</f>
        <v/>
      </c>
      <c r="K62" s="4" t="str">
        <f t="array" ref="K62">IF($E62="","", XLOOKUP(SUMIFS(Prod_Prop!$A:$A,Prod_Prop!$B:$B,$E62,Prod_Prop!$H:$H,K$1,Prod_Prop!$I:$I,"Exacto"),Prod_Prop!$A:$A,Prod_Prop!$J:$J,"",0,1))</f>
        <v/>
      </c>
      <c r="L62" s="4" t="str">
        <f t="array" ref="L62">IF($E62="","", XLOOKUP(SUMIFS(Prod_Prop!$A:$A,Prod_Prop!$B:$B,$E62,Prod_Prop!$H:$H,L$1,Prod_Prop!$I:$I,"Exacto"),Prod_Prop!$A:$A,Prod_Prop!$J:$J,"",0,1))</f>
        <v/>
      </c>
      <c r="M62" s="4" t="str">
        <f t="array" ref="M62">IF($E62="","", XLOOKUP(SUMIFS(Prod_Prop!$A:$A,Prod_Prop!$B:$B,$E62,Prod_Prop!$H:$H,M$1,Prod_Prop!$I:$I,"Exacto"),Prod_Prop!$A:$A,Prod_Prop!$J:$J,"",0,1))</f>
        <v/>
      </c>
      <c r="N62" s="4" t="str">
        <f t="array" ref="N62">IF($E62="","", XLOOKUP(SUMIFS(Prod_Prop!$A:$A,Prod_Prop!$B:$B,$E62,Prod_Prop!$H:$H,N$1,Prod_Prop!$I:$I,"Exacto"),Prod_Prop!$A:$A,Prod_Prop!$J:$J,"",0,1))</f>
        <v/>
      </c>
      <c r="O62" s="4" t="str">
        <f t="array" ref="O62">IF($E62="","", XLOOKUP(SUMIFS(Prod_Prop!$A:$A,Prod_Prop!$B:$B,$E62,Prod_Prop!$H:$H,O$1,Prod_Prop!$I:$I,"Exacto"),Prod_Prop!$A:$A,Prod_Prop!$J:$J,"",0,1))</f>
        <v/>
      </c>
      <c r="P62" s="4" t="str">
        <f t="array" ref="P62">IF($E62="","", XLOOKUP(SUMIFS(Prod_Prop!$A:$A,Prod_Prop!$B:$B,$E62,Prod_Prop!$H:$H,P$1,Prod_Prop!$I:$I,"Exacto"),Prod_Prop!$A:$A,Prod_Prop!$J:$J,"",0,1))</f>
        <v/>
      </c>
      <c r="Q62" s="4" t="str">
        <f t="array" ref="Q62">IF($E62="","", XLOOKUP(SUMIFS(Prod_Prop!$A:$A,Prod_Prop!$B:$B,$E62,Prod_Prop!$H:$H,Q$1,Prod_Prop!$I:$I,"Exacto"),Prod_Prop!$A:$A,Prod_Prop!$J:$J,"",0,1))</f>
        <v/>
      </c>
      <c r="R62" s="4" t="str">
        <f t="array" ref="R62">IF($E62="","", XLOOKUP(SUMIFS(Prod_Prop!$A:$A,Prod_Prop!$B:$B,$E62,Prod_Prop!$H:$H,R$1,Prod_Prop!$I:$I,"Exacto"),Prod_Prop!$A:$A,Prod_Prop!$J:$J,"",0,1))</f>
        <v/>
      </c>
      <c r="S62" s="4" t="str">
        <f t="array" ref="S62">IF($E62="","", XLOOKUP(SUMIFS(Prod_Prop!$A:$A,Prod_Prop!$B:$B,$E62,Prod_Prop!$H:$H,S$1,Prod_Prop!$I:$I,"Exacto"),Prod_Prop!$A:$A,Prod_Prop!$J:$J,"",0,1))</f>
        <v/>
      </c>
      <c r="T62" s="4" t="str">
        <f t="array" ref="T62">IF($E62="","", XLOOKUP(SUMIFS(Prod_Prop!$A:$A,Prod_Prop!$B:$B,$E62,Prod_Prop!$H:$H,T$1,Prod_Prop!$I:$I,"Exacto"),Prod_Prop!$A:$A,Prod_Prop!$J:$J,"",0,1))</f>
        <v/>
      </c>
      <c r="U62" s="4" t="str">
        <f t="array" ref="U62">IF($E62="","", XLOOKUP(SUMIFS(Prod_Prop!$A:$A,Prod_Prop!$B:$B,$E62,Prod_Prop!$H:$H,U$1,Prod_Prop!$I:$I,"Exacto"),Prod_Prop!$A:$A,Prod_Prop!$J:$J,"",0,1))</f>
        <v/>
      </c>
      <c r="V62" s="4" t="str">
        <f t="array" ref="V62">IF($E62="","", XLOOKUP(SUMIFS(Prod_Prop!$A:$A,Prod_Prop!$B:$B,$E62,Prod_Prop!$H:$H,V$1,Prod_Prop!$I:$I,"Exacto"),Prod_Prop!$A:$A,Prod_Prop!$J:$J,"",0,1))</f>
        <v/>
      </c>
      <c r="X62" s="3" t="str">
        <f>IFERROR(__xludf.DUMMYFUNCTION("IF(D62="""","""",IFERROR(TRANSPOSE(FILTER('Validaciones Cotizador'!U:U,'Validaciones Cotizador'!O:O=D62,'Validaciones Cotizador'!T:T=""x"")),""Finalizar""))"),"")</f>
        <v/>
      </c>
    </row>
    <row r="63">
      <c r="A63" s="2" t="str">
        <f t="array" ref="A63">IF(E63="","",XLOOKUP(D63,'Validaciones Cotizador'!C:C,'Validaciones Cotizador'!A:A,"",0,1))</f>
        <v/>
      </c>
      <c r="B63" s="2" t="str">
        <f t="array" ref="B63">IF(F63="","",XLOOKUP(F63,Productos!E:E,Productos!G:G,"",0,1))</f>
        <v/>
      </c>
      <c r="C63" s="2" t="str">
        <f>IF(A63="","",SUMIFS('Validaciones Cotizador'!B:B,'Validaciones Cotizador'!C:C,D63,'Validaciones Cotizador'!A:A,A63))</f>
        <v/>
      </c>
      <c r="D63" s="4" t="str">
        <f>IFERROR(__xludf.DUMMYFUNCTION("IF(OR(F62=""Finalizar"",F62="""",F62=""Selecciona..""),"""",IF(OR(F62=""-"",INDEX(filter(Familias!F:F,Familias!D:D=A62,Familias!E:E=C62),1)=""O""),D62+1,D62))"),"")</f>
        <v/>
      </c>
      <c r="E63" s="2" t="str">
        <f>IF(OR(F63="",F63="Selecciona.."),"",IF(D63="Implemento",SUMIF(Implementos!B:B,F63,Implementos!A:A),SUMIF(Productos!E:E,F63,Productos!A:A)))</f>
        <v/>
      </c>
      <c r="F63" s="2" t="str">
        <f t="shared" si="2"/>
        <v/>
      </c>
      <c r="G63" s="10" t="str">
        <f t="array" ref="G63">IF(OR(F63="",F63="-",F63="Selecciona..",F63="Finalizar"),"",IF(A63="Rodados",XLOOKUP(B63,'Validaciones Cotizador'!I:I,'Validaciones Cotizador'!J:J,0,0,1),1))</f>
        <v/>
      </c>
      <c r="H63" s="11" t="str">
        <f>IF(OR(F63="",F63="Selecciona.."),"",SUMIF(Precio_Productos!K:K,E63,Precio_Productos!J:J)*G63)</f>
        <v/>
      </c>
      <c r="I63" s="4" t="str">
        <f t="array" ref="I63">IF($E63="","", XLOOKUP(SUMIFS(Prod_Prop!$A:$A,Prod_Prop!$B:$B,$E63,Prod_Prop!$H:$H,I$1,Prod_Prop!$I:$I,"Exacto"),Prod_Prop!$A:$A,Prod_Prop!$J:$J,"",0,1))</f>
        <v/>
      </c>
      <c r="J63" s="4" t="str">
        <f t="array" ref="J63">IF($E63="","", XLOOKUP(SUMIFS(Prod_Prop!$A:$A,Prod_Prop!$B:$B,$E63,Prod_Prop!$H:$H,J$1,Prod_Prop!$I:$I,"Exacto"),Prod_Prop!$A:$A,Prod_Prop!$J:$J,"",0,1))</f>
        <v/>
      </c>
      <c r="K63" s="4" t="str">
        <f t="array" ref="K63">IF($E63="","", XLOOKUP(SUMIFS(Prod_Prop!$A:$A,Prod_Prop!$B:$B,$E63,Prod_Prop!$H:$H,K$1,Prod_Prop!$I:$I,"Exacto"),Prod_Prop!$A:$A,Prod_Prop!$J:$J,"",0,1))</f>
        <v/>
      </c>
      <c r="L63" s="4" t="str">
        <f t="array" ref="L63">IF($E63="","", XLOOKUP(SUMIFS(Prod_Prop!$A:$A,Prod_Prop!$B:$B,$E63,Prod_Prop!$H:$H,L$1,Prod_Prop!$I:$I,"Exacto"),Prod_Prop!$A:$A,Prod_Prop!$J:$J,"",0,1))</f>
        <v/>
      </c>
      <c r="M63" s="4" t="str">
        <f t="array" ref="M63">IF($E63="","", XLOOKUP(SUMIFS(Prod_Prop!$A:$A,Prod_Prop!$B:$B,$E63,Prod_Prop!$H:$H,M$1,Prod_Prop!$I:$I,"Exacto"),Prod_Prop!$A:$A,Prod_Prop!$J:$J,"",0,1))</f>
        <v/>
      </c>
      <c r="N63" s="4" t="str">
        <f t="array" ref="N63">IF($E63="","", XLOOKUP(SUMIFS(Prod_Prop!$A:$A,Prod_Prop!$B:$B,$E63,Prod_Prop!$H:$H,N$1,Prod_Prop!$I:$I,"Exacto"),Prod_Prop!$A:$A,Prod_Prop!$J:$J,"",0,1))</f>
        <v/>
      </c>
      <c r="O63" s="4" t="str">
        <f t="array" ref="O63">IF($E63="","", XLOOKUP(SUMIFS(Prod_Prop!$A:$A,Prod_Prop!$B:$B,$E63,Prod_Prop!$H:$H,O$1,Prod_Prop!$I:$I,"Exacto"),Prod_Prop!$A:$A,Prod_Prop!$J:$J,"",0,1))</f>
        <v/>
      </c>
      <c r="P63" s="4" t="str">
        <f t="array" ref="P63">IF($E63="","", XLOOKUP(SUMIFS(Prod_Prop!$A:$A,Prod_Prop!$B:$B,$E63,Prod_Prop!$H:$H,P$1,Prod_Prop!$I:$I,"Exacto"),Prod_Prop!$A:$A,Prod_Prop!$J:$J,"",0,1))</f>
        <v/>
      </c>
      <c r="Q63" s="4" t="str">
        <f t="array" ref="Q63">IF($E63="","", XLOOKUP(SUMIFS(Prod_Prop!$A:$A,Prod_Prop!$B:$B,$E63,Prod_Prop!$H:$H,Q$1,Prod_Prop!$I:$I,"Exacto"),Prod_Prop!$A:$A,Prod_Prop!$J:$J,"",0,1))</f>
        <v/>
      </c>
      <c r="R63" s="4" t="str">
        <f t="array" ref="R63">IF($E63="","", XLOOKUP(SUMIFS(Prod_Prop!$A:$A,Prod_Prop!$B:$B,$E63,Prod_Prop!$H:$H,R$1,Prod_Prop!$I:$I,"Exacto"),Prod_Prop!$A:$A,Prod_Prop!$J:$J,"",0,1))</f>
        <v/>
      </c>
      <c r="S63" s="4" t="str">
        <f t="array" ref="S63">IF($E63="","", XLOOKUP(SUMIFS(Prod_Prop!$A:$A,Prod_Prop!$B:$B,$E63,Prod_Prop!$H:$H,S$1,Prod_Prop!$I:$I,"Exacto"),Prod_Prop!$A:$A,Prod_Prop!$J:$J,"",0,1))</f>
        <v/>
      </c>
      <c r="T63" s="4" t="str">
        <f t="array" ref="T63">IF($E63="","", XLOOKUP(SUMIFS(Prod_Prop!$A:$A,Prod_Prop!$B:$B,$E63,Prod_Prop!$H:$H,T$1,Prod_Prop!$I:$I,"Exacto"),Prod_Prop!$A:$A,Prod_Prop!$J:$J,"",0,1))</f>
        <v/>
      </c>
      <c r="U63" s="4" t="str">
        <f t="array" ref="U63">IF($E63="","", XLOOKUP(SUMIFS(Prod_Prop!$A:$A,Prod_Prop!$B:$B,$E63,Prod_Prop!$H:$H,U$1,Prod_Prop!$I:$I,"Exacto"),Prod_Prop!$A:$A,Prod_Prop!$J:$J,"",0,1))</f>
        <v/>
      </c>
      <c r="V63" s="4" t="str">
        <f t="array" ref="V63">IF($E63="","", XLOOKUP(SUMIFS(Prod_Prop!$A:$A,Prod_Prop!$B:$B,$E63,Prod_Prop!$H:$H,V$1,Prod_Prop!$I:$I,"Exacto"),Prod_Prop!$A:$A,Prod_Prop!$J:$J,"",0,1))</f>
        <v/>
      </c>
      <c r="X63" s="3" t="str">
        <f>IFERROR(__xludf.DUMMYFUNCTION("IF(D63="""","""",IFERROR(TRANSPOSE(FILTER('Validaciones Cotizador'!U:U,'Validaciones Cotizador'!O:O=D63,'Validaciones Cotizador'!T:T=""x"")),""Finalizar""))"),"")</f>
        <v/>
      </c>
    </row>
    <row r="64">
      <c r="A64" s="2" t="str">
        <f t="array" ref="A64">IF(E64="","",XLOOKUP(D64,'Validaciones Cotizador'!C:C,'Validaciones Cotizador'!A:A,"",0,1))</f>
        <v/>
      </c>
      <c r="B64" s="2" t="str">
        <f t="array" ref="B64">IF(F64="","",XLOOKUP(F64,Productos!E:E,Productos!G:G,"",0,1))</f>
        <v/>
      </c>
      <c r="C64" s="2" t="str">
        <f>IF(A64="","",SUMIFS('Validaciones Cotizador'!B:B,'Validaciones Cotizador'!C:C,D64,'Validaciones Cotizador'!A:A,A64))</f>
        <v/>
      </c>
      <c r="D64" s="4" t="str">
        <f>IFERROR(__xludf.DUMMYFUNCTION("IF(OR(F63=""Finalizar"",F63="""",F63=""Selecciona..""),"""",IF(OR(F63=""-"",INDEX(filter(Familias!F:F,Familias!D:D=A63,Familias!E:E=C63),1)=""O""),D63+1,D63))"),"")</f>
        <v/>
      </c>
      <c r="E64" s="2" t="str">
        <f>IF(OR(F64="",F64="Selecciona.."),"",IF(D64="Implemento",SUMIF(Implementos!B:B,F64,Implementos!A:A),SUMIF(Productos!E:E,F64,Productos!A:A)))</f>
        <v/>
      </c>
      <c r="F64" s="2" t="str">
        <f t="shared" si="2"/>
        <v/>
      </c>
      <c r="G64" s="10" t="str">
        <f t="array" ref="G64">IF(OR(F64="",F64="-",F64="Selecciona..",F64="Finalizar"),"",IF(A64="Rodados",XLOOKUP(B64,'Validaciones Cotizador'!I:I,'Validaciones Cotizador'!J:J,0,0,1),1))</f>
        <v/>
      </c>
      <c r="H64" s="11" t="str">
        <f>IF(OR(F64="",F64="Selecciona.."),"",SUMIF(Precio_Productos!K:K,E64,Precio_Productos!J:J)*G64)</f>
        <v/>
      </c>
      <c r="I64" s="4" t="str">
        <f t="array" ref="I64">IF($E64="","", XLOOKUP(SUMIFS(Prod_Prop!$A:$A,Prod_Prop!$B:$B,$E64,Prod_Prop!$H:$H,I$1,Prod_Prop!$I:$I,"Exacto"),Prod_Prop!$A:$A,Prod_Prop!$J:$J,"",0,1))</f>
        <v/>
      </c>
      <c r="J64" s="4" t="str">
        <f t="array" ref="J64">IF($E64="","", XLOOKUP(SUMIFS(Prod_Prop!$A:$A,Prod_Prop!$B:$B,$E64,Prod_Prop!$H:$H,J$1,Prod_Prop!$I:$I,"Exacto"),Prod_Prop!$A:$A,Prod_Prop!$J:$J,"",0,1))</f>
        <v/>
      </c>
      <c r="K64" s="4" t="str">
        <f t="array" ref="K64">IF($E64="","", XLOOKUP(SUMIFS(Prod_Prop!$A:$A,Prod_Prop!$B:$B,$E64,Prod_Prop!$H:$H,K$1,Prod_Prop!$I:$I,"Exacto"),Prod_Prop!$A:$A,Prod_Prop!$J:$J,"",0,1))</f>
        <v/>
      </c>
      <c r="L64" s="4" t="str">
        <f t="array" ref="L64">IF($E64="","", XLOOKUP(SUMIFS(Prod_Prop!$A:$A,Prod_Prop!$B:$B,$E64,Prod_Prop!$H:$H,L$1,Prod_Prop!$I:$I,"Exacto"),Prod_Prop!$A:$A,Prod_Prop!$J:$J,"",0,1))</f>
        <v/>
      </c>
      <c r="M64" s="4" t="str">
        <f t="array" ref="M64">IF($E64="","", XLOOKUP(SUMIFS(Prod_Prop!$A:$A,Prod_Prop!$B:$B,$E64,Prod_Prop!$H:$H,M$1,Prod_Prop!$I:$I,"Exacto"),Prod_Prop!$A:$A,Prod_Prop!$J:$J,"",0,1))</f>
        <v/>
      </c>
      <c r="N64" s="4" t="str">
        <f t="array" ref="N64">IF($E64="","", XLOOKUP(SUMIFS(Prod_Prop!$A:$A,Prod_Prop!$B:$B,$E64,Prod_Prop!$H:$H,N$1,Prod_Prop!$I:$I,"Exacto"),Prod_Prop!$A:$A,Prod_Prop!$J:$J,"",0,1))</f>
        <v/>
      </c>
      <c r="O64" s="4" t="str">
        <f t="array" ref="O64">IF($E64="","", XLOOKUP(SUMIFS(Prod_Prop!$A:$A,Prod_Prop!$B:$B,$E64,Prod_Prop!$H:$H,O$1,Prod_Prop!$I:$I,"Exacto"),Prod_Prop!$A:$A,Prod_Prop!$J:$J,"",0,1))</f>
        <v/>
      </c>
      <c r="P64" s="4" t="str">
        <f t="array" ref="P64">IF($E64="","", XLOOKUP(SUMIFS(Prod_Prop!$A:$A,Prod_Prop!$B:$B,$E64,Prod_Prop!$H:$H,P$1,Prod_Prop!$I:$I,"Exacto"),Prod_Prop!$A:$A,Prod_Prop!$J:$J,"",0,1))</f>
        <v/>
      </c>
      <c r="Q64" s="4" t="str">
        <f t="array" ref="Q64">IF($E64="","", XLOOKUP(SUMIFS(Prod_Prop!$A:$A,Prod_Prop!$B:$B,$E64,Prod_Prop!$H:$H,Q$1,Prod_Prop!$I:$I,"Exacto"),Prod_Prop!$A:$A,Prod_Prop!$J:$J,"",0,1))</f>
        <v/>
      </c>
      <c r="R64" s="4" t="str">
        <f t="array" ref="R64">IF($E64="","", XLOOKUP(SUMIFS(Prod_Prop!$A:$A,Prod_Prop!$B:$B,$E64,Prod_Prop!$H:$H,R$1,Prod_Prop!$I:$I,"Exacto"),Prod_Prop!$A:$A,Prod_Prop!$J:$J,"",0,1))</f>
        <v/>
      </c>
      <c r="S64" s="4" t="str">
        <f t="array" ref="S64">IF($E64="","", XLOOKUP(SUMIFS(Prod_Prop!$A:$A,Prod_Prop!$B:$B,$E64,Prod_Prop!$H:$H,S$1,Prod_Prop!$I:$I,"Exacto"),Prod_Prop!$A:$A,Prod_Prop!$J:$J,"",0,1))</f>
        <v/>
      </c>
      <c r="T64" s="4" t="str">
        <f t="array" ref="T64">IF($E64="","", XLOOKUP(SUMIFS(Prod_Prop!$A:$A,Prod_Prop!$B:$B,$E64,Prod_Prop!$H:$H,T$1,Prod_Prop!$I:$I,"Exacto"),Prod_Prop!$A:$A,Prod_Prop!$J:$J,"",0,1))</f>
        <v/>
      </c>
      <c r="U64" s="4" t="str">
        <f t="array" ref="U64">IF($E64="","", XLOOKUP(SUMIFS(Prod_Prop!$A:$A,Prod_Prop!$B:$B,$E64,Prod_Prop!$H:$H,U$1,Prod_Prop!$I:$I,"Exacto"),Prod_Prop!$A:$A,Prod_Prop!$J:$J,"",0,1))</f>
        <v/>
      </c>
      <c r="V64" s="4" t="str">
        <f t="array" ref="V64">IF($E64="","", XLOOKUP(SUMIFS(Prod_Prop!$A:$A,Prod_Prop!$B:$B,$E64,Prod_Prop!$H:$H,V$1,Prod_Prop!$I:$I,"Exacto"),Prod_Prop!$A:$A,Prod_Prop!$J:$J,"",0,1))</f>
        <v/>
      </c>
      <c r="X64" s="3" t="str">
        <f>IFERROR(__xludf.DUMMYFUNCTION("IF(D64="""","""",IFERROR(TRANSPOSE(FILTER('Validaciones Cotizador'!U:U,'Validaciones Cotizador'!O:O=D64,'Validaciones Cotizador'!T:T=""x"")),""Finalizar""))"),"")</f>
        <v/>
      </c>
    </row>
    <row r="65">
      <c r="A65" s="2" t="str">
        <f t="array" ref="A65">IF(E65="","",XLOOKUP(D65,'Validaciones Cotizador'!C:C,'Validaciones Cotizador'!A:A,"",0,1))</f>
        <v/>
      </c>
      <c r="B65" s="2" t="str">
        <f t="array" ref="B65">IF(F65="","",XLOOKUP(F65,Productos!E:E,Productos!G:G,"",0,1))</f>
        <v/>
      </c>
      <c r="C65" s="2" t="str">
        <f>IF(A65="","",SUMIFS('Validaciones Cotizador'!B:B,'Validaciones Cotizador'!C:C,D65,'Validaciones Cotizador'!A:A,A65))</f>
        <v/>
      </c>
      <c r="D65" s="4" t="str">
        <f>IFERROR(__xludf.DUMMYFUNCTION("IF(OR(F64=""Finalizar"",F64="""",F64=""Selecciona..""),"""",IF(OR(F64=""-"",INDEX(filter(Familias!F:F,Familias!D:D=A64,Familias!E:E=C64),1)=""O""),D64+1,D64))"),"")</f>
        <v/>
      </c>
      <c r="E65" s="2" t="str">
        <f>IF(OR(F65="",F65="Selecciona.."),"",IF(D65="Implemento",SUMIF(Implementos!B:B,F65,Implementos!A:A),SUMIF(Productos!E:E,F65,Productos!A:A)))</f>
        <v/>
      </c>
      <c r="F65" s="2" t="str">
        <f t="shared" si="2"/>
        <v/>
      </c>
      <c r="G65" s="10" t="str">
        <f t="array" ref="G65">IF(OR(F65="",F65="-",F65="Selecciona..",F65="Finalizar"),"",IF(A65="Rodados",XLOOKUP(B65,'Validaciones Cotizador'!I:I,'Validaciones Cotizador'!J:J,0,0,1),1))</f>
        <v/>
      </c>
      <c r="H65" s="11" t="str">
        <f>IF(OR(F65="",F65="Selecciona.."),"",SUMIF(Precio_Productos!K:K,E65,Precio_Productos!J:J)*G65)</f>
        <v/>
      </c>
      <c r="I65" s="4" t="str">
        <f t="array" ref="I65">IF($E65="","", XLOOKUP(SUMIFS(Prod_Prop!$A:$A,Prod_Prop!$B:$B,$E65,Prod_Prop!$H:$H,I$1,Prod_Prop!$I:$I,"Exacto"),Prod_Prop!$A:$A,Prod_Prop!$J:$J,"",0,1))</f>
        <v/>
      </c>
      <c r="J65" s="4" t="str">
        <f t="array" ref="J65">IF($E65="","", XLOOKUP(SUMIFS(Prod_Prop!$A:$A,Prod_Prop!$B:$B,$E65,Prod_Prop!$H:$H,J$1,Prod_Prop!$I:$I,"Exacto"),Prod_Prop!$A:$A,Prod_Prop!$J:$J,"",0,1))</f>
        <v/>
      </c>
      <c r="K65" s="4" t="str">
        <f t="array" ref="K65">IF($E65="","", XLOOKUP(SUMIFS(Prod_Prop!$A:$A,Prod_Prop!$B:$B,$E65,Prod_Prop!$H:$H,K$1,Prod_Prop!$I:$I,"Exacto"),Prod_Prop!$A:$A,Prod_Prop!$J:$J,"",0,1))</f>
        <v/>
      </c>
      <c r="L65" s="4" t="str">
        <f t="array" ref="L65">IF($E65="","", XLOOKUP(SUMIFS(Prod_Prop!$A:$A,Prod_Prop!$B:$B,$E65,Prod_Prop!$H:$H,L$1,Prod_Prop!$I:$I,"Exacto"),Prod_Prop!$A:$A,Prod_Prop!$J:$J,"",0,1))</f>
        <v/>
      </c>
      <c r="M65" s="4" t="str">
        <f t="array" ref="M65">IF($E65="","", XLOOKUP(SUMIFS(Prod_Prop!$A:$A,Prod_Prop!$B:$B,$E65,Prod_Prop!$H:$H,M$1,Prod_Prop!$I:$I,"Exacto"),Prod_Prop!$A:$A,Prod_Prop!$J:$J,"",0,1))</f>
        <v/>
      </c>
      <c r="N65" s="4" t="str">
        <f t="array" ref="N65">IF($E65="","", XLOOKUP(SUMIFS(Prod_Prop!$A:$A,Prod_Prop!$B:$B,$E65,Prod_Prop!$H:$H,N$1,Prod_Prop!$I:$I,"Exacto"),Prod_Prop!$A:$A,Prod_Prop!$J:$J,"",0,1))</f>
        <v/>
      </c>
      <c r="O65" s="4" t="str">
        <f t="array" ref="O65">IF($E65="","", XLOOKUP(SUMIFS(Prod_Prop!$A:$A,Prod_Prop!$B:$B,$E65,Prod_Prop!$H:$H,O$1,Prod_Prop!$I:$I,"Exacto"),Prod_Prop!$A:$A,Prod_Prop!$J:$J,"",0,1))</f>
        <v/>
      </c>
      <c r="P65" s="4" t="str">
        <f t="array" ref="P65">IF($E65="","", XLOOKUP(SUMIFS(Prod_Prop!$A:$A,Prod_Prop!$B:$B,$E65,Prod_Prop!$H:$H,P$1,Prod_Prop!$I:$I,"Exacto"),Prod_Prop!$A:$A,Prod_Prop!$J:$J,"",0,1))</f>
        <v/>
      </c>
      <c r="Q65" s="4" t="str">
        <f t="array" ref="Q65">IF($E65="","", XLOOKUP(SUMIFS(Prod_Prop!$A:$A,Prod_Prop!$B:$B,$E65,Prod_Prop!$H:$H,Q$1,Prod_Prop!$I:$I,"Exacto"),Prod_Prop!$A:$A,Prod_Prop!$J:$J,"",0,1))</f>
        <v/>
      </c>
      <c r="R65" s="4" t="str">
        <f t="array" ref="R65">IF($E65="","", XLOOKUP(SUMIFS(Prod_Prop!$A:$A,Prod_Prop!$B:$B,$E65,Prod_Prop!$H:$H,R$1,Prod_Prop!$I:$I,"Exacto"),Prod_Prop!$A:$A,Prod_Prop!$J:$J,"",0,1))</f>
        <v/>
      </c>
      <c r="S65" s="4" t="str">
        <f t="array" ref="S65">IF($E65="","", XLOOKUP(SUMIFS(Prod_Prop!$A:$A,Prod_Prop!$B:$B,$E65,Prod_Prop!$H:$H,S$1,Prod_Prop!$I:$I,"Exacto"),Prod_Prop!$A:$A,Prod_Prop!$J:$J,"",0,1))</f>
        <v/>
      </c>
      <c r="T65" s="4" t="str">
        <f t="array" ref="T65">IF($E65="","", XLOOKUP(SUMIFS(Prod_Prop!$A:$A,Prod_Prop!$B:$B,$E65,Prod_Prop!$H:$H,T$1,Prod_Prop!$I:$I,"Exacto"),Prod_Prop!$A:$A,Prod_Prop!$J:$J,"",0,1))</f>
        <v/>
      </c>
      <c r="U65" s="4" t="str">
        <f t="array" ref="U65">IF($E65="","", XLOOKUP(SUMIFS(Prod_Prop!$A:$A,Prod_Prop!$B:$B,$E65,Prod_Prop!$H:$H,U$1,Prod_Prop!$I:$I,"Exacto"),Prod_Prop!$A:$A,Prod_Prop!$J:$J,"",0,1))</f>
        <v/>
      </c>
      <c r="V65" s="4" t="str">
        <f t="array" ref="V65">IF($E65="","", XLOOKUP(SUMIFS(Prod_Prop!$A:$A,Prod_Prop!$B:$B,$E65,Prod_Prop!$H:$H,V$1,Prod_Prop!$I:$I,"Exacto"),Prod_Prop!$A:$A,Prod_Prop!$J:$J,"",0,1))</f>
        <v/>
      </c>
      <c r="X65" s="3" t="str">
        <f>IFERROR(__xludf.DUMMYFUNCTION("IF(D65="""","""",IFERROR(TRANSPOSE(FILTER('Validaciones Cotizador'!U:U,'Validaciones Cotizador'!O:O=D65,'Validaciones Cotizador'!T:T=""x"")),""Finalizar""))"),"")</f>
        <v/>
      </c>
    </row>
    <row r="66">
      <c r="A66" s="2" t="str">
        <f t="array" ref="A66">IF(E66="","",XLOOKUP(D66,'Validaciones Cotizador'!C:C,'Validaciones Cotizador'!A:A,"",0,1))</f>
        <v/>
      </c>
      <c r="B66" s="2" t="str">
        <f t="array" ref="B66">IF(F66="","",XLOOKUP(F66,Productos!E:E,Productos!G:G,"",0,1))</f>
        <v/>
      </c>
      <c r="C66" s="2" t="str">
        <f>IF(A66="","",SUMIFS('Validaciones Cotizador'!B:B,'Validaciones Cotizador'!C:C,D66,'Validaciones Cotizador'!A:A,A66))</f>
        <v/>
      </c>
      <c r="D66" s="4" t="str">
        <f>IFERROR(__xludf.DUMMYFUNCTION("IF(OR(F65=""Finalizar"",F65="""",F65=""Selecciona..""),"""",IF(OR(F65=""-"",INDEX(filter(Familias!F:F,Familias!D:D=A65,Familias!E:E=C65),1)=""O""),D65+1,D65))"),"")</f>
        <v/>
      </c>
      <c r="E66" s="2" t="str">
        <f>IF(OR(F66="",F66="Selecciona.."),"",IF(D66="Implemento",SUMIF(Implementos!B:B,F66,Implementos!A:A),SUMIF(Productos!E:E,F66,Productos!A:A)))</f>
        <v/>
      </c>
      <c r="F66" s="2" t="str">
        <f t="shared" si="2"/>
        <v/>
      </c>
      <c r="G66" s="10" t="str">
        <f t="array" ref="G66">IF(OR(F66="",F66="-",F66="Selecciona..",F66="Finalizar"),"",IF(A66="Rodados",XLOOKUP(B66,'Validaciones Cotizador'!I:I,'Validaciones Cotizador'!J:J,0,0,1),1))</f>
        <v/>
      </c>
      <c r="H66" s="11" t="str">
        <f>IF(OR(F66="",F66="Selecciona.."),"",SUMIF(Precio_Productos!K:K,E66,Precio_Productos!J:J)*G66)</f>
        <v/>
      </c>
      <c r="I66" s="4" t="str">
        <f t="array" ref="I66">IF($E66="","", XLOOKUP(SUMIFS(Prod_Prop!$A:$A,Prod_Prop!$B:$B,$E66,Prod_Prop!$H:$H,I$1,Prod_Prop!$I:$I,"Exacto"),Prod_Prop!$A:$A,Prod_Prop!$J:$J,"",0,1))</f>
        <v/>
      </c>
      <c r="J66" s="4" t="str">
        <f t="array" ref="J66">IF($E66="","", XLOOKUP(SUMIFS(Prod_Prop!$A:$A,Prod_Prop!$B:$B,$E66,Prod_Prop!$H:$H,J$1,Prod_Prop!$I:$I,"Exacto"),Prod_Prop!$A:$A,Prod_Prop!$J:$J,"",0,1))</f>
        <v/>
      </c>
      <c r="K66" s="4" t="str">
        <f t="array" ref="K66">IF($E66="","", XLOOKUP(SUMIFS(Prod_Prop!$A:$A,Prod_Prop!$B:$B,$E66,Prod_Prop!$H:$H,K$1,Prod_Prop!$I:$I,"Exacto"),Prod_Prop!$A:$A,Prod_Prop!$J:$J,"",0,1))</f>
        <v/>
      </c>
      <c r="L66" s="4" t="str">
        <f t="array" ref="L66">IF($E66="","", XLOOKUP(SUMIFS(Prod_Prop!$A:$A,Prod_Prop!$B:$B,$E66,Prod_Prop!$H:$H,L$1,Prod_Prop!$I:$I,"Exacto"),Prod_Prop!$A:$A,Prod_Prop!$J:$J,"",0,1))</f>
        <v/>
      </c>
      <c r="M66" s="4" t="str">
        <f t="array" ref="M66">IF($E66="","", XLOOKUP(SUMIFS(Prod_Prop!$A:$A,Prod_Prop!$B:$B,$E66,Prod_Prop!$H:$H,M$1,Prod_Prop!$I:$I,"Exacto"),Prod_Prop!$A:$A,Prod_Prop!$J:$J,"",0,1))</f>
        <v/>
      </c>
      <c r="N66" s="4" t="str">
        <f t="array" ref="N66">IF($E66="","", XLOOKUP(SUMIFS(Prod_Prop!$A:$A,Prod_Prop!$B:$B,$E66,Prod_Prop!$H:$H,N$1,Prod_Prop!$I:$I,"Exacto"),Prod_Prop!$A:$A,Prod_Prop!$J:$J,"",0,1))</f>
        <v/>
      </c>
      <c r="O66" s="4" t="str">
        <f t="array" ref="O66">IF($E66="","", XLOOKUP(SUMIFS(Prod_Prop!$A:$A,Prod_Prop!$B:$B,$E66,Prod_Prop!$H:$H,O$1,Prod_Prop!$I:$I,"Exacto"),Prod_Prop!$A:$A,Prod_Prop!$J:$J,"",0,1))</f>
        <v/>
      </c>
      <c r="P66" s="4" t="str">
        <f t="array" ref="P66">IF($E66="","", XLOOKUP(SUMIFS(Prod_Prop!$A:$A,Prod_Prop!$B:$B,$E66,Prod_Prop!$H:$H,P$1,Prod_Prop!$I:$I,"Exacto"),Prod_Prop!$A:$A,Prod_Prop!$J:$J,"",0,1))</f>
        <v/>
      </c>
      <c r="Q66" s="4" t="str">
        <f t="array" ref="Q66">IF($E66="","", XLOOKUP(SUMIFS(Prod_Prop!$A:$A,Prod_Prop!$B:$B,$E66,Prod_Prop!$H:$H,Q$1,Prod_Prop!$I:$I,"Exacto"),Prod_Prop!$A:$A,Prod_Prop!$J:$J,"",0,1))</f>
        <v/>
      </c>
      <c r="R66" s="4" t="str">
        <f t="array" ref="R66">IF($E66="","", XLOOKUP(SUMIFS(Prod_Prop!$A:$A,Prod_Prop!$B:$B,$E66,Prod_Prop!$H:$H,R$1,Prod_Prop!$I:$I,"Exacto"),Prod_Prop!$A:$A,Prod_Prop!$J:$J,"",0,1))</f>
        <v/>
      </c>
      <c r="S66" s="4" t="str">
        <f t="array" ref="S66">IF($E66="","", XLOOKUP(SUMIFS(Prod_Prop!$A:$A,Prod_Prop!$B:$B,$E66,Prod_Prop!$H:$H,S$1,Prod_Prop!$I:$I,"Exacto"),Prod_Prop!$A:$A,Prod_Prop!$J:$J,"",0,1))</f>
        <v/>
      </c>
      <c r="T66" s="4" t="str">
        <f t="array" ref="T66">IF($E66="","", XLOOKUP(SUMIFS(Prod_Prop!$A:$A,Prod_Prop!$B:$B,$E66,Prod_Prop!$H:$H,T$1,Prod_Prop!$I:$I,"Exacto"),Prod_Prop!$A:$A,Prod_Prop!$J:$J,"",0,1))</f>
        <v/>
      </c>
      <c r="U66" s="4" t="str">
        <f t="array" ref="U66">IF($E66="","", XLOOKUP(SUMIFS(Prod_Prop!$A:$A,Prod_Prop!$B:$B,$E66,Prod_Prop!$H:$H,U$1,Prod_Prop!$I:$I,"Exacto"),Prod_Prop!$A:$A,Prod_Prop!$J:$J,"",0,1))</f>
        <v/>
      </c>
      <c r="V66" s="4" t="str">
        <f t="array" ref="V66">IF($E66="","", XLOOKUP(SUMIFS(Prod_Prop!$A:$A,Prod_Prop!$B:$B,$E66,Prod_Prop!$H:$H,V$1,Prod_Prop!$I:$I,"Exacto"),Prod_Prop!$A:$A,Prod_Prop!$J:$J,"",0,1))</f>
        <v/>
      </c>
      <c r="X66" s="3" t="str">
        <f>IFERROR(__xludf.DUMMYFUNCTION("IF(D66="""","""",IFERROR(TRANSPOSE(FILTER('Validaciones Cotizador'!U:U,'Validaciones Cotizador'!O:O=D66,'Validaciones Cotizador'!T:T=""x"")),""Finalizar""))"),"")</f>
        <v/>
      </c>
    </row>
    <row r="67">
      <c r="A67" s="2" t="str">
        <f t="array" ref="A67">IF(E67="","",XLOOKUP(D67,'Validaciones Cotizador'!C:C,'Validaciones Cotizador'!A:A,"",0,1))</f>
        <v/>
      </c>
      <c r="B67" s="2" t="str">
        <f t="array" ref="B67">IF(F67="","",XLOOKUP(F67,Productos!E:E,Productos!G:G,"",0,1))</f>
        <v/>
      </c>
      <c r="C67" s="2" t="str">
        <f>IF(A67="","",SUMIFS('Validaciones Cotizador'!B:B,'Validaciones Cotizador'!C:C,D67,'Validaciones Cotizador'!A:A,A67))</f>
        <v/>
      </c>
      <c r="D67" s="4" t="str">
        <f>IFERROR(__xludf.DUMMYFUNCTION("IF(OR(F66=""Finalizar"",F66="""",F66=""Selecciona..""),"""",IF(OR(F66=""-"",INDEX(filter(Familias!F:F,Familias!D:D=A66,Familias!E:E=C66),1)=""O""),D66+1,D66))"),"")</f>
        <v/>
      </c>
      <c r="E67" s="2" t="str">
        <f>IF(OR(F67="",F67="Selecciona.."),"",IF(D67="Implemento",SUMIF(Implementos!B:B,F67,Implementos!A:A),SUMIF(Productos!E:E,F67,Productos!A:A)))</f>
        <v/>
      </c>
      <c r="F67" s="2" t="str">
        <f t="shared" si="2"/>
        <v/>
      </c>
      <c r="G67" s="10" t="str">
        <f t="array" ref="G67">IF(OR(F67="",F67="-",F67="Selecciona..",F67="Finalizar"),"",IF(A67="Rodados",XLOOKUP(B67,'Validaciones Cotizador'!I:I,'Validaciones Cotizador'!J:J,0,0,1),1))</f>
        <v/>
      </c>
      <c r="H67" s="11" t="str">
        <f>IF(OR(F67="",F67="Selecciona.."),"",SUMIF(Precio_Productos!K:K,E67,Precio_Productos!J:J)*G67)</f>
        <v/>
      </c>
      <c r="I67" s="4" t="str">
        <f t="array" ref="I67">IF($E67="","", XLOOKUP(SUMIFS(Prod_Prop!$A:$A,Prod_Prop!$B:$B,$E67,Prod_Prop!$H:$H,I$1,Prod_Prop!$I:$I,"Exacto"),Prod_Prop!$A:$A,Prod_Prop!$J:$J,"",0,1))</f>
        <v/>
      </c>
      <c r="J67" s="4" t="str">
        <f t="array" ref="J67">IF($E67="","", XLOOKUP(SUMIFS(Prod_Prop!$A:$A,Prod_Prop!$B:$B,$E67,Prod_Prop!$H:$H,J$1,Prod_Prop!$I:$I,"Exacto"),Prod_Prop!$A:$A,Prod_Prop!$J:$J,"",0,1))</f>
        <v/>
      </c>
      <c r="K67" s="4" t="str">
        <f t="array" ref="K67">IF($E67="","", XLOOKUP(SUMIFS(Prod_Prop!$A:$A,Prod_Prop!$B:$B,$E67,Prod_Prop!$H:$H,K$1,Prod_Prop!$I:$I,"Exacto"),Prod_Prop!$A:$A,Prod_Prop!$J:$J,"",0,1))</f>
        <v/>
      </c>
      <c r="L67" s="4" t="str">
        <f t="array" ref="L67">IF($E67="","", XLOOKUP(SUMIFS(Prod_Prop!$A:$A,Prod_Prop!$B:$B,$E67,Prod_Prop!$H:$H,L$1,Prod_Prop!$I:$I,"Exacto"),Prod_Prop!$A:$A,Prod_Prop!$J:$J,"",0,1))</f>
        <v/>
      </c>
      <c r="M67" s="4" t="str">
        <f t="array" ref="M67">IF($E67="","", XLOOKUP(SUMIFS(Prod_Prop!$A:$A,Prod_Prop!$B:$B,$E67,Prod_Prop!$H:$H,M$1,Prod_Prop!$I:$I,"Exacto"),Prod_Prop!$A:$A,Prod_Prop!$J:$J,"",0,1))</f>
        <v/>
      </c>
      <c r="N67" s="4" t="str">
        <f t="array" ref="N67">IF($E67="","", XLOOKUP(SUMIFS(Prod_Prop!$A:$A,Prod_Prop!$B:$B,$E67,Prod_Prop!$H:$H,N$1,Prod_Prop!$I:$I,"Exacto"),Prod_Prop!$A:$A,Prod_Prop!$J:$J,"",0,1))</f>
        <v/>
      </c>
      <c r="O67" s="4" t="str">
        <f t="array" ref="O67">IF($E67="","", XLOOKUP(SUMIFS(Prod_Prop!$A:$A,Prod_Prop!$B:$B,$E67,Prod_Prop!$H:$H,O$1,Prod_Prop!$I:$I,"Exacto"),Prod_Prop!$A:$A,Prod_Prop!$J:$J,"",0,1))</f>
        <v/>
      </c>
      <c r="P67" s="4" t="str">
        <f t="array" ref="P67">IF($E67="","", XLOOKUP(SUMIFS(Prod_Prop!$A:$A,Prod_Prop!$B:$B,$E67,Prod_Prop!$H:$H,P$1,Prod_Prop!$I:$I,"Exacto"),Prod_Prop!$A:$A,Prod_Prop!$J:$J,"",0,1))</f>
        <v/>
      </c>
      <c r="Q67" s="4" t="str">
        <f t="array" ref="Q67">IF($E67="","", XLOOKUP(SUMIFS(Prod_Prop!$A:$A,Prod_Prop!$B:$B,$E67,Prod_Prop!$H:$H,Q$1,Prod_Prop!$I:$I,"Exacto"),Prod_Prop!$A:$A,Prod_Prop!$J:$J,"",0,1))</f>
        <v/>
      </c>
      <c r="R67" s="4" t="str">
        <f t="array" ref="R67">IF($E67="","", XLOOKUP(SUMIFS(Prod_Prop!$A:$A,Prod_Prop!$B:$B,$E67,Prod_Prop!$H:$H,R$1,Prod_Prop!$I:$I,"Exacto"),Prod_Prop!$A:$A,Prod_Prop!$J:$J,"",0,1))</f>
        <v/>
      </c>
      <c r="S67" s="4" t="str">
        <f t="array" ref="S67">IF($E67="","", XLOOKUP(SUMIFS(Prod_Prop!$A:$A,Prod_Prop!$B:$B,$E67,Prod_Prop!$H:$H,S$1,Prod_Prop!$I:$I,"Exacto"),Prod_Prop!$A:$A,Prod_Prop!$J:$J,"",0,1))</f>
        <v/>
      </c>
      <c r="T67" s="4" t="str">
        <f t="array" ref="T67">IF($E67="","", XLOOKUP(SUMIFS(Prod_Prop!$A:$A,Prod_Prop!$B:$B,$E67,Prod_Prop!$H:$H,T$1,Prod_Prop!$I:$I,"Exacto"),Prod_Prop!$A:$A,Prod_Prop!$J:$J,"",0,1))</f>
        <v/>
      </c>
      <c r="U67" s="4" t="str">
        <f t="array" ref="U67">IF($E67="","", XLOOKUP(SUMIFS(Prod_Prop!$A:$A,Prod_Prop!$B:$B,$E67,Prod_Prop!$H:$H,U$1,Prod_Prop!$I:$I,"Exacto"),Prod_Prop!$A:$A,Prod_Prop!$J:$J,"",0,1))</f>
        <v/>
      </c>
      <c r="V67" s="4" t="str">
        <f t="array" ref="V67">IF($E67="","", XLOOKUP(SUMIFS(Prod_Prop!$A:$A,Prod_Prop!$B:$B,$E67,Prod_Prop!$H:$H,V$1,Prod_Prop!$I:$I,"Exacto"),Prod_Prop!$A:$A,Prod_Prop!$J:$J,"",0,1))</f>
        <v/>
      </c>
      <c r="X67" s="3" t="str">
        <f>IFERROR(__xludf.DUMMYFUNCTION("IF(D67="""","""",IFERROR(TRANSPOSE(FILTER('Validaciones Cotizador'!U:U,'Validaciones Cotizador'!O:O=D67,'Validaciones Cotizador'!T:T=""x"")),""Finalizar""))"),"")</f>
        <v/>
      </c>
    </row>
    <row r="68">
      <c r="A68" s="2" t="str">
        <f t="array" ref="A68">IF(E68="","",XLOOKUP(D68,'Validaciones Cotizador'!C:C,'Validaciones Cotizador'!A:A,"",0,1))</f>
        <v/>
      </c>
      <c r="B68" s="2" t="str">
        <f t="array" ref="B68">IF(F68="","",XLOOKUP(F68,Productos!E:E,Productos!G:G,"",0,1))</f>
        <v/>
      </c>
      <c r="C68" s="2" t="str">
        <f>IF(A68="","",SUMIFS('Validaciones Cotizador'!B:B,'Validaciones Cotizador'!C:C,D68,'Validaciones Cotizador'!A:A,A68))</f>
        <v/>
      </c>
      <c r="D68" s="4" t="str">
        <f>IFERROR(__xludf.DUMMYFUNCTION("IF(OR(F67=""Finalizar"",F67="""",F67=""Selecciona..""),"""",IF(OR(F67=""-"",INDEX(filter(Familias!F:F,Familias!D:D=A67,Familias!E:E=C67),1)=""O""),D67+1,D67))"),"")</f>
        <v/>
      </c>
      <c r="E68" s="2" t="str">
        <f>IF(OR(F68="",F68="Selecciona.."),"",IF(D68="Implemento",SUMIF(Implementos!B:B,F68,Implementos!A:A),SUMIF(Productos!E:E,F68,Productos!A:A)))</f>
        <v/>
      </c>
      <c r="F68" s="2" t="str">
        <f t="shared" si="2"/>
        <v/>
      </c>
      <c r="G68" s="10" t="str">
        <f t="array" ref="G68">IF(OR(F68="",F68="-",F68="Selecciona..",F68="Finalizar"),"",IF(A68="Rodados",XLOOKUP(B68,'Validaciones Cotizador'!I:I,'Validaciones Cotizador'!J:J,0,0,1),1))</f>
        <v/>
      </c>
      <c r="H68" s="11" t="str">
        <f>IF(OR(F68="",F68="Selecciona.."),"",SUMIF(Precio_Productos!K:K,E68,Precio_Productos!J:J)*G68)</f>
        <v/>
      </c>
      <c r="I68" s="4" t="str">
        <f t="array" ref="I68">IF($E68="","", XLOOKUP(SUMIFS(Prod_Prop!$A:$A,Prod_Prop!$B:$B,$E68,Prod_Prop!$H:$H,I$1,Prod_Prop!$I:$I,"Exacto"),Prod_Prop!$A:$A,Prod_Prop!$J:$J,"",0,1))</f>
        <v/>
      </c>
      <c r="J68" s="4" t="str">
        <f t="array" ref="J68">IF($E68="","", XLOOKUP(SUMIFS(Prod_Prop!$A:$A,Prod_Prop!$B:$B,$E68,Prod_Prop!$H:$H,J$1,Prod_Prop!$I:$I,"Exacto"),Prod_Prop!$A:$A,Prod_Prop!$J:$J,"",0,1))</f>
        <v/>
      </c>
      <c r="K68" s="4" t="str">
        <f t="array" ref="K68">IF($E68="","", XLOOKUP(SUMIFS(Prod_Prop!$A:$A,Prod_Prop!$B:$B,$E68,Prod_Prop!$H:$H,K$1,Prod_Prop!$I:$I,"Exacto"),Prod_Prop!$A:$A,Prod_Prop!$J:$J,"",0,1))</f>
        <v/>
      </c>
      <c r="L68" s="4" t="str">
        <f t="array" ref="L68">IF($E68="","", XLOOKUP(SUMIFS(Prod_Prop!$A:$A,Prod_Prop!$B:$B,$E68,Prod_Prop!$H:$H,L$1,Prod_Prop!$I:$I,"Exacto"),Prod_Prop!$A:$A,Prod_Prop!$J:$J,"",0,1))</f>
        <v/>
      </c>
      <c r="M68" s="4" t="str">
        <f t="array" ref="M68">IF($E68="","", XLOOKUP(SUMIFS(Prod_Prop!$A:$A,Prod_Prop!$B:$B,$E68,Prod_Prop!$H:$H,M$1,Prod_Prop!$I:$I,"Exacto"),Prod_Prop!$A:$A,Prod_Prop!$J:$J,"",0,1))</f>
        <v/>
      </c>
      <c r="N68" s="4" t="str">
        <f t="array" ref="N68">IF($E68="","", XLOOKUP(SUMIFS(Prod_Prop!$A:$A,Prod_Prop!$B:$B,$E68,Prod_Prop!$H:$H,N$1,Prod_Prop!$I:$I,"Exacto"),Prod_Prop!$A:$A,Prod_Prop!$J:$J,"",0,1))</f>
        <v/>
      </c>
      <c r="O68" s="4" t="str">
        <f t="array" ref="O68">IF($E68="","", XLOOKUP(SUMIFS(Prod_Prop!$A:$A,Prod_Prop!$B:$B,$E68,Prod_Prop!$H:$H,O$1,Prod_Prop!$I:$I,"Exacto"),Prod_Prop!$A:$A,Prod_Prop!$J:$J,"",0,1))</f>
        <v/>
      </c>
      <c r="P68" s="4" t="str">
        <f t="array" ref="P68">IF($E68="","", XLOOKUP(SUMIFS(Prod_Prop!$A:$A,Prod_Prop!$B:$B,$E68,Prod_Prop!$H:$H,P$1,Prod_Prop!$I:$I,"Exacto"),Prod_Prop!$A:$A,Prod_Prop!$J:$J,"",0,1))</f>
        <v/>
      </c>
      <c r="Q68" s="4" t="str">
        <f t="array" ref="Q68">IF($E68="","", XLOOKUP(SUMIFS(Prod_Prop!$A:$A,Prod_Prop!$B:$B,$E68,Prod_Prop!$H:$H,Q$1,Prod_Prop!$I:$I,"Exacto"),Prod_Prop!$A:$A,Prod_Prop!$J:$J,"",0,1))</f>
        <v/>
      </c>
      <c r="R68" s="4" t="str">
        <f t="array" ref="R68">IF($E68="","", XLOOKUP(SUMIFS(Prod_Prop!$A:$A,Prod_Prop!$B:$B,$E68,Prod_Prop!$H:$H,R$1,Prod_Prop!$I:$I,"Exacto"),Prod_Prop!$A:$A,Prod_Prop!$J:$J,"",0,1))</f>
        <v/>
      </c>
      <c r="S68" s="4" t="str">
        <f t="array" ref="S68">IF($E68="","", XLOOKUP(SUMIFS(Prod_Prop!$A:$A,Prod_Prop!$B:$B,$E68,Prod_Prop!$H:$H,S$1,Prod_Prop!$I:$I,"Exacto"),Prod_Prop!$A:$A,Prod_Prop!$J:$J,"",0,1))</f>
        <v/>
      </c>
      <c r="T68" s="4" t="str">
        <f t="array" ref="T68">IF($E68="","", XLOOKUP(SUMIFS(Prod_Prop!$A:$A,Prod_Prop!$B:$B,$E68,Prod_Prop!$H:$H,T$1,Prod_Prop!$I:$I,"Exacto"),Prod_Prop!$A:$A,Prod_Prop!$J:$J,"",0,1))</f>
        <v/>
      </c>
      <c r="U68" s="4" t="str">
        <f t="array" ref="U68">IF($E68="","", XLOOKUP(SUMIFS(Prod_Prop!$A:$A,Prod_Prop!$B:$B,$E68,Prod_Prop!$H:$H,U$1,Prod_Prop!$I:$I,"Exacto"),Prod_Prop!$A:$A,Prod_Prop!$J:$J,"",0,1))</f>
        <v/>
      </c>
      <c r="V68" s="4" t="str">
        <f t="array" ref="V68">IF($E68="","", XLOOKUP(SUMIFS(Prod_Prop!$A:$A,Prod_Prop!$B:$B,$E68,Prod_Prop!$H:$H,V$1,Prod_Prop!$I:$I,"Exacto"),Prod_Prop!$A:$A,Prod_Prop!$J:$J,"",0,1))</f>
        <v/>
      </c>
      <c r="X68" s="3" t="str">
        <f>IFERROR(__xludf.DUMMYFUNCTION("IF(D68="""","""",IFERROR(TRANSPOSE(FILTER('Validaciones Cotizador'!U:U,'Validaciones Cotizador'!O:O=D68,'Validaciones Cotizador'!T:T=""x"")),""Finalizar""))"),"")</f>
        <v/>
      </c>
    </row>
    <row r="69">
      <c r="A69" s="2" t="str">
        <f t="array" ref="A69">IF(E69="","",XLOOKUP(D69,'Validaciones Cotizador'!C:C,'Validaciones Cotizador'!A:A,"",0,1))</f>
        <v/>
      </c>
      <c r="B69" s="2" t="str">
        <f t="array" ref="B69">IF(F69="","",XLOOKUP(F69,Productos!E:E,Productos!G:G,"",0,1))</f>
        <v/>
      </c>
      <c r="C69" s="2" t="str">
        <f>IF(A69="","",SUMIFS('Validaciones Cotizador'!B:B,'Validaciones Cotizador'!C:C,D69,'Validaciones Cotizador'!A:A,A69))</f>
        <v/>
      </c>
      <c r="D69" s="4" t="str">
        <f>IFERROR(__xludf.DUMMYFUNCTION("IF(OR(F68=""Finalizar"",F68="""",F68=""Selecciona..""),"""",IF(OR(F68=""-"",INDEX(filter(Familias!F:F,Familias!D:D=A68,Familias!E:E=C68),1)=""O""),D68+1,D68))"),"")</f>
        <v/>
      </c>
      <c r="E69" s="2" t="str">
        <f>IF(OR(F69="",F69="Selecciona.."),"",IF(D69="Implemento",SUMIF(Implementos!B:B,F69,Implementos!A:A),SUMIF(Productos!E:E,F69,Productos!A:A)))</f>
        <v/>
      </c>
      <c r="F69" s="2" t="str">
        <f t="shared" si="2"/>
        <v/>
      </c>
      <c r="G69" s="10" t="str">
        <f t="array" ref="G69">IF(OR(F69="",F69="-",F69="Selecciona..",F69="Finalizar"),"",IF(A69="Rodados",XLOOKUP(B69,'Validaciones Cotizador'!I:I,'Validaciones Cotizador'!J:J,0,0,1),1))</f>
        <v/>
      </c>
      <c r="H69" s="11" t="str">
        <f>IF(OR(F69="",F69="Selecciona.."),"",SUMIF(Precio_Productos!K:K,E69,Precio_Productos!J:J)*G69)</f>
        <v/>
      </c>
      <c r="I69" s="4" t="str">
        <f t="array" ref="I69">IF($E69="","", XLOOKUP(SUMIFS(Prod_Prop!$A:$A,Prod_Prop!$B:$B,$E69,Prod_Prop!$H:$H,I$1,Prod_Prop!$I:$I,"Exacto"),Prod_Prop!$A:$A,Prod_Prop!$J:$J,"",0,1))</f>
        <v/>
      </c>
      <c r="J69" s="4" t="str">
        <f t="array" ref="J69">IF($E69="","", XLOOKUP(SUMIFS(Prod_Prop!$A:$A,Prod_Prop!$B:$B,$E69,Prod_Prop!$H:$H,J$1,Prod_Prop!$I:$I,"Exacto"),Prod_Prop!$A:$A,Prod_Prop!$J:$J,"",0,1))</f>
        <v/>
      </c>
      <c r="K69" s="4" t="str">
        <f t="array" ref="K69">IF($E69="","", XLOOKUP(SUMIFS(Prod_Prop!$A:$A,Prod_Prop!$B:$B,$E69,Prod_Prop!$H:$H,K$1,Prod_Prop!$I:$I,"Exacto"),Prod_Prop!$A:$A,Prod_Prop!$J:$J,"",0,1))</f>
        <v/>
      </c>
      <c r="L69" s="4" t="str">
        <f t="array" ref="L69">IF($E69="","", XLOOKUP(SUMIFS(Prod_Prop!$A:$A,Prod_Prop!$B:$B,$E69,Prod_Prop!$H:$H,L$1,Prod_Prop!$I:$I,"Exacto"),Prod_Prop!$A:$A,Prod_Prop!$J:$J,"",0,1))</f>
        <v/>
      </c>
      <c r="M69" s="4" t="str">
        <f t="array" ref="M69">IF($E69="","", XLOOKUP(SUMIFS(Prod_Prop!$A:$A,Prod_Prop!$B:$B,$E69,Prod_Prop!$H:$H,M$1,Prod_Prop!$I:$I,"Exacto"),Prod_Prop!$A:$A,Prod_Prop!$J:$J,"",0,1))</f>
        <v/>
      </c>
      <c r="N69" s="4" t="str">
        <f t="array" ref="N69">IF($E69="","", XLOOKUP(SUMIFS(Prod_Prop!$A:$A,Prod_Prop!$B:$B,$E69,Prod_Prop!$H:$H,N$1,Prod_Prop!$I:$I,"Exacto"),Prod_Prop!$A:$A,Prod_Prop!$J:$J,"",0,1))</f>
        <v/>
      </c>
      <c r="O69" s="4" t="str">
        <f t="array" ref="O69">IF($E69="","", XLOOKUP(SUMIFS(Prod_Prop!$A:$A,Prod_Prop!$B:$B,$E69,Prod_Prop!$H:$H,O$1,Prod_Prop!$I:$I,"Exacto"),Prod_Prop!$A:$A,Prod_Prop!$J:$J,"",0,1))</f>
        <v/>
      </c>
      <c r="P69" s="4" t="str">
        <f t="array" ref="P69">IF($E69="","", XLOOKUP(SUMIFS(Prod_Prop!$A:$A,Prod_Prop!$B:$B,$E69,Prod_Prop!$H:$H,P$1,Prod_Prop!$I:$I,"Exacto"),Prod_Prop!$A:$A,Prod_Prop!$J:$J,"",0,1))</f>
        <v/>
      </c>
      <c r="Q69" s="4" t="str">
        <f t="array" ref="Q69">IF($E69="","", XLOOKUP(SUMIFS(Prod_Prop!$A:$A,Prod_Prop!$B:$B,$E69,Prod_Prop!$H:$H,Q$1,Prod_Prop!$I:$I,"Exacto"),Prod_Prop!$A:$A,Prod_Prop!$J:$J,"",0,1))</f>
        <v/>
      </c>
      <c r="R69" s="4" t="str">
        <f t="array" ref="R69">IF($E69="","", XLOOKUP(SUMIFS(Prod_Prop!$A:$A,Prod_Prop!$B:$B,$E69,Prod_Prop!$H:$H,R$1,Prod_Prop!$I:$I,"Exacto"),Prod_Prop!$A:$A,Prod_Prop!$J:$J,"",0,1))</f>
        <v/>
      </c>
      <c r="S69" s="4" t="str">
        <f t="array" ref="S69">IF($E69="","", XLOOKUP(SUMIFS(Prod_Prop!$A:$A,Prod_Prop!$B:$B,$E69,Prod_Prop!$H:$H,S$1,Prod_Prop!$I:$I,"Exacto"),Prod_Prop!$A:$A,Prod_Prop!$J:$J,"",0,1))</f>
        <v/>
      </c>
      <c r="T69" s="4" t="str">
        <f t="array" ref="T69">IF($E69="","", XLOOKUP(SUMIFS(Prod_Prop!$A:$A,Prod_Prop!$B:$B,$E69,Prod_Prop!$H:$H,T$1,Prod_Prop!$I:$I,"Exacto"),Prod_Prop!$A:$A,Prod_Prop!$J:$J,"",0,1))</f>
        <v/>
      </c>
      <c r="U69" s="4" t="str">
        <f t="array" ref="U69">IF($E69="","", XLOOKUP(SUMIFS(Prod_Prop!$A:$A,Prod_Prop!$B:$B,$E69,Prod_Prop!$H:$H,U$1,Prod_Prop!$I:$I,"Exacto"),Prod_Prop!$A:$A,Prod_Prop!$J:$J,"",0,1))</f>
        <v/>
      </c>
      <c r="V69" s="4" t="str">
        <f t="array" ref="V69">IF($E69="","", XLOOKUP(SUMIFS(Prod_Prop!$A:$A,Prod_Prop!$B:$B,$E69,Prod_Prop!$H:$H,V$1,Prod_Prop!$I:$I,"Exacto"),Prod_Prop!$A:$A,Prod_Prop!$J:$J,"",0,1))</f>
        <v/>
      </c>
      <c r="X69" s="3" t="str">
        <f>IFERROR(__xludf.DUMMYFUNCTION("IF(D69="""","""",IFERROR(TRANSPOSE(FILTER('Validaciones Cotizador'!U:U,'Validaciones Cotizador'!O:O=D69,'Validaciones Cotizador'!T:T=""x"")),""Finalizar""))"),"")</f>
        <v/>
      </c>
    </row>
    <row r="70">
      <c r="A70" s="2" t="str">
        <f t="array" ref="A70">IF(E70="","",XLOOKUP(D70,'Validaciones Cotizador'!C:C,'Validaciones Cotizador'!A:A,"",0,1))</f>
        <v/>
      </c>
      <c r="B70" s="2" t="str">
        <f t="array" ref="B70">IF(F70="","",XLOOKUP(F70,Productos!E:E,Productos!G:G,"",0,1))</f>
        <v/>
      </c>
      <c r="C70" s="2" t="str">
        <f>IF(A70="","",SUMIFS('Validaciones Cotizador'!B:B,'Validaciones Cotizador'!C:C,D70,'Validaciones Cotizador'!A:A,A70))</f>
        <v/>
      </c>
      <c r="D70" s="4" t="str">
        <f>IFERROR(__xludf.DUMMYFUNCTION("IF(OR(F69=""Finalizar"",F69="""",F69=""Selecciona..""),"""",IF(OR(F69=""-"",INDEX(filter(Familias!F:F,Familias!D:D=A69,Familias!E:E=C69),1)=""O""),D69+1,D69))"),"")</f>
        <v/>
      </c>
      <c r="E70" s="2" t="str">
        <f>IF(OR(F70="",F70="Selecciona.."),"",IF(D70="Implemento",SUMIF(Implementos!B:B,F70,Implementos!A:A),SUMIF(Productos!E:E,F70,Productos!A:A)))</f>
        <v/>
      </c>
      <c r="F70" s="2" t="str">
        <f t="shared" si="2"/>
        <v/>
      </c>
      <c r="G70" s="10" t="str">
        <f t="array" ref="G70">IF(OR(F70="",F70="-",F70="Selecciona..",F70="Finalizar"),"",IF(A70="Rodados",XLOOKUP(B70,'Validaciones Cotizador'!I:I,'Validaciones Cotizador'!J:J,0,0,1),1))</f>
        <v/>
      </c>
      <c r="H70" s="11" t="str">
        <f>IF(OR(F70="",F70="Selecciona.."),"",SUMIF(Precio_Productos!K:K,E70,Precio_Productos!J:J)*G70)</f>
        <v/>
      </c>
      <c r="I70" s="4" t="str">
        <f t="array" ref="I70">IF($E70="","", XLOOKUP(SUMIFS(Prod_Prop!$A:$A,Prod_Prop!$B:$B,$E70,Prod_Prop!$H:$H,I$1,Prod_Prop!$I:$I,"Exacto"),Prod_Prop!$A:$A,Prod_Prop!$J:$J,"",0,1))</f>
        <v/>
      </c>
      <c r="J70" s="4" t="str">
        <f t="array" ref="J70">IF($E70="","", XLOOKUP(SUMIFS(Prod_Prop!$A:$A,Prod_Prop!$B:$B,$E70,Prod_Prop!$H:$H,J$1,Prod_Prop!$I:$I,"Exacto"),Prod_Prop!$A:$A,Prod_Prop!$J:$J,"",0,1))</f>
        <v/>
      </c>
      <c r="K70" s="4" t="str">
        <f t="array" ref="K70">IF($E70="","", XLOOKUP(SUMIFS(Prod_Prop!$A:$A,Prod_Prop!$B:$B,$E70,Prod_Prop!$H:$H,K$1,Prod_Prop!$I:$I,"Exacto"),Prod_Prop!$A:$A,Prod_Prop!$J:$J,"",0,1))</f>
        <v/>
      </c>
      <c r="L70" s="4" t="str">
        <f t="array" ref="L70">IF($E70="","", XLOOKUP(SUMIFS(Prod_Prop!$A:$A,Prod_Prop!$B:$B,$E70,Prod_Prop!$H:$H,L$1,Prod_Prop!$I:$I,"Exacto"),Prod_Prop!$A:$A,Prod_Prop!$J:$J,"",0,1))</f>
        <v/>
      </c>
      <c r="M70" s="4" t="str">
        <f t="array" ref="M70">IF($E70="","", XLOOKUP(SUMIFS(Prod_Prop!$A:$A,Prod_Prop!$B:$B,$E70,Prod_Prop!$H:$H,M$1,Prod_Prop!$I:$I,"Exacto"),Prod_Prop!$A:$A,Prod_Prop!$J:$J,"",0,1))</f>
        <v/>
      </c>
      <c r="N70" s="4" t="str">
        <f t="array" ref="N70">IF($E70="","", XLOOKUP(SUMIFS(Prod_Prop!$A:$A,Prod_Prop!$B:$B,$E70,Prod_Prop!$H:$H,N$1,Prod_Prop!$I:$I,"Exacto"),Prod_Prop!$A:$A,Prod_Prop!$J:$J,"",0,1))</f>
        <v/>
      </c>
      <c r="O70" s="4" t="str">
        <f t="array" ref="O70">IF($E70="","", XLOOKUP(SUMIFS(Prod_Prop!$A:$A,Prod_Prop!$B:$B,$E70,Prod_Prop!$H:$H,O$1,Prod_Prop!$I:$I,"Exacto"),Prod_Prop!$A:$A,Prod_Prop!$J:$J,"",0,1))</f>
        <v/>
      </c>
      <c r="P70" s="4" t="str">
        <f t="array" ref="P70">IF($E70="","", XLOOKUP(SUMIFS(Prod_Prop!$A:$A,Prod_Prop!$B:$B,$E70,Prod_Prop!$H:$H,P$1,Prod_Prop!$I:$I,"Exacto"),Prod_Prop!$A:$A,Prod_Prop!$J:$J,"",0,1))</f>
        <v/>
      </c>
      <c r="Q70" s="4" t="str">
        <f t="array" ref="Q70">IF($E70="","", XLOOKUP(SUMIFS(Prod_Prop!$A:$A,Prod_Prop!$B:$B,$E70,Prod_Prop!$H:$H,Q$1,Prod_Prop!$I:$I,"Exacto"),Prod_Prop!$A:$A,Prod_Prop!$J:$J,"",0,1))</f>
        <v/>
      </c>
      <c r="R70" s="4" t="str">
        <f t="array" ref="R70">IF($E70="","", XLOOKUP(SUMIFS(Prod_Prop!$A:$A,Prod_Prop!$B:$B,$E70,Prod_Prop!$H:$H,R$1,Prod_Prop!$I:$I,"Exacto"),Prod_Prop!$A:$A,Prod_Prop!$J:$J,"",0,1))</f>
        <v/>
      </c>
      <c r="S70" s="4" t="str">
        <f t="array" ref="S70">IF($E70="","", XLOOKUP(SUMIFS(Prod_Prop!$A:$A,Prod_Prop!$B:$B,$E70,Prod_Prop!$H:$H,S$1,Prod_Prop!$I:$I,"Exacto"),Prod_Prop!$A:$A,Prod_Prop!$J:$J,"",0,1))</f>
        <v/>
      </c>
      <c r="T70" s="4" t="str">
        <f t="array" ref="T70">IF($E70="","", XLOOKUP(SUMIFS(Prod_Prop!$A:$A,Prod_Prop!$B:$B,$E70,Prod_Prop!$H:$H,T$1,Prod_Prop!$I:$I,"Exacto"),Prod_Prop!$A:$A,Prod_Prop!$J:$J,"",0,1))</f>
        <v/>
      </c>
      <c r="U70" s="4" t="str">
        <f t="array" ref="U70">IF($E70="","", XLOOKUP(SUMIFS(Prod_Prop!$A:$A,Prod_Prop!$B:$B,$E70,Prod_Prop!$H:$H,U$1,Prod_Prop!$I:$I,"Exacto"),Prod_Prop!$A:$A,Prod_Prop!$J:$J,"",0,1))</f>
        <v/>
      </c>
      <c r="V70" s="4" t="str">
        <f t="array" ref="V70">IF($E70="","", XLOOKUP(SUMIFS(Prod_Prop!$A:$A,Prod_Prop!$B:$B,$E70,Prod_Prop!$H:$H,V$1,Prod_Prop!$I:$I,"Exacto"),Prod_Prop!$A:$A,Prod_Prop!$J:$J,"",0,1))</f>
        <v/>
      </c>
      <c r="X70" s="3" t="str">
        <f>IFERROR(__xludf.DUMMYFUNCTION("IF(D70="""","""",IFERROR(TRANSPOSE(FILTER('Validaciones Cotizador'!U:U,'Validaciones Cotizador'!O:O=D70,'Validaciones Cotizador'!T:T=""x"")),""Finalizar""))"),"")</f>
        <v/>
      </c>
    </row>
    <row r="71">
      <c r="A71" s="2" t="str">
        <f t="array" ref="A71">IF(E71="","",XLOOKUP(D71,'Validaciones Cotizador'!C:C,'Validaciones Cotizador'!A:A,"",0,1))</f>
        <v/>
      </c>
      <c r="B71" s="2" t="str">
        <f t="array" ref="B71">IF(F71="","",XLOOKUP(F71,Productos!E:E,Productos!G:G,"",0,1))</f>
        <v/>
      </c>
      <c r="C71" s="2" t="str">
        <f>IF(A71="","",SUMIFS('Validaciones Cotizador'!B:B,'Validaciones Cotizador'!C:C,D71,'Validaciones Cotizador'!A:A,A71))</f>
        <v/>
      </c>
      <c r="D71" s="4" t="str">
        <f>IFERROR(__xludf.DUMMYFUNCTION("IF(OR(F70=""Finalizar"",F70="""",F70=""Selecciona..""),"""",IF(OR(F70=""-"",INDEX(filter(Familias!F:F,Familias!D:D=A70,Familias!E:E=C70),1)=""O""),D70+1,D70))"),"")</f>
        <v/>
      </c>
      <c r="E71" s="2" t="str">
        <f>IF(OR(F71="",F71="Selecciona.."),"",IF(D71="Implemento",SUMIF(Implementos!B:B,F71,Implementos!A:A),SUMIF(Productos!E:E,F71,Productos!A:A)))</f>
        <v/>
      </c>
      <c r="F71" s="2" t="str">
        <f t="shared" si="2"/>
        <v/>
      </c>
      <c r="G71" s="10" t="str">
        <f t="array" ref="G71">IF(OR(F71="",F71="-",F71="Selecciona..",F71="Finalizar"),"",IF(A71="Rodados",XLOOKUP(B71,'Validaciones Cotizador'!I:I,'Validaciones Cotizador'!J:J,0,0,1),1))</f>
        <v/>
      </c>
      <c r="H71" s="11" t="str">
        <f>IF(OR(F71="",F71="Selecciona.."),"",SUMIF(Precio_Productos!K:K,E71,Precio_Productos!J:J)*G71)</f>
        <v/>
      </c>
      <c r="I71" s="4" t="str">
        <f t="array" ref="I71">IF($E71="","", XLOOKUP(SUMIFS(Prod_Prop!$A:$A,Prod_Prop!$B:$B,$E71,Prod_Prop!$H:$H,I$1,Prod_Prop!$I:$I,"Exacto"),Prod_Prop!$A:$A,Prod_Prop!$J:$J,"",0,1))</f>
        <v/>
      </c>
      <c r="J71" s="4" t="str">
        <f t="array" ref="J71">IF($E71="","", XLOOKUP(SUMIFS(Prod_Prop!$A:$A,Prod_Prop!$B:$B,$E71,Prod_Prop!$H:$H,J$1,Prod_Prop!$I:$I,"Exacto"),Prod_Prop!$A:$A,Prod_Prop!$J:$J,"",0,1))</f>
        <v/>
      </c>
      <c r="K71" s="4" t="str">
        <f t="array" ref="K71">IF($E71="","", XLOOKUP(SUMIFS(Prod_Prop!$A:$A,Prod_Prop!$B:$B,$E71,Prod_Prop!$H:$H,K$1,Prod_Prop!$I:$I,"Exacto"),Prod_Prop!$A:$A,Prod_Prop!$J:$J,"",0,1))</f>
        <v/>
      </c>
      <c r="L71" s="4" t="str">
        <f t="array" ref="L71">IF($E71="","", XLOOKUP(SUMIFS(Prod_Prop!$A:$A,Prod_Prop!$B:$B,$E71,Prod_Prop!$H:$H,L$1,Prod_Prop!$I:$I,"Exacto"),Prod_Prop!$A:$A,Prod_Prop!$J:$J,"",0,1))</f>
        <v/>
      </c>
      <c r="M71" s="4" t="str">
        <f t="array" ref="M71">IF($E71="","", XLOOKUP(SUMIFS(Prod_Prop!$A:$A,Prod_Prop!$B:$B,$E71,Prod_Prop!$H:$H,M$1,Prod_Prop!$I:$I,"Exacto"),Prod_Prop!$A:$A,Prod_Prop!$J:$J,"",0,1))</f>
        <v/>
      </c>
      <c r="N71" s="4" t="str">
        <f t="array" ref="N71">IF($E71="","", XLOOKUP(SUMIFS(Prod_Prop!$A:$A,Prod_Prop!$B:$B,$E71,Prod_Prop!$H:$H,N$1,Prod_Prop!$I:$I,"Exacto"),Prod_Prop!$A:$A,Prod_Prop!$J:$J,"",0,1))</f>
        <v/>
      </c>
      <c r="O71" s="4" t="str">
        <f t="array" ref="O71">IF($E71="","", XLOOKUP(SUMIFS(Prod_Prop!$A:$A,Prod_Prop!$B:$B,$E71,Prod_Prop!$H:$H,O$1,Prod_Prop!$I:$I,"Exacto"),Prod_Prop!$A:$A,Prod_Prop!$J:$J,"",0,1))</f>
        <v/>
      </c>
      <c r="P71" s="4" t="str">
        <f t="array" ref="P71">IF($E71="","", XLOOKUP(SUMIFS(Prod_Prop!$A:$A,Prod_Prop!$B:$B,$E71,Prod_Prop!$H:$H,P$1,Prod_Prop!$I:$I,"Exacto"),Prod_Prop!$A:$A,Prod_Prop!$J:$J,"",0,1))</f>
        <v/>
      </c>
      <c r="Q71" s="4" t="str">
        <f t="array" ref="Q71">IF($E71="","", XLOOKUP(SUMIFS(Prod_Prop!$A:$A,Prod_Prop!$B:$B,$E71,Prod_Prop!$H:$H,Q$1,Prod_Prop!$I:$I,"Exacto"),Prod_Prop!$A:$A,Prod_Prop!$J:$J,"",0,1))</f>
        <v/>
      </c>
      <c r="R71" s="4" t="str">
        <f t="array" ref="R71">IF($E71="","", XLOOKUP(SUMIFS(Prod_Prop!$A:$A,Prod_Prop!$B:$B,$E71,Prod_Prop!$H:$H,R$1,Prod_Prop!$I:$I,"Exacto"),Prod_Prop!$A:$A,Prod_Prop!$J:$J,"",0,1))</f>
        <v/>
      </c>
      <c r="S71" s="4" t="str">
        <f t="array" ref="S71">IF($E71="","", XLOOKUP(SUMIFS(Prod_Prop!$A:$A,Prod_Prop!$B:$B,$E71,Prod_Prop!$H:$H,S$1,Prod_Prop!$I:$I,"Exacto"),Prod_Prop!$A:$A,Prod_Prop!$J:$J,"",0,1))</f>
        <v/>
      </c>
      <c r="T71" s="4" t="str">
        <f t="array" ref="T71">IF($E71="","", XLOOKUP(SUMIFS(Prod_Prop!$A:$A,Prod_Prop!$B:$B,$E71,Prod_Prop!$H:$H,T$1,Prod_Prop!$I:$I,"Exacto"),Prod_Prop!$A:$A,Prod_Prop!$J:$J,"",0,1))</f>
        <v/>
      </c>
      <c r="U71" s="4" t="str">
        <f t="array" ref="U71">IF($E71="","", XLOOKUP(SUMIFS(Prod_Prop!$A:$A,Prod_Prop!$B:$B,$E71,Prod_Prop!$H:$H,U$1,Prod_Prop!$I:$I,"Exacto"),Prod_Prop!$A:$A,Prod_Prop!$J:$J,"",0,1))</f>
        <v/>
      </c>
      <c r="V71" s="4" t="str">
        <f t="array" ref="V71">IF($E71="","", XLOOKUP(SUMIFS(Prod_Prop!$A:$A,Prod_Prop!$B:$B,$E71,Prod_Prop!$H:$H,V$1,Prod_Prop!$I:$I,"Exacto"),Prod_Prop!$A:$A,Prod_Prop!$J:$J,"",0,1))</f>
        <v/>
      </c>
      <c r="X71" s="3" t="str">
        <f>IFERROR(__xludf.DUMMYFUNCTION("IF(D71="""","""",IFERROR(TRANSPOSE(FILTER('Validaciones Cotizador'!U:U,'Validaciones Cotizador'!O:O=D71,'Validaciones Cotizador'!T:T=""x"")),""Finalizar""))"),"")</f>
        <v/>
      </c>
    </row>
    <row r="72">
      <c r="A72" s="2" t="str">
        <f t="array" ref="A72">IF(E72="","",XLOOKUP(D72,'Validaciones Cotizador'!C:C,'Validaciones Cotizador'!A:A,"",0,1))</f>
        <v/>
      </c>
      <c r="B72" s="2" t="str">
        <f t="array" ref="B72">IF(F72="","",XLOOKUP(F72,Productos!E:E,Productos!G:G,"",0,1))</f>
        <v/>
      </c>
      <c r="C72" s="2" t="str">
        <f>IF(A72="","",SUMIFS('Validaciones Cotizador'!B:B,'Validaciones Cotizador'!C:C,D72,'Validaciones Cotizador'!A:A,A72))</f>
        <v/>
      </c>
      <c r="D72" s="4" t="str">
        <f>IFERROR(__xludf.DUMMYFUNCTION("IF(OR(F71=""Finalizar"",F71="""",F71=""Selecciona..""),"""",IF(OR(F71=""-"",INDEX(filter(Familias!F:F,Familias!D:D=A71,Familias!E:E=C71),1)=""O""),D71+1,D71))"),"")</f>
        <v/>
      </c>
      <c r="E72" s="2" t="str">
        <f>IF(OR(F72="",F72="Selecciona.."),"",IF(D72="Implemento",SUMIF(Implementos!B:B,F72,Implementos!A:A),SUMIF(Productos!E:E,F72,Productos!A:A)))</f>
        <v/>
      </c>
      <c r="F72" s="2" t="str">
        <f t="shared" si="2"/>
        <v/>
      </c>
      <c r="G72" s="10" t="str">
        <f t="array" ref="G72">IF(OR(F72="",F72="-",F72="Selecciona..",F72="Finalizar"),"",IF(A72="Rodados",XLOOKUP(B72,'Validaciones Cotizador'!I:I,'Validaciones Cotizador'!J:J,0,0,1),1))</f>
        <v/>
      </c>
      <c r="H72" s="11" t="str">
        <f>IF(OR(F72="",F72="Selecciona.."),"",SUMIF(Precio_Productos!K:K,E72,Precio_Productos!J:J)*G72)</f>
        <v/>
      </c>
      <c r="I72" s="4" t="str">
        <f t="array" ref="I72">IF($E72="","", XLOOKUP(SUMIFS(Prod_Prop!$A:$A,Prod_Prop!$B:$B,$E72,Prod_Prop!$H:$H,I$1,Prod_Prop!$I:$I,"Exacto"),Prod_Prop!$A:$A,Prod_Prop!$J:$J,"",0,1))</f>
        <v/>
      </c>
      <c r="J72" s="4" t="str">
        <f t="array" ref="J72">IF($E72="","", XLOOKUP(SUMIFS(Prod_Prop!$A:$A,Prod_Prop!$B:$B,$E72,Prod_Prop!$H:$H,J$1,Prod_Prop!$I:$I,"Exacto"),Prod_Prop!$A:$A,Prod_Prop!$J:$J,"",0,1))</f>
        <v/>
      </c>
      <c r="K72" s="4" t="str">
        <f t="array" ref="K72">IF($E72="","", XLOOKUP(SUMIFS(Prod_Prop!$A:$A,Prod_Prop!$B:$B,$E72,Prod_Prop!$H:$H,K$1,Prod_Prop!$I:$I,"Exacto"),Prod_Prop!$A:$A,Prod_Prop!$J:$J,"",0,1))</f>
        <v/>
      </c>
      <c r="L72" s="4" t="str">
        <f t="array" ref="L72">IF($E72="","", XLOOKUP(SUMIFS(Prod_Prop!$A:$A,Prod_Prop!$B:$B,$E72,Prod_Prop!$H:$H,L$1,Prod_Prop!$I:$I,"Exacto"),Prod_Prop!$A:$A,Prod_Prop!$J:$J,"",0,1))</f>
        <v/>
      </c>
      <c r="M72" s="4" t="str">
        <f t="array" ref="M72">IF($E72="","", XLOOKUP(SUMIFS(Prod_Prop!$A:$A,Prod_Prop!$B:$B,$E72,Prod_Prop!$H:$H,M$1,Prod_Prop!$I:$I,"Exacto"),Prod_Prop!$A:$A,Prod_Prop!$J:$J,"",0,1))</f>
        <v/>
      </c>
      <c r="N72" s="4" t="str">
        <f t="array" ref="N72">IF($E72="","", XLOOKUP(SUMIFS(Prod_Prop!$A:$A,Prod_Prop!$B:$B,$E72,Prod_Prop!$H:$H,N$1,Prod_Prop!$I:$I,"Exacto"),Prod_Prop!$A:$A,Prod_Prop!$J:$J,"",0,1))</f>
        <v/>
      </c>
      <c r="O72" s="4" t="str">
        <f t="array" ref="O72">IF($E72="","", XLOOKUP(SUMIFS(Prod_Prop!$A:$A,Prod_Prop!$B:$B,$E72,Prod_Prop!$H:$H,O$1,Prod_Prop!$I:$I,"Exacto"),Prod_Prop!$A:$A,Prod_Prop!$J:$J,"",0,1))</f>
        <v/>
      </c>
      <c r="P72" s="4" t="str">
        <f t="array" ref="P72">IF($E72="","", XLOOKUP(SUMIFS(Prod_Prop!$A:$A,Prod_Prop!$B:$B,$E72,Prod_Prop!$H:$H,P$1,Prod_Prop!$I:$I,"Exacto"),Prod_Prop!$A:$A,Prod_Prop!$J:$J,"",0,1))</f>
        <v/>
      </c>
      <c r="Q72" s="4" t="str">
        <f t="array" ref="Q72">IF($E72="","", XLOOKUP(SUMIFS(Prod_Prop!$A:$A,Prod_Prop!$B:$B,$E72,Prod_Prop!$H:$H,Q$1,Prod_Prop!$I:$I,"Exacto"),Prod_Prop!$A:$A,Prod_Prop!$J:$J,"",0,1))</f>
        <v/>
      </c>
      <c r="R72" s="4" t="str">
        <f t="array" ref="R72">IF($E72="","", XLOOKUP(SUMIFS(Prod_Prop!$A:$A,Prod_Prop!$B:$B,$E72,Prod_Prop!$H:$H,R$1,Prod_Prop!$I:$I,"Exacto"),Prod_Prop!$A:$A,Prod_Prop!$J:$J,"",0,1))</f>
        <v/>
      </c>
      <c r="S72" s="4" t="str">
        <f t="array" ref="S72">IF($E72="","", XLOOKUP(SUMIFS(Prod_Prop!$A:$A,Prod_Prop!$B:$B,$E72,Prod_Prop!$H:$H,S$1,Prod_Prop!$I:$I,"Exacto"),Prod_Prop!$A:$A,Prod_Prop!$J:$J,"",0,1))</f>
        <v/>
      </c>
      <c r="T72" s="4" t="str">
        <f t="array" ref="T72">IF($E72="","", XLOOKUP(SUMIFS(Prod_Prop!$A:$A,Prod_Prop!$B:$B,$E72,Prod_Prop!$H:$H,T$1,Prod_Prop!$I:$I,"Exacto"),Prod_Prop!$A:$A,Prod_Prop!$J:$J,"",0,1))</f>
        <v/>
      </c>
      <c r="U72" s="4" t="str">
        <f t="array" ref="U72">IF($E72="","", XLOOKUP(SUMIFS(Prod_Prop!$A:$A,Prod_Prop!$B:$B,$E72,Prod_Prop!$H:$H,U$1,Prod_Prop!$I:$I,"Exacto"),Prod_Prop!$A:$A,Prod_Prop!$J:$J,"",0,1))</f>
        <v/>
      </c>
      <c r="V72" s="4" t="str">
        <f t="array" ref="V72">IF($E72="","", XLOOKUP(SUMIFS(Prod_Prop!$A:$A,Prod_Prop!$B:$B,$E72,Prod_Prop!$H:$H,V$1,Prod_Prop!$I:$I,"Exacto"),Prod_Prop!$A:$A,Prod_Prop!$J:$J,"",0,1))</f>
        <v/>
      </c>
      <c r="X72" s="3" t="str">
        <f>IFERROR(__xludf.DUMMYFUNCTION("IF(D72="""","""",IFERROR(TRANSPOSE(FILTER('Validaciones Cotizador'!U:U,'Validaciones Cotizador'!O:O=D72,'Validaciones Cotizador'!T:T=""x"")),""Finalizar""))"),"")</f>
        <v/>
      </c>
    </row>
    <row r="73">
      <c r="A73" s="2" t="str">
        <f t="array" ref="A73">IF(E73="","",XLOOKUP(D73,'Validaciones Cotizador'!C:C,'Validaciones Cotizador'!A:A,"",0,1))</f>
        <v/>
      </c>
      <c r="B73" s="2" t="str">
        <f t="array" ref="B73">IF(F73="","",XLOOKUP(F73,Productos!E:E,Productos!G:G,"",0,1))</f>
        <v/>
      </c>
      <c r="C73" s="2" t="str">
        <f>IF(A73="","",SUMIFS('Validaciones Cotizador'!B:B,'Validaciones Cotizador'!C:C,D73,'Validaciones Cotizador'!A:A,A73))</f>
        <v/>
      </c>
      <c r="D73" s="4" t="str">
        <f>IFERROR(__xludf.DUMMYFUNCTION("IF(OR(F72=""Finalizar"",F72="""",F72=""Selecciona..""),"""",IF(OR(F72=""-"",INDEX(filter(Familias!F:F,Familias!D:D=A72,Familias!E:E=C72),1)=""O""),D72+1,D72))"),"")</f>
        <v/>
      </c>
      <c r="E73" s="2" t="str">
        <f>IF(OR(F73="",F73="Selecciona.."),"",IF(D73="Implemento",SUMIF(Implementos!B:B,F73,Implementos!A:A),SUMIF(Productos!E:E,F73,Productos!A:A)))</f>
        <v/>
      </c>
      <c r="F73" s="2" t="str">
        <f t="shared" si="2"/>
        <v/>
      </c>
      <c r="G73" s="10" t="str">
        <f t="array" ref="G73">IF(OR(F73="",F73="-",F73="Selecciona..",F73="Finalizar"),"",IF(A73="Rodados",XLOOKUP(B73,'Validaciones Cotizador'!I:I,'Validaciones Cotizador'!J:J,0,0,1),1))</f>
        <v/>
      </c>
      <c r="H73" s="11" t="str">
        <f>IF(OR(F73="",F73="Selecciona.."),"",SUMIF(Precio_Productos!K:K,E73,Precio_Productos!J:J)*G73)</f>
        <v/>
      </c>
      <c r="I73" s="4" t="str">
        <f t="array" ref="I73">IF($E73="","", XLOOKUP(SUMIFS(Prod_Prop!$A:$A,Prod_Prop!$B:$B,$E73,Prod_Prop!$H:$H,I$1,Prod_Prop!$I:$I,"Exacto"),Prod_Prop!$A:$A,Prod_Prop!$J:$J,"",0,1))</f>
        <v/>
      </c>
      <c r="J73" s="4" t="str">
        <f t="array" ref="J73">IF($E73="","", XLOOKUP(SUMIFS(Prod_Prop!$A:$A,Prod_Prop!$B:$B,$E73,Prod_Prop!$H:$H,J$1,Prod_Prop!$I:$I,"Exacto"),Prod_Prop!$A:$A,Prod_Prop!$J:$J,"",0,1))</f>
        <v/>
      </c>
      <c r="K73" s="4" t="str">
        <f t="array" ref="K73">IF($E73="","", XLOOKUP(SUMIFS(Prod_Prop!$A:$A,Prod_Prop!$B:$B,$E73,Prod_Prop!$H:$H,K$1,Prod_Prop!$I:$I,"Exacto"),Prod_Prop!$A:$A,Prod_Prop!$J:$J,"",0,1))</f>
        <v/>
      </c>
      <c r="L73" s="4" t="str">
        <f t="array" ref="L73">IF($E73="","", XLOOKUP(SUMIFS(Prod_Prop!$A:$A,Prod_Prop!$B:$B,$E73,Prod_Prop!$H:$H,L$1,Prod_Prop!$I:$I,"Exacto"),Prod_Prop!$A:$A,Prod_Prop!$J:$J,"",0,1))</f>
        <v/>
      </c>
      <c r="M73" s="4" t="str">
        <f t="array" ref="M73">IF($E73="","", XLOOKUP(SUMIFS(Prod_Prop!$A:$A,Prod_Prop!$B:$B,$E73,Prod_Prop!$H:$H,M$1,Prod_Prop!$I:$I,"Exacto"),Prod_Prop!$A:$A,Prod_Prop!$J:$J,"",0,1))</f>
        <v/>
      </c>
      <c r="N73" s="4" t="str">
        <f t="array" ref="N73">IF($E73="","", XLOOKUP(SUMIFS(Prod_Prop!$A:$A,Prod_Prop!$B:$B,$E73,Prod_Prop!$H:$H,N$1,Prod_Prop!$I:$I,"Exacto"),Prod_Prop!$A:$A,Prod_Prop!$J:$J,"",0,1))</f>
        <v/>
      </c>
      <c r="O73" s="4" t="str">
        <f t="array" ref="O73">IF($E73="","", XLOOKUP(SUMIFS(Prod_Prop!$A:$A,Prod_Prop!$B:$B,$E73,Prod_Prop!$H:$H,O$1,Prod_Prop!$I:$I,"Exacto"),Prod_Prop!$A:$A,Prod_Prop!$J:$J,"",0,1))</f>
        <v/>
      </c>
      <c r="P73" s="4" t="str">
        <f t="array" ref="P73">IF($E73="","", XLOOKUP(SUMIFS(Prod_Prop!$A:$A,Prod_Prop!$B:$B,$E73,Prod_Prop!$H:$H,P$1,Prod_Prop!$I:$I,"Exacto"),Prod_Prop!$A:$A,Prod_Prop!$J:$J,"",0,1))</f>
        <v/>
      </c>
      <c r="Q73" s="4" t="str">
        <f t="array" ref="Q73">IF($E73="","", XLOOKUP(SUMIFS(Prod_Prop!$A:$A,Prod_Prop!$B:$B,$E73,Prod_Prop!$H:$H,Q$1,Prod_Prop!$I:$I,"Exacto"),Prod_Prop!$A:$A,Prod_Prop!$J:$J,"",0,1))</f>
        <v/>
      </c>
      <c r="R73" s="4" t="str">
        <f t="array" ref="R73">IF($E73="","", XLOOKUP(SUMIFS(Prod_Prop!$A:$A,Prod_Prop!$B:$B,$E73,Prod_Prop!$H:$H,R$1,Prod_Prop!$I:$I,"Exacto"),Prod_Prop!$A:$A,Prod_Prop!$J:$J,"",0,1))</f>
        <v/>
      </c>
      <c r="S73" s="4" t="str">
        <f t="array" ref="S73">IF($E73="","", XLOOKUP(SUMIFS(Prod_Prop!$A:$A,Prod_Prop!$B:$B,$E73,Prod_Prop!$H:$H,S$1,Prod_Prop!$I:$I,"Exacto"),Prod_Prop!$A:$A,Prod_Prop!$J:$J,"",0,1))</f>
        <v/>
      </c>
      <c r="T73" s="4" t="str">
        <f t="array" ref="T73">IF($E73="","", XLOOKUP(SUMIFS(Prod_Prop!$A:$A,Prod_Prop!$B:$B,$E73,Prod_Prop!$H:$H,T$1,Prod_Prop!$I:$I,"Exacto"),Prod_Prop!$A:$A,Prod_Prop!$J:$J,"",0,1))</f>
        <v/>
      </c>
      <c r="U73" s="4" t="str">
        <f t="array" ref="U73">IF($E73="","", XLOOKUP(SUMIFS(Prod_Prop!$A:$A,Prod_Prop!$B:$B,$E73,Prod_Prop!$H:$H,U$1,Prod_Prop!$I:$I,"Exacto"),Prod_Prop!$A:$A,Prod_Prop!$J:$J,"",0,1))</f>
        <v/>
      </c>
      <c r="V73" s="4" t="str">
        <f t="array" ref="V73">IF($E73="","", XLOOKUP(SUMIFS(Prod_Prop!$A:$A,Prod_Prop!$B:$B,$E73,Prod_Prop!$H:$H,V$1,Prod_Prop!$I:$I,"Exacto"),Prod_Prop!$A:$A,Prod_Prop!$J:$J,"",0,1))</f>
        <v/>
      </c>
      <c r="X73" s="3" t="str">
        <f>IFERROR(__xludf.DUMMYFUNCTION("IF(D73="""","""",IFERROR(TRANSPOSE(FILTER('Validaciones Cotizador'!U:U,'Validaciones Cotizador'!O:O=D73,'Validaciones Cotizador'!T:T=""x"")),""Finalizar""))"),"")</f>
        <v/>
      </c>
    </row>
    <row r="74">
      <c r="A74" s="2" t="str">
        <f t="array" ref="A74">IF(E74="","",XLOOKUP(D74,'Validaciones Cotizador'!C:C,'Validaciones Cotizador'!A:A,"",0,1))</f>
        <v/>
      </c>
      <c r="B74" s="2" t="str">
        <f t="array" ref="B74">IF(F74="","",XLOOKUP(F74,Productos!E:E,Productos!G:G,"",0,1))</f>
        <v/>
      </c>
      <c r="C74" s="2" t="str">
        <f>IF(A74="","",SUMIFS('Validaciones Cotizador'!B:B,'Validaciones Cotizador'!C:C,D74,'Validaciones Cotizador'!A:A,A74))</f>
        <v/>
      </c>
      <c r="D74" s="4" t="str">
        <f>IFERROR(__xludf.DUMMYFUNCTION("IF(OR(F73=""Finalizar"",F73="""",F73=""Selecciona..""),"""",IF(OR(F73=""-"",INDEX(filter(Familias!F:F,Familias!D:D=A73,Familias!E:E=C73),1)=""O""),D73+1,D73))"),"")</f>
        <v/>
      </c>
      <c r="E74" s="2" t="str">
        <f>IF(OR(F74="",F74="Selecciona.."),"",IF(D74="Implemento",SUMIF(Implementos!B:B,F74,Implementos!A:A),SUMIF(Productos!E:E,F74,Productos!A:A)))</f>
        <v/>
      </c>
      <c r="F74" s="2" t="str">
        <f t="shared" si="2"/>
        <v/>
      </c>
      <c r="G74" s="10" t="str">
        <f t="array" ref="G74">IF(OR(F74="",F74="-",F74="Selecciona..",F74="Finalizar"),"",IF(A74="Rodados",XLOOKUP(B74,'Validaciones Cotizador'!I:I,'Validaciones Cotizador'!J:J,0,0,1),1))</f>
        <v/>
      </c>
      <c r="H74" s="11" t="str">
        <f>IF(OR(F74="",F74="Selecciona.."),"",SUMIF(Precio_Productos!K:K,E74,Precio_Productos!J:J)*G74)</f>
        <v/>
      </c>
      <c r="I74" s="4" t="str">
        <f t="array" ref="I74">IF($E74="","", XLOOKUP(SUMIFS(Prod_Prop!$A:$A,Prod_Prop!$B:$B,$E74,Prod_Prop!$H:$H,I$1,Prod_Prop!$I:$I,"Exacto"),Prod_Prop!$A:$A,Prod_Prop!$J:$J,"",0,1))</f>
        <v/>
      </c>
      <c r="J74" s="4" t="str">
        <f t="array" ref="J74">IF($E74="","", XLOOKUP(SUMIFS(Prod_Prop!$A:$A,Prod_Prop!$B:$B,$E74,Prod_Prop!$H:$H,J$1,Prod_Prop!$I:$I,"Exacto"),Prod_Prop!$A:$A,Prod_Prop!$J:$J,"",0,1))</f>
        <v/>
      </c>
      <c r="K74" s="4" t="str">
        <f t="array" ref="K74">IF($E74="","", XLOOKUP(SUMIFS(Prod_Prop!$A:$A,Prod_Prop!$B:$B,$E74,Prod_Prop!$H:$H,K$1,Prod_Prop!$I:$I,"Exacto"),Prod_Prop!$A:$A,Prod_Prop!$J:$J,"",0,1))</f>
        <v/>
      </c>
      <c r="L74" s="4" t="str">
        <f t="array" ref="L74">IF($E74="","", XLOOKUP(SUMIFS(Prod_Prop!$A:$A,Prod_Prop!$B:$B,$E74,Prod_Prop!$H:$H,L$1,Prod_Prop!$I:$I,"Exacto"),Prod_Prop!$A:$A,Prod_Prop!$J:$J,"",0,1))</f>
        <v/>
      </c>
      <c r="M74" s="4" t="str">
        <f t="array" ref="M74">IF($E74="","", XLOOKUP(SUMIFS(Prod_Prop!$A:$A,Prod_Prop!$B:$B,$E74,Prod_Prop!$H:$H,M$1,Prod_Prop!$I:$I,"Exacto"),Prod_Prop!$A:$A,Prod_Prop!$J:$J,"",0,1))</f>
        <v/>
      </c>
      <c r="N74" s="4" t="str">
        <f t="array" ref="N74">IF($E74="","", XLOOKUP(SUMIFS(Prod_Prop!$A:$A,Prod_Prop!$B:$B,$E74,Prod_Prop!$H:$H,N$1,Prod_Prop!$I:$I,"Exacto"),Prod_Prop!$A:$A,Prod_Prop!$J:$J,"",0,1))</f>
        <v/>
      </c>
      <c r="O74" s="4" t="str">
        <f t="array" ref="O74">IF($E74="","", XLOOKUP(SUMIFS(Prod_Prop!$A:$A,Prod_Prop!$B:$B,$E74,Prod_Prop!$H:$H,O$1,Prod_Prop!$I:$I,"Exacto"),Prod_Prop!$A:$A,Prod_Prop!$J:$J,"",0,1))</f>
        <v/>
      </c>
      <c r="P74" s="4" t="str">
        <f t="array" ref="P74">IF($E74="","", XLOOKUP(SUMIFS(Prod_Prop!$A:$A,Prod_Prop!$B:$B,$E74,Prod_Prop!$H:$H,P$1,Prod_Prop!$I:$I,"Exacto"),Prod_Prop!$A:$A,Prod_Prop!$J:$J,"",0,1))</f>
        <v/>
      </c>
      <c r="Q74" s="4" t="str">
        <f t="array" ref="Q74">IF($E74="","", XLOOKUP(SUMIFS(Prod_Prop!$A:$A,Prod_Prop!$B:$B,$E74,Prod_Prop!$H:$H,Q$1,Prod_Prop!$I:$I,"Exacto"),Prod_Prop!$A:$A,Prod_Prop!$J:$J,"",0,1))</f>
        <v/>
      </c>
      <c r="R74" s="4" t="str">
        <f t="array" ref="R74">IF($E74="","", XLOOKUP(SUMIFS(Prod_Prop!$A:$A,Prod_Prop!$B:$B,$E74,Prod_Prop!$H:$H,R$1,Prod_Prop!$I:$I,"Exacto"),Prod_Prop!$A:$A,Prod_Prop!$J:$J,"",0,1))</f>
        <v/>
      </c>
      <c r="S74" s="4" t="str">
        <f t="array" ref="S74">IF($E74="","", XLOOKUP(SUMIFS(Prod_Prop!$A:$A,Prod_Prop!$B:$B,$E74,Prod_Prop!$H:$H,S$1,Prod_Prop!$I:$I,"Exacto"),Prod_Prop!$A:$A,Prod_Prop!$J:$J,"",0,1))</f>
        <v/>
      </c>
      <c r="T74" s="4" t="str">
        <f t="array" ref="T74">IF($E74="","", XLOOKUP(SUMIFS(Prod_Prop!$A:$A,Prod_Prop!$B:$B,$E74,Prod_Prop!$H:$H,T$1,Prod_Prop!$I:$I,"Exacto"),Prod_Prop!$A:$A,Prod_Prop!$J:$J,"",0,1))</f>
        <v/>
      </c>
      <c r="U74" s="4" t="str">
        <f t="array" ref="U74">IF($E74="","", XLOOKUP(SUMIFS(Prod_Prop!$A:$A,Prod_Prop!$B:$B,$E74,Prod_Prop!$H:$H,U$1,Prod_Prop!$I:$I,"Exacto"),Prod_Prop!$A:$A,Prod_Prop!$J:$J,"",0,1))</f>
        <v/>
      </c>
      <c r="V74" s="4" t="str">
        <f t="array" ref="V74">IF($E74="","", XLOOKUP(SUMIFS(Prod_Prop!$A:$A,Prod_Prop!$B:$B,$E74,Prod_Prop!$H:$H,V$1,Prod_Prop!$I:$I,"Exacto"),Prod_Prop!$A:$A,Prod_Prop!$J:$J,"",0,1))</f>
        <v/>
      </c>
      <c r="X74" s="3" t="str">
        <f>IFERROR(__xludf.DUMMYFUNCTION("IF(D74="""","""",IFERROR(TRANSPOSE(FILTER('Validaciones Cotizador'!U:U,'Validaciones Cotizador'!O:O=D74,'Validaciones Cotizador'!T:T=""x"")),""Finalizar""))"),"")</f>
        <v/>
      </c>
    </row>
    <row r="75">
      <c r="A75" s="2" t="str">
        <f t="array" ref="A75">IF(E75="","",XLOOKUP(D75,'Validaciones Cotizador'!C:C,'Validaciones Cotizador'!A:A,"",0,1))</f>
        <v/>
      </c>
      <c r="B75" s="2" t="str">
        <f t="array" ref="B75">IF(F75="","",XLOOKUP(F75,Productos!E:E,Productos!G:G,"",0,1))</f>
        <v/>
      </c>
      <c r="C75" s="2" t="str">
        <f>IF(A75="","",SUMIFS('Validaciones Cotizador'!B:B,'Validaciones Cotizador'!C:C,D75,'Validaciones Cotizador'!A:A,A75))</f>
        <v/>
      </c>
      <c r="D75" s="4" t="str">
        <f>IFERROR(__xludf.DUMMYFUNCTION("IF(OR(F74=""Finalizar"",F74="""",F74=""Selecciona..""),"""",IF(OR(F74=""-"",INDEX(filter(Familias!F:F,Familias!D:D=A74,Familias!E:E=C74),1)=""O""),D74+1,D74))"),"")</f>
        <v/>
      </c>
      <c r="E75" s="2" t="str">
        <f>IF(OR(F75="",F75="Selecciona.."),"",IF(D75="Implemento",SUMIF(Implementos!B:B,F75,Implementos!A:A),SUMIF(Productos!E:E,F75,Productos!A:A)))</f>
        <v/>
      </c>
      <c r="F75" s="2" t="str">
        <f t="shared" si="2"/>
        <v/>
      </c>
      <c r="G75" s="10" t="str">
        <f t="array" ref="G75">IF(OR(F75="",F75="-",F75="Selecciona..",F75="Finalizar"),"",IF(A75="Rodados",XLOOKUP(B75,'Validaciones Cotizador'!I:I,'Validaciones Cotizador'!J:J,0,0,1),1))</f>
        <v/>
      </c>
      <c r="H75" s="11" t="str">
        <f>IF(OR(F75="",F75="Selecciona.."),"",SUMIF(Precio_Productos!K:K,E75,Precio_Productos!J:J)*G75)</f>
        <v/>
      </c>
      <c r="I75" s="4" t="str">
        <f t="array" ref="I75">IF($E75="","", XLOOKUP(SUMIFS(Prod_Prop!$A:$A,Prod_Prop!$B:$B,$E75,Prod_Prop!$H:$H,I$1,Prod_Prop!$I:$I,"Exacto"),Prod_Prop!$A:$A,Prod_Prop!$J:$J,"",0,1))</f>
        <v/>
      </c>
      <c r="J75" s="4" t="str">
        <f t="array" ref="J75">IF($E75="","", XLOOKUP(SUMIFS(Prod_Prop!$A:$A,Prod_Prop!$B:$B,$E75,Prod_Prop!$H:$H,J$1,Prod_Prop!$I:$I,"Exacto"),Prod_Prop!$A:$A,Prod_Prop!$J:$J,"",0,1))</f>
        <v/>
      </c>
      <c r="K75" s="4" t="str">
        <f t="array" ref="K75">IF($E75="","", XLOOKUP(SUMIFS(Prod_Prop!$A:$A,Prod_Prop!$B:$B,$E75,Prod_Prop!$H:$H,K$1,Prod_Prop!$I:$I,"Exacto"),Prod_Prop!$A:$A,Prod_Prop!$J:$J,"",0,1))</f>
        <v/>
      </c>
      <c r="L75" s="4" t="str">
        <f t="array" ref="L75">IF($E75="","", XLOOKUP(SUMIFS(Prod_Prop!$A:$A,Prod_Prop!$B:$B,$E75,Prod_Prop!$H:$H,L$1,Prod_Prop!$I:$I,"Exacto"),Prod_Prop!$A:$A,Prod_Prop!$J:$J,"",0,1))</f>
        <v/>
      </c>
      <c r="M75" s="4" t="str">
        <f t="array" ref="M75">IF($E75="","", XLOOKUP(SUMIFS(Prod_Prop!$A:$A,Prod_Prop!$B:$B,$E75,Prod_Prop!$H:$H,M$1,Prod_Prop!$I:$I,"Exacto"),Prod_Prop!$A:$A,Prod_Prop!$J:$J,"",0,1))</f>
        <v/>
      </c>
      <c r="N75" s="4" t="str">
        <f t="array" ref="N75">IF($E75="","", XLOOKUP(SUMIFS(Prod_Prop!$A:$A,Prod_Prop!$B:$B,$E75,Prod_Prop!$H:$H,N$1,Prod_Prop!$I:$I,"Exacto"),Prod_Prop!$A:$A,Prod_Prop!$J:$J,"",0,1))</f>
        <v/>
      </c>
      <c r="O75" s="4" t="str">
        <f t="array" ref="O75">IF($E75="","", XLOOKUP(SUMIFS(Prod_Prop!$A:$A,Prod_Prop!$B:$B,$E75,Prod_Prop!$H:$H,O$1,Prod_Prop!$I:$I,"Exacto"),Prod_Prop!$A:$A,Prod_Prop!$J:$J,"",0,1))</f>
        <v/>
      </c>
      <c r="P75" s="4" t="str">
        <f t="array" ref="P75">IF($E75="","", XLOOKUP(SUMIFS(Prod_Prop!$A:$A,Prod_Prop!$B:$B,$E75,Prod_Prop!$H:$H,P$1,Prod_Prop!$I:$I,"Exacto"),Prod_Prop!$A:$A,Prod_Prop!$J:$J,"",0,1))</f>
        <v/>
      </c>
      <c r="Q75" s="4" t="str">
        <f t="array" ref="Q75">IF($E75="","", XLOOKUP(SUMIFS(Prod_Prop!$A:$A,Prod_Prop!$B:$B,$E75,Prod_Prop!$H:$H,Q$1,Prod_Prop!$I:$I,"Exacto"),Prod_Prop!$A:$A,Prod_Prop!$J:$J,"",0,1))</f>
        <v/>
      </c>
      <c r="R75" s="4" t="str">
        <f t="array" ref="R75">IF($E75="","", XLOOKUP(SUMIFS(Prod_Prop!$A:$A,Prod_Prop!$B:$B,$E75,Prod_Prop!$H:$H,R$1,Prod_Prop!$I:$I,"Exacto"),Prod_Prop!$A:$A,Prod_Prop!$J:$J,"",0,1))</f>
        <v/>
      </c>
      <c r="S75" s="4" t="str">
        <f t="array" ref="S75">IF($E75="","", XLOOKUP(SUMIFS(Prod_Prop!$A:$A,Prod_Prop!$B:$B,$E75,Prod_Prop!$H:$H,S$1,Prod_Prop!$I:$I,"Exacto"),Prod_Prop!$A:$A,Prod_Prop!$J:$J,"",0,1))</f>
        <v/>
      </c>
      <c r="T75" s="4" t="str">
        <f t="array" ref="T75">IF($E75="","", XLOOKUP(SUMIFS(Prod_Prop!$A:$A,Prod_Prop!$B:$B,$E75,Prod_Prop!$H:$H,T$1,Prod_Prop!$I:$I,"Exacto"),Prod_Prop!$A:$A,Prod_Prop!$J:$J,"",0,1))</f>
        <v/>
      </c>
      <c r="U75" s="4" t="str">
        <f t="array" ref="U75">IF($E75="","", XLOOKUP(SUMIFS(Prod_Prop!$A:$A,Prod_Prop!$B:$B,$E75,Prod_Prop!$H:$H,U$1,Prod_Prop!$I:$I,"Exacto"),Prod_Prop!$A:$A,Prod_Prop!$J:$J,"",0,1))</f>
        <v/>
      </c>
      <c r="V75" s="4" t="str">
        <f t="array" ref="V75">IF($E75="","", XLOOKUP(SUMIFS(Prod_Prop!$A:$A,Prod_Prop!$B:$B,$E75,Prod_Prop!$H:$H,V$1,Prod_Prop!$I:$I,"Exacto"),Prod_Prop!$A:$A,Prod_Prop!$J:$J,"",0,1))</f>
        <v/>
      </c>
      <c r="X75" s="3" t="str">
        <f>IFERROR(__xludf.DUMMYFUNCTION("IF(D75="""","""",IFERROR(TRANSPOSE(FILTER('Validaciones Cotizador'!U:U,'Validaciones Cotizador'!O:O=D75,'Validaciones Cotizador'!T:T=""x"")),""Finalizar""))"),"")</f>
        <v/>
      </c>
    </row>
    <row r="76">
      <c r="A76" s="2" t="str">
        <f t="array" ref="A76">IF(E76="","",XLOOKUP(D76,'Validaciones Cotizador'!C:C,'Validaciones Cotizador'!A:A,"",0,1))</f>
        <v/>
      </c>
      <c r="B76" s="2" t="str">
        <f t="array" ref="B76">IF(F76="","",XLOOKUP(F76,Productos!E:E,Productos!G:G,"",0,1))</f>
        <v/>
      </c>
      <c r="C76" s="2" t="str">
        <f>IF(A76="","",SUMIFS('Validaciones Cotizador'!B:B,'Validaciones Cotizador'!C:C,D76,'Validaciones Cotizador'!A:A,A76))</f>
        <v/>
      </c>
      <c r="D76" s="4" t="str">
        <f>IFERROR(__xludf.DUMMYFUNCTION("IF(OR(F75=""Finalizar"",F75="""",F75=""Selecciona..""),"""",IF(OR(F75=""-"",INDEX(filter(Familias!F:F,Familias!D:D=A75,Familias!E:E=C75),1)=""O""),D75+1,D75))"),"")</f>
        <v/>
      </c>
      <c r="E76" s="2" t="str">
        <f>IF(OR(F76="",F76="Selecciona.."),"",IF(D76="Implemento",SUMIF(Implementos!B:B,F76,Implementos!A:A),SUMIF(Productos!E:E,F76,Productos!A:A)))</f>
        <v/>
      </c>
      <c r="F76" s="2" t="str">
        <f t="shared" si="2"/>
        <v/>
      </c>
      <c r="G76" s="10" t="str">
        <f t="array" ref="G76">IF(OR(F76="",F76="-",F76="Selecciona..",F76="Finalizar"),"",IF(A76="Rodados",XLOOKUP(B76,'Validaciones Cotizador'!I:I,'Validaciones Cotizador'!J:J,0,0,1),1))</f>
        <v/>
      </c>
      <c r="H76" s="11" t="str">
        <f>IF(OR(F76="",F76="Selecciona.."),"",SUMIF(Precio_Productos!K:K,E76,Precio_Productos!J:J)*G76)</f>
        <v/>
      </c>
      <c r="I76" s="4" t="str">
        <f t="array" ref="I76">IF($E76="","", XLOOKUP(SUMIFS(Prod_Prop!$A:$A,Prod_Prop!$B:$B,$E76,Prod_Prop!$H:$H,I$1,Prod_Prop!$I:$I,"Exacto"),Prod_Prop!$A:$A,Prod_Prop!$J:$J,"",0,1))</f>
        <v/>
      </c>
      <c r="J76" s="4" t="str">
        <f t="array" ref="J76">IF($E76="","", XLOOKUP(SUMIFS(Prod_Prop!$A:$A,Prod_Prop!$B:$B,$E76,Prod_Prop!$H:$H,J$1,Prod_Prop!$I:$I,"Exacto"),Prod_Prop!$A:$A,Prod_Prop!$J:$J,"",0,1))</f>
        <v/>
      </c>
      <c r="K76" s="4" t="str">
        <f t="array" ref="K76">IF($E76="","", XLOOKUP(SUMIFS(Prod_Prop!$A:$A,Prod_Prop!$B:$B,$E76,Prod_Prop!$H:$H,K$1,Prod_Prop!$I:$I,"Exacto"),Prod_Prop!$A:$A,Prod_Prop!$J:$J,"",0,1))</f>
        <v/>
      </c>
      <c r="L76" s="4" t="str">
        <f t="array" ref="L76">IF($E76="","", XLOOKUP(SUMIFS(Prod_Prop!$A:$A,Prod_Prop!$B:$B,$E76,Prod_Prop!$H:$H,L$1,Prod_Prop!$I:$I,"Exacto"),Prod_Prop!$A:$A,Prod_Prop!$J:$J,"",0,1))</f>
        <v/>
      </c>
      <c r="M76" s="4" t="str">
        <f t="array" ref="M76">IF($E76="","", XLOOKUP(SUMIFS(Prod_Prop!$A:$A,Prod_Prop!$B:$B,$E76,Prod_Prop!$H:$H,M$1,Prod_Prop!$I:$I,"Exacto"),Prod_Prop!$A:$A,Prod_Prop!$J:$J,"",0,1))</f>
        <v/>
      </c>
      <c r="N76" s="4" t="str">
        <f t="array" ref="N76">IF($E76="","", XLOOKUP(SUMIFS(Prod_Prop!$A:$A,Prod_Prop!$B:$B,$E76,Prod_Prop!$H:$H,N$1,Prod_Prop!$I:$I,"Exacto"),Prod_Prop!$A:$A,Prod_Prop!$J:$J,"",0,1))</f>
        <v/>
      </c>
      <c r="O76" s="4" t="str">
        <f t="array" ref="O76">IF($E76="","", XLOOKUP(SUMIFS(Prod_Prop!$A:$A,Prod_Prop!$B:$B,$E76,Prod_Prop!$H:$H,O$1,Prod_Prop!$I:$I,"Exacto"),Prod_Prop!$A:$A,Prod_Prop!$J:$J,"",0,1))</f>
        <v/>
      </c>
      <c r="P76" s="4" t="str">
        <f t="array" ref="P76">IF($E76="","", XLOOKUP(SUMIFS(Prod_Prop!$A:$A,Prod_Prop!$B:$B,$E76,Prod_Prop!$H:$H,P$1,Prod_Prop!$I:$I,"Exacto"),Prod_Prop!$A:$A,Prod_Prop!$J:$J,"",0,1))</f>
        <v/>
      </c>
      <c r="Q76" s="4" t="str">
        <f t="array" ref="Q76">IF($E76="","", XLOOKUP(SUMIFS(Prod_Prop!$A:$A,Prod_Prop!$B:$B,$E76,Prod_Prop!$H:$H,Q$1,Prod_Prop!$I:$I,"Exacto"),Prod_Prop!$A:$A,Prod_Prop!$J:$J,"",0,1))</f>
        <v/>
      </c>
      <c r="R76" s="4" t="str">
        <f t="array" ref="R76">IF($E76="","", XLOOKUP(SUMIFS(Prod_Prop!$A:$A,Prod_Prop!$B:$B,$E76,Prod_Prop!$H:$H,R$1,Prod_Prop!$I:$I,"Exacto"),Prod_Prop!$A:$A,Prod_Prop!$J:$J,"",0,1))</f>
        <v/>
      </c>
      <c r="S76" s="4" t="str">
        <f t="array" ref="S76">IF($E76="","", XLOOKUP(SUMIFS(Prod_Prop!$A:$A,Prod_Prop!$B:$B,$E76,Prod_Prop!$H:$H,S$1,Prod_Prop!$I:$I,"Exacto"),Prod_Prop!$A:$A,Prod_Prop!$J:$J,"",0,1))</f>
        <v/>
      </c>
      <c r="T76" s="4" t="str">
        <f t="array" ref="T76">IF($E76="","", XLOOKUP(SUMIFS(Prod_Prop!$A:$A,Prod_Prop!$B:$B,$E76,Prod_Prop!$H:$H,T$1,Prod_Prop!$I:$I,"Exacto"),Prod_Prop!$A:$A,Prod_Prop!$J:$J,"",0,1))</f>
        <v/>
      </c>
      <c r="U76" s="4" t="str">
        <f t="array" ref="U76">IF($E76="","", XLOOKUP(SUMIFS(Prod_Prop!$A:$A,Prod_Prop!$B:$B,$E76,Prod_Prop!$H:$H,U$1,Prod_Prop!$I:$I,"Exacto"),Prod_Prop!$A:$A,Prod_Prop!$J:$J,"",0,1))</f>
        <v/>
      </c>
      <c r="V76" s="4" t="str">
        <f t="array" ref="V76">IF($E76="","", XLOOKUP(SUMIFS(Prod_Prop!$A:$A,Prod_Prop!$B:$B,$E76,Prod_Prop!$H:$H,V$1,Prod_Prop!$I:$I,"Exacto"),Prod_Prop!$A:$A,Prod_Prop!$J:$J,"",0,1))</f>
        <v/>
      </c>
      <c r="X76" s="3" t="str">
        <f>IFERROR(__xludf.DUMMYFUNCTION("IF(D76="""","""",IFERROR(TRANSPOSE(FILTER('Validaciones Cotizador'!U:U,'Validaciones Cotizador'!O:O=D76,'Validaciones Cotizador'!T:T=""x"")),""Finalizar""))"),"")</f>
        <v/>
      </c>
    </row>
    <row r="77">
      <c r="A77" s="2" t="str">
        <f t="array" ref="A77">IF(E77="","",XLOOKUP(D77,'Validaciones Cotizador'!C:C,'Validaciones Cotizador'!A:A,"",0,1))</f>
        <v/>
      </c>
      <c r="B77" s="2" t="str">
        <f t="array" ref="B77">IF(F77="","",XLOOKUP(F77,Productos!E:E,Productos!G:G,"",0,1))</f>
        <v/>
      </c>
      <c r="C77" s="2" t="str">
        <f>IF(A77="","",SUMIFS('Validaciones Cotizador'!B:B,'Validaciones Cotizador'!C:C,D77,'Validaciones Cotizador'!A:A,A77))</f>
        <v/>
      </c>
      <c r="D77" s="4" t="str">
        <f>IFERROR(__xludf.DUMMYFUNCTION("IF(OR(F76=""Finalizar"",F76="""",F76=""Selecciona..""),"""",IF(OR(F76=""-"",INDEX(filter(Familias!F:F,Familias!D:D=A76,Familias!E:E=C76),1)=""O""),D76+1,D76))"),"")</f>
        <v/>
      </c>
      <c r="E77" s="2" t="str">
        <f>IF(OR(F77="",F77="Selecciona.."),"",IF(D77="Implemento",SUMIF(Implementos!B:B,F77,Implementos!A:A),SUMIF(Productos!E:E,F77,Productos!A:A)))</f>
        <v/>
      </c>
      <c r="F77" s="2" t="str">
        <f t="shared" si="2"/>
        <v/>
      </c>
      <c r="G77" s="10" t="str">
        <f t="array" ref="G77">IF(OR(F77="",F77="-",F77="Selecciona..",F77="Finalizar"),"",IF(A77="Rodados",XLOOKUP(B77,'Validaciones Cotizador'!I:I,'Validaciones Cotizador'!J:J,0,0,1),1))</f>
        <v/>
      </c>
      <c r="H77" s="11" t="str">
        <f>IF(OR(F77="",F77="Selecciona.."),"",SUMIF(Precio_Productos!K:K,E77,Precio_Productos!J:J)*G77)</f>
        <v/>
      </c>
      <c r="I77" s="4" t="str">
        <f t="array" ref="I77">IF($E77="","", XLOOKUP(SUMIFS(Prod_Prop!$A:$A,Prod_Prop!$B:$B,$E77,Prod_Prop!$H:$H,I$1,Prod_Prop!$I:$I,"Exacto"),Prod_Prop!$A:$A,Prod_Prop!$J:$J,"",0,1))</f>
        <v/>
      </c>
      <c r="J77" s="4" t="str">
        <f t="array" ref="J77">IF($E77="","", XLOOKUP(SUMIFS(Prod_Prop!$A:$A,Prod_Prop!$B:$B,$E77,Prod_Prop!$H:$H,J$1,Prod_Prop!$I:$I,"Exacto"),Prod_Prop!$A:$A,Prod_Prop!$J:$J,"",0,1))</f>
        <v/>
      </c>
      <c r="K77" s="4" t="str">
        <f t="array" ref="K77">IF($E77="","", XLOOKUP(SUMIFS(Prod_Prop!$A:$A,Prod_Prop!$B:$B,$E77,Prod_Prop!$H:$H,K$1,Prod_Prop!$I:$I,"Exacto"),Prod_Prop!$A:$A,Prod_Prop!$J:$J,"",0,1))</f>
        <v/>
      </c>
      <c r="L77" s="4" t="str">
        <f t="array" ref="L77">IF($E77="","", XLOOKUP(SUMIFS(Prod_Prop!$A:$A,Prod_Prop!$B:$B,$E77,Prod_Prop!$H:$H,L$1,Prod_Prop!$I:$I,"Exacto"),Prod_Prop!$A:$A,Prod_Prop!$J:$J,"",0,1))</f>
        <v/>
      </c>
      <c r="M77" s="4" t="str">
        <f t="array" ref="M77">IF($E77="","", XLOOKUP(SUMIFS(Prod_Prop!$A:$A,Prod_Prop!$B:$B,$E77,Prod_Prop!$H:$H,M$1,Prod_Prop!$I:$I,"Exacto"),Prod_Prop!$A:$A,Prod_Prop!$J:$J,"",0,1))</f>
        <v/>
      </c>
      <c r="N77" s="4" t="str">
        <f t="array" ref="N77">IF($E77="","", XLOOKUP(SUMIFS(Prod_Prop!$A:$A,Prod_Prop!$B:$B,$E77,Prod_Prop!$H:$H,N$1,Prod_Prop!$I:$I,"Exacto"),Prod_Prop!$A:$A,Prod_Prop!$J:$J,"",0,1))</f>
        <v/>
      </c>
      <c r="O77" s="4" t="str">
        <f t="array" ref="O77">IF($E77="","", XLOOKUP(SUMIFS(Prod_Prop!$A:$A,Prod_Prop!$B:$B,$E77,Prod_Prop!$H:$H,O$1,Prod_Prop!$I:$I,"Exacto"),Prod_Prop!$A:$A,Prod_Prop!$J:$J,"",0,1))</f>
        <v/>
      </c>
      <c r="P77" s="4" t="str">
        <f t="array" ref="P77">IF($E77="","", XLOOKUP(SUMIFS(Prod_Prop!$A:$A,Prod_Prop!$B:$B,$E77,Prod_Prop!$H:$H,P$1,Prod_Prop!$I:$I,"Exacto"),Prod_Prop!$A:$A,Prod_Prop!$J:$J,"",0,1))</f>
        <v/>
      </c>
      <c r="Q77" s="4" t="str">
        <f t="array" ref="Q77">IF($E77="","", XLOOKUP(SUMIFS(Prod_Prop!$A:$A,Prod_Prop!$B:$B,$E77,Prod_Prop!$H:$H,Q$1,Prod_Prop!$I:$I,"Exacto"),Prod_Prop!$A:$A,Prod_Prop!$J:$J,"",0,1))</f>
        <v/>
      </c>
      <c r="R77" s="4" t="str">
        <f t="array" ref="R77">IF($E77="","", XLOOKUP(SUMIFS(Prod_Prop!$A:$A,Prod_Prop!$B:$B,$E77,Prod_Prop!$H:$H,R$1,Prod_Prop!$I:$I,"Exacto"),Prod_Prop!$A:$A,Prod_Prop!$J:$J,"",0,1))</f>
        <v/>
      </c>
      <c r="S77" s="4" t="str">
        <f t="array" ref="S77">IF($E77="","", XLOOKUP(SUMIFS(Prod_Prop!$A:$A,Prod_Prop!$B:$B,$E77,Prod_Prop!$H:$H,S$1,Prod_Prop!$I:$I,"Exacto"),Prod_Prop!$A:$A,Prod_Prop!$J:$J,"",0,1))</f>
        <v/>
      </c>
      <c r="T77" s="4" t="str">
        <f t="array" ref="T77">IF($E77="","", XLOOKUP(SUMIFS(Prod_Prop!$A:$A,Prod_Prop!$B:$B,$E77,Prod_Prop!$H:$H,T$1,Prod_Prop!$I:$I,"Exacto"),Prod_Prop!$A:$A,Prod_Prop!$J:$J,"",0,1))</f>
        <v/>
      </c>
      <c r="U77" s="4" t="str">
        <f t="array" ref="U77">IF($E77="","", XLOOKUP(SUMIFS(Prod_Prop!$A:$A,Prod_Prop!$B:$B,$E77,Prod_Prop!$H:$H,U$1,Prod_Prop!$I:$I,"Exacto"),Prod_Prop!$A:$A,Prod_Prop!$J:$J,"",0,1))</f>
        <v/>
      </c>
      <c r="V77" s="4" t="str">
        <f t="array" ref="V77">IF($E77="","", XLOOKUP(SUMIFS(Prod_Prop!$A:$A,Prod_Prop!$B:$B,$E77,Prod_Prop!$H:$H,V$1,Prod_Prop!$I:$I,"Exacto"),Prod_Prop!$A:$A,Prod_Prop!$J:$J,"",0,1))</f>
        <v/>
      </c>
      <c r="X77" s="3" t="str">
        <f>IFERROR(__xludf.DUMMYFUNCTION("IF(D77="""","""",IFERROR(TRANSPOSE(FILTER('Validaciones Cotizador'!U:U,'Validaciones Cotizador'!O:O=D77,'Validaciones Cotizador'!T:T=""x"")),""Finalizar""))"),"")</f>
        <v/>
      </c>
    </row>
    <row r="78">
      <c r="A78" s="2" t="str">
        <f t="array" ref="A78">IF(E78="","",XLOOKUP(D78,'Validaciones Cotizador'!C:C,'Validaciones Cotizador'!A:A,"",0,1))</f>
        <v/>
      </c>
      <c r="B78" s="2" t="str">
        <f t="array" ref="B78">IF(F78="","",XLOOKUP(F78,Productos!E:E,Productos!G:G,"",0,1))</f>
        <v/>
      </c>
      <c r="C78" s="2" t="str">
        <f>IF(A78="","",SUMIFS('Validaciones Cotizador'!B:B,'Validaciones Cotizador'!C:C,D78,'Validaciones Cotizador'!A:A,A78))</f>
        <v/>
      </c>
      <c r="D78" s="4" t="str">
        <f>IFERROR(__xludf.DUMMYFUNCTION("IF(OR(F77=""Finalizar"",F77="""",F77=""Selecciona..""),"""",IF(OR(F77=""-"",INDEX(filter(Familias!F:F,Familias!D:D=A77,Familias!E:E=C77),1)=""O""),D77+1,D77))"),"")</f>
        <v/>
      </c>
      <c r="E78" s="2" t="str">
        <f>IF(OR(F78="",F78="Selecciona.."),"",IF(D78="Implemento",SUMIF(Implementos!B:B,F78,Implementos!A:A),SUMIF(Productos!E:E,F78,Productos!A:A)))</f>
        <v/>
      </c>
      <c r="F78" s="2" t="str">
        <f t="shared" si="2"/>
        <v/>
      </c>
      <c r="G78" s="10" t="str">
        <f t="array" ref="G78">IF(OR(F78="",F78="-",F78="Selecciona..",F78="Finalizar"),"",IF(A78="Rodados",XLOOKUP(B78,'Validaciones Cotizador'!I:I,'Validaciones Cotizador'!J:J,0,0,1),1))</f>
        <v/>
      </c>
      <c r="H78" s="11" t="str">
        <f>IF(OR(F78="",F78="Selecciona.."),"",SUMIF(Precio_Productos!K:K,E78,Precio_Productos!J:J)*G78)</f>
        <v/>
      </c>
      <c r="I78" s="4" t="str">
        <f t="array" ref="I78">IF($E78="","", XLOOKUP(SUMIFS(Prod_Prop!$A:$A,Prod_Prop!$B:$B,$E78,Prod_Prop!$H:$H,I$1,Prod_Prop!$I:$I,"Exacto"),Prod_Prop!$A:$A,Prod_Prop!$J:$J,"",0,1))</f>
        <v/>
      </c>
      <c r="J78" s="4" t="str">
        <f t="array" ref="J78">IF($E78="","", XLOOKUP(SUMIFS(Prod_Prop!$A:$A,Prod_Prop!$B:$B,$E78,Prod_Prop!$H:$H,J$1,Prod_Prop!$I:$I,"Exacto"),Prod_Prop!$A:$A,Prod_Prop!$J:$J,"",0,1))</f>
        <v/>
      </c>
      <c r="K78" s="4" t="str">
        <f t="array" ref="K78">IF($E78="","", XLOOKUP(SUMIFS(Prod_Prop!$A:$A,Prod_Prop!$B:$B,$E78,Prod_Prop!$H:$H,K$1,Prod_Prop!$I:$I,"Exacto"),Prod_Prop!$A:$A,Prod_Prop!$J:$J,"",0,1))</f>
        <v/>
      </c>
      <c r="L78" s="4" t="str">
        <f t="array" ref="L78">IF($E78="","", XLOOKUP(SUMIFS(Prod_Prop!$A:$A,Prod_Prop!$B:$B,$E78,Prod_Prop!$H:$H,L$1,Prod_Prop!$I:$I,"Exacto"),Prod_Prop!$A:$A,Prod_Prop!$J:$J,"",0,1))</f>
        <v/>
      </c>
      <c r="M78" s="4" t="str">
        <f t="array" ref="M78">IF($E78="","", XLOOKUP(SUMIFS(Prod_Prop!$A:$A,Prod_Prop!$B:$B,$E78,Prod_Prop!$H:$H,M$1,Prod_Prop!$I:$I,"Exacto"),Prod_Prop!$A:$A,Prod_Prop!$J:$J,"",0,1))</f>
        <v/>
      </c>
      <c r="N78" s="4" t="str">
        <f t="array" ref="N78">IF($E78="","", XLOOKUP(SUMIFS(Prod_Prop!$A:$A,Prod_Prop!$B:$B,$E78,Prod_Prop!$H:$H,N$1,Prod_Prop!$I:$I,"Exacto"),Prod_Prop!$A:$A,Prod_Prop!$J:$J,"",0,1))</f>
        <v/>
      </c>
      <c r="O78" s="4" t="str">
        <f t="array" ref="O78">IF($E78="","", XLOOKUP(SUMIFS(Prod_Prop!$A:$A,Prod_Prop!$B:$B,$E78,Prod_Prop!$H:$H,O$1,Prod_Prop!$I:$I,"Exacto"),Prod_Prop!$A:$A,Prod_Prop!$J:$J,"",0,1))</f>
        <v/>
      </c>
      <c r="P78" s="4" t="str">
        <f t="array" ref="P78">IF($E78="","", XLOOKUP(SUMIFS(Prod_Prop!$A:$A,Prod_Prop!$B:$B,$E78,Prod_Prop!$H:$H,P$1,Prod_Prop!$I:$I,"Exacto"),Prod_Prop!$A:$A,Prod_Prop!$J:$J,"",0,1))</f>
        <v/>
      </c>
      <c r="Q78" s="4" t="str">
        <f t="array" ref="Q78">IF($E78="","", XLOOKUP(SUMIFS(Prod_Prop!$A:$A,Prod_Prop!$B:$B,$E78,Prod_Prop!$H:$H,Q$1,Prod_Prop!$I:$I,"Exacto"),Prod_Prop!$A:$A,Prod_Prop!$J:$J,"",0,1))</f>
        <v/>
      </c>
      <c r="R78" s="4" t="str">
        <f t="array" ref="R78">IF($E78="","", XLOOKUP(SUMIFS(Prod_Prop!$A:$A,Prod_Prop!$B:$B,$E78,Prod_Prop!$H:$H,R$1,Prod_Prop!$I:$I,"Exacto"),Prod_Prop!$A:$A,Prod_Prop!$J:$J,"",0,1))</f>
        <v/>
      </c>
      <c r="S78" s="4" t="str">
        <f t="array" ref="S78">IF($E78="","", XLOOKUP(SUMIFS(Prod_Prop!$A:$A,Prod_Prop!$B:$B,$E78,Prod_Prop!$H:$H,S$1,Prod_Prop!$I:$I,"Exacto"),Prod_Prop!$A:$A,Prod_Prop!$J:$J,"",0,1))</f>
        <v/>
      </c>
      <c r="T78" s="4" t="str">
        <f t="array" ref="T78">IF($E78="","", XLOOKUP(SUMIFS(Prod_Prop!$A:$A,Prod_Prop!$B:$B,$E78,Prod_Prop!$H:$H,T$1,Prod_Prop!$I:$I,"Exacto"),Prod_Prop!$A:$A,Prod_Prop!$J:$J,"",0,1))</f>
        <v/>
      </c>
      <c r="U78" s="4" t="str">
        <f t="array" ref="U78">IF($E78="","", XLOOKUP(SUMIFS(Prod_Prop!$A:$A,Prod_Prop!$B:$B,$E78,Prod_Prop!$H:$H,U$1,Prod_Prop!$I:$I,"Exacto"),Prod_Prop!$A:$A,Prod_Prop!$J:$J,"",0,1))</f>
        <v/>
      </c>
      <c r="V78" s="4" t="str">
        <f t="array" ref="V78">IF($E78="","", XLOOKUP(SUMIFS(Prod_Prop!$A:$A,Prod_Prop!$B:$B,$E78,Prod_Prop!$H:$H,V$1,Prod_Prop!$I:$I,"Exacto"),Prod_Prop!$A:$A,Prod_Prop!$J:$J,"",0,1))</f>
        <v/>
      </c>
      <c r="X78" s="3" t="str">
        <f>IFERROR(__xludf.DUMMYFUNCTION("IF(D78="""","""",IFERROR(TRANSPOSE(FILTER('Validaciones Cotizador'!U:U,'Validaciones Cotizador'!O:O=D78,'Validaciones Cotizador'!T:T=""x"")),""Finalizar""))"),"")</f>
        <v/>
      </c>
    </row>
    <row r="79">
      <c r="A79" s="2" t="str">
        <f t="array" ref="A79">IF(E79="","",XLOOKUP(D79,'Validaciones Cotizador'!C:C,'Validaciones Cotizador'!A:A,"",0,1))</f>
        <v/>
      </c>
      <c r="B79" s="2" t="str">
        <f t="array" ref="B79">IF(F79="","",XLOOKUP(F79,Productos!E:E,Productos!G:G,"",0,1))</f>
        <v/>
      </c>
      <c r="C79" s="2" t="str">
        <f>IF(A79="","",SUMIFS('Validaciones Cotizador'!B:B,'Validaciones Cotizador'!C:C,D79,'Validaciones Cotizador'!A:A,A79))</f>
        <v/>
      </c>
      <c r="D79" s="4" t="str">
        <f>IFERROR(__xludf.DUMMYFUNCTION("IF(OR(F78=""Finalizar"",F78="""",F78=""Selecciona..""),"""",IF(OR(F78=""-"",INDEX(filter(Familias!F:F,Familias!D:D=A78,Familias!E:E=C78),1)=""O""),D78+1,D78))"),"")</f>
        <v/>
      </c>
      <c r="E79" s="2" t="str">
        <f>IF(OR(F79="",F79="Selecciona.."),"",IF(D79="Implemento",SUMIF(Implementos!B:B,F79,Implementos!A:A),SUMIF(Productos!E:E,F79,Productos!A:A)))</f>
        <v/>
      </c>
      <c r="F79" s="2" t="str">
        <f t="shared" si="2"/>
        <v/>
      </c>
      <c r="G79" s="10" t="str">
        <f t="array" ref="G79">IF(OR(F79="",F79="-",F79="Selecciona..",F79="Finalizar"),"",IF(A79="Rodados",XLOOKUP(B79,'Validaciones Cotizador'!I:I,'Validaciones Cotizador'!J:J,0,0,1),1))</f>
        <v/>
      </c>
      <c r="H79" s="11" t="str">
        <f>IF(OR(F79="",F79="Selecciona.."),"",SUMIF(Precio_Productos!K:K,E79,Precio_Productos!J:J)*G79)</f>
        <v/>
      </c>
      <c r="I79" s="4" t="str">
        <f t="array" ref="I79">IF($E79="","", XLOOKUP(SUMIFS(Prod_Prop!$A:$A,Prod_Prop!$B:$B,$E79,Prod_Prop!$H:$H,I$1,Prod_Prop!$I:$I,"Exacto"),Prod_Prop!$A:$A,Prod_Prop!$J:$J,"",0,1))</f>
        <v/>
      </c>
      <c r="J79" s="4" t="str">
        <f t="array" ref="J79">IF($E79="","", XLOOKUP(SUMIFS(Prod_Prop!$A:$A,Prod_Prop!$B:$B,$E79,Prod_Prop!$H:$H,J$1,Prod_Prop!$I:$I,"Exacto"),Prod_Prop!$A:$A,Prod_Prop!$J:$J,"",0,1))</f>
        <v/>
      </c>
      <c r="K79" s="4" t="str">
        <f t="array" ref="K79">IF($E79="","", XLOOKUP(SUMIFS(Prod_Prop!$A:$A,Prod_Prop!$B:$B,$E79,Prod_Prop!$H:$H,K$1,Prod_Prop!$I:$I,"Exacto"),Prod_Prop!$A:$A,Prod_Prop!$J:$J,"",0,1))</f>
        <v/>
      </c>
      <c r="L79" s="4" t="str">
        <f t="array" ref="L79">IF($E79="","", XLOOKUP(SUMIFS(Prod_Prop!$A:$A,Prod_Prop!$B:$B,$E79,Prod_Prop!$H:$H,L$1,Prod_Prop!$I:$I,"Exacto"),Prod_Prop!$A:$A,Prod_Prop!$J:$J,"",0,1))</f>
        <v/>
      </c>
      <c r="M79" s="4" t="str">
        <f t="array" ref="M79">IF($E79="","", XLOOKUP(SUMIFS(Prod_Prop!$A:$A,Prod_Prop!$B:$B,$E79,Prod_Prop!$H:$H,M$1,Prod_Prop!$I:$I,"Exacto"),Prod_Prop!$A:$A,Prod_Prop!$J:$J,"",0,1))</f>
        <v/>
      </c>
      <c r="N79" s="4" t="str">
        <f t="array" ref="N79">IF($E79="","", XLOOKUP(SUMIFS(Prod_Prop!$A:$A,Prod_Prop!$B:$B,$E79,Prod_Prop!$H:$H,N$1,Prod_Prop!$I:$I,"Exacto"),Prod_Prop!$A:$A,Prod_Prop!$J:$J,"",0,1))</f>
        <v/>
      </c>
      <c r="O79" s="4" t="str">
        <f t="array" ref="O79">IF($E79="","", XLOOKUP(SUMIFS(Prod_Prop!$A:$A,Prod_Prop!$B:$B,$E79,Prod_Prop!$H:$H,O$1,Prod_Prop!$I:$I,"Exacto"),Prod_Prop!$A:$A,Prod_Prop!$J:$J,"",0,1))</f>
        <v/>
      </c>
      <c r="P79" s="4" t="str">
        <f t="array" ref="P79">IF($E79="","", XLOOKUP(SUMIFS(Prod_Prop!$A:$A,Prod_Prop!$B:$B,$E79,Prod_Prop!$H:$H,P$1,Prod_Prop!$I:$I,"Exacto"),Prod_Prop!$A:$A,Prod_Prop!$J:$J,"",0,1))</f>
        <v/>
      </c>
      <c r="Q79" s="4" t="str">
        <f t="array" ref="Q79">IF($E79="","", XLOOKUP(SUMIFS(Prod_Prop!$A:$A,Prod_Prop!$B:$B,$E79,Prod_Prop!$H:$H,Q$1,Prod_Prop!$I:$I,"Exacto"),Prod_Prop!$A:$A,Prod_Prop!$J:$J,"",0,1))</f>
        <v/>
      </c>
      <c r="R79" s="4" t="str">
        <f t="array" ref="R79">IF($E79="","", XLOOKUP(SUMIFS(Prod_Prop!$A:$A,Prod_Prop!$B:$B,$E79,Prod_Prop!$H:$H,R$1,Prod_Prop!$I:$I,"Exacto"),Prod_Prop!$A:$A,Prod_Prop!$J:$J,"",0,1))</f>
        <v/>
      </c>
      <c r="S79" s="4" t="str">
        <f t="array" ref="S79">IF($E79="","", XLOOKUP(SUMIFS(Prod_Prop!$A:$A,Prod_Prop!$B:$B,$E79,Prod_Prop!$H:$H,S$1,Prod_Prop!$I:$I,"Exacto"),Prod_Prop!$A:$A,Prod_Prop!$J:$J,"",0,1))</f>
        <v/>
      </c>
      <c r="T79" s="4" t="str">
        <f t="array" ref="T79">IF($E79="","", XLOOKUP(SUMIFS(Prod_Prop!$A:$A,Prod_Prop!$B:$B,$E79,Prod_Prop!$H:$H,T$1,Prod_Prop!$I:$I,"Exacto"),Prod_Prop!$A:$A,Prod_Prop!$J:$J,"",0,1))</f>
        <v/>
      </c>
      <c r="U79" s="4" t="str">
        <f t="array" ref="U79">IF($E79="","", XLOOKUP(SUMIFS(Prod_Prop!$A:$A,Prod_Prop!$B:$B,$E79,Prod_Prop!$H:$H,U$1,Prod_Prop!$I:$I,"Exacto"),Prod_Prop!$A:$A,Prod_Prop!$J:$J,"",0,1))</f>
        <v/>
      </c>
      <c r="V79" s="4" t="str">
        <f t="array" ref="V79">IF($E79="","", XLOOKUP(SUMIFS(Prod_Prop!$A:$A,Prod_Prop!$B:$B,$E79,Prod_Prop!$H:$H,V$1,Prod_Prop!$I:$I,"Exacto"),Prod_Prop!$A:$A,Prod_Prop!$J:$J,"",0,1))</f>
        <v/>
      </c>
      <c r="X79" s="3" t="str">
        <f>IFERROR(__xludf.DUMMYFUNCTION("IF(D79="""","""",IFERROR(TRANSPOSE(FILTER('Validaciones Cotizador'!U:U,'Validaciones Cotizador'!O:O=D79,'Validaciones Cotizador'!T:T=""x"")),""Finalizar""))"),"")</f>
        <v/>
      </c>
    </row>
    <row r="80">
      <c r="A80" s="2" t="str">
        <f t="array" ref="A80">IF(E80="","",XLOOKUP(D80,'Validaciones Cotizador'!C:C,'Validaciones Cotizador'!A:A,"",0,1))</f>
        <v/>
      </c>
      <c r="B80" s="2" t="str">
        <f t="array" ref="B80">IF(F80="","",XLOOKUP(F80,Productos!E:E,Productos!G:G,"",0,1))</f>
        <v/>
      </c>
      <c r="C80" s="2" t="str">
        <f>IF(A80="","",SUMIFS('Validaciones Cotizador'!B:B,'Validaciones Cotizador'!C:C,D80,'Validaciones Cotizador'!A:A,A80))</f>
        <v/>
      </c>
      <c r="D80" s="4" t="str">
        <f>IFERROR(__xludf.DUMMYFUNCTION("IF(OR(F79=""Finalizar"",F79="""",F79=""Selecciona..""),"""",IF(OR(F79=""-"",INDEX(filter(Familias!F:F,Familias!D:D=A79,Familias!E:E=C79),1)=""O""),D79+1,D79))"),"")</f>
        <v/>
      </c>
      <c r="E80" s="2" t="str">
        <f>IF(OR(F80="",F80="Selecciona.."),"",IF(D80="Implemento",SUMIF(Implementos!B:B,F80,Implementos!A:A),SUMIF(Productos!E:E,F80,Productos!A:A)))</f>
        <v/>
      </c>
      <c r="F80" s="2" t="str">
        <f t="shared" si="2"/>
        <v/>
      </c>
      <c r="G80" s="10" t="str">
        <f t="array" ref="G80">IF(OR(F80="",F80="-",F80="Selecciona..",F80="Finalizar"),"",IF(A80="Rodados",XLOOKUP(B80,'Validaciones Cotizador'!I:I,'Validaciones Cotizador'!J:J,0,0,1),1))</f>
        <v/>
      </c>
      <c r="H80" s="11" t="str">
        <f>IF(OR(F80="",F80="Selecciona.."),"",SUMIF(Precio_Productos!K:K,E80,Precio_Productos!J:J)*G80)</f>
        <v/>
      </c>
      <c r="I80" s="4" t="str">
        <f t="array" ref="I80">IF($E80="","", XLOOKUP(SUMIFS(Prod_Prop!$A:$A,Prod_Prop!$B:$B,$E80,Prod_Prop!$H:$H,I$1,Prod_Prop!$I:$I,"Exacto"),Prod_Prop!$A:$A,Prod_Prop!$J:$J,"",0,1))</f>
        <v/>
      </c>
      <c r="J80" s="4" t="str">
        <f t="array" ref="J80">IF($E80="","", XLOOKUP(SUMIFS(Prod_Prop!$A:$A,Prod_Prop!$B:$B,$E80,Prod_Prop!$H:$H,J$1,Prod_Prop!$I:$I,"Exacto"),Prod_Prop!$A:$A,Prod_Prop!$J:$J,"",0,1))</f>
        <v/>
      </c>
      <c r="K80" s="4" t="str">
        <f t="array" ref="K80">IF($E80="","", XLOOKUP(SUMIFS(Prod_Prop!$A:$A,Prod_Prop!$B:$B,$E80,Prod_Prop!$H:$H,K$1,Prod_Prop!$I:$I,"Exacto"),Prod_Prop!$A:$A,Prod_Prop!$J:$J,"",0,1))</f>
        <v/>
      </c>
      <c r="L80" s="4" t="str">
        <f t="array" ref="L80">IF($E80="","", XLOOKUP(SUMIFS(Prod_Prop!$A:$A,Prod_Prop!$B:$B,$E80,Prod_Prop!$H:$H,L$1,Prod_Prop!$I:$I,"Exacto"),Prod_Prop!$A:$A,Prod_Prop!$J:$J,"",0,1))</f>
        <v/>
      </c>
      <c r="M80" s="4" t="str">
        <f t="array" ref="M80">IF($E80="","", XLOOKUP(SUMIFS(Prod_Prop!$A:$A,Prod_Prop!$B:$B,$E80,Prod_Prop!$H:$H,M$1,Prod_Prop!$I:$I,"Exacto"),Prod_Prop!$A:$A,Prod_Prop!$J:$J,"",0,1))</f>
        <v/>
      </c>
      <c r="N80" s="4" t="str">
        <f t="array" ref="N80">IF($E80="","", XLOOKUP(SUMIFS(Prod_Prop!$A:$A,Prod_Prop!$B:$B,$E80,Prod_Prop!$H:$H,N$1,Prod_Prop!$I:$I,"Exacto"),Prod_Prop!$A:$A,Prod_Prop!$J:$J,"",0,1))</f>
        <v/>
      </c>
      <c r="O80" s="4" t="str">
        <f t="array" ref="O80">IF($E80="","", XLOOKUP(SUMIFS(Prod_Prop!$A:$A,Prod_Prop!$B:$B,$E80,Prod_Prop!$H:$H,O$1,Prod_Prop!$I:$I,"Exacto"),Prod_Prop!$A:$A,Prod_Prop!$J:$J,"",0,1))</f>
        <v/>
      </c>
      <c r="P80" s="4" t="str">
        <f t="array" ref="P80">IF($E80="","", XLOOKUP(SUMIFS(Prod_Prop!$A:$A,Prod_Prop!$B:$B,$E80,Prod_Prop!$H:$H,P$1,Prod_Prop!$I:$I,"Exacto"),Prod_Prop!$A:$A,Prod_Prop!$J:$J,"",0,1))</f>
        <v/>
      </c>
      <c r="Q80" s="4" t="str">
        <f t="array" ref="Q80">IF($E80="","", XLOOKUP(SUMIFS(Prod_Prop!$A:$A,Prod_Prop!$B:$B,$E80,Prod_Prop!$H:$H,Q$1,Prod_Prop!$I:$I,"Exacto"),Prod_Prop!$A:$A,Prod_Prop!$J:$J,"",0,1))</f>
        <v/>
      </c>
      <c r="R80" s="4" t="str">
        <f t="array" ref="R80">IF($E80="","", XLOOKUP(SUMIFS(Prod_Prop!$A:$A,Prod_Prop!$B:$B,$E80,Prod_Prop!$H:$H,R$1,Prod_Prop!$I:$I,"Exacto"),Prod_Prop!$A:$A,Prod_Prop!$J:$J,"",0,1))</f>
        <v/>
      </c>
      <c r="S80" s="4" t="str">
        <f t="array" ref="S80">IF($E80="","", XLOOKUP(SUMIFS(Prod_Prop!$A:$A,Prod_Prop!$B:$B,$E80,Prod_Prop!$H:$H,S$1,Prod_Prop!$I:$I,"Exacto"),Prod_Prop!$A:$A,Prod_Prop!$J:$J,"",0,1))</f>
        <v/>
      </c>
      <c r="T80" s="4" t="str">
        <f t="array" ref="T80">IF($E80="","", XLOOKUP(SUMIFS(Prod_Prop!$A:$A,Prod_Prop!$B:$B,$E80,Prod_Prop!$H:$H,T$1,Prod_Prop!$I:$I,"Exacto"),Prod_Prop!$A:$A,Prod_Prop!$J:$J,"",0,1))</f>
        <v/>
      </c>
      <c r="U80" s="4" t="str">
        <f t="array" ref="U80">IF($E80="","", XLOOKUP(SUMIFS(Prod_Prop!$A:$A,Prod_Prop!$B:$B,$E80,Prod_Prop!$H:$H,U$1,Prod_Prop!$I:$I,"Exacto"),Prod_Prop!$A:$A,Prod_Prop!$J:$J,"",0,1))</f>
        <v/>
      </c>
      <c r="V80" s="4" t="str">
        <f t="array" ref="V80">IF($E80="","", XLOOKUP(SUMIFS(Prod_Prop!$A:$A,Prod_Prop!$B:$B,$E80,Prod_Prop!$H:$H,V$1,Prod_Prop!$I:$I,"Exacto"),Prod_Prop!$A:$A,Prod_Prop!$J:$J,"",0,1))</f>
        <v/>
      </c>
      <c r="X80" s="3" t="str">
        <f>IFERROR(__xludf.DUMMYFUNCTION("IF(D80="""","""",IFERROR(TRANSPOSE(FILTER('Validaciones Cotizador'!U:U,'Validaciones Cotizador'!O:O=D80,'Validaciones Cotizador'!T:T=""x"")),""Finalizar""))"),"")</f>
        <v/>
      </c>
    </row>
    <row r="81">
      <c r="A81" s="2" t="str">
        <f t="array" ref="A81">IF(E81="","",XLOOKUP(D81,'Validaciones Cotizador'!C:C,'Validaciones Cotizador'!A:A,"",0,1))</f>
        <v/>
      </c>
      <c r="B81" s="2" t="str">
        <f t="array" ref="B81">IF(F81="","",XLOOKUP(F81,Productos!E:E,Productos!G:G,"",0,1))</f>
        <v/>
      </c>
      <c r="C81" s="2" t="str">
        <f>IF(A81="","",SUMIFS('Validaciones Cotizador'!B:B,'Validaciones Cotizador'!C:C,D81,'Validaciones Cotizador'!A:A,A81))</f>
        <v/>
      </c>
      <c r="D81" s="4" t="str">
        <f>IFERROR(__xludf.DUMMYFUNCTION("IF(OR(F80=""Finalizar"",F80="""",F80=""Selecciona..""),"""",IF(OR(F80=""-"",INDEX(filter(Familias!F:F,Familias!D:D=A80,Familias!E:E=C80),1)=""O""),D80+1,D80))"),"")</f>
        <v/>
      </c>
      <c r="E81" s="2" t="str">
        <f>IF(OR(F81="",F81="Selecciona.."),"",IF(D81="Implemento",SUMIF(Implementos!B:B,F81,Implementos!A:A),SUMIF(Productos!E:E,F81,Productos!A:A)))</f>
        <v/>
      </c>
      <c r="F81" s="2" t="str">
        <f t="shared" si="2"/>
        <v/>
      </c>
      <c r="G81" s="10" t="str">
        <f t="array" ref="G81">IF(OR(F81="",F81="-",F81="Selecciona..",F81="Finalizar"),"",IF(A81="Rodados",XLOOKUP(B81,'Validaciones Cotizador'!I:I,'Validaciones Cotizador'!J:J,0,0,1),1))</f>
        <v/>
      </c>
      <c r="H81" s="11" t="str">
        <f>IF(OR(F81="",F81="Selecciona.."),"",SUMIF(Precio_Productos!K:K,E81,Precio_Productos!J:J)*G81)</f>
        <v/>
      </c>
      <c r="I81" s="4" t="str">
        <f t="array" ref="I81">IF($E81="","", XLOOKUP(SUMIFS(Prod_Prop!$A:$A,Prod_Prop!$B:$B,$E81,Prod_Prop!$H:$H,I$1,Prod_Prop!$I:$I,"Exacto"),Prod_Prop!$A:$A,Prod_Prop!$J:$J,"",0,1))</f>
        <v/>
      </c>
      <c r="J81" s="4" t="str">
        <f t="array" ref="J81">IF($E81="","", XLOOKUP(SUMIFS(Prod_Prop!$A:$A,Prod_Prop!$B:$B,$E81,Prod_Prop!$H:$H,J$1,Prod_Prop!$I:$I,"Exacto"),Prod_Prop!$A:$A,Prod_Prop!$J:$J,"",0,1))</f>
        <v/>
      </c>
      <c r="K81" s="4" t="str">
        <f t="array" ref="K81">IF($E81="","", XLOOKUP(SUMIFS(Prod_Prop!$A:$A,Prod_Prop!$B:$B,$E81,Prod_Prop!$H:$H,K$1,Prod_Prop!$I:$I,"Exacto"),Prod_Prop!$A:$A,Prod_Prop!$J:$J,"",0,1))</f>
        <v/>
      </c>
      <c r="L81" s="4" t="str">
        <f t="array" ref="L81">IF($E81="","", XLOOKUP(SUMIFS(Prod_Prop!$A:$A,Prod_Prop!$B:$B,$E81,Prod_Prop!$H:$H,L$1,Prod_Prop!$I:$I,"Exacto"),Prod_Prop!$A:$A,Prod_Prop!$J:$J,"",0,1))</f>
        <v/>
      </c>
      <c r="M81" s="4" t="str">
        <f t="array" ref="M81">IF($E81="","", XLOOKUP(SUMIFS(Prod_Prop!$A:$A,Prod_Prop!$B:$B,$E81,Prod_Prop!$H:$H,M$1,Prod_Prop!$I:$I,"Exacto"),Prod_Prop!$A:$A,Prod_Prop!$J:$J,"",0,1))</f>
        <v/>
      </c>
      <c r="N81" s="4" t="str">
        <f t="array" ref="N81">IF($E81="","", XLOOKUP(SUMIFS(Prod_Prop!$A:$A,Prod_Prop!$B:$B,$E81,Prod_Prop!$H:$H,N$1,Prod_Prop!$I:$I,"Exacto"),Prod_Prop!$A:$A,Prod_Prop!$J:$J,"",0,1))</f>
        <v/>
      </c>
      <c r="O81" s="4" t="str">
        <f t="array" ref="O81">IF($E81="","", XLOOKUP(SUMIFS(Prod_Prop!$A:$A,Prod_Prop!$B:$B,$E81,Prod_Prop!$H:$H,O$1,Prod_Prop!$I:$I,"Exacto"),Prod_Prop!$A:$A,Prod_Prop!$J:$J,"",0,1))</f>
        <v/>
      </c>
      <c r="P81" s="4" t="str">
        <f t="array" ref="P81">IF($E81="","", XLOOKUP(SUMIFS(Prod_Prop!$A:$A,Prod_Prop!$B:$B,$E81,Prod_Prop!$H:$H,P$1,Prod_Prop!$I:$I,"Exacto"),Prod_Prop!$A:$A,Prod_Prop!$J:$J,"",0,1))</f>
        <v/>
      </c>
      <c r="Q81" s="4" t="str">
        <f t="array" ref="Q81">IF($E81="","", XLOOKUP(SUMIFS(Prod_Prop!$A:$A,Prod_Prop!$B:$B,$E81,Prod_Prop!$H:$H,Q$1,Prod_Prop!$I:$I,"Exacto"),Prod_Prop!$A:$A,Prod_Prop!$J:$J,"",0,1))</f>
        <v/>
      </c>
      <c r="R81" s="4" t="str">
        <f t="array" ref="R81">IF($E81="","", XLOOKUP(SUMIFS(Prod_Prop!$A:$A,Prod_Prop!$B:$B,$E81,Prod_Prop!$H:$H,R$1,Prod_Prop!$I:$I,"Exacto"),Prod_Prop!$A:$A,Prod_Prop!$J:$J,"",0,1))</f>
        <v/>
      </c>
      <c r="S81" s="4" t="str">
        <f t="array" ref="S81">IF($E81="","", XLOOKUP(SUMIFS(Prod_Prop!$A:$A,Prod_Prop!$B:$B,$E81,Prod_Prop!$H:$H,S$1,Prod_Prop!$I:$I,"Exacto"),Prod_Prop!$A:$A,Prod_Prop!$J:$J,"",0,1))</f>
        <v/>
      </c>
      <c r="T81" s="4" t="str">
        <f t="array" ref="T81">IF($E81="","", XLOOKUP(SUMIFS(Prod_Prop!$A:$A,Prod_Prop!$B:$B,$E81,Prod_Prop!$H:$H,T$1,Prod_Prop!$I:$I,"Exacto"),Prod_Prop!$A:$A,Prod_Prop!$J:$J,"",0,1))</f>
        <v/>
      </c>
      <c r="U81" s="4" t="str">
        <f t="array" ref="U81">IF($E81="","", XLOOKUP(SUMIFS(Prod_Prop!$A:$A,Prod_Prop!$B:$B,$E81,Prod_Prop!$H:$H,U$1,Prod_Prop!$I:$I,"Exacto"),Prod_Prop!$A:$A,Prod_Prop!$J:$J,"",0,1))</f>
        <v/>
      </c>
      <c r="V81" s="4" t="str">
        <f t="array" ref="V81">IF($E81="","", XLOOKUP(SUMIFS(Prod_Prop!$A:$A,Prod_Prop!$B:$B,$E81,Prod_Prop!$H:$H,V$1,Prod_Prop!$I:$I,"Exacto"),Prod_Prop!$A:$A,Prod_Prop!$J:$J,"",0,1))</f>
        <v/>
      </c>
      <c r="X81" s="3" t="str">
        <f>IFERROR(__xludf.DUMMYFUNCTION("IF(D81="""","""",IFERROR(TRANSPOSE(FILTER('Validaciones Cotizador'!U:U,'Validaciones Cotizador'!O:O=D81,'Validaciones Cotizador'!T:T=""x"")),""Finalizar""))"),"")</f>
        <v/>
      </c>
    </row>
    <row r="82">
      <c r="A82" s="2" t="str">
        <f t="array" ref="A82">IF(E82="","",XLOOKUP(D82,'Validaciones Cotizador'!C:C,'Validaciones Cotizador'!A:A,"",0,1))</f>
        <v/>
      </c>
      <c r="B82" s="2" t="str">
        <f t="array" ref="B82">IF(F82="","",XLOOKUP(F82,Productos!E:E,Productos!G:G,"",0,1))</f>
        <v/>
      </c>
      <c r="C82" s="2" t="str">
        <f>IF(A82="","",SUMIFS('Validaciones Cotizador'!B:B,'Validaciones Cotizador'!C:C,D82,'Validaciones Cotizador'!A:A,A82))</f>
        <v/>
      </c>
      <c r="D82" s="4" t="str">
        <f>IFERROR(__xludf.DUMMYFUNCTION("IF(OR(F81=""Finalizar"",F81="""",F81=""Selecciona..""),"""",IF(OR(F81=""-"",INDEX(filter(Familias!F:F,Familias!D:D=A81,Familias!E:E=C81),1)=""O""),D81+1,D81))"),"")</f>
        <v/>
      </c>
      <c r="E82" s="2" t="str">
        <f>IF(OR(F82="",F82="Selecciona.."),"",IF(D82="Implemento",SUMIF(Implementos!B:B,F82,Implementos!A:A),SUMIF(Productos!E:E,F82,Productos!A:A)))</f>
        <v/>
      </c>
      <c r="F82" s="2" t="str">
        <f t="shared" si="2"/>
        <v/>
      </c>
      <c r="G82" s="10" t="str">
        <f t="array" ref="G82">IF(OR(F82="",F82="-",F82="Selecciona..",F82="Finalizar"),"",IF(A82="Rodados",XLOOKUP(B82,'Validaciones Cotizador'!I:I,'Validaciones Cotizador'!J:J,0,0,1),1))</f>
        <v/>
      </c>
      <c r="H82" s="11" t="str">
        <f>IF(OR(F82="",F82="Selecciona.."),"",SUMIF(Precio_Productos!K:K,E82,Precio_Productos!J:J)*G82)</f>
        <v/>
      </c>
      <c r="I82" s="4" t="str">
        <f t="array" ref="I82">IF($E82="","", XLOOKUP(SUMIFS(Prod_Prop!$A:$A,Prod_Prop!$B:$B,$E82,Prod_Prop!$H:$H,I$1,Prod_Prop!$I:$I,"Exacto"),Prod_Prop!$A:$A,Prod_Prop!$J:$J,"",0,1))</f>
        <v/>
      </c>
      <c r="J82" s="4" t="str">
        <f t="array" ref="J82">IF($E82="","", XLOOKUP(SUMIFS(Prod_Prop!$A:$A,Prod_Prop!$B:$B,$E82,Prod_Prop!$H:$H,J$1,Prod_Prop!$I:$I,"Exacto"),Prod_Prop!$A:$A,Prod_Prop!$J:$J,"",0,1))</f>
        <v/>
      </c>
      <c r="K82" s="4" t="str">
        <f t="array" ref="K82">IF($E82="","", XLOOKUP(SUMIFS(Prod_Prop!$A:$A,Prod_Prop!$B:$B,$E82,Prod_Prop!$H:$H,K$1,Prod_Prop!$I:$I,"Exacto"),Prod_Prop!$A:$A,Prod_Prop!$J:$J,"",0,1))</f>
        <v/>
      </c>
      <c r="L82" s="4" t="str">
        <f t="array" ref="L82">IF($E82="","", XLOOKUP(SUMIFS(Prod_Prop!$A:$A,Prod_Prop!$B:$B,$E82,Prod_Prop!$H:$H,L$1,Prod_Prop!$I:$I,"Exacto"),Prod_Prop!$A:$A,Prod_Prop!$J:$J,"",0,1))</f>
        <v/>
      </c>
      <c r="M82" s="4" t="str">
        <f t="array" ref="M82">IF($E82="","", XLOOKUP(SUMIFS(Prod_Prop!$A:$A,Prod_Prop!$B:$B,$E82,Prod_Prop!$H:$H,M$1,Prod_Prop!$I:$I,"Exacto"),Prod_Prop!$A:$A,Prod_Prop!$J:$J,"",0,1))</f>
        <v/>
      </c>
      <c r="N82" s="4" t="str">
        <f t="array" ref="N82">IF($E82="","", XLOOKUP(SUMIFS(Prod_Prop!$A:$A,Prod_Prop!$B:$B,$E82,Prod_Prop!$H:$H,N$1,Prod_Prop!$I:$I,"Exacto"),Prod_Prop!$A:$A,Prod_Prop!$J:$J,"",0,1))</f>
        <v/>
      </c>
      <c r="O82" s="4" t="str">
        <f t="array" ref="O82">IF($E82="","", XLOOKUP(SUMIFS(Prod_Prop!$A:$A,Prod_Prop!$B:$B,$E82,Prod_Prop!$H:$H,O$1,Prod_Prop!$I:$I,"Exacto"),Prod_Prop!$A:$A,Prod_Prop!$J:$J,"",0,1))</f>
        <v/>
      </c>
      <c r="P82" s="4" t="str">
        <f t="array" ref="P82">IF($E82="","", XLOOKUP(SUMIFS(Prod_Prop!$A:$A,Prod_Prop!$B:$B,$E82,Prod_Prop!$H:$H,P$1,Prod_Prop!$I:$I,"Exacto"),Prod_Prop!$A:$A,Prod_Prop!$J:$J,"",0,1))</f>
        <v/>
      </c>
      <c r="Q82" s="4" t="str">
        <f t="array" ref="Q82">IF($E82="","", XLOOKUP(SUMIFS(Prod_Prop!$A:$A,Prod_Prop!$B:$B,$E82,Prod_Prop!$H:$H,Q$1,Prod_Prop!$I:$I,"Exacto"),Prod_Prop!$A:$A,Prod_Prop!$J:$J,"",0,1))</f>
        <v/>
      </c>
      <c r="R82" s="4" t="str">
        <f t="array" ref="R82">IF($E82="","", XLOOKUP(SUMIFS(Prod_Prop!$A:$A,Prod_Prop!$B:$B,$E82,Prod_Prop!$H:$H,R$1,Prod_Prop!$I:$I,"Exacto"),Prod_Prop!$A:$A,Prod_Prop!$J:$J,"",0,1))</f>
        <v/>
      </c>
      <c r="S82" s="4" t="str">
        <f t="array" ref="S82">IF($E82="","", XLOOKUP(SUMIFS(Prod_Prop!$A:$A,Prod_Prop!$B:$B,$E82,Prod_Prop!$H:$H,S$1,Prod_Prop!$I:$I,"Exacto"),Prod_Prop!$A:$A,Prod_Prop!$J:$J,"",0,1))</f>
        <v/>
      </c>
      <c r="T82" s="4" t="str">
        <f t="array" ref="T82">IF($E82="","", XLOOKUP(SUMIFS(Prod_Prop!$A:$A,Prod_Prop!$B:$B,$E82,Prod_Prop!$H:$H,T$1,Prod_Prop!$I:$I,"Exacto"),Prod_Prop!$A:$A,Prod_Prop!$J:$J,"",0,1))</f>
        <v/>
      </c>
      <c r="U82" s="4" t="str">
        <f t="array" ref="U82">IF($E82="","", XLOOKUP(SUMIFS(Prod_Prop!$A:$A,Prod_Prop!$B:$B,$E82,Prod_Prop!$H:$H,U$1,Prod_Prop!$I:$I,"Exacto"),Prod_Prop!$A:$A,Prod_Prop!$J:$J,"",0,1))</f>
        <v/>
      </c>
      <c r="V82" s="4" t="str">
        <f t="array" ref="V82">IF($E82="","", XLOOKUP(SUMIFS(Prod_Prop!$A:$A,Prod_Prop!$B:$B,$E82,Prod_Prop!$H:$H,V$1,Prod_Prop!$I:$I,"Exacto"),Prod_Prop!$A:$A,Prod_Prop!$J:$J,"",0,1))</f>
        <v/>
      </c>
      <c r="X82" s="3" t="str">
        <f>IFERROR(__xludf.DUMMYFUNCTION("IF(D82="""","""",IFERROR(TRANSPOSE(FILTER('Validaciones Cotizador'!U:U,'Validaciones Cotizador'!O:O=D82,'Validaciones Cotizador'!T:T=""x"")),""Finalizar""))"),"")</f>
        <v/>
      </c>
    </row>
    <row r="83">
      <c r="A83" s="2" t="str">
        <f t="array" ref="A83">IF(E83="","",XLOOKUP(D83,'Validaciones Cotizador'!C:C,'Validaciones Cotizador'!A:A,"",0,1))</f>
        <v/>
      </c>
      <c r="B83" s="2" t="str">
        <f t="array" ref="B83">IF(F83="","",XLOOKUP(F83,Productos!E:E,Productos!G:G,"",0,1))</f>
        <v/>
      </c>
      <c r="C83" s="2" t="str">
        <f>IF(A83="","",SUMIFS('Validaciones Cotizador'!B:B,'Validaciones Cotizador'!C:C,D83,'Validaciones Cotizador'!A:A,A83))</f>
        <v/>
      </c>
      <c r="D83" s="4" t="str">
        <f>IFERROR(__xludf.DUMMYFUNCTION("IF(OR(F82=""Finalizar"",F82="""",F82=""Selecciona..""),"""",IF(OR(F82=""-"",INDEX(filter(Familias!F:F,Familias!D:D=A82,Familias!E:E=C82),1)=""O""),D82+1,D82))"),"")</f>
        <v/>
      </c>
      <c r="E83" s="2" t="str">
        <f>IF(OR(F83="",F83="Selecciona.."),"",IF(D83="Implemento",SUMIF(Implementos!B:B,F83,Implementos!A:A),SUMIF(Productos!E:E,F83,Productos!A:A)))</f>
        <v/>
      </c>
      <c r="F83" s="2" t="str">
        <f t="shared" si="2"/>
        <v/>
      </c>
      <c r="G83" s="10" t="str">
        <f t="array" ref="G83">IF(OR(F83="",F83="-",F83="Selecciona..",F83="Finalizar"),"",IF(A83="Rodados",XLOOKUP(B83,'Validaciones Cotizador'!I:I,'Validaciones Cotizador'!J:J,0,0,1),1))</f>
        <v/>
      </c>
      <c r="H83" s="11" t="str">
        <f>IF(OR(F83="",F83="Selecciona.."),"",SUMIF(Precio_Productos!K:K,E83,Precio_Productos!J:J)*G83)</f>
        <v/>
      </c>
      <c r="I83" s="4" t="str">
        <f t="array" ref="I83">IF($E83="","", XLOOKUP(SUMIFS(Prod_Prop!$A:$A,Prod_Prop!$B:$B,$E83,Prod_Prop!$H:$H,I$1,Prod_Prop!$I:$I,"Exacto"),Prod_Prop!$A:$A,Prod_Prop!$J:$J,"",0,1))</f>
        <v/>
      </c>
      <c r="J83" s="4" t="str">
        <f t="array" ref="J83">IF($E83="","", XLOOKUP(SUMIFS(Prod_Prop!$A:$A,Prod_Prop!$B:$B,$E83,Prod_Prop!$H:$H,J$1,Prod_Prop!$I:$I,"Exacto"),Prod_Prop!$A:$A,Prod_Prop!$J:$J,"",0,1))</f>
        <v/>
      </c>
      <c r="K83" s="4" t="str">
        <f t="array" ref="K83">IF($E83="","", XLOOKUP(SUMIFS(Prod_Prop!$A:$A,Prod_Prop!$B:$B,$E83,Prod_Prop!$H:$H,K$1,Prod_Prop!$I:$I,"Exacto"),Prod_Prop!$A:$A,Prod_Prop!$J:$J,"",0,1))</f>
        <v/>
      </c>
      <c r="L83" s="4" t="str">
        <f t="array" ref="L83">IF($E83="","", XLOOKUP(SUMIFS(Prod_Prop!$A:$A,Prod_Prop!$B:$B,$E83,Prod_Prop!$H:$H,L$1,Prod_Prop!$I:$I,"Exacto"),Prod_Prop!$A:$A,Prod_Prop!$J:$J,"",0,1))</f>
        <v/>
      </c>
      <c r="M83" s="4" t="str">
        <f t="array" ref="M83">IF($E83="","", XLOOKUP(SUMIFS(Prod_Prop!$A:$A,Prod_Prop!$B:$B,$E83,Prod_Prop!$H:$H,M$1,Prod_Prop!$I:$I,"Exacto"),Prod_Prop!$A:$A,Prod_Prop!$J:$J,"",0,1))</f>
        <v/>
      </c>
      <c r="N83" s="4" t="str">
        <f t="array" ref="N83">IF($E83="","", XLOOKUP(SUMIFS(Prod_Prop!$A:$A,Prod_Prop!$B:$B,$E83,Prod_Prop!$H:$H,N$1,Prod_Prop!$I:$I,"Exacto"),Prod_Prop!$A:$A,Prod_Prop!$J:$J,"",0,1))</f>
        <v/>
      </c>
      <c r="O83" s="4" t="str">
        <f t="array" ref="O83">IF($E83="","", XLOOKUP(SUMIFS(Prod_Prop!$A:$A,Prod_Prop!$B:$B,$E83,Prod_Prop!$H:$H,O$1,Prod_Prop!$I:$I,"Exacto"),Prod_Prop!$A:$A,Prod_Prop!$J:$J,"",0,1))</f>
        <v/>
      </c>
      <c r="P83" s="4" t="str">
        <f t="array" ref="P83">IF($E83="","", XLOOKUP(SUMIFS(Prod_Prop!$A:$A,Prod_Prop!$B:$B,$E83,Prod_Prop!$H:$H,P$1,Prod_Prop!$I:$I,"Exacto"),Prod_Prop!$A:$A,Prod_Prop!$J:$J,"",0,1))</f>
        <v/>
      </c>
      <c r="Q83" s="4" t="str">
        <f t="array" ref="Q83">IF($E83="","", XLOOKUP(SUMIFS(Prod_Prop!$A:$A,Prod_Prop!$B:$B,$E83,Prod_Prop!$H:$H,Q$1,Prod_Prop!$I:$I,"Exacto"),Prod_Prop!$A:$A,Prod_Prop!$J:$J,"",0,1))</f>
        <v/>
      </c>
      <c r="R83" s="4" t="str">
        <f t="array" ref="R83">IF($E83="","", XLOOKUP(SUMIFS(Prod_Prop!$A:$A,Prod_Prop!$B:$B,$E83,Prod_Prop!$H:$H,R$1,Prod_Prop!$I:$I,"Exacto"),Prod_Prop!$A:$A,Prod_Prop!$J:$J,"",0,1))</f>
        <v/>
      </c>
      <c r="S83" s="4" t="str">
        <f t="array" ref="S83">IF($E83="","", XLOOKUP(SUMIFS(Prod_Prop!$A:$A,Prod_Prop!$B:$B,$E83,Prod_Prop!$H:$H,S$1,Prod_Prop!$I:$I,"Exacto"),Prod_Prop!$A:$A,Prod_Prop!$J:$J,"",0,1))</f>
        <v/>
      </c>
      <c r="T83" s="4" t="str">
        <f t="array" ref="T83">IF($E83="","", XLOOKUP(SUMIFS(Prod_Prop!$A:$A,Prod_Prop!$B:$B,$E83,Prod_Prop!$H:$H,T$1,Prod_Prop!$I:$I,"Exacto"),Prod_Prop!$A:$A,Prod_Prop!$J:$J,"",0,1))</f>
        <v/>
      </c>
      <c r="U83" s="4" t="str">
        <f t="array" ref="U83">IF($E83="","", XLOOKUP(SUMIFS(Prod_Prop!$A:$A,Prod_Prop!$B:$B,$E83,Prod_Prop!$H:$H,U$1,Prod_Prop!$I:$I,"Exacto"),Prod_Prop!$A:$A,Prod_Prop!$J:$J,"",0,1))</f>
        <v/>
      </c>
      <c r="V83" s="4" t="str">
        <f t="array" ref="V83">IF($E83="","", XLOOKUP(SUMIFS(Prod_Prop!$A:$A,Prod_Prop!$B:$B,$E83,Prod_Prop!$H:$H,V$1,Prod_Prop!$I:$I,"Exacto"),Prod_Prop!$A:$A,Prod_Prop!$J:$J,"",0,1))</f>
        <v/>
      </c>
      <c r="X83" s="3" t="str">
        <f>IFERROR(__xludf.DUMMYFUNCTION("IF(D83="""","""",IFERROR(TRANSPOSE(FILTER('Validaciones Cotizador'!U:U,'Validaciones Cotizador'!O:O=D83,'Validaciones Cotizador'!T:T=""x"")),""Finalizar""))"),"")</f>
        <v/>
      </c>
    </row>
    <row r="84">
      <c r="A84" s="2" t="str">
        <f t="array" ref="A84">IF(E84="","",XLOOKUP(D84,'Validaciones Cotizador'!C:C,'Validaciones Cotizador'!A:A,"",0,1))</f>
        <v/>
      </c>
      <c r="B84" s="2" t="str">
        <f t="array" ref="B84">IF(F84="","",XLOOKUP(F84,Productos!E:E,Productos!G:G,"",0,1))</f>
        <v/>
      </c>
      <c r="C84" s="2" t="str">
        <f>IF(A84="","",SUMIFS('Validaciones Cotizador'!B:B,'Validaciones Cotizador'!C:C,D84,'Validaciones Cotizador'!A:A,A84))</f>
        <v/>
      </c>
      <c r="D84" s="4" t="str">
        <f>IFERROR(__xludf.DUMMYFUNCTION("IF(OR(F83=""Finalizar"",F83="""",F83=""Selecciona..""),"""",IF(OR(F83=""-"",INDEX(filter(Familias!F:F,Familias!D:D=A83,Familias!E:E=C83),1)=""O""),D83+1,D83))"),"")</f>
        <v/>
      </c>
      <c r="E84" s="2" t="str">
        <f>IF(OR(F84="",F84="Selecciona.."),"",IF(D84="Implemento",SUMIF(Implementos!B:B,F84,Implementos!A:A),SUMIF(Productos!E:E,F84,Productos!A:A)))</f>
        <v/>
      </c>
      <c r="F84" s="2" t="str">
        <f t="shared" si="2"/>
        <v/>
      </c>
      <c r="G84" s="10" t="str">
        <f t="array" ref="G84">IF(OR(F84="",F84="-",F84="Selecciona..",F84="Finalizar"),"",IF(A84="Rodados",XLOOKUP(B84,'Validaciones Cotizador'!I:I,'Validaciones Cotizador'!J:J,0,0,1),1))</f>
        <v/>
      </c>
      <c r="H84" s="11" t="str">
        <f>IF(OR(F84="",F84="Selecciona.."),"",SUMIF(Precio_Productos!K:K,E84,Precio_Productos!J:J)*G84)</f>
        <v/>
      </c>
      <c r="I84" s="4" t="str">
        <f t="array" ref="I84">IF($E84="","", XLOOKUP(SUMIFS(Prod_Prop!$A:$A,Prod_Prop!$B:$B,$E84,Prod_Prop!$H:$H,I$1,Prod_Prop!$I:$I,"Exacto"),Prod_Prop!$A:$A,Prod_Prop!$J:$J,"",0,1))</f>
        <v/>
      </c>
      <c r="J84" s="4" t="str">
        <f t="array" ref="J84">IF($E84="","", XLOOKUP(SUMIFS(Prod_Prop!$A:$A,Prod_Prop!$B:$B,$E84,Prod_Prop!$H:$H,J$1,Prod_Prop!$I:$I,"Exacto"),Prod_Prop!$A:$A,Prod_Prop!$J:$J,"",0,1))</f>
        <v/>
      </c>
      <c r="K84" s="4" t="str">
        <f t="array" ref="K84">IF($E84="","", XLOOKUP(SUMIFS(Prod_Prop!$A:$A,Prod_Prop!$B:$B,$E84,Prod_Prop!$H:$H,K$1,Prod_Prop!$I:$I,"Exacto"),Prod_Prop!$A:$A,Prod_Prop!$J:$J,"",0,1))</f>
        <v/>
      </c>
      <c r="L84" s="4" t="str">
        <f t="array" ref="L84">IF($E84="","", XLOOKUP(SUMIFS(Prod_Prop!$A:$A,Prod_Prop!$B:$B,$E84,Prod_Prop!$H:$H,L$1,Prod_Prop!$I:$I,"Exacto"),Prod_Prop!$A:$A,Prod_Prop!$J:$J,"",0,1))</f>
        <v/>
      </c>
      <c r="M84" s="4" t="str">
        <f t="array" ref="M84">IF($E84="","", XLOOKUP(SUMIFS(Prod_Prop!$A:$A,Prod_Prop!$B:$B,$E84,Prod_Prop!$H:$H,M$1,Prod_Prop!$I:$I,"Exacto"),Prod_Prop!$A:$A,Prod_Prop!$J:$J,"",0,1))</f>
        <v/>
      </c>
      <c r="N84" s="4" t="str">
        <f t="array" ref="N84">IF($E84="","", XLOOKUP(SUMIFS(Prod_Prop!$A:$A,Prod_Prop!$B:$B,$E84,Prod_Prop!$H:$H,N$1,Prod_Prop!$I:$I,"Exacto"),Prod_Prop!$A:$A,Prod_Prop!$J:$J,"",0,1))</f>
        <v/>
      </c>
      <c r="O84" s="4" t="str">
        <f t="array" ref="O84">IF($E84="","", XLOOKUP(SUMIFS(Prod_Prop!$A:$A,Prod_Prop!$B:$B,$E84,Prod_Prop!$H:$H,O$1,Prod_Prop!$I:$I,"Exacto"),Prod_Prop!$A:$A,Prod_Prop!$J:$J,"",0,1))</f>
        <v/>
      </c>
      <c r="P84" s="4" t="str">
        <f t="array" ref="P84">IF($E84="","", XLOOKUP(SUMIFS(Prod_Prop!$A:$A,Prod_Prop!$B:$B,$E84,Prod_Prop!$H:$H,P$1,Prod_Prop!$I:$I,"Exacto"),Prod_Prop!$A:$A,Prod_Prop!$J:$J,"",0,1))</f>
        <v/>
      </c>
      <c r="Q84" s="4" t="str">
        <f t="array" ref="Q84">IF($E84="","", XLOOKUP(SUMIFS(Prod_Prop!$A:$A,Prod_Prop!$B:$B,$E84,Prod_Prop!$H:$H,Q$1,Prod_Prop!$I:$I,"Exacto"),Prod_Prop!$A:$A,Prod_Prop!$J:$J,"",0,1))</f>
        <v/>
      </c>
      <c r="R84" s="4" t="str">
        <f t="array" ref="R84">IF($E84="","", XLOOKUP(SUMIFS(Prod_Prop!$A:$A,Prod_Prop!$B:$B,$E84,Prod_Prop!$H:$H,R$1,Prod_Prop!$I:$I,"Exacto"),Prod_Prop!$A:$A,Prod_Prop!$J:$J,"",0,1))</f>
        <v/>
      </c>
      <c r="S84" s="4" t="str">
        <f t="array" ref="S84">IF($E84="","", XLOOKUP(SUMIFS(Prod_Prop!$A:$A,Prod_Prop!$B:$B,$E84,Prod_Prop!$H:$H,S$1,Prod_Prop!$I:$I,"Exacto"),Prod_Prop!$A:$A,Prod_Prop!$J:$J,"",0,1))</f>
        <v/>
      </c>
      <c r="T84" s="4" t="str">
        <f t="array" ref="T84">IF($E84="","", XLOOKUP(SUMIFS(Prod_Prop!$A:$A,Prod_Prop!$B:$B,$E84,Prod_Prop!$H:$H,T$1,Prod_Prop!$I:$I,"Exacto"),Prod_Prop!$A:$A,Prod_Prop!$J:$J,"",0,1))</f>
        <v/>
      </c>
      <c r="U84" s="4" t="str">
        <f t="array" ref="U84">IF($E84="","", XLOOKUP(SUMIFS(Prod_Prop!$A:$A,Prod_Prop!$B:$B,$E84,Prod_Prop!$H:$H,U$1,Prod_Prop!$I:$I,"Exacto"),Prod_Prop!$A:$A,Prod_Prop!$J:$J,"",0,1))</f>
        <v/>
      </c>
      <c r="V84" s="4" t="str">
        <f t="array" ref="V84">IF($E84="","", XLOOKUP(SUMIFS(Prod_Prop!$A:$A,Prod_Prop!$B:$B,$E84,Prod_Prop!$H:$H,V$1,Prod_Prop!$I:$I,"Exacto"),Prod_Prop!$A:$A,Prod_Prop!$J:$J,"",0,1))</f>
        <v/>
      </c>
      <c r="X84" s="3" t="str">
        <f>IFERROR(__xludf.DUMMYFUNCTION("IF(D84="""","""",IFERROR(TRANSPOSE(FILTER('Validaciones Cotizador'!U:U,'Validaciones Cotizador'!O:O=D84,'Validaciones Cotizador'!T:T=""x"")),""Finalizar""))"),"")</f>
        <v/>
      </c>
    </row>
    <row r="85">
      <c r="A85" s="2" t="str">
        <f t="array" ref="A85">IF(E85="","",XLOOKUP(D85,'Validaciones Cotizador'!C:C,'Validaciones Cotizador'!A:A,"",0,1))</f>
        <v/>
      </c>
      <c r="B85" s="2" t="str">
        <f t="array" ref="B85">IF(F85="","",XLOOKUP(F85,Productos!E:E,Productos!G:G,"",0,1))</f>
        <v/>
      </c>
      <c r="C85" s="2" t="str">
        <f>IF(A85="","",SUMIFS('Validaciones Cotizador'!B:B,'Validaciones Cotizador'!C:C,D85,'Validaciones Cotizador'!A:A,A85))</f>
        <v/>
      </c>
      <c r="D85" s="4" t="str">
        <f>IFERROR(__xludf.DUMMYFUNCTION("IF(OR(F84=""Finalizar"",F84="""",F84=""Selecciona..""),"""",IF(OR(F84=""-"",INDEX(filter(Familias!F:F,Familias!D:D=A84,Familias!E:E=C84),1)=""O""),D84+1,D84))"),"")</f>
        <v/>
      </c>
      <c r="E85" s="2" t="str">
        <f>IF(OR(F85="",F85="Selecciona.."),"",IF(D85="Implemento",SUMIF(Implementos!B:B,F85,Implementos!A:A),SUMIF(Productos!E:E,F85,Productos!A:A)))</f>
        <v/>
      </c>
      <c r="F85" s="2" t="str">
        <f t="shared" si="2"/>
        <v/>
      </c>
      <c r="G85" s="10" t="str">
        <f t="array" ref="G85">IF(OR(F85="",F85="-",F85="Selecciona..",F85="Finalizar"),"",IF(A85="Rodados",XLOOKUP(B85,'Validaciones Cotizador'!I:I,'Validaciones Cotizador'!J:J,0,0,1),1))</f>
        <v/>
      </c>
      <c r="H85" s="11" t="str">
        <f>IF(OR(F85="",F85="Selecciona.."),"",SUMIF(Precio_Productos!K:K,E85,Precio_Productos!J:J)*G85)</f>
        <v/>
      </c>
      <c r="I85" s="4" t="str">
        <f t="array" ref="I85">IF($E85="","", XLOOKUP(SUMIFS(Prod_Prop!$A:$A,Prod_Prop!$B:$B,$E85,Prod_Prop!$H:$H,I$1,Prod_Prop!$I:$I,"Exacto"),Prod_Prop!$A:$A,Prod_Prop!$J:$J,"",0,1))</f>
        <v/>
      </c>
      <c r="J85" s="4" t="str">
        <f t="array" ref="J85">IF($E85="","", XLOOKUP(SUMIFS(Prod_Prop!$A:$A,Prod_Prop!$B:$B,$E85,Prod_Prop!$H:$H,J$1,Prod_Prop!$I:$I,"Exacto"),Prod_Prop!$A:$A,Prod_Prop!$J:$J,"",0,1))</f>
        <v/>
      </c>
      <c r="K85" s="4" t="str">
        <f t="array" ref="K85">IF($E85="","", XLOOKUP(SUMIFS(Prod_Prop!$A:$A,Prod_Prop!$B:$B,$E85,Prod_Prop!$H:$H,K$1,Prod_Prop!$I:$I,"Exacto"),Prod_Prop!$A:$A,Prod_Prop!$J:$J,"",0,1))</f>
        <v/>
      </c>
      <c r="L85" s="4" t="str">
        <f t="array" ref="L85">IF($E85="","", XLOOKUP(SUMIFS(Prod_Prop!$A:$A,Prod_Prop!$B:$B,$E85,Prod_Prop!$H:$H,L$1,Prod_Prop!$I:$I,"Exacto"),Prod_Prop!$A:$A,Prod_Prop!$J:$J,"",0,1))</f>
        <v/>
      </c>
      <c r="M85" s="4" t="str">
        <f t="array" ref="M85">IF($E85="","", XLOOKUP(SUMIFS(Prod_Prop!$A:$A,Prod_Prop!$B:$B,$E85,Prod_Prop!$H:$H,M$1,Prod_Prop!$I:$I,"Exacto"),Prod_Prop!$A:$A,Prod_Prop!$J:$J,"",0,1))</f>
        <v/>
      </c>
      <c r="N85" s="4" t="str">
        <f t="array" ref="N85">IF($E85="","", XLOOKUP(SUMIFS(Prod_Prop!$A:$A,Prod_Prop!$B:$B,$E85,Prod_Prop!$H:$H,N$1,Prod_Prop!$I:$I,"Exacto"),Prod_Prop!$A:$A,Prod_Prop!$J:$J,"",0,1))</f>
        <v/>
      </c>
      <c r="O85" s="4" t="str">
        <f t="array" ref="O85">IF($E85="","", XLOOKUP(SUMIFS(Prod_Prop!$A:$A,Prod_Prop!$B:$B,$E85,Prod_Prop!$H:$H,O$1,Prod_Prop!$I:$I,"Exacto"),Prod_Prop!$A:$A,Prod_Prop!$J:$J,"",0,1))</f>
        <v/>
      </c>
      <c r="P85" s="4" t="str">
        <f t="array" ref="P85">IF($E85="","", XLOOKUP(SUMIFS(Prod_Prop!$A:$A,Prod_Prop!$B:$B,$E85,Prod_Prop!$H:$H,P$1,Prod_Prop!$I:$I,"Exacto"),Prod_Prop!$A:$A,Prod_Prop!$J:$J,"",0,1))</f>
        <v/>
      </c>
      <c r="Q85" s="4" t="str">
        <f t="array" ref="Q85">IF($E85="","", XLOOKUP(SUMIFS(Prod_Prop!$A:$A,Prod_Prop!$B:$B,$E85,Prod_Prop!$H:$H,Q$1,Prod_Prop!$I:$I,"Exacto"),Prod_Prop!$A:$A,Prod_Prop!$J:$J,"",0,1))</f>
        <v/>
      </c>
      <c r="R85" s="4" t="str">
        <f t="array" ref="R85">IF($E85="","", XLOOKUP(SUMIFS(Prod_Prop!$A:$A,Prod_Prop!$B:$B,$E85,Prod_Prop!$H:$H,R$1,Prod_Prop!$I:$I,"Exacto"),Prod_Prop!$A:$A,Prod_Prop!$J:$J,"",0,1))</f>
        <v/>
      </c>
      <c r="S85" s="4" t="str">
        <f t="array" ref="S85">IF($E85="","", XLOOKUP(SUMIFS(Prod_Prop!$A:$A,Prod_Prop!$B:$B,$E85,Prod_Prop!$H:$H,S$1,Prod_Prop!$I:$I,"Exacto"),Prod_Prop!$A:$A,Prod_Prop!$J:$J,"",0,1))</f>
        <v/>
      </c>
      <c r="T85" s="4" t="str">
        <f t="array" ref="T85">IF($E85="","", XLOOKUP(SUMIFS(Prod_Prop!$A:$A,Prod_Prop!$B:$B,$E85,Prod_Prop!$H:$H,T$1,Prod_Prop!$I:$I,"Exacto"),Prod_Prop!$A:$A,Prod_Prop!$J:$J,"",0,1))</f>
        <v/>
      </c>
      <c r="U85" s="4" t="str">
        <f t="array" ref="U85">IF($E85="","", XLOOKUP(SUMIFS(Prod_Prop!$A:$A,Prod_Prop!$B:$B,$E85,Prod_Prop!$H:$H,U$1,Prod_Prop!$I:$I,"Exacto"),Prod_Prop!$A:$A,Prod_Prop!$J:$J,"",0,1))</f>
        <v/>
      </c>
      <c r="V85" s="4" t="str">
        <f t="array" ref="V85">IF($E85="","", XLOOKUP(SUMIFS(Prod_Prop!$A:$A,Prod_Prop!$B:$B,$E85,Prod_Prop!$H:$H,V$1,Prod_Prop!$I:$I,"Exacto"),Prod_Prop!$A:$A,Prod_Prop!$J:$J,"",0,1))</f>
        <v/>
      </c>
      <c r="X85" s="3" t="str">
        <f>IFERROR(__xludf.DUMMYFUNCTION("IF(D85="""","""",IFERROR(TRANSPOSE(FILTER('Validaciones Cotizador'!U:U,'Validaciones Cotizador'!O:O=D85,'Validaciones Cotizador'!T:T=""x"")),""Finalizar""))"),"")</f>
        <v/>
      </c>
    </row>
    <row r="86">
      <c r="A86" s="2" t="str">
        <f t="array" ref="A86">IF(E86="","",XLOOKUP(D86,'Validaciones Cotizador'!C:C,'Validaciones Cotizador'!A:A,"",0,1))</f>
        <v/>
      </c>
      <c r="B86" s="2" t="str">
        <f t="array" ref="B86">IF(F86="","",XLOOKUP(F86,Productos!E:E,Productos!G:G,"",0,1))</f>
        <v/>
      </c>
      <c r="C86" s="2" t="str">
        <f>IF(A86="","",SUMIFS('Validaciones Cotizador'!B:B,'Validaciones Cotizador'!C:C,D86,'Validaciones Cotizador'!A:A,A86))</f>
        <v/>
      </c>
      <c r="D86" s="4" t="str">
        <f>IFERROR(__xludf.DUMMYFUNCTION("IF(OR(F85=""Finalizar"",F85="""",F85=""Selecciona..""),"""",IF(OR(F85=""-"",INDEX(filter(Familias!F:F,Familias!D:D=A85,Familias!E:E=C85),1)=""O""),D85+1,D85))"),"")</f>
        <v/>
      </c>
      <c r="E86" s="2" t="str">
        <f>IF(OR(F86="",F86="Selecciona.."),"",IF(D86="Implemento",SUMIF(Implementos!B:B,F86,Implementos!A:A),SUMIF(Productos!E:E,F86,Productos!A:A)))</f>
        <v/>
      </c>
      <c r="F86" s="2" t="str">
        <f t="shared" si="2"/>
        <v/>
      </c>
      <c r="G86" s="10" t="str">
        <f t="array" ref="G86">IF(OR(F86="",F86="-",F86="Selecciona..",F86="Finalizar"),"",IF(A86="Rodados",XLOOKUP(B86,'Validaciones Cotizador'!I:I,'Validaciones Cotizador'!J:J,0,0,1),1))</f>
        <v/>
      </c>
      <c r="H86" s="11" t="str">
        <f>IF(OR(F86="",F86="Selecciona.."),"",SUMIF(Precio_Productos!K:K,E86,Precio_Productos!J:J)*G86)</f>
        <v/>
      </c>
      <c r="I86" s="4" t="str">
        <f t="array" ref="I86">IF($E86="","", XLOOKUP(SUMIFS(Prod_Prop!$A:$A,Prod_Prop!$B:$B,$E86,Prod_Prop!$H:$H,I$1,Prod_Prop!$I:$I,"Exacto"),Prod_Prop!$A:$A,Prod_Prop!$J:$J,"",0,1))</f>
        <v/>
      </c>
      <c r="J86" s="4" t="str">
        <f t="array" ref="J86">IF($E86="","", XLOOKUP(SUMIFS(Prod_Prop!$A:$A,Prod_Prop!$B:$B,$E86,Prod_Prop!$H:$H,J$1,Prod_Prop!$I:$I,"Exacto"),Prod_Prop!$A:$A,Prod_Prop!$J:$J,"",0,1))</f>
        <v/>
      </c>
      <c r="K86" s="4" t="str">
        <f t="array" ref="K86">IF($E86="","", XLOOKUP(SUMIFS(Prod_Prop!$A:$A,Prod_Prop!$B:$B,$E86,Prod_Prop!$H:$H,K$1,Prod_Prop!$I:$I,"Exacto"),Prod_Prop!$A:$A,Prod_Prop!$J:$J,"",0,1))</f>
        <v/>
      </c>
      <c r="L86" s="4" t="str">
        <f t="array" ref="L86">IF($E86="","", XLOOKUP(SUMIFS(Prod_Prop!$A:$A,Prod_Prop!$B:$B,$E86,Prod_Prop!$H:$H,L$1,Prod_Prop!$I:$I,"Exacto"),Prod_Prop!$A:$A,Prod_Prop!$J:$J,"",0,1))</f>
        <v/>
      </c>
      <c r="M86" s="4" t="str">
        <f t="array" ref="M86">IF($E86="","", XLOOKUP(SUMIFS(Prod_Prop!$A:$A,Prod_Prop!$B:$B,$E86,Prod_Prop!$H:$H,M$1,Prod_Prop!$I:$I,"Exacto"),Prod_Prop!$A:$A,Prod_Prop!$J:$J,"",0,1))</f>
        <v/>
      </c>
      <c r="N86" s="4" t="str">
        <f t="array" ref="N86">IF($E86="","", XLOOKUP(SUMIFS(Prod_Prop!$A:$A,Prod_Prop!$B:$B,$E86,Prod_Prop!$H:$H,N$1,Prod_Prop!$I:$I,"Exacto"),Prod_Prop!$A:$A,Prod_Prop!$J:$J,"",0,1))</f>
        <v/>
      </c>
      <c r="O86" s="4" t="str">
        <f t="array" ref="O86">IF($E86="","", XLOOKUP(SUMIFS(Prod_Prop!$A:$A,Prod_Prop!$B:$B,$E86,Prod_Prop!$H:$H,O$1,Prod_Prop!$I:$I,"Exacto"),Prod_Prop!$A:$A,Prod_Prop!$J:$J,"",0,1))</f>
        <v/>
      </c>
      <c r="P86" s="4" t="str">
        <f t="array" ref="P86">IF($E86="","", XLOOKUP(SUMIFS(Prod_Prop!$A:$A,Prod_Prop!$B:$B,$E86,Prod_Prop!$H:$H,P$1,Prod_Prop!$I:$I,"Exacto"),Prod_Prop!$A:$A,Prod_Prop!$J:$J,"",0,1))</f>
        <v/>
      </c>
      <c r="Q86" s="4" t="str">
        <f t="array" ref="Q86">IF($E86="","", XLOOKUP(SUMIFS(Prod_Prop!$A:$A,Prod_Prop!$B:$B,$E86,Prod_Prop!$H:$H,Q$1,Prod_Prop!$I:$I,"Exacto"),Prod_Prop!$A:$A,Prod_Prop!$J:$J,"",0,1))</f>
        <v/>
      </c>
      <c r="R86" s="4" t="str">
        <f t="array" ref="R86">IF($E86="","", XLOOKUP(SUMIFS(Prod_Prop!$A:$A,Prod_Prop!$B:$B,$E86,Prod_Prop!$H:$H,R$1,Prod_Prop!$I:$I,"Exacto"),Prod_Prop!$A:$A,Prod_Prop!$J:$J,"",0,1))</f>
        <v/>
      </c>
      <c r="S86" s="4" t="str">
        <f t="array" ref="S86">IF($E86="","", XLOOKUP(SUMIFS(Prod_Prop!$A:$A,Prod_Prop!$B:$B,$E86,Prod_Prop!$H:$H,S$1,Prod_Prop!$I:$I,"Exacto"),Prod_Prop!$A:$A,Prod_Prop!$J:$J,"",0,1))</f>
        <v/>
      </c>
      <c r="T86" s="4" t="str">
        <f t="array" ref="T86">IF($E86="","", XLOOKUP(SUMIFS(Prod_Prop!$A:$A,Prod_Prop!$B:$B,$E86,Prod_Prop!$H:$H,T$1,Prod_Prop!$I:$I,"Exacto"),Prod_Prop!$A:$A,Prod_Prop!$J:$J,"",0,1))</f>
        <v/>
      </c>
      <c r="U86" s="4" t="str">
        <f t="array" ref="U86">IF($E86="","", XLOOKUP(SUMIFS(Prod_Prop!$A:$A,Prod_Prop!$B:$B,$E86,Prod_Prop!$H:$H,U$1,Prod_Prop!$I:$I,"Exacto"),Prod_Prop!$A:$A,Prod_Prop!$J:$J,"",0,1))</f>
        <v/>
      </c>
      <c r="V86" s="4" t="str">
        <f t="array" ref="V86">IF($E86="","", XLOOKUP(SUMIFS(Prod_Prop!$A:$A,Prod_Prop!$B:$B,$E86,Prod_Prop!$H:$H,V$1,Prod_Prop!$I:$I,"Exacto"),Prod_Prop!$A:$A,Prod_Prop!$J:$J,"",0,1))</f>
        <v/>
      </c>
      <c r="X86" s="3" t="str">
        <f>IFERROR(__xludf.DUMMYFUNCTION("IF(D86="""","""",IFERROR(TRANSPOSE(FILTER('Validaciones Cotizador'!U:U,'Validaciones Cotizador'!O:O=D86,'Validaciones Cotizador'!T:T=""x"")),""Finalizar""))"),"")</f>
        <v/>
      </c>
    </row>
    <row r="87">
      <c r="A87" s="2" t="str">
        <f t="array" ref="A87">IF(E87="","",XLOOKUP(D87,'Validaciones Cotizador'!C:C,'Validaciones Cotizador'!A:A,"",0,1))</f>
        <v/>
      </c>
      <c r="B87" s="2" t="str">
        <f t="array" ref="B87">IF(F87="","",XLOOKUP(F87,Productos!E:E,Productos!G:G,"",0,1))</f>
        <v/>
      </c>
      <c r="C87" s="2" t="str">
        <f>IF(A87="","",SUMIFS('Validaciones Cotizador'!B:B,'Validaciones Cotizador'!C:C,D87,'Validaciones Cotizador'!A:A,A87))</f>
        <v/>
      </c>
      <c r="D87" s="4" t="str">
        <f>IFERROR(__xludf.DUMMYFUNCTION("IF(OR(F86=""Finalizar"",F86="""",F86=""Selecciona..""),"""",IF(OR(F86=""-"",INDEX(filter(Familias!F:F,Familias!D:D=A86,Familias!E:E=C86),1)=""O""),D86+1,D86))"),"")</f>
        <v/>
      </c>
      <c r="E87" s="2" t="str">
        <f>IF(OR(F87="",F87="Selecciona.."),"",IF(D87="Implemento",SUMIF(Implementos!B:B,F87,Implementos!A:A),SUMIF(Productos!E:E,F87,Productos!A:A)))</f>
        <v/>
      </c>
      <c r="F87" s="2" t="str">
        <f t="shared" si="2"/>
        <v/>
      </c>
      <c r="G87" s="10" t="str">
        <f t="array" ref="G87">IF(OR(F87="",F87="-",F87="Selecciona..",F87="Finalizar"),"",IF(A87="Rodados",XLOOKUP(B87,'Validaciones Cotizador'!I:I,'Validaciones Cotizador'!J:J,0,0,1),1))</f>
        <v/>
      </c>
      <c r="H87" s="11" t="str">
        <f>IF(OR(F87="",F87="Selecciona.."),"",SUMIF(Precio_Productos!K:K,E87,Precio_Productos!J:J)*G87)</f>
        <v/>
      </c>
      <c r="I87" s="4" t="str">
        <f t="array" ref="I87">IF($E87="","", XLOOKUP(SUMIFS(Prod_Prop!$A:$A,Prod_Prop!$B:$B,$E87,Prod_Prop!$H:$H,I$1,Prod_Prop!$I:$I,"Exacto"),Prod_Prop!$A:$A,Prod_Prop!$J:$J,"",0,1))</f>
        <v/>
      </c>
      <c r="J87" s="4" t="str">
        <f t="array" ref="J87">IF($E87="","", XLOOKUP(SUMIFS(Prod_Prop!$A:$A,Prod_Prop!$B:$B,$E87,Prod_Prop!$H:$H,J$1,Prod_Prop!$I:$I,"Exacto"),Prod_Prop!$A:$A,Prod_Prop!$J:$J,"",0,1))</f>
        <v/>
      </c>
      <c r="K87" s="4" t="str">
        <f t="array" ref="K87">IF($E87="","", XLOOKUP(SUMIFS(Prod_Prop!$A:$A,Prod_Prop!$B:$B,$E87,Prod_Prop!$H:$H,K$1,Prod_Prop!$I:$I,"Exacto"),Prod_Prop!$A:$A,Prod_Prop!$J:$J,"",0,1))</f>
        <v/>
      </c>
      <c r="L87" s="4" t="str">
        <f t="array" ref="L87">IF($E87="","", XLOOKUP(SUMIFS(Prod_Prop!$A:$A,Prod_Prop!$B:$B,$E87,Prod_Prop!$H:$H,L$1,Prod_Prop!$I:$I,"Exacto"),Prod_Prop!$A:$A,Prod_Prop!$J:$J,"",0,1))</f>
        <v/>
      </c>
      <c r="M87" s="4" t="str">
        <f t="array" ref="M87">IF($E87="","", XLOOKUP(SUMIFS(Prod_Prop!$A:$A,Prod_Prop!$B:$B,$E87,Prod_Prop!$H:$H,M$1,Prod_Prop!$I:$I,"Exacto"),Prod_Prop!$A:$A,Prod_Prop!$J:$J,"",0,1))</f>
        <v/>
      </c>
      <c r="N87" s="4" t="str">
        <f t="array" ref="N87">IF($E87="","", XLOOKUP(SUMIFS(Prod_Prop!$A:$A,Prod_Prop!$B:$B,$E87,Prod_Prop!$H:$H,N$1,Prod_Prop!$I:$I,"Exacto"),Prod_Prop!$A:$A,Prod_Prop!$J:$J,"",0,1))</f>
        <v/>
      </c>
      <c r="O87" s="4" t="str">
        <f t="array" ref="O87">IF($E87="","", XLOOKUP(SUMIFS(Prod_Prop!$A:$A,Prod_Prop!$B:$B,$E87,Prod_Prop!$H:$H,O$1,Prod_Prop!$I:$I,"Exacto"),Prod_Prop!$A:$A,Prod_Prop!$J:$J,"",0,1))</f>
        <v/>
      </c>
      <c r="P87" s="4" t="str">
        <f t="array" ref="P87">IF($E87="","", XLOOKUP(SUMIFS(Prod_Prop!$A:$A,Prod_Prop!$B:$B,$E87,Prod_Prop!$H:$H,P$1,Prod_Prop!$I:$I,"Exacto"),Prod_Prop!$A:$A,Prod_Prop!$J:$J,"",0,1))</f>
        <v/>
      </c>
      <c r="Q87" s="4" t="str">
        <f t="array" ref="Q87">IF($E87="","", XLOOKUP(SUMIFS(Prod_Prop!$A:$A,Prod_Prop!$B:$B,$E87,Prod_Prop!$H:$H,Q$1,Prod_Prop!$I:$I,"Exacto"),Prod_Prop!$A:$A,Prod_Prop!$J:$J,"",0,1))</f>
        <v/>
      </c>
      <c r="R87" s="4" t="str">
        <f t="array" ref="R87">IF($E87="","", XLOOKUP(SUMIFS(Prod_Prop!$A:$A,Prod_Prop!$B:$B,$E87,Prod_Prop!$H:$H,R$1,Prod_Prop!$I:$I,"Exacto"),Prod_Prop!$A:$A,Prod_Prop!$J:$J,"",0,1))</f>
        <v/>
      </c>
      <c r="S87" s="4" t="str">
        <f t="array" ref="S87">IF($E87="","", XLOOKUP(SUMIFS(Prod_Prop!$A:$A,Prod_Prop!$B:$B,$E87,Prod_Prop!$H:$H,S$1,Prod_Prop!$I:$I,"Exacto"),Prod_Prop!$A:$A,Prod_Prop!$J:$J,"",0,1))</f>
        <v/>
      </c>
      <c r="T87" s="4" t="str">
        <f t="array" ref="T87">IF($E87="","", XLOOKUP(SUMIFS(Prod_Prop!$A:$A,Prod_Prop!$B:$B,$E87,Prod_Prop!$H:$H,T$1,Prod_Prop!$I:$I,"Exacto"),Prod_Prop!$A:$A,Prod_Prop!$J:$J,"",0,1))</f>
        <v/>
      </c>
      <c r="U87" s="4" t="str">
        <f t="array" ref="U87">IF($E87="","", XLOOKUP(SUMIFS(Prod_Prop!$A:$A,Prod_Prop!$B:$B,$E87,Prod_Prop!$H:$H,U$1,Prod_Prop!$I:$I,"Exacto"),Prod_Prop!$A:$A,Prod_Prop!$J:$J,"",0,1))</f>
        <v/>
      </c>
      <c r="V87" s="4" t="str">
        <f t="array" ref="V87">IF($E87="","", XLOOKUP(SUMIFS(Prod_Prop!$A:$A,Prod_Prop!$B:$B,$E87,Prod_Prop!$H:$H,V$1,Prod_Prop!$I:$I,"Exacto"),Prod_Prop!$A:$A,Prod_Prop!$J:$J,"",0,1))</f>
        <v/>
      </c>
      <c r="X87" s="3" t="str">
        <f>IFERROR(__xludf.DUMMYFUNCTION("IF(D87="""","""",IFERROR(TRANSPOSE(FILTER('Validaciones Cotizador'!U:U,'Validaciones Cotizador'!O:O=D87,'Validaciones Cotizador'!T:T=""x"")),""Finalizar""))"),"")</f>
        <v/>
      </c>
    </row>
    <row r="88">
      <c r="A88" s="2" t="str">
        <f t="array" ref="A88">IF(E88="","",XLOOKUP(D88,'Validaciones Cotizador'!C:C,'Validaciones Cotizador'!A:A,"",0,1))</f>
        <v/>
      </c>
      <c r="B88" s="2" t="str">
        <f t="array" ref="B88">IF(F88="","",XLOOKUP(F88,Productos!E:E,Productos!G:G,"",0,1))</f>
        <v/>
      </c>
      <c r="C88" s="2" t="str">
        <f>IF(A88="","",SUMIFS('Validaciones Cotizador'!B:B,'Validaciones Cotizador'!C:C,D88,'Validaciones Cotizador'!A:A,A88))</f>
        <v/>
      </c>
      <c r="D88" s="4" t="str">
        <f>IFERROR(__xludf.DUMMYFUNCTION("IF(OR(F87=""Finalizar"",F87="""",F87=""Selecciona..""),"""",IF(OR(F87=""-"",INDEX(filter(Familias!F:F,Familias!D:D=A87,Familias!E:E=C87),1)=""O""),D87+1,D87))"),"")</f>
        <v/>
      </c>
      <c r="E88" s="2" t="str">
        <f>IF(OR(F88="",F88="Selecciona.."),"",IF(D88="Implemento",SUMIF(Implementos!B:B,F88,Implementos!A:A),SUMIF(Productos!E:E,F88,Productos!A:A)))</f>
        <v/>
      </c>
      <c r="F88" s="2" t="str">
        <f t="shared" si="2"/>
        <v/>
      </c>
      <c r="G88" s="10" t="str">
        <f t="array" ref="G88">IF(OR(F88="",F88="-",F88="Selecciona..",F88="Finalizar"),"",IF(A88="Rodados",XLOOKUP(B88,'Validaciones Cotizador'!I:I,'Validaciones Cotizador'!J:J,0,0,1),1))</f>
        <v/>
      </c>
      <c r="H88" s="11" t="str">
        <f>IF(OR(F88="",F88="Selecciona.."),"",SUMIF(Precio_Productos!K:K,E88,Precio_Productos!J:J)*G88)</f>
        <v/>
      </c>
      <c r="I88" s="4" t="str">
        <f t="array" ref="I88">IF($E88="","", XLOOKUP(SUMIFS(Prod_Prop!$A:$A,Prod_Prop!$B:$B,$E88,Prod_Prop!$H:$H,I$1,Prod_Prop!$I:$I,"Exacto"),Prod_Prop!$A:$A,Prod_Prop!$J:$J,"",0,1))</f>
        <v/>
      </c>
      <c r="J88" s="4" t="str">
        <f t="array" ref="J88">IF($E88="","", XLOOKUP(SUMIFS(Prod_Prop!$A:$A,Prod_Prop!$B:$B,$E88,Prod_Prop!$H:$H,J$1,Prod_Prop!$I:$I,"Exacto"),Prod_Prop!$A:$A,Prod_Prop!$J:$J,"",0,1))</f>
        <v/>
      </c>
      <c r="K88" s="4" t="str">
        <f t="array" ref="K88">IF($E88="","", XLOOKUP(SUMIFS(Prod_Prop!$A:$A,Prod_Prop!$B:$B,$E88,Prod_Prop!$H:$H,K$1,Prod_Prop!$I:$I,"Exacto"),Prod_Prop!$A:$A,Prod_Prop!$J:$J,"",0,1))</f>
        <v/>
      </c>
      <c r="L88" s="4" t="str">
        <f t="array" ref="L88">IF($E88="","", XLOOKUP(SUMIFS(Prod_Prop!$A:$A,Prod_Prop!$B:$B,$E88,Prod_Prop!$H:$H,L$1,Prod_Prop!$I:$I,"Exacto"),Prod_Prop!$A:$A,Prod_Prop!$J:$J,"",0,1))</f>
        <v/>
      </c>
      <c r="M88" s="4" t="str">
        <f t="array" ref="M88">IF($E88="","", XLOOKUP(SUMIFS(Prod_Prop!$A:$A,Prod_Prop!$B:$B,$E88,Prod_Prop!$H:$H,M$1,Prod_Prop!$I:$I,"Exacto"),Prod_Prop!$A:$A,Prod_Prop!$J:$J,"",0,1))</f>
        <v/>
      </c>
      <c r="N88" s="4" t="str">
        <f t="array" ref="N88">IF($E88="","", XLOOKUP(SUMIFS(Prod_Prop!$A:$A,Prod_Prop!$B:$B,$E88,Prod_Prop!$H:$H,N$1,Prod_Prop!$I:$I,"Exacto"),Prod_Prop!$A:$A,Prod_Prop!$J:$J,"",0,1))</f>
        <v/>
      </c>
      <c r="O88" s="4" t="str">
        <f t="array" ref="O88">IF($E88="","", XLOOKUP(SUMIFS(Prod_Prop!$A:$A,Prod_Prop!$B:$B,$E88,Prod_Prop!$H:$H,O$1,Prod_Prop!$I:$I,"Exacto"),Prod_Prop!$A:$A,Prod_Prop!$J:$J,"",0,1))</f>
        <v/>
      </c>
      <c r="P88" s="4" t="str">
        <f t="array" ref="P88">IF($E88="","", XLOOKUP(SUMIFS(Prod_Prop!$A:$A,Prod_Prop!$B:$B,$E88,Prod_Prop!$H:$H,P$1,Prod_Prop!$I:$I,"Exacto"),Prod_Prop!$A:$A,Prod_Prop!$J:$J,"",0,1))</f>
        <v/>
      </c>
      <c r="Q88" s="4" t="str">
        <f t="array" ref="Q88">IF($E88="","", XLOOKUP(SUMIFS(Prod_Prop!$A:$A,Prod_Prop!$B:$B,$E88,Prod_Prop!$H:$H,Q$1,Prod_Prop!$I:$I,"Exacto"),Prod_Prop!$A:$A,Prod_Prop!$J:$J,"",0,1))</f>
        <v/>
      </c>
      <c r="R88" s="4" t="str">
        <f t="array" ref="R88">IF($E88="","", XLOOKUP(SUMIFS(Prod_Prop!$A:$A,Prod_Prop!$B:$B,$E88,Prod_Prop!$H:$H,R$1,Prod_Prop!$I:$I,"Exacto"),Prod_Prop!$A:$A,Prod_Prop!$J:$J,"",0,1))</f>
        <v/>
      </c>
      <c r="S88" s="4" t="str">
        <f t="array" ref="S88">IF($E88="","", XLOOKUP(SUMIFS(Prod_Prop!$A:$A,Prod_Prop!$B:$B,$E88,Prod_Prop!$H:$H,S$1,Prod_Prop!$I:$I,"Exacto"),Prod_Prop!$A:$A,Prod_Prop!$J:$J,"",0,1))</f>
        <v/>
      </c>
      <c r="T88" s="4" t="str">
        <f t="array" ref="T88">IF($E88="","", XLOOKUP(SUMIFS(Prod_Prop!$A:$A,Prod_Prop!$B:$B,$E88,Prod_Prop!$H:$H,T$1,Prod_Prop!$I:$I,"Exacto"),Prod_Prop!$A:$A,Prod_Prop!$J:$J,"",0,1))</f>
        <v/>
      </c>
      <c r="U88" s="4" t="str">
        <f t="array" ref="U88">IF($E88="","", XLOOKUP(SUMIFS(Prod_Prop!$A:$A,Prod_Prop!$B:$B,$E88,Prod_Prop!$H:$H,U$1,Prod_Prop!$I:$I,"Exacto"),Prod_Prop!$A:$A,Prod_Prop!$J:$J,"",0,1))</f>
        <v/>
      </c>
      <c r="V88" s="4" t="str">
        <f t="array" ref="V88">IF($E88="","", XLOOKUP(SUMIFS(Prod_Prop!$A:$A,Prod_Prop!$B:$B,$E88,Prod_Prop!$H:$H,V$1,Prod_Prop!$I:$I,"Exacto"),Prod_Prop!$A:$A,Prod_Prop!$J:$J,"",0,1))</f>
        <v/>
      </c>
      <c r="X88" s="3" t="str">
        <f>IFERROR(__xludf.DUMMYFUNCTION("IF(D88="""","""",IFERROR(TRANSPOSE(FILTER('Validaciones Cotizador'!U:U,'Validaciones Cotizador'!O:O=D88,'Validaciones Cotizador'!T:T=""x"")),""Finalizar""))"),"")</f>
        <v/>
      </c>
    </row>
    <row r="89">
      <c r="A89" s="2" t="str">
        <f t="array" ref="A89">IF(E89="","",XLOOKUP(D89,'Validaciones Cotizador'!C:C,'Validaciones Cotizador'!A:A,"",0,1))</f>
        <v/>
      </c>
      <c r="B89" s="2" t="str">
        <f t="array" ref="B89">IF(F89="","",XLOOKUP(F89,Productos!E:E,Productos!G:G,"",0,1))</f>
        <v/>
      </c>
      <c r="C89" s="2" t="str">
        <f>IF(A89="","",SUMIFS('Validaciones Cotizador'!B:B,'Validaciones Cotizador'!C:C,D89,'Validaciones Cotizador'!A:A,A89))</f>
        <v/>
      </c>
      <c r="D89" s="4" t="str">
        <f>IFERROR(__xludf.DUMMYFUNCTION("IF(OR(F88=""Finalizar"",F88="""",F88=""Selecciona..""),"""",IF(OR(F88=""-"",INDEX(filter(Familias!F:F,Familias!D:D=A88,Familias!E:E=C88),1)=""O""),D88+1,D88))"),"")</f>
        <v/>
      </c>
      <c r="E89" s="2" t="str">
        <f>IF(OR(F89="",F89="Selecciona.."),"",IF(D89="Implemento",SUMIF(Implementos!B:B,F89,Implementos!A:A),SUMIF(Productos!E:E,F89,Productos!A:A)))</f>
        <v/>
      </c>
      <c r="F89" s="2" t="str">
        <f t="shared" si="2"/>
        <v/>
      </c>
      <c r="G89" s="10" t="str">
        <f t="array" ref="G89">IF(OR(F89="",F89="-",F89="Selecciona..",F89="Finalizar"),"",IF(A89="Rodados",XLOOKUP(B89,'Validaciones Cotizador'!I:I,'Validaciones Cotizador'!J:J,0,0,1),1))</f>
        <v/>
      </c>
      <c r="H89" s="11" t="str">
        <f>IF(OR(F89="",F89="Selecciona.."),"",SUMIF(Precio_Productos!K:K,E89,Precio_Productos!J:J)*G89)</f>
        <v/>
      </c>
      <c r="I89" s="4" t="str">
        <f t="array" ref="I89">IF($E89="","", XLOOKUP(SUMIFS(Prod_Prop!$A:$A,Prod_Prop!$B:$B,$E89,Prod_Prop!$H:$H,I$1,Prod_Prop!$I:$I,"Exacto"),Prod_Prop!$A:$A,Prod_Prop!$J:$J,"",0,1))</f>
        <v/>
      </c>
      <c r="J89" s="4" t="str">
        <f t="array" ref="J89">IF($E89="","", XLOOKUP(SUMIFS(Prod_Prop!$A:$A,Prod_Prop!$B:$B,$E89,Prod_Prop!$H:$H,J$1,Prod_Prop!$I:$I,"Exacto"),Prod_Prop!$A:$A,Prod_Prop!$J:$J,"",0,1))</f>
        <v/>
      </c>
      <c r="K89" s="4" t="str">
        <f t="array" ref="K89">IF($E89="","", XLOOKUP(SUMIFS(Prod_Prop!$A:$A,Prod_Prop!$B:$B,$E89,Prod_Prop!$H:$H,K$1,Prod_Prop!$I:$I,"Exacto"),Prod_Prop!$A:$A,Prod_Prop!$J:$J,"",0,1))</f>
        <v/>
      </c>
      <c r="L89" s="4" t="str">
        <f t="array" ref="L89">IF($E89="","", XLOOKUP(SUMIFS(Prod_Prop!$A:$A,Prod_Prop!$B:$B,$E89,Prod_Prop!$H:$H,L$1,Prod_Prop!$I:$I,"Exacto"),Prod_Prop!$A:$A,Prod_Prop!$J:$J,"",0,1))</f>
        <v/>
      </c>
      <c r="M89" s="4" t="str">
        <f t="array" ref="M89">IF($E89="","", XLOOKUP(SUMIFS(Prod_Prop!$A:$A,Prod_Prop!$B:$B,$E89,Prod_Prop!$H:$H,M$1,Prod_Prop!$I:$I,"Exacto"),Prod_Prop!$A:$A,Prod_Prop!$J:$J,"",0,1))</f>
        <v/>
      </c>
      <c r="N89" s="4" t="str">
        <f t="array" ref="N89">IF($E89="","", XLOOKUP(SUMIFS(Prod_Prop!$A:$A,Prod_Prop!$B:$B,$E89,Prod_Prop!$H:$H,N$1,Prod_Prop!$I:$I,"Exacto"),Prod_Prop!$A:$A,Prod_Prop!$J:$J,"",0,1))</f>
        <v/>
      </c>
      <c r="O89" s="4" t="str">
        <f t="array" ref="O89">IF($E89="","", XLOOKUP(SUMIFS(Prod_Prop!$A:$A,Prod_Prop!$B:$B,$E89,Prod_Prop!$H:$H,O$1,Prod_Prop!$I:$I,"Exacto"),Prod_Prop!$A:$A,Prod_Prop!$J:$J,"",0,1))</f>
        <v/>
      </c>
      <c r="P89" s="4" t="str">
        <f t="array" ref="P89">IF($E89="","", XLOOKUP(SUMIFS(Prod_Prop!$A:$A,Prod_Prop!$B:$B,$E89,Prod_Prop!$H:$H,P$1,Prod_Prop!$I:$I,"Exacto"),Prod_Prop!$A:$A,Prod_Prop!$J:$J,"",0,1))</f>
        <v/>
      </c>
      <c r="Q89" s="4" t="str">
        <f t="array" ref="Q89">IF($E89="","", XLOOKUP(SUMIFS(Prod_Prop!$A:$A,Prod_Prop!$B:$B,$E89,Prod_Prop!$H:$H,Q$1,Prod_Prop!$I:$I,"Exacto"),Prod_Prop!$A:$A,Prod_Prop!$J:$J,"",0,1))</f>
        <v/>
      </c>
      <c r="R89" s="4" t="str">
        <f t="array" ref="R89">IF($E89="","", XLOOKUP(SUMIFS(Prod_Prop!$A:$A,Prod_Prop!$B:$B,$E89,Prod_Prop!$H:$H,R$1,Prod_Prop!$I:$I,"Exacto"),Prod_Prop!$A:$A,Prod_Prop!$J:$J,"",0,1))</f>
        <v/>
      </c>
      <c r="S89" s="4" t="str">
        <f t="array" ref="S89">IF($E89="","", XLOOKUP(SUMIFS(Prod_Prop!$A:$A,Prod_Prop!$B:$B,$E89,Prod_Prop!$H:$H,S$1,Prod_Prop!$I:$I,"Exacto"),Prod_Prop!$A:$A,Prod_Prop!$J:$J,"",0,1))</f>
        <v/>
      </c>
      <c r="T89" s="4" t="str">
        <f t="array" ref="T89">IF($E89="","", XLOOKUP(SUMIFS(Prod_Prop!$A:$A,Prod_Prop!$B:$B,$E89,Prod_Prop!$H:$H,T$1,Prod_Prop!$I:$I,"Exacto"),Prod_Prop!$A:$A,Prod_Prop!$J:$J,"",0,1))</f>
        <v/>
      </c>
      <c r="U89" s="4" t="str">
        <f t="array" ref="U89">IF($E89="","", XLOOKUP(SUMIFS(Prod_Prop!$A:$A,Prod_Prop!$B:$B,$E89,Prod_Prop!$H:$H,U$1,Prod_Prop!$I:$I,"Exacto"),Prod_Prop!$A:$A,Prod_Prop!$J:$J,"",0,1))</f>
        <v/>
      </c>
      <c r="V89" s="4" t="str">
        <f t="array" ref="V89">IF($E89="","", XLOOKUP(SUMIFS(Prod_Prop!$A:$A,Prod_Prop!$B:$B,$E89,Prod_Prop!$H:$H,V$1,Prod_Prop!$I:$I,"Exacto"),Prod_Prop!$A:$A,Prod_Prop!$J:$J,"",0,1))</f>
        <v/>
      </c>
      <c r="X89" s="3" t="str">
        <f>IFERROR(__xludf.DUMMYFUNCTION("IF(D89="""","""",IFERROR(TRANSPOSE(FILTER('Validaciones Cotizador'!U:U,'Validaciones Cotizador'!O:O=D89,'Validaciones Cotizador'!T:T=""x"")),""Finalizar""))"),"")</f>
        <v/>
      </c>
    </row>
    <row r="90">
      <c r="A90" s="2" t="str">
        <f t="array" ref="A90">IF(E90="","",XLOOKUP(D90,'Validaciones Cotizador'!C:C,'Validaciones Cotizador'!A:A,"",0,1))</f>
        <v/>
      </c>
      <c r="B90" s="2" t="str">
        <f t="array" ref="B90">IF(F90="","",XLOOKUP(F90,Productos!E:E,Productos!G:G,"",0,1))</f>
        <v/>
      </c>
      <c r="C90" s="2" t="str">
        <f>IF(A90="","",SUMIFS('Validaciones Cotizador'!B:B,'Validaciones Cotizador'!C:C,D90,'Validaciones Cotizador'!A:A,A90))</f>
        <v/>
      </c>
      <c r="D90" s="4" t="str">
        <f>IFERROR(__xludf.DUMMYFUNCTION("IF(OR(F89=""Finalizar"",F89="""",F89=""Selecciona..""),"""",IF(OR(F89=""-"",INDEX(filter(Familias!F:F,Familias!D:D=A89,Familias!E:E=C89),1)=""O""),D89+1,D89))"),"")</f>
        <v/>
      </c>
      <c r="E90" s="2" t="str">
        <f>IF(OR(F90="",F90="Selecciona.."),"",IF(D90="Implemento",SUMIF(Implementos!B:B,F90,Implementos!A:A),SUMIF(Productos!E:E,F90,Productos!A:A)))</f>
        <v/>
      </c>
      <c r="F90" s="2" t="str">
        <f t="shared" si="2"/>
        <v/>
      </c>
      <c r="G90" s="10" t="str">
        <f t="array" ref="G90">IF(OR(F90="",F90="-",F90="Selecciona..",F90="Finalizar"),"",IF(A90="Rodados",XLOOKUP(B90,'Validaciones Cotizador'!I:I,'Validaciones Cotizador'!J:J,0,0,1),1))</f>
        <v/>
      </c>
      <c r="H90" s="11" t="str">
        <f>IF(OR(F90="",F90="Selecciona.."),"",SUMIF(Precio_Productos!K:K,E90,Precio_Productos!J:J)*G90)</f>
        <v/>
      </c>
      <c r="I90" s="4" t="str">
        <f t="array" ref="I90">IF($E90="","", XLOOKUP(SUMIFS(Prod_Prop!$A:$A,Prod_Prop!$B:$B,$E90,Prod_Prop!$H:$H,I$1,Prod_Prop!$I:$I,"Exacto"),Prod_Prop!$A:$A,Prod_Prop!$J:$J,"",0,1))</f>
        <v/>
      </c>
      <c r="J90" s="4" t="str">
        <f t="array" ref="J90">IF($E90="","", XLOOKUP(SUMIFS(Prod_Prop!$A:$A,Prod_Prop!$B:$B,$E90,Prod_Prop!$H:$H,J$1,Prod_Prop!$I:$I,"Exacto"),Prod_Prop!$A:$A,Prod_Prop!$J:$J,"",0,1))</f>
        <v/>
      </c>
      <c r="K90" s="4" t="str">
        <f t="array" ref="K90">IF($E90="","", XLOOKUP(SUMIFS(Prod_Prop!$A:$A,Prod_Prop!$B:$B,$E90,Prod_Prop!$H:$H,K$1,Prod_Prop!$I:$I,"Exacto"),Prod_Prop!$A:$A,Prod_Prop!$J:$J,"",0,1))</f>
        <v/>
      </c>
      <c r="L90" s="4" t="str">
        <f t="array" ref="L90">IF($E90="","", XLOOKUP(SUMIFS(Prod_Prop!$A:$A,Prod_Prop!$B:$B,$E90,Prod_Prop!$H:$H,L$1,Prod_Prop!$I:$I,"Exacto"),Prod_Prop!$A:$A,Prod_Prop!$J:$J,"",0,1))</f>
        <v/>
      </c>
      <c r="M90" s="4" t="str">
        <f t="array" ref="M90">IF($E90="","", XLOOKUP(SUMIFS(Prod_Prop!$A:$A,Prod_Prop!$B:$B,$E90,Prod_Prop!$H:$H,M$1,Prod_Prop!$I:$I,"Exacto"),Prod_Prop!$A:$A,Prod_Prop!$J:$J,"",0,1))</f>
        <v/>
      </c>
      <c r="N90" s="4" t="str">
        <f t="array" ref="N90">IF($E90="","", XLOOKUP(SUMIFS(Prod_Prop!$A:$A,Prod_Prop!$B:$B,$E90,Prod_Prop!$H:$H,N$1,Prod_Prop!$I:$I,"Exacto"),Prod_Prop!$A:$A,Prod_Prop!$J:$J,"",0,1))</f>
        <v/>
      </c>
      <c r="O90" s="4" t="str">
        <f t="array" ref="O90">IF($E90="","", XLOOKUP(SUMIFS(Prod_Prop!$A:$A,Prod_Prop!$B:$B,$E90,Prod_Prop!$H:$H,O$1,Prod_Prop!$I:$I,"Exacto"),Prod_Prop!$A:$A,Prod_Prop!$J:$J,"",0,1))</f>
        <v/>
      </c>
      <c r="P90" s="4" t="str">
        <f t="array" ref="P90">IF($E90="","", XLOOKUP(SUMIFS(Prod_Prop!$A:$A,Prod_Prop!$B:$B,$E90,Prod_Prop!$H:$H,P$1,Prod_Prop!$I:$I,"Exacto"),Prod_Prop!$A:$A,Prod_Prop!$J:$J,"",0,1))</f>
        <v/>
      </c>
      <c r="Q90" s="4" t="str">
        <f t="array" ref="Q90">IF($E90="","", XLOOKUP(SUMIFS(Prod_Prop!$A:$A,Prod_Prop!$B:$B,$E90,Prod_Prop!$H:$H,Q$1,Prod_Prop!$I:$I,"Exacto"),Prod_Prop!$A:$A,Prod_Prop!$J:$J,"",0,1))</f>
        <v/>
      </c>
      <c r="R90" s="4" t="str">
        <f t="array" ref="R90">IF($E90="","", XLOOKUP(SUMIFS(Prod_Prop!$A:$A,Prod_Prop!$B:$B,$E90,Prod_Prop!$H:$H,R$1,Prod_Prop!$I:$I,"Exacto"),Prod_Prop!$A:$A,Prod_Prop!$J:$J,"",0,1))</f>
        <v/>
      </c>
      <c r="S90" s="4" t="str">
        <f t="array" ref="S90">IF($E90="","", XLOOKUP(SUMIFS(Prod_Prop!$A:$A,Prod_Prop!$B:$B,$E90,Prod_Prop!$H:$H,S$1,Prod_Prop!$I:$I,"Exacto"),Prod_Prop!$A:$A,Prod_Prop!$J:$J,"",0,1))</f>
        <v/>
      </c>
      <c r="T90" s="4" t="str">
        <f t="array" ref="T90">IF($E90="","", XLOOKUP(SUMIFS(Prod_Prop!$A:$A,Prod_Prop!$B:$B,$E90,Prod_Prop!$H:$H,T$1,Prod_Prop!$I:$I,"Exacto"),Prod_Prop!$A:$A,Prod_Prop!$J:$J,"",0,1))</f>
        <v/>
      </c>
      <c r="U90" s="4" t="str">
        <f t="array" ref="U90">IF($E90="","", XLOOKUP(SUMIFS(Prod_Prop!$A:$A,Prod_Prop!$B:$B,$E90,Prod_Prop!$H:$H,U$1,Prod_Prop!$I:$I,"Exacto"),Prod_Prop!$A:$A,Prod_Prop!$J:$J,"",0,1))</f>
        <v/>
      </c>
      <c r="V90" s="4" t="str">
        <f t="array" ref="V90">IF($E90="","", XLOOKUP(SUMIFS(Prod_Prop!$A:$A,Prod_Prop!$B:$B,$E90,Prod_Prop!$H:$H,V$1,Prod_Prop!$I:$I,"Exacto"),Prod_Prop!$A:$A,Prod_Prop!$J:$J,"",0,1))</f>
        <v/>
      </c>
      <c r="X90" s="3" t="str">
        <f>IFERROR(__xludf.DUMMYFUNCTION("IF(D90="""","""",IFERROR(TRANSPOSE(FILTER('Validaciones Cotizador'!U:U,'Validaciones Cotizador'!O:O=D90,'Validaciones Cotizador'!T:T=""x"")),""Finalizar""))"),"")</f>
        <v/>
      </c>
    </row>
    <row r="91">
      <c r="A91" s="2" t="str">
        <f t="array" ref="A91">IF(E91="","",XLOOKUP(D91,'Validaciones Cotizador'!C:C,'Validaciones Cotizador'!A:A,"",0,1))</f>
        <v/>
      </c>
      <c r="B91" s="2" t="str">
        <f t="array" ref="B91">IF(F91="","",XLOOKUP(F91,Productos!E:E,Productos!G:G,"",0,1))</f>
        <v/>
      </c>
      <c r="C91" s="2" t="str">
        <f>IF(A91="","",SUMIFS('Validaciones Cotizador'!B:B,'Validaciones Cotizador'!C:C,D91,'Validaciones Cotizador'!A:A,A91))</f>
        <v/>
      </c>
      <c r="D91" s="4" t="str">
        <f>IFERROR(__xludf.DUMMYFUNCTION("IF(OR(F90=""Finalizar"",F90="""",F90=""Selecciona..""),"""",IF(OR(F90=""-"",INDEX(filter(Familias!F:F,Familias!D:D=A90,Familias!E:E=C90),1)=""O""),D90+1,D90))"),"")</f>
        <v/>
      </c>
      <c r="E91" s="2" t="str">
        <f>IF(OR(F91="",F91="Selecciona.."),"",IF(D91="Implemento",SUMIF(Implementos!B:B,F91,Implementos!A:A),SUMIF(Productos!E:E,F91,Productos!A:A)))</f>
        <v/>
      </c>
      <c r="F91" s="2" t="str">
        <f t="shared" si="2"/>
        <v/>
      </c>
      <c r="G91" s="10" t="str">
        <f t="array" ref="G91">IF(OR(F91="",F91="-",F91="Selecciona..",F91="Finalizar"),"",IF(A91="Rodados",XLOOKUP(B91,'Validaciones Cotizador'!I:I,'Validaciones Cotizador'!J:J,0,0,1),1))</f>
        <v/>
      </c>
      <c r="H91" s="11" t="str">
        <f>IF(OR(F91="",F91="Selecciona.."),"",SUMIF(Precio_Productos!K:K,E91,Precio_Productos!J:J)*G91)</f>
        <v/>
      </c>
      <c r="I91" s="4" t="str">
        <f t="array" ref="I91">IF($E91="","", XLOOKUP(SUMIFS(Prod_Prop!$A:$A,Prod_Prop!$B:$B,$E91,Prod_Prop!$H:$H,I$1,Prod_Prop!$I:$I,"Exacto"),Prod_Prop!$A:$A,Prod_Prop!$J:$J,"",0,1))</f>
        <v/>
      </c>
      <c r="J91" s="4" t="str">
        <f t="array" ref="J91">IF($E91="","", XLOOKUP(SUMIFS(Prod_Prop!$A:$A,Prod_Prop!$B:$B,$E91,Prod_Prop!$H:$H,J$1,Prod_Prop!$I:$I,"Exacto"),Prod_Prop!$A:$A,Prod_Prop!$J:$J,"",0,1))</f>
        <v/>
      </c>
      <c r="K91" s="4" t="str">
        <f t="array" ref="K91">IF($E91="","", XLOOKUP(SUMIFS(Prod_Prop!$A:$A,Prod_Prop!$B:$B,$E91,Prod_Prop!$H:$H,K$1,Prod_Prop!$I:$I,"Exacto"),Prod_Prop!$A:$A,Prod_Prop!$J:$J,"",0,1))</f>
        <v/>
      </c>
      <c r="L91" s="4" t="str">
        <f t="array" ref="L91">IF($E91="","", XLOOKUP(SUMIFS(Prod_Prop!$A:$A,Prod_Prop!$B:$B,$E91,Prod_Prop!$H:$H,L$1,Prod_Prop!$I:$I,"Exacto"),Prod_Prop!$A:$A,Prod_Prop!$J:$J,"",0,1))</f>
        <v/>
      </c>
      <c r="M91" s="4" t="str">
        <f t="array" ref="M91">IF($E91="","", XLOOKUP(SUMIFS(Prod_Prop!$A:$A,Prod_Prop!$B:$B,$E91,Prod_Prop!$H:$H,M$1,Prod_Prop!$I:$I,"Exacto"),Prod_Prop!$A:$A,Prod_Prop!$J:$J,"",0,1))</f>
        <v/>
      </c>
      <c r="N91" s="4" t="str">
        <f t="array" ref="N91">IF($E91="","", XLOOKUP(SUMIFS(Prod_Prop!$A:$A,Prod_Prop!$B:$B,$E91,Prod_Prop!$H:$H,N$1,Prod_Prop!$I:$I,"Exacto"),Prod_Prop!$A:$A,Prod_Prop!$J:$J,"",0,1))</f>
        <v/>
      </c>
      <c r="O91" s="4" t="str">
        <f t="array" ref="O91">IF($E91="","", XLOOKUP(SUMIFS(Prod_Prop!$A:$A,Prod_Prop!$B:$B,$E91,Prod_Prop!$H:$H,O$1,Prod_Prop!$I:$I,"Exacto"),Prod_Prop!$A:$A,Prod_Prop!$J:$J,"",0,1))</f>
        <v/>
      </c>
      <c r="P91" s="4" t="str">
        <f t="array" ref="P91">IF($E91="","", XLOOKUP(SUMIFS(Prod_Prop!$A:$A,Prod_Prop!$B:$B,$E91,Prod_Prop!$H:$H,P$1,Prod_Prop!$I:$I,"Exacto"),Prod_Prop!$A:$A,Prod_Prop!$J:$J,"",0,1))</f>
        <v/>
      </c>
      <c r="Q91" s="4" t="str">
        <f t="array" ref="Q91">IF($E91="","", XLOOKUP(SUMIFS(Prod_Prop!$A:$A,Prod_Prop!$B:$B,$E91,Prod_Prop!$H:$H,Q$1,Prod_Prop!$I:$I,"Exacto"),Prod_Prop!$A:$A,Prod_Prop!$J:$J,"",0,1))</f>
        <v/>
      </c>
      <c r="R91" s="4" t="str">
        <f t="array" ref="R91">IF($E91="","", XLOOKUP(SUMIFS(Prod_Prop!$A:$A,Prod_Prop!$B:$B,$E91,Prod_Prop!$H:$H,R$1,Prod_Prop!$I:$I,"Exacto"),Prod_Prop!$A:$A,Prod_Prop!$J:$J,"",0,1))</f>
        <v/>
      </c>
      <c r="S91" s="4" t="str">
        <f t="array" ref="S91">IF($E91="","", XLOOKUP(SUMIFS(Prod_Prop!$A:$A,Prod_Prop!$B:$B,$E91,Prod_Prop!$H:$H,S$1,Prod_Prop!$I:$I,"Exacto"),Prod_Prop!$A:$A,Prod_Prop!$J:$J,"",0,1))</f>
        <v/>
      </c>
      <c r="T91" s="4" t="str">
        <f t="array" ref="T91">IF($E91="","", XLOOKUP(SUMIFS(Prod_Prop!$A:$A,Prod_Prop!$B:$B,$E91,Prod_Prop!$H:$H,T$1,Prod_Prop!$I:$I,"Exacto"),Prod_Prop!$A:$A,Prod_Prop!$J:$J,"",0,1))</f>
        <v/>
      </c>
      <c r="U91" s="4" t="str">
        <f t="array" ref="U91">IF($E91="","", XLOOKUP(SUMIFS(Prod_Prop!$A:$A,Prod_Prop!$B:$B,$E91,Prod_Prop!$H:$H,U$1,Prod_Prop!$I:$I,"Exacto"),Prod_Prop!$A:$A,Prod_Prop!$J:$J,"",0,1))</f>
        <v/>
      </c>
      <c r="V91" s="4" t="str">
        <f t="array" ref="V91">IF($E91="","", XLOOKUP(SUMIFS(Prod_Prop!$A:$A,Prod_Prop!$B:$B,$E91,Prod_Prop!$H:$H,V$1,Prod_Prop!$I:$I,"Exacto"),Prod_Prop!$A:$A,Prod_Prop!$J:$J,"",0,1))</f>
        <v/>
      </c>
      <c r="X91" s="3" t="str">
        <f>IFERROR(__xludf.DUMMYFUNCTION("IF(D91="""","""",IFERROR(TRANSPOSE(FILTER('Validaciones Cotizador'!U:U,'Validaciones Cotizador'!O:O=D91,'Validaciones Cotizador'!T:T=""x"")),""Finalizar""))"),"")</f>
        <v/>
      </c>
    </row>
    <row r="92">
      <c r="A92" s="2" t="str">
        <f t="array" ref="A92">IF(E92="","",XLOOKUP(D92,'Validaciones Cotizador'!C:C,'Validaciones Cotizador'!A:A,"",0,1))</f>
        <v/>
      </c>
      <c r="B92" s="2" t="str">
        <f t="array" ref="B92">IF(F92="","",XLOOKUP(F92,Productos!E:E,Productos!G:G,"",0,1))</f>
        <v/>
      </c>
      <c r="C92" s="2" t="str">
        <f>IF(A92="","",SUMIFS('Validaciones Cotizador'!B:B,'Validaciones Cotizador'!C:C,D92,'Validaciones Cotizador'!A:A,A92))</f>
        <v/>
      </c>
      <c r="D92" s="4" t="str">
        <f>IFERROR(__xludf.DUMMYFUNCTION("IF(OR(F91=""Finalizar"",F91="""",F91=""Selecciona..""),"""",IF(OR(F91=""-"",INDEX(filter(Familias!F:F,Familias!D:D=A91,Familias!E:E=C91),1)=""O""),D91+1,D91))"),"")</f>
        <v/>
      </c>
      <c r="E92" s="2" t="str">
        <f>IF(OR(F92="",F92="Selecciona.."),"",IF(D92="Implemento",SUMIF(Implementos!B:B,F92,Implementos!A:A),SUMIF(Productos!E:E,F92,Productos!A:A)))</f>
        <v/>
      </c>
      <c r="F92" s="2" t="str">
        <f t="shared" si="2"/>
        <v/>
      </c>
      <c r="G92" s="10" t="str">
        <f t="array" ref="G92">IF(OR(F92="",F92="-",F92="Selecciona..",F92="Finalizar"),"",IF(A92="Rodados",XLOOKUP(B92,'Validaciones Cotizador'!I:I,'Validaciones Cotizador'!J:J,0,0,1),1))</f>
        <v/>
      </c>
      <c r="H92" s="11" t="str">
        <f>IF(OR(F92="",F92="Selecciona.."),"",SUMIF(Precio_Productos!K:K,E92,Precio_Productos!J:J)*G92)</f>
        <v/>
      </c>
      <c r="I92" s="4" t="str">
        <f t="array" ref="I92">IF($E92="","", XLOOKUP(SUMIFS(Prod_Prop!$A:$A,Prod_Prop!$B:$B,$E92,Prod_Prop!$H:$H,I$1,Prod_Prop!$I:$I,"Exacto"),Prod_Prop!$A:$A,Prod_Prop!$J:$J,"",0,1))</f>
        <v/>
      </c>
      <c r="J92" s="4" t="str">
        <f t="array" ref="J92">IF($E92="","", XLOOKUP(SUMIFS(Prod_Prop!$A:$A,Prod_Prop!$B:$B,$E92,Prod_Prop!$H:$H,J$1,Prod_Prop!$I:$I,"Exacto"),Prod_Prop!$A:$A,Prod_Prop!$J:$J,"",0,1))</f>
        <v/>
      </c>
      <c r="K92" s="4" t="str">
        <f t="array" ref="K92">IF($E92="","", XLOOKUP(SUMIFS(Prod_Prop!$A:$A,Prod_Prop!$B:$B,$E92,Prod_Prop!$H:$H,K$1,Prod_Prop!$I:$I,"Exacto"),Prod_Prop!$A:$A,Prod_Prop!$J:$J,"",0,1))</f>
        <v/>
      </c>
      <c r="L92" s="4" t="str">
        <f t="array" ref="L92">IF($E92="","", XLOOKUP(SUMIFS(Prod_Prop!$A:$A,Prod_Prop!$B:$B,$E92,Prod_Prop!$H:$H,L$1,Prod_Prop!$I:$I,"Exacto"),Prod_Prop!$A:$A,Prod_Prop!$J:$J,"",0,1))</f>
        <v/>
      </c>
      <c r="M92" s="4" t="str">
        <f t="array" ref="M92">IF($E92="","", XLOOKUP(SUMIFS(Prod_Prop!$A:$A,Prod_Prop!$B:$B,$E92,Prod_Prop!$H:$H,M$1,Prod_Prop!$I:$I,"Exacto"),Prod_Prop!$A:$A,Prod_Prop!$J:$J,"",0,1))</f>
        <v/>
      </c>
      <c r="N92" s="4" t="str">
        <f t="array" ref="N92">IF($E92="","", XLOOKUP(SUMIFS(Prod_Prop!$A:$A,Prod_Prop!$B:$B,$E92,Prod_Prop!$H:$H,N$1,Prod_Prop!$I:$I,"Exacto"),Prod_Prop!$A:$A,Prod_Prop!$J:$J,"",0,1))</f>
        <v/>
      </c>
      <c r="O92" s="4" t="str">
        <f t="array" ref="O92">IF($E92="","", XLOOKUP(SUMIFS(Prod_Prop!$A:$A,Prod_Prop!$B:$B,$E92,Prod_Prop!$H:$H,O$1,Prod_Prop!$I:$I,"Exacto"),Prod_Prop!$A:$A,Prod_Prop!$J:$J,"",0,1))</f>
        <v/>
      </c>
      <c r="P92" s="4" t="str">
        <f t="array" ref="P92">IF($E92="","", XLOOKUP(SUMIFS(Prod_Prop!$A:$A,Prod_Prop!$B:$B,$E92,Prod_Prop!$H:$H,P$1,Prod_Prop!$I:$I,"Exacto"),Prod_Prop!$A:$A,Prod_Prop!$J:$J,"",0,1))</f>
        <v/>
      </c>
      <c r="Q92" s="4" t="str">
        <f t="array" ref="Q92">IF($E92="","", XLOOKUP(SUMIFS(Prod_Prop!$A:$A,Prod_Prop!$B:$B,$E92,Prod_Prop!$H:$H,Q$1,Prod_Prop!$I:$I,"Exacto"),Prod_Prop!$A:$A,Prod_Prop!$J:$J,"",0,1))</f>
        <v/>
      </c>
      <c r="R92" s="4" t="str">
        <f t="array" ref="R92">IF($E92="","", XLOOKUP(SUMIFS(Prod_Prop!$A:$A,Prod_Prop!$B:$B,$E92,Prod_Prop!$H:$H,R$1,Prod_Prop!$I:$I,"Exacto"),Prod_Prop!$A:$A,Prod_Prop!$J:$J,"",0,1))</f>
        <v/>
      </c>
      <c r="S92" s="4" t="str">
        <f t="array" ref="S92">IF($E92="","", XLOOKUP(SUMIFS(Prod_Prop!$A:$A,Prod_Prop!$B:$B,$E92,Prod_Prop!$H:$H,S$1,Prod_Prop!$I:$I,"Exacto"),Prod_Prop!$A:$A,Prod_Prop!$J:$J,"",0,1))</f>
        <v/>
      </c>
      <c r="T92" s="4" t="str">
        <f t="array" ref="T92">IF($E92="","", XLOOKUP(SUMIFS(Prod_Prop!$A:$A,Prod_Prop!$B:$B,$E92,Prod_Prop!$H:$H,T$1,Prod_Prop!$I:$I,"Exacto"),Prod_Prop!$A:$A,Prod_Prop!$J:$J,"",0,1))</f>
        <v/>
      </c>
      <c r="U92" s="4" t="str">
        <f t="array" ref="U92">IF($E92="","", XLOOKUP(SUMIFS(Prod_Prop!$A:$A,Prod_Prop!$B:$B,$E92,Prod_Prop!$H:$H,U$1,Prod_Prop!$I:$I,"Exacto"),Prod_Prop!$A:$A,Prod_Prop!$J:$J,"",0,1))</f>
        <v/>
      </c>
      <c r="V92" s="4" t="str">
        <f t="array" ref="V92">IF($E92="","", XLOOKUP(SUMIFS(Prod_Prop!$A:$A,Prod_Prop!$B:$B,$E92,Prod_Prop!$H:$H,V$1,Prod_Prop!$I:$I,"Exacto"),Prod_Prop!$A:$A,Prod_Prop!$J:$J,"",0,1))</f>
        <v/>
      </c>
      <c r="X92" s="3" t="str">
        <f>IFERROR(__xludf.DUMMYFUNCTION("IF(D92="""","""",IFERROR(TRANSPOSE(FILTER('Validaciones Cotizador'!U:U,'Validaciones Cotizador'!O:O=D92,'Validaciones Cotizador'!T:T=""x"")),""Finalizar""))"),"")</f>
        <v/>
      </c>
    </row>
    <row r="93">
      <c r="A93" s="2" t="str">
        <f t="array" ref="A93">IF(E93="","",XLOOKUP(D93,'Validaciones Cotizador'!C:C,'Validaciones Cotizador'!A:A,"",0,1))</f>
        <v/>
      </c>
      <c r="B93" s="2" t="str">
        <f t="array" ref="B93">IF(F93="","",XLOOKUP(F93,Productos!E:E,Productos!G:G,"",0,1))</f>
        <v/>
      </c>
      <c r="C93" s="2" t="str">
        <f>IF(A93="","",SUMIFS('Validaciones Cotizador'!B:B,'Validaciones Cotizador'!C:C,D93,'Validaciones Cotizador'!A:A,A93))</f>
        <v/>
      </c>
      <c r="D93" s="4" t="str">
        <f>IFERROR(__xludf.DUMMYFUNCTION("IF(OR(F92=""Finalizar"",F92="""",F92=""Selecciona..""),"""",IF(OR(F92=""-"",INDEX(filter(Familias!F:F,Familias!D:D=A92,Familias!E:E=C92),1)=""O""),D92+1,D92))"),"")</f>
        <v/>
      </c>
      <c r="E93" s="2" t="str">
        <f>IF(OR(F93="",F93="Selecciona.."),"",IF(D93="Implemento",SUMIF(Implementos!B:B,F93,Implementos!A:A),SUMIF(Productos!E:E,F93,Productos!A:A)))</f>
        <v/>
      </c>
      <c r="F93" s="2" t="str">
        <f t="shared" si="2"/>
        <v/>
      </c>
      <c r="G93" s="10" t="str">
        <f t="array" ref="G93">IF(OR(F93="",F93="-",F93="Selecciona..",F93="Finalizar"),"",IF(A93="Rodados",XLOOKUP(B93,'Validaciones Cotizador'!I:I,'Validaciones Cotizador'!J:J,0,0,1),1))</f>
        <v/>
      </c>
      <c r="H93" s="11" t="str">
        <f>IF(OR(F93="",F93="Selecciona.."),"",SUMIF(Precio_Productos!K:K,E93,Precio_Productos!J:J)*G93)</f>
        <v/>
      </c>
      <c r="I93" s="4" t="str">
        <f t="array" ref="I93">IF($E93="","", XLOOKUP(SUMIFS(Prod_Prop!$A:$A,Prod_Prop!$B:$B,$E93,Prod_Prop!$H:$H,I$1,Prod_Prop!$I:$I,"Exacto"),Prod_Prop!$A:$A,Prod_Prop!$J:$J,"",0,1))</f>
        <v/>
      </c>
      <c r="J93" s="4" t="str">
        <f t="array" ref="J93">IF($E93="","", XLOOKUP(SUMIFS(Prod_Prop!$A:$A,Prod_Prop!$B:$B,$E93,Prod_Prop!$H:$H,J$1,Prod_Prop!$I:$I,"Exacto"),Prod_Prop!$A:$A,Prod_Prop!$J:$J,"",0,1))</f>
        <v/>
      </c>
      <c r="K93" s="4" t="str">
        <f t="array" ref="K93">IF($E93="","", XLOOKUP(SUMIFS(Prod_Prop!$A:$A,Prod_Prop!$B:$B,$E93,Prod_Prop!$H:$H,K$1,Prod_Prop!$I:$I,"Exacto"),Prod_Prop!$A:$A,Prod_Prop!$J:$J,"",0,1))</f>
        <v/>
      </c>
      <c r="L93" s="4" t="str">
        <f t="array" ref="L93">IF($E93="","", XLOOKUP(SUMIFS(Prod_Prop!$A:$A,Prod_Prop!$B:$B,$E93,Prod_Prop!$H:$H,L$1,Prod_Prop!$I:$I,"Exacto"),Prod_Prop!$A:$A,Prod_Prop!$J:$J,"",0,1))</f>
        <v/>
      </c>
      <c r="M93" s="4" t="str">
        <f t="array" ref="M93">IF($E93="","", XLOOKUP(SUMIFS(Prod_Prop!$A:$A,Prod_Prop!$B:$B,$E93,Prod_Prop!$H:$H,M$1,Prod_Prop!$I:$I,"Exacto"),Prod_Prop!$A:$A,Prod_Prop!$J:$J,"",0,1))</f>
        <v/>
      </c>
      <c r="N93" s="4" t="str">
        <f t="array" ref="N93">IF($E93="","", XLOOKUP(SUMIFS(Prod_Prop!$A:$A,Prod_Prop!$B:$B,$E93,Prod_Prop!$H:$H,N$1,Prod_Prop!$I:$I,"Exacto"),Prod_Prop!$A:$A,Prod_Prop!$J:$J,"",0,1))</f>
        <v/>
      </c>
      <c r="O93" s="4" t="str">
        <f t="array" ref="O93">IF($E93="","", XLOOKUP(SUMIFS(Prod_Prop!$A:$A,Prod_Prop!$B:$B,$E93,Prod_Prop!$H:$H,O$1,Prod_Prop!$I:$I,"Exacto"),Prod_Prop!$A:$A,Prod_Prop!$J:$J,"",0,1))</f>
        <v/>
      </c>
      <c r="P93" s="4" t="str">
        <f t="array" ref="P93">IF($E93="","", XLOOKUP(SUMIFS(Prod_Prop!$A:$A,Prod_Prop!$B:$B,$E93,Prod_Prop!$H:$H,P$1,Prod_Prop!$I:$I,"Exacto"),Prod_Prop!$A:$A,Prod_Prop!$J:$J,"",0,1))</f>
        <v/>
      </c>
      <c r="Q93" s="4" t="str">
        <f t="array" ref="Q93">IF($E93="","", XLOOKUP(SUMIFS(Prod_Prop!$A:$A,Prod_Prop!$B:$B,$E93,Prod_Prop!$H:$H,Q$1,Prod_Prop!$I:$I,"Exacto"),Prod_Prop!$A:$A,Prod_Prop!$J:$J,"",0,1))</f>
        <v/>
      </c>
      <c r="R93" s="4" t="str">
        <f t="array" ref="R93">IF($E93="","", XLOOKUP(SUMIFS(Prod_Prop!$A:$A,Prod_Prop!$B:$B,$E93,Prod_Prop!$H:$H,R$1,Prod_Prop!$I:$I,"Exacto"),Prod_Prop!$A:$A,Prod_Prop!$J:$J,"",0,1))</f>
        <v/>
      </c>
      <c r="S93" s="4" t="str">
        <f t="array" ref="S93">IF($E93="","", XLOOKUP(SUMIFS(Prod_Prop!$A:$A,Prod_Prop!$B:$B,$E93,Prod_Prop!$H:$H,S$1,Prod_Prop!$I:$I,"Exacto"),Prod_Prop!$A:$A,Prod_Prop!$J:$J,"",0,1))</f>
        <v/>
      </c>
      <c r="T93" s="4" t="str">
        <f t="array" ref="T93">IF($E93="","", XLOOKUP(SUMIFS(Prod_Prop!$A:$A,Prod_Prop!$B:$B,$E93,Prod_Prop!$H:$H,T$1,Prod_Prop!$I:$I,"Exacto"),Prod_Prop!$A:$A,Prod_Prop!$J:$J,"",0,1))</f>
        <v/>
      </c>
      <c r="U93" s="4" t="str">
        <f t="array" ref="U93">IF($E93="","", XLOOKUP(SUMIFS(Prod_Prop!$A:$A,Prod_Prop!$B:$B,$E93,Prod_Prop!$H:$H,U$1,Prod_Prop!$I:$I,"Exacto"),Prod_Prop!$A:$A,Prod_Prop!$J:$J,"",0,1))</f>
        <v/>
      </c>
      <c r="V93" s="4" t="str">
        <f t="array" ref="V93">IF($E93="","", XLOOKUP(SUMIFS(Prod_Prop!$A:$A,Prod_Prop!$B:$B,$E93,Prod_Prop!$H:$H,V$1,Prod_Prop!$I:$I,"Exacto"),Prod_Prop!$A:$A,Prod_Prop!$J:$J,"",0,1))</f>
        <v/>
      </c>
      <c r="X93" s="3" t="str">
        <f>IFERROR(__xludf.DUMMYFUNCTION("IF(D93="""","""",IFERROR(TRANSPOSE(FILTER('Validaciones Cotizador'!U:U,'Validaciones Cotizador'!O:O=D93,'Validaciones Cotizador'!T:T=""x"")),""Finalizar""))"),"")</f>
        <v/>
      </c>
    </row>
    <row r="94">
      <c r="A94" s="2" t="str">
        <f t="array" ref="A94">IF(E94="","",XLOOKUP(D94,'Validaciones Cotizador'!C:C,'Validaciones Cotizador'!A:A,"",0,1))</f>
        <v/>
      </c>
      <c r="B94" s="2" t="str">
        <f t="array" ref="B94">IF(F94="","",XLOOKUP(F94,Productos!E:E,Productos!G:G,"",0,1))</f>
        <v/>
      </c>
      <c r="C94" s="2" t="str">
        <f>IF(A94="","",SUMIFS('Validaciones Cotizador'!B:B,'Validaciones Cotizador'!C:C,D94,'Validaciones Cotizador'!A:A,A94))</f>
        <v/>
      </c>
      <c r="D94" s="4" t="str">
        <f>IFERROR(__xludf.DUMMYFUNCTION("IF(OR(F93=""Finalizar"",F93="""",F93=""Selecciona..""),"""",IF(OR(F93=""-"",INDEX(filter(Familias!F:F,Familias!D:D=A93,Familias!E:E=C93),1)=""O""),D93+1,D93))"),"")</f>
        <v/>
      </c>
      <c r="E94" s="2" t="str">
        <f>IF(OR(F94="",F94="Selecciona.."),"",IF(D94="Implemento",SUMIF(Implementos!B:B,F94,Implementos!A:A),SUMIF(Productos!E:E,F94,Productos!A:A)))</f>
        <v/>
      </c>
      <c r="F94" s="2" t="str">
        <f t="shared" si="2"/>
        <v/>
      </c>
      <c r="G94" s="10" t="str">
        <f t="array" ref="G94">IF(OR(F94="",F94="-",F94="Selecciona..",F94="Finalizar"),"",IF(A94="Rodados",XLOOKUP(B94,'Validaciones Cotizador'!I:I,'Validaciones Cotizador'!J:J,0,0,1),1))</f>
        <v/>
      </c>
      <c r="H94" s="11" t="str">
        <f>IF(OR(F94="",F94="Selecciona.."),"",SUMIF(Precio_Productos!K:K,E94,Precio_Productos!J:J)*G94)</f>
        <v/>
      </c>
      <c r="I94" s="4" t="str">
        <f t="array" ref="I94">IF($E94="","", XLOOKUP(SUMIFS(Prod_Prop!$A:$A,Prod_Prop!$B:$B,$E94,Prod_Prop!$H:$H,I$1,Prod_Prop!$I:$I,"Exacto"),Prod_Prop!$A:$A,Prod_Prop!$J:$J,"",0,1))</f>
        <v/>
      </c>
      <c r="J94" s="4" t="str">
        <f t="array" ref="J94">IF($E94="","", XLOOKUP(SUMIFS(Prod_Prop!$A:$A,Prod_Prop!$B:$B,$E94,Prod_Prop!$H:$H,J$1,Prod_Prop!$I:$I,"Exacto"),Prod_Prop!$A:$A,Prod_Prop!$J:$J,"",0,1))</f>
        <v/>
      </c>
      <c r="K94" s="4" t="str">
        <f t="array" ref="K94">IF($E94="","", XLOOKUP(SUMIFS(Prod_Prop!$A:$A,Prod_Prop!$B:$B,$E94,Prod_Prop!$H:$H,K$1,Prod_Prop!$I:$I,"Exacto"),Prod_Prop!$A:$A,Prod_Prop!$J:$J,"",0,1))</f>
        <v/>
      </c>
      <c r="L94" s="4" t="str">
        <f t="array" ref="L94">IF($E94="","", XLOOKUP(SUMIFS(Prod_Prop!$A:$A,Prod_Prop!$B:$B,$E94,Prod_Prop!$H:$H,L$1,Prod_Prop!$I:$I,"Exacto"),Prod_Prop!$A:$A,Prod_Prop!$J:$J,"",0,1))</f>
        <v/>
      </c>
      <c r="M94" s="4" t="str">
        <f t="array" ref="M94">IF($E94="","", XLOOKUP(SUMIFS(Prod_Prop!$A:$A,Prod_Prop!$B:$B,$E94,Prod_Prop!$H:$H,M$1,Prod_Prop!$I:$I,"Exacto"),Prod_Prop!$A:$A,Prod_Prop!$J:$J,"",0,1))</f>
        <v/>
      </c>
      <c r="N94" s="4" t="str">
        <f t="array" ref="N94">IF($E94="","", XLOOKUP(SUMIFS(Prod_Prop!$A:$A,Prod_Prop!$B:$B,$E94,Prod_Prop!$H:$H,N$1,Prod_Prop!$I:$I,"Exacto"),Prod_Prop!$A:$A,Prod_Prop!$J:$J,"",0,1))</f>
        <v/>
      </c>
      <c r="O94" s="4" t="str">
        <f t="array" ref="O94">IF($E94="","", XLOOKUP(SUMIFS(Prod_Prop!$A:$A,Prod_Prop!$B:$B,$E94,Prod_Prop!$H:$H,O$1,Prod_Prop!$I:$I,"Exacto"),Prod_Prop!$A:$A,Prod_Prop!$J:$J,"",0,1))</f>
        <v/>
      </c>
      <c r="P94" s="4" t="str">
        <f t="array" ref="P94">IF($E94="","", XLOOKUP(SUMIFS(Prod_Prop!$A:$A,Prod_Prop!$B:$B,$E94,Prod_Prop!$H:$H,P$1,Prod_Prop!$I:$I,"Exacto"),Prod_Prop!$A:$A,Prod_Prop!$J:$J,"",0,1))</f>
        <v/>
      </c>
      <c r="Q94" s="4" t="str">
        <f t="array" ref="Q94">IF($E94="","", XLOOKUP(SUMIFS(Prod_Prop!$A:$A,Prod_Prop!$B:$B,$E94,Prod_Prop!$H:$H,Q$1,Prod_Prop!$I:$I,"Exacto"),Prod_Prop!$A:$A,Prod_Prop!$J:$J,"",0,1))</f>
        <v/>
      </c>
      <c r="R94" s="4" t="str">
        <f t="array" ref="R94">IF($E94="","", XLOOKUP(SUMIFS(Prod_Prop!$A:$A,Prod_Prop!$B:$B,$E94,Prod_Prop!$H:$H,R$1,Prod_Prop!$I:$I,"Exacto"),Prod_Prop!$A:$A,Prod_Prop!$J:$J,"",0,1))</f>
        <v/>
      </c>
      <c r="S94" s="4" t="str">
        <f t="array" ref="S94">IF($E94="","", XLOOKUP(SUMIFS(Prod_Prop!$A:$A,Prod_Prop!$B:$B,$E94,Prod_Prop!$H:$H,S$1,Prod_Prop!$I:$I,"Exacto"),Prod_Prop!$A:$A,Prod_Prop!$J:$J,"",0,1))</f>
        <v/>
      </c>
      <c r="T94" s="4" t="str">
        <f t="array" ref="T94">IF($E94="","", XLOOKUP(SUMIFS(Prod_Prop!$A:$A,Prod_Prop!$B:$B,$E94,Prod_Prop!$H:$H,T$1,Prod_Prop!$I:$I,"Exacto"),Prod_Prop!$A:$A,Prod_Prop!$J:$J,"",0,1))</f>
        <v/>
      </c>
      <c r="U94" s="4" t="str">
        <f t="array" ref="U94">IF($E94="","", XLOOKUP(SUMIFS(Prod_Prop!$A:$A,Prod_Prop!$B:$B,$E94,Prod_Prop!$H:$H,U$1,Prod_Prop!$I:$I,"Exacto"),Prod_Prop!$A:$A,Prod_Prop!$J:$J,"",0,1))</f>
        <v/>
      </c>
      <c r="V94" s="4" t="str">
        <f t="array" ref="V94">IF($E94="","", XLOOKUP(SUMIFS(Prod_Prop!$A:$A,Prod_Prop!$B:$B,$E94,Prod_Prop!$H:$H,V$1,Prod_Prop!$I:$I,"Exacto"),Prod_Prop!$A:$A,Prod_Prop!$J:$J,"",0,1))</f>
        <v/>
      </c>
      <c r="X94" s="3" t="str">
        <f>IFERROR(__xludf.DUMMYFUNCTION("IF(D94="""","""",IFERROR(TRANSPOSE(FILTER('Validaciones Cotizador'!U:U,'Validaciones Cotizador'!O:O=D94,'Validaciones Cotizador'!T:T=""x"")),""Finalizar""))"),"")</f>
        <v/>
      </c>
    </row>
    <row r="95">
      <c r="A95" s="2" t="str">
        <f t="array" ref="A95">IF(E95="","",XLOOKUP(D95,'Validaciones Cotizador'!C:C,'Validaciones Cotizador'!A:A,"",0,1))</f>
        <v/>
      </c>
      <c r="B95" s="2" t="str">
        <f t="array" ref="B95">IF(F95="","",XLOOKUP(F95,Productos!E:E,Productos!G:G,"",0,1))</f>
        <v/>
      </c>
      <c r="C95" s="2" t="str">
        <f>IF(A95="","",SUMIFS('Validaciones Cotizador'!B:B,'Validaciones Cotizador'!C:C,D95,'Validaciones Cotizador'!A:A,A95))</f>
        <v/>
      </c>
      <c r="D95" s="4" t="str">
        <f>IFERROR(__xludf.DUMMYFUNCTION("IF(OR(F94=""Finalizar"",F94="""",F94=""Selecciona..""),"""",IF(OR(F94=""-"",INDEX(filter(Familias!F:F,Familias!D:D=A94,Familias!E:E=C94),1)=""O""),D94+1,D94))"),"")</f>
        <v/>
      </c>
      <c r="E95" s="2" t="str">
        <f>IF(OR(F95="",F95="Selecciona.."),"",IF(D95="Implemento",SUMIF(Implementos!B:B,F95,Implementos!A:A),SUMIF(Productos!E:E,F95,Productos!A:A)))</f>
        <v/>
      </c>
      <c r="F95" s="2" t="str">
        <f t="shared" si="2"/>
        <v/>
      </c>
      <c r="G95" s="10" t="str">
        <f t="array" ref="G95">IF(OR(F95="",F95="-",F95="Selecciona..",F95="Finalizar"),"",IF(A95="Rodados",XLOOKUP(B95,'Validaciones Cotizador'!I:I,'Validaciones Cotizador'!J:J,0,0,1),1))</f>
        <v/>
      </c>
      <c r="H95" s="11" t="str">
        <f>IF(OR(F95="",F95="Selecciona.."),"",SUMIF(Precio_Productos!K:K,E95,Precio_Productos!J:J)*G95)</f>
        <v/>
      </c>
      <c r="I95" s="4" t="str">
        <f t="array" ref="I95">IF($E95="","", XLOOKUP(SUMIFS(Prod_Prop!$A:$A,Prod_Prop!$B:$B,$E95,Prod_Prop!$H:$H,I$1,Prod_Prop!$I:$I,"Exacto"),Prod_Prop!$A:$A,Prod_Prop!$J:$J,"",0,1))</f>
        <v/>
      </c>
      <c r="J95" s="4" t="str">
        <f t="array" ref="J95">IF($E95="","", XLOOKUP(SUMIFS(Prod_Prop!$A:$A,Prod_Prop!$B:$B,$E95,Prod_Prop!$H:$H,J$1,Prod_Prop!$I:$I,"Exacto"),Prod_Prop!$A:$A,Prod_Prop!$J:$J,"",0,1))</f>
        <v/>
      </c>
      <c r="K95" s="4" t="str">
        <f t="array" ref="K95">IF($E95="","", XLOOKUP(SUMIFS(Prod_Prop!$A:$A,Prod_Prop!$B:$B,$E95,Prod_Prop!$H:$H,K$1,Prod_Prop!$I:$I,"Exacto"),Prod_Prop!$A:$A,Prod_Prop!$J:$J,"",0,1))</f>
        <v/>
      </c>
      <c r="L95" s="4" t="str">
        <f t="array" ref="L95">IF($E95="","", XLOOKUP(SUMIFS(Prod_Prop!$A:$A,Prod_Prop!$B:$B,$E95,Prod_Prop!$H:$H,L$1,Prod_Prop!$I:$I,"Exacto"),Prod_Prop!$A:$A,Prod_Prop!$J:$J,"",0,1))</f>
        <v/>
      </c>
      <c r="M95" s="4" t="str">
        <f t="array" ref="M95">IF($E95="","", XLOOKUP(SUMIFS(Prod_Prop!$A:$A,Prod_Prop!$B:$B,$E95,Prod_Prop!$H:$H,M$1,Prod_Prop!$I:$I,"Exacto"),Prod_Prop!$A:$A,Prod_Prop!$J:$J,"",0,1))</f>
        <v/>
      </c>
      <c r="N95" s="4" t="str">
        <f t="array" ref="N95">IF($E95="","", XLOOKUP(SUMIFS(Prod_Prop!$A:$A,Prod_Prop!$B:$B,$E95,Prod_Prop!$H:$H,N$1,Prod_Prop!$I:$I,"Exacto"),Prod_Prop!$A:$A,Prod_Prop!$J:$J,"",0,1))</f>
        <v/>
      </c>
      <c r="O95" s="4" t="str">
        <f t="array" ref="O95">IF($E95="","", XLOOKUP(SUMIFS(Prod_Prop!$A:$A,Prod_Prop!$B:$B,$E95,Prod_Prop!$H:$H,O$1,Prod_Prop!$I:$I,"Exacto"),Prod_Prop!$A:$A,Prod_Prop!$J:$J,"",0,1))</f>
        <v/>
      </c>
      <c r="P95" s="4" t="str">
        <f t="array" ref="P95">IF($E95="","", XLOOKUP(SUMIFS(Prod_Prop!$A:$A,Prod_Prop!$B:$B,$E95,Prod_Prop!$H:$H,P$1,Prod_Prop!$I:$I,"Exacto"),Prod_Prop!$A:$A,Prod_Prop!$J:$J,"",0,1))</f>
        <v/>
      </c>
      <c r="Q95" s="4" t="str">
        <f t="array" ref="Q95">IF($E95="","", XLOOKUP(SUMIFS(Prod_Prop!$A:$A,Prod_Prop!$B:$B,$E95,Prod_Prop!$H:$H,Q$1,Prod_Prop!$I:$I,"Exacto"),Prod_Prop!$A:$A,Prod_Prop!$J:$J,"",0,1))</f>
        <v/>
      </c>
      <c r="R95" s="4" t="str">
        <f t="array" ref="R95">IF($E95="","", XLOOKUP(SUMIFS(Prod_Prop!$A:$A,Prod_Prop!$B:$B,$E95,Prod_Prop!$H:$H,R$1,Prod_Prop!$I:$I,"Exacto"),Prod_Prop!$A:$A,Prod_Prop!$J:$J,"",0,1))</f>
        <v/>
      </c>
      <c r="S95" s="4" t="str">
        <f t="array" ref="S95">IF($E95="","", XLOOKUP(SUMIFS(Prod_Prop!$A:$A,Prod_Prop!$B:$B,$E95,Prod_Prop!$H:$H,S$1,Prod_Prop!$I:$I,"Exacto"),Prod_Prop!$A:$A,Prod_Prop!$J:$J,"",0,1))</f>
        <v/>
      </c>
      <c r="T95" s="4" t="str">
        <f t="array" ref="T95">IF($E95="","", XLOOKUP(SUMIFS(Prod_Prop!$A:$A,Prod_Prop!$B:$B,$E95,Prod_Prop!$H:$H,T$1,Prod_Prop!$I:$I,"Exacto"),Prod_Prop!$A:$A,Prod_Prop!$J:$J,"",0,1))</f>
        <v/>
      </c>
      <c r="U95" s="4" t="str">
        <f t="array" ref="U95">IF($E95="","", XLOOKUP(SUMIFS(Prod_Prop!$A:$A,Prod_Prop!$B:$B,$E95,Prod_Prop!$H:$H,U$1,Prod_Prop!$I:$I,"Exacto"),Prod_Prop!$A:$A,Prod_Prop!$J:$J,"",0,1))</f>
        <v/>
      </c>
      <c r="V95" s="4" t="str">
        <f t="array" ref="V95">IF($E95="","", XLOOKUP(SUMIFS(Prod_Prop!$A:$A,Prod_Prop!$B:$B,$E95,Prod_Prop!$H:$H,V$1,Prod_Prop!$I:$I,"Exacto"),Prod_Prop!$A:$A,Prod_Prop!$J:$J,"",0,1))</f>
        <v/>
      </c>
      <c r="X95" s="3" t="str">
        <f>IFERROR(__xludf.DUMMYFUNCTION("IF(D95="""","""",IFERROR(TRANSPOSE(FILTER('Validaciones Cotizador'!U:U,'Validaciones Cotizador'!O:O=D95,'Validaciones Cotizador'!T:T=""x"")),""Finalizar""))"),"")</f>
        <v/>
      </c>
    </row>
    <row r="96">
      <c r="A96" s="2" t="str">
        <f t="array" ref="A96">IF(E96="","",XLOOKUP(D96,'Validaciones Cotizador'!C:C,'Validaciones Cotizador'!A:A,"",0,1))</f>
        <v/>
      </c>
      <c r="B96" s="2" t="str">
        <f t="array" ref="B96">IF(F96="","",XLOOKUP(F96,Productos!E:E,Productos!G:G,"",0,1))</f>
        <v/>
      </c>
      <c r="C96" s="2" t="str">
        <f>IF(A96="","",SUMIFS('Validaciones Cotizador'!B:B,'Validaciones Cotizador'!C:C,D96,'Validaciones Cotizador'!A:A,A96))</f>
        <v/>
      </c>
      <c r="D96" s="4" t="str">
        <f>IFERROR(__xludf.DUMMYFUNCTION("IF(OR(F95=""Finalizar"",F95="""",F95=""Selecciona..""),"""",IF(OR(F95=""-"",INDEX(filter(Familias!F:F,Familias!D:D=A95,Familias!E:E=C95),1)=""O""),D95+1,D95))"),"")</f>
        <v/>
      </c>
      <c r="E96" s="2" t="str">
        <f>IF(OR(F96="",F96="Selecciona.."),"",IF(D96="Implemento",SUMIF(Implementos!B:B,F96,Implementos!A:A),SUMIF(Productos!E:E,F96,Productos!A:A)))</f>
        <v/>
      </c>
      <c r="F96" s="2" t="str">
        <f t="shared" si="2"/>
        <v/>
      </c>
      <c r="G96" s="10" t="str">
        <f t="array" ref="G96">IF(OR(F96="",F96="-",F96="Selecciona..",F96="Finalizar"),"",IF(A96="Rodados",XLOOKUP(B96,'Validaciones Cotizador'!I:I,'Validaciones Cotizador'!J:J,0,0,1),1))</f>
        <v/>
      </c>
      <c r="H96" s="11" t="str">
        <f>IF(OR(F96="",F96="Selecciona.."),"",SUMIF(Precio_Productos!K:K,E96,Precio_Productos!J:J)*G96)</f>
        <v/>
      </c>
      <c r="I96" s="4" t="str">
        <f t="array" ref="I96">IF($E96="","", XLOOKUP(SUMIFS(Prod_Prop!$A:$A,Prod_Prop!$B:$B,$E96,Prod_Prop!$H:$H,I$1,Prod_Prop!$I:$I,"Exacto"),Prod_Prop!$A:$A,Prod_Prop!$J:$J,"",0,1))</f>
        <v/>
      </c>
      <c r="J96" s="4" t="str">
        <f t="array" ref="J96">IF($E96="","", XLOOKUP(SUMIFS(Prod_Prop!$A:$A,Prod_Prop!$B:$B,$E96,Prod_Prop!$H:$H,J$1,Prod_Prop!$I:$I,"Exacto"),Prod_Prop!$A:$A,Prod_Prop!$J:$J,"",0,1))</f>
        <v/>
      </c>
      <c r="K96" s="4" t="str">
        <f t="array" ref="K96">IF($E96="","", XLOOKUP(SUMIFS(Prod_Prop!$A:$A,Prod_Prop!$B:$B,$E96,Prod_Prop!$H:$H,K$1,Prod_Prop!$I:$I,"Exacto"),Prod_Prop!$A:$A,Prod_Prop!$J:$J,"",0,1))</f>
        <v/>
      </c>
      <c r="L96" s="4" t="str">
        <f t="array" ref="L96">IF($E96="","", XLOOKUP(SUMIFS(Prod_Prop!$A:$A,Prod_Prop!$B:$B,$E96,Prod_Prop!$H:$H,L$1,Prod_Prop!$I:$I,"Exacto"),Prod_Prop!$A:$A,Prod_Prop!$J:$J,"",0,1))</f>
        <v/>
      </c>
      <c r="M96" s="4" t="str">
        <f t="array" ref="M96">IF($E96="","", XLOOKUP(SUMIFS(Prod_Prop!$A:$A,Prod_Prop!$B:$B,$E96,Prod_Prop!$H:$H,M$1,Prod_Prop!$I:$I,"Exacto"),Prod_Prop!$A:$A,Prod_Prop!$J:$J,"",0,1))</f>
        <v/>
      </c>
      <c r="N96" s="4" t="str">
        <f t="array" ref="N96">IF($E96="","", XLOOKUP(SUMIFS(Prod_Prop!$A:$A,Prod_Prop!$B:$B,$E96,Prod_Prop!$H:$H,N$1,Prod_Prop!$I:$I,"Exacto"),Prod_Prop!$A:$A,Prod_Prop!$J:$J,"",0,1))</f>
        <v/>
      </c>
      <c r="O96" s="4" t="str">
        <f t="array" ref="O96">IF($E96="","", XLOOKUP(SUMIFS(Prod_Prop!$A:$A,Prod_Prop!$B:$B,$E96,Prod_Prop!$H:$H,O$1,Prod_Prop!$I:$I,"Exacto"),Prod_Prop!$A:$A,Prod_Prop!$J:$J,"",0,1))</f>
        <v/>
      </c>
      <c r="P96" s="4" t="str">
        <f t="array" ref="P96">IF($E96="","", XLOOKUP(SUMIFS(Prod_Prop!$A:$A,Prod_Prop!$B:$B,$E96,Prod_Prop!$H:$H,P$1,Prod_Prop!$I:$I,"Exacto"),Prod_Prop!$A:$A,Prod_Prop!$J:$J,"",0,1))</f>
        <v/>
      </c>
      <c r="Q96" s="4" t="str">
        <f t="array" ref="Q96">IF($E96="","", XLOOKUP(SUMIFS(Prod_Prop!$A:$A,Prod_Prop!$B:$B,$E96,Prod_Prop!$H:$H,Q$1,Prod_Prop!$I:$I,"Exacto"),Prod_Prop!$A:$A,Prod_Prop!$J:$J,"",0,1))</f>
        <v/>
      </c>
      <c r="R96" s="4" t="str">
        <f t="array" ref="R96">IF($E96="","", XLOOKUP(SUMIFS(Prod_Prop!$A:$A,Prod_Prop!$B:$B,$E96,Prod_Prop!$H:$H,R$1,Prod_Prop!$I:$I,"Exacto"),Prod_Prop!$A:$A,Prod_Prop!$J:$J,"",0,1))</f>
        <v/>
      </c>
      <c r="S96" s="4" t="str">
        <f t="array" ref="S96">IF($E96="","", XLOOKUP(SUMIFS(Prod_Prop!$A:$A,Prod_Prop!$B:$B,$E96,Prod_Prop!$H:$H,S$1,Prod_Prop!$I:$I,"Exacto"),Prod_Prop!$A:$A,Prod_Prop!$J:$J,"",0,1))</f>
        <v/>
      </c>
      <c r="T96" s="4" t="str">
        <f t="array" ref="T96">IF($E96="","", XLOOKUP(SUMIFS(Prod_Prop!$A:$A,Prod_Prop!$B:$B,$E96,Prod_Prop!$H:$H,T$1,Prod_Prop!$I:$I,"Exacto"),Prod_Prop!$A:$A,Prod_Prop!$J:$J,"",0,1))</f>
        <v/>
      </c>
      <c r="U96" s="4" t="str">
        <f t="array" ref="U96">IF($E96="","", XLOOKUP(SUMIFS(Prod_Prop!$A:$A,Prod_Prop!$B:$B,$E96,Prod_Prop!$H:$H,U$1,Prod_Prop!$I:$I,"Exacto"),Prod_Prop!$A:$A,Prod_Prop!$J:$J,"",0,1))</f>
        <v/>
      </c>
      <c r="V96" s="4" t="str">
        <f t="array" ref="V96">IF($E96="","", XLOOKUP(SUMIFS(Prod_Prop!$A:$A,Prod_Prop!$B:$B,$E96,Prod_Prop!$H:$H,V$1,Prod_Prop!$I:$I,"Exacto"),Prod_Prop!$A:$A,Prod_Prop!$J:$J,"",0,1))</f>
        <v/>
      </c>
      <c r="X96" s="3" t="str">
        <f>IFERROR(__xludf.DUMMYFUNCTION("IF(D96="""","""",IFERROR(TRANSPOSE(FILTER('Validaciones Cotizador'!U:U,'Validaciones Cotizador'!O:O=D96,'Validaciones Cotizador'!T:T=""x"")),""Finalizar""))"),"")</f>
        <v/>
      </c>
    </row>
    <row r="97">
      <c r="A97" s="2" t="str">
        <f t="array" ref="A97">IF(E97="","",XLOOKUP(D97,'Validaciones Cotizador'!C:C,'Validaciones Cotizador'!A:A,"",0,1))</f>
        <v/>
      </c>
      <c r="B97" s="2" t="str">
        <f t="array" ref="B97">IF(F97="","",XLOOKUP(F97,Productos!E:E,Productos!G:G,"",0,1))</f>
        <v/>
      </c>
      <c r="C97" s="2" t="str">
        <f>IF(A97="","",SUMIFS('Validaciones Cotizador'!B:B,'Validaciones Cotizador'!C:C,D97,'Validaciones Cotizador'!A:A,A97))</f>
        <v/>
      </c>
      <c r="D97" s="4" t="str">
        <f>IFERROR(__xludf.DUMMYFUNCTION("IF(OR(F96=""Finalizar"",F96="""",F96=""Selecciona..""),"""",IF(OR(F96=""-"",INDEX(filter(Familias!F:F,Familias!D:D=A96,Familias!E:E=C96),1)=""O""),D96+1,D96))"),"")</f>
        <v/>
      </c>
      <c r="E97" s="2" t="str">
        <f>IF(OR(F97="",F97="Selecciona.."),"",IF(D97="Implemento",SUMIF(Implementos!B:B,F97,Implementos!A:A),SUMIF(Productos!E:E,F97,Productos!A:A)))</f>
        <v/>
      </c>
      <c r="F97" s="2" t="str">
        <f t="shared" si="2"/>
        <v/>
      </c>
      <c r="G97" s="10" t="str">
        <f t="array" ref="G97">IF(OR(F97="",F97="-",F97="Selecciona..",F97="Finalizar"),"",IF(A97="Rodados",XLOOKUP(B97,'Validaciones Cotizador'!I:I,'Validaciones Cotizador'!J:J,0,0,1),1))</f>
        <v/>
      </c>
      <c r="H97" s="11" t="str">
        <f>IF(OR(F97="",F97="Selecciona.."),"",SUMIF(Precio_Productos!K:K,E97,Precio_Productos!J:J)*G97)</f>
        <v/>
      </c>
      <c r="I97" s="4" t="str">
        <f t="array" ref="I97">IF($E97="","", XLOOKUP(SUMIFS(Prod_Prop!$A:$A,Prod_Prop!$B:$B,$E97,Prod_Prop!$H:$H,I$1,Prod_Prop!$I:$I,"Exacto"),Prod_Prop!$A:$A,Prod_Prop!$J:$J,"",0,1))</f>
        <v/>
      </c>
      <c r="J97" s="4" t="str">
        <f t="array" ref="J97">IF($E97="","", XLOOKUP(SUMIFS(Prod_Prop!$A:$A,Prod_Prop!$B:$B,$E97,Prod_Prop!$H:$H,J$1,Prod_Prop!$I:$I,"Exacto"),Prod_Prop!$A:$A,Prod_Prop!$J:$J,"",0,1))</f>
        <v/>
      </c>
      <c r="K97" s="4" t="str">
        <f t="array" ref="K97">IF($E97="","", XLOOKUP(SUMIFS(Prod_Prop!$A:$A,Prod_Prop!$B:$B,$E97,Prod_Prop!$H:$H,K$1,Prod_Prop!$I:$I,"Exacto"),Prod_Prop!$A:$A,Prod_Prop!$J:$J,"",0,1))</f>
        <v/>
      </c>
      <c r="L97" s="4" t="str">
        <f t="array" ref="L97">IF($E97="","", XLOOKUP(SUMIFS(Prod_Prop!$A:$A,Prod_Prop!$B:$B,$E97,Prod_Prop!$H:$H,L$1,Prod_Prop!$I:$I,"Exacto"),Prod_Prop!$A:$A,Prod_Prop!$J:$J,"",0,1))</f>
        <v/>
      </c>
      <c r="M97" s="4" t="str">
        <f t="array" ref="M97">IF($E97="","", XLOOKUP(SUMIFS(Prod_Prop!$A:$A,Prod_Prop!$B:$B,$E97,Prod_Prop!$H:$H,M$1,Prod_Prop!$I:$I,"Exacto"),Prod_Prop!$A:$A,Prod_Prop!$J:$J,"",0,1))</f>
        <v/>
      </c>
      <c r="N97" s="4" t="str">
        <f t="array" ref="N97">IF($E97="","", XLOOKUP(SUMIFS(Prod_Prop!$A:$A,Prod_Prop!$B:$B,$E97,Prod_Prop!$H:$H,N$1,Prod_Prop!$I:$I,"Exacto"),Prod_Prop!$A:$A,Prod_Prop!$J:$J,"",0,1))</f>
        <v/>
      </c>
      <c r="O97" s="4" t="str">
        <f t="array" ref="O97">IF($E97="","", XLOOKUP(SUMIFS(Prod_Prop!$A:$A,Prod_Prop!$B:$B,$E97,Prod_Prop!$H:$H,O$1,Prod_Prop!$I:$I,"Exacto"),Prod_Prop!$A:$A,Prod_Prop!$J:$J,"",0,1))</f>
        <v/>
      </c>
      <c r="P97" s="4" t="str">
        <f t="array" ref="P97">IF($E97="","", XLOOKUP(SUMIFS(Prod_Prop!$A:$A,Prod_Prop!$B:$B,$E97,Prod_Prop!$H:$H,P$1,Prod_Prop!$I:$I,"Exacto"),Prod_Prop!$A:$A,Prod_Prop!$J:$J,"",0,1))</f>
        <v/>
      </c>
      <c r="Q97" s="4" t="str">
        <f t="array" ref="Q97">IF($E97="","", XLOOKUP(SUMIFS(Prod_Prop!$A:$A,Prod_Prop!$B:$B,$E97,Prod_Prop!$H:$H,Q$1,Prod_Prop!$I:$I,"Exacto"),Prod_Prop!$A:$A,Prod_Prop!$J:$J,"",0,1))</f>
        <v/>
      </c>
      <c r="R97" s="4" t="str">
        <f t="array" ref="R97">IF($E97="","", XLOOKUP(SUMIFS(Prod_Prop!$A:$A,Prod_Prop!$B:$B,$E97,Prod_Prop!$H:$H,R$1,Prod_Prop!$I:$I,"Exacto"),Prod_Prop!$A:$A,Prod_Prop!$J:$J,"",0,1))</f>
        <v/>
      </c>
      <c r="S97" s="4" t="str">
        <f t="array" ref="S97">IF($E97="","", XLOOKUP(SUMIFS(Prod_Prop!$A:$A,Prod_Prop!$B:$B,$E97,Prod_Prop!$H:$H,S$1,Prod_Prop!$I:$I,"Exacto"),Prod_Prop!$A:$A,Prod_Prop!$J:$J,"",0,1))</f>
        <v/>
      </c>
      <c r="T97" s="4" t="str">
        <f t="array" ref="T97">IF($E97="","", XLOOKUP(SUMIFS(Prod_Prop!$A:$A,Prod_Prop!$B:$B,$E97,Prod_Prop!$H:$H,T$1,Prod_Prop!$I:$I,"Exacto"),Prod_Prop!$A:$A,Prod_Prop!$J:$J,"",0,1))</f>
        <v/>
      </c>
      <c r="U97" s="4" t="str">
        <f t="array" ref="U97">IF($E97="","", XLOOKUP(SUMIFS(Prod_Prop!$A:$A,Prod_Prop!$B:$B,$E97,Prod_Prop!$H:$H,U$1,Prod_Prop!$I:$I,"Exacto"),Prod_Prop!$A:$A,Prod_Prop!$J:$J,"",0,1))</f>
        <v/>
      </c>
      <c r="V97" s="4" t="str">
        <f t="array" ref="V97">IF($E97="","", XLOOKUP(SUMIFS(Prod_Prop!$A:$A,Prod_Prop!$B:$B,$E97,Prod_Prop!$H:$H,V$1,Prod_Prop!$I:$I,"Exacto"),Prod_Prop!$A:$A,Prod_Prop!$J:$J,"",0,1))</f>
        <v/>
      </c>
      <c r="X97" s="3" t="str">
        <f>IFERROR(__xludf.DUMMYFUNCTION("IF(D97="""","""",IFERROR(TRANSPOSE(FILTER('Validaciones Cotizador'!U:U,'Validaciones Cotizador'!O:O=D97,'Validaciones Cotizador'!T:T=""x"")),""Finalizar""))"),"")</f>
        <v/>
      </c>
    </row>
    <row r="98">
      <c r="A98" s="2" t="str">
        <f t="array" ref="A98">IF(E98="","",XLOOKUP(D98,'Validaciones Cotizador'!C:C,'Validaciones Cotizador'!A:A,"",0,1))</f>
        <v/>
      </c>
      <c r="B98" s="2" t="str">
        <f t="array" ref="B98">IF(F98="","",XLOOKUP(F98,Productos!E:E,Productos!G:G,"",0,1))</f>
        <v/>
      </c>
      <c r="C98" s="2" t="str">
        <f>IF(A98="","",SUMIFS('Validaciones Cotizador'!B:B,'Validaciones Cotizador'!C:C,D98,'Validaciones Cotizador'!A:A,A98))</f>
        <v/>
      </c>
      <c r="D98" s="4" t="str">
        <f>IFERROR(__xludf.DUMMYFUNCTION("IF(OR(F97=""Finalizar"",F97="""",F97=""Selecciona..""),"""",IF(OR(F97=""-"",INDEX(filter(Familias!F:F,Familias!D:D=A97,Familias!E:E=C97),1)=""O""),D97+1,D97))"),"")</f>
        <v/>
      </c>
      <c r="E98" s="2" t="str">
        <f>IF(OR(F98="",F98="Selecciona.."),"",IF(D98="Implemento",SUMIF(Implementos!B:B,F98,Implementos!A:A),SUMIF(Productos!E:E,F98,Productos!A:A)))</f>
        <v/>
      </c>
      <c r="F98" s="2" t="str">
        <f t="shared" si="2"/>
        <v/>
      </c>
      <c r="G98" s="10" t="str">
        <f t="array" ref="G98">IF(OR(F98="",F98="-",F98="Selecciona..",F98="Finalizar"),"",IF(A98="Rodados",XLOOKUP(B98,'Validaciones Cotizador'!I:I,'Validaciones Cotizador'!J:J,0,0,1),1))</f>
        <v/>
      </c>
      <c r="H98" s="11" t="str">
        <f>IF(OR(F98="",F98="Selecciona.."),"",SUMIF(Precio_Productos!K:K,E98,Precio_Productos!J:J)*G98)</f>
        <v/>
      </c>
      <c r="I98" s="4" t="str">
        <f t="array" ref="I98">IF($E98="","", XLOOKUP(SUMIFS(Prod_Prop!$A:$A,Prod_Prop!$B:$B,$E98,Prod_Prop!$H:$H,I$1,Prod_Prop!$I:$I,"Exacto"),Prod_Prop!$A:$A,Prod_Prop!$J:$J,"",0,1))</f>
        <v/>
      </c>
      <c r="J98" s="4" t="str">
        <f t="array" ref="J98">IF($E98="","", XLOOKUP(SUMIFS(Prod_Prop!$A:$A,Prod_Prop!$B:$B,$E98,Prod_Prop!$H:$H,J$1,Prod_Prop!$I:$I,"Exacto"),Prod_Prop!$A:$A,Prod_Prop!$J:$J,"",0,1))</f>
        <v/>
      </c>
      <c r="K98" s="4" t="str">
        <f t="array" ref="K98">IF($E98="","", XLOOKUP(SUMIFS(Prod_Prop!$A:$A,Prod_Prop!$B:$B,$E98,Prod_Prop!$H:$H,K$1,Prod_Prop!$I:$I,"Exacto"),Prod_Prop!$A:$A,Prod_Prop!$J:$J,"",0,1))</f>
        <v/>
      </c>
      <c r="L98" s="4" t="str">
        <f t="array" ref="L98">IF($E98="","", XLOOKUP(SUMIFS(Prod_Prop!$A:$A,Prod_Prop!$B:$B,$E98,Prod_Prop!$H:$H,L$1,Prod_Prop!$I:$I,"Exacto"),Prod_Prop!$A:$A,Prod_Prop!$J:$J,"",0,1))</f>
        <v/>
      </c>
      <c r="M98" s="4" t="str">
        <f t="array" ref="M98">IF($E98="","", XLOOKUP(SUMIFS(Prod_Prop!$A:$A,Prod_Prop!$B:$B,$E98,Prod_Prop!$H:$H,M$1,Prod_Prop!$I:$I,"Exacto"),Prod_Prop!$A:$A,Prod_Prop!$J:$J,"",0,1))</f>
        <v/>
      </c>
      <c r="N98" s="4" t="str">
        <f t="array" ref="N98">IF($E98="","", XLOOKUP(SUMIFS(Prod_Prop!$A:$A,Prod_Prop!$B:$B,$E98,Prod_Prop!$H:$H,N$1,Prod_Prop!$I:$I,"Exacto"),Prod_Prop!$A:$A,Prod_Prop!$J:$J,"",0,1))</f>
        <v/>
      </c>
      <c r="O98" s="4" t="str">
        <f t="array" ref="O98">IF($E98="","", XLOOKUP(SUMIFS(Prod_Prop!$A:$A,Prod_Prop!$B:$B,$E98,Prod_Prop!$H:$H,O$1,Prod_Prop!$I:$I,"Exacto"),Prod_Prop!$A:$A,Prod_Prop!$J:$J,"",0,1))</f>
        <v/>
      </c>
      <c r="P98" s="4" t="str">
        <f t="array" ref="P98">IF($E98="","", XLOOKUP(SUMIFS(Prod_Prop!$A:$A,Prod_Prop!$B:$B,$E98,Prod_Prop!$H:$H,P$1,Prod_Prop!$I:$I,"Exacto"),Prod_Prop!$A:$A,Prod_Prop!$J:$J,"",0,1))</f>
        <v/>
      </c>
      <c r="Q98" s="4" t="str">
        <f t="array" ref="Q98">IF($E98="","", XLOOKUP(SUMIFS(Prod_Prop!$A:$A,Prod_Prop!$B:$B,$E98,Prod_Prop!$H:$H,Q$1,Prod_Prop!$I:$I,"Exacto"),Prod_Prop!$A:$A,Prod_Prop!$J:$J,"",0,1))</f>
        <v/>
      </c>
      <c r="R98" s="4" t="str">
        <f t="array" ref="R98">IF($E98="","", XLOOKUP(SUMIFS(Prod_Prop!$A:$A,Prod_Prop!$B:$B,$E98,Prod_Prop!$H:$H,R$1,Prod_Prop!$I:$I,"Exacto"),Prod_Prop!$A:$A,Prod_Prop!$J:$J,"",0,1))</f>
        <v/>
      </c>
      <c r="S98" s="4" t="str">
        <f t="array" ref="S98">IF($E98="","", XLOOKUP(SUMIFS(Prod_Prop!$A:$A,Prod_Prop!$B:$B,$E98,Prod_Prop!$H:$H,S$1,Prod_Prop!$I:$I,"Exacto"),Prod_Prop!$A:$A,Prod_Prop!$J:$J,"",0,1))</f>
        <v/>
      </c>
      <c r="T98" s="4" t="str">
        <f t="array" ref="T98">IF($E98="","", XLOOKUP(SUMIFS(Prod_Prop!$A:$A,Prod_Prop!$B:$B,$E98,Prod_Prop!$H:$H,T$1,Prod_Prop!$I:$I,"Exacto"),Prod_Prop!$A:$A,Prod_Prop!$J:$J,"",0,1))</f>
        <v/>
      </c>
      <c r="U98" s="4" t="str">
        <f t="array" ref="U98">IF($E98="","", XLOOKUP(SUMIFS(Prod_Prop!$A:$A,Prod_Prop!$B:$B,$E98,Prod_Prop!$H:$H,U$1,Prod_Prop!$I:$I,"Exacto"),Prod_Prop!$A:$A,Prod_Prop!$J:$J,"",0,1))</f>
        <v/>
      </c>
      <c r="V98" s="4" t="str">
        <f t="array" ref="V98">IF($E98="","", XLOOKUP(SUMIFS(Prod_Prop!$A:$A,Prod_Prop!$B:$B,$E98,Prod_Prop!$H:$H,V$1,Prod_Prop!$I:$I,"Exacto"),Prod_Prop!$A:$A,Prod_Prop!$J:$J,"",0,1))</f>
        <v/>
      </c>
      <c r="X98" s="3" t="str">
        <f>IFERROR(__xludf.DUMMYFUNCTION("IF(D98="""","""",IFERROR(TRANSPOSE(FILTER('Validaciones Cotizador'!U:U,'Validaciones Cotizador'!O:O=D98,'Validaciones Cotizador'!T:T=""x"")),""Finalizar""))"),"")</f>
        <v/>
      </c>
    </row>
    <row r="99">
      <c r="A99" s="2" t="str">
        <f t="array" ref="A99">IF(E99="","",XLOOKUP(D99,'Validaciones Cotizador'!C:C,'Validaciones Cotizador'!A:A,"",0,1))</f>
        <v/>
      </c>
      <c r="B99" s="2" t="str">
        <f t="array" ref="B99">IF(F99="","",XLOOKUP(F99,Productos!E:E,Productos!G:G,"",0,1))</f>
        <v/>
      </c>
      <c r="C99" s="2" t="str">
        <f>IF(A99="","",SUMIFS('Validaciones Cotizador'!B:B,'Validaciones Cotizador'!C:C,D99,'Validaciones Cotizador'!A:A,A99))</f>
        <v/>
      </c>
      <c r="D99" s="4" t="str">
        <f>IFERROR(__xludf.DUMMYFUNCTION("IF(OR(F98=""Finalizar"",F98="""",F98=""Selecciona..""),"""",IF(OR(F98=""-"",INDEX(filter(Familias!F:F,Familias!D:D=A98,Familias!E:E=C98),1)=""O""),D98+1,D98))"),"")</f>
        <v/>
      </c>
      <c r="E99" s="2" t="str">
        <f>IF(OR(F99="",F99="Selecciona.."),"",IF(D99="Implemento",SUMIF(Implementos!B:B,F99,Implementos!A:A),SUMIF(Productos!E:E,F99,Productos!A:A)))</f>
        <v/>
      </c>
      <c r="F99" s="2" t="str">
        <f t="shared" si="2"/>
        <v/>
      </c>
      <c r="G99" s="10" t="str">
        <f t="array" ref="G99">IF(OR(F99="",F99="-",F99="Selecciona..",F99="Finalizar"),"",IF(A99="Rodados",XLOOKUP(B99,'Validaciones Cotizador'!I:I,'Validaciones Cotizador'!J:J,0,0,1),1))</f>
        <v/>
      </c>
      <c r="H99" s="11" t="str">
        <f>IF(OR(F99="",F99="Selecciona.."),"",SUMIF(Precio_Productos!K:K,E99,Precio_Productos!J:J)*G99)</f>
        <v/>
      </c>
      <c r="I99" s="4" t="str">
        <f t="array" ref="I99">IF($E99="","", XLOOKUP(SUMIFS(Prod_Prop!$A:$A,Prod_Prop!$B:$B,$E99,Prod_Prop!$H:$H,I$1,Prod_Prop!$I:$I,"Exacto"),Prod_Prop!$A:$A,Prod_Prop!$J:$J,"",0,1))</f>
        <v/>
      </c>
      <c r="J99" s="4" t="str">
        <f t="array" ref="J99">IF($E99="","", XLOOKUP(SUMIFS(Prod_Prop!$A:$A,Prod_Prop!$B:$B,$E99,Prod_Prop!$H:$H,J$1,Prod_Prop!$I:$I,"Exacto"),Prod_Prop!$A:$A,Prod_Prop!$J:$J,"",0,1))</f>
        <v/>
      </c>
      <c r="K99" s="4" t="str">
        <f t="array" ref="K99">IF($E99="","", XLOOKUP(SUMIFS(Prod_Prop!$A:$A,Prod_Prop!$B:$B,$E99,Prod_Prop!$H:$H,K$1,Prod_Prop!$I:$I,"Exacto"),Prod_Prop!$A:$A,Prod_Prop!$J:$J,"",0,1))</f>
        <v/>
      </c>
      <c r="L99" s="4" t="str">
        <f t="array" ref="L99">IF($E99="","", XLOOKUP(SUMIFS(Prod_Prop!$A:$A,Prod_Prop!$B:$B,$E99,Prod_Prop!$H:$H,L$1,Prod_Prop!$I:$I,"Exacto"),Prod_Prop!$A:$A,Prod_Prop!$J:$J,"",0,1))</f>
        <v/>
      </c>
      <c r="M99" s="4" t="str">
        <f t="array" ref="M99">IF($E99="","", XLOOKUP(SUMIFS(Prod_Prop!$A:$A,Prod_Prop!$B:$B,$E99,Prod_Prop!$H:$H,M$1,Prod_Prop!$I:$I,"Exacto"),Prod_Prop!$A:$A,Prod_Prop!$J:$J,"",0,1))</f>
        <v/>
      </c>
      <c r="N99" s="4" t="str">
        <f t="array" ref="N99">IF($E99="","", XLOOKUP(SUMIFS(Prod_Prop!$A:$A,Prod_Prop!$B:$B,$E99,Prod_Prop!$H:$H,N$1,Prod_Prop!$I:$I,"Exacto"),Prod_Prop!$A:$A,Prod_Prop!$J:$J,"",0,1))</f>
        <v/>
      </c>
      <c r="O99" s="4" t="str">
        <f t="array" ref="O99">IF($E99="","", XLOOKUP(SUMIFS(Prod_Prop!$A:$A,Prod_Prop!$B:$B,$E99,Prod_Prop!$H:$H,O$1,Prod_Prop!$I:$I,"Exacto"),Prod_Prop!$A:$A,Prod_Prop!$J:$J,"",0,1))</f>
        <v/>
      </c>
      <c r="P99" s="4" t="str">
        <f t="array" ref="P99">IF($E99="","", XLOOKUP(SUMIFS(Prod_Prop!$A:$A,Prod_Prop!$B:$B,$E99,Prod_Prop!$H:$H,P$1,Prod_Prop!$I:$I,"Exacto"),Prod_Prop!$A:$A,Prod_Prop!$J:$J,"",0,1))</f>
        <v/>
      </c>
      <c r="Q99" s="4" t="str">
        <f t="array" ref="Q99">IF($E99="","", XLOOKUP(SUMIFS(Prod_Prop!$A:$A,Prod_Prop!$B:$B,$E99,Prod_Prop!$H:$H,Q$1,Prod_Prop!$I:$I,"Exacto"),Prod_Prop!$A:$A,Prod_Prop!$J:$J,"",0,1))</f>
        <v/>
      </c>
      <c r="R99" s="4" t="str">
        <f t="array" ref="R99">IF($E99="","", XLOOKUP(SUMIFS(Prod_Prop!$A:$A,Prod_Prop!$B:$B,$E99,Prod_Prop!$H:$H,R$1,Prod_Prop!$I:$I,"Exacto"),Prod_Prop!$A:$A,Prod_Prop!$J:$J,"",0,1))</f>
        <v/>
      </c>
      <c r="S99" s="4" t="str">
        <f t="array" ref="S99">IF($E99="","", XLOOKUP(SUMIFS(Prod_Prop!$A:$A,Prod_Prop!$B:$B,$E99,Prod_Prop!$H:$H,S$1,Prod_Prop!$I:$I,"Exacto"),Prod_Prop!$A:$A,Prod_Prop!$J:$J,"",0,1))</f>
        <v/>
      </c>
      <c r="T99" s="4" t="str">
        <f t="array" ref="T99">IF($E99="","", XLOOKUP(SUMIFS(Prod_Prop!$A:$A,Prod_Prop!$B:$B,$E99,Prod_Prop!$H:$H,T$1,Prod_Prop!$I:$I,"Exacto"),Prod_Prop!$A:$A,Prod_Prop!$J:$J,"",0,1))</f>
        <v/>
      </c>
      <c r="U99" s="4" t="str">
        <f t="array" ref="U99">IF($E99="","", XLOOKUP(SUMIFS(Prod_Prop!$A:$A,Prod_Prop!$B:$B,$E99,Prod_Prop!$H:$H,U$1,Prod_Prop!$I:$I,"Exacto"),Prod_Prop!$A:$A,Prod_Prop!$J:$J,"",0,1))</f>
        <v/>
      </c>
      <c r="V99" s="4" t="str">
        <f t="array" ref="V99">IF($E99="","", XLOOKUP(SUMIFS(Prod_Prop!$A:$A,Prod_Prop!$B:$B,$E99,Prod_Prop!$H:$H,V$1,Prod_Prop!$I:$I,"Exacto"),Prod_Prop!$A:$A,Prod_Prop!$J:$J,"",0,1))</f>
        <v/>
      </c>
      <c r="X99" s="3" t="str">
        <f>IFERROR(__xludf.DUMMYFUNCTION("IF(D99="""","""",IFERROR(TRANSPOSE(FILTER('Validaciones Cotizador'!U:U,'Validaciones Cotizador'!O:O=D99,'Validaciones Cotizador'!T:T=""x"")),""Finalizar""))"),"")</f>
        <v/>
      </c>
    </row>
    <row r="100">
      <c r="A100" s="2" t="str">
        <f t="array" ref="A100">IF(E100="","",XLOOKUP(D100,'Validaciones Cotizador'!C:C,'Validaciones Cotizador'!A:A,"",0,1))</f>
        <v/>
      </c>
      <c r="B100" s="2" t="str">
        <f t="array" ref="B100">IF(F100="","",XLOOKUP(F100,Productos!E:E,Productos!G:G,"",0,1))</f>
        <v/>
      </c>
      <c r="C100" s="2" t="str">
        <f>IF(A100="","",SUMIFS('Validaciones Cotizador'!B:B,'Validaciones Cotizador'!C:C,D100,'Validaciones Cotizador'!A:A,A100))</f>
        <v/>
      </c>
      <c r="D100" s="4" t="str">
        <f>IFERROR(__xludf.DUMMYFUNCTION("IF(OR(F99=""Finalizar"",F99="""",F99=""Selecciona..""),"""",IF(OR(F99=""-"",INDEX(filter(Familias!F:F,Familias!D:D=A99,Familias!E:E=C99),1)=""O""),D99+1,D99))"),"")</f>
        <v/>
      </c>
      <c r="E100" s="2" t="str">
        <f>IF(OR(F100="",F100="Selecciona.."),"",IF(D100="Implemento",SUMIF(Implementos!B:B,F100,Implementos!A:A),SUMIF(Productos!E:E,F100,Productos!A:A)))</f>
        <v/>
      </c>
      <c r="F100" s="2" t="str">
        <f t="shared" si="2"/>
        <v/>
      </c>
      <c r="G100" s="10" t="str">
        <f t="array" ref="G100">IF(OR(F100="",F100="-",F100="Selecciona..",F100="Finalizar"),"",IF(A100="Rodados",XLOOKUP(B100,'Validaciones Cotizador'!I:I,'Validaciones Cotizador'!J:J,0,0,1),1))</f>
        <v/>
      </c>
      <c r="H100" s="11" t="str">
        <f>IF(OR(F100="",F100="Selecciona.."),"",SUMIF(Precio_Productos!K:K,E100,Precio_Productos!J:J)*G100)</f>
        <v/>
      </c>
      <c r="I100" s="4" t="str">
        <f t="array" ref="I100">IF($E100="","", XLOOKUP(SUMIFS(Prod_Prop!$A:$A,Prod_Prop!$B:$B,$E100,Prod_Prop!$H:$H,I$1,Prod_Prop!$I:$I,"Exacto"),Prod_Prop!$A:$A,Prod_Prop!$J:$J,"",0,1))</f>
        <v/>
      </c>
      <c r="J100" s="4" t="str">
        <f t="array" ref="J100">IF($E100="","", XLOOKUP(SUMIFS(Prod_Prop!$A:$A,Prod_Prop!$B:$B,$E100,Prod_Prop!$H:$H,J$1,Prod_Prop!$I:$I,"Exacto"),Prod_Prop!$A:$A,Prod_Prop!$J:$J,"",0,1))</f>
        <v/>
      </c>
      <c r="K100" s="4" t="str">
        <f t="array" ref="K100">IF($E100="","", XLOOKUP(SUMIFS(Prod_Prop!$A:$A,Prod_Prop!$B:$B,$E100,Prod_Prop!$H:$H,K$1,Prod_Prop!$I:$I,"Exacto"),Prod_Prop!$A:$A,Prod_Prop!$J:$J,"",0,1))</f>
        <v/>
      </c>
      <c r="L100" s="4" t="str">
        <f t="array" ref="L100">IF($E100="","", XLOOKUP(SUMIFS(Prod_Prop!$A:$A,Prod_Prop!$B:$B,$E100,Prod_Prop!$H:$H,L$1,Prod_Prop!$I:$I,"Exacto"),Prod_Prop!$A:$A,Prod_Prop!$J:$J,"",0,1))</f>
        <v/>
      </c>
      <c r="M100" s="4" t="str">
        <f t="array" ref="M100">IF($E100="","", XLOOKUP(SUMIFS(Prod_Prop!$A:$A,Prod_Prop!$B:$B,$E100,Prod_Prop!$H:$H,M$1,Prod_Prop!$I:$I,"Exacto"),Prod_Prop!$A:$A,Prod_Prop!$J:$J,"",0,1))</f>
        <v/>
      </c>
      <c r="N100" s="4" t="str">
        <f t="array" ref="N100">IF($E100="","", XLOOKUP(SUMIFS(Prod_Prop!$A:$A,Prod_Prop!$B:$B,$E100,Prod_Prop!$H:$H,N$1,Prod_Prop!$I:$I,"Exacto"),Prod_Prop!$A:$A,Prod_Prop!$J:$J,"",0,1))</f>
        <v/>
      </c>
      <c r="O100" s="4" t="str">
        <f t="array" ref="O100">IF($E100="","", XLOOKUP(SUMIFS(Prod_Prop!$A:$A,Prod_Prop!$B:$B,$E100,Prod_Prop!$H:$H,O$1,Prod_Prop!$I:$I,"Exacto"),Prod_Prop!$A:$A,Prod_Prop!$J:$J,"",0,1))</f>
        <v/>
      </c>
      <c r="P100" s="4" t="str">
        <f t="array" ref="P100">IF($E100="","", XLOOKUP(SUMIFS(Prod_Prop!$A:$A,Prod_Prop!$B:$B,$E100,Prod_Prop!$H:$H,P$1,Prod_Prop!$I:$I,"Exacto"),Prod_Prop!$A:$A,Prod_Prop!$J:$J,"",0,1))</f>
        <v/>
      </c>
      <c r="Q100" s="4" t="str">
        <f t="array" ref="Q100">IF($E100="","", XLOOKUP(SUMIFS(Prod_Prop!$A:$A,Prod_Prop!$B:$B,$E100,Prod_Prop!$H:$H,Q$1,Prod_Prop!$I:$I,"Exacto"),Prod_Prop!$A:$A,Prod_Prop!$J:$J,"",0,1))</f>
        <v/>
      </c>
      <c r="R100" s="4" t="str">
        <f t="array" ref="R100">IF($E100="","", XLOOKUP(SUMIFS(Prod_Prop!$A:$A,Prod_Prop!$B:$B,$E100,Prod_Prop!$H:$H,R$1,Prod_Prop!$I:$I,"Exacto"),Prod_Prop!$A:$A,Prod_Prop!$J:$J,"",0,1))</f>
        <v/>
      </c>
      <c r="S100" s="4" t="str">
        <f t="array" ref="S100">IF($E100="","", XLOOKUP(SUMIFS(Prod_Prop!$A:$A,Prod_Prop!$B:$B,$E100,Prod_Prop!$H:$H,S$1,Prod_Prop!$I:$I,"Exacto"),Prod_Prop!$A:$A,Prod_Prop!$J:$J,"",0,1))</f>
        <v/>
      </c>
      <c r="T100" s="4" t="str">
        <f t="array" ref="T100">IF($E100="","", XLOOKUP(SUMIFS(Prod_Prop!$A:$A,Prod_Prop!$B:$B,$E100,Prod_Prop!$H:$H,T$1,Prod_Prop!$I:$I,"Exacto"),Prod_Prop!$A:$A,Prod_Prop!$J:$J,"",0,1))</f>
        <v/>
      </c>
      <c r="U100" s="4" t="str">
        <f t="array" ref="U100">IF($E100="","", XLOOKUP(SUMIFS(Prod_Prop!$A:$A,Prod_Prop!$B:$B,$E100,Prod_Prop!$H:$H,U$1,Prod_Prop!$I:$I,"Exacto"),Prod_Prop!$A:$A,Prod_Prop!$J:$J,"",0,1))</f>
        <v/>
      </c>
      <c r="V100" s="4" t="str">
        <f t="array" ref="V100">IF($E100="","", XLOOKUP(SUMIFS(Prod_Prop!$A:$A,Prod_Prop!$B:$B,$E100,Prod_Prop!$H:$H,V$1,Prod_Prop!$I:$I,"Exacto"),Prod_Prop!$A:$A,Prod_Prop!$J:$J,"",0,1))</f>
        <v/>
      </c>
      <c r="X100" s="3" t="str">
        <f>IFERROR(__xludf.DUMMYFUNCTION("IF(D100="""","""",IFERROR(TRANSPOSE(FILTER('Validaciones Cotizador'!U:U,'Validaciones Cotizador'!O:O=D100,'Validaciones Cotizador'!T:T=""x"")),""Finalizar""))"),"")</f>
        <v/>
      </c>
    </row>
    <row r="101">
      <c r="A101" s="2" t="str">
        <f t="array" ref="A101">IF(E101="","",XLOOKUP(D101,'Validaciones Cotizador'!C:C,'Validaciones Cotizador'!A:A,"",0,1))</f>
        <v/>
      </c>
      <c r="B101" s="2" t="str">
        <f t="array" ref="B101">IF(F101="","",XLOOKUP(F101,Productos!E:E,Productos!G:G,"",0,1))</f>
        <v/>
      </c>
      <c r="C101" s="2" t="str">
        <f>IF(A101="","",SUMIFS('Validaciones Cotizador'!B:B,'Validaciones Cotizador'!C:C,D101,'Validaciones Cotizador'!A:A,A101))</f>
        <v/>
      </c>
      <c r="D101" s="4" t="str">
        <f>IFERROR(__xludf.DUMMYFUNCTION("IF(OR(F100=""Finalizar"",F100="""",F100=""Selecciona..""),"""",IF(OR(F100=""-"",INDEX(filter(Familias!F:F,Familias!D:D=A100,Familias!E:E=C100),1)=""O""),D100+1,D100))"),"")</f>
        <v/>
      </c>
      <c r="E101" s="2" t="str">
        <f>IF(OR(F101="",F101="Selecciona.."),"",IF(D101="Implemento",SUMIF(Implementos!B:B,F101,Implementos!A:A),SUMIF(Productos!E:E,F101,Productos!A:A)))</f>
        <v/>
      </c>
      <c r="F101" s="2" t="str">
        <f t="shared" si="2"/>
        <v/>
      </c>
      <c r="G101" s="10" t="str">
        <f t="array" ref="G101">IF(OR(F101="",F101="-",F101="Selecciona..",F101="Finalizar"),"",IF(A101="Rodados",XLOOKUP(B101,'Validaciones Cotizador'!I:I,'Validaciones Cotizador'!J:J,0,0,1),1))</f>
        <v/>
      </c>
      <c r="H101" s="11" t="str">
        <f>IF(OR(F101="",F101="Selecciona.."),"",SUMIF(Precio_Productos!K:K,E101,Precio_Productos!J:J)*G101)</f>
        <v/>
      </c>
      <c r="I101" s="4" t="str">
        <f t="array" ref="I101">IF($E101="","", XLOOKUP(SUMIFS(Prod_Prop!$A:$A,Prod_Prop!$B:$B,$E101,Prod_Prop!$H:$H,I$1,Prod_Prop!$I:$I,"Exacto"),Prod_Prop!$A:$A,Prod_Prop!$J:$J,"",0,1))</f>
        <v/>
      </c>
      <c r="J101" s="4" t="str">
        <f t="array" ref="J101">IF($E101="","", XLOOKUP(SUMIFS(Prod_Prop!$A:$A,Prod_Prop!$B:$B,$E101,Prod_Prop!$H:$H,J$1,Prod_Prop!$I:$I,"Exacto"),Prod_Prop!$A:$A,Prod_Prop!$J:$J,"",0,1))</f>
        <v/>
      </c>
      <c r="K101" s="4" t="str">
        <f t="array" ref="K101">IF($E101="","", XLOOKUP(SUMIFS(Prod_Prop!$A:$A,Prod_Prop!$B:$B,$E101,Prod_Prop!$H:$H,K$1,Prod_Prop!$I:$I,"Exacto"),Prod_Prop!$A:$A,Prod_Prop!$J:$J,"",0,1))</f>
        <v/>
      </c>
      <c r="L101" s="4" t="str">
        <f t="array" ref="L101">IF($E101="","", XLOOKUP(SUMIFS(Prod_Prop!$A:$A,Prod_Prop!$B:$B,$E101,Prod_Prop!$H:$H,L$1,Prod_Prop!$I:$I,"Exacto"),Prod_Prop!$A:$A,Prod_Prop!$J:$J,"",0,1))</f>
        <v/>
      </c>
      <c r="M101" s="4" t="str">
        <f t="array" ref="M101">IF($E101="","", XLOOKUP(SUMIFS(Prod_Prop!$A:$A,Prod_Prop!$B:$B,$E101,Prod_Prop!$H:$H,M$1,Prod_Prop!$I:$I,"Exacto"),Prod_Prop!$A:$A,Prod_Prop!$J:$J,"",0,1))</f>
        <v/>
      </c>
      <c r="N101" s="4" t="str">
        <f t="array" ref="N101">IF($E101="","", XLOOKUP(SUMIFS(Prod_Prop!$A:$A,Prod_Prop!$B:$B,$E101,Prod_Prop!$H:$H,N$1,Prod_Prop!$I:$I,"Exacto"),Prod_Prop!$A:$A,Prod_Prop!$J:$J,"",0,1))</f>
        <v/>
      </c>
      <c r="O101" s="4" t="str">
        <f t="array" ref="O101">IF($E101="","", XLOOKUP(SUMIFS(Prod_Prop!$A:$A,Prod_Prop!$B:$B,$E101,Prod_Prop!$H:$H,O$1,Prod_Prop!$I:$I,"Exacto"),Prod_Prop!$A:$A,Prod_Prop!$J:$J,"",0,1))</f>
        <v/>
      </c>
      <c r="P101" s="4" t="str">
        <f t="array" ref="P101">IF($E101="","", XLOOKUP(SUMIFS(Prod_Prop!$A:$A,Prod_Prop!$B:$B,$E101,Prod_Prop!$H:$H,P$1,Prod_Prop!$I:$I,"Exacto"),Prod_Prop!$A:$A,Prod_Prop!$J:$J,"",0,1))</f>
        <v/>
      </c>
      <c r="Q101" s="4" t="str">
        <f t="array" ref="Q101">IF($E101="","", XLOOKUP(SUMIFS(Prod_Prop!$A:$A,Prod_Prop!$B:$B,$E101,Prod_Prop!$H:$H,Q$1,Prod_Prop!$I:$I,"Exacto"),Prod_Prop!$A:$A,Prod_Prop!$J:$J,"",0,1))</f>
        <v/>
      </c>
      <c r="R101" s="4" t="str">
        <f t="array" ref="R101">IF($E101="","", XLOOKUP(SUMIFS(Prod_Prop!$A:$A,Prod_Prop!$B:$B,$E101,Prod_Prop!$H:$H,R$1,Prod_Prop!$I:$I,"Exacto"),Prod_Prop!$A:$A,Prod_Prop!$J:$J,"",0,1))</f>
        <v/>
      </c>
      <c r="S101" s="4" t="str">
        <f t="array" ref="S101">IF($E101="","", XLOOKUP(SUMIFS(Prod_Prop!$A:$A,Prod_Prop!$B:$B,$E101,Prod_Prop!$H:$H,S$1,Prod_Prop!$I:$I,"Exacto"),Prod_Prop!$A:$A,Prod_Prop!$J:$J,"",0,1))</f>
        <v/>
      </c>
      <c r="T101" s="4" t="str">
        <f t="array" ref="T101">IF($E101="","", XLOOKUP(SUMIFS(Prod_Prop!$A:$A,Prod_Prop!$B:$B,$E101,Prod_Prop!$H:$H,T$1,Prod_Prop!$I:$I,"Exacto"),Prod_Prop!$A:$A,Prod_Prop!$J:$J,"",0,1))</f>
        <v/>
      </c>
      <c r="U101" s="4" t="str">
        <f t="array" ref="U101">IF($E101="","", XLOOKUP(SUMIFS(Prod_Prop!$A:$A,Prod_Prop!$B:$B,$E101,Prod_Prop!$H:$H,U$1,Prod_Prop!$I:$I,"Exacto"),Prod_Prop!$A:$A,Prod_Prop!$J:$J,"",0,1))</f>
        <v/>
      </c>
      <c r="V101" s="4" t="str">
        <f t="array" ref="V101">IF($E101="","", XLOOKUP(SUMIFS(Prod_Prop!$A:$A,Prod_Prop!$B:$B,$E101,Prod_Prop!$H:$H,V$1,Prod_Prop!$I:$I,"Exacto"),Prod_Prop!$A:$A,Prod_Prop!$J:$J,"",0,1))</f>
        <v/>
      </c>
      <c r="X101" s="3" t="str">
        <f>IFERROR(__xludf.DUMMYFUNCTION("IF(D101="""","""",IFERROR(TRANSPOSE(FILTER('Validaciones Cotizador'!U:U,'Validaciones Cotizador'!O:O=D101,'Validaciones Cotizador'!T:T=""x"")),""Finalizar""))"),"")</f>
        <v/>
      </c>
    </row>
    <row r="102">
      <c r="A102" s="2" t="str">
        <f t="array" ref="A102">IF(E102="","",XLOOKUP(D102,'Validaciones Cotizador'!C:C,'Validaciones Cotizador'!A:A,"",0,1))</f>
        <v/>
      </c>
      <c r="B102" s="2" t="str">
        <f t="array" ref="B102">IF(F102="","",XLOOKUP(F102,Productos!E:E,Productos!G:G,"",0,1))</f>
        <v/>
      </c>
      <c r="C102" s="2" t="str">
        <f>IF(A102="","",SUMIFS('Validaciones Cotizador'!B:B,'Validaciones Cotizador'!C:C,D102,'Validaciones Cotizador'!A:A,A102))</f>
        <v/>
      </c>
      <c r="D102" s="4" t="str">
        <f>IFERROR(__xludf.DUMMYFUNCTION("IF(OR(F101=""Finalizar"",F101="""",F101=""Selecciona..""),"""",IF(OR(F101=""-"",INDEX(filter(Familias!F:F,Familias!D:D=A101,Familias!E:E=C101),1)=""O""),D101+1,D101))"),"")</f>
        <v/>
      </c>
      <c r="E102" s="2" t="str">
        <f>IF(OR(F102="",F102="Selecciona.."),"",IF(D102="Implemento",SUMIF(Implementos!B:B,F102,Implementos!A:A),SUMIF(Productos!E:E,F102,Productos!A:A)))</f>
        <v/>
      </c>
      <c r="F102" s="2" t="str">
        <f t="shared" si="2"/>
        <v/>
      </c>
      <c r="G102" s="10" t="str">
        <f t="array" ref="G102">IF(OR(F102="",F102="-",F102="Selecciona..",F102="Finalizar"),"",IF(A102="Rodados",XLOOKUP(B102,'Validaciones Cotizador'!I:I,'Validaciones Cotizador'!J:J,0,0,1),1))</f>
        <v/>
      </c>
      <c r="H102" s="11" t="str">
        <f>IF(OR(F102="",F102="Selecciona.."),"",SUMIF(Precio_Productos!K:K,E102,Precio_Productos!J:J)*G102)</f>
        <v/>
      </c>
      <c r="I102" s="4" t="str">
        <f t="array" ref="I102">IF($E102="","", XLOOKUP(SUMIFS(Prod_Prop!$A:$A,Prod_Prop!$B:$B,$E102,Prod_Prop!$H:$H,I$1,Prod_Prop!$I:$I,"Exacto"),Prod_Prop!$A:$A,Prod_Prop!$J:$J,"",0,1))</f>
        <v/>
      </c>
      <c r="J102" s="4" t="str">
        <f t="array" ref="J102">IF($E102="","", XLOOKUP(SUMIFS(Prod_Prop!$A:$A,Prod_Prop!$B:$B,$E102,Prod_Prop!$H:$H,J$1,Prod_Prop!$I:$I,"Exacto"),Prod_Prop!$A:$A,Prod_Prop!$J:$J,"",0,1))</f>
        <v/>
      </c>
      <c r="K102" s="4" t="str">
        <f t="array" ref="K102">IF($E102="","", XLOOKUP(SUMIFS(Prod_Prop!$A:$A,Prod_Prop!$B:$B,$E102,Prod_Prop!$H:$H,K$1,Prod_Prop!$I:$I,"Exacto"),Prod_Prop!$A:$A,Prod_Prop!$J:$J,"",0,1))</f>
        <v/>
      </c>
      <c r="L102" s="4" t="str">
        <f t="array" ref="L102">IF($E102="","", XLOOKUP(SUMIFS(Prod_Prop!$A:$A,Prod_Prop!$B:$B,$E102,Prod_Prop!$H:$H,L$1,Prod_Prop!$I:$I,"Exacto"),Prod_Prop!$A:$A,Prod_Prop!$J:$J,"",0,1))</f>
        <v/>
      </c>
      <c r="M102" s="4" t="str">
        <f t="array" ref="M102">IF($E102="","", XLOOKUP(SUMIFS(Prod_Prop!$A:$A,Prod_Prop!$B:$B,$E102,Prod_Prop!$H:$H,M$1,Prod_Prop!$I:$I,"Exacto"),Prod_Prop!$A:$A,Prod_Prop!$J:$J,"",0,1))</f>
        <v/>
      </c>
      <c r="N102" s="4" t="str">
        <f t="array" ref="N102">IF($E102="","", XLOOKUP(SUMIFS(Prod_Prop!$A:$A,Prod_Prop!$B:$B,$E102,Prod_Prop!$H:$H,N$1,Prod_Prop!$I:$I,"Exacto"),Prod_Prop!$A:$A,Prod_Prop!$J:$J,"",0,1))</f>
        <v/>
      </c>
      <c r="O102" s="4" t="str">
        <f t="array" ref="O102">IF($E102="","", XLOOKUP(SUMIFS(Prod_Prop!$A:$A,Prod_Prop!$B:$B,$E102,Prod_Prop!$H:$H,O$1,Prod_Prop!$I:$I,"Exacto"),Prod_Prop!$A:$A,Prod_Prop!$J:$J,"",0,1))</f>
        <v/>
      </c>
      <c r="P102" s="4" t="str">
        <f t="array" ref="P102">IF($E102="","", XLOOKUP(SUMIFS(Prod_Prop!$A:$A,Prod_Prop!$B:$B,$E102,Prod_Prop!$H:$H,P$1,Prod_Prop!$I:$I,"Exacto"),Prod_Prop!$A:$A,Prod_Prop!$J:$J,"",0,1))</f>
        <v/>
      </c>
      <c r="Q102" s="4" t="str">
        <f t="array" ref="Q102">IF($E102="","", XLOOKUP(SUMIFS(Prod_Prop!$A:$A,Prod_Prop!$B:$B,$E102,Prod_Prop!$H:$H,Q$1,Prod_Prop!$I:$I,"Exacto"),Prod_Prop!$A:$A,Prod_Prop!$J:$J,"",0,1))</f>
        <v/>
      </c>
      <c r="R102" s="4" t="str">
        <f t="array" ref="R102">IF($E102="","", XLOOKUP(SUMIFS(Prod_Prop!$A:$A,Prod_Prop!$B:$B,$E102,Prod_Prop!$H:$H,R$1,Prod_Prop!$I:$I,"Exacto"),Prod_Prop!$A:$A,Prod_Prop!$J:$J,"",0,1))</f>
        <v/>
      </c>
      <c r="S102" s="4" t="str">
        <f t="array" ref="S102">IF($E102="","", XLOOKUP(SUMIFS(Prod_Prop!$A:$A,Prod_Prop!$B:$B,$E102,Prod_Prop!$H:$H,S$1,Prod_Prop!$I:$I,"Exacto"),Prod_Prop!$A:$A,Prod_Prop!$J:$J,"",0,1))</f>
        <v/>
      </c>
      <c r="T102" s="4" t="str">
        <f t="array" ref="T102">IF($E102="","", XLOOKUP(SUMIFS(Prod_Prop!$A:$A,Prod_Prop!$B:$B,$E102,Prod_Prop!$H:$H,T$1,Prod_Prop!$I:$I,"Exacto"),Prod_Prop!$A:$A,Prod_Prop!$J:$J,"",0,1))</f>
        <v/>
      </c>
      <c r="U102" s="4" t="str">
        <f t="array" ref="U102">IF($E102="","", XLOOKUP(SUMIFS(Prod_Prop!$A:$A,Prod_Prop!$B:$B,$E102,Prod_Prop!$H:$H,U$1,Prod_Prop!$I:$I,"Exacto"),Prod_Prop!$A:$A,Prod_Prop!$J:$J,"",0,1))</f>
        <v/>
      </c>
      <c r="V102" s="4" t="str">
        <f t="array" ref="V102">IF($E102="","", XLOOKUP(SUMIFS(Prod_Prop!$A:$A,Prod_Prop!$B:$B,$E102,Prod_Prop!$H:$H,V$1,Prod_Prop!$I:$I,"Exacto"),Prod_Prop!$A:$A,Prod_Prop!$J:$J,"",0,1))</f>
        <v/>
      </c>
      <c r="X102" s="3" t="str">
        <f>IFERROR(__xludf.DUMMYFUNCTION("IF(D102="""","""",IFERROR(TRANSPOSE(FILTER('Validaciones Cotizador'!U:U,'Validaciones Cotizador'!O:O=D102,'Validaciones Cotizador'!T:T=""x"")),""Finalizar""))"),"")</f>
        <v/>
      </c>
    </row>
    <row r="103">
      <c r="A103" s="2" t="str">
        <f t="array" ref="A103">IF(E103="","",XLOOKUP(D103,'Validaciones Cotizador'!C:C,'Validaciones Cotizador'!A:A,"",0,1))</f>
        <v/>
      </c>
      <c r="B103" s="2" t="str">
        <f t="array" ref="B103">IF(F103="","",XLOOKUP(F103,Productos!E:E,Productos!G:G,"",0,1))</f>
        <v/>
      </c>
      <c r="C103" s="2" t="str">
        <f>IF(A103="","",SUMIFS('Validaciones Cotizador'!B:B,'Validaciones Cotizador'!C:C,D103,'Validaciones Cotizador'!A:A,A103))</f>
        <v/>
      </c>
      <c r="D103" s="4" t="str">
        <f>IFERROR(__xludf.DUMMYFUNCTION("IF(OR(F102=""Finalizar"",F102="""",F102=""Selecciona..""),"""",IF(OR(F102=""-"",INDEX(filter(Familias!F:F,Familias!D:D=A102,Familias!E:E=C102),1)=""O""),D102+1,D102))"),"")</f>
        <v/>
      </c>
      <c r="E103" s="2" t="str">
        <f>IF(OR(F103="",F103="Selecciona.."),"",IF(D103="Implemento",SUMIF(Implementos!B:B,F103,Implementos!A:A),SUMIF(Productos!E:E,F103,Productos!A:A)))</f>
        <v/>
      </c>
      <c r="F103" s="2" t="str">
        <f t="shared" si="2"/>
        <v/>
      </c>
      <c r="G103" s="10" t="str">
        <f t="array" ref="G103">IF(OR(F103="",F103="-",F103="Selecciona..",F103="Finalizar"),"",IF(A103="Rodados",XLOOKUP(B103,'Validaciones Cotizador'!I:I,'Validaciones Cotizador'!J:J,0,0,1),1))</f>
        <v/>
      </c>
      <c r="H103" s="11" t="str">
        <f>IF(OR(F103="",F103="Selecciona.."),"",SUMIF(Precio_Productos!K:K,E103,Precio_Productos!J:J)*G103)</f>
        <v/>
      </c>
      <c r="I103" s="4" t="str">
        <f t="array" ref="I103">IF($E103="","", XLOOKUP(SUMIFS(Prod_Prop!$A:$A,Prod_Prop!$B:$B,$E103,Prod_Prop!$H:$H,I$1,Prod_Prop!$I:$I,"Exacto"),Prod_Prop!$A:$A,Prod_Prop!$J:$J,"",0,1))</f>
        <v/>
      </c>
      <c r="J103" s="4" t="str">
        <f t="array" ref="J103">IF($E103="","", XLOOKUP(SUMIFS(Prod_Prop!$A:$A,Prod_Prop!$B:$B,$E103,Prod_Prop!$H:$H,J$1,Prod_Prop!$I:$I,"Exacto"),Prod_Prop!$A:$A,Prod_Prop!$J:$J,"",0,1))</f>
        <v/>
      </c>
      <c r="K103" s="4" t="str">
        <f t="array" ref="K103">IF($E103="","", XLOOKUP(SUMIFS(Prod_Prop!$A:$A,Prod_Prop!$B:$B,$E103,Prod_Prop!$H:$H,K$1,Prod_Prop!$I:$I,"Exacto"),Prod_Prop!$A:$A,Prod_Prop!$J:$J,"",0,1))</f>
        <v/>
      </c>
      <c r="L103" s="4" t="str">
        <f t="array" ref="L103">IF($E103="","", XLOOKUP(SUMIFS(Prod_Prop!$A:$A,Prod_Prop!$B:$B,$E103,Prod_Prop!$H:$H,L$1,Prod_Prop!$I:$I,"Exacto"),Prod_Prop!$A:$A,Prod_Prop!$J:$J,"",0,1))</f>
        <v/>
      </c>
      <c r="M103" s="4" t="str">
        <f t="array" ref="M103">IF($E103="","", XLOOKUP(SUMIFS(Prod_Prop!$A:$A,Prod_Prop!$B:$B,$E103,Prod_Prop!$H:$H,M$1,Prod_Prop!$I:$I,"Exacto"),Prod_Prop!$A:$A,Prod_Prop!$J:$J,"",0,1))</f>
        <v/>
      </c>
      <c r="N103" s="4" t="str">
        <f t="array" ref="N103">IF($E103="","", XLOOKUP(SUMIFS(Prod_Prop!$A:$A,Prod_Prop!$B:$B,$E103,Prod_Prop!$H:$H,N$1,Prod_Prop!$I:$I,"Exacto"),Prod_Prop!$A:$A,Prod_Prop!$J:$J,"",0,1))</f>
        <v/>
      </c>
      <c r="O103" s="4" t="str">
        <f t="array" ref="O103">IF($E103="","", XLOOKUP(SUMIFS(Prod_Prop!$A:$A,Prod_Prop!$B:$B,$E103,Prod_Prop!$H:$H,O$1,Prod_Prop!$I:$I,"Exacto"),Prod_Prop!$A:$A,Prod_Prop!$J:$J,"",0,1))</f>
        <v/>
      </c>
      <c r="P103" s="4" t="str">
        <f t="array" ref="P103">IF($E103="","", XLOOKUP(SUMIFS(Prod_Prop!$A:$A,Prod_Prop!$B:$B,$E103,Prod_Prop!$H:$H,P$1,Prod_Prop!$I:$I,"Exacto"),Prod_Prop!$A:$A,Prod_Prop!$J:$J,"",0,1))</f>
        <v/>
      </c>
      <c r="Q103" s="4" t="str">
        <f t="array" ref="Q103">IF($E103="","", XLOOKUP(SUMIFS(Prod_Prop!$A:$A,Prod_Prop!$B:$B,$E103,Prod_Prop!$H:$H,Q$1,Prod_Prop!$I:$I,"Exacto"),Prod_Prop!$A:$A,Prod_Prop!$J:$J,"",0,1))</f>
        <v/>
      </c>
      <c r="R103" s="4" t="str">
        <f t="array" ref="R103">IF($E103="","", XLOOKUP(SUMIFS(Prod_Prop!$A:$A,Prod_Prop!$B:$B,$E103,Prod_Prop!$H:$H,R$1,Prod_Prop!$I:$I,"Exacto"),Prod_Prop!$A:$A,Prod_Prop!$J:$J,"",0,1))</f>
        <v/>
      </c>
      <c r="S103" s="4" t="str">
        <f t="array" ref="S103">IF($E103="","", XLOOKUP(SUMIFS(Prod_Prop!$A:$A,Prod_Prop!$B:$B,$E103,Prod_Prop!$H:$H,S$1,Prod_Prop!$I:$I,"Exacto"),Prod_Prop!$A:$A,Prod_Prop!$J:$J,"",0,1))</f>
        <v/>
      </c>
      <c r="T103" s="4" t="str">
        <f t="array" ref="T103">IF($E103="","", XLOOKUP(SUMIFS(Prod_Prop!$A:$A,Prod_Prop!$B:$B,$E103,Prod_Prop!$H:$H,T$1,Prod_Prop!$I:$I,"Exacto"),Prod_Prop!$A:$A,Prod_Prop!$J:$J,"",0,1))</f>
        <v/>
      </c>
      <c r="U103" s="4" t="str">
        <f t="array" ref="U103">IF($E103="","", XLOOKUP(SUMIFS(Prod_Prop!$A:$A,Prod_Prop!$B:$B,$E103,Prod_Prop!$H:$H,U$1,Prod_Prop!$I:$I,"Exacto"),Prod_Prop!$A:$A,Prod_Prop!$J:$J,"",0,1))</f>
        <v/>
      </c>
      <c r="V103" s="4" t="str">
        <f t="array" ref="V103">IF($E103="","", XLOOKUP(SUMIFS(Prod_Prop!$A:$A,Prod_Prop!$B:$B,$E103,Prod_Prop!$H:$H,V$1,Prod_Prop!$I:$I,"Exacto"),Prod_Prop!$A:$A,Prod_Prop!$J:$J,"",0,1))</f>
        <v/>
      </c>
      <c r="X103" s="3" t="str">
        <f>IFERROR(__xludf.DUMMYFUNCTION("IF(D103="""","""",IFERROR(TRANSPOSE(FILTER('Validaciones Cotizador'!U:U,'Validaciones Cotizador'!O:O=D103,'Validaciones Cotizador'!T:T=""x"")),""Finalizar""))"),"")</f>
        <v/>
      </c>
    </row>
    <row r="104">
      <c r="A104" s="2" t="str">
        <f t="array" ref="A104">IF(E104="","",XLOOKUP(D104,'Validaciones Cotizador'!C:C,'Validaciones Cotizador'!A:A,"",0,1))</f>
        <v/>
      </c>
      <c r="B104" s="2" t="str">
        <f t="array" ref="B104">IF(F104="","",XLOOKUP(F104,Productos!E:E,Productos!G:G,"",0,1))</f>
        <v/>
      </c>
      <c r="C104" s="2" t="str">
        <f>IF(A104="","",SUMIFS('Validaciones Cotizador'!B:B,'Validaciones Cotizador'!C:C,D104,'Validaciones Cotizador'!A:A,A104))</f>
        <v/>
      </c>
      <c r="D104" s="4" t="str">
        <f>IFERROR(__xludf.DUMMYFUNCTION("IF(OR(F103=""Finalizar"",F103="""",F103=""Selecciona..""),"""",IF(OR(F103=""-"",INDEX(filter(Familias!F:F,Familias!D:D=A103,Familias!E:E=C103),1)=""O""),D103+1,D103))"),"")</f>
        <v/>
      </c>
      <c r="E104" s="2" t="str">
        <f>IF(OR(F104="",F104="Selecciona.."),"",IF(D104="Implemento",SUMIF(Implementos!B:B,F104,Implementos!A:A),SUMIF(Productos!E:E,F104,Productos!A:A)))</f>
        <v/>
      </c>
      <c r="F104" s="2" t="str">
        <f t="shared" si="2"/>
        <v/>
      </c>
      <c r="G104" s="10" t="str">
        <f t="array" ref="G104">IF(OR(F104="",F104="-",F104="Selecciona..",F104="Finalizar"),"",IF(A104="Rodados",XLOOKUP(B104,'Validaciones Cotizador'!I:I,'Validaciones Cotizador'!J:J,0,0,1),1))</f>
        <v/>
      </c>
      <c r="H104" s="11" t="str">
        <f>IF(OR(F104="",F104="Selecciona.."),"",SUMIF(Precio_Productos!K:K,E104,Precio_Productos!J:J)*G104)</f>
        <v/>
      </c>
      <c r="I104" s="4" t="str">
        <f t="array" ref="I104">IF($E104="","", XLOOKUP(SUMIFS(Prod_Prop!$A:$A,Prod_Prop!$B:$B,$E104,Prod_Prop!$H:$H,I$1,Prod_Prop!$I:$I,"Exacto"),Prod_Prop!$A:$A,Prod_Prop!$J:$J,"",0,1))</f>
        <v/>
      </c>
      <c r="J104" s="4" t="str">
        <f t="array" ref="J104">IF($E104="","", XLOOKUP(SUMIFS(Prod_Prop!$A:$A,Prod_Prop!$B:$B,$E104,Prod_Prop!$H:$H,J$1,Prod_Prop!$I:$I,"Exacto"),Prod_Prop!$A:$A,Prod_Prop!$J:$J,"",0,1))</f>
        <v/>
      </c>
      <c r="K104" s="4" t="str">
        <f t="array" ref="K104">IF($E104="","", XLOOKUP(SUMIFS(Prod_Prop!$A:$A,Prod_Prop!$B:$B,$E104,Prod_Prop!$H:$H,K$1,Prod_Prop!$I:$I,"Exacto"),Prod_Prop!$A:$A,Prod_Prop!$J:$J,"",0,1))</f>
        <v/>
      </c>
      <c r="L104" s="4" t="str">
        <f t="array" ref="L104">IF($E104="","", XLOOKUP(SUMIFS(Prod_Prop!$A:$A,Prod_Prop!$B:$B,$E104,Prod_Prop!$H:$H,L$1,Prod_Prop!$I:$I,"Exacto"),Prod_Prop!$A:$A,Prod_Prop!$J:$J,"",0,1))</f>
        <v/>
      </c>
      <c r="M104" s="4" t="str">
        <f t="array" ref="M104">IF($E104="","", XLOOKUP(SUMIFS(Prod_Prop!$A:$A,Prod_Prop!$B:$B,$E104,Prod_Prop!$H:$H,M$1,Prod_Prop!$I:$I,"Exacto"),Prod_Prop!$A:$A,Prod_Prop!$J:$J,"",0,1))</f>
        <v/>
      </c>
      <c r="N104" s="4" t="str">
        <f t="array" ref="N104">IF($E104="","", XLOOKUP(SUMIFS(Prod_Prop!$A:$A,Prod_Prop!$B:$B,$E104,Prod_Prop!$H:$H,N$1,Prod_Prop!$I:$I,"Exacto"),Prod_Prop!$A:$A,Prod_Prop!$J:$J,"",0,1))</f>
        <v/>
      </c>
      <c r="O104" s="4" t="str">
        <f t="array" ref="O104">IF($E104="","", XLOOKUP(SUMIFS(Prod_Prop!$A:$A,Prod_Prop!$B:$B,$E104,Prod_Prop!$H:$H,O$1,Prod_Prop!$I:$I,"Exacto"),Prod_Prop!$A:$A,Prod_Prop!$J:$J,"",0,1))</f>
        <v/>
      </c>
      <c r="P104" s="4" t="str">
        <f t="array" ref="P104">IF($E104="","", XLOOKUP(SUMIFS(Prod_Prop!$A:$A,Prod_Prop!$B:$B,$E104,Prod_Prop!$H:$H,P$1,Prod_Prop!$I:$I,"Exacto"),Prod_Prop!$A:$A,Prod_Prop!$J:$J,"",0,1))</f>
        <v/>
      </c>
      <c r="Q104" s="4" t="str">
        <f t="array" ref="Q104">IF($E104="","", XLOOKUP(SUMIFS(Prod_Prop!$A:$A,Prod_Prop!$B:$B,$E104,Prod_Prop!$H:$H,Q$1,Prod_Prop!$I:$I,"Exacto"),Prod_Prop!$A:$A,Prod_Prop!$J:$J,"",0,1))</f>
        <v/>
      </c>
      <c r="R104" s="4" t="str">
        <f t="array" ref="R104">IF($E104="","", XLOOKUP(SUMIFS(Prod_Prop!$A:$A,Prod_Prop!$B:$B,$E104,Prod_Prop!$H:$H,R$1,Prod_Prop!$I:$I,"Exacto"),Prod_Prop!$A:$A,Prod_Prop!$J:$J,"",0,1))</f>
        <v/>
      </c>
      <c r="S104" s="4" t="str">
        <f t="array" ref="S104">IF($E104="","", XLOOKUP(SUMIFS(Prod_Prop!$A:$A,Prod_Prop!$B:$B,$E104,Prod_Prop!$H:$H,S$1,Prod_Prop!$I:$I,"Exacto"),Prod_Prop!$A:$A,Prod_Prop!$J:$J,"",0,1))</f>
        <v/>
      </c>
      <c r="T104" s="4" t="str">
        <f t="array" ref="T104">IF($E104="","", XLOOKUP(SUMIFS(Prod_Prop!$A:$A,Prod_Prop!$B:$B,$E104,Prod_Prop!$H:$H,T$1,Prod_Prop!$I:$I,"Exacto"),Prod_Prop!$A:$A,Prod_Prop!$J:$J,"",0,1))</f>
        <v/>
      </c>
      <c r="U104" s="4" t="str">
        <f t="array" ref="U104">IF($E104="","", XLOOKUP(SUMIFS(Prod_Prop!$A:$A,Prod_Prop!$B:$B,$E104,Prod_Prop!$H:$H,U$1,Prod_Prop!$I:$I,"Exacto"),Prod_Prop!$A:$A,Prod_Prop!$J:$J,"",0,1))</f>
        <v/>
      </c>
      <c r="V104" s="4" t="str">
        <f t="array" ref="V104">IF($E104="","", XLOOKUP(SUMIFS(Prod_Prop!$A:$A,Prod_Prop!$B:$B,$E104,Prod_Prop!$H:$H,V$1,Prod_Prop!$I:$I,"Exacto"),Prod_Prop!$A:$A,Prod_Prop!$J:$J,"",0,1))</f>
        <v/>
      </c>
      <c r="X104" s="3" t="str">
        <f>IFERROR(__xludf.DUMMYFUNCTION("IF(D104="""","""",IFERROR(TRANSPOSE(FILTER('Validaciones Cotizador'!U:U,'Validaciones Cotizador'!O:O=D104,'Validaciones Cotizador'!T:T=""x"")),""Finalizar""))"),"")</f>
        <v/>
      </c>
    </row>
    <row r="105">
      <c r="A105" s="2" t="str">
        <f t="array" ref="A105">IF(E105="","",XLOOKUP(D105,'Validaciones Cotizador'!C:C,'Validaciones Cotizador'!A:A,"",0,1))</f>
        <v/>
      </c>
      <c r="B105" s="2" t="str">
        <f t="array" ref="B105">IF(F105="","",XLOOKUP(F105,Productos!E:E,Productos!G:G,"",0,1))</f>
        <v/>
      </c>
      <c r="C105" s="2" t="str">
        <f>IF(A105="","",SUMIFS('Validaciones Cotizador'!B:B,'Validaciones Cotizador'!C:C,D105,'Validaciones Cotizador'!A:A,A105))</f>
        <v/>
      </c>
      <c r="D105" s="4" t="str">
        <f>IFERROR(__xludf.DUMMYFUNCTION("IF(OR(F104=""Finalizar"",F104="""",F104=""Selecciona..""),"""",IF(OR(F104=""-"",INDEX(filter(Familias!F:F,Familias!D:D=A104,Familias!E:E=C104),1)=""O""),D104+1,D104))"),"")</f>
        <v/>
      </c>
      <c r="E105" s="2" t="str">
        <f>IF(OR(F105="",F105="Selecciona.."),"",IF(D105="Implemento",SUMIF(Implementos!B:B,F105,Implementos!A:A),SUMIF(Productos!E:E,F105,Productos!A:A)))</f>
        <v/>
      </c>
      <c r="F105" s="2" t="str">
        <f t="shared" si="2"/>
        <v/>
      </c>
      <c r="G105" s="10" t="str">
        <f t="array" ref="G105">IF(OR(F105="",F105="-",F105="Selecciona..",F105="Finalizar"),"",IF(A105="Rodados",XLOOKUP(B105,'Validaciones Cotizador'!I:I,'Validaciones Cotizador'!J:J,0,0,1),1))</f>
        <v/>
      </c>
      <c r="H105" s="11" t="str">
        <f>IF(OR(F105="",F105="Selecciona.."),"",SUMIF(Precio_Productos!K:K,E105,Precio_Productos!J:J)*G105)</f>
        <v/>
      </c>
      <c r="I105" s="4" t="str">
        <f t="array" ref="I105">IF($E105="","", XLOOKUP(SUMIFS(Prod_Prop!$A:$A,Prod_Prop!$B:$B,$E105,Prod_Prop!$H:$H,I$1,Prod_Prop!$I:$I,"Exacto"),Prod_Prop!$A:$A,Prod_Prop!$J:$J,"",0,1))</f>
        <v/>
      </c>
      <c r="J105" s="4" t="str">
        <f t="array" ref="J105">IF($E105="","", XLOOKUP(SUMIFS(Prod_Prop!$A:$A,Prod_Prop!$B:$B,$E105,Prod_Prop!$H:$H,J$1,Prod_Prop!$I:$I,"Exacto"),Prod_Prop!$A:$A,Prod_Prop!$J:$J,"",0,1))</f>
        <v/>
      </c>
      <c r="K105" s="4" t="str">
        <f t="array" ref="K105">IF($E105="","", XLOOKUP(SUMIFS(Prod_Prop!$A:$A,Prod_Prop!$B:$B,$E105,Prod_Prop!$H:$H,K$1,Prod_Prop!$I:$I,"Exacto"),Prod_Prop!$A:$A,Prod_Prop!$J:$J,"",0,1))</f>
        <v/>
      </c>
      <c r="L105" s="4" t="str">
        <f t="array" ref="L105">IF($E105="","", XLOOKUP(SUMIFS(Prod_Prop!$A:$A,Prod_Prop!$B:$B,$E105,Prod_Prop!$H:$H,L$1,Prod_Prop!$I:$I,"Exacto"),Prod_Prop!$A:$A,Prod_Prop!$J:$J,"",0,1))</f>
        <v/>
      </c>
      <c r="M105" s="4" t="str">
        <f t="array" ref="M105">IF($E105="","", XLOOKUP(SUMIFS(Prod_Prop!$A:$A,Prod_Prop!$B:$B,$E105,Prod_Prop!$H:$H,M$1,Prod_Prop!$I:$I,"Exacto"),Prod_Prop!$A:$A,Prod_Prop!$J:$J,"",0,1))</f>
        <v/>
      </c>
      <c r="N105" s="4" t="str">
        <f t="array" ref="N105">IF($E105="","", XLOOKUP(SUMIFS(Prod_Prop!$A:$A,Prod_Prop!$B:$B,$E105,Prod_Prop!$H:$H,N$1,Prod_Prop!$I:$I,"Exacto"),Prod_Prop!$A:$A,Prod_Prop!$J:$J,"",0,1))</f>
        <v/>
      </c>
      <c r="O105" s="4" t="str">
        <f t="array" ref="O105">IF($E105="","", XLOOKUP(SUMIFS(Prod_Prop!$A:$A,Prod_Prop!$B:$B,$E105,Prod_Prop!$H:$H,O$1,Prod_Prop!$I:$I,"Exacto"),Prod_Prop!$A:$A,Prod_Prop!$J:$J,"",0,1))</f>
        <v/>
      </c>
      <c r="P105" s="4" t="str">
        <f t="array" ref="P105">IF($E105="","", XLOOKUP(SUMIFS(Prod_Prop!$A:$A,Prod_Prop!$B:$B,$E105,Prod_Prop!$H:$H,P$1,Prod_Prop!$I:$I,"Exacto"),Prod_Prop!$A:$A,Prod_Prop!$J:$J,"",0,1))</f>
        <v/>
      </c>
      <c r="Q105" s="4" t="str">
        <f t="array" ref="Q105">IF($E105="","", XLOOKUP(SUMIFS(Prod_Prop!$A:$A,Prod_Prop!$B:$B,$E105,Prod_Prop!$H:$H,Q$1,Prod_Prop!$I:$I,"Exacto"),Prod_Prop!$A:$A,Prod_Prop!$J:$J,"",0,1))</f>
        <v/>
      </c>
      <c r="R105" s="4" t="str">
        <f t="array" ref="R105">IF($E105="","", XLOOKUP(SUMIFS(Prod_Prop!$A:$A,Prod_Prop!$B:$B,$E105,Prod_Prop!$H:$H,R$1,Prod_Prop!$I:$I,"Exacto"),Prod_Prop!$A:$A,Prod_Prop!$J:$J,"",0,1))</f>
        <v/>
      </c>
      <c r="S105" s="4" t="str">
        <f t="array" ref="S105">IF($E105="","", XLOOKUP(SUMIFS(Prod_Prop!$A:$A,Prod_Prop!$B:$B,$E105,Prod_Prop!$H:$H,S$1,Prod_Prop!$I:$I,"Exacto"),Prod_Prop!$A:$A,Prod_Prop!$J:$J,"",0,1))</f>
        <v/>
      </c>
      <c r="T105" s="4" t="str">
        <f t="array" ref="T105">IF($E105="","", XLOOKUP(SUMIFS(Prod_Prop!$A:$A,Prod_Prop!$B:$B,$E105,Prod_Prop!$H:$H,T$1,Prod_Prop!$I:$I,"Exacto"),Prod_Prop!$A:$A,Prod_Prop!$J:$J,"",0,1))</f>
        <v/>
      </c>
      <c r="U105" s="4" t="str">
        <f t="array" ref="U105">IF($E105="","", XLOOKUP(SUMIFS(Prod_Prop!$A:$A,Prod_Prop!$B:$B,$E105,Prod_Prop!$H:$H,U$1,Prod_Prop!$I:$I,"Exacto"),Prod_Prop!$A:$A,Prod_Prop!$J:$J,"",0,1))</f>
        <v/>
      </c>
      <c r="V105" s="4" t="str">
        <f t="array" ref="V105">IF($E105="","", XLOOKUP(SUMIFS(Prod_Prop!$A:$A,Prod_Prop!$B:$B,$E105,Prod_Prop!$H:$H,V$1,Prod_Prop!$I:$I,"Exacto"),Prod_Prop!$A:$A,Prod_Prop!$J:$J,"",0,1))</f>
        <v/>
      </c>
      <c r="X105" s="3" t="str">
        <f>IFERROR(__xludf.DUMMYFUNCTION("IF(D105="""","""",IFERROR(TRANSPOSE(FILTER('Validaciones Cotizador'!U:U,'Validaciones Cotizador'!O:O=D105,'Validaciones Cotizador'!T:T=""x"")),""Finalizar""))"),"")</f>
        <v/>
      </c>
    </row>
    <row r="106">
      <c r="A106" s="2" t="str">
        <f t="array" ref="A106">IF(E106="","",XLOOKUP(D106,'Validaciones Cotizador'!C:C,'Validaciones Cotizador'!A:A,"",0,1))</f>
        <v/>
      </c>
      <c r="B106" s="2" t="str">
        <f t="array" ref="B106">IF(F106="","",XLOOKUP(F106,Productos!E:E,Productos!G:G,"",0,1))</f>
        <v/>
      </c>
      <c r="C106" s="2" t="str">
        <f>IF(A106="","",SUMIFS('Validaciones Cotizador'!B:B,'Validaciones Cotizador'!C:C,D106,'Validaciones Cotizador'!A:A,A106))</f>
        <v/>
      </c>
      <c r="D106" s="4" t="str">
        <f>IFERROR(__xludf.DUMMYFUNCTION("IF(OR(F105=""Finalizar"",F105="""",F105=""Selecciona..""),"""",IF(OR(F105=""-"",INDEX(filter(Familias!F:F,Familias!D:D=A105,Familias!E:E=C105),1)=""O""),D105+1,D105))"),"")</f>
        <v/>
      </c>
      <c r="E106" s="2" t="str">
        <f>IF(OR(F106="",F106="Selecciona.."),"",IF(D106="Implemento",SUMIF(Implementos!B:B,F106,Implementos!A:A),SUMIF(Productos!E:E,F106,Productos!A:A)))</f>
        <v/>
      </c>
      <c r="F106" s="2" t="str">
        <f t="shared" si="2"/>
        <v/>
      </c>
      <c r="G106" s="10" t="str">
        <f t="array" ref="G106">IF(OR(F106="",F106="-",F106="Selecciona..",F106="Finalizar"),"",IF(A106="Rodados",XLOOKUP(B106,'Validaciones Cotizador'!I:I,'Validaciones Cotizador'!J:J,0,0,1),1))</f>
        <v/>
      </c>
      <c r="H106" s="11" t="str">
        <f>IF(OR(F106="",F106="Selecciona.."),"",SUMIF(Precio_Productos!K:K,E106,Precio_Productos!J:J)*G106)</f>
        <v/>
      </c>
      <c r="I106" s="4" t="str">
        <f t="array" ref="I106">IF($E106="","", XLOOKUP(SUMIFS(Prod_Prop!$A:$A,Prod_Prop!$B:$B,$E106,Prod_Prop!$H:$H,I$1,Prod_Prop!$I:$I,"Exacto"),Prod_Prop!$A:$A,Prod_Prop!$J:$J,"",0,1))</f>
        <v/>
      </c>
      <c r="J106" s="4" t="str">
        <f t="array" ref="J106">IF($E106="","", XLOOKUP(SUMIFS(Prod_Prop!$A:$A,Prod_Prop!$B:$B,$E106,Prod_Prop!$H:$H,J$1,Prod_Prop!$I:$I,"Exacto"),Prod_Prop!$A:$A,Prod_Prop!$J:$J,"",0,1))</f>
        <v/>
      </c>
      <c r="K106" s="4" t="str">
        <f t="array" ref="K106">IF($E106="","", XLOOKUP(SUMIFS(Prod_Prop!$A:$A,Prod_Prop!$B:$B,$E106,Prod_Prop!$H:$H,K$1,Prod_Prop!$I:$I,"Exacto"),Prod_Prop!$A:$A,Prod_Prop!$J:$J,"",0,1))</f>
        <v/>
      </c>
      <c r="L106" s="4" t="str">
        <f t="array" ref="L106">IF($E106="","", XLOOKUP(SUMIFS(Prod_Prop!$A:$A,Prod_Prop!$B:$B,$E106,Prod_Prop!$H:$H,L$1,Prod_Prop!$I:$I,"Exacto"),Prod_Prop!$A:$A,Prod_Prop!$J:$J,"",0,1))</f>
        <v/>
      </c>
      <c r="M106" s="4" t="str">
        <f t="array" ref="M106">IF($E106="","", XLOOKUP(SUMIFS(Prod_Prop!$A:$A,Prod_Prop!$B:$B,$E106,Prod_Prop!$H:$H,M$1,Prod_Prop!$I:$I,"Exacto"),Prod_Prop!$A:$A,Prod_Prop!$J:$J,"",0,1))</f>
        <v/>
      </c>
      <c r="N106" s="4" t="str">
        <f t="array" ref="N106">IF($E106="","", XLOOKUP(SUMIFS(Prod_Prop!$A:$A,Prod_Prop!$B:$B,$E106,Prod_Prop!$H:$H,N$1,Prod_Prop!$I:$I,"Exacto"),Prod_Prop!$A:$A,Prod_Prop!$J:$J,"",0,1))</f>
        <v/>
      </c>
      <c r="O106" s="4" t="str">
        <f t="array" ref="O106">IF($E106="","", XLOOKUP(SUMIFS(Prod_Prop!$A:$A,Prod_Prop!$B:$B,$E106,Prod_Prop!$H:$H,O$1,Prod_Prop!$I:$I,"Exacto"),Prod_Prop!$A:$A,Prod_Prop!$J:$J,"",0,1))</f>
        <v/>
      </c>
      <c r="P106" s="4" t="str">
        <f t="array" ref="P106">IF($E106="","", XLOOKUP(SUMIFS(Prod_Prop!$A:$A,Prod_Prop!$B:$B,$E106,Prod_Prop!$H:$H,P$1,Prod_Prop!$I:$I,"Exacto"),Prod_Prop!$A:$A,Prod_Prop!$J:$J,"",0,1))</f>
        <v/>
      </c>
      <c r="Q106" s="4" t="str">
        <f t="array" ref="Q106">IF($E106="","", XLOOKUP(SUMIFS(Prod_Prop!$A:$A,Prod_Prop!$B:$B,$E106,Prod_Prop!$H:$H,Q$1,Prod_Prop!$I:$I,"Exacto"),Prod_Prop!$A:$A,Prod_Prop!$J:$J,"",0,1))</f>
        <v/>
      </c>
      <c r="R106" s="4" t="str">
        <f t="array" ref="R106">IF($E106="","", XLOOKUP(SUMIFS(Prod_Prop!$A:$A,Prod_Prop!$B:$B,$E106,Prod_Prop!$H:$H,R$1,Prod_Prop!$I:$I,"Exacto"),Prod_Prop!$A:$A,Prod_Prop!$J:$J,"",0,1))</f>
        <v/>
      </c>
      <c r="S106" s="4" t="str">
        <f t="array" ref="S106">IF($E106="","", XLOOKUP(SUMIFS(Prod_Prop!$A:$A,Prod_Prop!$B:$B,$E106,Prod_Prop!$H:$H,S$1,Prod_Prop!$I:$I,"Exacto"),Prod_Prop!$A:$A,Prod_Prop!$J:$J,"",0,1))</f>
        <v/>
      </c>
      <c r="T106" s="4" t="str">
        <f t="array" ref="T106">IF($E106="","", XLOOKUP(SUMIFS(Prod_Prop!$A:$A,Prod_Prop!$B:$B,$E106,Prod_Prop!$H:$H,T$1,Prod_Prop!$I:$I,"Exacto"),Prod_Prop!$A:$A,Prod_Prop!$J:$J,"",0,1))</f>
        <v/>
      </c>
      <c r="U106" s="4" t="str">
        <f t="array" ref="U106">IF($E106="","", XLOOKUP(SUMIFS(Prod_Prop!$A:$A,Prod_Prop!$B:$B,$E106,Prod_Prop!$H:$H,U$1,Prod_Prop!$I:$I,"Exacto"),Prod_Prop!$A:$A,Prod_Prop!$J:$J,"",0,1))</f>
        <v/>
      </c>
      <c r="V106" s="4" t="str">
        <f t="array" ref="V106">IF($E106="","", XLOOKUP(SUMIFS(Prod_Prop!$A:$A,Prod_Prop!$B:$B,$E106,Prod_Prop!$H:$H,V$1,Prod_Prop!$I:$I,"Exacto"),Prod_Prop!$A:$A,Prod_Prop!$J:$J,"",0,1))</f>
        <v/>
      </c>
      <c r="X106" s="3" t="str">
        <f>IFERROR(__xludf.DUMMYFUNCTION("IF(D106="""","""",IFERROR(TRANSPOSE(FILTER('Validaciones Cotizador'!U:U,'Validaciones Cotizador'!O:O=D106,'Validaciones Cotizador'!T:T=""x"")),""Finalizar""))"),"")</f>
        <v/>
      </c>
    </row>
    <row r="107">
      <c r="A107" s="2" t="str">
        <f t="array" ref="A107">IF(E107="","",XLOOKUP(D107,'Validaciones Cotizador'!C:C,'Validaciones Cotizador'!A:A,"",0,1))</f>
        <v/>
      </c>
      <c r="B107" s="2" t="str">
        <f t="array" ref="B107">IF(F107="","",XLOOKUP(F107,Productos!E:E,Productos!G:G,"",0,1))</f>
        <v/>
      </c>
      <c r="C107" s="2" t="str">
        <f>IF(A107="","",SUMIFS('Validaciones Cotizador'!B:B,'Validaciones Cotizador'!C:C,D107,'Validaciones Cotizador'!A:A,A107))</f>
        <v/>
      </c>
      <c r="D107" s="4" t="str">
        <f>IFERROR(__xludf.DUMMYFUNCTION("IF(OR(F106=""Finalizar"",F106="""",F106=""Selecciona..""),"""",IF(OR(F106=""-"",INDEX(filter(Familias!F:F,Familias!D:D=A106,Familias!E:E=C106),1)=""O""),D106+1,D106))"),"")</f>
        <v/>
      </c>
      <c r="E107" s="2" t="str">
        <f>IF(OR(F107="",F107="Selecciona.."),"",IF(D107="Implemento",SUMIF(Implementos!B:B,F107,Implementos!A:A),SUMIF(Productos!E:E,F107,Productos!A:A)))</f>
        <v/>
      </c>
      <c r="F107" s="2" t="str">
        <f t="shared" si="2"/>
        <v/>
      </c>
      <c r="G107" s="10" t="str">
        <f t="array" ref="G107">IF(OR(F107="",F107="-",F107="Selecciona..",F107="Finalizar"),"",IF(A107="Rodados",XLOOKUP(B107,'Validaciones Cotizador'!I:I,'Validaciones Cotizador'!J:J,0,0,1),1))</f>
        <v/>
      </c>
      <c r="H107" s="11" t="str">
        <f>IF(OR(F107="",F107="Selecciona.."),"",SUMIF(Precio_Productos!K:K,E107,Precio_Productos!J:J)*G107)</f>
        <v/>
      </c>
      <c r="I107" s="4" t="str">
        <f t="array" ref="I107">IF($E107="","", XLOOKUP(SUMIFS(Prod_Prop!$A:$A,Prod_Prop!$B:$B,$E107,Prod_Prop!$H:$H,I$1,Prod_Prop!$I:$I,"Exacto"),Prod_Prop!$A:$A,Prod_Prop!$J:$J,"",0,1))</f>
        <v/>
      </c>
      <c r="J107" s="4" t="str">
        <f t="array" ref="J107">IF($E107="","", XLOOKUP(SUMIFS(Prod_Prop!$A:$A,Prod_Prop!$B:$B,$E107,Prod_Prop!$H:$H,J$1,Prod_Prop!$I:$I,"Exacto"),Prod_Prop!$A:$A,Prod_Prop!$J:$J,"",0,1))</f>
        <v/>
      </c>
      <c r="K107" s="4" t="str">
        <f t="array" ref="K107">IF($E107="","", XLOOKUP(SUMIFS(Prod_Prop!$A:$A,Prod_Prop!$B:$B,$E107,Prod_Prop!$H:$H,K$1,Prod_Prop!$I:$I,"Exacto"),Prod_Prop!$A:$A,Prod_Prop!$J:$J,"",0,1))</f>
        <v/>
      </c>
      <c r="L107" s="4" t="str">
        <f t="array" ref="L107">IF($E107="","", XLOOKUP(SUMIFS(Prod_Prop!$A:$A,Prod_Prop!$B:$B,$E107,Prod_Prop!$H:$H,L$1,Prod_Prop!$I:$I,"Exacto"),Prod_Prop!$A:$A,Prod_Prop!$J:$J,"",0,1))</f>
        <v/>
      </c>
      <c r="M107" s="4" t="str">
        <f t="array" ref="M107">IF($E107="","", XLOOKUP(SUMIFS(Prod_Prop!$A:$A,Prod_Prop!$B:$B,$E107,Prod_Prop!$H:$H,M$1,Prod_Prop!$I:$I,"Exacto"),Prod_Prop!$A:$A,Prod_Prop!$J:$J,"",0,1))</f>
        <v/>
      </c>
      <c r="N107" s="4" t="str">
        <f t="array" ref="N107">IF($E107="","", XLOOKUP(SUMIFS(Prod_Prop!$A:$A,Prod_Prop!$B:$B,$E107,Prod_Prop!$H:$H,N$1,Prod_Prop!$I:$I,"Exacto"),Prod_Prop!$A:$A,Prod_Prop!$J:$J,"",0,1))</f>
        <v/>
      </c>
      <c r="O107" s="4" t="str">
        <f t="array" ref="O107">IF($E107="","", XLOOKUP(SUMIFS(Prod_Prop!$A:$A,Prod_Prop!$B:$B,$E107,Prod_Prop!$H:$H,O$1,Prod_Prop!$I:$I,"Exacto"),Prod_Prop!$A:$A,Prod_Prop!$J:$J,"",0,1))</f>
        <v/>
      </c>
      <c r="P107" s="4" t="str">
        <f t="array" ref="P107">IF($E107="","", XLOOKUP(SUMIFS(Prod_Prop!$A:$A,Prod_Prop!$B:$B,$E107,Prod_Prop!$H:$H,P$1,Prod_Prop!$I:$I,"Exacto"),Prod_Prop!$A:$A,Prod_Prop!$J:$J,"",0,1))</f>
        <v/>
      </c>
      <c r="Q107" s="4" t="str">
        <f t="array" ref="Q107">IF($E107="","", XLOOKUP(SUMIFS(Prod_Prop!$A:$A,Prod_Prop!$B:$B,$E107,Prod_Prop!$H:$H,Q$1,Prod_Prop!$I:$I,"Exacto"),Prod_Prop!$A:$A,Prod_Prop!$J:$J,"",0,1))</f>
        <v/>
      </c>
      <c r="R107" s="4" t="str">
        <f t="array" ref="R107">IF($E107="","", XLOOKUP(SUMIFS(Prod_Prop!$A:$A,Prod_Prop!$B:$B,$E107,Prod_Prop!$H:$H,R$1,Prod_Prop!$I:$I,"Exacto"),Prod_Prop!$A:$A,Prod_Prop!$J:$J,"",0,1))</f>
        <v/>
      </c>
      <c r="S107" s="4" t="str">
        <f t="array" ref="S107">IF($E107="","", XLOOKUP(SUMIFS(Prod_Prop!$A:$A,Prod_Prop!$B:$B,$E107,Prod_Prop!$H:$H,S$1,Prod_Prop!$I:$I,"Exacto"),Prod_Prop!$A:$A,Prod_Prop!$J:$J,"",0,1))</f>
        <v/>
      </c>
      <c r="T107" s="4" t="str">
        <f t="array" ref="T107">IF($E107="","", XLOOKUP(SUMIFS(Prod_Prop!$A:$A,Prod_Prop!$B:$B,$E107,Prod_Prop!$H:$H,T$1,Prod_Prop!$I:$I,"Exacto"),Prod_Prop!$A:$A,Prod_Prop!$J:$J,"",0,1))</f>
        <v/>
      </c>
      <c r="U107" s="4" t="str">
        <f t="array" ref="U107">IF($E107="","", XLOOKUP(SUMIFS(Prod_Prop!$A:$A,Prod_Prop!$B:$B,$E107,Prod_Prop!$H:$H,U$1,Prod_Prop!$I:$I,"Exacto"),Prod_Prop!$A:$A,Prod_Prop!$J:$J,"",0,1))</f>
        <v/>
      </c>
      <c r="V107" s="4" t="str">
        <f t="array" ref="V107">IF($E107="","", XLOOKUP(SUMIFS(Prod_Prop!$A:$A,Prod_Prop!$B:$B,$E107,Prod_Prop!$H:$H,V$1,Prod_Prop!$I:$I,"Exacto"),Prod_Prop!$A:$A,Prod_Prop!$J:$J,"",0,1))</f>
        <v/>
      </c>
      <c r="X107" s="3" t="str">
        <f>IFERROR(__xludf.DUMMYFUNCTION("IF(D107="""","""",IFERROR(TRANSPOSE(FILTER('Validaciones Cotizador'!U:U,'Validaciones Cotizador'!O:O=D107,'Validaciones Cotizador'!T:T=""x"")),""Finalizar""))"),"")</f>
        <v/>
      </c>
    </row>
    <row r="108">
      <c r="A108" s="2" t="str">
        <f t="array" ref="A108">IF(E108="","",XLOOKUP(D108,'Validaciones Cotizador'!C:C,'Validaciones Cotizador'!A:A,"",0,1))</f>
        <v/>
      </c>
      <c r="B108" s="2" t="str">
        <f t="array" ref="B108">IF(F108="","",XLOOKUP(F108,Productos!E:E,Productos!G:G,"",0,1))</f>
        <v/>
      </c>
      <c r="C108" s="2" t="str">
        <f>IF(A108="","",SUMIFS('Validaciones Cotizador'!B:B,'Validaciones Cotizador'!C:C,D108,'Validaciones Cotizador'!A:A,A108))</f>
        <v/>
      </c>
      <c r="D108" s="4" t="str">
        <f>IFERROR(__xludf.DUMMYFUNCTION("IF(OR(F107=""Finalizar"",F107="""",F107=""Selecciona..""),"""",IF(OR(F107=""-"",INDEX(filter(Familias!F:F,Familias!D:D=A107,Familias!E:E=C107),1)=""O""),D107+1,D107))"),"")</f>
        <v/>
      </c>
      <c r="E108" s="2" t="str">
        <f>IF(OR(F108="",F108="Selecciona.."),"",IF(D108="Implemento",SUMIF(Implementos!B:B,F108,Implementos!A:A),SUMIF(Productos!E:E,F108,Productos!A:A)))</f>
        <v/>
      </c>
      <c r="F108" s="2" t="str">
        <f t="shared" si="2"/>
        <v/>
      </c>
      <c r="G108" s="10" t="str">
        <f t="array" ref="G108">IF(OR(F108="",F108="-",F108="Selecciona..",F108="Finalizar"),"",IF(A108="Rodados",XLOOKUP(B108,'Validaciones Cotizador'!I:I,'Validaciones Cotizador'!J:J,0,0,1),1))</f>
        <v/>
      </c>
      <c r="H108" s="11" t="str">
        <f>IF(OR(F108="",F108="Selecciona.."),"",SUMIF(Precio_Productos!K:K,E108,Precio_Productos!J:J)*G108)</f>
        <v/>
      </c>
      <c r="I108" s="4" t="str">
        <f t="array" ref="I108">IF($E108="","", XLOOKUP(SUMIFS(Prod_Prop!$A:$A,Prod_Prop!$B:$B,$E108,Prod_Prop!$H:$H,I$1,Prod_Prop!$I:$I,"Exacto"),Prod_Prop!$A:$A,Prod_Prop!$J:$J,"",0,1))</f>
        <v/>
      </c>
      <c r="J108" s="4" t="str">
        <f t="array" ref="J108">IF($E108="","", XLOOKUP(SUMIFS(Prod_Prop!$A:$A,Prod_Prop!$B:$B,$E108,Prod_Prop!$H:$H,J$1,Prod_Prop!$I:$I,"Exacto"),Prod_Prop!$A:$A,Prod_Prop!$J:$J,"",0,1))</f>
        <v/>
      </c>
      <c r="K108" s="4" t="str">
        <f t="array" ref="K108">IF($E108="","", XLOOKUP(SUMIFS(Prod_Prop!$A:$A,Prod_Prop!$B:$B,$E108,Prod_Prop!$H:$H,K$1,Prod_Prop!$I:$I,"Exacto"),Prod_Prop!$A:$A,Prod_Prop!$J:$J,"",0,1))</f>
        <v/>
      </c>
      <c r="L108" s="4" t="str">
        <f t="array" ref="L108">IF($E108="","", XLOOKUP(SUMIFS(Prod_Prop!$A:$A,Prod_Prop!$B:$B,$E108,Prod_Prop!$H:$H,L$1,Prod_Prop!$I:$I,"Exacto"),Prod_Prop!$A:$A,Prod_Prop!$J:$J,"",0,1))</f>
        <v/>
      </c>
      <c r="M108" s="4" t="str">
        <f t="array" ref="M108">IF($E108="","", XLOOKUP(SUMIFS(Prod_Prop!$A:$A,Prod_Prop!$B:$B,$E108,Prod_Prop!$H:$H,M$1,Prod_Prop!$I:$I,"Exacto"),Prod_Prop!$A:$A,Prod_Prop!$J:$J,"",0,1))</f>
        <v/>
      </c>
      <c r="N108" s="4" t="str">
        <f t="array" ref="N108">IF($E108="","", XLOOKUP(SUMIFS(Prod_Prop!$A:$A,Prod_Prop!$B:$B,$E108,Prod_Prop!$H:$H,N$1,Prod_Prop!$I:$I,"Exacto"),Prod_Prop!$A:$A,Prod_Prop!$J:$J,"",0,1))</f>
        <v/>
      </c>
      <c r="O108" s="4" t="str">
        <f t="array" ref="O108">IF($E108="","", XLOOKUP(SUMIFS(Prod_Prop!$A:$A,Prod_Prop!$B:$B,$E108,Prod_Prop!$H:$H,O$1,Prod_Prop!$I:$I,"Exacto"),Prod_Prop!$A:$A,Prod_Prop!$J:$J,"",0,1))</f>
        <v/>
      </c>
      <c r="P108" s="4" t="str">
        <f t="array" ref="P108">IF($E108="","", XLOOKUP(SUMIFS(Prod_Prop!$A:$A,Prod_Prop!$B:$B,$E108,Prod_Prop!$H:$H,P$1,Prod_Prop!$I:$I,"Exacto"),Prod_Prop!$A:$A,Prod_Prop!$J:$J,"",0,1))</f>
        <v/>
      </c>
      <c r="Q108" s="4" t="str">
        <f t="array" ref="Q108">IF($E108="","", XLOOKUP(SUMIFS(Prod_Prop!$A:$A,Prod_Prop!$B:$B,$E108,Prod_Prop!$H:$H,Q$1,Prod_Prop!$I:$I,"Exacto"),Prod_Prop!$A:$A,Prod_Prop!$J:$J,"",0,1))</f>
        <v/>
      </c>
      <c r="R108" s="4" t="str">
        <f t="array" ref="R108">IF($E108="","", XLOOKUP(SUMIFS(Prod_Prop!$A:$A,Prod_Prop!$B:$B,$E108,Prod_Prop!$H:$H,R$1,Prod_Prop!$I:$I,"Exacto"),Prod_Prop!$A:$A,Prod_Prop!$J:$J,"",0,1))</f>
        <v/>
      </c>
      <c r="S108" s="4" t="str">
        <f t="array" ref="S108">IF($E108="","", XLOOKUP(SUMIFS(Prod_Prop!$A:$A,Prod_Prop!$B:$B,$E108,Prod_Prop!$H:$H,S$1,Prod_Prop!$I:$I,"Exacto"),Prod_Prop!$A:$A,Prod_Prop!$J:$J,"",0,1))</f>
        <v/>
      </c>
      <c r="T108" s="4" t="str">
        <f t="array" ref="T108">IF($E108="","", XLOOKUP(SUMIFS(Prod_Prop!$A:$A,Prod_Prop!$B:$B,$E108,Prod_Prop!$H:$H,T$1,Prod_Prop!$I:$I,"Exacto"),Prod_Prop!$A:$A,Prod_Prop!$J:$J,"",0,1))</f>
        <v/>
      </c>
      <c r="U108" s="4" t="str">
        <f t="array" ref="U108">IF($E108="","", XLOOKUP(SUMIFS(Prod_Prop!$A:$A,Prod_Prop!$B:$B,$E108,Prod_Prop!$H:$H,U$1,Prod_Prop!$I:$I,"Exacto"),Prod_Prop!$A:$A,Prod_Prop!$J:$J,"",0,1))</f>
        <v/>
      </c>
      <c r="V108" s="4" t="str">
        <f t="array" ref="V108">IF($E108="","", XLOOKUP(SUMIFS(Prod_Prop!$A:$A,Prod_Prop!$B:$B,$E108,Prod_Prop!$H:$H,V$1,Prod_Prop!$I:$I,"Exacto"),Prod_Prop!$A:$A,Prod_Prop!$J:$J,"",0,1))</f>
        <v/>
      </c>
      <c r="X108" s="3" t="str">
        <f>IFERROR(__xludf.DUMMYFUNCTION("IF(D108="""","""",IFERROR(TRANSPOSE(FILTER('Validaciones Cotizador'!U:U,'Validaciones Cotizador'!O:O=D108,'Validaciones Cotizador'!T:T=""x"")),""Finalizar""))"),"")</f>
        <v/>
      </c>
    </row>
    <row r="109">
      <c r="A109" s="2" t="str">
        <f t="array" ref="A109">IF(E109="","",XLOOKUP(D109,'Validaciones Cotizador'!C:C,'Validaciones Cotizador'!A:A,"",0,1))</f>
        <v/>
      </c>
      <c r="B109" s="2" t="str">
        <f t="array" ref="B109">IF(F109="","",XLOOKUP(F109,Productos!E:E,Productos!G:G,"",0,1))</f>
        <v/>
      </c>
      <c r="C109" s="2" t="str">
        <f>IF(A109="","",SUMIFS('Validaciones Cotizador'!B:B,'Validaciones Cotizador'!C:C,D109,'Validaciones Cotizador'!A:A,A109))</f>
        <v/>
      </c>
      <c r="D109" s="4" t="str">
        <f>IFERROR(__xludf.DUMMYFUNCTION("IF(OR(F108=""Finalizar"",F108="""",F108=""Selecciona..""),"""",IF(OR(F108=""-"",INDEX(filter(Familias!F:F,Familias!D:D=A108,Familias!E:E=C108),1)=""O""),D108+1,D108))"),"")</f>
        <v/>
      </c>
      <c r="E109" s="2" t="str">
        <f>IF(OR(F109="",F109="Selecciona.."),"",IF(D109="Implemento",SUMIF(Implementos!B:B,F109,Implementos!A:A),SUMIF(Productos!E:E,F109,Productos!A:A)))</f>
        <v/>
      </c>
      <c r="F109" s="2" t="str">
        <f t="shared" si="2"/>
        <v/>
      </c>
      <c r="G109" s="10" t="str">
        <f t="array" ref="G109">IF(OR(F109="",F109="-",F109="Selecciona..",F109="Finalizar"),"",IF(A109="Rodados",XLOOKUP(B109,'Validaciones Cotizador'!I:I,'Validaciones Cotizador'!J:J,0,0,1),1))</f>
        <v/>
      </c>
      <c r="H109" s="11" t="str">
        <f>IF(OR(F109="",F109="Selecciona.."),"",SUMIF(Precio_Productos!K:K,E109,Precio_Productos!J:J)*G109)</f>
        <v/>
      </c>
      <c r="I109" s="4" t="str">
        <f t="array" ref="I109">IF($E109="","", XLOOKUP(SUMIFS(Prod_Prop!$A:$A,Prod_Prop!$B:$B,$E109,Prod_Prop!$H:$H,I$1,Prod_Prop!$I:$I,"Exacto"),Prod_Prop!$A:$A,Prod_Prop!$J:$J,"",0,1))</f>
        <v/>
      </c>
      <c r="J109" s="4" t="str">
        <f t="array" ref="J109">IF($E109="","", XLOOKUP(SUMIFS(Prod_Prop!$A:$A,Prod_Prop!$B:$B,$E109,Prod_Prop!$H:$H,J$1,Prod_Prop!$I:$I,"Exacto"),Prod_Prop!$A:$A,Prod_Prop!$J:$J,"",0,1))</f>
        <v/>
      </c>
      <c r="K109" s="4" t="str">
        <f t="array" ref="K109">IF($E109="","", XLOOKUP(SUMIFS(Prod_Prop!$A:$A,Prod_Prop!$B:$B,$E109,Prod_Prop!$H:$H,K$1,Prod_Prop!$I:$I,"Exacto"),Prod_Prop!$A:$A,Prod_Prop!$J:$J,"",0,1))</f>
        <v/>
      </c>
      <c r="L109" s="4" t="str">
        <f t="array" ref="L109">IF($E109="","", XLOOKUP(SUMIFS(Prod_Prop!$A:$A,Prod_Prop!$B:$B,$E109,Prod_Prop!$H:$H,L$1,Prod_Prop!$I:$I,"Exacto"),Prod_Prop!$A:$A,Prod_Prop!$J:$J,"",0,1))</f>
        <v/>
      </c>
      <c r="M109" s="4" t="str">
        <f t="array" ref="M109">IF($E109="","", XLOOKUP(SUMIFS(Prod_Prop!$A:$A,Prod_Prop!$B:$B,$E109,Prod_Prop!$H:$H,M$1,Prod_Prop!$I:$I,"Exacto"),Prod_Prop!$A:$A,Prod_Prop!$J:$J,"",0,1))</f>
        <v/>
      </c>
      <c r="N109" s="4" t="str">
        <f t="array" ref="N109">IF($E109="","", XLOOKUP(SUMIFS(Prod_Prop!$A:$A,Prod_Prop!$B:$B,$E109,Prod_Prop!$H:$H,N$1,Prod_Prop!$I:$I,"Exacto"),Prod_Prop!$A:$A,Prod_Prop!$J:$J,"",0,1))</f>
        <v/>
      </c>
      <c r="O109" s="4" t="str">
        <f t="array" ref="O109">IF($E109="","", XLOOKUP(SUMIFS(Prod_Prop!$A:$A,Prod_Prop!$B:$B,$E109,Prod_Prop!$H:$H,O$1,Prod_Prop!$I:$I,"Exacto"),Prod_Prop!$A:$A,Prod_Prop!$J:$J,"",0,1))</f>
        <v/>
      </c>
      <c r="P109" s="4" t="str">
        <f t="array" ref="P109">IF($E109="","", XLOOKUP(SUMIFS(Prod_Prop!$A:$A,Prod_Prop!$B:$B,$E109,Prod_Prop!$H:$H,P$1,Prod_Prop!$I:$I,"Exacto"),Prod_Prop!$A:$A,Prod_Prop!$J:$J,"",0,1))</f>
        <v/>
      </c>
      <c r="Q109" s="4" t="str">
        <f t="array" ref="Q109">IF($E109="","", XLOOKUP(SUMIFS(Prod_Prop!$A:$A,Prod_Prop!$B:$B,$E109,Prod_Prop!$H:$H,Q$1,Prod_Prop!$I:$I,"Exacto"),Prod_Prop!$A:$A,Prod_Prop!$J:$J,"",0,1))</f>
        <v/>
      </c>
      <c r="R109" s="4" t="str">
        <f t="array" ref="R109">IF($E109="","", XLOOKUP(SUMIFS(Prod_Prop!$A:$A,Prod_Prop!$B:$B,$E109,Prod_Prop!$H:$H,R$1,Prod_Prop!$I:$I,"Exacto"),Prod_Prop!$A:$A,Prod_Prop!$J:$J,"",0,1))</f>
        <v/>
      </c>
      <c r="S109" s="4" t="str">
        <f t="array" ref="S109">IF($E109="","", XLOOKUP(SUMIFS(Prod_Prop!$A:$A,Prod_Prop!$B:$B,$E109,Prod_Prop!$H:$H,S$1,Prod_Prop!$I:$I,"Exacto"),Prod_Prop!$A:$A,Prod_Prop!$J:$J,"",0,1))</f>
        <v/>
      </c>
      <c r="T109" s="4" t="str">
        <f t="array" ref="T109">IF($E109="","", XLOOKUP(SUMIFS(Prod_Prop!$A:$A,Prod_Prop!$B:$B,$E109,Prod_Prop!$H:$H,T$1,Prod_Prop!$I:$I,"Exacto"),Prod_Prop!$A:$A,Prod_Prop!$J:$J,"",0,1))</f>
        <v/>
      </c>
      <c r="U109" s="4" t="str">
        <f t="array" ref="U109">IF($E109="","", XLOOKUP(SUMIFS(Prod_Prop!$A:$A,Prod_Prop!$B:$B,$E109,Prod_Prop!$H:$H,U$1,Prod_Prop!$I:$I,"Exacto"),Prod_Prop!$A:$A,Prod_Prop!$J:$J,"",0,1))</f>
        <v/>
      </c>
      <c r="V109" s="4" t="str">
        <f t="array" ref="V109">IF($E109="","", XLOOKUP(SUMIFS(Prod_Prop!$A:$A,Prod_Prop!$B:$B,$E109,Prod_Prop!$H:$H,V$1,Prod_Prop!$I:$I,"Exacto"),Prod_Prop!$A:$A,Prod_Prop!$J:$J,"",0,1))</f>
        <v/>
      </c>
      <c r="X109" s="3" t="str">
        <f>IFERROR(__xludf.DUMMYFUNCTION("IF(D109="""","""",IFERROR(TRANSPOSE(FILTER('Validaciones Cotizador'!U:U,'Validaciones Cotizador'!O:O=D109,'Validaciones Cotizador'!T:T=""x"")),""Finalizar""))"),"")</f>
        <v/>
      </c>
    </row>
    <row r="110">
      <c r="A110" s="2" t="str">
        <f t="array" ref="A110">IF(E110="","",XLOOKUP(D110,'Validaciones Cotizador'!C:C,'Validaciones Cotizador'!A:A,"",0,1))</f>
        <v/>
      </c>
      <c r="B110" s="2" t="str">
        <f t="array" ref="B110">IF(F110="","",XLOOKUP(F110,Productos!E:E,Productos!G:G,"",0,1))</f>
        <v/>
      </c>
      <c r="C110" s="2" t="str">
        <f>IF(A110="","",SUMIFS('Validaciones Cotizador'!B:B,'Validaciones Cotizador'!C:C,D110,'Validaciones Cotizador'!A:A,A110))</f>
        <v/>
      </c>
      <c r="D110" s="4" t="str">
        <f>IFERROR(__xludf.DUMMYFUNCTION("IF(OR(F109=""Finalizar"",F109="""",F109=""Selecciona..""),"""",IF(OR(F109=""-"",INDEX(filter(Familias!F:F,Familias!D:D=A109,Familias!E:E=C109),1)=""O""),D109+1,D109))"),"")</f>
        <v/>
      </c>
      <c r="E110" s="2" t="str">
        <f>IF(OR(F110="",F110="Selecciona.."),"",IF(D110="Implemento",SUMIF(Implementos!B:B,F110,Implementos!A:A),SUMIF(Productos!E:E,F110,Productos!A:A)))</f>
        <v/>
      </c>
      <c r="F110" s="2" t="str">
        <f t="shared" si="2"/>
        <v/>
      </c>
      <c r="G110" s="10" t="str">
        <f t="array" ref="G110">IF(OR(F110="",F110="-",F110="Selecciona..",F110="Finalizar"),"",IF(A110="Rodados",XLOOKUP(B110,'Validaciones Cotizador'!I:I,'Validaciones Cotizador'!J:J,0,0,1),1))</f>
        <v/>
      </c>
      <c r="H110" s="11" t="str">
        <f>IF(OR(F110="",F110="Selecciona.."),"",SUMIF(Precio_Productos!K:K,E110,Precio_Productos!J:J)*G110)</f>
        <v/>
      </c>
      <c r="I110" s="4" t="str">
        <f t="array" ref="I110">IF($E110="","", XLOOKUP(SUMIFS(Prod_Prop!$A:$A,Prod_Prop!$B:$B,$E110,Prod_Prop!$H:$H,I$1,Prod_Prop!$I:$I,"Exacto"),Prod_Prop!$A:$A,Prod_Prop!$J:$J,"",0,1))</f>
        <v/>
      </c>
      <c r="J110" s="4" t="str">
        <f t="array" ref="J110">IF($E110="","", XLOOKUP(SUMIFS(Prod_Prop!$A:$A,Prod_Prop!$B:$B,$E110,Prod_Prop!$H:$H,J$1,Prod_Prop!$I:$I,"Exacto"),Prod_Prop!$A:$A,Prod_Prop!$J:$J,"",0,1))</f>
        <v/>
      </c>
      <c r="K110" s="4" t="str">
        <f t="array" ref="K110">IF($E110="","", XLOOKUP(SUMIFS(Prod_Prop!$A:$A,Prod_Prop!$B:$B,$E110,Prod_Prop!$H:$H,K$1,Prod_Prop!$I:$I,"Exacto"),Prod_Prop!$A:$A,Prod_Prop!$J:$J,"",0,1))</f>
        <v/>
      </c>
      <c r="L110" s="4" t="str">
        <f t="array" ref="L110">IF($E110="","", XLOOKUP(SUMIFS(Prod_Prop!$A:$A,Prod_Prop!$B:$B,$E110,Prod_Prop!$H:$H,L$1,Prod_Prop!$I:$I,"Exacto"),Prod_Prop!$A:$A,Prod_Prop!$J:$J,"",0,1))</f>
        <v/>
      </c>
      <c r="M110" s="4" t="str">
        <f t="array" ref="M110">IF($E110="","", XLOOKUP(SUMIFS(Prod_Prop!$A:$A,Prod_Prop!$B:$B,$E110,Prod_Prop!$H:$H,M$1,Prod_Prop!$I:$I,"Exacto"),Prod_Prop!$A:$A,Prod_Prop!$J:$J,"",0,1))</f>
        <v/>
      </c>
      <c r="N110" s="4" t="str">
        <f t="array" ref="N110">IF($E110="","", XLOOKUP(SUMIFS(Prod_Prop!$A:$A,Prod_Prop!$B:$B,$E110,Prod_Prop!$H:$H,N$1,Prod_Prop!$I:$I,"Exacto"),Prod_Prop!$A:$A,Prod_Prop!$J:$J,"",0,1))</f>
        <v/>
      </c>
      <c r="O110" s="4" t="str">
        <f t="array" ref="O110">IF($E110="","", XLOOKUP(SUMIFS(Prod_Prop!$A:$A,Prod_Prop!$B:$B,$E110,Prod_Prop!$H:$H,O$1,Prod_Prop!$I:$I,"Exacto"),Prod_Prop!$A:$A,Prod_Prop!$J:$J,"",0,1))</f>
        <v/>
      </c>
      <c r="P110" s="4" t="str">
        <f t="array" ref="P110">IF($E110="","", XLOOKUP(SUMIFS(Prod_Prop!$A:$A,Prod_Prop!$B:$B,$E110,Prod_Prop!$H:$H,P$1,Prod_Prop!$I:$I,"Exacto"),Prod_Prop!$A:$A,Prod_Prop!$J:$J,"",0,1))</f>
        <v/>
      </c>
      <c r="Q110" s="4" t="str">
        <f t="array" ref="Q110">IF($E110="","", XLOOKUP(SUMIFS(Prod_Prop!$A:$A,Prod_Prop!$B:$B,$E110,Prod_Prop!$H:$H,Q$1,Prod_Prop!$I:$I,"Exacto"),Prod_Prop!$A:$A,Prod_Prop!$J:$J,"",0,1))</f>
        <v/>
      </c>
      <c r="R110" s="4" t="str">
        <f t="array" ref="R110">IF($E110="","", XLOOKUP(SUMIFS(Prod_Prop!$A:$A,Prod_Prop!$B:$B,$E110,Prod_Prop!$H:$H,R$1,Prod_Prop!$I:$I,"Exacto"),Prod_Prop!$A:$A,Prod_Prop!$J:$J,"",0,1))</f>
        <v/>
      </c>
      <c r="S110" s="4" t="str">
        <f t="array" ref="S110">IF($E110="","", XLOOKUP(SUMIFS(Prod_Prop!$A:$A,Prod_Prop!$B:$B,$E110,Prod_Prop!$H:$H,S$1,Prod_Prop!$I:$I,"Exacto"),Prod_Prop!$A:$A,Prod_Prop!$J:$J,"",0,1))</f>
        <v/>
      </c>
      <c r="T110" s="4" t="str">
        <f t="array" ref="T110">IF($E110="","", XLOOKUP(SUMIFS(Prod_Prop!$A:$A,Prod_Prop!$B:$B,$E110,Prod_Prop!$H:$H,T$1,Prod_Prop!$I:$I,"Exacto"),Prod_Prop!$A:$A,Prod_Prop!$J:$J,"",0,1))</f>
        <v/>
      </c>
      <c r="U110" s="4" t="str">
        <f t="array" ref="U110">IF($E110="","", XLOOKUP(SUMIFS(Prod_Prop!$A:$A,Prod_Prop!$B:$B,$E110,Prod_Prop!$H:$H,U$1,Prod_Prop!$I:$I,"Exacto"),Prod_Prop!$A:$A,Prod_Prop!$J:$J,"",0,1))</f>
        <v/>
      </c>
      <c r="V110" s="4" t="str">
        <f t="array" ref="V110">IF($E110="","", XLOOKUP(SUMIFS(Prod_Prop!$A:$A,Prod_Prop!$B:$B,$E110,Prod_Prop!$H:$H,V$1,Prod_Prop!$I:$I,"Exacto"),Prod_Prop!$A:$A,Prod_Prop!$J:$J,"",0,1))</f>
        <v/>
      </c>
      <c r="X110" s="3" t="str">
        <f>IFERROR(__xludf.DUMMYFUNCTION("IF(D110="""","""",IFERROR(TRANSPOSE(FILTER('Validaciones Cotizador'!U:U,'Validaciones Cotizador'!O:O=D110,'Validaciones Cotizador'!T:T=""x"")),""Finalizar""))"),"")</f>
        <v/>
      </c>
    </row>
    <row r="111">
      <c r="A111" s="2" t="str">
        <f t="array" ref="A111">IF(E111="","",XLOOKUP(D111,'Validaciones Cotizador'!C:C,'Validaciones Cotizador'!A:A,"",0,1))</f>
        <v/>
      </c>
      <c r="B111" s="2" t="str">
        <f t="array" ref="B111">IF(F111="","",XLOOKUP(F111,Productos!E:E,Productos!G:G,"",0,1))</f>
        <v/>
      </c>
      <c r="C111" s="2" t="str">
        <f>IF(A111="","",SUMIFS('Validaciones Cotizador'!B:B,'Validaciones Cotizador'!C:C,D111,'Validaciones Cotizador'!A:A,A111))</f>
        <v/>
      </c>
      <c r="D111" s="4" t="str">
        <f>IFERROR(__xludf.DUMMYFUNCTION("IF(OR(F110=""Finalizar"",F110="""",F110=""Selecciona..""),"""",IF(OR(F110=""-"",INDEX(filter(Familias!F:F,Familias!D:D=A110,Familias!E:E=C110),1)=""O""),D110+1,D110))"),"")</f>
        <v/>
      </c>
      <c r="E111" s="2" t="str">
        <f>IF(OR(F111="",F111="Selecciona.."),"",IF(D111="Implemento",SUMIF(Implementos!B:B,F111,Implementos!A:A),SUMIF(Productos!E:E,F111,Productos!A:A)))</f>
        <v/>
      </c>
      <c r="F111" s="2" t="str">
        <f t="shared" si="2"/>
        <v/>
      </c>
      <c r="G111" s="10" t="str">
        <f t="array" ref="G111">IF(OR(F111="",F111="-",F111="Selecciona..",F111="Finalizar"),"",IF(A111="Rodados",XLOOKUP(B111,'Validaciones Cotizador'!I:I,'Validaciones Cotizador'!J:J,0,0,1),1))</f>
        <v/>
      </c>
      <c r="H111" s="11" t="str">
        <f>IF(OR(F111="",F111="Selecciona.."),"",SUMIF(Precio_Productos!K:K,E111,Precio_Productos!J:J)*G111)</f>
        <v/>
      </c>
      <c r="I111" s="4" t="str">
        <f t="array" ref="I111">IF($E111="","", XLOOKUP(SUMIFS(Prod_Prop!$A:$A,Prod_Prop!$B:$B,$E111,Prod_Prop!$H:$H,I$1,Prod_Prop!$I:$I,"Exacto"),Prod_Prop!$A:$A,Prod_Prop!$J:$J,"",0,1))</f>
        <v/>
      </c>
      <c r="J111" s="4" t="str">
        <f t="array" ref="J111">IF($E111="","", XLOOKUP(SUMIFS(Prod_Prop!$A:$A,Prod_Prop!$B:$B,$E111,Prod_Prop!$H:$H,J$1,Prod_Prop!$I:$I,"Exacto"),Prod_Prop!$A:$A,Prod_Prop!$J:$J,"",0,1))</f>
        <v/>
      </c>
      <c r="K111" s="4" t="str">
        <f t="array" ref="K111">IF($E111="","", XLOOKUP(SUMIFS(Prod_Prop!$A:$A,Prod_Prop!$B:$B,$E111,Prod_Prop!$H:$H,K$1,Prod_Prop!$I:$I,"Exacto"),Prod_Prop!$A:$A,Prod_Prop!$J:$J,"",0,1))</f>
        <v/>
      </c>
      <c r="L111" s="4" t="str">
        <f t="array" ref="L111">IF($E111="","", XLOOKUP(SUMIFS(Prod_Prop!$A:$A,Prod_Prop!$B:$B,$E111,Prod_Prop!$H:$H,L$1,Prod_Prop!$I:$I,"Exacto"),Prod_Prop!$A:$A,Prod_Prop!$J:$J,"",0,1))</f>
        <v/>
      </c>
      <c r="M111" s="4" t="str">
        <f t="array" ref="M111">IF($E111="","", XLOOKUP(SUMIFS(Prod_Prop!$A:$A,Prod_Prop!$B:$B,$E111,Prod_Prop!$H:$H,M$1,Prod_Prop!$I:$I,"Exacto"),Prod_Prop!$A:$A,Prod_Prop!$J:$J,"",0,1))</f>
        <v/>
      </c>
      <c r="N111" s="4" t="str">
        <f t="array" ref="N111">IF($E111="","", XLOOKUP(SUMIFS(Prod_Prop!$A:$A,Prod_Prop!$B:$B,$E111,Prod_Prop!$H:$H,N$1,Prod_Prop!$I:$I,"Exacto"),Prod_Prop!$A:$A,Prod_Prop!$J:$J,"",0,1))</f>
        <v/>
      </c>
      <c r="O111" s="4" t="str">
        <f t="array" ref="O111">IF($E111="","", XLOOKUP(SUMIFS(Prod_Prop!$A:$A,Prod_Prop!$B:$B,$E111,Prod_Prop!$H:$H,O$1,Prod_Prop!$I:$I,"Exacto"),Prod_Prop!$A:$A,Prod_Prop!$J:$J,"",0,1))</f>
        <v/>
      </c>
      <c r="P111" s="4" t="str">
        <f t="array" ref="P111">IF($E111="","", XLOOKUP(SUMIFS(Prod_Prop!$A:$A,Prod_Prop!$B:$B,$E111,Prod_Prop!$H:$H,P$1,Prod_Prop!$I:$I,"Exacto"),Prod_Prop!$A:$A,Prod_Prop!$J:$J,"",0,1))</f>
        <v/>
      </c>
      <c r="Q111" s="4" t="str">
        <f t="array" ref="Q111">IF($E111="","", XLOOKUP(SUMIFS(Prod_Prop!$A:$A,Prod_Prop!$B:$B,$E111,Prod_Prop!$H:$H,Q$1,Prod_Prop!$I:$I,"Exacto"),Prod_Prop!$A:$A,Prod_Prop!$J:$J,"",0,1))</f>
        <v/>
      </c>
      <c r="R111" s="4" t="str">
        <f t="array" ref="R111">IF($E111="","", XLOOKUP(SUMIFS(Prod_Prop!$A:$A,Prod_Prop!$B:$B,$E111,Prod_Prop!$H:$H,R$1,Prod_Prop!$I:$I,"Exacto"),Prod_Prop!$A:$A,Prod_Prop!$J:$J,"",0,1))</f>
        <v/>
      </c>
      <c r="S111" s="4" t="str">
        <f t="array" ref="S111">IF($E111="","", XLOOKUP(SUMIFS(Prod_Prop!$A:$A,Prod_Prop!$B:$B,$E111,Prod_Prop!$H:$H,S$1,Prod_Prop!$I:$I,"Exacto"),Prod_Prop!$A:$A,Prod_Prop!$J:$J,"",0,1))</f>
        <v/>
      </c>
      <c r="T111" s="4" t="str">
        <f t="array" ref="T111">IF($E111="","", XLOOKUP(SUMIFS(Prod_Prop!$A:$A,Prod_Prop!$B:$B,$E111,Prod_Prop!$H:$H,T$1,Prod_Prop!$I:$I,"Exacto"),Prod_Prop!$A:$A,Prod_Prop!$J:$J,"",0,1))</f>
        <v/>
      </c>
      <c r="U111" s="4" t="str">
        <f t="array" ref="U111">IF($E111="","", XLOOKUP(SUMIFS(Prod_Prop!$A:$A,Prod_Prop!$B:$B,$E111,Prod_Prop!$H:$H,U$1,Prod_Prop!$I:$I,"Exacto"),Prod_Prop!$A:$A,Prod_Prop!$J:$J,"",0,1))</f>
        <v/>
      </c>
      <c r="V111" s="4" t="str">
        <f t="array" ref="V111">IF($E111="","", XLOOKUP(SUMIFS(Prod_Prop!$A:$A,Prod_Prop!$B:$B,$E111,Prod_Prop!$H:$H,V$1,Prod_Prop!$I:$I,"Exacto"),Prod_Prop!$A:$A,Prod_Prop!$J:$J,"",0,1))</f>
        <v/>
      </c>
      <c r="X111" s="3" t="str">
        <f>IFERROR(__xludf.DUMMYFUNCTION("IF(D111="""","""",IFERROR(TRANSPOSE(FILTER('Validaciones Cotizador'!U:U,'Validaciones Cotizador'!O:O=D111,'Validaciones Cotizador'!T:T=""x"")),""Finalizar""))"),"")</f>
        <v/>
      </c>
    </row>
    <row r="112">
      <c r="A112" s="2" t="str">
        <f t="array" ref="A112">IF(E112="","",XLOOKUP(D112,'Validaciones Cotizador'!C:C,'Validaciones Cotizador'!A:A,"",0,1))</f>
        <v/>
      </c>
      <c r="B112" s="2" t="str">
        <f t="array" ref="B112">IF(F112="","",XLOOKUP(F112,Productos!E:E,Productos!G:G,"",0,1))</f>
        <v/>
      </c>
      <c r="C112" s="2" t="str">
        <f>IF(A112="","",SUMIFS('Validaciones Cotizador'!B:B,'Validaciones Cotizador'!C:C,D112,'Validaciones Cotizador'!A:A,A112))</f>
        <v/>
      </c>
      <c r="D112" s="4" t="str">
        <f>IFERROR(__xludf.DUMMYFUNCTION("IF(OR(F111=""Finalizar"",F111="""",F111=""Selecciona..""),"""",IF(OR(F111=""-"",INDEX(filter(Familias!F:F,Familias!D:D=A111,Familias!E:E=C111),1)=""O""),D111+1,D111))"),"")</f>
        <v/>
      </c>
      <c r="E112" s="2" t="str">
        <f>IF(OR(F112="",F112="Selecciona.."),"",IF(D112="Implemento",SUMIF(Implementos!B:B,F112,Implementos!A:A),SUMIF(Productos!E:E,F112,Productos!A:A)))</f>
        <v/>
      </c>
      <c r="F112" s="2" t="str">
        <f t="shared" si="2"/>
        <v/>
      </c>
      <c r="G112" s="10" t="str">
        <f t="array" ref="G112">IF(OR(F112="",F112="-",F112="Selecciona..",F112="Finalizar"),"",IF(A112="Rodados",XLOOKUP(B112,'Validaciones Cotizador'!I:I,'Validaciones Cotizador'!J:J,0,0,1),1))</f>
        <v/>
      </c>
      <c r="H112" s="11" t="str">
        <f>IF(OR(F112="",F112="Selecciona.."),"",SUMIF(Precio_Productos!K:K,E112,Precio_Productos!J:J)*G112)</f>
        <v/>
      </c>
      <c r="I112" s="4" t="str">
        <f t="array" ref="I112">IF($E112="","", XLOOKUP(SUMIFS(Prod_Prop!$A:$A,Prod_Prop!$B:$B,$E112,Prod_Prop!$H:$H,I$1,Prod_Prop!$I:$I,"Exacto"),Prod_Prop!$A:$A,Prod_Prop!$J:$J,"",0,1))</f>
        <v/>
      </c>
      <c r="J112" s="4" t="str">
        <f t="array" ref="J112">IF($E112="","", XLOOKUP(SUMIFS(Prod_Prop!$A:$A,Prod_Prop!$B:$B,$E112,Prod_Prop!$H:$H,J$1,Prod_Prop!$I:$I,"Exacto"),Prod_Prop!$A:$A,Prod_Prop!$J:$J,"",0,1))</f>
        <v/>
      </c>
      <c r="K112" s="4" t="str">
        <f t="array" ref="K112">IF($E112="","", XLOOKUP(SUMIFS(Prod_Prop!$A:$A,Prod_Prop!$B:$B,$E112,Prod_Prop!$H:$H,K$1,Prod_Prop!$I:$I,"Exacto"),Prod_Prop!$A:$A,Prod_Prop!$J:$J,"",0,1))</f>
        <v/>
      </c>
      <c r="L112" s="4" t="str">
        <f t="array" ref="L112">IF($E112="","", XLOOKUP(SUMIFS(Prod_Prop!$A:$A,Prod_Prop!$B:$B,$E112,Prod_Prop!$H:$H,L$1,Prod_Prop!$I:$I,"Exacto"),Prod_Prop!$A:$A,Prod_Prop!$J:$J,"",0,1))</f>
        <v/>
      </c>
      <c r="M112" s="4" t="str">
        <f t="array" ref="M112">IF($E112="","", XLOOKUP(SUMIFS(Prod_Prop!$A:$A,Prod_Prop!$B:$B,$E112,Prod_Prop!$H:$H,M$1,Prod_Prop!$I:$I,"Exacto"),Prod_Prop!$A:$A,Prod_Prop!$J:$J,"",0,1))</f>
        <v/>
      </c>
      <c r="N112" s="4" t="str">
        <f t="array" ref="N112">IF($E112="","", XLOOKUP(SUMIFS(Prod_Prop!$A:$A,Prod_Prop!$B:$B,$E112,Prod_Prop!$H:$H,N$1,Prod_Prop!$I:$I,"Exacto"),Prod_Prop!$A:$A,Prod_Prop!$J:$J,"",0,1))</f>
        <v/>
      </c>
      <c r="O112" s="4" t="str">
        <f t="array" ref="O112">IF($E112="","", XLOOKUP(SUMIFS(Prod_Prop!$A:$A,Prod_Prop!$B:$B,$E112,Prod_Prop!$H:$H,O$1,Prod_Prop!$I:$I,"Exacto"),Prod_Prop!$A:$A,Prod_Prop!$J:$J,"",0,1))</f>
        <v/>
      </c>
      <c r="P112" s="4" t="str">
        <f t="array" ref="P112">IF($E112="","", XLOOKUP(SUMIFS(Prod_Prop!$A:$A,Prod_Prop!$B:$B,$E112,Prod_Prop!$H:$H,P$1,Prod_Prop!$I:$I,"Exacto"),Prod_Prop!$A:$A,Prod_Prop!$J:$J,"",0,1))</f>
        <v/>
      </c>
      <c r="Q112" s="4" t="str">
        <f t="array" ref="Q112">IF($E112="","", XLOOKUP(SUMIFS(Prod_Prop!$A:$A,Prod_Prop!$B:$B,$E112,Prod_Prop!$H:$H,Q$1,Prod_Prop!$I:$I,"Exacto"),Prod_Prop!$A:$A,Prod_Prop!$J:$J,"",0,1))</f>
        <v/>
      </c>
      <c r="R112" s="4" t="str">
        <f t="array" ref="R112">IF($E112="","", XLOOKUP(SUMIFS(Prod_Prop!$A:$A,Prod_Prop!$B:$B,$E112,Prod_Prop!$H:$H,R$1,Prod_Prop!$I:$I,"Exacto"),Prod_Prop!$A:$A,Prod_Prop!$J:$J,"",0,1))</f>
        <v/>
      </c>
      <c r="S112" s="4" t="str">
        <f t="array" ref="S112">IF($E112="","", XLOOKUP(SUMIFS(Prod_Prop!$A:$A,Prod_Prop!$B:$B,$E112,Prod_Prop!$H:$H,S$1,Prod_Prop!$I:$I,"Exacto"),Prod_Prop!$A:$A,Prod_Prop!$J:$J,"",0,1))</f>
        <v/>
      </c>
      <c r="T112" s="4" t="str">
        <f t="array" ref="T112">IF($E112="","", XLOOKUP(SUMIFS(Prod_Prop!$A:$A,Prod_Prop!$B:$B,$E112,Prod_Prop!$H:$H,T$1,Prod_Prop!$I:$I,"Exacto"),Prod_Prop!$A:$A,Prod_Prop!$J:$J,"",0,1))</f>
        <v/>
      </c>
      <c r="U112" s="4" t="str">
        <f t="array" ref="U112">IF($E112="","", XLOOKUP(SUMIFS(Prod_Prop!$A:$A,Prod_Prop!$B:$B,$E112,Prod_Prop!$H:$H,U$1,Prod_Prop!$I:$I,"Exacto"),Prod_Prop!$A:$A,Prod_Prop!$J:$J,"",0,1))</f>
        <v/>
      </c>
      <c r="V112" s="4" t="str">
        <f t="array" ref="V112">IF($E112="","", XLOOKUP(SUMIFS(Prod_Prop!$A:$A,Prod_Prop!$B:$B,$E112,Prod_Prop!$H:$H,V$1,Prod_Prop!$I:$I,"Exacto"),Prod_Prop!$A:$A,Prod_Prop!$J:$J,"",0,1))</f>
        <v/>
      </c>
      <c r="X112" s="3" t="str">
        <f>IFERROR(__xludf.DUMMYFUNCTION("IF(D112="""","""",IFERROR(TRANSPOSE(FILTER('Validaciones Cotizador'!U:U,'Validaciones Cotizador'!O:O=D112,'Validaciones Cotizador'!T:T=""x"")),""Finalizar""))"),"")</f>
        <v/>
      </c>
    </row>
    <row r="113">
      <c r="A113" s="2" t="str">
        <f t="array" ref="A113">IF(E113="","",XLOOKUP(D113,'Validaciones Cotizador'!C:C,'Validaciones Cotizador'!A:A,"",0,1))</f>
        <v/>
      </c>
      <c r="B113" s="2" t="str">
        <f t="array" ref="B113">IF(F113="","",XLOOKUP(F113,Productos!E:E,Productos!G:G,"",0,1))</f>
        <v/>
      </c>
      <c r="C113" s="2" t="str">
        <f>IF(A113="","",SUMIFS('Validaciones Cotizador'!B:B,'Validaciones Cotizador'!C:C,D113,'Validaciones Cotizador'!A:A,A113))</f>
        <v/>
      </c>
      <c r="D113" s="4" t="str">
        <f>IFERROR(__xludf.DUMMYFUNCTION("IF(OR(F112=""Finalizar"",F112="""",F112=""Selecciona..""),"""",IF(OR(F112=""-"",INDEX(filter(Familias!F:F,Familias!D:D=A112,Familias!E:E=C112),1)=""O""),D112+1,D112))"),"")</f>
        <v/>
      </c>
      <c r="E113" s="2" t="str">
        <f>IF(OR(F113="",F113="Selecciona.."),"",IF(D113="Implemento",SUMIF(Implementos!B:B,F113,Implementos!A:A),SUMIF(Productos!E:E,F113,Productos!A:A)))</f>
        <v/>
      </c>
      <c r="F113" s="2" t="str">
        <f t="shared" si="2"/>
        <v/>
      </c>
      <c r="G113" s="10" t="str">
        <f t="array" ref="G113">IF(OR(F113="",F113="-",F113="Selecciona..",F113="Finalizar"),"",IF(A113="Rodados",XLOOKUP(B113,'Validaciones Cotizador'!I:I,'Validaciones Cotizador'!J:J,0,0,1),1))</f>
        <v/>
      </c>
      <c r="H113" s="11" t="str">
        <f>IF(OR(F113="",F113="Selecciona.."),"",SUMIF(Precio_Productos!K:K,E113,Precio_Productos!J:J)*G113)</f>
        <v/>
      </c>
      <c r="I113" s="4" t="str">
        <f t="array" ref="I113">IF($E113="","", XLOOKUP(SUMIFS(Prod_Prop!$A:$A,Prod_Prop!$B:$B,$E113,Prod_Prop!$H:$H,I$1,Prod_Prop!$I:$I,"Exacto"),Prod_Prop!$A:$A,Prod_Prop!$J:$J,"",0,1))</f>
        <v/>
      </c>
      <c r="J113" s="4" t="str">
        <f t="array" ref="J113">IF($E113="","", XLOOKUP(SUMIFS(Prod_Prop!$A:$A,Prod_Prop!$B:$B,$E113,Prod_Prop!$H:$H,J$1,Prod_Prop!$I:$I,"Exacto"),Prod_Prop!$A:$A,Prod_Prop!$J:$J,"",0,1))</f>
        <v/>
      </c>
      <c r="K113" s="4" t="str">
        <f t="array" ref="K113">IF($E113="","", XLOOKUP(SUMIFS(Prod_Prop!$A:$A,Prod_Prop!$B:$B,$E113,Prod_Prop!$H:$H,K$1,Prod_Prop!$I:$I,"Exacto"),Prod_Prop!$A:$A,Prod_Prop!$J:$J,"",0,1))</f>
        <v/>
      </c>
      <c r="L113" s="4" t="str">
        <f t="array" ref="L113">IF($E113="","", XLOOKUP(SUMIFS(Prod_Prop!$A:$A,Prod_Prop!$B:$B,$E113,Prod_Prop!$H:$H,L$1,Prod_Prop!$I:$I,"Exacto"),Prod_Prop!$A:$A,Prod_Prop!$J:$J,"",0,1))</f>
        <v/>
      </c>
      <c r="M113" s="4" t="str">
        <f t="array" ref="M113">IF($E113="","", XLOOKUP(SUMIFS(Prod_Prop!$A:$A,Prod_Prop!$B:$B,$E113,Prod_Prop!$H:$H,M$1,Prod_Prop!$I:$I,"Exacto"),Prod_Prop!$A:$A,Prod_Prop!$J:$J,"",0,1))</f>
        <v/>
      </c>
      <c r="N113" s="4" t="str">
        <f t="array" ref="N113">IF($E113="","", XLOOKUP(SUMIFS(Prod_Prop!$A:$A,Prod_Prop!$B:$B,$E113,Prod_Prop!$H:$H,N$1,Prod_Prop!$I:$I,"Exacto"),Prod_Prop!$A:$A,Prod_Prop!$J:$J,"",0,1))</f>
        <v/>
      </c>
      <c r="O113" s="4" t="str">
        <f t="array" ref="O113">IF($E113="","", XLOOKUP(SUMIFS(Prod_Prop!$A:$A,Prod_Prop!$B:$B,$E113,Prod_Prop!$H:$H,O$1,Prod_Prop!$I:$I,"Exacto"),Prod_Prop!$A:$A,Prod_Prop!$J:$J,"",0,1))</f>
        <v/>
      </c>
      <c r="P113" s="4" t="str">
        <f t="array" ref="P113">IF($E113="","", XLOOKUP(SUMIFS(Prod_Prop!$A:$A,Prod_Prop!$B:$B,$E113,Prod_Prop!$H:$H,P$1,Prod_Prop!$I:$I,"Exacto"),Prod_Prop!$A:$A,Prod_Prop!$J:$J,"",0,1))</f>
        <v/>
      </c>
      <c r="Q113" s="4" t="str">
        <f t="array" ref="Q113">IF($E113="","", XLOOKUP(SUMIFS(Prod_Prop!$A:$A,Prod_Prop!$B:$B,$E113,Prod_Prop!$H:$H,Q$1,Prod_Prop!$I:$I,"Exacto"),Prod_Prop!$A:$A,Prod_Prop!$J:$J,"",0,1))</f>
        <v/>
      </c>
      <c r="R113" s="4" t="str">
        <f t="array" ref="R113">IF($E113="","", XLOOKUP(SUMIFS(Prod_Prop!$A:$A,Prod_Prop!$B:$B,$E113,Prod_Prop!$H:$H,R$1,Prod_Prop!$I:$I,"Exacto"),Prod_Prop!$A:$A,Prod_Prop!$J:$J,"",0,1))</f>
        <v/>
      </c>
      <c r="S113" s="4" t="str">
        <f t="array" ref="S113">IF($E113="","", XLOOKUP(SUMIFS(Prod_Prop!$A:$A,Prod_Prop!$B:$B,$E113,Prod_Prop!$H:$H,S$1,Prod_Prop!$I:$I,"Exacto"),Prod_Prop!$A:$A,Prod_Prop!$J:$J,"",0,1))</f>
        <v/>
      </c>
      <c r="T113" s="4" t="str">
        <f t="array" ref="T113">IF($E113="","", XLOOKUP(SUMIFS(Prod_Prop!$A:$A,Prod_Prop!$B:$B,$E113,Prod_Prop!$H:$H,T$1,Prod_Prop!$I:$I,"Exacto"),Prod_Prop!$A:$A,Prod_Prop!$J:$J,"",0,1))</f>
        <v/>
      </c>
      <c r="U113" s="4" t="str">
        <f t="array" ref="U113">IF($E113="","", XLOOKUP(SUMIFS(Prod_Prop!$A:$A,Prod_Prop!$B:$B,$E113,Prod_Prop!$H:$H,U$1,Prod_Prop!$I:$I,"Exacto"),Prod_Prop!$A:$A,Prod_Prop!$J:$J,"",0,1))</f>
        <v/>
      </c>
      <c r="V113" s="4" t="str">
        <f t="array" ref="V113">IF($E113="","", XLOOKUP(SUMIFS(Prod_Prop!$A:$A,Prod_Prop!$B:$B,$E113,Prod_Prop!$H:$H,V$1,Prod_Prop!$I:$I,"Exacto"),Prod_Prop!$A:$A,Prod_Prop!$J:$J,"",0,1))</f>
        <v/>
      </c>
      <c r="X113" s="3" t="str">
        <f>IFERROR(__xludf.DUMMYFUNCTION("IF(D113="""","""",IFERROR(TRANSPOSE(FILTER('Validaciones Cotizador'!U:U,'Validaciones Cotizador'!O:O=D113,'Validaciones Cotizador'!T:T=""x"")),""Finalizar""))"),"")</f>
        <v/>
      </c>
    </row>
    <row r="114">
      <c r="A114" s="2" t="str">
        <f t="array" ref="A114">IF(E114="","",XLOOKUP(D114,'Validaciones Cotizador'!C:C,'Validaciones Cotizador'!A:A,"",0,1))</f>
        <v/>
      </c>
      <c r="B114" s="2" t="str">
        <f t="array" ref="B114">IF(F114="","",XLOOKUP(F114,Productos!E:E,Productos!G:G,"",0,1))</f>
        <v/>
      </c>
      <c r="C114" s="2" t="str">
        <f>IF(A114="","",SUMIFS('Validaciones Cotizador'!B:B,'Validaciones Cotizador'!C:C,D114,'Validaciones Cotizador'!A:A,A114))</f>
        <v/>
      </c>
      <c r="D114" s="4" t="str">
        <f>IFERROR(__xludf.DUMMYFUNCTION("IF(OR(F113=""Finalizar"",F113="""",F113=""Selecciona..""),"""",IF(OR(F113=""-"",INDEX(filter(Familias!F:F,Familias!D:D=A113,Familias!E:E=C113),1)=""O""),D113+1,D113))"),"")</f>
        <v/>
      </c>
      <c r="E114" s="2" t="str">
        <f>IF(OR(F114="",F114="Selecciona.."),"",IF(D114="Implemento",SUMIF(Implementos!B:B,F114,Implementos!A:A),SUMIF(Productos!E:E,F114,Productos!A:A)))</f>
        <v/>
      </c>
      <c r="F114" s="2" t="str">
        <f t="shared" si="2"/>
        <v/>
      </c>
      <c r="G114" s="10" t="str">
        <f t="array" ref="G114">IF(OR(F114="",F114="-",F114="Selecciona..",F114="Finalizar"),"",IF(A114="Rodados",XLOOKUP(B114,'Validaciones Cotizador'!I:I,'Validaciones Cotizador'!J:J,0,0,1),1))</f>
        <v/>
      </c>
      <c r="H114" s="11" t="str">
        <f>IF(OR(F114="",F114="Selecciona.."),"",SUMIF(Precio_Productos!K:K,E114,Precio_Productos!J:J)*G114)</f>
        <v/>
      </c>
      <c r="I114" s="4" t="str">
        <f t="array" ref="I114">IF($E114="","", XLOOKUP(SUMIFS(Prod_Prop!$A:$A,Prod_Prop!$B:$B,$E114,Prod_Prop!$H:$H,I$1,Prod_Prop!$I:$I,"Exacto"),Prod_Prop!$A:$A,Prod_Prop!$J:$J,"",0,1))</f>
        <v/>
      </c>
      <c r="J114" s="4" t="str">
        <f t="array" ref="J114">IF($E114="","", XLOOKUP(SUMIFS(Prod_Prop!$A:$A,Prod_Prop!$B:$B,$E114,Prod_Prop!$H:$H,J$1,Prod_Prop!$I:$I,"Exacto"),Prod_Prop!$A:$A,Prod_Prop!$J:$J,"",0,1))</f>
        <v/>
      </c>
      <c r="K114" s="4" t="str">
        <f t="array" ref="K114">IF($E114="","", XLOOKUP(SUMIFS(Prod_Prop!$A:$A,Prod_Prop!$B:$B,$E114,Prod_Prop!$H:$H,K$1,Prod_Prop!$I:$I,"Exacto"),Prod_Prop!$A:$A,Prod_Prop!$J:$J,"",0,1))</f>
        <v/>
      </c>
      <c r="L114" s="4" t="str">
        <f t="array" ref="L114">IF($E114="","", XLOOKUP(SUMIFS(Prod_Prop!$A:$A,Prod_Prop!$B:$B,$E114,Prod_Prop!$H:$H,L$1,Prod_Prop!$I:$I,"Exacto"),Prod_Prop!$A:$A,Prod_Prop!$J:$J,"",0,1))</f>
        <v/>
      </c>
      <c r="M114" s="4" t="str">
        <f t="array" ref="M114">IF($E114="","", XLOOKUP(SUMIFS(Prod_Prop!$A:$A,Prod_Prop!$B:$B,$E114,Prod_Prop!$H:$H,M$1,Prod_Prop!$I:$I,"Exacto"),Prod_Prop!$A:$A,Prod_Prop!$J:$J,"",0,1))</f>
        <v/>
      </c>
      <c r="N114" s="4" t="str">
        <f t="array" ref="N114">IF($E114="","", XLOOKUP(SUMIFS(Prod_Prop!$A:$A,Prod_Prop!$B:$B,$E114,Prod_Prop!$H:$H,N$1,Prod_Prop!$I:$I,"Exacto"),Prod_Prop!$A:$A,Prod_Prop!$J:$J,"",0,1))</f>
        <v/>
      </c>
      <c r="O114" s="4" t="str">
        <f t="array" ref="O114">IF($E114="","", XLOOKUP(SUMIFS(Prod_Prop!$A:$A,Prod_Prop!$B:$B,$E114,Prod_Prop!$H:$H,O$1,Prod_Prop!$I:$I,"Exacto"),Prod_Prop!$A:$A,Prod_Prop!$J:$J,"",0,1))</f>
        <v/>
      </c>
      <c r="P114" s="4" t="str">
        <f t="array" ref="P114">IF($E114="","", XLOOKUP(SUMIFS(Prod_Prop!$A:$A,Prod_Prop!$B:$B,$E114,Prod_Prop!$H:$H,P$1,Prod_Prop!$I:$I,"Exacto"),Prod_Prop!$A:$A,Prod_Prop!$J:$J,"",0,1))</f>
        <v/>
      </c>
      <c r="Q114" s="4" t="str">
        <f t="array" ref="Q114">IF($E114="","", XLOOKUP(SUMIFS(Prod_Prop!$A:$A,Prod_Prop!$B:$B,$E114,Prod_Prop!$H:$H,Q$1,Prod_Prop!$I:$I,"Exacto"),Prod_Prop!$A:$A,Prod_Prop!$J:$J,"",0,1))</f>
        <v/>
      </c>
      <c r="R114" s="4" t="str">
        <f t="array" ref="R114">IF($E114="","", XLOOKUP(SUMIFS(Prod_Prop!$A:$A,Prod_Prop!$B:$B,$E114,Prod_Prop!$H:$H,R$1,Prod_Prop!$I:$I,"Exacto"),Prod_Prop!$A:$A,Prod_Prop!$J:$J,"",0,1))</f>
        <v/>
      </c>
      <c r="S114" s="4" t="str">
        <f t="array" ref="S114">IF($E114="","", XLOOKUP(SUMIFS(Prod_Prop!$A:$A,Prod_Prop!$B:$B,$E114,Prod_Prop!$H:$H,S$1,Prod_Prop!$I:$I,"Exacto"),Prod_Prop!$A:$A,Prod_Prop!$J:$J,"",0,1))</f>
        <v/>
      </c>
      <c r="T114" s="4" t="str">
        <f t="array" ref="T114">IF($E114="","", XLOOKUP(SUMIFS(Prod_Prop!$A:$A,Prod_Prop!$B:$B,$E114,Prod_Prop!$H:$H,T$1,Prod_Prop!$I:$I,"Exacto"),Prod_Prop!$A:$A,Prod_Prop!$J:$J,"",0,1))</f>
        <v/>
      </c>
      <c r="U114" s="4" t="str">
        <f t="array" ref="U114">IF($E114="","", XLOOKUP(SUMIFS(Prod_Prop!$A:$A,Prod_Prop!$B:$B,$E114,Prod_Prop!$H:$H,U$1,Prod_Prop!$I:$I,"Exacto"),Prod_Prop!$A:$A,Prod_Prop!$J:$J,"",0,1))</f>
        <v/>
      </c>
      <c r="V114" s="4" t="str">
        <f t="array" ref="V114">IF($E114="","", XLOOKUP(SUMIFS(Prod_Prop!$A:$A,Prod_Prop!$B:$B,$E114,Prod_Prop!$H:$H,V$1,Prod_Prop!$I:$I,"Exacto"),Prod_Prop!$A:$A,Prod_Prop!$J:$J,"",0,1))</f>
        <v/>
      </c>
      <c r="X114" s="3" t="str">
        <f>IFERROR(__xludf.DUMMYFUNCTION("IF(D114="""","""",IFERROR(TRANSPOSE(FILTER('Validaciones Cotizador'!U:U,'Validaciones Cotizador'!O:O=D114,'Validaciones Cotizador'!T:T=""x"")),""Finalizar""))"),"")</f>
        <v/>
      </c>
    </row>
    <row r="115">
      <c r="A115" s="2" t="str">
        <f t="array" ref="A115">IF(E115="","",XLOOKUP(D115,'Validaciones Cotizador'!C:C,'Validaciones Cotizador'!A:A,"",0,1))</f>
        <v/>
      </c>
      <c r="B115" s="2" t="str">
        <f t="array" ref="B115">IF(F115="","",XLOOKUP(F115,Productos!E:E,Productos!G:G,"",0,1))</f>
        <v/>
      </c>
      <c r="C115" s="2" t="str">
        <f>IF(A115="","",SUMIFS('Validaciones Cotizador'!B:B,'Validaciones Cotizador'!C:C,D115,'Validaciones Cotizador'!A:A,A115))</f>
        <v/>
      </c>
      <c r="D115" s="4" t="str">
        <f>IFERROR(__xludf.DUMMYFUNCTION("IF(OR(F114=""Finalizar"",F114="""",F114=""Selecciona..""),"""",IF(OR(F114=""-"",INDEX(filter(Familias!F:F,Familias!D:D=A114,Familias!E:E=C114),1)=""O""),D114+1,D114))"),"")</f>
        <v/>
      </c>
      <c r="E115" s="2" t="str">
        <f>IF(OR(F115="",F115="Selecciona.."),"",IF(D115="Implemento",SUMIF(Implementos!B:B,F115,Implementos!A:A),SUMIF(Productos!E:E,F115,Productos!A:A)))</f>
        <v/>
      </c>
      <c r="F115" s="2" t="str">
        <f t="shared" si="2"/>
        <v/>
      </c>
      <c r="G115" s="10" t="str">
        <f t="array" ref="G115">IF(OR(F115="",F115="-",F115="Selecciona..",F115="Finalizar"),"",IF(A115="Rodados",XLOOKUP(B115,'Validaciones Cotizador'!I:I,'Validaciones Cotizador'!J:J,0,0,1),1))</f>
        <v/>
      </c>
      <c r="H115" s="11" t="str">
        <f>IF(OR(F115="",F115="Selecciona.."),"",SUMIF(Precio_Productos!K:K,E115,Precio_Productos!J:J)*G115)</f>
        <v/>
      </c>
      <c r="I115" s="4" t="str">
        <f t="array" ref="I115">IF($E115="","", XLOOKUP(SUMIFS(Prod_Prop!$A:$A,Prod_Prop!$B:$B,$E115,Prod_Prop!$H:$H,I$1,Prod_Prop!$I:$I,"Exacto"),Prod_Prop!$A:$A,Prod_Prop!$J:$J,"",0,1))</f>
        <v/>
      </c>
      <c r="J115" s="4" t="str">
        <f t="array" ref="J115">IF($E115="","", XLOOKUP(SUMIFS(Prod_Prop!$A:$A,Prod_Prop!$B:$B,$E115,Prod_Prop!$H:$H,J$1,Prod_Prop!$I:$I,"Exacto"),Prod_Prop!$A:$A,Prod_Prop!$J:$J,"",0,1))</f>
        <v/>
      </c>
      <c r="K115" s="4" t="str">
        <f t="array" ref="K115">IF($E115="","", XLOOKUP(SUMIFS(Prod_Prop!$A:$A,Prod_Prop!$B:$B,$E115,Prod_Prop!$H:$H,K$1,Prod_Prop!$I:$I,"Exacto"),Prod_Prop!$A:$A,Prod_Prop!$J:$J,"",0,1))</f>
        <v/>
      </c>
      <c r="L115" s="4" t="str">
        <f t="array" ref="L115">IF($E115="","", XLOOKUP(SUMIFS(Prod_Prop!$A:$A,Prod_Prop!$B:$B,$E115,Prod_Prop!$H:$H,L$1,Prod_Prop!$I:$I,"Exacto"),Prod_Prop!$A:$A,Prod_Prop!$J:$J,"",0,1))</f>
        <v/>
      </c>
      <c r="M115" s="4" t="str">
        <f t="array" ref="M115">IF($E115="","", XLOOKUP(SUMIFS(Prod_Prop!$A:$A,Prod_Prop!$B:$B,$E115,Prod_Prop!$H:$H,M$1,Prod_Prop!$I:$I,"Exacto"),Prod_Prop!$A:$A,Prod_Prop!$J:$J,"",0,1))</f>
        <v/>
      </c>
      <c r="N115" s="4" t="str">
        <f t="array" ref="N115">IF($E115="","", XLOOKUP(SUMIFS(Prod_Prop!$A:$A,Prod_Prop!$B:$B,$E115,Prod_Prop!$H:$H,N$1,Prod_Prop!$I:$I,"Exacto"),Prod_Prop!$A:$A,Prod_Prop!$J:$J,"",0,1))</f>
        <v/>
      </c>
      <c r="O115" s="4" t="str">
        <f t="array" ref="O115">IF($E115="","", XLOOKUP(SUMIFS(Prod_Prop!$A:$A,Prod_Prop!$B:$B,$E115,Prod_Prop!$H:$H,O$1,Prod_Prop!$I:$I,"Exacto"),Prod_Prop!$A:$A,Prod_Prop!$J:$J,"",0,1))</f>
        <v/>
      </c>
      <c r="P115" s="4" t="str">
        <f t="array" ref="P115">IF($E115="","", XLOOKUP(SUMIFS(Prod_Prop!$A:$A,Prod_Prop!$B:$B,$E115,Prod_Prop!$H:$H,P$1,Prod_Prop!$I:$I,"Exacto"),Prod_Prop!$A:$A,Prod_Prop!$J:$J,"",0,1))</f>
        <v/>
      </c>
      <c r="Q115" s="4" t="str">
        <f t="array" ref="Q115">IF($E115="","", XLOOKUP(SUMIFS(Prod_Prop!$A:$A,Prod_Prop!$B:$B,$E115,Prod_Prop!$H:$H,Q$1,Prod_Prop!$I:$I,"Exacto"),Prod_Prop!$A:$A,Prod_Prop!$J:$J,"",0,1))</f>
        <v/>
      </c>
      <c r="R115" s="4" t="str">
        <f t="array" ref="R115">IF($E115="","", XLOOKUP(SUMIFS(Prod_Prop!$A:$A,Prod_Prop!$B:$B,$E115,Prod_Prop!$H:$H,R$1,Prod_Prop!$I:$I,"Exacto"),Prod_Prop!$A:$A,Prod_Prop!$J:$J,"",0,1))</f>
        <v/>
      </c>
      <c r="S115" s="4" t="str">
        <f t="array" ref="S115">IF($E115="","", XLOOKUP(SUMIFS(Prod_Prop!$A:$A,Prod_Prop!$B:$B,$E115,Prod_Prop!$H:$H,S$1,Prod_Prop!$I:$I,"Exacto"),Prod_Prop!$A:$A,Prod_Prop!$J:$J,"",0,1))</f>
        <v/>
      </c>
      <c r="T115" s="4" t="str">
        <f t="array" ref="T115">IF($E115="","", XLOOKUP(SUMIFS(Prod_Prop!$A:$A,Prod_Prop!$B:$B,$E115,Prod_Prop!$H:$H,T$1,Prod_Prop!$I:$I,"Exacto"),Prod_Prop!$A:$A,Prod_Prop!$J:$J,"",0,1))</f>
        <v/>
      </c>
      <c r="U115" s="4" t="str">
        <f t="array" ref="U115">IF($E115="","", XLOOKUP(SUMIFS(Prod_Prop!$A:$A,Prod_Prop!$B:$B,$E115,Prod_Prop!$H:$H,U$1,Prod_Prop!$I:$I,"Exacto"),Prod_Prop!$A:$A,Prod_Prop!$J:$J,"",0,1))</f>
        <v/>
      </c>
      <c r="V115" s="4" t="str">
        <f t="array" ref="V115">IF($E115="","", XLOOKUP(SUMIFS(Prod_Prop!$A:$A,Prod_Prop!$B:$B,$E115,Prod_Prop!$H:$H,V$1,Prod_Prop!$I:$I,"Exacto"),Prod_Prop!$A:$A,Prod_Prop!$J:$J,"",0,1))</f>
        <v/>
      </c>
      <c r="X115" s="3" t="str">
        <f>IFERROR(__xludf.DUMMYFUNCTION("IF(D115="""","""",IFERROR(TRANSPOSE(FILTER('Validaciones Cotizador'!U:U,'Validaciones Cotizador'!O:O=D115,'Validaciones Cotizador'!T:T=""x"")),""Finalizar""))"),"")</f>
        <v/>
      </c>
    </row>
    <row r="116">
      <c r="A116" s="2" t="str">
        <f t="array" ref="A116">IF(E116="","",XLOOKUP(D116,'Validaciones Cotizador'!C:C,'Validaciones Cotizador'!A:A,"",0,1))</f>
        <v/>
      </c>
      <c r="B116" s="2" t="str">
        <f t="array" ref="B116">IF(F116="","",XLOOKUP(F116,Productos!E:E,Productos!G:G,"",0,1))</f>
        <v/>
      </c>
      <c r="C116" s="2" t="str">
        <f>IF(A116="","",SUMIFS('Validaciones Cotizador'!B:B,'Validaciones Cotizador'!C:C,D116,'Validaciones Cotizador'!A:A,A116))</f>
        <v/>
      </c>
      <c r="D116" s="4" t="str">
        <f>IFERROR(__xludf.DUMMYFUNCTION("IF(OR(F115=""Finalizar"",F115="""",F115=""Selecciona..""),"""",IF(OR(F115=""-"",INDEX(filter(Familias!F:F,Familias!D:D=A115,Familias!E:E=C115),1)=""O""),D115+1,D115))"),"")</f>
        <v/>
      </c>
      <c r="E116" s="2" t="str">
        <f>IF(OR(F116="",F116="Selecciona.."),"",IF(D116="Implemento",SUMIF(Implementos!B:B,F116,Implementos!A:A),SUMIF(Productos!E:E,F116,Productos!A:A)))</f>
        <v/>
      </c>
      <c r="F116" s="2" t="str">
        <f t="shared" si="2"/>
        <v/>
      </c>
      <c r="G116" s="10" t="str">
        <f t="array" ref="G116">IF(OR(F116="",F116="-",F116="Selecciona..",F116="Finalizar"),"",IF(A116="Rodados",XLOOKUP(B116,'Validaciones Cotizador'!I:I,'Validaciones Cotizador'!J:J,0,0,1),1))</f>
        <v/>
      </c>
      <c r="H116" s="11" t="str">
        <f>IF(OR(F116="",F116="Selecciona.."),"",SUMIF(Precio_Productos!K:K,E116,Precio_Productos!J:J)*G116)</f>
        <v/>
      </c>
      <c r="I116" s="4" t="str">
        <f t="array" ref="I116">IF($E116="","", XLOOKUP(SUMIFS(Prod_Prop!$A:$A,Prod_Prop!$B:$B,$E116,Prod_Prop!$H:$H,I$1,Prod_Prop!$I:$I,"Exacto"),Prod_Prop!$A:$A,Prod_Prop!$J:$J,"",0,1))</f>
        <v/>
      </c>
      <c r="J116" s="4" t="str">
        <f t="array" ref="J116">IF($E116="","", XLOOKUP(SUMIFS(Prod_Prop!$A:$A,Prod_Prop!$B:$B,$E116,Prod_Prop!$H:$H,J$1,Prod_Prop!$I:$I,"Exacto"),Prod_Prop!$A:$A,Prod_Prop!$J:$J,"",0,1))</f>
        <v/>
      </c>
      <c r="K116" s="4" t="str">
        <f t="array" ref="K116">IF($E116="","", XLOOKUP(SUMIFS(Prod_Prop!$A:$A,Prod_Prop!$B:$B,$E116,Prod_Prop!$H:$H,K$1,Prod_Prop!$I:$I,"Exacto"),Prod_Prop!$A:$A,Prod_Prop!$J:$J,"",0,1))</f>
        <v/>
      </c>
      <c r="L116" s="4" t="str">
        <f t="array" ref="L116">IF($E116="","", XLOOKUP(SUMIFS(Prod_Prop!$A:$A,Prod_Prop!$B:$B,$E116,Prod_Prop!$H:$H,L$1,Prod_Prop!$I:$I,"Exacto"),Prod_Prop!$A:$A,Prod_Prop!$J:$J,"",0,1))</f>
        <v/>
      </c>
      <c r="M116" s="4" t="str">
        <f t="array" ref="M116">IF($E116="","", XLOOKUP(SUMIFS(Prod_Prop!$A:$A,Prod_Prop!$B:$B,$E116,Prod_Prop!$H:$H,M$1,Prod_Prop!$I:$I,"Exacto"),Prod_Prop!$A:$A,Prod_Prop!$J:$J,"",0,1))</f>
        <v/>
      </c>
      <c r="N116" s="4" t="str">
        <f t="array" ref="N116">IF($E116="","", XLOOKUP(SUMIFS(Prod_Prop!$A:$A,Prod_Prop!$B:$B,$E116,Prod_Prop!$H:$H,N$1,Prod_Prop!$I:$I,"Exacto"),Prod_Prop!$A:$A,Prod_Prop!$J:$J,"",0,1))</f>
        <v/>
      </c>
      <c r="O116" s="4" t="str">
        <f t="array" ref="O116">IF($E116="","", XLOOKUP(SUMIFS(Prod_Prop!$A:$A,Prod_Prop!$B:$B,$E116,Prod_Prop!$H:$H,O$1,Prod_Prop!$I:$I,"Exacto"),Prod_Prop!$A:$A,Prod_Prop!$J:$J,"",0,1))</f>
        <v/>
      </c>
      <c r="P116" s="4" t="str">
        <f t="array" ref="P116">IF($E116="","", XLOOKUP(SUMIFS(Prod_Prop!$A:$A,Prod_Prop!$B:$B,$E116,Prod_Prop!$H:$H,P$1,Prod_Prop!$I:$I,"Exacto"),Prod_Prop!$A:$A,Prod_Prop!$J:$J,"",0,1))</f>
        <v/>
      </c>
      <c r="Q116" s="4" t="str">
        <f t="array" ref="Q116">IF($E116="","", XLOOKUP(SUMIFS(Prod_Prop!$A:$A,Prod_Prop!$B:$B,$E116,Prod_Prop!$H:$H,Q$1,Prod_Prop!$I:$I,"Exacto"),Prod_Prop!$A:$A,Prod_Prop!$J:$J,"",0,1))</f>
        <v/>
      </c>
      <c r="R116" s="4" t="str">
        <f t="array" ref="R116">IF($E116="","", XLOOKUP(SUMIFS(Prod_Prop!$A:$A,Prod_Prop!$B:$B,$E116,Prod_Prop!$H:$H,R$1,Prod_Prop!$I:$I,"Exacto"),Prod_Prop!$A:$A,Prod_Prop!$J:$J,"",0,1))</f>
        <v/>
      </c>
      <c r="S116" s="4" t="str">
        <f t="array" ref="S116">IF($E116="","", XLOOKUP(SUMIFS(Prod_Prop!$A:$A,Prod_Prop!$B:$B,$E116,Prod_Prop!$H:$H,S$1,Prod_Prop!$I:$I,"Exacto"),Prod_Prop!$A:$A,Prod_Prop!$J:$J,"",0,1))</f>
        <v/>
      </c>
      <c r="T116" s="4" t="str">
        <f t="array" ref="T116">IF($E116="","", XLOOKUP(SUMIFS(Prod_Prop!$A:$A,Prod_Prop!$B:$B,$E116,Prod_Prop!$H:$H,T$1,Prod_Prop!$I:$I,"Exacto"),Prod_Prop!$A:$A,Prod_Prop!$J:$J,"",0,1))</f>
        <v/>
      </c>
      <c r="U116" s="4" t="str">
        <f t="array" ref="U116">IF($E116="","", XLOOKUP(SUMIFS(Prod_Prop!$A:$A,Prod_Prop!$B:$B,$E116,Prod_Prop!$H:$H,U$1,Prod_Prop!$I:$I,"Exacto"),Prod_Prop!$A:$A,Prod_Prop!$J:$J,"",0,1))</f>
        <v/>
      </c>
      <c r="V116" s="4" t="str">
        <f t="array" ref="V116">IF($E116="","", XLOOKUP(SUMIFS(Prod_Prop!$A:$A,Prod_Prop!$B:$B,$E116,Prod_Prop!$H:$H,V$1,Prod_Prop!$I:$I,"Exacto"),Prod_Prop!$A:$A,Prod_Prop!$J:$J,"",0,1))</f>
        <v/>
      </c>
      <c r="X116" s="3" t="str">
        <f>IFERROR(__xludf.DUMMYFUNCTION("IF(D116="""","""",IFERROR(TRANSPOSE(FILTER('Validaciones Cotizador'!U:U,'Validaciones Cotizador'!O:O=D116,'Validaciones Cotizador'!T:T=""x"")),""Finalizar""))"),"")</f>
        <v/>
      </c>
    </row>
    <row r="117">
      <c r="A117" s="2" t="str">
        <f t="array" ref="A117">IF(E117="","",XLOOKUP(D117,'Validaciones Cotizador'!C:C,'Validaciones Cotizador'!A:A,"",0,1))</f>
        <v/>
      </c>
      <c r="B117" s="2" t="str">
        <f t="array" ref="B117">IF(F117="","",XLOOKUP(F117,Productos!E:E,Productos!G:G,"",0,1))</f>
        <v/>
      </c>
      <c r="C117" s="2" t="str">
        <f>IF(A117="","",SUMIFS('Validaciones Cotizador'!B:B,'Validaciones Cotizador'!C:C,D117,'Validaciones Cotizador'!A:A,A117))</f>
        <v/>
      </c>
      <c r="D117" s="4" t="str">
        <f>IFERROR(__xludf.DUMMYFUNCTION("IF(OR(F116=""Finalizar"",F116="""",F116=""Selecciona..""),"""",IF(OR(F116=""-"",INDEX(filter(Familias!F:F,Familias!D:D=A116,Familias!E:E=C116),1)=""O""),D116+1,D116))"),"")</f>
        <v/>
      </c>
      <c r="E117" s="2" t="str">
        <f>IF(OR(F117="",F117="Selecciona.."),"",IF(D117="Implemento",SUMIF(Implementos!B:B,F117,Implementos!A:A),SUMIF(Productos!E:E,F117,Productos!A:A)))</f>
        <v/>
      </c>
      <c r="F117" s="2" t="str">
        <f t="shared" si="2"/>
        <v/>
      </c>
      <c r="G117" s="10" t="str">
        <f t="array" ref="G117">IF(OR(F117="",F117="-",F117="Selecciona..",F117="Finalizar"),"",IF(A117="Rodados",XLOOKUP(B117,'Validaciones Cotizador'!I:I,'Validaciones Cotizador'!J:J,0,0,1),1))</f>
        <v/>
      </c>
      <c r="H117" s="11" t="str">
        <f>IF(OR(F117="",F117="Selecciona.."),"",SUMIF(Precio_Productos!K:K,E117,Precio_Productos!J:J)*G117)</f>
        <v/>
      </c>
      <c r="I117" s="4" t="str">
        <f t="array" ref="I117">IF($E117="","", XLOOKUP(SUMIFS(Prod_Prop!$A:$A,Prod_Prop!$B:$B,$E117,Prod_Prop!$H:$H,I$1,Prod_Prop!$I:$I,"Exacto"),Prod_Prop!$A:$A,Prod_Prop!$J:$J,"",0,1))</f>
        <v/>
      </c>
      <c r="J117" s="4" t="str">
        <f t="array" ref="J117">IF($E117="","", XLOOKUP(SUMIFS(Prod_Prop!$A:$A,Prod_Prop!$B:$B,$E117,Prod_Prop!$H:$H,J$1,Prod_Prop!$I:$I,"Exacto"),Prod_Prop!$A:$A,Prod_Prop!$J:$J,"",0,1))</f>
        <v/>
      </c>
      <c r="K117" s="4" t="str">
        <f t="array" ref="K117">IF($E117="","", XLOOKUP(SUMIFS(Prod_Prop!$A:$A,Prod_Prop!$B:$B,$E117,Prod_Prop!$H:$H,K$1,Prod_Prop!$I:$I,"Exacto"),Prod_Prop!$A:$A,Prod_Prop!$J:$J,"",0,1))</f>
        <v/>
      </c>
      <c r="L117" s="4" t="str">
        <f t="array" ref="L117">IF($E117="","", XLOOKUP(SUMIFS(Prod_Prop!$A:$A,Prod_Prop!$B:$B,$E117,Prod_Prop!$H:$H,L$1,Prod_Prop!$I:$I,"Exacto"),Prod_Prop!$A:$A,Prod_Prop!$J:$J,"",0,1))</f>
        <v/>
      </c>
      <c r="M117" s="4" t="str">
        <f t="array" ref="M117">IF($E117="","", XLOOKUP(SUMIFS(Prod_Prop!$A:$A,Prod_Prop!$B:$B,$E117,Prod_Prop!$H:$H,M$1,Prod_Prop!$I:$I,"Exacto"),Prod_Prop!$A:$A,Prod_Prop!$J:$J,"",0,1))</f>
        <v/>
      </c>
      <c r="N117" s="4" t="str">
        <f t="array" ref="N117">IF($E117="","", XLOOKUP(SUMIFS(Prod_Prop!$A:$A,Prod_Prop!$B:$B,$E117,Prod_Prop!$H:$H,N$1,Prod_Prop!$I:$I,"Exacto"),Prod_Prop!$A:$A,Prod_Prop!$J:$J,"",0,1))</f>
        <v/>
      </c>
      <c r="O117" s="4" t="str">
        <f t="array" ref="O117">IF($E117="","", XLOOKUP(SUMIFS(Prod_Prop!$A:$A,Prod_Prop!$B:$B,$E117,Prod_Prop!$H:$H,O$1,Prod_Prop!$I:$I,"Exacto"),Prod_Prop!$A:$A,Prod_Prop!$J:$J,"",0,1))</f>
        <v/>
      </c>
      <c r="P117" s="4" t="str">
        <f t="array" ref="P117">IF($E117="","", XLOOKUP(SUMIFS(Prod_Prop!$A:$A,Prod_Prop!$B:$B,$E117,Prod_Prop!$H:$H,P$1,Prod_Prop!$I:$I,"Exacto"),Prod_Prop!$A:$A,Prod_Prop!$J:$J,"",0,1))</f>
        <v/>
      </c>
      <c r="Q117" s="4" t="str">
        <f t="array" ref="Q117">IF($E117="","", XLOOKUP(SUMIFS(Prod_Prop!$A:$A,Prod_Prop!$B:$B,$E117,Prod_Prop!$H:$H,Q$1,Prod_Prop!$I:$I,"Exacto"),Prod_Prop!$A:$A,Prod_Prop!$J:$J,"",0,1))</f>
        <v/>
      </c>
      <c r="R117" s="4" t="str">
        <f t="array" ref="R117">IF($E117="","", XLOOKUP(SUMIFS(Prod_Prop!$A:$A,Prod_Prop!$B:$B,$E117,Prod_Prop!$H:$H,R$1,Prod_Prop!$I:$I,"Exacto"),Prod_Prop!$A:$A,Prod_Prop!$J:$J,"",0,1))</f>
        <v/>
      </c>
      <c r="S117" s="4" t="str">
        <f t="array" ref="S117">IF($E117="","", XLOOKUP(SUMIFS(Prod_Prop!$A:$A,Prod_Prop!$B:$B,$E117,Prod_Prop!$H:$H,S$1,Prod_Prop!$I:$I,"Exacto"),Prod_Prop!$A:$A,Prod_Prop!$J:$J,"",0,1))</f>
        <v/>
      </c>
      <c r="T117" s="4" t="str">
        <f t="array" ref="T117">IF($E117="","", XLOOKUP(SUMIFS(Prod_Prop!$A:$A,Prod_Prop!$B:$B,$E117,Prod_Prop!$H:$H,T$1,Prod_Prop!$I:$I,"Exacto"),Prod_Prop!$A:$A,Prod_Prop!$J:$J,"",0,1))</f>
        <v/>
      </c>
      <c r="U117" s="4" t="str">
        <f t="array" ref="U117">IF($E117="","", XLOOKUP(SUMIFS(Prod_Prop!$A:$A,Prod_Prop!$B:$B,$E117,Prod_Prop!$H:$H,U$1,Prod_Prop!$I:$I,"Exacto"),Prod_Prop!$A:$A,Prod_Prop!$J:$J,"",0,1))</f>
        <v/>
      </c>
      <c r="V117" s="4" t="str">
        <f t="array" ref="V117">IF($E117="","", XLOOKUP(SUMIFS(Prod_Prop!$A:$A,Prod_Prop!$B:$B,$E117,Prod_Prop!$H:$H,V$1,Prod_Prop!$I:$I,"Exacto"),Prod_Prop!$A:$A,Prod_Prop!$J:$J,"",0,1))</f>
        <v/>
      </c>
      <c r="X117" s="3" t="str">
        <f>IFERROR(__xludf.DUMMYFUNCTION("IF(D117="""","""",IFERROR(TRANSPOSE(FILTER('Validaciones Cotizador'!U:U,'Validaciones Cotizador'!O:O=D117,'Validaciones Cotizador'!T:T=""x"")),""Finalizar""))"),"")</f>
        <v/>
      </c>
    </row>
    <row r="118">
      <c r="A118" s="2" t="str">
        <f t="array" ref="A118">IF(E118="","",XLOOKUP(D118,'Validaciones Cotizador'!C:C,'Validaciones Cotizador'!A:A,"",0,1))</f>
        <v/>
      </c>
      <c r="B118" s="2" t="str">
        <f t="array" ref="B118">IF(F118="","",XLOOKUP(F118,Productos!E:E,Productos!G:G,"",0,1))</f>
        <v/>
      </c>
      <c r="C118" s="2" t="str">
        <f>IF(A118="","",SUMIFS('Validaciones Cotizador'!B:B,'Validaciones Cotizador'!C:C,D118,'Validaciones Cotizador'!A:A,A118))</f>
        <v/>
      </c>
      <c r="D118" s="4" t="str">
        <f>IFERROR(__xludf.DUMMYFUNCTION("IF(OR(F117=""Finalizar"",F117="""",F117=""Selecciona..""),"""",IF(OR(F117=""-"",INDEX(filter(Familias!F:F,Familias!D:D=A117,Familias!E:E=C117),1)=""O""),D117+1,D117))"),"")</f>
        <v/>
      </c>
      <c r="E118" s="2" t="str">
        <f>IF(OR(F118="",F118="Selecciona.."),"",IF(D118="Implemento",SUMIF(Implementos!B:B,F118,Implementos!A:A),SUMIF(Productos!E:E,F118,Productos!A:A)))</f>
        <v/>
      </c>
      <c r="F118" s="2" t="str">
        <f t="shared" si="2"/>
        <v/>
      </c>
      <c r="G118" s="10" t="str">
        <f t="array" ref="G118">IF(OR(F118="",F118="-",F118="Selecciona..",F118="Finalizar"),"",IF(A118="Rodados",XLOOKUP(B118,'Validaciones Cotizador'!I:I,'Validaciones Cotizador'!J:J,0,0,1),1))</f>
        <v/>
      </c>
      <c r="H118" s="11" t="str">
        <f>IF(OR(F118="",F118="Selecciona.."),"",SUMIF(Precio_Productos!K:K,E118,Precio_Productos!J:J)*G118)</f>
        <v/>
      </c>
      <c r="I118" s="4" t="str">
        <f t="array" ref="I118">IF($E118="","", XLOOKUP(SUMIFS(Prod_Prop!$A:$A,Prod_Prop!$B:$B,$E118,Prod_Prop!$H:$H,I$1,Prod_Prop!$I:$I,"Exacto"),Prod_Prop!$A:$A,Prod_Prop!$J:$J,"",0,1))</f>
        <v/>
      </c>
      <c r="J118" s="4" t="str">
        <f t="array" ref="J118">IF($E118="","", XLOOKUP(SUMIFS(Prod_Prop!$A:$A,Prod_Prop!$B:$B,$E118,Prod_Prop!$H:$H,J$1,Prod_Prop!$I:$I,"Exacto"),Prod_Prop!$A:$A,Prod_Prop!$J:$J,"",0,1))</f>
        <v/>
      </c>
      <c r="K118" s="4" t="str">
        <f t="array" ref="K118">IF($E118="","", XLOOKUP(SUMIFS(Prod_Prop!$A:$A,Prod_Prop!$B:$B,$E118,Prod_Prop!$H:$H,K$1,Prod_Prop!$I:$I,"Exacto"),Prod_Prop!$A:$A,Prod_Prop!$J:$J,"",0,1))</f>
        <v/>
      </c>
      <c r="L118" s="4" t="str">
        <f t="array" ref="L118">IF($E118="","", XLOOKUP(SUMIFS(Prod_Prop!$A:$A,Prod_Prop!$B:$B,$E118,Prod_Prop!$H:$H,L$1,Prod_Prop!$I:$I,"Exacto"),Prod_Prop!$A:$A,Prod_Prop!$J:$J,"",0,1))</f>
        <v/>
      </c>
      <c r="M118" s="4" t="str">
        <f t="array" ref="M118">IF($E118="","", XLOOKUP(SUMIFS(Prod_Prop!$A:$A,Prod_Prop!$B:$B,$E118,Prod_Prop!$H:$H,M$1,Prod_Prop!$I:$I,"Exacto"),Prod_Prop!$A:$A,Prod_Prop!$J:$J,"",0,1))</f>
        <v/>
      </c>
      <c r="N118" s="4" t="str">
        <f t="array" ref="N118">IF($E118="","", XLOOKUP(SUMIFS(Prod_Prop!$A:$A,Prod_Prop!$B:$B,$E118,Prod_Prop!$H:$H,N$1,Prod_Prop!$I:$I,"Exacto"),Prod_Prop!$A:$A,Prod_Prop!$J:$J,"",0,1))</f>
        <v/>
      </c>
      <c r="O118" s="4" t="str">
        <f t="array" ref="O118">IF($E118="","", XLOOKUP(SUMIFS(Prod_Prop!$A:$A,Prod_Prop!$B:$B,$E118,Prod_Prop!$H:$H,O$1,Prod_Prop!$I:$I,"Exacto"),Prod_Prop!$A:$A,Prod_Prop!$J:$J,"",0,1))</f>
        <v/>
      </c>
      <c r="P118" s="4" t="str">
        <f t="array" ref="P118">IF($E118="","", XLOOKUP(SUMIFS(Prod_Prop!$A:$A,Prod_Prop!$B:$B,$E118,Prod_Prop!$H:$H,P$1,Prod_Prop!$I:$I,"Exacto"),Prod_Prop!$A:$A,Prod_Prop!$J:$J,"",0,1))</f>
        <v/>
      </c>
      <c r="Q118" s="4" t="str">
        <f t="array" ref="Q118">IF($E118="","", XLOOKUP(SUMIFS(Prod_Prop!$A:$A,Prod_Prop!$B:$B,$E118,Prod_Prop!$H:$H,Q$1,Prod_Prop!$I:$I,"Exacto"),Prod_Prop!$A:$A,Prod_Prop!$J:$J,"",0,1))</f>
        <v/>
      </c>
      <c r="R118" s="4" t="str">
        <f t="array" ref="R118">IF($E118="","", XLOOKUP(SUMIFS(Prod_Prop!$A:$A,Prod_Prop!$B:$B,$E118,Prod_Prop!$H:$H,R$1,Prod_Prop!$I:$I,"Exacto"),Prod_Prop!$A:$A,Prod_Prop!$J:$J,"",0,1))</f>
        <v/>
      </c>
      <c r="S118" s="4" t="str">
        <f t="array" ref="S118">IF($E118="","", XLOOKUP(SUMIFS(Prod_Prop!$A:$A,Prod_Prop!$B:$B,$E118,Prod_Prop!$H:$H,S$1,Prod_Prop!$I:$I,"Exacto"),Prod_Prop!$A:$A,Prod_Prop!$J:$J,"",0,1))</f>
        <v/>
      </c>
      <c r="T118" s="4" t="str">
        <f t="array" ref="T118">IF($E118="","", XLOOKUP(SUMIFS(Prod_Prop!$A:$A,Prod_Prop!$B:$B,$E118,Prod_Prop!$H:$H,T$1,Prod_Prop!$I:$I,"Exacto"),Prod_Prop!$A:$A,Prod_Prop!$J:$J,"",0,1))</f>
        <v/>
      </c>
      <c r="U118" s="4" t="str">
        <f t="array" ref="U118">IF($E118="","", XLOOKUP(SUMIFS(Prod_Prop!$A:$A,Prod_Prop!$B:$B,$E118,Prod_Prop!$H:$H,U$1,Prod_Prop!$I:$I,"Exacto"),Prod_Prop!$A:$A,Prod_Prop!$J:$J,"",0,1))</f>
        <v/>
      </c>
      <c r="V118" s="4" t="str">
        <f t="array" ref="V118">IF($E118="","", XLOOKUP(SUMIFS(Prod_Prop!$A:$A,Prod_Prop!$B:$B,$E118,Prod_Prop!$H:$H,V$1,Prod_Prop!$I:$I,"Exacto"),Prod_Prop!$A:$A,Prod_Prop!$J:$J,"",0,1))</f>
        <v/>
      </c>
      <c r="X118" s="3" t="str">
        <f>IFERROR(__xludf.DUMMYFUNCTION("IF(D118="""","""",IFERROR(TRANSPOSE(FILTER('Validaciones Cotizador'!U:U,'Validaciones Cotizador'!O:O=D118,'Validaciones Cotizador'!T:T=""x"")),""Finalizar""))"),"")</f>
        <v/>
      </c>
    </row>
    <row r="119">
      <c r="A119" s="2" t="str">
        <f t="array" ref="A119">IF(E119="","",XLOOKUP(D119,'Validaciones Cotizador'!C:C,'Validaciones Cotizador'!A:A,"",0,1))</f>
        <v/>
      </c>
      <c r="B119" s="2" t="str">
        <f t="array" ref="B119">IF(F119="","",XLOOKUP(F119,Productos!E:E,Productos!G:G,"",0,1))</f>
        <v/>
      </c>
      <c r="C119" s="2" t="str">
        <f>IF(A119="","",SUMIFS('Validaciones Cotizador'!B:B,'Validaciones Cotizador'!C:C,D119,'Validaciones Cotizador'!A:A,A119))</f>
        <v/>
      </c>
      <c r="D119" s="4" t="str">
        <f>IFERROR(__xludf.DUMMYFUNCTION("IF(OR(F118=""Finalizar"",F118="""",F118=""Selecciona..""),"""",IF(OR(F118=""-"",INDEX(filter(Familias!F:F,Familias!D:D=A118,Familias!E:E=C118),1)=""O""),D118+1,D118))"),"")</f>
        <v/>
      </c>
      <c r="E119" s="2" t="str">
        <f>IF(OR(F119="",F119="Selecciona.."),"",IF(D119="Implemento",SUMIF(Implementos!B:B,F119,Implementos!A:A),SUMIF(Productos!E:E,F119,Productos!A:A)))</f>
        <v/>
      </c>
      <c r="F119" s="2" t="str">
        <f t="shared" si="2"/>
        <v/>
      </c>
      <c r="G119" s="10" t="str">
        <f t="array" ref="G119">IF(OR(F119="",F119="-",F119="Selecciona..",F119="Finalizar"),"",IF(A119="Rodados",XLOOKUP(B119,'Validaciones Cotizador'!I:I,'Validaciones Cotizador'!J:J,0,0,1),1))</f>
        <v/>
      </c>
      <c r="H119" s="11" t="str">
        <f>IF(OR(F119="",F119="Selecciona.."),"",SUMIF(Precio_Productos!K:K,E119,Precio_Productos!J:J)*G119)</f>
        <v/>
      </c>
      <c r="I119" s="4" t="str">
        <f t="array" ref="I119">IF($E119="","", XLOOKUP(SUMIFS(Prod_Prop!$A:$A,Prod_Prop!$B:$B,$E119,Prod_Prop!$H:$H,I$1,Prod_Prop!$I:$I,"Exacto"),Prod_Prop!$A:$A,Prod_Prop!$J:$J,"",0,1))</f>
        <v/>
      </c>
      <c r="J119" s="4" t="str">
        <f t="array" ref="J119">IF($E119="","", XLOOKUP(SUMIFS(Prod_Prop!$A:$A,Prod_Prop!$B:$B,$E119,Prod_Prop!$H:$H,J$1,Prod_Prop!$I:$I,"Exacto"),Prod_Prop!$A:$A,Prod_Prop!$J:$J,"",0,1))</f>
        <v/>
      </c>
      <c r="K119" s="4" t="str">
        <f t="array" ref="K119">IF($E119="","", XLOOKUP(SUMIFS(Prod_Prop!$A:$A,Prod_Prop!$B:$B,$E119,Prod_Prop!$H:$H,K$1,Prod_Prop!$I:$I,"Exacto"),Prod_Prop!$A:$A,Prod_Prop!$J:$J,"",0,1))</f>
        <v/>
      </c>
      <c r="L119" s="4" t="str">
        <f t="array" ref="L119">IF($E119="","", XLOOKUP(SUMIFS(Prod_Prop!$A:$A,Prod_Prop!$B:$B,$E119,Prod_Prop!$H:$H,L$1,Prod_Prop!$I:$I,"Exacto"),Prod_Prop!$A:$A,Prod_Prop!$J:$J,"",0,1))</f>
        <v/>
      </c>
      <c r="M119" s="4" t="str">
        <f t="array" ref="M119">IF($E119="","", XLOOKUP(SUMIFS(Prod_Prop!$A:$A,Prod_Prop!$B:$B,$E119,Prod_Prop!$H:$H,M$1,Prod_Prop!$I:$I,"Exacto"),Prod_Prop!$A:$A,Prod_Prop!$J:$J,"",0,1))</f>
        <v/>
      </c>
      <c r="N119" s="4" t="str">
        <f t="array" ref="N119">IF($E119="","", XLOOKUP(SUMIFS(Prod_Prop!$A:$A,Prod_Prop!$B:$B,$E119,Prod_Prop!$H:$H,N$1,Prod_Prop!$I:$I,"Exacto"),Prod_Prop!$A:$A,Prod_Prop!$J:$J,"",0,1))</f>
        <v/>
      </c>
      <c r="O119" s="4" t="str">
        <f t="array" ref="O119">IF($E119="","", XLOOKUP(SUMIFS(Prod_Prop!$A:$A,Prod_Prop!$B:$B,$E119,Prod_Prop!$H:$H,O$1,Prod_Prop!$I:$I,"Exacto"),Prod_Prop!$A:$A,Prod_Prop!$J:$J,"",0,1))</f>
        <v/>
      </c>
      <c r="P119" s="4" t="str">
        <f t="array" ref="P119">IF($E119="","", XLOOKUP(SUMIFS(Prod_Prop!$A:$A,Prod_Prop!$B:$B,$E119,Prod_Prop!$H:$H,P$1,Prod_Prop!$I:$I,"Exacto"),Prod_Prop!$A:$A,Prod_Prop!$J:$J,"",0,1))</f>
        <v/>
      </c>
      <c r="Q119" s="4" t="str">
        <f t="array" ref="Q119">IF($E119="","", XLOOKUP(SUMIFS(Prod_Prop!$A:$A,Prod_Prop!$B:$B,$E119,Prod_Prop!$H:$H,Q$1,Prod_Prop!$I:$I,"Exacto"),Prod_Prop!$A:$A,Prod_Prop!$J:$J,"",0,1))</f>
        <v/>
      </c>
      <c r="R119" s="4" t="str">
        <f t="array" ref="R119">IF($E119="","", XLOOKUP(SUMIFS(Prod_Prop!$A:$A,Prod_Prop!$B:$B,$E119,Prod_Prop!$H:$H,R$1,Prod_Prop!$I:$I,"Exacto"),Prod_Prop!$A:$A,Prod_Prop!$J:$J,"",0,1))</f>
        <v/>
      </c>
      <c r="S119" s="4" t="str">
        <f t="array" ref="S119">IF($E119="","", XLOOKUP(SUMIFS(Prod_Prop!$A:$A,Prod_Prop!$B:$B,$E119,Prod_Prop!$H:$H,S$1,Prod_Prop!$I:$I,"Exacto"),Prod_Prop!$A:$A,Prod_Prop!$J:$J,"",0,1))</f>
        <v/>
      </c>
      <c r="T119" s="4" t="str">
        <f t="array" ref="T119">IF($E119="","", XLOOKUP(SUMIFS(Prod_Prop!$A:$A,Prod_Prop!$B:$B,$E119,Prod_Prop!$H:$H,T$1,Prod_Prop!$I:$I,"Exacto"),Prod_Prop!$A:$A,Prod_Prop!$J:$J,"",0,1))</f>
        <v/>
      </c>
      <c r="U119" s="4" t="str">
        <f t="array" ref="U119">IF($E119="","", XLOOKUP(SUMIFS(Prod_Prop!$A:$A,Prod_Prop!$B:$B,$E119,Prod_Prop!$H:$H,U$1,Prod_Prop!$I:$I,"Exacto"),Prod_Prop!$A:$A,Prod_Prop!$J:$J,"",0,1))</f>
        <v/>
      </c>
      <c r="V119" s="4" t="str">
        <f t="array" ref="V119">IF($E119="","", XLOOKUP(SUMIFS(Prod_Prop!$A:$A,Prod_Prop!$B:$B,$E119,Prod_Prop!$H:$H,V$1,Prod_Prop!$I:$I,"Exacto"),Prod_Prop!$A:$A,Prod_Prop!$J:$J,"",0,1))</f>
        <v/>
      </c>
      <c r="X119" s="3" t="str">
        <f>IFERROR(__xludf.DUMMYFUNCTION("IF(D119="""","""",IFERROR(TRANSPOSE(FILTER('Validaciones Cotizador'!U:U,'Validaciones Cotizador'!O:O=D119,'Validaciones Cotizador'!T:T=""x"")),""Finalizar""))"),"")</f>
        <v/>
      </c>
    </row>
    <row r="120">
      <c r="A120" s="2" t="str">
        <f t="array" ref="A120">IF(E120="","",XLOOKUP(D120,'Validaciones Cotizador'!C:C,'Validaciones Cotizador'!A:A,"",0,1))</f>
        <v/>
      </c>
      <c r="B120" s="2" t="str">
        <f t="array" ref="B120">IF(F120="","",XLOOKUP(F120,Productos!E:E,Productos!G:G,"",0,1))</f>
        <v/>
      </c>
      <c r="C120" s="2" t="str">
        <f>IF(A120="","",SUMIFS('Validaciones Cotizador'!B:B,'Validaciones Cotizador'!C:C,D120,'Validaciones Cotizador'!A:A,A120))</f>
        <v/>
      </c>
      <c r="D120" s="4" t="str">
        <f>IFERROR(__xludf.DUMMYFUNCTION("IF(OR(F119=""Finalizar"",F119="""",F119=""Selecciona..""),"""",IF(OR(F119=""-"",INDEX(filter(Familias!F:F,Familias!D:D=A119,Familias!E:E=C119),1)=""O""),D119+1,D119))"),"")</f>
        <v/>
      </c>
      <c r="E120" s="2" t="str">
        <f>IF(OR(F120="",F120="Selecciona.."),"",IF(D120="Implemento",SUMIF(Implementos!B:B,F120,Implementos!A:A),SUMIF(Productos!E:E,F120,Productos!A:A)))</f>
        <v/>
      </c>
      <c r="F120" s="2" t="str">
        <f t="shared" si="2"/>
        <v/>
      </c>
      <c r="G120" s="10" t="str">
        <f t="array" ref="G120">IF(OR(F120="",F120="-",F120="Selecciona..",F120="Finalizar"),"",IF(A120="Rodados",XLOOKUP(B120,'Validaciones Cotizador'!I:I,'Validaciones Cotizador'!J:J,0,0,1),1))</f>
        <v/>
      </c>
      <c r="H120" s="11" t="str">
        <f>IF(OR(F120="",F120="Selecciona.."),"",SUMIF(Precio_Productos!K:K,E120,Precio_Productos!J:J)*G120)</f>
        <v/>
      </c>
      <c r="I120" s="4" t="str">
        <f t="array" ref="I120">IF($E120="","", XLOOKUP(SUMIFS(Prod_Prop!$A:$A,Prod_Prop!$B:$B,$E120,Prod_Prop!$H:$H,I$1,Prod_Prop!$I:$I,"Exacto"),Prod_Prop!$A:$A,Prod_Prop!$J:$J,"",0,1))</f>
        <v/>
      </c>
      <c r="J120" s="4" t="str">
        <f t="array" ref="J120">IF($E120="","", XLOOKUP(SUMIFS(Prod_Prop!$A:$A,Prod_Prop!$B:$B,$E120,Prod_Prop!$H:$H,J$1,Prod_Prop!$I:$I,"Exacto"),Prod_Prop!$A:$A,Prod_Prop!$J:$J,"",0,1))</f>
        <v/>
      </c>
      <c r="K120" s="4" t="str">
        <f t="array" ref="K120">IF($E120="","", XLOOKUP(SUMIFS(Prod_Prop!$A:$A,Prod_Prop!$B:$B,$E120,Prod_Prop!$H:$H,K$1,Prod_Prop!$I:$I,"Exacto"),Prod_Prop!$A:$A,Prod_Prop!$J:$J,"",0,1))</f>
        <v/>
      </c>
      <c r="L120" s="4" t="str">
        <f t="array" ref="L120">IF($E120="","", XLOOKUP(SUMIFS(Prod_Prop!$A:$A,Prod_Prop!$B:$B,$E120,Prod_Prop!$H:$H,L$1,Prod_Prop!$I:$I,"Exacto"),Prod_Prop!$A:$A,Prod_Prop!$J:$J,"",0,1))</f>
        <v/>
      </c>
      <c r="M120" s="4" t="str">
        <f t="array" ref="M120">IF($E120="","", XLOOKUP(SUMIFS(Prod_Prop!$A:$A,Prod_Prop!$B:$B,$E120,Prod_Prop!$H:$H,M$1,Prod_Prop!$I:$I,"Exacto"),Prod_Prop!$A:$A,Prod_Prop!$J:$J,"",0,1))</f>
        <v/>
      </c>
      <c r="N120" s="4" t="str">
        <f t="array" ref="N120">IF($E120="","", XLOOKUP(SUMIFS(Prod_Prop!$A:$A,Prod_Prop!$B:$B,$E120,Prod_Prop!$H:$H,N$1,Prod_Prop!$I:$I,"Exacto"),Prod_Prop!$A:$A,Prod_Prop!$J:$J,"",0,1))</f>
        <v/>
      </c>
      <c r="O120" s="4" t="str">
        <f t="array" ref="O120">IF($E120="","", XLOOKUP(SUMIFS(Prod_Prop!$A:$A,Prod_Prop!$B:$B,$E120,Prod_Prop!$H:$H,O$1,Prod_Prop!$I:$I,"Exacto"),Prod_Prop!$A:$A,Prod_Prop!$J:$J,"",0,1))</f>
        <v/>
      </c>
      <c r="P120" s="4" t="str">
        <f t="array" ref="P120">IF($E120="","", XLOOKUP(SUMIFS(Prod_Prop!$A:$A,Prod_Prop!$B:$B,$E120,Prod_Prop!$H:$H,P$1,Prod_Prop!$I:$I,"Exacto"),Prod_Prop!$A:$A,Prod_Prop!$J:$J,"",0,1))</f>
        <v/>
      </c>
      <c r="Q120" s="4" t="str">
        <f t="array" ref="Q120">IF($E120="","", XLOOKUP(SUMIFS(Prod_Prop!$A:$A,Prod_Prop!$B:$B,$E120,Prod_Prop!$H:$H,Q$1,Prod_Prop!$I:$I,"Exacto"),Prod_Prop!$A:$A,Prod_Prop!$J:$J,"",0,1))</f>
        <v/>
      </c>
      <c r="R120" s="4" t="str">
        <f t="array" ref="R120">IF($E120="","", XLOOKUP(SUMIFS(Prod_Prop!$A:$A,Prod_Prop!$B:$B,$E120,Prod_Prop!$H:$H,R$1,Prod_Prop!$I:$I,"Exacto"),Prod_Prop!$A:$A,Prod_Prop!$J:$J,"",0,1))</f>
        <v/>
      </c>
      <c r="S120" s="4" t="str">
        <f t="array" ref="S120">IF($E120="","", XLOOKUP(SUMIFS(Prod_Prop!$A:$A,Prod_Prop!$B:$B,$E120,Prod_Prop!$H:$H,S$1,Prod_Prop!$I:$I,"Exacto"),Prod_Prop!$A:$A,Prod_Prop!$J:$J,"",0,1))</f>
        <v/>
      </c>
      <c r="T120" s="4" t="str">
        <f t="array" ref="T120">IF($E120="","", XLOOKUP(SUMIFS(Prod_Prop!$A:$A,Prod_Prop!$B:$B,$E120,Prod_Prop!$H:$H,T$1,Prod_Prop!$I:$I,"Exacto"),Prod_Prop!$A:$A,Prod_Prop!$J:$J,"",0,1))</f>
        <v/>
      </c>
      <c r="U120" s="4" t="str">
        <f t="array" ref="U120">IF($E120="","", XLOOKUP(SUMIFS(Prod_Prop!$A:$A,Prod_Prop!$B:$B,$E120,Prod_Prop!$H:$H,U$1,Prod_Prop!$I:$I,"Exacto"),Prod_Prop!$A:$A,Prod_Prop!$J:$J,"",0,1))</f>
        <v/>
      </c>
      <c r="V120" s="4" t="str">
        <f t="array" ref="V120">IF($E120="","", XLOOKUP(SUMIFS(Prod_Prop!$A:$A,Prod_Prop!$B:$B,$E120,Prod_Prop!$H:$H,V$1,Prod_Prop!$I:$I,"Exacto"),Prod_Prop!$A:$A,Prod_Prop!$J:$J,"",0,1))</f>
        <v/>
      </c>
      <c r="X120" s="3" t="str">
        <f>IFERROR(__xludf.DUMMYFUNCTION("IF(D120="""","""",IFERROR(TRANSPOSE(FILTER('Validaciones Cotizador'!U:U,'Validaciones Cotizador'!O:O=D120,'Validaciones Cotizador'!T:T=""x"")),""Finalizar""))"),"")</f>
        <v/>
      </c>
    </row>
    <row r="121">
      <c r="A121" s="2" t="str">
        <f t="array" ref="A121">IF(E121="","",XLOOKUP(D121,'Validaciones Cotizador'!C:C,'Validaciones Cotizador'!A:A,"",0,1))</f>
        <v/>
      </c>
      <c r="B121" s="2" t="str">
        <f t="array" ref="B121">IF(F121="","",XLOOKUP(F121,Productos!E:E,Productos!G:G,"",0,1))</f>
        <v/>
      </c>
      <c r="C121" s="2" t="str">
        <f>IF(A121="","",SUMIFS('Validaciones Cotizador'!B:B,'Validaciones Cotizador'!C:C,D121,'Validaciones Cotizador'!A:A,A121))</f>
        <v/>
      </c>
      <c r="D121" s="4" t="str">
        <f>IFERROR(__xludf.DUMMYFUNCTION("IF(OR(F120=""Finalizar"",F120="""",F120=""Selecciona..""),"""",IF(OR(F120=""-"",INDEX(filter(Familias!F:F,Familias!D:D=A120,Familias!E:E=C120),1)=""O""),D120+1,D120))"),"")</f>
        <v/>
      </c>
      <c r="E121" s="2" t="str">
        <f>IF(OR(F121="",F121="Selecciona.."),"",IF(D121="Implemento",SUMIF(Implementos!B:B,F121,Implementos!A:A),SUMIF(Productos!E:E,F121,Productos!A:A)))</f>
        <v/>
      </c>
      <c r="F121" s="2" t="str">
        <f t="shared" si="2"/>
        <v/>
      </c>
      <c r="G121" s="10" t="str">
        <f t="array" ref="G121">IF(OR(F121="",F121="-",F121="Selecciona..",F121="Finalizar"),"",IF(A121="Rodados",XLOOKUP(B121,'Validaciones Cotizador'!I:I,'Validaciones Cotizador'!J:J,0,0,1),1))</f>
        <v/>
      </c>
      <c r="H121" s="11" t="str">
        <f>IF(OR(F121="",F121="Selecciona.."),"",SUMIF(Precio_Productos!K:K,E121,Precio_Productos!J:J)*G121)</f>
        <v/>
      </c>
      <c r="I121" s="4" t="str">
        <f t="array" ref="I121">IF($E121="","", XLOOKUP(SUMIFS(Prod_Prop!$A:$A,Prod_Prop!$B:$B,$E121,Prod_Prop!$H:$H,I$1,Prod_Prop!$I:$I,"Exacto"),Prod_Prop!$A:$A,Prod_Prop!$J:$J,"",0,1))</f>
        <v/>
      </c>
      <c r="J121" s="4" t="str">
        <f t="array" ref="J121">IF($E121="","", XLOOKUP(SUMIFS(Prod_Prop!$A:$A,Prod_Prop!$B:$B,$E121,Prod_Prop!$H:$H,J$1,Prod_Prop!$I:$I,"Exacto"),Prod_Prop!$A:$A,Prod_Prop!$J:$J,"",0,1))</f>
        <v/>
      </c>
      <c r="K121" s="4" t="str">
        <f t="array" ref="K121">IF($E121="","", XLOOKUP(SUMIFS(Prod_Prop!$A:$A,Prod_Prop!$B:$B,$E121,Prod_Prop!$H:$H,K$1,Prod_Prop!$I:$I,"Exacto"),Prod_Prop!$A:$A,Prod_Prop!$J:$J,"",0,1))</f>
        <v/>
      </c>
      <c r="L121" s="4" t="str">
        <f t="array" ref="L121">IF($E121="","", XLOOKUP(SUMIFS(Prod_Prop!$A:$A,Prod_Prop!$B:$B,$E121,Prod_Prop!$H:$H,L$1,Prod_Prop!$I:$I,"Exacto"),Prod_Prop!$A:$A,Prod_Prop!$J:$J,"",0,1))</f>
        <v/>
      </c>
      <c r="M121" s="4" t="str">
        <f t="array" ref="M121">IF($E121="","", XLOOKUP(SUMIFS(Prod_Prop!$A:$A,Prod_Prop!$B:$B,$E121,Prod_Prop!$H:$H,M$1,Prod_Prop!$I:$I,"Exacto"),Prod_Prop!$A:$A,Prod_Prop!$J:$J,"",0,1))</f>
        <v/>
      </c>
      <c r="N121" s="4" t="str">
        <f t="array" ref="N121">IF($E121="","", XLOOKUP(SUMIFS(Prod_Prop!$A:$A,Prod_Prop!$B:$B,$E121,Prod_Prop!$H:$H,N$1,Prod_Prop!$I:$I,"Exacto"),Prod_Prop!$A:$A,Prod_Prop!$J:$J,"",0,1))</f>
        <v/>
      </c>
      <c r="O121" s="4" t="str">
        <f t="array" ref="O121">IF($E121="","", XLOOKUP(SUMIFS(Prod_Prop!$A:$A,Prod_Prop!$B:$B,$E121,Prod_Prop!$H:$H,O$1,Prod_Prop!$I:$I,"Exacto"),Prod_Prop!$A:$A,Prod_Prop!$J:$J,"",0,1))</f>
        <v/>
      </c>
      <c r="P121" s="4" t="str">
        <f t="array" ref="P121">IF($E121="","", XLOOKUP(SUMIFS(Prod_Prop!$A:$A,Prod_Prop!$B:$B,$E121,Prod_Prop!$H:$H,P$1,Prod_Prop!$I:$I,"Exacto"),Prod_Prop!$A:$A,Prod_Prop!$J:$J,"",0,1))</f>
        <v/>
      </c>
      <c r="Q121" s="4" t="str">
        <f t="array" ref="Q121">IF($E121="","", XLOOKUP(SUMIFS(Prod_Prop!$A:$A,Prod_Prop!$B:$B,$E121,Prod_Prop!$H:$H,Q$1,Prod_Prop!$I:$I,"Exacto"),Prod_Prop!$A:$A,Prod_Prop!$J:$J,"",0,1))</f>
        <v/>
      </c>
      <c r="R121" s="4" t="str">
        <f t="array" ref="R121">IF($E121="","", XLOOKUP(SUMIFS(Prod_Prop!$A:$A,Prod_Prop!$B:$B,$E121,Prod_Prop!$H:$H,R$1,Prod_Prop!$I:$I,"Exacto"),Prod_Prop!$A:$A,Prod_Prop!$J:$J,"",0,1))</f>
        <v/>
      </c>
      <c r="S121" s="4" t="str">
        <f t="array" ref="S121">IF($E121="","", XLOOKUP(SUMIFS(Prod_Prop!$A:$A,Prod_Prop!$B:$B,$E121,Prod_Prop!$H:$H,S$1,Prod_Prop!$I:$I,"Exacto"),Prod_Prop!$A:$A,Prod_Prop!$J:$J,"",0,1))</f>
        <v/>
      </c>
      <c r="T121" s="4" t="str">
        <f t="array" ref="T121">IF($E121="","", XLOOKUP(SUMIFS(Prod_Prop!$A:$A,Prod_Prop!$B:$B,$E121,Prod_Prop!$H:$H,T$1,Prod_Prop!$I:$I,"Exacto"),Prod_Prop!$A:$A,Prod_Prop!$J:$J,"",0,1))</f>
        <v/>
      </c>
      <c r="U121" s="4" t="str">
        <f t="array" ref="U121">IF($E121="","", XLOOKUP(SUMIFS(Prod_Prop!$A:$A,Prod_Prop!$B:$B,$E121,Prod_Prop!$H:$H,U$1,Prod_Prop!$I:$I,"Exacto"),Prod_Prop!$A:$A,Prod_Prop!$J:$J,"",0,1))</f>
        <v/>
      </c>
      <c r="V121" s="4" t="str">
        <f t="array" ref="V121">IF($E121="","", XLOOKUP(SUMIFS(Prod_Prop!$A:$A,Prod_Prop!$B:$B,$E121,Prod_Prop!$H:$H,V$1,Prod_Prop!$I:$I,"Exacto"),Prod_Prop!$A:$A,Prod_Prop!$J:$J,"",0,1))</f>
        <v/>
      </c>
      <c r="X121" s="3" t="str">
        <f>IFERROR(__xludf.DUMMYFUNCTION("IF(D121="""","""",IFERROR(TRANSPOSE(FILTER('Validaciones Cotizador'!U:U,'Validaciones Cotizador'!O:O=D121,'Validaciones Cotizador'!T:T=""x"")),""Finalizar""))"),"")</f>
        <v/>
      </c>
    </row>
    <row r="122">
      <c r="A122" s="2" t="str">
        <f t="array" ref="A122">IF(E122="","",XLOOKUP(D122,'Validaciones Cotizador'!C:C,'Validaciones Cotizador'!A:A,"",0,1))</f>
        <v/>
      </c>
      <c r="B122" s="2" t="str">
        <f t="array" ref="B122">IF(F122="","",XLOOKUP(F122,Productos!E:E,Productos!G:G,"",0,1))</f>
        <v/>
      </c>
      <c r="C122" s="2" t="str">
        <f>IF(A122="","",SUMIFS('Validaciones Cotizador'!B:B,'Validaciones Cotizador'!C:C,D122,'Validaciones Cotizador'!A:A,A122))</f>
        <v/>
      </c>
      <c r="D122" s="4" t="str">
        <f>IFERROR(__xludf.DUMMYFUNCTION("IF(OR(F121=""Finalizar"",F121="""",F121=""Selecciona..""),"""",IF(OR(F121=""-"",INDEX(filter(Familias!F:F,Familias!D:D=A121,Familias!E:E=C121),1)=""O""),D121+1,D121))"),"")</f>
        <v/>
      </c>
      <c r="E122" s="2" t="str">
        <f>IF(OR(F122="",F122="Selecciona.."),"",IF(D122="Implemento",SUMIF(Implementos!B:B,F122,Implementos!A:A),SUMIF(Productos!E:E,F122,Productos!A:A)))</f>
        <v/>
      </c>
      <c r="F122" s="2" t="str">
        <f t="shared" si="2"/>
        <v/>
      </c>
      <c r="G122" s="10" t="str">
        <f t="array" ref="G122">IF(OR(F122="",F122="-",F122="Selecciona..",F122="Finalizar"),"",IF(A122="Rodados",XLOOKUP(B122,'Validaciones Cotizador'!I:I,'Validaciones Cotizador'!J:J,0,0,1),1))</f>
        <v/>
      </c>
      <c r="H122" s="11" t="str">
        <f>IF(OR(F122="",F122="Selecciona.."),"",SUMIF(Precio_Productos!K:K,E122,Precio_Productos!J:J)*G122)</f>
        <v/>
      </c>
      <c r="I122" s="4" t="str">
        <f t="array" ref="I122">IF($E122="","", XLOOKUP(SUMIFS(Prod_Prop!$A:$A,Prod_Prop!$B:$B,$E122,Prod_Prop!$H:$H,I$1,Prod_Prop!$I:$I,"Exacto"),Prod_Prop!$A:$A,Prod_Prop!$J:$J,"",0,1))</f>
        <v/>
      </c>
      <c r="J122" s="4" t="str">
        <f t="array" ref="J122">IF($E122="","", XLOOKUP(SUMIFS(Prod_Prop!$A:$A,Prod_Prop!$B:$B,$E122,Prod_Prop!$H:$H,J$1,Prod_Prop!$I:$I,"Exacto"),Prod_Prop!$A:$A,Prod_Prop!$J:$J,"",0,1))</f>
        <v/>
      </c>
      <c r="K122" s="4" t="str">
        <f t="array" ref="K122">IF($E122="","", XLOOKUP(SUMIFS(Prod_Prop!$A:$A,Prod_Prop!$B:$B,$E122,Prod_Prop!$H:$H,K$1,Prod_Prop!$I:$I,"Exacto"),Prod_Prop!$A:$A,Prod_Prop!$J:$J,"",0,1))</f>
        <v/>
      </c>
      <c r="L122" s="4" t="str">
        <f t="array" ref="L122">IF($E122="","", XLOOKUP(SUMIFS(Prod_Prop!$A:$A,Prod_Prop!$B:$B,$E122,Prod_Prop!$H:$H,L$1,Prod_Prop!$I:$I,"Exacto"),Prod_Prop!$A:$A,Prod_Prop!$J:$J,"",0,1))</f>
        <v/>
      </c>
      <c r="M122" s="4" t="str">
        <f t="array" ref="M122">IF($E122="","", XLOOKUP(SUMIFS(Prod_Prop!$A:$A,Prod_Prop!$B:$B,$E122,Prod_Prop!$H:$H,M$1,Prod_Prop!$I:$I,"Exacto"),Prod_Prop!$A:$A,Prod_Prop!$J:$J,"",0,1))</f>
        <v/>
      </c>
      <c r="N122" s="4" t="str">
        <f t="array" ref="N122">IF($E122="","", XLOOKUP(SUMIFS(Prod_Prop!$A:$A,Prod_Prop!$B:$B,$E122,Prod_Prop!$H:$H,N$1,Prod_Prop!$I:$I,"Exacto"),Prod_Prop!$A:$A,Prod_Prop!$J:$J,"",0,1))</f>
        <v/>
      </c>
      <c r="O122" s="4" t="str">
        <f t="array" ref="O122">IF($E122="","", XLOOKUP(SUMIFS(Prod_Prop!$A:$A,Prod_Prop!$B:$B,$E122,Prod_Prop!$H:$H,O$1,Prod_Prop!$I:$I,"Exacto"),Prod_Prop!$A:$A,Prod_Prop!$J:$J,"",0,1))</f>
        <v/>
      </c>
      <c r="P122" s="4" t="str">
        <f t="array" ref="P122">IF($E122="","", XLOOKUP(SUMIFS(Prod_Prop!$A:$A,Prod_Prop!$B:$B,$E122,Prod_Prop!$H:$H,P$1,Prod_Prop!$I:$I,"Exacto"),Prod_Prop!$A:$A,Prod_Prop!$J:$J,"",0,1))</f>
        <v/>
      </c>
      <c r="Q122" s="4" t="str">
        <f t="array" ref="Q122">IF($E122="","", XLOOKUP(SUMIFS(Prod_Prop!$A:$A,Prod_Prop!$B:$B,$E122,Prod_Prop!$H:$H,Q$1,Prod_Prop!$I:$I,"Exacto"),Prod_Prop!$A:$A,Prod_Prop!$J:$J,"",0,1))</f>
        <v/>
      </c>
      <c r="R122" s="4" t="str">
        <f t="array" ref="R122">IF($E122="","", XLOOKUP(SUMIFS(Prod_Prop!$A:$A,Prod_Prop!$B:$B,$E122,Prod_Prop!$H:$H,R$1,Prod_Prop!$I:$I,"Exacto"),Prod_Prop!$A:$A,Prod_Prop!$J:$J,"",0,1))</f>
        <v/>
      </c>
      <c r="S122" s="4" t="str">
        <f t="array" ref="S122">IF($E122="","", XLOOKUP(SUMIFS(Prod_Prop!$A:$A,Prod_Prop!$B:$B,$E122,Prod_Prop!$H:$H,S$1,Prod_Prop!$I:$I,"Exacto"),Prod_Prop!$A:$A,Prod_Prop!$J:$J,"",0,1))</f>
        <v/>
      </c>
      <c r="T122" s="4" t="str">
        <f t="array" ref="T122">IF($E122="","", XLOOKUP(SUMIFS(Prod_Prop!$A:$A,Prod_Prop!$B:$B,$E122,Prod_Prop!$H:$H,T$1,Prod_Prop!$I:$I,"Exacto"),Prod_Prop!$A:$A,Prod_Prop!$J:$J,"",0,1))</f>
        <v/>
      </c>
      <c r="U122" s="4" t="str">
        <f t="array" ref="U122">IF($E122="","", XLOOKUP(SUMIFS(Prod_Prop!$A:$A,Prod_Prop!$B:$B,$E122,Prod_Prop!$H:$H,U$1,Prod_Prop!$I:$I,"Exacto"),Prod_Prop!$A:$A,Prod_Prop!$J:$J,"",0,1))</f>
        <v/>
      </c>
      <c r="V122" s="4" t="str">
        <f t="array" ref="V122">IF($E122="","", XLOOKUP(SUMIFS(Prod_Prop!$A:$A,Prod_Prop!$B:$B,$E122,Prod_Prop!$H:$H,V$1,Prod_Prop!$I:$I,"Exacto"),Prod_Prop!$A:$A,Prod_Prop!$J:$J,"",0,1))</f>
        <v/>
      </c>
      <c r="X122" s="3" t="str">
        <f>IFERROR(__xludf.DUMMYFUNCTION("IF(D122="""","""",IFERROR(TRANSPOSE(FILTER('Validaciones Cotizador'!U:U,'Validaciones Cotizador'!O:O=D122,'Validaciones Cotizador'!T:T=""x"")),""Finalizar""))"),"")</f>
        <v/>
      </c>
    </row>
    <row r="123">
      <c r="A123" s="2" t="str">
        <f t="array" ref="A123">IF(E123="","",XLOOKUP(D123,'Validaciones Cotizador'!C:C,'Validaciones Cotizador'!A:A,"",0,1))</f>
        <v/>
      </c>
      <c r="B123" s="2" t="str">
        <f t="array" ref="B123">IF(F123="","",XLOOKUP(F123,Productos!E:E,Productos!G:G,"",0,1))</f>
        <v/>
      </c>
      <c r="C123" s="2" t="str">
        <f>IF(A123="","",SUMIFS('Validaciones Cotizador'!B:B,'Validaciones Cotizador'!C:C,D123,'Validaciones Cotizador'!A:A,A123))</f>
        <v/>
      </c>
      <c r="D123" s="4" t="str">
        <f>IFERROR(__xludf.DUMMYFUNCTION("IF(OR(F122=""Finalizar"",F122="""",F122=""Selecciona..""),"""",IF(OR(F122=""-"",INDEX(filter(Familias!F:F,Familias!D:D=A122,Familias!E:E=C122),1)=""O""),D122+1,D122))"),"")</f>
        <v/>
      </c>
      <c r="E123" s="2" t="str">
        <f>IF(OR(F123="",F123="Selecciona.."),"",IF(D123="Implemento",SUMIF(Implementos!B:B,F123,Implementos!A:A),SUMIF(Productos!E:E,F123,Productos!A:A)))</f>
        <v/>
      </c>
      <c r="F123" s="2" t="str">
        <f t="shared" si="2"/>
        <v/>
      </c>
      <c r="G123" s="10" t="str">
        <f t="array" ref="G123">IF(OR(F123="",F123="-",F123="Selecciona..",F123="Finalizar"),"",IF(A123="Rodados",XLOOKUP(B123,'Validaciones Cotizador'!I:I,'Validaciones Cotizador'!J:J,0,0,1),1))</f>
        <v/>
      </c>
      <c r="H123" s="11" t="str">
        <f>IF(OR(F123="",F123="Selecciona.."),"",SUMIF(Precio_Productos!K:K,E123,Precio_Productos!J:J)*G123)</f>
        <v/>
      </c>
      <c r="I123" s="4" t="str">
        <f t="array" ref="I123">IF($E123="","", XLOOKUP(SUMIFS(Prod_Prop!$A:$A,Prod_Prop!$B:$B,$E123,Prod_Prop!$H:$H,I$1,Prod_Prop!$I:$I,"Exacto"),Prod_Prop!$A:$A,Prod_Prop!$J:$J,"",0,1))</f>
        <v/>
      </c>
      <c r="J123" s="4" t="str">
        <f t="array" ref="J123">IF($E123="","", XLOOKUP(SUMIFS(Prod_Prop!$A:$A,Prod_Prop!$B:$B,$E123,Prod_Prop!$H:$H,J$1,Prod_Prop!$I:$I,"Exacto"),Prod_Prop!$A:$A,Prod_Prop!$J:$J,"",0,1))</f>
        <v/>
      </c>
      <c r="K123" s="4" t="str">
        <f t="array" ref="K123">IF($E123="","", XLOOKUP(SUMIFS(Prod_Prop!$A:$A,Prod_Prop!$B:$B,$E123,Prod_Prop!$H:$H,K$1,Prod_Prop!$I:$I,"Exacto"),Prod_Prop!$A:$A,Prod_Prop!$J:$J,"",0,1))</f>
        <v/>
      </c>
      <c r="L123" s="4" t="str">
        <f t="array" ref="L123">IF($E123="","", XLOOKUP(SUMIFS(Prod_Prop!$A:$A,Prod_Prop!$B:$B,$E123,Prod_Prop!$H:$H,L$1,Prod_Prop!$I:$I,"Exacto"),Prod_Prop!$A:$A,Prod_Prop!$J:$J,"",0,1))</f>
        <v/>
      </c>
      <c r="M123" s="4" t="str">
        <f t="array" ref="M123">IF($E123="","", XLOOKUP(SUMIFS(Prod_Prop!$A:$A,Prod_Prop!$B:$B,$E123,Prod_Prop!$H:$H,M$1,Prod_Prop!$I:$I,"Exacto"),Prod_Prop!$A:$A,Prod_Prop!$J:$J,"",0,1))</f>
        <v/>
      </c>
      <c r="N123" s="4" t="str">
        <f t="array" ref="N123">IF($E123="","", XLOOKUP(SUMIFS(Prod_Prop!$A:$A,Prod_Prop!$B:$B,$E123,Prod_Prop!$H:$H,N$1,Prod_Prop!$I:$I,"Exacto"),Prod_Prop!$A:$A,Prod_Prop!$J:$J,"",0,1))</f>
        <v/>
      </c>
      <c r="O123" s="4" t="str">
        <f t="array" ref="O123">IF($E123="","", XLOOKUP(SUMIFS(Prod_Prop!$A:$A,Prod_Prop!$B:$B,$E123,Prod_Prop!$H:$H,O$1,Prod_Prop!$I:$I,"Exacto"),Prod_Prop!$A:$A,Prod_Prop!$J:$J,"",0,1))</f>
        <v/>
      </c>
      <c r="P123" s="4" t="str">
        <f t="array" ref="P123">IF($E123="","", XLOOKUP(SUMIFS(Prod_Prop!$A:$A,Prod_Prop!$B:$B,$E123,Prod_Prop!$H:$H,P$1,Prod_Prop!$I:$I,"Exacto"),Prod_Prop!$A:$A,Prod_Prop!$J:$J,"",0,1))</f>
        <v/>
      </c>
      <c r="Q123" s="4" t="str">
        <f t="array" ref="Q123">IF($E123="","", XLOOKUP(SUMIFS(Prod_Prop!$A:$A,Prod_Prop!$B:$B,$E123,Prod_Prop!$H:$H,Q$1,Prod_Prop!$I:$I,"Exacto"),Prod_Prop!$A:$A,Prod_Prop!$J:$J,"",0,1))</f>
        <v/>
      </c>
      <c r="R123" s="4" t="str">
        <f t="array" ref="R123">IF($E123="","", XLOOKUP(SUMIFS(Prod_Prop!$A:$A,Prod_Prop!$B:$B,$E123,Prod_Prop!$H:$H,R$1,Prod_Prop!$I:$I,"Exacto"),Prod_Prop!$A:$A,Prod_Prop!$J:$J,"",0,1))</f>
        <v/>
      </c>
      <c r="S123" s="4" t="str">
        <f t="array" ref="S123">IF($E123="","", XLOOKUP(SUMIFS(Prod_Prop!$A:$A,Prod_Prop!$B:$B,$E123,Prod_Prop!$H:$H,S$1,Prod_Prop!$I:$I,"Exacto"),Prod_Prop!$A:$A,Prod_Prop!$J:$J,"",0,1))</f>
        <v/>
      </c>
      <c r="T123" s="4" t="str">
        <f t="array" ref="T123">IF($E123="","", XLOOKUP(SUMIFS(Prod_Prop!$A:$A,Prod_Prop!$B:$B,$E123,Prod_Prop!$H:$H,T$1,Prod_Prop!$I:$I,"Exacto"),Prod_Prop!$A:$A,Prod_Prop!$J:$J,"",0,1))</f>
        <v/>
      </c>
      <c r="U123" s="4" t="str">
        <f t="array" ref="U123">IF($E123="","", XLOOKUP(SUMIFS(Prod_Prop!$A:$A,Prod_Prop!$B:$B,$E123,Prod_Prop!$H:$H,U$1,Prod_Prop!$I:$I,"Exacto"),Prod_Prop!$A:$A,Prod_Prop!$J:$J,"",0,1))</f>
        <v/>
      </c>
      <c r="V123" s="4" t="str">
        <f t="array" ref="V123">IF($E123="","", XLOOKUP(SUMIFS(Prod_Prop!$A:$A,Prod_Prop!$B:$B,$E123,Prod_Prop!$H:$H,V$1,Prod_Prop!$I:$I,"Exacto"),Prod_Prop!$A:$A,Prod_Prop!$J:$J,"",0,1))</f>
        <v/>
      </c>
      <c r="X123" s="3" t="str">
        <f>IFERROR(__xludf.DUMMYFUNCTION("IF(D123="""","""",IFERROR(TRANSPOSE(FILTER('Validaciones Cotizador'!U:U,'Validaciones Cotizador'!O:O=D123,'Validaciones Cotizador'!T:T=""x"")),""Finalizar""))"),"")</f>
        <v/>
      </c>
    </row>
    <row r="124">
      <c r="A124" s="2" t="str">
        <f t="array" ref="A124">IF(E124="","",XLOOKUP(D124,'Validaciones Cotizador'!C:C,'Validaciones Cotizador'!A:A,"",0,1))</f>
        <v/>
      </c>
      <c r="B124" s="2" t="str">
        <f t="array" ref="B124">IF(F124="","",XLOOKUP(F124,Productos!E:E,Productos!G:G,"",0,1))</f>
        <v/>
      </c>
      <c r="C124" s="2" t="str">
        <f>IF(A124="","",SUMIFS('Validaciones Cotizador'!B:B,'Validaciones Cotizador'!C:C,D124,'Validaciones Cotizador'!A:A,A124))</f>
        <v/>
      </c>
      <c r="D124" s="4" t="str">
        <f>IFERROR(__xludf.DUMMYFUNCTION("IF(OR(F123=""Finalizar"",F123="""",F123=""Selecciona..""),"""",IF(OR(F123=""-"",INDEX(filter(Familias!F:F,Familias!D:D=A123,Familias!E:E=C123),1)=""O""),D123+1,D123))"),"")</f>
        <v/>
      </c>
      <c r="E124" s="2" t="str">
        <f>IF(OR(F124="",F124="Selecciona.."),"",IF(D124="Implemento",SUMIF(Implementos!B:B,F124,Implementos!A:A),SUMIF(Productos!E:E,F124,Productos!A:A)))</f>
        <v/>
      </c>
      <c r="F124" s="2" t="str">
        <f t="shared" si="2"/>
        <v/>
      </c>
      <c r="G124" s="10" t="str">
        <f t="array" ref="G124">IF(OR(F124="",F124="-",F124="Selecciona..",F124="Finalizar"),"",IF(A124="Rodados",XLOOKUP(B124,'Validaciones Cotizador'!I:I,'Validaciones Cotizador'!J:J,0,0,1),1))</f>
        <v/>
      </c>
      <c r="H124" s="11" t="str">
        <f>IF(OR(F124="",F124="Selecciona.."),"",SUMIF(Precio_Productos!K:K,E124,Precio_Productos!J:J)*G124)</f>
        <v/>
      </c>
      <c r="I124" s="4" t="str">
        <f t="array" ref="I124">IF($E124="","", XLOOKUP(SUMIFS(Prod_Prop!$A:$A,Prod_Prop!$B:$B,$E124,Prod_Prop!$H:$H,I$1,Prod_Prop!$I:$I,"Exacto"),Prod_Prop!$A:$A,Prod_Prop!$J:$J,"",0,1))</f>
        <v/>
      </c>
      <c r="J124" s="4" t="str">
        <f t="array" ref="J124">IF($E124="","", XLOOKUP(SUMIFS(Prod_Prop!$A:$A,Prod_Prop!$B:$B,$E124,Prod_Prop!$H:$H,J$1,Prod_Prop!$I:$I,"Exacto"),Prod_Prop!$A:$A,Prod_Prop!$J:$J,"",0,1))</f>
        <v/>
      </c>
      <c r="K124" s="4" t="str">
        <f t="array" ref="K124">IF($E124="","", XLOOKUP(SUMIFS(Prod_Prop!$A:$A,Prod_Prop!$B:$B,$E124,Prod_Prop!$H:$H,K$1,Prod_Prop!$I:$I,"Exacto"),Prod_Prop!$A:$A,Prod_Prop!$J:$J,"",0,1))</f>
        <v/>
      </c>
      <c r="L124" s="4" t="str">
        <f t="array" ref="L124">IF($E124="","", XLOOKUP(SUMIFS(Prod_Prop!$A:$A,Prod_Prop!$B:$B,$E124,Prod_Prop!$H:$H,L$1,Prod_Prop!$I:$I,"Exacto"),Prod_Prop!$A:$A,Prod_Prop!$J:$J,"",0,1))</f>
        <v/>
      </c>
      <c r="M124" s="4" t="str">
        <f t="array" ref="M124">IF($E124="","", XLOOKUP(SUMIFS(Prod_Prop!$A:$A,Prod_Prop!$B:$B,$E124,Prod_Prop!$H:$H,M$1,Prod_Prop!$I:$I,"Exacto"),Prod_Prop!$A:$A,Prod_Prop!$J:$J,"",0,1))</f>
        <v/>
      </c>
      <c r="N124" s="4" t="str">
        <f t="array" ref="N124">IF($E124="","", XLOOKUP(SUMIFS(Prod_Prop!$A:$A,Prod_Prop!$B:$B,$E124,Prod_Prop!$H:$H,N$1,Prod_Prop!$I:$I,"Exacto"),Prod_Prop!$A:$A,Prod_Prop!$J:$J,"",0,1))</f>
        <v/>
      </c>
      <c r="O124" s="4" t="str">
        <f t="array" ref="O124">IF($E124="","", XLOOKUP(SUMIFS(Prod_Prop!$A:$A,Prod_Prop!$B:$B,$E124,Prod_Prop!$H:$H,O$1,Prod_Prop!$I:$I,"Exacto"),Prod_Prop!$A:$A,Prod_Prop!$J:$J,"",0,1))</f>
        <v/>
      </c>
      <c r="P124" s="4" t="str">
        <f t="array" ref="P124">IF($E124="","", XLOOKUP(SUMIFS(Prod_Prop!$A:$A,Prod_Prop!$B:$B,$E124,Prod_Prop!$H:$H,P$1,Prod_Prop!$I:$I,"Exacto"),Prod_Prop!$A:$A,Prod_Prop!$J:$J,"",0,1))</f>
        <v/>
      </c>
      <c r="Q124" s="4" t="str">
        <f t="array" ref="Q124">IF($E124="","", XLOOKUP(SUMIFS(Prod_Prop!$A:$A,Prod_Prop!$B:$B,$E124,Prod_Prop!$H:$H,Q$1,Prod_Prop!$I:$I,"Exacto"),Prod_Prop!$A:$A,Prod_Prop!$J:$J,"",0,1))</f>
        <v/>
      </c>
      <c r="R124" s="4" t="str">
        <f t="array" ref="R124">IF($E124="","", XLOOKUP(SUMIFS(Prod_Prop!$A:$A,Prod_Prop!$B:$B,$E124,Prod_Prop!$H:$H,R$1,Prod_Prop!$I:$I,"Exacto"),Prod_Prop!$A:$A,Prod_Prop!$J:$J,"",0,1))</f>
        <v/>
      </c>
      <c r="S124" s="4" t="str">
        <f t="array" ref="S124">IF($E124="","", XLOOKUP(SUMIFS(Prod_Prop!$A:$A,Prod_Prop!$B:$B,$E124,Prod_Prop!$H:$H,S$1,Prod_Prop!$I:$I,"Exacto"),Prod_Prop!$A:$A,Prod_Prop!$J:$J,"",0,1))</f>
        <v/>
      </c>
      <c r="T124" s="4" t="str">
        <f t="array" ref="T124">IF($E124="","", XLOOKUP(SUMIFS(Prod_Prop!$A:$A,Prod_Prop!$B:$B,$E124,Prod_Prop!$H:$H,T$1,Prod_Prop!$I:$I,"Exacto"),Prod_Prop!$A:$A,Prod_Prop!$J:$J,"",0,1))</f>
        <v/>
      </c>
      <c r="U124" s="4" t="str">
        <f t="array" ref="U124">IF($E124="","", XLOOKUP(SUMIFS(Prod_Prop!$A:$A,Prod_Prop!$B:$B,$E124,Prod_Prop!$H:$H,U$1,Prod_Prop!$I:$I,"Exacto"),Prod_Prop!$A:$A,Prod_Prop!$J:$J,"",0,1))</f>
        <v/>
      </c>
      <c r="V124" s="4" t="str">
        <f t="array" ref="V124">IF($E124="","", XLOOKUP(SUMIFS(Prod_Prop!$A:$A,Prod_Prop!$B:$B,$E124,Prod_Prop!$H:$H,V$1,Prod_Prop!$I:$I,"Exacto"),Prod_Prop!$A:$A,Prod_Prop!$J:$J,"",0,1))</f>
        <v/>
      </c>
      <c r="X124" s="3" t="str">
        <f>IFERROR(__xludf.DUMMYFUNCTION("IF(D124="""","""",IFERROR(TRANSPOSE(FILTER('Validaciones Cotizador'!U:U,'Validaciones Cotizador'!O:O=D124,'Validaciones Cotizador'!T:T=""x"")),""Finalizar""))"),"")</f>
        <v/>
      </c>
    </row>
    <row r="125">
      <c r="A125" s="2" t="str">
        <f t="array" ref="A125">IF(E125="","",XLOOKUP(D125,'Validaciones Cotizador'!C:C,'Validaciones Cotizador'!A:A,"",0,1))</f>
        <v/>
      </c>
      <c r="B125" s="2" t="str">
        <f t="array" ref="B125">IF(F125="","",XLOOKUP(F125,Productos!E:E,Productos!G:G,"",0,1))</f>
        <v/>
      </c>
      <c r="C125" s="2" t="str">
        <f>IF(A125="","",SUMIFS('Validaciones Cotizador'!B:B,'Validaciones Cotizador'!C:C,D125,'Validaciones Cotizador'!A:A,A125))</f>
        <v/>
      </c>
      <c r="D125" s="4" t="str">
        <f>IFERROR(__xludf.DUMMYFUNCTION("IF(OR(F124=""Finalizar"",F124="""",F124=""Selecciona..""),"""",IF(OR(F124=""-"",INDEX(filter(Familias!F:F,Familias!D:D=A124,Familias!E:E=C124),1)=""O""),D124+1,D124))"),"")</f>
        <v/>
      </c>
      <c r="E125" s="2" t="str">
        <f>IF(OR(F125="",F125="Selecciona.."),"",IF(D125="Implemento",SUMIF(Implementos!B:B,F125,Implementos!A:A),SUMIF(Productos!E:E,F125,Productos!A:A)))</f>
        <v/>
      </c>
      <c r="F125" s="2" t="str">
        <f t="shared" si="2"/>
        <v/>
      </c>
      <c r="G125" s="10" t="str">
        <f t="array" ref="G125">IF(OR(F125="",F125="-",F125="Selecciona..",F125="Finalizar"),"",IF(A125="Rodados",XLOOKUP(B125,'Validaciones Cotizador'!I:I,'Validaciones Cotizador'!J:J,0,0,1),1))</f>
        <v/>
      </c>
      <c r="H125" s="11" t="str">
        <f>IF(OR(F125="",F125="Selecciona.."),"",SUMIF(Precio_Productos!K:K,E125,Precio_Productos!J:J)*G125)</f>
        <v/>
      </c>
      <c r="I125" s="4" t="str">
        <f t="array" ref="I125">IF($E125="","", XLOOKUP(SUMIFS(Prod_Prop!$A:$A,Prod_Prop!$B:$B,$E125,Prod_Prop!$H:$H,I$1,Prod_Prop!$I:$I,"Exacto"),Prod_Prop!$A:$A,Prod_Prop!$J:$J,"",0,1))</f>
        <v/>
      </c>
      <c r="J125" s="4" t="str">
        <f t="array" ref="J125">IF($E125="","", XLOOKUP(SUMIFS(Prod_Prop!$A:$A,Prod_Prop!$B:$B,$E125,Prod_Prop!$H:$H,J$1,Prod_Prop!$I:$I,"Exacto"),Prod_Prop!$A:$A,Prod_Prop!$J:$J,"",0,1))</f>
        <v/>
      </c>
      <c r="K125" s="4" t="str">
        <f t="array" ref="K125">IF($E125="","", XLOOKUP(SUMIFS(Prod_Prop!$A:$A,Prod_Prop!$B:$B,$E125,Prod_Prop!$H:$H,K$1,Prod_Prop!$I:$I,"Exacto"),Prod_Prop!$A:$A,Prod_Prop!$J:$J,"",0,1))</f>
        <v/>
      </c>
      <c r="L125" s="4" t="str">
        <f t="array" ref="L125">IF($E125="","", XLOOKUP(SUMIFS(Prod_Prop!$A:$A,Prod_Prop!$B:$B,$E125,Prod_Prop!$H:$H,L$1,Prod_Prop!$I:$I,"Exacto"),Prod_Prop!$A:$A,Prod_Prop!$J:$J,"",0,1))</f>
        <v/>
      </c>
      <c r="M125" s="4" t="str">
        <f t="array" ref="M125">IF($E125="","", XLOOKUP(SUMIFS(Prod_Prop!$A:$A,Prod_Prop!$B:$B,$E125,Prod_Prop!$H:$H,M$1,Prod_Prop!$I:$I,"Exacto"),Prod_Prop!$A:$A,Prod_Prop!$J:$J,"",0,1))</f>
        <v/>
      </c>
      <c r="N125" s="4" t="str">
        <f t="array" ref="N125">IF($E125="","", XLOOKUP(SUMIFS(Prod_Prop!$A:$A,Prod_Prop!$B:$B,$E125,Prod_Prop!$H:$H,N$1,Prod_Prop!$I:$I,"Exacto"),Prod_Prop!$A:$A,Prod_Prop!$J:$J,"",0,1))</f>
        <v/>
      </c>
      <c r="O125" s="4" t="str">
        <f t="array" ref="O125">IF($E125="","", XLOOKUP(SUMIFS(Prod_Prop!$A:$A,Prod_Prop!$B:$B,$E125,Prod_Prop!$H:$H,O$1,Prod_Prop!$I:$I,"Exacto"),Prod_Prop!$A:$A,Prod_Prop!$J:$J,"",0,1))</f>
        <v/>
      </c>
      <c r="P125" s="4" t="str">
        <f t="array" ref="P125">IF($E125="","", XLOOKUP(SUMIFS(Prod_Prop!$A:$A,Prod_Prop!$B:$B,$E125,Prod_Prop!$H:$H,P$1,Prod_Prop!$I:$I,"Exacto"),Prod_Prop!$A:$A,Prod_Prop!$J:$J,"",0,1))</f>
        <v/>
      </c>
      <c r="Q125" s="4" t="str">
        <f t="array" ref="Q125">IF($E125="","", XLOOKUP(SUMIFS(Prod_Prop!$A:$A,Prod_Prop!$B:$B,$E125,Prod_Prop!$H:$H,Q$1,Prod_Prop!$I:$I,"Exacto"),Prod_Prop!$A:$A,Prod_Prop!$J:$J,"",0,1))</f>
        <v/>
      </c>
      <c r="R125" s="4" t="str">
        <f t="array" ref="R125">IF($E125="","", XLOOKUP(SUMIFS(Prod_Prop!$A:$A,Prod_Prop!$B:$B,$E125,Prod_Prop!$H:$H,R$1,Prod_Prop!$I:$I,"Exacto"),Prod_Prop!$A:$A,Prod_Prop!$J:$J,"",0,1))</f>
        <v/>
      </c>
      <c r="S125" s="4" t="str">
        <f t="array" ref="S125">IF($E125="","", XLOOKUP(SUMIFS(Prod_Prop!$A:$A,Prod_Prop!$B:$B,$E125,Prod_Prop!$H:$H,S$1,Prod_Prop!$I:$I,"Exacto"),Prod_Prop!$A:$A,Prod_Prop!$J:$J,"",0,1))</f>
        <v/>
      </c>
      <c r="T125" s="4" t="str">
        <f t="array" ref="T125">IF($E125="","", XLOOKUP(SUMIFS(Prod_Prop!$A:$A,Prod_Prop!$B:$B,$E125,Prod_Prop!$H:$H,T$1,Prod_Prop!$I:$I,"Exacto"),Prod_Prop!$A:$A,Prod_Prop!$J:$J,"",0,1))</f>
        <v/>
      </c>
      <c r="U125" s="4" t="str">
        <f t="array" ref="U125">IF($E125="","", XLOOKUP(SUMIFS(Prod_Prop!$A:$A,Prod_Prop!$B:$B,$E125,Prod_Prop!$H:$H,U$1,Prod_Prop!$I:$I,"Exacto"),Prod_Prop!$A:$A,Prod_Prop!$J:$J,"",0,1))</f>
        <v/>
      </c>
      <c r="V125" s="4" t="str">
        <f t="array" ref="V125">IF($E125="","", XLOOKUP(SUMIFS(Prod_Prop!$A:$A,Prod_Prop!$B:$B,$E125,Prod_Prop!$H:$H,V$1,Prod_Prop!$I:$I,"Exacto"),Prod_Prop!$A:$A,Prod_Prop!$J:$J,"",0,1))</f>
        <v/>
      </c>
      <c r="X125" s="3" t="str">
        <f>IFERROR(__xludf.DUMMYFUNCTION("IF(D125="""","""",IFERROR(TRANSPOSE(FILTER('Validaciones Cotizador'!U:U,'Validaciones Cotizador'!O:O=D125,'Validaciones Cotizador'!T:T=""x"")),""Finalizar""))"),"")</f>
        <v/>
      </c>
    </row>
    <row r="126">
      <c r="A126" s="2" t="str">
        <f t="array" ref="A126">IF(E126="","",XLOOKUP(D126,'Validaciones Cotizador'!C:C,'Validaciones Cotizador'!A:A,"",0,1))</f>
        <v/>
      </c>
      <c r="B126" s="2" t="str">
        <f t="array" ref="B126">IF(F126="","",XLOOKUP(F126,Productos!E:E,Productos!G:G,"",0,1))</f>
        <v/>
      </c>
      <c r="C126" s="2" t="str">
        <f>IF(A126="","",SUMIFS('Validaciones Cotizador'!B:B,'Validaciones Cotizador'!C:C,D126,'Validaciones Cotizador'!A:A,A126))</f>
        <v/>
      </c>
      <c r="D126" s="4" t="str">
        <f>IFERROR(__xludf.DUMMYFUNCTION("IF(OR(F125=""Finalizar"",F125="""",F125=""Selecciona..""),"""",IF(OR(F125=""-"",INDEX(filter(Familias!F:F,Familias!D:D=A125,Familias!E:E=C125),1)=""O""),D125+1,D125))"),"")</f>
        <v/>
      </c>
      <c r="E126" s="2" t="str">
        <f>IF(OR(F126="",F126="Selecciona.."),"",IF(D126="Implemento",SUMIF(Implementos!B:B,F126,Implementos!A:A),SUMIF(Productos!E:E,F126,Productos!A:A)))</f>
        <v/>
      </c>
      <c r="F126" s="2" t="str">
        <f t="shared" si="2"/>
        <v/>
      </c>
      <c r="G126" s="10" t="str">
        <f t="array" ref="G126">IF(OR(F126="",F126="-",F126="Selecciona..",F126="Finalizar"),"",IF(A126="Rodados",XLOOKUP(B126,'Validaciones Cotizador'!I:I,'Validaciones Cotizador'!J:J,0,0,1),1))</f>
        <v/>
      </c>
      <c r="H126" s="11" t="str">
        <f>IF(OR(F126="",F126="Selecciona.."),"",SUMIF(Precio_Productos!K:K,E126,Precio_Productos!J:J)*G126)</f>
        <v/>
      </c>
      <c r="I126" s="4" t="str">
        <f t="array" ref="I126">IF($E126="","", XLOOKUP(SUMIFS(Prod_Prop!$A:$A,Prod_Prop!$B:$B,$E126,Prod_Prop!$H:$H,I$1,Prod_Prop!$I:$I,"Exacto"),Prod_Prop!$A:$A,Prod_Prop!$J:$J,"",0,1))</f>
        <v/>
      </c>
      <c r="J126" s="4" t="str">
        <f t="array" ref="J126">IF($E126="","", XLOOKUP(SUMIFS(Prod_Prop!$A:$A,Prod_Prop!$B:$B,$E126,Prod_Prop!$H:$H,J$1,Prod_Prop!$I:$I,"Exacto"),Prod_Prop!$A:$A,Prod_Prop!$J:$J,"",0,1))</f>
        <v/>
      </c>
      <c r="K126" s="4" t="str">
        <f t="array" ref="K126">IF($E126="","", XLOOKUP(SUMIFS(Prod_Prop!$A:$A,Prod_Prop!$B:$B,$E126,Prod_Prop!$H:$H,K$1,Prod_Prop!$I:$I,"Exacto"),Prod_Prop!$A:$A,Prod_Prop!$J:$J,"",0,1))</f>
        <v/>
      </c>
      <c r="L126" s="4" t="str">
        <f t="array" ref="L126">IF($E126="","", XLOOKUP(SUMIFS(Prod_Prop!$A:$A,Prod_Prop!$B:$B,$E126,Prod_Prop!$H:$H,L$1,Prod_Prop!$I:$I,"Exacto"),Prod_Prop!$A:$A,Prod_Prop!$J:$J,"",0,1))</f>
        <v/>
      </c>
      <c r="M126" s="4" t="str">
        <f t="array" ref="M126">IF($E126="","", XLOOKUP(SUMIFS(Prod_Prop!$A:$A,Prod_Prop!$B:$B,$E126,Prod_Prop!$H:$H,M$1,Prod_Prop!$I:$I,"Exacto"),Prod_Prop!$A:$A,Prod_Prop!$J:$J,"",0,1))</f>
        <v/>
      </c>
      <c r="N126" s="4" t="str">
        <f t="array" ref="N126">IF($E126="","", XLOOKUP(SUMIFS(Prod_Prop!$A:$A,Prod_Prop!$B:$B,$E126,Prod_Prop!$H:$H,N$1,Prod_Prop!$I:$I,"Exacto"),Prod_Prop!$A:$A,Prod_Prop!$J:$J,"",0,1))</f>
        <v/>
      </c>
      <c r="O126" s="4" t="str">
        <f t="array" ref="O126">IF($E126="","", XLOOKUP(SUMIFS(Prod_Prop!$A:$A,Prod_Prop!$B:$B,$E126,Prod_Prop!$H:$H,O$1,Prod_Prop!$I:$I,"Exacto"),Prod_Prop!$A:$A,Prod_Prop!$J:$J,"",0,1))</f>
        <v/>
      </c>
      <c r="P126" s="4" t="str">
        <f t="array" ref="P126">IF($E126="","", XLOOKUP(SUMIFS(Prod_Prop!$A:$A,Prod_Prop!$B:$B,$E126,Prod_Prop!$H:$H,P$1,Prod_Prop!$I:$I,"Exacto"),Prod_Prop!$A:$A,Prod_Prop!$J:$J,"",0,1))</f>
        <v/>
      </c>
      <c r="Q126" s="4" t="str">
        <f t="array" ref="Q126">IF($E126="","", XLOOKUP(SUMIFS(Prod_Prop!$A:$A,Prod_Prop!$B:$B,$E126,Prod_Prop!$H:$H,Q$1,Prod_Prop!$I:$I,"Exacto"),Prod_Prop!$A:$A,Prod_Prop!$J:$J,"",0,1))</f>
        <v/>
      </c>
      <c r="R126" s="4" t="str">
        <f t="array" ref="R126">IF($E126="","", XLOOKUP(SUMIFS(Prod_Prop!$A:$A,Prod_Prop!$B:$B,$E126,Prod_Prop!$H:$H,R$1,Prod_Prop!$I:$I,"Exacto"),Prod_Prop!$A:$A,Prod_Prop!$J:$J,"",0,1))</f>
        <v/>
      </c>
      <c r="S126" s="4" t="str">
        <f t="array" ref="S126">IF($E126="","", XLOOKUP(SUMIFS(Prod_Prop!$A:$A,Prod_Prop!$B:$B,$E126,Prod_Prop!$H:$H,S$1,Prod_Prop!$I:$I,"Exacto"),Prod_Prop!$A:$A,Prod_Prop!$J:$J,"",0,1))</f>
        <v/>
      </c>
      <c r="T126" s="4" t="str">
        <f t="array" ref="T126">IF($E126="","", XLOOKUP(SUMIFS(Prod_Prop!$A:$A,Prod_Prop!$B:$B,$E126,Prod_Prop!$H:$H,T$1,Prod_Prop!$I:$I,"Exacto"),Prod_Prop!$A:$A,Prod_Prop!$J:$J,"",0,1))</f>
        <v/>
      </c>
      <c r="U126" s="4" t="str">
        <f t="array" ref="U126">IF($E126="","", XLOOKUP(SUMIFS(Prod_Prop!$A:$A,Prod_Prop!$B:$B,$E126,Prod_Prop!$H:$H,U$1,Prod_Prop!$I:$I,"Exacto"),Prod_Prop!$A:$A,Prod_Prop!$J:$J,"",0,1))</f>
        <v/>
      </c>
      <c r="V126" s="4" t="str">
        <f t="array" ref="V126">IF($E126="","", XLOOKUP(SUMIFS(Prod_Prop!$A:$A,Prod_Prop!$B:$B,$E126,Prod_Prop!$H:$H,V$1,Prod_Prop!$I:$I,"Exacto"),Prod_Prop!$A:$A,Prod_Prop!$J:$J,"",0,1))</f>
        <v/>
      </c>
      <c r="X126" s="3" t="str">
        <f>IFERROR(__xludf.DUMMYFUNCTION("IF(D126="""","""",IFERROR(TRANSPOSE(FILTER('Validaciones Cotizador'!U:U,'Validaciones Cotizador'!O:O=D126,'Validaciones Cotizador'!T:T=""x"")),""Finalizar""))"),"")</f>
        <v/>
      </c>
    </row>
    <row r="127">
      <c r="A127" s="2" t="str">
        <f t="array" ref="A127">IF(E127="","",XLOOKUP(D127,'Validaciones Cotizador'!C:C,'Validaciones Cotizador'!A:A,"",0,1))</f>
        <v/>
      </c>
      <c r="B127" s="2" t="str">
        <f t="array" ref="B127">IF(F127="","",XLOOKUP(F127,Productos!E:E,Productos!G:G,"",0,1))</f>
        <v/>
      </c>
      <c r="C127" s="2" t="str">
        <f>IF(A127="","",SUMIFS('Validaciones Cotizador'!B:B,'Validaciones Cotizador'!C:C,D127,'Validaciones Cotizador'!A:A,A127))</f>
        <v/>
      </c>
      <c r="D127" s="4" t="str">
        <f>IFERROR(__xludf.DUMMYFUNCTION("IF(OR(F126=""Finalizar"",F126="""",F126=""Selecciona..""),"""",IF(OR(F126=""-"",INDEX(filter(Familias!F:F,Familias!D:D=A126,Familias!E:E=C126),1)=""O""),D126+1,D126))"),"")</f>
        <v/>
      </c>
      <c r="E127" s="2" t="str">
        <f>IF(OR(F127="",F127="Selecciona.."),"",IF(D127="Implemento",SUMIF(Implementos!B:B,F127,Implementos!A:A),SUMIF(Productos!E:E,F127,Productos!A:A)))</f>
        <v/>
      </c>
      <c r="F127" s="2" t="str">
        <f t="shared" si="2"/>
        <v/>
      </c>
      <c r="G127" s="10" t="str">
        <f t="array" ref="G127">IF(OR(F127="",F127="-",F127="Selecciona..",F127="Finalizar"),"",IF(A127="Rodados",XLOOKUP(B127,'Validaciones Cotizador'!I:I,'Validaciones Cotizador'!J:J,0,0,1),1))</f>
        <v/>
      </c>
      <c r="H127" s="11" t="str">
        <f>IF(OR(F127="",F127="Selecciona.."),"",SUMIF(Precio_Productos!K:K,E127,Precio_Productos!J:J)*G127)</f>
        <v/>
      </c>
      <c r="I127" s="4" t="str">
        <f t="array" ref="I127">IF($E127="","", XLOOKUP(SUMIFS(Prod_Prop!$A:$A,Prod_Prop!$B:$B,$E127,Prod_Prop!$H:$H,I$1,Prod_Prop!$I:$I,"Exacto"),Prod_Prop!$A:$A,Prod_Prop!$J:$J,"",0,1))</f>
        <v/>
      </c>
      <c r="J127" s="4" t="str">
        <f t="array" ref="J127">IF($E127="","", XLOOKUP(SUMIFS(Prod_Prop!$A:$A,Prod_Prop!$B:$B,$E127,Prod_Prop!$H:$H,J$1,Prod_Prop!$I:$I,"Exacto"),Prod_Prop!$A:$A,Prod_Prop!$J:$J,"",0,1))</f>
        <v/>
      </c>
      <c r="K127" s="4" t="str">
        <f t="array" ref="K127">IF($E127="","", XLOOKUP(SUMIFS(Prod_Prop!$A:$A,Prod_Prop!$B:$B,$E127,Prod_Prop!$H:$H,K$1,Prod_Prop!$I:$I,"Exacto"),Prod_Prop!$A:$A,Prod_Prop!$J:$J,"",0,1))</f>
        <v/>
      </c>
      <c r="L127" s="4" t="str">
        <f t="array" ref="L127">IF($E127="","", XLOOKUP(SUMIFS(Prod_Prop!$A:$A,Prod_Prop!$B:$B,$E127,Prod_Prop!$H:$H,L$1,Prod_Prop!$I:$I,"Exacto"),Prod_Prop!$A:$A,Prod_Prop!$J:$J,"",0,1))</f>
        <v/>
      </c>
      <c r="M127" s="4" t="str">
        <f t="array" ref="M127">IF($E127="","", XLOOKUP(SUMIFS(Prod_Prop!$A:$A,Prod_Prop!$B:$B,$E127,Prod_Prop!$H:$H,M$1,Prod_Prop!$I:$I,"Exacto"),Prod_Prop!$A:$A,Prod_Prop!$J:$J,"",0,1))</f>
        <v/>
      </c>
      <c r="N127" s="4" t="str">
        <f t="array" ref="N127">IF($E127="","", XLOOKUP(SUMIFS(Prod_Prop!$A:$A,Prod_Prop!$B:$B,$E127,Prod_Prop!$H:$H,N$1,Prod_Prop!$I:$I,"Exacto"),Prod_Prop!$A:$A,Prod_Prop!$J:$J,"",0,1))</f>
        <v/>
      </c>
      <c r="O127" s="4" t="str">
        <f t="array" ref="O127">IF($E127="","", XLOOKUP(SUMIFS(Prod_Prop!$A:$A,Prod_Prop!$B:$B,$E127,Prod_Prop!$H:$H,O$1,Prod_Prop!$I:$I,"Exacto"),Prod_Prop!$A:$A,Prod_Prop!$J:$J,"",0,1))</f>
        <v/>
      </c>
      <c r="P127" s="4" t="str">
        <f t="array" ref="P127">IF($E127="","", XLOOKUP(SUMIFS(Prod_Prop!$A:$A,Prod_Prop!$B:$B,$E127,Prod_Prop!$H:$H,P$1,Prod_Prop!$I:$I,"Exacto"),Prod_Prop!$A:$A,Prod_Prop!$J:$J,"",0,1))</f>
        <v/>
      </c>
      <c r="Q127" s="4" t="str">
        <f t="array" ref="Q127">IF($E127="","", XLOOKUP(SUMIFS(Prod_Prop!$A:$A,Prod_Prop!$B:$B,$E127,Prod_Prop!$H:$H,Q$1,Prod_Prop!$I:$I,"Exacto"),Prod_Prop!$A:$A,Prod_Prop!$J:$J,"",0,1))</f>
        <v/>
      </c>
      <c r="R127" s="4" t="str">
        <f t="array" ref="R127">IF($E127="","", XLOOKUP(SUMIFS(Prod_Prop!$A:$A,Prod_Prop!$B:$B,$E127,Prod_Prop!$H:$H,R$1,Prod_Prop!$I:$I,"Exacto"),Prod_Prop!$A:$A,Prod_Prop!$J:$J,"",0,1))</f>
        <v/>
      </c>
      <c r="S127" s="4" t="str">
        <f t="array" ref="S127">IF($E127="","", XLOOKUP(SUMIFS(Prod_Prop!$A:$A,Prod_Prop!$B:$B,$E127,Prod_Prop!$H:$H,S$1,Prod_Prop!$I:$I,"Exacto"),Prod_Prop!$A:$A,Prod_Prop!$J:$J,"",0,1))</f>
        <v/>
      </c>
      <c r="T127" s="4" t="str">
        <f t="array" ref="T127">IF($E127="","", XLOOKUP(SUMIFS(Prod_Prop!$A:$A,Prod_Prop!$B:$B,$E127,Prod_Prop!$H:$H,T$1,Prod_Prop!$I:$I,"Exacto"),Prod_Prop!$A:$A,Prod_Prop!$J:$J,"",0,1))</f>
        <v/>
      </c>
      <c r="U127" s="4" t="str">
        <f t="array" ref="U127">IF($E127="","", XLOOKUP(SUMIFS(Prod_Prop!$A:$A,Prod_Prop!$B:$B,$E127,Prod_Prop!$H:$H,U$1,Prod_Prop!$I:$I,"Exacto"),Prod_Prop!$A:$A,Prod_Prop!$J:$J,"",0,1))</f>
        <v/>
      </c>
      <c r="V127" s="4" t="str">
        <f t="array" ref="V127">IF($E127="","", XLOOKUP(SUMIFS(Prod_Prop!$A:$A,Prod_Prop!$B:$B,$E127,Prod_Prop!$H:$H,V$1,Prod_Prop!$I:$I,"Exacto"),Prod_Prop!$A:$A,Prod_Prop!$J:$J,"",0,1))</f>
        <v/>
      </c>
      <c r="X127" s="3" t="str">
        <f>IFERROR(__xludf.DUMMYFUNCTION("IF(D127="""","""",IFERROR(TRANSPOSE(FILTER('Validaciones Cotizador'!U:U,'Validaciones Cotizador'!O:O=D127,'Validaciones Cotizador'!T:T=""x"")),""Finalizar""))"),"")</f>
        <v/>
      </c>
    </row>
    <row r="128">
      <c r="A128" s="2" t="str">
        <f t="array" ref="A128">IF(E128="","",XLOOKUP(D128,'Validaciones Cotizador'!C:C,'Validaciones Cotizador'!A:A,"",0,1))</f>
        <v/>
      </c>
      <c r="B128" s="2" t="str">
        <f t="array" ref="B128">IF(F128="","",XLOOKUP(F128,Productos!E:E,Productos!G:G,"",0,1))</f>
        <v/>
      </c>
      <c r="C128" s="2" t="str">
        <f>IF(A128="","",SUMIFS('Validaciones Cotizador'!B:B,'Validaciones Cotizador'!C:C,D128,'Validaciones Cotizador'!A:A,A128))</f>
        <v/>
      </c>
      <c r="D128" s="4" t="str">
        <f>IFERROR(__xludf.DUMMYFUNCTION("IF(OR(F127=""Finalizar"",F127="""",F127=""Selecciona..""),"""",IF(OR(F127=""-"",INDEX(filter(Familias!F:F,Familias!D:D=A127,Familias!E:E=C127),1)=""O""),D127+1,D127))"),"")</f>
        <v/>
      </c>
      <c r="E128" s="2" t="str">
        <f>IF(OR(F128="",F128="Selecciona.."),"",IF(D128="Implemento",SUMIF(Implementos!B:B,F128,Implementos!A:A),SUMIF(Productos!E:E,F128,Productos!A:A)))</f>
        <v/>
      </c>
      <c r="F128" s="2" t="str">
        <f t="shared" si="2"/>
        <v/>
      </c>
      <c r="G128" s="10" t="str">
        <f t="array" ref="G128">IF(OR(F128="",F128="-",F128="Selecciona..",F128="Finalizar"),"",IF(A128="Rodados",XLOOKUP(B128,'Validaciones Cotizador'!I:I,'Validaciones Cotizador'!J:J,0,0,1),1))</f>
        <v/>
      </c>
      <c r="H128" s="11" t="str">
        <f>IF(OR(F128="",F128="Selecciona.."),"",SUMIF(Precio_Productos!K:K,E128,Precio_Productos!J:J)*G128)</f>
        <v/>
      </c>
      <c r="I128" s="4" t="str">
        <f t="array" ref="I128">IF($E128="","", XLOOKUP(SUMIFS(Prod_Prop!$A:$A,Prod_Prop!$B:$B,$E128,Prod_Prop!$H:$H,I$1,Prod_Prop!$I:$I,"Exacto"),Prod_Prop!$A:$A,Prod_Prop!$J:$J,"",0,1))</f>
        <v/>
      </c>
      <c r="J128" s="4" t="str">
        <f t="array" ref="J128">IF($E128="","", XLOOKUP(SUMIFS(Prod_Prop!$A:$A,Prod_Prop!$B:$B,$E128,Prod_Prop!$H:$H,J$1,Prod_Prop!$I:$I,"Exacto"),Prod_Prop!$A:$A,Prod_Prop!$J:$J,"",0,1))</f>
        <v/>
      </c>
      <c r="K128" s="4" t="str">
        <f t="array" ref="K128">IF($E128="","", XLOOKUP(SUMIFS(Prod_Prop!$A:$A,Prod_Prop!$B:$B,$E128,Prod_Prop!$H:$H,K$1,Prod_Prop!$I:$I,"Exacto"),Prod_Prop!$A:$A,Prod_Prop!$J:$J,"",0,1))</f>
        <v/>
      </c>
      <c r="L128" s="4" t="str">
        <f t="array" ref="L128">IF($E128="","", XLOOKUP(SUMIFS(Prod_Prop!$A:$A,Prod_Prop!$B:$B,$E128,Prod_Prop!$H:$H,L$1,Prod_Prop!$I:$I,"Exacto"),Prod_Prop!$A:$A,Prod_Prop!$J:$J,"",0,1))</f>
        <v/>
      </c>
      <c r="M128" s="4" t="str">
        <f t="array" ref="M128">IF($E128="","", XLOOKUP(SUMIFS(Prod_Prop!$A:$A,Prod_Prop!$B:$B,$E128,Prod_Prop!$H:$H,M$1,Prod_Prop!$I:$I,"Exacto"),Prod_Prop!$A:$A,Prod_Prop!$J:$J,"",0,1))</f>
        <v/>
      </c>
      <c r="N128" s="4" t="str">
        <f t="array" ref="N128">IF($E128="","", XLOOKUP(SUMIFS(Prod_Prop!$A:$A,Prod_Prop!$B:$B,$E128,Prod_Prop!$H:$H,N$1,Prod_Prop!$I:$I,"Exacto"),Prod_Prop!$A:$A,Prod_Prop!$J:$J,"",0,1))</f>
        <v/>
      </c>
      <c r="O128" s="4" t="str">
        <f t="array" ref="O128">IF($E128="","", XLOOKUP(SUMIFS(Prod_Prop!$A:$A,Prod_Prop!$B:$B,$E128,Prod_Prop!$H:$H,O$1,Prod_Prop!$I:$I,"Exacto"),Prod_Prop!$A:$A,Prod_Prop!$J:$J,"",0,1))</f>
        <v/>
      </c>
      <c r="P128" s="4" t="str">
        <f t="array" ref="P128">IF($E128="","", XLOOKUP(SUMIFS(Prod_Prop!$A:$A,Prod_Prop!$B:$B,$E128,Prod_Prop!$H:$H,P$1,Prod_Prop!$I:$I,"Exacto"),Prod_Prop!$A:$A,Prod_Prop!$J:$J,"",0,1))</f>
        <v/>
      </c>
      <c r="Q128" s="4" t="str">
        <f t="array" ref="Q128">IF($E128="","", XLOOKUP(SUMIFS(Prod_Prop!$A:$A,Prod_Prop!$B:$B,$E128,Prod_Prop!$H:$H,Q$1,Prod_Prop!$I:$I,"Exacto"),Prod_Prop!$A:$A,Prod_Prop!$J:$J,"",0,1))</f>
        <v/>
      </c>
      <c r="R128" s="4" t="str">
        <f t="array" ref="R128">IF($E128="","", XLOOKUP(SUMIFS(Prod_Prop!$A:$A,Prod_Prop!$B:$B,$E128,Prod_Prop!$H:$H,R$1,Prod_Prop!$I:$I,"Exacto"),Prod_Prop!$A:$A,Prod_Prop!$J:$J,"",0,1))</f>
        <v/>
      </c>
      <c r="S128" s="4" t="str">
        <f t="array" ref="S128">IF($E128="","", XLOOKUP(SUMIFS(Prod_Prop!$A:$A,Prod_Prop!$B:$B,$E128,Prod_Prop!$H:$H,S$1,Prod_Prop!$I:$I,"Exacto"),Prod_Prop!$A:$A,Prod_Prop!$J:$J,"",0,1))</f>
        <v/>
      </c>
      <c r="T128" s="4" t="str">
        <f t="array" ref="T128">IF($E128="","", XLOOKUP(SUMIFS(Prod_Prop!$A:$A,Prod_Prop!$B:$B,$E128,Prod_Prop!$H:$H,T$1,Prod_Prop!$I:$I,"Exacto"),Prod_Prop!$A:$A,Prod_Prop!$J:$J,"",0,1))</f>
        <v/>
      </c>
      <c r="U128" s="4" t="str">
        <f t="array" ref="U128">IF($E128="","", XLOOKUP(SUMIFS(Prod_Prop!$A:$A,Prod_Prop!$B:$B,$E128,Prod_Prop!$H:$H,U$1,Prod_Prop!$I:$I,"Exacto"),Prod_Prop!$A:$A,Prod_Prop!$J:$J,"",0,1))</f>
        <v/>
      </c>
      <c r="V128" s="4" t="str">
        <f t="array" ref="V128">IF($E128="","", XLOOKUP(SUMIFS(Prod_Prop!$A:$A,Prod_Prop!$B:$B,$E128,Prod_Prop!$H:$H,V$1,Prod_Prop!$I:$I,"Exacto"),Prod_Prop!$A:$A,Prod_Prop!$J:$J,"",0,1))</f>
        <v/>
      </c>
      <c r="X128" s="3" t="str">
        <f>IFERROR(__xludf.DUMMYFUNCTION("IF(D128="""","""",IFERROR(TRANSPOSE(FILTER('Validaciones Cotizador'!U:U,'Validaciones Cotizador'!O:O=D128,'Validaciones Cotizador'!T:T=""x"")),""Finalizar""))"),"")</f>
        <v/>
      </c>
    </row>
    <row r="129">
      <c r="A129" s="2" t="str">
        <f t="array" ref="A129">IF(E129="","",XLOOKUP(D129,'Validaciones Cotizador'!C:C,'Validaciones Cotizador'!A:A,"",0,1))</f>
        <v/>
      </c>
      <c r="B129" s="2" t="str">
        <f t="array" ref="B129">IF(F129="","",XLOOKUP(F129,Productos!E:E,Productos!G:G,"",0,1))</f>
        <v/>
      </c>
      <c r="C129" s="2" t="str">
        <f>IF(A129="","",SUMIFS('Validaciones Cotizador'!B:B,'Validaciones Cotizador'!C:C,D129,'Validaciones Cotizador'!A:A,A129))</f>
        <v/>
      </c>
      <c r="D129" s="4" t="str">
        <f>IFERROR(__xludf.DUMMYFUNCTION("IF(OR(F128=""Finalizar"",F128="""",F128=""Selecciona..""),"""",IF(OR(F128=""-"",INDEX(filter(Familias!F:F,Familias!D:D=A128,Familias!E:E=C128),1)=""O""),D128+1,D128))"),"")</f>
        <v/>
      </c>
      <c r="E129" s="2" t="str">
        <f>IF(OR(F129="",F129="Selecciona.."),"",IF(D129="Implemento",SUMIF(Implementos!B:B,F129,Implementos!A:A),SUMIF(Productos!E:E,F129,Productos!A:A)))</f>
        <v/>
      </c>
      <c r="F129" s="2" t="str">
        <f t="shared" si="2"/>
        <v/>
      </c>
      <c r="G129" s="10" t="str">
        <f t="array" ref="G129">IF(OR(F129="",F129="-",F129="Selecciona..",F129="Finalizar"),"",IF(A129="Rodados",XLOOKUP(B129,'Validaciones Cotizador'!I:I,'Validaciones Cotizador'!J:J,0,0,1),1))</f>
        <v/>
      </c>
      <c r="H129" s="11" t="str">
        <f>IF(OR(F129="",F129="Selecciona.."),"",SUMIF(Precio_Productos!K:K,E129,Precio_Productos!J:J)*G129)</f>
        <v/>
      </c>
      <c r="I129" s="4" t="str">
        <f t="array" ref="I129">IF($E129="","", XLOOKUP(SUMIFS(Prod_Prop!$A:$A,Prod_Prop!$B:$B,$E129,Prod_Prop!$H:$H,I$1,Prod_Prop!$I:$I,"Exacto"),Prod_Prop!$A:$A,Prod_Prop!$J:$J,"",0,1))</f>
        <v/>
      </c>
      <c r="J129" s="4" t="str">
        <f t="array" ref="J129">IF($E129="","", XLOOKUP(SUMIFS(Prod_Prop!$A:$A,Prod_Prop!$B:$B,$E129,Prod_Prop!$H:$H,J$1,Prod_Prop!$I:$I,"Exacto"),Prod_Prop!$A:$A,Prod_Prop!$J:$J,"",0,1))</f>
        <v/>
      </c>
      <c r="K129" s="4" t="str">
        <f t="array" ref="K129">IF($E129="","", XLOOKUP(SUMIFS(Prod_Prop!$A:$A,Prod_Prop!$B:$B,$E129,Prod_Prop!$H:$H,K$1,Prod_Prop!$I:$I,"Exacto"),Prod_Prop!$A:$A,Prod_Prop!$J:$J,"",0,1))</f>
        <v/>
      </c>
      <c r="L129" s="4" t="str">
        <f t="array" ref="L129">IF($E129="","", XLOOKUP(SUMIFS(Prod_Prop!$A:$A,Prod_Prop!$B:$B,$E129,Prod_Prop!$H:$H,L$1,Prod_Prop!$I:$I,"Exacto"),Prod_Prop!$A:$A,Prod_Prop!$J:$J,"",0,1))</f>
        <v/>
      </c>
      <c r="M129" s="4" t="str">
        <f t="array" ref="M129">IF($E129="","", XLOOKUP(SUMIFS(Prod_Prop!$A:$A,Prod_Prop!$B:$B,$E129,Prod_Prop!$H:$H,M$1,Prod_Prop!$I:$I,"Exacto"),Prod_Prop!$A:$A,Prod_Prop!$J:$J,"",0,1))</f>
        <v/>
      </c>
      <c r="N129" s="4" t="str">
        <f t="array" ref="N129">IF($E129="","", XLOOKUP(SUMIFS(Prod_Prop!$A:$A,Prod_Prop!$B:$B,$E129,Prod_Prop!$H:$H,N$1,Prod_Prop!$I:$I,"Exacto"),Prod_Prop!$A:$A,Prod_Prop!$J:$J,"",0,1))</f>
        <v/>
      </c>
      <c r="O129" s="4" t="str">
        <f t="array" ref="O129">IF($E129="","", XLOOKUP(SUMIFS(Prod_Prop!$A:$A,Prod_Prop!$B:$B,$E129,Prod_Prop!$H:$H,O$1,Prod_Prop!$I:$I,"Exacto"),Prod_Prop!$A:$A,Prod_Prop!$J:$J,"",0,1))</f>
        <v/>
      </c>
      <c r="P129" s="4" t="str">
        <f t="array" ref="P129">IF($E129="","", XLOOKUP(SUMIFS(Prod_Prop!$A:$A,Prod_Prop!$B:$B,$E129,Prod_Prop!$H:$H,P$1,Prod_Prop!$I:$I,"Exacto"),Prod_Prop!$A:$A,Prod_Prop!$J:$J,"",0,1))</f>
        <v/>
      </c>
      <c r="Q129" s="4" t="str">
        <f t="array" ref="Q129">IF($E129="","", XLOOKUP(SUMIFS(Prod_Prop!$A:$A,Prod_Prop!$B:$B,$E129,Prod_Prop!$H:$H,Q$1,Prod_Prop!$I:$I,"Exacto"),Prod_Prop!$A:$A,Prod_Prop!$J:$J,"",0,1))</f>
        <v/>
      </c>
      <c r="R129" s="4" t="str">
        <f t="array" ref="R129">IF($E129="","", XLOOKUP(SUMIFS(Prod_Prop!$A:$A,Prod_Prop!$B:$B,$E129,Prod_Prop!$H:$H,R$1,Prod_Prop!$I:$I,"Exacto"),Prod_Prop!$A:$A,Prod_Prop!$J:$J,"",0,1))</f>
        <v/>
      </c>
      <c r="S129" s="4" t="str">
        <f t="array" ref="S129">IF($E129="","", XLOOKUP(SUMIFS(Prod_Prop!$A:$A,Prod_Prop!$B:$B,$E129,Prod_Prop!$H:$H,S$1,Prod_Prop!$I:$I,"Exacto"),Prod_Prop!$A:$A,Prod_Prop!$J:$J,"",0,1))</f>
        <v/>
      </c>
      <c r="T129" s="4" t="str">
        <f t="array" ref="T129">IF($E129="","", XLOOKUP(SUMIFS(Prod_Prop!$A:$A,Prod_Prop!$B:$B,$E129,Prod_Prop!$H:$H,T$1,Prod_Prop!$I:$I,"Exacto"),Prod_Prop!$A:$A,Prod_Prop!$J:$J,"",0,1))</f>
        <v/>
      </c>
      <c r="U129" s="4" t="str">
        <f t="array" ref="U129">IF($E129="","", XLOOKUP(SUMIFS(Prod_Prop!$A:$A,Prod_Prop!$B:$B,$E129,Prod_Prop!$H:$H,U$1,Prod_Prop!$I:$I,"Exacto"),Prod_Prop!$A:$A,Prod_Prop!$J:$J,"",0,1))</f>
        <v/>
      </c>
      <c r="V129" s="4" t="str">
        <f t="array" ref="V129">IF($E129="","", XLOOKUP(SUMIFS(Prod_Prop!$A:$A,Prod_Prop!$B:$B,$E129,Prod_Prop!$H:$H,V$1,Prod_Prop!$I:$I,"Exacto"),Prod_Prop!$A:$A,Prod_Prop!$J:$J,"",0,1))</f>
        <v/>
      </c>
      <c r="X129" s="3" t="str">
        <f>IFERROR(__xludf.DUMMYFUNCTION("IF(D129="""","""",IFERROR(TRANSPOSE(FILTER('Validaciones Cotizador'!U:U,'Validaciones Cotizador'!O:O=D129,'Validaciones Cotizador'!T:T=""x"")),""Finalizar""))"),"")</f>
        <v/>
      </c>
    </row>
    <row r="130">
      <c r="A130" s="2" t="str">
        <f t="array" ref="A130">IF(E130="","",XLOOKUP(D130,'Validaciones Cotizador'!C:C,'Validaciones Cotizador'!A:A,"",0,1))</f>
        <v/>
      </c>
      <c r="B130" s="2" t="str">
        <f t="array" ref="B130">IF(F130="","",XLOOKUP(F130,Productos!E:E,Productos!G:G,"",0,1))</f>
        <v/>
      </c>
      <c r="C130" s="2" t="str">
        <f>IF(A130="","",SUMIFS('Validaciones Cotizador'!B:B,'Validaciones Cotizador'!C:C,D130,'Validaciones Cotizador'!A:A,A130))</f>
        <v/>
      </c>
      <c r="D130" s="4" t="str">
        <f>IFERROR(__xludf.DUMMYFUNCTION("IF(OR(F129=""Finalizar"",F129="""",F129=""Selecciona..""),"""",IF(OR(F129=""-"",INDEX(filter(Familias!F:F,Familias!D:D=A129,Familias!E:E=C129),1)=""O""),D129+1,D129))"),"")</f>
        <v/>
      </c>
      <c r="E130" s="2" t="str">
        <f>IF(OR(F130="",F130="Selecciona.."),"",IF(D130="Implemento",SUMIF(Implementos!B:B,F130,Implementos!A:A),SUMIF(Productos!E:E,F130,Productos!A:A)))</f>
        <v/>
      </c>
      <c r="F130" s="2" t="str">
        <f t="shared" si="2"/>
        <v/>
      </c>
      <c r="G130" s="10" t="str">
        <f t="array" ref="G130">IF(OR(F130="",F130="-",F130="Selecciona..",F130="Finalizar"),"",IF(A130="Rodados",XLOOKUP(B130,'Validaciones Cotizador'!I:I,'Validaciones Cotizador'!J:J,0,0,1),1))</f>
        <v/>
      </c>
      <c r="H130" s="11" t="str">
        <f>IF(OR(F130="",F130="Selecciona.."),"",SUMIF(Precio_Productos!K:K,E130,Precio_Productos!J:J)*G130)</f>
        <v/>
      </c>
      <c r="I130" s="4" t="str">
        <f t="array" ref="I130">IF($E130="","", XLOOKUP(SUMIFS(Prod_Prop!$A:$A,Prod_Prop!$B:$B,$E130,Prod_Prop!$H:$H,I$1,Prod_Prop!$I:$I,"Exacto"),Prod_Prop!$A:$A,Prod_Prop!$J:$J,"",0,1))</f>
        <v/>
      </c>
      <c r="J130" s="4" t="str">
        <f t="array" ref="J130">IF($E130="","", XLOOKUP(SUMIFS(Prod_Prop!$A:$A,Prod_Prop!$B:$B,$E130,Prod_Prop!$H:$H,J$1,Prod_Prop!$I:$I,"Exacto"),Prod_Prop!$A:$A,Prod_Prop!$J:$J,"",0,1))</f>
        <v/>
      </c>
      <c r="K130" s="4" t="str">
        <f t="array" ref="K130">IF($E130="","", XLOOKUP(SUMIFS(Prod_Prop!$A:$A,Prod_Prop!$B:$B,$E130,Prod_Prop!$H:$H,K$1,Prod_Prop!$I:$I,"Exacto"),Prod_Prop!$A:$A,Prod_Prop!$J:$J,"",0,1))</f>
        <v/>
      </c>
      <c r="L130" s="4" t="str">
        <f t="array" ref="L130">IF($E130="","", XLOOKUP(SUMIFS(Prod_Prop!$A:$A,Prod_Prop!$B:$B,$E130,Prod_Prop!$H:$H,L$1,Prod_Prop!$I:$I,"Exacto"),Prod_Prop!$A:$A,Prod_Prop!$J:$J,"",0,1))</f>
        <v/>
      </c>
      <c r="M130" s="4" t="str">
        <f t="array" ref="M130">IF($E130="","", XLOOKUP(SUMIFS(Prod_Prop!$A:$A,Prod_Prop!$B:$B,$E130,Prod_Prop!$H:$H,M$1,Prod_Prop!$I:$I,"Exacto"),Prod_Prop!$A:$A,Prod_Prop!$J:$J,"",0,1))</f>
        <v/>
      </c>
      <c r="N130" s="4" t="str">
        <f t="array" ref="N130">IF($E130="","", XLOOKUP(SUMIFS(Prod_Prop!$A:$A,Prod_Prop!$B:$B,$E130,Prod_Prop!$H:$H,N$1,Prod_Prop!$I:$I,"Exacto"),Prod_Prop!$A:$A,Prod_Prop!$J:$J,"",0,1))</f>
        <v/>
      </c>
      <c r="O130" s="4" t="str">
        <f t="array" ref="O130">IF($E130="","", XLOOKUP(SUMIFS(Prod_Prop!$A:$A,Prod_Prop!$B:$B,$E130,Prod_Prop!$H:$H,O$1,Prod_Prop!$I:$I,"Exacto"),Prod_Prop!$A:$A,Prod_Prop!$J:$J,"",0,1))</f>
        <v/>
      </c>
      <c r="P130" s="4" t="str">
        <f t="array" ref="P130">IF($E130="","", XLOOKUP(SUMIFS(Prod_Prop!$A:$A,Prod_Prop!$B:$B,$E130,Prod_Prop!$H:$H,P$1,Prod_Prop!$I:$I,"Exacto"),Prod_Prop!$A:$A,Prod_Prop!$J:$J,"",0,1))</f>
        <v/>
      </c>
      <c r="Q130" s="4" t="str">
        <f t="array" ref="Q130">IF($E130="","", XLOOKUP(SUMIFS(Prod_Prop!$A:$A,Prod_Prop!$B:$B,$E130,Prod_Prop!$H:$H,Q$1,Prod_Prop!$I:$I,"Exacto"),Prod_Prop!$A:$A,Prod_Prop!$J:$J,"",0,1))</f>
        <v/>
      </c>
      <c r="R130" s="4" t="str">
        <f t="array" ref="R130">IF($E130="","", XLOOKUP(SUMIFS(Prod_Prop!$A:$A,Prod_Prop!$B:$B,$E130,Prod_Prop!$H:$H,R$1,Prod_Prop!$I:$I,"Exacto"),Prod_Prop!$A:$A,Prod_Prop!$J:$J,"",0,1))</f>
        <v/>
      </c>
      <c r="S130" s="4" t="str">
        <f t="array" ref="S130">IF($E130="","", XLOOKUP(SUMIFS(Prod_Prop!$A:$A,Prod_Prop!$B:$B,$E130,Prod_Prop!$H:$H,S$1,Prod_Prop!$I:$I,"Exacto"),Prod_Prop!$A:$A,Prod_Prop!$J:$J,"",0,1))</f>
        <v/>
      </c>
      <c r="T130" s="4" t="str">
        <f t="array" ref="T130">IF($E130="","", XLOOKUP(SUMIFS(Prod_Prop!$A:$A,Prod_Prop!$B:$B,$E130,Prod_Prop!$H:$H,T$1,Prod_Prop!$I:$I,"Exacto"),Prod_Prop!$A:$A,Prod_Prop!$J:$J,"",0,1))</f>
        <v/>
      </c>
      <c r="U130" s="4" t="str">
        <f t="array" ref="U130">IF($E130="","", XLOOKUP(SUMIFS(Prod_Prop!$A:$A,Prod_Prop!$B:$B,$E130,Prod_Prop!$H:$H,U$1,Prod_Prop!$I:$I,"Exacto"),Prod_Prop!$A:$A,Prod_Prop!$J:$J,"",0,1))</f>
        <v/>
      </c>
      <c r="V130" s="4" t="str">
        <f t="array" ref="V130">IF($E130="","", XLOOKUP(SUMIFS(Prod_Prop!$A:$A,Prod_Prop!$B:$B,$E130,Prod_Prop!$H:$H,V$1,Prod_Prop!$I:$I,"Exacto"),Prod_Prop!$A:$A,Prod_Prop!$J:$J,"",0,1))</f>
        <v/>
      </c>
      <c r="X130" s="3" t="str">
        <f>IFERROR(__xludf.DUMMYFUNCTION("IF(D130="""","""",IFERROR(TRANSPOSE(FILTER('Validaciones Cotizador'!U:U,'Validaciones Cotizador'!O:O=D130,'Validaciones Cotizador'!T:T=""x"")),""Finalizar""))"),"")</f>
        <v/>
      </c>
    </row>
    <row r="131">
      <c r="A131" s="2" t="str">
        <f t="array" ref="A131">IF(E131="","",XLOOKUP(D131,'Validaciones Cotizador'!C:C,'Validaciones Cotizador'!A:A,"",0,1))</f>
        <v/>
      </c>
      <c r="B131" s="2" t="str">
        <f t="array" ref="B131">IF(F131="","",XLOOKUP(F131,Productos!E:E,Productos!G:G,"",0,1))</f>
        <v/>
      </c>
      <c r="C131" s="2" t="str">
        <f>IF(A131="","",SUMIFS('Validaciones Cotizador'!B:B,'Validaciones Cotizador'!C:C,D131,'Validaciones Cotizador'!A:A,A131))</f>
        <v/>
      </c>
      <c r="D131" s="4" t="str">
        <f>IFERROR(__xludf.DUMMYFUNCTION("IF(OR(F130=""Finalizar"",F130="""",F130=""Selecciona..""),"""",IF(OR(F130=""-"",INDEX(filter(Familias!F:F,Familias!D:D=A130,Familias!E:E=C130),1)=""O""),D130+1,D130))"),"")</f>
        <v/>
      </c>
      <c r="E131" s="2" t="str">
        <f>IF(OR(F131="",F131="Selecciona.."),"",IF(D131="Implemento",SUMIF(Implementos!B:B,F131,Implementos!A:A),SUMIF(Productos!E:E,F131,Productos!A:A)))</f>
        <v/>
      </c>
      <c r="F131" s="2" t="str">
        <f t="shared" si="2"/>
        <v/>
      </c>
      <c r="G131" s="10" t="str">
        <f t="array" ref="G131">IF(OR(F131="",F131="-",F131="Selecciona..",F131="Finalizar"),"",IF(A131="Rodados",XLOOKUP(B131,'Validaciones Cotizador'!I:I,'Validaciones Cotizador'!J:J,0,0,1),1))</f>
        <v/>
      </c>
      <c r="H131" s="11" t="str">
        <f>IF(OR(F131="",F131="Selecciona.."),"",SUMIF(Precio_Productos!K:K,E131,Precio_Productos!J:J)*G131)</f>
        <v/>
      </c>
      <c r="I131" s="4" t="str">
        <f t="array" ref="I131">IF($E131="","", XLOOKUP(SUMIFS(Prod_Prop!$A:$A,Prod_Prop!$B:$B,$E131,Prod_Prop!$H:$H,I$1,Prod_Prop!$I:$I,"Exacto"),Prod_Prop!$A:$A,Prod_Prop!$J:$J,"",0,1))</f>
        <v/>
      </c>
      <c r="J131" s="4" t="str">
        <f t="array" ref="J131">IF($E131="","", XLOOKUP(SUMIFS(Prod_Prop!$A:$A,Prod_Prop!$B:$B,$E131,Prod_Prop!$H:$H,J$1,Prod_Prop!$I:$I,"Exacto"),Prod_Prop!$A:$A,Prod_Prop!$J:$J,"",0,1))</f>
        <v/>
      </c>
      <c r="K131" s="4" t="str">
        <f t="array" ref="K131">IF($E131="","", XLOOKUP(SUMIFS(Prod_Prop!$A:$A,Prod_Prop!$B:$B,$E131,Prod_Prop!$H:$H,K$1,Prod_Prop!$I:$I,"Exacto"),Prod_Prop!$A:$A,Prod_Prop!$J:$J,"",0,1))</f>
        <v/>
      </c>
      <c r="L131" s="4" t="str">
        <f t="array" ref="L131">IF($E131="","", XLOOKUP(SUMIFS(Prod_Prop!$A:$A,Prod_Prop!$B:$B,$E131,Prod_Prop!$H:$H,L$1,Prod_Prop!$I:$I,"Exacto"),Prod_Prop!$A:$A,Prod_Prop!$J:$J,"",0,1))</f>
        <v/>
      </c>
      <c r="M131" s="4" t="str">
        <f t="array" ref="M131">IF($E131="","", XLOOKUP(SUMIFS(Prod_Prop!$A:$A,Prod_Prop!$B:$B,$E131,Prod_Prop!$H:$H,M$1,Prod_Prop!$I:$I,"Exacto"),Prod_Prop!$A:$A,Prod_Prop!$J:$J,"",0,1))</f>
        <v/>
      </c>
      <c r="N131" s="4" t="str">
        <f t="array" ref="N131">IF($E131="","", XLOOKUP(SUMIFS(Prod_Prop!$A:$A,Prod_Prop!$B:$B,$E131,Prod_Prop!$H:$H,N$1,Prod_Prop!$I:$I,"Exacto"),Prod_Prop!$A:$A,Prod_Prop!$J:$J,"",0,1))</f>
        <v/>
      </c>
      <c r="O131" s="4" t="str">
        <f t="array" ref="O131">IF($E131="","", XLOOKUP(SUMIFS(Prod_Prop!$A:$A,Prod_Prop!$B:$B,$E131,Prod_Prop!$H:$H,O$1,Prod_Prop!$I:$I,"Exacto"),Prod_Prop!$A:$A,Prod_Prop!$J:$J,"",0,1))</f>
        <v/>
      </c>
      <c r="P131" s="4" t="str">
        <f t="array" ref="P131">IF($E131="","", XLOOKUP(SUMIFS(Prod_Prop!$A:$A,Prod_Prop!$B:$B,$E131,Prod_Prop!$H:$H,P$1,Prod_Prop!$I:$I,"Exacto"),Prod_Prop!$A:$A,Prod_Prop!$J:$J,"",0,1))</f>
        <v/>
      </c>
      <c r="Q131" s="4" t="str">
        <f t="array" ref="Q131">IF($E131="","", XLOOKUP(SUMIFS(Prod_Prop!$A:$A,Prod_Prop!$B:$B,$E131,Prod_Prop!$H:$H,Q$1,Prod_Prop!$I:$I,"Exacto"),Prod_Prop!$A:$A,Prod_Prop!$J:$J,"",0,1))</f>
        <v/>
      </c>
      <c r="R131" s="4" t="str">
        <f t="array" ref="R131">IF($E131="","", XLOOKUP(SUMIFS(Prod_Prop!$A:$A,Prod_Prop!$B:$B,$E131,Prod_Prop!$H:$H,R$1,Prod_Prop!$I:$I,"Exacto"),Prod_Prop!$A:$A,Prod_Prop!$J:$J,"",0,1))</f>
        <v/>
      </c>
      <c r="S131" s="4" t="str">
        <f t="array" ref="S131">IF($E131="","", XLOOKUP(SUMIFS(Prod_Prop!$A:$A,Prod_Prop!$B:$B,$E131,Prod_Prop!$H:$H,S$1,Prod_Prop!$I:$I,"Exacto"),Prod_Prop!$A:$A,Prod_Prop!$J:$J,"",0,1))</f>
        <v/>
      </c>
      <c r="T131" s="4" t="str">
        <f t="array" ref="T131">IF($E131="","", XLOOKUP(SUMIFS(Prod_Prop!$A:$A,Prod_Prop!$B:$B,$E131,Prod_Prop!$H:$H,T$1,Prod_Prop!$I:$I,"Exacto"),Prod_Prop!$A:$A,Prod_Prop!$J:$J,"",0,1))</f>
        <v/>
      </c>
      <c r="U131" s="4" t="str">
        <f t="array" ref="U131">IF($E131="","", XLOOKUP(SUMIFS(Prod_Prop!$A:$A,Prod_Prop!$B:$B,$E131,Prod_Prop!$H:$H,U$1,Prod_Prop!$I:$I,"Exacto"),Prod_Prop!$A:$A,Prod_Prop!$J:$J,"",0,1))</f>
        <v/>
      </c>
      <c r="V131" s="4" t="str">
        <f t="array" ref="V131">IF($E131="","", XLOOKUP(SUMIFS(Prod_Prop!$A:$A,Prod_Prop!$B:$B,$E131,Prod_Prop!$H:$H,V$1,Prod_Prop!$I:$I,"Exacto"),Prod_Prop!$A:$A,Prod_Prop!$J:$J,"",0,1))</f>
        <v/>
      </c>
      <c r="X131" s="3" t="str">
        <f>IFERROR(__xludf.DUMMYFUNCTION("IF(D131="""","""",IFERROR(TRANSPOSE(FILTER('Validaciones Cotizador'!U:U,'Validaciones Cotizador'!O:O=D131,'Validaciones Cotizador'!T:T=""x"")),""Finalizar""))"),"")</f>
        <v/>
      </c>
    </row>
    <row r="132">
      <c r="A132" s="2" t="str">
        <f t="array" ref="A132">IF(E132="","",XLOOKUP(D132,'Validaciones Cotizador'!C:C,'Validaciones Cotizador'!A:A,"",0,1))</f>
        <v/>
      </c>
      <c r="B132" s="2" t="str">
        <f t="array" ref="B132">IF(F132="","",XLOOKUP(F132,Productos!E:E,Productos!G:G,"",0,1))</f>
        <v/>
      </c>
      <c r="C132" s="2" t="str">
        <f>IF(A132="","",SUMIFS('Validaciones Cotizador'!B:B,'Validaciones Cotizador'!C:C,D132,'Validaciones Cotizador'!A:A,A132))</f>
        <v/>
      </c>
      <c r="D132" s="4" t="str">
        <f>IFERROR(__xludf.DUMMYFUNCTION("IF(OR(F131=""Finalizar"",F131="""",F131=""Selecciona..""),"""",IF(OR(F131=""-"",INDEX(filter(Familias!F:F,Familias!D:D=A131,Familias!E:E=C131),1)=""O""),D131+1,D131))"),"")</f>
        <v/>
      </c>
      <c r="E132" s="2" t="str">
        <f>IF(OR(F132="",F132="Selecciona.."),"",IF(D132="Implemento",SUMIF(Implementos!B:B,F132,Implementos!A:A),SUMIF(Productos!E:E,F132,Productos!A:A)))</f>
        <v/>
      </c>
      <c r="F132" s="2" t="str">
        <f t="shared" si="2"/>
        <v/>
      </c>
      <c r="G132" s="10" t="str">
        <f t="array" ref="G132">IF(OR(F132="",F132="-",F132="Selecciona..",F132="Finalizar"),"",IF(A132="Rodados",XLOOKUP(B132,'Validaciones Cotizador'!I:I,'Validaciones Cotizador'!J:J,0,0,1),1))</f>
        <v/>
      </c>
      <c r="H132" s="11" t="str">
        <f>IF(OR(F132="",F132="Selecciona.."),"",SUMIF(Precio_Productos!K:K,E132,Precio_Productos!J:J)*G132)</f>
        <v/>
      </c>
      <c r="I132" s="4" t="str">
        <f t="array" ref="I132">IF($E132="","", XLOOKUP(SUMIFS(Prod_Prop!$A:$A,Prod_Prop!$B:$B,$E132,Prod_Prop!$H:$H,I$1,Prod_Prop!$I:$I,"Exacto"),Prod_Prop!$A:$A,Prod_Prop!$J:$J,"",0,1))</f>
        <v/>
      </c>
      <c r="J132" s="4" t="str">
        <f t="array" ref="J132">IF($E132="","", XLOOKUP(SUMIFS(Prod_Prop!$A:$A,Prod_Prop!$B:$B,$E132,Prod_Prop!$H:$H,J$1,Prod_Prop!$I:$I,"Exacto"),Prod_Prop!$A:$A,Prod_Prop!$J:$J,"",0,1))</f>
        <v/>
      </c>
      <c r="K132" s="4" t="str">
        <f t="array" ref="K132">IF($E132="","", XLOOKUP(SUMIFS(Prod_Prop!$A:$A,Prod_Prop!$B:$B,$E132,Prod_Prop!$H:$H,K$1,Prod_Prop!$I:$I,"Exacto"),Prod_Prop!$A:$A,Prod_Prop!$J:$J,"",0,1))</f>
        <v/>
      </c>
      <c r="L132" s="4" t="str">
        <f t="array" ref="L132">IF($E132="","", XLOOKUP(SUMIFS(Prod_Prop!$A:$A,Prod_Prop!$B:$B,$E132,Prod_Prop!$H:$H,L$1,Prod_Prop!$I:$I,"Exacto"),Prod_Prop!$A:$A,Prod_Prop!$J:$J,"",0,1))</f>
        <v/>
      </c>
      <c r="M132" s="4" t="str">
        <f t="array" ref="M132">IF($E132="","", XLOOKUP(SUMIFS(Prod_Prop!$A:$A,Prod_Prop!$B:$B,$E132,Prod_Prop!$H:$H,M$1,Prod_Prop!$I:$I,"Exacto"),Prod_Prop!$A:$A,Prod_Prop!$J:$J,"",0,1))</f>
        <v/>
      </c>
      <c r="N132" s="4" t="str">
        <f t="array" ref="N132">IF($E132="","", XLOOKUP(SUMIFS(Prod_Prop!$A:$A,Prod_Prop!$B:$B,$E132,Prod_Prop!$H:$H,N$1,Prod_Prop!$I:$I,"Exacto"),Prod_Prop!$A:$A,Prod_Prop!$J:$J,"",0,1))</f>
        <v/>
      </c>
      <c r="O132" s="4" t="str">
        <f t="array" ref="O132">IF($E132="","", XLOOKUP(SUMIFS(Prod_Prop!$A:$A,Prod_Prop!$B:$B,$E132,Prod_Prop!$H:$H,O$1,Prod_Prop!$I:$I,"Exacto"),Prod_Prop!$A:$A,Prod_Prop!$J:$J,"",0,1))</f>
        <v/>
      </c>
      <c r="P132" s="4" t="str">
        <f t="array" ref="P132">IF($E132="","", XLOOKUP(SUMIFS(Prod_Prop!$A:$A,Prod_Prop!$B:$B,$E132,Prod_Prop!$H:$H,P$1,Prod_Prop!$I:$I,"Exacto"),Prod_Prop!$A:$A,Prod_Prop!$J:$J,"",0,1))</f>
        <v/>
      </c>
      <c r="Q132" s="4" t="str">
        <f t="array" ref="Q132">IF($E132="","", XLOOKUP(SUMIFS(Prod_Prop!$A:$A,Prod_Prop!$B:$B,$E132,Prod_Prop!$H:$H,Q$1,Prod_Prop!$I:$I,"Exacto"),Prod_Prop!$A:$A,Prod_Prop!$J:$J,"",0,1))</f>
        <v/>
      </c>
      <c r="R132" s="4" t="str">
        <f t="array" ref="R132">IF($E132="","", XLOOKUP(SUMIFS(Prod_Prop!$A:$A,Prod_Prop!$B:$B,$E132,Prod_Prop!$H:$H,R$1,Prod_Prop!$I:$I,"Exacto"),Prod_Prop!$A:$A,Prod_Prop!$J:$J,"",0,1))</f>
        <v/>
      </c>
      <c r="S132" s="4" t="str">
        <f t="array" ref="S132">IF($E132="","", XLOOKUP(SUMIFS(Prod_Prop!$A:$A,Prod_Prop!$B:$B,$E132,Prod_Prop!$H:$H,S$1,Prod_Prop!$I:$I,"Exacto"),Prod_Prop!$A:$A,Prod_Prop!$J:$J,"",0,1))</f>
        <v/>
      </c>
      <c r="T132" s="4" t="str">
        <f t="array" ref="T132">IF($E132="","", XLOOKUP(SUMIFS(Prod_Prop!$A:$A,Prod_Prop!$B:$B,$E132,Prod_Prop!$H:$H,T$1,Prod_Prop!$I:$I,"Exacto"),Prod_Prop!$A:$A,Prod_Prop!$J:$J,"",0,1))</f>
        <v/>
      </c>
      <c r="U132" s="4" t="str">
        <f t="array" ref="U132">IF($E132="","", XLOOKUP(SUMIFS(Prod_Prop!$A:$A,Prod_Prop!$B:$B,$E132,Prod_Prop!$H:$H,U$1,Prod_Prop!$I:$I,"Exacto"),Prod_Prop!$A:$A,Prod_Prop!$J:$J,"",0,1))</f>
        <v/>
      </c>
      <c r="V132" s="4" t="str">
        <f t="array" ref="V132">IF($E132="","", XLOOKUP(SUMIFS(Prod_Prop!$A:$A,Prod_Prop!$B:$B,$E132,Prod_Prop!$H:$H,V$1,Prod_Prop!$I:$I,"Exacto"),Prod_Prop!$A:$A,Prod_Prop!$J:$J,"",0,1))</f>
        <v/>
      </c>
      <c r="X132" s="3" t="str">
        <f>IFERROR(__xludf.DUMMYFUNCTION("IF(D132="""","""",IFERROR(TRANSPOSE(FILTER('Validaciones Cotizador'!U:U,'Validaciones Cotizador'!O:O=D132,'Validaciones Cotizador'!T:T=""x"")),""Finalizar""))"),"")</f>
        <v/>
      </c>
    </row>
    <row r="133">
      <c r="A133" s="2" t="str">
        <f t="array" ref="A133">IF(E133="","",XLOOKUP(D133,'Validaciones Cotizador'!C:C,'Validaciones Cotizador'!A:A,"",0,1))</f>
        <v/>
      </c>
      <c r="B133" s="2" t="str">
        <f t="array" ref="B133">IF(F133="","",XLOOKUP(F133,Productos!E:E,Productos!G:G,"",0,1))</f>
        <v/>
      </c>
      <c r="C133" s="2" t="str">
        <f>IF(A133="","",SUMIFS('Validaciones Cotizador'!B:B,'Validaciones Cotizador'!C:C,D133,'Validaciones Cotizador'!A:A,A133))</f>
        <v/>
      </c>
      <c r="D133" s="4" t="str">
        <f>IFERROR(__xludf.DUMMYFUNCTION("IF(OR(F132=""Finalizar"",F132="""",F132=""Selecciona..""),"""",IF(OR(F132=""-"",INDEX(filter(Familias!F:F,Familias!D:D=A132,Familias!E:E=C132),1)=""O""),D132+1,D132))"),"")</f>
        <v/>
      </c>
      <c r="E133" s="2" t="str">
        <f>IF(OR(F133="",F133="Selecciona.."),"",IF(D133="Implemento",SUMIF(Implementos!B:B,F133,Implementos!A:A),SUMIF(Productos!E:E,F133,Productos!A:A)))</f>
        <v/>
      </c>
      <c r="F133" s="2" t="str">
        <f t="shared" si="2"/>
        <v/>
      </c>
      <c r="G133" s="10" t="str">
        <f t="array" ref="G133">IF(OR(F133="",F133="-",F133="Selecciona..",F133="Finalizar"),"",IF(A133="Rodados",XLOOKUP(B133,'Validaciones Cotizador'!I:I,'Validaciones Cotizador'!J:J,0,0,1),1))</f>
        <v/>
      </c>
      <c r="H133" s="11" t="str">
        <f>IF(OR(F133="",F133="Selecciona.."),"",SUMIF(Precio_Productos!K:K,E133,Precio_Productos!J:J)*G133)</f>
        <v/>
      </c>
      <c r="I133" s="4" t="str">
        <f t="array" ref="I133">IF($E133="","", XLOOKUP(SUMIFS(Prod_Prop!$A:$A,Prod_Prop!$B:$B,$E133,Prod_Prop!$H:$H,I$1,Prod_Prop!$I:$I,"Exacto"),Prod_Prop!$A:$A,Prod_Prop!$J:$J,"",0,1))</f>
        <v/>
      </c>
      <c r="J133" s="4" t="str">
        <f t="array" ref="J133">IF($E133="","", XLOOKUP(SUMIFS(Prod_Prop!$A:$A,Prod_Prop!$B:$B,$E133,Prod_Prop!$H:$H,J$1,Prod_Prop!$I:$I,"Exacto"),Prod_Prop!$A:$A,Prod_Prop!$J:$J,"",0,1))</f>
        <v/>
      </c>
      <c r="K133" s="4" t="str">
        <f t="array" ref="K133">IF($E133="","", XLOOKUP(SUMIFS(Prod_Prop!$A:$A,Prod_Prop!$B:$B,$E133,Prod_Prop!$H:$H,K$1,Prod_Prop!$I:$I,"Exacto"),Prod_Prop!$A:$A,Prod_Prop!$J:$J,"",0,1))</f>
        <v/>
      </c>
      <c r="L133" s="4" t="str">
        <f t="array" ref="L133">IF($E133="","", XLOOKUP(SUMIFS(Prod_Prop!$A:$A,Prod_Prop!$B:$B,$E133,Prod_Prop!$H:$H,L$1,Prod_Prop!$I:$I,"Exacto"),Prod_Prop!$A:$A,Prod_Prop!$J:$J,"",0,1))</f>
        <v/>
      </c>
      <c r="M133" s="4" t="str">
        <f t="array" ref="M133">IF($E133="","", XLOOKUP(SUMIFS(Prod_Prop!$A:$A,Prod_Prop!$B:$B,$E133,Prod_Prop!$H:$H,M$1,Prod_Prop!$I:$I,"Exacto"),Prod_Prop!$A:$A,Prod_Prop!$J:$J,"",0,1))</f>
        <v/>
      </c>
      <c r="N133" s="4" t="str">
        <f t="array" ref="N133">IF($E133="","", XLOOKUP(SUMIFS(Prod_Prop!$A:$A,Prod_Prop!$B:$B,$E133,Prod_Prop!$H:$H,N$1,Prod_Prop!$I:$I,"Exacto"),Prod_Prop!$A:$A,Prod_Prop!$J:$J,"",0,1))</f>
        <v/>
      </c>
      <c r="O133" s="4" t="str">
        <f t="array" ref="O133">IF($E133="","", XLOOKUP(SUMIFS(Prod_Prop!$A:$A,Prod_Prop!$B:$B,$E133,Prod_Prop!$H:$H,O$1,Prod_Prop!$I:$I,"Exacto"),Prod_Prop!$A:$A,Prod_Prop!$J:$J,"",0,1))</f>
        <v/>
      </c>
      <c r="P133" s="4" t="str">
        <f t="array" ref="P133">IF($E133="","", XLOOKUP(SUMIFS(Prod_Prop!$A:$A,Prod_Prop!$B:$B,$E133,Prod_Prop!$H:$H,P$1,Prod_Prop!$I:$I,"Exacto"),Prod_Prop!$A:$A,Prod_Prop!$J:$J,"",0,1))</f>
        <v/>
      </c>
      <c r="Q133" s="4" t="str">
        <f t="array" ref="Q133">IF($E133="","", XLOOKUP(SUMIFS(Prod_Prop!$A:$A,Prod_Prop!$B:$B,$E133,Prod_Prop!$H:$H,Q$1,Prod_Prop!$I:$I,"Exacto"),Prod_Prop!$A:$A,Prod_Prop!$J:$J,"",0,1))</f>
        <v/>
      </c>
      <c r="R133" s="4" t="str">
        <f t="array" ref="R133">IF($E133="","", XLOOKUP(SUMIFS(Prod_Prop!$A:$A,Prod_Prop!$B:$B,$E133,Prod_Prop!$H:$H,R$1,Prod_Prop!$I:$I,"Exacto"),Prod_Prop!$A:$A,Prod_Prop!$J:$J,"",0,1))</f>
        <v/>
      </c>
      <c r="S133" s="4" t="str">
        <f t="array" ref="S133">IF($E133="","", XLOOKUP(SUMIFS(Prod_Prop!$A:$A,Prod_Prop!$B:$B,$E133,Prod_Prop!$H:$H,S$1,Prod_Prop!$I:$I,"Exacto"),Prod_Prop!$A:$A,Prod_Prop!$J:$J,"",0,1))</f>
        <v/>
      </c>
      <c r="T133" s="4" t="str">
        <f t="array" ref="T133">IF($E133="","", XLOOKUP(SUMIFS(Prod_Prop!$A:$A,Prod_Prop!$B:$B,$E133,Prod_Prop!$H:$H,T$1,Prod_Prop!$I:$I,"Exacto"),Prod_Prop!$A:$A,Prod_Prop!$J:$J,"",0,1))</f>
        <v/>
      </c>
      <c r="U133" s="4" t="str">
        <f t="array" ref="U133">IF($E133="","", XLOOKUP(SUMIFS(Prod_Prop!$A:$A,Prod_Prop!$B:$B,$E133,Prod_Prop!$H:$H,U$1,Prod_Prop!$I:$I,"Exacto"),Prod_Prop!$A:$A,Prod_Prop!$J:$J,"",0,1))</f>
        <v/>
      </c>
      <c r="V133" s="4" t="str">
        <f t="array" ref="V133">IF($E133="","", XLOOKUP(SUMIFS(Prod_Prop!$A:$A,Prod_Prop!$B:$B,$E133,Prod_Prop!$H:$H,V$1,Prod_Prop!$I:$I,"Exacto"),Prod_Prop!$A:$A,Prod_Prop!$J:$J,"",0,1))</f>
        <v/>
      </c>
      <c r="X133" s="3" t="str">
        <f>IFERROR(__xludf.DUMMYFUNCTION("IF(D133="""","""",IFERROR(TRANSPOSE(FILTER('Validaciones Cotizador'!U:U,'Validaciones Cotizador'!O:O=D133,'Validaciones Cotizador'!T:T=""x"")),""Finalizar""))"),"")</f>
        <v/>
      </c>
    </row>
    <row r="134">
      <c r="A134" s="2" t="str">
        <f t="array" ref="A134">IF(E134="","",XLOOKUP(D134,'Validaciones Cotizador'!C:C,'Validaciones Cotizador'!A:A,"",0,1))</f>
        <v/>
      </c>
      <c r="B134" s="2" t="str">
        <f t="array" ref="B134">IF(F134="","",XLOOKUP(F134,Productos!E:E,Productos!G:G,"",0,1))</f>
        <v/>
      </c>
      <c r="C134" s="2" t="str">
        <f>IF(A134="","",SUMIFS('Validaciones Cotizador'!B:B,'Validaciones Cotizador'!C:C,D134,'Validaciones Cotizador'!A:A,A134))</f>
        <v/>
      </c>
      <c r="D134" s="4" t="str">
        <f>IFERROR(__xludf.DUMMYFUNCTION("IF(OR(F133=""Finalizar"",F133="""",F133=""Selecciona..""),"""",IF(OR(F133=""-"",INDEX(filter(Familias!F:F,Familias!D:D=A133,Familias!E:E=C133),1)=""O""),D133+1,D133))"),"")</f>
        <v/>
      </c>
      <c r="E134" s="2" t="str">
        <f>IF(OR(F134="",F134="Selecciona.."),"",IF(D134="Implemento",SUMIF(Implementos!B:B,F134,Implementos!A:A),SUMIF(Productos!E:E,F134,Productos!A:A)))</f>
        <v/>
      </c>
      <c r="F134" s="2" t="str">
        <f t="shared" si="2"/>
        <v/>
      </c>
      <c r="G134" s="10" t="str">
        <f t="array" ref="G134">IF(OR(F134="",F134="-",F134="Selecciona..",F134="Finalizar"),"",IF(A134="Rodados",XLOOKUP(B134,'Validaciones Cotizador'!I:I,'Validaciones Cotizador'!J:J,0,0,1),1))</f>
        <v/>
      </c>
      <c r="H134" s="11" t="str">
        <f>IF(OR(F134="",F134="Selecciona.."),"",SUMIF(Precio_Productos!K:K,E134,Precio_Productos!J:J)*G134)</f>
        <v/>
      </c>
      <c r="I134" s="4" t="str">
        <f t="array" ref="I134">IF($E134="","", XLOOKUP(SUMIFS(Prod_Prop!$A:$A,Prod_Prop!$B:$B,$E134,Prod_Prop!$H:$H,I$1,Prod_Prop!$I:$I,"Exacto"),Prod_Prop!$A:$A,Prod_Prop!$J:$J,"",0,1))</f>
        <v/>
      </c>
      <c r="J134" s="4" t="str">
        <f t="array" ref="J134">IF($E134="","", XLOOKUP(SUMIFS(Prod_Prop!$A:$A,Prod_Prop!$B:$B,$E134,Prod_Prop!$H:$H,J$1,Prod_Prop!$I:$I,"Exacto"),Prod_Prop!$A:$A,Prod_Prop!$J:$J,"",0,1))</f>
        <v/>
      </c>
      <c r="K134" s="4" t="str">
        <f t="array" ref="K134">IF($E134="","", XLOOKUP(SUMIFS(Prod_Prop!$A:$A,Prod_Prop!$B:$B,$E134,Prod_Prop!$H:$H,K$1,Prod_Prop!$I:$I,"Exacto"),Prod_Prop!$A:$A,Prod_Prop!$J:$J,"",0,1))</f>
        <v/>
      </c>
      <c r="L134" s="4" t="str">
        <f t="array" ref="L134">IF($E134="","", XLOOKUP(SUMIFS(Prod_Prop!$A:$A,Prod_Prop!$B:$B,$E134,Prod_Prop!$H:$H,L$1,Prod_Prop!$I:$I,"Exacto"),Prod_Prop!$A:$A,Prod_Prop!$J:$J,"",0,1))</f>
        <v/>
      </c>
      <c r="M134" s="4" t="str">
        <f t="array" ref="M134">IF($E134="","", XLOOKUP(SUMIFS(Prod_Prop!$A:$A,Prod_Prop!$B:$B,$E134,Prod_Prop!$H:$H,M$1,Prod_Prop!$I:$I,"Exacto"),Prod_Prop!$A:$A,Prod_Prop!$J:$J,"",0,1))</f>
        <v/>
      </c>
      <c r="N134" s="4" t="str">
        <f t="array" ref="N134">IF($E134="","", XLOOKUP(SUMIFS(Prod_Prop!$A:$A,Prod_Prop!$B:$B,$E134,Prod_Prop!$H:$H,N$1,Prod_Prop!$I:$I,"Exacto"),Prod_Prop!$A:$A,Prod_Prop!$J:$J,"",0,1))</f>
        <v/>
      </c>
      <c r="O134" s="4" t="str">
        <f t="array" ref="O134">IF($E134="","", XLOOKUP(SUMIFS(Prod_Prop!$A:$A,Prod_Prop!$B:$B,$E134,Prod_Prop!$H:$H,O$1,Prod_Prop!$I:$I,"Exacto"),Prod_Prop!$A:$A,Prod_Prop!$J:$J,"",0,1))</f>
        <v/>
      </c>
      <c r="P134" s="4" t="str">
        <f t="array" ref="P134">IF($E134="","", XLOOKUP(SUMIFS(Prod_Prop!$A:$A,Prod_Prop!$B:$B,$E134,Prod_Prop!$H:$H,P$1,Prod_Prop!$I:$I,"Exacto"),Prod_Prop!$A:$A,Prod_Prop!$J:$J,"",0,1))</f>
        <v/>
      </c>
      <c r="Q134" s="4" t="str">
        <f t="array" ref="Q134">IF($E134="","", XLOOKUP(SUMIFS(Prod_Prop!$A:$A,Prod_Prop!$B:$B,$E134,Prod_Prop!$H:$H,Q$1,Prod_Prop!$I:$I,"Exacto"),Prod_Prop!$A:$A,Prod_Prop!$J:$J,"",0,1))</f>
        <v/>
      </c>
      <c r="R134" s="4" t="str">
        <f t="array" ref="R134">IF($E134="","", XLOOKUP(SUMIFS(Prod_Prop!$A:$A,Prod_Prop!$B:$B,$E134,Prod_Prop!$H:$H,R$1,Prod_Prop!$I:$I,"Exacto"),Prod_Prop!$A:$A,Prod_Prop!$J:$J,"",0,1))</f>
        <v/>
      </c>
      <c r="S134" s="4" t="str">
        <f t="array" ref="S134">IF($E134="","", XLOOKUP(SUMIFS(Prod_Prop!$A:$A,Prod_Prop!$B:$B,$E134,Prod_Prop!$H:$H,S$1,Prod_Prop!$I:$I,"Exacto"),Prod_Prop!$A:$A,Prod_Prop!$J:$J,"",0,1))</f>
        <v/>
      </c>
      <c r="T134" s="4" t="str">
        <f t="array" ref="T134">IF($E134="","", XLOOKUP(SUMIFS(Prod_Prop!$A:$A,Prod_Prop!$B:$B,$E134,Prod_Prop!$H:$H,T$1,Prod_Prop!$I:$I,"Exacto"),Prod_Prop!$A:$A,Prod_Prop!$J:$J,"",0,1))</f>
        <v/>
      </c>
      <c r="U134" s="4" t="str">
        <f t="array" ref="U134">IF($E134="","", XLOOKUP(SUMIFS(Prod_Prop!$A:$A,Prod_Prop!$B:$B,$E134,Prod_Prop!$H:$H,U$1,Prod_Prop!$I:$I,"Exacto"),Prod_Prop!$A:$A,Prod_Prop!$J:$J,"",0,1))</f>
        <v/>
      </c>
      <c r="V134" s="4" t="str">
        <f t="array" ref="V134">IF($E134="","", XLOOKUP(SUMIFS(Prod_Prop!$A:$A,Prod_Prop!$B:$B,$E134,Prod_Prop!$H:$H,V$1,Prod_Prop!$I:$I,"Exacto"),Prod_Prop!$A:$A,Prod_Prop!$J:$J,"",0,1))</f>
        <v/>
      </c>
      <c r="X134" s="3" t="str">
        <f>IFERROR(__xludf.DUMMYFUNCTION("IF(D134="""","""",IFERROR(TRANSPOSE(FILTER('Validaciones Cotizador'!U:U,'Validaciones Cotizador'!O:O=D134,'Validaciones Cotizador'!T:T=""x"")),""Finalizar""))"),"")</f>
        <v/>
      </c>
    </row>
    <row r="135">
      <c r="A135" s="2" t="str">
        <f t="array" ref="A135">IF(E135="","",XLOOKUP(D135,'Validaciones Cotizador'!C:C,'Validaciones Cotizador'!A:A,"",0,1))</f>
        <v/>
      </c>
      <c r="B135" s="2" t="str">
        <f t="array" ref="B135">IF(F135="","",XLOOKUP(F135,Productos!E:E,Productos!G:G,"",0,1))</f>
        <v/>
      </c>
      <c r="C135" s="2" t="str">
        <f>IF(A135="","",SUMIFS('Validaciones Cotizador'!B:B,'Validaciones Cotizador'!C:C,D135,'Validaciones Cotizador'!A:A,A135))</f>
        <v/>
      </c>
      <c r="D135" s="4" t="str">
        <f>IFERROR(__xludf.DUMMYFUNCTION("IF(OR(F134=""Finalizar"",F134="""",F134=""Selecciona..""),"""",IF(OR(F134=""-"",INDEX(filter(Familias!F:F,Familias!D:D=A134,Familias!E:E=C134),1)=""O""),D134+1,D134))"),"")</f>
        <v/>
      </c>
      <c r="E135" s="2" t="str">
        <f>IF(OR(F135="",F135="Selecciona.."),"",IF(D135="Implemento",SUMIF(Implementos!B:B,F135,Implementos!A:A),SUMIF(Productos!E:E,F135,Productos!A:A)))</f>
        <v/>
      </c>
      <c r="F135" s="2" t="str">
        <f t="shared" si="2"/>
        <v/>
      </c>
      <c r="G135" s="10" t="str">
        <f t="array" ref="G135">IF(OR(F135="",F135="-",F135="Selecciona..",F135="Finalizar"),"",IF(A135="Rodados",XLOOKUP(B135,'Validaciones Cotizador'!I:I,'Validaciones Cotizador'!J:J,0,0,1),1))</f>
        <v/>
      </c>
      <c r="H135" s="11" t="str">
        <f>IF(OR(F135="",F135="Selecciona.."),"",SUMIF(Precio_Productos!K:K,E135,Precio_Productos!J:J)*G135)</f>
        <v/>
      </c>
      <c r="I135" s="4" t="str">
        <f t="array" ref="I135">IF($E135="","", XLOOKUP(SUMIFS(Prod_Prop!$A:$A,Prod_Prop!$B:$B,$E135,Prod_Prop!$H:$H,I$1,Prod_Prop!$I:$I,"Exacto"),Prod_Prop!$A:$A,Prod_Prop!$J:$J,"",0,1))</f>
        <v/>
      </c>
      <c r="J135" s="4" t="str">
        <f t="array" ref="J135">IF($E135="","", XLOOKUP(SUMIFS(Prod_Prop!$A:$A,Prod_Prop!$B:$B,$E135,Prod_Prop!$H:$H,J$1,Prod_Prop!$I:$I,"Exacto"),Prod_Prop!$A:$A,Prod_Prop!$J:$J,"",0,1))</f>
        <v/>
      </c>
      <c r="K135" s="4" t="str">
        <f t="array" ref="K135">IF($E135="","", XLOOKUP(SUMIFS(Prod_Prop!$A:$A,Prod_Prop!$B:$B,$E135,Prod_Prop!$H:$H,K$1,Prod_Prop!$I:$I,"Exacto"),Prod_Prop!$A:$A,Prod_Prop!$J:$J,"",0,1))</f>
        <v/>
      </c>
      <c r="L135" s="4" t="str">
        <f t="array" ref="L135">IF($E135="","", XLOOKUP(SUMIFS(Prod_Prop!$A:$A,Prod_Prop!$B:$B,$E135,Prod_Prop!$H:$H,L$1,Prod_Prop!$I:$I,"Exacto"),Prod_Prop!$A:$A,Prod_Prop!$J:$J,"",0,1))</f>
        <v/>
      </c>
      <c r="M135" s="4" t="str">
        <f t="array" ref="M135">IF($E135="","", XLOOKUP(SUMIFS(Prod_Prop!$A:$A,Prod_Prop!$B:$B,$E135,Prod_Prop!$H:$H,M$1,Prod_Prop!$I:$I,"Exacto"),Prod_Prop!$A:$A,Prod_Prop!$J:$J,"",0,1))</f>
        <v/>
      </c>
      <c r="N135" s="4" t="str">
        <f t="array" ref="N135">IF($E135="","", XLOOKUP(SUMIFS(Prod_Prop!$A:$A,Prod_Prop!$B:$B,$E135,Prod_Prop!$H:$H,N$1,Prod_Prop!$I:$I,"Exacto"),Prod_Prop!$A:$A,Prod_Prop!$J:$J,"",0,1))</f>
        <v/>
      </c>
      <c r="O135" s="4" t="str">
        <f t="array" ref="O135">IF($E135="","", XLOOKUP(SUMIFS(Prod_Prop!$A:$A,Prod_Prop!$B:$B,$E135,Prod_Prop!$H:$H,O$1,Prod_Prop!$I:$I,"Exacto"),Prod_Prop!$A:$A,Prod_Prop!$J:$J,"",0,1))</f>
        <v/>
      </c>
      <c r="P135" s="4" t="str">
        <f t="array" ref="P135">IF($E135="","", XLOOKUP(SUMIFS(Prod_Prop!$A:$A,Prod_Prop!$B:$B,$E135,Prod_Prop!$H:$H,P$1,Prod_Prop!$I:$I,"Exacto"),Prod_Prop!$A:$A,Prod_Prop!$J:$J,"",0,1))</f>
        <v/>
      </c>
      <c r="Q135" s="4" t="str">
        <f t="array" ref="Q135">IF($E135="","", XLOOKUP(SUMIFS(Prod_Prop!$A:$A,Prod_Prop!$B:$B,$E135,Prod_Prop!$H:$H,Q$1,Prod_Prop!$I:$I,"Exacto"),Prod_Prop!$A:$A,Prod_Prop!$J:$J,"",0,1))</f>
        <v/>
      </c>
      <c r="R135" s="4" t="str">
        <f t="array" ref="R135">IF($E135="","", XLOOKUP(SUMIFS(Prod_Prop!$A:$A,Prod_Prop!$B:$B,$E135,Prod_Prop!$H:$H,R$1,Prod_Prop!$I:$I,"Exacto"),Prod_Prop!$A:$A,Prod_Prop!$J:$J,"",0,1))</f>
        <v/>
      </c>
      <c r="S135" s="4" t="str">
        <f t="array" ref="S135">IF($E135="","", XLOOKUP(SUMIFS(Prod_Prop!$A:$A,Prod_Prop!$B:$B,$E135,Prod_Prop!$H:$H,S$1,Prod_Prop!$I:$I,"Exacto"),Prod_Prop!$A:$A,Prod_Prop!$J:$J,"",0,1))</f>
        <v/>
      </c>
      <c r="T135" s="4" t="str">
        <f t="array" ref="T135">IF($E135="","", XLOOKUP(SUMIFS(Prod_Prop!$A:$A,Prod_Prop!$B:$B,$E135,Prod_Prop!$H:$H,T$1,Prod_Prop!$I:$I,"Exacto"),Prod_Prop!$A:$A,Prod_Prop!$J:$J,"",0,1))</f>
        <v/>
      </c>
      <c r="U135" s="4" t="str">
        <f t="array" ref="U135">IF($E135="","", XLOOKUP(SUMIFS(Prod_Prop!$A:$A,Prod_Prop!$B:$B,$E135,Prod_Prop!$H:$H,U$1,Prod_Prop!$I:$I,"Exacto"),Prod_Prop!$A:$A,Prod_Prop!$J:$J,"",0,1))</f>
        <v/>
      </c>
      <c r="V135" s="4" t="str">
        <f t="array" ref="V135">IF($E135="","", XLOOKUP(SUMIFS(Prod_Prop!$A:$A,Prod_Prop!$B:$B,$E135,Prod_Prop!$H:$H,V$1,Prod_Prop!$I:$I,"Exacto"),Prod_Prop!$A:$A,Prod_Prop!$J:$J,"",0,1))</f>
        <v/>
      </c>
      <c r="X135" s="3" t="str">
        <f>IFERROR(__xludf.DUMMYFUNCTION("IF(D135="""","""",IFERROR(TRANSPOSE(FILTER('Validaciones Cotizador'!U:U,'Validaciones Cotizador'!O:O=D135,'Validaciones Cotizador'!T:T=""x"")),""Finalizar""))"),"")</f>
        <v/>
      </c>
    </row>
    <row r="136">
      <c r="A136" s="2" t="str">
        <f t="array" ref="A136">IF(E136="","",XLOOKUP(D136,'Validaciones Cotizador'!C:C,'Validaciones Cotizador'!A:A,"",0,1))</f>
        <v/>
      </c>
      <c r="B136" s="2" t="str">
        <f t="array" ref="B136">IF(F136="","",XLOOKUP(F136,Productos!E:E,Productos!G:G,"",0,1))</f>
        <v/>
      </c>
      <c r="C136" s="2" t="str">
        <f>IF(A136="","",SUMIFS('Validaciones Cotizador'!B:B,'Validaciones Cotizador'!C:C,D136,'Validaciones Cotizador'!A:A,A136))</f>
        <v/>
      </c>
      <c r="D136" s="4" t="str">
        <f>IFERROR(__xludf.DUMMYFUNCTION("IF(OR(F135=""Finalizar"",F135="""",F135=""Selecciona..""),"""",IF(OR(F135=""-"",INDEX(filter(Familias!F:F,Familias!D:D=A135,Familias!E:E=C135),1)=""O""),D135+1,D135))"),"")</f>
        <v/>
      </c>
      <c r="E136" s="2" t="str">
        <f>IF(OR(F136="",F136="Selecciona.."),"",IF(D136="Implemento",SUMIF(Implementos!B:B,F136,Implementos!A:A),SUMIF(Productos!E:E,F136,Productos!A:A)))</f>
        <v/>
      </c>
      <c r="F136" s="2" t="str">
        <f t="shared" si="2"/>
        <v/>
      </c>
      <c r="G136" s="10" t="str">
        <f t="array" ref="G136">IF(OR(F136="",F136="-",F136="Selecciona..",F136="Finalizar"),"",IF(A136="Rodados",XLOOKUP(B136,'Validaciones Cotizador'!I:I,'Validaciones Cotizador'!J:J,0,0,1),1))</f>
        <v/>
      </c>
      <c r="H136" s="11" t="str">
        <f>IF(OR(F136="",F136="Selecciona.."),"",SUMIF(Precio_Productos!K:K,E136,Precio_Productos!J:J)*G136)</f>
        <v/>
      </c>
      <c r="I136" s="4" t="str">
        <f t="array" ref="I136">IF($E136="","", XLOOKUP(SUMIFS(Prod_Prop!$A:$A,Prod_Prop!$B:$B,$E136,Prod_Prop!$H:$H,I$1,Prod_Prop!$I:$I,"Exacto"),Prod_Prop!$A:$A,Prod_Prop!$J:$J,"",0,1))</f>
        <v/>
      </c>
      <c r="J136" s="4" t="str">
        <f t="array" ref="J136">IF($E136="","", XLOOKUP(SUMIFS(Prod_Prop!$A:$A,Prod_Prop!$B:$B,$E136,Prod_Prop!$H:$H,J$1,Prod_Prop!$I:$I,"Exacto"),Prod_Prop!$A:$A,Prod_Prop!$J:$J,"",0,1))</f>
        <v/>
      </c>
      <c r="K136" s="4" t="str">
        <f t="array" ref="K136">IF($E136="","", XLOOKUP(SUMIFS(Prod_Prop!$A:$A,Prod_Prop!$B:$B,$E136,Prod_Prop!$H:$H,K$1,Prod_Prop!$I:$I,"Exacto"),Prod_Prop!$A:$A,Prod_Prop!$J:$J,"",0,1))</f>
        <v/>
      </c>
      <c r="L136" s="4" t="str">
        <f t="array" ref="L136">IF($E136="","", XLOOKUP(SUMIFS(Prod_Prop!$A:$A,Prod_Prop!$B:$B,$E136,Prod_Prop!$H:$H,L$1,Prod_Prop!$I:$I,"Exacto"),Prod_Prop!$A:$A,Prod_Prop!$J:$J,"",0,1))</f>
        <v/>
      </c>
      <c r="M136" s="4" t="str">
        <f t="array" ref="M136">IF($E136="","", XLOOKUP(SUMIFS(Prod_Prop!$A:$A,Prod_Prop!$B:$B,$E136,Prod_Prop!$H:$H,M$1,Prod_Prop!$I:$I,"Exacto"),Prod_Prop!$A:$A,Prod_Prop!$J:$J,"",0,1))</f>
        <v/>
      </c>
      <c r="N136" s="4" t="str">
        <f t="array" ref="N136">IF($E136="","", XLOOKUP(SUMIFS(Prod_Prop!$A:$A,Prod_Prop!$B:$B,$E136,Prod_Prop!$H:$H,N$1,Prod_Prop!$I:$I,"Exacto"),Prod_Prop!$A:$A,Prod_Prop!$J:$J,"",0,1))</f>
        <v/>
      </c>
      <c r="O136" s="4" t="str">
        <f t="array" ref="O136">IF($E136="","", XLOOKUP(SUMIFS(Prod_Prop!$A:$A,Prod_Prop!$B:$B,$E136,Prod_Prop!$H:$H,O$1,Prod_Prop!$I:$I,"Exacto"),Prod_Prop!$A:$A,Prod_Prop!$J:$J,"",0,1))</f>
        <v/>
      </c>
      <c r="P136" s="4" t="str">
        <f t="array" ref="P136">IF($E136="","", XLOOKUP(SUMIFS(Prod_Prop!$A:$A,Prod_Prop!$B:$B,$E136,Prod_Prop!$H:$H,P$1,Prod_Prop!$I:$I,"Exacto"),Prod_Prop!$A:$A,Prod_Prop!$J:$J,"",0,1))</f>
        <v/>
      </c>
      <c r="Q136" s="4" t="str">
        <f t="array" ref="Q136">IF($E136="","", XLOOKUP(SUMIFS(Prod_Prop!$A:$A,Prod_Prop!$B:$B,$E136,Prod_Prop!$H:$H,Q$1,Prod_Prop!$I:$I,"Exacto"),Prod_Prop!$A:$A,Prod_Prop!$J:$J,"",0,1))</f>
        <v/>
      </c>
      <c r="R136" s="4" t="str">
        <f t="array" ref="R136">IF($E136="","", XLOOKUP(SUMIFS(Prod_Prop!$A:$A,Prod_Prop!$B:$B,$E136,Prod_Prop!$H:$H,R$1,Prod_Prop!$I:$I,"Exacto"),Prod_Prop!$A:$A,Prod_Prop!$J:$J,"",0,1))</f>
        <v/>
      </c>
      <c r="S136" s="4" t="str">
        <f t="array" ref="S136">IF($E136="","", XLOOKUP(SUMIFS(Prod_Prop!$A:$A,Prod_Prop!$B:$B,$E136,Prod_Prop!$H:$H,S$1,Prod_Prop!$I:$I,"Exacto"),Prod_Prop!$A:$A,Prod_Prop!$J:$J,"",0,1))</f>
        <v/>
      </c>
      <c r="T136" s="4" t="str">
        <f t="array" ref="T136">IF($E136="","", XLOOKUP(SUMIFS(Prod_Prop!$A:$A,Prod_Prop!$B:$B,$E136,Prod_Prop!$H:$H,T$1,Prod_Prop!$I:$I,"Exacto"),Prod_Prop!$A:$A,Prod_Prop!$J:$J,"",0,1))</f>
        <v/>
      </c>
      <c r="U136" s="4" t="str">
        <f t="array" ref="U136">IF($E136="","", XLOOKUP(SUMIFS(Prod_Prop!$A:$A,Prod_Prop!$B:$B,$E136,Prod_Prop!$H:$H,U$1,Prod_Prop!$I:$I,"Exacto"),Prod_Prop!$A:$A,Prod_Prop!$J:$J,"",0,1))</f>
        <v/>
      </c>
      <c r="V136" s="4" t="str">
        <f t="array" ref="V136">IF($E136="","", XLOOKUP(SUMIFS(Prod_Prop!$A:$A,Prod_Prop!$B:$B,$E136,Prod_Prop!$H:$H,V$1,Prod_Prop!$I:$I,"Exacto"),Prod_Prop!$A:$A,Prod_Prop!$J:$J,"",0,1))</f>
        <v/>
      </c>
      <c r="X136" s="3" t="str">
        <f>IFERROR(__xludf.DUMMYFUNCTION("IF(D136="""","""",IFERROR(TRANSPOSE(FILTER('Validaciones Cotizador'!U:U,'Validaciones Cotizador'!O:O=D136,'Validaciones Cotizador'!T:T=""x"")),""Finalizar""))"),"")</f>
        <v/>
      </c>
    </row>
    <row r="137">
      <c r="A137" s="2" t="str">
        <f t="array" ref="A137">IF(E137="","",XLOOKUP(D137,'Validaciones Cotizador'!C:C,'Validaciones Cotizador'!A:A,"",0,1))</f>
        <v/>
      </c>
      <c r="B137" s="2" t="str">
        <f t="array" ref="B137">IF(F137="","",XLOOKUP(F137,Productos!E:E,Productos!G:G,"",0,1))</f>
        <v/>
      </c>
      <c r="C137" s="2" t="str">
        <f>IF(A137="","",SUMIFS('Validaciones Cotizador'!B:B,'Validaciones Cotizador'!C:C,D137,'Validaciones Cotizador'!A:A,A137))</f>
        <v/>
      </c>
      <c r="D137" s="4" t="str">
        <f>IFERROR(__xludf.DUMMYFUNCTION("IF(OR(F136=""Finalizar"",F136="""",F136=""Selecciona..""),"""",IF(OR(F136=""-"",INDEX(filter(Familias!F:F,Familias!D:D=A136,Familias!E:E=C136),1)=""O""),D136+1,D136))"),"")</f>
        <v/>
      </c>
      <c r="E137" s="2" t="str">
        <f>IF(OR(F137="",F137="Selecciona.."),"",IF(D137="Implemento",SUMIF(Implementos!B:B,F137,Implementos!A:A),SUMIF(Productos!E:E,F137,Productos!A:A)))</f>
        <v/>
      </c>
      <c r="F137" s="2" t="str">
        <f t="shared" si="2"/>
        <v/>
      </c>
      <c r="G137" s="10" t="str">
        <f t="array" ref="G137">IF(OR(F137="",F137="-",F137="Selecciona..",F137="Finalizar"),"",IF(A137="Rodados",XLOOKUP(B137,'Validaciones Cotizador'!I:I,'Validaciones Cotizador'!J:J,0,0,1),1))</f>
        <v/>
      </c>
      <c r="H137" s="11" t="str">
        <f>IF(OR(F137="",F137="Selecciona.."),"",SUMIF(Precio_Productos!K:K,E137,Precio_Productos!J:J)*G137)</f>
        <v/>
      </c>
      <c r="I137" s="4" t="str">
        <f t="array" ref="I137">IF($E137="","", XLOOKUP(SUMIFS(Prod_Prop!$A:$A,Prod_Prop!$B:$B,$E137,Prod_Prop!$H:$H,I$1,Prod_Prop!$I:$I,"Exacto"),Prod_Prop!$A:$A,Prod_Prop!$J:$J,"",0,1))</f>
        <v/>
      </c>
      <c r="J137" s="4" t="str">
        <f t="array" ref="J137">IF($E137="","", XLOOKUP(SUMIFS(Prod_Prop!$A:$A,Prod_Prop!$B:$B,$E137,Prod_Prop!$H:$H,J$1,Prod_Prop!$I:$I,"Exacto"),Prod_Prop!$A:$A,Prod_Prop!$J:$J,"",0,1))</f>
        <v/>
      </c>
      <c r="K137" s="4" t="str">
        <f t="array" ref="K137">IF($E137="","", XLOOKUP(SUMIFS(Prod_Prop!$A:$A,Prod_Prop!$B:$B,$E137,Prod_Prop!$H:$H,K$1,Prod_Prop!$I:$I,"Exacto"),Prod_Prop!$A:$A,Prod_Prop!$J:$J,"",0,1))</f>
        <v/>
      </c>
      <c r="L137" s="4" t="str">
        <f t="array" ref="L137">IF($E137="","", XLOOKUP(SUMIFS(Prod_Prop!$A:$A,Prod_Prop!$B:$B,$E137,Prod_Prop!$H:$H,L$1,Prod_Prop!$I:$I,"Exacto"),Prod_Prop!$A:$A,Prod_Prop!$J:$J,"",0,1))</f>
        <v/>
      </c>
      <c r="M137" s="4" t="str">
        <f t="array" ref="M137">IF($E137="","", XLOOKUP(SUMIFS(Prod_Prop!$A:$A,Prod_Prop!$B:$B,$E137,Prod_Prop!$H:$H,M$1,Prod_Prop!$I:$I,"Exacto"),Prod_Prop!$A:$A,Prod_Prop!$J:$J,"",0,1))</f>
        <v/>
      </c>
      <c r="N137" s="4" t="str">
        <f t="array" ref="N137">IF($E137="","", XLOOKUP(SUMIFS(Prod_Prop!$A:$A,Prod_Prop!$B:$B,$E137,Prod_Prop!$H:$H,N$1,Prod_Prop!$I:$I,"Exacto"),Prod_Prop!$A:$A,Prod_Prop!$J:$J,"",0,1))</f>
        <v/>
      </c>
      <c r="O137" s="4" t="str">
        <f t="array" ref="O137">IF($E137="","", XLOOKUP(SUMIFS(Prod_Prop!$A:$A,Prod_Prop!$B:$B,$E137,Prod_Prop!$H:$H,O$1,Prod_Prop!$I:$I,"Exacto"),Prod_Prop!$A:$A,Prod_Prop!$J:$J,"",0,1))</f>
        <v/>
      </c>
      <c r="P137" s="4" t="str">
        <f t="array" ref="P137">IF($E137="","", XLOOKUP(SUMIFS(Prod_Prop!$A:$A,Prod_Prop!$B:$B,$E137,Prod_Prop!$H:$H,P$1,Prod_Prop!$I:$I,"Exacto"),Prod_Prop!$A:$A,Prod_Prop!$J:$J,"",0,1))</f>
        <v/>
      </c>
      <c r="Q137" s="4" t="str">
        <f t="array" ref="Q137">IF($E137="","", XLOOKUP(SUMIFS(Prod_Prop!$A:$A,Prod_Prop!$B:$B,$E137,Prod_Prop!$H:$H,Q$1,Prod_Prop!$I:$I,"Exacto"),Prod_Prop!$A:$A,Prod_Prop!$J:$J,"",0,1))</f>
        <v/>
      </c>
      <c r="R137" s="4" t="str">
        <f t="array" ref="R137">IF($E137="","", XLOOKUP(SUMIFS(Prod_Prop!$A:$A,Prod_Prop!$B:$B,$E137,Prod_Prop!$H:$H,R$1,Prod_Prop!$I:$I,"Exacto"),Prod_Prop!$A:$A,Prod_Prop!$J:$J,"",0,1))</f>
        <v/>
      </c>
      <c r="S137" s="4" t="str">
        <f t="array" ref="S137">IF($E137="","", XLOOKUP(SUMIFS(Prod_Prop!$A:$A,Prod_Prop!$B:$B,$E137,Prod_Prop!$H:$H,S$1,Prod_Prop!$I:$I,"Exacto"),Prod_Prop!$A:$A,Prod_Prop!$J:$J,"",0,1))</f>
        <v/>
      </c>
      <c r="T137" s="4" t="str">
        <f t="array" ref="T137">IF($E137="","", XLOOKUP(SUMIFS(Prod_Prop!$A:$A,Prod_Prop!$B:$B,$E137,Prod_Prop!$H:$H,T$1,Prod_Prop!$I:$I,"Exacto"),Prod_Prop!$A:$A,Prod_Prop!$J:$J,"",0,1))</f>
        <v/>
      </c>
      <c r="U137" s="4" t="str">
        <f t="array" ref="U137">IF($E137="","", XLOOKUP(SUMIFS(Prod_Prop!$A:$A,Prod_Prop!$B:$B,$E137,Prod_Prop!$H:$H,U$1,Prod_Prop!$I:$I,"Exacto"),Prod_Prop!$A:$A,Prod_Prop!$J:$J,"",0,1))</f>
        <v/>
      </c>
      <c r="V137" s="4" t="str">
        <f t="array" ref="V137">IF($E137="","", XLOOKUP(SUMIFS(Prod_Prop!$A:$A,Prod_Prop!$B:$B,$E137,Prod_Prop!$H:$H,V$1,Prod_Prop!$I:$I,"Exacto"),Prod_Prop!$A:$A,Prod_Prop!$J:$J,"",0,1))</f>
        <v/>
      </c>
      <c r="X137" s="3" t="str">
        <f>IFERROR(__xludf.DUMMYFUNCTION("IF(D137="""","""",IFERROR(TRANSPOSE(FILTER('Validaciones Cotizador'!U:U,'Validaciones Cotizador'!O:O=D137,'Validaciones Cotizador'!T:T=""x"")),""Finalizar""))"),"")</f>
        <v/>
      </c>
    </row>
    <row r="138">
      <c r="A138" s="2" t="str">
        <f t="array" ref="A138">IF(E138="","",XLOOKUP(D138,'Validaciones Cotizador'!C:C,'Validaciones Cotizador'!A:A,"",0,1))</f>
        <v/>
      </c>
      <c r="B138" s="2" t="str">
        <f t="array" ref="B138">IF(F138="","",XLOOKUP(F138,Productos!E:E,Productos!G:G,"",0,1))</f>
        <v/>
      </c>
      <c r="C138" s="2" t="str">
        <f>IF(A138="","",SUMIFS('Validaciones Cotizador'!B:B,'Validaciones Cotizador'!C:C,D138,'Validaciones Cotizador'!A:A,A138))</f>
        <v/>
      </c>
      <c r="D138" s="4" t="str">
        <f>IFERROR(__xludf.DUMMYFUNCTION("IF(OR(F137=""Finalizar"",F137="""",F137=""Selecciona..""),"""",IF(OR(F137=""-"",INDEX(filter(Familias!F:F,Familias!D:D=A137,Familias!E:E=C137),1)=""O""),D137+1,D137))"),"")</f>
        <v/>
      </c>
      <c r="E138" s="2" t="str">
        <f>IF(OR(F138="",F138="Selecciona.."),"",IF(D138="Implemento",SUMIF(Implementos!B:B,F138,Implementos!A:A),SUMIF(Productos!E:E,F138,Productos!A:A)))</f>
        <v/>
      </c>
      <c r="F138" s="2" t="str">
        <f t="shared" si="2"/>
        <v/>
      </c>
      <c r="G138" s="10" t="str">
        <f t="array" ref="G138">IF(OR(F138="",F138="-",F138="Selecciona..",F138="Finalizar"),"",IF(A138="Rodados",XLOOKUP(B138,'Validaciones Cotizador'!I:I,'Validaciones Cotizador'!J:J,0,0,1),1))</f>
        <v/>
      </c>
      <c r="H138" s="11" t="str">
        <f>IF(OR(F138="",F138="Selecciona.."),"",SUMIF(Precio_Productos!K:K,E138,Precio_Productos!J:J)*G138)</f>
        <v/>
      </c>
      <c r="I138" s="4" t="str">
        <f t="array" ref="I138">IF($E138="","", XLOOKUP(SUMIFS(Prod_Prop!$A:$A,Prod_Prop!$B:$B,$E138,Prod_Prop!$H:$H,I$1,Prod_Prop!$I:$I,"Exacto"),Prod_Prop!$A:$A,Prod_Prop!$J:$J,"",0,1))</f>
        <v/>
      </c>
      <c r="J138" s="4" t="str">
        <f t="array" ref="J138">IF($E138="","", XLOOKUP(SUMIFS(Prod_Prop!$A:$A,Prod_Prop!$B:$B,$E138,Prod_Prop!$H:$H,J$1,Prod_Prop!$I:$I,"Exacto"),Prod_Prop!$A:$A,Prod_Prop!$J:$J,"",0,1))</f>
        <v/>
      </c>
      <c r="K138" s="4" t="str">
        <f t="array" ref="K138">IF($E138="","", XLOOKUP(SUMIFS(Prod_Prop!$A:$A,Prod_Prop!$B:$B,$E138,Prod_Prop!$H:$H,K$1,Prod_Prop!$I:$I,"Exacto"),Prod_Prop!$A:$A,Prod_Prop!$J:$J,"",0,1))</f>
        <v/>
      </c>
      <c r="L138" s="4" t="str">
        <f t="array" ref="L138">IF($E138="","", XLOOKUP(SUMIFS(Prod_Prop!$A:$A,Prod_Prop!$B:$B,$E138,Prod_Prop!$H:$H,L$1,Prod_Prop!$I:$I,"Exacto"),Prod_Prop!$A:$A,Prod_Prop!$J:$J,"",0,1))</f>
        <v/>
      </c>
      <c r="M138" s="4" t="str">
        <f t="array" ref="M138">IF($E138="","", XLOOKUP(SUMIFS(Prod_Prop!$A:$A,Prod_Prop!$B:$B,$E138,Prod_Prop!$H:$H,M$1,Prod_Prop!$I:$I,"Exacto"),Prod_Prop!$A:$A,Prod_Prop!$J:$J,"",0,1))</f>
        <v/>
      </c>
      <c r="N138" s="4" t="str">
        <f t="array" ref="N138">IF($E138="","", XLOOKUP(SUMIFS(Prod_Prop!$A:$A,Prod_Prop!$B:$B,$E138,Prod_Prop!$H:$H,N$1,Prod_Prop!$I:$I,"Exacto"),Prod_Prop!$A:$A,Prod_Prop!$J:$J,"",0,1))</f>
        <v/>
      </c>
      <c r="O138" s="4" t="str">
        <f t="array" ref="O138">IF($E138="","", XLOOKUP(SUMIFS(Prod_Prop!$A:$A,Prod_Prop!$B:$B,$E138,Prod_Prop!$H:$H,O$1,Prod_Prop!$I:$I,"Exacto"),Prod_Prop!$A:$A,Prod_Prop!$J:$J,"",0,1))</f>
        <v/>
      </c>
      <c r="P138" s="4" t="str">
        <f t="array" ref="P138">IF($E138="","", XLOOKUP(SUMIFS(Prod_Prop!$A:$A,Prod_Prop!$B:$B,$E138,Prod_Prop!$H:$H,P$1,Prod_Prop!$I:$I,"Exacto"),Prod_Prop!$A:$A,Prod_Prop!$J:$J,"",0,1))</f>
        <v/>
      </c>
      <c r="Q138" s="4" t="str">
        <f t="array" ref="Q138">IF($E138="","", XLOOKUP(SUMIFS(Prod_Prop!$A:$A,Prod_Prop!$B:$B,$E138,Prod_Prop!$H:$H,Q$1,Prod_Prop!$I:$I,"Exacto"),Prod_Prop!$A:$A,Prod_Prop!$J:$J,"",0,1))</f>
        <v/>
      </c>
      <c r="R138" s="4" t="str">
        <f t="array" ref="R138">IF($E138="","", XLOOKUP(SUMIFS(Prod_Prop!$A:$A,Prod_Prop!$B:$B,$E138,Prod_Prop!$H:$H,R$1,Prod_Prop!$I:$I,"Exacto"),Prod_Prop!$A:$A,Prod_Prop!$J:$J,"",0,1))</f>
        <v/>
      </c>
      <c r="S138" s="4" t="str">
        <f t="array" ref="S138">IF($E138="","", XLOOKUP(SUMIFS(Prod_Prop!$A:$A,Prod_Prop!$B:$B,$E138,Prod_Prop!$H:$H,S$1,Prod_Prop!$I:$I,"Exacto"),Prod_Prop!$A:$A,Prod_Prop!$J:$J,"",0,1))</f>
        <v/>
      </c>
      <c r="T138" s="4" t="str">
        <f t="array" ref="T138">IF($E138="","", XLOOKUP(SUMIFS(Prod_Prop!$A:$A,Prod_Prop!$B:$B,$E138,Prod_Prop!$H:$H,T$1,Prod_Prop!$I:$I,"Exacto"),Prod_Prop!$A:$A,Prod_Prop!$J:$J,"",0,1))</f>
        <v/>
      </c>
      <c r="U138" s="4" t="str">
        <f t="array" ref="U138">IF($E138="","", XLOOKUP(SUMIFS(Prod_Prop!$A:$A,Prod_Prop!$B:$B,$E138,Prod_Prop!$H:$H,U$1,Prod_Prop!$I:$I,"Exacto"),Prod_Prop!$A:$A,Prod_Prop!$J:$J,"",0,1))</f>
        <v/>
      </c>
      <c r="V138" s="4" t="str">
        <f t="array" ref="V138">IF($E138="","", XLOOKUP(SUMIFS(Prod_Prop!$A:$A,Prod_Prop!$B:$B,$E138,Prod_Prop!$H:$H,V$1,Prod_Prop!$I:$I,"Exacto"),Prod_Prop!$A:$A,Prod_Prop!$J:$J,"",0,1))</f>
        <v/>
      </c>
      <c r="X138" s="3" t="str">
        <f>IFERROR(__xludf.DUMMYFUNCTION("IF(D138="""","""",IFERROR(TRANSPOSE(FILTER('Validaciones Cotizador'!U:U,'Validaciones Cotizador'!O:O=D138,'Validaciones Cotizador'!T:T=""x"")),""Finalizar""))"),"")</f>
        <v/>
      </c>
    </row>
    <row r="139">
      <c r="A139" s="2" t="str">
        <f t="array" ref="A139">IF(E139="","",XLOOKUP(D139,'Validaciones Cotizador'!C:C,'Validaciones Cotizador'!A:A,"",0,1))</f>
        <v/>
      </c>
      <c r="B139" s="2" t="str">
        <f t="array" ref="B139">IF(F139="","",XLOOKUP(F139,Productos!E:E,Productos!G:G,"",0,1))</f>
        <v/>
      </c>
      <c r="C139" s="2" t="str">
        <f>IF(A139="","",SUMIFS('Validaciones Cotizador'!B:B,'Validaciones Cotizador'!C:C,D139,'Validaciones Cotizador'!A:A,A139))</f>
        <v/>
      </c>
      <c r="D139" s="4" t="str">
        <f>IFERROR(__xludf.DUMMYFUNCTION("IF(OR(F138=""Finalizar"",F138="""",F138=""Selecciona..""),"""",IF(OR(F138=""-"",INDEX(filter(Familias!F:F,Familias!D:D=A138,Familias!E:E=C138),1)=""O""),D138+1,D138))"),"")</f>
        <v/>
      </c>
      <c r="E139" s="2" t="str">
        <f>IF(OR(F139="",F139="Selecciona.."),"",IF(D139="Implemento",SUMIF(Implementos!B:B,F139,Implementos!A:A),SUMIF(Productos!E:E,F139,Productos!A:A)))</f>
        <v/>
      </c>
      <c r="F139" s="2" t="str">
        <f t="shared" si="2"/>
        <v/>
      </c>
      <c r="G139" s="10" t="str">
        <f t="array" ref="G139">IF(OR(F139="",F139="-",F139="Selecciona..",F139="Finalizar"),"",IF(A139="Rodados",XLOOKUP(B139,'Validaciones Cotizador'!I:I,'Validaciones Cotizador'!J:J,0,0,1),1))</f>
        <v/>
      </c>
      <c r="H139" s="11" t="str">
        <f>IF(OR(F139="",F139="Selecciona.."),"",SUMIF(Precio_Productos!K:K,E139,Precio_Productos!J:J)*G139)</f>
        <v/>
      </c>
      <c r="I139" s="4" t="str">
        <f t="array" ref="I139">IF($E139="","", XLOOKUP(SUMIFS(Prod_Prop!$A:$A,Prod_Prop!$B:$B,$E139,Prod_Prop!$H:$H,I$1,Prod_Prop!$I:$I,"Exacto"),Prod_Prop!$A:$A,Prod_Prop!$J:$J,"",0,1))</f>
        <v/>
      </c>
      <c r="J139" s="4" t="str">
        <f t="array" ref="J139">IF($E139="","", XLOOKUP(SUMIFS(Prod_Prop!$A:$A,Prod_Prop!$B:$B,$E139,Prod_Prop!$H:$H,J$1,Prod_Prop!$I:$I,"Exacto"),Prod_Prop!$A:$A,Prod_Prop!$J:$J,"",0,1))</f>
        <v/>
      </c>
      <c r="K139" s="4" t="str">
        <f t="array" ref="K139">IF($E139="","", XLOOKUP(SUMIFS(Prod_Prop!$A:$A,Prod_Prop!$B:$B,$E139,Prod_Prop!$H:$H,K$1,Prod_Prop!$I:$I,"Exacto"),Prod_Prop!$A:$A,Prod_Prop!$J:$J,"",0,1))</f>
        <v/>
      </c>
      <c r="L139" s="4" t="str">
        <f t="array" ref="L139">IF($E139="","", XLOOKUP(SUMIFS(Prod_Prop!$A:$A,Prod_Prop!$B:$B,$E139,Prod_Prop!$H:$H,L$1,Prod_Prop!$I:$I,"Exacto"),Prod_Prop!$A:$A,Prod_Prop!$J:$J,"",0,1))</f>
        <v/>
      </c>
      <c r="M139" s="4" t="str">
        <f t="array" ref="M139">IF($E139="","", XLOOKUP(SUMIFS(Prod_Prop!$A:$A,Prod_Prop!$B:$B,$E139,Prod_Prop!$H:$H,M$1,Prod_Prop!$I:$I,"Exacto"),Prod_Prop!$A:$A,Prod_Prop!$J:$J,"",0,1))</f>
        <v/>
      </c>
      <c r="N139" s="4" t="str">
        <f t="array" ref="N139">IF($E139="","", XLOOKUP(SUMIFS(Prod_Prop!$A:$A,Prod_Prop!$B:$B,$E139,Prod_Prop!$H:$H,N$1,Prod_Prop!$I:$I,"Exacto"),Prod_Prop!$A:$A,Prod_Prop!$J:$J,"",0,1))</f>
        <v/>
      </c>
      <c r="O139" s="4" t="str">
        <f t="array" ref="O139">IF($E139="","", XLOOKUP(SUMIFS(Prod_Prop!$A:$A,Prod_Prop!$B:$B,$E139,Prod_Prop!$H:$H,O$1,Prod_Prop!$I:$I,"Exacto"),Prod_Prop!$A:$A,Prod_Prop!$J:$J,"",0,1))</f>
        <v/>
      </c>
      <c r="P139" s="4" t="str">
        <f t="array" ref="P139">IF($E139="","", XLOOKUP(SUMIFS(Prod_Prop!$A:$A,Prod_Prop!$B:$B,$E139,Prod_Prop!$H:$H,P$1,Prod_Prop!$I:$I,"Exacto"),Prod_Prop!$A:$A,Prod_Prop!$J:$J,"",0,1))</f>
        <v/>
      </c>
      <c r="Q139" s="4" t="str">
        <f t="array" ref="Q139">IF($E139="","", XLOOKUP(SUMIFS(Prod_Prop!$A:$A,Prod_Prop!$B:$B,$E139,Prod_Prop!$H:$H,Q$1,Prod_Prop!$I:$I,"Exacto"),Prod_Prop!$A:$A,Prod_Prop!$J:$J,"",0,1))</f>
        <v/>
      </c>
      <c r="R139" s="4" t="str">
        <f t="array" ref="R139">IF($E139="","", XLOOKUP(SUMIFS(Prod_Prop!$A:$A,Prod_Prop!$B:$B,$E139,Prod_Prop!$H:$H,R$1,Prod_Prop!$I:$I,"Exacto"),Prod_Prop!$A:$A,Prod_Prop!$J:$J,"",0,1))</f>
        <v/>
      </c>
      <c r="S139" s="4" t="str">
        <f t="array" ref="S139">IF($E139="","", XLOOKUP(SUMIFS(Prod_Prop!$A:$A,Prod_Prop!$B:$B,$E139,Prod_Prop!$H:$H,S$1,Prod_Prop!$I:$I,"Exacto"),Prod_Prop!$A:$A,Prod_Prop!$J:$J,"",0,1))</f>
        <v/>
      </c>
      <c r="T139" s="4" t="str">
        <f t="array" ref="T139">IF($E139="","", XLOOKUP(SUMIFS(Prod_Prop!$A:$A,Prod_Prop!$B:$B,$E139,Prod_Prop!$H:$H,T$1,Prod_Prop!$I:$I,"Exacto"),Prod_Prop!$A:$A,Prod_Prop!$J:$J,"",0,1))</f>
        <v/>
      </c>
      <c r="U139" s="4" t="str">
        <f t="array" ref="U139">IF($E139="","", XLOOKUP(SUMIFS(Prod_Prop!$A:$A,Prod_Prop!$B:$B,$E139,Prod_Prop!$H:$H,U$1,Prod_Prop!$I:$I,"Exacto"),Prod_Prop!$A:$A,Prod_Prop!$J:$J,"",0,1))</f>
        <v/>
      </c>
      <c r="V139" s="4" t="str">
        <f t="array" ref="V139">IF($E139="","", XLOOKUP(SUMIFS(Prod_Prop!$A:$A,Prod_Prop!$B:$B,$E139,Prod_Prop!$H:$H,V$1,Prod_Prop!$I:$I,"Exacto"),Prod_Prop!$A:$A,Prod_Prop!$J:$J,"",0,1))</f>
        <v/>
      </c>
      <c r="X139" s="3" t="str">
        <f>IFERROR(__xludf.DUMMYFUNCTION("IF(D139="""","""",IFERROR(TRANSPOSE(FILTER('Validaciones Cotizador'!U:U,'Validaciones Cotizador'!O:O=D139,'Validaciones Cotizador'!T:T=""x"")),""Finalizar""))"),"")</f>
        <v/>
      </c>
    </row>
    <row r="140">
      <c r="A140" s="2" t="str">
        <f t="array" ref="A140">IF(E140="","",XLOOKUP(D140,'Validaciones Cotizador'!C:C,'Validaciones Cotizador'!A:A,"",0,1))</f>
        <v/>
      </c>
      <c r="B140" s="2" t="str">
        <f t="array" ref="B140">IF(F140="","",XLOOKUP(F140,Productos!E:E,Productos!G:G,"",0,1))</f>
        <v/>
      </c>
      <c r="C140" s="2" t="str">
        <f>IF(A140="","",SUMIFS('Validaciones Cotizador'!B:B,'Validaciones Cotizador'!C:C,D140,'Validaciones Cotizador'!A:A,A140))</f>
        <v/>
      </c>
      <c r="D140" s="4" t="str">
        <f>IFERROR(__xludf.DUMMYFUNCTION("IF(OR(F139=""Finalizar"",F139="""",F139=""Selecciona..""),"""",IF(OR(F139=""-"",INDEX(filter(Familias!F:F,Familias!D:D=A139,Familias!E:E=C139),1)=""O""),D139+1,D139))"),"")</f>
        <v/>
      </c>
      <c r="E140" s="2" t="str">
        <f>IF(OR(F140="",F140="Selecciona.."),"",IF(D140="Implemento",SUMIF(Implementos!B:B,F140,Implementos!A:A),SUMIF(Productos!E:E,F140,Productos!A:A)))</f>
        <v/>
      </c>
      <c r="F140" s="2" t="str">
        <f t="shared" si="2"/>
        <v/>
      </c>
      <c r="G140" s="10" t="str">
        <f t="array" ref="G140">IF(OR(F140="",F140="-",F140="Selecciona..",F140="Finalizar"),"",IF(A140="Rodados",XLOOKUP(B140,'Validaciones Cotizador'!I:I,'Validaciones Cotizador'!J:J,0,0,1),1))</f>
        <v/>
      </c>
      <c r="H140" s="11" t="str">
        <f>IF(OR(F140="",F140="Selecciona.."),"",SUMIF(Precio_Productos!K:K,E140,Precio_Productos!J:J)*G140)</f>
        <v/>
      </c>
      <c r="I140" s="4" t="str">
        <f t="array" ref="I140">IF($E140="","", XLOOKUP(SUMIFS(Prod_Prop!$A:$A,Prod_Prop!$B:$B,$E140,Prod_Prop!$H:$H,I$1,Prod_Prop!$I:$I,"Exacto"),Prod_Prop!$A:$A,Prod_Prop!$J:$J,"",0,1))</f>
        <v/>
      </c>
      <c r="J140" s="4" t="str">
        <f t="array" ref="J140">IF($E140="","", XLOOKUP(SUMIFS(Prod_Prop!$A:$A,Prod_Prop!$B:$B,$E140,Prod_Prop!$H:$H,J$1,Prod_Prop!$I:$I,"Exacto"),Prod_Prop!$A:$A,Prod_Prop!$J:$J,"",0,1))</f>
        <v/>
      </c>
      <c r="K140" s="4" t="str">
        <f t="array" ref="K140">IF($E140="","", XLOOKUP(SUMIFS(Prod_Prop!$A:$A,Prod_Prop!$B:$B,$E140,Prod_Prop!$H:$H,K$1,Prod_Prop!$I:$I,"Exacto"),Prod_Prop!$A:$A,Prod_Prop!$J:$J,"",0,1))</f>
        <v/>
      </c>
      <c r="L140" s="4" t="str">
        <f t="array" ref="L140">IF($E140="","", XLOOKUP(SUMIFS(Prod_Prop!$A:$A,Prod_Prop!$B:$B,$E140,Prod_Prop!$H:$H,L$1,Prod_Prop!$I:$I,"Exacto"),Prod_Prop!$A:$A,Prod_Prop!$J:$J,"",0,1))</f>
        <v/>
      </c>
      <c r="M140" s="4" t="str">
        <f t="array" ref="M140">IF($E140="","", XLOOKUP(SUMIFS(Prod_Prop!$A:$A,Prod_Prop!$B:$B,$E140,Prod_Prop!$H:$H,M$1,Prod_Prop!$I:$I,"Exacto"),Prod_Prop!$A:$A,Prod_Prop!$J:$J,"",0,1))</f>
        <v/>
      </c>
      <c r="N140" s="4" t="str">
        <f t="array" ref="N140">IF($E140="","", XLOOKUP(SUMIFS(Prod_Prop!$A:$A,Prod_Prop!$B:$B,$E140,Prod_Prop!$H:$H,N$1,Prod_Prop!$I:$I,"Exacto"),Prod_Prop!$A:$A,Prod_Prop!$J:$J,"",0,1))</f>
        <v/>
      </c>
      <c r="O140" s="4" t="str">
        <f t="array" ref="O140">IF($E140="","", XLOOKUP(SUMIFS(Prod_Prop!$A:$A,Prod_Prop!$B:$B,$E140,Prod_Prop!$H:$H,O$1,Prod_Prop!$I:$I,"Exacto"),Prod_Prop!$A:$A,Prod_Prop!$J:$J,"",0,1))</f>
        <v/>
      </c>
      <c r="P140" s="4" t="str">
        <f t="array" ref="P140">IF($E140="","", XLOOKUP(SUMIFS(Prod_Prop!$A:$A,Prod_Prop!$B:$B,$E140,Prod_Prop!$H:$H,P$1,Prod_Prop!$I:$I,"Exacto"),Prod_Prop!$A:$A,Prod_Prop!$J:$J,"",0,1))</f>
        <v/>
      </c>
      <c r="Q140" s="4" t="str">
        <f t="array" ref="Q140">IF($E140="","", XLOOKUP(SUMIFS(Prod_Prop!$A:$A,Prod_Prop!$B:$B,$E140,Prod_Prop!$H:$H,Q$1,Prod_Prop!$I:$I,"Exacto"),Prod_Prop!$A:$A,Prod_Prop!$J:$J,"",0,1))</f>
        <v/>
      </c>
      <c r="R140" s="4" t="str">
        <f t="array" ref="R140">IF($E140="","", XLOOKUP(SUMIFS(Prod_Prop!$A:$A,Prod_Prop!$B:$B,$E140,Prod_Prop!$H:$H,R$1,Prod_Prop!$I:$I,"Exacto"),Prod_Prop!$A:$A,Prod_Prop!$J:$J,"",0,1))</f>
        <v/>
      </c>
      <c r="S140" s="4" t="str">
        <f t="array" ref="S140">IF($E140="","", XLOOKUP(SUMIFS(Prod_Prop!$A:$A,Prod_Prop!$B:$B,$E140,Prod_Prop!$H:$H,S$1,Prod_Prop!$I:$I,"Exacto"),Prod_Prop!$A:$A,Prod_Prop!$J:$J,"",0,1))</f>
        <v/>
      </c>
      <c r="T140" s="4" t="str">
        <f t="array" ref="T140">IF($E140="","", XLOOKUP(SUMIFS(Prod_Prop!$A:$A,Prod_Prop!$B:$B,$E140,Prod_Prop!$H:$H,T$1,Prod_Prop!$I:$I,"Exacto"),Prod_Prop!$A:$A,Prod_Prop!$J:$J,"",0,1))</f>
        <v/>
      </c>
      <c r="U140" s="4" t="str">
        <f t="array" ref="U140">IF($E140="","", XLOOKUP(SUMIFS(Prod_Prop!$A:$A,Prod_Prop!$B:$B,$E140,Prod_Prop!$H:$H,U$1,Prod_Prop!$I:$I,"Exacto"),Prod_Prop!$A:$A,Prod_Prop!$J:$J,"",0,1))</f>
        <v/>
      </c>
      <c r="V140" s="4" t="str">
        <f t="array" ref="V140">IF($E140="","", XLOOKUP(SUMIFS(Prod_Prop!$A:$A,Prod_Prop!$B:$B,$E140,Prod_Prop!$H:$H,V$1,Prod_Prop!$I:$I,"Exacto"),Prod_Prop!$A:$A,Prod_Prop!$J:$J,"",0,1))</f>
        <v/>
      </c>
      <c r="X140" s="3" t="str">
        <f>IFERROR(__xludf.DUMMYFUNCTION("IF(D140="""","""",IFERROR(TRANSPOSE(FILTER('Validaciones Cotizador'!U:U,'Validaciones Cotizador'!O:O=D140,'Validaciones Cotizador'!T:T=""x"")),""Finalizar""))"),"")</f>
        <v/>
      </c>
    </row>
    <row r="141">
      <c r="A141" s="2" t="str">
        <f t="array" ref="A141">IF(E141="","",XLOOKUP(D141,'Validaciones Cotizador'!C:C,'Validaciones Cotizador'!A:A,"",0,1))</f>
        <v/>
      </c>
      <c r="B141" s="2" t="str">
        <f t="array" ref="B141">IF(F141="","",XLOOKUP(F141,Productos!E:E,Productos!G:G,"",0,1))</f>
        <v/>
      </c>
      <c r="C141" s="2" t="str">
        <f>IF(A141="","",SUMIFS('Validaciones Cotizador'!B:B,'Validaciones Cotizador'!C:C,D141,'Validaciones Cotizador'!A:A,A141))</f>
        <v/>
      </c>
      <c r="D141" s="4" t="str">
        <f>IFERROR(__xludf.DUMMYFUNCTION("IF(OR(F140=""Finalizar"",F140="""",F140=""Selecciona..""),"""",IF(OR(F140=""-"",INDEX(filter(Familias!F:F,Familias!D:D=A140,Familias!E:E=C140),1)=""O""),D140+1,D140))"),"")</f>
        <v/>
      </c>
      <c r="E141" s="2" t="str">
        <f>IF(OR(F141="",F141="Selecciona.."),"",IF(D141="Implemento",SUMIF(Implementos!B:B,F141,Implementos!A:A),SUMIF(Productos!E:E,F141,Productos!A:A)))</f>
        <v/>
      </c>
      <c r="F141" s="2" t="str">
        <f t="shared" si="2"/>
        <v/>
      </c>
      <c r="G141" s="10" t="str">
        <f t="array" ref="G141">IF(OR(F141="",F141="-",F141="Selecciona..",F141="Finalizar"),"",IF(A141="Rodados",XLOOKUP(B141,'Validaciones Cotizador'!I:I,'Validaciones Cotizador'!J:J,0,0,1),1))</f>
        <v/>
      </c>
      <c r="H141" s="11" t="str">
        <f>IF(OR(F141="",F141="Selecciona.."),"",SUMIF(Precio_Productos!K:K,E141,Precio_Productos!J:J)*G141)</f>
        <v/>
      </c>
      <c r="I141" s="4" t="str">
        <f t="array" ref="I141">IF($E141="","", XLOOKUP(SUMIFS(Prod_Prop!$A:$A,Prod_Prop!$B:$B,$E141,Prod_Prop!$H:$H,I$1,Prod_Prop!$I:$I,"Exacto"),Prod_Prop!$A:$A,Prod_Prop!$J:$J,"",0,1))</f>
        <v/>
      </c>
      <c r="J141" s="4" t="str">
        <f t="array" ref="J141">IF($E141="","", XLOOKUP(SUMIFS(Prod_Prop!$A:$A,Prod_Prop!$B:$B,$E141,Prod_Prop!$H:$H,J$1,Prod_Prop!$I:$I,"Exacto"),Prod_Prop!$A:$A,Prod_Prop!$J:$J,"",0,1))</f>
        <v/>
      </c>
      <c r="K141" s="4" t="str">
        <f t="array" ref="K141">IF($E141="","", XLOOKUP(SUMIFS(Prod_Prop!$A:$A,Prod_Prop!$B:$B,$E141,Prod_Prop!$H:$H,K$1,Prod_Prop!$I:$I,"Exacto"),Prod_Prop!$A:$A,Prod_Prop!$J:$J,"",0,1))</f>
        <v/>
      </c>
      <c r="L141" s="4" t="str">
        <f t="array" ref="L141">IF($E141="","", XLOOKUP(SUMIFS(Prod_Prop!$A:$A,Prod_Prop!$B:$B,$E141,Prod_Prop!$H:$H,L$1,Prod_Prop!$I:$I,"Exacto"),Prod_Prop!$A:$A,Prod_Prop!$J:$J,"",0,1))</f>
        <v/>
      </c>
      <c r="M141" s="4" t="str">
        <f t="array" ref="M141">IF($E141="","", XLOOKUP(SUMIFS(Prod_Prop!$A:$A,Prod_Prop!$B:$B,$E141,Prod_Prop!$H:$H,M$1,Prod_Prop!$I:$I,"Exacto"),Prod_Prop!$A:$A,Prod_Prop!$J:$J,"",0,1))</f>
        <v/>
      </c>
      <c r="N141" s="4" t="str">
        <f t="array" ref="N141">IF($E141="","", XLOOKUP(SUMIFS(Prod_Prop!$A:$A,Prod_Prop!$B:$B,$E141,Prod_Prop!$H:$H,N$1,Prod_Prop!$I:$I,"Exacto"),Prod_Prop!$A:$A,Prod_Prop!$J:$J,"",0,1))</f>
        <v/>
      </c>
      <c r="O141" s="4" t="str">
        <f t="array" ref="O141">IF($E141="","", XLOOKUP(SUMIFS(Prod_Prop!$A:$A,Prod_Prop!$B:$B,$E141,Prod_Prop!$H:$H,O$1,Prod_Prop!$I:$I,"Exacto"),Prod_Prop!$A:$A,Prod_Prop!$J:$J,"",0,1))</f>
        <v/>
      </c>
      <c r="P141" s="4" t="str">
        <f t="array" ref="P141">IF($E141="","", XLOOKUP(SUMIFS(Prod_Prop!$A:$A,Prod_Prop!$B:$B,$E141,Prod_Prop!$H:$H,P$1,Prod_Prop!$I:$I,"Exacto"),Prod_Prop!$A:$A,Prod_Prop!$J:$J,"",0,1))</f>
        <v/>
      </c>
      <c r="Q141" s="4" t="str">
        <f t="array" ref="Q141">IF($E141="","", XLOOKUP(SUMIFS(Prod_Prop!$A:$A,Prod_Prop!$B:$B,$E141,Prod_Prop!$H:$H,Q$1,Prod_Prop!$I:$I,"Exacto"),Prod_Prop!$A:$A,Prod_Prop!$J:$J,"",0,1))</f>
        <v/>
      </c>
      <c r="R141" s="4" t="str">
        <f t="array" ref="R141">IF($E141="","", XLOOKUP(SUMIFS(Prod_Prop!$A:$A,Prod_Prop!$B:$B,$E141,Prod_Prop!$H:$H,R$1,Prod_Prop!$I:$I,"Exacto"),Prod_Prop!$A:$A,Prod_Prop!$J:$J,"",0,1))</f>
        <v/>
      </c>
      <c r="S141" s="4" t="str">
        <f t="array" ref="S141">IF($E141="","", XLOOKUP(SUMIFS(Prod_Prop!$A:$A,Prod_Prop!$B:$B,$E141,Prod_Prop!$H:$H,S$1,Prod_Prop!$I:$I,"Exacto"),Prod_Prop!$A:$A,Prod_Prop!$J:$J,"",0,1))</f>
        <v/>
      </c>
      <c r="T141" s="4" t="str">
        <f t="array" ref="T141">IF($E141="","", XLOOKUP(SUMIFS(Prod_Prop!$A:$A,Prod_Prop!$B:$B,$E141,Prod_Prop!$H:$H,T$1,Prod_Prop!$I:$I,"Exacto"),Prod_Prop!$A:$A,Prod_Prop!$J:$J,"",0,1))</f>
        <v/>
      </c>
      <c r="U141" s="4" t="str">
        <f t="array" ref="U141">IF($E141="","", XLOOKUP(SUMIFS(Prod_Prop!$A:$A,Prod_Prop!$B:$B,$E141,Prod_Prop!$H:$H,U$1,Prod_Prop!$I:$I,"Exacto"),Prod_Prop!$A:$A,Prod_Prop!$J:$J,"",0,1))</f>
        <v/>
      </c>
      <c r="V141" s="4" t="str">
        <f t="array" ref="V141">IF($E141="","", XLOOKUP(SUMIFS(Prod_Prop!$A:$A,Prod_Prop!$B:$B,$E141,Prod_Prop!$H:$H,V$1,Prod_Prop!$I:$I,"Exacto"),Prod_Prop!$A:$A,Prod_Prop!$J:$J,"",0,1))</f>
        <v/>
      </c>
      <c r="X141" s="3" t="str">
        <f>IFERROR(__xludf.DUMMYFUNCTION("IF(D141="""","""",IFERROR(TRANSPOSE(FILTER('Validaciones Cotizador'!U:U,'Validaciones Cotizador'!O:O=D141,'Validaciones Cotizador'!T:T=""x"")),""Finalizar""))"),"")</f>
        <v/>
      </c>
    </row>
    <row r="142">
      <c r="A142" s="2" t="str">
        <f t="array" ref="A142">IF(E142="","",XLOOKUP(D142,'Validaciones Cotizador'!C:C,'Validaciones Cotizador'!A:A,"",0,1))</f>
        <v/>
      </c>
      <c r="B142" s="2" t="str">
        <f t="array" ref="B142">IF(F142="","",XLOOKUP(F142,Productos!E:E,Productos!G:G,"",0,1))</f>
        <v/>
      </c>
      <c r="C142" s="2" t="str">
        <f>IF(A142="","",SUMIFS('Validaciones Cotizador'!B:B,'Validaciones Cotizador'!C:C,D142,'Validaciones Cotizador'!A:A,A142))</f>
        <v/>
      </c>
      <c r="D142" s="4" t="str">
        <f>IFERROR(__xludf.DUMMYFUNCTION("IF(OR(F141=""Finalizar"",F141="""",F141=""Selecciona..""),"""",IF(OR(F141=""-"",INDEX(filter(Familias!F:F,Familias!D:D=A141,Familias!E:E=C141),1)=""O""),D141+1,D141))"),"")</f>
        <v/>
      </c>
      <c r="E142" s="2" t="str">
        <f>IF(OR(F142="",F142="Selecciona.."),"",IF(D142="Implemento",SUMIF(Implementos!B:B,F142,Implementos!A:A),SUMIF(Productos!E:E,F142,Productos!A:A)))</f>
        <v/>
      </c>
      <c r="F142" s="2" t="str">
        <f t="shared" si="2"/>
        <v/>
      </c>
      <c r="G142" s="10" t="str">
        <f t="array" ref="G142">IF(OR(F142="",F142="-",F142="Selecciona..",F142="Finalizar"),"",IF(A142="Rodados",XLOOKUP(B142,'Validaciones Cotizador'!I:I,'Validaciones Cotizador'!J:J,0,0,1),1))</f>
        <v/>
      </c>
      <c r="H142" s="11" t="str">
        <f>IF(OR(F142="",F142="Selecciona.."),"",SUMIF(Precio_Productos!K:K,E142,Precio_Productos!J:J)*G142)</f>
        <v/>
      </c>
      <c r="I142" s="4" t="str">
        <f t="array" ref="I142">IF($E142="","", XLOOKUP(SUMIFS(Prod_Prop!$A:$A,Prod_Prop!$B:$B,$E142,Prod_Prop!$H:$H,I$1,Prod_Prop!$I:$I,"Exacto"),Prod_Prop!$A:$A,Prod_Prop!$J:$J,"",0,1))</f>
        <v/>
      </c>
      <c r="J142" s="4" t="str">
        <f t="array" ref="J142">IF($E142="","", XLOOKUP(SUMIFS(Prod_Prop!$A:$A,Prod_Prop!$B:$B,$E142,Prod_Prop!$H:$H,J$1,Prod_Prop!$I:$I,"Exacto"),Prod_Prop!$A:$A,Prod_Prop!$J:$J,"",0,1))</f>
        <v/>
      </c>
      <c r="K142" s="4" t="str">
        <f t="array" ref="K142">IF($E142="","", XLOOKUP(SUMIFS(Prod_Prop!$A:$A,Prod_Prop!$B:$B,$E142,Prod_Prop!$H:$H,K$1,Prod_Prop!$I:$I,"Exacto"),Prod_Prop!$A:$A,Prod_Prop!$J:$J,"",0,1))</f>
        <v/>
      </c>
      <c r="L142" s="4" t="str">
        <f t="array" ref="L142">IF($E142="","", XLOOKUP(SUMIFS(Prod_Prop!$A:$A,Prod_Prop!$B:$B,$E142,Prod_Prop!$H:$H,L$1,Prod_Prop!$I:$I,"Exacto"),Prod_Prop!$A:$A,Prod_Prop!$J:$J,"",0,1))</f>
        <v/>
      </c>
      <c r="M142" s="4" t="str">
        <f t="array" ref="M142">IF($E142="","", XLOOKUP(SUMIFS(Prod_Prop!$A:$A,Prod_Prop!$B:$B,$E142,Prod_Prop!$H:$H,M$1,Prod_Prop!$I:$I,"Exacto"),Prod_Prop!$A:$A,Prod_Prop!$J:$J,"",0,1))</f>
        <v/>
      </c>
      <c r="N142" s="4" t="str">
        <f t="array" ref="N142">IF($E142="","", XLOOKUP(SUMIFS(Prod_Prop!$A:$A,Prod_Prop!$B:$B,$E142,Prod_Prop!$H:$H,N$1,Prod_Prop!$I:$I,"Exacto"),Prod_Prop!$A:$A,Prod_Prop!$J:$J,"",0,1))</f>
        <v/>
      </c>
      <c r="O142" s="4" t="str">
        <f t="array" ref="O142">IF($E142="","", XLOOKUP(SUMIFS(Prod_Prop!$A:$A,Prod_Prop!$B:$B,$E142,Prod_Prop!$H:$H,O$1,Prod_Prop!$I:$I,"Exacto"),Prod_Prop!$A:$A,Prod_Prop!$J:$J,"",0,1))</f>
        <v/>
      </c>
      <c r="P142" s="4" t="str">
        <f t="array" ref="P142">IF($E142="","", XLOOKUP(SUMIFS(Prod_Prop!$A:$A,Prod_Prop!$B:$B,$E142,Prod_Prop!$H:$H,P$1,Prod_Prop!$I:$I,"Exacto"),Prod_Prop!$A:$A,Prod_Prop!$J:$J,"",0,1))</f>
        <v/>
      </c>
      <c r="Q142" s="4" t="str">
        <f t="array" ref="Q142">IF($E142="","", XLOOKUP(SUMIFS(Prod_Prop!$A:$A,Prod_Prop!$B:$B,$E142,Prod_Prop!$H:$H,Q$1,Prod_Prop!$I:$I,"Exacto"),Prod_Prop!$A:$A,Prod_Prop!$J:$J,"",0,1))</f>
        <v/>
      </c>
      <c r="R142" s="4" t="str">
        <f t="array" ref="R142">IF($E142="","", XLOOKUP(SUMIFS(Prod_Prop!$A:$A,Prod_Prop!$B:$B,$E142,Prod_Prop!$H:$H,R$1,Prod_Prop!$I:$I,"Exacto"),Prod_Prop!$A:$A,Prod_Prop!$J:$J,"",0,1))</f>
        <v/>
      </c>
      <c r="S142" s="4" t="str">
        <f t="array" ref="S142">IF($E142="","", XLOOKUP(SUMIFS(Prod_Prop!$A:$A,Prod_Prop!$B:$B,$E142,Prod_Prop!$H:$H,S$1,Prod_Prop!$I:$I,"Exacto"),Prod_Prop!$A:$A,Prod_Prop!$J:$J,"",0,1))</f>
        <v/>
      </c>
      <c r="T142" s="4" t="str">
        <f t="array" ref="T142">IF($E142="","", XLOOKUP(SUMIFS(Prod_Prop!$A:$A,Prod_Prop!$B:$B,$E142,Prod_Prop!$H:$H,T$1,Prod_Prop!$I:$I,"Exacto"),Prod_Prop!$A:$A,Prod_Prop!$J:$J,"",0,1))</f>
        <v/>
      </c>
      <c r="U142" s="4" t="str">
        <f t="array" ref="U142">IF($E142="","", XLOOKUP(SUMIFS(Prod_Prop!$A:$A,Prod_Prop!$B:$B,$E142,Prod_Prop!$H:$H,U$1,Prod_Prop!$I:$I,"Exacto"),Prod_Prop!$A:$A,Prod_Prop!$J:$J,"",0,1))</f>
        <v/>
      </c>
      <c r="V142" s="4" t="str">
        <f t="array" ref="V142">IF($E142="","", XLOOKUP(SUMIFS(Prod_Prop!$A:$A,Prod_Prop!$B:$B,$E142,Prod_Prop!$H:$H,V$1,Prod_Prop!$I:$I,"Exacto"),Prod_Prop!$A:$A,Prod_Prop!$J:$J,"",0,1))</f>
        <v/>
      </c>
      <c r="X142" s="3" t="str">
        <f>IFERROR(__xludf.DUMMYFUNCTION("IF(D142="""","""",IFERROR(TRANSPOSE(FILTER('Validaciones Cotizador'!U:U,'Validaciones Cotizador'!O:O=D142,'Validaciones Cotizador'!T:T=""x"")),""Finalizar""))"),"")</f>
        <v/>
      </c>
    </row>
    <row r="143">
      <c r="A143" s="2" t="str">
        <f t="array" ref="A143">IF(E143="","",XLOOKUP(D143,'Validaciones Cotizador'!C:C,'Validaciones Cotizador'!A:A,"",0,1))</f>
        <v/>
      </c>
      <c r="B143" s="2" t="str">
        <f t="array" ref="B143">IF(F143="","",XLOOKUP(F143,Productos!E:E,Productos!G:G,"",0,1))</f>
        <v/>
      </c>
      <c r="C143" s="2" t="str">
        <f>IF(A143="","",SUMIFS('Validaciones Cotizador'!B:B,'Validaciones Cotizador'!C:C,D143,'Validaciones Cotizador'!A:A,A143))</f>
        <v/>
      </c>
      <c r="D143" s="4" t="str">
        <f>IFERROR(__xludf.DUMMYFUNCTION("IF(OR(F142=""Finalizar"",F142="""",F142=""Selecciona..""),"""",IF(OR(F142=""-"",INDEX(filter(Familias!F:F,Familias!D:D=A142,Familias!E:E=C142),1)=""O""),D142+1,D142))"),"")</f>
        <v/>
      </c>
      <c r="E143" s="2" t="str">
        <f>IF(OR(F143="",F143="Selecciona.."),"",IF(D143="Implemento",SUMIF(Implementos!B:B,F143,Implementos!A:A),SUMIF(Productos!E:E,F143,Productos!A:A)))</f>
        <v/>
      </c>
      <c r="F143" s="2" t="str">
        <f t="shared" si="2"/>
        <v/>
      </c>
      <c r="G143" s="10" t="str">
        <f t="array" ref="G143">IF(OR(F143="",F143="-",F143="Selecciona..",F143="Finalizar"),"",IF(A143="Rodados",XLOOKUP(B143,'Validaciones Cotizador'!I:I,'Validaciones Cotizador'!J:J,0,0,1),1))</f>
        <v/>
      </c>
      <c r="H143" s="11" t="str">
        <f>IF(OR(F143="",F143="Selecciona.."),"",SUMIF(Precio_Productos!K:K,E143,Precio_Productos!J:J)*G143)</f>
        <v/>
      </c>
      <c r="I143" s="4" t="str">
        <f t="array" ref="I143">IF($E143="","", XLOOKUP(SUMIFS(Prod_Prop!$A:$A,Prod_Prop!$B:$B,$E143,Prod_Prop!$H:$H,I$1,Prod_Prop!$I:$I,"Exacto"),Prod_Prop!$A:$A,Prod_Prop!$J:$J,"",0,1))</f>
        <v/>
      </c>
      <c r="J143" s="4" t="str">
        <f t="array" ref="J143">IF($E143="","", XLOOKUP(SUMIFS(Prod_Prop!$A:$A,Prod_Prop!$B:$B,$E143,Prod_Prop!$H:$H,J$1,Prod_Prop!$I:$I,"Exacto"),Prod_Prop!$A:$A,Prod_Prop!$J:$J,"",0,1))</f>
        <v/>
      </c>
      <c r="K143" s="4" t="str">
        <f t="array" ref="K143">IF($E143="","", XLOOKUP(SUMIFS(Prod_Prop!$A:$A,Prod_Prop!$B:$B,$E143,Prod_Prop!$H:$H,K$1,Prod_Prop!$I:$I,"Exacto"),Prod_Prop!$A:$A,Prod_Prop!$J:$J,"",0,1))</f>
        <v/>
      </c>
      <c r="L143" s="4" t="str">
        <f t="array" ref="L143">IF($E143="","", XLOOKUP(SUMIFS(Prod_Prop!$A:$A,Prod_Prop!$B:$B,$E143,Prod_Prop!$H:$H,L$1,Prod_Prop!$I:$I,"Exacto"),Prod_Prop!$A:$A,Prod_Prop!$J:$J,"",0,1))</f>
        <v/>
      </c>
      <c r="M143" s="4" t="str">
        <f t="array" ref="M143">IF($E143="","", XLOOKUP(SUMIFS(Prod_Prop!$A:$A,Prod_Prop!$B:$B,$E143,Prod_Prop!$H:$H,M$1,Prod_Prop!$I:$I,"Exacto"),Prod_Prop!$A:$A,Prod_Prop!$J:$J,"",0,1))</f>
        <v/>
      </c>
      <c r="N143" s="4" t="str">
        <f t="array" ref="N143">IF($E143="","", XLOOKUP(SUMIFS(Prod_Prop!$A:$A,Prod_Prop!$B:$B,$E143,Prod_Prop!$H:$H,N$1,Prod_Prop!$I:$I,"Exacto"),Prod_Prop!$A:$A,Prod_Prop!$J:$J,"",0,1))</f>
        <v/>
      </c>
      <c r="O143" s="4" t="str">
        <f t="array" ref="O143">IF($E143="","", XLOOKUP(SUMIFS(Prod_Prop!$A:$A,Prod_Prop!$B:$B,$E143,Prod_Prop!$H:$H,O$1,Prod_Prop!$I:$I,"Exacto"),Prod_Prop!$A:$A,Prod_Prop!$J:$J,"",0,1))</f>
        <v/>
      </c>
      <c r="P143" s="4" t="str">
        <f t="array" ref="P143">IF($E143="","", XLOOKUP(SUMIFS(Prod_Prop!$A:$A,Prod_Prop!$B:$B,$E143,Prod_Prop!$H:$H,P$1,Prod_Prop!$I:$I,"Exacto"),Prod_Prop!$A:$A,Prod_Prop!$J:$J,"",0,1))</f>
        <v/>
      </c>
      <c r="Q143" s="4" t="str">
        <f t="array" ref="Q143">IF($E143="","", XLOOKUP(SUMIFS(Prod_Prop!$A:$A,Prod_Prop!$B:$B,$E143,Prod_Prop!$H:$H,Q$1,Prod_Prop!$I:$I,"Exacto"),Prod_Prop!$A:$A,Prod_Prop!$J:$J,"",0,1))</f>
        <v/>
      </c>
      <c r="R143" s="4" t="str">
        <f t="array" ref="R143">IF($E143="","", XLOOKUP(SUMIFS(Prod_Prop!$A:$A,Prod_Prop!$B:$B,$E143,Prod_Prop!$H:$H,R$1,Prod_Prop!$I:$I,"Exacto"),Prod_Prop!$A:$A,Prod_Prop!$J:$J,"",0,1))</f>
        <v/>
      </c>
      <c r="S143" s="4" t="str">
        <f t="array" ref="S143">IF($E143="","", XLOOKUP(SUMIFS(Prod_Prop!$A:$A,Prod_Prop!$B:$B,$E143,Prod_Prop!$H:$H,S$1,Prod_Prop!$I:$I,"Exacto"),Prod_Prop!$A:$A,Prod_Prop!$J:$J,"",0,1))</f>
        <v/>
      </c>
      <c r="T143" s="4" t="str">
        <f t="array" ref="T143">IF($E143="","", XLOOKUP(SUMIFS(Prod_Prop!$A:$A,Prod_Prop!$B:$B,$E143,Prod_Prop!$H:$H,T$1,Prod_Prop!$I:$I,"Exacto"),Prod_Prop!$A:$A,Prod_Prop!$J:$J,"",0,1))</f>
        <v/>
      </c>
      <c r="U143" s="4" t="str">
        <f t="array" ref="U143">IF($E143="","", XLOOKUP(SUMIFS(Prod_Prop!$A:$A,Prod_Prop!$B:$B,$E143,Prod_Prop!$H:$H,U$1,Prod_Prop!$I:$I,"Exacto"),Prod_Prop!$A:$A,Prod_Prop!$J:$J,"",0,1))</f>
        <v/>
      </c>
      <c r="V143" s="4" t="str">
        <f t="array" ref="V143">IF($E143="","", XLOOKUP(SUMIFS(Prod_Prop!$A:$A,Prod_Prop!$B:$B,$E143,Prod_Prop!$H:$H,V$1,Prod_Prop!$I:$I,"Exacto"),Prod_Prop!$A:$A,Prod_Prop!$J:$J,"",0,1))</f>
        <v/>
      </c>
      <c r="X143" s="3" t="str">
        <f>IFERROR(__xludf.DUMMYFUNCTION("IF(D143="""","""",IFERROR(TRANSPOSE(FILTER('Validaciones Cotizador'!U:U,'Validaciones Cotizador'!O:O=D143,'Validaciones Cotizador'!T:T=""x"")),""Finalizar""))"),"")</f>
        <v/>
      </c>
    </row>
    <row r="144">
      <c r="A144" s="2" t="str">
        <f t="array" ref="A144">IF(E144="","",XLOOKUP(D144,'Validaciones Cotizador'!C:C,'Validaciones Cotizador'!A:A,"",0,1))</f>
        <v/>
      </c>
      <c r="B144" s="2" t="str">
        <f t="array" ref="B144">IF(F144="","",XLOOKUP(F144,Productos!E:E,Productos!G:G,"",0,1))</f>
        <v/>
      </c>
      <c r="C144" s="2" t="str">
        <f>IF(A144="","",SUMIFS('Validaciones Cotizador'!B:B,'Validaciones Cotizador'!C:C,D144,'Validaciones Cotizador'!A:A,A144))</f>
        <v/>
      </c>
      <c r="D144" s="4" t="str">
        <f>IFERROR(__xludf.DUMMYFUNCTION("IF(OR(F143=""Finalizar"",F143="""",F143=""Selecciona..""),"""",IF(OR(F143=""-"",INDEX(filter(Familias!F:F,Familias!D:D=A143,Familias!E:E=C143),1)=""O""),D143+1,D143))"),"")</f>
        <v/>
      </c>
      <c r="E144" s="2" t="str">
        <f>IF(OR(F144="",F144="Selecciona.."),"",IF(D144="Implemento",SUMIF(Implementos!B:B,F144,Implementos!A:A),SUMIF(Productos!E:E,F144,Productos!A:A)))</f>
        <v/>
      </c>
      <c r="F144" s="2" t="str">
        <f t="shared" si="2"/>
        <v/>
      </c>
      <c r="G144" s="10" t="str">
        <f t="array" ref="G144">IF(OR(F144="",F144="-",F144="Selecciona..",F144="Finalizar"),"",IF(A144="Rodados",XLOOKUP(B144,'Validaciones Cotizador'!I:I,'Validaciones Cotizador'!J:J,0,0,1),1))</f>
        <v/>
      </c>
      <c r="H144" s="11" t="str">
        <f>IF(OR(F144="",F144="Selecciona.."),"",SUMIF(Precio_Productos!K:K,E144,Precio_Productos!J:J)*G144)</f>
        <v/>
      </c>
      <c r="I144" s="4" t="str">
        <f t="array" ref="I144">IF($E144="","", XLOOKUP(SUMIFS(Prod_Prop!$A:$A,Prod_Prop!$B:$B,$E144,Prod_Prop!$H:$H,I$1,Prod_Prop!$I:$I,"Exacto"),Prod_Prop!$A:$A,Prod_Prop!$J:$J,"",0,1))</f>
        <v/>
      </c>
      <c r="J144" s="4" t="str">
        <f t="array" ref="J144">IF($E144="","", XLOOKUP(SUMIFS(Prod_Prop!$A:$A,Prod_Prop!$B:$B,$E144,Prod_Prop!$H:$H,J$1,Prod_Prop!$I:$I,"Exacto"),Prod_Prop!$A:$A,Prod_Prop!$J:$J,"",0,1))</f>
        <v/>
      </c>
      <c r="K144" s="4" t="str">
        <f t="array" ref="K144">IF($E144="","", XLOOKUP(SUMIFS(Prod_Prop!$A:$A,Prod_Prop!$B:$B,$E144,Prod_Prop!$H:$H,K$1,Prod_Prop!$I:$I,"Exacto"),Prod_Prop!$A:$A,Prod_Prop!$J:$J,"",0,1))</f>
        <v/>
      </c>
      <c r="L144" s="4" t="str">
        <f t="array" ref="L144">IF($E144="","", XLOOKUP(SUMIFS(Prod_Prop!$A:$A,Prod_Prop!$B:$B,$E144,Prod_Prop!$H:$H,L$1,Prod_Prop!$I:$I,"Exacto"),Prod_Prop!$A:$A,Prod_Prop!$J:$J,"",0,1))</f>
        <v/>
      </c>
      <c r="M144" s="4" t="str">
        <f t="array" ref="M144">IF($E144="","", XLOOKUP(SUMIFS(Prod_Prop!$A:$A,Prod_Prop!$B:$B,$E144,Prod_Prop!$H:$H,M$1,Prod_Prop!$I:$I,"Exacto"),Prod_Prop!$A:$A,Prod_Prop!$J:$J,"",0,1))</f>
        <v/>
      </c>
      <c r="N144" s="4" t="str">
        <f t="array" ref="N144">IF($E144="","", XLOOKUP(SUMIFS(Prod_Prop!$A:$A,Prod_Prop!$B:$B,$E144,Prod_Prop!$H:$H,N$1,Prod_Prop!$I:$I,"Exacto"),Prod_Prop!$A:$A,Prod_Prop!$J:$J,"",0,1))</f>
        <v/>
      </c>
      <c r="O144" s="4" t="str">
        <f t="array" ref="O144">IF($E144="","", XLOOKUP(SUMIFS(Prod_Prop!$A:$A,Prod_Prop!$B:$B,$E144,Prod_Prop!$H:$H,O$1,Prod_Prop!$I:$I,"Exacto"),Prod_Prop!$A:$A,Prod_Prop!$J:$J,"",0,1))</f>
        <v/>
      </c>
      <c r="P144" s="4" t="str">
        <f t="array" ref="P144">IF($E144="","", XLOOKUP(SUMIFS(Prod_Prop!$A:$A,Prod_Prop!$B:$B,$E144,Prod_Prop!$H:$H,P$1,Prod_Prop!$I:$I,"Exacto"),Prod_Prop!$A:$A,Prod_Prop!$J:$J,"",0,1))</f>
        <v/>
      </c>
      <c r="Q144" s="4" t="str">
        <f t="array" ref="Q144">IF($E144="","", XLOOKUP(SUMIFS(Prod_Prop!$A:$A,Prod_Prop!$B:$B,$E144,Prod_Prop!$H:$H,Q$1,Prod_Prop!$I:$I,"Exacto"),Prod_Prop!$A:$A,Prod_Prop!$J:$J,"",0,1))</f>
        <v/>
      </c>
      <c r="R144" s="4" t="str">
        <f t="array" ref="R144">IF($E144="","", XLOOKUP(SUMIFS(Prod_Prop!$A:$A,Prod_Prop!$B:$B,$E144,Prod_Prop!$H:$H,R$1,Prod_Prop!$I:$I,"Exacto"),Prod_Prop!$A:$A,Prod_Prop!$J:$J,"",0,1))</f>
        <v/>
      </c>
      <c r="S144" s="4" t="str">
        <f t="array" ref="S144">IF($E144="","", XLOOKUP(SUMIFS(Prod_Prop!$A:$A,Prod_Prop!$B:$B,$E144,Prod_Prop!$H:$H,S$1,Prod_Prop!$I:$I,"Exacto"),Prod_Prop!$A:$A,Prod_Prop!$J:$J,"",0,1))</f>
        <v/>
      </c>
      <c r="T144" s="4" t="str">
        <f t="array" ref="T144">IF($E144="","", XLOOKUP(SUMIFS(Prod_Prop!$A:$A,Prod_Prop!$B:$B,$E144,Prod_Prop!$H:$H,T$1,Prod_Prop!$I:$I,"Exacto"),Prod_Prop!$A:$A,Prod_Prop!$J:$J,"",0,1))</f>
        <v/>
      </c>
      <c r="U144" s="4" t="str">
        <f t="array" ref="U144">IF($E144="","", XLOOKUP(SUMIFS(Prod_Prop!$A:$A,Prod_Prop!$B:$B,$E144,Prod_Prop!$H:$H,U$1,Prod_Prop!$I:$I,"Exacto"),Prod_Prop!$A:$A,Prod_Prop!$J:$J,"",0,1))</f>
        <v/>
      </c>
      <c r="V144" s="4" t="str">
        <f t="array" ref="V144">IF($E144="","", XLOOKUP(SUMIFS(Prod_Prop!$A:$A,Prod_Prop!$B:$B,$E144,Prod_Prop!$H:$H,V$1,Prod_Prop!$I:$I,"Exacto"),Prod_Prop!$A:$A,Prod_Prop!$J:$J,"",0,1))</f>
        <v/>
      </c>
      <c r="X144" s="3" t="str">
        <f>IFERROR(__xludf.DUMMYFUNCTION("IF(D144="""","""",IFERROR(TRANSPOSE(FILTER('Validaciones Cotizador'!U:U,'Validaciones Cotizador'!O:O=D144,'Validaciones Cotizador'!T:T=""x"")),""Finalizar""))"),"")</f>
        <v/>
      </c>
    </row>
    <row r="145">
      <c r="A145" s="2" t="str">
        <f t="array" ref="A145">IF(E145="","",XLOOKUP(D145,'Validaciones Cotizador'!C:C,'Validaciones Cotizador'!A:A,"",0,1))</f>
        <v/>
      </c>
      <c r="B145" s="2" t="str">
        <f t="array" ref="B145">IF(F145="","",XLOOKUP(F145,Productos!E:E,Productos!G:G,"",0,1))</f>
        <v/>
      </c>
      <c r="C145" s="2" t="str">
        <f>IF(A145="","",SUMIFS('Validaciones Cotizador'!B:B,'Validaciones Cotizador'!C:C,D145,'Validaciones Cotizador'!A:A,A145))</f>
        <v/>
      </c>
      <c r="D145" s="4" t="str">
        <f>IFERROR(__xludf.DUMMYFUNCTION("IF(OR(F144=""Finalizar"",F144="""",F144=""Selecciona..""),"""",IF(OR(F144=""-"",INDEX(filter(Familias!F:F,Familias!D:D=A144,Familias!E:E=C144),1)=""O""),D144+1,D144))"),"")</f>
        <v/>
      </c>
      <c r="E145" s="2" t="str">
        <f>IF(OR(F145="",F145="Selecciona.."),"",IF(D145="Implemento",SUMIF(Implementos!B:B,F145,Implementos!A:A),SUMIF(Productos!E:E,F145,Productos!A:A)))</f>
        <v/>
      </c>
      <c r="F145" s="2" t="str">
        <f t="shared" si="2"/>
        <v/>
      </c>
      <c r="G145" s="10" t="str">
        <f t="array" ref="G145">IF(OR(F145="",F145="-",F145="Selecciona..",F145="Finalizar"),"",IF(A145="Rodados",XLOOKUP(B145,'Validaciones Cotizador'!I:I,'Validaciones Cotizador'!J:J,0,0,1),1))</f>
        <v/>
      </c>
      <c r="H145" s="11" t="str">
        <f>IF(OR(F145="",F145="Selecciona.."),"",SUMIF(Precio_Productos!K:K,E145,Precio_Productos!J:J)*G145)</f>
        <v/>
      </c>
      <c r="I145" s="4" t="str">
        <f t="array" ref="I145">IF($E145="","", XLOOKUP(SUMIFS(Prod_Prop!$A:$A,Prod_Prop!$B:$B,$E145,Prod_Prop!$H:$H,I$1,Prod_Prop!$I:$I,"Exacto"),Prod_Prop!$A:$A,Prod_Prop!$J:$J,"",0,1))</f>
        <v/>
      </c>
      <c r="J145" s="4" t="str">
        <f t="array" ref="J145">IF($E145="","", XLOOKUP(SUMIFS(Prod_Prop!$A:$A,Prod_Prop!$B:$B,$E145,Prod_Prop!$H:$H,J$1,Prod_Prop!$I:$I,"Exacto"),Prod_Prop!$A:$A,Prod_Prop!$J:$J,"",0,1))</f>
        <v/>
      </c>
      <c r="K145" s="4" t="str">
        <f t="array" ref="K145">IF($E145="","", XLOOKUP(SUMIFS(Prod_Prop!$A:$A,Prod_Prop!$B:$B,$E145,Prod_Prop!$H:$H,K$1,Prod_Prop!$I:$I,"Exacto"),Prod_Prop!$A:$A,Prod_Prop!$J:$J,"",0,1))</f>
        <v/>
      </c>
      <c r="L145" s="4" t="str">
        <f t="array" ref="L145">IF($E145="","", XLOOKUP(SUMIFS(Prod_Prop!$A:$A,Prod_Prop!$B:$B,$E145,Prod_Prop!$H:$H,L$1,Prod_Prop!$I:$I,"Exacto"),Prod_Prop!$A:$A,Prod_Prop!$J:$J,"",0,1))</f>
        <v/>
      </c>
      <c r="M145" s="4" t="str">
        <f t="array" ref="M145">IF($E145="","", XLOOKUP(SUMIFS(Prod_Prop!$A:$A,Prod_Prop!$B:$B,$E145,Prod_Prop!$H:$H,M$1,Prod_Prop!$I:$I,"Exacto"),Prod_Prop!$A:$A,Prod_Prop!$J:$J,"",0,1))</f>
        <v/>
      </c>
      <c r="N145" s="4" t="str">
        <f t="array" ref="N145">IF($E145="","", XLOOKUP(SUMIFS(Prod_Prop!$A:$A,Prod_Prop!$B:$B,$E145,Prod_Prop!$H:$H,N$1,Prod_Prop!$I:$I,"Exacto"),Prod_Prop!$A:$A,Prod_Prop!$J:$J,"",0,1))</f>
        <v/>
      </c>
      <c r="O145" s="4" t="str">
        <f t="array" ref="O145">IF($E145="","", XLOOKUP(SUMIFS(Prod_Prop!$A:$A,Prod_Prop!$B:$B,$E145,Prod_Prop!$H:$H,O$1,Prod_Prop!$I:$I,"Exacto"),Prod_Prop!$A:$A,Prod_Prop!$J:$J,"",0,1))</f>
        <v/>
      </c>
      <c r="P145" s="4" t="str">
        <f t="array" ref="P145">IF($E145="","", XLOOKUP(SUMIFS(Prod_Prop!$A:$A,Prod_Prop!$B:$B,$E145,Prod_Prop!$H:$H,P$1,Prod_Prop!$I:$I,"Exacto"),Prod_Prop!$A:$A,Prod_Prop!$J:$J,"",0,1))</f>
        <v/>
      </c>
      <c r="Q145" s="4" t="str">
        <f t="array" ref="Q145">IF($E145="","", XLOOKUP(SUMIFS(Prod_Prop!$A:$A,Prod_Prop!$B:$B,$E145,Prod_Prop!$H:$H,Q$1,Prod_Prop!$I:$I,"Exacto"),Prod_Prop!$A:$A,Prod_Prop!$J:$J,"",0,1))</f>
        <v/>
      </c>
      <c r="R145" s="4" t="str">
        <f t="array" ref="R145">IF($E145="","", XLOOKUP(SUMIFS(Prod_Prop!$A:$A,Prod_Prop!$B:$B,$E145,Prod_Prop!$H:$H,R$1,Prod_Prop!$I:$I,"Exacto"),Prod_Prop!$A:$A,Prod_Prop!$J:$J,"",0,1))</f>
        <v/>
      </c>
      <c r="S145" s="4" t="str">
        <f t="array" ref="S145">IF($E145="","", XLOOKUP(SUMIFS(Prod_Prop!$A:$A,Prod_Prop!$B:$B,$E145,Prod_Prop!$H:$H,S$1,Prod_Prop!$I:$I,"Exacto"),Prod_Prop!$A:$A,Prod_Prop!$J:$J,"",0,1))</f>
        <v/>
      </c>
      <c r="T145" s="4" t="str">
        <f t="array" ref="T145">IF($E145="","", XLOOKUP(SUMIFS(Prod_Prop!$A:$A,Prod_Prop!$B:$B,$E145,Prod_Prop!$H:$H,T$1,Prod_Prop!$I:$I,"Exacto"),Prod_Prop!$A:$A,Prod_Prop!$J:$J,"",0,1))</f>
        <v/>
      </c>
      <c r="U145" s="4" t="str">
        <f t="array" ref="U145">IF($E145="","", XLOOKUP(SUMIFS(Prod_Prop!$A:$A,Prod_Prop!$B:$B,$E145,Prod_Prop!$H:$H,U$1,Prod_Prop!$I:$I,"Exacto"),Prod_Prop!$A:$A,Prod_Prop!$J:$J,"",0,1))</f>
        <v/>
      </c>
      <c r="V145" s="4" t="str">
        <f t="array" ref="V145">IF($E145="","", XLOOKUP(SUMIFS(Prod_Prop!$A:$A,Prod_Prop!$B:$B,$E145,Prod_Prop!$H:$H,V$1,Prod_Prop!$I:$I,"Exacto"),Prod_Prop!$A:$A,Prod_Prop!$J:$J,"",0,1))</f>
        <v/>
      </c>
      <c r="X145" s="3" t="str">
        <f>IFERROR(__xludf.DUMMYFUNCTION("IF(D145="""","""",IFERROR(TRANSPOSE(FILTER('Validaciones Cotizador'!U:U,'Validaciones Cotizador'!O:O=D145,'Validaciones Cotizador'!T:T=""x"")),""Finalizar""))"),"")</f>
        <v/>
      </c>
    </row>
    <row r="146">
      <c r="A146" s="2" t="str">
        <f t="array" ref="A146">IF(E146="","",XLOOKUP(D146,'Validaciones Cotizador'!C:C,'Validaciones Cotizador'!A:A,"",0,1))</f>
        <v/>
      </c>
      <c r="B146" s="2" t="str">
        <f t="array" ref="B146">IF(F146="","",XLOOKUP(F146,Productos!E:E,Productos!G:G,"",0,1))</f>
        <v/>
      </c>
      <c r="C146" s="2" t="str">
        <f>IF(A146="","",SUMIFS('Validaciones Cotizador'!B:B,'Validaciones Cotizador'!C:C,D146,'Validaciones Cotizador'!A:A,A146))</f>
        <v/>
      </c>
      <c r="D146" s="4" t="str">
        <f>IFERROR(__xludf.DUMMYFUNCTION("IF(OR(F145=""Finalizar"",F145="""",F145=""Selecciona..""),"""",IF(OR(F145=""-"",INDEX(filter(Familias!F:F,Familias!D:D=A145,Familias!E:E=C145),1)=""O""),D145+1,D145))"),"")</f>
        <v/>
      </c>
      <c r="E146" s="2" t="str">
        <f>IF(OR(F146="",F146="Selecciona.."),"",IF(D146="Implemento",SUMIF(Implementos!B:B,F146,Implementos!A:A),SUMIF(Productos!E:E,F146,Productos!A:A)))</f>
        <v/>
      </c>
      <c r="F146" s="2" t="str">
        <f t="shared" si="2"/>
        <v/>
      </c>
      <c r="G146" s="10" t="str">
        <f t="array" ref="G146">IF(OR(F146="",F146="-",F146="Selecciona..",F146="Finalizar"),"",IF(A146="Rodados",XLOOKUP(B146,'Validaciones Cotizador'!I:I,'Validaciones Cotizador'!J:J,0,0,1),1))</f>
        <v/>
      </c>
      <c r="H146" s="11" t="str">
        <f>IF(OR(F146="",F146="Selecciona.."),"",SUMIF(Precio_Productos!K:K,E146,Precio_Productos!J:J)*G146)</f>
        <v/>
      </c>
      <c r="I146" s="4" t="str">
        <f t="array" ref="I146">IF($E146="","", XLOOKUP(SUMIFS(Prod_Prop!$A:$A,Prod_Prop!$B:$B,$E146,Prod_Prop!$H:$H,I$1,Prod_Prop!$I:$I,"Exacto"),Prod_Prop!$A:$A,Prod_Prop!$J:$J,"",0,1))</f>
        <v/>
      </c>
      <c r="J146" s="4" t="str">
        <f t="array" ref="J146">IF($E146="","", XLOOKUP(SUMIFS(Prod_Prop!$A:$A,Prod_Prop!$B:$B,$E146,Prod_Prop!$H:$H,J$1,Prod_Prop!$I:$I,"Exacto"),Prod_Prop!$A:$A,Prod_Prop!$J:$J,"",0,1))</f>
        <v/>
      </c>
      <c r="K146" s="4" t="str">
        <f t="array" ref="K146">IF($E146="","", XLOOKUP(SUMIFS(Prod_Prop!$A:$A,Prod_Prop!$B:$B,$E146,Prod_Prop!$H:$H,K$1,Prod_Prop!$I:$I,"Exacto"),Prod_Prop!$A:$A,Prod_Prop!$J:$J,"",0,1))</f>
        <v/>
      </c>
      <c r="L146" s="4" t="str">
        <f t="array" ref="L146">IF($E146="","", XLOOKUP(SUMIFS(Prod_Prop!$A:$A,Prod_Prop!$B:$B,$E146,Prod_Prop!$H:$H,L$1,Prod_Prop!$I:$I,"Exacto"),Prod_Prop!$A:$A,Prod_Prop!$J:$J,"",0,1))</f>
        <v/>
      </c>
      <c r="M146" s="4" t="str">
        <f t="array" ref="M146">IF($E146="","", XLOOKUP(SUMIFS(Prod_Prop!$A:$A,Prod_Prop!$B:$B,$E146,Prod_Prop!$H:$H,M$1,Prod_Prop!$I:$I,"Exacto"),Prod_Prop!$A:$A,Prod_Prop!$J:$J,"",0,1))</f>
        <v/>
      </c>
      <c r="N146" s="4" t="str">
        <f t="array" ref="N146">IF($E146="","", XLOOKUP(SUMIFS(Prod_Prop!$A:$A,Prod_Prop!$B:$B,$E146,Prod_Prop!$H:$H,N$1,Prod_Prop!$I:$I,"Exacto"),Prod_Prop!$A:$A,Prod_Prop!$J:$J,"",0,1))</f>
        <v/>
      </c>
      <c r="O146" s="4" t="str">
        <f t="array" ref="O146">IF($E146="","", XLOOKUP(SUMIFS(Prod_Prop!$A:$A,Prod_Prop!$B:$B,$E146,Prod_Prop!$H:$H,O$1,Prod_Prop!$I:$I,"Exacto"),Prod_Prop!$A:$A,Prod_Prop!$J:$J,"",0,1))</f>
        <v/>
      </c>
      <c r="P146" s="4" t="str">
        <f t="array" ref="P146">IF($E146="","", XLOOKUP(SUMIFS(Prod_Prop!$A:$A,Prod_Prop!$B:$B,$E146,Prod_Prop!$H:$H,P$1,Prod_Prop!$I:$I,"Exacto"),Prod_Prop!$A:$A,Prod_Prop!$J:$J,"",0,1))</f>
        <v/>
      </c>
      <c r="Q146" s="4" t="str">
        <f t="array" ref="Q146">IF($E146="","", XLOOKUP(SUMIFS(Prod_Prop!$A:$A,Prod_Prop!$B:$B,$E146,Prod_Prop!$H:$H,Q$1,Prod_Prop!$I:$I,"Exacto"),Prod_Prop!$A:$A,Prod_Prop!$J:$J,"",0,1))</f>
        <v/>
      </c>
      <c r="R146" s="4" t="str">
        <f t="array" ref="R146">IF($E146="","", XLOOKUP(SUMIFS(Prod_Prop!$A:$A,Prod_Prop!$B:$B,$E146,Prod_Prop!$H:$H,R$1,Prod_Prop!$I:$I,"Exacto"),Prod_Prop!$A:$A,Prod_Prop!$J:$J,"",0,1))</f>
        <v/>
      </c>
      <c r="S146" s="4" t="str">
        <f t="array" ref="S146">IF($E146="","", XLOOKUP(SUMIFS(Prod_Prop!$A:$A,Prod_Prop!$B:$B,$E146,Prod_Prop!$H:$H,S$1,Prod_Prop!$I:$I,"Exacto"),Prod_Prop!$A:$A,Prod_Prop!$J:$J,"",0,1))</f>
        <v/>
      </c>
      <c r="T146" s="4" t="str">
        <f t="array" ref="T146">IF($E146="","", XLOOKUP(SUMIFS(Prod_Prop!$A:$A,Prod_Prop!$B:$B,$E146,Prod_Prop!$H:$H,T$1,Prod_Prop!$I:$I,"Exacto"),Prod_Prop!$A:$A,Prod_Prop!$J:$J,"",0,1))</f>
        <v/>
      </c>
      <c r="U146" s="4" t="str">
        <f t="array" ref="U146">IF($E146="","", XLOOKUP(SUMIFS(Prod_Prop!$A:$A,Prod_Prop!$B:$B,$E146,Prod_Prop!$H:$H,U$1,Prod_Prop!$I:$I,"Exacto"),Prod_Prop!$A:$A,Prod_Prop!$J:$J,"",0,1))</f>
        <v/>
      </c>
      <c r="V146" s="4" t="str">
        <f t="array" ref="V146">IF($E146="","", XLOOKUP(SUMIFS(Prod_Prop!$A:$A,Prod_Prop!$B:$B,$E146,Prod_Prop!$H:$H,V$1,Prod_Prop!$I:$I,"Exacto"),Prod_Prop!$A:$A,Prod_Prop!$J:$J,"",0,1))</f>
        <v/>
      </c>
      <c r="X146" s="3" t="str">
        <f>IFERROR(__xludf.DUMMYFUNCTION("IF(D146="""","""",IFERROR(TRANSPOSE(FILTER('Validaciones Cotizador'!U:U,'Validaciones Cotizador'!O:O=D146,'Validaciones Cotizador'!T:T=""x"")),""Finalizar""))"),"")</f>
        <v/>
      </c>
    </row>
    <row r="147">
      <c r="A147" s="2" t="str">
        <f t="array" ref="A147">IF(E147="","",XLOOKUP(D147,'Validaciones Cotizador'!C:C,'Validaciones Cotizador'!A:A,"",0,1))</f>
        <v/>
      </c>
      <c r="B147" s="2" t="str">
        <f t="array" ref="B147">IF(F147="","",XLOOKUP(F147,Productos!E:E,Productos!G:G,"",0,1))</f>
        <v/>
      </c>
      <c r="C147" s="2" t="str">
        <f>IF(A147="","",SUMIFS('Validaciones Cotizador'!B:B,'Validaciones Cotizador'!C:C,D147,'Validaciones Cotizador'!A:A,A147))</f>
        <v/>
      </c>
      <c r="D147" s="4" t="str">
        <f>IFERROR(__xludf.DUMMYFUNCTION("IF(OR(F146=""Finalizar"",F146="""",F146=""Selecciona..""),"""",IF(OR(F146=""-"",INDEX(filter(Familias!F:F,Familias!D:D=A146,Familias!E:E=C146),1)=""O""),D146+1,D146))"),"")</f>
        <v/>
      </c>
      <c r="E147" s="2" t="str">
        <f>IF(OR(F147="",F147="Selecciona.."),"",IF(D147="Implemento",SUMIF(Implementos!B:B,F147,Implementos!A:A),SUMIF(Productos!E:E,F147,Productos!A:A)))</f>
        <v/>
      </c>
      <c r="F147" s="2" t="str">
        <f t="shared" si="2"/>
        <v/>
      </c>
      <c r="G147" s="10" t="str">
        <f t="array" ref="G147">IF(OR(F147="",F147="-",F147="Selecciona..",F147="Finalizar"),"",IF(A147="Rodados",XLOOKUP(B147,'Validaciones Cotizador'!I:I,'Validaciones Cotizador'!J:J,0,0,1),1))</f>
        <v/>
      </c>
      <c r="H147" s="11" t="str">
        <f>IF(OR(F147="",F147="Selecciona.."),"",SUMIF(Precio_Productos!K:K,E147,Precio_Productos!J:J)*G147)</f>
        <v/>
      </c>
      <c r="I147" s="4" t="str">
        <f t="array" ref="I147">IF($E147="","", XLOOKUP(SUMIFS(Prod_Prop!$A:$A,Prod_Prop!$B:$B,$E147,Prod_Prop!$H:$H,I$1,Prod_Prop!$I:$I,"Exacto"),Prod_Prop!$A:$A,Prod_Prop!$J:$J,"",0,1))</f>
        <v/>
      </c>
      <c r="J147" s="4" t="str">
        <f t="array" ref="J147">IF($E147="","", XLOOKUP(SUMIFS(Prod_Prop!$A:$A,Prod_Prop!$B:$B,$E147,Prod_Prop!$H:$H,J$1,Prod_Prop!$I:$I,"Exacto"),Prod_Prop!$A:$A,Prod_Prop!$J:$J,"",0,1))</f>
        <v/>
      </c>
      <c r="K147" s="4" t="str">
        <f t="array" ref="K147">IF($E147="","", XLOOKUP(SUMIFS(Prod_Prop!$A:$A,Prod_Prop!$B:$B,$E147,Prod_Prop!$H:$H,K$1,Prod_Prop!$I:$I,"Exacto"),Prod_Prop!$A:$A,Prod_Prop!$J:$J,"",0,1))</f>
        <v/>
      </c>
      <c r="L147" s="4" t="str">
        <f t="array" ref="L147">IF($E147="","", XLOOKUP(SUMIFS(Prod_Prop!$A:$A,Prod_Prop!$B:$B,$E147,Prod_Prop!$H:$H,L$1,Prod_Prop!$I:$I,"Exacto"),Prod_Prop!$A:$A,Prod_Prop!$J:$J,"",0,1))</f>
        <v/>
      </c>
      <c r="M147" s="4" t="str">
        <f t="array" ref="M147">IF($E147="","", XLOOKUP(SUMIFS(Prod_Prop!$A:$A,Prod_Prop!$B:$B,$E147,Prod_Prop!$H:$H,M$1,Prod_Prop!$I:$I,"Exacto"),Prod_Prop!$A:$A,Prod_Prop!$J:$J,"",0,1))</f>
        <v/>
      </c>
      <c r="N147" s="4" t="str">
        <f t="array" ref="N147">IF($E147="","", XLOOKUP(SUMIFS(Prod_Prop!$A:$A,Prod_Prop!$B:$B,$E147,Prod_Prop!$H:$H,N$1,Prod_Prop!$I:$I,"Exacto"),Prod_Prop!$A:$A,Prod_Prop!$J:$J,"",0,1))</f>
        <v/>
      </c>
      <c r="O147" s="4" t="str">
        <f t="array" ref="O147">IF($E147="","", XLOOKUP(SUMIFS(Prod_Prop!$A:$A,Prod_Prop!$B:$B,$E147,Prod_Prop!$H:$H,O$1,Prod_Prop!$I:$I,"Exacto"),Prod_Prop!$A:$A,Prod_Prop!$J:$J,"",0,1))</f>
        <v/>
      </c>
      <c r="P147" s="4" t="str">
        <f t="array" ref="P147">IF($E147="","", XLOOKUP(SUMIFS(Prod_Prop!$A:$A,Prod_Prop!$B:$B,$E147,Prod_Prop!$H:$H,P$1,Prod_Prop!$I:$I,"Exacto"),Prod_Prop!$A:$A,Prod_Prop!$J:$J,"",0,1))</f>
        <v/>
      </c>
      <c r="Q147" s="4" t="str">
        <f t="array" ref="Q147">IF($E147="","", XLOOKUP(SUMIFS(Prod_Prop!$A:$A,Prod_Prop!$B:$B,$E147,Prod_Prop!$H:$H,Q$1,Prod_Prop!$I:$I,"Exacto"),Prod_Prop!$A:$A,Prod_Prop!$J:$J,"",0,1))</f>
        <v/>
      </c>
      <c r="R147" s="4" t="str">
        <f t="array" ref="R147">IF($E147="","", XLOOKUP(SUMIFS(Prod_Prop!$A:$A,Prod_Prop!$B:$B,$E147,Prod_Prop!$H:$H,R$1,Prod_Prop!$I:$I,"Exacto"),Prod_Prop!$A:$A,Prod_Prop!$J:$J,"",0,1))</f>
        <v/>
      </c>
      <c r="S147" s="4" t="str">
        <f t="array" ref="S147">IF($E147="","", XLOOKUP(SUMIFS(Prod_Prop!$A:$A,Prod_Prop!$B:$B,$E147,Prod_Prop!$H:$H,S$1,Prod_Prop!$I:$I,"Exacto"),Prod_Prop!$A:$A,Prod_Prop!$J:$J,"",0,1))</f>
        <v/>
      </c>
      <c r="T147" s="4" t="str">
        <f t="array" ref="T147">IF($E147="","", XLOOKUP(SUMIFS(Prod_Prop!$A:$A,Prod_Prop!$B:$B,$E147,Prod_Prop!$H:$H,T$1,Prod_Prop!$I:$I,"Exacto"),Prod_Prop!$A:$A,Prod_Prop!$J:$J,"",0,1))</f>
        <v/>
      </c>
      <c r="U147" s="4" t="str">
        <f t="array" ref="U147">IF($E147="","", XLOOKUP(SUMIFS(Prod_Prop!$A:$A,Prod_Prop!$B:$B,$E147,Prod_Prop!$H:$H,U$1,Prod_Prop!$I:$I,"Exacto"),Prod_Prop!$A:$A,Prod_Prop!$J:$J,"",0,1))</f>
        <v/>
      </c>
      <c r="V147" s="4" t="str">
        <f t="array" ref="V147">IF($E147="","", XLOOKUP(SUMIFS(Prod_Prop!$A:$A,Prod_Prop!$B:$B,$E147,Prod_Prop!$H:$H,V$1,Prod_Prop!$I:$I,"Exacto"),Prod_Prop!$A:$A,Prod_Prop!$J:$J,"",0,1))</f>
        <v/>
      </c>
      <c r="X147" s="3" t="str">
        <f>IFERROR(__xludf.DUMMYFUNCTION("IF(D147="""","""",IFERROR(TRANSPOSE(FILTER('Validaciones Cotizador'!U:U,'Validaciones Cotizador'!O:O=D147,'Validaciones Cotizador'!T:T=""x"")),""Finalizar""))"),"")</f>
        <v/>
      </c>
    </row>
    <row r="148">
      <c r="A148" s="2" t="str">
        <f t="array" ref="A148">IF(E148="","",XLOOKUP(D148,'Validaciones Cotizador'!C:C,'Validaciones Cotizador'!A:A,"",0,1))</f>
        <v/>
      </c>
      <c r="B148" s="2" t="str">
        <f t="array" ref="B148">IF(F148="","",XLOOKUP(F148,Productos!E:E,Productos!G:G,"",0,1))</f>
        <v/>
      </c>
      <c r="C148" s="2" t="str">
        <f>IF(A148="","",SUMIFS('Validaciones Cotizador'!B:B,'Validaciones Cotizador'!C:C,D148,'Validaciones Cotizador'!A:A,A148))</f>
        <v/>
      </c>
      <c r="D148" s="4" t="str">
        <f>IFERROR(__xludf.DUMMYFUNCTION("IF(OR(F147=""Finalizar"",F147="""",F147=""Selecciona..""),"""",IF(OR(F147=""-"",INDEX(filter(Familias!F:F,Familias!D:D=A147,Familias!E:E=C147),1)=""O""),D147+1,D147))"),"")</f>
        <v/>
      </c>
      <c r="E148" s="2" t="str">
        <f>IF(OR(F148="",F148="Selecciona.."),"",IF(D148="Implemento",SUMIF(Implementos!B:B,F148,Implementos!A:A),SUMIF(Productos!E:E,F148,Productos!A:A)))</f>
        <v/>
      </c>
      <c r="F148" s="2" t="str">
        <f t="shared" si="2"/>
        <v/>
      </c>
      <c r="G148" s="10" t="str">
        <f t="array" ref="G148">IF(OR(F148="",F148="-",F148="Selecciona..",F148="Finalizar"),"",IF(A148="Rodados",XLOOKUP(B148,'Validaciones Cotizador'!I:I,'Validaciones Cotizador'!J:J,0,0,1),1))</f>
        <v/>
      </c>
      <c r="H148" s="11" t="str">
        <f>IF(OR(F148="",F148="Selecciona.."),"",SUMIF(Precio_Productos!K:K,E148,Precio_Productos!J:J)*G148)</f>
        <v/>
      </c>
      <c r="I148" s="4" t="str">
        <f t="array" ref="I148">IF($E148="","", XLOOKUP(SUMIFS(Prod_Prop!$A:$A,Prod_Prop!$B:$B,$E148,Prod_Prop!$H:$H,I$1,Prod_Prop!$I:$I,"Exacto"),Prod_Prop!$A:$A,Prod_Prop!$J:$J,"",0,1))</f>
        <v/>
      </c>
      <c r="J148" s="4" t="str">
        <f t="array" ref="J148">IF($E148="","", XLOOKUP(SUMIFS(Prod_Prop!$A:$A,Prod_Prop!$B:$B,$E148,Prod_Prop!$H:$H,J$1,Prod_Prop!$I:$I,"Exacto"),Prod_Prop!$A:$A,Prod_Prop!$J:$J,"",0,1))</f>
        <v/>
      </c>
      <c r="K148" s="4" t="str">
        <f t="array" ref="K148">IF($E148="","", XLOOKUP(SUMIFS(Prod_Prop!$A:$A,Prod_Prop!$B:$B,$E148,Prod_Prop!$H:$H,K$1,Prod_Prop!$I:$I,"Exacto"),Prod_Prop!$A:$A,Prod_Prop!$J:$J,"",0,1))</f>
        <v/>
      </c>
      <c r="L148" s="4" t="str">
        <f t="array" ref="L148">IF($E148="","", XLOOKUP(SUMIFS(Prod_Prop!$A:$A,Prod_Prop!$B:$B,$E148,Prod_Prop!$H:$H,L$1,Prod_Prop!$I:$I,"Exacto"),Prod_Prop!$A:$A,Prod_Prop!$J:$J,"",0,1))</f>
        <v/>
      </c>
      <c r="M148" s="4" t="str">
        <f t="array" ref="M148">IF($E148="","", XLOOKUP(SUMIFS(Prod_Prop!$A:$A,Prod_Prop!$B:$B,$E148,Prod_Prop!$H:$H,M$1,Prod_Prop!$I:$I,"Exacto"),Prod_Prop!$A:$A,Prod_Prop!$J:$J,"",0,1))</f>
        <v/>
      </c>
      <c r="N148" s="4" t="str">
        <f t="array" ref="N148">IF($E148="","", XLOOKUP(SUMIFS(Prod_Prop!$A:$A,Prod_Prop!$B:$B,$E148,Prod_Prop!$H:$H,N$1,Prod_Prop!$I:$I,"Exacto"),Prod_Prop!$A:$A,Prod_Prop!$J:$J,"",0,1))</f>
        <v/>
      </c>
      <c r="O148" s="4" t="str">
        <f t="array" ref="O148">IF($E148="","", XLOOKUP(SUMIFS(Prod_Prop!$A:$A,Prod_Prop!$B:$B,$E148,Prod_Prop!$H:$H,O$1,Prod_Prop!$I:$I,"Exacto"),Prod_Prop!$A:$A,Prod_Prop!$J:$J,"",0,1))</f>
        <v/>
      </c>
      <c r="P148" s="4" t="str">
        <f t="array" ref="P148">IF($E148="","", XLOOKUP(SUMIFS(Prod_Prop!$A:$A,Prod_Prop!$B:$B,$E148,Prod_Prop!$H:$H,P$1,Prod_Prop!$I:$I,"Exacto"),Prod_Prop!$A:$A,Prod_Prop!$J:$J,"",0,1))</f>
        <v/>
      </c>
      <c r="Q148" s="4" t="str">
        <f t="array" ref="Q148">IF($E148="","", XLOOKUP(SUMIFS(Prod_Prop!$A:$A,Prod_Prop!$B:$B,$E148,Prod_Prop!$H:$H,Q$1,Prod_Prop!$I:$I,"Exacto"),Prod_Prop!$A:$A,Prod_Prop!$J:$J,"",0,1))</f>
        <v/>
      </c>
      <c r="R148" s="4" t="str">
        <f t="array" ref="R148">IF($E148="","", XLOOKUP(SUMIFS(Prod_Prop!$A:$A,Prod_Prop!$B:$B,$E148,Prod_Prop!$H:$H,R$1,Prod_Prop!$I:$I,"Exacto"),Prod_Prop!$A:$A,Prod_Prop!$J:$J,"",0,1))</f>
        <v/>
      </c>
      <c r="S148" s="4" t="str">
        <f t="array" ref="S148">IF($E148="","", XLOOKUP(SUMIFS(Prod_Prop!$A:$A,Prod_Prop!$B:$B,$E148,Prod_Prop!$H:$H,S$1,Prod_Prop!$I:$I,"Exacto"),Prod_Prop!$A:$A,Prod_Prop!$J:$J,"",0,1))</f>
        <v/>
      </c>
      <c r="T148" s="4" t="str">
        <f t="array" ref="T148">IF($E148="","", XLOOKUP(SUMIFS(Prod_Prop!$A:$A,Prod_Prop!$B:$B,$E148,Prod_Prop!$H:$H,T$1,Prod_Prop!$I:$I,"Exacto"),Prod_Prop!$A:$A,Prod_Prop!$J:$J,"",0,1))</f>
        <v/>
      </c>
      <c r="U148" s="4" t="str">
        <f t="array" ref="U148">IF($E148="","", XLOOKUP(SUMIFS(Prod_Prop!$A:$A,Prod_Prop!$B:$B,$E148,Prod_Prop!$H:$H,U$1,Prod_Prop!$I:$I,"Exacto"),Prod_Prop!$A:$A,Prod_Prop!$J:$J,"",0,1))</f>
        <v/>
      </c>
      <c r="V148" s="4" t="str">
        <f t="array" ref="V148">IF($E148="","", XLOOKUP(SUMIFS(Prod_Prop!$A:$A,Prod_Prop!$B:$B,$E148,Prod_Prop!$H:$H,V$1,Prod_Prop!$I:$I,"Exacto"),Prod_Prop!$A:$A,Prod_Prop!$J:$J,"",0,1))</f>
        <v/>
      </c>
      <c r="X148" s="3" t="str">
        <f>IFERROR(__xludf.DUMMYFUNCTION("IF(D148="""","""",IFERROR(TRANSPOSE(FILTER('Validaciones Cotizador'!U:U,'Validaciones Cotizador'!O:O=D148,'Validaciones Cotizador'!T:T=""x"")),""Finalizar""))"),"")</f>
        <v/>
      </c>
    </row>
    <row r="149">
      <c r="A149" s="2" t="str">
        <f t="array" ref="A149">IF(E149="","",XLOOKUP(D149,'Validaciones Cotizador'!C:C,'Validaciones Cotizador'!A:A,"",0,1))</f>
        <v/>
      </c>
      <c r="B149" s="2" t="str">
        <f t="array" ref="B149">IF(F149="","",XLOOKUP(F149,Productos!E:E,Productos!G:G,"",0,1))</f>
        <v/>
      </c>
      <c r="C149" s="2" t="str">
        <f>IF(A149="","",SUMIFS('Validaciones Cotizador'!B:B,'Validaciones Cotizador'!C:C,D149,'Validaciones Cotizador'!A:A,A149))</f>
        <v/>
      </c>
      <c r="D149" s="4" t="str">
        <f>IFERROR(__xludf.DUMMYFUNCTION("IF(OR(F148=""Finalizar"",F148="""",F148=""Selecciona..""),"""",IF(OR(F148=""-"",INDEX(filter(Familias!F:F,Familias!D:D=A148,Familias!E:E=C148),1)=""O""),D148+1,D148))"),"")</f>
        <v/>
      </c>
      <c r="E149" s="2" t="str">
        <f>IF(OR(F149="",F149="Selecciona.."),"",IF(D149="Implemento",SUMIF(Implementos!B:B,F149,Implementos!A:A),SUMIF(Productos!E:E,F149,Productos!A:A)))</f>
        <v/>
      </c>
      <c r="F149" s="2" t="str">
        <f t="shared" si="2"/>
        <v/>
      </c>
      <c r="G149" s="10" t="str">
        <f t="array" ref="G149">IF(OR(F149="",F149="-",F149="Selecciona..",F149="Finalizar"),"",IF(A149="Rodados",XLOOKUP(B149,'Validaciones Cotizador'!I:I,'Validaciones Cotizador'!J:J,0,0,1),1))</f>
        <v/>
      </c>
      <c r="H149" s="11" t="str">
        <f>IF(OR(F149="",F149="Selecciona.."),"",SUMIF(Precio_Productos!K:K,E149,Precio_Productos!J:J)*G149)</f>
        <v/>
      </c>
      <c r="I149" s="4" t="str">
        <f t="array" ref="I149">IF($E149="","", XLOOKUP(SUMIFS(Prod_Prop!$A:$A,Prod_Prop!$B:$B,$E149,Prod_Prop!$H:$H,I$1,Prod_Prop!$I:$I,"Exacto"),Prod_Prop!$A:$A,Prod_Prop!$J:$J,"",0,1))</f>
        <v/>
      </c>
      <c r="J149" s="4" t="str">
        <f t="array" ref="J149">IF($E149="","", XLOOKUP(SUMIFS(Prod_Prop!$A:$A,Prod_Prop!$B:$B,$E149,Prod_Prop!$H:$H,J$1,Prod_Prop!$I:$I,"Exacto"),Prod_Prop!$A:$A,Prod_Prop!$J:$J,"",0,1))</f>
        <v/>
      </c>
      <c r="K149" s="4" t="str">
        <f t="array" ref="K149">IF($E149="","", XLOOKUP(SUMIFS(Prod_Prop!$A:$A,Prod_Prop!$B:$B,$E149,Prod_Prop!$H:$H,K$1,Prod_Prop!$I:$I,"Exacto"),Prod_Prop!$A:$A,Prod_Prop!$J:$J,"",0,1))</f>
        <v/>
      </c>
      <c r="L149" s="4" t="str">
        <f t="array" ref="L149">IF($E149="","", XLOOKUP(SUMIFS(Prod_Prop!$A:$A,Prod_Prop!$B:$B,$E149,Prod_Prop!$H:$H,L$1,Prod_Prop!$I:$I,"Exacto"),Prod_Prop!$A:$A,Prod_Prop!$J:$J,"",0,1))</f>
        <v/>
      </c>
      <c r="M149" s="4" t="str">
        <f t="array" ref="M149">IF($E149="","", XLOOKUP(SUMIFS(Prod_Prop!$A:$A,Prod_Prop!$B:$B,$E149,Prod_Prop!$H:$H,M$1,Prod_Prop!$I:$I,"Exacto"),Prod_Prop!$A:$A,Prod_Prop!$J:$J,"",0,1))</f>
        <v/>
      </c>
      <c r="N149" s="4" t="str">
        <f t="array" ref="N149">IF($E149="","", XLOOKUP(SUMIFS(Prod_Prop!$A:$A,Prod_Prop!$B:$B,$E149,Prod_Prop!$H:$H,N$1,Prod_Prop!$I:$I,"Exacto"),Prod_Prop!$A:$A,Prod_Prop!$J:$J,"",0,1))</f>
        <v/>
      </c>
      <c r="O149" s="4" t="str">
        <f t="array" ref="O149">IF($E149="","", XLOOKUP(SUMIFS(Prod_Prop!$A:$A,Prod_Prop!$B:$B,$E149,Prod_Prop!$H:$H,O$1,Prod_Prop!$I:$I,"Exacto"),Prod_Prop!$A:$A,Prod_Prop!$J:$J,"",0,1))</f>
        <v/>
      </c>
      <c r="P149" s="4" t="str">
        <f t="array" ref="P149">IF($E149="","", XLOOKUP(SUMIFS(Prod_Prop!$A:$A,Prod_Prop!$B:$B,$E149,Prod_Prop!$H:$H,P$1,Prod_Prop!$I:$I,"Exacto"),Prod_Prop!$A:$A,Prod_Prop!$J:$J,"",0,1))</f>
        <v/>
      </c>
      <c r="Q149" s="4" t="str">
        <f t="array" ref="Q149">IF($E149="","", XLOOKUP(SUMIFS(Prod_Prop!$A:$A,Prod_Prop!$B:$B,$E149,Prod_Prop!$H:$H,Q$1,Prod_Prop!$I:$I,"Exacto"),Prod_Prop!$A:$A,Prod_Prop!$J:$J,"",0,1))</f>
        <v/>
      </c>
      <c r="R149" s="4" t="str">
        <f t="array" ref="R149">IF($E149="","", XLOOKUP(SUMIFS(Prod_Prop!$A:$A,Prod_Prop!$B:$B,$E149,Prod_Prop!$H:$H,R$1,Prod_Prop!$I:$I,"Exacto"),Prod_Prop!$A:$A,Prod_Prop!$J:$J,"",0,1))</f>
        <v/>
      </c>
      <c r="S149" s="4" t="str">
        <f t="array" ref="S149">IF($E149="","", XLOOKUP(SUMIFS(Prod_Prop!$A:$A,Prod_Prop!$B:$B,$E149,Prod_Prop!$H:$H,S$1,Prod_Prop!$I:$I,"Exacto"),Prod_Prop!$A:$A,Prod_Prop!$J:$J,"",0,1))</f>
        <v/>
      </c>
      <c r="T149" s="4" t="str">
        <f t="array" ref="T149">IF($E149="","", XLOOKUP(SUMIFS(Prod_Prop!$A:$A,Prod_Prop!$B:$B,$E149,Prod_Prop!$H:$H,T$1,Prod_Prop!$I:$I,"Exacto"),Prod_Prop!$A:$A,Prod_Prop!$J:$J,"",0,1))</f>
        <v/>
      </c>
      <c r="U149" s="4" t="str">
        <f t="array" ref="U149">IF($E149="","", XLOOKUP(SUMIFS(Prod_Prop!$A:$A,Prod_Prop!$B:$B,$E149,Prod_Prop!$H:$H,U$1,Prod_Prop!$I:$I,"Exacto"),Prod_Prop!$A:$A,Prod_Prop!$J:$J,"",0,1))</f>
        <v/>
      </c>
      <c r="V149" s="4" t="str">
        <f t="array" ref="V149">IF($E149="","", XLOOKUP(SUMIFS(Prod_Prop!$A:$A,Prod_Prop!$B:$B,$E149,Prod_Prop!$H:$H,V$1,Prod_Prop!$I:$I,"Exacto"),Prod_Prop!$A:$A,Prod_Prop!$J:$J,"",0,1))</f>
        <v/>
      </c>
      <c r="X149" s="3" t="str">
        <f>IFERROR(__xludf.DUMMYFUNCTION("IF(D149="""","""",IFERROR(TRANSPOSE(FILTER('Validaciones Cotizador'!U:U,'Validaciones Cotizador'!O:O=D149,'Validaciones Cotizador'!T:T=""x"")),""Finalizar""))"),"")</f>
        <v/>
      </c>
    </row>
    <row r="150">
      <c r="A150" s="2" t="str">
        <f t="array" ref="A150">IF(E150="","",XLOOKUP(D150,'Validaciones Cotizador'!C:C,'Validaciones Cotizador'!A:A,"",0,1))</f>
        <v/>
      </c>
      <c r="B150" s="2" t="str">
        <f t="array" ref="B150">IF(F150="","",XLOOKUP(F150,Productos!E:E,Productos!G:G,"",0,1))</f>
        <v/>
      </c>
      <c r="C150" s="2" t="str">
        <f>IF(A150="","",SUMIFS('Validaciones Cotizador'!B:B,'Validaciones Cotizador'!C:C,D150,'Validaciones Cotizador'!A:A,A150))</f>
        <v/>
      </c>
      <c r="D150" s="4" t="str">
        <f>IFERROR(__xludf.DUMMYFUNCTION("IF(OR(F149=""Finalizar"",F149="""",F149=""Selecciona..""),"""",IF(OR(F149=""-"",INDEX(filter(Familias!F:F,Familias!D:D=A149,Familias!E:E=C149),1)=""O""),D149+1,D149))"),"")</f>
        <v/>
      </c>
      <c r="E150" s="2" t="str">
        <f>IF(OR(F150="",F150="Selecciona.."),"",IF(D150="Implemento",SUMIF(Implementos!B:B,F150,Implementos!A:A),SUMIF(Productos!E:E,F150,Productos!A:A)))</f>
        <v/>
      </c>
      <c r="F150" s="2" t="str">
        <f t="shared" si="2"/>
        <v/>
      </c>
      <c r="G150" s="10" t="str">
        <f t="array" ref="G150">IF(OR(F150="",F150="-",F150="Selecciona..",F150="Finalizar"),"",IF(A150="Rodados",XLOOKUP(B150,'Validaciones Cotizador'!I:I,'Validaciones Cotizador'!J:J,0,0,1),1))</f>
        <v/>
      </c>
      <c r="H150" s="11" t="str">
        <f>IF(OR(F150="",F150="Selecciona.."),"",SUMIF(Precio_Productos!K:K,E150,Precio_Productos!J:J)*G150)</f>
        <v/>
      </c>
      <c r="I150" s="4" t="str">
        <f t="array" ref="I150">IF($E150="","", XLOOKUP(SUMIFS(Prod_Prop!$A:$A,Prod_Prop!$B:$B,$E150,Prod_Prop!$H:$H,I$1,Prod_Prop!$I:$I,"Exacto"),Prod_Prop!$A:$A,Prod_Prop!$J:$J,"",0,1))</f>
        <v/>
      </c>
      <c r="J150" s="4" t="str">
        <f t="array" ref="J150">IF($E150="","", XLOOKUP(SUMIFS(Prod_Prop!$A:$A,Prod_Prop!$B:$B,$E150,Prod_Prop!$H:$H,J$1,Prod_Prop!$I:$I,"Exacto"),Prod_Prop!$A:$A,Prod_Prop!$J:$J,"",0,1))</f>
        <v/>
      </c>
      <c r="K150" s="4" t="str">
        <f t="array" ref="K150">IF($E150="","", XLOOKUP(SUMIFS(Prod_Prop!$A:$A,Prod_Prop!$B:$B,$E150,Prod_Prop!$H:$H,K$1,Prod_Prop!$I:$I,"Exacto"),Prod_Prop!$A:$A,Prod_Prop!$J:$J,"",0,1))</f>
        <v/>
      </c>
      <c r="L150" s="4" t="str">
        <f t="array" ref="L150">IF($E150="","", XLOOKUP(SUMIFS(Prod_Prop!$A:$A,Prod_Prop!$B:$B,$E150,Prod_Prop!$H:$H,L$1,Prod_Prop!$I:$I,"Exacto"),Prod_Prop!$A:$A,Prod_Prop!$J:$J,"",0,1))</f>
        <v/>
      </c>
      <c r="M150" s="4" t="str">
        <f t="array" ref="M150">IF($E150="","", XLOOKUP(SUMIFS(Prod_Prop!$A:$A,Prod_Prop!$B:$B,$E150,Prod_Prop!$H:$H,M$1,Prod_Prop!$I:$I,"Exacto"),Prod_Prop!$A:$A,Prod_Prop!$J:$J,"",0,1))</f>
        <v/>
      </c>
      <c r="N150" s="4" t="str">
        <f t="array" ref="N150">IF($E150="","", XLOOKUP(SUMIFS(Prod_Prop!$A:$A,Prod_Prop!$B:$B,$E150,Prod_Prop!$H:$H,N$1,Prod_Prop!$I:$I,"Exacto"),Prod_Prop!$A:$A,Prod_Prop!$J:$J,"",0,1))</f>
        <v/>
      </c>
      <c r="O150" s="4" t="str">
        <f t="array" ref="O150">IF($E150="","", XLOOKUP(SUMIFS(Prod_Prop!$A:$A,Prod_Prop!$B:$B,$E150,Prod_Prop!$H:$H,O$1,Prod_Prop!$I:$I,"Exacto"),Prod_Prop!$A:$A,Prod_Prop!$J:$J,"",0,1))</f>
        <v/>
      </c>
      <c r="P150" s="4" t="str">
        <f t="array" ref="P150">IF($E150="","", XLOOKUP(SUMIFS(Prod_Prop!$A:$A,Prod_Prop!$B:$B,$E150,Prod_Prop!$H:$H,P$1,Prod_Prop!$I:$I,"Exacto"),Prod_Prop!$A:$A,Prod_Prop!$J:$J,"",0,1))</f>
        <v/>
      </c>
      <c r="Q150" s="4" t="str">
        <f t="array" ref="Q150">IF($E150="","", XLOOKUP(SUMIFS(Prod_Prop!$A:$A,Prod_Prop!$B:$B,$E150,Prod_Prop!$H:$H,Q$1,Prod_Prop!$I:$I,"Exacto"),Prod_Prop!$A:$A,Prod_Prop!$J:$J,"",0,1))</f>
        <v/>
      </c>
      <c r="R150" s="4" t="str">
        <f t="array" ref="R150">IF($E150="","", XLOOKUP(SUMIFS(Prod_Prop!$A:$A,Prod_Prop!$B:$B,$E150,Prod_Prop!$H:$H,R$1,Prod_Prop!$I:$I,"Exacto"),Prod_Prop!$A:$A,Prod_Prop!$J:$J,"",0,1))</f>
        <v/>
      </c>
      <c r="S150" s="4" t="str">
        <f t="array" ref="S150">IF($E150="","", XLOOKUP(SUMIFS(Prod_Prop!$A:$A,Prod_Prop!$B:$B,$E150,Prod_Prop!$H:$H,S$1,Prod_Prop!$I:$I,"Exacto"),Prod_Prop!$A:$A,Prod_Prop!$J:$J,"",0,1))</f>
        <v/>
      </c>
      <c r="T150" s="4" t="str">
        <f t="array" ref="T150">IF($E150="","", XLOOKUP(SUMIFS(Prod_Prop!$A:$A,Prod_Prop!$B:$B,$E150,Prod_Prop!$H:$H,T$1,Prod_Prop!$I:$I,"Exacto"),Prod_Prop!$A:$A,Prod_Prop!$J:$J,"",0,1))</f>
        <v/>
      </c>
      <c r="U150" s="4" t="str">
        <f t="array" ref="U150">IF($E150="","", XLOOKUP(SUMIFS(Prod_Prop!$A:$A,Prod_Prop!$B:$B,$E150,Prod_Prop!$H:$H,U$1,Prod_Prop!$I:$I,"Exacto"),Prod_Prop!$A:$A,Prod_Prop!$J:$J,"",0,1))</f>
        <v/>
      </c>
      <c r="V150" s="4" t="str">
        <f t="array" ref="V150">IF($E150="","", XLOOKUP(SUMIFS(Prod_Prop!$A:$A,Prod_Prop!$B:$B,$E150,Prod_Prop!$H:$H,V$1,Prod_Prop!$I:$I,"Exacto"),Prod_Prop!$A:$A,Prod_Prop!$J:$J,"",0,1))</f>
        <v/>
      </c>
      <c r="X150" s="3" t="str">
        <f>IFERROR(__xludf.DUMMYFUNCTION("IF(D150="""","""",IFERROR(TRANSPOSE(FILTER('Validaciones Cotizador'!U:U,'Validaciones Cotizador'!O:O=D150,'Validaciones Cotizador'!T:T=""x"")),""Finalizar""))"),"")</f>
        <v/>
      </c>
    </row>
    <row r="151">
      <c r="A151" s="2" t="str">
        <f t="array" ref="A151">IF(E151="","",XLOOKUP(D151,'Validaciones Cotizador'!C:C,'Validaciones Cotizador'!A:A,"",0,1))</f>
        <v/>
      </c>
      <c r="B151" s="2" t="str">
        <f t="array" ref="B151">IF(F151="","",XLOOKUP(F151,Productos!E:E,Productos!G:G,"",0,1))</f>
        <v/>
      </c>
      <c r="C151" s="2" t="str">
        <f>IF(A151="","",SUMIFS('Validaciones Cotizador'!B:B,'Validaciones Cotizador'!C:C,D151,'Validaciones Cotizador'!A:A,A151))</f>
        <v/>
      </c>
      <c r="D151" s="4" t="str">
        <f>IFERROR(__xludf.DUMMYFUNCTION("IF(OR(F150=""Finalizar"",F150="""",F150=""Selecciona..""),"""",IF(OR(F150=""-"",INDEX(filter(Familias!F:F,Familias!D:D=A150,Familias!E:E=C150),1)=""O""),D150+1,D150))"),"")</f>
        <v/>
      </c>
      <c r="E151" s="2" t="str">
        <f>IF(OR(F151="",F151="Selecciona.."),"",IF(D151="Implemento",SUMIF(Implementos!B:B,F151,Implementos!A:A),SUMIF(Productos!E:E,F151,Productos!A:A)))</f>
        <v/>
      </c>
      <c r="F151" s="2" t="str">
        <f t="shared" si="2"/>
        <v/>
      </c>
      <c r="G151" s="10" t="str">
        <f t="array" ref="G151">IF(OR(F151="",F151="-",F151="Selecciona..",F151="Finalizar"),"",IF(A151="Rodados",XLOOKUP(B151,'Validaciones Cotizador'!I:I,'Validaciones Cotizador'!J:J,0,0,1),1))</f>
        <v/>
      </c>
      <c r="H151" s="11" t="str">
        <f>IF(OR(F151="",F151="Selecciona.."),"",SUMIF(Precio_Productos!K:K,E151,Precio_Productos!J:J)*G151)</f>
        <v/>
      </c>
      <c r="I151" s="4" t="str">
        <f t="array" ref="I151">IF($E151="","", XLOOKUP(SUMIFS(Prod_Prop!$A:$A,Prod_Prop!$B:$B,$E151,Prod_Prop!$H:$H,I$1,Prod_Prop!$I:$I,"Exacto"),Prod_Prop!$A:$A,Prod_Prop!$J:$J,"",0,1))</f>
        <v/>
      </c>
      <c r="J151" s="4" t="str">
        <f t="array" ref="J151">IF($E151="","", XLOOKUP(SUMIFS(Prod_Prop!$A:$A,Prod_Prop!$B:$B,$E151,Prod_Prop!$H:$H,J$1,Prod_Prop!$I:$I,"Exacto"),Prod_Prop!$A:$A,Prod_Prop!$J:$J,"",0,1))</f>
        <v/>
      </c>
      <c r="K151" s="4" t="str">
        <f t="array" ref="K151">IF($E151="","", XLOOKUP(SUMIFS(Prod_Prop!$A:$A,Prod_Prop!$B:$B,$E151,Prod_Prop!$H:$H,K$1,Prod_Prop!$I:$I,"Exacto"),Prod_Prop!$A:$A,Prod_Prop!$J:$J,"",0,1))</f>
        <v/>
      </c>
      <c r="L151" s="4" t="str">
        <f t="array" ref="L151">IF($E151="","", XLOOKUP(SUMIFS(Prod_Prop!$A:$A,Prod_Prop!$B:$B,$E151,Prod_Prop!$H:$H,L$1,Prod_Prop!$I:$I,"Exacto"),Prod_Prop!$A:$A,Prod_Prop!$J:$J,"",0,1))</f>
        <v/>
      </c>
      <c r="M151" s="4" t="str">
        <f t="array" ref="M151">IF($E151="","", XLOOKUP(SUMIFS(Prod_Prop!$A:$A,Prod_Prop!$B:$B,$E151,Prod_Prop!$H:$H,M$1,Prod_Prop!$I:$I,"Exacto"),Prod_Prop!$A:$A,Prod_Prop!$J:$J,"",0,1))</f>
        <v/>
      </c>
      <c r="N151" s="4" t="str">
        <f t="array" ref="N151">IF($E151="","", XLOOKUP(SUMIFS(Prod_Prop!$A:$A,Prod_Prop!$B:$B,$E151,Prod_Prop!$H:$H,N$1,Prod_Prop!$I:$I,"Exacto"),Prod_Prop!$A:$A,Prod_Prop!$J:$J,"",0,1))</f>
        <v/>
      </c>
      <c r="O151" s="4" t="str">
        <f t="array" ref="O151">IF($E151="","", XLOOKUP(SUMIFS(Prod_Prop!$A:$A,Prod_Prop!$B:$B,$E151,Prod_Prop!$H:$H,O$1,Prod_Prop!$I:$I,"Exacto"),Prod_Prop!$A:$A,Prod_Prop!$J:$J,"",0,1))</f>
        <v/>
      </c>
      <c r="P151" s="4" t="str">
        <f t="array" ref="P151">IF($E151="","", XLOOKUP(SUMIFS(Prod_Prop!$A:$A,Prod_Prop!$B:$B,$E151,Prod_Prop!$H:$H,P$1,Prod_Prop!$I:$I,"Exacto"),Prod_Prop!$A:$A,Prod_Prop!$J:$J,"",0,1))</f>
        <v/>
      </c>
      <c r="Q151" s="4" t="str">
        <f t="array" ref="Q151">IF($E151="","", XLOOKUP(SUMIFS(Prod_Prop!$A:$A,Prod_Prop!$B:$B,$E151,Prod_Prop!$H:$H,Q$1,Prod_Prop!$I:$I,"Exacto"),Prod_Prop!$A:$A,Prod_Prop!$J:$J,"",0,1))</f>
        <v/>
      </c>
      <c r="R151" s="4" t="str">
        <f t="array" ref="R151">IF($E151="","", XLOOKUP(SUMIFS(Prod_Prop!$A:$A,Prod_Prop!$B:$B,$E151,Prod_Prop!$H:$H,R$1,Prod_Prop!$I:$I,"Exacto"),Prod_Prop!$A:$A,Prod_Prop!$J:$J,"",0,1))</f>
        <v/>
      </c>
      <c r="S151" s="4" t="str">
        <f t="array" ref="S151">IF($E151="","", XLOOKUP(SUMIFS(Prod_Prop!$A:$A,Prod_Prop!$B:$B,$E151,Prod_Prop!$H:$H,S$1,Prod_Prop!$I:$I,"Exacto"),Prod_Prop!$A:$A,Prod_Prop!$J:$J,"",0,1))</f>
        <v/>
      </c>
      <c r="T151" s="4" t="str">
        <f t="array" ref="T151">IF($E151="","", XLOOKUP(SUMIFS(Prod_Prop!$A:$A,Prod_Prop!$B:$B,$E151,Prod_Prop!$H:$H,T$1,Prod_Prop!$I:$I,"Exacto"),Prod_Prop!$A:$A,Prod_Prop!$J:$J,"",0,1))</f>
        <v/>
      </c>
      <c r="U151" s="4" t="str">
        <f t="array" ref="U151">IF($E151="","", XLOOKUP(SUMIFS(Prod_Prop!$A:$A,Prod_Prop!$B:$B,$E151,Prod_Prop!$H:$H,U$1,Prod_Prop!$I:$I,"Exacto"),Prod_Prop!$A:$A,Prod_Prop!$J:$J,"",0,1))</f>
        <v/>
      </c>
      <c r="V151" s="4" t="str">
        <f t="array" ref="V151">IF($E151="","", XLOOKUP(SUMIFS(Prod_Prop!$A:$A,Prod_Prop!$B:$B,$E151,Prod_Prop!$H:$H,V$1,Prod_Prop!$I:$I,"Exacto"),Prod_Prop!$A:$A,Prod_Prop!$J:$J,"",0,1))</f>
        <v/>
      </c>
      <c r="X151" s="3" t="str">
        <f>IFERROR(__xludf.DUMMYFUNCTION("IF(D151="""","""",IFERROR(TRANSPOSE(FILTER('Validaciones Cotizador'!U:U,'Validaciones Cotizador'!O:O=D151,'Validaciones Cotizador'!T:T=""x"")),""Finalizar""))"),"")</f>
        <v/>
      </c>
    </row>
    <row r="152">
      <c r="A152" s="2" t="str">
        <f t="array" ref="A152">IF(E152="","",XLOOKUP(D152,'Validaciones Cotizador'!C:C,'Validaciones Cotizador'!A:A,"",0,1))</f>
        <v/>
      </c>
      <c r="B152" s="2" t="str">
        <f t="array" ref="B152">IF(F152="","",XLOOKUP(F152,Productos!E:E,Productos!G:G,"",0,1))</f>
        <v/>
      </c>
      <c r="C152" s="2" t="str">
        <f>IF(A152="","",SUMIFS('Validaciones Cotizador'!B:B,'Validaciones Cotizador'!C:C,D152,'Validaciones Cotizador'!A:A,A152))</f>
        <v/>
      </c>
      <c r="D152" s="4" t="str">
        <f>IFERROR(__xludf.DUMMYFUNCTION("IF(OR(F151=""Finalizar"",F151="""",F151=""Selecciona..""),"""",IF(OR(F151=""-"",INDEX(filter(Familias!F:F,Familias!D:D=A151,Familias!E:E=C151),1)=""O""),D151+1,D151))"),"")</f>
        <v/>
      </c>
      <c r="E152" s="2" t="str">
        <f>IF(OR(F152="",F152="Selecciona.."),"",IF(D152="Implemento",SUMIF(Implementos!B:B,F152,Implementos!A:A),SUMIF(Productos!E:E,F152,Productos!A:A)))</f>
        <v/>
      </c>
      <c r="F152" s="2" t="str">
        <f t="shared" si="2"/>
        <v/>
      </c>
      <c r="G152" s="10" t="str">
        <f t="array" ref="G152">IF(OR(F152="",F152="-",F152="Selecciona..",F152="Finalizar"),"",IF(A152="Rodados",XLOOKUP(B152,'Validaciones Cotizador'!I:I,'Validaciones Cotizador'!J:J,0,0,1),1))</f>
        <v/>
      </c>
      <c r="H152" s="11" t="str">
        <f>IF(OR(F152="",F152="Selecciona.."),"",SUMIF(Precio_Productos!K:K,E152,Precio_Productos!J:J)*G152)</f>
        <v/>
      </c>
      <c r="I152" s="4" t="str">
        <f t="array" ref="I152">IF($E152="","", XLOOKUP(SUMIFS(Prod_Prop!$A:$A,Prod_Prop!$B:$B,$E152,Prod_Prop!$H:$H,I$1,Prod_Prop!$I:$I,"Exacto"),Prod_Prop!$A:$A,Prod_Prop!$J:$J,"",0,1))</f>
        <v/>
      </c>
      <c r="J152" s="4" t="str">
        <f t="array" ref="J152">IF($E152="","", XLOOKUP(SUMIFS(Prod_Prop!$A:$A,Prod_Prop!$B:$B,$E152,Prod_Prop!$H:$H,J$1,Prod_Prop!$I:$I,"Exacto"),Prod_Prop!$A:$A,Prod_Prop!$J:$J,"",0,1))</f>
        <v/>
      </c>
      <c r="K152" s="4" t="str">
        <f t="array" ref="K152">IF($E152="","", XLOOKUP(SUMIFS(Prod_Prop!$A:$A,Prod_Prop!$B:$B,$E152,Prod_Prop!$H:$H,K$1,Prod_Prop!$I:$I,"Exacto"),Prod_Prop!$A:$A,Prod_Prop!$J:$J,"",0,1))</f>
        <v/>
      </c>
      <c r="L152" s="4" t="str">
        <f t="array" ref="L152">IF($E152="","", XLOOKUP(SUMIFS(Prod_Prop!$A:$A,Prod_Prop!$B:$B,$E152,Prod_Prop!$H:$H,L$1,Prod_Prop!$I:$I,"Exacto"),Prod_Prop!$A:$A,Prod_Prop!$J:$J,"",0,1))</f>
        <v/>
      </c>
      <c r="M152" s="4" t="str">
        <f t="array" ref="M152">IF($E152="","", XLOOKUP(SUMIFS(Prod_Prop!$A:$A,Prod_Prop!$B:$B,$E152,Prod_Prop!$H:$H,M$1,Prod_Prop!$I:$I,"Exacto"),Prod_Prop!$A:$A,Prod_Prop!$J:$J,"",0,1))</f>
        <v/>
      </c>
      <c r="N152" s="4" t="str">
        <f t="array" ref="N152">IF($E152="","", XLOOKUP(SUMIFS(Prod_Prop!$A:$A,Prod_Prop!$B:$B,$E152,Prod_Prop!$H:$H,N$1,Prod_Prop!$I:$I,"Exacto"),Prod_Prop!$A:$A,Prod_Prop!$J:$J,"",0,1))</f>
        <v/>
      </c>
      <c r="O152" s="4" t="str">
        <f t="array" ref="O152">IF($E152="","", XLOOKUP(SUMIFS(Prod_Prop!$A:$A,Prod_Prop!$B:$B,$E152,Prod_Prop!$H:$H,O$1,Prod_Prop!$I:$I,"Exacto"),Prod_Prop!$A:$A,Prod_Prop!$J:$J,"",0,1))</f>
        <v/>
      </c>
      <c r="P152" s="4" t="str">
        <f t="array" ref="P152">IF($E152="","", XLOOKUP(SUMIFS(Prod_Prop!$A:$A,Prod_Prop!$B:$B,$E152,Prod_Prop!$H:$H,P$1,Prod_Prop!$I:$I,"Exacto"),Prod_Prop!$A:$A,Prod_Prop!$J:$J,"",0,1))</f>
        <v/>
      </c>
      <c r="Q152" s="4" t="str">
        <f t="array" ref="Q152">IF($E152="","", XLOOKUP(SUMIFS(Prod_Prop!$A:$A,Prod_Prop!$B:$B,$E152,Prod_Prop!$H:$H,Q$1,Prod_Prop!$I:$I,"Exacto"),Prod_Prop!$A:$A,Prod_Prop!$J:$J,"",0,1))</f>
        <v/>
      </c>
      <c r="R152" s="4" t="str">
        <f t="array" ref="R152">IF($E152="","", XLOOKUP(SUMIFS(Prod_Prop!$A:$A,Prod_Prop!$B:$B,$E152,Prod_Prop!$H:$H,R$1,Prod_Prop!$I:$I,"Exacto"),Prod_Prop!$A:$A,Prod_Prop!$J:$J,"",0,1))</f>
        <v/>
      </c>
      <c r="S152" s="4" t="str">
        <f t="array" ref="S152">IF($E152="","", XLOOKUP(SUMIFS(Prod_Prop!$A:$A,Prod_Prop!$B:$B,$E152,Prod_Prop!$H:$H,S$1,Prod_Prop!$I:$I,"Exacto"),Prod_Prop!$A:$A,Prod_Prop!$J:$J,"",0,1))</f>
        <v/>
      </c>
      <c r="T152" s="4" t="str">
        <f t="array" ref="T152">IF($E152="","", XLOOKUP(SUMIFS(Prod_Prop!$A:$A,Prod_Prop!$B:$B,$E152,Prod_Prop!$H:$H,T$1,Prod_Prop!$I:$I,"Exacto"),Prod_Prop!$A:$A,Prod_Prop!$J:$J,"",0,1))</f>
        <v/>
      </c>
      <c r="U152" s="4" t="str">
        <f t="array" ref="U152">IF($E152="","", XLOOKUP(SUMIFS(Prod_Prop!$A:$A,Prod_Prop!$B:$B,$E152,Prod_Prop!$H:$H,U$1,Prod_Prop!$I:$I,"Exacto"),Prod_Prop!$A:$A,Prod_Prop!$J:$J,"",0,1))</f>
        <v/>
      </c>
      <c r="V152" s="4" t="str">
        <f t="array" ref="V152">IF($E152="","", XLOOKUP(SUMIFS(Prod_Prop!$A:$A,Prod_Prop!$B:$B,$E152,Prod_Prop!$H:$H,V$1,Prod_Prop!$I:$I,"Exacto"),Prod_Prop!$A:$A,Prod_Prop!$J:$J,"",0,1))</f>
        <v/>
      </c>
      <c r="X152" s="3" t="str">
        <f>IFERROR(__xludf.DUMMYFUNCTION("IF(D152="""","""",IFERROR(TRANSPOSE(FILTER('Validaciones Cotizador'!U:U,'Validaciones Cotizador'!O:O=D152,'Validaciones Cotizador'!T:T=""x"")),""Finalizar""))"),"")</f>
        <v/>
      </c>
    </row>
    <row r="153">
      <c r="A153" s="2" t="str">
        <f t="array" ref="A153">IF(E153="","",XLOOKUP(D153,'Validaciones Cotizador'!C:C,'Validaciones Cotizador'!A:A,"",0,1))</f>
        <v/>
      </c>
      <c r="B153" s="2" t="str">
        <f t="array" ref="B153">IF(F153="","",XLOOKUP(F153,Productos!E:E,Productos!G:G,"",0,1))</f>
        <v/>
      </c>
      <c r="C153" s="2" t="str">
        <f>IF(A153="","",SUMIFS('Validaciones Cotizador'!B:B,'Validaciones Cotizador'!C:C,D153,'Validaciones Cotizador'!A:A,A153))</f>
        <v/>
      </c>
      <c r="D153" s="4" t="str">
        <f>IFERROR(__xludf.DUMMYFUNCTION("IF(OR(F152=""Finalizar"",F152="""",F152=""Selecciona..""),"""",IF(OR(F152=""-"",INDEX(filter(Familias!F:F,Familias!D:D=A152,Familias!E:E=C152),1)=""O""),D152+1,D152))"),"")</f>
        <v/>
      </c>
      <c r="E153" s="2" t="str">
        <f>IF(OR(F153="",F153="Selecciona.."),"",IF(D153="Implemento",SUMIF(Implementos!B:B,F153,Implementos!A:A),SUMIF(Productos!E:E,F153,Productos!A:A)))</f>
        <v/>
      </c>
      <c r="F153" s="2" t="str">
        <f t="shared" si="2"/>
        <v/>
      </c>
      <c r="G153" s="10" t="str">
        <f t="array" ref="G153">IF(OR(F153="",F153="-",F153="Selecciona..",F153="Finalizar"),"",IF(A153="Rodados",XLOOKUP(B153,'Validaciones Cotizador'!I:I,'Validaciones Cotizador'!J:J,0,0,1),1))</f>
        <v/>
      </c>
      <c r="H153" s="11" t="str">
        <f>IF(OR(F153="",F153="Selecciona.."),"",SUMIF(Precio_Productos!K:K,E153,Precio_Productos!J:J)*G153)</f>
        <v/>
      </c>
      <c r="I153" s="4" t="str">
        <f t="array" ref="I153">IF($E153="","", XLOOKUP(SUMIFS(Prod_Prop!$A:$A,Prod_Prop!$B:$B,$E153,Prod_Prop!$H:$H,I$1,Prod_Prop!$I:$I,"Exacto"),Prod_Prop!$A:$A,Prod_Prop!$J:$J,"",0,1))</f>
        <v/>
      </c>
      <c r="J153" s="4" t="str">
        <f t="array" ref="J153">IF($E153="","", XLOOKUP(SUMIFS(Prod_Prop!$A:$A,Prod_Prop!$B:$B,$E153,Prod_Prop!$H:$H,J$1,Prod_Prop!$I:$I,"Exacto"),Prod_Prop!$A:$A,Prod_Prop!$J:$J,"",0,1))</f>
        <v/>
      </c>
      <c r="K153" s="4" t="str">
        <f t="array" ref="K153">IF($E153="","", XLOOKUP(SUMIFS(Prod_Prop!$A:$A,Prod_Prop!$B:$B,$E153,Prod_Prop!$H:$H,K$1,Prod_Prop!$I:$I,"Exacto"),Prod_Prop!$A:$A,Prod_Prop!$J:$J,"",0,1))</f>
        <v/>
      </c>
      <c r="L153" s="4" t="str">
        <f t="array" ref="L153">IF($E153="","", XLOOKUP(SUMIFS(Prod_Prop!$A:$A,Prod_Prop!$B:$B,$E153,Prod_Prop!$H:$H,L$1,Prod_Prop!$I:$I,"Exacto"),Prod_Prop!$A:$A,Prod_Prop!$J:$J,"",0,1))</f>
        <v/>
      </c>
      <c r="M153" s="4" t="str">
        <f t="array" ref="M153">IF($E153="","", XLOOKUP(SUMIFS(Prod_Prop!$A:$A,Prod_Prop!$B:$B,$E153,Prod_Prop!$H:$H,M$1,Prod_Prop!$I:$I,"Exacto"),Prod_Prop!$A:$A,Prod_Prop!$J:$J,"",0,1))</f>
        <v/>
      </c>
      <c r="N153" s="4" t="str">
        <f t="array" ref="N153">IF($E153="","", XLOOKUP(SUMIFS(Prod_Prop!$A:$A,Prod_Prop!$B:$B,$E153,Prod_Prop!$H:$H,N$1,Prod_Prop!$I:$I,"Exacto"),Prod_Prop!$A:$A,Prod_Prop!$J:$J,"",0,1))</f>
        <v/>
      </c>
      <c r="O153" s="4" t="str">
        <f t="array" ref="O153">IF($E153="","", XLOOKUP(SUMIFS(Prod_Prop!$A:$A,Prod_Prop!$B:$B,$E153,Prod_Prop!$H:$H,O$1,Prod_Prop!$I:$I,"Exacto"),Prod_Prop!$A:$A,Prod_Prop!$J:$J,"",0,1))</f>
        <v/>
      </c>
      <c r="P153" s="4" t="str">
        <f t="array" ref="P153">IF($E153="","", XLOOKUP(SUMIFS(Prod_Prop!$A:$A,Prod_Prop!$B:$B,$E153,Prod_Prop!$H:$H,P$1,Prod_Prop!$I:$I,"Exacto"),Prod_Prop!$A:$A,Prod_Prop!$J:$J,"",0,1))</f>
        <v/>
      </c>
      <c r="Q153" s="4" t="str">
        <f t="array" ref="Q153">IF($E153="","", XLOOKUP(SUMIFS(Prod_Prop!$A:$A,Prod_Prop!$B:$B,$E153,Prod_Prop!$H:$H,Q$1,Prod_Prop!$I:$I,"Exacto"),Prod_Prop!$A:$A,Prod_Prop!$J:$J,"",0,1))</f>
        <v/>
      </c>
      <c r="R153" s="4" t="str">
        <f t="array" ref="R153">IF($E153="","", XLOOKUP(SUMIFS(Prod_Prop!$A:$A,Prod_Prop!$B:$B,$E153,Prod_Prop!$H:$H,R$1,Prod_Prop!$I:$I,"Exacto"),Prod_Prop!$A:$A,Prod_Prop!$J:$J,"",0,1))</f>
        <v/>
      </c>
      <c r="S153" s="4" t="str">
        <f t="array" ref="S153">IF($E153="","", XLOOKUP(SUMIFS(Prod_Prop!$A:$A,Prod_Prop!$B:$B,$E153,Prod_Prop!$H:$H,S$1,Prod_Prop!$I:$I,"Exacto"),Prod_Prop!$A:$A,Prod_Prop!$J:$J,"",0,1))</f>
        <v/>
      </c>
      <c r="T153" s="4" t="str">
        <f t="array" ref="T153">IF($E153="","", XLOOKUP(SUMIFS(Prod_Prop!$A:$A,Prod_Prop!$B:$B,$E153,Prod_Prop!$H:$H,T$1,Prod_Prop!$I:$I,"Exacto"),Prod_Prop!$A:$A,Prod_Prop!$J:$J,"",0,1))</f>
        <v/>
      </c>
      <c r="U153" s="4" t="str">
        <f t="array" ref="U153">IF($E153="","", XLOOKUP(SUMIFS(Prod_Prop!$A:$A,Prod_Prop!$B:$B,$E153,Prod_Prop!$H:$H,U$1,Prod_Prop!$I:$I,"Exacto"),Prod_Prop!$A:$A,Prod_Prop!$J:$J,"",0,1))</f>
        <v/>
      </c>
      <c r="V153" s="4" t="str">
        <f t="array" ref="V153">IF($E153="","", XLOOKUP(SUMIFS(Prod_Prop!$A:$A,Prod_Prop!$B:$B,$E153,Prod_Prop!$H:$H,V$1,Prod_Prop!$I:$I,"Exacto"),Prod_Prop!$A:$A,Prod_Prop!$J:$J,"",0,1))</f>
        <v/>
      </c>
      <c r="X153" s="3" t="str">
        <f>IFERROR(__xludf.DUMMYFUNCTION("IF(D153="""","""",IFERROR(TRANSPOSE(FILTER('Validaciones Cotizador'!U:U,'Validaciones Cotizador'!O:O=D153,'Validaciones Cotizador'!T:T=""x"")),""Finalizar""))"),"")</f>
        <v/>
      </c>
    </row>
    <row r="154">
      <c r="A154" s="2" t="str">
        <f t="array" ref="A154">IF(E154="","",XLOOKUP(D154,'Validaciones Cotizador'!C:C,'Validaciones Cotizador'!A:A,"",0,1))</f>
        <v/>
      </c>
      <c r="B154" s="2" t="str">
        <f t="array" ref="B154">IF(F154="","",XLOOKUP(F154,Productos!E:E,Productos!G:G,"",0,1))</f>
        <v/>
      </c>
      <c r="C154" s="2" t="str">
        <f>IF(A154="","",SUMIFS('Validaciones Cotizador'!B:B,'Validaciones Cotizador'!C:C,D154,'Validaciones Cotizador'!A:A,A154))</f>
        <v/>
      </c>
      <c r="D154" s="4" t="str">
        <f>IFERROR(__xludf.DUMMYFUNCTION("IF(OR(F153=""Finalizar"",F153="""",F153=""Selecciona..""),"""",IF(OR(F153=""-"",INDEX(filter(Familias!F:F,Familias!D:D=A153,Familias!E:E=C153),1)=""O""),D153+1,D153))"),"")</f>
        <v/>
      </c>
      <c r="E154" s="2" t="str">
        <f>IF(OR(F154="",F154="Selecciona.."),"",IF(D154="Implemento",SUMIF(Implementos!B:B,F154,Implementos!A:A),SUMIF(Productos!E:E,F154,Productos!A:A)))</f>
        <v/>
      </c>
      <c r="F154" s="2" t="str">
        <f t="shared" si="2"/>
        <v/>
      </c>
      <c r="G154" s="10" t="str">
        <f t="array" ref="G154">IF(OR(F154="",F154="-",F154="Selecciona..",F154="Finalizar"),"",IF(A154="Rodados",XLOOKUP(B154,'Validaciones Cotizador'!I:I,'Validaciones Cotizador'!J:J,0,0,1),1))</f>
        <v/>
      </c>
      <c r="H154" s="11" t="str">
        <f>IF(OR(F154="",F154="Selecciona.."),"",SUMIF(Precio_Productos!K:K,E154,Precio_Productos!J:J)*G154)</f>
        <v/>
      </c>
      <c r="I154" s="4" t="str">
        <f t="array" ref="I154">IF($E154="","", XLOOKUP(SUMIFS(Prod_Prop!$A:$A,Prod_Prop!$B:$B,$E154,Prod_Prop!$H:$H,I$1,Prod_Prop!$I:$I,"Exacto"),Prod_Prop!$A:$A,Prod_Prop!$J:$J,"",0,1))</f>
        <v/>
      </c>
      <c r="J154" s="4" t="str">
        <f t="array" ref="J154">IF($E154="","", XLOOKUP(SUMIFS(Prod_Prop!$A:$A,Prod_Prop!$B:$B,$E154,Prod_Prop!$H:$H,J$1,Prod_Prop!$I:$I,"Exacto"),Prod_Prop!$A:$A,Prod_Prop!$J:$J,"",0,1))</f>
        <v/>
      </c>
      <c r="K154" s="4" t="str">
        <f t="array" ref="K154">IF($E154="","", XLOOKUP(SUMIFS(Prod_Prop!$A:$A,Prod_Prop!$B:$B,$E154,Prod_Prop!$H:$H,K$1,Prod_Prop!$I:$I,"Exacto"),Prod_Prop!$A:$A,Prod_Prop!$J:$J,"",0,1))</f>
        <v/>
      </c>
      <c r="L154" s="4" t="str">
        <f t="array" ref="L154">IF($E154="","", XLOOKUP(SUMIFS(Prod_Prop!$A:$A,Prod_Prop!$B:$B,$E154,Prod_Prop!$H:$H,L$1,Prod_Prop!$I:$I,"Exacto"),Prod_Prop!$A:$A,Prod_Prop!$J:$J,"",0,1))</f>
        <v/>
      </c>
      <c r="M154" s="4" t="str">
        <f t="array" ref="M154">IF($E154="","", XLOOKUP(SUMIFS(Prod_Prop!$A:$A,Prod_Prop!$B:$B,$E154,Prod_Prop!$H:$H,M$1,Prod_Prop!$I:$I,"Exacto"),Prod_Prop!$A:$A,Prod_Prop!$J:$J,"",0,1))</f>
        <v/>
      </c>
      <c r="N154" s="4" t="str">
        <f t="array" ref="N154">IF($E154="","", XLOOKUP(SUMIFS(Prod_Prop!$A:$A,Prod_Prop!$B:$B,$E154,Prod_Prop!$H:$H,N$1,Prod_Prop!$I:$I,"Exacto"),Prod_Prop!$A:$A,Prod_Prop!$J:$J,"",0,1))</f>
        <v/>
      </c>
      <c r="O154" s="4" t="str">
        <f t="array" ref="O154">IF($E154="","", XLOOKUP(SUMIFS(Prod_Prop!$A:$A,Prod_Prop!$B:$B,$E154,Prod_Prop!$H:$H,O$1,Prod_Prop!$I:$I,"Exacto"),Prod_Prop!$A:$A,Prod_Prop!$J:$J,"",0,1))</f>
        <v/>
      </c>
      <c r="P154" s="4" t="str">
        <f t="array" ref="P154">IF($E154="","", XLOOKUP(SUMIFS(Prod_Prop!$A:$A,Prod_Prop!$B:$B,$E154,Prod_Prop!$H:$H,P$1,Prod_Prop!$I:$I,"Exacto"),Prod_Prop!$A:$A,Prod_Prop!$J:$J,"",0,1))</f>
        <v/>
      </c>
      <c r="Q154" s="4" t="str">
        <f t="array" ref="Q154">IF($E154="","", XLOOKUP(SUMIFS(Prod_Prop!$A:$A,Prod_Prop!$B:$B,$E154,Prod_Prop!$H:$H,Q$1,Prod_Prop!$I:$I,"Exacto"),Prod_Prop!$A:$A,Prod_Prop!$J:$J,"",0,1))</f>
        <v/>
      </c>
      <c r="R154" s="4" t="str">
        <f t="array" ref="R154">IF($E154="","", XLOOKUP(SUMIFS(Prod_Prop!$A:$A,Prod_Prop!$B:$B,$E154,Prod_Prop!$H:$H,R$1,Prod_Prop!$I:$I,"Exacto"),Prod_Prop!$A:$A,Prod_Prop!$J:$J,"",0,1))</f>
        <v/>
      </c>
      <c r="S154" s="4" t="str">
        <f t="array" ref="S154">IF($E154="","", XLOOKUP(SUMIFS(Prod_Prop!$A:$A,Prod_Prop!$B:$B,$E154,Prod_Prop!$H:$H,S$1,Prod_Prop!$I:$I,"Exacto"),Prod_Prop!$A:$A,Prod_Prop!$J:$J,"",0,1))</f>
        <v/>
      </c>
      <c r="T154" s="4" t="str">
        <f t="array" ref="T154">IF($E154="","", XLOOKUP(SUMIFS(Prod_Prop!$A:$A,Prod_Prop!$B:$B,$E154,Prod_Prop!$H:$H,T$1,Prod_Prop!$I:$I,"Exacto"),Prod_Prop!$A:$A,Prod_Prop!$J:$J,"",0,1))</f>
        <v/>
      </c>
      <c r="U154" s="4" t="str">
        <f t="array" ref="U154">IF($E154="","", XLOOKUP(SUMIFS(Prod_Prop!$A:$A,Prod_Prop!$B:$B,$E154,Prod_Prop!$H:$H,U$1,Prod_Prop!$I:$I,"Exacto"),Prod_Prop!$A:$A,Prod_Prop!$J:$J,"",0,1))</f>
        <v/>
      </c>
      <c r="V154" s="4" t="str">
        <f t="array" ref="V154">IF($E154="","", XLOOKUP(SUMIFS(Prod_Prop!$A:$A,Prod_Prop!$B:$B,$E154,Prod_Prop!$H:$H,V$1,Prod_Prop!$I:$I,"Exacto"),Prod_Prop!$A:$A,Prod_Prop!$J:$J,"",0,1))</f>
        <v/>
      </c>
      <c r="X154" s="3" t="str">
        <f>IFERROR(__xludf.DUMMYFUNCTION("IF(D154="""","""",IFERROR(TRANSPOSE(FILTER('Validaciones Cotizador'!U:U,'Validaciones Cotizador'!O:O=D154,'Validaciones Cotizador'!T:T=""x"")),""Finalizar""))"),"")</f>
        <v/>
      </c>
    </row>
    <row r="155">
      <c r="A155" s="2" t="str">
        <f t="array" ref="A155">IF(E155="","",XLOOKUP(D155,'Validaciones Cotizador'!C:C,'Validaciones Cotizador'!A:A,"",0,1))</f>
        <v/>
      </c>
      <c r="B155" s="2" t="str">
        <f t="array" ref="B155">IF(F155="","",XLOOKUP(F155,Productos!E:E,Productos!G:G,"",0,1))</f>
        <v/>
      </c>
      <c r="C155" s="2" t="str">
        <f>IF(A155="","",SUMIFS('Validaciones Cotizador'!B:B,'Validaciones Cotizador'!C:C,D155,'Validaciones Cotizador'!A:A,A155))</f>
        <v/>
      </c>
      <c r="D155" s="4" t="str">
        <f>IFERROR(__xludf.DUMMYFUNCTION("IF(OR(F154=""Finalizar"",F154="""",F154=""Selecciona..""),"""",IF(OR(F154=""-"",INDEX(filter(Familias!F:F,Familias!D:D=A154,Familias!E:E=C154),1)=""O""),D154+1,D154))"),"")</f>
        <v/>
      </c>
      <c r="E155" s="2" t="str">
        <f>IF(OR(F155="",F155="Selecciona.."),"",IF(D155="Implemento",SUMIF(Implementos!B:B,F155,Implementos!A:A),SUMIF(Productos!E:E,F155,Productos!A:A)))</f>
        <v/>
      </c>
      <c r="F155" s="2" t="str">
        <f t="shared" si="2"/>
        <v/>
      </c>
      <c r="G155" s="10" t="str">
        <f t="array" ref="G155">IF(OR(F155="",F155="-",F155="Selecciona..",F155="Finalizar"),"",IF(A155="Rodados",XLOOKUP(B155,'Validaciones Cotizador'!I:I,'Validaciones Cotizador'!J:J,0,0,1),1))</f>
        <v/>
      </c>
      <c r="H155" s="11" t="str">
        <f>IF(OR(F155="",F155="Selecciona.."),"",SUMIF(Precio_Productos!K:K,E155,Precio_Productos!J:J)*G155)</f>
        <v/>
      </c>
      <c r="I155" s="4" t="str">
        <f t="array" ref="I155">IF($E155="","", XLOOKUP(SUMIFS(Prod_Prop!$A:$A,Prod_Prop!$B:$B,$E155,Prod_Prop!$H:$H,I$1,Prod_Prop!$I:$I,"Exacto"),Prod_Prop!$A:$A,Prod_Prop!$J:$J,"",0,1))</f>
        <v/>
      </c>
      <c r="J155" s="4" t="str">
        <f t="array" ref="J155">IF($E155="","", XLOOKUP(SUMIFS(Prod_Prop!$A:$A,Prod_Prop!$B:$B,$E155,Prod_Prop!$H:$H,J$1,Prod_Prop!$I:$I,"Exacto"),Prod_Prop!$A:$A,Prod_Prop!$J:$J,"",0,1))</f>
        <v/>
      </c>
      <c r="K155" s="4" t="str">
        <f t="array" ref="K155">IF($E155="","", XLOOKUP(SUMIFS(Prod_Prop!$A:$A,Prod_Prop!$B:$B,$E155,Prod_Prop!$H:$H,K$1,Prod_Prop!$I:$I,"Exacto"),Prod_Prop!$A:$A,Prod_Prop!$J:$J,"",0,1))</f>
        <v/>
      </c>
      <c r="L155" s="4" t="str">
        <f t="array" ref="L155">IF($E155="","", XLOOKUP(SUMIFS(Prod_Prop!$A:$A,Prod_Prop!$B:$B,$E155,Prod_Prop!$H:$H,L$1,Prod_Prop!$I:$I,"Exacto"),Prod_Prop!$A:$A,Prod_Prop!$J:$J,"",0,1))</f>
        <v/>
      </c>
      <c r="M155" s="4" t="str">
        <f t="array" ref="M155">IF($E155="","", XLOOKUP(SUMIFS(Prod_Prop!$A:$A,Prod_Prop!$B:$B,$E155,Prod_Prop!$H:$H,M$1,Prod_Prop!$I:$I,"Exacto"),Prod_Prop!$A:$A,Prod_Prop!$J:$J,"",0,1))</f>
        <v/>
      </c>
      <c r="N155" s="4" t="str">
        <f t="array" ref="N155">IF($E155="","", XLOOKUP(SUMIFS(Prod_Prop!$A:$A,Prod_Prop!$B:$B,$E155,Prod_Prop!$H:$H,N$1,Prod_Prop!$I:$I,"Exacto"),Prod_Prop!$A:$A,Prod_Prop!$J:$J,"",0,1))</f>
        <v/>
      </c>
      <c r="O155" s="4" t="str">
        <f t="array" ref="O155">IF($E155="","", XLOOKUP(SUMIFS(Prod_Prop!$A:$A,Prod_Prop!$B:$B,$E155,Prod_Prop!$H:$H,O$1,Prod_Prop!$I:$I,"Exacto"),Prod_Prop!$A:$A,Prod_Prop!$J:$J,"",0,1))</f>
        <v/>
      </c>
      <c r="P155" s="4" t="str">
        <f t="array" ref="P155">IF($E155="","", XLOOKUP(SUMIFS(Prod_Prop!$A:$A,Prod_Prop!$B:$B,$E155,Prod_Prop!$H:$H,P$1,Prod_Prop!$I:$I,"Exacto"),Prod_Prop!$A:$A,Prod_Prop!$J:$J,"",0,1))</f>
        <v/>
      </c>
      <c r="Q155" s="4" t="str">
        <f t="array" ref="Q155">IF($E155="","", XLOOKUP(SUMIFS(Prod_Prop!$A:$A,Prod_Prop!$B:$B,$E155,Prod_Prop!$H:$H,Q$1,Prod_Prop!$I:$I,"Exacto"),Prod_Prop!$A:$A,Prod_Prop!$J:$J,"",0,1))</f>
        <v/>
      </c>
      <c r="R155" s="4" t="str">
        <f t="array" ref="R155">IF($E155="","", XLOOKUP(SUMIFS(Prod_Prop!$A:$A,Prod_Prop!$B:$B,$E155,Prod_Prop!$H:$H,R$1,Prod_Prop!$I:$I,"Exacto"),Prod_Prop!$A:$A,Prod_Prop!$J:$J,"",0,1))</f>
        <v/>
      </c>
      <c r="S155" s="4" t="str">
        <f t="array" ref="S155">IF($E155="","", XLOOKUP(SUMIFS(Prod_Prop!$A:$A,Prod_Prop!$B:$B,$E155,Prod_Prop!$H:$H,S$1,Prod_Prop!$I:$I,"Exacto"),Prod_Prop!$A:$A,Prod_Prop!$J:$J,"",0,1))</f>
        <v/>
      </c>
      <c r="T155" s="4" t="str">
        <f t="array" ref="T155">IF($E155="","", XLOOKUP(SUMIFS(Prod_Prop!$A:$A,Prod_Prop!$B:$B,$E155,Prod_Prop!$H:$H,T$1,Prod_Prop!$I:$I,"Exacto"),Prod_Prop!$A:$A,Prod_Prop!$J:$J,"",0,1))</f>
        <v/>
      </c>
      <c r="U155" s="4" t="str">
        <f t="array" ref="U155">IF($E155="","", XLOOKUP(SUMIFS(Prod_Prop!$A:$A,Prod_Prop!$B:$B,$E155,Prod_Prop!$H:$H,U$1,Prod_Prop!$I:$I,"Exacto"),Prod_Prop!$A:$A,Prod_Prop!$J:$J,"",0,1))</f>
        <v/>
      </c>
      <c r="V155" s="4" t="str">
        <f t="array" ref="V155">IF($E155="","", XLOOKUP(SUMIFS(Prod_Prop!$A:$A,Prod_Prop!$B:$B,$E155,Prod_Prop!$H:$H,V$1,Prod_Prop!$I:$I,"Exacto"),Prod_Prop!$A:$A,Prod_Prop!$J:$J,"",0,1))</f>
        <v/>
      </c>
      <c r="X155" s="3" t="str">
        <f>IFERROR(__xludf.DUMMYFUNCTION("IF(D155="""","""",IFERROR(TRANSPOSE(FILTER('Validaciones Cotizador'!U:U,'Validaciones Cotizador'!O:O=D155,'Validaciones Cotizador'!T:T=""x"")),""Finalizar""))"),"")</f>
        <v/>
      </c>
    </row>
    <row r="156">
      <c r="A156" s="2" t="str">
        <f t="array" ref="A156">IF(E156="","",XLOOKUP(D156,'Validaciones Cotizador'!C:C,'Validaciones Cotizador'!A:A,"",0,1))</f>
        <v/>
      </c>
      <c r="B156" s="2" t="str">
        <f t="array" ref="B156">IF(F156="","",XLOOKUP(F156,Productos!E:E,Productos!G:G,"",0,1))</f>
        <v/>
      </c>
      <c r="C156" s="2" t="str">
        <f>IF(A156="","",SUMIFS('Validaciones Cotizador'!B:B,'Validaciones Cotizador'!C:C,D156,'Validaciones Cotizador'!A:A,A156))</f>
        <v/>
      </c>
      <c r="D156" s="4" t="str">
        <f>IFERROR(__xludf.DUMMYFUNCTION("IF(OR(F155=""Finalizar"",F155="""",F155=""Selecciona..""),"""",IF(OR(F155=""-"",INDEX(filter(Familias!F:F,Familias!D:D=A155,Familias!E:E=C155),1)=""O""),D155+1,D155))"),"")</f>
        <v/>
      </c>
      <c r="E156" s="2" t="str">
        <f>IF(OR(F156="",F156="Selecciona.."),"",IF(D156="Implemento",SUMIF(Implementos!B:B,F156,Implementos!A:A),SUMIF(Productos!E:E,F156,Productos!A:A)))</f>
        <v/>
      </c>
      <c r="F156" s="2" t="str">
        <f t="shared" si="2"/>
        <v/>
      </c>
      <c r="G156" s="10" t="str">
        <f t="array" ref="G156">IF(OR(F156="",F156="-",F156="Selecciona..",F156="Finalizar"),"",IF(A156="Rodados",XLOOKUP(B156,'Validaciones Cotizador'!I:I,'Validaciones Cotizador'!J:J,0,0,1),1))</f>
        <v/>
      </c>
      <c r="H156" s="11" t="str">
        <f>IF(OR(F156="",F156="Selecciona.."),"",SUMIF(Precio_Productos!K:K,E156,Precio_Productos!J:J)*G156)</f>
        <v/>
      </c>
      <c r="I156" s="4" t="str">
        <f t="array" ref="I156">IF($E156="","", XLOOKUP(SUMIFS(Prod_Prop!$A:$A,Prod_Prop!$B:$B,$E156,Prod_Prop!$H:$H,I$1,Prod_Prop!$I:$I,"Exacto"),Prod_Prop!$A:$A,Prod_Prop!$J:$J,"",0,1))</f>
        <v/>
      </c>
      <c r="J156" s="4" t="str">
        <f t="array" ref="J156">IF($E156="","", XLOOKUP(SUMIFS(Prod_Prop!$A:$A,Prod_Prop!$B:$B,$E156,Prod_Prop!$H:$H,J$1,Prod_Prop!$I:$I,"Exacto"),Prod_Prop!$A:$A,Prod_Prop!$J:$J,"",0,1))</f>
        <v/>
      </c>
      <c r="K156" s="4" t="str">
        <f t="array" ref="K156">IF($E156="","", XLOOKUP(SUMIFS(Prod_Prop!$A:$A,Prod_Prop!$B:$B,$E156,Prod_Prop!$H:$H,K$1,Prod_Prop!$I:$I,"Exacto"),Prod_Prop!$A:$A,Prod_Prop!$J:$J,"",0,1))</f>
        <v/>
      </c>
      <c r="L156" s="4" t="str">
        <f t="array" ref="L156">IF($E156="","", XLOOKUP(SUMIFS(Prod_Prop!$A:$A,Prod_Prop!$B:$B,$E156,Prod_Prop!$H:$H,L$1,Prod_Prop!$I:$I,"Exacto"),Prod_Prop!$A:$A,Prod_Prop!$J:$J,"",0,1))</f>
        <v/>
      </c>
      <c r="M156" s="4" t="str">
        <f t="array" ref="M156">IF($E156="","", XLOOKUP(SUMIFS(Prod_Prop!$A:$A,Prod_Prop!$B:$B,$E156,Prod_Prop!$H:$H,M$1,Prod_Prop!$I:$I,"Exacto"),Prod_Prop!$A:$A,Prod_Prop!$J:$J,"",0,1))</f>
        <v/>
      </c>
      <c r="N156" s="4" t="str">
        <f t="array" ref="N156">IF($E156="","", XLOOKUP(SUMIFS(Prod_Prop!$A:$A,Prod_Prop!$B:$B,$E156,Prod_Prop!$H:$H,N$1,Prod_Prop!$I:$I,"Exacto"),Prod_Prop!$A:$A,Prod_Prop!$J:$J,"",0,1))</f>
        <v/>
      </c>
      <c r="O156" s="4" t="str">
        <f t="array" ref="O156">IF($E156="","", XLOOKUP(SUMIFS(Prod_Prop!$A:$A,Prod_Prop!$B:$B,$E156,Prod_Prop!$H:$H,O$1,Prod_Prop!$I:$I,"Exacto"),Prod_Prop!$A:$A,Prod_Prop!$J:$J,"",0,1))</f>
        <v/>
      </c>
      <c r="P156" s="4" t="str">
        <f t="array" ref="P156">IF($E156="","", XLOOKUP(SUMIFS(Prod_Prop!$A:$A,Prod_Prop!$B:$B,$E156,Prod_Prop!$H:$H,P$1,Prod_Prop!$I:$I,"Exacto"),Prod_Prop!$A:$A,Prod_Prop!$J:$J,"",0,1))</f>
        <v/>
      </c>
      <c r="Q156" s="4" t="str">
        <f t="array" ref="Q156">IF($E156="","", XLOOKUP(SUMIFS(Prod_Prop!$A:$A,Prod_Prop!$B:$B,$E156,Prod_Prop!$H:$H,Q$1,Prod_Prop!$I:$I,"Exacto"),Prod_Prop!$A:$A,Prod_Prop!$J:$J,"",0,1))</f>
        <v/>
      </c>
      <c r="R156" s="4" t="str">
        <f t="array" ref="R156">IF($E156="","", XLOOKUP(SUMIFS(Prod_Prop!$A:$A,Prod_Prop!$B:$B,$E156,Prod_Prop!$H:$H,R$1,Prod_Prop!$I:$I,"Exacto"),Prod_Prop!$A:$A,Prod_Prop!$J:$J,"",0,1))</f>
        <v/>
      </c>
      <c r="S156" s="4" t="str">
        <f t="array" ref="S156">IF($E156="","", XLOOKUP(SUMIFS(Prod_Prop!$A:$A,Prod_Prop!$B:$B,$E156,Prod_Prop!$H:$H,S$1,Prod_Prop!$I:$I,"Exacto"),Prod_Prop!$A:$A,Prod_Prop!$J:$J,"",0,1))</f>
        <v/>
      </c>
      <c r="T156" s="4" t="str">
        <f t="array" ref="T156">IF($E156="","", XLOOKUP(SUMIFS(Prod_Prop!$A:$A,Prod_Prop!$B:$B,$E156,Prod_Prop!$H:$H,T$1,Prod_Prop!$I:$I,"Exacto"),Prod_Prop!$A:$A,Prod_Prop!$J:$J,"",0,1))</f>
        <v/>
      </c>
      <c r="U156" s="4" t="str">
        <f t="array" ref="U156">IF($E156="","", XLOOKUP(SUMIFS(Prod_Prop!$A:$A,Prod_Prop!$B:$B,$E156,Prod_Prop!$H:$H,U$1,Prod_Prop!$I:$I,"Exacto"),Prod_Prop!$A:$A,Prod_Prop!$J:$J,"",0,1))</f>
        <v/>
      </c>
      <c r="V156" s="4" t="str">
        <f t="array" ref="V156">IF($E156="","", XLOOKUP(SUMIFS(Prod_Prop!$A:$A,Prod_Prop!$B:$B,$E156,Prod_Prop!$H:$H,V$1,Prod_Prop!$I:$I,"Exacto"),Prod_Prop!$A:$A,Prod_Prop!$J:$J,"",0,1))</f>
        <v/>
      </c>
      <c r="X156" s="3" t="str">
        <f>IFERROR(__xludf.DUMMYFUNCTION("IF(D156="""","""",IFERROR(TRANSPOSE(FILTER('Validaciones Cotizador'!U:U,'Validaciones Cotizador'!O:O=D156,'Validaciones Cotizador'!T:T=""x"")),""Finalizar""))"),"")</f>
        <v/>
      </c>
    </row>
    <row r="157">
      <c r="A157" s="2" t="str">
        <f t="array" ref="A157">IF(E157="","",XLOOKUP(D157,'Validaciones Cotizador'!C:C,'Validaciones Cotizador'!A:A,"",0,1))</f>
        <v/>
      </c>
      <c r="B157" s="2" t="str">
        <f t="array" ref="B157">IF(F157="","",XLOOKUP(F157,Productos!E:E,Productos!G:G,"",0,1))</f>
        <v/>
      </c>
      <c r="C157" s="2" t="str">
        <f>IF(A157="","",SUMIFS('Validaciones Cotizador'!B:B,'Validaciones Cotizador'!C:C,D157,'Validaciones Cotizador'!A:A,A157))</f>
        <v/>
      </c>
      <c r="D157" s="4" t="str">
        <f>IFERROR(__xludf.DUMMYFUNCTION("IF(OR(F156=""Finalizar"",F156="""",F156=""Selecciona..""),"""",IF(OR(F156=""-"",INDEX(filter(Familias!F:F,Familias!D:D=A156,Familias!E:E=C156),1)=""O""),D156+1,D156))"),"")</f>
        <v/>
      </c>
      <c r="E157" s="2" t="str">
        <f>IF(OR(F157="",F157="Selecciona.."),"",IF(D157="Implemento",SUMIF(Implementos!B:B,F157,Implementos!A:A),SUMIF(Productos!E:E,F157,Productos!A:A)))</f>
        <v/>
      </c>
      <c r="F157" s="2" t="str">
        <f t="shared" si="2"/>
        <v/>
      </c>
      <c r="G157" s="10" t="str">
        <f t="array" ref="G157">IF(OR(F157="",F157="-",F157="Selecciona..",F157="Finalizar"),"",IF(A157="Rodados",XLOOKUP(B157,'Validaciones Cotizador'!I:I,'Validaciones Cotizador'!J:J,0,0,1),1))</f>
        <v/>
      </c>
      <c r="H157" s="11" t="str">
        <f>IF(OR(F157="",F157="Selecciona.."),"",SUMIF(Precio_Productos!K:K,E157,Precio_Productos!J:J)*G157)</f>
        <v/>
      </c>
      <c r="I157" s="4" t="str">
        <f t="array" ref="I157">IF($E157="","", XLOOKUP(SUMIFS(Prod_Prop!$A:$A,Prod_Prop!$B:$B,$E157,Prod_Prop!$H:$H,I$1,Prod_Prop!$I:$I,"Exacto"),Prod_Prop!$A:$A,Prod_Prop!$J:$J,"",0,1))</f>
        <v/>
      </c>
      <c r="J157" s="4" t="str">
        <f t="array" ref="J157">IF($E157="","", XLOOKUP(SUMIFS(Prod_Prop!$A:$A,Prod_Prop!$B:$B,$E157,Prod_Prop!$H:$H,J$1,Prod_Prop!$I:$I,"Exacto"),Prod_Prop!$A:$A,Prod_Prop!$J:$J,"",0,1))</f>
        <v/>
      </c>
      <c r="K157" s="4" t="str">
        <f t="array" ref="K157">IF($E157="","", XLOOKUP(SUMIFS(Prod_Prop!$A:$A,Prod_Prop!$B:$B,$E157,Prod_Prop!$H:$H,K$1,Prod_Prop!$I:$I,"Exacto"),Prod_Prop!$A:$A,Prod_Prop!$J:$J,"",0,1))</f>
        <v/>
      </c>
      <c r="L157" s="4" t="str">
        <f t="array" ref="L157">IF($E157="","", XLOOKUP(SUMIFS(Prod_Prop!$A:$A,Prod_Prop!$B:$B,$E157,Prod_Prop!$H:$H,L$1,Prod_Prop!$I:$I,"Exacto"),Prod_Prop!$A:$A,Prod_Prop!$J:$J,"",0,1))</f>
        <v/>
      </c>
      <c r="M157" s="4" t="str">
        <f t="array" ref="M157">IF($E157="","", XLOOKUP(SUMIFS(Prod_Prop!$A:$A,Prod_Prop!$B:$B,$E157,Prod_Prop!$H:$H,M$1,Prod_Prop!$I:$I,"Exacto"),Prod_Prop!$A:$A,Prod_Prop!$J:$J,"",0,1))</f>
        <v/>
      </c>
      <c r="N157" s="4" t="str">
        <f t="array" ref="N157">IF($E157="","", XLOOKUP(SUMIFS(Prod_Prop!$A:$A,Prod_Prop!$B:$B,$E157,Prod_Prop!$H:$H,N$1,Prod_Prop!$I:$I,"Exacto"),Prod_Prop!$A:$A,Prod_Prop!$J:$J,"",0,1))</f>
        <v/>
      </c>
      <c r="O157" s="4" t="str">
        <f t="array" ref="O157">IF($E157="","", XLOOKUP(SUMIFS(Prod_Prop!$A:$A,Prod_Prop!$B:$B,$E157,Prod_Prop!$H:$H,O$1,Prod_Prop!$I:$I,"Exacto"),Prod_Prop!$A:$A,Prod_Prop!$J:$J,"",0,1))</f>
        <v/>
      </c>
      <c r="P157" s="4" t="str">
        <f t="array" ref="P157">IF($E157="","", XLOOKUP(SUMIFS(Prod_Prop!$A:$A,Prod_Prop!$B:$B,$E157,Prod_Prop!$H:$H,P$1,Prod_Prop!$I:$I,"Exacto"),Prod_Prop!$A:$A,Prod_Prop!$J:$J,"",0,1))</f>
        <v/>
      </c>
      <c r="Q157" s="4" t="str">
        <f t="array" ref="Q157">IF($E157="","", XLOOKUP(SUMIFS(Prod_Prop!$A:$A,Prod_Prop!$B:$B,$E157,Prod_Prop!$H:$H,Q$1,Prod_Prop!$I:$I,"Exacto"),Prod_Prop!$A:$A,Prod_Prop!$J:$J,"",0,1))</f>
        <v/>
      </c>
      <c r="R157" s="4" t="str">
        <f t="array" ref="R157">IF($E157="","", XLOOKUP(SUMIFS(Prod_Prop!$A:$A,Prod_Prop!$B:$B,$E157,Prod_Prop!$H:$H,R$1,Prod_Prop!$I:$I,"Exacto"),Prod_Prop!$A:$A,Prod_Prop!$J:$J,"",0,1))</f>
        <v/>
      </c>
      <c r="S157" s="4" t="str">
        <f t="array" ref="S157">IF($E157="","", XLOOKUP(SUMIFS(Prod_Prop!$A:$A,Prod_Prop!$B:$B,$E157,Prod_Prop!$H:$H,S$1,Prod_Prop!$I:$I,"Exacto"),Prod_Prop!$A:$A,Prod_Prop!$J:$J,"",0,1))</f>
        <v/>
      </c>
      <c r="T157" s="4" t="str">
        <f t="array" ref="T157">IF($E157="","", XLOOKUP(SUMIFS(Prod_Prop!$A:$A,Prod_Prop!$B:$B,$E157,Prod_Prop!$H:$H,T$1,Prod_Prop!$I:$I,"Exacto"),Prod_Prop!$A:$A,Prod_Prop!$J:$J,"",0,1))</f>
        <v/>
      </c>
      <c r="U157" s="4" t="str">
        <f t="array" ref="U157">IF($E157="","", XLOOKUP(SUMIFS(Prod_Prop!$A:$A,Prod_Prop!$B:$B,$E157,Prod_Prop!$H:$H,U$1,Prod_Prop!$I:$I,"Exacto"),Prod_Prop!$A:$A,Prod_Prop!$J:$J,"",0,1))</f>
        <v/>
      </c>
      <c r="V157" s="4" t="str">
        <f t="array" ref="V157">IF($E157="","", XLOOKUP(SUMIFS(Prod_Prop!$A:$A,Prod_Prop!$B:$B,$E157,Prod_Prop!$H:$H,V$1,Prod_Prop!$I:$I,"Exacto"),Prod_Prop!$A:$A,Prod_Prop!$J:$J,"",0,1))</f>
        <v/>
      </c>
      <c r="X157" s="3" t="str">
        <f>IFERROR(__xludf.DUMMYFUNCTION("IF(D157="""","""",IFERROR(TRANSPOSE(FILTER('Validaciones Cotizador'!U:U,'Validaciones Cotizador'!O:O=D157,'Validaciones Cotizador'!T:T=""x"")),""Finalizar""))"),"")</f>
        <v/>
      </c>
    </row>
    <row r="158">
      <c r="A158" s="2" t="str">
        <f t="array" ref="A158">IF(E158="","",XLOOKUP(D158,'Validaciones Cotizador'!C:C,'Validaciones Cotizador'!A:A,"",0,1))</f>
        <v/>
      </c>
      <c r="B158" s="2" t="str">
        <f t="array" ref="B158">IF(F158="","",XLOOKUP(F158,Productos!E:E,Productos!G:G,"",0,1))</f>
        <v/>
      </c>
      <c r="C158" s="2" t="str">
        <f>IF(A158="","",SUMIFS('Validaciones Cotizador'!B:B,'Validaciones Cotizador'!C:C,D158,'Validaciones Cotizador'!A:A,A158))</f>
        <v/>
      </c>
      <c r="D158" s="4" t="str">
        <f>IFERROR(__xludf.DUMMYFUNCTION("IF(OR(F157=""Finalizar"",F157="""",F157=""Selecciona..""),"""",IF(OR(F157=""-"",INDEX(filter(Familias!F:F,Familias!D:D=A157,Familias!E:E=C157),1)=""O""),D157+1,D157))"),"")</f>
        <v/>
      </c>
      <c r="E158" s="2" t="str">
        <f>IF(OR(F158="",F158="Selecciona.."),"",IF(D158="Implemento",SUMIF(Implementos!B:B,F158,Implementos!A:A),SUMIF(Productos!E:E,F158,Productos!A:A)))</f>
        <v/>
      </c>
      <c r="F158" s="2" t="str">
        <f t="shared" si="2"/>
        <v/>
      </c>
      <c r="G158" s="10" t="str">
        <f t="array" ref="G158">IF(OR(F158="",F158="-",F158="Selecciona..",F158="Finalizar"),"",IF(A158="Rodados",XLOOKUP(B158,'Validaciones Cotizador'!I:I,'Validaciones Cotizador'!J:J,0,0,1),1))</f>
        <v/>
      </c>
      <c r="H158" s="11" t="str">
        <f>IF(OR(F158="",F158="Selecciona.."),"",SUMIF(Precio_Productos!K:K,E158,Precio_Productos!J:J)*G158)</f>
        <v/>
      </c>
      <c r="I158" s="4" t="str">
        <f t="array" ref="I158">IF($E158="","", XLOOKUP(SUMIFS(Prod_Prop!$A:$A,Prod_Prop!$B:$B,$E158,Prod_Prop!$H:$H,I$1,Prod_Prop!$I:$I,"Exacto"),Prod_Prop!$A:$A,Prod_Prop!$J:$J,"",0,1))</f>
        <v/>
      </c>
      <c r="J158" s="4" t="str">
        <f t="array" ref="J158">IF($E158="","", XLOOKUP(SUMIFS(Prod_Prop!$A:$A,Prod_Prop!$B:$B,$E158,Prod_Prop!$H:$H,J$1,Prod_Prop!$I:$I,"Exacto"),Prod_Prop!$A:$A,Prod_Prop!$J:$J,"",0,1))</f>
        <v/>
      </c>
      <c r="K158" s="4" t="str">
        <f t="array" ref="K158">IF($E158="","", XLOOKUP(SUMIFS(Prod_Prop!$A:$A,Prod_Prop!$B:$B,$E158,Prod_Prop!$H:$H,K$1,Prod_Prop!$I:$I,"Exacto"),Prod_Prop!$A:$A,Prod_Prop!$J:$J,"",0,1))</f>
        <v/>
      </c>
      <c r="L158" s="4" t="str">
        <f t="array" ref="L158">IF($E158="","", XLOOKUP(SUMIFS(Prod_Prop!$A:$A,Prod_Prop!$B:$B,$E158,Prod_Prop!$H:$H,L$1,Prod_Prop!$I:$I,"Exacto"),Prod_Prop!$A:$A,Prod_Prop!$J:$J,"",0,1))</f>
        <v/>
      </c>
      <c r="M158" s="4" t="str">
        <f t="array" ref="M158">IF($E158="","", XLOOKUP(SUMIFS(Prod_Prop!$A:$A,Prod_Prop!$B:$B,$E158,Prod_Prop!$H:$H,M$1,Prod_Prop!$I:$I,"Exacto"),Prod_Prop!$A:$A,Prod_Prop!$J:$J,"",0,1))</f>
        <v/>
      </c>
      <c r="N158" s="4" t="str">
        <f t="array" ref="N158">IF($E158="","", XLOOKUP(SUMIFS(Prod_Prop!$A:$A,Prod_Prop!$B:$B,$E158,Prod_Prop!$H:$H,N$1,Prod_Prop!$I:$I,"Exacto"),Prod_Prop!$A:$A,Prod_Prop!$J:$J,"",0,1))</f>
        <v/>
      </c>
      <c r="O158" s="4" t="str">
        <f t="array" ref="O158">IF($E158="","", XLOOKUP(SUMIFS(Prod_Prop!$A:$A,Prod_Prop!$B:$B,$E158,Prod_Prop!$H:$H,O$1,Prod_Prop!$I:$I,"Exacto"),Prod_Prop!$A:$A,Prod_Prop!$J:$J,"",0,1))</f>
        <v/>
      </c>
      <c r="P158" s="4" t="str">
        <f t="array" ref="P158">IF($E158="","", XLOOKUP(SUMIFS(Prod_Prop!$A:$A,Prod_Prop!$B:$B,$E158,Prod_Prop!$H:$H,P$1,Prod_Prop!$I:$I,"Exacto"),Prod_Prop!$A:$A,Prod_Prop!$J:$J,"",0,1))</f>
        <v/>
      </c>
      <c r="Q158" s="4" t="str">
        <f t="array" ref="Q158">IF($E158="","", XLOOKUP(SUMIFS(Prod_Prop!$A:$A,Prod_Prop!$B:$B,$E158,Prod_Prop!$H:$H,Q$1,Prod_Prop!$I:$I,"Exacto"),Prod_Prop!$A:$A,Prod_Prop!$J:$J,"",0,1))</f>
        <v/>
      </c>
      <c r="R158" s="4" t="str">
        <f t="array" ref="R158">IF($E158="","", XLOOKUP(SUMIFS(Prod_Prop!$A:$A,Prod_Prop!$B:$B,$E158,Prod_Prop!$H:$H,R$1,Prod_Prop!$I:$I,"Exacto"),Prod_Prop!$A:$A,Prod_Prop!$J:$J,"",0,1))</f>
        <v/>
      </c>
      <c r="S158" s="4" t="str">
        <f t="array" ref="S158">IF($E158="","", XLOOKUP(SUMIFS(Prod_Prop!$A:$A,Prod_Prop!$B:$B,$E158,Prod_Prop!$H:$H,S$1,Prod_Prop!$I:$I,"Exacto"),Prod_Prop!$A:$A,Prod_Prop!$J:$J,"",0,1))</f>
        <v/>
      </c>
      <c r="T158" s="4" t="str">
        <f t="array" ref="T158">IF($E158="","", XLOOKUP(SUMIFS(Prod_Prop!$A:$A,Prod_Prop!$B:$B,$E158,Prod_Prop!$H:$H,T$1,Prod_Prop!$I:$I,"Exacto"),Prod_Prop!$A:$A,Prod_Prop!$J:$J,"",0,1))</f>
        <v/>
      </c>
      <c r="U158" s="4" t="str">
        <f t="array" ref="U158">IF($E158="","", XLOOKUP(SUMIFS(Prod_Prop!$A:$A,Prod_Prop!$B:$B,$E158,Prod_Prop!$H:$H,U$1,Prod_Prop!$I:$I,"Exacto"),Prod_Prop!$A:$A,Prod_Prop!$J:$J,"",0,1))</f>
        <v/>
      </c>
      <c r="V158" s="4" t="str">
        <f t="array" ref="V158">IF($E158="","", XLOOKUP(SUMIFS(Prod_Prop!$A:$A,Prod_Prop!$B:$B,$E158,Prod_Prop!$H:$H,V$1,Prod_Prop!$I:$I,"Exacto"),Prod_Prop!$A:$A,Prod_Prop!$J:$J,"",0,1))</f>
        <v/>
      </c>
      <c r="X158" s="3" t="str">
        <f>IFERROR(__xludf.DUMMYFUNCTION("IF(D158="""","""",IFERROR(TRANSPOSE(FILTER('Validaciones Cotizador'!U:U,'Validaciones Cotizador'!O:O=D158,'Validaciones Cotizador'!T:T=""x"")),""Finalizar""))"),"")</f>
        <v/>
      </c>
    </row>
    <row r="159">
      <c r="A159" s="2" t="str">
        <f t="array" ref="A159">IF(E159="","",XLOOKUP(D159,'Validaciones Cotizador'!C:C,'Validaciones Cotizador'!A:A,"",0,1))</f>
        <v/>
      </c>
      <c r="B159" s="2" t="str">
        <f t="array" ref="B159">IF(F159="","",XLOOKUP(F159,Productos!E:E,Productos!G:G,"",0,1))</f>
        <v/>
      </c>
      <c r="C159" s="2" t="str">
        <f>IF(A159="","",SUMIFS('Validaciones Cotizador'!B:B,'Validaciones Cotizador'!C:C,D159,'Validaciones Cotizador'!A:A,A159))</f>
        <v/>
      </c>
      <c r="D159" s="4" t="str">
        <f>IFERROR(__xludf.DUMMYFUNCTION("IF(OR(F158=""Finalizar"",F158="""",F158=""Selecciona..""),"""",IF(OR(F158=""-"",INDEX(filter(Familias!F:F,Familias!D:D=A158,Familias!E:E=C158),1)=""O""),D158+1,D158))"),"")</f>
        <v/>
      </c>
      <c r="E159" s="2" t="str">
        <f>IF(OR(F159="",F159="Selecciona.."),"",IF(D159="Implemento",SUMIF(Implementos!B:B,F159,Implementos!A:A),SUMIF(Productos!E:E,F159,Productos!A:A)))</f>
        <v/>
      </c>
      <c r="F159" s="2" t="str">
        <f t="shared" si="2"/>
        <v/>
      </c>
      <c r="G159" s="10" t="str">
        <f t="array" ref="G159">IF(OR(F159="",F159="-",F159="Selecciona..",F159="Finalizar"),"",IF(A159="Rodados",XLOOKUP(B159,'Validaciones Cotizador'!I:I,'Validaciones Cotizador'!J:J,0,0,1),1))</f>
        <v/>
      </c>
      <c r="H159" s="11" t="str">
        <f>IF(OR(F159="",F159="Selecciona.."),"",SUMIF(Precio_Productos!K:K,E159,Precio_Productos!J:J)*G159)</f>
        <v/>
      </c>
      <c r="I159" s="4" t="str">
        <f t="array" ref="I159">IF($E159="","", XLOOKUP(SUMIFS(Prod_Prop!$A:$A,Prod_Prop!$B:$B,$E159,Prod_Prop!$H:$H,I$1,Prod_Prop!$I:$I,"Exacto"),Prod_Prop!$A:$A,Prod_Prop!$J:$J,"",0,1))</f>
        <v/>
      </c>
      <c r="J159" s="4" t="str">
        <f t="array" ref="J159">IF($E159="","", XLOOKUP(SUMIFS(Prod_Prop!$A:$A,Prod_Prop!$B:$B,$E159,Prod_Prop!$H:$H,J$1,Prod_Prop!$I:$I,"Exacto"),Prod_Prop!$A:$A,Prod_Prop!$J:$J,"",0,1))</f>
        <v/>
      </c>
      <c r="K159" s="4" t="str">
        <f t="array" ref="K159">IF($E159="","", XLOOKUP(SUMIFS(Prod_Prop!$A:$A,Prod_Prop!$B:$B,$E159,Prod_Prop!$H:$H,K$1,Prod_Prop!$I:$I,"Exacto"),Prod_Prop!$A:$A,Prod_Prop!$J:$J,"",0,1))</f>
        <v/>
      </c>
      <c r="L159" s="4" t="str">
        <f t="array" ref="L159">IF($E159="","", XLOOKUP(SUMIFS(Prod_Prop!$A:$A,Prod_Prop!$B:$B,$E159,Prod_Prop!$H:$H,L$1,Prod_Prop!$I:$I,"Exacto"),Prod_Prop!$A:$A,Prod_Prop!$J:$J,"",0,1))</f>
        <v/>
      </c>
      <c r="M159" s="4" t="str">
        <f t="array" ref="M159">IF($E159="","", XLOOKUP(SUMIFS(Prod_Prop!$A:$A,Prod_Prop!$B:$B,$E159,Prod_Prop!$H:$H,M$1,Prod_Prop!$I:$I,"Exacto"),Prod_Prop!$A:$A,Prod_Prop!$J:$J,"",0,1))</f>
        <v/>
      </c>
      <c r="N159" s="4" t="str">
        <f t="array" ref="N159">IF($E159="","", XLOOKUP(SUMIFS(Prod_Prop!$A:$A,Prod_Prop!$B:$B,$E159,Prod_Prop!$H:$H,N$1,Prod_Prop!$I:$I,"Exacto"),Prod_Prop!$A:$A,Prod_Prop!$J:$J,"",0,1))</f>
        <v/>
      </c>
      <c r="O159" s="4" t="str">
        <f t="array" ref="O159">IF($E159="","", XLOOKUP(SUMIFS(Prod_Prop!$A:$A,Prod_Prop!$B:$B,$E159,Prod_Prop!$H:$H,O$1,Prod_Prop!$I:$I,"Exacto"),Prod_Prop!$A:$A,Prod_Prop!$J:$J,"",0,1))</f>
        <v/>
      </c>
      <c r="P159" s="4" t="str">
        <f t="array" ref="P159">IF($E159="","", XLOOKUP(SUMIFS(Prod_Prop!$A:$A,Prod_Prop!$B:$B,$E159,Prod_Prop!$H:$H,P$1,Prod_Prop!$I:$I,"Exacto"),Prod_Prop!$A:$A,Prod_Prop!$J:$J,"",0,1))</f>
        <v/>
      </c>
      <c r="Q159" s="4" t="str">
        <f t="array" ref="Q159">IF($E159="","", XLOOKUP(SUMIFS(Prod_Prop!$A:$A,Prod_Prop!$B:$B,$E159,Prod_Prop!$H:$H,Q$1,Prod_Prop!$I:$I,"Exacto"),Prod_Prop!$A:$A,Prod_Prop!$J:$J,"",0,1))</f>
        <v/>
      </c>
      <c r="R159" s="4" t="str">
        <f t="array" ref="R159">IF($E159="","", XLOOKUP(SUMIFS(Prod_Prop!$A:$A,Prod_Prop!$B:$B,$E159,Prod_Prop!$H:$H,R$1,Prod_Prop!$I:$I,"Exacto"),Prod_Prop!$A:$A,Prod_Prop!$J:$J,"",0,1))</f>
        <v/>
      </c>
      <c r="S159" s="4" t="str">
        <f t="array" ref="S159">IF($E159="","", XLOOKUP(SUMIFS(Prod_Prop!$A:$A,Prod_Prop!$B:$B,$E159,Prod_Prop!$H:$H,S$1,Prod_Prop!$I:$I,"Exacto"),Prod_Prop!$A:$A,Prod_Prop!$J:$J,"",0,1))</f>
        <v/>
      </c>
      <c r="T159" s="4" t="str">
        <f t="array" ref="T159">IF($E159="","", XLOOKUP(SUMIFS(Prod_Prop!$A:$A,Prod_Prop!$B:$B,$E159,Prod_Prop!$H:$H,T$1,Prod_Prop!$I:$I,"Exacto"),Prod_Prop!$A:$A,Prod_Prop!$J:$J,"",0,1))</f>
        <v/>
      </c>
      <c r="U159" s="4" t="str">
        <f t="array" ref="U159">IF($E159="","", XLOOKUP(SUMIFS(Prod_Prop!$A:$A,Prod_Prop!$B:$B,$E159,Prod_Prop!$H:$H,U$1,Prod_Prop!$I:$I,"Exacto"),Prod_Prop!$A:$A,Prod_Prop!$J:$J,"",0,1))</f>
        <v/>
      </c>
      <c r="V159" s="4" t="str">
        <f t="array" ref="V159">IF($E159="","", XLOOKUP(SUMIFS(Prod_Prop!$A:$A,Prod_Prop!$B:$B,$E159,Prod_Prop!$H:$H,V$1,Prod_Prop!$I:$I,"Exacto"),Prod_Prop!$A:$A,Prod_Prop!$J:$J,"",0,1))</f>
        <v/>
      </c>
      <c r="X159" s="3" t="str">
        <f>IFERROR(__xludf.DUMMYFUNCTION("IF(D159="""","""",IFERROR(TRANSPOSE(FILTER('Validaciones Cotizador'!U:U,'Validaciones Cotizador'!O:O=D159,'Validaciones Cotizador'!T:T=""x"")),""Finalizar""))"),"")</f>
        <v/>
      </c>
    </row>
    <row r="160">
      <c r="A160" s="2" t="str">
        <f t="array" ref="A160">IF(E160="","",XLOOKUP(D160,'Validaciones Cotizador'!C:C,'Validaciones Cotizador'!A:A,"",0,1))</f>
        <v/>
      </c>
      <c r="B160" s="2" t="str">
        <f t="array" ref="B160">IF(F160="","",XLOOKUP(F160,Productos!E:E,Productos!G:G,"",0,1))</f>
        <v/>
      </c>
      <c r="C160" s="2" t="str">
        <f>IF(A160="","",SUMIFS('Validaciones Cotizador'!B:B,'Validaciones Cotizador'!C:C,D160,'Validaciones Cotizador'!A:A,A160))</f>
        <v/>
      </c>
      <c r="D160" s="4" t="str">
        <f>IFERROR(__xludf.DUMMYFUNCTION("IF(OR(F159=""Finalizar"",F159="""",F159=""Selecciona..""),"""",IF(OR(F159=""-"",INDEX(filter(Familias!F:F,Familias!D:D=A159,Familias!E:E=C159),1)=""O""),D159+1,D159))"),"")</f>
        <v/>
      </c>
      <c r="E160" s="2" t="str">
        <f>IF(OR(F160="",F160="Selecciona.."),"",IF(D160="Implemento",SUMIF(Implementos!B:B,F160,Implementos!A:A),SUMIF(Productos!E:E,F160,Productos!A:A)))</f>
        <v/>
      </c>
      <c r="F160" s="2" t="str">
        <f t="shared" si="2"/>
        <v/>
      </c>
      <c r="G160" s="10" t="str">
        <f t="array" ref="G160">IF(OR(F160="",F160="-",F160="Selecciona..",F160="Finalizar"),"",IF(A160="Rodados",XLOOKUP(B160,'Validaciones Cotizador'!I:I,'Validaciones Cotizador'!J:J,0,0,1),1))</f>
        <v/>
      </c>
      <c r="H160" s="11" t="str">
        <f>IF(OR(F160="",F160="Selecciona.."),"",SUMIF(Precio_Productos!K:K,E160,Precio_Productos!J:J)*G160)</f>
        <v/>
      </c>
      <c r="I160" s="4" t="str">
        <f t="array" ref="I160">IF($E160="","", XLOOKUP(SUMIFS(Prod_Prop!$A:$A,Prod_Prop!$B:$B,$E160,Prod_Prop!$H:$H,I$1,Prod_Prop!$I:$I,"Exacto"),Prod_Prop!$A:$A,Prod_Prop!$J:$J,"",0,1))</f>
        <v/>
      </c>
      <c r="J160" s="4" t="str">
        <f t="array" ref="J160">IF($E160="","", XLOOKUP(SUMIFS(Prod_Prop!$A:$A,Prod_Prop!$B:$B,$E160,Prod_Prop!$H:$H,J$1,Prod_Prop!$I:$I,"Exacto"),Prod_Prop!$A:$A,Prod_Prop!$J:$J,"",0,1))</f>
        <v/>
      </c>
      <c r="K160" s="4" t="str">
        <f t="array" ref="K160">IF($E160="","", XLOOKUP(SUMIFS(Prod_Prop!$A:$A,Prod_Prop!$B:$B,$E160,Prod_Prop!$H:$H,K$1,Prod_Prop!$I:$I,"Exacto"),Prod_Prop!$A:$A,Prod_Prop!$J:$J,"",0,1))</f>
        <v/>
      </c>
      <c r="L160" s="4" t="str">
        <f t="array" ref="L160">IF($E160="","", XLOOKUP(SUMIFS(Prod_Prop!$A:$A,Prod_Prop!$B:$B,$E160,Prod_Prop!$H:$H,L$1,Prod_Prop!$I:$I,"Exacto"),Prod_Prop!$A:$A,Prod_Prop!$J:$J,"",0,1))</f>
        <v/>
      </c>
      <c r="M160" s="4" t="str">
        <f t="array" ref="M160">IF($E160="","", XLOOKUP(SUMIFS(Prod_Prop!$A:$A,Prod_Prop!$B:$B,$E160,Prod_Prop!$H:$H,M$1,Prod_Prop!$I:$I,"Exacto"),Prod_Prop!$A:$A,Prod_Prop!$J:$J,"",0,1))</f>
        <v/>
      </c>
      <c r="N160" s="4" t="str">
        <f t="array" ref="N160">IF($E160="","", XLOOKUP(SUMIFS(Prod_Prop!$A:$A,Prod_Prop!$B:$B,$E160,Prod_Prop!$H:$H,N$1,Prod_Prop!$I:$I,"Exacto"),Prod_Prop!$A:$A,Prod_Prop!$J:$J,"",0,1))</f>
        <v/>
      </c>
      <c r="O160" s="4" t="str">
        <f t="array" ref="O160">IF($E160="","", XLOOKUP(SUMIFS(Prod_Prop!$A:$A,Prod_Prop!$B:$B,$E160,Prod_Prop!$H:$H,O$1,Prod_Prop!$I:$I,"Exacto"),Prod_Prop!$A:$A,Prod_Prop!$J:$J,"",0,1))</f>
        <v/>
      </c>
      <c r="P160" s="4" t="str">
        <f t="array" ref="P160">IF($E160="","", XLOOKUP(SUMIFS(Prod_Prop!$A:$A,Prod_Prop!$B:$B,$E160,Prod_Prop!$H:$H,P$1,Prod_Prop!$I:$I,"Exacto"),Prod_Prop!$A:$A,Prod_Prop!$J:$J,"",0,1))</f>
        <v/>
      </c>
      <c r="Q160" s="4" t="str">
        <f t="array" ref="Q160">IF($E160="","", XLOOKUP(SUMIFS(Prod_Prop!$A:$A,Prod_Prop!$B:$B,$E160,Prod_Prop!$H:$H,Q$1,Prod_Prop!$I:$I,"Exacto"),Prod_Prop!$A:$A,Prod_Prop!$J:$J,"",0,1))</f>
        <v/>
      </c>
      <c r="R160" s="4" t="str">
        <f t="array" ref="R160">IF($E160="","", XLOOKUP(SUMIFS(Prod_Prop!$A:$A,Prod_Prop!$B:$B,$E160,Prod_Prop!$H:$H,R$1,Prod_Prop!$I:$I,"Exacto"),Prod_Prop!$A:$A,Prod_Prop!$J:$J,"",0,1))</f>
        <v/>
      </c>
      <c r="S160" s="4" t="str">
        <f t="array" ref="S160">IF($E160="","", XLOOKUP(SUMIFS(Prod_Prop!$A:$A,Prod_Prop!$B:$B,$E160,Prod_Prop!$H:$H,S$1,Prod_Prop!$I:$I,"Exacto"),Prod_Prop!$A:$A,Prod_Prop!$J:$J,"",0,1))</f>
        <v/>
      </c>
      <c r="T160" s="4" t="str">
        <f t="array" ref="T160">IF($E160="","", XLOOKUP(SUMIFS(Prod_Prop!$A:$A,Prod_Prop!$B:$B,$E160,Prod_Prop!$H:$H,T$1,Prod_Prop!$I:$I,"Exacto"),Prod_Prop!$A:$A,Prod_Prop!$J:$J,"",0,1))</f>
        <v/>
      </c>
      <c r="U160" s="4" t="str">
        <f t="array" ref="U160">IF($E160="","", XLOOKUP(SUMIFS(Prod_Prop!$A:$A,Prod_Prop!$B:$B,$E160,Prod_Prop!$H:$H,U$1,Prod_Prop!$I:$I,"Exacto"),Prod_Prop!$A:$A,Prod_Prop!$J:$J,"",0,1))</f>
        <v/>
      </c>
      <c r="V160" s="4" t="str">
        <f t="array" ref="V160">IF($E160="","", XLOOKUP(SUMIFS(Prod_Prop!$A:$A,Prod_Prop!$B:$B,$E160,Prod_Prop!$H:$H,V$1,Prod_Prop!$I:$I,"Exacto"),Prod_Prop!$A:$A,Prod_Prop!$J:$J,"",0,1))</f>
        <v/>
      </c>
      <c r="X160" s="3" t="str">
        <f>IFERROR(__xludf.DUMMYFUNCTION("IF(D160="""","""",IFERROR(TRANSPOSE(FILTER('Validaciones Cotizador'!U:U,'Validaciones Cotizador'!O:O=D160,'Validaciones Cotizador'!T:T=""x"")),""Finalizar""))"),"")</f>
        <v/>
      </c>
    </row>
    <row r="161">
      <c r="A161" s="2" t="str">
        <f t="array" ref="A161">IF(E161="","",XLOOKUP(D161,'Validaciones Cotizador'!C:C,'Validaciones Cotizador'!A:A,"",0,1))</f>
        <v/>
      </c>
      <c r="B161" s="2" t="str">
        <f t="array" ref="B161">IF(F161="","",XLOOKUP(F161,Productos!E:E,Productos!G:G,"",0,1))</f>
        <v/>
      </c>
      <c r="C161" s="2" t="str">
        <f>IF(A161="","",SUMIFS('Validaciones Cotizador'!B:B,'Validaciones Cotizador'!C:C,D161,'Validaciones Cotizador'!A:A,A161))</f>
        <v/>
      </c>
      <c r="D161" s="4" t="str">
        <f>IFERROR(__xludf.DUMMYFUNCTION("IF(OR(F160=""Finalizar"",F160="""",F160=""Selecciona..""),"""",IF(OR(F160=""-"",INDEX(filter(Familias!F:F,Familias!D:D=A160,Familias!E:E=C160),1)=""O""),D160+1,D160))"),"")</f>
        <v/>
      </c>
      <c r="E161" s="2" t="str">
        <f>IF(OR(F161="",F161="Selecciona.."),"",IF(D161="Implemento",SUMIF(Implementos!B:B,F161,Implementos!A:A),SUMIF(Productos!E:E,F161,Productos!A:A)))</f>
        <v/>
      </c>
      <c r="F161" s="2" t="str">
        <f t="shared" si="2"/>
        <v/>
      </c>
      <c r="G161" s="10" t="str">
        <f t="array" ref="G161">IF(OR(F161="",F161="-",F161="Selecciona..",F161="Finalizar"),"",IF(A161="Rodados",XLOOKUP(B161,'Validaciones Cotizador'!I:I,'Validaciones Cotizador'!J:J,0,0,1),1))</f>
        <v/>
      </c>
      <c r="H161" s="11" t="str">
        <f>IF(OR(F161="",F161="Selecciona.."),"",SUMIF(Precio_Productos!K:K,E161,Precio_Productos!J:J)*G161)</f>
        <v/>
      </c>
      <c r="I161" s="4" t="str">
        <f t="array" ref="I161">IF($E161="","", XLOOKUP(SUMIFS(Prod_Prop!$A:$A,Prod_Prop!$B:$B,$E161,Prod_Prop!$H:$H,I$1,Prod_Prop!$I:$I,"Exacto"),Prod_Prop!$A:$A,Prod_Prop!$J:$J,"",0,1))</f>
        <v/>
      </c>
      <c r="J161" s="4" t="str">
        <f t="array" ref="J161">IF($E161="","", XLOOKUP(SUMIFS(Prod_Prop!$A:$A,Prod_Prop!$B:$B,$E161,Prod_Prop!$H:$H,J$1,Prod_Prop!$I:$I,"Exacto"),Prod_Prop!$A:$A,Prod_Prop!$J:$J,"",0,1))</f>
        <v/>
      </c>
      <c r="K161" s="4" t="str">
        <f t="array" ref="K161">IF($E161="","", XLOOKUP(SUMIFS(Prod_Prop!$A:$A,Prod_Prop!$B:$B,$E161,Prod_Prop!$H:$H,K$1,Prod_Prop!$I:$I,"Exacto"),Prod_Prop!$A:$A,Prod_Prop!$J:$J,"",0,1))</f>
        <v/>
      </c>
      <c r="L161" s="4" t="str">
        <f t="array" ref="L161">IF($E161="","", XLOOKUP(SUMIFS(Prod_Prop!$A:$A,Prod_Prop!$B:$B,$E161,Prod_Prop!$H:$H,L$1,Prod_Prop!$I:$I,"Exacto"),Prod_Prop!$A:$A,Prod_Prop!$J:$J,"",0,1))</f>
        <v/>
      </c>
      <c r="M161" s="4" t="str">
        <f t="array" ref="M161">IF($E161="","", XLOOKUP(SUMIFS(Prod_Prop!$A:$A,Prod_Prop!$B:$B,$E161,Prod_Prop!$H:$H,M$1,Prod_Prop!$I:$I,"Exacto"),Prod_Prop!$A:$A,Prod_Prop!$J:$J,"",0,1))</f>
        <v/>
      </c>
      <c r="N161" s="4" t="str">
        <f t="array" ref="N161">IF($E161="","", XLOOKUP(SUMIFS(Prod_Prop!$A:$A,Prod_Prop!$B:$B,$E161,Prod_Prop!$H:$H,N$1,Prod_Prop!$I:$I,"Exacto"),Prod_Prop!$A:$A,Prod_Prop!$J:$J,"",0,1))</f>
        <v/>
      </c>
      <c r="O161" s="4" t="str">
        <f t="array" ref="O161">IF($E161="","", XLOOKUP(SUMIFS(Prod_Prop!$A:$A,Prod_Prop!$B:$B,$E161,Prod_Prop!$H:$H,O$1,Prod_Prop!$I:$I,"Exacto"),Prod_Prop!$A:$A,Prod_Prop!$J:$J,"",0,1))</f>
        <v/>
      </c>
      <c r="P161" s="4" t="str">
        <f t="array" ref="P161">IF($E161="","", XLOOKUP(SUMIFS(Prod_Prop!$A:$A,Prod_Prop!$B:$B,$E161,Prod_Prop!$H:$H,P$1,Prod_Prop!$I:$I,"Exacto"),Prod_Prop!$A:$A,Prod_Prop!$J:$J,"",0,1))</f>
        <v/>
      </c>
      <c r="Q161" s="4" t="str">
        <f t="array" ref="Q161">IF($E161="","", XLOOKUP(SUMIFS(Prod_Prop!$A:$A,Prod_Prop!$B:$B,$E161,Prod_Prop!$H:$H,Q$1,Prod_Prop!$I:$I,"Exacto"),Prod_Prop!$A:$A,Prod_Prop!$J:$J,"",0,1))</f>
        <v/>
      </c>
      <c r="R161" s="4" t="str">
        <f t="array" ref="R161">IF($E161="","", XLOOKUP(SUMIFS(Prod_Prop!$A:$A,Prod_Prop!$B:$B,$E161,Prod_Prop!$H:$H,R$1,Prod_Prop!$I:$I,"Exacto"),Prod_Prop!$A:$A,Prod_Prop!$J:$J,"",0,1))</f>
        <v/>
      </c>
      <c r="S161" s="4" t="str">
        <f t="array" ref="S161">IF($E161="","", XLOOKUP(SUMIFS(Prod_Prop!$A:$A,Prod_Prop!$B:$B,$E161,Prod_Prop!$H:$H,S$1,Prod_Prop!$I:$I,"Exacto"),Prod_Prop!$A:$A,Prod_Prop!$J:$J,"",0,1))</f>
        <v/>
      </c>
      <c r="T161" s="4" t="str">
        <f t="array" ref="T161">IF($E161="","", XLOOKUP(SUMIFS(Prod_Prop!$A:$A,Prod_Prop!$B:$B,$E161,Prod_Prop!$H:$H,T$1,Prod_Prop!$I:$I,"Exacto"),Prod_Prop!$A:$A,Prod_Prop!$J:$J,"",0,1))</f>
        <v/>
      </c>
      <c r="U161" s="4" t="str">
        <f t="array" ref="U161">IF($E161="","", XLOOKUP(SUMIFS(Prod_Prop!$A:$A,Prod_Prop!$B:$B,$E161,Prod_Prop!$H:$H,U$1,Prod_Prop!$I:$I,"Exacto"),Prod_Prop!$A:$A,Prod_Prop!$J:$J,"",0,1))</f>
        <v/>
      </c>
      <c r="V161" s="4" t="str">
        <f t="array" ref="V161">IF($E161="","", XLOOKUP(SUMIFS(Prod_Prop!$A:$A,Prod_Prop!$B:$B,$E161,Prod_Prop!$H:$H,V$1,Prod_Prop!$I:$I,"Exacto"),Prod_Prop!$A:$A,Prod_Prop!$J:$J,"",0,1))</f>
        <v/>
      </c>
      <c r="X161" s="3" t="str">
        <f>IFERROR(__xludf.DUMMYFUNCTION("IF(D161="""","""",IFERROR(TRANSPOSE(FILTER('Validaciones Cotizador'!U:U,'Validaciones Cotizador'!O:O=D161,'Validaciones Cotizador'!T:T=""x"")),""Finalizar""))"),"")</f>
        <v/>
      </c>
    </row>
    <row r="162">
      <c r="A162" s="2" t="str">
        <f t="array" ref="A162">IF(E162="","",XLOOKUP(D162,'Validaciones Cotizador'!C:C,'Validaciones Cotizador'!A:A,"",0,1))</f>
        <v/>
      </c>
      <c r="B162" s="2" t="str">
        <f t="array" ref="B162">IF(F162="","",XLOOKUP(F162,Productos!E:E,Productos!G:G,"",0,1))</f>
        <v/>
      </c>
      <c r="C162" s="2" t="str">
        <f>IF(A162="","",SUMIFS('Validaciones Cotizador'!B:B,'Validaciones Cotizador'!C:C,D162,'Validaciones Cotizador'!A:A,A162))</f>
        <v/>
      </c>
      <c r="D162" s="4" t="str">
        <f>IFERROR(__xludf.DUMMYFUNCTION("IF(OR(F161=""Finalizar"",F161="""",F161=""Selecciona..""),"""",IF(OR(F161=""-"",INDEX(filter(Familias!F:F,Familias!D:D=A161,Familias!E:E=C161),1)=""O""),D161+1,D161))"),"")</f>
        <v/>
      </c>
      <c r="E162" s="2" t="str">
        <f>IF(OR(F162="",F162="Selecciona.."),"",IF(D162="Implemento",SUMIF(Implementos!B:B,F162,Implementos!A:A),SUMIF(Productos!E:E,F162,Productos!A:A)))</f>
        <v/>
      </c>
      <c r="F162" s="2" t="str">
        <f t="shared" si="2"/>
        <v/>
      </c>
      <c r="G162" s="10" t="str">
        <f t="array" ref="G162">IF(OR(F162="",F162="-",F162="Selecciona..",F162="Finalizar"),"",IF(A162="Rodados",XLOOKUP(B162,'Validaciones Cotizador'!I:I,'Validaciones Cotizador'!J:J,0,0,1),1))</f>
        <v/>
      </c>
      <c r="H162" s="11" t="str">
        <f>IF(OR(F162="",F162="Selecciona.."),"",SUMIF(Precio_Productos!K:K,E162,Precio_Productos!J:J)*G162)</f>
        <v/>
      </c>
      <c r="I162" s="4" t="str">
        <f t="array" ref="I162">IF($E162="","", XLOOKUP(SUMIFS(Prod_Prop!$A:$A,Prod_Prop!$B:$B,$E162,Prod_Prop!$H:$H,I$1,Prod_Prop!$I:$I,"Exacto"),Prod_Prop!$A:$A,Prod_Prop!$J:$J,"",0,1))</f>
        <v/>
      </c>
      <c r="J162" s="4" t="str">
        <f t="array" ref="J162">IF($E162="","", XLOOKUP(SUMIFS(Prod_Prop!$A:$A,Prod_Prop!$B:$B,$E162,Prod_Prop!$H:$H,J$1,Prod_Prop!$I:$I,"Exacto"),Prod_Prop!$A:$A,Prod_Prop!$J:$J,"",0,1))</f>
        <v/>
      </c>
      <c r="K162" s="4" t="str">
        <f t="array" ref="K162">IF($E162="","", XLOOKUP(SUMIFS(Prod_Prop!$A:$A,Prod_Prop!$B:$B,$E162,Prod_Prop!$H:$H,K$1,Prod_Prop!$I:$I,"Exacto"),Prod_Prop!$A:$A,Prod_Prop!$J:$J,"",0,1))</f>
        <v/>
      </c>
      <c r="L162" s="4" t="str">
        <f t="array" ref="L162">IF($E162="","", XLOOKUP(SUMIFS(Prod_Prop!$A:$A,Prod_Prop!$B:$B,$E162,Prod_Prop!$H:$H,L$1,Prod_Prop!$I:$I,"Exacto"),Prod_Prop!$A:$A,Prod_Prop!$J:$J,"",0,1))</f>
        <v/>
      </c>
      <c r="M162" s="4" t="str">
        <f t="array" ref="M162">IF($E162="","", XLOOKUP(SUMIFS(Prod_Prop!$A:$A,Prod_Prop!$B:$B,$E162,Prod_Prop!$H:$H,M$1,Prod_Prop!$I:$I,"Exacto"),Prod_Prop!$A:$A,Prod_Prop!$J:$J,"",0,1))</f>
        <v/>
      </c>
      <c r="N162" s="4" t="str">
        <f t="array" ref="N162">IF($E162="","", XLOOKUP(SUMIFS(Prod_Prop!$A:$A,Prod_Prop!$B:$B,$E162,Prod_Prop!$H:$H,N$1,Prod_Prop!$I:$I,"Exacto"),Prod_Prop!$A:$A,Prod_Prop!$J:$J,"",0,1))</f>
        <v/>
      </c>
      <c r="O162" s="4" t="str">
        <f t="array" ref="O162">IF($E162="","", XLOOKUP(SUMIFS(Prod_Prop!$A:$A,Prod_Prop!$B:$B,$E162,Prod_Prop!$H:$H,O$1,Prod_Prop!$I:$I,"Exacto"),Prod_Prop!$A:$A,Prod_Prop!$J:$J,"",0,1))</f>
        <v/>
      </c>
      <c r="P162" s="4" t="str">
        <f t="array" ref="P162">IF($E162="","", XLOOKUP(SUMIFS(Prod_Prop!$A:$A,Prod_Prop!$B:$B,$E162,Prod_Prop!$H:$H,P$1,Prod_Prop!$I:$I,"Exacto"),Prod_Prop!$A:$A,Prod_Prop!$J:$J,"",0,1))</f>
        <v/>
      </c>
      <c r="Q162" s="4" t="str">
        <f t="array" ref="Q162">IF($E162="","", XLOOKUP(SUMIFS(Prod_Prop!$A:$A,Prod_Prop!$B:$B,$E162,Prod_Prop!$H:$H,Q$1,Prod_Prop!$I:$I,"Exacto"),Prod_Prop!$A:$A,Prod_Prop!$J:$J,"",0,1))</f>
        <v/>
      </c>
      <c r="R162" s="4" t="str">
        <f t="array" ref="R162">IF($E162="","", XLOOKUP(SUMIFS(Prod_Prop!$A:$A,Prod_Prop!$B:$B,$E162,Prod_Prop!$H:$H,R$1,Prod_Prop!$I:$I,"Exacto"),Prod_Prop!$A:$A,Prod_Prop!$J:$J,"",0,1))</f>
        <v/>
      </c>
      <c r="S162" s="4" t="str">
        <f t="array" ref="S162">IF($E162="","", XLOOKUP(SUMIFS(Prod_Prop!$A:$A,Prod_Prop!$B:$B,$E162,Prod_Prop!$H:$H,S$1,Prod_Prop!$I:$I,"Exacto"),Prod_Prop!$A:$A,Prod_Prop!$J:$J,"",0,1))</f>
        <v/>
      </c>
      <c r="T162" s="4" t="str">
        <f t="array" ref="T162">IF($E162="","", XLOOKUP(SUMIFS(Prod_Prop!$A:$A,Prod_Prop!$B:$B,$E162,Prod_Prop!$H:$H,T$1,Prod_Prop!$I:$I,"Exacto"),Prod_Prop!$A:$A,Prod_Prop!$J:$J,"",0,1))</f>
        <v/>
      </c>
      <c r="U162" s="4" t="str">
        <f t="array" ref="U162">IF($E162="","", XLOOKUP(SUMIFS(Prod_Prop!$A:$A,Prod_Prop!$B:$B,$E162,Prod_Prop!$H:$H,U$1,Prod_Prop!$I:$I,"Exacto"),Prod_Prop!$A:$A,Prod_Prop!$J:$J,"",0,1))</f>
        <v/>
      </c>
      <c r="V162" s="4" t="str">
        <f t="array" ref="V162">IF($E162="","", XLOOKUP(SUMIFS(Prod_Prop!$A:$A,Prod_Prop!$B:$B,$E162,Prod_Prop!$H:$H,V$1,Prod_Prop!$I:$I,"Exacto"),Prod_Prop!$A:$A,Prod_Prop!$J:$J,"",0,1))</f>
        <v/>
      </c>
      <c r="X162" s="3" t="str">
        <f>IFERROR(__xludf.DUMMYFUNCTION("IF(D162="""","""",IFERROR(TRANSPOSE(FILTER('Validaciones Cotizador'!U:U,'Validaciones Cotizador'!O:O=D162,'Validaciones Cotizador'!T:T=""x"")),""Finalizar""))"),"")</f>
        <v/>
      </c>
    </row>
    <row r="163">
      <c r="A163" s="2" t="str">
        <f t="array" ref="A163">IF(E163="","",XLOOKUP(D163,'Validaciones Cotizador'!C:C,'Validaciones Cotizador'!A:A,"",0,1))</f>
        <v/>
      </c>
      <c r="B163" s="2" t="str">
        <f t="array" ref="B163">IF(F163="","",XLOOKUP(F163,Productos!E:E,Productos!G:G,"",0,1))</f>
        <v/>
      </c>
      <c r="C163" s="2" t="str">
        <f>IF(A163="","",SUMIFS('Validaciones Cotizador'!B:B,'Validaciones Cotizador'!C:C,D163,'Validaciones Cotizador'!A:A,A163))</f>
        <v/>
      </c>
      <c r="D163" s="4" t="str">
        <f>IFERROR(__xludf.DUMMYFUNCTION("IF(OR(F162=""Finalizar"",F162="""",F162=""Selecciona..""),"""",IF(OR(F162=""-"",INDEX(filter(Familias!F:F,Familias!D:D=A162,Familias!E:E=C162),1)=""O""),D162+1,D162))"),"")</f>
        <v/>
      </c>
      <c r="E163" s="2" t="str">
        <f>IF(OR(F163="",F163="Selecciona.."),"",IF(D163="Implemento",SUMIF(Implementos!B:B,F163,Implementos!A:A),SUMIF(Productos!E:E,F163,Productos!A:A)))</f>
        <v/>
      </c>
      <c r="F163" s="2" t="str">
        <f t="shared" si="2"/>
        <v/>
      </c>
      <c r="G163" s="10" t="str">
        <f t="array" ref="G163">IF(OR(F163="",F163="-",F163="Selecciona..",F163="Finalizar"),"",IF(A163="Rodados",XLOOKUP(B163,'Validaciones Cotizador'!I:I,'Validaciones Cotizador'!J:J,0,0,1),1))</f>
        <v/>
      </c>
      <c r="H163" s="11" t="str">
        <f>IF(OR(F163="",F163="Selecciona.."),"",SUMIF(Precio_Productos!K:K,E163,Precio_Productos!J:J)*G163)</f>
        <v/>
      </c>
      <c r="I163" s="4" t="str">
        <f t="array" ref="I163">IF($E163="","", XLOOKUP(SUMIFS(Prod_Prop!$A:$A,Prod_Prop!$B:$B,$E163,Prod_Prop!$H:$H,I$1,Prod_Prop!$I:$I,"Exacto"),Prod_Prop!$A:$A,Prod_Prop!$J:$J,"",0,1))</f>
        <v/>
      </c>
      <c r="J163" s="4" t="str">
        <f t="array" ref="J163">IF($E163="","", XLOOKUP(SUMIFS(Prod_Prop!$A:$A,Prod_Prop!$B:$B,$E163,Prod_Prop!$H:$H,J$1,Prod_Prop!$I:$I,"Exacto"),Prod_Prop!$A:$A,Prod_Prop!$J:$J,"",0,1))</f>
        <v/>
      </c>
      <c r="K163" s="4" t="str">
        <f t="array" ref="K163">IF($E163="","", XLOOKUP(SUMIFS(Prod_Prop!$A:$A,Prod_Prop!$B:$B,$E163,Prod_Prop!$H:$H,K$1,Prod_Prop!$I:$I,"Exacto"),Prod_Prop!$A:$A,Prod_Prop!$J:$J,"",0,1))</f>
        <v/>
      </c>
      <c r="L163" s="4" t="str">
        <f t="array" ref="L163">IF($E163="","", XLOOKUP(SUMIFS(Prod_Prop!$A:$A,Prod_Prop!$B:$B,$E163,Prod_Prop!$H:$H,L$1,Prod_Prop!$I:$I,"Exacto"),Prod_Prop!$A:$A,Prod_Prop!$J:$J,"",0,1))</f>
        <v/>
      </c>
      <c r="M163" s="4" t="str">
        <f t="array" ref="M163">IF($E163="","", XLOOKUP(SUMIFS(Prod_Prop!$A:$A,Prod_Prop!$B:$B,$E163,Prod_Prop!$H:$H,M$1,Prod_Prop!$I:$I,"Exacto"),Prod_Prop!$A:$A,Prod_Prop!$J:$J,"",0,1))</f>
        <v/>
      </c>
      <c r="N163" s="4" t="str">
        <f t="array" ref="N163">IF($E163="","", XLOOKUP(SUMIFS(Prod_Prop!$A:$A,Prod_Prop!$B:$B,$E163,Prod_Prop!$H:$H,N$1,Prod_Prop!$I:$I,"Exacto"),Prod_Prop!$A:$A,Prod_Prop!$J:$J,"",0,1))</f>
        <v/>
      </c>
      <c r="O163" s="4" t="str">
        <f t="array" ref="O163">IF($E163="","", XLOOKUP(SUMIFS(Prod_Prop!$A:$A,Prod_Prop!$B:$B,$E163,Prod_Prop!$H:$H,O$1,Prod_Prop!$I:$I,"Exacto"),Prod_Prop!$A:$A,Prod_Prop!$J:$J,"",0,1))</f>
        <v/>
      </c>
      <c r="P163" s="4" t="str">
        <f t="array" ref="P163">IF($E163="","", XLOOKUP(SUMIFS(Prod_Prop!$A:$A,Prod_Prop!$B:$B,$E163,Prod_Prop!$H:$H,P$1,Prod_Prop!$I:$I,"Exacto"),Prod_Prop!$A:$A,Prod_Prop!$J:$J,"",0,1))</f>
        <v/>
      </c>
      <c r="Q163" s="4" t="str">
        <f t="array" ref="Q163">IF($E163="","", XLOOKUP(SUMIFS(Prod_Prop!$A:$A,Prod_Prop!$B:$B,$E163,Prod_Prop!$H:$H,Q$1,Prod_Prop!$I:$I,"Exacto"),Prod_Prop!$A:$A,Prod_Prop!$J:$J,"",0,1))</f>
        <v/>
      </c>
      <c r="R163" s="4" t="str">
        <f t="array" ref="R163">IF($E163="","", XLOOKUP(SUMIFS(Prod_Prop!$A:$A,Prod_Prop!$B:$B,$E163,Prod_Prop!$H:$H,R$1,Prod_Prop!$I:$I,"Exacto"),Prod_Prop!$A:$A,Prod_Prop!$J:$J,"",0,1))</f>
        <v/>
      </c>
      <c r="S163" s="4" t="str">
        <f t="array" ref="S163">IF($E163="","", XLOOKUP(SUMIFS(Prod_Prop!$A:$A,Prod_Prop!$B:$B,$E163,Prod_Prop!$H:$H,S$1,Prod_Prop!$I:$I,"Exacto"),Prod_Prop!$A:$A,Prod_Prop!$J:$J,"",0,1))</f>
        <v/>
      </c>
      <c r="T163" s="4" t="str">
        <f t="array" ref="T163">IF($E163="","", XLOOKUP(SUMIFS(Prod_Prop!$A:$A,Prod_Prop!$B:$B,$E163,Prod_Prop!$H:$H,T$1,Prod_Prop!$I:$I,"Exacto"),Prod_Prop!$A:$A,Prod_Prop!$J:$J,"",0,1))</f>
        <v/>
      </c>
      <c r="U163" s="4" t="str">
        <f t="array" ref="U163">IF($E163="","", XLOOKUP(SUMIFS(Prod_Prop!$A:$A,Prod_Prop!$B:$B,$E163,Prod_Prop!$H:$H,U$1,Prod_Prop!$I:$I,"Exacto"),Prod_Prop!$A:$A,Prod_Prop!$J:$J,"",0,1))</f>
        <v/>
      </c>
      <c r="V163" s="4" t="str">
        <f t="array" ref="V163">IF($E163="","", XLOOKUP(SUMIFS(Prod_Prop!$A:$A,Prod_Prop!$B:$B,$E163,Prod_Prop!$H:$H,V$1,Prod_Prop!$I:$I,"Exacto"),Prod_Prop!$A:$A,Prod_Prop!$J:$J,"",0,1))</f>
        <v/>
      </c>
      <c r="X163" s="3" t="str">
        <f>IFERROR(__xludf.DUMMYFUNCTION("IF(D163="""","""",IFERROR(TRANSPOSE(FILTER('Validaciones Cotizador'!U:U,'Validaciones Cotizador'!O:O=D163,'Validaciones Cotizador'!T:T=""x"")),""Finalizar""))"),"")</f>
        <v/>
      </c>
    </row>
    <row r="164">
      <c r="A164" s="2" t="str">
        <f t="array" ref="A164">IF(E164="","",XLOOKUP(D164,'Validaciones Cotizador'!C:C,'Validaciones Cotizador'!A:A,"",0,1))</f>
        <v/>
      </c>
      <c r="B164" s="2" t="str">
        <f t="array" ref="B164">IF(F164="","",XLOOKUP(F164,Productos!E:E,Productos!G:G,"",0,1))</f>
        <v/>
      </c>
      <c r="C164" s="2" t="str">
        <f>IF(A164="","",SUMIFS('Validaciones Cotizador'!B:B,'Validaciones Cotizador'!C:C,D164,'Validaciones Cotizador'!A:A,A164))</f>
        <v/>
      </c>
      <c r="D164" s="4" t="str">
        <f>IFERROR(__xludf.DUMMYFUNCTION("IF(OR(F163=""Finalizar"",F163="""",F163=""Selecciona..""),"""",IF(OR(F163=""-"",INDEX(filter(Familias!F:F,Familias!D:D=A163,Familias!E:E=C163),1)=""O""),D163+1,D163))"),"")</f>
        <v/>
      </c>
      <c r="E164" s="2" t="str">
        <f>IF(OR(F164="",F164="Selecciona.."),"",IF(D164="Implemento",SUMIF(Implementos!B:B,F164,Implementos!A:A),SUMIF(Productos!E:E,F164,Productos!A:A)))</f>
        <v/>
      </c>
      <c r="F164" s="2" t="str">
        <f t="shared" si="2"/>
        <v/>
      </c>
      <c r="G164" s="10" t="str">
        <f t="array" ref="G164">IF(OR(F164="",F164="-",F164="Selecciona..",F164="Finalizar"),"",IF(A164="Rodados",XLOOKUP(B164,'Validaciones Cotizador'!I:I,'Validaciones Cotizador'!J:J,0,0,1),1))</f>
        <v/>
      </c>
      <c r="H164" s="11" t="str">
        <f>IF(OR(F164="",F164="Selecciona.."),"",SUMIF(Precio_Productos!K:K,E164,Precio_Productos!J:J)*G164)</f>
        <v/>
      </c>
      <c r="I164" s="4" t="str">
        <f t="array" ref="I164">IF($E164="","", XLOOKUP(SUMIFS(Prod_Prop!$A:$A,Prod_Prop!$B:$B,$E164,Prod_Prop!$H:$H,I$1,Prod_Prop!$I:$I,"Exacto"),Prod_Prop!$A:$A,Prod_Prop!$J:$J,"",0,1))</f>
        <v/>
      </c>
      <c r="J164" s="4" t="str">
        <f t="array" ref="J164">IF($E164="","", XLOOKUP(SUMIFS(Prod_Prop!$A:$A,Prod_Prop!$B:$B,$E164,Prod_Prop!$H:$H,J$1,Prod_Prop!$I:$I,"Exacto"),Prod_Prop!$A:$A,Prod_Prop!$J:$J,"",0,1))</f>
        <v/>
      </c>
      <c r="K164" s="4" t="str">
        <f t="array" ref="K164">IF($E164="","", XLOOKUP(SUMIFS(Prod_Prop!$A:$A,Prod_Prop!$B:$B,$E164,Prod_Prop!$H:$H,K$1,Prod_Prop!$I:$I,"Exacto"),Prod_Prop!$A:$A,Prod_Prop!$J:$J,"",0,1))</f>
        <v/>
      </c>
      <c r="L164" s="4" t="str">
        <f t="array" ref="L164">IF($E164="","", XLOOKUP(SUMIFS(Prod_Prop!$A:$A,Prod_Prop!$B:$B,$E164,Prod_Prop!$H:$H,L$1,Prod_Prop!$I:$I,"Exacto"),Prod_Prop!$A:$A,Prod_Prop!$J:$J,"",0,1))</f>
        <v/>
      </c>
      <c r="M164" s="4" t="str">
        <f t="array" ref="M164">IF($E164="","", XLOOKUP(SUMIFS(Prod_Prop!$A:$A,Prod_Prop!$B:$B,$E164,Prod_Prop!$H:$H,M$1,Prod_Prop!$I:$I,"Exacto"),Prod_Prop!$A:$A,Prod_Prop!$J:$J,"",0,1))</f>
        <v/>
      </c>
      <c r="N164" s="4" t="str">
        <f t="array" ref="N164">IF($E164="","", XLOOKUP(SUMIFS(Prod_Prop!$A:$A,Prod_Prop!$B:$B,$E164,Prod_Prop!$H:$H,N$1,Prod_Prop!$I:$I,"Exacto"),Prod_Prop!$A:$A,Prod_Prop!$J:$J,"",0,1))</f>
        <v/>
      </c>
      <c r="O164" s="4" t="str">
        <f t="array" ref="O164">IF($E164="","", XLOOKUP(SUMIFS(Prod_Prop!$A:$A,Prod_Prop!$B:$B,$E164,Prod_Prop!$H:$H,O$1,Prod_Prop!$I:$I,"Exacto"),Prod_Prop!$A:$A,Prod_Prop!$J:$J,"",0,1))</f>
        <v/>
      </c>
      <c r="P164" s="4" t="str">
        <f t="array" ref="P164">IF($E164="","", XLOOKUP(SUMIFS(Prod_Prop!$A:$A,Prod_Prop!$B:$B,$E164,Prod_Prop!$H:$H,P$1,Prod_Prop!$I:$I,"Exacto"),Prod_Prop!$A:$A,Prod_Prop!$J:$J,"",0,1))</f>
        <v/>
      </c>
      <c r="Q164" s="4" t="str">
        <f t="array" ref="Q164">IF($E164="","", XLOOKUP(SUMIFS(Prod_Prop!$A:$A,Prod_Prop!$B:$B,$E164,Prod_Prop!$H:$H,Q$1,Prod_Prop!$I:$I,"Exacto"),Prod_Prop!$A:$A,Prod_Prop!$J:$J,"",0,1))</f>
        <v/>
      </c>
      <c r="R164" s="4" t="str">
        <f t="array" ref="R164">IF($E164="","", XLOOKUP(SUMIFS(Prod_Prop!$A:$A,Prod_Prop!$B:$B,$E164,Prod_Prop!$H:$H,R$1,Prod_Prop!$I:$I,"Exacto"),Prod_Prop!$A:$A,Prod_Prop!$J:$J,"",0,1))</f>
        <v/>
      </c>
      <c r="S164" s="4" t="str">
        <f t="array" ref="S164">IF($E164="","", XLOOKUP(SUMIFS(Prod_Prop!$A:$A,Prod_Prop!$B:$B,$E164,Prod_Prop!$H:$H,S$1,Prod_Prop!$I:$I,"Exacto"),Prod_Prop!$A:$A,Prod_Prop!$J:$J,"",0,1))</f>
        <v/>
      </c>
      <c r="T164" s="4" t="str">
        <f t="array" ref="T164">IF($E164="","", XLOOKUP(SUMIFS(Prod_Prop!$A:$A,Prod_Prop!$B:$B,$E164,Prod_Prop!$H:$H,T$1,Prod_Prop!$I:$I,"Exacto"),Prod_Prop!$A:$A,Prod_Prop!$J:$J,"",0,1))</f>
        <v/>
      </c>
      <c r="U164" s="4" t="str">
        <f t="array" ref="U164">IF($E164="","", XLOOKUP(SUMIFS(Prod_Prop!$A:$A,Prod_Prop!$B:$B,$E164,Prod_Prop!$H:$H,U$1,Prod_Prop!$I:$I,"Exacto"),Prod_Prop!$A:$A,Prod_Prop!$J:$J,"",0,1))</f>
        <v/>
      </c>
      <c r="V164" s="4" t="str">
        <f t="array" ref="V164">IF($E164="","", XLOOKUP(SUMIFS(Prod_Prop!$A:$A,Prod_Prop!$B:$B,$E164,Prod_Prop!$H:$H,V$1,Prod_Prop!$I:$I,"Exacto"),Prod_Prop!$A:$A,Prod_Prop!$J:$J,"",0,1))</f>
        <v/>
      </c>
      <c r="X164" s="3" t="str">
        <f>IFERROR(__xludf.DUMMYFUNCTION("IF(D164="""","""",IFERROR(TRANSPOSE(FILTER('Validaciones Cotizador'!U:U,'Validaciones Cotizador'!O:O=D164,'Validaciones Cotizador'!T:T=""x"")),""Finalizar""))"),"")</f>
        <v/>
      </c>
    </row>
    <row r="165">
      <c r="A165" s="2" t="str">
        <f t="array" ref="A165">IF(E165="","",XLOOKUP(D165,'Validaciones Cotizador'!C:C,'Validaciones Cotizador'!A:A,"",0,1))</f>
        <v/>
      </c>
      <c r="B165" s="2" t="str">
        <f t="array" ref="B165">IF(F165="","",XLOOKUP(F165,Productos!E:E,Productos!G:G,"",0,1))</f>
        <v/>
      </c>
      <c r="C165" s="2" t="str">
        <f>IF(A165="","",SUMIFS('Validaciones Cotizador'!B:B,'Validaciones Cotizador'!C:C,D165,'Validaciones Cotizador'!A:A,A165))</f>
        <v/>
      </c>
      <c r="D165" s="4" t="str">
        <f>IFERROR(__xludf.DUMMYFUNCTION("IF(OR(F164=""Finalizar"",F164="""",F164=""Selecciona..""),"""",IF(OR(F164=""-"",INDEX(filter(Familias!F:F,Familias!D:D=A164,Familias!E:E=C164),1)=""O""),D164+1,D164))"),"")</f>
        <v/>
      </c>
      <c r="E165" s="2" t="str">
        <f>IF(OR(F165="",F165="Selecciona.."),"",IF(D165="Implemento",SUMIF(Implementos!B:B,F165,Implementos!A:A),SUMIF(Productos!E:E,F165,Productos!A:A)))</f>
        <v/>
      </c>
      <c r="F165" s="2" t="str">
        <f t="shared" si="2"/>
        <v/>
      </c>
      <c r="G165" s="10" t="str">
        <f t="array" ref="G165">IF(OR(F165="",F165="-",F165="Selecciona..",F165="Finalizar"),"",IF(A165="Rodados",XLOOKUP(B165,'Validaciones Cotizador'!I:I,'Validaciones Cotizador'!J:J,0,0,1),1))</f>
        <v/>
      </c>
      <c r="H165" s="11" t="str">
        <f>IF(OR(F165="",F165="Selecciona.."),"",SUMIF(Precio_Productos!K:K,E165,Precio_Productos!J:J)*G165)</f>
        <v/>
      </c>
      <c r="I165" s="4" t="str">
        <f t="array" ref="I165">IF($E165="","", XLOOKUP(SUMIFS(Prod_Prop!$A:$A,Prod_Prop!$B:$B,$E165,Prod_Prop!$H:$H,I$1,Prod_Prop!$I:$I,"Exacto"),Prod_Prop!$A:$A,Prod_Prop!$J:$J,"",0,1))</f>
        <v/>
      </c>
      <c r="J165" s="4" t="str">
        <f t="array" ref="J165">IF($E165="","", XLOOKUP(SUMIFS(Prod_Prop!$A:$A,Prod_Prop!$B:$B,$E165,Prod_Prop!$H:$H,J$1,Prod_Prop!$I:$I,"Exacto"),Prod_Prop!$A:$A,Prod_Prop!$J:$J,"",0,1))</f>
        <v/>
      </c>
      <c r="K165" s="4" t="str">
        <f t="array" ref="K165">IF($E165="","", XLOOKUP(SUMIFS(Prod_Prop!$A:$A,Prod_Prop!$B:$B,$E165,Prod_Prop!$H:$H,K$1,Prod_Prop!$I:$I,"Exacto"),Prod_Prop!$A:$A,Prod_Prop!$J:$J,"",0,1))</f>
        <v/>
      </c>
      <c r="L165" s="4" t="str">
        <f t="array" ref="L165">IF($E165="","", XLOOKUP(SUMIFS(Prod_Prop!$A:$A,Prod_Prop!$B:$B,$E165,Prod_Prop!$H:$H,L$1,Prod_Prop!$I:$I,"Exacto"),Prod_Prop!$A:$A,Prod_Prop!$J:$J,"",0,1))</f>
        <v/>
      </c>
      <c r="M165" s="4" t="str">
        <f t="array" ref="M165">IF($E165="","", XLOOKUP(SUMIFS(Prod_Prop!$A:$A,Prod_Prop!$B:$B,$E165,Prod_Prop!$H:$H,M$1,Prod_Prop!$I:$I,"Exacto"),Prod_Prop!$A:$A,Prod_Prop!$J:$J,"",0,1))</f>
        <v/>
      </c>
      <c r="N165" s="4" t="str">
        <f t="array" ref="N165">IF($E165="","", XLOOKUP(SUMIFS(Prod_Prop!$A:$A,Prod_Prop!$B:$B,$E165,Prod_Prop!$H:$H,N$1,Prod_Prop!$I:$I,"Exacto"),Prod_Prop!$A:$A,Prod_Prop!$J:$J,"",0,1))</f>
        <v/>
      </c>
      <c r="O165" s="4" t="str">
        <f t="array" ref="O165">IF($E165="","", XLOOKUP(SUMIFS(Prod_Prop!$A:$A,Prod_Prop!$B:$B,$E165,Prod_Prop!$H:$H,O$1,Prod_Prop!$I:$I,"Exacto"),Prod_Prop!$A:$A,Prod_Prop!$J:$J,"",0,1))</f>
        <v/>
      </c>
      <c r="P165" s="4" t="str">
        <f t="array" ref="P165">IF($E165="","", XLOOKUP(SUMIFS(Prod_Prop!$A:$A,Prod_Prop!$B:$B,$E165,Prod_Prop!$H:$H,P$1,Prod_Prop!$I:$I,"Exacto"),Prod_Prop!$A:$A,Prod_Prop!$J:$J,"",0,1))</f>
        <v/>
      </c>
      <c r="Q165" s="4" t="str">
        <f t="array" ref="Q165">IF($E165="","", XLOOKUP(SUMIFS(Prod_Prop!$A:$A,Prod_Prop!$B:$B,$E165,Prod_Prop!$H:$H,Q$1,Prod_Prop!$I:$I,"Exacto"),Prod_Prop!$A:$A,Prod_Prop!$J:$J,"",0,1))</f>
        <v/>
      </c>
      <c r="R165" s="4" t="str">
        <f t="array" ref="R165">IF($E165="","", XLOOKUP(SUMIFS(Prod_Prop!$A:$A,Prod_Prop!$B:$B,$E165,Prod_Prop!$H:$H,R$1,Prod_Prop!$I:$I,"Exacto"),Prod_Prop!$A:$A,Prod_Prop!$J:$J,"",0,1))</f>
        <v/>
      </c>
      <c r="S165" s="4" t="str">
        <f t="array" ref="S165">IF($E165="","", XLOOKUP(SUMIFS(Prod_Prop!$A:$A,Prod_Prop!$B:$B,$E165,Prod_Prop!$H:$H,S$1,Prod_Prop!$I:$I,"Exacto"),Prod_Prop!$A:$A,Prod_Prop!$J:$J,"",0,1))</f>
        <v/>
      </c>
      <c r="T165" s="4" t="str">
        <f t="array" ref="T165">IF($E165="","", XLOOKUP(SUMIFS(Prod_Prop!$A:$A,Prod_Prop!$B:$B,$E165,Prod_Prop!$H:$H,T$1,Prod_Prop!$I:$I,"Exacto"),Prod_Prop!$A:$A,Prod_Prop!$J:$J,"",0,1))</f>
        <v/>
      </c>
      <c r="U165" s="4" t="str">
        <f t="array" ref="U165">IF($E165="","", XLOOKUP(SUMIFS(Prod_Prop!$A:$A,Prod_Prop!$B:$B,$E165,Prod_Prop!$H:$H,U$1,Prod_Prop!$I:$I,"Exacto"),Prod_Prop!$A:$A,Prod_Prop!$J:$J,"",0,1))</f>
        <v/>
      </c>
      <c r="V165" s="4" t="str">
        <f t="array" ref="V165">IF($E165="","", XLOOKUP(SUMIFS(Prod_Prop!$A:$A,Prod_Prop!$B:$B,$E165,Prod_Prop!$H:$H,V$1,Prod_Prop!$I:$I,"Exacto"),Prod_Prop!$A:$A,Prod_Prop!$J:$J,"",0,1))</f>
        <v/>
      </c>
      <c r="X165" s="3" t="str">
        <f>IFERROR(__xludf.DUMMYFUNCTION("IF(D165="""","""",IFERROR(TRANSPOSE(FILTER('Validaciones Cotizador'!U:U,'Validaciones Cotizador'!O:O=D165,'Validaciones Cotizador'!T:T=""x"")),""Finalizar""))"),"")</f>
        <v/>
      </c>
    </row>
    <row r="166">
      <c r="A166" s="2" t="str">
        <f t="array" ref="A166">IF(E166="","",XLOOKUP(D166,'Validaciones Cotizador'!C:C,'Validaciones Cotizador'!A:A,"",0,1))</f>
        <v/>
      </c>
      <c r="B166" s="2" t="str">
        <f t="array" ref="B166">IF(F166="","",XLOOKUP(F166,Productos!E:E,Productos!G:G,"",0,1))</f>
        <v/>
      </c>
      <c r="C166" s="2" t="str">
        <f>IF(A166="","",SUMIFS('Validaciones Cotizador'!B:B,'Validaciones Cotizador'!C:C,D166,'Validaciones Cotizador'!A:A,A166))</f>
        <v/>
      </c>
      <c r="D166" s="4" t="str">
        <f>IFERROR(__xludf.DUMMYFUNCTION("IF(OR(F165=""Finalizar"",F165="""",F165=""Selecciona..""),"""",IF(OR(F165=""-"",INDEX(filter(Familias!F:F,Familias!D:D=A165,Familias!E:E=C165),1)=""O""),D165+1,D165))"),"")</f>
        <v/>
      </c>
      <c r="E166" s="2" t="str">
        <f>IF(OR(F166="",F166="Selecciona.."),"",IF(D166="Implemento",SUMIF(Implementos!B:B,F166,Implementos!A:A),SUMIF(Productos!E:E,F166,Productos!A:A)))</f>
        <v/>
      </c>
      <c r="F166" s="2" t="str">
        <f t="shared" si="2"/>
        <v/>
      </c>
      <c r="G166" s="10" t="str">
        <f t="array" ref="G166">IF(OR(F166="",F166="-",F166="Selecciona..",F166="Finalizar"),"",IF(A166="Rodados",XLOOKUP(B166,'Validaciones Cotizador'!I:I,'Validaciones Cotizador'!J:J,0,0,1),1))</f>
        <v/>
      </c>
      <c r="H166" s="11" t="str">
        <f>IF(OR(F166="",F166="Selecciona.."),"",SUMIF(Precio_Productos!K:K,E166,Precio_Productos!J:J)*G166)</f>
        <v/>
      </c>
      <c r="I166" s="4" t="str">
        <f t="array" ref="I166">IF($E166="","", XLOOKUP(SUMIFS(Prod_Prop!$A:$A,Prod_Prop!$B:$B,$E166,Prod_Prop!$H:$H,I$1,Prod_Prop!$I:$I,"Exacto"),Prod_Prop!$A:$A,Prod_Prop!$J:$J,"",0,1))</f>
        <v/>
      </c>
      <c r="J166" s="4" t="str">
        <f t="array" ref="J166">IF($E166="","", XLOOKUP(SUMIFS(Prod_Prop!$A:$A,Prod_Prop!$B:$B,$E166,Prod_Prop!$H:$H,J$1,Prod_Prop!$I:$I,"Exacto"),Prod_Prop!$A:$A,Prod_Prop!$J:$J,"",0,1))</f>
        <v/>
      </c>
      <c r="K166" s="4" t="str">
        <f t="array" ref="K166">IF($E166="","", XLOOKUP(SUMIFS(Prod_Prop!$A:$A,Prod_Prop!$B:$B,$E166,Prod_Prop!$H:$H,K$1,Prod_Prop!$I:$I,"Exacto"),Prod_Prop!$A:$A,Prod_Prop!$J:$J,"",0,1))</f>
        <v/>
      </c>
      <c r="L166" s="4" t="str">
        <f t="array" ref="L166">IF($E166="","", XLOOKUP(SUMIFS(Prod_Prop!$A:$A,Prod_Prop!$B:$B,$E166,Prod_Prop!$H:$H,L$1,Prod_Prop!$I:$I,"Exacto"),Prod_Prop!$A:$A,Prod_Prop!$J:$J,"",0,1))</f>
        <v/>
      </c>
      <c r="M166" s="4" t="str">
        <f t="array" ref="M166">IF($E166="","", XLOOKUP(SUMIFS(Prod_Prop!$A:$A,Prod_Prop!$B:$B,$E166,Prod_Prop!$H:$H,M$1,Prod_Prop!$I:$I,"Exacto"),Prod_Prop!$A:$A,Prod_Prop!$J:$J,"",0,1))</f>
        <v/>
      </c>
      <c r="N166" s="4" t="str">
        <f t="array" ref="N166">IF($E166="","", XLOOKUP(SUMIFS(Prod_Prop!$A:$A,Prod_Prop!$B:$B,$E166,Prod_Prop!$H:$H,N$1,Prod_Prop!$I:$I,"Exacto"),Prod_Prop!$A:$A,Prod_Prop!$J:$J,"",0,1))</f>
        <v/>
      </c>
      <c r="O166" s="4" t="str">
        <f t="array" ref="O166">IF($E166="","", XLOOKUP(SUMIFS(Prod_Prop!$A:$A,Prod_Prop!$B:$B,$E166,Prod_Prop!$H:$H,O$1,Prod_Prop!$I:$I,"Exacto"),Prod_Prop!$A:$A,Prod_Prop!$J:$J,"",0,1))</f>
        <v/>
      </c>
      <c r="P166" s="4" t="str">
        <f t="array" ref="P166">IF($E166="","", XLOOKUP(SUMIFS(Prod_Prop!$A:$A,Prod_Prop!$B:$B,$E166,Prod_Prop!$H:$H,P$1,Prod_Prop!$I:$I,"Exacto"),Prod_Prop!$A:$A,Prod_Prop!$J:$J,"",0,1))</f>
        <v/>
      </c>
      <c r="Q166" s="4" t="str">
        <f t="array" ref="Q166">IF($E166="","", XLOOKUP(SUMIFS(Prod_Prop!$A:$A,Prod_Prop!$B:$B,$E166,Prod_Prop!$H:$H,Q$1,Prod_Prop!$I:$I,"Exacto"),Prod_Prop!$A:$A,Prod_Prop!$J:$J,"",0,1))</f>
        <v/>
      </c>
      <c r="R166" s="4" t="str">
        <f t="array" ref="R166">IF($E166="","", XLOOKUP(SUMIFS(Prod_Prop!$A:$A,Prod_Prop!$B:$B,$E166,Prod_Prop!$H:$H,R$1,Prod_Prop!$I:$I,"Exacto"),Prod_Prop!$A:$A,Prod_Prop!$J:$J,"",0,1))</f>
        <v/>
      </c>
      <c r="S166" s="4" t="str">
        <f t="array" ref="S166">IF($E166="","", XLOOKUP(SUMIFS(Prod_Prop!$A:$A,Prod_Prop!$B:$B,$E166,Prod_Prop!$H:$H,S$1,Prod_Prop!$I:$I,"Exacto"),Prod_Prop!$A:$A,Prod_Prop!$J:$J,"",0,1))</f>
        <v/>
      </c>
      <c r="T166" s="4" t="str">
        <f t="array" ref="T166">IF($E166="","", XLOOKUP(SUMIFS(Prod_Prop!$A:$A,Prod_Prop!$B:$B,$E166,Prod_Prop!$H:$H,T$1,Prod_Prop!$I:$I,"Exacto"),Prod_Prop!$A:$A,Prod_Prop!$J:$J,"",0,1))</f>
        <v/>
      </c>
      <c r="U166" s="4" t="str">
        <f t="array" ref="U166">IF($E166="","", XLOOKUP(SUMIFS(Prod_Prop!$A:$A,Prod_Prop!$B:$B,$E166,Prod_Prop!$H:$H,U$1,Prod_Prop!$I:$I,"Exacto"),Prod_Prop!$A:$A,Prod_Prop!$J:$J,"",0,1))</f>
        <v/>
      </c>
      <c r="V166" s="4" t="str">
        <f t="array" ref="V166">IF($E166="","", XLOOKUP(SUMIFS(Prod_Prop!$A:$A,Prod_Prop!$B:$B,$E166,Prod_Prop!$H:$H,V$1,Prod_Prop!$I:$I,"Exacto"),Prod_Prop!$A:$A,Prod_Prop!$J:$J,"",0,1))</f>
        <v/>
      </c>
      <c r="X166" s="3" t="str">
        <f>IFERROR(__xludf.DUMMYFUNCTION("IF(D166="""","""",IFERROR(TRANSPOSE(FILTER('Validaciones Cotizador'!U:U,'Validaciones Cotizador'!O:O=D166,'Validaciones Cotizador'!T:T=""x"")),""Finalizar""))"),"")</f>
        <v/>
      </c>
    </row>
    <row r="167">
      <c r="A167" s="2" t="str">
        <f t="array" ref="A167">IF(E167="","",XLOOKUP(D167,'Validaciones Cotizador'!C:C,'Validaciones Cotizador'!A:A,"",0,1))</f>
        <v/>
      </c>
      <c r="B167" s="2" t="str">
        <f t="array" ref="B167">IF(F167="","",XLOOKUP(F167,Productos!E:E,Productos!G:G,"",0,1))</f>
        <v/>
      </c>
      <c r="C167" s="2" t="str">
        <f>IF(A167="","",SUMIFS('Validaciones Cotizador'!B:B,'Validaciones Cotizador'!C:C,D167,'Validaciones Cotizador'!A:A,A167))</f>
        <v/>
      </c>
      <c r="D167" s="4" t="str">
        <f>IFERROR(__xludf.DUMMYFUNCTION("IF(OR(F166=""Finalizar"",F166="""",F166=""Selecciona..""),"""",IF(OR(F166=""-"",INDEX(filter(Familias!F:F,Familias!D:D=A166,Familias!E:E=C166),1)=""O""),D166+1,D166))"),"")</f>
        <v/>
      </c>
      <c r="E167" s="2" t="str">
        <f>IF(OR(F167="",F167="Selecciona.."),"",IF(D167="Implemento",SUMIF(Implementos!B:B,F167,Implementos!A:A),SUMIF(Productos!E:E,F167,Productos!A:A)))</f>
        <v/>
      </c>
      <c r="F167" s="2" t="str">
        <f t="shared" si="2"/>
        <v/>
      </c>
      <c r="G167" s="10" t="str">
        <f t="array" ref="G167">IF(OR(F167="",F167="-",F167="Selecciona..",F167="Finalizar"),"",IF(A167="Rodados",XLOOKUP(B167,'Validaciones Cotizador'!I:I,'Validaciones Cotizador'!J:J,0,0,1),1))</f>
        <v/>
      </c>
      <c r="H167" s="11" t="str">
        <f>IF(OR(F167="",F167="Selecciona.."),"",SUMIF(Precio_Productos!K:K,E167,Precio_Productos!J:J)*G167)</f>
        <v/>
      </c>
      <c r="I167" s="4" t="str">
        <f t="array" ref="I167">IF($E167="","", XLOOKUP(SUMIFS(Prod_Prop!$A:$A,Prod_Prop!$B:$B,$E167,Prod_Prop!$H:$H,I$1,Prod_Prop!$I:$I,"Exacto"),Prod_Prop!$A:$A,Prod_Prop!$J:$J,"",0,1))</f>
        <v/>
      </c>
      <c r="J167" s="4" t="str">
        <f t="array" ref="J167">IF($E167="","", XLOOKUP(SUMIFS(Prod_Prop!$A:$A,Prod_Prop!$B:$B,$E167,Prod_Prop!$H:$H,J$1,Prod_Prop!$I:$I,"Exacto"),Prod_Prop!$A:$A,Prod_Prop!$J:$J,"",0,1))</f>
        <v/>
      </c>
      <c r="K167" s="4" t="str">
        <f t="array" ref="K167">IF($E167="","", XLOOKUP(SUMIFS(Prod_Prop!$A:$A,Prod_Prop!$B:$B,$E167,Prod_Prop!$H:$H,K$1,Prod_Prop!$I:$I,"Exacto"),Prod_Prop!$A:$A,Prod_Prop!$J:$J,"",0,1))</f>
        <v/>
      </c>
      <c r="L167" s="4" t="str">
        <f t="array" ref="L167">IF($E167="","", XLOOKUP(SUMIFS(Prod_Prop!$A:$A,Prod_Prop!$B:$B,$E167,Prod_Prop!$H:$H,L$1,Prod_Prop!$I:$I,"Exacto"),Prod_Prop!$A:$A,Prod_Prop!$J:$J,"",0,1))</f>
        <v/>
      </c>
      <c r="M167" s="4" t="str">
        <f t="array" ref="M167">IF($E167="","", XLOOKUP(SUMIFS(Prod_Prop!$A:$A,Prod_Prop!$B:$B,$E167,Prod_Prop!$H:$H,M$1,Prod_Prop!$I:$I,"Exacto"),Prod_Prop!$A:$A,Prod_Prop!$J:$J,"",0,1))</f>
        <v/>
      </c>
      <c r="N167" s="4" t="str">
        <f t="array" ref="N167">IF($E167="","", XLOOKUP(SUMIFS(Prod_Prop!$A:$A,Prod_Prop!$B:$B,$E167,Prod_Prop!$H:$H,N$1,Prod_Prop!$I:$I,"Exacto"),Prod_Prop!$A:$A,Prod_Prop!$J:$J,"",0,1))</f>
        <v/>
      </c>
      <c r="O167" s="4" t="str">
        <f t="array" ref="O167">IF($E167="","", XLOOKUP(SUMIFS(Prod_Prop!$A:$A,Prod_Prop!$B:$B,$E167,Prod_Prop!$H:$H,O$1,Prod_Prop!$I:$I,"Exacto"),Prod_Prop!$A:$A,Prod_Prop!$J:$J,"",0,1))</f>
        <v/>
      </c>
      <c r="P167" s="4" t="str">
        <f t="array" ref="P167">IF($E167="","", XLOOKUP(SUMIFS(Prod_Prop!$A:$A,Prod_Prop!$B:$B,$E167,Prod_Prop!$H:$H,P$1,Prod_Prop!$I:$I,"Exacto"),Prod_Prop!$A:$A,Prod_Prop!$J:$J,"",0,1))</f>
        <v/>
      </c>
      <c r="Q167" s="4" t="str">
        <f t="array" ref="Q167">IF($E167="","", XLOOKUP(SUMIFS(Prod_Prop!$A:$A,Prod_Prop!$B:$B,$E167,Prod_Prop!$H:$H,Q$1,Prod_Prop!$I:$I,"Exacto"),Prod_Prop!$A:$A,Prod_Prop!$J:$J,"",0,1))</f>
        <v/>
      </c>
      <c r="R167" s="4" t="str">
        <f t="array" ref="R167">IF($E167="","", XLOOKUP(SUMIFS(Prod_Prop!$A:$A,Prod_Prop!$B:$B,$E167,Prod_Prop!$H:$H,R$1,Prod_Prop!$I:$I,"Exacto"),Prod_Prop!$A:$A,Prod_Prop!$J:$J,"",0,1))</f>
        <v/>
      </c>
      <c r="S167" s="4" t="str">
        <f t="array" ref="S167">IF($E167="","", XLOOKUP(SUMIFS(Prod_Prop!$A:$A,Prod_Prop!$B:$B,$E167,Prod_Prop!$H:$H,S$1,Prod_Prop!$I:$I,"Exacto"),Prod_Prop!$A:$A,Prod_Prop!$J:$J,"",0,1))</f>
        <v/>
      </c>
      <c r="T167" s="4" t="str">
        <f t="array" ref="T167">IF($E167="","", XLOOKUP(SUMIFS(Prod_Prop!$A:$A,Prod_Prop!$B:$B,$E167,Prod_Prop!$H:$H,T$1,Prod_Prop!$I:$I,"Exacto"),Prod_Prop!$A:$A,Prod_Prop!$J:$J,"",0,1))</f>
        <v/>
      </c>
      <c r="U167" s="4" t="str">
        <f t="array" ref="U167">IF($E167="","", XLOOKUP(SUMIFS(Prod_Prop!$A:$A,Prod_Prop!$B:$B,$E167,Prod_Prop!$H:$H,U$1,Prod_Prop!$I:$I,"Exacto"),Prod_Prop!$A:$A,Prod_Prop!$J:$J,"",0,1))</f>
        <v/>
      </c>
      <c r="V167" s="4" t="str">
        <f t="array" ref="V167">IF($E167="","", XLOOKUP(SUMIFS(Prod_Prop!$A:$A,Prod_Prop!$B:$B,$E167,Prod_Prop!$H:$H,V$1,Prod_Prop!$I:$I,"Exacto"),Prod_Prop!$A:$A,Prod_Prop!$J:$J,"",0,1))</f>
        <v/>
      </c>
      <c r="X167" s="3" t="str">
        <f>IFERROR(__xludf.DUMMYFUNCTION("IF(D167="""","""",IFERROR(TRANSPOSE(FILTER('Validaciones Cotizador'!U:U,'Validaciones Cotizador'!O:O=D167,'Validaciones Cotizador'!T:T=""x"")),""Finalizar""))"),"")</f>
        <v/>
      </c>
    </row>
    <row r="168">
      <c r="A168" s="2" t="str">
        <f t="array" ref="A168">IF(E168="","",XLOOKUP(D168,'Validaciones Cotizador'!C:C,'Validaciones Cotizador'!A:A,"",0,1))</f>
        <v/>
      </c>
      <c r="B168" s="2" t="str">
        <f t="array" ref="B168">IF(F168="","",XLOOKUP(F168,Productos!E:E,Productos!G:G,"",0,1))</f>
        <v/>
      </c>
      <c r="C168" s="2" t="str">
        <f>IF(A168="","",SUMIFS('Validaciones Cotizador'!B:B,'Validaciones Cotizador'!C:C,D168,'Validaciones Cotizador'!A:A,A168))</f>
        <v/>
      </c>
      <c r="D168" s="4" t="str">
        <f>IFERROR(__xludf.DUMMYFUNCTION("IF(OR(F167=""Finalizar"",F167="""",F167=""Selecciona..""),"""",IF(OR(F167=""-"",INDEX(filter(Familias!F:F,Familias!D:D=A167,Familias!E:E=C167),1)=""O""),D167+1,D167))"),"")</f>
        <v/>
      </c>
      <c r="E168" s="2" t="str">
        <f>IF(OR(F168="",F168="Selecciona.."),"",IF(D168="Implemento",SUMIF(Implementos!B:B,F168,Implementos!A:A),SUMIF(Productos!E:E,F168,Productos!A:A)))</f>
        <v/>
      </c>
      <c r="F168" s="2" t="str">
        <f t="shared" si="2"/>
        <v/>
      </c>
      <c r="G168" s="10" t="str">
        <f t="array" ref="G168">IF(OR(F168="",F168="-",F168="Selecciona..",F168="Finalizar"),"",IF(A168="Rodados",XLOOKUP(B168,'Validaciones Cotizador'!I:I,'Validaciones Cotizador'!J:J,0,0,1),1))</f>
        <v/>
      </c>
      <c r="H168" s="11" t="str">
        <f>IF(OR(F168="",F168="Selecciona.."),"",SUMIF(Precio_Productos!K:K,E168,Precio_Productos!J:J)*G168)</f>
        <v/>
      </c>
      <c r="I168" s="4" t="str">
        <f t="array" ref="I168">IF($E168="","", XLOOKUP(SUMIFS(Prod_Prop!$A:$A,Prod_Prop!$B:$B,$E168,Prod_Prop!$H:$H,I$1,Prod_Prop!$I:$I,"Exacto"),Prod_Prop!$A:$A,Prod_Prop!$J:$J,"",0,1))</f>
        <v/>
      </c>
      <c r="J168" s="4" t="str">
        <f t="array" ref="J168">IF($E168="","", XLOOKUP(SUMIFS(Prod_Prop!$A:$A,Prod_Prop!$B:$B,$E168,Prod_Prop!$H:$H,J$1,Prod_Prop!$I:$I,"Exacto"),Prod_Prop!$A:$A,Prod_Prop!$J:$J,"",0,1))</f>
        <v/>
      </c>
      <c r="K168" s="4" t="str">
        <f t="array" ref="K168">IF($E168="","", XLOOKUP(SUMIFS(Prod_Prop!$A:$A,Prod_Prop!$B:$B,$E168,Prod_Prop!$H:$H,K$1,Prod_Prop!$I:$I,"Exacto"),Prod_Prop!$A:$A,Prod_Prop!$J:$J,"",0,1))</f>
        <v/>
      </c>
      <c r="L168" s="4" t="str">
        <f t="array" ref="L168">IF($E168="","", XLOOKUP(SUMIFS(Prod_Prop!$A:$A,Prod_Prop!$B:$B,$E168,Prod_Prop!$H:$H,L$1,Prod_Prop!$I:$I,"Exacto"),Prod_Prop!$A:$A,Prod_Prop!$J:$J,"",0,1))</f>
        <v/>
      </c>
      <c r="M168" s="4" t="str">
        <f t="array" ref="M168">IF($E168="","", XLOOKUP(SUMIFS(Prod_Prop!$A:$A,Prod_Prop!$B:$B,$E168,Prod_Prop!$H:$H,M$1,Prod_Prop!$I:$I,"Exacto"),Prod_Prop!$A:$A,Prod_Prop!$J:$J,"",0,1))</f>
        <v/>
      </c>
      <c r="N168" s="4" t="str">
        <f t="array" ref="N168">IF($E168="","", XLOOKUP(SUMIFS(Prod_Prop!$A:$A,Prod_Prop!$B:$B,$E168,Prod_Prop!$H:$H,N$1,Prod_Prop!$I:$I,"Exacto"),Prod_Prop!$A:$A,Prod_Prop!$J:$J,"",0,1))</f>
        <v/>
      </c>
      <c r="O168" s="4" t="str">
        <f t="array" ref="O168">IF($E168="","", XLOOKUP(SUMIFS(Prod_Prop!$A:$A,Prod_Prop!$B:$B,$E168,Prod_Prop!$H:$H,O$1,Prod_Prop!$I:$I,"Exacto"),Prod_Prop!$A:$A,Prod_Prop!$J:$J,"",0,1))</f>
        <v/>
      </c>
      <c r="P168" s="4" t="str">
        <f t="array" ref="P168">IF($E168="","", XLOOKUP(SUMIFS(Prod_Prop!$A:$A,Prod_Prop!$B:$B,$E168,Prod_Prop!$H:$H,P$1,Prod_Prop!$I:$I,"Exacto"),Prod_Prop!$A:$A,Prod_Prop!$J:$J,"",0,1))</f>
        <v/>
      </c>
      <c r="Q168" s="4" t="str">
        <f t="array" ref="Q168">IF($E168="","", XLOOKUP(SUMIFS(Prod_Prop!$A:$A,Prod_Prop!$B:$B,$E168,Prod_Prop!$H:$H,Q$1,Prod_Prop!$I:$I,"Exacto"),Prod_Prop!$A:$A,Prod_Prop!$J:$J,"",0,1))</f>
        <v/>
      </c>
      <c r="R168" s="4" t="str">
        <f t="array" ref="R168">IF($E168="","", XLOOKUP(SUMIFS(Prod_Prop!$A:$A,Prod_Prop!$B:$B,$E168,Prod_Prop!$H:$H,R$1,Prod_Prop!$I:$I,"Exacto"),Prod_Prop!$A:$A,Prod_Prop!$J:$J,"",0,1))</f>
        <v/>
      </c>
      <c r="S168" s="4" t="str">
        <f t="array" ref="S168">IF($E168="","", XLOOKUP(SUMIFS(Prod_Prop!$A:$A,Prod_Prop!$B:$B,$E168,Prod_Prop!$H:$H,S$1,Prod_Prop!$I:$I,"Exacto"),Prod_Prop!$A:$A,Prod_Prop!$J:$J,"",0,1))</f>
        <v/>
      </c>
      <c r="T168" s="4" t="str">
        <f t="array" ref="T168">IF($E168="","", XLOOKUP(SUMIFS(Prod_Prop!$A:$A,Prod_Prop!$B:$B,$E168,Prod_Prop!$H:$H,T$1,Prod_Prop!$I:$I,"Exacto"),Prod_Prop!$A:$A,Prod_Prop!$J:$J,"",0,1))</f>
        <v/>
      </c>
      <c r="U168" s="4" t="str">
        <f t="array" ref="U168">IF($E168="","", XLOOKUP(SUMIFS(Prod_Prop!$A:$A,Prod_Prop!$B:$B,$E168,Prod_Prop!$H:$H,U$1,Prod_Prop!$I:$I,"Exacto"),Prod_Prop!$A:$A,Prod_Prop!$J:$J,"",0,1))</f>
        <v/>
      </c>
      <c r="V168" s="4" t="str">
        <f t="array" ref="V168">IF($E168="","", XLOOKUP(SUMIFS(Prod_Prop!$A:$A,Prod_Prop!$B:$B,$E168,Prod_Prop!$H:$H,V$1,Prod_Prop!$I:$I,"Exacto"),Prod_Prop!$A:$A,Prod_Prop!$J:$J,"",0,1))</f>
        <v/>
      </c>
      <c r="X168" s="3" t="str">
        <f>IFERROR(__xludf.DUMMYFUNCTION("IF(D168="""","""",IFERROR(TRANSPOSE(FILTER('Validaciones Cotizador'!U:U,'Validaciones Cotizador'!O:O=D168,'Validaciones Cotizador'!T:T=""x"")),""Finalizar""))"),"")</f>
        <v/>
      </c>
    </row>
    <row r="169">
      <c r="A169" s="2" t="str">
        <f t="array" ref="A169">IF(E169="","",XLOOKUP(D169,'Validaciones Cotizador'!C:C,'Validaciones Cotizador'!A:A,"",0,1))</f>
        <v/>
      </c>
      <c r="B169" s="2" t="str">
        <f t="array" ref="B169">IF(F169="","",XLOOKUP(F169,Productos!E:E,Productos!G:G,"",0,1))</f>
        <v/>
      </c>
      <c r="C169" s="2" t="str">
        <f>IF(A169="","",SUMIFS('Validaciones Cotizador'!B:B,'Validaciones Cotizador'!C:C,D169,'Validaciones Cotizador'!A:A,A169))</f>
        <v/>
      </c>
      <c r="D169" s="4" t="str">
        <f>IFERROR(__xludf.DUMMYFUNCTION("IF(OR(F168=""Finalizar"",F168="""",F168=""Selecciona..""),"""",IF(OR(F168=""-"",INDEX(filter(Familias!F:F,Familias!D:D=A168,Familias!E:E=C168),1)=""O""),D168+1,D168))"),"")</f>
        <v/>
      </c>
      <c r="E169" s="2" t="str">
        <f>IF(OR(F169="",F169="Selecciona.."),"",IF(D169="Implemento",SUMIF(Implementos!B:B,F169,Implementos!A:A),SUMIF(Productos!E:E,F169,Productos!A:A)))</f>
        <v/>
      </c>
      <c r="F169" s="2" t="str">
        <f t="shared" si="2"/>
        <v/>
      </c>
      <c r="G169" s="10" t="str">
        <f t="array" ref="G169">IF(OR(F169="",F169="-",F169="Selecciona..",F169="Finalizar"),"",IF(A169="Rodados",XLOOKUP(B169,'Validaciones Cotizador'!I:I,'Validaciones Cotizador'!J:J,0,0,1),1))</f>
        <v/>
      </c>
      <c r="H169" s="11" t="str">
        <f>IF(OR(F169="",F169="Selecciona.."),"",SUMIF(Precio_Productos!K:K,E169,Precio_Productos!J:J)*G169)</f>
        <v/>
      </c>
      <c r="I169" s="4" t="str">
        <f t="array" ref="I169">IF($E169="","", XLOOKUP(SUMIFS(Prod_Prop!$A:$A,Prod_Prop!$B:$B,$E169,Prod_Prop!$H:$H,I$1,Prod_Prop!$I:$I,"Exacto"),Prod_Prop!$A:$A,Prod_Prop!$J:$J,"",0,1))</f>
        <v/>
      </c>
      <c r="J169" s="4" t="str">
        <f t="array" ref="J169">IF($E169="","", XLOOKUP(SUMIFS(Prod_Prop!$A:$A,Prod_Prop!$B:$B,$E169,Prod_Prop!$H:$H,J$1,Prod_Prop!$I:$I,"Exacto"),Prod_Prop!$A:$A,Prod_Prop!$J:$J,"",0,1))</f>
        <v/>
      </c>
      <c r="K169" s="4" t="str">
        <f t="array" ref="K169">IF($E169="","", XLOOKUP(SUMIFS(Prod_Prop!$A:$A,Prod_Prop!$B:$B,$E169,Prod_Prop!$H:$H,K$1,Prod_Prop!$I:$I,"Exacto"),Prod_Prop!$A:$A,Prod_Prop!$J:$J,"",0,1))</f>
        <v/>
      </c>
      <c r="L169" s="4" t="str">
        <f t="array" ref="L169">IF($E169="","", XLOOKUP(SUMIFS(Prod_Prop!$A:$A,Prod_Prop!$B:$B,$E169,Prod_Prop!$H:$H,L$1,Prod_Prop!$I:$I,"Exacto"),Prod_Prop!$A:$A,Prod_Prop!$J:$J,"",0,1))</f>
        <v/>
      </c>
      <c r="M169" s="4" t="str">
        <f t="array" ref="M169">IF($E169="","", XLOOKUP(SUMIFS(Prod_Prop!$A:$A,Prod_Prop!$B:$B,$E169,Prod_Prop!$H:$H,M$1,Prod_Prop!$I:$I,"Exacto"),Prod_Prop!$A:$A,Prod_Prop!$J:$J,"",0,1))</f>
        <v/>
      </c>
      <c r="N169" s="4" t="str">
        <f t="array" ref="N169">IF($E169="","", XLOOKUP(SUMIFS(Prod_Prop!$A:$A,Prod_Prop!$B:$B,$E169,Prod_Prop!$H:$H,N$1,Prod_Prop!$I:$I,"Exacto"),Prod_Prop!$A:$A,Prod_Prop!$J:$J,"",0,1))</f>
        <v/>
      </c>
      <c r="O169" s="4" t="str">
        <f t="array" ref="O169">IF($E169="","", XLOOKUP(SUMIFS(Prod_Prop!$A:$A,Prod_Prop!$B:$B,$E169,Prod_Prop!$H:$H,O$1,Prod_Prop!$I:$I,"Exacto"),Prod_Prop!$A:$A,Prod_Prop!$J:$J,"",0,1))</f>
        <v/>
      </c>
      <c r="P169" s="4" t="str">
        <f t="array" ref="P169">IF($E169="","", XLOOKUP(SUMIFS(Prod_Prop!$A:$A,Prod_Prop!$B:$B,$E169,Prod_Prop!$H:$H,P$1,Prod_Prop!$I:$I,"Exacto"),Prod_Prop!$A:$A,Prod_Prop!$J:$J,"",0,1))</f>
        <v/>
      </c>
      <c r="Q169" s="4" t="str">
        <f t="array" ref="Q169">IF($E169="","", XLOOKUP(SUMIFS(Prod_Prop!$A:$A,Prod_Prop!$B:$B,$E169,Prod_Prop!$H:$H,Q$1,Prod_Prop!$I:$I,"Exacto"),Prod_Prop!$A:$A,Prod_Prop!$J:$J,"",0,1))</f>
        <v/>
      </c>
      <c r="R169" s="4" t="str">
        <f t="array" ref="R169">IF($E169="","", XLOOKUP(SUMIFS(Prod_Prop!$A:$A,Prod_Prop!$B:$B,$E169,Prod_Prop!$H:$H,R$1,Prod_Prop!$I:$I,"Exacto"),Prod_Prop!$A:$A,Prod_Prop!$J:$J,"",0,1))</f>
        <v/>
      </c>
      <c r="S169" s="4" t="str">
        <f t="array" ref="S169">IF($E169="","", XLOOKUP(SUMIFS(Prod_Prop!$A:$A,Prod_Prop!$B:$B,$E169,Prod_Prop!$H:$H,S$1,Prod_Prop!$I:$I,"Exacto"),Prod_Prop!$A:$A,Prod_Prop!$J:$J,"",0,1))</f>
        <v/>
      </c>
      <c r="T169" s="4" t="str">
        <f t="array" ref="T169">IF($E169="","", XLOOKUP(SUMIFS(Prod_Prop!$A:$A,Prod_Prop!$B:$B,$E169,Prod_Prop!$H:$H,T$1,Prod_Prop!$I:$I,"Exacto"),Prod_Prop!$A:$A,Prod_Prop!$J:$J,"",0,1))</f>
        <v/>
      </c>
      <c r="U169" s="4" t="str">
        <f t="array" ref="U169">IF($E169="","", XLOOKUP(SUMIFS(Prod_Prop!$A:$A,Prod_Prop!$B:$B,$E169,Prod_Prop!$H:$H,U$1,Prod_Prop!$I:$I,"Exacto"),Prod_Prop!$A:$A,Prod_Prop!$J:$J,"",0,1))</f>
        <v/>
      </c>
      <c r="V169" s="4" t="str">
        <f t="array" ref="V169">IF($E169="","", XLOOKUP(SUMIFS(Prod_Prop!$A:$A,Prod_Prop!$B:$B,$E169,Prod_Prop!$H:$H,V$1,Prod_Prop!$I:$I,"Exacto"),Prod_Prop!$A:$A,Prod_Prop!$J:$J,"",0,1))</f>
        <v/>
      </c>
      <c r="X169" s="3" t="str">
        <f>IFERROR(__xludf.DUMMYFUNCTION("IF(D169="""","""",IFERROR(TRANSPOSE(FILTER('Validaciones Cotizador'!U:U,'Validaciones Cotizador'!O:O=D169,'Validaciones Cotizador'!T:T=""x"")),""Finalizar""))"),"")</f>
        <v/>
      </c>
    </row>
    <row r="170">
      <c r="A170" s="2" t="str">
        <f t="array" ref="A170">IF(E170="","",XLOOKUP(D170,'Validaciones Cotizador'!C:C,'Validaciones Cotizador'!A:A,"",0,1))</f>
        <v/>
      </c>
      <c r="B170" s="2" t="str">
        <f t="array" ref="B170">IF(F170="","",XLOOKUP(F170,Productos!E:E,Productos!G:G,"",0,1))</f>
        <v/>
      </c>
      <c r="C170" s="2" t="str">
        <f>IF(A170="","",SUMIFS('Validaciones Cotizador'!B:B,'Validaciones Cotizador'!C:C,D170,'Validaciones Cotizador'!A:A,A170))</f>
        <v/>
      </c>
      <c r="D170" s="4" t="str">
        <f>IFERROR(__xludf.DUMMYFUNCTION("IF(OR(F169=""Finalizar"",F169="""",F169=""Selecciona..""),"""",IF(OR(F169=""-"",INDEX(filter(Familias!F:F,Familias!D:D=A169,Familias!E:E=C169),1)=""O""),D169+1,D169))"),"")</f>
        <v/>
      </c>
      <c r="E170" s="2" t="str">
        <f>IF(OR(F170="",F170="Selecciona.."),"",IF(D170="Implemento",SUMIF(Implementos!B:B,F170,Implementos!A:A),SUMIF(Productos!E:E,F170,Productos!A:A)))</f>
        <v/>
      </c>
      <c r="F170" s="2" t="str">
        <f t="shared" si="2"/>
        <v/>
      </c>
      <c r="G170" s="10" t="str">
        <f t="array" ref="G170">IF(OR(F170="",F170="-",F170="Selecciona..",F170="Finalizar"),"",IF(A170="Rodados",XLOOKUP(B170,'Validaciones Cotizador'!I:I,'Validaciones Cotizador'!J:J,0,0,1),1))</f>
        <v/>
      </c>
      <c r="H170" s="11" t="str">
        <f>IF(OR(F170="",F170="Selecciona.."),"",SUMIF(Precio_Productos!K:K,E170,Precio_Productos!J:J)*G170)</f>
        <v/>
      </c>
      <c r="I170" s="4" t="str">
        <f t="array" ref="I170">IF($E170="","", XLOOKUP(SUMIFS(Prod_Prop!$A:$A,Prod_Prop!$B:$B,$E170,Prod_Prop!$H:$H,I$1,Prod_Prop!$I:$I,"Exacto"),Prod_Prop!$A:$A,Prod_Prop!$J:$J,"",0,1))</f>
        <v/>
      </c>
      <c r="J170" s="4" t="str">
        <f t="array" ref="J170">IF($E170="","", XLOOKUP(SUMIFS(Prod_Prop!$A:$A,Prod_Prop!$B:$B,$E170,Prod_Prop!$H:$H,J$1,Prod_Prop!$I:$I,"Exacto"),Prod_Prop!$A:$A,Prod_Prop!$J:$J,"",0,1))</f>
        <v/>
      </c>
      <c r="K170" s="4" t="str">
        <f t="array" ref="K170">IF($E170="","", XLOOKUP(SUMIFS(Prod_Prop!$A:$A,Prod_Prop!$B:$B,$E170,Prod_Prop!$H:$H,K$1,Prod_Prop!$I:$I,"Exacto"),Prod_Prop!$A:$A,Prod_Prop!$J:$J,"",0,1))</f>
        <v/>
      </c>
      <c r="L170" s="4" t="str">
        <f t="array" ref="L170">IF($E170="","", XLOOKUP(SUMIFS(Prod_Prop!$A:$A,Prod_Prop!$B:$B,$E170,Prod_Prop!$H:$H,L$1,Prod_Prop!$I:$I,"Exacto"),Prod_Prop!$A:$A,Prod_Prop!$J:$J,"",0,1))</f>
        <v/>
      </c>
      <c r="M170" s="4" t="str">
        <f t="array" ref="M170">IF($E170="","", XLOOKUP(SUMIFS(Prod_Prop!$A:$A,Prod_Prop!$B:$B,$E170,Prod_Prop!$H:$H,M$1,Prod_Prop!$I:$I,"Exacto"),Prod_Prop!$A:$A,Prod_Prop!$J:$J,"",0,1))</f>
        <v/>
      </c>
      <c r="N170" s="4" t="str">
        <f t="array" ref="N170">IF($E170="","", XLOOKUP(SUMIFS(Prod_Prop!$A:$A,Prod_Prop!$B:$B,$E170,Prod_Prop!$H:$H,N$1,Prod_Prop!$I:$I,"Exacto"),Prod_Prop!$A:$A,Prod_Prop!$J:$J,"",0,1))</f>
        <v/>
      </c>
      <c r="O170" s="4" t="str">
        <f t="array" ref="O170">IF($E170="","", XLOOKUP(SUMIFS(Prod_Prop!$A:$A,Prod_Prop!$B:$B,$E170,Prod_Prop!$H:$H,O$1,Prod_Prop!$I:$I,"Exacto"),Prod_Prop!$A:$A,Prod_Prop!$J:$J,"",0,1))</f>
        <v/>
      </c>
      <c r="P170" s="4" t="str">
        <f t="array" ref="P170">IF($E170="","", XLOOKUP(SUMIFS(Prod_Prop!$A:$A,Prod_Prop!$B:$B,$E170,Prod_Prop!$H:$H,P$1,Prod_Prop!$I:$I,"Exacto"),Prod_Prop!$A:$A,Prod_Prop!$J:$J,"",0,1))</f>
        <v/>
      </c>
      <c r="Q170" s="4" t="str">
        <f t="array" ref="Q170">IF($E170="","", XLOOKUP(SUMIFS(Prod_Prop!$A:$A,Prod_Prop!$B:$B,$E170,Prod_Prop!$H:$H,Q$1,Prod_Prop!$I:$I,"Exacto"),Prod_Prop!$A:$A,Prod_Prop!$J:$J,"",0,1))</f>
        <v/>
      </c>
      <c r="R170" s="4" t="str">
        <f t="array" ref="R170">IF($E170="","", XLOOKUP(SUMIFS(Prod_Prop!$A:$A,Prod_Prop!$B:$B,$E170,Prod_Prop!$H:$H,R$1,Prod_Prop!$I:$I,"Exacto"),Prod_Prop!$A:$A,Prod_Prop!$J:$J,"",0,1))</f>
        <v/>
      </c>
      <c r="S170" s="4" t="str">
        <f t="array" ref="S170">IF($E170="","", XLOOKUP(SUMIFS(Prod_Prop!$A:$A,Prod_Prop!$B:$B,$E170,Prod_Prop!$H:$H,S$1,Prod_Prop!$I:$I,"Exacto"),Prod_Prop!$A:$A,Prod_Prop!$J:$J,"",0,1))</f>
        <v/>
      </c>
      <c r="T170" s="4" t="str">
        <f t="array" ref="T170">IF($E170="","", XLOOKUP(SUMIFS(Prod_Prop!$A:$A,Prod_Prop!$B:$B,$E170,Prod_Prop!$H:$H,T$1,Prod_Prop!$I:$I,"Exacto"),Prod_Prop!$A:$A,Prod_Prop!$J:$J,"",0,1))</f>
        <v/>
      </c>
      <c r="U170" s="4" t="str">
        <f t="array" ref="U170">IF($E170="","", XLOOKUP(SUMIFS(Prod_Prop!$A:$A,Prod_Prop!$B:$B,$E170,Prod_Prop!$H:$H,U$1,Prod_Prop!$I:$I,"Exacto"),Prod_Prop!$A:$A,Prod_Prop!$J:$J,"",0,1))</f>
        <v/>
      </c>
      <c r="V170" s="4" t="str">
        <f t="array" ref="V170">IF($E170="","", XLOOKUP(SUMIFS(Prod_Prop!$A:$A,Prod_Prop!$B:$B,$E170,Prod_Prop!$H:$H,V$1,Prod_Prop!$I:$I,"Exacto"),Prod_Prop!$A:$A,Prod_Prop!$J:$J,"",0,1))</f>
        <v/>
      </c>
      <c r="X170" s="3" t="str">
        <f>IFERROR(__xludf.DUMMYFUNCTION("IF(D170="""","""",IFERROR(TRANSPOSE(FILTER('Validaciones Cotizador'!U:U,'Validaciones Cotizador'!O:O=D170,'Validaciones Cotizador'!T:T=""x"")),""Finalizar""))"),"")</f>
        <v/>
      </c>
    </row>
    <row r="171">
      <c r="A171" s="2" t="str">
        <f t="array" ref="A171">IF(E171="","",XLOOKUP(D171,'Validaciones Cotizador'!C:C,'Validaciones Cotizador'!A:A,"",0,1))</f>
        <v/>
      </c>
      <c r="B171" s="2" t="str">
        <f t="array" ref="B171">IF(F171="","",XLOOKUP(F171,Productos!E:E,Productos!G:G,"",0,1))</f>
        <v/>
      </c>
      <c r="C171" s="2" t="str">
        <f>IF(A171="","",SUMIFS('Validaciones Cotizador'!B:B,'Validaciones Cotizador'!C:C,D171,'Validaciones Cotizador'!A:A,A171))</f>
        <v/>
      </c>
      <c r="D171" s="4" t="str">
        <f>IFERROR(__xludf.DUMMYFUNCTION("IF(OR(F170=""Finalizar"",F170="""",F170=""Selecciona..""),"""",IF(OR(F170=""-"",INDEX(filter(Familias!F:F,Familias!D:D=A170,Familias!E:E=C170),1)=""O""),D170+1,D170))"),"")</f>
        <v/>
      </c>
      <c r="E171" s="2" t="str">
        <f>IF(OR(F171="",F171="Selecciona.."),"",IF(D171="Implemento",SUMIF(Implementos!B:B,F171,Implementos!A:A),SUMIF(Productos!E:E,F171,Productos!A:A)))</f>
        <v/>
      </c>
      <c r="F171" s="2" t="str">
        <f t="shared" si="2"/>
        <v/>
      </c>
      <c r="G171" s="10" t="str">
        <f t="array" ref="G171">IF(OR(F171="",F171="-",F171="Selecciona..",F171="Finalizar"),"",IF(A171="Rodados",XLOOKUP(B171,'Validaciones Cotizador'!I:I,'Validaciones Cotizador'!J:J,0,0,1),1))</f>
        <v/>
      </c>
      <c r="H171" s="11" t="str">
        <f>IF(OR(F171="",F171="Selecciona.."),"",SUMIF(Precio_Productos!K:K,E171,Precio_Productos!J:J)*G171)</f>
        <v/>
      </c>
      <c r="I171" s="4" t="str">
        <f t="array" ref="I171">IF($E171="","", XLOOKUP(SUMIFS(Prod_Prop!$A:$A,Prod_Prop!$B:$B,$E171,Prod_Prop!$H:$H,I$1,Prod_Prop!$I:$I,"Exacto"),Prod_Prop!$A:$A,Prod_Prop!$J:$J,"",0,1))</f>
        <v/>
      </c>
      <c r="J171" s="4" t="str">
        <f t="array" ref="J171">IF($E171="","", XLOOKUP(SUMIFS(Prod_Prop!$A:$A,Prod_Prop!$B:$B,$E171,Prod_Prop!$H:$H,J$1,Prod_Prop!$I:$I,"Exacto"),Prod_Prop!$A:$A,Prod_Prop!$J:$J,"",0,1))</f>
        <v/>
      </c>
      <c r="K171" s="4" t="str">
        <f t="array" ref="K171">IF($E171="","", XLOOKUP(SUMIFS(Prod_Prop!$A:$A,Prod_Prop!$B:$B,$E171,Prod_Prop!$H:$H,K$1,Prod_Prop!$I:$I,"Exacto"),Prod_Prop!$A:$A,Prod_Prop!$J:$J,"",0,1))</f>
        <v/>
      </c>
      <c r="L171" s="4" t="str">
        <f t="array" ref="L171">IF($E171="","", XLOOKUP(SUMIFS(Prod_Prop!$A:$A,Prod_Prop!$B:$B,$E171,Prod_Prop!$H:$H,L$1,Prod_Prop!$I:$I,"Exacto"),Prod_Prop!$A:$A,Prod_Prop!$J:$J,"",0,1))</f>
        <v/>
      </c>
      <c r="M171" s="4" t="str">
        <f t="array" ref="M171">IF($E171="","", XLOOKUP(SUMIFS(Prod_Prop!$A:$A,Prod_Prop!$B:$B,$E171,Prod_Prop!$H:$H,M$1,Prod_Prop!$I:$I,"Exacto"),Prod_Prop!$A:$A,Prod_Prop!$J:$J,"",0,1))</f>
        <v/>
      </c>
      <c r="N171" s="4" t="str">
        <f t="array" ref="N171">IF($E171="","", XLOOKUP(SUMIFS(Prod_Prop!$A:$A,Prod_Prop!$B:$B,$E171,Prod_Prop!$H:$H,N$1,Prod_Prop!$I:$I,"Exacto"),Prod_Prop!$A:$A,Prod_Prop!$J:$J,"",0,1))</f>
        <v/>
      </c>
      <c r="O171" s="4" t="str">
        <f t="array" ref="O171">IF($E171="","", XLOOKUP(SUMIFS(Prod_Prop!$A:$A,Prod_Prop!$B:$B,$E171,Prod_Prop!$H:$H,O$1,Prod_Prop!$I:$I,"Exacto"),Prod_Prop!$A:$A,Prod_Prop!$J:$J,"",0,1))</f>
        <v/>
      </c>
      <c r="P171" s="4" t="str">
        <f t="array" ref="P171">IF($E171="","", XLOOKUP(SUMIFS(Prod_Prop!$A:$A,Prod_Prop!$B:$B,$E171,Prod_Prop!$H:$H,P$1,Prod_Prop!$I:$I,"Exacto"),Prod_Prop!$A:$A,Prod_Prop!$J:$J,"",0,1))</f>
        <v/>
      </c>
      <c r="Q171" s="4" t="str">
        <f t="array" ref="Q171">IF($E171="","", XLOOKUP(SUMIFS(Prod_Prop!$A:$A,Prod_Prop!$B:$B,$E171,Prod_Prop!$H:$H,Q$1,Prod_Prop!$I:$I,"Exacto"),Prod_Prop!$A:$A,Prod_Prop!$J:$J,"",0,1))</f>
        <v/>
      </c>
      <c r="R171" s="4" t="str">
        <f t="array" ref="R171">IF($E171="","", XLOOKUP(SUMIFS(Prod_Prop!$A:$A,Prod_Prop!$B:$B,$E171,Prod_Prop!$H:$H,R$1,Prod_Prop!$I:$I,"Exacto"),Prod_Prop!$A:$A,Prod_Prop!$J:$J,"",0,1))</f>
        <v/>
      </c>
      <c r="S171" s="4" t="str">
        <f t="array" ref="S171">IF($E171="","", XLOOKUP(SUMIFS(Prod_Prop!$A:$A,Prod_Prop!$B:$B,$E171,Prod_Prop!$H:$H,S$1,Prod_Prop!$I:$I,"Exacto"),Prod_Prop!$A:$A,Prod_Prop!$J:$J,"",0,1))</f>
        <v/>
      </c>
      <c r="T171" s="4" t="str">
        <f t="array" ref="T171">IF($E171="","", XLOOKUP(SUMIFS(Prod_Prop!$A:$A,Prod_Prop!$B:$B,$E171,Prod_Prop!$H:$H,T$1,Prod_Prop!$I:$I,"Exacto"),Prod_Prop!$A:$A,Prod_Prop!$J:$J,"",0,1))</f>
        <v/>
      </c>
      <c r="U171" s="4" t="str">
        <f t="array" ref="U171">IF($E171="","", XLOOKUP(SUMIFS(Prod_Prop!$A:$A,Prod_Prop!$B:$B,$E171,Prod_Prop!$H:$H,U$1,Prod_Prop!$I:$I,"Exacto"),Prod_Prop!$A:$A,Prod_Prop!$J:$J,"",0,1))</f>
        <v/>
      </c>
      <c r="V171" s="4" t="str">
        <f t="array" ref="V171">IF($E171="","", XLOOKUP(SUMIFS(Prod_Prop!$A:$A,Prod_Prop!$B:$B,$E171,Prod_Prop!$H:$H,V$1,Prod_Prop!$I:$I,"Exacto"),Prod_Prop!$A:$A,Prod_Prop!$J:$J,"",0,1))</f>
        <v/>
      </c>
      <c r="X171" s="3" t="str">
        <f>IFERROR(__xludf.DUMMYFUNCTION("IF(D171="""","""",IFERROR(TRANSPOSE(FILTER('Validaciones Cotizador'!U:U,'Validaciones Cotizador'!O:O=D171,'Validaciones Cotizador'!T:T=""x"")),""Finalizar""))"),"")</f>
        <v/>
      </c>
    </row>
    <row r="172">
      <c r="A172" s="2" t="str">
        <f t="array" ref="A172">IF(E172="","",XLOOKUP(D172,'Validaciones Cotizador'!C:C,'Validaciones Cotizador'!A:A,"",0,1))</f>
        <v/>
      </c>
      <c r="B172" s="2" t="str">
        <f t="array" ref="B172">IF(F172="","",XLOOKUP(F172,Productos!E:E,Productos!G:G,"",0,1))</f>
        <v/>
      </c>
      <c r="C172" s="2" t="str">
        <f>IF(A172="","",SUMIFS('Validaciones Cotizador'!B:B,'Validaciones Cotizador'!C:C,D172,'Validaciones Cotizador'!A:A,A172))</f>
        <v/>
      </c>
      <c r="D172" s="4" t="str">
        <f>IFERROR(__xludf.DUMMYFUNCTION("IF(OR(F171=""Finalizar"",F171="""",F171=""Selecciona..""),"""",IF(OR(F171=""-"",INDEX(filter(Familias!F:F,Familias!D:D=A171,Familias!E:E=C171),1)=""O""),D171+1,D171))"),"")</f>
        <v/>
      </c>
      <c r="E172" s="2" t="str">
        <f>IF(OR(F172="",F172="Selecciona.."),"",IF(D172="Implemento",SUMIF(Implementos!B:B,F172,Implementos!A:A),SUMIF(Productos!E:E,F172,Productos!A:A)))</f>
        <v/>
      </c>
      <c r="F172" s="2" t="str">
        <f t="shared" si="2"/>
        <v/>
      </c>
      <c r="G172" s="10" t="str">
        <f t="array" ref="G172">IF(OR(F172="",F172="-",F172="Selecciona..",F172="Finalizar"),"",IF(A172="Rodados",XLOOKUP(B172,'Validaciones Cotizador'!I:I,'Validaciones Cotizador'!J:J,0,0,1),1))</f>
        <v/>
      </c>
      <c r="H172" s="11" t="str">
        <f>IF(OR(F172="",F172="Selecciona.."),"",SUMIF(Precio_Productos!K:K,E172,Precio_Productos!J:J)*G172)</f>
        <v/>
      </c>
      <c r="I172" s="4" t="str">
        <f t="array" ref="I172">IF($E172="","", XLOOKUP(SUMIFS(Prod_Prop!$A:$A,Prod_Prop!$B:$B,$E172,Prod_Prop!$H:$H,I$1,Prod_Prop!$I:$I,"Exacto"),Prod_Prop!$A:$A,Prod_Prop!$J:$J,"",0,1))</f>
        <v/>
      </c>
      <c r="J172" s="4" t="str">
        <f t="array" ref="J172">IF($E172="","", XLOOKUP(SUMIFS(Prod_Prop!$A:$A,Prod_Prop!$B:$B,$E172,Prod_Prop!$H:$H,J$1,Prod_Prop!$I:$I,"Exacto"),Prod_Prop!$A:$A,Prod_Prop!$J:$J,"",0,1))</f>
        <v/>
      </c>
      <c r="K172" s="4" t="str">
        <f t="array" ref="K172">IF($E172="","", XLOOKUP(SUMIFS(Prod_Prop!$A:$A,Prod_Prop!$B:$B,$E172,Prod_Prop!$H:$H,K$1,Prod_Prop!$I:$I,"Exacto"),Prod_Prop!$A:$A,Prod_Prop!$J:$J,"",0,1))</f>
        <v/>
      </c>
      <c r="L172" s="4" t="str">
        <f t="array" ref="L172">IF($E172="","", XLOOKUP(SUMIFS(Prod_Prop!$A:$A,Prod_Prop!$B:$B,$E172,Prod_Prop!$H:$H,L$1,Prod_Prop!$I:$I,"Exacto"),Prod_Prop!$A:$A,Prod_Prop!$J:$J,"",0,1))</f>
        <v/>
      </c>
      <c r="M172" s="4" t="str">
        <f t="array" ref="M172">IF($E172="","", XLOOKUP(SUMIFS(Prod_Prop!$A:$A,Prod_Prop!$B:$B,$E172,Prod_Prop!$H:$H,M$1,Prod_Prop!$I:$I,"Exacto"),Prod_Prop!$A:$A,Prod_Prop!$J:$J,"",0,1))</f>
        <v/>
      </c>
      <c r="N172" s="4" t="str">
        <f t="array" ref="N172">IF($E172="","", XLOOKUP(SUMIFS(Prod_Prop!$A:$A,Prod_Prop!$B:$B,$E172,Prod_Prop!$H:$H,N$1,Prod_Prop!$I:$I,"Exacto"),Prod_Prop!$A:$A,Prod_Prop!$J:$J,"",0,1))</f>
        <v/>
      </c>
      <c r="O172" s="4" t="str">
        <f t="array" ref="O172">IF($E172="","", XLOOKUP(SUMIFS(Prod_Prop!$A:$A,Prod_Prop!$B:$B,$E172,Prod_Prop!$H:$H,O$1,Prod_Prop!$I:$I,"Exacto"),Prod_Prop!$A:$A,Prod_Prop!$J:$J,"",0,1))</f>
        <v/>
      </c>
      <c r="P172" s="4" t="str">
        <f t="array" ref="P172">IF($E172="","", XLOOKUP(SUMIFS(Prod_Prop!$A:$A,Prod_Prop!$B:$B,$E172,Prod_Prop!$H:$H,P$1,Prod_Prop!$I:$I,"Exacto"),Prod_Prop!$A:$A,Prod_Prop!$J:$J,"",0,1))</f>
        <v/>
      </c>
      <c r="Q172" s="4" t="str">
        <f t="array" ref="Q172">IF($E172="","", XLOOKUP(SUMIFS(Prod_Prop!$A:$A,Prod_Prop!$B:$B,$E172,Prod_Prop!$H:$H,Q$1,Prod_Prop!$I:$I,"Exacto"),Prod_Prop!$A:$A,Prod_Prop!$J:$J,"",0,1))</f>
        <v/>
      </c>
      <c r="R172" s="4" t="str">
        <f t="array" ref="R172">IF($E172="","", XLOOKUP(SUMIFS(Prod_Prop!$A:$A,Prod_Prop!$B:$B,$E172,Prod_Prop!$H:$H,R$1,Prod_Prop!$I:$I,"Exacto"),Prod_Prop!$A:$A,Prod_Prop!$J:$J,"",0,1))</f>
        <v/>
      </c>
      <c r="S172" s="4" t="str">
        <f t="array" ref="S172">IF($E172="","", XLOOKUP(SUMIFS(Prod_Prop!$A:$A,Prod_Prop!$B:$B,$E172,Prod_Prop!$H:$H,S$1,Prod_Prop!$I:$I,"Exacto"),Prod_Prop!$A:$A,Prod_Prop!$J:$J,"",0,1))</f>
        <v/>
      </c>
      <c r="T172" s="4" t="str">
        <f t="array" ref="T172">IF($E172="","", XLOOKUP(SUMIFS(Prod_Prop!$A:$A,Prod_Prop!$B:$B,$E172,Prod_Prop!$H:$H,T$1,Prod_Prop!$I:$I,"Exacto"),Prod_Prop!$A:$A,Prod_Prop!$J:$J,"",0,1))</f>
        <v/>
      </c>
      <c r="U172" s="4" t="str">
        <f t="array" ref="U172">IF($E172="","", XLOOKUP(SUMIFS(Prod_Prop!$A:$A,Prod_Prop!$B:$B,$E172,Prod_Prop!$H:$H,U$1,Prod_Prop!$I:$I,"Exacto"),Prod_Prop!$A:$A,Prod_Prop!$J:$J,"",0,1))</f>
        <v/>
      </c>
      <c r="V172" s="4" t="str">
        <f t="array" ref="V172">IF($E172="","", XLOOKUP(SUMIFS(Prod_Prop!$A:$A,Prod_Prop!$B:$B,$E172,Prod_Prop!$H:$H,V$1,Prod_Prop!$I:$I,"Exacto"),Prod_Prop!$A:$A,Prod_Prop!$J:$J,"",0,1))</f>
        <v/>
      </c>
      <c r="X172" s="3" t="str">
        <f>IFERROR(__xludf.DUMMYFUNCTION("IF(D172="""","""",IFERROR(TRANSPOSE(FILTER('Validaciones Cotizador'!U:U,'Validaciones Cotizador'!O:O=D172,'Validaciones Cotizador'!T:T=""x"")),""Finalizar""))"),"")</f>
        <v/>
      </c>
    </row>
    <row r="173">
      <c r="A173" s="2" t="str">
        <f t="array" ref="A173">IF(E173="","",XLOOKUP(D173,'Validaciones Cotizador'!C:C,'Validaciones Cotizador'!A:A,"",0,1))</f>
        <v/>
      </c>
      <c r="B173" s="2" t="str">
        <f t="array" ref="B173">IF(F173="","",XLOOKUP(F173,Productos!E:E,Productos!G:G,"",0,1))</f>
        <v/>
      </c>
      <c r="C173" s="2" t="str">
        <f>IF(A173="","",SUMIFS('Validaciones Cotizador'!B:B,'Validaciones Cotizador'!C:C,D173,'Validaciones Cotizador'!A:A,A173))</f>
        <v/>
      </c>
      <c r="D173" s="4" t="str">
        <f>IFERROR(__xludf.DUMMYFUNCTION("IF(OR(F172=""Finalizar"",F172="""",F172=""Selecciona..""),"""",IF(OR(F172=""-"",INDEX(filter(Familias!F:F,Familias!D:D=A172,Familias!E:E=C172),1)=""O""),D172+1,D172))"),"")</f>
        <v/>
      </c>
      <c r="E173" s="2" t="str">
        <f>IF(OR(F173="",F173="Selecciona.."),"",IF(D173="Implemento",SUMIF(Implementos!B:B,F173,Implementos!A:A),SUMIF(Productos!E:E,F173,Productos!A:A)))</f>
        <v/>
      </c>
      <c r="F173" s="2" t="str">
        <f t="shared" si="2"/>
        <v/>
      </c>
      <c r="G173" s="10" t="str">
        <f t="array" ref="G173">IF(OR(F173="",F173="-",F173="Selecciona..",F173="Finalizar"),"",IF(A173="Rodados",XLOOKUP(B173,'Validaciones Cotizador'!I:I,'Validaciones Cotizador'!J:J,0,0,1),1))</f>
        <v/>
      </c>
      <c r="H173" s="11" t="str">
        <f>IF(OR(F173="",F173="Selecciona.."),"",SUMIF(Precio_Productos!K:K,E173,Precio_Productos!J:J)*G173)</f>
        <v/>
      </c>
      <c r="I173" s="4" t="str">
        <f t="array" ref="I173">IF($E173="","", XLOOKUP(SUMIFS(Prod_Prop!$A:$A,Prod_Prop!$B:$B,$E173,Prod_Prop!$H:$H,I$1,Prod_Prop!$I:$I,"Exacto"),Prod_Prop!$A:$A,Prod_Prop!$J:$J,"",0,1))</f>
        <v/>
      </c>
      <c r="J173" s="4" t="str">
        <f t="array" ref="J173">IF($E173="","", XLOOKUP(SUMIFS(Prod_Prop!$A:$A,Prod_Prop!$B:$B,$E173,Prod_Prop!$H:$H,J$1,Prod_Prop!$I:$I,"Exacto"),Prod_Prop!$A:$A,Prod_Prop!$J:$J,"",0,1))</f>
        <v/>
      </c>
      <c r="K173" s="4" t="str">
        <f t="array" ref="K173">IF($E173="","", XLOOKUP(SUMIFS(Prod_Prop!$A:$A,Prod_Prop!$B:$B,$E173,Prod_Prop!$H:$H,K$1,Prod_Prop!$I:$I,"Exacto"),Prod_Prop!$A:$A,Prod_Prop!$J:$J,"",0,1))</f>
        <v/>
      </c>
      <c r="L173" s="4" t="str">
        <f t="array" ref="L173">IF($E173="","", XLOOKUP(SUMIFS(Prod_Prop!$A:$A,Prod_Prop!$B:$B,$E173,Prod_Prop!$H:$H,L$1,Prod_Prop!$I:$I,"Exacto"),Prod_Prop!$A:$A,Prod_Prop!$J:$J,"",0,1))</f>
        <v/>
      </c>
      <c r="M173" s="4" t="str">
        <f t="array" ref="M173">IF($E173="","", XLOOKUP(SUMIFS(Prod_Prop!$A:$A,Prod_Prop!$B:$B,$E173,Prod_Prop!$H:$H,M$1,Prod_Prop!$I:$I,"Exacto"),Prod_Prop!$A:$A,Prod_Prop!$J:$J,"",0,1))</f>
        <v/>
      </c>
      <c r="N173" s="4" t="str">
        <f t="array" ref="N173">IF($E173="","", XLOOKUP(SUMIFS(Prod_Prop!$A:$A,Prod_Prop!$B:$B,$E173,Prod_Prop!$H:$H,N$1,Prod_Prop!$I:$I,"Exacto"),Prod_Prop!$A:$A,Prod_Prop!$J:$J,"",0,1))</f>
        <v/>
      </c>
      <c r="O173" s="4" t="str">
        <f t="array" ref="O173">IF($E173="","", XLOOKUP(SUMIFS(Prod_Prop!$A:$A,Prod_Prop!$B:$B,$E173,Prod_Prop!$H:$H,O$1,Prod_Prop!$I:$I,"Exacto"),Prod_Prop!$A:$A,Prod_Prop!$J:$J,"",0,1))</f>
        <v/>
      </c>
      <c r="P173" s="4" t="str">
        <f t="array" ref="P173">IF($E173="","", XLOOKUP(SUMIFS(Prod_Prop!$A:$A,Prod_Prop!$B:$B,$E173,Prod_Prop!$H:$H,P$1,Prod_Prop!$I:$I,"Exacto"),Prod_Prop!$A:$A,Prod_Prop!$J:$J,"",0,1))</f>
        <v/>
      </c>
      <c r="Q173" s="4" t="str">
        <f t="array" ref="Q173">IF($E173="","", XLOOKUP(SUMIFS(Prod_Prop!$A:$A,Prod_Prop!$B:$B,$E173,Prod_Prop!$H:$H,Q$1,Prod_Prop!$I:$I,"Exacto"),Prod_Prop!$A:$A,Prod_Prop!$J:$J,"",0,1))</f>
        <v/>
      </c>
      <c r="R173" s="4" t="str">
        <f t="array" ref="R173">IF($E173="","", XLOOKUP(SUMIFS(Prod_Prop!$A:$A,Prod_Prop!$B:$B,$E173,Prod_Prop!$H:$H,R$1,Prod_Prop!$I:$I,"Exacto"),Prod_Prop!$A:$A,Prod_Prop!$J:$J,"",0,1))</f>
        <v/>
      </c>
      <c r="S173" s="4" t="str">
        <f t="array" ref="S173">IF($E173="","", XLOOKUP(SUMIFS(Prod_Prop!$A:$A,Prod_Prop!$B:$B,$E173,Prod_Prop!$H:$H,S$1,Prod_Prop!$I:$I,"Exacto"),Prod_Prop!$A:$A,Prod_Prop!$J:$J,"",0,1))</f>
        <v/>
      </c>
      <c r="T173" s="4" t="str">
        <f t="array" ref="T173">IF($E173="","", XLOOKUP(SUMIFS(Prod_Prop!$A:$A,Prod_Prop!$B:$B,$E173,Prod_Prop!$H:$H,T$1,Prod_Prop!$I:$I,"Exacto"),Prod_Prop!$A:$A,Prod_Prop!$J:$J,"",0,1))</f>
        <v/>
      </c>
      <c r="U173" s="4" t="str">
        <f t="array" ref="U173">IF($E173="","", XLOOKUP(SUMIFS(Prod_Prop!$A:$A,Prod_Prop!$B:$B,$E173,Prod_Prop!$H:$H,U$1,Prod_Prop!$I:$I,"Exacto"),Prod_Prop!$A:$A,Prod_Prop!$J:$J,"",0,1))</f>
        <v/>
      </c>
      <c r="V173" s="4" t="str">
        <f t="array" ref="V173">IF($E173="","", XLOOKUP(SUMIFS(Prod_Prop!$A:$A,Prod_Prop!$B:$B,$E173,Prod_Prop!$H:$H,V$1,Prod_Prop!$I:$I,"Exacto"),Prod_Prop!$A:$A,Prod_Prop!$J:$J,"",0,1))</f>
        <v/>
      </c>
      <c r="X173" s="3" t="str">
        <f>IFERROR(__xludf.DUMMYFUNCTION("IF(D173="""","""",IFERROR(TRANSPOSE(FILTER('Validaciones Cotizador'!U:U,'Validaciones Cotizador'!O:O=D173,'Validaciones Cotizador'!T:T=""x"")),""Finalizar""))"),"")</f>
        <v/>
      </c>
    </row>
    <row r="174">
      <c r="A174" s="2" t="str">
        <f t="array" ref="A174">IF(E174="","",XLOOKUP(D174,'Validaciones Cotizador'!C:C,'Validaciones Cotizador'!A:A,"",0,1))</f>
        <v/>
      </c>
      <c r="B174" s="2" t="str">
        <f t="array" ref="B174">IF(F174="","",XLOOKUP(F174,Productos!E:E,Productos!G:G,"",0,1))</f>
        <v/>
      </c>
      <c r="C174" s="2" t="str">
        <f>IF(A174="","",SUMIFS('Validaciones Cotizador'!B:B,'Validaciones Cotizador'!C:C,D174,'Validaciones Cotizador'!A:A,A174))</f>
        <v/>
      </c>
      <c r="D174" s="4" t="str">
        <f>IFERROR(__xludf.DUMMYFUNCTION("IF(OR(F173=""Finalizar"",F173="""",F173=""Selecciona..""),"""",IF(OR(F173=""-"",INDEX(filter(Familias!F:F,Familias!D:D=A173,Familias!E:E=C173),1)=""O""),D173+1,D173))"),"")</f>
        <v/>
      </c>
      <c r="E174" s="2" t="str">
        <f>IF(OR(F174="",F174="Selecciona.."),"",IF(D174="Implemento",SUMIF(Implementos!B:B,F174,Implementos!A:A),SUMIF(Productos!E:E,F174,Productos!A:A)))</f>
        <v/>
      </c>
      <c r="F174" s="2" t="str">
        <f t="shared" si="2"/>
        <v/>
      </c>
      <c r="G174" s="10" t="str">
        <f t="array" ref="G174">IF(OR(F174="",F174="-",F174="Selecciona..",F174="Finalizar"),"",IF(A174="Rodados",XLOOKUP(B174,'Validaciones Cotizador'!I:I,'Validaciones Cotizador'!J:J,0,0,1),1))</f>
        <v/>
      </c>
      <c r="H174" s="11" t="str">
        <f>IF(OR(F174="",F174="Selecciona.."),"",SUMIF(Precio_Productos!K:K,E174,Precio_Productos!J:J)*G174)</f>
        <v/>
      </c>
      <c r="I174" s="4" t="str">
        <f t="array" ref="I174">IF($E174="","", XLOOKUP(SUMIFS(Prod_Prop!$A:$A,Prod_Prop!$B:$B,$E174,Prod_Prop!$H:$H,I$1,Prod_Prop!$I:$I,"Exacto"),Prod_Prop!$A:$A,Prod_Prop!$J:$J,"",0,1))</f>
        <v/>
      </c>
      <c r="J174" s="4" t="str">
        <f t="array" ref="J174">IF($E174="","", XLOOKUP(SUMIFS(Prod_Prop!$A:$A,Prod_Prop!$B:$B,$E174,Prod_Prop!$H:$H,J$1,Prod_Prop!$I:$I,"Exacto"),Prod_Prop!$A:$A,Prod_Prop!$J:$J,"",0,1))</f>
        <v/>
      </c>
      <c r="K174" s="4" t="str">
        <f t="array" ref="K174">IF($E174="","", XLOOKUP(SUMIFS(Prod_Prop!$A:$A,Prod_Prop!$B:$B,$E174,Prod_Prop!$H:$H,K$1,Prod_Prop!$I:$I,"Exacto"),Prod_Prop!$A:$A,Prod_Prop!$J:$J,"",0,1))</f>
        <v/>
      </c>
      <c r="L174" s="4" t="str">
        <f t="array" ref="L174">IF($E174="","", XLOOKUP(SUMIFS(Prod_Prop!$A:$A,Prod_Prop!$B:$B,$E174,Prod_Prop!$H:$H,L$1,Prod_Prop!$I:$I,"Exacto"),Prod_Prop!$A:$A,Prod_Prop!$J:$J,"",0,1))</f>
        <v/>
      </c>
      <c r="M174" s="4" t="str">
        <f t="array" ref="M174">IF($E174="","", XLOOKUP(SUMIFS(Prod_Prop!$A:$A,Prod_Prop!$B:$B,$E174,Prod_Prop!$H:$H,M$1,Prod_Prop!$I:$I,"Exacto"),Prod_Prop!$A:$A,Prod_Prop!$J:$J,"",0,1))</f>
        <v/>
      </c>
      <c r="N174" s="4" t="str">
        <f t="array" ref="N174">IF($E174="","", XLOOKUP(SUMIFS(Prod_Prop!$A:$A,Prod_Prop!$B:$B,$E174,Prod_Prop!$H:$H,N$1,Prod_Prop!$I:$I,"Exacto"),Prod_Prop!$A:$A,Prod_Prop!$J:$J,"",0,1))</f>
        <v/>
      </c>
      <c r="O174" s="4" t="str">
        <f t="array" ref="O174">IF($E174="","", XLOOKUP(SUMIFS(Prod_Prop!$A:$A,Prod_Prop!$B:$B,$E174,Prod_Prop!$H:$H,O$1,Prod_Prop!$I:$I,"Exacto"),Prod_Prop!$A:$A,Prod_Prop!$J:$J,"",0,1))</f>
        <v/>
      </c>
      <c r="P174" s="4" t="str">
        <f t="array" ref="P174">IF($E174="","", XLOOKUP(SUMIFS(Prod_Prop!$A:$A,Prod_Prop!$B:$B,$E174,Prod_Prop!$H:$H,P$1,Prod_Prop!$I:$I,"Exacto"),Prod_Prop!$A:$A,Prod_Prop!$J:$J,"",0,1))</f>
        <v/>
      </c>
      <c r="Q174" s="4" t="str">
        <f t="array" ref="Q174">IF($E174="","", XLOOKUP(SUMIFS(Prod_Prop!$A:$A,Prod_Prop!$B:$B,$E174,Prod_Prop!$H:$H,Q$1,Prod_Prop!$I:$I,"Exacto"),Prod_Prop!$A:$A,Prod_Prop!$J:$J,"",0,1))</f>
        <v/>
      </c>
      <c r="R174" s="4" t="str">
        <f t="array" ref="R174">IF($E174="","", XLOOKUP(SUMIFS(Prod_Prop!$A:$A,Prod_Prop!$B:$B,$E174,Prod_Prop!$H:$H,R$1,Prod_Prop!$I:$I,"Exacto"),Prod_Prop!$A:$A,Prod_Prop!$J:$J,"",0,1))</f>
        <v/>
      </c>
      <c r="S174" s="4" t="str">
        <f t="array" ref="S174">IF($E174="","", XLOOKUP(SUMIFS(Prod_Prop!$A:$A,Prod_Prop!$B:$B,$E174,Prod_Prop!$H:$H,S$1,Prod_Prop!$I:$I,"Exacto"),Prod_Prop!$A:$A,Prod_Prop!$J:$J,"",0,1))</f>
        <v/>
      </c>
      <c r="T174" s="4" t="str">
        <f t="array" ref="T174">IF($E174="","", XLOOKUP(SUMIFS(Prod_Prop!$A:$A,Prod_Prop!$B:$B,$E174,Prod_Prop!$H:$H,T$1,Prod_Prop!$I:$I,"Exacto"),Prod_Prop!$A:$A,Prod_Prop!$J:$J,"",0,1))</f>
        <v/>
      </c>
      <c r="U174" s="4" t="str">
        <f t="array" ref="U174">IF($E174="","", XLOOKUP(SUMIFS(Prod_Prop!$A:$A,Prod_Prop!$B:$B,$E174,Prod_Prop!$H:$H,U$1,Prod_Prop!$I:$I,"Exacto"),Prod_Prop!$A:$A,Prod_Prop!$J:$J,"",0,1))</f>
        <v/>
      </c>
      <c r="V174" s="4" t="str">
        <f t="array" ref="V174">IF($E174="","", XLOOKUP(SUMIFS(Prod_Prop!$A:$A,Prod_Prop!$B:$B,$E174,Prod_Prop!$H:$H,V$1,Prod_Prop!$I:$I,"Exacto"),Prod_Prop!$A:$A,Prod_Prop!$J:$J,"",0,1))</f>
        <v/>
      </c>
      <c r="X174" s="3" t="str">
        <f>IFERROR(__xludf.DUMMYFUNCTION("IF(D174="""","""",IFERROR(TRANSPOSE(FILTER('Validaciones Cotizador'!U:U,'Validaciones Cotizador'!O:O=D174,'Validaciones Cotizador'!T:T=""x"")),""Finalizar""))"),"")</f>
        <v/>
      </c>
    </row>
    <row r="175">
      <c r="A175" s="2" t="str">
        <f t="array" ref="A175">IF(E175="","",XLOOKUP(D175,'Validaciones Cotizador'!C:C,'Validaciones Cotizador'!A:A,"",0,1))</f>
        <v/>
      </c>
      <c r="B175" s="2" t="str">
        <f t="array" ref="B175">IF(F175="","",XLOOKUP(F175,Productos!E:E,Productos!G:G,"",0,1))</f>
        <v/>
      </c>
      <c r="C175" s="2" t="str">
        <f>IF(A175="","",SUMIFS('Validaciones Cotizador'!B:B,'Validaciones Cotizador'!C:C,D175,'Validaciones Cotizador'!A:A,A175))</f>
        <v/>
      </c>
      <c r="D175" s="4" t="str">
        <f>IFERROR(__xludf.DUMMYFUNCTION("IF(OR(F174=""Finalizar"",F174="""",F174=""Selecciona..""),"""",IF(OR(F174=""-"",INDEX(filter(Familias!F:F,Familias!D:D=A174,Familias!E:E=C174),1)=""O""),D174+1,D174))"),"")</f>
        <v/>
      </c>
      <c r="E175" s="2" t="str">
        <f>IF(OR(F175="",F175="Selecciona.."),"",IF(D175="Implemento",SUMIF(Implementos!B:B,F175,Implementos!A:A),SUMIF(Productos!E:E,F175,Productos!A:A)))</f>
        <v/>
      </c>
      <c r="F175" s="2" t="str">
        <f t="shared" si="2"/>
        <v/>
      </c>
      <c r="G175" s="10" t="str">
        <f t="array" ref="G175">IF(OR(F175="",F175="-",F175="Selecciona..",F175="Finalizar"),"",IF(A175="Rodados",XLOOKUP(B175,'Validaciones Cotizador'!I:I,'Validaciones Cotizador'!J:J,0,0,1),1))</f>
        <v/>
      </c>
      <c r="H175" s="11" t="str">
        <f>IF(OR(F175="",F175="Selecciona.."),"",SUMIF(Precio_Productos!K:K,E175,Precio_Productos!J:J)*G175)</f>
        <v/>
      </c>
      <c r="I175" s="4" t="str">
        <f t="array" ref="I175">IF($E175="","", XLOOKUP(SUMIFS(Prod_Prop!$A:$A,Prod_Prop!$B:$B,$E175,Prod_Prop!$H:$H,I$1,Prod_Prop!$I:$I,"Exacto"),Prod_Prop!$A:$A,Prod_Prop!$J:$J,"",0,1))</f>
        <v/>
      </c>
      <c r="J175" s="4" t="str">
        <f t="array" ref="J175">IF($E175="","", XLOOKUP(SUMIFS(Prod_Prop!$A:$A,Prod_Prop!$B:$B,$E175,Prod_Prop!$H:$H,J$1,Prod_Prop!$I:$I,"Exacto"),Prod_Prop!$A:$A,Prod_Prop!$J:$J,"",0,1))</f>
        <v/>
      </c>
      <c r="K175" s="4" t="str">
        <f t="array" ref="K175">IF($E175="","", XLOOKUP(SUMIFS(Prod_Prop!$A:$A,Prod_Prop!$B:$B,$E175,Prod_Prop!$H:$H,K$1,Prod_Prop!$I:$I,"Exacto"),Prod_Prop!$A:$A,Prod_Prop!$J:$J,"",0,1))</f>
        <v/>
      </c>
      <c r="L175" s="4" t="str">
        <f t="array" ref="L175">IF($E175="","", XLOOKUP(SUMIFS(Prod_Prop!$A:$A,Prod_Prop!$B:$B,$E175,Prod_Prop!$H:$H,L$1,Prod_Prop!$I:$I,"Exacto"),Prod_Prop!$A:$A,Prod_Prop!$J:$J,"",0,1))</f>
        <v/>
      </c>
      <c r="M175" s="4" t="str">
        <f t="array" ref="M175">IF($E175="","", XLOOKUP(SUMIFS(Prod_Prop!$A:$A,Prod_Prop!$B:$B,$E175,Prod_Prop!$H:$H,M$1,Prod_Prop!$I:$I,"Exacto"),Prod_Prop!$A:$A,Prod_Prop!$J:$J,"",0,1))</f>
        <v/>
      </c>
      <c r="N175" s="4" t="str">
        <f t="array" ref="N175">IF($E175="","", XLOOKUP(SUMIFS(Prod_Prop!$A:$A,Prod_Prop!$B:$B,$E175,Prod_Prop!$H:$H,N$1,Prod_Prop!$I:$I,"Exacto"),Prod_Prop!$A:$A,Prod_Prop!$J:$J,"",0,1))</f>
        <v/>
      </c>
      <c r="O175" s="4" t="str">
        <f t="array" ref="O175">IF($E175="","", XLOOKUP(SUMIFS(Prod_Prop!$A:$A,Prod_Prop!$B:$B,$E175,Prod_Prop!$H:$H,O$1,Prod_Prop!$I:$I,"Exacto"),Prod_Prop!$A:$A,Prod_Prop!$J:$J,"",0,1))</f>
        <v/>
      </c>
      <c r="P175" s="4" t="str">
        <f t="array" ref="P175">IF($E175="","", XLOOKUP(SUMIFS(Prod_Prop!$A:$A,Prod_Prop!$B:$B,$E175,Prod_Prop!$H:$H,P$1,Prod_Prop!$I:$I,"Exacto"),Prod_Prop!$A:$A,Prod_Prop!$J:$J,"",0,1))</f>
        <v/>
      </c>
      <c r="Q175" s="4" t="str">
        <f t="array" ref="Q175">IF($E175="","", XLOOKUP(SUMIFS(Prod_Prop!$A:$A,Prod_Prop!$B:$B,$E175,Prod_Prop!$H:$H,Q$1,Prod_Prop!$I:$I,"Exacto"),Prod_Prop!$A:$A,Prod_Prop!$J:$J,"",0,1))</f>
        <v/>
      </c>
      <c r="R175" s="4" t="str">
        <f t="array" ref="R175">IF($E175="","", XLOOKUP(SUMIFS(Prod_Prop!$A:$A,Prod_Prop!$B:$B,$E175,Prod_Prop!$H:$H,R$1,Prod_Prop!$I:$I,"Exacto"),Prod_Prop!$A:$A,Prod_Prop!$J:$J,"",0,1))</f>
        <v/>
      </c>
      <c r="S175" s="4" t="str">
        <f t="array" ref="S175">IF($E175="","", XLOOKUP(SUMIFS(Prod_Prop!$A:$A,Prod_Prop!$B:$B,$E175,Prod_Prop!$H:$H,S$1,Prod_Prop!$I:$I,"Exacto"),Prod_Prop!$A:$A,Prod_Prop!$J:$J,"",0,1))</f>
        <v/>
      </c>
      <c r="T175" s="4" t="str">
        <f t="array" ref="T175">IF($E175="","", XLOOKUP(SUMIFS(Prod_Prop!$A:$A,Prod_Prop!$B:$B,$E175,Prod_Prop!$H:$H,T$1,Prod_Prop!$I:$I,"Exacto"),Prod_Prop!$A:$A,Prod_Prop!$J:$J,"",0,1))</f>
        <v/>
      </c>
      <c r="U175" s="4" t="str">
        <f t="array" ref="U175">IF($E175="","", XLOOKUP(SUMIFS(Prod_Prop!$A:$A,Prod_Prop!$B:$B,$E175,Prod_Prop!$H:$H,U$1,Prod_Prop!$I:$I,"Exacto"),Prod_Prop!$A:$A,Prod_Prop!$J:$J,"",0,1))</f>
        <v/>
      </c>
      <c r="V175" s="4" t="str">
        <f t="array" ref="V175">IF($E175="","", XLOOKUP(SUMIFS(Prod_Prop!$A:$A,Prod_Prop!$B:$B,$E175,Prod_Prop!$H:$H,V$1,Prod_Prop!$I:$I,"Exacto"),Prod_Prop!$A:$A,Prod_Prop!$J:$J,"",0,1))</f>
        <v/>
      </c>
      <c r="X175" s="3" t="str">
        <f>IFERROR(__xludf.DUMMYFUNCTION("IF(D175="""","""",IFERROR(TRANSPOSE(FILTER('Validaciones Cotizador'!U:U,'Validaciones Cotizador'!O:O=D175,'Validaciones Cotizador'!T:T=""x"")),""Finalizar""))"),"")</f>
        <v/>
      </c>
    </row>
    <row r="176">
      <c r="A176" s="2" t="str">
        <f t="array" ref="A176">IF(E176="","",XLOOKUP(D176,'Validaciones Cotizador'!C:C,'Validaciones Cotizador'!A:A,"",0,1))</f>
        <v/>
      </c>
      <c r="B176" s="2" t="str">
        <f t="array" ref="B176">IF(F176="","",XLOOKUP(F176,Productos!E:E,Productos!G:G,"",0,1))</f>
        <v/>
      </c>
      <c r="C176" s="2" t="str">
        <f>IF(A176="","",SUMIFS('Validaciones Cotizador'!B:B,'Validaciones Cotizador'!C:C,D176,'Validaciones Cotizador'!A:A,A176))</f>
        <v/>
      </c>
      <c r="D176" s="4" t="str">
        <f>IFERROR(__xludf.DUMMYFUNCTION("IF(OR(F175=""Finalizar"",F175="""",F175=""Selecciona..""),"""",IF(OR(F175=""-"",INDEX(filter(Familias!F:F,Familias!D:D=A175,Familias!E:E=C175),1)=""O""),D175+1,D175))"),"")</f>
        <v/>
      </c>
      <c r="E176" s="2" t="str">
        <f>IF(OR(F176="",F176="Selecciona.."),"",IF(D176="Implemento",SUMIF(Implementos!B:B,F176,Implementos!A:A),SUMIF(Productos!E:E,F176,Productos!A:A)))</f>
        <v/>
      </c>
      <c r="F176" s="2" t="str">
        <f t="shared" si="2"/>
        <v/>
      </c>
      <c r="G176" s="10" t="str">
        <f t="array" ref="G176">IF(OR(F176="",F176="-",F176="Selecciona..",F176="Finalizar"),"",IF(A176="Rodados",XLOOKUP(B176,'Validaciones Cotizador'!I:I,'Validaciones Cotizador'!J:J,0,0,1),1))</f>
        <v/>
      </c>
      <c r="H176" s="11" t="str">
        <f>IF(OR(F176="",F176="Selecciona.."),"",SUMIF(Precio_Productos!K:K,E176,Precio_Productos!J:J)*G176)</f>
        <v/>
      </c>
      <c r="I176" s="4" t="str">
        <f t="array" ref="I176">IF($E176="","", XLOOKUP(SUMIFS(Prod_Prop!$A:$A,Prod_Prop!$B:$B,$E176,Prod_Prop!$H:$H,I$1,Prod_Prop!$I:$I,"Exacto"),Prod_Prop!$A:$A,Prod_Prop!$J:$J,"",0,1))</f>
        <v/>
      </c>
      <c r="J176" s="4" t="str">
        <f t="array" ref="J176">IF($E176="","", XLOOKUP(SUMIFS(Prod_Prop!$A:$A,Prod_Prop!$B:$B,$E176,Prod_Prop!$H:$H,J$1,Prod_Prop!$I:$I,"Exacto"),Prod_Prop!$A:$A,Prod_Prop!$J:$J,"",0,1))</f>
        <v/>
      </c>
      <c r="K176" s="4" t="str">
        <f t="array" ref="K176">IF($E176="","", XLOOKUP(SUMIFS(Prod_Prop!$A:$A,Prod_Prop!$B:$B,$E176,Prod_Prop!$H:$H,K$1,Prod_Prop!$I:$I,"Exacto"),Prod_Prop!$A:$A,Prod_Prop!$J:$J,"",0,1))</f>
        <v/>
      </c>
      <c r="L176" s="4" t="str">
        <f t="array" ref="L176">IF($E176="","", XLOOKUP(SUMIFS(Prod_Prop!$A:$A,Prod_Prop!$B:$B,$E176,Prod_Prop!$H:$H,L$1,Prod_Prop!$I:$I,"Exacto"),Prod_Prop!$A:$A,Prod_Prop!$J:$J,"",0,1))</f>
        <v/>
      </c>
      <c r="M176" s="4" t="str">
        <f t="array" ref="M176">IF($E176="","", XLOOKUP(SUMIFS(Prod_Prop!$A:$A,Prod_Prop!$B:$B,$E176,Prod_Prop!$H:$H,M$1,Prod_Prop!$I:$I,"Exacto"),Prod_Prop!$A:$A,Prod_Prop!$J:$J,"",0,1))</f>
        <v/>
      </c>
      <c r="N176" s="4" t="str">
        <f t="array" ref="N176">IF($E176="","", XLOOKUP(SUMIFS(Prod_Prop!$A:$A,Prod_Prop!$B:$B,$E176,Prod_Prop!$H:$H,N$1,Prod_Prop!$I:$I,"Exacto"),Prod_Prop!$A:$A,Prod_Prop!$J:$J,"",0,1))</f>
        <v/>
      </c>
      <c r="O176" s="4" t="str">
        <f t="array" ref="O176">IF($E176="","", XLOOKUP(SUMIFS(Prod_Prop!$A:$A,Prod_Prop!$B:$B,$E176,Prod_Prop!$H:$H,O$1,Prod_Prop!$I:$I,"Exacto"),Prod_Prop!$A:$A,Prod_Prop!$J:$J,"",0,1))</f>
        <v/>
      </c>
      <c r="P176" s="4" t="str">
        <f t="array" ref="P176">IF($E176="","", XLOOKUP(SUMIFS(Prod_Prop!$A:$A,Prod_Prop!$B:$B,$E176,Prod_Prop!$H:$H,P$1,Prod_Prop!$I:$I,"Exacto"),Prod_Prop!$A:$A,Prod_Prop!$J:$J,"",0,1))</f>
        <v/>
      </c>
      <c r="Q176" s="4" t="str">
        <f t="array" ref="Q176">IF($E176="","", XLOOKUP(SUMIFS(Prod_Prop!$A:$A,Prod_Prop!$B:$B,$E176,Prod_Prop!$H:$H,Q$1,Prod_Prop!$I:$I,"Exacto"),Prod_Prop!$A:$A,Prod_Prop!$J:$J,"",0,1))</f>
        <v/>
      </c>
      <c r="R176" s="4" t="str">
        <f t="array" ref="R176">IF($E176="","", XLOOKUP(SUMIFS(Prod_Prop!$A:$A,Prod_Prop!$B:$B,$E176,Prod_Prop!$H:$H,R$1,Prod_Prop!$I:$I,"Exacto"),Prod_Prop!$A:$A,Prod_Prop!$J:$J,"",0,1))</f>
        <v/>
      </c>
      <c r="S176" s="4" t="str">
        <f t="array" ref="S176">IF($E176="","", XLOOKUP(SUMIFS(Prod_Prop!$A:$A,Prod_Prop!$B:$B,$E176,Prod_Prop!$H:$H,S$1,Prod_Prop!$I:$I,"Exacto"),Prod_Prop!$A:$A,Prod_Prop!$J:$J,"",0,1))</f>
        <v/>
      </c>
      <c r="T176" s="4" t="str">
        <f t="array" ref="T176">IF($E176="","", XLOOKUP(SUMIFS(Prod_Prop!$A:$A,Prod_Prop!$B:$B,$E176,Prod_Prop!$H:$H,T$1,Prod_Prop!$I:$I,"Exacto"),Prod_Prop!$A:$A,Prod_Prop!$J:$J,"",0,1))</f>
        <v/>
      </c>
      <c r="U176" s="4" t="str">
        <f t="array" ref="U176">IF($E176="","", XLOOKUP(SUMIFS(Prod_Prop!$A:$A,Prod_Prop!$B:$B,$E176,Prod_Prop!$H:$H,U$1,Prod_Prop!$I:$I,"Exacto"),Prod_Prop!$A:$A,Prod_Prop!$J:$J,"",0,1))</f>
        <v/>
      </c>
      <c r="V176" s="4" t="str">
        <f t="array" ref="V176">IF($E176="","", XLOOKUP(SUMIFS(Prod_Prop!$A:$A,Prod_Prop!$B:$B,$E176,Prod_Prop!$H:$H,V$1,Prod_Prop!$I:$I,"Exacto"),Prod_Prop!$A:$A,Prod_Prop!$J:$J,"",0,1))</f>
        <v/>
      </c>
      <c r="X176" s="3" t="str">
        <f>IFERROR(__xludf.DUMMYFUNCTION("IF(D176="""","""",IFERROR(TRANSPOSE(FILTER('Validaciones Cotizador'!U:U,'Validaciones Cotizador'!O:O=D176,'Validaciones Cotizador'!T:T=""x"")),""Finalizar""))"),"")</f>
        <v/>
      </c>
    </row>
    <row r="177">
      <c r="A177" s="2" t="str">
        <f t="array" ref="A177">IF(E177="","",XLOOKUP(D177,'Validaciones Cotizador'!C:C,'Validaciones Cotizador'!A:A,"",0,1))</f>
        <v/>
      </c>
      <c r="B177" s="2" t="str">
        <f t="array" ref="B177">IF(F177="","",XLOOKUP(F177,Productos!E:E,Productos!G:G,"",0,1))</f>
        <v/>
      </c>
      <c r="C177" s="2" t="str">
        <f>IF(A177="","",SUMIFS('Validaciones Cotizador'!B:B,'Validaciones Cotizador'!C:C,D177,'Validaciones Cotizador'!A:A,A177))</f>
        <v/>
      </c>
      <c r="D177" s="4" t="str">
        <f>IFERROR(__xludf.DUMMYFUNCTION("IF(OR(F176=""Finalizar"",F176="""",F176=""Selecciona..""),"""",IF(OR(F176=""-"",INDEX(filter(Familias!F:F,Familias!D:D=A176,Familias!E:E=C176),1)=""O""),D176+1,D176))"),"")</f>
        <v/>
      </c>
      <c r="E177" s="2" t="str">
        <f>IF(OR(F177="",F177="Selecciona.."),"",IF(D177="Implemento",SUMIF(Implementos!B:B,F177,Implementos!A:A),SUMIF(Productos!E:E,F177,Productos!A:A)))</f>
        <v/>
      </c>
      <c r="F177" s="2" t="str">
        <f t="shared" si="2"/>
        <v/>
      </c>
      <c r="G177" s="10" t="str">
        <f t="array" ref="G177">IF(OR(F177="",F177="-",F177="Selecciona..",F177="Finalizar"),"",IF(A177="Rodados",XLOOKUP(B177,'Validaciones Cotizador'!I:I,'Validaciones Cotizador'!J:J,0,0,1),1))</f>
        <v/>
      </c>
      <c r="H177" s="11" t="str">
        <f>IF(OR(F177="",F177="Selecciona.."),"",SUMIF(Precio_Productos!K:K,E177,Precio_Productos!J:J)*G177)</f>
        <v/>
      </c>
      <c r="I177" s="4" t="str">
        <f t="array" ref="I177">IF($E177="","", XLOOKUP(SUMIFS(Prod_Prop!$A:$A,Prod_Prop!$B:$B,$E177,Prod_Prop!$H:$H,I$1,Prod_Prop!$I:$I,"Exacto"),Prod_Prop!$A:$A,Prod_Prop!$J:$J,"",0,1))</f>
        <v/>
      </c>
      <c r="J177" s="4" t="str">
        <f t="array" ref="J177">IF($E177="","", XLOOKUP(SUMIFS(Prod_Prop!$A:$A,Prod_Prop!$B:$B,$E177,Prod_Prop!$H:$H,J$1,Prod_Prop!$I:$I,"Exacto"),Prod_Prop!$A:$A,Prod_Prop!$J:$J,"",0,1))</f>
        <v/>
      </c>
      <c r="K177" s="4" t="str">
        <f t="array" ref="K177">IF($E177="","", XLOOKUP(SUMIFS(Prod_Prop!$A:$A,Prod_Prop!$B:$B,$E177,Prod_Prop!$H:$H,K$1,Prod_Prop!$I:$I,"Exacto"),Prod_Prop!$A:$A,Prod_Prop!$J:$J,"",0,1))</f>
        <v/>
      </c>
      <c r="L177" s="4" t="str">
        <f t="array" ref="L177">IF($E177="","", XLOOKUP(SUMIFS(Prod_Prop!$A:$A,Prod_Prop!$B:$B,$E177,Prod_Prop!$H:$H,L$1,Prod_Prop!$I:$I,"Exacto"),Prod_Prop!$A:$A,Prod_Prop!$J:$J,"",0,1))</f>
        <v/>
      </c>
      <c r="M177" s="4" t="str">
        <f t="array" ref="M177">IF($E177="","", XLOOKUP(SUMIFS(Prod_Prop!$A:$A,Prod_Prop!$B:$B,$E177,Prod_Prop!$H:$H,M$1,Prod_Prop!$I:$I,"Exacto"),Prod_Prop!$A:$A,Prod_Prop!$J:$J,"",0,1))</f>
        <v/>
      </c>
      <c r="N177" s="4" t="str">
        <f t="array" ref="N177">IF($E177="","", XLOOKUP(SUMIFS(Prod_Prop!$A:$A,Prod_Prop!$B:$B,$E177,Prod_Prop!$H:$H,N$1,Prod_Prop!$I:$I,"Exacto"),Prod_Prop!$A:$A,Prod_Prop!$J:$J,"",0,1))</f>
        <v/>
      </c>
      <c r="O177" s="4" t="str">
        <f t="array" ref="O177">IF($E177="","", XLOOKUP(SUMIFS(Prod_Prop!$A:$A,Prod_Prop!$B:$B,$E177,Prod_Prop!$H:$H,O$1,Prod_Prop!$I:$I,"Exacto"),Prod_Prop!$A:$A,Prod_Prop!$J:$J,"",0,1))</f>
        <v/>
      </c>
      <c r="P177" s="4" t="str">
        <f t="array" ref="P177">IF($E177="","", XLOOKUP(SUMIFS(Prod_Prop!$A:$A,Prod_Prop!$B:$B,$E177,Prod_Prop!$H:$H,P$1,Prod_Prop!$I:$I,"Exacto"),Prod_Prop!$A:$A,Prod_Prop!$J:$J,"",0,1))</f>
        <v/>
      </c>
      <c r="Q177" s="4" t="str">
        <f t="array" ref="Q177">IF($E177="","", XLOOKUP(SUMIFS(Prod_Prop!$A:$A,Prod_Prop!$B:$B,$E177,Prod_Prop!$H:$H,Q$1,Prod_Prop!$I:$I,"Exacto"),Prod_Prop!$A:$A,Prod_Prop!$J:$J,"",0,1))</f>
        <v/>
      </c>
      <c r="R177" s="4" t="str">
        <f t="array" ref="R177">IF($E177="","", XLOOKUP(SUMIFS(Prod_Prop!$A:$A,Prod_Prop!$B:$B,$E177,Prod_Prop!$H:$H,R$1,Prod_Prop!$I:$I,"Exacto"),Prod_Prop!$A:$A,Prod_Prop!$J:$J,"",0,1))</f>
        <v/>
      </c>
      <c r="S177" s="4" t="str">
        <f t="array" ref="S177">IF($E177="","", XLOOKUP(SUMIFS(Prod_Prop!$A:$A,Prod_Prop!$B:$B,$E177,Prod_Prop!$H:$H,S$1,Prod_Prop!$I:$I,"Exacto"),Prod_Prop!$A:$A,Prod_Prop!$J:$J,"",0,1))</f>
        <v/>
      </c>
      <c r="T177" s="4" t="str">
        <f t="array" ref="T177">IF($E177="","", XLOOKUP(SUMIFS(Prod_Prop!$A:$A,Prod_Prop!$B:$B,$E177,Prod_Prop!$H:$H,T$1,Prod_Prop!$I:$I,"Exacto"),Prod_Prop!$A:$A,Prod_Prop!$J:$J,"",0,1))</f>
        <v/>
      </c>
      <c r="U177" s="4" t="str">
        <f t="array" ref="U177">IF($E177="","", XLOOKUP(SUMIFS(Prod_Prop!$A:$A,Prod_Prop!$B:$B,$E177,Prod_Prop!$H:$H,U$1,Prod_Prop!$I:$I,"Exacto"),Prod_Prop!$A:$A,Prod_Prop!$J:$J,"",0,1))</f>
        <v/>
      </c>
      <c r="V177" s="4" t="str">
        <f t="array" ref="V177">IF($E177="","", XLOOKUP(SUMIFS(Prod_Prop!$A:$A,Prod_Prop!$B:$B,$E177,Prod_Prop!$H:$H,V$1,Prod_Prop!$I:$I,"Exacto"),Prod_Prop!$A:$A,Prod_Prop!$J:$J,"",0,1))</f>
        <v/>
      </c>
      <c r="X177" s="3" t="str">
        <f>IFERROR(__xludf.DUMMYFUNCTION("IF(D177="""","""",IFERROR(TRANSPOSE(FILTER('Validaciones Cotizador'!U:U,'Validaciones Cotizador'!O:O=D177,'Validaciones Cotizador'!T:T=""x"")),""Finalizar""))"),"")</f>
        <v/>
      </c>
    </row>
    <row r="178">
      <c r="A178" s="2" t="str">
        <f t="array" ref="A178">IF(E178="","",XLOOKUP(D178,'Validaciones Cotizador'!C:C,'Validaciones Cotizador'!A:A,"",0,1))</f>
        <v/>
      </c>
      <c r="B178" s="2" t="str">
        <f t="array" ref="B178">IF(F178="","",XLOOKUP(F178,Productos!E:E,Productos!G:G,"",0,1))</f>
        <v/>
      </c>
      <c r="C178" s="2" t="str">
        <f>IF(A178="","",SUMIFS('Validaciones Cotizador'!B:B,'Validaciones Cotizador'!C:C,D178,'Validaciones Cotizador'!A:A,A178))</f>
        <v/>
      </c>
      <c r="D178" s="4" t="str">
        <f>IFERROR(__xludf.DUMMYFUNCTION("IF(OR(F177=""Finalizar"",F177="""",F177=""Selecciona..""),"""",IF(OR(F177=""-"",INDEX(filter(Familias!F:F,Familias!D:D=A177,Familias!E:E=C177),1)=""O""),D177+1,D177))"),"")</f>
        <v/>
      </c>
      <c r="E178" s="2" t="str">
        <f>IF(OR(F178="",F178="Selecciona.."),"",IF(D178="Implemento",SUMIF(Implementos!B:B,F178,Implementos!A:A),SUMIF(Productos!E:E,F178,Productos!A:A)))</f>
        <v/>
      </c>
      <c r="F178" s="2" t="str">
        <f t="shared" si="2"/>
        <v/>
      </c>
      <c r="G178" s="10" t="str">
        <f t="array" ref="G178">IF(OR(F178="",F178="-",F178="Selecciona..",F178="Finalizar"),"",IF(A178="Rodados",XLOOKUP(B178,'Validaciones Cotizador'!I:I,'Validaciones Cotizador'!J:J,0,0,1),1))</f>
        <v/>
      </c>
      <c r="H178" s="11" t="str">
        <f>IF(OR(F178="",F178="Selecciona.."),"",SUMIF(Precio_Productos!K:K,E178,Precio_Productos!J:J)*G178)</f>
        <v/>
      </c>
      <c r="I178" s="4" t="str">
        <f t="array" ref="I178">IF($E178="","", XLOOKUP(SUMIFS(Prod_Prop!$A:$A,Prod_Prop!$B:$B,$E178,Prod_Prop!$H:$H,I$1,Prod_Prop!$I:$I,"Exacto"),Prod_Prop!$A:$A,Prod_Prop!$J:$J,"",0,1))</f>
        <v/>
      </c>
      <c r="J178" s="4" t="str">
        <f t="array" ref="J178">IF($E178="","", XLOOKUP(SUMIFS(Prod_Prop!$A:$A,Prod_Prop!$B:$B,$E178,Prod_Prop!$H:$H,J$1,Prod_Prop!$I:$I,"Exacto"),Prod_Prop!$A:$A,Prod_Prop!$J:$J,"",0,1))</f>
        <v/>
      </c>
      <c r="K178" s="4" t="str">
        <f t="array" ref="K178">IF($E178="","", XLOOKUP(SUMIFS(Prod_Prop!$A:$A,Prod_Prop!$B:$B,$E178,Prod_Prop!$H:$H,K$1,Prod_Prop!$I:$I,"Exacto"),Prod_Prop!$A:$A,Prod_Prop!$J:$J,"",0,1))</f>
        <v/>
      </c>
      <c r="L178" s="4" t="str">
        <f t="array" ref="L178">IF($E178="","", XLOOKUP(SUMIFS(Prod_Prop!$A:$A,Prod_Prop!$B:$B,$E178,Prod_Prop!$H:$H,L$1,Prod_Prop!$I:$I,"Exacto"),Prod_Prop!$A:$A,Prod_Prop!$J:$J,"",0,1))</f>
        <v/>
      </c>
      <c r="M178" s="4" t="str">
        <f t="array" ref="M178">IF($E178="","", XLOOKUP(SUMIFS(Prod_Prop!$A:$A,Prod_Prop!$B:$B,$E178,Prod_Prop!$H:$H,M$1,Prod_Prop!$I:$I,"Exacto"),Prod_Prop!$A:$A,Prod_Prop!$J:$J,"",0,1))</f>
        <v/>
      </c>
      <c r="N178" s="4" t="str">
        <f t="array" ref="N178">IF($E178="","", XLOOKUP(SUMIFS(Prod_Prop!$A:$A,Prod_Prop!$B:$B,$E178,Prod_Prop!$H:$H,N$1,Prod_Prop!$I:$I,"Exacto"),Prod_Prop!$A:$A,Prod_Prop!$J:$J,"",0,1))</f>
        <v/>
      </c>
      <c r="O178" s="4" t="str">
        <f t="array" ref="O178">IF($E178="","", XLOOKUP(SUMIFS(Prod_Prop!$A:$A,Prod_Prop!$B:$B,$E178,Prod_Prop!$H:$H,O$1,Prod_Prop!$I:$I,"Exacto"),Prod_Prop!$A:$A,Prod_Prop!$J:$J,"",0,1))</f>
        <v/>
      </c>
      <c r="P178" s="4" t="str">
        <f t="array" ref="P178">IF($E178="","", XLOOKUP(SUMIFS(Prod_Prop!$A:$A,Prod_Prop!$B:$B,$E178,Prod_Prop!$H:$H,P$1,Prod_Prop!$I:$I,"Exacto"),Prod_Prop!$A:$A,Prod_Prop!$J:$J,"",0,1))</f>
        <v/>
      </c>
      <c r="Q178" s="4" t="str">
        <f t="array" ref="Q178">IF($E178="","", XLOOKUP(SUMIFS(Prod_Prop!$A:$A,Prod_Prop!$B:$B,$E178,Prod_Prop!$H:$H,Q$1,Prod_Prop!$I:$I,"Exacto"),Prod_Prop!$A:$A,Prod_Prop!$J:$J,"",0,1))</f>
        <v/>
      </c>
      <c r="R178" s="4" t="str">
        <f t="array" ref="R178">IF($E178="","", XLOOKUP(SUMIFS(Prod_Prop!$A:$A,Prod_Prop!$B:$B,$E178,Prod_Prop!$H:$H,R$1,Prod_Prop!$I:$I,"Exacto"),Prod_Prop!$A:$A,Prod_Prop!$J:$J,"",0,1))</f>
        <v/>
      </c>
      <c r="S178" s="4" t="str">
        <f t="array" ref="S178">IF($E178="","", XLOOKUP(SUMIFS(Prod_Prop!$A:$A,Prod_Prop!$B:$B,$E178,Prod_Prop!$H:$H,S$1,Prod_Prop!$I:$I,"Exacto"),Prod_Prop!$A:$A,Prod_Prop!$J:$J,"",0,1))</f>
        <v/>
      </c>
      <c r="T178" s="4" t="str">
        <f t="array" ref="T178">IF($E178="","", XLOOKUP(SUMIFS(Prod_Prop!$A:$A,Prod_Prop!$B:$B,$E178,Prod_Prop!$H:$H,T$1,Prod_Prop!$I:$I,"Exacto"),Prod_Prop!$A:$A,Prod_Prop!$J:$J,"",0,1))</f>
        <v/>
      </c>
      <c r="U178" s="4" t="str">
        <f t="array" ref="U178">IF($E178="","", XLOOKUP(SUMIFS(Prod_Prop!$A:$A,Prod_Prop!$B:$B,$E178,Prod_Prop!$H:$H,U$1,Prod_Prop!$I:$I,"Exacto"),Prod_Prop!$A:$A,Prod_Prop!$J:$J,"",0,1))</f>
        <v/>
      </c>
      <c r="V178" s="4" t="str">
        <f t="array" ref="V178">IF($E178="","", XLOOKUP(SUMIFS(Prod_Prop!$A:$A,Prod_Prop!$B:$B,$E178,Prod_Prop!$H:$H,V$1,Prod_Prop!$I:$I,"Exacto"),Prod_Prop!$A:$A,Prod_Prop!$J:$J,"",0,1))</f>
        <v/>
      </c>
      <c r="X178" s="3" t="str">
        <f>IFERROR(__xludf.DUMMYFUNCTION("IF(D178="""","""",IFERROR(TRANSPOSE(FILTER('Validaciones Cotizador'!U:U,'Validaciones Cotizador'!O:O=D178,'Validaciones Cotizador'!T:T=""x"")),""Finalizar""))"),"")</f>
        <v/>
      </c>
    </row>
    <row r="179">
      <c r="A179" s="2" t="str">
        <f t="array" ref="A179">IF(E179="","",XLOOKUP(D179,'Validaciones Cotizador'!C:C,'Validaciones Cotizador'!A:A,"",0,1))</f>
        <v/>
      </c>
      <c r="B179" s="2" t="str">
        <f t="array" ref="B179">IF(F179="","",XLOOKUP(F179,Productos!E:E,Productos!G:G,"",0,1))</f>
        <v/>
      </c>
      <c r="C179" s="2" t="str">
        <f>IF(A179="","",SUMIFS('Validaciones Cotizador'!B:B,'Validaciones Cotizador'!C:C,D179,'Validaciones Cotizador'!A:A,A179))</f>
        <v/>
      </c>
      <c r="D179" s="4" t="str">
        <f>IFERROR(__xludf.DUMMYFUNCTION("IF(OR(F178=""Finalizar"",F178="""",F178=""Selecciona..""),"""",IF(OR(F178=""-"",INDEX(filter(Familias!F:F,Familias!D:D=A178,Familias!E:E=C178),1)=""O""),D178+1,D178))"),"")</f>
        <v/>
      </c>
      <c r="E179" s="2" t="str">
        <f>IF(OR(F179="",F179="Selecciona.."),"",IF(D179="Implemento",SUMIF(Implementos!B:B,F179,Implementos!A:A),SUMIF(Productos!E:E,F179,Productos!A:A)))</f>
        <v/>
      </c>
      <c r="F179" s="2" t="str">
        <f t="shared" si="2"/>
        <v/>
      </c>
      <c r="G179" s="10" t="str">
        <f t="array" ref="G179">IF(OR(F179="",F179="-",F179="Selecciona..",F179="Finalizar"),"",IF(A179="Rodados",XLOOKUP(B179,'Validaciones Cotizador'!I:I,'Validaciones Cotizador'!J:J,0,0,1),1))</f>
        <v/>
      </c>
      <c r="H179" s="11" t="str">
        <f>IF(OR(F179="",F179="Selecciona.."),"",SUMIF(Precio_Productos!K:K,E179,Precio_Productos!J:J)*G179)</f>
        <v/>
      </c>
      <c r="I179" s="4" t="str">
        <f t="array" ref="I179">IF($E179="","", XLOOKUP(SUMIFS(Prod_Prop!$A:$A,Prod_Prop!$B:$B,$E179,Prod_Prop!$H:$H,I$1,Prod_Prop!$I:$I,"Exacto"),Prod_Prop!$A:$A,Prod_Prop!$J:$J,"",0,1))</f>
        <v/>
      </c>
      <c r="J179" s="4" t="str">
        <f t="array" ref="J179">IF($E179="","", XLOOKUP(SUMIFS(Prod_Prop!$A:$A,Prod_Prop!$B:$B,$E179,Prod_Prop!$H:$H,J$1,Prod_Prop!$I:$I,"Exacto"),Prod_Prop!$A:$A,Prod_Prop!$J:$J,"",0,1))</f>
        <v/>
      </c>
      <c r="K179" s="4" t="str">
        <f t="array" ref="K179">IF($E179="","", XLOOKUP(SUMIFS(Prod_Prop!$A:$A,Prod_Prop!$B:$B,$E179,Prod_Prop!$H:$H,K$1,Prod_Prop!$I:$I,"Exacto"),Prod_Prop!$A:$A,Prod_Prop!$J:$J,"",0,1))</f>
        <v/>
      </c>
      <c r="L179" s="4" t="str">
        <f t="array" ref="L179">IF($E179="","", XLOOKUP(SUMIFS(Prod_Prop!$A:$A,Prod_Prop!$B:$B,$E179,Prod_Prop!$H:$H,L$1,Prod_Prop!$I:$I,"Exacto"),Prod_Prop!$A:$A,Prod_Prop!$J:$J,"",0,1))</f>
        <v/>
      </c>
      <c r="M179" s="4" t="str">
        <f t="array" ref="M179">IF($E179="","", XLOOKUP(SUMIFS(Prod_Prop!$A:$A,Prod_Prop!$B:$B,$E179,Prod_Prop!$H:$H,M$1,Prod_Prop!$I:$I,"Exacto"),Prod_Prop!$A:$A,Prod_Prop!$J:$J,"",0,1))</f>
        <v/>
      </c>
      <c r="N179" s="4" t="str">
        <f t="array" ref="N179">IF($E179="","", XLOOKUP(SUMIFS(Prod_Prop!$A:$A,Prod_Prop!$B:$B,$E179,Prod_Prop!$H:$H,N$1,Prod_Prop!$I:$I,"Exacto"),Prod_Prop!$A:$A,Prod_Prop!$J:$J,"",0,1))</f>
        <v/>
      </c>
      <c r="O179" s="4" t="str">
        <f t="array" ref="O179">IF($E179="","", XLOOKUP(SUMIFS(Prod_Prop!$A:$A,Prod_Prop!$B:$B,$E179,Prod_Prop!$H:$H,O$1,Prod_Prop!$I:$I,"Exacto"),Prod_Prop!$A:$A,Prod_Prop!$J:$J,"",0,1))</f>
        <v/>
      </c>
      <c r="P179" s="4" t="str">
        <f t="array" ref="P179">IF($E179="","", XLOOKUP(SUMIFS(Prod_Prop!$A:$A,Prod_Prop!$B:$B,$E179,Prod_Prop!$H:$H,P$1,Prod_Prop!$I:$I,"Exacto"),Prod_Prop!$A:$A,Prod_Prop!$J:$J,"",0,1))</f>
        <v/>
      </c>
      <c r="Q179" s="4" t="str">
        <f t="array" ref="Q179">IF($E179="","", XLOOKUP(SUMIFS(Prod_Prop!$A:$A,Prod_Prop!$B:$B,$E179,Prod_Prop!$H:$H,Q$1,Prod_Prop!$I:$I,"Exacto"),Prod_Prop!$A:$A,Prod_Prop!$J:$J,"",0,1))</f>
        <v/>
      </c>
      <c r="R179" s="4" t="str">
        <f t="array" ref="R179">IF($E179="","", XLOOKUP(SUMIFS(Prod_Prop!$A:$A,Prod_Prop!$B:$B,$E179,Prod_Prop!$H:$H,R$1,Prod_Prop!$I:$I,"Exacto"),Prod_Prop!$A:$A,Prod_Prop!$J:$J,"",0,1))</f>
        <v/>
      </c>
      <c r="S179" s="4" t="str">
        <f t="array" ref="S179">IF($E179="","", XLOOKUP(SUMIFS(Prod_Prop!$A:$A,Prod_Prop!$B:$B,$E179,Prod_Prop!$H:$H,S$1,Prod_Prop!$I:$I,"Exacto"),Prod_Prop!$A:$A,Prod_Prop!$J:$J,"",0,1))</f>
        <v/>
      </c>
      <c r="T179" s="4" t="str">
        <f t="array" ref="T179">IF($E179="","", XLOOKUP(SUMIFS(Prod_Prop!$A:$A,Prod_Prop!$B:$B,$E179,Prod_Prop!$H:$H,T$1,Prod_Prop!$I:$I,"Exacto"),Prod_Prop!$A:$A,Prod_Prop!$J:$J,"",0,1))</f>
        <v/>
      </c>
      <c r="U179" s="4" t="str">
        <f t="array" ref="U179">IF($E179="","", XLOOKUP(SUMIFS(Prod_Prop!$A:$A,Prod_Prop!$B:$B,$E179,Prod_Prop!$H:$H,U$1,Prod_Prop!$I:$I,"Exacto"),Prod_Prop!$A:$A,Prod_Prop!$J:$J,"",0,1))</f>
        <v/>
      </c>
      <c r="V179" s="4" t="str">
        <f t="array" ref="V179">IF($E179="","", XLOOKUP(SUMIFS(Prod_Prop!$A:$A,Prod_Prop!$B:$B,$E179,Prod_Prop!$H:$H,V$1,Prod_Prop!$I:$I,"Exacto"),Prod_Prop!$A:$A,Prod_Prop!$J:$J,"",0,1))</f>
        <v/>
      </c>
      <c r="X179" s="3" t="str">
        <f>IFERROR(__xludf.DUMMYFUNCTION("IF(D179="""","""",IFERROR(TRANSPOSE(FILTER('Validaciones Cotizador'!U:U,'Validaciones Cotizador'!O:O=D179,'Validaciones Cotizador'!T:T=""x"")),""Finalizar""))"),"")</f>
        <v/>
      </c>
    </row>
    <row r="180">
      <c r="A180" s="2" t="str">
        <f t="array" ref="A180">IF(E180="","",XLOOKUP(D180,'Validaciones Cotizador'!C:C,'Validaciones Cotizador'!A:A,"",0,1))</f>
        <v/>
      </c>
      <c r="B180" s="2" t="str">
        <f t="array" ref="B180">IF(F180="","",XLOOKUP(F180,Productos!E:E,Productos!G:G,"",0,1))</f>
        <v/>
      </c>
      <c r="C180" s="2" t="str">
        <f>IF(A180="","",SUMIFS('Validaciones Cotizador'!B:B,'Validaciones Cotizador'!C:C,D180,'Validaciones Cotizador'!A:A,A180))</f>
        <v/>
      </c>
      <c r="D180" s="4" t="str">
        <f>IFERROR(__xludf.DUMMYFUNCTION("IF(OR(F179=""Finalizar"",F179="""",F179=""Selecciona..""),"""",IF(OR(F179=""-"",INDEX(filter(Familias!F:F,Familias!D:D=A179,Familias!E:E=C179),1)=""O""),D179+1,D179))"),"")</f>
        <v/>
      </c>
      <c r="E180" s="2" t="str">
        <f>IF(OR(F180="",F180="Selecciona.."),"",IF(D180="Implemento",SUMIF(Implementos!B:B,F180,Implementos!A:A),SUMIF(Productos!E:E,F180,Productos!A:A)))</f>
        <v/>
      </c>
      <c r="F180" s="2" t="str">
        <f t="shared" si="2"/>
        <v/>
      </c>
      <c r="G180" s="10" t="str">
        <f t="array" ref="G180">IF(OR(F180="",F180="-",F180="Selecciona..",F180="Finalizar"),"",IF(A180="Rodados",XLOOKUP(B180,'Validaciones Cotizador'!I:I,'Validaciones Cotizador'!J:J,0,0,1),1))</f>
        <v/>
      </c>
      <c r="H180" s="11" t="str">
        <f>IF(OR(F180="",F180="Selecciona.."),"",SUMIF(Precio_Productos!K:K,E180,Precio_Productos!J:J)*G180)</f>
        <v/>
      </c>
      <c r="I180" s="4" t="str">
        <f t="array" ref="I180">IF($E180="","", XLOOKUP(SUMIFS(Prod_Prop!$A:$A,Prod_Prop!$B:$B,$E180,Prod_Prop!$H:$H,I$1,Prod_Prop!$I:$I,"Exacto"),Prod_Prop!$A:$A,Prod_Prop!$J:$J,"",0,1))</f>
        <v/>
      </c>
      <c r="J180" s="4" t="str">
        <f t="array" ref="J180">IF($E180="","", XLOOKUP(SUMIFS(Prod_Prop!$A:$A,Prod_Prop!$B:$B,$E180,Prod_Prop!$H:$H,J$1,Prod_Prop!$I:$I,"Exacto"),Prod_Prop!$A:$A,Prod_Prop!$J:$J,"",0,1))</f>
        <v/>
      </c>
      <c r="K180" s="4" t="str">
        <f t="array" ref="K180">IF($E180="","", XLOOKUP(SUMIFS(Prod_Prop!$A:$A,Prod_Prop!$B:$B,$E180,Prod_Prop!$H:$H,K$1,Prod_Prop!$I:$I,"Exacto"),Prod_Prop!$A:$A,Prod_Prop!$J:$J,"",0,1))</f>
        <v/>
      </c>
      <c r="L180" s="4" t="str">
        <f t="array" ref="L180">IF($E180="","", XLOOKUP(SUMIFS(Prod_Prop!$A:$A,Prod_Prop!$B:$B,$E180,Prod_Prop!$H:$H,L$1,Prod_Prop!$I:$I,"Exacto"),Prod_Prop!$A:$A,Prod_Prop!$J:$J,"",0,1))</f>
        <v/>
      </c>
      <c r="M180" s="4" t="str">
        <f t="array" ref="M180">IF($E180="","", XLOOKUP(SUMIFS(Prod_Prop!$A:$A,Prod_Prop!$B:$B,$E180,Prod_Prop!$H:$H,M$1,Prod_Prop!$I:$I,"Exacto"),Prod_Prop!$A:$A,Prod_Prop!$J:$J,"",0,1))</f>
        <v/>
      </c>
      <c r="N180" s="4" t="str">
        <f t="array" ref="N180">IF($E180="","", XLOOKUP(SUMIFS(Prod_Prop!$A:$A,Prod_Prop!$B:$B,$E180,Prod_Prop!$H:$H,N$1,Prod_Prop!$I:$I,"Exacto"),Prod_Prop!$A:$A,Prod_Prop!$J:$J,"",0,1))</f>
        <v/>
      </c>
      <c r="O180" s="4" t="str">
        <f t="array" ref="O180">IF($E180="","", XLOOKUP(SUMIFS(Prod_Prop!$A:$A,Prod_Prop!$B:$B,$E180,Prod_Prop!$H:$H,O$1,Prod_Prop!$I:$I,"Exacto"),Prod_Prop!$A:$A,Prod_Prop!$J:$J,"",0,1))</f>
        <v/>
      </c>
      <c r="P180" s="4" t="str">
        <f t="array" ref="P180">IF($E180="","", XLOOKUP(SUMIFS(Prod_Prop!$A:$A,Prod_Prop!$B:$B,$E180,Prod_Prop!$H:$H,P$1,Prod_Prop!$I:$I,"Exacto"),Prod_Prop!$A:$A,Prod_Prop!$J:$J,"",0,1))</f>
        <v/>
      </c>
      <c r="Q180" s="4" t="str">
        <f t="array" ref="Q180">IF($E180="","", XLOOKUP(SUMIFS(Prod_Prop!$A:$A,Prod_Prop!$B:$B,$E180,Prod_Prop!$H:$H,Q$1,Prod_Prop!$I:$I,"Exacto"),Prod_Prop!$A:$A,Prod_Prop!$J:$J,"",0,1))</f>
        <v/>
      </c>
      <c r="R180" s="4" t="str">
        <f t="array" ref="R180">IF($E180="","", XLOOKUP(SUMIFS(Prod_Prop!$A:$A,Prod_Prop!$B:$B,$E180,Prod_Prop!$H:$H,R$1,Prod_Prop!$I:$I,"Exacto"),Prod_Prop!$A:$A,Prod_Prop!$J:$J,"",0,1))</f>
        <v/>
      </c>
      <c r="S180" s="4" t="str">
        <f t="array" ref="S180">IF($E180="","", XLOOKUP(SUMIFS(Prod_Prop!$A:$A,Prod_Prop!$B:$B,$E180,Prod_Prop!$H:$H,S$1,Prod_Prop!$I:$I,"Exacto"),Prod_Prop!$A:$A,Prod_Prop!$J:$J,"",0,1))</f>
        <v/>
      </c>
      <c r="T180" s="4" t="str">
        <f t="array" ref="T180">IF($E180="","", XLOOKUP(SUMIFS(Prod_Prop!$A:$A,Prod_Prop!$B:$B,$E180,Prod_Prop!$H:$H,T$1,Prod_Prop!$I:$I,"Exacto"),Prod_Prop!$A:$A,Prod_Prop!$J:$J,"",0,1))</f>
        <v/>
      </c>
      <c r="U180" s="4" t="str">
        <f t="array" ref="U180">IF($E180="","", XLOOKUP(SUMIFS(Prod_Prop!$A:$A,Prod_Prop!$B:$B,$E180,Prod_Prop!$H:$H,U$1,Prod_Prop!$I:$I,"Exacto"),Prod_Prop!$A:$A,Prod_Prop!$J:$J,"",0,1))</f>
        <v/>
      </c>
      <c r="V180" s="4" t="str">
        <f t="array" ref="V180">IF($E180="","", XLOOKUP(SUMIFS(Prod_Prop!$A:$A,Prod_Prop!$B:$B,$E180,Prod_Prop!$H:$H,V$1,Prod_Prop!$I:$I,"Exacto"),Prod_Prop!$A:$A,Prod_Prop!$J:$J,"",0,1))</f>
        <v/>
      </c>
      <c r="X180" s="3" t="str">
        <f>IFERROR(__xludf.DUMMYFUNCTION("IF(D180="""","""",IFERROR(TRANSPOSE(FILTER('Validaciones Cotizador'!U:U,'Validaciones Cotizador'!O:O=D180,'Validaciones Cotizador'!T:T=""x"")),""Finalizar""))"),"")</f>
        <v/>
      </c>
    </row>
    <row r="181">
      <c r="A181" s="2" t="str">
        <f t="array" ref="A181">IF(E181="","",XLOOKUP(D181,'Validaciones Cotizador'!C:C,'Validaciones Cotizador'!A:A,"",0,1))</f>
        <v/>
      </c>
      <c r="B181" s="2" t="str">
        <f t="array" ref="B181">IF(F181="","",XLOOKUP(F181,Productos!E:E,Productos!G:G,"",0,1))</f>
        <v/>
      </c>
      <c r="C181" s="2" t="str">
        <f>IF(A181="","",SUMIFS('Validaciones Cotizador'!B:B,'Validaciones Cotizador'!C:C,D181,'Validaciones Cotizador'!A:A,A181))</f>
        <v/>
      </c>
      <c r="D181" s="4" t="str">
        <f>IFERROR(__xludf.DUMMYFUNCTION("IF(OR(F180=""Finalizar"",F180="""",F180=""Selecciona..""),"""",IF(OR(F180=""-"",INDEX(filter(Familias!F:F,Familias!D:D=A180,Familias!E:E=C180),1)=""O""),D180+1,D180))"),"")</f>
        <v/>
      </c>
      <c r="E181" s="2" t="str">
        <f>IF(OR(F181="",F181="Selecciona.."),"",IF(D181="Implemento",SUMIF(Implementos!B:B,F181,Implementos!A:A),SUMIF(Productos!E:E,F181,Productos!A:A)))</f>
        <v/>
      </c>
      <c r="F181" s="2" t="str">
        <f t="shared" si="2"/>
        <v/>
      </c>
      <c r="G181" s="10" t="str">
        <f t="array" ref="G181">IF(OR(F181="",F181="-",F181="Selecciona..",F181="Finalizar"),"",IF(A181="Rodados",XLOOKUP(B181,'Validaciones Cotizador'!I:I,'Validaciones Cotizador'!J:J,0,0,1),1))</f>
        <v/>
      </c>
      <c r="H181" s="11" t="str">
        <f>IF(OR(F181="",F181="Selecciona.."),"",SUMIF(Precio_Productos!K:K,E181,Precio_Productos!J:J)*G181)</f>
        <v/>
      </c>
      <c r="I181" s="4" t="str">
        <f t="array" ref="I181">IF($E181="","", XLOOKUP(SUMIFS(Prod_Prop!$A:$A,Prod_Prop!$B:$B,$E181,Prod_Prop!$H:$H,I$1,Prod_Prop!$I:$I,"Exacto"),Prod_Prop!$A:$A,Prod_Prop!$J:$J,"",0,1))</f>
        <v/>
      </c>
      <c r="J181" s="4" t="str">
        <f t="array" ref="J181">IF($E181="","", XLOOKUP(SUMIFS(Prod_Prop!$A:$A,Prod_Prop!$B:$B,$E181,Prod_Prop!$H:$H,J$1,Prod_Prop!$I:$I,"Exacto"),Prod_Prop!$A:$A,Prod_Prop!$J:$J,"",0,1))</f>
        <v/>
      </c>
      <c r="K181" s="4" t="str">
        <f t="array" ref="K181">IF($E181="","", XLOOKUP(SUMIFS(Prod_Prop!$A:$A,Prod_Prop!$B:$B,$E181,Prod_Prop!$H:$H,K$1,Prod_Prop!$I:$I,"Exacto"),Prod_Prop!$A:$A,Prod_Prop!$J:$J,"",0,1))</f>
        <v/>
      </c>
      <c r="L181" s="4" t="str">
        <f t="array" ref="L181">IF($E181="","", XLOOKUP(SUMIFS(Prod_Prop!$A:$A,Prod_Prop!$B:$B,$E181,Prod_Prop!$H:$H,L$1,Prod_Prop!$I:$I,"Exacto"),Prod_Prop!$A:$A,Prod_Prop!$J:$J,"",0,1))</f>
        <v/>
      </c>
      <c r="M181" s="4" t="str">
        <f t="array" ref="M181">IF($E181="","", XLOOKUP(SUMIFS(Prod_Prop!$A:$A,Prod_Prop!$B:$B,$E181,Prod_Prop!$H:$H,M$1,Prod_Prop!$I:$I,"Exacto"),Prod_Prop!$A:$A,Prod_Prop!$J:$J,"",0,1))</f>
        <v/>
      </c>
      <c r="N181" s="4" t="str">
        <f t="array" ref="N181">IF($E181="","", XLOOKUP(SUMIFS(Prod_Prop!$A:$A,Prod_Prop!$B:$B,$E181,Prod_Prop!$H:$H,N$1,Prod_Prop!$I:$I,"Exacto"),Prod_Prop!$A:$A,Prod_Prop!$J:$J,"",0,1))</f>
        <v/>
      </c>
      <c r="O181" s="4" t="str">
        <f t="array" ref="O181">IF($E181="","", XLOOKUP(SUMIFS(Prod_Prop!$A:$A,Prod_Prop!$B:$B,$E181,Prod_Prop!$H:$H,O$1,Prod_Prop!$I:$I,"Exacto"),Prod_Prop!$A:$A,Prod_Prop!$J:$J,"",0,1))</f>
        <v/>
      </c>
      <c r="P181" s="4" t="str">
        <f t="array" ref="P181">IF($E181="","", XLOOKUP(SUMIFS(Prod_Prop!$A:$A,Prod_Prop!$B:$B,$E181,Prod_Prop!$H:$H,P$1,Prod_Prop!$I:$I,"Exacto"),Prod_Prop!$A:$A,Prod_Prop!$J:$J,"",0,1))</f>
        <v/>
      </c>
      <c r="Q181" s="4" t="str">
        <f t="array" ref="Q181">IF($E181="","", XLOOKUP(SUMIFS(Prod_Prop!$A:$A,Prod_Prop!$B:$B,$E181,Prod_Prop!$H:$H,Q$1,Prod_Prop!$I:$I,"Exacto"),Prod_Prop!$A:$A,Prod_Prop!$J:$J,"",0,1))</f>
        <v/>
      </c>
      <c r="R181" s="4" t="str">
        <f t="array" ref="R181">IF($E181="","", XLOOKUP(SUMIFS(Prod_Prop!$A:$A,Prod_Prop!$B:$B,$E181,Prod_Prop!$H:$H,R$1,Prod_Prop!$I:$I,"Exacto"),Prod_Prop!$A:$A,Prod_Prop!$J:$J,"",0,1))</f>
        <v/>
      </c>
      <c r="S181" s="4" t="str">
        <f t="array" ref="S181">IF($E181="","", XLOOKUP(SUMIFS(Prod_Prop!$A:$A,Prod_Prop!$B:$B,$E181,Prod_Prop!$H:$H,S$1,Prod_Prop!$I:$I,"Exacto"),Prod_Prop!$A:$A,Prod_Prop!$J:$J,"",0,1))</f>
        <v/>
      </c>
      <c r="T181" s="4" t="str">
        <f t="array" ref="T181">IF($E181="","", XLOOKUP(SUMIFS(Prod_Prop!$A:$A,Prod_Prop!$B:$B,$E181,Prod_Prop!$H:$H,T$1,Prod_Prop!$I:$I,"Exacto"),Prod_Prop!$A:$A,Prod_Prop!$J:$J,"",0,1))</f>
        <v/>
      </c>
      <c r="U181" s="4" t="str">
        <f t="array" ref="U181">IF($E181="","", XLOOKUP(SUMIFS(Prod_Prop!$A:$A,Prod_Prop!$B:$B,$E181,Prod_Prop!$H:$H,U$1,Prod_Prop!$I:$I,"Exacto"),Prod_Prop!$A:$A,Prod_Prop!$J:$J,"",0,1))</f>
        <v/>
      </c>
      <c r="V181" s="4" t="str">
        <f t="array" ref="V181">IF($E181="","", XLOOKUP(SUMIFS(Prod_Prop!$A:$A,Prod_Prop!$B:$B,$E181,Prod_Prop!$H:$H,V$1,Prod_Prop!$I:$I,"Exacto"),Prod_Prop!$A:$A,Prod_Prop!$J:$J,"",0,1))</f>
        <v/>
      </c>
      <c r="X181" s="3" t="str">
        <f>IFERROR(__xludf.DUMMYFUNCTION("IF(D181="""","""",IFERROR(TRANSPOSE(FILTER('Validaciones Cotizador'!U:U,'Validaciones Cotizador'!O:O=D181,'Validaciones Cotizador'!T:T=""x"")),""Finalizar""))"),"")</f>
        <v/>
      </c>
    </row>
    <row r="182">
      <c r="A182" s="2" t="str">
        <f t="array" ref="A182">IF(E182="","",XLOOKUP(D182,'Validaciones Cotizador'!C:C,'Validaciones Cotizador'!A:A,"",0,1))</f>
        <v/>
      </c>
      <c r="B182" s="2" t="str">
        <f t="array" ref="B182">IF(F182="","",XLOOKUP(F182,Productos!E:E,Productos!G:G,"",0,1))</f>
        <v/>
      </c>
      <c r="C182" s="2" t="str">
        <f>IF(A182="","",SUMIFS('Validaciones Cotizador'!B:B,'Validaciones Cotizador'!C:C,D182,'Validaciones Cotizador'!A:A,A182))</f>
        <v/>
      </c>
      <c r="D182" s="4" t="str">
        <f>IFERROR(__xludf.DUMMYFUNCTION("IF(OR(F181=""Finalizar"",F181="""",F181=""Selecciona..""),"""",IF(OR(F181=""-"",INDEX(filter(Familias!F:F,Familias!D:D=A181,Familias!E:E=C181),1)=""O""),D181+1,D181))"),"")</f>
        <v/>
      </c>
      <c r="E182" s="2" t="str">
        <f>IF(OR(F182="",F182="Selecciona.."),"",IF(D182="Implemento",SUMIF(Implementos!B:B,F182,Implementos!A:A),SUMIF(Productos!E:E,F182,Productos!A:A)))</f>
        <v/>
      </c>
      <c r="F182" s="2" t="str">
        <f t="shared" si="2"/>
        <v/>
      </c>
      <c r="G182" s="10" t="str">
        <f t="array" ref="G182">IF(OR(F182="",F182="-",F182="Selecciona..",F182="Finalizar"),"",IF(A182="Rodados",XLOOKUP(B182,'Validaciones Cotizador'!I:I,'Validaciones Cotizador'!J:J,0,0,1),1))</f>
        <v/>
      </c>
      <c r="H182" s="11" t="str">
        <f>IF(OR(F182="",F182="Selecciona.."),"",SUMIF(Precio_Productos!K:K,E182,Precio_Productos!J:J)*G182)</f>
        <v/>
      </c>
      <c r="I182" s="4" t="str">
        <f t="array" ref="I182">IF($E182="","", XLOOKUP(SUMIFS(Prod_Prop!$A:$A,Prod_Prop!$B:$B,$E182,Prod_Prop!$H:$H,I$1,Prod_Prop!$I:$I,"Exacto"),Prod_Prop!$A:$A,Prod_Prop!$J:$J,"",0,1))</f>
        <v/>
      </c>
      <c r="J182" s="4" t="str">
        <f t="array" ref="J182">IF($E182="","", XLOOKUP(SUMIFS(Prod_Prop!$A:$A,Prod_Prop!$B:$B,$E182,Prod_Prop!$H:$H,J$1,Prod_Prop!$I:$I,"Exacto"),Prod_Prop!$A:$A,Prod_Prop!$J:$J,"",0,1))</f>
        <v/>
      </c>
      <c r="K182" s="4" t="str">
        <f t="array" ref="K182">IF($E182="","", XLOOKUP(SUMIFS(Prod_Prop!$A:$A,Prod_Prop!$B:$B,$E182,Prod_Prop!$H:$H,K$1,Prod_Prop!$I:$I,"Exacto"),Prod_Prop!$A:$A,Prod_Prop!$J:$J,"",0,1))</f>
        <v/>
      </c>
      <c r="L182" s="4" t="str">
        <f t="array" ref="L182">IF($E182="","", XLOOKUP(SUMIFS(Prod_Prop!$A:$A,Prod_Prop!$B:$B,$E182,Prod_Prop!$H:$H,L$1,Prod_Prop!$I:$I,"Exacto"),Prod_Prop!$A:$A,Prod_Prop!$J:$J,"",0,1))</f>
        <v/>
      </c>
      <c r="M182" s="4" t="str">
        <f t="array" ref="M182">IF($E182="","", XLOOKUP(SUMIFS(Prod_Prop!$A:$A,Prod_Prop!$B:$B,$E182,Prod_Prop!$H:$H,M$1,Prod_Prop!$I:$I,"Exacto"),Prod_Prop!$A:$A,Prod_Prop!$J:$J,"",0,1))</f>
        <v/>
      </c>
      <c r="N182" s="4" t="str">
        <f t="array" ref="N182">IF($E182="","", XLOOKUP(SUMIFS(Prod_Prop!$A:$A,Prod_Prop!$B:$B,$E182,Prod_Prop!$H:$H,N$1,Prod_Prop!$I:$I,"Exacto"),Prod_Prop!$A:$A,Prod_Prop!$J:$J,"",0,1))</f>
        <v/>
      </c>
      <c r="O182" s="4" t="str">
        <f t="array" ref="O182">IF($E182="","", XLOOKUP(SUMIFS(Prod_Prop!$A:$A,Prod_Prop!$B:$B,$E182,Prod_Prop!$H:$H,O$1,Prod_Prop!$I:$I,"Exacto"),Prod_Prop!$A:$A,Prod_Prop!$J:$J,"",0,1))</f>
        <v/>
      </c>
      <c r="P182" s="4" t="str">
        <f t="array" ref="P182">IF($E182="","", XLOOKUP(SUMIFS(Prod_Prop!$A:$A,Prod_Prop!$B:$B,$E182,Prod_Prop!$H:$H,P$1,Prod_Prop!$I:$I,"Exacto"),Prod_Prop!$A:$A,Prod_Prop!$J:$J,"",0,1))</f>
        <v/>
      </c>
      <c r="Q182" s="4" t="str">
        <f t="array" ref="Q182">IF($E182="","", XLOOKUP(SUMIFS(Prod_Prop!$A:$A,Prod_Prop!$B:$B,$E182,Prod_Prop!$H:$H,Q$1,Prod_Prop!$I:$I,"Exacto"),Prod_Prop!$A:$A,Prod_Prop!$J:$J,"",0,1))</f>
        <v/>
      </c>
      <c r="R182" s="4" t="str">
        <f t="array" ref="R182">IF($E182="","", XLOOKUP(SUMIFS(Prod_Prop!$A:$A,Prod_Prop!$B:$B,$E182,Prod_Prop!$H:$H,R$1,Prod_Prop!$I:$I,"Exacto"),Prod_Prop!$A:$A,Prod_Prop!$J:$J,"",0,1))</f>
        <v/>
      </c>
      <c r="S182" s="4" t="str">
        <f t="array" ref="S182">IF($E182="","", XLOOKUP(SUMIFS(Prod_Prop!$A:$A,Prod_Prop!$B:$B,$E182,Prod_Prop!$H:$H,S$1,Prod_Prop!$I:$I,"Exacto"),Prod_Prop!$A:$A,Prod_Prop!$J:$J,"",0,1))</f>
        <v/>
      </c>
      <c r="T182" s="4" t="str">
        <f t="array" ref="T182">IF($E182="","", XLOOKUP(SUMIFS(Prod_Prop!$A:$A,Prod_Prop!$B:$B,$E182,Prod_Prop!$H:$H,T$1,Prod_Prop!$I:$I,"Exacto"),Prod_Prop!$A:$A,Prod_Prop!$J:$J,"",0,1))</f>
        <v/>
      </c>
      <c r="U182" s="4" t="str">
        <f t="array" ref="U182">IF($E182="","", XLOOKUP(SUMIFS(Prod_Prop!$A:$A,Prod_Prop!$B:$B,$E182,Prod_Prop!$H:$H,U$1,Prod_Prop!$I:$I,"Exacto"),Prod_Prop!$A:$A,Prod_Prop!$J:$J,"",0,1))</f>
        <v/>
      </c>
      <c r="V182" s="4" t="str">
        <f t="array" ref="V182">IF($E182="","", XLOOKUP(SUMIFS(Prod_Prop!$A:$A,Prod_Prop!$B:$B,$E182,Prod_Prop!$H:$H,V$1,Prod_Prop!$I:$I,"Exacto"),Prod_Prop!$A:$A,Prod_Prop!$J:$J,"",0,1))</f>
        <v/>
      </c>
      <c r="X182" s="3" t="str">
        <f>IFERROR(__xludf.DUMMYFUNCTION("IF(D182="""","""",IFERROR(TRANSPOSE(FILTER('Validaciones Cotizador'!U:U,'Validaciones Cotizador'!O:O=D182,'Validaciones Cotizador'!T:T=""x"")),""Finalizar""))"),"")</f>
        <v/>
      </c>
    </row>
    <row r="183">
      <c r="A183" s="2" t="str">
        <f t="array" ref="A183">IF(E183="","",XLOOKUP(D183,'Validaciones Cotizador'!C:C,'Validaciones Cotizador'!A:A,"",0,1))</f>
        <v/>
      </c>
      <c r="B183" s="2" t="str">
        <f t="array" ref="B183">IF(F183="","",XLOOKUP(F183,Productos!E:E,Productos!G:G,"",0,1))</f>
        <v/>
      </c>
      <c r="C183" s="2" t="str">
        <f>IF(A183="","",SUMIFS('Validaciones Cotizador'!B:B,'Validaciones Cotizador'!C:C,D183,'Validaciones Cotizador'!A:A,A183))</f>
        <v/>
      </c>
      <c r="D183" s="4" t="str">
        <f>IFERROR(__xludf.DUMMYFUNCTION("IF(OR(F182=""Finalizar"",F182="""",F182=""Selecciona..""),"""",IF(OR(F182=""-"",INDEX(filter(Familias!F:F,Familias!D:D=A182,Familias!E:E=C182),1)=""O""),D182+1,D182))"),"")</f>
        <v/>
      </c>
      <c r="E183" s="2" t="str">
        <f>IF(OR(F183="",F183="Selecciona.."),"",IF(D183="Implemento",SUMIF(Implementos!B:B,F183,Implementos!A:A),SUMIF(Productos!E:E,F183,Productos!A:A)))</f>
        <v/>
      </c>
      <c r="F183" s="2" t="str">
        <f t="shared" si="2"/>
        <v/>
      </c>
      <c r="G183" s="10" t="str">
        <f t="array" ref="G183">IF(OR(F183="",F183="-",F183="Selecciona..",F183="Finalizar"),"",IF(A183="Rodados",XLOOKUP(B183,'Validaciones Cotizador'!I:I,'Validaciones Cotizador'!J:J,0,0,1),1))</f>
        <v/>
      </c>
      <c r="H183" s="11" t="str">
        <f>IF(OR(F183="",F183="Selecciona.."),"",SUMIF(Precio_Productos!K:K,E183,Precio_Productos!J:J)*G183)</f>
        <v/>
      </c>
      <c r="I183" s="4" t="str">
        <f t="array" ref="I183">IF($E183="","", XLOOKUP(SUMIFS(Prod_Prop!$A:$A,Prod_Prop!$B:$B,$E183,Prod_Prop!$H:$H,I$1,Prod_Prop!$I:$I,"Exacto"),Prod_Prop!$A:$A,Prod_Prop!$J:$J,"",0,1))</f>
        <v/>
      </c>
      <c r="J183" s="4" t="str">
        <f t="array" ref="J183">IF($E183="","", XLOOKUP(SUMIFS(Prod_Prop!$A:$A,Prod_Prop!$B:$B,$E183,Prod_Prop!$H:$H,J$1,Prod_Prop!$I:$I,"Exacto"),Prod_Prop!$A:$A,Prod_Prop!$J:$J,"",0,1))</f>
        <v/>
      </c>
      <c r="K183" s="4" t="str">
        <f t="array" ref="K183">IF($E183="","", XLOOKUP(SUMIFS(Prod_Prop!$A:$A,Prod_Prop!$B:$B,$E183,Prod_Prop!$H:$H,K$1,Prod_Prop!$I:$I,"Exacto"),Prod_Prop!$A:$A,Prod_Prop!$J:$J,"",0,1))</f>
        <v/>
      </c>
      <c r="L183" s="4" t="str">
        <f t="array" ref="L183">IF($E183="","", XLOOKUP(SUMIFS(Prod_Prop!$A:$A,Prod_Prop!$B:$B,$E183,Prod_Prop!$H:$H,L$1,Prod_Prop!$I:$I,"Exacto"),Prod_Prop!$A:$A,Prod_Prop!$J:$J,"",0,1))</f>
        <v/>
      </c>
      <c r="M183" s="4" t="str">
        <f t="array" ref="M183">IF($E183="","", XLOOKUP(SUMIFS(Prod_Prop!$A:$A,Prod_Prop!$B:$B,$E183,Prod_Prop!$H:$H,M$1,Prod_Prop!$I:$I,"Exacto"),Prod_Prop!$A:$A,Prod_Prop!$J:$J,"",0,1))</f>
        <v/>
      </c>
      <c r="N183" s="4" t="str">
        <f t="array" ref="N183">IF($E183="","", XLOOKUP(SUMIFS(Prod_Prop!$A:$A,Prod_Prop!$B:$B,$E183,Prod_Prop!$H:$H,N$1,Prod_Prop!$I:$I,"Exacto"),Prod_Prop!$A:$A,Prod_Prop!$J:$J,"",0,1))</f>
        <v/>
      </c>
      <c r="O183" s="4" t="str">
        <f t="array" ref="O183">IF($E183="","", XLOOKUP(SUMIFS(Prod_Prop!$A:$A,Prod_Prop!$B:$B,$E183,Prod_Prop!$H:$H,O$1,Prod_Prop!$I:$I,"Exacto"),Prod_Prop!$A:$A,Prod_Prop!$J:$J,"",0,1))</f>
        <v/>
      </c>
      <c r="P183" s="4" t="str">
        <f t="array" ref="P183">IF($E183="","", XLOOKUP(SUMIFS(Prod_Prop!$A:$A,Prod_Prop!$B:$B,$E183,Prod_Prop!$H:$H,P$1,Prod_Prop!$I:$I,"Exacto"),Prod_Prop!$A:$A,Prod_Prop!$J:$J,"",0,1))</f>
        <v/>
      </c>
      <c r="Q183" s="4" t="str">
        <f t="array" ref="Q183">IF($E183="","", XLOOKUP(SUMIFS(Prod_Prop!$A:$A,Prod_Prop!$B:$B,$E183,Prod_Prop!$H:$H,Q$1,Prod_Prop!$I:$I,"Exacto"),Prod_Prop!$A:$A,Prod_Prop!$J:$J,"",0,1))</f>
        <v/>
      </c>
      <c r="R183" s="4" t="str">
        <f t="array" ref="R183">IF($E183="","", XLOOKUP(SUMIFS(Prod_Prop!$A:$A,Prod_Prop!$B:$B,$E183,Prod_Prop!$H:$H,R$1,Prod_Prop!$I:$I,"Exacto"),Prod_Prop!$A:$A,Prod_Prop!$J:$J,"",0,1))</f>
        <v/>
      </c>
      <c r="S183" s="4" t="str">
        <f t="array" ref="S183">IF($E183="","", XLOOKUP(SUMIFS(Prod_Prop!$A:$A,Prod_Prop!$B:$B,$E183,Prod_Prop!$H:$H,S$1,Prod_Prop!$I:$I,"Exacto"),Prod_Prop!$A:$A,Prod_Prop!$J:$J,"",0,1))</f>
        <v/>
      </c>
      <c r="T183" s="4" t="str">
        <f t="array" ref="T183">IF($E183="","", XLOOKUP(SUMIFS(Prod_Prop!$A:$A,Prod_Prop!$B:$B,$E183,Prod_Prop!$H:$H,T$1,Prod_Prop!$I:$I,"Exacto"),Prod_Prop!$A:$A,Prod_Prop!$J:$J,"",0,1))</f>
        <v/>
      </c>
      <c r="U183" s="4" t="str">
        <f t="array" ref="U183">IF($E183="","", XLOOKUP(SUMIFS(Prod_Prop!$A:$A,Prod_Prop!$B:$B,$E183,Prod_Prop!$H:$H,U$1,Prod_Prop!$I:$I,"Exacto"),Prod_Prop!$A:$A,Prod_Prop!$J:$J,"",0,1))</f>
        <v/>
      </c>
      <c r="V183" s="4" t="str">
        <f t="array" ref="V183">IF($E183="","", XLOOKUP(SUMIFS(Prod_Prop!$A:$A,Prod_Prop!$B:$B,$E183,Prod_Prop!$H:$H,V$1,Prod_Prop!$I:$I,"Exacto"),Prod_Prop!$A:$A,Prod_Prop!$J:$J,"",0,1))</f>
        <v/>
      </c>
      <c r="X183" s="3" t="str">
        <f>IFERROR(__xludf.DUMMYFUNCTION("IF(D183="""","""",IFERROR(TRANSPOSE(FILTER('Validaciones Cotizador'!U:U,'Validaciones Cotizador'!O:O=D183,'Validaciones Cotizador'!T:T=""x"")),""Finalizar""))"),"")</f>
        <v/>
      </c>
    </row>
    <row r="184">
      <c r="A184" s="2" t="str">
        <f t="array" ref="A184">IF(E184="","",XLOOKUP(D184,'Validaciones Cotizador'!C:C,'Validaciones Cotizador'!A:A,"",0,1))</f>
        <v/>
      </c>
      <c r="B184" s="2" t="str">
        <f t="array" ref="B184">IF(F184="","",XLOOKUP(F184,Productos!E:E,Productos!G:G,"",0,1))</f>
        <v/>
      </c>
      <c r="C184" s="2" t="str">
        <f>IF(A184="","",SUMIFS('Validaciones Cotizador'!B:B,'Validaciones Cotizador'!C:C,D184,'Validaciones Cotizador'!A:A,A184))</f>
        <v/>
      </c>
      <c r="D184" s="4" t="str">
        <f>IFERROR(__xludf.DUMMYFUNCTION("IF(OR(F183=""Finalizar"",F183="""",F183=""Selecciona..""),"""",IF(OR(F183=""-"",INDEX(filter(Familias!F:F,Familias!D:D=A183,Familias!E:E=C183),1)=""O""),D183+1,D183))"),"")</f>
        <v/>
      </c>
      <c r="E184" s="2" t="str">
        <f>IF(OR(F184="",F184="Selecciona.."),"",IF(D184="Implemento",SUMIF(Implementos!B:B,F184,Implementos!A:A),SUMIF(Productos!E:E,F184,Productos!A:A)))</f>
        <v/>
      </c>
      <c r="F184" s="2" t="str">
        <f t="shared" si="2"/>
        <v/>
      </c>
      <c r="G184" s="10" t="str">
        <f t="array" ref="G184">IF(OR(F184="",F184="-",F184="Selecciona..",F184="Finalizar"),"",IF(A184="Rodados",XLOOKUP(B184,'Validaciones Cotizador'!I:I,'Validaciones Cotizador'!J:J,0,0,1),1))</f>
        <v/>
      </c>
      <c r="H184" s="11" t="str">
        <f>IF(OR(F184="",F184="Selecciona.."),"",SUMIF(Precio_Productos!K:K,E184,Precio_Productos!J:J)*G184)</f>
        <v/>
      </c>
      <c r="I184" s="4" t="str">
        <f t="array" ref="I184">IF($E184="","", XLOOKUP(SUMIFS(Prod_Prop!$A:$A,Prod_Prop!$B:$B,$E184,Prod_Prop!$H:$H,I$1,Prod_Prop!$I:$I,"Exacto"),Prod_Prop!$A:$A,Prod_Prop!$J:$J,"",0,1))</f>
        <v/>
      </c>
      <c r="J184" s="4" t="str">
        <f t="array" ref="J184">IF($E184="","", XLOOKUP(SUMIFS(Prod_Prop!$A:$A,Prod_Prop!$B:$B,$E184,Prod_Prop!$H:$H,J$1,Prod_Prop!$I:$I,"Exacto"),Prod_Prop!$A:$A,Prod_Prop!$J:$J,"",0,1))</f>
        <v/>
      </c>
      <c r="K184" s="4" t="str">
        <f t="array" ref="K184">IF($E184="","", XLOOKUP(SUMIFS(Prod_Prop!$A:$A,Prod_Prop!$B:$B,$E184,Prod_Prop!$H:$H,K$1,Prod_Prop!$I:$I,"Exacto"),Prod_Prop!$A:$A,Prod_Prop!$J:$J,"",0,1))</f>
        <v/>
      </c>
      <c r="L184" s="4" t="str">
        <f t="array" ref="L184">IF($E184="","", XLOOKUP(SUMIFS(Prod_Prop!$A:$A,Prod_Prop!$B:$B,$E184,Prod_Prop!$H:$H,L$1,Prod_Prop!$I:$I,"Exacto"),Prod_Prop!$A:$A,Prod_Prop!$J:$J,"",0,1))</f>
        <v/>
      </c>
      <c r="M184" s="4" t="str">
        <f t="array" ref="M184">IF($E184="","", XLOOKUP(SUMIFS(Prod_Prop!$A:$A,Prod_Prop!$B:$B,$E184,Prod_Prop!$H:$H,M$1,Prod_Prop!$I:$I,"Exacto"),Prod_Prop!$A:$A,Prod_Prop!$J:$J,"",0,1))</f>
        <v/>
      </c>
      <c r="N184" s="4" t="str">
        <f t="array" ref="N184">IF($E184="","", XLOOKUP(SUMIFS(Prod_Prop!$A:$A,Prod_Prop!$B:$B,$E184,Prod_Prop!$H:$H,N$1,Prod_Prop!$I:$I,"Exacto"),Prod_Prop!$A:$A,Prod_Prop!$J:$J,"",0,1))</f>
        <v/>
      </c>
      <c r="O184" s="4" t="str">
        <f t="array" ref="O184">IF($E184="","", XLOOKUP(SUMIFS(Prod_Prop!$A:$A,Prod_Prop!$B:$B,$E184,Prod_Prop!$H:$H,O$1,Prod_Prop!$I:$I,"Exacto"),Prod_Prop!$A:$A,Prod_Prop!$J:$J,"",0,1))</f>
        <v/>
      </c>
      <c r="P184" s="4" t="str">
        <f t="array" ref="P184">IF($E184="","", XLOOKUP(SUMIFS(Prod_Prop!$A:$A,Prod_Prop!$B:$B,$E184,Prod_Prop!$H:$H,P$1,Prod_Prop!$I:$I,"Exacto"),Prod_Prop!$A:$A,Prod_Prop!$J:$J,"",0,1))</f>
        <v/>
      </c>
      <c r="Q184" s="4" t="str">
        <f t="array" ref="Q184">IF($E184="","", XLOOKUP(SUMIFS(Prod_Prop!$A:$A,Prod_Prop!$B:$B,$E184,Prod_Prop!$H:$H,Q$1,Prod_Prop!$I:$I,"Exacto"),Prod_Prop!$A:$A,Prod_Prop!$J:$J,"",0,1))</f>
        <v/>
      </c>
      <c r="R184" s="4" t="str">
        <f t="array" ref="R184">IF($E184="","", XLOOKUP(SUMIFS(Prod_Prop!$A:$A,Prod_Prop!$B:$B,$E184,Prod_Prop!$H:$H,R$1,Prod_Prop!$I:$I,"Exacto"),Prod_Prop!$A:$A,Prod_Prop!$J:$J,"",0,1))</f>
        <v/>
      </c>
      <c r="S184" s="4" t="str">
        <f t="array" ref="S184">IF($E184="","", XLOOKUP(SUMIFS(Prod_Prop!$A:$A,Prod_Prop!$B:$B,$E184,Prod_Prop!$H:$H,S$1,Prod_Prop!$I:$I,"Exacto"),Prod_Prop!$A:$A,Prod_Prop!$J:$J,"",0,1))</f>
        <v/>
      </c>
      <c r="T184" s="4" t="str">
        <f t="array" ref="T184">IF($E184="","", XLOOKUP(SUMIFS(Prod_Prop!$A:$A,Prod_Prop!$B:$B,$E184,Prod_Prop!$H:$H,T$1,Prod_Prop!$I:$I,"Exacto"),Prod_Prop!$A:$A,Prod_Prop!$J:$J,"",0,1))</f>
        <v/>
      </c>
      <c r="U184" s="4" t="str">
        <f t="array" ref="U184">IF($E184="","", XLOOKUP(SUMIFS(Prod_Prop!$A:$A,Prod_Prop!$B:$B,$E184,Prod_Prop!$H:$H,U$1,Prod_Prop!$I:$I,"Exacto"),Prod_Prop!$A:$A,Prod_Prop!$J:$J,"",0,1))</f>
        <v/>
      </c>
      <c r="V184" s="4" t="str">
        <f t="array" ref="V184">IF($E184="","", XLOOKUP(SUMIFS(Prod_Prop!$A:$A,Prod_Prop!$B:$B,$E184,Prod_Prop!$H:$H,V$1,Prod_Prop!$I:$I,"Exacto"),Prod_Prop!$A:$A,Prod_Prop!$J:$J,"",0,1))</f>
        <v/>
      </c>
      <c r="X184" s="3" t="str">
        <f>IFERROR(__xludf.DUMMYFUNCTION("IF(D184="""","""",IFERROR(TRANSPOSE(FILTER('Validaciones Cotizador'!U:U,'Validaciones Cotizador'!O:O=D184,'Validaciones Cotizador'!T:T=""x"")),""Finalizar""))"),"")</f>
        <v/>
      </c>
    </row>
    <row r="185">
      <c r="A185" s="2" t="str">
        <f t="array" ref="A185">IF(E185="","",XLOOKUP(D185,'Validaciones Cotizador'!C:C,'Validaciones Cotizador'!A:A,"",0,1))</f>
        <v/>
      </c>
      <c r="B185" s="2" t="str">
        <f t="array" ref="B185">IF(F185="","",XLOOKUP(F185,Productos!E:E,Productos!G:G,"",0,1))</f>
        <v/>
      </c>
      <c r="C185" s="2" t="str">
        <f>IF(A185="","",SUMIFS('Validaciones Cotizador'!B:B,'Validaciones Cotizador'!C:C,D185,'Validaciones Cotizador'!A:A,A185))</f>
        <v/>
      </c>
      <c r="D185" s="4" t="str">
        <f>IFERROR(__xludf.DUMMYFUNCTION("IF(OR(F184=""Finalizar"",F184="""",F184=""Selecciona..""),"""",IF(OR(F184=""-"",INDEX(filter(Familias!F:F,Familias!D:D=A184,Familias!E:E=C184),1)=""O""),D184+1,D184))"),"")</f>
        <v/>
      </c>
      <c r="E185" s="2" t="str">
        <f>IF(OR(F185="",F185="Selecciona.."),"",IF(D185="Implemento",SUMIF(Implementos!B:B,F185,Implementos!A:A),SUMIF(Productos!E:E,F185,Productos!A:A)))</f>
        <v/>
      </c>
      <c r="F185" s="2" t="str">
        <f t="shared" si="2"/>
        <v/>
      </c>
      <c r="G185" s="10" t="str">
        <f t="array" ref="G185">IF(OR(F185="",F185="-",F185="Selecciona..",F185="Finalizar"),"",IF(A185="Rodados",XLOOKUP(B185,'Validaciones Cotizador'!I:I,'Validaciones Cotizador'!J:J,0,0,1),1))</f>
        <v/>
      </c>
      <c r="H185" s="11" t="str">
        <f>IF(OR(F185="",F185="Selecciona.."),"",SUMIF(Precio_Productos!K:K,E185,Precio_Productos!J:J)*G185)</f>
        <v/>
      </c>
      <c r="I185" s="4" t="str">
        <f t="array" ref="I185">IF($E185="","", XLOOKUP(SUMIFS(Prod_Prop!$A:$A,Prod_Prop!$B:$B,$E185,Prod_Prop!$H:$H,I$1,Prod_Prop!$I:$I,"Exacto"),Prod_Prop!$A:$A,Prod_Prop!$J:$J,"",0,1))</f>
        <v/>
      </c>
      <c r="J185" s="4" t="str">
        <f t="array" ref="J185">IF($E185="","", XLOOKUP(SUMIFS(Prod_Prop!$A:$A,Prod_Prop!$B:$B,$E185,Prod_Prop!$H:$H,J$1,Prod_Prop!$I:$I,"Exacto"),Prod_Prop!$A:$A,Prod_Prop!$J:$J,"",0,1))</f>
        <v/>
      </c>
      <c r="K185" s="4" t="str">
        <f t="array" ref="K185">IF($E185="","", XLOOKUP(SUMIFS(Prod_Prop!$A:$A,Prod_Prop!$B:$B,$E185,Prod_Prop!$H:$H,K$1,Prod_Prop!$I:$I,"Exacto"),Prod_Prop!$A:$A,Prod_Prop!$J:$J,"",0,1))</f>
        <v/>
      </c>
      <c r="L185" s="4" t="str">
        <f t="array" ref="L185">IF($E185="","", XLOOKUP(SUMIFS(Prod_Prop!$A:$A,Prod_Prop!$B:$B,$E185,Prod_Prop!$H:$H,L$1,Prod_Prop!$I:$I,"Exacto"),Prod_Prop!$A:$A,Prod_Prop!$J:$J,"",0,1))</f>
        <v/>
      </c>
      <c r="M185" s="4" t="str">
        <f t="array" ref="M185">IF($E185="","", XLOOKUP(SUMIFS(Prod_Prop!$A:$A,Prod_Prop!$B:$B,$E185,Prod_Prop!$H:$H,M$1,Prod_Prop!$I:$I,"Exacto"),Prod_Prop!$A:$A,Prod_Prop!$J:$J,"",0,1))</f>
        <v/>
      </c>
      <c r="N185" s="4" t="str">
        <f t="array" ref="N185">IF($E185="","", XLOOKUP(SUMIFS(Prod_Prop!$A:$A,Prod_Prop!$B:$B,$E185,Prod_Prop!$H:$H,N$1,Prod_Prop!$I:$I,"Exacto"),Prod_Prop!$A:$A,Prod_Prop!$J:$J,"",0,1))</f>
        <v/>
      </c>
      <c r="O185" s="4" t="str">
        <f t="array" ref="O185">IF($E185="","", XLOOKUP(SUMIFS(Prod_Prop!$A:$A,Prod_Prop!$B:$B,$E185,Prod_Prop!$H:$H,O$1,Prod_Prop!$I:$I,"Exacto"),Prod_Prop!$A:$A,Prod_Prop!$J:$J,"",0,1))</f>
        <v/>
      </c>
      <c r="P185" s="4" t="str">
        <f t="array" ref="P185">IF($E185="","", XLOOKUP(SUMIFS(Prod_Prop!$A:$A,Prod_Prop!$B:$B,$E185,Prod_Prop!$H:$H,P$1,Prod_Prop!$I:$I,"Exacto"),Prod_Prop!$A:$A,Prod_Prop!$J:$J,"",0,1))</f>
        <v/>
      </c>
      <c r="Q185" s="4" t="str">
        <f t="array" ref="Q185">IF($E185="","", XLOOKUP(SUMIFS(Prod_Prop!$A:$A,Prod_Prop!$B:$B,$E185,Prod_Prop!$H:$H,Q$1,Prod_Prop!$I:$I,"Exacto"),Prod_Prop!$A:$A,Prod_Prop!$J:$J,"",0,1))</f>
        <v/>
      </c>
      <c r="R185" s="4" t="str">
        <f t="array" ref="R185">IF($E185="","", XLOOKUP(SUMIFS(Prod_Prop!$A:$A,Prod_Prop!$B:$B,$E185,Prod_Prop!$H:$H,R$1,Prod_Prop!$I:$I,"Exacto"),Prod_Prop!$A:$A,Prod_Prop!$J:$J,"",0,1))</f>
        <v/>
      </c>
      <c r="S185" s="4" t="str">
        <f t="array" ref="S185">IF($E185="","", XLOOKUP(SUMIFS(Prod_Prop!$A:$A,Prod_Prop!$B:$B,$E185,Prod_Prop!$H:$H,S$1,Prod_Prop!$I:$I,"Exacto"),Prod_Prop!$A:$A,Prod_Prop!$J:$J,"",0,1))</f>
        <v/>
      </c>
      <c r="T185" s="4" t="str">
        <f t="array" ref="T185">IF($E185="","", XLOOKUP(SUMIFS(Prod_Prop!$A:$A,Prod_Prop!$B:$B,$E185,Prod_Prop!$H:$H,T$1,Prod_Prop!$I:$I,"Exacto"),Prod_Prop!$A:$A,Prod_Prop!$J:$J,"",0,1))</f>
        <v/>
      </c>
      <c r="U185" s="4" t="str">
        <f t="array" ref="U185">IF($E185="","", XLOOKUP(SUMIFS(Prod_Prop!$A:$A,Prod_Prop!$B:$B,$E185,Prod_Prop!$H:$H,U$1,Prod_Prop!$I:$I,"Exacto"),Prod_Prop!$A:$A,Prod_Prop!$J:$J,"",0,1))</f>
        <v/>
      </c>
      <c r="V185" s="4" t="str">
        <f t="array" ref="V185">IF($E185="","", XLOOKUP(SUMIFS(Prod_Prop!$A:$A,Prod_Prop!$B:$B,$E185,Prod_Prop!$H:$H,V$1,Prod_Prop!$I:$I,"Exacto"),Prod_Prop!$A:$A,Prod_Prop!$J:$J,"",0,1))</f>
        <v/>
      </c>
      <c r="X185" s="3" t="str">
        <f>IFERROR(__xludf.DUMMYFUNCTION("IF(D185="""","""",IFERROR(TRANSPOSE(FILTER('Validaciones Cotizador'!U:U,'Validaciones Cotizador'!O:O=D185,'Validaciones Cotizador'!T:T=""x"")),""Finalizar""))"),"")</f>
        <v/>
      </c>
    </row>
    <row r="186">
      <c r="A186" s="2" t="str">
        <f t="array" ref="A186">IF(E186="","",XLOOKUP(D186,'Validaciones Cotizador'!C:C,'Validaciones Cotizador'!A:A,"",0,1))</f>
        <v/>
      </c>
      <c r="B186" s="2" t="str">
        <f t="array" ref="B186">IF(F186="","",XLOOKUP(F186,Productos!E:E,Productos!G:G,"",0,1))</f>
        <v/>
      </c>
      <c r="C186" s="2" t="str">
        <f>IF(A186="","",SUMIFS('Validaciones Cotizador'!B:B,'Validaciones Cotizador'!C:C,D186,'Validaciones Cotizador'!A:A,A186))</f>
        <v/>
      </c>
      <c r="D186" s="4" t="str">
        <f>IFERROR(__xludf.DUMMYFUNCTION("IF(OR(F185=""Finalizar"",F185="""",F185=""Selecciona..""),"""",IF(OR(F185=""-"",INDEX(filter(Familias!F:F,Familias!D:D=A185,Familias!E:E=C185),1)=""O""),D185+1,D185))"),"")</f>
        <v/>
      </c>
      <c r="E186" s="2" t="str">
        <f>IF(OR(F186="",F186="Selecciona.."),"",IF(D186="Implemento",SUMIF(Implementos!B:B,F186,Implementos!A:A),SUMIF(Productos!E:E,F186,Productos!A:A)))</f>
        <v/>
      </c>
      <c r="F186" s="2" t="str">
        <f t="shared" si="2"/>
        <v/>
      </c>
      <c r="G186" s="10" t="str">
        <f t="array" ref="G186">IF(OR(F186="",F186="-",F186="Selecciona..",F186="Finalizar"),"",IF(A186="Rodados",XLOOKUP(B186,'Validaciones Cotizador'!I:I,'Validaciones Cotizador'!J:J,0,0,1),1))</f>
        <v/>
      </c>
      <c r="H186" s="11" t="str">
        <f>IF(OR(F186="",F186="Selecciona.."),"",SUMIF(Precio_Productos!K:K,E186,Precio_Productos!J:J)*G186)</f>
        <v/>
      </c>
      <c r="I186" s="4" t="str">
        <f t="array" ref="I186">IF($E186="","", XLOOKUP(SUMIFS(Prod_Prop!$A:$A,Prod_Prop!$B:$B,$E186,Prod_Prop!$H:$H,I$1,Prod_Prop!$I:$I,"Exacto"),Prod_Prop!$A:$A,Prod_Prop!$J:$J,"",0,1))</f>
        <v/>
      </c>
      <c r="J186" s="4" t="str">
        <f t="array" ref="J186">IF($E186="","", XLOOKUP(SUMIFS(Prod_Prop!$A:$A,Prod_Prop!$B:$B,$E186,Prod_Prop!$H:$H,J$1,Prod_Prop!$I:$I,"Exacto"),Prod_Prop!$A:$A,Prod_Prop!$J:$J,"",0,1))</f>
        <v/>
      </c>
      <c r="K186" s="4" t="str">
        <f t="array" ref="K186">IF($E186="","", XLOOKUP(SUMIFS(Prod_Prop!$A:$A,Prod_Prop!$B:$B,$E186,Prod_Prop!$H:$H,K$1,Prod_Prop!$I:$I,"Exacto"),Prod_Prop!$A:$A,Prod_Prop!$J:$J,"",0,1))</f>
        <v/>
      </c>
      <c r="L186" s="4" t="str">
        <f t="array" ref="L186">IF($E186="","", XLOOKUP(SUMIFS(Prod_Prop!$A:$A,Prod_Prop!$B:$B,$E186,Prod_Prop!$H:$H,L$1,Prod_Prop!$I:$I,"Exacto"),Prod_Prop!$A:$A,Prod_Prop!$J:$J,"",0,1))</f>
        <v/>
      </c>
      <c r="M186" s="4" t="str">
        <f t="array" ref="M186">IF($E186="","", XLOOKUP(SUMIFS(Prod_Prop!$A:$A,Prod_Prop!$B:$B,$E186,Prod_Prop!$H:$H,M$1,Prod_Prop!$I:$I,"Exacto"),Prod_Prop!$A:$A,Prod_Prop!$J:$J,"",0,1))</f>
        <v/>
      </c>
      <c r="N186" s="4" t="str">
        <f t="array" ref="N186">IF($E186="","", XLOOKUP(SUMIFS(Prod_Prop!$A:$A,Prod_Prop!$B:$B,$E186,Prod_Prop!$H:$H,N$1,Prod_Prop!$I:$I,"Exacto"),Prod_Prop!$A:$A,Prod_Prop!$J:$J,"",0,1))</f>
        <v/>
      </c>
      <c r="O186" s="4" t="str">
        <f t="array" ref="O186">IF($E186="","", XLOOKUP(SUMIFS(Prod_Prop!$A:$A,Prod_Prop!$B:$B,$E186,Prod_Prop!$H:$H,O$1,Prod_Prop!$I:$I,"Exacto"),Prod_Prop!$A:$A,Prod_Prop!$J:$J,"",0,1))</f>
        <v/>
      </c>
      <c r="P186" s="4" t="str">
        <f t="array" ref="P186">IF($E186="","", XLOOKUP(SUMIFS(Prod_Prop!$A:$A,Prod_Prop!$B:$B,$E186,Prod_Prop!$H:$H,P$1,Prod_Prop!$I:$I,"Exacto"),Prod_Prop!$A:$A,Prod_Prop!$J:$J,"",0,1))</f>
        <v/>
      </c>
      <c r="Q186" s="4" t="str">
        <f t="array" ref="Q186">IF($E186="","", XLOOKUP(SUMIFS(Prod_Prop!$A:$A,Prod_Prop!$B:$B,$E186,Prod_Prop!$H:$H,Q$1,Prod_Prop!$I:$I,"Exacto"),Prod_Prop!$A:$A,Prod_Prop!$J:$J,"",0,1))</f>
        <v/>
      </c>
      <c r="R186" s="4" t="str">
        <f t="array" ref="R186">IF($E186="","", XLOOKUP(SUMIFS(Prod_Prop!$A:$A,Prod_Prop!$B:$B,$E186,Prod_Prop!$H:$H,R$1,Prod_Prop!$I:$I,"Exacto"),Prod_Prop!$A:$A,Prod_Prop!$J:$J,"",0,1))</f>
        <v/>
      </c>
      <c r="S186" s="4" t="str">
        <f t="array" ref="S186">IF($E186="","", XLOOKUP(SUMIFS(Prod_Prop!$A:$A,Prod_Prop!$B:$B,$E186,Prod_Prop!$H:$H,S$1,Prod_Prop!$I:$I,"Exacto"),Prod_Prop!$A:$A,Prod_Prop!$J:$J,"",0,1))</f>
        <v/>
      </c>
      <c r="T186" s="4" t="str">
        <f t="array" ref="T186">IF($E186="","", XLOOKUP(SUMIFS(Prod_Prop!$A:$A,Prod_Prop!$B:$B,$E186,Prod_Prop!$H:$H,T$1,Prod_Prop!$I:$I,"Exacto"),Prod_Prop!$A:$A,Prod_Prop!$J:$J,"",0,1))</f>
        <v/>
      </c>
      <c r="U186" s="4" t="str">
        <f t="array" ref="U186">IF($E186="","", XLOOKUP(SUMIFS(Prod_Prop!$A:$A,Prod_Prop!$B:$B,$E186,Prod_Prop!$H:$H,U$1,Prod_Prop!$I:$I,"Exacto"),Prod_Prop!$A:$A,Prod_Prop!$J:$J,"",0,1))</f>
        <v/>
      </c>
      <c r="V186" s="4" t="str">
        <f t="array" ref="V186">IF($E186="","", XLOOKUP(SUMIFS(Prod_Prop!$A:$A,Prod_Prop!$B:$B,$E186,Prod_Prop!$H:$H,V$1,Prod_Prop!$I:$I,"Exacto"),Prod_Prop!$A:$A,Prod_Prop!$J:$J,"",0,1))</f>
        <v/>
      </c>
      <c r="X186" s="3" t="str">
        <f>IFERROR(__xludf.DUMMYFUNCTION("IF(D186="""","""",IFERROR(TRANSPOSE(FILTER('Validaciones Cotizador'!U:U,'Validaciones Cotizador'!O:O=D186,'Validaciones Cotizador'!T:T=""x"")),""Finalizar""))"),"")</f>
        <v/>
      </c>
    </row>
    <row r="187">
      <c r="A187" s="2" t="str">
        <f t="array" ref="A187">IF(E187="","",XLOOKUP(D187,'Validaciones Cotizador'!C:C,'Validaciones Cotizador'!A:A,"",0,1))</f>
        <v/>
      </c>
      <c r="B187" s="2" t="str">
        <f t="array" ref="B187">IF(F187="","",XLOOKUP(F187,Productos!E:E,Productos!G:G,"",0,1))</f>
        <v/>
      </c>
      <c r="C187" s="2" t="str">
        <f>IF(A187="","",SUMIFS('Validaciones Cotizador'!B:B,'Validaciones Cotizador'!C:C,D187,'Validaciones Cotizador'!A:A,A187))</f>
        <v/>
      </c>
      <c r="D187" s="4" t="str">
        <f>IFERROR(__xludf.DUMMYFUNCTION("IF(OR(F186=""Finalizar"",F186="""",F186=""Selecciona..""),"""",IF(OR(F186=""-"",INDEX(filter(Familias!F:F,Familias!D:D=A186,Familias!E:E=C186),1)=""O""),D186+1,D186))"),"")</f>
        <v/>
      </c>
      <c r="E187" s="2" t="str">
        <f>IF(OR(F187="",F187="Selecciona.."),"",IF(D187="Implemento",SUMIF(Implementos!B:B,F187,Implementos!A:A),SUMIF(Productos!E:E,F187,Productos!A:A)))</f>
        <v/>
      </c>
      <c r="F187" s="2" t="str">
        <f t="shared" si="2"/>
        <v/>
      </c>
      <c r="G187" s="10" t="str">
        <f t="array" ref="G187">IF(OR(F187="",F187="-",F187="Selecciona..",F187="Finalizar"),"",IF(A187="Rodados",XLOOKUP(B187,'Validaciones Cotizador'!I:I,'Validaciones Cotizador'!J:J,0,0,1),1))</f>
        <v/>
      </c>
      <c r="H187" s="11" t="str">
        <f>IF(OR(F187="",F187="Selecciona.."),"",SUMIF(Precio_Productos!K:K,E187,Precio_Productos!J:J)*G187)</f>
        <v/>
      </c>
      <c r="I187" s="4" t="str">
        <f t="array" ref="I187">IF($E187="","", XLOOKUP(SUMIFS(Prod_Prop!$A:$A,Prod_Prop!$B:$B,$E187,Prod_Prop!$H:$H,I$1,Prod_Prop!$I:$I,"Exacto"),Prod_Prop!$A:$A,Prod_Prop!$J:$J,"",0,1))</f>
        <v/>
      </c>
      <c r="J187" s="4" t="str">
        <f t="array" ref="J187">IF($E187="","", XLOOKUP(SUMIFS(Prod_Prop!$A:$A,Prod_Prop!$B:$B,$E187,Prod_Prop!$H:$H,J$1,Prod_Prop!$I:$I,"Exacto"),Prod_Prop!$A:$A,Prod_Prop!$J:$J,"",0,1))</f>
        <v/>
      </c>
      <c r="K187" s="4" t="str">
        <f t="array" ref="K187">IF($E187="","", XLOOKUP(SUMIFS(Prod_Prop!$A:$A,Prod_Prop!$B:$B,$E187,Prod_Prop!$H:$H,K$1,Prod_Prop!$I:$I,"Exacto"),Prod_Prop!$A:$A,Prod_Prop!$J:$J,"",0,1))</f>
        <v/>
      </c>
      <c r="L187" s="4" t="str">
        <f t="array" ref="L187">IF($E187="","", XLOOKUP(SUMIFS(Prod_Prop!$A:$A,Prod_Prop!$B:$B,$E187,Prod_Prop!$H:$H,L$1,Prod_Prop!$I:$I,"Exacto"),Prod_Prop!$A:$A,Prod_Prop!$J:$J,"",0,1))</f>
        <v/>
      </c>
      <c r="M187" s="4" t="str">
        <f t="array" ref="M187">IF($E187="","", XLOOKUP(SUMIFS(Prod_Prop!$A:$A,Prod_Prop!$B:$B,$E187,Prod_Prop!$H:$H,M$1,Prod_Prop!$I:$I,"Exacto"),Prod_Prop!$A:$A,Prod_Prop!$J:$J,"",0,1))</f>
        <v/>
      </c>
      <c r="N187" s="4" t="str">
        <f t="array" ref="N187">IF($E187="","", XLOOKUP(SUMIFS(Prod_Prop!$A:$A,Prod_Prop!$B:$B,$E187,Prod_Prop!$H:$H,N$1,Prod_Prop!$I:$I,"Exacto"),Prod_Prop!$A:$A,Prod_Prop!$J:$J,"",0,1))</f>
        <v/>
      </c>
      <c r="O187" s="4" t="str">
        <f t="array" ref="O187">IF($E187="","", XLOOKUP(SUMIFS(Prod_Prop!$A:$A,Prod_Prop!$B:$B,$E187,Prod_Prop!$H:$H,O$1,Prod_Prop!$I:$I,"Exacto"),Prod_Prop!$A:$A,Prod_Prop!$J:$J,"",0,1))</f>
        <v/>
      </c>
      <c r="P187" s="4" t="str">
        <f t="array" ref="P187">IF($E187="","", XLOOKUP(SUMIFS(Prod_Prop!$A:$A,Prod_Prop!$B:$B,$E187,Prod_Prop!$H:$H,P$1,Prod_Prop!$I:$I,"Exacto"),Prod_Prop!$A:$A,Prod_Prop!$J:$J,"",0,1))</f>
        <v/>
      </c>
      <c r="Q187" s="4" t="str">
        <f t="array" ref="Q187">IF($E187="","", XLOOKUP(SUMIFS(Prod_Prop!$A:$A,Prod_Prop!$B:$B,$E187,Prod_Prop!$H:$H,Q$1,Prod_Prop!$I:$I,"Exacto"),Prod_Prop!$A:$A,Prod_Prop!$J:$J,"",0,1))</f>
        <v/>
      </c>
      <c r="R187" s="4" t="str">
        <f t="array" ref="R187">IF($E187="","", XLOOKUP(SUMIFS(Prod_Prop!$A:$A,Prod_Prop!$B:$B,$E187,Prod_Prop!$H:$H,R$1,Prod_Prop!$I:$I,"Exacto"),Prod_Prop!$A:$A,Prod_Prop!$J:$J,"",0,1))</f>
        <v/>
      </c>
      <c r="S187" s="4" t="str">
        <f t="array" ref="S187">IF($E187="","", XLOOKUP(SUMIFS(Prod_Prop!$A:$A,Prod_Prop!$B:$B,$E187,Prod_Prop!$H:$H,S$1,Prod_Prop!$I:$I,"Exacto"),Prod_Prop!$A:$A,Prod_Prop!$J:$J,"",0,1))</f>
        <v/>
      </c>
      <c r="T187" s="4" t="str">
        <f t="array" ref="T187">IF($E187="","", XLOOKUP(SUMIFS(Prod_Prop!$A:$A,Prod_Prop!$B:$B,$E187,Prod_Prop!$H:$H,T$1,Prod_Prop!$I:$I,"Exacto"),Prod_Prop!$A:$A,Prod_Prop!$J:$J,"",0,1))</f>
        <v/>
      </c>
      <c r="U187" s="4" t="str">
        <f t="array" ref="U187">IF($E187="","", XLOOKUP(SUMIFS(Prod_Prop!$A:$A,Prod_Prop!$B:$B,$E187,Prod_Prop!$H:$H,U$1,Prod_Prop!$I:$I,"Exacto"),Prod_Prop!$A:$A,Prod_Prop!$J:$J,"",0,1))</f>
        <v/>
      </c>
      <c r="V187" s="4" t="str">
        <f t="array" ref="V187">IF($E187="","", XLOOKUP(SUMIFS(Prod_Prop!$A:$A,Prod_Prop!$B:$B,$E187,Prod_Prop!$H:$H,V$1,Prod_Prop!$I:$I,"Exacto"),Prod_Prop!$A:$A,Prod_Prop!$J:$J,"",0,1))</f>
        <v/>
      </c>
      <c r="X187" s="3" t="str">
        <f>IFERROR(__xludf.DUMMYFUNCTION("IF(D187="""","""",IFERROR(TRANSPOSE(FILTER('Validaciones Cotizador'!U:U,'Validaciones Cotizador'!O:O=D187,'Validaciones Cotizador'!T:T=""x"")),""Finalizar""))"),"")</f>
        <v/>
      </c>
    </row>
    <row r="188">
      <c r="A188" s="2" t="str">
        <f t="array" ref="A188">IF(E188="","",XLOOKUP(D188,'Validaciones Cotizador'!C:C,'Validaciones Cotizador'!A:A,"",0,1))</f>
        <v/>
      </c>
      <c r="B188" s="2" t="str">
        <f t="array" ref="B188">IF(F188="","",XLOOKUP(F188,Productos!E:E,Productos!G:G,"",0,1))</f>
        <v/>
      </c>
      <c r="C188" s="2" t="str">
        <f>IF(A188="","",SUMIFS('Validaciones Cotizador'!B:B,'Validaciones Cotizador'!C:C,D188,'Validaciones Cotizador'!A:A,A188))</f>
        <v/>
      </c>
      <c r="D188" s="4" t="str">
        <f>IFERROR(__xludf.DUMMYFUNCTION("IF(OR(F187=""Finalizar"",F187="""",F187=""Selecciona..""),"""",IF(OR(F187=""-"",INDEX(filter(Familias!F:F,Familias!D:D=A187,Familias!E:E=C187),1)=""O""),D187+1,D187))"),"")</f>
        <v/>
      </c>
      <c r="E188" s="2" t="str">
        <f>IF(OR(F188="",F188="Selecciona.."),"",IF(D188="Implemento",SUMIF(Implementos!B:B,F188,Implementos!A:A),SUMIF(Productos!E:E,F188,Productos!A:A)))</f>
        <v/>
      </c>
      <c r="F188" s="2" t="str">
        <f t="shared" si="2"/>
        <v/>
      </c>
      <c r="G188" s="10" t="str">
        <f t="array" ref="G188">IF(OR(F188="",F188="-",F188="Selecciona..",F188="Finalizar"),"",IF(A188="Rodados",XLOOKUP(B188,'Validaciones Cotizador'!I:I,'Validaciones Cotizador'!J:J,0,0,1),1))</f>
        <v/>
      </c>
      <c r="H188" s="11" t="str">
        <f>IF(OR(F188="",F188="Selecciona.."),"",SUMIF(Precio_Productos!K:K,E188,Precio_Productos!J:J)*G188)</f>
        <v/>
      </c>
      <c r="I188" s="4" t="str">
        <f t="array" ref="I188">IF($E188="","", XLOOKUP(SUMIFS(Prod_Prop!$A:$A,Prod_Prop!$B:$B,$E188,Prod_Prop!$H:$H,I$1,Prod_Prop!$I:$I,"Exacto"),Prod_Prop!$A:$A,Prod_Prop!$J:$J,"",0,1))</f>
        <v/>
      </c>
      <c r="J188" s="4" t="str">
        <f t="array" ref="J188">IF($E188="","", XLOOKUP(SUMIFS(Prod_Prop!$A:$A,Prod_Prop!$B:$B,$E188,Prod_Prop!$H:$H,J$1,Prod_Prop!$I:$I,"Exacto"),Prod_Prop!$A:$A,Prod_Prop!$J:$J,"",0,1))</f>
        <v/>
      </c>
      <c r="K188" s="4" t="str">
        <f t="array" ref="K188">IF($E188="","", XLOOKUP(SUMIFS(Prod_Prop!$A:$A,Prod_Prop!$B:$B,$E188,Prod_Prop!$H:$H,K$1,Prod_Prop!$I:$I,"Exacto"),Prod_Prop!$A:$A,Prod_Prop!$J:$J,"",0,1))</f>
        <v/>
      </c>
      <c r="L188" s="4" t="str">
        <f t="array" ref="L188">IF($E188="","", XLOOKUP(SUMIFS(Prod_Prop!$A:$A,Prod_Prop!$B:$B,$E188,Prod_Prop!$H:$H,L$1,Prod_Prop!$I:$I,"Exacto"),Prod_Prop!$A:$A,Prod_Prop!$J:$J,"",0,1))</f>
        <v/>
      </c>
      <c r="M188" s="4" t="str">
        <f t="array" ref="M188">IF($E188="","", XLOOKUP(SUMIFS(Prod_Prop!$A:$A,Prod_Prop!$B:$B,$E188,Prod_Prop!$H:$H,M$1,Prod_Prop!$I:$I,"Exacto"),Prod_Prop!$A:$A,Prod_Prop!$J:$J,"",0,1))</f>
        <v/>
      </c>
      <c r="N188" s="4" t="str">
        <f t="array" ref="N188">IF($E188="","", XLOOKUP(SUMIFS(Prod_Prop!$A:$A,Prod_Prop!$B:$B,$E188,Prod_Prop!$H:$H,N$1,Prod_Prop!$I:$I,"Exacto"),Prod_Prop!$A:$A,Prod_Prop!$J:$J,"",0,1))</f>
        <v/>
      </c>
      <c r="O188" s="4" t="str">
        <f t="array" ref="O188">IF($E188="","", XLOOKUP(SUMIFS(Prod_Prop!$A:$A,Prod_Prop!$B:$B,$E188,Prod_Prop!$H:$H,O$1,Prod_Prop!$I:$I,"Exacto"),Prod_Prop!$A:$A,Prod_Prop!$J:$J,"",0,1))</f>
        <v/>
      </c>
      <c r="P188" s="4" t="str">
        <f t="array" ref="P188">IF($E188="","", XLOOKUP(SUMIFS(Prod_Prop!$A:$A,Prod_Prop!$B:$B,$E188,Prod_Prop!$H:$H,P$1,Prod_Prop!$I:$I,"Exacto"),Prod_Prop!$A:$A,Prod_Prop!$J:$J,"",0,1))</f>
        <v/>
      </c>
      <c r="Q188" s="4" t="str">
        <f t="array" ref="Q188">IF($E188="","", XLOOKUP(SUMIFS(Prod_Prop!$A:$A,Prod_Prop!$B:$B,$E188,Prod_Prop!$H:$H,Q$1,Prod_Prop!$I:$I,"Exacto"),Prod_Prop!$A:$A,Prod_Prop!$J:$J,"",0,1))</f>
        <v/>
      </c>
      <c r="R188" s="4" t="str">
        <f t="array" ref="R188">IF($E188="","", XLOOKUP(SUMIFS(Prod_Prop!$A:$A,Prod_Prop!$B:$B,$E188,Prod_Prop!$H:$H,R$1,Prod_Prop!$I:$I,"Exacto"),Prod_Prop!$A:$A,Prod_Prop!$J:$J,"",0,1))</f>
        <v/>
      </c>
      <c r="S188" s="4" t="str">
        <f t="array" ref="S188">IF($E188="","", XLOOKUP(SUMIFS(Prod_Prop!$A:$A,Prod_Prop!$B:$B,$E188,Prod_Prop!$H:$H,S$1,Prod_Prop!$I:$I,"Exacto"),Prod_Prop!$A:$A,Prod_Prop!$J:$J,"",0,1))</f>
        <v/>
      </c>
      <c r="T188" s="4" t="str">
        <f t="array" ref="T188">IF($E188="","", XLOOKUP(SUMIFS(Prod_Prop!$A:$A,Prod_Prop!$B:$B,$E188,Prod_Prop!$H:$H,T$1,Prod_Prop!$I:$I,"Exacto"),Prod_Prop!$A:$A,Prod_Prop!$J:$J,"",0,1))</f>
        <v/>
      </c>
      <c r="U188" s="4" t="str">
        <f t="array" ref="U188">IF($E188="","", XLOOKUP(SUMIFS(Prod_Prop!$A:$A,Prod_Prop!$B:$B,$E188,Prod_Prop!$H:$H,U$1,Prod_Prop!$I:$I,"Exacto"),Prod_Prop!$A:$A,Prod_Prop!$J:$J,"",0,1))</f>
        <v/>
      </c>
      <c r="V188" s="4" t="str">
        <f t="array" ref="V188">IF($E188="","", XLOOKUP(SUMIFS(Prod_Prop!$A:$A,Prod_Prop!$B:$B,$E188,Prod_Prop!$H:$H,V$1,Prod_Prop!$I:$I,"Exacto"),Prod_Prop!$A:$A,Prod_Prop!$J:$J,"",0,1))</f>
        <v/>
      </c>
      <c r="X188" s="3" t="str">
        <f>IFERROR(__xludf.DUMMYFUNCTION("IF(D188="""","""",IFERROR(TRANSPOSE(FILTER('Validaciones Cotizador'!U:U,'Validaciones Cotizador'!O:O=D188,'Validaciones Cotizador'!T:T=""x"")),""Finalizar""))"),"")</f>
        <v/>
      </c>
    </row>
    <row r="189">
      <c r="A189" s="2" t="str">
        <f t="array" ref="A189">IF(E189="","",XLOOKUP(D189,'Validaciones Cotizador'!C:C,'Validaciones Cotizador'!A:A,"",0,1))</f>
        <v/>
      </c>
      <c r="B189" s="2" t="str">
        <f t="array" ref="B189">IF(F189="","",XLOOKUP(F189,Productos!E:E,Productos!G:G,"",0,1))</f>
        <v/>
      </c>
      <c r="C189" s="2" t="str">
        <f>IF(A189="","",SUMIFS('Validaciones Cotizador'!B:B,'Validaciones Cotizador'!C:C,D189,'Validaciones Cotizador'!A:A,A189))</f>
        <v/>
      </c>
      <c r="D189" s="4" t="str">
        <f>IFERROR(__xludf.DUMMYFUNCTION("IF(OR(F188=""Finalizar"",F188="""",F188=""Selecciona..""),"""",IF(OR(F188=""-"",INDEX(filter(Familias!F:F,Familias!D:D=A188,Familias!E:E=C188),1)=""O""),D188+1,D188))"),"")</f>
        <v/>
      </c>
      <c r="E189" s="2" t="str">
        <f>IF(OR(F189="",F189="Selecciona.."),"",IF(D189="Implemento",SUMIF(Implementos!B:B,F189,Implementos!A:A),SUMIF(Productos!E:E,F189,Productos!A:A)))</f>
        <v/>
      </c>
      <c r="F189" s="2" t="str">
        <f t="shared" si="2"/>
        <v/>
      </c>
      <c r="G189" s="10" t="str">
        <f t="array" ref="G189">IF(OR(F189="",F189="-",F189="Selecciona..",F189="Finalizar"),"",IF(A189="Rodados",XLOOKUP(B189,'Validaciones Cotizador'!I:I,'Validaciones Cotizador'!J:J,0,0,1),1))</f>
        <v/>
      </c>
      <c r="H189" s="11" t="str">
        <f>IF(OR(F189="",F189="Selecciona.."),"",SUMIF(Precio_Productos!K:K,E189,Precio_Productos!J:J)*G189)</f>
        <v/>
      </c>
      <c r="I189" s="4" t="str">
        <f t="array" ref="I189">IF($E189="","", XLOOKUP(SUMIFS(Prod_Prop!$A:$A,Prod_Prop!$B:$B,$E189,Prod_Prop!$H:$H,I$1,Prod_Prop!$I:$I,"Exacto"),Prod_Prop!$A:$A,Prod_Prop!$J:$J,"",0,1))</f>
        <v/>
      </c>
      <c r="J189" s="4" t="str">
        <f t="array" ref="J189">IF($E189="","", XLOOKUP(SUMIFS(Prod_Prop!$A:$A,Prod_Prop!$B:$B,$E189,Prod_Prop!$H:$H,J$1,Prod_Prop!$I:$I,"Exacto"),Prod_Prop!$A:$A,Prod_Prop!$J:$J,"",0,1))</f>
        <v/>
      </c>
      <c r="K189" s="4" t="str">
        <f t="array" ref="K189">IF($E189="","", XLOOKUP(SUMIFS(Prod_Prop!$A:$A,Prod_Prop!$B:$B,$E189,Prod_Prop!$H:$H,K$1,Prod_Prop!$I:$I,"Exacto"),Prod_Prop!$A:$A,Prod_Prop!$J:$J,"",0,1))</f>
        <v/>
      </c>
      <c r="L189" s="4" t="str">
        <f t="array" ref="L189">IF($E189="","", XLOOKUP(SUMIFS(Prod_Prop!$A:$A,Prod_Prop!$B:$B,$E189,Prod_Prop!$H:$H,L$1,Prod_Prop!$I:$I,"Exacto"),Prod_Prop!$A:$A,Prod_Prop!$J:$J,"",0,1))</f>
        <v/>
      </c>
      <c r="M189" s="4" t="str">
        <f t="array" ref="M189">IF($E189="","", XLOOKUP(SUMIFS(Prod_Prop!$A:$A,Prod_Prop!$B:$B,$E189,Prod_Prop!$H:$H,M$1,Prod_Prop!$I:$I,"Exacto"),Prod_Prop!$A:$A,Prod_Prop!$J:$J,"",0,1))</f>
        <v/>
      </c>
      <c r="N189" s="4" t="str">
        <f t="array" ref="N189">IF($E189="","", XLOOKUP(SUMIFS(Prod_Prop!$A:$A,Prod_Prop!$B:$B,$E189,Prod_Prop!$H:$H,N$1,Prod_Prop!$I:$I,"Exacto"),Prod_Prop!$A:$A,Prod_Prop!$J:$J,"",0,1))</f>
        <v/>
      </c>
      <c r="O189" s="4" t="str">
        <f t="array" ref="O189">IF($E189="","", XLOOKUP(SUMIFS(Prod_Prop!$A:$A,Prod_Prop!$B:$B,$E189,Prod_Prop!$H:$H,O$1,Prod_Prop!$I:$I,"Exacto"),Prod_Prop!$A:$A,Prod_Prop!$J:$J,"",0,1))</f>
        <v/>
      </c>
      <c r="P189" s="4" t="str">
        <f t="array" ref="P189">IF($E189="","", XLOOKUP(SUMIFS(Prod_Prop!$A:$A,Prod_Prop!$B:$B,$E189,Prod_Prop!$H:$H,P$1,Prod_Prop!$I:$I,"Exacto"),Prod_Prop!$A:$A,Prod_Prop!$J:$J,"",0,1))</f>
        <v/>
      </c>
      <c r="Q189" s="4" t="str">
        <f t="array" ref="Q189">IF($E189="","", XLOOKUP(SUMIFS(Prod_Prop!$A:$A,Prod_Prop!$B:$B,$E189,Prod_Prop!$H:$H,Q$1,Prod_Prop!$I:$I,"Exacto"),Prod_Prop!$A:$A,Prod_Prop!$J:$J,"",0,1))</f>
        <v/>
      </c>
      <c r="R189" s="4" t="str">
        <f t="array" ref="R189">IF($E189="","", XLOOKUP(SUMIFS(Prod_Prop!$A:$A,Prod_Prop!$B:$B,$E189,Prod_Prop!$H:$H,R$1,Prod_Prop!$I:$I,"Exacto"),Prod_Prop!$A:$A,Prod_Prop!$J:$J,"",0,1))</f>
        <v/>
      </c>
      <c r="S189" s="4" t="str">
        <f t="array" ref="S189">IF($E189="","", XLOOKUP(SUMIFS(Prod_Prop!$A:$A,Prod_Prop!$B:$B,$E189,Prod_Prop!$H:$H,S$1,Prod_Prop!$I:$I,"Exacto"),Prod_Prop!$A:$A,Prod_Prop!$J:$J,"",0,1))</f>
        <v/>
      </c>
      <c r="T189" s="4" t="str">
        <f t="array" ref="T189">IF($E189="","", XLOOKUP(SUMIFS(Prod_Prop!$A:$A,Prod_Prop!$B:$B,$E189,Prod_Prop!$H:$H,T$1,Prod_Prop!$I:$I,"Exacto"),Prod_Prop!$A:$A,Prod_Prop!$J:$J,"",0,1))</f>
        <v/>
      </c>
      <c r="U189" s="4" t="str">
        <f t="array" ref="U189">IF($E189="","", XLOOKUP(SUMIFS(Prod_Prop!$A:$A,Prod_Prop!$B:$B,$E189,Prod_Prop!$H:$H,U$1,Prod_Prop!$I:$I,"Exacto"),Prod_Prop!$A:$A,Prod_Prop!$J:$J,"",0,1))</f>
        <v/>
      </c>
      <c r="V189" s="4" t="str">
        <f t="array" ref="V189">IF($E189="","", XLOOKUP(SUMIFS(Prod_Prop!$A:$A,Prod_Prop!$B:$B,$E189,Prod_Prop!$H:$H,V$1,Prod_Prop!$I:$I,"Exacto"),Prod_Prop!$A:$A,Prod_Prop!$J:$J,"",0,1))</f>
        <v/>
      </c>
      <c r="X189" s="3" t="str">
        <f>IFERROR(__xludf.DUMMYFUNCTION("IF(D189="""","""",IFERROR(TRANSPOSE(FILTER('Validaciones Cotizador'!U:U,'Validaciones Cotizador'!O:O=D189,'Validaciones Cotizador'!T:T=""x"")),""Finalizar""))"),"")</f>
        <v/>
      </c>
    </row>
    <row r="190">
      <c r="A190" s="2" t="str">
        <f t="array" ref="A190">IF(E190="","",XLOOKUP(D190,'Validaciones Cotizador'!C:C,'Validaciones Cotizador'!A:A,"",0,1))</f>
        <v/>
      </c>
      <c r="B190" s="2" t="str">
        <f t="array" ref="B190">IF(F190="","",XLOOKUP(F190,Productos!E:E,Productos!G:G,"",0,1))</f>
        <v/>
      </c>
      <c r="C190" s="2" t="str">
        <f>IF(A190="","",SUMIFS('Validaciones Cotizador'!B:B,'Validaciones Cotizador'!C:C,D190,'Validaciones Cotizador'!A:A,A190))</f>
        <v/>
      </c>
      <c r="D190" s="4" t="str">
        <f>IFERROR(__xludf.DUMMYFUNCTION("IF(OR(F189=""Finalizar"",F189="""",F189=""Selecciona..""),"""",IF(OR(F189=""-"",INDEX(filter(Familias!F:F,Familias!D:D=A189,Familias!E:E=C189),1)=""O""),D189+1,D189))"),"")</f>
        <v/>
      </c>
      <c r="E190" s="2" t="str">
        <f>IF(OR(F190="",F190="Selecciona.."),"",IF(D190="Implemento",SUMIF(Implementos!B:B,F190,Implementos!A:A),SUMIF(Productos!E:E,F190,Productos!A:A)))</f>
        <v/>
      </c>
      <c r="F190" s="2" t="str">
        <f t="shared" si="2"/>
        <v/>
      </c>
      <c r="G190" s="10" t="str">
        <f t="array" ref="G190">IF(OR(F190="",F190="-",F190="Selecciona..",F190="Finalizar"),"",IF(A190="Rodados",XLOOKUP(B190,'Validaciones Cotizador'!I:I,'Validaciones Cotizador'!J:J,0,0,1),1))</f>
        <v/>
      </c>
      <c r="H190" s="11" t="str">
        <f>IF(OR(F190="",F190="Selecciona.."),"",SUMIF(Precio_Productos!K:K,E190,Precio_Productos!J:J)*G190)</f>
        <v/>
      </c>
      <c r="I190" s="4" t="str">
        <f t="array" ref="I190">IF($E190="","", XLOOKUP(SUMIFS(Prod_Prop!$A:$A,Prod_Prop!$B:$B,$E190,Prod_Prop!$H:$H,I$1,Prod_Prop!$I:$I,"Exacto"),Prod_Prop!$A:$A,Prod_Prop!$J:$J,"",0,1))</f>
        <v/>
      </c>
      <c r="J190" s="4" t="str">
        <f t="array" ref="J190">IF($E190="","", XLOOKUP(SUMIFS(Prod_Prop!$A:$A,Prod_Prop!$B:$B,$E190,Prod_Prop!$H:$H,J$1,Prod_Prop!$I:$I,"Exacto"),Prod_Prop!$A:$A,Prod_Prop!$J:$J,"",0,1))</f>
        <v/>
      </c>
      <c r="K190" s="4" t="str">
        <f t="array" ref="K190">IF($E190="","", XLOOKUP(SUMIFS(Prod_Prop!$A:$A,Prod_Prop!$B:$B,$E190,Prod_Prop!$H:$H,K$1,Prod_Prop!$I:$I,"Exacto"),Prod_Prop!$A:$A,Prod_Prop!$J:$J,"",0,1))</f>
        <v/>
      </c>
      <c r="L190" s="4" t="str">
        <f t="array" ref="L190">IF($E190="","", XLOOKUP(SUMIFS(Prod_Prop!$A:$A,Prod_Prop!$B:$B,$E190,Prod_Prop!$H:$H,L$1,Prod_Prop!$I:$I,"Exacto"),Prod_Prop!$A:$A,Prod_Prop!$J:$J,"",0,1))</f>
        <v/>
      </c>
      <c r="M190" s="4" t="str">
        <f t="array" ref="M190">IF($E190="","", XLOOKUP(SUMIFS(Prod_Prop!$A:$A,Prod_Prop!$B:$B,$E190,Prod_Prop!$H:$H,M$1,Prod_Prop!$I:$I,"Exacto"),Prod_Prop!$A:$A,Prod_Prop!$J:$J,"",0,1))</f>
        <v/>
      </c>
      <c r="N190" s="4" t="str">
        <f t="array" ref="N190">IF($E190="","", XLOOKUP(SUMIFS(Prod_Prop!$A:$A,Prod_Prop!$B:$B,$E190,Prod_Prop!$H:$H,N$1,Prod_Prop!$I:$I,"Exacto"),Prod_Prop!$A:$A,Prod_Prop!$J:$J,"",0,1))</f>
        <v/>
      </c>
      <c r="O190" s="4" t="str">
        <f t="array" ref="O190">IF($E190="","", XLOOKUP(SUMIFS(Prod_Prop!$A:$A,Prod_Prop!$B:$B,$E190,Prod_Prop!$H:$H,O$1,Prod_Prop!$I:$I,"Exacto"),Prod_Prop!$A:$A,Prod_Prop!$J:$J,"",0,1))</f>
        <v/>
      </c>
      <c r="P190" s="4" t="str">
        <f t="array" ref="P190">IF($E190="","", XLOOKUP(SUMIFS(Prod_Prop!$A:$A,Prod_Prop!$B:$B,$E190,Prod_Prop!$H:$H,P$1,Prod_Prop!$I:$I,"Exacto"),Prod_Prop!$A:$A,Prod_Prop!$J:$J,"",0,1))</f>
        <v/>
      </c>
      <c r="Q190" s="4" t="str">
        <f t="array" ref="Q190">IF($E190="","", XLOOKUP(SUMIFS(Prod_Prop!$A:$A,Prod_Prop!$B:$B,$E190,Prod_Prop!$H:$H,Q$1,Prod_Prop!$I:$I,"Exacto"),Prod_Prop!$A:$A,Prod_Prop!$J:$J,"",0,1))</f>
        <v/>
      </c>
      <c r="R190" s="4" t="str">
        <f t="array" ref="R190">IF($E190="","", XLOOKUP(SUMIFS(Prod_Prop!$A:$A,Prod_Prop!$B:$B,$E190,Prod_Prop!$H:$H,R$1,Prod_Prop!$I:$I,"Exacto"),Prod_Prop!$A:$A,Prod_Prop!$J:$J,"",0,1))</f>
        <v/>
      </c>
      <c r="S190" s="4" t="str">
        <f t="array" ref="S190">IF($E190="","", XLOOKUP(SUMIFS(Prod_Prop!$A:$A,Prod_Prop!$B:$B,$E190,Prod_Prop!$H:$H,S$1,Prod_Prop!$I:$I,"Exacto"),Prod_Prop!$A:$A,Prod_Prop!$J:$J,"",0,1))</f>
        <v/>
      </c>
      <c r="T190" s="4" t="str">
        <f t="array" ref="T190">IF($E190="","", XLOOKUP(SUMIFS(Prod_Prop!$A:$A,Prod_Prop!$B:$B,$E190,Prod_Prop!$H:$H,T$1,Prod_Prop!$I:$I,"Exacto"),Prod_Prop!$A:$A,Prod_Prop!$J:$J,"",0,1))</f>
        <v/>
      </c>
      <c r="U190" s="4" t="str">
        <f t="array" ref="U190">IF($E190="","", XLOOKUP(SUMIFS(Prod_Prop!$A:$A,Prod_Prop!$B:$B,$E190,Prod_Prop!$H:$H,U$1,Prod_Prop!$I:$I,"Exacto"),Prod_Prop!$A:$A,Prod_Prop!$J:$J,"",0,1))</f>
        <v/>
      </c>
      <c r="V190" s="4" t="str">
        <f t="array" ref="V190">IF($E190="","", XLOOKUP(SUMIFS(Prod_Prop!$A:$A,Prod_Prop!$B:$B,$E190,Prod_Prop!$H:$H,V$1,Prod_Prop!$I:$I,"Exacto"),Prod_Prop!$A:$A,Prod_Prop!$J:$J,"",0,1))</f>
        <v/>
      </c>
      <c r="X190" s="3" t="str">
        <f>IFERROR(__xludf.DUMMYFUNCTION("IF(D190="""","""",IFERROR(TRANSPOSE(FILTER('Validaciones Cotizador'!U:U,'Validaciones Cotizador'!O:O=D190,'Validaciones Cotizador'!T:T=""x"")),""Finalizar""))"),"")</f>
        <v/>
      </c>
    </row>
    <row r="191">
      <c r="A191" s="2" t="str">
        <f t="array" ref="A191">IF(E191="","",XLOOKUP(D191,'Validaciones Cotizador'!C:C,'Validaciones Cotizador'!A:A,"",0,1))</f>
        <v/>
      </c>
      <c r="B191" s="2" t="str">
        <f t="array" ref="B191">IF(F191="","",XLOOKUP(F191,Productos!E:E,Productos!G:G,"",0,1))</f>
        <v/>
      </c>
      <c r="C191" s="2" t="str">
        <f>IF(A191="","",SUMIFS('Validaciones Cotizador'!B:B,'Validaciones Cotizador'!C:C,D191,'Validaciones Cotizador'!A:A,A191))</f>
        <v/>
      </c>
      <c r="D191" s="4" t="str">
        <f>IFERROR(__xludf.DUMMYFUNCTION("IF(OR(F190=""Finalizar"",F190="""",F190=""Selecciona..""),"""",IF(OR(F190=""-"",INDEX(filter(Familias!F:F,Familias!D:D=A190,Familias!E:E=C190),1)=""O""),D190+1,D190))"),"")</f>
        <v/>
      </c>
      <c r="E191" s="2" t="str">
        <f>IF(OR(F191="",F191="Selecciona.."),"",IF(D191="Implemento",SUMIF(Implementos!B:B,F191,Implementos!A:A),SUMIF(Productos!E:E,F191,Productos!A:A)))</f>
        <v/>
      </c>
      <c r="F191" s="2" t="str">
        <f t="shared" si="2"/>
        <v/>
      </c>
      <c r="G191" s="10" t="str">
        <f t="array" ref="G191">IF(OR(F191="",F191="-",F191="Selecciona..",F191="Finalizar"),"",IF(A191="Rodados",XLOOKUP(B191,'Validaciones Cotizador'!I:I,'Validaciones Cotizador'!J:J,0,0,1),1))</f>
        <v/>
      </c>
      <c r="H191" s="11" t="str">
        <f>IF(OR(F191="",F191="Selecciona.."),"",SUMIF(Precio_Productos!K:K,E191,Precio_Productos!J:J)*G191)</f>
        <v/>
      </c>
      <c r="I191" s="4" t="str">
        <f t="array" ref="I191">IF($E191="","", XLOOKUP(SUMIFS(Prod_Prop!$A:$A,Prod_Prop!$B:$B,$E191,Prod_Prop!$H:$H,I$1,Prod_Prop!$I:$I,"Exacto"),Prod_Prop!$A:$A,Prod_Prop!$J:$J,"",0,1))</f>
        <v/>
      </c>
      <c r="J191" s="4" t="str">
        <f t="array" ref="J191">IF($E191="","", XLOOKUP(SUMIFS(Prod_Prop!$A:$A,Prod_Prop!$B:$B,$E191,Prod_Prop!$H:$H,J$1,Prod_Prop!$I:$I,"Exacto"),Prod_Prop!$A:$A,Prod_Prop!$J:$J,"",0,1))</f>
        <v/>
      </c>
      <c r="K191" s="4" t="str">
        <f t="array" ref="K191">IF($E191="","", XLOOKUP(SUMIFS(Prod_Prop!$A:$A,Prod_Prop!$B:$B,$E191,Prod_Prop!$H:$H,K$1,Prod_Prop!$I:$I,"Exacto"),Prod_Prop!$A:$A,Prod_Prop!$J:$J,"",0,1))</f>
        <v/>
      </c>
      <c r="L191" s="4" t="str">
        <f t="array" ref="L191">IF($E191="","", XLOOKUP(SUMIFS(Prod_Prop!$A:$A,Prod_Prop!$B:$B,$E191,Prod_Prop!$H:$H,L$1,Prod_Prop!$I:$I,"Exacto"),Prod_Prop!$A:$A,Prod_Prop!$J:$J,"",0,1))</f>
        <v/>
      </c>
      <c r="M191" s="4" t="str">
        <f t="array" ref="M191">IF($E191="","", XLOOKUP(SUMIFS(Prod_Prop!$A:$A,Prod_Prop!$B:$B,$E191,Prod_Prop!$H:$H,M$1,Prod_Prop!$I:$I,"Exacto"),Prod_Prop!$A:$A,Prod_Prop!$J:$J,"",0,1))</f>
        <v/>
      </c>
      <c r="N191" s="4" t="str">
        <f t="array" ref="N191">IF($E191="","", XLOOKUP(SUMIFS(Prod_Prop!$A:$A,Prod_Prop!$B:$B,$E191,Prod_Prop!$H:$H,N$1,Prod_Prop!$I:$I,"Exacto"),Prod_Prop!$A:$A,Prod_Prop!$J:$J,"",0,1))</f>
        <v/>
      </c>
      <c r="O191" s="4" t="str">
        <f t="array" ref="O191">IF($E191="","", XLOOKUP(SUMIFS(Prod_Prop!$A:$A,Prod_Prop!$B:$B,$E191,Prod_Prop!$H:$H,O$1,Prod_Prop!$I:$I,"Exacto"),Prod_Prop!$A:$A,Prod_Prop!$J:$J,"",0,1))</f>
        <v/>
      </c>
      <c r="P191" s="4" t="str">
        <f t="array" ref="P191">IF($E191="","", XLOOKUP(SUMIFS(Prod_Prop!$A:$A,Prod_Prop!$B:$B,$E191,Prod_Prop!$H:$H,P$1,Prod_Prop!$I:$I,"Exacto"),Prod_Prop!$A:$A,Prod_Prop!$J:$J,"",0,1))</f>
        <v/>
      </c>
      <c r="Q191" s="4" t="str">
        <f t="array" ref="Q191">IF($E191="","", XLOOKUP(SUMIFS(Prod_Prop!$A:$A,Prod_Prop!$B:$B,$E191,Prod_Prop!$H:$H,Q$1,Prod_Prop!$I:$I,"Exacto"),Prod_Prop!$A:$A,Prod_Prop!$J:$J,"",0,1))</f>
        <v/>
      </c>
      <c r="R191" s="4" t="str">
        <f t="array" ref="R191">IF($E191="","", XLOOKUP(SUMIFS(Prod_Prop!$A:$A,Prod_Prop!$B:$B,$E191,Prod_Prop!$H:$H,R$1,Prod_Prop!$I:$I,"Exacto"),Prod_Prop!$A:$A,Prod_Prop!$J:$J,"",0,1))</f>
        <v/>
      </c>
      <c r="S191" s="4" t="str">
        <f t="array" ref="S191">IF($E191="","", XLOOKUP(SUMIFS(Prod_Prop!$A:$A,Prod_Prop!$B:$B,$E191,Prod_Prop!$H:$H,S$1,Prod_Prop!$I:$I,"Exacto"),Prod_Prop!$A:$A,Prod_Prop!$J:$J,"",0,1))</f>
        <v/>
      </c>
      <c r="T191" s="4" t="str">
        <f t="array" ref="T191">IF($E191="","", XLOOKUP(SUMIFS(Prod_Prop!$A:$A,Prod_Prop!$B:$B,$E191,Prod_Prop!$H:$H,T$1,Prod_Prop!$I:$I,"Exacto"),Prod_Prop!$A:$A,Prod_Prop!$J:$J,"",0,1))</f>
        <v/>
      </c>
      <c r="U191" s="4" t="str">
        <f t="array" ref="U191">IF($E191="","", XLOOKUP(SUMIFS(Prod_Prop!$A:$A,Prod_Prop!$B:$B,$E191,Prod_Prop!$H:$H,U$1,Prod_Prop!$I:$I,"Exacto"),Prod_Prop!$A:$A,Prod_Prop!$J:$J,"",0,1))</f>
        <v/>
      </c>
      <c r="V191" s="4" t="str">
        <f t="array" ref="V191">IF($E191="","", XLOOKUP(SUMIFS(Prod_Prop!$A:$A,Prod_Prop!$B:$B,$E191,Prod_Prop!$H:$H,V$1,Prod_Prop!$I:$I,"Exacto"),Prod_Prop!$A:$A,Prod_Prop!$J:$J,"",0,1))</f>
        <v/>
      </c>
      <c r="X191" s="3" t="str">
        <f>IFERROR(__xludf.DUMMYFUNCTION("IF(D191="""","""",IFERROR(TRANSPOSE(FILTER('Validaciones Cotizador'!U:U,'Validaciones Cotizador'!O:O=D191,'Validaciones Cotizador'!T:T=""x"")),""Finalizar""))"),"")</f>
        <v/>
      </c>
    </row>
    <row r="192">
      <c r="A192" s="2" t="str">
        <f t="array" ref="A192">IF(E192="","",XLOOKUP(D192,'Validaciones Cotizador'!C:C,'Validaciones Cotizador'!A:A,"",0,1))</f>
        <v/>
      </c>
      <c r="B192" s="2" t="str">
        <f t="array" ref="B192">IF(F192="","",XLOOKUP(F192,Productos!E:E,Productos!G:G,"",0,1))</f>
        <v/>
      </c>
      <c r="C192" s="2" t="str">
        <f>IF(A192="","",SUMIFS('Validaciones Cotizador'!B:B,'Validaciones Cotizador'!C:C,D192,'Validaciones Cotizador'!A:A,A192))</f>
        <v/>
      </c>
      <c r="D192" s="4" t="str">
        <f>IFERROR(__xludf.DUMMYFUNCTION("IF(OR(F191=""Finalizar"",F191="""",F191=""Selecciona..""),"""",IF(OR(F191=""-"",INDEX(filter(Familias!F:F,Familias!D:D=A191,Familias!E:E=C191),1)=""O""),D191+1,D191))"),"")</f>
        <v/>
      </c>
      <c r="E192" s="2" t="str">
        <f>IF(OR(F192="",F192="Selecciona.."),"",IF(D192="Implemento",SUMIF(Implementos!B:B,F192,Implementos!A:A),SUMIF(Productos!E:E,F192,Productos!A:A)))</f>
        <v/>
      </c>
      <c r="F192" s="2" t="str">
        <f t="shared" si="2"/>
        <v/>
      </c>
      <c r="G192" s="10" t="str">
        <f t="array" ref="G192">IF(OR(F192="",F192="-",F192="Selecciona..",F192="Finalizar"),"",IF(A192="Rodados",XLOOKUP(B192,'Validaciones Cotizador'!I:I,'Validaciones Cotizador'!J:J,0,0,1),1))</f>
        <v/>
      </c>
      <c r="H192" s="11" t="str">
        <f>IF(OR(F192="",F192="Selecciona.."),"",SUMIF(Precio_Productos!K:K,E192,Precio_Productos!J:J)*G192)</f>
        <v/>
      </c>
      <c r="I192" s="4" t="str">
        <f t="array" ref="I192">IF($E192="","", XLOOKUP(SUMIFS(Prod_Prop!$A:$A,Prod_Prop!$B:$B,$E192,Prod_Prop!$H:$H,I$1,Prod_Prop!$I:$I,"Exacto"),Prod_Prop!$A:$A,Prod_Prop!$J:$J,"",0,1))</f>
        <v/>
      </c>
      <c r="J192" s="4" t="str">
        <f t="array" ref="J192">IF($E192="","", XLOOKUP(SUMIFS(Prod_Prop!$A:$A,Prod_Prop!$B:$B,$E192,Prod_Prop!$H:$H,J$1,Prod_Prop!$I:$I,"Exacto"),Prod_Prop!$A:$A,Prod_Prop!$J:$J,"",0,1))</f>
        <v/>
      </c>
      <c r="K192" s="4" t="str">
        <f t="array" ref="K192">IF($E192="","", XLOOKUP(SUMIFS(Prod_Prop!$A:$A,Prod_Prop!$B:$B,$E192,Prod_Prop!$H:$H,K$1,Prod_Prop!$I:$I,"Exacto"),Prod_Prop!$A:$A,Prod_Prop!$J:$J,"",0,1))</f>
        <v/>
      </c>
      <c r="L192" s="4" t="str">
        <f t="array" ref="L192">IF($E192="","", XLOOKUP(SUMIFS(Prod_Prop!$A:$A,Prod_Prop!$B:$B,$E192,Prod_Prop!$H:$H,L$1,Prod_Prop!$I:$I,"Exacto"),Prod_Prop!$A:$A,Prod_Prop!$J:$J,"",0,1))</f>
        <v/>
      </c>
      <c r="M192" s="4" t="str">
        <f t="array" ref="M192">IF($E192="","", XLOOKUP(SUMIFS(Prod_Prop!$A:$A,Prod_Prop!$B:$B,$E192,Prod_Prop!$H:$H,M$1,Prod_Prop!$I:$I,"Exacto"),Prod_Prop!$A:$A,Prod_Prop!$J:$J,"",0,1))</f>
        <v/>
      </c>
      <c r="N192" s="4" t="str">
        <f t="array" ref="N192">IF($E192="","", XLOOKUP(SUMIFS(Prod_Prop!$A:$A,Prod_Prop!$B:$B,$E192,Prod_Prop!$H:$H,N$1,Prod_Prop!$I:$I,"Exacto"),Prod_Prop!$A:$A,Prod_Prop!$J:$J,"",0,1))</f>
        <v/>
      </c>
      <c r="O192" s="4" t="str">
        <f t="array" ref="O192">IF($E192="","", XLOOKUP(SUMIFS(Prod_Prop!$A:$A,Prod_Prop!$B:$B,$E192,Prod_Prop!$H:$H,O$1,Prod_Prop!$I:$I,"Exacto"),Prod_Prop!$A:$A,Prod_Prop!$J:$J,"",0,1))</f>
        <v/>
      </c>
      <c r="P192" s="4" t="str">
        <f t="array" ref="P192">IF($E192="","", XLOOKUP(SUMIFS(Prod_Prop!$A:$A,Prod_Prop!$B:$B,$E192,Prod_Prop!$H:$H,P$1,Prod_Prop!$I:$I,"Exacto"),Prod_Prop!$A:$A,Prod_Prop!$J:$J,"",0,1))</f>
        <v/>
      </c>
      <c r="Q192" s="4" t="str">
        <f t="array" ref="Q192">IF($E192="","", XLOOKUP(SUMIFS(Prod_Prop!$A:$A,Prod_Prop!$B:$B,$E192,Prod_Prop!$H:$H,Q$1,Prod_Prop!$I:$I,"Exacto"),Prod_Prop!$A:$A,Prod_Prop!$J:$J,"",0,1))</f>
        <v/>
      </c>
      <c r="R192" s="4" t="str">
        <f t="array" ref="R192">IF($E192="","", XLOOKUP(SUMIFS(Prod_Prop!$A:$A,Prod_Prop!$B:$B,$E192,Prod_Prop!$H:$H,R$1,Prod_Prop!$I:$I,"Exacto"),Prod_Prop!$A:$A,Prod_Prop!$J:$J,"",0,1))</f>
        <v/>
      </c>
      <c r="S192" s="4" t="str">
        <f t="array" ref="S192">IF($E192="","", XLOOKUP(SUMIFS(Prod_Prop!$A:$A,Prod_Prop!$B:$B,$E192,Prod_Prop!$H:$H,S$1,Prod_Prop!$I:$I,"Exacto"),Prod_Prop!$A:$A,Prod_Prop!$J:$J,"",0,1))</f>
        <v/>
      </c>
      <c r="T192" s="4" t="str">
        <f t="array" ref="T192">IF($E192="","", XLOOKUP(SUMIFS(Prod_Prop!$A:$A,Prod_Prop!$B:$B,$E192,Prod_Prop!$H:$H,T$1,Prod_Prop!$I:$I,"Exacto"),Prod_Prop!$A:$A,Prod_Prop!$J:$J,"",0,1))</f>
        <v/>
      </c>
      <c r="U192" s="4" t="str">
        <f t="array" ref="U192">IF($E192="","", XLOOKUP(SUMIFS(Prod_Prop!$A:$A,Prod_Prop!$B:$B,$E192,Prod_Prop!$H:$H,U$1,Prod_Prop!$I:$I,"Exacto"),Prod_Prop!$A:$A,Prod_Prop!$J:$J,"",0,1))</f>
        <v/>
      </c>
      <c r="V192" s="4" t="str">
        <f t="array" ref="V192">IF($E192="","", XLOOKUP(SUMIFS(Prod_Prop!$A:$A,Prod_Prop!$B:$B,$E192,Prod_Prop!$H:$H,V$1,Prod_Prop!$I:$I,"Exacto"),Prod_Prop!$A:$A,Prod_Prop!$J:$J,"",0,1))</f>
        <v/>
      </c>
      <c r="X192" s="3" t="str">
        <f>IFERROR(__xludf.DUMMYFUNCTION("IF(D192="""","""",IFERROR(TRANSPOSE(FILTER('Validaciones Cotizador'!U:U,'Validaciones Cotizador'!O:O=D192,'Validaciones Cotizador'!T:T=""x"")),""Finalizar""))"),"")</f>
        <v/>
      </c>
    </row>
    <row r="193">
      <c r="A193" s="2" t="str">
        <f t="array" ref="A193">IF(E193="","",XLOOKUP(D193,'Validaciones Cotizador'!C:C,'Validaciones Cotizador'!A:A,"",0,1))</f>
        <v/>
      </c>
      <c r="B193" s="2" t="str">
        <f t="array" ref="B193">IF(F193="","",XLOOKUP(F193,Productos!E:E,Productos!G:G,"",0,1))</f>
        <v/>
      </c>
      <c r="C193" s="2" t="str">
        <f>IF(A193="","",SUMIFS('Validaciones Cotizador'!B:B,'Validaciones Cotizador'!C:C,D193,'Validaciones Cotizador'!A:A,A193))</f>
        <v/>
      </c>
      <c r="D193" s="4" t="str">
        <f>IFERROR(__xludf.DUMMYFUNCTION("IF(OR(F192=""Finalizar"",F192="""",F192=""Selecciona..""),"""",IF(OR(F192=""-"",INDEX(filter(Familias!F:F,Familias!D:D=A192,Familias!E:E=C192),1)=""O""),D192+1,D192))"),"")</f>
        <v/>
      </c>
      <c r="E193" s="2" t="str">
        <f>IF(OR(F193="",F193="Selecciona.."),"",IF(D193="Implemento",SUMIF(Implementos!B:B,F193,Implementos!A:A),SUMIF(Productos!E:E,F193,Productos!A:A)))</f>
        <v/>
      </c>
      <c r="F193" s="2" t="str">
        <f t="shared" si="2"/>
        <v/>
      </c>
      <c r="G193" s="10" t="str">
        <f t="array" ref="G193">IF(OR(F193="",F193="-",F193="Selecciona..",F193="Finalizar"),"",IF(A193="Rodados",XLOOKUP(B193,'Validaciones Cotizador'!I:I,'Validaciones Cotizador'!J:J,0,0,1),1))</f>
        <v/>
      </c>
      <c r="H193" s="11" t="str">
        <f>IF(OR(F193="",F193="Selecciona.."),"",SUMIF(Precio_Productos!K:K,E193,Precio_Productos!J:J)*G193)</f>
        <v/>
      </c>
      <c r="I193" s="4" t="str">
        <f t="array" ref="I193">IF($E193="","", XLOOKUP(SUMIFS(Prod_Prop!$A:$A,Prod_Prop!$B:$B,$E193,Prod_Prop!$H:$H,I$1,Prod_Prop!$I:$I,"Exacto"),Prod_Prop!$A:$A,Prod_Prop!$J:$J,"",0,1))</f>
        <v/>
      </c>
      <c r="J193" s="4" t="str">
        <f t="array" ref="J193">IF($E193="","", XLOOKUP(SUMIFS(Prod_Prop!$A:$A,Prod_Prop!$B:$B,$E193,Prod_Prop!$H:$H,J$1,Prod_Prop!$I:$I,"Exacto"),Prod_Prop!$A:$A,Prod_Prop!$J:$J,"",0,1))</f>
        <v/>
      </c>
      <c r="K193" s="4" t="str">
        <f t="array" ref="K193">IF($E193="","", XLOOKUP(SUMIFS(Prod_Prop!$A:$A,Prod_Prop!$B:$B,$E193,Prod_Prop!$H:$H,K$1,Prod_Prop!$I:$I,"Exacto"),Prod_Prop!$A:$A,Prod_Prop!$J:$J,"",0,1))</f>
        <v/>
      </c>
      <c r="L193" s="4" t="str">
        <f t="array" ref="L193">IF($E193="","", XLOOKUP(SUMIFS(Prod_Prop!$A:$A,Prod_Prop!$B:$B,$E193,Prod_Prop!$H:$H,L$1,Prod_Prop!$I:$I,"Exacto"),Prod_Prop!$A:$A,Prod_Prop!$J:$J,"",0,1))</f>
        <v/>
      </c>
      <c r="M193" s="4" t="str">
        <f t="array" ref="M193">IF($E193="","", XLOOKUP(SUMIFS(Prod_Prop!$A:$A,Prod_Prop!$B:$B,$E193,Prod_Prop!$H:$H,M$1,Prod_Prop!$I:$I,"Exacto"),Prod_Prop!$A:$A,Prod_Prop!$J:$J,"",0,1))</f>
        <v/>
      </c>
      <c r="N193" s="4" t="str">
        <f t="array" ref="N193">IF($E193="","", XLOOKUP(SUMIFS(Prod_Prop!$A:$A,Prod_Prop!$B:$B,$E193,Prod_Prop!$H:$H,N$1,Prod_Prop!$I:$I,"Exacto"),Prod_Prop!$A:$A,Prod_Prop!$J:$J,"",0,1))</f>
        <v/>
      </c>
      <c r="O193" s="4" t="str">
        <f t="array" ref="O193">IF($E193="","", XLOOKUP(SUMIFS(Prod_Prop!$A:$A,Prod_Prop!$B:$B,$E193,Prod_Prop!$H:$H,O$1,Prod_Prop!$I:$I,"Exacto"),Prod_Prop!$A:$A,Prod_Prop!$J:$J,"",0,1))</f>
        <v/>
      </c>
      <c r="P193" s="4" t="str">
        <f t="array" ref="P193">IF($E193="","", XLOOKUP(SUMIFS(Prod_Prop!$A:$A,Prod_Prop!$B:$B,$E193,Prod_Prop!$H:$H,P$1,Prod_Prop!$I:$I,"Exacto"),Prod_Prop!$A:$A,Prod_Prop!$J:$J,"",0,1))</f>
        <v/>
      </c>
      <c r="Q193" s="4" t="str">
        <f t="array" ref="Q193">IF($E193="","", XLOOKUP(SUMIFS(Prod_Prop!$A:$A,Prod_Prop!$B:$B,$E193,Prod_Prop!$H:$H,Q$1,Prod_Prop!$I:$I,"Exacto"),Prod_Prop!$A:$A,Prod_Prop!$J:$J,"",0,1))</f>
        <v/>
      </c>
      <c r="R193" s="4" t="str">
        <f t="array" ref="R193">IF($E193="","", XLOOKUP(SUMIFS(Prod_Prop!$A:$A,Prod_Prop!$B:$B,$E193,Prod_Prop!$H:$H,R$1,Prod_Prop!$I:$I,"Exacto"),Prod_Prop!$A:$A,Prod_Prop!$J:$J,"",0,1))</f>
        <v/>
      </c>
      <c r="S193" s="4" t="str">
        <f t="array" ref="S193">IF($E193="","", XLOOKUP(SUMIFS(Prod_Prop!$A:$A,Prod_Prop!$B:$B,$E193,Prod_Prop!$H:$H,S$1,Prod_Prop!$I:$I,"Exacto"),Prod_Prop!$A:$A,Prod_Prop!$J:$J,"",0,1))</f>
        <v/>
      </c>
      <c r="T193" s="4" t="str">
        <f t="array" ref="T193">IF($E193="","", XLOOKUP(SUMIFS(Prod_Prop!$A:$A,Prod_Prop!$B:$B,$E193,Prod_Prop!$H:$H,T$1,Prod_Prop!$I:$I,"Exacto"),Prod_Prop!$A:$A,Prod_Prop!$J:$J,"",0,1))</f>
        <v/>
      </c>
      <c r="U193" s="4" t="str">
        <f t="array" ref="U193">IF($E193="","", XLOOKUP(SUMIFS(Prod_Prop!$A:$A,Prod_Prop!$B:$B,$E193,Prod_Prop!$H:$H,U$1,Prod_Prop!$I:$I,"Exacto"),Prod_Prop!$A:$A,Prod_Prop!$J:$J,"",0,1))</f>
        <v/>
      </c>
      <c r="V193" s="4" t="str">
        <f t="array" ref="V193">IF($E193="","", XLOOKUP(SUMIFS(Prod_Prop!$A:$A,Prod_Prop!$B:$B,$E193,Prod_Prop!$H:$H,V$1,Prod_Prop!$I:$I,"Exacto"),Prod_Prop!$A:$A,Prod_Prop!$J:$J,"",0,1))</f>
        <v/>
      </c>
      <c r="X193" s="3" t="str">
        <f>IFERROR(__xludf.DUMMYFUNCTION("IF(D193="""","""",IFERROR(TRANSPOSE(FILTER('Validaciones Cotizador'!U:U,'Validaciones Cotizador'!O:O=D193,'Validaciones Cotizador'!T:T=""x"")),""Finalizar""))"),"")</f>
        <v/>
      </c>
    </row>
    <row r="194">
      <c r="A194" s="2" t="str">
        <f t="array" ref="A194">IF(E194="","",XLOOKUP(D194,'Validaciones Cotizador'!C:C,'Validaciones Cotizador'!A:A,"",0,1))</f>
        <v/>
      </c>
      <c r="B194" s="2" t="str">
        <f t="array" ref="B194">IF(F194="","",XLOOKUP(F194,Productos!E:E,Productos!G:G,"",0,1))</f>
        <v/>
      </c>
      <c r="C194" s="2" t="str">
        <f>IF(A194="","",SUMIFS('Validaciones Cotizador'!B:B,'Validaciones Cotizador'!C:C,D194,'Validaciones Cotizador'!A:A,A194))</f>
        <v/>
      </c>
      <c r="D194" s="4" t="str">
        <f>IFERROR(__xludf.DUMMYFUNCTION("IF(OR(F193=""Finalizar"",F193="""",F193=""Selecciona..""),"""",IF(OR(F193=""-"",INDEX(filter(Familias!F:F,Familias!D:D=A193,Familias!E:E=C193),1)=""O""),D193+1,D193))"),"")</f>
        <v/>
      </c>
      <c r="E194" s="2" t="str">
        <f>IF(OR(F194="",F194="Selecciona.."),"",IF(D194="Implemento",SUMIF(Implementos!B:B,F194,Implementos!A:A),SUMIF(Productos!E:E,F194,Productos!A:A)))</f>
        <v/>
      </c>
      <c r="F194" s="2" t="str">
        <f t="shared" si="2"/>
        <v/>
      </c>
      <c r="G194" s="10" t="str">
        <f t="array" ref="G194">IF(OR(F194="",F194="-",F194="Selecciona..",F194="Finalizar"),"",IF(A194="Rodados",XLOOKUP(B194,'Validaciones Cotizador'!I:I,'Validaciones Cotizador'!J:J,0,0,1),1))</f>
        <v/>
      </c>
      <c r="H194" s="11" t="str">
        <f>IF(OR(F194="",F194="Selecciona.."),"",SUMIF(Precio_Productos!K:K,E194,Precio_Productos!J:J)*G194)</f>
        <v/>
      </c>
      <c r="I194" s="4" t="str">
        <f t="array" ref="I194">IF($E194="","", XLOOKUP(SUMIFS(Prod_Prop!$A:$A,Prod_Prop!$B:$B,$E194,Prod_Prop!$H:$H,I$1,Prod_Prop!$I:$I,"Exacto"),Prod_Prop!$A:$A,Prod_Prop!$J:$J,"",0,1))</f>
        <v/>
      </c>
      <c r="J194" s="4" t="str">
        <f t="array" ref="J194">IF($E194="","", XLOOKUP(SUMIFS(Prod_Prop!$A:$A,Prod_Prop!$B:$B,$E194,Prod_Prop!$H:$H,J$1,Prod_Prop!$I:$I,"Exacto"),Prod_Prop!$A:$A,Prod_Prop!$J:$J,"",0,1))</f>
        <v/>
      </c>
      <c r="K194" s="4" t="str">
        <f t="array" ref="K194">IF($E194="","", XLOOKUP(SUMIFS(Prod_Prop!$A:$A,Prod_Prop!$B:$B,$E194,Prod_Prop!$H:$H,K$1,Prod_Prop!$I:$I,"Exacto"),Prod_Prop!$A:$A,Prod_Prop!$J:$J,"",0,1))</f>
        <v/>
      </c>
      <c r="L194" s="4" t="str">
        <f t="array" ref="L194">IF($E194="","", XLOOKUP(SUMIFS(Prod_Prop!$A:$A,Prod_Prop!$B:$B,$E194,Prod_Prop!$H:$H,L$1,Prod_Prop!$I:$I,"Exacto"),Prod_Prop!$A:$A,Prod_Prop!$J:$J,"",0,1))</f>
        <v/>
      </c>
      <c r="M194" s="4" t="str">
        <f t="array" ref="M194">IF($E194="","", XLOOKUP(SUMIFS(Prod_Prop!$A:$A,Prod_Prop!$B:$B,$E194,Prod_Prop!$H:$H,M$1,Prod_Prop!$I:$I,"Exacto"),Prod_Prop!$A:$A,Prod_Prop!$J:$J,"",0,1))</f>
        <v/>
      </c>
      <c r="N194" s="4" t="str">
        <f t="array" ref="N194">IF($E194="","", XLOOKUP(SUMIFS(Prod_Prop!$A:$A,Prod_Prop!$B:$B,$E194,Prod_Prop!$H:$H,N$1,Prod_Prop!$I:$I,"Exacto"),Prod_Prop!$A:$A,Prod_Prop!$J:$J,"",0,1))</f>
        <v/>
      </c>
      <c r="O194" s="4" t="str">
        <f t="array" ref="O194">IF($E194="","", XLOOKUP(SUMIFS(Prod_Prop!$A:$A,Prod_Prop!$B:$B,$E194,Prod_Prop!$H:$H,O$1,Prod_Prop!$I:$I,"Exacto"),Prod_Prop!$A:$A,Prod_Prop!$J:$J,"",0,1))</f>
        <v/>
      </c>
      <c r="P194" s="4" t="str">
        <f t="array" ref="P194">IF($E194="","", XLOOKUP(SUMIFS(Prod_Prop!$A:$A,Prod_Prop!$B:$B,$E194,Prod_Prop!$H:$H,P$1,Prod_Prop!$I:$I,"Exacto"),Prod_Prop!$A:$A,Prod_Prop!$J:$J,"",0,1))</f>
        <v/>
      </c>
      <c r="Q194" s="4" t="str">
        <f t="array" ref="Q194">IF($E194="","", XLOOKUP(SUMIFS(Prod_Prop!$A:$A,Prod_Prop!$B:$B,$E194,Prod_Prop!$H:$H,Q$1,Prod_Prop!$I:$I,"Exacto"),Prod_Prop!$A:$A,Prod_Prop!$J:$J,"",0,1))</f>
        <v/>
      </c>
      <c r="R194" s="4" t="str">
        <f t="array" ref="R194">IF($E194="","", XLOOKUP(SUMIFS(Prod_Prop!$A:$A,Prod_Prop!$B:$B,$E194,Prod_Prop!$H:$H,R$1,Prod_Prop!$I:$I,"Exacto"),Prod_Prop!$A:$A,Prod_Prop!$J:$J,"",0,1))</f>
        <v/>
      </c>
      <c r="S194" s="4" t="str">
        <f t="array" ref="S194">IF($E194="","", XLOOKUP(SUMIFS(Prod_Prop!$A:$A,Prod_Prop!$B:$B,$E194,Prod_Prop!$H:$H,S$1,Prod_Prop!$I:$I,"Exacto"),Prod_Prop!$A:$A,Prod_Prop!$J:$J,"",0,1))</f>
        <v/>
      </c>
      <c r="T194" s="4" t="str">
        <f t="array" ref="T194">IF($E194="","", XLOOKUP(SUMIFS(Prod_Prop!$A:$A,Prod_Prop!$B:$B,$E194,Prod_Prop!$H:$H,T$1,Prod_Prop!$I:$I,"Exacto"),Prod_Prop!$A:$A,Prod_Prop!$J:$J,"",0,1))</f>
        <v/>
      </c>
      <c r="U194" s="4" t="str">
        <f t="array" ref="U194">IF($E194="","", XLOOKUP(SUMIFS(Prod_Prop!$A:$A,Prod_Prop!$B:$B,$E194,Prod_Prop!$H:$H,U$1,Prod_Prop!$I:$I,"Exacto"),Prod_Prop!$A:$A,Prod_Prop!$J:$J,"",0,1))</f>
        <v/>
      </c>
      <c r="V194" s="4" t="str">
        <f t="array" ref="V194">IF($E194="","", XLOOKUP(SUMIFS(Prod_Prop!$A:$A,Prod_Prop!$B:$B,$E194,Prod_Prop!$H:$H,V$1,Prod_Prop!$I:$I,"Exacto"),Prod_Prop!$A:$A,Prod_Prop!$J:$J,"",0,1))</f>
        <v/>
      </c>
      <c r="X194" s="3" t="str">
        <f>IFERROR(__xludf.DUMMYFUNCTION("IF(D194="""","""",IFERROR(TRANSPOSE(FILTER('Validaciones Cotizador'!U:U,'Validaciones Cotizador'!O:O=D194,'Validaciones Cotizador'!T:T=""x"")),""Finalizar""))"),"")</f>
        <v/>
      </c>
    </row>
    <row r="195">
      <c r="A195" s="2" t="str">
        <f t="array" ref="A195">IF(E195="","",XLOOKUP(D195,'Validaciones Cotizador'!C:C,'Validaciones Cotizador'!A:A,"",0,1))</f>
        <v/>
      </c>
      <c r="B195" s="2" t="str">
        <f t="array" ref="B195">IF(F195="","",XLOOKUP(F195,Productos!E:E,Productos!G:G,"",0,1))</f>
        <v/>
      </c>
      <c r="C195" s="2" t="str">
        <f>IF(A195="","",SUMIFS('Validaciones Cotizador'!B:B,'Validaciones Cotizador'!C:C,D195,'Validaciones Cotizador'!A:A,A195))</f>
        <v/>
      </c>
      <c r="D195" s="4" t="str">
        <f>IFERROR(__xludf.DUMMYFUNCTION("IF(OR(F194=""Finalizar"",F194="""",F194=""Selecciona..""),"""",IF(OR(F194=""-"",INDEX(filter(Familias!F:F,Familias!D:D=A194,Familias!E:E=C194),1)=""O""),D194+1,D194))"),"")</f>
        <v/>
      </c>
      <c r="E195" s="2" t="str">
        <f>IF(OR(F195="",F195="Selecciona.."),"",IF(D195="Implemento",SUMIF(Implementos!B:B,F195,Implementos!A:A),SUMIF(Productos!E:E,F195,Productos!A:A)))</f>
        <v/>
      </c>
      <c r="F195" s="2" t="str">
        <f t="shared" si="2"/>
        <v/>
      </c>
      <c r="G195" s="10" t="str">
        <f t="array" ref="G195">IF(OR(F195="",F195="-",F195="Selecciona..",F195="Finalizar"),"",IF(A195="Rodados",XLOOKUP(B195,'Validaciones Cotizador'!I:I,'Validaciones Cotizador'!J:J,0,0,1),1))</f>
        <v/>
      </c>
      <c r="H195" s="11" t="str">
        <f>IF(OR(F195="",F195="Selecciona.."),"",SUMIF(Precio_Productos!K:K,E195,Precio_Productos!J:J)*G195)</f>
        <v/>
      </c>
      <c r="I195" s="4" t="str">
        <f t="array" ref="I195">IF($E195="","", XLOOKUP(SUMIFS(Prod_Prop!$A:$A,Prod_Prop!$B:$B,$E195,Prod_Prop!$H:$H,I$1,Prod_Prop!$I:$I,"Exacto"),Prod_Prop!$A:$A,Prod_Prop!$J:$J,"",0,1))</f>
        <v/>
      </c>
      <c r="J195" s="4" t="str">
        <f t="array" ref="J195">IF($E195="","", XLOOKUP(SUMIFS(Prod_Prop!$A:$A,Prod_Prop!$B:$B,$E195,Prod_Prop!$H:$H,J$1,Prod_Prop!$I:$I,"Exacto"),Prod_Prop!$A:$A,Prod_Prop!$J:$J,"",0,1))</f>
        <v/>
      </c>
      <c r="K195" s="4" t="str">
        <f t="array" ref="K195">IF($E195="","", XLOOKUP(SUMIFS(Prod_Prop!$A:$A,Prod_Prop!$B:$B,$E195,Prod_Prop!$H:$H,K$1,Prod_Prop!$I:$I,"Exacto"),Prod_Prop!$A:$A,Prod_Prop!$J:$J,"",0,1))</f>
        <v/>
      </c>
      <c r="L195" s="4" t="str">
        <f t="array" ref="L195">IF($E195="","", XLOOKUP(SUMIFS(Prod_Prop!$A:$A,Prod_Prop!$B:$B,$E195,Prod_Prop!$H:$H,L$1,Prod_Prop!$I:$I,"Exacto"),Prod_Prop!$A:$A,Prod_Prop!$J:$J,"",0,1))</f>
        <v/>
      </c>
      <c r="M195" s="4" t="str">
        <f t="array" ref="M195">IF($E195="","", XLOOKUP(SUMIFS(Prod_Prop!$A:$A,Prod_Prop!$B:$B,$E195,Prod_Prop!$H:$H,M$1,Prod_Prop!$I:$I,"Exacto"),Prod_Prop!$A:$A,Prod_Prop!$J:$J,"",0,1))</f>
        <v/>
      </c>
      <c r="N195" s="4" t="str">
        <f t="array" ref="N195">IF($E195="","", XLOOKUP(SUMIFS(Prod_Prop!$A:$A,Prod_Prop!$B:$B,$E195,Prod_Prop!$H:$H,N$1,Prod_Prop!$I:$I,"Exacto"),Prod_Prop!$A:$A,Prod_Prop!$J:$J,"",0,1))</f>
        <v/>
      </c>
      <c r="O195" s="4" t="str">
        <f t="array" ref="O195">IF($E195="","", XLOOKUP(SUMIFS(Prod_Prop!$A:$A,Prod_Prop!$B:$B,$E195,Prod_Prop!$H:$H,O$1,Prod_Prop!$I:$I,"Exacto"),Prod_Prop!$A:$A,Prod_Prop!$J:$J,"",0,1))</f>
        <v/>
      </c>
      <c r="P195" s="4" t="str">
        <f t="array" ref="P195">IF($E195="","", XLOOKUP(SUMIFS(Prod_Prop!$A:$A,Prod_Prop!$B:$B,$E195,Prod_Prop!$H:$H,P$1,Prod_Prop!$I:$I,"Exacto"),Prod_Prop!$A:$A,Prod_Prop!$J:$J,"",0,1))</f>
        <v/>
      </c>
      <c r="Q195" s="4" t="str">
        <f t="array" ref="Q195">IF($E195="","", XLOOKUP(SUMIFS(Prod_Prop!$A:$A,Prod_Prop!$B:$B,$E195,Prod_Prop!$H:$H,Q$1,Prod_Prop!$I:$I,"Exacto"),Prod_Prop!$A:$A,Prod_Prop!$J:$J,"",0,1))</f>
        <v/>
      </c>
      <c r="R195" s="4" t="str">
        <f t="array" ref="R195">IF($E195="","", XLOOKUP(SUMIFS(Prod_Prop!$A:$A,Prod_Prop!$B:$B,$E195,Prod_Prop!$H:$H,R$1,Prod_Prop!$I:$I,"Exacto"),Prod_Prop!$A:$A,Prod_Prop!$J:$J,"",0,1))</f>
        <v/>
      </c>
      <c r="S195" s="4" t="str">
        <f t="array" ref="S195">IF($E195="","", XLOOKUP(SUMIFS(Prod_Prop!$A:$A,Prod_Prop!$B:$B,$E195,Prod_Prop!$H:$H,S$1,Prod_Prop!$I:$I,"Exacto"),Prod_Prop!$A:$A,Prod_Prop!$J:$J,"",0,1))</f>
        <v/>
      </c>
      <c r="T195" s="4" t="str">
        <f t="array" ref="T195">IF($E195="","", XLOOKUP(SUMIFS(Prod_Prop!$A:$A,Prod_Prop!$B:$B,$E195,Prod_Prop!$H:$H,T$1,Prod_Prop!$I:$I,"Exacto"),Prod_Prop!$A:$A,Prod_Prop!$J:$J,"",0,1))</f>
        <v/>
      </c>
      <c r="U195" s="4" t="str">
        <f t="array" ref="U195">IF($E195="","", XLOOKUP(SUMIFS(Prod_Prop!$A:$A,Prod_Prop!$B:$B,$E195,Prod_Prop!$H:$H,U$1,Prod_Prop!$I:$I,"Exacto"),Prod_Prop!$A:$A,Prod_Prop!$J:$J,"",0,1))</f>
        <v/>
      </c>
      <c r="V195" s="4" t="str">
        <f t="array" ref="V195">IF($E195="","", XLOOKUP(SUMIFS(Prod_Prop!$A:$A,Prod_Prop!$B:$B,$E195,Prod_Prop!$H:$H,V$1,Prod_Prop!$I:$I,"Exacto"),Prod_Prop!$A:$A,Prod_Prop!$J:$J,"",0,1))</f>
        <v/>
      </c>
      <c r="X195" s="3" t="str">
        <f>IFERROR(__xludf.DUMMYFUNCTION("IF(D195="""","""",IFERROR(TRANSPOSE(FILTER('Validaciones Cotizador'!U:U,'Validaciones Cotizador'!O:O=D195,'Validaciones Cotizador'!T:T=""x"")),""Finalizar""))"),"")</f>
        <v/>
      </c>
    </row>
    <row r="196">
      <c r="A196" s="2" t="str">
        <f t="array" ref="A196">IF(E196="","",XLOOKUP(D196,'Validaciones Cotizador'!C:C,'Validaciones Cotizador'!A:A,"",0,1))</f>
        <v/>
      </c>
      <c r="B196" s="2" t="str">
        <f t="array" ref="B196">IF(F196="","",XLOOKUP(F196,Productos!E:E,Productos!G:G,"",0,1))</f>
        <v/>
      </c>
      <c r="C196" s="2" t="str">
        <f>IF(A196="","",SUMIFS('Validaciones Cotizador'!B:B,'Validaciones Cotizador'!C:C,D196,'Validaciones Cotizador'!A:A,A196))</f>
        <v/>
      </c>
      <c r="D196" s="4" t="str">
        <f>IFERROR(__xludf.DUMMYFUNCTION("IF(OR(F195=""Finalizar"",F195="""",F195=""Selecciona..""),"""",IF(OR(F195=""-"",INDEX(filter(Familias!F:F,Familias!D:D=A195,Familias!E:E=C195),1)=""O""),D195+1,D195))"),"")</f>
        <v/>
      </c>
      <c r="E196" s="2" t="str">
        <f>IF(OR(F196="",F196="Selecciona.."),"",IF(D196="Implemento",SUMIF(Implementos!B:B,F196,Implementos!A:A),SUMIF(Productos!E:E,F196,Productos!A:A)))</f>
        <v/>
      </c>
      <c r="F196" s="2" t="str">
        <f t="shared" si="2"/>
        <v/>
      </c>
      <c r="G196" s="10" t="str">
        <f t="array" ref="G196">IF(OR(F196="",F196="-",F196="Selecciona..",F196="Finalizar"),"",IF(A196="Rodados",XLOOKUP(B196,'Validaciones Cotizador'!I:I,'Validaciones Cotizador'!J:J,0,0,1),1))</f>
        <v/>
      </c>
      <c r="H196" s="11" t="str">
        <f>IF(OR(F196="",F196="Selecciona.."),"",SUMIF(Precio_Productos!K:K,E196,Precio_Productos!J:J)*G196)</f>
        <v/>
      </c>
      <c r="I196" s="4" t="str">
        <f t="array" ref="I196">IF($E196="","", XLOOKUP(SUMIFS(Prod_Prop!$A:$A,Prod_Prop!$B:$B,$E196,Prod_Prop!$H:$H,I$1,Prod_Prop!$I:$I,"Exacto"),Prod_Prop!$A:$A,Prod_Prop!$J:$J,"",0,1))</f>
        <v/>
      </c>
      <c r="J196" s="4" t="str">
        <f t="array" ref="J196">IF($E196="","", XLOOKUP(SUMIFS(Prod_Prop!$A:$A,Prod_Prop!$B:$B,$E196,Prod_Prop!$H:$H,J$1,Prod_Prop!$I:$I,"Exacto"),Prod_Prop!$A:$A,Prod_Prop!$J:$J,"",0,1))</f>
        <v/>
      </c>
      <c r="K196" s="4" t="str">
        <f t="array" ref="K196">IF($E196="","", XLOOKUP(SUMIFS(Prod_Prop!$A:$A,Prod_Prop!$B:$B,$E196,Prod_Prop!$H:$H,K$1,Prod_Prop!$I:$I,"Exacto"),Prod_Prop!$A:$A,Prod_Prop!$J:$J,"",0,1))</f>
        <v/>
      </c>
      <c r="L196" s="4" t="str">
        <f t="array" ref="L196">IF($E196="","", XLOOKUP(SUMIFS(Prod_Prop!$A:$A,Prod_Prop!$B:$B,$E196,Prod_Prop!$H:$H,L$1,Prod_Prop!$I:$I,"Exacto"),Prod_Prop!$A:$A,Prod_Prop!$J:$J,"",0,1))</f>
        <v/>
      </c>
      <c r="M196" s="4" t="str">
        <f t="array" ref="M196">IF($E196="","", XLOOKUP(SUMIFS(Prod_Prop!$A:$A,Prod_Prop!$B:$B,$E196,Prod_Prop!$H:$H,M$1,Prod_Prop!$I:$I,"Exacto"),Prod_Prop!$A:$A,Prod_Prop!$J:$J,"",0,1))</f>
        <v/>
      </c>
      <c r="N196" s="4" t="str">
        <f t="array" ref="N196">IF($E196="","", XLOOKUP(SUMIFS(Prod_Prop!$A:$A,Prod_Prop!$B:$B,$E196,Prod_Prop!$H:$H,N$1,Prod_Prop!$I:$I,"Exacto"),Prod_Prop!$A:$A,Prod_Prop!$J:$J,"",0,1))</f>
        <v/>
      </c>
      <c r="O196" s="4" t="str">
        <f t="array" ref="O196">IF($E196="","", XLOOKUP(SUMIFS(Prod_Prop!$A:$A,Prod_Prop!$B:$B,$E196,Prod_Prop!$H:$H,O$1,Prod_Prop!$I:$I,"Exacto"),Prod_Prop!$A:$A,Prod_Prop!$J:$J,"",0,1))</f>
        <v/>
      </c>
      <c r="P196" s="4" t="str">
        <f t="array" ref="P196">IF($E196="","", XLOOKUP(SUMIFS(Prod_Prop!$A:$A,Prod_Prop!$B:$B,$E196,Prod_Prop!$H:$H,P$1,Prod_Prop!$I:$I,"Exacto"),Prod_Prop!$A:$A,Prod_Prop!$J:$J,"",0,1))</f>
        <v/>
      </c>
      <c r="Q196" s="4" t="str">
        <f t="array" ref="Q196">IF($E196="","", XLOOKUP(SUMIFS(Prod_Prop!$A:$A,Prod_Prop!$B:$B,$E196,Prod_Prop!$H:$H,Q$1,Prod_Prop!$I:$I,"Exacto"),Prod_Prop!$A:$A,Prod_Prop!$J:$J,"",0,1))</f>
        <v/>
      </c>
      <c r="R196" s="4" t="str">
        <f t="array" ref="R196">IF($E196="","", XLOOKUP(SUMIFS(Prod_Prop!$A:$A,Prod_Prop!$B:$B,$E196,Prod_Prop!$H:$H,R$1,Prod_Prop!$I:$I,"Exacto"),Prod_Prop!$A:$A,Prod_Prop!$J:$J,"",0,1))</f>
        <v/>
      </c>
      <c r="S196" s="4" t="str">
        <f t="array" ref="S196">IF($E196="","", XLOOKUP(SUMIFS(Prod_Prop!$A:$A,Prod_Prop!$B:$B,$E196,Prod_Prop!$H:$H,S$1,Prod_Prop!$I:$I,"Exacto"),Prod_Prop!$A:$A,Prod_Prop!$J:$J,"",0,1))</f>
        <v/>
      </c>
      <c r="T196" s="4" t="str">
        <f t="array" ref="T196">IF($E196="","", XLOOKUP(SUMIFS(Prod_Prop!$A:$A,Prod_Prop!$B:$B,$E196,Prod_Prop!$H:$H,T$1,Prod_Prop!$I:$I,"Exacto"),Prod_Prop!$A:$A,Prod_Prop!$J:$J,"",0,1))</f>
        <v/>
      </c>
      <c r="U196" s="4" t="str">
        <f t="array" ref="U196">IF($E196="","", XLOOKUP(SUMIFS(Prod_Prop!$A:$A,Prod_Prop!$B:$B,$E196,Prod_Prop!$H:$H,U$1,Prod_Prop!$I:$I,"Exacto"),Prod_Prop!$A:$A,Prod_Prop!$J:$J,"",0,1))</f>
        <v/>
      </c>
      <c r="V196" s="4" t="str">
        <f t="array" ref="V196">IF($E196="","", XLOOKUP(SUMIFS(Prod_Prop!$A:$A,Prod_Prop!$B:$B,$E196,Prod_Prop!$H:$H,V$1,Prod_Prop!$I:$I,"Exacto"),Prod_Prop!$A:$A,Prod_Prop!$J:$J,"",0,1))</f>
        <v/>
      </c>
      <c r="X196" s="3" t="str">
        <f>IFERROR(__xludf.DUMMYFUNCTION("IF(D196="""","""",IFERROR(TRANSPOSE(FILTER('Validaciones Cotizador'!U:U,'Validaciones Cotizador'!O:O=D196,'Validaciones Cotizador'!T:T=""x"")),""Finalizar""))"),"")</f>
        <v/>
      </c>
    </row>
    <row r="197">
      <c r="A197" s="2" t="str">
        <f t="array" ref="A197">IF(E197="","",XLOOKUP(D197,'Validaciones Cotizador'!C:C,'Validaciones Cotizador'!A:A,"",0,1))</f>
        <v/>
      </c>
      <c r="B197" s="2" t="str">
        <f t="array" ref="B197">IF(F197="","",XLOOKUP(F197,Productos!E:E,Productos!G:G,"",0,1))</f>
        <v/>
      </c>
      <c r="C197" s="2" t="str">
        <f>IF(A197="","",SUMIFS('Validaciones Cotizador'!B:B,'Validaciones Cotizador'!C:C,D197,'Validaciones Cotizador'!A:A,A197))</f>
        <v/>
      </c>
      <c r="D197" s="4" t="str">
        <f>IFERROR(__xludf.DUMMYFUNCTION("IF(OR(F196=""Finalizar"",F196="""",F196=""Selecciona..""),"""",IF(OR(F196=""-"",INDEX(filter(Familias!F:F,Familias!D:D=A196,Familias!E:E=C196),1)=""O""),D196+1,D196))"),"")</f>
        <v/>
      </c>
      <c r="E197" s="2" t="str">
        <f>IF(OR(F197="",F197="Selecciona.."),"",IF(D197="Implemento",SUMIF(Implementos!B:B,F197,Implementos!A:A),SUMIF(Productos!E:E,F197,Productos!A:A)))</f>
        <v/>
      </c>
      <c r="F197" s="2" t="str">
        <f t="shared" si="2"/>
        <v/>
      </c>
      <c r="G197" s="10" t="str">
        <f t="array" ref="G197">IF(OR(F197="",F197="-",F197="Selecciona..",F197="Finalizar"),"",IF(A197="Rodados",XLOOKUP(B197,'Validaciones Cotizador'!I:I,'Validaciones Cotizador'!J:J,0,0,1),1))</f>
        <v/>
      </c>
      <c r="H197" s="11" t="str">
        <f>IF(OR(F197="",F197="Selecciona.."),"",SUMIF(Precio_Productos!K:K,E197,Precio_Productos!J:J)*G197)</f>
        <v/>
      </c>
      <c r="I197" s="4" t="str">
        <f t="array" ref="I197">IF($E197="","", XLOOKUP(SUMIFS(Prod_Prop!$A:$A,Prod_Prop!$B:$B,$E197,Prod_Prop!$H:$H,I$1,Prod_Prop!$I:$I,"Exacto"),Prod_Prop!$A:$A,Prod_Prop!$J:$J,"",0,1))</f>
        <v/>
      </c>
      <c r="J197" s="4" t="str">
        <f t="array" ref="J197">IF($E197="","", XLOOKUP(SUMIFS(Prod_Prop!$A:$A,Prod_Prop!$B:$B,$E197,Prod_Prop!$H:$H,J$1,Prod_Prop!$I:$I,"Exacto"),Prod_Prop!$A:$A,Prod_Prop!$J:$J,"",0,1))</f>
        <v/>
      </c>
      <c r="K197" s="4" t="str">
        <f t="array" ref="K197">IF($E197="","", XLOOKUP(SUMIFS(Prod_Prop!$A:$A,Prod_Prop!$B:$B,$E197,Prod_Prop!$H:$H,K$1,Prod_Prop!$I:$I,"Exacto"),Prod_Prop!$A:$A,Prod_Prop!$J:$J,"",0,1))</f>
        <v/>
      </c>
      <c r="L197" s="4" t="str">
        <f t="array" ref="L197">IF($E197="","", XLOOKUP(SUMIFS(Prod_Prop!$A:$A,Prod_Prop!$B:$B,$E197,Prod_Prop!$H:$H,L$1,Prod_Prop!$I:$I,"Exacto"),Prod_Prop!$A:$A,Prod_Prop!$J:$J,"",0,1))</f>
        <v/>
      </c>
      <c r="M197" s="4" t="str">
        <f t="array" ref="M197">IF($E197="","", XLOOKUP(SUMIFS(Prod_Prop!$A:$A,Prod_Prop!$B:$B,$E197,Prod_Prop!$H:$H,M$1,Prod_Prop!$I:$I,"Exacto"),Prod_Prop!$A:$A,Prod_Prop!$J:$J,"",0,1))</f>
        <v/>
      </c>
      <c r="N197" s="4" t="str">
        <f t="array" ref="N197">IF($E197="","", XLOOKUP(SUMIFS(Prod_Prop!$A:$A,Prod_Prop!$B:$B,$E197,Prod_Prop!$H:$H,N$1,Prod_Prop!$I:$I,"Exacto"),Prod_Prop!$A:$A,Prod_Prop!$J:$J,"",0,1))</f>
        <v/>
      </c>
      <c r="O197" s="4" t="str">
        <f t="array" ref="O197">IF($E197="","", XLOOKUP(SUMIFS(Prod_Prop!$A:$A,Prod_Prop!$B:$B,$E197,Prod_Prop!$H:$H,O$1,Prod_Prop!$I:$I,"Exacto"),Prod_Prop!$A:$A,Prod_Prop!$J:$J,"",0,1))</f>
        <v/>
      </c>
      <c r="P197" s="4" t="str">
        <f t="array" ref="P197">IF($E197="","", XLOOKUP(SUMIFS(Prod_Prop!$A:$A,Prod_Prop!$B:$B,$E197,Prod_Prop!$H:$H,P$1,Prod_Prop!$I:$I,"Exacto"),Prod_Prop!$A:$A,Prod_Prop!$J:$J,"",0,1))</f>
        <v/>
      </c>
      <c r="Q197" s="4" t="str">
        <f t="array" ref="Q197">IF($E197="","", XLOOKUP(SUMIFS(Prod_Prop!$A:$A,Prod_Prop!$B:$B,$E197,Prod_Prop!$H:$H,Q$1,Prod_Prop!$I:$I,"Exacto"),Prod_Prop!$A:$A,Prod_Prop!$J:$J,"",0,1))</f>
        <v/>
      </c>
      <c r="R197" s="4" t="str">
        <f t="array" ref="R197">IF($E197="","", XLOOKUP(SUMIFS(Prod_Prop!$A:$A,Prod_Prop!$B:$B,$E197,Prod_Prop!$H:$H,R$1,Prod_Prop!$I:$I,"Exacto"),Prod_Prop!$A:$A,Prod_Prop!$J:$J,"",0,1))</f>
        <v/>
      </c>
      <c r="S197" s="4" t="str">
        <f t="array" ref="S197">IF($E197="","", XLOOKUP(SUMIFS(Prod_Prop!$A:$A,Prod_Prop!$B:$B,$E197,Prod_Prop!$H:$H,S$1,Prod_Prop!$I:$I,"Exacto"),Prod_Prop!$A:$A,Prod_Prop!$J:$J,"",0,1))</f>
        <v/>
      </c>
      <c r="T197" s="4" t="str">
        <f t="array" ref="T197">IF($E197="","", XLOOKUP(SUMIFS(Prod_Prop!$A:$A,Prod_Prop!$B:$B,$E197,Prod_Prop!$H:$H,T$1,Prod_Prop!$I:$I,"Exacto"),Prod_Prop!$A:$A,Prod_Prop!$J:$J,"",0,1))</f>
        <v/>
      </c>
      <c r="U197" s="4" t="str">
        <f t="array" ref="U197">IF($E197="","", XLOOKUP(SUMIFS(Prod_Prop!$A:$A,Prod_Prop!$B:$B,$E197,Prod_Prop!$H:$H,U$1,Prod_Prop!$I:$I,"Exacto"),Prod_Prop!$A:$A,Prod_Prop!$J:$J,"",0,1))</f>
        <v/>
      </c>
      <c r="V197" s="4" t="str">
        <f t="array" ref="V197">IF($E197="","", XLOOKUP(SUMIFS(Prod_Prop!$A:$A,Prod_Prop!$B:$B,$E197,Prod_Prop!$H:$H,V$1,Prod_Prop!$I:$I,"Exacto"),Prod_Prop!$A:$A,Prod_Prop!$J:$J,"",0,1))</f>
        <v/>
      </c>
      <c r="X197" s="3" t="str">
        <f>IFERROR(__xludf.DUMMYFUNCTION("IF(D197="""","""",IFERROR(TRANSPOSE(FILTER('Validaciones Cotizador'!U:U,'Validaciones Cotizador'!O:O=D197,'Validaciones Cotizador'!T:T=""x"")),""Finalizar""))"),"")</f>
        <v/>
      </c>
    </row>
    <row r="198">
      <c r="A198" s="2" t="str">
        <f t="array" ref="A198">IF(E198="","",XLOOKUP(D198,'Validaciones Cotizador'!C:C,'Validaciones Cotizador'!A:A,"",0,1))</f>
        <v/>
      </c>
      <c r="B198" s="2" t="str">
        <f t="array" ref="B198">IF(F198="","",XLOOKUP(F198,Productos!E:E,Productos!G:G,"",0,1))</f>
        <v/>
      </c>
      <c r="C198" s="2" t="str">
        <f>IF(A198="","",SUMIFS('Validaciones Cotizador'!B:B,'Validaciones Cotizador'!C:C,D198,'Validaciones Cotizador'!A:A,A198))</f>
        <v/>
      </c>
      <c r="D198" s="4" t="str">
        <f>IFERROR(__xludf.DUMMYFUNCTION("IF(OR(F197=""Finalizar"",F197="""",F197=""Selecciona..""),"""",IF(OR(F197=""-"",INDEX(filter(Familias!F:F,Familias!D:D=A197,Familias!E:E=C197),1)=""O""),D197+1,D197))"),"")</f>
        <v/>
      </c>
      <c r="E198" s="2" t="str">
        <f>IF(OR(F198="",F198="Selecciona.."),"",IF(D198="Implemento",SUMIF(Implementos!B:B,F198,Implementos!A:A),SUMIF(Productos!E:E,F198,Productos!A:A)))</f>
        <v/>
      </c>
      <c r="F198" s="2" t="str">
        <f t="shared" si="2"/>
        <v/>
      </c>
      <c r="G198" s="10" t="str">
        <f t="array" ref="G198">IF(OR(F198="",F198="-",F198="Selecciona..",F198="Finalizar"),"",IF(A198="Rodados",XLOOKUP(B198,'Validaciones Cotizador'!I:I,'Validaciones Cotizador'!J:J,0,0,1),1))</f>
        <v/>
      </c>
      <c r="H198" s="11" t="str">
        <f>IF(OR(F198="",F198="Selecciona.."),"",SUMIF(Precio_Productos!K:K,E198,Precio_Productos!J:J)*G198)</f>
        <v/>
      </c>
      <c r="I198" s="4" t="str">
        <f t="array" ref="I198">IF($E198="","", XLOOKUP(SUMIFS(Prod_Prop!$A:$A,Prod_Prop!$B:$B,$E198,Prod_Prop!$H:$H,I$1,Prod_Prop!$I:$I,"Exacto"),Prod_Prop!$A:$A,Prod_Prop!$J:$J,"",0,1))</f>
        <v/>
      </c>
      <c r="J198" s="4" t="str">
        <f t="array" ref="J198">IF($E198="","", XLOOKUP(SUMIFS(Prod_Prop!$A:$A,Prod_Prop!$B:$B,$E198,Prod_Prop!$H:$H,J$1,Prod_Prop!$I:$I,"Exacto"),Prod_Prop!$A:$A,Prod_Prop!$J:$J,"",0,1))</f>
        <v/>
      </c>
      <c r="K198" s="4" t="str">
        <f t="array" ref="K198">IF($E198="","", XLOOKUP(SUMIFS(Prod_Prop!$A:$A,Prod_Prop!$B:$B,$E198,Prod_Prop!$H:$H,K$1,Prod_Prop!$I:$I,"Exacto"),Prod_Prop!$A:$A,Prod_Prop!$J:$J,"",0,1))</f>
        <v/>
      </c>
      <c r="L198" s="4" t="str">
        <f t="array" ref="L198">IF($E198="","", XLOOKUP(SUMIFS(Prod_Prop!$A:$A,Prod_Prop!$B:$B,$E198,Prod_Prop!$H:$H,L$1,Prod_Prop!$I:$I,"Exacto"),Prod_Prop!$A:$A,Prod_Prop!$J:$J,"",0,1))</f>
        <v/>
      </c>
      <c r="M198" s="4" t="str">
        <f t="array" ref="M198">IF($E198="","", XLOOKUP(SUMIFS(Prod_Prop!$A:$A,Prod_Prop!$B:$B,$E198,Prod_Prop!$H:$H,M$1,Prod_Prop!$I:$I,"Exacto"),Prod_Prop!$A:$A,Prod_Prop!$J:$J,"",0,1))</f>
        <v/>
      </c>
      <c r="N198" s="4" t="str">
        <f t="array" ref="N198">IF($E198="","", XLOOKUP(SUMIFS(Prod_Prop!$A:$A,Prod_Prop!$B:$B,$E198,Prod_Prop!$H:$H,N$1,Prod_Prop!$I:$I,"Exacto"),Prod_Prop!$A:$A,Prod_Prop!$J:$J,"",0,1))</f>
        <v/>
      </c>
      <c r="O198" s="4" t="str">
        <f t="array" ref="O198">IF($E198="","", XLOOKUP(SUMIFS(Prod_Prop!$A:$A,Prod_Prop!$B:$B,$E198,Prod_Prop!$H:$H,O$1,Prod_Prop!$I:$I,"Exacto"),Prod_Prop!$A:$A,Prod_Prop!$J:$J,"",0,1))</f>
        <v/>
      </c>
      <c r="P198" s="4" t="str">
        <f t="array" ref="P198">IF($E198="","", XLOOKUP(SUMIFS(Prod_Prop!$A:$A,Prod_Prop!$B:$B,$E198,Prod_Prop!$H:$H,P$1,Prod_Prop!$I:$I,"Exacto"),Prod_Prop!$A:$A,Prod_Prop!$J:$J,"",0,1))</f>
        <v/>
      </c>
      <c r="Q198" s="4" t="str">
        <f t="array" ref="Q198">IF($E198="","", XLOOKUP(SUMIFS(Prod_Prop!$A:$A,Prod_Prop!$B:$B,$E198,Prod_Prop!$H:$H,Q$1,Prod_Prop!$I:$I,"Exacto"),Prod_Prop!$A:$A,Prod_Prop!$J:$J,"",0,1))</f>
        <v/>
      </c>
      <c r="R198" s="4" t="str">
        <f t="array" ref="R198">IF($E198="","", XLOOKUP(SUMIFS(Prod_Prop!$A:$A,Prod_Prop!$B:$B,$E198,Prod_Prop!$H:$H,R$1,Prod_Prop!$I:$I,"Exacto"),Prod_Prop!$A:$A,Prod_Prop!$J:$J,"",0,1))</f>
        <v/>
      </c>
      <c r="S198" s="4" t="str">
        <f t="array" ref="S198">IF($E198="","", XLOOKUP(SUMIFS(Prod_Prop!$A:$A,Prod_Prop!$B:$B,$E198,Prod_Prop!$H:$H,S$1,Prod_Prop!$I:$I,"Exacto"),Prod_Prop!$A:$A,Prod_Prop!$J:$J,"",0,1))</f>
        <v/>
      </c>
      <c r="T198" s="4" t="str">
        <f t="array" ref="T198">IF($E198="","", XLOOKUP(SUMIFS(Prod_Prop!$A:$A,Prod_Prop!$B:$B,$E198,Prod_Prop!$H:$H,T$1,Prod_Prop!$I:$I,"Exacto"),Prod_Prop!$A:$A,Prod_Prop!$J:$J,"",0,1))</f>
        <v/>
      </c>
      <c r="U198" s="4" t="str">
        <f t="array" ref="U198">IF($E198="","", XLOOKUP(SUMIFS(Prod_Prop!$A:$A,Prod_Prop!$B:$B,$E198,Prod_Prop!$H:$H,U$1,Prod_Prop!$I:$I,"Exacto"),Prod_Prop!$A:$A,Prod_Prop!$J:$J,"",0,1))</f>
        <v/>
      </c>
      <c r="V198" s="4" t="str">
        <f t="array" ref="V198">IF($E198="","", XLOOKUP(SUMIFS(Prod_Prop!$A:$A,Prod_Prop!$B:$B,$E198,Prod_Prop!$H:$H,V$1,Prod_Prop!$I:$I,"Exacto"),Prod_Prop!$A:$A,Prod_Prop!$J:$J,"",0,1))</f>
        <v/>
      </c>
      <c r="X198" s="3" t="str">
        <f>IFERROR(__xludf.DUMMYFUNCTION("IF(D198="""","""",IFERROR(TRANSPOSE(FILTER('Validaciones Cotizador'!U:U,'Validaciones Cotizador'!O:O=D198,'Validaciones Cotizador'!T:T=""x"")),""Finalizar""))"),"")</f>
        <v/>
      </c>
    </row>
    <row r="199">
      <c r="A199" s="2" t="str">
        <f t="array" ref="A199">IF(E199="","",XLOOKUP(D199,'Validaciones Cotizador'!C:C,'Validaciones Cotizador'!A:A,"",0,1))</f>
        <v/>
      </c>
      <c r="B199" s="2" t="str">
        <f t="array" ref="B199">IF(F199="","",XLOOKUP(F199,Productos!E:E,Productos!G:G,"",0,1))</f>
        <v/>
      </c>
      <c r="C199" s="2" t="str">
        <f>IF(A199="","",SUMIFS('Validaciones Cotizador'!B:B,'Validaciones Cotizador'!C:C,D199,'Validaciones Cotizador'!A:A,A199))</f>
        <v/>
      </c>
      <c r="D199" s="4" t="str">
        <f>IFERROR(__xludf.DUMMYFUNCTION("IF(OR(F198=""Finalizar"",F198="""",F198=""Selecciona..""),"""",IF(OR(F198=""-"",INDEX(filter(Familias!F:F,Familias!D:D=A198,Familias!E:E=C198),1)=""O""),D198+1,D198))"),"")</f>
        <v/>
      </c>
      <c r="E199" s="2" t="str">
        <f>IF(OR(F199="",F199="Selecciona.."),"",IF(D199="Implemento",SUMIF(Implementos!B:B,F199,Implementos!A:A),SUMIF(Productos!E:E,F199,Productos!A:A)))</f>
        <v/>
      </c>
      <c r="F199" s="2" t="str">
        <f t="shared" si="2"/>
        <v/>
      </c>
      <c r="G199" s="10" t="str">
        <f t="array" ref="G199">IF(OR(F199="",F199="-",F199="Selecciona..",F199="Finalizar"),"",IF(A199="Rodados",XLOOKUP(B199,'Validaciones Cotizador'!I:I,'Validaciones Cotizador'!J:J,0,0,1),1))</f>
        <v/>
      </c>
      <c r="H199" s="11" t="str">
        <f>IF(OR(F199="",F199="Selecciona.."),"",SUMIF(Precio_Productos!K:K,E199,Precio_Productos!J:J)*G199)</f>
        <v/>
      </c>
      <c r="I199" s="4" t="str">
        <f t="array" ref="I199">IF($E199="","", XLOOKUP(SUMIFS(Prod_Prop!$A:$A,Prod_Prop!$B:$B,$E199,Prod_Prop!$H:$H,I$1,Prod_Prop!$I:$I,"Exacto"),Prod_Prop!$A:$A,Prod_Prop!$J:$J,"",0,1))</f>
        <v/>
      </c>
      <c r="J199" s="4" t="str">
        <f t="array" ref="J199">IF($E199="","", XLOOKUP(SUMIFS(Prod_Prop!$A:$A,Prod_Prop!$B:$B,$E199,Prod_Prop!$H:$H,J$1,Prod_Prop!$I:$I,"Exacto"),Prod_Prop!$A:$A,Prod_Prop!$J:$J,"",0,1))</f>
        <v/>
      </c>
      <c r="K199" s="4" t="str">
        <f t="array" ref="K199">IF($E199="","", XLOOKUP(SUMIFS(Prod_Prop!$A:$A,Prod_Prop!$B:$B,$E199,Prod_Prop!$H:$H,K$1,Prod_Prop!$I:$I,"Exacto"),Prod_Prop!$A:$A,Prod_Prop!$J:$J,"",0,1))</f>
        <v/>
      </c>
      <c r="L199" s="4" t="str">
        <f t="array" ref="L199">IF($E199="","", XLOOKUP(SUMIFS(Prod_Prop!$A:$A,Prod_Prop!$B:$B,$E199,Prod_Prop!$H:$H,L$1,Prod_Prop!$I:$I,"Exacto"),Prod_Prop!$A:$A,Prod_Prop!$J:$J,"",0,1))</f>
        <v/>
      </c>
      <c r="M199" s="4" t="str">
        <f t="array" ref="M199">IF($E199="","", XLOOKUP(SUMIFS(Prod_Prop!$A:$A,Prod_Prop!$B:$B,$E199,Prod_Prop!$H:$H,M$1,Prod_Prop!$I:$I,"Exacto"),Prod_Prop!$A:$A,Prod_Prop!$J:$J,"",0,1))</f>
        <v/>
      </c>
      <c r="N199" s="4" t="str">
        <f t="array" ref="N199">IF($E199="","", XLOOKUP(SUMIFS(Prod_Prop!$A:$A,Prod_Prop!$B:$B,$E199,Prod_Prop!$H:$H,N$1,Prod_Prop!$I:$I,"Exacto"),Prod_Prop!$A:$A,Prod_Prop!$J:$J,"",0,1))</f>
        <v/>
      </c>
      <c r="O199" s="4" t="str">
        <f t="array" ref="O199">IF($E199="","", XLOOKUP(SUMIFS(Prod_Prop!$A:$A,Prod_Prop!$B:$B,$E199,Prod_Prop!$H:$H,O$1,Prod_Prop!$I:$I,"Exacto"),Prod_Prop!$A:$A,Prod_Prop!$J:$J,"",0,1))</f>
        <v/>
      </c>
      <c r="P199" s="4" t="str">
        <f t="array" ref="P199">IF($E199="","", XLOOKUP(SUMIFS(Prod_Prop!$A:$A,Prod_Prop!$B:$B,$E199,Prod_Prop!$H:$H,P$1,Prod_Prop!$I:$I,"Exacto"),Prod_Prop!$A:$A,Prod_Prop!$J:$J,"",0,1))</f>
        <v/>
      </c>
      <c r="Q199" s="4" t="str">
        <f t="array" ref="Q199">IF($E199="","", XLOOKUP(SUMIFS(Prod_Prop!$A:$A,Prod_Prop!$B:$B,$E199,Prod_Prop!$H:$H,Q$1,Prod_Prop!$I:$I,"Exacto"),Prod_Prop!$A:$A,Prod_Prop!$J:$J,"",0,1))</f>
        <v/>
      </c>
      <c r="R199" s="4" t="str">
        <f t="array" ref="R199">IF($E199="","", XLOOKUP(SUMIFS(Prod_Prop!$A:$A,Prod_Prop!$B:$B,$E199,Prod_Prop!$H:$H,R$1,Prod_Prop!$I:$I,"Exacto"),Prod_Prop!$A:$A,Prod_Prop!$J:$J,"",0,1))</f>
        <v/>
      </c>
      <c r="S199" s="4" t="str">
        <f t="array" ref="S199">IF($E199="","", XLOOKUP(SUMIFS(Prod_Prop!$A:$A,Prod_Prop!$B:$B,$E199,Prod_Prop!$H:$H,S$1,Prod_Prop!$I:$I,"Exacto"),Prod_Prop!$A:$A,Prod_Prop!$J:$J,"",0,1))</f>
        <v/>
      </c>
      <c r="T199" s="4" t="str">
        <f t="array" ref="T199">IF($E199="","", XLOOKUP(SUMIFS(Prod_Prop!$A:$A,Prod_Prop!$B:$B,$E199,Prod_Prop!$H:$H,T$1,Prod_Prop!$I:$I,"Exacto"),Prod_Prop!$A:$A,Prod_Prop!$J:$J,"",0,1))</f>
        <v/>
      </c>
      <c r="U199" s="4" t="str">
        <f t="array" ref="U199">IF($E199="","", XLOOKUP(SUMIFS(Prod_Prop!$A:$A,Prod_Prop!$B:$B,$E199,Prod_Prop!$H:$H,U$1,Prod_Prop!$I:$I,"Exacto"),Prod_Prop!$A:$A,Prod_Prop!$J:$J,"",0,1))</f>
        <v/>
      </c>
      <c r="V199" s="4" t="str">
        <f t="array" ref="V199">IF($E199="","", XLOOKUP(SUMIFS(Prod_Prop!$A:$A,Prod_Prop!$B:$B,$E199,Prod_Prop!$H:$H,V$1,Prod_Prop!$I:$I,"Exacto"),Prod_Prop!$A:$A,Prod_Prop!$J:$J,"",0,1))</f>
        <v/>
      </c>
      <c r="X199" s="3" t="str">
        <f>IFERROR(__xludf.DUMMYFUNCTION("IF(D199="""","""",IFERROR(TRANSPOSE(FILTER('Validaciones Cotizador'!U:U,'Validaciones Cotizador'!O:O=D199,'Validaciones Cotizador'!T:T=""x"")),""Finalizar""))"),"")</f>
        <v/>
      </c>
    </row>
    <row r="200">
      <c r="A200" s="2" t="str">
        <f t="array" ref="A200">IF(E200="","",XLOOKUP(D200,'Validaciones Cotizador'!C:C,'Validaciones Cotizador'!A:A,"",0,1))</f>
        <v/>
      </c>
      <c r="B200" s="2" t="str">
        <f t="array" ref="B200">IF(F200="","",XLOOKUP(F200,Productos!E:E,Productos!G:G,"",0,1))</f>
        <v/>
      </c>
      <c r="C200" s="2" t="str">
        <f>IF(A200="","",SUMIFS('Validaciones Cotizador'!B:B,'Validaciones Cotizador'!C:C,D200,'Validaciones Cotizador'!A:A,A200))</f>
        <v/>
      </c>
      <c r="D200" s="4" t="str">
        <f>IFERROR(__xludf.DUMMYFUNCTION("IF(OR(F199=""Finalizar"",F199="""",F199=""Selecciona..""),"""",IF(OR(F199=""-"",INDEX(filter(Familias!F:F,Familias!D:D=A199,Familias!E:E=C199),1)=""O""),D199+1,D199))"),"")</f>
        <v/>
      </c>
      <c r="E200" s="2" t="str">
        <f>IF(OR(F200="",F200="Selecciona.."),"",IF(D200="Implemento",SUMIF(Implementos!B:B,F200,Implementos!A:A),SUMIF(Productos!E:E,F200,Productos!A:A)))</f>
        <v/>
      </c>
      <c r="F200" s="2" t="str">
        <f t="shared" si="2"/>
        <v/>
      </c>
      <c r="G200" s="10" t="str">
        <f t="array" ref="G200">IF(OR(F200="",F200="-",F200="Selecciona..",F200="Finalizar"),"",IF(A200="Rodados",XLOOKUP(B200,'Validaciones Cotizador'!I:I,'Validaciones Cotizador'!J:J,0,0,1),1))</f>
        <v/>
      </c>
      <c r="H200" s="11" t="str">
        <f>IF(OR(F200="",F200="Selecciona.."),"",SUMIF(Precio_Productos!K:K,E200,Precio_Productos!J:J)*G200)</f>
        <v/>
      </c>
      <c r="I200" s="4" t="str">
        <f t="array" ref="I200">IF($E200="","", XLOOKUP(SUMIFS(Prod_Prop!$A:$A,Prod_Prop!$B:$B,$E200,Prod_Prop!$H:$H,I$1,Prod_Prop!$I:$I,"Exacto"),Prod_Prop!$A:$A,Prod_Prop!$J:$J,"",0,1))</f>
        <v/>
      </c>
      <c r="J200" s="4" t="str">
        <f t="array" ref="J200">IF($E200="","", XLOOKUP(SUMIFS(Prod_Prop!$A:$A,Prod_Prop!$B:$B,$E200,Prod_Prop!$H:$H,J$1,Prod_Prop!$I:$I,"Exacto"),Prod_Prop!$A:$A,Prod_Prop!$J:$J,"",0,1))</f>
        <v/>
      </c>
      <c r="K200" s="4" t="str">
        <f t="array" ref="K200">IF($E200="","", XLOOKUP(SUMIFS(Prod_Prop!$A:$A,Prod_Prop!$B:$B,$E200,Prod_Prop!$H:$H,K$1,Prod_Prop!$I:$I,"Exacto"),Prod_Prop!$A:$A,Prod_Prop!$J:$J,"",0,1))</f>
        <v/>
      </c>
      <c r="L200" s="4" t="str">
        <f t="array" ref="L200">IF($E200="","", XLOOKUP(SUMIFS(Prod_Prop!$A:$A,Prod_Prop!$B:$B,$E200,Prod_Prop!$H:$H,L$1,Prod_Prop!$I:$I,"Exacto"),Prod_Prop!$A:$A,Prod_Prop!$J:$J,"",0,1))</f>
        <v/>
      </c>
      <c r="M200" s="4" t="str">
        <f t="array" ref="M200">IF($E200="","", XLOOKUP(SUMIFS(Prod_Prop!$A:$A,Prod_Prop!$B:$B,$E200,Prod_Prop!$H:$H,M$1,Prod_Prop!$I:$I,"Exacto"),Prod_Prop!$A:$A,Prod_Prop!$J:$J,"",0,1))</f>
        <v/>
      </c>
      <c r="N200" s="4" t="str">
        <f t="array" ref="N200">IF($E200="","", XLOOKUP(SUMIFS(Prod_Prop!$A:$A,Prod_Prop!$B:$B,$E200,Prod_Prop!$H:$H,N$1,Prod_Prop!$I:$I,"Exacto"),Prod_Prop!$A:$A,Prod_Prop!$J:$J,"",0,1))</f>
        <v/>
      </c>
      <c r="O200" s="4" t="str">
        <f t="array" ref="O200">IF($E200="","", XLOOKUP(SUMIFS(Prod_Prop!$A:$A,Prod_Prop!$B:$B,$E200,Prod_Prop!$H:$H,O$1,Prod_Prop!$I:$I,"Exacto"),Prod_Prop!$A:$A,Prod_Prop!$J:$J,"",0,1))</f>
        <v/>
      </c>
      <c r="P200" s="4" t="str">
        <f t="array" ref="P200">IF($E200="","", XLOOKUP(SUMIFS(Prod_Prop!$A:$A,Prod_Prop!$B:$B,$E200,Prod_Prop!$H:$H,P$1,Prod_Prop!$I:$I,"Exacto"),Prod_Prop!$A:$A,Prod_Prop!$J:$J,"",0,1))</f>
        <v/>
      </c>
      <c r="Q200" s="4" t="str">
        <f t="array" ref="Q200">IF($E200="","", XLOOKUP(SUMIFS(Prod_Prop!$A:$A,Prod_Prop!$B:$B,$E200,Prod_Prop!$H:$H,Q$1,Prod_Prop!$I:$I,"Exacto"),Prod_Prop!$A:$A,Prod_Prop!$J:$J,"",0,1))</f>
        <v/>
      </c>
      <c r="R200" s="4" t="str">
        <f t="array" ref="R200">IF($E200="","", XLOOKUP(SUMIFS(Prod_Prop!$A:$A,Prod_Prop!$B:$B,$E200,Prod_Prop!$H:$H,R$1,Prod_Prop!$I:$I,"Exacto"),Prod_Prop!$A:$A,Prod_Prop!$J:$J,"",0,1))</f>
        <v/>
      </c>
      <c r="S200" s="4" t="str">
        <f t="array" ref="S200">IF($E200="","", XLOOKUP(SUMIFS(Prod_Prop!$A:$A,Prod_Prop!$B:$B,$E200,Prod_Prop!$H:$H,S$1,Prod_Prop!$I:$I,"Exacto"),Prod_Prop!$A:$A,Prod_Prop!$J:$J,"",0,1))</f>
        <v/>
      </c>
      <c r="T200" s="4" t="str">
        <f t="array" ref="T200">IF($E200="","", XLOOKUP(SUMIFS(Prod_Prop!$A:$A,Prod_Prop!$B:$B,$E200,Prod_Prop!$H:$H,T$1,Prod_Prop!$I:$I,"Exacto"),Prod_Prop!$A:$A,Prod_Prop!$J:$J,"",0,1))</f>
        <v/>
      </c>
      <c r="U200" s="4" t="str">
        <f t="array" ref="U200">IF($E200="","", XLOOKUP(SUMIFS(Prod_Prop!$A:$A,Prod_Prop!$B:$B,$E200,Prod_Prop!$H:$H,U$1,Prod_Prop!$I:$I,"Exacto"),Prod_Prop!$A:$A,Prod_Prop!$J:$J,"",0,1))</f>
        <v/>
      </c>
      <c r="V200" s="4" t="str">
        <f t="array" ref="V200">IF($E200="","", XLOOKUP(SUMIFS(Prod_Prop!$A:$A,Prod_Prop!$B:$B,$E200,Prod_Prop!$H:$H,V$1,Prod_Prop!$I:$I,"Exacto"),Prod_Prop!$A:$A,Prod_Prop!$J:$J,"",0,1))</f>
        <v/>
      </c>
      <c r="X200" s="3" t="str">
        <f>IFERROR(__xludf.DUMMYFUNCTION("IF(D200="""","""",IFERROR(TRANSPOSE(FILTER('Validaciones Cotizador'!U:U,'Validaciones Cotizador'!O:O=D200,'Validaciones Cotizador'!T:T=""x"")),""Finalizar""))"),"")</f>
        <v/>
      </c>
    </row>
    <row r="201">
      <c r="A201" s="2" t="str">
        <f t="array" ref="A201">IF(E201="","",XLOOKUP(D201,'Validaciones Cotizador'!C:C,'Validaciones Cotizador'!A:A,"",0,1))</f>
        <v/>
      </c>
      <c r="B201" s="2" t="str">
        <f t="array" ref="B201">IF(F201="","",XLOOKUP(F201,Productos!E:E,Productos!G:G,"",0,1))</f>
        <v/>
      </c>
      <c r="C201" s="2" t="str">
        <f>IF(A201="","",SUMIFS('Validaciones Cotizador'!B:B,'Validaciones Cotizador'!C:C,D201,'Validaciones Cotizador'!A:A,A201))</f>
        <v/>
      </c>
      <c r="D201" s="4" t="str">
        <f>IFERROR(__xludf.DUMMYFUNCTION("IF(OR(F200=""Finalizar"",F200="""",F200=""Selecciona..""),"""",IF(OR(F200=""-"",INDEX(filter(Familias!F:F,Familias!D:D=A200,Familias!E:E=C200),1)=""O""),D200+1,D200))"),"")</f>
        <v/>
      </c>
      <c r="E201" s="2" t="str">
        <f>IF(OR(F201="",F201="Selecciona.."),"",IF(D201="Implemento",SUMIF(Implementos!B:B,F201,Implementos!A:A),SUMIF(Productos!E:E,F201,Productos!A:A)))</f>
        <v/>
      </c>
      <c r="F201" s="2" t="str">
        <f t="shared" si="2"/>
        <v/>
      </c>
      <c r="G201" s="10" t="str">
        <f t="array" ref="G201">IF(OR(F201="",F201="-",F201="Selecciona..",F201="Finalizar"),"",IF(A201="Rodados",XLOOKUP(B201,'Validaciones Cotizador'!I:I,'Validaciones Cotizador'!J:J,0,0,1),1))</f>
        <v/>
      </c>
      <c r="H201" s="11" t="str">
        <f>IF(OR(F201="",F201="Selecciona.."),"",SUMIF(Precio_Productos!K:K,E201,Precio_Productos!J:J)*G201)</f>
        <v/>
      </c>
      <c r="I201" s="4" t="str">
        <f t="array" ref="I201">IF($E201="","", XLOOKUP(SUMIFS(Prod_Prop!$A:$A,Prod_Prop!$B:$B,$E201,Prod_Prop!$H:$H,I$1,Prod_Prop!$I:$I,"Exacto"),Prod_Prop!$A:$A,Prod_Prop!$J:$J,"",0,1))</f>
        <v/>
      </c>
      <c r="J201" s="4" t="str">
        <f t="array" ref="J201">IF($E201="","", XLOOKUP(SUMIFS(Prod_Prop!$A:$A,Prod_Prop!$B:$B,$E201,Prod_Prop!$H:$H,J$1,Prod_Prop!$I:$I,"Exacto"),Prod_Prop!$A:$A,Prod_Prop!$J:$J,"",0,1))</f>
        <v/>
      </c>
      <c r="K201" s="4" t="str">
        <f t="array" ref="K201">IF($E201="","", XLOOKUP(SUMIFS(Prod_Prop!$A:$A,Prod_Prop!$B:$B,$E201,Prod_Prop!$H:$H,K$1,Prod_Prop!$I:$I,"Exacto"),Prod_Prop!$A:$A,Prod_Prop!$J:$J,"",0,1))</f>
        <v/>
      </c>
      <c r="L201" s="4" t="str">
        <f t="array" ref="L201">IF($E201="","", XLOOKUP(SUMIFS(Prod_Prop!$A:$A,Prod_Prop!$B:$B,$E201,Prod_Prop!$H:$H,L$1,Prod_Prop!$I:$I,"Exacto"),Prod_Prop!$A:$A,Prod_Prop!$J:$J,"",0,1))</f>
        <v/>
      </c>
      <c r="M201" s="4" t="str">
        <f t="array" ref="M201">IF($E201="","", XLOOKUP(SUMIFS(Prod_Prop!$A:$A,Prod_Prop!$B:$B,$E201,Prod_Prop!$H:$H,M$1,Prod_Prop!$I:$I,"Exacto"),Prod_Prop!$A:$A,Prod_Prop!$J:$J,"",0,1))</f>
        <v/>
      </c>
      <c r="N201" s="4" t="str">
        <f t="array" ref="N201">IF($E201="","", XLOOKUP(SUMIFS(Prod_Prop!$A:$A,Prod_Prop!$B:$B,$E201,Prod_Prop!$H:$H,N$1,Prod_Prop!$I:$I,"Exacto"),Prod_Prop!$A:$A,Prod_Prop!$J:$J,"",0,1))</f>
        <v/>
      </c>
      <c r="O201" s="4" t="str">
        <f t="array" ref="O201">IF($E201="","", XLOOKUP(SUMIFS(Prod_Prop!$A:$A,Prod_Prop!$B:$B,$E201,Prod_Prop!$H:$H,O$1,Prod_Prop!$I:$I,"Exacto"),Prod_Prop!$A:$A,Prod_Prop!$J:$J,"",0,1))</f>
        <v/>
      </c>
      <c r="P201" s="4" t="str">
        <f t="array" ref="P201">IF($E201="","", XLOOKUP(SUMIFS(Prod_Prop!$A:$A,Prod_Prop!$B:$B,$E201,Prod_Prop!$H:$H,P$1,Prod_Prop!$I:$I,"Exacto"),Prod_Prop!$A:$A,Prod_Prop!$J:$J,"",0,1))</f>
        <v/>
      </c>
      <c r="Q201" s="4" t="str">
        <f t="array" ref="Q201">IF($E201="","", XLOOKUP(SUMIFS(Prod_Prop!$A:$A,Prod_Prop!$B:$B,$E201,Prod_Prop!$H:$H,Q$1,Prod_Prop!$I:$I,"Exacto"),Prod_Prop!$A:$A,Prod_Prop!$J:$J,"",0,1))</f>
        <v/>
      </c>
      <c r="R201" s="4" t="str">
        <f t="array" ref="R201">IF($E201="","", XLOOKUP(SUMIFS(Prod_Prop!$A:$A,Prod_Prop!$B:$B,$E201,Prod_Prop!$H:$H,R$1,Prod_Prop!$I:$I,"Exacto"),Prod_Prop!$A:$A,Prod_Prop!$J:$J,"",0,1))</f>
        <v/>
      </c>
      <c r="S201" s="4" t="str">
        <f t="array" ref="S201">IF($E201="","", XLOOKUP(SUMIFS(Prod_Prop!$A:$A,Prod_Prop!$B:$B,$E201,Prod_Prop!$H:$H,S$1,Prod_Prop!$I:$I,"Exacto"),Prod_Prop!$A:$A,Prod_Prop!$J:$J,"",0,1))</f>
        <v/>
      </c>
      <c r="T201" s="4" t="str">
        <f t="array" ref="T201">IF($E201="","", XLOOKUP(SUMIFS(Prod_Prop!$A:$A,Prod_Prop!$B:$B,$E201,Prod_Prop!$H:$H,T$1,Prod_Prop!$I:$I,"Exacto"),Prod_Prop!$A:$A,Prod_Prop!$J:$J,"",0,1))</f>
        <v/>
      </c>
      <c r="U201" s="4" t="str">
        <f t="array" ref="U201">IF($E201="","", XLOOKUP(SUMIFS(Prod_Prop!$A:$A,Prod_Prop!$B:$B,$E201,Prod_Prop!$H:$H,U$1,Prod_Prop!$I:$I,"Exacto"),Prod_Prop!$A:$A,Prod_Prop!$J:$J,"",0,1))</f>
        <v/>
      </c>
      <c r="V201" s="4" t="str">
        <f t="array" ref="V201">IF($E201="","", XLOOKUP(SUMIFS(Prod_Prop!$A:$A,Prod_Prop!$B:$B,$E201,Prod_Prop!$H:$H,V$1,Prod_Prop!$I:$I,"Exacto"),Prod_Prop!$A:$A,Prod_Prop!$J:$J,"",0,1))</f>
        <v/>
      </c>
      <c r="X201" s="3" t="str">
        <f>IFERROR(__xludf.DUMMYFUNCTION("IF(D201="""","""",IFERROR(TRANSPOSE(FILTER('Validaciones Cotizador'!U:U,'Validaciones Cotizador'!O:O=D201,'Validaciones Cotizador'!T:T=""x"")),""Finalizar""))"),"")</f>
        <v/>
      </c>
    </row>
    <row r="202">
      <c r="A202" s="2" t="str">
        <f t="array" ref="A202">IF(E202="","",XLOOKUP(D202,'Validaciones Cotizador'!C:C,'Validaciones Cotizador'!A:A,"",0,1))</f>
        <v/>
      </c>
      <c r="B202" s="2" t="str">
        <f t="array" ref="B202">IF(F202="","",XLOOKUP(F202,Productos!E:E,Productos!G:G,"",0,1))</f>
        <v/>
      </c>
      <c r="C202" s="2" t="str">
        <f>IF(A202="","",SUMIFS('Validaciones Cotizador'!B:B,'Validaciones Cotizador'!C:C,D202,'Validaciones Cotizador'!A:A,A202))</f>
        <v/>
      </c>
      <c r="D202" s="4" t="str">
        <f>IFERROR(__xludf.DUMMYFUNCTION("IF(OR(F201=""Finalizar"",F201="""",F201=""Selecciona..""),"""",IF(OR(F201=""-"",INDEX(filter(Familias!F:F,Familias!D:D=A201,Familias!E:E=C201),1)=""O""),D201+1,D201))"),"")</f>
        <v/>
      </c>
      <c r="E202" s="2" t="str">
        <f>IF(OR(F202="",F202="Selecciona.."),"",IF(D202="Implemento",SUMIF(Implementos!B:B,F202,Implementos!A:A),SUMIF(Productos!E:E,F202,Productos!A:A)))</f>
        <v/>
      </c>
      <c r="F202" s="2" t="str">
        <f t="shared" si="2"/>
        <v/>
      </c>
      <c r="G202" s="10" t="str">
        <f t="array" ref="G202">IF(OR(F202="",F202="-",F202="Selecciona..",F202="Finalizar"),"",IF(A202="Rodados",XLOOKUP(B202,'Validaciones Cotizador'!I:I,'Validaciones Cotizador'!J:J,0,0,1),1))</f>
        <v/>
      </c>
      <c r="H202" s="11" t="str">
        <f>IF(OR(F202="",F202="Selecciona.."),"",SUMIF(Precio_Productos!K:K,E202,Precio_Productos!J:J)*G202)</f>
        <v/>
      </c>
      <c r="I202" s="4" t="str">
        <f t="array" ref="I202">IF($E202="","", XLOOKUP(SUMIFS(Prod_Prop!$A:$A,Prod_Prop!$B:$B,$E202,Prod_Prop!$H:$H,I$1,Prod_Prop!$I:$I,"Exacto"),Prod_Prop!$A:$A,Prod_Prop!$J:$J,"",0,1))</f>
        <v/>
      </c>
      <c r="J202" s="4" t="str">
        <f t="array" ref="J202">IF($E202="","", XLOOKUP(SUMIFS(Prod_Prop!$A:$A,Prod_Prop!$B:$B,$E202,Prod_Prop!$H:$H,J$1,Prod_Prop!$I:$I,"Exacto"),Prod_Prop!$A:$A,Prod_Prop!$J:$J,"",0,1))</f>
        <v/>
      </c>
      <c r="K202" s="4" t="str">
        <f t="array" ref="K202">IF($E202="","", XLOOKUP(SUMIFS(Prod_Prop!$A:$A,Prod_Prop!$B:$B,$E202,Prod_Prop!$H:$H,K$1,Prod_Prop!$I:$I,"Exacto"),Prod_Prop!$A:$A,Prod_Prop!$J:$J,"",0,1))</f>
        <v/>
      </c>
      <c r="L202" s="4" t="str">
        <f t="array" ref="L202">IF($E202="","", XLOOKUP(SUMIFS(Prod_Prop!$A:$A,Prod_Prop!$B:$B,$E202,Prod_Prop!$H:$H,L$1,Prod_Prop!$I:$I,"Exacto"),Prod_Prop!$A:$A,Prod_Prop!$J:$J,"",0,1))</f>
        <v/>
      </c>
      <c r="M202" s="4" t="str">
        <f t="array" ref="M202">IF($E202="","", XLOOKUP(SUMIFS(Prod_Prop!$A:$A,Prod_Prop!$B:$B,$E202,Prod_Prop!$H:$H,M$1,Prod_Prop!$I:$I,"Exacto"),Prod_Prop!$A:$A,Prod_Prop!$J:$J,"",0,1))</f>
        <v/>
      </c>
      <c r="N202" s="4" t="str">
        <f t="array" ref="N202">IF($E202="","", XLOOKUP(SUMIFS(Prod_Prop!$A:$A,Prod_Prop!$B:$B,$E202,Prod_Prop!$H:$H,N$1,Prod_Prop!$I:$I,"Exacto"),Prod_Prop!$A:$A,Prod_Prop!$J:$J,"",0,1))</f>
        <v/>
      </c>
      <c r="O202" s="4" t="str">
        <f t="array" ref="O202">IF($E202="","", XLOOKUP(SUMIFS(Prod_Prop!$A:$A,Prod_Prop!$B:$B,$E202,Prod_Prop!$H:$H,O$1,Prod_Prop!$I:$I,"Exacto"),Prod_Prop!$A:$A,Prod_Prop!$J:$J,"",0,1))</f>
        <v/>
      </c>
      <c r="P202" s="4" t="str">
        <f t="array" ref="P202">IF($E202="","", XLOOKUP(SUMIFS(Prod_Prop!$A:$A,Prod_Prop!$B:$B,$E202,Prod_Prop!$H:$H,P$1,Prod_Prop!$I:$I,"Exacto"),Prod_Prop!$A:$A,Prod_Prop!$J:$J,"",0,1))</f>
        <v/>
      </c>
      <c r="Q202" s="4" t="str">
        <f t="array" ref="Q202">IF($E202="","", XLOOKUP(SUMIFS(Prod_Prop!$A:$A,Prod_Prop!$B:$B,$E202,Prod_Prop!$H:$H,Q$1,Prod_Prop!$I:$I,"Exacto"),Prod_Prop!$A:$A,Prod_Prop!$J:$J,"",0,1))</f>
        <v/>
      </c>
      <c r="R202" s="4" t="str">
        <f t="array" ref="R202">IF($E202="","", XLOOKUP(SUMIFS(Prod_Prop!$A:$A,Prod_Prop!$B:$B,$E202,Prod_Prop!$H:$H,R$1,Prod_Prop!$I:$I,"Exacto"),Prod_Prop!$A:$A,Prod_Prop!$J:$J,"",0,1))</f>
        <v/>
      </c>
      <c r="S202" s="4" t="str">
        <f t="array" ref="S202">IF($E202="","", XLOOKUP(SUMIFS(Prod_Prop!$A:$A,Prod_Prop!$B:$B,$E202,Prod_Prop!$H:$H,S$1,Prod_Prop!$I:$I,"Exacto"),Prod_Prop!$A:$A,Prod_Prop!$J:$J,"",0,1))</f>
        <v/>
      </c>
      <c r="T202" s="4" t="str">
        <f t="array" ref="T202">IF($E202="","", XLOOKUP(SUMIFS(Prod_Prop!$A:$A,Prod_Prop!$B:$B,$E202,Prod_Prop!$H:$H,T$1,Prod_Prop!$I:$I,"Exacto"),Prod_Prop!$A:$A,Prod_Prop!$J:$J,"",0,1))</f>
        <v/>
      </c>
      <c r="U202" s="4" t="str">
        <f t="array" ref="U202">IF($E202="","", XLOOKUP(SUMIFS(Prod_Prop!$A:$A,Prod_Prop!$B:$B,$E202,Prod_Prop!$H:$H,U$1,Prod_Prop!$I:$I,"Exacto"),Prod_Prop!$A:$A,Prod_Prop!$J:$J,"",0,1))</f>
        <v/>
      </c>
      <c r="V202" s="4" t="str">
        <f t="array" ref="V202">IF($E202="","", XLOOKUP(SUMIFS(Prod_Prop!$A:$A,Prod_Prop!$B:$B,$E202,Prod_Prop!$H:$H,V$1,Prod_Prop!$I:$I,"Exacto"),Prod_Prop!$A:$A,Prod_Prop!$J:$J,"",0,1))</f>
        <v/>
      </c>
      <c r="X202" s="3" t="str">
        <f>IFERROR(__xludf.DUMMYFUNCTION("IF(D202="""","""",IFERROR(TRANSPOSE(FILTER('Validaciones Cotizador'!U:U,'Validaciones Cotizador'!O:O=D202,'Validaciones Cotizador'!T:T=""x"")),""Finalizar""))"),"")</f>
        <v/>
      </c>
    </row>
    <row r="203">
      <c r="A203" s="2" t="str">
        <f t="array" ref="A203">IF(E203="","",XLOOKUP(D203,'Validaciones Cotizador'!C:C,'Validaciones Cotizador'!A:A,"",0,1))</f>
        <v/>
      </c>
      <c r="B203" s="2" t="str">
        <f t="array" ref="B203">IF(F203="","",XLOOKUP(F203,Productos!E:E,Productos!G:G,"",0,1))</f>
        <v/>
      </c>
      <c r="C203" s="2" t="str">
        <f>IF(A203="","",SUMIFS('Validaciones Cotizador'!B:B,'Validaciones Cotizador'!C:C,D203,'Validaciones Cotizador'!A:A,A203))</f>
        <v/>
      </c>
      <c r="D203" s="4" t="str">
        <f>IFERROR(__xludf.DUMMYFUNCTION("IF(OR(F202=""Finalizar"",F202="""",F202=""Selecciona..""),"""",IF(OR(F202=""-"",INDEX(filter(Familias!F:F,Familias!D:D=A202,Familias!E:E=C202),1)=""O""),D202+1,D202))"),"")</f>
        <v/>
      </c>
      <c r="E203" s="2" t="str">
        <f>IF(OR(F203="",F203="Selecciona.."),"",IF(D203="Implemento",SUMIF(Implementos!B:B,F203,Implementos!A:A),SUMIF(Productos!E:E,F203,Productos!A:A)))</f>
        <v/>
      </c>
      <c r="F203" s="2" t="str">
        <f t="shared" si="2"/>
        <v/>
      </c>
      <c r="G203" s="10" t="str">
        <f t="array" ref="G203">IF(OR(F203="",F203="-",F203="Selecciona..",F203="Finalizar"),"",IF(A203="Rodados",XLOOKUP(B203,'Validaciones Cotizador'!I:I,'Validaciones Cotizador'!J:J,0,0,1),1))</f>
        <v/>
      </c>
      <c r="H203" s="11" t="str">
        <f>IF(OR(F203="",F203="Selecciona.."),"",SUMIF(Precio_Productos!K:K,E203,Precio_Productos!J:J)*G203)</f>
        <v/>
      </c>
      <c r="I203" s="4" t="str">
        <f t="array" ref="I203">IF($E203="","", XLOOKUP(SUMIFS(Prod_Prop!$A:$A,Prod_Prop!$B:$B,$E203,Prod_Prop!$H:$H,I$1,Prod_Prop!$I:$I,"Exacto"),Prod_Prop!$A:$A,Prod_Prop!$J:$J,"",0,1))</f>
        <v/>
      </c>
      <c r="J203" s="4" t="str">
        <f t="array" ref="J203">IF($E203="","", XLOOKUP(SUMIFS(Prod_Prop!$A:$A,Prod_Prop!$B:$B,$E203,Prod_Prop!$H:$H,J$1,Prod_Prop!$I:$I,"Exacto"),Prod_Prop!$A:$A,Prod_Prop!$J:$J,"",0,1))</f>
        <v/>
      </c>
      <c r="K203" s="4" t="str">
        <f t="array" ref="K203">IF($E203="","", XLOOKUP(SUMIFS(Prod_Prop!$A:$A,Prod_Prop!$B:$B,$E203,Prod_Prop!$H:$H,K$1,Prod_Prop!$I:$I,"Exacto"),Prod_Prop!$A:$A,Prod_Prop!$J:$J,"",0,1))</f>
        <v/>
      </c>
      <c r="L203" s="4" t="str">
        <f t="array" ref="L203">IF($E203="","", XLOOKUP(SUMIFS(Prod_Prop!$A:$A,Prod_Prop!$B:$B,$E203,Prod_Prop!$H:$H,L$1,Prod_Prop!$I:$I,"Exacto"),Prod_Prop!$A:$A,Prod_Prop!$J:$J,"",0,1))</f>
        <v/>
      </c>
      <c r="M203" s="4" t="str">
        <f t="array" ref="M203">IF($E203="","", XLOOKUP(SUMIFS(Prod_Prop!$A:$A,Prod_Prop!$B:$B,$E203,Prod_Prop!$H:$H,M$1,Prod_Prop!$I:$I,"Exacto"),Prod_Prop!$A:$A,Prod_Prop!$J:$J,"",0,1))</f>
        <v/>
      </c>
      <c r="N203" s="4" t="str">
        <f t="array" ref="N203">IF($E203="","", XLOOKUP(SUMIFS(Prod_Prop!$A:$A,Prod_Prop!$B:$B,$E203,Prod_Prop!$H:$H,N$1,Prod_Prop!$I:$I,"Exacto"),Prod_Prop!$A:$A,Prod_Prop!$J:$J,"",0,1))</f>
        <v/>
      </c>
      <c r="O203" s="4" t="str">
        <f t="array" ref="O203">IF($E203="","", XLOOKUP(SUMIFS(Prod_Prop!$A:$A,Prod_Prop!$B:$B,$E203,Prod_Prop!$H:$H,O$1,Prod_Prop!$I:$I,"Exacto"),Prod_Prop!$A:$A,Prod_Prop!$J:$J,"",0,1))</f>
        <v/>
      </c>
      <c r="P203" s="4" t="str">
        <f t="array" ref="P203">IF($E203="","", XLOOKUP(SUMIFS(Prod_Prop!$A:$A,Prod_Prop!$B:$B,$E203,Prod_Prop!$H:$H,P$1,Prod_Prop!$I:$I,"Exacto"),Prod_Prop!$A:$A,Prod_Prop!$J:$J,"",0,1))</f>
        <v/>
      </c>
      <c r="Q203" s="4" t="str">
        <f t="array" ref="Q203">IF($E203="","", XLOOKUP(SUMIFS(Prod_Prop!$A:$A,Prod_Prop!$B:$B,$E203,Prod_Prop!$H:$H,Q$1,Prod_Prop!$I:$I,"Exacto"),Prod_Prop!$A:$A,Prod_Prop!$J:$J,"",0,1))</f>
        <v/>
      </c>
      <c r="R203" s="4" t="str">
        <f t="array" ref="R203">IF($E203="","", XLOOKUP(SUMIFS(Prod_Prop!$A:$A,Prod_Prop!$B:$B,$E203,Prod_Prop!$H:$H,R$1,Prod_Prop!$I:$I,"Exacto"),Prod_Prop!$A:$A,Prod_Prop!$J:$J,"",0,1))</f>
        <v/>
      </c>
      <c r="S203" s="4" t="str">
        <f t="array" ref="S203">IF($E203="","", XLOOKUP(SUMIFS(Prod_Prop!$A:$A,Prod_Prop!$B:$B,$E203,Prod_Prop!$H:$H,S$1,Prod_Prop!$I:$I,"Exacto"),Prod_Prop!$A:$A,Prod_Prop!$J:$J,"",0,1))</f>
        <v/>
      </c>
      <c r="T203" s="4" t="str">
        <f t="array" ref="T203">IF($E203="","", XLOOKUP(SUMIFS(Prod_Prop!$A:$A,Prod_Prop!$B:$B,$E203,Prod_Prop!$H:$H,T$1,Prod_Prop!$I:$I,"Exacto"),Prod_Prop!$A:$A,Prod_Prop!$J:$J,"",0,1))</f>
        <v/>
      </c>
      <c r="U203" s="4" t="str">
        <f t="array" ref="U203">IF($E203="","", XLOOKUP(SUMIFS(Prod_Prop!$A:$A,Prod_Prop!$B:$B,$E203,Prod_Prop!$H:$H,U$1,Prod_Prop!$I:$I,"Exacto"),Prod_Prop!$A:$A,Prod_Prop!$J:$J,"",0,1))</f>
        <v/>
      </c>
      <c r="V203" s="4" t="str">
        <f t="array" ref="V203">IF($E203="","", XLOOKUP(SUMIFS(Prod_Prop!$A:$A,Prod_Prop!$B:$B,$E203,Prod_Prop!$H:$H,V$1,Prod_Prop!$I:$I,"Exacto"),Prod_Prop!$A:$A,Prod_Prop!$J:$J,"",0,1))</f>
        <v/>
      </c>
      <c r="X203" s="3" t="str">
        <f>IFERROR(__xludf.DUMMYFUNCTION("IF(D203="""","""",IFERROR(TRANSPOSE(FILTER('Validaciones Cotizador'!U:U,'Validaciones Cotizador'!O:O=D203,'Validaciones Cotizador'!T:T=""x"")),""Finalizar""))"),"")</f>
        <v/>
      </c>
    </row>
    <row r="204">
      <c r="A204" s="2" t="str">
        <f t="array" ref="A204">IF(E204="","",XLOOKUP(D204,'Validaciones Cotizador'!C:C,'Validaciones Cotizador'!A:A,"",0,1))</f>
        <v/>
      </c>
      <c r="B204" s="2" t="str">
        <f t="array" ref="B204">IF(F204="","",XLOOKUP(F204,Productos!E:E,Productos!G:G,"",0,1))</f>
        <v/>
      </c>
      <c r="C204" s="2" t="str">
        <f>IF(A204="","",SUMIFS('Validaciones Cotizador'!B:B,'Validaciones Cotizador'!C:C,D204,'Validaciones Cotizador'!A:A,A204))</f>
        <v/>
      </c>
      <c r="D204" s="4" t="str">
        <f>IFERROR(__xludf.DUMMYFUNCTION("IF(OR(F203=""Finalizar"",F203="""",F203=""Selecciona..""),"""",IF(OR(F203=""-"",INDEX(filter(Familias!F:F,Familias!D:D=A203,Familias!E:E=C203),1)=""O""),D203+1,D203))"),"")</f>
        <v/>
      </c>
      <c r="E204" s="2" t="str">
        <f>IF(OR(F204="",F204="Selecciona.."),"",IF(D204="Implemento",SUMIF(Implementos!B:B,F204,Implementos!A:A),SUMIF(Productos!E:E,F204,Productos!A:A)))</f>
        <v/>
      </c>
      <c r="F204" s="2" t="str">
        <f t="shared" si="2"/>
        <v/>
      </c>
      <c r="G204" s="10" t="str">
        <f t="array" ref="G204">IF(OR(F204="",F204="-",F204="Selecciona..",F204="Finalizar"),"",IF(A204="Rodados",XLOOKUP(B204,'Validaciones Cotizador'!I:I,'Validaciones Cotizador'!J:J,0,0,1),1))</f>
        <v/>
      </c>
      <c r="H204" s="11" t="str">
        <f>IF(OR(F204="",F204="Selecciona.."),"",SUMIF(Precio_Productos!K:K,E204,Precio_Productos!J:J)*G204)</f>
        <v/>
      </c>
      <c r="I204" s="4" t="str">
        <f t="array" ref="I204">IF($E204="","", XLOOKUP(SUMIFS(Prod_Prop!$A:$A,Prod_Prop!$B:$B,$E204,Prod_Prop!$H:$H,I$1,Prod_Prop!$I:$I,"Exacto"),Prod_Prop!$A:$A,Prod_Prop!$J:$J,"",0,1))</f>
        <v/>
      </c>
      <c r="J204" s="4" t="str">
        <f t="array" ref="J204">IF($E204="","", XLOOKUP(SUMIFS(Prod_Prop!$A:$A,Prod_Prop!$B:$B,$E204,Prod_Prop!$H:$H,J$1,Prod_Prop!$I:$I,"Exacto"),Prod_Prop!$A:$A,Prod_Prop!$J:$J,"",0,1))</f>
        <v/>
      </c>
      <c r="K204" s="4" t="str">
        <f t="array" ref="K204">IF($E204="","", XLOOKUP(SUMIFS(Prod_Prop!$A:$A,Prod_Prop!$B:$B,$E204,Prod_Prop!$H:$H,K$1,Prod_Prop!$I:$I,"Exacto"),Prod_Prop!$A:$A,Prod_Prop!$J:$J,"",0,1))</f>
        <v/>
      </c>
      <c r="L204" s="4" t="str">
        <f t="array" ref="L204">IF($E204="","", XLOOKUP(SUMIFS(Prod_Prop!$A:$A,Prod_Prop!$B:$B,$E204,Prod_Prop!$H:$H,L$1,Prod_Prop!$I:$I,"Exacto"),Prod_Prop!$A:$A,Prod_Prop!$J:$J,"",0,1))</f>
        <v/>
      </c>
      <c r="M204" s="4" t="str">
        <f t="array" ref="M204">IF($E204="","", XLOOKUP(SUMIFS(Prod_Prop!$A:$A,Prod_Prop!$B:$B,$E204,Prod_Prop!$H:$H,M$1,Prod_Prop!$I:$I,"Exacto"),Prod_Prop!$A:$A,Prod_Prop!$J:$J,"",0,1))</f>
        <v/>
      </c>
      <c r="N204" s="4" t="str">
        <f t="array" ref="N204">IF($E204="","", XLOOKUP(SUMIFS(Prod_Prop!$A:$A,Prod_Prop!$B:$B,$E204,Prod_Prop!$H:$H,N$1,Prod_Prop!$I:$I,"Exacto"),Prod_Prop!$A:$A,Prod_Prop!$J:$J,"",0,1))</f>
        <v/>
      </c>
      <c r="O204" s="4" t="str">
        <f t="array" ref="O204">IF($E204="","", XLOOKUP(SUMIFS(Prod_Prop!$A:$A,Prod_Prop!$B:$B,$E204,Prod_Prop!$H:$H,O$1,Prod_Prop!$I:$I,"Exacto"),Prod_Prop!$A:$A,Prod_Prop!$J:$J,"",0,1))</f>
        <v/>
      </c>
      <c r="P204" s="4" t="str">
        <f t="array" ref="P204">IF($E204="","", XLOOKUP(SUMIFS(Prod_Prop!$A:$A,Prod_Prop!$B:$B,$E204,Prod_Prop!$H:$H,P$1,Prod_Prop!$I:$I,"Exacto"),Prod_Prop!$A:$A,Prod_Prop!$J:$J,"",0,1))</f>
        <v/>
      </c>
      <c r="Q204" s="4" t="str">
        <f t="array" ref="Q204">IF($E204="","", XLOOKUP(SUMIFS(Prod_Prop!$A:$A,Prod_Prop!$B:$B,$E204,Prod_Prop!$H:$H,Q$1,Prod_Prop!$I:$I,"Exacto"),Prod_Prop!$A:$A,Prod_Prop!$J:$J,"",0,1))</f>
        <v/>
      </c>
      <c r="R204" s="4" t="str">
        <f t="array" ref="R204">IF($E204="","", XLOOKUP(SUMIFS(Prod_Prop!$A:$A,Prod_Prop!$B:$B,$E204,Prod_Prop!$H:$H,R$1,Prod_Prop!$I:$I,"Exacto"),Prod_Prop!$A:$A,Prod_Prop!$J:$J,"",0,1))</f>
        <v/>
      </c>
      <c r="S204" s="4" t="str">
        <f t="array" ref="S204">IF($E204="","", XLOOKUP(SUMIFS(Prod_Prop!$A:$A,Prod_Prop!$B:$B,$E204,Prod_Prop!$H:$H,S$1,Prod_Prop!$I:$I,"Exacto"),Prod_Prop!$A:$A,Prod_Prop!$J:$J,"",0,1))</f>
        <v/>
      </c>
      <c r="T204" s="4" t="str">
        <f t="array" ref="T204">IF($E204="","", XLOOKUP(SUMIFS(Prod_Prop!$A:$A,Prod_Prop!$B:$B,$E204,Prod_Prop!$H:$H,T$1,Prod_Prop!$I:$I,"Exacto"),Prod_Prop!$A:$A,Prod_Prop!$J:$J,"",0,1))</f>
        <v/>
      </c>
      <c r="U204" s="4" t="str">
        <f t="array" ref="U204">IF($E204="","", XLOOKUP(SUMIFS(Prod_Prop!$A:$A,Prod_Prop!$B:$B,$E204,Prod_Prop!$H:$H,U$1,Prod_Prop!$I:$I,"Exacto"),Prod_Prop!$A:$A,Prod_Prop!$J:$J,"",0,1))</f>
        <v/>
      </c>
      <c r="V204" s="4" t="str">
        <f t="array" ref="V204">IF($E204="","", XLOOKUP(SUMIFS(Prod_Prop!$A:$A,Prod_Prop!$B:$B,$E204,Prod_Prop!$H:$H,V$1,Prod_Prop!$I:$I,"Exacto"),Prod_Prop!$A:$A,Prod_Prop!$J:$J,"",0,1))</f>
        <v/>
      </c>
      <c r="X204" s="3" t="str">
        <f>IFERROR(__xludf.DUMMYFUNCTION("IF(D204="""","""",IFERROR(TRANSPOSE(FILTER('Validaciones Cotizador'!U:U,'Validaciones Cotizador'!O:O=D204,'Validaciones Cotizador'!T:T=""x"")),""Finalizar""))"),"")</f>
        <v/>
      </c>
    </row>
    <row r="205">
      <c r="A205" s="2" t="str">
        <f t="array" ref="A205">IF(E205="","",XLOOKUP(D205,'Validaciones Cotizador'!C:C,'Validaciones Cotizador'!A:A,"",0,1))</f>
        <v/>
      </c>
      <c r="B205" s="2" t="str">
        <f t="array" ref="B205">IF(F205="","",XLOOKUP(F205,Productos!E:E,Productos!G:G,"",0,1))</f>
        <v/>
      </c>
      <c r="C205" s="2" t="str">
        <f>IF(A205="","",SUMIFS('Validaciones Cotizador'!B:B,'Validaciones Cotizador'!C:C,D205,'Validaciones Cotizador'!A:A,A205))</f>
        <v/>
      </c>
      <c r="D205" s="4" t="str">
        <f>IFERROR(__xludf.DUMMYFUNCTION("IF(OR(F204=""Finalizar"",F204="""",F204=""Selecciona..""),"""",IF(OR(F204=""-"",INDEX(filter(Familias!F:F,Familias!D:D=A204,Familias!E:E=C204),1)=""O""),D204+1,D204))"),"")</f>
        <v/>
      </c>
      <c r="E205" s="2" t="str">
        <f>IF(OR(F205="",F205="Selecciona.."),"",IF(D205="Implemento",SUMIF(Implementos!B:B,F205,Implementos!A:A),SUMIF(Productos!E:E,F205,Productos!A:A)))</f>
        <v/>
      </c>
      <c r="F205" s="2" t="str">
        <f t="shared" si="2"/>
        <v/>
      </c>
      <c r="G205" s="10" t="str">
        <f t="array" ref="G205">IF(OR(F205="",F205="-",F205="Selecciona..",F205="Finalizar"),"",IF(A205="Rodados",XLOOKUP(B205,'Validaciones Cotizador'!I:I,'Validaciones Cotizador'!J:J,0,0,1),1))</f>
        <v/>
      </c>
      <c r="H205" s="11" t="str">
        <f>IF(OR(F205="",F205="Selecciona.."),"",SUMIF(Precio_Productos!K:K,E205,Precio_Productos!J:J)*G205)</f>
        <v/>
      </c>
      <c r="I205" s="4" t="str">
        <f t="array" ref="I205">IF($E205="","", XLOOKUP(SUMIFS(Prod_Prop!$A:$A,Prod_Prop!$B:$B,$E205,Prod_Prop!$H:$H,I$1,Prod_Prop!$I:$I,"Exacto"),Prod_Prop!$A:$A,Prod_Prop!$J:$J,"",0,1))</f>
        <v/>
      </c>
      <c r="J205" s="4" t="str">
        <f t="array" ref="J205">IF($E205="","", XLOOKUP(SUMIFS(Prod_Prop!$A:$A,Prod_Prop!$B:$B,$E205,Prod_Prop!$H:$H,J$1,Prod_Prop!$I:$I,"Exacto"),Prod_Prop!$A:$A,Prod_Prop!$J:$J,"",0,1))</f>
        <v/>
      </c>
      <c r="K205" s="4" t="str">
        <f t="array" ref="K205">IF($E205="","", XLOOKUP(SUMIFS(Prod_Prop!$A:$A,Prod_Prop!$B:$B,$E205,Prod_Prop!$H:$H,K$1,Prod_Prop!$I:$I,"Exacto"),Prod_Prop!$A:$A,Prod_Prop!$J:$J,"",0,1))</f>
        <v/>
      </c>
      <c r="L205" s="4" t="str">
        <f t="array" ref="L205">IF($E205="","", XLOOKUP(SUMIFS(Prod_Prop!$A:$A,Prod_Prop!$B:$B,$E205,Prod_Prop!$H:$H,L$1,Prod_Prop!$I:$I,"Exacto"),Prod_Prop!$A:$A,Prod_Prop!$J:$J,"",0,1))</f>
        <v/>
      </c>
      <c r="M205" s="4" t="str">
        <f t="array" ref="M205">IF($E205="","", XLOOKUP(SUMIFS(Prod_Prop!$A:$A,Prod_Prop!$B:$B,$E205,Prod_Prop!$H:$H,M$1,Prod_Prop!$I:$I,"Exacto"),Prod_Prop!$A:$A,Prod_Prop!$J:$J,"",0,1))</f>
        <v/>
      </c>
      <c r="N205" s="4" t="str">
        <f t="array" ref="N205">IF($E205="","", XLOOKUP(SUMIFS(Prod_Prop!$A:$A,Prod_Prop!$B:$B,$E205,Prod_Prop!$H:$H,N$1,Prod_Prop!$I:$I,"Exacto"),Prod_Prop!$A:$A,Prod_Prop!$J:$J,"",0,1))</f>
        <v/>
      </c>
      <c r="O205" s="4" t="str">
        <f t="array" ref="O205">IF($E205="","", XLOOKUP(SUMIFS(Prod_Prop!$A:$A,Prod_Prop!$B:$B,$E205,Prod_Prop!$H:$H,O$1,Prod_Prop!$I:$I,"Exacto"),Prod_Prop!$A:$A,Prod_Prop!$J:$J,"",0,1))</f>
        <v/>
      </c>
      <c r="P205" s="4" t="str">
        <f t="array" ref="P205">IF($E205="","", XLOOKUP(SUMIFS(Prod_Prop!$A:$A,Prod_Prop!$B:$B,$E205,Prod_Prop!$H:$H,P$1,Prod_Prop!$I:$I,"Exacto"),Prod_Prop!$A:$A,Prod_Prop!$J:$J,"",0,1))</f>
        <v/>
      </c>
      <c r="Q205" s="4" t="str">
        <f t="array" ref="Q205">IF($E205="","", XLOOKUP(SUMIFS(Prod_Prop!$A:$A,Prod_Prop!$B:$B,$E205,Prod_Prop!$H:$H,Q$1,Prod_Prop!$I:$I,"Exacto"),Prod_Prop!$A:$A,Prod_Prop!$J:$J,"",0,1))</f>
        <v/>
      </c>
      <c r="R205" s="4" t="str">
        <f t="array" ref="R205">IF($E205="","", XLOOKUP(SUMIFS(Prod_Prop!$A:$A,Prod_Prop!$B:$B,$E205,Prod_Prop!$H:$H,R$1,Prod_Prop!$I:$I,"Exacto"),Prod_Prop!$A:$A,Prod_Prop!$J:$J,"",0,1))</f>
        <v/>
      </c>
      <c r="S205" s="4" t="str">
        <f t="array" ref="S205">IF($E205="","", XLOOKUP(SUMIFS(Prod_Prop!$A:$A,Prod_Prop!$B:$B,$E205,Prod_Prop!$H:$H,S$1,Prod_Prop!$I:$I,"Exacto"),Prod_Prop!$A:$A,Prod_Prop!$J:$J,"",0,1))</f>
        <v/>
      </c>
      <c r="T205" s="4" t="str">
        <f t="array" ref="T205">IF($E205="","", XLOOKUP(SUMIFS(Prod_Prop!$A:$A,Prod_Prop!$B:$B,$E205,Prod_Prop!$H:$H,T$1,Prod_Prop!$I:$I,"Exacto"),Prod_Prop!$A:$A,Prod_Prop!$J:$J,"",0,1))</f>
        <v/>
      </c>
      <c r="U205" s="4" t="str">
        <f t="array" ref="U205">IF($E205="","", XLOOKUP(SUMIFS(Prod_Prop!$A:$A,Prod_Prop!$B:$B,$E205,Prod_Prop!$H:$H,U$1,Prod_Prop!$I:$I,"Exacto"),Prod_Prop!$A:$A,Prod_Prop!$J:$J,"",0,1))</f>
        <v/>
      </c>
      <c r="V205" s="4" t="str">
        <f t="array" ref="V205">IF($E205="","", XLOOKUP(SUMIFS(Prod_Prop!$A:$A,Prod_Prop!$B:$B,$E205,Prod_Prop!$H:$H,V$1,Prod_Prop!$I:$I,"Exacto"),Prod_Prop!$A:$A,Prod_Prop!$J:$J,"",0,1))</f>
        <v/>
      </c>
      <c r="X205" s="3" t="str">
        <f>IFERROR(__xludf.DUMMYFUNCTION("IF(D205="""","""",IFERROR(TRANSPOSE(FILTER('Validaciones Cotizador'!U:U,'Validaciones Cotizador'!O:O=D205,'Validaciones Cotizador'!T:T=""x"")),""Finalizar""))"),"")</f>
        <v/>
      </c>
    </row>
    <row r="206">
      <c r="A206" s="2" t="str">
        <f t="array" ref="A206">IF(E206="","",XLOOKUP(D206,'Validaciones Cotizador'!C:C,'Validaciones Cotizador'!A:A,"",0,1))</f>
        <v/>
      </c>
      <c r="B206" s="2" t="str">
        <f t="array" ref="B206">IF(F206="","",XLOOKUP(F206,Productos!E:E,Productos!G:G,"",0,1))</f>
        <v/>
      </c>
      <c r="C206" s="2" t="str">
        <f>IF(A206="","",SUMIFS('Validaciones Cotizador'!B:B,'Validaciones Cotizador'!C:C,D206,'Validaciones Cotizador'!A:A,A206))</f>
        <v/>
      </c>
      <c r="D206" s="4" t="str">
        <f>IFERROR(__xludf.DUMMYFUNCTION("IF(OR(F205=""Finalizar"",F205="""",F205=""Selecciona..""),"""",IF(OR(F205=""-"",INDEX(filter(Familias!F:F,Familias!D:D=A205,Familias!E:E=C205),1)=""O""),D205+1,D205))"),"")</f>
        <v/>
      </c>
      <c r="E206" s="2" t="str">
        <f>IF(OR(F206="",F206="Selecciona.."),"",IF(D206="Implemento",SUMIF(Implementos!B:B,F206,Implementos!A:A),SUMIF(Productos!E:E,F206,Productos!A:A)))</f>
        <v/>
      </c>
      <c r="F206" s="2" t="str">
        <f t="shared" si="2"/>
        <v/>
      </c>
      <c r="G206" s="10" t="str">
        <f t="array" ref="G206">IF(OR(F206="",F206="-",F206="Selecciona..",F206="Finalizar"),"",IF(A206="Rodados",XLOOKUP(B206,'Validaciones Cotizador'!I:I,'Validaciones Cotizador'!J:J,0,0,1),1))</f>
        <v/>
      </c>
      <c r="H206" s="11" t="str">
        <f>IF(OR(F206="",F206="Selecciona.."),"",SUMIF(Precio_Productos!K:K,E206,Precio_Productos!J:J)*G206)</f>
        <v/>
      </c>
      <c r="I206" s="4" t="str">
        <f t="array" ref="I206">IF($E206="","", XLOOKUP(SUMIFS(Prod_Prop!$A:$A,Prod_Prop!$B:$B,$E206,Prod_Prop!$H:$H,I$1,Prod_Prop!$I:$I,"Exacto"),Prod_Prop!$A:$A,Prod_Prop!$J:$J,"",0,1))</f>
        <v/>
      </c>
      <c r="J206" s="4" t="str">
        <f t="array" ref="J206">IF($E206="","", XLOOKUP(SUMIFS(Prod_Prop!$A:$A,Prod_Prop!$B:$B,$E206,Prod_Prop!$H:$H,J$1,Prod_Prop!$I:$I,"Exacto"),Prod_Prop!$A:$A,Prod_Prop!$J:$J,"",0,1))</f>
        <v/>
      </c>
      <c r="K206" s="4" t="str">
        <f t="array" ref="K206">IF($E206="","", XLOOKUP(SUMIFS(Prod_Prop!$A:$A,Prod_Prop!$B:$B,$E206,Prod_Prop!$H:$H,K$1,Prod_Prop!$I:$I,"Exacto"),Prod_Prop!$A:$A,Prod_Prop!$J:$J,"",0,1))</f>
        <v/>
      </c>
      <c r="L206" s="4" t="str">
        <f t="array" ref="L206">IF($E206="","", XLOOKUP(SUMIFS(Prod_Prop!$A:$A,Prod_Prop!$B:$B,$E206,Prod_Prop!$H:$H,L$1,Prod_Prop!$I:$I,"Exacto"),Prod_Prop!$A:$A,Prod_Prop!$J:$J,"",0,1))</f>
        <v/>
      </c>
      <c r="M206" s="4" t="str">
        <f t="array" ref="M206">IF($E206="","", XLOOKUP(SUMIFS(Prod_Prop!$A:$A,Prod_Prop!$B:$B,$E206,Prod_Prop!$H:$H,M$1,Prod_Prop!$I:$I,"Exacto"),Prod_Prop!$A:$A,Prod_Prop!$J:$J,"",0,1))</f>
        <v/>
      </c>
      <c r="N206" s="4" t="str">
        <f t="array" ref="N206">IF($E206="","", XLOOKUP(SUMIFS(Prod_Prop!$A:$A,Prod_Prop!$B:$B,$E206,Prod_Prop!$H:$H,N$1,Prod_Prop!$I:$I,"Exacto"),Prod_Prop!$A:$A,Prod_Prop!$J:$J,"",0,1))</f>
        <v/>
      </c>
      <c r="O206" s="4" t="str">
        <f t="array" ref="O206">IF($E206="","", XLOOKUP(SUMIFS(Prod_Prop!$A:$A,Prod_Prop!$B:$B,$E206,Prod_Prop!$H:$H,O$1,Prod_Prop!$I:$I,"Exacto"),Prod_Prop!$A:$A,Prod_Prop!$J:$J,"",0,1))</f>
        <v/>
      </c>
      <c r="P206" s="4" t="str">
        <f t="array" ref="P206">IF($E206="","", XLOOKUP(SUMIFS(Prod_Prop!$A:$A,Prod_Prop!$B:$B,$E206,Prod_Prop!$H:$H,P$1,Prod_Prop!$I:$I,"Exacto"),Prod_Prop!$A:$A,Prod_Prop!$J:$J,"",0,1))</f>
        <v/>
      </c>
      <c r="Q206" s="4" t="str">
        <f t="array" ref="Q206">IF($E206="","", XLOOKUP(SUMIFS(Prod_Prop!$A:$A,Prod_Prop!$B:$B,$E206,Prod_Prop!$H:$H,Q$1,Prod_Prop!$I:$I,"Exacto"),Prod_Prop!$A:$A,Prod_Prop!$J:$J,"",0,1))</f>
        <v/>
      </c>
      <c r="R206" s="4" t="str">
        <f t="array" ref="R206">IF($E206="","", XLOOKUP(SUMIFS(Prod_Prop!$A:$A,Prod_Prop!$B:$B,$E206,Prod_Prop!$H:$H,R$1,Prod_Prop!$I:$I,"Exacto"),Prod_Prop!$A:$A,Prod_Prop!$J:$J,"",0,1))</f>
        <v/>
      </c>
      <c r="S206" s="4" t="str">
        <f t="array" ref="S206">IF($E206="","", XLOOKUP(SUMIFS(Prod_Prop!$A:$A,Prod_Prop!$B:$B,$E206,Prod_Prop!$H:$H,S$1,Prod_Prop!$I:$I,"Exacto"),Prod_Prop!$A:$A,Prod_Prop!$J:$J,"",0,1))</f>
        <v/>
      </c>
      <c r="T206" s="4" t="str">
        <f t="array" ref="T206">IF($E206="","", XLOOKUP(SUMIFS(Prod_Prop!$A:$A,Prod_Prop!$B:$B,$E206,Prod_Prop!$H:$H,T$1,Prod_Prop!$I:$I,"Exacto"),Prod_Prop!$A:$A,Prod_Prop!$J:$J,"",0,1))</f>
        <v/>
      </c>
      <c r="U206" s="4" t="str">
        <f t="array" ref="U206">IF($E206="","", XLOOKUP(SUMIFS(Prod_Prop!$A:$A,Prod_Prop!$B:$B,$E206,Prod_Prop!$H:$H,U$1,Prod_Prop!$I:$I,"Exacto"),Prod_Prop!$A:$A,Prod_Prop!$J:$J,"",0,1))</f>
        <v/>
      </c>
      <c r="V206" s="4" t="str">
        <f t="array" ref="V206">IF($E206="","", XLOOKUP(SUMIFS(Prod_Prop!$A:$A,Prod_Prop!$B:$B,$E206,Prod_Prop!$H:$H,V$1,Prod_Prop!$I:$I,"Exacto"),Prod_Prop!$A:$A,Prod_Prop!$J:$J,"",0,1))</f>
        <v/>
      </c>
      <c r="X206" s="3" t="str">
        <f>IFERROR(__xludf.DUMMYFUNCTION("IF(D206="""","""",IFERROR(TRANSPOSE(FILTER('Validaciones Cotizador'!U:U,'Validaciones Cotizador'!O:O=D206,'Validaciones Cotizador'!T:T=""x"")),""Finalizar""))"),"")</f>
        <v/>
      </c>
    </row>
    <row r="207">
      <c r="A207" s="2" t="str">
        <f t="array" ref="A207">IF(E207="","",XLOOKUP(D207,'Validaciones Cotizador'!C:C,'Validaciones Cotizador'!A:A,"",0,1))</f>
        <v/>
      </c>
      <c r="B207" s="2" t="str">
        <f t="array" ref="B207">IF(F207="","",XLOOKUP(F207,Productos!E:E,Productos!G:G,"",0,1))</f>
        <v/>
      </c>
      <c r="C207" s="2" t="str">
        <f>IF(A207="","",SUMIFS('Validaciones Cotizador'!B:B,'Validaciones Cotizador'!C:C,D207,'Validaciones Cotizador'!A:A,A207))</f>
        <v/>
      </c>
      <c r="D207" s="4" t="str">
        <f>IFERROR(__xludf.DUMMYFUNCTION("IF(OR(F206=""Finalizar"",F206="""",F206=""Selecciona..""),"""",IF(OR(F206=""-"",INDEX(filter(Familias!F:F,Familias!D:D=A206,Familias!E:E=C206),1)=""O""),D206+1,D206))"),"")</f>
        <v/>
      </c>
      <c r="E207" s="2" t="str">
        <f>IF(OR(F207="",F207="Selecciona.."),"",IF(D207="Implemento",SUMIF(Implementos!B:B,F207,Implementos!A:A),SUMIF(Productos!E:E,F207,Productos!A:A)))</f>
        <v/>
      </c>
      <c r="F207" s="2" t="str">
        <f t="shared" si="2"/>
        <v/>
      </c>
      <c r="G207" s="10" t="str">
        <f t="array" ref="G207">IF(OR(F207="",F207="-",F207="Selecciona..",F207="Finalizar"),"",IF(A207="Rodados",XLOOKUP(B207,'Validaciones Cotizador'!I:I,'Validaciones Cotizador'!J:J,0,0,1),1))</f>
        <v/>
      </c>
      <c r="H207" s="11" t="str">
        <f>IF(OR(F207="",F207="Selecciona.."),"",SUMIF(Precio_Productos!K:K,E207,Precio_Productos!J:J)*G207)</f>
        <v/>
      </c>
      <c r="I207" s="4" t="str">
        <f t="array" ref="I207">IF($E207="","", XLOOKUP(SUMIFS(Prod_Prop!$A:$A,Prod_Prop!$B:$B,$E207,Prod_Prop!$H:$H,I$1,Prod_Prop!$I:$I,"Exacto"),Prod_Prop!$A:$A,Prod_Prop!$J:$J,"",0,1))</f>
        <v/>
      </c>
      <c r="J207" s="4" t="str">
        <f t="array" ref="J207">IF($E207="","", XLOOKUP(SUMIFS(Prod_Prop!$A:$A,Prod_Prop!$B:$B,$E207,Prod_Prop!$H:$H,J$1,Prod_Prop!$I:$I,"Exacto"),Prod_Prop!$A:$A,Prod_Prop!$J:$J,"",0,1))</f>
        <v/>
      </c>
      <c r="K207" s="4" t="str">
        <f t="array" ref="K207">IF($E207="","", XLOOKUP(SUMIFS(Prod_Prop!$A:$A,Prod_Prop!$B:$B,$E207,Prod_Prop!$H:$H,K$1,Prod_Prop!$I:$I,"Exacto"),Prod_Prop!$A:$A,Prod_Prop!$J:$J,"",0,1))</f>
        <v/>
      </c>
      <c r="L207" s="4" t="str">
        <f t="array" ref="L207">IF($E207="","", XLOOKUP(SUMIFS(Prod_Prop!$A:$A,Prod_Prop!$B:$B,$E207,Prod_Prop!$H:$H,L$1,Prod_Prop!$I:$I,"Exacto"),Prod_Prop!$A:$A,Prod_Prop!$J:$J,"",0,1))</f>
        <v/>
      </c>
      <c r="M207" s="4" t="str">
        <f t="array" ref="M207">IF($E207="","", XLOOKUP(SUMIFS(Prod_Prop!$A:$A,Prod_Prop!$B:$B,$E207,Prod_Prop!$H:$H,M$1,Prod_Prop!$I:$I,"Exacto"),Prod_Prop!$A:$A,Prod_Prop!$J:$J,"",0,1))</f>
        <v/>
      </c>
      <c r="N207" s="4" t="str">
        <f t="array" ref="N207">IF($E207="","", XLOOKUP(SUMIFS(Prod_Prop!$A:$A,Prod_Prop!$B:$B,$E207,Prod_Prop!$H:$H,N$1,Prod_Prop!$I:$I,"Exacto"),Prod_Prop!$A:$A,Prod_Prop!$J:$J,"",0,1))</f>
        <v/>
      </c>
      <c r="O207" s="4" t="str">
        <f t="array" ref="O207">IF($E207="","", XLOOKUP(SUMIFS(Prod_Prop!$A:$A,Prod_Prop!$B:$B,$E207,Prod_Prop!$H:$H,O$1,Prod_Prop!$I:$I,"Exacto"),Prod_Prop!$A:$A,Prod_Prop!$J:$J,"",0,1))</f>
        <v/>
      </c>
      <c r="P207" s="4" t="str">
        <f t="array" ref="P207">IF($E207="","", XLOOKUP(SUMIFS(Prod_Prop!$A:$A,Prod_Prop!$B:$B,$E207,Prod_Prop!$H:$H,P$1,Prod_Prop!$I:$I,"Exacto"),Prod_Prop!$A:$A,Prod_Prop!$J:$J,"",0,1))</f>
        <v/>
      </c>
      <c r="Q207" s="4" t="str">
        <f t="array" ref="Q207">IF($E207="","", XLOOKUP(SUMIFS(Prod_Prop!$A:$A,Prod_Prop!$B:$B,$E207,Prod_Prop!$H:$H,Q$1,Prod_Prop!$I:$I,"Exacto"),Prod_Prop!$A:$A,Prod_Prop!$J:$J,"",0,1))</f>
        <v/>
      </c>
      <c r="R207" s="4" t="str">
        <f t="array" ref="R207">IF($E207="","", XLOOKUP(SUMIFS(Prod_Prop!$A:$A,Prod_Prop!$B:$B,$E207,Prod_Prop!$H:$H,R$1,Prod_Prop!$I:$I,"Exacto"),Prod_Prop!$A:$A,Prod_Prop!$J:$J,"",0,1))</f>
        <v/>
      </c>
      <c r="S207" s="4" t="str">
        <f t="array" ref="S207">IF($E207="","", XLOOKUP(SUMIFS(Prod_Prop!$A:$A,Prod_Prop!$B:$B,$E207,Prod_Prop!$H:$H,S$1,Prod_Prop!$I:$I,"Exacto"),Prod_Prop!$A:$A,Prod_Prop!$J:$J,"",0,1))</f>
        <v/>
      </c>
      <c r="T207" s="4" t="str">
        <f t="array" ref="T207">IF($E207="","", XLOOKUP(SUMIFS(Prod_Prop!$A:$A,Prod_Prop!$B:$B,$E207,Prod_Prop!$H:$H,T$1,Prod_Prop!$I:$I,"Exacto"),Prod_Prop!$A:$A,Prod_Prop!$J:$J,"",0,1))</f>
        <v/>
      </c>
      <c r="U207" s="4" t="str">
        <f t="array" ref="U207">IF($E207="","", XLOOKUP(SUMIFS(Prod_Prop!$A:$A,Prod_Prop!$B:$B,$E207,Prod_Prop!$H:$H,U$1,Prod_Prop!$I:$I,"Exacto"),Prod_Prop!$A:$A,Prod_Prop!$J:$J,"",0,1))</f>
        <v/>
      </c>
      <c r="V207" s="4" t="str">
        <f t="array" ref="V207">IF($E207="","", XLOOKUP(SUMIFS(Prod_Prop!$A:$A,Prod_Prop!$B:$B,$E207,Prod_Prop!$H:$H,V$1,Prod_Prop!$I:$I,"Exacto"),Prod_Prop!$A:$A,Prod_Prop!$J:$J,"",0,1))</f>
        <v/>
      </c>
      <c r="X207" s="3" t="str">
        <f>IFERROR(__xludf.DUMMYFUNCTION("IF(D207="""","""",IFERROR(TRANSPOSE(FILTER('Validaciones Cotizador'!U:U,'Validaciones Cotizador'!O:O=D207,'Validaciones Cotizador'!T:T=""x"")),""Finalizar""))"),"")</f>
        <v/>
      </c>
    </row>
    <row r="208">
      <c r="A208" s="2" t="str">
        <f t="array" ref="A208">IF(E208="","",XLOOKUP(D208,'Validaciones Cotizador'!C:C,'Validaciones Cotizador'!A:A,"",0,1))</f>
        <v/>
      </c>
      <c r="B208" s="2" t="str">
        <f t="array" ref="B208">IF(F208="","",XLOOKUP(F208,Productos!E:E,Productos!G:G,"",0,1))</f>
        <v/>
      </c>
      <c r="C208" s="2" t="str">
        <f>IF(A208="","",SUMIFS('Validaciones Cotizador'!B:B,'Validaciones Cotizador'!C:C,D208,'Validaciones Cotizador'!A:A,A208))</f>
        <v/>
      </c>
      <c r="D208" s="4" t="str">
        <f>IFERROR(__xludf.DUMMYFUNCTION("IF(OR(F207=""Finalizar"",F207="""",F207=""Selecciona..""),"""",IF(OR(F207=""-"",INDEX(filter(Familias!F:F,Familias!D:D=A207,Familias!E:E=C207),1)=""O""),D207+1,D207))"),"")</f>
        <v/>
      </c>
      <c r="E208" s="2" t="str">
        <f>IF(OR(F208="",F208="Selecciona.."),"",IF(D208="Implemento",SUMIF(Implementos!B:B,F208,Implementos!A:A),SUMIF(Productos!E:E,F208,Productos!A:A)))</f>
        <v/>
      </c>
      <c r="F208" s="2" t="str">
        <f t="shared" si="2"/>
        <v/>
      </c>
      <c r="G208" s="10" t="str">
        <f t="array" ref="G208">IF(OR(F208="",F208="-",F208="Selecciona..",F208="Finalizar"),"",IF(A208="Rodados",XLOOKUP(B208,'Validaciones Cotizador'!I:I,'Validaciones Cotizador'!J:J,0,0,1),1))</f>
        <v/>
      </c>
      <c r="H208" s="11" t="str">
        <f>IF(OR(F208="",F208="Selecciona.."),"",SUMIF(Precio_Productos!K:K,E208,Precio_Productos!J:J)*G208)</f>
        <v/>
      </c>
      <c r="I208" s="4" t="str">
        <f t="array" ref="I208">IF($E208="","", XLOOKUP(SUMIFS(Prod_Prop!$A:$A,Prod_Prop!$B:$B,$E208,Prod_Prop!$H:$H,I$1,Prod_Prop!$I:$I,"Exacto"),Prod_Prop!$A:$A,Prod_Prop!$J:$J,"",0,1))</f>
        <v/>
      </c>
      <c r="J208" s="4" t="str">
        <f t="array" ref="J208">IF($E208="","", XLOOKUP(SUMIFS(Prod_Prop!$A:$A,Prod_Prop!$B:$B,$E208,Prod_Prop!$H:$H,J$1,Prod_Prop!$I:$I,"Exacto"),Prod_Prop!$A:$A,Prod_Prop!$J:$J,"",0,1))</f>
        <v/>
      </c>
      <c r="K208" s="4" t="str">
        <f t="array" ref="K208">IF($E208="","", XLOOKUP(SUMIFS(Prod_Prop!$A:$A,Prod_Prop!$B:$B,$E208,Prod_Prop!$H:$H,K$1,Prod_Prop!$I:$I,"Exacto"),Prod_Prop!$A:$A,Prod_Prop!$J:$J,"",0,1))</f>
        <v/>
      </c>
      <c r="L208" s="4" t="str">
        <f t="array" ref="L208">IF($E208="","", XLOOKUP(SUMIFS(Prod_Prop!$A:$A,Prod_Prop!$B:$B,$E208,Prod_Prop!$H:$H,L$1,Prod_Prop!$I:$I,"Exacto"),Prod_Prop!$A:$A,Prod_Prop!$J:$J,"",0,1))</f>
        <v/>
      </c>
      <c r="M208" s="4" t="str">
        <f t="array" ref="M208">IF($E208="","", XLOOKUP(SUMIFS(Prod_Prop!$A:$A,Prod_Prop!$B:$B,$E208,Prod_Prop!$H:$H,M$1,Prod_Prop!$I:$I,"Exacto"),Prod_Prop!$A:$A,Prod_Prop!$J:$J,"",0,1))</f>
        <v/>
      </c>
      <c r="N208" s="4" t="str">
        <f t="array" ref="N208">IF($E208="","", XLOOKUP(SUMIFS(Prod_Prop!$A:$A,Prod_Prop!$B:$B,$E208,Prod_Prop!$H:$H,N$1,Prod_Prop!$I:$I,"Exacto"),Prod_Prop!$A:$A,Prod_Prop!$J:$J,"",0,1))</f>
        <v/>
      </c>
      <c r="O208" s="4" t="str">
        <f t="array" ref="O208">IF($E208="","", XLOOKUP(SUMIFS(Prod_Prop!$A:$A,Prod_Prop!$B:$B,$E208,Prod_Prop!$H:$H,O$1,Prod_Prop!$I:$I,"Exacto"),Prod_Prop!$A:$A,Prod_Prop!$J:$J,"",0,1))</f>
        <v/>
      </c>
      <c r="P208" s="4" t="str">
        <f t="array" ref="P208">IF($E208="","", XLOOKUP(SUMIFS(Prod_Prop!$A:$A,Prod_Prop!$B:$B,$E208,Prod_Prop!$H:$H,P$1,Prod_Prop!$I:$I,"Exacto"),Prod_Prop!$A:$A,Prod_Prop!$J:$J,"",0,1))</f>
        <v/>
      </c>
      <c r="Q208" s="4" t="str">
        <f t="array" ref="Q208">IF($E208="","", XLOOKUP(SUMIFS(Prod_Prop!$A:$A,Prod_Prop!$B:$B,$E208,Prod_Prop!$H:$H,Q$1,Prod_Prop!$I:$I,"Exacto"),Prod_Prop!$A:$A,Prod_Prop!$J:$J,"",0,1))</f>
        <v/>
      </c>
      <c r="R208" s="4" t="str">
        <f t="array" ref="R208">IF($E208="","", XLOOKUP(SUMIFS(Prod_Prop!$A:$A,Prod_Prop!$B:$B,$E208,Prod_Prop!$H:$H,R$1,Prod_Prop!$I:$I,"Exacto"),Prod_Prop!$A:$A,Prod_Prop!$J:$J,"",0,1))</f>
        <v/>
      </c>
      <c r="S208" s="4" t="str">
        <f t="array" ref="S208">IF($E208="","", XLOOKUP(SUMIFS(Prod_Prop!$A:$A,Prod_Prop!$B:$B,$E208,Prod_Prop!$H:$H,S$1,Prod_Prop!$I:$I,"Exacto"),Prod_Prop!$A:$A,Prod_Prop!$J:$J,"",0,1))</f>
        <v/>
      </c>
      <c r="T208" s="4" t="str">
        <f t="array" ref="T208">IF($E208="","", XLOOKUP(SUMIFS(Prod_Prop!$A:$A,Prod_Prop!$B:$B,$E208,Prod_Prop!$H:$H,T$1,Prod_Prop!$I:$I,"Exacto"),Prod_Prop!$A:$A,Prod_Prop!$J:$J,"",0,1))</f>
        <v/>
      </c>
      <c r="U208" s="4" t="str">
        <f t="array" ref="U208">IF($E208="","", XLOOKUP(SUMIFS(Prod_Prop!$A:$A,Prod_Prop!$B:$B,$E208,Prod_Prop!$H:$H,U$1,Prod_Prop!$I:$I,"Exacto"),Prod_Prop!$A:$A,Prod_Prop!$J:$J,"",0,1))</f>
        <v/>
      </c>
      <c r="V208" s="4" t="str">
        <f t="array" ref="V208">IF($E208="","", XLOOKUP(SUMIFS(Prod_Prop!$A:$A,Prod_Prop!$B:$B,$E208,Prod_Prop!$H:$H,V$1,Prod_Prop!$I:$I,"Exacto"),Prod_Prop!$A:$A,Prod_Prop!$J:$J,"",0,1))</f>
        <v/>
      </c>
      <c r="X208" s="3" t="str">
        <f>IFERROR(__xludf.DUMMYFUNCTION("IF(D208="""","""",IFERROR(TRANSPOSE(FILTER('Validaciones Cotizador'!U:U,'Validaciones Cotizador'!O:O=D208,'Validaciones Cotizador'!T:T=""x"")),""Finalizar""))"),"")</f>
        <v/>
      </c>
    </row>
    <row r="209">
      <c r="A209" s="2" t="str">
        <f t="array" ref="A209">IF(E209="","",XLOOKUP(D209,'Validaciones Cotizador'!C:C,'Validaciones Cotizador'!A:A,"",0,1))</f>
        <v/>
      </c>
      <c r="B209" s="2" t="str">
        <f t="array" ref="B209">IF(F209="","",XLOOKUP(F209,Productos!E:E,Productos!G:G,"",0,1))</f>
        <v/>
      </c>
      <c r="C209" s="2" t="str">
        <f>IF(A209="","",SUMIFS('Validaciones Cotizador'!B:B,'Validaciones Cotizador'!C:C,D209,'Validaciones Cotizador'!A:A,A209))</f>
        <v/>
      </c>
      <c r="D209" s="4" t="str">
        <f>IFERROR(__xludf.DUMMYFUNCTION("IF(OR(F208=""Finalizar"",F208="""",F208=""Selecciona..""),"""",IF(OR(F208=""-"",INDEX(filter(Familias!F:F,Familias!D:D=A208,Familias!E:E=C208),1)=""O""),D208+1,D208))"),"")</f>
        <v/>
      </c>
      <c r="E209" s="2" t="str">
        <f>IF(OR(F209="",F209="Selecciona.."),"",IF(D209="Implemento",SUMIF(Implementos!B:B,F209,Implementos!A:A),SUMIF(Productos!E:E,F209,Productos!A:A)))</f>
        <v/>
      </c>
      <c r="F209" s="2" t="str">
        <f t="shared" si="2"/>
        <v/>
      </c>
      <c r="G209" s="10" t="str">
        <f t="array" ref="G209">IF(OR(F209="",F209="-",F209="Selecciona..",F209="Finalizar"),"",IF(A209="Rodados",XLOOKUP(B209,'Validaciones Cotizador'!I:I,'Validaciones Cotizador'!J:J,0,0,1),1))</f>
        <v/>
      </c>
      <c r="H209" s="11" t="str">
        <f>IF(OR(F209="",F209="Selecciona.."),"",SUMIF(Precio_Productos!K:K,E209,Precio_Productos!J:J)*G209)</f>
        <v/>
      </c>
      <c r="I209" s="4" t="str">
        <f t="array" ref="I209">IF($E209="","", XLOOKUP(SUMIFS(Prod_Prop!$A:$A,Prod_Prop!$B:$B,$E209,Prod_Prop!$H:$H,I$1,Prod_Prop!$I:$I,"Exacto"),Prod_Prop!$A:$A,Prod_Prop!$J:$J,"",0,1))</f>
        <v/>
      </c>
      <c r="J209" s="4" t="str">
        <f t="array" ref="J209">IF($E209="","", XLOOKUP(SUMIFS(Prod_Prop!$A:$A,Prod_Prop!$B:$B,$E209,Prod_Prop!$H:$H,J$1,Prod_Prop!$I:$I,"Exacto"),Prod_Prop!$A:$A,Prod_Prop!$J:$J,"",0,1))</f>
        <v/>
      </c>
      <c r="K209" s="4" t="str">
        <f t="array" ref="K209">IF($E209="","", XLOOKUP(SUMIFS(Prod_Prop!$A:$A,Prod_Prop!$B:$B,$E209,Prod_Prop!$H:$H,K$1,Prod_Prop!$I:$I,"Exacto"),Prod_Prop!$A:$A,Prod_Prop!$J:$J,"",0,1))</f>
        <v/>
      </c>
      <c r="L209" s="4" t="str">
        <f t="array" ref="L209">IF($E209="","", XLOOKUP(SUMIFS(Prod_Prop!$A:$A,Prod_Prop!$B:$B,$E209,Prod_Prop!$H:$H,L$1,Prod_Prop!$I:$I,"Exacto"),Prod_Prop!$A:$A,Prod_Prop!$J:$J,"",0,1))</f>
        <v/>
      </c>
      <c r="M209" s="4" t="str">
        <f t="array" ref="M209">IF($E209="","", XLOOKUP(SUMIFS(Prod_Prop!$A:$A,Prod_Prop!$B:$B,$E209,Prod_Prop!$H:$H,M$1,Prod_Prop!$I:$I,"Exacto"),Prod_Prop!$A:$A,Prod_Prop!$J:$J,"",0,1))</f>
        <v/>
      </c>
      <c r="N209" s="4" t="str">
        <f t="array" ref="N209">IF($E209="","", XLOOKUP(SUMIFS(Prod_Prop!$A:$A,Prod_Prop!$B:$B,$E209,Prod_Prop!$H:$H,N$1,Prod_Prop!$I:$I,"Exacto"),Prod_Prop!$A:$A,Prod_Prop!$J:$J,"",0,1))</f>
        <v/>
      </c>
      <c r="O209" s="4" t="str">
        <f t="array" ref="O209">IF($E209="","", XLOOKUP(SUMIFS(Prod_Prop!$A:$A,Prod_Prop!$B:$B,$E209,Prod_Prop!$H:$H,O$1,Prod_Prop!$I:$I,"Exacto"),Prod_Prop!$A:$A,Prod_Prop!$J:$J,"",0,1))</f>
        <v/>
      </c>
      <c r="P209" s="4" t="str">
        <f t="array" ref="P209">IF($E209="","", XLOOKUP(SUMIFS(Prod_Prop!$A:$A,Prod_Prop!$B:$B,$E209,Prod_Prop!$H:$H,P$1,Prod_Prop!$I:$I,"Exacto"),Prod_Prop!$A:$A,Prod_Prop!$J:$J,"",0,1))</f>
        <v/>
      </c>
      <c r="Q209" s="4" t="str">
        <f t="array" ref="Q209">IF($E209="","", XLOOKUP(SUMIFS(Prod_Prop!$A:$A,Prod_Prop!$B:$B,$E209,Prod_Prop!$H:$H,Q$1,Prod_Prop!$I:$I,"Exacto"),Prod_Prop!$A:$A,Prod_Prop!$J:$J,"",0,1))</f>
        <v/>
      </c>
      <c r="R209" s="4" t="str">
        <f t="array" ref="R209">IF($E209="","", XLOOKUP(SUMIFS(Prod_Prop!$A:$A,Prod_Prop!$B:$B,$E209,Prod_Prop!$H:$H,R$1,Prod_Prop!$I:$I,"Exacto"),Prod_Prop!$A:$A,Prod_Prop!$J:$J,"",0,1))</f>
        <v/>
      </c>
      <c r="S209" s="4" t="str">
        <f t="array" ref="S209">IF($E209="","", XLOOKUP(SUMIFS(Prod_Prop!$A:$A,Prod_Prop!$B:$B,$E209,Prod_Prop!$H:$H,S$1,Prod_Prop!$I:$I,"Exacto"),Prod_Prop!$A:$A,Prod_Prop!$J:$J,"",0,1))</f>
        <v/>
      </c>
      <c r="T209" s="4" t="str">
        <f t="array" ref="T209">IF($E209="","", XLOOKUP(SUMIFS(Prod_Prop!$A:$A,Prod_Prop!$B:$B,$E209,Prod_Prop!$H:$H,T$1,Prod_Prop!$I:$I,"Exacto"),Prod_Prop!$A:$A,Prod_Prop!$J:$J,"",0,1))</f>
        <v/>
      </c>
      <c r="U209" s="4" t="str">
        <f t="array" ref="U209">IF($E209="","", XLOOKUP(SUMIFS(Prod_Prop!$A:$A,Prod_Prop!$B:$B,$E209,Prod_Prop!$H:$H,U$1,Prod_Prop!$I:$I,"Exacto"),Prod_Prop!$A:$A,Prod_Prop!$J:$J,"",0,1))</f>
        <v/>
      </c>
      <c r="V209" s="4" t="str">
        <f t="array" ref="V209">IF($E209="","", XLOOKUP(SUMIFS(Prod_Prop!$A:$A,Prod_Prop!$B:$B,$E209,Prod_Prop!$H:$H,V$1,Prod_Prop!$I:$I,"Exacto"),Prod_Prop!$A:$A,Prod_Prop!$J:$J,"",0,1))</f>
        <v/>
      </c>
      <c r="X209" s="3" t="str">
        <f>IFERROR(__xludf.DUMMYFUNCTION("IF(D209="""","""",IFERROR(TRANSPOSE(FILTER('Validaciones Cotizador'!U:U,'Validaciones Cotizador'!O:O=D209,'Validaciones Cotizador'!T:T=""x"")),""Finalizar""))"),"")</f>
        <v/>
      </c>
    </row>
    <row r="210">
      <c r="A210" s="2" t="str">
        <f t="array" ref="A210">IF(E210="","",XLOOKUP(D210,'Validaciones Cotizador'!C:C,'Validaciones Cotizador'!A:A,"",0,1))</f>
        <v/>
      </c>
      <c r="B210" s="2" t="str">
        <f t="array" ref="B210">IF(F210="","",XLOOKUP(F210,Productos!E:E,Productos!G:G,"",0,1))</f>
        <v/>
      </c>
      <c r="C210" s="2" t="str">
        <f>IF(A210="","",SUMIFS('Validaciones Cotizador'!B:B,'Validaciones Cotizador'!C:C,D210,'Validaciones Cotizador'!A:A,A210))</f>
        <v/>
      </c>
      <c r="D210" s="4" t="str">
        <f>IFERROR(__xludf.DUMMYFUNCTION("IF(OR(F209=""Finalizar"",F209="""",F209=""Selecciona..""),"""",IF(OR(F209=""-"",INDEX(filter(Familias!F:F,Familias!D:D=A209,Familias!E:E=C209),1)=""O""),D209+1,D209))"),"")</f>
        <v/>
      </c>
      <c r="E210" s="2" t="str">
        <f>IF(OR(F210="",F210="Selecciona.."),"",IF(D210="Implemento",SUMIF(Implementos!B:B,F210,Implementos!A:A),SUMIF(Productos!E:E,F210,Productos!A:A)))</f>
        <v/>
      </c>
      <c r="F210" s="2" t="str">
        <f t="shared" si="2"/>
        <v/>
      </c>
      <c r="G210" s="10" t="str">
        <f t="array" ref="G210">IF(OR(F210="",F210="-",F210="Selecciona..",F210="Finalizar"),"",IF(A210="Rodados",XLOOKUP(B210,'Validaciones Cotizador'!I:I,'Validaciones Cotizador'!J:J,0,0,1),1))</f>
        <v/>
      </c>
      <c r="H210" s="11" t="str">
        <f>IF(OR(F210="",F210="Selecciona.."),"",SUMIF(Precio_Productos!K:K,E210,Precio_Productos!J:J)*G210)</f>
        <v/>
      </c>
      <c r="I210" s="4" t="str">
        <f t="array" ref="I210">IF($E210="","", XLOOKUP(SUMIFS(Prod_Prop!$A:$A,Prod_Prop!$B:$B,$E210,Prod_Prop!$H:$H,I$1,Prod_Prop!$I:$I,"Exacto"),Prod_Prop!$A:$A,Prod_Prop!$J:$J,"",0,1))</f>
        <v/>
      </c>
      <c r="J210" s="4" t="str">
        <f t="array" ref="J210">IF($E210="","", XLOOKUP(SUMIFS(Prod_Prop!$A:$A,Prod_Prop!$B:$B,$E210,Prod_Prop!$H:$H,J$1,Prod_Prop!$I:$I,"Exacto"),Prod_Prop!$A:$A,Prod_Prop!$J:$J,"",0,1))</f>
        <v/>
      </c>
      <c r="K210" s="4" t="str">
        <f t="array" ref="K210">IF($E210="","", XLOOKUP(SUMIFS(Prod_Prop!$A:$A,Prod_Prop!$B:$B,$E210,Prod_Prop!$H:$H,K$1,Prod_Prop!$I:$I,"Exacto"),Prod_Prop!$A:$A,Prod_Prop!$J:$J,"",0,1))</f>
        <v/>
      </c>
      <c r="L210" s="4" t="str">
        <f t="array" ref="L210">IF($E210="","", XLOOKUP(SUMIFS(Prod_Prop!$A:$A,Prod_Prop!$B:$B,$E210,Prod_Prop!$H:$H,L$1,Prod_Prop!$I:$I,"Exacto"),Prod_Prop!$A:$A,Prod_Prop!$J:$J,"",0,1))</f>
        <v/>
      </c>
      <c r="M210" s="4" t="str">
        <f t="array" ref="M210">IF($E210="","", XLOOKUP(SUMIFS(Prod_Prop!$A:$A,Prod_Prop!$B:$B,$E210,Prod_Prop!$H:$H,M$1,Prod_Prop!$I:$I,"Exacto"),Prod_Prop!$A:$A,Prod_Prop!$J:$J,"",0,1))</f>
        <v/>
      </c>
      <c r="N210" s="4" t="str">
        <f t="array" ref="N210">IF($E210="","", XLOOKUP(SUMIFS(Prod_Prop!$A:$A,Prod_Prop!$B:$B,$E210,Prod_Prop!$H:$H,N$1,Prod_Prop!$I:$I,"Exacto"),Prod_Prop!$A:$A,Prod_Prop!$J:$J,"",0,1))</f>
        <v/>
      </c>
      <c r="O210" s="4" t="str">
        <f t="array" ref="O210">IF($E210="","", XLOOKUP(SUMIFS(Prod_Prop!$A:$A,Prod_Prop!$B:$B,$E210,Prod_Prop!$H:$H,O$1,Prod_Prop!$I:$I,"Exacto"),Prod_Prop!$A:$A,Prod_Prop!$J:$J,"",0,1))</f>
        <v/>
      </c>
      <c r="P210" s="4" t="str">
        <f t="array" ref="P210">IF($E210="","", XLOOKUP(SUMIFS(Prod_Prop!$A:$A,Prod_Prop!$B:$B,$E210,Prod_Prop!$H:$H,P$1,Prod_Prop!$I:$I,"Exacto"),Prod_Prop!$A:$A,Prod_Prop!$J:$J,"",0,1))</f>
        <v/>
      </c>
      <c r="Q210" s="4" t="str">
        <f t="array" ref="Q210">IF($E210="","", XLOOKUP(SUMIFS(Prod_Prop!$A:$A,Prod_Prop!$B:$B,$E210,Prod_Prop!$H:$H,Q$1,Prod_Prop!$I:$I,"Exacto"),Prod_Prop!$A:$A,Prod_Prop!$J:$J,"",0,1))</f>
        <v/>
      </c>
      <c r="R210" s="4" t="str">
        <f t="array" ref="R210">IF($E210="","", XLOOKUP(SUMIFS(Prod_Prop!$A:$A,Prod_Prop!$B:$B,$E210,Prod_Prop!$H:$H,R$1,Prod_Prop!$I:$I,"Exacto"),Prod_Prop!$A:$A,Prod_Prop!$J:$J,"",0,1))</f>
        <v/>
      </c>
      <c r="S210" s="4" t="str">
        <f t="array" ref="S210">IF($E210="","", XLOOKUP(SUMIFS(Prod_Prop!$A:$A,Prod_Prop!$B:$B,$E210,Prod_Prop!$H:$H,S$1,Prod_Prop!$I:$I,"Exacto"),Prod_Prop!$A:$A,Prod_Prop!$J:$J,"",0,1))</f>
        <v/>
      </c>
      <c r="T210" s="4" t="str">
        <f t="array" ref="T210">IF($E210="","", XLOOKUP(SUMIFS(Prod_Prop!$A:$A,Prod_Prop!$B:$B,$E210,Prod_Prop!$H:$H,T$1,Prod_Prop!$I:$I,"Exacto"),Prod_Prop!$A:$A,Prod_Prop!$J:$J,"",0,1))</f>
        <v/>
      </c>
      <c r="U210" s="4" t="str">
        <f t="array" ref="U210">IF($E210="","", XLOOKUP(SUMIFS(Prod_Prop!$A:$A,Prod_Prop!$B:$B,$E210,Prod_Prop!$H:$H,U$1,Prod_Prop!$I:$I,"Exacto"),Prod_Prop!$A:$A,Prod_Prop!$J:$J,"",0,1))</f>
        <v/>
      </c>
      <c r="V210" s="4" t="str">
        <f t="array" ref="V210">IF($E210="","", XLOOKUP(SUMIFS(Prod_Prop!$A:$A,Prod_Prop!$B:$B,$E210,Prod_Prop!$H:$H,V$1,Prod_Prop!$I:$I,"Exacto"),Prod_Prop!$A:$A,Prod_Prop!$J:$J,"",0,1))</f>
        <v/>
      </c>
      <c r="X210" s="3" t="str">
        <f>IFERROR(__xludf.DUMMYFUNCTION("IF(D210="""","""",IFERROR(TRANSPOSE(FILTER('Validaciones Cotizador'!U:U,'Validaciones Cotizador'!O:O=D210,'Validaciones Cotizador'!T:T=""x"")),""Finalizar""))"),"")</f>
        <v/>
      </c>
    </row>
    <row r="211">
      <c r="A211" s="2" t="str">
        <f t="array" ref="A211">IF(E211="","",XLOOKUP(D211,'Validaciones Cotizador'!C:C,'Validaciones Cotizador'!A:A,"",0,1))</f>
        <v/>
      </c>
      <c r="B211" s="2" t="str">
        <f t="array" ref="B211">IF(F211="","",XLOOKUP(F211,Productos!E:E,Productos!G:G,"",0,1))</f>
        <v/>
      </c>
      <c r="C211" s="2" t="str">
        <f>IF(A211="","",SUMIFS('Validaciones Cotizador'!B:B,'Validaciones Cotizador'!C:C,D211,'Validaciones Cotizador'!A:A,A211))</f>
        <v/>
      </c>
      <c r="D211" s="4" t="str">
        <f>IFERROR(__xludf.DUMMYFUNCTION("IF(OR(F210=""Finalizar"",F210="""",F210=""Selecciona..""),"""",IF(OR(F210=""-"",INDEX(filter(Familias!F:F,Familias!D:D=A210,Familias!E:E=C210),1)=""O""),D210+1,D210))"),"")</f>
        <v/>
      </c>
      <c r="E211" s="2" t="str">
        <f>IF(OR(F211="",F211="Selecciona.."),"",IF(D211="Implemento",SUMIF(Implementos!B:B,F211,Implementos!A:A),SUMIF(Productos!E:E,F211,Productos!A:A)))</f>
        <v/>
      </c>
      <c r="F211" s="2" t="str">
        <f t="shared" si="2"/>
        <v/>
      </c>
      <c r="G211" s="10" t="str">
        <f t="array" ref="G211">IF(OR(F211="",F211="-",F211="Selecciona..",F211="Finalizar"),"",IF(A211="Rodados",XLOOKUP(B211,'Validaciones Cotizador'!I:I,'Validaciones Cotizador'!J:J,0,0,1),1))</f>
        <v/>
      </c>
      <c r="H211" s="11" t="str">
        <f>IF(OR(F211="",F211="Selecciona.."),"",SUMIF(Precio_Productos!K:K,E211,Precio_Productos!J:J)*G211)</f>
        <v/>
      </c>
      <c r="I211" s="4" t="str">
        <f t="array" ref="I211">IF($E211="","", XLOOKUP(SUMIFS(Prod_Prop!$A:$A,Prod_Prop!$B:$B,$E211,Prod_Prop!$H:$H,I$1,Prod_Prop!$I:$I,"Exacto"),Prod_Prop!$A:$A,Prod_Prop!$J:$J,"",0,1))</f>
        <v/>
      </c>
      <c r="J211" s="4" t="str">
        <f t="array" ref="J211">IF($E211="","", XLOOKUP(SUMIFS(Prod_Prop!$A:$A,Prod_Prop!$B:$B,$E211,Prod_Prop!$H:$H,J$1,Prod_Prop!$I:$I,"Exacto"),Prod_Prop!$A:$A,Prod_Prop!$J:$J,"",0,1))</f>
        <v/>
      </c>
      <c r="K211" s="4" t="str">
        <f t="array" ref="K211">IF($E211="","", XLOOKUP(SUMIFS(Prod_Prop!$A:$A,Prod_Prop!$B:$B,$E211,Prod_Prop!$H:$H,K$1,Prod_Prop!$I:$I,"Exacto"),Prod_Prop!$A:$A,Prod_Prop!$J:$J,"",0,1))</f>
        <v/>
      </c>
      <c r="L211" s="4" t="str">
        <f t="array" ref="L211">IF($E211="","", XLOOKUP(SUMIFS(Prod_Prop!$A:$A,Prod_Prop!$B:$B,$E211,Prod_Prop!$H:$H,L$1,Prod_Prop!$I:$I,"Exacto"),Prod_Prop!$A:$A,Prod_Prop!$J:$J,"",0,1))</f>
        <v/>
      </c>
      <c r="M211" s="4" t="str">
        <f t="array" ref="M211">IF($E211="","", XLOOKUP(SUMIFS(Prod_Prop!$A:$A,Prod_Prop!$B:$B,$E211,Prod_Prop!$H:$H,M$1,Prod_Prop!$I:$I,"Exacto"),Prod_Prop!$A:$A,Prod_Prop!$J:$J,"",0,1))</f>
        <v/>
      </c>
      <c r="N211" s="4" t="str">
        <f t="array" ref="N211">IF($E211="","", XLOOKUP(SUMIFS(Prod_Prop!$A:$A,Prod_Prop!$B:$B,$E211,Prod_Prop!$H:$H,N$1,Prod_Prop!$I:$I,"Exacto"),Prod_Prop!$A:$A,Prod_Prop!$J:$J,"",0,1))</f>
        <v/>
      </c>
      <c r="O211" s="4" t="str">
        <f t="array" ref="O211">IF($E211="","", XLOOKUP(SUMIFS(Prod_Prop!$A:$A,Prod_Prop!$B:$B,$E211,Prod_Prop!$H:$H,O$1,Prod_Prop!$I:$I,"Exacto"),Prod_Prop!$A:$A,Prod_Prop!$J:$J,"",0,1))</f>
        <v/>
      </c>
      <c r="P211" s="4" t="str">
        <f t="array" ref="P211">IF($E211="","", XLOOKUP(SUMIFS(Prod_Prop!$A:$A,Prod_Prop!$B:$B,$E211,Prod_Prop!$H:$H,P$1,Prod_Prop!$I:$I,"Exacto"),Prod_Prop!$A:$A,Prod_Prop!$J:$J,"",0,1))</f>
        <v/>
      </c>
      <c r="Q211" s="4" t="str">
        <f t="array" ref="Q211">IF($E211="","", XLOOKUP(SUMIFS(Prod_Prop!$A:$A,Prod_Prop!$B:$B,$E211,Prod_Prop!$H:$H,Q$1,Prod_Prop!$I:$I,"Exacto"),Prod_Prop!$A:$A,Prod_Prop!$J:$J,"",0,1))</f>
        <v/>
      </c>
      <c r="R211" s="4" t="str">
        <f t="array" ref="R211">IF($E211="","", XLOOKUP(SUMIFS(Prod_Prop!$A:$A,Prod_Prop!$B:$B,$E211,Prod_Prop!$H:$H,R$1,Prod_Prop!$I:$I,"Exacto"),Prod_Prop!$A:$A,Prod_Prop!$J:$J,"",0,1))</f>
        <v/>
      </c>
      <c r="S211" s="4" t="str">
        <f t="array" ref="S211">IF($E211="","", XLOOKUP(SUMIFS(Prod_Prop!$A:$A,Prod_Prop!$B:$B,$E211,Prod_Prop!$H:$H,S$1,Prod_Prop!$I:$I,"Exacto"),Prod_Prop!$A:$A,Prod_Prop!$J:$J,"",0,1))</f>
        <v/>
      </c>
      <c r="T211" s="4" t="str">
        <f t="array" ref="T211">IF($E211="","", XLOOKUP(SUMIFS(Prod_Prop!$A:$A,Prod_Prop!$B:$B,$E211,Prod_Prop!$H:$H,T$1,Prod_Prop!$I:$I,"Exacto"),Prod_Prop!$A:$A,Prod_Prop!$J:$J,"",0,1))</f>
        <v/>
      </c>
      <c r="U211" s="4" t="str">
        <f t="array" ref="U211">IF($E211="","", XLOOKUP(SUMIFS(Prod_Prop!$A:$A,Prod_Prop!$B:$B,$E211,Prod_Prop!$H:$H,U$1,Prod_Prop!$I:$I,"Exacto"),Prod_Prop!$A:$A,Prod_Prop!$J:$J,"",0,1))</f>
        <v/>
      </c>
      <c r="V211" s="4" t="str">
        <f t="array" ref="V211">IF($E211="","", XLOOKUP(SUMIFS(Prod_Prop!$A:$A,Prod_Prop!$B:$B,$E211,Prod_Prop!$H:$H,V$1,Prod_Prop!$I:$I,"Exacto"),Prod_Prop!$A:$A,Prod_Prop!$J:$J,"",0,1))</f>
        <v/>
      </c>
      <c r="X211" s="3" t="str">
        <f>IFERROR(__xludf.DUMMYFUNCTION("IF(D211="""","""",IFERROR(TRANSPOSE(FILTER('Validaciones Cotizador'!U:U,'Validaciones Cotizador'!O:O=D211,'Validaciones Cotizador'!T:T=""x"")),""Finalizar""))"),"")</f>
        <v/>
      </c>
    </row>
    <row r="212">
      <c r="A212" s="2" t="str">
        <f t="array" ref="A212">IF(E212="","",XLOOKUP(D212,'Validaciones Cotizador'!C:C,'Validaciones Cotizador'!A:A,"",0,1))</f>
        <v/>
      </c>
      <c r="B212" s="2" t="str">
        <f t="array" ref="B212">IF(F212="","",XLOOKUP(F212,Productos!E:E,Productos!G:G,"",0,1))</f>
        <v/>
      </c>
      <c r="C212" s="2" t="str">
        <f>IF(A212="","",SUMIFS('Validaciones Cotizador'!B:B,'Validaciones Cotizador'!C:C,D212,'Validaciones Cotizador'!A:A,A212))</f>
        <v/>
      </c>
      <c r="D212" s="4" t="str">
        <f>IFERROR(__xludf.DUMMYFUNCTION("IF(OR(F211=""Finalizar"",F211="""",F211=""Selecciona..""),"""",IF(OR(F211=""-"",INDEX(filter(Familias!F:F,Familias!D:D=A211,Familias!E:E=C211),1)=""O""),D211+1,D211))"),"")</f>
        <v/>
      </c>
      <c r="E212" s="2" t="str">
        <f>IF(OR(F212="",F212="Selecciona.."),"",IF(D212="Implemento",SUMIF(Implementos!B:B,F212,Implementos!A:A),SUMIF(Productos!E:E,F212,Productos!A:A)))</f>
        <v/>
      </c>
      <c r="F212" s="2" t="str">
        <f t="shared" si="2"/>
        <v/>
      </c>
      <c r="G212" s="10" t="str">
        <f t="array" ref="G212">IF(OR(F212="",F212="-",F212="Selecciona..",F212="Finalizar"),"",IF(A212="Rodados",XLOOKUP(B212,'Validaciones Cotizador'!I:I,'Validaciones Cotizador'!J:J,0,0,1),1))</f>
        <v/>
      </c>
      <c r="H212" s="11" t="str">
        <f>IF(OR(F212="",F212="Selecciona.."),"",SUMIF(Precio_Productos!K:K,E212,Precio_Productos!J:J)*G212)</f>
        <v/>
      </c>
      <c r="I212" s="4" t="str">
        <f t="array" ref="I212">IF($E212="","", XLOOKUP(SUMIFS(Prod_Prop!$A:$A,Prod_Prop!$B:$B,$E212,Prod_Prop!$H:$H,I$1,Prod_Prop!$I:$I,"Exacto"),Prod_Prop!$A:$A,Prod_Prop!$J:$J,"",0,1))</f>
        <v/>
      </c>
      <c r="J212" s="4" t="str">
        <f t="array" ref="J212">IF($E212="","", XLOOKUP(SUMIFS(Prod_Prop!$A:$A,Prod_Prop!$B:$B,$E212,Prod_Prop!$H:$H,J$1,Prod_Prop!$I:$I,"Exacto"),Prod_Prop!$A:$A,Prod_Prop!$J:$J,"",0,1))</f>
        <v/>
      </c>
      <c r="K212" s="4" t="str">
        <f t="array" ref="K212">IF($E212="","", XLOOKUP(SUMIFS(Prod_Prop!$A:$A,Prod_Prop!$B:$B,$E212,Prod_Prop!$H:$H,K$1,Prod_Prop!$I:$I,"Exacto"),Prod_Prop!$A:$A,Prod_Prop!$J:$J,"",0,1))</f>
        <v/>
      </c>
      <c r="L212" s="4" t="str">
        <f t="array" ref="L212">IF($E212="","", XLOOKUP(SUMIFS(Prod_Prop!$A:$A,Prod_Prop!$B:$B,$E212,Prod_Prop!$H:$H,L$1,Prod_Prop!$I:$I,"Exacto"),Prod_Prop!$A:$A,Prod_Prop!$J:$J,"",0,1))</f>
        <v/>
      </c>
      <c r="M212" s="4" t="str">
        <f t="array" ref="M212">IF($E212="","", XLOOKUP(SUMIFS(Prod_Prop!$A:$A,Prod_Prop!$B:$B,$E212,Prod_Prop!$H:$H,M$1,Prod_Prop!$I:$I,"Exacto"),Prod_Prop!$A:$A,Prod_Prop!$J:$J,"",0,1))</f>
        <v/>
      </c>
      <c r="N212" s="4" t="str">
        <f t="array" ref="N212">IF($E212="","", XLOOKUP(SUMIFS(Prod_Prop!$A:$A,Prod_Prop!$B:$B,$E212,Prod_Prop!$H:$H,N$1,Prod_Prop!$I:$I,"Exacto"),Prod_Prop!$A:$A,Prod_Prop!$J:$J,"",0,1))</f>
        <v/>
      </c>
      <c r="O212" s="4" t="str">
        <f t="array" ref="O212">IF($E212="","", XLOOKUP(SUMIFS(Prod_Prop!$A:$A,Prod_Prop!$B:$B,$E212,Prod_Prop!$H:$H,O$1,Prod_Prop!$I:$I,"Exacto"),Prod_Prop!$A:$A,Prod_Prop!$J:$J,"",0,1))</f>
        <v/>
      </c>
      <c r="P212" s="4" t="str">
        <f t="array" ref="P212">IF($E212="","", XLOOKUP(SUMIFS(Prod_Prop!$A:$A,Prod_Prop!$B:$B,$E212,Prod_Prop!$H:$H,P$1,Prod_Prop!$I:$I,"Exacto"),Prod_Prop!$A:$A,Prod_Prop!$J:$J,"",0,1))</f>
        <v/>
      </c>
      <c r="Q212" s="4" t="str">
        <f t="array" ref="Q212">IF($E212="","", XLOOKUP(SUMIFS(Prod_Prop!$A:$A,Prod_Prop!$B:$B,$E212,Prod_Prop!$H:$H,Q$1,Prod_Prop!$I:$I,"Exacto"),Prod_Prop!$A:$A,Prod_Prop!$J:$J,"",0,1))</f>
        <v/>
      </c>
      <c r="R212" s="4" t="str">
        <f t="array" ref="R212">IF($E212="","", XLOOKUP(SUMIFS(Prod_Prop!$A:$A,Prod_Prop!$B:$B,$E212,Prod_Prop!$H:$H,R$1,Prod_Prop!$I:$I,"Exacto"),Prod_Prop!$A:$A,Prod_Prop!$J:$J,"",0,1))</f>
        <v/>
      </c>
      <c r="S212" s="4" t="str">
        <f t="array" ref="S212">IF($E212="","", XLOOKUP(SUMIFS(Prod_Prop!$A:$A,Prod_Prop!$B:$B,$E212,Prod_Prop!$H:$H,S$1,Prod_Prop!$I:$I,"Exacto"),Prod_Prop!$A:$A,Prod_Prop!$J:$J,"",0,1))</f>
        <v/>
      </c>
      <c r="T212" s="4" t="str">
        <f t="array" ref="T212">IF($E212="","", XLOOKUP(SUMIFS(Prod_Prop!$A:$A,Prod_Prop!$B:$B,$E212,Prod_Prop!$H:$H,T$1,Prod_Prop!$I:$I,"Exacto"),Prod_Prop!$A:$A,Prod_Prop!$J:$J,"",0,1))</f>
        <v/>
      </c>
      <c r="U212" s="4" t="str">
        <f t="array" ref="U212">IF($E212="","", XLOOKUP(SUMIFS(Prod_Prop!$A:$A,Prod_Prop!$B:$B,$E212,Prod_Prop!$H:$H,U$1,Prod_Prop!$I:$I,"Exacto"),Prod_Prop!$A:$A,Prod_Prop!$J:$J,"",0,1))</f>
        <v/>
      </c>
      <c r="V212" s="4" t="str">
        <f t="array" ref="V212">IF($E212="","", XLOOKUP(SUMIFS(Prod_Prop!$A:$A,Prod_Prop!$B:$B,$E212,Prod_Prop!$H:$H,V$1,Prod_Prop!$I:$I,"Exacto"),Prod_Prop!$A:$A,Prod_Prop!$J:$J,"",0,1))</f>
        <v/>
      </c>
      <c r="X212" s="3" t="str">
        <f>IFERROR(__xludf.DUMMYFUNCTION("IF(D212="""","""",IFERROR(TRANSPOSE(FILTER('Validaciones Cotizador'!U:U,'Validaciones Cotizador'!O:O=D212,'Validaciones Cotizador'!T:T=""x"")),""Finalizar""))"),"")</f>
        <v/>
      </c>
    </row>
    <row r="213">
      <c r="A213" s="2" t="str">
        <f t="array" ref="A213">IF(E213="","",XLOOKUP(D213,'Validaciones Cotizador'!C:C,'Validaciones Cotizador'!A:A,"",0,1))</f>
        <v/>
      </c>
      <c r="B213" s="2" t="str">
        <f t="array" ref="B213">IF(F213="","",XLOOKUP(F213,Productos!E:E,Productos!G:G,"",0,1))</f>
        <v/>
      </c>
      <c r="C213" s="2" t="str">
        <f>IF(A213="","",SUMIFS('Validaciones Cotizador'!B:B,'Validaciones Cotizador'!C:C,D213,'Validaciones Cotizador'!A:A,A213))</f>
        <v/>
      </c>
      <c r="D213" s="4" t="str">
        <f>IFERROR(__xludf.DUMMYFUNCTION("IF(OR(F212=""Finalizar"",F212="""",F212=""Selecciona..""),"""",IF(OR(F212=""-"",INDEX(filter(Familias!F:F,Familias!D:D=A212,Familias!E:E=C212),1)=""O""),D212+1,D212))"),"")</f>
        <v/>
      </c>
      <c r="E213" s="2" t="str">
        <f>IF(OR(F213="",F213="Selecciona.."),"",IF(D213="Implemento",SUMIF(Implementos!B:B,F213,Implementos!A:A),SUMIF(Productos!E:E,F213,Productos!A:A)))</f>
        <v/>
      </c>
      <c r="F213" s="2" t="str">
        <f t="shared" si="2"/>
        <v/>
      </c>
      <c r="G213" s="10" t="str">
        <f t="array" ref="G213">IF(OR(F213="",F213="-",F213="Selecciona..",F213="Finalizar"),"",IF(A213="Rodados",XLOOKUP(B213,'Validaciones Cotizador'!I:I,'Validaciones Cotizador'!J:J,0,0,1),1))</f>
        <v/>
      </c>
      <c r="H213" s="11" t="str">
        <f>IF(OR(F213="",F213="Selecciona.."),"",SUMIF(Precio_Productos!K:K,E213,Precio_Productos!J:J)*G213)</f>
        <v/>
      </c>
      <c r="I213" s="4" t="str">
        <f t="array" ref="I213">IF($E213="","", XLOOKUP(SUMIFS(Prod_Prop!$A:$A,Prod_Prop!$B:$B,$E213,Prod_Prop!$H:$H,I$1,Prod_Prop!$I:$I,"Exacto"),Prod_Prop!$A:$A,Prod_Prop!$J:$J,"",0,1))</f>
        <v/>
      </c>
      <c r="J213" s="4" t="str">
        <f t="array" ref="J213">IF($E213="","", XLOOKUP(SUMIFS(Prod_Prop!$A:$A,Prod_Prop!$B:$B,$E213,Prod_Prop!$H:$H,J$1,Prod_Prop!$I:$I,"Exacto"),Prod_Prop!$A:$A,Prod_Prop!$J:$J,"",0,1))</f>
        <v/>
      </c>
      <c r="K213" s="4" t="str">
        <f t="array" ref="K213">IF($E213="","", XLOOKUP(SUMIFS(Prod_Prop!$A:$A,Prod_Prop!$B:$B,$E213,Prod_Prop!$H:$H,K$1,Prod_Prop!$I:$I,"Exacto"),Prod_Prop!$A:$A,Prod_Prop!$J:$J,"",0,1))</f>
        <v/>
      </c>
      <c r="L213" s="4" t="str">
        <f t="array" ref="L213">IF($E213="","", XLOOKUP(SUMIFS(Prod_Prop!$A:$A,Prod_Prop!$B:$B,$E213,Prod_Prop!$H:$H,L$1,Prod_Prop!$I:$I,"Exacto"),Prod_Prop!$A:$A,Prod_Prop!$J:$J,"",0,1))</f>
        <v/>
      </c>
      <c r="M213" s="4" t="str">
        <f t="array" ref="M213">IF($E213="","", XLOOKUP(SUMIFS(Prod_Prop!$A:$A,Prod_Prop!$B:$B,$E213,Prod_Prop!$H:$H,M$1,Prod_Prop!$I:$I,"Exacto"),Prod_Prop!$A:$A,Prod_Prop!$J:$J,"",0,1))</f>
        <v/>
      </c>
      <c r="N213" s="4" t="str">
        <f t="array" ref="N213">IF($E213="","", XLOOKUP(SUMIFS(Prod_Prop!$A:$A,Prod_Prop!$B:$B,$E213,Prod_Prop!$H:$H,N$1,Prod_Prop!$I:$I,"Exacto"),Prod_Prop!$A:$A,Prod_Prop!$J:$J,"",0,1))</f>
        <v/>
      </c>
      <c r="O213" s="4" t="str">
        <f t="array" ref="O213">IF($E213="","", XLOOKUP(SUMIFS(Prod_Prop!$A:$A,Prod_Prop!$B:$B,$E213,Prod_Prop!$H:$H,O$1,Prod_Prop!$I:$I,"Exacto"),Prod_Prop!$A:$A,Prod_Prop!$J:$J,"",0,1))</f>
        <v/>
      </c>
      <c r="P213" s="4" t="str">
        <f t="array" ref="P213">IF($E213="","", XLOOKUP(SUMIFS(Prod_Prop!$A:$A,Prod_Prop!$B:$B,$E213,Prod_Prop!$H:$H,P$1,Prod_Prop!$I:$I,"Exacto"),Prod_Prop!$A:$A,Prod_Prop!$J:$J,"",0,1))</f>
        <v/>
      </c>
      <c r="Q213" s="4" t="str">
        <f t="array" ref="Q213">IF($E213="","", XLOOKUP(SUMIFS(Prod_Prop!$A:$A,Prod_Prop!$B:$B,$E213,Prod_Prop!$H:$H,Q$1,Prod_Prop!$I:$I,"Exacto"),Prod_Prop!$A:$A,Prod_Prop!$J:$J,"",0,1))</f>
        <v/>
      </c>
      <c r="R213" s="4" t="str">
        <f t="array" ref="R213">IF($E213="","", XLOOKUP(SUMIFS(Prod_Prop!$A:$A,Prod_Prop!$B:$B,$E213,Prod_Prop!$H:$H,R$1,Prod_Prop!$I:$I,"Exacto"),Prod_Prop!$A:$A,Prod_Prop!$J:$J,"",0,1))</f>
        <v/>
      </c>
      <c r="S213" s="4" t="str">
        <f t="array" ref="S213">IF($E213="","", XLOOKUP(SUMIFS(Prod_Prop!$A:$A,Prod_Prop!$B:$B,$E213,Prod_Prop!$H:$H,S$1,Prod_Prop!$I:$I,"Exacto"),Prod_Prop!$A:$A,Prod_Prop!$J:$J,"",0,1))</f>
        <v/>
      </c>
      <c r="T213" s="4" t="str">
        <f t="array" ref="T213">IF($E213="","", XLOOKUP(SUMIFS(Prod_Prop!$A:$A,Prod_Prop!$B:$B,$E213,Prod_Prop!$H:$H,T$1,Prod_Prop!$I:$I,"Exacto"),Prod_Prop!$A:$A,Prod_Prop!$J:$J,"",0,1))</f>
        <v/>
      </c>
      <c r="U213" s="4" t="str">
        <f t="array" ref="U213">IF($E213="","", XLOOKUP(SUMIFS(Prod_Prop!$A:$A,Prod_Prop!$B:$B,$E213,Prod_Prop!$H:$H,U$1,Prod_Prop!$I:$I,"Exacto"),Prod_Prop!$A:$A,Prod_Prop!$J:$J,"",0,1))</f>
        <v/>
      </c>
      <c r="V213" s="4" t="str">
        <f t="array" ref="V213">IF($E213="","", XLOOKUP(SUMIFS(Prod_Prop!$A:$A,Prod_Prop!$B:$B,$E213,Prod_Prop!$H:$H,V$1,Prod_Prop!$I:$I,"Exacto"),Prod_Prop!$A:$A,Prod_Prop!$J:$J,"",0,1))</f>
        <v/>
      </c>
      <c r="X213" s="3" t="str">
        <f>IFERROR(__xludf.DUMMYFUNCTION("IF(D213="""","""",IFERROR(TRANSPOSE(FILTER('Validaciones Cotizador'!U:U,'Validaciones Cotizador'!O:O=D213,'Validaciones Cotizador'!T:T=""x"")),""Finalizar""))"),"")</f>
        <v/>
      </c>
    </row>
    <row r="214">
      <c r="A214" s="2" t="str">
        <f t="array" ref="A214">IF(E214="","",XLOOKUP(D214,'Validaciones Cotizador'!C:C,'Validaciones Cotizador'!A:A,"",0,1))</f>
        <v/>
      </c>
      <c r="B214" s="2" t="str">
        <f t="array" ref="B214">IF(F214="","",XLOOKUP(F214,Productos!E:E,Productos!G:G,"",0,1))</f>
        <v/>
      </c>
      <c r="C214" s="2" t="str">
        <f>IF(A214="","",SUMIFS('Validaciones Cotizador'!B:B,'Validaciones Cotizador'!C:C,D214,'Validaciones Cotizador'!A:A,A214))</f>
        <v/>
      </c>
      <c r="D214" s="4" t="str">
        <f>IFERROR(__xludf.DUMMYFUNCTION("IF(OR(F213=""Finalizar"",F213="""",F213=""Selecciona..""),"""",IF(OR(F213=""-"",INDEX(filter(Familias!F:F,Familias!D:D=A213,Familias!E:E=C213),1)=""O""),D213+1,D213))"),"")</f>
        <v/>
      </c>
      <c r="E214" s="2" t="str">
        <f>IF(OR(F214="",F214="Selecciona.."),"",IF(D214="Implemento",SUMIF(Implementos!B:B,F214,Implementos!A:A),SUMIF(Productos!E:E,F214,Productos!A:A)))</f>
        <v/>
      </c>
      <c r="F214" s="2" t="str">
        <f t="shared" si="2"/>
        <v/>
      </c>
      <c r="G214" s="10" t="str">
        <f t="array" ref="G214">IF(OR(F214="",F214="-",F214="Selecciona..",F214="Finalizar"),"",IF(A214="Rodados",XLOOKUP(B214,'Validaciones Cotizador'!I:I,'Validaciones Cotizador'!J:J,0,0,1),1))</f>
        <v/>
      </c>
      <c r="H214" s="11" t="str">
        <f>IF(OR(F214="",F214="Selecciona.."),"",SUMIF(Precio_Productos!K:K,E214,Precio_Productos!J:J)*G214)</f>
        <v/>
      </c>
      <c r="I214" s="4" t="str">
        <f t="array" ref="I214">IF($E214="","", XLOOKUP(SUMIFS(Prod_Prop!$A:$A,Prod_Prop!$B:$B,$E214,Prod_Prop!$H:$H,I$1,Prod_Prop!$I:$I,"Exacto"),Prod_Prop!$A:$A,Prod_Prop!$J:$J,"",0,1))</f>
        <v/>
      </c>
      <c r="J214" s="4" t="str">
        <f t="array" ref="J214">IF($E214="","", XLOOKUP(SUMIFS(Prod_Prop!$A:$A,Prod_Prop!$B:$B,$E214,Prod_Prop!$H:$H,J$1,Prod_Prop!$I:$I,"Exacto"),Prod_Prop!$A:$A,Prod_Prop!$J:$J,"",0,1))</f>
        <v/>
      </c>
      <c r="K214" s="4" t="str">
        <f t="array" ref="K214">IF($E214="","", XLOOKUP(SUMIFS(Prod_Prop!$A:$A,Prod_Prop!$B:$B,$E214,Prod_Prop!$H:$H,K$1,Prod_Prop!$I:$I,"Exacto"),Prod_Prop!$A:$A,Prod_Prop!$J:$J,"",0,1))</f>
        <v/>
      </c>
      <c r="L214" s="4" t="str">
        <f t="array" ref="L214">IF($E214="","", XLOOKUP(SUMIFS(Prod_Prop!$A:$A,Prod_Prop!$B:$B,$E214,Prod_Prop!$H:$H,L$1,Prod_Prop!$I:$I,"Exacto"),Prod_Prop!$A:$A,Prod_Prop!$J:$J,"",0,1))</f>
        <v/>
      </c>
      <c r="M214" s="4" t="str">
        <f t="array" ref="M214">IF($E214="","", XLOOKUP(SUMIFS(Prod_Prop!$A:$A,Prod_Prop!$B:$B,$E214,Prod_Prop!$H:$H,M$1,Prod_Prop!$I:$I,"Exacto"),Prod_Prop!$A:$A,Prod_Prop!$J:$J,"",0,1))</f>
        <v/>
      </c>
      <c r="N214" s="4" t="str">
        <f t="array" ref="N214">IF($E214="","", XLOOKUP(SUMIFS(Prod_Prop!$A:$A,Prod_Prop!$B:$B,$E214,Prod_Prop!$H:$H,N$1,Prod_Prop!$I:$I,"Exacto"),Prod_Prop!$A:$A,Prod_Prop!$J:$J,"",0,1))</f>
        <v/>
      </c>
      <c r="O214" s="4" t="str">
        <f t="array" ref="O214">IF($E214="","", XLOOKUP(SUMIFS(Prod_Prop!$A:$A,Prod_Prop!$B:$B,$E214,Prod_Prop!$H:$H,O$1,Prod_Prop!$I:$I,"Exacto"),Prod_Prop!$A:$A,Prod_Prop!$J:$J,"",0,1))</f>
        <v/>
      </c>
      <c r="P214" s="4" t="str">
        <f t="array" ref="P214">IF($E214="","", XLOOKUP(SUMIFS(Prod_Prop!$A:$A,Prod_Prop!$B:$B,$E214,Prod_Prop!$H:$H,P$1,Prod_Prop!$I:$I,"Exacto"),Prod_Prop!$A:$A,Prod_Prop!$J:$J,"",0,1))</f>
        <v/>
      </c>
      <c r="Q214" s="4" t="str">
        <f t="array" ref="Q214">IF($E214="","", XLOOKUP(SUMIFS(Prod_Prop!$A:$A,Prod_Prop!$B:$B,$E214,Prod_Prop!$H:$H,Q$1,Prod_Prop!$I:$I,"Exacto"),Prod_Prop!$A:$A,Prod_Prop!$J:$J,"",0,1))</f>
        <v/>
      </c>
      <c r="R214" s="4" t="str">
        <f t="array" ref="R214">IF($E214="","", XLOOKUP(SUMIFS(Prod_Prop!$A:$A,Prod_Prop!$B:$B,$E214,Prod_Prop!$H:$H,R$1,Prod_Prop!$I:$I,"Exacto"),Prod_Prop!$A:$A,Prod_Prop!$J:$J,"",0,1))</f>
        <v/>
      </c>
      <c r="S214" s="4" t="str">
        <f t="array" ref="S214">IF($E214="","", XLOOKUP(SUMIFS(Prod_Prop!$A:$A,Prod_Prop!$B:$B,$E214,Prod_Prop!$H:$H,S$1,Prod_Prop!$I:$I,"Exacto"),Prod_Prop!$A:$A,Prod_Prop!$J:$J,"",0,1))</f>
        <v/>
      </c>
      <c r="T214" s="4" t="str">
        <f t="array" ref="T214">IF($E214="","", XLOOKUP(SUMIFS(Prod_Prop!$A:$A,Prod_Prop!$B:$B,$E214,Prod_Prop!$H:$H,T$1,Prod_Prop!$I:$I,"Exacto"),Prod_Prop!$A:$A,Prod_Prop!$J:$J,"",0,1))</f>
        <v/>
      </c>
      <c r="U214" s="4" t="str">
        <f t="array" ref="U214">IF($E214="","", XLOOKUP(SUMIFS(Prod_Prop!$A:$A,Prod_Prop!$B:$B,$E214,Prod_Prop!$H:$H,U$1,Prod_Prop!$I:$I,"Exacto"),Prod_Prop!$A:$A,Prod_Prop!$J:$J,"",0,1))</f>
        <v/>
      </c>
      <c r="V214" s="4" t="str">
        <f t="array" ref="V214">IF($E214="","", XLOOKUP(SUMIFS(Prod_Prop!$A:$A,Prod_Prop!$B:$B,$E214,Prod_Prop!$H:$H,V$1,Prod_Prop!$I:$I,"Exacto"),Prod_Prop!$A:$A,Prod_Prop!$J:$J,"",0,1))</f>
        <v/>
      </c>
      <c r="X214" s="3" t="str">
        <f>IFERROR(__xludf.DUMMYFUNCTION("IF(D214="""","""",IFERROR(TRANSPOSE(FILTER('Validaciones Cotizador'!U:U,'Validaciones Cotizador'!O:O=D214,'Validaciones Cotizador'!T:T=""x"")),""Finalizar""))"),"")</f>
        <v/>
      </c>
    </row>
    <row r="215">
      <c r="A215" s="2" t="str">
        <f t="array" ref="A215">IF(E215="","",XLOOKUP(D215,'Validaciones Cotizador'!C:C,'Validaciones Cotizador'!A:A,"",0,1))</f>
        <v/>
      </c>
      <c r="B215" s="2" t="str">
        <f t="array" ref="B215">IF(F215="","",XLOOKUP(F215,Productos!E:E,Productos!G:G,"",0,1))</f>
        <v/>
      </c>
      <c r="C215" s="2" t="str">
        <f>IF(A215="","",SUMIFS('Validaciones Cotizador'!B:B,'Validaciones Cotizador'!C:C,D215,'Validaciones Cotizador'!A:A,A215))</f>
        <v/>
      </c>
      <c r="D215" s="4" t="str">
        <f>IFERROR(__xludf.DUMMYFUNCTION("IF(OR(F214=""Finalizar"",F214="""",F214=""Selecciona..""),"""",IF(OR(F214=""-"",INDEX(filter(Familias!F:F,Familias!D:D=A214,Familias!E:E=C214),1)=""O""),D214+1,D214))"),"")</f>
        <v/>
      </c>
      <c r="E215" s="2" t="str">
        <f>IF(OR(F215="",F215="Selecciona.."),"",IF(D215="Implemento",SUMIF(Implementos!B:B,F215,Implementos!A:A),SUMIF(Productos!E:E,F215,Productos!A:A)))</f>
        <v/>
      </c>
      <c r="F215" s="2" t="str">
        <f t="shared" si="2"/>
        <v/>
      </c>
      <c r="G215" s="10" t="str">
        <f t="array" ref="G215">IF(OR(F215="",F215="-",F215="Selecciona..",F215="Finalizar"),"",IF(A215="Rodados",XLOOKUP(B215,'Validaciones Cotizador'!I:I,'Validaciones Cotizador'!J:J,0,0,1),1))</f>
        <v/>
      </c>
      <c r="H215" s="11" t="str">
        <f>IF(OR(F215="",F215="Selecciona.."),"",SUMIF(Precio_Productos!K:K,E215,Precio_Productos!J:J)*G215)</f>
        <v/>
      </c>
      <c r="I215" s="4" t="str">
        <f t="array" ref="I215">IF($E215="","", XLOOKUP(SUMIFS(Prod_Prop!$A:$A,Prod_Prop!$B:$B,$E215,Prod_Prop!$H:$H,I$1,Prod_Prop!$I:$I,"Exacto"),Prod_Prop!$A:$A,Prod_Prop!$J:$J,"",0,1))</f>
        <v/>
      </c>
      <c r="J215" s="4" t="str">
        <f t="array" ref="J215">IF($E215="","", XLOOKUP(SUMIFS(Prod_Prop!$A:$A,Prod_Prop!$B:$B,$E215,Prod_Prop!$H:$H,J$1,Prod_Prop!$I:$I,"Exacto"),Prod_Prop!$A:$A,Prod_Prop!$J:$J,"",0,1))</f>
        <v/>
      </c>
      <c r="K215" s="4" t="str">
        <f t="array" ref="K215">IF($E215="","", XLOOKUP(SUMIFS(Prod_Prop!$A:$A,Prod_Prop!$B:$B,$E215,Prod_Prop!$H:$H,K$1,Prod_Prop!$I:$I,"Exacto"),Prod_Prop!$A:$A,Prod_Prop!$J:$J,"",0,1))</f>
        <v/>
      </c>
      <c r="L215" s="4" t="str">
        <f t="array" ref="L215">IF($E215="","", XLOOKUP(SUMIFS(Prod_Prop!$A:$A,Prod_Prop!$B:$B,$E215,Prod_Prop!$H:$H,L$1,Prod_Prop!$I:$I,"Exacto"),Prod_Prop!$A:$A,Prod_Prop!$J:$J,"",0,1))</f>
        <v/>
      </c>
      <c r="M215" s="4" t="str">
        <f t="array" ref="M215">IF($E215="","", XLOOKUP(SUMIFS(Prod_Prop!$A:$A,Prod_Prop!$B:$B,$E215,Prod_Prop!$H:$H,M$1,Prod_Prop!$I:$I,"Exacto"),Prod_Prop!$A:$A,Prod_Prop!$J:$J,"",0,1))</f>
        <v/>
      </c>
      <c r="N215" s="4" t="str">
        <f t="array" ref="N215">IF($E215="","", XLOOKUP(SUMIFS(Prod_Prop!$A:$A,Prod_Prop!$B:$B,$E215,Prod_Prop!$H:$H,N$1,Prod_Prop!$I:$I,"Exacto"),Prod_Prop!$A:$A,Prod_Prop!$J:$J,"",0,1))</f>
        <v/>
      </c>
      <c r="O215" s="4" t="str">
        <f t="array" ref="O215">IF($E215="","", XLOOKUP(SUMIFS(Prod_Prop!$A:$A,Prod_Prop!$B:$B,$E215,Prod_Prop!$H:$H,O$1,Prod_Prop!$I:$I,"Exacto"),Prod_Prop!$A:$A,Prod_Prop!$J:$J,"",0,1))</f>
        <v/>
      </c>
      <c r="P215" s="4" t="str">
        <f t="array" ref="P215">IF($E215="","", XLOOKUP(SUMIFS(Prod_Prop!$A:$A,Prod_Prop!$B:$B,$E215,Prod_Prop!$H:$H,P$1,Prod_Prop!$I:$I,"Exacto"),Prod_Prop!$A:$A,Prod_Prop!$J:$J,"",0,1))</f>
        <v/>
      </c>
      <c r="Q215" s="4" t="str">
        <f t="array" ref="Q215">IF($E215="","", XLOOKUP(SUMIFS(Prod_Prop!$A:$A,Prod_Prop!$B:$B,$E215,Prod_Prop!$H:$H,Q$1,Prod_Prop!$I:$I,"Exacto"),Prod_Prop!$A:$A,Prod_Prop!$J:$J,"",0,1))</f>
        <v/>
      </c>
      <c r="R215" s="4" t="str">
        <f t="array" ref="R215">IF($E215="","", XLOOKUP(SUMIFS(Prod_Prop!$A:$A,Prod_Prop!$B:$B,$E215,Prod_Prop!$H:$H,R$1,Prod_Prop!$I:$I,"Exacto"),Prod_Prop!$A:$A,Prod_Prop!$J:$J,"",0,1))</f>
        <v/>
      </c>
      <c r="S215" s="4" t="str">
        <f t="array" ref="S215">IF($E215="","", XLOOKUP(SUMIFS(Prod_Prop!$A:$A,Prod_Prop!$B:$B,$E215,Prod_Prop!$H:$H,S$1,Prod_Prop!$I:$I,"Exacto"),Prod_Prop!$A:$A,Prod_Prop!$J:$J,"",0,1))</f>
        <v/>
      </c>
      <c r="T215" s="4" t="str">
        <f t="array" ref="T215">IF($E215="","", XLOOKUP(SUMIFS(Prod_Prop!$A:$A,Prod_Prop!$B:$B,$E215,Prod_Prop!$H:$H,T$1,Prod_Prop!$I:$I,"Exacto"),Prod_Prop!$A:$A,Prod_Prop!$J:$J,"",0,1))</f>
        <v/>
      </c>
      <c r="U215" s="4" t="str">
        <f t="array" ref="U215">IF($E215="","", XLOOKUP(SUMIFS(Prod_Prop!$A:$A,Prod_Prop!$B:$B,$E215,Prod_Prop!$H:$H,U$1,Prod_Prop!$I:$I,"Exacto"),Prod_Prop!$A:$A,Prod_Prop!$J:$J,"",0,1))</f>
        <v/>
      </c>
      <c r="V215" s="4" t="str">
        <f t="array" ref="V215">IF($E215="","", XLOOKUP(SUMIFS(Prod_Prop!$A:$A,Prod_Prop!$B:$B,$E215,Prod_Prop!$H:$H,V$1,Prod_Prop!$I:$I,"Exacto"),Prod_Prop!$A:$A,Prod_Prop!$J:$J,"",0,1))</f>
        <v/>
      </c>
      <c r="X215" s="3" t="str">
        <f>IFERROR(__xludf.DUMMYFUNCTION("IF(D215="""","""",IFERROR(TRANSPOSE(FILTER('Validaciones Cotizador'!U:U,'Validaciones Cotizador'!O:O=D215,'Validaciones Cotizador'!T:T=""x"")),""Finalizar""))"),"")</f>
        <v/>
      </c>
    </row>
    <row r="216">
      <c r="A216" s="2" t="str">
        <f t="array" ref="A216">IF(E216="","",XLOOKUP(D216,'Validaciones Cotizador'!C:C,'Validaciones Cotizador'!A:A,"",0,1))</f>
        <v/>
      </c>
      <c r="B216" s="2" t="str">
        <f t="array" ref="B216">IF(F216="","",XLOOKUP(F216,Productos!E:E,Productos!G:G,"",0,1))</f>
        <v/>
      </c>
      <c r="C216" s="2" t="str">
        <f>IF(A216="","",SUMIFS('Validaciones Cotizador'!B:B,'Validaciones Cotizador'!C:C,D216,'Validaciones Cotizador'!A:A,A216))</f>
        <v/>
      </c>
      <c r="D216" s="4" t="str">
        <f>IFERROR(__xludf.DUMMYFUNCTION("IF(OR(F215=""Finalizar"",F215="""",F215=""Selecciona..""),"""",IF(OR(F215=""-"",INDEX(filter(Familias!F:F,Familias!D:D=A215,Familias!E:E=C215),1)=""O""),D215+1,D215))"),"")</f>
        <v/>
      </c>
      <c r="E216" s="2" t="str">
        <f>IF(OR(F216="",F216="Selecciona.."),"",IF(D216="Implemento",SUMIF(Implementos!B:B,F216,Implementos!A:A),SUMIF(Productos!E:E,F216,Productos!A:A)))</f>
        <v/>
      </c>
      <c r="F216" s="2" t="str">
        <f t="shared" si="2"/>
        <v/>
      </c>
      <c r="G216" s="10" t="str">
        <f t="array" ref="G216">IF(OR(F216="",F216="-",F216="Selecciona..",F216="Finalizar"),"",IF(A216="Rodados",XLOOKUP(B216,'Validaciones Cotizador'!I:I,'Validaciones Cotizador'!J:J,0,0,1),1))</f>
        <v/>
      </c>
      <c r="H216" s="11" t="str">
        <f>IF(OR(F216="",F216="Selecciona.."),"",SUMIF(Precio_Productos!K:K,E216,Precio_Productos!J:J)*G216)</f>
        <v/>
      </c>
      <c r="I216" s="4" t="str">
        <f t="array" ref="I216">IF($E216="","", XLOOKUP(SUMIFS(Prod_Prop!$A:$A,Prod_Prop!$B:$B,$E216,Prod_Prop!$H:$H,I$1,Prod_Prop!$I:$I,"Exacto"),Prod_Prop!$A:$A,Prod_Prop!$J:$J,"",0,1))</f>
        <v/>
      </c>
      <c r="J216" s="4" t="str">
        <f t="array" ref="J216">IF($E216="","", XLOOKUP(SUMIFS(Prod_Prop!$A:$A,Prod_Prop!$B:$B,$E216,Prod_Prop!$H:$H,J$1,Prod_Prop!$I:$I,"Exacto"),Prod_Prop!$A:$A,Prod_Prop!$J:$J,"",0,1))</f>
        <v/>
      </c>
      <c r="K216" s="4" t="str">
        <f t="array" ref="K216">IF($E216="","", XLOOKUP(SUMIFS(Prod_Prop!$A:$A,Prod_Prop!$B:$B,$E216,Prod_Prop!$H:$H,K$1,Prod_Prop!$I:$I,"Exacto"),Prod_Prop!$A:$A,Prod_Prop!$J:$J,"",0,1))</f>
        <v/>
      </c>
      <c r="L216" s="4" t="str">
        <f t="array" ref="L216">IF($E216="","", XLOOKUP(SUMIFS(Prod_Prop!$A:$A,Prod_Prop!$B:$B,$E216,Prod_Prop!$H:$H,L$1,Prod_Prop!$I:$I,"Exacto"),Prod_Prop!$A:$A,Prod_Prop!$J:$J,"",0,1))</f>
        <v/>
      </c>
      <c r="M216" s="4" t="str">
        <f t="array" ref="M216">IF($E216="","", XLOOKUP(SUMIFS(Prod_Prop!$A:$A,Prod_Prop!$B:$B,$E216,Prod_Prop!$H:$H,M$1,Prod_Prop!$I:$I,"Exacto"),Prod_Prop!$A:$A,Prod_Prop!$J:$J,"",0,1))</f>
        <v/>
      </c>
      <c r="N216" s="4" t="str">
        <f t="array" ref="N216">IF($E216="","", XLOOKUP(SUMIFS(Prod_Prop!$A:$A,Prod_Prop!$B:$B,$E216,Prod_Prop!$H:$H,N$1,Prod_Prop!$I:$I,"Exacto"),Prod_Prop!$A:$A,Prod_Prop!$J:$J,"",0,1))</f>
        <v/>
      </c>
      <c r="O216" s="4" t="str">
        <f t="array" ref="O216">IF($E216="","", XLOOKUP(SUMIFS(Prod_Prop!$A:$A,Prod_Prop!$B:$B,$E216,Prod_Prop!$H:$H,O$1,Prod_Prop!$I:$I,"Exacto"),Prod_Prop!$A:$A,Prod_Prop!$J:$J,"",0,1))</f>
        <v/>
      </c>
      <c r="P216" s="4" t="str">
        <f t="array" ref="P216">IF($E216="","", XLOOKUP(SUMIFS(Prod_Prop!$A:$A,Prod_Prop!$B:$B,$E216,Prod_Prop!$H:$H,P$1,Prod_Prop!$I:$I,"Exacto"),Prod_Prop!$A:$A,Prod_Prop!$J:$J,"",0,1))</f>
        <v/>
      </c>
      <c r="Q216" s="4" t="str">
        <f t="array" ref="Q216">IF($E216="","", XLOOKUP(SUMIFS(Prod_Prop!$A:$A,Prod_Prop!$B:$B,$E216,Prod_Prop!$H:$H,Q$1,Prod_Prop!$I:$I,"Exacto"),Prod_Prop!$A:$A,Prod_Prop!$J:$J,"",0,1))</f>
        <v/>
      </c>
      <c r="R216" s="4" t="str">
        <f t="array" ref="R216">IF($E216="","", XLOOKUP(SUMIFS(Prod_Prop!$A:$A,Prod_Prop!$B:$B,$E216,Prod_Prop!$H:$H,R$1,Prod_Prop!$I:$I,"Exacto"),Prod_Prop!$A:$A,Prod_Prop!$J:$J,"",0,1))</f>
        <v/>
      </c>
      <c r="S216" s="4" t="str">
        <f t="array" ref="S216">IF($E216="","", XLOOKUP(SUMIFS(Prod_Prop!$A:$A,Prod_Prop!$B:$B,$E216,Prod_Prop!$H:$H,S$1,Prod_Prop!$I:$I,"Exacto"),Prod_Prop!$A:$A,Prod_Prop!$J:$J,"",0,1))</f>
        <v/>
      </c>
      <c r="T216" s="4" t="str">
        <f t="array" ref="T216">IF($E216="","", XLOOKUP(SUMIFS(Prod_Prop!$A:$A,Prod_Prop!$B:$B,$E216,Prod_Prop!$H:$H,T$1,Prod_Prop!$I:$I,"Exacto"),Prod_Prop!$A:$A,Prod_Prop!$J:$J,"",0,1))</f>
        <v/>
      </c>
      <c r="U216" s="4" t="str">
        <f t="array" ref="U216">IF($E216="","", XLOOKUP(SUMIFS(Prod_Prop!$A:$A,Prod_Prop!$B:$B,$E216,Prod_Prop!$H:$H,U$1,Prod_Prop!$I:$I,"Exacto"),Prod_Prop!$A:$A,Prod_Prop!$J:$J,"",0,1))</f>
        <v/>
      </c>
      <c r="V216" s="4" t="str">
        <f t="array" ref="V216">IF($E216="","", XLOOKUP(SUMIFS(Prod_Prop!$A:$A,Prod_Prop!$B:$B,$E216,Prod_Prop!$H:$H,V$1,Prod_Prop!$I:$I,"Exacto"),Prod_Prop!$A:$A,Prod_Prop!$J:$J,"",0,1))</f>
        <v/>
      </c>
      <c r="X216" s="3" t="str">
        <f>IFERROR(__xludf.DUMMYFUNCTION("IF(D216="""","""",IFERROR(TRANSPOSE(FILTER('Validaciones Cotizador'!U:U,'Validaciones Cotizador'!O:O=D216,'Validaciones Cotizador'!T:T=""x"")),""Finalizar""))"),"")</f>
        <v/>
      </c>
    </row>
    <row r="217">
      <c r="A217" s="2" t="str">
        <f t="array" ref="A217">IF(E217="","",XLOOKUP(D217,'Validaciones Cotizador'!C:C,'Validaciones Cotizador'!A:A,"",0,1))</f>
        <v/>
      </c>
      <c r="B217" s="2" t="str">
        <f t="array" ref="B217">IF(F217="","",XLOOKUP(F217,Productos!E:E,Productos!G:G,"",0,1))</f>
        <v/>
      </c>
      <c r="C217" s="2" t="str">
        <f>IF(A217="","",SUMIFS('Validaciones Cotizador'!B:B,'Validaciones Cotizador'!C:C,D217,'Validaciones Cotizador'!A:A,A217))</f>
        <v/>
      </c>
      <c r="D217" s="4" t="str">
        <f>IFERROR(__xludf.DUMMYFUNCTION("IF(OR(F216=""Finalizar"",F216="""",F216=""Selecciona..""),"""",IF(OR(F216=""-"",INDEX(filter(Familias!F:F,Familias!D:D=A216,Familias!E:E=C216),1)=""O""),D216+1,D216))"),"")</f>
        <v/>
      </c>
      <c r="E217" s="2" t="str">
        <f>IF(OR(F217="",F217="Selecciona.."),"",IF(D217="Implemento",SUMIF(Implementos!B:B,F217,Implementos!A:A),SUMIF(Productos!E:E,F217,Productos!A:A)))</f>
        <v/>
      </c>
      <c r="F217" s="2" t="str">
        <f t="shared" si="2"/>
        <v/>
      </c>
      <c r="G217" s="10" t="str">
        <f t="array" ref="G217">IF(OR(F217="",F217="-",F217="Selecciona..",F217="Finalizar"),"",IF(A217="Rodados",XLOOKUP(B217,'Validaciones Cotizador'!I:I,'Validaciones Cotizador'!J:J,0,0,1),1))</f>
        <v/>
      </c>
      <c r="H217" s="11" t="str">
        <f>IF(OR(F217="",F217="Selecciona.."),"",SUMIF(Precio_Productos!K:K,E217,Precio_Productos!J:J)*G217)</f>
        <v/>
      </c>
      <c r="I217" s="4" t="str">
        <f t="array" ref="I217">IF($E217="","", XLOOKUP(SUMIFS(Prod_Prop!$A:$A,Prod_Prop!$B:$B,$E217,Prod_Prop!$H:$H,I$1,Prod_Prop!$I:$I,"Exacto"),Prod_Prop!$A:$A,Prod_Prop!$J:$J,"",0,1))</f>
        <v/>
      </c>
      <c r="J217" s="4" t="str">
        <f t="array" ref="J217">IF($E217="","", XLOOKUP(SUMIFS(Prod_Prop!$A:$A,Prod_Prop!$B:$B,$E217,Prod_Prop!$H:$H,J$1,Prod_Prop!$I:$I,"Exacto"),Prod_Prop!$A:$A,Prod_Prop!$J:$J,"",0,1))</f>
        <v/>
      </c>
      <c r="K217" s="4" t="str">
        <f t="array" ref="K217">IF($E217="","", XLOOKUP(SUMIFS(Prod_Prop!$A:$A,Prod_Prop!$B:$B,$E217,Prod_Prop!$H:$H,K$1,Prod_Prop!$I:$I,"Exacto"),Prod_Prop!$A:$A,Prod_Prop!$J:$J,"",0,1))</f>
        <v/>
      </c>
      <c r="L217" s="4" t="str">
        <f t="array" ref="L217">IF($E217="","", XLOOKUP(SUMIFS(Prod_Prop!$A:$A,Prod_Prop!$B:$B,$E217,Prod_Prop!$H:$H,L$1,Prod_Prop!$I:$I,"Exacto"),Prod_Prop!$A:$A,Prod_Prop!$J:$J,"",0,1))</f>
        <v/>
      </c>
      <c r="M217" s="4" t="str">
        <f t="array" ref="M217">IF($E217="","", XLOOKUP(SUMIFS(Prod_Prop!$A:$A,Prod_Prop!$B:$B,$E217,Prod_Prop!$H:$H,M$1,Prod_Prop!$I:$I,"Exacto"),Prod_Prop!$A:$A,Prod_Prop!$J:$J,"",0,1))</f>
        <v/>
      </c>
      <c r="N217" s="4" t="str">
        <f t="array" ref="N217">IF($E217="","", XLOOKUP(SUMIFS(Prod_Prop!$A:$A,Prod_Prop!$B:$B,$E217,Prod_Prop!$H:$H,N$1,Prod_Prop!$I:$I,"Exacto"),Prod_Prop!$A:$A,Prod_Prop!$J:$J,"",0,1))</f>
        <v/>
      </c>
      <c r="O217" s="4" t="str">
        <f t="array" ref="O217">IF($E217="","", XLOOKUP(SUMIFS(Prod_Prop!$A:$A,Prod_Prop!$B:$B,$E217,Prod_Prop!$H:$H,O$1,Prod_Prop!$I:$I,"Exacto"),Prod_Prop!$A:$A,Prod_Prop!$J:$J,"",0,1))</f>
        <v/>
      </c>
      <c r="P217" s="4" t="str">
        <f t="array" ref="P217">IF($E217="","", XLOOKUP(SUMIFS(Prod_Prop!$A:$A,Prod_Prop!$B:$B,$E217,Prod_Prop!$H:$H,P$1,Prod_Prop!$I:$I,"Exacto"),Prod_Prop!$A:$A,Prod_Prop!$J:$J,"",0,1))</f>
        <v/>
      </c>
      <c r="Q217" s="4" t="str">
        <f t="array" ref="Q217">IF($E217="","", XLOOKUP(SUMIFS(Prod_Prop!$A:$A,Prod_Prop!$B:$B,$E217,Prod_Prop!$H:$H,Q$1,Prod_Prop!$I:$I,"Exacto"),Prod_Prop!$A:$A,Prod_Prop!$J:$J,"",0,1))</f>
        <v/>
      </c>
      <c r="R217" s="4" t="str">
        <f t="array" ref="R217">IF($E217="","", XLOOKUP(SUMIFS(Prod_Prop!$A:$A,Prod_Prop!$B:$B,$E217,Prod_Prop!$H:$H,R$1,Prod_Prop!$I:$I,"Exacto"),Prod_Prop!$A:$A,Prod_Prop!$J:$J,"",0,1))</f>
        <v/>
      </c>
      <c r="S217" s="4" t="str">
        <f t="array" ref="S217">IF($E217="","", XLOOKUP(SUMIFS(Prod_Prop!$A:$A,Prod_Prop!$B:$B,$E217,Prod_Prop!$H:$H,S$1,Prod_Prop!$I:$I,"Exacto"),Prod_Prop!$A:$A,Prod_Prop!$J:$J,"",0,1))</f>
        <v/>
      </c>
      <c r="T217" s="4" t="str">
        <f t="array" ref="T217">IF($E217="","", XLOOKUP(SUMIFS(Prod_Prop!$A:$A,Prod_Prop!$B:$B,$E217,Prod_Prop!$H:$H,T$1,Prod_Prop!$I:$I,"Exacto"),Prod_Prop!$A:$A,Prod_Prop!$J:$J,"",0,1))</f>
        <v/>
      </c>
      <c r="U217" s="4" t="str">
        <f t="array" ref="U217">IF($E217="","", XLOOKUP(SUMIFS(Prod_Prop!$A:$A,Prod_Prop!$B:$B,$E217,Prod_Prop!$H:$H,U$1,Prod_Prop!$I:$I,"Exacto"),Prod_Prop!$A:$A,Prod_Prop!$J:$J,"",0,1))</f>
        <v/>
      </c>
      <c r="V217" s="4" t="str">
        <f t="array" ref="V217">IF($E217="","", XLOOKUP(SUMIFS(Prod_Prop!$A:$A,Prod_Prop!$B:$B,$E217,Prod_Prop!$H:$H,V$1,Prod_Prop!$I:$I,"Exacto"),Prod_Prop!$A:$A,Prod_Prop!$J:$J,"",0,1))</f>
        <v/>
      </c>
      <c r="X217" s="3" t="str">
        <f>IFERROR(__xludf.DUMMYFUNCTION("IF(D217="""","""",IFERROR(TRANSPOSE(FILTER('Validaciones Cotizador'!U:U,'Validaciones Cotizador'!O:O=D217,'Validaciones Cotizador'!T:T=""x"")),""Finalizar""))"),"")</f>
        <v/>
      </c>
    </row>
    <row r="218">
      <c r="A218" s="2" t="str">
        <f t="array" ref="A218">IF(E218="","",XLOOKUP(D218,'Validaciones Cotizador'!C:C,'Validaciones Cotizador'!A:A,"",0,1))</f>
        <v/>
      </c>
      <c r="B218" s="2" t="str">
        <f t="array" ref="B218">IF(F218="","",XLOOKUP(F218,Productos!E:E,Productos!G:G,"",0,1))</f>
        <v/>
      </c>
      <c r="C218" s="2" t="str">
        <f>IF(A218="","",SUMIFS('Validaciones Cotizador'!B:B,'Validaciones Cotizador'!C:C,D218,'Validaciones Cotizador'!A:A,A218))</f>
        <v/>
      </c>
      <c r="D218" s="4" t="str">
        <f>IFERROR(__xludf.DUMMYFUNCTION("IF(OR(F217=""Finalizar"",F217="""",F217=""Selecciona..""),"""",IF(OR(F217=""-"",INDEX(filter(Familias!F:F,Familias!D:D=A217,Familias!E:E=C217),1)=""O""),D217+1,D217))"),"")</f>
        <v/>
      </c>
      <c r="E218" s="2" t="str">
        <f>IF(OR(F218="",F218="Selecciona.."),"",IF(D218="Implemento",SUMIF(Implementos!B:B,F218,Implementos!A:A),SUMIF(Productos!E:E,F218,Productos!A:A)))</f>
        <v/>
      </c>
      <c r="F218" s="2" t="str">
        <f t="shared" si="2"/>
        <v/>
      </c>
      <c r="G218" s="10" t="str">
        <f t="array" ref="G218">IF(OR(F218="",F218="-",F218="Selecciona..",F218="Finalizar"),"",IF(A218="Rodados",XLOOKUP(B218,'Validaciones Cotizador'!I:I,'Validaciones Cotizador'!J:J,0,0,1),1))</f>
        <v/>
      </c>
      <c r="H218" s="11" t="str">
        <f>IF(OR(F218="",F218="Selecciona.."),"",SUMIF(Precio_Productos!K:K,E218,Precio_Productos!J:J)*G218)</f>
        <v/>
      </c>
      <c r="I218" s="4" t="str">
        <f t="array" ref="I218">IF($E218="","", XLOOKUP(SUMIFS(Prod_Prop!$A:$A,Prod_Prop!$B:$B,$E218,Prod_Prop!$H:$H,I$1,Prod_Prop!$I:$I,"Exacto"),Prod_Prop!$A:$A,Prod_Prop!$J:$J,"",0,1))</f>
        <v/>
      </c>
      <c r="J218" s="4" t="str">
        <f t="array" ref="J218">IF($E218="","", XLOOKUP(SUMIFS(Prod_Prop!$A:$A,Prod_Prop!$B:$B,$E218,Prod_Prop!$H:$H,J$1,Prod_Prop!$I:$I,"Exacto"),Prod_Prop!$A:$A,Prod_Prop!$J:$J,"",0,1))</f>
        <v/>
      </c>
      <c r="K218" s="4" t="str">
        <f t="array" ref="K218">IF($E218="","", XLOOKUP(SUMIFS(Prod_Prop!$A:$A,Prod_Prop!$B:$B,$E218,Prod_Prop!$H:$H,K$1,Prod_Prop!$I:$I,"Exacto"),Prod_Prop!$A:$A,Prod_Prop!$J:$J,"",0,1))</f>
        <v/>
      </c>
      <c r="L218" s="4" t="str">
        <f t="array" ref="L218">IF($E218="","", XLOOKUP(SUMIFS(Prod_Prop!$A:$A,Prod_Prop!$B:$B,$E218,Prod_Prop!$H:$H,L$1,Prod_Prop!$I:$I,"Exacto"),Prod_Prop!$A:$A,Prod_Prop!$J:$J,"",0,1))</f>
        <v/>
      </c>
      <c r="M218" s="4" t="str">
        <f t="array" ref="M218">IF($E218="","", XLOOKUP(SUMIFS(Prod_Prop!$A:$A,Prod_Prop!$B:$B,$E218,Prod_Prop!$H:$H,M$1,Prod_Prop!$I:$I,"Exacto"),Prod_Prop!$A:$A,Prod_Prop!$J:$J,"",0,1))</f>
        <v/>
      </c>
      <c r="N218" s="4" t="str">
        <f t="array" ref="N218">IF($E218="","", XLOOKUP(SUMIFS(Prod_Prop!$A:$A,Prod_Prop!$B:$B,$E218,Prod_Prop!$H:$H,N$1,Prod_Prop!$I:$I,"Exacto"),Prod_Prop!$A:$A,Prod_Prop!$J:$J,"",0,1))</f>
        <v/>
      </c>
      <c r="O218" s="4" t="str">
        <f t="array" ref="O218">IF($E218="","", XLOOKUP(SUMIFS(Prod_Prop!$A:$A,Prod_Prop!$B:$B,$E218,Prod_Prop!$H:$H,O$1,Prod_Prop!$I:$I,"Exacto"),Prod_Prop!$A:$A,Prod_Prop!$J:$J,"",0,1))</f>
        <v/>
      </c>
      <c r="P218" s="4" t="str">
        <f t="array" ref="P218">IF($E218="","", XLOOKUP(SUMIFS(Prod_Prop!$A:$A,Prod_Prop!$B:$B,$E218,Prod_Prop!$H:$H,P$1,Prod_Prop!$I:$I,"Exacto"),Prod_Prop!$A:$A,Prod_Prop!$J:$J,"",0,1))</f>
        <v/>
      </c>
      <c r="Q218" s="4" t="str">
        <f t="array" ref="Q218">IF($E218="","", XLOOKUP(SUMIFS(Prod_Prop!$A:$A,Prod_Prop!$B:$B,$E218,Prod_Prop!$H:$H,Q$1,Prod_Prop!$I:$I,"Exacto"),Prod_Prop!$A:$A,Prod_Prop!$J:$J,"",0,1))</f>
        <v/>
      </c>
      <c r="R218" s="4" t="str">
        <f t="array" ref="R218">IF($E218="","", XLOOKUP(SUMIFS(Prod_Prop!$A:$A,Prod_Prop!$B:$B,$E218,Prod_Prop!$H:$H,R$1,Prod_Prop!$I:$I,"Exacto"),Prod_Prop!$A:$A,Prod_Prop!$J:$J,"",0,1))</f>
        <v/>
      </c>
      <c r="S218" s="4" t="str">
        <f t="array" ref="S218">IF($E218="","", XLOOKUP(SUMIFS(Prod_Prop!$A:$A,Prod_Prop!$B:$B,$E218,Prod_Prop!$H:$H,S$1,Prod_Prop!$I:$I,"Exacto"),Prod_Prop!$A:$A,Prod_Prop!$J:$J,"",0,1))</f>
        <v/>
      </c>
      <c r="T218" s="4" t="str">
        <f t="array" ref="T218">IF($E218="","", XLOOKUP(SUMIFS(Prod_Prop!$A:$A,Prod_Prop!$B:$B,$E218,Prod_Prop!$H:$H,T$1,Prod_Prop!$I:$I,"Exacto"),Prod_Prop!$A:$A,Prod_Prop!$J:$J,"",0,1))</f>
        <v/>
      </c>
      <c r="U218" s="4" t="str">
        <f t="array" ref="U218">IF($E218="","", XLOOKUP(SUMIFS(Prod_Prop!$A:$A,Prod_Prop!$B:$B,$E218,Prod_Prop!$H:$H,U$1,Prod_Prop!$I:$I,"Exacto"),Prod_Prop!$A:$A,Prod_Prop!$J:$J,"",0,1))</f>
        <v/>
      </c>
      <c r="V218" s="4" t="str">
        <f t="array" ref="V218">IF($E218="","", XLOOKUP(SUMIFS(Prod_Prop!$A:$A,Prod_Prop!$B:$B,$E218,Prod_Prop!$H:$H,V$1,Prod_Prop!$I:$I,"Exacto"),Prod_Prop!$A:$A,Prod_Prop!$J:$J,"",0,1))</f>
        <v/>
      </c>
      <c r="X218" s="3" t="str">
        <f>IFERROR(__xludf.DUMMYFUNCTION("IF(D218="""","""",IFERROR(TRANSPOSE(FILTER('Validaciones Cotizador'!U:U,'Validaciones Cotizador'!O:O=D218,'Validaciones Cotizador'!T:T=""x"")),""Finalizar""))"),"")</f>
        <v/>
      </c>
    </row>
    <row r="219">
      <c r="A219" s="2" t="str">
        <f t="array" ref="A219">IF(E219="","",XLOOKUP(D219,'Validaciones Cotizador'!C:C,'Validaciones Cotizador'!A:A,"",0,1))</f>
        <v/>
      </c>
      <c r="B219" s="2" t="str">
        <f t="array" ref="B219">IF(F219="","",XLOOKUP(F219,Productos!E:E,Productos!G:G,"",0,1))</f>
        <v/>
      </c>
      <c r="C219" s="2" t="str">
        <f>IF(A219="","",SUMIFS('Validaciones Cotizador'!B:B,'Validaciones Cotizador'!C:C,D219,'Validaciones Cotizador'!A:A,A219))</f>
        <v/>
      </c>
      <c r="D219" s="4" t="str">
        <f>IFERROR(__xludf.DUMMYFUNCTION("IF(OR(F218=""Finalizar"",F218="""",F218=""Selecciona..""),"""",IF(OR(F218=""-"",INDEX(filter(Familias!F:F,Familias!D:D=A218,Familias!E:E=C218),1)=""O""),D218+1,D218))"),"")</f>
        <v/>
      </c>
      <c r="E219" s="2" t="str">
        <f>IF(OR(F219="",F219="Selecciona.."),"",IF(D219="Implemento",SUMIF(Implementos!B:B,F219,Implementos!A:A),SUMIF(Productos!E:E,F219,Productos!A:A)))</f>
        <v/>
      </c>
      <c r="F219" s="2" t="str">
        <f t="shared" si="2"/>
        <v/>
      </c>
      <c r="G219" s="10" t="str">
        <f t="array" ref="G219">IF(OR(F219="",F219="-",F219="Selecciona..",F219="Finalizar"),"",IF(A219="Rodados",XLOOKUP(B219,'Validaciones Cotizador'!I:I,'Validaciones Cotizador'!J:J,0,0,1),1))</f>
        <v/>
      </c>
      <c r="H219" s="11" t="str">
        <f>IF(OR(F219="",F219="Selecciona.."),"",SUMIF(Precio_Productos!K:K,E219,Precio_Productos!J:J)*G219)</f>
        <v/>
      </c>
      <c r="I219" s="4" t="str">
        <f t="array" ref="I219">IF($E219="","", XLOOKUP(SUMIFS(Prod_Prop!$A:$A,Prod_Prop!$B:$B,$E219,Prod_Prop!$H:$H,I$1,Prod_Prop!$I:$I,"Exacto"),Prod_Prop!$A:$A,Prod_Prop!$J:$J,"",0,1))</f>
        <v/>
      </c>
      <c r="J219" s="4" t="str">
        <f t="array" ref="J219">IF($E219="","", XLOOKUP(SUMIFS(Prod_Prop!$A:$A,Prod_Prop!$B:$B,$E219,Prod_Prop!$H:$H,J$1,Prod_Prop!$I:$I,"Exacto"),Prod_Prop!$A:$A,Prod_Prop!$J:$J,"",0,1))</f>
        <v/>
      </c>
      <c r="K219" s="4" t="str">
        <f t="array" ref="K219">IF($E219="","", XLOOKUP(SUMIFS(Prod_Prop!$A:$A,Prod_Prop!$B:$B,$E219,Prod_Prop!$H:$H,K$1,Prod_Prop!$I:$I,"Exacto"),Prod_Prop!$A:$A,Prod_Prop!$J:$J,"",0,1))</f>
        <v/>
      </c>
      <c r="L219" s="4" t="str">
        <f t="array" ref="L219">IF($E219="","", XLOOKUP(SUMIFS(Prod_Prop!$A:$A,Prod_Prop!$B:$B,$E219,Prod_Prop!$H:$H,L$1,Prod_Prop!$I:$I,"Exacto"),Prod_Prop!$A:$A,Prod_Prop!$J:$J,"",0,1))</f>
        <v/>
      </c>
      <c r="M219" s="4" t="str">
        <f t="array" ref="M219">IF($E219="","", XLOOKUP(SUMIFS(Prod_Prop!$A:$A,Prod_Prop!$B:$B,$E219,Prod_Prop!$H:$H,M$1,Prod_Prop!$I:$I,"Exacto"),Prod_Prop!$A:$A,Prod_Prop!$J:$J,"",0,1))</f>
        <v/>
      </c>
      <c r="N219" s="4" t="str">
        <f t="array" ref="N219">IF($E219="","", XLOOKUP(SUMIFS(Prod_Prop!$A:$A,Prod_Prop!$B:$B,$E219,Prod_Prop!$H:$H,N$1,Prod_Prop!$I:$I,"Exacto"),Prod_Prop!$A:$A,Prod_Prop!$J:$J,"",0,1))</f>
        <v/>
      </c>
      <c r="O219" s="4" t="str">
        <f t="array" ref="O219">IF($E219="","", XLOOKUP(SUMIFS(Prod_Prop!$A:$A,Prod_Prop!$B:$B,$E219,Prod_Prop!$H:$H,O$1,Prod_Prop!$I:$I,"Exacto"),Prod_Prop!$A:$A,Prod_Prop!$J:$J,"",0,1))</f>
        <v/>
      </c>
      <c r="P219" s="4" t="str">
        <f t="array" ref="P219">IF($E219="","", XLOOKUP(SUMIFS(Prod_Prop!$A:$A,Prod_Prop!$B:$B,$E219,Prod_Prop!$H:$H,P$1,Prod_Prop!$I:$I,"Exacto"),Prod_Prop!$A:$A,Prod_Prop!$J:$J,"",0,1))</f>
        <v/>
      </c>
      <c r="Q219" s="4" t="str">
        <f t="array" ref="Q219">IF($E219="","", XLOOKUP(SUMIFS(Prod_Prop!$A:$A,Prod_Prop!$B:$B,$E219,Prod_Prop!$H:$H,Q$1,Prod_Prop!$I:$I,"Exacto"),Prod_Prop!$A:$A,Prod_Prop!$J:$J,"",0,1))</f>
        <v/>
      </c>
      <c r="R219" s="4" t="str">
        <f t="array" ref="R219">IF($E219="","", XLOOKUP(SUMIFS(Prod_Prop!$A:$A,Prod_Prop!$B:$B,$E219,Prod_Prop!$H:$H,R$1,Prod_Prop!$I:$I,"Exacto"),Prod_Prop!$A:$A,Prod_Prop!$J:$J,"",0,1))</f>
        <v/>
      </c>
      <c r="S219" s="4" t="str">
        <f t="array" ref="S219">IF($E219="","", XLOOKUP(SUMIFS(Prod_Prop!$A:$A,Prod_Prop!$B:$B,$E219,Prod_Prop!$H:$H,S$1,Prod_Prop!$I:$I,"Exacto"),Prod_Prop!$A:$A,Prod_Prop!$J:$J,"",0,1))</f>
        <v/>
      </c>
      <c r="T219" s="4" t="str">
        <f t="array" ref="T219">IF($E219="","", XLOOKUP(SUMIFS(Prod_Prop!$A:$A,Prod_Prop!$B:$B,$E219,Prod_Prop!$H:$H,T$1,Prod_Prop!$I:$I,"Exacto"),Prod_Prop!$A:$A,Prod_Prop!$J:$J,"",0,1))</f>
        <v/>
      </c>
      <c r="U219" s="4" t="str">
        <f t="array" ref="U219">IF($E219="","", XLOOKUP(SUMIFS(Prod_Prop!$A:$A,Prod_Prop!$B:$B,$E219,Prod_Prop!$H:$H,U$1,Prod_Prop!$I:$I,"Exacto"),Prod_Prop!$A:$A,Prod_Prop!$J:$J,"",0,1))</f>
        <v/>
      </c>
      <c r="V219" s="4" t="str">
        <f t="array" ref="V219">IF($E219="","", XLOOKUP(SUMIFS(Prod_Prop!$A:$A,Prod_Prop!$B:$B,$E219,Prod_Prop!$H:$H,V$1,Prod_Prop!$I:$I,"Exacto"),Prod_Prop!$A:$A,Prod_Prop!$J:$J,"",0,1))</f>
        <v/>
      </c>
      <c r="X219" s="3" t="str">
        <f>IFERROR(__xludf.DUMMYFUNCTION("IF(D219="""","""",IFERROR(TRANSPOSE(FILTER('Validaciones Cotizador'!U:U,'Validaciones Cotizador'!O:O=D219,'Validaciones Cotizador'!T:T=""x"")),""Finalizar""))"),"")</f>
        <v/>
      </c>
    </row>
    <row r="220">
      <c r="A220" s="2" t="str">
        <f t="array" ref="A220">IF(E220="","",XLOOKUP(D220,'Validaciones Cotizador'!C:C,'Validaciones Cotizador'!A:A,"",0,1))</f>
        <v/>
      </c>
      <c r="B220" s="2" t="str">
        <f t="array" ref="B220">IF(F220="","",XLOOKUP(F220,Productos!E:E,Productos!G:G,"",0,1))</f>
        <v/>
      </c>
      <c r="C220" s="2" t="str">
        <f>IF(A220="","",SUMIFS('Validaciones Cotizador'!B:B,'Validaciones Cotizador'!C:C,D220,'Validaciones Cotizador'!A:A,A220))</f>
        <v/>
      </c>
      <c r="D220" s="4" t="str">
        <f>IFERROR(__xludf.DUMMYFUNCTION("IF(OR(F219=""Finalizar"",F219="""",F219=""Selecciona..""),"""",IF(OR(F219=""-"",INDEX(filter(Familias!F:F,Familias!D:D=A219,Familias!E:E=C219),1)=""O""),D219+1,D219))"),"")</f>
        <v/>
      </c>
      <c r="E220" s="2" t="str">
        <f>IF(OR(F220="",F220="Selecciona.."),"",IF(D220="Implemento",SUMIF(Implementos!B:B,F220,Implementos!A:A),SUMIF(Productos!E:E,F220,Productos!A:A)))</f>
        <v/>
      </c>
      <c r="F220" s="2" t="str">
        <f t="shared" si="2"/>
        <v/>
      </c>
      <c r="G220" s="10" t="str">
        <f t="array" ref="G220">IF(OR(F220="",F220="-",F220="Selecciona..",F220="Finalizar"),"",IF(A220="Rodados",XLOOKUP(B220,'Validaciones Cotizador'!I:I,'Validaciones Cotizador'!J:J,0,0,1),1))</f>
        <v/>
      </c>
      <c r="H220" s="11" t="str">
        <f>IF(OR(F220="",F220="Selecciona.."),"",SUMIF(Precio_Productos!K:K,E220,Precio_Productos!J:J)*G220)</f>
        <v/>
      </c>
      <c r="I220" s="4" t="str">
        <f t="array" ref="I220">IF($E220="","", XLOOKUP(SUMIFS(Prod_Prop!$A:$A,Prod_Prop!$B:$B,$E220,Prod_Prop!$H:$H,I$1,Prod_Prop!$I:$I,"Exacto"),Prod_Prop!$A:$A,Prod_Prop!$J:$J,"",0,1))</f>
        <v/>
      </c>
      <c r="J220" s="4" t="str">
        <f t="array" ref="J220">IF($E220="","", XLOOKUP(SUMIFS(Prod_Prop!$A:$A,Prod_Prop!$B:$B,$E220,Prod_Prop!$H:$H,J$1,Prod_Prop!$I:$I,"Exacto"),Prod_Prop!$A:$A,Prod_Prop!$J:$J,"",0,1))</f>
        <v/>
      </c>
      <c r="K220" s="4" t="str">
        <f t="array" ref="K220">IF($E220="","", XLOOKUP(SUMIFS(Prod_Prop!$A:$A,Prod_Prop!$B:$B,$E220,Prod_Prop!$H:$H,K$1,Prod_Prop!$I:$I,"Exacto"),Prod_Prop!$A:$A,Prod_Prop!$J:$J,"",0,1))</f>
        <v/>
      </c>
      <c r="L220" s="4" t="str">
        <f t="array" ref="L220">IF($E220="","", XLOOKUP(SUMIFS(Prod_Prop!$A:$A,Prod_Prop!$B:$B,$E220,Prod_Prop!$H:$H,L$1,Prod_Prop!$I:$I,"Exacto"),Prod_Prop!$A:$A,Prod_Prop!$J:$J,"",0,1))</f>
        <v/>
      </c>
      <c r="M220" s="4" t="str">
        <f t="array" ref="M220">IF($E220="","", XLOOKUP(SUMIFS(Prod_Prop!$A:$A,Prod_Prop!$B:$B,$E220,Prod_Prop!$H:$H,M$1,Prod_Prop!$I:$I,"Exacto"),Prod_Prop!$A:$A,Prod_Prop!$J:$J,"",0,1))</f>
        <v/>
      </c>
      <c r="N220" s="4" t="str">
        <f t="array" ref="N220">IF($E220="","", XLOOKUP(SUMIFS(Prod_Prop!$A:$A,Prod_Prop!$B:$B,$E220,Prod_Prop!$H:$H,N$1,Prod_Prop!$I:$I,"Exacto"),Prod_Prop!$A:$A,Prod_Prop!$J:$J,"",0,1))</f>
        <v/>
      </c>
      <c r="O220" s="4" t="str">
        <f t="array" ref="O220">IF($E220="","", XLOOKUP(SUMIFS(Prod_Prop!$A:$A,Prod_Prop!$B:$B,$E220,Prod_Prop!$H:$H,O$1,Prod_Prop!$I:$I,"Exacto"),Prod_Prop!$A:$A,Prod_Prop!$J:$J,"",0,1))</f>
        <v/>
      </c>
      <c r="P220" s="4" t="str">
        <f t="array" ref="P220">IF($E220="","", XLOOKUP(SUMIFS(Prod_Prop!$A:$A,Prod_Prop!$B:$B,$E220,Prod_Prop!$H:$H,P$1,Prod_Prop!$I:$I,"Exacto"),Prod_Prop!$A:$A,Prod_Prop!$J:$J,"",0,1))</f>
        <v/>
      </c>
      <c r="Q220" s="4" t="str">
        <f t="array" ref="Q220">IF($E220="","", XLOOKUP(SUMIFS(Prod_Prop!$A:$A,Prod_Prop!$B:$B,$E220,Prod_Prop!$H:$H,Q$1,Prod_Prop!$I:$I,"Exacto"),Prod_Prop!$A:$A,Prod_Prop!$J:$J,"",0,1))</f>
        <v/>
      </c>
      <c r="R220" s="4" t="str">
        <f t="array" ref="R220">IF($E220="","", XLOOKUP(SUMIFS(Prod_Prop!$A:$A,Prod_Prop!$B:$B,$E220,Prod_Prop!$H:$H,R$1,Prod_Prop!$I:$I,"Exacto"),Prod_Prop!$A:$A,Prod_Prop!$J:$J,"",0,1))</f>
        <v/>
      </c>
      <c r="S220" s="4" t="str">
        <f t="array" ref="S220">IF($E220="","", XLOOKUP(SUMIFS(Prod_Prop!$A:$A,Prod_Prop!$B:$B,$E220,Prod_Prop!$H:$H,S$1,Prod_Prop!$I:$I,"Exacto"),Prod_Prop!$A:$A,Prod_Prop!$J:$J,"",0,1))</f>
        <v/>
      </c>
      <c r="T220" s="4" t="str">
        <f t="array" ref="T220">IF($E220="","", XLOOKUP(SUMIFS(Prod_Prop!$A:$A,Prod_Prop!$B:$B,$E220,Prod_Prop!$H:$H,T$1,Prod_Prop!$I:$I,"Exacto"),Prod_Prop!$A:$A,Prod_Prop!$J:$J,"",0,1))</f>
        <v/>
      </c>
      <c r="U220" s="4" t="str">
        <f t="array" ref="U220">IF($E220="","", XLOOKUP(SUMIFS(Prod_Prop!$A:$A,Prod_Prop!$B:$B,$E220,Prod_Prop!$H:$H,U$1,Prod_Prop!$I:$I,"Exacto"),Prod_Prop!$A:$A,Prod_Prop!$J:$J,"",0,1))</f>
        <v/>
      </c>
      <c r="V220" s="4" t="str">
        <f t="array" ref="V220">IF($E220="","", XLOOKUP(SUMIFS(Prod_Prop!$A:$A,Prod_Prop!$B:$B,$E220,Prod_Prop!$H:$H,V$1,Prod_Prop!$I:$I,"Exacto"),Prod_Prop!$A:$A,Prod_Prop!$J:$J,"",0,1))</f>
        <v/>
      </c>
      <c r="X220" s="3" t="str">
        <f>IFERROR(__xludf.DUMMYFUNCTION("IF(D220="""","""",IFERROR(TRANSPOSE(FILTER('Validaciones Cotizador'!U:U,'Validaciones Cotizador'!O:O=D220,'Validaciones Cotizador'!T:T=""x"")),""Finalizar""))"),"")</f>
        <v/>
      </c>
    </row>
    <row r="221">
      <c r="A221" s="2" t="str">
        <f t="array" ref="A221">IF(E221="","",XLOOKUP(D221,'Validaciones Cotizador'!C:C,'Validaciones Cotizador'!A:A,"",0,1))</f>
        <v/>
      </c>
      <c r="B221" s="2" t="str">
        <f t="array" ref="B221">IF(F221="","",XLOOKUP(F221,Productos!E:E,Productos!G:G,"",0,1))</f>
        <v/>
      </c>
      <c r="C221" s="2" t="str">
        <f>IF(A221="","",SUMIFS('Validaciones Cotizador'!B:B,'Validaciones Cotizador'!C:C,D221,'Validaciones Cotizador'!A:A,A221))</f>
        <v/>
      </c>
      <c r="D221" s="4" t="str">
        <f>IFERROR(__xludf.DUMMYFUNCTION("IF(OR(F220=""Finalizar"",F220="""",F220=""Selecciona..""),"""",IF(OR(F220=""-"",INDEX(filter(Familias!F:F,Familias!D:D=A220,Familias!E:E=C220),1)=""O""),D220+1,D220))"),"")</f>
        <v/>
      </c>
      <c r="E221" s="2" t="str">
        <f>IF(OR(F221="",F221="Selecciona.."),"",IF(D221="Implemento",SUMIF(Implementos!B:B,F221,Implementos!A:A),SUMIF(Productos!E:E,F221,Productos!A:A)))</f>
        <v/>
      </c>
      <c r="F221" s="2" t="str">
        <f t="shared" si="2"/>
        <v/>
      </c>
      <c r="G221" s="10" t="str">
        <f t="array" ref="G221">IF(OR(F221="",F221="-",F221="Selecciona..",F221="Finalizar"),"",IF(A221="Rodados",XLOOKUP(B221,'Validaciones Cotizador'!I:I,'Validaciones Cotizador'!J:J,0,0,1),1))</f>
        <v/>
      </c>
      <c r="H221" s="11" t="str">
        <f>IF(OR(F221="",F221="Selecciona.."),"",SUMIF(Precio_Productos!K:K,E221,Precio_Productos!J:J)*G221)</f>
        <v/>
      </c>
      <c r="I221" s="4" t="str">
        <f t="array" ref="I221">IF($E221="","", XLOOKUP(SUMIFS(Prod_Prop!$A:$A,Prod_Prop!$B:$B,$E221,Prod_Prop!$H:$H,I$1,Prod_Prop!$I:$I,"Exacto"),Prod_Prop!$A:$A,Prod_Prop!$J:$J,"",0,1))</f>
        <v/>
      </c>
      <c r="J221" s="4" t="str">
        <f t="array" ref="J221">IF($E221="","", XLOOKUP(SUMIFS(Prod_Prop!$A:$A,Prod_Prop!$B:$B,$E221,Prod_Prop!$H:$H,J$1,Prod_Prop!$I:$I,"Exacto"),Prod_Prop!$A:$A,Prod_Prop!$J:$J,"",0,1))</f>
        <v/>
      </c>
      <c r="K221" s="4" t="str">
        <f t="array" ref="K221">IF($E221="","", XLOOKUP(SUMIFS(Prod_Prop!$A:$A,Prod_Prop!$B:$B,$E221,Prod_Prop!$H:$H,K$1,Prod_Prop!$I:$I,"Exacto"),Prod_Prop!$A:$A,Prod_Prop!$J:$J,"",0,1))</f>
        <v/>
      </c>
      <c r="L221" s="4" t="str">
        <f t="array" ref="L221">IF($E221="","", XLOOKUP(SUMIFS(Prod_Prop!$A:$A,Prod_Prop!$B:$B,$E221,Prod_Prop!$H:$H,L$1,Prod_Prop!$I:$I,"Exacto"),Prod_Prop!$A:$A,Prod_Prop!$J:$J,"",0,1))</f>
        <v/>
      </c>
      <c r="M221" s="4" t="str">
        <f t="array" ref="M221">IF($E221="","", XLOOKUP(SUMIFS(Prod_Prop!$A:$A,Prod_Prop!$B:$B,$E221,Prod_Prop!$H:$H,M$1,Prod_Prop!$I:$I,"Exacto"),Prod_Prop!$A:$A,Prod_Prop!$J:$J,"",0,1))</f>
        <v/>
      </c>
      <c r="N221" s="4" t="str">
        <f t="array" ref="N221">IF($E221="","", XLOOKUP(SUMIFS(Prod_Prop!$A:$A,Prod_Prop!$B:$B,$E221,Prod_Prop!$H:$H,N$1,Prod_Prop!$I:$I,"Exacto"),Prod_Prop!$A:$A,Prod_Prop!$J:$J,"",0,1))</f>
        <v/>
      </c>
      <c r="O221" s="4" t="str">
        <f t="array" ref="O221">IF($E221="","", XLOOKUP(SUMIFS(Prod_Prop!$A:$A,Prod_Prop!$B:$B,$E221,Prod_Prop!$H:$H,O$1,Prod_Prop!$I:$I,"Exacto"),Prod_Prop!$A:$A,Prod_Prop!$J:$J,"",0,1))</f>
        <v/>
      </c>
      <c r="P221" s="4" t="str">
        <f t="array" ref="P221">IF($E221="","", XLOOKUP(SUMIFS(Prod_Prop!$A:$A,Prod_Prop!$B:$B,$E221,Prod_Prop!$H:$H,P$1,Prod_Prop!$I:$I,"Exacto"),Prod_Prop!$A:$A,Prod_Prop!$J:$J,"",0,1))</f>
        <v/>
      </c>
      <c r="Q221" s="4" t="str">
        <f t="array" ref="Q221">IF($E221="","", XLOOKUP(SUMIFS(Prod_Prop!$A:$A,Prod_Prop!$B:$B,$E221,Prod_Prop!$H:$H,Q$1,Prod_Prop!$I:$I,"Exacto"),Prod_Prop!$A:$A,Prod_Prop!$J:$J,"",0,1))</f>
        <v/>
      </c>
      <c r="R221" s="4" t="str">
        <f t="array" ref="R221">IF($E221="","", XLOOKUP(SUMIFS(Prod_Prop!$A:$A,Prod_Prop!$B:$B,$E221,Prod_Prop!$H:$H,R$1,Prod_Prop!$I:$I,"Exacto"),Prod_Prop!$A:$A,Prod_Prop!$J:$J,"",0,1))</f>
        <v/>
      </c>
      <c r="S221" s="4" t="str">
        <f t="array" ref="S221">IF($E221="","", XLOOKUP(SUMIFS(Prod_Prop!$A:$A,Prod_Prop!$B:$B,$E221,Prod_Prop!$H:$H,S$1,Prod_Prop!$I:$I,"Exacto"),Prod_Prop!$A:$A,Prod_Prop!$J:$J,"",0,1))</f>
        <v/>
      </c>
      <c r="T221" s="4" t="str">
        <f t="array" ref="T221">IF($E221="","", XLOOKUP(SUMIFS(Prod_Prop!$A:$A,Prod_Prop!$B:$B,$E221,Prod_Prop!$H:$H,T$1,Prod_Prop!$I:$I,"Exacto"),Prod_Prop!$A:$A,Prod_Prop!$J:$J,"",0,1))</f>
        <v/>
      </c>
      <c r="U221" s="4" t="str">
        <f t="array" ref="U221">IF($E221="","", XLOOKUP(SUMIFS(Prod_Prop!$A:$A,Prod_Prop!$B:$B,$E221,Prod_Prop!$H:$H,U$1,Prod_Prop!$I:$I,"Exacto"),Prod_Prop!$A:$A,Prod_Prop!$J:$J,"",0,1))</f>
        <v/>
      </c>
      <c r="V221" s="4" t="str">
        <f t="array" ref="V221">IF($E221="","", XLOOKUP(SUMIFS(Prod_Prop!$A:$A,Prod_Prop!$B:$B,$E221,Prod_Prop!$H:$H,V$1,Prod_Prop!$I:$I,"Exacto"),Prod_Prop!$A:$A,Prod_Prop!$J:$J,"",0,1))</f>
        <v/>
      </c>
      <c r="X221" s="3" t="str">
        <f>IFERROR(__xludf.DUMMYFUNCTION("IF(D221="""","""",IFERROR(TRANSPOSE(FILTER('Validaciones Cotizador'!U:U,'Validaciones Cotizador'!O:O=D221,'Validaciones Cotizador'!T:T=""x"")),""Finalizar""))"),"")</f>
        <v/>
      </c>
    </row>
    <row r="222">
      <c r="A222" s="2" t="str">
        <f t="array" ref="A222">IF(E222="","",XLOOKUP(D222,'Validaciones Cotizador'!C:C,'Validaciones Cotizador'!A:A,"",0,1))</f>
        <v/>
      </c>
      <c r="B222" s="2" t="str">
        <f t="array" ref="B222">IF(F222="","",XLOOKUP(F222,Productos!E:E,Productos!G:G,"",0,1))</f>
        <v/>
      </c>
      <c r="C222" s="2" t="str">
        <f>IF(A222="","",SUMIFS('Validaciones Cotizador'!B:B,'Validaciones Cotizador'!C:C,D222,'Validaciones Cotizador'!A:A,A222))</f>
        <v/>
      </c>
      <c r="D222" s="4" t="str">
        <f>IFERROR(__xludf.DUMMYFUNCTION("IF(OR(F221=""Finalizar"",F221="""",F221=""Selecciona..""),"""",IF(OR(F221=""-"",INDEX(filter(Familias!F:F,Familias!D:D=A221,Familias!E:E=C221),1)=""O""),D221+1,D221))"),"")</f>
        <v/>
      </c>
      <c r="E222" s="2" t="str">
        <f>IF(OR(F222="",F222="Selecciona.."),"",IF(D222="Implemento",SUMIF(Implementos!B:B,F222,Implementos!A:A),SUMIF(Productos!E:E,F222,Productos!A:A)))</f>
        <v/>
      </c>
      <c r="F222" s="2" t="str">
        <f t="shared" si="2"/>
        <v/>
      </c>
      <c r="G222" s="10" t="str">
        <f t="array" ref="G222">IF(OR(F222="",F222="-",F222="Selecciona..",F222="Finalizar"),"",IF(A222="Rodados",XLOOKUP(B222,'Validaciones Cotizador'!I:I,'Validaciones Cotizador'!J:J,0,0,1),1))</f>
        <v/>
      </c>
      <c r="H222" s="11" t="str">
        <f>IF(OR(F222="",F222="Selecciona.."),"",SUMIF(Precio_Productos!K:K,E222,Precio_Productos!J:J)*G222)</f>
        <v/>
      </c>
      <c r="I222" s="4" t="str">
        <f t="array" ref="I222">IF($E222="","", XLOOKUP(SUMIFS(Prod_Prop!$A:$A,Prod_Prop!$B:$B,$E222,Prod_Prop!$H:$H,I$1,Prod_Prop!$I:$I,"Exacto"),Prod_Prop!$A:$A,Prod_Prop!$J:$J,"",0,1))</f>
        <v/>
      </c>
      <c r="J222" s="4" t="str">
        <f t="array" ref="J222">IF($E222="","", XLOOKUP(SUMIFS(Prod_Prop!$A:$A,Prod_Prop!$B:$B,$E222,Prod_Prop!$H:$H,J$1,Prod_Prop!$I:$I,"Exacto"),Prod_Prop!$A:$A,Prod_Prop!$J:$J,"",0,1))</f>
        <v/>
      </c>
      <c r="K222" s="4" t="str">
        <f t="array" ref="K222">IF($E222="","", XLOOKUP(SUMIFS(Prod_Prop!$A:$A,Prod_Prop!$B:$B,$E222,Prod_Prop!$H:$H,K$1,Prod_Prop!$I:$I,"Exacto"),Prod_Prop!$A:$A,Prod_Prop!$J:$J,"",0,1))</f>
        <v/>
      </c>
      <c r="L222" s="4" t="str">
        <f t="array" ref="L222">IF($E222="","", XLOOKUP(SUMIFS(Prod_Prop!$A:$A,Prod_Prop!$B:$B,$E222,Prod_Prop!$H:$H,L$1,Prod_Prop!$I:$I,"Exacto"),Prod_Prop!$A:$A,Prod_Prop!$J:$J,"",0,1))</f>
        <v/>
      </c>
      <c r="M222" s="4" t="str">
        <f t="array" ref="M222">IF($E222="","", XLOOKUP(SUMIFS(Prod_Prop!$A:$A,Prod_Prop!$B:$B,$E222,Prod_Prop!$H:$H,M$1,Prod_Prop!$I:$I,"Exacto"),Prod_Prop!$A:$A,Prod_Prop!$J:$J,"",0,1))</f>
        <v/>
      </c>
      <c r="N222" s="4" t="str">
        <f t="array" ref="N222">IF($E222="","", XLOOKUP(SUMIFS(Prod_Prop!$A:$A,Prod_Prop!$B:$B,$E222,Prod_Prop!$H:$H,N$1,Prod_Prop!$I:$I,"Exacto"),Prod_Prop!$A:$A,Prod_Prop!$J:$J,"",0,1))</f>
        <v/>
      </c>
      <c r="O222" s="4" t="str">
        <f t="array" ref="O222">IF($E222="","", XLOOKUP(SUMIFS(Prod_Prop!$A:$A,Prod_Prop!$B:$B,$E222,Prod_Prop!$H:$H,O$1,Prod_Prop!$I:$I,"Exacto"),Prod_Prop!$A:$A,Prod_Prop!$J:$J,"",0,1))</f>
        <v/>
      </c>
      <c r="P222" s="4" t="str">
        <f t="array" ref="P222">IF($E222="","", XLOOKUP(SUMIFS(Prod_Prop!$A:$A,Prod_Prop!$B:$B,$E222,Prod_Prop!$H:$H,P$1,Prod_Prop!$I:$I,"Exacto"),Prod_Prop!$A:$A,Prod_Prop!$J:$J,"",0,1))</f>
        <v/>
      </c>
      <c r="Q222" s="4" t="str">
        <f t="array" ref="Q222">IF($E222="","", XLOOKUP(SUMIFS(Prod_Prop!$A:$A,Prod_Prop!$B:$B,$E222,Prod_Prop!$H:$H,Q$1,Prod_Prop!$I:$I,"Exacto"),Prod_Prop!$A:$A,Prod_Prop!$J:$J,"",0,1))</f>
        <v/>
      </c>
      <c r="R222" s="4" t="str">
        <f t="array" ref="R222">IF($E222="","", XLOOKUP(SUMIFS(Prod_Prop!$A:$A,Prod_Prop!$B:$B,$E222,Prod_Prop!$H:$H,R$1,Prod_Prop!$I:$I,"Exacto"),Prod_Prop!$A:$A,Prod_Prop!$J:$J,"",0,1))</f>
        <v/>
      </c>
      <c r="S222" s="4" t="str">
        <f t="array" ref="S222">IF($E222="","", XLOOKUP(SUMIFS(Prod_Prop!$A:$A,Prod_Prop!$B:$B,$E222,Prod_Prop!$H:$H,S$1,Prod_Prop!$I:$I,"Exacto"),Prod_Prop!$A:$A,Prod_Prop!$J:$J,"",0,1))</f>
        <v/>
      </c>
      <c r="T222" s="4" t="str">
        <f t="array" ref="T222">IF($E222="","", XLOOKUP(SUMIFS(Prod_Prop!$A:$A,Prod_Prop!$B:$B,$E222,Prod_Prop!$H:$H,T$1,Prod_Prop!$I:$I,"Exacto"),Prod_Prop!$A:$A,Prod_Prop!$J:$J,"",0,1))</f>
        <v/>
      </c>
      <c r="U222" s="4" t="str">
        <f t="array" ref="U222">IF($E222="","", XLOOKUP(SUMIFS(Prod_Prop!$A:$A,Prod_Prop!$B:$B,$E222,Prod_Prop!$H:$H,U$1,Prod_Prop!$I:$I,"Exacto"),Prod_Prop!$A:$A,Prod_Prop!$J:$J,"",0,1))</f>
        <v/>
      </c>
      <c r="V222" s="4" t="str">
        <f t="array" ref="V222">IF($E222="","", XLOOKUP(SUMIFS(Prod_Prop!$A:$A,Prod_Prop!$B:$B,$E222,Prod_Prop!$H:$H,V$1,Prod_Prop!$I:$I,"Exacto"),Prod_Prop!$A:$A,Prod_Prop!$J:$J,"",0,1))</f>
        <v/>
      </c>
      <c r="X222" s="3" t="str">
        <f>IFERROR(__xludf.DUMMYFUNCTION("IF(D222="""","""",IFERROR(TRANSPOSE(FILTER('Validaciones Cotizador'!U:U,'Validaciones Cotizador'!O:O=D222,'Validaciones Cotizador'!T:T=""x"")),""Finalizar""))"),"")</f>
        <v/>
      </c>
    </row>
    <row r="223">
      <c r="A223" s="2" t="str">
        <f t="array" ref="A223">IF(E223="","",XLOOKUP(D223,'Validaciones Cotizador'!C:C,'Validaciones Cotizador'!A:A,"",0,1))</f>
        <v/>
      </c>
      <c r="B223" s="2" t="str">
        <f t="array" ref="B223">IF(F223="","",XLOOKUP(F223,Productos!E:E,Productos!G:G,"",0,1))</f>
        <v/>
      </c>
      <c r="C223" s="2" t="str">
        <f>IF(A223="","",SUMIFS('Validaciones Cotizador'!B:B,'Validaciones Cotizador'!C:C,D223,'Validaciones Cotizador'!A:A,A223))</f>
        <v/>
      </c>
      <c r="D223" s="4" t="str">
        <f>IFERROR(__xludf.DUMMYFUNCTION("IF(OR(F222=""Finalizar"",F222="""",F222=""Selecciona..""),"""",IF(OR(F222=""-"",INDEX(filter(Familias!F:F,Familias!D:D=A222,Familias!E:E=C222),1)=""O""),D222+1,D222))"),"")</f>
        <v/>
      </c>
      <c r="E223" s="2" t="str">
        <f>IF(OR(F223="",F223="Selecciona.."),"",IF(D223="Implemento",SUMIF(Implementos!B:B,F223,Implementos!A:A),SUMIF(Productos!E:E,F223,Productos!A:A)))</f>
        <v/>
      </c>
      <c r="F223" s="2" t="str">
        <f t="shared" si="2"/>
        <v/>
      </c>
      <c r="G223" s="10" t="str">
        <f t="array" ref="G223">IF(OR(F223="",F223="-",F223="Selecciona..",F223="Finalizar"),"",IF(A223="Rodados",XLOOKUP(B223,'Validaciones Cotizador'!I:I,'Validaciones Cotizador'!J:J,0,0,1),1))</f>
        <v/>
      </c>
      <c r="H223" s="11" t="str">
        <f>IF(OR(F223="",F223="Selecciona.."),"",SUMIF(Precio_Productos!K:K,E223,Precio_Productos!J:J)*G223)</f>
        <v/>
      </c>
      <c r="I223" s="4" t="str">
        <f t="array" ref="I223">IF($E223="","", XLOOKUP(SUMIFS(Prod_Prop!$A:$A,Prod_Prop!$B:$B,$E223,Prod_Prop!$H:$H,I$1,Prod_Prop!$I:$I,"Exacto"),Prod_Prop!$A:$A,Prod_Prop!$J:$J,"",0,1))</f>
        <v/>
      </c>
      <c r="J223" s="4" t="str">
        <f t="array" ref="J223">IF($E223="","", XLOOKUP(SUMIFS(Prod_Prop!$A:$A,Prod_Prop!$B:$B,$E223,Prod_Prop!$H:$H,J$1,Prod_Prop!$I:$I,"Exacto"),Prod_Prop!$A:$A,Prod_Prop!$J:$J,"",0,1))</f>
        <v/>
      </c>
      <c r="K223" s="4" t="str">
        <f t="array" ref="K223">IF($E223="","", XLOOKUP(SUMIFS(Prod_Prop!$A:$A,Prod_Prop!$B:$B,$E223,Prod_Prop!$H:$H,K$1,Prod_Prop!$I:$I,"Exacto"),Prod_Prop!$A:$A,Prod_Prop!$J:$J,"",0,1))</f>
        <v/>
      </c>
      <c r="L223" s="4" t="str">
        <f t="array" ref="L223">IF($E223="","", XLOOKUP(SUMIFS(Prod_Prop!$A:$A,Prod_Prop!$B:$B,$E223,Prod_Prop!$H:$H,L$1,Prod_Prop!$I:$I,"Exacto"),Prod_Prop!$A:$A,Prod_Prop!$J:$J,"",0,1))</f>
        <v/>
      </c>
      <c r="M223" s="4" t="str">
        <f t="array" ref="M223">IF($E223="","", XLOOKUP(SUMIFS(Prod_Prop!$A:$A,Prod_Prop!$B:$B,$E223,Prod_Prop!$H:$H,M$1,Prod_Prop!$I:$I,"Exacto"),Prod_Prop!$A:$A,Prod_Prop!$J:$J,"",0,1))</f>
        <v/>
      </c>
      <c r="N223" s="4" t="str">
        <f t="array" ref="N223">IF($E223="","", XLOOKUP(SUMIFS(Prod_Prop!$A:$A,Prod_Prop!$B:$B,$E223,Prod_Prop!$H:$H,N$1,Prod_Prop!$I:$I,"Exacto"),Prod_Prop!$A:$A,Prod_Prop!$J:$J,"",0,1))</f>
        <v/>
      </c>
      <c r="O223" s="4" t="str">
        <f t="array" ref="O223">IF($E223="","", XLOOKUP(SUMIFS(Prod_Prop!$A:$A,Prod_Prop!$B:$B,$E223,Prod_Prop!$H:$H,O$1,Prod_Prop!$I:$I,"Exacto"),Prod_Prop!$A:$A,Prod_Prop!$J:$J,"",0,1))</f>
        <v/>
      </c>
      <c r="P223" s="4" t="str">
        <f t="array" ref="P223">IF($E223="","", XLOOKUP(SUMIFS(Prod_Prop!$A:$A,Prod_Prop!$B:$B,$E223,Prod_Prop!$H:$H,P$1,Prod_Prop!$I:$I,"Exacto"),Prod_Prop!$A:$A,Prod_Prop!$J:$J,"",0,1))</f>
        <v/>
      </c>
      <c r="Q223" s="4" t="str">
        <f t="array" ref="Q223">IF($E223="","", XLOOKUP(SUMIFS(Prod_Prop!$A:$A,Prod_Prop!$B:$B,$E223,Prod_Prop!$H:$H,Q$1,Prod_Prop!$I:$I,"Exacto"),Prod_Prop!$A:$A,Prod_Prop!$J:$J,"",0,1))</f>
        <v/>
      </c>
      <c r="R223" s="4" t="str">
        <f t="array" ref="R223">IF($E223="","", XLOOKUP(SUMIFS(Prod_Prop!$A:$A,Prod_Prop!$B:$B,$E223,Prod_Prop!$H:$H,R$1,Prod_Prop!$I:$I,"Exacto"),Prod_Prop!$A:$A,Prod_Prop!$J:$J,"",0,1))</f>
        <v/>
      </c>
      <c r="S223" s="4" t="str">
        <f t="array" ref="S223">IF($E223="","", XLOOKUP(SUMIFS(Prod_Prop!$A:$A,Prod_Prop!$B:$B,$E223,Prod_Prop!$H:$H,S$1,Prod_Prop!$I:$I,"Exacto"),Prod_Prop!$A:$A,Prod_Prop!$J:$J,"",0,1))</f>
        <v/>
      </c>
      <c r="T223" s="4" t="str">
        <f t="array" ref="T223">IF($E223="","", XLOOKUP(SUMIFS(Prod_Prop!$A:$A,Prod_Prop!$B:$B,$E223,Prod_Prop!$H:$H,T$1,Prod_Prop!$I:$I,"Exacto"),Prod_Prop!$A:$A,Prod_Prop!$J:$J,"",0,1))</f>
        <v/>
      </c>
      <c r="U223" s="4" t="str">
        <f t="array" ref="U223">IF($E223="","", XLOOKUP(SUMIFS(Prod_Prop!$A:$A,Prod_Prop!$B:$B,$E223,Prod_Prop!$H:$H,U$1,Prod_Prop!$I:$I,"Exacto"),Prod_Prop!$A:$A,Prod_Prop!$J:$J,"",0,1))</f>
        <v/>
      </c>
      <c r="V223" s="4" t="str">
        <f t="array" ref="V223">IF($E223="","", XLOOKUP(SUMIFS(Prod_Prop!$A:$A,Prod_Prop!$B:$B,$E223,Prod_Prop!$H:$H,V$1,Prod_Prop!$I:$I,"Exacto"),Prod_Prop!$A:$A,Prod_Prop!$J:$J,"",0,1))</f>
        <v/>
      </c>
      <c r="X223" s="3" t="str">
        <f>IFERROR(__xludf.DUMMYFUNCTION("IF(D223="""","""",IFERROR(TRANSPOSE(FILTER('Validaciones Cotizador'!U:U,'Validaciones Cotizador'!O:O=D223,'Validaciones Cotizador'!T:T=""x"")),""Finalizar""))"),"")</f>
        <v/>
      </c>
    </row>
    <row r="224">
      <c r="A224" s="2" t="str">
        <f t="array" ref="A224">IF(E224="","",XLOOKUP(D224,'Validaciones Cotizador'!C:C,'Validaciones Cotizador'!A:A,"",0,1))</f>
        <v/>
      </c>
      <c r="B224" s="2" t="str">
        <f t="array" ref="B224">IF(F224="","",XLOOKUP(F224,Productos!E:E,Productos!G:G,"",0,1))</f>
        <v/>
      </c>
      <c r="C224" s="2" t="str">
        <f>IF(A224="","",SUMIFS('Validaciones Cotizador'!B:B,'Validaciones Cotizador'!C:C,D224,'Validaciones Cotizador'!A:A,A224))</f>
        <v/>
      </c>
      <c r="D224" s="4" t="str">
        <f>IFERROR(__xludf.DUMMYFUNCTION("IF(OR(F223=""Finalizar"",F223="""",F223=""Selecciona..""),"""",IF(OR(F223=""-"",INDEX(filter(Familias!F:F,Familias!D:D=A223,Familias!E:E=C223),1)=""O""),D223+1,D223))"),"")</f>
        <v/>
      </c>
      <c r="E224" s="2" t="str">
        <f>IF(OR(F224="",F224="Selecciona.."),"",IF(D224="Implemento",SUMIF(Implementos!B:B,F224,Implementos!A:A),SUMIF(Productos!E:E,F224,Productos!A:A)))</f>
        <v/>
      </c>
      <c r="F224" s="2" t="str">
        <f t="shared" si="2"/>
        <v/>
      </c>
      <c r="G224" s="10" t="str">
        <f t="array" ref="G224">IF(OR(F224="",F224="-",F224="Selecciona..",F224="Finalizar"),"",IF(A224="Rodados",XLOOKUP(B224,'Validaciones Cotizador'!I:I,'Validaciones Cotizador'!J:J,0,0,1),1))</f>
        <v/>
      </c>
      <c r="H224" s="11" t="str">
        <f>IF(OR(F224="",F224="Selecciona.."),"",SUMIF(Precio_Productos!K:K,E224,Precio_Productos!J:J)*G224)</f>
        <v/>
      </c>
      <c r="I224" s="4" t="str">
        <f t="array" ref="I224">IF($E224="","", XLOOKUP(SUMIFS(Prod_Prop!$A:$A,Prod_Prop!$B:$B,$E224,Prod_Prop!$H:$H,I$1,Prod_Prop!$I:$I,"Exacto"),Prod_Prop!$A:$A,Prod_Prop!$J:$J,"",0,1))</f>
        <v/>
      </c>
      <c r="J224" s="4" t="str">
        <f t="array" ref="J224">IF($E224="","", XLOOKUP(SUMIFS(Prod_Prop!$A:$A,Prod_Prop!$B:$B,$E224,Prod_Prop!$H:$H,J$1,Prod_Prop!$I:$I,"Exacto"),Prod_Prop!$A:$A,Prod_Prop!$J:$J,"",0,1))</f>
        <v/>
      </c>
      <c r="K224" s="4" t="str">
        <f t="array" ref="K224">IF($E224="","", XLOOKUP(SUMIFS(Prod_Prop!$A:$A,Prod_Prop!$B:$B,$E224,Prod_Prop!$H:$H,K$1,Prod_Prop!$I:$I,"Exacto"),Prod_Prop!$A:$A,Prod_Prop!$J:$J,"",0,1))</f>
        <v/>
      </c>
      <c r="L224" s="4" t="str">
        <f t="array" ref="L224">IF($E224="","", XLOOKUP(SUMIFS(Prod_Prop!$A:$A,Prod_Prop!$B:$B,$E224,Prod_Prop!$H:$H,L$1,Prod_Prop!$I:$I,"Exacto"),Prod_Prop!$A:$A,Prod_Prop!$J:$J,"",0,1))</f>
        <v/>
      </c>
      <c r="M224" s="4" t="str">
        <f t="array" ref="M224">IF($E224="","", XLOOKUP(SUMIFS(Prod_Prop!$A:$A,Prod_Prop!$B:$B,$E224,Prod_Prop!$H:$H,M$1,Prod_Prop!$I:$I,"Exacto"),Prod_Prop!$A:$A,Prod_Prop!$J:$J,"",0,1))</f>
        <v/>
      </c>
      <c r="N224" s="4" t="str">
        <f t="array" ref="N224">IF($E224="","", XLOOKUP(SUMIFS(Prod_Prop!$A:$A,Prod_Prop!$B:$B,$E224,Prod_Prop!$H:$H,N$1,Prod_Prop!$I:$I,"Exacto"),Prod_Prop!$A:$A,Prod_Prop!$J:$J,"",0,1))</f>
        <v/>
      </c>
      <c r="O224" s="4" t="str">
        <f t="array" ref="O224">IF($E224="","", XLOOKUP(SUMIFS(Prod_Prop!$A:$A,Prod_Prop!$B:$B,$E224,Prod_Prop!$H:$H,O$1,Prod_Prop!$I:$I,"Exacto"),Prod_Prop!$A:$A,Prod_Prop!$J:$J,"",0,1))</f>
        <v/>
      </c>
      <c r="P224" s="4" t="str">
        <f t="array" ref="P224">IF($E224="","", XLOOKUP(SUMIFS(Prod_Prop!$A:$A,Prod_Prop!$B:$B,$E224,Prod_Prop!$H:$H,P$1,Prod_Prop!$I:$I,"Exacto"),Prod_Prop!$A:$A,Prod_Prop!$J:$J,"",0,1))</f>
        <v/>
      </c>
      <c r="Q224" s="4" t="str">
        <f t="array" ref="Q224">IF($E224="","", XLOOKUP(SUMIFS(Prod_Prop!$A:$A,Prod_Prop!$B:$B,$E224,Prod_Prop!$H:$H,Q$1,Prod_Prop!$I:$I,"Exacto"),Prod_Prop!$A:$A,Prod_Prop!$J:$J,"",0,1))</f>
        <v/>
      </c>
      <c r="R224" s="4" t="str">
        <f t="array" ref="R224">IF($E224="","", XLOOKUP(SUMIFS(Prod_Prop!$A:$A,Prod_Prop!$B:$B,$E224,Prod_Prop!$H:$H,R$1,Prod_Prop!$I:$I,"Exacto"),Prod_Prop!$A:$A,Prod_Prop!$J:$J,"",0,1))</f>
        <v/>
      </c>
      <c r="S224" s="4" t="str">
        <f t="array" ref="S224">IF($E224="","", XLOOKUP(SUMIFS(Prod_Prop!$A:$A,Prod_Prop!$B:$B,$E224,Prod_Prop!$H:$H,S$1,Prod_Prop!$I:$I,"Exacto"),Prod_Prop!$A:$A,Prod_Prop!$J:$J,"",0,1))</f>
        <v/>
      </c>
      <c r="T224" s="4" t="str">
        <f t="array" ref="T224">IF($E224="","", XLOOKUP(SUMIFS(Prod_Prop!$A:$A,Prod_Prop!$B:$B,$E224,Prod_Prop!$H:$H,T$1,Prod_Prop!$I:$I,"Exacto"),Prod_Prop!$A:$A,Prod_Prop!$J:$J,"",0,1))</f>
        <v/>
      </c>
      <c r="U224" s="4" t="str">
        <f t="array" ref="U224">IF($E224="","", XLOOKUP(SUMIFS(Prod_Prop!$A:$A,Prod_Prop!$B:$B,$E224,Prod_Prop!$H:$H,U$1,Prod_Prop!$I:$I,"Exacto"),Prod_Prop!$A:$A,Prod_Prop!$J:$J,"",0,1))</f>
        <v/>
      </c>
      <c r="V224" s="4" t="str">
        <f t="array" ref="V224">IF($E224="","", XLOOKUP(SUMIFS(Prod_Prop!$A:$A,Prod_Prop!$B:$B,$E224,Prod_Prop!$H:$H,V$1,Prod_Prop!$I:$I,"Exacto"),Prod_Prop!$A:$A,Prod_Prop!$J:$J,"",0,1))</f>
        <v/>
      </c>
      <c r="X224" s="3" t="str">
        <f>IFERROR(__xludf.DUMMYFUNCTION("IF(D224="""","""",IFERROR(TRANSPOSE(FILTER('Validaciones Cotizador'!U:U,'Validaciones Cotizador'!O:O=D224,'Validaciones Cotizador'!T:T=""x"")),""Finalizar""))"),"")</f>
        <v/>
      </c>
    </row>
    <row r="225">
      <c r="A225" s="2" t="str">
        <f t="array" ref="A225">IF(E225="","",XLOOKUP(D225,'Validaciones Cotizador'!C:C,'Validaciones Cotizador'!A:A,"",0,1))</f>
        <v/>
      </c>
      <c r="B225" s="2" t="str">
        <f t="array" ref="B225">IF(F225="","",XLOOKUP(F225,Productos!E:E,Productos!G:G,"",0,1))</f>
        <v/>
      </c>
      <c r="C225" s="2" t="str">
        <f>IF(A225="","",SUMIFS('Validaciones Cotizador'!B:B,'Validaciones Cotizador'!C:C,D225,'Validaciones Cotizador'!A:A,A225))</f>
        <v/>
      </c>
      <c r="D225" s="4" t="str">
        <f>IFERROR(__xludf.DUMMYFUNCTION("IF(OR(F224=""Finalizar"",F224="""",F224=""Selecciona..""),"""",IF(OR(F224=""-"",INDEX(filter(Familias!F:F,Familias!D:D=A224,Familias!E:E=C224),1)=""O""),D224+1,D224))"),"")</f>
        <v/>
      </c>
      <c r="E225" s="2" t="str">
        <f>IF(OR(F225="",F225="Selecciona.."),"",IF(D225="Implemento",SUMIF(Implementos!B:B,F225,Implementos!A:A),SUMIF(Productos!E:E,F225,Productos!A:A)))</f>
        <v/>
      </c>
      <c r="F225" s="2" t="str">
        <f t="shared" si="2"/>
        <v/>
      </c>
      <c r="G225" s="10" t="str">
        <f t="array" ref="G225">IF(OR(F225="",F225="-",F225="Selecciona..",F225="Finalizar"),"",IF(A225="Rodados",XLOOKUP(B225,'Validaciones Cotizador'!I:I,'Validaciones Cotizador'!J:J,0,0,1),1))</f>
        <v/>
      </c>
      <c r="H225" s="11" t="str">
        <f>IF(OR(F225="",F225="Selecciona.."),"",SUMIF(Precio_Productos!K:K,E225,Precio_Productos!J:J)*G225)</f>
        <v/>
      </c>
      <c r="I225" s="4" t="str">
        <f t="array" ref="I225">IF($E225="","", XLOOKUP(SUMIFS(Prod_Prop!$A:$A,Prod_Prop!$B:$B,$E225,Prod_Prop!$H:$H,I$1,Prod_Prop!$I:$I,"Exacto"),Prod_Prop!$A:$A,Prod_Prop!$J:$J,"",0,1))</f>
        <v/>
      </c>
      <c r="J225" s="4" t="str">
        <f t="array" ref="J225">IF($E225="","", XLOOKUP(SUMIFS(Prod_Prop!$A:$A,Prod_Prop!$B:$B,$E225,Prod_Prop!$H:$H,J$1,Prod_Prop!$I:$I,"Exacto"),Prod_Prop!$A:$A,Prod_Prop!$J:$J,"",0,1))</f>
        <v/>
      </c>
      <c r="K225" s="4" t="str">
        <f t="array" ref="K225">IF($E225="","", XLOOKUP(SUMIFS(Prod_Prop!$A:$A,Prod_Prop!$B:$B,$E225,Prod_Prop!$H:$H,K$1,Prod_Prop!$I:$I,"Exacto"),Prod_Prop!$A:$A,Prod_Prop!$J:$J,"",0,1))</f>
        <v/>
      </c>
      <c r="L225" s="4" t="str">
        <f t="array" ref="L225">IF($E225="","", XLOOKUP(SUMIFS(Prod_Prop!$A:$A,Prod_Prop!$B:$B,$E225,Prod_Prop!$H:$H,L$1,Prod_Prop!$I:$I,"Exacto"),Prod_Prop!$A:$A,Prod_Prop!$J:$J,"",0,1))</f>
        <v/>
      </c>
      <c r="M225" s="4" t="str">
        <f t="array" ref="M225">IF($E225="","", XLOOKUP(SUMIFS(Prod_Prop!$A:$A,Prod_Prop!$B:$B,$E225,Prod_Prop!$H:$H,M$1,Prod_Prop!$I:$I,"Exacto"),Prod_Prop!$A:$A,Prod_Prop!$J:$J,"",0,1))</f>
        <v/>
      </c>
      <c r="N225" s="4" t="str">
        <f t="array" ref="N225">IF($E225="","", XLOOKUP(SUMIFS(Prod_Prop!$A:$A,Prod_Prop!$B:$B,$E225,Prod_Prop!$H:$H,N$1,Prod_Prop!$I:$I,"Exacto"),Prod_Prop!$A:$A,Prod_Prop!$J:$J,"",0,1))</f>
        <v/>
      </c>
      <c r="O225" s="4" t="str">
        <f t="array" ref="O225">IF($E225="","", XLOOKUP(SUMIFS(Prod_Prop!$A:$A,Prod_Prop!$B:$B,$E225,Prod_Prop!$H:$H,O$1,Prod_Prop!$I:$I,"Exacto"),Prod_Prop!$A:$A,Prod_Prop!$J:$J,"",0,1))</f>
        <v/>
      </c>
      <c r="P225" s="4" t="str">
        <f t="array" ref="P225">IF($E225="","", XLOOKUP(SUMIFS(Prod_Prop!$A:$A,Prod_Prop!$B:$B,$E225,Prod_Prop!$H:$H,P$1,Prod_Prop!$I:$I,"Exacto"),Prod_Prop!$A:$A,Prod_Prop!$J:$J,"",0,1))</f>
        <v/>
      </c>
      <c r="Q225" s="4" t="str">
        <f t="array" ref="Q225">IF($E225="","", XLOOKUP(SUMIFS(Prod_Prop!$A:$A,Prod_Prop!$B:$B,$E225,Prod_Prop!$H:$H,Q$1,Prod_Prop!$I:$I,"Exacto"),Prod_Prop!$A:$A,Prod_Prop!$J:$J,"",0,1))</f>
        <v/>
      </c>
      <c r="R225" s="4" t="str">
        <f t="array" ref="R225">IF($E225="","", XLOOKUP(SUMIFS(Prod_Prop!$A:$A,Prod_Prop!$B:$B,$E225,Prod_Prop!$H:$H,R$1,Prod_Prop!$I:$I,"Exacto"),Prod_Prop!$A:$A,Prod_Prop!$J:$J,"",0,1))</f>
        <v/>
      </c>
      <c r="S225" s="4" t="str">
        <f t="array" ref="S225">IF($E225="","", XLOOKUP(SUMIFS(Prod_Prop!$A:$A,Prod_Prop!$B:$B,$E225,Prod_Prop!$H:$H,S$1,Prod_Prop!$I:$I,"Exacto"),Prod_Prop!$A:$A,Prod_Prop!$J:$J,"",0,1))</f>
        <v/>
      </c>
      <c r="T225" s="4" t="str">
        <f t="array" ref="T225">IF($E225="","", XLOOKUP(SUMIFS(Prod_Prop!$A:$A,Prod_Prop!$B:$B,$E225,Prod_Prop!$H:$H,T$1,Prod_Prop!$I:$I,"Exacto"),Prod_Prop!$A:$A,Prod_Prop!$J:$J,"",0,1))</f>
        <v/>
      </c>
      <c r="U225" s="4" t="str">
        <f t="array" ref="U225">IF($E225="","", XLOOKUP(SUMIFS(Prod_Prop!$A:$A,Prod_Prop!$B:$B,$E225,Prod_Prop!$H:$H,U$1,Prod_Prop!$I:$I,"Exacto"),Prod_Prop!$A:$A,Prod_Prop!$J:$J,"",0,1))</f>
        <v/>
      </c>
      <c r="V225" s="4" t="str">
        <f t="array" ref="V225">IF($E225="","", XLOOKUP(SUMIFS(Prod_Prop!$A:$A,Prod_Prop!$B:$B,$E225,Prod_Prop!$H:$H,V$1,Prod_Prop!$I:$I,"Exacto"),Prod_Prop!$A:$A,Prod_Prop!$J:$J,"",0,1))</f>
        <v/>
      </c>
      <c r="X225" s="3" t="str">
        <f>IFERROR(__xludf.DUMMYFUNCTION("IF(D225="""","""",IFERROR(TRANSPOSE(FILTER('Validaciones Cotizador'!U:U,'Validaciones Cotizador'!O:O=D225,'Validaciones Cotizador'!T:T=""x"")),""Finalizar""))"),"")</f>
        <v/>
      </c>
    </row>
    <row r="226">
      <c r="A226" s="2" t="str">
        <f t="array" ref="A226">IF(E226="","",XLOOKUP(D226,'Validaciones Cotizador'!C:C,'Validaciones Cotizador'!A:A,"",0,1))</f>
        <v/>
      </c>
      <c r="B226" s="2" t="str">
        <f t="array" ref="B226">IF(F226="","",XLOOKUP(F226,Productos!E:E,Productos!G:G,"",0,1))</f>
        <v/>
      </c>
      <c r="C226" s="2" t="str">
        <f>IF(A226="","",SUMIFS('Validaciones Cotizador'!B:B,'Validaciones Cotizador'!C:C,D226,'Validaciones Cotizador'!A:A,A226))</f>
        <v/>
      </c>
      <c r="D226" s="4" t="str">
        <f>IFERROR(__xludf.DUMMYFUNCTION("IF(OR(F225=""Finalizar"",F225="""",F225=""Selecciona..""),"""",IF(OR(F225=""-"",INDEX(filter(Familias!F:F,Familias!D:D=A225,Familias!E:E=C225),1)=""O""),D225+1,D225))"),"")</f>
        <v/>
      </c>
      <c r="E226" s="2" t="str">
        <f>IF(OR(F226="",F226="Selecciona.."),"",IF(D226="Implemento",SUMIF(Implementos!B:B,F226,Implementos!A:A),SUMIF(Productos!E:E,F226,Productos!A:A)))</f>
        <v/>
      </c>
      <c r="F226" s="2" t="str">
        <f t="shared" si="2"/>
        <v/>
      </c>
      <c r="G226" s="10" t="str">
        <f t="array" ref="G226">IF(OR(F226="",F226="-",F226="Selecciona..",F226="Finalizar"),"",IF(A226="Rodados",XLOOKUP(B226,'Validaciones Cotizador'!I:I,'Validaciones Cotizador'!J:J,0,0,1),1))</f>
        <v/>
      </c>
      <c r="H226" s="11" t="str">
        <f>IF(OR(F226="",F226="Selecciona.."),"",SUMIF(Precio_Productos!K:K,E226,Precio_Productos!J:J)*G226)</f>
        <v/>
      </c>
      <c r="I226" s="4" t="str">
        <f t="array" ref="I226">IF($E226="","", XLOOKUP(SUMIFS(Prod_Prop!$A:$A,Prod_Prop!$B:$B,$E226,Prod_Prop!$H:$H,I$1,Prod_Prop!$I:$I,"Exacto"),Prod_Prop!$A:$A,Prod_Prop!$J:$J,"",0,1))</f>
        <v/>
      </c>
      <c r="J226" s="4" t="str">
        <f t="array" ref="J226">IF($E226="","", XLOOKUP(SUMIFS(Prod_Prop!$A:$A,Prod_Prop!$B:$B,$E226,Prod_Prop!$H:$H,J$1,Prod_Prop!$I:$I,"Exacto"),Prod_Prop!$A:$A,Prod_Prop!$J:$J,"",0,1))</f>
        <v/>
      </c>
      <c r="K226" s="4" t="str">
        <f t="array" ref="K226">IF($E226="","", XLOOKUP(SUMIFS(Prod_Prop!$A:$A,Prod_Prop!$B:$B,$E226,Prod_Prop!$H:$H,K$1,Prod_Prop!$I:$I,"Exacto"),Prod_Prop!$A:$A,Prod_Prop!$J:$J,"",0,1))</f>
        <v/>
      </c>
      <c r="L226" s="4" t="str">
        <f t="array" ref="L226">IF($E226="","", XLOOKUP(SUMIFS(Prod_Prop!$A:$A,Prod_Prop!$B:$B,$E226,Prod_Prop!$H:$H,L$1,Prod_Prop!$I:$I,"Exacto"),Prod_Prop!$A:$A,Prod_Prop!$J:$J,"",0,1))</f>
        <v/>
      </c>
      <c r="M226" s="4" t="str">
        <f t="array" ref="M226">IF($E226="","", XLOOKUP(SUMIFS(Prod_Prop!$A:$A,Prod_Prop!$B:$B,$E226,Prod_Prop!$H:$H,M$1,Prod_Prop!$I:$I,"Exacto"),Prod_Prop!$A:$A,Prod_Prop!$J:$J,"",0,1))</f>
        <v/>
      </c>
      <c r="N226" s="4" t="str">
        <f t="array" ref="N226">IF($E226="","", XLOOKUP(SUMIFS(Prod_Prop!$A:$A,Prod_Prop!$B:$B,$E226,Prod_Prop!$H:$H,N$1,Prod_Prop!$I:$I,"Exacto"),Prod_Prop!$A:$A,Prod_Prop!$J:$J,"",0,1))</f>
        <v/>
      </c>
      <c r="O226" s="4" t="str">
        <f t="array" ref="O226">IF($E226="","", XLOOKUP(SUMIFS(Prod_Prop!$A:$A,Prod_Prop!$B:$B,$E226,Prod_Prop!$H:$H,O$1,Prod_Prop!$I:$I,"Exacto"),Prod_Prop!$A:$A,Prod_Prop!$J:$J,"",0,1))</f>
        <v/>
      </c>
      <c r="P226" s="4" t="str">
        <f t="array" ref="P226">IF($E226="","", XLOOKUP(SUMIFS(Prod_Prop!$A:$A,Prod_Prop!$B:$B,$E226,Prod_Prop!$H:$H,P$1,Prod_Prop!$I:$I,"Exacto"),Prod_Prop!$A:$A,Prod_Prop!$J:$J,"",0,1))</f>
        <v/>
      </c>
      <c r="Q226" s="4" t="str">
        <f t="array" ref="Q226">IF($E226="","", XLOOKUP(SUMIFS(Prod_Prop!$A:$A,Prod_Prop!$B:$B,$E226,Prod_Prop!$H:$H,Q$1,Prod_Prop!$I:$I,"Exacto"),Prod_Prop!$A:$A,Prod_Prop!$J:$J,"",0,1))</f>
        <v/>
      </c>
      <c r="R226" s="4" t="str">
        <f t="array" ref="R226">IF($E226="","", XLOOKUP(SUMIFS(Prod_Prop!$A:$A,Prod_Prop!$B:$B,$E226,Prod_Prop!$H:$H,R$1,Prod_Prop!$I:$I,"Exacto"),Prod_Prop!$A:$A,Prod_Prop!$J:$J,"",0,1))</f>
        <v/>
      </c>
      <c r="S226" s="4" t="str">
        <f t="array" ref="S226">IF($E226="","", XLOOKUP(SUMIFS(Prod_Prop!$A:$A,Prod_Prop!$B:$B,$E226,Prod_Prop!$H:$H,S$1,Prod_Prop!$I:$I,"Exacto"),Prod_Prop!$A:$A,Prod_Prop!$J:$J,"",0,1))</f>
        <v/>
      </c>
      <c r="T226" s="4" t="str">
        <f t="array" ref="T226">IF($E226="","", XLOOKUP(SUMIFS(Prod_Prop!$A:$A,Prod_Prop!$B:$B,$E226,Prod_Prop!$H:$H,T$1,Prod_Prop!$I:$I,"Exacto"),Prod_Prop!$A:$A,Prod_Prop!$J:$J,"",0,1))</f>
        <v/>
      </c>
      <c r="U226" s="4" t="str">
        <f t="array" ref="U226">IF($E226="","", XLOOKUP(SUMIFS(Prod_Prop!$A:$A,Prod_Prop!$B:$B,$E226,Prod_Prop!$H:$H,U$1,Prod_Prop!$I:$I,"Exacto"),Prod_Prop!$A:$A,Prod_Prop!$J:$J,"",0,1))</f>
        <v/>
      </c>
      <c r="V226" s="4" t="str">
        <f t="array" ref="V226">IF($E226="","", XLOOKUP(SUMIFS(Prod_Prop!$A:$A,Prod_Prop!$B:$B,$E226,Prod_Prop!$H:$H,V$1,Prod_Prop!$I:$I,"Exacto"),Prod_Prop!$A:$A,Prod_Prop!$J:$J,"",0,1))</f>
        <v/>
      </c>
      <c r="X226" s="3" t="str">
        <f>IFERROR(__xludf.DUMMYFUNCTION("IF(D226="""","""",IFERROR(TRANSPOSE(FILTER('Validaciones Cotizador'!U:U,'Validaciones Cotizador'!O:O=D226,'Validaciones Cotizador'!T:T=""x"")),""Finalizar""))"),"")</f>
        <v/>
      </c>
    </row>
    <row r="227">
      <c r="A227" s="2" t="str">
        <f t="array" ref="A227">IF(E227="","",XLOOKUP(D227,'Validaciones Cotizador'!C:C,'Validaciones Cotizador'!A:A,"",0,1))</f>
        <v/>
      </c>
      <c r="B227" s="2" t="str">
        <f t="array" ref="B227">IF(F227="","",XLOOKUP(F227,Productos!E:E,Productos!G:G,"",0,1))</f>
        <v/>
      </c>
      <c r="C227" s="2" t="str">
        <f>IF(A227="","",SUMIFS('Validaciones Cotizador'!B:B,'Validaciones Cotizador'!C:C,D227,'Validaciones Cotizador'!A:A,A227))</f>
        <v/>
      </c>
      <c r="D227" s="4" t="str">
        <f>IFERROR(__xludf.DUMMYFUNCTION("IF(OR(F226=""Finalizar"",F226="""",F226=""Selecciona..""),"""",IF(OR(F226=""-"",INDEX(filter(Familias!F:F,Familias!D:D=A226,Familias!E:E=C226),1)=""O""),D226+1,D226))"),"")</f>
        <v/>
      </c>
      <c r="E227" s="2" t="str">
        <f>IF(OR(F227="",F227="Selecciona.."),"",IF(D227="Implemento",SUMIF(Implementos!B:B,F227,Implementos!A:A),SUMIF(Productos!E:E,F227,Productos!A:A)))</f>
        <v/>
      </c>
      <c r="F227" s="2" t="str">
        <f t="shared" si="2"/>
        <v/>
      </c>
      <c r="G227" s="10" t="str">
        <f t="array" ref="G227">IF(OR(F227="",F227="-",F227="Selecciona..",F227="Finalizar"),"",IF(A227="Rodados",XLOOKUP(B227,'Validaciones Cotizador'!I:I,'Validaciones Cotizador'!J:J,0,0,1),1))</f>
        <v/>
      </c>
      <c r="H227" s="11" t="str">
        <f>IF(OR(F227="",F227="Selecciona.."),"",SUMIF(Precio_Productos!K:K,E227,Precio_Productos!J:J)*G227)</f>
        <v/>
      </c>
      <c r="I227" s="4" t="str">
        <f t="array" ref="I227">IF($E227="","", XLOOKUP(SUMIFS(Prod_Prop!$A:$A,Prod_Prop!$B:$B,$E227,Prod_Prop!$H:$H,I$1,Prod_Prop!$I:$I,"Exacto"),Prod_Prop!$A:$A,Prod_Prop!$J:$J,"",0,1))</f>
        <v/>
      </c>
      <c r="J227" s="4" t="str">
        <f t="array" ref="J227">IF($E227="","", XLOOKUP(SUMIFS(Prod_Prop!$A:$A,Prod_Prop!$B:$B,$E227,Prod_Prop!$H:$H,J$1,Prod_Prop!$I:$I,"Exacto"),Prod_Prop!$A:$A,Prod_Prop!$J:$J,"",0,1))</f>
        <v/>
      </c>
      <c r="K227" s="4" t="str">
        <f t="array" ref="K227">IF($E227="","", XLOOKUP(SUMIFS(Prod_Prop!$A:$A,Prod_Prop!$B:$B,$E227,Prod_Prop!$H:$H,K$1,Prod_Prop!$I:$I,"Exacto"),Prod_Prop!$A:$A,Prod_Prop!$J:$J,"",0,1))</f>
        <v/>
      </c>
      <c r="L227" s="4" t="str">
        <f t="array" ref="L227">IF($E227="","", XLOOKUP(SUMIFS(Prod_Prop!$A:$A,Prod_Prop!$B:$B,$E227,Prod_Prop!$H:$H,L$1,Prod_Prop!$I:$I,"Exacto"),Prod_Prop!$A:$A,Prod_Prop!$J:$J,"",0,1))</f>
        <v/>
      </c>
      <c r="M227" s="4" t="str">
        <f t="array" ref="M227">IF($E227="","", XLOOKUP(SUMIFS(Prod_Prop!$A:$A,Prod_Prop!$B:$B,$E227,Prod_Prop!$H:$H,M$1,Prod_Prop!$I:$I,"Exacto"),Prod_Prop!$A:$A,Prod_Prop!$J:$J,"",0,1))</f>
        <v/>
      </c>
      <c r="N227" s="4" t="str">
        <f t="array" ref="N227">IF($E227="","", XLOOKUP(SUMIFS(Prod_Prop!$A:$A,Prod_Prop!$B:$B,$E227,Prod_Prop!$H:$H,N$1,Prod_Prop!$I:$I,"Exacto"),Prod_Prop!$A:$A,Prod_Prop!$J:$J,"",0,1))</f>
        <v/>
      </c>
      <c r="O227" s="4" t="str">
        <f t="array" ref="O227">IF($E227="","", XLOOKUP(SUMIFS(Prod_Prop!$A:$A,Prod_Prop!$B:$B,$E227,Prod_Prop!$H:$H,O$1,Prod_Prop!$I:$I,"Exacto"),Prod_Prop!$A:$A,Prod_Prop!$J:$J,"",0,1))</f>
        <v/>
      </c>
      <c r="P227" s="4" t="str">
        <f t="array" ref="P227">IF($E227="","", XLOOKUP(SUMIFS(Prod_Prop!$A:$A,Prod_Prop!$B:$B,$E227,Prod_Prop!$H:$H,P$1,Prod_Prop!$I:$I,"Exacto"),Prod_Prop!$A:$A,Prod_Prop!$J:$J,"",0,1))</f>
        <v/>
      </c>
      <c r="Q227" s="4" t="str">
        <f t="array" ref="Q227">IF($E227="","", XLOOKUP(SUMIFS(Prod_Prop!$A:$A,Prod_Prop!$B:$B,$E227,Prod_Prop!$H:$H,Q$1,Prod_Prop!$I:$I,"Exacto"),Prod_Prop!$A:$A,Prod_Prop!$J:$J,"",0,1))</f>
        <v/>
      </c>
      <c r="R227" s="4" t="str">
        <f t="array" ref="R227">IF($E227="","", XLOOKUP(SUMIFS(Prod_Prop!$A:$A,Prod_Prop!$B:$B,$E227,Prod_Prop!$H:$H,R$1,Prod_Prop!$I:$I,"Exacto"),Prod_Prop!$A:$A,Prod_Prop!$J:$J,"",0,1))</f>
        <v/>
      </c>
      <c r="S227" s="4" t="str">
        <f t="array" ref="S227">IF($E227="","", XLOOKUP(SUMIFS(Prod_Prop!$A:$A,Prod_Prop!$B:$B,$E227,Prod_Prop!$H:$H,S$1,Prod_Prop!$I:$I,"Exacto"),Prod_Prop!$A:$A,Prod_Prop!$J:$J,"",0,1))</f>
        <v/>
      </c>
      <c r="T227" s="4" t="str">
        <f t="array" ref="T227">IF($E227="","", XLOOKUP(SUMIFS(Prod_Prop!$A:$A,Prod_Prop!$B:$B,$E227,Prod_Prop!$H:$H,T$1,Prod_Prop!$I:$I,"Exacto"),Prod_Prop!$A:$A,Prod_Prop!$J:$J,"",0,1))</f>
        <v/>
      </c>
      <c r="U227" s="4" t="str">
        <f t="array" ref="U227">IF($E227="","", XLOOKUP(SUMIFS(Prod_Prop!$A:$A,Prod_Prop!$B:$B,$E227,Prod_Prop!$H:$H,U$1,Prod_Prop!$I:$I,"Exacto"),Prod_Prop!$A:$A,Prod_Prop!$J:$J,"",0,1))</f>
        <v/>
      </c>
      <c r="V227" s="4" t="str">
        <f t="array" ref="V227">IF($E227="","", XLOOKUP(SUMIFS(Prod_Prop!$A:$A,Prod_Prop!$B:$B,$E227,Prod_Prop!$H:$H,V$1,Prod_Prop!$I:$I,"Exacto"),Prod_Prop!$A:$A,Prod_Prop!$J:$J,"",0,1))</f>
        <v/>
      </c>
      <c r="X227" s="3" t="str">
        <f>IFERROR(__xludf.DUMMYFUNCTION("IF(D227="""","""",IFERROR(TRANSPOSE(FILTER('Validaciones Cotizador'!U:U,'Validaciones Cotizador'!O:O=D227,'Validaciones Cotizador'!T:T=""x"")),""Finalizar""))"),"")</f>
        <v/>
      </c>
    </row>
    <row r="228">
      <c r="A228" s="2" t="str">
        <f t="array" ref="A228">IF(E228="","",XLOOKUP(D228,'Validaciones Cotizador'!C:C,'Validaciones Cotizador'!A:A,"",0,1))</f>
        <v/>
      </c>
      <c r="B228" s="2" t="str">
        <f t="array" ref="B228">IF(F228="","",XLOOKUP(F228,Productos!E:E,Productos!G:G,"",0,1))</f>
        <v/>
      </c>
      <c r="C228" s="2" t="str">
        <f>IF(A228="","",SUMIFS('Validaciones Cotizador'!B:B,'Validaciones Cotizador'!C:C,D228,'Validaciones Cotizador'!A:A,A228))</f>
        <v/>
      </c>
      <c r="D228" s="4" t="str">
        <f>IFERROR(__xludf.DUMMYFUNCTION("IF(OR(F227=""Finalizar"",F227="""",F227=""Selecciona..""),"""",IF(OR(F227=""-"",INDEX(filter(Familias!F:F,Familias!D:D=A227,Familias!E:E=C227),1)=""O""),D227+1,D227))"),"")</f>
        <v/>
      </c>
      <c r="E228" s="2" t="str">
        <f>IF(OR(F228="",F228="Selecciona.."),"",IF(D228="Implemento",SUMIF(Implementos!B:B,F228,Implementos!A:A),SUMIF(Productos!E:E,F228,Productos!A:A)))</f>
        <v/>
      </c>
      <c r="F228" s="2" t="str">
        <f t="shared" si="2"/>
        <v/>
      </c>
      <c r="G228" s="10" t="str">
        <f t="array" ref="G228">IF(OR(F228="",F228="-",F228="Selecciona..",F228="Finalizar"),"",IF(A228="Rodados",XLOOKUP(B228,'Validaciones Cotizador'!I:I,'Validaciones Cotizador'!J:J,0,0,1),1))</f>
        <v/>
      </c>
      <c r="H228" s="11" t="str">
        <f>IF(OR(F228="",F228="Selecciona.."),"",SUMIF(Precio_Productos!K:K,E228,Precio_Productos!J:J)*G228)</f>
        <v/>
      </c>
      <c r="I228" s="4" t="str">
        <f t="array" ref="I228">IF($E228="","", XLOOKUP(SUMIFS(Prod_Prop!$A:$A,Prod_Prop!$B:$B,$E228,Prod_Prop!$H:$H,I$1,Prod_Prop!$I:$I,"Exacto"),Prod_Prop!$A:$A,Prod_Prop!$J:$J,"",0,1))</f>
        <v/>
      </c>
      <c r="J228" s="4" t="str">
        <f t="array" ref="J228">IF($E228="","", XLOOKUP(SUMIFS(Prod_Prop!$A:$A,Prod_Prop!$B:$B,$E228,Prod_Prop!$H:$H,J$1,Prod_Prop!$I:$I,"Exacto"),Prod_Prop!$A:$A,Prod_Prop!$J:$J,"",0,1))</f>
        <v/>
      </c>
      <c r="K228" s="4" t="str">
        <f t="array" ref="K228">IF($E228="","", XLOOKUP(SUMIFS(Prod_Prop!$A:$A,Prod_Prop!$B:$B,$E228,Prod_Prop!$H:$H,K$1,Prod_Prop!$I:$I,"Exacto"),Prod_Prop!$A:$A,Prod_Prop!$J:$J,"",0,1))</f>
        <v/>
      </c>
      <c r="L228" s="4" t="str">
        <f t="array" ref="L228">IF($E228="","", XLOOKUP(SUMIFS(Prod_Prop!$A:$A,Prod_Prop!$B:$B,$E228,Prod_Prop!$H:$H,L$1,Prod_Prop!$I:$I,"Exacto"),Prod_Prop!$A:$A,Prod_Prop!$J:$J,"",0,1))</f>
        <v/>
      </c>
      <c r="M228" s="4" t="str">
        <f t="array" ref="M228">IF($E228="","", XLOOKUP(SUMIFS(Prod_Prop!$A:$A,Prod_Prop!$B:$B,$E228,Prod_Prop!$H:$H,M$1,Prod_Prop!$I:$I,"Exacto"),Prod_Prop!$A:$A,Prod_Prop!$J:$J,"",0,1))</f>
        <v/>
      </c>
      <c r="N228" s="4" t="str">
        <f t="array" ref="N228">IF($E228="","", XLOOKUP(SUMIFS(Prod_Prop!$A:$A,Prod_Prop!$B:$B,$E228,Prod_Prop!$H:$H,N$1,Prod_Prop!$I:$I,"Exacto"),Prod_Prop!$A:$A,Prod_Prop!$J:$J,"",0,1))</f>
        <v/>
      </c>
      <c r="O228" s="4" t="str">
        <f t="array" ref="O228">IF($E228="","", XLOOKUP(SUMIFS(Prod_Prop!$A:$A,Prod_Prop!$B:$B,$E228,Prod_Prop!$H:$H,O$1,Prod_Prop!$I:$I,"Exacto"),Prod_Prop!$A:$A,Prod_Prop!$J:$J,"",0,1))</f>
        <v/>
      </c>
      <c r="P228" s="4" t="str">
        <f t="array" ref="P228">IF($E228="","", XLOOKUP(SUMIFS(Prod_Prop!$A:$A,Prod_Prop!$B:$B,$E228,Prod_Prop!$H:$H,P$1,Prod_Prop!$I:$I,"Exacto"),Prod_Prop!$A:$A,Prod_Prop!$J:$J,"",0,1))</f>
        <v/>
      </c>
      <c r="Q228" s="4" t="str">
        <f t="array" ref="Q228">IF($E228="","", XLOOKUP(SUMIFS(Prod_Prop!$A:$A,Prod_Prop!$B:$B,$E228,Prod_Prop!$H:$H,Q$1,Prod_Prop!$I:$I,"Exacto"),Prod_Prop!$A:$A,Prod_Prop!$J:$J,"",0,1))</f>
        <v/>
      </c>
      <c r="R228" s="4" t="str">
        <f t="array" ref="R228">IF($E228="","", XLOOKUP(SUMIFS(Prod_Prop!$A:$A,Prod_Prop!$B:$B,$E228,Prod_Prop!$H:$H,R$1,Prod_Prop!$I:$I,"Exacto"),Prod_Prop!$A:$A,Prod_Prop!$J:$J,"",0,1))</f>
        <v/>
      </c>
      <c r="S228" s="4" t="str">
        <f t="array" ref="S228">IF($E228="","", XLOOKUP(SUMIFS(Prod_Prop!$A:$A,Prod_Prop!$B:$B,$E228,Prod_Prop!$H:$H,S$1,Prod_Prop!$I:$I,"Exacto"),Prod_Prop!$A:$A,Prod_Prop!$J:$J,"",0,1))</f>
        <v/>
      </c>
      <c r="T228" s="4" t="str">
        <f t="array" ref="T228">IF($E228="","", XLOOKUP(SUMIFS(Prod_Prop!$A:$A,Prod_Prop!$B:$B,$E228,Prod_Prop!$H:$H,T$1,Prod_Prop!$I:$I,"Exacto"),Prod_Prop!$A:$A,Prod_Prop!$J:$J,"",0,1))</f>
        <v/>
      </c>
      <c r="U228" s="4" t="str">
        <f t="array" ref="U228">IF($E228="","", XLOOKUP(SUMIFS(Prod_Prop!$A:$A,Prod_Prop!$B:$B,$E228,Prod_Prop!$H:$H,U$1,Prod_Prop!$I:$I,"Exacto"),Prod_Prop!$A:$A,Prod_Prop!$J:$J,"",0,1))</f>
        <v/>
      </c>
      <c r="V228" s="4" t="str">
        <f t="array" ref="V228">IF($E228="","", XLOOKUP(SUMIFS(Prod_Prop!$A:$A,Prod_Prop!$B:$B,$E228,Prod_Prop!$H:$H,V$1,Prod_Prop!$I:$I,"Exacto"),Prod_Prop!$A:$A,Prod_Prop!$J:$J,"",0,1))</f>
        <v/>
      </c>
      <c r="X228" s="3" t="str">
        <f>IFERROR(__xludf.DUMMYFUNCTION("IF(D228="""","""",IFERROR(TRANSPOSE(FILTER('Validaciones Cotizador'!U:U,'Validaciones Cotizador'!O:O=D228,'Validaciones Cotizador'!T:T=""x"")),""Finalizar""))"),"")</f>
        <v/>
      </c>
    </row>
    <row r="229">
      <c r="A229" s="2" t="str">
        <f t="array" ref="A229">IF(E229="","",XLOOKUP(D229,'Validaciones Cotizador'!C:C,'Validaciones Cotizador'!A:A,"",0,1))</f>
        <v/>
      </c>
      <c r="B229" s="2" t="str">
        <f t="array" ref="B229">IF(F229="","",XLOOKUP(F229,Productos!E:E,Productos!G:G,"",0,1))</f>
        <v/>
      </c>
      <c r="C229" s="2" t="str">
        <f>IF(A229="","",SUMIFS('Validaciones Cotizador'!B:B,'Validaciones Cotizador'!C:C,D229,'Validaciones Cotizador'!A:A,A229))</f>
        <v/>
      </c>
      <c r="D229" s="4" t="str">
        <f>IFERROR(__xludf.DUMMYFUNCTION("IF(OR(F228=""Finalizar"",F228="""",F228=""Selecciona..""),"""",IF(OR(F228=""-"",INDEX(filter(Familias!F:F,Familias!D:D=A228,Familias!E:E=C228),1)=""O""),D228+1,D228))"),"")</f>
        <v/>
      </c>
      <c r="E229" s="2" t="str">
        <f>IF(OR(F229="",F229="Selecciona.."),"",IF(D229="Implemento",SUMIF(Implementos!B:B,F229,Implementos!A:A),SUMIF(Productos!E:E,F229,Productos!A:A)))</f>
        <v/>
      </c>
      <c r="F229" s="2" t="str">
        <f t="shared" si="2"/>
        <v/>
      </c>
      <c r="G229" s="10" t="str">
        <f t="array" ref="G229">IF(OR(F229="",F229="-",F229="Selecciona..",F229="Finalizar"),"",IF(A229="Rodados",XLOOKUP(B229,'Validaciones Cotizador'!I:I,'Validaciones Cotizador'!J:J,0,0,1),1))</f>
        <v/>
      </c>
      <c r="H229" s="11" t="str">
        <f>IF(OR(F229="",F229="Selecciona.."),"",SUMIF(Precio_Productos!K:K,E229,Precio_Productos!J:J)*G229)</f>
        <v/>
      </c>
      <c r="I229" s="4" t="str">
        <f t="array" ref="I229">IF($E229="","", XLOOKUP(SUMIFS(Prod_Prop!$A:$A,Prod_Prop!$B:$B,$E229,Prod_Prop!$H:$H,I$1,Prod_Prop!$I:$I,"Exacto"),Prod_Prop!$A:$A,Prod_Prop!$J:$J,"",0,1))</f>
        <v/>
      </c>
      <c r="J229" s="4" t="str">
        <f t="array" ref="J229">IF($E229="","", XLOOKUP(SUMIFS(Prod_Prop!$A:$A,Prod_Prop!$B:$B,$E229,Prod_Prop!$H:$H,J$1,Prod_Prop!$I:$I,"Exacto"),Prod_Prop!$A:$A,Prod_Prop!$J:$J,"",0,1))</f>
        <v/>
      </c>
      <c r="K229" s="4" t="str">
        <f t="array" ref="K229">IF($E229="","", XLOOKUP(SUMIFS(Prod_Prop!$A:$A,Prod_Prop!$B:$B,$E229,Prod_Prop!$H:$H,K$1,Prod_Prop!$I:$I,"Exacto"),Prod_Prop!$A:$A,Prod_Prop!$J:$J,"",0,1))</f>
        <v/>
      </c>
      <c r="L229" s="4" t="str">
        <f t="array" ref="L229">IF($E229="","", XLOOKUP(SUMIFS(Prod_Prop!$A:$A,Prod_Prop!$B:$B,$E229,Prod_Prop!$H:$H,L$1,Prod_Prop!$I:$I,"Exacto"),Prod_Prop!$A:$A,Prod_Prop!$J:$J,"",0,1))</f>
        <v/>
      </c>
      <c r="M229" s="4" t="str">
        <f t="array" ref="M229">IF($E229="","", XLOOKUP(SUMIFS(Prod_Prop!$A:$A,Prod_Prop!$B:$B,$E229,Prod_Prop!$H:$H,M$1,Prod_Prop!$I:$I,"Exacto"),Prod_Prop!$A:$A,Prod_Prop!$J:$J,"",0,1))</f>
        <v/>
      </c>
      <c r="N229" s="4" t="str">
        <f t="array" ref="N229">IF($E229="","", XLOOKUP(SUMIFS(Prod_Prop!$A:$A,Prod_Prop!$B:$B,$E229,Prod_Prop!$H:$H,N$1,Prod_Prop!$I:$I,"Exacto"),Prod_Prop!$A:$A,Prod_Prop!$J:$J,"",0,1))</f>
        <v/>
      </c>
      <c r="O229" s="4" t="str">
        <f t="array" ref="O229">IF($E229="","", XLOOKUP(SUMIFS(Prod_Prop!$A:$A,Prod_Prop!$B:$B,$E229,Prod_Prop!$H:$H,O$1,Prod_Prop!$I:$I,"Exacto"),Prod_Prop!$A:$A,Prod_Prop!$J:$J,"",0,1))</f>
        <v/>
      </c>
      <c r="P229" s="4" t="str">
        <f t="array" ref="P229">IF($E229="","", XLOOKUP(SUMIFS(Prod_Prop!$A:$A,Prod_Prop!$B:$B,$E229,Prod_Prop!$H:$H,P$1,Prod_Prop!$I:$I,"Exacto"),Prod_Prop!$A:$A,Prod_Prop!$J:$J,"",0,1))</f>
        <v/>
      </c>
      <c r="Q229" s="4" t="str">
        <f t="array" ref="Q229">IF($E229="","", XLOOKUP(SUMIFS(Prod_Prop!$A:$A,Prod_Prop!$B:$B,$E229,Prod_Prop!$H:$H,Q$1,Prod_Prop!$I:$I,"Exacto"),Prod_Prop!$A:$A,Prod_Prop!$J:$J,"",0,1))</f>
        <v/>
      </c>
      <c r="R229" s="4" t="str">
        <f t="array" ref="R229">IF($E229="","", XLOOKUP(SUMIFS(Prod_Prop!$A:$A,Prod_Prop!$B:$B,$E229,Prod_Prop!$H:$H,R$1,Prod_Prop!$I:$I,"Exacto"),Prod_Prop!$A:$A,Prod_Prop!$J:$J,"",0,1))</f>
        <v/>
      </c>
      <c r="S229" s="4" t="str">
        <f t="array" ref="S229">IF($E229="","", XLOOKUP(SUMIFS(Prod_Prop!$A:$A,Prod_Prop!$B:$B,$E229,Prod_Prop!$H:$H,S$1,Prod_Prop!$I:$I,"Exacto"),Prod_Prop!$A:$A,Prod_Prop!$J:$J,"",0,1))</f>
        <v/>
      </c>
      <c r="T229" s="4" t="str">
        <f t="array" ref="T229">IF($E229="","", XLOOKUP(SUMIFS(Prod_Prop!$A:$A,Prod_Prop!$B:$B,$E229,Prod_Prop!$H:$H,T$1,Prod_Prop!$I:$I,"Exacto"),Prod_Prop!$A:$A,Prod_Prop!$J:$J,"",0,1))</f>
        <v/>
      </c>
      <c r="U229" s="4" t="str">
        <f t="array" ref="U229">IF($E229="","", XLOOKUP(SUMIFS(Prod_Prop!$A:$A,Prod_Prop!$B:$B,$E229,Prod_Prop!$H:$H,U$1,Prod_Prop!$I:$I,"Exacto"),Prod_Prop!$A:$A,Prod_Prop!$J:$J,"",0,1))</f>
        <v/>
      </c>
      <c r="V229" s="4" t="str">
        <f t="array" ref="V229">IF($E229="","", XLOOKUP(SUMIFS(Prod_Prop!$A:$A,Prod_Prop!$B:$B,$E229,Prod_Prop!$H:$H,V$1,Prod_Prop!$I:$I,"Exacto"),Prod_Prop!$A:$A,Prod_Prop!$J:$J,"",0,1))</f>
        <v/>
      </c>
      <c r="X229" s="3" t="str">
        <f>IFERROR(__xludf.DUMMYFUNCTION("IF(D229="""","""",IFERROR(TRANSPOSE(FILTER('Validaciones Cotizador'!U:U,'Validaciones Cotizador'!O:O=D229,'Validaciones Cotizador'!T:T=""x"")),""Finalizar""))"),"")</f>
        <v/>
      </c>
    </row>
    <row r="230">
      <c r="A230" s="2" t="str">
        <f t="array" ref="A230">IF(E230="","",XLOOKUP(D230,'Validaciones Cotizador'!C:C,'Validaciones Cotizador'!A:A,"",0,1))</f>
        <v/>
      </c>
      <c r="B230" s="2" t="str">
        <f t="array" ref="B230">IF(F230="","",XLOOKUP(F230,Productos!E:E,Productos!G:G,"",0,1))</f>
        <v/>
      </c>
      <c r="C230" s="2" t="str">
        <f>IF(A230="","",SUMIFS('Validaciones Cotizador'!B:B,'Validaciones Cotizador'!C:C,D230,'Validaciones Cotizador'!A:A,A230))</f>
        <v/>
      </c>
      <c r="D230" s="4" t="str">
        <f>IFERROR(__xludf.DUMMYFUNCTION("IF(OR(F229=""Finalizar"",F229="""",F229=""Selecciona..""),"""",IF(OR(F229=""-"",INDEX(filter(Familias!F:F,Familias!D:D=A229,Familias!E:E=C229),1)=""O""),D229+1,D229))"),"")</f>
        <v/>
      </c>
      <c r="E230" s="2" t="str">
        <f>IF(OR(F230="",F230="Selecciona.."),"",IF(D230="Implemento",SUMIF(Implementos!B:B,F230,Implementos!A:A),SUMIF(Productos!E:E,F230,Productos!A:A)))</f>
        <v/>
      </c>
      <c r="F230" s="2" t="str">
        <f t="shared" si="2"/>
        <v/>
      </c>
      <c r="G230" s="10" t="str">
        <f t="array" ref="G230">IF(OR(F230="",F230="-",F230="Selecciona..",F230="Finalizar"),"",IF(A230="Rodados",XLOOKUP(B230,'Validaciones Cotizador'!I:I,'Validaciones Cotizador'!J:J,0,0,1),1))</f>
        <v/>
      </c>
      <c r="H230" s="11" t="str">
        <f>IF(OR(F230="",F230="Selecciona.."),"",SUMIF(Precio_Productos!K:K,E230,Precio_Productos!J:J)*G230)</f>
        <v/>
      </c>
      <c r="I230" s="4" t="str">
        <f t="array" ref="I230">IF($E230="","", XLOOKUP(SUMIFS(Prod_Prop!$A:$A,Prod_Prop!$B:$B,$E230,Prod_Prop!$H:$H,I$1,Prod_Prop!$I:$I,"Exacto"),Prod_Prop!$A:$A,Prod_Prop!$J:$J,"",0,1))</f>
        <v/>
      </c>
      <c r="J230" s="4" t="str">
        <f t="array" ref="J230">IF($E230="","", XLOOKUP(SUMIFS(Prod_Prop!$A:$A,Prod_Prop!$B:$B,$E230,Prod_Prop!$H:$H,J$1,Prod_Prop!$I:$I,"Exacto"),Prod_Prop!$A:$A,Prod_Prop!$J:$J,"",0,1))</f>
        <v/>
      </c>
      <c r="K230" s="4" t="str">
        <f t="array" ref="K230">IF($E230="","", XLOOKUP(SUMIFS(Prod_Prop!$A:$A,Prod_Prop!$B:$B,$E230,Prod_Prop!$H:$H,K$1,Prod_Prop!$I:$I,"Exacto"),Prod_Prop!$A:$A,Prod_Prop!$J:$J,"",0,1))</f>
        <v/>
      </c>
      <c r="L230" s="4" t="str">
        <f t="array" ref="L230">IF($E230="","", XLOOKUP(SUMIFS(Prod_Prop!$A:$A,Prod_Prop!$B:$B,$E230,Prod_Prop!$H:$H,L$1,Prod_Prop!$I:$I,"Exacto"),Prod_Prop!$A:$A,Prod_Prop!$J:$J,"",0,1))</f>
        <v/>
      </c>
      <c r="M230" s="4" t="str">
        <f t="array" ref="M230">IF($E230="","", XLOOKUP(SUMIFS(Prod_Prop!$A:$A,Prod_Prop!$B:$B,$E230,Prod_Prop!$H:$H,M$1,Prod_Prop!$I:$I,"Exacto"),Prod_Prop!$A:$A,Prod_Prop!$J:$J,"",0,1))</f>
        <v/>
      </c>
      <c r="N230" s="4" t="str">
        <f t="array" ref="N230">IF($E230="","", XLOOKUP(SUMIFS(Prod_Prop!$A:$A,Prod_Prop!$B:$B,$E230,Prod_Prop!$H:$H,N$1,Prod_Prop!$I:$I,"Exacto"),Prod_Prop!$A:$A,Prod_Prop!$J:$J,"",0,1))</f>
        <v/>
      </c>
      <c r="O230" s="4" t="str">
        <f t="array" ref="O230">IF($E230="","", XLOOKUP(SUMIFS(Prod_Prop!$A:$A,Prod_Prop!$B:$B,$E230,Prod_Prop!$H:$H,O$1,Prod_Prop!$I:$I,"Exacto"),Prod_Prop!$A:$A,Prod_Prop!$J:$J,"",0,1))</f>
        <v/>
      </c>
      <c r="P230" s="4" t="str">
        <f t="array" ref="P230">IF($E230="","", XLOOKUP(SUMIFS(Prod_Prop!$A:$A,Prod_Prop!$B:$B,$E230,Prod_Prop!$H:$H,P$1,Prod_Prop!$I:$I,"Exacto"),Prod_Prop!$A:$A,Prod_Prop!$J:$J,"",0,1))</f>
        <v/>
      </c>
      <c r="Q230" s="4" t="str">
        <f t="array" ref="Q230">IF($E230="","", XLOOKUP(SUMIFS(Prod_Prop!$A:$A,Prod_Prop!$B:$B,$E230,Prod_Prop!$H:$H,Q$1,Prod_Prop!$I:$I,"Exacto"),Prod_Prop!$A:$A,Prod_Prop!$J:$J,"",0,1))</f>
        <v/>
      </c>
      <c r="R230" s="4" t="str">
        <f t="array" ref="R230">IF($E230="","", XLOOKUP(SUMIFS(Prod_Prop!$A:$A,Prod_Prop!$B:$B,$E230,Prod_Prop!$H:$H,R$1,Prod_Prop!$I:$I,"Exacto"),Prod_Prop!$A:$A,Prod_Prop!$J:$J,"",0,1))</f>
        <v/>
      </c>
      <c r="S230" s="4" t="str">
        <f t="array" ref="S230">IF($E230="","", XLOOKUP(SUMIFS(Prod_Prop!$A:$A,Prod_Prop!$B:$B,$E230,Prod_Prop!$H:$H,S$1,Prod_Prop!$I:$I,"Exacto"),Prod_Prop!$A:$A,Prod_Prop!$J:$J,"",0,1))</f>
        <v/>
      </c>
      <c r="T230" s="4" t="str">
        <f t="array" ref="T230">IF($E230="","", XLOOKUP(SUMIFS(Prod_Prop!$A:$A,Prod_Prop!$B:$B,$E230,Prod_Prop!$H:$H,T$1,Prod_Prop!$I:$I,"Exacto"),Prod_Prop!$A:$A,Prod_Prop!$J:$J,"",0,1))</f>
        <v/>
      </c>
      <c r="U230" s="4" t="str">
        <f t="array" ref="U230">IF($E230="","", XLOOKUP(SUMIFS(Prod_Prop!$A:$A,Prod_Prop!$B:$B,$E230,Prod_Prop!$H:$H,U$1,Prod_Prop!$I:$I,"Exacto"),Prod_Prop!$A:$A,Prod_Prop!$J:$J,"",0,1))</f>
        <v/>
      </c>
      <c r="V230" s="4" t="str">
        <f t="array" ref="V230">IF($E230="","", XLOOKUP(SUMIFS(Prod_Prop!$A:$A,Prod_Prop!$B:$B,$E230,Prod_Prop!$H:$H,V$1,Prod_Prop!$I:$I,"Exacto"),Prod_Prop!$A:$A,Prod_Prop!$J:$J,"",0,1))</f>
        <v/>
      </c>
      <c r="X230" s="3" t="str">
        <f>IFERROR(__xludf.DUMMYFUNCTION("IF(D230="""","""",IFERROR(TRANSPOSE(FILTER('Validaciones Cotizador'!U:U,'Validaciones Cotizador'!O:O=D230,'Validaciones Cotizador'!T:T=""x"")),""Finalizar""))"),"")</f>
        <v/>
      </c>
    </row>
    <row r="231">
      <c r="A231" s="2" t="str">
        <f t="array" ref="A231">IF(E231="","",XLOOKUP(D231,'Validaciones Cotizador'!C:C,'Validaciones Cotizador'!A:A,"",0,1))</f>
        <v/>
      </c>
      <c r="B231" s="2" t="str">
        <f t="array" ref="B231">IF(F231="","",XLOOKUP(F231,Productos!E:E,Productos!G:G,"",0,1))</f>
        <v/>
      </c>
      <c r="C231" s="2" t="str">
        <f>IF(A231="","",SUMIFS('Validaciones Cotizador'!B:B,'Validaciones Cotizador'!C:C,D231,'Validaciones Cotizador'!A:A,A231))</f>
        <v/>
      </c>
      <c r="D231" s="4" t="str">
        <f>IFERROR(__xludf.DUMMYFUNCTION("IF(OR(F230=""Finalizar"",F230="""",F230=""Selecciona..""),"""",IF(OR(F230=""-"",INDEX(filter(Familias!F:F,Familias!D:D=A230,Familias!E:E=C230),1)=""O""),D230+1,D230))"),"")</f>
        <v/>
      </c>
      <c r="E231" s="2" t="str">
        <f>IF(OR(F231="",F231="Selecciona.."),"",IF(D231="Implemento",SUMIF(Implementos!B:B,F231,Implementos!A:A),SUMIF(Productos!E:E,F231,Productos!A:A)))</f>
        <v/>
      </c>
      <c r="F231" s="2" t="str">
        <f t="shared" si="2"/>
        <v/>
      </c>
      <c r="G231" s="10" t="str">
        <f t="array" ref="G231">IF(OR(F231="",F231="-",F231="Selecciona..",F231="Finalizar"),"",IF(A231="Rodados",XLOOKUP(B231,'Validaciones Cotizador'!I:I,'Validaciones Cotizador'!J:J,0,0,1),1))</f>
        <v/>
      </c>
      <c r="H231" s="11" t="str">
        <f>IF(OR(F231="",F231="Selecciona.."),"",SUMIF(Precio_Productos!K:K,E231,Precio_Productos!J:J)*G231)</f>
        <v/>
      </c>
      <c r="I231" s="4" t="str">
        <f t="array" ref="I231">IF($E231="","", XLOOKUP(SUMIFS(Prod_Prop!$A:$A,Prod_Prop!$B:$B,$E231,Prod_Prop!$H:$H,I$1,Prod_Prop!$I:$I,"Exacto"),Prod_Prop!$A:$A,Prod_Prop!$J:$J,"",0,1))</f>
        <v/>
      </c>
      <c r="J231" s="4" t="str">
        <f t="array" ref="J231">IF($E231="","", XLOOKUP(SUMIFS(Prod_Prop!$A:$A,Prod_Prop!$B:$B,$E231,Prod_Prop!$H:$H,J$1,Prod_Prop!$I:$I,"Exacto"),Prod_Prop!$A:$A,Prod_Prop!$J:$J,"",0,1))</f>
        <v/>
      </c>
      <c r="K231" s="4" t="str">
        <f t="array" ref="K231">IF($E231="","", XLOOKUP(SUMIFS(Prod_Prop!$A:$A,Prod_Prop!$B:$B,$E231,Prod_Prop!$H:$H,K$1,Prod_Prop!$I:$I,"Exacto"),Prod_Prop!$A:$A,Prod_Prop!$J:$J,"",0,1))</f>
        <v/>
      </c>
      <c r="L231" s="4" t="str">
        <f t="array" ref="L231">IF($E231="","", XLOOKUP(SUMIFS(Prod_Prop!$A:$A,Prod_Prop!$B:$B,$E231,Prod_Prop!$H:$H,L$1,Prod_Prop!$I:$I,"Exacto"),Prod_Prop!$A:$A,Prod_Prop!$J:$J,"",0,1))</f>
        <v/>
      </c>
      <c r="M231" s="4" t="str">
        <f t="array" ref="M231">IF($E231="","", XLOOKUP(SUMIFS(Prod_Prop!$A:$A,Prod_Prop!$B:$B,$E231,Prod_Prop!$H:$H,M$1,Prod_Prop!$I:$I,"Exacto"),Prod_Prop!$A:$A,Prod_Prop!$J:$J,"",0,1))</f>
        <v/>
      </c>
      <c r="N231" s="4" t="str">
        <f t="array" ref="N231">IF($E231="","", XLOOKUP(SUMIFS(Prod_Prop!$A:$A,Prod_Prop!$B:$B,$E231,Prod_Prop!$H:$H,N$1,Prod_Prop!$I:$I,"Exacto"),Prod_Prop!$A:$A,Prod_Prop!$J:$J,"",0,1))</f>
        <v/>
      </c>
      <c r="O231" s="4" t="str">
        <f t="array" ref="O231">IF($E231="","", XLOOKUP(SUMIFS(Prod_Prop!$A:$A,Prod_Prop!$B:$B,$E231,Prod_Prop!$H:$H,O$1,Prod_Prop!$I:$I,"Exacto"),Prod_Prop!$A:$A,Prod_Prop!$J:$J,"",0,1))</f>
        <v/>
      </c>
      <c r="P231" s="4" t="str">
        <f t="array" ref="P231">IF($E231="","", XLOOKUP(SUMIFS(Prod_Prop!$A:$A,Prod_Prop!$B:$B,$E231,Prod_Prop!$H:$H,P$1,Prod_Prop!$I:$I,"Exacto"),Prod_Prop!$A:$A,Prod_Prop!$J:$J,"",0,1))</f>
        <v/>
      </c>
      <c r="Q231" s="4" t="str">
        <f t="array" ref="Q231">IF($E231="","", XLOOKUP(SUMIFS(Prod_Prop!$A:$A,Prod_Prop!$B:$B,$E231,Prod_Prop!$H:$H,Q$1,Prod_Prop!$I:$I,"Exacto"),Prod_Prop!$A:$A,Prod_Prop!$J:$J,"",0,1))</f>
        <v/>
      </c>
      <c r="R231" s="4" t="str">
        <f t="array" ref="R231">IF($E231="","", XLOOKUP(SUMIFS(Prod_Prop!$A:$A,Prod_Prop!$B:$B,$E231,Prod_Prop!$H:$H,R$1,Prod_Prop!$I:$I,"Exacto"),Prod_Prop!$A:$A,Prod_Prop!$J:$J,"",0,1))</f>
        <v/>
      </c>
      <c r="S231" s="4" t="str">
        <f t="array" ref="S231">IF($E231="","", XLOOKUP(SUMIFS(Prod_Prop!$A:$A,Prod_Prop!$B:$B,$E231,Prod_Prop!$H:$H,S$1,Prod_Prop!$I:$I,"Exacto"),Prod_Prop!$A:$A,Prod_Prop!$J:$J,"",0,1))</f>
        <v/>
      </c>
      <c r="T231" s="4" t="str">
        <f t="array" ref="T231">IF($E231="","", XLOOKUP(SUMIFS(Prod_Prop!$A:$A,Prod_Prop!$B:$B,$E231,Prod_Prop!$H:$H,T$1,Prod_Prop!$I:$I,"Exacto"),Prod_Prop!$A:$A,Prod_Prop!$J:$J,"",0,1))</f>
        <v/>
      </c>
      <c r="U231" s="4" t="str">
        <f t="array" ref="U231">IF($E231="","", XLOOKUP(SUMIFS(Prod_Prop!$A:$A,Prod_Prop!$B:$B,$E231,Prod_Prop!$H:$H,U$1,Prod_Prop!$I:$I,"Exacto"),Prod_Prop!$A:$A,Prod_Prop!$J:$J,"",0,1))</f>
        <v/>
      </c>
      <c r="V231" s="4" t="str">
        <f t="array" ref="V231">IF($E231="","", XLOOKUP(SUMIFS(Prod_Prop!$A:$A,Prod_Prop!$B:$B,$E231,Prod_Prop!$H:$H,V$1,Prod_Prop!$I:$I,"Exacto"),Prod_Prop!$A:$A,Prod_Prop!$J:$J,"",0,1))</f>
        <v/>
      </c>
      <c r="X231" s="3" t="str">
        <f>IFERROR(__xludf.DUMMYFUNCTION("IF(D231="""","""",IFERROR(TRANSPOSE(FILTER('Validaciones Cotizador'!U:U,'Validaciones Cotizador'!O:O=D231,'Validaciones Cotizador'!T:T=""x"")),""Finalizar""))"),"")</f>
        <v/>
      </c>
    </row>
    <row r="232">
      <c r="A232" s="2" t="str">
        <f t="array" ref="A232">IF(E232="","",XLOOKUP(D232,'Validaciones Cotizador'!C:C,'Validaciones Cotizador'!A:A,"",0,1))</f>
        <v/>
      </c>
      <c r="B232" s="2" t="str">
        <f t="array" ref="B232">IF(F232="","",XLOOKUP(F232,Productos!E:E,Productos!G:G,"",0,1))</f>
        <v/>
      </c>
      <c r="C232" s="2" t="str">
        <f>IF(A232="","",SUMIFS('Validaciones Cotizador'!B:B,'Validaciones Cotizador'!C:C,D232,'Validaciones Cotizador'!A:A,A232))</f>
        <v/>
      </c>
      <c r="D232" s="4" t="str">
        <f>IFERROR(__xludf.DUMMYFUNCTION("IF(OR(F231=""Finalizar"",F231="""",F231=""Selecciona..""),"""",IF(OR(F231=""-"",INDEX(filter(Familias!F:F,Familias!D:D=A231,Familias!E:E=C231),1)=""O""),D231+1,D231))"),"")</f>
        <v/>
      </c>
      <c r="E232" s="2" t="str">
        <f>IF(OR(F232="",F232="Selecciona.."),"",IF(D232="Implemento",SUMIF(Implementos!B:B,F232,Implementos!A:A),SUMIF(Productos!E:E,F232,Productos!A:A)))</f>
        <v/>
      </c>
      <c r="F232" s="2" t="str">
        <f t="shared" si="2"/>
        <v/>
      </c>
      <c r="G232" s="10" t="str">
        <f t="array" ref="G232">IF(OR(F232="",F232="-",F232="Selecciona..",F232="Finalizar"),"",IF(A232="Rodados",XLOOKUP(B232,'Validaciones Cotizador'!I:I,'Validaciones Cotizador'!J:J,0,0,1),1))</f>
        <v/>
      </c>
      <c r="H232" s="11" t="str">
        <f>IF(OR(F232="",F232="Selecciona.."),"",SUMIF(Precio_Productos!K:K,E232,Precio_Productos!J:J)*G232)</f>
        <v/>
      </c>
      <c r="I232" s="4" t="str">
        <f t="array" ref="I232">IF($E232="","", XLOOKUP(SUMIFS(Prod_Prop!$A:$A,Prod_Prop!$B:$B,$E232,Prod_Prop!$H:$H,I$1,Prod_Prop!$I:$I,"Exacto"),Prod_Prop!$A:$A,Prod_Prop!$J:$J,"",0,1))</f>
        <v/>
      </c>
      <c r="J232" s="4" t="str">
        <f t="array" ref="J232">IF($E232="","", XLOOKUP(SUMIFS(Prod_Prop!$A:$A,Prod_Prop!$B:$B,$E232,Prod_Prop!$H:$H,J$1,Prod_Prop!$I:$I,"Exacto"),Prod_Prop!$A:$A,Prod_Prop!$J:$J,"",0,1))</f>
        <v/>
      </c>
      <c r="K232" s="4" t="str">
        <f t="array" ref="K232">IF($E232="","", XLOOKUP(SUMIFS(Prod_Prop!$A:$A,Prod_Prop!$B:$B,$E232,Prod_Prop!$H:$H,K$1,Prod_Prop!$I:$I,"Exacto"),Prod_Prop!$A:$A,Prod_Prop!$J:$J,"",0,1))</f>
        <v/>
      </c>
      <c r="L232" s="4" t="str">
        <f t="array" ref="L232">IF($E232="","", XLOOKUP(SUMIFS(Prod_Prop!$A:$A,Prod_Prop!$B:$B,$E232,Prod_Prop!$H:$H,L$1,Prod_Prop!$I:$I,"Exacto"),Prod_Prop!$A:$A,Prod_Prop!$J:$J,"",0,1))</f>
        <v/>
      </c>
      <c r="M232" s="4" t="str">
        <f t="array" ref="M232">IF($E232="","", XLOOKUP(SUMIFS(Prod_Prop!$A:$A,Prod_Prop!$B:$B,$E232,Prod_Prop!$H:$H,M$1,Prod_Prop!$I:$I,"Exacto"),Prod_Prop!$A:$A,Prod_Prop!$J:$J,"",0,1))</f>
        <v/>
      </c>
      <c r="N232" s="4" t="str">
        <f t="array" ref="N232">IF($E232="","", XLOOKUP(SUMIFS(Prod_Prop!$A:$A,Prod_Prop!$B:$B,$E232,Prod_Prop!$H:$H,N$1,Prod_Prop!$I:$I,"Exacto"),Prod_Prop!$A:$A,Prod_Prop!$J:$J,"",0,1))</f>
        <v/>
      </c>
      <c r="O232" s="4" t="str">
        <f t="array" ref="O232">IF($E232="","", XLOOKUP(SUMIFS(Prod_Prop!$A:$A,Prod_Prop!$B:$B,$E232,Prod_Prop!$H:$H,O$1,Prod_Prop!$I:$I,"Exacto"),Prod_Prop!$A:$A,Prod_Prop!$J:$J,"",0,1))</f>
        <v/>
      </c>
      <c r="P232" s="4" t="str">
        <f t="array" ref="P232">IF($E232="","", XLOOKUP(SUMIFS(Prod_Prop!$A:$A,Prod_Prop!$B:$B,$E232,Prod_Prop!$H:$H,P$1,Prod_Prop!$I:$I,"Exacto"),Prod_Prop!$A:$A,Prod_Prop!$J:$J,"",0,1))</f>
        <v/>
      </c>
      <c r="Q232" s="4" t="str">
        <f t="array" ref="Q232">IF($E232="","", XLOOKUP(SUMIFS(Prod_Prop!$A:$A,Prod_Prop!$B:$B,$E232,Prod_Prop!$H:$H,Q$1,Prod_Prop!$I:$I,"Exacto"),Prod_Prop!$A:$A,Prod_Prop!$J:$J,"",0,1))</f>
        <v/>
      </c>
      <c r="R232" s="4" t="str">
        <f t="array" ref="R232">IF($E232="","", XLOOKUP(SUMIFS(Prod_Prop!$A:$A,Prod_Prop!$B:$B,$E232,Prod_Prop!$H:$H,R$1,Prod_Prop!$I:$I,"Exacto"),Prod_Prop!$A:$A,Prod_Prop!$J:$J,"",0,1))</f>
        <v/>
      </c>
      <c r="S232" s="4" t="str">
        <f t="array" ref="S232">IF($E232="","", XLOOKUP(SUMIFS(Prod_Prop!$A:$A,Prod_Prop!$B:$B,$E232,Prod_Prop!$H:$H,S$1,Prod_Prop!$I:$I,"Exacto"),Prod_Prop!$A:$A,Prod_Prop!$J:$J,"",0,1))</f>
        <v/>
      </c>
      <c r="T232" s="4" t="str">
        <f t="array" ref="T232">IF($E232="","", XLOOKUP(SUMIFS(Prod_Prop!$A:$A,Prod_Prop!$B:$B,$E232,Prod_Prop!$H:$H,T$1,Prod_Prop!$I:$I,"Exacto"),Prod_Prop!$A:$A,Prod_Prop!$J:$J,"",0,1))</f>
        <v/>
      </c>
      <c r="U232" s="4" t="str">
        <f t="array" ref="U232">IF($E232="","", XLOOKUP(SUMIFS(Prod_Prop!$A:$A,Prod_Prop!$B:$B,$E232,Prod_Prop!$H:$H,U$1,Prod_Prop!$I:$I,"Exacto"),Prod_Prop!$A:$A,Prod_Prop!$J:$J,"",0,1))</f>
        <v/>
      </c>
      <c r="V232" s="4" t="str">
        <f t="array" ref="V232">IF($E232="","", XLOOKUP(SUMIFS(Prod_Prop!$A:$A,Prod_Prop!$B:$B,$E232,Prod_Prop!$H:$H,V$1,Prod_Prop!$I:$I,"Exacto"),Prod_Prop!$A:$A,Prod_Prop!$J:$J,"",0,1))</f>
        <v/>
      </c>
      <c r="X232" s="3" t="str">
        <f>IFERROR(__xludf.DUMMYFUNCTION("IF(D232="""","""",IFERROR(TRANSPOSE(FILTER('Validaciones Cotizador'!U:U,'Validaciones Cotizador'!O:O=D232,'Validaciones Cotizador'!T:T=""x"")),""Finalizar""))"),"")</f>
        <v/>
      </c>
    </row>
    <row r="233">
      <c r="A233" s="2" t="str">
        <f t="array" ref="A233">IF(E233="","",XLOOKUP(D233,'Validaciones Cotizador'!C:C,'Validaciones Cotizador'!A:A,"",0,1))</f>
        <v/>
      </c>
      <c r="B233" s="2" t="str">
        <f t="array" ref="B233">IF(F233="","",XLOOKUP(F233,Productos!E:E,Productos!G:G,"",0,1))</f>
        <v/>
      </c>
      <c r="C233" s="2" t="str">
        <f>IF(A233="","",SUMIFS('Validaciones Cotizador'!B:B,'Validaciones Cotizador'!C:C,D233,'Validaciones Cotizador'!A:A,A233))</f>
        <v/>
      </c>
      <c r="D233" s="4" t="str">
        <f>IFERROR(__xludf.DUMMYFUNCTION("IF(OR(F232=""Finalizar"",F232="""",F232=""Selecciona..""),"""",IF(OR(F232=""-"",INDEX(filter(Familias!F:F,Familias!D:D=A232,Familias!E:E=C232),1)=""O""),D232+1,D232))"),"")</f>
        <v/>
      </c>
      <c r="E233" s="2" t="str">
        <f>IF(OR(F233="",F233="Selecciona.."),"",IF(D233="Implemento",SUMIF(Implementos!B:B,F233,Implementos!A:A),SUMIF(Productos!E:E,F233,Productos!A:A)))</f>
        <v/>
      </c>
      <c r="F233" s="2" t="str">
        <f t="shared" si="2"/>
        <v/>
      </c>
      <c r="G233" s="10" t="str">
        <f t="array" ref="G233">IF(OR(F233="",F233="-",F233="Selecciona..",F233="Finalizar"),"",IF(A233="Rodados",XLOOKUP(B233,'Validaciones Cotizador'!I:I,'Validaciones Cotizador'!J:J,0,0,1),1))</f>
        <v/>
      </c>
      <c r="H233" s="11" t="str">
        <f>IF(OR(F233="",F233="Selecciona.."),"",SUMIF(Precio_Productos!K:K,E233,Precio_Productos!J:J)*G233)</f>
        <v/>
      </c>
      <c r="I233" s="4" t="str">
        <f t="array" ref="I233">IF($E233="","", XLOOKUP(SUMIFS(Prod_Prop!$A:$A,Prod_Prop!$B:$B,$E233,Prod_Prop!$H:$H,I$1,Prod_Prop!$I:$I,"Exacto"),Prod_Prop!$A:$A,Prod_Prop!$J:$J,"",0,1))</f>
        <v/>
      </c>
      <c r="J233" s="4" t="str">
        <f t="array" ref="J233">IF($E233="","", XLOOKUP(SUMIFS(Prod_Prop!$A:$A,Prod_Prop!$B:$B,$E233,Prod_Prop!$H:$H,J$1,Prod_Prop!$I:$I,"Exacto"),Prod_Prop!$A:$A,Prod_Prop!$J:$J,"",0,1))</f>
        <v/>
      </c>
      <c r="K233" s="4" t="str">
        <f t="array" ref="K233">IF($E233="","", XLOOKUP(SUMIFS(Prod_Prop!$A:$A,Prod_Prop!$B:$B,$E233,Prod_Prop!$H:$H,K$1,Prod_Prop!$I:$I,"Exacto"),Prod_Prop!$A:$A,Prod_Prop!$J:$J,"",0,1))</f>
        <v/>
      </c>
      <c r="L233" s="4" t="str">
        <f t="array" ref="L233">IF($E233="","", XLOOKUP(SUMIFS(Prod_Prop!$A:$A,Prod_Prop!$B:$B,$E233,Prod_Prop!$H:$H,L$1,Prod_Prop!$I:$I,"Exacto"),Prod_Prop!$A:$A,Prod_Prop!$J:$J,"",0,1))</f>
        <v/>
      </c>
      <c r="M233" s="4" t="str">
        <f t="array" ref="M233">IF($E233="","", XLOOKUP(SUMIFS(Prod_Prop!$A:$A,Prod_Prop!$B:$B,$E233,Prod_Prop!$H:$H,M$1,Prod_Prop!$I:$I,"Exacto"),Prod_Prop!$A:$A,Prod_Prop!$J:$J,"",0,1))</f>
        <v/>
      </c>
      <c r="N233" s="4" t="str">
        <f t="array" ref="N233">IF($E233="","", XLOOKUP(SUMIFS(Prod_Prop!$A:$A,Prod_Prop!$B:$B,$E233,Prod_Prop!$H:$H,N$1,Prod_Prop!$I:$I,"Exacto"),Prod_Prop!$A:$A,Prod_Prop!$J:$J,"",0,1))</f>
        <v/>
      </c>
      <c r="O233" s="4" t="str">
        <f t="array" ref="O233">IF($E233="","", XLOOKUP(SUMIFS(Prod_Prop!$A:$A,Prod_Prop!$B:$B,$E233,Prod_Prop!$H:$H,O$1,Prod_Prop!$I:$I,"Exacto"),Prod_Prop!$A:$A,Prod_Prop!$J:$J,"",0,1))</f>
        <v/>
      </c>
      <c r="P233" s="4" t="str">
        <f t="array" ref="P233">IF($E233="","", XLOOKUP(SUMIFS(Prod_Prop!$A:$A,Prod_Prop!$B:$B,$E233,Prod_Prop!$H:$H,P$1,Prod_Prop!$I:$I,"Exacto"),Prod_Prop!$A:$A,Prod_Prop!$J:$J,"",0,1))</f>
        <v/>
      </c>
      <c r="Q233" s="4" t="str">
        <f t="array" ref="Q233">IF($E233="","", XLOOKUP(SUMIFS(Prod_Prop!$A:$A,Prod_Prop!$B:$B,$E233,Prod_Prop!$H:$H,Q$1,Prod_Prop!$I:$I,"Exacto"),Prod_Prop!$A:$A,Prod_Prop!$J:$J,"",0,1))</f>
        <v/>
      </c>
      <c r="R233" s="4" t="str">
        <f t="array" ref="R233">IF($E233="","", XLOOKUP(SUMIFS(Prod_Prop!$A:$A,Prod_Prop!$B:$B,$E233,Prod_Prop!$H:$H,R$1,Prod_Prop!$I:$I,"Exacto"),Prod_Prop!$A:$A,Prod_Prop!$J:$J,"",0,1))</f>
        <v/>
      </c>
      <c r="S233" s="4" t="str">
        <f t="array" ref="S233">IF($E233="","", XLOOKUP(SUMIFS(Prod_Prop!$A:$A,Prod_Prop!$B:$B,$E233,Prod_Prop!$H:$H,S$1,Prod_Prop!$I:$I,"Exacto"),Prod_Prop!$A:$A,Prod_Prop!$J:$J,"",0,1))</f>
        <v/>
      </c>
      <c r="T233" s="4" t="str">
        <f t="array" ref="T233">IF($E233="","", XLOOKUP(SUMIFS(Prod_Prop!$A:$A,Prod_Prop!$B:$B,$E233,Prod_Prop!$H:$H,T$1,Prod_Prop!$I:$I,"Exacto"),Prod_Prop!$A:$A,Prod_Prop!$J:$J,"",0,1))</f>
        <v/>
      </c>
      <c r="U233" s="4" t="str">
        <f t="array" ref="U233">IF($E233="","", XLOOKUP(SUMIFS(Prod_Prop!$A:$A,Prod_Prop!$B:$B,$E233,Prod_Prop!$H:$H,U$1,Prod_Prop!$I:$I,"Exacto"),Prod_Prop!$A:$A,Prod_Prop!$J:$J,"",0,1))</f>
        <v/>
      </c>
      <c r="V233" s="4" t="str">
        <f t="array" ref="V233">IF($E233="","", XLOOKUP(SUMIFS(Prod_Prop!$A:$A,Prod_Prop!$B:$B,$E233,Prod_Prop!$H:$H,V$1,Prod_Prop!$I:$I,"Exacto"),Prod_Prop!$A:$A,Prod_Prop!$J:$J,"",0,1))</f>
        <v/>
      </c>
      <c r="X233" s="3" t="str">
        <f>IFERROR(__xludf.DUMMYFUNCTION("IF(D233="""","""",IFERROR(TRANSPOSE(FILTER('Validaciones Cotizador'!U:U,'Validaciones Cotizador'!O:O=D233,'Validaciones Cotizador'!T:T=""x"")),""Finalizar""))"),"")</f>
        <v/>
      </c>
    </row>
    <row r="234">
      <c r="A234" s="2" t="str">
        <f t="array" ref="A234">IF(E234="","",XLOOKUP(D234,'Validaciones Cotizador'!C:C,'Validaciones Cotizador'!A:A,"",0,1))</f>
        <v/>
      </c>
      <c r="B234" s="2" t="str">
        <f t="array" ref="B234">IF(F234="","",XLOOKUP(F234,Productos!E:E,Productos!G:G,"",0,1))</f>
        <v/>
      </c>
      <c r="C234" s="2" t="str">
        <f>IF(A234="","",SUMIFS('Validaciones Cotizador'!B:B,'Validaciones Cotizador'!C:C,D234,'Validaciones Cotizador'!A:A,A234))</f>
        <v/>
      </c>
      <c r="D234" s="4" t="str">
        <f>IFERROR(__xludf.DUMMYFUNCTION("IF(OR(F233=""Finalizar"",F233="""",F233=""Selecciona..""),"""",IF(OR(F233=""-"",INDEX(filter(Familias!F:F,Familias!D:D=A233,Familias!E:E=C233),1)=""O""),D233+1,D233))"),"")</f>
        <v/>
      </c>
      <c r="E234" s="2" t="str">
        <f>IF(OR(F234="",F234="Selecciona.."),"",IF(D234="Implemento",SUMIF(Implementos!B:B,F234,Implementos!A:A),SUMIF(Productos!E:E,F234,Productos!A:A)))</f>
        <v/>
      </c>
      <c r="F234" s="2" t="str">
        <f t="shared" si="2"/>
        <v/>
      </c>
      <c r="G234" s="10" t="str">
        <f t="array" ref="G234">IF(OR(F234="",F234="-",F234="Selecciona..",F234="Finalizar"),"",IF(A234="Rodados",XLOOKUP(B234,'Validaciones Cotizador'!I:I,'Validaciones Cotizador'!J:J,0,0,1),1))</f>
        <v/>
      </c>
      <c r="H234" s="11" t="str">
        <f>IF(OR(F234="",F234="Selecciona.."),"",SUMIF(Precio_Productos!K:K,E234,Precio_Productos!J:J)*G234)</f>
        <v/>
      </c>
      <c r="I234" s="4" t="str">
        <f t="array" ref="I234">IF($E234="","", XLOOKUP(SUMIFS(Prod_Prop!$A:$A,Prod_Prop!$B:$B,$E234,Prod_Prop!$H:$H,I$1,Prod_Prop!$I:$I,"Exacto"),Prod_Prop!$A:$A,Prod_Prop!$J:$J,"",0,1))</f>
        <v/>
      </c>
      <c r="J234" s="4" t="str">
        <f t="array" ref="J234">IF($E234="","", XLOOKUP(SUMIFS(Prod_Prop!$A:$A,Prod_Prop!$B:$B,$E234,Prod_Prop!$H:$H,J$1,Prod_Prop!$I:$I,"Exacto"),Prod_Prop!$A:$A,Prod_Prop!$J:$J,"",0,1))</f>
        <v/>
      </c>
      <c r="K234" s="4" t="str">
        <f t="array" ref="K234">IF($E234="","", XLOOKUP(SUMIFS(Prod_Prop!$A:$A,Prod_Prop!$B:$B,$E234,Prod_Prop!$H:$H,K$1,Prod_Prop!$I:$I,"Exacto"),Prod_Prop!$A:$A,Prod_Prop!$J:$J,"",0,1))</f>
        <v/>
      </c>
      <c r="L234" s="4" t="str">
        <f t="array" ref="L234">IF($E234="","", XLOOKUP(SUMIFS(Prod_Prop!$A:$A,Prod_Prop!$B:$B,$E234,Prod_Prop!$H:$H,L$1,Prod_Prop!$I:$I,"Exacto"),Prod_Prop!$A:$A,Prod_Prop!$J:$J,"",0,1))</f>
        <v/>
      </c>
      <c r="M234" s="4" t="str">
        <f t="array" ref="M234">IF($E234="","", XLOOKUP(SUMIFS(Prod_Prop!$A:$A,Prod_Prop!$B:$B,$E234,Prod_Prop!$H:$H,M$1,Prod_Prop!$I:$I,"Exacto"),Prod_Prop!$A:$A,Prod_Prop!$J:$J,"",0,1))</f>
        <v/>
      </c>
      <c r="N234" s="4" t="str">
        <f t="array" ref="N234">IF($E234="","", XLOOKUP(SUMIFS(Prod_Prop!$A:$A,Prod_Prop!$B:$B,$E234,Prod_Prop!$H:$H,N$1,Prod_Prop!$I:$I,"Exacto"),Prod_Prop!$A:$A,Prod_Prop!$J:$J,"",0,1))</f>
        <v/>
      </c>
      <c r="O234" s="4" t="str">
        <f t="array" ref="O234">IF($E234="","", XLOOKUP(SUMIFS(Prod_Prop!$A:$A,Prod_Prop!$B:$B,$E234,Prod_Prop!$H:$H,O$1,Prod_Prop!$I:$I,"Exacto"),Prod_Prop!$A:$A,Prod_Prop!$J:$J,"",0,1))</f>
        <v/>
      </c>
      <c r="P234" s="4" t="str">
        <f t="array" ref="P234">IF($E234="","", XLOOKUP(SUMIFS(Prod_Prop!$A:$A,Prod_Prop!$B:$B,$E234,Prod_Prop!$H:$H,P$1,Prod_Prop!$I:$I,"Exacto"),Prod_Prop!$A:$A,Prod_Prop!$J:$J,"",0,1))</f>
        <v/>
      </c>
      <c r="Q234" s="4" t="str">
        <f t="array" ref="Q234">IF($E234="","", XLOOKUP(SUMIFS(Prod_Prop!$A:$A,Prod_Prop!$B:$B,$E234,Prod_Prop!$H:$H,Q$1,Prod_Prop!$I:$I,"Exacto"),Prod_Prop!$A:$A,Prod_Prop!$J:$J,"",0,1))</f>
        <v/>
      </c>
      <c r="R234" s="4" t="str">
        <f t="array" ref="R234">IF($E234="","", XLOOKUP(SUMIFS(Prod_Prop!$A:$A,Prod_Prop!$B:$B,$E234,Prod_Prop!$H:$H,R$1,Prod_Prop!$I:$I,"Exacto"),Prod_Prop!$A:$A,Prod_Prop!$J:$J,"",0,1))</f>
        <v/>
      </c>
      <c r="S234" s="4" t="str">
        <f t="array" ref="S234">IF($E234="","", XLOOKUP(SUMIFS(Prod_Prop!$A:$A,Prod_Prop!$B:$B,$E234,Prod_Prop!$H:$H,S$1,Prod_Prop!$I:$I,"Exacto"),Prod_Prop!$A:$A,Prod_Prop!$J:$J,"",0,1))</f>
        <v/>
      </c>
      <c r="T234" s="4" t="str">
        <f t="array" ref="T234">IF($E234="","", XLOOKUP(SUMIFS(Prod_Prop!$A:$A,Prod_Prop!$B:$B,$E234,Prod_Prop!$H:$H,T$1,Prod_Prop!$I:$I,"Exacto"),Prod_Prop!$A:$A,Prod_Prop!$J:$J,"",0,1))</f>
        <v/>
      </c>
      <c r="U234" s="4" t="str">
        <f t="array" ref="U234">IF($E234="","", XLOOKUP(SUMIFS(Prod_Prop!$A:$A,Prod_Prop!$B:$B,$E234,Prod_Prop!$H:$H,U$1,Prod_Prop!$I:$I,"Exacto"),Prod_Prop!$A:$A,Prod_Prop!$J:$J,"",0,1))</f>
        <v/>
      </c>
      <c r="V234" s="4" t="str">
        <f t="array" ref="V234">IF($E234="","", XLOOKUP(SUMIFS(Prod_Prop!$A:$A,Prod_Prop!$B:$B,$E234,Prod_Prop!$H:$H,V$1,Prod_Prop!$I:$I,"Exacto"),Prod_Prop!$A:$A,Prod_Prop!$J:$J,"",0,1))</f>
        <v/>
      </c>
      <c r="X234" s="3" t="str">
        <f>IFERROR(__xludf.DUMMYFUNCTION("IF(D234="""","""",IFERROR(TRANSPOSE(FILTER('Validaciones Cotizador'!U:U,'Validaciones Cotizador'!O:O=D234,'Validaciones Cotizador'!T:T=""x"")),""Finalizar""))"),"")</f>
        <v/>
      </c>
    </row>
    <row r="235">
      <c r="A235" s="2" t="str">
        <f t="array" ref="A235">IF(E235="","",XLOOKUP(D235,'Validaciones Cotizador'!C:C,'Validaciones Cotizador'!A:A,"",0,1))</f>
        <v/>
      </c>
      <c r="B235" s="2" t="str">
        <f t="array" ref="B235">IF(F235="","",XLOOKUP(F235,Productos!E:E,Productos!G:G,"",0,1))</f>
        <v/>
      </c>
      <c r="C235" s="2" t="str">
        <f>IF(A235="","",SUMIFS('Validaciones Cotizador'!B:B,'Validaciones Cotizador'!C:C,D235,'Validaciones Cotizador'!A:A,A235))</f>
        <v/>
      </c>
      <c r="D235" s="4" t="str">
        <f>IFERROR(__xludf.DUMMYFUNCTION("IF(OR(F234=""Finalizar"",F234="""",F234=""Selecciona..""),"""",IF(OR(F234=""-"",INDEX(filter(Familias!F:F,Familias!D:D=A234,Familias!E:E=C234),1)=""O""),D234+1,D234))"),"")</f>
        <v/>
      </c>
      <c r="E235" s="2" t="str">
        <f>IF(OR(F235="",F235="Selecciona.."),"",IF(D235="Implemento",SUMIF(Implementos!B:B,F235,Implementos!A:A),SUMIF(Productos!E:E,F235,Productos!A:A)))</f>
        <v/>
      </c>
      <c r="F235" s="2" t="str">
        <f t="shared" si="2"/>
        <v/>
      </c>
      <c r="G235" s="10" t="str">
        <f t="array" ref="G235">IF(OR(F235="",F235="-",F235="Selecciona..",F235="Finalizar"),"",IF(A235="Rodados",XLOOKUP(B235,'Validaciones Cotizador'!I:I,'Validaciones Cotizador'!J:J,0,0,1),1))</f>
        <v/>
      </c>
      <c r="H235" s="11" t="str">
        <f>IF(OR(F235="",F235="Selecciona.."),"",SUMIF(Precio_Productos!K:K,E235,Precio_Productos!J:J)*G235)</f>
        <v/>
      </c>
      <c r="I235" s="4" t="str">
        <f t="array" ref="I235">IF($E235="","", XLOOKUP(SUMIFS(Prod_Prop!$A:$A,Prod_Prop!$B:$B,$E235,Prod_Prop!$H:$H,I$1,Prod_Prop!$I:$I,"Exacto"),Prod_Prop!$A:$A,Prod_Prop!$J:$J,"",0,1))</f>
        <v/>
      </c>
      <c r="J235" s="4" t="str">
        <f t="array" ref="J235">IF($E235="","", XLOOKUP(SUMIFS(Prod_Prop!$A:$A,Prod_Prop!$B:$B,$E235,Prod_Prop!$H:$H,J$1,Prod_Prop!$I:$I,"Exacto"),Prod_Prop!$A:$A,Prod_Prop!$J:$J,"",0,1))</f>
        <v/>
      </c>
      <c r="K235" s="4" t="str">
        <f t="array" ref="K235">IF($E235="","", XLOOKUP(SUMIFS(Prod_Prop!$A:$A,Prod_Prop!$B:$B,$E235,Prod_Prop!$H:$H,K$1,Prod_Prop!$I:$I,"Exacto"),Prod_Prop!$A:$A,Prod_Prop!$J:$J,"",0,1))</f>
        <v/>
      </c>
      <c r="L235" s="4" t="str">
        <f t="array" ref="L235">IF($E235="","", XLOOKUP(SUMIFS(Prod_Prop!$A:$A,Prod_Prop!$B:$B,$E235,Prod_Prop!$H:$H,L$1,Prod_Prop!$I:$I,"Exacto"),Prod_Prop!$A:$A,Prod_Prop!$J:$J,"",0,1))</f>
        <v/>
      </c>
      <c r="M235" s="4" t="str">
        <f t="array" ref="M235">IF($E235="","", XLOOKUP(SUMIFS(Prod_Prop!$A:$A,Prod_Prop!$B:$B,$E235,Prod_Prop!$H:$H,M$1,Prod_Prop!$I:$I,"Exacto"),Prod_Prop!$A:$A,Prod_Prop!$J:$J,"",0,1))</f>
        <v/>
      </c>
      <c r="N235" s="4" t="str">
        <f t="array" ref="N235">IF($E235="","", XLOOKUP(SUMIFS(Prod_Prop!$A:$A,Prod_Prop!$B:$B,$E235,Prod_Prop!$H:$H,N$1,Prod_Prop!$I:$I,"Exacto"),Prod_Prop!$A:$A,Prod_Prop!$J:$J,"",0,1))</f>
        <v/>
      </c>
      <c r="O235" s="4" t="str">
        <f t="array" ref="O235">IF($E235="","", XLOOKUP(SUMIFS(Prod_Prop!$A:$A,Prod_Prop!$B:$B,$E235,Prod_Prop!$H:$H,O$1,Prod_Prop!$I:$I,"Exacto"),Prod_Prop!$A:$A,Prod_Prop!$J:$J,"",0,1))</f>
        <v/>
      </c>
      <c r="P235" s="4" t="str">
        <f t="array" ref="P235">IF($E235="","", XLOOKUP(SUMIFS(Prod_Prop!$A:$A,Prod_Prop!$B:$B,$E235,Prod_Prop!$H:$H,P$1,Prod_Prop!$I:$I,"Exacto"),Prod_Prop!$A:$A,Prod_Prop!$J:$J,"",0,1))</f>
        <v/>
      </c>
      <c r="Q235" s="4" t="str">
        <f t="array" ref="Q235">IF($E235="","", XLOOKUP(SUMIFS(Prod_Prop!$A:$A,Prod_Prop!$B:$B,$E235,Prod_Prop!$H:$H,Q$1,Prod_Prop!$I:$I,"Exacto"),Prod_Prop!$A:$A,Prod_Prop!$J:$J,"",0,1))</f>
        <v/>
      </c>
      <c r="R235" s="4" t="str">
        <f t="array" ref="R235">IF($E235="","", XLOOKUP(SUMIFS(Prod_Prop!$A:$A,Prod_Prop!$B:$B,$E235,Prod_Prop!$H:$H,R$1,Prod_Prop!$I:$I,"Exacto"),Prod_Prop!$A:$A,Prod_Prop!$J:$J,"",0,1))</f>
        <v/>
      </c>
      <c r="S235" s="4" t="str">
        <f t="array" ref="S235">IF($E235="","", XLOOKUP(SUMIFS(Prod_Prop!$A:$A,Prod_Prop!$B:$B,$E235,Prod_Prop!$H:$H,S$1,Prod_Prop!$I:$I,"Exacto"),Prod_Prop!$A:$A,Prod_Prop!$J:$J,"",0,1))</f>
        <v/>
      </c>
      <c r="T235" s="4" t="str">
        <f t="array" ref="T235">IF($E235="","", XLOOKUP(SUMIFS(Prod_Prop!$A:$A,Prod_Prop!$B:$B,$E235,Prod_Prop!$H:$H,T$1,Prod_Prop!$I:$I,"Exacto"),Prod_Prop!$A:$A,Prod_Prop!$J:$J,"",0,1))</f>
        <v/>
      </c>
      <c r="U235" s="4" t="str">
        <f t="array" ref="U235">IF($E235="","", XLOOKUP(SUMIFS(Prod_Prop!$A:$A,Prod_Prop!$B:$B,$E235,Prod_Prop!$H:$H,U$1,Prod_Prop!$I:$I,"Exacto"),Prod_Prop!$A:$A,Prod_Prop!$J:$J,"",0,1))</f>
        <v/>
      </c>
      <c r="V235" s="4" t="str">
        <f t="array" ref="V235">IF($E235="","", XLOOKUP(SUMIFS(Prod_Prop!$A:$A,Prod_Prop!$B:$B,$E235,Prod_Prop!$H:$H,V$1,Prod_Prop!$I:$I,"Exacto"),Prod_Prop!$A:$A,Prod_Prop!$J:$J,"",0,1))</f>
        <v/>
      </c>
      <c r="X235" s="3" t="str">
        <f>IFERROR(__xludf.DUMMYFUNCTION("IF(D235="""","""",IFERROR(TRANSPOSE(FILTER('Validaciones Cotizador'!U:U,'Validaciones Cotizador'!O:O=D235,'Validaciones Cotizador'!T:T=""x"")),""Finalizar""))"),"")</f>
        <v/>
      </c>
    </row>
    <row r="236">
      <c r="A236" s="2" t="str">
        <f t="array" ref="A236">IF(E236="","",XLOOKUP(D236,'Validaciones Cotizador'!C:C,'Validaciones Cotizador'!A:A,"",0,1))</f>
        <v/>
      </c>
      <c r="B236" s="2" t="str">
        <f t="array" ref="B236">IF(F236="","",XLOOKUP(F236,Productos!E:E,Productos!G:G,"",0,1))</f>
        <v/>
      </c>
      <c r="C236" s="2" t="str">
        <f>IF(A236="","",SUMIFS('Validaciones Cotizador'!B:B,'Validaciones Cotizador'!C:C,D236,'Validaciones Cotizador'!A:A,A236))</f>
        <v/>
      </c>
      <c r="D236" s="4" t="str">
        <f>IFERROR(__xludf.DUMMYFUNCTION("IF(OR(F235=""Finalizar"",F235="""",F235=""Selecciona..""),"""",IF(OR(F235=""-"",INDEX(filter(Familias!F:F,Familias!D:D=A235,Familias!E:E=C235),1)=""O""),D235+1,D235))"),"")</f>
        <v/>
      </c>
      <c r="E236" s="2" t="str">
        <f>IF(OR(F236="",F236="Selecciona.."),"",IF(D236="Implemento",SUMIF(Implementos!B:B,F236,Implementos!A:A),SUMIF(Productos!E:E,F236,Productos!A:A)))</f>
        <v/>
      </c>
      <c r="F236" s="2" t="str">
        <f t="shared" si="2"/>
        <v/>
      </c>
      <c r="G236" s="10" t="str">
        <f t="array" ref="G236">IF(OR(F236="",F236="-",F236="Selecciona..",F236="Finalizar"),"",IF(A236="Rodados",XLOOKUP(B236,'Validaciones Cotizador'!I:I,'Validaciones Cotizador'!J:J,0,0,1),1))</f>
        <v/>
      </c>
      <c r="H236" s="11" t="str">
        <f>IF(OR(F236="",F236="Selecciona.."),"",SUMIF(Precio_Productos!K:K,E236,Precio_Productos!J:J)*G236)</f>
        <v/>
      </c>
      <c r="I236" s="4" t="str">
        <f t="array" ref="I236">IF($E236="","", XLOOKUP(SUMIFS(Prod_Prop!$A:$A,Prod_Prop!$B:$B,$E236,Prod_Prop!$H:$H,I$1,Prod_Prop!$I:$I,"Exacto"),Prod_Prop!$A:$A,Prod_Prop!$J:$J,"",0,1))</f>
        <v/>
      </c>
      <c r="J236" s="4" t="str">
        <f t="array" ref="J236">IF($E236="","", XLOOKUP(SUMIFS(Prod_Prop!$A:$A,Prod_Prop!$B:$B,$E236,Prod_Prop!$H:$H,J$1,Prod_Prop!$I:$I,"Exacto"),Prod_Prop!$A:$A,Prod_Prop!$J:$J,"",0,1))</f>
        <v/>
      </c>
      <c r="K236" s="4" t="str">
        <f t="array" ref="K236">IF($E236="","", XLOOKUP(SUMIFS(Prod_Prop!$A:$A,Prod_Prop!$B:$B,$E236,Prod_Prop!$H:$H,K$1,Prod_Prop!$I:$I,"Exacto"),Prod_Prop!$A:$A,Prod_Prop!$J:$J,"",0,1))</f>
        <v/>
      </c>
      <c r="L236" s="4" t="str">
        <f t="array" ref="L236">IF($E236="","", XLOOKUP(SUMIFS(Prod_Prop!$A:$A,Prod_Prop!$B:$B,$E236,Prod_Prop!$H:$H,L$1,Prod_Prop!$I:$I,"Exacto"),Prod_Prop!$A:$A,Prod_Prop!$J:$J,"",0,1))</f>
        <v/>
      </c>
      <c r="M236" s="4" t="str">
        <f t="array" ref="M236">IF($E236="","", XLOOKUP(SUMIFS(Prod_Prop!$A:$A,Prod_Prop!$B:$B,$E236,Prod_Prop!$H:$H,M$1,Prod_Prop!$I:$I,"Exacto"),Prod_Prop!$A:$A,Prod_Prop!$J:$J,"",0,1))</f>
        <v/>
      </c>
      <c r="N236" s="4" t="str">
        <f t="array" ref="N236">IF($E236="","", XLOOKUP(SUMIFS(Prod_Prop!$A:$A,Prod_Prop!$B:$B,$E236,Prod_Prop!$H:$H,N$1,Prod_Prop!$I:$I,"Exacto"),Prod_Prop!$A:$A,Prod_Prop!$J:$J,"",0,1))</f>
        <v/>
      </c>
      <c r="O236" s="4" t="str">
        <f t="array" ref="O236">IF($E236="","", XLOOKUP(SUMIFS(Prod_Prop!$A:$A,Prod_Prop!$B:$B,$E236,Prod_Prop!$H:$H,O$1,Prod_Prop!$I:$I,"Exacto"),Prod_Prop!$A:$A,Prod_Prop!$J:$J,"",0,1))</f>
        <v/>
      </c>
      <c r="P236" s="4" t="str">
        <f t="array" ref="P236">IF($E236="","", XLOOKUP(SUMIFS(Prod_Prop!$A:$A,Prod_Prop!$B:$B,$E236,Prod_Prop!$H:$H,P$1,Prod_Prop!$I:$I,"Exacto"),Prod_Prop!$A:$A,Prod_Prop!$J:$J,"",0,1))</f>
        <v/>
      </c>
      <c r="Q236" s="4" t="str">
        <f t="array" ref="Q236">IF($E236="","", XLOOKUP(SUMIFS(Prod_Prop!$A:$A,Prod_Prop!$B:$B,$E236,Prod_Prop!$H:$H,Q$1,Prod_Prop!$I:$I,"Exacto"),Prod_Prop!$A:$A,Prod_Prop!$J:$J,"",0,1))</f>
        <v/>
      </c>
      <c r="R236" s="4" t="str">
        <f t="array" ref="R236">IF($E236="","", XLOOKUP(SUMIFS(Prod_Prop!$A:$A,Prod_Prop!$B:$B,$E236,Prod_Prop!$H:$H,R$1,Prod_Prop!$I:$I,"Exacto"),Prod_Prop!$A:$A,Prod_Prop!$J:$J,"",0,1))</f>
        <v/>
      </c>
      <c r="S236" s="4" t="str">
        <f t="array" ref="S236">IF($E236="","", XLOOKUP(SUMIFS(Prod_Prop!$A:$A,Prod_Prop!$B:$B,$E236,Prod_Prop!$H:$H,S$1,Prod_Prop!$I:$I,"Exacto"),Prod_Prop!$A:$A,Prod_Prop!$J:$J,"",0,1))</f>
        <v/>
      </c>
      <c r="T236" s="4" t="str">
        <f t="array" ref="T236">IF($E236="","", XLOOKUP(SUMIFS(Prod_Prop!$A:$A,Prod_Prop!$B:$B,$E236,Prod_Prop!$H:$H,T$1,Prod_Prop!$I:$I,"Exacto"),Prod_Prop!$A:$A,Prod_Prop!$J:$J,"",0,1))</f>
        <v/>
      </c>
      <c r="U236" s="4" t="str">
        <f t="array" ref="U236">IF($E236="","", XLOOKUP(SUMIFS(Prod_Prop!$A:$A,Prod_Prop!$B:$B,$E236,Prod_Prop!$H:$H,U$1,Prod_Prop!$I:$I,"Exacto"),Prod_Prop!$A:$A,Prod_Prop!$J:$J,"",0,1))</f>
        <v/>
      </c>
      <c r="V236" s="4" t="str">
        <f t="array" ref="V236">IF($E236="","", XLOOKUP(SUMIFS(Prod_Prop!$A:$A,Prod_Prop!$B:$B,$E236,Prod_Prop!$H:$H,V$1,Prod_Prop!$I:$I,"Exacto"),Prod_Prop!$A:$A,Prod_Prop!$J:$J,"",0,1))</f>
        <v/>
      </c>
      <c r="X236" s="3" t="str">
        <f>IFERROR(__xludf.DUMMYFUNCTION("IF(D236="""","""",IFERROR(TRANSPOSE(FILTER('Validaciones Cotizador'!U:U,'Validaciones Cotizador'!O:O=D236,'Validaciones Cotizador'!T:T=""x"")),""Finalizar""))"),"")</f>
        <v/>
      </c>
    </row>
    <row r="237">
      <c r="A237" s="2" t="str">
        <f t="array" ref="A237">IF(E237="","",XLOOKUP(D237,'Validaciones Cotizador'!C:C,'Validaciones Cotizador'!A:A,"",0,1))</f>
        <v/>
      </c>
      <c r="B237" s="2" t="str">
        <f t="array" ref="B237">IF(F237="","",XLOOKUP(F237,Productos!E:E,Productos!G:G,"",0,1))</f>
        <v/>
      </c>
      <c r="C237" s="2" t="str">
        <f>IF(A237="","",SUMIFS('Validaciones Cotizador'!B:B,'Validaciones Cotizador'!C:C,D237,'Validaciones Cotizador'!A:A,A237))</f>
        <v/>
      </c>
      <c r="D237" s="4" t="str">
        <f>IFERROR(__xludf.DUMMYFUNCTION("IF(OR(F236=""Finalizar"",F236="""",F236=""Selecciona..""),"""",IF(OR(F236=""-"",INDEX(filter(Familias!F:F,Familias!D:D=A236,Familias!E:E=C236),1)=""O""),D236+1,D236))"),"")</f>
        <v/>
      </c>
      <c r="E237" s="2" t="str">
        <f>IF(OR(F237="",F237="Selecciona.."),"",IF(D237="Implemento",SUMIF(Implementos!B:B,F237,Implementos!A:A),SUMIF(Productos!E:E,F237,Productos!A:A)))</f>
        <v/>
      </c>
      <c r="F237" s="2" t="str">
        <f t="shared" si="2"/>
        <v/>
      </c>
      <c r="G237" s="10" t="str">
        <f t="array" ref="G237">IF(OR(F237="",F237="-",F237="Selecciona..",F237="Finalizar"),"",IF(A237="Rodados",XLOOKUP(B237,'Validaciones Cotizador'!I:I,'Validaciones Cotizador'!J:J,0,0,1),1))</f>
        <v/>
      </c>
      <c r="H237" s="11" t="str">
        <f>IF(OR(F237="",F237="Selecciona.."),"",SUMIF(Precio_Productos!K:K,E237,Precio_Productos!J:J)*G237)</f>
        <v/>
      </c>
      <c r="I237" s="4" t="str">
        <f t="array" ref="I237">IF($E237="","", XLOOKUP(SUMIFS(Prod_Prop!$A:$A,Prod_Prop!$B:$B,$E237,Prod_Prop!$H:$H,I$1,Prod_Prop!$I:$I,"Exacto"),Prod_Prop!$A:$A,Prod_Prop!$J:$J,"",0,1))</f>
        <v/>
      </c>
      <c r="J237" s="4" t="str">
        <f t="array" ref="J237">IF($E237="","", XLOOKUP(SUMIFS(Prod_Prop!$A:$A,Prod_Prop!$B:$B,$E237,Prod_Prop!$H:$H,J$1,Prod_Prop!$I:$I,"Exacto"),Prod_Prop!$A:$A,Prod_Prop!$J:$J,"",0,1))</f>
        <v/>
      </c>
      <c r="K237" s="4" t="str">
        <f t="array" ref="K237">IF($E237="","", XLOOKUP(SUMIFS(Prod_Prop!$A:$A,Prod_Prop!$B:$B,$E237,Prod_Prop!$H:$H,K$1,Prod_Prop!$I:$I,"Exacto"),Prod_Prop!$A:$A,Prod_Prop!$J:$J,"",0,1))</f>
        <v/>
      </c>
      <c r="L237" s="4" t="str">
        <f t="array" ref="L237">IF($E237="","", XLOOKUP(SUMIFS(Prod_Prop!$A:$A,Prod_Prop!$B:$B,$E237,Prod_Prop!$H:$H,L$1,Prod_Prop!$I:$I,"Exacto"),Prod_Prop!$A:$A,Prod_Prop!$J:$J,"",0,1))</f>
        <v/>
      </c>
      <c r="M237" s="4" t="str">
        <f t="array" ref="M237">IF($E237="","", XLOOKUP(SUMIFS(Prod_Prop!$A:$A,Prod_Prop!$B:$B,$E237,Prod_Prop!$H:$H,M$1,Prod_Prop!$I:$I,"Exacto"),Prod_Prop!$A:$A,Prod_Prop!$J:$J,"",0,1))</f>
        <v/>
      </c>
      <c r="N237" s="4" t="str">
        <f t="array" ref="N237">IF($E237="","", XLOOKUP(SUMIFS(Prod_Prop!$A:$A,Prod_Prop!$B:$B,$E237,Prod_Prop!$H:$H,N$1,Prod_Prop!$I:$I,"Exacto"),Prod_Prop!$A:$A,Prod_Prop!$J:$J,"",0,1))</f>
        <v/>
      </c>
      <c r="O237" s="4" t="str">
        <f t="array" ref="O237">IF($E237="","", XLOOKUP(SUMIFS(Prod_Prop!$A:$A,Prod_Prop!$B:$B,$E237,Prod_Prop!$H:$H,O$1,Prod_Prop!$I:$I,"Exacto"),Prod_Prop!$A:$A,Prod_Prop!$J:$J,"",0,1))</f>
        <v/>
      </c>
      <c r="P237" s="4" t="str">
        <f t="array" ref="P237">IF($E237="","", XLOOKUP(SUMIFS(Prod_Prop!$A:$A,Prod_Prop!$B:$B,$E237,Prod_Prop!$H:$H,P$1,Prod_Prop!$I:$I,"Exacto"),Prod_Prop!$A:$A,Prod_Prop!$J:$J,"",0,1))</f>
        <v/>
      </c>
      <c r="Q237" s="4" t="str">
        <f t="array" ref="Q237">IF($E237="","", XLOOKUP(SUMIFS(Prod_Prop!$A:$A,Prod_Prop!$B:$B,$E237,Prod_Prop!$H:$H,Q$1,Prod_Prop!$I:$I,"Exacto"),Prod_Prop!$A:$A,Prod_Prop!$J:$J,"",0,1))</f>
        <v/>
      </c>
      <c r="R237" s="4" t="str">
        <f t="array" ref="R237">IF($E237="","", XLOOKUP(SUMIFS(Prod_Prop!$A:$A,Prod_Prop!$B:$B,$E237,Prod_Prop!$H:$H,R$1,Prod_Prop!$I:$I,"Exacto"),Prod_Prop!$A:$A,Prod_Prop!$J:$J,"",0,1))</f>
        <v/>
      </c>
      <c r="S237" s="4" t="str">
        <f t="array" ref="S237">IF($E237="","", XLOOKUP(SUMIFS(Prod_Prop!$A:$A,Prod_Prop!$B:$B,$E237,Prod_Prop!$H:$H,S$1,Prod_Prop!$I:$I,"Exacto"),Prod_Prop!$A:$A,Prod_Prop!$J:$J,"",0,1))</f>
        <v/>
      </c>
      <c r="T237" s="4" t="str">
        <f t="array" ref="T237">IF($E237="","", XLOOKUP(SUMIFS(Prod_Prop!$A:$A,Prod_Prop!$B:$B,$E237,Prod_Prop!$H:$H,T$1,Prod_Prop!$I:$I,"Exacto"),Prod_Prop!$A:$A,Prod_Prop!$J:$J,"",0,1))</f>
        <v/>
      </c>
      <c r="U237" s="4" t="str">
        <f t="array" ref="U237">IF($E237="","", XLOOKUP(SUMIFS(Prod_Prop!$A:$A,Prod_Prop!$B:$B,$E237,Prod_Prop!$H:$H,U$1,Prod_Prop!$I:$I,"Exacto"),Prod_Prop!$A:$A,Prod_Prop!$J:$J,"",0,1))</f>
        <v/>
      </c>
      <c r="V237" s="4" t="str">
        <f t="array" ref="V237">IF($E237="","", XLOOKUP(SUMIFS(Prod_Prop!$A:$A,Prod_Prop!$B:$B,$E237,Prod_Prop!$H:$H,V$1,Prod_Prop!$I:$I,"Exacto"),Prod_Prop!$A:$A,Prod_Prop!$J:$J,"",0,1))</f>
        <v/>
      </c>
      <c r="X237" s="3" t="str">
        <f>IFERROR(__xludf.DUMMYFUNCTION("IF(D237="""","""",IFERROR(TRANSPOSE(FILTER('Validaciones Cotizador'!U:U,'Validaciones Cotizador'!O:O=D237,'Validaciones Cotizador'!T:T=""x"")),""Finalizar""))"),"")</f>
        <v/>
      </c>
    </row>
    <row r="238">
      <c r="A238" s="2" t="str">
        <f t="array" ref="A238">IF(E238="","",XLOOKUP(D238,'Validaciones Cotizador'!C:C,'Validaciones Cotizador'!A:A,"",0,1))</f>
        <v/>
      </c>
      <c r="B238" s="2" t="str">
        <f t="array" ref="B238">IF(F238="","",XLOOKUP(F238,Productos!E:E,Productos!G:G,"",0,1))</f>
        <v/>
      </c>
      <c r="C238" s="2" t="str">
        <f>IF(A238="","",SUMIFS('Validaciones Cotizador'!B:B,'Validaciones Cotizador'!C:C,D238,'Validaciones Cotizador'!A:A,A238))</f>
        <v/>
      </c>
      <c r="D238" s="4" t="str">
        <f>IFERROR(__xludf.DUMMYFUNCTION("IF(OR(F237=""Finalizar"",F237="""",F237=""Selecciona..""),"""",IF(OR(F237=""-"",INDEX(filter(Familias!F:F,Familias!D:D=A237,Familias!E:E=C237),1)=""O""),D237+1,D237))"),"")</f>
        <v/>
      </c>
      <c r="E238" s="2" t="str">
        <f>IF(OR(F238="",F238="Selecciona.."),"",IF(D238="Implemento",SUMIF(Implementos!B:B,F238,Implementos!A:A),SUMIF(Productos!E:E,F238,Productos!A:A)))</f>
        <v/>
      </c>
      <c r="F238" s="2" t="str">
        <f t="shared" si="2"/>
        <v/>
      </c>
      <c r="G238" s="10" t="str">
        <f t="array" ref="G238">IF(OR(F238="",F238="-",F238="Selecciona..",F238="Finalizar"),"",IF(A238="Rodados",XLOOKUP(B238,'Validaciones Cotizador'!I:I,'Validaciones Cotizador'!J:J,0,0,1),1))</f>
        <v/>
      </c>
      <c r="H238" s="11" t="str">
        <f>IF(OR(F238="",F238="Selecciona.."),"",SUMIF(Precio_Productos!K:K,E238,Precio_Productos!J:J)*G238)</f>
        <v/>
      </c>
      <c r="I238" s="4" t="str">
        <f t="array" ref="I238">IF($E238="","", XLOOKUP(SUMIFS(Prod_Prop!$A:$A,Prod_Prop!$B:$B,$E238,Prod_Prop!$H:$H,I$1,Prod_Prop!$I:$I,"Exacto"),Prod_Prop!$A:$A,Prod_Prop!$J:$J,"",0,1))</f>
        <v/>
      </c>
      <c r="J238" s="4" t="str">
        <f t="array" ref="J238">IF($E238="","", XLOOKUP(SUMIFS(Prod_Prop!$A:$A,Prod_Prop!$B:$B,$E238,Prod_Prop!$H:$H,J$1,Prod_Prop!$I:$I,"Exacto"),Prod_Prop!$A:$A,Prod_Prop!$J:$J,"",0,1))</f>
        <v/>
      </c>
      <c r="K238" s="4" t="str">
        <f t="array" ref="K238">IF($E238="","", XLOOKUP(SUMIFS(Prod_Prop!$A:$A,Prod_Prop!$B:$B,$E238,Prod_Prop!$H:$H,K$1,Prod_Prop!$I:$I,"Exacto"),Prod_Prop!$A:$A,Prod_Prop!$J:$J,"",0,1))</f>
        <v/>
      </c>
      <c r="L238" s="4" t="str">
        <f t="array" ref="L238">IF($E238="","", XLOOKUP(SUMIFS(Prod_Prop!$A:$A,Prod_Prop!$B:$B,$E238,Prod_Prop!$H:$H,L$1,Prod_Prop!$I:$I,"Exacto"),Prod_Prop!$A:$A,Prod_Prop!$J:$J,"",0,1))</f>
        <v/>
      </c>
      <c r="M238" s="4" t="str">
        <f t="array" ref="M238">IF($E238="","", XLOOKUP(SUMIFS(Prod_Prop!$A:$A,Prod_Prop!$B:$B,$E238,Prod_Prop!$H:$H,M$1,Prod_Prop!$I:$I,"Exacto"),Prod_Prop!$A:$A,Prod_Prop!$J:$J,"",0,1))</f>
        <v/>
      </c>
      <c r="N238" s="4" t="str">
        <f t="array" ref="N238">IF($E238="","", XLOOKUP(SUMIFS(Prod_Prop!$A:$A,Prod_Prop!$B:$B,$E238,Prod_Prop!$H:$H,N$1,Prod_Prop!$I:$I,"Exacto"),Prod_Prop!$A:$A,Prod_Prop!$J:$J,"",0,1))</f>
        <v/>
      </c>
      <c r="O238" s="4" t="str">
        <f t="array" ref="O238">IF($E238="","", XLOOKUP(SUMIFS(Prod_Prop!$A:$A,Prod_Prop!$B:$B,$E238,Prod_Prop!$H:$H,O$1,Prod_Prop!$I:$I,"Exacto"),Prod_Prop!$A:$A,Prod_Prop!$J:$J,"",0,1))</f>
        <v/>
      </c>
      <c r="P238" s="4" t="str">
        <f t="array" ref="P238">IF($E238="","", XLOOKUP(SUMIFS(Prod_Prop!$A:$A,Prod_Prop!$B:$B,$E238,Prod_Prop!$H:$H,P$1,Prod_Prop!$I:$I,"Exacto"),Prod_Prop!$A:$A,Prod_Prop!$J:$J,"",0,1))</f>
        <v/>
      </c>
      <c r="Q238" s="4" t="str">
        <f t="array" ref="Q238">IF($E238="","", XLOOKUP(SUMIFS(Prod_Prop!$A:$A,Prod_Prop!$B:$B,$E238,Prod_Prop!$H:$H,Q$1,Prod_Prop!$I:$I,"Exacto"),Prod_Prop!$A:$A,Prod_Prop!$J:$J,"",0,1))</f>
        <v/>
      </c>
      <c r="R238" s="4" t="str">
        <f t="array" ref="R238">IF($E238="","", XLOOKUP(SUMIFS(Prod_Prop!$A:$A,Prod_Prop!$B:$B,$E238,Prod_Prop!$H:$H,R$1,Prod_Prop!$I:$I,"Exacto"),Prod_Prop!$A:$A,Prod_Prop!$J:$J,"",0,1))</f>
        <v/>
      </c>
      <c r="S238" s="4" t="str">
        <f t="array" ref="S238">IF($E238="","", XLOOKUP(SUMIFS(Prod_Prop!$A:$A,Prod_Prop!$B:$B,$E238,Prod_Prop!$H:$H,S$1,Prod_Prop!$I:$I,"Exacto"),Prod_Prop!$A:$A,Prod_Prop!$J:$J,"",0,1))</f>
        <v/>
      </c>
      <c r="T238" s="4" t="str">
        <f t="array" ref="T238">IF($E238="","", XLOOKUP(SUMIFS(Prod_Prop!$A:$A,Prod_Prop!$B:$B,$E238,Prod_Prop!$H:$H,T$1,Prod_Prop!$I:$I,"Exacto"),Prod_Prop!$A:$A,Prod_Prop!$J:$J,"",0,1))</f>
        <v/>
      </c>
      <c r="U238" s="4" t="str">
        <f t="array" ref="U238">IF($E238="","", XLOOKUP(SUMIFS(Prod_Prop!$A:$A,Prod_Prop!$B:$B,$E238,Prod_Prop!$H:$H,U$1,Prod_Prop!$I:$I,"Exacto"),Prod_Prop!$A:$A,Prod_Prop!$J:$J,"",0,1))</f>
        <v/>
      </c>
      <c r="V238" s="4" t="str">
        <f t="array" ref="V238">IF($E238="","", XLOOKUP(SUMIFS(Prod_Prop!$A:$A,Prod_Prop!$B:$B,$E238,Prod_Prop!$H:$H,V$1,Prod_Prop!$I:$I,"Exacto"),Prod_Prop!$A:$A,Prod_Prop!$J:$J,"",0,1))</f>
        <v/>
      </c>
      <c r="X238" s="3" t="str">
        <f>IFERROR(__xludf.DUMMYFUNCTION("IF(D238="""","""",IFERROR(TRANSPOSE(FILTER('Validaciones Cotizador'!U:U,'Validaciones Cotizador'!O:O=D238,'Validaciones Cotizador'!T:T=""x"")),""Finalizar""))"),"")</f>
        <v/>
      </c>
    </row>
    <row r="239">
      <c r="A239" s="2" t="str">
        <f t="array" ref="A239">IF(E239="","",XLOOKUP(D239,'Validaciones Cotizador'!C:C,'Validaciones Cotizador'!A:A,"",0,1))</f>
        <v/>
      </c>
      <c r="B239" s="2" t="str">
        <f t="array" ref="B239">IF(F239="","",XLOOKUP(F239,Productos!E:E,Productos!G:G,"",0,1))</f>
        <v/>
      </c>
      <c r="C239" s="2" t="str">
        <f>IF(A239="","",SUMIFS('Validaciones Cotizador'!B:B,'Validaciones Cotizador'!C:C,D239,'Validaciones Cotizador'!A:A,A239))</f>
        <v/>
      </c>
      <c r="D239" s="4" t="str">
        <f>IFERROR(__xludf.DUMMYFUNCTION("IF(OR(F238=""Finalizar"",F238="""",F238=""Selecciona..""),"""",IF(OR(F238=""-"",INDEX(filter(Familias!F:F,Familias!D:D=A238,Familias!E:E=C238),1)=""O""),D238+1,D238))"),"")</f>
        <v/>
      </c>
      <c r="E239" s="2" t="str">
        <f>IF(OR(F239="",F239="Selecciona.."),"",IF(D239="Implemento",SUMIF(Implementos!B:B,F239,Implementos!A:A),SUMIF(Productos!E:E,F239,Productos!A:A)))</f>
        <v/>
      </c>
      <c r="F239" s="2" t="str">
        <f t="shared" si="2"/>
        <v/>
      </c>
      <c r="G239" s="10" t="str">
        <f t="array" ref="G239">IF(OR(F239="",F239="-",F239="Selecciona..",F239="Finalizar"),"",IF(A239="Rodados",XLOOKUP(B239,'Validaciones Cotizador'!I:I,'Validaciones Cotizador'!J:J,0,0,1),1))</f>
        <v/>
      </c>
      <c r="H239" s="11" t="str">
        <f>IF(OR(F239="",F239="Selecciona.."),"",SUMIF(Precio_Productos!K:K,E239,Precio_Productos!J:J)*G239)</f>
        <v/>
      </c>
      <c r="I239" s="4" t="str">
        <f t="array" ref="I239">IF($E239="","", XLOOKUP(SUMIFS(Prod_Prop!$A:$A,Prod_Prop!$B:$B,$E239,Prod_Prop!$H:$H,I$1,Prod_Prop!$I:$I,"Exacto"),Prod_Prop!$A:$A,Prod_Prop!$J:$J,"",0,1))</f>
        <v/>
      </c>
      <c r="J239" s="4" t="str">
        <f t="array" ref="J239">IF($E239="","", XLOOKUP(SUMIFS(Prod_Prop!$A:$A,Prod_Prop!$B:$B,$E239,Prod_Prop!$H:$H,J$1,Prod_Prop!$I:$I,"Exacto"),Prod_Prop!$A:$A,Prod_Prop!$J:$J,"",0,1))</f>
        <v/>
      </c>
      <c r="K239" s="4" t="str">
        <f t="array" ref="K239">IF($E239="","", XLOOKUP(SUMIFS(Prod_Prop!$A:$A,Prod_Prop!$B:$B,$E239,Prod_Prop!$H:$H,K$1,Prod_Prop!$I:$I,"Exacto"),Prod_Prop!$A:$A,Prod_Prop!$J:$J,"",0,1))</f>
        <v/>
      </c>
      <c r="L239" s="4" t="str">
        <f t="array" ref="L239">IF($E239="","", XLOOKUP(SUMIFS(Prod_Prop!$A:$A,Prod_Prop!$B:$B,$E239,Prod_Prop!$H:$H,L$1,Prod_Prop!$I:$I,"Exacto"),Prod_Prop!$A:$A,Prod_Prop!$J:$J,"",0,1))</f>
        <v/>
      </c>
      <c r="M239" s="4" t="str">
        <f t="array" ref="M239">IF($E239="","", XLOOKUP(SUMIFS(Prod_Prop!$A:$A,Prod_Prop!$B:$B,$E239,Prod_Prop!$H:$H,M$1,Prod_Prop!$I:$I,"Exacto"),Prod_Prop!$A:$A,Prod_Prop!$J:$J,"",0,1))</f>
        <v/>
      </c>
      <c r="N239" s="4" t="str">
        <f t="array" ref="N239">IF($E239="","", XLOOKUP(SUMIFS(Prod_Prop!$A:$A,Prod_Prop!$B:$B,$E239,Prod_Prop!$H:$H,N$1,Prod_Prop!$I:$I,"Exacto"),Prod_Prop!$A:$A,Prod_Prop!$J:$J,"",0,1))</f>
        <v/>
      </c>
      <c r="O239" s="4" t="str">
        <f t="array" ref="O239">IF($E239="","", XLOOKUP(SUMIFS(Prod_Prop!$A:$A,Prod_Prop!$B:$B,$E239,Prod_Prop!$H:$H,O$1,Prod_Prop!$I:$I,"Exacto"),Prod_Prop!$A:$A,Prod_Prop!$J:$J,"",0,1))</f>
        <v/>
      </c>
      <c r="P239" s="4" t="str">
        <f t="array" ref="P239">IF($E239="","", XLOOKUP(SUMIFS(Prod_Prop!$A:$A,Prod_Prop!$B:$B,$E239,Prod_Prop!$H:$H,P$1,Prod_Prop!$I:$I,"Exacto"),Prod_Prop!$A:$A,Prod_Prop!$J:$J,"",0,1))</f>
        <v/>
      </c>
      <c r="Q239" s="4" t="str">
        <f t="array" ref="Q239">IF($E239="","", XLOOKUP(SUMIFS(Prod_Prop!$A:$A,Prod_Prop!$B:$B,$E239,Prod_Prop!$H:$H,Q$1,Prod_Prop!$I:$I,"Exacto"),Prod_Prop!$A:$A,Prod_Prop!$J:$J,"",0,1))</f>
        <v/>
      </c>
      <c r="R239" s="4" t="str">
        <f t="array" ref="R239">IF($E239="","", XLOOKUP(SUMIFS(Prod_Prop!$A:$A,Prod_Prop!$B:$B,$E239,Prod_Prop!$H:$H,R$1,Prod_Prop!$I:$I,"Exacto"),Prod_Prop!$A:$A,Prod_Prop!$J:$J,"",0,1))</f>
        <v/>
      </c>
      <c r="S239" s="4" t="str">
        <f t="array" ref="S239">IF($E239="","", XLOOKUP(SUMIFS(Prod_Prop!$A:$A,Prod_Prop!$B:$B,$E239,Prod_Prop!$H:$H,S$1,Prod_Prop!$I:$I,"Exacto"),Prod_Prop!$A:$A,Prod_Prop!$J:$J,"",0,1))</f>
        <v/>
      </c>
      <c r="T239" s="4" t="str">
        <f t="array" ref="T239">IF($E239="","", XLOOKUP(SUMIFS(Prod_Prop!$A:$A,Prod_Prop!$B:$B,$E239,Prod_Prop!$H:$H,T$1,Prod_Prop!$I:$I,"Exacto"),Prod_Prop!$A:$A,Prod_Prop!$J:$J,"",0,1))</f>
        <v/>
      </c>
      <c r="U239" s="4" t="str">
        <f t="array" ref="U239">IF($E239="","", XLOOKUP(SUMIFS(Prod_Prop!$A:$A,Prod_Prop!$B:$B,$E239,Prod_Prop!$H:$H,U$1,Prod_Prop!$I:$I,"Exacto"),Prod_Prop!$A:$A,Prod_Prop!$J:$J,"",0,1))</f>
        <v/>
      </c>
      <c r="V239" s="4" t="str">
        <f t="array" ref="V239">IF($E239="","", XLOOKUP(SUMIFS(Prod_Prop!$A:$A,Prod_Prop!$B:$B,$E239,Prod_Prop!$H:$H,V$1,Prod_Prop!$I:$I,"Exacto"),Prod_Prop!$A:$A,Prod_Prop!$J:$J,"",0,1))</f>
        <v/>
      </c>
      <c r="X239" s="3" t="str">
        <f>IFERROR(__xludf.DUMMYFUNCTION("IF(D239="""","""",IFERROR(TRANSPOSE(FILTER('Validaciones Cotizador'!U:U,'Validaciones Cotizador'!O:O=D239,'Validaciones Cotizador'!T:T=""x"")),""Finalizar""))"),"")</f>
        <v/>
      </c>
    </row>
    <row r="240">
      <c r="A240" s="2" t="str">
        <f t="array" ref="A240">IF(E240="","",XLOOKUP(D240,'Validaciones Cotizador'!C:C,'Validaciones Cotizador'!A:A,"",0,1))</f>
        <v/>
      </c>
      <c r="B240" s="2" t="str">
        <f t="array" ref="B240">IF(F240="","",XLOOKUP(F240,Productos!E:E,Productos!G:G,"",0,1))</f>
        <v/>
      </c>
      <c r="C240" s="2" t="str">
        <f>IF(A240="","",SUMIFS('Validaciones Cotizador'!B:B,'Validaciones Cotizador'!C:C,D240,'Validaciones Cotizador'!A:A,A240))</f>
        <v/>
      </c>
      <c r="D240" s="4" t="str">
        <f>IFERROR(__xludf.DUMMYFUNCTION("IF(OR(F239=""Finalizar"",F239="""",F239=""Selecciona..""),"""",IF(OR(F239=""-"",INDEX(filter(Familias!F:F,Familias!D:D=A239,Familias!E:E=C239),1)=""O""),D239+1,D239))"),"")</f>
        <v/>
      </c>
      <c r="E240" s="2" t="str">
        <f>IF(OR(F240="",F240="Selecciona.."),"",IF(D240="Implemento",SUMIF(Implementos!B:B,F240,Implementos!A:A),SUMIF(Productos!E:E,F240,Productos!A:A)))</f>
        <v/>
      </c>
      <c r="F240" s="2" t="str">
        <f t="shared" si="2"/>
        <v/>
      </c>
      <c r="G240" s="10" t="str">
        <f t="array" ref="G240">IF(OR(F240="",F240="-",F240="Selecciona..",F240="Finalizar"),"",IF(A240="Rodados",XLOOKUP(B240,'Validaciones Cotizador'!I:I,'Validaciones Cotizador'!J:J,0,0,1),1))</f>
        <v/>
      </c>
      <c r="H240" s="11" t="str">
        <f>IF(OR(F240="",F240="Selecciona.."),"",SUMIF(Precio_Productos!K:K,E240,Precio_Productos!J:J)*G240)</f>
        <v/>
      </c>
      <c r="I240" s="4" t="str">
        <f t="array" ref="I240">IF($E240="","", XLOOKUP(SUMIFS(Prod_Prop!$A:$A,Prod_Prop!$B:$B,$E240,Prod_Prop!$H:$H,I$1,Prod_Prop!$I:$I,"Exacto"),Prod_Prop!$A:$A,Prod_Prop!$J:$J,"",0,1))</f>
        <v/>
      </c>
      <c r="J240" s="4" t="str">
        <f t="array" ref="J240">IF($E240="","", XLOOKUP(SUMIFS(Prod_Prop!$A:$A,Prod_Prop!$B:$B,$E240,Prod_Prop!$H:$H,J$1,Prod_Prop!$I:$I,"Exacto"),Prod_Prop!$A:$A,Prod_Prop!$J:$J,"",0,1))</f>
        <v/>
      </c>
      <c r="K240" s="4" t="str">
        <f t="array" ref="K240">IF($E240="","", XLOOKUP(SUMIFS(Prod_Prop!$A:$A,Prod_Prop!$B:$B,$E240,Prod_Prop!$H:$H,K$1,Prod_Prop!$I:$I,"Exacto"),Prod_Prop!$A:$A,Prod_Prop!$J:$J,"",0,1))</f>
        <v/>
      </c>
      <c r="L240" s="4" t="str">
        <f t="array" ref="L240">IF($E240="","", XLOOKUP(SUMIFS(Prod_Prop!$A:$A,Prod_Prop!$B:$B,$E240,Prod_Prop!$H:$H,L$1,Prod_Prop!$I:$I,"Exacto"),Prod_Prop!$A:$A,Prod_Prop!$J:$J,"",0,1))</f>
        <v/>
      </c>
      <c r="M240" s="4" t="str">
        <f t="array" ref="M240">IF($E240="","", XLOOKUP(SUMIFS(Prod_Prop!$A:$A,Prod_Prop!$B:$B,$E240,Prod_Prop!$H:$H,M$1,Prod_Prop!$I:$I,"Exacto"),Prod_Prop!$A:$A,Prod_Prop!$J:$J,"",0,1))</f>
        <v/>
      </c>
      <c r="N240" s="4" t="str">
        <f t="array" ref="N240">IF($E240="","", XLOOKUP(SUMIFS(Prod_Prop!$A:$A,Prod_Prop!$B:$B,$E240,Prod_Prop!$H:$H,N$1,Prod_Prop!$I:$I,"Exacto"),Prod_Prop!$A:$A,Prod_Prop!$J:$J,"",0,1))</f>
        <v/>
      </c>
      <c r="O240" s="4" t="str">
        <f t="array" ref="O240">IF($E240="","", XLOOKUP(SUMIFS(Prod_Prop!$A:$A,Prod_Prop!$B:$B,$E240,Prod_Prop!$H:$H,O$1,Prod_Prop!$I:$I,"Exacto"),Prod_Prop!$A:$A,Prod_Prop!$J:$J,"",0,1))</f>
        <v/>
      </c>
      <c r="P240" s="4" t="str">
        <f t="array" ref="P240">IF($E240="","", XLOOKUP(SUMIFS(Prod_Prop!$A:$A,Prod_Prop!$B:$B,$E240,Prod_Prop!$H:$H,P$1,Prod_Prop!$I:$I,"Exacto"),Prod_Prop!$A:$A,Prod_Prop!$J:$J,"",0,1))</f>
        <v/>
      </c>
      <c r="Q240" s="4" t="str">
        <f t="array" ref="Q240">IF($E240="","", XLOOKUP(SUMIFS(Prod_Prop!$A:$A,Prod_Prop!$B:$B,$E240,Prod_Prop!$H:$H,Q$1,Prod_Prop!$I:$I,"Exacto"),Prod_Prop!$A:$A,Prod_Prop!$J:$J,"",0,1))</f>
        <v/>
      </c>
      <c r="R240" s="4" t="str">
        <f t="array" ref="R240">IF($E240="","", XLOOKUP(SUMIFS(Prod_Prop!$A:$A,Prod_Prop!$B:$B,$E240,Prod_Prop!$H:$H,R$1,Prod_Prop!$I:$I,"Exacto"),Prod_Prop!$A:$A,Prod_Prop!$J:$J,"",0,1))</f>
        <v/>
      </c>
      <c r="S240" s="4" t="str">
        <f t="array" ref="S240">IF($E240="","", XLOOKUP(SUMIFS(Prod_Prop!$A:$A,Prod_Prop!$B:$B,$E240,Prod_Prop!$H:$H,S$1,Prod_Prop!$I:$I,"Exacto"),Prod_Prop!$A:$A,Prod_Prop!$J:$J,"",0,1))</f>
        <v/>
      </c>
      <c r="T240" s="4" t="str">
        <f t="array" ref="T240">IF($E240="","", XLOOKUP(SUMIFS(Prod_Prop!$A:$A,Prod_Prop!$B:$B,$E240,Prod_Prop!$H:$H,T$1,Prod_Prop!$I:$I,"Exacto"),Prod_Prop!$A:$A,Prod_Prop!$J:$J,"",0,1))</f>
        <v/>
      </c>
      <c r="U240" s="4" t="str">
        <f t="array" ref="U240">IF($E240="","", XLOOKUP(SUMIFS(Prod_Prop!$A:$A,Prod_Prop!$B:$B,$E240,Prod_Prop!$H:$H,U$1,Prod_Prop!$I:$I,"Exacto"),Prod_Prop!$A:$A,Prod_Prop!$J:$J,"",0,1))</f>
        <v/>
      </c>
      <c r="V240" s="4" t="str">
        <f t="array" ref="V240">IF($E240="","", XLOOKUP(SUMIFS(Prod_Prop!$A:$A,Prod_Prop!$B:$B,$E240,Prod_Prop!$H:$H,V$1,Prod_Prop!$I:$I,"Exacto"),Prod_Prop!$A:$A,Prod_Prop!$J:$J,"",0,1))</f>
        <v/>
      </c>
      <c r="X240" s="3" t="str">
        <f>IFERROR(__xludf.DUMMYFUNCTION("IF(D240="""","""",IFERROR(TRANSPOSE(FILTER('Validaciones Cotizador'!U:U,'Validaciones Cotizador'!O:O=D240,'Validaciones Cotizador'!T:T=""x"")),""Finalizar""))"),"")</f>
        <v/>
      </c>
    </row>
    <row r="241">
      <c r="A241" s="2" t="str">
        <f t="array" ref="A241">IF(E241="","",XLOOKUP(D241,'Validaciones Cotizador'!C:C,'Validaciones Cotizador'!A:A,"",0,1))</f>
        <v/>
      </c>
      <c r="B241" s="2" t="str">
        <f t="array" ref="B241">IF(F241="","",XLOOKUP(F241,Productos!E:E,Productos!G:G,"",0,1))</f>
        <v/>
      </c>
      <c r="C241" s="2" t="str">
        <f>IF(A241="","",SUMIFS('Validaciones Cotizador'!B:B,'Validaciones Cotizador'!C:C,D241,'Validaciones Cotizador'!A:A,A241))</f>
        <v/>
      </c>
      <c r="D241" s="4" t="str">
        <f>IFERROR(__xludf.DUMMYFUNCTION("IF(OR(F240=""Finalizar"",F240="""",F240=""Selecciona..""),"""",IF(OR(F240=""-"",INDEX(filter(Familias!F:F,Familias!D:D=A240,Familias!E:E=C240),1)=""O""),D240+1,D240))"),"")</f>
        <v/>
      </c>
      <c r="E241" s="2" t="str">
        <f>IF(OR(F241="",F241="Selecciona.."),"",IF(D241="Implemento",SUMIF(Implementos!B:B,F241,Implementos!A:A),SUMIF(Productos!E:E,F241,Productos!A:A)))</f>
        <v/>
      </c>
      <c r="F241" s="2" t="str">
        <f t="shared" si="2"/>
        <v/>
      </c>
      <c r="G241" s="10" t="str">
        <f t="array" ref="G241">IF(OR(F241="",F241="-",F241="Selecciona..",F241="Finalizar"),"",IF(A241="Rodados",XLOOKUP(B241,'Validaciones Cotizador'!I:I,'Validaciones Cotizador'!J:J,0,0,1),1))</f>
        <v/>
      </c>
      <c r="H241" s="11" t="str">
        <f>IF(OR(F241="",F241="Selecciona.."),"",SUMIF(Precio_Productos!K:K,E241,Precio_Productos!J:J)*G241)</f>
        <v/>
      </c>
      <c r="I241" s="4" t="str">
        <f t="array" ref="I241">IF($E241="","", XLOOKUP(SUMIFS(Prod_Prop!$A:$A,Prod_Prop!$B:$B,$E241,Prod_Prop!$H:$H,I$1,Prod_Prop!$I:$I,"Exacto"),Prod_Prop!$A:$A,Prod_Prop!$J:$J,"",0,1))</f>
        <v/>
      </c>
      <c r="J241" s="4" t="str">
        <f t="array" ref="J241">IF($E241="","", XLOOKUP(SUMIFS(Prod_Prop!$A:$A,Prod_Prop!$B:$B,$E241,Prod_Prop!$H:$H,J$1,Prod_Prop!$I:$I,"Exacto"),Prod_Prop!$A:$A,Prod_Prop!$J:$J,"",0,1))</f>
        <v/>
      </c>
      <c r="K241" s="4" t="str">
        <f t="array" ref="K241">IF($E241="","", XLOOKUP(SUMIFS(Prod_Prop!$A:$A,Prod_Prop!$B:$B,$E241,Prod_Prop!$H:$H,K$1,Prod_Prop!$I:$I,"Exacto"),Prod_Prop!$A:$A,Prod_Prop!$J:$J,"",0,1))</f>
        <v/>
      </c>
      <c r="L241" s="4" t="str">
        <f t="array" ref="L241">IF($E241="","", XLOOKUP(SUMIFS(Prod_Prop!$A:$A,Prod_Prop!$B:$B,$E241,Prod_Prop!$H:$H,L$1,Prod_Prop!$I:$I,"Exacto"),Prod_Prop!$A:$A,Prod_Prop!$J:$J,"",0,1))</f>
        <v/>
      </c>
      <c r="M241" s="4" t="str">
        <f t="array" ref="M241">IF($E241="","", XLOOKUP(SUMIFS(Prod_Prop!$A:$A,Prod_Prop!$B:$B,$E241,Prod_Prop!$H:$H,M$1,Prod_Prop!$I:$I,"Exacto"),Prod_Prop!$A:$A,Prod_Prop!$J:$J,"",0,1))</f>
        <v/>
      </c>
      <c r="N241" s="4" t="str">
        <f t="array" ref="N241">IF($E241="","", XLOOKUP(SUMIFS(Prod_Prop!$A:$A,Prod_Prop!$B:$B,$E241,Prod_Prop!$H:$H,N$1,Prod_Prop!$I:$I,"Exacto"),Prod_Prop!$A:$A,Prod_Prop!$J:$J,"",0,1))</f>
        <v/>
      </c>
      <c r="O241" s="4" t="str">
        <f t="array" ref="O241">IF($E241="","", XLOOKUP(SUMIFS(Prod_Prop!$A:$A,Prod_Prop!$B:$B,$E241,Prod_Prop!$H:$H,O$1,Prod_Prop!$I:$I,"Exacto"),Prod_Prop!$A:$A,Prod_Prop!$J:$J,"",0,1))</f>
        <v/>
      </c>
      <c r="P241" s="4" t="str">
        <f t="array" ref="P241">IF($E241="","", XLOOKUP(SUMIFS(Prod_Prop!$A:$A,Prod_Prop!$B:$B,$E241,Prod_Prop!$H:$H,P$1,Prod_Prop!$I:$I,"Exacto"),Prod_Prop!$A:$A,Prod_Prop!$J:$J,"",0,1))</f>
        <v/>
      </c>
      <c r="Q241" s="4" t="str">
        <f t="array" ref="Q241">IF($E241="","", XLOOKUP(SUMIFS(Prod_Prop!$A:$A,Prod_Prop!$B:$B,$E241,Prod_Prop!$H:$H,Q$1,Prod_Prop!$I:$I,"Exacto"),Prod_Prop!$A:$A,Prod_Prop!$J:$J,"",0,1))</f>
        <v/>
      </c>
      <c r="R241" s="4" t="str">
        <f t="array" ref="R241">IF($E241="","", XLOOKUP(SUMIFS(Prod_Prop!$A:$A,Prod_Prop!$B:$B,$E241,Prod_Prop!$H:$H,R$1,Prod_Prop!$I:$I,"Exacto"),Prod_Prop!$A:$A,Prod_Prop!$J:$J,"",0,1))</f>
        <v/>
      </c>
      <c r="S241" s="4" t="str">
        <f t="array" ref="S241">IF($E241="","", XLOOKUP(SUMIFS(Prod_Prop!$A:$A,Prod_Prop!$B:$B,$E241,Prod_Prop!$H:$H,S$1,Prod_Prop!$I:$I,"Exacto"),Prod_Prop!$A:$A,Prod_Prop!$J:$J,"",0,1))</f>
        <v/>
      </c>
      <c r="T241" s="4" t="str">
        <f t="array" ref="T241">IF($E241="","", XLOOKUP(SUMIFS(Prod_Prop!$A:$A,Prod_Prop!$B:$B,$E241,Prod_Prop!$H:$H,T$1,Prod_Prop!$I:$I,"Exacto"),Prod_Prop!$A:$A,Prod_Prop!$J:$J,"",0,1))</f>
        <v/>
      </c>
      <c r="U241" s="4" t="str">
        <f t="array" ref="U241">IF($E241="","", XLOOKUP(SUMIFS(Prod_Prop!$A:$A,Prod_Prop!$B:$B,$E241,Prod_Prop!$H:$H,U$1,Prod_Prop!$I:$I,"Exacto"),Prod_Prop!$A:$A,Prod_Prop!$J:$J,"",0,1))</f>
        <v/>
      </c>
      <c r="V241" s="4" t="str">
        <f t="array" ref="V241">IF($E241="","", XLOOKUP(SUMIFS(Prod_Prop!$A:$A,Prod_Prop!$B:$B,$E241,Prod_Prop!$H:$H,V$1,Prod_Prop!$I:$I,"Exacto"),Prod_Prop!$A:$A,Prod_Prop!$J:$J,"",0,1))</f>
        <v/>
      </c>
      <c r="X241" s="3" t="str">
        <f>IFERROR(__xludf.DUMMYFUNCTION("IF(D241="""","""",IFERROR(TRANSPOSE(FILTER('Validaciones Cotizador'!U:U,'Validaciones Cotizador'!O:O=D241,'Validaciones Cotizador'!T:T=""x"")),""Finalizar""))"),"")</f>
        <v/>
      </c>
    </row>
    <row r="242">
      <c r="A242" s="2" t="str">
        <f t="array" ref="A242">IF(E242="","",XLOOKUP(D242,'Validaciones Cotizador'!C:C,'Validaciones Cotizador'!A:A,"",0,1))</f>
        <v/>
      </c>
      <c r="B242" s="2" t="str">
        <f t="array" ref="B242">IF(F242="","",XLOOKUP(F242,Productos!E:E,Productos!G:G,"",0,1))</f>
        <v/>
      </c>
      <c r="C242" s="2" t="str">
        <f>IF(A242="","",SUMIFS('Validaciones Cotizador'!B:B,'Validaciones Cotizador'!C:C,D242,'Validaciones Cotizador'!A:A,A242))</f>
        <v/>
      </c>
      <c r="D242" s="4" t="str">
        <f>IFERROR(__xludf.DUMMYFUNCTION("IF(OR(F241=""Finalizar"",F241="""",F241=""Selecciona..""),"""",IF(OR(F241=""-"",INDEX(filter(Familias!F:F,Familias!D:D=A241,Familias!E:E=C241),1)=""O""),D241+1,D241))"),"")</f>
        <v/>
      </c>
      <c r="E242" s="2" t="str">
        <f>IF(OR(F242="",F242="Selecciona.."),"",IF(D242="Implemento",SUMIF(Implementos!B:B,F242,Implementos!A:A),SUMIF(Productos!E:E,F242,Productos!A:A)))</f>
        <v/>
      </c>
      <c r="F242" s="2" t="str">
        <f t="shared" si="2"/>
        <v/>
      </c>
      <c r="G242" s="10" t="str">
        <f t="array" ref="G242">IF(OR(F242="",F242="-",F242="Selecciona..",F242="Finalizar"),"",IF(A242="Rodados",XLOOKUP(B242,'Validaciones Cotizador'!I:I,'Validaciones Cotizador'!J:J,0,0,1),1))</f>
        <v/>
      </c>
      <c r="H242" s="11" t="str">
        <f>IF(OR(F242="",F242="Selecciona.."),"",SUMIF(Precio_Productos!K:K,E242,Precio_Productos!J:J)*G242)</f>
        <v/>
      </c>
      <c r="I242" s="4" t="str">
        <f t="array" ref="I242">IF($E242="","", XLOOKUP(SUMIFS(Prod_Prop!$A:$A,Prod_Prop!$B:$B,$E242,Prod_Prop!$H:$H,I$1,Prod_Prop!$I:$I,"Exacto"),Prod_Prop!$A:$A,Prod_Prop!$J:$J,"",0,1))</f>
        <v/>
      </c>
      <c r="J242" s="4" t="str">
        <f t="array" ref="J242">IF($E242="","", XLOOKUP(SUMIFS(Prod_Prop!$A:$A,Prod_Prop!$B:$B,$E242,Prod_Prop!$H:$H,J$1,Prod_Prop!$I:$I,"Exacto"),Prod_Prop!$A:$A,Prod_Prop!$J:$J,"",0,1))</f>
        <v/>
      </c>
      <c r="K242" s="4" t="str">
        <f t="array" ref="K242">IF($E242="","", XLOOKUP(SUMIFS(Prod_Prop!$A:$A,Prod_Prop!$B:$B,$E242,Prod_Prop!$H:$H,K$1,Prod_Prop!$I:$I,"Exacto"),Prod_Prop!$A:$A,Prod_Prop!$J:$J,"",0,1))</f>
        <v/>
      </c>
      <c r="L242" s="4" t="str">
        <f t="array" ref="L242">IF($E242="","", XLOOKUP(SUMIFS(Prod_Prop!$A:$A,Prod_Prop!$B:$B,$E242,Prod_Prop!$H:$H,L$1,Prod_Prop!$I:$I,"Exacto"),Prod_Prop!$A:$A,Prod_Prop!$J:$J,"",0,1))</f>
        <v/>
      </c>
      <c r="M242" s="4" t="str">
        <f t="array" ref="M242">IF($E242="","", XLOOKUP(SUMIFS(Prod_Prop!$A:$A,Prod_Prop!$B:$B,$E242,Prod_Prop!$H:$H,M$1,Prod_Prop!$I:$I,"Exacto"),Prod_Prop!$A:$A,Prod_Prop!$J:$J,"",0,1))</f>
        <v/>
      </c>
      <c r="N242" s="4" t="str">
        <f t="array" ref="N242">IF($E242="","", XLOOKUP(SUMIFS(Prod_Prop!$A:$A,Prod_Prop!$B:$B,$E242,Prod_Prop!$H:$H,N$1,Prod_Prop!$I:$I,"Exacto"),Prod_Prop!$A:$A,Prod_Prop!$J:$J,"",0,1))</f>
        <v/>
      </c>
      <c r="O242" s="4" t="str">
        <f t="array" ref="O242">IF($E242="","", XLOOKUP(SUMIFS(Prod_Prop!$A:$A,Prod_Prop!$B:$B,$E242,Prod_Prop!$H:$H,O$1,Prod_Prop!$I:$I,"Exacto"),Prod_Prop!$A:$A,Prod_Prop!$J:$J,"",0,1))</f>
        <v/>
      </c>
      <c r="P242" s="4" t="str">
        <f t="array" ref="P242">IF($E242="","", XLOOKUP(SUMIFS(Prod_Prop!$A:$A,Prod_Prop!$B:$B,$E242,Prod_Prop!$H:$H,P$1,Prod_Prop!$I:$I,"Exacto"),Prod_Prop!$A:$A,Prod_Prop!$J:$J,"",0,1))</f>
        <v/>
      </c>
      <c r="Q242" s="4" t="str">
        <f t="array" ref="Q242">IF($E242="","", XLOOKUP(SUMIFS(Prod_Prop!$A:$A,Prod_Prop!$B:$B,$E242,Prod_Prop!$H:$H,Q$1,Prod_Prop!$I:$I,"Exacto"),Prod_Prop!$A:$A,Prod_Prop!$J:$J,"",0,1))</f>
        <v/>
      </c>
      <c r="R242" s="4" t="str">
        <f t="array" ref="R242">IF($E242="","", XLOOKUP(SUMIFS(Prod_Prop!$A:$A,Prod_Prop!$B:$B,$E242,Prod_Prop!$H:$H,R$1,Prod_Prop!$I:$I,"Exacto"),Prod_Prop!$A:$A,Prod_Prop!$J:$J,"",0,1))</f>
        <v/>
      </c>
      <c r="S242" s="4" t="str">
        <f t="array" ref="S242">IF($E242="","", XLOOKUP(SUMIFS(Prod_Prop!$A:$A,Prod_Prop!$B:$B,$E242,Prod_Prop!$H:$H,S$1,Prod_Prop!$I:$I,"Exacto"),Prod_Prop!$A:$A,Prod_Prop!$J:$J,"",0,1))</f>
        <v/>
      </c>
      <c r="T242" s="4" t="str">
        <f t="array" ref="T242">IF($E242="","", XLOOKUP(SUMIFS(Prod_Prop!$A:$A,Prod_Prop!$B:$B,$E242,Prod_Prop!$H:$H,T$1,Prod_Prop!$I:$I,"Exacto"),Prod_Prop!$A:$A,Prod_Prop!$J:$J,"",0,1))</f>
        <v/>
      </c>
      <c r="U242" s="4" t="str">
        <f t="array" ref="U242">IF($E242="","", XLOOKUP(SUMIFS(Prod_Prop!$A:$A,Prod_Prop!$B:$B,$E242,Prod_Prop!$H:$H,U$1,Prod_Prop!$I:$I,"Exacto"),Prod_Prop!$A:$A,Prod_Prop!$J:$J,"",0,1))</f>
        <v/>
      </c>
      <c r="V242" s="4" t="str">
        <f t="array" ref="V242">IF($E242="","", XLOOKUP(SUMIFS(Prod_Prop!$A:$A,Prod_Prop!$B:$B,$E242,Prod_Prop!$H:$H,V$1,Prod_Prop!$I:$I,"Exacto"),Prod_Prop!$A:$A,Prod_Prop!$J:$J,"",0,1))</f>
        <v/>
      </c>
      <c r="X242" s="3" t="str">
        <f>IFERROR(__xludf.DUMMYFUNCTION("IF(D242="""","""",IFERROR(TRANSPOSE(FILTER('Validaciones Cotizador'!U:U,'Validaciones Cotizador'!O:O=D242,'Validaciones Cotizador'!T:T=""x"")),""Finalizar""))"),"")</f>
        <v/>
      </c>
    </row>
    <row r="243">
      <c r="A243" s="2" t="str">
        <f t="array" ref="A243">IF(E243="","",XLOOKUP(D243,'Validaciones Cotizador'!C:C,'Validaciones Cotizador'!A:A,"",0,1))</f>
        <v/>
      </c>
      <c r="B243" s="2" t="str">
        <f t="array" ref="B243">IF(F243="","",XLOOKUP(F243,Productos!E:E,Productos!G:G,"",0,1))</f>
        <v/>
      </c>
      <c r="C243" s="2" t="str">
        <f>IF(A243="","",SUMIFS('Validaciones Cotizador'!B:B,'Validaciones Cotizador'!C:C,D243,'Validaciones Cotizador'!A:A,A243))</f>
        <v/>
      </c>
      <c r="D243" s="4" t="str">
        <f>IFERROR(__xludf.DUMMYFUNCTION("IF(OR(F242=""Finalizar"",F242="""",F242=""Selecciona..""),"""",IF(OR(F242=""-"",INDEX(filter(Familias!F:F,Familias!D:D=A242,Familias!E:E=C242),1)=""O""),D242+1,D242))"),"")</f>
        <v/>
      </c>
      <c r="E243" s="2" t="str">
        <f>IF(OR(F243="",F243="Selecciona.."),"",IF(D243="Implemento",SUMIF(Implementos!B:B,F243,Implementos!A:A),SUMIF(Productos!E:E,F243,Productos!A:A)))</f>
        <v/>
      </c>
      <c r="F243" s="2" t="str">
        <f t="shared" si="2"/>
        <v/>
      </c>
      <c r="G243" s="10" t="str">
        <f t="array" ref="G243">IF(OR(F243="",F243="-",F243="Selecciona..",F243="Finalizar"),"",IF(A243="Rodados",XLOOKUP(B243,'Validaciones Cotizador'!I:I,'Validaciones Cotizador'!J:J,0,0,1),1))</f>
        <v/>
      </c>
      <c r="H243" s="11" t="str">
        <f>IF(OR(F243="",F243="Selecciona.."),"",SUMIF(Precio_Productos!K:K,E243,Precio_Productos!J:J)*G243)</f>
        <v/>
      </c>
      <c r="I243" s="4" t="str">
        <f t="array" ref="I243">IF($E243="","", XLOOKUP(SUMIFS(Prod_Prop!$A:$A,Prod_Prop!$B:$B,$E243,Prod_Prop!$H:$H,I$1,Prod_Prop!$I:$I,"Exacto"),Prod_Prop!$A:$A,Prod_Prop!$J:$J,"",0,1))</f>
        <v/>
      </c>
      <c r="J243" s="4" t="str">
        <f t="array" ref="J243">IF($E243="","", XLOOKUP(SUMIFS(Prod_Prop!$A:$A,Prod_Prop!$B:$B,$E243,Prod_Prop!$H:$H,J$1,Prod_Prop!$I:$I,"Exacto"),Prod_Prop!$A:$A,Prod_Prop!$J:$J,"",0,1))</f>
        <v/>
      </c>
      <c r="K243" s="4" t="str">
        <f t="array" ref="K243">IF($E243="","", XLOOKUP(SUMIFS(Prod_Prop!$A:$A,Prod_Prop!$B:$B,$E243,Prod_Prop!$H:$H,K$1,Prod_Prop!$I:$I,"Exacto"),Prod_Prop!$A:$A,Prod_Prop!$J:$J,"",0,1))</f>
        <v/>
      </c>
      <c r="L243" s="4" t="str">
        <f t="array" ref="L243">IF($E243="","", XLOOKUP(SUMIFS(Prod_Prop!$A:$A,Prod_Prop!$B:$B,$E243,Prod_Prop!$H:$H,L$1,Prod_Prop!$I:$I,"Exacto"),Prod_Prop!$A:$A,Prod_Prop!$J:$J,"",0,1))</f>
        <v/>
      </c>
      <c r="M243" s="4" t="str">
        <f t="array" ref="M243">IF($E243="","", XLOOKUP(SUMIFS(Prod_Prop!$A:$A,Prod_Prop!$B:$B,$E243,Prod_Prop!$H:$H,M$1,Prod_Prop!$I:$I,"Exacto"),Prod_Prop!$A:$A,Prod_Prop!$J:$J,"",0,1))</f>
        <v/>
      </c>
      <c r="N243" s="4" t="str">
        <f t="array" ref="N243">IF($E243="","", XLOOKUP(SUMIFS(Prod_Prop!$A:$A,Prod_Prop!$B:$B,$E243,Prod_Prop!$H:$H,N$1,Prod_Prop!$I:$I,"Exacto"),Prod_Prop!$A:$A,Prod_Prop!$J:$J,"",0,1))</f>
        <v/>
      </c>
      <c r="O243" s="4" t="str">
        <f t="array" ref="O243">IF($E243="","", XLOOKUP(SUMIFS(Prod_Prop!$A:$A,Prod_Prop!$B:$B,$E243,Prod_Prop!$H:$H,O$1,Prod_Prop!$I:$I,"Exacto"),Prod_Prop!$A:$A,Prod_Prop!$J:$J,"",0,1))</f>
        <v/>
      </c>
      <c r="P243" s="4" t="str">
        <f t="array" ref="P243">IF($E243="","", XLOOKUP(SUMIFS(Prod_Prop!$A:$A,Prod_Prop!$B:$B,$E243,Prod_Prop!$H:$H,P$1,Prod_Prop!$I:$I,"Exacto"),Prod_Prop!$A:$A,Prod_Prop!$J:$J,"",0,1))</f>
        <v/>
      </c>
      <c r="Q243" s="4" t="str">
        <f t="array" ref="Q243">IF($E243="","", XLOOKUP(SUMIFS(Prod_Prop!$A:$A,Prod_Prop!$B:$B,$E243,Prod_Prop!$H:$H,Q$1,Prod_Prop!$I:$I,"Exacto"),Prod_Prop!$A:$A,Prod_Prop!$J:$J,"",0,1))</f>
        <v/>
      </c>
      <c r="R243" s="4" t="str">
        <f t="array" ref="R243">IF($E243="","", XLOOKUP(SUMIFS(Prod_Prop!$A:$A,Prod_Prop!$B:$B,$E243,Prod_Prop!$H:$H,R$1,Prod_Prop!$I:$I,"Exacto"),Prod_Prop!$A:$A,Prod_Prop!$J:$J,"",0,1))</f>
        <v/>
      </c>
      <c r="S243" s="4" t="str">
        <f t="array" ref="S243">IF($E243="","", XLOOKUP(SUMIFS(Prod_Prop!$A:$A,Prod_Prop!$B:$B,$E243,Prod_Prop!$H:$H,S$1,Prod_Prop!$I:$I,"Exacto"),Prod_Prop!$A:$A,Prod_Prop!$J:$J,"",0,1))</f>
        <v/>
      </c>
      <c r="T243" s="4" t="str">
        <f t="array" ref="T243">IF($E243="","", XLOOKUP(SUMIFS(Prod_Prop!$A:$A,Prod_Prop!$B:$B,$E243,Prod_Prop!$H:$H,T$1,Prod_Prop!$I:$I,"Exacto"),Prod_Prop!$A:$A,Prod_Prop!$J:$J,"",0,1))</f>
        <v/>
      </c>
      <c r="U243" s="4" t="str">
        <f t="array" ref="U243">IF($E243="","", XLOOKUP(SUMIFS(Prod_Prop!$A:$A,Prod_Prop!$B:$B,$E243,Prod_Prop!$H:$H,U$1,Prod_Prop!$I:$I,"Exacto"),Prod_Prop!$A:$A,Prod_Prop!$J:$J,"",0,1))</f>
        <v/>
      </c>
      <c r="V243" s="4" t="str">
        <f t="array" ref="V243">IF($E243="","", XLOOKUP(SUMIFS(Prod_Prop!$A:$A,Prod_Prop!$B:$B,$E243,Prod_Prop!$H:$H,V$1,Prod_Prop!$I:$I,"Exacto"),Prod_Prop!$A:$A,Prod_Prop!$J:$J,"",0,1))</f>
        <v/>
      </c>
      <c r="X243" s="3" t="str">
        <f>IFERROR(__xludf.DUMMYFUNCTION("IF(D243="""","""",IFERROR(TRANSPOSE(FILTER('Validaciones Cotizador'!U:U,'Validaciones Cotizador'!O:O=D243,'Validaciones Cotizador'!T:T=""x"")),""Finalizar""))"),"")</f>
        <v/>
      </c>
    </row>
    <row r="244">
      <c r="A244" s="2" t="str">
        <f t="array" ref="A244">IF(E244="","",XLOOKUP(D244,'Validaciones Cotizador'!C:C,'Validaciones Cotizador'!A:A,"",0,1))</f>
        <v/>
      </c>
      <c r="B244" s="2" t="str">
        <f t="array" ref="B244">IF(F244="","",XLOOKUP(F244,Productos!E:E,Productos!G:G,"",0,1))</f>
        <v/>
      </c>
      <c r="C244" s="2" t="str">
        <f>IF(A244="","",SUMIFS('Validaciones Cotizador'!B:B,'Validaciones Cotizador'!C:C,D244,'Validaciones Cotizador'!A:A,A244))</f>
        <v/>
      </c>
      <c r="D244" s="4" t="str">
        <f>IFERROR(__xludf.DUMMYFUNCTION("IF(OR(F243=""Finalizar"",F243="""",F243=""Selecciona..""),"""",IF(OR(F243=""-"",INDEX(filter(Familias!F:F,Familias!D:D=A243,Familias!E:E=C243),1)=""O""),D243+1,D243))"),"")</f>
        <v/>
      </c>
      <c r="E244" s="2" t="str">
        <f>IF(OR(F244="",F244="Selecciona.."),"",IF(D244="Implemento",SUMIF(Implementos!B:B,F244,Implementos!A:A),SUMIF(Productos!E:E,F244,Productos!A:A)))</f>
        <v/>
      </c>
      <c r="F244" s="2" t="str">
        <f t="shared" si="2"/>
        <v/>
      </c>
      <c r="G244" s="10" t="str">
        <f t="array" ref="G244">IF(OR(F244="",F244="-",F244="Selecciona..",F244="Finalizar"),"",IF(A244="Rodados",XLOOKUP(B244,'Validaciones Cotizador'!I:I,'Validaciones Cotizador'!J:J,0,0,1),1))</f>
        <v/>
      </c>
      <c r="H244" s="11" t="str">
        <f>IF(OR(F244="",F244="Selecciona.."),"",SUMIF(Precio_Productos!K:K,E244,Precio_Productos!J:J)*G244)</f>
        <v/>
      </c>
      <c r="I244" s="4" t="str">
        <f t="array" ref="I244">IF($E244="","", XLOOKUP(SUMIFS(Prod_Prop!$A:$A,Prod_Prop!$B:$B,$E244,Prod_Prop!$H:$H,I$1,Prod_Prop!$I:$I,"Exacto"),Prod_Prop!$A:$A,Prod_Prop!$J:$J,"",0,1))</f>
        <v/>
      </c>
      <c r="J244" s="4" t="str">
        <f t="array" ref="J244">IF($E244="","", XLOOKUP(SUMIFS(Prod_Prop!$A:$A,Prod_Prop!$B:$B,$E244,Prod_Prop!$H:$H,J$1,Prod_Prop!$I:$I,"Exacto"),Prod_Prop!$A:$A,Prod_Prop!$J:$J,"",0,1))</f>
        <v/>
      </c>
      <c r="K244" s="4" t="str">
        <f t="array" ref="K244">IF($E244="","", XLOOKUP(SUMIFS(Prod_Prop!$A:$A,Prod_Prop!$B:$B,$E244,Prod_Prop!$H:$H,K$1,Prod_Prop!$I:$I,"Exacto"),Prod_Prop!$A:$A,Prod_Prop!$J:$J,"",0,1))</f>
        <v/>
      </c>
      <c r="L244" s="4" t="str">
        <f t="array" ref="L244">IF($E244="","", XLOOKUP(SUMIFS(Prod_Prop!$A:$A,Prod_Prop!$B:$B,$E244,Prod_Prop!$H:$H,L$1,Prod_Prop!$I:$I,"Exacto"),Prod_Prop!$A:$A,Prod_Prop!$J:$J,"",0,1))</f>
        <v/>
      </c>
      <c r="M244" s="4" t="str">
        <f t="array" ref="M244">IF($E244="","", XLOOKUP(SUMIFS(Prod_Prop!$A:$A,Prod_Prop!$B:$B,$E244,Prod_Prop!$H:$H,M$1,Prod_Prop!$I:$I,"Exacto"),Prod_Prop!$A:$A,Prod_Prop!$J:$J,"",0,1))</f>
        <v/>
      </c>
      <c r="N244" s="4" t="str">
        <f t="array" ref="N244">IF($E244="","", XLOOKUP(SUMIFS(Prod_Prop!$A:$A,Prod_Prop!$B:$B,$E244,Prod_Prop!$H:$H,N$1,Prod_Prop!$I:$I,"Exacto"),Prod_Prop!$A:$A,Prod_Prop!$J:$J,"",0,1))</f>
        <v/>
      </c>
      <c r="O244" s="4" t="str">
        <f t="array" ref="O244">IF($E244="","", XLOOKUP(SUMIFS(Prod_Prop!$A:$A,Prod_Prop!$B:$B,$E244,Prod_Prop!$H:$H,O$1,Prod_Prop!$I:$I,"Exacto"),Prod_Prop!$A:$A,Prod_Prop!$J:$J,"",0,1))</f>
        <v/>
      </c>
      <c r="P244" s="4" t="str">
        <f t="array" ref="P244">IF($E244="","", XLOOKUP(SUMIFS(Prod_Prop!$A:$A,Prod_Prop!$B:$B,$E244,Prod_Prop!$H:$H,P$1,Prod_Prop!$I:$I,"Exacto"),Prod_Prop!$A:$A,Prod_Prop!$J:$J,"",0,1))</f>
        <v/>
      </c>
      <c r="Q244" s="4" t="str">
        <f t="array" ref="Q244">IF($E244="","", XLOOKUP(SUMIFS(Prod_Prop!$A:$A,Prod_Prop!$B:$B,$E244,Prod_Prop!$H:$H,Q$1,Prod_Prop!$I:$I,"Exacto"),Prod_Prop!$A:$A,Prod_Prop!$J:$J,"",0,1))</f>
        <v/>
      </c>
      <c r="R244" s="4" t="str">
        <f t="array" ref="R244">IF($E244="","", XLOOKUP(SUMIFS(Prod_Prop!$A:$A,Prod_Prop!$B:$B,$E244,Prod_Prop!$H:$H,R$1,Prod_Prop!$I:$I,"Exacto"),Prod_Prop!$A:$A,Prod_Prop!$J:$J,"",0,1))</f>
        <v/>
      </c>
      <c r="S244" s="4" t="str">
        <f t="array" ref="S244">IF($E244="","", XLOOKUP(SUMIFS(Prod_Prop!$A:$A,Prod_Prop!$B:$B,$E244,Prod_Prop!$H:$H,S$1,Prod_Prop!$I:$I,"Exacto"),Prod_Prop!$A:$A,Prod_Prop!$J:$J,"",0,1))</f>
        <v/>
      </c>
      <c r="T244" s="4" t="str">
        <f t="array" ref="T244">IF($E244="","", XLOOKUP(SUMIFS(Prod_Prop!$A:$A,Prod_Prop!$B:$B,$E244,Prod_Prop!$H:$H,T$1,Prod_Prop!$I:$I,"Exacto"),Prod_Prop!$A:$A,Prod_Prop!$J:$J,"",0,1))</f>
        <v/>
      </c>
      <c r="U244" s="4" t="str">
        <f t="array" ref="U244">IF($E244="","", XLOOKUP(SUMIFS(Prod_Prop!$A:$A,Prod_Prop!$B:$B,$E244,Prod_Prop!$H:$H,U$1,Prod_Prop!$I:$I,"Exacto"),Prod_Prop!$A:$A,Prod_Prop!$J:$J,"",0,1))</f>
        <v/>
      </c>
      <c r="V244" s="4" t="str">
        <f t="array" ref="V244">IF($E244="","", XLOOKUP(SUMIFS(Prod_Prop!$A:$A,Prod_Prop!$B:$B,$E244,Prod_Prop!$H:$H,V$1,Prod_Prop!$I:$I,"Exacto"),Prod_Prop!$A:$A,Prod_Prop!$J:$J,"",0,1))</f>
        <v/>
      </c>
      <c r="X244" s="3" t="str">
        <f>IFERROR(__xludf.DUMMYFUNCTION("IF(D244="""","""",IFERROR(TRANSPOSE(FILTER('Validaciones Cotizador'!U:U,'Validaciones Cotizador'!O:O=D244,'Validaciones Cotizador'!T:T=""x"")),""Finalizar""))"),"")</f>
        <v/>
      </c>
    </row>
    <row r="245">
      <c r="A245" s="2" t="str">
        <f t="array" ref="A245">IF(E245="","",XLOOKUP(D245,'Validaciones Cotizador'!C:C,'Validaciones Cotizador'!A:A,"",0,1))</f>
        <v/>
      </c>
      <c r="B245" s="2" t="str">
        <f t="array" ref="B245">IF(F245="","",XLOOKUP(F245,Productos!E:E,Productos!G:G,"",0,1))</f>
        <v/>
      </c>
      <c r="C245" s="2" t="str">
        <f>IF(A245="","",SUMIFS('Validaciones Cotizador'!B:B,'Validaciones Cotizador'!C:C,D245,'Validaciones Cotizador'!A:A,A245))</f>
        <v/>
      </c>
      <c r="D245" s="4" t="str">
        <f>IFERROR(__xludf.DUMMYFUNCTION("IF(OR(F244=""Finalizar"",F244="""",F244=""Selecciona..""),"""",IF(OR(F244=""-"",INDEX(filter(Familias!F:F,Familias!D:D=A244,Familias!E:E=C244),1)=""O""),D244+1,D244))"),"")</f>
        <v/>
      </c>
      <c r="E245" s="2" t="str">
        <f>IF(OR(F245="",F245="Selecciona.."),"",IF(D245="Implemento",SUMIF(Implementos!B:B,F245,Implementos!A:A),SUMIF(Productos!E:E,F245,Productos!A:A)))</f>
        <v/>
      </c>
      <c r="F245" s="2" t="str">
        <f t="shared" si="2"/>
        <v/>
      </c>
      <c r="G245" s="10" t="str">
        <f t="array" ref="G245">IF(OR(F245="",F245="-",F245="Selecciona..",F245="Finalizar"),"",IF(A245="Rodados",XLOOKUP(B245,'Validaciones Cotizador'!I:I,'Validaciones Cotizador'!J:J,0,0,1),1))</f>
        <v/>
      </c>
      <c r="H245" s="11" t="str">
        <f>IF(OR(F245="",F245="Selecciona.."),"",SUMIF(Precio_Productos!K:K,E245,Precio_Productos!J:J)*G245)</f>
        <v/>
      </c>
      <c r="I245" s="4" t="str">
        <f t="array" ref="I245">IF($E245="","", XLOOKUP(SUMIFS(Prod_Prop!$A:$A,Prod_Prop!$B:$B,$E245,Prod_Prop!$H:$H,I$1,Prod_Prop!$I:$I,"Exacto"),Prod_Prop!$A:$A,Prod_Prop!$J:$J,"",0,1))</f>
        <v/>
      </c>
      <c r="J245" s="4" t="str">
        <f t="array" ref="J245">IF($E245="","", XLOOKUP(SUMIFS(Prod_Prop!$A:$A,Prod_Prop!$B:$B,$E245,Prod_Prop!$H:$H,J$1,Prod_Prop!$I:$I,"Exacto"),Prod_Prop!$A:$A,Prod_Prop!$J:$J,"",0,1))</f>
        <v/>
      </c>
      <c r="K245" s="4" t="str">
        <f t="array" ref="K245">IF($E245="","", XLOOKUP(SUMIFS(Prod_Prop!$A:$A,Prod_Prop!$B:$B,$E245,Prod_Prop!$H:$H,K$1,Prod_Prop!$I:$I,"Exacto"),Prod_Prop!$A:$A,Prod_Prop!$J:$J,"",0,1))</f>
        <v/>
      </c>
      <c r="L245" s="4" t="str">
        <f t="array" ref="L245">IF($E245="","", XLOOKUP(SUMIFS(Prod_Prop!$A:$A,Prod_Prop!$B:$B,$E245,Prod_Prop!$H:$H,L$1,Prod_Prop!$I:$I,"Exacto"),Prod_Prop!$A:$A,Prod_Prop!$J:$J,"",0,1))</f>
        <v/>
      </c>
      <c r="M245" s="4" t="str">
        <f t="array" ref="M245">IF($E245="","", XLOOKUP(SUMIFS(Prod_Prop!$A:$A,Prod_Prop!$B:$B,$E245,Prod_Prop!$H:$H,M$1,Prod_Prop!$I:$I,"Exacto"),Prod_Prop!$A:$A,Prod_Prop!$J:$J,"",0,1))</f>
        <v/>
      </c>
      <c r="N245" s="4" t="str">
        <f t="array" ref="N245">IF($E245="","", XLOOKUP(SUMIFS(Prod_Prop!$A:$A,Prod_Prop!$B:$B,$E245,Prod_Prop!$H:$H,N$1,Prod_Prop!$I:$I,"Exacto"),Prod_Prop!$A:$A,Prod_Prop!$J:$J,"",0,1))</f>
        <v/>
      </c>
      <c r="O245" s="4" t="str">
        <f t="array" ref="O245">IF($E245="","", XLOOKUP(SUMIFS(Prod_Prop!$A:$A,Prod_Prop!$B:$B,$E245,Prod_Prop!$H:$H,O$1,Prod_Prop!$I:$I,"Exacto"),Prod_Prop!$A:$A,Prod_Prop!$J:$J,"",0,1))</f>
        <v/>
      </c>
      <c r="P245" s="4" t="str">
        <f t="array" ref="P245">IF($E245="","", XLOOKUP(SUMIFS(Prod_Prop!$A:$A,Prod_Prop!$B:$B,$E245,Prod_Prop!$H:$H,P$1,Prod_Prop!$I:$I,"Exacto"),Prod_Prop!$A:$A,Prod_Prop!$J:$J,"",0,1))</f>
        <v/>
      </c>
      <c r="Q245" s="4" t="str">
        <f t="array" ref="Q245">IF($E245="","", XLOOKUP(SUMIFS(Prod_Prop!$A:$A,Prod_Prop!$B:$B,$E245,Prod_Prop!$H:$H,Q$1,Prod_Prop!$I:$I,"Exacto"),Prod_Prop!$A:$A,Prod_Prop!$J:$J,"",0,1))</f>
        <v/>
      </c>
      <c r="R245" s="4" t="str">
        <f t="array" ref="R245">IF($E245="","", XLOOKUP(SUMIFS(Prod_Prop!$A:$A,Prod_Prop!$B:$B,$E245,Prod_Prop!$H:$H,R$1,Prod_Prop!$I:$I,"Exacto"),Prod_Prop!$A:$A,Prod_Prop!$J:$J,"",0,1))</f>
        <v/>
      </c>
      <c r="S245" s="4" t="str">
        <f t="array" ref="S245">IF($E245="","", XLOOKUP(SUMIFS(Prod_Prop!$A:$A,Prod_Prop!$B:$B,$E245,Prod_Prop!$H:$H,S$1,Prod_Prop!$I:$I,"Exacto"),Prod_Prop!$A:$A,Prod_Prop!$J:$J,"",0,1))</f>
        <v/>
      </c>
      <c r="T245" s="4" t="str">
        <f t="array" ref="T245">IF($E245="","", XLOOKUP(SUMIFS(Prod_Prop!$A:$A,Prod_Prop!$B:$B,$E245,Prod_Prop!$H:$H,T$1,Prod_Prop!$I:$I,"Exacto"),Prod_Prop!$A:$A,Prod_Prop!$J:$J,"",0,1))</f>
        <v/>
      </c>
      <c r="U245" s="4" t="str">
        <f t="array" ref="U245">IF($E245="","", XLOOKUP(SUMIFS(Prod_Prop!$A:$A,Prod_Prop!$B:$B,$E245,Prod_Prop!$H:$H,U$1,Prod_Prop!$I:$I,"Exacto"),Prod_Prop!$A:$A,Prod_Prop!$J:$J,"",0,1))</f>
        <v/>
      </c>
      <c r="V245" s="4" t="str">
        <f t="array" ref="V245">IF($E245="","", XLOOKUP(SUMIFS(Prod_Prop!$A:$A,Prod_Prop!$B:$B,$E245,Prod_Prop!$H:$H,V$1,Prod_Prop!$I:$I,"Exacto"),Prod_Prop!$A:$A,Prod_Prop!$J:$J,"",0,1))</f>
        <v/>
      </c>
      <c r="X245" s="3" t="str">
        <f>IFERROR(__xludf.DUMMYFUNCTION("IF(D245="""","""",IFERROR(TRANSPOSE(FILTER('Validaciones Cotizador'!U:U,'Validaciones Cotizador'!O:O=D245,'Validaciones Cotizador'!T:T=""x"")),""Finalizar""))"),"")</f>
        <v/>
      </c>
    </row>
    <row r="246">
      <c r="A246" s="2" t="str">
        <f t="array" ref="A246">IF(E246="","",XLOOKUP(D246,'Validaciones Cotizador'!C:C,'Validaciones Cotizador'!A:A,"",0,1))</f>
        <v/>
      </c>
      <c r="B246" s="2" t="str">
        <f t="array" ref="B246">IF(F246="","",XLOOKUP(F246,Productos!E:E,Productos!G:G,"",0,1))</f>
        <v/>
      </c>
      <c r="C246" s="2" t="str">
        <f>IF(A246="","",SUMIFS('Validaciones Cotizador'!B:B,'Validaciones Cotizador'!C:C,D246,'Validaciones Cotizador'!A:A,A246))</f>
        <v/>
      </c>
      <c r="D246" s="4" t="str">
        <f>IFERROR(__xludf.DUMMYFUNCTION("IF(OR(F245=""Finalizar"",F245="""",F245=""Selecciona..""),"""",IF(OR(F245=""-"",INDEX(filter(Familias!F:F,Familias!D:D=A245,Familias!E:E=C245),1)=""O""),D245+1,D245))"),"")</f>
        <v/>
      </c>
      <c r="E246" s="2" t="str">
        <f>IF(OR(F246="",F246="Selecciona.."),"",IF(D246="Implemento",SUMIF(Implementos!B:B,F246,Implementos!A:A),SUMIF(Productos!E:E,F246,Productos!A:A)))</f>
        <v/>
      </c>
      <c r="F246" s="2" t="str">
        <f t="shared" si="2"/>
        <v/>
      </c>
      <c r="G246" s="10" t="str">
        <f t="array" ref="G246">IF(OR(F246="",F246="-",F246="Selecciona..",F246="Finalizar"),"",IF(A246="Rodados",XLOOKUP(B246,'Validaciones Cotizador'!I:I,'Validaciones Cotizador'!J:J,0,0,1),1))</f>
        <v/>
      </c>
      <c r="H246" s="11" t="str">
        <f>IF(OR(F246="",F246="Selecciona.."),"",SUMIF(Precio_Productos!K:K,E246,Precio_Productos!J:J)*G246)</f>
        <v/>
      </c>
      <c r="I246" s="4" t="str">
        <f t="array" ref="I246">IF($E246="","", XLOOKUP(SUMIFS(Prod_Prop!$A:$A,Prod_Prop!$B:$B,$E246,Prod_Prop!$H:$H,I$1,Prod_Prop!$I:$I,"Exacto"),Prod_Prop!$A:$A,Prod_Prop!$J:$J,"",0,1))</f>
        <v/>
      </c>
      <c r="J246" s="4" t="str">
        <f t="array" ref="J246">IF($E246="","", XLOOKUP(SUMIFS(Prod_Prop!$A:$A,Prod_Prop!$B:$B,$E246,Prod_Prop!$H:$H,J$1,Prod_Prop!$I:$I,"Exacto"),Prod_Prop!$A:$A,Prod_Prop!$J:$J,"",0,1))</f>
        <v/>
      </c>
      <c r="K246" s="4" t="str">
        <f t="array" ref="K246">IF($E246="","", XLOOKUP(SUMIFS(Prod_Prop!$A:$A,Prod_Prop!$B:$B,$E246,Prod_Prop!$H:$H,K$1,Prod_Prop!$I:$I,"Exacto"),Prod_Prop!$A:$A,Prod_Prop!$J:$J,"",0,1))</f>
        <v/>
      </c>
      <c r="L246" s="4" t="str">
        <f t="array" ref="L246">IF($E246="","", XLOOKUP(SUMIFS(Prod_Prop!$A:$A,Prod_Prop!$B:$B,$E246,Prod_Prop!$H:$H,L$1,Prod_Prop!$I:$I,"Exacto"),Prod_Prop!$A:$A,Prod_Prop!$J:$J,"",0,1))</f>
        <v/>
      </c>
      <c r="M246" s="4" t="str">
        <f t="array" ref="M246">IF($E246="","", XLOOKUP(SUMIFS(Prod_Prop!$A:$A,Prod_Prop!$B:$B,$E246,Prod_Prop!$H:$H,M$1,Prod_Prop!$I:$I,"Exacto"),Prod_Prop!$A:$A,Prod_Prop!$J:$J,"",0,1))</f>
        <v/>
      </c>
      <c r="N246" s="4" t="str">
        <f t="array" ref="N246">IF($E246="","", XLOOKUP(SUMIFS(Prod_Prop!$A:$A,Prod_Prop!$B:$B,$E246,Prod_Prop!$H:$H,N$1,Prod_Prop!$I:$I,"Exacto"),Prod_Prop!$A:$A,Prod_Prop!$J:$J,"",0,1))</f>
        <v/>
      </c>
      <c r="O246" s="4" t="str">
        <f t="array" ref="O246">IF($E246="","", XLOOKUP(SUMIFS(Prod_Prop!$A:$A,Prod_Prop!$B:$B,$E246,Prod_Prop!$H:$H,O$1,Prod_Prop!$I:$I,"Exacto"),Prod_Prop!$A:$A,Prod_Prop!$J:$J,"",0,1))</f>
        <v/>
      </c>
      <c r="P246" s="4" t="str">
        <f t="array" ref="P246">IF($E246="","", XLOOKUP(SUMIFS(Prod_Prop!$A:$A,Prod_Prop!$B:$B,$E246,Prod_Prop!$H:$H,P$1,Prod_Prop!$I:$I,"Exacto"),Prod_Prop!$A:$A,Prod_Prop!$J:$J,"",0,1))</f>
        <v/>
      </c>
      <c r="Q246" s="4" t="str">
        <f t="array" ref="Q246">IF($E246="","", XLOOKUP(SUMIFS(Prod_Prop!$A:$A,Prod_Prop!$B:$B,$E246,Prod_Prop!$H:$H,Q$1,Prod_Prop!$I:$I,"Exacto"),Prod_Prop!$A:$A,Prod_Prop!$J:$J,"",0,1))</f>
        <v/>
      </c>
      <c r="R246" s="4" t="str">
        <f t="array" ref="R246">IF($E246="","", XLOOKUP(SUMIFS(Prod_Prop!$A:$A,Prod_Prop!$B:$B,$E246,Prod_Prop!$H:$H,R$1,Prod_Prop!$I:$I,"Exacto"),Prod_Prop!$A:$A,Prod_Prop!$J:$J,"",0,1))</f>
        <v/>
      </c>
      <c r="S246" s="4" t="str">
        <f t="array" ref="S246">IF($E246="","", XLOOKUP(SUMIFS(Prod_Prop!$A:$A,Prod_Prop!$B:$B,$E246,Prod_Prop!$H:$H,S$1,Prod_Prop!$I:$I,"Exacto"),Prod_Prop!$A:$A,Prod_Prop!$J:$J,"",0,1))</f>
        <v/>
      </c>
      <c r="T246" s="4" t="str">
        <f t="array" ref="T246">IF($E246="","", XLOOKUP(SUMIFS(Prod_Prop!$A:$A,Prod_Prop!$B:$B,$E246,Prod_Prop!$H:$H,T$1,Prod_Prop!$I:$I,"Exacto"),Prod_Prop!$A:$A,Prod_Prop!$J:$J,"",0,1))</f>
        <v/>
      </c>
      <c r="U246" s="4" t="str">
        <f t="array" ref="U246">IF($E246="","", XLOOKUP(SUMIFS(Prod_Prop!$A:$A,Prod_Prop!$B:$B,$E246,Prod_Prop!$H:$H,U$1,Prod_Prop!$I:$I,"Exacto"),Prod_Prop!$A:$A,Prod_Prop!$J:$J,"",0,1))</f>
        <v/>
      </c>
      <c r="V246" s="4" t="str">
        <f t="array" ref="V246">IF($E246="","", XLOOKUP(SUMIFS(Prod_Prop!$A:$A,Prod_Prop!$B:$B,$E246,Prod_Prop!$H:$H,V$1,Prod_Prop!$I:$I,"Exacto"),Prod_Prop!$A:$A,Prod_Prop!$J:$J,"",0,1))</f>
        <v/>
      </c>
      <c r="X246" s="3" t="str">
        <f>IFERROR(__xludf.DUMMYFUNCTION("IF(D246="""","""",IFERROR(TRANSPOSE(FILTER('Validaciones Cotizador'!U:U,'Validaciones Cotizador'!O:O=D246,'Validaciones Cotizador'!T:T=""x"")),""Finalizar""))"),"")</f>
        <v/>
      </c>
    </row>
    <row r="247">
      <c r="A247" s="2" t="str">
        <f t="array" ref="A247">IF(E247="","",XLOOKUP(D247,'Validaciones Cotizador'!C:C,'Validaciones Cotizador'!A:A,"",0,1))</f>
        <v/>
      </c>
      <c r="B247" s="2" t="str">
        <f t="array" ref="B247">IF(F247="","",XLOOKUP(F247,Productos!E:E,Productos!G:G,"",0,1))</f>
        <v/>
      </c>
      <c r="C247" s="2" t="str">
        <f>IF(A247="","",SUMIFS('Validaciones Cotizador'!B:B,'Validaciones Cotizador'!C:C,D247,'Validaciones Cotizador'!A:A,A247))</f>
        <v/>
      </c>
      <c r="D247" s="4" t="str">
        <f>IFERROR(__xludf.DUMMYFUNCTION("IF(OR(F246=""Finalizar"",F246="""",F246=""Selecciona..""),"""",IF(OR(F246=""-"",INDEX(filter(Familias!F:F,Familias!D:D=A246,Familias!E:E=C246),1)=""O""),D246+1,D246))"),"")</f>
        <v/>
      </c>
      <c r="E247" s="2" t="str">
        <f>IF(OR(F247="",F247="Selecciona.."),"",IF(D247="Implemento",SUMIF(Implementos!B:B,F247,Implementos!A:A),SUMIF(Productos!E:E,F247,Productos!A:A)))</f>
        <v/>
      </c>
      <c r="F247" s="2" t="str">
        <f t="shared" si="2"/>
        <v/>
      </c>
      <c r="G247" s="10" t="str">
        <f t="array" ref="G247">IF(OR(F247="",F247="-",F247="Selecciona..",F247="Finalizar"),"",IF(A247="Rodados",XLOOKUP(B247,'Validaciones Cotizador'!I:I,'Validaciones Cotizador'!J:J,0,0,1),1))</f>
        <v/>
      </c>
      <c r="H247" s="11" t="str">
        <f>IF(OR(F247="",F247="Selecciona.."),"",SUMIF(Precio_Productos!K:K,E247,Precio_Productos!J:J)*G247)</f>
        <v/>
      </c>
      <c r="I247" s="4" t="str">
        <f t="array" ref="I247">IF($E247="","", XLOOKUP(SUMIFS(Prod_Prop!$A:$A,Prod_Prop!$B:$B,$E247,Prod_Prop!$H:$H,I$1,Prod_Prop!$I:$I,"Exacto"),Prod_Prop!$A:$A,Prod_Prop!$J:$J,"",0,1))</f>
        <v/>
      </c>
      <c r="J247" s="4" t="str">
        <f t="array" ref="J247">IF($E247="","", XLOOKUP(SUMIFS(Prod_Prop!$A:$A,Prod_Prop!$B:$B,$E247,Prod_Prop!$H:$H,J$1,Prod_Prop!$I:$I,"Exacto"),Prod_Prop!$A:$A,Prod_Prop!$J:$J,"",0,1))</f>
        <v/>
      </c>
      <c r="K247" s="4" t="str">
        <f t="array" ref="K247">IF($E247="","", XLOOKUP(SUMIFS(Prod_Prop!$A:$A,Prod_Prop!$B:$B,$E247,Prod_Prop!$H:$H,K$1,Prod_Prop!$I:$I,"Exacto"),Prod_Prop!$A:$A,Prod_Prop!$J:$J,"",0,1))</f>
        <v/>
      </c>
      <c r="L247" s="4" t="str">
        <f t="array" ref="L247">IF($E247="","", XLOOKUP(SUMIFS(Prod_Prop!$A:$A,Prod_Prop!$B:$B,$E247,Prod_Prop!$H:$H,L$1,Prod_Prop!$I:$I,"Exacto"),Prod_Prop!$A:$A,Prod_Prop!$J:$J,"",0,1))</f>
        <v/>
      </c>
      <c r="M247" s="4" t="str">
        <f t="array" ref="M247">IF($E247="","", XLOOKUP(SUMIFS(Prod_Prop!$A:$A,Prod_Prop!$B:$B,$E247,Prod_Prop!$H:$H,M$1,Prod_Prop!$I:$I,"Exacto"),Prod_Prop!$A:$A,Prod_Prop!$J:$J,"",0,1))</f>
        <v/>
      </c>
      <c r="N247" s="4" t="str">
        <f t="array" ref="N247">IF($E247="","", XLOOKUP(SUMIFS(Prod_Prop!$A:$A,Prod_Prop!$B:$B,$E247,Prod_Prop!$H:$H,N$1,Prod_Prop!$I:$I,"Exacto"),Prod_Prop!$A:$A,Prod_Prop!$J:$J,"",0,1))</f>
        <v/>
      </c>
      <c r="O247" s="4" t="str">
        <f t="array" ref="O247">IF($E247="","", XLOOKUP(SUMIFS(Prod_Prop!$A:$A,Prod_Prop!$B:$B,$E247,Prod_Prop!$H:$H,O$1,Prod_Prop!$I:$I,"Exacto"),Prod_Prop!$A:$A,Prod_Prop!$J:$J,"",0,1))</f>
        <v/>
      </c>
      <c r="P247" s="4" t="str">
        <f t="array" ref="P247">IF($E247="","", XLOOKUP(SUMIFS(Prod_Prop!$A:$A,Prod_Prop!$B:$B,$E247,Prod_Prop!$H:$H,P$1,Prod_Prop!$I:$I,"Exacto"),Prod_Prop!$A:$A,Prod_Prop!$J:$J,"",0,1))</f>
        <v/>
      </c>
      <c r="Q247" s="4" t="str">
        <f t="array" ref="Q247">IF($E247="","", XLOOKUP(SUMIFS(Prod_Prop!$A:$A,Prod_Prop!$B:$B,$E247,Prod_Prop!$H:$H,Q$1,Prod_Prop!$I:$I,"Exacto"),Prod_Prop!$A:$A,Prod_Prop!$J:$J,"",0,1))</f>
        <v/>
      </c>
      <c r="R247" s="4" t="str">
        <f t="array" ref="R247">IF($E247="","", XLOOKUP(SUMIFS(Prod_Prop!$A:$A,Prod_Prop!$B:$B,$E247,Prod_Prop!$H:$H,R$1,Prod_Prop!$I:$I,"Exacto"),Prod_Prop!$A:$A,Prod_Prop!$J:$J,"",0,1))</f>
        <v/>
      </c>
      <c r="S247" s="4" t="str">
        <f t="array" ref="S247">IF($E247="","", XLOOKUP(SUMIFS(Prod_Prop!$A:$A,Prod_Prop!$B:$B,$E247,Prod_Prop!$H:$H,S$1,Prod_Prop!$I:$I,"Exacto"),Prod_Prop!$A:$A,Prod_Prop!$J:$J,"",0,1))</f>
        <v/>
      </c>
      <c r="T247" s="4" t="str">
        <f t="array" ref="T247">IF($E247="","", XLOOKUP(SUMIFS(Prod_Prop!$A:$A,Prod_Prop!$B:$B,$E247,Prod_Prop!$H:$H,T$1,Prod_Prop!$I:$I,"Exacto"),Prod_Prop!$A:$A,Prod_Prop!$J:$J,"",0,1))</f>
        <v/>
      </c>
      <c r="U247" s="4" t="str">
        <f t="array" ref="U247">IF($E247="","", XLOOKUP(SUMIFS(Prod_Prop!$A:$A,Prod_Prop!$B:$B,$E247,Prod_Prop!$H:$H,U$1,Prod_Prop!$I:$I,"Exacto"),Prod_Prop!$A:$A,Prod_Prop!$J:$J,"",0,1))</f>
        <v/>
      </c>
      <c r="V247" s="4" t="str">
        <f t="array" ref="V247">IF($E247="","", XLOOKUP(SUMIFS(Prod_Prop!$A:$A,Prod_Prop!$B:$B,$E247,Prod_Prop!$H:$H,V$1,Prod_Prop!$I:$I,"Exacto"),Prod_Prop!$A:$A,Prod_Prop!$J:$J,"",0,1))</f>
        <v/>
      </c>
      <c r="X247" s="3" t="str">
        <f>IFERROR(__xludf.DUMMYFUNCTION("IF(D247="""","""",IFERROR(TRANSPOSE(FILTER('Validaciones Cotizador'!U:U,'Validaciones Cotizador'!O:O=D247,'Validaciones Cotizador'!T:T=""x"")),""Finalizar""))"),"")</f>
        <v/>
      </c>
    </row>
    <row r="248">
      <c r="A248" s="2" t="str">
        <f t="array" ref="A248">IF(E248="","",XLOOKUP(D248,'Validaciones Cotizador'!C:C,'Validaciones Cotizador'!A:A,"",0,1))</f>
        <v/>
      </c>
      <c r="B248" s="2" t="str">
        <f t="array" ref="B248">IF(F248="","",XLOOKUP(F248,Productos!E:E,Productos!G:G,"",0,1))</f>
        <v/>
      </c>
      <c r="C248" s="2" t="str">
        <f>IF(A248="","",SUMIFS('Validaciones Cotizador'!B:B,'Validaciones Cotizador'!C:C,D248,'Validaciones Cotizador'!A:A,A248))</f>
        <v/>
      </c>
      <c r="D248" s="4" t="str">
        <f>IFERROR(__xludf.DUMMYFUNCTION("IF(OR(F247=""Finalizar"",F247="""",F247=""Selecciona..""),"""",IF(OR(F247=""-"",INDEX(filter(Familias!F:F,Familias!D:D=A247,Familias!E:E=C247),1)=""O""),D247+1,D247))"),"")</f>
        <v/>
      </c>
      <c r="E248" s="2" t="str">
        <f>IF(OR(F248="",F248="Selecciona.."),"",IF(D248="Implemento",SUMIF(Implementos!B:B,F248,Implementos!A:A),SUMIF(Productos!E:E,F248,Productos!A:A)))</f>
        <v/>
      </c>
      <c r="F248" s="2" t="str">
        <f t="shared" si="2"/>
        <v/>
      </c>
      <c r="G248" s="10" t="str">
        <f t="array" ref="G248">IF(OR(F248="",F248="-",F248="Selecciona..",F248="Finalizar"),"",IF(A248="Rodados",XLOOKUP(B248,'Validaciones Cotizador'!I:I,'Validaciones Cotizador'!J:J,0,0,1),1))</f>
        <v/>
      </c>
      <c r="H248" s="11" t="str">
        <f>IF(OR(F248="",F248="Selecciona.."),"",SUMIF(Precio_Productos!K:K,E248,Precio_Productos!J:J)*G248)</f>
        <v/>
      </c>
      <c r="I248" s="4" t="str">
        <f t="array" ref="I248">IF($E248="","", XLOOKUP(SUMIFS(Prod_Prop!$A:$A,Prod_Prop!$B:$B,$E248,Prod_Prop!$H:$H,I$1,Prod_Prop!$I:$I,"Exacto"),Prod_Prop!$A:$A,Prod_Prop!$J:$J,"",0,1))</f>
        <v/>
      </c>
      <c r="J248" s="4" t="str">
        <f t="array" ref="J248">IF($E248="","", XLOOKUP(SUMIFS(Prod_Prop!$A:$A,Prod_Prop!$B:$B,$E248,Prod_Prop!$H:$H,J$1,Prod_Prop!$I:$I,"Exacto"),Prod_Prop!$A:$A,Prod_Prop!$J:$J,"",0,1))</f>
        <v/>
      </c>
      <c r="K248" s="4" t="str">
        <f t="array" ref="K248">IF($E248="","", XLOOKUP(SUMIFS(Prod_Prop!$A:$A,Prod_Prop!$B:$B,$E248,Prod_Prop!$H:$H,K$1,Prod_Prop!$I:$I,"Exacto"),Prod_Prop!$A:$A,Prod_Prop!$J:$J,"",0,1))</f>
        <v/>
      </c>
      <c r="L248" s="4" t="str">
        <f t="array" ref="L248">IF($E248="","", XLOOKUP(SUMIFS(Prod_Prop!$A:$A,Prod_Prop!$B:$B,$E248,Prod_Prop!$H:$H,L$1,Prod_Prop!$I:$I,"Exacto"),Prod_Prop!$A:$A,Prod_Prop!$J:$J,"",0,1))</f>
        <v/>
      </c>
      <c r="M248" s="4" t="str">
        <f t="array" ref="M248">IF($E248="","", XLOOKUP(SUMIFS(Prod_Prop!$A:$A,Prod_Prop!$B:$B,$E248,Prod_Prop!$H:$H,M$1,Prod_Prop!$I:$I,"Exacto"),Prod_Prop!$A:$A,Prod_Prop!$J:$J,"",0,1))</f>
        <v/>
      </c>
      <c r="N248" s="4" t="str">
        <f t="array" ref="N248">IF($E248="","", XLOOKUP(SUMIFS(Prod_Prop!$A:$A,Prod_Prop!$B:$B,$E248,Prod_Prop!$H:$H,N$1,Prod_Prop!$I:$I,"Exacto"),Prod_Prop!$A:$A,Prod_Prop!$J:$J,"",0,1))</f>
        <v/>
      </c>
      <c r="O248" s="4" t="str">
        <f t="array" ref="O248">IF($E248="","", XLOOKUP(SUMIFS(Prod_Prop!$A:$A,Prod_Prop!$B:$B,$E248,Prod_Prop!$H:$H,O$1,Prod_Prop!$I:$I,"Exacto"),Prod_Prop!$A:$A,Prod_Prop!$J:$J,"",0,1))</f>
        <v/>
      </c>
      <c r="P248" s="4" t="str">
        <f t="array" ref="P248">IF($E248="","", XLOOKUP(SUMIFS(Prod_Prop!$A:$A,Prod_Prop!$B:$B,$E248,Prod_Prop!$H:$H,P$1,Prod_Prop!$I:$I,"Exacto"),Prod_Prop!$A:$A,Prod_Prop!$J:$J,"",0,1))</f>
        <v/>
      </c>
      <c r="Q248" s="4" t="str">
        <f t="array" ref="Q248">IF($E248="","", XLOOKUP(SUMIFS(Prod_Prop!$A:$A,Prod_Prop!$B:$B,$E248,Prod_Prop!$H:$H,Q$1,Prod_Prop!$I:$I,"Exacto"),Prod_Prop!$A:$A,Prod_Prop!$J:$J,"",0,1))</f>
        <v/>
      </c>
      <c r="R248" s="4" t="str">
        <f t="array" ref="R248">IF($E248="","", XLOOKUP(SUMIFS(Prod_Prop!$A:$A,Prod_Prop!$B:$B,$E248,Prod_Prop!$H:$H,R$1,Prod_Prop!$I:$I,"Exacto"),Prod_Prop!$A:$A,Prod_Prop!$J:$J,"",0,1))</f>
        <v/>
      </c>
      <c r="S248" s="4" t="str">
        <f t="array" ref="S248">IF($E248="","", XLOOKUP(SUMIFS(Prod_Prop!$A:$A,Prod_Prop!$B:$B,$E248,Prod_Prop!$H:$H,S$1,Prod_Prop!$I:$I,"Exacto"),Prod_Prop!$A:$A,Prod_Prop!$J:$J,"",0,1))</f>
        <v/>
      </c>
      <c r="T248" s="4" t="str">
        <f t="array" ref="T248">IF($E248="","", XLOOKUP(SUMIFS(Prod_Prop!$A:$A,Prod_Prop!$B:$B,$E248,Prod_Prop!$H:$H,T$1,Prod_Prop!$I:$I,"Exacto"),Prod_Prop!$A:$A,Prod_Prop!$J:$J,"",0,1))</f>
        <v/>
      </c>
      <c r="U248" s="4" t="str">
        <f t="array" ref="U248">IF($E248="","", XLOOKUP(SUMIFS(Prod_Prop!$A:$A,Prod_Prop!$B:$B,$E248,Prod_Prop!$H:$H,U$1,Prod_Prop!$I:$I,"Exacto"),Prod_Prop!$A:$A,Prod_Prop!$J:$J,"",0,1))</f>
        <v/>
      </c>
      <c r="V248" s="4" t="str">
        <f t="array" ref="V248">IF($E248="","", XLOOKUP(SUMIFS(Prod_Prop!$A:$A,Prod_Prop!$B:$B,$E248,Prod_Prop!$H:$H,V$1,Prod_Prop!$I:$I,"Exacto"),Prod_Prop!$A:$A,Prod_Prop!$J:$J,"",0,1))</f>
        <v/>
      </c>
      <c r="X248" s="3" t="str">
        <f>IFERROR(__xludf.DUMMYFUNCTION("IF(D248="""","""",IFERROR(TRANSPOSE(FILTER('Validaciones Cotizador'!U:U,'Validaciones Cotizador'!O:O=D248,'Validaciones Cotizador'!T:T=""x"")),""Finalizar""))"),"")</f>
        <v/>
      </c>
    </row>
    <row r="249">
      <c r="A249" s="2" t="str">
        <f t="array" ref="A249">IF(E249="","",XLOOKUP(D249,'Validaciones Cotizador'!C:C,'Validaciones Cotizador'!A:A,"",0,1))</f>
        <v/>
      </c>
      <c r="B249" s="2" t="str">
        <f t="array" ref="B249">IF(F249="","",XLOOKUP(F249,Productos!E:E,Productos!G:G,"",0,1))</f>
        <v/>
      </c>
      <c r="C249" s="2" t="str">
        <f>IF(A249="","",SUMIFS('Validaciones Cotizador'!B:B,'Validaciones Cotizador'!C:C,D249,'Validaciones Cotizador'!A:A,A249))</f>
        <v/>
      </c>
      <c r="D249" s="4" t="str">
        <f>IFERROR(__xludf.DUMMYFUNCTION("IF(OR(F248=""Finalizar"",F248="""",F248=""Selecciona..""),"""",IF(OR(F248=""-"",INDEX(filter(Familias!F:F,Familias!D:D=A248,Familias!E:E=C248),1)=""O""),D248+1,D248))"),"")</f>
        <v/>
      </c>
      <c r="E249" s="2" t="str">
        <f>IF(OR(F249="",F249="Selecciona.."),"",IF(D249="Implemento",SUMIF(Implementos!B:B,F249,Implementos!A:A),SUMIF(Productos!E:E,F249,Productos!A:A)))</f>
        <v/>
      </c>
      <c r="F249" s="2" t="str">
        <f t="shared" si="2"/>
        <v/>
      </c>
      <c r="G249" s="10" t="str">
        <f t="array" ref="G249">IF(OR(F249="",F249="-",F249="Selecciona..",F249="Finalizar"),"",IF(A249="Rodados",XLOOKUP(B249,'Validaciones Cotizador'!I:I,'Validaciones Cotizador'!J:J,0,0,1),1))</f>
        <v/>
      </c>
      <c r="H249" s="11" t="str">
        <f>IF(OR(F249="",F249="Selecciona.."),"",SUMIF(Precio_Productos!K:K,E249,Precio_Productos!J:J)*G249)</f>
        <v/>
      </c>
      <c r="I249" s="4" t="str">
        <f t="array" ref="I249">IF($E249="","", XLOOKUP(SUMIFS(Prod_Prop!$A:$A,Prod_Prop!$B:$B,$E249,Prod_Prop!$H:$H,I$1,Prod_Prop!$I:$I,"Exacto"),Prod_Prop!$A:$A,Prod_Prop!$J:$J,"",0,1))</f>
        <v/>
      </c>
      <c r="J249" s="4" t="str">
        <f t="array" ref="J249">IF($E249="","", XLOOKUP(SUMIFS(Prod_Prop!$A:$A,Prod_Prop!$B:$B,$E249,Prod_Prop!$H:$H,J$1,Prod_Prop!$I:$I,"Exacto"),Prod_Prop!$A:$A,Prod_Prop!$J:$J,"",0,1))</f>
        <v/>
      </c>
      <c r="K249" s="4" t="str">
        <f t="array" ref="K249">IF($E249="","", XLOOKUP(SUMIFS(Prod_Prop!$A:$A,Prod_Prop!$B:$B,$E249,Prod_Prop!$H:$H,K$1,Prod_Prop!$I:$I,"Exacto"),Prod_Prop!$A:$A,Prod_Prop!$J:$J,"",0,1))</f>
        <v/>
      </c>
      <c r="L249" s="4" t="str">
        <f t="array" ref="L249">IF($E249="","", XLOOKUP(SUMIFS(Prod_Prop!$A:$A,Prod_Prop!$B:$B,$E249,Prod_Prop!$H:$H,L$1,Prod_Prop!$I:$I,"Exacto"),Prod_Prop!$A:$A,Prod_Prop!$J:$J,"",0,1))</f>
        <v/>
      </c>
      <c r="M249" s="4" t="str">
        <f t="array" ref="M249">IF($E249="","", XLOOKUP(SUMIFS(Prod_Prop!$A:$A,Prod_Prop!$B:$B,$E249,Prod_Prop!$H:$H,M$1,Prod_Prop!$I:$I,"Exacto"),Prod_Prop!$A:$A,Prod_Prop!$J:$J,"",0,1))</f>
        <v/>
      </c>
      <c r="N249" s="4" t="str">
        <f t="array" ref="N249">IF($E249="","", XLOOKUP(SUMIFS(Prod_Prop!$A:$A,Prod_Prop!$B:$B,$E249,Prod_Prop!$H:$H,N$1,Prod_Prop!$I:$I,"Exacto"),Prod_Prop!$A:$A,Prod_Prop!$J:$J,"",0,1))</f>
        <v/>
      </c>
      <c r="O249" s="4" t="str">
        <f t="array" ref="O249">IF($E249="","", XLOOKUP(SUMIFS(Prod_Prop!$A:$A,Prod_Prop!$B:$B,$E249,Prod_Prop!$H:$H,O$1,Prod_Prop!$I:$I,"Exacto"),Prod_Prop!$A:$A,Prod_Prop!$J:$J,"",0,1))</f>
        <v/>
      </c>
      <c r="P249" s="4" t="str">
        <f t="array" ref="P249">IF($E249="","", XLOOKUP(SUMIFS(Prod_Prop!$A:$A,Prod_Prop!$B:$B,$E249,Prod_Prop!$H:$H,P$1,Prod_Prop!$I:$I,"Exacto"),Prod_Prop!$A:$A,Prod_Prop!$J:$J,"",0,1))</f>
        <v/>
      </c>
      <c r="Q249" s="4" t="str">
        <f t="array" ref="Q249">IF($E249="","", XLOOKUP(SUMIFS(Prod_Prop!$A:$A,Prod_Prop!$B:$B,$E249,Prod_Prop!$H:$H,Q$1,Prod_Prop!$I:$I,"Exacto"),Prod_Prop!$A:$A,Prod_Prop!$J:$J,"",0,1))</f>
        <v/>
      </c>
      <c r="R249" s="4" t="str">
        <f t="array" ref="R249">IF($E249="","", XLOOKUP(SUMIFS(Prod_Prop!$A:$A,Prod_Prop!$B:$B,$E249,Prod_Prop!$H:$H,R$1,Prod_Prop!$I:$I,"Exacto"),Prod_Prop!$A:$A,Prod_Prop!$J:$J,"",0,1))</f>
        <v/>
      </c>
      <c r="S249" s="4" t="str">
        <f t="array" ref="S249">IF($E249="","", XLOOKUP(SUMIFS(Prod_Prop!$A:$A,Prod_Prop!$B:$B,$E249,Prod_Prop!$H:$H,S$1,Prod_Prop!$I:$I,"Exacto"),Prod_Prop!$A:$A,Prod_Prop!$J:$J,"",0,1))</f>
        <v/>
      </c>
      <c r="T249" s="4" t="str">
        <f t="array" ref="T249">IF($E249="","", XLOOKUP(SUMIFS(Prod_Prop!$A:$A,Prod_Prop!$B:$B,$E249,Prod_Prop!$H:$H,T$1,Prod_Prop!$I:$I,"Exacto"),Prod_Prop!$A:$A,Prod_Prop!$J:$J,"",0,1))</f>
        <v/>
      </c>
      <c r="U249" s="4" t="str">
        <f t="array" ref="U249">IF($E249="","", XLOOKUP(SUMIFS(Prod_Prop!$A:$A,Prod_Prop!$B:$B,$E249,Prod_Prop!$H:$H,U$1,Prod_Prop!$I:$I,"Exacto"),Prod_Prop!$A:$A,Prod_Prop!$J:$J,"",0,1))</f>
        <v/>
      </c>
      <c r="V249" s="4" t="str">
        <f t="array" ref="V249">IF($E249="","", XLOOKUP(SUMIFS(Prod_Prop!$A:$A,Prod_Prop!$B:$B,$E249,Prod_Prop!$H:$H,V$1,Prod_Prop!$I:$I,"Exacto"),Prod_Prop!$A:$A,Prod_Prop!$J:$J,"",0,1))</f>
        <v/>
      </c>
      <c r="X249" s="3" t="str">
        <f>IFERROR(__xludf.DUMMYFUNCTION("IF(D249="""","""",IFERROR(TRANSPOSE(FILTER('Validaciones Cotizador'!U:U,'Validaciones Cotizador'!O:O=D249,'Validaciones Cotizador'!T:T=""x"")),""Finalizar""))"),"")</f>
        <v/>
      </c>
    </row>
    <row r="250">
      <c r="A250" s="2" t="str">
        <f t="array" ref="A250">IF(E250="","",XLOOKUP(D250,'Validaciones Cotizador'!C:C,'Validaciones Cotizador'!A:A,"",0,1))</f>
        <v/>
      </c>
      <c r="B250" s="2" t="str">
        <f t="array" ref="B250">IF(F250="","",XLOOKUP(F250,Productos!E:E,Productos!G:G,"",0,1))</f>
        <v/>
      </c>
      <c r="C250" s="2" t="str">
        <f>IF(A250="","",SUMIFS('Validaciones Cotizador'!B:B,'Validaciones Cotizador'!C:C,D250,'Validaciones Cotizador'!A:A,A250))</f>
        <v/>
      </c>
      <c r="D250" s="4" t="str">
        <f>IFERROR(__xludf.DUMMYFUNCTION("IF(OR(F249=""Finalizar"",F249="""",F249=""Selecciona..""),"""",IF(OR(F249=""-"",INDEX(filter(Familias!F:F,Familias!D:D=A249,Familias!E:E=C249),1)=""O""),D249+1,D249))"),"")</f>
        <v/>
      </c>
      <c r="E250" s="2" t="str">
        <f>IF(OR(F250="",F250="Selecciona.."),"",IF(D250="Implemento",SUMIF(Implementos!B:B,F250,Implementos!A:A),SUMIF(Productos!E:E,F250,Productos!A:A)))</f>
        <v/>
      </c>
      <c r="F250" s="2" t="str">
        <f t="shared" si="2"/>
        <v/>
      </c>
      <c r="G250" s="10" t="str">
        <f t="array" ref="G250">IF(OR(F250="",F250="-",F250="Selecciona..",F250="Finalizar"),"",IF(A250="Rodados",XLOOKUP(B250,'Validaciones Cotizador'!I:I,'Validaciones Cotizador'!J:J,0,0,1),1))</f>
        <v/>
      </c>
      <c r="H250" s="11" t="str">
        <f>IF(OR(F250="",F250="Selecciona.."),"",SUMIF(Precio_Productos!K:K,E250,Precio_Productos!J:J)*G250)</f>
        <v/>
      </c>
      <c r="I250" s="4" t="str">
        <f t="array" ref="I250">IF($E250="","", XLOOKUP(SUMIFS(Prod_Prop!$A:$A,Prod_Prop!$B:$B,$E250,Prod_Prop!$H:$H,I$1,Prod_Prop!$I:$I,"Exacto"),Prod_Prop!$A:$A,Prod_Prop!$J:$J,"",0,1))</f>
        <v/>
      </c>
      <c r="J250" s="4" t="str">
        <f t="array" ref="J250">IF($E250="","", XLOOKUP(SUMIFS(Prod_Prop!$A:$A,Prod_Prop!$B:$B,$E250,Prod_Prop!$H:$H,J$1,Prod_Prop!$I:$I,"Exacto"),Prod_Prop!$A:$A,Prod_Prop!$J:$J,"",0,1))</f>
        <v/>
      </c>
      <c r="K250" s="4" t="str">
        <f t="array" ref="K250">IF($E250="","", XLOOKUP(SUMIFS(Prod_Prop!$A:$A,Prod_Prop!$B:$B,$E250,Prod_Prop!$H:$H,K$1,Prod_Prop!$I:$I,"Exacto"),Prod_Prop!$A:$A,Prod_Prop!$J:$J,"",0,1))</f>
        <v/>
      </c>
      <c r="L250" s="4" t="str">
        <f t="array" ref="L250">IF($E250="","", XLOOKUP(SUMIFS(Prod_Prop!$A:$A,Prod_Prop!$B:$B,$E250,Prod_Prop!$H:$H,L$1,Prod_Prop!$I:$I,"Exacto"),Prod_Prop!$A:$A,Prod_Prop!$J:$J,"",0,1))</f>
        <v/>
      </c>
      <c r="M250" s="4" t="str">
        <f t="array" ref="M250">IF($E250="","", XLOOKUP(SUMIFS(Prod_Prop!$A:$A,Prod_Prop!$B:$B,$E250,Prod_Prop!$H:$H,M$1,Prod_Prop!$I:$I,"Exacto"),Prod_Prop!$A:$A,Prod_Prop!$J:$J,"",0,1))</f>
        <v/>
      </c>
      <c r="N250" s="4" t="str">
        <f t="array" ref="N250">IF($E250="","", XLOOKUP(SUMIFS(Prod_Prop!$A:$A,Prod_Prop!$B:$B,$E250,Prod_Prop!$H:$H,N$1,Prod_Prop!$I:$I,"Exacto"),Prod_Prop!$A:$A,Prod_Prop!$J:$J,"",0,1))</f>
        <v/>
      </c>
      <c r="O250" s="4" t="str">
        <f t="array" ref="O250">IF($E250="","", XLOOKUP(SUMIFS(Prod_Prop!$A:$A,Prod_Prop!$B:$B,$E250,Prod_Prop!$H:$H,O$1,Prod_Prop!$I:$I,"Exacto"),Prod_Prop!$A:$A,Prod_Prop!$J:$J,"",0,1))</f>
        <v/>
      </c>
      <c r="P250" s="4" t="str">
        <f t="array" ref="P250">IF($E250="","", XLOOKUP(SUMIFS(Prod_Prop!$A:$A,Prod_Prop!$B:$B,$E250,Prod_Prop!$H:$H,P$1,Prod_Prop!$I:$I,"Exacto"),Prod_Prop!$A:$A,Prod_Prop!$J:$J,"",0,1))</f>
        <v/>
      </c>
      <c r="Q250" s="4" t="str">
        <f t="array" ref="Q250">IF($E250="","", XLOOKUP(SUMIFS(Prod_Prop!$A:$A,Prod_Prop!$B:$B,$E250,Prod_Prop!$H:$H,Q$1,Prod_Prop!$I:$I,"Exacto"),Prod_Prop!$A:$A,Prod_Prop!$J:$J,"",0,1))</f>
        <v/>
      </c>
      <c r="R250" s="4" t="str">
        <f t="array" ref="R250">IF($E250="","", XLOOKUP(SUMIFS(Prod_Prop!$A:$A,Prod_Prop!$B:$B,$E250,Prod_Prop!$H:$H,R$1,Prod_Prop!$I:$I,"Exacto"),Prod_Prop!$A:$A,Prod_Prop!$J:$J,"",0,1))</f>
        <v/>
      </c>
      <c r="S250" s="4" t="str">
        <f t="array" ref="S250">IF($E250="","", XLOOKUP(SUMIFS(Prod_Prop!$A:$A,Prod_Prop!$B:$B,$E250,Prod_Prop!$H:$H,S$1,Prod_Prop!$I:$I,"Exacto"),Prod_Prop!$A:$A,Prod_Prop!$J:$J,"",0,1))</f>
        <v/>
      </c>
      <c r="T250" s="4" t="str">
        <f t="array" ref="T250">IF($E250="","", XLOOKUP(SUMIFS(Prod_Prop!$A:$A,Prod_Prop!$B:$B,$E250,Prod_Prop!$H:$H,T$1,Prod_Prop!$I:$I,"Exacto"),Prod_Prop!$A:$A,Prod_Prop!$J:$J,"",0,1))</f>
        <v/>
      </c>
      <c r="U250" s="4" t="str">
        <f t="array" ref="U250">IF($E250="","", XLOOKUP(SUMIFS(Prod_Prop!$A:$A,Prod_Prop!$B:$B,$E250,Prod_Prop!$H:$H,U$1,Prod_Prop!$I:$I,"Exacto"),Prod_Prop!$A:$A,Prod_Prop!$J:$J,"",0,1))</f>
        <v/>
      </c>
      <c r="V250" s="4" t="str">
        <f t="array" ref="V250">IF($E250="","", XLOOKUP(SUMIFS(Prod_Prop!$A:$A,Prod_Prop!$B:$B,$E250,Prod_Prop!$H:$H,V$1,Prod_Prop!$I:$I,"Exacto"),Prod_Prop!$A:$A,Prod_Prop!$J:$J,"",0,1))</f>
        <v/>
      </c>
      <c r="X250" s="3" t="str">
        <f>IFERROR(__xludf.DUMMYFUNCTION("IF(D250="""","""",IFERROR(TRANSPOSE(FILTER('Validaciones Cotizador'!U:U,'Validaciones Cotizador'!O:O=D250,'Validaciones Cotizador'!T:T=""x"")),""Finalizar""))"),"")</f>
        <v/>
      </c>
    </row>
    <row r="251">
      <c r="A251" s="2" t="str">
        <f t="array" ref="A251">IF(E251="","",XLOOKUP(D251,'Validaciones Cotizador'!C:C,'Validaciones Cotizador'!A:A,"",0,1))</f>
        <v/>
      </c>
      <c r="B251" s="2" t="str">
        <f t="array" ref="B251">IF(F251="","",XLOOKUP(F251,Productos!E:E,Productos!G:G,"",0,1))</f>
        <v/>
      </c>
      <c r="C251" s="2" t="str">
        <f>IF(A251="","",SUMIFS('Validaciones Cotizador'!B:B,'Validaciones Cotizador'!C:C,D251,'Validaciones Cotizador'!A:A,A251))</f>
        <v/>
      </c>
      <c r="D251" s="4" t="str">
        <f>IFERROR(__xludf.DUMMYFUNCTION("IF(OR(F250=""Finalizar"",F250="""",F250=""Selecciona..""),"""",IF(OR(F250=""-"",INDEX(filter(Familias!F:F,Familias!D:D=A250,Familias!E:E=C250),1)=""O""),D250+1,D250))"),"")</f>
        <v/>
      </c>
      <c r="E251" s="2" t="str">
        <f>IF(OR(F251="",F251="Selecciona.."),"",IF(D251="Implemento",SUMIF(Implementos!B:B,F251,Implementos!A:A),SUMIF(Productos!E:E,F251,Productos!A:A)))</f>
        <v/>
      </c>
      <c r="F251" s="2" t="str">
        <f t="shared" si="2"/>
        <v/>
      </c>
      <c r="G251" s="10" t="str">
        <f t="array" ref="G251">IF(OR(F251="",F251="-",F251="Selecciona..",F251="Finalizar"),"",IF(A251="Rodados",XLOOKUP(B251,'Validaciones Cotizador'!I:I,'Validaciones Cotizador'!J:J,0,0,1),1))</f>
        <v/>
      </c>
      <c r="H251" s="11" t="str">
        <f>IF(OR(F251="",F251="Selecciona.."),"",SUMIF(Precio_Productos!K:K,E251,Precio_Productos!J:J)*G251)</f>
        <v/>
      </c>
      <c r="I251" s="4" t="str">
        <f t="array" ref="I251">IF($E251="","", XLOOKUP(SUMIFS(Prod_Prop!$A:$A,Prod_Prop!$B:$B,$E251,Prod_Prop!$H:$H,I$1,Prod_Prop!$I:$I,"Exacto"),Prod_Prop!$A:$A,Prod_Prop!$J:$J,"",0,1))</f>
        <v/>
      </c>
      <c r="J251" s="4" t="str">
        <f t="array" ref="J251">IF($E251="","", XLOOKUP(SUMIFS(Prod_Prop!$A:$A,Prod_Prop!$B:$B,$E251,Prod_Prop!$H:$H,J$1,Prod_Prop!$I:$I,"Exacto"),Prod_Prop!$A:$A,Prod_Prop!$J:$J,"",0,1))</f>
        <v/>
      </c>
      <c r="K251" s="4" t="str">
        <f t="array" ref="K251">IF($E251="","", XLOOKUP(SUMIFS(Prod_Prop!$A:$A,Prod_Prop!$B:$B,$E251,Prod_Prop!$H:$H,K$1,Prod_Prop!$I:$I,"Exacto"),Prod_Prop!$A:$A,Prod_Prop!$J:$J,"",0,1))</f>
        <v/>
      </c>
      <c r="L251" s="4" t="str">
        <f t="array" ref="L251">IF($E251="","", XLOOKUP(SUMIFS(Prod_Prop!$A:$A,Prod_Prop!$B:$B,$E251,Prod_Prop!$H:$H,L$1,Prod_Prop!$I:$I,"Exacto"),Prod_Prop!$A:$A,Prod_Prop!$J:$J,"",0,1))</f>
        <v/>
      </c>
      <c r="M251" s="4" t="str">
        <f t="array" ref="M251">IF($E251="","", XLOOKUP(SUMIFS(Prod_Prop!$A:$A,Prod_Prop!$B:$B,$E251,Prod_Prop!$H:$H,M$1,Prod_Prop!$I:$I,"Exacto"),Prod_Prop!$A:$A,Prod_Prop!$J:$J,"",0,1))</f>
        <v/>
      </c>
      <c r="N251" s="4" t="str">
        <f t="array" ref="N251">IF($E251="","", XLOOKUP(SUMIFS(Prod_Prop!$A:$A,Prod_Prop!$B:$B,$E251,Prod_Prop!$H:$H,N$1,Prod_Prop!$I:$I,"Exacto"),Prod_Prop!$A:$A,Prod_Prop!$J:$J,"",0,1))</f>
        <v/>
      </c>
      <c r="O251" s="4" t="str">
        <f t="array" ref="O251">IF($E251="","", XLOOKUP(SUMIFS(Prod_Prop!$A:$A,Prod_Prop!$B:$B,$E251,Prod_Prop!$H:$H,O$1,Prod_Prop!$I:$I,"Exacto"),Prod_Prop!$A:$A,Prod_Prop!$J:$J,"",0,1))</f>
        <v/>
      </c>
      <c r="P251" s="4" t="str">
        <f t="array" ref="P251">IF($E251="","", XLOOKUP(SUMIFS(Prod_Prop!$A:$A,Prod_Prop!$B:$B,$E251,Prod_Prop!$H:$H,P$1,Prod_Prop!$I:$I,"Exacto"),Prod_Prop!$A:$A,Prod_Prop!$J:$J,"",0,1))</f>
        <v/>
      </c>
      <c r="Q251" s="4" t="str">
        <f t="array" ref="Q251">IF($E251="","", XLOOKUP(SUMIFS(Prod_Prop!$A:$A,Prod_Prop!$B:$B,$E251,Prod_Prop!$H:$H,Q$1,Prod_Prop!$I:$I,"Exacto"),Prod_Prop!$A:$A,Prod_Prop!$J:$J,"",0,1))</f>
        <v/>
      </c>
      <c r="R251" s="4" t="str">
        <f t="array" ref="R251">IF($E251="","", XLOOKUP(SUMIFS(Prod_Prop!$A:$A,Prod_Prop!$B:$B,$E251,Prod_Prop!$H:$H,R$1,Prod_Prop!$I:$I,"Exacto"),Prod_Prop!$A:$A,Prod_Prop!$J:$J,"",0,1))</f>
        <v/>
      </c>
      <c r="S251" s="4" t="str">
        <f t="array" ref="S251">IF($E251="","", XLOOKUP(SUMIFS(Prod_Prop!$A:$A,Prod_Prop!$B:$B,$E251,Prod_Prop!$H:$H,S$1,Prod_Prop!$I:$I,"Exacto"),Prod_Prop!$A:$A,Prod_Prop!$J:$J,"",0,1))</f>
        <v/>
      </c>
      <c r="T251" s="4" t="str">
        <f t="array" ref="T251">IF($E251="","", XLOOKUP(SUMIFS(Prod_Prop!$A:$A,Prod_Prop!$B:$B,$E251,Prod_Prop!$H:$H,T$1,Prod_Prop!$I:$I,"Exacto"),Prod_Prop!$A:$A,Prod_Prop!$J:$J,"",0,1))</f>
        <v/>
      </c>
      <c r="U251" s="4" t="str">
        <f t="array" ref="U251">IF($E251="","", XLOOKUP(SUMIFS(Prod_Prop!$A:$A,Prod_Prop!$B:$B,$E251,Prod_Prop!$H:$H,U$1,Prod_Prop!$I:$I,"Exacto"),Prod_Prop!$A:$A,Prod_Prop!$J:$J,"",0,1))</f>
        <v/>
      </c>
      <c r="V251" s="4" t="str">
        <f t="array" ref="V251">IF($E251="","", XLOOKUP(SUMIFS(Prod_Prop!$A:$A,Prod_Prop!$B:$B,$E251,Prod_Prop!$H:$H,V$1,Prod_Prop!$I:$I,"Exacto"),Prod_Prop!$A:$A,Prod_Prop!$J:$J,"",0,1))</f>
        <v/>
      </c>
      <c r="X251" s="3" t="str">
        <f>IFERROR(__xludf.DUMMYFUNCTION("IF(D251="""","""",IFERROR(TRANSPOSE(FILTER('Validaciones Cotizador'!U:U,'Validaciones Cotizador'!O:O=D251,'Validaciones Cotizador'!T:T=""x"")),""Finalizar""))"),"")</f>
        <v/>
      </c>
    </row>
    <row r="252">
      <c r="A252" s="2" t="str">
        <f t="array" ref="A252">IF(E252="","",XLOOKUP(D252,'Validaciones Cotizador'!C:C,'Validaciones Cotizador'!A:A,"",0,1))</f>
        <v/>
      </c>
      <c r="B252" s="2" t="str">
        <f t="array" ref="B252">IF(F252="","",XLOOKUP(F252,Productos!E:E,Productos!G:G,"",0,1))</f>
        <v/>
      </c>
      <c r="C252" s="2" t="str">
        <f>IF(A252="","",SUMIFS('Validaciones Cotizador'!B:B,'Validaciones Cotizador'!C:C,D252,'Validaciones Cotizador'!A:A,A252))</f>
        <v/>
      </c>
      <c r="D252" s="4" t="str">
        <f>IFERROR(__xludf.DUMMYFUNCTION("IF(OR(F251=""Finalizar"",F251="""",F251=""Selecciona..""),"""",IF(OR(F251=""-"",INDEX(filter(Familias!F:F,Familias!D:D=A251,Familias!E:E=C251),1)=""O""),D251+1,D251))"),"")</f>
        <v/>
      </c>
      <c r="E252" s="2" t="str">
        <f>IF(OR(F252="",F252="Selecciona.."),"",IF(D252="Implemento",SUMIF(Implementos!B:B,F252,Implementos!A:A),SUMIF(Productos!E:E,F252,Productos!A:A)))</f>
        <v/>
      </c>
      <c r="F252" s="2" t="str">
        <f t="shared" si="2"/>
        <v/>
      </c>
      <c r="G252" s="10" t="str">
        <f t="array" ref="G252">IF(OR(F252="",F252="-",F252="Selecciona..",F252="Finalizar"),"",IF(A252="Rodados",XLOOKUP(B252,'Validaciones Cotizador'!I:I,'Validaciones Cotizador'!J:J,0,0,1),1))</f>
        <v/>
      </c>
      <c r="H252" s="11" t="str">
        <f>IF(OR(F252="",F252="Selecciona.."),"",SUMIF(Precio_Productos!K:K,E252,Precio_Productos!J:J)*G252)</f>
        <v/>
      </c>
      <c r="I252" s="4" t="str">
        <f t="array" ref="I252">IF($E252="","", XLOOKUP(SUMIFS(Prod_Prop!$A:$A,Prod_Prop!$B:$B,$E252,Prod_Prop!$H:$H,I$1,Prod_Prop!$I:$I,"Exacto"),Prod_Prop!$A:$A,Prod_Prop!$J:$J,"",0,1))</f>
        <v/>
      </c>
      <c r="J252" s="4" t="str">
        <f t="array" ref="J252">IF($E252="","", XLOOKUP(SUMIFS(Prod_Prop!$A:$A,Prod_Prop!$B:$B,$E252,Prod_Prop!$H:$H,J$1,Prod_Prop!$I:$I,"Exacto"),Prod_Prop!$A:$A,Prod_Prop!$J:$J,"",0,1))</f>
        <v/>
      </c>
      <c r="K252" s="4" t="str">
        <f t="array" ref="K252">IF($E252="","", XLOOKUP(SUMIFS(Prod_Prop!$A:$A,Prod_Prop!$B:$B,$E252,Prod_Prop!$H:$H,K$1,Prod_Prop!$I:$I,"Exacto"),Prod_Prop!$A:$A,Prod_Prop!$J:$J,"",0,1))</f>
        <v/>
      </c>
      <c r="L252" s="4" t="str">
        <f t="array" ref="L252">IF($E252="","", XLOOKUP(SUMIFS(Prod_Prop!$A:$A,Prod_Prop!$B:$B,$E252,Prod_Prop!$H:$H,L$1,Prod_Prop!$I:$I,"Exacto"),Prod_Prop!$A:$A,Prod_Prop!$J:$J,"",0,1))</f>
        <v/>
      </c>
      <c r="M252" s="4" t="str">
        <f t="array" ref="M252">IF($E252="","", XLOOKUP(SUMIFS(Prod_Prop!$A:$A,Prod_Prop!$B:$B,$E252,Prod_Prop!$H:$H,M$1,Prod_Prop!$I:$I,"Exacto"),Prod_Prop!$A:$A,Prod_Prop!$J:$J,"",0,1))</f>
        <v/>
      </c>
      <c r="N252" s="4" t="str">
        <f t="array" ref="N252">IF($E252="","", XLOOKUP(SUMIFS(Prod_Prop!$A:$A,Prod_Prop!$B:$B,$E252,Prod_Prop!$H:$H,N$1,Prod_Prop!$I:$I,"Exacto"),Prod_Prop!$A:$A,Prod_Prop!$J:$J,"",0,1))</f>
        <v/>
      </c>
      <c r="O252" s="4" t="str">
        <f t="array" ref="O252">IF($E252="","", XLOOKUP(SUMIFS(Prod_Prop!$A:$A,Prod_Prop!$B:$B,$E252,Prod_Prop!$H:$H,O$1,Prod_Prop!$I:$I,"Exacto"),Prod_Prop!$A:$A,Prod_Prop!$J:$J,"",0,1))</f>
        <v/>
      </c>
      <c r="P252" s="4" t="str">
        <f t="array" ref="P252">IF($E252="","", XLOOKUP(SUMIFS(Prod_Prop!$A:$A,Prod_Prop!$B:$B,$E252,Prod_Prop!$H:$H,P$1,Prod_Prop!$I:$I,"Exacto"),Prod_Prop!$A:$A,Prod_Prop!$J:$J,"",0,1))</f>
        <v/>
      </c>
      <c r="Q252" s="4" t="str">
        <f t="array" ref="Q252">IF($E252="","", XLOOKUP(SUMIFS(Prod_Prop!$A:$A,Prod_Prop!$B:$B,$E252,Prod_Prop!$H:$H,Q$1,Prod_Prop!$I:$I,"Exacto"),Prod_Prop!$A:$A,Prod_Prop!$J:$J,"",0,1))</f>
        <v/>
      </c>
      <c r="R252" s="4" t="str">
        <f t="array" ref="R252">IF($E252="","", XLOOKUP(SUMIFS(Prod_Prop!$A:$A,Prod_Prop!$B:$B,$E252,Prod_Prop!$H:$H,R$1,Prod_Prop!$I:$I,"Exacto"),Prod_Prop!$A:$A,Prod_Prop!$J:$J,"",0,1))</f>
        <v/>
      </c>
      <c r="S252" s="4" t="str">
        <f t="array" ref="S252">IF($E252="","", XLOOKUP(SUMIFS(Prod_Prop!$A:$A,Prod_Prop!$B:$B,$E252,Prod_Prop!$H:$H,S$1,Prod_Prop!$I:$I,"Exacto"),Prod_Prop!$A:$A,Prod_Prop!$J:$J,"",0,1))</f>
        <v/>
      </c>
      <c r="T252" s="4" t="str">
        <f t="array" ref="T252">IF($E252="","", XLOOKUP(SUMIFS(Prod_Prop!$A:$A,Prod_Prop!$B:$B,$E252,Prod_Prop!$H:$H,T$1,Prod_Prop!$I:$I,"Exacto"),Prod_Prop!$A:$A,Prod_Prop!$J:$J,"",0,1))</f>
        <v/>
      </c>
      <c r="U252" s="4" t="str">
        <f t="array" ref="U252">IF($E252="","", XLOOKUP(SUMIFS(Prod_Prop!$A:$A,Prod_Prop!$B:$B,$E252,Prod_Prop!$H:$H,U$1,Prod_Prop!$I:$I,"Exacto"),Prod_Prop!$A:$A,Prod_Prop!$J:$J,"",0,1))</f>
        <v/>
      </c>
      <c r="V252" s="4" t="str">
        <f t="array" ref="V252">IF($E252="","", XLOOKUP(SUMIFS(Prod_Prop!$A:$A,Prod_Prop!$B:$B,$E252,Prod_Prop!$H:$H,V$1,Prod_Prop!$I:$I,"Exacto"),Prod_Prop!$A:$A,Prod_Prop!$J:$J,"",0,1))</f>
        <v/>
      </c>
      <c r="X252" s="3" t="str">
        <f>IFERROR(__xludf.DUMMYFUNCTION("IF(D252="""","""",IFERROR(TRANSPOSE(FILTER('Validaciones Cotizador'!U:U,'Validaciones Cotizador'!O:O=D252,'Validaciones Cotizador'!T:T=""x"")),""Finalizar""))"),"")</f>
        <v/>
      </c>
    </row>
    <row r="253">
      <c r="A253" s="2" t="str">
        <f t="array" ref="A253">IF(E253="","",XLOOKUP(D253,'Validaciones Cotizador'!C:C,'Validaciones Cotizador'!A:A,"",0,1))</f>
        <v/>
      </c>
      <c r="B253" s="2" t="str">
        <f t="array" ref="B253">IF(F253="","",XLOOKUP(F253,Productos!E:E,Productos!G:G,"",0,1))</f>
        <v/>
      </c>
      <c r="C253" s="2" t="str">
        <f>IF(A253="","",SUMIFS('Validaciones Cotizador'!B:B,'Validaciones Cotizador'!C:C,D253,'Validaciones Cotizador'!A:A,A253))</f>
        <v/>
      </c>
      <c r="D253" s="4" t="str">
        <f>IFERROR(__xludf.DUMMYFUNCTION("IF(OR(F252=""Finalizar"",F252="""",F252=""Selecciona..""),"""",IF(OR(F252=""-"",INDEX(filter(Familias!F:F,Familias!D:D=A252,Familias!E:E=C252),1)=""O""),D252+1,D252))"),"")</f>
        <v/>
      </c>
      <c r="E253" s="2" t="str">
        <f>IF(OR(F253="",F253="Selecciona.."),"",IF(D253="Implemento",SUMIF(Implementos!B:B,F253,Implementos!A:A),SUMIF(Productos!E:E,F253,Productos!A:A)))</f>
        <v/>
      </c>
      <c r="F253" s="2" t="str">
        <f t="shared" si="2"/>
        <v/>
      </c>
      <c r="G253" s="10" t="str">
        <f t="array" ref="G253">IF(OR(F253="",F253="-",F253="Selecciona..",F253="Finalizar"),"",IF(A253="Rodados",XLOOKUP(B253,'Validaciones Cotizador'!I:I,'Validaciones Cotizador'!J:J,0,0,1),1))</f>
        <v/>
      </c>
      <c r="H253" s="11" t="str">
        <f>IF(OR(F253="",F253="Selecciona.."),"",SUMIF(Precio_Productos!K:K,E253,Precio_Productos!J:J)*G253)</f>
        <v/>
      </c>
      <c r="I253" s="4" t="str">
        <f t="array" ref="I253">IF($E253="","", XLOOKUP(SUMIFS(Prod_Prop!$A:$A,Prod_Prop!$B:$B,$E253,Prod_Prop!$H:$H,I$1,Prod_Prop!$I:$I,"Exacto"),Prod_Prop!$A:$A,Prod_Prop!$J:$J,"",0,1))</f>
        <v/>
      </c>
      <c r="J253" s="4" t="str">
        <f t="array" ref="J253">IF($E253="","", XLOOKUP(SUMIFS(Prod_Prop!$A:$A,Prod_Prop!$B:$B,$E253,Prod_Prop!$H:$H,J$1,Prod_Prop!$I:$I,"Exacto"),Prod_Prop!$A:$A,Prod_Prop!$J:$J,"",0,1))</f>
        <v/>
      </c>
      <c r="K253" s="4" t="str">
        <f t="array" ref="K253">IF($E253="","", XLOOKUP(SUMIFS(Prod_Prop!$A:$A,Prod_Prop!$B:$B,$E253,Prod_Prop!$H:$H,K$1,Prod_Prop!$I:$I,"Exacto"),Prod_Prop!$A:$A,Prod_Prop!$J:$J,"",0,1))</f>
        <v/>
      </c>
      <c r="L253" s="4" t="str">
        <f t="array" ref="L253">IF($E253="","", XLOOKUP(SUMIFS(Prod_Prop!$A:$A,Prod_Prop!$B:$B,$E253,Prod_Prop!$H:$H,L$1,Prod_Prop!$I:$I,"Exacto"),Prod_Prop!$A:$A,Prod_Prop!$J:$J,"",0,1))</f>
        <v/>
      </c>
      <c r="M253" s="4" t="str">
        <f t="array" ref="M253">IF($E253="","", XLOOKUP(SUMIFS(Prod_Prop!$A:$A,Prod_Prop!$B:$B,$E253,Prod_Prop!$H:$H,M$1,Prod_Prop!$I:$I,"Exacto"),Prod_Prop!$A:$A,Prod_Prop!$J:$J,"",0,1))</f>
        <v/>
      </c>
      <c r="N253" s="4" t="str">
        <f t="array" ref="N253">IF($E253="","", XLOOKUP(SUMIFS(Prod_Prop!$A:$A,Prod_Prop!$B:$B,$E253,Prod_Prop!$H:$H,N$1,Prod_Prop!$I:$I,"Exacto"),Prod_Prop!$A:$A,Prod_Prop!$J:$J,"",0,1))</f>
        <v/>
      </c>
      <c r="O253" s="4" t="str">
        <f t="array" ref="O253">IF($E253="","", XLOOKUP(SUMIFS(Prod_Prop!$A:$A,Prod_Prop!$B:$B,$E253,Prod_Prop!$H:$H,O$1,Prod_Prop!$I:$I,"Exacto"),Prod_Prop!$A:$A,Prod_Prop!$J:$J,"",0,1))</f>
        <v/>
      </c>
      <c r="P253" s="4" t="str">
        <f t="array" ref="P253">IF($E253="","", XLOOKUP(SUMIFS(Prod_Prop!$A:$A,Prod_Prop!$B:$B,$E253,Prod_Prop!$H:$H,P$1,Prod_Prop!$I:$I,"Exacto"),Prod_Prop!$A:$A,Prod_Prop!$J:$J,"",0,1))</f>
        <v/>
      </c>
      <c r="Q253" s="4" t="str">
        <f t="array" ref="Q253">IF($E253="","", XLOOKUP(SUMIFS(Prod_Prop!$A:$A,Prod_Prop!$B:$B,$E253,Prod_Prop!$H:$H,Q$1,Prod_Prop!$I:$I,"Exacto"),Prod_Prop!$A:$A,Prod_Prop!$J:$J,"",0,1))</f>
        <v/>
      </c>
      <c r="R253" s="4" t="str">
        <f t="array" ref="R253">IF($E253="","", XLOOKUP(SUMIFS(Prod_Prop!$A:$A,Prod_Prop!$B:$B,$E253,Prod_Prop!$H:$H,R$1,Prod_Prop!$I:$I,"Exacto"),Prod_Prop!$A:$A,Prod_Prop!$J:$J,"",0,1))</f>
        <v/>
      </c>
      <c r="S253" s="4" t="str">
        <f t="array" ref="S253">IF($E253="","", XLOOKUP(SUMIFS(Prod_Prop!$A:$A,Prod_Prop!$B:$B,$E253,Prod_Prop!$H:$H,S$1,Prod_Prop!$I:$I,"Exacto"),Prod_Prop!$A:$A,Prod_Prop!$J:$J,"",0,1))</f>
        <v/>
      </c>
      <c r="T253" s="4" t="str">
        <f t="array" ref="T253">IF($E253="","", XLOOKUP(SUMIFS(Prod_Prop!$A:$A,Prod_Prop!$B:$B,$E253,Prod_Prop!$H:$H,T$1,Prod_Prop!$I:$I,"Exacto"),Prod_Prop!$A:$A,Prod_Prop!$J:$J,"",0,1))</f>
        <v/>
      </c>
      <c r="U253" s="4" t="str">
        <f t="array" ref="U253">IF($E253="","", XLOOKUP(SUMIFS(Prod_Prop!$A:$A,Prod_Prop!$B:$B,$E253,Prod_Prop!$H:$H,U$1,Prod_Prop!$I:$I,"Exacto"),Prod_Prop!$A:$A,Prod_Prop!$J:$J,"",0,1))</f>
        <v/>
      </c>
      <c r="V253" s="4" t="str">
        <f t="array" ref="V253">IF($E253="","", XLOOKUP(SUMIFS(Prod_Prop!$A:$A,Prod_Prop!$B:$B,$E253,Prod_Prop!$H:$H,V$1,Prod_Prop!$I:$I,"Exacto"),Prod_Prop!$A:$A,Prod_Prop!$J:$J,"",0,1))</f>
        <v/>
      </c>
      <c r="X253" s="3" t="str">
        <f>IFERROR(__xludf.DUMMYFUNCTION("IF(D253="""","""",IFERROR(TRANSPOSE(FILTER('Validaciones Cotizador'!U:U,'Validaciones Cotizador'!O:O=D253,'Validaciones Cotizador'!T:T=""x"")),""Finalizar""))"),"")</f>
        <v/>
      </c>
    </row>
    <row r="254">
      <c r="A254" s="2" t="str">
        <f t="array" ref="A254">IF(E254="","",XLOOKUP(D254,'Validaciones Cotizador'!C:C,'Validaciones Cotizador'!A:A,"",0,1))</f>
        <v/>
      </c>
      <c r="B254" s="2" t="str">
        <f t="array" ref="B254">IF(F254="","",XLOOKUP(F254,Productos!E:E,Productos!G:G,"",0,1))</f>
        <v/>
      </c>
      <c r="C254" s="2" t="str">
        <f>IF(A254="","",SUMIFS('Validaciones Cotizador'!B:B,'Validaciones Cotizador'!C:C,D254,'Validaciones Cotizador'!A:A,A254))</f>
        <v/>
      </c>
      <c r="D254" s="4" t="str">
        <f>IFERROR(__xludf.DUMMYFUNCTION("IF(OR(F253=""Finalizar"",F253="""",F253=""Selecciona..""),"""",IF(OR(F253=""-"",INDEX(filter(Familias!F:F,Familias!D:D=A253,Familias!E:E=C253),1)=""O""),D253+1,D253))"),"")</f>
        <v/>
      </c>
      <c r="E254" s="2" t="str">
        <f>IF(OR(F254="",F254="Selecciona.."),"",IF(D254="Implemento",SUMIF(Implementos!B:B,F254,Implementos!A:A),SUMIF(Productos!E:E,F254,Productos!A:A)))</f>
        <v/>
      </c>
      <c r="F254" s="2" t="str">
        <f t="shared" si="2"/>
        <v/>
      </c>
      <c r="G254" s="10" t="str">
        <f t="array" ref="G254">IF(OR(F254="",F254="-",F254="Selecciona..",F254="Finalizar"),"",IF(A254="Rodados",XLOOKUP(B254,'Validaciones Cotizador'!I:I,'Validaciones Cotizador'!J:J,0,0,1),1))</f>
        <v/>
      </c>
      <c r="H254" s="11" t="str">
        <f>IF(OR(F254="",F254="Selecciona.."),"",SUMIF(Precio_Productos!K:K,E254,Precio_Productos!J:J)*G254)</f>
        <v/>
      </c>
      <c r="I254" s="4" t="str">
        <f t="array" ref="I254">IF($E254="","", XLOOKUP(SUMIFS(Prod_Prop!$A:$A,Prod_Prop!$B:$B,$E254,Prod_Prop!$H:$H,I$1,Prod_Prop!$I:$I,"Exacto"),Prod_Prop!$A:$A,Prod_Prop!$J:$J,"",0,1))</f>
        <v/>
      </c>
      <c r="J254" s="4" t="str">
        <f t="array" ref="J254">IF($E254="","", XLOOKUP(SUMIFS(Prod_Prop!$A:$A,Prod_Prop!$B:$B,$E254,Prod_Prop!$H:$H,J$1,Prod_Prop!$I:$I,"Exacto"),Prod_Prop!$A:$A,Prod_Prop!$J:$J,"",0,1))</f>
        <v/>
      </c>
      <c r="K254" s="4" t="str">
        <f t="array" ref="K254">IF($E254="","", XLOOKUP(SUMIFS(Prod_Prop!$A:$A,Prod_Prop!$B:$B,$E254,Prod_Prop!$H:$H,K$1,Prod_Prop!$I:$I,"Exacto"),Prod_Prop!$A:$A,Prod_Prop!$J:$J,"",0,1))</f>
        <v/>
      </c>
      <c r="L254" s="4" t="str">
        <f t="array" ref="L254">IF($E254="","", XLOOKUP(SUMIFS(Prod_Prop!$A:$A,Prod_Prop!$B:$B,$E254,Prod_Prop!$H:$H,L$1,Prod_Prop!$I:$I,"Exacto"),Prod_Prop!$A:$A,Prod_Prop!$J:$J,"",0,1))</f>
        <v/>
      </c>
      <c r="M254" s="4" t="str">
        <f t="array" ref="M254">IF($E254="","", XLOOKUP(SUMIFS(Prod_Prop!$A:$A,Prod_Prop!$B:$B,$E254,Prod_Prop!$H:$H,M$1,Prod_Prop!$I:$I,"Exacto"),Prod_Prop!$A:$A,Prod_Prop!$J:$J,"",0,1))</f>
        <v/>
      </c>
      <c r="N254" s="4" t="str">
        <f t="array" ref="N254">IF($E254="","", XLOOKUP(SUMIFS(Prod_Prop!$A:$A,Prod_Prop!$B:$B,$E254,Prod_Prop!$H:$H,N$1,Prod_Prop!$I:$I,"Exacto"),Prod_Prop!$A:$A,Prod_Prop!$J:$J,"",0,1))</f>
        <v/>
      </c>
      <c r="O254" s="4" t="str">
        <f t="array" ref="O254">IF($E254="","", XLOOKUP(SUMIFS(Prod_Prop!$A:$A,Prod_Prop!$B:$B,$E254,Prod_Prop!$H:$H,O$1,Prod_Prop!$I:$I,"Exacto"),Prod_Prop!$A:$A,Prod_Prop!$J:$J,"",0,1))</f>
        <v/>
      </c>
      <c r="P254" s="4" t="str">
        <f t="array" ref="P254">IF($E254="","", XLOOKUP(SUMIFS(Prod_Prop!$A:$A,Prod_Prop!$B:$B,$E254,Prod_Prop!$H:$H,P$1,Prod_Prop!$I:$I,"Exacto"),Prod_Prop!$A:$A,Prod_Prop!$J:$J,"",0,1))</f>
        <v/>
      </c>
      <c r="Q254" s="4" t="str">
        <f t="array" ref="Q254">IF($E254="","", XLOOKUP(SUMIFS(Prod_Prop!$A:$A,Prod_Prop!$B:$B,$E254,Prod_Prop!$H:$H,Q$1,Prod_Prop!$I:$I,"Exacto"),Prod_Prop!$A:$A,Prod_Prop!$J:$J,"",0,1))</f>
        <v/>
      </c>
      <c r="R254" s="4" t="str">
        <f t="array" ref="R254">IF($E254="","", XLOOKUP(SUMIFS(Prod_Prop!$A:$A,Prod_Prop!$B:$B,$E254,Prod_Prop!$H:$H,R$1,Prod_Prop!$I:$I,"Exacto"),Prod_Prop!$A:$A,Prod_Prop!$J:$J,"",0,1))</f>
        <v/>
      </c>
      <c r="S254" s="4" t="str">
        <f t="array" ref="S254">IF($E254="","", XLOOKUP(SUMIFS(Prod_Prop!$A:$A,Prod_Prop!$B:$B,$E254,Prod_Prop!$H:$H,S$1,Prod_Prop!$I:$I,"Exacto"),Prod_Prop!$A:$A,Prod_Prop!$J:$J,"",0,1))</f>
        <v/>
      </c>
      <c r="T254" s="4" t="str">
        <f t="array" ref="T254">IF($E254="","", XLOOKUP(SUMIFS(Prod_Prop!$A:$A,Prod_Prop!$B:$B,$E254,Prod_Prop!$H:$H,T$1,Prod_Prop!$I:$I,"Exacto"),Prod_Prop!$A:$A,Prod_Prop!$J:$J,"",0,1))</f>
        <v/>
      </c>
      <c r="U254" s="4" t="str">
        <f t="array" ref="U254">IF($E254="","", XLOOKUP(SUMIFS(Prod_Prop!$A:$A,Prod_Prop!$B:$B,$E254,Prod_Prop!$H:$H,U$1,Prod_Prop!$I:$I,"Exacto"),Prod_Prop!$A:$A,Prod_Prop!$J:$J,"",0,1))</f>
        <v/>
      </c>
      <c r="V254" s="4" t="str">
        <f t="array" ref="V254">IF($E254="","", XLOOKUP(SUMIFS(Prod_Prop!$A:$A,Prod_Prop!$B:$B,$E254,Prod_Prop!$H:$H,V$1,Prod_Prop!$I:$I,"Exacto"),Prod_Prop!$A:$A,Prod_Prop!$J:$J,"",0,1))</f>
        <v/>
      </c>
      <c r="X254" s="3" t="str">
        <f>IFERROR(__xludf.DUMMYFUNCTION("IF(D254="""","""",IFERROR(TRANSPOSE(FILTER('Validaciones Cotizador'!U:U,'Validaciones Cotizador'!O:O=D254,'Validaciones Cotizador'!T:T=""x"")),""Finalizar""))"),"")</f>
        <v/>
      </c>
    </row>
    <row r="255">
      <c r="A255" s="2" t="str">
        <f t="array" ref="A255">IF(E255="","",XLOOKUP(D255,'Validaciones Cotizador'!C:C,'Validaciones Cotizador'!A:A,"",0,1))</f>
        <v/>
      </c>
      <c r="B255" s="2" t="str">
        <f t="array" ref="B255">IF(F255="","",XLOOKUP(F255,Productos!E:E,Productos!G:G,"",0,1))</f>
        <v/>
      </c>
      <c r="C255" s="2" t="str">
        <f>IF(A255="","",SUMIFS('Validaciones Cotizador'!B:B,'Validaciones Cotizador'!C:C,D255,'Validaciones Cotizador'!A:A,A255))</f>
        <v/>
      </c>
      <c r="D255" s="4" t="str">
        <f>IFERROR(__xludf.DUMMYFUNCTION("IF(OR(F254=""Finalizar"",F254="""",F254=""Selecciona..""),"""",IF(OR(F254=""-"",INDEX(filter(Familias!F:F,Familias!D:D=A254,Familias!E:E=C254),1)=""O""),D254+1,D254))"),"")</f>
        <v/>
      </c>
      <c r="E255" s="2" t="str">
        <f>IF(OR(F255="",F255="Selecciona.."),"",IF(D255="Implemento",SUMIF(Implementos!B:B,F255,Implementos!A:A),SUMIF(Productos!E:E,F255,Productos!A:A)))</f>
        <v/>
      </c>
      <c r="F255" s="2" t="str">
        <f t="shared" si="2"/>
        <v/>
      </c>
      <c r="G255" s="10" t="str">
        <f t="array" ref="G255">IF(OR(F255="",F255="-",F255="Selecciona..",F255="Finalizar"),"",IF(A255="Rodados",XLOOKUP(B255,'Validaciones Cotizador'!I:I,'Validaciones Cotizador'!J:J,0,0,1),1))</f>
        <v/>
      </c>
      <c r="H255" s="11" t="str">
        <f>IF(OR(F255="",F255="Selecciona.."),"",SUMIF(Precio_Productos!K:K,E255,Precio_Productos!J:J)*G255)</f>
        <v/>
      </c>
      <c r="I255" s="4" t="str">
        <f t="array" ref="I255">IF($E255="","", XLOOKUP(SUMIFS(Prod_Prop!$A:$A,Prod_Prop!$B:$B,$E255,Prod_Prop!$H:$H,I$1,Prod_Prop!$I:$I,"Exacto"),Prod_Prop!$A:$A,Prod_Prop!$J:$J,"",0,1))</f>
        <v/>
      </c>
      <c r="J255" s="4" t="str">
        <f t="array" ref="J255">IF($E255="","", XLOOKUP(SUMIFS(Prod_Prop!$A:$A,Prod_Prop!$B:$B,$E255,Prod_Prop!$H:$H,J$1,Prod_Prop!$I:$I,"Exacto"),Prod_Prop!$A:$A,Prod_Prop!$J:$J,"",0,1))</f>
        <v/>
      </c>
      <c r="K255" s="4" t="str">
        <f t="array" ref="K255">IF($E255="","", XLOOKUP(SUMIFS(Prod_Prop!$A:$A,Prod_Prop!$B:$B,$E255,Prod_Prop!$H:$H,K$1,Prod_Prop!$I:$I,"Exacto"),Prod_Prop!$A:$A,Prod_Prop!$J:$J,"",0,1))</f>
        <v/>
      </c>
      <c r="L255" s="4" t="str">
        <f t="array" ref="L255">IF($E255="","", XLOOKUP(SUMIFS(Prod_Prop!$A:$A,Prod_Prop!$B:$B,$E255,Prod_Prop!$H:$H,L$1,Prod_Prop!$I:$I,"Exacto"),Prod_Prop!$A:$A,Prod_Prop!$J:$J,"",0,1))</f>
        <v/>
      </c>
      <c r="M255" s="4" t="str">
        <f t="array" ref="M255">IF($E255="","", XLOOKUP(SUMIFS(Prod_Prop!$A:$A,Prod_Prop!$B:$B,$E255,Prod_Prop!$H:$H,M$1,Prod_Prop!$I:$I,"Exacto"),Prod_Prop!$A:$A,Prod_Prop!$J:$J,"",0,1))</f>
        <v/>
      </c>
      <c r="N255" s="4" t="str">
        <f t="array" ref="N255">IF($E255="","", XLOOKUP(SUMIFS(Prod_Prop!$A:$A,Prod_Prop!$B:$B,$E255,Prod_Prop!$H:$H,N$1,Prod_Prop!$I:$I,"Exacto"),Prod_Prop!$A:$A,Prod_Prop!$J:$J,"",0,1))</f>
        <v/>
      </c>
      <c r="O255" s="4" t="str">
        <f t="array" ref="O255">IF($E255="","", XLOOKUP(SUMIFS(Prod_Prop!$A:$A,Prod_Prop!$B:$B,$E255,Prod_Prop!$H:$H,O$1,Prod_Prop!$I:$I,"Exacto"),Prod_Prop!$A:$A,Prod_Prop!$J:$J,"",0,1))</f>
        <v/>
      </c>
      <c r="P255" s="4" t="str">
        <f t="array" ref="P255">IF($E255="","", XLOOKUP(SUMIFS(Prod_Prop!$A:$A,Prod_Prop!$B:$B,$E255,Prod_Prop!$H:$H,P$1,Prod_Prop!$I:$I,"Exacto"),Prod_Prop!$A:$A,Prod_Prop!$J:$J,"",0,1))</f>
        <v/>
      </c>
      <c r="Q255" s="4" t="str">
        <f t="array" ref="Q255">IF($E255="","", XLOOKUP(SUMIFS(Prod_Prop!$A:$A,Prod_Prop!$B:$B,$E255,Prod_Prop!$H:$H,Q$1,Prod_Prop!$I:$I,"Exacto"),Prod_Prop!$A:$A,Prod_Prop!$J:$J,"",0,1))</f>
        <v/>
      </c>
      <c r="R255" s="4" t="str">
        <f t="array" ref="R255">IF($E255="","", XLOOKUP(SUMIFS(Prod_Prop!$A:$A,Prod_Prop!$B:$B,$E255,Prod_Prop!$H:$H,R$1,Prod_Prop!$I:$I,"Exacto"),Prod_Prop!$A:$A,Prod_Prop!$J:$J,"",0,1))</f>
        <v/>
      </c>
      <c r="S255" s="4" t="str">
        <f t="array" ref="S255">IF($E255="","", XLOOKUP(SUMIFS(Prod_Prop!$A:$A,Prod_Prop!$B:$B,$E255,Prod_Prop!$H:$H,S$1,Prod_Prop!$I:$I,"Exacto"),Prod_Prop!$A:$A,Prod_Prop!$J:$J,"",0,1))</f>
        <v/>
      </c>
      <c r="T255" s="4" t="str">
        <f t="array" ref="T255">IF($E255="","", XLOOKUP(SUMIFS(Prod_Prop!$A:$A,Prod_Prop!$B:$B,$E255,Prod_Prop!$H:$H,T$1,Prod_Prop!$I:$I,"Exacto"),Prod_Prop!$A:$A,Prod_Prop!$J:$J,"",0,1))</f>
        <v/>
      </c>
      <c r="U255" s="4" t="str">
        <f t="array" ref="U255">IF($E255="","", XLOOKUP(SUMIFS(Prod_Prop!$A:$A,Prod_Prop!$B:$B,$E255,Prod_Prop!$H:$H,U$1,Prod_Prop!$I:$I,"Exacto"),Prod_Prop!$A:$A,Prod_Prop!$J:$J,"",0,1))</f>
        <v/>
      </c>
      <c r="V255" s="4" t="str">
        <f t="array" ref="V255">IF($E255="","", XLOOKUP(SUMIFS(Prod_Prop!$A:$A,Prod_Prop!$B:$B,$E255,Prod_Prop!$H:$H,V$1,Prod_Prop!$I:$I,"Exacto"),Prod_Prop!$A:$A,Prod_Prop!$J:$J,"",0,1))</f>
        <v/>
      </c>
      <c r="X255" s="3" t="str">
        <f>IFERROR(__xludf.DUMMYFUNCTION("IF(D255="""","""",IFERROR(TRANSPOSE(FILTER('Validaciones Cotizador'!U:U,'Validaciones Cotizador'!O:O=D255,'Validaciones Cotizador'!T:T=""x"")),""Finalizar""))"),"")</f>
        <v/>
      </c>
    </row>
    <row r="256">
      <c r="A256" s="2" t="str">
        <f t="array" ref="A256">IF(E256="","",XLOOKUP(D256,'Validaciones Cotizador'!C:C,'Validaciones Cotizador'!A:A,"",0,1))</f>
        <v/>
      </c>
      <c r="B256" s="2" t="str">
        <f t="array" ref="B256">IF(F256="","",XLOOKUP(F256,Productos!E:E,Productos!G:G,"",0,1))</f>
        <v/>
      </c>
      <c r="C256" s="2" t="str">
        <f>IF(A256="","",SUMIFS('Validaciones Cotizador'!B:B,'Validaciones Cotizador'!C:C,D256,'Validaciones Cotizador'!A:A,A256))</f>
        <v/>
      </c>
      <c r="D256" s="4" t="str">
        <f>IFERROR(__xludf.DUMMYFUNCTION("IF(OR(F255=""Finalizar"",F255="""",F255=""Selecciona..""),"""",IF(OR(F255=""-"",INDEX(filter(Familias!F:F,Familias!D:D=A255,Familias!E:E=C255),1)=""O""),D255+1,D255))"),"")</f>
        <v/>
      </c>
      <c r="E256" s="2" t="str">
        <f>IF(OR(F256="",F256="Selecciona.."),"",IF(D256="Implemento",SUMIF(Implementos!B:B,F256,Implementos!A:A),SUMIF(Productos!E:E,F256,Productos!A:A)))</f>
        <v/>
      </c>
      <c r="F256" s="2" t="str">
        <f t="shared" si="2"/>
        <v/>
      </c>
      <c r="G256" s="10" t="str">
        <f t="array" ref="G256">IF(OR(F256="",F256="-",F256="Selecciona..",F256="Finalizar"),"",IF(A256="Rodados",XLOOKUP(B256,'Validaciones Cotizador'!I:I,'Validaciones Cotizador'!J:J,0,0,1),1))</f>
        <v/>
      </c>
      <c r="H256" s="11" t="str">
        <f>IF(OR(F256="",F256="Selecciona.."),"",SUMIF(Precio_Productos!K:K,E256,Precio_Productos!J:J)*G256)</f>
        <v/>
      </c>
      <c r="I256" s="4" t="str">
        <f t="array" ref="I256">IF($E256="","", XLOOKUP(SUMIFS(Prod_Prop!$A:$A,Prod_Prop!$B:$B,$E256,Prod_Prop!$H:$H,I$1,Prod_Prop!$I:$I,"Exacto"),Prod_Prop!$A:$A,Prod_Prop!$J:$J,"",0,1))</f>
        <v/>
      </c>
      <c r="J256" s="4" t="str">
        <f t="array" ref="J256">IF($E256="","", XLOOKUP(SUMIFS(Prod_Prop!$A:$A,Prod_Prop!$B:$B,$E256,Prod_Prop!$H:$H,J$1,Prod_Prop!$I:$I,"Exacto"),Prod_Prop!$A:$A,Prod_Prop!$J:$J,"",0,1))</f>
        <v/>
      </c>
      <c r="K256" s="4" t="str">
        <f t="array" ref="K256">IF($E256="","", XLOOKUP(SUMIFS(Prod_Prop!$A:$A,Prod_Prop!$B:$B,$E256,Prod_Prop!$H:$H,K$1,Prod_Prop!$I:$I,"Exacto"),Prod_Prop!$A:$A,Prod_Prop!$J:$J,"",0,1))</f>
        <v/>
      </c>
      <c r="L256" s="4" t="str">
        <f t="array" ref="L256">IF($E256="","", XLOOKUP(SUMIFS(Prod_Prop!$A:$A,Prod_Prop!$B:$B,$E256,Prod_Prop!$H:$H,L$1,Prod_Prop!$I:$I,"Exacto"),Prod_Prop!$A:$A,Prod_Prop!$J:$J,"",0,1))</f>
        <v/>
      </c>
      <c r="M256" s="4" t="str">
        <f t="array" ref="M256">IF($E256="","", XLOOKUP(SUMIFS(Prod_Prop!$A:$A,Prod_Prop!$B:$B,$E256,Prod_Prop!$H:$H,M$1,Prod_Prop!$I:$I,"Exacto"),Prod_Prop!$A:$A,Prod_Prop!$J:$J,"",0,1))</f>
        <v/>
      </c>
      <c r="N256" s="4" t="str">
        <f t="array" ref="N256">IF($E256="","", XLOOKUP(SUMIFS(Prod_Prop!$A:$A,Prod_Prop!$B:$B,$E256,Prod_Prop!$H:$H,N$1,Prod_Prop!$I:$I,"Exacto"),Prod_Prop!$A:$A,Prod_Prop!$J:$J,"",0,1))</f>
        <v/>
      </c>
      <c r="O256" s="4" t="str">
        <f t="array" ref="O256">IF($E256="","", XLOOKUP(SUMIFS(Prod_Prop!$A:$A,Prod_Prop!$B:$B,$E256,Prod_Prop!$H:$H,O$1,Prod_Prop!$I:$I,"Exacto"),Prod_Prop!$A:$A,Prod_Prop!$J:$J,"",0,1))</f>
        <v/>
      </c>
      <c r="P256" s="4" t="str">
        <f t="array" ref="P256">IF($E256="","", XLOOKUP(SUMIFS(Prod_Prop!$A:$A,Prod_Prop!$B:$B,$E256,Prod_Prop!$H:$H,P$1,Prod_Prop!$I:$I,"Exacto"),Prod_Prop!$A:$A,Prod_Prop!$J:$J,"",0,1))</f>
        <v/>
      </c>
      <c r="Q256" s="4" t="str">
        <f t="array" ref="Q256">IF($E256="","", XLOOKUP(SUMIFS(Prod_Prop!$A:$A,Prod_Prop!$B:$B,$E256,Prod_Prop!$H:$H,Q$1,Prod_Prop!$I:$I,"Exacto"),Prod_Prop!$A:$A,Prod_Prop!$J:$J,"",0,1))</f>
        <v/>
      </c>
      <c r="R256" s="4" t="str">
        <f t="array" ref="R256">IF($E256="","", XLOOKUP(SUMIFS(Prod_Prop!$A:$A,Prod_Prop!$B:$B,$E256,Prod_Prop!$H:$H,R$1,Prod_Prop!$I:$I,"Exacto"),Prod_Prop!$A:$A,Prod_Prop!$J:$J,"",0,1))</f>
        <v/>
      </c>
      <c r="S256" s="4" t="str">
        <f t="array" ref="S256">IF($E256="","", XLOOKUP(SUMIFS(Prod_Prop!$A:$A,Prod_Prop!$B:$B,$E256,Prod_Prop!$H:$H,S$1,Prod_Prop!$I:$I,"Exacto"),Prod_Prop!$A:$A,Prod_Prop!$J:$J,"",0,1))</f>
        <v/>
      </c>
      <c r="T256" s="4" t="str">
        <f t="array" ref="T256">IF($E256="","", XLOOKUP(SUMIFS(Prod_Prop!$A:$A,Prod_Prop!$B:$B,$E256,Prod_Prop!$H:$H,T$1,Prod_Prop!$I:$I,"Exacto"),Prod_Prop!$A:$A,Prod_Prop!$J:$J,"",0,1))</f>
        <v/>
      </c>
      <c r="U256" s="4" t="str">
        <f t="array" ref="U256">IF($E256="","", XLOOKUP(SUMIFS(Prod_Prop!$A:$A,Prod_Prop!$B:$B,$E256,Prod_Prop!$H:$H,U$1,Prod_Prop!$I:$I,"Exacto"),Prod_Prop!$A:$A,Prod_Prop!$J:$J,"",0,1))</f>
        <v/>
      </c>
      <c r="V256" s="4" t="str">
        <f t="array" ref="V256">IF($E256="","", XLOOKUP(SUMIFS(Prod_Prop!$A:$A,Prod_Prop!$B:$B,$E256,Prod_Prop!$H:$H,V$1,Prod_Prop!$I:$I,"Exacto"),Prod_Prop!$A:$A,Prod_Prop!$J:$J,"",0,1))</f>
        <v/>
      </c>
      <c r="X256" s="3" t="str">
        <f>IFERROR(__xludf.DUMMYFUNCTION("IF(D256="""","""",IFERROR(TRANSPOSE(FILTER('Validaciones Cotizador'!U:U,'Validaciones Cotizador'!O:O=D256,'Validaciones Cotizador'!T:T=""x"")),""Finalizar""))"),"")</f>
        <v/>
      </c>
    </row>
    <row r="257">
      <c r="A257" s="2" t="str">
        <f t="array" ref="A257">IF(E257="","",XLOOKUP(D257,'Validaciones Cotizador'!C:C,'Validaciones Cotizador'!A:A,"",0,1))</f>
        <v/>
      </c>
      <c r="B257" s="2" t="str">
        <f t="array" ref="B257">IF(F257="","",XLOOKUP(F257,Productos!E:E,Productos!G:G,"",0,1))</f>
        <v/>
      </c>
      <c r="C257" s="2" t="str">
        <f>IF(A257="","",SUMIFS('Validaciones Cotizador'!B:B,'Validaciones Cotizador'!C:C,D257,'Validaciones Cotizador'!A:A,A257))</f>
        <v/>
      </c>
      <c r="D257" s="4" t="str">
        <f>IFERROR(__xludf.DUMMYFUNCTION("IF(OR(F256=""Finalizar"",F256="""",F256=""Selecciona..""),"""",IF(OR(F256=""-"",INDEX(filter(Familias!F:F,Familias!D:D=A256,Familias!E:E=C256),1)=""O""),D256+1,D256))"),"")</f>
        <v/>
      </c>
      <c r="E257" s="2" t="str">
        <f>IF(OR(F257="",F257="Selecciona.."),"",IF(D257="Implemento",SUMIF(Implementos!B:B,F257,Implementos!A:A),SUMIF(Productos!E:E,F257,Productos!A:A)))</f>
        <v/>
      </c>
      <c r="F257" s="2" t="str">
        <f t="shared" si="2"/>
        <v/>
      </c>
      <c r="G257" s="10" t="str">
        <f t="array" ref="G257">IF(OR(F257="",F257="-",F257="Selecciona..",F257="Finalizar"),"",IF(A257="Rodados",XLOOKUP(B257,'Validaciones Cotizador'!I:I,'Validaciones Cotizador'!J:J,0,0,1),1))</f>
        <v/>
      </c>
      <c r="H257" s="11" t="str">
        <f>IF(OR(F257="",F257="Selecciona.."),"",SUMIF(Precio_Productos!K:K,E257,Precio_Productos!J:J)*G257)</f>
        <v/>
      </c>
      <c r="I257" s="4" t="str">
        <f t="array" ref="I257">IF($E257="","", XLOOKUP(SUMIFS(Prod_Prop!$A:$A,Prod_Prop!$B:$B,$E257,Prod_Prop!$H:$H,I$1,Prod_Prop!$I:$I,"Exacto"),Prod_Prop!$A:$A,Prod_Prop!$J:$J,"",0,1))</f>
        <v/>
      </c>
      <c r="J257" s="4" t="str">
        <f t="array" ref="J257">IF($E257="","", XLOOKUP(SUMIFS(Prod_Prop!$A:$A,Prod_Prop!$B:$B,$E257,Prod_Prop!$H:$H,J$1,Prod_Prop!$I:$I,"Exacto"),Prod_Prop!$A:$A,Prod_Prop!$J:$J,"",0,1))</f>
        <v/>
      </c>
      <c r="K257" s="4" t="str">
        <f t="array" ref="K257">IF($E257="","", XLOOKUP(SUMIFS(Prod_Prop!$A:$A,Prod_Prop!$B:$B,$E257,Prod_Prop!$H:$H,K$1,Prod_Prop!$I:$I,"Exacto"),Prod_Prop!$A:$A,Prod_Prop!$J:$J,"",0,1))</f>
        <v/>
      </c>
      <c r="L257" s="4" t="str">
        <f t="array" ref="L257">IF($E257="","", XLOOKUP(SUMIFS(Prod_Prop!$A:$A,Prod_Prop!$B:$B,$E257,Prod_Prop!$H:$H,L$1,Prod_Prop!$I:$I,"Exacto"),Prod_Prop!$A:$A,Prod_Prop!$J:$J,"",0,1))</f>
        <v/>
      </c>
      <c r="M257" s="4" t="str">
        <f t="array" ref="M257">IF($E257="","", XLOOKUP(SUMIFS(Prod_Prop!$A:$A,Prod_Prop!$B:$B,$E257,Prod_Prop!$H:$H,M$1,Prod_Prop!$I:$I,"Exacto"),Prod_Prop!$A:$A,Prod_Prop!$J:$J,"",0,1))</f>
        <v/>
      </c>
      <c r="N257" s="4" t="str">
        <f t="array" ref="N257">IF($E257="","", XLOOKUP(SUMIFS(Prod_Prop!$A:$A,Prod_Prop!$B:$B,$E257,Prod_Prop!$H:$H,N$1,Prod_Prop!$I:$I,"Exacto"),Prod_Prop!$A:$A,Prod_Prop!$J:$J,"",0,1))</f>
        <v/>
      </c>
      <c r="O257" s="4" t="str">
        <f t="array" ref="O257">IF($E257="","", XLOOKUP(SUMIFS(Prod_Prop!$A:$A,Prod_Prop!$B:$B,$E257,Prod_Prop!$H:$H,O$1,Prod_Prop!$I:$I,"Exacto"),Prod_Prop!$A:$A,Prod_Prop!$J:$J,"",0,1))</f>
        <v/>
      </c>
      <c r="P257" s="4" t="str">
        <f t="array" ref="P257">IF($E257="","", XLOOKUP(SUMIFS(Prod_Prop!$A:$A,Prod_Prop!$B:$B,$E257,Prod_Prop!$H:$H,P$1,Prod_Prop!$I:$I,"Exacto"),Prod_Prop!$A:$A,Prod_Prop!$J:$J,"",0,1))</f>
        <v/>
      </c>
      <c r="Q257" s="4" t="str">
        <f t="array" ref="Q257">IF($E257="","", XLOOKUP(SUMIFS(Prod_Prop!$A:$A,Prod_Prop!$B:$B,$E257,Prod_Prop!$H:$H,Q$1,Prod_Prop!$I:$I,"Exacto"),Prod_Prop!$A:$A,Prod_Prop!$J:$J,"",0,1))</f>
        <v/>
      </c>
      <c r="R257" s="4" t="str">
        <f t="array" ref="R257">IF($E257="","", XLOOKUP(SUMIFS(Prod_Prop!$A:$A,Prod_Prop!$B:$B,$E257,Prod_Prop!$H:$H,R$1,Prod_Prop!$I:$I,"Exacto"),Prod_Prop!$A:$A,Prod_Prop!$J:$J,"",0,1))</f>
        <v/>
      </c>
      <c r="S257" s="4" t="str">
        <f t="array" ref="S257">IF($E257="","", XLOOKUP(SUMIFS(Prod_Prop!$A:$A,Prod_Prop!$B:$B,$E257,Prod_Prop!$H:$H,S$1,Prod_Prop!$I:$I,"Exacto"),Prod_Prop!$A:$A,Prod_Prop!$J:$J,"",0,1))</f>
        <v/>
      </c>
      <c r="T257" s="4" t="str">
        <f t="array" ref="T257">IF($E257="","", XLOOKUP(SUMIFS(Prod_Prop!$A:$A,Prod_Prop!$B:$B,$E257,Prod_Prop!$H:$H,T$1,Prod_Prop!$I:$I,"Exacto"),Prod_Prop!$A:$A,Prod_Prop!$J:$J,"",0,1))</f>
        <v/>
      </c>
      <c r="U257" s="4" t="str">
        <f t="array" ref="U257">IF($E257="","", XLOOKUP(SUMIFS(Prod_Prop!$A:$A,Prod_Prop!$B:$B,$E257,Prod_Prop!$H:$H,U$1,Prod_Prop!$I:$I,"Exacto"),Prod_Prop!$A:$A,Prod_Prop!$J:$J,"",0,1))</f>
        <v/>
      </c>
      <c r="V257" s="4" t="str">
        <f t="array" ref="V257">IF($E257="","", XLOOKUP(SUMIFS(Prod_Prop!$A:$A,Prod_Prop!$B:$B,$E257,Prod_Prop!$H:$H,V$1,Prod_Prop!$I:$I,"Exacto"),Prod_Prop!$A:$A,Prod_Prop!$J:$J,"",0,1))</f>
        <v/>
      </c>
      <c r="X257" s="3" t="str">
        <f>IFERROR(__xludf.DUMMYFUNCTION("IF(D257="""","""",IFERROR(TRANSPOSE(FILTER('Validaciones Cotizador'!U:U,'Validaciones Cotizador'!O:O=D257,'Validaciones Cotizador'!T:T=""x"")),""Finalizar""))"),"")</f>
        <v/>
      </c>
    </row>
    <row r="258">
      <c r="A258" s="2" t="str">
        <f t="array" ref="A258">IF(E258="","",XLOOKUP(D258,'Validaciones Cotizador'!C:C,'Validaciones Cotizador'!A:A,"",0,1))</f>
        <v/>
      </c>
      <c r="B258" s="2" t="str">
        <f t="array" ref="B258">IF(F258="","",XLOOKUP(F258,Productos!E:E,Productos!G:G,"",0,1))</f>
        <v/>
      </c>
      <c r="C258" s="2" t="str">
        <f>IF(A258="","",SUMIFS('Validaciones Cotizador'!B:B,'Validaciones Cotizador'!C:C,D258,'Validaciones Cotizador'!A:A,A258))</f>
        <v/>
      </c>
      <c r="D258" s="4" t="str">
        <f>IFERROR(__xludf.DUMMYFUNCTION("IF(OR(F257=""Finalizar"",F257="""",F257=""Selecciona..""),"""",IF(OR(F257=""-"",INDEX(filter(Familias!F:F,Familias!D:D=A257,Familias!E:E=C257),1)=""O""),D257+1,D257))"),"")</f>
        <v/>
      </c>
      <c r="E258" s="2" t="str">
        <f>IF(OR(F258="",F258="Selecciona.."),"",IF(D258="Implemento",SUMIF(Implementos!B:B,F258,Implementos!A:A),SUMIF(Productos!E:E,F258,Productos!A:A)))</f>
        <v/>
      </c>
      <c r="F258" s="2" t="str">
        <f t="shared" si="2"/>
        <v/>
      </c>
      <c r="G258" s="10" t="str">
        <f t="array" ref="G258">IF(OR(F258="",F258="-",F258="Selecciona..",F258="Finalizar"),"",IF(A258="Rodados",XLOOKUP(B258,'Validaciones Cotizador'!I:I,'Validaciones Cotizador'!J:J,0,0,1),1))</f>
        <v/>
      </c>
      <c r="H258" s="11" t="str">
        <f>IF(OR(F258="",F258="Selecciona.."),"",SUMIF(Precio_Productos!K:K,E258,Precio_Productos!J:J)*G258)</f>
        <v/>
      </c>
      <c r="I258" s="4" t="str">
        <f t="array" ref="I258">IF($E258="","", XLOOKUP(SUMIFS(Prod_Prop!$A:$A,Prod_Prop!$B:$B,$E258,Prod_Prop!$H:$H,I$1,Prod_Prop!$I:$I,"Exacto"),Prod_Prop!$A:$A,Prod_Prop!$J:$J,"",0,1))</f>
        <v/>
      </c>
      <c r="J258" s="4" t="str">
        <f t="array" ref="J258">IF($E258="","", XLOOKUP(SUMIFS(Prod_Prop!$A:$A,Prod_Prop!$B:$B,$E258,Prod_Prop!$H:$H,J$1,Prod_Prop!$I:$I,"Exacto"),Prod_Prop!$A:$A,Prod_Prop!$J:$J,"",0,1))</f>
        <v/>
      </c>
      <c r="K258" s="4" t="str">
        <f t="array" ref="K258">IF($E258="","", XLOOKUP(SUMIFS(Prod_Prop!$A:$A,Prod_Prop!$B:$B,$E258,Prod_Prop!$H:$H,K$1,Prod_Prop!$I:$I,"Exacto"),Prod_Prop!$A:$A,Prod_Prop!$J:$J,"",0,1))</f>
        <v/>
      </c>
      <c r="L258" s="4" t="str">
        <f t="array" ref="L258">IF($E258="","", XLOOKUP(SUMIFS(Prod_Prop!$A:$A,Prod_Prop!$B:$B,$E258,Prod_Prop!$H:$H,L$1,Prod_Prop!$I:$I,"Exacto"),Prod_Prop!$A:$A,Prod_Prop!$J:$J,"",0,1))</f>
        <v/>
      </c>
      <c r="M258" s="4" t="str">
        <f t="array" ref="M258">IF($E258="","", XLOOKUP(SUMIFS(Prod_Prop!$A:$A,Prod_Prop!$B:$B,$E258,Prod_Prop!$H:$H,M$1,Prod_Prop!$I:$I,"Exacto"),Prod_Prop!$A:$A,Prod_Prop!$J:$J,"",0,1))</f>
        <v/>
      </c>
      <c r="N258" s="4" t="str">
        <f t="array" ref="N258">IF($E258="","", XLOOKUP(SUMIFS(Prod_Prop!$A:$A,Prod_Prop!$B:$B,$E258,Prod_Prop!$H:$H,N$1,Prod_Prop!$I:$I,"Exacto"),Prod_Prop!$A:$A,Prod_Prop!$J:$J,"",0,1))</f>
        <v/>
      </c>
      <c r="O258" s="4" t="str">
        <f t="array" ref="O258">IF($E258="","", XLOOKUP(SUMIFS(Prod_Prop!$A:$A,Prod_Prop!$B:$B,$E258,Prod_Prop!$H:$H,O$1,Prod_Prop!$I:$I,"Exacto"),Prod_Prop!$A:$A,Prod_Prop!$J:$J,"",0,1))</f>
        <v/>
      </c>
      <c r="P258" s="4" t="str">
        <f t="array" ref="P258">IF($E258="","", XLOOKUP(SUMIFS(Prod_Prop!$A:$A,Prod_Prop!$B:$B,$E258,Prod_Prop!$H:$H,P$1,Prod_Prop!$I:$I,"Exacto"),Prod_Prop!$A:$A,Prod_Prop!$J:$J,"",0,1))</f>
        <v/>
      </c>
      <c r="Q258" s="4" t="str">
        <f t="array" ref="Q258">IF($E258="","", XLOOKUP(SUMIFS(Prod_Prop!$A:$A,Prod_Prop!$B:$B,$E258,Prod_Prop!$H:$H,Q$1,Prod_Prop!$I:$I,"Exacto"),Prod_Prop!$A:$A,Prod_Prop!$J:$J,"",0,1))</f>
        <v/>
      </c>
      <c r="R258" s="4" t="str">
        <f t="array" ref="R258">IF($E258="","", XLOOKUP(SUMIFS(Prod_Prop!$A:$A,Prod_Prop!$B:$B,$E258,Prod_Prop!$H:$H,R$1,Prod_Prop!$I:$I,"Exacto"),Prod_Prop!$A:$A,Prod_Prop!$J:$J,"",0,1))</f>
        <v/>
      </c>
      <c r="S258" s="4" t="str">
        <f t="array" ref="S258">IF($E258="","", XLOOKUP(SUMIFS(Prod_Prop!$A:$A,Prod_Prop!$B:$B,$E258,Prod_Prop!$H:$H,S$1,Prod_Prop!$I:$I,"Exacto"),Prod_Prop!$A:$A,Prod_Prop!$J:$J,"",0,1))</f>
        <v/>
      </c>
      <c r="T258" s="4" t="str">
        <f t="array" ref="T258">IF($E258="","", XLOOKUP(SUMIFS(Prod_Prop!$A:$A,Prod_Prop!$B:$B,$E258,Prod_Prop!$H:$H,T$1,Prod_Prop!$I:$I,"Exacto"),Prod_Prop!$A:$A,Prod_Prop!$J:$J,"",0,1))</f>
        <v/>
      </c>
      <c r="U258" s="4" t="str">
        <f t="array" ref="U258">IF($E258="","", XLOOKUP(SUMIFS(Prod_Prop!$A:$A,Prod_Prop!$B:$B,$E258,Prod_Prop!$H:$H,U$1,Prod_Prop!$I:$I,"Exacto"),Prod_Prop!$A:$A,Prod_Prop!$J:$J,"",0,1))</f>
        <v/>
      </c>
      <c r="V258" s="4" t="str">
        <f t="array" ref="V258">IF($E258="","", XLOOKUP(SUMIFS(Prod_Prop!$A:$A,Prod_Prop!$B:$B,$E258,Prod_Prop!$H:$H,V$1,Prod_Prop!$I:$I,"Exacto"),Prod_Prop!$A:$A,Prod_Prop!$J:$J,"",0,1))</f>
        <v/>
      </c>
      <c r="X258" s="3" t="str">
        <f>IFERROR(__xludf.DUMMYFUNCTION("IF(D258="""","""",IFERROR(TRANSPOSE(FILTER('Validaciones Cotizador'!U:U,'Validaciones Cotizador'!O:O=D258,'Validaciones Cotizador'!T:T=""x"")),""Finalizar""))"),"")</f>
        <v/>
      </c>
    </row>
    <row r="259">
      <c r="A259" s="2" t="str">
        <f t="array" ref="A259">IF(E259="","",XLOOKUP(D259,'Validaciones Cotizador'!C:C,'Validaciones Cotizador'!A:A,"",0,1))</f>
        <v/>
      </c>
      <c r="B259" s="2" t="str">
        <f t="array" ref="B259">IF(F259="","",XLOOKUP(F259,Productos!E:E,Productos!G:G,"",0,1))</f>
        <v/>
      </c>
      <c r="C259" s="2" t="str">
        <f>IF(A259="","",SUMIFS('Validaciones Cotizador'!B:B,'Validaciones Cotizador'!C:C,D259,'Validaciones Cotizador'!A:A,A259))</f>
        <v/>
      </c>
      <c r="D259" s="4" t="str">
        <f>IFERROR(__xludf.DUMMYFUNCTION("IF(OR(F258=""Finalizar"",F258="""",F258=""Selecciona..""),"""",IF(OR(F258=""-"",INDEX(filter(Familias!F:F,Familias!D:D=A258,Familias!E:E=C258),1)=""O""),D258+1,D258))"),"")</f>
        <v/>
      </c>
      <c r="E259" s="2" t="str">
        <f>IF(OR(F259="",F259="Selecciona.."),"",IF(D259="Implemento",SUMIF(Implementos!B:B,F259,Implementos!A:A),SUMIF(Productos!E:E,F259,Productos!A:A)))</f>
        <v/>
      </c>
      <c r="F259" s="2" t="str">
        <f t="shared" si="2"/>
        <v/>
      </c>
      <c r="G259" s="10" t="str">
        <f t="array" ref="G259">IF(OR(F259="",F259="-",F259="Selecciona..",F259="Finalizar"),"",IF(A259="Rodados",XLOOKUP(B259,'Validaciones Cotizador'!I:I,'Validaciones Cotizador'!J:J,0,0,1),1))</f>
        <v/>
      </c>
      <c r="H259" s="11" t="str">
        <f>IF(OR(F259="",F259="Selecciona.."),"",SUMIF(Precio_Productos!K:K,E259,Precio_Productos!J:J)*G259)</f>
        <v/>
      </c>
      <c r="I259" s="4" t="str">
        <f t="array" ref="I259">IF($E259="","", XLOOKUP(SUMIFS(Prod_Prop!$A:$A,Prod_Prop!$B:$B,$E259,Prod_Prop!$H:$H,I$1,Prod_Prop!$I:$I,"Exacto"),Prod_Prop!$A:$A,Prod_Prop!$J:$J,"",0,1))</f>
        <v/>
      </c>
      <c r="J259" s="4" t="str">
        <f t="array" ref="J259">IF($E259="","", XLOOKUP(SUMIFS(Prod_Prop!$A:$A,Prod_Prop!$B:$B,$E259,Prod_Prop!$H:$H,J$1,Prod_Prop!$I:$I,"Exacto"),Prod_Prop!$A:$A,Prod_Prop!$J:$J,"",0,1))</f>
        <v/>
      </c>
      <c r="K259" s="4" t="str">
        <f t="array" ref="K259">IF($E259="","", XLOOKUP(SUMIFS(Prod_Prop!$A:$A,Prod_Prop!$B:$B,$E259,Prod_Prop!$H:$H,K$1,Prod_Prop!$I:$I,"Exacto"),Prod_Prop!$A:$A,Prod_Prop!$J:$J,"",0,1))</f>
        <v/>
      </c>
      <c r="L259" s="4" t="str">
        <f t="array" ref="L259">IF($E259="","", XLOOKUP(SUMIFS(Prod_Prop!$A:$A,Prod_Prop!$B:$B,$E259,Prod_Prop!$H:$H,L$1,Prod_Prop!$I:$I,"Exacto"),Prod_Prop!$A:$A,Prod_Prop!$J:$J,"",0,1))</f>
        <v/>
      </c>
      <c r="M259" s="4" t="str">
        <f t="array" ref="M259">IF($E259="","", XLOOKUP(SUMIFS(Prod_Prop!$A:$A,Prod_Prop!$B:$B,$E259,Prod_Prop!$H:$H,M$1,Prod_Prop!$I:$I,"Exacto"),Prod_Prop!$A:$A,Prod_Prop!$J:$J,"",0,1))</f>
        <v/>
      </c>
      <c r="N259" s="4" t="str">
        <f t="array" ref="N259">IF($E259="","", XLOOKUP(SUMIFS(Prod_Prop!$A:$A,Prod_Prop!$B:$B,$E259,Prod_Prop!$H:$H,N$1,Prod_Prop!$I:$I,"Exacto"),Prod_Prop!$A:$A,Prod_Prop!$J:$J,"",0,1))</f>
        <v/>
      </c>
      <c r="O259" s="4" t="str">
        <f t="array" ref="O259">IF($E259="","", XLOOKUP(SUMIFS(Prod_Prop!$A:$A,Prod_Prop!$B:$B,$E259,Prod_Prop!$H:$H,O$1,Prod_Prop!$I:$I,"Exacto"),Prod_Prop!$A:$A,Prod_Prop!$J:$J,"",0,1))</f>
        <v/>
      </c>
      <c r="P259" s="4" t="str">
        <f t="array" ref="P259">IF($E259="","", XLOOKUP(SUMIFS(Prod_Prop!$A:$A,Prod_Prop!$B:$B,$E259,Prod_Prop!$H:$H,P$1,Prod_Prop!$I:$I,"Exacto"),Prod_Prop!$A:$A,Prod_Prop!$J:$J,"",0,1))</f>
        <v/>
      </c>
      <c r="Q259" s="4" t="str">
        <f t="array" ref="Q259">IF($E259="","", XLOOKUP(SUMIFS(Prod_Prop!$A:$A,Prod_Prop!$B:$B,$E259,Prod_Prop!$H:$H,Q$1,Prod_Prop!$I:$I,"Exacto"),Prod_Prop!$A:$A,Prod_Prop!$J:$J,"",0,1))</f>
        <v/>
      </c>
      <c r="R259" s="4" t="str">
        <f t="array" ref="R259">IF($E259="","", XLOOKUP(SUMIFS(Prod_Prop!$A:$A,Prod_Prop!$B:$B,$E259,Prod_Prop!$H:$H,R$1,Prod_Prop!$I:$I,"Exacto"),Prod_Prop!$A:$A,Prod_Prop!$J:$J,"",0,1))</f>
        <v/>
      </c>
      <c r="S259" s="4" t="str">
        <f t="array" ref="S259">IF($E259="","", XLOOKUP(SUMIFS(Prod_Prop!$A:$A,Prod_Prop!$B:$B,$E259,Prod_Prop!$H:$H,S$1,Prod_Prop!$I:$I,"Exacto"),Prod_Prop!$A:$A,Prod_Prop!$J:$J,"",0,1))</f>
        <v/>
      </c>
      <c r="T259" s="4" t="str">
        <f t="array" ref="T259">IF($E259="","", XLOOKUP(SUMIFS(Prod_Prop!$A:$A,Prod_Prop!$B:$B,$E259,Prod_Prop!$H:$H,T$1,Prod_Prop!$I:$I,"Exacto"),Prod_Prop!$A:$A,Prod_Prop!$J:$J,"",0,1))</f>
        <v/>
      </c>
      <c r="U259" s="4" t="str">
        <f t="array" ref="U259">IF($E259="","", XLOOKUP(SUMIFS(Prod_Prop!$A:$A,Prod_Prop!$B:$B,$E259,Prod_Prop!$H:$H,U$1,Prod_Prop!$I:$I,"Exacto"),Prod_Prop!$A:$A,Prod_Prop!$J:$J,"",0,1))</f>
        <v/>
      </c>
      <c r="V259" s="4" t="str">
        <f t="array" ref="V259">IF($E259="","", XLOOKUP(SUMIFS(Prod_Prop!$A:$A,Prod_Prop!$B:$B,$E259,Prod_Prop!$H:$H,V$1,Prod_Prop!$I:$I,"Exacto"),Prod_Prop!$A:$A,Prod_Prop!$J:$J,"",0,1))</f>
        <v/>
      </c>
      <c r="X259" s="3" t="str">
        <f>IFERROR(__xludf.DUMMYFUNCTION("IF(D259="""","""",IFERROR(TRANSPOSE(FILTER('Validaciones Cotizador'!U:U,'Validaciones Cotizador'!O:O=D259,'Validaciones Cotizador'!T:T=""x"")),""Finalizar""))"),"")</f>
        <v/>
      </c>
    </row>
    <row r="260">
      <c r="A260" s="2" t="str">
        <f t="array" ref="A260">IF(E260="","",XLOOKUP(D260,'Validaciones Cotizador'!C:C,'Validaciones Cotizador'!A:A,"",0,1))</f>
        <v/>
      </c>
      <c r="B260" s="2" t="str">
        <f t="array" ref="B260">IF(F260="","",XLOOKUP(F260,Productos!E:E,Productos!G:G,"",0,1))</f>
        <v/>
      </c>
      <c r="C260" s="2" t="str">
        <f>IF(A260="","",SUMIFS('Validaciones Cotizador'!B:B,'Validaciones Cotizador'!C:C,D260,'Validaciones Cotizador'!A:A,A260))</f>
        <v/>
      </c>
      <c r="D260" s="4" t="str">
        <f>IFERROR(__xludf.DUMMYFUNCTION("IF(OR(F259=""Finalizar"",F259="""",F259=""Selecciona..""),"""",IF(OR(F259=""-"",INDEX(filter(Familias!F:F,Familias!D:D=A259,Familias!E:E=C259),1)=""O""),D259+1,D259))"),"")</f>
        <v/>
      </c>
      <c r="E260" s="2" t="str">
        <f>IF(OR(F260="",F260="Selecciona.."),"",IF(D260="Implemento",SUMIF(Implementos!B:B,F260,Implementos!A:A),SUMIF(Productos!E:E,F260,Productos!A:A)))</f>
        <v/>
      </c>
      <c r="F260" s="2" t="str">
        <f t="shared" si="2"/>
        <v/>
      </c>
      <c r="G260" s="10" t="str">
        <f t="array" ref="G260">IF(OR(F260="",F260="-",F260="Selecciona..",F260="Finalizar"),"",IF(A260="Rodados",XLOOKUP(B260,'Validaciones Cotizador'!I:I,'Validaciones Cotizador'!J:J,0,0,1),1))</f>
        <v/>
      </c>
      <c r="H260" s="11" t="str">
        <f>IF(OR(F260="",F260="Selecciona.."),"",SUMIF(Precio_Productos!K:K,E260,Precio_Productos!J:J)*G260)</f>
        <v/>
      </c>
      <c r="I260" s="4" t="str">
        <f t="array" ref="I260">IF($E260="","", XLOOKUP(SUMIFS(Prod_Prop!$A:$A,Prod_Prop!$B:$B,$E260,Prod_Prop!$H:$H,I$1,Prod_Prop!$I:$I,"Exacto"),Prod_Prop!$A:$A,Prod_Prop!$J:$J,"",0,1))</f>
        <v/>
      </c>
      <c r="J260" s="4" t="str">
        <f t="array" ref="J260">IF($E260="","", XLOOKUP(SUMIFS(Prod_Prop!$A:$A,Prod_Prop!$B:$B,$E260,Prod_Prop!$H:$H,J$1,Prod_Prop!$I:$I,"Exacto"),Prod_Prop!$A:$A,Prod_Prop!$J:$J,"",0,1))</f>
        <v/>
      </c>
      <c r="K260" s="4" t="str">
        <f t="array" ref="K260">IF($E260="","", XLOOKUP(SUMIFS(Prod_Prop!$A:$A,Prod_Prop!$B:$B,$E260,Prod_Prop!$H:$H,K$1,Prod_Prop!$I:$I,"Exacto"),Prod_Prop!$A:$A,Prod_Prop!$J:$J,"",0,1))</f>
        <v/>
      </c>
      <c r="L260" s="4" t="str">
        <f t="array" ref="L260">IF($E260="","", XLOOKUP(SUMIFS(Prod_Prop!$A:$A,Prod_Prop!$B:$B,$E260,Prod_Prop!$H:$H,L$1,Prod_Prop!$I:$I,"Exacto"),Prod_Prop!$A:$A,Prod_Prop!$J:$J,"",0,1))</f>
        <v/>
      </c>
      <c r="M260" s="4" t="str">
        <f t="array" ref="M260">IF($E260="","", XLOOKUP(SUMIFS(Prod_Prop!$A:$A,Prod_Prop!$B:$B,$E260,Prod_Prop!$H:$H,M$1,Prod_Prop!$I:$I,"Exacto"),Prod_Prop!$A:$A,Prod_Prop!$J:$J,"",0,1))</f>
        <v/>
      </c>
      <c r="N260" s="4" t="str">
        <f t="array" ref="N260">IF($E260="","", XLOOKUP(SUMIFS(Prod_Prop!$A:$A,Prod_Prop!$B:$B,$E260,Prod_Prop!$H:$H,N$1,Prod_Prop!$I:$I,"Exacto"),Prod_Prop!$A:$A,Prod_Prop!$J:$J,"",0,1))</f>
        <v/>
      </c>
      <c r="O260" s="4" t="str">
        <f t="array" ref="O260">IF($E260="","", XLOOKUP(SUMIFS(Prod_Prop!$A:$A,Prod_Prop!$B:$B,$E260,Prod_Prop!$H:$H,O$1,Prod_Prop!$I:$I,"Exacto"),Prod_Prop!$A:$A,Prod_Prop!$J:$J,"",0,1))</f>
        <v/>
      </c>
      <c r="P260" s="4" t="str">
        <f t="array" ref="P260">IF($E260="","", XLOOKUP(SUMIFS(Prod_Prop!$A:$A,Prod_Prop!$B:$B,$E260,Prod_Prop!$H:$H,P$1,Prod_Prop!$I:$I,"Exacto"),Prod_Prop!$A:$A,Prod_Prop!$J:$J,"",0,1))</f>
        <v/>
      </c>
      <c r="Q260" s="4" t="str">
        <f t="array" ref="Q260">IF($E260="","", XLOOKUP(SUMIFS(Prod_Prop!$A:$A,Prod_Prop!$B:$B,$E260,Prod_Prop!$H:$H,Q$1,Prod_Prop!$I:$I,"Exacto"),Prod_Prop!$A:$A,Prod_Prop!$J:$J,"",0,1))</f>
        <v/>
      </c>
      <c r="R260" s="4" t="str">
        <f t="array" ref="R260">IF($E260="","", XLOOKUP(SUMIFS(Prod_Prop!$A:$A,Prod_Prop!$B:$B,$E260,Prod_Prop!$H:$H,R$1,Prod_Prop!$I:$I,"Exacto"),Prod_Prop!$A:$A,Prod_Prop!$J:$J,"",0,1))</f>
        <v/>
      </c>
      <c r="S260" s="4" t="str">
        <f t="array" ref="S260">IF($E260="","", XLOOKUP(SUMIFS(Prod_Prop!$A:$A,Prod_Prop!$B:$B,$E260,Prod_Prop!$H:$H,S$1,Prod_Prop!$I:$I,"Exacto"),Prod_Prop!$A:$A,Prod_Prop!$J:$J,"",0,1))</f>
        <v/>
      </c>
      <c r="T260" s="4" t="str">
        <f t="array" ref="T260">IF($E260="","", XLOOKUP(SUMIFS(Prod_Prop!$A:$A,Prod_Prop!$B:$B,$E260,Prod_Prop!$H:$H,T$1,Prod_Prop!$I:$I,"Exacto"),Prod_Prop!$A:$A,Prod_Prop!$J:$J,"",0,1))</f>
        <v/>
      </c>
      <c r="U260" s="4" t="str">
        <f t="array" ref="U260">IF($E260="","", XLOOKUP(SUMIFS(Prod_Prop!$A:$A,Prod_Prop!$B:$B,$E260,Prod_Prop!$H:$H,U$1,Prod_Prop!$I:$I,"Exacto"),Prod_Prop!$A:$A,Prod_Prop!$J:$J,"",0,1))</f>
        <v/>
      </c>
      <c r="V260" s="4" t="str">
        <f t="array" ref="V260">IF($E260="","", XLOOKUP(SUMIFS(Prod_Prop!$A:$A,Prod_Prop!$B:$B,$E260,Prod_Prop!$H:$H,V$1,Prod_Prop!$I:$I,"Exacto"),Prod_Prop!$A:$A,Prod_Prop!$J:$J,"",0,1))</f>
        <v/>
      </c>
      <c r="X260" s="3" t="str">
        <f>IFERROR(__xludf.DUMMYFUNCTION("IF(D260="""","""",IFERROR(TRANSPOSE(FILTER('Validaciones Cotizador'!U:U,'Validaciones Cotizador'!O:O=D260,'Validaciones Cotizador'!T:T=""x"")),""Finalizar""))"),"")</f>
        <v/>
      </c>
    </row>
    <row r="261">
      <c r="A261" s="2" t="str">
        <f t="array" ref="A261">IF(E261="","",XLOOKUP(D261,'Validaciones Cotizador'!C:C,'Validaciones Cotizador'!A:A,"",0,1))</f>
        <v/>
      </c>
      <c r="B261" s="2" t="str">
        <f t="array" ref="B261">IF(F261="","",XLOOKUP(F261,Productos!E:E,Productos!G:G,"",0,1))</f>
        <v/>
      </c>
      <c r="C261" s="2" t="str">
        <f>IF(A261="","",SUMIFS('Validaciones Cotizador'!B:B,'Validaciones Cotizador'!C:C,D261,'Validaciones Cotizador'!A:A,A261))</f>
        <v/>
      </c>
      <c r="D261" s="4" t="str">
        <f>IFERROR(__xludf.DUMMYFUNCTION("IF(OR(F260=""Finalizar"",F260="""",F260=""Selecciona..""),"""",IF(OR(F260=""-"",INDEX(filter(Familias!F:F,Familias!D:D=A260,Familias!E:E=C260),1)=""O""),D260+1,D260))"),"")</f>
        <v/>
      </c>
      <c r="E261" s="2" t="str">
        <f>IF(OR(F261="",F261="Selecciona.."),"",IF(D261="Implemento",SUMIF(Implementos!B:B,F261,Implementos!A:A),SUMIF(Productos!E:E,F261,Productos!A:A)))</f>
        <v/>
      </c>
      <c r="F261" s="2" t="str">
        <f t="shared" si="2"/>
        <v/>
      </c>
      <c r="G261" s="10" t="str">
        <f t="array" ref="G261">IF(OR(F261="",F261="-",F261="Selecciona..",F261="Finalizar"),"",IF(A261="Rodados",XLOOKUP(B261,'Validaciones Cotizador'!I:I,'Validaciones Cotizador'!J:J,0,0,1),1))</f>
        <v/>
      </c>
      <c r="H261" s="11" t="str">
        <f>IF(OR(F261="",F261="Selecciona.."),"",SUMIF(Precio_Productos!K:K,E261,Precio_Productos!J:J)*G261)</f>
        <v/>
      </c>
      <c r="I261" s="4" t="str">
        <f t="array" ref="I261">IF($E261="","", XLOOKUP(SUMIFS(Prod_Prop!$A:$A,Prod_Prop!$B:$B,$E261,Prod_Prop!$H:$H,I$1,Prod_Prop!$I:$I,"Exacto"),Prod_Prop!$A:$A,Prod_Prop!$J:$J,"",0,1))</f>
        <v/>
      </c>
      <c r="J261" s="4" t="str">
        <f t="array" ref="J261">IF($E261="","", XLOOKUP(SUMIFS(Prod_Prop!$A:$A,Prod_Prop!$B:$B,$E261,Prod_Prop!$H:$H,J$1,Prod_Prop!$I:$I,"Exacto"),Prod_Prop!$A:$A,Prod_Prop!$J:$J,"",0,1))</f>
        <v/>
      </c>
      <c r="K261" s="4" t="str">
        <f t="array" ref="K261">IF($E261="","", XLOOKUP(SUMIFS(Prod_Prop!$A:$A,Prod_Prop!$B:$B,$E261,Prod_Prop!$H:$H,K$1,Prod_Prop!$I:$I,"Exacto"),Prod_Prop!$A:$A,Prod_Prop!$J:$J,"",0,1))</f>
        <v/>
      </c>
      <c r="L261" s="4" t="str">
        <f t="array" ref="L261">IF($E261="","", XLOOKUP(SUMIFS(Prod_Prop!$A:$A,Prod_Prop!$B:$B,$E261,Prod_Prop!$H:$H,L$1,Prod_Prop!$I:$I,"Exacto"),Prod_Prop!$A:$A,Prod_Prop!$J:$J,"",0,1))</f>
        <v/>
      </c>
      <c r="M261" s="4" t="str">
        <f t="array" ref="M261">IF($E261="","", XLOOKUP(SUMIFS(Prod_Prop!$A:$A,Prod_Prop!$B:$B,$E261,Prod_Prop!$H:$H,M$1,Prod_Prop!$I:$I,"Exacto"),Prod_Prop!$A:$A,Prod_Prop!$J:$J,"",0,1))</f>
        <v/>
      </c>
      <c r="N261" s="4" t="str">
        <f t="array" ref="N261">IF($E261="","", XLOOKUP(SUMIFS(Prod_Prop!$A:$A,Prod_Prop!$B:$B,$E261,Prod_Prop!$H:$H,N$1,Prod_Prop!$I:$I,"Exacto"),Prod_Prop!$A:$A,Prod_Prop!$J:$J,"",0,1))</f>
        <v/>
      </c>
      <c r="O261" s="4" t="str">
        <f t="array" ref="O261">IF($E261="","", XLOOKUP(SUMIFS(Prod_Prop!$A:$A,Prod_Prop!$B:$B,$E261,Prod_Prop!$H:$H,O$1,Prod_Prop!$I:$I,"Exacto"),Prod_Prop!$A:$A,Prod_Prop!$J:$J,"",0,1))</f>
        <v/>
      </c>
      <c r="P261" s="4" t="str">
        <f t="array" ref="P261">IF($E261="","", XLOOKUP(SUMIFS(Prod_Prop!$A:$A,Prod_Prop!$B:$B,$E261,Prod_Prop!$H:$H,P$1,Prod_Prop!$I:$I,"Exacto"),Prod_Prop!$A:$A,Prod_Prop!$J:$J,"",0,1))</f>
        <v/>
      </c>
      <c r="Q261" s="4" t="str">
        <f t="array" ref="Q261">IF($E261="","", XLOOKUP(SUMIFS(Prod_Prop!$A:$A,Prod_Prop!$B:$B,$E261,Prod_Prop!$H:$H,Q$1,Prod_Prop!$I:$I,"Exacto"),Prod_Prop!$A:$A,Prod_Prop!$J:$J,"",0,1))</f>
        <v/>
      </c>
      <c r="R261" s="4" t="str">
        <f t="array" ref="R261">IF($E261="","", XLOOKUP(SUMIFS(Prod_Prop!$A:$A,Prod_Prop!$B:$B,$E261,Prod_Prop!$H:$H,R$1,Prod_Prop!$I:$I,"Exacto"),Prod_Prop!$A:$A,Prod_Prop!$J:$J,"",0,1))</f>
        <v/>
      </c>
      <c r="S261" s="4" t="str">
        <f t="array" ref="S261">IF($E261="","", XLOOKUP(SUMIFS(Prod_Prop!$A:$A,Prod_Prop!$B:$B,$E261,Prod_Prop!$H:$H,S$1,Prod_Prop!$I:$I,"Exacto"),Prod_Prop!$A:$A,Prod_Prop!$J:$J,"",0,1))</f>
        <v/>
      </c>
      <c r="T261" s="4" t="str">
        <f t="array" ref="T261">IF($E261="","", XLOOKUP(SUMIFS(Prod_Prop!$A:$A,Prod_Prop!$B:$B,$E261,Prod_Prop!$H:$H,T$1,Prod_Prop!$I:$I,"Exacto"),Prod_Prop!$A:$A,Prod_Prop!$J:$J,"",0,1))</f>
        <v/>
      </c>
      <c r="U261" s="4" t="str">
        <f t="array" ref="U261">IF($E261="","", XLOOKUP(SUMIFS(Prod_Prop!$A:$A,Prod_Prop!$B:$B,$E261,Prod_Prop!$H:$H,U$1,Prod_Prop!$I:$I,"Exacto"),Prod_Prop!$A:$A,Prod_Prop!$J:$J,"",0,1))</f>
        <v/>
      </c>
      <c r="V261" s="4" t="str">
        <f t="array" ref="V261">IF($E261="","", XLOOKUP(SUMIFS(Prod_Prop!$A:$A,Prod_Prop!$B:$B,$E261,Prod_Prop!$H:$H,V$1,Prod_Prop!$I:$I,"Exacto"),Prod_Prop!$A:$A,Prod_Prop!$J:$J,"",0,1))</f>
        <v/>
      </c>
      <c r="X261" s="3" t="str">
        <f>IFERROR(__xludf.DUMMYFUNCTION("IF(D261="""","""",IFERROR(TRANSPOSE(FILTER('Validaciones Cotizador'!U:U,'Validaciones Cotizador'!O:O=D261,'Validaciones Cotizador'!T:T=""x"")),""Finalizar""))"),"")</f>
        <v/>
      </c>
    </row>
    <row r="262">
      <c r="A262" s="2" t="str">
        <f t="array" ref="A262">IF(E262="","",XLOOKUP(D262,'Validaciones Cotizador'!C:C,'Validaciones Cotizador'!A:A,"",0,1))</f>
        <v/>
      </c>
      <c r="B262" s="2" t="str">
        <f t="array" ref="B262">IF(F262="","",XLOOKUP(F262,Productos!E:E,Productos!G:G,"",0,1))</f>
        <v/>
      </c>
      <c r="C262" s="2" t="str">
        <f>IF(A262="","",SUMIFS('Validaciones Cotizador'!B:B,'Validaciones Cotizador'!C:C,D262,'Validaciones Cotizador'!A:A,A262))</f>
        <v/>
      </c>
      <c r="D262" s="4" t="str">
        <f>IFERROR(__xludf.DUMMYFUNCTION("IF(OR(F261=""Finalizar"",F261="""",F261=""Selecciona..""),"""",IF(OR(F261=""-"",INDEX(filter(Familias!F:F,Familias!D:D=A261,Familias!E:E=C261),1)=""O""),D261+1,D261))"),"")</f>
        <v/>
      </c>
      <c r="E262" s="2" t="str">
        <f>IF(OR(F262="",F262="Selecciona.."),"",IF(D262="Implemento",SUMIF(Implementos!B:B,F262,Implementos!A:A),SUMIF(Productos!E:E,F262,Productos!A:A)))</f>
        <v/>
      </c>
      <c r="F262" s="2" t="str">
        <f t="shared" si="2"/>
        <v/>
      </c>
      <c r="G262" s="10" t="str">
        <f t="array" ref="G262">IF(OR(F262="",F262="-",F262="Selecciona..",F262="Finalizar"),"",IF(A262="Rodados",XLOOKUP(B262,'Validaciones Cotizador'!I:I,'Validaciones Cotizador'!J:J,0,0,1),1))</f>
        <v/>
      </c>
      <c r="H262" s="11" t="str">
        <f>IF(OR(F262="",F262="Selecciona.."),"",SUMIF(Precio_Productos!K:K,E262,Precio_Productos!J:J)*G262)</f>
        <v/>
      </c>
      <c r="I262" s="4" t="str">
        <f t="array" ref="I262">IF($E262="","", XLOOKUP(SUMIFS(Prod_Prop!$A:$A,Prod_Prop!$B:$B,$E262,Prod_Prop!$H:$H,I$1,Prod_Prop!$I:$I,"Exacto"),Prod_Prop!$A:$A,Prod_Prop!$J:$J,"",0,1))</f>
        <v/>
      </c>
      <c r="J262" s="4" t="str">
        <f t="array" ref="J262">IF($E262="","", XLOOKUP(SUMIFS(Prod_Prop!$A:$A,Prod_Prop!$B:$B,$E262,Prod_Prop!$H:$H,J$1,Prod_Prop!$I:$I,"Exacto"),Prod_Prop!$A:$A,Prod_Prop!$J:$J,"",0,1))</f>
        <v/>
      </c>
      <c r="K262" s="4" t="str">
        <f t="array" ref="K262">IF($E262="","", XLOOKUP(SUMIFS(Prod_Prop!$A:$A,Prod_Prop!$B:$B,$E262,Prod_Prop!$H:$H,K$1,Prod_Prop!$I:$I,"Exacto"),Prod_Prop!$A:$A,Prod_Prop!$J:$J,"",0,1))</f>
        <v/>
      </c>
      <c r="L262" s="4" t="str">
        <f t="array" ref="L262">IF($E262="","", XLOOKUP(SUMIFS(Prod_Prop!$A:$A,Prod_Prop!$B:$B,$E262,Prod_Prop!$H:$H,L$1,Prod_Prop!$I:$I,"Exacto"),Prod_Prop!$A:$A,Prod_Prop!$J:$J,"",0,1))</f>
        <v/>
      </c>
      <c r="M262" s="4" t="str">
        <f t="array" ref="M262">IF($E262="","", XLOOKUP(SUMIFS(Prod_Prop!$A:$A,Prod_Prop!$B:$B,$E262,Prod_Prop!$H:$H,M$1,Prod_Prop!$I:$I,"Exacto"),Prod_Prop!$A:$A,Prod_Prop!$J:$J,"",0,1))</f>
        <v/>
      </c>
      <c r="N262" s="4" t="str">
        <f t="array" ref="N262">IF($E262="","", XLOOKUP(SUMIFS(Prod_Prop!$A:$A,Prod_Prop!$B:$B,$E262,Prod_Prop!$H:$H,N$1,Prod_Prop!$I:$I,"Exacto"),Prod_Prop!$A:$A,Prod_Prop!$J:$J,"",0,1))</f>
        <v/>
      </c>
      <c r="O262" s="4" t="str">
        <f t="array" ref="O262">IF($E262="","", XLOOKUP(SUMIFS(Prod_Prop!$A:$A,Prod_Prop!$B:$B,$E262,Prod_Prop!$H:$H,O$1,Prod_Prop!$I:$I,"Exacto"),Prod_Prop!$A:$A,Prod_Prop!$J:$J,"",0,1))</f>
        <v/>
      </c>
      <c r="P262" s="4" t="str">
        <f t="array" ref="P262">IF($E262="","", XLOOKUP(SUMIFS(Prod_Prop!$A:$A,Prod_Prop!$B:$B,$E262,Prod_Prop!$H:$H,P$1,Prod_Prop!$I:$I,"Exacto"),Prod_Prop!$A:$A,Prod_Prop!$J:$J,"",0,1))</f>
        <v/>
      </c>
      <c r="Q262" s="4" t="str">
        <f t="array" ref="Q262">IF($E262="","", XLOOKUP(SUMIFS(Prod_Prop!$A:$A,Prod_Prop!$B:$B,$E262,Prod_Prop!$H:$H,Q$1,Prod_Prop!$I:$I,"Exacto"),Prod_Prop!$A:$A,Prod_Prop!$J:$J,"",0,1))</f>
        <v/>
      </c>
      <c r="R262" s="4" t="str">
        <f t="array" ref="R262">IF($E262="","", XLOOKUP(SUMIFS(Prod_Prop!$A:$A,Prod_Prop!$B:$B,$E262,Prod_Prop!$H:$H,R$1,Prod_Prop!$I:$I,"Exacto"),Prod_Prop!$A:$A,Prod_Prop!$J:$J,"",0,1))</f>
        <v/>
      </c>
      <c r="S262" s="4" t="str">
        <f t="array" ref="S262">IF($E262="","", XLOOKUP(SUMIFS(Prod_Prop!$A:$A,Prod_Prop!$B:$B,$E262,Prod_Prop!$H:$H,S$1,Prod_Prop!$I:$I,"Exacto"),Prod_Prop!$A:$A,Prod_Prop!$J:$J,"",0,1))</f>
        <v/>
      </c>
      <c r="T262" s="4" t="str">
        <f t="array" ref="T262">IF($E262="","", XLOOKUP(SUMIFS(Prod_Prop!$A:$A,Prod_Prop!$B:$B,$E262,Prod_Prop!$H:$H,T$1,Prod_Prop!$I:$I,"Exacto"),Prod_Prop!$A:$A,Prod_Prop!$J:$J,"",0,1))</f>
        <v/>
      </c>
      <c r="U262" s="4" t="str">
        <f t="array" ref="U262">IF($E262="","", XLOOKUP(SUMIFS(Prod_Prop!$A:$A,Prod_Prop!$B:$B,$E262,Prod_Prop!$H:$H,U$1,Prod_Prop!$I:$I,"Exacto"),Prod_Prop!$A:$A,Prod_Prop!$J:$J,"",0,1))</f>
        <v/>
      </c>
      <c r="V262" s="4" t="str">
        <f t="array" ref="V262">IF($E262="","", XLOOKUP(SUMIFS(Prod_Prop!$A:$A,Prod_Prop!$B:$B,$E262,Prod_Prop!$H:$H,V$1,Prod_Prop!$I:$I,"Exacto"),Prod_Prop!$A:$A,Prod_Prop!$J:$J,"",0,1))</f>
        <v/>
      </c>
      <c r="X262" s="3" t="str">
        <f>IFERROR(__xludf.DUMMYFUNCTION("IF(D262="""","""",IFERROR(TRANSPOSE(FILTER('Validaciones Cotizador'!U:U,'Validaciones Cotizador'!O:O=D262,'Validaciones Cotizador'!T:T=""x"")),""Finalizar""))"),"")</f>
        <v/>
      </c>
    </row>
    <row r="263">
      <c r="A263" s="2" t="str">
        <f t="array" ref="A263">IF(E263="","",XLOOKUP(D263,'Validaciones Cotizador'!C:C,'Validaciones Cotizador'!A:A,"",0,1))</f>
        <v/>
      </c>
      <c r="B263" s="2" t="str">
        <f t="array" ref="B263">IF(F263="","",XLOOKUP(F263,Productos!E:E,Productos!G:G,"",0,1))</f>
        <v/>
      </c>
      <c r="C263" s="2" t="str">
        <f>IF(A263="","",SUMIFS('Validaciones Cotizador'!B:B,'Validaciones Cotizador'!C:C,D263,'Validaciones Cotizador'!A:A,A263))</f>
        <v/>
      </c>
      <c r="D263" s="4" t="str">
        <f>IFERROR(__xludf.DUMMYFUNCTION("IF(OR(F262=""Finalizar"",F262="""",F262=""Selecciona..""),"""",IF(OR(F262=""-"",INDEX(filter(Familias!F:F,Familias!D:D=A262,Familias!E:E=C262),1)=""O""),D262+1,D262))"),"")</f>
        <v/>
      </c>
      <c r="E263" s="2" t="str">
        <f>IF(OR(F263="",F263="Selecciona.."),"",IF(D263="Implemento",SUMIF(Implementos!B:B,F263,Implementos!A:A),SUMIF(Productos!E:E,F263,Productos!A:A)))</f>
        <v/>
      </c>
      <c r="F263" s="2" t="str">
        <f t="shared" si="2"/>
        <v/>
      </c>
      <c r="G263" s="10" t="str">
        <f t="array" ref="G263">IF(OR(F263="",F263="-",F263="Selecciona..",F263="Finalizar"),"",IF(A263="Rodados",XLOOKUP(B263,'Validaciones Cotizador'!I:I,'Validaciones Cotizador'!J:J,0,0,1),1))</f>
        <v/>
      </c>
      <c r="H263" s="11" t="str">
        <f>IF(OR(F263="",F263="Selecciona.."),"",SUMIF(Precio_Productos!K:K,E263,Precio_Productos!J:J)*G263)</f>
        <v/>
      </c>
      <c r="I263" s="4" t="str">
        <f t="array" ref="I263">IF($E263="","", XLOOKUP(SUMIFS(Prod_Prop!$A:$A,Prod_Prop!$B:$B,$E263,Prod_Prop!$H:$H,I$1,Prod_Prop!$I:$I,"Exacto"),Prod_Prop!$A:$A,Prod_Prop!$J:$J,"",0,1))</f>
        <v/>
      </c>
      <c r="J263" s="4" t="str">
        <f t="array" ref="J263">IF($E263="","", XLOOKUP(SUMIFS(Prod_Prop!$A:$A,Prod_Prop!$B:$B,$E263,Prod_Prop!$H:$H,J$1,Prod_Prop!$I:$I,"Exacto"),Prod_Prop!$A:$A,Prod_Prop!$J:$J,"",0,1))</f>
        <v/>
      </c>
      <c r="K263" s="4" t="str">
        <f t="array" ref="K263">IF($E263="","", XLOOKUP(SUMIFS(Prod_Prop!$A:$A,Prod_Prop!$B:$B,$E263,Prod_Prop!$H:$H,K$1,Prod_Prop!$I:$I,"Exacto"),Prod_Prop!$A:$A,Prod_Prop!$J:$J,"",0,1))</f>
        <v/>
      </c>
      <c r="L263" s="4" t="str">
        <f t="array" ref="L263">IF($E263="","", XLOOKUP(SUMIFS(Prod_Prop!$A:$A,Prod_Prop!$B:$B,$E263,Prod_Prop!$H:$H,L$1,Prod_Prop!$I:$I,"Exacto"),Prod_Prop!$A:$A,Prod_Prop!$J:$J,"",0,1))</f>
        <v/>
      </c>
      <c r="M263" s="4" t="str">
        <f t="array" ref="M263">IF($E263="","", XLOOKUP(SUMIFS(Prod_Prop!$A:$A,Prod_Prop!$B:$B,$E263,Prod_Prop!$H:$H,M$1,Prod_Prop!$I:$I,"Exacto"),Prod_Prop!$A:$A,Prod_Prop!$J:$J,"",0,1))</f>
        <v/>
      </c>
      <c r="N263" s="4" t="str">
        <f t="array" ref="N263">IF($E263="","", XLOOKUP(SUMIFS(Prod_Prop!$A:$A,Prod_Prop!$B:$B,$E263,Prod_Prop!$H:$H,N$1,Prod_Prop!$I:$I,"Exacto"),Prod_Prop!$A:$A,Prod_Prop!$J:$J,"",0,1))</f>
        <v/>
      </c>
      <c r="O263" s="4" t="str">
        <f t="array" ref="O263">IF($E263="","", XLOOKUP(SUMIFS(Prod_Prop!$A:$A,Prod_Prop!$B:$B,$E263,Prod_Prop!$H:$H,O$1,Prod_Prop!$I:$I,"Exacto"),Prod_Prop!$A:$A,Prod_Prop!$J:$J,"",0,1))</f>
        <v/>
      </c>
      <c r="P263" s="4" t="str">
        <f t="array" ref="P263">IF($E263="","", XLOOKUP(SUMIFS(Prod_Prop!$A:$A,Prod_Prop!$B:$B,$E263,Prod_Prop!$H:$H,P$1,Prod_Prop!$I:$I,"Exacto"),Prod_Prop!$A:$A,Prod_Prop!$J:$J,"",0,1))</f>
        <v/>
      </c>
      <c r="Q263" s="4" t="str">
        <f t="array" ref="Q263">IF($E263="","", XLOOKUP(SUMIFS(Prod_Prop!$A:$A,Prod_Prop!$B:$B,$E263,Prod_Prop!$H:$H,Q$1,Prod_Prop!$I:$I,"Exacto"),Prod_Prop!$A:$A,Prod_Prop!$J:$J,"",0,1))</f>
        <v/>
      </c>
      <c r="R263" s="4" t="str">
        <f t="array" ref="R263">IF($E263="","", XLOOKUP(SUMIFS(Prod_Prop!$A:$A,Prod_Prop!$B:$B,$E263,Prod_Prop!$H:$H,R$1,Prod_Prop!$I:$I,"Exacto"),Prod_Prop!$A:$A,Prod_Prop!$J:$J,"",0,1))</f>
        <v/>
      </c>
      <c r="S263" s="4" t="str">
        <f t="array" ref="S263">IF($E263="","", XLOOKUP(SUMIFS(Prod_Prop!$A:$A,Prod_Prop!$B:$B,$E263,Prod_Prop!$H:$H,S$1,Prod_Prop!$I:$I,"Exacto"),Prod_Prop!$A:$A,Prod_Prop!$J:$J,"",0,1))</f>
        <v/>
      </c>
      <c r="T263" s="4" t="str">
        <f t="array" ref="T263">IF($E263="","", XLOOKUP(SUMIFS(Prod_Prop!$A:$A,Prod_Prop!$B:$B,$E263,Prod_Prop!$H:$H,T$1,Prod_Prop!$I:$I,"Exacto"),Prod_Prop!$A:$A,Prod_Prop!$J:$J,"",0,1))</f>
        <v/>
      </c>
      <c r="U263" s="4" t="str">
        <f t="array" ref="U263">IF($E263="","", XLOOKUP(SUMIFS(Prod_Prop!$A:$A,Prod_Prop!$B:$B,$E263,Prod_Prop!$H:$H,U$1,Prod_Prop!$I:$I,"Exacto"),Prod_Prop!$A:$A,Prod_Prop!$J:$J,"",0,1))</f>
        <v/>
      </c>
      <c r="V263" s="4" t="str">
        <f t="array" ref="V263">IF($E263="","", XLOOKUP(SUMIFS(Prod_Prop!$A:$A,Prod_Prop!$B:$B,$E263,Prod_Prop!$H:$H,V$1,Prod_Prop!$I:$I,"Exacto"),Prod_Prop!$A:$A,Prod_Prop!$J:$J,"",0,1))</f>
        <v/>
      </c>
      <c r="X263" s="3" t="str">
        <f>IFERROR(__xludf.DUMMYFUNCTION("IF(D263="""","""",IFERROR(TRANSPOSE(FILTER('Validaciones Cotizador'!U:U,'Validaciones Cotizador'!O:O=D263,'Validaciones Cotizador'!T:T=""x"")),""Finalizar""))"),"")</f>
        <v/>
      </c>
    </row>
    <row r="264">
      <c r="A264" s="2" t="str">
        <f t="array" ref="A264">IF(E264="","",XLOOKUP(D264,'Validaciones Cotizador'!C:C,'Validaciones Cotizador'!A:A,"",0,1))</f>
        <v/>
      </c>
      <c r="B264" s="2" t="str">
        <f t="array" ref="B264">IF(F264="","",XLOOKUP(F264,Productos!E:E,Productos!G:G,"",0,1))</f>
        <v/>
      </c>
      <c r="C264" s="2" t="str">
        <f>IF(A264="","",SUMIFS('Validaciones Cotizador'!B:B,'Validaciones Cotizador'!C:C,D264,'Validaciones Cotizador'!A:A,A264))</f>
        <v/>
      </c>
      <c r="D264" s="4" t="str">
        <f>IFERROR(__xludf.DUMMYFUNCTION("IF(OR(F263=""Finalizar"",F263="""",F263=""Selecciona..""),"""",IF(OR(F263=""-"",INDEX(filter(Familias!F:F,Familias!D:D=A263,Familias!E:E=C263),1)=""O""),D263+1,D263))"),"")</f>
        <v/>
      </c>
      <c r="E264" s="2" t="str">
        <f>IF(OR(F264="",F264="Selecciona.."),"",IF(D264="Implemento",SUMIF(Implementos!B:B,F264,Implementos!A:A),SUMIF(Productos!E:E,F264,Productos!A:A)))</f>
        <v/>
      </c>
      <c r="F264" s="2" t="str">
        <f t="shared" si="2"/>
        <v/>
      </c>
      <c r="G264" s="10" t="str">
        <f t="array" ref="G264">IF(OR(F264="",F264="-",F264="Selecciona..",F264="Finalizar"),"",IF(A264="Rodados",XLOOKUP(B264,'Validaciones Cotizador'!I:I,'Validaciones Cotizador'!J:J,0,0,1),1))</f>
        <v/>
      </c>
      <c r="H264" s="11" t="str">
        <f>IF(OR(F264="",F264="Selecciona.."),"",SUMIF(Precio_Productos!K:K,E264,Precio_Productos!J:J)*G264)</f>
        <v/>
      </c>
      <c r="I264" s="4" t="str">
        <f t="array" ref="I264">IF($E264="","", XLOOKUP(SUMIFS(Prod_Prop!$A:$A,Prod_Prop!$B:$B,$E264,Prod_Prop!$H:$H,I$1,Prod_Prop!$I:$I,"Exacto"),Prod_Prop!$A:$A,Prod_Prop!$J:$J,"",0,1))</f>
        <v/>
      </c>
      <c r="J264" s="4" t="str">
        <f t="array" ref="J264">IF($E264="","", XLOOKUP(SUMIFS(Prod_Prop!$A:$A,Prod_Prop!$B:$B,$E264,Prod_Prop!$H:$H,J$1,Prod_Prop!$I:$I,"Exacto"),Prod_Prop!$A:$A,Prod_Prop!$J:$J,"",0,1))</f>
        <v/>
      </c>
      <c r="K264" s="4" t="str">
        <f t="array" ref="K264">IF($E264="","", XLOOKUP(SUMIFS(Prod_Prop!$A:$A,Prod_Prop!$B:$B,$E264,Prod_Prop!$H:$H,K$1,Prod_Prop!$I:$I,"Exacto"),Prod_Prop!$A:$A,Prod_Prop!$J:$J,"",0,1))</f>
        <v/>
      </c>
      <c r="L264" s="4" t="str">
        <f t="array" ref="L264">IF($E264="","", XLOOKUP(SUMIFS(Prod_Prop!$A:$A,Prod_Prop!$B:$B,$E264,Prod_Prop!$H:$H,L$1,Prod_Prop!$I:$I,"Exacto"),Prod_Prop!$A:$A,Prod_Prop!$J:$J,"",0,1))</f>
        <v/>
      </c>
      <c r="M264" s="4" t="str">
        <f t="array" ref="M264">IF($E264="","", XLOOKUP(SUMIFS(Prod_Prop!$A:$A,Prod_Prop!$B:$B,$E264,Prod_Prop!$H:$H,M$1,Prod_Prop!$I:$I,"Exacto"),Prod_Prop!$A:$A,Prod_Prop!$J:$J,"",0,1))</f>
        <v/>
      </c>
      <c r="N264" s="4" t="str">
        <f t="array" ref="N264">IF($E264="","", XLOOKUP(SUMIFS(Prod_Prop!$A:$A,Prod_Prop!$B:$B,$E264,Prod_Prop!$H:$H,N$1,Prod_Prop!$I:$I,"Exacto"),Prod_Prop!$A:$A,Prod_Prop!$J:$J,"",0,1))</f>
        <v/>
      </c>
      <c r="O264" s="4" t="str">
        <f t="array" ref="O264">IF($E264="","", XLOOKUP(SUMIFS(Prod_Prop!$A:$A,Prod_Prop!$B:$B,$E264,Prod_Prop!$H:$H,O$1,Prod_Prop!$I:$I,"Exacto"),Prod_Prop!$A:$A,Prod_Prop!$J:$J,"",0,1))</f>
        <v/>
      </c>
      <c r="P264" s="4" t="str">
        <f t="array" ref="P264">IF($E264="","", XLOOKUP(SUMIFS(Prod_Prop!$A:$A,Prod_Prop!$B:$B,$E264,Prod_Prop!$H:$H,P$1,Prod_Prop!$I:$I,"Exacto"),Prod_Prop!$A:$A,Prod_Prop!$J:$J,"",0,1))</f>
        <v/>
      </c>
      <c r="Q264" s="4" t="str">
        <f t="array" ref="Q264">IF($E264="","", XLOOKUP(SUMIFS(Prod_Prop!$A:$A,Prod_Prop!$B:$B,$E264,Prod_Prop!$H:$H,Q$1,Prod_Prop!$I:$I,"Exacto"),Prod_Prop!$A:$A,Prod_Prop!$J:$J,"",0,1))</f>
        <v/>
      </c>
      <c r="R264" s="4" t="str">
        <f t="array" ref="R264">IF($E264="","", XLOOKUP(SUMIFS(Prod_Prop!$A:$A,Prod_Prop!$B:$B,$E264,Prod_Prop!$H:$H,R$1,Prod_Prop!$I:$I,"Exacto"),Prod_Prop!$A:$A,Prod_Prop!$J:$J,"",0,1))</f>
        <v/>
      </c>
      <c r="S264" s="4" t="str">
        <f t="array" ref="S264">IF($E264="","", XLOOKUP(SUMIFS(Prod_Prop!$A:$A,Prod_Prop!$B:$B,$E264,Prod_Prop!$H:$H,S$1,Prod_Prop!$I:$I,"Exacto"),Prod_Prop!$A:$A,Prod_Prop!$J:$J,"",0,1))</f>
        <v/>
      </c>
      <c r="T264" s="4" t="str">
        <f t="array" ref="T264">IF($E264="","", XLOOKUP(SUMIFS(Prod_Prop!$A:$A,Prod_Prop!$B:$B,$E264,Prod_Prop!$H:$H,T$1,Prod_Prop!$I:$I,"Exacto"),Prod_Prop!$A:$A,Prod_Prop!$J:$J,"",0,1))</f>
        <v/>
      </c>
      <c r="U264" s="4" t="str">
        <f t="array" ref="U264">IF($E264="","", XLOOKUP(SUMIFS(Prod_Prop!$A:$A,Prod_Prop!$B:$B,$E264,Prod_Prop!$H:$H,U$1,Prod_Prop!$I:$I,"Exacto"),Prod_Prop!$A:$A,Prod_Prop!$J:$J,"",0,1))</f>
        <v/>
      </c>
      <c r="V264" s="4" t="str">
        <f t="array" ref="V264">IF($E264="","", XLOOKUP(SUMIFS(Prod_Prop!$A:$A,Prod_Prop!$B:$B,$E264,Prod_Prop!$H:$H,V$1,Prod_Prop!$I:$I,"Exacto"),Prod_Prop!$A:$A,Prod_Prop!$J:$J,"",0,1))</f>
        <v/>
      </c>
      <c r="X264" s="3" t="str">
        <f>IFERROR(__xludf.DUMMYFUNCTION("IF(D264="""","""",IFERROR(TRANSPOSE(FILTER('Validaciones Cotizador'!U:U,'Validaciones Cotizador'!O:O=D264,'Validaciones Cotizador'!T:T=""x"")),""Finalizar""))"),"")</f>
        <v/>
      </c>
    </row>
    <row r="265">
      <c r="A265" s="2" t="str">
        <f t="array" ref="A265">IF(E265="","",XLOOKUP(D265,'Validaciones Cotizador'!C:C,'Validaciones Cotizador'!A:A,"",0,1))</f>
        <v/>
      </c>
      <c r="B265" s="2" t="str">
        <f t="array" ref="B265">IF(F265="","",XLOOKUP(F265,Productos!E:E,Productos!G:G,"",0,1))</f>
        <v/>
      </c>
      <c r="C265" s="2" t="str">
        <f>IF(A265="","",SUMIFS('Validaciones Cotizador'!B:B,'Validaciones Cotizador'!C:C,D265,'Validaciones Cotizador'!A:A,A265))</f>
        <v/>
      </c>
      <c r="D265" s="4" t="str">
        <f>IFERROR(__xludf.DUMMYFUNCTION("IF(OR(F264=""Finalizar"",F264="""",F264=""Selecciona..""),"""",IF(OR(F264=""-"",INDEX(filter(Familias!F:F,Familias!D:D=A264,Familias!E:E=C264),1)=""O""),D264+1,D264))"),"")</f>
        <v/>
      </c>
      <c r="E265" s="2" t="str">
        <f>IF(OR(F265="",F265="Selecciona.."),"",IF(D265="Implemento",SUMIF(Implementos!B:B,F265,Implementos!A:A),SUMIF(Productos!E:E,F265,Productos!A:A)))</f>
        <v/>
      </c>
      <c r="F265" s="2" t="str">
        <f t="shared" si="2"/>
        <v/>
      </c>
      <c r="G265" s="10" t="str">
        <f t="array" ref="G265">IF(OR(F265="",F265="-",F265="Selecciona..",F265="Finalizar"),"",IF(A265="Rodados",XLOOKUP(B265,'Validaciones Cotizador'!I:I,'Validaciones Cotizador'!J:J,0,0,1),1))</f>
        <v/>
      </c>
      <c r="H265" s="11" t="str">
        <f>IF(OR(F265="",F265="Selecciona.."),"",SUMIF(Precio_Productos!K:K,E265,Precio_Productos!J:J)*G265)</f>
        <v/>
      </c>
      <c r="I265" s="4" t="str">
        <f t="array" ref="I265">IF($E265="","", XLOOKUP(SUMIFS(Prod_Prop!$A:$A,Prod_Prop!$B:$B,$E265,Prod_Prop!$H:$H,I$1,Prod_Prop!$I:$I,"Exacto"),Prod_Prop!$A:$A,Prod_Prop!$J:$J,"",0,1))</f>
        <v/>
      </c>
      <c r="J265" s="4" t="str">
        <f t="array" ref="J265">IF($E265="","", XLOOKUP(SUMIFS(Prod_Prop!$A:$A,Prod_Prop!$B:$B,$E265,Prod_Prop!$H:$H,J$1,Prod_Prop!$I:$I,"Exacto"),Prod_Prop!$A:$A,Prod_Prop!$J:$J,"",0,1))</f>
        <v/>
      </c>
      <c r="K265" s="4" t="str">
        <f t="array" ref="K265">IF($E265="","", XLOOKUP(SUMIFS(Prod_Prop!$A:$A,Prod_Prop!$B:$B,$E265,Prod_Prop!$H:$H,K$1,Prod_Prop!$I:$I,"Exacto"),Prod_Prop!$A:$A,Prod_Prop!$J:$J,"",0,1))</f>
        <v/>
      </c>
      <c r="L265" s="4" t="str">
        <f t="array" ref="L265">IF($E265="","", XLOOKUP(SUMIFS(Prod_Prop!$A:$A,Prod_Prop!$B:$B,$E265,Prod_Prop!$H:$H,L$1,Prod_Prop!$I:$I,"Exacto"),Prod_Prop!$A:$A,Prod_Prop!$J:$J,"",0,1))</f>
        <v/>
      </c>
      <c r="M265" s="4" t="str">
        <f t="array" ref="M265">IF($E265="","", XLOOKUP(SUMIFS(Prod_Prop!$A:$A,Prod_Prop!$B:$B,$E265,Prod_Prop!$H:$H,M$1,Prod_Prop!$I:$I,"Exacto"),Prod_Prop!$A:$A,Prod_Prop!$J:$J,"",0,1))</f>
        <v/>
      </c>
      <c r="N265" s="4" t="str">
        <f t="array" ref="N265">IF($E265="","", XLOOKUP(SUMIFS(Prod_Prop!$A:$A,Prod_Prop!$B:$B,$E265,Prod_Prop!$H:$H,N$1,Prod_Prop!$I:$I,"Exacto"),Prod_Prop!$A:$A,Prod_Prop!$J:$J,"",0,1))</f>
        <v/>
      </c>
      <c r="O265" s="4" t="str">
        <f t="array" ref="O265">IF($E265="","", XLOOKUP(SUMIFS(Prod_Prop!$A:$A,Prod_Prop!$B:$B,$E265,Prod_Prop!$H:$H,O$1,Prod_Prop!$I:$I,"Exacto"),Prod_Prop!$A:$A,Prod_Prop!$J:$J,"",0,1))</f>
        <v/>
      </c>
      <c r="P265" s="4" t="str">
        <f t="array" ref="P265">IF($E265="","", XLOOKUP(SUMIFS(Prod_Prop!$A:$A,Prod_Prop!$B:$B,$E265,Prod_Prop!$H:$H,P$1,Prod_Prop!$I:$I,"Exacto"),Prod_Prop!$A:$A,Prod_Prop!$J:$J,"",0,1))</f>
        <v/>
      </c>
      <c r="Q265" s="4" t="str">
        <f t="array" ref="Q265">IF($E265="","", XLOOKUP(SUMIFS(Prod_Prop!$A:$A,Prod_Prop!$B:$B,$E265,Prod_Prop!$H:$H,Q$1,Prod_Prop!$I:$I,"Exacto"),Prod_Prop!$A:$A,Prod_Prop!$J:$J,"",0,1))</f>
        <v/>
      </c>
      <c r="R265" s="4" t="str">
        <f t="array" ref="R265">IF($E265="","", XLOOKUP(SUMIFS(Prod_Prop!$A:$A,Prod_Prop!$B:$B,$E265,Prod_Prop!$H:$H,R$1,Prod_Prop!$I:$I,"Exacto"),Prod_Prop!$A:$A,Prod_Prop!$J:$J,"",0,1))</f>
        <v/>
      </c>
      <c r="S265" s="4" t="str">
        <f t="array" ref="S265">IF($E265="","", XLOOKUP(SUMIFS(Prod_Prop!$A:$A,Prod_Prop!$B:$B,$E265,Prod_Prop!$H:$H,S$1,Prod_Prop!$I:$I,"Exacto"),Prod_Prop!$A:$A,Prod_Prop!$J:$J,"",0,1))</f>
        <v/>
      </c>
      <c r="T265" s="4" t="str">
        <f t="array" ref="T265">IF($E265="","", XLOOKUP(SUMIFS(Prod_Prop!$A:$A,Prod_Prop!$B:$B,$E265,Prod_Prop!$H:$H,T$1,Prod_Prop!$I:$I,"Exacto"),Prod_Prop!$A:$A,Prod_Prop!$J:$J,"",0,1))</f>
        <v/>
      </c>
      <c r="U265" s="4" t="str">
        <f t="array" ref="U265">IF($E265="","", XLOOKUP(SUMIFS(Prod_Prop!$A:$A,Prod_Prop!$B:$B,$E265,Prod_Prop!$H:$H,U$1,Prod_Prop!$I:$I,"Exacto"),Prod_Prop!$A:$A,Prod_Prop!$J:$J,"",0,1))</f>
        <v/>
      </c>
      <c r="V265" s="4" t="str">
        <f t="array" ref="V265">IF($E265="","", XLOOKUP(SUMIFS(Prod_Prop!$A:$A,Prod_Prop!$B:$B,$E265,Prod_Prop!$H:$H,V$1,Prod_Prop!$I:$I,"Exacto"),Prod_Prop!$A:$A,Prod_Prop!$J:$J,"",0,1))</f>
        <v/>
      </c>
      <c r="X265" s="3" t="str">
        <f>IFERROR(__xludf.DUMMYFUNCTION("IF(D265="""","""",IFERROR(TRANSPOSE(FILTER('Validaciones Cotizador'!U:U,'Validaciones Cotizador'!O:O=D265,'Validaciones Cotizador'!T:T=""x"")),""Finalizar""))"),"")</f>
        <v/>
      </c>
    </row>
    <row r="266">
      <c r="A266" s="2" t="str">
        <f t="array" ref="A266">IF(E266="","",XLOOKUP(D266,'Validaciones Cotizador'!C:C,'Validaciones Cotizador'!A:A,"",0,1))</f>
        <v/>
      </c>
      <c r="B266" s="2" t="str">
        <f t="array" ref="B266">IF(F266="","",XLOOKUP(F266,Productos!E:E,Productos!G:G,"",0,1))</f>
        <v/>
      </c>
      <c r="C266" s="2" t="str">
        <f>IF(A266="","",SUMIFS('Validaciones Cotizador'!B:B,'Validaciones Cotizador'!C:C,D266,'Validaciones Cotizador'!A:A,A266))</f>
        <v/>
      </c>
      <c r="D266" s="4" t="str">
        <f>IFERROR(__xludf.DUMMYFUNCTION("IF(OR(F265=""Finalizar"",F265="""",F265=""Selecciona..""),"""",IF(OR(F265=""-"",INDEX(filter(Familias!F:F,Familias!D:D=A265,Familias!E:E=C265),1)=""O""),D265+1,D265))"),"")</f>
        <v/>
      </c>
      <c r="E266" s="2" t="str">
        <f>IF(OR(F266="",F266="Selecciona.."),"",IF(D266="Implemento",SUMIF(Implementos!B:B,F266,Implementos!A:A),SUMIF(Productos!E:E,F266,Productos!A:A)))</f>
        <v/>
      </c>
      <c r="F266" s="2" t="str">
        <f t="shared" si="2"/>
        <v/>
      </c>
      <c r="G266" s="10" t="str">
        <f t="array" ref="G266">IF(OR(F266="",F266="-",F266="Selecciona..",F266="Finalizar"),"",IF(A266="Rodados",XLOOKUP(B266,'Validaciones Cotizador'!I:I,'Validaciones Cotizador'!J:J,0,0,1),1))</f>
        <v/>
      </c>
      <c r="H266" s="11" t="str">
        <f>IF(OR(F266="",F266="Selecciona.."),"",SUMIF(Precio_Productos!K:K,E266,Precio_Productos!J:J)*G266)</f>
        <v/>
      </c>
      <c r="I266" s="4" t="str">
        <f t="array" ref="I266">IF($E266="","", XLOOKUP(SUMIFS(Prod_Prop!$A:$A,Prod_Prop!$B:$B,$E266,Prod_Prop!$H:$H,I$1,Prod_Prop!$I:$I,"Exacto"),Prod_Prop!$A:$A,Prod_Prop!$J:$J,"",0,1))</f>
        <v/>
      </c>
      <c r="J266" s="4" t="str">
        <f t="array" ref="J266">IF($E266="","", XLOOKUP(SUMIFS(Prod_Prop!$A:$A,Prod_Prop!$B:$B,$E266,Prod_Prop!$H:$H,J$1,Prod_Prop!$I:$I,"Exacto"),Prod_Prop!$A:$A,Prod_Prop!$J:$J,"",0,1))</f>
        <v/>
      </c>
      <c r="K266" s="4" t="str">
        <f t="array" ref="K266">IF($E266="","", XLOOKUP(SUMIFS(Prod_Prop!$A:$A,Prod_Prop!$B:$B,$E266,Prod_Prop!$H:$H,K$1,Prod_Prop!$I:$I,"Exacto"),Prod_Prop!$A:$A,Prod_Prop!$J:$J,"",0,1))</f>
        <v/>
      </c>
      <c r="L266" s="4" t="str">
        <f t="array" ref="L266">IF($E266="","", XLOOKUP(SUMIFS(Prod_Prop!$A:$A,Prod_Prop!$B:$B,$E266,Prod_Prop!$H:$H,L$1,Prod_Prop!$I:$I,"Exacto"),Prod_Prop!$A:$A,Prod_Prop!$J:$J,"",0,1))</f>
        <v/>
      </c>
      <c r="M266" s="4" t="str">
        <f t="array" ref="M266">IF($E266="","", XLOOKUP(SUMIFS(Prod_Prop!$A:$A,Prod_Prop!$B:$B,$E266,Prod_Prop!$H:$H,M$1,Prod_Prop!$I:$I,"Exacto"),Prod_Prop!$A:$A,Prod_Prop!$J:$J,"",0,1))</f>
        <v/>
      </c>
      <c r="N266" s="4" t="str">
        <f t="array" ref="N266">IF($E266="","", XLOOKUP(SUMIFS(Prod_Prop!$A:$A,Prod_Prop!$B:$B,$E266,Prod_Prop!$H:$H,N$1,Prod_Prop!$I:$I,"Exacto"),Prod_Prop!$A:$A,Prod_Prop!$J:$J,"",0,1))</f>
        <v/>
      </c>
      <c r="O266" s="4" t="str">
        <f t="array" ref="O266">IF($E266="","", XLOOKUP(SUMIFS(Prod_Prop!$A:$A,Prod_Prop!$B:$B,$E266,Prod_Prop!$H:$H,O$1,Prod_Prop!$I:$I,"Exacto"),Prod_Prop!$A:$A,Prod_Prop!$J:$J,"",0,1))</f>
        <v/>
      </c>
      <c r="P266" s="4" t="str">
        <f t="array" ref="P266">IF($E266="","", XLOOKUP(SUMIFS(Prod_Prop!$A:$A,Prod_Prop!$B:$B,$E266,Prod_Prop!$H:$H,P$1,Prod_Prop!$I:$I,"Exacto"),Prod_Prop!$A:$A,Prod_Prop!$J:$J,"",0,1))</f>
        <v/>
      </c>
      <c r="Q266" s="4" t="str">
        <f t="array" ref="Q266">IF($E266="","", XLOOKUP(SUMIFS(Prod_Prop!$A:$A,Prod_Prop!$B:$B,$E266,Prod_Prop!$H:$H,Q$1,Prod_Prop!$I:$I,"Exacto"),Prod_Prop!$A:$A,Prod_Prop!$J:$J,"",0,1))</f>
        <v/>
      </c>
      <c r="R266" s="4" t="str">
        <f t="array" ref="R266">IF($E266="","", XLOOKUP(SUMIFS(Prod_Prop!$A:$A,Prod_Prop!$B:$B,$E266,Prod_Prop!$H:$H,R$1,Prod_Prop!$I:$I,"Exacto"),Prod_Prop!$A:$A,Prod_Prop!$J:$J,"",0,1))</f>
        <v/>
      </c>
      <c r="S266" s="4" t="str">
        <f t="array" ref="S266">IF($E266="","", XLOOKUP(SUMIFS(Prod_Prop!$A:$A,Prod_Prop!$B:$B,$E266,Prod_Prop!$H:$H,S$1,Prod_Prop!$I:$I,"Exacto"),Prod_Prop!$A:$A,Prod_Prop!$J:$J,"",0,1))</f>
        <v/>
      </c>
      <c r="T266" s="4" t="str">
        <f t="array" ref="T266">IF($E266="","", XLOOKUP(SUMIFS(Prod_Prop!$A:$A,Prod_Prop!$B:$B,$E266,Prod_Prop!$H:$H,T$1,Prod_Prop!$I:$I,"Exacto"),Prod_Prop!$A:$A,Prod_Prop!$J:$J,"",0,1))</f>
        <v/>
      </c>
      <c r="U266" s="4" t="str">
        <f t="array" ref="U266">IF($E266="","", XLOOKUP(SUMIFS(Prod_Prop!$A:$A,Prod_Prop!$B:$B,$E266,Prod_Prop!$H:$H,U$1,Prod_Prop!$I:$I,"Exacto"),Prod_Prop!$A:$A,Prod_Prop!$J:$J,"",0,1))</f>
        <v/>
      </c>
      <c r="V266" s="4" t="str">
        <f t="array" ref="V266">IF($E266="","", XLOOKUP(SUMIFS(Prod_Prop!$A:$A,Prod_Prop!$B:$B,$E266,Prod_Prop!$H:$H,V$1,Prod_Prop!$I:$I,"Exacto"),Prod_Prop!$A:$A,Prod_Prop!$J:$J,"",0,1))</f>
        <v/>
      </c>
      <c r="X266" s="3" t="str">
        <f>IFERROR(__xludf.DUMMYFUNCTION("IF(D266="""","""",IFERROR(TRANSPOSE(FILTER('Validaciones Cotizador'!U:U,'Validaciones Cotizador'!O:O=D266,'Validaciones Cotizador'!T:T=""x"")),""Finalizar""))"),"")</f>
        <v/>
      </c>
    </row>
    <row r="267">
      <c r="A267" s="2" t="str">
        <f t="array" ref="A267">IF(E267="","",XLOOKUP(D267,'Validaciones Cotizador'!C:C,'Validaciones Cotizador'!A:A,"",0,1))</f>
        <v/>
      </c>
      <c r="B267" s="2" t="str">
        <f t="array" ref="B267">IF(F267="","",XLOOKUP(F267,Productos!E:E,Productos!G:G,"",0,1))</f>
        <v/>
      </c>
      <c r="C267" s="2" t="str">
        <f>IF(A267="","",SUMIFS('Validaciones Cotizador'!B:B,'Validaciones Cotizador'!C:C,D267,'Validaciones Cotizador'!A:A,A267))</f>
        <v/>
      </c>
      <c r="D267" s="4" t="str">
        <f>IFERROR(__xludf.DUMMYFUNCTION("IF(OR(F266=""Finalizar"",F266="""",F266=""Selecciona..""),"""",IF(OR(F266=""-"",INDEX(filter(Familias!F:F,Familias!D:D=A266,Familias!E:E=C266),1)=""O""),D266+1,D266))"),"")</f>
        <v/>
      </c>
      <c r="E267" s="2" t="str">
        <f>IF(OR(F267="",F267="Selecciona.."),"",IF(D267="Implemento",SUMIF(Implementos!B:B,F267,Implementos!A:A),SUMIF(Productos!E:E,F267,Productos!A:A)))</f>
        <v/>
      </c>
      <c r="F267" s="2" t="str">
        <f t="shared" si="2"/>
        <v/>
      </c>
      <c r="G267" s="10" t="str">
        <f t="array" ref="G267">IF(OR(F267="",F267="-",F267="Selecciona..",F267="Finalizar"),"",IF(A267="Rodados",XLOOKUP(B267,'Validaciones Cotizador'!I:I,'Validaciones Cotizador'!J:J,0,0,1),1))</f>
        <v/>
      </c>
      <c r="H267" s="11" t="str">
        <f>IF(OR(F267="",F267="Selecciona.."),"",SUMIF(Precio_Productos!K:K,E267,Precio_Productos!J:J)*G267)</f>
        <v/>
      </c>
      <c r="I267" s="4" t="str">
        <f t="array" ref="I267">IF($E267="","", XLOOKUP(SUMIFS(Prod_Prop!$A:$A,Prod_Prop!$B:$B,$E267,Prod_Prop!$H:$H,I$1,Prod_Prop!$I:$I,"Exacto"),Prod_Prop!$A:$A,Prod_Prop!$J:$J,"",0,1))</f>
        <v/>
      </c>
      <c r="J267" s="4" t="str">
        <f t="array" ref="J267">IF($E267="","", XLOOKUP(SUMIFS(Prod_Prop!$A:$A,Prod_Prop!$B:$B,$E267,Prod_Prop!$H:$H,J$1,Prod_Prop!$I:$I,"Exacto"),Prod_Prop!$A:$A,Prod_Prop!$J:$J,"",0,1))</f>
        <v/>
      </c>
      <c r="K267" s="4" t="str">
        <f t="array" ref="K267">IF($E267="","", XLOOKUP(SUMIFS(Prod_Prop!$A:$A,Prod_Prop!$B:$B,$E267,Prod_Prop!$H:$H,K$1,Prod_Prop!$I:$I,"Exacto"),Prod_Prop!$A:$A,Prod_Prop!$J:$J,"",0,1))</f>
        <v/>
      </c>
      <c r="L267" s="4" t="str">
        <f t="array" ref="L267">IF($E267="","", XLOOKUP(SUMIFS(Prod_Prop!$A:$A,Prod_Prop!$B:$B,$E267,Prod_Prop!$H:$H,L$1,Prod_Prop!$I:$I,"Exacto"),Prod_Prop!$A:$A,Prod_Prop!$J:$J,"",0,1))</f>
        <v/>
      </c>
      <c r="M267" s="4" t="str">
        <f t="array" ref="M267">IF($E267="","", XLOOKUP(SUMIFS(Prod_Prop!$A:$A,Prod_Prop!$B:$B,$E267,Prod_Prop!$H:$H,M$1,Prod_Prop!$I:$I,"Exacto"),Prod_Prop!$A:$A,Prod_Prop!$J:$J,"",0,1))</f>
        <v/>
      </c>
      <c r="N267" s="4" t="str">
        <f t="array" ref="N267">IF($E267="","", XLOOKUP(SUMIFS(Prod_Prop!$A:$A,Prod_Prop!$B:$B,$E267,Prod_Prop!$H:$H,N$1,Prod_Prop!$I:$I,"Exacto"),Prod_Prop!$A:$A,Prod_Prop!$J:$J,"",0,1))</f>
        <v/>
      </c>
      <c r="O267" s="4" t="str">
        <f t="array" ref="O267">IF($E267="","", XLOOKUP(SUMIFS(Prod_Prop!$A:$A,Prod_Prop!$B:$B,$E267,Prod_Prop!$H:$H,O$1,Prod_Prop!$I:$I,"Exacto"),Prod_Prop!$A:$A,Prod_Prop!$J:$J,"",0,1))</f>
        <v/>
      </c>
      <c r="P267" s="4" t="str">
        <f t="array" ref="P267">IF($E267="","", XLOOKUP(SUMIFS(Prod_Prop!$A:$A,Prod_Prop!$B:$B,$E267,Prod_Prop!$H:$H,P$1,Prod_Prop!$I:$I,"Exacto"),Prod_Prop!$A:$A,Prod_Prop!$J:$J,"",0,1))</f>
        <v/>
      </c>
      <c r="Q267" s="4" t="str">
        <f t="array" ref="Q267">IF($E267="","", XLOOKUP(SUMIFS(Prod_Prop!$A:$A,Prod_Prop!$B:$B,$E267,Prod_Prop!$H:$H,Q$1,Prod_Prop!$I:$I,"Exacto"),Prod_Prop!$A:$A,Prod_Prop!$J:$J,"",0,1))</f>
        <v/>
      </c>
      <c r="R267" s="4" t="str">
        <f t="array" ref="R267">IF($E267="","", XLOOKUP(SUMIFS(Prod_Prop!$A:$A,Prod_Prop!$B:$B,$E267,Prod_Prop!$H:$H,R$1,Prod_Prop!$I:$I,"Exacto"),Prod_Prop!$A:$A,Prod_Prop!$J:$J,"",0,1))</f>
        <v/>
      </c>
      <c r="S267" s="4" t="str">
        <f t="array" ref="S267">IF($E267="","", XLOOKUP(SUMIFS(Prod_Prop!$A:$A,Prod_Prop!$B:$B,$E267,Prod_Prop!$H:$H,S$1,Prod_Prop!$I:$I,"Exacto"),Prod_Prop!$A:$A,Prod_Prop!$J:$J,"",0,1))</f>
        <v/>
      </c>
      <c r="T267" s="4" t="str">
        <f t="array" ref="T267">IF($E267="","", XLOOKUP(SUMIFS(Prod_Prop!$A:$A,Prod_Prop!$B:$B,$E267,Prod_Prop!$H:$H,T$1,Prod_Prop!$I:$I,"Exacto"),Prod_Prop!$A:$A,Prod_Prop!$J:$J,"",0,1))</f>
        <v/>
      </c>
      <c r="U267" s="4" t="str">
        <f t="array" ref="U267">IF($E267="","", XLOOKUP(SUMIFS(Prod_Prop!$A:$A,Prod_Prop!$B:$B,$E267,Prod_Prop!$H:$H,U$1,Prod_Prop!$I:$I,"Exacto"),Prod_Prop!$A:$A,Prod_Prop!$J:$J,"",0,1))</f>
        <v/>
      </c>
      <c r="V267" s="4" t="str">
        <f t="array" ref="V267">IF($E267="","", XLOOKUP(SUMIFS(Prod_Prop!$A:$A,Prod_Prop!$B:$B,$E267,Prod_Prop!$H:$H,V$1,Prod_Prop!$I:$I,"Exacto"),Prod_Prop!$A:$A,Prod_Prop!$J:$J,"",0,1))</f>
        <v/>
      </c>
      <c r="X267" s="3" t="str">
        <f>IFERROR(__xludf.DUMMYFUNCTION("IF(D267="""","""",IFERROR(TRANSPOSE(FILTER('Validaciones Cotizador'!U:U,'Validaciones Cotizador'!O:O=D267,'Validaciones Cotizador'!T:T=""x"")),""Finalizar""))"),"")</f>
        <v/>
      </c>
    </row>
    <row r="268">
      <c r="A268" s="2" t="str">
        <f t="array" ref="A268">IF(E268="","",XLOOKUP(D268,'Validaciones Cotizador'!C:C,'Validaciones Cotizador'!A:A,"",0,1))</f>
        <v/>
      </c>
      <c r="B268" s="2" t="str">
        <f t="array" ref="B268">IF(F268="","",XLOOKUP(F268,Productos!E:E,Productos!G:G,"",0,1))</f>
        <v/>
      </c>
      <c r="C268" s="2" t="str">
        <f>IF(A268="","",SUMIFS('Validaciones Cotizador'!B:B,'Validaciones Cotizador'!C:C,D268,'Validaciones Cotizador'!A:A,A268))</f>
        <v/>
      </c>
      <c r="D268" s="4" t="str">
        <f>IFERROR(__xludf.DUMMYFUNCTION("IF(OR(F267=""Finalizar"",F267="""",F267=""Selecciona..""),"""",IF(OR(F267=""-"",INDEX(filter(Familias!F:F,Familias!D:D=A267,Familias!E:E=C267),1)=""O""),D267+1,D267))"),"")</f>
        <v/>
      </c>
      <c r="E268" s="2" t="str">
        <f>IF(OR(F268="",F268="Selecciona.."),"",IF(D268="Implemento",SUMIF(Implementos!B:B,F268,Implementos!A:A),SUMIF(Productos!E:E,F268,Productos!A:A)))</f>
        <v/>
      </c>
      <c r="F268" s="2" t="str">
        <f t="shared" si="2"/>
        <v/>
      </c>
      <c r="G268" s="10" t="str">
        <f t="array" ref="G268">IF(OR(F268="",F268="-",F268="Selecciona..",F268="Finalizar"),"",IF(A268="Rodados",XLOOKUP(B268,'Validaciones Cotizador'!I:I,'Validaciones Cotizador'!J:J,0,0,1),1))</f>
        <v/>
      </c>
      <c r="H268" s="11" t="str">
        <f>IF(OR(F268="",F268="Selecciona.."),"",SUMIF(Precio_Productos!K:K,E268,Precio_Productos!J:J)*G268)</f>
        <v/>
      </c>
      <c r="I268" s="4" t="str">
        <f t="array" ref="I268">IF($E268="","", XLOOKUP(SUMIFS(Prod_Prop!$A:$A,Prod_Prop!$B:$B,$E268,Prod_Prop!$H:$H,I$1,Prod_Prop!$I:$I,"Exacto"),Prod_Prop!$A:$A,Prod_Prop!$J:$J,"",0,1))</f>
        <v/>
      </c>
      <c r="J268" s="4" t="str">
        <f t="array" ref="J268">IF($E268="","", XLOOKUP(SUMIFS(Prod_Prop!$A:$A,Prod_Prop!$B:$B,$E268,Prod_Prop!$H:$H,J$1,Prod_Prop!$I:$I,"Exacto"),Prod_Prop!$A:$A,Prod_Prop!$J:$J,"",0,1))</f>
        <v/>
      </c>
      <c r="K268" s="4" t="str">
        <f t="array" ref="K268">IF($E268="","", XLOOKUP(SUMIFS(Prod_Prop!$A:$A,Prod_Prop!$B:$B,$E268,Prod_Prop!$H:$H,K$1,Prod_Prop!$I:$I,"Exacto"),Prod_Prop!$A:$A,Prod_Prop!$J:$J,"",0,1))</f>
        <v/>
      </c>
      <c r="L268" s="4" t="str">
        <f t="array" ref="L268">IF($E268="","", XLOOKUP(SUMIFS(Prod_Prop!$A:$A,Prod_Prop!$B:$B,$E268,Prod_Prop!$H:$H,L$1,Prod_Prop!$I:$I,"Exacto"),Prod_Prop!$A:$A,Prod_Prop!$J:$J,"",0,1))</f>
        <v/>
      </c>
      <c r="M268" s="4" t="str">
        <f t="array" ref="M268">IF($E268="","", XLOOKUP(SUMIFS(Prod_Prop!$A:$A,Prod_Prop!$B:$B,$E268,Prod_Prop!$H:$H,M$1,Prod_Prop!$I:$I,"Exacto"),Prod_Prop!$A:$A,Prod_Prop!$J:$J,"",0,1))</f>
        <v/>
      </c>
      <c r="N268" s="4" t="str">
        <f t="array" ref="N268">IF($E268="","", XLOOKUP(SUMIFS(Prod_Prop!$A:$A,Prod_Prop!$B:$B,$E268,Prod_Prop!$H:$H,N$1,Prod_Prop!$I:$I,"Exacto"),Prod_Prop!$A:$A,Prod_Prop!$J:$J,"",0,1))</f>
        <v/>
      </c>
      <c r="O268" s="4" t="str">
        <f t="array" ref="O268">IF($E268="","", XLOOKUP(SUMIFS(Prod_Prop!$A:$A,Prod_Prop!$B:$B,$E268,Prod_Prop!$H:$H,O$1,Prod_Prop!$I:$I,"Exacto"),Prod_Prop!$A:$A,Prod_Prop!$J:$J,"",0,1))</f>
        <v/>
      </c>
      <c r="P268" s="4" t="str">
        <f t="array" ref="P268">IF($E268="","", XLOOKUP(SUMIFS(Prod_Prop!$A:$A,Prod_Prop!$B:$B,$E268,Prod_Prop!$H:$H,P$1,Prod_Prop!$I:$I,"Exacto"),Prod_Prop!$A:$A,Prod_Prop!$J:$J,"",0,1))</f>
        <v/>
      </c>
      <c r="Q268" s="4" t="str">
        <f t="array" ref="Q268">IF($E268="","", XLOOKUP(SUMIFS(Prod_Prop!$A:$A,Prod_Prop!$B:$B,$E268,Prod_Prop!$H:$H,Q$1,Prod_Prop!$I:$I,"Exacto"),Prod_Prop!$A:$A,Prod_Prop!$J:$J,"",0,1))</f>
        <v/>
      </c>
      <c r="R268" s="4" t="str">
        <f t="array" ref="R268">IF($E268="","", XLOOKUP(SUMIFS(Prod_Prop!$A:$A,Prod_Prop!$B:$B,$E268,Prod_Prop!$H:$H,R$1,Prod_Prop!$I:$I,"Exacto"),Prod_Prop!$A:$A,Prod_Prop!$J:$J,"",0,1))</f>
        <v/>
      </c>
      <c r="S268" s="4" t="str">
        <f t="array" ref="S268">IF($E268="","", XLOOKUP(SUMIFS(Prod_Prop!$A:$A,Prod_Prop!$B:$B,$E268,Prod_Prop!$H:$H,S$1,Prod_Prop!$I:$I,"Exacto"),Prod_Prop!$A:$A,Prod_Prop!$J:$J,"",0,1))</f>
        <v/>
      </c>
      <c r="T268" s="4" t="str">
        <f t="array" ref="T268">IF($E268="","", XLOOKUP(SUMIFS(Prod_Prop!$A:$A,Prod_Prop!$B:$B,$E268,Prod_Prop!$H:$H,T$1,Prod_Prop!$I:$I,"Exacto"),Prod_Prop!$A:$A,Prod_Prop!$J:$J,"",0,1))</f>
        <v/>
      </c>
      <c r="U268" s="4" t="str">
        <f t="array" ref="U268">IF($E268="","", XLOOKUP(SUMIFS(Prod_Prop!$A:$A,Prod_Prop!$B:$B,$E268,Prod_Prop!$H:$H,U$1,Prod_Prop!$I:$I,"Exacto"),Prod_Prop!$A:$A,Prod_Prop!$J:$J,"",0,1))</f>
        <v/>
      </c>
      <c r="V268" s="4" t="str">
        <f t="array" ref="V268">IF($E268="","", XLOOKUP(SUMIFS(Prod_Prop!$A:$A,Prod_Prop!$B:$B,$E268,Prod_Prop!$H:$H,V$1,Prod_Prop!$I:$I,"Exacto"),Prod_Prop!$A:$A,Prod_Prop!$J:$J,"",0,1))</f>
        <v/>
      </c>
      <c r="X268" s="3" t="str">
        <f>IFERROR(__xludf.DUMMYFUNCTION("IF(D268="""","""",IFERROR(TRANSPOSE(FILTER('Validaciones Cotizador'!U:U,'Validaciones Cotizador'!O:O=D268,'Validaciones Cotizador'!T:T=""x"")),""Finalizar""))"),"")</f>
        <v/>
      </c>
    </row>
    <row r="269">
      <c r="A269" s="2" t="str">
        <f t="array" ref="A269">IF(E269="","",XLOOKUP(D269,'Validaciones Cotizador'!C:C,'Validaciones Cotizador'!A:A,"",0,1))</f>
        <v/>
      </c>
      <c r="B269" s="2" t="str">
        <f t="array" ref="B269">IF(F269="","",XLOOKUP(F269,Productos!E:E,Productos!G:G,"",0,1))</f>
        <v/>
      </c>
      <c r="C269" s="2" t="str">
        <f>IF(A269="","",SUMIFS('Validaciones Cotizador'!B:B,'Validaciones Cotizador'!C:C,D269,'Validaciones Cotizador'!A:A,A269))</f>
        <v/>
      </c>
      <c r="D269" s="4" t="str">
        <f>IFERROR(__xludf.DUMMYFUNCTION("IF(OR(F268=""Finalizar"",F268="""",F268=""Selecciona..""),"""",IF(OR(F268=""-"",INDEX(filter(Familias!F:F,Familias!D:D=A268,Familias!E:E=C268),1)=""O""),D268+1,D268))"),"")</f>
        <v/>
      </c>
      <c r="E269" s="2" t="str">
        <f>IF(OR(F269="",F269="Selecciona.."),"",IF(D269="Implemento",SUMIF(Implementos!B:B,F269,Implementos!A:A),SUMIF(Productos!E:E,F269,Productos!A:A)))</f>
        <v/>
      </c>
      <c r="F269" s="2" t="str">
        <f t="shared" si="2"/>
        <v/>
      </c>
      <c r="G269" s="10" t="str">
        <f t="array" ref="G269">IF(OR(F269="",F269="-",F269="Selecciona..",F269="Finalizar"),"",IF(A269="Rodados",XLOOKUP(B269,'Validaciones Cotizador'!I:I,'Validaciones Cotizador'!J:J,0,0,1),1))</f>
        <v/>
      </c>
      <c r="H269" s="11" t="str">
        <f>IF(OR(F269="",F269="Selecciona.."),"",SUMIF(Precio_Productos!K:K,E269,Precio_Productos!J:J)*G269)</f>
        <v/>
      </c>
      <c r="I269" s="4" t="str">
        <f t="array" ref="I269">IF($E269="","", XLOOKUP(SUMIFS(Prod_Prop!$A:$A,Prod_Prop!$B:$B,$E269,Prod_Prop!$H:$H,I$1,Prod_Prop!$I:$I,"Exacto"),Prod_Prop!$A:$A,Prod_Prop!$J:$J,"",0,1))</f>
        <v/>
      </c>
      <c r="J269" s="4" t="str">
        <f t="array" ref="J269">IF($E269="","", XLOOKUP(SUMIFS(Prod_Prop!$A:$A,Prod_Prop!$B:$B,$E269,Prod_Prop!$H:$H,J$1,Prod_Prop!$I:$I,"Exacto"),Prod_Prop!$A:$A,Prod_Prop!$J:$J,"",0,1))</f>
        <v/>
      </c>
      <c r="K269" s="4" t="str">
        <f t="array" ref="K269">IF($E269="","", XLOOKUP(SUMIFS(Prod_Prop!$A:$A,Prod_Prop!$B:$B,$E269,Prod_Prop!$H:$H,K$1,Prod_Prop!$I:$I,"Exacto"),Prod_Prop!$A:$A,Prod_Prop!$J:$J,"",0,1))</f>
        <v/>
      </c>
      <c r="L269" s="4" t="str">
        <f t="array" ref="L269">IF($E269="","", XLOOKUP(SUMIFS(Prod_Prop!$A:$A,Prod_Prop!$B:$B,$E269,Prod_Prop!$H:$H,L$1,Prod_Prop!$I:$I,"Exacto"),Prod_Prop!$A:$A,Prod_Prop!$J:$J,"",0,1))</f>
        <v/>
      </c>
      <c r="M269" s="4" t="str">
        <f t="array" ref="M269">IF($E269="","", XLOOKUP(SUMIFS(Prod_Prop!$A:$A,Prod_Prop!$B:$B,$E269,Prod_Prop!$H:$H,M$1,Prod_Prop!$I:$I,"Exacto"),Prod_Prop!$A:$A,Prod_Prop!$J:$J,"",0,1))</f>
        <v/>
      </c>
      <c r="N269" s="4" t="str">
        <f t="array" ref="N269">IF($E269="","", XLOOKUP(SUMIFS(Prod_Prop!$A:$A,Prod_Prop!$B:$B,$E269,Prod_Prop!$H:$H,N$1,Prod_Prop!$I:$I,"Exacto"),Prod_Prop!$A:$A,Prod_Prop!$J:$J,"",0,1))</f>
        <v/>
      </c>
      <c r="O269" s="4" t="str">
        <f t="array" ref="O269">IF($E269="","", XLOOKUP(SUMIFS(Prod_Prop!$A:$A,Prod_Prop!$B:$B,$E269,Prod_Prop!$H:$H,O$1,Prod_Prop!$I:$I,"Exacto"),Prod_Prop!$A:$A,Prod_Prop!$J:$J,"",0,1))</f>
        <v/>
      </c>
      <c r="P269" s="4" t="str">
        <f t="array" ref="P269">IF($E269="","", XLOOKUP(SUMIFS(Prod_Prop!$A:$A,Prod_Prop!$B:$B,$E269,Prod_Prop!$H:$H,P$1,Prod_Prop!$I:$I,"Exacto"),Prod_Prop!$A:$A,Prod_Prop!$J:$J,"",0,1))</f>
        <v/>
      </c>
      <c r="Q269" s="4" t="str">
        <f t="array" ref="Q269">IF($E269="","", XLOOKUP(SUMIFS(Prod_Prop!$A:$A,Prod_Prop!$B:$B,$E269,Prod_Prop!$H:$H,Q$1,Prod_Prop!$I:$I,"Exacto"),Prod_Prop!$A:$A,Prod_Prop!$J:$J,"",0,1))</f>
        <v/>
      </c>
      <c r="R269" s="4" t="str">
        <f t="array" ref="R269">IF($E269="","", XLOOKUP(SUMIFS(Prod_Prop!$A:$A,Prod_Prop!$B:$B,$E269,Prod_Prop!$H:$H,R$1,Prod_Prop!$I:$I,"Exacto"),Prod_Prop!$A:$A,Prod_Prop!$J:$J,"",0,1))</f>
        <v/>
      </c>
      <c r="S269" s="4" t="str">
        <f t="array" ref="S269">IF($E269="","", XLOOKUP(SUMIFS(Prod_Prop!$A:$A,Prod_Prop!$B:$B,$E269,Prod_Prop!$H:$H,S$1,Prod_Prop!$I:$I,"Exacto"),Prod_Prop!$A:$A,Prod_Prop!$J:$J,"",0,1))</f>
        <v/>
      </c>
      <c r="T269" s="4" t="str">
        <f t="array" ref="T269">IF($E269="","", XLOOKUP(SUMIFS(Prod_Prop!$A:$A,Prod_Prop!$B:$B,$E269,Prod_Prop!$H:$H,T$1,Prod_Prop!$I:$I,"Exacto"),Prod_Prop!$A:$A,Prod_Prop!$J:$J,"",0,1))</f>
        <v/>
      </c>
      <c r="U269" s="4" t="str">
        <f t="array" ref="U269">IF($E269="","", XLOOKUP(SUMIFS(Prod_Prop!$A:$A,Prod_Prop!$B:$B,$E269,Prod_Prop!$H:$H,U$1,Prod_Prop!$I:$I,"Exacto"),Prod_Prop!$A:$A,Prod_Prop!$J:$J,"",0,1))</f>
        <v/>
      </c>
      <c r="V269" s="4" t="str">
        <f t="array" ref="V269">IF($E269="","", XLOOKUP(SUMIFS(Prod_Prop!$A:$A,Prod_Prop!$B:$B,$E269,Prod_Prop!$H:$H,V$1,Prod_Prop!$I:$I,"Exacto"),Prod_Prop!$A:$A,Prod_Prop!$J:$J,"",0,1))</f>
        <v/>
      </c>
      <c r="X269" s="3" t="str">
        <f>IFERROR(__xludf.DUMMYFUNCTION("IF(D269="""","""",IFERROR(TRANSPOSE(FILTER('Validaciones Cotizador'!U:U,'Validaciones Cotizador'!O:O=D269,'Validaciones Cotizador'!T:T=""x"")),""Finalizar""))"),"")</f>
        <v/>
      </c>
    </row>
    <row r="270">
      <c r="A270" s="2" t="str">
        <f t="array" ref="A270">IF(E270="","",XLOOKUP(D270,'Validaciones Cotizador'!C:C,'Validaciones Cotizador'!A:A,"",0,1))</f>
        <v/>
      </c>
      <c r="B270" s="2" t="str">
        <f t="array" ref="B270">IF(F270="","",XLOOKUP(F270,Productos!E:E,Productos!G:G,"",0,1))</f>
        <v/>
      </c>
      <c r="C270" s="2" t="str">
        <f>IF(A270="","",SUMIFS('Validaciones Cotizador'!B:B,'Validaciones Cotizador'!C:C,D270,'Validaciones Cotizador'!A:A,A270))</f>
        <v/>
      </c>
      <c r="D270" s="4" t="str">
        <f>IFERROR(__xludf.DUMMYFUNCTION("IF(OR(F269=""Finalizar"",F269="""",F269=""Selecciona..""),"""",IF(OR(F269=""-"",INDEX(filter(Familias!F:F,Familias!D:D=A269,Familias!E:E=C269),1)=""O""),D269+1,D269))"),"")</f>
        <v/>
      </c>
      <c r="E270" s="2" t="str">
        <f>IF(OR(F270="",F270="Selecciona.."),"",IF(D270="Implemento",SUMIF(Implementos!B:B,F270,Implementos!A:A),SUMIF(Productos!E:E,F270,Productos!A:A)))</f>
        <v/>
      </c>
      <c r="F270" s="2" t="str">
        <f t="shared" si="2"/>
        <v/>
      </c>
      <c r="G270" s="10" t="str">
        <f t="array" ref="G270">IF(OR(F270="",F270="-",F270="Selecciona..",F270="Finalizar"),"",IF(A270="Rodados",XLOOKUP(B270,'Validaciones Cotizador'!I:I,'Validaciones Cotizador'!J:J,0,0,1),1))</f>
        <v/>
      </c>
      <c r="H270" s="11" t="str">
        <f>IF(OR(F270="",F270="Selecciona.."),"",SUMIF(Precio_Productos!K:K,E270,Precio_Productos!J:J)*G270)</f>
        <v/>
      </c>
      <c r="I270" s="4" t="str">
        <f t="array" ref="I270">IF($E270="","", XLOOKUP(SUMIFS(Prod_Prop!$A:$A,Prod_Prop!$B:$B,$E270,Prod_Prop!$H:$H,I$1,Prod_Prop!$I:$I,"Exacto"),Prod_Prop!$A:$A,Prod_Prop!$J:$J,"",0,1))</f>
        <v/>
      </c>
      <c r="J270" s="4" t="str">
        <f t="array" ref="J270">IF($E270="","", XLOOKUP(SUMIFS(Prod_Prop!$A:$A,Prod_Prop!$B:$B,$E270,Prod_Prop!$H:$H,J$1,Prod_Prop!$I:$I,"Exacto"),Prod_Prop!$A:$A,Prod_Prop!$J:$J,"",0,1))</f>
        <v/>
      </c>
      <c r="K270" s="4" t="str">
        <f t="array" ref="K270">IF($E270="","", XLOOKUP(SUMIFS(Prod_Prop!$A:$A,Prod_Prop!$B:$B,$E270,Prod_Prop!$H:$H,K$1,Prod_Prop!$I:$I,"Exacto"),Prod_Prop!$A:$A,Prod_Prop!$J:$J,"",0,1))</f>
        <v/>
      </c>
      <c r="L270" s="4" t="str">
        <f t="array" ref="L270">IF($E270="","", XLOOKUP(SUMIFS(Prod_Prop!$A:$A,Prod_Prop!$B:$B,$E270,Prod_Prop!$H:$H,L$1,Prod_Prop!$I:$I,"Exacto"),Prod_Prop!$A:$A,Prod_Prop!$J:$J,"",0,1))</f>
        <v/>
      </c>
      <c r="M270" s="4" t="str">
        <f t="array" ref="M270">IF($E270="","", XLOOKUP(SUMIFS(Prod_Prop!$A:$A,Prod_Prop!$B:$B,$E270,Prod_Prop!$H:$H,M$1,Prod_Prop!$I:$I,"Exacto"),Prod_Prop!$A:$A,Prod_Prop!$J:$J,"",0,1))</f>
        <v/>
      </c>
      <c r="N270" s="4" t="str">
        <f t="array" ref="N270">IF($E270="","", XLOOKUP(SUMIFS(Prod_Prop!$A:$A,Prod_Prop!$B:$B,$E270,Prod_Prop!$H:$H,N$1,Prod_Prop!$I:$I,"Exacto"),Prod_Prop!$A:$A,Prod_Prop!$J:$J,"",0,1))</f>
        <v/>
      </c>
      <c r="O270" s="4" t="str">
        <f t="array" ref="O270">IF($E270="","", XLOOKUP(SUMIFS(Prod_Prop!$A:$A,Prod_Prop!$B:$B,$E270,Prod_Prop!$H:$H,O$1,Prod_Prop!$I:$I,"Exacto"),Prod_Prop!$A:$A,Prod_Prop!$J:$J,"",0,1))</f>
        <v/>
      </c>
      <c r="P270" s="4" t="str">
        <f t="array" ref="P270">IF($E270="","", XLOOKUP(SUMIFS(Prod_Prop!$A:$A,Prod_Prop!$B:$B,$E270,Prod_Prop!$H:$H,P$1,Prod_Prop!$I:$I,"Exacto"),Prod_Prop!$A:$A,Prod_Prop!$J:$J,"",0,1))</f>
        <v/>
      </c>
      <c r="Q270" s="4" t="str">
        <f t="array" ref="Q270">IF($E270="","", XLOOKUP(SUMIFS(Prod_Prop!$A:$A,Prod_Prop!$B:$B,$E270,Prod_Prop!$H:$H,Q$1,Prod_Prop!$I:$I,"Exacto"),Prod_Prop!$A:$A,Prod_Prop!$J:$J,"",0,1))</f>
        <v/>
      </c>
      <c r="R270" s="4" t="str">
        <f t="array" ref="R270">IF($E270="","", XLOOKUP(SUMIFS(Prod_Prop!$A:$A,Prod_Prop!$B:$B,$E270,Prod_Prop!$H:$H,R$1,Prod_Prop!$I:$I,"Exacto"),Prod_Prop!$A:$A,Prod_Prop!$J:$J,"",0,1))</f>
        <v/>
      </c>
      <c r="S270" s="4" t="str">
        <f t="array" ref="S270">IF($E270="","", XLOOKUP(SUMIFS(Prod_Prop!$A:$A,Prod_Prop!$B:$B,$E270,Prod_Prop!$H:$H,S$1,Prod_Prop!$I:$I,"Exacto"),Prod_Prop!$A:$A,Prod_Prop!$J:$J,"",0,1))</f>
        <v/>
      </c>
      <c r="T270" s="4" t="str">
        <f t="array" ref="T270">IF($E270="","", XLOOKUP(SUMIFS(Prod_Prop!$A:$A,Prod_Prop!$B:$B,$E270,Prod_Prop!$H:$H,T$1,Prod_Prop!$I:$I,"Exacto"),Prod_Prop!$A:$A,Prod_Prop!$J:$J,"",0,1))</f>
        <v/>
      </c>
      <c r="U270" s="4" t="str">
        <f t="array" ref="U270">IF($E270="","", XLOOKUP(SUMIFS(Prod_Prop!$A:$A,Prod_Prop!$B:$B,$E270,Prod_Prop!$H:$H,U$1,Prod_Prop!$I:$I,"Exacto"),Prod_Prop!$A:$A,Prod_Prop!$J:$J,"",0,1))</f>
        <v/>
      </c>
      <c r="V270" s="4" t="str">
        <f t="array" ref="V270">IF($E270="","", XLOOKUP(SUMIFS(Prod_Prop!$A:$A,Prod_Prop!$B:$B,$E270,Prod_Prop!$H:$H,V$1,Prod_Prop!$I:$I,"Exacto"),Prod_Prop!$A:$A,Prod_Prop!$J:$J,"",0,1))</f>
        <v/>
      </c>
      <c r="X270" s="3" t="str">
        <f>IFERROR(__xludf.DUMMYFUNCTION("IF(D270="""","""",IFERROR(TRANSPOSE(FILTER('Validaciones Cotizador'!U:U,'Validaciones Cotizador'!O:O=D270,'Validaciones Cotizador'!T:T=""x"")),""Finalizar""))"),"")</f>
        <v/>
      </c>
    </row>
    <row r="271">
      <c r="A271" s="2" t="str">
        <f t="array" ref="A271">IF(E271="","",XLOOKUP(D271,'Validaciones Cotizador'!C:C,'Validaciones Cotizador'!A:A,"",0,1))</f>
        <v/>
      </c>
      <c r="B271" s="2" t="str">
        <f t="array" ref="B271">IF(F271="","",XLOOKUP(F271,Productos!E:E,Productos!G:G,"",0,1))</f>
        <v/>
      </c>
      <c r="C271" s="2" t="str">
        <f>IF(A271="","",SUMIFS('Validaciones Cotizador'!B:B,'Validaciones Cotizador'!C:C,D271,'Validaciones Cotizador'!A:A,A271))</f>
        <v/>
      </c>
      <c r="D271" s="4" t="str">
        <f>IFERROR(__xludf.DUMMYFUNCTION("IF(OR(F270=""Finalizar"",F270="""",F270=""Selecciona..""),"""",IF(OR(F270=""-"",INDEX(filter(Familias!F:F,Familias!D:D=A270,Familias!E:E=C270),1)=""O""),D270+1,D270))"),"")</f>
        <v/>
      </c>
      <c r="E271" s="2" t="str">
        <f>IF(OR(F271="",F271="Selecciona.."),"",IF(D271="Implemento",SUMIF(Implementos!B:B,F271,Implementos!A:A),SUMIF(Productos!E:E,F271,Productos!A:A)))</f>
        <v/>
      </c>
      <c r="F271" s="2" t="str">
        <f t="shared" si="2"/>
        <v/>
      </c>
      <c r="G271" s="10" t="str">
        <f t="array" ref="G271">IF(OR(F271="",F271="-",F271="Selecciona..",F271="Finalizar"),"",IF(A271="Rodados",XLOOKUP(B271,'Validaciones Cotizador'!I:I,'Validaciones Cotizador'!J:J,0,0,1),1))</f>
        <v/>
      </c>
      <c r="H271" s="11" t="str">
        <f>IF(OR(F271="",F271="Selecciona.."),"",SUMIF(Precio_Productos!K:K,E271,Precio_Productos!J:J)*G271)</f>
        <v/>
      </c>
      <c r="I271" s="4" t="str">
        <f t="array" ref="I271">IF($E271="","", XLOOKUP(SUMIFS(Prod_Prop!$A:$A,Prod_Prop!$B:$B,$E271,Prod_Prop!$H:$H,I$1,Prod_Prop!$I:$I,"Exacto"),Prod_Prop!$A:$A,Prod_Prop!$J:$J,"",0,1))</f>
        <v/>
      </c>
      <c r="J271" s="4" t="str">
        <f t="array" ref="J271">IF($E271="","", XLOOKUP(SUMIFS(Prod_Prop!$A:$A,Prod_Prop!$B:$B,$E271,Prod_Prop!$H:$H,J$1,Prod_Prop!$I:$I,"Exacto"),Prod_Prop!$A:$A,Prod_Prop!$J:$J,"",0,1))</f>
        <v/>
      </c>
      <c r="K271" s="4" t="str">
        <f t="array" ref="K271">IF($E271="","", XLOOKUP(SUMIFS(Prod_Prop!$A:$A,Prod_Prop!$B:$B,$E271,Prod_Prop!$H:$H,K$1,Prod_Prop!$I:$I,"Exacto"),Prod_Prop!$A:$A,Prod_Prop!$J:$J,"",0,1))</f>
        <v/>
      </c>
      <c r="L271" s="4" t="str">
        <f t="array" ref="L271">IF($E271="","", XLOOKUP(SUMIFS(Prod_Prop!$A:$A,Prod_Prop!$B:$B,$E271,Prod_Prop!$H:$H,L$1,Prod_Prop!$I:$I,"Exacto"),Prod_Prop!$A:$A,Prod_Prop!$J:$J,"",0,1))</f>
        <v/>
      </c>
      <c r="M271" s="4" t="str">
        <f t="array" ref="M271">IF($E271="","", XLOOKUP(SUMIFS(Prod_Prop!$A:$A,Prod_Prop!$B:$B,$E271,Prod_Prop!$H:$H,M$1,Prod_Prop!$I:$I,"Exacto"),Prod_Prop!$A:$A,Prod_Prop!$J:$J,"",0,1))</f>
        <v/>
      </c>
      <c r="N271" s="4" t="str">
        <f t="array" ref="N271">IF($E271="","", XLOOKUP(SUMIFS(Prod_Prop!$A:$A,Prod_Prop!$B:$B,$E271,Prod_Prop!$H:$H,N$1,Prod_Prop!$I:$I,"Exacto"),Prod_Prop!$A:$A,Prod_Prop!$J:$J,"",0,1))</f>
        <v/>
      </c>
      <c r="O271" s="4" t="str">
        <f t="array" ref="O271">IF($E271="","", XLOOKUP(SUMIFS(Prod_Prop!$A:$A,Prod_Prop!$B:$B,$E271,Prod_Prop!$H:$H,O$1,Prod_Prop!$I:$I,"Exacto"),Prod_Prop!$A:$A,Prod_Prop!$J:$J,"",0,1))</f>
        <v/>
      </c>
      <c r="P271" s="4" t="str">
        <f t="array" ref="P271">IF($E271="","", XLOOKUP(SUMIFS(Prod_Prop!$A:$A,Prod_Prop!$B:$B,$E271,Prod_Prop!$H:$H,P$1,Prod_Prop!$I:$I,"Exacto"),Prod_Prop!$A:$A,Prod_Prop!$J:$J,"",0,1))</f>
        <v/>
      </c>
      <c r="Q271" s="4" t="str">
        <f t="array" ref="Q271">IF($E271="","", XLOOKUP(SUMIFS(Prod_Prop!$A:$A,Prod_Prop!$B:$B,$E271,Prod_Prop!$H:$H,Q$1,Prod_Prop!$I:$I,"Exacto"),Prod_Prop!$A:$A,Prod_Prop!$J:$J,"",0,1))</f>
        <v/>
      </c>
      <c r="R271" s="4" t="str">
        <f t="array" ref="R271">IF($E271="","", XLOOKUP(SUMIFS(Prod_Prop!$A:$A,Prod_Prop!$B:$B,$E271,Prod_Prop!$H:$H,R$1,Prod_Prop!$I:$I,"Exacto"),Prod_Prop!$A:$A,Prod_Prop!$J:$J,"",0,1))</f>
        <v/>
      </c>
      <c r="S271" s="4" t="str">
        <f t="array" ref="S271">IF($E271="","", XLOOKUP(SUMIFS(Prod_Prop!$A:$A,Prod_Prop!$B:$B,$E271,Prod_Prop!$H:$H,S$1,Prod_Prop!$I:$I,"Exacto"),Prod_Prop!$A:$A,Prod_Prop!$J:$J,"",0,1))</f>
        <v/>
      </c>
      <c r="T271" s="4" t="str">
        <f t="array" ref="T271">IF($E271="","", XLOOKUP(SUMIFS(Prod_Prop!$A:$A,Prod_Prop!$B:$B,$E271,Prod_Prop!$H:$H,T$1,Prod_Prop!$I:$I,"Exacto"),Prod_Prop!$A:$A,Prod_Prop!$J:$J,"",0,1))</f>
        <v/>
      </c>
      <c r="U271" s="4" t="str">
        <f t="array" ref="U271">IF($E271="","", XLOOKUP(SUMIFS(Prod_Prop!$A:$A,Prod_Prop!$B:$B,$E271,Prod_Prop!$H:$H,U$1,Prod_Prop!$I:$I,"Exacto"),Prod_Prop!$A:$A,Prod_Prop!$J:$J,"",0,1))</f>
        <v/>
      </c>
      <c r="V271" s="4" t="str">
        <f t="array" ref="V271">IF($E271="","", XLOOKUP(SUMIFS(Prod_Prop!$A:$A,Prod_Prop!$B:$B,$E271,Prod_Prop!$H:$H,V$1,Prod_Prop!$I:$I,"Exacto"),Prod_Prop!$A:$A,Prod_Prop!$J:$J,"",0,1))</f>
        <v/>
      </c>
      <c r="X271" s="3" t="str">
        <f>IFERROR(__xludf.DUMMYFUNCTION("IF(D271="""","""",IFERROR(TRANSPOSE(FILTER('Validaciones Cotizador'!U:U,'Validaciones Cotizador'!O:O=D271,'Validaciones Cotizador'!T:T=""x"")),""Finalizar""))"),"")</f>
        <v/>
      </c>
    </row>
    <row r="272">
      <c r="A272" s="2" t="str">
        <f t="array" ref="A272">IF(E272="","",XLOOKUP(D272,'Validaciones Cotizador'!C:C,'Validaciones Cotizador'!A:A,"",0,1))</f>
        <v/>
      </c>
      <c r="B272" s="2" t="str">
        <f t="array" ref="B272">IF(F272="","",XLOOKUP(F272,Productos!E:E,Productos!G:G,"",0,1))</f>
        <v/>
      </c>
      <c r="C272" s="2" t="str">
        <f>IF(A272="","",SUMIFS('Validaciones Cotizador'!B:B,'Validaciones Cotizador'!C:C,D272,'Validaciones Cotizador'!A:A,A272))</f>
        <v/>
      </c>
      <c r="D272" s="4" t="str">
        <f>IFERROR(__xludf.DUMMYFUNCTION("IF(OR(F271=""Finalizar"",F271="""",F271=""Selecciona..""),"""",IF(OR(F271=""-"",INDEX(filter(Familias!F:F,Familias!D:D=A271,Familias!E:E=C271),1)=""O""),D271+1,D271))"),"")</f>
        <v/>
      </c>
      <c r="E272" s="2" t="str">
        <f>IF(OR(F272="",F272="Selecciona.."),"",IF(D272="Implemento",SUMIF(Implementos!B:B,F272,Implementos!A:A),SUMIF(Productos!E:E,F272,Productos!A:A)))</f>
        <v/>
      </c>
      <c r="F272" s="2" t="str">
        <f t="shared" si="2"/>
        <v/>
      </c>
      <c r="G272" s="10" t="str">
        <f t="array" ref="G272">IF(OR(F272="",F272="-",F272="Selecciona..",F272="Finalizar"),"",IF(A272="Rodados",XLOOKUP(B272,'Validaciones Cotizador'!I:I,'Validaciones Cotizador'!J:J,0,0,1),1))</f>
        <v/>
      </c>
      <c r="H272" s="11" t="str">
        <f>IF(OR(F272="",F272="Selecciona.."),"",SUMIF(Precio_Productos!K:K,E272,Precio_Productos!J:J)*G272)</f>
        <v/>
      </c>
      <c r="I272" s="4" t="str">
        <f t="array" ref="I272">IF($E272="","", XLOOKUP(SUMIFS(Prod_Prop!$A:$A,Prod_Prop!$B:$B,$E272,Prod_Prop!$H:$H,I$1,Prod_Prop!$I:$I,"Exacto"),Prod_Prop!$A:$A,Prod_Prop!$J:$J,"",0,1))</f>
        <v/>
      </c>
      <c r="J272" s="4" t="str">
        <f t="array" ref="J272">IF($E272="","", XLOOKUP(SUMIFS(Prod_Prop!$A:$A,Prod_Prop!$B:$B,$E272,Prod_Prop!$H:$H,J$1,Prod_Prop!$I:$I,"Exacto"),Prod_Prop!$A:$A,Prod_Prop!$J:$J,"",0,1))</f>
        <v/>
      </c>
      <c r="K272" s="4" t="str">
        <f t="array" ref="K272">IF($E272="","", XLOOKUP(SUMIFS(Prod_Prop!$A:$A,Prod_Prop!$B:$B,$E272,Prod_Prop!$H:$H,K$1,Prod_Prop!$I:$I,"Exacto"),Prod_Prop!$A:$A,Prod_Prop!$J:$J,"",0,1))</f>
        <v/>
      </c>
      <c r="L272" s="4" t="str">
        <f t="array" ref="L272">IF($E272="","", XLOOKUP(SUMIFS(Prod_Prop!$A:$A,Prod_Prop!$B:$B,$E272,Prod_Prop!$H:$H,L$1,Prod_Prop!$I:$I,"Exacto"),Prod_Prop!$A:$A,Prod_Prop!$J:$J,"",0,1))</f>
        <v/>
      </c>
      <c r="M272" s="4" t="str">
        <f t="array" ref="M272">IF($E272="","", XLOOKUP(SUMIFS(Prod_Prop!$A:$A,Prod_Prop!$B:$B,$E272,Prod_Prop!$H:$H,M$1,Prod_Prop!$I:$I,"Exacto"),Prod_Prop!$A:$A,Prod_Prop!$J:$J,"",0,1))</f>
        <v/>
      </c>
      <c r="N272" s="4" t="str">
        <f t="array" ref="N272">IF($E272="","", XLOOKUP(SUMIFS(Prod_Prop!$A:$A,Prod_Prop!$B:$B,$E272,Prod_Prop!$H:$H,N$1,Prod_Prop!$I:$I,"Exacto"),Prod_Prop!$A:$A,Prod_Prop!$J:$J,"",0,1))</f>
        <v/>
      </c>
      <c r="O272" s="4" t="str">
        <f t="array" ref="O272">IF($E272="","", XLOOKUP(SUMIFS(Prod_Prop!$A:$A,Prod_Prop!$B:$B,$E272,Prod_Prop!$H:$H,O$1,Prod_Prop!$I:$I,"Exacto"),Prod_Prop!$A:$A,Prod_Prop!$J:$J,"",0,1))</f>
        <v/>
      </c>
      <c r="P272" s="4" t="str">
        <f t="array" ref="P272">IF($E272="","", XLOOKUP(SUMIFS(Prod_Prop!$A:$A,Prod_Prop!$B:$B,$E272,Prod_Prop!$H:$H,P$1,Prod_Prop!$I:$I,"Exacto"),Prod_Prop!$A:$A,Prod_Prop!$J:$J,"",0,1))</f>
        <v/>
      </c>
      <c r="Q272" s="4" t="str">
        <f t="array" ref="Q272">IF($E272="","", XLOOKUP(SUMIFS(Prod_Prop!$A:$A,Prod_Prop!$B:$B,$E272,Prod_Prop!$H:$H,Q$1,Prod_Prop!$I:$I,"Exacto"),Prod_Prop!$A:$A,Prod_Prop!$J:$J,"",0,1))</f>
        <v/>
      </c>
      <c r="R272" s="4" t="str">
        <f t="array" ref="R272">IF($E272="","", XLOOKUP(SUMIFS(Prod_Prop!$A:$A,Prod_Prop!$B:$B,$E272,Prod_Prop!$H:$H,R$1,Prod_Prop!$I:$I,"Exacto"),Prod_Prop!$A:$A,Prod_Prop!$J:$J,"",0,1))</f>
        <v/>
      </c>
      <c r="S272" s="4" t="str">
        <f t="array" ref="S272">IF($E272="","", XLOOKUP(SUMIFS(Prod_Prop!$A:$A,Prod_Prop!$B:$B,$E272,Prod_Prop!$H:$H,S$1,Prod_Prop!$I:$I,"Exacto"),Prod_Prop!$A:$A,Prod_Prop!$J:$J,"",0,1))</f>
        <v/>
      </c>
      <c r="T272" s="4" t="str">
        <f t="array" ref="T272">IF($E272="","", XLOOKUP(SUMIFS(Prod_Prop!$A:$A,Prod_Prop!$B:$B,$E272,Prod_Prop!$H:$H,T$1,Prod_Prop!$I:$I,"Exacto"),Prod_Prop!$A:$A,Prod_Prop!$J:$J,"",0,1))</f>
        <v/>
      </c>
      <c r="U272" s="4" t="str">
        <f t="array" ref="U272">IF($E272="","", XLOOKUP(SUMIFS(Prod_Prop!$A:$A,Prod_Prop!$B:$B,$E272,Prod_Prop!$H:$H,U$1,Prod_Prop!$I:$I,"Exacto"),Prod_Prop!$A:$A,Prod_Prop!$J:$J,"",0,1))</f>
        <v/>
      </c>
      <c r="V272" s="4" t="str">
        <f t="array" ref="V272">IF($E272="","", XLOOKUP(SUMIFS(Prod_Prop!$A:$A,Prod_Prop!$B:$B,$E272,Prod_Prop!$H:$H,V$1,Prod_Prop!$I:$I,"Exacto"),Prod_Prop!$A:$A,Prod_Prop!$J:$J,"",0,1))</f>
        <v/>
      </c>
      <c r="X272" s="3" t="str">
        <f>IFERROR(__xludf.DUMMYFUNCTION("IF(D272="""","""",IFERROR(TRANSPOSE(FILTER('Validaciones Cotizador'!U:U,'Validaciones Cotizador'!O:O=D272,'Validaciones Cotizador'!T:T=""x"")),""Finalizar""))"),"")</f>
        <v/>
      </c>
    </row>
    <row r="273">
      <c r="A273" s="2" t="str">
        <f t="array" ref="A273">IF(E273="","",XLOOKUP(D273,'Validaciones Cotizador'!C:C,'Validaciones Cotizador'!A:A,"",0,1))</f>
        <v/>
      </c>
      <c r="B273" s="2" t="str">
        <f t="array" ref="B273">IF(F273="","",XLOOKUP(F273,Productos!E:E,Productos!G:G,"",0,1))</f>
        <v/>
      </c>
      <c r="C273" s="2" t="str">
        <f>IF(A273="","",SUMIFS('Validaciones Cotizador'!B:B,'Validaciones Cotizador'!C:C,D273,'Validaciones Cotizador'!A:A,A273))</f>
        <v/>
      </c>
      <c r="D273" s="4" t="str">
        <f>IFERROR(__xludf.DUMMYFUNCTION("IF(OR(F272=""Finalizar"",F272="""",F272=""Selecciona..""),"""",IF(OR(F272=""-"",INDEX(filter(Familias!F:F,Familias!D:D=A272,Familias!E:E=C272),1)=""O""),D272+1,D272))"),"")</f>
        <v/>
      </c>
      <c r="E273" s="2" t="str">
        <f>IF(OR(F273="",F273="Selecciona.."),"",IF(D273="Implemento",SUMIF(Implementos!B:B,F273,Implementos!A:A),SUMIF(Productos!E:E,F273,Productos!A:A)))</f>
        <v/>
      </c>
      <c r="F273" s="2" t="str">
        <f t="shared" si="2"/>
        <v/>
      </c>
      <c r="G273" s="10" t="str">
        <f t="array" ref="G273">IF(OR(F273="",F273="-",F273="Selecciona..",F273="Finalizar"),"",IF(A273="Rodados",XLOOKUP(B273,'Validaciones Cotizador'!I:I,'Validaciones Cotizador'!J:J,0,0,1),1))</f>
        <v/>
      </c>
      <c r="H273" s="11" t="str">
        <f>IF(OR(F273="",F273="Selecciona.."),"",SUMIF(Precio_Productos!K:K,E273,Precio_Productos!J:J)*G273)</f>
        <v/>
      </c>
      <c r="I273" s="4" t="str">
        <f t="array" ref="I273">IF($E273="","", XLOOKUP(SUMIFS(Prod_Prop!$A:$A,Prod_Prop!$B:$B,$E273,Prod_Prop!$H:$H,I$1,Prod_Prop!$I:$I,"Exacto"),Prod_Prop!$A:$A,Prod_Prop!$J:$J,"",0,1))</f>
        <v/>
      </c>
      <c r="J273" s="4" t="str">
        <f t="array" ref="J273">IF($E273="","", XLOOKUP(SUMIFS(Prod_Prop!$A:$A,Prod_Prop!$B:$B,$E273,Prod_Prop!$H:$H,J$1,Prod_Prop!$I:$I,"Exacto"),Prod_Prop!$A:$A,Prod_Prop!$J:$J,"",0,1))</f>
        <v/>
      </c>
      <c r="K273" s="4" t="str">
        <f t="array" ref="K273">IF($E273="","", XLOOKUP(SUMIFS(Prod_Prop!$A:$A,Prod_Prop!$B:$B,$E273,Prod_Prop!$H:$H,K$1,Prod_Prop!$I:$I,"Exacto"),Prod_Prop!$A:$A,Prod_Prop!$J:$J,"",0,1))</f>
        <v/>
      </c>
      <c r="L273" s="4" t="str">
        <f t="array" ref="L273">IF($E273="","", XLOOKUP(SUMIFS(Prod_Prop!$A:$A,Prod_Prop!$B:$B,$E273,Prod_Prop!$H:$H,L$1,Prod_Prop!$I:$I,"Exacto"),Prod_Prop!$A:$A,Prod_Prop!$J:$J,"",0,1))</f>
        <v/>
      </c>
      <c r="M273" s="4" t="str">
        <f t="array" ref="M273">IF($E273="","", XLOOKUP(SUMIFS(Prod_Prop!$A:$A,Prod_Prop!$B:$B,$E273,Prod_Prop!$H:$H,M$1,Prod_Prop!$I:$I,"Exacto"),Prod_Prop!$A:$A,Prod_Prop!$J:$J,"",0,1))</f>
        <v/>
      </c>
      <c r="N273" s="4" t="str">
        <f t="array" ref="N273">IF($E273="","", XLOOKUP(SUMIFS(Prod_Prop!$A:$A,Prod_Prop!$B:$B,$E273,Prod_Prop!$H:$H,N$1,Prod_Prop!$I:$I,"Exacto"),Prod_Prop!$A:$A,Prod_Prop!$J:$J,"",0,1))</f>
        <v/>
      </c>
      <c r="O273" s="4" t="str">
        <f t="array" ref="O273">IF($E273="","", XLOOKUP(SUMIFS(Prod_Prop!$A:$A,Prod_Prop!$B:$B,$E273,Prod_Prop!$H:$H,O$1,Prod_Prop!$I:$I,"Exacto"),Prod_Prop!$A:$A,Prod_Prop!$J:$J,"",0,1))</f>
        <v/>
      </c>
      <c r="P273" s="4" t="str">
        <f t="array" ref="P273">IF($E273="","", XLOOKUP(SUMIFS(Prod_Prop!$A:$A,Prod_Prop!$B:$B,$E273,Prod_Prop!$H:$H,P$1,Prod_Prop!$I:$I,"Exacto"),Prod_Prop!$A:$A,Prod_Prop!$J:$J,"",0,1))</f>
        <v/>
      </c>
      <c r="Q273" s="4" t="str">
        <f t="array" ref="Q273">IF($E273="","", XLOOKUP(SUMIFS(Prod_Prop!$A:$A,Prod_Prop!$B:$B,$E273,Prod_Prop!$H:$H,Q$1,Prod_Prop!$I:$I,"Exacto"),Prod_Prop!$A:$A,Prod_Prop!$J:$J,"",0,1))</f>
        <v/>
      </c>
      <c r="R273" s="4" t="str">
        <f t="array" ref="R273">IF($E273="","", XLOOKUP(SUMIFS(Prod_Prop!$A:$A,Prod_Prop!$B:$B,$E273,Prod_Prop!$H:$H,R$1,Prod_Prop!$I:$I,"Exacto"),Prod_Prop!$A:$A,Prod_Prop!$J:$J,"",0,1))</f>
        <v/>
      </c>
      <c r="S273" s="4" t="str">
        <f t="array" ref="S273">IF($E273="","", XLOOKUP(SUMIFS(Prod_Prop!$A:$A,Prod_Prop!$B:$B,$E273,Prod_Prop!$H:$H,S$1,Prod_Prop!$I:$I,"Exacto"),Prod_Prop!$A:$A,Prod_Prop!$J:$J,"",0,1))</f>
        <v/>
      </c>
      <c r="T273" s="4" t="str">
        <f t="array" ref="T273">IF($E273="","", XLOOKUP(SUMIFS(Prod_Prop!$A:$A,Prod_Prop!$B:$B,$E273,Prod_Prop!$H:$H,T$1,Prod_Prop!$I:$I,"Exacto"),Prod_Prop!$A:$A,Prod_Prop!$J:$J,"",0,1))</f>
        <v/>
      </c>
      <c r="U273" s="4" t="str">
        <f t="array" ref="U273">IF($E273="","", XLOOKUP(SUMIFS(Prod_Prop!$A:$A,Prod_Prop!$B:$B,$E273,Prod_Prop!$H:$H,U$1,Prod_Prop!$I:$I,"Exacto"),Prod_Prop!$A:$A,Prod_Prop!$J:$J,"",0,1))</f>
        <v/>
      </c>
      <c r="V273" s="4" t="str">
        <f t="array" ref="V273">IF($E273="","", XLOOKUP(SUMIFS(Prod_Prop!$A:$A,Prod_Prop!$B:$B,$E273,Prod_Prop!$H:$H,V$1,Prod_Prop!$I:$I,"Exacto"),Prod_Prop!$A:$A,Prod_Prop!$J:$J,"",0,1))</f>
        <v/>
      </c>
      <c r="X273" s="3" t="str">
        <f>IFERROR(__xludf.DUMMYFUNCTION("IF(D273="""","""",IFERROR(TRANSPOSE(FILTER('Validaciones Cotizador'!U:U,'Validaciones Cotizador'!O:O=D273,'Validaciones Cotizador'!T:T=""x"")),""Finalizar""))"),"")</f>
        <v/>
      </c>
    </row>
    <row r="274">
      <c r="A274" s="2" t="str">
        <f t="array" ref="A274">IF(E274="","",XLOOKUP(D274,'Validaciones Cotizador'!C:C,'Validaciones Cotizador'!A:A,"",0,1))</f>
        <v/>
      </c>
      <c r="B274" s="2" t="str">
        <f t="array" ref="B274">IF(F274="","",XLOOKUP(F274,Productos!E:E,Productos!G:G,"",0,1))</f>
        <v/>
      </c>
      <c r="C274" s="2" t="str">
        <f>IF(A274="","",SUMIFS('Validaciones Cotizador'!B:B,'Validaciones Cotizador'!C:C,D274,'Validaciones Cotizador'!A:A,A274))</f>
        <v/>
      </c>
      <c r="D274" s="4" t="str">
        <f>IFERROR(__xludf.DUMMYFUNCTION("IF(OR(F273=""Finalizar"",F273="""",F273=""Selecciona..""),"""",IF(OR(F273=""-"",INDEX(filter(Familias!F:F,Familias!D:D=A273,Familias!E:E=C273),1)=""O""),D273+1,D273))"),"")</f>
        <v/>
      </c>
      <c r="E274" s="2" t="str">
        <f>IF(OR(F274="",F274="Selecciona.."),"",IF(D274="Implemento",SUMIF(Implementos!B:B,F274,Implementos!A:A),SUMIF(Productos!E:E,F274,Productos!A:A)))</f>
        <v/>
      </c>
      <c r="F274" s="2" t="str">
        <f t="shared" si="2"/>
        <v/>
      </c>
      <c r="G274" s="10" t="str">
        <f t="array" ref="G274">IF(OR(F274="",F274="-",F274="Selecciona..",F274="Finalizar"),"",IF(A274="Rodados",XLOOKUP(B274,'Validaciones Cotizador'!I:I,'Validaciones Cotizador'!J:J,0,0,1),1))</f>
        <v/>
      </c>
      <c r="H274" s="11" t="str">
        <f>IF(OR(F274="",F274="Selecciona.."),"",SUMIF(Precio_Productos!K:K,E274,Precio_Productos!J:J)*G274)</f>
        <v/>
      </c>
      <c r="I274" s="4" t="str">
        <f t="array" ref="I274">IF($E274="","", XLOOKUP(SUMIFS(Prod_Prop!$A:$A,Prod_Prop!$B:$B,$E274,Prod_Prop!$H:$H,I$1,Prod_Prop!$I:$I,"Exacto"),Prod_Prop!$A:$A,Prod_Prop!$J:$J,"",0,1))</f>
        <v/>
      </c>
      <c r="J274" s="4" t="str">
        <f t="array" ref="J274">IF($E274="","", XLOOKUP(SUMIFS(Prod_Prop!$A:$A,Prod_Prop!$B:$B,$E274,Prod_Prop!$H:$H,J$1,Prod_Prop!$I:$I,"Exacto"),Prod_Prop!$A:$A,Prod_Prop!$J:$J,"",0,1))</f>
        <v/>
      </c>
      <c r="K274" s="4" t="str">
        <f t="array" ref="K274">IF($E274="","", XLOOKUP(SUMIFS(Prod_Prop!$A:$A,Prod_Prop!$B:$B,$E274,Prod_Prop!$H:$H,K$1,Prod_Prop!$I:$I,"Exacto"),Prod_Prop!$A:$A,Prod_Prop!$J:$J,"",0,1))</f>
        <v/>
      </c>
      <c r="L274" s="4" t="str">
        <f t="array" ref="L274">IF($E274="","", XLOOKUP(SUMIFS(Prod_Prop!$A:$A,Prod_Prop!$B:$B,$E274,Prod_Prop!$H:$H,L$1,Prod_Prop!$I:$I,"Exacto"),Prod_Prop!$A:$A,Prod_Prop!$J:$J,"",0,1))</f>
        <v/>
      </c>
      <c r="M274" s="4" t="str">
        <f t="array" ref="M274">IF($E274="","", XLOOKUP(SUMIFS(Prod_Prop!$A:$A,Prod_Prop!$B:$B,$E274,Prod_Prop!$H:$H,M$1,Prod_Prop!$I:$I,"Exacto"),Prod_Prop!$A:$A,Prod_Prop!$J:$J,"",0,1))</f>
        <v/>
      </c>
      <c r="N274" s="4" t="str">
        <f t="array" ref="N274">IF($E274="","", XLOOKUP(SUMIFS(Prod_Prop!$A:$A,Prod_Prop!$B:$B,$E274,Prod_Prop!$H:$H,N$1,Prod_Prop!$I:$I,"Exacto"),Prod_Prop!$A:$A,Prod_Prop!$J:$J,"",0,1))</f>
        <v/>
      </c>
      <c r="O274" s="4" t="str">
        <f t="array" ref="O274">IF($E274="","", XLOOKUP(SUMIFS(Prod_Prop!$A:$A,Prod_Prop!$B:$B,$E274,Prod_Prop!$H:$H,O$1,Prod_Prop!$I:$I,"Exacto"),Prod_Prop!$A:$A,Prod_Prop!$J:$J,"",0,1))</f>
        <v/>
      </c>
      <c r="P274" s="4" t="str">
        <f t="array" ref="P274">IF($E274="","", XLOOKUP(SUMIFS(Prod_Prop!$A:$A,Prod_Prop!$B:$B,$E274,Prod_Prop!$H:$H,P$1,Prod_Prop!$I:$I,"Exacto"),Prod_Prop!$A:$A,Prod_Prop!$J:$J,"",0,1))</f>
        <v/>
      </c>
      <c r="Q274" s="4" t="str">
        <f t="array" ref="Q274">IF($E274="","", XLOOKUP(SUMIFS(Prod_Prop!$A:$A,Prod_Prop!$B:$B,$E274,Prod_Prop!$H:$H,Q$1,Prod_Prop!$I:$I,"Exacto"),Prod_Prop!$A:$A,Prod_Prop!$J:$J,"",0,1))</f>
        <v/>
      </c>
      <c r="R274" s="4" t="str">
        <f t="array" ref="R274">IF($E274="","", XLOOKUP(SUMIFS(Prod_Prop!$A:$A,Prod_Prop!$B:$B,$E274,Prod_Prop!$H:$H,R$1,Prod_Prop!$I:$I,"Exacto"),Prod_Prop!$A:$A,Prod_Prop!$J:$J,"",0,1))</f>
        <v/>
      </c>
      <c r="S274" s="4" t="str">
        <f t="array" ref="S274">IF($E274="","", XLOOKUP(SUMIFS(Prod_Prop!$A:$A,Prod_Prop!$B:$B,$E274,Prod_Prop!$H:$H,S$1,Prod_Prop!$I:$I,"Exacto"),Prod_Prop!$A:$A,Prod_Prop!$J:$J,"",0,1))</f>
        <v/>
      </c>
      <c r="T274" s="4" t="str">
        <f t="array" ref="T274">IF($E274="","", XLOOKUP(SUMIFS(Prod_Prop!$A:$A,Prod_Prop!$B:$B,$E274,Prod_Prop!$H:$H,T$1,Prod_Prop!$I:$I,"Exacto"),Prod_Prop!$A:$A,Prod_Prop!$J:$J,"",0,1))</f>
        <v/>
      </c>
      <c r="U274" s="4" t="str">
        <f t="array" ref="U274">IF($E274="","", XLOOKUP(SUMIFS(Prod_Prop!$A:$A,Prod_Prop!$B:$B,$E274,Prod_Prop!$H:$H,U$1,Prod_Prop!$I:$I,"Exacto"),Prod_Prop!$A:$A,Prod_Prop!$J:$J,"",0,1))</f>
        <v/>
      </c>
      <c r="V274" s="4" t="str">
        <f t="array" ref="V274">IF($E274="","", XLOOKUP(SUMIFS(Prod_Prop!$A:$A,Prod_Prop!$B:$B,$E274,Prod_Prop!$H:$H,V$1,Prod_Prop!$I:$I,"Exacto"),Prod_Prop!$A:$A,Prod_Prop!$J:$J,"",0,1))</f>
        <v/>
      </c>
      <c r="X274" s="3" t="str">
        <f>IFERROR(__xludf.DUMMYFUNCTION("IF(D274="""","""",IFERROR(TRANSPOSE(FILTER('Validaciones Cotizador'!U:U,'Validaciones Cotizador'!O:O=D274,'Validaciones Cotizador'!T:T=""x"")),""Finalizar""))"),"")</f>
        <v/>
      </c>
    </row>
    <row r="275">
      <c r="A275" s="2" t="str">
        <f t="array" ref="A275">IF(E275="","",XLOOKUP(D275,'Validaciones Cotizador'!C:C,'Validaciones Cotizador'!A:A,"",0,1))</f>
        <v/>
      </c>
      <c r="B275" s="2" t="str">
        <f t="array" ref="B275">IF(F275="","",XLOOKUP(F275,Productos!E:E,Productos!G:G,"",0,1))</f>
        <v/>
      </c>
      <c r="C275" s="2" t="str">
        <f>IF(A275="","",SUMIFS('Validaciones Cotizador'!B:B,'Validaciones Cotizador'!C:C,D275,'Validaciones Cotizador'!A:A,A275))</f>
        <v/>
      </c>
      <c r="D275" s="4" t="str">
        <f>IFERROR(__xludf.DUMMYFUNCTION("IF(OR(F274=""Finalizar"",F274="""",F274=""Selecciona..""),"""",IF(OR(F274=""-"",INDEX(filter(Familias!F:F,Familias!D:D=A274,Familias!E:E=C274),1)=""O""),D274+1,D274))"),"")</f>
        <v/>
      </c>
      <c r="E275" s="2" t="str">
        <f>IF(OR(F275="",F275="Selecciona.."),"",IF(D275="Implemento",SUMIF(Implementos!B:B,F275,Implementos!A:A),SUMIF(Productos!E:E,F275,Productos!A:A)))</f>
        <v/>
      </c>
      <c r="F275" s="2" t="str">
        <f t="shared" si="2"/>
        <v/>
      </c>
      <c r="G275" s="10" t="str">
        <f t="array" ref="G275">IF(OR(F275="",F275="-",F275="Selecciona..",F275="Finalizar"),"",IF(A275="Rodados",XLOOKUP(B275,'Validaciones Cotizador'!I:I,'Validaciones Cotizador'!J:J,0,0,1),1))</f>
        <v/>
      </c>
      <c r="H275" s="11" t="str">
        <f>IF(OR(F275="",F275="Selecciona.."),"",SUMIF(Precio_Productos!K:K,E275,Precio_Productos!J:J)*G275)</f>
        <v/>
      </c>
      <c r="I275" s="4" t="str">
        <f t="array" ref="I275">IF($E275="","", XLOOKUP(SUMIFS(Prod_Prop!$A:$A,Prod_Prop!$B:$B,$E275,Prod_Prop!$H:$H,I$1,Prod_Prop!$I:$I,"Exacto"),Prod_Prop!$A:$A,Prod_Prop!$J:$J,"",0,1))</f>
        <v/>
      </c>
      <c r="J275" s="4" t="str">
        <f t="array" ref="J275">IF($E275="","", XLOOKUP(SUMIFS(Prod_Prop!$A:$A,Prod_Prop!$B:$B,$E275,Prod_Prop!$H:$H,J$1,Prod_Prop!$I:$I,"Exacto"),Prod_Prop!$A:$A,Prod_Prop!$J:$J,"",0,1))</f>
        <v/>
      </c>
      <c r="K275" s="4" t="str">
        <f t="array" ref="K275">IF($E275="","", XLOOKUP(SUMIFS(Prod_Prop!$A:$A,Prod_Prop!$B:$B,$E275,Prod_Prop!$H:$H,K$1,Prod_Prop!$I:$I,"Exacto"),Prod_Prop!$A:$A,Prod_Prop!$J:$J,"",0,1))</f>
        <v/>
      </c>
      <c r="L275" s="4" t="str">
        <f t="array" ref="L275">IF($E275="","", XLOOKUP(SUMIFS(Prod_Prop!$A:$A,Prod_Prop!$B:$B,$E275,Prod_Prop!$H:$H,L$1,Prod_Prop!$I:$I,"Exacto"),Prod_Prop!$A:$A,Prod_Prop!$J:$J,"",0,1))</f>
        <v/>
      </c>
      <c r="M275" s="4" t="str">
        <f t="array" ref="M275">IF($E275="","", XLOOKUP(SUMIFS(Prod_Prop!$A:$A,Prod_Prop!$B:$B,$E275,Prod_Prop!$H:$H,M$1,Prod_Prop!$I:$I,"Exacto"),Prod_Prop!$A:$A,Prod_Prop!$J:$J,"",0,1))</f>
        <v/>
      </c>
      <c r="N275" s="4" t="str">
        <f t="array" ref="N275">IF($E275="","", XLOOKUP(SUMIFS(Prod_Prop!$A:$A,Prod_Prop!$B:$B,$E275,Prod_Prop!$H:$H,N$1,Prod_Prop!$I:$I,"Exacto"),Prod_Prop!$A:$A,Prod_Prop!$J:$J,"",0,1))</f>
        <v/>
      </c>
      <c r="O275" s="4" t="str">
        <f t="array" ref="O275">IF($E275="","", XLOOKUP(SUMIFS(Prod_Prop!$A:$A,Prod_Prop!$B:$B,$E275,Prod_Prop!$H:$H,O$1,Prod_Prop!$I:$I,"Exacto"),Prod_Prop!$A:$A,Prod_Prop!$J:$J,"",0,1))</f>
        <v/>
      </c>
      <c r="P275" s="4" t="str">
        <f t="array" ref="P275">IF($E275="","", XLOOKUP(SUMIFS(Prod_Prop!$A:$A,Prod_Prop!$B:$B,$E275,Prod_Prop!$H:$H,P$1,Prod_Prop!$I:$I,"Exacto"),Prod_Prop!$A:$A,Prod_Prop!$J:$J,"",0,1))</f>
        <v/>
      </c>
      <c r="Q275" s="4" t="str">
        <f t="array" ref="Q275">IF($E275="","", XLOOKUP(SUMIFS(Prod_Prop!$A:$A,Prod_Prop!$B:$B,$E275,Prod_Prop!$H:$H,Q$1,Prod_Prop!$I:$I,"Exacto"),Prod_Prop!$A:$A,Prod_Prop!$J:$J,"",0,1))</f>
        <v/>
      </c>
      <c r="R275" s="4" t="str">
        <f t="array" ref="R275">IF($E275="","", XLOOKUP(SUMIFS(Prod_Prop!$A:$A,Prod_Prop!$B:$B,$E275,Prod_Prop!$H:$H,R$1,Prod_Prop!$I:$I,"Exacto"),Prod_Prop!$A:$A,Prod_Prop!$J:$J,"",0,1))</f>
        <v/>
      </c>
      <c r="S275" s="4" t="str">
        <f t="array" ref="S275">IF($E275="","", XLOOKUP(SUMIFS(Prod_Prop!$A:$A,Prod_Prop!$B:$B,$E275,Prod_Prop!$H:$H,S$1,Prod_Prop!$I:$I,"Exacto"),Prod_Prop!$A:$A,Prod_Prop!$J:$J,"",0,1))</f>
        <v/>
      </c>
      <c r="T275" s="4" t="str">
        <f t="array" ref="T275">IF($E275="","", XLOOKUP(SUMIFS(Prod_Prop!$A:$A,Prod_Prop!$B:$B,$E275,Prod_Prop!$H:$H,T$1,Prod_Prop!$I:$I,"Exacto"),Prod_Prop!$A:$A,Prod_Prop!$J:$J,"",0,1))</f>
        <v/>
      </c>
      <c r="U275" s="4" t="str">
        <f t="array" ref="U275">IF($E275="","", XLOOKUP(SUMIFS(Prod_Prop!$A:$A,Prod_Prop!$B:$B,$E275,Prod_Prop!$H:$H,U$1,Prod_Prop!$I:$I,"Exacto"),Prod_Prop!$A:$A,Prod_Prop!$J:$J,"",0,1))</f>
        <v/>
      </c>
      <c r="V275" s="4" t="str">
        <f t="array" ref="V275">IF($E275="","", XLOOKUP(SUMIFS(Prod_Prop!$A:$A,Prod_Prop!$B:$B,$E275,Prod_Prop!$H:$H,V$1,Prod_Prop!$I:$I,"Exacto"),Prod_Prop!$A:$A,Prod_Prop!$J:$J,"",0,1))</f>
        <v/>
      </c>
      <c r="X275" s="3" t="str">
        <f>IFERROR(__xludf.DUMMYFUNCTION("IF(D275="""","""",IFERROR(TRANSPOSE(FILTER('Validaciones Cotizador'!U:U,'Validaciones Cotizador'!O:O=D275,'Validaciones Cotizador'!T:T=""x"")),""Finalizar""))"),"")</f>
        <v/>
      </c>
    </row>
    <row r="276">
      <c r="A276" s="2" t="str">
        <f t="array" ref="A276">IF(E276="","",XLOOKUP(D276,'Validaciones Cotizador'!C:C,'Validaciones Cotizador'!A:A,"",0,1))</f>
        <v/>
      </c>
      <c r="B276" s="2" t="str">
        <f t="array" ref="B276">IF(F276="","",XLOOKUP(F276,Productos!E:E,Productos!G:G,"",0,1))</f>
        <v/>
      </c>
      <c r="C276" s="2" t="str">
        <f>IF(A276="","",SUMIFS('Validaciones Cotizador'!B:B,'Validaciones Cotizador'!C:C,D276,'Validaciones Cotizador'!A:A,A276))</f>
        <v/>
      </c>
      <c r="D276" s="4" t="str">
        <f>IFERROR(__xludf.DUMMYFUNCTION("IF(OR(F275=""Finalizar"",F275="""",F275=""Selecciona..""),"""",IF(OR(F275=""-"",INDEX(filter(Familias!F:F,Familias!D:D=A275,Familias!E:E=C275),1)=""O""),D275+1,D275))"),"")</f>
        <v/>
      </c>
      <c r="E276" s="2" t="str">
        <f>IF(OR(F276="",F276="Selecciona.."),"",IF(D276="Implemento",SUMIF(Implementos!B:B,F276,Implementos!A:A),SUMIF(Productos!E:E,F276,Productos!A:A)))</f>
        <v/>
      </c>
      <c r="F276" s="2" t="str">
        <f t="shared" si="2"/>
        <v/>
      </c>
      <c r="G276" s="10" t="str">
        <f t="array" ref="G276">IF(OR(F276="",F276="-",F276="Selecciona..",F276="Finalizar"),"",IF(A276="Rodados",XLOOKUP(B276,'Validaciones Cotizador'!I:I,'Validaciones Cotizador'!J:J,0,0,1),1))</f>
        <v/>
      </c>
      <c r="H276" s="11" t="str">
        <f>IF(OR(F276="",F276="Selecciona.."),"",SUMIF(Precio_Productos!K:K,E276,Precio_Productos!J:J)*G276)</f>
        <v/>
      </c>
      <c r="I276" s="4" t="str">
        <f t="array" ref="I276">IF($E276="","", XLOOKUP(SUMIFS(Prod_Prop!$A:$A,Prod_Prop!$B:$B,$E276,Prod_Prop!$H:$H,I$1,Prod_Prop!$I:$I,"Exacto"),Prod_Prop!$A:$A,Prod_Prop!$J:$J,"",0,1))</f>
        <v/>
      </c>
      <c r="J276" s="4" t="str">
        <f t="array" ref="J276">IF($E276="","", XLOOKUP(SUMIFS(Prod_Prop!$A:$A,Prod_Prop!$B:$B,$E276,Prod_Prop!$H:$H,J$1,Prod_Prop!$I:$I,"Exacto"),Prod_Prop!$A:$A,Prod_Prop!$J:$J,"",0,1))</f>
        <v/>
      </c>
      <c r="K276" s="4" t="str">
        <f t="array" ref="K276">IF($E276="","", XLOOKUP(SUMIFS(Prod_Prop!$A:$A,Prod_Prop!$B:$B,$E276,Prod_Prop!$H:$H,K$1,Prod_Prop!$I:$I,"Exacto"),Prod_Prop!$A:$A,Prod_Prop!$J:$J,"",0,1))</f>
        <v/>
      </c>
      <c r="L276" s="4" t="str">
        <f t="array" ref="L276">IF($E276="","", XLOOKUP(SUMIFS(Prod_Prop!$A:$A,Prod_Prop!$B:$B,$E276,Prod_Prop!$H:$H,L$1,Prod_Prop!$I:$I,"Exacto"),Prod_Prop!$A:$A,Prod_Prop!$J:$J,"",0,1))</f>
        <v/>
      </c>
      <c r="M276" s="4" t="str">
        <f t="array" ref="M276">IF($E276="","", XLOOKUP(SUMIFS(Prod_Prop!$A:$A,Prod_Prop!$B:$B,$E276,Prod_Prop!$H:$H,M$1,Prod_Prop!$I:$I,"Exacto"),Prod_Prop!$A:$A,Prod_Prop!$J:$J,"",0,1))</f>
        <v/>
      </c>
      <c r="N276" s="4" t="str">
        <f t="array" ref="N276">IF($E276="","", XLOOKUP(SUMIFS(Prod_Prop!$A:$A,Prod_Prop!$B:$B,$E276,Prod_Prop!$H:$H,N$1,Prod_Prop!$I:$I,"Exacto"),Prod_Prop!$A:$A,Prod_Prop!$J:$J,"",0,1))</f>
        <v/>
      </c>
      <c r="O276" s="4" t="str">
        <f t="array" ref="O276">IF($E276="","", XLOOKUP(SUMIFS(Prod_Prop!$A:$A,Prod_Prop!$B:$B,$E276,Prod_Prop!$H:$H,O$1,Prod_Prop!$I:$I,"Exacto"),Prod_Prop!$A:$A,Prod_Prop!$J:$J,"",0,1))</f>
        <v/>
      </c>
      <c r="P276" s="4" t="str">
        <f t="array" ref="P276">IF($E276="","", XLOOKUP(SUMIFS(Prod_Prop!$A:$A,Prod_Prop!$B:$B,$E276,Prod_Prop!$H:$H,P$1,Prod_Prop!$I:$I,"Exacto"),Prod_Prop!$A:$A,Prod_Prop!$J:$J,"",0,1))</f>
        <v/>
      </c>
      <c r="Q276" s="4" t="str">
        <f t="array" ref="Q276">IF($E276="","", XLOOKUP(SUMIFS(Prod_Prop!$A:$A,Prod_Prop!$B:$B,$E276,Prod_Prop!$H:$H,Q$1,Prod_Prop!$I:$I,"Exacto"),Prod_Prop!$A:$A,Prod_Prop!$J:$J,"",0,1))</f>
        <v/>
      </c>
      <c r="R276" s="4" t="str">
        <f t="array" ref="R276">IF($E276="","", XLOOKUP(SUMIFS(Prod_Prop!$A:$A,Prod_Prop!$B:$B,$E276,Prod_Prop!$H:$H,R$1,Prod_Prop!$I:$I,"Exacto"),Prod_Prop!$A:$A,Prod_Prop!$J:$J,"",0,1))</f>
        <v/>
      </c>
      <c r="S276" s="4" t="str">
        <f t="array" ref="S276">IF($E276="","", XLOOKUP(SUMIFS(Prod_Prop!$A:$A,Prod_Prop!$B:$B,$E276,Prod_Prop!$H:$H,S$1,Prod_Prop!$I:$I,"Exacto"),Prod_Prop!$A:$A,Prod_Prop!$J:$J,"",0,1))</f>
        <v/>
      </c>
      <c r="T276" s="4" t="str">
        <f t="array" ref="T276">IF($E276="","", XLOOKUP(SUMIFS(Prod_Prop!$A:$A,Prod_Prop!$B:$B,$E276,Prod_Prop!$H:$H,T$1,Prod_Prop!$I:$I,"Exacto"),Prod_Prop!$A:$A,Prod_Prop!$J:$J,"",0,1))</f>
        <v/>
      </c>
      <c r="U276" s="4" t="str">
        <f t="array" ref="U276">IF($E276="","", XLOOKUP(SUMIFS(Prod_Prop!$A:$A,Prod_Prop!$B:$B,$E276,Prod_Prop!$H:$H,U$1,Prod_Prop!$I:$I,"Exacto"),Prod_Prop!$A:$A,Prod_Prop!$J:$J,"",0,1))</f>
        <v/>
      </c>
      <c r="V276" s="4" t="str">
        <f t="array" ref="V276">IF($E276="","", XLOOKUP(SUMIFS(Prod_Prop!$A:$A,Prod_Prop!$B:$B,$E276,Prod_Prop!$H:$H,V$1,Prod_Prop!$I:$I,"Exacto"),Prod_Prop!$A:$A,Prod_Prop!$J:$J,"",0,1))</f>
        <v/>
      </c>
      <c r="X276" s="3" t="str">
        <f>IFERROR(__xludf.DUMMYFUNCTION("IF(D276="""","""",IFERROR(TRANSPOSE(FILTER('Validaciones Cotizador'!U:U,'Validaciones Cotizador'!O:O=D276,'Validaciones Cotizador'!T:T=""x"")),""Finalizar""))"),"")</f>
        <v/>
      </c>
    </row>
    <row r="277">
      <c r="A277" s="2" t="str">
        <f t="array" ref="A277">IF(E277="","",XLOOKUP(D277,'Validaciones Cotizador'!C:C,'Validaciones Cotizador'!A:A,"",0,1))</f>
        <v/>
      </c>
      <c r="B277" s="2" t="str">
        <f t="array" ref="B277">IF(F277="","",XLOOKUP(F277,Productos!E:E,Productos!G:G,"",0,1))</f>
        <v/>
      </c>
      <c r="C277" s="2" t="str">
        <f>IF(A277="","",SUMIFS('Validaciones Cotizador'!B:B,'Validaciones Cotizador'!C:C,D277,'Validaciones Cotizador'!A:A,A277))</f>
        <v/>
      </c>
      <c r="D277" s="4" t="str">
        <f>IFERROR(__xludf.DUMMYFUNCTION("IF(OR(F276=""Finalizar"",F276="""",F276=""Selecciona..""),"""",IF(OR(F276=""-"",INDEX(filter(Familias!F:F,Familias!D:D=A276,Familias!E:E=C276),1)=""O""),D276+1,D276))"),"")</f>
        <v/>
      </c>
      <c r="E277" s="2" t="str">
        <f>IF(OR(F277="",F277="Selecciona.."),"",IF(D277="Implemento",SUMIF(Implementos!B:B,F277,Implementos!A:A),SUMIF(Productos!E:E,F277,Productos!A:A)))</f>
        <v/>
      </c>
      <c r="F277" s="2" t="str">
        <f t="shared" si="2"/>
        <v/>
      </c>
      <c r="G277" s="10" t="str">
        <f t="array" ref="G277">IF(OR(F277="",F277="-",F277="Selecciona..",F277="Finalizar"),"",IF(A277="Rodados",XLOOKUP(B277,'Validaciones Cotizador'!I:I,'Validaciones Cotizador'!J:J,0,0,1),1))</f>
        <v/>
      </c>
      <c r="H277" s="11" t="str">
        <f>IF(OR(F277="",F277="Selecciona.."),"",SUMIF(Precio_Productos!K:K,E277,Precio_Productos!J:J)*G277)</f>
        <v/>
      </c>
      <c r="I277" s="4" t="str">
        <f t="array" ref="I277">IF($E277="","", XLOOKUP(SUMIFS(Prod_Prop!$A:$A,Prod_Prop!$B:$B,$E277,Prod_Prop!$H:$H,I$1,Prod_Prop!$I:$I,"Exacto"),Prod_Prop!$A:$A,Prod_Prop!$J:$J,"",0,1))</f>
        <v/>
      </c>
      <c r="J277" s="4" t="str">
        <f t="array" ref="J277">IF($E277="","", XLOOKUP(SUMIFS(Prod_Prop!$A:$A,Prod_Prop!$B:$B,$E277,Prod_Prop!$H:$H,J$1,Prod_Prop!$I:$I,"Exacto"),Prod_Prop!$A:$A,Prod_Prop!$J:$J,"",0,1))</f>
        <v/>
      </c>
      <c r="K277" s="4" t="str">
        <f t="array" ref="K277">IF($E277="","", XLOOKUP(SUMIFS(Prod_Prop!$A:$A,Prod_Prop!$B:$B,$E277,Prod_Prop!$H:$H,K$1,Prod_Prop!$I:$I,"Exacto"),Prod_Prop!$A:$A,Prod_Prop!$J:$J,"",0,1))</f>
        <v/>
      </c>
      <c r="L277" s="4" t="str">
        <f t="array" ref="L277">IF($E277="","", XLOOKUP(SUMIFS(Prod_Prop!$A:$A,Prod_Prop!$B:$B,$E277,Prod_Prop!$H:$H,L$1,Prod_Prop!$I:$I,"Exacto"),Prod_Prop!$A:$A,Prod_Prop!$J:$J,"",0,1))</f>
        <v/>
      </c>
      <c r="M277" s="4" t="str">
        <f t="array" ref="M277">IF($E277="","", XLOOKUP(SUMIFS(Prod_Prop!$A:$A,Prod_Prop!$B:$B,$E277,Prod_Prop!$H:$H,M$1,Prod_Prop!$I:$I,"Exacto"),Prod_Prop!$A:$A,Prod_Prop!$J:$J,"",0,1))</f>
        <v/>
      </c>
      <c r="N277" s="4" t="str">
        <f t="array" ref="N277">IF($E277="","", XLOOKUP(SUMIFS(Prod_Prop!$A:$A,Prod_Prop!$B:$B,$E277,Prod_Prop!$H:$H,N$1,Prod_Prop!$I:$I,"Exacto"),Prod_Prop!$A:$A,Prod_Prop!$J:$J,"",0,1))</f>
        <v/>
      </c>
      <c r="O277" s="4" t="str">
        <f t="array" ref="O277">IF($E277="","", XLOOKUP(SUMIFS(Prod_Prop!$A:$A,Prod_Prop!$B:$B,$E277,Prod_Prop!$H:$H,O$1,Prod_Prop!$I:$I,"Exacto"),Prod_Prop!$A:$A,Prod_Prop!$J:$J,"",0,1))</f>
        <v/>
      </c>
      <c r="P277" s="4" t="str">
        <f t="array" ref="P277">IF($E277="","", XLOOKUP(SUMIFS(Prod_Prop!$A:$A,Prod_Prop!$B:$B,$E277,Prod_Prop!$H:$H,P$1,Prod_Prop!$I:$I,"Exacto"),Prod_Prop!$A:$A,Prod_Prop!$J:$J,"",0,1))</f>
        <v/>
      </c>
      <c r="Q277" s="4" t="str">
        <f t="array" ref="Q277">IF($E277="","", XLOOKUP(SUMIFS(Prod_Prop!$A:$A,Prod_Prop!$B:$B,$E277,Prod_Prop!$H:$H,Q$1,Prod_Prop!$I:$I,"Exacto"),Prod_Prop!$A:$A,Prod_Prop!$J:$J,"",0,1))</f>
        <v/>
      </c>
      <c r="R277" s="4" t="str">
        <f t="array" ref="R277">IF($E277="","", XLOOKUP(SUMIFS(Prod_Prop!$A:$A,Prod_Prop!$B:$B,$E277,Prod_Prop!$H:$H,R$1,Prod_Prop!$I:$I,"Exacto"),Prod_Prop!$A:$A,Prod_Prop!$J:$J,"",0,1))</f>
        <v/>
      </c>
      <c r="S277" s="4" t="str">
        <f t="array" ref="S277">IF($E277="","", XLOOKUP(SUMIFS(Prod_Prop!$A:$A,Prod_Prop!$B:$B,$E277,Prod_Prop!$H:$H,S$1,Prod_Prop!$I:$I,"Exacto"),Prod_Prop!$A:$A,Prod_Prop!$J:$J,"",0,1))</f>
        <v/>
      </c>
      <c r="T277" s="4" t="str">
        <f t="array" ref="T277">IF($E277="","", XLOOKUP(SUMIFS(Prod_Prop!$A:$A,Prod_Prop!$B:$B,$E277,Prod_Prop!$H:$H,T$1,Prod_Prop!$I:$I,"Exacto"),Prod_Prop!$A:$A,Prod_Prop!$J:$J,"",0,1))</f>
        <v/>
      </c>
      <c r="U277" s="4" t="str">
        <f t="array" ref="U277">IF($E277="","", XLOOKUP(SUMIFS(Prod_Prop!$A:$A,Prod_Prop!$B:$B,$E277,Prod_Prop!$H:$H,U$1,Prod_Prop!$I:$I,"Exacto"),Prod_Prop!$A:$A,Prod_Prop!$J:$J,"",0,1))</f>
        <v/>
      </c>
      <c r="V277" s="4" t="str">
        <f t="array" ref="V277">IF($E277="","", XLOOKUP(SUMIFS(Prod_Prop!$A:$A,Prod_Prop!$B:$B,$E277,Prod_Prop!$H:$H,V$1,Prod_Prop!$I:$I,"Exacto"),Prod_Prop!$A:$A,Prod_Prop!$J:$J,"",0,1))</f>
        <v/>
      </c>
      <c r="X277" s="3" t="str">
        <f>IFERROR(__xludf.DUMMYFUNCTION("IF(D277="""","""",IFERROR(TRANSPOSE(FILTER('Validaciones Cotizador'!U:U,'Validaciones Cotizador'!O:O=D277,'Validaciones Cotizador'!T:T=""x"")),""Finalizar""))"),"")</f>
        <v/>
      </c>
    </row>
    <row r="278">
      <c r="A278" s="2" t="str">
        <f t="array" ref="A278">IF(E278="","",XLOOKUP(D278,'Validaciones Cotizador'!C:C,'Validaciones Cotizador'!A:A,"",0,1))</f>
        <v/>
      </c>
      <c r="B278" s="2" t="str">
        <f t="array" ref="B278">IF(F278="","",XLOOKUP(F278,Productos!E:E,Productos!G:G,"",0,1))</f>
        <v/>
      </c>
      <c r="C278" s="2" t="str">
        <f>IF(A278="","",SUMIFS('Validaciones Cotizador'!B:B,'Validaciones Cotizador'!C:C,D278,'Validaciones Cotizador'!A:A,A278))</f>
        <v/>
      </c>
      <c r="D278" s="4" t="str">
        <f>IFERROR(__xludf.DUMMYFUNCTION("IF(OR(F277=""Finalizar"",F277="""",F277=""Selecciona..""),"""",IF(OR(F277=""-"",INDEX(filter(Familias!F:F,Familias!D:D=A277,Familias!E:E=C277),1)=""O""),D277+1,D277))"),"")</f>
        <v/>
      </c>
      <c r="E278" s="2" t="str">
        <f>IF(OR(F278="",F278="Selecciona.."),"",IF(D278="Implemento",SUMIF(Implementos!B:B,F278,Implementos!A:A),SUMIF(Productos!E:E,F278,Productos!A:A)))</f>
        <v/>
      </c>
      <c r="F278" s="2" t="str">
        <f t="shared" si="2"/>
        <v/>
      </c>
      <c r="G278" s="10" t="str">
        <f t="array" ref="G278">IF(OR(F278="",F278="-",F278="Selecciona..",F278="Finalizar"),"",IF(A278="Rodados",XLOOKUP(B278,'Validaciones Cotizador'!I:I,'Validaciones Cotizador'!J:J,0,0,1),1))</f>
        <v/>
      </c>
      <c r="H278" s="11" t="str">
        <f>IF(OR(F278="",F278="Selecciona.."),"",SUMIF(Precio_Productos!K:K,E278,Precio_Productos!J:J)*G278)</f>
        <v/>
      </c>
      <c r="I278" s="4" t="str">
        <f t="array" ref="I278">IF($E278="","", XLOOKUP(SUMIFS(Prod_Prop!$A:$A,Prod_Prop!$B:$B,$E278,Prod_Prop!$H:$H,I$1,Prod_Prop!$I:$I,"Exacto"),Prod_Prop!$A:$A,Prod_Prop!$J:$J,"",0,1))</f>
        <v/>
      </c>
      <c r="J278" s="4" t="str">
        <f t="array" ref="J278">IF($E278="","", XLOOKUP(SUMIFS(Prod_Prop!$A:$A,Prod_Prop!$B:$B,$E278,Prod_Prop!$H:$H,J$1,Prod_Prop!$I:$I,"Exacto"),Prod_Prop!$A:$A,Prod_Prop!$J:$J,"",0,1))</f>
        <v/>
      </c>
      <c r="K278" s="4" t="str">
        <f t="array" ref="K278">IF($E278="","", XLOOKUP(SUMIFS(Prod_Prop!$A:$A,Prod_Prop!$B:$B,$E278,Prod_Prop!$H:$H,K$1,Prod_Prop!$I:$I,"Exacto"),Prod_Prop!$A:$A,Prod_Prop!$J:$J,"",0,1))</f>
        <v/>
      </c>
      <c r="L278" s="4" t="str">
        <f t="array" ref="L278">IF($E278="","", XLOOKUP(SUMIFS(Prod_Prop!$A:$A,Prod_Prop!$B:$B,$E278,Prod_Prop!$H:$H,L$1,Prod_Prop!$I:$I,"Exacto"),Prod_Prop!$A:$A,Prod_Prop!$J:$J,"",0,1))</f>
        <v/>
      </c>
      <c r="M278" s="4" t="str">
        <f t="array" ref="M278">IF($E278="","", XLOOKUP(SUMIFS(Prod_Prop!$A:$A,Prod_Prop!$B:$B,$E278,Prod_Prop!$H:$H,M$1,Prod_Prop!$I:$I,"Exacto"),Prod_Prop!$A:$A,Prod_Prop!$J:$J,"",0,1))</f>
        <v/>
      </c>
      <c r="N278" s="4" t="str">
        <f t="array" ref="N278">IF($E278="","", XLOOKUP(SUMIFS(Prod_Prop!$A:$A,Prod_Prop!$B:$B,$E278,Prod_Prop!$H:$H,N$1,Prod_Prop!$I:$I,"Exacto"),Prod_Prop!$A:$A,Prod_Prop!$J:$J,"",0,1))</f>
        <v/>
      </c>
      <c r="O278" s="4" t="str">
        <f t="array" ref="O278">IF($E278="","", XLOOKUP(SUMIFS(Prod_Prop!$A:$A,Prod_Prop!$B:$B,$E278,Prod_Prop!$H:$H,O$1,Prod_Prop!$I:$I,"Exacto"),Prod_Prop!$A:$A,Prod_Prop!$J:$J,"",0,1))</f>
        <v/>
      </c>
      <c r="P278" s="4" t="str">
        <f t="array" ref="P278">IF($E278="","", XLOOKUP(SUMIFS(Prod_Prop!$A:$A,Prod_Prop!$B:$B,$E278,Prod_Prop!$H:$H,P$1,Prod_Prop!$I:$I,"Exacto"),Prod_Prop!$A:$A,Prod_Prop!$J:$J,"",0,1))</f>
        <v/>
      </c>
      <c r="Q278" s="4" t="str">
        <f t="array" ref="Q278">IF($E278="","", XLOOKUP(SUMIFS(Prod_Prop!$A:$A,Prod_Prop!$B:$B,$E278,Prod_Prop!$H:$H,Q$1,Prod_Prop!$I:$I,"Exacto"),Prod_Prop!$A:$A,Prod_Prop!$J:$J,"",0,1))</f>
        <v/>
      </c>
      <c r="R278" s="4" t="str">
        <f t="array" ref="R278">IF($E278="","", XLOOKUP(SUMIFS(Prod_Prop!$A:$A,Prod_Prop!$B:$B,$E278,Prod_Prop!$H:$H,R$1,Prod_Prop!$I:$I,"Exacto"),Prod_Prop!$A:$A,Prod_Prop!$J:$J,"",0,1))</f>
        <v/>
      </c>
      <c r="S278" s="4" t="str">
        <f t="array" ref="S278">IF($E278="","", XLOOKUP(SUMIFS(Prod_Prop!$A:$A,Prod_Prop!$B:$B,$E278,Prod_Prop!$H:$H,S$1,Prod_Prop!$I:$I,"Exacto"),Prod_Prop!$A:$A,Prod_Prop!$J:$J,"",0,1))</f>
        <v/>
      </c>
      <c r="T278" s="4" t="str">
        <f t="array" ref="T278">IF($E278="","", XLOOKUP(SUMIFS(Prod_Prop!$A:$A,Prod_Prop!$B:$B,$E278,Prod_Prop!$H:$H,T$1,Prod_Prop!$I:$I,"Exacto"),Prod_Prop!$A:$A,Prod_Prop!$J:$J,"",0,1))</f>
        <v/>
      </c>
      <c r="U278" s="4" t="str">
        <f t="array" ref="U278">IF($E278="","", XLOOKUP(SUMIFS(Prod_Prop!$A:$A,Prod_Prop!$B:$B,$E278,Prod_Prop!$H:$H,U$1,Prod_Prop!$I:$I,"Exacto"),Prod_Prop!$A:$A,Prod_Prop!$J:$J,"",0,1))</f>
        <v/>
      </c>
      <c r="V278" s="4" t="str">
        <f t="array" ref="V278">IF($E278="","", XLOOKUP(SUMIFS(Prod_Prop!$A:$A,Prod_Prop!$B:$B,$E278,Prod_Prop!$H:$H,V$1,Prod_Prop!$I:$I,"Exacto"),Prod_Prop!$A:$A,Prod_Prop!$J:$J,"",0,1))</f>
        <v/>
      </c>
      <c r="X278" s="3" t="str">
        <f>IFERROR(__xludf.DUMMYFUNCTION("IF(D278="""","""",IFERROR(TRANSPOSE(FILTER('Validaciones Cotizador'!U:U,'Validaciones Cotizador'!O:O=D278,'Validaciones Cotizador'!T:T=""x"")),""Finalizar""))"),"")</f>
        <v/>
      </c>
    </row>
    <row r="279">
      <c r="A279" s="2" t="str">
        <f t="array" ref="A279">IF(E279="","",XLOOKUP(D279,'Validaciones Cotizador'!C:C,'Validaciones Cotizador'!A:A,"",0,1))</f>
        <v/>
      </c>
      <c r="B279" s="2" t="str">
        <f t="array" ref="B279">IF(F279="","",XLOOKUP(F279,Productos!E:E,Productos!G:G,"",0,1))</f>
        <v/>
      </c>
      <c r="C279" s="2" t="str">
        <f>IF(A279="","",SUMIFS('Validaciones Cotizador'!B:B,'Validaciones Cotizador'!C:C,D279,'Validaciones Cotizador'!A:A,A279))</f>
        <v/>
      </c>
      <c r="D279" s="4" t="str">
        <f>IFERROR(__xludf.DUMMYFUNCTION("IF(OR(F278=""Finalizar"",F278="""",F278=""Selecciona..""),"""",IF(OR(F278=""-"",INDEX(filter(Familias!F:F,Familias!D:D=A278,Familias!E:E=C278),1)=""O""),D278+1,D278))"),"")</f>
        <v/>
      </c>
      <c r="E279" s="2" t="str">
        <f>IF(OR(F279="",F279="Selecciona.."),"",IF(D279="Implemento",SUMIF(Implementos!B:B,F279,Implementos!A:A),SUMIF(Productos!E:E,F279,Productos!A:A)))</f>
        <v/>
      </c>
      <c r="F279" s="2" t="str">
        <f t="shared" si="2"/>
        <v/>
      </c>
      <c r="G279" s="10" t="str">
        <f t="array" ref="G279">IF(OR(F279="",F279="-",F279="Selecciona..",F279="Finalizar"),"",IF(A279="Rodados",XLOOKUP(B279,'Validaciones Cotizador'!I:I,'Validaciones Cotizador'!J:J,0,0,1),1))</f>
        <v/>
      </c>
      <c r="H279" s="11" t="str">
        <f>IF(OR(F279="",F279="Selecciona.."),"",SUMIF(Precio_Productos!K:K,E279,Precio_Productos!J:J)*G279)</f>
        <v/>
      </c>
      <c r="I279" s="4" t="str">
        <f t="array" ref="I279">IF($E279="","", XLOOKUP(SUMIFS(Prod_Prop!$A:$A,Prod_Prop!$B:$B,$E279,Prod_Prop!$H:$H,I$1,Prod_Prop!$I:$I,"Exacto"),Prod_Prop!$A:$A,Prod_Prop!$J:$J,"",0,1))</f>
        <v/>
      </c>
      <c r="J279" s="4" t="str">
        <f t="array" ref="J279">IF($E279="","", XLOOKUP(SUMIFS(Prod_Prop!$A:$A,Prod_Prop!$B:$B,$E279,Prod_Prop!$H:$H,J$1,Prod_Prop!$I:$I,"Exacto"),Prod_Prop!$A:$A,Prod_Prop!$J:$J,"",0,1))</f>
        <v/>
      </c>
      <c r="K279" s="4" t="str">
        <f t="array" ref="K279">IF($E279="","", XLOOKUP(SUMIFS(Prod_Prop!$A:$A,Prod_Prop!$B:$B,$E279,Prod_Prop!$H:$H,K$1,Prod_Prop!$I:$I,"Exacto"),Prod_Prop!$A:$A,Prod_Prop!$J:$J,"",0,1))</f>
        <v/>
      </c>
      <c r="L279" s="4" t="str">
        <f t="array" ref="L279">IF($E279="","", XLOOKUP(SUMIFS(Prod_Prop!$A:$A,Prod_Prop!$B:$B,$E279,Prod_Prop!$H:$H,L$1,Prod_Prop!$I:$I,"Exacto"),Prod_Prop!$A:$A,Prod_Prop!$J:$J,"",0,1))</f>
        <v/>
      </c>
      <c r="M279" s="4" t="str">
        <f t="array" ref="M279">IF($E279="","", XLOOKUP(SUMIFS(Prod_Prop!$A:$A,Prod_Prop!$B:$B,$E279,Prod_Prop!$H:$H,M$1,Prod_Prop!$I:$I,"Exacto"),Prod_Prop!$A:$A,Prod_Prop!$J:$J,"",0,1))</f>
        <v/>
      </c>
      <c r="N279" s="4" t="str">
        <f t="array" ref="N279">IF($E279="","", XLOOKUP(SUMIFS(Prod_Prop!$A:$A,Prod_Prop!$B:$B,$E279,Prod_Prop!$H:$H,N$1,Prod_Prop!$I:$I,"Exacto"),Prod_Prop!$A:$A,Prod_Prop!$J:$J,"",0,1))</f>
        <v/>
      </c>
      <c r="O279" s="4" t="str">
        <f t="array" ref="O279">IF($E279="","", XLOOKUP(SUMIFS(Prod_Prop!$A:$A,Prod_Prop!$B:$B,$E279,Prod_Prop!$H:$H,O$1,Prod_Prop!$I:$I,"Exacto"),Prod_Prop!$A:$A,Prod_Prop!$J:$J,"",0,1))</f>
        <v/>
      </c>
      <c r="P279" s="4" t="str">
        <f t="array" ref="P279">IF($E279="","", XLOOKUP(SUMIFS(Prod_Prop!$A:$A,Prod_Prop!$B:$B,$E279,Prod_Prop!$H:$H,P$1,Prod_Prop!$I:$I,"Exacto"),Prod_Prop!$A:$A,Prod_Prop!$J:$J,"",0,1))</f>
        <v/>
      </c>
      <c r="Q279" s="4" t="str">
        <f t="array" ref="Q279">IF($E279="","", XLOOKUP(SUMIFS(Prod_Prop!$A:$A,Prod_Prop!$B:$B,$E279,Prod_Prop!$H:$H,Q$1,Prod_Prop!$I:$I,"Exacto"),Prod_Prop!$A:$A,Prod_Prop!$J:$J,"",0,1))</f>
        <v/>
      </c>
      <c r="R279" s="4" t="str">
        <f t="array" ref="R279">IF($E279="","", XLOOKUP(SUMIFS(Prod_Prop!$A:$A,Prod_Prop!$B:$B,$E279,Prod_Prop!$H:$H,R$1,Prod_Prop!$I:$I,"Exacto"),Prod_Prop!$A:$A,Prod_Prop!$J:$J,"",0,1))</f>
        <v/>
      </c>
      <c r="S279" s="4" t="str">
        <f t="array" ref="S279">IF($E279="","", XLOOKUP(SUMIFS(Prod_Prop!$A:$A,Prod_Prop!$B:$B,$E279,Prod_Prop!$H:$H,S$1,Prod_Prop!$I:$I,"Exacto"),Prod_Prop!$A:$A,Prod_Prop!$J:$J,"",0,1))</f>
        <v/>
      </c>
      <c r="T279" s="4" t="str">
        <f t="array" ref="T279">IF($E279="","", XLOOKUP(SUMIFS(Prod_Prop!$A:$A,Prod_Prop!$B:$B,$E279,Prod_Prop!$H:$H,T$1,Prod_Prop!$I:$I,"Exacto"),Prod_Prop!$A:$A,Prod_Prop!$J:$J,"",0,1))</f>
        <v/>
      </c>
      <c r="U279" s="4" t="str">
        <f t="array" ref="U279">IF($E279="","", XLOOKUP(SUMIFS(Prod_Prop!$A:$A,Prod_Prop!$B:$B,$E279,Prod_Prop!$H:$H,U$1,Prod_Prop!$I:$I,"Exacto"),Prod_Prop!$A:$A,Prod_Prop!$J:$J,"",0,1))</f>
        <v/>
      </c>
      <c r="V279" s="4" t="str">
        <f t="array" ref="V279">IF($E279="","", XLOOKUP(SUMIFS(Prod_Prop!$A:$A,Prod_Prop!$B:$B,$E279,Prod_Prop!$H:$H,V$1,Prod_Prop!$I:$I,"Exacto"),Prod_Prop!$A:$A,Prod_Prop!$J:$J,"",0,1))</f>
        <v/>
      </c>
      <c r="X279" s="3" t="str">
        <f>IFERROR(__xludf.DUMMYFUNCTION("IF(D279="""","""",IFERROR(TRANSPOSE(FILTER('Validaciones Cotizador'!U:U,'Validaciones Cotizador'!O:O=D279,'Validaciones Cotizador'!T:T=""x"")),""Finalizar""))"),"")</f>
        <v/>
      </c>
    </row>
    <row r="280">
      <c r="A280" s="2" t="str">
        <f t="array" ref="A280">IF(E280="","",XLOOKUP(D280,'Validaciones Cotizador'!C:C,'Validaciones Cotizador'!A:A,"",0,1))</f>
        <v/>
      </c>
      <c r="B280" s="2" t="str">
        <f t="array" ref="B280">IF(F280="","",XLOOKUP(F280,Productos!E:E,Productos!G:G,"",0,1))</f>
        <v/>
      </c>
      <c r="C280" s="2" t="str">
        <f>IF(A280="","",SUMIFS('Validaciones Cotizador'!B:B,'Validaciones Cotizador'!C:C,D280,'Validaciones Cotizador'!A:A,A280))</f>
        <v/>
      </c>
      <c r="D280" s="4" t="str">
        <f>IFERROR(__xludf.DUMMYFUNCTION("IF(OR(F279=""Finalizar"",F279="""",F279=""Selecciona..""),"""",IF(OR(F279=""-"",INDEX(filter(Familias!F:F,Familias!D:D=A279,Familias!E:E=C279),1)=""O""),D279+1,D279))"),"")</f>
        <v/>
      </c>
      <c r="E280" s="2" t="str">
        <f>IF(OR(F280="",F280="Selecciona.."),"",IF(D280="Implemento",SUMIF(Implementos!B:B,F280,Implementos!A:A),SUMIF(Productos!E:E,F280,Productos!A:A)))</f>
        <v/>
      </c>
      <c r="F280" s="2" t="str">
        <f t="shared" si="2"/>
        <v/>
      </c>
      <c r="G280" s="10" t="str">
        <f t="array" ref="G280">IF(OR(F280="",F280="-",F280="Selecciona..",F280="Finalizar"),"",IF(A280="Rodados",XLOOKUP(B280,'Validaciones Cotizador'!I:I,'Validaciones Cotizador'!J:J,0,0,1),1))</f>
        <v/>
      </c>
      <c r="H280" s="11" t="str">
        <f>IF(OR(F280="",F280="Selecciona.."),"",SUMIF(Precio_Productos!K:K,E280,Precio_Productos!J:J)*G280)</f>
        <v/>
      </c>
      <c r="I280" s="4" t="str">
        <f t="array" ref="I280">IF($E280="","", XLOOKUP(SUMIFS(Prod_Prop!$A:$A,Prod_Prop!$B:$B,$E280,Prod_Prop!$H:$H,I$1,Prod_Prop!$I:$I,"Exacto"),Prod_Prop!$A:$A,Prod_Prop!$J:$J,"",0,1))</f>
        <v/>
      </c>
      <c r="J280" s="4" t="str">
        <f t="array" ref="J280">IF($E280="","", XLOOKUP(SUMIFS(Prod_Prop!$A:$A,Prod_Prop!$B:$B,$E280,Prod_Prop!$H:$H,J$1,Prod_Prop!$I:$I,"Exacto"),Prod_Prop!$A:$A,Prod_Prop!$J:$J,"",0,1))</f>
        <v/>
      </c>
      <c r="K280" s="4" t="str">
        <f t="array" ref="K280">IF($E280="","", XLOOKUP(SUMIFS(Prod_Prop!$A:$A,Prod_Prop!$B:$B,$E280,Prod_Prop!$H:$H,K$1,Prod_Prop!$I:$I,"Exacto"),Prod_Prop!$A:$A,Prod_Prop!$J:$J,"",0,1))</f>
        <v/>
      </c>
      <c r="L280" s="4" t="str">
        <f t="array" ref="L280">IF($E280="","", XLOOKUP(SUMIFS(Prod_Prop!$A:$A,Prod_Prop!$B:$B,$E280,Prod_Prop!$H:$H,L$1,Prod_Prop!$I:$I,"Exacto"),Prod_Prop!$A:$A,Prod_Prop!$J:$J,"",0,1))</f>
        <v/>
      </c>
      <c r="M280" s="4" t="str">
        <f t="array" ref="M280">IF($E280="","", XLOOKUP(SUMIFS(Prod_Prop!$A:$A,Prod_Prop!$B:$B,$E280,Prod_Prop!$H:$H,M$1,Prod_Prop!$I:$I,"Exacto"),Prod_Prop!$A:$A,Prod_Prop!$J:$J,"",0,1))</f>
        <v/>
      </c>
      <c r="N280" s="4" t="str">
        <f t="array" ref="N280">IF($E280="","", XLOOKUP(SUMIFS(Prod_Prop!$A:$A,Prod_Prop!$B:$B,$E280,Prod_Prop!$H:$H,N$1,Prod_Prop!$I:$I,"Exacto"),Prod_Prop!$A:$A,Prod_Prop!$J:$J,"",0,1))</f>
        <v/>
      </c>
      <c r="O280" s="4" t="str">
        <f t="array" ref="O280">IF($E280="","", XLOOKUP(SUMIFS(Prod_Prop!$A:$A,Prod_Prop!$B:$B,$E280,Prod_Prop!$H:$H,O$1,Prod_Prop!$I:$I,"Exacto"),Prod_Prop!$A:$A,Prod_Prop!$J:$J,"",0,1))</f>
        <v/>
      </c>
      <c r="P280" s="4" t="str">
        <f t="array" ref="P280">IF($E280="","", XLOOKUP(SUMIFS(Prod_Prop!$A:$A,Prod_Prop!$B:$B,$E280,Prod_Prop!$H:$H,P$1,Prod_Prop!$I:$I,"Exacto"),Prod_Prop!$A:$A,Prod_Prop!$J:$J,"",0,1))</f>
        <v/>
      </c>
      <c r="Q280" s="4" t="str">
        <f t="array" ref="Q280">IF($E280="","", XLOOKUP(SUMIFS(Prod_Prop!$A:$A,Prod_Prop!$B:$B,$E280,Prod_Prop!$H:$H,Q$1,Prod_Prop!$I:$I,"Exacto"),Prod_Prop!$A:$A,Prod_Prop!$J:$J,"",0,1))</f>
        <v/>
      </c>
      <c r="R280" s="4" t="str">
        <f t="array" ref="R280">IF($E280="","", XLOOKUP(SUMIFS(Prod_Prop!$A:$A,Prod_Prop!$B:$B,$E280,Prod_Prop!$H:$H,R$1,Prod_Prop!$I:$I,"Exacto"),Prod_Prop!$A:$A,Prod_Prop!$J:$J,"",0,1))</f>
        <v/>
      </c>
      <c r="S280" s="4" t="str">
        <f t="array" ref="S280">IF($E280="","", XLOOKUP(SUMIFS(Prod_Prop!$A:$A,Prod_Prop!$B:$B,$E280,Prod_Prop!$H:$H,S$1,Prod_Prop!$I:$I,"Exacto"),Prod_Prop!$A:$A,Prod_Prop!$J:$J,"",0,1))</f>
        <v/>
      </c>
      <c r="T280" s="4" t="str">
        <f t="array" ref="T280">IF($E280="","", XLOOKUP(SUMIFS(Prod_Prop!$A:$A,Prod_Prop!$B:$B,$E280,Prod_Prop!$H:$H,T$1,Prod_Prop!$I:$I,"Exacto"),Prod_Prop!$A:$A,Prod_Prop!$J:$J,"",0,1))</f>
        <v/>
      </c>
      <c r="U280" s="4" t="str">
        <f t="array" ref="U280">IF($E280="","", XLOOKUP(SUMIFS(Prod_Prop!$A:$A,Prod_Prop!$B:$B,$E280,Prod_Prop!$H:$H,U$1,Prod_Prop!$I:$I,"Exacto"),Prod_Prop!$A:$A,Prod_Prop!$J:$J,"",0,1))</f>
        <v/>
      </c>
      <c r="V280" s="4" t="str">
        <f t="array" ref="V280">IF($E280="","", XLOOKUP(SUMIFS(Prod_Prop!$A:$A,Prod_Prop!$B:$B,$E280,Prod_Prop!$H:$H,V$1,Prod_Prop!$I:$I,"Exacto"),Prod_Prop!$A:$A,Prod_Prop!$J:$J,"",0,1))</f>
        <v/>
      </c>
      <c r="X280" s="3" t="str">
        <f>IFERROR(__xludf.DUMMYFUNCTION("IF(D280="""","""",IFERROR(TRANSPOSE(FILTER('Validaciones Cotizador'!U:U,'Validaciones Cotizador'!O:O=D280,'Validaciones Cotizador'!T:T=""x"")),""Finalizar""))"),"")</f>
        <v/>
      </c>
    </row>
    <row r="281">
      <c r="A281" s="2" t="str">
        <f t="array" ref="A281">IF(E281="","",XLOOKUP(D281,'Validaciones Cotizador'!C:C,'Validaciones Cotizador'!A:A,"",0,1))</f>
        <v/>
      </c>
      <c r="B281" s="2" t="str">
        <f t="array" ref="B281">IF(F281="","",XLOOKUP(F281,Productos!E:E,Productos!G:G,"",0,1))</f>
        <v/>
      </c>
      <c r="C281" s="2" t="str">
        <f>IF(A281="","",SUMIFS('Validaciones Cotizador'!B:B,'Validaciones Cotizador'!C:C,D281,'Validaciones Cotizador'!A:A,A281))</f>
        <v/>
      </c>
      <c r="D281" s="4" t="str">
        <f>IFERROR(__xludf.DUMMYFUNCTION("IF(OR(F280=""Finalizar"",F280="""",F280=""Selecciona..""),"""",IF(OR(F280=""-"",INDEX(filter(Familias!F:F,Familias!D:D=A280,Familias!E:E=C280),1)=""O""),D280+1,D280))"),"")</f>
        <v/>
      </c>
      <c r="E281" s="2" t="str">
        <f>IF(OR(F281="",F281="Selecciona.."),"",IF(D281="Implemento",SUMIF(Implementos!B:B,F281,Implementos!A:A),SUMIF(Productos!E:E,F281,Productos!A:A)))</f>
        <v/>
      </c>
      <c r="F281" s="2" t="str">
        <f t="shared" si="2"/>
        <v/>
      </c>
      <c r="G281" s="10" t="str">
        <f t="array" ref="G281">IF(OR(F281="",F281="-",F281="Selecciona..",F281="Finalizar"),"",IF(A281="Rodados",XLOOKUP(B281,'Validaciones Cotizador'!I:I,'Validaciones Cotizador'!J:J,0,0,1),1))</f>
        <v/>
      </c>
      <c r="H281" s="11" t="str">
        <f>IF(OR(F281="",F281="Selecciona.."),"",SUMIF(Precio_Productos!K:K,E281,Precio_Productos!J:J)*G281)</f>
        <v/>
      </c>
      <c r="I281" s="4" t="str">
        <f t="array" ref="I281">IF($E281="","", XLOOKUP(SUMIFS(Prod_Prop!$A:$A,Prod_Prop!$B:$B,$E281,Prod_Prop!$H:$H,I$1,Prod_Prop!$I:$I,"Exacto"),Prod_Prop!$A:$A,Prod_Prop!$J:$J,"",0,1))</f>
        <v/>
      </c>
      <c r="J281" s="4" t="str">
        <f t="array" ref="J281">IF($E281="","", XLOOKUP(SUMIFS(Prod_Prop!$A:$A,Prod_Prop!$B:$B,$E281,Prod_Prop!$H:$H,J$1,Prod_Prop!$I:$I,"Exacto"),Prod_Prop!$A:$A,Prod_Prop!$J:$J,"",0,1))</f>
        <v/>
      </c>
      <c r="K281" s="4" t="str">
        <f t="array" ref="K281">IF($E281="","", XLOOKUP(SUMIFS(Prod_Prop!$A:$A,Prod_Prop!$B:$B,$E281,Prod_Prop!$H:$H,K$1,Prod_Prop!$I:$I,"Exacto"),Prod_Prop!$A:$A,Prod_Prop!$J:$J,"",0,1))</f>
        <v/>
      </c>
      <c r="L281" s="4" t="str">
        <f t="array" ref="L281">IF($E281="","", XLOOKUP(SUMIFS(Prod_Prop!$A:$A,Prod_Prop!$B:$B,$E281,Prod_Prop!$H:$H,L$1,Prod_Prop!$I:$I,"Exacto"),Prod_Prop!$A:$A,Prod_Prop!$J:$J,"",0,1))</f>
        <v/>
      </c>
      <c r="M281" s="4" t="str">
        <f t="array" ref="M281">IF($E281="","", XLOOKUP(SUMIFS(Prod_Prop!$A:$A,Prod_Prop!$B:$B,$E281,Prod_Prop!$H:$H,M$1,Prod_Prop!$I:$I,"Exacto"),Prod_Prop!$A:$A,Prod_Prop!$J:$J,"",0,1))</f>
        <v/>
      </c>
      <c r="N281" s="4" t="str">
        <f t="array" ref="N281">IF($E281="","", XLOOKUP(SUMIFS(Prod_Prop!$A:$A,Prod_Prop!$B:$B,$E281,Prod_Prop!$H:$H,N$1,Prod_Prop!$I:$I,"Exacto"),Prod_Prop!$A:$A,Prod_Prop!$J:$J,"",0,1))</f>
        <v/>
      </c>
      <c r="O281" s="4" t="str">
        <f t="array" ref="O281">IF($E281="","", XLOOKUP(SUMIFS(Prod_Prop!$A:$A,Prod_Prop!$B:$B,$E281,Prod_Prop!$H:$H,O$1,Prod_Prop!$I:$I,"Exacto"),Prod_Prop!$A:$A,Prod_Prop!$J:$J,"",0,1))</f>
        <v/>
      </c>
      <c r="P281" s="4" t="str">
        <f t="array" ref="P281">IF($E281="","", XLOOKUP(SUMIFS(Prod_Prop!$A:$A,Prod_Prop!$B:$B,$E281,Prod_Prop!$H:$H,P$1,Prod_Prop!$I:$I,"Exacto"),Prod_Prop!$A:$A,Prod_Prop!$J:$J,"",0,1))</f>
        <v/>
      </c>
      <c r="Q281" s="4" t="str">
        <f t="array" ref="Q281">IF($E281="","", XLOOKUP(SUMIFS(Prod_Prop!$A:$A,Prod_Prop!$B:$B,$E281,Prod_Prop!$H:$H,Q$1,Prod_Prop!$I:$I,"Exacto"),Prod_Prop!$A:$A,Prod_Prop!$J:$J,"",0,1))</f>
        <v/>
      </c>
      <c r="R281" s="4" t="str">
        <f t="array" ref="R281">IF($E281="","", XLOOKUP(SUMIFS(Prod_Prop!$A:$A,Prod_Prop!$B:$B,$E281,Prod_Prop!$H:$H,R$1,Prod_Prop!$I:$I,"Exacto"),Prod_Prop!$A:$A,Prod_Prop!$J:$J,"",0,1))</f>
        <v/>
      </c>
      <c r="S281" s="4" t="str">
        <f t="array" ref="S281">IF($E281="","", XLOOKUP(SUMIFS(Prod_Prop!$A:$A,Prod_Prop!$B:$B,$E281,Prod_Prop!$H:$H,S$1,Prod_Prop!$I:$I,"Exacto"),Prod_Prop!$A:$A,Prod_Prop!$J:$J,"",0,1))</f>
        <v/>
      </c>
      <c r="T281" s="4" t="str">
        <f t="array" ref="T281">IF($E281="","", XLOOKUP(SUMIFS(Prod_Prop!$A:$A,Prod_Prop!$B:$B,$E281,Prod_Prop!$H:$H,T$1,Prod_Prop!$I:$I,"Exacto"),Prod_Prop!$A:$A,Prod_Prop!$J:$J,"",0,1))</f>
        <v/>
      </c>
      <c r="U281" s="4" t="str">
        <f t="array" ref="U281">IF($E281="","", XLOOKUP(SUMIFS(Prod_Prop!$A:$A,Prod_Prop!$B:$B,$E281,Prod_Prop!$H:$H,U$1,Prod_Prop!$I:$I,"Exacto"),Prod_Prop!$A:$A,Prod_Prop!$J:$J,"",0,1))</f>
        <v/>
      </c>
      <c r="V281" s="4" t="str">
        <f t="array" ref="V281">IF($E281="","", XLOOKUP(SUMIFS(Prod_Prop!$A:$A,Prod_Prop!$B:$B,$E281,Prod_Prop!$H:$H,V$1,Prod_Prop!$I:$I,"Exacto"),Prod_Prop!$A:$A,Prod_Prop!$J:$J,"",0,1))</f>
        <v/>
      </c>
      <c r="X281" s="3" t="str">
        <f>IFERROR(__xludf.DUMMYFUNCTION("IF(D281="""","""",IFERROR(TRANSPOSE(FILTER('Validaciones Cotizador'!U:U,'Validaciones Cotizador'!O:O=D281,'Validaciones Cotizador'!T:T=""x"")),""Finalizar""))"),"")</f>
        <v/>
      </c>
    </row>
    <row r="282">
      <c r="A282" s="2" t="str">
        <f t="array" ref="A282">IF(E282="","",XLOOKUP(D282,'Validaciones Cotizador'!C:C,'Validaciones Cotizador'!A:A,"",0,1))</f>
        <v/>
      </c>
      <c r="B282" s="2" t="str">
        <f t="array" ref="B282">IF(F282="","",XLOOKUP(F282,Productos!E:E,Productos!G:G,"",0,1))</f>
        <v/>
      </c>
      <c r="C282" s="2" t="str">
        <f>IF(A282="","",SUMIFS('Validaciones Cotizador'!B:B,'Validaciones Cotizador'!C:C,D282,'Validaciones Cotizador'!A:A,A282))</f>
        <v/>
      </c>
      <c r="D282" s="4" t="str">
        <f>IFERROR(__xludf.DUMMYFUNCTION("IF(OR(F281=""Finalizar"",F281="""",F281=""Selecciona..""),"""",IF(OR(F281=""-"",INDEX(filter(Familias!F:F,Familias!D:D=A281,Familias!E:E=C281),1)=""O""),D281+1,D281))"),"")</f>
        <v/>
      </c>
      <c r="E282" s="2" t="str">
        <f>IF(OR(F282="",F282="Selecciona.."),"",IF(D282="Implemento",SUMIF(Implementos!B:B,F282,Implementos!A:A),SUMIF(Productos!E:E,F282,Productos!A:A)))</f>
        <v/>
      </c>
      <c r="F282" s="2" t="str">
        <f t="shared" si="2"/>
        <v/>
      </c>
      <c r="G282" s="10" t="str">
        <f t="array" ref="G282">IF(OR(F282="",F282="-",F282="Selecciona..",F282="Finalizar"),"",IF(A282="Rodados",XLOOKUP(B282,'Validaciones Cotizador'!I:I,'Validaciones Cotizador'!J:J,0,0,1),1))</f>
        <v/>
      </c>
      <c r="H282" s="11" t="str">
        <f>IF(OR(F282="",F282="Selecciona.."),"",SUMIF(Precio_Productos!K:K,E282,Precio_Productos!J:J)*G282)</f>
        <v/>
      </c>
      <c r="I282" s="4" t="str">
        <f t="array" ref="I282">IF($E282="","", XLOOKUP(SUMIFS(Prod_Prop!$A:$A,Prod_Prop!$B:$B,$E282,Prod_Prop!$H:$H,I$1,Prod_Prop!$I:$I,"Exacto"),Prod_Prop!$A:$A,Prod_Prop!$J:$J,"",0,1))</f>
        <v/>
      </c>
      <c r="J282" s="4" t="str">
        <f t="array" ref="J282">IF($E282="","", XLOOKUP(SUMIFS(Prod_Prop!$A:$A,Prod_Prop!$B:$B,$E282,Prod_Prop!$H:$H,J$1,Prod_Prop!$I:$I,"Exacto"),Prod_Prop!$A:$A,Prod_Prop!$J:$J,"",0,1))</f>
        <v/>
      </c>
      <c r="K282" s="4" t="str">
        <f t="array" ref="K282">IF($E282="","", XLOOKUP(SUMIFS(Prod_Prop!$A:$A,Prod_Prop!$B:$B,$E282,Prod_Prop!$H:$H,K$1,Prod_Prop!$I:$I,"Exacto"),Prod_Prop!$A:$A,Prod_Prop!$J:$J,"",0,1))</f>
        <v/>
      </c>
      <c r="L282" s="4" t="str">
        <f t="array" ref="L282">IF($E282="","", XLOOKUP(SUMIFS(Prod_Prop!$A:$A,Prod_Prop!$B:$B,$E282,Prod_Prop!$H:$H,L$1,Prod_Prop!$I:$I,"Exacto"),Prod_Prop!$A:$A,Prod_Prop!$J:$J,"",0,1))</f>
        <v/>
      </c>
      <c r="M282" s="4" t="str">
        <f t="array" ref="M282">IF($E282="","", XLOOKUP(SUMIFS(Prod_Prop!$A:$A,Prod_Prop!$B:$B,$E282,Prod_Prop!$H:$H,M$1,Prod_Prop!$I:$I,"Exacto"),Prod_Prop!$A:$A,Prod_Prop!$J:$J,"",0,1))</f>
        <v/>
      </c>
      <c r="N282" s="4" t="str">
        <f t="array" ref="N282">IF($E282="","", XLOOKUP(SUMIFS(Prod_Prop!$A:$A,Prod_Prop!$B:$B,$E282,Prod_Prop!$H:$H,N$1,Prod_Prop!$I:$I,"Exacto"),Prod_Prop!$A:$A,Prod_Prop!$J:$J,"",0,1))</f>
        <v/>
      </c>
      <c r="O282" s="4" t="str">
        <f t="array" ref="O282">IF($E282="","", XLOOKUP(SUMIFS(Prod_Prop!$A:$A,Prod_Prop!$B:$B,$E282,Prod_Prop!$H:$H,O$1,Prod_Prop!$I:$I,"Exacto"),Prod_Prop!$A:$A,Prod_Prop!$J:$J,"",0,1))</f>
        <v/>
      </c>
      <c r="P282" s="4" t="str">
        <f t="array" ref="P282">IF($E282="","", XLOOKUP(SUMIFS(Prod_Prop!$A:$A,Prod_Prop!$B:$B,$E282,Prod_Prop!$H:$H,P$1,Prod_Prop!$I:$I,"Exacto"),Prod_Prop!$A:$A,Prod_Prop!$J:$J,"",0,1))</f>
        <v/>
      </c>
      <c r="Q282" s="4" t="str">
        <f t="array" ref="Q282">IF($E282="","", XLOOKUP(SUMIFS(Prod_Prop!$A:$A,Prod_Prop!$B:$B,$E282,Prod_Prop!$H:$H,Q$1,Prod_Prop!$I:$I,"Exacto"),Prod_Prop!$A:$A,Prod_Prop!$J:$J,"",0,1))</f>
        <v/>
      </c>
      <c r="R282" s="4" t="str">
        <f t="array" ref="R282">IF($E282="","", XLOOKUP(SUMIFS(Prod_Prop!$A:$A,Prod_Prop!$B:$B,$E282,Prod_Prop!$H:$H,R$1,Prod_Prop!$I:$I,"Exacto"),Prod_Prop!$A:$A,Prod_Prop!$J:$J,"",0,1))</f>
        <v/>
      </c>
      <c r="S282" s="4" t="str">
        <f t="array" ref="S282">IF($E282="","", XLOOKUP(SUMIFS(Prod_Prop!$A:$A,Prod_Prop!$B:$B,$E282,Prod_Prop!$H:$H,S$1,Prod_Prop!$I:$I,"Exacto"),Prod_Prop!$A:$A,Prod_Prop!$J:$J,"",0,1))</f>
        <v/>
      </c>
      <c r="T282" s="4" t="str">
        <f t="array" ref="T282">IF($E282="","", XLOOKUP(SUMIFS(Prod_Prop!$A:$A,Prod_Prop!$B:$B,$E282,Prod_Prop!$H:$H,T$1,Prod_Prop!$I:$I,"Exacto"),Prod_Prop!$A:$A,Prod_Prop!$J:$J,"",0,1))</f>
        <v/>
      </c>
      <c r="U282" s="4" t="str">
        <f t="array" ref="U282">IF($E282="","", XLOOKUP(SUMIFS(Prod_Prop!$A:$A,Prod_Prop!$B:$B,$E282,Prod_Prop!$H:$H,U$1,Prod_Prop!$I:$I,"Exacto"),Prod_Prop!$A:$A,Prod_Prop!$J:$J,"",0,1))</f>
        <v/>
      </c>
      <c r="V282" s="4" t="str">
        <f t="array" ref="V282">IF($E282="","", XLOOKUP(SUMIFS(Prod_Prop!$A:$A,Prod_Prop!$B:$B,$E282,Prod_Prop!$H:$H,V$1,Prod_Prop!$I:$I,"Exacto"),Prod_Prop!$A:$A,Prod_Prop!$J:$J,"",0,1))</f>
        <v/>
      </c>
      <c r="X282" s="3" t="str">
        <f>IFERROR(__xludf.DUMMYFUNCTION("IF(D282="""","""",IFERROR(TRANSPOSE(FILTER('Validaciones Cotizador'!U:U,'Validaciones Cotizador'!O:O=D282,'Validaciones Cotizador'!T:T=""x"")),""Finalizar""))"),"")</f>
        <v/>
      </c>
    </row>
    <row r="283">
      <c r="A283" s="2" t="str">
        <f t="array" ref="A283">IF(E283="","",XLOOKUP(D283,'Validaciones Cotizador'!C:C,'Validaciones Cotizador'!A:A,"",0,1))</f>
        <v/>
      </c>
      <c r="B283" s="2" t="str">
        <f t="array" ref="B283">IF(F283="","",XLOOKUP(F283,Productos!E:E,Productos!G:G,"",0,1))</f>
        <v/>
      </c>
      <c r="C283" s="2" t="str">
        <f>IF(A283="","",SUMIFS('Validaciones Cotizador'!B:B,'Validaciones Cotizador'!C:C,D283,'Validaciones Cotizador'!A:A,A283))</f>
        <v/>
      </c>
      <c r="D283" s="4" t="str">
        <f>IFERROR(__xludf.DUMMYFUNCTION("IF(OR(F282=""Finalizar"",F282="""",F282=""Selecciona..""),"""",IF(OR(F282=""-"",INDEX(filter(Familias!F:F,Familias!D:D=A282,Familias!E:E=C282),1)=""O""),D282+1,D282))"),"")</f>
        <v/>
      </c>
      <c r="E283" s="2" t="str">
        <f>IF(OR(F283="",F283="Selecciona.."),"",IF(D283="Implemento",SUMIF(Implementos!B:B,F283,Implementos!A:A),SUMIF(Productos!E:E,F283,Productos!A:A)))</f>
        <v/>
      </c>
      <c r="F283" s="2" t="str">
        <f t="shared" si="2"/>
        <v/>
      </c>
      <c r="G283" s="10" t="str">
        <f t="array" ref="G283">IF(OR(F283="",F283="-",F283="Selecciona..",F283="Finalizar"),"",IF(A283="Rodados",XLOOKUP(B283,'Validaciones Cotizador'!I:I,'Validaciones Cotizador'!J:J,0,0,1),1))</f>
        <v/>
      </c>
      <c r="H283" s="11" t="str">
        <f>IF(OR(F283="",F283="Selecciona.."),"",SUMIF(Precio_Productos!K:K,E283,Precio_Productos!J:J)*G283)</f>
        <v/>
      </c>
      <c r="I283" s="4" t="str">
        <f t="array" ref="I283">IF($E283="","", XLOOKUP(SUMIFS(Prod_Prop!$A:$A,Prod_Prop!$B:$B,$E283,Prod_Prop!$H:$H,I$1,Prod_Prop!$I:$I,"Exacto"),Prod_Prop!$A:$A,Prod_Prop!$J:$J,"",0,1))</f>
        <v/>
      </c>
      <c r="J283" s="4" t="str">
        <f t="array" ref="J283">IF($E283="","", XLOOKUP(SUMIFS(Prod_Prop!$A:$A,Prod_Prop!$B:$B,$E283,Prod_Prop!$H:$H,J$1,Prod_Prop!$I:$I,"Exacto"),Prod_Prop!$A:$A,Prod_Prop!$J:$J,"",0,1))</f>
        <v/>
      </c>
      <c r="K283" s="4" t="str">
        <f t="array" ref="K283">IF($E283="","", XLOOKUP(SUMIFS(Prod_Prop!$A:$A,Prod_Prop!$B:$B,$E283,Prod_Prop!$H:$H,K$1,Prod_Prop!$I:$I,"Exacto"),Prod_Prop!$A:$A,Prod_Prop!$J:$J,"",0,1))</f>
        <v/>
      </c>
      <c r="L283" s="4" t="str">
        <f t="array" ref="L283">IF($E283="","", XLOOKUP(SUMIFS(Prod_Prop!$A:$A,Prod_Prop!$B:$B,$E283,Prod_Prop!$H:$H,L$1,Prod_Prop!$I:$I,"Exacto"),Prod_Prop!$A:$A,Prod_Prop!$J:$J,"",0,1))</f>
        <v/>
      </c>
      <c r="M283" s="4" t="str">
        <f t="array" ref="M283">IF($E283="","", XLOOKUP(SUMIFS(Prod_Prop!$A:$A,Prod_Prop!$B:$B,$E283,Prod_Prop!$H:$H,M$1,Prod_Prop!$I:$I,"Exacto"),Prod_Prop!$A:$A,Prod_Prop!$J:$J,"",0,1))</f>
        <v/>
      </c>
      <c r="N283" s="4" t="str">
        <f t="array" ref="N283">IF($E283="","", XLOOKUP(SUMIFS(Prod_Prop!$A:$A,Prod_Prop!$B:$B,$E283,Prod_Prop!$H:$H,N$1,Prod_Prop!$I:$I,"Exacto"),Prod_Prop!$A:$A,Prod_Prop!$J:$J,"",0,1))</f>
        <v/>
      </c>
      <c r="O283" s="4" t="str">
        <f t="array" ref="O283">IF($E283="","", XLOOKUP(SUMIFS(Prod_Prop!$A:$A,Prod_Prop!$B:$B,$E283,Prod_Prop!$H:$H,O$1,Prod_Prop!$I:$I,"Exacto"),Prod_Prop!$A:$A,Prod_Prop!$J:$J,"",0,1))</f>
        <v/>
      </c>
      <c r="P283" s="4" t="str">
        <f t="array" ref="P283">IF($E283="","", XLOOKUP(SUMIFS(Prod_Prop!$A:$A,Prod_Prop!$B:$B,$E283,Prod_Prop!$H:$H,P$1,Prod_Prop!$I:$I,"Exacto"),Prod_Prop!$A:$A,Prod_Prop!$J:$J,"",0,1))</f>
        <v/>
      </c>
      <c r="Q283" s="4" t="str">
        <f t="array" ref="Q283">IF($E283="","", XLOOKUP(SUMIFS(Prod_Prop!$A:$A,Prod_Prop!$B:$B,$E283,Prod_Prop!$H:$H,Q$1,Prod_Prop!$I:$I,"Exacto"),Prod_Prop!$A:$A,Prod_Prop!$J:$J,"",0,1))</f>
        <v/>
      </c>
      <c r="R283" s="4" t="str">
        <f t="array" ref="R283">IF($E283="","", XLOOKUP(SUMIFS(Prod_Prop!$A:$A,Prod_Prop!$B:$B,$E283,Prod_Prop!$H:$H,R$1,Prod_Prop!$I:$I,"Exacto"),Prod_Prop!$A:$A,Prod_Prop!$J:$J,"",0,1))</f>
        <v/>
      </c>
      <c r="S283" s="4" t="str">
        <f t="array" ref="S283">IF($E283="","", XLOOKUP(SUMIFS(Prod_Prop!$A:$A,Prod_Prop!$B:$B,$E283,Prod_Prop!$H:$H,S$1,Prod_Prop!$I:$I,"Exacto"),Prod_Prop!$A:$A,Prod_Prop!$J:$J,"",0,1))</f>
        <v/>
      </c>
      <c r="T283" s="4" t="str">
        <f t="array" ref="T283">IF($E283="","", XLOOKUP(SUMIFS(Prod_Prop!$A:$A,Prod_Prop!$B:$B,$E283,Prod_Prop!$H:$H,T$1,Prod_Prop!$I:$I,"Exacto"),Prod_Prop!$A:$A,Prod_Prop!$J:$J,"",0,1))</f>
        <v/>
      </c>
      <c r="U283" s="4" t="str">
        <f t="array" ref="U283">IF($E283="","", XLOOKUP(SUMIFS(Prod_Prop!$A:$A,Prod_Prop!$B:$B,$E283,Prod_Prop!$H:$H,U$1,Prod_Prop!$I:$I,"Exacto"),Prod_Prop!$A:$A,Prod_Prop!$J:$J,"",0,1))</f>
        <v/>
      </c>
      <c r="V283" s="4" t="str">
        <f t="array" ref="V283">IF($E283="","", XLOOKUP(SUMIFS(Prod_Prop!$A:$A,Prod_Prop!$B:$B,$E283,Prod_Prop!$H:$H,V$1,Prod_Prop!$I:$I,"Exacto"),Prod_Prop!$A:$A,Prod_Prop!$J:$J,"",0,1))</f>
        <v/>
      </c>
      <c r="X283" s="3" t="str">
        <f>IFERROR(__xludf.DUMMYFUNCTION("IF(D283="""","""",IFERROR(TRANSPOSE(FILTER('Validaciones Cotizador'!U:U,'Validaciones Cotizador'!O:O=D283,'Validaciones Cotizador'!T:T=""x"")),""Finalizar""))"),"")</f>
        <v/>
      </c>
    </row>
    <row r="284">
      <c r="A284" s="2" t="str">
        <f t="array" ref="A284">IF(E284="","",XLOOKUP(D284,'Validaciones Cotizador'!C:C,'Validaciones Cotizador'!A:A,"",0,1))</f>
        <v/>
      </c>
      <c r="B284" s="2" t="str">
        <f t="array" ref="B284">IF(F284="","",XLOOKUP(F284,Productos!E:E,Productos!G:G,"",0,1))</f>
        <v/>
      </c>
      <c r="C284" s="2" t="str">
        <f>IF(A284="","",SUMIFS('Validaciones Cotizador'!B:B,'Validaciones Cotizador'!C:C,D284,'Validaciones Cotizador'!A:A,A284))</f>
        <v/>
      </c>
      <c r="D284" s="4" t="str">
        <f>IFERROR(__xludf.DUMMYFUNCTION("IF(OR(F283=""Finalizar"",F283="""",F283=""Selecciona..""),"""",IF(OR(F283=""-"",INDEX(filter(Familias!F:F,Familias!D:D=A283,Familias!E:E=C283),1)=""O""),D283+1,D283))"),"")</f>
        <v/>
      </c>
      <c r="E284" s="2" t="str">
        <f>IF(OR(F284="",F284="Selecciona.."),"",IF(D284="Implemento",SUMIF(Implementos!B:B,F284,Implementos!A:A),SUMIF(Productos!E:E,F284,Productos!A:A)))</f>
        <v/>
      </c>
      <c r="F284" s="2" t="str">
        <f t="shared" si="2"/>
        <v/>
      </c>
      <c r="G284" s="10" t="str">
        <f t="array" ref="G284">IF(OR(F284="",F284="-",F284="Selecciona..",F284="Finalizar"),"",IF(A284="Rodados",XLOOKUP(B284,'Validaciones Cotizador'!I:I,'Validaciones Cotizador'!J:J,0,0,1),1))</f>
        <v/>
      </c>
      <c r="H284" s="11" t="str">
        <f>IF(OR(F284="",F284="Selecciona.."),"",SUMIF(Precio_Productos!K:K,E284,Precio_Productos!J:J)*G284)</f>
        <v/>
      </c>
      <c r="I284" s="4" t="str">
        <f t="array" ref="I284">IF($E284="","", XLOOKUP(SUMIFS(Prod_Prop!$A:$A,Prod_Prop!$B:$B,$E284,Prod_Prop!$H:$H,I$1,Prod_Prop!$I:$I,"Exacto"),Prod_Prop!$A:$A,Prod_Prop!$J:$J,"",0,1))</f>
        <v/>
      </c>
      <c r="J284" s="4" t="str">
        <f t="array" ref="J284">IF($E284="","", XLOOKUP(SUMIFS(Prod_Prop!$A:$A,Prod_Prop!$B:$B,$E284,Prod_Prop!$H:$H,J$1,Prod_Prop!$I:$I,"Exacto"),Prod_Prop!$A:$A,Prod_Prop!$J:$J,"",0,1))</f>
        <v/>
      </c>
      <c r="K284" s="4" t="str">
        <f t="array" ref="K284">IF($E284="","", XLOOKUP(SUMIFS(Prod_Prop!$A:$A,Prod_Prop!$B:$B,$E284,Prod_Prop!$H:$H,K$1,Prod_Prop!$I:$I,"Exacto"),Prod_Prop!$A:$A,Prod_Prop!$J:$J,"",0,1))</f>
        <v/>
      </c>
      <c r="L284" s="4" t="str">
        <f t="array" ref="L284">IF($E284="","", XLOOKUP(SUMIFS(Prod_Prop!$A:$A,Prod_Prop!$B:$B,$E284,Prod_Prop!$H:$H,L$1,Prod_Prop!$I:$I,"Exacto"),Prod_Prop!$A:$A,Prod_Prop!$J:$J,"",0,1))</f>
        <v/>
      </c>
      <c r="M284" s="4" t="str">
        <f t="array" ref="M284">IF($E284="","", XLOOKUP(SUMIFS(Prod_Prop!$A:$A,Prod_Prop!$B:$B,$E284,Prod_Prop!$H:$H,M$1,Prod_Prop!$I:$I,"Exacto"),Prod_Prop!$A:$A,Prod_Prop!$J:$J,"",0,1))</f>
        <v/>
      </c>
      <c r="N284" s="4" t="str">
        <f t="array" ref="N284">IF($E284="","", XLOOKUP(SUMIFS(Prod_Prop!$A:$A,Prod_Prop!$B:$B,$E284,Prod_Prop!$H:$H,N$1,Prod_Prop!$I:$I,"Exacto"),Prod_Prop!$A:$A,Prod_Prop!$J:$J,"",0,1))</f>
        <v/>
      </c>
      <c r="O284" s="4" t="str">
        <f t="array" ref="O284">IF($E284="","", XLOOKUP(SUMIFS(Prod_Prop!$A:$A,Prod_Prop!$B:$B,$E284,Prod_Prop!$H:$H,O$1,Prod_Prop!$I:$I,"Exacto"),Prod_Prop!$A:$A,Prod_Prop!$J:$J,"",0,1))</f>
        <v/>
      </c>
      <c r="P284" s="4" t="str">
        <f t="array" ref="P284">IF($E284="","", XLOOKUP(SUMIFS(Prod_Prop!$A:$A,Prod_Prop!$B:$B,$E284,Prod_Prop!$H:$H,P$1,Prod_Prop!$I:$I,"Exacto"),Prod_Prop!$A:$A,Prod_Prop!$J:$J,"",0,1))</f>
        <v/>
      </c>
      <c r="Q284" s="4" t="str">
        <f t="array" ref="Q284">IF($E284="","", XLOOKUP(SUMIFS(Prod_Prop!$A:$A,Prod_Prop!$B:$B,$E284,Prod_Prop!$H:$H,Q$1,Prod_Prop!$I:$I,"Exacto"),Prod_Prop!$A:$A,Prod_Prop!$J:$J,"",0,1))</f>
        <v/>
      </c>
      <c r="R284" s="4" t="str">
        <f t="array" ref="R284">IF($E284="","", XLOOKUP(SUMIFS(Prod_Prop!$A:$A,Prod_Prop!$B:$B,$E284,Prod_Prop!$H:$H,R$1,Prod_Prop!$I:$I,"Exacto"),Prod_Prop!$A:$A,Prod_Prop!$J:$J,"",0,1))</f>
        <v/>
      </c>
      <c r="S284" s="4" t="str">
        <f t="array" ref="S284">IF($E284="","", XLOOKUP(SUMIFS(Prod_Prop!$A:$A,Prod_Prop!$B:$B,$E284,Prod_Prop!$H:$H,S$1,Prod_Prop!$I:$I,"Exacto"),Prod_Prop!$A:$A,Prod_Prop!$J:$J,"",0,1))</f>
        <v/>
      </c>
      <c r="T284" s="4" t="str">
        <f t="array" ref="T284">IF($E284="","", XLOOKUP(SUMIFS(Prod_Prop!$A:$A,Prod_Prop!$B:$B,$E284,Prod_Prop!$H:$H,T$1,Prod_Prop!$I:$I,"Exacto"),Prod_Prop!$A:$A,Prod_Prop!$J:$J,"",0,1))</f>
        <v/>
      </c>
      <c r="U284" s="4" t="str">
        <f t="array" ref="U284">IF($E284="","", XLOOKUP(SUMIFS(Prod_Prop!$A:$A,Prod_Prop!$B:$B,$E284,Prod_Prop!$H:$H,U$1,Prod_Prop!$I:$I,"Exacto"),Prod_Prop!$A:$A,Prod_Prop!$J:$J,"",0,1))</f>
        <v/>
      </c>
      <c r="V284" s="4" t="str">
        <f t="array" ref="V284">IF($E284="","", XLOOKUP(SUMIFS(Prod_Prop!$A:$A,Prod_Prop!$B:$B,$E284,Prod_Prop!$H:$H,V$1,Prod_Prop!$I:$I,"Exacto"),Prod_Prop!$A:$A,Prod_Prop!$J:$J,"",0,1))</f>
        <v/>
      </c>
      <c r="X284" s="3" t="str">
        <f>IFERROR(__xludf.DUMMYFUNCTION("IF(D284="""","""",IFERROR(TRANSPOSE(FILTER('Validaciones Cotizador'!U:U,'Validaciones Cotizador'!O:O=D284,'Validaciones Cotizador'!T:T=""x"")),""Finalizar""))"),"")</f>
        <v/>
      </c>
    </row>
    <row r="285">
      <c r="A285" s="2" t="str">
        <f t="array" ref="A285">IF(E285="","",XLOOKUP(D285,'Validaciones Cotizador'!C:C,'Validaciones Cotizador'!A:A,"",0,1))</f>
        <v/>
      </c>
      <c r="B285" s="2" t="str">
        <f t="array" ref="B285">IF(F285="","",XLOOKUP(F285,Productos!E:E,Productos!G:G,"",0,1))</f>
        <v/>
      </c>
      <c r="C285" s="2" t="str">
        <f>IF(A285="","",SUMIFS('Validaciones Cotizador'!B:B,'Validaciones Cotizador'!C:C,D285,'Validaciones Cotizador'!A:A,A285))</f>
        <v/>
      </c>
      <c r="D285" s="4" t="str">
        <f>IFERROR(__xludf.DUMMYFUNCTION("IF(OR(F284=""Finalizar"",F284="""",F284=""Selecciona..""),"""",IF(OR(F284=""-"",INDEX(filter(Familias!F:F,Familias!D:D=A284,Familias!E:E=C284),1)=""O""),D284+1,D284))"),"")</f>
        <v/>
      </c>
      <c r="E285" s="2" t="str">
        <f>IF(OR(F285="",F285="Selecciona.."),"",IF(D285="Implemento",SUMIF(Implementos!B:B,F285,Implementos!A:A),SUMIF(Productos!E:E,F285,Productos!A:A)))</f>
        <v/>
      </c>
      <c r="F285" s="2" t="str">
        <f t="shared" si="2"/>
        <v/>
      </c>
      <c r="G285" s="10" t="str">
        <f t="array" ref="G285">IF(OR(F285="",F285="-",F285="Selecciona..",F285="Finalizar"),"",IF(A285="Rodados",XLOOKUP(B285,'Validaciones Cotizador'!I:I,'Validaciones Cotizador'!J:J,0,0,1),1))</f>
        <v/>
      </c>
      <c r="H285" s="11" t="str">
        <f>IF(OR(F285="",F285="Selecciona.."),"",SUMIF(Precio_Productos!K:K,E285,Precio_Productos!J:J)*G285)</f>
        <v/>
      </c>
      <c r="I285" s="4" t="str">
        <f t="array" ref="I285">IF($E285="","", XLOOKUP(SUMIFS(Prod_Prop!$A:$A,Prod_Prop!$B:$B,$E285,Prod_Prop!$H:$H,I$1,Prod_Prop!$I:$I,"Exacto"),Prod_Prop!$A:$A,Prod_Prop!$J:$J,"",0,1))</f>
        <v/>
      </c>
      <c r="J285" s="4" t="str">
        <f t="array" ref="J285">IF($E285="","", XLOOKUP(SUMIFS(Prod_Prop!$A:$A,Prod_Prop!$B:$B,$E285,Prod_Prop!$H:$H,J$1,Prod_Prop!$I:$I,"Exacto"),Prod_Prop!$A:$A,Prod_Prop!$J:$J,"",0,1))</f>
        <v/>
      </c>
      <c r="K285" s="4" t="str">
        <f t="array" ref="K285">IF($E285="","", XLOOKUP(SUMIFS(Prod_Prop!$A:$A,Prod_Prop!$B:$B,$E285,Prod_Prop!$H:$H,K$1,Prod_Prop!$I:$I,"Exacto"),Prod_Prop!$A:$A,Prod_Prop!$J:$J,"",0,1))</f>
        <v/>
      </c>
      <c r="L285" s="4" t="str">
        <f t="array" ref="L285">IF($E285="","", XLOOKUP(SUMIFS(Prod_Prop!$A:$A,Prod_Prop!$B:$B,$E285,Prod_Prop!$H:$H,L$1,Prod_Prop!$I:$I,"Exacto"),Prod_Prop!$A:$A,Prod_Prop!$J:$J,"",0,1))</f>
        <v/>
      </c>
      <c r="M285" s="4" t="str">
        <f t="array" ref="M285">IF($E285="","", XLOOKUP(SUMIFS(Prod_Prop!$A:$A,Prod_Prop!$B:$B,$E285,Prod_Prop!$H:$H,M$1,Prod_Prop!$I:$I,"Exacto"),Prod_Prop!$A:$A,Prod_Prop!$J:$J,"",0,1))</f>
        <v/>
      </c>
      <c r="N285" s="4" t="str">
        <f t="array" ref="N285">IF($E285="","", XLOOKUP(SUMIFS(Prod_Prop!$A:$A,Prod_Prop!$B:$B,$E285,Prod_Prop!$H:$H,N$1,Prod_Prop!$I:$I,"Exacto"),Prod_Prop!$A:$A,Prod_Prop!$J:$J,"",0,1))</f>
        <v/>
      </c>
      <c r="O285" s="4" t="str">
        <f t="array" ref="O285">IF($E285="","", XLOOKUP(SUMIFS(Prod_Prop!$A:$A,Prod_Prop!$B:$B,$E285,Prod_Prop!$H:$H,O$1,Prod_Prop!$I:$I,"Exacto"),Prod_Prop!$A:$A,Prod_Prop!$J:$J,"",0,1))</f>
        <v/>
      </c>
      <c r="P285" s="4" t="str">
        <f t="array" ref="P285">IF($E285="","", XLOOKUP(SUMIFS(Prod_Prop!$A:$A,Prod_Prop!$B:$B,$E285,Prod_Prop!$H:$H,P$1,Prod_Prop!$I:$I,"Exacto"),Prod_Prop!$A:$A,Prod_Prop!$J:$J,"",0,1))</f>
        <v/>
      </c>
      <c r="Q285" s="4" t="str">
        <f t="array" ref="Q285">IF($E285="","", XLOOKUP(SUMIFS(Prod_Prop!$A:$A,Prod_Prop!$B:$B,$E285,Prod_Prop!$H:$H,Q$1,Prod_Prop!$I:$I,"Exacto"),Prod_Prop!$A:$A,Prod_Prop!$J:$J,"",0,1))</f>
        <v/>
      </c>
      <c r="R285" s="4" t="str">
        <f t="array" ref="R285">IF($E285="","", XLOOKUP(SUMIFS(Prod_Prop!$A:$A,Prod_Prop!$B:$B,$E285,Prod_Prop!$H:$H,R$1,Prod_Prop!$I:$I,"Exacto"),Prod_Prop!$A:$A,Prod_Prop!$J:$J,"",0,1))</f>
        <v/>
      </c>
      <c r="S285" s="4" t="str">
        <f t="array" ref="S285">IF($E285="","", XLOOKUP(SUMIFS(Prod_Prop!$A:$A,Prod_Prop!$B:$B,$E285,Prod_Prop!$H:$H,S$1,Prod_Prop!$I:$I,"Exacto"),Prod_Prop!$A:$A,Prod_Prop!$J:$J,"",0,1))</f>
        <v/>
      </c>
      <c r="T285" s="4" t="str">
        <f t="array" ref="T285">IF($E285="","", XLOOKUP(SUMIFS(Prod_Prop!$A:$A,Prod_Prop!$B:$B,$E285,Prod_Prop!$H:$H,T$1,Prod_Prop!$I:$I,"Exacto"),Prod_Prop!$A:$A,Prod_Prop!$J:$J,"",0,1))</f>
        <v/>
      </c>
      <c r="U285" s="4" t="str">
        <f t="array" ref="U285">IF($E285="","", XLOOKUP(SUMIFS(Prod_Prop!$A:$A,Prod_Prop!$B:$B,$E285,Prod_Prop!$H:$H,U$1,Prod_Prop!$I:$I,"Exacto"),Prod_Prop!$A:$A,Prod_Prop!$J:$J,"",0,1))</f>
        <v/>
      </c>
      <c r="V285" s="4" t="str">
        <f t="array" ref="V285">IF($E285="","", XLOOKUP(SUMIFS(Prod_Prop!$A:$A,Prod_Prop!$B:$B,$E285,Prod_Prop!$H:$H,V$1,Prod_Prop!$I:$I,"Exacto"),Prod_Prop!$A:$A,Prod_Prop!$J:$J,"",0,1))</f>
        <v/>
      </c>
      <c r="X285" s="3" t="str">
        <f>IFERROR(__xludf.DUMMYFUNCTION("IF(D285="""","""",IFERROR(TRANSPOSE(FILTER('Validaciones Cotizador'!U:U,'Validaciones Cotizador'!O:O=D285,'Validaciones Cotizador'!T:T=""x"")),""Finalizar""))"),"")</f>
        <v/>
      </c>
    </row>
    <row r="286">
      <c r="A286" s="2" t="str">
        <f t="array" ref="A286">IF(E286="","",XLOOKUP(D286,'Validaciones Cotizador'!C:C,'Validaciones Cotizador'!A:A,"",0,1))</f>
        <v/>
      </c>
      <c r="B286" s="2" t="str">
        <f t="array" ref="B286">IF(F286="","",XLOOKUP(F286,Productos!E:E,Productos!G:G,"",0,1))</f>
        <v/>
      </c>
      <c r="C286" s="2" t="str">
        <f>IF(A286="","",SUMIFS('Validaciones Cotizador'!B:B,'Validaciones Cotizador'!C:C,D286,'Validaciones Cotizador'!A:A,A286))</f>
        <v/>
      </c>
      <c r="D286" s="4" t="str">
        <f>IFERROR(__xludf.DUMMYFUNCTION("IF(OR(F285=""Finalizar"",F285="""",F285=""Selecciona..""),"""",IF(OR(F285=""-"",INDEX(filter(Familias!F:F,Familias!D:D=A285,Familias!E:E=C285),1)=""O""),D285+1,D285))"),"")</f>
        <v/>
      </c>
      <c r="E286" s="2" t="str">
        <f>IF(OR(F286="",F286="Selecciona.."),"",IF(D286="Implemento",SUMIF(Implementos!B:B,F286,Implementos!A:A),SUMIF(Productos!E:E,F286,Productos!A:A)))</f>
        <v/>
      </c>
      <c r="F286" s="2" t="str">
        <f t="shared" si="2"/>
        <v/>
      </c>
      <c r="G286" s="10" t="str">
        <f t="array" ref="G286">IF(OR(F286="",F286="-",F286="Selecciona..",F286="Finalizar"),"",IF(A286="Rodados",XLOOKUP(B286,'Validaciones Cotizador'!I:I,'Validaciones Cotizador'!J:J,0,0,1),1))</f>
        <v/>
      </c>
      <c r="H286" s="11" t="str">
        <f>IF(OR(F286="",F286="Selecciona.."),"",SUMIF(Precio_Productos!K:K,E286,Precio_Productos!J:J)*G286)</f>
        <v/>
      </c>
      <c r="I286" s="4" t="str">
        <f t="array" ref="I286">IF($E286="","", XLOOKUP(SUMIFS(Prod_Prop!$A:$A,Prod_Prop!$B:$B,$E286,Prod_Prop!$H:$H,I$1,Prod_Prop!$I:$I,"Exacto"),Prod_Prop!$A:$A,Prod_Prop!$J:$J,"",0,1))</f>
        <v/>
      </c>
      <c r="J286" s="4" t="str">
        <f t="array" ref="J286">IF($E286="","", XLOOKUP(SUMIFS(Prod_Prop!$A:$A,Prod_Prop!$B:$B,$E286,Prod_Prop!$H:$H,J$1,Prod_Prop!$I:$I,"Exacto"),Prod_Prop!$A:$A,Prod_Prop!$J:$J,"",0,1))</f>
        <v/>
      </c>
      <c r="K286" s="4" t="str">
        <f t="array" ref="K286">IF($E286="","", XLOOKUP(SUMIFS(Prod_Prop!$A:$A,Prod_Prop!$B:$B,$E286,Prod_Prop!$H:$H,K$1,Prod_Prop!$I:$I,"Exacto"),Prod_Prop!$A:$A,Prod_Prop!$J:$J,"",0,1))</f>
        <v/>
      </c>
      <c r="L286" s="4" t="str">
        <f t="array" ref="L286">IF($E286="","", XLOOKUP(SUMIFS(Prod_Prop!$A:$A,Prod_Prop!$B:$B,$E286,Prod_Prop!$H:$H,L$1,Prod_Prop!$I:$I,"Exacto"),Prod_Prop!$A:$A,Prod_Prop!$J:$J,"",0,1))</f>
        <v/>
      </c>
      <c r="M286" s="4" t="str">
        <f t="array" ref="M286">IF($E286="","", XLOOKUP(SUMIFS(Prod_Prop!$A:$A,Prod_Prop!$B:$B,$E286,Prod_Prop!$H:$H,M$1,Prod_Prop!$I:$I,"Exacto"),Prod_Prop!$A:$A,Prod_Prop!$J:$J,"",0,1))</f>
        <v/>
      </c>
      <c r="N286" s="4" t="str">
        <f t="array" ref="N286">IF($E286="","", XLOOKUP(SUMIFS(Prod_Prop!$A:$A,Prod_Prop!$B:$B,$E286,Prod_Prop!$H:$H,N$1,Prod_Prop!$I:$I,"Exacto"),Prod_Prop!$A:$A,Prod_Prop!$J:$J,"",0,1))</f>
        <v/>
      </c>
      <c r="O286" s="4" t="str">
        <f t="array" ref="O286">IF($E286="","", XLOOKUP(SUMIFS(Prod_Prop!$A:$A,Prod_Prop!$B:$B,$E286,Prod_Prop!$H:$H,O$1,Prod_Prop!$I:$I,"Exacto"),Prod_Prop!$A:$A,Prod_Prop!$J:$J,"",0,1))</f>
        <v/>
      </c>
      <c r="P286" s="4" t="str">
        <f t="array" ref="P286">IF($E286="","", XLOOKUP(SUMIFS(Prod_Prop!$A:$A,Prod_Prop!$B:$B,$E286,Prod_Prop!$H:$H,P$1,Prod_Prop!$I:$I,"Exacto"),Prod_Prop!$A:$A,Prod_Prop!$J:$J,"",0,1))</f>
        <v/>
      </c>
      <c r="Q286" s="4" t="str">
        <f t="array" ref="Q286">IF($E286="","", XLOOKUP(SUMIFS(Prod_Prop!$A:$A,Prod_Prop!$B:$B,$E286,Prod_Prop!$H:$H,Q$1,Prod_Prop!$I:$I,"Exacto"),Prod_Prop!$A:$A,Prod_Prop!$J:$J,"",0,1))</f>
        <v/>
      </c>
      <c r="R286" s="4" t="str">
        <f t="array" ref="R286">IF($E286="","", XLOOKUP(SUMIFS(Prod_Prop!$A:$A,Prod_Prop!$B:$B,$E286,Prod_Prop!$H:$H,R$1,Prod_Prop!$I:$I,"Exacto"),Prod_Prop!$A:$A,Prod_Prop!$J:$J,"",0,1))</f>
        <v/>
      </c>
      <c r="S286" s="4" t="str">
        <f t="array" ref="S286">IF($E286="","", XLOOKUP(SUMIFS(Prod_Prop!$A:$A,Prod_Prop!$B:$B,$E286,Prod_Prop!$H:$H,S$1,Prod_Prop!$I:$I,"Exacto"),Prod_Prop!$A:$A,Prod_Prop!$J:$J,"",0,1))</f>
        <v/>
      </c>
      <c r="T286" s="4" t="str">
        <f t="array" ref="T286">IF($E286="","", XLOOKUP(SUMIFS(Prod_Prop!$A:$A,Prod_Prop!$B:$B,$E286,Prod_Prop!$H:$H,T$1,Prod_Prop!$I:$I,"Exacto"),Prod_Prop!$A:$A,Prod_Prop!$J:$J,"",0,1))</f>
        <v/>
      </c>
      <c r="U286" s="4" t="str">
        <f t="array" ref="U286">IF($E286="","", XLOOKUP(SUMIFS(Prod_Prop!$A:$A,Prod_Prop!$B:$B,$E286,Prod_Prop!$H:$H,U$1,Prod_Prop!$I:$I,"Exacto"),Prod_Prop!$A:$A,Prod_Prop!$J:$J,"",0,1))</f>
        <v/>
      </c>
      <c r="V286" s="4" t="str">
        <f t="array" ref="V286">IF($E286="","", XLOOKUP(SUMIFS(Prod_Prop!$A:$A,Prod_Prop!$B:$B,$E286,Prod_Prop!$H:$H,V$1,Prod_Prop!$I:$I,"Exacto"),Prod_Prop!$A:$A,Prod_Prop!$J:$J,"",0,1))</f>
        <v/>
      </c>
      <c r="X286" s="3" t="str">
        <f>IFERROR(__xludf.DUMMYFUNCTION("IF(D286="""","""",IFERROR(TRANSPOSE(FILTER('Validaciones Cotizador'!U:U,'Validaciones Cotizador'!O:O=D286,'Validaciones Cotizador'!T:T=""x"")),""Finalizar""))"),"")</f>
        <v/>
      </c>
    </row>
    <row r="287">
      <c r="A287" s="2" t="str">
        <f t="array" ref="A287">IF(E287="","",XLOOKUP(D287,'Validaciones Cotizador'!C:C,'Validaciones Cotizador'!A:A,"",0,1))</f>
        <v/>
      </c>
      <c r="B287" s="2" t="str">
        <f t="array" ref="B287">IF(F287="","",XLOOKUP(F287,Productos!E:E,Productos!G:G,"",0,1))</f>
        <v/>
      </c>
      <c r="C287" s="2" t="str">
        <f>IF(A287="","",SUMIFS('Validaciones Cotizador'!B:B,'Validaciones Cotizador'!C:C,D287,'Validaciones Cotizador'!A:A,A287))</f>
        <v/>
      </c>
      <c r="D287" s="4" t="str">
        <f>IFERROR(__xludf.DUMMYFUNCTION("IF(OR(F286=""Finalizar"",F286="""",F286=""Selecciona..""),"""",IF(OR(F286=""-"",INDEX(filter(Familias!F:F,Familias!D:D=A286,Familias!E:E=C286),1)=""O""),D286+1,D286))"),"")</f>
        <v/>
      </c>
      <c r="E287" s="2" t="str">
        <f>IF(OR(F287="",F287="Selecciona.."),"",IF(D287="Implemento",SUMIF(Implementos!B:B,F287,Implementos!A:A),SUMIF(Productos!E:E,F287,Productos!A:A)))</f>
        <v/>
      </c>
      <c r="F287" s="2" t="str">
        <f t="shared" si="2"/>
        <v/>
      </c>
      <c r="G287" s="10" t="str">
        <f t="array" ref="G287">IF(OR(F287="",F287="-",F287="Selecciona..",F287="Finalizar"),"",IF(A287="Rodados",XLOOKUP(B287,'Validaciones Cotizador'!I:I,'Validaciones Cotizador'!J:J,0,0,1),1))</f>
        <v/>
      </c>
      <c r="H287" s="11" t="str">
        <f>IF(OR(F287="",F287="Selecciona.."),"",SUMIF(Precio_Productos!K:K,E287,Precio_Productos!J:J)*G287)</f>
        <v/>
      </c>
      <c r="I287" s="4" t="str">
        <f t="array" ref="I287">IF($E287="","", XLOOKUP(SUMIFS(Prod_Prop!$A:$A,Prod_Prop!$B:$B,$E287,Prod_Prop!$H:$H,I$1,Prod_Prop!$I:$I,"Exacto"),Prod_Prop!$A:$A,Prod_Prop!$J:$J,"",0,1))</f>
        <v/>
      </c>
      <c r="J287" s="4" t="str">
        <f t="array" ref="J287">IF($E287="","", XLOOKUP(SUMIFS(Prod_Prop!$A:$A,Prod_Prop!$B:$B,$E287,Prod_Prop!$H:$H,J$1,Prod_Prop!$I:$I,"Exacto"),Prod_Prop!$A:$A,Prod_Prop!$J:$J,"",0,1))</f>
        <v/>
      </c>
      <c r="K287" s="4" t="str">
        <f t="array" ref="K287">IF($E287="","", XLOOKUP(SUMIFS(Prod_Prop!$A:$A,Prod_Prop!$B:$B,$E287,Prod_Prop!$H:$H,K$1,Prod_Prop!$I:$I,"Exacto"),Prod_Prop!$A:$A,Prod_Prop!$J:$J,"",0,1))</f>
        <v/>
      </c>
      <c r="L287" s="4" t="str">
        <f t="array" ref="L287">IF($E287="","", XLOOKUP(SUMIFS(Prod_Prop!$A:$A,Prod_Prop!$B:$B,$E287,Prod_Prop!$H:$H,L$1,Prod_Prop!$I:$I,"Exacto"),Prod_Prop!$A:$A,Prod_Prop!$J:$J,"",0,1))</f>
        <v/>
      </c>
      <c r="M287" s="4" t="str">
        <f t="array" ref="M287">IF($E287="","", XLOOKUP(SUMIFS(Prod_Prop!$A:$A,Prod_Prop!$B:$B,$E287,Prod_Prop!$H:$H,M$1,Prod_Prop!$I:$I,"Exacto"),Prod_Prop!$A:$A,Prod_Prop!$J:$J,"",0,1))</f>
        <v/>
      </c>
      <c r="N287" s="4" t="str">
        <f t="array" ref="N287">IF($E287="","", XLOOKUP(SUMIFS(Prod_Prop!$A:$A,Prod_Prop!$B:$B,$E287,Prod_Prop!$H:$H,N$1,Prod_Prop!$I:$I,"Exacto"),Prod_Prop!$A:$A,Prod_Prop!$J:$J,"",0,1))</f>
        <v/>
      </c>
      <c r="O287" s="4" t="str">
        <f t="array" ref="O287">IF($E287="","", XLOOKUP(SUMIFS(Prod_Prop!$A:$A,Prod_Prop!$B:$B,$E287,Prod_Prop!$H:$H,O$1,Prod_Prop!$I:$I,"Exacto"),Prod_Prop!$A:$A,Prod_Prop!$J:$J,"",0,1))</f>
        <v/>
      </c>
      <c r="P287" s="4" t="str">
        <f t="array" ref="P287">IF($E287="","", XLOOKUP(SUMIFS(Prod_Prop!$A:$A,Prod_Prop!$B:$B,$E287,Prod_Prop!$H:$H,P$1,Prod_Prop!$I:$I,"Exacto"),Prod_Prop!$A:$A,Prod_Prop!$J:$J,"",0,1))</f>
        <v/>
      </c>
      <c r="Q287" s="4" t="str">
        <f t="array" ref="Q287">IF($E287="","", XLOOKUP(SUMIFS(Prod_Prop!$A:$A,Prod_Prop!$B:$B,$E287,Prod_Prop!$H:$H,Q$1,Prod_Prop!$I:$I,"Exacto"),Prod_Prop!$A:$A,Prod_Prop!$J:$J,"",0,1))</f>
        <v/>
      </c>
      <c r="R287" s="4" t="str">
        <f t="array" ref="R287">IF($E287="","", XLOOKUP(SUMIFS(Prod_Prop!$A:$A,Prod_Prop!$B:$B,$E287,Prod_Prop!$H:$H,R$1,Prod_Prop!$I:$I,"Exacto"),Prod_Prop!$A:$A,Prod_Prop!$J:$J,"",0,1))</f>
        <v/>
      </c>
      <c r="S287" s="4" t="str">
        <f t="array" ref="S287">IF($E287="","", XLOOKUP(SUMIFS(Prod_Prop!$A:$A,Prod_Prop!$B:$B,$E287,Prod_Prop!$H:$H,S$1,Prod_Prop!$I:$I,"Exacto"),Prod_Prop!$A:$A,Prod_Prop!$J:$J,"",0,1))</f>
        <v/>
      </c>
      <c r="T287" s="4" t="str">
        <f t="array" ref="T287">IF($E287="","", XLOOKUP(SUMIFS(Prod_Prop!$A:$A,Prod_Prop!$B:$B,$E287,Prod_Prop!$H:$H,T$1,Prod_Prop!$I:$I,"Exacto"),Prod_Prop!$A:$A,Prod_Prop!$J:$J,"",0,1))</f>
        <v/>
      </c>
      <c r="U287" s="4" t="str">
        <f t="array" ref="U287">IF($E287="","", XLOOKUP(SUMIFS(Prod_Prop!$A:$A,Prod_Prop!$B:$B,$E287,Prod_Prop!$H:$H,U$1,Prod_Prop!$I:$I,"Exacto"),Prod_Prop!$A:$A,Prod_Prop!$J:$J,"",0,1))</f>
        <v/>
      </c>
      <c r="V287" s="4" t="str">
        <f t="array" ref="V287">IF($E287="","", XLOOKUP(SUMIFS(Prod_Prop!$A:$A,Prod_Prop!$B:$B,$E287,Prod_Prop!$H:$H,V$1,Prod_Prop!$I:$I,"Exacto"),Prod_Prop!$A:$A,Prod_Prop!$J:$J,"",0,1))</f>
        <v/>
      </c>
      <c r="X287" s="3" t="str">
        <f>IFERROR(__xludf.DUMMYFUNCTION("IF(D287="""","""",IFERROR(TRANSPOSE(FILTER('Validaciones Cotizador'!U:U,'Validaciones Cotizador'!O:O=D287,'Validaciones Cotizador'!T:T=""x"")),""Finalizar""))"),"")</f>
        <v/>
      </c>
    </row>
    <row r="288">
      <c r="A288" s="2" t="str">
        <f t="array" ref="A288">IF(E288="","",XLOOKUP(D288,'Validaciones Cotizador'!C:C,'Validaciones Cotizador'!A:A,"",0,1))</f>
        <v/>
      </c>
      <c r="B288" s="2" t="str">
        <f t="array" ref="B288">IF(F288="","",XLOOKUP(F288,Productos!E:E,Productos!G:G,"",0,1))</f>
        <v/>
      </c>
      <c r="C288" s="2" t="str">
        <f>IF(A288="","",SUMIFS('Validaciones Cotizador'!B:B,'Validaciones Cotizador'!C:C,D288,'Validaciones Cotizador'!A:A,A288))</f>
        <v/>
      </c>
      <c r="D288" s="4" t="str">
        <f>IFERROR(__xludf.DUMMYFUNCTION("IF(OR(F287=""Finalizar"",F287="""",F287=""Selecciona..""),"""",IF(OR(F287=""-"",INDEX(filter(Familias!F:F,Familias!D:D=A287,Familias!E:E=C287),1)=""O""),D287+1,D287))"),"")</f>
        <v/>
      </c>
      <c r="E288" s="2" t="str">
        <f>IF(OR(F288="",F288="Selecciona.."),"",IF(D288="Implemento",SUMIF(Implementos!B:B,F288,Implementos!A:A),SUMIF(Productos!E:E,F288,Productos!A:A)))</f>
        <v/>
      </c>
      <c r="F288" s="2" t="str">
        <f t="shared" si="2"/>
        <v/>
      </c>
      <c r="G288" s="10" t="str">
        <f t="array" ref="G288">IF(OR(F288="",F288="-",F288="Selecciona..",F288="Finalizar"),"",IF(A288="Rodados",XLOOKUP(B288,'Validaciones Cotizador'!I:I,'Validaciones Cotizador'!J:J,0,0,1),1))</f>
        <v/>
      </c>
      <c r="H288" s="11" t="str">
        <f>IF(OR(F288="",F288="Selecciona.."),"",SUMIF(Precio_Productos!K:K,E288,Precio_Productos!J:J)*G288)</f>
        <v/>
      </c>
      <c r="I288" s="4" t="str">
        <f t="array" ref="I288">IF($E288="","", XLOOKUP(SUMIFS(Prod_Prop!$A:$A,Prod_Prop!$B:$B,$E288,Prod_Prop!$H:$H,I$1,Prod_Prop!$I:$I,"Exacto"),Prod_Prop!$A:$A,Prod_Prop!$J:$J,"",0,1))</f>
        <v/>
      </c>
      <c r="J288" s="4" t="str">
        <f t="array" ref="J288">IF($E288="","", XLOOKUP(SUMIFS(Prod_Prop!$A:$A,Prod_Prop!$B:$B,$E288,Prod_Prop!$H:$H,J$1,Prod_Prop!$I:$I,"Exacto"),Prod_Prop!$A:$A,Prod_Prop!$J:$J,"",0,1))</f>
        <v/>
      </c>
      <c r="K288" s="4" t="str">
        <f t="array" ref="K288">IF($E288="","", XLOOKUP(SUMIFS(Prod_Prop!$A:$A,Prod_Prop!$B:$B,$E288,Prod_Prop!$H:$H,K$1,Prod_Prop!$I:$I,"Exacto"),Prod_Prop!$A:$A,Prod_Prop!$J:$J,"",0,1))</f>
        <v/>
      </c>
      <c r="L288" s="4" t="str">
        <f t="array" ref="L288">IF($E288="","", XLOOKUP(SUMIFS(Prod_Prop!$A:$A,Prod_Prop!$B:$B,$E288,Prod_Prop!$H:$H,L$1,Prod_Prop!$I:$I,"Exacto"),Prod_Prop!$A:$A,Prod_Prop!$J:$J,"",0,1))</f>
        <v/>
      </c>
      <c r="M288" s="4" t="str">
        <f t="array" ref="M288">IF($E288="","", XLOOKUP(SUMIFS(Prod_Prop!$A:$A,Prod_Prop!$B:$B,$E288,Prod_Prop!$H:$H,M$1,Prod_Prop!$I:$I,"Exacto"),Prod_Prop!$A:$A,Prod_Prop!$J:$J,"",0,1))</f>
        <v/>
      </c>
      <c r="N288" s="4" t="str">
        <f t="array" ref="N288">IF($E288="","", XLOOKUP(SUMIFS(Prod_Prop!$A:$A,Prod_Prop!$B:$B,$E288,Prod_Prop!$H:$H,N$1,Prod_Prop!$I:$I,"Exacto"),Prod_Prop!$A:$A,Prod_Prop!$J:$J,"",0,1))</f>
        <v/>
      </c>
      <c r="O288" s="4" t="str">
        <f t="array" ref="O288">IF($E288="","", XLOOKUP(SUMIFS(Prod_Prop!$A:$A,Prod_Prop!$B:$B,$E288,Prod_Prop!$H:$H,O$1,Prod_Prop!$I:$I,"Exacto"),Prod_Prop!$A:$A,Prod_Prop!$J:$J,"",0,1))</f>
        <v/>
      </c>
      <c r="P288" s="4" t="str">
        <f t="array" ref="P288">IF($E288="","", XLOOKUP(SUMIFS(Prod_Prop!$A:$A,Prod_Prop!$B:$B,$E288,Prod_Prop!$H:$H,P$1,Prod_Prop!$I:$I,"Exacto"),Prod_Prop!$A:$A,Prod_Prop!$J:$J,"",0,1))</f>
        <v/>
      </c>
      <c r="Q288" s="4" t="str">
        <f t="array" ref="Q288">IF($E288="","", XLOOKUP(SUMIFS(Prod_Prop!$A:$A,Prod_Prop!$B:$B,$E288,Prod_Prop!$H:$H,Q$1,Prod_Prop!$I:$I,"Exacto"),Prod_Prop!$A:$A,Prod_Prop!$J:$J,"",0,1))</f>
        <v/>
      </c>
      <c r="R288" s="4" t="str">
        <f t="array" ref="R288">IF($E288="","", XLOOKUP(SUMIFS(Prod_Prop!$A:$A,Prod_Prop!$B:$B,$E288,Prod_Prop!$H:$H,R$1,Prod_Prop!$I:$I,"Exacto"),Prod_Prop!$A:$A,Prod_Prop!$J:$J,"",0,1))</f>
        <v/>
      </c>
      <c r="S288" s="4" t="str">
        <f t="array" ref="S288">IF($E288="","", XLOOKUP(SUMIFS(Prod_Prop!$A:$A,Prod_Prop!$B:$B,$E288,Prod_Prop!$H:$H,S$1,Prod_Prop!$I:$I,"Exacto"),Prod_Prop!$A:$A,Prod_Prop!$J:$J,"",0,1))</f>
        <v/>
      </c>
      <c r="T288" s="4" t="str">
        <f t="array" ref="T288">IF($E288="","", XLOOKUP(SUMIFS(Prod_Prop!$A:$A,Prod_Prop!$B:$B,$E288,Prod_Prop!$H:$H,T$1,Prod_Prop!$I:$I,"Exacto"),Prod_Prop!$A:$A,Prod_Prop!$J:$J,"",0,1))</f>
        <v/>
      </c>
      <c r="U288" s="4" t="str">
        <f t="array" ref="U288">IF($E288="","", XLOOKUP(SUMIFS(Prod_Prop!$A:$A,Prod_Prop!$B:$B,$E288,Prod_Prop!$H:$H,U$1,Prod_Prop!$I:$I,"Exacto"),Prod_Prop!$A:$A,Prod_Prop!$J:$J,"",0,1))</f>
        <v/>
      </c>
      <c r="V288" s="4" t="str">
        <f t="array" ref="V288">IF($E288="","", XLOOKUP(SUMIFS(Prod_Prop!$A:$A,Prod_Prop!$B:$B,$E288,Prod_Prop!$H:$H,V$1,Prod_Prop!$I:$I,"Exacto"),Prod_Prop!$A:$A,Prod_Prop!$J:$J,"",0,1))</f>
        <v/>
      </c>
      <c r="X288" s="3" t="str">
        <f>IFERROR(__xludf.DUMMYFUNCTION("IF(D288="""","""",IFERROR(TRANSPOSE(FILTER('Validaciones Cotizador'!U:U,'Validaciones Cotizador'!O:O=D288,'Validaciones Cotizador'!T:T=""x"")),""Finalizar""))"),"")</f>
        <v/>
      </c>
    </row>
    <row r="289">
      <c r="A289" s="2" t="str">
        <f t="array" ref="A289">IF(E289="","",XLOOKUP(D289,'Validaciones Cotizador'!C:C,'Validaciones Cotizador'!A:A,"",0,1))</f>
        <v/>
      </c>
      <c r="B289" s="2" t="str">
        <f t="array" ref="B289">IF(F289="","",XLOOKUP(F289,Productos!E:E,Productos!G:G,"",0,1))</f>
        <v/>
      </c>
      <c r="C289" s="2" t="str">
        <f>IF(A289="","",SUMIFS('Validaciones Cotizador'!B:B,'Validaciones Cotizador'!C:C,D289,'Validaciones Cotizador'!A:A,A289))</f>
        <v/>
      </c>
      <c r="D289" s="4" t="str">
        <f>IFERROR(__xludf.DUMMYFUNCTION("IF(OR(F288=""Finalizar"",F288="""",F288=""Selecciona..""),"""",IF(OR(F288=""-"",INDEX(filter(Familias!F:F,Familias!D:D=A288,Familias!E:E=C288),1)=""O""),D288+1,D288))"),"")</f>
        <v/>
      </c>
      <c r="E289" s="2" t="str">
        <f>IF(OR(F289="",F289="Selecciona.."),"",IF(D289="Implemento",SUMIF(Implementos!B:B,F289,Implementos!A:A),SUMIF(Productos!E:E,F289,Productos!A:A)))</f>
        <v/>
      </c>
      <c r="F289" s="2" t="str">
        <f t="shared" si="2"/>
        <v/>
      </c>
      <c r="G289" s="10" t="str">
        <f t="array" ref="G289">IF(OR(F289="",F289="-",F289="Selecciona..",F289="Finalizar"),"",IF(A289="Rodados",XLOOKUP(B289,'Validaciones Cotizador'!I:I,'Validaciones Cotizador'!J:J,0,0,1),1))</f>
        <v/>
      </c>
      <c r="H289" s="11" t="str">
        <f>IF(OR(F289="",F289="Selecciona.."),"",SUMIF(Precio_Productos!K:K,E289,Precio_Productos!J:J)*G289)</f>
        <v/>
      </c>
      <c r="I289" s="4" t="str">
        <f t="array" ref="I289">IF($E289="","", XLOOKUP(SUMIFS(Prod_Prop!$A:$A,Prod_Prop!$B:$B,$E289,Prod_Prop!$H:$H,I$1,Prod_Prop!$I:$I,"Exacto"),Prod_Prop!$A:$A,Prod_Prop!$J:$J,"",0,1))</f>
        <v/>
      </c>
      <c r="J289" s="4" t="str">
        <f t="array" ref="J289">IF($E289="","", XLOOKUP(SUMIFS(Prod_Prop!$A:$A,Prod_Prop!$B:$B,$E289,Prod_Prop!$H:$H,J$1,Prod_Prop!$I:$I,"Exacto"),Prod_Prop!$A:$A,Prod_Prop!$J:$J,"",0,1))</f>
        <v/>
      </c>
      <c r="K289" s="4" t="str">
        <f t="array" ref="K289">IF($E289="","", XLOOKUP(SUMIFS(Prod_Prop!$A:$A,Prod_Prop!$B:$B,$E289,Prod_Prop!$H:$H,K$1,Prod_Prop!$I:$I,"Exacto"),Prod_Prop!$A:$A,Prod_Prop!$J:$J,"",0,1))</f>
        <v/>
      </c>
      <c r="L289" s="4" t="str">
        <f t="array" ref="L289">IF($E289="","", XLOOKUP(SUMIFS(Prod_Prop!$A:$A,Prod_Prop!$B:$B,$E289,Prod_Prop!$H:$H,L$1,Prod_Prop!$I:$I,"Exacto"),Prod_Prop!$A:$A,Prod_Prop!$J:$J,"",0,1))</f>
        <v/>
      </c>
      <c r="M289" s="4" t="str">
        <f t="array" ref="M289">IF($E289="","", XLOOKUP(SUMIFS(Prod_Prop!$A:$A,Prod_Prop!$B:$B,$E289,Prod_Prop!$H:$H,M$1,Prod_Prop!$I:$I,"Exacto"),Prod_Prop!$A:$A,Prod_Prop!$J:$J,"",0,1))</f>
        <v/>
      </c>
      <c r="N289" s="4" t="str">
        <f t="array" ref="N289">IF($E289="","", XLOOKUP(SUMIFS(Prod_Prop!$A:$A,Prod_Prop!$B:$B,$E289,Prod_Prop!$H:$H,N$1,Prod_Prop!$I:$I,"Exacto"),Prod_Prop!$A:$A,Prod_Prop!$J:$J,"",0,1))</f>
        <v/>
      </c>
      <c r="O289" s="4" t="str">
        <f t="array" ref="O289">IF($E289="","", XLOOKUP(SUMIFS(Prod_Prop!$A:$A,Prod_Prop!$B:$B,$E289,Prod_Prop!$H:$H,O$1,Prod_Prop!$I:$I,"Exacto"),Prod_Prop!$A:$A,Prod_Prop!$J:$J,"",0,1))</f>
        <v/>
      </c>
      <c r="P289" s="4" t="str">
        <f t="array" ref="P289">IF($E289="","", XLOOKUP(SUMIFS(Prod_Prop!$A:$A,Prod_Prop!$B:$B,$E289,Prod_Prop!$H:$H,P$1,Prod_Prop!$I:$I,"Exacto"),Prod_Prop!$A:$A,Prod_Prop!$J:$J,"",0,1))</f>
        <v/>
      </c>
      <c r="Q289" s="4" t="str">
        <f t="array" ref="Q289">IF($E289="","", XLOOKUP(SUMIFS(Prod_Prop!$A:$A,Prod_Prop!$B:$B,$E289,Prod_Prop!$H:$H,Q$1,Prod_Prop!$I:$I,"Exacto"),Prod_Prop!$A:$A,Prod_Prop!$J:$J,"",0,1))</f>
        <v/>
      </c>
      <c r="R289" s="4" t="str">
        <f t="array" ref="R289">IF($E289="","", XLOOKUP(SUMIFS(Prod_Prop!$A:$A,Prod_Prop!$B:$B,$E289,Prod_Prop!$H:$H,R$1,Prod_Prop!$I:$I,"Exacto"),Prod_Prop!$A:$A,Prod_Prop!$J:$J,"",0,1))</f>
        <v/>
      </c>
      <c r="S289" s="4" t="str">
        <f t="array" ref="S289">IF($E289="","", XLOOKUP(SUMIFS(Prod_Prop!$A:$A,Prod_Prop!$B:$B,$E289,Prod_Prop!$H:$H,S$1,Prod_Prop!$I:$I,"Exacto"),Prod_Prop!$A:$A,Prod_Prop!$J:$J,"",0,1))</f>
        <v/>
      </c>
      <c r="T289" s="4" t="str">
        <f t="array" ref="T289">IF($E289="","", XLOOKUP(SUMIFS(Prod_Prop!$A:$A,Prod_Prop!$B:$B,$E289,Prod_Prop!$H:$H,T$1,Prod_Prop!$I:$I,"Exacto"),Prod_Prop!$A:$A,Prod_Prop!$J:$J,"",0,1))</f>
        <v/>
      </c>
      <c r="U289" s="4" t="str">
        <f t="array" ref="U289">IF($E289="","", XLOOKUP(SUMIFS(Prod_Prop!$A:$A,Prod_Prop!$B:$B,$E289,Prod_Prop!$H:$H,U$1,Prod_Prop!$I:$I,"Exacto"),Prod_Prop!$A:$A,Prod_Prop!$J:$J,"",0,1))</f>
        <v/>
      </c>
      <c r="V289" s="4" t="str">
        <f t="array" ref="V289">IF($E289="","", XLOOKUP(SUMIFS(Prod_Prop!$A:$A,Prod_Prop!$B:$B,$E289,Prod_Prop!$H:$H,V$1,Prod_Prop!$I:$I,"Exacto"),Prod_Prop!$A:$A,Prod_Prop!$J:$J,"",0,1))</f>
        <v/>
      </c>
      <c r="X289" s="3" t="str">
        <f>IFERROR(__xludf.DUMMYFUNCTION("IF(D289="""","""",IFERROR(TRANSPOSE(FILTER('Validaciones Cotizador'!U:U,'Validaciones Cotizador'!O:O=D289,'Validaciones Cotizador'!T:T=""x"")),""Finalizar""))"),"")</f>
        <v/>
      </c>
    </row>
    <row r="290">
      <c r="A290" s="2" t="str">
        <f t="array" ref="A290">IF(E290="","",XLOOKUP(D290,'Validaciones Cotizador'!C:C,'Validaciones Cotizador'!A:A,"",0,1))</f>
        <v/>
      </c>
      <c r="B290" s="2" t="str">
        <f t="array" ref="B290">IF(F290="","",XLOOKUP(F290,Productos!E:E,Productos!G:G,"",0,1))</f>
        <v/>
      </c>
      <c r="C290" s="2" t="str">
        <f>IF(A290="","",SUMIFS('Validaciones Cotizador'!B:B,'Validaciones Cotizador'!C:C,D290,'Validaciones Cotizador'!A:A,A290))</f>
        <v/>
      </c>
      <c r="D290" s="4" t="str">
        <f>IFERROR(__xludf.DUMMYFUNCTION("IF(OR(F289=""Finalizar"",F289="""",F289=""Selecciona..""),"""",IF(OR(F289=""-"",INDEX(filter(Familias!F:F,Familias!D:D=A289,Familias!E:E=C289),1)=""O""),D289+1,D289))"),"")</f>
        <v/>
      </c>
      <c r="E290" s="2" t="str">
        <f>IF(OR(F290="",F290="Selecciona.."),"",IF(D290="Implemento",SUMIF(Implementos!B:B,F290,Implementos!A:A),SUMIF(Productos!E:E,F290,Productos!A:A)))</f>
        <v/>
      </c>
      <c r="F290" s="2" t="str">
        <f t="shared" si="2"/>
        <v/>
      </c>
      <c r="G290" s="10" t="str">
        <f t="array" ref="G290">IF(OR(F290="",F290="-",F290="Selecciona..",F290="Finalizar"),"",IF(A290="Rodados",XLOOKUP(B290,'Validaciones Cotizador'!I:I,'Validaciones Cotizador'!J:J,0,0,1),1))</f>
        <v/>
      </c>
      <c r="H290" s="11" t="str">
        <f>IF(OR(F290="",F290="Selecciona.."),"",SUMIF(Precio_Productos!K:K,E290,Precio_Productos!J:J)*G290)</f>
        <v/>
      </c>
      <c r="I290" s="4" t="str">
        <f t="array" ref="I290">IF($E290="","", XLOOKUP(SUMIFS(Prod_Prop!$A:$A,Prod_Prop!$B:$B,$E290,Prod_Prop!$H:$H,I$1,Prod_Prop!$I:$I,"Exacto"),Prod_Prop!$A:$A,Prod_Prop!$J:$J,"",0,1))</f>
        <v/>
      </c>
      <c r="J290" s="4" t="str">
        <f t="array" ref="J290">IF($E290="","", XLOOKUP(SUMIFS(Prod_Prop!$A:$A,Prod_Prop!$B:$B,$E290,Prod_Prop!$H:$H,J$1,Prod_Prop!$I:$I,"Exacto"),Prod_Prop!$A:$A,Prod_Prop!$J:$J,"",0,1))</f>
        <v/>
      </c>
      <c r="K290" s="4" t="str">
        <f t="array" ref="K290">IF($E290="","", XLOOKUP(SUMIFS(Prod_Prop!$A:$A,Prod_Prop!$B:$B,$E290,Prod_Prop!$H:$H,K$1,Prod_Prop!$I:$I,"Exacto"),Prod_Prop!$A:$A,Prod_Prop!$J:$J,"",0,1))</f>
        <v/>
      </c>
      <c r="L290" s="4" t="str">
        <f t="array" ref="L290">IF($E290="","", XLOOKUP(SUMIFS(Prod_Prop!$A:$A,Prod_Prop!$B:$B,$E290,Prod_Prop!$H:$H,L$1,Prod_Prop!$I:$I,"Exacto"),Prod_Prop!$A:$A,Prod_Prop!$J:$J,"",0,1))</f>
        <v/>
      </c>
      <c r="M290" s="4" t="str">
        <f t="array" ref="M290">IF($E290="","", XLOOKUP(SUMIFS(Prod_Prop!$A:$A,Prod_Prop!$B:$B,$E290,Prod_Prop!$H:$H,M$1,Prod_Prop!$I:$I,"Exacto"),Prod_Prop!$A:$A,Prod_Prop!$J:$J,"",0,1))</f>
        <v/>
      </c>
      <c r="N290" s="4" t="str">
        <f t="array" ref="N290">IF($E290="","", XLOOKUP(SUMIFS(Prod_Prop!$A:$A,Prod_Prop!$B:$B,$E290,Prod_Prop!$H:$H,N$1,Prod_Prop!$I:$I,"Exacto"),Prod_Prop!$A:$A,Prod_Prop!$J:$J,"",0,1))</f>
        <v/>
      </c>
      <c r="O290" s="4" t="str">
        <f t="array" ref="O290">IF($E290="","", XLOOKUP(SUMIFS(Prod_Prop!$A:$A,Prod_Prop!$B:$B,$E290,Prod_Prop!$H:$H,O$1,Prod_Prop!$I:$I,"Exacto"),Prod_Prop!$A:$A,Prod_Prop!$J:$J,"",0,1))</f>
        <v/>
      </c>
      <c r="P290" s="4" t="str">
        <f t="array" ref="P290">IF($E290="","", XLOOKUP(SUMIFS(Prod_Prop!$A:$A,Prod_Prop!$B:$B,$E290,Prod_Prop!$H:$H,P$1,Prod_Prop!$I:$I,"Exacto"),Prod_Prop!$A:$A,Prod_Prop!$J:$J,"",0,1))</f>
        <v/>
      </c>
      <c r="Q290" s="4" t="str">
        <f t="array" ref="Q290">IF($E290="","", XLOOKUP(SUMIFS(Prod_Prop!$A:$A,Prod_Prop!$B:$B,$E290,Prod_Prop!$H:$H,Q$1,Prod_Prop!$I:$I,"Exacto"),Prod_Prop!$A:$A,Prod_Prop!$J:$J,"",0,1))</f>
        <v/>
      </c>
      <c r="R290" s="4" t="str">
        <f t="array" ref="R290">IF($E290="","", XLOOKUP(SUMIFS(Prod_Prop!$A:$A,Prod_Prop!$B:$B,$E290,Prod_Prop!$H:$H,R$1,Prod_Prop!$I:$I,"Exacto"),Prod_Prop!$A:$A,Prod_Prop!$J:$J,"",0,1))</f>
        <v/>
      </c>
      <c r="S290" s="4" t="str">
        <f t="array" ref="S290">IF($E290="","", XLOOKUP(SUMIFS(Prod_Prop!$A:$A,Prod_Prop!$B:$B,$E290,Prod_Prop!$H:$H,S$1,Prod_Prop!$I:$I,"Exacto"),Prod_Prop!$A:$A,Prod_Prop!$J:$J,"",0,1))</f>
        <v/>
      </c>
      <c r="T290" s="4" t="str">
        <f t="array" ref="T290">IF($E290="","", XLOOKUP(SUMIFS(Prod_Prop!$A:$A,Prod_Prop!$B:$B,$E290,Prod_Prop!$H:$H,T$1,Prod_Prop!$I:$I,"Exacto"),Prod_Prop!$A:$A,Prod_Prop!$J:$J,"",0,1))</f>
        <v/>
      </c>
      <c r="U290" s="4" t="str">
        <f t="array" ref="U290">IF($E290="","", XLOOKUP(SUMIFS(Prod_Prop!$A:$A,Prod_Prop!$B:$B,$E290,Prod_Prop!$H:$H,U$1,Prod_Prop!$I:$I,"Exacto"),Prod_Prop!$A:$A,Prod_Prop!$J:$J,"",0,1))</f>
        <v/>
      </c>
      <c r="V290" s="4" t="str">
        <f t="array" ref="V290">IF($E290="","", XLOOKUP(SUMIFS(Prod_Prop!$A:$A,Prod_Prop!$B:$B,$E290,Prod_Prop!$H:$H,V$1,Prod_Prop!$I:$I,"Exacto"),Prod_Prop!$A:$A,Prod_Prop!$J:$J,"",0,1))</f>
        <v/>
      </c>
      <c r="X290" s="3" t="str">
        <f>IFERROR(__xludf.DUMMYFUNCTION("IF(D290="""","""",IFERROR(TRANSPOSE(FILTER('Validaciones Cotizador'!U:U,'Validaciones Cotizador'!O:O=D290,'Validaciones Cotizador'!T:T=""x"")),""Finalizar""))"),"")</f>
        <v/>
      </c>
    </row>
    <row r="291">
      <c r="A291" s="2" t="str">
        <f t="array" ref="A291">IF(E291="","",XLOOKUP(D291,'Validaciones Cotizador'!C:C,'Validaciones Cotizador'!A:A,"",0,1))</f>
        <v/>
      </c>
      <c r="B291" s="2" t="str">
        <f t="array" ref="B291">IF(F291="","",XLOOKUP(F291,Productos!E:E,Productos!G:G,"",0,1))</f>
        <v/>
      </c>
      <c r="C291" s="2" t="str">
        <f>IF(A291="","",SUMIFS('Validaciones Cotizador'!B:B,'Validaciones Cotizador'!C:C,D291,'Validaciones Cotizador'!A:A,A291))</f>
        <v/>
      </c>
      <c r="D291" s="4" t="str">
        <f>IFERROR(__xludf.DUMMYFUNCTION("IF(OR(F290=""Finalizar"",F290="""",F290=""Selecciona..""),"""",IF(OR(F290=""-"",INDEX(filter(Familias!F:F,Familias!D:D=A290,Familias!E:E=C290),1)=""O""),D290+1,D290))"),"")</f>
        <v/>
      </c>
      <c r="E291" s="2" t="str">
        <f>IF(OR(F291="",F291="Selecciona.."),"",IF(D291="Implemento",SUMIF(Implementos!B:B,F291,Implementos!A:A),SUMIF(Productos!E:E,F291,Productos!A:A)))</f>
        <v/>
      </c>
      <c r="F291" s="2" t="str">
        <f t="shared" si="2"/>
        <v/>
      </c>
      <c r="G291" s="10" t="str">
        <f t="array" ref="G291">IF(OR(F291="",F291="-",F291="Selecciona..",F291="Finalizar"),"",IF(A291="Rodados",XLOOKUP(B291,'Validaciones Cotizador'!I:I,'Validaciones Cotizador'!J:J,0,0,1),1))</f>
        <v/>
      </c>
      <c r="H291" s="11" t="str">
        <f>IF(OR(F291="",F291="Selecciona.."),"",SUMIF(Precio_Productos!K:K,E291,Precio_Productos!J:J)*G291)</f>
        <v/>
      </c>
      <c r="I291" s="4" t="str">
        <f t="array" ref="I291">IF($E291="","", XLOOKUP(SUMIFS(Prod_Prop!$A:$A,Prod_Prop!$B:$B,$E291,Prod_Prop!$H:$H,I$1,Prod_Prop!$I:$I,"Exacto"),Prod_Prop!$A:$A,Prod_Prop!$J:$J,"",0,1))</f>
        <v/>
      </c>
      <c r="J291" s="4" t="str">
        <f t="array" ref="J291">IF($E291="","", XLOOKUP(SUMIFS(Prod_Prop!$A:$A,Prod_Prop!$B:$B,$E291,Prod_Prop!$H:$H,J$1,Prod_Prop!$I:$I,"Exacto"),Prod_Prop!$A:$A,Prod_Prop!$J:$J,"",0,1))</f>
        <v/>
      </c>
      <c r="K291" s="4" t="str">
        <f t="array" ref="K291">IF($E291="","", XLOOKUP(SUMIFS(Prod_Prop!$A:$A,Prod_Prop!$B:$B,$E291,Prod_Prop!$H:$H,K$1,Prod_Prop!$I:$I,"Exacto"),Prod_Prop!$A:$A,Prod_Prop!$J:$J,"",0,1))</f>
        <v/>
      </c>
      <c r="L291" s="4" t="str">
        <f t="array" ref="L291">IF($E291="","", XLOOKUP(SUMIFS(Prod_Prop!$A:$A,Prod_Prop!$B:$B,$E291,Prod_Prop!$H:$H,L$1,Prod_Prop!$I:$I,"Exacto"),Prod_Prop!$A:$A,Prod_Prop!$J:$J,"",0,1))</f>
        <v/>
      </c>
      <c r="M291" s="4" t="str">
        <f t="array" ref="M291">IF($E291="","", XLOOKUP(SUMIFS(Prod_Prop!$A:$A,Prod_Prop!$B:$B,$E291,Prod_Prop!$H:$H,M$1,Prod_Prop!$I:$I,"Exacto"),Prod_Prop!$A:$A,Prod_Prop!$J:$J,"",0,1))</f>
        <v/>
      </c>
      <c r="N291" s="4" t="str">
        <f t="array" ref="N291">IF($E291="","", XLOOKUP(SUMIFS(Prod_Prop!$A:$A,Prod_Prop!$B:$B,$E291,Prod_Prop!$H:$H,N$1,Prod_Prop!$I:$I,"Exacto"),Prod_Prop!$A:$A,Prod_Prop!$J:$J,"",0,1))</f>
        <v/>
      </c>
      <c r="O291" s="4" t="str">
        <f t="array" ref="O291">IF($E291="","", XLOOKUP(SUMIFS(Prod_Prop!$A:$A,Prod_Prop!$B:$B,$E291,Prod_Prop!$H:$H,O$1,Prod_Prop!$I:$I,"Exacto"),Prod_Prop!$A:$A,Prod_Prop!$J:$J,"",0,1))</f>
        <v/>
      </c>
      <c r="P291" s="4" t="str">
        <f t="array" ref="P291">IF($E291="","", XLOOKUP(SUMIFS(Prod_Prop!$A:$A,Prod_Prop!$B:$B,$E291,Prod_Prop!$H:$H,P$1,Prod_Prop!$I:$I,"Exacto"),Prod_Prop!$A:$A,Prod_Prop!$J:$J,"",0,1))</f>
        <v/>
      </c>
      <c r="Q291" s="4" t="str">
        <f t="array" ref="Q291">IF($E291="","", XLOOKUP(SUMIFS(Prod_Prop!$A:$A,Prod_Prop!$B:$B,$E291,Prod_Prop!$H:$H,Q$1,Prod_Prop!$I:$I,"Exacto"),Prod_Prop!$A:$A,Prod_Prop!$J:$J,"",0,1))</f>
        <v/>
      </c>
      <c r="R291" s="4" t="str">
        <f t="array" ref="R291">IF($E291="","", XLOOKUP(SUMIFS(Prod_Prop!$A:$A,Prod_Prop!$B:$B,$E291,Prod_Prop!$H:$H,R$1,Prod_Prop!$I:$I,"Exacto"),Prod_Prop!$A:$A,Prod_Prop!$J:$J,"",0,1))</f>
        <v/>
      </c>
      <c r="S291" s="4" t="str">
        <f t="array" ref="S291">IF($E291="","", XLOOKUP(SUMIFS(Prod_Prop!$A:$A,Prod_Prop!$B:$B,$E291,Prod_Prop!$H:$H,S$1,Prod_Prop!$I:$I,"Exacto"),Prod_Prop!$A:$A,Prod_Prop!$J:$J,"",0,1))</f>
        <v/>
      </c>
      <c r="T291" s="4" t="str">
        <f t="array" ref="T291">IF($E291="","", XLOOKUP(SUMIFS(Prod_Prop!$A:$A,Prod_Prop!$B:$B,$E291,Prod_Prop!$H:$H,T$1,Prod_Prop!$I:$I,"Exacto"),Prod_Prop!$A:$A,Prod_Prop!$J:$J,"",0,1))</f>
        <v/>
      </c>
      <c r="U291" s="4" t="str">
        <f t="array" ref="U291">IF($E291="","", XLOOKUP(SUMIFS(Prod_Prop!$A:$A,Prod_Prop!$B:$B,$E291,Prod_Prop!$H:$H,U$1,Prod_Prop!$I:$I,"Exacto"),Prod_Prop!$A:$A,Prod_Prop!$J:$J,"",0,1))</f>
        <v/>
      </c>
      <c r="V291" s="4" t="str">
        <f t="array" ref="V291">IF($E291="","", XLOOKUP(SUMIFS(Prod_Prop!$A:$A,Prod_Prop!$B:$B,$E291,Prod_Prop!$H:$H,V$1,Prod_Prop!$I:$I,"Exacto"),Prod_Prop!$A:$A,Prod_Prop!$J:$J,"",0,1))</f>
        <v/>
      </c>
      <c r="X291" s="3" t="str">
        <f>IFERROR(__xludf.DUMMYFUNCTION("IF(D291="""","""",IFERROR(TRANSPOSE(FILTER('Validaciones Cotizador'!U:U,'Validaciones Cotizador'!O:O=D291,'Validaciones Cotizador'!T:T=""x"")),""Finalizar""))"),"")</f>
        <v/>
      </c>
    </row>
    <row r="292">
      <c r="A292" s="2" t="str">
        <f t="array" ref="A292">IF(E292="","",XLOOKUP(D292,'Validaciones Cotizador'!C:C,'Validaciones Cotizador'!A:A,"",0,1))</f>
        <v/>
      </c>
      <c r="B292" s="2" t="str">
        <f t="array" ref="B292">IF(F292="","",XLOOKUP(F292,Productos!E:E,Productos!G:G,"",0,1))</f>
        <v/>
      </c>
      <c r="C292" s="2" t="str">
        <f>IF(A292="","",SUMIFS('Validaciones Cotizador'!B:B,'Validaciones Cotizador'!C:C,D292,'Validaciones Cotizador'!A:A,A292))</f>
        <v/>
      </c>
      <c r="D292" s="4" t="str">
        <f>IFERROR(__xludf.DUMMYFUNCTION("IF(OR(F291=""Finalizar"",F291="""",F291=""Selecciona..""),"""",IF(OR(F291=""-"",INDEX(filter(Familias!F:F,Familias!D:D=A291,Familias!E:E=C291),1)=""O""),D291+1,D291))"),"")</f>
        <v/>
      </c>
      <c r="E292" s="2" t="str">
        <f>IF(OR(F292="",F292="Selecciona.."),"",IF(D292="Implemento",SUMIF(Implementos!B:B,F292,Implementos!A:A),SUMIF(Productos!E:E,F292,Productos!A:A)))</f>
        <v/>
      </c>
      <c r="F292" s="2" t="str">
        <f t="shared" si="2"/>
        <v/>
      </c>
      <c r="G292" s="10" t="str">
        <f t="array" ref="G292">IF(OR(F292="",F292="-",F292="Selecciona..",F292="Finalizar"),"",IF(A292="Rodados",XLOOKUP(B292,'Validaciones Cotizador'!I:I,'Validaciones Cotizador'!J:J,0,0,1),1))</f>
        <v/>
      </c>
      <c r="H292" s="11" t="str">
        <f>IF(OR(F292="",F292="Selecciona.."),"",SUMIF(Precio_Productos!K:K,E292,Precio_Productos!J:J)*G292)</f>
        <v/>
      </c>
      <c r="I292" s="4" t="str">
        <f t="array" ref="I292">IF($E292="","", XLOOKUP(SUMIFS(Prod_Prop!$A:$A,Prod_Prop!$B:$B,$E292,Prod_Prop!$H:$H,I$1,Prod_Prop!$I:$I,"Exacto"),Prod_Prop!$A:$A,Prod_Prop!$J:$J,"",0,1))</f>
        <v/>
      </c>
      <c r="J292" s="4" t="str">
        <f t="array" ref="J292">IF($E292="","", XLOOKUP(SUMIFS(Prod_Prop!$A:$A,Prod_Prop!$B:$B,$E292,Prod_Prop!$H:$H,J$1,Prod_Prop!$I:$I,"Exacto"),Prod_Prop!$A:$A,Prod_Prop!$J:$J,"",0,1))</f>
        <v/>
      </c>
      <c r="K292" s="4" t="str">
        <f t="array" ref="K292">IF($E292="","", XLOOKUP(SUMIFS(Prod_Prop!$A:$A,Prod_Prop!$B:$B,$E292,Prod_Prop!$H:$H,K$1,Prod_Prop!$I:$I,"Exacto"),Prod_Prop!$A:$A,Prod_Prop!$J:$J,"",0,1))</f>
        <v/>
      </c>
      <c r="L292" s="4" t="str">
        <f t="array" ref="L292">IF($E292="","", XLOOKUP(SUMIFS(Prod_Prop!$A:$A,Prod_Prop!$B:$B,$E292,Prod_Prop!$H:$H,L$1,Prod_Prop!$I:$I,"Exacto"),Prod_Prop!$A:$A,Prod_Prop!$J:$J,"",0,1))</f>
        <v/>
      </c>
      <c r="M292" s="4" t="str">
        <f t="array" ref="M292">IF($E292="","", XLOOKUP(SUMIFS(Prod_Prop!$A:$A,Prod_Prop!$B:$B,$E292,Prod_Prop!$H:$H,M$1,Prod_Prop!$I:$I,"Exacto"),Prod_Prop!$A:$A,Prod_Prop!$J:$J,"",0,1))</f>
        <v/>
      </c>
      <c r="N292" s="4" t="str">
        <f t="array" ref="N292">IF($E292="","", XLOOKUP(SUMIFS(Prod_Prop!$A:$A,Prod_Prop!$B:$B,$E292,Prod_Prop!$H:$H,N$1,Prod_Prop!$I:$I,"Exacto"),Prod_Prop!$A:$A,Prod_Prop!$J:$J,"",0,1))</f>
        <v/>
      </c>
      <c r="O292" s="4" t="str">
        <f t="array" ref="O292">IF($E292="","", XLOOKUP(SUMIFS(Prod_Prop!$A:$A,Prod_Prop!$B:$B,$E292,Prod_Prop!$H:$H,O$1,Prod_Prop!$I:$I,"Exacto"),Prod_Prop!$A:$A,Prod_Prop!$J:$J,"",0,1))</f>
        <v/>
      </c>
      <c r="P292" s="4" t="str">
        <f t="array" ref="P292">IF($E292="","", XLOOKUP(SUMIFS(Prod_Prop!$A:$A,Prod_Prop!$B:$B,$E292,Prod_Prop!$H:$H,P$1,Prod_Prop!$I:$I,"Exacto"),Prod_Prop!$A:$A,Prod_Prop!$J:$J,"",0,1))</f>
        <v/>
      </c>
      <c r="Q292" s="4" t="str">
        <f t="array" ref="Q292">IF($E292="","", XLOOKUP(SUMIFS(Prod_Prop!$A:$A,Prod_Prop!$B:$B,$E292,Prod_Prop!$H:$H,Q$1,Prod_Prop!$I:$I,"Exacto"),Prod_Prop!$A:$A,Prod_Prop!$J:$J,"",0,1))</f>
        <v/>
      </c>
      <c r="R292" s="4" t="str">
        <f t="array" ref="R292">IF($E292="","", XLOOKUP(SUMIFS(Prod_Prop!$A:$A,Prod_Prop!$B:$B,$E292,Prod_Prop!$H:$H,R$1,Prod_Prop!$I:$I,"Exacto"),Prod_Prop!$A:$A,Prod_Prop!$J:$J,"",0,1))</f>
        <v/>
      </c>
      <c r="S292" s="4" t="str">
        <f t="array" ref="S292">IF($E292="","", XLOOKUP(SUMIFS(Prod_Prop!$A:$A,Prod_Prop!$B:$B,$E292,Prod_Prop!$H:$H,S$1,Prod_Prop!$I:$I,"Exacto"),Prod_Prop!$A:$A,Prod_Prop!$J:$J,"",0,1))</f>
        <v/>
      </c>
      <c r="T292" s="4" t="str">
        <f t="array" ref="T292">IF($E292="","", XLOOKUP(SUMIFS(Prod_Prop!$A:$A,Prod_Prop!$B:$B,$E292,Prod_Prop!$H:$H,T$1,Prod_Prop!$I:$I,"Exacto"),Prod_Prop!$A:$A,Prod_Prop!$J:$J,"",0,1))</f>
        <v/>
      </c>
      <c r="U292" s="4" t="str">
        <f t="array" ref="U292">IF($E292="","", XLOOKUP(SUMIFS(Prod_Prop!$A:$A,Prod_Prop!$B:$B,$E292,Prod_Prop!$H:$H,U$1,Prod_Prop!$I:$I,"Exacto"),Prod_Prop!$A:$A,Prod_Prop!$J:$J,"",0,1))</f>
        <v/>
      </c>
      <c r="V292" s="4" t="str">
        <f t="array" ref="V292">IF($E292="","", XLOOKUP(SUMIFS(Prod_Prop!$A:$A,Prod_Prop!$B:$B,$E292,Prod_Prop!$H:$H,V$1,Prod_Prop!$I:$I,"Exacto"),Prod_Prop!$A:$A,Prod_Prop!$J:$J,"",0,1))</f>
        <v/>
      </c>
      <c r="X292" s="3" t="str">
        <f>IFERROR(__xludf.DUMMYFUNCTION("IF(D292="""","""",IFERROR(TRANSPOSE(FILTER('Validaciones Cotizador'!U:U,'Validaciones Cotizador'!O:O=D292,'Validaciones Cotizador'!T:T=""x"")),""Finalizar""))"),"")</f>
        <v/>
      </c>
    </row>
    <row r="293">
      <c r="A293" s="2" t="str">
        <f t="array" ref="A293">IF(E293="","",XLOOKUP(D293,'Validaciones Cotizador'!C:C,'Validaciones Cotizador'!A:A,"",0,1))</f>
        <v/>
      </c>
      <c r="B293" s="2" t="str">
        <f t="array" ref="B293">IF(F293="","",XLOOKUP(F293,Productos!E:E,Productos!G:G,"",0,1))</f>
        <v/>
      </c>
      <c r="C293" s="2" t="str">
        <f>IF(A293="","",SUMIFS('Validaciones Cotizador'!B:B,'Validaciones Cotizador'!C:C,D293,'Validaciones Cotizador'!A:A,A293))</f>
        <v/>
      </c>
      <c r="D293" s="4" t="str">
        <f>IFERROR(__xludf.DUMMYFUNCTION("IF(OR(F292=""Finalizar"",F292="""",F292=""Selecciona..""),"""",IF(OR(F292=""-"",INDEX(filter(Familias!F:F,Familias!D:D=A292,Familias!E:E=C292),1)=""O""),D292+1,D292))"),"")</f>
        <v/>
      </c>
      <c r="E293" s="2" t="str">
        <f>IF(OR(F293="",F293="Selecciona.."),"",IF(D293="Implemento",SUMIF(Implementos!B:B,F293,Implementos!A:A),SUMIF(Productos!E:E,F293,Productos!A:A)))</f>
        <v/>
      </c>
      <c r="F293" s="2" t="str">
        <f t="shared" si="2"/>
        <v/>
      </c>
      <c r="G293" s="10" t="str">
        <f t="array" ref="G293">IF(OR(F293="",F293="-",F293="Selecciona..",F293="Finalizar"),"",IF(A293="Rodados",XLOOKUP(B293,'Validaciones Cotizador'!I:I,'Validaciones Cotizador'!J:J,0,0,1),1))</f>
        <v/>
      </c>
      <c r="H293" s="11" t="str">
        <f>IF(OR(F293="",F293="Selecciona.."),"",SUMIF(Precio_Productos!K:K,E293,Precio_Productos!J:J)*G293)</f>
        <v/>
      </c>
      <c r="I293" s="4" t="str">
        <f t="array" ref="I293">IF($E293="","", XLOOKUP(SUMIFS(Prod_Prop!$A:$A,Prod_Prop!$B:$B,$E293,Prod_Prop!$H:$H,I$1,Prod_Prop!$I:$I,"Exacto"),Prod_Prop!$A:$A,Prod_Prop!$J:$J,"",0,1))</f>
        <v/>
      </c>
      <c r="J293" s="4" t="str">
        <f t="array" ref="J293">IF($E293="","", XLOOKUP(SUMIFS(Prod_Prop!$A:$A,Prod_Prop!$B:$B,$E293,Prod_Prop!$H:$H,J$1,Prod_Prop!$I:$I,"Exacto"),Prod_Prop!$A:$A,Prod_Prop!$J:$J,"",0,1))</f>
        <v/>
      </c>
      <c r="K293" s="4" t="str">
        <f t="array" ref="K293">IF($E293="","", XLOOKUP(SUMIFS(Prod_Prop!$A:$A,Prod_Prop!$B:$B,$E293,Prod_Prop!$H:$H,K$1,Prod_Prop!$I:$I,"Exacto"),Prod_Prop!$A:$A,Prod_Prop!$J:$J,"",0,1))</f>
        <v/>
      </c>
      <c r="L293" s="4" t="str">
        <f t="array" ref="L293">IF($E293="","", XLOOKUP(SUMIFS(Prod_Prop!$A:$A,Prod_Prop!$B:$B,$E293,Prod_Prop!$H:$H,L$1,Prod_Prop!$I:$I,"Exacto"),Prod_Prop!$A:$A,Prod_Prop!$J:$J,"",0,1))</f>
        <v/>
      </c>
      <c r="M293" s="4" t="str">
        <f t="array" ref="M293">IF($E293="","", XLOOKUP(SUMIFS(Prod_Prop!$A:$A,Prod_Prop!$B:$B,$E293,Prod_Prop!$H:$H,M$1,Prod_Prop!$I:$I,"Exacto"),Prod_Prop!$A:$A,Prod_Prop!$J:$J,"",0,1))</f>
        <v/>
      </c>
      <c r="N293" s="4" t="str">
        <f t="array" ref="N293">IF($E293="","", XLOOKUP(SUMIFS(Prod_Prop!$A:$A,Prod_Prop!$B:$B,$E293,Prod_Prop!$H:$H,N$1,Prod_Prop!$I:$I,"Exacto"),Prod_Prop!$A:$A,Prod_Prop!$J:$J,"",0,1))</f>
        <v/>
      </c>
      <c r="O293" s="4" t="str">
        <f t="array" ref="O293">IF($E293="","", XLOOKUP(SUMIFS(Prod_Prop!$A:$A,Prod_Prop!$B:$B,$E293,Prod_Prop!$H:$H,O$1,Prod_Prop!$I:$I,"Exacto"),Prod_Prop!$A:$A,Prod_Prop!$J:$J,"",0,1))</f>
        <v/>
      </c>
      <c r="P293" s="4" t="str">
        <f t="array" ref="P293">IF($E293="","", XLOOKUP(SUMIFS(Prod_Prop!$A:$A,Prod_Prop!$B:$B,$E293,Prod_Prop!$H:$H,P$1,Prod_Prop!$I:$I,"Exacto"),Prod_Prop!$A:$A,Prod_Prop!$J:$J,"",0,1))</f>
        <v/>
      </c>
      <c r="Q293" s="4" t="str">
        <f t="array" ref="Q293">IF($E293="","", XLOOKUP(SUMIFS(Prod_Prop!$A:$A,Prod_Prop!$B:$B,$E293,Prod_Prop!$H:$H,Q$1,Prod_Prop!$I:$I,"Exacto"),Prod_Prop!$A:$A,Prod_Prop!$J:$J,"",0,1))</f>
        <v/>
      </c>
      <c r="R293" s="4" t="str">
        <f t="array" ref="R293">IF($E293="","", XLOOKUP(SUMIFS(Prod_Prop!$A:$A,Prod_Prop!$B:$B,$E293,Prod_Prop!$H:$H,R$1,Prod_Prop!$I:$I,"Exacto"),Prod_Prop!$A:$A,Prod_Prop!$J:$J,"",0,1))</f>
        <v/>
      </c>
      <c r="S293" s="4" t="str">
        <f t="array" ref="S293">IF($E293="","", XLOOKUP(SUMIFS(Prod_Prop!$A:$A,Prod_Prop!$B:$B,$E293,Prod_Prop!$H:$H,S$1,Prod_Prop!$I:$I,"Exacto"),Prod_Prop!$A:$A,Prod_Prop!$J:$J,"",0,1))</f>
        <v/>
      </c>
      <c r="T293" s="4" t="str">
        <f t="array" ref="T293">IF($E293="","", XLOOKUP(SUMIFS(Prod_Prop!$A:$A,Prod_Prop!$B:$B,$E293,Prod_Prop!$H:$H,T$1,Prod_Prop!$I:$I,"Exacto"),Prod_Prop!$A:$A,Prod_Prop!$J:$J,"",0,1))</f>
        <v/>
      </c>
      <c r="U293" s="4" t="str">
        <f t="array" ref="U293">IF($E293="","", XLOOKUP(SUMIFS(Prod_Prop!$A:$A,Prod_Prop!$B:$B,$E293,Prod_Prop!$H:$H,U$1,Prod_Prop!$I:$I,"Exacto"),Prod_Prop!$A:$A,Prod_Prop!$J:$J,"",0,1))</f>
        <v/>
      </c>
      <c r="V293" s="4" t="str">
        <f t="array" ref="V293">IF($E293="","", XLOOKUP(SUMIFS(Prod_Prop!$A:$A,Prod_Prop!$B:$B,$E293,Prod_Prop!$H:$H,V$1,Prod_Prop!$I:$I,"Exacto"),Prod_Prop!$A:$A,Prod_Prop!$J:$J,"",0,1))</f>
        <v/>
      </c>
      <c r="X293" s="3" t="str">
        <f>IFERROR(__xludf.DUMMYFUNCTION("IF(D293="""","""",IFERROR(TRANSPOSE(FILTER('Validaciones Cotizador'!U:U,'Validaciones Cotizador'!O:O=D293,'Validaciones Cotizador'!T:T=""x"")),""Finalizar""))"),"")</f>
        <v/>
      </c>
    </row>
    <row r="294">
      <c r="A294" s="2" t="str">
        <f t="array" ref="A294">IF(E294="","",XLOOKUP(D294,'Validaciones Cotizador'!C:C,'Validaciones Cotizador'!A:A,"",0,1))</f>
        <v/>
      </c>
      <c r="B294" s="2" t="str">
        <f t="array" ref="B294">IF(F294="","",XLOOKUP(F294,Productos!E:E,Productos!G:G,"",0,1))</f>
        <v/>
      </c>
      <c r="C294" s="2" t="str">
        <f>IF(A294="","",SUMIFS('Validaciones Cotizador'!B:B,'Validaciones Cotizador'!C:C,D294,'Validaciones Cotizador'!A:A,A294))</f>
        <v/>
      </c>
      <c r="D294" s="4" t="str">
        <f>IFERROR(__xludf.DUMMYFUNCTION("IF(OR(F293=""Finalizar"",F293="""",F293=""Selecciona..""),"""",IF(OR(F293=""-"",INDEX(filter(Familias!F:F,Familias!D:D=A293,Familias!E:E=C293),1)=""O""),D293+1,D293))"),"")</f>
        <v/>
      </c>
      <c r="E294" s="2" t="str">
        <f>IF(OR(F294="",F294="Selecciona.."),"",IF(D294="Implemento",SUMIF(Implementos!B:B,F294,Implementos!A:A),SUMIF(Productos!E:E,F294,Productos!A:A)))</f>
        <v/>
      </c>
      <c r="F294" s="2" t="str">
        <f t="shared" si="2"/>
        <v/>
      </c>
      <c r="G294" s="10" t="str">
        <f t="array" ref="G294">IF(OR(F294="",F294="-",F294="Selecciona..",F294="Finalizar"),"",IF(A294="Rodados",XLOOKUP(B294,'Validaciones Cotizador'!I:I,'Validaciones Cotizador'!J:J,0,0,1),1))</f>
        <v/>
      </c>
      <c r="H294" s="11" t="str">
        <f>IF(OR(F294="",F294="Selecciona.."),"",SUMIF(Precio_Productos!K:K,E294,Precio_Productos!J:J)*G294)</f>
        <v/>
      </c>
      <c r="I294" s="4" t="str">
        <f t="array" ref="I294">IF($E294="","", XLOOKUP(SUMIFS(Prod_Prop!$A:$A,Prod_Prop!$B:$B,$E294,Prod_Prop!$H:$H,I$1,Prod_Prop!$I:$I,"Exacto"),Prod_Prop!$A:$A,Prod_Prop!$J:$J,"",0,1))</f>
        <v/>
      </c>
      <c r="J294" s="4" t="str">
        <f t="array" ref="J294">IF($E294="","", XLOOKUP(SUMIFS(Prod_Prop!$A:$A,Prod_Prop!$B:$B,$E294,Prod_Prop!$H:$H,J$1,Prod_Prop!$I:$I,"Exacto"),Prod_Prop!$A:$A,Prod_Prop!$J:$J,"",0,1))</f>
        <v/>
      </c>
      <c r="K294" s="4" t="str">
        <f t="array" ref="K294">IF($E294="","", XLOOKUP(SUMIFS(Prod_Prop!$A:$A,Prod_Prop!$B:$B,$E294,Prod_Prop!$H:$H,K$1,Prod_Prop!$I:$I,"Exacto"),Prod_Prop!$A:$A,Prod_Prop!$J:$J,"",0,1))</f>
        <v/>
      </c>
      <c r="L294" s="4" t="str">
        <f t="array" ref="L294">IF($E294="","", XLOOKUP(SUMIFS(Prod_Prop!$A:$A,Prod_Prop!$B:$B,$E294,Prod_Prop!$H:$H,L$1,Prod_Prop!$I:$I,"Exacto"),Prod_Prop!$A:$A,Prod_Prop!$J:$J,"",0,1))</f>
        <v/>
      </c>
      <c r="M294" s="4" t="str">
        <f t="array" ref="M294">IF($E294="","", XLOOKUP(SUMIFS(Prod_Prop!$A:$A,Prod_Prop!$B:$B,$E294,Prod_Prop!$H:$H,M$1,Prod_Prop!$I:$I,"Exacto"),Prod_Prop!$A:$A,Prod_Prop!$J:$J,"",0,1))</f>
        <v/>
      </c>
      <c r="N294" s="4" t="str">
        <f t="array" ref="N294">IF($E294="","", XLOOKUP(SUMIFS(Prod_Prop!$A:$A,Prod_Prop!$B:$B,$E294,Prod_Prop!$H:$H,N$1,Prod_Prop!$I:$I,"Exacto"),Prod_Prop!$A:$A,Prod_Prop!$J:$J,"",0,1))</f>
        <v/>
      </c>
      <c r="O294" s="4" t="str">
        <f t="array" ref="O294">IF($E294="","", XLOOKUP(SUMIFS(Prod_Prop!$A:$A,Prod_Prop!$B:$B,$E294,Prod_Prop!$H:$H,O$1,Prod_Prop!$I:$I,"Exacto"),Prod_Prop!$A:$A,Prod_Prop!$J:$J,"",0,1))</f>
        <v/>
      </c>
      <c r="P294" s="4" t="str">
        <f t="array" ref="P294">IF($E294="","", XLOOKUP(SUMIFS(Prod_Prop!$A:$A,Prod_Prop!$B:$B,$E294,Prod_Prop!$H:$H,P$1,Prod_Prop!$I:$I,"Exacto"),Prod_Prop!$A:$A,Prod_Prop!$J:$J,"",0,1))</f>
        <v/>
      </c>
      <c r="Q294" s="4" t="str">
        <f t="array" ref="Q294">IF($E294="","", XLOOKUP(SUMIFS(Prod_Prop!$A:$A,Prod_Prop!$B:$B,$E294,Prod_Prop!$H:$H,Q$1,Prod_Prop!$I:$I,"Exacto"),Prod_Prop!$A:$A,Prod_Prop!$J:$J,"",0,1))</f>
        <v/>
      </c>
      <c r="R294" s="4" t="str">
        <f t="array" ref="R294">IF($E294="","", XLOOKUP(SUMIFS(Prod_Prop!$A:$A,Prod_Prop!$B:$B,$E294,Prod_Prop!$H:$H,R$1,Prod_Prop!$I:$I,"Exacto"),Prod_Prop!$A:$A,Prod_Prop!$J:$J,"",0,1))</f>
        <v/>
      </c>
      <c r="S294" s="4" t="str">
        <f t="array" ref="S294">IF($E294="","", XLOOKUP(SUMIFS(Prod_Prop!$A:$A,Prod_Prop!$B:$B,$E294,Prod_Prop!$H:$H,S$1,Prod_Prop!$I:$I,"Exacto"),Prod_Prop!$A:$A,Prod_Prop!$J:$J,"",0,1))</f>
        <v/>
      </c>
      <c r="T294" s="4" t="str">
        <f t="array" ref="T294">IF($E294="","", XLOOKUP(SUMIFS(Prod_Prop!$A:$A,Prod_Prop!$B:$B,$E294,Prod_Prop!$H:$H,T$1,Prod_Prop!$I:$I,"Exacto"),Prod_Prop!$A:$A,Prod_Prop!$J:$J,"",0,1))</f>
        <v/>
      </c>
      <c r="U294" s="4" t="str">
        <f t="array" ref="U294">IF($E294="","", XLOOKUP(SUMIFS(Prod_Prop!$A:$A,Prod_Prop!$B:$B,$E294,Prod_Prop!$H:$H,U$1,Prod_Prop!$I:$I,"Exacto"),Prod_Prop!$A:$A,Prod_Prop!$J:$J,"",0,1))</f>
        <v/>
      </c>
      <c r="V294" s="4" t="str">
        <f t="array" ref="V294">IF($E294="","", XLOOKUP(SUMIFS(Prod_Prop!$A:$A,Prod_Prop!$B:$B,$E294,Prod_Prop!$H:$H,V$1,Prod_Prop!$I:$I,"Exacto"),Prod_Prop!$A:$A,Prod_Prop!$J:$J,"",0,1))</f>
        <v/>
      </c>
      <c r="X294" s="3" t="str">
        <f>IFERROR(__xludf.DUMMYFUNCTION("IF(D294="""","""",IFERROR(TRANSPOSE(FILTER('Validaciones Cotizador'!U:U,'Validaciones Cotizador'!O:O=D294,'Validaciones Cotizador'!T:T=""x"")),""Finalizar""))"),"")</f>
        <v/>
      </c>
    </row>
    <row r="295">
      <c r="A295" s="2" t="str">
        <f t="array" ref="A295">IF(E295="","",XLOOKUP(D295,'Validaciones Cotizador'!C:C,'Validaciones Cotizador'!A:A,"",0,1))</f>
        <v/>
      </c>
      <c r="B295" s="2" t="str">
        <f t="array" ref="B295">IF(F295="","",XLOOKUP(F295,Productos!E:E,Productos!G:G,"",0,1))</f>
        <v/>
      </c>
      <c r="C295" s="2" t="str">
        <f>IF(A295="","",SUMIFS('Validaciones Cotizador'!B:B,'Validaciones Cotizador'!C:C,D295,'Validaciones Cotizador'!A:A,A295))</f>
        <v/>
      </c>
      <c r="D295" s="4" t="str">
        <f>IFERROR(__xludf.DUMMYFUNCTION("IF(OR(F294=""Finalizar"",F294="""",F294=""Selecciona..""),"""",IF(OR(F294=""-"",INDEX(filter(Familias!F:F,Familias!D:D=A294,Familias!E:E=C294),1)=""O""),D294+1,D294))"),"")</f>
        <v/>
      </c>
      <c r="E295" s="2" t="str">
        <f>IF(OR(F295="",F295="Selecciona.."),"",IF(D295="Implemento",SUMIF(Implementos!B:B,F295,Implementos!A:A),SUMIF(Productos!E:E,F295,Productos!A:A)))</f>
        <v/>
      </c>
      <c r="F295" s="2" t="str">
        <f t="shared" si="2"/>
        <v/>
      </c>
      <c r="G295" s="10" t="str">
        <f t="array" ref="G295">IF(OR(F295="",F295="-",F295="Selecciona..",F295="Finalizar"),"",IF(A295="Rodados",XLOOKUP(B295,'Validaciones Cotizador'!I:I,'Validaciones Cotizador'!J:J,0,0,1),1))</f>
        <v/>
      </c>
      <c r="H295" s="11" t="str">
        <f>IF(OR(F295="",F295="Selecciona.."),"",SUMIF(Precio_Productos!K:K,E295,Precio_Productos!J:J)*G295)</f>
        <v/>
      </c>
      <c r="I295" s="4" t="str">
        <f t="array" ref="I295">IF($E295="","", XLOOKUP(SUMIFS(Prod_Prop!$A:$A,Prod_Prop!$B:$B,$E295,Prod_Prop!$H:$H,I$1,Prod_Prop!$I:$I,"Exacto"),Prod_Prop!$A:$A,Prod_Prop!$J:$J,"",0,1))</f>
        <v/>
      </c>
      <c r="J295" s="4" t="str">
        <f t="array" ref="J295">IF($E295="","", XLOOKUP(SUMIFS(Prod_Prop!$A:$A,Prod_Prop!$B:$B,$E295,Prod_Prop!$H:$H,J$1,Prod_Prop!$I:$I,"Exacto"),Prod_Prop!$A:$A,Prod_Prop!$J:$J,"",0,1))</f>
        <v/>
      </c>
      <c r="K295" s="4" t="str">
        <f t="array" ref="K295">IF($E295="","", XLOOKUP(SUMIFS(Prod_Prop!$A:$A,Prod_Prop!$B:$B,$E295,Prod_Prop!$H:$H,K$1,Prod_Prop!$I:$I,"Exacto"),Prod_Prop!$A:$A,Prod_Prop!$J:$J,"",0,1))</f>
        <v/>
      </c>
      <c r="L295" s="4" t="str">
        <f t="array" ref="L295">IF($E295="","", XLOOKUP(SUMIFS(Prod_Prop!$A:$A,Prod_Prop!$B:$B,$E295,Prod_Prop!$H:$H,L$1,Prod_Prop!$I:$I,"Exacto"),Prod_Prop!$A:$A,Prod_Prop!$J:$J,"",0,1))</f>
        <v/>
      </c>
      <c r="M295" s="4" t="str">
        <f t="array" ref="M295">IF($E295="","", XLOOKUP(SUMIFS(Prod_Prop!$A:$A,Prod_Prop!$B:$B,$E295,Prod_Prop!$H:$H,M$1,Prod_Prop!$I:$I,"Exacto"),Prod_Prop!$A:$A,Prod_Prop!$J:$J,"",0,1))</f>
        <v/>
      </c>
      <c r="N295" s="4" t="str">
        <f t="array" ref="N295">IF($E295="","", XLOOKUP(SUMIFS(Prod_Prop!$A:$A,Prod_Prop!$B:$B,$E295,Prod_Prop!$H:$H,N$1,Prod_Prop!$I:$I,"Exacto"),Prod_Prop!$A:$A,Prod_Prop!$J:$J,"",0,1))</f>
        <v/>
      </c>
      <c r="O295" s="4" t="str">
        <f t="array" ref="O295">IF($E295="","", XLOOKUP(SUMIFS(Prod_Prop!$A:$A,Prod_Prop!$B:$B,$E295,Prod_Prop!$H:$H,O$1,Prod_Prop!$I:$I,"Exacto"),Prod_Prop!$A:$A,Prod_Prop!$J:$J,"",0,1))</f>
        <v/>
      </c>
      <c r="P295" s="4" t="str">
        <f t="array" ref="P295">IF($E295="","", XLOOKUP(SUMIFS(Prod_Prop!$A:$A,Prod_Prop!$B:$B,$E295,Prod_Prop!$H:$H,P$1,Prod_Prop!$I:$I,"Exacto"),Prod_Prop!$A:$A,Prod_Prop!$J:$J,"",0,1))</f>
        <v/>
      </c>
      <c r="Q295" s="4" t="str">
        <f t="array" ref="Q295">IF($E295="","", XLOOKUP(SUMIFS(Prod_Prop!$A:$A,Prod_Prop!$B:$B,$E295,Prod_Prop!$H:$H,Q$1,Prod_Prop!$I:$I,"Exacto"),Prod_Prop!$A:$A,Prod_Prop!$J:$J,"",0,1))</f>
        <v/>
      </c>
      <c r="R295" s="4" t="str">
        <f t="array" ref="R295">IF($E295="","", XLOOKUP(SUMIFS(Prod_Prop!$A:$A,Prod_Prop!$B:$B,$E295,Prod_Prop!$H:$H,R$1,Prod_Prop!$I:$I,"Exacto"),Prod_Prop!$A:$A,Prod_Prop!$J:$J,"",0,1))</f>
        <v/>
      </c>
      <c r="S295" s="4" t="str">
        <f t="array" ref="S295">IF($E295="","", XLOOKUP(SUMIFS(Prod_Prop!$A:$A,Prod_Prop!$B:$B,$E295,Prod_Prop!$H:$H,S$1,Prod_Prop!$I:$I,"Exacto"),Prod_Prop!$A:$A,Prod_Prop!$J:$J,"",0,1))</f>
        <v/>
      </c>
      <c r="T295" s="4" t="str">
        <f t="array" ref="T295">IF($E295="","", XLOOKUP(SUMIFS(Prod_Prop!$A:$A,Prod_Prop!$B:$B,$E295,Prod_Prop!$H:$H,T$1,Prod_Prop!$I:$I,"Exacto"),Prod_Prop!$A:$A,Prod_Prop!$J:$J,"",0,1))</f>
        <v/>
      </c>
      <c r="U295" s="4" t="str">
        <f t="array" ref="U295">IF($E295="","", XLOOKUP(SUMIFS(Prod_Prop!$A:$A,Prod_Prop!$B:$B,$E295,Prod_Prop!$H:$H,U$1,Prod_Prop!$I:$I,"Exacto"),Prod_Prop!$A:$A,Prod_Prop!$J:$J,"",0,1))</f>
        <v/>
      </c>
      <c r="V295" s="4" t="str">
        <f t="array" ref="V295">IF($E295="","", XLOOKUP(SUMIFS(Prod_Prop!$A:$A,Prod_Prop!$B:$B,$E295,Prod_Prop!$H:$H,V$1,Prod_Prop!$I:$I,"Exacto"),Prod_Prop!$A:$A,Prod_Prop!$J:$J,"",0,1))</f>
        <v/>
      </c>
      <c r="X295" s="3" t="str">
        <f>IFERROR(__xludf.DUMMYFUNCTION("IF(D295="""","""",IFERROR(TRANSPOSE(FILTER('Validaciones Cotizador'!U:U,'Validaciones Cotizador'!O:O=D295,'Validaciones Cotizador'!T:T=""x"")),""Finalizar""))"),"")</f>
        <v/>
      </c>
    </row>
    <row r="296">
      <c r="A296" s="2" t="str">
        <f t="array" ref="A296">IF(E296="","",XLOOKUP(D296,'Validaciones Cotizador'!C:C,'Validaciones Cotizador'!A:A,"",0,1))</f>
        <v/>
      </c>
      <c r="B296" s="2" t="str">
        <f t="array" ref="B296">IF(F296="","",XLOOKUP(F296,Productos!E:E,Productos!G:G,"",0,1))</f>
        <v/>
      </c>
      <c r="C296" s="2" t="str">
        <f>IF(A296="","",SUMIFS('Validaciones Cotizador'!B:B,'Validaciones Cotizador'!C:C,D296,'Validaciones Cotizador'!A:A,A296))</f>
        <v/>
      </c>
      <c r="D296" s="4" t="str">
        <f>IFERROR(__xludf.DUMMYFUNCTION("IF(OR(F295=""Finalizar"",F295="""",F295=""Selecciona..""),"""",IF(OR(F295=""-"",INDEX(filter(Familias!F:F,Familias!D:D=A295,Familias!E:E=C295),1)=""O""),D295+1,D295))"),"")</f>
        <v/>
      </c>
      <c r="E296" s="2" t="str">
        <f>IF(OR(F296="",F296="Selecciona.."),"",IF(D296="Implemento",SUMIF(Implementos!B:B,F296,Implementos!A:A),SUMIF(Productos!E:E,F296,Productos!A:A)))</f>
        <v/>
      </c>
      <c r="F296" s="2" t="str">
        <f t="shared" si="2"/>
        <v/>
      </c>
      <c r="G296" s="10" t="str">
        <f t="array" ref="G296">IF(OR(F296="",F296="-",F296="Selecciona..",F296="Finalizar"),"",IF(A296="Rodados",XLOOKUP(B296,'Validaciones Cotizador'!I:I,'Validaciones Cotizador'!J:J,0,0,1),1))</f>
        <v/>
      </c>
      <c r="H296" s="11" t="str">
        <f>IF(OR(F296="",F296="Selecciona.."),"",SUMIF(Precio_Productos!K:K,E296,Precio_Productos!J:J)*G296)</f>
        <v/>
      </c>
      <c r="I296" s="4" t="str">
        <f t="array" ref="I296">IF($E296="","", XLOOKUP(SUMIFS(Prod_Prop!$A:$A,Prod_Prop!$B:$B,$E296,Prod_Prop!$H:$H,I$1,Prod_Prop!$I:$I,"Exacto"),Prod_Prop!$A:$A,Prod_Prop!$J:$J,"",0,1))</f>
        <v/>
      </c>
      <c r="J296" s="4" t="str">
        <f t="array" ref="J296">IF($E296="","", XLOOKUP(SUMIFS(Prod_Prop!$A:$A,Prod_Prop!$B:$B,$E296,Prod_Prop!$H:$H,J$1,Prod_Prop!$I:$I,"Exacto"),Prod_Prop!$A:$A,Prod_Prop!$J:$J,"",0,1))</f>
        <v/>
      </c>
      <c r="K296" s="4" t="str">
        <f t="array" ref="K296">IF($E296="","", XLOOKUP(SUMIFS(Prod_Prop!$A:$A,Prod_Prop!$B:$B,$E296,Prod_Prop!$H:$H,K$1,Prod_Prop!$I:$I,"Exacto"),Prod_Prop!$A:$A,Prod_Prop!$J:$J,"",0,1))</f>
        <v/>
      </c>
      <c r="L296" s="4" t="str">
        <f t="array" ref="L296">IF($E296="","", XLOOKUP(SUMIFS(Prod_Prop!$A:$A,Prod_Prop!$B:$B,$E296,Prod_Prop!$H:$H,L$1,Prod_Prop!$I:$I,"Exacto"),Prod_Prop!$A:$A,Prod_Prop!$J:$J,"",0,1))</f>
        <v/>
      </c>
      <c r="M296" s="4" t="str">
        <f t="array" ref="M296">IF($E296="","", XLOOKUP(SUMIFS(Prod_Prop!$A:$A,Prod_Prop!$B:$B,$E296,Prod_Prop!$H:$H,M$1,Prod_Prop!$I:$I,"Exacto"),Prod_Prop!$A:$A,Prod_Prop!$J:$J,"",0,1))</f>
        <v/>
      </c>
      <c r="N296" s="4" t="str">
        <f t="array" ref="N296">IF($E296="","", XLOOKUP(SUMIFS(Prod_Prop!$A:$A,Prod_Prop!$B:$B,$E296,Prod_Prop!$H:$H,N$1,Prod_Prop!$I:$I,"Exacto"),Prod_Prop!$A:$A,Prod_Prop!$J:$J,"",0,1))</f>
        <v/>
      </c>
      <c r="O296" s="4" t="str">
        <f t="array" ref="O296">IF($E296="","", XLOOKUP(SUMIFS(Prod_Prop!$A:$A,Prod_Prop!$B:$B,$E296,Prod_Prop!$H:$H,O$1,Prod_Prop!$I:$I,"Exacto"),Prod_Prop!$A:$A,Prod_Prop!$J:$J,"",0,1))</f>
        <v/>
      </c>
      <c r="P296" s="4" t="str">
        <f t="array" ref="P296">IF($E296="","", XLOOKUP(SUMIFS(Prod_Prop!$A:$A,Prod_Prop!$B:$B,$E296,Prod_Prop!$H:$H,P$1,Prod_Prop!$I:$I,"Exacto"),Prod_Prop!$A:$A,Prod_Prop!$J:$J,"",0,1))</f>
        <v/>
      </c>
      <c r="Q296" s="4" t="str">
        <f t="array" ref="Q296">IF($E296="","", XLOOKUP(SUMIFS(Prod_Prop!$A:$A,Prod_Prop!$B:$B,$E296,Prod_Prop!$H:$H,Q$1,Prod_Prop!$I:$I,"Exacto"),Prod_Prop!$A:$A,Prod_Prop!$J:$J,"",0,1))</f>
        <v/>
      </c>
      <c r="R296" s="4" t="str">
        <f t="array" ref="R296">IF($E296="","", XLOOKUP(SUMIFS(Prod_Prop!$A:$A,Prod_Prop!$B:$B,$E296,Prod_Prop!$H:$H,R$1,Prod_Prop!$I:$I,"Exacto"),Prod_Prop!$A:$A,Prod_Prop!$J:$J,"",0,1))</f>
        <v/>
      </c>
      <c r="S296" s="4" t="str">
        <f t="array" ref="S296">IF($E296="","", XLOOKUP(SUMIFS(Prod_Prop!$A:$A,Prod_Prop!$B:$B,$E296,Prod_Prop!$H:$H,S$1,Prod_Prop!$I:$I,"Exacto"),Prod_Prop!$A:$A,Prod_Prop!$J:$J,"",0,1))</f>
        <v/>
      </c>
      <c r="T296" s="4" t="str">
        <f t="array" ref="T296">IF($E296="","", XLOOKUP(SUMIFS(Prod_Prop!$A:$A,Prod_Prop!$B:$B,$E296,Prod_Prop!$H:$H,T$1,Prod_Prop!$I:$I,"Exacto"),Prod_Prop!$A:$A,Prod_Prop!$J:$J,"",0,1))</f>
        <v/>
      </c>
      <c r="U296" s="4" t="str">
        <f t="array" ref="U296">IF($E296="","", XLOOKUP(SUMIFS(Prod_Prop!$A:$A,Prod_Prop!$B:$B,$E296,Prod_Prop!$H:$H,U$1,Prod_Prop!$I:$I,"Exacto"),Prod_Prop!$A:$A,Prod_Prop!$J:$J,"",0,1))</f>
        <v/>
      </c>
      <c r="V296" s="4" t="str">
        <f t="array" ref="V296">IF($E296="","", XLOOKUP(SUMIFS(Prod_Prop!$A:$A,Prod_Prop!$B:$B,$E296,Prod_Prop!$H:$H,V$1,Prod_Prop!$I:$I,"Exacto"),Prod_Prop!$A:$A,Prod_Prop!$J:$J,"",0,1))</f>
        <v/>
      </c>
      <c r="X296" s="3" t="str">
        <f>IFERROR(__xludf.DUMMYFUNCTION("IF(D296="""","""",IFERROR(TRANSPOSE(FILTER('Validaciones Cotizador'!U:U,'Validaciones Cotizador'!O:O=D296,'Validaciones Cotizador'!T:T=""x"")),""Finalizar""))"),"")</f>
        <v/>
      </c>
    </row>
    <row r="297">
      <c r="A297" s="2" t="str">
        <f t="array" ref="A297">IF(E297="","",XLOOKUP(D297,'Validaciones Cotizador'!C:C,'Validaciones Cotizador'!A:A,"",0,1))</f>
        <v/>
      </c>
      <c r="B297" s="2" t="str">
        <f t="array" ref="B297">IF(F297="","",XLOOKUP(F297,Productos!E:E,Productos!G:G,"",0,1))</f>
        <v/>
      </c>
      <c r="C297" s="2" t="str">
        <f>IF(A297="","",SUMIFS('Validaciones Cotizador'!B:B,'Validaciones Cotizador'!C:C,D297,'Validaciones Cotizador'!A:A,A297))</f>
        <v/>
      </c>
      <c r="D297" s="4" t="str">
        <f>IFERROR(__xludf.DUMMYFUNCTION("IF(OR(F296=""Finalizar"",F296="""",F296=""Selecciona..""),"""",IF(OR(F296=""-"",INDEX(filter(Familias!F:F,Familias!D:D=A296,Familias!E:E=C296),1)=""O""),D296+1,D296))"),"")</f>
        <v/>
      </c>
      <c r="E297" s="2" t="str">
        <f>IF(OR(F297="",F297="Selecciona.."),"",IF(D297="Implemento",SUMIF(Implementos!B:B,F297,Implementos!A:A),SUMIF(Productos!E:E,F297,Productos!A:A)))</f>
        <v/>
      </c>
      <c r="F297" s="2" t="str">
        <f t="shared" si="2"/>
        <v/>
      </c>
      <c r="G297" s="10" t="str">
        <f t="array" ref="G297">IF(OR(F297="",F297="-",F297="Selecciona..",F297="Finalizar"),"",IF(A297="Rodados",XLOOKUP(B297,'Validaciones Cotizador'!I:I,'Validaciones Cotizador'!J:J,0,0,1),1))</f>
        <v/>
      </c>
      <c r="H297" s="11" t="str">
        <f>IF(OR(F297="",F297="Selecciona.."),"",SUMIF(Precio_Productos!K:K,E297,Precio_Productos!J:J)*G297)</f>
        <v/>
      </c>
      <c r="I297" s="4" t="str">
        <f t="array" ref="I297">IF($E297="","", XLOOKUP(SUMIFS(Prod_Prop!$A:$A,Prod_Prop!$B:$B,$E297,Prod_Prop!$H:$H,I$1,Prod_Prop!$I:$I,"Exacto"),Prod_Prop!$A:$A,Prod_Prop!$J:$J,"",0,1))</f>
        <v/>
      </c>
      <c r="J297" s="4" t="str">
        <f t="array" ref="J297">IF($E297="","", XLOOKUP(SUMIFS(Prod_Prop!$A:$A,Prod_Prop!$B:$B,$E297,Prod_Prop!$H:$H,J$1,Prod_Prop!$I:$I,"Exacto"),Prod_Prop!$A:$A,Prod_Prop!$J:$J,"",0,1))</f>
        <v/>
      </c>
      <c r="K297" s="4" t="str">
        <f t="array" ref="K297">IF($E297="","", XLOOKUP(SUMIFS(Prod_Prop!$A:$A,Prod_Prop!$B:$B,$E297,Prod_Prop!$H:$H,K$1,Prod_Prop!$I:$I,"Exacto"),Prod_Prop!$A:$A,Prod_Prop!$J:$J,"",0,1))</f>
        <v/>
      </c>
      <c r="L297" s="4" t="str">
        <f t="array" ref="L297">IF($E297="","", XLOOKUP(SUMIFS(Prod_Prop!$A:$A,Prod_Prop!$B:$B,$E297,Prod_Prop!$H:$H,L$1,Prod_Prop!$I:$I,"Exacto"),Prod_Prop!$A:$A,Prod_Prop!$J:$J,"",0,1))</f>
        <v/>
      </c>
      <c r="M297" s="4" t="str">
        <f t="array" ref="M297">IF($E297="","", XLOOKUP(SUMIFS(Prod_Prop!$A:$A,Prod_Prop!$B:$B,$E297,Prod_Prop!$H:$H,M$1,Prod_Prop!$I:$I,"Exacto"),Prod_Prop!$A:$A,Prod_Prop!$J:$J,"",0,1))</f>
        <v/>
      </c>
      <c r="N297" s="4" t="str">
        <f t="array" ref="N297">IF($E297="","", XLOOKUP(SUMIFS(Prod_Prop!$A:$A,Prod_Prop!$B:$B,$E297,Prod_Prop!$H:$H,N$1,Prod_Prop!$I:$I,"Exacto"),Prod_Prop!$A:$A,Prod_Prop!$J:$J,"",0,1))</f>
        <v/>
      </c>
      <c r="O297" s="4" t="str">
        <f t="array" ref="O297">IF($E297="","", XLOOKUP(SUMIFS(Prod_Prop!$A:$A,Prod_Prop!$B:$B,$E297,Prod_Prop!$H:$H,O$1,Prod_Prop!$I:$I,"Exacto"),Prod_Prop!$A:$A,Prod_Prop!$J:$J,"",0,1))</f>
        <v/>
      </c>
      <c r="P297" s="4" t="str">
        <f t="array" ref="P297">IF($E297="","", XLOOKUP(SUMIFS(Prod_Prop!$A:$A,Prod_Prop!$B:$B,$E297,Prod_Prop!$H:$H,P$1,Prod_Prop!$I:$I,"Exacto"),Prod_Prop!$A:$A,Prod_Prop!$J:$J,"",0,1))</f>
        <v/>
      </c>
      <c r="Q297" s="4" t="str">
        <f t="array" ref="Q297">IF($E297="","", XLOOKUP(SUMIFS(Prod_Prop!$A:$A,Prod_Prop!$B:$B,$E297,Prod_Prop!$H:$H,Q$1,Prod_Prop!$I:$I,"Exacto"),Prod_Prop!$A:$A,Prod_Prop!$J:$J,"",0,1))</f>
        <v/>
      </c>
      <c r="R297" s="4" t="str">
        <f t="array" ref="R297">IF($E297="","", XLOOKUP(SUMIFS(Prod_Prop!$A:$A,Prod_Prop!$B:$B,$E297,Prod_Prop!$H:$H,R$1,Prod_Prop!$I:$I,"Exacto"),Prod_Prop!$A:$A,Prod_Prop!$J:$J,"",0,1))</f>
        <v/>
      </c>
      <c r="S297" s="4" t="str">
        <f t="array" ref="S297">IF($E297="","", XLOOKUP(SUMIFS(Prod_Prop!$A:$A,Prod_Prop!$B:$B,$E297,Prod_Prop!$H:$H,S$1,Prod_Prop!$I:$I,"Exacto"),Prod_Prop!$A:$A,Prod_Prop!$J:$J,"",0,1))</f>
        <v/>
      </c>
      <c r="T297" s="4" t="str">
        <f t="array" ref="T297">IF($E297="","", XLOOKUP(SUMIFS(Prod_Prop!$A:$A,Prod_Prop!$B:$B,$E297,Prod_Prop!$H:$H,T$1,Prod_Prop!$I:$I,"Exacto"),Prod_Prop!$A:$A,Prod_Prop!$J:$J,"",0,1))</f>
        <v/>
      </c>
      <c r="U297" s="4" t="str">
        <f t="array" ref="U297">IF($E297="","", XLOOKUP(SUMIFS(Prod_Prop!$A:$A,Prod_Prop!$B:$B,$E297,Prod_Prop!$H:$H,U$1,Prod_Prop!$I:$I,"Exacto"),Prod_Prop!$A:$A,Prod_Prop!$J:$J,"",0,1))</f>
        <v/>
      </c>
      <c r="V297" s="4" t="str">
        <f t="array" ref="V297">IF($E297="","", XLOOKUP(SUMIFS(Prod_Prop!$A:$A,Prod_Prop!$B:$B,$E297,Prod_Prop!$H:$H,V$1,Prod_Prop!$I:$I,"Exacto"),Prod_Prop!$A:$A,Prod_Prop!$J:$J,"",0,1))</f>
        <v/>
      </c>
      <c r="X297" s="3" t="str">
        <f>IFERROR(__xludf.DUMMYFUNCTION("IF(D297="""","""",IFERROR(TRANSPOSE(FILTER('Validaciones Cotizador'!U:U,'Validaciones Cotizador'!O:O=D297,'Validaciones Cotizador'!T:T=""x"")),""Finalizar""))"),"")</f>
        <v/>
      </c>
    </row>
    <row r="298">
      <c r="A298" s="2" t="str">
        <f t="array" ref="A298">IF(E298="","",XLOOKUP(D298,'Validaciones Cotizador'!C:C,'Validaciones Cotizador'!A:A,"",0,1))</f>
        <v/>
      </c>
      <c r="B298" s="2" t="str">
        <f t="array" ref="B298">IF(F298="","",XLOOKUP(F298,Productos!E:E,Productos!G:G,"",0,1))</f>
        <v/>
      </c>
      <c r="C298" s="2" t="str">
        <f>IF(A298="","",SUMIFS('Validaciones Cotizador'!B:B,'Validaciones Cotizador'!C:C,D298,'Validaciones Cotizador'!A:A,A298))</f>
        <v/>
      </c>
      <c r="D298" s="4" t="str">
        <f>IFERROR(__xludf.DUMMYFUNCTION("IF(OR(F297=""Finalizar"",F297="""",F297=""Selecciona..""),"""",IF(OR(F297=""-"",INDEX(filter(Familias!F:F,Familias!D:D=A297,Familias!E:E=C297),1)=""O""),D297+1,D297))"),"")</f>
        <v/>
      </c>
      <c r="E298" s="2" t="str">
        <f>IF(OR(F298="",F298="Selecciona.."),"",IF(D298="Implemento",SUMIF(Implementos!B:B,F298,Implementos!A:A),SUMIF(Productos!E:E,F298,Productos!A:A)))</f>
        <v/>
      </c>
      <c r="F298" s="2" t="str">
        <f t="shared" si="2"/>
        <v/>
      </c>
      <c r="G298" s="10" t="str">
        <f t="array" ref="G298">IF(OR(F298="",F298="-",F298="Selecciona..",F298="Finalizar"),"",IF(A298="Rodados",XLOOKUP(B298,'Validaciones Cotizador'!I:I,'Validaciones Cotizador'!J:J,0,0,1),1))</f>
        <v/>
      </c>
      <c r="H298" s="11" t="str">
        <f>IF(OR(F298="",F298="Selecciona.."),"",SUMIF(Precio_Productos!K:K,E298,Precio_Productos!J:J)*G298)</f>
        <v/>
      </c>
      <c r="I298" s="4" t="str">
        <f t="array" ref="I298">IF($E298="","", XLOOKUP(SUMIFS(Prod_Prop!$A:$A,Prod_Prop!$B:$B,$E298,Prod_Prop!$H:$H,I$1,Prod_Prop!$I:$I,"Exacto"),Prod_Prop!$A:$A,Prod_Prop!$J:$J,"",0,1))</f>
        <v/>
      </c>
      <c r="J298" s="4" t="str">
        <f t="array" ref="J298">IF($E298="","", XLOOKUP(SUMIFS(Prod_Prop!$A:$A,Prod_Prop!$B:$B,$E298,Prod_Prop!$H:$H,J$1,Prod_Prop!$I:$I,"Exacto"),Prod_Prop!$A:$A,Prod_Prop!$J:$J,"",0,1))</f>
        <v/>
      </c>
      <c r="K298" s="4" t="str">
        <f t="array" ref="K298">IF($E298="","", XLOOKUP(SUMIFS(Prod_Prop!$A:$A,Prod_Prop!$B:$B,$E298,Prod_Prop!$H:$H,K$1,Prod_Prop!$I:$I,"Exacto"),Prod_Prop!$A:$A,Prod_Prop!$J:$J,"",0,1))</f>
        <v/>
      </c>
      <c r="L298" s="4" t="str">
        <f t="array" ref="L298">IF($E298="","", XLOOKUP(SUMIFS(Prod_Prop!$A:$A,Prod_Prop!$B:$B,$E298,Prod_Prop!$H:$H,L$1,Prod_Prop!$I:$I,"Exacto"),Prod_Prop!$A:$A,Prod_Prop!$J:$J,"",0,1))</f>
        <v/>
      </c>
      <c r="M298" s="4" t="str">
        <f t="array" ref="M298">IF($E298="","", XLOOKUP(SUMIFS(Prod_Prop!$A:$A,Prod_Prop!$B:$B,$E298,Prod_Prop!$H:$H,M$1,Prod_Prop!$I:$I,"Exacto"),Prod_Prop!$A:$A,Prod_Prop!$J:$J,"",0,1))</f>
        <v/>
      </c>
      <c r="N298" s="4" t="str">
        <f t="array" ref="N298">IF($E298="","", XLOOKUP(SUMIFS(Prod_Prop!$A:$A,Prod_Prop!$B:$B,$E298,Prod_Prop!$H:$H,N$1,Prod_Prop!$I:$I,"Exacto"),Prod_Prop!$A:$A,Prod_Prop!$J:$J,"",0,1))</f>
        <v/>
      </c>
      <c r="O298" s="4" t="str">
        <f t="array" ref="O298">IF($E298="","", XLOOKUP(SUMIFS(Prod_Prop!$A:$A,Prod_Prop!$B:$B,$E298,Prod_Prop!$H:$H,O$1,Prod_Prop!$I:$I,"Exacto"),Prod_Prop!$A:$A,Prod_Prop!$J:$J,"",0,1))</f>
        <v/>
      </c>
      <c r="P298" s="4" t="str">
        <f t="array" ref="P298">IF($E298="","", XLOOKUP(SUMIFS(Prod_Prop!$A:$A,Prod_Prop!$B:$B,$E298,Prod_Prop!$H:$H,P$1,Prod_Prop!$I:$I,"Exacto"),Prod_Prop!$A:$A,Prod_Prop!$J:$J,"",0,1))</f>
        <v/>
      </c>
      <c r="Q298" s="4" t="str">
        <f t="array" ref="Q298">IF($E298="","", XLOOKUP(SUMIFS(Prod_Prop!$A:$A,Prod_Prop!$B:$B,$E298,Prod_Prop!$H:$H,Q$1,Prod_Prop!$I:$I,"Exacto"),Prod_Prop!$A:$A,Prod_Prop!$J:$J,"",0,1))</f>
        <v/>
      </c>
      <c r="R298" s="4" t="str">
        <f t="array" ref="R298">IF($E298="","", XLOOKUP(SUMIFS(Prod_Prop!$A:$A,Prod_Prop!$B:$B,$E298,Prod_Prop!$H:$H,R$1,Prod_Prop!$I:$I,"Exacto"),Prod_Prop!$A:$A,Prod_Prop!$J:$J,"",0,1))</f>
        <v/>
      </c>
      <c r="S298" s="4" t="str">
        <f t="array" ref="S298">IF($E298="","", XLOOKUP(SUMIFS(Prod_Prop!$A:$A,Prod_Prop!$B:$B,$E298,Prod_Prop!$H:$H,S$1,Prod_Prop!$I:$I,"Exacto"),Prod_Prop!$A:$A,Prod_Prop!$J:$J,"",0,1))</f>
        <v/>
      </c>
      <c r="T298" s="4" t="str">
        <f t="array" ref="T298">IF($E298="","", XLOOKUP(SUMIFS(Prod_Prop!$A:$A,Prod_Prop!$B:$B,$E298,Prod_Prop!$H:$H,T$1,Prod_Prop!$I:$I,"Exacto"),Prod_Prop!$A:$A,Prod_Prop!$J:$J,"",0,1))</f>
        <v/>
      </c>
      <c r="U298" s="4" t="str">
        <f t="array" ref="U298">IF($E298="","", XLOOKUP(SUMIFS(Prod_Prop!$A:$A,Prod_Prop!$B:$B,$E298,Prod_Prop!$H:$H,U$1,Prod_Prop!$I:$I,"Exacto"),Prod_Prop!$A:$A,Prod_Prop!$J:$J,"",0,1))</f>
        <v/>
      </c>
      <c r="V298" s="4" t="str">
        <f t="array" ref="V298">IF($E298="","", XLOOKUP(SUMIFS(Prod_Prop!$A:$A,Prod_Prop!$B:$B,$E298,Prod_Prop!$H:$H,V$1,Prod_Prop!$I:$I,"Exacto"),Prod_Prop!$A:$A,Prod_Prop!$J:$J,"",0,1))</f>
        <v/>
      </c>
      <c r="X298" s="3" t="str">
        <f>IFERROR(__xludf.DUMMYFUNCTION("IF(D298="""","""",IFERROR(TRANSPOSE(FILTER('Validaciones Cotizador'!U:U,'Validaciones Cotizador'!O:O=D298,'Validaciones Cotizador'!T:T=""x"")),""Finalizar""))"),"")</f>
        <v/>
      </c>
    </row>
    <row r="299">
      <c r="A299" s="2" t="str">
        <f t="array" ref="A299">IF(E299="","",XLOOKUP(D299,'Validaciones Cotizador'!C:C,'Validaciones Cotizador'!A:A,"",0,1))</f>
        <v/>
      </c>
      <c r="B299" s="2" t="str">
        <f t="array" ref="B299">IF(F299="","",XLOOKUP(F299,Productos!E:E,Productos!G:G,"",0,1))</f>
        <v/>
      </c>
      <c r="C299" s="2" t="str">
        <f>IF(A299="","",SUMIFS('Validaciones Cotizador'!B:B,'Validaciones Cotizador'!C:C,D299,'Validaciones Cotizador'!A:A,A299))</f>
        <v/>
      </c>
      <c r="D299" s="4" t="str">
        <f>IFERROR(__xludf.DUMMYFUNCTION("IF(OR(F298=""Finalizar"",F298="""",F298=""Selecciona..""),"""",IF(OR(F298=""-"",INDEX(filter(Familias!F:F,Familias!D:D=A298,Familias!E:E=C298),1)=""O""),D298+1,D298))"),"")</f>
        <v/>
      </c>
      <c r="E299" s="2" t="str">
        <f>IF(OR(F299="",F299="Selecciona.."),"",IF(D299="Implemento",SUMIF(Implementos!B:B,F299,Implementos!A:A),SUMIF(Productos!E:E,F299,Productos!A:A)))</f>
        <v/>
      </c>
      <c r="F299" s="2" t="str">
        <f t="shared" si="2"/>
        <v/>
      </c>
      <c r="G299" s="10" t="str">
        <f t="array" ref="G299">IF(OR(F299="",F299="-",F299="Selecciona..",F299="Finalizar"),"",IF(A299="Rodados",XLOOKUP(B299,'Validaciones Cotizador'!I:I,'Validaciones Cotizador'!J:J,0,0,1),1))</f>
        <v/>
      </c>
      <c r="H299" s="11" t="str">
        <f>IF(OR(F299="",F299="Selecciona.."),"",SUMIF(Precio_Productos!K:K,E299,Precio_Productos!J:J)*G299)</f>
        <v/>
      </c>
      <c r="I299" s="4" t="str">
        <f t="array" ref="I299">IF($E299="","", XLOOKUP(SUMIFS(Prod_Prop!$A:$A,Prod_Prop!$B:$B,$E299,Prod_Prop!$H:$H,I$1,Prod_Prop!$I:$I,"Exacto"),Prod_Prop!$A:$A,Prod_Prop!$J:$J,"",0,1))</f>
        <v/>
      </c>
      <c r="J299" s="4" t="str">
        <f t="array" ref="J299">IF($E299="","", XLOOKUP(SUMIFS(Prod_Prop!$A:$A,Prod_Prop!$B:$B,$E299,Prod_Prop!$H:$H,J$1,Prod_Prop!$I:$I,"Exacto"),Prod_Prop!$A:$A,Prod_Prop!$J:$J,"",0,1))</f>
        <v/>
      </c>
      <c r="K299" s="4" t="str">
        <f t="array" ref="K299">IF($E299="","", XLOOKUP(SUMIFS(Prod_Prop!$A:$A,Prod_Prop!$B:$B,$E299,Prod_Prop!$H:$H,K$1,Prod_Prop!$I:$I,"Exacto"),Prod_Prop!$A:$A,Prod_Prop!$J:$J,"",0,1))</f>
        <v/>
      </c>
      <c r="L299" s="4" t="str">
        <f t="array" ref="L299">IF($E299="","", XLOOKUP(SUMIFS(Prod_Prop!$A:$A,Prod_Prop!$B:$B,$E299,Prod_Prop!$H:$H,L$1,Prod_Prop!$I:$I,"Exacto"),Prod_Prop!$A:$A,Prod_Prop!$J:$J,"",0,1))</f>
        <v/>
      </c>
      <c r="M299" s="4" t="str">
        <f t="array" ref="M299">IF($E299="","", XLOOKUP(SUMIFS(Prod_Prop!$A:$A,Prod_Prop!$B:$B,$E299,Prod_Prop!$H:$H,M$1,Prod_Prop!$I:$I,"Exacto"),Prod_Prop!$A:$A,Prod_Prop!$J:$J,"",0,1))</f>
        <v/>
      </c>
      <c r="N299" s="4" t="str">
        <f t="array" ref="N299">IF($E299="","", XLOOKUP(SUMIFS(Prod_Prop!$A:$A,Prod_Prop!$B:$B,$E299,Prod_Prop!$H:$H,N$1,Prod_Prop!$I:$I,"Exacto"),Prod_Prop!$A:$A,Prod_Prop!$J:$J,"",0,1))</f>
        <v/>
      </c>
      <c r="O299" s="4" t="str">
        <f t="array" ref="O299">IF($E299="","", XLOOKUP(SUMIFS(Prod_Prop!$A:$A,Prod_Prop!$B:$B,$E299,Prod_Prop!$H:$H,O$1,Prod_Prop!$I:$I,"Exacto"),Prod_Prop!$A:$A,Prod_Prop!$J:$J,"",0,1))</f>
        <v/>
      </c>
      <c r="P299" s="4" t="str">
        <f t="array" ref="P299">IF($E299="","", XLOOKUP(SUMIFS(Prod_Prop!$A:$A,Prod_Prop!$B:$B,$E299,Prod_Prop!$H:$H,P$1,Prod_Prop!$I:$I,"Exacto"),Prod_Prop!$A:$A,Prod_Prop!$J:$J,"",0,1))</f>
        <v/>
      </c>
      <c r="Q299" s="4" t="str">
        <f t="array" ref="Q299">IF($E299="","", XLOOKUP(SUMIFS(Prod_Prop!$A:$A,Prod_Prop!$B:$B,$E299,Prod_Prop!$H:$H,Q$1,Prod_Prop!$I:$I,"Exacto"),Prod_Prop!$A:$A,Prod_Prop!$J:$J,"",0,1))</f>
        <v/>
      </c>
      <c r="R299" s="4" t="str">
        <f t="array" ref="R299">IF($E299="","", XLOOKUP(SUMIFS(Prod_Prop!$A:$A,Prod_Prop!$B:$B,$E299,Prod_Prop!$H:$H,R$1,Prod_Prop!$I:$I,"Exacto"),Prod_Prop!$A:$A,Prod_Prop!$J:$J,"",0,1))</f>
        <v/>
      </c>
      <c r="S299" s="4" t="str">
        <f t="array" ref="S299">IF($E299="","", XLOOKUP(SUMIFS(Prod_Prop!$A:$A,Prod_Prop!$B:$B,$E299,Prod_Prop!$H:$H,S$1,Prod_Prop!$I:$I,"Exacto"),Prod_Prop!$A:$A,Prod_Prop!$J:$J,"",0,1))</f>
        <v/>
      </c>
      <c r="T299" s="4" t="str">
        <f t="array" ref="T299">IF($E299="","", XLOOKUP(SUMIFS(Prod_Prop!$A:$A,Prod_Prop!$B:$B,$E299,Prod_Prop!$H:$H,T$1,Prod_Prop!$I:$I,"Exacto"),Prod_Prop!$A:$A,Prod_Prop!$J:$J,"",0,1))</f>
        <v/>
      </c>
      <c r="U299" s="4" t="str">
        <f t="array" ref="U299">IF($E299="","", XLOOKUP(SUMIFS(Prod_Prop!$A:$A,Prod_Prop!$B:$B,$E299,Prod_Prop!$H:$H,U$1,Prod_Prop!$I:$I,"Exacto"),Prod_Prop!$A:$A,Prod_Prop!$J:$J,"",0,1))</f>
        <v/>
      </c>
      <c r="V299" s="4" t="str">
        <f t="array" ref="V299">IF($E299="","", XLOOKUP(SUMIFS(Prod_Prop!$A:$A,Prod_Prop!$B:$B,$E299,Prod_Prop!$H:$H,V$1,Prod_Prop!$I:$I,"Exacto"),Prod_Prop!$A:$A,Prod_Prop!$J:$J,"",0,1))</f>
        <v/>
      </c>
      <c r="X299" s="3" t="str">
        <f>IFERROR(__xludf.DUMMYFUNCTION("IF(D299="""","""",IFERROR(TRANSPOSE(FILTER('Validaciones Cotizador'!U:U,'Validaciones Cotizador'!O:O=D299,'Validaciones Cotizador'!T:T=""x"")),""Finalizar""))"),"")</f>
        <v/>
      </c>
    </row>
    <row r="300">
      <c r="A300" s="2" t="str">
        <f t="array" ref="A300">IF(E300="","",XLOOKUP(D300,'Validaciones Cotizador'!C:C,'Validaciones Cotizador'!A:A,"",0,1))</f>
        <v/>
      </c>
      <c r="B300" s="2" t="str">
        <f t="array" ref="B300">IF(F300="","",XLOOKUP(F300,Productos!E:E,Productos!G:G,"",0,1))</f>
        <v/>
      </c>
      <c r="C300" s="2" t="str">
        <f>IF(A300="","",SUMIFS('Validaciones Cotizador'!B:B,'Validaciones Cotizador'!C:C,D300,'Validaciones Cotizador'!A:A,A300))</f>
        <v/>
      </c>
      <c r="D300" s="4" t="str">
        <f>IFERROR(__xludf.DUMMYFUNCTION("IF(OR(F299=""Finalizar"",F299="""",F299=""Selecciona..""),"""",IF(OR(F299=""-"",INDEX(filter(Familias!F:F,Familias!D:D=A299,Familias!E:E=C299),1)=""O""),D299+1,D299))"),"")</f>
        <v/>
      </c>
      <c r="E300" s="2" t="str">
        <f>IF(OR(F300="",F300="Selecciona.."),"",IF(D300="Implemento",SUMIF(Implementos!B:B,F300,Implementos!A:A),SUMIF(Productos!E:E,F300,Productos!A:A)))</f>
        <v/>
      </c>
      <c r="F300" s="2" t="str">
        <f t="shared" si="2"/>
        <v/>
      </c>
      <c r="G300" s="10" t="str">
        <f t="array" ref="G300">IF(OR(F300="",F300="-",F300="Selecciona..",F300="Finalizar"),"",IF(A300="Rodados",XLOOKUP(B300,'Validaciones Cotizador'!I:I,'Validaciones Cotizador'!J:J,0,0,1),1))</f>
        <v/>
      </c>
      <c r="H300" s="11" t="str">
        <f>IF(OR(F300="",F300="Selecciona.."),"",SUMIF(Precio_Productos!K:K,E300,Precio_Productos!J:J)*G300)</f>
        <v/>
      </c>
      <c r="I300" s="4" t="str">
        <f t="array" ref="I300">IF($E300="","", XLOOKUP(SUMIFS(Prod_Prop!$A:$A,Prod_Prop!$B:$B,$E300,Prod_Prop!$H:$H,I$1,Prod_Prop!$I:$I,"Exacto"),Prod_Prop!$A:$A,Prod_Prop!$J:$J,"",0,1))</f>
        <v/>
      </c>
      <c r="J300" s="4" t="str">
        <f t="array" ref="J300">IF($E300="","", XLOOKUP(SUMIFS(Prod_Prop!$A:$A,Prod_Prop!$B:$B,$E300,Prod_Prop!$H:$H,J$1,Prod_Prop!$I:$I,"Exacto"),Prod_Prop!$A:$A,Prod_Prop!$J:$J,"",0,1))</f>
        <v/>
      </c>
      <c r="K300" s="4" t="str">
        <f t="array" ref="K300">IF($E300="","", XLOOKUP(SUMIFS(Prod_Prop!$A:$A,Prod_Prop!$B:$B,$E300,Prod_Prop!$H:$H,K$1,Prod_Prop!$I:$I,"Exacto"),Prod_Prop!$A:$A,Prod_Prop!$J:$J,"",0,1))</f>
        <v/>
      </c>
      <c r="L300" s="4" t="str">
        <f t="array" ref="L300">IF($E300="","", XLOOKUP(SUMIFS(Prod_Prop!$A:$A,Prod_Prop!$B:$B,$E300,Prod_Prop!$H:$H,L$1,Prod_Prop!$I:$I,"Exacto"),Prod_Prop!$A:$A,Prod_Prop!$J:$J,"",0,1))</f>
        <v/>
      </c>
      <c r="M300" s="4" t="str">
        <f t="array" ref="M300">IF($E300="","", XLOOKUP(SUMIFS(Prod_Prop!$A:$A,Prod_Prop!$B:$B,$E300,Prod_Prop!$H:$H,M$1,Prod_Prop!$I:$I,"Exacto"),Prod_Prop!$A:$A,Prod_Prop!$J:$J,"",0,1))</f>
        <v/>
      </c>
      <c r="N300" s="4" t="str">
        <f t="array" ref="N300">IF($E300="","", XLOOKUP(SUMIFS(Prod_Prop!$A:$A,Prod_Prop!$B:$B,$E300,Prod_Prop!$H:$H,N$1,Prod_Prop!$I:$I,"Exacto"),Prod_Prop!$A:$A,Prod_Prop!$J:$J,"",0,1))</f>
        <v/>
      </c>
      <c r="O300" s="4" t="str">
        <f t="array" ref="O300">IF($E300="","", XLOOKUP(SUMIFS(Prod_Prop!$A:$A,Prod_Prop!$B:$B,$E300,Prod_Prop!$H:$H,O$1,Prod_Prop!$I:$I,"Exacto"),Prod_Prop!$A:$A,Prod_Prop!$J:$J,"",0,1))</f>
        <v/>
      </c>
      <c r="P300" s="4" t="str">
        <f t="array" ref="P300">IF($E300="","", XLOOKUP(SUMIFS(Prod_Prop!$A:$A,Prod_Prop!$B:$B,$E300,Prod_Prop!$H:$H,P$1,Prod_Prop!$I:$I,"Exacto"),Prod_Prop!$A:$A,Prod_Prop!$J:$J,"",0,1))</f>
        <v/>
      </c>
      <c r="Q300" s="4" t="str">
        <f t="array" ref="Q300">IF($E300="","", XLOOKUP(SUMIFS(Prod_Prop!$A:$A,Prod_Prop!$B:$B,$E300,Prod_Prop!$H:$H,Q$1,Prod_Prop!$I:$I,"Exacto"),Prod_Prop!$A:$A,Prod_Prop!$J:$J,"",0,1))</f>
        <v/>
      </c>
      <c r="R300" s="4" t="str">
        <f t="array" ref="R300">IF($E300="","", XLOOKUP(SUMIFS(Prod_Prop!$A:$A,Prod_Prop!$B:$B,$E300,Prod_Prop!$H:$H,R$1,Prod_Prop!$I:$I,"Exacto"),Prod_Prop!$A:$A,Prod_Prop!$J:$J,"",0,1))</f>
        <v/>
      </c>
      <c r="S300" s="4" t="str">
        <f t="array" ref="S300">IF($E300="","", XLOOKUP(SUMIFS(Prod_Prop!$A:$A,Prod_Prop!$B:$B,$E300,Prod_Prop!$H:$H,S$1,Prod_Prop!$I:$I,"Exacto"),Prod_Prop!$A:$A,Prod_Prop!$J:$J,"",0,1))</f>
        <v/>
      </c>
      <c r="T300" s="4" t="str">
        <f t="array" ref="T300">IF($E300="","", XLOOKUP(SUMIFS(Prod_Prop!$A:$A,Prod_Prop!$B:$B,$E300,Prod_Prop!$H:$H,T$1,Prod_Prop!$I:$I,"Exacto"),Prod_Prop!$A:$A,Prod_Prop!$J:$J,"",0,1))</f>
        <v/>
      </c>
      <c r="U300" s="4" t="str">
        <f t="array" ref="U300">IF($E300="","", XLOOKUP(SUMIFS(Prod_Prop!$A:$A,Prod_Prop!$B:$B,$E300,Prod_Prop!$H:$H,U$1,Prod_Prop!$I:$I,"Exacto"),Prod_Prop!$A:$A,Prod_Prop!$J:$J,"",0,1))</f>
        <v/>
      </c>
      <c r="V300" s="4" t="str">
        <f t="array" ref="V300">IF($E300="","", XLOOKUP(SUMIFS(Prod_Prop!$A:$A,Prod_Prop!$B:$B,$E300,Prod_Prop!$H:$H,V$1,Prod_Prop!$I:$I,"Exacto"),Prod_Prop!$A:$A,Prod_Prop!$J:$J,"",0,1))</f>
        <v/>
      </c>
      <c r="X300" s="3" t="str">
        <f>IFERROR(__xludf.DUMMYFUNCTION("IF(D300="""","""",IFERROR(TRANSPOSE(FILTER('Validaciones Cotizador'!U:U,'Validaciones Cotizador'!O:O=D300,'Validaciones Cotizador'!T:T=""x"")),""Finalizar""))"),"")</f>
        <v/>
      </c>
    </row>
    <row r="301">
      <c r="A301" s="2" t="str">
        <f t="array" ref="A301">IF(E301="","",XLOOKUP(D301,'Validaciones Cotizador'!C:C,'Validaciones Cotizador'!A:A,"",0,1))</f>
        <v/>
      </c>
      <c r="B301" s="2" t="str">
        <f t="array" ref="B301">IF(F301="","",XLOOKUP(F301,Productos!E:E,Productos!G:G,"",0,1))</f>
        <v/>
      </c>
      <c r="C301" s="2" t="str">
        <f>IF(A301="","",SUMIFS('Validaciones Cotizador'!B:B,'Validaciones Cotizador'!C:C,D301,'Validaciones Cotizador'!A:A,A301))</f>
        <v/>
      </c>
      <c r="D301" s="4" t="str">
        <f>IFERROR(__xludf.DUMMYFUNCTION("IF(OR(F300=""Finalizar"",F300="""",F300=""Selecciona..""),"""",IF(OR(F300=""-"",INDEX(filter(Familias!F:F,Familias!D:D=A300,Familias!E:E=C300),1)=""O""),D300+1,D300))"),"")</f>
        <v/>
      </c>
      <c r="E301" s="2" t="str">
        <f>IF(OR(F301="",F301="Selecciona.."),"",IF(D301="Implemento",SUMIF(Implementos!B:B,F301,Implementos!A:A),SUMIF(Productos!E:E,F301,Productos!A:A)))</f>
        <v/>
      </c>
      <c r="F301" s="2" t="str">
        <f t="shared" si="2"/>
        <v/>
      </c>
      <c r="G301" s="10" t="str">
        <f t="array" ref="G301">IF(OR(F301="",F301="-",F301="Selecciona..",F301="Finalizar"),"",IF(A301="Rodados",XLOOKUP(B301,'Validaciones Cotizador'!I:I,'Validaciones Cotizador'!J:J,0,0,1),1))</f>
        <v/>
      </c>
      <c r="H301" s="11" t="str">
        <f>IF(OR(F301="",F301="Selecciona.."),"",SUMIF(Precio_Productos!K:K,E301,Precio_Productos!J:J)*G301)</f>
        <v/>
      </c>
      <c r="I301" s="4" t="str">
        <f t="array" ref="I301">IF($E301="","", XLOOKUP(SUMIFS(Prod_Prop!$A:$A,Prod_Prop!$B:$B,$E301,Prod_Prop!$H:$H,I$1,Prod_Prop!$I:$I,"Exacto"),Prod_Prop!$A:$A,Prod_Prop!$J:$J,"",0,1))</f>
        <v/>
      </c>
      <c r="J301" s="4" t="str">
        <f t="array" ref="J301">IF($E301="","", XLOOKUP(SUMIFS(Prod_Prop!$A:$A,Prod_Prop!$B:$B,$E301,Prod_Prop!$H:$H,J$1,Prod_Prop!$I:$I,"Exacto"),Prod_Prop!$A:$A,Prod_Prop!$J:$J,"",0,1))</f>
        <v/>
      </c>
      <c r="K301" s="4" t="str">
        <f t="array" ref="K301">IF($E301="","", XLOOKUP(SUMIFS(Prod_Prop!$A:$A,Prod_Prop!$B:$B,$E301,Prod_Prop!$H:$H,K$1,Prod_Prop!$I:$I,"Exacto"),Prod_Prop!$A:$A,Prod_Prop!$J:$J,"",0,1))</f>
        <v/>
      </c>
      <c r="L301" s="4" t="str">
        <f t="array" ref="L301">IF($E301="","", XLOOKUP(SUMIFS(Prod_Prop!$A:$A,Prod_Prop!$B:$B,$E301,Prod_Prop!$H:$H,L$1,Prod_Prop!$I:$I,"Exacto"),Prod_Prop!$A:$A,Prod_Prop!$J:$J,"",0,1))</f>
        <v/>
      </c>
      <c r="M301" s="4" t="str">
        <f t="array" ref="M301">IF($E301="","", XLOOKUP(SUMIFS(Prod_Prop!$A:$A,Prod_Prop!$B:$B,$E301,Prod_Prop!$H:$H,M$1,Prod_Prop!$I:$I,"Exacto"),Prod_Prop!$A:$A,Prod_Prop!$J:$J,"",0,1))</f>
        <v/>
      </c>
      <c r="N301" s="4" t="str">
        <f t="array" ref="N301">IF($E301="","", XLOOKUP(SUMIFS(Prod_Prop!$A:$A,Prod_Prop!$B:$B,$E301,Prod_Prop!$H:$H,N$1,Prod_Prop!$I:$I,"Exacto"),Prod_Prop!$A:$A,Prod_Prop!$J:$J,"",0,1))</f>
        <v/>
      </c>
      <c r="O301" s="4" t="str">
        <f t="array" ref="O301">IF($E301="","", XLOOKUP(SUMIFS(Prod_Prop!$A:$A,Prod_Prop!$B:$B,$E301,Prod_Prop!$H:$H,O$1,Prod_Prop!$I:$I,"Exacto"),Prod_Prop!$A:$A,Prod_Prop!$J:$J,"",0,1))</f>
        <v/>
      </c>
      <c r="P301" s="4" t="str">
        <f t="array" ref="P301">IF($E301="","", XLOOKUP(SUMIFS(Prod_Prop!$A:$A,Prod_Prop!$B:$B,$E301,Prod_Prop!$H:$H,P$1,Prod_Prop!$I:$I,"Exacto"),Prod_Prop!$A:$A,Prod_Prop!$J:$J,"",0,1))</f>
        <v/>
      </c>
      <c r="Q301" s="4" t="str">
        <f t="array" ref="Q301">IF($E301="","", XLOOKUP(SUMIFS(Prod_Prop!$A:$A,Prod_Prop!$B:$B,$E301,Prod_Prop!$H:$H,Q$1,Prod_Prop!$I:$I,"Exacto"),Prod_Prop!$A:$A,Prod_Prop!$J:$J,"",0,1))</f>
        <v/>
      </c>
      <c r="R301" s="4" t="str">
        <f t="array" ref="R301">IF($E301="","", XLOOKUP(SUMIFS(Prod_Prop!$A:$A,Prod_Prop!$B:$B,$E301,Prod_Prop!$H:$H,R$1,Prod_Prop!$I:$I,"Exacto"),Prod_Prop!$A:$A,Prod_Prop!$J:$J,"",0,1))</f>
        <v/>
      </c>
      <c r="S301" s="4" t="str">
        <f t="array" ref="S301">IF($E301="","", XLOOKUP(SUMIFS(Prod_Prop!$A:$A,Prod_Prop!$B:$B,$E301,Prod_Prop!$H:$H,S$1,Prod_Prop!$I:$I,"Exacto"),Prod_Prop!$A:$A,Prod_Prop!$J:$J,"",0,1))</f>
        <v/>
      </c>
      <c r="T301" s="4" t="str">
        <f t="array" ref="T301">IF($E301="","", XLOOKUP(SUMIFS(Prod_Prop!$A:$A,Prod_Prop!$B:$B,$E301,Prod_Prop!$H:$H,T$1,Prod_Prop!$I:$I,"Exacto"),Prod_Prop!$A:$A,Prod_Prop!$J:$J,"",0,1))</f>
        <v/>
      </c>
      <c r="U301" s="4" t="str">
        <f t="array" ref="U301">IF($E301="","", XLOOKUP(SUMIFS(Prod_Prop!$A:$A,Prod_Prop!$B:$B,$E301,Prod_Prop!$H:$H,U$1,Prod_Prop!$I:$I,"Exacto"),Prod_Prop!$A:$A,Prod_Prop!$J:$J,"",0,1))</f>
        <v/>
      </c>
      <c r="V301" s="4" t="str">
        <f t="array" ref="V301">IF($E301="","", XLOOKUP(SUMIFS(Prod_Prop!$A:$A,Prod_Prop!$B:$B,$E301,Prod_Prop!$H:$H,V$1,Prod_Prop!$I:$I,"Exacto"),Prod_Prop!$A:$A,Prod_Prop!$J:$J,"",0,1))</f>
        <v/>
      </c>
      <c r="X301" s="3" t="str">
        <f>IFERROR(__xludf.DUMMYFUNCTION("IF(D301="""","""",IFERROR(TRANSPOSE(FILTER('Validaciones Cotizador'!U:U,'Validaciones Cotizador'!O:O=D301,'Validaciones Cotizador'!T:T=""x"")),""Finalizar""))"),"")</f>
        <v/>
      </c>
    </row>
    <row r="302">
      <c r="A302" s="2" t="str">
        <f t="array" ref="A302">IF(E302="","",XLOOKUP(D302,'Validaciones Cotizador'!C:C,'Validaciones Cotizador'!A:A,"",0,1))</f>
        <v/>
      </c>
      <c r="B302" s="2" t="str">
        <f t="array" ref="B302">IF(F302="","",XLOOKUP(F302,Productos!E:E,Productos!G:G,"",0,1))</f>
        <v/>
      </c>
      <c r="C302" s="2" t="str">
        <f>IF(A302="","",SUMIFS('Validaciones Cotizador'!B:B,'Validaciones Cotizador'!C:C,D302,'Validaciones Cotizador'!A:A,A302))</f>
        <v/>
      </c>
      <c r="D302" s="4" t="str">
        <f>IFERROR(__xludf.DUMMYFUNCTION("IF(OR(F301=""Finalizar"",F301="""",F301=""Selecciona..""),"""",IF(OR(F301=""-"",INDEX(filter(Familias!F:F,Familias!D:D=A301,Familias!E:E=C301),1)=""O""),D301+1,D301))"),"")</f>
        <v/>
      </c>
      <c r="E302" s="2" t="str">
        <f>IF(OR(F302="",F302="Selecciona.."),"",IF(D302="Implemento",SUMIF(Implementos!B:B,F302,Implementos!A:A),SUMIF(Productos!E:E,F302,Productos!A:A)))</f>
        <v/>
      </c>
      <c r="F302" s="2" t="str">
        <f t="shared" si="2"/>
        <v/>
      </c>
      <c r="G302" s="10" t="str">
        <f t="array" ref="G302">IF(OR(F302="",F302="-",F302="Selecciona..",F302="Finalizar"),"",IF(A302="Rodados",XLOOKUP(B302,'Validaciones Cotizador'!I:I,'Validaciones Cotizador'!J:J,0,0,1),1))</f>
        <v/>
      </c>
      <c r="H302" s="11" t="str">
        <f>IF(OR(F302="",F302="Selecciona.."),"",SUMIF(Precio_Productos!K:K,E302,Precio_Productos!J:J)*G302)</f>
        <v/>
      </c>
      <c r="I302" s="4" t="str">
        <f t="array" ref="I302">IF($E302="","", XLOOKUP(SUMIFS(Prod_Prop!$A:$A,Prod_Prop!$B:$B,$E302,Prod_Prop!$H:$H,I$1,Prod_Prop!$I:$I,"Exacto"),Prod_Prop!$A:$A,Prod_Prop!$J:$J,"",0,1))</f>
        <v/>
      </c>
      <c r="J302" s="4" t="str">
        <f t="array" ref="J302">IF($E302="","", XLOOKUP(SUMIFS(Prod_Prop!$A:$A,Prod_Prop!$B:$B,$E302,Prod_Prop!$H:$H,J$1,Prod_Prop!$I:$I,"Exacto"),Prod_Prop!$A:$A,Prod_Prop!$J:$J,"",0,1))</f>
        <v/>
      </c>
      <c r="K302" s="4" t="str">
        <f t="array" ref="K302">IF($E302="","", XLOOKUP(SUMIFS(Prod_Prop!$A:$A,Prod_Prop!$B:$B,$E302,Prod_Prop!$H:$H,K$1,Prod_Prop!$I:$I,"Exacto"),Prod_Prop!$A:$A,Prod_Prop!$J:$J,"",0,1))</f>
        <v/>
      </c>
      <c r="L302" s="4" t="str">
        <f t="array" ref="L302">IF($E302="","", XLOOKUP(SUMIFS(Prod_Prop!$A:$A,Prod_Prop!$B:$B,$E302,Prod_Prop!$H:$H,L$1,Prod_Prop!$I:$I,"Exacto"),Prod_Prop!$A:$A,Prod_Prop!$J:$J,"",0,1))</f>
        <v/>
      </c>
      <c r="M302" s="4" t="str">
        <f t="array" ref="M302">IF($E302="","", XLOOKUP(SUMIFS(Prod_Prop!$A:$A,Prod_Prop!$B:$B,$E302,Prod_Prop!$H:$H,M$1,Prod_Prop!$I:$I,"Exacto"),Prod_Prop!$A:$A,Prod_Prop!$J:$J,"",0,1))</f>
        <v/>
      </c>
      <c r="N302" s="4" t="str">
        <f t="array" ref="N302">IF($E302="","", XLOOKUP(SUMIFS(Prod_Prop!$A:$A,Prod_Prop!$B:$B,$E302,Prod_Prop!$H:$H,N$1,Prod_Prop!$I:$I,"Exacto"),Prod_Prop!$A:$A,Prod_Prop!$J:$J,"",0,1))</f>
        <v/>
      </c>
      <c r="O302" s="4" t="str">
        <f t="array" ref="O302">IF($E302="","", XLOOKUP(SUMIFS(Prod_Prop!$A:$A,Prod_Prop!$B:$B,$E302,Prod_Prop!$H:$H,O$1,Prod_Prop!$I:$I,"Exacto"),Prod_Prop!$A:$A,Prod_Prop!$J:$J,"",0,1))</f>
        <v/>
      </c>
      <c r="P302" s="4" t="str">
        <f t="array" ref="P302">IF($E302="","", XLOOKUP(SUMIFS(Prod_Prop!$A:$A,Prod_Prop!$B:$B,$E302,Prod_Prop!$H:$H,P$1,Prod_Prop!$I:$I,"Exacto"),Prod_Prop!$A:$A,Prod_Prop!$J:$J,"",0,1))</f>
        <v/>
      </c>
      <c r="Q302" s="4" t="str">
        <f t="array" ref="Q302">IF($E302="","", XLOOKUP(SUMIFS(Prod_Prop!$A:$A,Prod_Prop!$B:$B,$E302,Prod_Prop!$H:$H,Q$1,Prod_Prop!$I:$I,"Exacto"),Prod_Prop!$A:$A,Prod_Prop!$J:$J,"",0,1))</f>
        <v/>
      </c>
      <c r="R302" s="4" t="str">
        <f t="array" ref="R302">IF($E302="","", XLOOKUP(SUMIFS(Prod_Prop!$A:$A,Prod_Prop!$B:$B,$E302,Prod_Prop!$H:$H,R$1,Prod_Prop!$I:$I,"Exacto"),Prod_Prop!$A:$A,Prod_Prop!$J:$J,"",0,1))</f>
        <v/>
      </c>
      <c r="S302" s="4" t="str">
        <f t="array" ref="S302">IF($E302="","", XLOOKUP(SUMIFS(Prod_Prop!$A:$A,Prod_Prop!$B:$B,$E302,Prod_Prop!$H:$H,S$1,Prod_Prop!$I:$I,"Exacto"),Prod_Prop!$A:$A,Prod_Prop!$J:$J,"",0,1))</f>
        <v/>
      </c>
      <c r="T302" s="4" t="str">
        <f t="array" ref="T302">IF($E302="","", XLOOKUP(SUMIFS(Prod_Prop!$A:$A,Prod_Prop!$B:$B,$E302,Prod_Prop!$H:$H,T$1,Prod_Prop!$I:$I,"Exacto"),Prod_Prop!$A:$A,Prod_Prop!$J:$J,"",0,1))</f>
        <v/>
      </c>
      <c r="U302" s="4" t="str">
        <f t="array" ref="U302">IF($E302="","", XLOOKUP(SUMIFS(Prod_Prop!$A:$A,Prod_Prop!$B:$B,$E302,Prod_Prop!$H:$H,U$1,Prod_Prop!$I:$I,"Exacto"),Prod_Prop!$A:$A,Prod_Prop!$J:$J,"",0,1))</f>
        <v/>
      </c>
      <c r="V302" s="4" t="str">
        <f t="array" ref="V302">IF($E302="","", XLOOKUP(SUMIFS(Prod_Prop!$A:$A,Prod_Prop!$B:$B,$E302,Prod_Prop!$H:$H,V$1,Prod_Prop!$I:$I,"Exacto"),Prod_Prop!$A:$A,Prod_Prop!$J:$J,"",0,1))</f>
        <v/>
      </c>
      <c r="X302" s="3" t="str">
        <f>IFERROR(__xludf.DUMMYFUNCTION("IF(D302="""","""",IFERROR(TRANSPOSE(FILTER('Validaciones Cotizador'!U:U,'Validaciones Cotizador'!O:O=D302,'Validaciones Cotizador'!T:T=""x"")),""Finalizar""))"),"")</f>
        <v/>
      </c>
    </row>
    <row r="303">
      <c r="A303" s="2" t="str">
        <f t="array" ref="A303">IF(E303="","",XLOOKUP(D303,'Validaciones Cotizador'!C:C,'Validaciones Cotizador'!A:A,"",0,1))</f>
        <v/>
      </c>
      <c r="B303" s="2" t="str">
        <f t="array" ref="B303">IF(F303="","",XLOOKUP(F303,Productos!E:E,Productos!G:G,"",0,1))</f>
        <v/>
      </c>
      <c r="C303" s="2" t="str">
        <f>IF(A303="","",SUMIFS('Validaciones Cotizador'!B:B,'Validaciones Cotizador'!C:C,D303,'Validaciones Cotizador'!A:A,A303))</f>
        <v/>
      </c>
      <c r="D303" s="4" t="str">
        <f>IFERROR(__xludf.DUMMYFUNCTION("IF(OR(F302=""Finalizar"",F302="""",F302=""Selecciona..""),"""",IF(OR(F302=""-"",INDEX(filter(Familias!F:F,Familias!D:D=A302,Familias!E:E=C302),1)=""O""),D302+1,D302))"),"")</f>
        <v/>
      </c>
      <c r="E303" s="2" t="str">
        <f>IF(OR(F303="",F303="Selecciona.."),"",IF(D303="Implemento",SUMIF(Implementos!B:B,F303,Implementos!A:A),SUMIF(Productos!E:E,F303,Productos!A:A)))</f>
        <v/>
      </c>
      <c r="F303" s="2" t="str">
        <f t="shared" si="2"/>
        <v/>
      </c>
      <c r="G303" s="10" t="str">
        <f t="array" ref="G303">IF(OR(F303="",F303="-",F303="Selecciona..",F303="Finalizar"),"",IF(A303="Rodados",XLOOKUP(B303,'Validaciones Cotizador'!I:I,'Validaciones Cotizador'!J:J,0,0,1),1))</f>
        <v/>
      </c>
      <c r="H303" s="11" t="str">
        <f>IF(OR(F303="",F303="Selecciona.."),"",SUMIF(Precio_Productos!K:K,E303,Precio_Productos!J:J)*G303)</f>
        <v/>
      </c>
      <c r="I303" s="4" t="str">
        <f t="array" ref="I303">IF($E303="","", XLOOKUP(SUMIFS(Prod_Prop!$A:$A,Prod_Prop!$B:$B,$E303,Prod_Prop!$H:$H,I$1,Prod_Prop!$I:$I,"Exacto"),Prod_Prop!$A:$A,Prod_Prop!$J:$J,"",0,1))</f>
        <v/>
      </c>
      <c r="J303" s="4" t="str">
        <f t="array" ref="J303">IF($E303="","", XLOOKUP(SUMIFS(Prod_Prop!$A:$A,Prod_Prop!$B:$B,$E303,Prod_Prop!$H:$H,J$1,Prod_Prop!$I:$I,"Exacto"),Prod_Prop!$A:$A,Prod_Prop!$J:$J,"",0,1))</f>
        <v/>
      </c>
      <c r="K303" s="4" t="str">
        <f t="array" ref="K303">IF($E303="","", XLOOKUP(SUMIFS(Prod_Prop!$A:$A,Prod_Prop!$B:$B,$E303,Prod_Prop!$H:$H,K$1,Prod_Prop!$I:$I,"Exacto"),Prod_Prop!$A:$A,Prod_Prop!$J:$J,"",0,1))</f>
        <v/>
      </c>
      <c r="L303" s="4" t="str">
        <f t="array" ref="L303">IF($E303="","", XLOOKUP(SUMIFS(Prod_Prop!$A:$A,Prod_Prop!$B:$B,$E303,Prod_Prop!$H:$H,L$1,Prod_Prop!$I:$I,"Exacto"),Prod_Prop!$A:$A,Prod_Prop!$J:$J,"",0,1))</f>
        <v/>
      </c>
      <c r="M303" s="4" t="str">
        <f t="array" ref="M303">IF($E303="","", XLOOKUP(SUMIFS(Prod_Prop!$A:$A,Prod_Prop!$B:$B,$E303,Prod_Prop!$H:$H,M$1,Prod_Prop!$I:$I,"Exacto"),Prod_Prop!$A:$A,Prod_Prop!$J:$J,"",0,1))</f>
        <v/>
      </c>
      <c r="N303" s="4" t="str">
        <f t="array" ref="N303">IF($E303="","", XLOOKUP(SUMIFS(Prod_Prop!$A:$A,Prod_Prop!$B:$B,$E303,Prod_Prop!$H:$H,N$1,Prod_Prop!$I:$I,"Exacto"),Prod_Prop!$A:$A,Prod_Prop!$J:$J,"",0,1))</f>
        <v/>
      </c>
      <c r="O303" s="4" t="str">
        <f t="array" ref="O303">IF($E303="","", XLOOKUP(SUMIFS(Prod_Prop!$A:$A,Prod_Prop!$B:$B,$E303,Prod_Prop!$H:$H,O$1,Prod_Prop!$I:$I,"Exacto"),Prod_Prop!$A:$A,Prod_Prop!$J:$J,"",0,1))</f>
        <v/>
      </c>
      <c r="P303" s="4" t="str">
        <f t="array" ref="P303">IF($E303="","", XLOOKUP(SUMIFS(Prod_Prop!$A:$A,Prod_Prop!$B:$B,$E303,Prod_Prop!$H:$H,P$1,Prod_Prop!$I:$I,"Exacto"),Prod_Prop!$A:$A,Prod_Prop!$J:$J,"",0,1))</f>
        <v/>
      </c>
      <c r="Q303" s="4" t="str">
        <f t="array" ref="Q303">IF($E303="","", XLOOKUP(SUMIFS(Prod_Prop!$A:$A,Prod_Prop!$B:$B,$E303,Prod_Prop!$H:$H,Q$1,Prod_Prop!$I:$I,"Exacto"),Prod_Prop!$A:$A,Prod_Prop!$J:$J,"",0,1))</f>
        <v/>
      </c>
      <c r="R303" s="4" t="str">
        <f t="array" ref="R303">IF($E303="","", XLOOKUP(SUMIFS(Prod_Prop!$A:$A,Prod_Prop!$B:$B,$E303,Prod_Prop!$H:$H,R$1,Prod_Prop!$I:$I,"Exacto"),Prod_Prop!$A:$A,Prod_Prop!$J:$J,"",0,1))</f>
        <v/>
      </c>
      <c r="S303" s="4" t="str">
        <f t="array" ref="S303">IF($E303="","", XLOOKUP(SUMIFS(Prod_Prop!$A:$A,Prod_Prop!$B:$B,$E303,Prod_Prop!$H:$H,S$1,Prod_Prop!$I:$I,"Exacto"),Prod_Prop!$A:$A,Prod_Prop!$J:$J,"",0,1))</f>
        <v/>
      </c>
      <c r="T303" s="4" t="str">
        <f t="array" ref="T303">IF($E303="","", XLOOKUP(SUMIFS(Prod_Prop!$A:$A,Prod_Prop!$B:$B,$E303,Prod_Prop!$H:$H,T$1,Prod_Prop!$I:$I,"Exacto"),Prod_Prop!$A:$A,Prod_Prop!$J:$J,"",0,1))</f>
        <v/>
      </c>
      <c r="U303" s="4" t="str">
        <f t="array" ref="U303">IF($E303="","", XLOOKUP(SUMIFS(Prod_Prop!$A:$A,Prod_Prop!$B:$B,$E303,Prod_Prop!$H:$H,U$1,Prod_Prop!$I:$I,"Exacto"),Prod_Prop!$A:$A,Prod_Prop!$J:$J,"",0,1))</f>
        <v/>
      </c>
      <c r="V303" s="4" t="str">
        <f t="array" ref="V303">IF($E303="","", XLOOKUP(SUMIFS(Prod_Prop!$A:$A,Prod_Prop!$B:$B,$E303,Prod_Prop!$H:$H,V$1,Prod_Prop!$I:$I,"Exacto"),Prod_Prop!$A:$A,Prod_Prop!$J:$J,"",0,1))</f>
        <v/>
      </c>
      <c r="X303" s="3" t="str">
        <f>IFERROR(__xludf.DUMMYFUNCTION("IF(D303="""","""",IFERROR(TRANSPOSE(FILTER('Validaciones Cotizador'!U:U,'Validaciones Cotizador'!O:O=D303,'Validaciones Cotizador'!T:T=""x"")),""Finalizar""))"),"")</f>
        <v/>
      </c>
    </row>
    <row r="304">
      <c r="A304" s="2" t="str">
        <f t="array" ref="A304">IF(E304="","",XLOOKUP(D304,'Validaciones Cotizador'!C:C,'Validaciones Cotizador'!A:A,"",0,1))</f>
        <v/>
      </c>
      <c r="B304" s="2" t="str">
        <f t="array" ref="B304">IF(F304="","",XLOOKUP(F304,Productos!E:E,Productos!G:G,"",0,1))</f>
        <v/>
      </c>
      <c r="C304" s="2" t="str">
        <f>IF(A304="","",SUMIFS('Validaciones Cotizador'!B:B,'Validaciones Cotizador'!C:C,D304,'Validaciones Cotizador'!A:A,A304))</f>
        <v/>
      </c>
      <c r="D304" s="4" t="str">
        <f>IFERROR(__xludf.DUMMYFUNCTION("IF(OR(F303=""Finalizar"",F303="""",F303=""Selecciona..""),"""",IF(OR(F303=""-"",INDEX(filter(Familias!F:F,Familias!D:D=A303,Familias!E:E=C303),1)=""O""),D303+1,D303))"),"")</f>
        <v/>
      </c>
      <c r="E304" s="2" t="str">
        <f>IF(OR(F304="",F304="Selecciona.."),"",IF(D304="Implemento",SUMIF(Implementos!B:B,F304,Implementos!A:A),SUMIF(Productos!E:E,F304,Productos!A:A)))</f>
        <v/>
      </c>
      <c r="F304" s="2" t="str">
        <f t="shared" si="2"/>
        <v/>
      </c>
      <c r="G304" s="10" t="str">
        <f t="array" ref="G304">IF(OR(F304="",F304="-",F304="Selecciona..",F304="Finalizar"),"",IF(A304="Rodados",XLOOKUP(B304,'Validaciones Cotizador'!I:I,'Validaciones Cotizador'!J:J,0,0,1),1))</f>
        <v/>
      </c>
      <c r="H304" s="11" t="str">
        <f>IF(OR(F304="",F304="Selecciona.."),"",SUMIF(Precio_Productos!K:K,E304,Precio_Productos!J:J)*G304)</f>
        <v/>
      </c>
      <c r="I304" s="4" t="str">
        <f t="array" ref="I304">IF($E304="","", XLOOKUP(SUMIFS(Prod_Prop!$A:$A,Prod_Prop!$B:$B,$E304,Prod_Prop!$H:$H,I$1,Prod_Prop!$I:$I,"Exacto"),Prod_Prop!$A:$A,Prod_Prop!$J:$J,"",0,1))</f>
        <v/>
      </c>
      <c r="J304" s="4" t="str">
        <f t="array" ref="J304">IF($E304="","", XLOOKUP(SUMIFS(Prod_Prop!$A:$A,Prod_Prop!$B:$B,$E304,Prod_Prop!$H:$H,J$1,Prod_Prop!$I:$I,"Exacto"),Prod_Prop!$A:$A,Prod_Prop!$J:$J,"",0,1))</f>
        <v/>
      </c>
      <c r="K304" s="4" t="str">
        <f t="array" ref="K304">IF($E304="","", XLOOKUP(SUMIFS(Prod_Prop!$A:$A,Prod_Prop!$B:$B,$E304,Prod_Prop!$H:$H,K$1,Prod_Prop!$I:$I,"Exacto"),Prod_Prop!$A:$A,Prod_Prop!$J:$J,"",0,1))</f>
        <v/>
      </c>
      <c r="L304" s="4" t="str">
        <f t="array" ref="L304">IF($E304="","", XLOOKUP(SUMIFS(Prod_Prop!$A:$A,Prod_Prop!$B:$B,$E304,Prod_Prop!$H:$H,L$1,Prod_Prop!$I:$I,"Exacto"),Prod_Prop!$A:$A,Prod_Prop!$J:$J,"",0,1))</f>
        <v/>
      </c>
      <c r="M304" s="4" t="str">
        <f t="array" ref="M304">IF($E304="","", XLOOKUP(SUMIFS(Prod_Prop!$A:$A,Prod_Prop!$B:$B,$E304,Prod_Prop!$H:$H,M$1,Prod_Prop!$I:$I,"Exacto"),Prod_Prop!$A:$A,Prod_Prop!$J:$J,"",0,1))</f>
        <v/>
      </c>
      <c r="N304" s="4" t="str">
        <f t="array" ref="N304">IF($E304="","", XLOOKUP(SUMIFS(Prod_Prop!$A:$A,Prod_Prop!$B:$B,$E304,Prod_Prop!$H:$H,N$1,Prod_Prop!$I:$I,"Exacto"),Prod_Prop!$A:$A,Prod_Prop!$J:$J,"",0,1))</f>
        <v/>
      </c>
      <c r="O304" s="4" t="str">
        <f t="array" ref="O304">IF($E304="","", XLOOKUP(SUMIFS(Prod_Prop!$A:$A,Prod_Prop!$B:$B,$E304,Prod_Prop!$H:$H,O$1,Prod_Prop!$I:$I,"Exacto"),Prod_Prop!$A:$A,Prod_Prop!$J:$J,"",0,1))</f>
        <v/>
      </c>
      <c r="P304" s="4" t="str">
        <f t="array" ref="P304">IF($E304="","", XLOOKUP(SUMIFS(Prod_Prop!$A:$A,Prod_Prop!$B:$B,$E304,Prod_Prop!$H:$H,P$1,Prod_Prop!$I:$I,"Exacto"),Prod_Prop!$A:$A,Prod_Prop!$J:$J,"",0,1))</f>
        <v/>
      </c>
      <c r="Q304" s="4" t="str">
        <f t="array" ref="Q304">IF($E304="","", XLOOKUP(SUMIFS(Prod_Prop!$A:$A,Prod_Prop!$B:$B,$E304,Prod_Prop!$H:$H,Q$1,Prod_Prop!$I:$I,"Exacto"),Prod_Prop!$A:$A,Prod_Prop!$J:$J,"",0,1))</f>
        <v/>
      </c>
      <c r="R304" s="4" t="str">
        <f t="array" ref="R304">IF($E304="","", XLOOKUP(SUMIFS(Prod_Prop!$A:$A,Prod_Prop!$B:$B,$E304,Prod_Prop!$H:$H,R$1,Prod_Prop!$I:$I,"Exacto"),Prod_Prop!$A:$A,Prod_Prop!$J:$J,"",0,1))</f>
        <v/>
      </c>
      <c r="S304" s="4" t="str">
        <f t="array" ref="S304">IF($E304="","", XLOOKUP(SUMIFS(Prod_Prop!$A:$A,Prod_Prop!$B:$B,$E304,Prod_Prop!$H:$H,S$1,Prod_Prop!$I:$I,"Exacto"),Prod_Prop!$A:$A,Prod_Prop!$J:$J,"",0,1))</f>
        <v/>
      </c>
      <c r="T304" s="4" t="str">
        <f t="array" ref="T304">IF($E304="","", XLOOKUP(SUMIFS(Prod_Prop!$A:$A,Prod_Prop!$B:$B,$E304,Prod_Prop!$H:$H,T$1,Prod_Prop!$I:$I,"Exacto"),Prod_Prop!$A:$A,Prod_Prop!$J:$J,"",0,1))</f>
        <v/>
      </c>
      <c r="U304" s="4" t="str">
        <f t="array" ref="U304">IF($E304="","", XLOOKUP(SUMIFS(Prod_Prop!$A:$A,Prod_Prop!$B:$B,$E304,Prod_Prop!$H:$H,U$1,Prod_Prop!$I:$I,"Exacto"),Prod_Prop!$A:$A,Prod_Prop!$J:$J,"",0,1))</f>
        <v/>
      </c>
      <c r="V304" s="4" t="str">
        <f t="array" ref="V304">IF($E304="","", XLOOKUP(SUMIFS(Prod_Prop!$A:$A,Prod_Prop!$B:$B,$E304,Prod_Prop!$H:$H,V$1,Prod_Prop!$I:$I,"Exacto"),Prod_Prop!$A:$A,Prod_Prop!$J:$J,"",0,1))</f>
        <v/>
      </c>
      <c r="X304" s="3" t="str">
        <f>IFERROR(__xludf.DUMMYFUNCTION("IF(D304="""","""",IFERROR(TRANSPOSE(FILTER('Validaciones Cotizador'!U:U,'Validaciones Cotizador'!O:O=D304,'Validaciones Cotizador'!T:T=""x"")),""Finalizar""))"),"")</f>
        <v/>
      </c>
    </row>
    <row r="305">
      <c r="A305" s="2" t="str">
        <f t="array" ref="A305">IF(E305="","",XLOOKUP(D305,'Validaciones Cotizador'!C:C,'Validaciones Cotizador'!A:A,"",0,1))</f>
        <v/>
      </c>
      <c r="B305" s="2" t="str">
        <f t="array" ref="B305">IF(F305="","",XLOOKUP(F305,Productos!E:E,Productos!G:G,"",0,1))</f>
        <v/>
      </c>
      <c r="C305" s="2" t="str">
        <f>IF(A305="","",SUMIFS('Validaciones Cotizador'!B:B,'Validaciones Cotizador'!C:C,D305,'Validaciones Cotizador'!A:A,A305))</f>
        <v/>
      </c>
      <c r="D305" s="4" t="str">
        <f>IFERROR(__xludf.DUMMYFUNCTION("IF(OR(F304=""Finalizar"",F304="""",F304=""Selecciona..""),"""",IF(OR(F304=""-"",INDEX(filter(Familias!F:F,Familias!D:D=A304,Familias!E:E=C304),1)=""O""),D304+1,D304))"),"")</f>
        <v/>
      </c>
      <c r="E305" s="2" t="str">
        <f>IF(OR(F305="",F305="Selecciona.."),"",IF(D305="Implemento",SUMIF(Implementos!B:B,F305,Implementos!A:A),SUMIF(Productos!E:E,F305,Productos!A:A)))</f>
        <v/>
      </c>
      <c r="F305" s="2" t="str">
        <f t="shared" si="2"/>
        <v/>
      </c>
      <c r="G305" s="10" t="str">
        <f t="array" ref="G305">IF(OR(F305="",F305="-",F305="Selecciona..",F305="Finalizar"),"",IF(A305="Rodados",XLOOKUP(B305,'Validaciones Cotizador'!I:I,'Validaciones Cotizador'!J:J,0,0,1),1))</f>
        <v/>
      </c>
      <c r="H305" s="11" t="str">
        <f>IF(OR(F305="",F305="Selecciona.."),"",SUMIF(Precio_Productos!K:K,E305,Precio_Productos!J:J)*G305)</f>
        <v/>
      </c>
      <c r="I305" s="4" t="str">
        <f t="array" ref="I305">IF($E305="","", XLOOKUP(SUMIFS(Prod_Prop!$A:$A,Prod_Prop!$B:$B,$E305,Prod_Prop!$H:$H,I$1,Prod_Prop!$I:$I,"Exacto"),Prod_Prop!$A:$A,Prod_Prop!$J:$J,"",0,1))</f>
        <v/>
      </c>
      <c r="J305" s="4" t="str">
        <f t="array" ref="J305">IF($E305="","", XLOOKUP(SUMIFS(Prod_Prop!$A:$A,Prod_Prop!$B:$B,$E305,Prod_Prop!$H:$H,J$1,Prod_Prop!$I:$I,"Exacto"),Prod_Prop!$A:$A,Prod_Prop!$J:$J,"",0,1))</f>
        <v/>
      </c>
      <c r="K305" s="4" t="str">
        <f t="array" ref="K305">IF($E305="","", XLOOKUP(SUMIFS(Prod_Prop!$A:$A,Prod_Prop!$B:$B,$E305,Prod_Prop!$H:$H,K$1,Prod_Prop!$I:$I,"Exacto"),Prod_Prop!$A:$A,Prod_Prop!$J:$J,"",0,1))</f>
        <v/>
      </c>
      <c r="L305" s="4" t="str">
        <f t="array" ref="L305">IF($E305="","", XLOOKUP(SUMIFS(Prod_Prop!$A:$A,Prod_Prop!$B:$B,$E305,Prod_Prop!$H:$H,L$1,Prod_Prop!$I:$I,"Exacto"),Prod_Prop!$A:$A,Prod_Prop!$J:$J,"",0,1))</f>
        <v/>
      </c>
      <c r="M305" s="4" t="str">
        <f t="array" ref="M305">IF($E305="","", XLOOKUP(SUMIFS(Prod_Prop!$A:$A,Prod_Prop!$B:$B,$E305,Prod_Prop!$H:$H,M$1,Prod_Prop!$I:$I,"Exacto"),Prod_Prop!$A:$A,Prod_Prop!$J:$J,"",0,1))</f>
        <v/>
      </c>
      <c r="N305" s="4" t="str">
        <f t="array" ref="N305">IF($E305="","", XLOOKUP(SUMIFS(Prod_Prop!$A:$A,Prod_Prop!$B:$B,$E305,Prod_Prop!$H:$H,N$1,Prod_Prop!$I:$I,"Exacto"),Prod_Prop!$A:$A,Prod_Prop!$J:$J,"",0,1))</f>
        <v/>
      </c>
      <c r="O305" s="4" t="str">
        <f t="array" ref="O305">IF($E305="","", XLOOKUP(SUMIFS(Prod_Prop!$A:$A,Prod_Prop!$B:$B,$E305,Prod_Prop!$H:$H,O$1,Prod_Prop!$I:$I,"Exacto"),Prod_Prop!$A:$A,Prod_Prop!$J:$J,"",0,1))</f>
        <v/>
      </c>
      <c r="P305" s="4" t="str">
        <f t="array" ref="P305">IF($E305="","", XLOOKUP(SUMIFS(Prod_Prop!$A:$A,Prod_Prop!$B:$B,$E305,Prod_Prop!$H:$H,P$1,Prod_Prop!$I:$I,"Exacto"),Prod_Prop!$A:$A,Prod_Prop!$J:$J,"",0,1))</f>
        <v/>
      </c>
      <c r="Q305" s="4" t="str">
        <f t="array" ref="Q305">IF($E305="","", XLOOKUP(SUMIFS(Prod_Prop!$A:$A,Prod_Prop!$B:$B,$E305,Prod_Prop!$H:$H,Q$1,Prod_Prop!$I:$I,"Exacto"),Prod_Prop!$A:$A,Prod_Prop!$J:$J,"",0,1))</f>
        <v/>
      </c>
      <c r="R305" s="4" t="str">
        <f t="array" ref="R305">IF($E305="","", XLOOKUP(SUMIFS(Prod_Prop!$A:$A,Prod_Prop!$B:$B,$E305,Prod_Prop!$H:$H,R$1,Prod_Prop!$I:$I,"Exacto"),Prod_Prop!$A:$A,Prod_Prop!$J:$J,"",0,1))</f>
        <v/>
      </c>
      <c r="S305" s="4" t="str">
        <f t="array" ref="S305">IF($E305="","", XLOOKUP(SUMIFS(Prod_Prop!$A:$A,Prod_Prop!$B:$B,$E305,Prod_Prop!$H:$H,S$1,Prod_Prop!$I:$I,"Exacto"),Prod_Prop!$A:$A,Prod_Prop!$J:$J,"",0,1))</f>
        <v/>
      </c>
      <c r="T305" s="4" t="str">
        <f t="array" ref="T305">IF($E305="","", XLOOKUP(SUMIFS(Prod_Prop!$A:$A,Prod_Prop!$B:$B,$E305,Prod_Prop!$H:$H,T$1,Prod_Prop!$I:$I,"Exacto"),Prod_Prop!$A:$A,Prod_Prop!$J:$J,"",0,1))</f>
        <v/>
      </c>
      <c r="U305" s="4" t="str">
        <f t="array" ref="U305">IF($E305="","", XLOOKUP(SUMIFS(Prod_Prop!$A:$A,Prod_Prop!$B:$B,$E305,Prod_Prop!$H:$H,U$1,Prod_Prop!$I:$I,"Exacto"),Prod_Prop!$A:$A,Prod_Prop!$J:$J,"",0,1))</f>
        <v/>
      </c>
      <c r="V305" s="4" t="str">
        <f t="array" ref="V305">IF($E305="","", XLOOKUP(SUMIFS(Prod_Prop!$A:$A,Prod_Prop!$B:$B,$E305,Prod_Prop!$H:$H,V$1,Prod_Prop!$I:$I,"Exacto"),Prod_Prop!$A:$A,Prod_Prop!$J:$J,"",0,1))</f>
        <v/>
      </c>
      <c r="X305" s="3" t="str">
        <f>IFERROR(__xludf.DUMMYFUNCTION("IF(D305="""","""",IFERROR(TRANSPOSE(FILTER('Validaciones Cotizador'!U:U,'Validaciones Cotizador'!O:O=D305,'Validaciones Cotizador'!T:T=""x"")),""Finalizar""))"),"")</f>
        <v/>
      </c>
    </row>
    <row r="306">
      <c r="A306" s="2" t="str">
        <f t="array" ref="A306">IF(E306="","",XLOOKUP(D306,'Validaciones Cotizador'!C:C,'Validaciones Cotizador'!A:A,"",0,1))</f>
        <v/>
      </c>
      <c r="B306" s="2" t="str">
        <f t="array" ref="B306">IF(F306="","",XLOOKUP(F306,Productos!E:E,Productos!G:G,"",0,1))</f>
        <v/>
      </c>
      <c r="C306" s="2" t="str">
        <f>IF(A306="","",SUMIFS('Validaciones Cotizador'!B:B,'Validaciones Cotizador'!C:C,D306,'Validaciones Cotizador'!A:A,A306))</f>
        <v/>
      </c>
      <c r="D306" s="4" t="str">
        <f>IFERROR(__xludf.DUMMYFUNCTION("IF(OR(F305=""Finalizar"",F305="""",F305=""Selecciona..""),"""",IF(OR(F305=""-"",INDEX(filter(Familias!F:F,Familias!D:D=A305,Familias!E:E=C305),1)=""O""),D305+1,D305))"),"")</f>
        <v/>
      </c>
      <c r="E306" s="2" t="str">
        <f>IF(OR(F306="",F306="Selecciona.."),"",IF(D306="Implemento",SUMIF(Implementos!B:B,F306,Implementos!A:A),SUMIF(Productos!E:E,F306,Productos!A:A)))</f>
        <v/>
      </c>
      <c r="F306" s="2" t="str">
        <f t="shared" si="2"/>
        <v/>
      </c>
      <c r="G306" s="10" t="str">
        <f t="array" ref="G306">IF(OR(F306="",F306="-",F306="Selecciona..",F306="Finalizar"),"",IF(A306="Rodados",XLOOKUP(B306,'Validaciones Cotizador'!I:I,'Validaciones Cotizador'!J:J,0,0,1),1))</f>
        <v/>
      </c>
      <c r="H306" s="11" t="str">
        <f>IF(OR(F306="",F306="Selecciona.."),"",SUMIF(Precio_Productos!K:K,E306,Precio_Productos!J:J)*G306)</f>
        <v/>
      </c>
      <c r="I306" s="4" t="str">
        <f t="array" ref="I306">IF($E306="","", XLOOKUP(SUMIFS(Prod_Prop!$A:$A,Prod_Prop!$B:$B,$E306,Prod_Prop!$H:$H,I$1,Prod_Prop!$I:$I,"Exacto"),Prod_Prop!$A:$A,Prod_Prop!$J:$J,"",0,1))</f>
        <v/>
      </c>
      <c r="J306" s="4" t="str">
        <f t="array" ref="J306">IF($E306="","", XLOOKUP(SUMIFS(Prod_Prop!$A:$A,Prod_Prop!$B:$B,$E306,Prod_Prop!$H:$H,J$1,Prod_Prop!$I:$I,"Exacto"),Prod_Prop!$A:$A,Prod_Prop!$J:$J,"",0,1))</f>
        <v/>
      </c>
      <c r="K306" s="4" t="str">
        <f t="array" ref="K306">IF($E306="","", XLOOKUP(SUMIFS(Prod_Prop!$A:$A,Prod_Prop!$B:$B,$E306,Prod_Prop!$H:$H,K$1,Prod_Prop!$I:$I,"Exacto"),Prod_Prop!$A:$A,Prod_Prop!$J:$J,"",0,1))</f>
        <v/>
      </c>
      <c r="L306" s="4" t="str">
        <f t="array" ref="L306">IF($E306="","", XLOOKUP(SUMIFS(Prod_Prop!$A:$A,Prod_Prop!$B:$B,$E306,Prod_Prop!$H:$H,L$1,Prod_Prop!$I:$I,"Exacto"),Prod_Prop!$A:$A,Prod_Prop!$J:$J,"",0,1))</f>
        <v/>
      </c>
      <c r="M306" s="4" t="str">
        <f t="array" ref="M306">IF($E306="","", XLOOKUP(SUMIFS(Prod_Prop!$A:$A,Prod_Prop!$B:$B,$E306,Prod_Prop!$H:$H,M$1,Prod_Prop!$I:$I,"Exacto"),Prod_Prop!$A:$A,Prod_Prop!$J:$J,"",0,1))</f>
        <v/>
      </c>
      <c r="N306" s="4" t="str">
        <f t="array" ref="N306">IF($E306="","", XLOOKUP(SUMIFS(Prod_Prop!$A:$A,Prod_Prop!$B:$B,$E306,Prod_Prop!$H:$H,N$1,Prod_Prop!$I:$I,"Exacto"),Prod_Prop!$A:$A,Prod_Prop!$J:$J,"",0,1))</f>
        <v/>
      </c>
      <c r="O306" s="4" t="str">
        <f t="array" ref="O306">IF($E306="","", XLOOKUP(SUMIFS(Prod_Prop!$A:$A,Prod_Prop!$B:$B,$E306,Prod_Prop!$H:$H,O$1,Prod_Prop!$I:$I,"Exacto"),Prod_Prop!$A:$A,Prod_Prop!$J:$J,"",0,1))</f>
        <v/>
      </c>
      <c r="P306" s="4" t="str">
        <f t="array" ref="P306">IF($E306="","", XLOOKUP(SUMIFS(Prod_Prop!$A:$A,Prod_Prop!$B:$B,$E306,Prod_Prop!$H:$H,P$1,Prod_Prop!$I:$I,"Exacto"),Prod_Prop!$A:$A,Prod_Prop!$J:$J,"",0,1))</f>
        <v/>
      </c>
      <c r="Q306" s="4" t="str">
        <f t="array" ref="Q306">IF($E306="","", XLOOKUP(SUMIFS(Prod_Prop!$A:$A,Prod_Prop!$B:$B,$E306,Prod_Prop!$H:$H,Q$1,Prod_Prop!$I:$I,"Exacto"),Prod_Prop!$A:$A,Prod_Prop!$J:$J,"",0,1))</f>
        <v/>
      </c>
      <c r="R306" s="4" t="str">
        <f t="array" ref="R306">IF($E306="","", XLOOKUP(SUMIFS(Prod_Prop!$A:$A,Prod_Prop!$B:$B,$E306,Prod_Prop!$H:$H,R$1,Prod_Prop!$I:$I,"Exacto"),Prod_Prop!$A:$A,Prod_Prop!$J:$J,"",0,1))</f>
        <v/>
      </c>
      <c r="S306" s="4" t="str">
        <f t="array" ref="S306">IF($E306="","", XLOOKUP(SUMIFS(Prod_Prop!$A:$A,Prod_Prop!$B:$B,$E306,Prod_Prop!$H:$H,S$1,Prod_Prop!$I:$I,"Exacto"),Prod_Prop!$A:$A,Prod_Prop!$J:$J,"",0,1))</f>
        <v/>
      </c>
      <c r="T306" s="4" t="str">
        <f t="array" ref="T306">IF($E306="","", XLOOKUP(SUMIFS(Prod_Prop!$A:$A,Prod_Prop!$B:$B,$E306,Prod_Prop!$H:$H,T$1,Prod_Prop!$I:$I,"Exacto"),Prod_Prop!$A:$A,Prod_Prop!$J:$J,"",0,1))</f>
        <v/>
      </c>
      <c r="U306" s="4" t="str">
        <f t="array" ref="U306">IF($E306="","", XLOOKUP(SUMIFS(Prod_Prop!$A:$A,Prod_Prop!$B:$B,$E306,Prod_Prop!$H:$H,U$1,Prod_Prop!$I:$I,"Exacto"),Prod_Prop!$A:$A,Prod_Prop!$J:$J,"",0,1))</f>
        <v/>
      </c>
      <c r="V306" s="4" t="str">
        <f t="array" ref="V306">IF($E306="","", XLOOKUP(SUMIFS(Prod_Prop!$A:$A,Prod_Prop!$B:$B,$E306,Prod_Prop!$H:$H,V$1,Prod_Prop!$I:$I,"Exacto"),Prod_Prop!$A:$A,Prod_Prop!$J:$J,"",0,1))</f>
        <v/>
      </c>
      <c r="X306" s="3" t="str">
        <f>IFERROR(__xludf.DUMMYFUNCTION("IF(D306="""","""",IFERROR(TRANSPOSE(FILTER('Validaciones Cotizador'!U:U,'Validaciones Cotizador'!O:O=D306,'Validaciones Cotizador'!T:T=""x"")),""Finalizar""))"),"")</f>
        <v/>
      </c>
    </row>
    <row r="307">
      <c r="A307" s="2" t="str">
        <f t="array" ref="A307">IF(E307="","",XLOOKUP(D307,'Validaciones Cotizador'!C:C,'Validaciones Cotizador'!A:A,"",0,1))</f>
        <v/>
      </c>
      <c r="B307" s="2" t="str">
        <f t="array" ref="B307">IF(F307="","",XLOOKUP(F307,Productos!E:E,Productos!G:G,"",0,1))</f>
        <v/>
      </c>
      <c r="C307" s="2" t="str">
        <f>IF(A307="","",SUMIFS('Validaciones Cotizador'!B:B,'Validaciones Cotizador'!C:C,D307,'Validaciones Cotizador'!A:A,A307))</f>
        <v/>
      </c>
      <c r="D307" s="4" t="str">
        <f>IFERROR(__xludf.DUMMYFUNCTION("IF(OR(F306=""Finalizar"",F306="""",F306=""Selecciona..""),"""",IF(OR(F306=""-"",INDEX(filter(Familias!F:F,Familias!D:D=A306,Familias!E:E=C306),1)=""O""),D306+1,D306))"),"")</f>
        <v/>
      </c>
      <c r="E307" s="2" t="str">
        <f>IF(OR(F307="",F307="Selecciona.."),"",IF(D307="Implemento",SUMIF(Implementos!B:B,F307,Implementos!A:A),SUMIF(Productos!E:E,F307,Productos!A:A)))</f>
        <v/>
      </c>
      <c r="F307" s="2" t="str">
        <f t="shared" si="2"/>
        <v/>
      </c>
      <c r="G307" s="10" t="str">
        <f t="array" ref="G307">IF(OR(F307="",F307="-",F307="Selecciona..",F307="Finalizar"),"",IF(A307="Rodados",XLOOKUP(B307,'Validaciones Cotizador'!I:I,'Validaciones Cotizador'!J:J,0,0,1),1))</f>
        <v/>
      </c>
      <c r="H307" s="11" t="str">
        <f>IF(OR(F307="",F307="Selecciona.."),"",SUMIF(Precio_Productos!K:K,E307,Precio_Productos!J:J)*G307)</f>
        <v/>
      </c>
      <c r="I307" s="4" t="str">
        <f t="array" ref="I307">IF($E307="","", XLOOKUP(SUMIFS(Prod_Prop!$A:$A,Prod_Prop!$B:$B,$E307,Prod_Prop!$H:$H,I$1,Prod_Prop!$I:$I,"Exacto"),Prod_Prop!$A:$A,Prod_Prop!$J:$J,"",0,1))</f>
        <v/>
      </c>
      <c r="J307" s="4" t="str">
        <f t="array" ref="J307">IF($E307="","", XLOOKUP(SUMIFS(Prod_Prop!$A:$A,Prod_Prop!$B:$B,$E307,Prod_Prop!$H:$H,J$1,Prod_Prop!$I:$I,"Exacto"),Prod_Prop!$A:$A,Prod_Prop!$J:$J,"",0,1))</f>
        <v/>
      </c>
      <c r="K307" s="4" t="str">
        <f t="array" ref="K307">IF($E307="","", XLOOKUP(SUMIFS(Prod_Prop!$A:$A,Prod_Prop!$B:$B,$E307,Prod_Prop!$H:$H,K$1,Prod_Prop!$I:$I,"Exacto"),Prod_Prop!$A:$A,Prod_Prop!$J:$J,"",0,1))</f>
        <v/>
      </c>
      <c r="L307" s="4" t="str">
        <f t="array" ref="L307">IF($E307="","", XLOOKUP(SUMIFS(Prod_Prop!$A:$A,Prod_Prop!$B:$B,$E307,Prod_Prop!$H:$H,L$1,Prod_Prop!$I:$I,"Exacto"),Prod_Prop!$A:$A,Prod_Prop!$J:$J,"",0,1))</f>
        <v/>
      </c>
      <c r="M307" s="4" t="str">
        <f t="array" ref="M307">IF($E307="","", XLOOKUP(SUMIFS(Prod_Prop!$A:$A,Prod_Prop!$B:$B,$E307,Prod_Prop!$H:$H,M$1,Prod_Prop!$I:$I,"Exacto"),Prod_Prop!$A:$A,Prod_Prop!$J:$J,"",0,1))</f>
        <v/>
      </c>
      <c r="N307" s="4" t="str">
        <f t="array" ref="N307">IF($E307="","", XLOOKUP(SUMIFS(Prod_Prop!$A:$A,Prod_Prop!$B:$B,$E307,Prod_Prop!$H:$H,N$1,Prod_Prop!$I:$I,"Exacto"),Prod_Prop!$A:$A,Prod_Prop!$J:$J,"",0,1))</f>
        <v/>
      </c>
      <c r="O307" s="4" t="str">
        <f t="array" ref="O307">IF($E307="","", XLOOKUP(SUMIFS(Prod_Prop!$A:$A,Prod_Prop!$B:$B,$E307,Prod_Prop!$H:$H,O$1,Prod_Prop!$I:$I,"Exacto"),Prod_Prop!$A:$A,Prod_Prop!$J:$J,"",0,1))</f>
        <v/>
      </c>
      <c r="P307" s="4" t="str">
        <f t="array" ref="P307">IF($E307="","", XLOOKUP(SUMIFS(Prod_Prop!$A:$A,Prod_Prop!$B:$B,$E307,Prod_Prop!$H:$H,P$1,Prod_Prop!$I:$I,"Exacto"),Prod_Prop!$A:$A,Prod_Prop!$J:$J,"",0,1))</f>
        <v/>
      </c>
      <c r="Q307" s="4" t="str">
        <f t="array" ref="Q307">IF($E307="","", XLOOKUP(SUMIFS(Prod_Prop!$A:$A,Prod_Prop!$B:$B,$E307,Prod_Prop!$H:$H,Q$1,Prod_Prop!$I:$I,"Exacto"),Prod_Prop!$A:$A,Prod_Prop!$J:$J,"",0,1))</f>
        <v/>
      </c>
      <c r="R307" s="4" t="str">
        <f t="array" ref="R307">IF($E307="","", XLOOKUP(SUMIFS(Prod_Prop!$A:$A,Prod_Prop!$B:$B,$E307,Prod_Prop!$H:$H,R$1,Prod_Prop!$I:$I,"Exacto"),Prod_Prop!$A:$A,Prod_Prop!$J:$J,"",0,1))</f>
        <v/>
      </c>
      <c r="S307" s="4" t="str">
        <f t="array" ref="S307">IF($E307="","", XLOOKUP(SUMIFS(Prod_Prop!$A:$A,Prod_Prop!$B:$B,$E307,Prod_Prop!$H:$H,S$1,Prod_Prop!$I:$I,"Exacto"),Prod_Prop!$A:$A,Prod_Prop!$J:$J,"",0,1))</f>
        <v/>
      </c>
      <c r="T307" s="4" t="str">
        <f t="array" ref="T307">IF($E307="","", XLOOKUP(SUMIFS(Prod_Prop!$A:$A,Prod_Prop!$B:$B,$E307,Prod_Prop!$H:$H,T$1,Prod_Prop!$I:$I,"Exacto"),Prod_Prop!$A:$A,Prod_Prop!$J:$J,"",0,1))</f>
        <v/>
      </c>
      <c r="U307" s="4" t="str">
        <f t="array" ref="U307">IF($E307="","", XLOOKUP(SUMIFS(Prod_Prop!$A:$A,Prod_Prop!$B:$B,$E307,Prod_Prop!$H:$H,U$1,Prod_Prop!$I:$I,"Exacto"),Prod_Prop!$A:$A,Prod_Prop!$J:$J,"",0,1))</f>
        <v/>
      </c>
      <c r="V307" s="4" t="str">
        <f t="array" ref="V307">IF($E307="","", XLOOKUP(SUMIFS(Prod_Prop!$A:$A,Prod_Prop!$B:$B,$E307,Prod_Prop!$H:$H,V$1,Prod_Prop!$I:$I,"Exacto"),Prod_Prop!$A:$A,Prod_Prop!$J:$J,"",0,1))</f>
        <v/>
      </c>
      <c r="X307" s="3" t="str">
        <f>IFERROR(__xludf.DUMMYFUNCTION("IF(D307="""","""",IFERROR(TRANSPOSE(FILTER('Validaciones Cotizador'!U:U,'Validaciones Cotizador'!O:O=D307,'Validaciones Cotizador'!T:T=""x"")),""Finalizar""))"),"")</f>
        <v/>
      </c>
    </row>
    <row r="308">
      <c r="A308" s="2" t="str">
        <f t="array" ref="A308">IF(E308="","",XLOOKUP(D308,'Validaciones Cotizador'!C:C,'Validaciones Cotizador'!A:A,"",0,1))</f>
        <v/>
      </c>
      <c r="B308" s="2" t="str">
        <f t="array" ref="B308">IF(F308="","",XLOOKUP(F308,Productos!E:E,Productos!G:G,"",0,1))</f>
        <v/>
      </c>
      <c r="C308" s="2" t="str">
        <f>IF(A308="","",SUMIFS('Validaciones Cotizador'!B:B,'Validaciones Cotizador'!C:C,D308,'Validaciones Cotizador'!A:A,A308))</f>
        <v/>
      </c>
      <c r="D308" s="4" t="str">
        <f>IFERROR(__xludf.DUMMYFUNCTION("IF(OR(F307=""Finalizar"",F307="""",F307=""Selecciona..""),"""",IF(OR(F307=""-"",INDEX(filter(Familias!F:F,Familias!D:D=A307,Familias!E:E=C307),1)=""O""),D307+1,D307))"),"")</f>
        <v/>
      </c>
      <c r="E308" s="2" t="str">
        <f>IF(OR(F308="",F308="Selecciona.."),"",IF(D308="Implemento",SUMIF(Implementos!B:B,F308,Implementos!A:A),SUMIF(Productos!E:E,F308,Productos!A:A)))</f>
        <v/>
      </c>
      <c r="F308" s="2" t="str">
        <f t="shared" si="2"/>
        <v/>
      </c>
      <c r="G308" s="10" t="str">
        <f t="array" ref="G308">IF(OR(F308="",F308="-",F308="Selecciona..",F308="Finalizar"),"",IF(A308="Rodados",XLOOKUP(B308,'Validaciones Cotizador'!I:I,'Validaciones Cotizador'!J:J,0,0,1),1))</f>
        <v/>
      </c>
      <c r="H308" s="11" t="str">
        <f>IF(OR(F308="",F308="Selecciona.."),"",SUMIF(Precio_Productos!K:K,E308,Precio_Productos!J:J)*G308)</f>
        <v/>
      </c>
      <c r="I308" s="4" t="str">
        <f t="array" ref="I308">IF($E308="","", XLOOKUP(SUMIFS(Prod_Prop!$A:$A,Prod_Prop!$B:$B,$E308,Prod_Prop!$H:$H,I$1,Prod_Prop!$I:$I,"Exacto"),Prod_Prop!$A:$A,Prod_Prop!$J:$J,"",0,1))</f>
        <v/>
      </c>
      <c r="J308" s="4" t="str">
        <f t="array" ref="J308">IF($E308="","", XLOOKUP(SUMIFS(Prod_Prop!$A:$A,Prod_Prop!$B:$B,$E308,Prod_Prop!$H:$H,J$1,Prod_Prop!$I:$I,"Exacto"),Prod_Prop!$A:$A,Prod_Prop!$J:$J,"",0,1))</f>
        <v/>
      </c>
      <c r="K308" s="4" t="str">
        <f t="array" ref="K308">IF($E308="","", XLOOKUP(SUMIFS(Prod_Prop!$A:$A,Prod_Prop!$B:$B,$E308,Prod_Prop!$H:$H,K$1,Prod_Prop!$I:$I,"Exacto"),Prod_Prop!$A:$A,Prod_Prop!$J:$J,"",0,1))</f>
        <v/>
      </c>
      <c r="L308" s="4" t="str">
        <f t="array" ref="L308">IF($E308="","", XLOOKUP(SUMIFS(Prod_Prop!$A:$A,Prod_Prop!$B:$B,$E308,Prod_Prop!$H:$H,L$1,Prod_Prop!$I:$I,"Exacto"),Prod_Prop!$A:$A,Prod_Prop!$J:$J,"",0,1))</f>
        <v/>
      </c>
      <c r="M308" s="4" t="str">
        <f t="array" ref="M308">IF($E308="","", XLOOKUP(SUMIFS(Prod_Prop!$A:$A,Prod_Prop!$B:$B,$E308,Prod_Prop!$H:$H,M$1,Prod_Prop!$I:$I,"Exacto"),Prod_Prop!$A:$A,Prod_Prop!$J:$J,"",0,1))</f>
        <v/>
      </c>
      <c r="N308" s="4" t="str">
        <f t="array" ref="N308">IF($E308="","", XLOOKUP(SUMIFS(Prod_Prop!$A:$A,Prod_Prop!$B:$B,$E308,Prod_Prop!$H:$H,N$1,Prod_Prop!$I:$I,"Exacto"),Prod_Prop!$A:$A,Prod_Prop!$J:$J,"",0,1))</f>
        <v/>
      </c>
      <c r="O308" s="4" t="str">
        <f t="array" ref="O308">IF($E308="","", XLOOKUP(SUMIFS(Prod_Prop!$A:$A,Prod_Prop!$B:$B,$E308,Prod_Prop!$H:$H,O$1,Prod_Prop!$I:$I,"Exacto"),Prod_Prop!$A:$A,Prod_Prop!$J:$J,"",0,1))</f>
        <v/>
      </c>
      <c r="P308" s="4" t="str">
        <f t="array" ref="P308">IF($E308="","", XLOOKUP(SUMIFS(Prod_Prop!$A:$A,Prod_Prop!$B:$B,$E308,Prod_Prop!$H:$H,P$1,Prod_Prop!$I:$I,"Exacto"),Prod_Prop!$A:$A,Prod_Prop!$J:$J,"",0,1))</f>
        <v/>
      </c>
      <c r="Q308" s="4" t="str">
        <f t="array" ref="Q308">IF($E308="","", XLOOKUP(SUMIFS(Prod_Prop!$A:$A,Prod_Prop!$B:$B,$E308,Prod_Prop!$H:$H,Q$1,Prod_Prop!$I:$I,"Exacto"),Prod_Prop!$A:$A,Prod_Prop!$J:$J,"",0,1))</f>
        <v/>
      </c>
      <c r="R308" s="4" t="str">
        <f t="array" ref="R308">IF($E308="","", XLOOKUP(SUMIFS(Prod_Prop!$A:$A,Prod_Prop!$B:$B,$E308,Prod_Prop!$H:$H,R$1,Prod_Prop!$I:$I,"Exacto"),Prod_Prop!$A:$A,Prod_Prop!$J:$J,"",0,1))</f>
        <v/>
      </c>
      <c r="S308" s="4" t="str">
        <f t="array" ref="S308">IF($E308="","", XLOOKUP(SUMIFS(Prod_Prop!$A:$A,Prod_Prop!$B:$B,$E308,Prod_Prop!$H:$H,S$1,Prod_Prop!$I:$I,"Exacto"),Prod_Prop!$A:$A,Prod_Prop!$J:$J,"",0,1))</f>
        <v/>
      </c>
      <c r="T308" s="4" t="str">
        <f t="array" ref="T308">IF($E308="","", XLOOKUP(SUMIFS(Prod_Prop!$A:$A,Prod_Prop!$B:$B,$E308,Prod_Prop!$H:$H,T$1,Prod_Prop!$I:$I,"Exacto"),Prod_Prop!$A:$A,Prod_Prop!$J:$J,"",0,1))</f>
        <v/>
      </c>
      <c r="U308" s="4" t="str">
        <f t="array" ref="U308">IF($E308="","", XLOOKUP(SUMIFS(Prod_Prop!$A:$A,Prod_Prop!$B:$B,$E308,Prod_Prop!$H:$H,U$1,Prod_Prop!$I:$I,"Exacto"),Prod_Prop!$A:$A,Prod_Prop!$J:$J,"",0,1))</f>
        <v/>
      </c>
      <c r="V308" s="4" t="str">
        <f t="array" ref="V308">IF($E308="","", XLOOKUP(SUMIFS(Prod_Prop!$A:$A,Prod_Prop!$B:$B,$E308,Prod_Prop!$H:$H,V$1,Prod_Prop!$I:$I,"Exacto"),Prod_Prop!$A:$A,Prod_Prop!$J:$J,"",0,1))</f>
        <v/>
      </c>
      <c r="X308" s="3" t="str">
        <f>IFERROR(__xludf.DUMMYFUNCTION("IF(D308="""","""",IFERROR(TRANSPOSE(FILTER('Validaciones Cotizador'!U:U,'Validaciones Cotizador'!O:O=D308,'Validaciones Cotizador'!T:T=""x"")),""Finalizar""))"),"")</f>
        <v/>
      </c>
    </row>
    <row r="309">
      <c r="A309" s="2" t="str">
        <f t="array" ref="A309">IF(E309="","",XLOOKUP(D309,'Validaciones Cotizador'!C:C,'Validaciones Cotizador'!A:A,"",0,1))</f>
        <v/>
      </c>
      <c r="B309" s="2" t="str">
        <f t="array" ref="B309">IF(F309="","",XLOOKUP(F309,Productos!E:E,Productos!G:G,"",0,1))</f>
        <v/>
      </c>
      <c r="C309" s="2" t="str">
        <f>IF(A309="","",SUMIFS('Validaciones Cotizador'!B:B,'Validaciones Cotizador'!C:C,D309,'Validaciones Cotizador'!A:A,A309))</f>
        <v/>
      </c>
      <c r="D309" s="4" t="str">
        <f>IFERROR(__xludf.DUMMYFUNCTION("IF(OR(F308=""Finalizar"",F308="""",F308=""Selecciona..""),"""",IF(OR(F308=""-"",INDEX(filter(Familias!F:F,Familias!D:D=A308,Familias!E:E=C308),1)=""O""),D308+1,D308))"),"")</f>
        <v/>
      </c>
      <c r="E309" s="2" t="str">
        <f>IF(OR(F309="",F309="Selecciona.."),"",IF(D309="Implemento",SUMIF(Implementos!B:B,F309,Implementos!A:A),SUMIF(Productos!E:E,F309,Productos!A:A)))</f>
        <v/>
      </c>
      <c r="F309" s="2" t="str">
        <f t="shared" si="2"/>
        <v/>
      </c>
      <c r="G309" s="10" t="str">
        <f t="array" ref="G309">IF(OR(F309="",F309="-",F309="Selecciona..",F309="Finalizar"),"",IF(A309="Rodados",XLOOKUP(B309,'Validaciones Cotizador'!I:I,'Validaciones Cotizador'!J:J,0,0,1),1))</f>
        <v/>
      </c>
      <c r="H309" s="11" t="str">
        <f>IF(OR(F309="",F309="Selecciona.."),"",SUMIF(Precio_Productos!K:K,E309,Precio_Productos!J:J)*G309)</f>
        <v/>
      </c>
      <c r="I309" s="4" t="str">
        <f t="array" ref="I309">IF($E309="","", XLOOKUP(SUMIFS(Prod_Prop!$A:$A,Prod_Prop!$B:$B,$E309,Prod_Prop!$H:$H,I$1,Prod_Prop!$I:$I,"Exacto"),Prod_Prop!$A:$A,Prod_Prop!$J:$J,"",0,1))</f>
        <v/>
      </c>
      <c r="J309" s="4" t="str">
        <f t="array" ref="J309">IF($E309="","", XLOOKUP(SUMIFS(Prod_Prop!$A:$A,Prod_Prop!$B:$B,$E309,Prod_Prop!$H:$H,J$1,Prod_Prop!$I:$I,"Exacto"),Prod_Prop!$A:$A,Prod_Prop!$J:$J,"",0,1))</f>
        <v/>
      </c>
      <c r="K309" s="4" t="str">
        <f t="array" ref="K309">IF($E309="","", XLOOKUP(SUMIFS(Prod_Prop!$A:$A,Prod_Prop!$B:$B,$E309,Prod_Prop!$H:$H,K$1,Prod_Prop!$I:$I,"Exacto"),Prod_Prop!$A:$A,Prod_Prop!$J:$J,"",0,1))</f>
        <v/>
      </c>
      <c r="L309" s="4" t="str">
        <f t="array" ref="L309">IF($E309="","", XLOOKUP(SUMIFS(Prod_Prop!$A:$A,Prod_Prop!$B:$B,$E309,Prod_Prop!$H:$H,L$1,Prod_Prop!$I:$I,"Exacto"),Prod_Prop!$A:$A,Prod_Prop!$J:$J,"",0,1))</f>
        <v/>
      </c>
      <c r="M309" s="4" t="str">
        <f t="array" ref="M309">IF($E309="","", XLOOKUP(SUMIFS(Prod_Prop!$A:$A,Prod_Prop!$B:$B,$E309,Prod_Prop!$H:$H,M$1,Prod_Prop!$I:$I,"Exacto"),Prod_Prop!$A:$A,Prod_Prop!$J:$J,"",0,1))</f>
        <v/>
      </c>
      <c r="N309" s="4" t="str">
        <f t="array" ref="N309">IF($E309="","", XLOOKUP(SUMIFS(Prod_Prop!$A:$A,Prod_Prop!$B:$B,$E309,Prod_Prop!$H:$H,N$1,Prod_Prop!$I:$I,"Exacto"),Prod_Prop!$A:$A,Prod_Prop!$J:$J,"",0,1))</f>
        <v/>
      </c>
      <c r="O309" s="4" t="str">
        <f t="array" ref="O309">IF($E309="","", XLOOKUP(SUMIFS(Prod_Prop!$A:$A,Prod_Prop!$B:$B,$E309,Prod_Prop!$H:$H,O$1,Prod_Prop!$I:$I,"Exacto"),Prod_Prop!$A:$A,Prod_Prop!$J:$J,"",0,1))</f>
        <v/>
      </c>
      <c r="P309" s="4" t="str">
        <f t="array" ref="P309">IF($E309="","", XLOOKUP(SUMIFS(Prod_Prop!$A:$A,Prod_Prop!$B:$B,$E309,Prod_Prop!$H:$H,P$1,Prod_Prop!$I:$I,"Exacto"),Prod_Prop!$A:$A,Prod_Prop!$J:$J,"",0,1))</f>
        <v/>
      </c>
      <c r="Q309" s="4" t="str">
        <f t="array" ref="Q309">IF($E309="","", XLOOKUP(SUMIFS(Prod_Prop!$A:$A,Prod_Prop!$B:$B,$E309,Prod_Prop!$H:$H,Q$1,Prod_Prop!$I:$I,"Exacto"),Prod_Prop!$A:$A,Prod_Prop!$J:$J,"",0,1))</f>
        <v/>
      </c>
      <c r="R309" s="4" t="str">
        <f t="array" ref="R309">IF($E309="","", XLOOKUP(SUMIFS(Prod_Prop!$A:$A,Prod_Prop!$B:$B,$E309,Prod_Prop!$H:$H,R$1,Prod_Prop!$I:$I,"Exacto"),Prod_Prop!$A:$A,Prod_Prop!$J:$J,"",0,1))</f>
        <v/>
      </c>
      <c r="S309" s="4" t="str">
        <f t="array" ref="S309">IF($E309="","", XLOOKUP(SUMIFS(Prod_Prop!$A:$A,Prod_Prop!$B:$B,$E309,Prod_Prop!$H:$H,S$1,Prod_Prop!$I:$I,"Exacto"),Prod_Prop!$A:$A,Prod_Prop!$J:$J,"",0,1))</f>
        <v/>
      </c>
      <c r="T309" s="4" t="str">
        <f t="array" ref="T309">IF($E309="","", XLOOKUP(SUMIFS(Prod_Prop!$A:$A,Prod_Prop!$B:$B,$E309,Prod_Prop!$H:$H,T$1,Prod_Prop!$I:$I,"Exacto"),Prod_Prop!$A:$A,Prod_Prop!$J:$J,"",0,1))</f>
        <v/>
      </c>
      <c r="U309" s="4" t="str">
        <f t="array" ref="U309">IF($E309="","", XLOOKUP(SUMIFS(Prod_Prop!$A:$A,Prod_Prop!$B:$B,$E309,Prod_Prop!$H:$H,U$1,Prod_Prop!$I:$I,"Exacto"),Prod_Prop!$A:$A,Prod_Prop!$J:$J,"",0,1))</f>
        <v/>
      </c>
      <c r="V309" s="4" t="str">
        <f t="array" ref="V309">IF($E309="","", XLOOKUP(SUMIFS(Prod_Prop!$A:$A,Prod_Prop!$B:$B,$E309,Prod_Prop!$H:$H,V$1,Prod_Prop!$I:$I,"Exacto"),Prod_Prop!$A:$A,Prod_Prop!$J:$J,"",0,1))</f>
        <v/>
      </c>
      <c r="X309" s="3" t="str">
        <f>IFERROR(__xludf.DUMMYFUNCTION("IF(D309="""","""",IFERROR(TRANSPOSE(FILTER('Validaciones Cotizador'!U:U,'Validaciones Cotizador'!O:O=D309,'Validaciones Cotizador'!T:T=""x"")),""Finalizar""))"),"")</f>
        <v/>
      </c>
    </row>
    <row r="310">
      <c r="A310" s="2" t="str">
        <f t="array" ref="A310">IF(E310="","",XLOOKUP(D310,'Validaciones Cotizador'!C:C,'Validaciones Cotizador'!A:A,"",0,1))</f>
        <v/>
      </c>
      <c r="B310" s="2" t="str">
        <f t="array" ref="B310">IF(F310="","",XLOOKUP(F310,Productos!E:E,Productos!G:G,"",0,1))</f>
        <v/>
      </c>
      <c r="C310" s="2" t="str">
        <f>IF(A310="","",SUMIFS('Validaciones Cotizador'!B:B,'Validaciones Cotizador'!C:C,D310,'Validaciones Cotizador'!A:A,A310))</f>
        <v/>
      </c>
      <c r="D310" s="4" t="str">
        <f>IFERROR(__xludf.DUMMYFUNCTION("IF(OR(F309=""Finalizar"",F309="""",F309=""Selecciona..""),"""",IF(OR(F309=""-"",INDEX(filter(Familias!F:F,Familias!D:D=A309,Familias!E:E=C309),1)=""O""),D309+1,D309))"),"")</f>
        <v/>
      </c>
      <c r="E310" s="2" t="str">
        <f>IF(OR(F310="",F310="Selecciona.."),"",IF(D310="Implemento",SUMIF(Implementos!B:B,F310,Implementos!A:A),SUMIF(Productos!E:E,F310,Productos!A:A)))</f>
        <v/>
      </c>
      <c r="F310" s="2" t="str">
        <f t="shared" si="2"/>
        <v/>
      </c>
      <c r="G310" s="10" t="str">
        <f t="array" ref="G310">IF(OR(F310="",F310="-",F310="Selecciona..",F310="Finalizar"),"",IF(A310="Rodados",XLOOKUP(B310,'Validaciones Cotizador'!I:I,'Validaciones Cotizador'!J:J,0,0,1),1))</f>
        <v/>
      </c>
      <c r="H310" s="11" t="str">
        <f>IF(OR(F310="",F310="Selecciona.."),"",SUMIF(Precio_Productos!K:K,E310,Precio_Productos!J:J)*G310)</f>
        <v/>
      </c>
      <c r="I310" s="4" t="str">
        <f t="array" ref="I310">IF($E310="","", XLOOKUP(SUMIFS(Prod_Prop!$A:$A,Prod_Prop!$B:$B,$E310,Prod_Prop!$H:$H,I$1,Prod_Prop!$I:$I,"Exacto"),Prod_Prop!$A:$A,Prod_Prop!$J:$J,"",0,1))</f>
        <v/>
      </c>
      <c r="J310" s="4" t="str">
        <f t="array" ref="J310">IF($E310="","", XLOOKUP(SUMIFS(Prod_Prop!$A:$A,Prod_Prop!$B:$B,$E310,Prod_Prop!$H:$H,J$1,Prod_Prop!$I:$I,"Exacto"),Prod_Prop!$A:$A,Prod_Prop!$J:$J,"",0,1))</f>
        <v/>
      </c>
      <c r="K310" s="4" t="str">
        <f t="array" ref="K310">IF($E310="","", XLOOKUP(SUMIFS(Prod_Prop!$A:$A,Prod_Prop!$B:$B,$E310,Prod_Prop!$H:$H,K$1,Prod_Prop!$I:$I,"Exacto"),Prod_Prop!$A:$A,Prod_Prop!$J:$J,"",0,1))</f>
        <v/>
      </c>
      <c r="L310" s="4" t="str">
        <f t="array" ref="L310">IF($E310="","", XLOOKUP(SUMIFS(Prod_Prop!$A:$A,Prod_Prop!$B:$B,$E310,Prod_Prop!$H:$H,L$1,Prod_Prop!$I:$I,"Exacto"),Prod_Prop!$A:$A,Prod_Prop!$J:$J,"",0,1))</f>
        <v/>
      </c>
      <c r="M310" s="4" t="str">
        <f t="array" ref="M310">IF($E310="","", XLOOKUP(SUMIFS(Prod_Prop!$A:$A,Prod_Prop!$B:$B,$E310,Prod_Prop!$H:$H,M$1,Prod_Prop!$I:$I,"Exacto"),Prod_Prop!$A:$A,Prod_Prop!$J:$J,"",0,1))</f>
        <v/>
      </c>
      <c r="N310" s="4" t="str">
        <f t="array" ref="N310">IF($E310="","", XLOOKUP(SUMIFS(Prod_Prop!$A:$A,Prod_Prop!$B:$B,$E310,Prod_Prop!$H:$H,N$1,Prod_Prop!$I:$I,"Exacto"),Prod_Prop!$A:$A,Prod_Prop!$J:$J,"",0,1))</f>
        <v/>
      </c>
      <c r="O310" s="4" t="str">
        <f t="array" ref="O310">IF($E310="","", XLOOKUP(SUMIFS(Prod_Prop!$A:$A,Prod_Prop!$B:$B,$E310,Prod_Prop!$H:$H,O$1,Prod_Prop!$I:$I,"Exacto"),Prod_Prop!$A:$A,Prod_Prop!$J:$J,"",0,1))</f>
        <v/>
      </c>
      <c r="P310" s="4" t="str">
        <f t="array" ref="P310">IF($E310="","", XLOOKUP(SUMIFS(Prod_Prop!$A:$A,Prod_Prop!$B:$B,$E310,Prod_Prop!$H:$H,P$1,Prod_Prop!$I:$I,"Exacto"),Prod_Prop!$A:$A,Prod_Prop!$J:$J,"",0,1))</f>
        <v/>
      </c>
      <c r="Q310" s="4" t="str">
        <f t="array" ref="Q310">IF($E310="","", XLOOKUP(SUMIFS(Prod_Prop!$A:$A,Prod_Prop!$B:$B,$E310,Prod_Prop!$H:$H,Q$1,Prod_Prop!$I:$I,"Exacto"),Prod_Prop!$A:$A,Prod_Prop!$J:$J,"",0,1))</f>
        <v/>
      </c>
      <c r="R310" s="4" t="str">
        <f t="array" ref="R310">IF($E310="","", XLOOKUP(SUMIFS(Prod_Prop!$A:$A,Prod_Prop!$B:$B,$E310,Prod_Prop!$H:$H,R$1,Prod_Prop!$I:$I,"Exacto"),Prod_Prop!$A:$A,Prod_Prop!$J:$J,"",0,1))</f>
        <v/>
      </c>
      <c r="S310" s="4" t="str">
        <f t="array" ref="S310">IF($E310="","", XLOOKUP(SUMIFS(Prod_Prop!$A:$A,Prod_Prop!$B:$B,$E310,Prod_Prop!$H:$H,S$1,Prod_Prop!$I:$I,"Exacto"),Prod_Prop!$A:$A,Prod_Prop!$J:$J,"",0,1))</f>
        <v/>
      </c>
      <c r="T310" s="4" t="str">
        <f t="array" ref="T310">IF($E310="","", XLOOKUP(SUMIFS(Prod_Prop!$A:$A,Prod_Prop!$B:$B,$E310,Prod_Prop!$H:$H,T$1,Prod_Prop!$I:$I,"Exacto"),Prod_Prop!$A:$A,Prod_Prop!$J:$J,"",0,1))</f>
        <v/>
      </c>
      <c r="U310" s="4" t="str">
        <f t="array" ref="U310">IF($E310="","", XLOOKUP(SUMIFS(Prod_Prop!$A:$A,Prod_Prop!$B:$B,$E310,Prod_Prop!$H:$H,U$1,Prod_Prop!$I:$I,"Exacto"),Prod_Prop!$A:$A,Prod_Prop!$J:$J,"",0,1))</f>
        <v/>
      </c>
      <c r="V310" s="4" t="str">
        <f t="array" ref="V310">IF($E310="","", XLOOKUP(SUMIFS(Prod_Prop!$A:$A,Prod_Prop!$B:$B,$E310,Prod_Prop!$H:$H,V$1,Prod_Prop!$I:$I,"Exacto"),Prod_Prop!$A:$A,Prod_Prop!$J:$J,"",0,1))</f>
        <v/>
      </c>
      <c r="X310" s="3" t="str">
        <f>IFERROR(__xludf.DUMMYFUNCTION("IF(D310="""","""",IFERROR(TRANSPOSE(FILTER('Validaciones Cotizador'!U:U,'Validaciones Cotizador'!O:O=D310,'Validaciones Cotizador'!T:T=""x"")),""Finalizar""))"),"")</f>
        <v/>
      </c>
    </row>
    <row r="311">
      <c r="A311" s="2" t="str">
        <f t="array" ref="A311">IF(E311="","",XLOOKUP(D311,'Validaciones Cotizador'!C:C,'Validaciones Cotizador'!A:A,"",0,1))</f>
        <v/>
      </c>
      <c r="B311" s="2" t="str">
        <f t="array" ref="B311">IF(F311="","",XLOOKUP(F311,Productos!E:E,Productos!G:G,"",0,1))</f>
        <v/>
      </c>
      <c r="C311" s="2" t="str">
        <f>IF(A311="","",SUMIFS('Validaciones Cotizador'!B:B,'Validaciones Cotizador'!C:C,D311,'Validaciones Cotizador'!A:A,A311))</f>
        <v/>
      </c>
      <c r="D311" s="4" t="str">
        <f>IFERROR(__xludf.DUMMYFUNCTION("IF(OR(F310=""Finalizar"",F310="""",F310=""Selecciona..""),"""",IF(OR(F310=""-"",INDEX(filter(Familias!F:F,Familias!D:D=A310,Familias!E:E=C310),1)=""O""),D310+1,D310))"),"")</f>
        <v/>
      </c>
      <c r="E311" s="2" t="str">
        <f>IF(OR(F311="",F311="Selecciona.."),"",IF(D311="Implemento",SUMIF(Implementos!B:B,F311,Implementos!A:A),SUMIF(Productos!E:E,F311,Productos!A:A)))</f>
        <v/>
      </c>
      <c r="F311" s="2" t="str">
        <f t="shared" si="2"/>
        <v/>
      </c>
      <c r="G311" s="10" t="str">
        <f t="array" ref="G311">IF(OR(F311="",F311="-",F311="Selecciona..",F311="Finalizar"),"",IF(A311="Rodados",XLOOKUP(B311,'Validaciones Cotizador'!I:I,'Validaciones Cotizador'!J:J,0,0,1),1))</f>
        <v/>
      </c>
      <c r="H311" s="11" t="str">
        <f>IF(OR(F311="",F311="Selecciona.."),"",SUMIF(Precio_Productos!K:K,E311,Precio_Productos!J:J)*G311)</f>
        <v/>
      </c>
      <c r="I311" s="4" t="str">
        <f t="array" ref="I311">IF($E311="","", XLOOKUP(SUMIFS(Prod_Prop!$A:$A,Prod_Prop!$B:$B,$E311,Prod_Prop!$H:$H,I$1,Prod_Prop!$I:$I,"Exacto"),Prod_Prop!$A:$A,Prod_Prop!$J:$J,"",0,1))</f>
        <v/>
      </c>
      <c r="J311" s="4" t="str">
        <f t="array" ref="J311">IF($E311="","", XLOOKUP(SUMIFS(Prod_Prop!$A:$A,Prod_Prop!$B:$B,$E311,Prod_Prop!$H:$H,J$1,Prod_Prop!$I:$I,"Exacto"),Prod_Prop!$A:$A,Prod_Prop!$J:$J,"",0,1))</f>
        <v/>
      </c>
      <c r="K311" s="4" t="str">
        <f t="array" ref="K311">IF($E311="","", XLOOKUP(SUMIFS(Prod_Prop!$A:$A,Prod_Prop!$B:$B,$E311,Prod_Prop!$H:$H,K$1,Prod_Prop!$I:$I,"Exacto"),Prod_Prop!$A:$A,Prod_Prop!$J:$J,"",0,1))</f>
        <v/>
      </c>
      <c r="L311" s="4" t="str">
        <f t="array" ref="L311">IF($E311="","", XLOOKUP(SUMIFS(Prod_Prop!$A:$A,Prod_Prop!$B:$B,$E311,Prod_Prop!$H:$H,L$1,Prod_Prop!$I:$I,"Exacto"),Prod_Prop!$A:$A,Prod_Prop!$J:$J,"",0,1))</f>
        <v/>
      </c>
      <c r="M311" s="4" t="str">
        <f t="array" ref="M311">IF($E311="","", XLOOKUP(SUMIFS(Prod_Prop!$A:$A,Prod_Prop!$B:$B,$E311,Prod_Prop!$H:$H,M$1,Prod_Prop!$I:$I,"Exacto"),Prod_Prop!$A:$A,Prod_Prop!$J:$J,"",0,1))</f>
        <v/>
      </c>
      <c r="N311" s="4" t="str">
        <f t="array" ref="N311">IF($E311="","", XLOOKUP(SUMIFS(Prod_Prop!$A:$A,Prod_Prop!$B:$B,$E311,Prod_Prop!$H:$H,N$1,Prod_Prop!$I:$I,"Exacto"),Prod_Prop!$A:$A,Prod_Prop!$J:$J,"",0,1))</f>
        <v/>
      </c>
      <c r="O311" s="4" t="str">
        <f t="array" ref="O311">IF($E311="","", XLOOKUP(SUMIFS(Prod_Prop!$A:$A,Prod_Prop!$B:$B,$E311,Prod_Prop!$H:$H,O$1,Prod_Prop!$I:$I,"Exacto"),Prod_Prop!$A:$A,Prod_Prop!$J:$J,"",0,1))</f>
        <v/>
      </c>
      <c r="P311" s="4" t="str">
        <f t="array" ref="P311">IF($E311="","", XLOOKUP(SUMIFS(Prod_Prop!$A:$A,Prod_Prop!$B:$B,$E311,Prod_Prop!$H:$H,P$1,Prod_Prop!$I:$I,"Exacto"),Prod_Prop!$A:$A,Prod_Prop!$J:$J,"",0,1))</f>
        <v/>
      </c>
      <c r="Q311" s="4" t="str">
        <f t="array" ref="Q311">IF($E311="","", XLOOKUP(SUMIFS(Prod_Prop!$A:$A,Prod_Prop!$B:$B,$E311,Prod_Prop!$H:$H,Q$1,Prod_Prop!$I:$I,"Exacto"),Prod_Prop!$A:$A,Prod_Prop!$J:$J,"",0,1))</f>
        <v/>
      </c>
      <c r="R311" s="4" t="str">
        <f t="array" ref="R311">IF($E311="","", XLOOKUP(SUMIFS(Prod_Prop!$A:$A,Prod_Prop!$B:$B,$E311,Prod_Prop!$H:$H,R$1,Prod_Prop!$I:$I,"Exacto"),Prod_Prop!$A:$A,Prod_Prop!$J:$J,"",0,1))</f>
        <v/>
      </c>
      <c r="S311" s="4" t="str">
        <f t="array" ref="S311">IF($E311="","", XLOOKUP(SUMIFS(Prod_Prop!$A:$A,Prod_Prop!$B:$B,$E311,Prod_Prop!$H:$H,S$1,Prod_Prop!$I:$I,"Exacto"),Prod_Prop!$A:$A,Prod_Prop!$J:$J,"",0,1))</f>
        <v/>
      </c>
      <c r="T311" s="4" t="str">
        <f t="array" ref="T311">IF($E311="","", XLOOKUP(SUMIFS(Prod_Prop!$A:$A,Prod_Prop!$B:$B,$E311,Prod_Prop!$H:$H,T$1,Prod_Prop!$I:$I,"Exacto"),Prod_Prop!$A:$A,Prod_Prop!$J:$J,"",0,1))</f>
        <v/>
      </c>
      <c r="U311" s="4" t="str">
        <f t="array" ref="U311">IF($E311="","", XLOOKUP(SUMIFS(Prod_Prop!$A:$A,Prod_Prop!$B:$B,$E311,Prod_Prop!$H:$H,U$1,Prod_Prop!$I:$I,"Exacto"),Prod_Prop!$A:$A,Prod_Prop!$J:$J,"",0,1))</f>
        <v/>
      </c>
      <c r="V311" s="4" t="str">
        <f t="array" ref="V311">IF($E311="","", XLOOKUP(SUMIFS(Prod_Prop!$A:$A,Prod_Prop!$B:$B,$E311,Prod_Prop!$H:$H,V$1,Prod_Prop!$I:$I,"Exacto"),Prod_Prop!$A:$A,Prod_Prop!$J:$J,"",0,1))</f>
        <v/>
      </c>
      <c r="X311" s="3" t="str">
        <f>IFERROR(__xludf.DUMMYFUNCTION("IF(D311="""","""",IFERROR(TRANSPOSE(FILTER('Validaciones Cotizador'!U:U,'Validaciones Cotizador'!O:O=D311,'Validaciones Cotizador'!T:T=""x"")),""Finalizar""))"),"")</f>
        <v/>
      </c>
    </row>
    <row r="312">
      <c r="A312" s="2" t="str">
        <f t="array" ref="A312">IF(E312="","",XLOOKUP(D312,'Validaciones Cotizador'!C:C,'Validaciones Cotizador'!A:A,"",0,1))</f>
        <v/>
      </c>
      <c r="B312" s="2" t="str">
        <f t="array" ref="B312">IF(F312="","",XLOOKUP(F312,Productos!E:E,Productos!G:G,"",0,1))</f>
        <v/>
      </c>
      <c r="C312" s="2" t="str">
        <f>IF(A312="","",SUMIFS('Validaciones Cotizador'!B:B,'Validaciones Cotizador'!C:C,D312,'Validaciones Cotizador'!A:A,A312))</f>
        <v/>
      </c>
      <c r="D312" s="4" t="str">
        <f>IFERROR(__xludf.DUMMYFUNCTION("IF(OR(F311=""Finalizar"",F311="""",F311=""Selecciona..""),"""",IF(OR(F311=""-"",INDEX(filter(Familias!F:F,Familias!D:D=A311,Familias!E:E=C311),1)=""O""),D311+1,D311))"),"")</f>
        <v/>
      </c>
      <c r="E312" s="2" t="str">
        <f>IF(OR(F312="",F312="Selecciona.."),"",IF(D312="Implemento",SUMIF(Implementos!B:B,F312,Implementos!A:A),SUMIF(Productos!E:E,F312,Productos!A:A)))</f>
        <v/>
      </c>
      <c r="F312" s="2" t="str">
        <f t="shared" si="2"/>
        <v/>
      </c>
      <c r="G312" s="10" t="str">
        <f t="array" ref="G312">IF(OR(F312="",F312="-",F312="Selecciona..",F312="Finalizar"),"",IF(A312="Rodados",XLOOKUP(B312,'Validaciones Cotizador'!I:I,'Validaciones Cotizador'!J:J,0,0,1),1))</f>
        <v/>
      </c>
      <c r="H312" s="11" t="str">
        <f>IF(OR(F312="",F312="Selecciona.."),"",SUMIF(Precio_Productos!K:K,E312,Precio_Productos!J:J)*G312)</f>
        <v/>
      </c>
      <c r="I312" s="4" t="str">
        <f t="array" ref="I312">IF($E312="","", XLOOKUP(SUMIFS(Prod_Prop!$A:$A,Prod_Prop!$B:$B,$E312,Prod_Prop!$H:$H,I$1,Prod_Prop!$I:$I,"Exacto"),Prod_Prop!$A:$A,Prod_Prop!$J:$J,"",0,1))</f>
        <v/>
      </c>
      <c r="J312" s="4" t="str">
        <f t="array" ref="J312">IF($E312="","", XLOOKUP(SUMIFS(Prod_Prop!$A:$A,Prod_Prop!$B:$B,$E312,Prod_Prop!$H:$H,J$1,Prod_Prop!$I:$I,"Exacto"),Prod_Prop!$A:$A,Prod_Prop!$J:$J,"",0,1))</f>
        <v/>
      </c>
      <c r="K312" s="4" t="str">
        <f t="array" ref="K312">IF($E312="","", XLOOKUP(SUMIFS(Prod_Prop!$A:$A,Prod_Prop!$B:$B,$E312,Prod_Prop!$H:$H,K$1,Prod_Prop!$I:$I,"Exacto"),Prod_Prop!$A:$A,Prod_Prop!$J:$J,"",0,1))</f>
        <v/>
      </c>
      <c r="L312" s="4" t="str">
        <f t="array" ref="L312">IF($E312="","", XLOOKUP(SUMIFS(Prod_Prop!$A:$A,Prod_Prop!$B:$B,$E312,Prod_Prop!$H:$H,L$1,Prod_Prop!$I:$I,"Exacto"),Prod_Prop!$A:$A,Prod_Prop!$J:$J,"",0,1))</f>
        <v/>
      </c>
      <c r="M312" s="4" t="str">
        <f t="array" ref="M312">IF($E312="","", XLOOKUP(SUMIFS(Prod_Prop!$A:$A,Prod_Prop!$B:$B,$E312,Prod_Prop!$H:$H,M$1,Prod_Prop!$I:$I,"Exacto"),Prod_Prop!$A:$A,Prod_Prop!$J:$J,"",0,1))</f>
        <v/>
      </c>
      <c r="N312" s="4" t="str">
        <f t="array" ref="N312">IF($E312="","", XLOOKUP(SUMIFS(Prod_Prop!$A:$A,Prod_Prop!$B:$B,$E312,Prod_Prop!$H:$H,N$1,Prod_Prop!$I:$I,"Exacto"),Prod_Prop!$A:$A,Prod_Prop!$J:$J,"",0,1))</f>
        <v/>
      </c>
      <c r="O312" s="4" t="str">
        <f t="array" ref="O312">IF($E312="","", XLOOKUP(SUMIFS(Prod_Prop!$A:$A,Prod_Prop!$B:$B,$E312,Prod_Prop!$H:$H,O$1,Prod_Prop!$I:$I,"Exacto"),Prod_Prop!$A:$A,Prod_Prop!$J:$J,"",0,1))</f>
        <v/>
      </c>
      <c r="P312" s="4" t="str">
        <f t="array" ref="P312">IF($E312="","", XLOOKUP(SUMIFS(Prod_Prop!$A:$A,Prod_Prop!$B:$B,$E312,Prod_Prop!$H:$H,P$1,Prod_Prop!$I:$I,"Exacto"),Prod_Prop!$A:$A,Prod_Prop!$J:$J,"",0,1))</f>
        <v/>
      </c>
      <c r="Q312" s="4" t="str">
        <f t="array" ref="Q312">IF($E312="","", XLOOKUP(SUMIFS(Prod_Prop!$A:$A,Prod_Prop!$B:$B,$E312,Prod_Prop!$H:$H,Q$1,Prod_Prop!$I:$I,"Exacto"),Prod_Prop!$A:$A,Prod_Prop!$J:$J,"",0,1))</f>
        <v/>
      </c>
      <c r="R312" s="4" t="str">
        <f t="array" ref="R312">IF($E312="","", XLOOKUP(SUMIFS(Prod_Prop!$A:$A,Prod_Prop!$B:$B,$E312,Prod_Prop!$H:$H,R$1,Prod_Prop!$I:$I,"Exacto"),Prod_Prop!$A:$A,Prod_Prop!$J:$J,"",0,1))</f>
        <v/>
      </c>
      <c r="S312" s="4" t="str">
        <f t="array" ref="S312">IF($E312="","", XLOOKUP(SUMIFS(Prod_Prop!$A:$A,Prod_Prop!$B:$B,$E312,Prod_Prop!$H:$H,S$1,Prod_Prop!$I:$I,"Exacto"),Prod_Prop!$A:$A,Prod_Prop!$J:$J,"",0,1))</f>
        <v/>
      </c>
      <c r="T312" s="4" t="str">
        <f t="array" ref="T312">IF($E312="","", XLOOKUP(SUMIFS(Prod_Prop!$A:$A,Prod_Prop!$B:$B,$E312,Prod_Prop!$H:$H,T$1,Prod_Prop!$I:$I,"Exacto"),Prod_Prop!$A:$A,Prod_Prop!$J:$J,"",0,1))</f>
        <v/>
      </c>
      <c r="U312" s="4" t="str">
        <f t="array" ref="U312">IF($E312="","", XLOOKUP(SUMIFS(Prod_Prop!$A:$A,Prod_Prop!$B:$B,$E312,Prod_Prop!$H:$H,U$1,Prod_Prop!$I:$I,"Exacto"),Prod_Prop!$A:$A,Prod_Prop!$J:$J,"",0,1))</f>
        <v/>
      </c>
      <c r="V312" s="4" t="str">
        <f t="array" ref="V312">IF($E312="","", XLOOKUP(SUMIFS(Prod_Prop!$A:$A,Prod_Prop!$B:$B,$E312,Prod_Prop!$H:$H,V$1,Prod_Prop!$I:$I,"Exacto"),Prod_Prop!$A:$A,Prod_Prop!$J:$J,"",0,1))</f>
        <v/>
      </c>
      <c r="X312" s="3" t="str">
        <f>IFERROR(__xludf.DUMMYFUNCTION("IF(D312="""","""",IFERROR(TRANSPOSE(FILTER('Validaciones Cotizador'!U:U,'Validaciones Cotizador'!O:O=D312,'Validaciones Cotizador'!T:T=""x"")),""Finalizar""))"),"")</f>
        <v/>
      </c>
    </row>
    <row r="313">
      <c r="A313" s="2" t="str">
        <f t="array" ref="A313">IF(E313="","",XLOOKUP(D313,'Validaciones Cotizador'!C:C,'Validaciones Cotizador'!A:A,"",0,1))</f>
        <v/>
      </c>
      <c r="B313" s="2" t="str">
        <f t="array" ref="B313">IF(F313="","",XLOOKUP(F313,Productos!E:E,Productos!G:G,"",0,1))</f>
        <v/>
      </c>
      <c r="C313" s="2" t="str">
        <f>IF(A313="","",SUMIFS('Validaciones Cotizador'!B:B,'Validaciones Cotizador'!C:C,D313,'Validaciones Cotizador'!A:A,A313))</f>
        <v/>
      </c>
      <c r="D313" s="4" t="str">
        <f>IFERROR(__xludf.DUMMYFUNCTION("IF(OR(F312=""Finalizar"",F312="""",F312=""Selecciona..""),"""",IF(OR(F312=""-"",INDEX(filter(Familias!F:F,Familias!D:D=A312,Familias!E:E=C312),1)=""O""),D312+1,D312))"),"")</f>
        <v/>
      </c>
      <c r="E313" s="2" t="str">
        <f>IF(OR(F313="",F313="Selecciona.."),"",IF(D313="Implemento",SUMIF(Implementos!B:B,F313,Implementos!A:A),SUMIF(Productos!E:E,F313,Productos!A:A)))</f>
        <v/>
      </c>
      <c r="F313" s="2" t="str">
        <f t="shared" si="2"/>
        <v/>
      </c>
      <c r="G313" s="10" t="str">
        <f t="array" ref="G313">IF(OR(F313="",F313="-",F313="Selecciona..",F313="Finalizar"),"",IF(A313="Rodados",XLOOKUP(B313,'Validaciones Cotizador'!I:I,'Validaciones Cotizador'!J:J,0,0,1),1))</f>
        <v/>
      </c>
      <c r="H313" s="11" t="str">
        <f>IF(OR(F313="",F313="Selecciona.."),"",SUMIF(Precio_Productos!K:K,E313,Precio_Productos!J:J)*G313)</f>
        <v/>
      </c>
      <c r="I313" s="4" t="str">
        <f t="array" ref="I313">IF($E313="","", XLOOKUP(SUMIFS(Prod_Prop!$A:$A,Prod_Prop!$B:$B,$E313,Prod_Prop!$H:$H,I$1,Prod_Prop!$I:$I,"Exacto"),Prod_Prop!$A:$A,Prod_Prop!$J:$J,"",0,1))</f>
        <v/>
      </c>
      <c r="J313" s="4" t="str">
        <f t="array" ref="J313">IF($E313="","", XLOOKUP(SUMIFS(Prod_Prop!$A:$A,Prod_Prop!$B:$B,$E313,Prod_Prop!$H:$H,J$1,Prod_Prop!$I:$I,"Exacto"),Prod_Prop!$A:$A,Prod_Prop!$J:$J,"",0,1))</f>
        <v/>
      </c>
      <c r="K313" s="4" t="str">
        <f t="array" ref="K313">IF($E313="","", XLOOKUP(SUMIFS(Prod_Prop!$A:$A,Prod_Prop!$B:$B,$E313,Prod_Prop!$H:$H,K$1,Prod_Prop!$I:$I,"Exacto"),Prod_Prop!$A:$A,Prod_Prop!$J:$J,"",0,1))</f>
        <v/>
      </c>
      <c r="L313" s="4" t="str">
        <f t="array" ref="L313">IF($E313="","", XLOOKUP(SUMIFS(Prod_Prop!$A:$A,Prod_Prop!$B:$B,$E313,Prod_Prop!$H:$H,L$1,Prod_Prop!$I:$I,"Exacto"),Prod_Prop!$A:$A,Prod_Prop!$J:$J,"",0,1))</f>
        <v/>
      </c>
      <c r="M313" s="4" t="str">
        <f t="array" ref="M313">IF($E313="","", XLOOKUP(SUMIFS(Prod_Prop!$A:$A,Prod_Prop!$B:$B,$E313,Prod_Prop!$H:$H,M$1,Prod_Prop!$I:$I,"Exacto"),Prod_Prop!$A:$A,Prod_Prop!$J:$J,"",0,1))</f>
        <v/>
      </c>
      <c r="N313" s="4" t="str">
        <f t="array" ref="N313">IF($E313="","", XLOOKUP(SUMIFS(Prod_Prop!$A:$A,Prod_Prop!$B:$B,$E313,Prod_Prop!$H:$H,N$1,Prod_Prop!$I:$I,"Exacto"),Prod_Prop!$A:$A,Prod_Prop!$J:$J,"",0,1))</f>
        <v/>
      </c>
      <c r="O313" s="4" t="str">
        <f t="array" ref="O313">IF($E313="","", XLOOKUP(SUMIFS(Prod_Prop!$A:$A,Prod_Prop!$B:$B,$E313,Prod_Prop!$H:$H,O$1,Prod_Prop!$I:$I,"Exacto"),Prod_Prop!$A:$A,Prod_Prop!$J:$J,"",0,1))</f>
        <v/>
      </c>
      <c r="P313" s="4" t="str">
        <f t="array" ref="P313">IF($E313="","", XLOOKUP(SUMIFS(Prod_Prop!$A:$A,Prod_Prop!$B:$B,$E313,Prod_Prop!$H:$H,P$1,Prod_Prop!$I:$I,"Exacto"),Prod_Prop!$A:$A,Prod_Prop!$J:$J,"",0,1))</f>
        <v/>
      </c>
      <c r="Q313" s="4" t="str">
        <f t="array" ref="Q313">IF($E313="","", XLOOKUP(SUMIFS(Prod_Prop!$A:$A,Prod_Prop!$B:$B,$E313,Prod_Prop!$H:$H,Q$1,Prod_Prop!$I:$I,"Exacto"),Prod_Prop!$A:$A,Prod_Prop!$J:$J,"",0,1))</f>
        <v/>
      </c>
      <c r="R313" s="4" t="str">
        <f t="array" ref="R313">IF($E313="","", XLOOKUP(SUMIFS(Prod_Prop!$A:$A,Prod_Prop!$B:$B,$E313,Prod_Prop!$H:$H,R$1,Prod_Prop!$I:$I,"Exacto"),Prod_Prop!$A:$A,Prod_Prop!$J:$J,"",0,1))</f>
        <v/>
      </c>
      <c r="S313" s="4" t="str">
        <f t="array" ref="S313">IF($E313="","", XLOOKUP(SUMIFS(Prod_Prop!$A:$A,Prod_Prop!$B:$B,$E313,Prod_Prop!$H:$H,S$1,Prod_Prop!$I:$I,"Exacto"),Prod_Prop!$A:$A,Prod_Prop!$J:$J,"",0,1))</f>
        <v/>
      </c>
      <c r="T313" s="4" t="str">
        <f t="array" ref="T313">IF($E313="","", XLOOKUP(SUMIFS(Prod_Prop!$A:$A,Prod_Prop!$B:$B,$E313,Prod_Prop!$H:$H,T$1,Prod_Prop!$I:$I,"Exacto"),Prod_Prop!$A:$A,Prod_Prop!$J:$J,"",0,1))</f>
        <v/>
      </c>
      <c r="U313" s="4" t="str">
        <f t="array" ref="U313">IF($E313="","", XLOOKUP(SUMIFS(Prod_Prop!$A:$A,Prod_Prop!$B:$B,$E313,Prod_Prop!$H:$H,U$1,Prod_Prop!$I:$I,"Exacto"),Prod_Prop!$A:$A,Prod_Prop!$J:$J,"",0,1))</f>
        <v/>
      </c>
      <c r="V313" s="4" t="str">
        <f t="array" ref="V313">IF($E313="","", XLOOKUP(SUMIFS(Prod_Prop!$A:$A,Prod_Prop!$B:$B,$E313,Prod_Prop!$H:$H,V$1,Prod_Prop!$I:$I,"Exacto"),Prod_Prop!$A:$A,Prod_Prop!$J:$J,"",0,1))</f>
        <v/>
      </c>
      <c r="X313" s="3" t="str">
        <f>IFERROR(__xludf.DUMMYFUNCTION("IF(D313="""","""",IFERROR(TRANSPOSE(FILTER('Validaciones Cotizador'!U:U,'Validaciones Cotizador'!O:O=D313,'Validaciones Cotizador'!T:T=""x"")),""Finalizar""))"),"")</f>
        <v/>
      </c>
    </row>
    <row r="314">
      <c r="A314" s="2" t="str">
        <f t="array" ref="A314">IF(E314="","",XLOOKUP(D314,'Validaciones Cotizador'!C:C,'Validaciones Cotizador'!A:A,"",0,1))</f>
        <v/>
      </c>
      <c r="B314" s="2" t="str">
        <f t="array" ref="B314">IF(F314="","",XLOOKUP(F314,Productos!E:E,Productos!G:G,"",0,1))</f>
        <v/>
      </c>
      <c r="C314" s="2" t="str">
        <f>IF(A314="","",SUMIFS('Validaciones Cotizador'!B:B,'Validaciones Cotizador'!C:C,D314,'Validaciones Cotizador'!A:A,A314))</f>
        <v/>
      </c>
      <c r="D314" s="4" t="str">
        <f>IFERROR(__xludf.DUMMYFUNCTION("IF(OR(F313=""Finalizar"",F313="""",F313=""Selecciona..""),"""",IF(OR(F313=""-"",INDEX(filter(Familias!F:F,Familias!D:D=A313,Familias!E:E=C313),1)=""O""),D313+1,D313))"),"")</f>
        <v/>
      </c>
      <c r="E314" s="2" t="str">
        <f>IF(OR(F314="",F314="Selecciona.."),"",IF(D314="Implemento",SUMIF(Implementos!B:B,F314,Implementos!A:A),SUMIF(Productos!E:E,F314,Productos!A:A)))</f>
        <v/>
      </c>
      <c r="F314" s="2" t="str">
        <f t="shared" si="2"/>
        <v/>
      </c>
      <c r="G314" s="10" t="str">
        <f t="array" ref="G314">IF(OR(F314="",F314="-",F314="Selecciona..",F314="Finalizar"),"",IF(A314="Rodados",XLOOKUP(B314,'Validaciones Cotizador'!I:I,'Validaciones Cotizador'!J:J,0,0,1),1))</f>
        <v/>
      </c>
      <c r="H314" s="11" t="str">
        <f>IF(OR(F314="",F314="Selecciona.."),"",SUMIF(Precio_Productos!K:K,E314,Precio_Productos!J:J)*G314)</f>
        <v/>
      </c>
      <c r="I314" s="4" t="str">
        <f t="array" ref="I314">IF($E314="","", XLOOKUP(SUMIFS(Prod_Prop!$A:$A,Prod_Prop!$B:$B,$E314,Prod_Prop!$H:$H,I$1,Prod_Prop!$I:$I,"Exacto"),Prod_Prop!$A:$A,Prod_Prop!$J:$J,"",0,1))</f>
        <v/>
      </c>
      <c r="J314" s="4" t="str">
        <f t="array" ref="J314">IF($E314="","", XLOOKUP(SUMIFS(Prod_Prop!$A:$A,Prod_Prop!$B:$B,$E314,Prod_Prop!$H:$H,J$1,Prod_Prop!$I:$I,"Exacto"),Prod_Prop!$A:$A,Prod_Prop!$J:$J,"",0,1))</f>
        <v/>
      </c>
      <c r="K314" s="4" t="str">
        <f t="array" ref="K314">IF($E314="","", XLOOKUP(SUMIFS(Prod_Prop!$A:$A,Prod_Prop!$B:$B,$E314,Prod_Prop!$H:$H,K$1,Prod_Prop!$I:$I,"Exacto"),Prod_Prop!$A:$A,Prod_Prop!$J:$J,"",0,1))</f>
        <v/>
      </c>
      <c r="L314" s="4" t="str">
        <f t="array" ref="L314">IF($E314="","", XLOOKUP(SUMIFS(Prod_Prop!$A:$A,Prod_Prop!$B:$B,$E314,Prod_Prop!$H:$H,L$1,Prod_Prop!$I:$I,"Exacto"),Prod_Prop!$A:$A,Prod_Prop!$J:$J,"",0,1))</f>
        <v/>
      </c>
      <c r="M314" s="4" t="str">
        <f t="array" ref="M314">IF($E314="","", XLOOKUP(SUMIFS(Prod_Prop!$A:$A,Prod_Prop!$B:$B,$E314,Prod_Prop!$H:$H,M$1,Prod_Prop!$I:$I,"Exacto"),Prod_Prop!$A:$A,Prod_Prop!$J:$J,"",0,1))</f>
        <v/>
      </c>
      <c r="N314" s="4" t="str">
        <f t="array" ref="N314">IF($E314="","", XLOOKUP(SUMIFS(Prod_Prop!$A:$A,Prod_Prop!$B:$B,$E314,Prod_Prop!$H:$H,N$1,Prod_Prop!$I:$I,"Exacto"),Prod_Prop!$A:$A,Prod_Prop!$J:$J,"",0,1))</f>
        <v/>
      </c>
      <c r="O314" s="4" t="str">
        <f t="array" ref="O314">IF($E314="","", XLOOKUP(SUMIFS(Prod_Prop!$A:$A,Prod_Prop!$B:$B,$E314,Prod_Prop!$H:$H,O$1,Prod_Prop!$I:$I,"Exacto"),Prod_Prop!$A:$A,Prod_Prop!$J:$J,"",0,1))</f>
        <v/>
      </c>
      <c r="P314" s="4" t="str">
        <f t="array" ref="P314">IF($E314="","", XLOOKUP(SUMIFS(Prod_Prop!$A:$A,Prod_Prop!$B:$B,$E314,Prod_Prop!$H:$H,P$1,Prod_Prop!$I:$I,"Exacto"),Prod_Prop!$A:$A,Prod_Prop!$J:$J,"",0,1))</f>
        <v/>
      </c>
      <c r="Q314" s="4" t="str">
        <f t="array" ref="Q314">IF($E314="","", XLOOKUP(SUMIFS(Prod_Prop!$A:$A,Prod_Prop!$B:$B,$E314,Prod_Prop!$H:$H,Q$1,Prod_Prop!$I:$I,"Exacto"),Prod_Prop!$A:$A,Prod_Prop!$J:$J,"",0,1))</f>
        <v/>
      </c>
      <c r="R314" s="4" t="str">
        <f t="array" ref="R314">IF($E314="","", XLOOKUP(SUMIFS(Prod_Prop!$A:$A,Prod_Prop!$B:$B,$E314,Prod_Prop!$H:$H,R$1,Prod_Prop!$I:$I,"Exacto"),Prod_Prop!$A:$A,Prod_Prop!$J:$J,"",0,1))</f>
        <v/>
      </c>
      <c r="S314" s="4" t="str">
        <f t="array" ref="S314">IF($E314="","", XLOOKUP(SUMIFS(Prod_Prop!$A:$A,Prod_Prop!$B:$B,$E314,Prod_Prop!$H:$H,S$1,Prod_Prop!$I:$I,"Exacto"),Prod_Prop!$A:$A,Prod_Prop!$J:$J,"",0,1))</f>
        <v/>
      </c>
      <c r="T314" s="4" t="str">
        <f t="array" ref="T314">IF($E314="","", XLOOKUP(SUMIFS(Prod_Prop!$A:$A,Prod_Prop!$B:$B,$E314,Prod_Prop!$H:$H,T$1,Prod_Prop!$I:$I,"Exacto"),Prod_Prop!$A:$A,Prod_Prop!$J:$J,"",0,1))</f>
        <v/>
      </c>
      <c r="U314" s="4" t="str">
        <f t="array" ref="U314">IF($E314="","", XLOOKUP(SUMIFS(Prod_Prop!$A:$A,Prod_Prop!$B:$B,$E314,Prod_Prop!$H:$H,U$1,Prod_Prop!$I:$I,"Exacto"),Prod_Prop!$A:$A,Prod_Prop!$J:$J,"",0,1))</f>
        <v/>
      </c>
      <c r="V314" s="4" t="str">
        <f t="array" ref="V314">IF($E314="","", XLOOKUP(SUMIFS(Prod_Prop!$A:$A,Prod_Prop!$B:$B,$E314,Prod_Prop!$H:$H,V$1,Prod_Prop!$I:$I,"Exacto"),Prod_Prop!$A:$A,Prod_Prop!$J:$J,"",0,1))</f>
        <v/>
      </c>
      <c r="X314" s="3" t="str">
        <f>IFERROR(__xludf.DUMMYFUNCTION("IF(D314="""","""",IFERROR(TRANSPOSE(FILTER('Validaciones Cotizador'!U:U,'Validaciones Cotizador'!O:O=D314,'Validaciones Cotizador'!T:T=""x"")),""Finalizar""))"),"")</f>
        <v/>
      </c>
    </row>
    <row r="315">
      <c r="A315" s="2" t="str">
        <f t="array" ref="A315">IF(E315="","",XLOOKUP(D315,'Validaciones Cotizador'!C:C,'Validaciones Cotizador'!A:A,"",0,1))</f>
        <v/>
      </c>
      <c r="B315" s="2" t="str">
        <f t="array" ref="B315">IF(F315="","",XLOOKUP(F315,Productos!E:E,Productos!G:G,"",0,1))</f>
        <v/>
      </c>
      <c r="C315" s="2" t="str">
        <f>IF(A315="","",SUMIFS('Validaciones Cotizador'!B:B,'Validaciones Cotizador'!C:C,D315,'Validaciones Cotizador'!A:A,A315))</f>
        <v/>
      </c>
      <c r="D315" s="4" t="str">
        <f>IFERROR(__xludf.DUMMYFUNCTION("IF(OR(F314=""Finalizar"",F314="""",F314=""Selecciona..""),"""",IF(OR(F314=""-"",INDEX(filter(Familias!F:F,Familias!D:D=A314,Familias!E:E=C314),1)=""O""),D314+1,D314))"),"")</f>
        <v/>
      </c>
      <c r="E315" s="2" t="str">
        <f>IF(OR(F315="",F315="Selecciona.."),"",IF(D315="Implemento",SUMIF(Implementos!B:B,F315,Implementos!A:A),SUMIF(Productos!E:E,F315,Productos!A:A)))</f>
        <v/>
      </c>
      <c r="F315" s="2" t="str">
        <f t="shared" si="2"/>
        <v/>
      </c>
      <c r="G315" s="10" t="str">
        <f t="array" ref="G315">IF(OR(F315="",F315="-",F315="Selecciona..",F315="Finalizar"),"",IF(A315="Rodados",XLOOKUP(B315,'Validaciones Cotizador'!I:I,'Validaciones Cotizador'!J:J,0,0,1),1))</f>
        <v/>
      </c>
      <c r="H315" s="11" t="str">
        <f>IF(OR(F315="",F315="Selecciona.."),"",SUMIF(Precio_Productos!K:K,E315,Precio_Productos!J:J)*G315)</f>
        <v/>
      </c>
      <c r="I315" s="4" t="str">
        <f t="array" ref="I315">IF($E315="","", XLOOKUP(SUMIFS(Prod_Prop!$A:$A,Prod_Prop!$B:$B,$E315,Prod_Prop!$H:$H,I$1,Prod_Prop!$I:$I,"Exacto"),Prod_Prop!$A:$A,Prod_Prop!$J:$J,"",0,1))</f>
        <v/>
      </c>
      <c r="J315" s="4" t="str">
        <f t="array" ref="J315">IF($E315="","", XLOOKUP(SUMIFS(Prod_Prop!$A:$A,Prod_Prop!$B:$B,$E315,Prod_Prop!$H:$H,J$1,Prod_Prop!$I:$I,"Exacto"),Prod_Prop!$A:$A,Prod_Prop!$J:$J,"",0,1))</f>
        <v/>
      </c>
      <c r="K315" s="4" t="str">
        <f t="array" ref="K315">IF($E315="","", XLOOKUP(SUMIFS(Prod_Prop!$A:$A,Prod_Prop!$B:$B,$E315,Prod_Prop!$H:$H,K$1,Prod_Prop!$I:$I,"Exacto"),Prod_Prop!$A:$A,Prod_Prop!$J:$J,"",0,1))</f>
        <v/>
      </c>
      <c r="L315" s="4" t="str">
        <f t="array" ref="L315">IF($E315="","", XLOOKUP(SUMIFS(Prod_Prop!$A:$A,Prod_Prop!$B:$B,$E315,Prod_Prop!$H:$H,L$1,Prod_Prop!$I:$I,"Exacto"),Prod_Prop!$A:$A,Prod_Prop!$J:$J,"",0,1))</f>
        <v/>
      </c>
      <c r="M315" s="4" t="str">
        <f t="array" ref="M315">IF($E315="","", XLOOKUP(SUMIFS(Prod_Prop!$A:$A,Prod_Prop!$B:$B,$E315,Prod_Prop!$H:$H,M$1,Prod_Prop!$I:$I,"Exacto"),Prod_Prop!$A:$A,Prod_Prop!$J:$J,"",0,1))</f>
        <v/>
      </c>
      <c r="N315" s="4" t="str">
        <f t="array" ref="N315">IF($E315="","", XLOOKUP(SUMIFS(Prod_Prop!$A:$A,Prod_Prop!$B:$B,$E315,Prod_Prop!$H:$H,N$1,Prod_Prop!$I:$I,"Exacto"),Prod_Prop!$A:$A,Prod_Prop!$J:$J,"",0,1))</f>
        <v/>
      </c>
      <c r="O315" s="4" t="str">
        <f t="array" ref="O315">IF($E315="","", XLOOKUP(SUMIFS(Prod_Prop!$A:$A,Prod_Prop!$B:$B,$E315,Prod_Prop!$H:$H,O$1,Prod_Prop!$I:$I,"Exacto"),Prod_Prop!$A:$A,Prod_Prop!$J:$J,"",0,1))</f>
        <v/>
      </c>
      <c r="P315" s="4" t="str">
        <f t="array" ref="P315">IF($E315="","", XLOOKUP(SUMIFS(Prod_Prop!$A:$A,Prod_Prop!$B:$B,$E315,Prod_Prop!$H:$H,P$1,Prod_Prop!$I:$I,"Exacto"),Prod_Prop!$A:$A,Prod_Prop!$J:$J,"",0,1))</f>
        <v/>
      </c>
      <c r="Q315" s="4" t="str">
        <f t="array" ref="Q315">IF($E315="","", XLOOKUP(SUMIFS(Prod_Prop!$A:$A,Prod_Prop!$B:$B,$E315,Prod_Prop!$H:$H,Q$1,Prod_Prop!$I:$I,"Exacto"),Prod_Prop!$A:$A,Prod_Prop!$J:$J,"",0,1))</f>
        <v/>
      </c>
      <c r="R315" s="4" t="str">
        <f t="array" ref="R315">IF($E315="","", XLOOKUP(SUMIFS(Prod_Prop!$A:$A,Prod_Prop!$B:$B,$E315,Prod_Prop!$H:$H,R$1,Prod_Prop!$I:$I,"Exacto"),Prod_Prop!$A:$A,Prod_Prop!$J:$J,"",0,1))</f>
        <v/>
      </c>
      <c r="S315" s="4" t="str">
        <f t="array" ref="S315">IF($E315="","", XLOOKUP(SUMIFS(Prod_Prop!$A:$A,Prod_Prop!$B:$B,$E315,Prod_Prop!$H:$H,S$1,Prod_Prop!$I:$I,"Exacto"),Prod_Prop!$A:$A,Prod_Prop!$J:$J,"",0,1))</f>
        <v/>
      </c>
      <c r="T315" s="4" t="str">
        <f t="array" ref="T315">IF($E315="","", XLOOKUP(SUMIFS(Prod_Prop!$A:$A,Prod_Prop!$B:$B,$E315,Prod_Prop!$H:$H,T$1,Prod_Prop!$I:$I,"Exacto"),Prod_Prop!$A:$A,Prod_Prop!$J:$J,"",0,1))</f>
        <v/>
      </c>
      <c r="U315" s="4" t="str">
        <f t="array" ref="U315">IF($E315="","", XLOOKUP(SUMIFS(Prod_Prop!$A:$A,Prod_Prop!$B:$B,$E315,Prod_Prop!$H:$H,U$1,Prod_Prop!$I:$I,"Exacto"),Prod_Prop!$A:$A,Prod_Prop!$J:$J,"",0,1))</f>
        <v/>
      </c>
      <c r="V315" s="4" t="str">
        <f t="array" ref="V315">IF($E315="","", XLOOKUP(SUMIFS(Prod_Prop!$A:$A,Prod_Prop!$B:$B,$E315,Prod_Prop!$H:$H,V$1,Prod_Prop!$I:$I,"Exacto"),Prod_Prop!$A:$A,Prod_Prop!$J:$J,"",0,1))</f>
        <v/>
      </c>
      <c r="X315" s="3" t="str">
        <f>IFERROR(__xludf.DUMMYFUNCTION("IF(D315="""","""",IFERROR(TRANSPOSE(FILTER('Validaciones Cotizador'!U:U,'Validaciones Cotizador'!O:O=D315,'Validaciones Cotizador'!T:T=""x"")),""Finalizar""))"),"")</f>
        <v/>
      </c>
    </row>
    <row r="316">
      <c r="A316" s="2" t="str">
        <f t="array" ref="A316">IF(E316="","",XLOOKUP(D316,'Validaciones Cotizador'!C:C,'Validaciones Cotizador'!A:A,"",0,1))</f>
        <v/>
      </c>
      <c r="B316" s="2" t="str">
        <f t="array" ref="B316">IF(F316="","",XLOOKUP(F316,Productos!E:E,Productos!G:G,"",0,1))</f>
        <v/>
      </c>
      <c r="C316" s="2" t="str">
        <f>IF(A316="","",SUMIFS('Validaciones Cotizador'!B:B,'Validaciones Cotizador'!C:C,D316,'Validaciones Cotizador'!A:A,A316))</f>
        <v/>
      </c>
      <c r="D316" s="4" t="str">
        <f>IFERROR(__xludf.DUMMYFUNCTION("IF(OR(F315=""Finalizar"",F315="""",F315=""Selecciona..""),"""",IF(OR(F315=""-"",INDEX(filter(Familias!F:F,Familias!D:D=A315,Familias!E:E=C315),1)=""O""),D315+1,D315))"),"")</f>
        <v/>
      </c>
      <c r="E316" s="2" t="str">
        <f>IF(OR(F316="",F316="Selecciona.."),"",IF(D316="Implemento",SUMIF(Implementos!B:B,F316,Implementos!A:A),SUMIF(Productos!E:E,F316,Productos!A:A)))</f>
        <v/>
      </c>
      <c r="F316" s="2" t="str">
        <f t="shared" si="2"/>
        <v/>
      </c>
      <c r="G316" s="10" t="str">
        <f t="array" ref="G316">IF(OR(F316="",F316="-",F316="Selecciona..",F316="Finalizar"),"",IF(A316="Rodados",XLOOKUP(B316,'Validaciones Cotizador'!I:I,'Validaciones Cotizador'!J:J,0,0,1),1))</f>
        <v/>
      </c>
      <c r="H316" s="11" t="str">
        <f>IF(OR(F316="",F316="Selecciona.."),"",SUMIF(Precio_Productos!K:K,E316,Precio_Productos!J:J)*G316)</f>
        <v/>
      </c>
      <c r="I316" s="4" t="str">
        <f t="array" ref="I316">IF($E316="","", XLOOKUP(SUMIFS(Prod_Prop!$A:$A,Prod_Prop!$B:$B,$E316,Prod_Prop!$H:$H,I$1,Prod_Prop!$I:$I,"Exacto"),Prod_Prop!$A:$A,Prod_Prop!$J:$J,"",0,1))</f>
        <v/>
      </c>
      <c r="J316" s="4" t="str">
        <f t="array" ref="J316">IF($E316="","", XLOOKUP(SUMIFS(Prod_Prop!$A:$A,Prod_Prop!$B:$B,$E316,Prod_Prop!$H:$H,J$1,Prod_Prop!$I:$I,"Exacto"),Prod_Prop!$A:$A,Prod_Prop!$J:$J,"",0,1))</f>
        <v/>
      </c>
      <c r="K316" s="4" t="str">
        <f t="array" ref="K316">IF($E316="","", XLOOKUP(SUMIFS(Prod_Prop!$A:$A,Prod_Prop!$B:$B,$E316,Prod_Prop!$H:$H,K$1,Prod_Prop!$I:$I,"Exacto"),Prod_Prop!$A:$A,Prod_Prop!$J:$J,"",0,1))</f>
        <v/>
      </c>
      <c r="L316" s="4" t="str">
        <f t="array" ref="L316">IF($E316="","", XLOOKUP(SUMIFS(Prod_Prop!$A:$A,Prod_Prop!$B:$B,$E316,Prod_Prop!$H:$H,L$1,Prod_Prop!$I:$I,"Exacto"),Prod_Prop!$A:$A,Prod_Prop!$J:$J,"",0,1))</f>
        <v/>
      </c>
      <c r="M316" s="4" t="str">
        <f t="array" ref="M316">IF($E316="","", XLOOKUP(SUMIFS(Prod_Prop!$A:$A,Prod_Prop!$B:$B,$E316,Prod_Prop!$H:$H,M$1,Prod_Prop!$I:$I,"Exacto"),Prod_Prop!$A:$A,Prod_Prop!$J:$J,"",0,1))</f>
        <v/>
      </c>
      <c r="N316" s="4" t="str">
        <f t="array" ref="N316">IF($E316="","", XLOOKUP(SUMIFS(Prod_Prop!$A:$A,Prod_Prop!$B:$B,$E316,Prod_Prop!$H:$H,N$1,Prod_Prop!$I:$I,"Exacto"),Prod_Prop!$A:$A,Prod_Prop!$J:$J,"",0,1))</f>
        <v/>
      </c>
      <c r="O316" s="4" t="str">
        <f t="array" ref="O316">IF($E316="","", XLOOKUP(SUMIFS(Prod_Prop!$A:$A,Prod_Prop!$B:$B,$E316,Prod_Prop!$H:$H,O$1,Prod_Prop!$I:$I,"Exacto"),Prod_Prop!$A:$A,Prod_Prop!$J:$J,"",0,1))</f>
        <v/>
      </c>
      <c r="P316" s="4" t="str">
        <f t="array" ref="P316">IF($E316="","", XLOOKUP(SUMIFS(Prod_Prop!$A:$A,Prod_Prop!$B:$B,$E316,Prod_Prop!$H:$H,P$1,Prod_Prop!$I:$I,"Exacto"),Prod_Prop!$A:$A,Prod_Prop!$J:$J,"",0,1))</f>
        <v/>
      </c>
      <c r="Q316" s="4" t="str">
        <f t="array" ref="Q316">IF($E316="","", XLOOKUP(SUMIFS(Prod_Prop!$A:$A,Prod_Prop!$B:$B,$E316,Prod_Prop!$H:$H,Q$1,Prod_Prop!$I:$I,"Exacto"),Prod_Prop!$A:$A,Prod_Prop!$J:$J,"",0,1))</f>
        <v/>
      </c>
      <c r="R316" s="4" t="str">
        <f t="array" ref="R316">IF($E316="","", XLOOKUP(SUMIFS(Prod_Prop!$A:$A,Prod_Prop!$B:$B,$E316,Prod_Prop!$H:$H,R$1,Prod_Prop!$I:$I,"Exacto"),Prod_Prop!$A:$A,Prod_Prop!$J:$J,"",0,1))</f>
        <v/>
      </c>
      <c r="S316" s="4" t="str">
        <f t="array" ref="S316">IF($E316="","", XLOOKUP(SUMIFS(Prod_Prop!$A:$A,Prod_Prop!$B:$B,$E316,Prod_Prop!$H:$H,S$1,Prod_Prop!$I:$I,"Exacto"),Prod_Prop!$A:$A,Prod_Prop!$J:$J,"",0,1))</f>
        <v/>
      </c>
      <c r="T316" s="4" t="str">
        <f t="array" ref="T316">IF($E316="","", XLOOKUP(SUMIFS(Prod_Prop!$A:$A,Prod_Prop!$B:$B,$E316,Prod_Prop!$H:$H,T$1,Prod_Prop!$I:$I,"Exacto"),Prod_Prop!$A:$A,Prod_Prop!$J:$J,"",0,1))</f>
        <v/>
      </c>
      <c r="U316" s="4" t="str">
        <f t="array" ref="U316">IF($E316="","", XLOOKUP(SUMIFS(Prod_Prop!$A:$A,Prod_Prop!$B:$B,$E316,Prod_Prop!$H:$H,U$1,Prod_Prop!$I:$I,"Exacto"),Prod_Prop!$A:$A,Prod_Prop!$J:$J,"",0,1))</f>
        <v/>
      </c>
      <c r="V316" s="4" t="str">
        <f t="array" ref="V316">IF($E316="","", XLOOKUP(SUMIFS(Prod_Prop!$A:$A,Prod_Prop!$B:$B,$E316,Prod_Prop!$H:$H,V$1,Prod_Prop!$I:$I,"Exacto"),Prod_Prop!$A:$A,Prod_Prop!$J:$J,"",0,1))</f>
        <v/>
      </c>
      <c r="X316" s="3" t="str">
        <f>IFERROR(__xludf.DUMMYFUNCTION("IF(D316="""","""",IFERROR(TRANSPOSE(FILTER('Validaciones Cotizador'!U:U,'Validaciones Cotizador'!O:O=D316,'Validaciones Cotizador'!T:T=""x"")),""Finalizar""))"),"")</f>
        <v/>
      </c>
    </row>
    <row r="317">
      <c r="A317" s="2" t="str">
        <f t="array" ref="A317">IF(E317="","",XLOOKUP(D317,'Validaciones Cotizador'!C:C,'Validaciones Cotizador'!A:A,"",0,1))</f>
        <v/>
      </c>
      <c r="B317" s="2" t="str">
        <f t="array" ref="B317">IF(F317="","",XLOOKUP(F317,Productos!E:E,Productos!G:G,"",0,1))</f>
        <v/>
      </c>
      <c r="C317" s="2" t="str">
        <f>IF(A317="","",SUMIFS('Validaciones Cotizador'!B:B,'Validaciones Cotizador'!C:C,D317,'Validaciones Cotizador'!A:A,A317))</f>
        <v/>
      </c>
      <c r="D317" s="4" t="str">
        <f>IFERROR(__xludf.DUMMYFUNCTION("IF(OR(F316=""Finalizar"",F316="""",F316=""Selecciona..""),"""",IF(OR(F316=""-"",INDEX(filter(Familias!F:F,Familias!D:D=A316,Familias!E:E=C316),1)=""O""),D316+1,D316))"),"")</f>
        <v/>
      </c>
      <c r="E317" s="2" t="str">
        <f>IF(OR(F317="",F317="Selecciona.."),"",IF(D317="Implemento",SUMIF(Implementos!B:B,F317,Implementos!A:A),SUMIF(Productos!E:E,F317,Productos!A:A)))</f>
        <v/>
      </c>
      <c r="F317" s="2" t="str">
        <f t="shared" si="2"/>
        <v/>
      </c>
      <c r="G317" s="10" t="str">
        <f t="array" ref="G317">IF(OR(F317="",F317="-",F317="Selecciona..",F317="Finalizar"),"",IF(A317="Rodados",XLOOKUP(B317,'Validaciones Cotizador'!I:I,'Validaciones Cotizador'!J:J,0,0,1),1))</f>
        <v/>
      </c>
      <c r="H317" s="11" t="str">
        <f>IF(OR(F317="",F317="Selecciona.."),"",SUMIF(Precio_Productos!K:K,E317,Precio_Productos!J:J)*G317)</f>
        <v/>
      </c>
      <c r="I317" s="4" t="str">
        <f t="array" ref="I317">IF($E317="","", XLOOKUP(SUMIFS(Prod_Prop!$A:$A,Prod_Prop!$B:$B,$E317,Prod_Prop!$H:$H,I$1,Prod_Prop!$I:$I,"Exacto"),Prod_Prop!$A:$A,Prod_Prop!$J:$J,"",0,1))</f>
        <v/>
      </c>
      <c r="J317" s="4" t="str">
        <f t="array" ref="J317">IF($E317="","", XLOOKUP(SUMIFS(Prod_Prop!$A:$A,Prod_Prop!$B:$B,$E317,Prod_Prop!$H:$H,J$1,Prod_Prop!$I:$I,"Exacto"),Prod_Prop!$A:$A,Prod_Prop!$J:$J,"",0,1))</f>
        <v/>
      </c>
      <c r="K317" s="4" t="str">
        <f t="array" ref="K317">IF($E317="","", XLOOKUP(SUMIFS(Prod_Prop!$A:$A,Prod_Prop!$B:$B,$E317,Prod_Prop!$H:$H,K$1,Prod_Prop!$I:$I,"Exacto"),Prod_Prop!$A:$A,Prod_Prop!$J:$J,"",0,1))</f>
        <v/>
      </c>
      <c r="L317" s="4" t="str">
        <f t="array" ref="L317">IF($E317="","", XLOOKUP(SUMIFS(Prod_Prop!$A:$A,Prod_Prop!$B:$B,$E317,Prod_Prop!$H:$H,L$1,Prod_Prop!$I:$I,"Exacto"),Prod_Prop!$A:$A,Prod_Prop!$J:$J,"",0,1))</f>
        <v/>
      </c>
      <c r="M317" s="4" t="str">
        <f t="array" ref="M317">IF($E317="","", XLOOKUP(SUMIFS(Prod_Prop!$A:$A,Prod_Prop!$B:$B,$E317,Prod_Prop!$H:$H,M$1,Prod_Prop!$I:$I,"Exacto"),Prod_Prop!$A:$A,Prod_Prop!$J:$J,"",0,1))</f>
        <v/>
      </c>
      <c r="N317" s="4" t="str">
        <f t="array" ref="N317">IF($E317="","", XLOOKUP(SUMIFS(Prod_Prop!$A:$A,Prod_Prop!$B:$B,$E317,Prod_Prop!$H:$H,N$1,Prod_Prop!$I:$I,"Exacto"),Prod_Prop!$A:$A,Prod_Prop!$J:$J,"",0,1))</f>
        <v/>
      </c>
      <c r="O317" s="4" t="str">
        <f t="array" ref="O317">IF($E317="","", XLOOKUP(SUMIFS(Prod_Prop!$A:$A,Prod_Prop!$B:$B,$E317,Prod_Prop!$H:$H,O$1,Prod_Prop!$I:$I,"Exacto"),Prod_Prop!$A:$A,Prod_Prop!$J:$J,"",0,1))</f>
        <v/>
      </c>
      <c r="P317" s="4" t="str">
        <f t="array" ref="P317">IF($E317="","", XLOOKUP(SUMIFS(Prod_Prop!$A:$A,Prod_Prop!$B:$B,$E317,Prod_Prop!$H:$H,P$1,Prod_Prop!$I:$I,"Exacto"),Prod_Prop!$A:$A,Prod_Prop!$J:$J,"",0,1))</f>
        <v/>
      </c>
      <c r="Q317" s="4" t="str">
        <f t="array" ref="Q317">IF($E317="","", XLOOKUP(SUMIFS(Prod_Prop!$A:$A,Prod_Prop!$B:$B,$E317,Prod_Prop!$H:$H,Q$1,Prod_Prop!$I:$I,"Exacto"),Prod_Prop!$A:$A,Prod_Prop!$J:$J,"",0,1))</f>
        <v/>
      </c>
      <c r="R317" s="4" t="str">
        <f t="array" ref="R317">IF($E317="","", XLOOKUP(SUMIFS(Prod_Prop!$A:$A,Prod_Prop!$B:$B,$E317,Prod_Prop!$H:$H,R$1,Prod_Prop!$I:$I,"Exacto"),Prod_Prop!$A:$A,Prod_Prop!$J:$J,"",0,1))</f>
        <v/>
      </c>
      <c r="S317" s="4" t="str">
        <f t="array" ref="S317">IF($E317="","", XLOOKUP(SUMIFS(Prod_Prop!$A:$A,Prod_Prop!$B:$B,$E317,Prod_Prop!$H:$H,S$1,Prod_Prop!$I:$I,"Exacto"),Prod_Prop!$A:$A,Prod_Prop!$J:$J,"",0,1))</f>
        <v/>
      </c>
      <c r="T317" s="4" t="str">
        <f t="array" ref="T317">IF($E317="","", XLOOKUP(SUMIFS(Prod_Prop!$A:$A,Prod_Prop!$B:$B,$E317,Prod_Prop!$H:$H,T$1,Prod_Prop!$I:$I,"Exacto"),Prod_Prop!$A:$A,Prod_Prop!$J:$J,"",0,1))</f>
        <v/>
      </c>
      <c r="U317" s="4" t="str">
        <f t="array" ref="U317">IF($E317="","", XLOOKUP(SUMIFS(Prod_Prop!$A:$A,Prod_Prop!$B:$B,$E317,Prod_Prop!$H:$H,U$1,Prod_Prop!$I:$I,"Exacto"),Prod_Prop!$A:$A,Prod_Prop!$J:$J,"",0,1))</f>
        <v/>
      </c>
      <c r="V317" s="4" t="str">
        <f t="array" ref="V317">IF($E317="","", XLOOKUP(SUMIFS(Prod_Prop!$A:$A,Prod_Prop!$B:$B,$E317,Prod_Prop!$H:$H,V$1,Prod_Prop!$I:$I,"Exacto"),Prod_Prop!$A:$A,Prod_Prop!$J:$J,"",0,1))</f>
        <v/>
      </c>
      <c r="X317" s="3" t="str">
        <f>IFERROR(__xludf.DUMMYFUNCTION("IF(D317="""","""",IFERROR(TRANSPOSE(FILTER('Validaciones Cotizador'!U:U,'Validaciones Cotizador'!O:O=D317,'Validaciones Cotizador'!T:T=""x"")),""Finalizar""))"),"")</f>
        <v/>
      </c>
    </row>
    <row r="318">
      <c r="A318" s="2" t="str">
        <f t="array" ref="A318">IF(E318="","",XLOOKUP(D318,'Validaciones Cotizador'!C:C,'Validaciones Cotizador'!A:A,"",0,1))</f>
        <v/>
      </c>
      <c r="B318" s="2" t="str">
        <f t="array" ref="B318">IF(F318="","",XLOOKUP(F318,Productos!E:E,Productos!G:G,"",0,1))</f>
        <v/>
      </c>
      <c r="C318" s="2" t="str">
        <f>IF(A318="","",SUMIFS('Validaciones Cotizador'!B:B,'Validaciones Cotizador'!C:C,D318,'Validaciones Cotizador'!A:A,A318))</f>
        <v/>
      </c>
      <c r="D318" s="4" t="str">
        <f>IFERROR(__xludf.DUMMYFUNCTION("IF(OR(F317=""Finalizar"",F317="""",F317=""Selecciona..""),"""",IF(OR(F317=""-"",INDEX(filter(Familias!F:F,Familias!D:D=A317,Familias!E:E=C317),1)=""O""),D317+1,D317))"),"")</f>
        <v/>
      </c>
      <c r="E318" s="2" t="str">
        <f>IF(OR(F318="",F318="Selecciona.."),"",IF(D318="Implemento",SUMIF(Implementos!B:B,F318,Implementos!A:A),SUMIF(Productos!E:E,F318,Productos!A:A)))</f>
        <v/>
      </c>
      <c r="F318" s="2" t="str">
        <f t="shared" si="2"/>
        <v/>
      </c>
      <c r="G318" s="10" t="str">
        <f t="array" ref="G318">IF(OR(F318="",F318="-",F318="Selecciona..",F318="Finalizar"),"",IF(A318="Rodados",XLOOKUP(B318,'Validaciones Cotizador'!I:I,'Validaciones Cotizador'!J:J,0,0,1),1))</f>
        <v/>
      </c>
      <c r="H318" s="11" t="str">
        <f>IF(OR(F318="",F318="Selecciona.."),"",SUMIF(Precio_Productos!K:K,E318,Precio_Productos!J:J)*G318)</f>
        <v/>
      </c>
      <c r="I318" s="4" t="str">
        <f t="array" ref="I318">IF($E318="","", XLOOKUP(SUMIFS(Prod_Prop!$A:$A,Prod_Prop!$B:$B,$E318,Prod_Prop!$H:$H,I$1,Prod_Prop!$I:$I,"Exacto"),Prod_Prop!$A:$A,Prod_Prop!$J:$J,"",0,1))</f>
        <v/>
      </c>
      <c r="J318" s="4" t="str">
        <f t="array" ref="J318">IF($E318="","", XLOOKUP(SUMIFS(Prod_Prop!$A:$A,Prod_Prop!$B:$B,$E318,Prod_Prop!$H:$H,J$1,Prod_Prop!$I:$I,"Exacto"),Prod_Prop!$A:$A,Prod_Prop!$J:$J,"",0,1))</f>
        <v/>
      </c>
      <c r="K318" s="4" t="str">
        <f t="array" ref="K318">IF($E318="","", XLOOKUP(SUMIFS(Prod_Prop!$A:$A,Prod_Prop!$B:$B,$E318,Prod_Prop!$H:$H,K$1,Prod_Prop!$I:$I,"Exacto"),Prod_Prop!$A:$A,Prod_Prop!$J:$J,"",0,1))</f>
        <v/>
      </c>
      <c r="L318" s="4" t="str">
        <f t="array" ref="L318">IF($E318="","", XLOOKUP(SUMIFS(Prod_Prop!$A:$A,Prod_Prop!$B:$B,$E318,Prod_Prop!$H:$H,L$1,Prod_Prop!$I:$I,"Exacto"),Prod_Prop!$A:$A,Prod_Prop!$J:$J,"",0,1))</f>
        <v/>
      </c>
      <c r="M318" s="4" t="str">
        <f t="array" ref="M318">IF($E318="","", XLOOKUP(SUMIFS(Prod_Prop!$A:$A,Prod_Prop!$B:$B,$E318,Prod_Prop!$H:$H,M$1,Prod_Prop!$I:$I,"Exacto"),Prod_Prop!$A:$A,Prod_Prop!$J:$J,"",0,1))</f>
        <v/>
      </c>
      <c r="N318" s="4" t="str">
        <f t="array" ref="N318">IF($E318="","", XLOOKUP(SUMIFS(Prod_Prop!$A:$A,Prod_Prop!$B:$B,$E318,Prod_Prop!$H:$H,N$1,Prod_Prop!$I:$I,"Exacto"),Prod_Prop!$A:$A,Prod_Prop!$J:$J,"",0,1))</f>
        <v/>
      </c>
      <c r="O318" s="4" t="str">
        <f t="array" ref="O318">IF($E318="","", XLOOKUP(SUMIFS(Prod_Prop!$A:$A,Prod_Prop!$B:$B,$E318,Prod_Prop!$H:$H,O$1,Prod_Prop!$I:$I,"Exacto"),Prod_Prop!$A:$A,Prod_Prop!$J:$J,"",0,1))</f>
        <v/>
      </c>
      <c r="P318" s="4" t="str">
        <f t="array" ref="P318">IF($E318="","", XLOOKUP(SUMIFS(Prod_Prop!$A:$A,Prod_Prop!$B:$B,$E318,Prod_Prop!$H:$H,P$1,Prod_Prop!$I:$I,"Exacto"),Prod_Prop!$A:$A,Prod_Prop!$J:$J,"",0,1))</f>
        <v/>
      </c>
      <c r="Q318" s="4" t="str">
        <f t="array" ref="Q318">IF($E318="","", XLOOKUP(SUMIFS(Prod_Prop!$A:$A,Prod_Prop!$B:$B,$E318,Prod_Prop!$H:$H,Q$1,Prod_Prop!$I:$I,"Exacto"),Prod_Prop!$A:$A,Prod_Prop!$J:$J,"",0,1))</f>
        <v/>
      </c>
      <c r="R318" s="4" t="str">
        <f t="array" ref="R318">IF($E318="","", XLOOKUP(SUMIFS(Prod_Prop!$A:$A,Prod_Prop!$B:$B,$E318,Prod_Prop!$H:$H,R$1,Prod_Prop!$I:$I,"Exacto"),Prod_Prop!$A:$A,Prod_Prop!$J:$J,"",0,1))</f>
        <v/>
      </c>
      <c r="S318" s="4" t="str">
        <f t="array" ref="S318">IF($E318="","", XLOOKUP(SUMIFS(Prod_Prop!$A:$A,Prod_Prop!$B:$B,$E318,Prod_Prop!$H:$H,S$1,Prod_Prop!$I:$I,"Exacto"),Prod_Prop!$A:$A,Prod_Prop!$J:$J,"",0,1))</f>
        <v/>
      </c>
      <c r="T318" s="4" t="str">
        <f t="array" ref="T318">IF($E318="","", XLOOKUP(SUMIFS(Prod_Prop!$A:$A,Prod_Prop!$B:$B,$E318,Prod_Prop!$H:$H,T$1,Prod_Prop!$I:$I,"Exacto"),Prod_Prop!$A:$A,Prod_Prop!$J:$J,"",0,1))</f>
        <v/>
      </c>
      <c r="U318" s="4" t="str">
        <f t="array" ref="U318">IF($E318="","", XLOOKUP(SUMIFS(Prod_Prop!$A:$A,Prod_Prop!$B:$B,$E318,Prod_Prop!$H:$H,U$1,Prod_Prop!$I:$I,"Exacto"),Prod_Prop!$A:$A,Prod_Prop!$J:$J,"",0,1))</f>
        <v/>
      </c>
      <c r="V318" s="4" t="str">
        <f t="array" ref="V318">IF($E318="","", XLOOKUP(SUMIFS(Prod_Prop!$A:$A,Prod_Prop!$B:$B,$E318,Prod_Prop!$H:$H,V$1,Prod_Prop!$I:$I,"Exacto"),Prod_Prop!$A:$A,Prod_Prop!$J:$J,"",0,1))</f>
        <v/>
      </c>
      <c r="X318" s="3" t="str">
        <f>IFERROR(__xludf.DUMMYFUNCTION("IF(D318="""","""",IFERROR(TRANSPOSE(FILTER('Validaciones Cotizador'!U:U,'Validaciones Cotizador'!O:O=D318,'Validaciones Cotizador'!T:T=""x"")),""Finalizar""))"),"")</f>
        <v/>
      </c>
    </row>
    <row r="319">
      <c r="A319" s="2" t="str">
        <f t="array" ref="A319">IF(E319="","",XLOOKUP(D319,'Validaciones Cotizador'!C:C,'Validaciones Cotizador'!A:A,"",0,1))</f>
        <v/>
      </c>
      <c r="B319" s="2" t="str">
        <f t="array" ref="B319">IF(F319="","",XLOOKUP(F319,Productos!E:E,Productos!G:G,"",0,1))</f>
        <v/>
      </c>
      <c r="C319" s="2" t="str">
        <f>IF(A319="","",SUMIFS('Validaciones Cotizador'!B:B,'Validaciones Cotizador'!C:C,D319,'Validaciones Cotizador'!A:A,A319))</f>
        <v/>
      </c>
      <c r="D319" s="4" t="str">
        <f>IFERROR(__xludf.DUMMYFUNCTION("IF(OR(F318=""Finalizar"",F318="""",F318=""Selecciona..""),"""",IF(OR(F318=""-"",INDEX(filter(Familias!F:F,Familias!D:D=A318,Familias!E:E=C318),1)=""O""),D318+1,D318))"),"")</f>
        <v/>
      </c>
      <c r="E319" s="2" t="str">
        <f>IF(OR(F319="",F319="Selecciona.."),"",IF(D319="Implemento",SUMIF(Implementos!B:B,F319,Implementos!A:A),SUMIF(Productos!E:E,F319,Productos!A:A)))</f>
        <v/>
      </c>
      <c r="F319" s="2" t="str">
        <f t="shared" si="2"/>
        <v/>
      </c>
      <c r="G319" s="10" t="str">
        <f t="array" ref="G319">IF(OR(F319="",F319="-",F319="Selecciona..",F319="Finalizar"),"",IF(A319="Rodados",XLOOKUP(B319,'Validaciones Cotizador'!I:I,'Validaciones Cotizador'!J:J,0,0,1),1))</f>
        <v/>
      </c>
      <c r="H319" s="11" t="str">
        <f>IF(OR(F319="",F319="Selecciona.."),"",SUMIF(Precio_Productos!K:K,E319,Precio_Productos!J:J)*G319)</f>
        <v/>
      </c>
      <c r="I319" s="4" t="str">
        <f t="array" ref="I319">IF($E319="","", XLOOKUP(SUMIFS(Prod_Prop!$A:$A,Prod_Prop!$B:$B,$E319,Prod_Prop!$H:$H,I$1,Prod_Prop!$I:$I,"Exacto"),Prod_Prop!$A:$A,Prod_Prop!$J:$J,"",0,1))</f>
        <v/>
      </c>
      <c r="J319" s="4" t="str">
        <f t="array" ref="J319">IF($E319="","", XLOOKUP(SUMIFS(Prod_Prop!$A:$A,Prod_Prop!$B:$B,$E319,Prod_Prop!$H:$H,J$1,Prod_Prop!$I:$I,"Exacto"),Prod_Prop!$A:$A,Prod_Prop!$J:$J,"",0,1))</f>
        <v/>
      </c>
      <c r="K319" s="4" t="str">
        <f t="array" ref="K319">IF($E319="","", XLOOKUP(SUMIFS(Prod_Prop!$A:$A,Prod_Prop!$B:$B,$E319,Prod_Prop!$H:$H,K$1,Prod_Prop!$I:$I,"Exacto"),Prod_Prop!$A:$A,Prod_Prop!$J:$J,"",0,1))</f>
        <v/>
      </c>
      <c r="L319" s="4" t="str">
        <f t="array" ref="L319">IF($E319="","", XLOOKUP(SUMIFS(Prod_Prop!$A:$A,Prod_Prop!$B:$B,$E319,Prod_Prop!$H:$H,L$1,Prod_Prop!$I:$I,"Exacto"),Prod_Prop!$A:$A,Prod_Prop!$J:$J,"",0,1))</f>
        <v/>
      </c>
      <c r="M319" s="4" t="str">
        <f t="array" ref="M319">IF($E319="","", XLOOKUP(SUMIFS(Prod_Prop!$A:$A,Prod_Prop!$B:$B,$E319,Prod_Prop!$H:$H,M$1,Prod_Prop!$I:$I,"Exacto"),Prod_Prop!$A:$A,Prod_Prop!$J:$J,"",0,1))</f>
        <v/>
      </c>
      <c r="N319" s="4" t="str">
        <f t="array" ref="N319">IF($E319="","", XLOOKUP(SUMIFS(Prod_Prop!$A:$A,Prod_Prop!$B:$B,$E319,Prod_Prop!$H:$H,N$1,Prod_Prop!$I:$I,"Exacto"),Prod_Prop!$A:$A,Prod_Prop!$J:$J,"",0,1))</f>
        <v/>
      </c>
      <c r="O319" s="4" t="str">
        <f t="array" ref="O319">IF($E319="","", XLOOKUP(SUMIFS(Prod_Prop!$A:$A,Prod_Prop!$B:$B,$E319,Prod_Prop!$H:$H,O$1,Prod_Prop!$I:$I,"Exacto"),Prod_Prop!$A:$A,Prod_Prop!$J:$J,"",0,1))</f>
        <v/>
      </c>
      <c r="P319" s="4" t="str">
        <f t="array" ref="P319">IF($E319="","", XLOOKUP(SUMIFS(Prod_Prop!$A:$A,Prod_Prop!$B:$B,$E319,Prod_Prop!$H:$H,P$1,Prod_Prop!$I:$I,"Exacto"),Prod_Prop!$A:$A,Prod_Prop!$J:$J,"",0,1))</f>
        <v/>
      </c>
      <c r="Q319" s="4" t="str">
        <f t="array" ref="Q319">IF($E319="","", XLOOKUP(SUMIFS(Prod_Prop!$A:$A,Prod_Prop!$B:$B,$E319,Prod_Prop!$H:$H,Q$1,Prod_Prop!$I:$I,"Exacto"),Prod_Prop!$A:$A,Prod_Prop!$J:$J,"",0,1))</f>
        <v/>
      </c>
      <c r="R319" s="4" t="str">
        <f t="array" ref="R319">IF($E319="","", XLOOKUP(SUMIFS(Prod_Prop!$A:$A,Prod_Prop!$B:$B,$E319,Prod_Prop!$H:$H,R$1,Prod_Prop!$I:$I,"Exacto"),Prod_Prop!$A:$A,Prod_Prop!$J:$J,"",0,1))</f>
        <v/>
      </c>
      <c r="S319" s="4" t="str">
        <f t="array" ref="S319">IF($E319="","", XLOOKUP(SUMIFS(Prod_Prop!$A:$A,Prod_Prop!$B:$B,$E319,Prod_Prop!$H:$H,S$1,Prod_Prop!$I:$I,"Exacto"),Prod_Prop!$A:$A,Prod_Prop!$J:$J,"",0,1))</f>
        <v/>
      </c>
      <c r="T319" s="4" t="str">
        <f t="array" ref="T319">IF($E319="","", XLOOKUP(SUMIFS(Prod_Prop!$A:$A,Prod_Prop!$B:$B,$E319,Prod_Prop!$H:$H,T$1,Prod_Prop!$I:$I,"Exacto"),Prod_Prop!$A:$A,Prod_Prop!$J:$J,"",0,1))</f>
        <v/>
      </c>
      <c r="U319" s="4" t="str">
        <f t="array" ref="U319">IF($E319="","", XLOOKUP(SUMIFS(Prod_Prop!$A:$A,Prod_Prop!$B:$B,$E319,Prod_Prop!$H:$H,U$1,Prod_Prop!$I:$I,"Exacto"),Prod_Prop!$A:$A,Prod_Prop!$J:$J,"",0,1))</f>
        <v/>
      </c>
      <c r="V319" s="4" t="str">
        <f t="array" ref="V319">IF($E319="","", XLOOKUP(SUMIFS(Prod_Prop!$A:$A,Prod_Prop!$B:$B,$E319,Prod_Prop!$H:$H,V$1,Prod_Prop!$I:$I,"Exacto"),Prod_Prop!$A:$A,Prod_Prop!$J:$J,"",0,1))</f>
        <v/>
      </c>
      <c r="X319" s="3" t="str">
        <f>IFERROR(__xludf.DUMMYFUNCTION("IF(D319="""","""",IFERROR(TRANSPOSE(FILTER('Validaciones Cotizador'!U:U,'Validaciones Cotizador'!O:O=D319,'Validaciones Cotizador'!T:T=""x"")),""Finalizar""))"),"")</f>
        <v/>
      </c>
    </row>
    <row r="320">
      <c r="A320" s="2" t="str">
        <f t="array" ref="A320">IF(E320="","",XLOOKUP(D320,'Validaciones Cotizador'!C:C,'Validaciones Cotizador'!A:A,"",0,1))</f>
        <v/>
      </c>
      <c r="B320" s="2" t="str">
        <f t="array" ref="B320">IF(F320="","",XLOOKUP(F320,Productos!E:E,Productos!G:G,"",0,1))</f>
        <v/>
      </c>
      <c r="C320" s="2" t="str">
        <f>IF(A320="","",SUMIFS('Validaciones Cotizador'!B:B,'Validaciones Cotizador'!C:C,D320,'Validaciones Cotizador'!A:A,A320))</f>
        <v/>
      </c>
      <c r="D320" s="4" t="str">
        <f>IFERROR(__xludf.DUMMYFUNCTION("IF(OR(F319=""Finalizar"",F319="""",F319=""Selecciona..""),"""",IF(OR(F319=""-"",INDEX(filter(Familias!F:F,Familias!D:D=A319,Familias!E:E=C319),1)=""O""),D319+1,D319))"),"")</f>
        <v/>
      </c>
      <c r="E320" s="2" t="str">
        <f>IF(OR(F320="",F320="Selecciona.."),"",IF(D320="Implemento",SUMIF(Implementos!B:B,F320,Implementos!A:A),SUMIF(Productos!E:E,F320,Productos!A:A)))</f>
        <v/>
      </c>
      <c r="F320" s="2" t="str">
        <f t="shared" si="2"/>
        <v/>
      </c>
      <c r="G320" s="10" t="str">
        <f t="array" ref="G320">IF(OR(F320="",F320="-",F320="Selecciona..",F320="Finalizar"),"",IF(A320="Rodados",XLOOKUP(B320,'Validaciones Cotizador'!I:I,'Validaciones Cotizador'!J:J,0,0,1),1))</f>
        <v/>
      </c>
      <c r="H320" s="11" t="str">
        <f>IF(OR(F320="",F320="Selecciona.."),"",SUMIF(Precio_Productos!K:K,E320,Precio_Productos!J:J)*G320)</f>
        <v/>
      </c>
      <c r="I320" s="4" t="str">
        <f t="array" ref="I320">IF($E320="","", XLOOKUP(SUMIFS(Prod_Prop!$A:$A,Prod_Prop!$B:$B,$E320,Prod_Prop!$H:$H,I$1,Prod_Prop!$I:$I,"Exacto"),Prod_Prop!$A:$A,Prod_Prop!$J:$J,"",0,1))</f>
        <v/>
      </c>
      <c r="J320" s="4" t="str">
        <f t="array" ref="J320">IF($E320="","", XLOOKUP(SUMIFS(Prod_Prop!$A:$A,Prod_Prop!$B:$B,$E320,Prod_Prop!$H:$H,J$1,Prod_Prop!$I:$I,"Exacto"),Prod_Prop!$A:$A,Prod_Prop!$J:$J,"",0,1))</f>
        <v/>
      </c>
      <c r="K320" s="4" t="str">
        <f t="array" ref="K320">IF($E320="","", XLOOKUP(SUMIFS(Prod_Prop!$A:$A,Prod_Prop!$B:$B,$E320,Prod_Prop!$H:$H,K$1,Prod_Prop!$I:$I,"Exacto"),Prod_Prop!$A:$A,Prod_Prop!$J:$J,"",0,1))</f>
        <v/>
      </c>
      <c r="L320" s="4" t="str">
        <f t="array" ref="L320">IF($E320="","", XLOOKUP(SUMIFS(Prod_Prop!$A:$A,Prod_Prop!$B:$B,$E320,Prod_Prop!$H:$H,L$1,Prod_Prop!$I:$I,"Exacto"),Prod_Prop!$A:$A,Prod_Prop!$J:$J,"",0,1))</f>
        <v/>
      </c>
      <c r="M320" s="4" t="str">
        <f t="array" ref="M320">IF($E320="","", XLOOKUP(SUMIFS(Prod_Prop!$A:$A,Prod_Prop!$B:$B,$E320,Prod_Prop!$H:$H,M$1,Prod_Prop!$I:$I,"Exacto"),Prod_Prop!$A:$A,Prod_Prop!$J:$J,"",0,1))</f>
        <v/>
      </c>
      <c r="N320" s="4" t="str">
        <f t="array" ref="N320">IF($E320="","", XLOOKUP(SUMIFS(Prod_Prop!$A:$A,Prod_Prop!$B:$B,$E320,Prod_Prop!$H:$H,N$1,Prod_Prop!$I:$I,"Exacto"),Prod_Prop!$A:$A,Prod_Prop!$J:$J,"",0,1))</f>
        <v/>
      </c>
      <c r="O320" s="4" t="str">
        <f t="array" ref="O320">IF($E320="","", XLOOKUP(SUMIFS(Prod_Prop!$A:$A,Prod_Prop!$B:$B,$E320,Prod_Prop!$H:$H,O$1,Prod_Prop!$I:$I,"Exacto"),Prod_Prop!$A:$A,Prod_Prop!$J:$J,"",0,1))</f>
        <v/>
      </c>
      <c r="P320" s="4" t="str">
        <f t="array" ref="P320">IF($E320="","", XLOOKUP(SUMIFS(Prod_Prop!$A:$A,Prod_Prop!$B:$B,$E320,Prod_Prop!$H:$H,P$1,Prod_Prop!$I:$I,"Exacto"),Prod_Prop!$A:$A,Prod_Prop!$J:$J,"",0,1))</f>
        <v/>
      </c>
      <c r="Q320" s="4" t="str">
        <f t="array" ref="Q320">IF($E320="","", XLOOKUP(SUMIFS(Prod_Prop!$A:$A,Prod_Prop!$B:$B,$E320,Prod_Prop!$H:$H,Q$1,Prod_Prop!$I:$I,"Exacto"),Prod_Prop!$A:$A,Prod_Prop!$J:$J,"",0,1))</f>
        <v/>
      </c>
      <c r="R320" s="4" t="str">
        <f t="array" ref="R320">IF($E320="","", XLOOKUP(SUMIFS(Prod_Prop!$A:$A,Prod_Prop!$B:$B,$E320,Prod_Prop!$H:$H,R$1,Prod_Prop!$I:$I,"Exacto"),Prod_Prop!$A:$A,Prod_Prop!$J:$J,"",0,1))</f>
        <v/>
      </c>
      <c r="S320" s="4" t="str">
        <f t="array" ref="S320">IF($E320="","", XLOOKUP(SUMIFS(Prod_Prop!$A:$A,Prod_Prop!$B:$B,$E320,Prod_Prop!$H:$H,S$1,Prod_Prop!$I:$I,"Exacto"),Prod_Prop!$A:$A,Prod_Prop!$J:$J,"",0,1))</f>
        <v/>
      </c>
      <c r="T320" s="4" t="str">
        <f t="array" ref="T320">IF($E320="","", XLOOKUP(SUMIFS(Prod_Prop!$A:$A,Prod_Prop!$B:$B,$E320,Prod_Prop!$H:$H,T$1,Prod_Prop!$I:$I,"Exacto"),Prod_Prop!$A:$A,Prod_Prop!$J:$J,"",0,1))</f>
        <v/>
      </c>
      <c r="U320" s="4" t="str">
        <f t="array" ref="U320">IF($E320="","", XLOOKUP(SUMIFS(Prod_Prop!$A:$A,Prod_Prop!$B:$B,$E320,Prod_Prop!$H:$H,U$1,Prod_Prop!$I:$I,"Exacto"),Prod_Prop!$A:$A,Prod_Prop!$J:$J,"",0,1))</f>
        <v/>
      </c>
      <c r="V320" s="4" t="str">
        <f t="array" ref="V320">IF($E320="","", XLOOKUP(SUMIFS(Prod_Prop!$A:$A,Prod_Prop!$B:$B,$E320,Prod_Prop!$H:$H,V$1,Prod_Prop!$I:$I,"Exacto"),Prod_Prop!$A:$A,Prod_Prop!$J:$J,"",0,1))</f>
        <v/>
      </c>
      <c r="X320" s="3" t="str">
        <f>IFERROR(__xludf.DUMMYFUNCTION("IF(D320="""","""",IFERROR(TRANSPOSE(FILTER('Validaciones Cotizador'!U:U,'Validaciones Cotizador'!O:O=D320,'Validaciones Cotizador'!T:T=""x"")),""Finalizar""))"),"")</f>
        <v/>
      </c>
    </row>
    <row r="321">
      <c r="A321" s="2" t="str">
        <f t="array" ref="A321">IF(E321="","",XLOOKUP(D321,'Validaciones Cotizador'!C:C,'Validaciones Cotizador'!A:A,"",0,1))</f>
        <v/>
      </c>
      <c r="B321" s="2" t="str">
        <f t="array" ref="B321">IF(F321="","",XLOOKUP(F321,Productos!E:E,Productos!G:G,"",0,1))</f>
        <v/>
      </c>
      <c r="C321" s="2" t="str">
        <f>IF(A321="","",SUMIFS('Validaciones Cotizador'!B:B,'Validaciones Cotizador'!C:C,D321,'Validaciones Cotizador'!A:A,A321))</f>
        <v/>
      </c>
      <c r="D321" s="4" t="str">
        <f>IFERROR(__xludf.DUMMYFUNCTION("IF(OR(F320=""Finalizar"",F320="""",F320=""Selecciona..""),"""",IF(OR(F320=""-"",INDEX(filter(Familias!F:F,Familias!D:D=A320,Familias!E:E=C320),1)=""O""),D320+1,D320))"),"")</f>
        <v/>
      </c>
      <c r="E321" s="2" t="str">
        <f>IF(OR(F321="",F321="Selecciona.."),"",IF(D321="Implemento",SUMIF(Implementos!B:B,F321,Implementos!A:A),SUMIF(Productos!E:E,F321,Productos!A:A)))</f>
        <v/>
      </c>
      <c r="F321" s="2" t="str">
        <f t="shared" si="2"/>
        <v/>
      </c>
      <c r="G321" s="10" t="str">
        <f t="array" ref="G321">IF(OR(F321="",F321="-",F321="Selecciona..",F321="Finalizar"),"",IF(A321="Rodados",XLOOKUP(B321,'Validaciones Cotizador'!I:I,'Validaciones Cotizador'!J:J,0,0,1),1))</f>
        <v/>
      </c>
      <c r="H321" s="11" t="str">
        <f>IF(OR(F321="",F321="Selecciona.."),"",SUMIF(Precio_Productos!K:K,E321,Precio_Productos!J:J)*G321)</f>
        <v/>
      </c>
      <c r="I321" s="4" t="str">
        <f t="array" ref="I321">IF($E321="","", XLOOKUP(SUMIFS(Prod_Prop!$A:$A,Prod_Prop!$B:$B,$E321,Prod_Prop!$H:$H,I$1,Prod_Prop!$I:$I,"Exacto"),Prod_Prop!$A:$A,Prod_Prop!$J:$J,"",0,1))</f>
        <v/>
      </c>
      <c r="J321" s="4" t="str">
        <f t="array" ref="J321">IF($E321="","", XLOOKUP(SUMIFS(Prod_Prop!$A:$A,Prod_Prop!$B:$B,$E321,Prod_Prop!$H:$H,J$1,Prod_Prop!$I:$I,"Exacto"),Prod_Prop!$A:$A,Prod_Prop!$J:$J,"",0,1))</f>
        <v/>
      </c>
      <c r="K321" s="4" t="str">
        <f t="array" ref="K321">IF($E321="","", XLOOKUP(SUMIFS(Prod_Prop!$A:$A,Prod_Prop!$B:$B,$E321,Prod_Prop!$H:$H,K$1,Prod_Prop!$I:$I,"Exacto"),Prod_Prop!$A:$A,Prod_Prop!$J:$J,"",0,1))</f>
        <v/>
      </c>
      <c r="L321" s="4" t="str">
        <f t="array" ref="L321">IF($E321="","", XLOOKUP(SUMIFS(Prod_Prop!$A:$A,Prod_Prop!$B:$B,$E321,Prod_Prop!$H:$H,L$1,Prod_Prop!$I:$I,"Exacto"),Prod_Prop!$A:$A,Prod_Prop!$J:$J,"",0,1))</f>
        <v/>
      </c>
      <c r="M321" s="4" t="str">
        <f t="array" ref="M321">IF($E321="","", XLOOKUP(SUMIFS(Prod_Prop!$A:$A,Prod_Prop!$B:$B,$E321,Prod_Prop!$H:$H,M$1,Prod_Prop!$I:$I,"Exacto"),Prod_Prop!$A:$A,Prod_Prop!$J:$J,"",0,1))</f>
        <v/>
      </c>
      <c r="N321" s="4" t="str">
        <f t="array" ref="N321">IF($E321="","", XLOOKUP(SUMIFS(Prod_Prop!$A:$A,Prod_Prop!$B:$B,$E321,Prod_Prop!$H:$H,N$1,Prod_Prop!$I:$I,"Exacto"),Prod_Prop!$A:$A,Prod_Prop!$J:$J,"",0,1))</f>
        <v/>
      </c>
      <c r="O321" s="4" t="str">
        <f t="array" ref="O321">IF($E321="","", XLOOKUP(SUMIFS(Prod_Prop!$A:$A,Prod_Prop!$B:$B,$E321,Prod_Prop!$H:$H,O$1,Prod_Prop!$I:$I,"Exacto"),Prod_Prop!$A:$A,Prod_Prop!$J:$J,"",0,1))</f>
        <v/>
      </c>
      <c r="P321" s="4" t="str">
        <f t="array" ref="P321">IF($E321="","", XLOOKUP(SUMIFS(Prod_Prop!$A:$A,Prod_Prop!$B:$B,$E321,Prod_Prop!$H:$H,P$1,Prod_Prop!$I:$I,"Exacto"),Prod_Prop!$A:$A,Prod_Prop!$J:$J,"",0,1))</f>
        <v/>
      </c>
      <c r="Q321" s="4" t="str">
        <f t="array" ref="Q321">IF($E321="","", XLOOKUP(SUMIFS(Prod_Prop!$A:$A,Prod_Prop!$B:$B,$E321,Prod_Prop!$H:$H,Q$1,Prod_Prop!$I:$I,"Exacto"),Prod_Prop!$A:$A,Prod_Prop!$J:$J,"",0,1))</f>
        <v/>
      </c>
      <c r="R321" s="4" t="str">
        <f t="array" ref="R321">IF($E321="","", XLOOKUP(SUMIFS(Prod_Prop!$A:$A,Prod_Prop!$B:$B,$E321,Prod_Prop!$H:$H,R$1,Prod_Prop!$I:$I,"Exacto"),Prod_Prop!$A:$A,Prod_Prop!$J:$J,"",0,1))</f>
        <v/>
      </c>
      <c r="S321" s="4" t="str">
        <f t="array" ref="S321">IF($E321="","", XLOOKUP(SUMIFS(Prod_Prop!$A:$A,Prod_Prop!$B:$B,$E321,Prod_Prop!$H:$H,S$1,Prod_Prop!$I:$I,"Exacto"),Prod_Prop!$A:$A,Prod_Prop!$J:$J,"",0,1))</f>
        <v/>
      </c>
      <c r="T321" s="4" t="str">
        <f t="array" ref="T321">IF($E321="","", XLOOKUP(SUMIFS(Prod_Prop!$A:$A,Prod_Prop!$B:$B,$E321,Prod_Prop!$H:$H,T$1,Prod_Prop!$I:$I,"Exacto"),Prod_Prop!$A:$A,Prod_Prop!$J:$J,"",0,1))</f>
        <v/>
      </c>
      <c r="U321" s="4" t="str">
        <f t="array" ref="U321">IF($E321="","", XLOOKUP(SUMIFS(Prod_Prop!$A:$A,Prod_Prop!$B:$B,$E321,Prod_Prop!$H:$H,U$1,Prod_Prop!$I:$I,"Exacto"),Prod_Prop!$A:$A,Prod_Prop!$J:$J,"",0,1))</f>
        <v/>
      </c>
      <c r="V321" s="4" t="str">
        <f t="array" ref="V321">IF($E321="","", XLOOKUP(SUMIFS(Prod_Prop!$A:$A,Prod_Prop!$B:$B,$E321,Prod_Prop!$H:$H,V$1,Prod_Prop!$I:$I,"Exacto"),Prod_Prop!$A:$A,Prod_Prop!$J:$J,"",0,1))</f>
        <v/>
      </c>
      <c r="X321" s="3" t="str">
        <f>IFERROR(__xludf.DUMMYFUNCTION("IF(D321="""","""",IFERROR(TRANSPOSE(FILTER('Validaciones Cotizador'!U:U,'Validaciones Cotizador'!O:O=D321,'Validaciones Cotizador'!T:T=""x"")),""Finalizar""))"),"")</f>
        <v/>
      </c>
    </row>
    <row r="322">
      <c r="A322" s="2" t="str">
        <f t="array" ref="A322">IF(E322="","",XLOOKUP(D322,'Validaciones Cotizador'!C:C,'Validaciones Cotizador'!A:A,"",0,1))</f>
        <v/>
      </c>
      <c r="B322" s="2" t="str">
        <f t="array" ref="B322">IF(F322="","",XLOOKUP(F322,Productos!E:E,Productos!G:G,"",0,1))</f>
        <v/>
      </c>
      <c r="C322" s="2" t="str">
        <f>IF(A322="","",SUMIFS('Validaciones Cotizador'!B:B,'Validaciones Cotizador'!C:C,D322,'Validaciones Cotizador'!A:A,A322))</f>
        <v/>
      </c>
      <c r="D322" s="4" t="str">
        <f>IFERROR(__xludf.DUMMYFUNCTION("IF(OR(F321=""Finalizar"",F321="""",F321=""Selecciona..""),"""",IF(OR(F321=""-"",INDEX(filter(Familias!F:F,Familias!D:D=A321,Familias!E:E=C321),1)=""O""),D321+1,D321))"),"")</f>
        <v/>
      </c>
      <c r="E322" s="2" t="str">
        <f>IF(OR(F322="",F322="Selecciona.."),"",IF(D322="Implemento",SUMIF(Implementos!B:B,F322,Implementos!A:A),SUMIF(Productos!E:E,F322,Productos!A:A)))</f>
        <v/>
      </c>
      <c r="F322" s="2" t="str">
        <f t="shared" si="2"/>
        <v/>
      </c>
      <c r="G322" s="10" t="str">
        <f t="array" ref="G322">IF(OR(F322="",F322="-",F322="Selecciona..",F322="Finalizar"),"",IF(A322="Rodados",XLOOKUP(B322,'Validaciones Cotizador'!I:I,'Validaciones Cotizador'!J:J,0,0,1),1))</f>
        <v/>
      </c>
      <c r="H322" s="11" t="str">
        <f>IF(OR(F322="",F322="Selecciona.."),"",SUMIF(Precio_Productos!K:K,E322,Precio_Productos!J:J)*G322)</f>
        <v/>
      </c>
      <c r="I322" s="4" t="str">
        <f t="array" ref="I322">IF($E322="","", XLOOKUP(SUMIFS(Prod_Prop!$A:$A,Prod_Prop!$B:$B,$E322,Prod_Prop!$H:$H,I$1,Prod_Prop!$I:$I,"Exacto"),Prod_Prop!$A:$A,Prod_Prop!$J:$J,"",0,1))</f>
        <v/>
      </c>
      <c r="J322" s="4" t="str">
        <f t="array" ref="J322">IF($E322="","", XLOOKUP(SUMIFS(Prod_Prop!$A:$A,Prod_Prop!$B:$B,$E322,Prod_Prop!$H:$H,J$1,Prod_Prop!$I:$I,"Exacto"),Prod_Prop!$A:$A,Prod_Prop!$J:$J,"",0,1))</f>
        <v/>
      </c>
      <c r="K322" s="4" t="str">
        <f t="array" ref="K322">IF($E322="","", XLOOKUP(SUMIFS(Prod_Prop!$A:$A,Prod_Prop!$B:$B,$E322,Prod_Prop!$H:$H,K$1,Prod_Prop!$I:$I,"Exacto"),Prod_Prop!$A:$A,Prod_Prop!$J:$J,"",0,1))</f>
        <v/>
      </c>
      <c r="L322" s="4" t="str">
        <f t="array" ref="L322">IF($E322="","", XLOOKUP(SUMIFS(Prod_Prop!$A:$A,Prod_Prop!$B:$B,$E322,Prod_Prop!$H:$H,L$1,Prod_Prop!$I:$I,"Exacto"),Prod_Prop!$A:$A,Prod_Prop!$J:$J,"",0,1))</f>
        <v/>
      </c>
      <c r="M322" s="4" t="str">
        <f t="array" ref="M322">IF($E322="","", XLOOKUP(SUMIFS(Prod_Prop!$A:$A,Prod_Prop!$B:$B,$E322,Prod_Prop!$H:$H,M$1,Prod_Prop!$I:$I,"Exacto"),Prod_Prop!$A:$A,Prod_Prop!$J:$J,"",0,1))</f>
        <v/>
      </c>
      <c r="N322" s="4" t="str">
        <f t="array" ref="N322">IF($E322="","", XLOOKUP(SUMIFS(Prod_Prop!$A:$A,Prod_Prop!$B:$B,$E322,Prod_Prop!$H:$H,N$1,Prod_Prop!$I:$I,"Exacto"),Prod_Prop!$A:$A,Prod_Prop!$J:$J,"",0,1))</f>
        <v/>
      </c>
      <c r="O322" s="4" t="str">
        <f t="array" ref="O322">IF($E322="","", XLOOKUP(SUMIFS(Prod_Prop!$A:$A,Prod_Prop!$B:$B,$E322,Prod_Prop!$H:$H,O$1,Prod_Prop!$I:$I,"Exacto"),Prod_Prop!$A:$A,Prod_Prop!$J:$J,"",0,1))</f>
        <v/>
      </c>
      <c r="P322" s="4" t="str">
        <f t="array" ref="P322">IF($E322="","", XLOOKUP(SUMIFS(Prod_Prop!$A:$A,Prod_Prop!$B:$B,$E322,Prod_Prop!$H:$H,P$1,Prod_Prop!$I:$I,"Exacto"),Prod_Prop!$A:$A,Prod_Prop!$J:$J,"",0,1))</f>
        <v/>
      </c>
      <c r="Q322" s="4" t="str">
        <f t="array" ref="Q322">IF($E322="","", XLOOKUP(SUMIFS(Prod_Prop!$A:$A,Prod_Prop!$B:$B,$E322,Prod_Prop!$H:$H,Q$1,Prod_Prop!$I:$I,"Exacto"),Prod_Prop!$A:$A,Prod_Prop!$J:$J,"",0,1))</f>
        <v/>
      </c>
      <c r="R322" s="4" t="str">
        <f t="array" ref="R322">IF($E322="","", XLOOKUP(SUMIFS(Prod_Prop!$A:$A,Prod_Prop!$B:$B,$E322,Prod_Prop!$H:$H,R$1,Prod_Prop!$I:$I,"Exacto"),Prod_Prop!$A:$A,Prod_Prop!$J:$J,"",0,1))</f>
        <v/>
      </c>
      <c r="S322" s="4" t="str">
        <f t="array" ref="S322">IF($E322="","", XLOOKUP(SUMIFS(Prod_Prop!$A:$A,Prod_Prop!$B:$B,$E322,Prod_Prop!$H:$H,S$1,Prod_Prop!$I:$I,"Exacto"),Prod_Prop!$A:$A,Prod_Prop!$J:$J,"",0,1))</f>
        <v/>
      </c>
      <c r="T322" s="4" t="str">
        <f t="array" ref="T322">IF($E322="","", XLOOKUP(SUMIFS(Prod_Prop!$A:$A,Prod_Prop!$B:$B,$E322,Prod_Prop!$H:$H,T$1,Prod_Prop!$I:$I,"Exacto"),Prod_Prop!$A:$A,Prod_Prop!$J:$J,"",0,1))</f>
        <v/>
      </c>
      <c r="U322" s="4" t="str">
        <f t="array" ref="U322">IF($E322="","", XLOOKUP(SUMIFS(Prod_Prop!$A:$A,Prod_Prop!$B:$B,$E322,Prod_Prop!$H:$H,U$1,Prod_Prop!$I:$I,"Exacto"),Prod_Prop!$A:$A,Prod_Prop!$J:$J,"",0,1))</f>
        <v/>
      </c>
      <c r="V322" s="4" t="str">
        <f t="array" ref="V322">IF($E322="","", XLOOKUP(SUMIFS(Prod_Prop!$A:$A,Prod_Prop!$B:$B,$E322,Prod_Prop!$H:$H,V$1,Prod_Prop!$I:$I,"Exacto"),Prod_Prop!$A:$A,Prod_Prop!$J:$J,"",0,1))</f>
        <v/>
      </c>
      <c r="X322" s="3" t="str">
        <f>IFERROR(__xludf.DUMMYFUNCTION("IF(D322="""","""",IFERROR(TRANSPOSE(FILTER('Validaciones Cotizador'!U:U,'Validaciones Cotizador'!O:O=D322,'Validaciones Cotizador'!T:T=""x"")),""Finalizar""))"),"")</f>
        <v/>
      </c>
    </row>
    <row r="323">
      <c r="A323" s="2" t="str">
        <f t="array" ref="A323">IF(E323="","",XLOOKUP(D323,'Validaciones Cotizador'!C:C,'Validaciones Cotizador'!A:A,"",0,1))</f>
        <v/>
      </c>
      <c r="B323" s="2" t="str">
        <f t="array" ref="B323">IF(F323="","",XLOOKUP(F323,Productos!E:E,Productos!G:G,"",0,1))</f>
        <v/>
      </c>
      <c r="C323" s="2" t="str">
        <f>IF(A323="","",SUMIFS('Validaciones Cotizador'!B:B,'Validaciones Cotizador'!C:C,D323,'Validaciones Cotizador'!A:A,A323))</f>
        <v/>
      </c>
      <c r="D323" s="4" t="str">
        <f>IFERROR(__xludf.DUMMYFUNCTION("IF(OR(F322=""Finalizar"",F322="""",F322=""Selecciona..""),"""",IF(OR(F322=""-"",INDEX(filter(Familias!F:F,Familias!D:D=A322,Familias!E:E=C322),1)=""O""),D322+1,D322))"),"")</f>
        <v/>
      </c>
      <c r="E323" s="2" t="str">
        <f>IF(OR(F323="",F323="Selecciona.."),"",IF(D323="Implemento",SUMIF(Implementos!B:B,F323,Implementos!A:A),SUMIF(Productos!E:E,F323,Productos!A:A)))</f>
        <v/>
      </c>
      <c r="F323" s="2" t="str">
        <f t="shared" si="2"/>
        <v/>
      </c>
      <c r="G323" s="10" t="str">
        <f t="array" ref="G323">IF(OR(F323="",F323="-",F323="Selecciona..",F323="Finalizar"),"",IF(A323="Rodados",XLOOKUP(B323,'Validaciones Cotizador'!I:I,'Validaciones Cotizador'!J:J,0,0,1),1))</f>
        <v/>
      </c>
      <c r="H323" s="11" t="str">
        <f>IF(OR(F323="",F323="Selecciona.."),"",SUMIF(Precio_Productos!K:K,E323,Precio_Productos!J:J)*G323)</f>
        <v/>
      </c>
      <c r="I323" s="4" t="str">
        <f t="array" ref="I323">IF($E323="","", XLOOKUP(SUMIFS(Prod_Prop!$A:$A,Prod_Prop!$B:$B,$E323,Prod_Prop!$H:$H,I$1,Prod_Prop!$I:$I,"Exacto"),Prod_Prop!$A:$A,Prod_Prop!$J:$J,"",0,1))</f>
        <v/>
      </c>
      <c r="J323" s="4" t="str">
        <f t="array" ref="J323">IF($E323="","", XLOOKUP(SUMIFS(Prod_Prop!$A:$A,Prod_Prop!$B:$B,$E323,Prod_Prop!$H:$H,J$1,Prod_Prop!$I:$I,"Exacto"),Prod_Prop!$A:$A,Prod_Prop!$J:$J,"",0,1))</f>
        <v/>
      </c>
      <c r="K323" s="4" t="str">
        <f t="array" ref="K323">IF($E323="","", XLOOKUP(SUMIFS(Prod_Prop!$A:$A,Prod_Prop!$B:$B,$E323,Prod_Prop!$H:$H,K$1,Prod_Prop!$I:$I,"Exacto"),Prod_Prop!$A:$A,Prod_Prop!$J:$J,"",0,1))</f>
        <v/>
      </c>
      <c r="L323" s="4" t="str">
        <f t="array" ref="L323">IF($E323="","", XLOOKUP(SUMIFS(Prod_Prop!$A:$A,Prod_Prop!$B:$B,$E323,Prod_Prop!$H:$H,L$1,Prod_Prop!$I:$I,"Exacto"),Prod_Prop!$A:$A,Prod_Prop!$J:$J,"",0,1))</f>
        <v/>
      </c>
      <c r="M323" s="4" t="str">
        <f t="array" ref="M323">IF($E323="","", XLOOKUP(SUMIFS(Prod_Prop!$A:$A,Prod_Prop!$B:$B,$E323,Prod_Prop!$H:$H,M$1,Prod_Prop!$I:$I,"Exacto"),Prod_Prop!$A:$A,Prod_Prop!$J:$J,"",0,1))</f>
        <v/>
      </c>
      <c r="N323" s="4" t="str">
        <f t="array" ref="N323">IF($E323="","", XLOOKUP(SUMIFS(Prod_Prop!$A:$A,Prod_Prop!$B:$B,$E323,Prod_Prop!$H:$H,N$1,Prod_Prop!$I:$I,"Exacto"),Prod_Prop!$A:$A,Prod_Prop!$J:$J,"",0,1))</f>
        <v/>
      </c>
      <c r="O323" s="4" t="str">
        <f t="array" ref="O323">IF($E323="","", XLOOKUP(SUMIFS(Prod_Prop!$A:$A,Prod_Prop!$B:$B,$E323,Prod_Prop!$H:$H,O$1,Prod_Prop!$I:$I,"Exacto"),Prod_Prop!$A:$A,Prod_Prop!$J:$J,"",0,1))</f>
        <v/>
      </c>
      <c r="P323" s="4" t="str">
        <f t="array" ref="P323">IF($E323="","", XLOOKUP(SUMIFS(Prod_Prop!$A:$A,Prod_Prop!$B:$B,$E323,Prod_Prop!$H:$H,P$1,Prod_Prop!$I:$I,"Exacto"),Prod_Prop!$A:$A,Prod_Prop!$J:$J,"",0,1))</f>
        <v/>
      </c>
      <c r="Q323" s="4" t="str">
        <f t="array" ref="Q323">IF($E323="","", XLOOKUP(SUMIFS(Prod_Prop!$A:$A,Prod_Prop!$B:$B,$E323,Prod_Prop!$H:$H,Q$1,Prod_Prop!$I:$I,"Exacto"),Prod_Prop!$A:$A,Prod_Prop!$J:$J,"",0,1))</f>
        <v/>
      </c>
      <c r="R323" s="4" t="str">
        <f t="array" ref="R323">IF($E323="","", XLOOKUP(SUMIFS(Prod_Prop!$A:$A,Prod_Prop!$B:$B,$E323,Prod_Prop!$H:$H,R$1,Prod_Prop!$I:$I,"Exacto"),Prod_Prop!$A:$A,Prod_Prop!$J:$J,"",0,1))</f>
        <v/>
      </c>
      <c r="S323" s="4" t="str">
        <f t="array" ref="S323">IF($E323="","", XLOOKUP(SUMIFS(Prod_Prop!$A:$A,Prod_Prop!$B:$B,$E323,Prod_Prop!$H:$H,S$1,Prod_Prop!$I:$I,"Exacto"),Prod_Prop!$A:$A,Prod_Prop!$J:$J,"",0,1))</f>
        <v/>
      </c>
      <c r="T323" s="4" t="str">
        <f t="array" ref="T323">IF($E323="","", XLOOKUP(SUMIFS(Prod_Prop!$A:$A,Prod_Prop!$B:$B,$E323,Prod_Prop!$H:$H,T$1,Prod_Prop!$I:$I,"Exacto"),Prod_Prop!$A:$A,Prod_Prop!$J:$J,"",0,1))</f>
        <v/>
      </c>
      <c r="U323" s="4" t="str">
        <f t="array" ref="U323">IF($E323="","", XLOOKUP(SUMIFS(Prod_Prop!$A:$A,Prod_Prop!$B:$B,$E323,Prod_Prop!$H:$H,U$1,Prod_Prop!$I:$I,"Exacto"),Prod_Prop!$A:$A,Prod_Prop!$J:$J,"",0,1))</f>
        <v/>
      </c>
      <c r="V323" s="4" t="str">
        <f t="array" ref="V323">IF($E323="","", XLOOKUP(SUMIFS(Prod_Prop!$A:$A,Prod_Prop!$B:$B,$E323,Prod_Prop!$H:$H,V$1,Prod_Prop!$I:$I,"Exacto"),Prod_Prop!$A:$A,Prod_Prop!$J:$J,"",0,1))</f>
        <v/>
      </c>
      <c r="X323" s="3" t="str">
        <f>IFERROR(__xludf.DUMMYFUNCTION("IF(D323="""","""",IFERROR(TRANSPOSE(FILTER('Validaciones Cotizador'!U:U,'Validaciones Cotizador'!O:O=D323,'Validaciones Cotizador'!T:T=""x"")),""Finalizar""))"),"")</f>
        <v/>
      </c>
    </row>
    <row r="324">
      <c r="A324" s="2" t="str">
        <f t="array" ref="A324">IF(E324="","",XLOOKUP(D324,'Validaciones Cotizador'!C:C,'Validaciones Cotizador'!A:A,"",0,1))</f>
        <v/>
      </c>
      <c r="B324" s="2" t="str">
        <f t="array" ref="B324">IF(F324="","",XLOOKUP(F324,Productos!E:E,Productos!G:G,"",0,1))</f>
        <v/>
      </c>
      <c r="C324" s="2" t="str">
        <f>IF(A324="","",SUMIFS('Validaciones Cotizador'!B:B,'Validaciones Cotizador'!C:C,D324,'Validaciones Cotizador'!A:A,A324))</f>
        <v/>
      </c>
      <c r="D324" s="4" t="str">
        <f>IFERROR(__xludf.DUMMYFUNCTION("IF(OR(F323=""Finalizar"",F323="""",F323=""Selecciona..""),"""",IF(OR(F323=""-"",INDEX(filter(Familias!F:F,Familias!D:D=A323,Familias!E:E=C323),1)=""O""),D323+1,D323))"),"")</f>
        <v/>
      </c>
      <c r="E324" s="2" t="str">
        <f>IF(OR(F324="",F324="Selecciona.."),"",IF(D324="Implemento",SUMIF(Implementos!B:B,F324,Implementos!A:A),SUMIF(Productos!E:E,F324,Productos!A:A)))</f>
        <v/>
      </c>
      <c r="F324" s="2" t="str">
        <f t="shared" si="2"/>
        <v/>
      </c>
      <c r="G324" s="10" t="str">
        <f t="array" ref="G324">IF(OR(F324="",F324="-",F324="Selecciona..",F324="Finalizar"),"",IF(A324="Rodados",XLOOKUP(B324,'Validaciones Cotizador'!I:I,'Validaciones Cotizador'!J:J,0,0,1),1))</f>
        <v/>
      </c>
      <c r="H324" s="11" t="str">
        <f>IF(OR(F324="",F324="Selecciona.."),"",SUMIF(Precio_Productos!K:K,E324,Precio_Productos!J:J)*G324)</f>
        <v/>
      </c>
      <c r="I324" s="4" t="str">
        <f t="array" ref="I324">IF($E324="","", XLOOKUP(SUMIFS(Prod_Prop!$A:$A,Prod_Prop!$B:$B,$E324,Prod_Prop!$H:$H,I$1,Prod_Prop!$I:$I,"Exacto"),Prod_Prop!$A:$A,Prod_Prop!$J:$J,"",0,1))</f>
        <v/>
      </c>
      <c r="J324" s="4" t="str">
        <f t="array" ref="J324">IF($E324="","", XLOOKUP(SUMIFS(Prod_Prop!$A:$A,Prod_Prop!$B:$B,$E324,Prod_Prop!$H:$H,J$1,Prod_Prop!$I:$I,"Exacto"),Prod_Prop!$A:$A,Prod_Prop!$J:$J,"",0,1))</f>
        <v/>
      </c>
      <c r="K324" s="4" t="str">
        <f t="array" ref="K324">IF($E324="","", XLOOKUP(SUMIFS(Prod_Prop!$A:$A,Prod_Prop!$B:$B,$E324,Prod_Prop!$H:$H,K$1,Prod_Prop!$I:$I,"Exacto"),Prod_Prop!$A:$A,Prod_Prop!$J:$J,"",0,1))</f>
        <v/>
      </c>
      <c r="L324" s="4" t="str">
        <f t="array" ref="L324">IF($E324="","", XLOOKUP(SUMIFS(Prod_Prop!$A:$A,Prod_Prop!$B:$B,$E324,Prod_Prop!$H:$H,L$1,Prod_Prop!$I:$I,"Exacto"),Prod_Prop!$A:$A,Prod_Prop!$J:$J,"",0,1))</f>
        <v/>
      </c>
      <c r="M324" s="4" t="str">
        <f t="array" ref="M324">IF($E324="","", XLOOKUP(SUMIFS(Prod_Prop!$A:$A,Prod_Prop!$B:$B,$E324,Prod_Prop!$H:$H,M$1,Prod_Prop!$I:$I,"Exacto"),Prod_Prop!$A:$A,Prod_Prop!$J:$J,"",0,1))</f>
        <v/>
      </c>
      <c r="N324" s="4" t="str">
        <f t="array" ref="N324">IF($E324="","", XLOOKUP(SUMIFS(Prod_Prop!$A:$A,Prod_Prop!$B:$B,$E324,Prod_Prop!$H:$H,N$1,Prod_Prop!$I:$I,"Exacto"),Prod_Prop!$A:$A,Prod_Prop!$J:$J,"",0,1))</f>
        <v/>
      </c>
      <c r="O324" s="4" t="str">
        <f t="array" ref="O324">IF($E324="","", XLOOKUP(SUMIFS(Prod_Prop!$A:$A,Prod_Prop!$B:$B,$E324,Prod_Prop!$H:$H,O$1,Prod_Prop!$I:$I,"Exacto"),Prod_Prop!$A:$A,Prod_Prop!$J:$J,"",0,1))</f>
        <v/>
      </c>
      <c r="P324" s="4" t="str">
        <f t="array" ref="P324">IF($E324="","", XLOOKUP(SUMIFS(Prod_Prop!$A:$A,Prod_Prop!$B:$B,$E324,Prod_Prop!$H:$H,P$1,Prod_Prop!$I:$I,"Exacto"),Prod_Prop!$A:$A,Prod_Prop!$J:$J,"",0,1))</f>
        <v/>
      </c>
      <c r="Q324" s="4" t="str">
        <f t="array" ref="Q324">IF($E324="","", XLOOKUP(SUMIFS(Prod_Prop!$A:$A,Prod_Prop!$B:$B,$E324,Prod_Prop!$H:$H,Q$1,Prod_Prop!$I:$I,"Exacto"),Prod_Prop!$A:$A,Prod_Prop!$J:$J,"",0,1))</f>
        <v/>
      </c>
      <c r="R324" s="4" t="str">
        <f t="array" ref="R324">IF($E324="","", XLOOKUP(SUMIFS(Prod_Prop!$A:$A,Prod_Prop!$B:$B,$E324,Prod_Prop!$H:$H,R$1,Prod_Prop!$I:$I,"Exacto"),Prod_Prop!$A:$A,Prod_Prop!$J:$J,"",0,1))</f>
        <v/>
      </c>
      <c r="S324" s="4" t="str">
        <f t="array" ref="S324">IF($E324="","", XLOOKUP(SUMIFS(Prod_Prop!$A:$A,Prod_Prop!$B:$B,$E324,Prod_Prop!$H:$H,S$1,Prod_Prop!$I:$I,"Exacto"),Prod_Prop!$A:$A,Prod_Prop!$J:$J,"",0,1))</f>
        <v/>
      </c>
      <c r="T324" s="4" t="str">
        <f t="array" ref="T324">IF($E324="","", XLOOKUP(SUMIFS(Prod_Prop!$A:$A,Prod_Prop!$B:$B,$E324,Prod_Prop!$H:$H,T$1,Prod_Prop!$I:$I,"Exacto"),Prod_Prop!$A:$A,Prod_Prop!$J:$J,"",0,1))</f>
        <v/>
      </c>
      <c r="U324" s="4" t="str">
        <f t="array" ref="U324">IF($E324="","", XLOOKUP(SUMIFS(Prod_Prop!$A:$A,Prod_Prop!$B:$B,$E324,Prod_Prop!$H:$H,U$1,Prod_Prop!$I:$I,"Exacto"),Prod_Prop!$A:$A,Prod_Prop!$J:$J,"",0,1))</f>
        <v/>
      </c>
      <c r="V324" s="4" t="str">
        <f t="array" ref="V324">IF($E324="","", XLOOKUP(SUMIFS(Prod_Prop!$A:$A,Prod_Prop!$B:$B,$E324,Prod_Prop!$H:$H,V$1,Prod_Prop!$I:$I,"Exacto"),Prod_Prop!$A:$A,Prod_Prop!$J:$J,"",0,1))</f>
        <v/>
      </c>
      <c r="X324" s="3" t="str">
        <f>IFERROR(__xludf.DUMMYFUNCTION("IF(D324="""","""",IFERROR(TRANSPOSE(FILTER('Validaciones Cotizador'!U:U,'Validaciones Cotizador'!O:O=D324,'Validaciones Cotizador'!T:T=""x"")),""Finalizar""))"),"")</f>
        <v/>
      </c>
    </row>
    <row r="325">
      <c r="A325" s="2" t="str">
        <f t="array" ref="A325">IF(E325="","",XLOOKUP(D325,'Validaciones Cotizador'!C:C,'Validaciones Cotizador'!A:A,"",0,1))</f>
        <v/>
      </c>
      <c r="B325" s="2" t="str">
        <f t="array" ref="B325">IF(F325="","",XLOOKUP(F325,Productos!E:E,Productos!G:G,"",0,1))</f>
        <v/>
      </c>
      <c r="C325" s="2" t="str">
        <f>IF(A325="","",SUMIFS('Validaciones Cotizador'!B:B,'Validaciones Cotizador'!C:C,D325,'Validaciones Cotizador'!A:A,A325))</f>
        <v/>
      </c>
      <c r="D325" s="4" t="str">
        <f>IFERROR(__xludf.DUMMYFUNCTION("IF(OR(F324=""Finalizar"",F324="""",F324=""Selecciona..""),"""",IF(OR(F324=""-"",INDEX(filter(Familias!F:F,Familias!D:D=A324,Familias!E:E=C324),1)=""O""),D324+1,D324))"),"")</f>
        <v/>
      </c>
      <c r="E325" s="2" t="str">
        <f>IF(OR(F325="",F325="Selecciona.."),"",IF(D325="Implemento",SUMIF(Implementos!B:B,F325,Implementos!A:A),SUMIF(Productos!E:E,F325,Productos!A:A)))</f>
        <v/>
      </c>
      <c r="F325" s="2" t="str">
        <f t="shared" si="2"/>
        <v/>
      </c>
      <c r="G325" s="10" t="str">
        <f t="array" ref="G325">IF(OR(F325="",F325="-",F325="Selecciona..",F325="Finalizar"),"",IF(A325="Rodados",XLOOKUP(B325,'Validaciones Cotizador'!I:I,'Validaciones Cotizador'!J:J,0,0,1),1))</f>
        <v/>
      </c>
      <c r="H325" s="11" t="str">
        <f>IF(OR(F325="",F325="Selecciona.."),"",SUMIF(Precio_Productos!K:K,E325,Precio_Productos!J:J)*G325)</f>
        <v/>
      </c>
      <c r="I325" s="4" t="str">
        <f t="array" ref="I325">IF($E325="","", XLOOKUP(SUMIFS(Prod_Prop!$A:$A,Prod_Prop!$B:$B,$E325,Prod_Prop!$H:$H,I$1,Prod_Prop!$I:$I,"Exacto"),Prod_Prop!$A:$A,Prod_Prop!$J:$J,"",0,1))</f>
        <v/>
      </c>
      <c r="J325" s="4" t="str">
        <f t="array" ref="J325">IF($E325="","", XLOOKUP(SUMIFS(Prod_Prop!$A:$A,Prod_Prop!$B:$B,$E325,Prod_Prop!$H:$H,J$1,Prod_Prop!$I:$I,"Exacto"),Prod_Prop!$A:$A,Prod_Prop!$J:$J,"",0,1))</f>
        <v/>
      </c>
      <c r="K325" s="4" t="str">
        <f t="array" ref="K325">IF($E325="","", XLOOKUP(SUMIFS(Prod_Prop!$A:$A,Prod_Prop!$B:$B,$E325,Prod_Prop!$H:$H,K$1,Prod_Prop!$I:$I,"Exacto"),Prod_Prop!$A:$A,Prod_Prop!$J:$J,"",0,1))</f>
        <v/>
      </c>
      <c r="L325" s="4" t="str">
        <f t="array" ref="L325">IF($E325="","", XLOOKUP(SUMIFS(Prod_Prop!$A:$A,Prod_Prop!$B:$B,$E325,Prod_Prop!$H:$H,L$1,Prod_Prop!$I:$I,"Exacto"),Prod_Prop!$A:$A,Prod_Prop!$J:$J,"",0,1))</f>
        <v/>
      </c>
      <c r="M325" s="4" t="str">
        <f t="array" ref="M325">IF($E325="","", XLOOKUP(SUMIFS(Prod_Prop!$A:$A,Prod_Prop!$B:$B,$E325,Prod_Prop!$H:$H,M$1,Prod_Prop!$I:$I,"Exacto"),Prod_Prop!$A:$A,Prod_Prop!$J:$J,"",0,1))</f>
        <v/>
      </c>
      <c r="N325" s="4" t="str">
        <f t="array" ref="N325">IF($E325="","", XLOOKUP(SUMIFS(Prod_Prop!$A:$A,Prod_Prop!$B:$B,$E325,Prod_Prop!$H:$H,N$1,Prod_Prop!$I:$I,"Exacto"),Prod_Prop!$A:$A,Prod_Prop!$J:$J,"",0,1))</f>
        <v/>
      </c>
      <c r="O325" s="4" t="str">
        <f t="array" ref="O325">IF($E325="","", XLOOKUP(SUMIFS(Prod_Prop!$A:$A,Prod_Prop!$B:$B,$E325,Prod_Prop!$H:$H,O$1,Prod_Prop!$I:$I,"Exacto"),Prod_Prop!$A:$A,Prod_Prop!$J:$J,"",0,1))</f>
        <v/>
      </c>
      <c r="P325" s="4" t="str">
        <f t="array" ref="P325">IF($E325="","", XLOOKUP(SUMIFS(Prod_Prop!$A:$A,Prod_Prop!$B:$B,$E325,Prod_Prop!$H:$H,P$1,Prod_Prop!$I:$I,"Exacto"),Prod_Prop!$A:$A,Prod_Prop!$J:$J,"",0,1))</f>
        <v/>
      </c>
      <c r="Q325" s="4" t="str">
        <f t="array" ref="Q325">IF($E325="","", XLOOKUP(SUMIFS(Prod_Prop!$A:$A,Prod_Prop!$B:$B,$E325,Prod_Prop!$H:$H,Q$1,Prod_Prop!$I:$I,"Exacto"),Prod_Prop!$A:$A,Prod_Prop!$J:$J,"",0,1))</f>
        <v/>
      </c>
      <c r="R325" s="4" t="str">
        <f t="array" ref="R325">IF($E325="","", XLOOKUP(SUMIFS(Prod_Prop!$A:$A,Prod_Prop!$B:$B,$E325,Prod_Prop!$H:$H,R$1,Prod_Prop!$I:$I,"Exacto"),Prod_Prop!$A:$A,Prod_Prop!$J:$J,"",0,1))</f>
        <v/>
      </c>
      <c r="S325" s="4" t="str">
        <f t="array" ref="S325">IF($E325="","", XLOOKUP(SUMIFS(Prod_Prop!$A:$A,Prod_Prop!$B:$B,$E325,Prod_Prop!$H:$H,S$1,Prod_Prop!$I:$I,"Exacto"),Prod_Prop!$A:$A,Prod_Prop!$J:$J,"",0,1))</f>
        <v/>
      </c>
      <c r="T325" s="4" t="str">
        <f t="array" ref="T325">IF($E325="","", XLOOKUP(SUMIFS(Prod_Prop!$A:$A,Prod_Prop!$B:$B,$E325,Prod_Prop!$H:$H,T$1,Prod_Prop!$I:$I,"Exacto"),Prod_Prop!$A:$A,Prod_Prop!$J:$J,"",0,1))</f>
        <v/>
      </c>
      <c r="U325" s="4" t="str">
        <f t="array" ref="U325">IF($E325="","", XLOOKUP(SUMIFS(Prod_Prop!$A:$A,Prod_Prop!$B:$B,$E325,Prod_Prop!$H:$H,U$1,Prod_Prop!$I:$I,"Exacto"),Prod_Prop!$A:$A,Prod_Prop!$J:$J,"",0,1))</f>
        <v/>
      </c>
      <c r="V325" s="4" t="str">
        <f t="array" ref="V325">IF($E325="","", XLOOKUP(SUMIFS(Prod_Prop!$A:$A,Prod_Prop!$B:$B,$E325,Prod_Prop!$H:$H,V$1,Prod_Prop!$I:$I,"Exacto"),Prod_Prop!$A:$A,Prod_Prop!$J:$J,"",0,1))</f>
        <v/>
      </c>
      <c r="X325" s="3" t="str">
        <f>IFERROR(__xludf.DUMMYFUNCTION("IF(D325="""","""",IFERROR(TRANSPOSE(FILTER('Validaciones Cotizador'!U:U,'Validaciones Cotizador'!O:O=D325,'Validaciones Cotizador'!T:T=""x"")),""Finalizar""))"),"")</f>
        <v/>
      </c>
    </row>
    <row r="326">
      <c r="A326" s="2" t="str">
        <f t="array" ref="A326">IF(E326="","",XLOOKUP(D326,'Validaciones Cotizador'!C:C,'Validaciones Cotizador'!A:A,"",0,1))</f>
        <v/>
      </c>
      <c r="B326" s="2" t="str">
        <f t="array" ref="B326">IF(F326="","",XLOOKUP(F326,Productos!E:E,Productos!G:G,"",0,1))</f>
        <v/>
      </c>
      <c r="C326" s="2" t="str">
        <f>IF(A326="","",SUMIFS('Validaciones Cotizador'!B:B,'Validaciones Cotizador'!C:C,D326,'Validaciones Cotizador'!A:A,A326))</f>
        <v/>
      </c>
      <c r="D326" s="4" t="str">
        <f>IFERROR(__xludf.DUMMYFUNCTION("IF(OR(F325=""Finalizar"",F325="""",F325=""Selecciona..""),"""",IF(OR(F325=""-"",INDEX(filter(Familias!F:F,Familias!D:D=A325,Familias!E:E=C325),1)=""O""),D325+1,D325))"),"")</f>
        <v/>
      </c>
      <c r="E326" s="2" t="str">
        <f>IF(OR(F326="",F326="Selecciona.."),"",IF(D326="Implemento",SUMIF(Implementos!B:B,F326,Implementos!A:A),SUMIF(Productos!E:E,F326,Productos!A:A)))</f>
        <v/>
      </c>
      <c r="F326" s="2" t="str">
        <f t="shared" si="2"/>
        <v/>
      </c>
      <c r="G326" s="10" t="str">
        <f t="array" ref="G326">IF(OR(F326="",F326="-",F326="Selecciona..",F326="Finalizar"),"",IF(A326="Rodados",XLOOKUP(B326,'Validaciones Cotizador'!I:I,'Validaciones Cotizador'!J:J,0,0,1),1))</f>
        <v/>
      </c>
      <c r="H326" s="11" t="str">
        <f>IF(OR(F326="",F326="Selecciona.."),"",SUMIF(Precio_Productos!K:K,E326,Precio_Productos!J:J)*G326)</f>
        <v/>
      </c>
      <c r="I326" s="4" t="str">
        <f t="array" ref="I326">IF($E326="","", XLOOKUP(SUMIFS(Prod_Prop!$A:$A,Prod_Prop!$B:$B,$E326,Prod_Prop!$H:$H,I$1,Prod_Prop!$I:$I,"Exacto"),Prod_Prop!$A:$A,Prod_Prop!$J:$J,"",0,1))</f>
        <v/>
      </c>
      <c r="J326" s="4" t="str">
        <f t="array" ref="J326">IF($E326="","", XLOOKUP(SUMIFS(Prod_Prop!$A:$A,Prod_Prop!$B:$B,$E326,Prod_Prop!$H:$H,J$1,Prod_Prop!$I:$I,"Exacto"),Prod_Prop!$A:$A,Prod_Prop!$J:$J,"",0,1))</f>
        <v/>
      </c>
      <c r="K326" s="4" t="str">
        <f t="array" ref="K326">IF($E326="","", XLOOKUP(SUMIFS(Prod_Prop!$A:$A,Prod_Prop!$B:$B,$E326,Prod_Prop!$H:$H,K$1,Prod_Prop!$I:$I,"Exacto"),Prod_Prop!$A:$A,Prod_Prop!$J:$J,"",0,1))</f>
        <v/>
      </c>
      <c r="L326" s="4" t="str">
        <f t="array" ref="L326">IF($E326="","", XLOOKUP(SUMIFS(Prod_Prop!$A:$A,Prod_Prop!$B:$B,$E326,Prod_Prop!$H:$H,L$1,Prod_Prop!$I:$I,"Exacto"),Prod_Prop!$A:$A,Prod_Prop!$J:$J,"",0,1))</f>
        <v/>
      </c>
      <c r="M326" s="4" t="str">
        <f t="array" ref="M326">IF($E326="","", XLOOKUP(SUMIFS(Prod_Prop!$A:$A,Prod_Prop!$B:$B,$E326,Prod_Prop!$H:$H,M$1,Prod_Prop!$I:$I,"Exacto"),Prod_Prop!$A:$A,Prod_Prop!$J:$J,"",0,1))</f>
        <v/>
      </c>
      <c r="N326" s="4" t="str">
        <f t="array" ref="N326">IF($E326="","", XLOOKUP(SUMIFS(Prod_Prop!$A:$A,Prod_Prop!$B:$B,$E326,Prod_Prop!$H:$H,N$1,Prod_Prop!$I:$I,"Exacto"),Prod_Prop!$A:$A,Prod_Prop!$J:$J,"",0,1))</f>
        <v/>
      </c>
      <c r="O326" s="4" t="str">
        <f t="array" ref="O326">IF($E326="","", XLOOKUP(SUMIFS(Prod_Prop!$A:$A,Prod_Prop!$B:$B,$E326,Prod_Prop!$H:$H,O$1,Prod_Prop!$I:$I,"Exacto"),Prod_Prop!$A:$A,Prod_Prop!$J:$J,"",0,1))</f>
        <v/>
      </c>
      <c r="P326" s="4" t="str">
        <f t="array" ref="P326">IF($E326="","", XLOOKUP(SUMIFS(Prod_Prop!$A:$A,Prod_Prop!$B:$B,$E326,Prod_Prop!$H:$H,P$1,Prod_Prop!$I:$I,"Exacto"),Prod_Prop!$A:$A,Prod_Prop!$J:$J,"",0,1))</f>
        <v/>
      </c>
      <c r="Q326" s="4" t="str">
        <f t="array" ref="Q326">IF($E326="","", XLOOKUP(SUMIFS(Prod_Prop!$A:$A,Prod_Prop!$B:$B,$E326,Prod_Prop!$H:$H,Q$1,Prod_Prop!$I:$I,"Exacto"),Prod_Prop!$A:$A,Prod_Prop!$J:$J,"",0,1))</f>
        <v/>
      </c>
      <c r="R326" s="4" t="str">
        <f t="array" ref="R326">IF($E326="","", XLOOKUP(SUMIFS(Prod_Prop!$A:$A,Prod_Prop!$B:$B,$E326,Prod_Prop!$H:$H,R$1,Prod_Prop!$I:$I,"Exacto"),Prod_Prop!$A:$A,Prod_Prop!$J:$J,"",0,1))</f>
        <v/>
      </c>
      <c r="S326" s="4" t="str">
        <f t="array" ref="S326">IF($E326="","", XLOOKUP(SUMIFS(Prod_Prop!$A:$A,Prod_Prop!$B:$B,$E326,Prod_Prop!$H:$H,S$1,Prod_Prop!$I:$I,"Exacto"),Prod_Prop!$A:$A,Prod_Prop!$J:$J,"",0,1))</f>
        <v/>
      </c>
      <c r="T326" s="4" t="str">
        <f t="array" ref="T326">IF($E326="","", XLOOKUP(SUMIFS(Prod_Prop!$A:$A,Prod_Prop!$B:$B,$E326,Prod_Prop!$H:$H,T$1,Prod_Prop!$I:$I,"Exacto"),Prod_Prop!$A:$A,Prod_Prop!$J:$J,"",0,1))</f>
        <v/>
      </c>
      <c r="U326" s="4" t="str">
        <f t="array" ref="U326">IF($E326="","", XLOOKUP(SUMIFS(Prod_Prop!$A:$A,Prod_Prop!$B:$B,$E326,Prod_Prop!$H:$H,U$1,Prod_Prop!$I:$I,"Exacto"),Prod_Prop!$A:$A,Prod_Prop!$J:$J,"",0,1))</f>
        <v/>
      </c>
      <c r="V326" s="4" t="str">
        <f t="array" ref="V326">IF($E326="","", XLOOKUP(SUMIFS(Prod_Prop!$A:$A,Prod_Prop!$B:$B,$E326,Prod_Prop!$H:$H,V$1,Prod_Prop!$I:$I,"Exacto"),Prod_Prop!$A:$A,Prod_Prop!$J:$J,"",0,1))</f>
        <v/>
      </c>
      <c r="X326" s="3" t="str">
        <f>IFERROR(__xludf.DUMMYFUNCTION("IF(D326="""","""",IFERROR(TRANSPOSE(FILTER('Validaciones Cotizador'!U:U,'Validaciones Cotizador'!O:O=D326,'Validaciones Cotizador'!T:T=""x"")),""Finalizar""))"),"")</f>
        <v/>
      </c>
    </row>
    <row r="327">
      <c r="A327" s="2" t="str">
        <f t="array" ref="A327">IF(E327="","",XLOOKUP(D327,'Validaciones Cotizador'!C:C,'Validaciones Cotizador'!A:A,"",0,1))</f>
        <v/>
      </c>
      <c r="B327" s="2" t="str">
        <f t="array" ref="B327">IF(F327="","",XLOOKUP(F327,Productos!E:E,Productos!G:G,"",0,1))</f>
        <v/>
      </c>
      <c r="C327" s="2" t="str">
        <f>IF(A327="","",SUMIFS('Validaciones Cotizador'!B:B,'Validaciones Cotizador'!C:C,D327,'Validaciones Cotizador'!A:A,A327))</f>
        <v/>
      </c>
      <c r="D327" s="4" t="str">
        <f>IFERROR(__xludf.DUMMYFUNCTION("IF(OR(F326=""Finalizar"",F326="""",F326=""Selecciona..""),"""",IF(OR(F326=""-"",INDEX(filter(Familias!F:F,Familias!D:D=A326,Familias!E:E=C326),1)=""O""),D326+1,D326))"),"")</f>
        <v/>
      </c>
      <c r="E327" s="2" t="str">
        <f>IF(OR(F327="",F327="Selecciona.."),"",IF(D327="Implemento",SUMIF(Implementos!B:B,F327,Implementos!A:A),SUMIF(Productos!E:E,F327,Productos!A:A)))</f>
        <v/>
      </c>
      <c r="F327" s="2" t="str">
        <f t="shared" si="2"/>
        <v/>
      </c>
      <c r="G327" s="10" t="str">
        <f t="array" ref="G327">IF(OR(F327="",F327="-",F327="Selecciona..",F327="Finalizar"),"",IF(A327="Rodados",XLOOKUP(B327,'Validaciones Cotizador'!I:I,'Validaciones Cotizador'!J:J,0,0,1),1))</f>
        <v/>
      </c>
      <c r="H327" s="11" t="str">
        <f>IF(OR(F327="",F327="Selecciona.."),"",SUMIF(Precio_Productos!K:K,E327,Precio_Productos!J:J)*G327)</f>
        <v/>
      </c>
      <c r="I327" s="4" t="str">
        <f t="array" ref="I327">IF($E327="","", XLOOKUP(SUMIFS(Prod_Prop!$A:$A,Prod_Prop!$B:$B,$E327,Prod_Prop!$H:$H,I$1,Prod_Prop!$I:$I,"Exacto"),Prod_Prop!$A:$A,Prod_Prop!$J:$J,"",0,1))</f>
        <v/>
      </c>
      <c r="J327" s="4" t="str">
        <f t="array" ref="J327">IF($E327="","", XLOOKUP(SUMIFS(Prod_Prop!$A:$A,Prod_Prop!$B:$B,$E327,Prod_Prop!$H:$H,J$1,Prod_Prop!$I:$I,"Exacto"),Prod_Prop!$A:$A,Prod_Prop!$J:$J,"",0,1))</f>
        <v/>
      </c>
      <c r="K327" s="4" t="str">
        <f t="array" ref="K327">IF($E327="","", XLOOKUP(SUMIFS(Prod_Prop!$A:$A,Prod_Prop!$B:$B,$E327,Prod_Prop!$H:$H,K$1,Prod_Prop!$I:$I,"Exacto"),Prod_Prop!$A:$A,Prod_Prop!$J:$J,"",0,1))</f>
        <v/>
      </c>
      <c r="L327" s="4" t="str">
        <f t="array" ref="L327">IF($E327="","", XLOOKUP(SUMIFS(Prod_Prop!$A:$A,Prod_Prop!$B:$B,$E327,Prod_Prop!$H:$H,L$1,Prod_Prop!$I:$I,"Exacto"),Prod_Prop!$A:$A,Prod_Prop!$J:$J,"",0,1))</f>
        <v/>
      </c>
      <c r="M327" s="4" t="str">
        <f t="array" ref="M327">IF($E327="","", XLOOKUP(SUMIFS(Prod_Prop!$A:$A,Prod_Prop!$B:$B,$E327,Prod_Prop!$H:$H,M$1,Prod_Prop!$I:$I,"Exacto"),Prod_Prop!$A:$A,Prod_Prop!$J:$J,"",0,1))</f>
        <v/>
      </c>
      <c r="N327" s="4" t="str">
        <f t="array" ref="N327">IF($E327="","", XLOOKUP(SUMIFS(Prod_Prop!$A:$A,Prod_Prop!$B:$B,$E327,Prod_Prop!$H:$H,N$1,Prod_Prop!$I:$I,"Exacto"),Prod_Prop!$A:$A,Prod_Prop!$J:$J,"",0,1))</f>
        <v/>
      </c>
      <c r="O327" s="4" t="str">
        <f t="array" ref="O327">IF($E327="","", XLOOKUP(SUMIFS(Prod_Prop!$A:$A,Prod_Prop!$B:$B,$E327,Prod_Prop!$H:$H,O$1,Prod_Prop!$I:$I,"Exacto"),Prod_Prop!$A:$A,Prod_Prop!$J:$J,"",0,1))</f>
        <v/>
      </c>
      <c r="P327" s="4" t="str">
        <f t="array" ref="P327">IF($E327="","", XLOOKUP(SUMIFS(Prod_Prop!$A:$A,Prod_Prop!$B:$B,$E327,Prod_Prop!$H:$H,P$1,Prod_Prop!$I:$I,"Exacto"),Prod_Prop!$A:$A,Prod_Prop!$J:$J,"",0,1))</f>
        <v/>
      </c>
      <c r="Q327" s="4" t="str">
        <f t="array" ref="Q327">IF($E327="","", XLOOKUP(SUMIFS(Prod_Prop!$A:$A,Prod_Prop!$B:$B,$E327,Prod_Prop!$H:$H,Q$1,Prod_Prop!$I:$I,"Exacto"),Prod_Prop!$A:$A,Prod_Prop!$J:$J,"",0,1))</f>
        <v/>
      </c>
      <c r="R327" s="4" t="str">
        <f t="array" ref="R327">IF($E327="","", XLOOKUP(SUMIFS(Prod_Prop!$A:$A,Prod_Prop!$B:$B,$E327,Prod_Prop!$H:$H,R$1,Prod_Prop!$I:$I,"Exacto"),Prod_Prop!$A:$A,Prod_Prop!$J:$J,"",0,1))</f>
        <v/>
      </c>
      <c r="S327" s="4" t="str">
        <f t="array" ref="S327">IF($E327="","", XLOOKUP(SUMIFS(Prod_Prop!$A:$A,Prod_Prop!$B:$B,$E327,Prod_Prop!$H:$H,S$1,Prod_Prop!$I:$I,"Exacto"),Prod_Prop!$A:$A,Prod_Prop!$J:$J,"",0,1))</f>
        <v/>
      </c>
      <c r="T327" s="4" t="str">
        <f t="array" ref="T327">IF($E327="","", XLOOKUP(SUMIFS(Prod_Prop!$A:$A,Prod_Prop!$B:$B,$E327,Prod_Prop!$H:$H,T$1,Prod_Prop!$I:$I,"Exacto"),Prod_Prop!$A:$A,Prod_Prop!$J:$J,"",0,1))</f>
        <v/>
      </c>
      <c r="U327" s="4" t="str">
        <f t="array" ref="U327">IF($E327="","", XLOOKUP(SUMIFS(Prod_Prop!$A:$A,Prod_Prop!$B:$B,$E327,Prod_Prop!$H:$H,U$1,Prod_Prop!$I:$I,"Exacto"),Prod_Prop!$A:$A,Prod_Prop!$J:$J,"",0,1))</f>
        <v/>
      </c>
      <c r="V327" s="4" t="str">
        <f t="array" ref="V327">IF($E327="","", XLOOKUP(SUMIFS(Prod_Prop!$A:$A,Prod_Prop!$B:$B,$E327,Prod_Prop!$H:$H,V$1,Prod_Prop!$I:$I,"Exacto"),Prod_Prop!$A:$A,Prod_Prop!$J:$J,"",0,1))</f>
        <v/>
      </c>
      <c r="X327" s="3" t="str">
        <f>IFERROR(__xludf.DUMMYFUNCTION("IF(D327="""","""",IFERROR(TRANSPOSE(FILTER('Validaciones Cotizador'!U:U,'Validaciones Cotizador'!O:O=D327,'Validaciones Cotizador'!T:T=""x"")),""Finalizar""))"),"")</f>
        <v/>
      </c>
    </row>
    <row r="328">
      <c r="A328" s="2" t="str">
        <f t="array" ref="A328">IF(E328="","",XLOOKUP(D328,'Validaciones Cotizador'!C:C,'Validaciones Cotizador'!A:A,"",0,1))</f>
        <v/>
      </c>
      <c r="B328" s="2" t="str">
        <f t="array" ref="B328">IF(F328="","",XLOOKUP(F328,Productos!E:E,Productos!G:G,"",0,1))</f>
        <v/>
      </c>
      <c r="C328" s="2" t="str">
        <f>IF(A328="","",SUMIFS('Validaciones Cotizador'!B:B,'Validaciones Cotizador'!C:C,D328,'Validaciones Cotizador'!A:A,A328))</f>
        <v/>
      </c>
      <c r="D328" s="4" t="str">
        <f>IFERROR(__xludf.DUMMYFUNCTION("IF(OR(F327=""Finalizar"",F327="""",F327=""Selecciona..""),"""",IF(OR(F327=""-"",INDEX(filter(Familias!F:F,Familias!D:D=A327,Familias!E:E=C327),1)=""O""),D327+1,D327))"),"")</f>
        <v/>
      </c>
      <c r="E328" s="2" t="str">
        <f>IF(OR(F328="",F328="Selecciona.."),"",IF(D328="Implemento",SUMIF(Implementos!B:B,F328,Implementos!A:A),SUMIF(Productos!E:E,F328,Productos!A:A)))</f>
        <v/>
      </c>
      <c r="F328" s="2" t="str">
        <f t="shared" si="2"/>
        <v/>
      </c>
      <c r="G328" s="10" t="str">
        <f t="array" ref="G328">IF(OR(F328="",F328="-",F328="Selecciona..",F328="Finalizar"),"",IF(A328="Rodados",XLOOKUP(B328,'Validaciones Cotizador'!I:I,'Validaciones Cotizador'!J:J,0,0,1),1))</f>
        <v/>
      </c>
      <c r="H328" s="11" t="str">
        <f>IF(OR(F328="",F328="Selecciona.."),"",SUMIF(Precio_Productos!K:K,E328,Precio_Productos!J:J)*G328)</f>
        <v/>
      </c>
      <c r="I328" s="4" t="str">
        <f t="array" ref="I328">IF($E328="","", XLOOKUP(SUMIFS(Prod_Prop!$A:$A,Prod_Prop!$B:$B,$E328,Prod_Prop!$H:$H,I$1,Prod_Prop!$I:$I,"Exacto"),Prod_Prop!$A:$A,Prod_Prop!$J:$J,"",0,1))</f>
        <v/>
      </c>
      <c r="J328" s="4" t="str">
        <f t="array" ref="J328">IF($E328="","", XLOOKUP(SUMIFS(Prod_Prop!$A:$A,Prod_Prop!$B:$B,$E328,Prod_Prop!$H:$H,J$1,Prod_Prop!$I:$I,"Exacto"),Prod_Prop!$A:$A,Prod_Prop!$J:$J,"",0,1))</f>
        <v/>
      </c>
      <c r="K328" s="4" t="str">
        <f t="array" ref="K328">IF($E328="","", XLOOKUP(SUMIFS(Prod_Prop!$A:$A,Prod_Prop!$B:$B,$E328,Prod_Prop!$H:$H,K$1,Prod_Prop!$I:$I,"Exacto"),Prod_Prop!$A:$A,Prod_Prop!$J:$J,"",0,1))</f>
        <v/>
      </c>
      <c r="L328" s="4" t="str">
        <f t="array" ref="L328">IF($E328="","", XLOOKUP(SUMIFS(Prod_Prop!$A:$A,Prod_Prop!$B:$B,$E328,Prod_Prop!$H:$H,L$1,Prod_Prop!$I:$I,"Exacto"),Prod_Prop!$A:$A,Prod_Prop!$J:$J,"",0,1))</f>
        <v/>
      </c>
      <c r="M328" s="4" t="str">
        <f t="array" ref="M328">IF($E328="","", XLOOKUP(SUMIFS(Prod_Prop!$A:$A,Prod_Prop!$B:$B,$E328,Prod_Prop!$H:$H,M$1,Prod_Prop!$I:$I,"Exacto"),Prod_Prop!$A:$A,Prod_Prop!$J:$J,"",0,1))</f>
        <v/>
      </c>
      <c r="N328" s="4" t="str">
        <f t="array" ref="N328">IF($E328="","", XLOOKUP(SUMIFS(Prod_Prop!$A:$A,Prod_Prop!$B:$B,$E328,Prod_Prop!$H:$H,N$1,Prod_Prop!$I:$I,"Exacto"),Prod_Prop!$A:$A,Prod_Prop!$J:$J,"",0,1))</f>
        <v/>
      </c>
      <c r="O328" s="4" t="str">
        <f t="array" ref="O328">IF($E328="","", XLOOKUP(SUMIFS(Prod_Prop!$A:$A,Prod_Prop!$B:$B,$E328,Prod_Prop!$H:$H,O$1,Prod_Prop!$I:$I,"Exacto"),Prod_Prop!$A:$A,Prod_Prop!$J:$J,"",0,1))</f>
        <v/>
      </c>
      <c r="P328" s="4" t="str">
        <f t="array" ref="P328">IF($E328="","", XLOOKUP(SUMIFS(Prod_Prop!$A:$A,Prod_Prop!$B:$B,$E328,Prod_Prop!$H:$H,P$1,Prod_Prop!$I:$I,"Exacto"),Prod_Prop!$A:$A,Prod_Prop!$J:$J,"",0,1))</f>
        <v/>
      </c>
      <c r="Q328" s="4" t="str">
        <f t="array" ref="Q328">IF($E328="","", XLOOKUP(SUMIFS(Prod_Prop!$A:$A,Prod_Prop!$B:$B,$E328,Prod_Prop!$H:$H,Q$1,Prod_Prop!$I:$I,"Exacto"),Prod_Prop!$A:$A,Prod_Prop!$J:$J,"",0,1))</f>
        <v/>
      </c>
      <c r="R328" s="4" t="str">
        <f t="array" ref="R328">IF($E328="","", XLOOKUP(SUMIFS(Prod_Prop!$A:$A,Prod_Prop!$B:$B,$E328,Prod_Prop!$H:$H,R$1,Prod_Prop!$I:$I,"Exacto"),Prod_Prop!$A:$A,Prod_Prop!$J:$J,"",0,1))</f>
        <v/>
      </c>
      <c r="S328" s="4" t="str">
        <f t="array" ref="S328">IF($E328="","", XLOOKUP(SUMIFS(Prod_Prop!$A:$A,Prod_Prop!$B:$B,$E328,Prod_Prop!$H:$H,S$1,Prod_Prop!$I:$I,"Exacto"),Prod_Prop!$A:$A,Prod_Prop!$J:$J,"",0,1))</f>
        <v/>
      </c>
      <c r="T328" s="4" t="str">
        <f t="array" ref="T328">IF($E328="","", XLOOKUP(SUMIFS(Prod_Prop!$A:$A,Prod_Prop!$B:$B,$E328,Prod_Prop!$H:$H,T$1,Prod_Prop!$I:$I,"Exacto"),Prod_Prop!$A:$A,Prod_Prop!$J:$J,"",0,1))</f>
        <v/>
      </c>
      <c r="U328" s="4" t="str">
        <f t="array" ref="U328">IF($E328="","", XLOOKUP(SUMIFS(Prod_Prop!$A:$A,Prod_Prop!$B:$B,$E328,Prod_Prop!$H:$H,U$1,Prod_Prop!$I:$I,"Exacto"),Prod_Prop!$A:$A,Prod_Prop!$J:$J,"",0,1))</f>
        <v/>
      </c>
      <c r="V328" s="4" t="str">
        <f t="array" ref="V328">IF($E328="","", XLOOKUP(SUMIFS(Prod_Prop!$A:$A,Prod_Prop!$B:$B,$E328,Prod_Prop!$H:$H,V$1,Prod_Prop!$I:$I,"Exacto"),Prod_Prop!$A:$A,Prod_Prop!$J:$J,"",0,1))</f>
        <v/>
      </c>
      <c r="X328" s="3" t="str">
        <f>IFERROR(__xludf.DUMMYFUNCTION("IF(D328="""","""",IFERROR(TRANSPOSE(FILTER('Validaciones Cotizador'!U:U,'Validaciones Cotizador'!O:O=D328,'Validaciones Cotizador'!T:T=""x"")),""Finalizar""))"),"")</f>
        <v/>
      </c>
    </row>
    <row r="329">
      <c r="A329" s="2" t="str">
        <f t="array" ref="A329">IF(E329="","",XLOOKUP(D329,'Validaciones Cotizador'!C:C,'Validaciones Cotizador'!A:A,"",0,1))</f>
        <v/>
      </c>
      <c r="B329" s="2" t="str">
        <f t="array" ref="B329">IF(F329="","",XLOOKUP(F329,Productos!E:E,Productos!G:G,"",0,1))</f>
        <v/>
      </c>
      <c r="C329" s="2" t="str">
        <f>IF(A329="","",SUMIFS('Validaciones Cotizador'!B:B,'Validaciones Cotizador'!C:C,D329,'Validaciones Cotizador'!A:A,A329))</f>
        <v/>
      </c>
      <c r="D329" s="4" t="str">
        <f>IFERROR(__xludf.DUMMYFUNCTION("IF(OR(F328=""Finalizar"",F328="""",F328=""Selecciona..""),"""",IF(OR(F328=""-"",INDEX(filter(Familias!F:F,Familias!D:D=A328,Familias!E:E=C328),1)=""O""),D328+1,D328))"),"")</f>
        <v/>
      </c>
      <c r="E329" s="2" t="str">
        <f>IF(OR(F329="",F329="Selecciona.."),"",IF(D329="Implemento",SUMIF(Implementos!B:B,F329,Implementos!A:A),SUMIF(Productos!E:E,F329,Productos!A:A)))</f>
        <v/>
      </c>
      <c r="F329" s="2" t="str">
        <f t="shared" si="2"/>
        <v/>
      </c>
      <c r="G329" s="10" t="str">
        <f t="array" ref="G329">IF(OR(F329="",F329="-",F329="Selecciona..",F329="Finalizar"),"",IF(A329="Rodados",XLOOKUP(B329,'Validaciones Cotizador'!I:I,'Validaciones Cotizador'!J:J,0,0,1),1))</f>
        <v/>
      </c>
      <c r="H329" s="11" t="str">
        <f>IF(OR(F329="",F329="Selecciona.."),"",SUMIF(Precio_Productos!K:K,E329,Precio_Productos!J:J)*G329)</f>
        <v/>
      </c>
      <c r="I329" s="4" t="str">
        <f t="array" ref="I329">IF($E329="","", XLOOKUP(SUMIFS(Prod_Prop!$A:$A,Prod_Prop!$B:$B,$E329,Prod_Prop!$H:$H,I$1,Prod_Prop!$I:$I,"Exacto"),Prod_Prop!$A:$A,Prod_Prop!$J:$J,"",0,1))</f>
        <v/>
      </c>
      <c r="J329" s="4" t="str">
        <f t="array" ref="J329">IF($E329="","", XLOOKUP(SUMIFS(Prod_Prop!$A:$A,Prod_Prop!$B:$B,$E329,Prod_Prop!$H:$H,J$1,Prod_Prop!$I:$I,"Exacto"),Prod_Prop!$A:$A,Prod_Prop!$J:$J,"",0,1))</f>
        <v/>
      </c>
      <c r="K329" s="4" t="str">
        <f t="array" ref="K329">IF($E329="","", XLOOKUP(SUMIFS(Prod_Prop!$A:$A,Prod_Prop!$B:$B,$E329,Prod_Prop!$H:$H,K$1,Prod_Prop!$I:$I,"Exacto"),Prod_Prop!$A:$A,Prod_Prop!$J:$J,"",0,1))</f>
        <v/>
      </c>
      <c r="L329" s="4" t="str">
        <f t="array" ref="L329">IF($E329="","", XLOOKUP(SUMIFS(Prod_Prop!$A:$A,Prod_Prop!$B:$B,$E329,Prod_Prop!$H:$H,L$1,Prod_Prop!$I:$I,"Exacto"),Prod_Prop!$A:$A,Prod_Prop!$J:$J,"",0,1))</f>
        <v/>
      </c>
      <c r="M329" s="4" t="str">
        <f t="array" ref="M329">IF($E329="","", XLOOKUP(SUMIFS(Prod_Prop!$A:$A,Prod_Prop!$B:$B,$E329,Prod_Prop!$H:$H,M$1,Prod_Prop!$I:$I,"Exacto"),Prod_Prop!$A:$A,Prod_Prop!$J:$J,"",0,1))</f>
        <v/>
      </c>
      <c r="N329" s="4" t="str">
        <f t="array" ref="N329">IF($E329="","", XLOOKUP(SUMIFS(Prod_Prop!$A:$A,Prod_Prop!$B:$B,$E329,Prod_Prop!$H:$H,N$1,Prod_Prop!$I:$I,"Exacto"),Prod_Prop!$A:$A,Prod_Prop!$J:$J,"",0,1))</f>
        <v/>
      </c>
      <c r="O329" s="4" t="str">
        <f t="array" ref="O329">IF($E329="","", XLOOKUP(SUMIFS(Prod_Prop!$A:$A,Prod_Prop!$B:$B,$E329,Prod_Prop!$H:$H,O$1,Prod_Prop!$I:$I,"Exacto"),Prod_Prop!$A:$A,Prod_Prop!$J:$J,"",0,1))</f>
        <v/>
      </c>
      <c r="P329" s="4" t="str">
        <f t="array" ref="P329">IF($E329="","", XLOOKUP(SUMIFS(Prod_Prop!$A:$A,Prod_Prop!$B:$B,$E329,Prod_Prop!$H:$H,P$1,Prod_Prop!$I:$I,"Exacto"),Prod_Prop!$A:$A,Prod_Prop!$J:$J,"",0,1))</f>
        <v/>
      </c>
      <c r="Q329" s="4" t="str">
        <f t="array" ref="Q329">IF($E329="","", XLOOKUP(SUMIFS(Prod_Prop!$A:$A,Prod_Prop!$B:$B,$E329,Prod_Prop!$H:$H,Q$1,Prod_Prop!$I:$I,"Exacto"),Prod_Prop!$A:$A,Prod_Prop!$J:$J,"",0,1))</f>
        <v/>
      </c>
      <c r="R329" s="4" t="str">
        <f t="array" ref="R329">IF($E329="","", XLOOKUP(SUMIFS(Prod_Prop!$A:$A,Prod_Prop!$B:$B,$E329,Prod_Prop!$H:$H,R$1,Prod_Prop!$I:$I,"Exacto"),Prod_Prop!$A:$A,Prod_Prop!$J:$J,"",0,1))</f>
        <v/>
      </c>
      <c r="S329" s="4" t="str">
        <f t="array" ref="S329">IF($E329="","", XLOOKUP(SUMIFS(Prod_Prop!$A:$A,Prod_Prop!$B:$B,$E329,Prod_Prop!$H:$H,S$1,Prod_Prop!$I:$I,"Exacto"),Prod_Prop!$A:$A,Prod_Prop!$J:$J,"",0,1))</f>
        <v/>
      </c>
      <c r="T329" s="4" t="str">
        <f t="array" ref="T329">IF($E329="","", XLOOKUP(SUMIFS(Prod_Prop!$A:$A,Prod_Prop!$B:$B,$E329,Prod_Prop!$H:$H,T$1,Prod_Prop!$I:$I,"Exacto"),Prod_Prop!$A:$A,Prod_Prop!$J:$J,"",0,1))</f>
        <v/>
      </c>
      <c r="U329" s="4" t="str">
        <f t="array" ref="U329">IF($E329="","", XLOOKUP(SUMIFS(Prod_Prop!$A:$A,Prod_Prop!$B:$B,$E329,Prod_Prop!$H:$H,U$1,Prod_Prop!$I:$I,"Exacto"),Prod_Prop!$A:$A,Prod_Prop!$J:$J,"",0,1))</f>
        <v/>
      </c>
      <c r="V329" s="4" t="str">
        <f t="array" ref="V329">IF($E329="","", XLOOKUP(SUMIFS(Prod_Prop!$A:$A,Prod_Prop!$B:$B,$E329,Prod_Prop!$H:$H,V$1,Prod_Prop!$I:$I,"Exacto"),Prod_Prop!$A:$A,Prod_Prop!$J:$J,"",0,1))</f>
        <v/>
      </c>
      <c r="X329" s="3" t="str">
        <f>IFERROR(__xludf.DUMMYFUNCTION("IF(D329="""","""",IFERROR(TRANSPOSE(FILTER('Validaciones Cotizador'!U:U,'Validaciones Cotizador'!O:O=D329,'Validaciones Cotizador'!T:T=""x"")),""Finalizar""))"),"")</f>
        <v/>
      </c>
    </row>
    <row r="330">
      <c r="A330" s="2" t="str">
        <f t="array" ref="A330">IF(E330="","",XLOOKUP(D330,'Validaciones Cotizador'!C:C,'Validaciones Cotizador'!A:A,"",0,1))</f>
        <v/>
      </c>
      <c r="B330" s="2" t="str">
        <f t="array" ref="B330">IF(F330="","",XLOOKUP(F330,Productos!E:E,Productos!G:G,"",0,1))</f>
        <v/>
      </c>
      <c r="C330" s="2" t="str">
        <f>IF(A330="","",SUMIFS('Validaciones Cotizador'!B:B,'Validaciones Cotizador'!C:C,D330,'Validaciones Cotizador'!A:A,A330))</f>
        <v/>
      </c>
      <c r="D330" s="4" t="str">
        <f>IFERROR(__xludf.DUMMYFUNCTION("IF(OR(F329=""Finalizar"",F329="""",F329=""Selecciona..""),"""",IF(OR(F329=""-"",INDEX(filter(Familias!F:F,Familias!D:D=A329,Familias!E:E=C329),1)=""O""),D329+1,D329))"),"")</f>
        <v/>
      </c>
      <c r="E330" s="2" t="str">
        <f>IF(OR(F330="",F330="Selecciona.."),"",IF(D330="Implemento",SUMIF(Implementos!B:B,F330,Implementos!A:A),SUMIF(Productos!E:E,F330,Productos!A:A)))</f>
        <v/>
      </c>
      <c r="F330" s="2" t="str">
        <f t="shared" si="2"/>
        <v/>
      </c>
      <c r="G330" s="10" t="str">
        <f t="array" ref="G330">IF(OR(F330="",F330="-",F330="Selecciona..",F330="Finalizar"),"",IF(A330="Rodados",XLOOKUP(B330,'Validaciones Cotizador'!I:I,'Validaciones Cotizador'!J:J,0,0,1),1))</f>
        <v/>
      </c>
      <c r="H330" s="11" t="str">
        <f>IF(OR(F330="",F330="Selecciona.."),"",SUMIF(Precio_Productos!K:K,E330,Precio_Productos!J:J)*G330)</f>
        <v/>
      </c>
      <c r="I330" s="4" t="str">
        <f t="array" ref="I330">IF($E330="","", XLOOKUP(SUMIFS(Prod_Prop!$A:$A,Prod_Prop!$B:$B,$E330,Prod_Prop!$H:$H,I$1,Prod_Prop!$I:$I,"Exacto"),Prod_Prop!$A:$A,Prod_Prop!$J:$J,"",0,1))</f>
        <v/>
      </c>
      <c r="J330" s="4" t="str">
        <f t="array" ref="J330">IF($E330="","", XLOOKUP(SUMIFS(Prod_Prop!$A:$A,Prod_Prop!$B:$B,$E330,Prod_Prop!$H:$H,J$1,Prod_Prop!$I:$I,"Exacto"),Prod_Prop!$A:$A,Prod_Prop!$J:$J,"",0,1))</f>
        <v/>
      </c>
      <c r="K330" s="4" t="str">
        <f t="array" ref="K330">IF($E330="","", XLOOKUP(SUMIFS(Prod_Prop!$A:$A,Prod_Prop!$B:$B,$E330,Prod_Prop!$H:$H,K$1,Prod_Prop!$I:$I,"Exacto"),Prod_Prop!$A:$A,Prod_Prop!$J:$J,"",0,1))</f>
        <v/>
      </c>
      <c r="L330" s="4" t="str">
        <f t="array" ref="L330">IF($E330="","", XLOOKUP(SUMIFS(Prod_Prop!$A:$A,Prod_Prop!$B:$B,$E330,Prod_Prop!$H:$H,L$1,Prod_Prop!$I:$I,"Exacto"),Prod_Prop!$A:$A,Prod_Prop!$J:$J,"",0,1))</f>
        <v/>
      </c>
      <c r="M330" s="4" t="str">
        <f t="array" ref="M330">IF($E330="","", XLOOKUP(SUMIFS(Prod_Prop!$A:$A,Prod_Prop!$B:$B,$E330,Prod_Prop!$H:$H,M$1,Prod_Prop!$I:$I,"Exacto"),Prod_Prop!$A:$A,Prod_Prop!$J:$J,"",0,1))</f>
        <v/>
      </c>
      <c r="N330" s="4" t="str">
        <f t="array" ref="N330">IF($E330="","", XLOOKUP(SUMIFS(Prod_Prop!$A:$A,Prod_Prop!$B:$B,$E330,Prod_Prop!$H:$H,N$1,Prod_Prop!$I:$I,"Exacto"),Prod_Prop!$A:$A,Prod_Prop!$J:$J,"",0,1))</f>
        <v/>
      </c>
      <c r="O330" s="4" t="str">
        <f t="array" ref="O330">IF($E330="","", XLOOKUP(SUMIFS(Prod_Prop!$A:$A,Prod_Prop!$B:$B,$E330,Prod_Prop!$H:$H,O$1,Prod_Prop!$I:$I,"Exacto"),Prod_Prop!$A:$A,Prod_Prop!$J:$J,"",0,1))</f>
        <v/>
      </c>
      <c r="P330" s="4" t="str">
        <f t="array" ref="P330">IF($E330="","", XLOOKUP(SUMIFS(Prod_Prop!$A:$A,Prod_Prop!$B:$B,$E330,Prod_Prop!$H:$H,P$1,Prod_Prop!$I:$I,"Exacto"),Prod_Prop!$A:$A,Prod_Prop!$J:$J,"",0,1))</f>
        <v/>
      </c>
      <c r="Q330" s="4" t="str">
        <f t="array" ref="Q330">IF($E330="","", XLOOKUP(SUMIFS(Prod_Prop!$A:$A,Prod_Prop!$B:$B,$E330,Prod_Prop!$H:$H,Q$1,Prod_Prop!$I:$I,"Exacto"),Prod_Prop!$A:$A,Prod_Prop!$J:$J,"",0,1))</f>
        <v/>
      </c>
      <c r="R330" s="4" t="str">
        <f t="array" ref="R330">IF($E330="","", XLOOKUP(SUMIFS(Prod_Prop!$A:$A,Prod_Prop!$B:$B,$E330,Prod_Prop!$H:$H,R$1,Prod_Prop!$I:$I,"Exacto"),Prod_Prop!$A:$A,Prod_Prop!$J:$J,"",0,1))</f>
        <v/>
      </c>
      <c r="S330" s="4" t="str">
        <f t="array" ref="S330">IF($E330="","", XLOOKUP(SUMIFS(Prod_Prop!$A:$A,Prod_Prop!$B:$B,$E330,Prod_Prop!$H:$H,S$1,Prod_Prop!$I:$I,"Exacto"),Prod_Prop!$A:$A,Prod_Prop!$J:$J,"",0,1))</f>
        <v/>
      </c>
      <c r="T330" s="4" t="str">
        <f t="array" ref="T330">IF($E330="","", XLOOKUP(SUMIFS(Prod_Prop!$A:$A,Prod_Prop!$B:$B,$E330,Prod_Prop!$H:$H,T$1,Prod_Prop!$I:$I,"Exacto"),Prod_Prop!$A:$A,Prod_Prop!$J:$J,"",0,1))</f>
        <v/>
      </c>
      <c r="U330" s="4" t="str">
        <f t="array" ref="U330">IF($E330="","", XLOOKUP(SUMIFS(Prod_Prop!$A:$A,Prod_Prop!$B:$B,$E330,Prod_Prop!$H:$H,U$1,Prod_Prop!$I:$I,"Exacto"),Prod_Prop!$A:$A,Prod_Prop!$J:$J,"",0,1))</f>
        <v/>
      </c>
      <c r="V330" s="4" t="str">
        <f t="array" ref="V330">IF($E330="","", XLOOKUP(SUMIFS(Prod_Prop!$A:$A,Prod_Prop!$B:$B,$E330,Prod_Prop!$H:$H,V$1,Prod_Prop!$I:$I,"Exacto"),Prod_Prop!$A:$A,Prod_Prop!$J:$J,"",0,1))</f>
        <v/>
      </c>
      <c r="X330" s="3" t="str">
        <f>IFERROR(__xludf.DUMMYFUNCTION("IF(D330="""","""",IFERROR(TRANSPOSE(FILTER('Validaciones Cotizador'!U:U,'Validaciones Cotizador'!O:O=D330,'Validaciones Cotizador'!T:T=""x"")),""Finalizar""))"),"")</f>
        <v/>
      </c>
    </row>
    <row r="331">
      <c r="A331" s="2" t="str">
        <f t="array" ref="A331">IF(E331="","",XLOOKUP(D331,'Validaciones Cotizador'!C:C,'Validaciones Cotizador'!A:A,"",0,1))</f>
        <v/>
      </c>
      <c r="B331" s="2" t="str">
        <f t="array" ref="B331">IF(F331="","",XLOOKUP(F331,Productos!E:E,Productos!G:G,"",0,1))</f>
        <v/>
      </c>
      <c r="C331" s="2" t="str">
        <f>IF(A331="","",SUMIFS('Validaciones Cotizador'!B:B,'Validaciones Cotizador'!C:C,D331,'Validaciones Cotizador'!A:A,A331))</f>
        <v/>
      </c>
      <c r="D331" s="4" t="str">
        <f>IFERROR(__xludf.DUMMYFUNCTION("IF(OR(F330=""Finalizar"",F330="""",F330=""Selecciona..""),"""",IF(OR(F330=""-"",INDEX(filter(Familias!F:F,Familias!D:D=A330,Familias!E:E=C330),1)=""O""),D330+1,D330))"),"")</f>
        <v/>
      </c>
      <c r="E331" s="2" t="str">
        <f>IF(OR(F331="",F331="Selecciona.."),"",IF(D331="Implemento",SUMIF(Implementos!B:B,F331,Implementos!A:A),SUMIF(Productos!E:E,F331,Productos!A:A)))</f>
        <v/>
      </c>
      <c r="F331" s="2" t="str">
        <f t="shared" si="2"/>
        <v/>
      </c>
      <c r="G331" s="10" t="str">
        <f t="array" ref="G331">IF(OR(F331="",F331="-",F331="Selecciona..",F331="Finalizar"),"",IF(A331="Rodados",XLOOKUP(B331,'Validaciones Cotizador'!I:I,'Validaciones Cotizador'!J:J,0,0,1),1))</f>
        <v/>
      </c>
      <c r="H331" s="11" t="str">
        <f>IF(OR(F331="",F331="Selecciona.."),"",SUMIF(Precio_Productos!K:K,E331,Precio_Productos!J:J)*G331)</f>
        <v/>
      </c>
      <c r="I331" s="4" t="str">
        <f t="array" ref="I331">IF($E331="","", XLOOKUP(SUMIFS(Prod_Prop!$A:$A,Prod_Prop!$B:$B,$E331,Prod_Prop!$H:$H,I$1,Prod_Prop!$I:$I,"Exacto"),Prod_Prop!$A:$A,Prod_Prop!$J:$J,"",0,1))</f>
        <v/>
      </c>
      <c r="J331" s="4" t="str">
        <f t="array" ref="J331">IF($E331="","", XLOOKUP(SUMIFS(Prod_Prop!$A:$A,Prod_Prop!$B:$B,$E331,Prod_Prop!$H:$H,J$1,Prod_Prop!$I:$I,"Exacto"),Prod_Prop!$A:$A,Prod_Prop!$J:$J,"",0,1))</f>
        <v/>
      </c>
      <c r="K331" s="4" t="str">
        <f t="array" ref="K331">IF($E331="","", XLOOKUP(SUMIFS(Prod_Prop!$A:$A,Prod_Prop!$B:$B,$E331,Prod_Prop!$H:$H,K$1,Prod_Prop!$I:$I,"Exacto"),Prod_Prop!$A:$A,Prod_Prop!$J:$J,"",0,1))</f>
        <v/>
      </c>
      <c r="L331" s="4" t="str">
        <f t="array" ref="L331">IF($E331="","", XLOOKUP(SUMIFS(Prod_Prop!$A:$A,Prod_Prop!$B:$B,$E331,Prod_Prop!$H:$H,L$1,Prod_Prop!$I:$I,"Exacto"),Prod_Prop!$A:$A,Prod_Prop!$J:$J,"",0,1))</f>
        <v/>
      </c>
      <c r="M331" s="4" t="str">
        <f t="array" ref="M331">IF($E331="","", XLOOKUP(SUMIFS(Prod_Prop!$A:$A,Prod_Prop!$B:$B,$E331,Prod_Prop!$H:$H,M$1,Prod_Prop!$I:$I,"Exacto"),Prod_Prop!$A:$A,Prod_Prop!$J:$J,"",0,1))</f>
        <v/>
      </c>
      <c r="N331" s="4" t="str">
        <f t="array" ref="N331">IF($E331="","", XLOOKUP(SUMIFS(Prod_Prop!$A:$A,Prod_Prop!$B:$B,$E331,Prod_Prop!$H:$H,N$1,Prod_Prop!$I:$I,"Exacto"),Prod_Prop!$A:$A,Prod_Prop!$J:$J,"",0,1))</f>
        <v/>
      </c>
      <c r="O331" s="4" t="str">
        <f t="array" ref="O331">IF($E331="","", XLOOKUP(SUMIFS(Prod_Prop!$A:$A,Prod_Prop!$B:$B,$E331,Prod_Prop!$H:$H,O$1,Prod_Prop!$I:$I,"Exacto"),Prod_Prop!$A:$A,Prod_Prop!$J:$J,"",0,1))</f>
        <v/>
      </c>
      <c r="P331" s="4" t="str">
        <f t="array" ref="P331">IF($E331="","", XLOOKUP(SUMIFS(Prod_Prop!$A:$A,Prod_Prop!$B:$B,$E331,Prod_Prop!$H:$H,P$1,Prod_Prop!$I:$I,"Exacto"),Prod_Prop!$A:$A,Prod_Prop!$J:$J,"",0,1))</f>
        <v/>
      </c>
      <c r="Q331" s="4" t="str">
        <f t="array" ref="Q331">IF($E331="","", XLOOKUP(SUMIFS(Prod_Prop!$A:$A,Prod_Prop!$B:$B,$E331,Prod_Prop!$H:$H,Q$1,Prod_Prop!$I:$I,"Exacto"),Prod_Prop!$A:$A,Prod_Prop!$J:$J,"",0,1))</f>
        <v/>
      </c>
      <c r="R331" s="4" t="str">
        <f t="array" ref="R331">IF($E331="","", XLOOKUP(SUMIFS(Prod_Prop!$A:$A,Prod_Prop!$B:$B,$E331,Prod_Prop!$H:$H,R$1,Prod_Prop!$I:$I,"Exacto"),Prod_Prop!$A:$A,Prod_Prop!$J:$J,"",0,1))</f>
        <v/>
      </c>
      <c r="S331" s="4" t="str">
        <f t="array" ref="S331">IF($E331="","", XLOOKUP(SUMIFS(Prod_Prop!$A:$A,Prod_Prop!$B:$B,$E331,Prod_Prop!$H:$H,S$1,Prod_Prop!$I:$I,"Exacto"),Prod_Prop!$A:$A,Prod_Prop!$J:$J,"",0,1))</f>
        <v/>
      </c>
      <c r="T331" s="4" t="str">
        <f t="array" ref="T331">IF($E331="","", XLOOKUP(SUMIFS(Prod_Prop!$A:$A,Prod_Prop!$B:$B,$E331,Prod_Prop!$H:$H,T$1,Prod_Prop!$I:$I,"Exacto"),Prod_Prop!$A:$A,Prod_Prop!$J:$J,"",0,1))</f>
        <v/>
      </c>
      <c r="U331" s="4" t="str">
        <f t="array" ref="U331">IF($E331="","", XLOOKUP(SUMIFS(Prod_Prop!$A:$A,Prod_Prop!$B:$B,$E331,Prod_Prop!$H:$H,U$1,Prod_Prop!$I:$I,"Exacto"),Prod_Prop!$A:$A,Prod_Prop!$J:$J,"",0,1))</f>
        <v/>
      </c>
      <c r="V331" s="4" t="str">
        <f t="array" ref="V331">IF($E331="","", XLOOKUP(SUMIFS(Prod_Prop!$A:$A,Prod_Prop!$B:$B,$E331,Prod_Prop!$H:$H,V$1,Prod_Prop!$I:$I,"Exacto"),Prod_Prop!$A:$A,Prod_Prop!$J:$J,"",0,1))</f>
        <v/>
      </c>
      <c r="X331" s="3" t="str">
        <f>IFERROR(__xludf.DUMMYFUNCTION("IF(D331="""","""",IFERROR(TRANSPOSE(FILTER('Validaciones Cotizador'!U:U,'Validaciones Cotizador'!O:O=D331,'Validaciones Cotizador'!T:T=""x"")),""Finalizar""))"),"")</f>
        <v/>
      </c>
    </row>
    <row r="332">
      <c r="A332" s="2" t="str">
        <f t="array" ref="A332">IF(E332="","",XLOOKUP(D332,'Validaciones Cotizador'!C:C,'Validaciones Cotizador'!A:A,"",0,1))</f>
        <v/>
      </c>
      <c r="B332" s="2" t="str">
        <f t="array" ref="B332">IF(F332="","",XLOOKUP(F332,Productos!E:E,Productos!G:G,"",0,1))</f>
        <v/>
      </c>
      <c r="C332" s="2" t="str">
        <f>IF(A332="","",SUMIFS('Validaciones Cotizador'!B:B,'Validaciones Cotizador'!C:C,D332,'Validaciones Cotizador'!A:A,A332))</f>
        <v/>
      </c>
      <c r="D332" s="4" t="str">
        <f>IFERROR(__xludf.DUMMYFUNCTION("IF(OR(F331=""Finalizar"",F331="""",F331=""Selecciona..""),"""",IF(OR(F331=""-"",INDEX(filter(Familias!F:F,Familias!D:D=A331,Familias!E:E=C331),1)=""O""),D331+1,D331))"),"")</f>
        <v/>
      </c>
      <c r="E332" s="2" t="str">
        <f>IF(OR(F332="",F332="Selecciona.."),"",IF(D332="Implemento",SUMIF(Implementos!B:B,F332,Implementos!A:A),SUMIF(Productos!E:E,F332,Productos!A:A)))</f>
        <v/>
      </c>
      <c r="F332" s="2" t="str">
        <f t="shared" si="2"/>
        <v/>
      </c>
      <c r="G332" s="10" t="str">
        <f t="array" ref="G332">IF(OR(F332="",F332="-",F332="Selecciona..",F332="Finalizar"),"",IF(A332="Rodados",XLOOKUP(B332,'Validaciones Cotizador'!I:I,'Validaciones Cotizador'!J:J,0,0,1),1))</f>
        <v/>
      </c>
      <c r="H332" s="11" t="str">
        <f>IF(OR(F332="",F332="Selecciona.."),"",SUMIF(Precio_Productos!K:K,E332,Precio_Productos!J:J)*G332)</f>
        <v/>
      </c>
      <c r="I332" s="4" t="str">
        <f t="array" ref="I332">IF($E332="","", XLOOKUP(SUMIFS(Prod_Prop!$A:$A,Prod_Prop!$B:$B,$E332,Prod_Prop!$H:$H,I$1,Prod_Prop!$I:$I,"Exacto"),Prod_Prop!$A:$A,Prod_Prop!$J:$J,"",0,1))</f>
        <v/>
      </c>
      <c r="J332" s="4" t="str">
        <f t="array" ref="J332">IF($E332="","", XLOOKUP(SUMIFS(Prod_Prop!$A:$A,Prod_Prop!$B:$B,$E332,Prod_Prop!$H:$H,J$1,Prod_Prop!$I:$I,"Exacto"),Prod_Prop!$A:$A,Prod_Prop!$J:$J,"",0,1))</f>
        <v/>
      </c>
      <c r="K332" s="4" t="str">
        <f t="array" ref="K332">IF($E332="","", XLOOKUP(SUMIFS(Prod_Prop!$A:$A,Prod_Prop!$B:$B,$E332,Prod_Prop!$H:$H,K$1,Prod_Prop!$I:$I,"Exacto"),Prod_Prop!$A:$A,Prod_Prop!$J:$J,"",0,1))</f>
        <v/>
      </c>
      <c r="L332" s="4" t="str">
        <f t="array" ref="L332">IF($E332="","", XLOOKUP(SUMIFS(Prod_Prop!$A:$A,Prod_Prop!$B:$B,$E332,Prod_Prop!$H:$H,L$1,Prod_Prop!$I:$I,"Exacto"),Prod_Prop!$A:$A,Prod_Prop!$J:$J,"",0,1))</f>
        <v/>
      </c>
      <c r="M332" s="4" t="str">
        <f t="array" ref="M332">IF($E332="","", XLOOKUP(SUMIFS(Prod_Prop!$A:$A,Prod_Prop!$B:$B,$E332,Prod_Prop!$H:$H,M$1,Prod_Prop!$I:$I,"Exacto"),Prod_Prop!$A:$A,Prod_Prop!$J:$J,"",0,1))</f>
        <v/>
      </c>
      <c r="N332" s="4" t="str">
        <f t="array" ref="N332">IF($E332="","", XLOOKUP(SUMIFS(Prod_Prop!$A:$A,Prod_Prop!$B:$B,$E332,Prod_Prop!$H:$H,N$1,Prod_Prop!$I:$I,"Exacto"),Prod_Prop!$A:$A,Prod_Prop!$J:$J,"",0,1))</f>
        <v/>
      </c>
      <c r="O332" s="4" t="str">
        <f t="array" ref="O332">IF($E332="","", XLOOKUP(SUMIFS(Prod_Prop!$A:$A,Prod_Prop!$B:$B,$E332,Prod_Prop!$H:$H,O$1,Prod_Prop!$I:$I,"Exacto"),Prod_Prop!$A:$A,Prod_Prop!$J:$J,"",0,1))</f>
        <v/>
      </c>
      <c r="P332" s="4" t="str">
        <f t="array" ref="P332">IF($E332="","", XLOOKUP(SUMIFS(Prod_Prop!$A:$A,Prod_Prop!$B:$B,$E332,Prod_Prop!$H:$H,P$1,Prod_Prop!$I:$I,"Exacto"),Prod_Prop!$A:$A,Prod_Prop!$J:$J,"",0,1))</f>
        <v/>
      </c>
      <c r="Q332" s="4" t="str">
        <f t="array" ref="Q332">IF($E332="","", XLOOKUP(SUMIFS(Prod_Prop!$A:$A,Prod_Prop!$B:$B,$E332,Prod_Prop!$H:$H,Q$1,Prod_Prop!$I:$I,"Exacto"),Prod_Prop!$A:$A,Prod_Prop!$J:$J,"",0,1))</f>
        <v/>
      </c>
      <c r="R332" s="4" t="str">
        <f t="array" ref="R332">IF($E332="","", XLOOKUP(SUMIFS(Prod_Prop!$A:$A,Prod_Prop!$B:$B,$E332,Prod_Prop!$H:$H,R$1,Prod_Prop!$I:$I,"Exacto"),Prod_Prop!$A:$A,Prod_Prop!$J:$J,"",0,1))</f>
        <v/>
      </c>
      <c r="S332" s="4" t="str">
        <f t="array" ref="S332">IF($E332="","", XLOOKUP(SUMIFS(Prod_Prop!$A:$A,Prod_Prop!$B:$B,$E332,Prod_Prop!$H:$H,S$1,Prod_Prop!$I:$I,"Exacto"),Prod_Prop!$A:$A,Prod_Prop!$J:$J,"",0,1))</f>
        <v/>
      </c>
      <c r="T332" s="4" t="str">
        <f t="array" ref="T332">IF($E332="","", XLOOKUP(SUMIFS(Prod_Prop!$A:$A,Prod_Prop!$B:$B,$E332,Prod_Prop!$H:$H,T$1,Prod_Prop!$I:$I,"Exacto"),Prod_Prop!$A:$A,Prod_Prop!$J:$J,"",0,1))</f>
        <v/>
      </c>
      <c r="U332" s="4" t="str">
        <f t="array" ref="U332">IF($E332="","", XLOOKUP(SUMIFS(Prod_Prop!$A:$A,Prod_Prop!$B:$B,$E332,Prod_Prop!$H:$H,U$1,Prod_Prop!$I:$I,"Exacto"),Prod_Prop!$A:$A,Prod_Prop!$J:$J,"",0,1))</f>
        <v/>
      </c>
      <c r="V332" s="4" t="str">
        <f t="array" ref="V332">IF($E332="","", XLOOKUP(SUMIFS(Prod_Prop!$A:$A,Prod_Prop!$B:$B,$E332,Prod_Prop!$H:$H,V$1,Prod_Prop!$I:$I,"Exacto"),Prod_Prop!$A:$A,Prod_Prop!$J:$J,"",0,1))</f>
        <v/>
      </c>
      <c r="X332" s="3" t="str">
        <f>IFERROR(__xludf.DUMMYFUNCTION("IF(D332="""","""",IFERROR(TRANSPOSE(FILTER('Validaciones Cotizador'!U:U,'Validaciones Cotizador'!O:O=D332,'Validaciones Cotizador'!T:T=""x"")),""Finalizar""))"),"")</f>
        <v/>
      </c>
    </row>
    <row r="333">
      <c r="A333" s="2" t="str">
        <f t="array" ref="A333">IF(E333="","",XLOOKUP(D333,'Validaciones Cotizador'!C:C,'Validaciones Cotizador'!A:A,"",0,1))</f>
        <v/>
      </c>
      <c r="B333" s="2" t="str">
        <f t="array" ref="B333">IF(F333="","",XLOOKUP(F333,Productos!E:E,Productos!G:G,"",0,1))</f>
        <v/>
      </c>
      <c r="C333" s="2" t="str">
        <f>IF(A333="","",SUMIFS('Validaciones Cotizador'!B:B,'Validaciones Cotizador'!C:C,D333,'Validaciones Cotizador'!A:A,A333))</f>
        <v/>
      </c>
      <c r="D333" s="4" t="str">
        <f>IFERROR(__xludf.DUMMYFUNCTION("IF(OR(F332=""Finalizar"",F332="""",F332=""Selecciona..""),"""",IF(OR(F332=""-"",INDEX(filter(Familias!F:F,Familias!D:D=A332,Familias!E:E=C332),1)=""O""),D332+1,D332))"),"")</f>
        <v/>
      </c>
      <c r="E333" s="2" t="str">
        <f>IF(OR(F333="",F333="Selecciona.."),"",IF(D333="Implemento",SUMIF(Implementos!B:B,F333,Implementos!A:A),SUMIF(Productos!E:E,F333,Productos!A:A)))</f>
        <v/>
      </c>
      <c r="F333" s="2" t="str">
        <f t="shared" si="2"/>
        <v/>
      </c>
      <c r="G333" s="10" t="str">
        <f t="array" ref="G333">IF(OR(F333="",F333="-",F333="Selecciona..",F333="Finalizar"),"",IF(A333="Rodados",XLOOKUP(B333,'Validaciones Cotizador'!I:I,'Validaciones Cotizador'!J:J,0,0,1),1))</f>
        <v/>
      </c>
      <c r="H333" s="11" t="str">
        <f>IF(OR(F333="",F333="Selecciona.."),"",SUMIF(Precio_Productos!K:K,E333,Precio_Productos!J:J)*G333)</f>
        <v/>
      </c>
      <c r="I333" s="4" t="str">
        <f t="array" ref="I333">IF($E333="","", XLOOKUP(SUMIFS(Prod_Prop!$A:$A,Prod_Prop!$B:$B,$E333,Prod_Prop!$H:$H,I$1,Prod_Prop!$I:$I,"Exacto"),Prod_Prop!$A:$A,Prod_Prop!$J:$J,"",0,1))</f>
        <v/>
      </c>
      <c r="J333" s="4" t="str">
        <f t="array" ref="J333">IF($E333="","", XLOOKUP(SUMIFS(Prod_Prop!$A:$A,Prod_Prop!$B:$B,$E333,Prod_Prop!$H:$H,J$1,Prod_Prop!$I:$I,"Exacto"),Prod_Prop!$A:$A,Prod_Prop!$J:$J,"",0,1))</f>
        <v/>
      </c>
      <c r="K333" s="4" t="str">
        <f t="array" ref="K333">IF($E333="","", XLOOKUP(SUMIFS(Prod_Prop!$A:$A,Prod_Prop!$B:$B,$E333,Prod_Prop!$H:$H,K$1,Prod_Prop!$I:$I,"Exacto"),Prod_Prop!$A:$A,Prod_Prop!$J:$J,"",0,1))</f>
        <v/>
      </c>
      <c r="L333" s="4" t="str">
        <f t="array" ref="L333">IF($E333="","", XLOOKUP(SUMIFS(Prod_Prop!$A:$A,Prod_Prop!$B:$B,$E333,Prod_Prop!$H:$H,L$1,Prod_Prop!$I:$I,"Exacto"),Prod_Prop!$A:$A,Prod_Prop!$J:$J,"",0,1))</f>
        <v/>
      </c>
      <c r="M333" s="4" t="str">
        <f t="array" ref="M333">IF($E333="","", XLOOKUP(SUMIFS(Prod_Prop!$A:$A,Prod_Prop!$B:$B,$E333,Prod_Prop!$H:$H,M$1,Prod_Prop!$I:$I,"Exacto"),Prod_Prop!$A:$A,Prod_Prop!$J:$J,"",0,1))</f>
        <v/>
      </c>
      <c r="N333" s="4" t="str">
        <f t="array" ref="N333">IF($E333="","", XLOOKUP(SUMIFS(Prod_Prop!$A:$A,Prod_Prop!$B:$B,$E333,Prod_Prop!$H:$H,N$1,Prod_Prop!$I:$I,"Exacto"),Prod_Prop!$A:$A,Prod_Prop!$J:$J,"",0,1))</f>
        <v/>
      </c>
      <c r="O333" s="4" t="str">
        <f t="array" ref="O333">IF($E333="","", XLOOKUP(SUMIFS(Prod_Prop!$A:$A,Prod_Prop!$B:$B,$E333,Prod_Prop!$H:$H,O$1,Prod_Prop!$I:$I,"Exacto"),Prod_Prop!$A:$A,Prod_Prop!$J:$J,"",0,1))</f>
        <v/>
      </c>
      <c r="P333" s="4" t="str">
        <f t="array" ref="P333">IF($E333="","", XLOOKUP(SUMIFS(Prod_Prop!$A:$A,Prod_Prop!$B:$B,$E333,Prod_Prop!$H:$H,P$1,Prod_Prop!$I:$I,"Exacto"),Prod_Prop!$A:$A,Prod_Prop!$J:$J,"",0,1))</f>
        <v/>
      </c>
      <c r="Q333" s="4" t="str">
        <f t="array" ref="Q333">IF($E333="","", XLOOKUP(SUMIFS(Prod_Prop!$A:$A,Prod_Prop!$B:$B,$E333,Prod_Prop!$H:$H,Q$1,Prod_Prop!$I:$I,"Exacto"),Prod_Prop!$A:$A,Prod_Prop!$J:$J,"",0,1))</f>
        <v/>
      </c>
      <c r="R333" s="4" t="str">
        <f t="array" ref="R333">IF($E333="","", XLOOKUP(SUMIFS(Prod_Prop!$A:$A,Prod_Prop!$B:$B,$E333,Prod_Prop!$H:$H,R$1,Prod_Prop!$I:$I,"Exacto"),Prod_Prop!$A:$A,Prod_Prop!$J:$J,"",0,1))</f>
        <v/>
      </c>
      <c r="S333" s="4" t="str">
        <f t="array" ref="S333">IF($E333="","", XLOOKUP(SUMIFS(Prod_Prop!$A:$A,Prod_Prop!$B:$B,$E333,Prod_Prop!$H:$H,S$1,Prod_Prop!$I:$I,"Exacto"),Prod_Prop!$A:$A,Prod_Prop!$J:$J,"",0,1))</f>
        <v/>
      </c>
      <c r="T333" s="4" t="str">
        <f t="array" ref="T333">IF($E333="","", XLOOKUP(SUMIFS(Prod_Prop!$A:$A,Prod_Prop!$B:$B,$E333,Prod_Prop!$H:$H,T$1,Prod_Prop!$I:$I,"Exacto"),Prod_Prop!$A:$A,Prod_Prop!$J:$J,"",0,1))</f>
        <v/>
      </c>
      <c r="U333" s="4" t="str">
        <f t="array" ref="U333">IF($E333="","", XLOOKUP(SUMIFS(Prod_Prop!$A:$A,Prod_Prop!$B:$B,$E333,Prod_Prop!$H:$H,U$1,Prod_Prop!$I:$I,"Exacto"),Prod_Prop!$A:$A,Prod_Prop!$J:$J,"",0,1))</f>
        <v/>
      </c>
      <c r="V333" s="4" t="str">
        <f t="array" ref="V333">IF($E333="","", XLOOKUP(SUMIFS(Prod_Prop!$A:$A,Prod_Prop!$B:$B,$E333,Prod_Prop!$H:$H,V$1,Prod_Prop!$I:$I,"Exacto"),Prod_Prop!$A:$A,Prod_Prop!$J:$J,"",0,1))</f>
        <v/>
      </c>
      <c r="X333" s="3" t="str">
        <f>IFERROR(__xludf.DUMMYFUNCTION("IF(D333="""","""",IFERROR(TRANSPOSE(FILTER('Validaciones Cotizador'!U:U,'Validaciones Cotizador'!O:O=D333,'Validaciones Cotizador'!T:T=""x"")),""Finalizar""))"),"")</f>
        <v/>
      </c>
    </row>
    <row r="334">
      <c r="A334" s="2" t="str">
        <f t="array" ref="A334">IF(E334="","",XLOOKUP(D334,'Validaciones Cotizador'!C:C,'Validaciones Cotizador'!A:A,"",0,1))</f>
        <v/>
      </c>
      <c r="B334" s="2" t="str">
        <f t="array" ref="B334">IF(F334="","",XLOOKUP(F334,Productos!E:E,Productos!G:G,"",0,1))</f>
        <v/>
      </c>
      <c r="C334" s="2" t="str">
        <f>IF(A334="","",SUMIFS('Validaciones Cotizador'!B:B,'Validaciones Cotizador'!C:C,D334,'Validaciones Cotizador'!A:A,A334))</f>
        <v/>
      </c>
      <c r="D334" s="4" t="str">
        <f>IFERROR(__xludf.DUMMYFUNCTION("IF(OR(F333=""Finalizar"",F333="""",F333=""Selecciona..""),"""",IF(OR(F333=""-"",INDEX(filter(Familias!F:F,Familias!D:D=A333,Familias!E:E=C333),1)=""O""),D333+1,D333))"),"")</f>
        <v/>
      </c>
      <c r="E334" s="2" t="str">
        <f>IF(OR(F334="",F334="Selecciona.."),"",IF(D334="Implemento",SUMIF(Implementos!B:B,F334,Implementos!A:A),SUMIF(Productos!E:E,F334,Productos!A:A)))</f>
        <v/>
      </c>
      <c r="F334" s="2" t="str">
        <f t="shared" si="2"/>
        <v/>
      </c>
      <c r="G334" s="10" t="str">
        <f t="array" ref="G334">IF(OR(F334="",F334="-",F334="Selecciona..",F334="Finalizar"),"",IF(A334="Rodados",XLOOKUP(B334,'Validaciones Cotizador'!I:I,'Validaciones Cotizador'!J:J,0,0,1),1))</f>
        <v/>
      </c>
      <c r="H334" s="11" t="str">
        <f>IF(OR(F334="",F334="Selecciona.."),"",SUMIF(Precio_Productos!K:K,E334,Precio_Productos!J:J)*G334)</f>
        <v/>
      </c>
      <c r="I334" s="4" t="str">
        <f t="array" ref="I334">IF($E334="","", XLOOKUP(SUMIFS(Prod_Prop!$A:$A,Prod_Prop!$B:$B,$E334,Prod_Prop!$H:$H,I$1,Prod_Prop!$I:$I,"Exacto"),Prod_Prop!$A:$A,Prod_Prop!$J:$J,"",0,1))</f>
        <v/>
      </c>
      <c r="J334" s="4" t="str">
        <f t="array" ref="J334">IF($E334="","", XLOOKUP(SUMIFS(Prod_Prop!$A:$A,Prod_Prop!$B:$B,$E334,Prod_Prop!$H:$H,J$1,Prod_Prop!$I:$I,"Exacto"),Prod_Prop!$A:$A,Prod_Prop!$J:$J,"",0,1))</f>
        <v/>
      </c>
      <c r="K334" s="4" t="str">
        <f t="array" ref="K334">IF($E334="","", XLOOKUP(SUMIFS(Prod_Prop!$A:$A,Prod_Prop!$B:$B,$E334,Prod_Prop!$H:$H,K$1,Prod_Prop!$I:$I,"Exacto"),Prod_Prop!$A:$A,Prod_Prop!$J:$J,"",0,1))</f>
        <v/>
      </c>
      <c r="L334" s="4" t="str">
        <f t="array" ref="L334">IF($E334="","", XLOOKUP(SUMIFS(Prod_Prop!$A:$A,Prod_Prop!$B:$B,$E334,Prod_Prop!$H:$H,L$1,Prod_Prop!$I:$I,"Exacto"),Prod_Prop!$A:$A,Prod_Prop!$J:$J,"",0,1))</f>
        <v/>
      </c>
      <c r="M334" s="4" t="str">
        <f t="array" ref="M334">IF($E334="","", XLOOKUP(SUMIFS(Prod_Prop!$A:$A,Prod_Prop!$B:$B,$E334,Prod_Prop!$H:$H,M$1,Prod_Prop!$I:$I,"Exacto"),Prod_Prop!$A:$A,Prod_Prop!$J:$J,"",0,1))</f>
        <v/>
      </c>
      <c r="N334" s="4" t="str">
        <f t="array" ref="N334">IF($E334="","", XLOOKUP(SUMIFS(Prod_Prop!$A:$A,Prod_Prop!$B:$B,$E334,Prod_Prop!$H:$H,N$1,Prod_Prop!$I:$I,"Exacto"),Prod_Prop!$A:$A,Prod_Prop!$J:$J,"",0,1))</f>
        <v/>
      </c>
      <c r="O334" s="4" t="str">
        <f t="array" ref="O334">IF($E334="","", XLOOKUP(SUMIFS(Prod_Prop!$A:$A,Prod_Prop!$B:$B,$E334,Prod_Prop!$H:$H,O$1,Prod_Prop!$I:$I,"Exacto"),Prod_Prop!$A:$A,Prod_Prop!$J:$J,"",0,1))</f>
        <v/>
      </c>
      <c r="P334" s="4" t="str">
        <f t="array" ref="P334">IF($E334="","", XLOOKUP(SUMIFS(Prod_Prop!$A:$A,Prod_Prop!$B:$B,$E334,Prod_Prop!$H:$H,P$1,Prod_Prop!$I:$I,"Exacto"),Prod_Prop!$A:$A,Prod_Prop!$J:$J,"",0,1))</f>
        <v/>
      </c>
      <c r="Q334" s="4" t="str">
        <f t="array" ref="Q334">IF($E334="","", XLOOKUP(SUMIFS(Prod_Prop!$A:$A,Prod_Prop!$B:$B,$E334,Prod_Prop!$H:$H,Q$1,Prod_Prop!$I:$I,"Exacto"),Prod_Prop!$A:$A,Prod_Prop!$J:$J,"",0,1))</f>
        <v/>
      </c>
      <c r="R334" s="4" t="str">
        <f t="array" ref="R334">IF($E334="","", XLOOKUP(SUMIFS(Prod_Prop!$A:$A,Prod_Prop!$B:$B,$E334,Prod_Prop!$H:$H,R$1,Prod_Prop!$I:$I,"Exacto"),Prod_Prop!$A:$A,Prod_Prop!$J:$J,"",0,1))</f>
        <v/>
      </c>
      <c r="S334" s="4" t="str">
        <f t="array" ref="S334">IF($E334="","", XLOOKUP(SUMIFS(Prod_Prop!$A:$A,Prod_Prop!$B:$B,$E334,Prod_Prop!$H:$H,S$1,Prod_Prop!$I:$I,"Exacto"),Prod_Prop!$A:$A,Prod_Prop!$J:$J,"",0,1))</f>
        <v/>
      </c>
      <c r="T334" s="4" t="str">
        <f t="array" ref="T334">IF($E334="","", XLOOKUP(SUMIFS(Prod_Prop!$A:$A,Prod_Prop!$B:$B,$E334,Prod_Prop!$H:$H,T$1,Prod_Prop!$I:$I,"Exacto"),Prod_Prop!$A:$A,Prod_Prop!$J:$J,"",0,1))</f>
        <v/>
      </c>
      <c r="U334" s="4" t="str">
        <f t="array" ref="U334">IF($E334="","", XLOOKUP(SUMIFS(Prod_Prop!$A:$A,Prod_Prop!$B:$B,$E334,Prod_Prop!$H:$H,U$1,Prod_Prop!$I:$I,"Exacto"),Prod_Prop!$A:$A,Prod_Prop!$J:$J,"",0,1))</f>
        <v/>
      </c>
      <c r="V334" s="4" t="str">
        <f t="array" ref="V334">IF($E334="","", XLOOKUP(SUMIFS(Prod_Prop!$A:$A,Prod_Prop!$B:$B,$E334,Prod_Prop!$H:$H,V$1,Prod_Prop!$I:$I,"Exacto"),Prod_Prop!$A:$A,Prod_Prop!$J:$J,"",0,1))</f>
        <v/>
      </c>
      <c r="X334" s="3" t="str">
        <f>IFERROR(__xludf.DUMMYFUNCTION("IF(D334="""","""",IFERROR(TRANSPOSE(FILTER('Validaciones Cotizador'!U:U,'Validaciones Cotizador'!O:O=D334,'Validaciones Cotizador'!T:T=""x"")),""Finalizar""))"),"")</f>
        <v/>
      </c>
    </row>
    <row r="335">
      <c r="A335" s="2" t="str">
        <f t="array" ref="A335">IF(E335="","",XLOOKUP(D335,'Validaciones Cotizador'!C:C,'Validaciones Cotizador'!A:A,"",0,1))</f>
        <v/>
      </c>
      <c r="B335" s="2" t="str">
        <f t="array" ref="B335">IF(F335="","",XLOOKUP(F335,Productos!E:E,Productos!G:G,"",0,1))</f>
        <v/>
      </c>
      <c r="C335" s="2" t="str">
        <f>IF(A335="","",SUMIFS('Validaciones Cotizador'!B:B,'Validaciones Cotizador'!C:C,D335,'Validaciones Cotizador'!A:A,A335))</f>
        <v/>
      </c>
      <c r="D335" s="4" t="str">
        <f>IFERROR(__xludf.DUMMYFUNCTION("IF(OR(F334=""Finalizar"",F334="""",F334=""Selecciona..""),"""",IF(OR(F334=""-"",INDEX(filter(Familias!F:F,Familias!D:D=A334,Familias!E:E=C334),1)=""O""),D334+1,D334))"),"")</f>
        <v/>
      </c>
      <c r="E335" s="2" t="str">
        <f>IF(OR(F335="",F335="Selecciona.."),"",IF(D335="Implemento",SUMIF(Implementos!B:B,F335,Implementos!A:A),SUMIF(Productos!E:E,F335,Productos!A:A)))</f>
        <v/>
      </c>
      <c r="F335" s="2" t="str">
        <f t="shared" si="2"/>
        <v/>
      </c>
      <c r="G335" s="10" t="str">
        <f t="array" ref="G335">IF(OR(F335="",F335="-",F335="Selecciona..",F335="Finalizar"),"",IF(A335="Rodados",XLOOKUP(B335,'Validaciones Cotizador'!I:I,'Validaciones Cotizador'!J:J,0,0,1),1))</f>
        <v/>
      </c>
      <c r="H335" s="11" t="str">
        <f>IF(OR(F335="",F335="Selecciona.."),"",SUMIF(Precio_Productos!K:K,E335,Precio_Productos!J:J)*G335)</f>
        <v/>
      </c>
      <c r="I335" s="4" t="str">
        <f t="array" ref="I335">IF($E335="","", XLOOKUP(SUMIFS(Prod_Prop!$A:$A,Prod_Prop!$B:$B,$E335,Prod_Prop!$H:$H,I$1,Prod_Prop!$I:$I,"Exacto"),Prod_Prop!$A:$A,Prod_Prop!$J:$J,"",0,1))</f>
        <v/>
      </c>
      <c r="J335" s="4" t="str">
        <f t="array" ref="J335">IF($E335="","", XLOOKUP(SUMIFS(Prod_Prop!$A:$A,Prod_Prop!$B:$B,$E335,Prod_Prop!$H:$H,J$1,Prod_Prop!$I:$I,"Exacto"),Prod_Prop!$A:$A,Prod_Prop!$J:$J,"",0,1))</f>
        <v/>
      </c>
      <c r="K335" s="4" t="str">
        <f t="array" ref="K335">IF($E335="","", XLOOKUP(SUMIFS(Prod_Prop!$A:$A,Prod_Prop!$B:$B,$E335,Prod_Prop!$H:$H,K$1,Prod_Prop!$I:$I,"Exacto"),Prod_Prop!$A:$A,Prod_Prop!$J:$J,"",0,1))</f>
        <v/>
      </c>
      <c r="L335" s="4" t="str">
        <f t="array" ref="L335">IF($E335="","", XLOOKUP(SUMIFS(Prod_Prop!$A:$A,Prod_Prop!$B:$B,$E335,Prod_Prop!$H:$H,L$1,Prod_Prop!$I:$I,"Exacto"),Prod_Prop!$A:$A,Prod_Prop!$J:$J,"",0,1))</f>
        <v/>
      </c>
      <c r="M335" s="4" t="str">
        <f t="array" ref="M335">IF($E335="","", XLOOKUP(SUMIFS(Prod_Prop!$A:$A,Prod_Prop!$B:$B,$E335,Prod_Prop!$H:$H,M$1,Prod_Prop!$I:$I,"Exacto"),Prod_Prop!$A:$A,Prod_Prop!$J:$J,"",0,1))</f>
        <v/>
      </c>
      <c r="N335" s="4" t="str">
        <f t="array" ref="N335">IF($E335="","", XLOOKUP(SUMIFS(Prod_Prop!$A:$A,Prod_Prop!$B:$B,$E335,Prod_Prop!$H:$H,N$1,Prod_Prop!$I:$I,"Exacto"),Prod_Prop!$A:$A,Prod_Prop!$J:$J,"",0,1))</f>
        <v/>
      </c>
      <c r="O335" s="4" t="str">
        <f t="array" ref="O335">IF($E335="","", XLOOKUP(SUMIFS(Prod_Prop!$A:$A,Prod_Prop!$B:$B,$E335,Prod_Prop!$H:$H,O$1,Prod_Prop!$I:$I,"Exacto"),Prod_Prop!$A:$A,Prod_Prop!$J:$J,"",0,1))</f>
        <v/>
      </c>
      <c r="P335" s="4" t="str">
        <f t="array" ref="P335">IF($E335="","", XLOOKUP(SUMIFS(Prod_Prop!$A:$A,Prod_Prop!$B:$B,$E335,Prod_Prop!$H:$H,P$1,Prod_Prop!$I:$I,"Exacto"),Prod_Prop!$A:$A,Prod_Prop!$J:$J,"",0,1))</f>
        <v/>
      </c>
      <c r="Q335" s="4" t="str">
        <f t="array" ref="Q335">IF($E335="","", XLOOKUP(SUMIFS(Prod_Prop!$A:$A,Prod_Prop!$B:$B,$E335,Prod_Prop!$H:$H,Q$1,Prod_Prop!$I:$I,"Exacto"),Prod_Prop!$A:$A,Prod_Prop!$J:$J,"",0,1))</f>
        <v/>
      </c>
      <c r="R335" s="4" t="str">
        <f t="array" ref="R335">IF($E335="","", XLOOKUP(SUMIFS(Prod_Prop!$A:$A,Prod_Prop!$B:$B,$E335,Prod_Prop!$H:$H,R$1,Prod_Prop!$I:$I,"Exacto"),Prod_Prop!$A:$A,Prod_Prop!$J:$J,"",0,1))</f>
        <v/>
      </c>
      <c r="S335" s="4" t="str">
        <f t="array" ref="S335">IF($E335="","", XLOOKUP(SUMIFS(Prod_Prop!$A:$A,Prod_Prop!$B:$B,$E335,Prod_Prop!$H:$H,S$1,Prod_Prop!$I:$I,"Exacto"),Prod_Prop!$A:$A,Prod_Prop!$J:$J,"",0,1))</f>
        <v/>
      </c>
      <c r="T335" s="4" t="str">
        <f t="array" ref="T335">IF($E335="","", XLOOKUP(SUMIFS(Prod_Prop!$A:$A,Prod_Prop!$B:$B,$E335,Prod_Prop!$H:$H,T$1,Prod_Prop!$I:$I,"Exacto"),Prod_Prop!$A:$A,Prod_Prop!$J:$J,"",0,1))</f>
        <v/>
      </c>
      <c r="U335" s="4" t="str">
        <f t="array" ref="U335">IF($E335="","", XLOOKUP(SUMIFS(Prod_Prop!$A:$A,Prod_Prop!$B:$B,$E335,Prod_Prop!$H:$H,U$1,Prod_Prop!$I:$I,"Exacto"),Prod_Prop!$A:$A,Prod_Prop!$J:$J,"",0,1))</f>
        <v/>
      </c>
      <c r="V335" s="4" t="str">
        <f t="array" ref="V335">IF($E335="","", XLOOKUP(SUMIFS(Prod_Prop!$A:$A,Prod_Prop!$B:$B,$E335,Prod_Prop!$H:$H,V$1,Prod_Prop!$I:$I,"Exacto"),Prod_Prop!$A:$A,Prod_Prop!$J:$J,"",0,1))</f>
        <v/>
      </c>
      <c r="X335" s="3" t="str">
        <f>IFERROR(__xludf.DUMMYFUNCTION("IF(D335="""","""",IFERROR(TRANSPOSE(FILTER('Validaciones Cotizador'!U:U,'Validaciones Cotizador'!O:O=D335,'Validaciones Cotizador'!T:T=""x"")),""Finalizar""))"),"")</f>
        <v/>
      </c>
    </row>
    <row r="336">
      <c r="A336" s="2" t="str">
        <f t="array" ref="A336">IF(E336="","",XLOOKUP(D336,'Validaciones Cotizador'!C:C,'Validaciones Cotizador'!A:A,"",0,1))</f>
        <v/>
      </c>
      <c r="B336" s="2" t="str">
        <f t="array" ref="B336">IF(F336="","",XLOOKUP(F336,Productos!E:E,Productos!G:G,"",0,1))</f>
        <v/>
      </c>
      <c r="C336" s="2" t="str">
        <f>IF(A336="","",SUMIFS('Validaciones Cotizador'!B:B,'Validaciones Cotizador'!C:C,D336,'Validaciones Cotizador'!A:A,A336))</f>
        <v/>
      </c>
      <c r="D336" s="4" t="str">
        <f>IFERROR(__xludf.DUMMYFUNCTION("IF(OR(F335=""Finalizar"",F335="""",F335=""Selecciona..""),"""",IF(OR(F335=""-"",INDEX(filter(Familias!F:F,Familias!D:D=A335,Familias!E:E=C335),1)=""O""),D335+1,D335))"),"")</f>
        <v/>
      </c>
      <c r="E336" s="2" t="str">
        <f>IF(OR(F336="",F336="Selecciona.."),"",IF(D336="Implemento",SUMIF(Implementos!B:B,F336,Implementos!A:A),SUMIF(Productos!E:E,F336,Productos!A:A)))</f>
        <v/>
      </c>
      <c r="F336" s="2" t="str">
        <f t="shared" si="2"/>
        <v/>
      </c>
      <c r="G336" s="10" t="str">
        <f t="array" ref="G336">IF(OR(F336="",F336="-",F336="Selecciona..",F336="Finalizar"),"",IF(A336="Rodados",XLOOKUP(B336,'Validaciones Cotizador'!I:I,'Validaciones Cotizador'!J:J,0,0,1),1))</f>
        <v/>
      </c>
      <c r="H336" s="11" t="str">
        <f>IF(OR(F336="",F336="Selecciona.."),"",SUMIF(Precio_Productos!K:K,E336,Precio_Productos!J:J)*G336)</f>
        <v/>
      </c>
      <c r="I336" s="4" t="str">
        <f t="array" ref="I336">IF($E336="","", XLOOKUP(SUMIFS(Prod_Prop!$A:$A,Prod_Prop!$B:$B,$E336,Prod_Prop!$H:$H,I$1,Prod_Prop!$I:$I,"Exacto"),Prod_Prop!$A:$A,Prod_Prop!$J:$J,"",0,1))</f>
        <v/>
      </c>
      <c r="J336" s="4" t="str">
        <f t="array" ref="J336">IF($E336="","", XLOOKUP(SUMIFS(Prod_Prop!$A:$A,Prod_Prop!$B:$B,$E336,Prod_Prop!$H:$H,J$1,Prod_Prop!$I:$I,"Exacto"),Prod_Prop!$A:$A,Prod_Prop!$J:$J,"",0,1))</f>
        <v/>
      </c>
      <c r="K336" s="4" t="str">
        <f t="array" ref="K336">IF($E336="","", XLOOKUP(SUMIFS(Prod_Prop!$A:$A,Prod_Prop!$B:$B,$E336,Prod_Prop!$H:$H,K$1,Prod_Prop!$I:$I,"Exacto"),Prod_Prop!$A:$A,Prod_Prop!$J:$J,"",0,1))</f>
        <v/>
      </c>
      <c r="L336" s="4" t="str">
        <f t="array" ref="L336">IF($E336="","", XLOOKUP(SUMIFS(Prod_Prop!$A:$A,Prod_Prop!$B:$B,$E336,Prod_Prop!$H:$H,L$1,Prod_Prop!$I:$I,"Exacto"),Prod_Prop!$A:$A,Prod_Prop!$J:$J,"",0,1))</f>
        <v/>
      </c>
      <c r="M336" s="4" t="str">
        <f t="array" ref="M336">IF($E336="","", XLOOKUP(SUMIFS(Prod_Prop!$A:$A,Prod_Prop!$B:$B,$E336,Prod_Prop!$H:$H,M$1,Prod_Prop!$I:$I,"Exacto"),Prod_Prop!$A:$A,Prod_Prop!$J:$J,"",0,1))</f>
        <v/>
      </c>
      <c r="N336" s="4" t="str">
        <f t="array" ref="N336">IF($E336="","", XLOOKUP(SUMIFS(Prod_Prop!$A:$A,Prod_Prop!$B:$B,$E336,Prod_Prop!$H:$H,N$1,Prod_Prop!$I:$I,"Exacto"),Prod_Prop!$A:$A,Prod_Prop!$J:$J,"",0,1))</f>
        <v/>
      </c>
      <c r="O336" s="4" t="str">
        <f t="array" ref="O336">IF($E336="","", XLOOKUP(SUMIFS(Prod_Prop!$A:$A,Prod_Prop!$B:$B,$E336,Prod_Prop!$H:$H,O$1,Prod_Prop!$I:$I,"Exacto"),Prod_Prop!$A:$A,Prod_Prop!$J:$J,"",0,1))</f>
        <v/>
      </c>
      <c r="P336" s="4" t="str">
        <f t="array" ref="P336">IF($E336="","", XLOOKUP(SUMIFS(Prod_Prop!$A:$A,Prod_Prop!$B:$B,$E336,Prod_Prop!$H:$H,P$1,Prod_Prop!$I:$I,"Exacto"),Prod_Prop!$A:$A,Prod_Prop!$J:$J,"",0,1))</f>
        <v/>
      </c>
      <c r="Q336" s="4" t="str">
        <f t="array" ref="Q336">IF($E336="","", XLOOKUP(SUMIFS(Prod_Prop!$A:$A,Prod_Prop!$B:$B,$E336,Prod_Prop!$H:$H,Q$1,Prod_Prop!$I:$I,"Exacto"),Prod_Prop!$A:$A,Prod_Prop!$J:$J,"",0,1))</f>
        <v/>
      </c>
      <c r="R336" s="4" t="str">
        <f t="array" ref="R336">IF($E336="","", XLOOKUP(SUMIFS(Prod_Prop!$A:$A,Prod_Prop!$B:$B,$E336,Prod_Prop!$H:$H,R$1,Prod_Prop!$I:$I,"Exacto"),Prod_Prop!$A:$A,Prod_Prop!$J:$J,"",0,1))</f>
        <v/>
      </c>
      <c r="S336" s="4" t="str">
        <f t="array" ref="S336">IF($E336="","", XLOOKUP(SUMIFS(Prod_Prop!$A:$A,Prod_Prop!$B:$B,$E336,Prod_Prop!$H:$H,S$1,Prod_Prop!$I:$I,"Exacto"),Prod_Prop!$A:$A,Prod_Prop!$J:$J,"",0,1))</f>
        <v/>
      </c>
      <c r="T336" s="4" t="str">
        <f t="array" ref="T336">IF($E336="","", XLOOKUP(SUMIFS(Prod_Prop!$A:$A,Prod_Prop!$B:$B,$E336,Prod_Prop!$H:$H,T$1,Prod_Prop!$I:$I,"Exacto"),Prod_Prop!$A:$A,Prod_Prop!$J:$J,"",0,1))</f>
        <v/>
      </c>
      <c r="U336" s="4" t="str">
        <f t="array" ref="U336">IF($E336="","", XLOOKUP(SUMIFS(Prod_Prop!$A:$A,Prod_Prop!$B:$B,$E336,Prod_Prop!$H:$H,U$1,Prod_Prop!$I:$I,"Exacto"),Prod_Prop!$A:$A,Prod_Prop!$J:$J,"",0,1))</f>
        <v/>
      </c>
      <c r="V336" s="4" t="str">
        <f t="array" ref="V336">IF($E336="","", XLOOKUP(SUMIFS(Prod_Prop!$A:$A,Prod_Prop!$B:$B,$E336,Prod_Prop!$H:$H,V$1,Prod_Prop!$I:$I,"Exacto"),Prod_Prop!$A:$A,Prod_Prop!$J:$J,"",0,1))</f>
        <v/>
      </c>
      <c r="X336" s="3" t="str">
        <f>IFERROR(__xludf.DUMMYFUNCTION("IF(D336="""","""",IFERROR(TRANSPOSE(FILTER('Validaciones Cotizador'!U:U,'Validaciones Cotizador'!O:O=D336,'Validaciones Cotizador'!T:T=""x"")),""Finalizar""))"),"")</f>
        <v/>
      </c>
    </row>
    <row r="337">
      <c r="A337" s="2" t="str">
        <f t="array" ref="A337">IF(E337="","",XLOOKUP(D337,'Validaciones Cotizador'!C:C,'Validaciones Cotizador'!A:A,"",0,1))</f>
        <v/>
      </c>
      <c r="B337" s="2" t="str">
        <f t="array" ref="B337">IF(F337="","",XLOOKUP(F337,Productos!E:E,Productos!G:G,"",0,1))</f>
        <v/>
      </c>
      <c r="C337" s="2" t="str">
        <f>IF(A337="","",SUMIFS('Validaciones Cotizador'!B:B,'Validaciones Cotizador'!C:C,D337,'Validaciones Cotizador'!A:A,A337))</f>
        <v/>
      </c>
      <c r="D337" s="4" t="str">
        <f>IFERROR(__xludf.DUMMYFUNCTION("IF(OR(F336=""Finalizar"",F336="""",F336=""Selecciona..""),"""",IF(OR(F336=""-"",INDEX(filter(Familias!F:F,Familias!D:D=A336,Familias!E:E=C336),1)=""O""),D336+1,D336))"),"")</f>
        <v/>
      </c>
      <c r="E337" s="2" t="str">
        <f>IF(OR(F337="",F337="Selecciona.."),"",IF(D337="Implemento",SUMIF(Implementos!B:B,F337,Implementos!A:A),SUMIF(Productos!E:E,F337,Productos!A:A)))</f>
        <v/>
      </c>
      <c r="F337" s="2" t="str">
        <f t="shared" si="2"/>
        <v/>
      </c>
      <c r="G337" s="10" t="str">
        <f t="array" ref="G337">IF(OR(F337="",F337="-",F337="Selecciona..",F337="Finalizar"),"",IF(A337="Rodados",XLOOKUP(B337,'Validaciones Cotizador'!I:I,'Validaciones Cotizador'!J:J,0,0,1),1))</f>
        <v/>
      </c>
      <c r="H337" s="11" t="str">
        <f>IF(OR(F337="",F337="Selecciona.."),"",SUMIF(Precio_Productos!K:K,E337,Precio_Productos!J:J)*G337)</f>
        <v/>
      </c>
      <c r="I337" s="4" t="str">
        <f t="array" ref="I337">IF($E337="","", XLOOKUP(SUMIFS(Prod_Prop!$A:$A,Prod_Prop!$B:$B,$E337,Prod_Prop!$H:$H,I$1,Prod_Prop!$I:$I,"Exacto"),Prod_Prop!$A:$A,Prod_Prop!$J:$J,"",0,1))</f>
        <v/>
      </c>
      <c r="J337" s="4" t="str">
        <f t="array" ref="J337">IF($E337="","", XLOOKUP(SUMIFS(Prod_Prop!$A:$A,Prod_Prop!$B:$B,$E337,Prod_Prop!$H:$H,J$1,Prod_Prop!$I:$I,"Exacto"),Prod_Prop!$A:$A,Prod_Prop!$J:$J,"",0,1))</f>
        <v/>
      </c>
      <c r="K337" s="4" t="str">
        <f t="array" ref="K337">IF($E337="","", XLOOKUP(SUMIFS(Prod_Prop!$A:$A,Prod_Prop!$B:$B,$E337,Prod_Prop!$H:$H,K$1,Prod_Prop!$I:$I,"Exacto"),Prod_Prop!$A:$A,Prod_Prop!$J:$J,"",0,1))</f>
        <v/>
      </c>
      <c r="L337" s="4" t="str">
        <f t="array" ref="L337">IF($E337="","", XLOOKUP(SUMIFS(Prod_Prop!$A:$A,Prod_Prop!$B:$B,$E337,Prod_Prop!$H:$H,L$1,Prod_Prop!$I:$I,"Exacto"),Prod_Prop!$A:$A,Prod_Prop!$J:$J,"",0,1))</f>
        <v/>
      </c>
      <c r="M337" s="4" t="str">
        <f t="array" ref="M337">IF($E337="","", XLOOKUP(SUMIFS(Prod_Prop!$A:$A,Prod_Prop!$B:$B,$E337,Prod_Prop!$H:$H,M$1,Prod_Prop!$I:$I,"Exacto"),Prod_Prop!$A:$A,Prod_Prop!$J:$J,"",0,1))</f>
        <v/>
      </c>
      <c r="N337" s="4" t="str">
        <f t="array" ref="N337">IF($E337="","", XLOOKUP(SUMIFS(Prod_Prop!$A:$A,Prod_Prop!$B:$B,$E337,Prod_Prop!$H:$H,N$1,Prod_Prop!$I:$I,"Exacto"),Prod_Prop!$A:$A,Prod_Prop!$J:$J,"",0,1))</f>
        <v/>
      </c>
      <c r="O337" s="4" t="str">
        <f t="array" ref="O337">IF($E337="","", XLOOKUP(SUMIFS(Prod_Prop!$A:$A,Prod_Prop!$B:$B,$E337,Prod_Prop!$H:$H,O$1,Prod_Prop!$I:$I,"Exacto"),Prod_Prop!$A:$A,Prod_Prop!$J:$J,"",0,1))</f>
        <v/>
      </c>
      <c r="P337" s="4" t="str">
        <f t="array" ref="P337">IF($E337="","", XLOOKUP(SUMIFS(Prod_Prop!$A:$A,Prod_Prop!$B:$B,$E337,Prod_Prop!$H:$H,P$1,Prod_Prop!$I:$I,"Exacto"),Prod_Prop!$A:$A,Prod_Prop!$J:$J,"",0,1))</f>
        <v/>
      </c>
      <c r="Q337" s="4" t="str">
        <f t="array" ref="Q337">IF($E337="","", XLOOKUP(SUMIFS(Prod_Prop!$A:$A,Prod_Prop!$B:$B,$E337,Prod_Prop!$H:$H,Q$1,Prod_Prop!$I:$I,"Exacto"),Prod_Prop!$A:$A,Prod_Prop!$J:$J,"",0,1))</f>
        <v/>
      </c>
      <c r="R337" s="4" t="str">
        <f t="array" ref="R337">IF($E337="","", XLOOKUP(SUMIFS(Prod_Prop!$A:$A,Prod_Prop!$B:$B,$E337,Prod_Prop!$H:$H,R$1,Prod_Prop!$I:$I,"Exacto"),Prod_Prop!$A:$A,Prod_Prop!$J:$J,"",0,1))</f>
        <v/>
      </c>
      <c r="S337" s="4" t="str">
        <f t="array" ref="S337">IF($E337="","", XLOOKUP(SUMIFS(Prod_Prop!$A:$A,Prod_Prop!$B:$B,$E337,Prod_Prop!$H:$H,S$1,Prod_Prop!$I:$I,"Exacto"),Prod_Prop!$A:$A,Prod_Prop!$J:$J,"",0,1))</f>
        <v/>
      </c>
      <c r="T337" s="4" t="str">
        <f t="array" ref="T337">IF($E337="","", XLOOKUP(SUMIFS(Prod_Prop!$A:$A,Prod_Prop!$B:$B,$E337,Prod_Prop!$H:$H,T$1,Prod_Prop!$I:$I,"Exacto"),Prod_Prop!$A:$A,Prod_Prop!$J:$J,"",0,1))</f>
        <v/>
      </c>
      <c r="U337" s="4" t="str">
        <f t="array" ref="U337">IF($E337="","", XLOOKUP(SUMIFS(Prod_Prop!$A:$A,Prod_Prop!$B:$B,$E337,Prod_Prop!$H:$H,U$1,Prod_Prop!$I:$I,"Exacto"),Prod_Prop!$A:$A,Prod_Prop!$J:$J,"",0,1))</f>
        <v/>
      </c>
      <c r="V337" s="4" t="str">
        <f t="array" ref="V337">IF($E337="","", XLOOKUP(SUMIFS(Prod_Prop!$A:$A,Prod_Prop!$B:$B,$E337,Prod_Prop!$H:$H,V$1,Prod_Prop!$I:$I,"Exacto"),Prod_Prop!$A:$A,Prod_Prop!$J:$J,"",0,1))</f>
        <v/>
      </c>
      <c r="X337" s="3" t="str">
        <f>IFERROR(__xludf.DUMMYFUNCTION("IF(D337="""","""",IFERROR(TRANSPOSE(FILTER('Validaciones Cotizador'!U:U,'Validaciones Cotizador'!O:O=D337,'Validaciones Cotizador'!T:T=""x"")),""Finalizar""))"),"")</f>
        <v/>
      </c>
    </row>
    <row r="338">
      <c r="A338" s="2" t="str">
        <f t="array" ref="A338">IF(E338="","",XLOOKUP(D338,'Validaciones Cotizador'!C:C,'Validaciones Cotizador'!A:A,"",0,1))</f>
        <v/>
      </c>
      <c r="B338" s="2" t="str">
        <f t="array" ref="B338">IF(F338="","",XLOOKUP(F338,Productos!E:E,Productos!G:G,"",0,1))</f>
        <v/>
      </c>
      <c r="C338" s="2" t="str">
        <f>IF(A338="","",SUMIFS('Validaciones Cotizador'!B:B,'Validaciones Cotizador'!C:C,D338,'Validaciones Cotizador'!A:A,A338))</f>
        <v/>
      </c>
      <c r="D338" s="4" t="str">
        <f>IFERROR(__xludf.DUMMYFUNCTION("IF(OR(F337=""Finalizar"",F337="""",F337=""Selecciona..""),"""",IF(OR(F337=""-"",INDEX(filter(Familias!F:F,Familias!D:D=A337,Familias!E:E=C337),1)=""O""),D337+1,D337))"),"")</f>
        <v/>
      </c>
      <c r="E338" s="2" t="str">
        <f>IF(OR(F338="",F338="Selecciona.."),"",IF(D338="Implemento",SUMIF(Implementos!B:B,F338,Implementos!A:A),SUMIF(Productos!E:E,F338,Productos!A:A)))</f>
        <v/>
      </c>
      <c r="F338" s="2" t="str">
        <f t="shared" si="2"/>
        <v/>
      </c>
      <c r="G338" s="10" t="str">
        <f t="array" ref="G338">IF(OR(F338="",F338="-",F338="Selecciona..",F338="Finalizar"),"",IF(A338="Rodados",XLOOKUP(B338,'Validaciones Cotizador'!I:I,'Validaciones Cotizador'!J:J,0,0,1),1))</f>
        <v/>
      </c>
      <c r="H338" s="11" t="str">
        <f>IF(OR(F338="",F338="Selecciona.."),"",SUMIF(Precio_Productos!K:K,E338,Precio_Productos!J:J)*G338)</f>
        <v/>
      </c>
      <c r="I338" s="4" t="str">
        <f t="array" ref="I338">IF($E338="","", XLOOKUP(SUMIFS(Prod_Prop!$A:$A,Prod_Prop!$B:$B,$E338,Prod_Prop!$H:$H,I$1,Prod_Prop!$I:$I,"Exacto"),Prod_Prop!$A:$A,Prod_Prop!$J:$J,"",0,1))</f>
        <v/>
      </c>
      <c r="J338" s="4" t="str">
        <f t="array" ref="J338">IF($E338="","", XLOOKUP(SUMIFS(Prod_Prop!$A:$A,Prod_Prop!$B:$B,$E338,Prod_Prop!$H:$H,J$1,Prod_Prop!$I:$I,"Exacto"),Prod_Prop!$A:$A,Prod_Prop!$J:$J,"",0,1))</f>
        <v/>
      </c>
      <c r="K338" s="4" t="str">
        <f t="array" ref="K338">IF($E338="","", XLOOKUP(SUMIFS(Prod_Prop!$A:$A,Prod_Prop!$B:$B,$E338,Prod_Prop!$H:$H,K$1,Prod_Prop!$I:$I,"Exacto"),Prod_Prop!$A:$A,Prod_Prop!$J:$J,"",0,1))</f>
        <v/>
      </c>
      <c r="L338" s="4" t="str">
        <f t="array" ref="L338">IF($E338="","", XLOOKUP(SUMIFS(Prod_Prop!$A:$A,Prod_Prop!$B:$B,$E338,Prod_Prop!$H:$H,L$1,Prod_Prop!$I:$I,"Exacto"),Prod_Prop!$A:$A,Prod_Prop!$J:$J,"",0,1))</f>
        <v/>
      </c>
      <c r="M338" s="4" t="str">
        <f t="array" ref="M338">IF($E338="","", XLOOKUP(SUMIFS(Prod_Prop!$A:$A,Prod_Prop!$B:$B,$E338,Prod_Prop!$H:$H,M$1,Prod_Prop!$I:$I,"Exacto"),Prod_Prop!$A:$A,Prod_Prop!$J:$J,"",0,1))</f>
        <v/>
      </c>
      <c r="N338" s="4" t="str">
        <f t="array" ref="N338">IF($E338="","", XLOOKUP(SUMIFS(Prod_Prop!$A:$A,Prod_Prop!$B:$B,$E338,Prod_Prop!$H:$H,N$1,Prod_Prop!$I:$I,"Exacto"),Prod_Prop!$A:$A,Prod_Prop!$J:$J,"",0,1))</f>
        <v/>
      </c>
      <c r="O338" s="4" t="str">
        <f t="array" ref="O338">IF($E338="","", XLOOKUP(SUMIFS(Prod_Prop!$A:$A,Prod_Prop!$B:$B,$E338,Prod_Prop!$H:$H,O$1,Prod_Prop!$I:$I,"Exacto"),Prod_Prop!$A:$A,Prod_Prop!$J:$J,"",0,1))</f>
        <v/>
      </c>
      <c r="P338" s="4" t="str">
        <f t="array" ref="P338">IF($E338="","", XLOOKUP(SUMIFS(Prod_Prop!$A:$A,Prod_Prop!$B:$B,$E338,Prod_Prop!$H:$H,P$1,Prod_Prop!$I:$I,"Exacto"),Prod_Prop!$A:$A,Prod_Prop!$J:$J,"",0,1))</f>
        <v/>
      </c>
      <c r="Q338" s="4" t="str">
        <f t="array" ref="Q338">IF($E338="","", XLOOKUP(SUMIFS(Prod_Prop!$A:$A,Prod_Prop!$B:$B,$E338,Prod_Prop!$H:$H,Q$1,Prod_Prop!$I:$I,"Exacto"),Prod_Prop!$A:$A,Prod_Prop!$J:$J,"",0,1))</f>
        <v/>
      </c>
      <c r="R338" s="4" t="str">
        <f t="array" ref="R338">IF($E338="","", XLOOKUP(SUMIFS(Prod_Prop!$A:$A,Prod_Prop!$B:$B,$E338,Prod_Prop!$H:$H,R$1,Prod_Prop!$I:$I,"Exacto"),Prod_Prop!$A:$A,Prod_Prop!$J:$J,"",0,1))</f>
        <v/>
      </c>
      <c r="S338" s="4" t="str">
        <f t="array" ref="S338">IF($E338="","", XLOOKUP(SUMIFS(Prod_Prop!$A:$A,Prod_Prop!$B:$B,$E338,Prod_Prop!$H:$H,S$1,Prod_Prop!$I:$I,"Exacto"),Prod_Prop!$A:$A,Prod_Prop!$J:$J,"",0,1))</f>
        <v/>
      </c>
      <c r="T338" s="4" t="str">
        <f t="array" ref="T338">IF($E338="","", XLOOKUP(SUMIFS(Prod_Prop!$A:$A,Prod_Prop!$B:$B,$E338,Prod_Prop!$H:$H,T$1,Prod_Prop!$I:$I,"Exacto"),Prod_Prop!$A:$A,Prod_Prop!$J:$J,"",0,1))</f>
        <v/>
      </c>
      <c r="U338" s="4" t="str">
        <f t="array" ref="U338">IF($E338="","", XLOOKUP(SUMIFS(Prod_Prop!$A:$A,Prod_Prop!$B:$B,$E338,Prod_Prop!$H:$H,U$1,Prod_Prop!$I:$I,"Exacto"),Prod_Prop!$A:$A,Prod_Prop!$J:$J,"",0,1))</f>
        <v/>
      </c>
      <c r="V338" s="4" t="str">
        <f t="array" ref="V338">IF($E338="","", XLOOKUP(SUMIFS(Prod_Prop!$A:$A,Prod_Prop!$B:$B,$E338,Prod_Prop!$H:$H,V$1,Prod_Prop!$I:$I,"Exacto"),Prod_Prop!$A:$A,Prod_Prop!$J:$J,"",0,1))</f>
        <v/>
      </c>
      <c r="X338" s="3" t="str">
        <f>IFERROR(__xludf.DUMMYFUNCTION("IF(D338="""","""",IFERROR(TRANSPOSE(FILTER('Validaciones Cotizador'!U:U,'Validaciones Cotizador'!O:O=D338,'Validaciones Cotizador'!T:T=""x"")),""Finalizar""))"),"")</f>
        <v/>
      </c>
    </row>
    <row r="339">
      <c r="A339" s="2" t="str">
        <f t="array" ref="A339">IF(E339="","",XLOOKUP(D339,'Validaciones Cotizador'!C:C,'Validaciones Cotizador'!A:A,"",0,1))</f>
        <v/>
      </c>
      <c r="B339" s="2" t="str">
        <f t="array" ref="B339">IF(F339="","",XLOOKUP(F339,Productos!E:E,Productos!G:G,"",0,1))</f>
        <v/>
      </c>
      <c r="C339" s="2" t="str">
        <f>IF(A339="","",SUMIFS('Validaciones Cotizador'!B:B,'Validaciones Cotizador'!C:C,D339,'Validaciones Cotizador'!A:A,A339))</f>
        <v/>
      </c>
      <c r="D339" s="4" t="str">
        <f>IFERROR(__xludf.DUMMYFUNCTION("IF(OR(F338=""Finalizar"",F338="""",F338=""Selecciona..""),"""",IF(OR(F338=""-"",INDEX(filter(Familias!F:F,Familias!D:D=A338,Familias!E:E=C338),1)=""O""),D338+1,D338))"),"")</f>
        <v/>
      </c>
      <c r="E339" s="2" t="str">
        <f>IF(OR(F339="",F339="Selecciona.."),"",IF(D339="Implemento",SUMIF(Implementos!B:B,F339,Implementos!A:A),SUMIF(Productos!E:E,F339,Productos!A:A)))</f>
        <v/>
      </c>
      <c r="F339" s="2" t="str">
        <f t="shared" si="2"/>
        <v/>
      </c>
      <c r="G339" s="10" t="str">
        <f t="array" ref="G339">IF(OR(F339="",F339="-",F339="Selecciona..",F339="Finalizar"),"",IF(A339="Rodados",XLOOKUP(B339,'Validaciones Cotizador'!I:I,'Validaciones Cotizador'!J:J,0,0,1),1))</f>
        <v/>
      </c>
      <c r="H339" s="11" t="str">
        <f>IF(OR(F339="",F339="Selecciona.."),"",SUMIF(Precio_Productos!K:K,E339,Precio_Productos!J:J)*G339)</f>
        <v/>
      </c>
      <c r="I339" s="4" t="str">
        <f t="array" ref="I339">IF($E339="","", XLOOKUP(SUMIFS(Prod_Prop!$A:$A,Prod_Prop!$B:$B,$E339,Prod_Prop!$H:$H,I$1,Prod_Prop!$I:$I,"Exacto"),Prod_Prop!$A:$A,Prod_Prop!$J:$J,"",0,1))</f>
        <v/>
      </c>
      <c r="J339" s="4" t="str">
        <f t="array" ref="J339">IF($E339="","", XLOOKUP(SUMIFS(Prod_Prop!$A:$A,Prod_Prop!$B:$B,$E339,Prod_Prop!$H:$H,J$1,Prod_Prop!$I:$I,"Exacto"),Prod_Prop!$A:$A,Prod_Prop!$J:$J,"",0,1))</f>
        <v/>
      </c>
      <c r="K339" s="4" t="str">
        <f t="array" ref="K339">IF($E339="","", XLOOKUP(SUMIFS(Prod_Prop!$A:$A,Prod_Prop!$B:$B,$E339,Prod_Prop!$H:$H,K$1,Prod_Prop!$I:$I,"Exacto"),Prod_Prop!$A:$A,Prod_Prop!$J:$J,"",0,1))</f>
        <v/>
      </c>
      <c r="L339" s="4" t="str">
        <f t="array" ref="L339">IF($E339="","", XLOOKUP(SUMIFS(Prod_Prop!$A:$A,Prod_Prop!$B:$B,$E339,Prod_Prop!$H:$H,L$1,Prod_Prop!$I:$I,"Exacto"),Prod_Prop!$A:$A,Prod_Prop!$J:$J,"",0,1))</f>
        <v/>
      </c>
      <c r="M339" s="4" t="str">
        <f t="array" ref="M339">IF($E339="","", XLOOKUP(SUMIFS(Prod_Prop!$A:$A,Prod_Prop!$B:$B,$E339,Prod_Prop!$H:$H,M$1,Prod_Prop!$I:$I,"Exacto"),Prod_Prop!$A:$A,Prod_Prop!$J:$J,"",0,1))</f>
        <v/>
      </c>
      <c r="N339" s="4" t="str">
        <f t="array" ref="N339">IF($E339="","", XLOOKUP(SUMIFS(Prod_Prop!$A:$A,Prod_Prop!$B:$B,$E339,Prod_Prop!$H:$H,N$1,Prod_Prop!$I:$I,"Exacto"),Prod_Prop!$A:$A,Prod_Prop!$J:$J,"",0,1))</f>
        <v/>
      </c>
      <c r="O339" s="4" t="str">
        <f t="array" ref="O339">IF($E339="","", XLOOKUP(SUMIFS(Prod_Prop!$A:$A,Prod_Prop!$B:$B,$E339,Prod_Prop!$H:$H,O$1,Prod_Prop!$I:$I,"Exacto"),Prod_Prop!$A:$A,Prod_Prop!$J:$J,"",0,1))</f>
        <v/>
      </c>
      <c r="P339" s="4" t="str">
        <f t="array" ref="P339">IF($E339="","", XLOOKUP(SUMIFS(Prod_Prop!$A:$A,Prod_Prop!$B:$B,$E339,Prod_Prop!$H:$H,P$1,Prod_Prop!$I:$I,"Exacto"),Prod_Prop!$A:$A,Prod_Prop!$J:$J,"",0,1))</f>
        <v/>
      </c>
      <c r="Q339" s="4" t="str">
        <f t="array" ref="Q339">IF($E339="","", XLOOKUP(SUMIFS(Prod_Prop!$A:$A,Prod_Prop!$B:$B,$E339,Prod_Prop!$H:$H,Q$1,Prod_Prop!$I:$I,"Exacto"),Prod_Prop!$A:$A,Prod_Prop!$J:$J,"",0,1))</f>
        <v/>
      </c>
      <c r="R339" s="4" t="str">
        <f t="array" ref="R339">IF($E339="","", XLOOKUP(SUMIFS(Prod_Prop!$A:$A,Prod_Prop!$B:$B,$E339,Prod_Prop!$H:$H,R$1,Prod_Prop!$I:$I,"Exacto"),Prod_Prop!$A:$A,Prod_Prop!$J:$J,"",0,1))</f>
        <v/>
      </c>
      <c r="S339" s="4" t="str">
        <f t="array" ref="S339">IF($E339="","", XLOOKUP(SUMIFS(Prod_Prop!$A:$A,Prod_Prop!$B:$B,$E339,Prod_Prop!$H:$H,S$1,Prod_Prop!$I:$I,"Exacto"),Prod_Prop!$A:$A,Prod_Prop!$J:$J,"",0,1))</f>
        <v/>
      </c>
      <c r="T339" s="4" t="str">
        <f t="array" ref="T339">IF($E339="","", XLOOKUP(SUMIFS(Prod_Prop!$A:$A,Prod_Prop!$B:$B,$E339,Prod_Prop!$H:$H,T$1,Prod_Prop!$I:$I,"Exacto"),Prod_Prop!$A:$A,Prod_Prop!$J:$J,"",0,1))</f>
        <v/>
      </c>
      <c r="U339" s="4" t="str">
        <f t="array" ref="U339">IF($E339="","", XLOOKUP(SUMIFS(Prod_Prop!$A:$A,Prod_Prop!$B:$B,$E339,Prod_Prop!$H:$H,U$1,Prod_Prop!$I:$I,"Exacto"),Prod_Prop!$A:$A,Prod_Prop!$J:$J,"",0,1))</f>
        <v/>
      </c>
      <c r="V339" s="4" t="str">
        <f t="array" ref="V339">IF($E339="","", XLOOKUP(SUMIFS(Prod_Prop!$A:$A,Prod_Prop!$B:$B,$E339,Prod_Prop!$H:$H,V$1,Prod_Prop!$I:$I,"Exacto"),Prod_Prop!$A:$A,Prod_Prop!$J:$J,"",0,1))</f>
        <v/>
      </c>
      <c r="X339" s="3" t="str">
        <f>IFERROR(__xludf.DUMMYFUNCTION("IF(D339="""","""",IFERROR(TRANSPOSE(FILTER('Validaciones Cotizador'!U:U,'Validaciones Cotizador'!O:O=D339,'Validaciones Cotizador'!T:T=""x"")),""Finalizar""))"),"")</f>
        <v/>
      </c>
    </row>
    <row r="340">
      <c r="A340" s="2" t="str">
        <f t="array" ref="A340">IF(E340="","",XLOOKUP(D340,'Validaciones Cotizador'!C:C,'Validaciones Cotizador'!A:A,"",0,1))</f>
        <v/>
      </c>
      <c r="B340" s="2" t="str">
        <f t="array" ref="B340">IF(F340="","",XLOOKUP(F340,Productos!E:E,Productos!G:G,"",0,1))</f>
        <v/>
      </c>
      <c r="C340" s="2" t="str">
        <f>IF(A340="","",SUMIFS('Validaciones Cotizador'!B:B,'Validaciones Cotizador'!C:C,D340,'Validaciones Cotizador'!A:A,A340))</f>
        <v/>
      </c>
      <c r="D340" s="4" t="str">
        <f>IFERROR(__xludf.DUMMYFUNCTION("IF(OR(F339=""Finalizar"",F339="""",F339=""Selecciona..""),"""",IF(OR(F339=""-"",INDEX(filter(Familias!F:F,Familias!D:D=A339,Familias!E:E=C339),1)=""O""),D339+1,D339))"),"")</f>
        <v/>
      </c>
      <c r="E340" s="2" t="str">
        <f>IF(OR(F340="",F340="Selecciona.."),"",IF(D340="Implemento",SUMIF(Implementos!B:B,F340,Implementos!A:A),SUMIF(Productos!E:E,F340,Productos!A:A)))</f>
        <v/>
      </c>
      <c r="F340" s="2" t="str">
        <f t="shared" si="2"/>
        <v/>
      </c>
      <c r="G340" s="10" t="str">
        <f t="array" ref="G340">IF(OR(F340="",F340="-",F340="Selecciona..",F340="Finalizar"),"",IF(A340="Rodados",XLOOKUP(B340,'Validaciones Cotizador'!I:I,'Validaciones Cotizador'!J:J,0,0,1),1))</f>
        <v/>
      </c>
      <c r="H340" s="11" t="str">
        <f>IF(OR(F340="",F340="Selecciona.."),"",SUMIF(Precio_Productos!K:K,E340,Precio_Productos!J:J)*G340)</f>
        <v/>
      </c>
      <c r="I340" s="4" t="str">
        <f t="array" ref="I340">IF($E340="","", XLOOKUP(SUMIFS(Prod_Prop!$A:$A,Prod_Prop!$B:$B,$E340,Prod_Prop!$H:$H,I$1,Prod_Prop!$I:$I,"Exacto"),Prod_Prop!$A:$A,Prod_Prop!$J:$J,"",0,1))</f>
        <v/>
      </c>
      <c r="J340" s="4" t="str">
        <f t="array" ref="J340">IF($E340="","", XLOOKUP(SUMIFS(Prod_Prop!$A:$A,Prod_Prop!$B:$B,$E340,Prod_Prop!$H:$H,J$1,Prod_Prop!$I:$I,"Exacto"),Prod_Prop!$A:$A,Prod_Prop!$J:$J,"",0,1))</f>
        <v/>
      </c>
      <c r="K340" s="4" t="str">
        <f t="array" ref="K340">IF($E340="","", XLOOKUP(SUMIFS(Prod_Prop!$A:$A,Prod_Prop!$B:$B,$E340,Prod_Prop!$H:$H,K$1,Prod_Prop!$I:$I,"Exacto"),Prod_Prop!$A:$A,Prod_Prop!$J:$J,"",0,1))</f>
        <v/>
      </c>
      <c r="L340" s="4" t="str">
        <f t="array" ref="L340">IF($E340="","", XLOOKUP(SUMIFS(Prod_Prop!$A:$A,Prod_Prop!$B:$B,$E340,Prod_Prop!$H:$H,L$1,Prod_Prop!$I:$I,"Exacto"),Prod_Prop!$A:$A,Prod_Prop!$J:$J,"",0,1))</f>
        <v/>
      </c>
      <c r="M340" s="4" t="str">
        <f t="array" ref="M340">IF($E340="","", XLOOKUP(SUMIFS(Prod_Prop!$A:$A,Prod_Prop!$B:$B,$E340,Prod_Prop!$H:$H,M$1,Prod_Prop!$I:$I,"Exacto"),Prod_Prop!$A:$A,Prod_Prop!$J:$J,"",0,1))</f>
        <v/>
      </c>
      <c r="N340" s="4" t="str">
        <f t="array" ref="N340">IF($E340="","", XLOOKUP(SUMIFS(Prod_Prop!$A:$A,Prod_Prop!$B:$B,$E340,Prod_Prop!$H:$H,N$1,Prod_Prop!$I:$I,"Exacto"),Prod_Prop!$A:$A,Prod_Prop!$J:$J,"",0,1))</f>
        <v/>
      </c>
      <c r="O340" s="4" t="str">
        <f t="array" ref="O340">IF($E340="","", XLOOKUP(SUMIFS(Prod_Prop!$A:$A,Prod_Prop!$B:$B,$E340,Prod_Prop!$H:$H,O$1,Prod_Prop!$I:$I,"Exacto"),Prod_Prop!$A:$A,Prod_Prop!$J:$J,"",0,1))</f>
        <v/>
      </c>
      <c r="P340" s="4" t="str">
        <f t="array" ref="P340">IF($E340="","", XLOOKUP(SUMIFS(Prod_Prop!$A:$A,Prod_Prop!$B:$B,$E340,Prod_Prop!$H:$H,P$1,Prod_Prop!$I:$I,"Exacto"),Prod_Prop!$A:$A,Prod_Prop!$J:$J,"",0,1))</f>
        <v/>
      </c>
      <c r="Q340" s="4" t="str">
        <f t="array" ref="Q340">IF($E340="","", XLOOKUP(SUMIFS(Prod_Prop!$A:$A,Prod_Prop!$B:$B,$E340,Prod_Prop!$H:$H,Q$1,Prod_Prop!$I:$I,"Exacto"),Prod_Prop!$A:$A,Prod_Prop!$J:$J,"",0,1))</f>
        <v/>
      </c>
      <c r="R340" s="4" t="str">
        <f t="array" ref="R340">IF($E340="","", XLOOKUP(SUMIFS(Prod_Prop!$A:$A,Prod_Prop!$B:$B,$E340,Prod_Prop!$H:$H,R$1,Prod_Prop!$I:$I,"Exacto"),Prod_Prop!$A:$A,Prod_Prop!$J:$J,"",0,1))</f>
        <v/>
      </c>
      <c r="S340" s="4" t="str">
        <f t="array" ref="S340">IF($E340="","", XLOOKUP(SUMIFS(Prod_Prop!$A:$A,Prod_Prop!$B:$B,$E340,Prod_Prop!$H:$H,S$1,Prod_Prop!$I:$I,"Exacto"),Prod_Prop!$A:$A,Prod_Prop!$J:$J,"",0,1))</f>
        <v/>
      </c>
      <c r="T340" s="4" t="str">
        <f t="array" ref="T340">IF($E340="","", XLOOKUP(SUMIFS(Prod_Prop!$A:$A,Prod_Prop!$B:$B,$E340,Prod_Prop!$H:$H,T$1,Prod_Prop!$I:$I,"Exacto"),Prod_Prop!$A:$A,Prod_Prop!$J:$J,"",0,1))</f>
        <v/>
      </c>
      <c r="U340" s="4" t="str">
        <f t="array" ref="U340">IF($E340="","", XLOOKUP(SUMIFS(Prod_Prop!$A:$A,Prod_Prop!$B:$B,$E340,Prod_Prop!$H:$H,U$1,Prod_Prop!$I:$I,"Exacto"),Prod_Prop!$A:$A,Prod_Prop!$J:$J,"",0,1))</f>
        <v/>
      </c>
      <c r="V340" s="4" t="str">
        <f t="array" ref="V340">IF($E340="","", XLOOKUP(SUMIFS(Prod_Prop!$A:$A,Prod_Prop!$B:$B,$E340,Prod_Prop!$H:$H,V$1,Prod_Prop!$I:$I,"Exacto"),Prod_Prop!$A:$A,Prod_Prop!$J:$J,"",0,1))</f>
        <v/>
      </c>
      <c r="X340" s="3" t="str">
        <f>IFERROR(__xludf.DUMMYFUNCTION("IF(D340="""","""",IFERROR(TRANSPOSE(FILTER('Validaciones Cotizador'!U:U,'Validaciones Cotizador'!O:O=D340,'Validaciones Cotizador'!T:T=""x"")),""Finalizar""))"),"")</f>
        <v/>
      </c>
    </row>
    <row r="341">
      <c r="A341" s="2" t="str">
        <f t="array" ref="A341">IF(E341="","",XLOOKUP(D341,'Validaciones Cotizador'!C:C,'Validaciones Cotizador'!A:A,"",0,1))</f>
        <v/>
      </c>
      <c r="B341" s="2" t="str">
        <f t="array" ref="B341">IF(F341="","",XLOOKUP(F341,Productos!E:E,Productos!G:G,"",0,1))</f>
        <v/>
      </c>
      <c r="C341" s="2" t="str">
        <f>IF(A341="","",SUMIFS('Validaciones Cotizador'!B:B,'Validaciones Cotizador'!C:C,D341,'Validaciones Cotizador'!A:A,A341))</f>
        <v/>
      </c>
      <c r="D341" s="4" t="str">
        <f>IFERROR(__xludf.DUMMYFUNCTION("IF(OR(F340=""Finalizar"",F340="""",F340=""Selecciona..""),"""",IF(OR(F340=""-"",INDEX(filter(Familias!F:F,Familias!D:D=A340,Familias!E:E=C340),1)=""O""),D340+1,D340))"),"")</f>
        <v/>
      </c>
      <c r="E341" s="2" t="str">
        <f>IF(OR(F341="",F341="Selecciona.."),"",IF(D341="Implemento",SUMIF(Implementos!B:B,F341,Implementos!A:A),SUMIF(Productos!E:E,F341,Productos!A:A)))</f>
        <v/>
      </c>
      <c r="F341" s="2" t="str">
        <f t="shared" si="2"/>
        <v/>
      </c>
      <c r="G341" s="10" t="str">
        <f t="array" ref="G341">IF(OR(F341="",F341="-",F341="Selecciona..",F341="Finalizar"),"",IF(A341="Rodados",XLOOKUP(B341,'Validaciones Cotizador'!I:I,'Validaciones Cotizador'!J:J,0,0,1),1))</f>
        <v/>
      </c>
      <c r="H341" s="11" t="str">
        <f>IF(OR(F341="",F341="Selecciona.."),"",SUMIF(Precio_Productos!K:K,E341,Precio_Productos!J:J)*G341)</f>
        <v/>
      </c>
      <c r="I341" s="4" t="str">
        <f t="array" ref="I341">IF($E341="","", XLOOKUP(SUMIFS(Prod_Prop!$A:$A,Prod_Prop!$B:$B,$E341,Prod_Prop!$H:$H,I$1,Prod_Prop!$I:$I,"Exacto"),Prod_Prop!$A:$A,Prod_Prop!$J:$J,"",0,1))</f>
        <v/>
      </c>
      <c r="J341" s="4" t="str">
        <f t="array" ref="J341">IF($E341="","", XLOOKUP(SUMIFS(Prod_Prop!$A:$A,Prod_Prop!$B:$B,$E341,Prod_Prop!$H:$H,J$1,Prod_Prop!$I:$I,"Exacto"),Prod_Prop!$A:$A,Prod_Prop!$J:$J,"",0,1))</f>
        <v/>
      </c>
      <c r="K341" s="4" t="str">
        <f t="array" ref="K341">IF($E341="","", XLOOKUP(SUMIFS(Prod_Prop!$A:$A,Prod_Prop!$B:$B,$E341,Prod_Prop!$H:$H,K$1,Prod_Prop!$I:$I,"Exacto"),Prod_Prop!$A:$A,Prod_Prop!$J:$J,"",0,1))</f>
        <v/>
      </c>
      <c r="L341" s="4" t="str">
        <f t="array" ref="L341">IF($E341="","", XLOOKUP(SUMIFS(Prod_Prop!$A:$A,Prod_Prop!$B:$B,$E341,Prod_Prop!$H:$H,L$1,Prod_Prop!$I:$I,"Exacto"),Prod_Prop!$A:$A,Prod_Prop!$J:$J,"",0,1))</f>
        <v/>
      </c>
      <c r="M341" s="4" t="str">
        <f t="array" ref="M341">IF($E341="","", XLOOKUP(SUMIFS(Prod_Prop!$A:$A,Prod_Prop!$B:$B,$E341,Prod_Prop!$H:$H,M$1,Prod_Prop!$I:$I,"Exacto"),Prod_Prop!$A:$A,Prod_Prop!$J:$J,"",0,1))</f>
        <v/>
      </c>
      <c r="N341" s="4" t="str">
        <f t="array" ref="N341">IF($E341="","", XLOOKUP(SUMIFS(Prod_Prop!$A:$A,Prod_Prop!$B:$B,$E341,Prod_Prop!$H:$H,N$1,Prod_Prop!$I:$I,"Exacto"),Prod_Prop!$A:$A,Prod_Prop!$J:$J,"",0,1))</f>
        <v/>
      </c>
      <c r="O341" s="4" t="str">
        <f t="array" ref="O341">IF($E341="","", XLOOKUP(SUMIFS(Prod_Prop!$A:$A,Prod_Prop!$B:$B,$E341,Prod_Prop!$H:$H,O$1,Prod_Prop!$I:$I,"Exacto"),Prod_Prop!$A:$A,Prod_Prop!$J:$J,"",0,1))</f>
        <v/>
      </c>
      <c r="P341" s="4" t="str">
        <f t="array" ref="P341">IF($E341="","", XLOOKUP(SUMIFS(Prod_Prop!$A:$A,Prod_Prop!$B:$B,$E341,Prod_Prop!$H:$H,P$1,Prod_Prop!$I:$I,"Exacto"),Prod_Prop!$A:$A,Prod_Prop!$J:$J,"",0,1))</f>
        <v/>
      </c>
      <c r="Q341" s="4" t="str">
        <f t="array" ref="Q341">IF($E341="","", XLOOKUP(SUMIFS(Prod_Prop!$A:$A,Prod_Prop!$B:$B,$E341,Prod_Prop!$H:$H,Q$1,Prod_Prop!$I:$I,"Exacto"),Prod_Prop!$A:$A,Prod_Prop!$J:$J,"",0,1))</f>
        <v/>
      </c>
      <c r="R341" s="4" t="str">
        <f t="array" ref="R341">IF($E341="","", XLOOKUP(SUMIFS(Prod_Prop!$A:$A,Prod_Prop!$B:$B,$E341,Prod_Prop!$H:$H,R$1,Prod_Prop!$I:$I,"Exacto"),Prod_Prop!$A:$A,Prod_Prop!$J:$J,"",0,1))</f>
        <v/>
      </c>
      <c r="S341" s="4" t="str">
        <f t="array" ref="S341">IF($E341="","", XLOOKUP(SUMIFS(Prod_Prop!$A:$A,Prod_Prop!$B:$B,$E341,Prod_Prop!$H:$H,S$1,Prod_Prop!$I:$I,"Exacto"),Prod_Prop!$A:$A,Prod_Prop!$J:$J,"",0,1))</f>
        <v/>
      </c>
      <c r="T341" s="4" t="str">
        <f t="array" ref="T341">IF($E341="","", XLOOKUP(SUMIFS(Prod_Prop!$A:$A,Prod_Prop!$B:$B,$E341,Prod_Prop!$H:$H,T$1,Prod_Prop!$I:$I,"Exacto"),Prod_Prop!$A:$A,Prod_Prop!$J:$J,"",0,1))</f>
        <v/>
      </c>
      <c r="U341" s="4" t="str">
        <f t="array" ref="U341">IF($E341="","", XLOOKUP(SUMIFS(Prod_Prop!$A:$A,Prod_Prop!$B:$B,$E341,Prod_Prop!$H:$H,U$1,Prod_Prop!$I:$I,"Exacto"),Prod_Prop!$A:$A,Prod_Prop!$J:$J,"",0,1))</f>
        <v/>
      </c>
      <c r="V341" s="4" t="str">
        <f t="array" ref="V341">IF($E341="","", XLOOKUP(SUMIFS(Prod_Prop!$A:$A,Prod_Prop!$B:$B,$E341,Prod_Prop!$H:$H,V$1,Prod_Prop!$I:$I,"Exacto"),Prod_Prop!$A:$A,Prod_Prop!$J:$J,"",0,1))</f>
        <v/>
      </c>
      <c r="X341" s="3" t="str">
        <f>IFERROR(__xludf.DUMMYFUNCTION("IF(D341="""","""",IFERROR(TRANSPOSE(FILTER('Validaciones Cotizador'!U:U,'Validaciones Cotizador'!O:O=D341,'Validaciones Cotizador'!T:T=""x"")),""Finalizar""))"),"")</f>
        <v/>
      </c>
    </row>
    <row r="342">
      <c r="A342" s="2" t="str">
        <f t="array" ref="A342">IF(E342="","",XLOOKUP(D342,'Validaciones Cotizador'!C:C,'Validaciones Cotizador'!A:A,"",0,1))</f>
        <v/>
      </c>
      <c r="B342" s="2" t="str">
        <f t="array" ref="B342">IF(F342="","",XLOOKUP(F342,Productos!E:E,Productos!G:G,"",0,1))</f>
        <v/>
      </c>
      <c r="C342" s="2" t="str">
        <f>IF(A342="","",SUMIFS('Validaciones Cotizador'!B:B,'Validaciones Cotizador'!C:C,D342,'Validaciones Cotizador'!A:A,A342))</f>
        <v/>
      </c>
      <c r="D342" s="4" t="str">
        <f>IFERROR(__xludf.DUMMYFUNCTION("IF(OR(F341=""Finalizar"",F341="""",F341=""Selecciona..""),"""",IF(OR(F341=""-"",INDEX(filter(Familias!F:F,Familias!D:D=A341,Familias!E:E=C341),1)=""O""),D341+1,D341))"),"")</f>
        <v/>
      </c>
      <c r="E342" s="2" t="str">
        <f>IF(OR(F342="",F342="Selecciona.."),"",IF(D342="Implemento",SUMIF(Implementos!B:B,F342,Implementos!A:A),SUMIF(Productos!E:E,F342,Productos!A:A)))</f>
        <v/>
      </c>
      <c r="F342" s="2" t="str">
        <f t="shared" si="2"/>
        <v/>
      </c>
      <c r="G342" s="10" t="str">
        <f t="array" ref="G342">IF(OR(F342="",F342="-",F342="Selecciona..",F342="Finalizar"),"",IF(A342="Rodados",XLOOKUP(B342,'Validaciones Cotizador'!I:I,'Validaciones Cotizador'!J:J,0,0,1),1))</f>
        <v/>
      </c>
      <c r="H342" s="11" t="str">
        <f>IF(OR(F342="",F342="Selecciona.."),"",SUMIF(Precio_Productos!K:K,E342,Precio_Productos!J:J)*G342)</f>
        <v/>
      </c>
      <c r="I342" s="4" t="str">
        <f t="array" ref="I342">IF($E342="","", XLOOKUP(SUMIFS(Prod_Prop!$A:$A,Prod_Prop!$B:$B,$E342,Prod_Prop!$H:$H,I$1,Prod_Prop!$I:$I,"Exacto"),Prod_Prop!$A:$A,Prod_Prop!$J:$J,"",0,1))</f>
        <v/>
      </c>
      <c r="J342" s="4" t="str">
        <f t="array" ref="J342">IF($E342="","", XLOOKUP(SUMIFS(Prod_Prop!$A:$A,Prod_Prop!$B:$B,$E342,Prod_Prop!$H:$H,J$1,Prod_Prop!$I:$I,"Exacto"),Prod_Prop!$A:$A,Prod_Prop!$J:$J,"",0,1))</f>
        <v/>
      </c>
      <c r="K342" s="4" t="str">
        <f t="array" ref="K342">IF($E342="","", XLOOKUP(SUMIFS(Prod_Prop!$A:$A,Prod_Prop!$B:$B,$E342,Prod_Prop!$H:$H,K$1,Prod_Prop!$I:$I,"Exacto"),Prod_Prop!$A:$A,Prod_Prop!$J:$J,"",0,1))</f>
        <v/>
      </c>
      <c r="L342" s="4" t="str">
        <f t="array" ref="L342">IF($E342="","", XLOOKUP(SUMIFS(Prod_Prop!$A:$A,Prod_Prop!$B:$B,$E342,Prod_Prop!$H:$H,L$1,Prod_Prop!$I:$I,"Exacto"),Prod_Prop!$A:$A,Prod_Prop!$J:$J,"",0,1))</f>
        <v/>
      </c>
      <c r="M342" s="4" t="str">
        <f t="array" ref="M342">IF($E342="","", XLOOKUP(SUMIFS(Prod_Prop!$A:$A,Prod_Prop!$B:$B,$E342,Prod_Prop!$H:$H,M$1,Prod_Prop!$I:$I,"Exacto"),Prod_Prop!$A:$A,Prod_Prop!$J:$J,"",0,1))</f>
        <v/>
      </c>
      <c r="N342" s="4" t="str">
        <f t="array" ref="N342">IF($E342="","", XLOOKUP(SUMIFS(Prod_Prop!$A:$A,Prod_Prop!$B:$B,$E342,Prod_Prop!$H:$H,N$1,Prod_Prop!$I:$I,"Exacto"),Prod_Prop!$A:$A,Prod_Prop!$J:$J,"",0,1))</f>
        <v/>
      </c>
      <c r="O342" s="4" t="str">
        <f t="array" ref="O342">IF($E342="","", XLOOKUP(SUMIFS(Prod_Prop!$A:$A,Prod_Prop!$B:$B,$E342,Prod_Prop!$H:$H,O$1,Prod_Prop!$I:$I,"Exacto"),Prod_Prop!$A:$A,Prod_Prop!$J:$J,"",0,1))</f>
        <v/>
      </c>
      <c r="P342" s="4" t="str">
        <f t="array" ref="P342">IF($E342="","", XLOOKUP(SUMIFS(Prod_Prop!$A:$A,Prod_Prop!$B:$B,$E342,Prod_Prop!$H:$H,P$1,Prod_Prop!$I:$I,"Exacto"),Prod_Prop!$A:$A,Prod_Prop!$J:$J,"",0,1))</f>
        <v/>
      </c>
      <c r="Q342" s="4" t="str">
        <f t="array" ref="Q342">IF($E342="","", XLOOKUP(SUMIFS(Prod_Prop!$A:$A,Prod_Prop!$B:$B,$E342,Prod_Prop!$H:$H,Q$1,Prod_Prop!$I:$I,"Exacto"),Prod_Prop!$A:$A,Prod_Prop!$J:$J,"",0,1))</f>
        <v/>
      </c>
      <c r="R342" s="4" t="str">
        <f t="array" ref="R342">IF($E342="","", XLOOKUP(SUMIFS(Prod_Prop!$A:$A,Prod_Prop!$B:$B,$E342,Prod_Prop!$H:$H,R$1,Prod_Prop!$I:$I,"Exacto"),Prod_Prop!$A:$A,Prod_Prop!$J:$J,"",0,1))</f>
        <v/>
      </c>
      <c r="S342" s="4" t="str">
        <f t="array" ref="S342">IF($E342="","", XLOOKUP(SUMIFS(Prod_Prop!$A:$A,Prod_Prop!$B:$B,$E342,Prod_Prop!$H:$H,S$1,Prod_Prop!$I:$I,"Exacto"),Prod_Prop!$A:$A,Prod_Prop!$J:$J,"",0,1))</f>
        <v/>
      </c>
      <c r="T342" s="4" t="str">
        <f t="array" ref="T342">IF($E342="","", XLOOKUP(SUMIFS(Prod_Prop!$A:$A,Prod_Prop!$B:$B,$E342,Prod_Prop!$H:$H,T$1,Prod_Prop!$I:$I,"Exacto"),Prod_Prop!$A:$A,Prod_Prop!$J:$J,"",0,1))</f>
        <v/>
      </c>
      <c r="U342" s="4" t="str">
        <f t="array" ref="U342">IF($E342="","", XLOOKUP(SUMIFS(Prod_Prop!$A:$A,Prod_Prop!$B:$B,$E342,Prod_Prop!$H:$H,U$1,Prod_Prop!$I:$I,"Exacto"),Prod_Prop!$A:$A,Prod_Prop!$J:$J,"",0,1))</f>
        <v/>
      </c>
      <c r="V342" s="4" t="str">
        <f t="array" ref="V342">IF($E342="","", XLOOKUP(SUMIFS(Prod_Prop!$A:$A,Prod_Prop!$B:$B,$E342,Prod_Prop!$H:$H,V$1,Prod_Prop!$I:$I,"Exacto"),Prod_Prop!$A:$A,Prod_Prop!$J:$J,"",0,1))</f>
        <v/>
      </c>
      <c r="X342" s="3" t="str">
        <f>IFERROR(__xludf.DUMMYFUNCTION("IF(D342="""","""",IFERROR(TRANSPOSE(FILTER('Validaciones Cotizador'!U:U,'Validaciones Cotizador'!O:O=D342,'Validaciones Cotizador'!T:T=""x"")),""Finalizar""))"),"")</f>
        <v/>
      </c>
    </row>
    <row r="343">
      <c r="A343" s="2" t="str">
        <f t="array" ref="A343">IF(E343="","",XLOOKUP(D343,'Validaciones Cotizador'!C:C,'Validaciones Cotizador'!A:A,"",0,1))</f>
        <v/>
      </c>
      <c r="B343" s="2" t="str">
        <f t="array" ref="B343">IF(F343="","",XLOOKUP(F343,Productos!E:E,Productos!G:G,"",0,1))</f>
        <v/>
      </c>
      <c r="C343" s="2" t="str">
        <f>IF(A343="","",SUMIFS('Validaciones Cotizador'!B:B,'Validaciones Cotizador'!C:C,D343,'Validaciones Cotizador'!A:A,A343))</f>
        <v/>
      </c>
      <c r="D343" s="4" t="str">
        <f>IFERROR(__xludf.DUMMYFUNCTION("IF(OR(F342=""Finalizar"",F342="""",F342=""Selecciona..""),"""",IF(OR(F342=""-"",INDEX(filter(Familias!F:F,Familias!D:D=A342,Familias!E:E=C342),1)=""O""),D342+1,D342))"),"")</f>
        <v/>
      </c>
      <c r="E343" s="2" t="str">
        <f>IF(OR(F343="",F343="Selecciona.."),"",IF(D343="Implemento",SUMIF(Implementos!B:B,F343,Implementos!A:A),SUMIF(Productos!E:E,F343,Productos!A:A)))</f>
        <v/>
      </c>
      <c r="F343" s="2" t="str">
        <f t="shared" si="2"/>
        <v/>
      </c>
      <c r="G343" s="10" t="str">
        <f t="array" ref="G343">IF(OR(F343="",F343="-",F343="Selecciona..",F343="Finalizar"),"",IF(A343="Rodados",XLOOKUP(B343,'Validaciones Cotizador'!I:I,'Validaciones Cotizador'!J:J,0,0,1),1))</f>
        <v/>
      </c>
      <c r="H343" s="11" t="str">
        <f>IF(OR(F343="",F343="Selecciona.."),"",SUMIF(Precio_Productos!K:K,E343,Precio_Productos!J:J)*G343)</f>
        <v/>
      </c>
      <c r="I343" s="4" t="str">
        <f t="array" ref="I343">IF($E343="","", XLOOKUP(SUMIFS(Prod_Prop!$A:$A,Prod_Prop!$B:$B,$E343,Prod_Prop!$H:$H,I$1,Prod_Prop!$I:$I,"Exacto"),Prod_Prop!$A:$A,Prod_Prop!$J:$J,"",0,1))</f>
        <v/>
      </c>
      <c r="J343" s="4" t="str">
        <f t="array" ref="J343">IF($E343="","", XLOOKUP(SUMIFS(Prod_Prop!$A:$A,Prod_Prop!$B:$B,$E343,Prod_Prop!$H:$H,J$1,Prod_Prop!$I:$I,"Exacto"),Prod_Prop!$A:$A,Prod_Prop!$J:$J,"",0,1))</f>
        <v/>
      </c>
      <c r="K343" s="4" t="str">
        <f t="array" ref="K343">IF($E343="","", XLOOKUP(SUMIFS(Prod_Prop!$A:$A,Prod_Prop!$B:$B,$E343,Prod_Prop!$H:$H,K$1,Prod_Prop!$I:$I,"Exacto"),Prod_Prop!$A:$A,Prod_Prop!$J:$J,"",0,1))</f>
        <v/>
      </c>
      <c r="L343" s="4" t="str">
        <f t="array" ref="L343">IF($E343="","", XLOOKUP(SUMIFS(Prod_Prop!$A:$A,Prod_Prop!$B:$B,$E343,Prod_Prop!$H:$H,L$1,Prod_Prop!$I:$I,"Exacto"),Prod_Prop!$A:$A,Prod_Prop!$J:$J,"",0,1))</f>
        <v/>
      </c>
      <c r="M343" s="4" t="str">
        <f t="array" ref="M343">IF($E343="","", XLOOKUP(SUMIFS(Prod_Prop!$A:$A,Prod_Prop!$B:$B,$E343,Prod_Prop!$H:$H,M$1,Prod_Prop!$I:$I,"Exacto"),Prod_Prop!$A:$A,Prod_Prop!$J:$J,"",0,1))</f>
        <v/>
      </c>
      <c r="N343" s="4" t="str">
        <f t="array" ref="N343">IF($E343="","", XLOOKUP(SUMIFS(Prod_Prop!$A:$A,Prod_Prop!$B:$B,$E343,Prod_Prop!$H:$H,N$1,Prod_Prop!$I:$I,"Exacto"),Prod_Prop!$A:$A,Prod_Prop!$J:$J,"",0,1))</f>
        <v/>
      </c>
      <c r="O343" s="4" t="str">
        <f t="array" ref="O343">IF($E343="","", XLOOKUP(SUMIFS(Prod_Prop!$A:$A,Prod_Prop!$B:$B,$E343,Prod_Prop!$H:$H,O$1,Prod_Prop!$I:$I,"Exacto"),Prod_Prop!$A:$A,Prod_Prop!$J:$J,"",0,1))</f>
        <v/>
      </c>
      <c r="P343" s="4" t="str">
        <f t="array" ref="P343">IF($E343="","", XLOOKUP(SUMIFS(Prod_Prop!$A:$A,Prod_Prop!$B:$B,$E343,Prod_Prop!$H:$H,P$1,Prod_Prop!$I:$I,"Exacto"),Prod_Prop!$A:$A,Prod_Prop!$J:$J,"",0,1))</f>
        <v/>
      </c>
      <c r="Q343" s="4" t="str">
        <f t="array" ref="Q343">IF($E343="","", XLOOKUP(SUMIFS(Prod_Prop!$A:$A,Prod_Prop!$B:$B,$E343,Prod_Prop!$H:$H,Q$1,Prod_Prop!$I:$I,"Exacto"),Prod_Prop!$A:$A,Prod_Prop!$J:$J,"",0,1))</f>
        <v/>
      </c>
      <c r="R343" s="4" t="str">
        <f t="array" ref="R343">IF($E343="","", XLOOKUP(SUMIFS(Prod_Prop!$A:$A,Prod_Prop!$B:$B,$E343,Prod_Prop!$H:$H,R$1,Prod_Prop!$I:$I,"Exacto"),Prod_Prop!$A:$A,Prod_Prop!$J:$J,"",0,1))</f>
        <v/>
      </c>
      <c r="S343" s="4" t="str">
        <f t="array" ref="S343">IF($E343="","", XLOOKUP(SUMIFS(Prod_Prop!$A:$A,Prod_Prop!$B:$B,$E343,Prod_Prop!$H:$H,S$1,Prod_Prop!$I:$I,"Exacto"),Prod_Prop!$A:$A,Prod_Prop!$J:$J,"",0,1))</f>
        <v/>
      </c>
      <c r="T343" s="4" t="str">
        <f t="array" ref="T343">IF($E343="","", XLOOKUP(SUMIFS(Prod_Prop!$A:$A,Prod_Prop!$B:$B,$E343,Prod_Prop!$H:$H,T$1,Prod_Prop!$I:$I,"Exacto"),Prod_Prop!$A:$A,Prod_Prop!$J:$J,"",0,1))</f>
        <v/>
      </c>
      <c r="U343" s="4" t="str">
        <f t="array" ref="U343">IF($E343="","", XLOOKUP(SUMIFS(Prod_Prop!$A:$A,Prod_Prop!$B:$B,$E343,Prod_Prop!$H:$H,U$1,Prod_Prop!$I:$I,"Exacto"),Prod_Prop!$A:$A,Prod_Prop!$J:$J,"",0,1))</f>
        <v/>
      </c>
      <c r="V343" s="4" t="str">
        <f t="array" ref="V343">IF($E343="","", XLOOKUP(SUMIFS(Prod_Prop!$A:$A,Prod_Prop!$B:$B,$E343,Prod_Prop!$H:$H,V$1,Prod_Prop!$I:$I,"Exacto"),Prod_Prop!$A:$A,Prod_Prop!$J:$J,"",0,1))</f>
        <v/>
      </c>
      <c r="X343" s="3" t="str">
        <f>IFERROR(__xludf.DUMMYFUNCTION("IF(D343="""","""",IFERROR(TRANSPOSE(FILTER('Validaciones Cotizador'!U:U,'Validaciones Cotizador'!O:O=D343,'Validaciones Cotizador'!T:T=""x"")),""Finalizar""))"),"")</f>
        <v/>
      </c>
    </row>
    <row r="344">
      <c r="A344" s="2" t="str">
        <f t="array" ref="A344">IF(E344="","",XLOOKUP(D344,'Validaciones Cotizador'!C:C,'Validaciones Cotizador'!A:A,"",0,1))</f>
        <v/>
      </c>
      <c r="B344" s="2" t="str">
        <f t="array" ref="B344">IF(F344="","",XLOOKUP(F344,Productos!E:E,Productos!G:G,"",0,1))</f>
        <v/>
      </c>
      <c r="C344" s="2" t="str">
        <f>IF(A344="","",SUMIFS('Validaciones Cotizador'!B:B,'Validaciones Cotizador'!C:C,D344,'Validaciones Cotizador'!A:A,A344))</f>
        <v/>
      </c>
      <c r="D344" s="4" t="str">
        <f>IFERROR(__xludf.DUMMYFUNCTION("IF(OR(F343=""Finalizar"",F343="""",F343=""Selecciona..""),"""",IF(OR(F343=""-"",INDEX(filter(Familias!F:F,Familias!D:D=A343,Familias!E:E=C343),1)=""O""),D343+1,D343))"),"")</f>
        <v/>
      </c>
      <c r="E344" s="2" t="str">
        <f>IF(OR(F344="",F344="Selecciona.."),"",IF(D344="Implemento",SUMIF(Implementos!B:B,F344,Implementos!A:A),SUMIF(Productos!E:E,F344,Productos!A:A)))</f>
        <v/>
      </c>
      <c r="F344" s="2" t="str">
        <f t="shared" si="2"/>
        <v/>
      </c>
      <c r="G344" s="10" t="str">
        <f t="array" ref="G344">IF(OR(F344="",F344="-",F344="Selecciona..",F344="Finalizar"),"",IF(A344="Rodados",XLOOKUP(B344,'Validaciones Cotizador'!I:I,'Validaciones Cotizador'!J:J,0,0,1),1))</f>
        <v/>
      </c>
      <c r="H344" s="11" t="str">
        <f>IF(OR(F344="",F344="Selecciona.."),"",SUMIF(Precio_Productos!K:K,E344,Precio_Productos!J:J)*G344)</f>
        <v/>
      </c>
      <c r="I344" s="4" t="str">
        <f t="array" ref="I344">IF($E344="","", XLOOKUP(SUMIFS(Prod_Prop!$A:$A,Prod_Prop!$B:$B,$E344,Prod_Prop!$H:$H,I$1,Prod_Prop!$I:$I,"Exacto"),Prod_Prop!$A:$A,Prod_Prop!$J:$J,"",0,1))</f>
        <v/>
      </c>
      <c r="J344" s="4" t="str">
        <f t="array" ref="J344">IF($E344="","", XLOOKUP(SUMIFS(Prod_Prop!$A:$A,Prod_Prop!$B:$B,$E344,Prod_Prop!$H:$H,J$1,Prod_Prop!$I:$I,"Exacto"),Prod_Prop!$A:$A,Prod_Prop!$J:$J,"",0,1))</f>
        <v/>
      </c>
      <c r="K344" s="4" t="str">
        <f t="array" ref="K344">IF($E344="","", XLOOKUP(SUMIFS(Prod_Prop!$A:$A,Prod_Prop!$B:$B,$E344,Prod_Prop!$H:$H,K$1,Prod_Prop!$I:$I,"Exacto"),Prod_Prop!$A:$A,Prod_Prop!$J:$J,"",0,1))</f>
        <v/>
      </c>
      <c r="L344" s="4" t="str">
        <f t="array" ref="L344">IF($E344="","", XLOOKUP(SUMIFS(Prod_Prop!$A:$A,Prod_Prop!$B:$B,$E344,Prod_Prop!$H:$H,L$1,Prod_Prop!$I:$I,"Exacto"),Prod_Prop!$A:$A,Prod_Prop!$J:$J,"",0,1))</f>
        <v/>
      </c>
      <c r="M344" s="4" t="str">
        <f t="array" ref="M344">IF($E344="","", XLOOKUP(SUMIFS(Prod_Prop!$A:$A,Prod_Prop!$B:$B,$E344,Prod_Prop!$H:$H,M$1,Prod_Prop!$I:$I,"Exacto"),Prod_Prop!$A:$A,Prod_Prop!$J:$J,"",0,1))</f>
        <v/>
      </c>
      <c r="N344" s="4" t="str">
        <f t="array" ref="N344">IF($E344="","", XLOOKUP(SUMIFS(Prod_Prop!$A:$A,Prod_Prop!$B:$B,$E344,Prod_Prop!$H:$H,N$1,Prod_Prop!$I:$I,"Exacto"),Prod_Prop!$A:$A,Prod_Prop!$J:$J,"",0,1))</f>
        <v/>
      </c>
      <c r="O344" s="4" t="str">
        <f t="array" ref="O344">IF($E344="","", XLOOKUP(SUMIFS(Prod_Prop!$A:$A,Prod_Prop!$B:$B,$E344,Prod_Prop!$H:$H,O$1,Prod_Prop!$I:$I,"Exacto"),Prod_Prop!$A:$A,Prod_Prop!$J:$J,"",0,1))</f>
        <v/>
      </c>
      <c r="P344" s="4" t="str">
        <f t="array" ref="P344">IF($E344="","", XLOOKUP(SUMIFS(Prod_Prop!$A:$A,Prod_Prop!$B:$B,$E344,Prod_Prop!$H:$H,P$1,Prod_Prop!$I:$I,"Exacto"),Prod_Prop!$A:$A,Prod_Prop!$J:$J,"",0,1))</f>
        <v/>
      </c>
      <c r="Q344" s="4" t="str">
        <f t="array" ref="Q344">IF($E344="","", XLOOKUP(SUMIFS(Prod_Prop!$A:$A,Prod_Prop!$B:$B,$E344,Prod_Prop!$H:$H,Q$1,Prod_Prop!$I:$I,"Exacto"),Prod_Prop!$A:$A,Prod_Prop!$J:$J,"",0,1))</f>
        <v/>
      </c>
      <c r="R344" s="4" t="str">
        <f t="array" ref="R344">IF($E344="","", XLOOKUP(SUMIFS(Prod_Prop!$A:$A,Prod_Prop!$B:$B,$E344,Prod_Prop!$H:$H,R$1,Prod_Prop!$I:$I,"Exacto"),Prod_Prop!$A:$A,Prod_Prop!$J:$J,"",0,1))</f>
        <v/>
      </c>
      <c r="S344" s="4" t="str">
        <f t="array" ref="S344">IF($E344="","", XLOOKUP(SUMIFS(Prod_Prop!$A:$A,Prod_Prop!$B:$B,$E344,Prod_Prop!$H:$H,S$1,Prod_Prop!$I:$I,"Exacto"),Prod_Prop!$A:$A,Prod_Prop!$J:$J,"",0,1))</f>
        <v/>
      </c>
      <c r="T344" s="4" t="str">
        <f t="array" ref="T344">IF($E344="","", XLOOKUP(SUMIFS(Prod_Prop!$A:$A,Prod_Prop!$B:$B,$E344,Prod_Prop!$H:$H,T$1,Prod_Prop!$I:$I,"Exacto"),Prod_Prop!$A:$A,Prod_Prop!$J:$J,"",0,1))</f>
        <v/>
      </c>
      <c r="U344" s="4" t="str">
        <f t="array" ref="U344">IF($E344="","", XLOOKUP(SUMIFS(Prod_Prop!$A:$A,Prod_Prop!$B:$B,$E344,Prod_Prop!$H:$H,U$1,Prod_Prop!$I:$I,"Exacto"),Prod_Prop!$A:$A,Prod_Prop!$J:$J,"",0,1))</f>
        <v/>
      </c>
      <c r="V344" s="4" t="str">
        <f t="array" ref="V344">IF($E344="","", XLOOKUP(SUMIFS(Prod_Prop!$A:$A,Prod_Prop!$B:$B,$E344,Prod_Prop!$H:$H,V$1,Prod_Prop!$I:$I,"Exacto"),Prod_Prop!$A:$A,Prod_Prop!$J:$J,"",0,1))</f>
        <v/>
      </c>
      <c r="X344" s="3" t="str">
        <f>IFERROR(__xludf.DUMMYFUNCTION("IF(D344="""","""",IFERROR(TRANSPOSE(FILTER('Validaciones Cotizador'!U:U,'Validaciones Cotizador'!O:O=D344,'Validaciones Cotizador'!T:T=""x"")),""Finalizar""))"),"")</f>
        <v/>
      </c>
    </row>
    <row r="345">
      <c r="A345" s="2" t="str">
        <f t="array" ref="A345">IF(E345="","",XLOOKUP(D345,'Validaciones Cotizador'!C:C,'Validaciones Cotizador'!A:A,"",0,1))</f>
        <v/>
      </c>
      <c r="B345" s="2" t="str">
        <f t="array" ref="B345">IF(F345="","",XLOOKUP(F345,Productos!E:E,Productos!G:G,"",0,1))</f>
        <v/>
      </c>
      <c r="C345" s="2" t="str">
        <f>IF(A345="","",SUMIFS('Validaciones Cotizador'!B:B,'Validaciones Cotizador'!C:C,D345,'Validaciones Cotizador'!A:A,A345))</f>
        <v/>
      </c>
      <c r="D345" s="4" t="str">
        <f>IFERROR(__xludf.DUMMYFUNCTION("IF(OR(F344=""Finalizar"",F344="""",F344=""Selecciona..""),"""",IF(OR(F344=""-"",INDEX(filter(Familias!F:F,Familias!D:D=A344,Familias!E:E=C344),1)=""O""),D344+1,D344))"),"")</f>
        <v/>
      </c>
      <c r="E345" s="2" t="str">
        <f>IF(OR(F345="",F345="Selecciona.."),"",IF(D345="Implemento",SUMIF(Implementos!B:B,F345,Implementos!A:A),SUMIF(Productos!E:E,F345,Productos!A:A)))</f>
        <v/>
      </c>
      <c r="F345" s="2" t="str">
        <f t="shared" si="2"/>
        <v/>
      </c>
      <c r="G345" s="10" t="str">
        <f t="array" ref="G345">IF(OR(F345="",F345="-",F345="Selecciona..",F345="Finalizar"),"",IF(A345="Rodados",XLOOKUP(B345,'Validaciones Cotizador'!I:I,'Validaciones Cotizador'!J:J,0,0,1),1))</f>
        <v/>
      </c>
      <c r="H345" s="11" t="str">
        <f>IF(OR(F345="",F345="Selecciona.."),"",SUMIF(Precio_Productos!K:K,E345,Precio_Productos!J:J)*G345)</f>
        <v/>
      </c>
      <c r="I345" s="4" t="str">
        <f t="array" ref="I345">IF($E345="","", XLOOKUP(SUMIFS(Prod_Prop!$A:$A,Prod_Prop!$B:$B,$E345,Prod_Prop!$H:$H,I$1,Prod_Prop!$I:$I,"Exacto"),Prod_Prop!$A:$A,Prod_Prop!$J:$J,"",0,1))</f>
        <v/>
      </c>
      <c r="J345" s="4" t="str">
        <f t="array" ref="J345">IF($E345="","", XLOOKUP(SUMIFS(Prod_Prop!$A:$A,Prod_Prop!$B:$B,$E345,Prod_Prop!$H:$H,J$1,Prod_Prop!$I:$I,"Exacto"),Prod_Prop!$A:$A,Prod_Prop!$J:$J,"",0,1))</f>
        <v/>
      </c>
      <c r="K345" s="4" t="str">
        <f t="array" ref="K345">IF($E345="","", XLOOKUP(SUMIFS(Prod_Prop!$A:$A,Prod_Prop!$B:$B,$E345,Prod_Prop!$H:$H,K$1,Prod_Prop!$I:$I,"Exacto"),Prod_Prop!$A:$A,Prod_Prop!$J:$J,"",0,1))</f>
        <v/>
      </c>
      <c r="L345" s="4" t="str">
        <f t="array" ref="L345">IF($E345="","", XLOOKUP(SUMIFS(Prod_Prop!$A:$A,Prod_Prop!$B:$B,$E345,Prod_Prop!$H:$H,L$1,Prod_Prop!$I:$I,"Exacto"),Prod_Prop!$A:$A,Prod_Prop!$J:$J,"",0,1))</f>
        <v/>
      </c>
      <c r="M345" s="4" t="str">
        <f t="array" ref="M345">IF($E345="","", XLOOKUP(SUMIFS(Prod_Prop!$A:$A,Prod_Prop!$B:$B,$E345,Prod_Prop!$H:$H,M$1,Prod_Prop!$I:$I,"Exacto"),Prod_Prop!$A:$A,Prod_Prop!$J:$J,"",0,1))</f>
        <v/>
      </c>
      <c r="N345" s="4" t="str">
        <f t="array" ref="N345">IF($E345="","", XLOOKUP(SUMIFS(Prod_Prop!$A:$A,Prod_Prop!$B:$B,$E345,Prod_Prop!$H:$H,N$1,Prod_Prop!$I:$I,"Exacto"),Prod_Prop!$A:$A,Prod_Prop!$J:$J,"",0,1))</f>
        <v/>
      </c>
      <c r="O345" s="4" t="str">
        <f t="array" ref="O345">IF($E345="","", XLOOKUP(SUMIFS(Prod_Prop!$A:$A,Prod_Prop!$B:$B,$E345,Prod_Prop!$H:$H,O$1,Prod_Prop!$I:$I,"Exacto"),Prod_Prop!$A:$A,Prod_Prop!$J:$J,"",0,1))</f>
        <v/>
      </c>
      <c r="P345" s="4" t="str">
        <f t="array" ref="P345">IF($E345="","", XLOOKUP(SUMIFS(Prod_Prop!$A:$A,Prod_Prop!$B:$B,$E345,Prod_Prop!$H:$H,P$1,Prod_Prop!$I:$I,"Exacto"),Prod_Prop!$A:$A,Prod_Prop!$J:$J,"",0,1))</f>
        <v/>
      </c>
      <c r="Q345" s="4" t="str">
        <f t="array" ref="Q345">IF($E345="","", XLOOKUP(SUMIFS(Prod_Prop!$A:$A,Prod_Prop!$B:$B,$E345,Prod_Prop!$H:$H,Q$1,Prod_Prop!$I:$I,"Exacto"),Prod_Prop!$A:$A,Prod_Prop!$J:$J,"",0,1))</f>
        <v/>
      </c>
      <c r="R345" s="4" t="str">
        <f t="array" ref="R345">IF($E345="","", XLOOKUP(SUMIFS(Prod_Prop!$A:$A,Prod_Prop!$B:$B,$E345,Prod_Prop!$H:$H,R$1,Prod_Prop!$I:$I,"Exacto"),Prod_Prop!$A:$A,Prod_Prop!$J:$J,"",0,1))</f>
        <v/>
      </c>
      <c r="S345" s="4" t="str">
        <f t="array" ref="S345">IF($E345="","", XLOOKUP(SUMIFS(Prod_Prop!$A:$A,Prod_Prop!$B:$B,$E345,Prod_Prop!$H:$H,S$1,Prod_Prop!$I:$I,"Exacto"),Prod_Prop!$A:$A,Prod_Prop!$J:$J,"",0,1))</f>
        <v/>
      </c>
      <c r="T345" s="4" t="str">
        <f t="array" ref="T345">IF($E345="","", XLOOKUP(SUMIFS(Prod_Prop!$A:$A,Prod_Prop!$B:$B,$E345,Prod_Prop!$H:$H,T$1,Prod_Prop!$I:$I,"Exacto"),Prod_Prop!$A:$A,Prod_Prop!$J:$J,"",0,1))</f>
        <v/>
      </c>
      <c r="U345" s="4" t="str">
        <f t="array" ref="U345">IF($E345="","", XLOOKUP(SUMIFS(Prod_Prop!$A:$A,Prod_Prop!$B:$B,$E345,Prod_Prop!$H:$H,U$1,Prod_Prop!$I:$I,"Exacto"),Prod_Prop!$A:$A,Prod_Prop!$J:$J,"",0,1))</f>
        <v/>
      </c>
      <c r="V345" s="4" t="str">
        <f t="array" ref="V345">IF($E345="","", XLOOKUP(SUMIFS(Prod_Prop!$A:$A,Prod_Prop!$B:$B,$E345,Prod_Prop!$H:$H,V$1,Prod_Prop!$I:$I,"Exacto"),Prod_Prop!$A:$A,Prod_Prop!$J:$J,"",0,1))</f>
        <v/>
      </c>
      <c r="X345" s="3" t="str">
        <f>IFERROR(__xludf.DUMMYFUNCTION("IF(D345="""","""",IFERROR(TRANSPOSE(FILTER('Validaciones Cotizador'!U:U,'Validaciones Cotizador'!O:O=D345,'Validaciones Cotizador'!T:T=""x"")),""Finalizar""))"),"")</f>
        <v/>
      </c>
    </row>
    <row r="346">
      <c r="A346" s="2" t="str">
        <f t="array" ref="A346">IF(E346="","",XLOOKUP(D346,'Validaciones Cotizador'!C:C,'Validaciones Cotizador'!A:A,"",0,1))</f>
        <v/>
      </c>
      <c r="B346" s="2" t="str">
        <f t="array" ref="B346">IF(F346="","",XLOOKUP(F346,Productos!E:E,Productos!G:G,"",0,1))</f>
        <v/>
      </c>
      <c r="C346" s="2" t="str">
        <f>IF(A346="","",SUMIFS('Validaciones Cotizador'!B:B,'Validaciones Cotizador'!C:C,D346,'Validaciones Cotizador'!A:A,A346))</f>
        <v/>
      </c>
      <c r="D346" s="4" t="str">
        <f>IFERROR(__xludf.DUMMYFUNCTION("IF(OR(F345=""Finalizar"",F345="""",F345=""Selecciona..""),"""",IF(OR(F345=""-"",INDEX(filter(Familias!F:F,Familias!D:D=A345,Familias!E:E=C345),1)=""O""),D345+1,D345))"),"")</f>
        <v/>
      </c>
      <c r="E346" s="2" t="str">
        <f>IF(OR(F346="",F346="Selecciona.."),"",IF(D346="Implemento",SUMIF(Implementos!B:B,F346,Implementos!A:A),SUMIF(Productos!E:E,F346,Productos!A:A)))</f>
        <v/>
      </c>
      <c r="F346" s="2" t="str">
        <f t="shared" si="2"/>
        <v/>
      </c>
      <c r="G346" s="10" t="str">
        <f t="array" ref="G346">IF(OR(F346="",F346="-",F346="Selecciona..",F346="Finalizar"),"",IF(A346="Rodados",XLOOKUP(B346,'Validaciones Cotizador'!I:I,'Validaciones Cotizador'!J:J,0,0,1),1))</f>
        <v/>
      </c>
      <c r="H346" s="11" t="str">
        <f>IF(OR(F346="",F346="Selecciona.."),"",SUMIF(Precio_Productos!K:K,E346,Precio_Productos!J:J)*G346)</f>
        <v/>
      </c>
      <c r="I346" s="4" t="str">
        <f t="array" ref="I346">IF($E346="","", XLOOKUP(SUMIFS(Prod_Prop!$A:$A,Prod_Prop!$B:$B,$E346,Prod_Prop!$H:$H,I$1,Prod_Prop!$I:$I,"Exacto"),Prod_Prop!$A:$A,Prod_Prop!$J:$J,"",0,1))</f>
        <v/>
      </c>
      <c r="J346" s="4" t="str">
        <f t="array" ref="J346">IF($E346="","", XLOOKUP(SUMIFS(Prod_Prop!$A:$A,Prod_Prop!$B:$B,$E346,Prod_Prop!$H:$H,J$1,Prod_Prop!$I:$I,"Exacto"),Prod_Prop!$A:$A,Prod_Prop!$J:$J,"",0,1))</f>
        <v/>
      </c>
      <c r="K346" s="4" t="str">
        <f t="array" ref="K346">IF($E346="","", XLOOKUP(SUMIFS(Prod_Prop!$A:$A,Prod_Prop!$B:$B,$E346,Prod_Prop!$H:$H,K$1,Prod_Prop!$I:$I,"Exacto"),Prod_Prop!$A:$A,Prod_Prop!$J:$J,"",0,1))</f>
        <v/>
      </c>
      <c r="L346" s="4" t="str">
        <f t="array" ref="L346">IF($E346="","", XLOOKUP(SUMIFS(Prod_Prop!$A:$A,Prod_Prop!$B:$B,$E346,Prod_Prop!$H:$H,L$1,Prod_Prop!$I:$I,"Exacto"),Prod_Prop!$A:$A,Prod_Prop!$J:$J,"",0,1))</f>
        <v/>
      </c>
      <c r="M346" s="4" t="str">
        <f t="array" ref="M346">IF($E346="","", XLOOKUP(SUMIFS(Prod_Prop!$A:$A,Prod_Prop!$B:$B,$E346,Prod_Prop!$H:$H,M$1,Prod_Prop!$I:$I,"Exacto"),Prod_Prop!$A:$A,Prod_Prop!$J:$J,"",0,1))</f>
        <v/>
      </c>
      <c r="N346" s="4" t="str">
        <f t="array" ref="N346">IF($E346="","", XLOOKUP(SUMIFS(Prod_Prop!$A:$A,Prod_Prop!$B:$B,$E346,Prod_Prop!$H:$H,N$1,Prod_Prop!$I:$I,"Exacto"),Prod_Prop!$A:$A,Prod_Prop!$J:$J,"",0,1))</f>
        <v/>
      </c>
      <c r="O346" s="4" t="str">
        <f t="array" ref="O346">IF($E346="","", XLOOKUP(SUMIFS(Prod_Prop!$A:$A,Prod_Prop!$B:$B,$E346,Prod_Prop!$H:$H,O$1,Prod_Prop!$I:$I,"Exacto"),Prod_Prop!$A:$A,Prod_Prop!$J:$J,"",0,1))</f>
        <v/>
      </c>
      <c r="P346" s="4" t="str">
        <f t="array" ref="P346">IF($E346="","", XLOOKUP(SUMIFS(Prod_Prop!$A:$A,Prod_Prop!$B:$B,$E346,Prod_Prop!$H:$H,P$1,Prod_Prop!$I:$I,"Exacto"),Prod_Prop!$A:$A,Prod_Prop!$J:$J,"",0,1))</f>
        <v/>
      </c>
      <c r="Q346" s="4" t="str">
        <f t="array" ref="Q346">IF($E346="","", XLOOKUP(SUMIFS(Prod_Prop!$A:$A,Prod_Prop!$B:$B,$E346,Prod_Prop!$H:$H,Q$1,Prod_Prop!$I:$I,"Exacto"),Prod_Prop!$A:$A,Prod_Prop!$J:$J,"",0,1))</f>
        <v/>
      </c>
      <c r="R346" s="4" t="str">
        <f t="array" ref="R346">IF($E346="","", XLOOKUP(SUMIFS(Prod_Prop!$A:$A,Prod_Prop!$B:$B,$E346,Prod_Prop!$H:$H,R$1,Prod_Prop!$I:$I,"Exacto"),Prod_Prop!$A:$A,Prod_Prop!$J:$J,"",0,1))</f>
        <v/>
      </c>
      <c r="S346" s="4" t="str">
        <f t="array" ref="S346">IF($E346="","", XLOOKUP(SUMIFS(Prod_Prop!$A:$A,Prod_Prop!$B:$B,$E346,Prod_Prop!$H:$H,S$1,Prod_Prop!$I:$I,"Exacto"),Prod_Prop!$A:$A,Prod_Prop!$J:$J,"",0,1))</f>
        <v/>
      </c>
      <c r="T346" s="4" t="str">
        <f t="array" ref="T346">IF($E346="","", XLOOKUP(SUMIFS(Prod_Prop!$A:$A,Prod_Prop!$B:$B,$E346,Prod_Prop!$H:$H,T$1,Prod_Prop!$I:$I,"Exacto"),Prod_Prop!$A:$A,Prod_Prop!$J:$J,"",0,1))</f>
        <v/>
      </c>
      <c r="U346" s="4" t="str">
        <f t="array" ref="U346">IF($E346="","", XLOOKUP(SUMIFS(Prod_Prop!$A:$A,Prod_Prop!$B:$B,$E346,Prod_Prop!$H:$H,U$1,Prod_Prop!$I:$I,"Exacto"),Prod_Prop!$A:$A,Prod_Prop!$J:$J,"",0,1))</f>
        <v/>
      </c>
      <c r="V346" s="4" t="str">
        <f t="array" ref="V346">IF($E346="","", XLOOKUP(SUMIFS(Prod_Prop!$A:$A,Prod_Prop!$B:$B,$E346,Prod_Prop!$H:$H,V$1,Prod_Prop!$I:$I,"Exacto"),Prod_Prop!$A:$A,Prod_Prop!$J:$J,"",0,1))</f>
        <v/>
      </c>
      <c r="X346" s="3" t="str">
        <f>IFERROR(__xludf.DUMMYFUNCTION("IF(D346="""","""",IFERROR(TRANSPOSE(FILTER('Validaciones Cotizador'!U:U,'Validaciones Cotizador'!O:O=D346,'Validaciones Cotizador'!T:T=""x"")),""Finalizar""))"),"")</f>
        <v/>
      </c>
    </row>
    <row r="347">
      <c r="A347" s="2" t="str">
        <f t="array" ref="A347">IF(E347="","",XLOOKUP(D347,'Validaciones Cotizador'!C:C,'Validaciones Cotizador'!A:A,"",0,1))</f>
        <v/>
      </c>
      <c r="B347" s="2" t="str">
        <f t="array" ref="B347">IF(F347="","",XLOOKUP(F347,Productos!E:E,Productos!G:G,"",0,1))</f>
        <v/>
      </c>
      <c r="C347" s="2" t="str">
        <f>IF(A347="","",SUMIFS('Validaciones Cotizador'!B:B,'Validaciones Cotizador'!C:C,D347,'Validaciones Cotizador'!A:A,A347))</f>
        <v/>
      </c>
      <c r="D347" s="4" t="str">
        <f>IFERROR(__xludf.DUMMYFUNCTION("IF(OR(F346=""Finalizar"",F346="""",F346=""Selecciona..""),"""",IF(OR(F346=""-"",INDEX(filter(Familias!F:F,Familias!D:D=A346,Familias!E:E=C346),1)=""O""),D346+1,D346))"),"")</f>
        <v/>
      </c>
      <c r="E347" s="2" t="str">
        <f>IF(OR(F347="",F347="Selecciona.."),"",IF(D347="Implemento",SUMIF(Implementos!B:B,F347,Implementos!A:A),SUMIF(Productos!E:E,F347,Productos!A:A)))</f>
        <v/>
      </c>
      <c r="F347" s="2" t="str">
        <f t="shared" si="2"/>
        <v/>
      </c>
      <c r="G347" s="10" t="str">
        <f t="array" ref="G347">IF(OR(F347="",F347="-",F347="Selecciona..",F347="Finalizar"),"",IF(A347="Rodados",XLOOKUP(B347,'Validaciones Cotizador'!I:I,'Validaciones Cotizador'!J:J,0,0,1),1))</f>
        <v/>
      </c>
      <c r="H347" s="11" t="str">
        <f>IF(OR(F347="",F347="Selecciona.."),"",SUMIF(Precio_Productos!K:K,E347,Precio_Productos!J:J)*G347)</f>
        <v/>
      </c>
      <c r="I347" s="4" t="str">
        <f t="array" ref="I347">IF($E347="","", XLOOKUP(SUMIFS(Prod_Prop!$A:$A,Prod_Prop!$B:$B,$E347,Prod_Prop!$H:$H,I$1,Prod_Prop!$I:$I,"Exacto"),Prod_Prop!$A:$A,Prod_Prop!$J:$J,"",0,1))</f>
        <v/>
      </c>
      <c r="J347" s="4" t="str">
        <f t="array" ref="J347">IF($E347="","", XLOOKUP(SUMIFS(Prod_Prop!$A:$A,Prod_Prop!$B:$B,$E347,Prod_Prop!$H:$H,J$1,Prod_Prop!$I:$I,"Exacto"),Prod_Prop!$A:$A,Prod_Prop!$J:$J,"",0,1))</f>
        <v/>
      </c>
      <c r="K347" s="4" t="str">
        <f t="array" ref="K347">IF($E347="","", XLOOKUP(SUMIFS(Prod_Prop!$A:$A,Prod_Prop!$B:$B,$E347,Prod_Prop!$H:$H,K$1,Prod_Prop!$I:$I,"Exacto"),Prod_Prop!$A:$A,Prod_Prop!$J:$J,"",0,1))</f>
        <v/>
      </c>
      <c r="L347" s="4" t="str">
        <f t="array" ref="L347">IF($E347="","", XLOOKUP(SUMIFS(Prod_Prop!$A:$A,Prod_Prop!$B:$B,$E347,Prod_Prop!$H:$H,L$1,Prod_Prop!$I:$I,"Exacto"),Prod_Prop!$A:$A,Prod_Prop!$J:$J,"",0,1))</f>
        <v/>
      </c>
      <c r="M347" s="4" t="str">
        <f t="array" ref="M347">IF($E347="","", XLOOKUP(SUMIFS(Prod_Prop!$A:$A,Prod_Prop!$B:$B,$E347,Prod_Prop!$H:$H,M$1,Prod_Prop!$I:$I,"Exacto"),Prod_Prop!$A:$A,Prod_Prop!$J:$J,"",0,1))</f>
        <v/>
      </c>
      <c r="N347" s="4" t="str">
        <f t="array" ref="N347">IF($E347="","", XLOOKUP(SUMIFS(Prod_Prop!$A:$A,Prod_Prop!$B:$B,$E347,Prod_Prop!$H:$H,N$1,Prod_Prop!$I:$I,"Exacto"),Prod_Prop!$A:$A,Prod_Prop!$J:$J,"",0,1))</f>
        <v/>
      </c>
      <c r="O347" s="4" t="str">
        <f t="array" ref="O347">IF($E347="","", XLOOKUP(SUMIFS(Prod_Prop!$A:$A,Prod_Prop!$B:$B,$E347,Prod_Prop!$H:$H,O$1,Prod_Prop!$I:$I,"Exacto"),Prod_Prop!$A:$A,Prod_Prop!$J:$J,"",0,1))</f>
        <v/>
      </c>
      <c r="P347" s="4" t="str">
        <f t="array" ref="P347">IF($E347="","", XLOOKUP(SUMIFS(Prod_Prop!$A:$A,Prod_Prop!$B:$B,$E347,Prod_Prop!$H:$H,P$1,Prod_Prop!$I:$I,"Exacto"),Prod_Prop!$A:$A,Prod_Prop!$J:$J,"",0,1))</f>
        <v/>
      </c>
      <c r="Q347" s="4" t="str">
        <f t="array" ref="Q347">IF($E347="","", XLOOKUP(SUMIFS(Prod_Prop!$A:$A,Prod_Prop!$B:$B,$E347,Prod_Prop!$H:$H,Q$1,Prod_Prop!$I:$I,"Exacto"),Prod_Prop!$A:$A,Prod_Prop!$J:$J,"",0,1))</f>
        <v/>
      </c>
      <c r="R347" s="4" t="str">
        <f t="array" ref="R347">IF($E347="","", XLOOKUP(SUMIFS(Prod_Prop!$A:$A,Prod_Prop!$B:$B,$E347,Prod_Prop!$H:$H,R$1,Prod_Prop!$I:$I,"Exacto"),Prod_Prop!$A:$A,Prod_Prop!$J:$J,"",0,1))</f>
        <v/>
      </c>
      <c r="S347" s="4" t="str">
        <f t="array" ref="S347">IF($E347="","", XLOOKUP(SUMIFS(Prod_Prop!$A:$A,Prod_Prop!$B:$B,$E347,Prod_Prop!$H:$H,S$1,Prod_Prop!$I:$I,"Exacto"),Prod_Prop!$A:$A,Prod_Prop!$J:$J,"",0,1))</f>
        <v/>
      </c>
      <c r="T347" s="4" t="str">
        <f t="array" ref="T347">IF($E347="","", XLOOKUP(SUMIFS(Prod_Prop!$A:$A,Prod_Prop!$B:$B,$E347,Prod_Prop!$H:$H,T$1,Prod_Prop!$I:$I,"Exacto"),Prod_Prop!$A:$A,Prod_Prop!$J:$J,"",0,1))</f>
        <v/>
      </c>
      <c r="U347" s="4" t="str">
        <f t="array" ref="U347">IF($E347="","", XLOOKUP(SUMIFS(Prod_Prop!$A:$A,Prod_Prop!$B:$B,$E347,Prod_Prop!$H:$H,U$1,Prod_Prop!$I:$I,"Exacto"),Prod_Prop!$A:$A,Prod_Prop!$J:$J,"",0,1))</f>
        <v/>
      </c>
      <c r="V347" s="4" t="str">
        <f t="array" ref="V347">IF($E347="","", XLOOKUP(SUMIFS(Prod_Prop!$A:$A,Prod_Prop!$B:$B,$E347,Prod_Prop!$H:$H,V$1,Prod_Prop!$I:$I,"Exacto"),Prod_Prop!$A:$A,Prod_Prop!$J:$J,"",0,1))</f>
        <v/>
      </c>
      <c r="X347" s="3" t="str">
        <f>IFERROR(__xludf.DUMMYFUNCTION("IF(D347="""","""",IFERROR(TRANSPOSE(FILTER('Validaciones Cotizador'!U:U,'Validaciones Cotizador'!O:O=D347,'Validaciones Cotizador'!T:T=""x"")),""Finalizar""))"),"")</f>
        <v/>
      </c>
    </row>
    <row r="348">
      <c r="A348" s="2" t="str">
        <f t="array" ref="A348">IF(E348="","",XLOOKUP(D348,'Validaciones Cotizador'!C:C,'Validaciones Cotizador'!A:A,"",0,1))</f>
        <v/>
      </c>
      <c r="B348" s="2" t="str">
        <f t="array" ref="B348">IF(F348="","",XLOOKUP(F348,Productos!E:E,Productos!G:G,"",0,1))</f>
        <v/>
      </c>
      <c r="C348" s="2" t="str">
        <f>IF(A348="","",SUMIFS('Validaciones Cotizador'!B:B,'Validaciones Cotizador'!C:C,D348,'Validaciones Cotizador'!A:A,A348))</f>
        <v/>
      </c>
      <c r="D348" s="4" t="str">
        <f>IFERROR(__xludf.DUMMYFUNCTION("IF(OR(F347=""Finalizar"",F347="""",F347=""Selecciona..""),"""",IF(OR(F347=""-"",INDEX(filter(Familias!F:F,Familias!D:D=A347,Familias!E:E=C347),1)=""O""),D347+1,D347))"),"")</f>
        <v/>
      </c>
      <c r="E348" s="2" t="str">
        <f>IF(OR(F348="",F348="Selecciona.."),"",IF(D348="Implemento",SUMIF(Implementos!B:B,F348,Implementos!A:A),SUMIF(Productos!E:E,F348,Productos!A:A)))</f>
        <v/>
      </c>
      <c r="F348" s="2" t="str">
        <f t="shared" si="2"/>
        <v/>
      </c>
      <c r="G348" s="10" t="str">
        <f t="array" ref="G348">IF(OR(F348="",F348="-",F348="Selecciona..",F348="Finalizar"),"",IF(A348="Rodados",XLOOKUP(B348,'Validaciones Cotizador'!I:I,'Validaciones Cotizador'!J:J,0,0,1),1))</f>
        <v/>
      </c>
      <c r="H348" s="11" t="str">
        <f>IF(OR(F348="",F348="Selecciona.."),"",SUMIF(Precio_Productos!K:K,E348,Precio_Productos!J:J)*G348)</f>
        <v/>
      </c>
      <c r="I348" s="4" t="str">
        <f t="array" ref="I348">IF($E348="","", XLOOKUP(SUMIFS(Prod_Prop!$A:$A,Prod_Prop!$B:$B,$E348,Prod_Prop!$H:$H,I$1,Prod_Prop!$I:$I,"Exacto"),Prod_Prop!$A:$A,Prod_Prop!$J:$J,"",0,1))</f>
        <v/>
      </c>
      <c r="J348" s="4" t="str">
        <f t="array" ref="J348">IF($E348="","", XLOOKUP(SUMIFS(Prod_Prop!$A:$A,Prod_Prop!$B:$B,$E348,Prod_Prop!$H:$H,J$1,Prod_Prop!$I:$I,"Exacto"),Prod_Prop!$A:$A,Prod_Prop!$J:$J,"",0,1))</f>
        <v/>
      </c>
      <c r="K348" s="4" t="str">
        <f t="array" ref="K348">IF($E348="","", XLOOKUP(SUMIFS(Prod_Prop!$A:$A,Prod_Prop!$B:$B,$E348,Prod_Prop!$H:$H,K$1,Prod_Prop!$I:$I,"Exacto"),Prod_Prop!$A:$A,Prod_Prop!$J:$J,"",0,1))</f>
        <v/>
      </c>
      <c r="L348" s="4" t="str">
        <f t="array" ref="L348">IF($E348="","", XLOOKUP(SUMIFS(Prod_Prop!$A:$A,Prod_Prop!$B:$B,$E348,Prod_Prop!$H:$H,L$1,Prod_Prop!$I:$I,"Exacto"),Prod_Prop!$A:$A,Prod_Prop!$J:$J,"",0,1))</f>
        <v/>
      </c>
      <c r="M348" s="4" t="str">
        <f t="array" ref="M348">IF($E348="","", XLOOKUP(SUMIFS(Prod_Prop!$A:$A,Prod_Prop!$B:$B,$E348,Prod_Prop!$H:$H,M$1,Prod_Prop!$I:$I,"Exacto"),Prod_Prop!$A:$A,Prod_Prop!$J:$J,"",0,1))</f>
        <v/>
      </c>
      <c r="N348" s="4" t="str">
        <f t="array" ref="N348">IF($E348="","", XLOOKUP(SUMIFS(Prod_Prop!$A:$A,Prod_Prop!$B:$B,$E348,Prod_Prop!$H:$H,N$1,Prod_Prop!$I:$I,"Exacto"),Prod_Prop!$A:$A,Prod_Prop!$J:$J,"",0,1))</f>
        <v/>
      </c>
      <c r="O348" s="4" t="str">
        <f t="array" ref="O348">IF($E348="","", XLOOKUP(SUMIFS(Prod_Prop!$A:$A,Prod_Prop!$B:$B,$E348,Prod_Prop!$H:$H,O$1,Prod_Prop!$I:$I,"Exacto"),Prod_Prop!$A:$A,Prod_Prop!$J:$J,"",0,1))</f>
        <v/>
      </c>
      <c r="P348" s="4" t="str">
        <f t="array" ref="P348">IF($E348="","", XLOOKUP(SUMIFS(Prod_Prop!$A:$A,Prod_Prop!$B:$B,$E348,Prod_Prop!$H:$H,P$1,Prod_Prop!$I:$I,"Exacto"),Prod_Prop!$A:$A,Prod_Prop!$J:$J,"",0,1))</f>
        <v/>
      </c>
      <c r="Q348" s="4" t="str">
        <f t="array" ref="Q348">IF($E348="","", XLOOKUP(SUMIFS(Prod_Prop!$A:$A,Prod_Prop!$B:$B,$E348,Prod_Prop!$H:$H,Q$1,Prod_Prop!$I:$I,"Exacto"),Prod_Prop!$A:$A,Prod_Prop!$J:$J,"",0,1))</f>
        <v/>
      </c>
      <c r="R348" s="4" t="str">
        <f t="array" ref="R348">IF($E348="","", XLOOKUP(SUMIFS(Prod_Prop!$A:$A,Prod_Prop!$B:$B,$E348,Prod_Prop!$H:$H,R$1,Prod_Prop!$I:$I,"Exacto"),Prod_Prop!$A:$A,Prod_Prop!$J:$J,"",0,1))</f>
        <v/>
      </c>
      <c r="S348" s="4" t="str">
        <f t="array" ref="S348">IF($E348="","", XLOOKUP(SUMIFS(Prod_Prop!$A:$A,Prod_Prop!$B:$B,$E348,Prod_Prop!$H:$H,S$1,Prod_Prop!$I:$I,"Exacto"),Prod_Prop!$A:$A,Prod_Prop!$J:$J,"",0,1))</f>
        <v/>
      </c>
      <c r="T348" s="4" t="str">
        <f t="array" ref="T348">IF($E348="","", XLOOKUP(SUMIFS(Prod_Prop!$A:$A,Prod_Prop!$B:$B,$E348,Prod_Prop!$H:$H,T$1,Prod_Prop!$I:$I,"Exacto"),Prod_Prop!$A:$A,Prod_Prop!$J:$J,"",0,1))</f>
        <v/>
      </c>
      <c r="U348" s="4" t="str">
        <f t="array" ref="U348">IF($E348="","", XLOOKUP(SUMIFS(Prod_Prop!$A:$A,Prod_Prop!$B:$B,$E348,Prod_Prop!$H:$H,U$1,Prod_Prop!$I:$I,"Exacto"),Prod_Prop!$A:$A,Prod_Prop!$J:$J,"",0,1))</f>
        <v/>
      </c>
      <c r="V348" s="4" t="str">
        <f t="array" ref="V348">IF($E348="","", XLOOKUP(SUMIFS(Prod_Prop!$A:$A,Prod_Prop!$B:$B,$E348,Prod_Prop!$H:$H,V$1,Prod_Prop!$I:$I,"Exacto"),Prod_Prop!$A:$A,Prod_Prop!$J:$J,"",0,1))</f>
        <v/>
      </c>
      <c r="X348" s="3" t="str">
        <f>IFERROR(__xludf.DUMMYFUNCTION("IF(D348="""","""",IFERROR(TRANSPOSE(FILTER('Validaciones Cotizador'!U:U,'Validaciones Cotizador'!O:O=D348,'Validaciones Cotizador'!T:T=""x"")),""Finalizar""))"),"")</f>
        <v/>
      </c>
    </row>
    <row r="349">
      <c r="A349" s="2" t="str">
        <f t="array" ref="A349">IF(E349="","",XLOOKUP(D349,'Validaciones Cotizador'!C:C,'Validaciones Cotizador'!A:A,"",0,1))</f>
        <v/>
      </c>
      <c r="B349" s="2" t="str">
        <f t="array" ref="B349">IF(F349="","",XLOOKUP(F349,Productos!E:E,Productos!G:G,"",0,1))</f>
        <v/>
      </c>
      <c r="C349" s="2" t="str">
        <f>IF(A349="","",SUMIFS('Validaciones Cotizador'!B:B,'Validaciones Cotizador'!C:C,D349,'Validaciones Cotizador'!A:A,A349))</f>
        <v/>
      </c>
      <c r="D349" s="4" t="str">
        <f>IFERROR(__xludf.DUMMYFUNCTION("IF(OR(F348=""Finalizar"",F348="""",F348=""Selecciona..""),"""",IF(OR(F348=""-"",INDEX(filter(Familias!F:F,Familias!D:D=A348,Familias!E:E=C348),1)=""O""),D348+1,D348))"),"")</f>
        <v/>
      </c>
      <c r="E349" s="2" t="str">
        <f>IF(OR(F349="",F349="Selecciona.."),"",IF(D349="Implemento",SUMIF(Implementos!B:B,F349,Implementos!A:A),SUMIF(Productos!E:E,F349,Productos!A:A)))</f>
        <v/>
      </c>
      <c r="F349" s="2" t="str">
        <f t="shared" si="2"/>
        <v/>
      </c>
      <c r="G349" s="10" t="str">
        <f t="array" ref="G349">IF(OR(F349="",F349="-",F349="Selecciona..",F349="Finalizar"),"",IF(A349="Rodados",XLOOKUP(B349,'Validaciones Cotizador'!I:I,'Validaciones Cotizador'!J:J,0,0,1),1))</f>
        <v/>
      </c>
      <c r="H349" s="11" t="str">
        <f>IF(OR(F349="",F349="Selecciona.."),"",SUMIF(Precio_Productos!K:K,E349,Precio_Productos!J:J)*G349)</f>
        <v/>
      </c>
      <c r="I349" s="4" t="str">
        <f t="array" ref="I349">IF($E349="","", XLOOKUP(SUMIFS(Prod_Prop!$A:$A,Prod_Prop!$B:$B,$E349,Prod_Prop!$H:$H,I$1,Prod_Prop!$I:$I,"Exacto"),Prod_Prop!$A:$A,Prod_Prop!$J:$J,"",0,1))</f>
        <v/>
      </c>
      <c r="J349" s="4" t="str">
        <f t="array" ref="J349">IF($E349="","", XLOOKUP(SUMIFS(Prod_Prop!$A:$A,Prod_Prop!$B:$B,$E349,Prod_Prop!$H:$H,J$1,Prod_Prop!$I:$I,"Exacto"),Prod_Prop!$A:$A,Prod_Prop!$J:$J,"",0,1))</f>
        <v/>
      </c>
      <c r="K349" s="4" t="str">
        <f t="array" ref="K349">IF($E349="","", XLOOKUP(SUMIFS(Prod_Prop!$A:$A,Prod_Prop!$B:$B,$E349,Prod_Prop!$H:$H,K$1,Prod_Prop!$I:$I,"Exacto"),Prod_Prop!$A:$A,Prod_Prop!$J:$J,"",0,1))</f>
        <v/>
      </c>
      <c r="L349" s="4" t="str">
        <f t="array" ref="L349">IF($E349="","", XLOOKUP(SUMIFS(Prod_Prop!$A:$A,Prod_Prop!$B:$B,$E349,Prod_Prop!$H:$H,L$1,Prod_Prop!$I:$I,"Exacto"),Prod_Prop!$A:$A,Prod_Prop!$J:$J,"",0,1))</f>
        <v/>
      </c>
      <c r="M349" s="4" t="str">
        <f t="array" ref="M349">IF($E349="","", XLOOKUP(SUMIFS(Prod_Prop!$A:$A,Prod_Prop!$B:$B,$E349,Prod_Prop!$H:$H,M$1,Prod_Prop!$I:$I,"Exacto"),Prod_Prop!$A:$A,Prod_Prop!$J:$J,"",0,1))</f>
        <v/>
      </c>
      <c r="N349" s="4" t="str">
        <f t="array" ref="N349">IF($E349="","", XLOOKUP(SUMIFS(Prod_Prop!$A:$A,Prod_Prop!$B:$B,$E349,Prod_Prop!$H:$H,N$1,Prod_Prop!$I:$I,"Exacto"),Prod_Prop!$A:$A,Prod_Prop!$J:$J,"",0,1))</f>
        <v/>
      </c>
      <c r="O349" s="4" t="str">
        <f t="array" ref="O349">IF($E349="","", XLOOKUP(SUMIFS(Prod_Prop!$A:$A,Prod_Prop!$B:$B,$E349,Prod_Prop!$H:$H,O$1,Prod_Prop!$I:$I,"Exacto"),Prod_Prop!$A:$A,Prod_Prop!$J:$J,"",0,1))</f>
        <v/>
      </c>
      <c r="P349" s="4" t="str">
        <f t="array" ref="P349">IF($E349="","", XLOOKUP(SUMIFS(Prod_Prop!$A:$A,Prod_Prop!$B:$B,$E349,Prod_Prop!$H:$H,P$1,Prod_Prop!$I:$I,"Exacto"),Prod_Prop!$A:$A,Prod_Prop!$J:$J,"",0,1))</f>
        <v/>
      </c>
      <c r="Q349" s="4" t="str">
        <f t="array" ref="Q349">IF($E349="","", XLOOKUP(SUMIFS(Prod_Prop!$A:$A,Prod_Prop!$B:$B,$E349,Prod_Prop!$H:$H,Q$1,Prod_Prop!$I:$I,"Exacto"),Prod_Prop!$A:$A,Prod_Prop!$J:$J,"",0,1))</f>
        <v/>
      </c>
      <c r="R349" s="4" t="str">
        <f t="array" ref="R349">IF($E349="","", XLOOKUP(SUMIFS(Prod_Prop!$A:$A,Prod_Prop!$B:$B,$E349,Prod_Prop!$H:$H,R$1,Prod_Prop!$I:$I,"Exacto"),Prod_Prop!$A:$A,Prod_Prop!$J:$J,"",0,1))</f>
        <v/>
      </c>
      <c r="S349" s="4" t="str">
        <f t="array" ref="S349">IF($E349="","", XLOOKUP(SUMIFS(Prod_Prop!$A:$A,Prod_Prop!$B:$B,$E349,Prod_Prop!$H:$H,S$1,Prod_Prop!$I:$I,"Exacto"),Prod_Prop!$A:$A,Prod_Prop!$J:$J,"",0,1))</f>
        <v/>
      </c>
      <c r="T349" s="4" t="str">
        <f t="array" ref="T349">IF($E349="","", XLOOKUP(SUMIFS(Prod_Prop!$A:$A,Prod_Prop!$B:$B,$E349,Prod_Prop!$H:$H,T$1,Prod_Prop!$I:$I,"Exacto"),Prod_Prop!$A:$A,Prod_Prop!$J:$J,"",0,1))</f>
        <v/>
      </c>
      <c r="U349" s="4" t="str">
        <f t="array" ref="U349">IF($E349="","", XLOOKUP(SUMIFS(Prod_Prop!$A:$A,Prod_Prop!$B:$B,$E349,Prod_Prop!$H:$H,U$1,Prod_Prop!$I:$I,"Exacto"),Prod_Prop!$A:$A,Prod_Prop!$J:$J,"",0,1))</f>
        <v/>
      </c>
      <c r="V349" s="4" t="str">
        <f t="array" ref="V349">IF($E349="","", XLOOKUP(SUMIFS(Prod_Prop!$A:$A,Prod_Prop!$B:$B,$E349,Prod_Prop!$H:$H,V$1,Prod_Prop!$I:$I,"Exacto"),Prod_Prop!$A:$A,Prod_Prop!$J:$J,"",0,1))</f>
        <v/>
      </c>
      <c r="X349" s="3" t="str">
        <f>IFERROR(__xludf.DUMMYFUNCTION("IF(D349="""","""",IFERROR(TRANSPOSE(FILTER('Validaciones Cotizador'!U:U,'Validaciones Cotizador'!O:O=D349,'Validaciones Cotizador'!T:T=""x"")),""Finalizar""))"),"")</f>
        <v/>
      </c>
    </row>
    <row r="350">
      <c r="A350" s="2" t="str">
        <f t="array" ref="A350">IF(E350="","",XLOOKUP(D350,'Validaciones Cotizador'!C:C,'Validaciones Cotizador'!A:A,"",0,1))</f>
        <v/>
      </c>
      <c r="B350" s="2" t="str">
        <f t="array" ref="B350">IF(F350="","",XLOOKUP(F350,Productos!E:E,Productos!G:G,"",0,1))</f>
        <v/>
      </c>
      <c r="C350" s="2" t="str">
        <f>IF(A350="","",SUMIFS('Validaciones Cotizador'!B:B,'Validaciones Cotizador'!C:C,D350,'Validaciones Cotizador'!A:A,A350))</f>
        <v/>
      </c>
      <c r="D350" s="4" t="str">
        <f>IFERROR(__xludf.DUMMYFUNCTION("IF(OR(F349=""Finalizar"",F349="""",F349=""Selecciona..""),"""",IF(OR(F349=""-"",INDEX(filter(Familias!F:F,Familias!D:D=A349,Familias!E:E=C349),1)=""O""),D349+1,D349))"),"")</f>
        <v/>
      </c>
      <c r="E350" s="2" t="str">
        <f>IF(OR(F350="",F350="Selecciona.."),"",IF(D350="Implemento",SUMIF(Implementos!B:B,F350,Implementos!A:A),SUMIF(Productos!E:E,F350,Productos!A:A)))</f>
        <v/>
      </c>
      <c r="F350" s="2" t="str">
        <f t="shared" si="2"/>
        <v/>
      </c>
      <c r="G350" s="10" t="str">
        <f t="array" ref="G350">IF(OR(F350="",F350="-",F350="Selecciona..",F350="Finalizar"),"",IF(A350="Rodados",XLOOKUP(B350,'Validaciones Cotizador'!I:I,'Validaciones Cotizador'!J:J,0,0,1),1))</f>
        <v/>
      </c>
      <c r="H350" s="11" t="str">
        <f>IF(OR(F350="",F350="Selecciona.."),"",SUMIF(Precio_Productos!K:K,E350,Precio_Productos!J:J)*G350)</f>
        <v/>
      </c>
      <c r="I350" s="4" t="str">
        <f t="array" ref="I350">IF($E350="","", XLOOKUP(SUMIFS(Prod_Prop!$A:$A,Prod_Prop!$B:$B,$E350,Prod_Prop!$H:$H,I$1,Prod_Prop!$I:$I,"Exacto"),Prod_Prop!$A:$A,Prod_Prop!$J:$J,"",0,1))</f>
        <v/>
      </c>
      <c r="J350" s="4" t="str">
        <f t="array" ref="J350">IF($E350="","", XLOOKUP(SUMIFS(Prod_Prop!$A:$A,Prod_Prop!$B:$B,$E350,Prod_Prop!$H:$H,J$1,Prod_Prop!$I:$I,"Exacto"),Prod_Prop!$A:$A,Prod_Prop!$J:$J,"",0,1))</f>
        <v/>
      </c>
      <c r="K350" s="4" t="str">
        <f t="array" ref="K350">IF($E350="","", XLOOKUP(SUMIFS(Prod_Prop!$A:$A,Prod_Prop!$B:$B,$E350,Prod_Prop!$H:$H,K$1,Prod_Prop!$I:$I,"Exacto"),Prod_Prop!$A:$A,Prod_Prop!$J:$J,"",0,1))</f>
        <v/>
      </c>
      <c r="L350" s="4" t="str">
        <f t="array" ref="L350">IF($E350="","", XLOOKUP(SUMIFS(Prod_Prop!$A:$A,Prod_Prop!$B:$B,$E350,Prod_Prop!$H:$H,L$1,Prod_Prop!$I:$I,"Exacto"),Prod_Prop!$A:$A,Prod_Prop!$J:$J,"",0,1))</f>
        <v/>
      </c>
      <c r="M350" s="4" t="str">
        <f t="array" ref="M350">IF($E350="","", XLOOKUP(SUMIFS(Prod_Prop!$A:$A,Prod_Prop!$B:$B,$E350,Prod_Prop!$H:$H,M$1,Prod_Prop!$I:$I,"Exacto"),Prod_Prop!$A:$A,Prod_Prop!$J:$J,"",0,1))</f>
        <v/>
      </c>
      <c r="N350" s="4" t="str">
        <f t="array" ref="N350">IF($E350="","", XLOOKUP(SUMIFS(Prod_Prop!$A:$A,Prod_Prop!$B:$B,$E350,Prod_Prop!$H:$H,N$1,Prod_Prop!$I:$I,"Exacto"),Prod_Prop!$A:$A,Prod_Prop!$J:$J,"",0,1))</f>
        <v/>
      </c>
      <c r="O350" s="4" t="str">
        <f t="array" ref="O350">IF($E350="","", XLOOKUP(SUMIFS(Prod_Prop!$A:$A,Prod_Prop!$B:$B,$E350,Prod_Prop!$H:$H,O$1,Prod_Prop!$I:$I,"Exacto"),Prod_Prop!$A:$A,Prod_Prop!$J:$J,"",0,1))</f>
        <v/>
      </c>
      <c r="P350" s="4" t="str">
        <f t="array" ref="P350">IF($E350="","", XLOOKUP(SUMIFS(Prod_Prop!$A:$A,Prod_Prop!$B:$B,$E350,Prod_Prop!$H:$H,P$1,Prod_Prop!$I:$I,"Exacto"),Prod_Prop!$A:$A,Prod_Prop!$J:$J,"",0,1))</f>
        <v/>
      </c>
      <c r="Q350" s="4" t="str">
        <f t="array" ref="Q350">IF($E350="","", XLOOKUP(SUMIFS(Prod_Prop!$A:$A,Prod_Prop!$B:$B,$E350,Prod_Prop!$H:$H,Q$1,Prod_Prop!$I:$I,"Exacto"),Prod_Prop!$A:$A,Prod_Prop!$J:$J,"",0,1))</f>
        <v/>
      </c>
      <c r="R350" s="4" t="str">
        <f t="array" ref="R350">IF($E350="","", XLOOKUP(SUMIFS(Prod_Prop!$A:$A,Prod_Prop!$B:$B,$E350,Prod_Prop!$H:$H,R$1,Prod_Prop!$I:$I,"Exacto"),Prod_Prop!$A:$A,Prod_Prop!$J:$J,"",0,1))</f>
        <v/>
      </c>
      <c r="S350" s="4" t="str">
        <f t="array" ref="S350">IF($E350="","", XLOOKUP(SUMIFS(Prod_Prop!$A:$A,Prod_Prop!$B:$B,$E350,Prod_Prop!$H:$H,S$1,Prod_Prop!$I:$I,"Exacto"),Prod_Prop!$A:$A,Prod_Prop!$J:$J,"",0,1))</f>
        <v/>
      </c>
      <c r="T350" s="4" t="str">
        <f t="array" ref="T350">IF($E350="","", XLOOKUP(SUMIFS(Prod_Prop!$A:$A,Prod_Prop!$B:$B,$E350,Prod_Prop!$H:$H,T$1,Prod_Prop!$I:$I,"Exacto"),Prod_Prop!$A:$A,Prod_Prop!$J:$J,"",0,1))</f>
        <v/>
      </c>
      <c r="U350" s="4" t="str">
        <f t="array" ref="U350">IF($E350="","", XLOOKUP(SUMIFS(Prod_Prop!$A:$A,Prod_Prop!$B:$B,$E350,Prod_Prop!$H:$H,U$1,Prod_Prop!$I:$I,"Exacto"),Prod_Prop!$A:$A,Prod_Prop!$J:$J,"",0,1))</f>
        <v/>
      </c>
      <c r="V350" s="4" t="str">
        <f t="array" ref="V350">IF($E350="","", XLOOKUP(SUMIFS(Prod_Prop!$A:$A,Prod_Prop!$B:$B,$E350,Prod_Prop!$H:$H,V$1,Prod_Prop!$I:$I,"Exacto"),Prod_Prop!$A:$A,Prod_Prop!$J:$J,"",0,1))</f>
        <v/>
      </c>
      <c r="X350" s="3" t="str">
        <f>IFERROR(__xludf.DUMMYFUNCTION("IF(D350="""","""",IFERROR(TRANSPOSE(FILTER('Validaciones Cotizador'!U:U,'Validaciones Cotizador'!O:O=D350,'Validaciones Cotizador'!T:T=""x"")),""Finalizar""))"),"")</f>
        <v/>
      </c>
    </row>
    <row r="351">
      <c r="A351" s="2" t="str">
        <f t="array" ref="A351">IF(E351="","",XLOOKUP(D351,'Validaciones Cotizador'!C:C,'Validaciones Cotizador'!A:A,"",0,1))</f>
        <v/>
      </c>
      <c r="B351" s="2" t="str">
        <f t="array" ref="B351">IF(F351="","",XLOOKUP(F351,Productos!E:E,Productos!G:G,"",0,1))</f>
        <v/>
      </c>
      <c r="C351" s="2" t="str">
        <f>IF(A351="","",SUMIFS('Validaciones Cotizador'!B:B,'Validaciones Cotizador'!C:C,D351,'Validaciones Cotizador'!A:A,A351))</f>
        <v/>
      </c>
      <c r="D351" s="4" t="str">
        <f>IFERROR(__xludf.DUMMYFUNCTION("IF(OR(F350=""Finalizar"",F350="""",F350=""Selecciona..""),"""",IF(OR(F350=""-"",INDEX(filter(Familias!F:F,Familias!D:D=A350,Familias!E:E=C350),1)=""O""),D350+1,D350))"),"")</f>
        <v/>
      </c>
      <c r="E351" s="2" t="str">
        <f>IF(OR(F351="",F351="Selecciona.."),"",IF(D351="Implemento",SUMIF(Implementos!B:B,F351,Implementos!A:A),SUMIF(Productos!E:E,F351,Productos!A:A)))</f>
        <v/>
      </c>
      <c r="F351" s="2" t="str">
        <f t="shared" si="2"/>
        <v/>
      </c>
      <c r="G351" s="10" t="str">
        <f t="array" ref="G351">IF(OR(F351="",F351="-",F351="Selecciona..",F351="Finalizar"),"",IF(A351="Rodados",XLOOKUP(B351,'Validaciones Cotizador'!I:I,'Validaciones Cotizador'!J:J,0,0,1),1))</f>
        <v/>
      </c>
      <c r="H351" s="11" t="str">
        <f>IF(OR(F351="",F351="Selecciona.."),"",SUMIF(Precio_Productos!K:K,E351,Precio_Productos!J:J)*G351)</f>
        <v/>
      </c>
      <c r="I351" s="4" t="str">
        <f t="array" ref="I351">IF($E351="","", XLOOKUP(SUMIFS(Prod_Prop!$A:$A,Prod_Prop!$B:$B,$E351,Prod_Prop!$H:$H,I$1,Prod_Prop!$I:$I,"Exacto"),Prod_Prop!$A:$A,Prod_Prop!$J:$J,"",0,1))</f>
        <v/>
      </c>
      <c r="J351" s="4" t="str">
        <f t="array" ref="J351">IF($E351="","", XLOOKUP(SUMIFS(Prod_Prop!$A:$A,Prod_Prop!$B:$B,$E351,Prod_Prop!$H:$H,J$1,Prod_Prop!$I:$I,"Exacto"),Prod_Prop!$A:$A,Prod_Prop!$J:$J,"",0,1))</f>
        <v/>
      </c>
      <c r="K351" s="4" t="str">
        <f t="array" ref="K351">IF($E351="","", XLOOKUP(SUMIFS(Prod_Prop!$A:$A,Prod_Prop!$B:$B,$E351,Prod_Prop!$H:$H,K$1,Prod_Prop!$I:$I,"Exacto"),Prod_Prop!$A:$A,Prod_Prop!$J:$J,"",0,1))</f>
        <v/>
      </c>
      <c r="L351" s="4" t="str">
        <f t="array" ref="L351">IF($E351="","", XLOOKUP(SUMIFS(Prod_Prop!$A:$A,Prod_Prop!$B:$B,$E351,Prod_Prop!$H:$H,L$1,Prod_Prop!$I:$I,"Exacto"),Prod_Prop!$A:$A,Prod_Prop!$J:$J,"",0,1))</f>
        <v/>
      </c>
      <c r="M351" s="4" t="str">
        <f t="array" ref="M351">IF($E351="","", XLOOKUP(SUMIFS(Prod_Prop!$A:$A,Prod_Prop!$B:$B,$E351,Prod_Prop!$H:$H,M$1,Prod_Prop!$I:$I,"Exacto"),Prod_Prop!$A:$A,Prod_Prop!$J:$J,"",0,1))</f>
        <v/>
      </c>
      <c r="N351" s="4" t="str">
        <f t="array" ref="N351">IF($E351="","", XLOOKUP(SUMIFS(Prod_Prop!$A:$A,Prod_Prop!$B:$B,$E351,Prod_Prop!$H:$H,N$1,Prod_Prop!$I:$I,"Exacto"),Prod_Prop!$A:$A,Prod_Prop!$J:$J,"",0,1))</f>
        <v/>
      </c>
      <c r="O351" s="4" t="str">
        <f t="array" ref="O351">IF($E351="","", XLOOKUP(SUMIFS(Prod_Prop!$A:$A,Prod_Prop!$B:$B,$E351,Prod_Prop!$H:$H,O$1,Prod_Prop!$I:$I,"Exacto"),Prod_Prop!$A:$A,Prod_Prop!$J:$J,"",0,1))</f>
        <v/>
      </c>
      <c r="P351" s="4" t="str">
        <f t="array" ref="P351">IF($E351="","", XLOOKUP(SUMIFS(Prod_Prop!$A:$A,Prod_Prop!$B:$B,$E351,Prod_Prop!$H:$H,P$1,Prod_Prop!$I:$I,"Exacto"),Prod_Prop!$A:$A,Prod_Prop!$J:$J,"",0,1))</f>
        <v/>
      </c>
      <c r="Q351" s="4" t="str">
        <f t="array" ref="Q351">IF($E351="","", XLOOKUP(SUMIFS(Prod_Prop!$A:$A,Prod_Prop!$B:$B,$E351,Prod_Prop!$H:$H,Q$1,Prod_Prop!$I:$I,"Exacto"),Prod_Prop!$A:$A,Prod_Prop!$J:$J,"",0,1))</f>
        <v/>
      </c>
      <c r="R351" s="4" t="str">
        <f t="array" ref="R351">IF($E351="","", XLOOKUP(SUMIFS(Prod_Prop!$A:$A,Prod_Prop!$B:$B,$E351,Prod_Prop!$H:$H,R$1,Prod_Prop!$I:$I,"Exacto"),Prod_Prop!$A:$A,Prod_Prop!$J:$J,"",0,1))</f>
        <v/>
      </c>
      <c r="S351" s="4" t="str">
        <f t="array" ref="S351">IF($E351="","", XLOOKUP(SUMIFS(Prod_Prop!$A:$A,Prod_Prop!$B:$B,$E351,Prod_Prop!$H:$H,S$1,Prod_Prop!$I:$I,"Exacto"),Prod_Prop!$A:$A,Prod_Prop!$J:$J,"",0,1))</f>
        <v/>
      </c>
      <c r="T351" s="4" t="str">
        <f t="array" ref="T351">IF($E351="","", XLOOKUP(SUMIFS(Prod_Prop!$A:$A,Prod_Prop!$B:$B,$E351,Prod_Prop!$H:$H,T$1,Prod_Prop!$I:$I,"Exacto"),Prod_Prop!$A:$A,Prod_Prop!$J:$J,"",0,1))</f>
        <v/>
      </c>
      <c r="U351" s="4" t="str">
        <f t="array" ref="U351">IF($E351="","", XLOOKUP(SUMIFS(Prod_Prop!$A:$A,Prod_Prop!$B:$B,$E351,Prod_Prop!$H:$H,U$1,Prod_Prop!$I:$I,"Exacto"),Prod_Prop!$A:$A,Prod_Prop!$J:$J,"",0,1))</f>
        <v/>
      </c>
      <c r="V351" s="4" t="str">
        <f t="array" ref="V351">IF($E351="","", XLOOKUP(SUMIFS(Prod_Prop!$A:$A,Prod_Prop!$B:$B,$E351,Prod_Prop!$H:$H,V$1,Prod_Prop!$I:$I,"Exacto"),Prod_Prop!$A:$A,Prod_Prop!$J:$J,"",0,1))</f>
        <v/>
      </c>
      <c r="X351" s="3" t="str">
        <f>IFERROR(__xludf.DUMMYFUNCTION("IF(D351="""","""",IFERROR(TRANSPOSE(FILTER('Validaciones Cotizador'!U:U,'Validaciones Cotizador'!O:O=D351,'Validaciones Cotizador'!T:T=""x"")),""Finalizar""))"),"")</f>
        <v/>
      </c>
    </row>
    <row r="352">
      <c r="A352" s="2" t="str">
        <f t="array" ref="A352">IF(E352="","",XLOOKUP(D352,'Validaciones Cotizador'!C:C,'Validaciones Cotizador'!A:A,"",0,1))</f>
        <v/>
      </c>
      <c r="B352" s="2" t="str">
        <f t="array" ref="B352">IF(F352="","",XLOOKUP(F352,Productos!E:E,Productos!G:G,"",0,1))</f>
        <v/>
      </c>
      <c r="C352" s="2" t="str">
        <f>IF(A352="","",SUMIFS('Validaciones Cotizador'!B:B,'Validaciones Cotizador'!C:C,D352,'Validaciones Cotizador'!A:A,A352))</f>
        <v/>
      </c>
      <c r="D352" s="4" t="str">
        <f>IFERROR(__xludf.DUMMYFUNCTION("IF(OR(F351=""Finalizar"",F351="""",F351=""Selecciona..""),"""",IF(OR(F351=""-"",INDEX(filter(Familias!F:F,Familias!D:D=A351,Familias!E:E=C351),1)=""O""),D351+1,D351))"),"")</f>
        <v/>
      </c>
      <c r="E352" s="2" t="str">
        <f>IF(OR(F352="",F352="Selecciona.."),"",IF(D352="Implemento",SUMIF(Implementos!B:B,F352,Implementos!A:A),SUMIF(Productos!E:E,F352,Productos!A:A)))</f>
        <v/>
      </c>
      <c r="F352" s="2" t="str">
        <f t="shared" si="2"/>
        <v/>
      </c>
      <c r="G352" s="10" t="str">
        <f t="array" ref="G352">IF(OR(F352="",F352="-",F352="Selecciona..",F352="Finalizar"),"",IF(A352="Rodados",XLOOKUP(B352,'Validaciones Cotizador'!I:I,'Validaciones Cotizador'!J:J,0,0,1),1))</f>
        <v/>
      </c>
      <c r="H352" s="11" t="str">
        <f>IF(OR(F352="",F352="Selecciona.."),"",SUMIF(Precio_Productos!K:K,E352,Precio_Productos!J:J)*G352)</f>
        <v/>
      </c>
      <c r="I352" s="4" t="str">
        <f t="array" ref="I352">IF($E352="","", XLOOKUP(SUMIFS(Prod_Prop!$A:$A,Prod_Prop!$B:$B,$E352,Prod_Prop!$H:$H,I$1,Prod_Prop!$I:$I,"Exacto"),Prod_Prop!$A:$A,Prod_Prop!$J:$J,"",0,1))</f>
        <v/>
      </c>
      <c r="J352" s="4" t="str">
        <f t="array" ref="J352">IF($E352="","", XLOOKUP(SUMIFS(Prod_Prop!$A:$A,Prod_Prop!$B:$B,$E352,Prod_Prop!$H:$H,J$1,Prod_Prop!$I:$I,"Exacto"),Prod_Prop!$A:$A,Prod_Prop!$J:$J,"",0,1))</f>
        <v/>
      </c>
      <c r="K352" s="4" t="str">
        <f t="array" ref="K352">IF($E352="","", XLOOKUP(SUMIFS(Prod_Prop!$A:$A,Prod_Prop!$B:$B,$E352,Prod_Prop!$H:$H,K$1,Prod_Prop!$I:$I,"Exacto"),Prod_Prop!$A:$A,Prod_Prop!$J:$J,"",0,1))</f>
        <v/>
      </c>
      <c r="L352" s="4" t="str">
        <f t="array" ref="L352">IF($E352="","", XLOOKUP(SUMIFS(Prod_Prop!$A:$A,Prod_Prop!$B:$B,$E352,Prod_Prop!$H:$H,L$1,Prod_Prop!$I:$I,"Exacto"),Prod_Prop!$A:$A,Prod_Prop!$J:$J,"",0,1))</f>
        <v/>
      </c>
      <c r="M352" s="4" t="str">
        <f t="array" ref="M352">IF($E352="","", XLOOKUP(SUMIFS(Prod_Prop!$A:$A,Prod_Prop!$B:$B,$E352,Prod_Prop!$H:$H,M$1,Prod_Prop!$I:$I,"Exacto"),Prod_Prop!$A:$A,Prod_Prop!$J:$J,"",0,1))</f>
        <v/>
      </c>
      <c r="N352" s="4" t="str">
        <f t="array" ref="N352">IF($E352="","", XLOOKUP(SUMIFS(Prod_Prop!$A:$A,Prod_Prop!$B:$B,$E352,Prod_Prop!$H:$H,N$1,Prod_Prop!$I:$I,"Exacto"),Prod_Prop!$A:$A,Prod_Prop!$J:$J,"",0,1))</f>
        <v/>
      </c>
      <c r="O352" s="4" t="str">
        <f t="array" ref="O352">IF($E352="","", XLOOKUP(SUMIFS(Prod_Prop!$A:$A,Prod_Prop!$B:$B,$E352,Prod_Prop!$H:$H,O$1,Prod_Prop!$I:$I,"Exacto"),Prod_Prop!$A:$A,Prod_Prop!$J:$J,"",0,1))</f>
        <v/>
      </c>
      <c r="P352" s="4" t="str">
        <f t="array" ref="P352">IF($E352="","", XLOOKUP(SUMIFS(Prod_Prop!$A:$A,Prod_Prop!$B:$B,$E352,Prod_Prop!$H:$H,P$1,Prod_Prop!$I:$I,"Exacto"),Prod_Prop!$A:$A,Prod_Prop!$J:$J,"",0,1))</f>
        <v/>
      </c>
      <c r="Q352" s="4" t="str">
        <f t="array" ref="Q352">IF($E352="","", XLOOKUP(SUMIFS(Prod_Prop!$A:$A,Prod_Prop!$B:$B,$E352,Prod_Prop!$H:$H,Q$1,Prod_Prop!$I:$I,"Exacto"),Prod_Prop!$A:$A,Prod_Prop!$J:$J,"",0,1))</f>
        <v/>
      </c>
      <c r="R352" s="4" t="str">
        <f t="array" ref="R352">IF($E352="","", XLOOKUP(SUMIFS(Prod_Prop!$A:$A,Prod_Prop!$B:$B,$E352,Prod_Prop!$H:$H,R$1,Prod_Prop!$I:$I,"Exacto"),Prod_Prop!$A:$A,Prod_Prop!$J:$J,"",0,1))</f>
        <v/>
      </c>
      <c r="S352" s="4" t="str">
        <f t="array" ref="S352">IF($E352="","", XLOOKUP(SUMIFS(Prod_Prop!$A:$A,Prod_Prop!$B:$B,$E352,Prod_Prop!$H:$H,S$1,Prod_Prop!$I:$I,"Exacto"),Prod_Prop!$A:$A,Prod_Prop!$J:$J,"",0,1))</f>
        <v/>
      </c>
      <c r="T352" s="4" t="str">
        <f t="array" ref="T352">IF($E352="","", XLOOKUP(SUMIFS(Prod_Prop!$A:$A,Prod_Prop!$B:$B,$E352,Prod_Prop!$H:$H,T$1,Prod_Prop!$I:$I,"Exacto"),Prod_Prop!$A:$A,Prod_Prop!$J:$J,"",0,1))</f>
        <v/>
      </c>
      <c r="U352" s="4" t="str">
        <f t="array" ref="U352">IF($E352="","", XLOOKUP(SUMIFS(Prod_Prop!$A:$A,Prod_Prop!$B:$B,$E352,Prod_Prop!$H:$H,U$1,Prod_Prop!$I:$I,"Exacto"),Prod_Prop!$A:$A,Prod_Prop!$J:$J,"",0,1))</f>
        <v/>
      </c>
      <c r="V352" s="4" t="str">
        <f t="array" ref="V352">IF($E352="","", XLOOKUP(SUMIFS(Prod_Prop!$A:$A,Prod_Prop!$B:$B,$E352,Prod_Prop!$H:$H,V$1,Prod_Prop!$I:$I,"Exacto"),Prod_Prop!$A:$A,Prod_Prop!$J:$J,"",0,1))</f>
        <v/>
      </c>
      <c r="X352" s="3" t="str">
        <f>IFERROR(__xludf.DUMMYFUNCTION("IF(D352="""","""",IFERROR(TRANSPOSE(FILTER('Validaciones Cotizador'!U:U,'Validaciones Cotizador'!O:O=D352,'Validaciones Cotizador'!T:T=""x"")),""Finalizar""))"),"")</f>
        <v/>
      </c>
    </row>
    <row r="353">
      <c r="A353" s="2" t="str">
        <f t="array" ref="A353">IF(E353="","",XLOOKUP(D353,'Validaciones Cotizador'!C:C,'Validaciones Cotizador'!A:A,"",0,1))</f>
        <v/>
      </c>
      <c r="B353" s="2" t="str">
        <f t="array" ref="B353">IF(F353="","",XLOOKUP(F353,Productos!E:E,Productos!G:G,"",0,1))</f>
        <v/>
      </c>
      <c r="C353" s="2" t="str">
        <f>IF(A353="","",SUMIFS('Validaciones Cotizador'!B:B,'Validaciones Cotizador'!C:C,D353,'Validaciones Cotizador'!A:A,A353))</f>
        <v/>
      </c>
      <c r="D353" s="4" t="str">
        <f>IFERROR(__xludf.DUMMYFUNCTION("IF(OR(F352=""Finalizar"",F352="""",F352=""Selecciona..""),"""",IF(OR(F352=""-"",INDEX(filter(Familias!F:F,Familias!D:D=A352,Familias!E:E=C352),1)=""O""),D352+1,D352))"),"")</f>
        <v/>
      </c>
      <c r="E353" s="2" t="str">
        <f>IF(OR(F353="",F353="Selecciona.."),"",IF(D353="Implemento",SUMIF(Implementos!B:B,F353,Implementos!A:A),SUMIF(Productos!E:E,F353,Productos!A:A)))</f>
        <v/>
      </c>
      <c r="F353" s="2" t="str">
        <f t="shared" si="2"/>
        <v/>
      </c>
      <c r="G353" s="10" t="str">
        <f t="array" ref="G353">IF(OR(F353="",F353="-",F353="Selecciona..",F353="Finalizar"),"",IF(A353="Rodados",XLOOKUP(B353,'Validaciones Cotizador'!I:I,'Validaciones Cotizador'!J:J,0,0,1),1))</f>
        <v/>
      </c>
      <c r="H353" s="11" t="str">
        <f>IF(OR(F353="",F353="Selecciona.."),"",SUMIF(Precio_Productos!K:K,E353,Precio_Productos!J:J)*G353)</f>
        <v/>
      </c>
      <c r="I353" s="4" t="str">
        <f t="array" ref="I353">IF($E353="","", XLOOKUP(SUMIFS(Prod_Prop!$A:$A,Prod_Prop!$B:$B,$E353,Prod_Prop!$H:$H,I$1,Prod_Prop!$I:$I,"Exacto"),Prod_Prop!$A:$A,Prod_Prop!$J:$J,"",0,1))</f>
        <v/>
      </c>
      <c r="J353" s="4" t="str">
        <f t="array" ref="J353">IF($E353="","", XLOOKUP(SUMIFS(Prod_Prop!$A:$A,Prod_Prop!$B:$B,$E353,Prod_Prop!$H:$H,J$1,Prod_Prop!$I:$I,"Exacto"),Prod_Prop!$A:$A,Prod_Prop!$J:$J,"",0,1))</f>
        <v/>
      </c>
      <c r="K353" s="4" t="str">
        <f t="array" ref="K353">IF($E353="","", XLOOKUP(SUMIFS(Prod_Prop!$A:$A,Prod_Prop!$B:$B,$E353,Prod_Prop!$H:$H,K$1,Prod_Prop!$I:$I,"Exacto"),Prod_Prop!$A:$A,Prod_Prop!$J:$J,"",0,1))</f>
        <v/>
      </c>
      <c r="L353" s="4" t="str">
        <f t="array" ref="L353">IF($E353="","", XLOOKUP(SUMIFS(Prod_Prop!$A:$A,Prod_Prop!$B:$B,$E353,Prod_Prop!$H:$H,L$1,Prod_Prop!$I:$I,"Exacto"),Prod_Prop!$A:$A,Prod_Prop!$J:$J,"",0,1))</f>
        <v/>
      </c>
      <c r="M353" s="4" t="str">
        <f t="array" ref="M353">IF($E353="","", XLOOKUP(SUMIFS(Prod_Prop!$A:$A,Prod_Prop!$B:$B,$E353,Prod_Prop!$H:$H,M$1,Prod_Prop!$I:$I,"Exacto"),Prod_Prop!$A:$A,Prod_Prop!$J:$J,"",0,1))</f>
        <v/>
      </c>
      <c r="N353" s="4" t="str">
        <f t="array" ref="N353">IF($E353="","", XLOOKUP(SUMIFS(Prod_Prop!$A:$A,Prod_Prop!$B:$B,$E353,Prod_Prop!$H:$H,N$1,Prod_Prop!$I:$I,"Exacto"),Prod_Prop!$A:$A,Prod_Prop!$J:$J,"",0,1))</f>
        <v/>
      </c>
      <c r="O353" s="4" t="str">
        <f t="array" ref="O353">IF($E353="","", XLOOKUP(SUMIFS(Prod_Prop!$A:$A,Prod_Prop!$B:$B,$E353,Prod_Prop!$H:$H,O$1,Prod_Prop!$I:$I,"Exacto"),Prod_Prop!$A:$A,Prod_Prop!$J:$J,"",0,1))</f>
        <v/>
      </c>
      <c r="P353" s="4" t="str">
        <f t="array" ref="P353">IF($E353="","", XLOOKUP(SUMIFS(Prod_Prop!$A:$A,Prod_Prop!$B:$B,$E353,Prod_Prop!$H:$H,P$1,Prod_Prop!$I:$I,"Exacto"),Prod_Prop!$A:$A,Prod_Prop!$J:$J,"",0,1))</f>
        <v/>
      </c>
      <c r="Q353" s="4" t="str">
        <f t="array" ref="Q353">IF($E353="","", XLOOKUP(SUMIFS(Prod_Prop!$A:$A,Prod_Prop!$B:$B,$E353,Prod_Prop!$H:$H,Q$1,Prod_Prop!$I:$I,"Exacto"),Prod_Prop!$A:$A,Prod_Prop!$J:$J,"",0,1))</f>
        <v/>
      </c>
      <c r="R353" s="4" t="str">
        <f t="array" ref="R353">IF($E353="","", XLOOKUP(SUMIFS(Prod_Prop!$A:$A,Prod_Prop!$B:$B,$E353,Prod_Prop!$H:$H,R$1,Prod_Prop!$I:$I,"Exacto"),Prod_Prop!$A:$A,Prod_Prop!$J:$J,"",0,1))</f>
        <v/>
      </c>
      <c r="S353" s="4" t="str">
        <f t="array" ref="S353">IF($E353="","", XLOOKUP(SUMIFS(Prod_Prop!$A:$A,Prod_Prop!$B:$B,$E353,Prod_Prop!$H:$H,S$1,Prod_Prop!$I:$I,"Exacto"),Prod_Prop!$A:$A,Prod_Prop!$J:$J,"",0,1))</f>
        <v/>
      </c>
      <c r="T353" s="4" t="str">
        <f t="array" ref="T353">IF($E353="","", XLOOKUP(SUMIFS(Prod_Prop!$A:$A,Prod_Prop!$B:$B,$E353,Prod_Prop!$H:$H,T$1,Prod_Prop!$I:$I,"Exacto"),Prod_Prop!$A:$A,Prod_Prop!$J:$J,"",0,1))</f>
        <v/>
      </c>
      <c r="U353" s="4" t="str">
        <f t="array" ref="U353">IF($E353="","", XLOOKUP(SUMIFS(Prod_Prop!$A:$A,Prod_Prop!$B:$B,$E353,Prod_Prop!$H:$H,U$1,Prod_Prop!$I:$I,"Exacto"),Prod_Prop!$A:$A,Prod_Prop!$J:$J,"",0,1))</f>
        <v/>
      </c>
      <c r="V353" s="4" t="str">
        <f t="array" ref="V353">IF($E353="","", XLOOKUP(SUMIFS(Prod_Prop!$A:$A,Prod_Prop!$B:$B,$E353,Prod_Prop!$H:$H,V$1,Prod_Prop!$I:$I,"Exacto"),Prod_Prop!$A:$A,Prod_Prop!$J:$J,"",0,1))</f>
        <v/>
      </c>
      <c r="X353" s="3" t="str">
        <f>IFERROR(__xludf.DUMMYFUNCTION("IF(D353="""","""",IFERROR(TRANSPOSE(FILTER('Validaciones Cotizador'!U:U,'Validaciones Cotizador'!O:O=D353,'Validaciones Cotizador'!T:T=""x"")),""Finalizar""))"),"")</f>
        <v/>
      </c>
    </row>
    <row r="354">
      <c r="A354" s="2" t="str">
        <f t="array" ref="A354">IF(E354="","",XLOOKUP(D354,'Validaciones Cotizador'!C:C,'Validaciones Cotizador'!A:A,"",0,1))</f>
        <v/>
      </c>
      <c r="B354" s="2" t="str">
        <f t="array" ref="B354">IF(F354="","",XLOOKUP(F354,Productos!E:E,Productos!G:G,"",0,1))</f>
        <v/>
      </c>
      <c r="C354" s="2" t="str">
        <f>IF(A354="","",SUMIFS('Validaciones Cotizador'!B:B,'Validaciones Cotizador'!C:C,D354,'Validaciones Cotizador'!A:A,A354))</f>
        <v/>
      </c>
      <c r="D354" s="4" t="str">
        <f>IFERROR(__xludf.DUMMYFUNCTION("IF(OR(F353=""Finalizar"",F353="""",F353=""Selecciona..""),"""",IF(OR(F353=""-"",INDEX(filter(Familias!F:F,Familias!D:D=A353,Familias!E:E=C353),1)=""O""),D353+1,D353))"),"")</f>
        <v/>
      </c>
      <c r="E354" s="2" t="str">
        <f>IF(OR(F354="",F354="Selecciona.."),"",IF(D354="Implemento",SUMIF(Implementos!B:B,F354,Implementos!A:A),SUMIF(Productos!E:E,F354,Productos!A:A)))</f>
        <v/>
      </c>
      <c r="F354" s="2" t="str">
        <f t="shared" si="2"/>
        <v/>
      </c>
      <c r="G354" s="10" t="str">
        <f t="array" ref="G354">IF(OR(F354="",F354="-",F354="Selecciona..",F354="Finalizar"),"",IF(A354="Rodados",XLOOKUP(B354,'Validaciones Cotizador'!I:I,'Validaciones Cotizador'!J:J,0,0,1),1))</f>
        <v/>
      </c>
      <c r="H354" s="11" t="str">
        <f>IF(OR(F354="",F354="Selecciona.."),"",SUMIF(Precio_Productos!K:K,E354,Precio_Productos!J:J)*G354)</f>
        <v/>
      </c>
      <c r="I354" s="4" t="str">
        <f t="array" ref="I354">IF($E354="","", XLOOKUP(SUMIFS(Prod_Prop!$A:$A,Prod_Prop!$B:$B,$E354,Prod_Prop!$H:$H,I$1,Prod_Prop!$I:$I,"Exacto"),Prod_Prop!$A:$A,Prod_Prop!$J:$J,"",0,1))</f>
        <v/>
      </c>
      <c r="J354" s="4" t="str">
        <f t="array" ref="J354">IF($E354="","", XLOOKUP(SUMIFS(Prod_Prop!$A:$A,Prod_Prop!$B:$B,$E354,Prod_Prop!$H:$H,J$1,Prod_Prop!$I:$I,"Exacto"),Prod_Prop!$A:$A,Prod_Prop!$J:$J,"",0,1))</f>
        <v/>
      </c>
      <c r="K354" s="4" t="str">
        <f t="array" ref="K354">IF($E354="","", XLOOKUP(SUMIFS(Prod_Prop!$A:$A,Prod_Prop!$B:$B,$E354,Prod_Prop!$H:$H,K$1,Prod_Prop!$I:$I,"Exacto"),Prod_Prop!$A:$A,Prod_Prop!$J:$J,"",0,1))</f>
        <v/>
      </c>
      <c r="L354" s="4" t="str">
        <f t="array" ref="L354">IF($E354="","", XLOOKUP(SUMIFS(Prod_Prop!$A:$A,Prod_Prop!$B:$B,$E354,Prod_Prop!$H:$H,L$1,Prod_Prop!$I:$I,"Exacto"),Prod_Prop!$A:$A,Prod_Prop!$J:$J,"",0,1))</f>
        <v/>
      </c>
      <c r="M354" s="4" t="str">
        <f t="array" ref="M354">IF($E354="","", XLOOKUP(SUMIFS(Prod_Prop!$A:$A,Prod_Prop!$B:$B,$E354,Prod_Prop!$H:$H,M$1,Prod_Prop!$I:$I,"Exacto"),Prod_Prop!$A:$A,Prod_Prop!$J:$J,"",0,1))</f>
        <v/>
      </c>
      <c r="N354" s="4" t="str">
        <f t="array" ref="N354">IF($E354="","", XLOOKUP(SUMIFS(Prod_Prop!$A:$A,Prod_Prop!$B:$B,$E354,Prod_Prop!$H:$H,N$1,Prod_Prop!$I:$I,"Exacto"),Prod_Prop!$A:$A,Prod_Prop!$J:$J,"",0,1))</f>
        <v/>
      </c>
      <c r="O354" s="4" t="str">
        <f t="array" ref="O354">IF($E354="","", XLOOKUP(SUMIFS(Prod_Prop!$A:$A,Prod_Prop!$B:$B,$E354,Prod_Prop!$H:$H,O$1,Prod_Prop!$I:$I,"Exacto"),Prod_Prop!$A:$A,Prod_Prop!$J:$J,"",0,1))</f>
        <v/>
      </c>
      <c r="P354" s="4" t="str">
        <f t="array" ref="P354">IF($E354="","", XLOOKUP(SUMIFS(Prod_Prop!$A:$A,Prod_Prop!$B:$B,$E354,Prod_Prop!$H:$H,P$1,Prod_Prop!$I:$I,"Exacto"),Prod_Prop!$A:$A,Prod_Prop!$J:$J,"",0,1))</f>
        <v/>
      </c>
      <c r="Q354" s="4" t="str">
        <f t="array" ref="Q354">IF($E354="","", XLOOKUP(SUMIFS(Prod_Prop!$A:$A,Prod_Prop!$B:$B,$E354,Prod_Prop!$H:$H,Q$1,Prod_Prop!$I:$I,"Exacto"),Prod_Prop!$A:$A,Prod_Prop!$J:$J,"",0,1))</f>
        <v/>
      </c>
      <c r="R354" s="4" t="str">
        <f t="array" ref="R354">IF($E354="","", XLOOKUP(SUMIFS(Prod_Prop!$A:$A,Prod_Prop!$B:$B,$E354,Prod_Prop!$H:$H,R$1,Prod_Prop!$I:$I,"Exacto"),Prod_Prop!$A:$A,Prod_Prop!$J:$J,"",0,1))</f>
        <v/>
      </c>
      <c r="S354" s="4" t="str">
        <f t="array" ref="S354">IF($E354="","", XLOOKUP(SUMIFS(Prod_Prop!$A:$A,Prod_Prop!$B:$B,$E354,Prod_Prop!$H:$H,S$1,Prod_Prop!$I:$I,"Exacto"),Prod_Prop!$A:$A,Prod_Prop!$J:$J,"",0,1))</f>
        <v/>
      </c>
      <c r="T354" s="4" t="str">
        <f t="array" ref="T354">IF($E354="","", XLOOKUP(SUMIFS(Prod_Prop!$A:$A,Prod_Prop!$B:$B,$E354,Prod_Prop!$H:$H,T$1,Prod_Prop!$I:$I,"Exacto"),Prod_Prop!$A:$A,Prod_Prop!$J:$J,"",0,1))</f>
        <v/>
      </c>
      <c r="U354" s="4" t="str">
        <f t="array" ref="U354">IF($E354="","", XLOOKUP(SUMIFS(Prod_Prop!$A:$A,Prod_Prop!$B:$B,$E354,Prod_Prop!$H:$H,U$1,Prod_Prop!$I:$I,"Exacto"),Prod_Prop!$A:$A,Prod_Prop!$J:$J,"",0,1))</f>
        <v/>
      </c>
      <c r="V354" s="4" t="str">
        <f t="array" ref="V354">IF($E354="","", XLOOKUP(SUMIFS(Prod_Prop!$A:$A,Prod_Prop!$B:$B,$E354,Prod_Prop!$H:$H,V$1,Prod_Prop!$I:$I,"Exacto"),Prod_Prop!$A:$A,Prod_Prop!$J:$J,"",0,1))</f>
        <v/>
      </c>
      <c r="X354" s="3" t="str">
        <f>IFERROR(__xludf.DUMMYFUNCTION("IF(D354="""","""",IFERROR(TRANSPOSE(FILTER('Validaciones Cotizador'!U:U,'Validaciones Cotizador'!O:O=D354,'Validaciones Cotizador'!T:T=""x"")),""Finalizar""))"),"")</f>
        <v/>
      </c>
    </row>
    <row r="355">
      <c r="A355" s="2" t="str">
        <f t="array" ref="A355">IF(E355="","",XLOOKUP(D355,'Validaciones Cotizador'!C:C,'Validaciones Cotizador'!A:A,"",0,1))</f>
        <v/>
      </c>
      <c r="B355" s="2" t="str">
        <f t="array" ref="B355">IF(F355="","",XLOOKUP(F355,Productos!E:E,Productos!G:G,"",0,1))</f>
        <v/>
      </c>
      <c r="C355" s="2" t="str">
        <f>IF(A355="","",SUMIFS('Validaciones Cotizador'!B:B,'Validaciones Cotizador'!C:C,D355,'Validaciones Cotizador'!A:A,A355))</f>
        <v/>
      </c>
      <c r="D355" s="4" t="str">
        <f>IFERROR(__xludf.DUMMYFUNCTION("IF(OR(F354=""Finalizar"",F354="""",F354=""Selecciona..""),"""",IF(OR(F354=""-"",INDEX(filter(Familias!F:F,Familias!D:D=A354,Familias!E:E=C354),1)=""O""),D354+1,D354))"),"")</f>
        <v/>
      </c>
      <c r="E355" s="2" t="str">
        <f>IF(OR(F355="",F355="Selecciona.."),"",IF(D355="Implemento",SUMIF(Implementos!B:B,F355,Implementos!A:A),SUMIF(Productos!E:E,F355,Productos!A:A)))</f>
        <v/>
      </c>
      <c r="F355" s="2" t="str">
        <f t="shared" si="2"/>
        <v/>
      </c>
      <c r="G355" s="10" t="str">
        <f t="array" ref="G355">IF(OR(F355="",F355="-",F355="Selecciona..",F355="Finalizar"),"",IF(A355="Rodados",XLOOKUP(B355,'Validaciones Cotizador'!I:I,'Validaciones Cotizador'!J:J,0,0,1),1))</f>
        <v/>
      </c>
      <c r="H355" s="11" t="str">
        <f>IF(OR(F355="",F355="Selecciona.."),"",SUMIF(Precio_Productos!K:K,E355,Precio_Productos!J:J)*G355)</f>
        <v/>
      </c>
      <c r="I355" s="4" t="str">
        <f t="array" ref="I355">IF($E355="","", XLOOKUP(SUMIFS(Prod_Prop!$A:$A,Prod_Prop!$B:$B,$E355,Prod_Prop!$H:$H,I$1,Prod_Prop!$I:$I,"Exacto"),Prod_Prop!$A:$A,Prod_Prop!$J:$J,"",0,1))</f>
        <v/>
      </c>
      <c r="J355" s="4" t="str">
        <f t="array" ref="J355">IF($E355="","", XLOOKUP(SUMIFS(Prod_Prop!$A:$A,Prod_Prop!$B:$B,$E355,Prod_Prop!$H:$H,J$1,Prod_Prop!$I:$I,"Exacto"),Prod_Prop!$A:$A,Prod_Prop!$J:$J,"",0,1))</f>
        <v/>
      </c>
      <c r="K355" s="4" t="str">
        <f t="array" ref="K355">IF($E355="","", XLOOKUP(SUMIFS(Prod_Prop!$A:$A,Prod_Prop!$B:$B,$E355,Prod_Prop!$H:$H,K$1,Prod_Prop!$I:$I,"Exacto"),Prod_Prop!$A:$A,Prod_Prop!$J:$J,"",0,1))</f>
        <v/>
      </c>
      <c r="L355" s="4" t="str">
        <f t="array" ref="L355">IF($E355="","", XLOOKUP(SUMIFS(Prod_Prop!$A:$A,Prod_Prop!$B:$B,$E355,Prod_Prop!$H:$H,L$1,Prod_Prop!$I:$I,"Exacto"),Prod_Prop!$A:$A,Prod_Prop!$J:$J,"",0,1))</f>
        <v/>
      </c>
      <c r="M355" s="4" t="str">
        <f t="array" ref="M355">IF($E355="","", XLOOKUP(SUMIFS(Prod_Prop!$A:$A,Prod_Prop!$B:$B,$E355,Prod_Prop!$H:$H,M$1,Prod_Prop!$I:$I,"Exacto"),Prod_Prop!$A:$A,Prod_Prop!$J:$J,"",0,1))</f>
        <v/>
      </c>
      <c r="N355" s="4" t="str">
        <f t="array" ref="N355">IF($E355="","", XLOOKUP(SUMIFS(Prod_Prop!$A:$A,Prod_Prop!$B:$B,$E355,Prod_Prop!$H:$H,N$1,Prod_Prop!$I:$I,"Exacto"),Prod_Prop!$A:$A,Prod_Prop!$J:$J,"",0,1))</f>
        <v/>
      </c>
      <c r="O355" s="4" t="str">
        <f t="array" ref="O355">IF($E355="","", XLOOKUP(SUMIFS(Prod_Prop!$A:$A,Prod_Prop!$B:$B,$E355,Prod_Prop!$H:$H,O$1,Prod_Prop!$I:$I,"Exacto"),Prod_Prop!$A:$A,Prod_Prop!$J:$J,"",0,1))</f>
        <v/>
      </c>
      <c r="P355" s="4" t="str">
        <f t="array" ref="P355">IF($E355="","", XLOOKUP(SUMIFS(Prod_Prop!$A:$A,Prod_Prop!$B:$B,$E355,Prod_Prop!$H:$H,P$1,Prod_Prop!$I:$I,"Exacto"),Prod_Prop!$A:$A,Prod_Prop!$J:$J,"",0,1))</f>
        <v/>
      </c>
      <c r="Q355" s="4" t="str">
        <f t="array" ref="Q355">IF($E355="","", XLOOKUP(SUMIFS(Prod_Prop!$A:$A,Prod_Prop!$B:$B,$E355,Prod_Prop!$H:$H,Q$1,Prod_Prop!$I:$I,"Exacto"),Prod_Prop!$A:$A,Prod_Prop!$J:$J,"",0,1))</f>
        <v/>
      </c>
      <c r="R355" s="4" t="str">
        <f t="array" ref="R355">IF($E355="","", XLOOKUP(SUMIFS(Prod_Prop!$A:$A,Prod_Prop!$B:$B,$E355,Prod_Prop!$H:$H,R$1,Prod_Prop!$I:$I,"Exacto"),Prod_Prop!$A:$A,Prod_Prop!$J:$J,"",0,1))</f>
        <v/>
      </c>
      <c r="S355" s="4" t="str">
        <f t="array" ref="S355">IF($E355="","", XLOOKUP(SUMIFS(Prod_Prop!$A:$A,Prod_Prop!$B:$B,$E355,Prod_Prop!$H:$H,S$1,Prod_Prop!$I:$I,"Exacto"),Prod_Prop!$A:$A,Prod_Prop!$J:$J,"",0,1))</f>
        <v/>
      </c>
      <c r="T355" s="4" t="str">
        <f t="array" ref="T355">IF($E355="","", XLOOKUP(SUMIFS(Prod_Prop!$A:$A,Prod_Prop!$B:$B,$E355,Prod_Prop!$H:$H,T$1,Prod_Prop!$I:$I,"Exacto"),Prod_Prop!$A:$A,Prod_Prop!$J:$J,"",0,1))</f>
        <v/>
      </c>
      <c r="U355" s="4" t="str">
        <f t="array" ref="U355">IF($E355="","", XLOOKUP(SUMIFS(Prod_Prop!$A:$A,Prod_Prop!$B:$B,$E355,Prod_Prop!$H:$H,U$1,Prod_Prop!$I:$I,"Exacto"),Prod_Prop!$A:$A,Prod_Prop!$J:$J,"",0,1))</f>
        <v/>
      </c>
      <c r="V355" s="4" t="str">
        <f t="array" ref="V355">IF($E355="","", XLOOKUP(SUMIFS(Prod_Prop!$A:$A,Prod_Prop!$B:$B,$E355,Prod_Prop!$H:$H,V$1,Prod_Prop!$I:$I,"Exacto"),Prod_Prop!$A:$A,Prod_Prop!$J:$J,"",0,1))</f>
        <v/>
      </c>
      <c r="X355" s="3" t="str">
        <f>IFERROR(__xludf.DUMMYFUNCTION("IF(D355="""","""",IFERROR(TRANSPOSE(FILTER('Validaciones Cotizador'!U:U,'Validaciones Cotizador'!O:O=D355,'Validaciones Cotizador'!T:T=""x"")),""Finalizar""))"),"")</f>
        <v/>
      </c>
    </row>
    <row r="356">
      <c r="A356" s="2" t="str">
        <f t="array" ref="A356">IF(E356="","",XLOOKUP(D356,'Validaciones Cotizador'!C:C,'Validaciones Cotizador'!A:A,"",0,1))</f>
        <v/>
      </c>
      <c r="B356" s="2" t="str">
        <f t="array" ref="B356">IF(F356="","",XLOOKUP(F356,Productos!E:E,Productos!G:G,"",0,1))</f>
        <v/>
      </c>
      <c r="C356" s="2" t="str">
        <f>IF(A356="","",SUMIFS('Validaciones Cotizador'!B:B,'Validaciones Cotizador'!C:C,D356,'Validaciones Cotizador'!A:A,A356))</f>
        <v/>
      </c>
      <c r="D356" s="4" t="str">
        <f>IFERROR(__xludf.DUMMYFUNCTION("IF(OR(F355=""Finalizar"",F355="""",F355=""Selecciona..""),"""",IF(OR(F355=""-"",INDEX(filter(Familias!F:F,Familias!D:D=A355,Familias!E:E=C355),1)=""O""),D355+1,D355))"),"")</f>
        <v/>
      </c>
      <c r="E356" s="2" t="str">
        <f>IF(OR(F356="",F356="Selecciona.."),"",IF(D356="Implemento",SUMIF(Implementos!B:B,F356,Implementos!A:A),SUMIF(Productos!E:E,F356,Productos!A:A)))</f>
        <v/>
      </c>
      <c r="F356" s="2" t="str">
        <f t="shared" si="2"/>
        <v/>
      </c>
      <c r="G356" s="10" t="str">
        <f t="array" ref="G356">IF(OR(F356="",F356="-",F356="Selecciona..",F356="Finalizar"),"",IF(A356="Rodados",XLOOKUP(B356,'Validaciones Cotizador'!I:I,'Validaciones Cotizador'!J:J,0,0,1),1))</f>
        <v/>
      </c>
      <c r="H356" s="11" t="str">
        <f>IF(OR(F356="",F356="Selecciona.."),"",SUMIF(Precio_Productos!K:K,E356,Precio_Productos!J:J)*G356)</f>
        <v/>
      </c>
      <c r="I356" s="4" t="str">
        <f t="array" ref="I356">IF($E356="","", XLOOKUP(SUMIFS(Prod_Prop!$A:$A,Prod_Prop!$B:$B,$E356,Prod_Prop!$H:$H,I$1,Prod_Prop!$I:$I,"Exacto"),Prod_Prop!$A:$A,Prod_Prop!$J:$J,"",0,1))</f>
        <v/>
      </c>
      <c r="J356" s="4" t="str">
        <f t="array" ref="J356">IF($E356="","", XLOOKUP(SUMIFS(Prod_Prop!$A:$A,Prod_Prop!$B:$B,$E356,Prod_Prop!$H:$H,J$1,Prod_Prop!$I:$I,"Exacto"),Prod_Prop!$A:$A,Prod_Prop!$J:$J,"",0,1))</f>
        <v/>
      </c>
      <c r="K356" s="4" t="str">
        <f t="array" ref="K356">IF($E356="","", XLOOKUP(SUMIFS(Prod_Prop!$A:$A,Prod_Prop!$B:$B,$E356,Prod_Prop!$H:$H,K$1,Prod_Prop!$I:$I,"Exacto"),Prod_Prop!$A:$A,Prod_Prop!$J:$J,"",0,1))</f>
        <v/>
      </c>
      <c r="L356" s="4" t="str">
        <f t="array" ref="L356">IF($E356="","", XLOOKUP(SUMIFS(Prod_Prop!$A:$A,Prod_Prop!$B:$B,$E356,Prod_Prop!$H:$H,L$1,Prod_Prop!$I:$I,"Exacto"),Prod_Prop!$A:$A,Prod_Prop!$J:$J,"",0,1))</f>
        <v/>
      </c>
      <c r="M356" s="4" t="str">
        <f t="array" ref="M356">IF($E356="","", XLOOKUP(SUMIFS(Prod_Prop!$A:$A,Prod_Prop!$B:$B,$E356,Prod_Prop!$H:$H,M$1,Prod_Prop!$I:$I,"Exacto"),Prod_Prop!$A:$A,Prod_Prop!$J:$J,"",0,1))</f>
        <v/>
      </c>
      <c r="N356" s="4" t="str">
        <f t="array" ref="N356">IF($E356="","", XLOOKUP(SUMIFS(Prod_Prop!$A:$A,Prod_Prop!$B:$B,$E356,Prod_Prop!$H:$H,N$1,Prod_Prop!$I:$I,"Exacto"),Prod_Prop!$A:$A,Prod_Prop!$J:$J,"",0,1))</f>
        <v/>
      </c>
      <c r="O356" s="4" t="str">
        <f t="array" ref="O356">IF($E356="","", XLOOKUP(SUMIFS(Prod_Prop!$A:$A,Prod_Prop!$B:$B,$E356,Prod_Prop!$H:$H,O$1,Prod_Prop!$I:$I,"Exacto"),Prod_Prop!$A:$A,Prod_Prop!$J:$J,"",0,1))</f>
        <v/>
      </c>
      <c r="P356" s="4" t="str">
        <f t="array" ref="P356">IF($E356="","", XLOOKUP(SUMIFS(Prod_Prop!$A:$A,Prod_Prop!$B:$B,$E356,Prod_Prop!$H:$H,P$1,Prod_Prop!$I:$I,"Exacto"),Prod_Prop!$A:$A,Prod_Prop!$J:$J,"",0,1))</f>
        <v/>
      </c>
      <c r="Q356" s="4" t="str">
        <f t="array" ref="Q356">IF($E356="","", XLOOKUP(SUMIFS(Prod_Prop!$A:$A,Prod_Prop!$B:$B,$E356,Prod_Prop!$H:$H,Q$1,Prod_Prop!$I:$I,"Exacto"),Prod_Prop!$A:$A,Prod_Prop!$J:$J,"",0,1))</f>
        <v/>
      </c>
      <c r="R356" s="4" t="str">
        <f t="array" ref="R356">IF($E356="","", XLOOKUP(SUMIFS(Prod_Prop!$A:$A,Prod_Prop!$B:$B,$E356,Prod_Prop!$H:$H,R$1,Prod_Prop!$I:$I,"Exacto"),Prod_Prop!$A:$A,Prod_Prop!$J:$J,"",0,1))</f>
        <v/>
      </c>
      <c r="S356" s="4" t="str">
        <f t="array" ref="S356">IF($E356="","", XLOOKUP(SUMIFS(Prod_Prop!$A:$A,Prod_Prop!$B:$B,$E356,Prod_Prop!$H:$H,S$1,Prod_Prop!$I:$I,"Exacto"),Prod_Prop!$A:$A,Prod_Prop!$J:$J,"",0,1))</f>
        <v/>
      </c>
      <c r="T356" s="4" t="str">
        <f t="array" ref="T356">IF($E356="","", XLOOKUP(SUMIFS(Prod_Prop!$A:$A,Prod_Prop!$B:$B,$E356,Prod_Prop!$H:$H,T$1,Prod_Prop!$I:$I,"Exacto"),Prod_Prop!$A:$A,Prod_Prop!$J:$J,"",0,1))</f>
        <v/>
      </c>
      <c r="U356" s="4" t="str">
        <f t="array" ref="U356">IF($E356="","", XLOOKUP(SUMIFS(Prod_Prop!$A:$A,Prod_Prop!$B:$B,$E356,Prod_Prop!$H:$H,U$1,Prod_Prop!$I:$I,"Exacto"),Prod_Prop!$A:$A,Prod_Prop!$J:$J,"",0,1))</f>
        <v/>
      </c>
      <c r="V356" s="4" t="str">
        <f t="array" ref="V356">IF($E356="","", XLOOKUP(SUMIFS(Prod_Prop!$A:$A,Prod_Prop!$B:$B,$E356,Prod_Prop!$H:$H,V$1,Prod_Prop!$I:$I,"Exacto"),Prod_Prop!$A:$A,Prod_Prop!$J:$J,"",0,1))</f>
        <v/>
      </c>
      <c r="X356" s="3" t="str">
        <f>IFERROR(__xludf.DUMMYFUNCTION("IF(D356="""","""",IFERROR(TRANSPOSE(FILTER('Validaciones Cotizador'!U:U,'Validaciones Cotizador'!O:O=D356,'Validaciones Cotizador'!T:T=""x"")),""Finalizar""))"),"")</f>
        <v/>
      </c>
    </row>
    <row r="357">
      <c r="A357" s="2" t="str">
        <f t="array" ref="A357">IF(E357="","",XLOOKUP(D357,'Validaciones Cotizador'!C:C,'Validaciones Cotizador'!A:A,"",0,1))</f>
        <v/>
      </c>
      <c r="B357" s="2" t="str">
        <f t="array" ref="B357">IF(F357="","",XLOOKUP(F357,Productos!E:E,Productos!G:G,"",0,1))</f>
        <v/>
      </c>
      <c r="C357" s="2" t="str">
        <f>IF(A357="","",SUMIFS('Validaciones Cotizador'!B:B,'Validaciones Cotizador'!C:C,D357,'Validaciones Cotizador'!A:A,A357))</f>
        <v/>
      </c>
      <c r="D357" s="4" t="str">
        <f>IFERROR(__xludf.DUMMYFUNCTION("IF(OR(F356=""Finalizar"",F356="""",F356=""Selecciona..""),"""",IF(OR(F356=""-"",INDEX(filter(Familias!F:F,Familias!D:D=A356,Familias!E:E=C356),1)=""O""),D356+1,D356))"),"")</f>
        <v/>
      </c>
      <c r="E357" s="2" t="str">
        <f>IF(OR(F357="",F357="Selecciona.."),"",IF(D357="Implemento",SUMIF(Implementos!B:B,F357,Implementos!A:A),SUMIF(Productos!E:E,F357,Productos!A:A)))</f>
        <v/>
      </c>
      <c r="F357" s="2" t="str">
        <f t="shared" si="2"/>
        <v/>
      </c>
      <c r="G357" s="10" t="str">
        <f t="array" ref="G357">IF(OR(F357="",F357="-",F357="Selecciona..",F357="Finalizar"),"",IF(A357="Rodados",XLOOKUP(B357,'Validaciones Cotizador'!I:I,'Validaciones Cotizador'!J:J,0,0,1),1))</f>
        <v/>
      </c>
      <c r="H357" s="11" t="str">
        <f>IF(OR(F357="",F357="Selecciona.."),"",SUMIF(Precio_Productos!K:K,E357,Precio_Productos!J:J)*G357)</f>
        <v/>
      </c>
      <c r="I357" s="4" t="str">
        <f t="array" ref="I357">IF($E357="","", XLOOKUP(SUMIFS(Prod_Prop!$A:$A,Prod_Prop!$B:$B,$E357,Prod_Prop!$H:$H,I$1,Prod_Prop!$I:$I,"Exacto"),Prod_Prop!$A:$A,Prod_Prop!$J:$J,"",0,1))</f>
        <v/>
      </c>
      <c r="J357" s="4" t="str">
        <f t="array" ref="J357">IF($E357="","", XLOOKUP(SUMIFS(Prod_Prop!$A:$A,Prod_Prop!$B:$B,$E357,Prod_Prop!$H:$H,J$1,Prod_Prop!$I:$I,"Exacto"),Prod_Prop!$A:$A,Prod_Prop!$J:$J,"",0,1))</f>
        <v/>
      </c>
      <c r="K357" s="4" t="str">
        <f t="array" ref="K357">IF($E357="","", XLOOKUP(SUMIFS(Prod_Prop!$A:$A,Prod_Prop!$B:$B,$E357,Prod_Prop!$H:$H,K$1,Prod_Prop!$I:$I,"Exacto"),Prod_Prop!$A:$A,Prod_Prop!$J:$J,"",0,1))</f>
        <v/>
      </c>
      <c r="L357" s="4" t="str">
        <f t="array" ref="L357">IF($E357="","", XLOOKUP(SUMIFS(Prod_Prop!$A:$A,Prod_Prop!$B:$B,$E357,Prod_Prop!$H:$H,L$1,Prod_Prop!$I:$I,"Exacto"),Prod_Prop!$A:$A,Prod_Prop!$J:$J,"",0,1))</f>
        <v/>
      </c>
      <c r="M357" s="4" t="str">
        <f t="array" ref="M357">IF($E357="","", XLOOKUP(SUMIFS(Prod_Prop!$A:$A,Prod_Prop!$B:$B,$E357,Prod_Prop!$H:$H,M$1,Prod_Prop!$I:$I,"Exacto"),Prod_Prop!$A:$A,Prod_Prop!$J:$J,"",0,1))</f>
        <v/>
      </c>
      <c r="N357" s="4" t="str">
        <f t="array" ref="N357">IF($E357="","", XLOOKUP(SUMIFS(Prod_Prop!$A:$A,Prod_Prop!$B:$B,$E357,Prod_Prop!$H:$H,N$1,Prod_Prop!$I:$I,"Exacto"),Prod_Prop!$A:$A,Prod_Prop!$J:$J,"",0,1))</f>
        <v/>
      </c>
      <c r="O357" s="4" t="str">
        <f t="array" ref="O357">IF($E357="","", XLOOKUP(SUMIFS(Prod_Prop!$A:$A,Prod_Prop!$B:$B,$E357,Prod_Prop!$H:$H,O$1,Prod_Prop!$I:$I,"Exacto"),Prod_Prop!$A:$A,Prod_Prop!$J:$J,"",0,1))</f>
        <v/>
      </c>
      <c r="P357" s="4" t="str">
        <f t="array" ref="P357">IF($E357="","", XLOOKUP(SUMIFS(Prod_Prop!$A:$A,Prod_Prop!$B:$B,$E357,Prod_Prop!$H:$H,P$1,Prod_Prop!$I:$I,"Exacto"),Prod_Prop!$A:$A,Prod_Prop!$J:$J,"",0,1))</f>
        <v/>
      </c>
      <c r="Q357" s="4" t="str">
        <f t="array" ref="Q357">IF($E357="","", XLOOKUP(SUMIFS(Prod_Prop!$A:$A,Prod_Prop!$B:$B,$E357,Prod_Prop!$H:$H,Q$1,Prod_Prop!$I:$I,"Exacto"),Prod_Prop!$A:$A,Prod_Prop!$J:$J,"",0,1))</f>
        <v/>
      </c>
      <c r="R357" s="4" t="str">
        <f t="array" ref="R357">IF($E357="","", XLOOKUP(SUMIFS(Prod_Prop!$A:$A,Prod_Prop!$B:$B,$E357,Prod_Prop!$H:$H,R$1,Prod_Prop!$I:$I,"Exacto"),Prod_Prop!$A:$A,Prod_Prop!$J:$J,"",0,1))</f>
        <v/>
      </c>
      <c r="S357" s="4" t="str">
        <f t="array" ref="S357">IF($E357="","", XLOOKUP(SUMIFS(Prod_Prop!$A:$A,Prod_Prop!$B:$B,$E357,Prod_Prop!$H:$H,S$1,Prod_Prop!$I:$I,"Exacto"),Prod_Prop!$A:$A,Prod_Prop!$J:$J,"",0,1))</f>
        <v/>
      </c>
      <c r="T357" s="4" t="str">
        <f t="array" ref="T357">IF($E357="","", XLOOKUP(SUMIFS(Prod_Prop!$A:$A,Prod_Prop!$B:$B,$E357,Prod_Prop!$H:$H,T$1,Prod_Prop!$I:$I,"Exacto"),Prod_Prop!$A:$A,Prod_Prop!$J:$J,"",0,1))</f>
        <v/>
      </c>
      <c r="U357" s="4" t="str">
        <f t="array" ref="U357">IF($E357="","", XLOOKUP(SUMIFS(Prod_Prop!$A:$A,Prod_Prop!$B:$B,$E357,Prod_Prop!$H:$H,U$1,Prod_Prop!$I:$I,"Exacto"),Prod_Prop!$A:$A,Prod_Prop!$J:$J,"",0,1))</f>
        <v/>
      </c>
      <c r="V357" s="4" t="str">
        <f t="array" ref="V357">IF($E357="","", XLOOKUP(SUMIFS(Prod_Prop!$A:$A,Prod_Prop!$B:$B,$E357,Prod_Prop!$H:$H,V$1,Prod_Prop!$I:$I,"Exacto"),Prod_Prop!$A:$A,Prod_Prop!$J:$J,"",0,1))</f>
        <v/>
      </c>
      <c r="X357" s="3" t="str">
        <f>IFERROR(__xludf.DUMMYFUNCTION("IF(D357="""","""",IFERROR(TRANSPOSE(FILTER('Validaciones Cotizador'!U:U,'Validaciones Cotizador'!O:O=D357,'Validaciones Cotizador'!T:T=""x"")),""Finalizar""))"),"")</f>
        <v/>
      </c>
    </row>
    <row r="358">
      <c r="A358" s="2" t="str">
        <f t="array" ref="A358">IF(E358="","",XLOOKUP(D358,'Validaciones Cotizador'!C:C,'Validaciones Cotizador'!A:A,"",0,1))</f>
        <v/>
      </c>
      <c r="B358" s="2" t="str">
        <f t="array" ref="B358">IF(F358="","",XLOOKUP(F358,Productos!E:E,Productos!G:G,"",0,1))</f>
        <v/>
      </c>
      <c r="C358" s="2" t="str">
        <f>IF(A358="","",SUMIFS('Validaciones Cotizador'!B:B,'Validaciones Cotizador'!C:C,D358,'Validaciones Cotizador'!A:A,A358))</f>
        <v/>
      </c>
      <c r="D358" s="4" t="str">
        <f>IFERROR(__xludf.DUMMYFUNCTION("IF(OR(F357=""Finalizar"",F357="""",F357=""Selecciona..""),"""",IF(OR(F357=""-"",INDEX(filter(Familias!F:F,Familias!D:D=A357,Familias!E:E=C357),1)=""O""),D357+1,D357))"),"")</f>
        <v/>
      </c>
      <c r="E358" s="2" t="str">
        <f>IF(OR(F358="",F358="Selecciona.."),"",IF(D358="Implemento",SUMIF(Implementos!B:B,F358,Implementos!A:A),SUMIF(Productos!E:E,F358,Productos!A:A)))</f>
        <v/>
      </c>
      <c r="F358" s="2" t="str">
        <f t="shared" si="2"/>
        <v/>
      </c>
      <c r="G358" s="10" t="str">
        <f t="array" ref="G358">IF(OR(F358="",F358="-",F358="Selecciona..",F358="Finalizar"),"",IF(A358="Rodados",XLOOKUP(B358,'Validaciones Cotizador'!I:I,'Validaciones Cotizador'!J:J,0,0,1),1))</f>
        <v/>
      </c>
      <c r="H358" s="11" t="str">
        <f>IF(OR(F358="",F358="Selecciona.."),"",SUMIF(Precio_Productos!K:K,E358,Precio_Productos!J:J)*G358)</f>
        <v/>
      </c>
      <c r="I358" s="4" t="str">
        <f t="array" ref="I358">IF($E358="","", XLOOKUP(SUMIFS(Prod_Prop!$A:$A,Prod_Prop!$B:$B,$E358,Prod_Prop!$H:$H,I$1,Prod_Prop!$I:$I,"Exacto"),Prod_Prop!$A:$A,Prod_Prop!$J:$J,"",0,1))</f>
        <v/>
      </c>
      <c r="J358" s="4" t="str">
        <f t="array" ref="J358">IF($E358="","", XLOOKUP(SUMIFS(Prod_Prop!$A:$A,Prod_Prop!$B:$B,$E358,Prod_Prop!$H:$H,J$1,Prod_Prop!$I:$I,"Exacto"),Prod_Prop!$A:$A,Prod_Prop!$J:$J,"",0,1))</f>
        <v/>
      </c>
      <c r="K358" s="4" t="str">
        <f t="array" ref="K358">IF($E358="","", XLOOKUP(SUMIFS(Prod_Prop!$A:$A,Prod_Prop!$B:$B,$E358,Prod_Prop!$H:$H,K$1,Prod_Prop!$I:$I,"Exacto"),Prod_Prop!$A:$A,Prod_Prop!$J:$J,"",0,1))</f>
        <v/>
      </c>
      <c r="L358" s="4" t="str">
        <f t="array" ref="L358">IF($E358="","", XLOOKUP(SUMIFS(Prod_Prop!$A:$A,Prod_Prop!$B:$B,$E358,Prod_Prop!$H:$H,L$1,Prod_Prop!$I:$I,"Exacto"),Prod_Prop!$A:$A,Prod_Prop!$J:$J,"",0,1))</f>
        <v/>
      </c>
      <c r="M358" s="4" t="str">
        <f t="array" ref="M358">IF($E358="","", XLOOKUP(SUMIFS(Prod_Prop!$A:$A,Prod_Prop!$B:$B,$E358,Prod_Prop!$H:$H,M$1,Prod_Prop!$I:$I,"Exacto"),Prod_Prop!$A:$A,Prod_Prop!$J:$J,"",0,1))</f>
        <v/>
      </c>
      <c r="N358" s="4" t="str">
        <f t="array" ref="N358">IF($E358="","", XLOOKUP(SUMIFS(Prod_Prop!$A:$A,Prod_Prop!$B:$B,$E358,Prod_Prop!$H:$H,N$1,Prod_Prop!$I:$I,"Exacto"),Prod_Prop!$A:$A,Prod_Prop!$J:$J,"",0,1))</f>
        <v/>
      </c>
      <c r="O358" s="4" t="str">
        <f t="array" ref="O358">IF($E358="","", XLOOKUP(SUMIFS(Prod_Prop!$A:$A,Prod_Prop!$B:$B,$E358,Prod_Prop!$H:$H,O$1,Prod_Prop!$I:$I,"Exacto"),Prod_Prop!$A:$A,Prod_Prop!$J:$J,"",0,1))</f>
        <v/>
      </c>
      <c r="P358" s="4" t="str">
        <f t="array" ref="P358">IF($E358="","", XLOOKUP(SUMIFS(Prod_Prop!$A:$A,Prod_Prop!$B:$B,$E358,Prod_Prop!$H:$H,P$1,Prod_Prop!$I:$I,"Exacto"),Prod_Prop!$A:$A,Prod_Prop!$J:$J,"",0,1))</f>
        <v/>
      </c>
      <c r="Q358" s="4" t="str">
        <f t="array" ref="Q358">IF($E358="","", XLOOKUP(SUMIFS(Prod_Prop!$A:$A,Prod_Prop!$B:$B,$E358,Prod_Prop!$H:$H,Q$1,Prod_Prop!$I:$I,"Exacto"),Prod_Prop!$A:$A,Prod_Prop!$J:$J,"",0,1))</f>
        <v/>
      </c>
      <c r="R358" s="4" t="str">
        <f t="array" ref="R358">IF($E358="","", XLOOKUP(SUMIFS(Prod_Prop!$A:$A,Prod_Prop!$B:$B,$E358,Prod_Prop!$H:$H,R$1,Prod_Prop!$I:$I,"Exacto"),Prod_Prop!$A:$A,Prod_Prop!$J:$J,"",0,1))</f>
        <v/>
      </c>
      <c r="S358" s="4" t="str">
        <f t="array" ref="S358">IF($E358="","", XLOOKUP(SUMIFS(Prod_Prop!$A:$A,Prod_Prop!$B:$B,$E358,Prod_Prop!$H:$H,S$1,Prod_Prop!$I:$I,"Exacto"),Prod_Prop!$A:$A,Prod_Prop!$J:$J,"",0,1))</f>
        <v/>
      </c>
      <c r="T358" s="4" t="str">
        <f t="array" ref="T358">IF($E358="","", XLOOKUP(SUMIFS(Prod_Prop!$A:$A,Prod_Prop!$B:$B,$E358,Prod_Prop!$H:$H,T$1,Prod_Prop!$I:$I,"Exacto"),Prod_Prop!$A:$A,Prod_Prop!$J:$J,"",0,1))</f>
        <v/>
      </c>
      <c r="U358" s="4" t="str">
        <f t="array" ref="U358">IF($E358="","", XLOOKUP(SUMIFS(Prod_Prop!$A:$A,Prod_Prop!$B:$B,$E358,Prod_Prop!$H:$H,U$1,Prod_Prop!$I:$I,"Exacto"),Prod_Prop!$A:$A,Prod_Prop!$J:$J,"",0,1))</f>
        <v/>
      </c>
      <c r="V358" s="4" t="str">
        <f t="array" ref="V358">IF($E358="","", XLOOKUP(SUMIFS(Prod_Prop!$A:$A,Prod_Prop!$B:$B,$E358,Prod_Prop!$H:$H,V$1,Prod_Prop!$I:$I,"Exacto"),Prod_Prop!$A:$A,Prod_Prop!$J:$J,"",0,1))</f>
        <v/>
      </c>
      <c r="X358" s="3" t="str">
        <f>IFERROR(__xludf.DUMMYFUNCTION("IF(D358="""","""",IFERROR(TRANSPOSE(FILTER('Validaciones Cotizador'!U:U,'Validaciones Cotizador'!O:O=D358,'Validaciones Cotizador'!T:T=""x"")),""Finalizar""))"),"")</f>
        <v/>
      </c>
    </row>
    <row r="359">
      <c r="A359" s="2" t="str">
        <f t="array" ref="A359">IF(E359="","",XLOOKUP(D359,'Validaciones Cotizador'!C:C,'Validaciones Cotizador'!A:A,"",0,1))</f>
        <v/>
      </c>
      <c r="B359" s="2" t="str">
        <f t="array" ref="B359">IF(F359="","",XLOOKUP(F359,Productos!E:E,Productos!G:G,"",0,1))</f>
        <v/>
      </c>
      <c r="C359" s="2" t="str">
        <f>IF(A359="","",SUMIFS('Validaciones Cotizador'!B:B,'Validaciones Cotizador'!C:C,D359,'Validaciones Cotizador'!A:A,A359))</f>
        <v/>
      </c>
      <c r="D359" s="4" t="str">
        <f>IFERROR(__xludf.DUMMYFUNCTION("IF(OR(F358=""Finalizar"",F358="""",F358=""Selecciona..""),"""",IF(OR(F358=""-"",INDEX(filter(Familias!F:F,Familias!D:D=A358,Familias!E:E=C358),1)=""O""),D358+1,D358))"),"")</f>
        <v/>
      </c>
      <c r="E359" s="2" t="str">
        <f>IF(OR(F359="",F359="Selecciona.."),"",IF(D359="Implemento",SUMIF(Implementos!B:B,F359,Implementos!A:A),SUMIF(Productos!E:E,F359,Productos!A:A)))</f>
        <v/>
      </c>
      <c r="F359" s="2" t="str">
        <f t="shared" si="2"/>
        <v/>
      </c>
      <c r="G359" s="10" t="str">
        <f t="array" ref="G359">IF(OR(F359="",F359="-",F359="Selecciona..",F359="Finalizar"),"",IF(A359="Rodados",XLOOKUP(B359,'Validaciones Cotizador'!I:I,'Validaciones Cotizador'!J:J,0,0,1),1))</f>
        <v/>
      </c>
      <c r="H359" s="11" t="str">
        <f>IF(OR(F359="",F359="Selecciona.."),"",SUMIF(Precio_Productos!K:K,E359,Precio_Productos!J:J)*G359)</f>
        <v/>
      </c>
      <c r="I359" s="4" t="str">
        <f t="array" ref="I359">IF($E359="","", XLOOKUP(SUMIFS(Prod_Prop!$A:$A,Prod_Prop!$B:$B,$E359,Prod_Prop!$H:$H,I$1,Prod_Prop!$I:$I,"Exacto"),Prod_Prop!$A:$A,Prod_Prop!$J:$J,"",0,1))</f>
        <v/>
      </c>
      <c r="J359" s="4" t="str">
        <f t="array" ref="J359">IF($E359="","", XLOOKUP(SUMIFS(Prod_Prop!$A:$A,Prod_Prop!$B:$B,$E359,Prod_Prop!$H:$H,J$1,Prod_Prop!$I:$I,"Exacto"),Prod_Prop!$A:$A,Prod_Prop!$J:$J,"",0,1))</f>
        <v/>
      </c>
      <c r="K359" s="4" t="str">
        <f t="array" ref="K359">IF($E359="","", XLOOKUP(SUMIFS(Prod_Prop!$A:$A,Prod_Prop!$B:$B,$E359,Prod_Prop!$H:$H,K$1,Prod_Prop!$I:$I,"Exacto"),Prod_Prop!$A:$A,Prod_Prop!$J:$J,"",0,1))</f>
        <v/>
      </c>
      <c r="L359" s="4" t="str">
        <f t="array" ref="L359">IF($E359="","", XLOOKUP(SUMIFS(Prod_Prop!$A:$A,Prod_Prop!$B:$B,$E359,Prod_Prop!$H:$H,L$1,Prod_Prop!$I:$I,"Exacto"),Prod_Prop!$A:$A,Prod_Prop!$J:$J,"",0,1))</f>
        <v/>
      </c>
      <c r="M359" s="4" t="str">
        <f t="array" ref="M359">IF($E359="","", XLOOKUP(SUMIFS(Prod_Prop!$A:$A,Prod_Prop!$B:$B,$E359,Prod_Prop!$H:$H,M$1,Prod_Prop!$I:$I,"Exacto"),Prod_Prop!$A:$A,Prod_Prop!$J:$J,"",0,1))</f>
        <v/>
      </c>
      <c r="N359" s="4" t="str">
        <f t="array" ref="N359">IF($E359="","", XLOOKUP(SUMIFS(Prod_Prop!$A:$A,Prod_Prop!$B:$B,$E359,Prod_Prop!$H:$H,N$1,Prod_Prop!$I:$I,"Exacto"),Prod_Prop!$A:$A,Prod_Prop!$J:$J,"",0,1))</f>
        <v/>
      </c>
      <c r="O359" s="4" t="str">
        <f t="array" ref="O359">IF($E359="","", XLOOKUP(SUMIFS(Prod_Prop!$A:$A,Prod_Prop!$B:$B,$E359,Prod_Prop!$H:$H,O$1,Prod_Prop!$I:$I,"Exacto"),Prod_Prop!$A:$A,Prod_Prop!$J:$J,"",0,1))</f>
        <v/>
      </c>
      <c r="P359" s="4" t="str">
        <f t="array" ref="P359">IF($E359="","", XLOOKUP(SUMIFS(Prod_Prop!$A:$A,Prod_Prop!$B:$B,$E359,Prod_Prop!$H:$H,P$1,Prod_Prop!$I:$I,"Exacto"),Prod_Prop!$A:$A,Prod_Prop!$J:$J,"",0,1))</f>
        <v/>
      </c>
      <c r="Q359" s="4" t="str">
        <f t="array" ref="Q359">IF($E359="","", XLOOKUP(SUMIFS(Prod_Prop!$A:$A,Prod_Prop!$B:$B,$E359,Prod_Prop!$H:$H,Q$1,Prod_Prop!$I:$I,"Exacto"),Prod_Prop!$A:$A,Prod_Prop!$J:$J,"",0,1))</f>
        <v/>
      </c>
      <c r="R359" s="4" t="str">
        <f t="array" ref="R359">IF($E359="","", XLOOKUP(SUMIFS(Prod_Prop!$A:$A,Prod_Prop!$B:$B,$E359,Prod_Prop!$H:$H,R$1,Prod_Prop!$I:$I,"Exacto"),Prod_Prop!$A:$A,Prod_Prop!$J:$J,"",0,1))</f>
        <v/>
      </c>
      <c r="S359" s="4" t="str">
        <f t="array" ref="S359">IF($E359="","", XLOOKUP(SUMIFS(Prod_Prop!$A:$A,Prod_Prop!$B:$B,$E359,Prod_Prop!$H:$H,S$1,Prod_Prop!$I:$I,"Exacto"),Prod_Prop!$A:$A,Prod_Prop!$J:$J,"",0,1))</f>
        <v/>
      </c>
      <c r="T359" s="4" t="str">
        <f t="array" ref="T359">IF($E359="","", XLOOKUP(SUMIFS(Prod_Prop!$A:$A,Prod_Prop!$B:$B,$E359,Prod_Prop!$H:$H,T$1,Prod_Prop!$I:$I,"Exacto"),Prod_Prop!$A:$A,Prod_Prop!$J:$J,"",0,1))</f>
        <v/>
      </c>
      <c r="U359" s="4" t="str">
        <f t="array" ref="U359">IF($E359="","", XLOOKUP(SUMIFS(Prod_Prop!$A:$A,Prod_Prop!$B:$B,$E359,Prod_Prop!$H:$H,U$1,Prod_Prop!$I:$I,"Exacto"),Prod_Prop!$A:$A,Prod_Prop!$J:$J,"",0,1))</f>
        <v/>
      </c>
      <c r="V359" s="4" t="str">
        <f t="array" ref="V359">IF($E359="","", XLOOKUP(SUMIFS(Prod_Prop!$A:$A,Prod_Prop!$B:$B,$E359,Prod_Prop!$H:$H,V$1,Prod_Prop!$I:$I,"Exacto"),Prod_Prop!$A:$A,Prod_Prop!$J:$J,"",0,1))</f>
        <v/>
      </c>
      <c r="X359" s="3" t="str">
        <f>IFERROR(__xludf.DUMMYFUNCTION("IF(D359="""","""",IFERROR(TRANSPOSE(FILTER('Validaciones Cotizador'!U:U,'Validaciones Cotizador'!O:O=D359,'Validaciones Cotizador'!T:T=""x"")),""Finalizar""))"),"")</f>
        <v/>
      </c>
    </row>
    <row r="360">
      <c r="A360" s="2" t="str">
        <f t="array" ref="A360">IF(E360="","",XLOOKUP(D360,'Validaciones Cotizador'!C:C,'Validaciones Cotizador'!A:A,"",0,1))</f>
        <v/>
      </c>
      <c r="B360" s="2" t="str">
        <f t="array" ref="B360">IF(F360="","",XLOOKUP(F360,Productos!E:E,Productos!G:G,"",0,1))</f>
        <v/>
      </c>
      <c r="C360" s="2" t="str">
        <f>IF(A360="","",SUMIFS('Validaciones Cotizador'!B:B,'Validaciones Cotizador'!C:C,D360,'Validaciones Cotizador'!A:A,A360))</f>
        <v/>
      </c>
      <c r="D360" s="4" t="str">
        <f>IFERROR(__xludf.DUMMYFUNCTION("IF(OR(F359=""Finalizar"",F359="""",F359=""Selecciona..""),"""",IF(OR(F359=""-"",INDEX(filter(Familias!F:F,Familias!D:D=A359,Familias!E:E=C359),1)=""O""),D359+1,D359))"),"")</f>
        <v/>
      </c>
      <c r="E360" s="2" t="str">
        <f>IF(OR(F360="",F360="Selecciona.."),"",IF(D360="Implemento",SUMIF(Implementos!B:B,F360,Implementos!A:A),SUMIF(Productos!E:E,F360,Productos!A:A)))</f>
        <v/>
      </c>
      <c r="F360" s="2" t="str">
        <f t="shared" si="2"/>
        <v/>
      </c>
      <c r="G360" s="10" t="str">
        <f t="array" ref="G360">IF(OR(F360="",F360="-",F360="Selecciona..",F360="Finalizar"),"",IF(A360="Rodados",XLOOKUP(B360,'Validaciones Cotizador'!I:I,'Validaciones Cotizador'!J:J,0,0,1),1))</f>
        <v/>
      </c>
      <c r="H360" s="11" t="str">
        <f>IF(OR(F360="",F360="Selecciona.."),"",SUMIF(Precio_Productos!K:K,E360,Precio_Productos!J:J)*G360)</f>
        <v/>
      </c>
      <c r="I360" s="4" t="str">
        <f t="array" ref="I360">IF($E360="","", XLOOKUP(SUMIFS(Prod_Prop!$A:$A,Prod_Prop!$B:$B,$E360,Prod_Prop!$H:$H,I$1,Prod_Prop!$I:$I,"Exacto"),Prod_Prop!$A:$A,Prod_Prop!$J:$J,"",0,1))</f>
        <v/>
      </c>
      <c r="J360" s="4" t="str">
        <f t="array" ref="J360">IF($E360="","", XLOOKUP(SUMIFS(Prod_Prop!$A:$A,Prod_Prop!$B:$B,$E360,Prod_Prop!$H:$H,J$1,Prod_Prop!$I:$I,"Exacto"),Prod_Prop!$A:$A,Prod_Prop!$J:$J,"",0,1))</f>
        <v/>
      </c>
      <c r="K360" s="4" t="str">
        <f t="array" ref="K360">IF($E360="","", XLOOKUP(SUMIFS(Prod_Prop!$A:$A,Prod_Prop!$B:$B,$E360,Prod_Prop!$H:$H,K$1,Prod_Prop!$I:$I,"Exacto"),Prod_Prop!$A:$A,Prod_Prop!$J:$J,"",0,1))</f>
        <v/>
      </c>
      <c r="L360" s="4" t="str">
        <f t="array" ref="L360">IF($E360="","", XLOOKUP(SUMIFS(Prod_Prop!$A:$A,Prod_Prop!$B:$B,$E360,Prod_Prop!$H:$H,L$1,Prod_Prop!$I:$I,"Exacto"),Prod_Prop!$A:$A,Prod_Prop!$J:$J,"",0,1))</f>
        <v/>
      </c>
      <c r="M360" s="4" t="str">
        <f t="array" ref="M360">IF($E360="","", XLOOKUP(SUMIFS(Prod_Prop!$A:$A,Prod_Prop!$B:$B,$E360,Prod_Prop!$H:$H,M$1,Prod_Prop!$I:$I,"Exacto"),Prod_Prop!$A:$A,Prod_Prop!$J:$J,"",0,1))</f>
        <v/>
      </c>
      <c r="N360" s="4" t="str">
        <f t="array" ref="N360">IF($E360="","", XLOOKUP(SUMIFS(Prod_Prop!$A:$A,Prod_Prop!$B:$B,$E360,Prod_Prop!$H:$H,N$1,Prod_Prop!$I:$I,"Exacto"),Prod_Prop!$A:$A,Prod_Prop!$J:$J,"",0,1))</f>
        <v/>
      </c>
      <c r="O360" s="4" t="str">
        <f t="array" ref="O360">IF($E360="","", XLOOKUP(SUMIFS(Prod_Prop!$A:$A,Prod_Prop!$B:$B,$E360,Prod_Prop!$H:$H,O$1,Prod_Prop!$I:$I,"Exacto"),Prod_Prop!$A:$A,Prod_Prop!$J:$J,"",0,1))</f>
        <v/>
      </c>
      <c r="P360" s="4" t="str">
        <f t="array" ref="P360">IF($E360="","", XLOOKUP(SUMIFS(Prod_Prop!$A:$A,Prod_Prop!$B:$B,$E360,Prod_Prop!$H:$H,P$1,Prod_Prop!$I:$I,"Exacto"),Prod_Prop!$A:$A,Prod_Prop!$J:$J,"",0,1))</f>
        <v/>
      </c>
      <c r="Q360" s="4" t="str">
        <f t="array" ref="Q360">IF($E360="","", XLOOKUP(SUMIFS(Prod_Prop!$A:$A,Prod_Prop!$B:$B,$E360,Prod_Prop!$H:$H,Q$1,Prod_Prop!$I:$I,"Exacto"),Prod_Prop!$A:$A,Prod_Prop!$J:$J,"",0,1))</f>
        <v/>
      </c>
      <c r="R360" s="4" t="str">
        <f t="array" ref="R360">IF($E360="","", XLOOKUP(SUMIFS(Prod_Prop!$A:$A,Prod_Prop!$B:$B,$E360,Prod_Prop!$H:$H,R$1,Prod_Prop!$I:$I,"Exacto"),Prod_Prop!$A:$A,Prod_Prop!$J:$J,"",0,1))</f>
        <v/>
      </c>
      <c r="S360" s="4" t="str">
        <f t="array" ref="S360">IF($E360="","", XLOOKUP(SUMIFS(Prod_Prop!$A:$A,Prod_Prop!$B:$B,$E360,Prod_Prop!$H:$H,S$1,Prod_Prop!$I:$I,"Exacto"),Prod_Prop!$A:$A,Prod_Prop!$J:$J,"",0,1))</f>
        <v/>
      </c>
      <c r="T360" s="4" t="str">
        <f t="array" ref="T360">IF($E360="","", XLOOKUP(SUMIFS(Prod_Prop!$A:$A,Prod_Prop!$B:$B,$E360,Prod_Prop!$H:$H,T$1,Prod_Prop!$I:$I,"Exacto"),Prod_Prop!$A:$A,Prod_Prop!$J:$J,"",0,1))</f>
        <v/>
      </c>
      <c r="U360" s="4" t="str">
        <f t="array" ref="U360">IF($E360="","", XLOOKUP(SUMIFS(Prod_Prop!$A:$A,Prod_Prop!$B:$B,$E360,Prod_Prop!$H:$H,U$1,Prod_Prop!$I:$I,"Exacto"),Prod_Prop!$A:$A,Prod_Prop!$J:$J,"",0,1))</f>
        <v/>
      </c>
      <c r="V360" s="4" t="str">
        <f t="array" ref="V360">IF($E360="","", XLOOKUP(SUMIFS(Prod_Prop!$A:$A,Prod_Prop!$B:$B,$E360,Prod_Prop!$H:$H,V$1,Prod_Prop!$I:$I,"Exacto"),Prod_Prop!$A:$A,Prod_Prop!$J:$J,"",0,1))</f>
        <v/>
      </c>
      <c r="X360" s="3" t="str">
        <f>IFERROR(__xludf.DUMMYFUNCTION("IF(D360="""","""",IFERROR(TRANSPOSE(FILTER('Validaciones Cotizador'!U:U,'Validaciones Cotizador'!O:O=D360,'Validaciones Cotizador'!T:T=""x"")),""Finalizar""))"),"")</f>
        <v/>
      </c>
    </row>
    <row r="361">
      <c r="A361" s="2" t="str">
        <f t="array" ref="A361">IF(E361="","",XLOOKUP(D361,'Validaciones Cotizador'!C:C,'Validaciones Cotizador'!A:A,"",0,1))</f>
        <v/>
      </c>
      <c r="B361" s="2" t="str">
        <f t="array" ref="B361">IF(F361="","",XLOOKUP(F361,Productos!E:E,Productos!G:G,"",0,1))</f>
        <v/>
      </c>
      <c r="C361" s="2" t="str">
        <f>IF(A361="","",SUMIFS('Validaciones Cotizador'!B:B,'Validaciones Cotizador'!C:C,D361,'Validaciones Cotizador'!A:A,A361))</f>
        <v/>
      </c>
      <c r="D361" s="4" t="str">
        <f>IFERROR(__xludf.DUMMYFUNCTION("IF(OR(F360=""Finalizar"",F360="""",F360=""Selecciona..""),"""",IF(OR(F360=""-"",INDEX(filter(Familias!F:F,Familias!D:D=A360,Familias!E:E=C360),1)=""O""),D360+1,D360))"),"")</f>
        <v/>
      </c>
      <c r="E361" s="2" t="str">
        <f>IF(OR(F361="",F361="Selecciona.."),"",IF(D361="Implemento",SUMIF(Implementos!B:B,F361,Implementos!A:A),SUMIF(Productos!E:E,F361,Productos!A:A)))</f>
        <v/>
      </c>
      <c r="F361" s="2" t="str">
        <f t="shared" si="2"/>
        <v/>
      </c>
      <c r="G361" s="10" t="str">
        <f t="array" ref="G361">IF(OR(F361="",F361="-",F361="Selecciona..",F361="Finalizar"),"",IF(A361="Rodados",XLOOKUP(B361,'Validaciones Cotizador'!I:I,'Validaciones Cotizador'!J:J,0,0,1),1))</f>
        <v/>
      </c>
      <c r="H361" s="11" t="str">
        <f>IF(OR(F361="",F361="Selecciona.."),"",SUMIF(Precio_Productos!K:K,E361,Precio_Productos!J:J)*G361)</f>
        <v/>
      </c>
      <c r="I361" s="4" t="str">
        <f t="array" ref="I361">IF($E361="","", XLOOKUP(SUMIFS(Prod_Prop!$A:$A,Prod_Prop!$B:$B,$E361,Prod_Prop!$H:$H,I$1,Prod_Prop!$I:$I,"Exacto"),Prod_Prop!$A:$A,Prod_Prop!$J:$J,"",0,1))</f>
        <v/>
      </c>
      <c r="J361" s="4" t="str">
        <f t="array" ref="J361">IF($E361="","", XLOOKUP(SUMIFS(Prod_Prop!$A:$A,Prod_Prop!$B:$B,$E361,Prod_Prop!$H:$H,J$1,Prod_Prop!$I:$I,"Exacto"),Prod_Prop!$A:$A,Prod_Prop!$J:$J,"",0,1))</f>
        <v/>
      </c>
      <c r="K361" s="4" t="str">
        <f t="array" ref="K361">IF($E361="","", XLOOKUP(SUMIFS(Prod_Prop!$A:$A,Prod_Prop!$B:$B,$E361,Prod_Prop!$H:$H,K$1,Prod_Prop!$I:$I,"Exacto"),Prod_Prop!$A:$A,Prod_Prop!$J:$J,"",0,1))</f>
        <v/>
      </c>
      <c r="L361" s="4" t="str">
        <f t="array" ref="L361">IF($E361="","", XLOOKUP(SUMIFS(Prod_Prop!$A:$A,Prod_Prop!$B:$B,$E361,Prod_Prop!$H:$H,L$1,Prod_Prop!$I:$I,"Exacto"),Prod_Prop!$A:$A,Prod_Prop!$J:$J,"",0,1))</f>
        <v/>
      </c>
      <c r="M361" s="4" t="str">
        <f t="array" ref="M361">IF($E361="","", XLOOKUP(SUMIFS(Prod_Prop!$A:$A,Prod_Prop!$B:$B,$E361,Prod_Prop!$H:$H,M$1,Prod_Prop!$I:$I,"Exacto"),Prod_Prop!$A:$A,Prod_Prop!$J:$J,"",0,1))</f>
        <v/>
      </c>
      <c r="N361" s="4" t="str">
        <f t="array" ref="N361">IF($E361="","", XLOOKUP(SUMIFS(Prod_Prop!$A:$A,Prod_Prop!$B:$B,$E361,Prod_Prop!$H:$H,N$1,Prod_Prop!$I:$I,"Exacto"),Prod_Prop!$A:$A,Prod_Prop!$J:$J,"",0,1))</f>
        <v/>
      </c>
      <c r="O361" s="4" t="str">
        <f t="array" ref="O361">IF($E361="","", XLOOKUP(SUMIFS(Prod_Prop!$A:$A,Prod_Prop!$B:$B,$E361,Prod_Prop!$H:$H,O$1,Prod_Prop!$I:$I,"Exacto"),Prod_Prop!$A:$A,Prod_Prop!$J:$J,"",0,1))</f>
        <v/>
      </c>
      <c r="P361" s="4" t="str">
        <f t="array" ref="P361">IF($E361="","", XLOOKUP(SUMIFS(Prod_Prop!$A:$A,Prod_Prop!$B:$B,$E361,Prod_Prop!$H:$H,P$1,Prod_Prop!$I:$I,"Exacto"),Prod_Prop!$A:$A,Prod_Prop!$J:$J,"",0,1))</f>
        <v/>
      </c>
      <c r="Q361" s="4" t="str">
        <f t="array" ref="Q361">IF($E361="","", XLOOKUP(SUMIFS(Prod_Prop!$A:$A,Prod_Prop!$B:$B,$E361,Prod_Prop!$H:$H,Q$1,Prod_Prop!$I:$I,"Exacto"),Prod_Prop!$A:$A,Prod_Prop!$J:$J,"",0,1))</f>
        <v/>
      </c>
      <c r="R361" s="4" t="str">
        <f t="array" ref="R361">IF($E361="","", XLOOKUP(SUMIFS(Prod_Prop!$A:$A,Prod_Prop!$B:$B,$E361,Prod_Prop!$H:$H,R$1,Prod_Prop!$I:$I,"Exacto"),Prod_Prop!$A:$A,Prod_Prop!$J:$J,"",0,1))</f>
        <v/>
      </c>
      <c r="S361" s="4" t="str">
        <f t="array" ref="S361">IF($E361="","", XLOOKUP(SUMIFS(Prod_Prop!$A:$A,Prod_Prop!$B:$B,$E361,Prod_Prop!$H:$H,S$1,Prod_Prop!$I:$I,"Exacto"),Prod_Prop!$A:$A,Prod_Prop!$J:$J,"",0,1))</f>
        <v/>
      </c>
      <c r="T361" s="4" t="str">
        <f t="array" ref="T361">IF($E361="","", XLOOKUP(SUMIFS(Prod_Prop!$A:$A,Prod_Prop!$B:$B,$E361,Prod_Prop!$H:$H,T$1,Prod_Prop!$I:$I,"Exacto"),Prod_Prop!$A:$A,Prod_Prop!$J:$J,"",0,1))</f>
        <v/>
      </c>
      <c r="U361" s="4" t="str">
        <f t="array" ref="U361">IF($E361="","", XLOOKUP(SUMIFS(Prod_Prop!$A:$A,Prod_Prop!$B:$B,$E361,Prod_Prop!$H:$H,U$1,Prod_Prop!$I:$I,"Exacto"),Prod_Prop!$A:$A,Prod_Prop!$J:$J,"",0,1))</f>
        <v/>
      </c>
      <c r="V361" s="4" t="str">
        <f t="array" ref="V361">IF($E361="","", XLOOKUP(SUMIFS(Prod_Prop!$A:$A,Prod_Prop!$B:$B,$E361,Prod_Prop!$H:$H,V$1,Prod_Prop!$I:$I,"Exacto"),Prod_Prop!$A:$A,Prod_Prop!$J:$J,"",0,1))</f>
        <v/>
      </c>
      <c r="X361" s="3" t="str">
        <f>IFERROR(__xludf.DUMMYFUNCTION("IF(D361="""","""",IFERROR(TRANSPOSE(FILTER('Validaciones Cotizador'!U:U,'Validaciones Cotizador'!O:O=D361,'Validaciones Cotizador'!T:T=""x"")),""Finalizar""))"),"")</f>
        <v/>
      </c>
    </row>
    <row r="362">
      <c r="A362" s="2" t="str">
        <f t="array" ref="A362">IF(E362="","",XLOOKUP(D362,'Validaciones Cotizador'!C:C,'Validaciones Cotizador'!A:A,"",0,1))</f>
        <v/>
      </c>
      <c r="B362" s="2" t="str">
        <f t="array" ref="B362">IF(F362="","",XLOOKUP(F362,Productos!E:E,Productos!G:G,"",0,1))</f>
        <v/>
      </c>
      <c r="C362" s="2" t="str">
        <f>IF(A362="","",SUMIFS('Validaciones Cotizador'!B:B,'Validaciones Cotizador'!C:C,D362,'Validaciones Cotizador'!A:A,A362))</f>
        <v/>
      </c>
      <c r="D362" s="4" t="str">
        <f>IFERROR(__xludf.DUMMYFUNCTION("IF(OR(F361=""Finalizar"",F361="""",F361=""Selecciona..""),"""",IF(OR(F361=""-"",INDEX(filter(Familias!F:F,Familias!D:D=A361,Familias!E:E=C361),1)=""O""),D361+1,D361))"),"")</f>
        <v/>
      </c>
      <c r="E362" s="2" t="str">
        <f>IF(OR(F362="",F362="Selecciona.."),"",IF(D362="Implemento",SUMIF(Implementos!B:B,F362,Implementos!A:A),SUMIF(Productos!E:E,F362,Productos!A:A)))</f>
        <v/>
      </c>
      <c r="F362" s="2" t="str">
        <f t="shared" si="2"/>
        <v/>
      </c>
      <c r="G362" s="10" t="str">
        <f t="array" ref="G362">IF(OR(F362="",F362="-",F362="Selecciona..",F362="Finalizar"),"",IF(A362="Rodados",XLOOKUP(B362,'Validaciones Cotizador'!I:I,'Validaciones Cotizador'!J:J,0,0,1),1))</f>
        <v/>
      </c>
      <c r="H362" s="11" t="str">
        <f>IF(OR(F362="",F362="Selecciona.."),"",SUMIF(Precio_Productos!K:K,E362,Precio_Productos!J:J)*G362)</f>
        <v/>
      </c>
      <c r="I362" s="4" t="str">
        <f t="array" ref="I362">IF($E362="","", XLOOKUP(SUMIFS(Prod_Prop!$A:$A,Prod_Prop!$B:$B,$E362,Prod_Prop!$H:$H,I$1,Prod_Prop!$I:$I,"Exacto"),Prod_Prop!$A:$A,Prod_Prop!$J:$J,"",0,1))</f>
        <v/>
      </c>
      <c r="J362" s="4" t="str">
        <f t="array" ref="J362">IF($E362="","", XLOOKUP(SUMIFS(Prod_Prop!$A:$A,Prod_Prop!$B:$B,$E362,Prod_Prop!$H:$H,J$1,Prod_Prop!$I:$I,"Exacto"),Prod_Prop!$A:$A,Prod_Prop!$J:$J,"",0,1))</f>
        <v/>
      </c>
      <c r="K362" s="4" t="str">
        <f t="array" ref="K362">IF($E362="","", XLOOKUP(SUMIFS(Prod_Prop!$A:$A,Prod_Prop!$B:$B,$E362,Prod_Prop!$H:$H,K$1,Prod_Prop!$I:$I,"Exacto"),Prod_Prop!$A:$A,Prod_Prop!$J:$J,"",0,1))</f>
        <v/>
      </c>
      <c r="L362" s="4" t="str">
        <f t="array" ref="L362">IF($E362="","", XLOOKUP(SUMIFS(Prod_Prop!$A:$A,Prod_Prop!$B:$B,$E362,Prod_Prop!$H:$H,L$1,Prod_Prop!$I:$I,"Exacto"),Prod_Prop!$A:$A,Prod_Prop!$J:$J,"",0,1))</f>
        <v/>
      </c>
      <c r="M362" s="4" t="str">
        <f t="array" ref="M362">IF($E362="","", XLOOKUP(SUMIFS(Prod_Prop!$A:$A,Prod_Prop!$B:$B,$E362,Prod_Prop!$H:$H,M$1,Prod_Prop!$I:$I,"Exacto"),Prod_Prop!$A:$A,Prod_Prop!$J:$J,"",0,1))</f>
        <v/>
      </c>
      <c r="N362" s="4" t="str">
        <f t="array" ref="N362">IF($E362="","", XLOOKUP(SUMIFS(Prod_Prop!$A:$A,Prod_Prop!$B:$B,$E362,Prod_Prop!$H:$H,N$1,Prod_Prop!$I:$I,"Exacto"),Prod_Prop!$A:$A,Prod_Prop!$J:$J,"",0,1))</f>
        <v/>
      </c>
      <c r="O362" s="4" t="str">
        <f t="array" ref="O362">IF($E362="","", XLOOKUP(SUMIFS(Prod_Prop!$A:$A,Prod_Prop!$B:$B,$E362,Prod_Prop!$H:$H,O$1,Prod_Prop!$I:$I,"Exacto"),Prod_Prop!$A:$A,Prod_Prop!$J:$J,"",0,1))</f>
        <v/>
      </c>
      <c r="P362" s="4" t="str">
        <f t="array" ref="P362">IF($E362="","", XLOOKUP(SUMIFS(Prod_Prop!$A:$A,Prod_Prop!$B:$B,$E362,Prod_Prop!$H:$H,P$1,Prod_Prop!$I:$I,"Exacto"),Prod_Prop!$A:$A,Prod_Prop!$J:$J,"",0,1))</f>
        <v/>
      </c>
      <c r="Q362" s="4" t="str">
        <f t="array" ref="Q362">IF($E362="","", XLOOKUP(SUMIFS(Prod_Prop!$A:$A,Prod_Prop!$B:$B,$E362,Prod_Prop!$H:$H,Q$1,Prod_Prop!$I:$I,"Exacto"),Prod_Prop!$A:$A,Prod_Prop!$J:$J,"",0,1))</f>
        <v/>
      </c>
      <c r="R362" s="4" t="str">
        <f t="array" ref="R362">IF($E362="","", XLOOKUP(SUMIFS(Prod_Prop!$A:$A,Prod_Prop!$B:$B,$E362,Prod_Prop!$H:$H,R$1,Prod_Prop!$I:$I,"Exacto"),Prod_Prop!$A:$A,Prod_Prop!$J:$J,"",0,1))</f>
        <v/>
      </c>
      <c r="S362" s="4" t="str">
        <f t="array" ref="S362">IF($E362="","", XLOOKUP(SUMIFS(Prod_Prop!$A:$A,Prod_Prop!$B:$B,$E362,Prod_Prop!$H:$H,S$1,Prod_Prop!$I:$I,"Exacto"),Prod_Prop!$A:$A,Prod_Prop!$J:$J,"",0,1))</f>
        <v/>
      </c>
      <c r="T362" s="4" t="str">
        <f t="array" ref="T362">IF($E362="","", XLOOKUP(SUMIFS(Prod_Prop!$A:$A,Prod_Prop!$B:$B,$E362,Prod_Prop!$H:$H,T$1,Prod_Prop!$I:$I,"Exacto"),Prod_Prop!$A:$A,Prod_Prop!$J:$J,"",0,1))</f>
        <v/>
      </c>
      <c r="U362" s="4" t="str">
        <f t="array" ref="U362">IF($E362="","", XLOOKUP(SUMIFS(Prod_Prop!$A:$A,Prod_Prop!$B:$B,$E362,Prod_Prop!$H:$H,U$1,Prod_Prop!$I:$I,"Exacto"),Prod_Prop!$A:$A,Prod_Prop!$J:$J,"",0,1))</f>
        <v/>
      </c>
      <c r="V362" s="4" t="str">
        <f t="array" ref="V362">IF($E362="","", XLOOKUP(SUMIFS(Prod_Prop!$A:$A,Prod_Prop!$B:$B,$E362,Prod_Prop!$H:$H,V$1,Prod_Prop!$I:$I,"Exacto"),Prod_Prop!$A:$A,Prod_Prop!$J:$J,"",0,1))</f>
        <v/>
      </c>
      <c r="X362" s="3" t="str">
        <f>IFERROR(__xludf.DUMMYFUNCTION("IF(D362="""","""",IFERROR(TRANSPOSE(FILTER('Validaciones Cotizador'!U:U,'Validaciones Cotizador'!O:O=D362,'Validaciones Cotizador'!T:T=""x"")),""Finalizar""))"),"")</f>
        <v/>
      </c>
    </row>
    <row r="363">
      <c r="A363" s="2" t="str">
        <f t="array" ref="A363">IF(E363="","",XLOOKUP(D363,'Validaciones Cotizador'!C:C,'Validaciones Cotizador'!A:A,"",0,1))</f>
        <v/>
      </c>
      <c r="B363" s="2" t="str">
        <f t="array" ref="B363">IF(F363="","",XLOOKUP(F363,Productos!E:E,Productos!G:G,"",0,1))</f>
        <v/>
      </c>
      <c r="C363" s="2" t="str">
        <f>IF(A363="","",SUMIFS('Validaciones Cotizador'!B:B,'Validaciones Cotizador'!C:C,D363,'Validaciones Cotizador'!A:A,A363))</f>
        <v/>
      </c>
      <c r="D363" s="4" t="str">
        <f>IFERROR(__xludf.DUMMYFUNCTION("IF(OR(F362=""Finalizar"",F362="""",F362=""Selecciona..""),"""",IF(OR(F362=""-"",INDEX(filter(Familias!F:F,Familias!D:D=A362,Familias!E:E=C362),1)=""O""),D362+1,D362))"),"")</f>
        <v/>
      </c>
      <c r="E363" s="2" t="str">
        <f>IF(OR(F363="",F363="Selecciona.."),"",IF(D363="Implemento",SUMIF(Implementos!B:B,F363,Implementos!A:A),SUMIF(Productos!E:E,F363,Productos!A:A)))</f>
        <v/>
      </c>
      <c r="F363" s="2" t="str">
        <f t="shared" si="2"/>
        <v/>
      </c>
      <c r="G363" s="10" t="str">
        <f t="array" ref="G363">IF(OR(F363="",F363="-",F363="Selecciona..",F363="Finalizar"),"",IF(A363="Rodados",XLOOKUP(B363,'Validaciones Cotizador'!I:I,'Validaciones Cotizador'!J:J,0,0,1),1))</f>
        <v/>
      </c>
      <c r="H363" s="11" t="str">
        <f>IF(OR(F363="",F363="Selecciona.."),"",SUMIF(Precio_Productos!K:K,E363,Precio_Productos!J:J)*G363)</f>
        <v/>
      </c>
      <c r="I363" s="4" t="str">
        <f t="array" ref="I363">IF($E363="","", XLOOKUP(SUMIFS(Prod_Prop!$A:$A,Prod_Prop!$B:$B,$E363,Prod_Prop!$H:$H,I$1,Prod_Prop!$I:$I,"Exacto"),Prod_Prop!$A:$A,Prod_Prop!$J:$J,"",0,1))</f>
        <v/>
      </c>
      <c r="J363" s="4" t="str">
        <f t="array" ref="J363">IF($E363="","", XLOOKUP(SUMIFS(Prod_Prop!$A:$A,Prod_Prop!$B:$B,$E363,Prod_Prop!$H:$H,J$1,Prod_Prop!$I:$I,"Exacto"),Prod_Prop!$A:$A,Prod_Prop!$J:$J,"",0,1))</f>
        <v/>
      </c>
      <c r="K363" s="4" t="str">
        <f t="array" ref="K363">IF($E363="","", XLOOKUP(SUMIFS(Prod_Prop!$A:$A,Prod_Prop!$B:$B,$E363,Prod_Prop!$H:$H,K$1,Prod_Prop!$I:$I,"Exacto"),Prod_Prop!$A:$A,Prod_Prop!$J:$J,"",0,1))</f>
        <v/>
      </c>
      <c r="L363" s="4" t="str">
        <f t="array" ref="L363">IF($E363="","", XLOOKUP(SUMIFS(Prod_Prop!$A:$A,Prod_Prop!$B:$B,$E363,Prod_Prop!$H:$H,L$1,Prod_Prop!$I:$I,"Exacto"),Prod_Prop!$A:$A,Prod_Prop!$J:$J,"",0,1))</f>
        <v/>
      </c>
      <c r="M363" s="4" t="str">
        <f t="array" ref="M363">IF($E363="","", XLOOKUP(SUMIFS(Prod_Prop!$A:$A,Prod_Prop!$B:$B,$E363,Prod_Prop!$H:$H,M$1,Prod_Prop!$I:$I,"Exacto"),Prod_Prop!$A:$A,Prod_Prop!$J:$J,"",0,1))</f>
        <v/>
      </c>
      <c r="N363" s="4" t="str">
        <f t="array" ref="N363">IF($E363="","", XLOOKUP(SUMIFS(Prod_Prop!$A:$A,Prod_Prop!$B:$B,$E363,Prod_Prop!$H:$H,N$1,Prod_Prop!$I:$I,"Exacto"),Prod_Prop!$A:$A,Prod_Prop!$J:$J,"",0,1))</f>
        <v/>
      </c>
      <c r="O363" s="4" t="str">
        <f t="array" ref="O363">IF($E363="","", XLOOKUP(SUMIFS(Prod_Prop!$A:$A,Prod_Prop!$B:$B,$E363,Prod_Prop!$H:$H,O$1,Prod_Prop!$I:$I,"Exacto"),Prod_Prop!$A:$A,Prod_Prop!$J:$J,"",0,1))</f>
        <v/>
      </c>
      <c r="P363" s="4" t="str">
        <f t="array" ref="P363">IF($E363="","", XLOOKUP(SUMIFS(Prod_Prop!$A:$A,Prod_Prop!$B:$B,$E363,Prod_Prop!$H:$H,P$1,Prod_Prop!$I:$I,"Exacto"),Prod_Prop!$A:$A,Prod_Prop!$J:$J,"",0,1))</f>
        <v/>
      </c>
      <c r="Q363" s="4" t="str">
        <f t="array" ref="Q363">IF($E363="","", XLOOKUP(SUMIFS(Prod_Prop!$A:$A,Prod_Prop!$B:$B,$E363,Prod_Prop!$H:$H,Q$1,Prod_Prop!$I:$I,"Exacto"),Prod_Prop!$A:$A,Prod_Prop!$J:$J,"",0,1))</f>
        <v/>
      </c>
      <c r="R363" s="4" t="str">
        <f t="array" ref="R363">IF($E363="","", XLOOKUP(SUMIFS(Prod_Prop!$A:$A,Prod_Prop!$B:$B,$E363,Prod_Prop!$H:$H,R$1,Prod_Prop!$I:$I,"Exacto"),Prod_Prop!$A:$A,Prod_Prop!$J:$J,"",0,1))</f>
        <v/>
      </c>
      <c r="S363" s="4" t="str">
        <f t="array" ref="S363">IF($E363="","", XLOOKUP(SUMIFS(Prod_Prop!$A:$A,Prod_Prop!$B:$B,$E363,Prod_Prop!$H:$H,S$1,Prod_Prop!$I:$I,"Exacto"),Prod_Prop!$A:$A,Prod_Prop!$J:$J,"",0,1))</f>
        <v/>
      </c>
      <c r="T363" s="4" t="str">
        <f t="array" ref="T363">IF($E363="","", XLOOKUP(SUMIFS(Prod_Prop!$A:$A,Prod_Prop!$B:$B,$E363,Prod_Prop!$H:$H,T$1,Prod_Prop!$I:$I,"Exacto"),Prod_Prop!$A:$A,Prod_Prop!$J:$J,"",0,1))</f>
        <v/>
      </c>
      <c r="U363" s="4" t="str">
        <f t="array" ref="U363">IF($E363="","", XLOOKUP(SUMIFS(Prod_Prop!$A:$A,Prod_Prop!$B:$B,$E363,Prod_Prop!$H:$H,U$1,Prod_Prop!$I:$I,"Exacto"),Prod_Prop!$A:$A,Prod_Prop!$J:$J,"",0,1))</f>
        <v/>
      </c>
      <c r="V363" s="4" t="str">
        <f t="array" ref="V363">IF($E363="","", XLOOKUP(SUMIFS(Prod_Prop!$A:$A,Prod_Prop!$B:$B,$E363,Prod_Prop!$H:$H,V$1,Prod_Prop!$I:$I,"Exacto"),Prod_Prop!$A:$A,Prod_Prop!$J:$J,"",0,1))</f>
        <v/>
      </c>
      <c r="X363" s="3" t="str">
        <f>IFERROR(__xludf.DUMMYFUNCTION("IF(D363="""","""",IFERROR(TRANSPOSE(FILTER('Validaciones Cotizador'!U:U,'Validaciones Cotizador'!O:O=D363,'Validaciones Cotizador'!T:T=""x"")),""Finalizar""))"),"")</f>
        <v/>
      </c>
    </row>
    <row r="364">
      <c r="A364" s="2" t="str">
        <f t="array" ref="A364">IF(E364="","",XLOOKUP(D364,'Validaciones Cotizador'!C:C,'Validaciones Cotizador'!A:A,"",0,1))</f>
        <v/>
      </c>
      <c r="B364" s="2" t="str">
        <f t="array" ref="B364">IF(F364="","",XLOOKUP(F364,Productos!E:E,Productos!G:G,"",0,1))</f>
        <v/>
      </c>
      <c r="C364" s="2" t="str">
        <f>IF(A364="","",SUMIFS('Validaciones Cotizador'!B:B,'Validaciones Cotizador'!C:C,D364,'Validaciones Cotizador'!A:A,A364))</f>
        <v/>
      </c>
      <c r="D364" s="4" t="str">
        <f>IFERROR(__xludf.DUMMYFUNCTION("IF(OR(F363=""Finalizar"",F363="""",F363=""Selecciona..""),"""",IF(OR(F363=""-"",INDEX(filter(Familias!F:F,Familias!D:D=A363,Familias!E:E=C363),1)=""O""),D363+1,D363))"),"")</f>
        <v/>
      </c>
      <c r="E364" s="2" t="str">
        <f>IF(OR(F364="",F364="Selecciona.."),"",IF(D364="Implemento",SUMIF(Implementos!B:B,F364,Implementos!A:A),SUMIF(Productos!E:E,F364,Productos!A:A)))</f>
        <v/>
      </c>
      <c r="F364" s="2" t="str">
        <f t="shared" si="2"/>
        <v/>
      </c>
      <c r="G364" s="10" t="str">
        <f t="array" ref="G364">IF(OR(F364="",F364="-",F364="Selecciona..",F364="Finalizar"),"",IF(A364="Rodados",XLOOKUP(B364,'Validaciones Cotizador'!I:I,'Validaciones Cotizador'!J:J,0,0,1),1))</f>
        <v/>
      </c>
      <c r="H364" s="11" t="str">
        <f>IF(OR(F364="",F364="Selecciona.."),"",SUMIF(Precio_Productos!K:K,E364,Precio_Productos!J:J)*G364)</f>
        <v/>
      </c>
      <c r="I364" s="4" t="str">
        <f t="array" ref="I364">IF($E364="","", XLOOKUP(SUMIFS(Prod_Prop!$A:$A,Prod_Prop!$B:$B,$E364,Prod_Prop!$H:$H,I$1,Prod_Prop!$I:$I,"Exacto"),Prod_Prop!$A:$A,Prod_Prop!$J:$J,"",0,1))</f>
        <v/>
      </c>
      <c r="J364" s="4" t="str">
        <f t="array" ref="J364">IF($E364="","", XLOOKUP(SUMIFS(Prod_Prop!$A:$A,Prod_Prop!$B:$B,$E364,Prod_Prop!$H:$H,J$1,Prod_Prop!$I:$I,"Exacto"),Prod_Prop!$A:$A,Prod_Prop!$J:$J,"",0,1))</f>
        <v/>
      </c>
      <c r="K364" s="4" t="str">
        <f t="array" ref="K364">IF($E364="","", XLOOKUP(SUMIFS(Prod_Prop!$A:$A,Prod_Prop!$B:$B,$E364,Prod_Prop!$H:$H,K$1,Prod_Prop!$I:$I,"Exacto"),Prod_Prop!$A:$A,Prod_Prop!$J:$J,"",0,1))</f>
        <v/>
      </c>
      <c r="L364" s="4" t="str">
        <f t="array" ref="L364">IF($E364="","", XLOOKUP(SUMIFS(Prod_Prop!$A:$A,Prod_Prop!$B:$B,$E364,Prod_Prop!$H:$H,L$1,Prod_Prop!$I:$I,"Exacto"),Prod_Prop!$A:$A,Prod_Prop!$J:$J,"",0,1))</f>
        <v/>
      </c>
      <c r="M364" s="4" t="str">
        <f t="array" ref="M364">IF($E364="","", XLOOKUP(SUMIFS(Prod_Prop!$A:$A,Prod_Prop!$B:$B,$E364,Prod_Prop!$H:$H,M$1,Prod_Prop!$I:$I,"Exacto"),Prod_Prop!$A:$A,Prod_Prop!$J:$J,"",0,1))</f>
        <v/>
      </c>
      <c r="N364" s="4" t="str">
        <f t="array" ref="N364">IF($E364="","", XLOOKUP(SUMIFS(Prod_Prop!$A:$A,Prod_Prop!$B:$B,$E364,Prod_Prop!$H:$H,N$1,Prod_Prop!$I:$I,"Exacto"),Prod_Prop!$A:$A,Prod_Prop!$J:$J,"",0,1))</f>
        <v/>
      </c>
      <c r="O364" s="4" t="str">
        <f t="array" ref="O364">IF($E364="","", XLOOKUP(SUMIFS(Prod_Prop!$A:$A,Prod_Prop!$B:$B,$E364,Prod_Prop!$H:$H,O$1,Prod_Prop!$I:$I,"Exacto"),Prod_Prop!$A:$A,Prod_Prop!$J:$J,"",0,1))</f>
        <v/>
      </c>
      <c r="P364" s="4" t="str">
        <f t="array" ref="P364">IF($E364="","", XLOOKUP(SUMIFS(Prod_Prop!$A:$A,Prod_Prop!$B:$B,$E364,Prod_Prop!$H:$H,P$1,Prod_Prop!$I:$I,"Exacto"),Prod_Prop!$A:$A,Prod_Prop!$J:$J,"",0,1))</f>
        <v/>
      </c>
      <c r="Q364" s="4" t="str">
        <f t="array" ref="Q364">IF($E364="","", XLOOKUP(SUMIFS(Prod_Prop!$A:$A,Prod_Prop!$B:$B,$E364,Prod_Prop!$H:$H,Q$1,Prod_Prop!$I:$I,"Exacto"),Prod_Prop!$A:$A,Prod_Prop!$J:$J,"",0,1))</f>
        <v/>
      </c>
      <c r="R364" s="4" t="str">
        <f t="array" ref="R364">IF($E364="","", XLOOKUP(SUMIFS(Prod_Prop!$A:$A,Prod_Prop!$B:$B,$E364,Prod_Prop!$H:$H,R$1,Prod_Prop!$I:$I,"Exacto"),Prod_Prop!$A:$A,Prod_Prop!$J:$J,"",0,1))</f>
        <v/>
      </c>
      <c r="S364" s="4" t="str">
        <f t="array" ref="S364">IF($E364="","", XLOOKUP(SUMIFS(Prod_Prop!$A:$A,Prod_Prop!$B:$B,$E364,Prod_Prop!$H:$H,S$1,Prod_Prop!$I:$I,"Exacto"),Prod_Prop!$A:$A,Prod_Prop!$J:$J,"",0,1))</f>
        <v/>
      </c>
      <c r="T364" s="4" t="str">
        <f t="array" ref="T364">IF($E364="","", XLOOKUP(SUMIFS(Prod_Prop!$A:$A,Prod_Prop!$B:$B,$E364,Prod_Prop!$H:$H,T$1,Prod_Prop!$I:$I,"Exacto"),Prod_Prop!$A:$A,Prod_Prop!$J:$J,"",0,1))</f>
        <v/>
      </c>
      <c r="U364" s="4" t="str">
        <f t="array" ref="U364">IF($E364="","", XLOOKUP(SUMIFS(Prod_Prop!$A:$A,Prod_Prop!$B:$B,$E364,Prod_Prop!$H:$H,U$1,Prod_Prop!$I:$I,"Exacto"),Prod_Prop!$A:$A,Prod_Prop!$J:$J,"",0,1))</f>
        <v/>
      </c>
      <c r="V364" s="4" t="str">
        <f t="array" ref="V364">IF($E364="","", XLOOKUP(SUMIFS(Prod_Prop!$A:$A,Prod_Prop!$B:$B,$E364,Prod_Prop!$H:$H,V$1,Prod_Prop!$I:$I,"Exacto"),Prod_Prop!$A:$A,Prod_Prop!$J:$J,"",0,1))</f>
        <v/>
      </c>
      <c r="X364" s="3" t="str">
        <f>IFERROR(__xludf.DUMMYFUNCTION("IF(D364="""","""",IFERROR(TRANSPOSE(FILTER('Validaciones Cotizador'!U:U,'Validaciones Cotizador'!O:O=D364,'Validaciones Cotizador'!T:T=""x"")),""Finalizar""))"),"")</f>
        <v/>
      </c>
    </row>
    <row r="365">
      <c r="A365" s="2" t="str">
        <f t="array" ref="A365">IF(E365="","",XLOOKUP(D365,'Validaciones Cotizador'!C:C,'Validaciones Cotizador'!A:A,"",0,1))</f>
        <v/>
      </c>
      <c r="B365" s="2" t="str">
        <f t="array" ref="B365">IF(F365="","",XLOOKUP(F365,Productos!E:E,Productos!G:G,"",0,1))</f>
        <v/>
      </c>
      <c r="C365" s="2" t="str">
        <f>IF(A365="","",SUMIFS('Validaciones Cotizador'!B:B,'Validaciones Cotizador'!C:C,D365,'Validaciones Cotizador'!A:A,A365))</f>
        <v/>
      </c>
      <c r="D365" s="4" t="str">
        <f>IFERROR(__xludf.DUMMYFUNCTION("IF(OR(F364=""Finalizar"",F364="""",F364=""Selecciona..""),"""",IF(OR(F364=""-"",INDEX(filter(Familias!F:F,Familias!D:D=A364,Familias!E:E=C364),1)=""O""),D364+1,D364))"),"")</f>
        <v/>
      </c>
      <c r="E365" s="2" t="str">
        <f>IF(OR(F365="",F365="Selecciona.."),"",IF(D365="Implemento",SUMIF(Implementos!B:B,F365,Implementos!A:A),SUMIF(Productos!E:E,F365,Productos!A:A)))</f>
        <v/>
      </c>
      <c r="F365" s="2" t="str">
        <f t="shared" si="2"/>
        <v/>
      </c>
      <c r="G365" s="10" t="str">
        <f t="array" ref="G365">IF(OR(F365="",F365="-",F365="Selecciona..",F365="Finalizar"),"",IF(A365="Rodados",XLOOKUP(B365,'Validaciones Cotizador'!I:I,'Validaciones Cotizador'!J:J,0,0,1),1))</f>
        <v/>
      </c>
      <c r="H365" s="11" t="str">
        <f>IF(OR(F365="",F365="Selecciona.."),"",SUMIF(Precio_Productos!K:K,E365,Precio_Productos!J:J)*G365)</f>
        <v/>
      </c>
      <c r="I365" s="4" t="str">
        <f t="array" ref="I365">IF($E365="","", XLOOKUP(SUMIFS(Prod_Prop!$A:$A,Prod_Prop!$B:$B,$E365,Prod_Prop!$H:$H,I$1,Prod_Prop!$I:$I,"Exacto"),Prod_Prop!$A:$A,Prod_Prop!$J:$J,"",0,1))</f>
        <v/>
      </c>
      <c r="J365" s="4" t="str">
        <f t="array" ref="J365">IF($E365="","", XLOOKUP(SUMIFS(Prod_Prop!$A:$A,Prod_Prop!$B:$B,$E365,Prod_Prop!$H:$H,J$1,Prod_Prop!$I:$I,"Exacto"),Prod_Prop!$A:$A,Prod_Prop!$J:$J,"",0,1))</f>
        <v/>
      </c>
      <c r="K365" s="4" t="str">
        <f t="array" ref="K365">IF($E365="","", XLOOKUP(SUMIFS(Prod_Prop!$A:$A,Prod_Prop!$B:$B,$E365,Prod_Prop!$H:$H,K$1,Prod_Prop!$I:$I,"Exacto"),Prod_Prop!$A:$A,Prod_Prop!$J:$J,"",0,1))</f>
        <v/>
      </c>
      <c r="L365" s="4" t="str">
        <f t="array" ref="L365">IF($E365="","", XLOOKUP(SUMIFS(Prod_Prop!$A:$A,Prod_Prop!$B:$B,$E365,Prod_Prop!$H:$H,L$1,Prod_Prop!$I:$I,"Exacto"),Prod_Prop!$A:$A,Prod_Prop!$J:$J,"",0,1))</f>
        <v/>
      </c>
      <c r="M365" s="4" t="str">
        <f t="array" ref="M365">IF($E365="","", XLOOKUP(SUMIFS(Prod_Prop!$A:$A,Prod_Prop!$B:$B,$E365,Prod_Prop!$H:$H,M$1,Prod_Prop!$I:$I,"Exacto"),Prod_Prop!$A:$A,Prod_Prop!$J:$J,"",0,1))</f>
        <v/>
      </c>
      <c r="N365" s="4" t="str">
        <f t="array" ref="N365">IF($E365="","", XLOOKUP(SUMIFS(Prod_Prop!$A:$A,Prod_Prop!$B:$B,$E365,Prod_Prop!$H:$H,N$1,Prod_Prop!$I:$I,"Exacto"),Prod_Prop!$A:$A,Prod_Prop!$J:$J,"",0,1))</f>
        <v/>
      </c>
      <c r="O365" s="4" t="str">
        <f t="array" ref="O365">IF($E365="","", XLOOKUP(SUMIFS(Prod_Prop!$A:$A,Prod_Prop!$B:$B,$E365,Prod_Prop!$H:$H,O$1,Prod_Prop!$I:$I,"Exacto"),Prod_Prop!$A:$A,Prod_Prop!$J:$J,"",0,1))</f>
        <v/>
      </c>
      <c r="P365" s="4" t="str">
        <f t="array" ref="P365">IF($E365="","", XLOOKUP(SUMIFS(Prod_Prop!$A:$A,Prod_Prop!$B:$B,$E365,Prod_Prop!$H:$H,P$1,Prod_Prop!$I:$I,"Exacto"),Prod_Prop!$A:$A,Prod_Prop!$J:$J,"",0,1))</f>
        <v/>
      </c>
      <c r="Q365" s="4" t="str">
        <f t="array" ref="Q365">IF($E365="","", XLOOKUP(SUMIFS(Prod_Prop!$A:$A,Prod_Prop!$B:$B,$E365,Prod_Prop!$H:$H,Q$1,Prod_Prop!$I:$I,"Exacto"),Prod_Prop!$A:$A,Prod_Prop!$J:$J,"",0,1))</f>
        <v/>
      </c>
      <c r="R365" s="4" t="str">
        <f t="array" ref="R365">IF($E365="","", XLOOKUP(SUMIFS(Prod_Prop!$A:$A,Prod_Prop!$B:$B,$E365,Prod_Prop!$H:$H,R$1,Prod_Prop!$I:$I,"Exacto"),Prod_Prop!$A:$A,Prod_Prop!$J:$J,"",0,1))</f>
        <v/>
      </c>
      <c r="S365" s="4" t="str">
        <f t="array" ref="S365">IF($E365="","", XLOOKUP(SUMIFS(Prod_Prop!$A:$A,Prod_Prop!$B:$B,$E365,Prod_Prop!$H:$H,S$1,Prod_Prop!$I:$I,"Exacto"),Prod_Prop!$A:$A,Prod_Prop!$J:$J,"",0,1))</f>
        <v/>
      </c>
      <c r="T365" s="4" t="str">
        <f t="array" ref="T365">IF($E365="","", XLOOKUP(SUMIFS(Prod_Prop!$A:$A,Prod_Prop!$B:$B,$E365,Prod_Prop!$H:$H,T$1,Prod_Prop!$I:$I,"Exacto"),Prod_Prop!$A:$A,Prod_Prop!$J:$J,"",0,1))</f>
        <v/>
      </c>
      <c r="U365" s="4" t="str">
        <f t="array" ref="U365">IF($E365="","", XLOOKUP(SUMIFS(Prod_Prop!$A:$A,Prod_Prop!$B:$B,$E365,Prod_Prop!$H:$H,U$1,Prod_Prop!$I:$I,"Exacto"),Prod_Prop!$A:$A,Prod_Prop!$J:$J,"",0,1))</f>
        <v/>
      </c>
      <c r="V365" s="4" t="str">
        <f t="array" ref="V365">IF($E365="","", XLOOKUP(SUMIFS(Prod_Prop!$A:$A,Prod_Prop!$B:$B,$E365,Prod_Prop!$H:$H,V$1,Prod_Prop!$I:$I,"Exacto"),Prod_Prop!$A:$A,Prod_Prop!$J:$J,"",0,1))</f>
        <v/>
      </c>
      <c r="X365" s="3" t="str">
        <f>IFERROR(__xludf.DUMMYFUNCTION("IF(D365="""","""",IFERROR(TRANSPOSE(FILTER('Validaciones Cotizador'!U:U,'Validaciones Cotizador'!O:O=D365,'Validaciones Cotizador'!T:T=""x"")),""Finalizar""))"),"")</f>
        <v/>
      </c>
    </row>
    <row r="366">
      <c r="A366" s="2" t="str">
        <f t="array" ref="A366">IF(E366="","",XLOOKUP(D366,'Validaciones Cotizador'!C:C,'Validaciones Cotizador'!A:A,"",0,1))</f>
        <v/>
      </c>
      <c r="B366" s="2" t="str">
        <f t="array" ref="B366">IF(F366="","",XLOOKUP(F366,Productos!E:E,Productos!G:G,"",0,1))</f>
        <v/>
      </c>
      <c r="C366" s="2" t="str">
        <f>IF(A366="","",SUMIFS('Validaciones Cotizador'!B:B,'Validaciones Cotizador'!C:C,D366,'Validaciones Cotizador'!A:A,A366))</f>
        <v/>
      </c>
      <c r="D366" s="4" t="str">
        <f>IFERROR(__xludf.DUMMYFUNCTION("IF(OR(F365=""Finalizar"",F365="""",F365=""Selecciona..""),"""",IF(OR(F365=""-"",INDEX(filter(Familias!F:F,Familias!D:D=A365,Familias!E:E=C365),1)=""O""),D365+1,D365))"),"")</f>
        <v/>
      </c>
      <c r="E366" s="2" t="str">
        <f>IF(OR(F366="",F366="Selecciona.."),"",IF(D366="Implemento",SUMIF(Implementos!B:B,F366,Implementos!A:A),SUMIF(Productos!E:E,F366,Productos!A:A)))</f>
        <v/>
      </c>
      <c r="F366" s="2" t="str">
        <f t="shared" si="2"/>
        <v/>
      </c>
      <c r="G366" s="10" t="str">
        <f t="array" ref="G366">IF(OR(F366="",F366="-",F366="Selecciona..",F366="Finalizar"),"",IF(A366="Rodados",XLOOKUP(B366,'Validaciones Cotizador'!I:I,'Validaciones Cotizador'!J:J,0,0,1),1))</f>
        <v/>
      </c>
      <c r="H366" s="11" t="str">
        <f>IF(OR(F366="",F366="Selecciona.."),"",SUMIF(Precio_Productos!K:K,E366,Precio_Productos!J:J)*G366)</f>
        <v/>
      </c>
      <c r="I366" s="4" t="str">
        <f t="array" ref="I366">IF($E366="","", XLOOKUP(SUMIFS(Prod_Prop!$A:$A,Prod_Prop!$B:$B,$E366,Prod_Prop!$H:$H,I$1,Prod_Prop!$I:$I,"Exacto"),Prod_Prop!$A:$A,Prod_Prop!$J:$J,"",0,1))</f>
        <v/>
      </c>
      <c r="J366" s="4" t="str">
        <f t="array" ref="J366">IF($E366="","", XLOOKUP(SUMIFS(Prod_Prop!$A:$A,Prod_Prop!$B:$B,$E366,Prod_Prop!$H:$H,J$1,Prod_Prop!$I:$I,"Exacto"),Prod_Prop!$A:$A,Prod_Prop!$J:$J,"",0,1))</f>
        <v/>
      </c>
      <c r="K366" s="4" t="str">
        <f t="array" ref="K366">IF($E366="","", XLOOKUP(SUMIFS(Prod_Prop!$A:$A,Prod_Prop!$B:$B,$E366,Prod_Prop!$H:$H,K$1,Prod_Prop!$I:$I,"Exacto"),Prod_Prop!$A:$A,Prod_Prop!$J:$J,"",0,1))</f>
        <v/>
      </c>
      <c r="L366" s="4" t="str">
        <f t="array" ref="L366">IF($E366="","", XLOOKUP(SUMIFS(Prod_Prop!$A:$A,Prod_Prop!$B:$B,$E366,Prod_Prop!$H:$H,L$1,Prod_Prop!$I:$I,"Exacto"),Prod_Prop!$A:$A,Prod_Prop!$J:$J,"",0,1))</f>
        <v/>
      </c>
      <c r="M366" s="4" t="str">
        <f t="array" ref="M366">IF($E366="","", XLOOKUP(SUMIFS(Prod_Prop!$A:$A,Prod_Prop!$B:$B,$E366,Prod_Prop!$H:$H,M$1,Prod_Prop!$I:$I,"Exacto"),Prod_Prop!$A:$A,Prod_Prop!$J:$J,"",0,1))</f>
        <v/>
      </c>
      <c r="N366" s="4" t="str">
        <f t="array" ref="N366">IF($E366="","", XLOOKUP(SUMIFS(Prod_Prop!$A:$A,Prod_Prop!$B:$B,$E366,Prod_Prop!$H:$H,N$1,Prod_Prop!$I:$I,"Exacto"),Prod_Prop!$A:$A,Prod_Prop!$J:$J,"",0,1))</f>
        <v/>
      </c>
      <c r="O366" s="4" t="str">
        <f t="array" ref="O366">IF($E366="","", XLOOKUP(SUMIFS(Prod_Prop!$A:$A,Prod_Prop!$B:$B,$E366,Prod_Prop!$H:$H,O$1,Prod_Prop!$I:$I,"Exacto"),Prod_Prop!$A:$A,Prod_Prop!$J:$J,"",0,1))</f>
        <v/>
      </c>
      <c r="P366" s="4" t="str">
        <f t="array" ref="P366">IF($E366="","", XLOOKUP(SUMIFS(Prod_Prop!$A:$A,Prod_Prop!$B:$B,$E366,Prod_Prop!$H:$H,P$1,Prod_Prop!$I:$I,"Exacto"),Prod_Prop!$A:$A,Prod_Prop!$J:$J,"",0,1))</f>
        <v/>
      </c>
      <c r="Q366" s="4" t="str">
        <f t="array" ref="Q366">IF($E366="","", XLOOKUP(SUMIFS(Prod_Prop!$A:$A,Prod_Prop!$B:$B,$E366,Prod_Prop!$H:$H,Q$1,Prod_Prop!$I:$I,"Exacto"),Prod_Prop!$A:$A,Prod_Prop!$J:$J,"",0,1))</f>
        <v/>
      </c>
      <c r="R366" s="4" t="str">
        <f t="array" ref="R366">IF($E366="","", XLOOKUP(SUMIFS(Prod_Prop!$A:$A,Prod_Prop!$B:$B,$E366,Prod_Prop!$H:$H,R$1,Prod_Prop!$I:$I,"Exacto"),Prod_Prop!$A:$A,Prod_Prop!$J:$J,"",0,1))</f>
        <v/>
      </c>
      <c r="S366" s="4" t="str">
        <f t="array" ref="S366">IF($E366="","", XLOOKUP(SUMIFS(Prod_Prop!$A:$A,Prod_Prop!$B:$B,$E366,Prod_Prop!$H:$H,S$1,Prod_Prop!$I:$I,"Exacto"),Prod_Prop!$A:$A,Prod_Prop!$J:$J,"",0,1))</f>
        <v/>
      </c>
      <c r="T366" s="4" t="str">
        <f t="array" ref="T366">IF($E366="","", XLOOKUP(SUMIFS(Prod_Prop!$A:$A,Prod_Prop!$B:$B,$E366,Prod_Prop!$H:$H,T$1,Prod_Prop!$I:$I,"Exacto"),Prod_Prop!$A:$A,Prod_Prop!$J:$J,"",0,1))</f>
        <v/>
      </c>
      <c r="U366" s="4" t="str">
        <f t="array" ref="U366">IF($E366="","", XLOOKUP(SUMIFS(Prod_Prop!$A:$A,Prod_Prop!$B:$B,$E366,Prod_Prop!$H:$H,U$1,Prod_Prop!$I:$I,"Exacto"),Prod_Prop!$A:$A,Prod_Prop!$J:$J,"",0,1))</f>
        <v/>
      </c>
      <c r="V366" s="4" t="str">
        <f t="array" ref="V366">IF($E366="","", XLOOKUP(SUMIFS(Prod_Prop!$A:$A,Prod_Prop!$B:$B,$E366,Prod_Prop!$H:$H,V$1,Prod_Prop!$I:$I,"Exacto"),Prod_Prop!$A:$A,Prod_Prop!$J:$J,"",0,1))</f>
        <v/>
      </c>
      <c r="X366" s="3" t="str">
        <f>IFERROR(__xludf.DUMMYFUNCTION("IF(D366="""","""",IFERROR(TRANSPOSE(FILTER('Validaciones Cotizador'!U:U,'Validaciones Cotizador'!O:O=D366,'Validaciones Cotizador'!T:T=""x"")),""Finalizar""))"),"")</f>
        <v/>
      </c>
    </row>
    <row r="367">
      <c r="A367" s="2" t="str">
        <f t="array" ref="A367">IF(E367="","",XLOOKUP(D367,'Validaciones Cotizador'!C:C,'Validaciones Cotizador'!A:A,"",0,1))</f>
        <v/>
      </c>
      <c r="B367" s="2" t="str">
        <f t="array" ref="B367">IF(F367="","",XLOOKUP(F367,Productos!E:E,Productos!G:G,"",0,1))</f>
        <v/>
      </c>
      <c r="C367" s="2" t="str">
        <f>IF(A367="","",SUMIFS('Validaciones Cotizador'!B:B,'Validaciones Cotizador'!C:C,D367,'Validaciones Cotizador'!A:A,A367))</f>
        <v/>
      </c>
      <c r="D367" s="4" t="str">
        <f>IFERROR(__xludf.DUMMYFUNCTION("IF(OR(F366=""Finalizar"",F366="""",F366=""Selecciona..""),"""",IF(OR(F366=""-"",INDEX(filter(Familias!F:F,Familias!D:D=A366,Familias!E:E=C366),1)=""O""),D366+1,D366))"),"")</f>
        <v/>
      </c>
      <c r="E367" s="2" t="str">
        <f>IF(OR(F367="",F367="Selecciona.."),"",IF(D367="Implemento",SUMIF(Implementos!B:B,F367,Implementos!A:A),SUMIF(Productos!E:E,F367,Productos!A:A)))</f>
        <v/>
      </c>
      <c r="F367" s="2" t="str">
        <f t="shared" si="2"/>
        <v/>
      </c>
      <c r="G367" s="10" t="str">
        <f t="array" ref="G367">IF(OR(F367="",F367="-",F367="Selecciona..",F367="Finalizar"),"",IF(A367="Rodados",XLOOKUP(B367,'Validaciones Cotizador'!I:I,'Validaciones Cotizador'!J:J,0,0,1),1))</f>
        <v/>
      </c>
      <c r="H367" s="11" t="str">
        <f>IF(OR(F367="",F367="Selecciona.."),"",SUMIF(Precio_Productos!K:K,E367,Precio_Productos!J:J)*G367)</f>
        <v/>
      </c>
      <c r="I367" s="4" t="str">
        <f t="array" ref="I367">IF($E367="","", XLOOKUP(SUMIFS(Prod_Prop!$A:$A,Prod_Prop!$B:$B,$E367,Prod_Prop!$H:$H,I$1,Prod_Prop!$I:$I,"Exacto"),Prod_Prop!$A:$A,Prod_Prop!$J:$J,"",0,1))</f>
        <v/>
      </c>
      <c r="J367" s="4" t="str">
        <f t="array" ref="J367">IF($E367="","", XLOOKUP(SUMIFS(Prod_Prop!$A:$A,Prod_Prop!$B:$B,$E367,Prod_Prop!$H:$H,J$1,Prod_Prop!$I:$I,"Exacto"),Prod_Prop!$A:$A,Prod_Prop!$J:$J,"",0,1))</f>
        <v/>
      </c>
      <c r="K367" s="4" t="str">
        <f t="array" ref="K367">IF($E367="","", XLOOKUP(SUMIFS(Prod_Prop!$A:$A,Prod_Prop!$B:$B,$E367,Prod_Prop!$H:$H,K$1,Prod_Prop!$I:$I,"Exacto"),Prod_Prop!$A:$A,Prod_Prop!$J:$J,"",0,1))</f>
        <v/>
      </c>
      <c r="L367" s="4" t="str">
        <f t="array" ref="L367">IF($E367="","", XLOOKUP(SUMIFS(Prod_Prop!$A:$A,Prod_Prop!$B:$B,$E367,Prod_Prop!$H:$H,L$1,Prod_Prop!$I:$I,"Exacto"),Prod_Prop!$A:$A,Prod_Prop!$J:$J,"",0,1))</f>
        <v/>
      </c>
      <c r="M367" s="4" t="str">
        <f t="array" ref="M367">IF($E367="","", XLOOKUP(SUMIFS(Prod_Prop!$A:$A,Prod_Prop!$B:$B,$E367,Prod_Prop!$H:$H,M$1,Prod_Prop!$I:$I,"Exacto"),Prod_Prop!$A:$A,Prod_Prop!$J:$J,"",0,1))</f>
        <v/>
      </c>
      <c r="N367" s="4" t="str">
        <f t="array" ref="N367">IF($E367="","", XLOOKUP(SUMIFS(Prod_Prop!$A:$A,Prod_Prop!$B:$B,$E367,Prod_Prop!$H:$H,N$1,Prod_Prop!$I:$I,"Exacto"),Prod_Prop!$A:$A,Prod_Prop!$J:$J,"",0,1))</f>
        <v/>
      </c>
      <c r="O367" s="4" t="str">
        <f t="array" ref="O367">IF($E367="","", XLOOKUP(SUMIFS(Prod_Prop!$A:$A,Prod_Prop!$B:$B,$E367,Prod_Prop!$H:$H,O$1,Prod_Prop!$I:$I,"Exacto"),Prod_Prop!$A:$A,Prod_Prop!$J:$J,"",0,1))</f>
        <v/>
      </c>
      <c r="P367" s="4" t="str">
        <f t="array" ref="P367">IF($E367="","", XLOOKUP(SUMIFS(Prod_Prop!$A:$A,Prod_Prop!$B:$B,$E367,Prod_Prop!$H:$H,P$1,Prod_Prop!$I:$I,"Exacto"),Prod_Prop!$A:$A,Prod_Prop!$J:$J,"",0,1))</f>
        <v/>
      </c>
      <c r="Q367" s="4" t="str">
        <f t="array" ref="Q367">IF($E367="","", XLOOKUP(SUMIFS(Prod_Prop!$A:$A,Prod_Prop!$B:$B,$E367,Prod_Prop!$H:$H,Q$1,Prod_Prop!$I:$I,"Exacto"),Prod_Prop!$A:$A,Prod_Prop!$J:$J,"",0,1))</f>
        <v/>
      </c>
      <c r="R367" s="4" t="str">
        <f t="array" ref="R367">IF($E367="","", XLOOKUP(SUMIFS(Prod_Prop!$A:$A,Prod_Prop!$B:$B,$E367,Prod_Prop!$H:$H,R$1,Prod_Prop!$I:$I,"Exacto"),Prod_Prop!$A:$A,Prod_Prop!$J:$J,"",0,1))</f>
        <v/>
      </c>
      <c r="S367" s="4" t="str">
        <f t="array" ref="S367">IF($E367="","", XLOOKUP(SUMIFS(Prod_Prop!$A:$A,Prod_Prop!$B:$B,$E367,Prod_Prop!$H:$H,S$1,Prod_Prop!$I:$I,"Exacto"),Prod_Prop!$A:$A,Prod_Prop!$J:$J,"",0,1))</f>
        <v/>
      </c>
      <c r="T367" s="4" t="str">
        <f t="array" ref="T367">IF($E367="","", XLOOKUP(SUMIFS(Prod_Prop!$A:$A,Prod_Prop!$B:$B,$E367,Prod_Prop!$H:$H,T$1,Prod_Prop!$I:$I,"Exacto"),Prod_Prop!$A:$A,Prod_Prop!$J:$J,"",0,1))</f>
        <v/>
      </c>
      <c r="U367" s="4" t="str">
        <f t="array" ref="U367">IF($E367="","", XLOOKUP(SUMIFS(Prod_Prop!$A:$A,Prod_Prop!$B:$B,$E367,Prod_Prop!$H:$H,U$1,Prod_Prop!$I:$I,"Exacto"),Prod_Prop!$A:$A,Prod_Prop!$J:$J,"",0,1))</f>
        <v/>
      </c>
      <c r="V367" s="4" t="str">
        <f t="array" ref="V367">IF($E367="","", XLOOKUP(SUMIFS(Prod_Prop!$A:$A,Prod_Prop!$B:$B,$E367,Prod_Prop!$H:$H,V$1,Prod_Prop!$I:$I,"Exacto"),Prod_Prop!$A:$A,Prod_Prop!$J:$J,"",0,1))</f>
        <v/>
      </c>
      <c r="X367" s="3" t="str">
        <f>IFERROR(__xludf.DUMMYFUNCTION("IF(D367="""","""",IFERROR(TRANSPOSE(FILTER('Validaciones Cotizador'!U:U,'Validaciones Cotizador'!O:O=D367,'Validaciones Cotizador'!T:T=""x"")),""Finalizar""))"),"")</f>
        <v/>
      </c>
    </row>
    <row r="368">
      <c r="A368" s="2" t="str">
        <f t="array" ref="A368">IF(E368="","",XLOOKUP(D368,'Validaciones Cotizador'!C:C,'Validaciones Cotizador'!A:A,"",0,1))</f>
        <v/>
      </c>
      <c r="B368" s="2" t="str">
        <f t="array" ref="B368">IF(F368="","",XLOOKUP(F368,Productos!E:E,Productos!G:G,"",0,1))</f>
        <v/>
      </c>
      <c r="C368" s="2" t="str">
        <f>IF(A368="","",SUMIFS('Validaciones Cotizador'!B:B,'Validaciones Cotizador'!C:C,D368,'Validaciones Cotizador'!A:A,A368))</f>
        <v/>
      </c>
      <c r="D368" s="4" t="str">
        <f>IFERROR(__xludf.DUMMYFUNCTION("IF(OR(F367=""Finalizar"",F367="""",F367=""Selecciona..""),"""",IF(OR(F367=""-"",INDEX(filter(Familias!F:F,Familias!D:D=A367,Familias!E:E=C367),1)=""O""),D367+1,D367))"),"")</f>
        <v/>
      </c>
      <c r="E368" s="2" t="str">
        <f>IF(OR(F368="",F368="Selecciona.."),"",IF(D368="Implemento",SUMIF(Implementos!B:B,F368,Implementos!A:A),SUMIF(Productos!E:E,F368,Productos!A:A)))</f>
        <v/>
      </c>
      <c r="F368" s="2" t="str">
        <f t="shared" si="2"/>
        <v/>
      </c>
      <c r="G368" s="10" t="str">
        <f t="array" ref="G368">IF(OR(F368="",F368="-",F368="Selecciona..",F368="Finalizar"),"",IF(A368="Rodados",XLOOKUP(B368,'Validaciones Cotizador'!I:I,'Validaciones Cotizador'!J:J,0,0,1),1))</f>
        <v/>
      </c>
      <c r="H368" s="11" t="str">
        <f>IF(OR(F368="",F368="Selecciona.."),"",SUMIF(Precio_Productos!K:K,E368,Precio_Productos!J:J)*G368)</f>
        <v/>
      </c>
      <c r="I368" s="4" t="str">
        <f t="array" ref="I368">IF($E368="","", XLOOKUP(SUMIFS(Prod_Prop!$A:$A,Prod_Prop!$B:$B,$E368,Prod_Prop!$H:$H,I$1,Prod_Prop!$I:$I,"Exacto"),Prod_Prop!$A:$A,Prod_Prop!$J:$J,"",0,1))</f>
        <v/>
      </c>
      <c r="J368" s="4" t="str">
        <f t="array" ref="J368">IF($E368="","", XLOOKUP(SUMIFS(Prod_Prop!$A:$A,Prod_Prop!$B:$B,$E368,Prod_Prop!$H:$H,J$1,Prod_Prop!$I:$I,"Exacto"),Prod_Prop!$A:$A,Prod_Prop!$J:$J,"",0,1))</f>
        <v/>
      </c>
      <c r="K368" s="4" t="str">
        <f t="array" ref="K368">IF($E368="","", XLOOKUP(SUMIFS(Prod_Prop!$A:$A,Prod_Prop!$B:$B,$E368,Prod_Prop!$H:$H,K$1,Prod_Prop!$I:$I,"Exacto"),Prod_Prop!$A:$A,Prod_Prop!$J:$J,"",0,1))</f>
        <v/>
      </c>
      <c r="L368" s="4" t="str">
        <f t="array" ref="L368">IF($E368="","", XLOOKUP(SUMIFS(Prod_Prop!$A:$A,Prod_Prop!$B:$B,$E368,Prod_Prop!$H:$H,L$1,Prod_Prop!$I:$I,"Exacto"),Prod_Prop!$A:$A,Prod_Prop!$J:$J,"",0,1))</f>
        <v/>
      </c>
      <c r="M368" s="4" t="str">
        <f t="array" ref="M368">IF($E368="","", XLOOKUP(SUMIFS(Prod_Prop!$A:$A,Prod_Prop!$B:$B,$E368,Prod_Prop!$H:$H,M$1,Prod_Prop!$I:$I,"Exacto"),Prod_Prop!$A:$A,Prod_Prop!$J:$J,"",0,1))</f>
        <v/>
      </c>
      <c r="N368" s="4" t="str">
        <f t="array" ref="N368">IF($E368="","", XLOOKUP(SUMIFS(Prod_Prop!$A:$A,Prod_Prop!$B:$B,$E368,Prod_Prop!$H:$H,N$1,Prod_Prop!$I:$I,"Exacto"),Prod_Prop!$A:$A,Prod_Prop!$J:$J,"",0,1))</f>
        <v/>
      </c>
      <c r="O368" s="4" t="str">
        <f t="array" ref="O368">IF($E368="","", XLOOKUP(SUMIFS(Prod_Prop!$A:$A,Prod_Prop!$B:$B,$E368,Prod_Prop!$H:$H,O$1,Prod_Prop!$I:$I,"Exacto"),Prod_Prop!$A:$A,Prod_Prop!$J:$J,"",0,1))</f>
        <v/>
      </c>
      <c r="P368" s="4" t="str">
        <f t="array" ref="P368">IF($E368="","", XLOOKUP(SUMIFS(Prod_Prop!$A:$A,Prod_Prop!$B:$B,$E368,Prod_Prop!$H:$H,P$1,Prod_Prop!$I:$I,"Exacto"),Prod_Prop!$A:$A,Prod_Prop!$J:$J,"",0,1))</f>
        <v/>
      </c>
      <c r="Q368" s="4" t="str">
        <f t="array" ref="Q368">IF($E368="","", XLOOKUP(SUMIFS(Prod_Prop!$A:$A,Prod_Prop!$B:$B,$E368,Prod_Prop!$H:$H,Q$1,Prod_Prop!$I:$I,"Exacto"),Prod_Prop!$A:$A,Prod_Prop!$J:$J,"",0,1))</f>
        <v/>
      </c>
      <c r="R368" s="4" t="str">
        <f t="array" ref="R368">IF($E368="","", XLOOKUP(SUMIFS(Prod_Prop!$A:$A,Prod_Prop!$B:$B,$E368,Prod_Prop!$H:$H,R$1,Prod_Prop!$I:$I,"Exacto"),Prod_Prop!$A:$A,Prod_Prop!$J:$J,"",0,1))</f>
        <v/>
      </c>
      <c r="S368" s="4" t="str">
        <f t="array" ref="S368">IF($E368="","", XLOOKUP(SUMIFS(Prod_Prop!$A:$A,Prod_Prop!$B:$B,$E368,Prod_Prop!$H:$H,S$1,Prod_Prop!$I:$I,"Exacto"),Prod_Prop!$A:$A,Prod_Prop!$J:$J,"",0,1))</f>
        <v/>
      </c>
      <c r="T368" s="4" t="str">
        <f t="array" ref="T368">IF($E368="","", XLOOKUP(SUMIFS(Prod_Prop!$A:$A,Prod_Prop!$B:$B,$E368,Prod_Prop!$H:$H,T$1,Prod_Prop!$I:$I,"Exacto"),Prod_Prop!$A:$A,Prod_Prop!$J:$J,"",0,1))</f>
        <v/>
      </c>
      <c r="U368" s="4" t="str">
        <f t="array" ref="U368">IF($E368="","", XLOOKUP(SUMIFS(Prod_Prop!$A:$A,Prod_Prop!$B:$B,$E368,Prod_Prop!$H:$H,U$1,Prod_Prop!$I:$I,"Exacto"),Prod_Prop!$A:$A,Prod_Prop!$J:$J,"",0,1))</f>
        <v/>
      </c>
      <c r="V368" s="4" t="str">
        <f t="array" ref="V368">IF($E368="","", XLOOKUP(SUMIFS(Prod_Prop!$A:$A,Prod_Prop!$B:$B,$E368,Prod_Prop!$H:$H,V$1,Prod_Prop!$I:$I,"Exacto"),Prod_Prop!$A:$A,Prod_Prop!$J:$J,"",0,1))</f>
        <v/>
      </c>
      <c r="X368" s="3" t="str">
        <f>IFERROR(__xludf.DUMMYFUNCTION("IF(D368="""","""",IFERROR(TRANSPOSE(FILTER('Validaciones Cotizador'!U:U,'Validaciones Cotizador'!O:O=D368,'Validaciones Cotizador'!T:T=""x"")),""Finalizar""))"),"")</f>
        <v/>
      </c>
    </row>
    <row r="369">
      <c r="A369" s="2" t="str">
        <f t="array" ref="A369">IF(E369="","",XLOOKUP(D369,'Validaciones Cotizador'!C:C,'Validaciones Cotizador'!A:A,"",0,1))</f>
        <v/>
      </c>
      <c r="B369" s="2" t="str">
        <f t="array" ref="B369">IF(F369="","",XLOOKUP(F369,Productos!E:E,Productos!G:G,"",0,1))</f>
        <v/>
      </c>
      <c r="C369" s="2" t="str">
        <f>IF(A369="","",SUMIFS('Validaciones Cotizador'!B:B,'Validaciones Cotizador'!C:C,D369,'Validaciones Cotizador'!A:A,A369))</f>
        <v/>
      </c>
      <c r="D369" s="4" t="str">
        <f>IFERROR(__xludf.DUMMYFUNCTION("IF(OR(F368=""Finalizar"",F368="""",F368=""Selecciona..""),"""",IF(OR(F368=""-"",INDEX(filter(Familias!F:F,Familias!D:D=A368,Familias!E:E=C368),1)=""O""),D368+1,D368))"),"")</f>
        <v/>
      </c>
      <c r="E369" s="2" t="str">
        <f>IF(OR(F369="",F369="Selecciona.."),"",IF(D369="Implemento",SUMIF(Implementos!B:B,F369,Implementos!A:A),SUMIF(Productos!E:E,F369,Productos!A:A)))</f>
        <v/>
      </c>
      <c r="F369" s="2" t="str">
        <f t="shared" si="2"/>
        <v/>
      </c>
      <c r="G369" s="10" t="str">
        <f t="array" ref="G369">IF(OR(F369="",F369="-",F369="Selecciona..",F369="Finalizar"),"",IF(A369="Rodados",XLOOKUP(B369,'Validaciones Cotizador'!I:I,'Validaciones Cotizador'!J:J,0,0,1),1))</f>
        <v/>
      </c>
      <c r="H369" s="11" t="str">
        <f>IF(OR(F369="",F369="Selecciona.."),"",SUMIF(Precio_Productos!K:K,E369,Precio_Productos!J:J)*G369)</f>
        <v/>
      </c>
      <c r="I369" s="4" t="str">
        <f t="array" ref="I369">IF($E369="","", XLOOKUP(SUMIFS(Prod_Prop!$A:$A,Prod_Prop!$B:$B,$E369,Prod_Prop!$H:$H,I$1,Prod_Prop!$I:$I,"Exacto"),Prod_Prop!$A:$A,Prod_Prop!$J:$J,"",0,1))</f>
        <v/>
      </c>
      <c r="J369" s="4" t="str">
        <f t="array" ref="J369">IF($E369="","", XLOOKUP(SUMIFS(Prod_Prop!$A:$A,Prod_Prop!$B:$B,$E369,Prod_Prop!$H:$H,J$1,Prod_Prop!$I:$I,"Exacto"),Prod_Prop!$A:$A,Prod_Prop!$J:$J,"",0,1))</f>
        <v/>
      </c>
      <c r="K369" s="4" t="str">
        <f t="array" ref="K369">IF($E369="","", XLOOKUP(SUMIFS(Prod_Prop!$A:$A,Prod_Prop!$B:$B,$E369,Prod_Prop!$H:$H,K$1,Prod_Prop!$I:$I,"Exacto"),Prod_Prop!$A:$A,Prod_Prop!$J:$J,"",0,1))</f>
        <v/>
      </c>
      <c r="L369" s="4" t="str">
        <f t="array" ref="L369">IF($E369="","", XLOOKUP(SUMIFS(Prod_Prop!$A:$A,Prod_Prop!$B:$B,$E369,Prod_Prop!$H:$H,L$1,Prod_Prop!$I:$I,"Exacto"),Prod_Prop!$A:$A,Prod_Prop!$J:$J,"",0,1))</f>
        <v/>
      </c>
      <c r="M369" s="4" t="str">
        <f t="array" ref="M369">IF($E369="","", XLOOKUP(SUMIFS(Prod_Prop!$A:$A,Prod_Prop!$B:$B,$E369,Prod_Prop!$H:$H,M$1,Prod_Prop!$I:$I,"Exacto"),Prod_Prop!$A:$A,Prod_Prop!$J:$J,"",0,1))</f>
        <v/>
      </c>
      <c r="N369" s="4" t="str">
        <f t="array" ref="N369">IF($E369="","", XLOOKUP(SUMIFS(Prod_Prop!$A:$A,Prod_Prop!$B:$B,$E369,Prod_Prop!$H:$H,N$1,Prod_Prop!$I:$I,"Exacto"),Prod_Prop!$A:$A,Prod_Prop!$J:$J,"",0,1))</f>
        <v/>
      </c>
      <c r="O369" s="4" t="str">
        <f t="array" ref="O369">IF($E369="","", XLOOKUP(SUMIFS(Prod_Prop!$A:$A,Prod_Prop!$B:$B,$E369,Prod_Prop!$H:$H,O$1,Prod_Prop!$I:$I,"Exacto"),Prod_Prop!$A:$A,Prod_Prop!$J:$J,"",0,1))</f>
        <v/>
      </c>
      <c r="P369" s="4" t="str">
        <f t="array" ref="P369">IF($E369="","", XLOOKUP(SUMIFS(Prod_Prop!$A:$A,Prod_Prop!$B:$B,$E369,Prod_Prop!$H:$H,P$1,Prod_Prop!$I:$I,"Exacto"),Prod_Prop!$A:$A,Prod_Prop!$J:$J,"",0,1))</f>
        <v/>
      </c>
      <c r="Q369" s="4" t="str">
        <f t="array" ref="Q369">IF($E369="","", XLOOKUP(SUMIFS(Prod_Prop!$A:$A,Prod_Prop!$B:$B,$E369,Prod_Prop!$H:$H,Q$1,Prod_Prop!$I:$I,"Exacto"),Prod_Prop!$A:$A,Prod_Prop!$J:$J,"",0,1))</f>
        <v/>
      </c>
      <c r="R369" s="4" t="str">
        <f t="array" ref="R369">IF($E369="","", XLOOKUP(SUMIFS(Prod_Prop!$A:$A,Prod_Prop!$B:$B,$E369,Prod_Prop!$H:$H,R$1,Prod_Prop!$I:$I,"Exacto"),Prod_Prop!$A:$A,Prod_Prop!$J:$J,"",0,1))</f>
        <v/>
      </c>
      <c r="S369" s="4" t="str">
        <f t="array" ref="S369">IF($E369="","", XLOOKUP(SUMIFS(Prod_Prop!$A:$A,Prod_Prop!$B:$B,$E369,Prod_Prop!$H:$H,S$1,Prod_Prop!$I:$I,"Exacto"),Prod_Prop!$A:$A,Prod_Prop!$J:$J,"",0,1))</f>
        <v/>
      </c>
      <c r="T369" s="4" t="str">
        <f t="array" ref="T369">IF($E369="","", XLOOKUP(SUMIFS(Prod_Prop!$A:$A,Prod_Prop!$B:$B,$E369,Prod_Prop!$H:$H,T$1,Prod_Prop!$I:$I,"Exacto"),Prod_Prop!$A:$A,Prod_Prop!$J:$J,"",0,1))</f>
        <v/>
      </c>
      <c r="U369" s="4" t="str">
        <f t="array" ref="U369">IF($E369="","", XLOOKUP(SUMIFS(Prod_Prop!$A:$A,Prod_Prop!$B:$B,$E369,Prod_Prop!$H:$H,U$1,Prod_Prop!$I:$I,"Exacto"),Prod_Prop!$A:$A,Prod_Prop!$J:$J,"",0,1))</f>
        <v/>
      </c>
      <c r="V369" s="4" t="str">
        <f t="array" ref="V369">IF($E369="","", XLOOKUP(SUMIFS(Prod_Prop!$A:$A,Prod_Prop!$B:$B,$E369,Prod_Prop!$H:$H,V$1,Prod_Prop!$I:$I,"Exacto"),Prod_Prop!$A:$A,Prod_Prop!$J:$J,"",0,1))</f>
        <v/>
      </c>
      <c r="X369" s="3" t="str">
        <f>IFERROR(__xludf.DUMMYFUNCTION("IF(D369="""","""",IFERROR(TRANSPOSE(FILTER('Validaciones Cotizador'!U:U,'Validaciones Cotizador'!O:O=D369,'Validaciones Cotizador'!T:T=""x"")),""Finalizar""))"),"")</f>
        <v/>
      </c>
    </row>
    <row r="370">
      <c r="A370" s="2" t="str">
        <f t="array" ref="A370">IF(E370="","",XLOOKUP(D370,'Validaciones Cotizador'!C:C,'Validaciones Cotizador'!A:A,"",0,1))</f>
        <v/>
      </c>
      <c r="B370" s="2" t="str">
        <f t="array" ref="B370">IF(F370="","",XLOOKUP(F370,Productos!E:E,Productos!G:G,"",0,1))</f>
        <v/>
      </c>
      <c r="C370" s="2" t="str">
        <f>IF(A370="","",SUMIFS('Validaciones Cotizador'!B:B,'Validaciones Cotizador'!C:C,D370,'Validaciones Cotizador'!A:A,A370))</f>
        <v/>
      </c>
      <c r="D370" s="4" t="str">
        <f>IFERROR(__xludf.DUMMYFUNCTION("IF(OR(F369=""Finalizar"",F369="""",F369=""Selecciona..""),"""",IF(OR(F369=""-"",INDEX(filter(Familias!F:F,Familias!D:D=A369,Familias!E:E=C369),1)=""O""),D369+1,D369))"),"")</f>
        <v/>
      </c>
      <c r="E370" s="2" t="str">
        <f>IF(OR(F370="",F370="Selecciona.."),"",IF(D370="Implemento",SUMIF(Implementos!B:B,F370,Implementos!A:A),SUMIF(Productos!E:E,F370,Productos!A:A)))</f>
        <v/>
      </c>
      <c r="F370" s="2" t="str">
        <f t="shared" si="2"/>
        <v/>
      </c>
      <c r="G370" s="10" t="str">
        <f t="array" ref="G370">IF(OR(F370="",F370="-",F370="Selecciona..",F370="Finalizar"),"",IF(A370="Rodados",XLOOKUP(B370,'Validaciones Cotizador'!I:I,'Validaciones Cotizador'!J:J,0,0,1),1))</f>
        <v/>
      </c>
      <c r="H370" s="11" t="str">
        <f>IF(OR(F370="",F370="Selecciona.."),"",SUMIF(Precio_Productos!K:K,E370,Precio_Productos!J:J)*G370)</f>
        <v/>
      </c>
      <c r="I370" s="4" t="str">
        <f t="array" ref="I370">IF($E370="","", XLOOKUP(SUMIFS(Prod_Prop!$A:$A,Prod_Prop!$B:$B,$E370,Prod_Prop!$H:$H,I$1,Prod_Prop!$I:$I,"Exacto"),Prod_Prop!$A:$A,Prod_Prop!$J:$J,"",0,1))</f>
        <v/>
      </c>
      <c r="J370" s="4" t="str">
        <f t="array" ref="J370">IF($E370="","", XLOOKUP(SUMIFS(Prod_Prop!$A:$A,Prod_Prop!$B:$B,$E370,Prod_Prop!$H:$H,J$1,Prod_Prop!$I:$I,"Exacto"),Prod_Prop!$A:$A,Prod_Prop!$J:$J,"",0,1))</f>
        <v/>
      </c>
      <c r="K370" s="4" t="str">
        <f t="array" ref="K370">IF($E370="","", XLOOKUP(SUMIFS(Prod_Prop!$A:$A,Prod_Prop!$B:$B,$E370,Prod_Prop!$H:$H,K$1,Prod_Prop!$I:$I,"Exacto"),Prod_Prop!$A:$A,Prod_Prop!$J:$J,"",0,1))</f>
        <v/>
      </c>
      <c r="L370" s="4" t="str">
        <f t="array" ref="L370">IF($E370="","", XLOOKUP(SUMIFS(Prod_Prop!$A:$A,Prod_Prop!$B:$B,$E370,Prod_Prop!$H:$H,L$1,Prod_Prop!$I:$I,"Exacto"),Prod_Prop!$A:$A,Prod_Prop!$J:$J,"",0,1))</f>
        <v/>
      </c>
      <c r="M370" s="4" t="str">
        <f t="array" ref="M370">IF($E370="","", XLOOKUP(SUMIFS(Prod_Prop!$A:$A,Prod_Prop!$B:$B,$E370,Prod_Prop!$H:$H,M$1,Prod_Prop!$I:$I,"Exacto"),Prod_Prop!$A:$A,Prod_Prop!$J:$J,"",0,1))</f>
        <v/>
      </c>
      <c r="N370" s="4" t="str">
        <f t="array" ref="N370">IF($E370="","", XLOOKUP(SUMIFS(Prod_Prop!$A:$A,Prod_Prop!$B:$B,$E370,Prod_Prop!$H:$H,N$1,Prod_Prop!$I:$I,"Exacto"),Prod_Prop!$A:$A,Prod_Prop!$J:$J,"",0,1))</f>
        <v/>
      </c>
      <c r="O370" s="4" t="str">
        <f t="array" ref="O370">IF($E370="","", XLOOKUP(SUMIFS(Prod_Prop!$A:$A,Prod_Prop!$B:$B,$E370,Prod_Prop!$H:$H,O$1,Prod_Prop!$I:$I,"Exacto"),Prod_Prop!$A:$A,Prod_Prop!$J:$J,"",0,1))</f>
        <v/>
      </c>
      <c r="P370" s="4" t="str">
        <f t="array" ref="P370">IF($E370="","", XLOOKUP(SUMIFS(Prod_Prop!$A:$A,Prod_Prop!$B:$B,$E370,Prod_Prop!$H:$H,P$1,Prod_Prop!$I:$I,"Exacto"),Prod_Prop!$A:$A,Prod_Prop!$J:$J,"",0,1))</f>
        <v/>
      </c>
      <c r="Q370" s="4" t="str">
        <f t="array" ref="Q370">IF($E370="","", XLOOKUP(SUMIFS(Prod_Prop!$A:$A,Prod_Prop!$B:$B,$E370,Prod_Prop!$H:$H,Q$1,Prod_Prop!$I:$I,"Exacto"),Prod_Prop!$A:$A,Prod_Prop!$J:$J,"",0,1))</f>
        <v/>
      </c>
      <c r="R370" s="4" t="str">
        <f t="array" ref="R370">IF($E370="","", XLOOKUP(SUMIFS(Prod_Prop!$A:$A,Prod_Prop!$B:$B,$E370,Prod_Prop!$H:$H,R$1,Prod_Prop!$I:$I,"Exacto"),Prod_Prop!$A:$A,Prod_Prop!$J:$J,"",0,1))</f>
        <v/>
      </c>
      <c r="S370" s="4" t="str">
        <f t="array" ref="S370">IF($E370="","", XLOOKUP(SUMIFS(Prod_Prop!$A:$A,Prod_Prop!$B:$B,$E370,Prod_Prop!$H:$H,S$1,Prod_Prop!$I:$I,"Exacto"),Prod_Prop!$A:$A,Prod_Prop!$J:$J,"",0,1))</f>
        <v/>
      </c>
      <c r="T370" s="4" t="str">
        <f t="array" ref="T370">IF($E370="","", XLOOKUP(SUMIFS(Prod_Prop!$A:$A,Prod_Prop!$B:$B,$E370,Prod_Prop!$H:$H,T$1,Prod_Prop!$I:$I,"Exacto"),Prod_Prop!$A:$A,Prod_Prop!$J:$J,"",0,1))</f>
        <v/>
      </c>
      <c r="U370" s="4" t="str">
        <f t="array" ref="U370">IF($E370="","", XLOOKUP(SUMIFS(Prod_Prop!$A:$A,Prod_Prop!$B:$B,$E370,Prod_Prop!$H:$H,U$1,Prod_Prop!$I:$I,"Exacto"),Prod_Prop!$A:$A,Prod_Prop!$J:$J,"",0,1))</f>
        <v/>
      </c>
      <c r="V370" s="4" t="str">
        <f t="array" ref="V370">IF($E370="","", XLOOKUP(SUMIFS(Prod_Prop!$A:$A,Prod_Prop!$B:$B,$E370,Prod_Prop!$H:$H,V$1,Prod_Prop!$I:$I,"Exacto"),Prod_Prop!$A:$A,Prod_Prop!$J:$J,"",0,1))</f>
        <v/>
      </c>
      <c r="X370" s="3" t="str">
        <f>IFERROR(__xludf.DUMMYFUNCTION("IF(D370="""","""",IFERROR(TRANSPOSE(FILTER('Validaciones Cotizador'!U:U,'Validaciones Cotizador'!O:O=D370,'Validaciones Cotizador'!T:T=""x"")),""Finalizar""))"),"")</f>
        <v/>
      </c>
    </row>
    <row r="371">
      <c r="A371" s="2" t="str">
        <f t="array" ref="A371">IF(E371="","",XLOOKUP(D371,'Validaciones Cotizador'!C:C,'Validaciones Cotizador'!A:A,"",0,1))</f>
        <v/>
      </c>
      <c r="B371" s="2" t="str">
        <f t="array" ref="B371">IF(F371="","",XLOOKUP(F371,Productos!E:E,Productos!G:G,"",0,1))</f>
        <v/>
      </c>
      <c r="C371" s="2" t="str">
        <f>IF(A371="","",SUMIFS('Validaciones Cotizador'!B:B,'Validaciones Cotizador'!C:C,D371,'Validaciones Cotizador'!A:A,A371))</f>
        <v/>
      </c>
      <c r="D371" s="4" t="str">
        <f>IFERROR(__xludf.DUMMYFUNCTION("IF(OR(F370=""Finalizar"",F370="""",F370=""Selecciona..""),"""",IF(OR(F370=""-"",INDEX(filter(Familias!F:F,Familias!D:D=A370,Familias!E:E=C370),1)=""O""),D370+1,D370))"),"")</f>
        <v/>
      </c>
      <c r="E371" s="2" t="str">
        <f>IF(OR(F371="",F371="Selecciona.."),"",IF(D371="Implemento",SUMIF(Implementos!B:B,F371,Implementos!A:A),SUMIF(Productos!E:E,F371,Productos!A:A)))</f>
        <v/>
      </c>
      <c r="F371" s="2" t="str">
        <f t="shared" si="2"/>
        <v/>
      </c>
      <c r="G371" s="10" t="str">
        <f t="array" ref="G371">IF(OR(F371="",F371="-",F371="Selecciona..",F371="Finalizar"),"",IF(A371="Rodados",XLOOKUP(B371,'Validaciones Cotizador'!I:I,'Validaciones Cotizador'!J:J,0,0,1),1))</f>
        <v/>
      </c>
      <c r="H371" s="11" t="str">
        <f>IF(OR(F371="",F371="Selecciona.."),"",SUMIF(Precio_Productos!K:K,E371,Precio_Productos!J:J)*G371)</f>
        <v/>
      </c>
      <c r="I371" s="4" t="str">
        <f t="array" ref="I371">IF($E371="","", XLOOKUP(SUMIFS(Prod_Prop!$A:$A,Prod_Prop!$B:$B,$E371,Prod_Prop!$H:$H,I$1,Prod_Prop!$I:$I,"Exacto"),Prod_Prop!$A:$A,Prod_Prop!$J:$J,"",0,1))</f>
        <v/>
      </c>
      <c r="J371" s="4" t="str">
        <f t="array" ref="J371">IF($E371="","", XLOOKUP(SUMIFS(Prod_Prop!$A:$A,Prod_Prop!$B:$B,$E371,Prod_Prop!$H:$H,J$1,Prod_Prop!$I:$I,"Exacto"),Prod_Prop!$A:$A,Prod_Prop!$J:$J,"",0,1))</f>
        <v/>
      </c>
      <c r="K371" s="4" t="str">
        <f t="array" ref="K371">IF($E371="","", XLOOKUP(SUMIFS(Prod_Prop!$A:$A,Prod_Prop!$B:$B,$E371,Prod_Prop!$H:$H,K$1,Prod_Prop!$I:$I,"Exacto"),Prod_Prop!$A:$A,Prod_Prop!$J:$J,"",0,1))</f>
        <v/>
      </c>
      <c r="L371" s="4" t="str">
        <f t="array" ref="L371">IF($E371="","", XLOOKUP(SUMIFS(Prod_Prop!$A:$A,Prod_Prop!$B:$B,$E371,Prod_Prop!$H:$H,L$1,Prod_Prop!$I:$I,"Exacto"),Prod_Prop!$A:$A,Prod_Prop!$J:$J,"",0,1))</f>
        <v/>
      </c>
      <c r="M371" s="4" t="str">
        <f t="array" ref="M371">IF($E371="","", XLOOKUP(SUMIFS(Prod_Prop!$A:$A,Prod_Prop!$B:$B,$E371,Prod_Prop!$H:$H,M$1,Prod_Prop!$I:$I,"Exacto"),Prod_Prop!$A:$A,Prod_Prop!$J:$J,"",0,1))</f>
        <v/>
      </c>
      <c r="N371" s="4" t="str">
        <f t="array" ref="N371">IF($E371="","", XLOOKUP(SUMIFS(Prod_Prop!$A:$A,Prod_Prop!$B:$B,$E371,Prod_Prop!$H:$H,N$1,Prod_Prop!$I:$I,"Exacto"),Prod_Prop!$A:$A,Prod_Prop!$J:$J,"",0,1))</f>
        <v/>
      </c>
      <c r="O371" s="4" t="str">
        <f t="array" ref="O371">IF($E371="","", XLOOKUP(SUMIFS(Prod_Prop!$A:$A,Prod_Prop!$B:$B,$E371,Prod_Prop!$H:$H,O$1,Prod_Prop!$I:$I,"Exacto"),Prod_Prop!$A:$A,Prod_Prop!$J:$J,"",0,1))</f>
        <v/>
      </c>
      <c r="P371" s="4" t="str">
        <f t="array" ref="P371">IF($E371="","", XLOOKUP(SUMIFS(Prod_Prop!$A:$A,Prod_Prop!$B:$B,$E371,Prod_Prop!$H:$H,P$1,Prod_Prop!$I:$I,"Exacto"),Prod_Prop!$A:$A,Prod_Prop!$J:$J,"",0,1))</f>
        <v/>
      </c>
      <c r="Q371" s="4" t="str">
        <f t="array" ref="Q371">IF($E371="","", XLOOKUP(SUMIFS(Prod_Prop!$A:$A,Prod_Prop!$B:$B,$E371,Prod_Prop!$H:$H,Q$1,Prod_Prop!$I:$I,"Exacto"),Prod_Prop!$A:$A,Prod_Prop!$J:$J,"",0,1))</f>
        <v/>
      </c>
      <c r="R371" s="4" t="str">
        <f t="array" ref="R371">IF($E371="","", XLOOKUP(SUMIFS(Prod_Prop!$A:$A,Prod_Prop!$B:$B,$E371,Prod_Prop!$H:$H,R$1,Prod_Prop!$I:$I,"Exacto"),Prod_Prop!$A:$A,Prod_Prop!$J:$J,"",0,1))</f>
        <v/>
      </c>
      <c r="S371" s="4" t="str">
        <f t="array" ref="S371">IF($E371="","", XLOOKUP(SUMIFS(Prod_Prop!$A:$A,Prod_Prop!$B:$B,$E371,Prod_Prop!$H:$H,S$1,Prod_Prop!$I:$I,"Exacto"),Prod_Prop!$A:$A,Prod_Prop!$J:$J,"",0,1))</f>
        <v/>
      </c>
      <c r="T371" s="4" t="str">
        <f t="array" ref="T371">IF($E371="","", XLOOKUP(SUMIFS(Prod_Prop!$A:$A,Prod_Prop!$B:$B,$E371,Prod_Prop!$H:$H,T$1,Prod_Prop!$I:$I,"Exacto"),Prod_Prop!$A:$A,Prod_Prop!$J:$J,"",0,1))</f>
        <v/>
      </c>
      <c r="U371" s="4" t="str">
        <f t="array" ref="U371">IF($E371="","", XLOOKUP(SUMIFS(Prod_Prop!$A:$A,Prod_Prop!$B:$B,$E371,Prod_Prop!$H:$H,U$1,Prod_Prop!$I:$I,"Exacto"),Prod_Prop!$A:$A,Prod_Prop!$J:$J,"",0,1))</f>
        <v/>
      </c>
      <c r="V371" s="4" t="str">
        <f t="array" ref="V371">IF($E371="","", XLOOKUP(SUMIFS(Prod_Prop!$A:$A,Prod_Prop!$B:$B,$E371,Prod_Prop!$H:$H,V$1,Prod_Prop!$I:$I,"Exacto"),Prod_Prop!$A:$A,Prod_Prop!$J:$J,"",0,1))</f>
        <v/>
      </c>
      <c r="X371" s="3" t="str">
        <f>IFERROR(__xludf.DUMMYFUNCTION("IF(D371="""","""",IFERROR(TRANSPOSE(FILTER('Validaciones Cotizador'!U:U,'Validaciones Cotizador'!O:O=D371,'Validaciones Cotizador'!T:T=""x"")),""Finalizar""))"),"")</f>
        <v/>
      </c>
    </row>
    <row r="372">
      <c r="A372" s="2" t="str">
        <f t="array" ref="A372">IF(E372="","",XLOOKUP(D372,'Validaciones Cotizador'!C:C,'Validaciones Cotizador'!A:A,"",0,1))</f>
        <v/>
      </c>
      <c r="B372" s="2" t="str">
        <f t="array" ref="B372">IF(F372="","",XLOOKUP(F372,Productos!E:E,Productos!G:G,"",0,1))</f>
        <v/>
      </c>
      <c r="C372" s="2" t="str">
        <f>IF(A372="","",SUMIFS('Validaciones Cotizador'!B:B,'Validaciones Cotizador'!C:C,D372,'Validaciones Cotizador'!A:A,A372))</f>
        <v/>
      </c>
      <c r="D372" s="4" t="str">
        <f>IFERROR(__xludf.DUMMYFUNCTION("IF(OR(F371=""Finalizar"",F371="""",F371=""Selecciona..""),"""",IF(OR(F371=""-"",INDEX(filter(Familias!F:F,Familias!D:D=A371,Familias!E:E=C371),1)=""O""),D371+1,D371))"),"")</f>
        <v/>
      </c>
      <c r="E372" s="2" t="str">
        <f>IF(OR(F372="",F372="Selecciona.."),"",IF(D372="Implemento",SUMIF(Implementos!B:B,F372,Implementos!A:A),SUMIF(Productos!E:E,F372,Productos!A:A)))</f>
        <v/>
      </c>
      <c r="F372" s="2" t="str">
        <f t="shared" si="2"/>
        <v/>
      </c>
      <c r="G372" s="10" t="str">
        <f t="array" ref="G372">IF(OR(F372="",F372="-",F372="Selecciona..",F372="Finalizar"),"",IF(A372="Rodados",XLOOKUP(B372,'Validaciones Cotizador'!I:I,'Validaciones Cotizador'!J:J,0,0,1),1))</f>
        <v/>
      </c>
      <c r="H372" s="11" t="str">
        <f>IF(OR(F372="",F372="Selecciona.."),"",SUMIF(Precio_Productos!K:K,E372,Precio_Productos!J:J)*G372)</f>
        <v/>
      </c>
      <c r="I372" s="4" t="str">
        <f t="array" ref="I372">IF($E372="","", XLOOKUP(SUMIFS(Prod_Prop!$A:$A,Prod_Prop!$B:$B,$E372,Prod_Prop!$H:$H,I$1,Prod_Prop!$I:$I,"Exacto"),Prod_Prop!$A:$A,Prod_Prop!$J:$J,"",0,1))</f>
        <v/>
      </c>
      <c r="J372" s="4" t="str">
        <f t="array" ref="J372">IF($E372="","", XLOOKUP(SUMIFS(Prod_Prop!$A:$A,Prod_Prop!$B:$B,$E372,Prod_Prop!$H:$H,J$1,Prod_Prop!$I:$I,"Exacto"),Prod_Prop!$A:$A,Prod_Prop!$J:$J,"",0,1))</f>
        <v/>
      </c>
      <c r="K372" s="4" t="str">
        <f t="array" ref="K372">IF($E372="","", XLOOKUP(SUMIFS(Prod_Prop!$A:$A,Prod_Prop!$B:$B,$E372,Prod_Prop!$H:$H,K$1,Prod_Prop!$I:$I,"Exacto"),Prod_Prop!$A:$A,Prod_Prop!$J:$J,"",0,1))</f>
        <v/>
      </c>
      <c r="L372" s="4" t="str">
        <f t="array" ref="L372">IF($E372="","", XLOOKUP(SUMIFS(Prod_Prop!$A:$A,Prod_Prop!$B:$B,$E372,Prod_Prop!$H:$H,L$1,Prod_Prop!$I:$I,"Exacto"),Prod_Prop!$A:$A,Prod_Prop!$J:$J,"",0,1))</f>
        <v/>
      </c>
      <c r="M372" s="4" t="str">
        <f t="array" ref="M372">IF($E372="","", XLOOKUP(SUMIFS(Prod_Prop!$A:$A,Prod_Prop!$B:$B,$E372,Prod_Prop!$H:$H,M$1,Prod_Prop!$I:$I,"Exacto"),Prod_Prop!$A:$A,Prod_Prop!$J:$J,"",0,1))</f>
        <v/>
      </c>
      <c r="N372" s="4" t="str">
        <f t="array" ref="N372">IF($E372="","", XLOOKUP(SUMIFS(Prod_Prop!$A:$A,Prod_Prop!$B:$B,$E372,Prod_Prop!$H:$H,N$1,Prod_Prop!$I:$I,"Exacto"),Prod_Prop!$A:$A,Prod_Prop!$J:$J,"",0,1))</f>
        <v/>
      </c>
      <c r="O372" s="4" t="str">
        <f t="array" ref="O372">IF($E372="","", XLOOKUP(SUMIFS(Prod_Prop!$A:$A,Prod_Prop!$B:$B,$E372,Prod_Prop!$H:$H,O$1,Prod_Prop!$I:$I,"Exacto"),Prod_Prop!$A:$A,Prod_Prop!$J:$J,"",0,1))</f>
        <v/>
      </c>
      <c r="P372" s="4" t="str">
        <f t="array" ref="P372">IF($E372="","", XLOOKUP(SUMIFS(Prod_Prop!$A:$A,Prod_Prop!$B:$B,$E372,Prod_Prop!$H:$H,P$1,Prod_Prop!$I:$I,"Exacto"),Prod_Prop!$A:$A,Prod_Prop!$J:$J,"",0,1))</f>
        <v/>
      </c>
      <c r="Q372" s="4" t="str">
        <f t="array" ref="Q372">IF($E372="","", XLOOKUP(SUMIFS(Prod_Prop!$A:$A,Prod_Prop!$B:$B,$E372,Prod_Prop!$H:$H,Q$1,Prod_Prop!$I:$I,"Exacto"),Prod_Prop!$A:$A,Prod_Prop!$J:$J,"",0,1))</f>
        <v/>
      </c>
      <c r="R372" s="4" t="str">
        <f t="array" ref="R372">IF($E372="","", XLOOKUP(SUMIFS(Prod_Prop!$A:$A,Prod_Prop!$B:$B,$E372,Prod_Prop!$H:$H,R$1,Prod_Prop!$I:$I,"Exacto"),Prod_Prop!$A:$A,Prod_Prop!$J:$J,"",0,1))</f>
        <v/>
      </c>
      <c r="S372" s="4" t="str">
        <f t="array" ref="S372">IF($E372="","", XLOOKUP(SUMIFS(Prod_Prop!$A:$A,Prod_Prop!$B:$B,$E372,Prod_Prop!$H:$H,S$1,Prod_Prop!$I:$I,"Exacto"),Prod_Prop!$A:$A,Prod_Prop!$J:$J,"",0,1))</f>
        <v/>
      </c>
      <c r="T372" s="4" t="str">
        <f t="array" ref="T372">IF($E372="","", XLOOKUP(SUMIFS(Prod_Prop!$A:$A,Prod_Prop!$B:$B,$E372,Prod_Prop!$H:$H,T$1,Prod_Prop!$I:$I,"Exacto"),Prod_Prop!$A:$A,Prod_Prop!$J:$J,"",0,1))</f>
        <v/>
      </c>
      <c r="U372" s="4" t="str">
        <f t="array" ref="U372">IF($E372="","", XLOOKUP(SUMIFS(Prod_Prop!$A:$A,Prod_Prop!$B:$B,$E372,Prod_Prop!$H:$H,U$1,Prod_Prop!$I:$I,"Exacto"),Prod_Prop!$A:$A,Prod_Prop!$J:$J,"",0,1))</f>
        <v/>
      </c>
      <c r="V372" s="4" t="str">
        <f t="array" ref="V372">IF($E372="","", XLOOKUP(SUMIFS(Prod_Prop!$A:$A,Prod_Prop!$B:$B,$E372,Prod_Prop!$H:$H,V$1,Prod_Prop!$I:$I,"Exacto"),Prod_Prop!$A:$A,Prod_Prop!$J:$J,"",0,1))</f>
        <v/>
      </c>
      <c r="X372" s="3" t="str">
        <f>IFERROR(__xludf.DUMMYFUNCTION("IF(D372="""","""",IFERROR(TRANSPOSE(FILTER('Validaciones Cotizador'!U:U,'Validaciones Cotizador'!O:O=D372,'Validaciones Cotizador'!T:T=""x"")),""Finalizar""))"),"")</f>
        <v/>
      </c>
    </row>
    <row r="373">
      <c r="A373" s="2" t="str">
        <f t="array" ref="A373">IF(E373="","",XLOOKUP(D373,'Validaciones Cotizador'!C:C,'Validaciones Cotizador'!A:A,"",0,1))</f>
        <v/>
      </c>
      <c r="B373" s="2" t="str">
        <f t="array" ref="B373">IF(F373="","",XLOOKUP(F373,Productos!E:E,Productos!G:G,"",0,1))</f>
        <v/>
      </c>
      <c r="C373" s="2" t="str">
        <f>IF(A373="","",SUMIFS('Validaciones Cotizador'!B:B,'Validaciones Cotizador'!C:C,D373,'Validaciones Cotizador'!A:A,A373))</f>
        <v/>
      </c>
      <c r="D373" s="4" t="str">
        <f>IFERROR(__xludf.DUMMYFUNCTION("IF(OR(F372=""Finalizar"",F372="""",F372=""Selecciona..""),"""",IF(OR(F372=""-"",INDEX(filter(Familias!F:F,Familias!D:D=A372,Familias!E:E=C372),1)=""O""),D372+1,D372))"),"")</f>
        <v/>
      </c>
      <c r="E373" s="2" t="str">
        <f>IF(OR(F373="",F373="Selecciona.."),"",IF(D373="Implemento",SUMIF(Implementos!B:B,F373,Implementos!A:A),SUMIF(Productos!E:E,F373,Productos!A:A)))</f>
        <v/>
      </c>
      <c r="F373" s="2" t="str">
        <f t="shared" si="2"/>
        <v/>
      </c>
      <c r="G373" s="10" t="str">
        <f t="array" ref="G373">IF(OR(F373="",F373="-",F373="Selecciona..",F373="Finalizar"),"",IF(A373="Rodados",XLOOKUP(B373,'Validaciones Cotizador'!I:I,'Validaciones Cotizador'!J:J,0,0,1),1))</f>
        <v/>
      </c>
      <c r="H373" s="11" t="str">
        <f>IF(OR(F373="",F373="Selecciona.."),"",SUMIF(Precio_Productos!K:K,E373,Precio_Productos!J:J)*G373)</f>
        <v/>
      </c>
      <c r="I373" s="4" t="str">
        <f t="array" ref="I373">IF($E373="","", XLOOKUP(SUMIFS(Prod_Prop!$A:$A,Prod_Prop!$B:$B,$E373,Prod_Prop!$H:$H,I$1,Prod_Prop!$I:$I,"Exacto"),Prod_Prop!$A:$A,Prod_Prop!$J:$J,"",0,1))</f>
        <v/>
      </c>
      <c r="J373" s="4" t="str">
        <f t="array" ref="J373">IF($E373="","", XLOOKUP(SUMIFS(Prod_Prop!$A:$A,Prod_Prop!$B:$B,$E373,Prod_Prop!$H:$H,J$1,Prod_Prop!$I:$I,"Exacto"),Prod_Prop!$A:$A,Prod_Prop!$J:$J,"",0,1))</f>
        <v/>
      </c>
      <c r="K373" s="4" t="str">
        <f t="array" ref="K373">IF($E373="","", XLOOKUP(SUMIFS(Prod_Prop!$A:$A,Prod_Prop!$B:$B,$E373,Prod_Prop!$H:$H,K$1,Prod_Prop!$I:$I,"Exacto"),Prod_Prop!$A:$A,Prod_Prop!$J:$J,"",0,1))</f>
        <v/>
      </c>
      <c r="L373" s="4" t="str">
        <f t="array" ref="L373">IF($E373="","", XLOOKUP(SUMIFS(Prod_Prop!$A:$A,Prod_Prop!$B:$B,$E373,Prod_Prop!$H:$H,L$1,Prod_Prop!$I:$I,"Exacto"),Prod_Prop!$A:$A,Prod_Prop!$J:$J,"",0,1))</f>
        <v/>
      </c>
      <c r="M373" s="4" t="str">
        <f t="array" ref="M373">IF($E373="","", XLOOKUP(SUMIFS(Prod_Prop!$A:$A,Prod_Prop!$B:$B,$E373,Prod_Prop!$H:$H,M$1,Prod_Prop!$I:$I,"Exacto"),Prod_Prop!$A:$A,Prod_Prop!$J:$J,"",0,1))</f>
        <v/>
      </c>
      <c r="N373" s="4" t="str">
        <f t="array" ref="N373">IF($E373="","", XLOOKUP(SUMIFS(Prod_Prop!$A:$A,Prod_Prop!$B:$B,$E373,Prod_Prop!$H:$H,N$1,Prod_Prop!$I:$I,"Exacto"),Prod_Prop!$A:$A,Prod_Prop!$J:$J,"",0,1))</f>
        <v/>
      </c>
      <c r="O373" s="4" t="str">
        <f t="array" ref="O373">IF($E373="","", XLOOKUP(SUMIFS(Prod_Prop!$A:$A,Prod_Prop!$B:$B,$E373,Prod_Prop!$H:$H,O$1,Prod_Prop!$I:$I,"Exacto"),Prod_Prop!$A:$A,Prod_Prop!$J:$J,"",0,1))</f>
        <v/>
      </c>
      <c r="P373" s="4" t="str">
        <f t="array" ref="P373">IF($E373="","", XLOOKUP(SUMIFS(Prod_Prop!$A:$A,Prod_Prop!$B:$B,$E373,Prod_Prop!$H:$H,P$1,Prod_Prop!$I:$I,"Exacto"),Prod_Prop!$A:$A,Prod_Prop!$J:$J,"",0,1))</f>
        <v/>
      </c>
      <c r="Q373" s="4" t="str">
        <f t="array" ref="Q373">IF($E373="","", XLOOKUP(SUMIFS(Prod_Prop!$A:$A,Prod_Prop!$B:$B,$E373,Prod_Prop!$H:$H,Q$1,Prod_Prop!$I:$I,"Exacto"),Prod_Prop!$A:$A,Prod_Prop!$J:$J,"",0,1))</f>
        <v/>
      </c>
      <c r="R373" s="4" t="str">
        <f t="array" ref="R373">IF($E373="","", XLOOKUP(SUMIFS(Prod_Prop!$A:$A,Prod_Prop!$B:$B,$E373,Prod_Prop!$H:$H,R$1,Prod_Prop!$I:$I,"Exacto"),Prod_Prop!$A:$A,Prod_Prop!$J:$J,"",0,1))</f>
        <v/>
      </c>
      <c r="S373" s="4" t="str">
        <f t="array" ref="S373">IF($E373="","", XLOOKUP(SUMIFS(Prod_Prop!$A:$A,Prod_Prop!$B:$B,$E373,Prod_Prop!$H:$H,S$1,Prod_Prop!$I:$I,"Exacto"),Prod_Prop!$A:$A,Prod_Prop!$J:$J,"",0,1))</f>
        <v/>
      </c>
      <c r="T373" s="4" t="str">
        <f t="array" ref="T373">IF($E373="","", XLOOKUP(SUMIFS(Prod_Prop!$A:$A,Prod_Prop!$B:$B,$E373,Prod_Prop!$H:$H,T$1,Prod_Prop!$I:$I,"Exacto"),Prod_Prop!$A:$A,Prod_Prop!$J:$J,"",0,1))</f>
        <v/>
      </c>
      <c r="U373" s="4" t="str">
        <f t="array" ref="U373">IF($E373="","", XLOOKUP(SUMIFS(Prod_Prop!$A:$A,Prod_Prop!$B:$B,$E373,Prod_Prop!$H:$H,U$1,Prod_Prop!$I:$I,"Exacto"),Prod_Prop!$A:$A,Prod_Prop!$J:$J,"",0,1))</f>
        <v/>
      </c>
      <c r="V373" s="4" t="str">
        <f t="array" ref="V373">IF($E373="","", XLOOKUP(SUMIFS(Prod_Prop!$A:$A,Prod_Prop!$B:$B,$E373,Prod_Prop!$H:$H,V$1,Prod_Prop!$I:$I,"Exacto"),Prod_Prop!$A:$A,Prod_Prop!$J:$J,"",0,1))</f>
        <v/>
      </c>
      <c r="X373" s="3" t="str">
        <f>IFERROR(__xludf.DUMMYFUNCTION("IF(D373="""","""",IFERROR(TRANSPOSE(FILTER('Validaciones Cotizador'!U:U,'Validaciones Cotizador'!O:O=D373,'Validaciones Cotizador'!T:T=""x"")),""Finalizar""))"),"")</f>
        <v/>
      </c>
    </row>
    <row r="374">
      <c r="A374" s="2" t="str">
        <f t="array" ref="A374">IF(E374="","",XLOOKUP(D374,'Validaciones Cotizador'!C:C,'Validaciones Cotizador'!A:A,"",0,1))</f>
        <v/>
      </c>
      <c r="B374" s="2" t="str">
        <f t="array" ref="B374">IF(F374="","",XLOOKUP(F374,Productos!E:E,Productos!G:G,"",0,1))</f>
        <v/>
      </c>
      <c r="C374" s="2" t="str">
        <f>IF(A374="","",SUMIFS('Validaciones Cotizador'!B:B,'Validaciones Cotizador'!C:C,D374,'Validaciones Cotizador'!A:A,A374))</f>
        <v/>
      </c>
      <c r="D374" s="4" t="str">
        <f>IFERROR(__xludf.DUMMYFUNCTION("IF(OR(F373=""Finalizar"",F373="""",F373=""Selecciona..""),"""",IF(OR(F373=""-"",INDEX(filter(Familias!F:F,Familias!D:D=A373,Familias!E:E=C373),1)=""O""),D373+1,D373))"),"")</f>
        <v/>
      </c>
      <c r="E374" s="2" t="str">
        <f>IF(OR(F374="",F374="Selecciona.."),"",IF(D374="Implemento",SUMIF(Implementos!B:B,F374,Implementos!A:A),SUMIF(Productos!E:E,F374,Productos!A:A)))</f>
        <v/>
      </c>
      <c r="F374" s="2" t="str">
        <f t="shared" si="2"/>
        <v/>
      </c>
      <c r="G374" s="10" t="str">
        <f t="array" ref="G374">IF(OR(F374="",F374="-",F374="Selecciona..",F374="Finalizar"),"",IF(A374="Rodados",XLOOKUP(B374,'Validaciones Cotizador'!I:I,'Validaciones Cotizador'!J:J,0,0,1),1))</f>
        <v/>
      </c>
      <c r="H374" s="11" t="str">
        <f>IF(OR(F374="",F374="Selecciona.."),"",SUMIF(Precio_Productos!K:K,E374,Precio_Productos!J:J)*G374)</f>
        <v/>
      </c>
      <c r="I374" s="4" t="str">
        <f t="array" ref="I374">IF($E374="","", XLOOKUP(SUMIFS(Prod_Prop!$A:$A,Prod_Prop!$B:$B,$E374,Prod_Prop!$H:$H,I$1,Prod_Prop!$I:$I,"Exacto"),Prod_Prop!$A:$A,Prod_Prop!$J:$J,"",0,1))</f>
        <v/>
      </c>
      <c r="J374" s="4" t="str">
        <f t="array" ref="J374">IF($E374="","", XLOOKUP(SUMIFS(Prod_Prop!$A:$A,Prod_Prop!$B:$B,$E374,Prod_Prop!$H:$H,J$1,Prod_Prop!$I:$I,"Exacto"),Prod_Prop!$A:$A,Prod_Prop!$J:$J,"",0,1))</f>
        <v/>
      </c>
      <c r="K374" s="4" t="str">
        <f t="array" ref="K374">IF($E374="","", XLOOKUP(SUMIFS(Prod_Prop!$A:$A,Prod_Prop!$B:$B,$E374,Prod_Prop!$H:$H,K$1,Prod_Prop!$I:$I,"Exacto"),Prod_Prop!$A:$A,Prod_Prop!$J:$J,"",0,1))</f>
        <v/>
      </c>
      <c r="L374" s="4" t="str">
        <f t="array" ref="L374">IF($E374="","", XLOOKUP(SUMIFS(Prod_Prop!$A:$A,Prod_Prop!$B:$B,$E374,Prod_Prop!$H:$H,L$1,Prod_Prop!$I:$I,"Exacto"),Prod_Prop!$A:$A,Prod_Prop!$J:$J,"",0,1))</f>
        <v/>
      </c>
      <c r="M374" s="4" t="str">
        <f t="array" ref="M374">IF($E374="","", XLOOKUP(SUMIFS(Prod_Prop!$A:$A,Prod_Prop!$B:$B,$E374,Prod_Prop!$H:$H,M$1,Prod_Prop!$I:$I,"Exacto"),Prod_Prop!$A:$A,Prod_Prop!$J:$J,"",0,1))</f>
        <v/>
      </c>
      <c r="N374" s="4" t="str">
        <f t="array" ref="N374">IF($E374="","", XLOOKUP(SUMIFS(Prod_Prop!$A:$A,Prod_Prop!$B:$B,$E374,Prod_Prop!$H:$H,N$1,Prod_Prop!$I:$I,"Exacto"),Prod_Prop!$A:$A,Prod_Prop!$J:$J,"",0,1))</f>
        <v/>
      </c>
      <c r="O374" s="4" t="str">
        <f t="array" ref="O374">IF($E374="","", XLOOKUP(SUMIFS(Prod_Prop!$A:$A,Prod_Prop!$B:$B,$E374,Prod_Prop!$H:$H,O$1,Prod_Prop!$I:$I,"Exacto"),Prod_Prop!$A:$A,Prod_Prop!$J:$J,"",0,1))</f>
        <v/>
      </c>
      <c r="P374" s="4" t="str">
        <f t="array" ref="P374">IF($E374="","", XLOOKUP(SUMIFS(Prod_Prop!$A:$A,Prod_Prop!$B:$B,$E374,Prod_Prop!$H:$H,P$1,Prod_Prop!$I:$I,"Exacto"),Prod_Prop!$A:$A,Prod_Prop!$J:$J,"",0,1))</f>
        <v/>
      </c>
      <c r="Q374" s="4" t="str">
        <f t="array" ref="Q374">IF($E374="","", XLOOKUP(SUMIFS(Prod_Prop!$A:$A,Prod_Prop!$B:$B,$E374,Prod_Prop!$H:$H,Q$1,Prod_Prop!$I:$I,"Exacto"),Prod_Prop!$A:$A,Prod_Prop!$J:$J,"",0,1))</f>
        <v/>
      </c>
      <c r="R374" s="4" t="str">
        <f t="array" ref="R374">IF($E374="","", XLOOKUP(SUMIFS(Prod_Prop!$A:$A,Prod_Prop!$B:$B,$E374,Prod_Prop!$H:$H,R$1,Prod_Prop!$I:$I,"Exacto"),Prod_Prop!$A:$A,Prod_Prop!$J:$J,"",0,1))</f>
        <v/>
      </c>
      <c r="S374" s="4" t="str">
        <f t="array" ref="S374">IF($E374="","", XLOOKUP(SUMIFS(Prod_Prop!$A:$A,Prod_Prop!$B:$B,$E374,Prod_Prop!$H:$H,S$1,Prod_Prop!$I:$I,"Exacto"),Prod_Prop!$A:$A,Prod_Prop!$J:$J,"",0,1))</f>
        <v/>
      </c>
      <c r="T374" s="4" t="str">
        <f t="array" ref="T374">IF($E374="","", XLOOKUP(SUMIFS(Prod_Prop!$A:$A,Prod_Prop!$B:$B,$E374,Prod_Prop!$H:$H,T$1,Prod_Prop!$I:$I,"Exacto"),Prod_Prop!$A:$A,Prod_Prop!$J:$J,"",0,1))</f>
        <v/>
      </c>
      <c r="U374" s="4" t="str">
        <f t="array" ref="U374">IF($E374="","", XLOOKUP(SUMIFS(Prod_Prop!$A:$A,Prod_Prop!$B:$B,$E374,Prod_Prop!$H:$H,U$1,Prod_Prop!$I:$I,"Exacto"),Prod_Prop!$A:$A,Prod_Prop!$J:$J,"",0,1))</f>
        <v/>
      </c>
      <c r="V374" s="4" t="str">
        <f t="array" ref="V374">IF($E374="","", XLOOKUP(SUMIFS(Prod_Prop!$A:$A,Prod_Prop!$B:$B,$E374,Prod_Prop!$H:$H,V$1,Prod_Prop!$I:$I,"Exacto"),Prod_Prop!$A:$A,Prod_Prop!$J:$J,"",0,1))</f>
        <v/>
      </c>
      <c r="X374" s="3" t="str">
        <f>IFERROR(__xludf.DUMMYFUNCTION("IF(D374="""","""",IFERROR(TRANSPOSE(FILTER('Validaciones Cotizador'!U:U,'Validaciones Cotizador'!O:O=D374,'Validaciones Cotizador'!T:T=""x"")),""Finalizar""))"),"")</f>
        <v/>
      </c>
    </row>
    <row r="375">
      <c r="A375" s="2" t="str">
        <f t="array" ref="A375">IF(E375="","",XLOOKUP(D375,'Validaciones Cotizador'!C:C,'Validaciones Cotizador'!A:A,"",0,1))</f>
        <v/>
      </c>
      <c r="B375" s="2" t="str">
        <f t="array" ref="B375">IF(F375="","",XLOOKUP(F375,Productos!E:E,Productos!G:G,"",0,1))</f>
        <v/>
      </c>
      <c r="C375" s="2" t="str">
        <f>IF(A375="","",SUMIFS('Validaciones Cotizador'!B:B,'Validaciones Cotizador'!C:C,D375,'Validaciones Cotizador'!A:A,A375))</f>
        <v/>
      </c>
      <c r="D375" s="4" t="str">
        <f>IFERROR(__xludf.DUMMYFUNCTION("IF(OR(F374=""Finalizar"",F374="""",F374=""Selecciona..""),"""",IF(OR(F374=""-"",INDEX(filter(Familias!F:F,Familias!D:D=A374,Familias!E:E=C374),1)=""O""),D374+1,D374))"),"")</f>
        <v/>
      </c>
      <c r="E375" s="2" t="str">
        <f>IF(OR(F375="",F375="Selecciona.."),"",IF(D375="Implemento",SUMIF(Implementos!B:B,F375,Implementos!A:A),SUMIF(Productos!E:E,F375,Productos!A:A)))</f>
        <v/>
      </c>
      <c r="F375" s="2" t="str">
        <f t="shared" si="2"/>
        <v/>
      </c>
      <c r="G375" s="10" t="str">
        <f t="array" ref="G375">IF(OR(F375="",F375="-",F375="Selecciona..",F375="Finalizar"),"",IF(A375="Rodados",XLOOKUP(B375,'Validaciones Cotizador'!I:I,'Validaciones Cotizador'!J:J,0,0,1),1))</f>
        <v/>
      </c>
      <c r="H375" s="11" t="str">
        <f>IF(OR(F375="",F375="Selecciona.."),"",SUMIF(Precio_Productos!K:K,E375,Precio_Productos!J:J)*G375)</f>
        <v/>
      </c>
      <c r="I375" s="4" t="str">
        <f t="array" ref="I375">IF($E375="","", XLOOKUP(SUMIFS(Prod_Prop!$A:$A,Prod_Prop!$B:$B,$E375,Prod_Prop!$H:$H,I$1,Prod_Prop!$I:$I,"Exacto"),Prod_Prop!$A:$A,Prod_Prop!$J:$J,"",0,1))</f>
        <v/>
      </c>
      <c r="J375" s="4" t="str">
        <f t="array" ref="J375">IF($E375="","", XLOOKUP(SUMIFS(Prod_Prop!$A:$A,Prod_Prop!$B:$B,$E375,Prod_Prop!$H:$H,J$1,Prod_Prop!$I:$I,"Exacto"),Prod_Prop!$A:$A,Prod_Prop!$J:$J,"",0,1))</f>
        <v/>
      </c>
      <c r="K375" s="4" t="str">
        <f t="array" ref="K375">IF($E375="","", XLOOKUP(SUMIFS(Prod_Prop!$A:$A,Prod_Prop!$B:$B,$E375,Prod_Prop!$H:$H,K$1,Prod_Prop!$I:$I,"Exacto"),Prod_Prop!$A:$A,Prod_Prop!$J:$J,"",0,1))</f>
        <v/>
      </c>
      <c r="L375" s="4" t="str">
        <f t="array" ref="L375">IF($E375="","", XLOOKUP(SUMIFS(Prod_Prop!$A:$A,Prod_Prop!$B:$B,$E375,Prod_Prop!$H:$H,L$1,Prod_Prop!$I:$I,"Exacto"),Prod_Prop!$A:$A,Prod_Prop!$J:$J,"",0,1))</f>
        <v/>
      </c>
      <c r="M375" s="4" t="str">
        <f t="array" ref="M375">IF($E375="","", XLOOKUP(SUMIFS(Prod_Prop!$A:$A,Prod_Prop!$B:$B,$E375,Prod_Prop!$H:$H,M$1,Prod_Prop!$I:$I,"Exacto"),Prod_Prop!$A:$A,Prod_Prop!$J:$J,"",0,1))</f>
        <v/>
      </c>
      <c r="N375" s="4" t="str">
        <f t="array" ref="N375">IF($E375="","", XLOOKUP(SUMIFS(Prod_Prop!$A:$A,Prod_Prop!$B:$B,$E375,Prod_Prop!$H:$H,N$1,Prod_Prop!$I:$I,"Exacto"),Prod_Prop!$A:$A,Prod_Prop!$J:$J,"",0,1))</f>
        <v/>
      </c>
      <c r="O375" s="4" t="str">
        <f t="array" ref="O375">IF($E375="","", XLOOKUP(SUMIFS(Prod_Prop!$A:$A,Prod_Prop!$B:$B,$E375,Prod_Prop!$H:$H,O$1,Prod_Prop!$I:$I,"Exacto"),Prod_Prop!$A:$A,Prod_Prop!$J:$J,"",0,1))</f>
        <v/>
      </c>
      <c r="P375" s="4" t="str">
        <f t="array" ref="P375">IF($E375="","", XLOOKUP(SUMIFS(Prod_Prop!$A:$A,Prod_Prop!$B:$B,$E375,Prod_Prop!$H:$H,P$1,Prod_Prop!$I:$I,"Exacto"),Prod_Prop!$A:$A,Prod_Prop!$J:$J,"",0,1))</f>
        <v/>
      </c>
      <c r="Q375" s="4" t="str">
        <f t="array" ref="Q375">IF($E375="","", XLOOKUP(SUMIFS(Prod_Prop!$A:$A,Prod_Prop!$B:$B,$E375,Prod_Prop!$H:$H,Q$1,Prod_Prop!$I:$I,"Exacto"),Prod_Prop!$A:$A,Prod_Prop!$J:$J,"",0,1))</f>
        <v/>
      </c>
      <c r="R375" s="4" t="str">
        <f t="array" ref="R375">IF($E375="","", XLOOKUP(SUMIFS(Prod_Prop!$A:$A,Prod_Prop!$B:$B,$E375,Prod_Prop!$H:$H,R$1,Prod_Prop!$I:$I,"Exacto"),Prod_Prop!$A:$A,Prod_Prop!$J:$J,"",0,1))</f>
        <v/>
      </c>
      <c r="S375" s="4" t="str">
        <f t="array" ref="S375">IF($E375="","", XLOOKUP(SUMIFS(Prod_Prop!$A:$A,Prod_Prop!$B:$B,$E375,Prod_Prop!$H:$H,S$1,Prod_Prop!$I:$I,"Exacto"),Prod_Prop!$A:$A,Prod_Prop!$J:$J,"",0,1))</f>
        <v/>
      </c>
      <c r="T375" s="4" t="str">
        <f t="array" ref="T375">IF($E375="","", XLOOKUP(SUMIFS(Prod_Prop!$A:$A,Prod_Prop!$B:$B,$E375,Prod_Prop!$H:$H,T$1,Prod_Prop!$I:$I,"Exacto"),Prod_Prop!$A:$A,Prod_Prop!$J:$J,"",0,1))</f>
        <v/>
      </c>
      <c r="U375" s="4" t="str">
        <f t="array" ref="U375">IF($E375="","", XLOOKUP(SUMIFS(Prod_Prop!$A:$A,Prod_Prop!$B:$B,$E375,Prod_Prop!$H:$H,U$1,Prod_Prop!$I:$I,"Exacto"),Prod_Prop!$A:$A,Prod_Prop!$J:$J,"",0,1))</f>
        <v/>
      </c>
      <c r="V375" s="4" t="str">
        <f t="array" ref="V375">IF($E375="","", XLOOKUP(SUMIFS(Prod_Prop!$A:$A,Prod_Prop!$B:$B,$E375,Prod_Prop!$H:$H,V$1,Prod_Prop!$I:$I,"Exacto"),Prod_Prop!$A:$A,Prod_Prop!$J:$J,"",0,1))</f>
        <v/>
      </c>
      <c r="X375" s="3" t="str">
        <f>IFERROR(__xludf.DUMMYFUNCTION("IF(D375="""","""",IFERROR(TRANSPOSE(FILTER('Validaciones Cotizador'!U:U,'Validaciones Cotizador'!O:O=D375,'Validaciones Cotizador'!T:T=""x"")),""Finalizar""))"),"")</f>
        <v/>
      </c>
    </row>
    <row r="376">
      <c r="A376" s="2" t="str">
        <f t="array" ref="A376">IF(E376="","",XLOOKUP(D376,'Validaciones Cotizador'!C:C,'Validaciones Cotizador'!A:A,"",0,1))</f>
        <v/>
      </c>
      <c r="B376" s="2" t="str">
        <f t="array" ref="B376">IF(F376="","",XLOOKUP(F376,Productos!E:E,Productos!G:G,"",0,1))</f>
        <v/>
      </c>
      <c r="C376" s="2" t="str">
        <f>IF(A376="","",SUMIFS('Validaciones Cotizador'!B:B,'Validaciones Cotizador'!C:C,D376,'Validaciones Cotizador'!A:A,A376))</f>
        <v/>
      </c>
      <c r="D376" s="4" t="str">
        <f>IFERROR(__xludf.DUMMYFUNCTION("IF(OR(F375=""Finalizar"",F375="""",F375=""Selecciona..""),"""",IF(OR(F375=""-"",INDEX(filter(Familias!F:F,Familias!D:D=A375,Familias!E:E=C375),1)=""O""),D375+1,D375))"),"")</f>
        <v/>
      </c>
      <c r="E376" s="2" t="str">
        <f>IF(OR(F376="",F376="Selecciona.."),"",IF(D376="Implemento",SUMIF(Implementos!B:B,F376,Implementos!A:A),SUMIF(Productos!E:E,F376,Productos!A:A)))</f>
        <v/>
      </c>
      <c r="F376" s="2" t="str">
        <f t="shared" si="2"/>
        <v/>
      </c>
      <c r="G376" s="10" t="str">
        <f t="array" ref="G376">IF(OR(F376="",F376="-",F376="Selecciona..",F376="Finalizar"),"",IF(A376="Rodados",XLOOKUP(B376,'Validaciones Cotizador'!I:I,'Validaciones Cotizador'!J:J,0,0,1),1))</f>
        <v/>
      </c>
      <c r="H376" s="11" t="str">
        <f>IF(OR(F376="",F376="Selecciona.."),"",SUMIF(Precio_Productos!K:K,E376,Precio_Productos!J:J)*G376)</f>
        <v/>
      </c>
      <c r="I376" s="4" t="str">
        <f t="array" ref="I376">IF($E376="","", XLOOKUP(SUMIFS(Prod_Prop!$A:$A,Prod_Prop!$B:$B,$E376,Prod_Prop!$H:$H,I$1,Prod_Prop!$I:$I,"Exacto"),Prod_Prop!$A:$A,Prod_Prop!$J:$J,"",0,1))</f>
        <v/>
      </c>
      <c r="J376" s="4" t="str">
        <f t="array" ref="J376">IF($E376="","", XLOOKUP(SUMIFS(Prod_Prop!$A:$A,Prod_Prop!$B:$B,$E376,Prod_Prop!$H:$H,J$1,Prod_Prop!$I:$I,"Exacto"),Prod_Prop!$A:$A,Prod_Prop!$J:$J,"",0,1))</f>
        <v/>
      </c>
      <c r="K376" s="4" t="str">
        <f t="array" ref="K376">IF($E376="","", XLOOKUP(SUMIFS(Prod_Prop!$A:$A,Prod_Prop!$B:$B,$E376,Prod_Prop!$H:$H,K$1,Prod_Prop!$I:$I,"Exacto"),Prod_Prop!$A:$A,Prod_Prop!$J:$J,"",0,1))</f>
        <v/>
      </c>
      <c r="L376" s="4" t="str">
        <f t="array" ref="L376">IF($E376="","", XLOOKUP(SUMIFS(Prod_Prop!$A:$A,Prod_Prop!$B:$B,$E376,Prod_Prop!$H:$H,L$1,Prod_Prop!$I:$I,"Exacto"),Prod_Prop!$A:$A,Prod_Prop!$J:$J,"",0,1))</f>
        <v/>
      </c>
      <c r="M376" s="4" t="str">
        <f t="array" ref="M376">IF($E376="","", XLOOKUP(SUMIFS(Prod_Prop!$A:$A,Prod_Prop!$B:$B,$E376,Prod_Prop!$H:$H,M$1,Prod_Prop!$I:$I,"Exacto"),Prod_Prop!$A:$A,Prod_Prop!$J:$J,"",0,1))</f>
        <v/>
      </c>
      <c r="N376" s="4" t="str">
        <f t="array" ref="N376">IF($E376="","", XLOOKUP(SUMIFS(Prod_Prop!$A:$A,Prod_Prop!$B:$B,$E376,Prod_Prop!$H:$H,N$1,Prod_Prop!$I:$I,"Exacto"),Prod_Prop!$A:$A,Prod_Prop!$J:$J,"",0,1))</f>
        <v/>
      </c>
      <c r="O376" s="4" t="str">
        <f t="array" ref="O376">IF($E376="","", XLOOKUP(SUMIFS(Prod_Prop!$A:$A,Prod_Prop!$B:$B,$E376,Prod_Prop!$H:$H,O$1,Prod_Prop!$I:$I,"Exacto"),Prod_Prop!$A:$A,Prod_Prop!$J:$J,"",0,1))</f>
        <v/>
      </c>
      <c r="P376" s="4" t="str">
        <f t="array" ref="P376">IF($E376="","", XLOOKUP(SUMIFS(Prod_Prop!$A:$A,Prod_Prop!$B:$B,$E376,Prod_Prop!$H:$H,P$1,Prod_Prop!$I:$I,"Exacto"),Prod_Prop!$A:$A,Prod_Prop!$J:$J,"",0,1))</f>
        <v/>
      </c>
      <c r="Q376" s="4" t="str">
        <f t="array" ref="Q376">IF($E376="","", XLOOKUP(SUMIFS(Prod_Prop!$A:$A,Prod_Prop!$B:$B,$E376,Prod_Prop!$H:$H,Q$1,Prod_Prop!$I:$I,"Exacto"),Prod_Prop!$A:$A,Prod_Prop!$J:$J,"",0,1))</f>
        <v/>
      </c>
      <c r="R376" s="4" t="str">
        <f t="array" ref="R376">IF($E376="","", XLOOKUP(SUMIFS(Prod_Prop!$A:$A,Prod_Prop!$B:$B,$E376,Prod_Prop!$H:$H,R$1,Prod_Prop!$I:$I,"Exacto"),Prod_Prop!$A:$A,Prod_Prop!$J:$J,"",0,1))</f>
        <v/>
      </c>
      <c r="S376" s="4" t="str">
        <f t="array" ref="S376">IF($E376="","", XLOOKUP(SUMIFS(Prod_Prop!$A:$A,Prod_Prop!$B:$B,$E376,Prod_Prop!$H:$H,S$1,Prod_Prop!$I:$I,"Exacto"),Prod_Prop!$A:$A,Prod_Prop!$J:$J,"",0,1))</f>
        <v/>
      </c>
      <c r="T376" s="4" t="str">
        <f t="array" ref="T376">IF($E376="","", XLOOKUP(SUMIFS(Prod_Prop!$A:$A,Prod_Prop!$B:$B,$E376,Prod_Prop!$H:$H,T$1,Prod_Prop!$I:$I,"Exacto"),Prod_Prop!$A:$A,Prod_Prop!$J:$J,"",0,1))</f>
        <v/>
      </c>
      <c r="U376" s="4" t="str">
        <f t="array" ref="U376">IF($E376="","", XLOOKUP(SUMIFS(Prod_Prop!$A:$A,Prod_Prop!$B:$B,$E376,Prod_Prop!$H:$H,U$1,Prod_Prop!$I:$I,"Exacto"),Prod_Prop!$A:$A,Prod_Prop!$J:$J,"",0,1))</f>
        <v/>
      </c>
      <c r="V376" s="4" t="str">
        <f t="array" ref="V376">IF($E376="","", XLOOKUP(SUMIFS(Prod_Prop!$A:$A,Prod_Prop!$B:$B,$E376,Prod_Prop!$H:$H,V$1,Prod_Prop!$I:$I,"Exacto"),Prod_Prop!$A:$A,Prod_Prop!$J:$J,"",0,1))</f>
        <v/>
      </c>
      <c r="X376" s="3" t="str">
        <f>IFERROR(__xludf.DUMMYFUNCTION("IF(D376="""","""",IFERROR(TRANSPOSE(FILTER('Validaciones Cotizador'!U:U,'Validaciones Cotizador'!O:O=D376,'Validaciones Cotizador'!T:T=""x"")),""Finalizar""))"),"")</f>
        <v/>
      </c>
    </row>
    <row r="377">
      <c r="A377" s="2" t="str">
        <f t="array" ref="A377">IF(E377="","",XLOOKUP(D377,'Validaciones Cotizador'!C:C,'Validaciones Cotizador'!A:A,"",0,1))</f>
        <v/>
      </c>
      <c r="B377" s="2" t="str">
        <f t="array" ref="B377">IF(F377="","",XLOOKUP(F377,Productos!E:E,Productos!G:G,"",0,1))</f>
        <v/>
      </c>
      <c r="C377" s="2" t="str">
        <f>IF(A377="","",SUMIFS('Validaciones Cotizador'!B:B,'Validaciones Cotizador'!C:C,D377,'Validaciones Cotizador'!A:A,A377))</f>
        <v/>
      </c>
      <c r="D377" s="4" t="str">
        <f>IFERROR(__xludf.DUMMYFUNCTION("IF(OR(F376=""Finalizar"",F376="""",F376=""Selecciona..""),"""",IF(OR(F376=""-"",INDEX(filter(Familias!F:F,Familias!D:D=A376,Familias!E:E=C376),1)=""O""),D376+1,D376))"),"")</f>
        <v/>
      </c>
      <c r="E377" s="2" t="str">
        <f>IF(OR(F377="",F377="Selecciona.."),"",IF(D377="Implemento",SUMIF(Implementos!B:B,F377,Implementos!A:A),SUMIF(Productos!E:E,F377,Productos!A:A)))</f>
        <v/>
      </c>
      <c r="F377" s="2" t="str">
        <f t="shared" si="2"/>
        <v/>
      </c>
      <c r="G377" s="10" t="str">
        <f t="array" ref="G377">IF(OR(F377="",F377="-",F377="Selecciona..",F377="Finalizar"),"",IF(A377="Rodados",XLOOKUP(B377,'Validaciones Cotizador'!I:I,'Validaciones Cotizador'!J:J,0,0,1),1))</f>
        <v/>
      </c>
      <c r="H377" s="11" t="str">
        <f>IF(OR(F377="",F377="Selecciona.."),"",SUMIF(Precio_Productos!K:K,E377,Precio_Productos!J:J)*G377)</f>
        <v/>
      </c>
      <c r="I377" s="4" t="str">
        <f t="array" ref="I377">IF($E377="","", XLOOKUP(SUMIFS(Prod_Prop!$A:$A,Prod_Prop!$B:$B,$E377,Prod_Prop!$H:$H,I$1,Prod_Prop!$I:$I,"Exacto"),Prod_Prop!$A:$A,Prod_Prop!$J:$J,"",0,1))</f>
        <v/>
      </c>
      <c r="J377" s="4" t="str">
        <f t="array" ref="J377">IF($E377="","", XLOOKUP(SUMIFS(Prod_Prop!$A:$A,Prod_Prop!$B:$B,$E377,Prod_Prop!$H:$H,J$1,Prod_Prop!$I:$I,"Exacto"),Prod_Prop!$A:$A,Prod_Prop!$J:$J,"",0,1))</f>
        <v/>
      </c>
      <c r="K377" s="4" t="str">
        <f t="array" ref="K377">IF($E377="","", XLOOKUP(SUMIFS(Prod_Prop!$A:$A,Prod_Prop!$B:$B,$E377,Prod_Prop!$H:$H,K$1,Prod_Prop!$I:$I,"Exacto"),Prod_Prop!$A:$A,Prod_Prop!$J:$J,"",0,1))</f>
        <v/>
      </c>
      <c r="L377" s="4" t="str">
        <f t="array" ref="L377">IF($E377="","", XLOOKUP(SUMIFS(Prod_Prop!$A:$A,Prod_Prop!$B:$B,$E377,Prod_Prop!$H:$H,L$1,Prod_Prop!$I:$I,"Exacto"),Prod_Prop!$A:$A,Prod_Prop!$J:$J,"",0,1))</f>
        <v/>
      </c>
      <c r="M377" s="4" t="str">
        <f t="array" ref="M377">IF($E377="","", XLOOKUP(SUMIFS(Prod_Prop!$A:$A,Prod_Prop!$B:$B,$E377,Prod_Prop!$H:$H,M$1,Prod_Prop!$I:$I,"Exacto"),Prod_Prop!$A:$A,Prod_Prop!$J:$J,"",0,1))</f>
        <v/>
      </c>
      <c r="N377" s="4" t="str">
        <f t="array" ref="N377">IF($E377="","", XLOOKUP(SUMIFS(Prod_Prop!$A:$A,Prod_Prop!$B:$B,$E377,Prod_Prop!$H:$H,N$1,Prod_Prop!$I:$I,"Exacto"),Prod_Prop!$A:$A,Prod_Prop!$J:$J,"",0,1))</f>
        <v/>
      </c>
      <c r="O377" s="4" t="str">
        <f t="array" ref="O377">IF($E377="","", XLOOKUP(SUMIFS(Prod_Prop!$A:$A,Prod_Prop!$B:$B,$E377,Prod_Prop!$H:$H,O$1,Prod_Prop!$I:$I,"Exacto"),Prod_Prop!$A:$A,Prod_Prop!$J:$J,"",0,1))</f>
        <v/>
      </c>
      <c r="P377" s="4" t="str">
        <f t="array" ref="P377">IF($E377="","", XLOOKUP(SUMIFS(Prod_Prop!$A:$A,Prod_Prop!$B:$B,$E377,Prod_Prop!$H:$H,P$1,Prod_Prop!$I:$I,"Exacto"),Prod_Prop!$A:$A,Prod_Prop!$J:$J,"",0,1))</f>
        <v/>
      </c>
      <c r="Q377" s="4" t="str">
        <f t="array" ref="Q377">IF($E377="","", XLOOKUP(SUMIFS(Prod_Prop!$A:$A,Prod_Prop!$B:$B,$E377,Prod_Prop!$H:$H,Q$1,Prod_Prop!$I:$I,"Exacto"),Prod_Prop!$A:$A,Prod_Prop!$J:$J,"",0,1))</f>
        <v/>
      </c>
      <c r="R377" s="4" t="str">
        <f t="array" ref="R377">IF($E377="","", XLOOKUP(SUMIFS(Prod_Prop!$A:$A,Prod_Prop!$B:$B,$E377,Prod_Prop!$H:$H,R$1,Prod_Prop!$I:$I,"Exacto"),Prod_Prop!$A:$A,Prod_Prop!$J:$J,"",0,1))</f>
        <v/>
      </c>
      <c r="S377" s="4" t="str">
        <f t="array" ref="S377">IF($E377="","", XLOOKUP(SUMIFS(Prod_Prop!$A:$A,Prod_Prop!$B:$B,$E377,Prod_Prop!$H:$H,S$1,Prod_Prop!$I:$I,"Exacto"),Prod_Prop!$A:$A,Prod_Prop!$J:$J,"",0,1))</f>
        <v/>
      </c>
      <c r="T377" s="4" t="str">
        <f t="array" ref="T377">IF($E377="","", XLOOKUP(SUMIFS(Prod_Prop!$A:$A,Prod_Prop!$B:$B,$E377,Prod_Prop!$H:$H,T$1,Prod_Prop!$I:$I,"Exacto"),Prod_Prop!$A:$A,Prod_Prop!$J:$J,"",0,1))</f>
        <v/>
      </c>
      <c r="U377" s="4" t="str">
        <f t="array" ref="U377">IF($E377="","", XLOOKUP(SUMIFS(Prod_Prop!$A:$A,Prod_Prop!$B:$B,$E377,Prod_Prop!$H:$H,U$1,Prod_Prop!$I:$I,"Exacto"),Prod_Prop!$A:$A,Prod_Prop!$J:$J,"",0,1))</f>
        <v/>
      </c>
      <c r="V377" s="4" t="str">
        <f t="array" ref="V377">IF($E377="","", XLOOKUP(SUMIFS(Prod_Prop!$A:$A,Prod_Prop!$B:$B,$E377,Prod_Prop!$H:$H,V$1,Prod_Prop!$I:$I,"Exacto"),Prod_Prop!$A:$A,Prod_Prop!$J:$J,"",0,1))</f>
        <v/>
      </c>
      <c r="X377" s="3" t="str">
        <f>IFERROR(__xludf.DUMMYFUNCTION("IF(D377="""","""",IFERROR(TRANSPOSE(FILTER('Validaciones Cotizador'!U:U,'Validaciones Cotizador'!O:O=D377,'Validaciones Cotizador'!T:T=""x"")),""Finalizar""))"),"")</f>
        <v/>
      </c>
    </row>
    <row r="378">
      <c r="A378" s="2" t="str">
        <f t="array" ref="A378">IF(E378="","",XLOOKUP(D378,'Validaciones Cotizador'!C:C,'Validaciones Cotizador'!A:A,"",0,1))</f>
        <v/>
      </c>
      <c r="B378" s="2" t="str">
        <f t="array" ref="B378">IF(F378="","",XLOOKUP(F378,Productos!E:E,Productos!G:G,"",0,1))</f>
        <v/>
      </c>
      <c r="C378" s="2" t="str">
        <f>IF(A378="","",SUMIFS('Validaciones Cotizador'!B:B,'Validaciones Cotizador'!C:C,D378,'Validaciones Cotizador'!A:A,A378))</f>
        <v/>
      </c>
      <c r="D378" s="4" t="str">
        <f>IFERROR(__xludf.DUMMYFUNCTION("IF(OR(F377=""Finalizar"",F377="""",F377=""Selecciona..""),"""",IF(OR(F377=""-"",INDEX(filter(Familias!F:F,Familias!D:D=A377,Familias!E:E=C377),1)=""O""),D377+1,D377))"),"")</f>
        <v/>
      </c>
      <c r="E378" s="2" t="str">
        <f>IF(OR(F378="",F378="Selecciona.."),"",IF(D378="Implemento",SUMIF(Implementos!B:B,F378,Implementos!A:A),SUMIF(Productos!E:E,F378,Productos!A:A)))</f>
        <v/>
      </c>
      <c r="F378" s="2" t="str">
        <f t="shared" si="2"/>
        <v/>
      </c>
      <c r="G378" s="10" t="str">
        <f t="array" ref="G378">IF(OR(F378="",F378="-",F378="Selecciona..",F378="Finalizar"),"",IF(A378="Rodados",XLOOKUP(B378,'Validaciones Cotizador'!I:I,'Validaciones Cotizador'!J:J,0,0,1),1))</f>
        <v/>
      </c>
      <c r="H378" s="11" t="str">
        <f>IF(OR(F378="",F378="Selecciona.."),"",SUMIF(Precio_Productos!K:K,E378,Precio_Productos!J:J)*G378)</f>
        <v/>
      </c>
      <c r="I378" s="4" t="str">
        <f t="array" ref="I378">IF($E378="","", XLOOKUP(SUMIFS(Prod_Prop!$A:$A,Prod_Prop!$B:$B,$E378,Prod_Prop!$H:$H,I$1,Prod_Prop!$I:$I,"Exacto"),Prod_Prop!$A:$A,Prod_Prop!$J:$J,"",0,1))</f>
        <v/>
      </c>
      <c r="J378" s="4" t="str">
        <f t="array" ref="J378">IF($E378="","", XLOOKUP(SUMIFS(Prod_Prop!$A:$A,Prod_Prop!$B:$B,$E378,Prod_Prop!$H:$H,J$1,Prod_Prop!$I:$I,"Exacto"),Prod_Prop!$A:$A,Prod_Prop!$J:$J,"",0,1))</f>
        <v/>
      </c>
      <c r="K378" s="4" t="str">
        <f t="array" ref="K378">IF($E378="","", XLOOKUP(SUMIFS(Prod_Prop!$A:$A,Prod_Prop!$B:$B,$E378,Prod_Prop!$H:$H,K$1,Prod_Prop!$I:$I,"Exacto"),Prod_Prop!$A:$A,Prod_Prop!$J:$J,"",0,1))</f>
        <v/>
      </c>
      <c r="L378" s="4" t="str">
        <f t="array" ref="L378">IF($E378="","", XLOOKUP(SUMIFS(Prod_Prop!$A:$A,Prod_Prop!$B:$B,$E378,Prod_Prop!$H:$H,L$1,Prod_Prop!$I:$I,"Exacto"),Prod_Prop!$A:$A,Prod_Prop!$J:$J,"",0,1))</f>
        <v/>
      </c>
      <c r="M378" s="4" t="str">
        <f t="array" ref="M378">IF($E378="","", XLOOKUP(SUMIFS(Prod_Prop!$A:$A,Prod_Prop!$B:$B,$E378,Prod_Prop!$H:$H,M$1,Prod_Prop!$I:$I,"Exacto"),Prod_Prop!$A:$A,Prod_Prop!$J:$J,"",0,1))</f>
        <v/>
      </c>
      <c r="N378" s="4" t="str">
        <f t="array" ref="N378">IF($E378="","", XLOOKUP(SUMIFS(Prod_Prop!$A:$A,Prod_Prop!$B:$B,$E378,Prod_Prop!$H:$H,N$1,Prod_Prop!$I:$I,"Exacto"),Prod_Prop!$A:$A,Prod_Prop!$J:$J,"",0,1))</f>
        <v/>
      </c>
      <c r="O378" s="4" t="str">
        <f t="array" ref="O378">IF($E378="","", XLOOKUP(SUMIFS(Prod_Prop!$A:$A,Prod_Prop!$B:$B,$E378,Prod_Prop!$H:$H,O$1,Prod_Prop!$I:$I,"Exacto"),Prod_Prop!$A:$A,Prod_Prop!$J:$J,"",0,1))</f>
        <v/>
      </c>
      <c r="P378" s="4" t="str">
        <f t="array" ref="P378">IF($E378="","", XLOOKUP(SUMIFS(Prod_Prop!$A:$A,Prod_Prop!$B:$B,$E378,Prod_Prop!$H:$H,P$1,Prod_Prop!$I:$I,"Exacto"),Prod_Prop!$A:$A,Prod_Prop!$J:$J,"",0,1))</f>
        <v/>
      </c>
      <c r="Q378" s="4" t="str">
        <f t="array" ref="Q378">IF($E378="","", XLOOKUP(SUMIFS(Prod_Prop!$A:$A,Prod_Prop!$B:$B,$E378,Prod_Prop!$H:$H,Q$1,Prod_Prop!$I:$I,"Exacto"),Prod_Prop!$A:$A,Prod_Prop!$J:$J,"",0,1))</f>
        <v/>
      </c>
      <c r="R378" s="4" t="str">
        <f t="array" ref="R378">IF($E378="","", XLOOKUP(SUMIFS(Prod_Prop!$A:$A,Prod_Prop!$B:$B,$E378,Prod_Prop!$H:$H,R$1,Prod_Prop!$I:$I,"Exacto"),Prod_Prop!$A:$A,Prod_Prop!$J:$J,"",0,1))</f>
        <v/>
      </c>
      <c r="S378" s="4" t="str">
        <f t="array" ref="S378">IF($E378="","", XLOOKUP(SUMIFS(Prod_Prop!$A:$A,Prod_Prop!$B:$B,$E378,Prod_Prop!$H:$H,S$1,Prod_Prop!$I:$I,"Exacto"),Prod_Prop!$A:$A,Prod_Prop!$J:$J,"",0,1))</f>
        <v/>
      </c>
      <c r="T378" s="4" t="str">
        <f t="array" ref="T378">IF($E378="","", XLOOKUP(SUMIFS(Prod_Prop!$A:$A,Prod_Prop!$B:$B,$E378,Prod_Prop!$H:$H,T$1,Prod_Prop!$I:$I,"Exacto"),Prod_Prop!$A:$A,Prod_Prop!$J:$J,"",0,1))</f>
        <v/>
      </c>
      <c r="U378" s="4" t="str">
        <f t="array" ref="U378">IF($E378="","", XLOOKUP(SUMIFS(Prod_Prop!$A:$A,Prod_Prop!$B:$B,$E378,Prod_Prop!$H:$H,U$1,Prod_Prop!$I:$I,"Exacto"),Prod_Prop!$A:$A,Prod_Prop!$J:$J,"",0,1))</f>
        <v/>
      </c>
      <c r="V378" s="4" t="str">
        <f t="array" ref="V378">IF($E378="","", XLOOKUP(SUMIFS(Prod_Prop!$A:$A,Prod_Prop!$B:$B,$E378,Prod_Prop!$H:$H,V$1,Prod_Prop!$I:$I,"Exacto"),Prod_Prop!$A:$A,Prod_Prop!$J:$J,"",0,1))</f>
        <v/>
      </c>
      <c r="X378" s="3" t="str">
        <f>IFERROR(__xludf.DUMMYFUNCTION("IF(D378="""","""",IFERROR(TRANSPOSE(FILTER('Validaciones Cotizador'!U:U,'Validaciones Cotizador'!O:O=D378,'Validaciones Cotizador'!T:T=""x"")),""Finalizar""))"),"")</f>
        <v/>
      </c>
    </row>
    <row r="379">
      <c r="A379" s="2" t="str">
        <f t="array" ref="A379">IF(E379="","",XLOOKUP(D379,'Validaciones Cotizador'!C:C,'Validaciones Cotizador'!A:A,"",0,1))</f>
        <v/>
      </c>
      <c r="B379" s="2" t="str">
        <f t="array" ref="B379">IF(F379="","",XLOOKUP(F379,Productos!E:E,Productos!G:G,"",0,1))</f>
        <v/>
      </c>
      <c r="C379" s="2" t="str">
        <f>IF(A379="","",SUMIFS('Validaciones Cotizador'!B:B,'Validaciones Cotizador'!C:C,D379,'Validaciones Cotizador'!A:A,A379))</f>
        <v/>
      </c>
      <c r="D379" s="4" t="str">
        <f>IFERROR(__xludf.DUMMYFUNCTION("IF(OR(F378=""Finalizar"",F378="""",F378=""Selecciona..""),"""",IF(OR(F378=""-"",INDEX(filter(Familias!F:F,Familias!D:D=A378,Familias!E:E=C378),1)=""O""),D378+1,D378))"),"")</f>
        <v/>
      </c>
      <c r="E379" s="2" t="str">
        <f>IF(OR(F379="",F379="Selecciona.."),"",IF(D379="Implemento",SUMIF(Implementos!B:B,F379,Implementos!A:A),SUMIF(Productos!E:E,F379,Productos!A:A)))</f>
        <v/>
      </c>
      <c r="F379" s="2" t="str">
        <f t="shared" si="2"/>
        <v/>
      </c>
      <c r="G379" s="10" t="str">
        <f t="array" ref="G379">IF(OR(F379="",F379="-",F379="Selecciona..",F379="Finalizar"),"",IF(A379="Rodados",XLOOKUP(B379,'Validaciones Cotizador'!I:I,'Validaciones Cotizador'!J:J,0,0,1),1))</f>
        <v/>
      </c>
      <c r="H379" s="11" t="str">
        <f>IF(OR(F379="",F379="Selecciona.."),"",SUMIF(Precio_Productos!K:K,E379,Precio_Productos!J:J)*G379)</f>
        <v/>
      </c>
      <c r="I379" s="4" t="str">
        <f t="array" ref="I379">IF($E379="","", XLOOKUP(SUMIFS(Prod_Prop!$A:$A,Prod_Prop!$B:$B,$E379,Prod_Prop!$H:$H,I$1,Prod_Prop!$I:$I,"Exacto"),Prod_Prop!$A:$A,Prod_Prop!$J:$J,"",0,1))</f>
        <v/>
      </c>
      <c r="J379" s="4" t="str">
        <f t="array" ref="J379">IF($E379="","", XLOOKUP(SUMIFS(Prod_Prop!$A:$A,Prod_Prop!$B:$B,$E379,Prod_Prop!$H:$H,J$1,Prod_Prop!$I:$I,"Exacto"),Prod_Prop!$A:$A,Prod_Prop!$J:$J,"",0,1))</f>
        <v/>
      </c>
      <c r="K379" s="4" t="str">
        <f t="array" ref="K379">IF($E379="","", XLOOKUP(SUMIFS(Prod_Prop!$A:$A,Prod_Prop!$B:$B,$E379,Prod_Prop!$H:$H,K$1,Prod_Prop!$I:$I,"Exacto"),Prod_Prop!$A:$A,Prod_Prop!$J:$J,"",0,1))</f>
        <v/>
      </c>
      <c r="L379" s="4" t="str">
        <f t="array" ref="L379">IF($E379="","", XLOOKUP(SUMIFS(Prod_Prop!$A:$A,Prod_Prop!$B:$B,$E379,Prod_Prop!$H:$H,L$1,Prod_Prop!$I:$I,"Exacto"),Prod_Prop!$A:$A,Prod_Prop!$J:$J,"",0,1))</f>
        <v/>
      </c>
      <c r="M379" s="4" t="str">
        <f t="array" ref="M379">IF($E379="","", XLOOKUP(SUMIFS(Prod_Prop!$A:$A,Prod_Prop!$B:$B,$E379,Prod_Prop!$H:$H,M$1,Prod_Prop!$I:$I,"Exacto"),Prod_Prop!$A:$A,Prod_Prop!$J:$J,"",0,1))</f>
        <v/>
      </c>
      <c r="N379" s="4" t="str">
        <f t="array" ref="N379">IF($E379="","", XLOOKUP(SUMIFS(Prod_Prop!$A:$A,Prod_Prop!$B:$B,$E379,Prod_Prop!$H:$H,N$1,Prod_Prop!$I:$I,"Exacto"),Prod_Prop!$A:$A,Prod_Prop!$J:$J,"",0,1))</f>
        <v/>
      </c>
      <c r="O379" s="4" t="str">
        <f t="array" ref="O379">IF($E379="","", XLOOKUP(SUMIFS(Prod_Prop!$A:$A,Prod_Prop!$B:$B,$E379,Prod_Prop!$H:$H,O$1,Prod_Prop!$I:$I,"Exacto"),Prod_Prop!$A:$A,Prod_Prop!$J:$J,"",0,1))</f>
        <v/>
      </c>
      <c r="P379" s="4" t="str">
        <f t="array" ref="P379">IF($E379="","", XLOOKUP(SUMIFS(Prod_Prop!$A:$A,Prod_Prop!$B:$B,$E379,Prod_Prop!$H:$H,P$1,Prod_Prop!$I:$I,"Exacto"),Prod_Prop!$A:$A,Prod_Prop!$J:$J,"",0,1))</f>
        <v/>
      </c>
      <c r="Q379" s="4" t="str">
        <f t="array" ref="Q379">IF($E379="","", XLOOKUP(SUMIFS(Prod_Prop!$A:$A,Prod_Prop!$B:$B,$E379,Prod_Prop!$H:$H,Q$1,Prod_Prop!$I:$I,"Exacto"),Prod_Prop!$A:$A,Prod_Prop!$J:$J,"",0,1))</f>
        <v/>
      </c>
      <c r="R379" s="4" t="str">
        <f t="array" ref="R379">IF($E379="","", XLOOKUP(SUMIFS(Prod_Prop!$A:$A,Prod_Prop!$B:$B,$E379,Prod_Prop!$H:$H,R$1,Prod_Prop!$I:$I,"Exacto"),Prod_Prop!$A:$A,Prod_Prop!$J:$J,"",0,1))</f>
        <v/>
      </c>
      <c r="S379" s="4" t="str">
        <f t="array" ref="S379">IF($E379="","", XLOOKUP(SUMIFS(Prod_Prop!$A:$A,Prod_Prop!$B:$B,$E379,Prod_Prop!$H:$H,S$1,Prod_Prop!$I:$I,"Exacto"),Prod_Prop!$A:$A,Prod_Prop!$J:$J,"",0,1))</f>
        <v/>
      </c>
      <c r="T379" s="4" t="str">
        <f t="array" ref="T379">IF($E379="","", XLOOKUP(SUMIFS(Prod_Prop!$A:$A,Prod_Prop!$B:$B,$E379,Prod_Prop!$H:$H,T$1,Prod_Prop!$I:$I,"Exacto"),Prod_Prop!$A:$A,Prod_Prop!$J:$J,"",0,1))</f>
        <v/>
      </c>
      <c r="U379" s="4" t="str">
        <f t="array" ref="U379">IF($E379="","", XLOOKUP(SUMIFS(Prod_Prop!$A:$A,Prod_Prop!$B:$B,$E379,Prod_Prop!$H:$H,U$1,Prod_Prop!$I:$I,"Exacto"),Prod_Prop!$A:$A,Prod_Prop!$J:$J,"",0,1))</f>
        <v/>
      </c>
      <c r="V379" s="4" t="str">
        <f t="array" ref="V379">IF($E379="","", XLOOKUP(SUMIFS(Prod_Prop!$A:$A,Prod_Prop!$B:$B,$E379,Prod_Prop!$H:$H,V$1,Prod_Prop!$I:$I,"Exacto"),Prod_Prop!$A:$A,Prod_Prop!$J:$J,"",0,1))</f>
        <v/>
      </c>
      <c r="X379" s="3" t="str">
        <f>IFERROR(__xludf.DUMMYFUNCTION("IF(D379="""","""",IFERROR(TRANSPOSE(FILTER('Validaciones Cotizador'!U:U,'Validaciones Cotizador'!O:O=D379,'Validaciones Cotizador'!T:T=""x"")),""Finalizar""))"),"")</f>
        <v/>
      </c>
    </row>
    <row r="380">
      <c r="A380" s="2" t="str">
        <f t="array" ref="A380">IF(E380="","",XLOOKUP(D380,'Validaciones Cotizador'!C:C,'Validaciones Cotizador'!A:A,"",0,1))</f>
        <v/>
      </c>
      <c r="B380" s="2" t="str">
        <f t="array" ref="B380">IF(F380="","",XLOOKUP(F380,Productos!E:E,Productos!G:G,"",0,1))</f>
        <v/>
      </c>
      <c r="C380" s="2" t="str">
        <f>IF(A380="","",SUMIFS('Validaciones Cotizador'!B:B,'Validaciones Cotizador'!C:C,D380,'Validaciones Cotizador'!A:A,A380))</f>
        <v/>
      </c>
      <c r="D380" s="4" t="str">
        <f>IFERROR(__xludf.DUMMYFUNCTION("IF(OR(F379=""Finalizar"",F379="""",F379=""Selecciona..""),"""",IF(OR(F379=""-"",INDEX(filter(Familias!F:F,Familias!D:D=A379,Familias!E:E=C379),1)=""O""),D379+1,D379))"),"")</f>
        <v/>
      </c>
      <c r="E380" s="2" t="str">
        <f>IF(OR(F380="",F380="Selecciona.."),"",IF(D380="Implemento",SUMIF(Implementos!B:B,F380,Implementos!A:A),SUMIF(Productos!E:E,F380,Productos!A:A)))</f>
        <v/>
      </c>
      <c r="F380" s="2" t="str">
        <f t="shared" si="2"/>
        <v/>
      </c>
      <c r="G380" s="10" t="str">
        <f t="array" ref="G380">IF(OR(F380="",F380="-",F380="Selecciona..",F380="Finalizar"),"",IF(A380="Rodados",XLOOKUP(B380,'Validaciones Cotizador'!I:I,'Validaciones Cotizador'!J:J,0,0,1),1))</f>
        <v/>
      </c>
      <c r="H380" s="11" t="str">
        <f>IF(OR(F380="",F380="Selecciona.."),"",SUMIF(Precio_Productos!K:K,E380,Precio_Productos!J:J)*G380)</f>
        <v/>
      </c>
      <c r="I380" s="4" t="str">
        <f t="array" ref="I380">IF($E380="","", XLOOKUP(SUMIFS(Prod_Prop!$A:$A,Prod_Prop!$B:$B,$E380,Prod_Prop!$H:$H,I$1,Prod_Prop!$I:$I,"Exacto"),Prod_Prop!$A:$A,Prod_Prop!$J:$J,"",0,1))</f>
        <v/>
      </c>
      <c r="J380" s="4" t="str">
        <f t="array" ref="J380">IF($E380="","", XLOOKUP(SUMIFS(Prod_Prop!$A:$A,Prod_Prop!$B:$B,$E380,Prod_Prop!$H:$H,J$1,Prod_Prop!$I:$I,"Exacto"),Prod_Prop!$A:$A,Prod_Prop!$J:$J,"",0,1))</f>
        <v/>
      </c>
      <c r="K380" s="4" t="str">
        <f t="array" ref="K380">IF($E380="","", XLOOKUP(SUMIFS(Prod_Prop!$A:$A,Prod_Prop!$B:$B,$E380,Prod_Prop!$H:$H,K$1,Prod_Prop!$I:$I,"Exacto"),Prod_Prop!$A:$A,Prod_Prop!$J:$J,"",0,1))</f>
        <v/>
      </c>
      <c r="L380" s="4" t="str">
        <f t="array" ref="L380">IF($E380="","", XLOOKUP(SUMIFS(Prod_Prop!$A:$A,Prod_Prop!$B:$B,$E380,Prod_Prop!$H:$H,L$1,Prod_Prop!$I:$I,"Exacto"),Prod_Prop!$A:$A,Prod_Prop!$J:$J,"",0,1))</f>
        <v/>
      </c>
      <c r="M380" s="4" t="str">
        <f t="array" ref="M380">IF($E380="","", XLOOKUP(SUMIFS(Prod_Prop!$A:$A,Prod_Prop!$B:$B,$E380,Prod_Prop!$H:$H,M$1,Prod_Prop!$I:$I,"Exacto"),Prod_Prop!$A:$A,Prod_Prop!$J:$J,"",0,1))</f>
        <v/>
      </c>
      <c r="N380" s="4" t="str">
        <f t="array" ref="N380">IF($E380="","", XLOOKUP(SUMIFS(Prod_Prop!$A:$A,Prod_Prop!$B:$B,$E380,Prod_Prop!$H:$H,N$1,Prod_Prop!$I:$I,"Exacto"),Prod_Prop!$A:$A,Prod_Prop!$J:$J,"",0,1))</f>
        <v/>
      </c>
      <c r="O380" s="4" t="str">
        <f t="array" ref="O380">IF($E380="","", XLOOKUP(SUMIFS(Prod_Prop!$A:$A,Prod_Prop!$B:$B,$E380,Prod_Prop!$H:$H,O$1,Prod_Prop!$I:$I,"Exacto"),Prod_Prop!$A:$A,Prod_Prop!$J:$J,"",0,1))</f>
        <v/>
      </c>
      <c r="P380" s="4" t="str">
        <f t="array" ref="P380">IF($E380="","", XLOOKUP(SUMIFS(Prod_Prop!$A:$A,Prod_Prop!$B:$B,$E380,Prod_Prop!$H:$H,P$1,Prod_Prop!$I:$I,"Exacto"),Prod_Prop!$A:$A,Prod_Prop!$J:$J,"",0,1))</f>
        <v/>
      </c>
      <c r="Q380" s="4" t="str">
        <f t="array" ref="Q380">IF($E380="","", XLOOKUP(SUMIFS(Prod_Prop!$A:$A,Prod_Prop!$B:$B,$E380,Prod_Prop!$H:$H,Q$1,Prod_Prop!$I:$I,"Exacto"),Prod_Prop!$A:$A,Prod_Prop!$J:$J,"",0,1))</f>
        <v/>
      </c>
      <c r="R380" s="4" t="str">
        <f t="array" ref="R380">IF($E380="","", XLOOKUP(SUMIFS(Prod_Prop!$A:$A,Prod_Prop!$B:$B,$E380,Prod_Prop!$H:$H,R$1,Prod_Prop!$I:$I,"Exacto"),Prod_Prop!$A:$A,Prod_Prop!$J:$J,"",0,1))</f>
        <v/>
      </c>
      <c r="S380" s="4" t="str">
        <f t="array" ref="S380">IF($E380="","", XLOOKUP(SUMIFS(Prod_Prop!$A:$A,Prod_Prop!$B:$B,$E380,Prod_Prop!$H:$H,S$1,Prod_Prop!$I:$I,"Exacto"),Prod_Prop!$A:$A,Prod_Prop!$J:$J,"",0,1))</f>
        <v/>
      </c>
      <c r="T380" s="4" t="str">
        <f t="array" ref="T380">IF($E380="","", XLOOKUP(SUMIFS(Prod_Prop!$A:$A,Prod_Prop!$B:$B,$E380,Prod_Prop!$H:$H,T$1,Prod_Prop!$I:$I,"Exacto"),Prod_Prop!$A:$A,Prod_Prop!$J:$J,"",0,1))</f>
        <v/>
      </c>
      <c r="U380" s="4" t="str">
        <f t="array" ref="U380">IF($E380="","", XLOOKUP(SUMIFS(Prod_Prop!$A:$A,Prod_Prop!$B:$B,$E380,Prod_Prop!$H:$H,U$1,Prod_Prop!$I:$I,"Exacto"),Prod_Prop!$A:$A,Prod_Prop!$J:$J,"",0,1))</f>
        <v/>
      </c>
      <c r="V380" s="4" t="str">
        <f t="array" ref="V380">IF($E380="","", XLOOKUP(SUMIFS(Prod_Prop!$A:$A,Prod_Prop!$B:$B,$E380,Prod_Prop!$H:$H,V$1,Prod_Prop!$I:$I,"Exacto"),Prod_Prop!$A:$A,Prod_Prop!$J:$J,"",0,1))</f>
        <v/>
      </c>
      <c r="X380" s="3" t="str">
        <f>IFERROR(__xludf.DUMMYFUNCTION("IF(D380="""","""",IFERROR(TRANSPOSE(FILTER('Validaciones Cotizador'!U:U,'Validaciones Cotizador'!O:O=D380,'Validaciones Cotizador'!T:T=""x"")),""Finalizar""))"),"")</f>
        <v/>
      </c>
    </row>
    <row r="381">
      <c r="A381" s="2" t="str">
        <f t="array" ref="A381">IF(E381="","",XLOOKUP(D381,'Validaciones Cotizador'!C:C,'Validaciones Cotizador'!A:A,"",0,1))</f>
        <v/>
      </c>
      <c r="B381" s="2" t="str">
        <f t="array" ref="B381">IF(F381="","",XLOOKUP(F381,Productos!E:E,Productos!G:G,"",0,1))</f>
        <v/>
      </c>
      <c r="C381" s="2" t="str">
        <f>IF(A381="","",SUMIFS('Validaciones Cotizador'!B:B,'Validaciones Cotizador'!C:C,D381,'Validaciones Cotizador'!A:A,A381))</f>
        <v/>
      </c>
      <c r="D381" s="4" t="str">
        <f>IFERROR(__xludf.DUMMYFUNCTION("IF(OR(F380=""Finalizar"",F380="""",F380=""Selecciona..""),"""",IF(OR(F380=""-"",INDEX(filter(Familias!F:F,Familias!D:D=A380,Familias!E:E=C380),1)=""O""),D380+1,D380))"),"")</f>
        <v/>
      </c>
      <c r="E381" s="2" t="str">
        <f>IF(OR(F381="",F381="Selecciona.."),"",IF(D381="Implemento",SUMIF(Implementos!B:B,F381,Implementos!A:A),SUMIF(Productos!E:E,F381,Productos!A:A)))</f>
        <v/>
      </c>
      <c r="F381" s="2" t="str">
        <f t="shared" si="2"/>
        <v/>
      </c>
      <c r="G381" s="10" t="str">
        <f t="array" ref="G381">IF(OR(F381="",F381="-",F381="Selecciona..",F381="Finalizar"),"",IF(A381="Rodados",XLOOKUP(B381,'Validaciones Cotizador'!I:I,'Validaciones Cotizador'!J:J,0,0,1),1))</f>
        <v/>
      </c>
      <c r="H381" s="11" t="str">
        <f>IF(OR(F381="",F381="Selecciona.."),"",SUMIF(Precio_Productos!K:K,E381,Precio_Productos!J:J)*G381)</f>
        <v/>
      </c>
      <c r="I381" s="4" t="str">
        <f t="array" ref="I381">IF($E381="","", XLOOKUP(SUMIFS(Prod_Prop!$A:$A,Prod_Prop!$B:$B,$E381,Prod_Prop!$H:$H,I$1,Prod_Prop!$I:$I,"Exacto"),Prod_Prop!$A:$A,Prod_Prop!$J:$J,"",0,1))</f>
        <v/>
      </c>
      <c r="J381" s="4" t="str">
        <f t="array" ref="J381">IF($E381="","", XLOOKUP(SUMIFS(Prod_Prop!$A:$A,Prod_Prop!$B:$B,$E381,Prod_Prop!$H:$H,J$1,Prod_Prop!$I:$I,"Exacto"),Prod_Prop!$A:$A,Prod_Prop!$J:$J,"",0,1))</f>
        <v/>
      </c>
      <c r="K381" s="4" t="str">
        <f t="array" ref="K381">IF($E381="","", XLOOKUP(SUMIFS(Prod_Prop!$A:$A,Prod_Prop!$B:$B,$E381,Prod_Prop!$H:$H,K$1,Prod_Prop!$I:$I,"Exacto"),Prod_Prop!$A:$A,Prod_Prop!$J:$J,"",0,1))</f>
        <v/>
      </c>
      <c r="L381" s="4" t="str">
        <f t="array" ref="L381">IF($E381="","", XLOOKUP(SUMIFS(Prod_Prop!$A:$A,Prod_Prop!$B:$B,$E381,Prod_Prop!$H:$H,L$1,Prod_Prop!$I:$I,"Exacto"),Prod_Prop!$A:$A,Prod_Prop!$J:$J,"",0,1))</f>
        <v/>
      </c>
      <c r="M381" s="4" t="str">
        <f t="array" ref="M381">IF($E381="","", XLOOKUP(SUMIFS(Prod_Prop!$A:$A,Prod_Prop!$B:$B,$E381,Prod_Prop!$H:$H,M$1,Prod_Prop!$I:$I,"Exacto"),Prod_Prop!$A:$A,Prod_Prop!$J:$J,"",0,1))</f>
        <v/>
      </c>
      <c r="N381" s="4" t="str">
        <f t="array" ref="N381">IF($E381="","", XLOOKUP(SUMIFS(Prod_Prop!$A:$A,Prod_Prop!$B:$B,$E381,Prod_Prop!$H:$H,N$1,Prod_Prop!$I:$I,"Exacto"),Prod_Prop!$A:$A,Prod_Prop!$J:$J,"",0,1))</f>
        <v/>
      </c>
      <c r="O381" s="4" t="str">
        <f t="array" ref="O381">IF($E381="","", XLOOKUP(SUMIFS(Prod_Prop!$A:$A,Prod_Prop!$B:$B,$E381,Prod_Prop!$H:$H,O$1,Prod_Prop!$I:$I,"Exacto"),Prod_Prop!$A:$A,Prod_Prop!$J:$J,"",0,1))</f>
        <v/>
      </c>
      <c r="P381" s="4" t="str">
        <f t="array" ref="P381">IF($E381="","", XLOOKUP(SUMIFS(Prod_Prop!$A:$A,Prod_Prop!$B:$B,$E381,Prod_Prop!$H:$H,P$1,Prod_Prop!$I:$I,"Exacto"),Prod_Prop!$A:$A,Prod_Prop!$J:$J,"",0,1))</f>
        <v/>
      </c>
      <c r="Q381" s="4" t="str">
        <f t="array" ref="Q381">IF($E381="","", XLOOKUP(SUMIFS(Prod_Prop!$A:$A,Prod_Prop!$B:$B,$E381,Prod_Prop!$H:$H,Q$1,Prod_Prop!$I:$I,"Exacto"),Prod_Prop!$A:$A,Prod_Prop!$J:$J,"",0,1))</f>
        <v/>
      </c>
      <c r="R381" s="4" t="str">
        <f t="array" ref="R381">IF($E381="","", XLOOKUP(SUMIFS(Prod_Prop!$A:$A,Prod_Prop!$B:$B,$E381,Prod_Prop!$H:$H,R$1,Prod_Prop!$I:$I,"Exacto"),Prod_Prop!$A:$A,Prod_Prop!$J:$J,"",0,1))</f>
        <v/>
      </c>
      <c r="S381" s="4" t="str">
        <f t="array" ref="S381">IF($E381="","", XLOOKUP(SUMIFS(Prod_Prop!$A:$A,Prod_Prop!$B:$B,$E381,Prod_Prop!$H:$H,S$1,Prod_Prop!$I:$I,"Exacto"),Prod_Prop!$A:$A,Prod_Prop!$J:$J,"",0,1))</f>
        <v/>
      </c>
      <c r="T381" s="4" t="str">
        <f t="array" ref="T381">IF($E381="","", XLOOKUP(SUMIFS(Prod_Prop!$A:$A,Prod_Prop!$B:$B,$E381,Prod_Prop!$H:$H,T$1,Prod_Prop!$I:$I,"Exacto"),Prod_Prop!$A:$A,Prod_Prop!$J:$J,"",0,1))</f>
        <v/>
      </c>
      <c r="U381" s="4" t="str">
        <f t="array" ref="U381">IF($E381="","", XLOOKUP(SUMIFS(Prod_Prop!$A:$A,Prod_Prop!$B:$B,$E381,Prod_Prop!$H:$H,U$1,Prod_Prop!$I:$I,"Exacto"),Prod_Prop!$A:$A,Prod_Prop!$J:$J,"",0,1))</f>
        <v/>
      </c>
      <c r="V381" s="4" t="str">
        <f t="array" ref="V381">IF($E381="","", XLOOKUP(SUMIFS(Prod_Prop!$A:$A,Prod_Prop!$B:$B,$E381,Prod_Prop!$H:$H,V$1,Prod_Prop!$I:$I,"Exacto"),Prod_Prop!$A:$A,Prod_Prop!$J:$J,"",0,1))</f>
        <v/>
      </c>
      <c r="X381" s="3" t="str">
        <f>IFERROR(__xludf.DUMMYFUNCTION("IF(D381="""","""",IFERROR(TRANSPOSE(FILTER('Validaciones Cotizador'!U:U,'Validaciones Cotizador'!O:O=D381,'Validaciones Cotizador'!T:T=""x"")),""Finalizar""))"),"")</f>
        <v/>
      </c>
    </row>
    <row r="382">
      <c r="A382" s="2" t="str">
        <f t="array" ref="A382">IF(E382="","",XLOOKUP(D382,'Validaciones Cotizador'!C:C,'Validaciones Cotizador'!A:A,"",0,1))</f>
        <v/>
      </c>
      <c r="B382" s="2" t="str">
        <f t="array" ref="B382">IF(F382="","",XLOOKUP(F382,Productos!E:E,Productos!G:G,"",0,1))</f>
        <v/>
      </c>
      <c r="C382" s="2" t="str">
        <f>IF(A382="","",SUMIFS('Validaciones Cotizador'!B:B,'Validaciones Cotizador'!C:C,D382,'Validaciones Cotizador'!A:A,A382))</f>
        <v/>
      </c>
      <c r="D382" s="4" t="str">
        <f>IFERROR(__xludf.DUMMYFUNCTION("IF(OR(F381=""Finalizar"",F381="""",F381=""Selecciona..""),"""",IF(OR(F381=""-"",INDEX(filter(Familias!F:F,Familias!D:D=A381,Familias!E:E=C381),1)=""O""),D381+1,D381))"),"")</f>
        <v/>
      </c>
      <c r="E382" s="2" t="str">
        <f>IF(OR(F382="",F382="Selecciona.."),"",IF(D382="Implemento",SUMIF(Implementos!B:B,F382,Implementos!A:A),SUMIF(Productos!E:E,F382,Productos!A:A)))</f>
        <v/>
      </c>
      <c r="F382" s="2" t="str">
        <f t="shared" si="2"/>
        <v/>
      </c>
      <c r="G382" s="10" t="str">
        <f t="array" ref="G382">IF(OR(F382="",F382="-",F382="Selecciona..",F382="Finalizar"),"",IF(A382="Rodados",XLOOKUP(B382,'Validaciones Cotizador'!I:I,'Validaciones Cotizador'!J:J,0,0,1),1))</f>
        <v/>
      </c>
      <c r="H382" s="11" t="str">
        <f>IF(OR(F382="",F382="Selecciona.."),"",SUMIF(Precio_Productos!K:K,E382,Precio_Productos!J:J)*G382)</f>
        <v/>
      </c>
      <c r="I382" s="4" t="str">
        <f t="array" ref="I382">IF($E382="","", XLOOKUP(SUMIFS(Prod_Prop!$A:$A,Prod_Prop!$B:$B,$E382,Prod_Prop!$H:$H,I$1,Prod_Prop!$I:$I,"Exacto"),Prod_Prop!$A:$A,Prod_Prop!$J:$J,"",0,1))</f>
        <v/>
      </c>
      <c r="J382" s="4" t="str">
        <f t="array" ref="J382">IF($E382="","", XLOOKUP(SUMIFS(Prod_Prop!$A:$A,Prod_Prop!$B:$B,$E382,Prod_Prop!$H:$H,J$1,Prod_Prop!$I:$I,"Exacto"),Prod_Prop!$A:$A,Prod_Prop!$J:$J,"",0,1))</f>
        <v/>
      </c>
      <c r="K382" s="4" t="str">
        <f t="array" ref="K382">IF($E382="","", XLOOKUP(SUMIFS(Prod_Prop!$A:$A,Prod_Prop!$B:$B,$E382,Prod_Prop!$H:$H,K$1,Prod_Prop!$I:$I,"Exacto"),Prod_Prop!$A:$A,Prod_Prop!$J:$J,"",0,1))</f>
        <v/>
      </c>
      <c r="L382" s="4" t="str">
        <f t="array" ref="L382">IF($E382="","", XLOOKUP(SUMIFS(Prod_Prop!$A:$A,Prod_Prop!$B:$B,$E382,Prod_Prop!$H:$H,L$1,Prod_Prop!$I:$I,"Exacto"),Prod_Prop!$A:$A,Prod_Prop!$J:$J,"",0,1))</f>
        <v/>
      </c>
      <c r="M382" s="4" t="str">
        <f t="array" ref="M382">IF($E382="","", XLOOKUP(SUMIFS(Prod_Prop!$A:$A,Prod_Prop!$B:$B,$E382,Prod_Prop!$H:$H,M$1,Prod_Prop!$I:$I,"Exacto"),Prod_Prop!$A:$A,Prod_Prop!$J:$J,"",0,1))</f>
        <v/>
      </c>
      <c r="N382" s="4" t="str">
        <f t="array" ref="N382">IF($E382="","", XLOOKUP(SUMIFS(Prod_Prop!$A:$A,Prod_Prop!$B:$B,$E382,Prod_Prop!$H:$H,N$1,Prod_Prop!$I:$I,"Exacto"),Prod_Prop!$A:$A,Prod_Prop!$J:$J,"",0,1))</f>
        <v/>
      </c>
      <c r="O382" s="4" t="str">
        <f t="array" ref="O382">IF($E382="","", XLOOKUP(SUMIFS(Prod_Prop!$A:$A,Prod_Prop!$B:$B,$E382,Prod_Prop!$H:$H,O$1,Prod_Prop!$I:$I,"Exacto"),Prod_Prop!$A:$A,Prod_Prop!$J:$J,"",0,1))</f>
        <v/>
      </c>
      <c r="P382" s="4" t="str">
        <f t="array" ref="P382">IF($E382="","", XLOOKUP(SUMIFS(Prod_Prop!$A:$A,Prod_Prop!$B:$B,$E382,Prod_Prop!$H:$H,P$1,Prod_Prop!$I:$I,"Exacto"),Prod_Prop!$A:$A,Prod_Prop!$J:$J,"",0,1))</f>
        <v/>
      </c>
      <c r="Q382" s="4" t="str">
        <f t="array" ref="Q382">IF($E382="","", XLOOKUP(SUMIFS(Prod_Prop!$A:$A,Prod_Prop!$B:$B,$E382,Prod_Prop!$H:$H,Q$1,Prod_Prop!$I:$I,"Exacto"),Prod_Prop!$A:$A,Prod_Prop!$J:$J,"",0,1))</f>
        <v/>
      </c>
      <c r="R382" s="4" t="str">
        <f t="array" ref="R382">IF($E382="","", XLOOKUP(SUMIFS(Prod_Prop!$A:$A,Prod_Prop!$B:$B,$E382,Prod_Prop!$H:$H,R$1,Prod_Prop!$I:$I,"Exacto"),Prod_Prop!$A:$A,Prod_Prop!$J:$J,"",0,1))</f>
        <v/>
      </c>
      <c r="S382" s="4" t="str">
        <f t="array" ref="S382">IF($E382="","", XLOOKUP(SUMIFS(Prod_Prop!$A:$A,Prod_Prop!$B:$B,$E382,Prod_Prop!$H:$H,S$1,Prod_Prop!$I:$I,"Exacto"),Prod_Prop!$A:$A,Prod_Prop!$J:$J,"",0,1))</f>
        <v/>
      </c>
      <c r="T382" s="4" t="str">
        <f t="array" ref="T382">IF($E382="","", XLOOKUP(SUMIFS(Prod_Prop!$A:$A,Prod_Prop!$B:$B,$E382,Prod_Prop!$H:$H,T$1,Prod_Prop!$I:$I,"Exacto"),Prod_Prop!$A:$A,Prod_Prop!$J:$J,"",0,1))</f>
        <v/>
      </c>
      <c r="U382" s="4" t="str">
        <f t="array" ref="U382">IF($E382="","", XLOOKUP(SUMIFS(Prod_Prop!$A:$A,Prod_Prop!$B:$B,$E382,Prod_Prop!$H:$H,U$1,Prod_Prop!$I:$I,"Exacto"),Prod_Prop!$A:$A,Prod_Prop!$J:$J,"",0,1))</f>
        <v/>
      </c>
      <c r="V382" s="4" t="str">
        <f t="array" ref="V382">IF($E382="","", XLOOKUP(SUMIFS(Prod_Prop!$A:$A,Prod_Prop!$B:$B,$E382,Prod_Prop!$H:$H,V$1,Prod_Prop!$I:$I,"Exacto"),Prod_Prop!$A:$A,Prod_Prop!$J:$J,"",0,1))</f>
        <v/>
      </c>
      <c r="X382" s="3" t="str">
        <f>IFERROR(__xludf.DUMMYFUNCTION("IF(D382="""","""",IFERROR(TRANSPOSE(FILTER('Validaciones Cotizador'!U:U,'Validaciones Cotizador'!O:O=D382,'Validaciones Cotizador'!T:T=""x"")),""Finalizar""))"),"")</f>
        <v/>
      </c>
    </row>
    <row r="383">
      <c r="A383" s="2" t="str">
        <f t="array" ref="A383">IF(E383="","",XLOOKUP(D383,'Validaciones Cotizador'!C:C,'Validaciones Cotizador'!A:A,"",0,1))</f>
        <v/>
      </c>
      <c r="B383" s="2" t="str">
        <f t="array" ref="B383">IF(F383="","",XLOOKUP(F383,Productos!E:E,Productos!G:G,"",0,1))</f>
        <v/>
      </c>
      <c r="C383" s="2" t="str">
        <f>IF(A383="","",SUMIFS('Validaciones Cotizador'!B:B,'Validaciones Cotizador'!C:C,D383,'Validaciones Cotizador'!A:A,A383))</f>
        <v/>
      </c>
      <c r="D383" s="4" t="str">
        <f>IFERROR(__xludf.DUMMYFUNCTION("IF(OR(F382=""Finalizar"",F382="""",F382=""Selecciona..""),"""",IF(OR(F382=""-"",INDEX(filter(Familias!F:F,Familias!D:D=A382,Familias!E:E=C382),1)=""O""),D382+1,D382))"),"")</f>
        <v/>
      </c>
      <c r="E383" s="2" t="str">
        <f>IF(OR(F383="",F383="Selecciona.."),"",IF(D383="Implemento",SUMIF(Implementos!B:B,F383,Implementos!A:A),SUMIF(Productos!E:E,F383,Productos!A:A)))</f>
        <v/>
      </c>
      <c r="F383" s="2" t="str">
        <f t="shared" si="2"/>
        <v/>
      </c>
      <c r="G383" s="10" t="str">
        <f t="array" ref="G383">IF(OR(F383="",F383="-",F383="Selecciona..",F383="Finalizar"),"",IF(A383="Rodados",XLOOKUP(B383,'Validaciones Cotizador'!I:I,'Validaciones Cotizador'!J:J,0,0,1),1))</f>
        <v/>
      </c>
      <c r="H383" s="11" t="str">
        <f>IF(OR(F383="",F383="Selecciona.."),"",SUMIF(Precio_Productos!K:K,E383,Precio_Productos!J:J)*G383)</f>
        <v/>
      </c>
      <c r="I383" s="4" t="str">
        <f t="array" ref="I383">IF($E383="","", XLOOKUP(SUMIFS(Prod_Prop!$A:$A,Prod_Prop!$B:$B,$E383,Prod_Prop!$H:$H,I$1,Prod_Prop!$I:$I,"Exacto"),Prod_Prop!$A:$A,Prod_Prop!$J:$J,"",0,1))</f>
        <v/>
      </c>
      <c r="J383" s="4" t="str">
        <f t="array" ref="J383">IF($E383="","", XLOOKUP(SUMIFS(Prod_Prop!$A:$A,Prod_Prop!$B:$B,$E383,Prod_Prop!$H:$H,J$1,Prod_Prop!$I:$I,"Exacto"),Prod_Prop!$A:$A,Prod_Prop!$J:$J,"",0,1))</f>
        <v/>
      </c>
      <c r="K383" s="4" t="str">
        <f t="array" ref="K383">IF($E383="","", XLOOKUP(SUMIFS(Prod_Prop!$A:$A,Prod_Prop!$B:$B,$E383,Prod_Prop!$H:$H,K$1,Prod_Prop!$I:$I,"Exacto"),Prod_Prop!$A:$A,Prod_Prop!$J:$J,"",0,1))</f>
        <v/>
      </c>
      <c r="L383" s="4" t="str">
        <f t="array" ref="L383">IF($E383="","", XLOOKUP(SUMIFS(Prod_Prop!$A:$A,Prod_Prop!$B:$B,$E383,Prod_Prop!$H:$H,L$1,Prod_Prop!$I:$I,"Exacto"),Prod_Prop!$A:$A,Prod_Prop!$J:$J,"",0,1))</f>
        <v/>
      </c>
      <c r="M383" s="4" t="str">
        <f t="array" ref="M383">IF($E383="","", XLOOKUP(SUMIFS(Prod_Prop!$A:$A,Prod_Prop!$B:$B,$E383,Prod_Prop!$H:$H,M$1,Prod_Prop!$I:$I,"Exacto"),Prod_Prop!$A:$A,Prod_Prop!$J:$J,"",0,1))</f>
        <v/>
      </c>
      <c r="N383" s="4" t="str">
        <f t="array" ref="N383">IF($E383="","", XLOOKUP(SUMIFS(Prod_Prop!$A:$A,Prod_Prop!$B:$B,$E383,Prod_Prop!$H:$H,N$1,Prod_Prop!$I:$I,"Exacto"),Prod_Prop!$A:$A,Prod_Prop!$J:$J,"",0,1))</f>
        <v/>
      </c>
      <c r="O383" s="4" t="str">
        <f t="array" ref="O383">IF($E383="","", XLOOKUP(SUMIFS(Prod_Prop!$A:$A,Prod_Prop!$B:$B,$E383,Prod_Prop!$H:$H,O$1,Prod_Prop!$I:$I,"Exacto"),Prod_Prop!$A:$A,Prod_Prop!$J:$J,"",0,1))</f>
        <v/>
      </c>
      <c r="P383" s="4" t="str">
        <f t="array" ref="P383">IF($E383="","", XLOOKUP(SUMIFS(Prod_Prop!$A:$A,Prod_Prop!$B:$B,$E383,Prod_Prop!$H:$H,P$1,Prod_Prop!$I:$I,"Exacto"),Prod_Prop!$A:$A,Prod_Prop!$J:$J,"",0,1))</f>
        <v/>
      </c>
      <c r="Q383" s="4" t="str">
        <f t="array" ref="Q383">IF($E383="","", XLOOKUP(SUMIFS(Prod_Prop!$A:$A,Prod_Prop!$B:$B,$E383,Prod_Prop!$H:$H,Q$1,Prod_Prop!$I:$I,"Exacto"),Prod_Prop!$A:$A,Prod_Prop!$J:$J,"",0,1))</f>
        <v/>
      </c>
      <c r="R383" s="4" t="str">
        <f t="array" ref="R383">IF($E383="","", XLOOKUP(SUMIFS(Prod_Prop!$A:$A,Prod_Prop!$B:$B,$E383,Prod_Prop!$H:$H,R$1,Prod_Prop!$I:$I,"Exacto"),Prod_Prop!$A:$A,Prod_Prop!$J:$J,"",0,1))</f>
        <v/>
      </c>
      <c r="S383" s="4" t="str">
        <f t="array" ref="S383">IF($E383="","", XLOOKUP(SUMIFS(Prod_Prop!$A:$A,Prod_Prop!$B:$B,$E383,Prod_Prop!$H:$H,S$1,Prod_Prop!$I:$I,"Exacto"),Prod_Prop!$A:$A,Prod_Prop!$J:$J,"",0,1))</f>
        <v/>
      </c>
      <c r="T383" s="4" t="str">
        <f t="array" ref="T383">IF($E383="","", XLOOKUP(SUMIFS(Prod_Prop!$A:$A,Prod_Prop!$B:$B,$E383,Prod_Prop!$H:$H,T$1,Prod_Prop!$I:$I,"Exacto"),Prod_Prop!$A:$A,Prod_Prop!$J:$J,"",0,1))</f>
        <v/>
      </c>
      <c r="U383" s="4" t="str">
        <f t="array" ref="U383">IF($E383="","", XLOOKUP(SUMIFS(Prod_Prop!$A:$A,Prod_Prop!$B:$B,$E383,Prod_Prop!$H:$H,U$1,Prod_Prop!$I:$I,"Exacto"),Prod_Prop!$A:$A,Prod_Prop!$J:$J,"",0,1))</f>
        <v/>
      </c>
      <c r="V383" s="4" t="str">
        <f t="array" ref="V383">IF($E383="","", XLOOKUP(SUMIFS(Prod_Prop!$A:$A,Prod_Prop!$B:$B,$E383,Prod_Prop!$H:$H,V$1,Prod_Prop!$I:$I,"Exacto"),Prod_Prop!$A:$A,Prod_Prop!$J:$J,"",0,1))</f>
        <v/>
      </c>
      <c r="X383" s="3" t="str">
        <f>IFERROR(__xludf.DUMMYFUNCTION("IF(D383="""","""",IFERROR(TRANSPOSE(FILTER('Validaciones Cotizador'!U:U,'Validaciones Cotizador'!O:O=D383,'Validaciones Cotizador'!T:T=""x"")),""Finalizar""))"),"")</f>
        <v/>
      </c>
    </row>
    <row r="384">
      <c r="A384" s="2" t="str">
        <f t="array" ref="A384">IF(E384="","",XLOOKUP(D384,'Validaciones Cotizador'!C:C,'Validaciones Cotizador'!A:A,"",0,1))</f>
        <v/>
      </c>
      <c r="B384" s="2" t="str">
        <f t="array" ref="B384">IF(F384="","",XLOOKUP(F384,Productos!E:E,Productos!G:G,"",0,1))</f>
        <v/>
      </c>
      <c r="C384" s="2" t="str">
        <f>IF(A384="","",SUMIFS('Validaciones Cotizador'!B:B,'Validaciones Cotizador'!C:C,D384,'Validaciones Cotizador'!A:A,A384))</f>
        <v/>
      </c>
      <c r="D384" s="4" t="str">
        <f>IFERROR(__xludf.DUMMYFUNCTION("IF(OR(F383=""Finalizar"",F383="""",F383=""Selecciona..""),"""",IF(OR(F383=""-"",INDEX(filter(Familias!F:F,Familias!D:D=A383,Familias!E:E=C383),1)=""O""),D383+1,D383))"),"")</f>
        <v/>
      </c>
      <c r="E384" s="2" t="str">
        <f>IF(OR(F384="",F384="Selecciona.."),"",IF(D384="Implemento",SUMIF(Implementos!B:B,F384,Implementos!A:A),SUMIF(Productos!E:E,F384,Productos!A:A)))</f>
        <v/>
      </c>
      <c r="F384" s="2" t="str">
        <f t="shared" si="2"/>
        <v/>
      </c>
      <c r="G384" s="10" t="str">
        <f t="array" ref="G384">IF(OR(F384="",F384="-",F384="Selecciona..",F384="Finalizar"),"",IF(A384="Rodados",XLOOKUP(B384,'Validaciones Cotizador'!I:I,'Validaciones Cotizador'!J:J,0,0,1),1))</f>
        <v/>
      </c>
      <c r="H384" s="11" t="str">
        <f>IF(OR(F384="",F384="Selecciona.."),"",SUMIF(Precio_Productos!K:K,E384,Precio_Productos!J:J)*G384)</f>
        <v/>
      </c>
      <c r="I384" s="4" t="str">
        <f t="array" ref="I384">IF($E384="","", XLOOKUP(SUMIFS(Prod_Prop!$A:$A,Prod_Prop!$B:$B,$E384,Prod_Prop!$H:$H,I$1,Prod_Prop!$I:$I,"Exacto"),Prod_Prop!$A:$A,Prod_Prop!$J:$J,"",0,1))</f>
        <v/>
      </c>
      <c r="J384" s="4" t="str">
        <f t="array" ref="J384">IF($E384="","", XLOOKUP(SUMIFS(Prod_Prop!$A:$A,Prod_Prop!$B:$B,$E384,Prod_Prop!$H:$H,J$1,Prod_Prop!$I:$I,"Exacto"),Prod_Prop!$A:$A,Prod_Prop!$J:$J,"",0,1))</f>
        <v/>
      </c>
      <c r="K384" s="4" t="str">
        <f t="array" ref="K384">IF($E384="","", XLOOKUP(SUMIFS(Prod_Prop!$A:$A,Prod_Prop!$B:$B,$E384,Prod_Prop!$H:$H,K$1,Prod_Prop!$I:$I,"Exacto"),Prod_Prop!$A:$A,Prod_Prop!$J:$J,"",0,1))</f>
        <v/>
      </c>
      <c r="L384" s="4" t="str">
        <f t="array" ref="L384">IF($E384="","", XLOOKUP(SUMIFS(Prod_Prop!$A:$A,Prod_Prop!$B:$B,$E384,Prod_Prop!$H:$H,L$1,Prod_Prop!$I:$I,"Exacto"),Prod_Prop!$A:$A,Prod_Prop!$J:$J,"",0,1))</f>
        <v/>
      </c>
      <c r="M384" s="4" t="str">
        <f t="array" ref="M384">IF($E384="","", XLOOKUP(SUMIFS(Prod_Prop!$A:$A,Prod_Prop!$B:$B,$E384,Prod_Prop!$H:$H,M$1,Prod_Prop!$I:$I,"Exacto"),Prod_Prop!$A:$A,Prod_Prop!$J:$J,"",0,1))</f>
        <v/>
      </c>
      <c r="N384" s="4" t="str">
        <f t="array" ref="N384">IF($E384="","", XLOOKUP(SUMIFS(Prod_Prop!$A:$A,Prod_Prop!$B:$B,$E384,Prod_Prop!$H:$H,N$1,Prod_Prop!$I:$I,"Exacto"),Prod_Prop!$A:$A,Prod_Prop!$J:$J,"",0,1))</f>
        <v/>
      </c>
      <c r="O384" s="4" t="str">
        <f t="array" ref="O384">IF($E384="","", XLOOKUP(SUMIFS(Prod_Prop!$A:$A,Prod_Prop!$B:$B,$E384,Prod_Prop!$H:$H,O$1,Prod_Prop!$I:$I,"Exacto"),Prod_Prop!$A:$A,Prod_Prop!$J:$J,"",0,1))</f>
        <v/>
      </c>
      <c r="P384" s="4" t="str">
        <f t="array" ref="P384">IF($E384="","", XLOOKUP(SUMIFS(Prod_Prop!$A:$A,Prod_Prop!$B:$B,$E384,Prod_Prop!$H:$H,P$1,Prod_Prop!$I:$I,"Exacto"),Prod_Prop!$A:$A,Prod_Prop!$J:$J,"",0,1))</f>
        <v/>
      </c>
      <c r="Q384" s="4" t="str">
        <f t="array" ref="Q384">IF($E384="","", XLOOKUP(SUMIFS(Prod_Prop!$A:$A,Prod_Prop!$B:$B,$E384,Prod_Prop!$H:$H,Q$1,Prod_Prop!$I:$I,"Exacto"),Prod_Prop!$A:$A,Prod_Prop!$J:$J,"",0,1))</f>
        <v/>
      </c>
      <c r="R384" s="4" t="str">
        <f t="array" ref="R384">IF($E384="","", XLOOKUP(SUMIFS(Prod_Prop!$A:$A,Prod_Prop!$B:$B,$E384,Prod_Prop!$H:$H,R$1,Prod_Prop!$I:$I,"Exacto"),Prod_Prop!$A:$A,Prod_Prop!$J:$J,"",0,1))</f>
        <v/>
      </c>
      <c r="S384" s="4" t="str">
        <f t="array" ref="S384">IF($E384="","", XLOOKUP(SUMIFS(Prod_Prop!$A:$A,Prod_Prop!$B:$B,$E384,Prod_Prop!$H:$H,S$1,Prod_Prop!$I:$I,"Exacto"),Prod_Prop!$A:$A,Prod_Prop!$J:$J,"",0,1))</f>
        <v/>
      </c>
      <c r="T384" s="4" t="str">
        <f t="array" ref="T384">IF($E384="","", XLOOKUP(SUMIFS(Prod_Prop!$A:$A,Prod_Prop!$B:$B,$E384,Prod_Prop!$H:$H,T$1,Prod_Prop!$I:$I,"Exacto"),Prod_Prop!$A:$A,Prod_Prop!$J:$J,"",0,1))</f>
        <v/>
      </c>
      <c r="U384" s="4" t="str">
        <f t="array" ref="U384">IF($E384="","", XLOOKUP(SUMIFS(Prod_Prop!$A:$A,Prod_Prop!$B:$B,$E384,Prod_Prop!$H:$H,U$1,Prod_Prop!$I:$I,"Exacto"),Prod_Prop!$A:$A,Prod_Prop!$J:$J,"",0,1))</f>
        <v/>
      </c>
      <c r="V384" s="4" t="str">
        <f t="array" ref="V384">IF($E384="","", XLOOKUP(SUMIFS(Prod_Prop!$A:$A,Prod_Prop!$B:$B,$E384,Prod_Prop!$H:$H,V$1,Prod_Prop!$I:$I,"Exacto"),Prod_Prop!$A:$A,Prod_Prop!$J:$J,"",0,1))</f>
        <v/>
      </c>
      <c r="X384" s="3" t="str">
        <f>IFERROR(__xludf.DUMMYFUNCTION("IF(D384="""","""",IFERROR(TRANSPOSE(FILTER('Validaciones Cotizador'!U:U,'Validaciones Cotizador'!O:O=D384,'Validaciones Cotizador'!T:T=""x"")),""Finalizar""))"),"")</f>
        <v/>
      </c>
    </row>
    <row r="385">
      <c r="A385" s="2" t="str">
        <f t="array" ref="A385">IF(E385="","",XLOOKUP(D385,'Validaciones Cotizador'!C:C,'Validaciones Cotizador'!A:A,"",0,1))</f>
        <v/>
      </c>
      <c r="B385" s="2" t="str">
        <f t="array" ref="B385">IF(F385="","",XLOOKUP(F385,Productos!E:E,Productos!G:G,"",0,1))</f>
        <v/>
      </c>
      <c r="C385" s="2" t="str">
        <f>IF(A385="","",SUMIFS('Validaciones Cotizador'!B:B,'Validaciones Cotizador'!C:C,D385,'Validaciones Cotizador'!A:A,A385))</f>
        <v/>
      </c>
      <c r="D385" s="4" t="str">
        <f>IFERROR(__xludf.DUMMYFUNCTION("IF(OR(F384=""Finalizar"",F384="""",F384=""Selecciona..""),"""",IF(OR(F384=""-"",INDEX(filter(Familias!F:F,Familias!D:D=A384,Familias!E:E=C384),1)=""O""),D384+1,D384))"),"")</f>
        <v/>
      </c>
      <c r="E385" s="2" t="str">
        <f>IF(OR(F385="",F385="Selecciona.."),"",IF(D385="Implemento",SUMIF(Implementos!B:B,F385,Implementos!A:A),SUMIF(Productos!E:E,F385,Productos!A:A)))</f>
        <v/>
      </c>
      <c r="F385" s="2" t="str">
        <f t="shared" si="2"/>
        <v/>
      </c>
      <c r="G385" s="10" t="str">
        <f t="array" ref="G385">IF(OR(F385="",F385="-",F385="Selecciona..",F385="Finalizar"),"",IF(A385="Rodados",XLOOKUP(B385,'Validaciones Cotizador'!I:I,'Validaciones Cotizador'!J:J,0,0,1),1))</f>
        <v/>
      </c>
      <c r="H385" s="11" t="str">
        <f>IF(OR(F385="",F385="Selecciona.."),"",SUMIF(Precio_Productos!K:K,E385,Precio_Productos!J:J)*G385)</f>
        <v/>
      </c>
      <c r="I385" s="4" t="str">
        <f t="array" ref="I385">IF($E385="","", XLOOKUP(SUMIFS(Prod_Prop!$A:$A,Prod_Prop!$B:$B,$E385,Prod_Prop!$H:$H,I$1,Prod_Prop!$I:$I,"Exacto"),Prod_Prop!$A:$A,Prod_Prop!$J:$J,"",0,1))</f>
        <v/>
      </c>
      <c r="J385" s="4" t="str">
        <f t="array" ref="J385">IF($E385="","", XLOOKUP(SUMIFS(Prod_Prop!$A:$A,Prod_Prop!$B:$B,$E385,Prod_Prop!$H:$H,J$1,Prod_Prop!$I:$I,"Exacto"),Prod_Prop!$A:$A,Prod_Prop!$J:$J,"",0,1))</f>
        <v/>
      </c>
      <c r="K385" s="4" t="str">
        <f t="array" ref="K385">IF($E385="","", XLOOKUP(SUMIFS(Prod_Prop!$A:$A,Prod_Prop!$B:$B,$E385,Prod_Prop!$H:$H,K$1,Prod_Prop!$I:$I,"Exacto"),Prod_Prop!$A:$A,Prod_Prop!$J:$J,"",0,1))</f>
        <v/>
      </c>
      <c r="L385" s="4" t="str">
        <f t="array" ref="L385">IF($E385="","", XLOOKUP(SUMIFS(Prod_Prop!$A:$A,Prod_Prop!$B:$B,$E385,Prod_Prop!$H:$H,L$1,Prod_Prop!$I:$I,"Exacto"),Prod_Prop!$A:$A,Prod_Prop!$J:$J,"",0,1))</f>
        <v/>
      </c>
      <c r="M385" s="4" t="str">
        <f t="array" ref="M385">IF($E385="","", XLOOKUP(SUMIFS(Prod_Prop!$A:$A,Prod_Prop!$B:$B,$E385,Prod_Prop!$H:$H,M$1,Prod_Prop!$I:$I,"Exacto"),Prod_Prop!$A:$A,Prod_Prop!$J:$J,"",0,1))</f>
        <v/>
      </c>
      <c r="N385" s="4" t="str">
        <f t="array" ref="N385">IF($E385="","", XLOOKUP(SUMIFS(Prod_Prop!$A:$A,Prod_Prop!$B:$B,$E385,Prod_Prop!$H:$H,N$1,Prod_Prop!$I:$I,"Exacto"),Prod_Prop!$A:$A,Prod_Prop!$J:$J,"",0,1))</f>
        <v/>
      </c>
      <c r="O385" s="4" t="str">
        <f t="array" ref="O385">IF($E385="","", XLOOKUP(SUMIFS(Prod_Prop!$A:$A,Prod_Prop!$B:$B,$E385,Prod_Prop!$H:$H,O$1,Prod_Prop!$I:$I,"Exacto"),Prod_Prop!$A:$A,Prod_Prop!$J:$J,"",0,1))</f>
        <v/>
      </c>
      <c r="P385" s="4" t="str">
        <f t="array" ref="P385">IF($E385="","", XLOOKUP(SUMIFS(Prod_Prop!$A:$A,Prod_Prop!$B:$B,$E385,Prod_Prop!$H:$H,P$1,Prod_Prop!$I:$I,"Exacto"),Prod_Prop!$A:$A,Prod_Prop!$J:$J,"",0,1))</f>
        <v/>
      </c>
      <c r="Q385" s="4" t="str">
        <f t="array" ref="Q385">IF($E385="","", XLOOKUP(SUMIFS(Prod_Prop!$A:$A,Prod_Prop!$B:$B,$E385,Prod_Prop!$H:$H,Q$1,Prod_Prop!$I:$I,"Exacto"),Prod_Prop!$A:$A,Prod_Prop!$J:$J,"",0,1))</f>
        <v/>
      </c>
      <c r="R385" s="4" t="str">
        <f t="array" ref="R385">IF($E385="","", XLOOKUP(SUMIFS(Prod_Prop!$A:$A,Prod_Prop!$B:$B,$E385,Prod_Prop!$H:$H,R$1,Prod_Prop!$I:$I,"Exacto"),Prod_Prop!$A:$A,Prod_Prop!$J:$J,"",0,1))</f>
        <v/>
      </c>
      <c r="S385" s="4" t="str">
        <f t="array" ref="S385">IF($E385="","", XLOOKUP(SUMIFS(Prod_Prop!$A:$A,Prod_Prop!$B:$B,$E385,Prod_Prop!$H:$H,S$1,Prod_Prop!$I:$I,"Exacto"),Prod_Prop!$A:$A,Prod_Prop!$J:$J,"",0,1))</f>
        <v/>
      </c>
      <c r="T385" s="4" t="str">
        <f t="array" ref="T385">IF($E385="","", XLOOKUP(SUMIFS(Prod_Prop!$A:$A,Prod_Prop!$B:$B,$E385,Prod_Prop!$H:$H,T$1,Prod_Prop!$I:$I,"Exacto"),Prod_Prop!$A:$A,Prod_Prop!$J:$J,"",0,1))</f>
        <v/>
      </c>
      <c r="U385" s="4" t="str">
        <f t="array" ref="U385">IF($E385="","", XLOOKUP(SUMIFS(Prod_Prop!$A:$A,Prod_Prop!$B:$B,$E385,Prod_Prop!$H:$H,U$1,Prod_Prop!$I:$I,"Exacto"),Prod_Prop!$A:$A,Prod_Prop!$J:$J,"",0,1))</f>
        <v/>
      </c>
      <c r="V385" s="4" t="str">
        <f t="array" ref="V385">IF($E385="","", XLOOKUP(SUMIFS(Prod_Prop!$A:$A,Prod_Prop!$B:$B,$E385,Prod_Prop!$H:$H,V$1,Prod_Prop!$I:$I,"Exacto"),Prod_Prop!$A:$A,Prod_Prop!$J:$J,"",0,1))</f>
        <v/>
      </c>
      <c r="X385" s="3" t="str">
        <f>IFERROR(__xludf.DUMMYFUNCTION("IF(D385="""","""",IFERROR(TRANSPOSE(FILTER('Validaciones Cotizador'!U:U,'Validaciones Cotizador'!O:O=D385,'Validaciones Cotizador'!T:T=""x"")),""Finalizar""))"),"")</f>
        <v/>
      </c>
    </row>
    <row r="386">
      <c r="A386" s="2" t="str">
        <f t="array" ref="A386">IF(E386="","",XLOOKUP(D386,'Validaciones Cotizador'!C:C,'Validaciones Cotizador'!A:A,"",0,1))</f>
        <v/>
      </c>
      <c r="B386" s="2" t="str">
        <f t="array" ref="B386">IF(F386="","",XLOOKUP(F386,Productos!E:E,Productos!G:G,"",0,1))</f>
        <v/>
      </c>
      <c r="C386" s="2" t="str">
        <f>IF(A386="","",SUMIFS('Validaciones Cotizador'!B:B,'Validaciones Cotizador'!C:C,D386,'Validaciones Cotizador'!A:A,A386))</f>
        <v/>
      </c>
      <c r="D386" s="4" t="str">
        <f>IFERROR(__xludf.DUMMYFUNCTION("IF(OR(F385=""Finalizar"",F385="""",F385=""Selecciona..""),"""",IF(OR(F385=""-"",INDEX(filter(Familias!F:F,Familias!D:D=A385,Familias!E:E=C385),1)=""O""),D385+1,D385))"),"")</f>
        <v/>
      </c>
      <c r="E386" s="2" t="str">
        <f>IF(OR(F386="",F386="Selecciona.."),"",IF(D386="Implemento",SUMIF(Implementos!B:B,F386,Implementos!A:A),SUMIF(Productos!E:E,F386,Productos!A:A)))</f>
        <v/>
      </c>
      <c r="F386" s="2" t="str">
        <f t="shared" si="2"/>
        <v/>
      </c>
      <c r="G386" s="10" t="str">
        <f t="array" ref="G386">IF(OR(F386="",F386="-",F386="Selecciona..",F386="Finalizar"),"",IF(A386="Rodados",XLOOKUP(B386,'Validaciones Cotizador'!I:I,'Validaciones Cotizador'!J:J,0,0,1),1))</f>
        <v/>
      </c>
      <c r="H386" s="11" t="str">
        <f>IF(OR(F386="",F386="Selecciona.."),"",SUMIF(Precio_Productos!K:K,E386,Precio_Productos!J:J)*G386)</f>
        <v/>
      </c>
      <c r="I386" s="4" t="str">
        <f t="array" ref="I386">IF($E386="","", XLOOKUP(SUMIFS(Prod_Prop!$A:$A,Prod_Prop!$B:$B,$E386,Prod_Prop!$H:$H,I$1,Prod_Prop!$I:$I,"Exacto"),Prod_Prop!$A:$A,Prod_Prop!$J:$J,"",0,1))</f>
        <v/>
      </c>
      <c r="J386" s="4" t="str">
        <f t="array" ref="J386">IF($E386="","", XLOOKUP(SUMIFS(Prod_Prop!$A:$A,Prod_Prop!$B:$B,$E386,Prod_Prop!$H:$H,J$1,Prod_Prop!$I:$I,"Exacto"),Prod_Prop!$A:$A,Prod_Prop!$J:$J,"",0,1))</f>
        <v/>
      </c>
      <c r="K386" s="4" t="str">
        <f t="array" ref="K386">IF($E386="","", XLOOKUP(SUMIFS(Prod_Prop!$A:$A,Prod_Prop!$B:$B,$E386,Prod_Prop!$H:$H,K$1,Prod_Prop!$I:$I,"Exacto"),Prod_Prop!$A:$A,Prod_Prop!$J:$J,"",0,1))</f>
        <v/>
      </c>
      <c r="L386" s="4" t="str">
        <f t="array" ref="L386">IF($E386="","", XLOOKUP(SUMIFS(Prod_Prop!$A:$A,Prod_Prop!$B:$B,$E386,Prod_Prop!$H:$H,L$1,Prod_Prop!$I:$I,"Exacto"),Prod_Prop!$A:$A,Prod_Prop!$J:$J,"",0,1))</f>
        <v/>
      </c>
      <c r="M386" s="4" t="str">
        <f t="array" ref="M386">IF($E386="","", XLOOKUP(SUMIFS(Prod_Prop!$A:$A,Prod_Prop!$B:$B,$E386,Prod_Prop!$H:$H,M$1,Prod_Prop!$I:$I,"Exacto"),Prod_Prop!$A:$A,Prod_Prop!$J:$J,"",0,1))</f>
        <v/>
      </c>
      <c r="N386" s="4" t="str">
        <f t="array" ref="N386">IF($E386="","", XLOOKUP(SUMIFS(Prod_Prop!$A:$A,Prod_Prop!$B:$B,$E386,Prod_Prop!$H:$H,N$1,Prod_Prop!$I:$I,"Exacto"),Prod_Prop!$A:$A,Prod_Prop!$J:$J,"",0,1))</f>
        <v/>
      </c>
      <c r="O386" s="4" t="str">
        <f t="array" ref="O386">IF($E386="","", XLOOKUP(SUMIFS(Prod_Prop!$A:$A,Prod_Prop!$B:$B,$E386,Prod_Prop!$H:$H,O$1,Prod_Prop!$I:$I,"Exacto"),Prod_Prop!$A:$A,Prod_Prop!$J:$J,"",0,1))</f>
        <v/>
      </c>
      <c r="P386" s="4" t="str">
        <f t="array" ref="P386">IF($E386="","", XLOOKUP(SUMIFS(Prod_Prop!$A:$A,Prod_Prop!$B:$B,$E386,Prod_Prop!$H:$H,P$1,Prod_Prop!$I:$I,"Exacto"),Prod_Prop!$A:$A,Prod_Prop!$J:$J,"",0,1))</f>
        <v/>
      </c>
      <c r="Q386" s="4" t="str">
        <f t="array" ref="Q386">IF($E386="","", XLOOKUP(SUMIFS(Prod_Prop!$A:$A,Prod_Prop!$B:$B,$E386,Prod_Prop!$H:$H,Q$1,Prod_Prop!$I:$I,"Exacto"),Prod_Prop!$A:$A,Prod_Prop!$J:$J,"",0,1))</f>
        <v/>
      </c>
      <c r="R386" s="4" t="str">
        <f t="array" ref="R386">IF($E386="","", XLOOKUP(SUMIFS(Prod_Prop!$A:$A,Prod_Prop!$B:$B,$E386,Prod_Prop!$H:$H,R$1,Prod_Prop!$I:$I,"Exacto"),Prod_Prop!$A:$A,Prod_Prop!$J:$J,"",0,1))</f>
        <v/>
      </c>
      <c r="S386" s="4" t="str">
        <f t="array" ref="S386">IF($E386="","", XLOOKUP(SUMIFS(Prod_Prop!$A:$A,Prod_Prop!$B:$B,$E386,Prod_Prop!$H:$H,S$1,Prod_Prop!$I:$I,"Exacto"),Prod_Prop!$A:$A,Prod_Prop!$J:$J,"",0,1))</f>
        <v/>
      </c>
      <c r="T386" s="4" t="str">
        <f t="array" ref="T386">IF($E386="","", XLOOKUP(SUMIFS(Prod_Prop!$A:$A,Prod_Prop!$B:$B,$E386,Prod_Prop!$H:$H,T$1,Prod_Prop!$I:$I,"Exacto"),Prod_Prop!$A:$A,Prod_Prop!$J:$J,"",0,1))</f>
        <v/>
      </c>
      <c r="U386" s="4" t="str">
        <f t="array" ref="U386">IF($E386="","", XLOOKUP(SUMIFS(Prod_Prop!$A:$A,Prod_Prop!$B:$B,$E386,Prod_Prop!$H:$H,U$1,Prod_Prop!$I:$I,"Exacto"),Prod_Prop!$A:$A,Prod_Prop!$J:$J,"",0,1))</f>
        <v/>
      </c>
      <c r="V386" s="4" t="str">
        <f t="array" ref="V386">IF($E386="","", XLOOKUP(SUMIFS(Prod_Prop!$A:$A,Prod_Prop!$B:$B,$E386,Prod_Prop!$H:$H,V$1,Prod_Prop!$I:$I,"Exacto"),Prod_Prop!$A:$A,Prod_Prop!$J:$J,"",0,1))</f>
        <v/>
      </c>
      <c r="X386" s="3" t="str">
        <f>IFERROR(__xludf.DUMMYFUNCTION("IF(D386="""","""",IFERROR(TRANSPOSE(FILTER('Validaciones Cotizador'!U:U,'Validaciones Cotizador'!O:O=D386,'Validaciones Cotizador'!T:T=""x"")),""Finalizar""))"),"")</f>
        <v/>
      </c>
    </row>
    <row r="387">
      <c r="A387" s="2" t="str">
        <f t="array" ref="A387">IF(E387="","",XLOOKUP(D387,'Validaciones Cotizador'!C:C,'Validaciones Cotizador'!A:A,"",0,1))</f>
        <v/>
      </c>
      <c r="B387" s="2" t="str">
        <f t="array" ref="B387">IF(F387="","",XLOOKUP(F387,Productos!E:E,Productos!G:G,"",0,1))</f>
        <v/>
      </c>
      <c r="C387" s="2" t="str">
        <f>IF(A387="","",SUMIFS('Validaciones Cotizador'!B:B,'Validaciones Cotizador'!C:C,D387,'Validaciones Cotizador'!A:A,A387))</f>
        <v/>
      </c>
      <c r="D387" s="4" t="str">
        <f>IFERROR(__xludf.DUMMYFUNCTION("IF(OR(F386=""Finalizar"",F386="""",F386=""Selecciona..""),"""",IF(OR(F386=""-"",INDEX(filter(Familias!F:F,Familias!D:D=A386,Familias!E:E=C386),1)=""O""),D386+1,D386))"),"")</f>
        <v/>
      </c>
      <c r="E387" s="2" t="str">
        <f>IF(OR(F387="",F387="Selecciona.."),"",IF(D387="Implemento",SUMIF(Implementos!B:B,F387,Implementos!A:A),SUMIF(Productos!E:E,F387,Productos!A:A)))</f>
        <v/>
      </c>
      <c r="F387" s="2" t="str">
        <f t="shared" si="2"/>
        <v/>
      </c>
      <c r="G387" s="10" t="str">
        <f t="array" ref="G387">IF(OR(F387="",F387="-",F387="Selecciona..",F387="Finalizar"),"",IF(A387="Rodados",XLOOKUP(B387,'Validaciones Cotizador'!I:I,'Validaciones Cotizador'!J:J,0,0,1),1))</f>
        <v/>
      </c>
      <c r="H387" s="11" t="str">
        <f>IF(OR(F387="",F387="Selecciona.."),"",SUMIF(Precio_Productos!K:K,E387,Precio_Productos!J:J)*G387)</f>
        <v/>
      </c>
      <c r="I387" s="4" t="str">
        <f t="array" ref="I387">IF($E387="","", XLOOKUP(SUMIFS(Prod_Prop!$A:$A,Prod_Prop!$B:$B,$E387,Prod_Prop!$H:$H,I$1,Prod_Prop!$I:$I,"Exacto"),Prod_Prop!$A:$A,Prod_Prop!$J:$J,"",0,1))</f>
        <v/>
      </c>
      <c r="J387" s="4" t="str">
        <f t="array" ref="J387">IF($E387="","", XLOOKUP(SUMIFS(Prod_Prop!$A:$A,Prod_Prop!$B:$B,$E387,Prod_Prop!$H:$H,J$1,Prod_Prop!$I:$I,"Exacto"),Prod_Prop!$A:$A,Prod_Prop!$J:$J,"",0,1))</f>
        <v/>
      </c>
      <c r="K387" s="4" t="str">
        <f t="array" ref="K387">IF($E387="","", XLOOKUP(SUMIFS(Prod_Prop!$A:$A,Prod_Prop!$B:$B,$E387,Prod_Prop!$H:$H,K$1,Prod_Prop!$I:$I,"Exacto"),Prod_Prop!$A:$A,Prod_Prop!$J:$J,"",0,1))</f>
        <v/>
      </c>
      <c r="L387" s="4" t="str">
        <f t="array" ref="L387">IF($E387="","", XLOOKUP(SUMIFS(Prod_Prop!$A:$A,Prod_Prop!$B:$B,$E387,Prod_Prop!$H:$H,L$1,Prod_Prop!$I:$I,"Exacto"),Prod_Prop!$A:$A,Prod_Prop!$J:$J,"",0,1))</f>
        <v/>
      </c>
      <c r="M387" s="4" t="str">
        <f t="array" ref="M387">IF($E387="","", XLOOKUP(SUMIFS(Prod_Prop!$A:$A,Prod_Prop!$B:$B,$E387,Prod_Prop!$H:$H,M$1,Prod_Prop!$I:$I,"Exacto"),Prod_Prop!$A:$A,Prod_Prop!$J:$J,"",0,1))</f>
        <v/>
      </c>
      <c r="N387" s="4" t="str">
        <f t="array" ref="N387">IF($E387="","", XLOOKUP(SUMIFS(Prod_Prop!$A:$A,Prod_Prop!$B:$B,$E387,Prod_Prop!$H:$H,N$1,Prod_Prop!$I:$I,"Exacto"),Prod_Prop!$A:$A,Prod_Prop!$J:$J,"",0,1))</f>
        <v/>
      </c>
      <c r="O387" s="4" t="str">
        <f t="array" ref="O387">IF($E387="","", XLOOKUP(SUMIFS(Prod_Prop!$A:$A,Prod_Prop!$B:$B,$E387,Prod_Prop!$H:$H,O$1,Prod_Prop!$I:$I,"Exacto"),Prod_Prop!$A:$A,Prod_Prop!$J:$J,"",0,1))</f>
        <v/>
      </c>
      <c r="P387" s="4" t="str">
        <f t="array" ref="P387">IF($E387="","", XLOOKUP(SUMIFS(Prod_Prop!$A:$A,Prod_Prop!$B:$B,$E387,Prod_Prop!$H:$H,P$1,Prod_Prop!$I:$I,"Exacto"),Prod_Prop!$A:$A,Prod_Prop!$J:$J,"",0,1))</f>
        <v/>
      </c>
      <c r="Q387" s="4" t="str">
        <f t="array" ref="Q387">IF($E387="","", XLOOKUP(SUMIFS(Prod_Prop!$A:$A,Prod_Prop!$B:$B,$E387,Prod_Prop!$H:$H,Q$1,Prod_Prop!$I:$I,"Exacto"),Prod_Prop!$A:$A,Prod_Prop!$J:$J,"",0,1))</f>
        <v/>
      </c>
      <c r="R387" s="4" t="str">
        <f t="array" ref="R387">IF($E387="","", XLOOKUP(SUMIFS(Prod_Prop!$A:$A,Prod_Prop!$B:$B,$E387,Prod_Prop!$H:$H,R$1,Prod_Prop!$I:$I,"Exacto"),Prod_Prop!$A:$A,Prod_Prop!$J:$J,"",0,1))</f>
        <v/>
      </c>
      <c r="S387" s="4" t="str">
        <f t="array" ref="S387">IF($E387="","", XLOOKUP(SUMIFS(Prod_Prop!$A:$A,Prod_Prop!$B:$B,$E387,Prod_Prop!$H:$H,S$1,Prod_Prop!$I:$I,"Exacto"),Prod_Prop!$A:$A,Prod_Prop!$J:$J,"",0,1))</f>
        <v/>
      </c>
      <c r="T387" s="4" t="str">
        <f t="array" ref="T387">IF($E387="","", XLOOKUP(SUMIFS(Prod_Prop!$A:$A,Prod_Prop!$B:$B,$E387,Prod_Prop!$H:$H,T$1,Prod_Prop!$I:$I,"Exacto"),Prod_Prop!$A:$A,Prod_Prop!$J:$J,"",0,1))</f>
        <v/>
      </c>
      <c r="U387" s="4" t="str">
        <f t="array" ref="U387">IF($E387="","", XLOOKUP(SUMIFS(Prod_Prop!$A:$A,Prod_Prop!$B:$B,$E387,Prod_Prop!$H:$H,U$1,Prod_Prop!$I:$I,"Exacto"),Prod_Prop!$A:$A,Prod_Prop!$J:$J,"",0,1))</f>
        <v/>
      </c>
      <c r="V387" s="4" t="str">
        <f t="array" ref="V387">IF($E387="","", XLOOKUP(SUMIFS(Prod_Prop!$A:$A,Prod_Prop!$B:$B,$E387,Prod_Prop!$H:$H,V$1,Prod_Prop!$I:$I,"Exacto"),Prod_Prop!$A:$A,Prod_Prop!$J:$J,"",0,1))</f>
        <v/>
      </c>
      <c r="X387" s="3" t="str">
        <f>IFERROR(__xludf.DUMMYFUNCTION("IF(D387="""","""",IFERROR(TRANSPOSE(FILTER('Validaciones Cotizador'!U:U,'Validaciones Cotizador'!O:O=D387,'Validaciones Cotizador'!T:T=""x"")),""Finalizar""))"),"")</f>
        <v/>
      </c>
    </row>
    <row r="388">
      <c r="A388" s="2" t="str">
        <f t="array" ref="A388">IF(E388="","",XLOOKUP(D388,'Validaciones Cotizador'!C:C,'Validaciones Cotizador'!A:A,"",0,1))</f>
        <v/>
      </c>
      <c r="B388" s="2" t="str">
        <f t="array" ref="B388">IF(F388="","",XLOOKUP(F388,Productos!E:E,Productos!G:G,"",0,1))</f>
        <v/>
      </c>
      <c r="C388" s="2" t="str">
        <f>IF(A388="","",SUMIFS('Validaciones Cotizador'!B:B,'Validaciones Cotizador'!C:C,D388,'Validaciones Cotizador'!A:A,A388))</f>
        <v/>
      </c>
      <c r="D388" s="4" t="str">
        <f>IFERROR(__xludf.DUMMYFUNCTION("IF(OR(F387=""Finalizar"",F387="""",F387=""Selecciona..""),"""",IF(OR(F387=""-"",INDEX(filter(Familias!F:F,Familias!D:D=A387,Familias!E:E=C387),1)=""O""),D387+1,D387))"),"")</f>
        <v/>
      </c>
      <c r="E388" s="2" t="str">
        <f>IF(OR(F388="",F388="Selecciona.."),"",IF(D388="Implemento",SUMIF(Implementos!B:B,F388,Implementos!A:A),SUMIF(Productos!E:E,F388,Productos!A:A)))</f>
        <v/>
      </c>
      <c r="F388" s="2" t="str">
        <f t="shared" si="2"/>
        <v/>
      </c>
      <c r="G388" s="10" t="str">
        <f t="array" ref="G388">IF(OR(F388="",F388="-",F388="Selecciona..",F388="Finalizar"),"",IF(A388="Rodados",XLOOKUP(B388,'Validaciones Cotizador'!I:I,'Validaciones Cotizador'!J:J,0,0,1),1))</f>
        <v/>
      </c>
      <c r="H388" s="11" t="str">
        <f>IF(OR(F388="",F388="Selecciona.."),"",SUMIF(Precio_Productos!K:K,E388,Precio_Productos!J:J)*G388)</f>
        <v/>
      </c>
      <c r="I388" s="4" t="str">
        <f t="array" ref="I388">IF($E388="","", XLOOKUP(SUMIFS(Prod_Prop!$A:$A,Prod_Prop!$B:$B,$E388,Prod_Prop!$H:$H,I$1,Prod_Prop!$I:$I,"Exacto"),Prod_Prop!$A:$A,Prod_Prop!$J:$J,"",0,1))</f>
        <v/>
      </c>
      <c r="J388" s="4" t="str">
        <f t="array" ref="J388">IF($E388="","", XLOOKUP(SUMIFS(Prod_Prop!$A:$A,Prod_Prop!$B:$B,$E388,Prod_Prop!$H:$H,J$1,Prod_Prop!$I:$I,"Exacto"),Prod_Prop!$A:$A,Prod_Prop!$J:$J,"",0,1))</f>
        <v/>
      </c>
      <c r="K388" s="4" t="str">
        <f t="array" ref="K388">IF($E388="","", XLOOKUP(SUMIFS(Prod_Prop!$A:$A,Prod_Prop!$B:$B,$E388,Prod_Prop!$H:$H,K$1,Prod_Prop!$I:$I,"Exacto"),Prod_Prop!$A:$A,Prod_Prop!$J:$J,"",0,1))</f>
        <v/>
      </c>
      <c r="L388" s="4" t="str">
        <f t="array" ref="L388">IF($E388="","", XLOOKUP(SUMIFS(Prod_Prop!$A:$A,Prod_Prop!$B:$B,$E388,Prod_Prop!$H:$H,L$1,Prod_Prop!$I:$I,"Exacto"),Prod_Prop!$A:$A,Prod_Prop!$J:$J,"",0,1))</f>
        <v/>
      </c>
      <c r="M388" s="4" t="str">
        <f t="array" ref="M388">IF($E388="","", XLOOKUP(SUMIFS(Prod_Prop!$A:$A,Prod_Prop!$B:$B,$E388,Prod_Prop!$H:$H,M$1,Prod_Prop!$I:$I,"Exacto"),Prod_Prop!$A:$A,Prod_Prop!$J:$J,"",0,1))</f>
        <v/>
      </c>
      <c r="N388" s="4" t="str">
        <f t="array" ref="N388">IF($E388="","", XLOOKUP(SUMIFS(Prod_Prop!$A:$A,Prod_Prop!$B:$B,$E388,Prod_Prop!$H:$H,N$1,Prod_Prop!$I:$I,"Exacto"),Prod_Prop!$A:$A,Prod_Prop!$J:$J,"",0,1))</f>
        <v/>
      </c>
      <c r="O388" s="4" t="str">
        <f t="array" ref="O388">IF($E388="","", XLOOKUP(SUMIFS(Prod_Prop!$A:$A,Prod_Prop!$B:$B,$E388,Prod_Prop!$H:$H,O$1,Prod_Prop!$I:$I,"Exacto"),Prod_Prop!$A:$A,Prod_Prop!$J:$J,"",0,1))</f>
        <v/>
      </c>
      <c r="P388" s="4" t="str">
        <f t="array" ref="P388">IF($E388="","", XLOOKUP(SUMIFS(Prod_Prop!$A:$A,Prod_Prop!$B:$B,$E388,Prod_Prop!$H:$H,P$1,Prod_Prop!$I:$I,"Exacto"),Prod_Prop!$A:$A,Prod_Prop!$J:$J,"",0,1))</f>
        <v/>
      </c>
      <c r="Q388" s="4" t="str">
        <f t="array" ref="Q388">IF($E388="","", XLOOKUP(SUMIFS(Prod_Prop!$A:$A,Prod_Prop!$B:$B,$E388,Prod_Prop!$H:$H,Q$1,Prod_Prop!$I:$I,"Exacto"),Prod_Prop!$A:$A,Prod_Prop!$J:$J,"",0,1))</f>
        <v/>
      </c>
      <c r="R388" s="4" t="str">
        <f t="array" ref="R388">IF($E388="","", XLOOKUP(SUMIFS(Prod_Prop!$A:$A,Prod_Prop!$B:$B,$E388,Prod_Prop!$H:$H,R$1,Prod_Prop!$I:$I,"Exacto"),Prod_Prop!$A:$A,Prod_Prop!$J:$J,"",0,1))</f>
        <v/>
      </c>
      <c r="S388" s="4" t="str">
        <f t="array" ref="S388">IF($E388="","", XLOOKUP(SUMIFS(Prod_Prop!$A:$A,Prod_Prop!$B:$B,$E388,Prod_Prop!$H:$H,S$1,Prod_Prop!$I:$I,"Exacto"),Prod_Prop!$A:$A,Prod_Prop!$J:$J,"",0,1))</f>
        <v/>
      </c>
      <c r="T388" s="4" t="str">
        <f t="array" ref="T388">IF($E388="","", XLOOKUP(SUMIFS(Prod_Prop!$A:$A,Prod_Prop!$B:$B,$E388,Prod_Prop!$H:$H,T$1,Prod_Prop!$I:$I,"Exacto"),Prod_Prop!$A:$A,Prod_Prop!$J:$J,"",0,1))</f>
        <v/>
      </c>
      <c r="U388" s="4" t="str">
        <f t="array" ref="U388">IF($E388="","", XLOOKUP(SUMIFS(Prod_Prop!$A:$A,Prod_Prop!$B:$B,$E388,Prod_Prop!$H:$H,U$1,Prod_Prop!$I:$I,"Exacto"),Prod_Prop!$A:$A,Prod_Prop!$J:$J,"",0,1))</f>
        <v/>
      </c>
      <c r="V388" s="4" t="str">
        <f t="array" ref="V388">IF($E388="","", XLOOKUP(SUMIFS(Prod_Prop!$A:$A,Prod_Prop!$B:$B,$E388,Prod_Prop!$H:$H,V$1,Prod_Prop!$I:$I,"Exacto"),Prod_Prop!$A:$A,Prod_Prop!$J:$J,"",0,1))</f>
        <v/>
      </c>
      <c r="X388" s="3" t="str">
        <f>IFERROR(__xludf.DUMMYFUNCTION("IF(D388="""","""",IFERROR(TRANSPOSE(FILTER('Validaciones Cotizador'!U:U,'Validaciones Cotizador'!O:O=D388,'Validaciones Cotizador'!T:T=""x"")),""Finalizar""))"),"")</f>
        <v/>
      </c>
    </row>
    <row r="389">
      <c r="A389" s="2" t="str">
        <f t="array" ref="A389">IF(E389="","",XLOOKUP(D389,'Validaciones Cotizador'!C:C,'Validaciones Cotizador'!A:A,"",0,1))</f>
        <v/>
      </c>
      <c r="B389" s="2" t="str">
        <f t="array" ref="B389">IF(F389="","",XLOOKUP(F389,Productos!E:E,Productos!G:G,"",0,1))</f>
        <v/>
      </c>
      <c r="C389" s="2" t="str">
        <f>IF(A389="","",SUMIFS('Validaciones Cotizador'!B:B,'Validaciones Cotizador'!C:C,D389,'Validaciones Cotizador'!A:A,A389))</f>
        <v/>
      </c>
      <c r="D389" s="4" t="str">
        <f>IFERROR(__xludf.DUMMYFUNCTION("IF(OR(F388=""Finalizar"",F388="""",F388=""Selecciona..""),"""",IF(OR(F388=""-"",INDEX(filter(Familias!F:F,Familias!D:D=A388,Familias!E:E=C388),1)=""O""),D388+1,D388))"),"")</f>
        <v/>
      </c>
      <c r="E389" s="2" t="str">
        <f>IF(OR(F389="",F389="Selecciona.."),"",IF(D389="Implemento",SUMIF(Implementos!B:B,F389,Implementos!A:A),SUMIF(Productos!E:E,F389,Productos!A:A)))</f>
        <v/>
      </c>
      <c r="F389" s="2" t="str">
        <f t="shared" si="2"/>
        <v/>
      </c>
      <c r="G389" s="10" t="str">
        <f t="array" ref="G389">IF(OR(F389="",F389="-",F389="Selecciona..",F389="Finalizar"),"",IF(A389="Rodados",XLOOKUP(B389,'Validaciones Cotizador'!I:I,'Validaciones Cotizador'!J:J,0,0,1),1))</f>
        <v/>
      </c>
      <c r="H389" s="11" t="str">
        <f>IF(OR(F389="",F389="Selecciona.."),"",SUMIF(Precio_Productos!K:K,E389,Precio_Productos!J:J)*G389)</f>
        <v/>
      </c>
      <c r="I389" s="4" t="str">
        <f t="array" ref="I389">IF($E389="","", XLOOKUP(SUMIFS(Prod_Prop!$A:$A,Prod_Prop!$B:$B,$E389,Prod_Prop!$H:$H,I$1,Prod_Prop!$I:$I,"Exacto"),Prod_Prop!$A:$A,Prod_Prop!$J:$J,"",0,1))</f>
        <v/>
      </c>
      <c r="J389" s="4" t="str">
        <f t="array" ref="J389">IF($E389="","", XLOOKUP(SUMIFS(Prod_Prop!$A:$A,Prod_Prop!$B:$B,$E389,Prod_Prop!$H:$H,J$1,Prod_Prop!$I:$I,"Exacto"),Prod_Prop!$A:$A,Prod_Prop!$J:$J,"",0,1))</f>
        <v/>
      </c>
      <c r="K389" s="4" t="str">
        <f t="array" ref="K389">IF($E389="","", XLOOKUP(SUMIFS(Prod_Prop!$A:$A,Prod_Prop!$B:$B,$E389,Prod_Prop!$H:$H,K$1,Prod_Prop!$I:$I,"Exacto"),Prod_Prop!$A:$A,Prod_Prop!$J:$J,"",0,1))</f>
        <v/>
      </c>
      <c r="L389" s="4" t="str">
        <f t="array" ref="L389">IF($E389="","", XLOOKUP(SUMIFS(Prod_Prop!$A:$A,Prod_Prop!$B:$B,$E389,Prod_Prop!$H:$H,L$1,Prod_Prop!$I:$I,"Exacto"),Prod_Prop!$A:$A,Prod_Prop!$J:$J,"",0,1))</f>
        <v/>
      </c>
      <c r="M389" s="4" t="str">
        <f t="array" ref="M389">IF($E389="","", XLOOKUP(SUMIFS(Prod_Prop!$A:$A,Prod_Prop!$B:$B,$E389,Prod_Prop!$H:$H,M$1,Prod_Prop!$I:$I,"Exacto"),Prod_Prop!$A:$A,Prod_Prop!$J:$J,"",0,1))</f>
        <v/>
      </c>
      <c r="N389" s="4" t="str">
        <f t="array" ref="N389">IF($E389="","", XLOOKUP(SUMIFS(Prod_Prop!$A:$A,Prod_Prop!$B:$B,$E389,Prod_Prop!$H:$H,N$1,Prod_Prop!$I:$I,"Exacto"),Prod_Prop!$A:$A,Prod_Prop!$J:$J,"",0,1))</f>
        <v/>
      </c>
      <c r="O389" s="4" t="str">
        <f t="array" ref="O389">IF($E389="","", XLOOKUP(SUMIFS(Prod_Prop!$A:$A,Prod_Prop!$B:$B,$E389,Prod_Prop!$H:$H,O$1,Prod_Prop!$I:$I,"Exacto"),Prod_Prop!$A:$A,Prod_Prop!$J:$J,"",0,1))</f>
        <v/>
      </c>
      <c r="P389" s="4" t="str">
        <f t="array" ref="P389">IF($E389="","", XLOOKUP(SUMIFS(Prod_Prop!$A:$A,Prod_Prop!$B:$B,$E389,Prod_Prop!$H:$H,P$1,Prod_Prop!$I:$I,"Exacto"),Prod_Prop!$A:$A,Prod_Prop!$J:$J,"",0,1))</f>
        <v/>
      </c>
      <c r="Q389" s="4" t="str">
        <f t="array" ref="Q389">IF($E389="","", XLOOKUP(SUMIFS(Prod_Prop!$A:$A,Prod_Prop!$B:$B,$E389,Prod_Prop!$H:$H,Q$1,Prod_Prop!$I:$I,"Exacto"),Prod_Prop!$A:$A,Prod_Prop!$J:$J,"",0,1))</f>
        <v/>
      </c>
      <c r="R389" s="4" t="str">
        <f t="array" ref="R389">IF($E389="","", XLOOKUP(SUMIFS(Prod_Prop!$A:$A,Prod_Prop!$B:$B,$E389,Prod_Prop!$H:$H,R$1,Prod_Prop!$I:$I,"Exacto"),Prod_Prop!$A:$A,Prod_Prop!$J:$J,"",0,1))</f>
        <v/>
      </c>
      <c r="S389" s="4" t="str">
        <f t="array" ref="S389">IF($E389="","", XLOOKUP(SUMIFS(Prod_Prop!$A:$A,Prod_Prop!$B:$B,$E389,Prod_Prop!$H:$H,S$1,Prod_Prop!$I:$I,"Exacto"),Prod_Prop!$A:$A,Prod_Prop!$J:$J,"",0,1))</f>
        <v/>
      </c>
      <c r="T389" s="4" t="str">
        <f t="array" ref="T389">IF($E389="","", XLOOKUP(SUMIFS(Prod_Prop!$A:$A,Prod_Prop!$B:$B,$E389,Prod_Prop!$H:$H,T$1,Prod_Prop!$I:$I,"Exacto"),Prod_Prop!$A:$A,Prod_Prop!$J:$J,"",0,1))</f>
        <v/>
      </c>
      <c r="U389" s="4" t="str">
        <f t="array" ref="U389">IF($E389="","", XLOOKUP(SUMIFS(Prod_Prop!$A:$A,Prod_Prop!$B:$B,$E389,Prod_Prop!$H:$H,U$1,Prod_Prop!$I:$I,"Exacto"),Prod_Prop!$A:$A,Prod_Prop!$J:$J,"",0,1))</f>
        <v/>
      </c>
      <c r="V389" s="4" t="str">
        <f t="array" ref="V389">IF($E389="","", XLOOKUP(SUMIFS(Prod_Prop!$A:$A,Prod_Prop!$B:$B,$E389,Prod_Prop!$H:$H,V$1,Prod_Prop!$I:$I,"Exacto"),Prod_Prop!$A:$A,Prod_Prop!$J:$J,"",0,1))</f>
        <v/>
      </c>
      <c r="X389" s="3" t="str">
        <f>IFERROR(__xludf.DUMMYFUNCTION("IF(D389="""","""",IFERROR(TRANSPOSE(FILTER('Validaciones Cotizador'!U:U,'Validaciones Cotizador'!O:O=D389,'Validaciones Cotizador'!T:T=""x"")),""Finalizar""))"),"")</f>
        <v/>
      </c>
    </row>
    <row r="390">
      <c r="A390" s="2" t="str">
        <f t="array" ref="A390">IF(E390="","",XLOOKUP(D390,'Validaciones Cotizador'!C:C,'Validaciones Cotizador'!A:A,"",0,1))</f>
        <v/>
      </c>
      <c r="B390" s="2" t="str">
        <f t="array" ref="B390">IF(F390="","",XLOOKUP(F390,Productos!E:E,Productos!G:G,"",0,1))</f>
        <v/>
      </c>
      <c r="C390" s="2" t="str">
        <f>IF(A390="","",SUMIFS('Validaciones Cotizador'!B:B,'Validaciones Cotizador'!C:C,D390,'Validaciones Cotizador'!A:A,A390))</f>
        <v/>
      </c>
      <c r="D390" s="4" t="str">
        <f>IFERROR(__xludf.DUMMYFUNCTION("IF(OR(F389=""Finalizar"",F389="""",F389=""Selecciona..""),"""",IF(OR(F389=""-"",INDEX(filter(Familias!F:F,Familias!D:D=A389,Familias!E:E=C389),1)=""O""),D389+1,D389))"),"")</f>
        <v/>
      </c>
      <c r="E390" s="2" t="str">
        <f>IF(OR(F390="",F390="Selecciona.."),"",IF(D390="Implemento",SUMIF(Implementos!B:B,F390,Implementos!A:A),SUMIF(Productos!E:E,F390,Productos!A:A)))</f>
        <v/>
      </c>
      <c r="F390" s="2" t="str">
        <f t="shared" si="2"/>
        <v/>
      </c>
      <c r="G390" s="10" t="str">
        <f t="array" ref="G390">IF(OR(F390="",F390="-",F390="Selecciona..",F390="Finalizar"),"",IF(A390="Rodados",XLOOKUP(B390,'Validaciones Cotizador'!I:I,'Validaciones Cotizador'!J:J,0,0,1),1))</f>
        <v/>
      </c>
      <c r="H390" s="11" t="str">
        <f>IF(OR(F390="",F390="Selecciona.."),"",SUMIF(Precio_Productos!K:K,E390,Precio_Productos!J:J)*G390)</f>
        <v/>
      </c>
      <c r="I390" s="4" t="str">
        <f t="array" ref="I390">IF($E390="","", XLOOKUP(SUMIFS(Prod_Prop!$A:$A,Prod_Prop!$B:$B,$E390,Prod_Prop!$H:$H,I$1,Prod_Prop!$I:$I,"Exacto"),Prod_Prop!$A:$A,Prod_Prop!$J:$J,"",0,1))</f>
        <v/>
      </c>
      <c r="J390" s="4" t="str">
        <f t="array" ref="J390">IF($E390="","", XLOOKUP(SUMIFS(Prod_Prop!$A:$A,Prod_Prop!$B:$B,$E390,Prod_Prop!$H:$H,J$1,Prod_Prop!$I:$I,"Exacto"),Prod_Prop!$A:$A,Prod_Prop!$J:$J,"",0,1))</f>
        <v/>
      </c>
      <c r="K390" s="4" t="str">
        <f t="array" ref="K390">IF($E390="","", XLOOKUP(SUMIFS(Prod_Prop!$A:$A,Prod_Prop!$B:$B,$E390,Prod_Prop!$H:$H,K$1,Prod_Prop!$I:$I,"Exacto"),Prod_Prop!$A:$A,Prod_Prop!$J:$J,"",0,1))</f>
        <v/>
      </c>
      <c r="L390" s="4" t="str">
        <f t="array" ref="L390">IF($E390="","", XLOOKUP(SUMIFS(Prod_Prop!$A:$A,Prod_Prop!$B:$B,$E390,Prod_Prop!$H:$H,L$1,Prod_Prop!$I:$I,"Exacto"),Prod_Prop!$A:$A,Prod_Prop!$J:$J,"",0,1))</f>
        <v/>
      </c>
      <c r="M390" s="4" t="str">
        <f t="array" ref="M390">IF($E390="","", XLOOKUP(SUMIFS(Prod_Prop!$A:$A,Prod_Prop!$B:$B,$E390,Prod_Prop!$H:$H,M$1,Prod_Prop!$I:$I,"Exacto"),Prod_Prop!$A:$A,Prod_Prop!$J:$J,"",0,1))</f>
        <v/>
      </c>
      <c r="N390" s="4" t="str">
        <f t="array" ref="N390">IF($E390="","", XLOOKUP(SUMIFS(Prod_Prop!$A:$A,Prod_Prop!$B:$B,$E390,Prod_Prop!$H:$H,N$1,Prod_Prop!$I:$I,"Exacto"),Prod_Prop!$A:$A,Prod_Prop!$J:$J,"",0,1))</f>
        <v/>
      </c>
      <c r="O390" s="4" t="str">
        <f t="array" ref="O390">IF($E390="","", XLOOKUP(SUMIFS(Prod_Prop!$A:$A,Prod_Prop!$B:$B,$E390,Prod_Prop!$H:$H,O$1,Prod_Prop!$I:$I,"Exacto"),Prod_Prop!$A:$A,Prod_Prop!$J:$J,"",0,1))</f>
        <v/>
      </c>
      <c r="P390" s="4" t="str">
        <f t="array" ref="P390">IF($E390="","", XLOOKUP(SUMIFS(Prod_Prop!$A:$A,Prod_Prop!$B:$B,$E390,Prod_Prop!$H:$H,P$1,Prod_Prop!$I:$I,"Exacto"),Prod_Prop!$A:$A,Prod_Prop!$J:$J,"",0,1))</f>
        <v/>
      </c>
      <c r="Q390" s="4" t="str">
        <f t="array" ref="Q390">IF($E390="","", XLOOKUP(SUMIFS(Prod_Prop!$A:$A,Prod_Prop!$B:$B,$E390,Prod_Prop!$H:$H,Q$1,Prod_Prop!$I:$I,"Exacto"),Prod_Prop!$A:$A,Prod_Prop!$J:$J,"",0,1))</f>
        <v/>
      </c>
      <c r="R390" s="4" t="str">
        <f t="array" ref="R390">IF($E390="","", XLOOKUP(SUMIFS(Prod_Prop!$A:$A,Prod_Prop!$B:$B,$E390,Prod_Prop!$H:$H,R$1,Prod_Prop!$I:$I,"Exacto"),Prod_Prop!$A:$A,Prod_Prop!$J:$J,"",0,1))</f>
        <v/>
      </c>
      <c r="S390" s="4" t="str">
        <f t="array" ref="S390">IF($E390="","", XLOOKUP(SUMIFS(Prod_Prop!$A:$A,Prod_Prop!$B:$B,$E390,Prod_Prop!$H:$H,S$1,Prod_Prop!$I:$I,"Exacto"),Prod_Prop!$A:$A,Prod_Prop!$J:$J,"",0,1))</f>
        <v/>
      </c>
      <c r="T390" s="4" t="str">
        <f t="array" ref="T390">IF($E390="","", XLOOKUP(SUMIFS(Prod_Prop!$A:$A,Prod_Prop!$B:$B,$E390,Prod_Prop!$H:$H,T$1,Prod_Prop!$I:$I,"Exacto"),Prod_Prop!$A:$A,Prod_Prop!$J:$J,"",0,1))</f>
        <v/>
      </c>
      <c r="U390" s="4" t="str">
        <f t="array" ref="U390">IF($E390="","", XLOOKUP(SUMIFS(Prod_Prop!$A:$A,Prod_Prop!$B:$B,$E390,Prod_Prop!$H:$H,U$1,Prod_Prop!$I:$I,"Exacto"),Prod_Prop!$A:$A,Prod_Prop!$J:$J,"",0,1))</f>
        <v/>
      </c>
      <c r="V390" s="4" t="str">
        <f t="array" ref="V390">IF($E390="","", XLOOKUP(SUMIFS(Prod_Prop!$A:$A,Prod_Prop!$B:$B,$E390,Prod_Prop!$H:$H,V$1,Prod_Prop!$I:$I,"Exacto"),Prod_Prop!$A:$A,Prod_Prop!$J:$J,"",0,1))</f>
        <v/>
      </c>
      <c r="X390" s="3" t="str">
        <f>IFERROR(__xludf.DUMMYFUNCTION("IF(D390="""","""",IFERROR(TRANSPOSE(FILTER('Validaciones Cotizador'!U:U,'Validaciones Cotizador'!O:O=D390,'Validaciones Cotizador'!T:T=""x"")),""Finalizar""))"),"")</f>
        <v/>
      </c>
    </row>
    <row r="391">
      <c r="A391" s="2" t="str">
        <f t="array" ref="A391">IF(E391="","",XLOOKUP(D391,'Validaciones Cotizador'!C:C,'Validaciones Cotizador'!A:A,"",0,1))</f>
        <v/>
      </c>
      <c r="B391" s="2" t="str">
        <f t="array" ref="B391">IF(F391="","",XLOOKUP(F391,Productos!E:E,Productos!G:G,"",0,1))</f>
        <v/>
      </c>
      <c r="C391" s="2" t="str">
        <f>IF(A391="","",SUMIFS('Validaciones Cotizador'!B:B,'Validaciones Cotizador'!C:C,D391,'Validaciones Cotizador'!A:A,A391))</f>
        <v/>
      </c>
      <c r="D391" s="4" t="str">
        <f>IFERROR(__xludf.DUMMYFUNCTION("IF(OR(F390=""Finalizar"",F390="""",F390=""Selecciona..""),"""",IF(OR(F390=""-"",INDEX(filter(Familias!F:F,Familias!D:D=A390,Familias!E:E=C390),1)=""O""),D390+1,D390))"),"")</f>
        <v/>
      </c>
      <c r="E391" s="2" t="str">
        <f>IF(OR(F391="",F391="Selecciona.."),"",IF(D391="Implemento",SUMIF(Implementos!B:B,F391,Implementos!A:A),SUMIF(Productos!E:E,F391,Productos!A:A)))</f>
        <v/>
      </c>
      <c r="F391" s="2" t="str">
        <f t="shared" si="2"/>
        <v/>
      </c>
      <c r="G391" s="10" t="str">
        <f t="array" ref="G391">IF(OR(F391="",F391="-",F391="Selecciona..",F391="Finalizar"),"",IF(A391="Rodados",XLOOKUP(B391,'Validaciones Cotizador'!I:I,'Validaciones Cotizador'!J:J,0,0,1),1))</f>
        <v/>
      </c>
      <c r="H391" s="11" t="str">
        <f>IF(OR(F391="",F391="Selecciona.."),"",SUMIF(Precio_Productos!K:K,E391,Precio_Productos!J:J)*G391)</f>
        <v/>
      </c>
      <c r="I391" s="4" t="str">
        <f t="array" ref="I391">IF($E391="","", XLOOKUP(SUMIFS(Prod_Prop!$A:$A,Prod_Prop!$B:$B,$E391,Prod_Prop!$H:$H,I$1,Prod_Prop!$I:$I,"Exacto"),Prod_Prop!$A:$A,Prod_Prop!$J:$J,"",0,1))</f>
        <v/>
      </c>
      <c r="J391" s="4" t="str">
        <f t="array" ref="J391">IF($E391="","", XLOOKUP(SUMIFS(Prod_Prop!$A:$A,Prod_Prop!$B:$B,$E391,Prod_Prop!$H:$H,J$1,Prod_Prop!$I:$I,"Exacto"),Prod_Prop!$A:$A,Prod_Prop!$J:$J,"",0,1))</f>
        <v/>
      </c>
      <c r="K391" s="4" t="str">
        <f t="array" ref="K391">IF($E391="","", XLOOKUP(SUMIFS(Prod_Prop!$A:$A,Prod_Prop!$B:$B,$E391,Prod_Prop!$H:$H,K$1,Prod_Prop!$I:$I,"Exacto"),Prod_Prop!$A:$A,Prod_Prop!$J:$J,"",0,1))</f>
        <v/>
      </c>
      <c r="L391" s="4" t="str">
        <f t="array" ref="L391">IF($E391="","", XLOOKUP(SUMIFS(Prod_Prop!$A:$A,Prod_Prop!$B:$B,$E391,Prod_Prop!$H:$H,L$1,Prod_Prop!$I:$I,"Exacto"),Prod_Prop!$A:$A,Prod_Prop!$J:$J,"",0,1))</f>
        <v/>
      </c>
      <c r="M391" s="4" t="str">
        <f t="array" ref="M391">IF($E391="","", XLOOKUP(SUMIFS(Prod_Prop!$A:$A,Prod_Prop!$B:$B,$E391,Prod_Prop!$H:$H,M$1,Prod_Prop!$I:$I,"Exacto"),Prod_Prop!$A:$A,Prod_Prop!$J:$J,"",0,1))</f>
        <v/>
      </c>
      <c r="N391" s="4" t="str">
        <f t="array" ref="N391">IF($E391="","", XLOOKUP(SUMIFS(Prod_Prop!$A:$A,Prod_Prop!$B:$B,$E391,Prod_Prop!$H:$H,N$1,Prod_Prop!$I:$I,"Exacto"),Prod_Prop!$A:$A,Prod_Prop!$J:$J,"",0,1))</f>
        <v/>
      </c>
      <c r="O391" s="4" t="str">
        <f t="array" ref="O391">IF($E391="","", XLOOKUP(SUMIFS(Prod_Prop!$A:$A,Prod_Prop!$B:$B,$E391,Prod_Prop!$H:$H,O$1,Prod_Prop!$I:$I,"Exacto"),Prod_Prop!$A:$A,Prod_Prop!$J:$J,"",0,1))</f>
        <v/>
      </c>
      <c r="P391" s="4" t="str">
        <f t="array" ref="P391">IF($E391="","", XLOOKUP(SUMIFS(Prod_Prop!$A:$A,Prod_Prop!$B:$B,$E391,Prod_Prop!$H:$H,P$1,Prod_Prop!$I:$I,"Exacto"),Prod_Prop!$A:$A,Prod_Prop!$J:$J,"",0,1))</f>
        <v/>
      </c>
      <c r="Q391" s="4" t="str">
        <f t="array" ref="Q391">IF($E391="","", XLOOKUP(SUMIFS(Prod_Prop!$A:$A,Prod_Prop!$B:$B,$E391,Prod_Prop!$H:$H,Q$1,Prod_Prop!$I:$I,"Exacto"),Prod_Prop!$A:$A,Prod_Prop!$J:$J,"",0,1))</f>
        <v/>
      </c>
      <c r="R391" s="4" t="str">
        <f t="array" ref="R391">IF($E391="","", XLOOKUP(SUMIFS(Prod_Prop!$A:$A,Prod_Prop!$B:$B,$E391,Prod_Prop!$H:$H,R$1,Prod_Prop!$I:$I,"Exacto"),Prod_Prop!$A:$A,Prod_Prop!$J:$J,"",0,1))</f>
        <v/>
      </c>
      <c r="S391" s="4" t="str">
        <f t="array" ref="S391">IF($E391="","", XLOOKUP(SUMIFS(Prod_Prop!$A:$A,Prod_Prop!$B:$B,$E391,Prod_Prop!$H:$H,S$1,Prod_Prop!$I:$I,"Exacto"),Prod_Prop!$A:$A,Prod_Prop!$J:$J,"",0,1))</f>
        <v/>
      </c>
      <c r="T391" s="4" t="str">
        <f t="array" ref="T391">IF($E391="","", XLOOKUP(SUMIFS(Prod_Prop!$A:$A,Prod_Prop!$B:$B,$E391,Prod_Prop!$H:$H,T$1,Prod_Prop!$I:$I,"Exacto"),Prod_Prop!$A:$A,Prod_Prop!$J:$J,"",0,1))</f>
        <v/>
      </c>
      <c r="U391" s="4" t="str">
        <f t="array" ref="U391">IF($E391="","", XLOOKUP(SUMIFS(Prod_Prop!$A:$A,Prod_Prop!$B:$B,$E391,Prod_Prop!$H:$H,U$1,Prod_Prop!$I:$I,"Exacto"),Prod_Prop!$A:$A,Prod_Prop!$J:$J,"",0,1))</f>
        <v/>
      </c>
      <c r="V391" s="4" t="str">
        <f t="array" ref="V391">IF($E391="","", XLOOKUP(SUMIFS(Prod_Prop!$A:$A,Prod_Prop!$B:$B,$E391,Prod_Prop!$H:$H,V$1,Prod_Prop!$I:$I,"Exacto"),Prod_Prop!$A:$A,Prod_Prop!$J:$J,"",0,1))</f>
        <v/>
      </c>
      <c r="X391" s="3" t="str">
        <f>IFERROR(__xludf.DUMMYFUNCTION("IF(D391="""","""",IFERROR(TRANSPOSE(FILTER('Validaciones Cotizador'!U:U,'Validaciones Cotizador'!O:O=D391,'Validaciones Cotizador'!T:T=""x"")),""Finalizar""))"),"")</f>
        <v/>
      </c>
    </row>
    <row r="392">
      <c r="A392" s="2" t="str">
        <f t="array" ref="A392">IF(E392="","",XLOOKUP(D392,'Validaciones Cotizador'!C:C,'Validaciones Cotizador'!A:A,"",0,1))</f>
        <v/>
      </c>
      <c r="B392" s="2" t="str">
        <f t="array" ref="B392">IF(F392="","",XLOOKUP(F392,Productos!E:E,Productos!G:G,"",0,1))</f>
        <v/>
      </c>
      <c r="C392" s="2" t="str">
        <f>IF(A392="","",SUMIFS('Validaciones Cotizador'!B:B,'Validaciones Cotizador'!C:C,D392,'Validaciones Cotizador'!A:A,A392))</f>
        <v/>
      </c>
      <c r="D392" s="4" t="str">
        <f>IFERROR(__xludf.DUMMYFUNCTION("IF(OR(F391=""Finalizar"",F391="""",F391=""Selecciona..""),"""",IF(OR(F391=""-"",INDEX(filter(Familias!F:F,Familias!D:D=A391,Familias!E:E=C391),1)=""O""),D391+1,D391))"),"")</f>
        <v/>
      </c>
      <c r="E392" s="2" t="str">
        <f>IF(OR(F392="",F392="Selecciona.."),"",IF(D392="Implemento",SUMIF(Implementos!B:B,F392,Implementos!A:A),SUMIF(Productos!E:E,F392,Productos!A:A)))</f>
        <v/>
      </c>
      <c r="F392" s="2" t="str">
        <f t="shared" si="2"/>
        <v/>
      </c>
      <c r="G392" s="10" t="str">
        <f t="array" ref="G392">IF(OR(F392="",F392="-",F392="Selecciona..",F392="Finalizar"),"",IF(A392="Rodados",XLOOKUP(B392,'Validaciones Cotizador'!I:I,'Validaciones Cotizador'!J:J,0,0,1),1))</f>
        <v/>
      </c>
      <c r="H392" s="11" t="str">
        <f>IF(OR(F392="",F392="Selecciona.."),"",SUMIF(Precio_Productos!K:K,E392,Precio_Productos!J:J)*G392)</f>
        <v/>
      </c>
      <c r="I392" s="4" t="str">
        <f t="array" ref="I392">IF($E392="","", XLOOKUP(SUMIFS(Prod_Prop!$A:$A,Prod_Prop!$B:$B,$E392,Prod_Prop!$H:$H,I$1,Prod_Prop!$I:$I,"Exacto"),Prod_Prop!$A:$A,Prod_Prop!$J:$J,"",0,1))</f>
        <v/>
      </c>
      <c r="J392" s="4" t="str">
        <f t="array" ref="J392">IF($E392="","", XLOOKUP(SUMIFS(Prod_Prop!$A:$A,Prod_Prop!$B:$B,$E392,Prod_Prop!$H:$H,J$1,Prod_Prop!$I:$I,"Exacto"),Prod_Prop!$A:$A,Prod_Prop!$J:$J,"",0,1))</f>
        <v/>
      </c>
      <c r="K392" s="4" t="str">
        <f t="array" ref="K392">IF($E392="","", XLOOKUP(SUMIFS(Prod_Prop!$A:$A,Prod_Prop!$B:$B,$E392,Prod_Prop!$H:$H,K$1,Prod_Prop!$I:$I,"Exacto"),Prod_Prop!$A:$A,Prod_Prop!$J:$J,"",0,1))</f>
        <v/>
      </c>
      <c r="L392" s="4" t="str">
        <f t="array" ref="L392">IF($E392="","", XLOOKUP(SUMIFS(Prod_Prop!$A:$A,Prod_Prop!$B:$B,$E392,Prod_Prop!$H:$H,L$1,Prod_Prop!$I:$I,"Exacto"),Prod_Prop!$A:$A,Prod_Prop!$J:$J,"",0,1))</f>
        <v/>
      </c>
      <c r="M392" s="4" t="str">
        <f t="array" ref="M392">IF($E392="","", XLOOKUP(SUMIFS(Prod_Prop!$A:$A,Prod_Prop!$B:$B,$E392,Prod_Prop!$H:$H,M$1,Prod_Prop!$I:$I,"Exacto"),Prod_Prop!$A:$A,Prod_Prop!$J:$J,"",0,1))</f>
        <v/>
      </c>
      <c r="N392" s="4" t="str">
        <f t="array" ref="N392">IF($E392="","", XLOOKUP(SUMIFS(Prod_Prop!$A:$A,Prod_Prop!$B:$B,$E392,Prod_Prop!$H:$H,N$1,Prod_Prop!$I:$I,"Exacto"),Prod_Prop!$A:$A,Prod_Prop!$J:$J,"",0,1))</f>
        <v/>
      </c>
      <c r="O392" s="4" t="str">
        <f t="array" ref="O392">IF($E392="","", XLOOKUP(SUMIFS(Prod_Prop!$A:$A,Prod_Prop!$B:$B,$E392,Prod_Prop!$H:$H,O$1,Prod_Prop!$I:$I,"Exacto"),Prod_Prop!$A:$A,Prod_Prop!$J:$J,"",0,1))</f>
        <v/>
      </c>
      <c r="P392" s="4" t="str">
        <f t="array" ref="P392">IF($E392="","", XLOOKUP(SUMIFS(Prod_Prop!$A:$A,Prod_Prop!$B:$B,$E392,Prod_Prop!$H:$H,P$1,Prod_Prop!$I:$I,"Exacto"),Prod_Prop!$A:$A,Prod_Prop!$J:$J,"",0,1))</f>
        <v/>
      </c>
      <c r="Q392" s="4" t="str">
        <f t="array" ref="Q392">IF($E392="","", XLOOKUP(SUMIFS(Prod_Prop!$A:$A,Prod_Prop!$B:$B,$E392,Prod_Prop!$H:$H,Q$1,Prod_Prop!$I:$I,"Exacto"),Prod_Prop!$A:$A,Prod_Prop!$J:$J,"",0,1))</f>
        <v/>
      </c>
      <c r="R392" s="4" t="str">
        <f t="array" ref="R392">IF($E392="","", XLOOKUP(SUMIFS(Prod_Prop!$A:$A,Prod_Prop!$B:$B,$E392,Prod_Prop!$H:$H,R$1,Prod_Prop!$I:$I,"Exacto"),Prod_Prop!$A:$A,Prod_Prop!$J:$J,"",0,1))</f>
        <v/>
      </c>
      <c r="S392" s="4" t="str">
        <f t="array" ref="S392">IF($E392="","", XLOOKUP(SUMIFS(Prod_Prop!$A:$A,Prod_Prop!$B:$B,$E392,Prod_Prop!$H:$H,S$1,Prod_Prop!$I:$I,"Exacto"),Prod_Prop!$A:$A,Prod_Prop!$J:$J,"",0,1))</f>
        <v/>
      </c>
      <c r="T392" s="4" t="str">
        <f t="array" ref="T392">IF($E392="","", XLOOKUP(SUMIFS(Prod_Prop!$A:$A,Prod_Prop!$B:$B,$E392,Prod_Prop!$H:$H,T$1,Prod_Prop!$I:$I,"Exacto"),Prod_Prop!$A:$A,Prod_Prop!$J:$J,"",0,1))</f>
        <v/>
      </c>
      <c r="U392" s="4" t="str">
        <f t="array" ref="U392">IF($E392="","", XLOOKUP(SUMIFS(Prod_Prop!$A:$A,Prod_Prop!$B:$B,$E392,Prod_Prop!$H:$H,U$1,Prod_Prop!$I:$I,"Exacto"),Prod_Prop!$A:$A,Prod_Prop!$J:$J,"",0,1))</f>
        <v/>
      </c>
      <c r="V392" s="4" t="str">
        <f t="array" ref="V392">IF($E392="","", XLOOKUP(SUMIFS(Prod_Prop!$A:$A,Prod_Prop!$B:$B,$E392,Prod_Prop!$H:$H,V$1,Prod_Prop!$I:$I,"Exacto"),Prod_Prop!$A:$A,Prod_Prop!$J:$J,"",0,1))</f>
        <v/>
      </c>
      <c r="X392" s="3" t="str">
        <f>IFERROR(__xludf.DUMMYFUNCTION("IF(D392="""","""",IFERROR(TRANSPOSE(FILTER('Validaciones Cotizador'!U:U,'Validaciones Cotizador'!O:O=D392,'Validaciones Cotizador'!T:T=""x"")),""Finalizar""))"),"")</f>
        <v/>
      </c>
    </row>
    <row r="393">
      <c r="A393" s="2" t="str">
        <f t="array" ref="A393">IF(E393="","",XLOOKUP(D393,'Validaciones Cotizador'!C:C,'Validaciones Cotizador'!A:A,"",0,1))</f>
        <v/>
      </c>
      <c r="B393" s="2" t="str">
        <f t="array" ref="B393">IF(F393="","",XLOOKUP(F393,Productos!E:E,Productos!G:G,"",0,1))</f>
        <v/>
      </c>
      <c r="C393" s="2" t="str">
        <f>IF(A393="","",SUMIFS('Validaciones Cotizador'!B:B,'Validaciones Cotizador'!C:C,D393,'Validaciones Cotizador'!A:A,A393))</f>
        <v/>
      </c>
      <c r="D393" s="4" t="str">
        <f>IFERROR(__xludf.DUMMYFUNCTION("IF(OR(F392=""Finalizar"",F392="""",F392=""Selecciona..""),"""",IF(OR(F392=""-"",INDEX(filter(Familias!F:F,Familias!D:D=A392,Familias!E:E=C392),1)=""O""),D392+1,D392))"),"")</f>
        <v/>
      </c>
      <c r="E393" s="2" t="str">
        <f>IF(OR(F393="",F393="Selecciona.."),"",IF(D393="Implemento",SUMIF(Implementos!B:B,F393,Implementos!A:A),SUMIF(Productos!E:E,F393,Productos!A:A)))</f>
        <v/>
      </c>
      <c r="F393" s="2" t="str">
        <f t="shared" si="2"/>
        <v/>
      </c>
      <c r="G393" s="10" t="str">
        <f t="array" ref="G393">IF(OR(F393="",F393="-",F393="Selecciona..",F393="Finalizar"),"",IF(A393="Rodados",XLOOKUP(B393,'Validaciones Cotizador'!I:I,'Validaciones Cotizador'!J:J,0,0,1),1))</f>
        <v/>
      </c>
      <c r="H393" s="11" t="str">
        <f>IF(OR(F393="",F393="Selecciona.."),"",SUMIF(Precio_Productos!K:K,E393,Precio_Productos!J:J)*G393)</f>
        <v/>
      </c>
      <c r="I393" s="4" t="str">
        <f t="array" ref="I393">IF($E393="","", XLOOKUP(SUMIFS(Prod_Prop!$A:$A,Prod_Prop!$B:$B,$E393,Prod_Prop!$H:$H,I$1,Prod_Prop!$I:$I,"Exacto"),Prod_Prop!$A:$A,Prod_Prop!$J:$J,"",0,1))</f>
        <v/>
      </c>
      <c r="J393" s="4" t="str">
        <f t="array" ref="J393">IF($E393="","", XLOOKUP(SUMIFS(Prod_Prop!$A:$A,Prod_Prop!$B:$B,$E393,Prod_Prop!$H:$H,J$1,Prod_Prop!$I:$I,"Exacto"),Prod_Prop!$A:$A,Prod_Prop!$J:$J,"",0,1))</f>
        <v/>
      </c>
      <c r="K393" s="4" t="str">
        <f t="array" ref="K393">IF($E393="","", XLOOKUP(SUMIFS(Prod_Prop!$A:$A,Prod_Prop!$B:$B,$E393,Prod_Prop!$H:$H,K$1,Prod_Prop!$I:$I,"Exacto"),Prod_Prop!$A:$A,Prod_Prop!$J:$J,"",0,1))</f>
        <v/>
      </c>
      <c r="L393" s="4" t="str">
        <f t="array" ref="L393">IF($E393="","", XLOOKUP(SUMIFS(Prod_Prop!$A:$A,Prod_Prop!$B:$B,$E393,Prod_Prop!$H:$H,L$1,Prod_Prop!$I:$I,"Exacto"),Prod_Prop!$A:$A,Prod_Prop!$J:$J,"",0,1))</f>
        <v/>
      </c>
      <c r="M393" s="4" t="str">
        <f t="array" ref="M393">IF($E393="","", XLOOKUP(SUMIFS(Prod_Prop!$A:$A,Prod_Prop!$B:$B,$E393,Prod_Prop!$H:$H,M$1,Prod_Prop!$I:$I,"Exacto"),Prod_Prop!$A:$A,Prod_Prop!$J:$J,"",0,1))</f>
        <v/>
      </c>
      <c r="N393" s="4" t="str">
        <f t="array" ref="N393">IF($E393="","", XLOOKUP(SUMIFS(Prod_Prop!$A:$A,Prod_Prop!$B:$B,$E393,Prod_Prop!$H:$H,N$1,Prod_Prop!$I:$I,"Exacto"),Prod_Prop!$A:$A,Prod_Prop!$J:$J,"",0,1))</f>
        <v/>
      </c>
      <c r="O393" s="4" t="str">
        <f t="array" ref="O393">IF($E393="","", XLOOKUP(SUMIFS(Prod_Prop!$A:$A,Prod_Prop!$B:$B,$E393,Prod_Prop!$H:$H,O$1,Prod_Prop!$I:$I,"Exacto"),Prod_Prop!$A:$A,Prod_Prop!$J:$J,"",0,1))</f>
        <v/>
      </c>
      <c r="P393" s="4" t="str">
        <f t="array" ref="P393">IF($E393="","", XLOOKUP(SUMIFS(Prod_Prop!$A:$A,Prod_Prop!$B:$B,$E393,Prod_Prop!$H:$H,P$1,Prod_Prop!$I:$I,"Exacto"),Prod_Prop!$A:$A,Prod_Prop!$J:$J,"",0,1))</f>
        <v/>
      </c>
      <c r="Q393" s="4" t="str">
        <f t="array" ref="Q393">IF($E393="","", XLOOKUP(SUMIFS(Prod_Prop!$A:$A,Prod_Prop!$B:$B,$E393,Prod_Prop!$H:$H,Q$1,Prod_Prop!$I:$I,"Exacto"),Prod_Prop!$A:$A,Prod_Prop!$J:$J,"",0,1))</f>
        <v/>
      </c>
      <c r="R393" s="4" t="str">
        <f t="array" ref="R393">IF($E393="","", XLOOKUP(SUMIFS(Prod_Prop!$A:$A,Prod_Prop!$B:$B,$E393,Prod_Prop!$H:$H,R$1,Prod_Prop!$I:$I,"Exacto"),Prod_Prop!$A:$A,Prod_Prop!$J:$J,"",0,1))</f>
        <v/>
      </c>
      <c r="S393" s="4" t="str">
        <f t="array" ref="S393">IF($E393="","", XLOOKUP(SUMIFS(Prod_Prop!$A:$A,Prod_Prop!$B:$B,$E393,Prod_Prop!$H:$H,S$1,Prod_Prop!$I:$I,"Exacto"),Prod_Prop!$A:$A,Prod_Prop!$J:$J,"",0,1))</f>
        <v/>
      </c>
      <c r="T393" s="4" t="str">
        <f t="array" ref="T393">IF($E393="","", XLOOKUP(SUMIFS(Prod_Prop!$A:$A,Prod_Prop!$B:$B,$E393,Prod_Prop!$H:$H,T$1,Prod_Prop!$I:$I,"Exacto"),Prod_Prop!$A:$A,Prod_Prop!$J:$J,"",0,1))</f>
        <v/>
      </c>
      <c r="U393" s="4" t="str">
        <f t="array" ref="U393">IF($E393="","", XLOOKUP(SUMIFS(Prod_Prop!$A:$A,Prod_Prop!$B:$B,$E393,Prod_Prop!$H:$H,U$1,Prod_Prop!$I:$I,"Exacto"),Prod_Prop!$A:$A,Prod_Prop!$J:$J,"",0,1))</f>
        <v/>
      </c>
      <c r="V393" s="4" t="str">
        <f t="array" ref="V393">IF($E393="","", XLOOKUP(SUMIFS(Prod_Prop!$A:$A,Prod_Prop!$B:$B,$E393,Prod_Prop!$H:$H,V$1,Prod_Prop!$I:$I,"Exacto"),Prod_Prop!$A:$A,Prod_Prop!$J:$J,"",0,1))</f>
        <v/>
      </c>
      <c r="X393" s="3" t="str">
        <f>IFERROR(__xludf.DUMMYFUNCTION("IF(D393="""","""",IFERROR(TRANSPOSE(FILTER('Validaciones Cotizador'!U:U,'Validaciones Cotizador'!O:O=D393,'Validaciones Cotizador'!T:T=""x"")),""Finalizar""))"),"")</f>
        <v/>
      </c>
    </row>
    <row r="394">
      <c r="A394" s="2" t="str">
        <f t="array" ref="A394">IF(E394="","",XLOOKUP(D394,'Validaciones Cotizador'!C:C,'Validaciones Cotizador'!A:A,"",0,1))</f>
        <v/>
      </c>
      <c r="B394" s="2" t="str">
        <f t="array" ref="B394">IF(F394="","",XLOOKUP(F394,Productos!E:E,Productos!G:G,"",0,1))</f>
        <v/>
      </c>
      <c r="C394" s="2" t="str">
        <f>IF(A394="","",SUMIFS('Validaciones Cotizador'!B:B,'Validaciones Cotizador'!C:C,D394,'Validaciones Cotizador'!A:A,A394))</f>
        <v/>
      </c>
      <c r="D394" s="4" t="str">
        <f>IFERROR(__xludf.DUMMYFUNCTION("IF(OR(F393=""Finalizar"",F393="""",F393=""Selecciona..""),"""",IF(OR(F393=""-"",INDEX(filter(Familias!F:F,Familias!D:D=A393,Familias!E:E=C393),1)=""O""),D393+1,D393))"),"")</f>
        <v/>
      </c>
      <c r="E394" s="2" t="str">
        <f>IF(OR(F394="",F394="Selecciona.."),"",IF(D394="Implemento",SUMIF(Implementos!B:B,F394,Implementos!A:A),SUMIF(Productos!E:E,F394,Productos!A:A)))</f>
        <v/>
      </c>
      <c r="F394" s="2" t="str">
        <f t="shared" si="2"/>
        <v/>
      </c>
      <c r="G394" s="10" t="str">
        <f t="array" ref="G394">IF(OR(F394="",F394="-",F394="Selecciona..",F394="Finalizar"),"",IF(A394="Rodados",XLOOKUP(B394,'Validaciones Cotizador'!I:I,'Validaciones Cotizador'!J:J,0,0,1),1))</f>
        <v/>
      </c>
      <c r="H394" s="11" t="str">
        <f>IF(OR(F394="",F394="Selecciona.."),"",SUMIF(Precio_Productos!K:K,E394,Precio_Productos!J:J)*G394)</f>
        <v/>
      </c>
      <c r="I394" s="4" t="str">
        <f t="array" ref="I394">IF($E394="","", XLOOKUP(SUMIFS(Prod_Prop!$A:$A,Prod_Prop!$B:$B,$E394,Prod_Prop!$H:$H,I$1,Prod_Prop!$I:$I,"Exacto"),Prod_Prop!$A:$A,Prod_Prop!$J:$J,"",0,1))</f>
        <v/>
      </c>
      <c r="J394" s="4" t="str">
        <f t="array" ref="J394">IF($E394="","", XLOOKUP(SUMIFS(Prod_Prop!$A:$A,Prod_Prop!$B:$B,$E394,Prod_Prop!$H:$H,J$1,Prod_Prop!$I:$I,"Exacto"),Prod_Prop!$A:$A,Prod_Prop!$J:$J,"",0,1))</f>
        <v/>
      </c>
      <c r="K394" s="4" t="str">
        <f t="array" ref="K394">IF($E394="","", XLOOKUP(SUMIFS(Prod_Prop!$A:$A,Prod_Prop!$B:$B,$E394,Prod_Prop!$H:$H,K$1,Prod_Prop!$I:$I,"Exacto"),Prod_Prop!$A:$A,Prod_Prop!$J:$J,"",0,1))</f>
        <v/>
      </c>
      <c r="L394" s="4" t="str">
        <f t="array" ref="L394">IF($E394="","", XLOOKUP(SUMIFS(Prod_Prop!$A:$A,Prod_Prop!$B:$B,$E394,Prod_Prop!$H:$H,L$1,Prod_Prop!$I:$I,"Exacto"),Prod_Prop!$A:$A,Prod_Prop!$J:$J,"",0,1))</f>
        <v/>
      </c>
      <c r="M394" s="4" t="str">
        <f t="array" ref="M394">IF($E394="","", XLOOKUP(SUMIFS(Prod_Prop!$A:$A,Prod_Prop!$B:$B,$E394,Prod_Prop!$H:$H,M$1,Prod_Prop!$I:$I,"Exacto"),Prod_Prop!$A:$A,Prod_Prop!$J:$J,"",0,1))</f>
        <v/>
      </c>
      <c r="N394" s="4" t="str">
        <f t="array" ref="N394">IF($E394="","", XLOOKUP(SUMIFS(Prod_Prop!$A:$A,Prod_Prop!$B:$B,$E394,Prod_Prop!$H:$H,N$1,Prod_Prop!$I:$I,"Exacto"),Prod_Prop!$A:$A,Prod_Prop!$J:$J,"",0,1))</f>
        <v/>
      </c>
      <c r="O394" s="4" t="str">
        <f t="array" ref="O394">IF($E394="","", XLOOKUP(SUMIFS(Prod_Prop!$A:$A,Prod_Prop!$B:$B,$E394,Prod_Prop!$H:$H,O$1,Prod_Prop!$I:$I,"Exacto"),Prod_Prop!$A:$A,Prod_Prop!$J:$J,"",0,1))</f>
        <v/>
      </c>
      <c r="P394" s="4" t="str">
        <f t="array" ref="P394">IF($E394="","", XLOOKUP(SUMIFS(Prod_Prop!$A:$A,Prod_Prop!$B:$B,$E394,Prod_Prop!$H:$H,P$1,Prod_Prop!$I:$I,"Exacto"),Prod_Prop!$A:$A,Prod_Prop!$J:$J,"",0,1))</f>
        <v/>
      </c>
      <c r="Q394" s="4" t="str">
        <f t="array" ref="Q394">IF($E394="","", XLOOKUP(SUMIFS(Prod_Prop!$A:$A,Prod_Prop!$B:$B,$E394,Prod_Prop!$H:$H,Q$1,Prod_Prop!$I:$I,"Exacto"),Prod_Prop!$A:$A,Prod_Prop!$J:$J,"",0,1))</f>
        <v/>
      </c>
      <c r="R394" s="4" t="str">
        <f t="array" ref="R394">IF($E394="","", XLOOKUP(SUMIFS(Prod_Prop!$A:$A,Prod_Prop!$B:$B,$E394,Prod_Prop!$H:$H,R$1,Prod_Prop!$I:$I,"Exacto"),Prod_Prop!$A:$A,Prod_Prop!$J:$J,"",0,1))</f>
        <v/>
      </c>
      <c r="S394" s="4" t="str">
        <f t="array" ref="S394">IF($E394="","", XLOOKUP(SUMIFS(Prod_Prop!$A:$A,Prod_Prop!$B:$B,$E394,Prod_Prop!$H:$H,S$1,Prod_Prop!$I:$I,"Exacto"),Prod_Prop!$A:$A,Prod_Prop!$J:$J,"",0,1))</f>
        <v/>
      </c>
      <c r="T394" s="4" t="str">
        <f t="array" ref="T394">IF($E394="","", XLOOKUP(SUMIFS(Prod_Prop!$A:$A,Prod_Prop!$B:$B,$E394,Prod_Prop!$H:$H,T$1,Prod_Prop!$I:$I,"Exacto"),Prod_Prop!$A:$A,Prod_Prop!$J:$J,"",0,1))</f>
        <v/>
      </c>
      <c r="U394" s="4" t="str">
        <f t="array" ref="U394">IF($E394="","", XLOOKUP(SUMIFS(Prod_Prop!$A:$A,Prod_Prop!$B:$B,$E394,Prod_Prop!$H:$H,U$1,Prod_Prop!$I:$I,"Exacto"),Prod_Prop!$A:$A,Prod_Prop!$J:$J,"",0,1))</f>
        <v/>
      </c>
      <c r="V394" s="4" t="str">
        <f t="array" ref="V394">IF($E394="","", XLOOKUP(SUMIFS(Prod_Prop!$A:$A,Prod_Prop!$B:$B,$E394,Prod_Prop!$H:$H,V$1,Prod_Prop!$I:$I,"Exacto"),Prod_Prop!$A:$A,Prod_Prop!$J:$J,"",0,1))</f>
        <v/>
      </c>
      <c r="X394" s="3" t="str">
        <f>IFERROR(__xludf.DUMMYFUNCTION("IF(D394="""","""",IFERROR(TRANSPOSE(FILTER('Validaciones Cotizador'!U:U,'Validaciones Cotizador'!O:O=D394,'Validaciones Cotizador'!T:T=""x"")),""Finalizar""))"),"")</f>
        <v/>
      </c>
    </row>
    <row r="395">
      <c r="A395" s="2" t="str">
        <f t="array" ref="A395">IF(E395="","",XLOOKUP(D395,'Validaciones Cotizador'!C:C,'Validaciones Cotizador'!A:A,"",0,1))</f>
        <v/>
      </c>
      <c r="B395" s="2" t="str">
        <f t="array" ref="B395">IF(F395="","",XLOOKUP(F395,Productos!E:E,Productos!G:G,"",0,1))</f>
        <v/>
      </c>
      <c r="C395" s="2" t="str">
        <f>IF(A395="","",SUMIFS('Validaciones Cotizador'!B:B,'Validaciones Cotizador'!C:C,D395,'Validaciones Cotizador'!A:A,A395))</f>
        <v/>
      </c>
      <c r="D395" s="4" t="str">
        <f>IFERROR(__xludf.DUMMYFUNCTION("IF(OR(F394=""Finalizar"",F394="""",F394=""Selecciona..""),"""",IF(OR(F394=""-"",INDEX(filter(Familias!F:F,Familias!D:D=A394,Familias!E:E=C394),1)=""O""),D394+1,D394))"),"")</f>
        <v/>
      </c>
      <c r="E395" s="2" t="str">
        <f>IF(OR(F395="",F395="Selecciona.."),"",IF(D395="Implemento",SUMIF(Implementos!B:B,F395,Implementos!A:A),SUMIF(Productos!E:E,F395,Productos!A:A)))</f>
        <v/>
      </c>
      <c r="F395" s="2" t="str">
        <f t="shared" si="2"/>
        <v/>
      </c>
      <c r="G395" s="10" t="str">
        <f t="array" ref="G395">IF(OR(F395="",F395="-",F395="Selecciona..",F395="Finalizar"),"",IF(A395="Rodados",XLOOKUP(B395,'Validaciones Cotizador'!I:I,'Validaciones Cotizador'!J:J,0,0,1),1))</f>
        <v/>
      </c>
      <c r="H395" s="11" t="str">
        <f>IF(OR(F395="",F395="Selecciona.."),"",SUMIF(Precio_Productos!K:K,E395,Precio_Productos!J:J)*G395)</f>
        <v/>
      </c>
      <c r="I395" s="4" t="str">
        <f t="array" ref="I395">IF($E395="","", XLOOKUP(SUMIFS(Prod_Prop!$A:$A,Prod_Prop!$B:$B,$E395,Prod_Prop!$H:$H,I$1,Prod_Prop!$I:$I,"Exacto"),Prod_Prop!$A:$A,Prod_Prop!$J:$J,"",0,1))</f>
        <v/>
      </c>
      <c r="J395" s="4" t="str">
        <f t="array" ref="J395">IF($E395="","", XLOOKUP(SUMIFS(Prod_Prop!$A:$A,Prod_Prop!$B:$B,$E395,Prod_Prop!$H:$H,J$1,Prod_Prop!$I:$I,"Exacto"),Prod_Prop!$A:$A,Prod_Prop!$J:$J,"",0,1))</f>
        <v/>
      </c>
      <c r="K395" s="4" t="str">
        <f t="array" ref="K395">IF($E395="","", XLOOKUP(SUMIFS(Prod_Prop!$A:$A,Prod_Prop!$B:$B,$E395,Prod_Prop!$H:$H,K$1,Prod_Prop!$I:$I,"Exacto"),Prod_Prop!$A:$A,Prod_Prop!$J:$J,"",0,1))</f>
        <v/>
      </c>
      <c r="L395" s="4" t="str">
        <f t="array" ref="L395">IF($E395="","", XLOOKUP(SUMIFS(Prod_Prop!$A:$A,Prod_Prop!$B:$B,$E395,Prod_Prop!$H:$H,L$1,Prod_Prop!$I:$I,"Exacto"),Prod_Prop!$A:$A,Prod_Prop!$J:$J,"",0,1))</f>
        <v/>
      </c>
      <c r="M395" s="4" t="str">
        <f t="array" ref="M395">IF($E395="","", XLOOKUP(SUMIFS(Prod_Prop!$A:$A,Prod_Prop!$B:$B,$E395,Prod_Prop!$H:$H,M$1,Prod_Prop!$I:$I,"Exacto"),Prod_Prop!$A:$A,Prod_Prop!$J:$J,"",0,1))</f>
        <v/>
      </c>
      <c r="N395" s="4" t="str">
        <f t="array" ref="N395">IF($E395="","", XLOOKUP(SUMIFS(Prod_Prop!$A:$A,Prod_Prop!$B:$B,$E395,Prod_Prop!$H:$H,N$1,Prod_Prop!$I:$I,"Exacto"),Prod_Prop!$A:$A,Prod_Prop!$J:$J,"",0,1))</f>
        <v/>
      </c>
      <c r="O395" s="4" t="str">
        <f t="array" ref="O395">IF($E395="","", XLOOKUP(SUMIFS(Prod_Prop!$A:$A,Prod_Prop!$B:$B,$E395,Prod_Prop!$H:$H,O$1,Prod_Prop!$I:$I,"Exacto"),Prod_Prop!$A:$A,Prod_Prop!$J:$J,"",0,1))</f>
        <v/>
      </c>
      <c r="P395" s="4" t="str">
        <f t="array" ref="P395">IF($E395="","", XLOOKUP(SUMIFS(Prod_Prop!$A:$A,Prod_Prop!$B:$B,$E395,Prod_Prop!$H:$H,P$1,Prod_Prop!$I:$I,"Exacto"),Prod_Prop!$A:$A,Prod_Prop!$J:$J,"",0,1))</f>
        <v/>
      </c>
      <c r="Q395" s="4" t="str">
        <f t="array" ref="Q395">IF($E395="","", XLOOKUP(SUMIFS(Prod_Prop!$A:$A,Prod_Prop!$B:$B,$E395,Prod_Prop!$H:$H,Q$1,Prod_Prop!$I:$I,"Exacto"),Prod_Prop!$A:$A,Prod_Prop!$J:$J,"",0,1))</f>
        <v/>
      </c>
      <c r="R395" s="4" t="str">
        <f t="array" ref="R395">IF($E395="","", XLOOKUP(SUMIFS(Prod_Prop!$A:$A,Prod_Prop!$B:$B,$E395,Prod_Prop!$H:$H,R$1,Prod_Prop!$I:$I,"Exacto"),Prod_Prop!$A:$A,Prod_Prop!$J:$J,"",0,1))</f>
        <v/>
      </c>
      <c r="S395" s="4" t="str">
        <f t="array" ref="S395">IF($E395="","", XLOOKUP(SUMIFS(Prod_Prop!$A:$A,Prod_Prop!$B:$B,$E395,Prod_Prop!$H:$H,S$1,Prod_Prop!$I:$I,"Exacto"),Prod_Prop!$A:$A,Prod_Prop!$J:$J,"",0,1))</f>
        <v/>
      </c>
      <c r="T395" s="4" t="str">
        <f t="array" ref="T395">IF($E395="","", XLOOKUP(SUMIFS(Prod_Prop!$A:$A,Prod_Prop!$B:$B,$E395,Prod_Prop!$H:$H,T$1,Prod_Prop!$I:$I,"Exacto"),Prod_Prop!$A:$A,Prod_Prop!$J:$J,"",0,1))</f>
        <v/>
      </c>
      <c r="U395" s="4" t="str">
        <f t="array" ref="U395">IF($E395="","", XLOOKUP(SUMIFS(Prod_Prop!$A:$A,Prod_Prop!$B:$B,$E395,Prod_Prop!$H:$H,U$1,Prod_Prop!$I:$I,"Exacto"),Prod_Prop!$A:$A,Prod_Prop!$J:$J,"",0,1))</f>
        <v/>
      </c>
      <c r="V395" s="4" t="str">
        <f t="array" ref="V395">IF($E395="","", XLOOKUP(SUMIFS(Prod_Prop!$A:$A,Prod_Prop!$B:$B,$E395,Prod_Prop!$H:$H,V$1,Prod_Prop!$I:$I,"Exacto"),Prod_Prop!$A:$A,Prod_Prop!$J:$J,"",0,1))</f>
        <v/>
      </c>
      <c r="X395" s="3" t="str">
        <f>IFERROR(__xludf.DUMMYFUNCTION("IF(D395="""","""",IFERROR(TRANSPOSE(FILTER('Validaciones Cotizador'!U:U,'Validaciones Cotizador'!O:O=D395,'Validaciones Cotizador'!T:T=""x"")),""Finalizar""))"),"")</f>
        <v/>
      </c>
    </row>
    <row r="396">
      <c r="A396" s="2" t="str">
        <f t="array" ref="A396">IF(E396="","",XLOOKUP(D396,'Validaciones Cotizador'!C:C,'Validaciones Cotizador'!A:A,"",0,1))</f>
        <v/>
      </c>
      <c r="B396" s="2" t="str">
        <f t="array" ref="B396">IF(F396="","",XLOOKUP(F396,Productos!E:E,Productos!G:G,"",0,1))</f>
        <v/>
      </c>
      <c r="C396" s="2" t="str">
        <f>IF(A396="","",SUMIFS('Validaciones Cotizador'!B:B,'Validaciones Cotizador'!C:C,D396,'Validaciones Cotizador'!A:A,A396))</f>
        <v/>
      </c>
      <c r="D396" s="4" t="str">
        <f>IFERROR(__xludf.DUMMYFUNCTION("IF(OR(F395=""Finalizar"",F395="""",F395=""Selecciona..""),"""",IF(OR(F395=""-"",INDEX(filter(Familias!F:F,Familias!D:D=A395,Familias!E:E=C395),1)=""O""),D395+1,D395))"),"")</f>
        <v/>
      </c>
      <c r="E396" s="2" t="str">
        <f>IF(OR(F396="",F396="Selecciona.."),"",IF(D396="Implemento",SUMIF(Implementos!B:B,F396,Implementos!A:A),SUMIF(Productos!E:E,F396,Productos!A:A)))</f>
        <v/>
      </c>
      <c r="F396" s="2" t="str">
        <f t="shared" si="2"/>
        <v/>
      </c>
      <c r="G396" s="10" t="str">
        <f t="array" ref="G396">IF(OR(F396="",F396="-",F396="Selecciona..",F396="Finalizar"),"",IF(A396="Rodados",XLOOKUP(B396,'Validaciones Cotizador'!I:I,'Validaciones Cotizador'!J:J,0,0,1),1))</f>
        <v/>
      </c>
      <c r="H396" s="11" t="str">
        <f>IF(OR(F396="",F396="Selecciona.."),"",SUMIF(Precio_Productos!K:K,E396,Precio_Productos!J:J)*G396)</f>
        <v/>
      </c>
      <c r="I396" s="4" t="str">
        <f t="array" ref="I396">IF($E396="","", XLOOKUP(SUMIFS(Prod_Prop!$A:$A,Prod_Prop!$B:$B,$E396,Prod_Prop!$H:$H,I$1,Prod_Prop!$I:$I,"Exacto"),Prod_Prop!$A:$A,Prod_Prop!$J:$J,"",0,1))</f>
        <v/>
      </c>
      <c r="J396" s="4" t="str">
        <f t="array" ref="J396">IF($E396="","", XLOOKUP(SUMIFS(Prod_Prop!$A:$A,Prod_Prop!$B:$B,$E396,Prod_Prop!$H:$H,J$1,Prod_Prop!$I:$I,"Exacto"),Prod_Prop!$A:$A,Prod_Prop!$J:$J,"",0,1))</f>
        <v/>
      </c>
      <c r="K396" s="4" t="str">
        <f t="array" ref="K396">IF($E396="","", XLOOKUP(SUMIFS(Prod_Prop!$A:$A,Prod_Prop!$B:$B,$E396,Prod_Prop!$H:$H,K$1,Prod_Prop!$I:$I,"Exacto"),Prod_Prop!$A:$A,Prod_Prop!$J:$J,"",0,1))</f>
        <v/>
      </c>
      <c r="L396" s="4" t="str">
        <f t="array" ref="L396">IF($E396="","", XLOOKUP(SUMIFS(Prod_Prop!$A:$A,Prod_Prop!$B:$B,$E396,Prod_Prop!$H:$H,L$1,Prod_Prop!$I:$I,"Exacto"),Prod_Prop!$A:$A,Prod_Prop!$J:$J,"",0,1))</f>
        <v/>
      </c>
      <c r="M396" s="4" t="str">
        <f t="array" ref="M396">IF($E396="","", XLOOKUP(SUMIFS(Prod_Prop!$A:$A,Prod_Prop!$B:$B,$E396,Prod_Prop!$H:$H,M$1,Prod_Prop!$I:$I,"Exacto"),Prod_Prop!$A:$A,Prod_Prop!$J:$J,"",0,1))</f>
        <v/>
      </c>
      <c r="N396" s="4" t="str">
        <f t="array" ref="N396">IF($E396="","", XLOOKUP(SUMIFS(Prod_Prop!$A:$A,Prod_Prop!$B:$B,$E396,Prod_Prop!$H:$H,N$1,Prod_Prop!$I:$I,"Exacto"),Prod_Prop!$A:$A,Prod_Prop!$J:$J,"",0,1))</f>
        <v/>
      </c>
      <c r="O396" s="4" t="str">
        <f t="array" ref="O396">IF($E396="","", XLOOKUP(SUMIFS(Prod_Prop!$A:$A,Prod_Prop!$B:$B,$E396,Prod_Prop!$H:$H,O$1,Prod_Prop!$I:$I,"Exacto"),Prod_Prop!$A:$A,Prod_Prop!$J:$J,"",0,1))</f>
        <v/>
      </c>
      <c r="P396" s="4" t="str">
        <f t="array" ref="P396">IF($E396="","", XLOOKUP(SUMIFS(Prod_Prop!$A:$A,Prod_Prop!$B:$B,$E396,Prod_Prop!$H:$H,P$1,Prod_Prop!$I:$I,"Exacto"),Prod_Prop!$A:$A,Prod_Prop!$J:$J,"",0,1))</f>
        <v/>
      </c>
      <c r="Q396" s="4" t="str">
        <f t="array" ref="Q396">IF($E396="","", XLOOKUP(SUMIFS(Prod_Prop!$A:$A,Prod_Prop!$B:$B,$E396,Prod_Prop!$H:$H,Q$1,Prod_Prop!$I:$I,"Exacto"),Prod_Prop!$A:$A,Prod_Prop!$J:$J,"",0,1))</f>
        <v/>
      </c>
      <c r="R396" s="4" t="str">
        <f t="array" ref="R396">IF($E396="","", XLOOKUP(SUMIFS(Prod_Prop!$A:$A,Prod_Prop!$B:$B,$E396,Prod_Prop!$H:$H,R$1,Prod_Prop!$I:$I,"Exacto"),Prod_Prop!$A:$A,Prod_Prop!$J:$J,"",0,1))</f>
        <v/>
      </c>
      <c r="S396" s="4" t="str">
        <f t="array" ref="S396">IF($E396="","", XLOOKUP(SUMIFS(Prod_Prop!$A:$A,Prod_Prop!$B:$B,$E396,Prod_Prop!$H:$H,S$1,Prod_Prop!$I:$I,"Exacto"),Prod_Prop!$A:$A,Prod_Prop!$J:$J,"",0,1))</f>
        <v/>
      </c>
      <c r="T396" s="4" t="str">
        <f t="array" ref="T396">IF($E396="","", XLOOKUP(SUMIFS(Prod_Prop!$A:$A,Prod_Prop!$B:$B,$E396,Prod_Prop!$H:$H,T$1,Prod_Prop!$I:$I,"Exacto"),Prod_Prop!$A:$A,Prod_Prop!$J:$J,"",0,1))</f>
        <v/>
      </c>
      <c r="U396" s="4" t="str">
        <f t="array" ref="U396">IF($E396="","", XLOOKUP(SUMIFS(Prod_Prop!$A:$A,Prod_Prop!$B:$B,$E396,Prod_Prop!$H:$H,U$1,Prod_Prop!$I:$I,"Exacto"),Prod_Prop!$A:$A,Prod_Prop!$J:$J,"",0,1))</f>
        <v/>
      </c>
      <c r="V396" s="4" t="str">
        <f t="array" ref="V396">IF($E396="","", XLOOKUP(SUMIFS(Prod_Prop!$A:$A,Prod_Prop!$B:$B,$E396,Prod_Prop!$H:$H,V$1,Prod_Prop!$I:$I,"Exacto"),Prod_Prop!$A:$A,Prod_Prop!$J:$J,"",0,1))</f>
        <v/>
      </c>
      <c r="X396" s="3" t="str">
        <f>IFERROR(__xludf.DUMMYFUNCTION("IF(D396="""","""",IFERROR(TRANSPOSE(FILTER('Validaciones Cotizador'!U:U,'Validaciones Cotizador'!O:O=D396,'Validaciones Cotizador'!T:T=""x"")),""Finalizar""))"),"")</f>
        <v/>
      </c>
    </row>
    <row r="397">
      <c r="A397" s="2" t="str">
        <f t="array" ref="A397">IF(E397="","",XLOOKUP(D397,'Validaciones Cotizador'!C:C,'Validaciones Cotizador'!A:A,"",0,1))</f>
        <v/>
      </c>
      <c r="B397" s="2" t="str">
        <f t="array" ref="B397">IF(F397="","",XLOOKUP(F397,Productos!E:E,Productos!G:G,"",0,1))</f>
        <v/>
      </c>
      <c r="C397" s="2" t="str">
        <f>IF(A397="","",SUMIFS('Validaciones Cotizador'!B:B,'Validaciones Cotizador'!C:C,D397,'Validaciones Cotizador'!A:A,A397))</f>
        <v/>
      </c>
      <c r="D397" s="4" t="str">
        <f>IFERROR(__xludf.DUMMYFUNCTION("IF(OR(F396=""Finalizar"",F396="""",F396=""Selecciona..""),"""",IF(OR(F396=""-"",INDEX(filter(Familias!F:F,Familias!D:D=A396,Familias!E:E=C396),1)=""O""),D396+1,D396))"),"")</f>
        <v/>
      </c>
      <c r="E397" s="2" t="str">
        <f>IF(OR(F397="",F397="Selecciona.."),"",IF(D397="Implemento",SUMIF(Implementos!B:B,F397,Implementos!A:A),SUMIF(Productos!E:E,F397,Productos!A:A)))</f>
        <v/>
      </c>
      <c r="F397" s="2" t="str">
        <f t="shared" si="2"/>
        <v/>
      </c>
      <c r="G397" s="10" t="str">
        <f t="array" ref="G397">IF(OR(F397="",F397="-",F397="Selecciona..",F397="Finalizar"),"",IF(A397="Rodados",XLOOKUP(B397,'Validaciones Cotizador'!I:I,'Validaciones Cotizador'!J:J,0,0,1),1))</f>
        <v/>
      </c>
      <c r="H397" s="11" t="str">
        <f>IF(OR(F397="",F397="Selecciona.."),"",SUMIF(Precio_Productos!K:K,E397,Precio_Productos!J:J)*G397)</f>
        <v/>
      </c>
      <c r="I397" s="4" t="str">
        <f t="array" ref="I397">IF($E397="","", XLOOKUP(SUMIFS(Prod_Prop!$A:$A,Prod_Prop!$B:$B,$E397,Prod_Prop!$H:$H,I$1,Prod_Prop!$I:$I,"Exacto"),Prod_Prop!$A:$A,Prod_Prop!$J:$J,"",0,1))</f>
        <v/>
      </c>
      <c r="J397" s="4" t="str">
        <f t="array" ref="J397">IF($E397="","", XLOOKUP(SUMIFS(Prod_Prop!$A:$A,Prod_Prop!$B:$B,$E397,Prod_Prop!$H:$H,J$1,Prod_Prop!$I:$I,"Exacto"),Prod_Prop!$A:$A,Prod_Prop!$J:$J,"",0,1))</f>
        <v/>
      </c>
      <c r="K397" s="4" t="str">
        <f t="array" ref="K397">IF($E397="","", XLOOKUP(SUMIFS(Prod_Prop!$A:$A,Prod_Prop!$B:$B,$E397,Prod_Prop!$H:$H,K$1,Prod_Prop!$I:$I,"Exacto"),Prod_Prop!$A:$A,Prod_Prop!$J:$J,"",0,1))</f>
        <v/>
      </c>
      <c r="L397" s="4" t="str">
        <f t="array" ref="L397">IF($E397="","", XLOOKUP(SUMIFS(Prod_Prop!$A:$A,Prod_Prop!$B:$B,$E397,Prod_Prop!$H:$H,L$1,Prod_Prop!$I:$I,"Exacto"),Prod_Prop!$A:$A,Prod_Prop!$J:$J,"",0,1))</f>
        <v/>
      </c>
      <c r="M397" s="4" t="str">
        <f t="array" ref="M397">IF($E397="","", XLOOKUP(SUMIFS(Prod_Prop!$A:$A,Prod_Prop!$B:$B,$E397,Prod_Prop!$H:$H,M$1,Prod_Prop!$I:$I,"Exacto"),Prod_Prop!$A:$A,Prod_Prop!$J:$J,"",0,1))</f>
        <v/>
      </c>
      <c r="N397" s="4" t="str">
        <f t="array" ref="N397">IF($E397="","", XLOOKUP(SUMIFS(Prod_Prop!$A:$A,Prod_Prop!$B:$B,$E397,Prod_Prop!$H:$H,N$1,Prod_Prop!$I:$I,"Exacto"),Prod_Prop!$A:$A,Prod_Prop!$J:$J,"",0,1))</f>
        <v/>
      </c>
      <c r="O397" s="4" t="str">
        <f t="array" ref="O397">IF($E397="","", XLOOKUP(SUMIFS(Prod_Prop!$A:$A,Prod_Prop!$B:$B,$E397,Prod_Prop!$H:$H,O$1,Prod_Prop!$I:$I,"Exacto"),Prod_Prop!$A:$A,Prod_Prop!$J:$J,"",0,1))</f>
        <v/>
      </c>
      <c r="P397" s="4" t="str">
        <f t="array" ref="P397">IF($E397="","", XLOOKUP(SUMIFS(Prod_Prop!$A:$A,Prod_Prop!$B:$B,$E397,Prod_Prop!$H:$H,P$1,Prod_Prop!$I:$I,"Exacto"),Prod_Prop!$A:$A,Prod_Prop!$J:$J,"",0,1))</f>
        <v/>
      </c>
      <c r="Q397" s="4" t="str">
        <f t="array" ref="Q397">IF($E397="","", XLOOKUP(SUMIFS(Prod_Prop!$A:$A,Prod_Prop!$B:$B,$E397,Prod_Prop!$H:$H,Q$1,Prod_Prop!$I:$I,"Exacto"),Prod_Prop!$A:$A,Prod_Prop!$J:$J,"",0,1))</f>
        <v/>
      </c>
      <c r="R397" s="4" t="str">
        <f t="array" ref="R397">IF($E397="","", XLOOKUP(SUMIFS(Prod_Prop!$A:$A,Prod_Prop!$B:$B,$E397,Prod_Prop!$H:$H,R$1,Prod_Prop!$I:$I,"Exacto"),Prod_Prop!$A:$A,Prod_Prop!$J:$J,"",0,1))</f>
        <v/>
      </c>
      <c r="S397" s="4" t="str">
        <f t="array" ref="S397">IF($E397="","", XLOOKUP(SUMIFS(Prod_Prop!$A:$A,Prod_Prop!$B:$B,$E397,Prod_Prop!$H:$H,S$1,Prod_Prop!$I:$I,"Exacto"),Prod_Prop!$A:$A,Prod_Prop!$J:$J,"",0,1))</f>
        <v/>
      </c>
      <c r="T397" s="4" t="str">
        <f t="array" ref="T397">IF($E397="","", XLOOKUP(SUMIFS(Prod_Prop!$A:$A,Prod_Prop!$B:$B,$E397,Prod_Prop!$H:$H,T$1,Prod_Prop!$I:$I,"Exacto"),Prod_Prop!$A:$A,Prod_Prop!$J:$J,"",0,1))</f>
        <v/>
      </c>
      <c r="U397" s="4" t="str">
        <f t="array" ref="U397">IF($E397="","", XLOOKUP(SUMIFS(Prod_Prop!$A:$A,Prod_Prop!$B:$B,$E397,Prod_Prop!$H:$H,U$1,Prod_Prop!$I:$I,"Exacto"),Prod_Prop!$A:$A,Prod_Prop!$J:$J,"",0,1))</f>
        <v/>
      </c>
      <c r="V397" s="4" t="str">
        <f t="array" ref="V397">IF($E397="","", XLOOKUP(SUMIFS(Prod_Prop!$A:$A,Prod_Prop!$B:$B,$E397,Prod_Prop!$H:$H,V$1,Prod_Prop!$I:$I,"Exacto"),Prod_Prop!$A:$A,Prod_Prop!$J:$J,"",0,1))</f>
        <v/>
      </c>
      <c r="X397" s="3" t="str">
        <f>IFERROR(__xludf.DUMMYFUNCTION("IF(D397="""","""",IFERROR(TRANSPOSE(FILTER('Validaciones Cotizador'!U:U,'Validaciones Cotizador'!O:O=D397,'Validaciones Cotizador'!T:T=""x"")),""Finalizar""))"),"")</f>
        <v/>
      </c>
    </row>
    <row r="398">
      <c r="A398" s="2" t="str">
        <f t="array" ref="A398">IF(E398="","",XLOOKUP(D398,'Validaciones Cotizador'!C:C,'Validaciones Cotizador'!A:A,"",0,1))</f>
        <v/>
      </c>
      <c r="B398" s="2" t="str">
        <f t="array" ref="B398">IF(F398="","",XLOOKUP(F398,Productos!E:E,Productos!G:G,"",0,1))</f>
        <v/>
      </c>
      <c r="C398" s="2" t="str">
        <f>IF(A398="","",SUMIFS('Validaciones Cotizador'!B:B,'Validaciones Cotizador'!C:C,D398,'Validaciones Cotizador'!A:A,A398))</f>
        <v/>
      </c>
      <c r="D398" s="4" t="str">
        <f>IFERROR(__xludf.DUMMYFUNCTION("IF(OR(F397=""Finalizar"",F397="""",F397=""Selecciona..""),"""",IF(OR(F397=""-"",INDEX(filter(Familias!F:F,Familias!D:D=A397,Familias!E:E=C397),1)=""O""),D397+1,D397))"),"")</f>
        <v/>
      </c>
      <c r="E398" s="2" t="str">
        <f>IF(OR(F398="",F398="Selecciona.."),"",IF(D398="Implemento",SUMIF(Implementos!B:B,F398,Implementos!A:A),SUMIF(Productos!E:E,F398,Productos!A:A)))</f>
        <v/>
      </c>
      <c r="F398" s="2" t="str">
        <f t="shared" si="2"/>
        <v/>
      </c>
      <c r="G398" s="10" t="str">
        <f t="array" ref="G398">IF(OR(F398="",F398="-",F398="Selecciona..",F398="Finalizar"),"",IF(A398="Rodados",XLOOKUP(B398,'Validaciones Cotizador'!I:I,'Validaciones Cotizador'!J:J,0,0,1),1))</f>
        <v/>
      </c>
      <c r="H398" s="11" t="str">
        <f>IF(OR(F398="",F398="Selecciona.."),"",SUMIF(Precio_Productos!K:K,E398,Precio_Productos!J:J)*G398)</f>
        <v/>
      </c>
      <c r="I398" s="4" t="str">
        <f t="array" ref="I398">IF($E398="","", XLOOKUP(SUMIFS(Prod_Prop!$A:$A,Prod_Prop!$B:$B,$E398,Prod_Prop!$H:$H,I$1,Prod_Prop!$I:$I,"Exacto"),Prod_Prop!$A:$A,Prod_Prop!$J:$J,"",0,1))</f>
        <v/>
      </c>
      <c r="J398" s="4" t="str">
        <f t="array" ref="J398">IF($E398="","", XLOOKUP(SUMIFS(Prod_Prop!$A:$A,Prod_Prop!$B:$B,$E398,Prod_Prop!$H:$H,J$1,Prod_Prop!$I:$I,"Exacto"),Prod_Prop!$A:$A,Prod_Prop!$J:$J,"",0,1))</f>
        <v/>
      </c>
      <c r="K398" s="4" t="str">
        <f t="array" ref="K398">IF($E398="","", XLOOKUP(SUMIFS(Prod_Prop!$A:$A,Prod_Prop!$B:$B,$E398,Prod_Prop!$H:$H,K$1,Prod_Prop!$I:$I,"Exacto"),Prod_Prop!$A:$A,Prod_Prop!$J:$J,"",0,1))</f>
        <v/>
      </c>
      <c r="L398" s="4" t="str">
        <f t="array" ref="L398">IF($E398="","", XLOOKUP(SUMIFS(Prod_Prop!$A:$A,Prod_Prop!$B:$B,$E398,Prod_Prop!$H:$H,L$1,Prod_Prop!$I:$I,"Exacto"),Prod_Prop!$A:$A,Prod_Prop!$J:$J,"",0,1))</f>
        <v/>
      </c>
      <c r="M398" s="4" t="str">
        <f t="array" ref="M398">IF($E398="","", XLOOKUP(SUMIFS(Prod_Prop!$A:$A,Prod_Prop!$B:$B,$E398,Prod_Prop!$H:$H,M$1,Prod_Prop!$I:$I,"Exacto"),Prod_Prop!$A:$A,Prod_Prop!$J:$J,"",0,1))</f>
        <v/>
      </c>
      <c r="N398" s="4" t="str">
        <f t="array" ref="N398">IF($E398="","", XLOOKUP(SUMIFS(Prod_Prop!$A:$A,Prod_Prop!$B:$B,$E398,Prod_Prop!$H:$H,N$1,Prod_Prop!$I:$I,"Exacto"),Prod_Prop!$A:$A,Prod_Prop!$J:$J,"",0,1))</f>
        <v/>
      </c>
      <c r="O398" s="4" t="str">
        <f t="array" ref="O398">IF($E398="","", XLOOKUP(SUMIFS(Prod_Prop!$A:$A,Prod_Prop!$B:$B,$E398,Prod_Prop!$H:$H,O$1,Prod_Prop!$I:$I,"Exacto"),Prod_Prop!$A:$A,Prod_Prop!$J:$J,"",0,1))</f>
        <v/>
      </c>
      <c r="P398" s="4" t="str">
        <f t="array" ref="P398">IF($E398="","", XLOOKUP(SUMIFS(Prod_Prop!$A:$A,Prod_Prop!$B:$B,$E398,Prod_Prop!$H:$H,P$1,Prod_Prop!$I:$I,"Exacto"),Prod_Prop!$A:$A,Prod_Prop!$J:$J,"",0,1))</f>
        <v/>
      </c>
      <c r="Q398" s="4" t="str">
        <f t="array" ref="Q398">IF($E398="","", XLOOKUP(SUMIFS(Prod_Prop!$A:$A,Prod_Prop!$B:$B,$E398,Prod_Prop!$H:$H,Q$1,Prod_Prop!$I:$I,"Exacto"),Prod_Prop!$A:$A,Prod_Prop!$J:$J,"",0,1))</f>
        <v/>
      </c>
      <c r="R398" s="4" t="str">
        <f t="array" ref="R398">IF($E398="","", XLOOKUP(SUMIFS(Prod_Prop!$A:$A,Prod_Prop!$B:$B,$E398,Prod_Prop!$H:$H,R$1,Prod_Prop!$I:$I,"Exacto"),Prod_Prop!$A:$A,Prod_Prop!$J:$J,"",0,1))</f>
        <v/>
      </c>
      <c r="S398" s="4" t="str">
        <f t="array" ref="S398">IF($E398="","", XLOOKUP(SUMIFS(Prod_Prop!$A:$A,Prod_Prop!$B:$B,$E398,Prod_Prop!$H:$H,S$1,Prod_Prop!$I:$I,"Exacto"),Prod_Prop!$A:$A,Prod_Prop!$J:$J,"",0,1))</f>
        <v/>
      </c>
      <c r="T398" s="4" t="str">
        <f t="array" ref="T398">IF($E398="","", XLOOKUP(SUMIFS(Prod_Prop!$A:$A,Prod_Prop!$B:$B,$E398,Prod_Prop!$H:$H,T$1,Prod_Prop!$I:$I,"Exacto"),Prod_Prop!$A:$A,Prod_Prop!$J:$J,"",0,1))</f>
        <v/>
      </c>
      <c r="U398" s="4" t="str">
        <f t="array" ref="U398">IF($E398="","", XLOOKUP(SUMIFS(Prod_Prop!$A:$A,Prod_Prop!$B:$B,$E398,Prod_Prop!$H:$H,U$1,Prod_Prop!$I:$I,"Exacto"),Prod_Prop!$A:$A,Prod_Prop!$J:$J,"",0,1))</f>
        <v/>
      </c>
      <c r="V398" s="4" t="str">
        <f t="array" ref="V398">IF($E398="","", XLOOKUP(SUMIFS(Prod_Prop!$A:$A,Prod_Prop!$B:$B,$E398,Prod_Prop!$H:$H,V$1,Prod_Prop!$I:$I,"Exacto"),Prod_Prop!$A:$A,Prod_Prop!$J:$J,"",0,1))</f>
        <v/>
      </c>
      <c r="X398" s="3" t="str">
        <f>IFERROR(__xludf.DUMMYFUNCTION("IF(D398="""","""",IFERROR(TRANSPOSE(FILTER('Validaciones Cotizador'!U:U,'Validaciones Cotizador'!O:O=D398,'Validaciones Cotizador'!T:T=""x"")),""Finalizar""))"),"")</f>
        <v/>
      </c>
    </row>
    <row r="399">
      <c r="A399" s="2" t="str">
        <f t="array" ref="A399">IF(E399="","",XLOOKUP(D399,'Validaciones Cotizador'!C:C,'Validaciones Cotizador'!A:A,"",0,1))</f>
        <v/>
      </c>
      <c r="B399" s="2" t="str">
        <f t="array" ref="B399">IF(F399="","",XLOOKUP(F399,Productos!E:E,Productos!G:G,"",0,1))</f>
        <v/>
      </c>
      <c r="C399" s="2" t="str">
        <f>IF(A399="","",SUMIFS('Validaciones Cotizador'!B:B,'Validaciones Cotizador'!C:C,D399,'Validaciones Cotizador'!A:A,A399))</f>
        <v/>
      </c>
      <c r="D399" s="4" t="str">
        <f>IFERROR(__xludf.DUMMYFUNCTION("IF(OR(F398=""Finalizar"",F398="""",F398=""Selecciona..""),"""",IF(OR(F398=""-"",INDEX(filter(Familias!F:F,Familias!D:D=A398,Familias!E:E=C398),1)=""O""),D398+1,D398))"),"")</f>
        <v/>
      </c>
      <c r="E399" s="2" t="str">
        <f>IF(OR(F399="",F399="Selecciona.."),"",IF(D399="Implemento",SUMIF(Implementos!B:B,F399,Implementos!A:A),SUMIF(Productos!E:E,F399,Productos!A:A)))</f>
        <v/>
      </c>
      <c r="F399" s="2" t="str">
        <f t="shared" si="2"/>
        <v/>
      </c>
      <c r="G399" s="10" t="str">
        <f t="array" ref="G399">IF(OR(F399="",F399="-",F399="Selecciona..",F399="Finalizar"),"",IF(A399="Rodados",XLOOKUP(B399,'Validaciones Cotizador'!I:I,'Validaciones Cotizador'!J:J,0,0,1),1))</f>
        <v/>
      </c>
      <c r="H399" s="11" t="str">
        <f>IF(OR(F399="",F399="Selecciona.."),"",SUMIF(Precio_Productos!K:K,E399,Precio_Productos!J:J)*G399)</f>
        <v/>
      </c>
      <c r="I399" s="4" t="str">
        <f t="array" ref="I399">IF($E399="","", XLOOKUP(SUMIFS(Prod_Prop!$A:$A,Prod_Prop!$B:$B,$E399,Prod_Prop!$H:$H,I$1,Prod_Prop!$I:$I,"Exacto"),Prod_Prop!$A:$A,Prod_Prop!$J:$J,"",0,1))</f>
        <v/>
      </c>
      <c r="J399" s="4" t="str">
        <f t="array" ref="J399">IF($E399="","", XLOOKUP(SUMIFS(Prod_Prop!$A:$A,Prod_Prop!$B:$B,$E399,Prod_Prop!$H:$H,J$1,Prod_Prop!$I:$I,"Exacto"),Prod_Prop!$A:$A,Prod_Prop!$J:$J,"",0,1))</f>
        <v/>
      </c>
      <c r="K399" s="4" t="str">
        <f t="array" ref="K399">IF($E399="","", XLOOKUP(SUMIFS(Prod_Prop!$A:$A,Prod_Prop!$B:$B,$E399,Prod_Prop!$H:$H,K$1,Prod_Prop!$I:$I,"Exacto"),Prod_Prop!$A:$A,Prod_Prop!$J:$J,"",0,1))</f>
        <v/>
      </c>
      <c r="L399" s="4" t="str">
        <f t="array" ref="L399">IF($E399="","", XLOOKUP(SUMIFS(Prod_Prop!$A:$A,Prod_Prop!$B:$B,$E399,Prod_Prop!$H:$H,L$1,Prod_Prop!$I:$I,"Exacto"),Prod_Prop!$A:$A,Prod_Prop!$J:$J,"",0,1))</f>
        <v/>
      </c>
      <c r="M399" s="4" t="str">
        <f t="array" ref="M399">IF($E399="","", XLOOKUP(SUMIFS(Prod_Prop!$A:$A,Prod_Prop!$B:$B,$E399,Prod_Prop!$H:$H,M$1,Prod_Prop!$I:$I,"Exacto"),Prod_Prop!$A:$A,Prod_Prop!$J:$J,"",0,1))</f>
        <v/>
      </c>
      <c r="N399" s="4" t="str">
        <f t="array" ref="N399">IF($E399="","", XLOOKUP(SUMIFS(Prod_Prop!$A:$A,Prod_Prop!$B:$B,$E399,Prod_Prop!$H:$H,N$1,Prod_Prop!$I:$I,"Exacto"),Prod_Prop!$A:$A,Prod_Prop!$J:$J,"",0,1))</f>
        <v/>
      </c>
      <c r="O399" s="4" t="str">
        <f t="array" ref="O399">IF($E399="","", XLOOKUP(SUMIFS(Prod_Prop!$A:$A,Prod_Prop!$B:$B,$E399,Prod_Prop!$H:$H,O$1,Prod_Prop!$I:$I,"Exacto"),Prod_Prop!$A:$A,Prod_Prop!$J:$J,"",0,1))</f>
        <v/>
      </c>
      <c r="P399" s="4" t="str">
        <f t="array" ref="P399">IF($E399="","", XLOOKUP(SUMIFS(Prod_Prop!$A:$A,Prod_Prop!$B:$B,$E399,Prod_Prop!$H:$H,P$1,Prod_Prop!$I:$I,"Exacto"),Prod_Prop!$A:$A,Prod_Prop!$J:$J,"",0,1))</f>
        <v/>
      </c>
      <c r="Q399" s="4" t="str">
        <f t="array" ref="Q399">IF($E399="","", XLOOKUP(SUMIFS(Prod_Prop!$A:$A,Prod_Prop!$B:$B,$E399,Prod_Prop!$H:$H,Q$1,Prod_Prop!$I:$I,"Exacto"),Prod_Prop!$A:$A,Prod_Prop!$J:$J,"",0,1))</f>
        <v/>
      </c>
      <c r="R399" s="4" t="str">
        <f t="array" ref="R399">IF($E399="","", XLOOKUP(SUMIFS(Prod_Prop!$A:$A,Prod_Prop!$B:$B,$E399,Prod_Prop!$H:$H,R$1,Prod_Prop!$I:$I,"Exacto"),Prod_Prop!$A:$A,Prod_Prop!$J:$J,"",0,1))</f>
        <v/>
      </c>
      <c r="S399" s="4" t="str">
        <f t="array" ref="S399">IF($E399="","", XLOOKUP(SUMIFS(Prod_Prop!$A:$A,Prod_Prop!$B:$B,$E399,Prod_Prop!$H:$H,S$1,Prod_Prop!$I:$I,"Exacto"),Prod_Prop!$A:$A,Prod_Prop!$J:$J,"",0,1))</f>
        <v/>
      </c>
      <c r="T399" s="4" t="str">
        <f t="array" ref="T399">IF($E399="","", XLOOKUP(SUMIFS(Prod_Prop!$A:$A,Prod_Prop!$B:$B,$E399,Prod_Prop!$H:$H,T$1,Prod_Prop!$I:$I,"Exacto"),Prod_Prop!$A:$A,Prod_Prop!$J:$J,"",0,1))</f>
        <v/>
      </c>
      <c r="U399" s="4" t="str">
        <f t="array" ref="U399">IF($E399="","", XLOOKUP(SUMIFS(Prod_Prop!$A:$A,Prod_Prop!$B:$B,$E399,Prod_Prop!$H:$H,U$1,Prod_Prop!$I:$I,"Exacto"),Prod_Prop!$A:$A,Prod_Prop!$J:$J,"",0,1))</f>
        <v/>
      </c>
      <c r="V399" s="4" t="str">
        <f t="array" ref="V399">IF($E399="","", XLOOKUP(SUMIFS(Prod_Prop!$A:$A,Prod_Prop!$B:$B,$E399,Prod_Prop!$H:$H,V$1,Prod_Prop!$I:$I,"Exacto"),Prod_Prop!$A:$A,Prod_Prop!$J:$J,"",0,1))</f>
        <v/>
      </c>
      <c r="X399" s="3" t="str">
        <f>IFERROR(__xludf.DUMMYFUNCTION("IF(D399="""","""",IFERROR(TRANSPOSE(FILTER('Validaciones Cotizador'!U:U,'Validaciones Cotizador'!O:O=D399,'Validaciones Cotizador'!T:T=""x"")),""Finalizar""))"),"")</f>
        <v/>
      </c>
    </row>
    <row r="400">
      <c r="A400" s="2" t="str">
        <f t="array" ref="A400">IF(E400="","",XLOOKUP(D400,'Validaciones Cotizador'!C:C,'Validaciones Cotizador'!A:A,"",0,1))</f>
        <v/>
      </c>
      <c r="B400" s="2" t="str">
        <f t="array" ref="B400">IF(F400="","",XLOOKUP(F400,Productos!E:E,Productos!G:G,"",0,1))</f>
        <v/>
      </c>
      <c r="C400" s="2" t="str">
        <f>IF(A400="","",SUMIFS('Validaciones Cotizador'!B:B,'Validaciones Cotizador'!C:C,D400,'Validaciones Cotizador'!A:A,A400))</f>
        <v/>
      </c>
      <c r="D400" s="4" t="str">
        <f>IFERROR(__xludf.DUMMYFUNCTION("IF(OR(F399=""Finalizar"",F399="""",F399=""Selecciona..""),"""",IF(OR(F399=""-"",INDEX(filter(Familias!F:F,Familias!D:D=A399,Familias!E:E=C399),1)=""O""),D399+1,D399))"),"")</f>
        <v/>
      </c>
      <c r="E400" s="2" t="str">
        <f>IF(OR(F400="",F400="Selecciona.."),"",IF(D400="Implemento",SUMIF(Implementos!B:B,F400,Implementos!A:A),SUMIF(Productos!E:E,F400,Productos!A:A)))</f>
        <v/>
      </c>
      <c r="F400" s="2" t="str">
        <f t="shared" si="2"/>
        <v/>
      </c>
      <c r="G400" s="10" t="str">
        <f t="array" ref="G400">IF(OR(F400="",F400="-",F400="Selecciona..",F400="Finalizar"),"",IF(A400="Rodados",XLOOKUP(B400,'Validaciones Cotizador'!I:I,'Validaciones Cotizador'!J:J,0,0,1),1))</f>
        <v/>
      </c>
      <c r="H400" s="11" t="str">
        <f>IF(OR(F400="",F400="Selecciona.."),"",SUMIF(Precio_Productos!K:K,E400,Precio_Productos!J:J)*G400)</f>
        <v/>
      </c>
      <c r="I400" s="4" t="str">
        <f t="array" ref="I400">IF($E400="","", XLOOKUP(SUMIFS(Prod_Prop!$A:$A,Prod_Prop!$B:$B,$E400,Prod_Prop!$H:$H,I$1,Prod_Prop!$I:$I,"Exacto"),Prod_Prop!$A:$A,Prod_Prop!$J:$J,"",0,1))</f>
        <v/>
      </c>
      <c r="J400" s="4" t="str">
        <f t="array" ref="J400">IF($E400="","", XLOOKUP(SUMIFS(Prod_Prop!$A:$A,Prod_Prop!$B:$B,$E400,Prod_Prop!$H:$H,J$1,Prod_Prop!$I:$I,"Exacto"),Prod_Prop!$A:$A,Prod_Prop!$J:$J,"",0,1))</f>
        <v/>
      </c>
      <c r="K400" s="4" t="str">
        <f t="array" ref="K400">IF($E400="","", XLOOKUP(SUMIFS(Prod_Prop!$A:$A,Prod_Prop!$B:$B,$E400,Prod_Prop!$H:$H,K$1,Prod_Prop!$I:$I,"Exacto"),Prod_Prop!$A:$A,Prod_Prop!$J:$J,"",0,1))</f>
        <v/>
      </c>
      <c r="L400" s="4" t="str">
        <f t="array" ref="L400">IF($E400="","", XLOOKUP(SUMIFS(Prod_Prop!$A:$A,Prod_Prop!$B:$B,$E400,Prod_Prop!$H:$H,L$1,Prod_Prop!$I:$I,"Exacto"),Prod_Prop!$A:$A,Prod_Prop!$J:$J,"",0,1))</f>
        <v/>
      </c>
      <c r="M400" s="4" t="str">
        <f t="array" ref="M400">IF($E400="","", XLOOKUP(SUMIFS(Prod_Prop!$A:$A,Prod_Prop!$B:$B,$E400,Prod_Prop!$H:$H,M$1,Prod_Prop!$I:$I,"Exacto"),Prod_Prop!$A:$A,Prod_Prop!$J:$J,"",0,1))</f>
        <v/>
      </c>
      <c r="N400" s="4" t="str">
        <f t="array" ref="N400">IF($E400="","", XLOOKUP(SUMIFS(Prod_Prop!$A:$A,Prod_Prop!$B:$B,$E400,Prod_Prop!$H:$H,N$1,Prod_Prop!$I:$I,"Exacto"),Prod_Prop!$A:$A,Prod_Prop!$J:$J,"",0,1))</f>
        <v/>
      </c>
      <c r="O400" s="4" t="str">
        <f t="array" ref="O400">IF($E400="","", XLOOKUP(SUMIFS(Prod_Prop!$A:$A,Prod_Prop!$B:$B,$E400,Prod_Prop!$H:$H,O$1,Prod_Prop!$I:$I,"Exacto"),Prod_Prop!$A:$A,Prod_Prop!$J:$J,"",0,1))</f>
        <v/>
      </c>
      <c r="P400" s="4" t="str">
        <f t="array" ref="P400">IF($E400="","", XLOOKUP(SUMIFS(Prod_Prop!$A:$A,Prod_Prop!$B:$B,$E400,Prod_Prop!$H:$H,P$1,Prod_Prop!$I:$I,"Exacto"),Prod_Prop!$A:$A,Prod_Prop!$J:$J,"",0,1))</f>
        <v/>
      </c>
      <c r="Q400" s="4" t="str">
        <f t="array" ref="Q400">IF($E400="","", XLOOKUP(SUMIFS(Prod_Prop!$A:$A,Prod_Prop!$B:$B,$E400,Prod_Prop!$H:$H,Q$1,Prod_Prop!$I:$I,"Exacto"),Prod_Prop!$A:$A,Prod_Prop!$J:$J,"",0,1))</f>
        <v/>
      </c>
      <c r="R400" s="4" t="str">
        <f t="array" ref="R400">IF($E400="","", XLOOKUP(SUMIFS(Prod_Prop!$A:$A,Prod_Prop!$B:$B,$E400,Prod_Prop!$H:$H,R$1,Prod_Prop!$I:$I,"Exacto"),Prod_Prop!$A:$A,Prod_Prop!$J:$J,"",0,1))</f>
        <v/>
      </c>
      <c r="S400" s="4" t="str">
        <f t="array" ref="S400">IF($E400="","", XLOOKUP(SUMIFS(Prod_Prop!$A:$A,Prod_Prop!$B:$B,$E400,Prod_Prop!$H:$H,S$1,Prod_Prop!$I:$I,"Exacto"),Prod_Prop!$A:$A,Prod_Prop!$J:$J,"",0,1))</f>
        <v/>
      </c>
      <c r="T400" s="4" t="str">
        <f t="array" ref="T400">IF($E400="","", XLOOKUP(SUMIFS(Prod_Prop!$A:$A,Prod_Prop!$B:$B,$E400,Prod_Prop!$H:$H,T$1,Prod_Prop!$I:$I,"Exacto"),Prod_Prop!$A:$A,Prod_Prop!$J:$J,"",0,1))</f>
        <v/>
      </c>
      <c r="U400" s="4" t="str">
        <f t="array" ref="U400">IF($E400="","", XLOOKUP(SUMIFS(Prod_Prop!$A:$A,Prod_Prop!$B:$B,$E400,Prod_Prop!$H:$H,U$1,Prod_Prop!$I:$I,"Exacto"),Prod_Prop!$A:$A,Prod_Prop!$J:$J,"",0,1))</f>
        <v/>
      </c>
      <c r="V400" s="4" t="str">
        <f t="array" ref="V400">IF($E400="","", XLOOKUP(SUMIFS(Prod_Prop!$A:$A,Prod_Prop!$B:$B,$E400,Prod_Prop!$H:$H,V$1,Prod_Prop!$I:$I,"Exacto"),Prod_Prop!$A:$A,Prod_Prop!$J:$J,"",0,1))</f>
        <v/>
      </c>
      <c r="X400" s="3" t="str">
        <f>IFERROR(__xludf.DUMMYFUNCTION("IF(D400="""","""",IFERROR(TRANSPOSE(FILTER('Validaciones Cotizador'!U:U,'Validaciones Cotizador'!O:O=D400,'Validaciones Cotizador'!T:T=""x"")),""Finalizar""))"),"")</f>
        <v/>
      </c>
    </row>
    <row r="401">
      <c r="A401" s="2" t="str">
        <f t="array" ref="A401">IF(E401="","",XLOOKUP(D401,'Validaciones Cotizador'!C:C,'Validaciones Cotizador'!A:A,"",0,1))</f>
        <v/>
      </c>
      <c r="B401" s="2" t="str">
        <f t="array" ref="B401">IF(F401="","",XLOOKUP(F401,Productos!E:E,Productos!G:G,"",0,1))</f>
        <v/>
      </c>
      <c r="C401" s="2" t="str">
        <f>IF(A401="","",SUMIFS('Validaciones Cotizador'!B:B,'Validaciones Cotizador'!C:C,D401,'Validaciones Cotizador'!A:A,A401))</f>
        <v/>
      </c>
      <c r="D401" s="4" t="str">
        <f>IFERROR(__xludf.DUMMYFUNCTION("IF(OR(F400=""Finalizar"",F400="""",F400=""Selecciona..""),"""",IF(OR(F400=""-"",INDEX(filter(Familias!F:F,Familias!D:D=A400,Familias!E:E=C400),1)=""O""),D400+1,D400))"),"")</f>
        <v/>
      </c>
      <c r="E401" s="2" t="str">
        <f>IF(OR(F401="",F401="Selecciona.."),"",IF(D401="Implemento",SUMIF(Implementos!B:B,F401,Implementos!A:A),SUMIF(Productos!E:E,F401,Productos!A:A)))</f>
        <v/>
      </c>
      <c r="F401" s="2" t="str">
        <f t="shared" si="2"/>
        <v/>
      </c>
      <c r="G401" s="10" t="str">
        <f t="array" ref="G401">IF(OR(F401="",F401="-",F401="Selecciona..",F401="Finalizar"),"",IF(A401="Rodados",XLOOKUP(B401,'Validaciones Cotizador'!I:I,'Validaciones Cotizador'!J:J,0,0,1),1))</f>
        <v/>
      </c>
      <c r="H401" s="11" t="str">
        <f>IF(OR(F401="",F401="Selecciona.."),"",SUMIF(Precio_Productos!K:K,E401,Precio_Productos!J:J)*G401)</f>
        <v/>
      </c>
      <c r="I401" s="4" t="str">
        <f t="array" ref="I401">IF($E401="","", XLOOKUP(SUMIFS(Prod_Prop!$A:$A,Prod_Prop!$B:$B,$E401,Prod_Prop!$H:$H,I$1,Prod_Prop!$I:$I,"Exacto"),Prod_Prop!$A:$A,Prod_Prop!$J:$J,"",0,1))</f>
        <v/>
      </c>
      <c r="J401" s="4" t="str">
        <f t="array" ref="J401">IF($E401="","", XLOOKUP(SUMIFS(Prod_Prop!$A:$A,Prod_Prop!$B:$B,$E401,Prod_Prop!$H:$H,J$1,Prod_Prop!$I:$I,"Exacto"),Prod_Prop!$A:$A,Prod_Prop!$J:$J,"",0,1))</f>
        <v/>
      </c>
      <c r="K401" s="4" t="str">
        <f t="array" ref="K401">IF($E401="","", XLOOKUP(SUMIFS(Prod_Prop!$A:$A,Prod_Prop!$B:$B,$E401,Prod_Prop!$H:$H,K$1,Prod_Prop!$I:$I,"Exacto"),Prod_Prop!$A:$A,Prod_Prop!$J:$J,"",0,1))</f>
        <v/>
      </c>
      <c r="L401" s="4" t="str">
        <f t="array" ref="L401">IF($E401="","", XLOOKUP(SUMIFS(Prod_Prop!$A:$A,Prod_Prop!$B:$B,$E401,Prod_Prop!$H:$H,L$1,Prod_Prop!$I:$I,"Exacto"),Prod_Prop!$A:$A,Prod_Prop!$J:$J,"",0,1))</f>
        <v/>
      </c>
      <c r="M401" s="4" t="str">
        <f t="array" ref="M401">IF($E401="","", XLOOKUP(SUMIFS(Prod_Prop!$A:$A,Prod_Prop!$B:$B,$E401,Prod_Prop!$H:$H,M$1,Prod_Prop!$I:$I,"Exacto"),Prod_Prop!$A:$A,Prod_Prop!$J:$J,"",0,1))</f>
        <v/>
      </c>
      <c r="N401" s="4" t="str">
        <f t="array" ref="N401">IF($E401="","", XLOOKUP(SUMIFS(Prod_Prop!$A:$A,Prod_Prop!$B:$B,$E401,Prod_Prop!$H:$H,N$1,Prod_Prop!$I:$I,"Exacto"),Prod_Prop!$A:$A,Prod_Prop!$J:$J,"",0,1))</f>
        <v/>
      </c>
      <c r="O401" s="4" t="str">
        <f t="array" ref="O401">IF($E401="","", XLOOKUP(SUMIFS(Prod_Prop!$A:$A,Prod_Prop!$B:$B,$E401,Prod_Prop!$H:$H,O$1,Prod_Prop!$I:$I,"Exacto"),Prod_Prop!$A:$A,Prod_Prop!$J:$J,"",0,1))</f>
        <v/>
      </c>
      <c r="P401" s="4" t="str">
        <f t="array" ref="P401">IF($E401="","", XLOOKUP(SUMIFS(Prod_Prop!$A:$A,Prod_Prop!$B:$B,$E401,Prod_Prop!$H:$H,P$1,Prod_Prop!$I:$I,"Exacto"),Prod_Prop!$A:$A,Prod_Prop!$J:$J,"",0,1))</f>
        <v/>
      </c>
      <c r="Q401" s="4" t="str">
        <f t="array" ref="Q401">IF($E401="","", XLOOKUP(SUMIFS(Prod_Prop!$A:$A,Prod_Prop!$B:$B,$E401,Prod_Prop!$H:$H,Q$1,Prod_Prop!$I:$I,"Exacto"),Prod_Prop!$A:$A,Prod_Prop!$J:$J,"",0,1))</f>
        <v/>
      </c>
      <c r="R401" s="4" t="str">
        <f t="array" ref="R401">IF($E401="","", XLOOKUP(SUMIFS(Prod_Prop!$A:$A,Prod_Prop!$B:$B,$E401,Prod_Prop!$H:$H,R$1,Prod_Prop!$I:$I,"Exacto"),Prod_Prop!$A:$A,Prod_Prop!$J:$J,"",0,1))</f>
        <v/>
      </c>
      <c r="S401" s="4" t="str">
        <f t="array" ref="S401">IF($E401="","", XLOOKUP(SUMIFS(Prod_Prop!$A:$A,Prod_Prop!$B:$B,$E401,Prod_Prop!$H:$H,S$1,Prod_Prop!$I:$I,"Exacto"),Prod_Prop!$A:$A,Prod_Prop!$J:$J,"",0,1))</f>
        <v/>
      </c>
      <c r="T401" s="4" t="str">
        <f t="array" ref="T401">IF($E401="","", XLOOKUP(SUMIFS(Prod_Prop!$A:$A,Prod_Prop!$B:$B,$E401,Prod_Prop!$H:$H,T$1,Prod_Prop!$I:$I,"Exacto"),Prod_Prop!$A:$A,Prod_Prop!$J:$J,"",0,1))</f>
        <v/>
      </c>
      <c r="U401" s="4" t="str">
        <f t="array" ref="U401">IF($E401="","", XLOOKUP(SUMIFS(Prod_Prop!$A:$A,Prod_Prop!$B:$B,$E401,Prod_Prop!$H:$H,U$1,Prod_Prop!$I:$I,"Exacto"),Prod_Prop!$A:$A,Prod_Prop!$J:$J,"",0,1))</f>
        <v/>
      </c>
      <c r="V401" s="4" t="str">
        <f t="array" ref="V401">IF($E401="","", XLOOKUP(SUMIFS(Prod_Prop!$A:$A,Prod_Prop!$B:$B,$E401,Prod_Prop!$H:$H,V$1,Prod_Prop!$I:$I,"Exacto"),Prod_Prop!$A:$A,Prod_Prop!$J:$J,"",0,1))</f>
        <v/>
      </c>
      <c r="X401" s="3" t="str">
        <f>IFERROR(__xludf.DUMMYFUNCTION("IF(D401="""","""",IFERROR(TRANSPOSE(FILTER('Validaciones Cotizador'!U:U,'Validaciones Cotizador'!O:O=D401,'Validaciones Cotizador'!T:T=""x"")),""Finalizar""))"),"")</f>
        <v/>
      </c>
    </row>
    <row r="402">
      <c r="A402" s="2" t="str">
        <f t="array" ref="A402">IF(E402="","",XLOOKUP(D402,'Validaciones Cotizador'!C:C,'Validaciones Cotizador'!A:A,"",0,1))</f>
        <v/>
      </c>
      <c r="B402" s="2" t="str">
        <f t="array" ref="B402">IF(F402="","",XLOOKUP(F402,Productos!E:E,Productos!G:G,"",0,1))</f>
        <v/>
      </c>
      <c r="C402" s="2" t="str">
        <f>IF(A402="","",SUMIFS('Validaciones Cotizador'!B:B,'Validaciones Cotizador'!C:C,D402,'Validaciones Cotizador'!A:A,A402))</f>
        <v/>
      </c>
      <c r="D402" s="4" t="str">
        <f>IFERROR(__xludf.DUMMYFUNCTION("IF(OR(F401=""Finalizar"",F401="""",F401=""Selecciona..""),"""",IF(OR(F401=""-"",INDEX(filter(Familias!F:F,Familias!D:D=A401,Familias!E:E=C401),1)=""O""),D401+1,D401))"),"")</f>
        <v/>
      </c>
      <c r="E402" s="2" t="str">
        <f>IF(OR(F402="",F402="Selecciona.."),"",IF(D402="Implemento",SUMIF(Implementos!B:B,F402,Implementos!A:A),SUMIF(Productos!E:E,F402,Productos!A:A)))</f>
        <v/>
      </c>
      <c r="F402" s="2" t="str">
        <f t="shared" si="2"/>
        <v/>
      </c>
      <c r="G402" s="10" t="str">
        <f t="array" ref="G402">IF(OR(F402="",F402="-",F402="Selecciona..",F402="Finalizar"),"",IF(A402="Rodados",XLOOKUP(B402,'Validaciones Cotizador'!I:I,'Validaciones Cotizador'!J:J,0,0,1),1))</f>
        <v/>
      </c>
      <c r="H402" s="11" t="str">
        <f>IF(OR(F402="",F402="Selecciona.."),"",SUMIF(Precio_Productos!K:K,E402,Precio_Productos!J:J)*G402)</f>
        <v/>
      </c>
      <c r="I402" s="4" t="str">
        <f t="array" ref="I402">IF($E402="","", XLOOKUP(SUMIFS(Prod_Prop!$A:$A,Prod_Prop!$B:$B,$E402,Prod_Prop!$H:$H,I$1,Prod_Prop!$I:$I,"Exacto"),Prod_Prop!$A:$A,Prod_Prop!$J:$J,"",0,1))</f>
        <v/>
      </c>
      <c r="J402" s="4" t="str">
        <f t="array" ref="J402">IF($E402="","", XLOOKUP(SUMIFS(Prod_Prop!$A:$A,Prod_Prop!$B:$B,$E402,Prod_Prop!$H:$H,J$1,Prod_Prop!$I:$I,"Exacto"),Prod_Prop!$A:$A,Prod_Prop!$J:$J,"",0,1))</f>
        <v/>
      </c>
      <c r="K402" s="4" t="str">
        <f t="array" ref="K402">IF($E402="","", XLOOKUP(SUMIFS(Prod_Prop!$A:$A,Prod_Prop!$B:$B,$E402,Prod_Prop!$H:$H,K$1,Prod_Prop!$I:$I,"Exacto"),Prod_Prop!$A:$A,Prod_Prop!$J:$J,"",0,1))</f>
        <v/>
      </c>
      <c r="L402" s="4" t="str">
        <f t="array" ref="L402">IF($E402="","", XLOOKUP(SUMIFS(Prod_Prop!$A:$A,Prod_Prop!$B:$B,$E402,Prod_Prop!$H:$H,L$1,Prod_Prop!$I:$I,"Exacto"),Prod_Prop!$A:$A,Prod_Prop!$J:$J,"",0,1))</f>
        <v/>
      </c>
      <c r="M402" s="4" t="str">
        <f t="array" ref="M402">IF($E402="","", XLOOKUP(SUMIFS(Prod_Prop!$A:$A,Prod_Prop!$B:$B,$E402,Prod_Prop!$H:$H,M$1,Prod_Prop!$I:$I,"Exacto"),Prod_Prop!$A:$A,Prod_Prop!$J:$J,"",0,1))</f>
        <v/>
      </c>
      <c r="N402" s="4" t="str">
        <f t="array" ref="N402">IF($E402="","", XLOOKUP(SUMIFS(Prod_Prop!$A:$A,Prod_Prop!$B:$B,$E402,Prod_Prop!$H:$H,N$1,Prod_Prop!$I:$I,"Exacto"),Prod_Prop!$A:$A,Prod_Prop!$J:$J,"",0,1))</f>
        <v/>
      </c>
      <c r="O402" s="4" t="str">
        <f t="array" ref="O402">IF($E402="","", XLOOKUP(SUMIFS(Prod_Prop!$A:$A,Prod_Prop!$B:$B,$E402,Prod_Prop!$H:$H,O$1,Prod_Prop!$I:$I,"Exacto"),Prod_Prop!$A:$A,Prod_Prop!$J:$J,"",0,1))</f>
        <v/>
      </c>
      <c r="P402" s="4" t="str">
        <f t="array" ref="P402">IF($E402="","", XLOOKUP(SUMIFS(Prod_Prop!$A:$A,Prod_Prop!$B:$B,$E402,Prod_Prop!$H:$H,P$1,Prod_Prop!$I:$I,"Exacto"),Prod_Prop!$A:$A,Prod_Prop!$J:$J,"",0,1))</f>
        <v/>
      </c>
      <c r="Q402" s="4" t="str">
        <f t="array" ref="Q402">IF($E402="","", XLOOKUP(SUMIFS(Prod_Prop!$A:$A,Prod_Prop!$B:$B,$E402,Prod_Prop!$H:$H,Q$1,Prod_Prop!$I:$I,"Exacto"),Prod_Prop!$A:$A,Prod_Prop!$J:$J,"",0,1))</f>
        <v/>
      </c>
      <c r="R402" s="4" t="str">
        <f t="array" ref="R402">IF($E402="","", XLOOKUP(SUMIFS(Prod_Prop!$A:$A,Prod_Prop!$B:$B,$E402,Prod_Prop!$H:$H,R$1,Prod_Prop!$I:$I,"Exacto"),Prod_Prop!$A:$A,Prod_Prop!$J:$J,"",0,1))</f>
        <v/>
      </c>
      <c r="S402" s="4" t="str">
        <f t="array" ref="S402">IF($E402="","", XLOOKUP(SUMIFS(Prod_Prop!$A:$A,Prod_Prop!$B:$B,$E402,Prod_Prop!$H:$H,S$1,Prod_Prop!$I:$I,"Exacto"),Prod_Prop!$A:$A,Prod_Prop!$J:$J,"",0,1))</f>
        <v/>
      </c>
      <c r="T402" s="4" t="str">
        <f t="array" ref="T402">IF($E402="","", XLOOKUP(SUMIFS(Prod_Prop!$A:$A,Prod_Prop!$B:$B,$E402,Prod_Prop!$H:$H,T$1,Prod_Prop!$I:$I,"Exacto"),Prod_Prop!$A:$A,Prod_Prop!$J:$J,"",0,1))</f>
        <v/>
      </c>
      <c r="U402" s="4" t="str">
        <f t="array" ref="U402">IF($E402="","", XLOOKUP(SUMIFS(Prod_Prop!$A:$A,Prod_Prop!$B:$B,$E402,Prod_Prop!$H:$H,U$1,Prod_Prop!$I:$I,"Exacto"),Prod_Prop!$A:$A,Prod_Prop!$J:$J,"",0,1))</f>
        <v/>
      </c>
      <c r="V402" s="4" t="str">
        <f t="array" ref="V402">IF($E402="","", XLOOKUP(SUMIFS(Prod_Prop!$A:$A,Prod_Prop!$B:$B,$E402,Prod_Prop!$H:$H,V$1,Prod_Prop!$I:$I,"Exacto"),Prod_Prop!$A:$A,Prod_Prop!$J:$J,"",0,1))</f>
        <v/>
      </c>
      <c r="X402" s="3" t="str">
        <f>IFERROR(__xludf.DUMMYFUNCTION("IF(D402="""","""",IFERROR(TRANSPOSE(FILTER('Validaciones Cotizador'!U:U,'Validaciones Cotizador'!O:O=D402,'Validaciones Cotizador'!T:T=""x"")),""Finalizar""))"),"")</f>
        <v/>
      </c>
    </row>
    <row r="403">
      <c r="A403" s="2" t="str">
        <f t="array" ref="A403">IF(E403="","",XLOOKUP(D403,'Validaciones Cotizador'!C:C,'Validaciones Cotizador'!A:A,"",0,1))</f>
        <v/>
      </c>
      <c r="B403" s="2" t="str">
        <f t="array" ref="B403">IF(F403="","",XLOOKUP(F403,Productos!E:E,Productos!G:G,"",0,1))</f>
        <v/>
      </c>
      <c r="C403" s="2" t="str">
        <f>IF(A403="","",SUMIFS('Validaciones Cotizador'!B:B,'Validaciones Cotizador'!C:C,D403,'Validaciones Cotizador'!A:A,A403))</f>
        <v/>
      </c>
      <c r="D403" s="4" t="str">
        <f>IFERROR(__xludf.DUMMYFUNCTION("IF(OR(F402=""Finalizar"",F402="""",F402=""Selecciona..""),"""",IF(OR(F402=""-"",INDEX(filter(Familias!F:F,Familias!D:D=A402,Familias!E:E=C402),1)=""O""),D402+1,D402))"),"")</f>
        <v/>
      </c>
      <c r="E403" s="2" t="str">
        <f>IF(OR(F403="",F403="Selecciona.."),"",IF(D403="Implemento",SUMIF(Implementos!B:B,F403,Implementos!A:A),SUMIF(Productos!E:E,F403,Productos!A:A)))</f>
        <v/>
      </c>
      <c r="F403" s="2" t="str">
        <f t="shared" si="2"/>
        <v/>
      </c>
      <c r="G403" s="10" t="str">
        <f t="array" ref="G403">IF(OR(F403="",F403="-",F403="Selecciona..",F403="Finalizar"),"",IF(A403="Rodados",XLOOKUP(B403,'Validaciones Cotizador'!I:I,'Validaciones Cotizador'!J:J,0,0,1),1))</f>
        <v/>
      </c>
      <c r="H403" s="11" t="str">
        <f>IF(OR(F403="",F403="Selecciona.."),"",SUMIF(Precio_Productos!K:K,E403,Precio_Productos!J:J)*G403)</f>
        <v/>
      </c>
      <c r="I403" s="4" t="str">
        <f t="array" ref="I403">IF($E403="","", XLOOKUP(SUMIFS(Prod_Prop!$A:$A,Prod_Prop!$B:$B,$E403,Prod_Prop!$H:$H,I$1,Prod_Prop!$I:$I,"Exacto"),Prod_Prop!$A:$A,Prod_Prop!$J:$J,"",0,1))</f>
        <v/>
      </c>
      <c r="J403" s="4" t="str">
        <f t="array" ref="J403">IF($E403="","", XLOOKUP(SUMIFS(Prod_Prop!$A:$A,Prod_Prop!$B:$B,$E403,Prod_Prop!$H:$H,J$1,Prod_Prop!$I:$I,"Exacto"),Prod_Prop!$A:$A,Prod_Prop!$J:$J,"",0,1))</f>
        <v/>
      </c>
      <c r="K403" s="4" t="str">
        <f t="array" ref="K403">IF($E403="","", XLOOKUP(SUMIFS(Prod_Prop!$A:$A,Prod_Prop!$B:$B,$E403,Prod_Prop!$H:$H,K$1,Prod_Prop!$I:$I,"Exacto"),Prod_Prop!$A:$A,Prod_Prop!$J:$J,"",0,1))</f>
        <v/>
      </c>
      <c r="L403" s="4" t="str">
        <f t="array" ref="L403">IF($E403="","", XLOOKUP(SUMIFS(Prod_Prop!$A:$A,Prod_Prop!$B:$B,$E403,Prod_Prop!$H:$H,L$1,Prod_Prop!$I:$I,"Exacto"),Prod_Prop!$A:$A,Prod_Prop!$J:$J,"",0,1))</f>
        <v/>
      </c>
      <c r="M403" s="4" t="str">
        <f t="array" ref="M403">IF($E403="","", XLOOKUP(SUMIFS(Prod_Prop!$A:$A,Prod_Prop!$B:$B,$E403,Prod_Prop!$H:$H,M$1,Prod_Prop!$I:$I,"Exacto"),Prod_Prop!$A:$A,Prod_Prop!$J:$J,"",0,1))</f>
        <v/>
      </c>
      <c r="N403" s="4" t="str">
        <f t="array" ref="N403">IF($E403="","", XLOOKUP(SUMIFS(Prod_Prop!$A:$A,Prod_Prop!$B:$B,$E403,Prod_Prop!$H:$H,N$1,Prod_Prop!$I:$I,"Exacto"),Prod_Prop!$A:$A,Prod_Prop!$J:$J,"",0,1))</f>
        <v/>
      </c>
      <c r="O403" s="4" t="str">
        <f t="array" ref="O403">IF($E403="","", XLOOKUP(SUMIFS(Prod_Prop!$A:$A,Prod_Prop!$B:$B,$E403,Prod_Prop!$H:$H,O$1,Prod_Prop!$I:$I,"Exacto"),Prod_Prop!$A:$A,Prod_Prop!$J:$J,"",0,1))</f>
        <v/>
      </c>
      <c r="P403" s="4" t="str">
        <f t="array" ref="P403">IF($E403="","", XLOOKUP(SUMIFS(Prod_Prop!$A:$A,Prod_Prop!$B:$B,$E403,Prod_Prop!$H:$H,P$1,Prod_Prop!$I:$I,"Exacto"),Prod_Prop!$A:$A,Prod_Prop!$J:$J,"",0,1))</f>
        <v/>
      </c>
      <c r="Q403" s="4" t="str">
        <f t="array" ref="Q403">IF($E403="","", XLOOKUP(SUMIFS(Prod_Prop!$A:$A,Prod_Prop!$B:$B,$E403,Prod_Prop!$H:$H,Q$1,Prod_Prop!$I:$I,"Exacto"),Prod_Prop!$A:$A,Prod_Prop!$J:$J,"",0,1))</f>
        <v/>
      </c>
      <c r="R403" s="4" t="str">
        <f t="array" ref="R403">IF($E403="","", XLOOKUP(SUMIFS(Prod_Prop!$A:$A,Prod_Prop!$B:$B,$E403,Prod_Prop!$H:$H,R$1,Prod_Prop!$I:$I,"Exacto"),Prod_Prop!$A:$A,Prod_Prop!$J:$J,"",0,1))</f>
        <v/>
      </c>
      <c r="S403" s="4" t="str">
        <f t="array" ref="S403">IF($E403="","", XLOOKUP(SUMIFS(Prod_Prop!$A:$A,Prod_Prop!$B:$B,$E403,Prod_Prop!$H:$H,S$1,Prod_Prop!$I:$I,"Exacto"),Prod_Prop!$A:$A,Prod_Prop!$J:$J,"",0,1))</f>
        <v/>
      </c>
      <c r="T403" s="4" t="str">
        <f t="array" ref="T403">IF($E403="","", XLOOKUP(SUMIFS(Prod_Prop!$A:$A,Prod_Prop!$B:$B,$E403,Prod_Prop!$H:$H,T$1,Prod_Prop!$I:$I,"Exacto"),Prod_Prop!$A:$A,Prod_Prop!$J:$J,"",0,1))</f>
        <v/>
      </c>
      <c r="U403" s="4" t="str">
        <f t="array" ref="U403">IF($E403="","", XLOOKUP(SUMIFS(Prod_Prop!$A:$A,Prod_Prop!$B:$B,$E403,Prod_Prop!$H:$H,U$1,Prod_Prop!$I:$I,"Exacto"),Prod_Prop!$A:$A,Prod_Prop!$J:$J,"",0,1))</f>
        <v/>
      </c>
      <c r="V403" s="4" t="str">
        <f t="array" ref="V403">IF($E403="","", XLOOKUP(SUMIFS(Prod_Prop!$A:$A,Prod_Prop!$B:$B,$E403,Prod_Prop!$H:$H,V$1,Prod_Prop!$I:$I,"Exacto"),Prod_Prop!$A:$A,Prod_Prop!$J:$J,"",0,1))</f>
        <v/>
      </c>
      <c r="X403" s="3" t="str">
        <f>IFERROR(__xludf.DUMMYFUNCTION("IF(D403="""","""",IFERROR(TRANSPOSE(FILTER('Validaciones Cotizador'!U:U,'Validaciones Cotizador'!O:O=D403,'Validaciones Cotizador'!T:T=""x"")),""Finalizar""))"),"")</f>
        <v/>
      </c>
    </row>
    <row r="404">
      <c r="A404" s="2" t="str">
        <f t="array" ref="A404">IF(E404="","",XLOOKUP(D404,'Validaciones Cotizador'!C:C,'Validaciones Cotizador'!A:A,"",0,1))</f>
        <v/>
      </c>
      <c r="B404" s="2" t="str">
        <f t="array" ref="B404">IF(F404="","",XLOOKUP(F404,Productos!E:E,Productos!G:G,"",0,1))</f>
        <v/>
      </c>
      <c r="C404" s="2" t="str">
        <f>IF(A404="","",SUMIFS('Validaciones Cotizador'!B:B,'Validaciones Cotizador'!C:C,D404,'Validaciones Cotizador'!A:A,A404))</f>
        <v/>
      </c>
      <c r="D404" s="4" t="str">
        <f>IFERROR(__xludf.DUMMYFUNCTION("IF(OR(F403=""Finalizar"",F403="""",F403=""Selecciona..""),"""",IF(OR(F403=""-"",INDEX(filter(Familias!F:F,Familias!D:D=A403,Familias!E:E=C403),1)=""O""),D403+1,D403))"),"")</f>
        <v/>
      </c>
      <c r="E404" s="2" t="str">
        <f>IF(OR(F404="",F404="Selecciona.."),"",IF(D404="Implemento",SUMIF(Implementos!B:B,F404,Implementos!A:A),SUMIF(Productos!E:E,F404,Productos!A:A)))</f>
        <v/>
      </c>
      <c r="F404" s="2" t="str">
        <f t="shared" si="2"/>
        <v/>
      </c>
      <c r="G404" s="10" t="str">
        <f t="array" ref="G404">IF(OR(F404="",F404="-",F404="Selecciona..",F404="Finalizar"),"",IF(A404="Rodados",XLOOKUP(B404,'Validaciones Cotizador'!I:I,'Validaciones Cotizador'!J:J,0,0,1),1))</f>
        <v/>
      </c>
      <c r="H404" s="11" t="str">
        <f>IF(OR(F404="",F404="Selecciona.."),"",SUMIF(Precio_Productos!K:K,E404,Precio_Productos!J:J)*G404)</f>
        <v/>
      </c>
      <c r="I404" s="4" t="str">
        <f t="array" ref="I404">IF($E404="","", XLOOKUP(SUMIFS(Prod_Prop!$A:$A,Prod_Prop!$B:$B,$E404,Prod_Prop!$H:$H,I$1,Prod_Prop!$I:$I,"Exacto"),Prod_Prop!$A:$A,Prod_Prop!$J:$J,"",0,1))</f>
        <v/>
      </c>
      <c r="J404" s="4" t="str">
        <f t="array" ref="J404">IF($E404="","", XLOOKUP(SUMIFS(Prod_Prop!$A:$A,Prod_Prop!$B:$B,$E404,Prod_Prop!$H:$H,J$1,Prod_Prop!$I:$I,"Exacto"),Prod_Prop!$A:$A,Prod_Prop!$J:$J,"",0,1))</f>
        <v/>
      </c>
      <c r="K404" s="4" t="str">
        <f t="array" ref="K404">IF($E404="","", XLOOKUP(SUMIFS(Prod_Prop!$A:$A,Prod_Prop!$B:$B,$E404,Prod_Prop!$H:$H,K$1,Prod_Prop!$I:$I,"Exacto"),Prod_Prop!$A:$A,Prod_Prop!$J:$J,"",0,1))</f>
        <v/>
      </c>
      <c r="L404" s="4" t="str">
        <f t="array" ref="L404">IF($E404="","", XLOOKUP(SUMIFS(Prod_Prop!$A:$A,Prod_Prop!$B:$B,$E404,Prod_Prop!$H:$H,L$1,Prod_Prop!$I:$I,"Exacto"),Prod_Prop!$A:$A,Prod_Prop!$J:$J,"",0,1))</f>
        <v/>
      </c>
      <c r="M404" s="4" t="str">
        <f t="array" ref="M404">IF($E404="","", XLOOKUP(SUMIFS(Prod_Prop!$A:$A,Prod_Prop!$B:$B,$E404,Prod_Prop!$H:$H,M$1,Prod_Prop!$I:$I,"Exacto"),Prod_Prop!$A:$A,Prod_Prop!$J:$J,"",0,1))</f>
        <v/>
      </c>
      <c r="N404" s="4" t="str">
        <f t="array" ref="N404">IF($E404="","", XLOOKUP(SUMIFS(Prod_Prop!$A:$A,Prod_Prop!$B:$B,$E404,Prod_Prop!$H:$H,N$1,Prod_Prop!$I:$I,"Exacto"),Prod_Prop!$A:$A,Prod_Prop!$J:$J,"",0,1))</f>
        <v/>
      </c>
      <c r="O404" s="4" t="str">
        <f t="array" ref="O404">IF($E404="","", XLOOKUP(SUMIFS(Prod_Prop!$A:$A,Prod_Prop!$B:$B,$E404,Prod_Prop!$H:$H,O$1,Prod_Prop!$I:$I,"Exacto"),Prod_Prop!$A:$A,Prod_Prop!$J:$J,"",0,1))</f>
        <v/>
      </c>
      <c r="P404" s="4" t="str">
        <f t="array" ref="P404">IF($E404="","", XLOOKUP(SUMIFS(Prod_Prop!$A:$A,Prod_Prop!$B:$B,$E404,Prod_Prop!$H:$H,P$1,Prod_Prop!$I:$I,"Exacto"),Prod_Prop!$A:$A,Prod_Prop!$J:$J,"",0,1))</f>
        <v/>
      </c>
      <c r="Q404" s="4" t="str">
        <f t="array" ref="Q404">IF($E404="","", XLOOKUP(SUMIFS(Prod_Prop!$A:$A,Prod_Prop!$B:$B,$E404,Prod_Prop!$H:$H,Q$1,Prod_Prop!$I:$I,"Exacto"),Prod_Prop!$A:$A,Prod_Prop!$J:$J,"",0,1))</f>
        <v/>
      </c>
      <c r="R404" s="4" t="str">
        <f t="array" ref="R404">IF($E404="","", XLOOKUP(SUMIFS(Prod_Prop!$A:$A,Prod_Prop!$B:$B,$E404,Prod_Prop!$H:$H,R$1,Prod_Prop!$I:$I,"Exacto"),Prod_Prop!$A:$A,Prod_Prop!$J:$J,"",0,1))</f>
        <v/>
      </c>
      <c r="S404" s="4" t="str">
        <f t="array" ref="S404">IF($E404="","", XLOOKUP(SUMIFS(Prod_Prop!$A:$A,Prod_Prop!$B:$B,$E404,Prod_Prop!$H:$H,S$1,Prod_Prop!$I:$I,"Exacto"),Prod_Prop!$A:$A,Prod_Prop!$J:$J,"",0,1))</f>
        <v/>
      </c>
      <c r="T404" s="4" t="str">
        <f t="array" ref="T404">IF($E404="","", XLOOKUP(SUMIFS(Prod_Prop!$A:$A,Prod_Prop!$B:$B,$E404,Prod_Prop!$H:$H,T$1,Prod_Prop!$I:$I,"Exacto"),Prod_Prop!$A:$A,Prod_Prop!$J:$J,"",0,1))</f>
        <v/>
      </c>
      <c r="U404" s="4" t="str">
        <f t="array" ref="U404">IF($E404="","", XLOOKUP(SUMIFS(Prod_Prop!$A:$A,Prod_Prop!$B:$B,$E404,Prod_Prop!$H:$H,U$1,Prod_Prop!$I:$I,"Exacto"),Prod_Prop!$A:$A,Prod_Prop!$J:$J,"",0,1))</f>
        <v/>
      </c>
      <c r="V404" s="4" t="str">
        <f t="array" ref="V404">IF($E404="","", XLOOKUP(SUMIFS(Prod_Prop!$A:$A,Prod_Prop!$B:$B,$E404,Prod_Prop!$H:$H,V$1,Prod_Prop!$I:$I,"Exacto"),Prod_Prop!$A:$A,Prod_Prop!$J:$J,"",0,1))</f>
        <v/>
      </c>
      <c r="X404" s="3" t="str">
        <f>IFERROR(__xludf.DUMMYFUNCTION("IF(D404="""","""",IFERROR(TRANSPOSE(FILTER('Validaciones Cotizador'!U:U,'Validaciones Cotizador'!O:O=D404,'Validaciones Cotizador'!T:T=""x"")),""Finalizar""))"),"")</f>
        <v/>
      </c>
    </row>
    <row r="405">
      <c r="A405" s="2" t="str">
        <f t="array" ref="A405">IF(E405="","",XLOOKUP(D405,'Validaciones Cotizador'!C:C,'Validaciones Cotizador'!A:A,"",0,1))</f>
        <v/>
      </c>
      <c r="B405" s="2" t="str">
        <f t="array" ref="B405">IF(F405="","",XLOOKUP(F405,Productos!E:E,Productos!G:G,"",0,1))</f>
        <v/>
      </c>
      <c r="C405" s="2" t="str">
        <f>IF(A405="","",SUMIFS('Validaciones Cotizador'!B:B,'Validaciones Cotizador'!C:C,D405,'Validaciones Cotizador'!A:A,A405))</f>
        <v/>
      </c>
      <c r="D405" s="4" t="str">
        <f>IFERROR(__xludf.DUMMYFUNCTION("IF(OR(F404=""Finalizar"",F404="""",F404=""Selecciona..""),"""",IF(OR(F404=""-"",INDEX(filter(Familias!F:F,Familias!D:D=A404,Familias!E:E=C404),1)=""O""),D404+1,D404))"),"")</f>
        <v/>
      </c>
      <c r="E405" s="2" t="str">
        <f>IF(OR(F405="",F405="Selecciona.."),"",IF(D405="Implemento",SUMIF(Implementos!B:B,F405,Implementos!A:A),SUMIF(Productos!E:E,F405,Productos!A:A)))</f>
        <v/>
      </c>
      <c r="F405" s="2" t="str">
        <f t="shared" si="2"/>
        <v/>
      </c>
      <c r="G405" s="10" t="str">
        <f t="array" ref="G405">IF(OR(F405="",F405="-",F405="Selecciona..",F405="Finalizar"),"",IF(A405="Rodados",XLOOKUP(B405,'Validaciones Cotizador'!I:I,'Validaciones Cotizador'!J:J,0,0,1),1))</f>
        <v/>
      </c>
      <c r="H405" s="11" t="str">
        <f>IF(OR(F405="",F405="Selecciona.."),"",SUMIF(Precio_Productos!K:K,E405,Precio_Productos!J:J)*G405)</f>
        <v/>
      </c>
      <c r="I405" s="4" t="str">
        <f t="array" ref="I405">IF($E405="","", XLOOKUP(SUMIFS(Prod_Prop!$A:$A,Prod_Prop!$B:$B,$E405,Prod_Prop!$H:$H,I$1,Prod_Prop!$I:$I,"Exacto"),Prod_Prop!$A:$A,Prod_Prop!$J:$J,"",0,1))</f>
        <v/>
      </c>
      <c r="J405" s="4" t="str">
        <f t="array" ref="J405">IF($E405="","", XLOOKUP(SUMIFS(Prod_Prop!$A:$A,Prod_Prop!$B:$B,$E405,Prod_Prop!$H:$H,J$1,Prod_Prop!$I:$I,"Exacto"),Prod_Prop!$A:$A,Prod_Prop!$J:$J,"",0,1))</f>
        <v/>
      </c>
      <c r="K405" s="4" t="str">
        <f t="array" ref="K405">IF($E405="","", XLOOKUP(SUMIFS(Prod_Prop!$A:$A,Prod_Prop!$B:$B,$E405,Prod_Prop!$H:$H,K$1,Prod_Prop!$I:$I,"Exacto"),Prod_Prop!$A:$A,Prod_Prop!$J:$J,"",0,1))</f>
        <v/>
      </c>
      <c r="L405" s="4" t="str">
        <f t="array" ref="L405">IF($E405="","", XLOOKUP(SUMIFS(Prod_Prop!$A:$A,Prod_Prop!$B:$B,$E405,Prod_Prop!$H:$H,L$1,Prod_Prop!$I:$I,"Exacto"),Prod_Prop!$A:$A,Prod_Prop!$J:$J,"",0,1))</f>
        <v/>
      </c>
      <c r="M405" s="4" t="str">
        <f t="array" ref="M405">IF($E405="","", XLOOKUP(SUMIFS(Prod_Prop!$A:$A,Prod_Prop!$B:$B,$E405,Prod_Prop!$H:$H,M$1,Prod_Prop!$I:$I,"Exacto"),Prod_Prop!$A:$A,Prod_Prop!$J:$J,"",0,1))</f>
        <v/>
      </c>
      <c r="N405" s="4" t="str">
        <f t="array" ref="N405">IF($E405="","", XLOOKUP(SUMIFS(Prod_Prop!$A:$A,Prod_Prop!$B:$B,$E405,Prod_Prop!$H:$H,N$1,Prod_Prop!$I:$I,"Exacto"),Prod_Prop!$A:$A,Prod_Prop!$J:$J,"",0,1))</f>
        <v/>
      </c>
      <c r="O405" s="4" t="str">
        <f t="array" ref="O405">IF($E405="","", XLOOKUP(SUMIFS(Prod_Prop!$A:$A,Prod_Prop!$B:$B,$E405,Prod_Prop!$H:$H,O$1,Prod_Prop!$I:$I,"Exacto"),Prod_Prop!$A:$A,Prod_Prop!$J:$J,"",0,1))</f>
        <v/>
      </c>
      <c r="P405" s="4" t="str">
        <f t="array" ref="P405">IF($E405="","", XLOOKUP(SUMIFS(Prod_Prop!$A:$A,Prod_Prop!$B:$B,$E405,Prod_Prop!$H:$H,P$1,Prod_Prop!$I:$I,"Exacto"),Prod_Prop!$A:$A,Prod_Prop!$J:$J,"",0,1))</f>
        <v/>
      </c>
      <c r="Q405" s="4" t="str">
        <f t="array" ref="Q405">IF($E405="","", XLOOKUP(SUMIFS(Prod_Prop!$A:$A,Prod_Prop!$B:$B,$E405,Prod_Prop!$H:$H,Q$1,Prod_Prop!$I:$I,"Exacto"),Prod_Prop!$A:$A,Prod_Prop!$J:$J,"",0,1))</f>
        <v/>
      </c>
      <c r="R405" s="4" t="str">
        <f t="array" ref="R405">IF($E405="","", XLOOKUP(SUMIFS(Prod_Prop!$A:$A,Prod_Prop!$B:$B,$E405,Prod_Prop!$H:$H,R$1,Prod_Prop!$I:$I,"Exacto"),Prod_Prop!$A:$A,Prod_Prop!$J:$J,"",0,1))</f>
        <v/>
      </c>
      <c r="S405" s="4" t="str">
        <f t="array" ref="S405">IF($E405="","", XLOOKUP(SUMIFS(Prod_Prop!$A:$A,Prod_Prop!$B:$B,$E405,Prod_Prop!$H:$H,S$1,Prod_Prop!$I:$I,"Exacto"),Prod_Prop!$A:$A,Prod_Prop!$J:$J,"",0,1))</f>
        <v/>
      </c>
      <c r="T405" s="4" t="str">
        <f t="array" ref="T405">IF($E405="","", XLOOKUP(SUMIFS(Prod_Prop!$A:$A,Prod_Prop!$B:$B,$E405,Prod_Prop!$H:$H,T$1,Prod_Prop!$I:$I,"Exacto"),Prod_Prop!$A:$A,Prod_Prop!$J:$J,"",0,1))</f>
        <v/>
      </c>
      <c r="U405" s="4" t="str">
        <f t="array" ref="U405">IF($E405="","", XLOOKUP(SUMIFS(Prod_Prop!$A:$A,Prod_Prop!$B:$B,$E405,Prod_Prop!$H:$H,U$1,Prod_Prop!$I:$I,"Exacto"),Prod_Prop!$A:$A,Prod_Prop!$J:$J,"",0,1))</f>
        <v/>
      </c>
      <c r="V405" s="4" t="str">
        <f t="array" ref="V405">IF($E405="","", XLOOKUP(SUMIFS(Prod_Prop!$A:$A,Prod_Prop!$B:$B,$E405,Prod_Prop!$H:$H,V$1,Prod_Prop!$I:$I,"Exacto"),Prod_Prop!$A:$A,Prod_Prop!$J:$J,"",0,1))</f>
        <v/>
      </c>
      <c r="X405" s="3" t="str">
        <f>IFERROR(__xludf.DUMMYFUNCTION("IF(D405="""","""",IFERROR(TRANSPOSE(FILTER('Validaciones Cotizador'!U:U,'Validaciones Cotizador'!O:O=D405,'Validaciones Cotizador'!T:T=""x"")),""Finalizar""))"),"")</f>
        <v/>
      </c>
    </row>
    <row r="406">
      <c r="A406" s="2" t="str">
        <f t="array" ref="A406">IF(E406="","",XLOOKUP(D406,'Validaciones Cotizador'!C:C,'Validaciones Cotizador'!A:A,"",0,1))</f>
        <v/>
      </c>
      <c r="B406" s="2" t="str">
        <f t="array" ref="B406">IF(F406="","",XLOOKUP(F406,Productos!E:E,Productos!G:G,"",0,1))</f>
        <v/>
      </c>
      <c r="C406" s="2" t="str">
        <f>IF(A406="","",SUMIFS('Validaciones Cotizador'!B:B,'Validaciones Cotizador'!C:C,D406,'Validaciones Cotizador'!A:A,A406))</f>
        <v/>
      </c>
      <c r="D406" s="4" t="str">
        <f>IFERROR(__xludf.DUMMYFUNCTION("IF(OR(F405=""Finalizar"",F405="""",F405=""Selecciona..""),"""",IF(OR(F405=""-"",INDEX(filter(Familias!F:F,Familias!D:D=A405,Familias!E:E=C405),1)=""O""),D405+1,D405))"),"")</f>
        <v/>
      </c>
      <c r="E406" s="2" t="str">
        <f>IF(OR(F406="",F406="Selecciona.."),"",IF(D406="Implemento",SUMIF(Implementos!B:B,F406,Implementos!A:A),SUMIF(Productos!E:E,F406,Productos!A:A)))</f>
        <v/>
      </c>
      <c r="F406" s="2" t="str">
        <f t="shared" si="2"/>
        <v/>
      </c>
      <c r="G406" s="10" t="str">
        <f t="array" ref="G406">IF(OR(F406="",F406="-",F406="Selecciona..",F406="Finalizar"),"",IF(A406="Rodados",XLOOKUP(B406,'Validaciones Cotizador'!I:I,'Validaciones Cotizador'!J:J,0,0,1),1))</f>
        <v/>
      </c>
      <c r="H406" s="11" t="str">
        <f>IF(OR(F406="",F406="Selecciona.."),"",SUMIF(Precio_Productos!K:K,E406,Precio_Productos!J:J)*G406)</f>
        <v/>
      </c>
      <c r="I406" s="4" t="str">
        <f t="array" ref="I406">IF($E406="","", XLOOKUP(SUMIFS(Prod_Prop!$A:$A,Prod_Prop!$B:$B,$E406,Prod_Prop!$H:$H,I$1,Prod_Prop!$I:$I,"Exacto"),Prod_Prop!$A:$A,Prod_Prop!$J:$J,"",0,1))</f>
        <v/>
      </c>
      <c r="J406" s="4" t="str">
        <f t="array" ref="J406">IF($E406="","", XLOOKUP(SUMIFS(Prod_Prop!$A:$A,Prod_Prop!$B:$B,$E406,Prod_Prop!$H:$H,J$1,Prod_Prop!$I:$I,"Exacto"),Prod_Prop!$A:$A,Prod_Prop!$J:$J,"",0,1))</f>
        <v/>
      </c>
      <c r="K406" s="4" t="str">
        <f t="array" ref="K406">IF($E406="","", XLOOKUP(SUMIFS(Prod_Prop!$A:$A,Prod_Prop!$B:$B,$E406,Prod_Prop!$H:$H,K$1,Prod_Prop!$I:$I,"Exacto"),Prod_Prop!$A:$A,Prod_Prop!$J:$J,"",0,1))</f>
        <v/>
      </c>
      <c r="L406" s="4" t="str">
        <f t="array" ref="L406">IF($E406="","", XLOOKUP(SUMIFS(Prod_Prop!$A:$A,Prod_Prop!$B:$B,$E406,Prod_Prop!$H:$H,L$1,Prod_Prop!$I:$I,"Exacto"),Prod_Prop!$A:$A,Prod_Prop!$J:$J,"",0,1))</f>
        <v/>
      </c>
      <c r="M406" s="4" t="str">
        <f t="array" ref="M406">IF($E406="","", XLOOKUP(SUMIFS(Prod_Prop!$A:$A,Prod_Prop!$B:$B,$E406,Prod_Prop!$H:$H,M$1,Prod_Prop!$I:$I,"Exacto"),Prod_Prop!$A:$A,Prod_Prop!$J:$J,"",0,1))</f>
        <v/>
      </c>
      <c r="N406" s="4" t="str">
        <f t="array" ref="N406">IF($E406="","", XLOOKUP(SUMIFS(Prod_Prop!$A:$A,Prod_Prop!$B:$B,$E406,Prod_Prop!$H:$H,N$1,Prod_Prop!$I:$I,"Exacto"),Prod_Prop!$A:$A,Prod_Prop!$J:$J,"",0,1))</f>
        <v/>
      </c>
      <c r="O406" s="4" t="str">
        <f t="array" ref="O406">IF($E406="","", XLOOKUP(SUMIFS(Prod_Prop!$A:$A,Prod_Prop!$B:$B,$E406,Prod_Prop!$H:$H,O$1,Prod_Prop!$I:$I,"Exacto"),Prod_Prop!$A:$A,Prod_Prop!$J:$J,"",0,1))</f>
        <v/>
      </c>
      <c r="P406" s="4" t="str">
        <f t="array" ref="P406">IF($E406="","", XLOOKUP(SUMIFS(Prod_Prop!$A:$A,Prod_Prop!$B:$B,$E406,Prod_Prop!$H:$H,P$1,Prod_Prop!$I:$I,"Exacto"),Prod_Prop!$A:$A,Prod_Prop!$J:$J,"",0,1))</f>
        <v/>
      </c>
      <c r="Q406" s="4" t="str">
        <f t="array" ref="Q406">IF($E406="","", XLOOKUP(SUMIFS(Prod_Prop!$A:$A,Prod_Prop!$B:$B,$E406,Prod_Prop!$H:$H,Q$1,Prod_Prop!$I:$I,"Exacto"),Prod_Prop!$A:$A,Prod_Prop!$J:$J,"",0,1))</f>
        <v/>
      </c>
      <c r="R406" s="4" t="str">
        <f t="array" ref="R406">IF($E406="","", XLOOKUP(SUMIFS(Prod_Prop!$A:$A,Prod_Prop!$B:$B,$E406,Prod_Prop!$H:$H,R$1,Prod_Prop!$I:$I,"Exacto"),Prod_Prop!$A:$A,Prod_Prop!$J:$J,"",0,1))</f>
        <v/>
      </c>
      <c r="S406" s="4" t="str">
        <f t="array" ref="S406">IF($E406="","", XLOOKUP(SUMIFS(Prod_Prop!$A:$A,Prod_Prop!$B:$B,$E406,Prod_Prop!$H:$H,S$1,Prod_Prop!$I:$I,"Exacto"),Prod_Prop!$A:$A,Prod_Prop!$J:$J,"",0,1))</f>
        <v/>
      </c>
      <c r="T406" s="4" t="str">
        <f t="array" ref="T406">IF($E406="","", XLOOKUP(SUMIFS(Prod_Prop!$A:$A,Prod_Prop!$B:$B,$E406,Prod_Prop!$H:$H,T$1,Prod_Prop!$I:$I,"Exacto"),Prod_Prop!$A:$A,Prod_Prop!$J:$J,"",0,1))</f>
        <v/>
      </c>
      <c r="U406" s="4" t="str">
        <f t="array" ref="U406">IF($E406="","", XLOOKUP(SUMIFS(Prod_Prop!$A:$A,Prod_Prop!$B:$B,$E406,Prod_Prop!$H:$H,U$1,Prod_Prop!$I:$I,"Exacto"),Prod_Prop!$A:$A,Prod_Prop!$J:$J,"",0,1))</f>
        <v/>
      </c>
      <c r="V406" s="4" t="str">
        <f t="array" ref="V406">IF($E406="","", XLOOKUP(SUMIFS(Prod_Prop!$A:$A,Prod_Prop!$B:$B,$E406,Prod_Prop!$H:$H,V$1,Prod_Prop!$I:$I,"Exacto"),Prod_Prop!$A:$A,Prod_Prop!$J:$J,"",0,1))</f>
        <v/>
      </c>
      <c r="X406" s="3" t="str">
        <f>IFERROR(__xludf.DUMMYFUNCTION("IF(D406="""","""",IFERROR(TRANSPOSE(FILTER('Validaciones Cotizador'!U:U,'Validaciones Cotizador'!O:O=D406,'Validaciones Cotizador'!T:T=""x"")),""Finalizar""))"),"")</f>
        <v/>
      </c>
    </row>
    <row r="407">
      <c r="A407" s="2" t="str">
        <f t="array" ref="A407">IF(E407="","",XLOOKUP(D407,'Validaciones Cotizador'!C:C,'Validaciones Cotizador'!A:A,"",0,1))</f>
        <v/>
      </c>
      <c r="B407" s="2" t="str">
        <f t="array" ref="B407">IF(F407="","",XLOOKUP(F407,Productos!E:E,Productos!G:G,"",0,1))</f>
        <v/>
      </c>
      <c r="C407" s="2" t="str">
        <f>IF(A407="","",SUMIFS('Validaciones Cotizador'!B:B,'Validaciones Cotizador'!C:C,D407,'Validaciones Cotizador'!A:A,A407))</f>
        <v/>
      </c>
      <c r="D407" s="4" t="str">
        <f>IFERROR(__xludf.DUMMYFUNCTION("IF(OR(F406=""Finalizar"",F406="""",F406=""Selecciona..""),"""",IF(OR(F406=""-"",INDEX(filter(Familias!F:F,Familias!D:D=A406,Familias!E:E=C406),1)=""O""),D406+1,D406))"),"")</f>
        <v/>
      </c>
      <c r="E407" s="2" t="str">
        <f>IF(OR(F407="",F407="Selecciona.."),"",IF(D407="Implemento",SUMIF(Implementos!B:B,F407,Implementos!A:A),SUMIF(Productos!E:E,F407,Productos!A:A)))</f>
        <v/>
      </c>
      <c r="F407" s="2" t="str">
        <f t="shared" si="2"/>
        <v/>
      </c>
      <c r="G407" s="10" t="str">
        <f t="array" ref="G407">IF(OR(F407="",F407="-",F407="Selecciona..",F407="Finalizar"),"",IF(A407="Rodados",XLOOKUP(B407,'Validaciones Cotizador'!I:I,'Validaciones Cotizador'!J:J,0,0,1),1))</f>
        <v/>
      </c>
      <c r="H407" s="11" t="str">
        <f>IF(OR(F407="",F407="Selecciona.."),"",SUMIF(Precio_Productos!K:K,E407,Precio_Productos!J:J)*G407)</f>
        <v/>
      </c>
      <c r="I407" s="4" t="str">
        <f t="array" ref="I407">IF($E407="","", XLOOKUP(SUMIFS(Prod_Prop!$A:$A,Prod_Prop!$B:$B,$E407,Prod_Prop!$H:$H,I$1,Prod_Prop!$I:$I,"Exacto"),Prod_Prop!$A:$A,Prod_Prop!$J:$J,"",0,1))</f>
        <v/>
      </c>
      <c r="J407" s="4" t="str">
        <f t="array" ref="J407">IF($E407="","", XLOOKUP(SUMIFS(Prod_Prop!$A:$A,Prod_Prop!$B:$B,$E407,Prod_Prop!$H:$H,J$1,Prod_Prop!$I:$I,"Exacto"),Prod_Prop!$A:$A,Prod_Prop!$J:$J,"",0,1))</f>
        <v/>
      </c>
      <c r="K407" s="4" t="str">
        <f t="array" ref="K407">IF($E407="","", XLOOKUP(SUMIFS(Prod_Prop!$A:$A,Prod_Prop!$B:$B,$E407,Prod_Prop!$H:$H,K$1,Prod_Prop!$I:$I,"Exacto"),Prod_Prop!$A:$A,Prod_Prop!$J:$J,"",0,1))</f>
        <v/>
      </c>
      <c r="L407" s="4" t="str">
        <f t="array" ref="L407">IF($E407="","", XLOOKUP(SUMIFS(Prod_Prop!$A:$A,Prod_Prop!$B:$B,$E407,Prod_Prop!$H:$H,L$1,Prod_Prop!$I:$I,"Exacto"),Prod_Prop!$A:$A,Prod_Prop!$J:$J,"",0,1))</f>
        <v/>
      </c>
      <c r="M407" s="4" t="str">
        <f t="array" ref="M407">IF($E407="","", XLOOKUP(SUMIFS(Prod_Prop!$A:$A,Prod_Prop!$B:$B,$E407,Prod_Prop!$H:$H,M$1,Prod_Prop!$I:$I,"Exacto"),Prod_Prop!$A:$A,Prod_Prop!$J:$J,"",0,1))</f>
        <v/>
      </c>
      <c r="N407" s="4" t="str">
        <f t="array" ref="N407">IF($E407="","", XLOOKUP(SUMIFS(Prod_Prop!$A:$A,Prod_Prop!$B:$B,$E407,Prod_Prop!$H:$H,N$1,Prod_Prop!$I:$I,"Exacto"),Prod_Prop!$A:$A,Prod_Prop!$J:$J,"",0,1))</f>
        <v/>
      </c>
      <c r="O407" s="4" t="str">
        <f t="array" ref="O407">IF($E407="","", XLOOKUP(SUMIFS(Prod_Prop!$A:$A,Prod_Prop!$B:$B,$E407,Prod_Prop!$H:$H,O$1,Prod_Prop!$I:$I,"Exacto"),Prod_Prop!$A:$A,Prod_Prop!$J:$J,"",0,1))</f>
        <v/>
      </c>
      <c r="P407" s="4" t="str">
        <f t="array" ref="P407">IF($E407="","", XLOOKUP(SUMIFS(Prod_Prop!$A:$A,Prod_Prop!$B:$B,$E407,Prod_Prop!$H:$H,P$1,Prod_Prop!$I:$I,"Exacto"),Prod_Prop!$A:$A,Prod_Prop!$J:$J,"",0,1))</f>
        <v/>
      </c>
      <c r="Q407" s="4" t="str">
        <f t="array" ref="Q407">IF($E407="","", XLOOKUP(SUMIFS(Prod_Prop!$A:$A,Prod_Prop!$B:$B,$E407,Prod_Prop!$H:$H,Q$1,Prod_Prop!$I:$I,"Exacto"),Prod_Prop!$A:$A,Prod_Prop!$J:$J,"",0,1))</f>
        <v/>
      </c>
      <c r="R407" s="4" t="str">
        <f t="array" ref="R407">IF($E407="","", XLOOKUP(SUMIFS(Prod_Prop!$A:$A,Prod_Prop!$B:$B,$E407,Prod_Prop!$H:$H,R$1,Prod_Prop!$I:$I,"Exacto"),Prod_Prop!$A:$A,Prod_Prop!$J:$J,"",0,1))</f>
        <v/>
      </c>
      <c r="S407" s="4" t="str">
        <f t="array" ref="S407">IF($E407="","", XLOOKUP(SUMIFS(Prod_Prop!$A:$A,Prod_Prop!$B:$B,$E407,Prod_Prop!$H:$H,S$1,Prod_Prop!$I:$I,"Exacto"),Prod_Prop!$A:$A,Prod_Prop!$J:$J,"",0,1))</f>
        <v/>
      </c>
      <c r="T407" s="4" t="str">
        <f t="array" ref="T407">IF($E407="","", XLOOKUP(SUMIFS(Prod_Prop!$A:$A,Prod_Prop!$B:$B,$E407,Prod_Prop!$H:$H,T$1,Prod_Prop!$I:$I,"Exacto"),Prod_Prop!$A:$A,Prod_Prop!$J:$J,"",0,1))</f>
        <v/>
      </c>
      <c r="U407" s="4" t="str">
        <f t="array" ref="U407">IF($E407="","", XLOOKUP(SUMIFS(Prod_Prop!$A:$A,Prod_Prop!$B:$B,$E407,Prod_Prop!$H:$H,U$1,Prod_Prop!$I:$I,"Exacto"),Prod_Prop!$A:$A,Prod_Prop!$J:$J,"",0,1))</f>
        <v/>
      </c>
      <c r="V407" s="4" t="str">
        <f t="array" ref="V407">IF($E407="","", XLOOKUP(SUMIFS(Prod_Prop!$A:$A,Prod_Prop!$B:$B,$E407,Prod_Prop!$H:$H,V$1,Prod_Prop!$I:$I,"Exacto"),Prod_Prop!$A:$A,Prod_Prop!$J:$J,"",0,1))</f>
        <v/>
      </c>
      <c r="X407" s="3" t="str">
        <f>IFERROR(__xludf.DUMMYFUNCTION("IF(D407="""","""",IFERROR(TRANSPOSE(FILTER('Validaciones Cotizador'!U:U,'Validaciones Cotizador'!O:O=D407,'Validaciones Cotizador'!T:T=""x"")),""Finalizar""))"),"")</f>
        <v/>
      </c>
    </row>
    <row r="408">
      <c r="A408" s="2" t="str">
        <f t="array" ref="A408">IF(E408="","",XLOOKUP(D408,'Validaciones Cotizador'!C:C,'Validaciones Cotizador'!A:A,"",0,1))</f>
        <v/>
      </c>
      <c r="B408" s="2" t="str">
        <f t="array" ref="B408">IF(F408="","",XLOOKUP(F408,Productos!E:E,Productos!G:G,"",0,1))</f>
        <v/>
      </c>
      <c r="C408" s="2" t="str">
        <f>IF(A408="","",SUMIFS('Validaciones Cotizador'!B:B,'Validaciones Cotizador'!C:C,D408,'Validaciones Cotizador'!A:A,A408))</f>
        <v/>
      </c>
      <c r="D408" s="4" t="str">
        <f>IFERROR(__xludf.DUMMYFUNCTION("IF(OR(F407=""Finalizar"",F407="""",F407=""Selecciona..""),"""",IF(OR(F407=""-"",INDEX(filter(Familias!F:F,Familias!D:D=A407,Familias!E:E=C407),1)=""O""),D407+1,D407))"),"")</f>
        <v/>
      </c>
      <c r="E408" s="2" t="str">
        <f>IF(OR(F408="",F408="Selecciona.."),"",IF(D408="Implemento",SUMIF(Implementos!B:B,F408,Implementos!A:A),SUMIF(Productos!E:E,F408,Productos!A:A)))</f>
        <v/>
      </c>
      <c r="F408" s="2" t="str">
        <f t="shared" si="2"/>
        <v/>
      </c>
      <c r="G408" s="10" t="str">
        <f t="array" ref="G408">IF(OR(F408="",F408="-",F408="Selecciona..",F408="Finalizar"),"",IF(A408="Rodados",XLOOKUP(B408,'Validaciones Cotizador'!I:I,'Validaciones Cotizador'!J:J,0,0,1),1))</f>
        <v/>
      </c>
      <c r="H408" s="11" t="str">
        <f>IF(OR(F408="",F408="Selecciona.."),"",SUMIF(Precio_Productos!K:K,E408,Precio_Productos!J:J)*G408)</f>
        <v/>
      </c>
      <c r="I408" s="4" t="str">
        <f t="array" ref="I408">IF($E408="","", XLOOKUP(SUMIFS(Prod_Prop!$A:$A,Prod_Prop!$B:$B,$E408,Prod_Prop!$H:$H,I$1,Prod_Prop!$I:$I,"Exacto"),Prod_Prop!$A:$A,Prod_Prop!$J:$J,"",0,1))</f>
        <v/>
      </c>
      <c r="J408" s="4" t="str">
        <f t="array" ref="J408">IF($E408="","", XLOOKUP(SUMIFS(Prod_Prop!$A:$A,Prod_Prop!$B:$B,$E408,Prod_Prop!$H:$H,J$1,Prod_Prop!$I:$I,"Exacto"),Prod_Prop!$A:$A,Prod_Prop!$J:$J,"",0,1))</f>
        <v/>
      </c>
      <c r="K408" s="4" t="str">
        <f t="array" ref="K408">IF($E408="","", XLOOKUP(SUMIFS(Prod_Prop!$A:$A,Prod_Prop!$B:$B,$E408,Prod_Prop!$H:$H,K$1,Prod_Prop!$I:$I,"Exacto"),Prod_Prop!$A:$A,Prod_Prop!$J:$J,"",0,1))</f>
        <v/>
      </c>
      <c r="L408" s="4" t="str">
        <f t="array" ref="L408">IF($E408="","", XLOOKUP(SUMIFS(Prod_Prop!$A:$A,Prod_Prop!$B:$B,$E408,Prod_Prop!$H:$H,L$1,Prod_Prop!$I:$I,"Exacto"),Prod_Prop!$A:$A,Prod_Prop!$J:$J,"",0,1))</f>
        <v/>
      </c>
      <c r="M408" s="4" t="str">
        <f t="array" ref="M408">IF($E408="","", XLOOKUP(SUMIFS(Prod_Prop!$A:$A,Prod_Prop!$B:$B,$E408,Prod_Prop!$H:$H,M$1,Prod_Prop!$I:$I,"Exacto"),Prod_Prop!$A:$A,Prod_Prop!$J:$J,"",0,1))</f>
        <v/>
      </c>
      <c r="N408" s="4" t="str">
        <f t="array" ref="N408">IF($E408="","", XLOOKUP(SUMIFS(Prod_Prop!$A:$A,Prod_Prop!$B:$B,$E408,Prod_Prop!$H:$H,N$1,Prod_Prop!$I:$I,"Exacto"),Prod_Prop!$A:$A,Prod_Prop!$J:$J,"",0,1))</f>
        <v/>
      </c>
      <c r="O408" s="4" t="str">
        <f t="array" ref="O408">IF($E408="","", XLOOKUP(SUMIFS(Prod_Prop!$A:$A,Prod_Prop!$B:$B,$E408,Prod_Prop!$H:$H,O$1,Prod_Prop!$I:$I,"Exacto"),Prod_Prop!$A:$A,Prod_Prop!$J:$J,"",0,1))</f>
        <v/>
      </c>
      <c r="P408" s="4" t="str">
        <f t="array" ref="P408">IF($E408="","", XLOOKUP(SUMIFS(Prod_Prop!$A:$A,Prod_Prop!$B:$B,$E408,Prod_Prop!$H:$H,P$1,Prod_Prop!$I:$I,"Exacto"),Prod_Prop!$A:$A,Prod_Prop!$J:$J,"",0,1))</f>
        <v/>
      </c>
      <c r="Q408" s="4" t="str">
        <f t="array" ref="Q408">IF($E408="","", XLOOKUP(SUMIFS(Prod_Prop!$A:$A,Prod_Prop!$B:$B,$E408,Prod_Prop!$H:$H,Q$1,Prod_Prop!$I:$I,"Exacto"),Prod_Prop!$A:$A,Prod_Prop!$J:$J,"",0,1))</f>
        <v/>
      </c>
      <c r="R408" s="4" t="str">
        <f t="array" ref="R408">IF($E408="","", XLOOKUP(SUMIFS(Prod_Prop!$A:$A,Prod_Prop!$B:$B,$E408,Prod_Prop!$H:$H,R$1,Prod_Prop!$I:$I,"Exacto"),Prod_Prop!$A:$A,Prod_Prop!$J:$J,"",0,1))</f>
        <v/>
      </c>
      <c r="S408" s="4" t="str">
        <f t="array" ref="S408">IF($E408="","", XLOOKUP(SUMIFS(Prod_Prop!$A:$A,Prod_Prop!$B:$B,$E408,Prod_Prop!$H:$H,S$1,Prod_Prop!$I:$I,"Exacto"),Prod_Prop!$A:$A,Prod_Prop!$J:$J,"",0,1))</f>
        <v/>
      </c>
      <c r="T408" s="4" t="str">
        <f t="array" ref="T408">IF($E408="","", XLOOKUP(SUMIFS(Prod_Prop!$A:$A,Prod_Prop!$B:$B,$E408,Prod_Prop!$H:$H,T$1,Prod_Prop!$I:$I,"Exacto"),Prod_Prop!$A:$A,Prod_Prop!$J:$J,"",0,1))</f>
        <v/>
      </c>
      <c r="U408" s="4" t="str">
        <f t="array" ref="U408">IF($E408="","", XLOOKUP(SUMIFS(Prod_Prop!$A:$A,Prod_Prop!$B:$B,$E408,Prod_Prop!$H:$H,U$1,Prod_Prop!$I:$I,"Exacto"),Prod_Prop!$A:$A,Prod_Prop!$J:$J,"",0,1))</f>
        <v/>
      </c>
      <c r="V408" s="4" t="str">
        <f t="array" ref="V408">IF($E408="","", XLOOKUP(SUMIFS(Prod_Prop!$A:$A,Prod_Prop!$B:$B,$E408,Prod_Prop!$H:$H,V$1,Prod_Prop!$I:$I,"Exacto"),Prod_Prop!$A:$A,Prod_Prop!$J:$J,"",0,1))</f>
        <v/>
      </c>
      <c r="X408" s="3" t="str">
        <f>IFERROR(__xludf.DUMMYFUNCTION("IF(D408="""","""",IFERROR(TRANSPOSE(FILTER('Validaciones Cotizador'!U:U,'Validaciones Cotizador'!O:O=D408,'Validaciones Cotizador'!T:T=""x"")),""Finalizar""))"),"")</f>
        <v/>
      </c>
    </row>
    <row r="409">
      <c r="A409" s="2" t="str">
        <f t="array" ref="A409">IF(E409="","",XLOOKUP(D409,'Validaciones Cotizador'!C:C,'Validaciones Cotizador'!A:A,"",0,1))</f>
        <v/>
      </c>
      <c r="B409" s="2" t="str">
        <f t="array" ref="B409">IF(F409="","",XLOOKUP(F409,Productos!E:E,Productos!G:G,"",0,1))</f>
        <v/>
      </c>
      <c r="C409" s="2" t="str">
        <f>IF(A409="","",SUMIFS('Validaciones Cotizador'!B:B,'Validaciones Cotizador'!C:C,D409,'Validaciones Cotizador'!A:A,A409))</f>
        <v/>
      </c>
      <c r="D409" s="4" t="str">
        <f>IFERROR(__xludf.DUMMYFUNCTION("IF(OR(F408=""Finalizar"",F408="""",F408=""Selecciona..""),"""",IF(OR(F408=""-"",INDEX(filter(Familias!F:F,Familias!D:D=A408,Familias!E:E=C408),1)=""O""),D408+1,D408))"),"")</f>
        <v/>
      </c>
      <c r="E409" s="2" t="str">
        <f>IF(OR(F409="",F409="Selecciona.."),"",IF(D409="Implemento",SUMIF(Implementos!B:B,F409,Implementos!A:A),SUMIF(Productos!E:E,F409,Productos!A:A)))</f>
        <v/>
      </c>
      <c r="F409" s="2" t="str">
        <f t="shared" si="2"/>
        <v/>
      </c>
      <c r="G409" s="10" t="str">
        <f t="array" ref="G409">IF(OR(F409="",F409="-",F409="Selecciona..",F409="Finalizar"),"",IF(A409="Rodados",XLOOKUP(B409,'Validaciones Cotizador'!I:I,'Validaciones Cotizador'!J:J,0,0,1),1))</f>
        <v/>
      </c>
      <c r="H409" s="11" t="str">
        <f>IF(OR(F409="",F409="Selecciona.."),"",SUMIF(Precio_Productos!K:K,E409,Precio_Productos!J:J)*G409)</f>
        <v/>
      </c>
      <c r="I409" s="4" t="str">
        <f t="array" ref="I409">IF($E409="","", XLOOKUP(SUMIFS(Prod_Prop!$A:$A,Prod_Prop!$B:$B,$E409,Prod_Prop!$H:$H,I$1,Prod_Prop!$I:$I,"Exacto"),Prod_Prop!$A:$A,Prod_Prop!$J:$J,"",0,1))</f>
        <v/>
      </c>
      <c r="J409" s="4" t="str">
        <f t="array" ref="J409">IF($E409="","", XLOOKUP(SUMIFS(Prod_Prop!$A:$A,Prod_Prop!$B:$B,$E409,Prod_Prop!$H:$H,J$1,Prod_Prop!$I:$I,"Exacto"),Prod_Prop!$A:$A,Prod_Prop!$J:$J,"",0,1))</f>
        <v/>
      </c>
      <c r="K409" s="4" t="str">
        <f t="array" ref="K409">IF($E409="","", XLOOKUP(SUMIFS(Prod_Prop!$A:$A,Prod_Prop!$B:$B,$E409,Prod_Prop!$H:$H,K$1,Prod_Prop!$I:$I,"Exacto"),Prod_Prop!$A:$A,Prod_Prop!$J:$J,"",0,1))</f>
        <v/>
      </c>
      <c r="L409" s="4" t="str">
        <f t="array" ref="L409">IF($E409="","", XLOOKUP(SUMIFS(Prod_Prop!$A:$A,Prod_Prop!$B:$B,$E409,Prod_Prop!$H:$H,L$1,Prod_Prop!$I:$I,"Exacto"),Prod_Prop!$A:$A,Prod_Prop!$J:$J,"",0,1))</f>
        <v/>
      </c>
      <c r="M409" s="4" t="str">
        <f t="array" ref="M409">IF($E409="","", XLOOKUP(SUMIFS(Prod_Prop!$A:$A,Prod_Prop!$B:$B,$E409,Prod_Prop!$H:$H,M$1,Prod_Prop!$I:$I,"Exacto"),Prod_Prop!$A:$A,Prod_Prop!$J:$J,"",0,1))</f>
        <v/>
      </c>
      <c r="N409" s="4" t="str">
        <f t="array" ref="N409">IF($E409="","", XLOOKUP(SUMIFS(Prod_Prop!$A:$A,Prod_Prop!$B:$B,$E409,Prod_Prop!$H:$H,N$1,Prod_Prop!$I:$I,"Exacto"),Prod_Prop!$A:$A,Prod_Prop!$J:$J,"",0,1))</f>
        <v/>
      </c>
      <c r="O409" s="4" t="str">
        <f t="array" ref="O409">IF($E409="","", XLOOKUP(SUMIFS(Prod_Prop!$A:$A,Prod_Prop!$B:$B,$E409,Prod_Prop!$H:$H,O$1,Prod_Prop!$I:$I,"Exacto"),Prod_Prop!$A:$A,Prod_Prop!$J:$J,"",0,1))</f>
        <v/>
      </c>
      <c r="P409" s="4" t="str">
        <f t="array" ref="P409">IF($E409="","", XLOOKUP(SUMIFS(Prod_Prop!$A:$A,Prod_Prop!$B:$B,$E409,Prod_Prop!$H:$H,P$1,Prod_Prop!$I:$I,"Exacto"),Prod_Prop!$A:$A,Prod_Prop!$J:$J,"",0,1))</f>
        <v/>
      </c>
      <c r="Q409" s="4" t="str">
        <f t="array" ref="Q409">IF($E409="","", XLOOKUP(SUMIFS(Prod_Prop!$A:$A,Prod_Prop!$B:$B,$E409,Prod_Prop!$H:$H,Q$1,Prod_Prop!$I:$I,"Exacto"),Prod_Prop!$A:$A,Prod_Prop!$J:$J,"",0,1))</f>
        <v/>
      </c>
      <c r="R409" s="4" t="str">
        <f t="array" ref="R409">IF($E409="","", XLOOKUP(SUMIFS(Prod_Prop!$A:$A,Prod_Prop!$B:$B,$E409,Prod_Prop!$H:$H,R$1,Prod_Prop!$I:$I,"Exacto"),Prod_Prop!$A:$A,Prod_Prop!$J:$J,"",0,1))</f>
        <v/>
      </c>
      <c r="S409" s="4" t="str">
        <f t="array" ref="S409">IF($E409="","", XLOOKUP(SUMIFS(Prod_Prop!$A:$A,Prod_Prop!$B:$B,$E409,Prod_Prop!$H:$H,S$1,Prod_Prop!$I:$I,"Exacto"),Prod_Prop!$A:$A,Prod_Prop!$J:$J,"",0,1))</f>
        <v/>
      </c>
      <c r="T409" s="4" t="str">
        <f t="array" ref="T409">IF($E409="","", XLOOKUP(SUMIFS(Prod_Prop!$A:$A,Prod_Prop!$B:$B,$E409,Prod_Prop!$H:$H,T$1,Prod_Prop!$I:$I,"Exacto"),Prod_Prop!$A:$A,Prod_Prop!$J:$J,"",0,1))</f>
        <v/>
      </c>
      <c r="U409" s="4" t="str">
        <f t="array" ref="U409">IF($E409="","", XLOOKUP(SUMIFS(Prod_Prop!$A:$A,Prod_Prop!$B:$B,$E409,Prod_Prop!$H:$H,U$1,Prod_Prop!$I:$I,"Exacto"),Prod_Prop!$A:$A,Prod_Prop!$J:$J,"",0,1))</f>
        <v/>
      </c>
      <c r="V409" s="4" t="str">
        <f t="array" ref="V409">IF($E409="","", XLOOKUP(SUMIFS(Prod_Prop!$A:$A,Prod_Prop!$B:$B,$E409,Prod_Prop!$H:$H,V$1,Prod_Prop!$I:$I,"Exacto"),Prod_Prop!$A:$A,Prod_Prop!$J:$J,"",0,1))</f>
        <v/>
      </c>
      <c r="X409" s="3" t="str">
        <f>IFERROR(__xludf.DUMMYFUNCTION("IF(D409="""","""",IFERROR(TRANSPOSE(FILTER('Validaciones Cotizador'!U:U,'Validaciones Cotizador'!O:O=D409,'Validaciones Cotizador'!T:T=""x"")),""Finalizar""))"),"")</f>
        <v/>
      </c>
    </row>
    <row r="410">
      <c r="A410" s="2" t="str">
        <f t="array" ref="A410">IF(E410="","",XLOOKUP(D410,'Validaciones Cotizador'!C:C,'Validaciones Cotizador'!A:A,"",0,1))</f>
        <v/>
      </c>
      <c r="B410" s="2" t="str">
        <f t="array" ref="B410">IF(F410="","",XLOOKUP(F410,Productos!E:E,Productos!G:G,"",0,1))</f>
        <v/>
      </c>
      <c r="C410" s="2" t="str">
        <f>IF(A410="","",SUMIFS('Validaciones Cotizador'!B:B,'Validaciones Cotizador'!C:C,D410,'Validaciones Cotizador'!A:A,A410))</f>
        <v/>
      </c>
      <c r="D410" s="4" t="str">
        <f>IFERROR(__xludf.DUMMYFUNCTION("IF(OR(F409=""Finalizar"",F409="""",F409=""Selecciona..""),"""",IF(OR(F409=""-"",INDEX(filter(Familias!F:F,Familias!D:D=A409,Familias!E:E=C409),1)=""O""),D409+1,D409))"),"")</f>
        <v/>
      </c>
      <c r="E410" s="2" t="str">
        <f>IF(OR(F410="",F410="Selecciona.."),"",IF(D410="Implemento",SUMIF(Implementos!B:B,F410,Implementos!A:A),SUMIF(Productos!E:E,F410,Productos!A:A)))</f>
        <v/>
      </c>
      <c r="F410" s="2" t="str">
        <f t="shared" si="2"/>
        <v/>
      </c>
      <c r="G410" s="10" t="str">
        <f t="array" ref="G410">IF(OR(F410="",F410="-",F410="Selecciona..",F410="Finalizar"),"",IF(A410="Rodados",XLOOKUP(B410,'Validaciones Cotizador'!I:I,'Validaciones Cotizador'!J:J,0,0,1),1))</f>
        <v/>
      </c>
      <c r="H410" s="11" t="str">
        <f>IF(OR(F410="",F410="Selecciona.."),"",SUMIF(Precio_Productos!K:K,E410,Precio_Productos!J:J)*G410)</f>
        <v/>
      </c>
      <c r="I410" s="4" t="str">
        <f t="array" ref="I410">IF($E410="","", XLOOKUP(SUMIFS(Prod_Prop!$A:$A,Prod_Prop!$B:$B,$E410,Prod_Prop!$H:$H,I$1,Prod_Prop!$I:$I,"Exacto"),Prod_Prop!$A:$A,Prod_Prop!$J:$J,"",0,1))</f>
        <v/>
      </c>
      <c r="J410" s="4" t="str">
        <f t="array" ref="J410">IF($E410="","", XLOOKUP(SUMIFS(Prod_Prop!$A:$A,Prod_Prop!$B:$B,$E410,Prod_Prop!$H:$H,J$1,Prod_Prop!$I:$I,"Exacto"),Prod_Prop!$A:$A,Prod_Prop!$J:$J,"",0,1))</f>
        <v/>
      </c>
      <c r="K410" s="4" t="str">
        <f t="array" ref="K410">IF($E410="","", XLOOKUP(SUMIFS(Prod_Prop!$A:$A,Prod_Prop!$B:$B,$E410,Prod_Prop!$H:$H,K$1,Prod_Prop!$I:$I,"Exacto"),Prod_Prop!$A:$A,Prod_Prop!$J:$J,"",0,1))</f>
        <v/>
      </c>
      <c r="L410" s="4" t="str">
        <f t="array" ref="L410">IF($E410="","", XLOOKUP(SUMIFS(Prod_Prop!$A:$A,Prod_Prop!$B:$B,$E410,Prod_Prop!$H:$H,L$1,Prod_Prop!$I:$I,"Exacto"),Prod_Prop!$A:$A,Prod_Prop!$J:$J,"",0,1))</f>
        <v/>
      </c>
      <c r="M410" s="4" t="str">
        <f t="array" ref="M410">IF($E410="","", XLOOKUP(SUMIFS(Prod_Prop!$A:$A,Prod_Prop!$B:$B,$E410,Prod_Prop!$H:$H,M$1,Prod_Prop!$I:$I,"Exacto"),Prod_Prop!$A:$A,Prod_Prop!$J:$J,"",0,1))</f>
        <v/>
      </c>
      <c r="N410" s="4" t="str">
        <f t="array" ref="N410">IF($E410="","", XLOOKUP(SUMIFS(Prod_Prop!$A:$A,Prod_Prop!$B:$B,$E410,Prod_Prop!$H:$H,N$1,Prod_Prop!$I:$I,"Exacto"),Prod_Prop!$A:$A,Prod_Prop!$J:$J,"",0,1))</f>
        <v/>
      </c>
      <c r="O410" s="4" t="str">
        <f t="array" ref="O410">IF($E410="","", XLOOKUP(SUMIFS(Prod_Prop!$A:$A,Prod_Prop!$B:$B,$E410,Prod_Prop!$H:$H,O$1,Prod_Prop!$I:$I,"Exacto"),Prod_Prop!$A:$A,Prod_Prop!$J:$J,"",0,1))</f>
        <v/>
      </c>
      <c r="P410" s="4" t="str">
        <f t="array" ref="P410">IF($E410="","", XLOOKUP(SUMIFS(Prod_Prop!$A:$A,Prod_Prop!$B:$B,$E410,Prod_Prop!$H:$H,P$1,Prod_Prop!$I:$I,"Exacto"),Prod_Prop!$A:$A,Prod_Prop!$J:$J,"",0,1))</f>
        <v/>
      </c>
      <c r="Q410" s="4" t="str">
        <f t="array" ref="Q410">IF($E410="","", XLOOKUP(SUMIFS(Prod_Prop!$A:$A,Prod_Prop!$B:$B,$E410,Prod_Prop!$H:$H,Q$1,Prod_Prop!$I:$I,"Exacto"),Prod_Prop!$A:$A,Prod_Prop!$J:$J,"",0,1))</f>
        <v/>
      </c>
      <c r="R410" s="4" t="str">
        <f t="array" ref="R410">IF($E410="","", XLOOKUP(SUMIFS(Prod_Prop!$A:$A,Prod_Prop!$B:$B,$E410,Prod_Prop!$H:$H,R$1,Prod_Prop!$I:$I,"Exacto"),Prod_Prop!$A:$A,Prod_Prop!$J:$J,"",0,1))</f>
        <v/>
      </c>
      <c r="S410" s="4" t="str">
        <f t="array" ref="S410">IF($E410="","", XLOOKUP(SUMIFS(Prod_Prop!$A:$A,Prod_Prop!$B:$B,$E410,Prod_Prop!$H:$H,S$1,Prod_Prop!$I:$I,"Exacto"),Prod_Prop!$A:$A,Prod_Prop!$J:$J,"",0,1))</f>
        <v/>
      </c>
      <c r="T410" s="4" t="str">
        <f t="array" ref="T410">IF($E410="","", XLOOKUP(SUMIFS(Prod_Prop!$A:$A,Prod_Prop!$B:$B,$E410,Prod_Prop!$H:$H,T$1,Prod_Prop!$I:$I,"Exacto"),Prod_Prop!$A:$A,Prod_Prop!$J:$J,"",0,1))</f>
        <v/>
      </c>
      <c r="U410" s="4" t="str">
        <f t="array" ref="U410">IF($E410="","", XLOOKUP(SUMIFS(Prod_Prop!$A:$A,Prod_Prop!$B:$B,$E410,Prod_Prop!$H:$H,U$1,Prod_Prop!$I:$I,"Exacto"),Prod_Prop!$A:$A,Prod_Prop!$J:$J,"",0,1))</f>
        <v/>
      </c>
      <c r="V410" s="4" t="str">
        <f t="array" ref="V410">IF($E410="","", XLOOKUP(SUMIFS(Prod_Prop!$A:$A,Prod_Prop!$B:$B,$E410,Prod_Prop!$H:$H,V$1,Prod_Prop!$I:$I,"Exacto"),Prod_Prop!$A:$A,Prod_Prop!$J:$J,"",0,1))</f>
        <v/>
      </c>
      <c r="X410" s="3" t="str">
        <f>IFERROR(__xludf.DUMMYFUNCTION("IF(D410="""","""",IFERROR(TRANSPOSE(FILTER('Validaciones Cotizador'!U:U,'Validaciones Cotizador'!O:O=D410,'Validaciones Cotizador'!T:T=""x"")),""Finalizar""))"),"")</f>
        <v/>
      </c>
    </row>
    <row r="411">
      <c r="A411" s="2" t="str">
        <f t="array" ref="A411">IF(E411="","",XLOOKUP(D411,'Validaciones Cotizador'!C:C,'Validaciones Cotizador'!A:A,"",0,1))</f>
        <v/>
      </c>
      <c r="B411" s="2" t="str">
        <f t="array" ref="B411">IF(F411="","",XLOOKUP(F411,Productos!E:E,Productos!G:G,"",0,1))</f>
        <v/>
      </c>
      <c r="C411" s="2" t="str">
        <f>IF(A411="","",SUMIFS('Validaciones Cotizador'!B:B,'Validaciones Cotizador'!C:C,D411,'Validaciones Cotizador'!A:A,A411))</f>
        <v/>
      </c>
      <c r="D411" s="4" t="str">
        <f>IFERROR(__xludf.DUMMYFUNCTION("IF(OR(F410=""Finalizar"",F410="""",F410=""Selecciona..""),"""",IF(OR(F410=""-"",INDEX(filter(Familias!F:F,Familias!D:D=A410,Familias!E:E=C410),1)=""O""),D410+1,D410))"),"")</f>
        <v/>
      </c>
      <c r="E411" s="2" t="str">
        <f>IF(OR(F411="",F411="Selecciona.."),"",IF(D411="Implemento",SUMIF(Implementos!B:B,F411,Implementos!A:A),SUMIF(Productos!E:E,F411,Productos!A:A)))</f>
        <v/>
      </c>
      <c r="F411" s="2" t="str">
        <f t="shared" si="2"/>
        <v/>
      </c>
      <c r="G411" s="10" t="str">
        <f t="array" ref="G411">IF(OR(F411="",F411="-",F411="Selecciona..",F411="Finalizar"),"",IF(A411="Rodados",XLOOKUP(B411,'Validaciones Cotizador'!I:I,'Validaciones Cotizador'!J:J,0,0,1),1))</f>
        <v/>
      </c>
      <c r="H411" s="11" t="str">
        <f>IF(OR(F411="",F411="Selecciona.."),"",SUMIF(Precio_Productos!K:K,E411,Precio_Productos!J:J)*G411)</f>
        <v/>
      </c>
      <c r="I411" s="4" t="str">
        <f t="array" ref="I411">IF($E411="","", XLOOKUP(SUMIFS(Prod_Prop!$A:$A,Prod_Prop!$B:$B,$E411,Prod_Prop!$H:$H,I$1,Prod_Prop!$I:$I,"Exacto"),Prod_Prop!$A:$A,Prod_Prop!$J:$J,"",0,1))</f>
        <v/>
      </c>
      <c r="J411" s="4" t="str">
        <f t="array" ref="J411">IF($E411="","", XLOOKUP(SUMIFS(Prod_Prop!$A:$A,Prod_Prop!$B:$B,$E411,Prod_Prop!$H:$H,J$1,Prod_Prop!$I:$I,"Exacto"),Prod_Prop!$A:$A,Prod_Prop!$J:$J,"",0,1))</f>
        <v/>
      </c>
      <c r="K411" s="4" t="str">
        <f t="array" ref="K411">IF($E411="","", XLOOKUP(SUMIFS(Prod_Prop!$A:$A,Prod_Prop!$B:$B,$E411,Prod_Prop!$H:$H,K$1,Prod_Prop!$I:$I,"Exacto"),Prod_Prop!$A:$A,Prod_Prop!$J:$J,"",0,1))</f>
        <v/>
      </c>
      <c r="L411" s="4" t="str">
        <f t="array" ref="L411">IF($E411="","", XLOOKUP(SUMIFS(Prod_Prop!$A:$A,Prod_Prop!$B:$B,$E411,Prod_Prop!$H:$H,L$1,Prod_Prop!$I:$I,"Exacto"),Prod_Prop!$A:$A,Prod_Prop!$J:$J,"",0,1))</f>
        <v/>
      </c>
      <c r="M411" s="4" t="str">
        <f t="array" ref="M411">IF($E411="","", XLOOKUP(SUMIFS(Prod_Prop!$A:$A,Prod_Prop!$B:$B,$E411,Prod_Prop!$H:$H,M$1,Prod_Prop!$I:$I,"Exacto"),Prod_Prop!$A:$A,Prod_Prop!$J:$J,"",0,1))</f>
        <v/>
      </c>
      <c r="N411" s="4" t="str">
        <f t="array" ref="N411">IF($E411="","", XLOOKUP(SUMIFS(Prod_Prop!$A:$A,Prod_Prop!$B:$B,$E411,Prod_Prop!$H:$H,N$1,Prod_Prop!$I:$I,"Exacto"),Prod_Prop!$A:$A,Prod_Prop!$J:$J,"",0,1))</f>
        <v/>
      </c>
      <c r="O411" s="4" t="str">
        <f t="array" ref="O411">IF($E411="","", XLOOKUP(SUMIFS(Prod_Prop!$A:$A,Prod_Prop!$B:$B,$E411,Prod_Prop!$H:$H,O$1,Prod_Prop!$I:$I,"Exacto"),Prod_Prop!$A:$A,Prod_Prop!$J:$J,"",0,1))</f>
        <v/>
      </c>
      <c r="P411" s="4" t="str">
        <f t="array" ref="P411">IF($E411="","", XLOOKUP(SUMIFS(Prod_Prop!$A:$A,Prod_Prop!$B:$B,$E411,Prod_Prop!$H:$H,P$1,Prod_Prop!$I:$I,"Exacto"),Prod_Prop!$A:$A,Prod_Prop!$J:$J,"",0,1))</f>
        <v/>
      </c>
      <c r="Q411" s="4" t="str">
        <f t="array" ref="Q411">IF($E411="","", XLOOKUP(SUMIFS(Prod_Prop!$A:$A,Prod_Prop!$B:$B,$E411,Prod_Prop!$H:$H,Q$1,Prod_Prop!$I:$I,"Exacto"),Prod_Prop!$A:$A,Prod_Prop!$J:$J,"",0,1))</f>
        <v/>
      </c>
      <c r="R411" s="4" t="str">
        <f t="array" ref="R411">IF($E411="","", XLOOKUP(SUMIFS(Prod_Prop!$A:$A,Prod_Prop!$B:$B,$E411,Prod_Prop!$H:$H,R$1,Prod_Prop!$I:$I,"Exacto"),Prod_Prop!$A:$A,Prod_Prop!$J:$J,"",0,1))</f>
        <v/>
      </c>
      <c r="S411" s="4" t="str">
        <f t="array" ref="S411">IF($E411="","", XLOOKUP(SUMIFS(Prod_Prop!$A:$A,Prod_Prop!$B:$B,$E411,Prod_Prop!$H:$H,S$1,Prod_Prop!$I:$I,"Exacto"),Prod_Prop!$A:$A,Prod_Prop!$J:$J,"",0,1))</f>
        <v/>
      </c>
      <c r="T411" s="4" t="str">
        <f t="array" ref="T411">IF($E411="","", XLOOKUP(SUMIFS(Prod_Prop!$A:$A,Prod_Prop!$B:$B,$E411,Prod_Prop!$H:$H,T$1,Prod_Prop!$I:$I,"Exacto"),Prod_Prop!$A:$A,Prod_Prop!$J:$J,"",0,1))</f>
        <v/>
      </c>
      <c r="U411" s="4" t="str">
        <f t="array" ref="U411">IF($E411="","", XLOOKUP(SUMIFS(Prod_Prop!$A:$A,Prod_Prop!$B:$B,$E411,Prod_Prop!$H:$H,U$1,Prod_Prop!$I:$I,"Exacto"),Prod_Prop!$A:$A,Prod_Prop!$J:$J,"",0,1))</f>
        <v/>
      </c>
      <c r="V411" s="4" t="str">
        <f t="array" ref="V411">IF($E411="","", XLOOKUP(SUMIFS(Prod_Prop!$A:$A,Prod_Prop!$B:$B,$E411,Prod_Prop!$H:$H,V$1,Prod_Prop!$I:$I,"Exacto"),Prod_Prop!$A:$A,Prod_Prop!$J:$J,"",0,1))</f>
        <v/>
      </c>
      <c r="X411" s="3" t="str">
        <f>IFERROR(__xludf.DUMMYFUNCTION("IF(D411="""","""",IFERROR(TRANSPOSE(FILTER('Validaciones Cotizador'!U:U,'Validaciones Cotizador'!O:O=D411,'Validaciones Cotizador'!T:T=""x"")),""Finalizar""))"),"")</f>
        <v/>
      </c>
    </row>
    <row r="412">
      <c r="A412" s="2" t="str">
        <f t="array" ref="A412">IF(E412="","",XLOOKUP(D412,'Validaciones Cotizador'!C:C,'Validaciones Cotizador'!A:A,"",0,1))</f>
        <v/>
      </c>
      <c r="B412" s="2" t="str">
        <f t="array" ref="B412">IF(F412="","",XLOOKUP(F412,Productos!E:E,Productos!G:G,"",0,1))</f>
        <v/>
      </c>
      <c r="C412" s="2" t="str">
        <f>IF(A412="","",SUMIFS('Validaciones Cotizador'!B:B,'Validaciones Cotizador'!C:C,D412,'Validaciones Cotizador'!A:A,A412))</f>
        <v/>
      </c>
      <c r="D412" s="4" t="str">
        <f>IFERROR(__xludf.DUMMYFUNCTION("IF(OR(F411=""Finalizar"",F411="""",F411=""Selecciona..""),"""",IF(OR(F411=""-"",INDEX(filter(Familias!F:F,Familias!D:D=A411,Familias!E:E=C411),1)=""O""),D411+1,D411))"),"")</f>
        <v/>
      </c>
      <c r="E412" s="2" t="str">
        <f>IF(OR(F412="",F412="Selecciona.."),"",IF(D412="Implemento",SUMIF(Implementos!B:B,F412,Implementos!A:A),SUMIF(Productos!E:E,F412,Productos!A:A)))</f>
        <v/>
      </c>
      <c r="F412" s="2" t="str">
        <f t="shared" si="2"/>
        <v/>
      </c>
      <c r="G412" s="10" t="str">
        <f t="array" ref="G412">IF(OR(F412="",F412="-",F412="Selecciona..",F412="Finalizar"),"",IF(A412="Rodados",XLOOKUP(B412,'Validaciones Cotizador'!I:I,'Validaciones Cotizador'!J:J,0,0,1),1))</f>
        <v/>
      </c>
      <c r="H412" s="11" t="str">
        <f>IF(OR(F412="",F412="Selecciona.."),"",SUMIF(Precio_Productos!K:K,E412,Precio_Productos!J:J)*G412)</f>
        <v/>
      </c>
      <c r="I412" s="4" t="str">
        <f t="array" ref="I412">IF($E412="","", XLOOKUP(SUMIFS(Prod_Prop!$A:$A,Prod_Prop!$B:$B,$E412,Prod_Prop!$H:$H,I$1,Prod_Prop!$I:$I,"Exacto"),Prod_Prop!$A:$A,Prod_Prop!$J:$J,"",0,1))</f>
        <v/>
      </c>
      <c r="J412" s="4" t="str">
        <f t="array" ref="J412">IF($E412="","", XLOOKUP(SUMIFS(Prod_Prop!$A:$A,Prod_Prop!$B:$B,$E412,Prod_Prop!$H:$H,J$1,Prod_Prop!$I:$I,"Exacto"),Prod_Prop!$A:$A,Prod_Prop!$J:$J,"",0,1))</f>
        <v/>
      </c>
      <c r="K412" s="4" t="str">
        <f t="array" ref="K412">IF($E412="","", XLOOKUP(SUMIFS(Prod_Prop!$A:$A,Prod_Prop!$B:$B,$E412,Prod_Prop!$H:$H,K$1,Prod_Prop!$I:$I,"Exacto"),Prod_Prop!$A:$A,Prod_Prop!$J:$J,"",0,1))</f>
        <v/>
      </c>
      <c r="L412" s="4" t="str">
        <f t="array" ref="L412">IF($E412="","", XLOOKUP(SUMIFS(Prod_Prop!$A:$A,Prod_Prop!$B:$B,$E412,Prod_Prop!$H:$H,L$1,Prod_Prop!$I:$I,"Exacto"),Prod_Prop!$A:$A,Prod_Prop!$J:$J,"",0,1))</f>
        <v/>
      </c>
      <c r="M412" s="4" t="str">
        <f t="array" ref="M412">IF($E412="","", XLOOKUP(SUMIFS(Prod_Prop!$A:$A,Prod_Prop!$B:$B,$E412,Prod_Prop!$H:$H,M$1,Prod_Prop!$I:$I,"Exacto"),Prod_Prop!$A:$A,Prod_Prop!$J:$J,"",0,1))</f>
        <v/>
      </c>
      <c r="N412" s="4" t="str">
        <f t="array" ref="N412">IF($E412="","", XLOOKUP(SUMIFS(Prod_Prop!$A:$A,Prod_Prop!$B:$B,$E412,Prod_Prop!$H:$H,N$1,Prod_Prop!$I:$I,"Exacto"),Prod_Prop!$A:$A,Prod_Prop!$J:$J,"",0,1))</f>
        <v/>
      </c>
      <c r="O412" s="4" t="str">
        <f t="array" ref="O412">IF($E412="","", XLOOKUP(SUMIFS(Prod_Prop!$A:$A,Prod_Prop!$B:$B,$E412,Prod_Prop!$H:$H,O$1,Prod_Prop!$I:$I,"Exacto"),Prod_Prop!$A:$A,Prod_Prop!$J:$J,"",0,1))</f>
        <v/>
      </c>
      <c r="P412" s="4" t="str">
        <f t="array" ref="P412">IF($E412="","", XLOOKUP(SUMIFS(Prod_Prop!$A:$A,Prod_Prop!$B:$B,$E412,Prod_Prop!$H:$H,P$1,Prod_Prop!$I:$I,"Exacto"),Prod_Prop!$A:$A,Prod_Prop!$J:$J,"",0,1))</f>
        <v/>
      </c>
      <c r="Q412" s="4" t="str">
        <f t="array" ref="Q412">IF($E412="","", XLOOKUP(SUMIFS(Prod_Prop!$A:$A,Prod_Prop!$B:$B,$E412,Prod_Prop!$H:$H,Q$1,Prod_Prop!$I:$I,"Exacto"),Prod_Prop!$A:$A,Prod_Prop!$J:$J,"",0,1))</f>
        <v/>
      </c>
      <c r="R412" s="4" t="str">
        <f t="array" ref="R412">IF($E412="","", XLOOKUP(SUMIFS(Prod_Prop!$A:$A,Prod_Prop!$B:$B,$E412,Prod_Prop!$H:$H,R$1,Prod_Prop!$I:$I,"Exacto"),Prod_Prop!$A:$A,Prod_Prop!$J:$J,"",0,1))</f>
        <v/>
      </c>
      <c r="S412" s="4" t="str">
        <f t="array" ref="S412">IF($E412="","", XLOOKUP(SUMIFS(Prod_Prop!$A:$A,Prod_Prop!$B:$B,$E412,Prod_Prop!$H:$H,S$1,Prod_Prop!$I:$I,"Exacto"),Prod_Prop!$A:$A,Prod_Prop!$J:$J,"",0,1))</f>
        <v/>
      </c>
      <c r="T412" s="4" t="str">
        <f t="array" ref="T412">IF($E412="","", XLOOKUP(SUMIFS(Prod_Prop!$A:$A,Prod_Prop!$B:$B,$E412,Prod_Prop!$H:$H,T$1,Prod_Prop!$I:$I,"Exacto"),Prod_Prop!$A:$A,Prod_Prop!$J:$J,"",0,1))</f>
        <v/>
      </c>
      <c r="U412" s="4" t="str">
        <f t="array" ref="U412">IF($E412="","", XLOOKUP(SUMIFS(Prod_Prop!$A:$A,Prod_Prop!$B:$B,$E412,Prod_Prop!$H:$H,U$1,Prod_Prop!$I:$I,"Exacto"),Prod_Prop!$A:$A,Prod_Prop!$J:$J,"",0,1))</f>
        <v/>
      </c>
      <c r="V412" s="4" t="str">
        <f t="array" ref="V412">IF($E412="","", XLOOKUP(SUMIFS(Prod_Prop!$A:$A,Prod_Prop!$B:$B,$E412,Prod_Prop!$H:$H,V$1,Prod_Prop!$I:$I,"Exacto"),Prod_Prop!$A:$A,Prod_Prop!$J:$J,"",0,1))</f>
        <v/>
      </c>
      <c r="X412" s="3" t="str">
        <f>IFERROR(__xludf.DUMMYFUNCTION("IF(D412="""","""",IFERROR(TRANSPOSE(FILTER('Validaciones Cotizador'!U:U,'Validaciones Cotizador'!O:O=D412,'Validaciones Cotizador'!T:T=""x"")),""Finalizar""))"),"")</f>
        <v/>
      </c>
    </row>
    <row r="413">
      <c r="A413" s="2" t="str">
        <f t="array" ref="A413">IF(E413="","",XLOOKUP(D413,'Validaciones Cotizador'!C:C,'Validaciones Cotizador'!A:A,"",0,1))</f>
        <v/>
      </c>
      <c r="B413" s="2" t="str">
        <f t="array" ref="B413">IF(F413="","",XLOOKUP(F413,Productos!E:E,Productos!G:G,"",0,1))</f>
        <v/>
      </c>
      <c r="C413" s="2" t="str">
        <f>IF(A413="","",SUMIFS('Validaciones Cotizador'!B:B,'Validaciones Cotizador'!C:C,D413,'Validaciones Cotizador'!A:A,A413))</f>
        <v/>
      </c>
      <c r="D413" s="4" t="str">
        <f>IFERROR(__xludf.DUMMYFUNCTION("IF(OR(F412=""Finalizar"",F412="""",F412=""Selecciona..""),"""",IF(OR(F412=""-"",INDEX(filter(Familias!F:F,Familias!D:D=A412,Familias!E:E=C412),1)=""O""),D412+1,D412))"),"")</f>
        <v/>
      </c>
      <c r="E413" s="2" t="str">
        <f>IF(OR(F413="",F413="Selecciona.."),"",IF(D413="Implemento",SUMIF(Implementos!B:B,F413,Implementos!A:A),SUMIF(Productos!E:E,F413,Productos!A:A)))</f>
        <v/>
      </c>
      <c r="F413" s="2" t="str">
        <f t="shared" si="2"/>
        <v/>
      </c>
      <c r="G413" s="10" t="str">
        <f t="array" ref="G413">IF(OR(F413="",F413="-",F413="Selecciona..",F413="Finalizar"),"",IF(A413="Rodados",XLOOKUP(B413,'Validaciones Cotizador'!I:I,'Validaciones Cotizador'!J:J,0,0,1),1))</f>
        <v/>
      </c>
      <c r="H413" s="11" t="str">
        <f>IF(OR(F413="",F413="Selecciona.."),"",SUMIF(Precio_Productos!K:K,E413,Precio_Productos!J:J)*G413)</f>
        <v/>
      </c>
      <c r="I413" s="4" t="str">
        <f t="array" ref="I413">IF($E413="","", XLOOKUP(SUMIFS(Prod_Prop!$A:$A,Prod_Prop!$B:$B,$E413,Prod_Prop!$H:$H,I$1,Prod_Prop!$I:$I,"Exacto"),Prod_Prop!$A:$A,Prod_Prop!$J:$J,"",0,1))</f>
        <v/>
      </c>
      <c r="J413" s="4" t="str">
        <f t="array" ref="J413">IF($E413="","", XLOOKUP(SUMIFS(Prod_Prop!$A:$A,Prod_Prop!$B:$B,$E413,Prod_Prop!$H:$H,J$1,Prod_Prop!$I:$I,"Exacto"),Prod_Prop!$A:$A,Prod_Prop!$J:$J,"",0,1))</f>
        <v/>
      </c>
      <c r="K413" s="4" t="str">
        <f t="array" ref="K413">IF($E413="","", XLOOKUP(SUMIFS(Prod_Prop!$A:$A,Prod_Prop!$B:$B,$E413,Prod_Prop!$H:$H,K$1,Prod_Prop!$I:$I,"Exacto"),Prod_Prop!$A:$A,Prod_Prop!$J:$J,"",0,1))</f>
        <v/>
      </c>
      <c r="L413" s="4" t="str">
        <f t="array" ref="L413">IF($E413="","", XLOOKUP(SUMIFS(Prod_Prop!$A:$A,Prod_Prop!$B:$B,$E413,Prod_Prop!$H:$H,L$1,Prod_Prop!$I:$I,"Exacto"),Prod_Prop!$A:$A,Prod_Prop!$J:$J,"",0,1))</f>
        <v/>
      </c>
      <c r="M413" s="4" t="str">
        <f t="array" ref="M413">IF($E413="","", XLOOKUP(SUMIFS(Prod_Prop!$A:$A,Prod_Prop!$B:$B,$E413,Prod_Prop!$H:$H,M$1,Prod_Prop!$I:$I,"Exacto"),Prod_Prop!$A:$A,Prod_Prop!$J:$J,"",0,1))</f>
        <v/>
      </c>
      <c r="N413" s="4" t="str">
        <f t="array" ref="N413">IF($E413="","", XLOOKUP(SUMIFS(Prod_Prop!$A:$A,Prod_Prop!$B:$B,$E413,Prod_Prop!$H:$H,N$1,Prod_Prop!$I:$I,"Exacto"),Prod_Prop!$A:$A,Prod_Prop!$J:$J,"",0,1))</f>
        <v/>
      </c>
      <c r="O413" s="4" t="str">
        <f t="array" ref="O413">IF($E413="","", XLOOKUP(SUMIFS(Prod_Prop!$A:$A,Prod_Prop!$B:$B,$E413,Prod_Prop!$H:$H,O$1,Prod_Prop!$I:$I,"Exacto"),Prod_Prop!$A:$A,Prod_Prop!$J:$J,"",0,1))</f>
        <v/>
      </c>
      <c r="P413" s="4" t="str">
        <f t="array" ref="P413">IF($E413="","", XLOOKUP(SUMIFS(Prod_Prop!$A:$A,Prod_Prop!$B:$B,$E413,Prod_Prop!$H:$H,P$1,Prod_Prop!$I:$I,"Exacto"),Prod_Prop!$A:$A,Prod_Prop!$J:$J,"",0,1))</f>
        <v/>
      </c>
      <c r="Q413" s="4" t="str">
        <f t="array" ref="Q413">IF($E413="","", XLOOKUP(SUMIFS(Prod_Prop!$A:$A,Prod_Prop!$B:$B,$E413,Prod_Prop!$H:$H,Q$1,Prod_Prop!$I:$I,"Exacto"),Prod_Prop!$A:$A,Prod_Prop!$J:$J,"",0,1))</f>
        <v/>
      </c>
      <c r="R413" s="4" t="str">
        <f t="array" ref="R413">IF($E413="","", XLOOKUP(SUMIFS(Prod_Prop!$A:$A,Prod_Prop!$B:$B,$E413,Prod_Prop!$H:$H,R$1,Prod_Prop!$I:$I,"Exacto"),Prod_Prop!$A:$A,Prod_Prop!$J:$J,"",0,1))</f>
        <v/>
      </c>
      <c r="S413" s="4" t="str">
        <f t="array" ref="S413">IF($E413="","", XLOOKUP(SUMIFS(Prod_Prop!$A:$A,Prod_Prop!$B:$B,$E413,Prod_Prop!$H:$H,S$1,Prod_Prop!$I:$I,"Exacto"),Prod_Prop!$A:$A,Prod_Prop!$J:$J,"",0,1))</f>
        <v/>
      </c>
      <c r="T413" s="4" t="str">
        <f t="array" ref="T413">IF($E413="","", XLOOKUP(SUMIFS(Prod_Prop!$A:$A,Prod_Prop!$B:$B,$E413,Prod_Prop!$H:$H,T$1,Prod_Prop!$I:$I,"Exacto"),Prod_Prop!$A:$A,Prod_Prop!$J:$J,"",0,1))</f>
        <v/>
      </c>
      <c r="U413" s="4" t="str">
        <f t="array" ref="U413">IF($E413="","", XLOOKUP(SUMIFS(Prod_Prop!$A:$A,Prod_Prop!$B:$B,$E413,Prod_Prop!$H:$H,U$1,Prod_Prop!$I:$I,"Exacto"),Prod_Prop!$A:$A,Prod_Prop!$J:$J,"",0,1))</f>
        <v/>
      </c>
      <c r="V413" s="4" t="str">
        <f t="array" ref="V413">IF($E413="","", XLOOKUP(SUMIFS(Prod_Prop!$A:$A,Prod_Prop!$B:$B,$E413,Prod_Prop!$H:$H,V$1,Prod_Prop!$I:$I,"Exacto"),Prod_Prop!$A:$A,Prod_Prop!$J:$J,"",0,1))</f>
        <v/>
      </c>
      <c r="X413" s="3" t="str">
        <f>IFERROR(__xludf.DUMMYFUNCTION("IF(D413="""","""",IFERROR(TRANSPOSE(FILTER('Validaciones Cotizador'!U:U,'Validaciones Cotizador'!O:O=D413,'Validaciones Cotizador'!T:T=""x"")),""Finalizar""))"),"")</f>
        <v/>
      </c>
    </row>
    <row r="414">
      <c r="A414" s="2" t="str">
        <f t="array" ref="A414">IF(E414="","",XLOOKUP(D414,'Validaciones Cotizador'!C:C,'Validaciones Cotizador'!A:A,"",0,1))</f>
        <v/>
      </c>
      <c r="B414" s="2" t="str">
        <f t="array" ref="B414">IF(F414="","",XLOOKUP(F414,Productos!E:E,Productos!G:G,"",0,1))</f>
        <v/>
      </c>
      <c r="C414" s="2" t="str">
        <f>IF(A414="","",SUMIFS('Validaciones Cotizador'!B:B,'Validaciones Cotizador'!C:C,D414,'Validaciones Cotizador'!A:A,A414))</f>
        <v/>
      </c>
      <c r="D414" s="4" t="str">
        <f>IFERROR(__xludf.DUMMYFUNCTION("IF(OR(F413=""Finalizar"",F413="""",F413=""Selecciona..""),"""",IF(OR(F413=""-"",INDEX(filter(Familias!F:F,Familias!D:D=A413,Familias!E:E=C413),1)=""O""),D413+1,D413))"),"")</f>
        <v/>
      </c>
      <c r="E414" s="2" t="str">
        <f>IF(OR(F414="",F414="Selecciona.."),"",IF(D414="Implemento",SUMIF(Implementos!B:B,F414,Implementos!A:A),SUMIF(Productos!E:E,F414,Productos!A:A)))</f>
        <v/>
      </c>
      <c r="F414" s="2" t="str">
        <f t="shared" si="2"/>
        <v/>
      </c>
      <c r="G414" s="10" t="str">
        <f t="array" ref="G414">IF(OR(F414="",F414="-",F414="Selecciona..",F414="Finalizar"),"",IF(A414="Rodados",XLOOKUP(B414,'Validaciones Cotizador'!I:I,'Validaciones Cotizador'!J:J,0,0,1),1))</f>
        <v/>
      </c>
      <c r="H414" s="11" t="str">
        <f>IF(OR(F414="",F414="Selecciona.."),"",SUMIF(Precio_Productos!K:K,E414,Precio_Productos!J:J)*G414)</f>
        <v/>
      </c>
      <c r="I414" s="4" t="str">
        <f t="array" ref="I414">IF($E414="","", XLOOKUP(SUMIFS(Prod_Prop!$A:$A,Prod_Prop!$B:$B,$E414,Prod_Prop!$H:$H,I$1,Prod_Prop!$I:$I,"Exacto"),Prod_Prop!$A:$A,Prod_Prop!$J:$J,"",0,1))</f>
        <v/>
      </c>
      <c r="J414" s="4" t="str">
        <f t="array" ref="J414">IF($E414="","", XLOOKUP(SUMIFS(Prod_Prop!$A:$A,Prod_Prop!$B:$B,$E414,Prod_Prop!$H:$H,J$1,Prod_Prop!$I:$I,"Exacto"),Prod_Prop!$A:$A,Prod_Prop!$J:$J,"",0,1))</f>
        <v/>
      </c>
      <c r="K414" s="4" t="str">
        <f t="array" ref="K414">IF($E414="","", XLOOKUP(SUMIFS(Prod_Prop!$A:$A,Prod_Prop!$B:$B,$E414,Prod_Prop!$H:$H,K$1,Prod_Prop!$I:$I,"Exacto"),Prod_Prop!$A:$A,Prod_Prop!$J:$J,"",0,1))</f>
        <v/>
      </c>
      <c r="L414" s="4" t="str">
        <f t="array" ref="L414">IF($E414="","", XLOOKUP(SUMIFS(Prod_Prop!$A:$A,Prod_Prop!$B:$B,$E414,Prod_Prop!$H:$H,L$1,Prod_Prop!$I:$I,"Exacto"),Prod_Prop!$A:$A,Prod_Prop!$J:$J,"",0,1))</f>
        <v/>
      </c>
      <c r="M414" s="4" t="str">
        <f t="array" ref="M414">IF($E414="","", XLOOKUP(SUMIFS(Prod_Prop!$A:$A,Prod_Prop!$B:$B,$E414,Prod_Prop!$H:$H,M$1,Prod_Prop!$I:$I,"Exacto"),Prod_Prop!$A:$A,Prod_Prop!$J:$J,"",0,1))</f>
        <v/>
      </c>
      <c r="N414" s="4" t="str">
        <f t="array" ref="N414">IF($E414="","", XLOOKUP(SUMIFS(Prod_Prop!$A:$A,Prod_Prop!$B:$B,$E414,Prod_Prop!$H:$H,N$1,Prod_Prop!$I:$I,"Exacto"),Prod_Prop!$A:$A,Prod_Prop!$J:$J,"",0,1))</f>
        <v/>
      </c>
      <c r="O414" s="4" t="str">
        <f t="array" ref="O414">IF($E414="","", XLOOKUP(SUMIFS(Prod_Prop!$A:$A,Prod_Prop!$B:$B,$E414,Prod_Prop!$H:$H,O$1,Prod_Prop!$I:$I,"Exacto"),Prod_Prop!$A:$A,Prod_Prop!$J:$J,"",0,1))</f>
        <v/>
      </c>
      <c r="P414" s="4" t="str">
        <f t="array" ref="P414">IF($E414="","", XLOOKUP(SUMIFS(Prod_Prop!$A:$A,Prod_Prop!$B:$B,$E414,Prod_Prop!$H:$H,P$1,Prod_Prop!$I:$I,"Exacto"),Prod_Prop!$A:$A,Prod_Prop!$J:$J,"",0,1))</f>
        <v/>
      </c>
      <c r="Q414" s="4" t="str">
        <f t="array" ref="Q414">IF($E414="","", XLOOKUP(SUMIFS(Prod_Prop!$A:$A,Prod_Prop!$B:$B,$E414,Prod_Prop!$H:$H,Q$1,Prod_Prop!$I:$I,"Exacto"),Prod_Prop!$A:$A,Prod_Prop!$J:$J,"",0,1))</f>
        <v/>
      </c>
      <c r="R414" s="4" t="str">
        <f t="array" ref="R414">IF($E414="","", XLOOKUP(SUMIFS(Prod_Prop!$A:$A,Prod_Prop!$B:$B,$E414,Prod_Prop!$H:$H,R$1,Prod_Prop!$I:$I,"Exacto"),Prod_Prop!$A:$A,Prod_Prop!$J:$J,"",0,1))</f>
        <v/>
      </c>
      <c r="S414" s="4" t="str">
        <f t="array" ref="S414">IF($E414="","", XLOOKUP(SUMIFS(Prod_Prop!$A:$A,Prod_Prop!$B:$B,$E414,Prod_Prop!$H:$H,S$1,Prod_Prop!$I:$I,"Exacto"),Prod_Prop!$A:$A,Prod_Prop!$J:$J,"",0,1))</f>
        <v/>
      </c>
      <c r="T414" s="4" t="str">
        <f t="array" ref="T414">IF($E414="","", XLOOKUP(SUMIFS(Prod_Prop!$A:$A,Prod_Prop!$B:$B,$E414,Prod_Prop!$H:$H,T$1,Prod_Prop!$I:$I,"Exacto"),Prod_Prop!$A:$A,Prod_Prop!$J:$J,"",0,1))</f>
        <v/>
      </c>
      <c r="U414" s="4" t="str">
        <f t="array" ref="U414">IF($E414="","", XLOOKUP(SUMIFS(Prod_Prop!$A:$A,Prod_Prop!$B:$B,$E414,Prod_Prop!$H:$H,U$1,Prod_Prop!$I:$I,"Exacto"),Prod_Prop!$A:$A,Prod_Prop!$J:$J,"",0,1))</f>
        <v/>
      </c>
      <c r="V414" s="4" t="str">
        <f t="array" ref="V414">IF($E414="","", XLOOKUP(SUMIFS(Prod_Prop!$A:$A,Prod_Prop!$B:$B,$E414,Prod_Prop!$H:$H,V$1,Prod_Prop!$I:$I,"Exacto"),Prod_Prop!$A:$A,Prod_Prop!$J:$J,"",0,1))</f>
        <v/>
      </c>
      <c r="X414" s="3" t="str">
        <f>IFERROR(__xludf.DUMMYFUNCTION("IF(D414="""","""",IFERROR(TRANSPOSE(FILTER('Validaciones Cotizador'!U:U,'Validaciones Cotizador'!O:O=D414,'Validaciones Cotizador'!T:T=""x"")),""Finalizar""))"),"")</f>
        <v/>
      </c>
    </row>
    <row r="415">
      <c r="A415" s="2" t="str">
        <f t="array" ref="A415">IF(E415="","",XLOOKUP(D415,'Validaciones Cotizador'!C:C,'Validaciones Cotizador'!A:A,"",0,1))</f>
        <v/>
      </c>
      <c r="B415" s="2" t="str">
        <f t="array" ref="B415">IF(F415="","",XLOOKUP(F415,Productos!E:E,Productos!G:G,"",0,1))</f>
        <v/>
      </c>
      <c r="C415" s="2" t="str">
        <f>IF(A415="","",SUMIFS('Validaciones Cotizador'!B:B,'Validaciones Cotizador'!C:C,D415,'Validaciones Cotizador'!A:A,A415))</f>
        <v/>
      </c>
      <c r="D415" s="4" t="str">
        <f>IFERROR(__xludf.DUMMYFUNCTION("IF(OR(F414=""Finalizar"",F414="""",F414=""Selecciona..""),"""",IF(OR(F414=""-"",INDEX(filter(Familias!F:F,Familias!D:D=A414,Familias!E:E=C414),1)=""O""),D414+1,D414))"),"")</f>
        <v/>
      </c>
      <c r="E415" s="2" t="str">
        <f>IF(OR(F415="",F415="Selecciona.."),"",IF(D415="Implemento",SUMIF(Implementos!B:B,F415,Implementos!A:A),SUMIF(Productos!E:E,F415,Productos!A:A)))</f>
        <v/>
      </c>
      <c r="F415" s="2" t="str">
        <f t="shared" si="2"/>
        <v/>
      </c>
      <c r="G415" s="10" t="str">
        <f t="array" ref="G415">IF(OR(F415="",F415="-",F415="Selecciona..",F415="Finalizar"),"",IF(A415="Rodados",XLOOKUP(B415,'Validaciones Cotizador'!I:I,'Validaciones Cotizador'!J:J,0,0,1),1))</f>
        <v/>
      </c>
      <c r="H415" s="11" t="str">
        <f>IF(OR(F415="",F415="Selecciona.."),"",SUMIF(Precio_Productos!K:K,E415,Precio_Productos!J:J)*G415)</f>
        <v/>
      </c>
      <c r="I415" s="4" t="str">
        <f t="array" ref="I415">IF($E415="","", XLOOKUP(SUMIFS(Prod_Prop!$A:$A,Prod_Prop!$B:$B,$E415,Prod_Prop!$H:$H,I$1,Prod_Prop!$I:$I,"Exacto"),Prod_Prop!$A:$A,Prod_Prop!$J:$J,"",0,1))</f>
        <v/>
      </c>
      <c r="J415" s="4" t="str">
        <f t="array" ref="J415">IF($E415="","", XLOOKUP(SUMIFS(Prod_Prop!$A:$A,Prod_Prop!$B:$B,$E415,Prod_Prop!$H:$H,J$1,Prod_Prop!$I:$I,"Exacto"),Prod_Prop!$A:$A,Prod_Prop!$J:$J,"",0,1))</f>
        <v/>
      </c>
      <c r="K415" s="4" t="str">
        <f t="array" ref="K415">IF($E415="","", XLOOKUP(SUMIFS(Prod_Prop!$A:$A,Prod_Prop!$B:$B,$E415,Prod_Prop!$H:$H,K$1,Prod_Prop!$I:$I,"Exacto"),Prod_Prop!$A:$A,Prod_Prop!$J:$J,"",0,1))</f>
        <v/>
      </c>
      <c r="L415" s="4" t="str">
        <f t="array" ref="L415">IF($E415="","", XLOOKUP(SUMIFS(Prod_Prop!$A:$A,Prod_Prop!$B:$B,$E415,Prod_Prop!$H:$H,L$1,Prod_Prop!$I:$I,"Exacto"),Prod_Prop!$A:$A,Prod_Prop!$J:$J,"",0,1))</f>
        <v/>
      </c>
      <c r="M415" s="4" t="str">
        <f t="array" ref="M415">IF($E415="","", XLOOKUP(SUMIFS(Prod_Prop!$A:$A,Prod_Prop!$B:$B,$E415,Prod_Prop!$H:$H,M$1,Prod_Prop!$I:$I,"Exacto"),Prod_Prop!$A:$A,Prod_Prop!$J:$J,"",0,1))</f>
        <v/>
      </c>
      <c r="N415" s="4" t="str">
        <f t="array" ref="N415">IF($E415="","", XLOOKUP(SUMIFS(Prod_Prop!$A:$A,Prod_Prop!$B:$B,$E415,Prod_Prop!$H:$H,N$1,Prod_Prop!$I:$I,"Exacto"),Prod_Prop!$A:$A,Prod_Prop!$J:$J,"",0,1))</f>
        <v/>
      </c>
      <c r="O415" s="4" t="str">
        <f t="array" ref="O415">IF($E415="","", XLOOKUP(SUMIFS(Prod_Prop!$A:$A,Prod_Prop!$B:$B,$E415,Prod_Prop!$H:$H,O$1,Prod_Prop!$I:$I,"Exacto"),Prod_Prop!$A:$A,Prod_Prop!$J:$J,"",0,1))</f>
        <v/>
      </c>
      <c r="P415" s="4" t="str">
        <f t="array" ref="P415">IF($E415="","", XLOOKUP(SUMIFS(Prod_Prop!$A:$A,Prod_Prop!$B:$B,$E415,Prod_Prop!$H:$H,P$1,Prod_Prop!$I:$I,"Exacto"),Prod_Prop!$A:$A,Prod_Prop!$J:$J,"",0,1))</f>
        <v/>
      </c>
      <c r="Q415" s="4" t="str">
        <f t="array" ref="Q415">IF($E415="","", XLOOKUP(SUMIFS(Prod_Prop!$A:$A,Prod_Prop!$B:$B,$E415,Prod_Prop!$H:$H,Q$1,Prod_Prop!$I:$I,"Exacto"),Prod_Prop!$A:$A,Prod_Prop!$J:$J,"",0,1))</f>
        <v/>
      </c>
      <c r="R415" s="4" t="str">
        <f t="array" ref="R415">IF($E415="","", XLOOKUP(SUMIFS(Prod_Prop!$A:$A,Prod_Prop!$B:$B,$E415,Prod_Prop!$H:$H,R$1,Prod_Prop!$I:$I,"Exacto"),Prod_Prop!$A:$A,Prod_Prop!$J:$J,"",0,1))</f>
        <v/>
      </c>
      <c r="S415" s="4" t="str">
        <f t="array" ref="S415">IF($E415="","", XLOOKUP(SUMIFS(Prod_Prop!$A:$A,Prod_Prop!$B:$B,$E415,Prod_Prop!$H:$H,S$1,Prod_Prop!$I:$I,"Exacto"),Prod_Prop!$A:$A,Prod_Prop!$J:$J,"",0,1))</f>
        <v/>
      </c>
      <c r="T415" s="4" t="str">
        <f t="array" ref="T415">IF($E415="","", XLOOKUP(SUMIFS(Prod_Prop!$A:$A,Prod_Prop!$B:$B,$E415,Prod_Prop!$H:$H,T$1,Prod_Prop!$I:$I,"Exacto"),Prod_Prop!$A:$A,Prod_Prop!$J:$J,"",0,1))</f>
        <v/>
      </c>
      <c r="U415" s="4" t="str">
        <f t="array" ref="U415">IF($E415="","", XLOOKUP(SUMIFS(Prod_Prop!$A:$A,Prod_Prop!$B:$B,$E415,Prod_Prop!$H:$H,U$1,Prod_Prop!$I:$I,"Exacto"),Prod_Prop!$A:$A,Prod_Prop!$J:$J,"",0,1))</f>
        <v/>
      </c>
      <c r="V415" s="4" t="str">
        <f t="array" ref="V415">IF($E415="","", XLOOKUP(SUMIFS(Prod_Prop!$A:$A,Prod_Prop!$B:$B,$E415,Prod_Prop!$H:$H,V$1,Prod_Prop!$I:$I,"Exacto"),Prod_Prop!$A:$A,Prod_Prop!$J:$J,"",0,1))</f>
        <v/>
      </c>
      <c r="X415" s="3" t="str">
        <f>IFERROR(__xludf.DUMMYFUNCTION("IF(D415="""","""",IFERROR(TRANSPOSE(FILTER('Validaciones Cotizador'!U:U,'Validaciones Cotizador'!O:O=D415,'Validaciones Cotizador'!T:T=""x"")),""Finalizar""))"),"")</f>
        <v/>
      </c>
    </row>
    <row r="416">
      <c r="A416" s="2" t="str">
        <f t="array" ref="A416">IF(E416="","",XLOOKUP(D416,'Validaciones Cotizador'!C:C,'Validaciones Cotizador'!A:A,"",0,1))</f>
        <v/>
      </c>
      <c r="B416" s="2" t="str">
        <f t="array" ref="B416">IF(F416="","",XLOOKUP(F416,Productos!E:E,Productos!G:G,"",0,1))</f>
        <v/>
      </c>
      <c r="C416" s="2" t="str">
        <f>IF(A416="","",SUMIFS('Validaciones Cotizador'!B:B,'Validaciones Cotizador'!C:C,D416,'Validaciones Cotizador'!A:A,A416))</f>
        <v/>
      </c>
      <c r="D416" s="4" t="str">
        <f>IFERROR(__xludf.DUMMYFUNCTION("IF(OR(F415=""Finalizar"",F415="""",F415=""Selecciona..""),"""",IF(OR(F415=""-"",INDEX(filter(Familias!F:F,Familias!D:D=A415,Familias!E:E=C415),1)=""O""),D415+1,D415))"),"")</f>
        <v/>
      </c>
      <c r="E416" s="2" t="str">
        <f>IF(OR(F416="",F416="Selecciona.."),"",IF(D416="Implemento",SUMIF(Implementos!B:B,F416,Implementos!A:A),SUMIF(Productos!E:E,F416,Productos!A:A)))</f>
        <v/>
      </c>
      <c r="F416" s="2" t="str">
        <f t="shared" si="2"/>
        <v/>
      </c>
      <c r="G416" s="10" t="str">
        <f t="array" ref="G416">IF(OR(F416="",F416="-",F416="Selecciona..",F416="Finalizar"),"",IF(A416="Rodados",XLOOKUP(B416,'Validaciones Cotizador'!I:I,'Validaciones Cotizador'!J:J,0,0,1),1))</f>
        <v/>
      </c>
      <c r="H416" s="11" t="str">
        <f>IF(OR(F416="",F416="Selecciona.."),"",SUMIF(Precio_Productos!K:K,E416,Precio_Productos!J:J)*G416)</f>
        <v/>
      </c>
      <c r="I416" s="4" t="str">
        <f t="array" ref="I416">IF($E416="","", XLOOKUP(SUMIFS(Prod_Prop!$A:$A,Prod_Prop!$B:$B,$E416,Prod_Prop!$H:$H,I$1,Prod_Prop!$I:$I,"Exacto"),Prod_Prop!$A:$A,Prod_Prop!$J:$J,"",0,1))</f>
        <v/>
      </c>
      <c r="J416" s="4" t="str">
        <f t="array" ref="J416">IF($E416="","", XLOOKUP(SUMIFS(Prod_Prop!$A:$A,Prod_Prop!$B:$B,$E416,Prod_Prop!$H:$H,J$1,Prod_Prop!$I:$I,"Exacto"),Prod_Prop!$A:$A,Prod_Prop!$J:$J,"",0,1))</f>
        <v/>
      </c>
      <c r="K416" s="4" t="str">
        <f t="array" ref="K416">IF($E416="","", XLOOKUP(SUMIFS(Prod_Prop!$A:$A,Prod_Prop!$B:$B,$E416,Prod_Prop!$H:$H,K$1,Prod_Prop!$I:$I,"Exacto"),Prod_Prop!$A:$A,Prod_Prop!$J:$J,"",0,1))</f>
        <v/>
      </c>
      <c r="L416" s="4" t="str">
        <f t="array" ref="L416">IF($E416="","", XLOOKUP(SUMIFS(Prod_Prop!$A:$A,Prod_Prop!$B:$B,$E416,Prod_Prop!$H:$H,L$1,Prod_Prop!$I:$I,"Exacto"),Prod_Prop!$A:$A,Prod_Prop!$J:$J,"",0,1))</f>
        <v/>
      </c>
      <c r="M416" s="4" t="str">
        <f t="array" ref="M416">IF($E416="","", XLOOKUP(SUMIFS(Prod_Prop!$A:$A,Prod_Prop!$B:$B,$E416,Prod_Prop!$H:$H,M$1,Prod_Prop!$I:$I,"Exacto"),Prod_Prop!$A:$A,Prod_Prop!$J:$J,"",0,1))</f>
        <v/>
      </c>
      <c r="N416" s="4" t="str">
        <f t="array" ref="N416">IF($E416="","", XLOOKUP(SUMIFS(Prod_Prop!$A:$A,Prod_Prop!$B:$B,$E416,Prod_Prop!$H:$H,N$1,Prod_Prop!$I:$I,"Exacto"),Prod_Prop!$A:$A,Prod_Prop!$J:$J,"",0,1))</f>
        <v/>
      </c>
      <c r="O416" s="4" t="str">
        <f t="array" ref="O416">IF($E416="","", XLOOKUP(SUMIFS(Prod_Prop!$A:$A,Prod_Prop!$B:$B,$E416,Prod_Prop!$H:$H,O$1,Prod_Prop!$I:$I,"Exacto"),Prod_Prop!$A:$A,Prod_Prop!$J:$J,"",0,1))</f>
        <v/>
      </c>
      <c r="P416" s="4" t="str">
        <f t="array" ref="P416">IF($E416="","", XLOOKUP(SUMIFS(Prod_Prop!$A:$A,Prod_Prop!$B:$B,$E416,Prod_Prop!$H:$H,P$1,Prod_Prop!$I:$I,"Exacto"),Prod_Prop!$A:$A,Prod_Prop!$J:$J,"",0,1))</f>
        <v/>
      </c>
      <c r="Q416" s="4" t="str">
        <f t="array" ref="Q416">IF($E416="","", XLOOKUP(SUMIFS(Prod_Prop!$A:$A,Prod_Prop!$B:$B,$E416,Prod_Prop!$H:$H,Q$1,Prod_Prop!$I:$I,"Exacto"),Prod_Prop!$A:$A,Prod_Prop!$J:$J,"",0,1))</f>
        <v/>
      </c>
      <c r="R416" s="4" t="str">
        <f t="array" ref="R416">IF($E416="","", XLOOKUP(SUMIFS(Prod_Prop!$A:$A,Prod_Prop!$B:$B,$E416,Prod_Prop!$H:$H,R$1,Prod_Prop!$I:$I,"Exacto"),Prod_Prop!$A:$A,Prod_Prop!$J:$J,"",0,1))</f>
        <v/>
      </c>
      <c r="S416" s="4" t="str">
        <f t="array" ref="S416">IF($E416="","", XLOOKUP(SUMIFS(Prod_Prop!$A:$A,Prod_Prop!$B:$B,$E416,Prod_Prop!$H:$H,S$1,Prod_Prop!$I:$I,"Exacto"),Prod_Prop!$A:$A,Prod_Prop!$J:$J,"",0,1))</f>
        <v/>
      </c>
      <c r="T416" s="4" t="str">
        <f t="array" ref="T416">IF($E416="","", XLOOKUP(SUMIFS(Prod_Prop!$A:$A,Prod_Prop!$B:$B,$E416,Prod_Prop!$H:$H,T$1,Prod_Prop!$I:$I,"Exacto"),Prod_Prop!$A:$A,Prod_Prop!$J:$J,"",0,1))</f>
        <v/>
      </c>
      <c r="U416" s="4" t="str">
        <f t="array" ref="U416">IF($E416="","", XLOOKUP(SUMIFS(Prod_Prop!$A:$A,Prod_Prop!$B:$B,$E416,Prod_Prop!$H:$H,U$1,Prod_Prop!$I:$I,"Exacto"),Prod_Prop!$A:$A,Prod_Prop!$J:$J,"",0,1))</f>
        <v/>
      </c>
      <c r="V416" s="4" t="str">
        <f t="array" ref="V416">IF($E416="","", XLOOKUP(SUMIFS(Prod_Prop!$A:$A,Prod_Prop!$B:$B,$E416,Prod_Prop!$H:$H,V$1,Prod_Prop!$I:$I,"Exacto"),Prod_Prop!$A:$A,Prod_Prop!$J:$J,"",0,1))</f>
        <v/>
      </c>
      <c r="X416" s="3" t="str">
        <f>IFERROR(__xludf.DUMMYFUNCTION("IF(D416="""","""",IFERROR(TRANSPOSE(FILTER('Validaciones Cotizador'!U:U,'Validaciones Cotizador'!O:O=D416,'Validaciones Cotizador'!T:T=""x"")),""Finalizar""))"),"")</f>
        <v/>
      </c>
    </row>
    <row r="417">
      <c r="A417" s="2" t="str">
        <f t="array" ref="A417">IF(E417="","",XLOOKUP(D417,'Validaciones Cotizador'!C:C,'Validaciones Cotizador'!A:A,"",0,1))</f>
        <v/>
      </c>
      <c r="B417" s="2" t="str">
        <f t="array" ref="B417">IF(F417="","",XLOOKUP(F417,Productos!E:E,Productos!G:G,"",0,1))</f>
        <v/>
      </c>
      <c r="C417" s="2" t="str">
        <f>IF(A417="","",SUMIFS('Validaciones Cotizador'!B:B,'Validaciones Cotizador'!C:C,D417,'Validaciones Cotizador'!A:A,A417))</f>
        <v/>
      </c>
      <c r="D417" s="4" t="str">
        <f>IFERROR(__xludf.DUMMYFUNCTION("IF(OR(F416=""Finalizar"",F416="""",F416=""Selecciona..""),"""",IF(OR(F416=""-"",INDEX(filter(Familias!F:F,Familias!D:D=A416,Familias!E:E=C416),1)=""O""),D416+1,D416))"),"")</f>
        <v/>
      </c>
      <c r="E417" s="2" t="str">
        <f>IF(OR(F417="",F417="Selecciona.."),"",IF(D417="Implemento",SUMIF(Implementos!B:B,F417,Implementos!A:A),SUMIF(Productos!E:E,F417,Productos!A:A)))</f>
        <v/>
      </c>
      <c r="F417" s="2" t="str">
        <f t="shared" si="2"/>
        <v/>
      </c>
      <c r="G417" s="10" t="str">
        <f t="array" ref="G417">IF(OR(F417="",F417="-",F417="Selecciona..",F417="Finalizar"),"",IF(A417="Rodados",XLOOKUP(B417,'Validaciones Cotizador'!I:I,'Validaciones Cotizador'!J:J,0,0,1),1))</f>
        <v/>
      </c>
      <c r="H417" s="11" t="str">
        <f>IF(OR(F417="",F417="Selecciona.."),"",SUMIF(Precio_Productos!K:K,E417,Precio_Productos!J:J)*G417)</f>
        <v/>
      </c>
      <c r="I417" s="4" t="str">
        <f t="array" ref="I417">IF($E417="","", XLOOKUP(SUMIFS(Prod_Prop!$A:$A,Prod_Prop!$B:$B,$E417,Prod_Prop!$H:$H,I$1,Prod_Prop!$I:$I,"Exacto"),Prod_Prop!$A:$A,Prod_Prop!$J:$J,"",0,1))</f>
        <v/>
      </c>
      <c r="J417" s="4" t="str">
        <f t="array" ref="J417">IF($E417="","", XLOOKUP(SUMIFS(Prod_Prop!$A:$A,Prod_Prop!$B:$B,$E417,Prod_Prop!$H:$H,J$1,Prod_Prop!$I:$I,"Exacto"),Prod_Prop!$A:$A,Prod_Prop!$J:$J,"",0,1))</f>
        <v/>
      </c>
      <c r="K417" s="4" t="str">
        <f t="array" ref="K417">IF($E417="","", XLOOKUP(SUMIFS(Prod_Prop!$A:$A,Prod_Prop!$B:$B,$E417,Prod_Prop!$H:$H,K$1,Prod_Prop!$I:$I,"Exacto"),Prod_Prop!$A:$A,Prod_Prop!$J:$J,"",0,1))</f>
        <v/>
      </c>
      <c r="L417" s="4" t="str">
        <f t="array" ref="L417">IF($E417="","", XLOOKUP(SUMIFS(Prod_Prop!$A:$A,Prod_Prop!$B:$B,$E417,Prod_Prop!$H:$H,L$1,Prod_Prop!$I:$I,"Exacto"),Prod_Prop!$A:$A,Prod_Prop!$J:$J,"",0,1))</f>
        <v/>
      </c>
      <c r="M417" s="4" t="str">
        <f t="array" ref="M417">IF($E417="","", XLOOKUP(SUMIFS(Prod_Prop!$A:$A,Prod_Prop!$B:$B,$E417,Prod_Prop!$H:$H,M$1,Prod_Prop!$I:$I,"Exacto"),Prod_Prop!$A:$A,Prod_Prop!$J:$J,"",0,1))</f>
        <v/>
      </c>
      <c r="N417" s="4" t="str">
        <f t="array" ref="N417">IF($E417="","", XLOOKUP(SUMIFS(Prod_Prop!$A:$A,Prod_Prop!$B:$B,$E417,Prod_Prop!$H:$H,N$1,Prod_Prop!$I:$I,"Exacto"),Prod_Prop!$A:$A,Prod_Prop!$J:$J,"",0,1))</f>
        <v/>
      </c>
      <c r="O417" s="4" t="str">
        <f t="array" ref="O417">IF($E417="","", XLOOKUP(SUMIFS(Prod_Prop!$A:$A,Prod_Prop!$B:$B,$E417,Prod_Prop!$H:$H,O$1,Prod_Prop!$I:$I,"Exacto"),Prod_Prop!$A:$A,Prod_Prop!$J:$J,"",0,1))</f>
        <v/>
      </c>
      <c r="P417" s="4" t="str">
        <f t="array" ref="P417">IF($E417="","", XLOOKUP(SUMIFS(Prod_Prop!$A:$A,Prod_Prop!$B:$B,$E417,Prod_Prop!$H:$H,P$1,Prod_Prop!$I:$I,"Exacto"),Prod_Prop!$A:$A,Prod_Prop!$J:$J,"",0,1))</f>
        <v/>
      </c>
      <c r="Q417" s="4" t="str">
        <f t="array" ref="Q417">IF($E417="","", XLOOKUP(SUMIFS(Prod_Prop!$A:$A,Prod_Prop!$B:$B,$E417,Prod_Prop!$H:$H,Q$1,Prod_Prop!$I:$I,"Exacto"),Prod_Prop!$A:$A,Prod_Prop!$J:$J,"",0,1))</f>
        <v/>
      </c>
      <c r="R417" s="4" t="str">
        <f t="array" ref="R417">IF($E417="","", XLOOKUP(SUMIFS(Prod_Prop!$A:$A,Prod_Prop!$B:$B,$E417,Prod_Prop!$H:$H,R$1,Prod_Prop!$I:$I,"Exacto"),Prod_Prop!$A:$A,Prod_Prop!$J:$J,"",0,1))</f>
        <v/>
      </c>
      <c r="S417" s="4" t="str">
        <f t="array" ref="S417">IF($E417="","", XLOOKUP(SUMIFS(Prod_Prop!$A:$A,Prod_Prop!$B:$B,$E417,Prod_Prop!$H:$H,S$1,Prod_Prop!$I:$I,"Exacto"),Prod_Prop!$A:$A,Prod_Prop!$J:$J,"",0,1))</f>
        <v/>
      </c>
      <c r="T417" s="4" t="str">
        <f t="array" ref="T417">IF($E417="","", XLOOKUP(SUMIFS(Prod_Prop!$A:$A,Prod_Prop!$B:$B,$E417,Prod_Prop!$H:$H,T$1,Prod_Prop!$I:$I,"Exacto"),Prod_Prop!$A:$A,Prod_Prop!$J:$J,"",0,1))</f>
        <v/>
      </c>
      <c r="U417" s="4" t="str">
        <f t="array" ref="U417">IF($E417="","", XLOOKUP(SUMIFS(Prod_Prop!$A:$A,Prod_Prop!$B:$B,$E417,Prod_Prop!$H:$H,U$1,Prod_Prop!$I:$I,"Exacto"),Prod_Prop!$A:$A,Prod_Prop!$J:$J,"",0,1))</f>
        <v/>
      </c>
      <c r="V417" s="4" t="str">
        <f t="array" ref="V417">IF($E417="","", XLOOKUP(SUMIFS(Prod_Prop!$A:$A,Prod_Prop!$B:$B,$E417,Prod_Prop!$H:$H,V$1,Prod_Prop!$I:$I,"Exacto"),Prod_Prop!$A:$A,Prod_Prop!$J:$J,"",0,1))</f>
        <v/>
      </c>
      <c r="X417" s="3" t="str">
        <f>IFERROR(__xludf.DUMMYFUNCTION("IF(D417="""","""",IFERROR(TRANSPOSE(FILTER('Validaciones Cotizador'!U:U,'Validaciones Cotizador'!O:O=D417,'Validaciones Cotizador'!T:T=""x"")),""Finalizar""))"),"")</f>
        <v/>
      </c>
    </row>
    <row r="418">
      <c r="A418" s="2" t="str">
        <f t="array" ref="A418">IF(E418="","",XLOOKUP(D418,'Validaciones Cotizador'!C:C,'Validaciones Cotizador'!A:A,"",0,1))</f>
        <v/>
      </c>
      <c r="B418" s="2" t="str">
        <f t="array" ref="B418">IF(F418="","",XLOOKUP(F418,Productos!E:E,Productos!G:G,"",0,1))</f>
        <v/>
      </c>
      <c r="C418" s="2" t="str">
        <f>IF(A418="","",SUMIFS('Validaciones Cotizador'!B:B,'Validaciones Cotizador'!C:C,D418,'Validaciones Cotizador'!A:A,A418))</f>
        <v/>
      </c>
      <c r="D418" s="4" t="str">
        <f>IFERROR(__xludf.DUMMYFUNCTION("IF(OR(F417=""Finalizar"",F417="""",F417=""Selecciona..""),"""",IF(OR(F417=""-"",INDEX(filter(Familias!F:F,Familias!D:D=A417,Familias!E:E=C417),1)=""O""),D417+1,D417))"),"")</f>
        <v/>
      </c>
      <c r="E418" s="2" t="str">
        <f>IF(OR(F418="",F418="Selecciona.."),"",IF(D418="Implemento",SUMIF(Implementos!B:B,F418,Implementos!A:A),SUMIF(Productos!E:E,F418,Productos!A:A)))</f>
        <v/>
      </c>
      <c r="F418" s="2" t="str">
        <f t="shared" si="2"/>
        <v/>
      </c>
      <c r="G418" s="10" t="str">
        <f t="array" ref="G418">IF(OR(F418="",F418="-",F418="Selecciona..",F418="Finalizar"),"",IF(A418="Rodados",XLOOKUP(B418,'Validaciones Cotizador'!I:I,'Validaciones Cotizador'!J:J,0,0,1),1))</f>
        <v/>
      </c>
      <c r="H418" s="11" t="str">
        <f>IF(OR(F418="",F418="Selecciona.."),"",SUMIF(Precio_Productos!K:K,E418,Precio_Productos!J:J)*G418)</f>
        <v/>
      </c>
      <c r="I418" s="4" t="str">
        <f t="array" ref="I418">IF($E418="","", XLOOKUP(SUMIFS(Prod_Prop!$A:$A,Prod_Prop!$B:$B,$E418,Prod_Prop!$H:$H,I$1,Prod_Prop!$I:$I,"Exacto"),Prod_Prop!$A:$A,Prod_Prop!$J:$J,"",0,1))</f>
        <v/>
      </c>
      <c r="J418" s="4" t="str">
        <f t="array" ref="J418">IF($E418="","", XLOOKUP(SUMIFS(Prod_Prop!$A:$A,Prod_Prop!$B:$B,$E418,Prod_Prop!$H:$H,J$1,Prod_Prop!$I:$I,"Exacto"),Prod_Prop!$A:$A,Prod_Prop!$J:$J,"",0,1))</f>
        <v/>
      </c>
      <c r="K418" s="4" t="str">
        <f t="array" ref="K418">IF($E418="","", XLOOKUP(SUMIFS(Prod_Prop!$A:$A,Prod_Prop!$B:$B,$E418,Prod_Prop!$H:$H,K$1,Prod_Prop!$I:$I,"Exacto"),Prod_Prop!$A:$A,Prod_Prop!$J:$J,"",0,1))</f>
        <v/>
      </c>
      <c r="L418" s="4" t="str">
        <f t="array" ref="L418">IF($E418="","", XLOOKUP(SUMIFS(Prod_Prop!$A:$A,Prod_Prop!$B:$B,$E418,Prod_Prop!$H:$H,L$1,Prod_Prop!$I:$I,"Exacto"),Prod_Prop!$A:$A,Prod_Prop!$J:$J,"",0,1))</f>
        <v/>
      </c>
      <c r="M418" s="4" t="str">
        <f t="array" ref="M418">IF($E418="","", XLOOKUP(SUMIFS(Prod_Prop!$A:$A,Prod_Prop!$B:$B,$E418,Prod_Prop!$H:$H,M$1,Prod_Prop!$I:$I,"Exacto"),Prod_Prop!$A:$A,Prod_Prop!$J:$J,"",0,1))</f>
        <v/>
      </c>
      <c r="N418" s="4" t="str">
        <f t="array" ref="N418">IF($E418="","", XLOOKUP(SUMIFS(Prod_Prop!$A:$A,Prod_Prop!$B:$B,$E418,Prod_Prop!$H:$H,N$1,Prod_Prop!$I:$I,"Exacto"),Prod_Prop!$A:$A,Prod_Prop!$J:$J,"",0,1))</f>
        <v/>
      </c>
      <c r="O418" s="4" t="str">
        <f t="array" ref="O418">IF($E418="","", XLOOKUP(SUMIFS(Prod_Prop!$A:$A,Prod_Prop!$B:$B,$E418,Prod_Prop!$H:$H,O$1,Prod_Prop!$I:$I,"Exacto"),Prod_Prop!$A:$A,Prod_Prop!$J:$J,"",0,1))</f>
        <v/>
      </c>
      <c r="P418" s="4" t="str">
        <f t="array" ref="P418">IF($E418="","", XLOOKUP(SUMIFS(Prod_Prop!$A:$A,Prod_Prop!$B:$B,$E418,Prod_Prop!$H:$H,P$1,Prod_Prop!$I:$I,"Exacto"),Prod_Prop!$A:$A,Prod_Prop!$J:$J,"",0,1))</f>
        <v/>
      </c>
      <c r="Q418" s="4" t="str">
        <f t="array" ref="Q418">IF($E418="","", XLOOKUP(SUMIFS(Prod_Prop!$A:$A,Prod_Prop!$B:$B,$E418,Prod_Prop!$H:$H,Q$1,Prod_Prop!$I:$I,"Exacto"),Prod_Prop!$A:$A,Prod_Prop!$J:$J,"",0,1))</f>
        <v/>
      </c>
      <c r="R418" s="4" t="str">
        <f t="array" ref="R418">IF($E418="","", XLOOKUP(SUMIFS(Prod_Prop!$A:$A,Prod_Prop!$B:$B,$E418,Prod_Prop!$H:$H,R$1,Prod_Prop!$I:$I,"Exacto"),Prod_Prop!$A:$A,Prod_Prop!$J:$J,"",0,1))</f>
        <v/>
      </c>
      <c r="S418" s="4" t="str">
        <f t="array" ref="S418">IF($E418="","", XLOOKUP(SUMIFS(Prod_Prop!$A:$A,Prod_Prop!$B:$B,$E418,Prod_Prop!$H:$H,S$1,Prod_Prop!$I:$I,"Exacto"),Prod_Prop!$A:$A,Prod_Prop!$J:$J,"",0,1))</f>
        <v/>
      </c>
      <c r="T418" s="4" t="str">
        <f t="array" ref="T418">IF($E418="","", XLOOKUP(SUMIFS(Prod_Prop!$A:$A,Prod_Prop!$B:$B,$E418,Prod_Prop!$H:$H,T$1,Prod_Prop!$I:$I,"Exacto"),Prod_Prop!$A:$A,Prod_Prop!$J:$J,"",0,1))</f>
        <v/>
      </c>
      <c r="U418" s="4" t="str">
        <f t="array" ref="U418">IF($E418="","", XLOOKUP(SUMIFS(Prod_Prop!$A:$A,Prod_Prop!$B:$B,$E418,Prod_Prop!$H:$H,U$1,Prod_Prop!$I:$I,"Exacto"),Prod_Prop!$A:$A,Prod_Prop!$J:$J,"",0,1))</f>
        <v/>
      </c>
      <c r="V418" s="4" t="str">
        <f t="array" ref="V418">IF($E418="","", XLOOKUP(SUMIFS(Prod_Prop!$A:$A,Prod_Prop!$B:$B,$E418,Prod_Prop!$H:$H,V$1,Prod_Prop!$I:$I,"Exacto"),Prod_Prop!$A:$A,Prod_Prop!$J:$J,"",0,1))</f>
        <v/>
      </c>
      <c r="X418" s="3" t="str">
        <f>IFERROR(__xludf.DUMMYFUNCTION("IF(D418="""","""",IFERROR(TRANSPOSE(FILTER('Validaciones Cotizador'!U:U,'Validaciones Cotizador'!O:O=D418,'Validaciones Cotizador'!T:T=""x"")),""Finalizar""))"),"")</f>
        <v/>
      </c>
    </row>
    <row r="419">
      <c r="A419" s="2" t="str">
        <f t="array" ref="A419">IF(E419="","",XLOOKUP(D419,'Validaciones Cotizador'!C:C,'Validaciones Cotizador'!A:A,"",0,1))</f>
        <v/>
      </c>
      <c r="B419" s="2" t="str">
        <f t="array" ref="B419">IF(F419="","",XLOOKUP(F419,Productos!E:E,Productos!G:G,"",0,1))</f>
        <v/>
      </c>
      <c r="C419" s="2" t="str">
        <f>IF(A419="","",SUMIFS('Validaciones Cotizador'!B:B,'Validaciones Cotizador'!C:C,D419,'Validaciones Cotizador'!A:A,A419))</f>
        <v/>
      </c>
      <c r="D419" s="4" t="str">
        <f>IFERROR(__xludf.DUMMYFUNCTION("IF(OR(F418=""Finalizar"",F418="""",F418=""Selecciona..""),"""",IF(OR(F418=""-"",INDEX(filter(Familias!F:F,Familias!D:D=A418,Familias!E:E=C418),1)=""O""),D418+1,D418))"),"")</f>
        <v/>
      </c>
      <c r="E419" s="2" t="str">
        <f>IF(OR(F419="",F419="Selecciona.."),"",IF(D419="Implemento",SUMIF(Implementos!B:B,F419,Implementos!A:A),SUMIF(Productos!E:E,F419,Productos!A:A)))</f>
        <v/>
      </c>
      <c r="F419" s="2" t="str">
        <f t="shared" si="2"/>
        <v/>
      </c>
      <c r="G419" s="10" t="str">
        <f t="array" ref="G419">IF(OR(F419="",F419="-",F419="Selecciona..",F419="Finalizar"),"",IF(A419="Rodados",XLOOKUP(B419,'Validaciones Cotizador'!I:I,'Validaciones Cotizador'!J:J,0,0,1),1))</f>
        <v/>
      </c>
      <c r="H419" s="11" t="str">
        <f>IF(OR(F419="",F419="Selecciona.."),"",SUMIF(Precio_Productos!K:K,E419,Precio_Productos!J:J)*G419)</f>
        <v/>
      </c>
      <c r="I419" s="4" t="str">
        <f t="array" ref="I419">IF($E419="","", XLOOKUP(SUMIFS(Prod_Prop!$A:$A,Prod_Prop!$B:$B,$E419,Prod_Prop!$H:$H,I$1,Prod_Prop!$I:$I,"Exacto"),Prod_Prop!$A:$A,Prod_Prop!$J:$J,"",0,1))</f>
        <v/>
      </c>
      <c r="J419" s="4" t="str">
        <f t="array" ref="J419">IF($E419="","", XLOOKUP(SUMIFS(Prod_Prop!$A:$A,Prod_Prop!$B:$B,$E419,Prod_Prop!$H:$H,J$1,Prod_Prop!$I:$I,"Exacto"),Prod_Prop!$A:$A,Prod_Prop!$J:$J,"",0,1))</f>
        <v/>
      </c>
      <c r="K419" s="4" t="str">
        <f t="array" ref="K419">IF($E419="","", XLOOKUP(SUMIFS(Prod_Prop!$A:$A,Prod_Prop!$B:$B,$E419,Prod_Prop!$H:$H,K$1,Prod_Prop!$I:$I,"Exacto"),Prod_Prop!$A:$A,Prod_Prop!$J:$J,"",0,1))</f>
        <v/>
      </c>
      <c r="L419" s="4" t="str">
        <f t="array" ref="L419">IF($E419="","", XLOOKUP(SUMIFS(Prod_Prop!$A:$A,Prod_Prop!$B:$B,$E419,Prod_Prop!$H:$H,L$1,Prod_Prop!$I:$I,"Exacto"),Prod_Prop!$A:$A,Prod_Prop!$J:$J,"",0,1))</f>
        <v/>
      </c>
      <c r="M419" s="4" t="str">
        <f t="array" ref="M419">IF($E419="","", XLOOKUP(SUMIFS(Prod_Prop!$A:$A,Prod_Prop!$B:$B,$E419,Prod_Prop!$H:$H,M$1,Prod_Prop!$I:$I,"Exacto"),Prod_Prop!$A:$A,Prod_Prop!$J:$J,"",0,1))</f>
        <v/>
      </c>
      <c r="N419" s="4" t="str">
        <f t="array" ref="N419">IF($E419="","", XLOOKUP(SUMIFS(Prod_Prop!$A:$A,Prod_Prop!$B:$B,$E419,Prod_Prop!$H:$H,N$1,Prod_Prop!$I:$I,"Exacto"),Prod_Prop!$A:$A,Prod_Prop!$J:$J,"",0,1))</f>
        <v/>
      </c>
      <c r="O419" s="4" t="str">
        <f t="array" ref="O419">IF($E419="","", XLOOKUP(SUMIFS(Prod_Prop!$A:$A,Prod_Prop!$B:$B,$E419,Prod_Prop!$H:$H,O$1,Prod_Prop!$I:$I,"Exacto"),Prod_Prop!$A:$A,Prod_Prop!$J:$J,"",0,1))</f>
        <v/>
      </c>
      <c r="P419" s="4" t="str">
        <f t="array" ref="P419">IF($E419="","", XLOOKUP(SUMIFS(Prod_Prop!$A:$A,Prod_Prop!$B:$B,$E419,Prod_Prop!$H:$H,P$1,Prod_Prop!$I:$I,"Exacto"),Prod_Prop!$A:$A,Prod_Prop!$J:$J,"",0,1))</f>
        <v/>
      </c>
      <c r="Q419" s="4" t="str">
        <f t="array" ref="Q419">IF($E419="","", XLOOKUP(SUMIFS(Prod_Prop!$A:$A,Prod_Prop!$B:$B,$E419,Prod_Prop!$H:$H,Q$1,Prod_Prop!$I:$I,"Exacto"),Prod_Prop!$A:$A,Prod_Prop!$J:$J,"",0,1))</f>
        <v/>
      </c>
      <c r="R419" s="4" t="str">
        <f t="array" ref="R419">IF($E419="","", XLOOKUP(SUMIFS(Prod_Prop!$A:$A,Prod_Prop!$B:$B,$E419,Prod_Prop!$H:$H,R$1,Prod_Prop!$I:$I,"Exacto"),Prod_Prop!$A:$A,Prod_Prop!$J:$J,"",0,1))</f>
        <v/>
      </c>
      <c r="S419" s="4" t="str">
        <f t="array" ref="S419">IF($E419="","", XLOOKUP(SUMIFS(Prod_Prop!$A:$A,Prod_Prop!$B:$B,$E419,Prod_Prop!$H:$H,S$1,Prod_Prop!$I:$I,"Exacto"),Prod_Prop!$A:$A,Prod_Prop!$J:$J,"",0,1))</f>
        <v/>
      </c>
      <c r="T419" s="4" t="str">
        <f t="array" ref="T419">IF($E419="","", XLOOKUP(SUMIFS(Prod_Prop!$A:$A,Prod_Prop!$B:$B,$E419,Prod_Prop!$H:$H,T$1,Prod_Prop!$I:$I,"Exacto"),Prod_Prop!$A:$A,Prod_Prop!$J:$J,"",0,1))</f>
        <v/>
      </c>
      <c r="U419" s="4" t="str">
        <f t="array" ref="U419">IF($E419="","", XLOOKUP(SUMIFS(Prod_Prop!$A:$A,Prod_Prop!$B:$B,$E419,Prod_Prop!$H:$H,U$1,Prod_Prop!$I:$I,"Exacto"),Prod_Prop!$A:$A,Prod_Prop!$J:$J,"",0,1))</f>
        <v/>
      </c>
      <c r="V419" s="4" t="str">
        <f t="array" ref="V419">IF($E419="","", XLOOKUP(SUMIFS(Prod_Prop!$A:$A,Prod_Prop!$B:$B,$E419,Prod_Prop!$H:$H,V$1,Prod_Prop!$I:$I,"Exacto"),Prod_Prop!$A:$A,Prod_Prop!$J:$J,"",0,1))</f>
        <v/>
      </c>
      <c r="X419" s="3" t="str">
        <f>IFERROR(__xludf.DUMMYFUNCTION("IF(D419="""","""",IFERROR(TRANSPOSE(FILTER('Validaciones Cotizador'!U:U,'Validaciones Cotizador'!O:O=D419,'Validaciones Cotizador'!T:T=""x"")),""Finalizar""))"),"")</f>
        <v/>
      </c>
    </row>
    <row r="420">
      <c r="A420" s="2" t="str">
        <f t="array" ref="A420">IF(E420="","",XLOOKUP(D420,'Validaciones Cotizador'!C:C,'Validaciones Cotizador'!A:A,"",0,1))</f>
        <v/>
      </c>
      <c r="B420" s="2" t="str">
        <f t="array" ref="B420">IF(F420="","",XLOOKUP(F420,Productos!E:E,Productos!G:G,"",0,1))</f>
        <v/>
      </c>
      <c r="C420" s="2" t="str">
        <f>IF(A420="","",SUMIFS('Validaciones Cotizador'!B:B,'Validaciones Cotizador'!C:C,D420,'Validaciones Cotizador'!A:A,A420))</f>
        <v/>
      </c>
      <c r="D420" s="4" t="str">
        <f>IFERROR(__xludf.DUMMYFUNCTION("IF(OR(F419=""Finalizar"",F419="""",F419=""Selecciona..""),"""",IF(OR(F419=""-"",INDEX(filter(Familias!F:F,Familias!D:D=A419,Familias!E:E=C419),1)=""O""),D419+1,D419))"),"")</f>
        <v/>
      </c>
      <c r="E420" s="2" t="str">
        <f>IF(OR(F420="",F420="Selecciona.."),"",IF(D420="Implemento",SUMIF(Implementos!B:B,F420,Implementos!A:A),SUMIF(Productos!E:E,F420,Productos!A:A)))</f>
        <v/>
      </c>
      <c r="F420" s="2" t="str">
        <f t="shared" si="2"/>
        <v/>
      </c>
      <c r="G420" s="10" t="str">
        <f t="array" ref="G420">IF(OR(F420="",F420="-",F420="Selecciona..",F420="Finalizar"),"",IF(A420="Rodados",XLOOKUP(B420,'Validaciones Cotizador'!I:I,'Validaciones Cotizador'!J:J,0,0,1),1))</f>
        <v/>
      </c>
      <c r="H420" s="11" t="str">
        <f>IF(OR(F420="",F420="Selecciona.."),"",SUMIF(Precio_Productos!K:K,E420,Precio_Productos!J:J)*G420)</f>
        <v/>
      </c>
      <c r="I420" s="4" t="str">
        <f t="array" ref="I420">IF($E420="","", XLOOKUP(SUMIFS(Prod_Prop!$A:$A,Prod_Prop!$B:$B,$E420,Prod_Prop!$H:$H,I$1,Prod_Prop!$I:$I,"Exacto"),Prod_Prop!$A:$A,Prod_Prop!$J:$J,"",0,1))</f>
        <v/>
      </c>
      <c r="J420" s="4" t="str">
        <f t="array" ref="J420">IF($E420="","", XLOOKUP(SUMIFS(Prod_Prop!$A:$A,Prod_Prop!$B:$B,$E420,Prod_Prop!$H:$H,J$1,Prod_Prop!$I:$I,"Exacto"),Prod_Prop!$A:$A,Prod_Prop!$J:$J,"",0,1))</f>
        <v/>
      </c>
      <c r="K420" s="4" t="str">
        <f t="array" ref="K420">IF($E420="","", XLOOKUP(SUMIFS(Prod_Prop!$A:$A,Prod_Prop!$B:$B,$E420,Prod_Prop!$H:$H,K$1,Prod_Prop!$I:$I,"Exacto"),Prod_Prop!$A:$A,Prod_Prop!$J:$J,"",0,1))</f>
        <v/>
      </c>
      <c r="L420" s="4" t="str">
        <f t="array" ref="L420">IF($E420="","", XLOOKUP(SUMIFS(Prod_Prop!$A:$A,Prod_Prop!$B:$B,$E420,Prod_Prop!$H:$H,L$1,Prod_Prop!$I:$I,"Exacto"),Prod_Prop!$A:$A,Prod_Prop!$J:$J,"",0,1))</f>
        <v/>
      </c>
      <c r="M420" s="4" t="str">
        <f t="array" ref="M420">IF($E420="","", XLOOKUP(SUMIFS(Prod_Prop!$A:$A,Prod_Prop!$B:$B,$E420,Prod_Prop!$H:$H,M$1,Prod_Prop!$I:$I,"Exacto"),Prod_Prop!$A:$A,Prod_Prop!$J:$J,"",0,1))</f>
        <v/>
      </c>
      <c r="N420" s="4" t="str">
        <f t="array" ref="N420">IF($E420="","", XLOOKUP(SUMIFS(Prod_Prop!$A:$A,Prod_Prop!$B:$B,$E420,Prod_Prop!$H:$H,N$1,Prod_Prop!$I:$I,"Exacto"),Prod_Prop!$A:$A,Prod_Prop!$J:$J,"",0,1))</f>
        <v/>
      </c>
      <c r="O420" s="4" t="str">
        <f t="array" ref="O420">IF($E420="","", XLOOKUP(SUMIFS(Prod_Prop!$A:$A,Prod_Prop!$B:$B,$E420,Prod_Prop!$H:$H,O$1,Prod_Prop!$I:$I,"Exacto"),Prod_Prop!$A:$A,Prod_Prop!$J:$J,"",0,1))</f>
        <v/>
      </c>
      <c r="P420" s="4" t="str">
        <f t="array" ref="P420">IF($E420="","", XLOOKUP(SUMIFS(Prod_Prop!$A:$A,Prod_Prop!$B:$B,$E420,Prod_Prop!$H:$H,P$1,Prod_Prop!$I:$I,"Exacto"),Prod_Prop!$A:$A,Prod_Prop!$J:$J,"",0,1))</f>
        <v/>
      </c>
      <c r="Q420" s="4" t="str">
        <f t="array" ref="Q420">IF($E420="","", XLOOKUP(SUMIFS(Prod_Prop!$A:$A,Prod_Prop!$B:$B,$E420,Prod_Prop!$H:$H,Q$1,Prod_Prop!$I:$I,"Exacto"),Prod_Prop!$A:$A,Prod_Prop!$J:$J,"",0,1))</f>
        <v/>
      </c>
      <c r="R420" s="4" t="str">
        <f t="array" ref="R420">IF($E420="","", XLOOKUP(SUMIFS(Prod_Prop!$A:$A,Prod_Prop!$B:$B,$E420,Prod_Prop!$H:$H,R$1,Prod_Prop!$I:$I,"Exacto"),Prod_Prop!$A:$A,Prod_Prop!$J:$J,"",0,1))</f>
        <v/>
      </c>
      <c r="S420" s="4" t="str">
        <f t="array" ref="S420">IF($E420="","", XLOOKUP(SUMIFS(Prod_Prop!$A:$A,Prod_Prop!$B:$B,$E420,Prod_Prop!$H:$H,S$1,Prod_Prop!$I:$I,"Exacto"),Prod_Prop!$A:$A,Prod_Prop!$J:$J,"",0,1))</f>
        <v/>
      </c>
      <c r="T420" s="4" t="str">
        <f t="array" ref="T420">IF($E420="","", XLOOKUP(SUMIFS(Prod_Prop!$A:$A,Prod_Prop!$B:$B,$E420,Prod_Prop!$H:$H,T$1,Prod_Prop!$I:$I,"Exacto"),Prod_Prop!$A:$A,Prod_Prop!$J:$J,"",0,1))</f>
        <v/>
      </c>
      <c r="U420" s="4" t="str">
        <f t="array" ref="U420">IF($E420="","", XLOOKUP(SUMIFS(Prod_Prop!$A:$A,Prod_Prop!$B:$B,$E420,Prod_Prop!$H:$H,U$1,Prod_Prop!$I:$I,"Exacto"),Prod_Prop!$A:$A,Prod_Prop!$J:$J,"",0,1))</f>
        <v/>
      </c>
      <c r="V420" s="4" t="str">
        <f t="array" ref="V420">IF($E420="","", XLOOKUP(SUMIFS(Prod_Prop!$A:$A,Prod_Prop!$B:$B,$E420,Prod_Prop!$H:$H,V$1,Prod_Prop!$I:$I,"Exacto"),Prod_Prop!$A:$A,Prod_Prop!$J:$J,"",0,1))</f>
        <v/>
      </c>
      <c r="X420" s="3" t="str">
        <f>IFERROR(__xludf.DUMMYFUNCTION("IF(D420="""","""",IFERROR(TRANSPOSE(FILTER('Validaciones Cotizador'!U:U,'Validaciones Cotizador'!O:O=D420,'Validaciones Cotizador'!T:T=""x"")),""Finalizar""))"),"")</f>
        <v/>
      </c>
    </row>
    <row r="421">
      <c r="A421" s="2" t="str">
        <f t="array" ref="A421">IF(E421="","",XLOOKUP(D421,'Validaciones Cotizador'!C:C,'Validaciones Cotizador'!A:A,"",0,1))</f>
        <v/>
      </c>
      <c r="B421" s="2" t="str">
        <f t="array" ref="B421">IF(F421="","",XLOOKUP(F421,Productos!E:E,Productos!G:G,"",0,1))</f>
        <v/>
      </c>
      <c r="C421" s="2" t="str">
        <f>IF(A421="","",SUMIFS('Validaciones Cotizador'!B:B,'Validaciones Cotizador'!C:C,D421,'Validaciones Cotizador'!A:A,A421))</f>
        <v/>
      </c>
      <c r="D421" s="4" t="str">
        <f>IFERROR(__xludf.DUMMYFUNCTION("IF(OR(F420=""Finalizar"",F420="""",F420=""Selecciona..""),"""",IF(OR(F420=""-"",INDEX(filter(Familias!F:F,Familias!D:D=A420,Familias!E:E=C420),1)=""O""),D420+1,D420))"),"")</f>
        <v/>
      </c>
      <c r="E421" s="2" t="str">
        <f>IF(OR(F421="",F421="Selecciona.."),"",IF(D421="Implemento",SUMIF(Implementos!B:B,F421,Implementos!A:A),SUMIF(Productos!E:E,F421,Productos!A:A)))</f>
        <v/>
      </c>
      <c r="F421" s="2" t="str">
        <f t="shared" si="2"/>
        <v/>
      </c>
      <c r="G421" s="10" t="str">
        <f t="array" ref="G421">IF(OR(F421="",F421="-",F421="Selecciona..",F421="Finalizar"),"",IF(A421="Rodados",XLOOKUP(B421,'Validaciones Cotizador'!I:I,'Validaciones Cotizador'!J:J,0,0,1),1))</f>
        <v/>
      </c>
      <c r="H421" s="11" t="str">
        <f>IF(OR(F421="",F421="Selecciona.."),"",SUMIF(Precio_Productos!K:K,E421,Precio_Productos!J:J)*G421)</f>
        <v/>
      </c>
      <c r="I421" s="4" t="str">
        <f t="array" ref="I421">IF($E421="","", XLOOKUP(SUMIFS(Prod_Prop!$A:$A,Prod_Prop!$B:$B,$E421,Prod_Prop!$H:$H,I$1,Prod_Prop!$I:$I,"Exacto"),Prod_Prop!$A:$A,Prod_Prop!$J:$J,"",0,1))</f>
        <v/>
      </c>
      <c r="J421" s="4" t="str">
        <f t="array" ref="J421">IF($E421="","", XLOOKUP(SUMIFS(Prod_Prop!$A:$A,Prod_Prop!$B:$B,$E421,Prod_Prop!$H:$H,J$1,Prod_Prop!$I:$I,"Exacto"),Prod_Prop!$A:$A,Prod_Prop!$J:$J,"",0,1))</f>
        <v/>
      </c>
      <c r="K421" s="4" t="str">
        <f t="array" ref="K421">IF($E421="","", XLOOKUP(SUMIFS(Prod_Prop!$A:$A,Prod_Prop!$B:$B,$E421,Prod_Prop!$H:$H,K$1,Prod_Prop!$I:$I,"Exacto"),Prod_Prop!$A:$A,Prod_Prop!$J:$J,"",0,1))</f>
        <v/>
      </c>
      <c r="L421" s="4" t="str">
        <f t="array" ref="L421">IF($E421="","", XLOOKUP(SUMIFS(Prod_Prop!$A:$A,Prod_Prop!$B:$B,$E421,Prod_Prop!$H:$H,L$1,Prod_Prop!$I:$I,"Exacto"),Prod_Prop!$A:$A,Prod_Prop!$J:$J,"",0,1))</f>
        <v/>
      </c>
      <c r="M421" s="4" t="str">
        <f t="array" ref="M421">IF($E421="","", XLOOKUP(SUMIFS(Prod_Prop!$A:$A,Prod_Prop!$B:$B,$E421,Prod_Prop!$H:$H,M$1,Prod_Prop!$I:$I,"Exacto"),Prod_Prop!$A:$A,Prod_Prop!$J:$J,"",0,1))</f>
        <v/>
      </c>
      <c r="N421" s="4" t="str">
        <f t="array" ref="N421">IF($E421="","", XLOOKUP(SUMIFS(Prod_Prop!$A:$A,Prod_Prop!$B:$B,$E421,Prod_Prop!$H:$H,N$1,Prod_Prop!$I:$I,"Exacto"),Prod_Prop!$A:$A,Prod_Prop!$J:$J,"",0,1))</f>
        <v/>
      </c>
      <c r="O421" s="4" t="str">
        <f t="array" ref="O421">IF($E421="","", XLOOKUP(SUMIFS(Prod_Prop!$A:$A,Prod_Prop!$B:$B,$E421,Prod_Prop!$H:$H,O$1,Prod_Prop!$I:$I,"Exacto"),Prod_Prop!$A:$A,Prod_Prop!$J:$J,"",0,1))</f>
        <v/>
      </c>
      <c r="P421" s="4" t="str">
        <f t="array" ref="P421">IF($E421="","", XLOOKUP(SUMIFS(Prod_Prop!$A:$A,Prod_Prop!$B:$B,$E421,Prod_Prop!$H:$H,P$1,Prod_Prop!$I:$I,"Exacto"),Prod_Prop!$A:$A,Prod_Prop!$J:$J,"",0,1))</f>
        <v/>
      </c>
      <c r="Q421" s="4" t="str">
        <f t="array" ref="Q421">IF($E421="","", XLOOKUP(SUMIFS(Prod_Prop!$A:$A,Prod_Prop!$B:$B,$E421,Prod_Prop!$H:$H,Q$1,Prod_Prop!$I:$I,"Exacto"),Prod_Prop!$A:$A,Prod_Prop!$J:$J,"",0,1))</f>
        <v/>
      </c>
      <c r="R421" s="4" t="str">
        <f t="array" ref="R421">IF($E421="","", XLOOKUP(SUMIFS(Prod_Prop!$A:$A,Prod_Prop!$B:$B,$E421,Prod_Prop!$H:$H,R$1,Prod_Prop!$I:$I,"Exacto"),Prod_Prop!$A:$A,Prod_Prop!$J:$J,"",0,1))</f>
        <v/>
      </c>
      <c r="S421" s="4" t="str">
        <f t="array" ref="S421">IF($E421="","", XLOOKUP(SUMIFS(Prod_Prop!$A:$A,Prod_Prop!$B:$B,$E421,Prod_Prop!$H:$H,S$1,Prod_Prop!$I:$I,"Exacto"),Prod_Prop!$A:$A,Prod_Prop!$J:$J,"",0,1))</f>
        <v/>
      </c>
      <c r="T421" s="4" t="str">
        <f t="array" ref="T421">IF($E421="","", XLOOKUP(SUMIFS(Prod_Prop!$A:$A,Prod_Prop!$B:$B,$E421,Prod_Prop!$H:$H,T$1,Prod_Prop!$I:$I,"Exacto"),Prod_Prop!$A:$A,Prod_Prop!$J:$J,"",0,1))</f>
        <v/>
      </c>
      <c r="U421" s="4" t="str">
        <f t="array" ref="U421">IF($E421="","", XLOOKUP(SUMIFS(Prod_Prop!$A:$A,Prod_Prop!$B:$B,$E421,Prod_Prop!$H:$H,U$1,Prod_Prop!$I:$I,"Exacto"),Prod_Prop!$A:$A,Prod_Prop!$J:$J,"",0,1))</f>
        <v/>
      </c>
      <c r="V421" s="4" t="str">
        <f t="array" ref="V421">IF($E421="","", XLOOKUP(SUMIFS(Prod_Prop!$A:$A,Prod_Prop!$B:$B,$E421,Prod_Prop!$H:$H,V$1,Prod_Prop!$I:$I,"Exacto"),Prod_Prop!$A:$A,Prod_Prop!$J:$J,"",0,1))</f>
        <v/>
      </c>
      <c r="X421" s="3" t="str">
        <f>IFERROR(__xludf.DUMMYFUNCTION("IF(D421="""","""",IFERROR(TRANSPOSE(FILTER('Validaciones Cotizador'!U:U,'Validaciones Cotizador'!O:O=D421,'Validaciones Cotizador'!T:T=""x"")),""Finalizar""))"),"")</f>
        <v/>
      </c>
    </row>
    <row r="422">
      <c r="A422" s="2" t="str">
        <f t="array" ref="A422">IF(E422="","",XLOOKUP(D422,'Validaciones Cotizador'!C:C,'Validaciones Cotizador'!A:A,"",0,1))</f>
        <v/>
      </c>
      <c r="B422" s="2" t="str">
        <f t="array" ref="B422">IF(F422="","",XLOOKUP(F422,Productos!E:E,Productos!G:G,"",0,1))</f>
        <v/>
      </c>
      <c r="C422" s="2" t="str">
        <f>IF(A422="","",SUMIFS('Validaciones Cotizador'!B:B,'Validaciones Cotizador'!C:C,D422,'Validaciones Cotizador'!A:A,A422))</f>
        <v/>
      </c>
      <c r="D422" s="4" t="str">
        <f>IFERROR(__xludf.DUMMYFUNCTION("IF(OR(F421=""Finalizar"",F421="""",F421=""Selecciona..""),"""",IF(OR(F421=""-"",INDEX(filter(Familias!F:F,Familias!D:D=A421,Familias!E:E=C421),1)=""O""),D421+1,D421))"),"")</f>
        <v/>
      </c>
      <c r="E422" s="2" t="str">
        <f>IF(OR(F422="",F422="Selecciona.."),"",IF(D422="Implemento",SUMIF(Implementos!B:B,F422,Implementos!A:A),SUMIF(Productos!E:E,F422,Productos!A:A)))</f>
        <v/>
      </c>
      <c r="F422" s="2" t="str">
        <f t="shared" si="2"/>
        <v/>
      </c>
      <c r="G422" s="10" t="str">
        <f t="array" ref="G422">IF(OR(F422="",F422="-",F422="Selecciona..",F422="Finalizar"),"",IF(A422="Rodados",XLOOKUP(B422,'Validaciones Cotizador'!I:I,'Validaciones Cotizador'!J:J,0,0,1),1))</f>
        <v/>
      </c>
      <c r="H422" s="11" t="str">
        <f>IF(OR(F422="",F422="Selecciona.."),"",SUMIF(Precio_Productos!K:K,E422,Precio_Productos!J:J)*G422)</f>
        <v/>
      </c>
      <c r="I422" s="4" t="str">
        <f t="array" ref="I422">IF($E422="","", XLOOKUP(SUMIFS(Prod_Prop!$A:$A,Prod_Prop!$B:$B,$E422,Prod_Prop!$H:$H,I$1,Prod_Prop!$I:$I,"Exacto"),Prod_Prop!$A:$A,Prod_Prop!$J:$J,"",0,1))</f>
        <v/>
      </c>
      <c r="J422" s="4" t="str">
        <f t="array" ref="J422">IF($E422="","", XLOOKUP(SUMIFS(Prod_Prop!$A:$A,Prod_Prop!$B:$B,$E422,Prod_Prop!$H:$H,J$1,Prod_Prop!$I:$I,"Exacto"),Prod_Prop!$A:$A,Prod_Prop!$J:$J,"",0,1))</f>
        <v/>
      </c>
      <c r="K422" s="4" t="str">
        <f t="array" ref="K422">IF($E422="","", XLOOKUP(SUMIFS(Prod_Prop!$A:$A,Prod_Prop!$B:$B,$E422,Prod_Prop!$H:$H,K$1,Prod_Prop!$I:$I,"Exacto"),Prod_Prop!$A:$A,Prod_Prop!$J:$J,"",0,1))</f>
        <v/>
      </c>
      <c r="L422" s="4" t="str">
        <f t="array" ref="L422">IF($E422="","", XLOOKUP(SUMIFS(Prod_Prop!$A:$A,Prod_Prop!$B:$B,$E422,Prod_Prop!$H:$H,L$1,Prod_Prop!$I:$I,"Exacto"),Prod_Prop!$A:$A,Prod_Prop!$J:$J,"",0,1))</f>
        <v/>
      </c>
      <c r="M422" s="4" t="str">
        <f t="array" ref="M422">IF($E422="","", XLOOKUP(SUMIFS(Prod_Prop!$A:$A,Prod_Prop!$B:$B,$E422,Prod_Prop!$H:$H,M$1,Prod_Prop!$I:$I,"Exacto"),Prod_Prop!$A:$A,Prod_Prop!$J:$J,"",0,1))</f>
        <v/>
      </c>
      <c r="N422" s="4" t="str">
        <f t="array" ref="N422">IF($E422="","", XLOOKUP(SUMIFS(Prod_Prop!$A:$A,Prod_Prop!$B:$B,$E422,Prod_Prop!$H:$H,N$1,Prod_Prop!$I:$I,"Exacto"),Prod_Prop!$A:$A,Prod_Prop!$J:$J,"",0,1))</f>
        <v/>
      </c>
      <c r="O422" s="4" t="str">
        <f t="array" ref="O422">IF($E422="","", XLOOKUP(SUMIFS(Prod_Prop!$A:$A,Prod_Prop!$B:$B,$E422,Prod_Prop!$H:$H,O$1,Prod_Prop!$I:$I,"Exacto"),Prod_Prop!$A:$A,Prod_Prop!$J:$J,"",0,1))</f>
        <v/>
      </c>
      <c r="P422" s="4" t="str">
        <f t="array" ref="P422">IF($E422="","", XLOOKUP(SUMIFS(Prod_Prop!$A:$A,Prod_Prop!$B:$B,$E422,Prod_Prop!$H:$H,P$1,Prod_Prop!$I:$I,"Exacto"),Prod_Prop!$A:$A,Prod_Prop!$J:$J,"",0,1))</f>
        <v/>
      </c>
      <c r="Q422" s="4" t="str">
        <f t="array" ref="Q422">IF($E422="","", XLOOKUP(SUMIFS(Prod_Prop!$A:$A,Prod_Prop!$B:$B,$E422,Prod_Prop!$H:$H,Q$1,Prod_Prop!$I:$I,"Exacto"),Prod_Prop!$A:$A,Prod_Prop!$J:$J,"",0,1))</f>
        <v/>
      </c>
      <c r="R422" s="4" t="str">
        <f t="array" ref="R422">IF($E422="","", XLOOKUP(SUMIFS(Prod_Prop!$A:$A,Prod_Prop!$B:$B,$E422,Prod_Prop!$H:$H,R$1,Prod_Prop!$I:$I,"Exacto"),Prod_Prop!$A:$A,Prod_Prop!$J:$J,"",0,1))</f>
        <v/>
      </c>
      <c r="S422" s="4" t="str">
        <f t="array" ref="S422">IF($E422="","", XLOOKUP(SUMIFS(Prod_Prop!$A:$A,Prod_Prop!$B:$B,$E422,Prod_Prop!$H:$H,S$1,Prod_Prop!$I:$I,"Exacto"),Prod_Prop!$A:$A,Prod_Prop!$J:$J,"",0,1))</f>
        <v/>
      </c>
      <c r="T422" s="4" t="str">
        <f t="array" ref="T422">IF($E422="","", XLOOKUP(SUMIFS(Prod_Prop!$A:$A,Prod_Prop!$B:$B,$E422,Prod_Prop!$H:$H,T$1,Prod_Prop!$I:$I,"Exacto"),Prod_Prop!$A:$A,Prod_Prop!$J:$J,"",0,1))</f>
        <v/>
      </c>
      <c r="U422" s="4" t="str">
        <f t="array" ref="U422">IF($E422="","", XLOOKUP(SUMIFS(Prod_Prop!$A:$A,Prod_Prop!$B:$B,$E422,Prod_Prop!$H:$H,U$1,Prod_Prop!$I:$I,"Exacto"),Prod_Prop!$A:$A,Prod_Prop!$J:$J,"",0,1))</f>
        <v/>
      </c>
      <c r="V422" s="4" t="str">
        <f t="array" ref="V422">IF($E422="","", XLOOKUP(SUMIFS(Prod_Prop!$A:$A,Prod_Prop!$B:$B,$E422,Prod_Prop!$H:$H,V$1,Prod_Prop!$I:$I,"Exacto"),Prod_Prop!$A:$A,Prod_Prop!$J:$J,"",0,1))</f>
        <v/>
      </c>
      <c r="X422" s="3" t="str">
        <f>IFERROR(__xludf.DUMMYFUNCTION("IF(D422="""","""",IFERROR(TRANSPOSE(FILTER('Validaciones Cotizador'!U:U,'Validaciones Cotizador'!O:O=D422,'Validaciones Cotizador'!T:T=""x"")),""Finalizar""))"),"")</f>
        <v/>
      </c>
    </row>
    <row r="423">
      <c r="A423" s="2" t="str">
        <f t="array" ref="A423">IF(E423="","",XLOOKUP(D423,'Validaciones Cotizador'!C:C,'Validaciones Cotizador'!A:A,"",0,1))</f>
        <v/>
      </c>
      <c r="B423" s="2" t="str">
        <f t="array" ref="B423">IF(F423="","",XLOOKUP(F423,Productos!E:E,Productos!G:G,"",0,1))</f>
        <v/>
      </c>
      <c r="C423" s="2" t="str">
        <f>IF(A423="","",SUMIFS('Validaciones Cotizador'!B:B,'Validaciones Cotizador'!C:C,D423,'Validaciones Cotizador'!A:A,A423))</f>
        <v/>
      </c>
      <c r="D423" s="4" t="str">
        <f>IFERROR(__xludf.DUMMYFUNCTION("IF(OR(F422=""Finalizar"",F422="""",F422=""Selecciona..""),"""",IF(OR(F422=""-"",INDEX(filter(Familias!F:F,Familias!D:D=A422,Familias!E:E=C422),1)=""O""),D422+1,D422))"),"")</f>
        <v/>
      </c>
      <c r="E423" s="2" t="str">
        <f>IF(OR(F423="",F423="Selecciona.."),"",IF(D423="Implemento",SUMIF(Implementos!B:B,F423,Implementos!A:A),SUMIF(Productos!E:E,F423,Productos!A:A)))</f>
        <v/>
      </c>
      <c r="F423" s="2" t="str">
        <f t="shared" si="2"/>
        <v/>
      </c>
      <c r="G423" s="10" t="str">
        <f t="array" ref="G423">IF(OR(F423="",F423="-",F423="Selecciona..",F423="Finalizar"),"",IF(A423="Rodados",XLOOKUP(B423,'Validaciones Cotizador'!I:I,'Validaciones Cotizador'!J:J,0,0,1),1))</f>
        <v/>
      </c>
      <c r="H423" s="11" t="str">
        <f>IF(OR(F423="",F423="Selecciona.."),"",SUMIF(Precio_Productos!K:K,E423,Precio_Productos!J:J)*G423)</f>
        <v/>
      </c>
      <c r="I423" s="4" t="str">
        <f t="array" ref="I423">IF($E423="","", XLOOKUP(SUMIFS(Prod_Prop!$A:$A,Prod_Prop!$B:$B,$E423,Prod_Prop!$H:$H,I$1,Prod_Prop!$I:$I,"Exacto"),Prod_Prop!$A:$A,Prod_Prop!$J:$J,"",0,1))</f>
        <v/>
      </c>
      <c r="J423" s="4" t="str">
        <f t="array" ref="J423">IF($E423="","", XLOOKUP(SUMIFS(Prod_Prop!$A:$A,Prod_Prop!$B:$B,$E423,Prod_Prop!$H:$H,J$1,Prod_Prop!$I:$I,"Exacto"),Prod_Prop!$A:$A,Prod_Prop!$J:$J,"",0,1))</f>
        <v/>
      </c>
      <c r="K423" s="4" t="str">
        <f t="array" ref="K423">IF($E423="","", XLOOKUP(SUMIFS(Prod_Prop!$A:$A,Prod_Prop!$B:$B,$E423,Prod_Prop!$H:$H,K$1,Prod_Prop!$I:$I,"Exacto"),Prod_Prop!$A:$A,Prod_Prop!$J:$J,"",0,1))</f>
        <v/>
      </c>
      <c r="L423" s="4" t="str">
        <f t="array" ref="L423">IF($E423="","", XLOOKUP(SUMIFS(Prod_Prop!$A:$A,Prod_Prop!$B:$B,$E423,Prod_Prop!$H:$H,L$1,Prod_Prop!$I:$I,"Exacto"),Prod_Prop!$A:$A,Prod_Prop!$J:$J,"",0,1))</f>
        <v/>
      </c>
      <c r="M423" s="4" t="str">
        <f t="array" ref="M423">IF($E423="","", XLOOKUP(SUMIFS(Prod_Prop!$A:$A,Prod_Prop!$B:$B,$E423,Prod_Prop!$H:$H,M$1,Prod_Prop!$I:$I,"Exacto"),Prod_Prop!$A:$A,Prod_Prop!$J:$J,"",0,1))</f>
        <v/>
      </c>
      <c r="N423" s="4" t="str">
        <f t="array" ref="N423">IF($E423="","", XLOOKUP(SUMIFS(Prod_Prop!$A:$A,Prod_Prop!$B:$B,$E423,Prod_Prop!$H:$H,N$1,Prod_Prop!$I:$I,"Exacto"),Prod_Prop!$A:$A,Prod_Prop!$J:$J,"",0,1))</f>
        <v/>
      </c>
      <c r="O423" s="4" t="str">
        <f t="array" ref="O423">IF($E423="","", XLOOKUP(SUMIFS(Prod_Prop!$A:$A,Prod_Prop!$B:$B,$E423,Prod_Prop!$H:$H,O$1,Prod_Prop!$I:$I,"Exacto"),Prod_Prop!$A:$A,Prod_Prop!$J:$J,"",0,1))</f>
        <v/>
      </c>
      <c r="P423" s="4" t="str">
        <f t="array" ref="P423">IF($E423="","", XLOOKUP(SUMIFS(Prod_Prop!$A:$A,Prod_Prop!$B:$B,$E423,Prod_Prop!$H:$H,P$1,Prod_Prop!$I:$I,"Exacto"),Prod_Prop!$A:$A,Prod_Prop!$J:$J,"",0,1))</f>
        <v/>
      </c>
      <c r="Q423" s="4" t="str">
        <f t="array" ref="Q423">IF($E423="","", XLOOKUP(SUMIFS(Prod_Prop!$A:$A,Prod_Prop!$B:$B,$E423,Prod_Prop!$H:$H,Q$1,Prod_Prop!$I:$I,"Exacto"),Prod_Prop!$A:$A,Prod_Prop!$J:$J,"",0,1))</f>
        <v/>
      </c>
      <c r="R423" s="4" t="str">
        <f t="array" ref="R423">IF($E423="","", XLOOKUP(SUMIFS(Prod_Prop!$A:$A,Prod_Prop!$B:$B,$E423,Prod_Prop!$H:$H,R$1,Prod_Prop!$I:$I,"Exacto"),Prod_Prop!$A:$A,Prod_Prop!$J:$J,"",0,1))</f>
        <v/>
      </c>
      <c r="S423" s="4" t="str">
        <f t="array" ref="S423">IF($E423="","", XLOOKUP(SUMIFS(Prod_Prop!$A:$A,Prod_Prop!$B:$B,$E423,Prod_Prop!$H:$H,S$1,Prod_Prop!$I:$I,"Exacto"),Prod_Prop!$A:$A,Prod_Prop!$J:$J,"",0,1))</f>
        <v/>
      </c>
      <c r="T423" s="4" t="str">
        <f t="array" ref="T423">IF($E423="","", XLOOKUP(SUMIFS(Prod_Prop!$A:$A,Prod_Prop!$B:$B,$E423,Prod_Prop!$H:$H,T$1,Prod_Prop!$I:$I,"Exacto"),Prod_Prop!$A:$A,Prod_Prop!$J:$J,"",0,1))</f>
        <v/>
      </c>
      <c r="U423" s="4" t="str">
        <f t="array" ref="U423">IF($E423="","", XLOOKUP(SUMIFS(Prod_Prop!$A:$A,Prod_Prop!$B:$B,$E423,Prod_Prop!$H:$H,U$1,Prod_Prop!$I:$I,"Exacto"),Prod_Prop!$A:$A,Prod_Prop!$J:$J,"",0,1))</f>
        <v/>
      </c>
      <c r="V423" s="4" t="str">
        <f t="array" ref="V423">IF($E423="","", XLOOKUP(SUMIFS(Prod_Prop!$A:$A,Prod_Prop!$B:$B,$E423,Prod_Prop!$H:$H,V$1,Prod_Prop!$I:$I,"Exacto"),Prod_Prop!$A:$A,Prod_Prop!$J:$J,"",0,1))</f>
        <v/>
      </c>
      <c r="X423" s="3" t="str">
        <f>IFERROR(__xludf.DUMMYFUNCTION("IF(D423="""","""",IFERROR(TRANSPOSE(FILTER('Validaciones Cotizador'!U:U,'Validaciones Cotizador'!O:O=D423,'Validaciones Cotizador'!T:T=""x"")),""Finalizar""))"),"")</f>
        <v/>
      </c>
    </row>
    <row r="424">
      <c r="A424" s="2" t="str">
        <f t="array" ref="A424">IF(E424="","",XLOOKUP(D424,'Validaciones Cotizador'!C:C,'Validaciones Cotizador'!A:A,"",0,1))</f>
        <v/>
      </c>
      <c r="B424" s="2" t="str">
        <f t="array" ref="B424">IF(F424="","",XLOOKUP(F424,Productos!E:E,Productos!G:G,"",0,1))</f>
        <v/>
      </c>
      <c r="C424" s="2" t="str">
        <f>IF(A424="","",SUMIFS('Validaciones Cotizador'!B:B,'Validaciones Cotizador'!C:C,D424,'Validaciones Cotizador'!A:A,A424))</f>
        <v/>
      </c>
      <c r="D424" s="4" t="str">
        <f>IFERROR(__xludf.DUMMYFUNCTION("IF(OR(F423=""Finalizar"",F423="""",F423=""Selecciona..""),"""",IF(OR(F423=""-"",INDEX(filter(Familias!F:F,Familias!D:D=A423,Familias!E:E=C423),1)=""O""),D423+1,D423))"),"")</f>
        <v/>
      </c>
      <c r="E424" s="2" t="str">
        <f>IF(OR(F424="",F424="Selecciona.."),"",IF(D424="Implemento",SUMIF(Implementos!B:B,F424,Implementos!A:A),SUMIF(Productos!E:E,F424,Productos!A:A)))</f>
        <v/>
      </c>
      <c r="F424" s="2" t="str">
        <f t="shared" si="2"/>
        <v/>
      </c>
      <c r="G424" s="10" t="str">
        <f t="array" ref="G424">IF(OR(F424="",F424="-",F424="Selecciona..",F424="Finalizar"),"",IF(A424="Rodados",XLOOKUP(B424,'Validaciones Cotizador'!I:I,'Validaciones Cotizador'!J:J,0,0,1),1))</f>
        <v/>
      </c>
      <c r="H424" s="11" t="str">
        <f>IF(OR(F424="",F424="Selecciona.."),"",SUMIF(Precio_Productos!K:K,E424,Precio_Productos!J:J)*G424)</f>
        <v/>
      </c>
      <c r="I424" s="4" t="str">
        <f t="array" ref="I424">IF($E424="","", XLOOKUP(SUMIFS(Prod_Prop!$A:$A,Prod_Prop!$B:$B,$E424,Prod_Prop!$H:$H,I$1,Prod_Prop!$I:$I,"Exacto"),Prod_Prop!$A:$A,Prod_Prop!$J:$J,"",0,1))</f>
        <v/>
      </c>
      <c r="J424" s="4" t="str">
        <f t="array" ref="J424">IF($E424="","", XLOOKUP(SUMIFS(Prod_Prop!$A:$A,Prod_Prop!$B:$B,$E424,Prod_Prop!$H:$H,J$1,Prod_Prop!$I:$I,"Exacto"),Prod_Prop!$A:$A,Prod_Prop!$J:$J,"",0,1))</f>
        <v/>
      </c>
      <c r="K424" s="4" t="str">
        <f t="array" ref="K424">IF($E424="","", XLOOKUP(SUMIFS(Prod_Prop!$A:$A,Prod_Prop!$B:$B,$E424,Prod_Prop!$H:$H,K$1,Prod_Prop!$I:$I,"Exacto"),Prod_Prop!$A:$A,Prod_Prop!$J:$J,"",0,1))</f>
        <v/>
      </c>
      <c r="L424" s="4" t="str">
        <f t="array" ref="L424">IF($E424="","", XLOOKUP(SUMIFS(Prod_Prop!$A:$A,Prod_Prop!$B:$B,$E424,Prod_Prop!$H:$H,L$1,Prod_Prop!$I:$I,"Exacto"),Prod_Prop!$A:$A,Prod_Prop!$J:$J,"",0,1))</f>
        <v/>
      </c>
      <c r="M424" s="4" t="str">
        <f t="array" ref="M424">IF($E424="","", XLOOKUP(SUMIFS(Prod_Prop!$A:$A,Prod_Prop!$B:$B,$E424,Prod_Prop!$H:$H,M$1,Prod_Prop!$I:$I,"Exacto"),Prod_Prop!$A:$A,Prod_Prop!$J:$J,"",0,1))</f>
        <v/>
      </c>
      <c r="N424" s="4" t="str">
        <f t="array" ref="N424">IF($E424="","", XLOOKUP(SUMIFS(Prod_Prop!$A:$A,Prod_Prop!$B:$B,$E424,Prod_Prop!$H:$H,N$1,Prod_Prop!$I:$I,"Exacto"),Prod_Prop!$A:$A,Prod_Prop!$J:$J,"",0,1))</f>
        <v/>
      </c>
      <c r="O424" s="4" t="str">
        <f t="array" ref="O424">IF($E424="","", XLOOKUP(SUMIFS(Prod_Prop!$A:$A,Prod_Prop!$B:$B,$E424,Prod_Prop!$H:$H,O$1,Prod_Prop!$I:$I,"Exacto"),Prod_Prop!$A:$A,Prod_Prop!$J:$J,"",0,1))</f>
        <v/>
      </c>
      <c r="P424" s="4" t="str">
        <f t="array" ref="P424">IF($E424="","", XLOOKUP(SUMIFS(Prod_Prop!$A:$A,Prod_Prop!$B:$B,$E424,Prod_Prop!$H:$H,P$1,Prod_Prop!$I:$I,"Exacto"),Prod_Prop!$A:$A,Prod_Prop!$J:$J,"",0,1))</f>
        <v/>
      </c>
      <c r="Q424" s="4" t="str">
        <f t="array" ref="Q424">IF($E424="","", XLOOKUP(SUMIFS(Prod_Prop!$A:$A,Prod_Prop!$B:$B,$E424,Prod_Prop!$H:$H,Q$1,Prod_Prop!$I:$I,"Exacto"),Prod_Prop!$A:$A,Prod_Prop!$J:$J,"",0,1))</f>
        <v/>
      </c>
      <c r="R424" s="4" t="str">
        <f t="array" ref="R424">IF($E424="","", XLOOKUP(SUMIFS(Prod_Prop!$A:$A,Prod_Prop!$B:$B,$E424,Prod_Prop!$H:$H,R$1,Prod_Prop!$I:$I,"Exacto"),Prod_Prop!$A:$A,Prod_Prop!$J:$J,"",0,1))</f>
        <v/>
      </c>
      <c r="S424" s="4" t="str">
        <f t="array" ref="S424">IF($E424="","", XLOOKUP(SUMIFS(Prod_Prop!$A:$A,Prod_Prop!$B:$B,$E424,Prod_Prop!$H:$H,S$1,Prod_Prop!$I:$I,"Exacto"),Prod_Prop!$A:$A,Prod_Prop!$J:$J,"",0,1))</f>
        <v/>
      </c>
      <c r="T424" s="4" t="str">
        <f t="array" ref="T424">IF($E424="","", XLOOKUP(SUMIFS(Prod_Prop!$A:$A,Prod_Prop!$B:$B,$E424,Prod_Prop!$H:$H,T$1,Prod_Prop!$I:$I,"Exacto"),Prod_Prop!$A:$A,Prod_Prop!$J:$J,"",0,1))</f>
        <v/>
      </c>
      <c r="U424" s="4" t="str">
        <f t="array" ref="U424">IF($E424="","", XLOOKUP(SUMIFS(Prod_Prop!$A:$A,Prod_Prop!$B:$B,$E424,Prod_Prop!$H:$H,U$1,Prod_Prop!$I:$I,"Exacto"),Prod_Prop!$A:$A,Prod_Prop!$J:$J,"",0,1))</f>
        <v/>
      </c>
      <c r="V424" s="4" t="str">
        <f t="array" ref="V424">IF($E424="","", XLOOKUP(SUMIFS(Prod_Prop!$A:$A,Prod_Prop!$B:$B,$E424,Prod_Prop!$H:$H,V$1,Prod_Prop!$I:$I,"Exacto"),Prod_Prop!$A:$A,Prod_Prop!$J:$J,"",0,1))</f>
        <v/>
      </c>
      <c r="X424" s="3" t="str">
        <f>IFERROR(__xludf.DUMMYFUNCTION("IF(D424="""","""",IFERROR(TRANSPOSE(FILTER('Validaciones Cotizador'!U:U,'Validaciones Cotizador'!O:O=D424,'Validaciones Cotizador'!T:T=""x"")),""Finalizar""))"),"")</f>
        <v/>
      </c>
    </row>
    <row r="425">
      <c r="A425" s="2" t="str">
        <f t="array" ref="A425">IF(E425="","",XLOOKUP(D425,'Validaciones Cotizador'!C:C,'Validaciones Cotizador'!A:A,"",0,1))</f>
        <v/>
      </c>
      <c r="B425" s="2" t="str">
        <f t="array" ref="B425">IF(F425="","",XLOOKUP(F425,Productos!E:E,Productos!G:G,"",0,1))</f>
        <v/>
      </c>
      <c r="C425" s="2" t="str">
        <f>IF(A425="","",SUMIFS('Validaciones Cotizador'!B:B,'Validaciones Cotizador'!C:C,D425,'Validaciones Cotizador'!A:A,A425))</f>
        <v/>
      </c>
      <c r="D425" s="4" t="str">
        <f>IFERROR(__xludf.DUMMYFUNCTION("IF(OR(F424=""Finalizar"",F424="""",F424=""Selecciona..""),"""",IF(OR(F424=""-"",INDEX(filter(Familias!F:F,Familias!D:D=A424,Familias!E:E=C424),1)=""O""),D424+1,D424))"),"")</f>
        <v/>
      </c>
      <c r="E425" s="2" t="str">
        <f>IF(OR(F425="",F425="Selecciona.."),"",IF(D425="Implemento",SUMIF(Implementos!B:B,F425,Implementos!A:A),SUMIF(Productos!E:E,F425,Productos!A:A)))</f>
        <v/>
      </c>
      <c r="F425" s="2" t="str">
        <f t="shared" si="2"/>
        <v/>
      </c>
      <c r="G425" s="10" t="str">
        <f t="array" ref="G425">IF(OR(F425="",F425="-",F425="Selecciona..",F425="Finalizar"),"",IF(A425="Rodados",XLOOKUP(B425,'Validaciones Cotizador'!I:I,'Validaciones Cotizador'!J:J,0,0,1),1))</f>
        <v/>
      </c>
      <c r="H425" s="11" t="str">
        <f>IF(OR(F425="",F425="Selecciona.."),"",SUMIF(Precio_Productos!K:K,E425,Precio_Productos!J:J)*G425)</f>
        <v/>
      </c>
      <c r="I425" s="4" t="str">
        <f t="array" ref="I425">IF($E425="","", XLOOKUP(SUMIFS(Prod_Prop!$A:$A,Prod_Prop!$B:$B,$E425,Prod_Prop!$H:$H,I$1,Prod_Prop!$I:$I,"Exacto"),Prod_Prop!$A:$A,Prod_Prop!$J:$J,"",0,1))</f>
        <v/>
      </c>
      <c r="J425" s="4" t="str">
        <f t="array" ref="J425">IF($E425="","", XLOOKUP(SUMIFS(Prod_Prop!$A:$A,Prod_Prop!$B:$B,$E425,Prod_Prop!$H:$H,J$1,Prod_Prop!$I:$I,"Exacto"),Prod_Prop!$A:$A,Prod_Prop!$J:$J,"",0,1))</f>
        <v/>
      </c>
      <c r="K425" s="4" t="str">
        <f t="array" ref="K425">IF($E425="","", XLOOKUP(SUMIFS(Prod_Prop!$A:$A,Prod_Prop!$B:$B,$E425,Prod_Prop!$H:$H,K$1,Prod_Prop!$I:$I,"Exacto"),Prod_Prop!$A:$A,Prod_Prop!$J:$J,"",0,1))</f>
        <v/>
      </c>
      <c r="L425" s="4" t="str">
        <f t="array" ref="L425">IF($E425="","", XLOOKUP(SUMIFS(Prod_Prop!$A:$A,Prod_Prop!$B:$B,$E425,Prod_Prop!$H:$H,L$1,Prod_Prop!$I:$I,"Exacto"),Prod_Prop!$A:$A,Prod_Prop!$J:$J,"",0,1))</f>
        <v/>
      </c>
      <c r="M425" s="4" t="str">
        <f t="array" ref="M425">IF($E425="","", XLOOKUP(SUMIFS(Prod_Prop!$A:$A,Prod_Prop!$B:$B,$E425,Prod_Prop!$H:$H,M$1,Prod_Prop!$I:$I,"Exacto"),Prod_Prop!$A:$A,Prod_Prop!$J:$J,"",0,1))</f>
        <v/>
      </c>
      <c r="N425" s="4" t="str">
        <f t="array" ref="N425">IF($E425="","", XLOOKUP(SUMIFS(Prod_Prop!$A:$A,Prod_Prop!$B:$B,$E425,Prod_Prop!$H:$H,N$1,Prod_Prop!$I:$I,"Exacto"),Prod_Prop!$A:$A,Prod_Prop!$J:$J,"",0,1))</f>
        <v/>
      </c>
      <c r="O425" s="4" t="str">
        <f t="array" ref="O425">IF($E425="","", XLOOKUP(SUMIFS(Prod_Prop!$A:$A,Prod_Prop!$B:$B,$E425,Prod_Prop!$H:$H,O$1,Prod_Prop!$I:$I,"Exacto"),Prod_Prop!$A:$A,Prod_Prop!$J:$J,"",0,1))</f>
        <v/>
      </c>
      <c r="P425" s="4" t="str">
        <f t="array" ref="P425">IF($E425="","", XLOOKUP(SUMIFS(Prod_Prop!$A:$A,Prod_Prop!$B:$B,$E425,Prod_Prop!$H:$H,P$1,Prod_Prop!$I:$I,"Exacto"),Prod_Prop!$A:$A,Prod_Prop!$J:$J,"",0,1))</f>
        <v/>
      </c>
      <c r="Q425" s="4" t="str">
        <f t="array" ref="Q425">IF($E425="","", XLOOKUP(SUMIFS(Prod_Prop!$A:$A,Prod_Prop!$B:$B,$E425,Prod_Prop!$H:$H,Q$1,Prod_Prop!$I:$I,"Exacto"),Prod_Prop!$A:$A,Prod_Prop!$J:$J,"",0,1))</f>
        <v/>
      </c>
      <c r="R425" s="4" t="str">
        <f t="array" ref="R425">IF($E425="","", XLOOKUP(SUMIFS(Prod_Prop!$A:$A,Prod_Prop!$B:$B,$E425,Prod_Prop!$H:$H,R$1,Prod_Prop!$I:$I,"Exacto"),Prod_Prop!$A:$A,Prod_Prop!$J:$J,"",0,1))</f>
        <v/>
      </c>
      <c r="S425" s="4" t="str">
        <f t="array" ref="S425">IF($E425="","", XLOOKUP(SUMIFS(Prod_Prop!$A:$A,Prod_Prop!$B:$B,$E425,Prod_Prop!$H:$H,S$1,Prod_Prop!$I:$I,"Exacto"),Prod_Prop!$A:$A,Prod_Prop!$J:$J,"",0,1))</f>
        <v/>
      </c>
      <c r="T425" s="4" t="str">
        <f t="array" ref="T425">IF($E425="","", XLOOKUP(SUMIFS(Prod_Prop!$A:$A,Prod_Prop!$B:$B,$E425,Prod_Prop!$H:$H,T$1,Prod_Prop!$I:$I,"Exacto"),Prod_Prop!$A:$A,Prod_Prop!$J:$J,"",0,1))</f>
        <v/>
      </c>
      <c r="U425" s="4" t="str">
        <f t="array" ref="U425">IF($E425="","", XLOOKUP(SUMIFS(Prod_Prop!$A:$A,Prod_Prop!$B:$B,$E425,Prod_Prop!$H:$H,U$1,Prod_Prop!$I:$I,"Exacto"),Prod_Prop!$A:$A,Prod_Prop!$J:$J,"",0,1))</f>
        <v/>
      </c>
      <c r="V425" s="4" t="str">
        <f t="array" ref="V425">IF($E425="","", XLOOKUP(SUMIFS(Prod_Prop!$A:$A,Prod_Prop!$B:$B,$E425,Prod_Prop!$H:$H,V$1,Prod_Prop!$I:$I,"Exacto"),Prod_Prop!$A:$A,Prod_Prop!$J:$J,"",0,1))</f>
        <v/>
      </c>
      <c r="X425" s="3" t="str">
        <f>IFERROR(__xludf.DUMMYFUNCTION("IF(D425="""","""",IFERROR(TRANSPOSE(FILTER('Validaciones Cotizador'!U:U,'Validaciones Cotizador'!O:O=D425,'Validaciones Cotizador'!T:T=""x"")),""Finalizar""))"),"")</f>
        <v/>
      </c>
    </row>
    <row r="426">
      <c r="A426" s="2" t="str">
        <f t="array" ref="A426">IF(E426="","",XLOOKUP(D426,'Validaciones Cotizador'!C:C,'Validaciones Cotizador'!A:A,"",0,1))</f>
        <v/>
      </c>
      <c r="B426" s="2" t="str">
        <f t="array" ref="B426">IF(F426="","",XLOOKUP(F426,Productos!E:E,Productos!G:G,"",0,1))</f>
        <v/>
      </c>
      <c r="C426" s="2" t="str">
        <f>IF(A426="","",SUMIFS('Validaciones Cotizador'!B:B,'Validaciones Cotizador'!C:C,D426,'Validaciones Cotizador'!A:A,A426))</f>
        <v/>
      </c>
      <c r="D426" s="4" t="str">
        <f>IFERROR(__xludf.DUMMYFUNCTION("IF(OR(F425=""Finalizar"",F425="""",F425=""Selecciona..""),"""",IF(OR(F425=""-"",INDEX(filter(Familias!F:F,Familias!D:D=A425,Familias!E:E=C425),1)=""O""),D425+1,D425))"),"")</f>
        <v/>
      </c>
      <c r="E426" s="2" t="str">
        <f>IF(OR(F426="",F426="Selecciona.."),"",IF(D426="Implemento",SUMIF(Implementos!B:B,F426,Implementos!A:A),SUMIF(Productos!E:E,F426,Productos!A:A)))</f>
        <v/>
      </c>
      <c r="F426" s="2" t="str">
        <f t="shared" si="2"/>
        <v/>
      </c>
      <c r="G426" s="10" t="str">
        <f t="array" ref="G426">IF(OR(F426="",F426="-",F426="Selecciona..",F426="Finalizar"),"",IF(A426="Rodados",XLOOKUP(B426,'Validaciones Cotizador'!I:I,'Validaciones Cotizador'!J:J,0,0,1),1))</f>
        <v/>
      </c>
      <c r="H426" s="11" t="str">
        <f>IF(OR(F426="",F426="Selecciona.."),"",SUMIF(Precio_Productos!K:K,E426,Precio_Productos!J:J)*G426)</f>
        <v/>
      </c>
      <c r="I426" s="4" t="str">
        <f t="array" ref="I426">IF($E426="","", XLOOKUP(SUMIFS(Prod_Prop!$A:$A,Prod_Prop!$B:$B,$E426,Prod_Prop!$H:$H,I$1,Prod_Prop!$I:$I,"Exacto"),Prod_Prop!$A:$A,Prod_Prop!$J:$J,"",0,1))</f>
        <v/>
      </c>
      <c r="J426" s="4" t="str">
        <f t="array" ref="J426">IF($E426="","", XLOOKUP(SUMIFS(Prod_Prop!$A:$A,Prod_Prop!$B:$B,$E426,Prod_Prop!$H:$H,J$1,Prod_Prop!$I:$I,"Exacto"),Prod_Prop!$A:$A,Prod_Prop!$J:$J,"",0,1))</f>
        <v/>
      </c>
      <c r="K426" s="4" t="str">
        <f t="array" ref="K426">IF($E426="","", XLOOKUP(SUMIFS(Prod_Prop!$A:$A,Prod_Prop!$B:$B,$E426,Prod_Prop!$H:$H,K$1,Prod_Prop!$I:$I,"Exacto"),Prod_Prop!$A:$A,Prod_Prop!$J:$J,"",0,1))</f>
        <v/>
      </c>
      <c r="L426" s="4" t="str">
        <f t="array" ref="L426">IF($E426="","", XLOOKUP(SUMIFS(Prod_Prop!$A:$A,Prod_Prop!$B:$B,$E426,Prod_Prop!$H:$H,L$1,Prod_Prop!$I:$I,"Exacto"),Prod_Prop!$A:$A,Prod_Prop!$J:$J,"",0,1))</f>
        <v/>
      </c>
      <c r="M426" s="4" t="str">
        <f t="array" ref="M426">IF($E426="","", XLOOKUP(SUMIFS(Prod_Prop!$A:$A,Prod_Prop!$B:$B,$E426,Prod_Prop!$H:$H,M$1,Prod_Prop!$I:$I,"Exacto"),Prod_Prop!$A:$A,Prod_Prop!$J:$J,"",0,1))</f>
        <v/>
      </c>
      <c r="N426" s="4" t="str">
        <f t="array" ref="N426">IF($E426="","", XLOOKUP(SUMIFS(Prod_Prop!$A:$A,Prod_Prop!$B:$B,$E426,Prod_Prop!$H:$H,N$1,Prod_Prop!$I:$I,"Exacto"),Prod_Prop!$A:$A,Prod_Prop!$J:$J,"",0,1))</f>
        <v/>
      </c>
      <c r="O426" s="4" t="str">
        <f t="array" ref="O426">IF($E426="","", XLOOKUP(SUMIFS(Prod_Prop!$A:$A,Prod_Prop!$B:$B,$E426,Prod_Prop!$H:$H,O$1,Prod_Prop!$I:$I,"Exacto"),Prod_Prop!$A:$A,Prod_Prop!$J:$J,"",0,1))</f>
        <v/>
      </c>
      <c r="P426" s="4" t="str">
        <f t="array" ref="P426">IF($E426="","", XLOOKUP(SUMIFS(Prod_Prop!$A:$A,Prod_Prop!$B:$B,$E426,Prod_Prop!$H:$H,P$1,Prod_Prop!$I:$I,"Exacto"),Prod_Prop!$A:$A,Prod_Prop!$J:$J,"",0,1))</f>
        <v/>
      </c>
      <c r="Q426" s="4" t="str">
        <f t="array" ref="Q426">IF($E426="","", XLOOKUP(SUMIFS(Prod_Prop!$A:$A,Prod_Prop!$B:$B,$E426,Prod_Prop!$H:$H,Q$1,Prod_Prop!$I:$I,"Exacto"),Prod_Prop!$A:$A,Prod_Prop!$J:$J,"",0,1))</f>
        <v/>
      </c>
      <c r="R426" s="4" t="str">
        <f t="array" ref="R426">IF($E426="","", XLOOKUP(SUMIFS(Prod_Prop!$A:$A,Prod_Prop!$B:$B,$E426,Prod_Prop!$H:$H,R$1,Prod_Prop!$I:$I,"Exacto"),Prod_Prop!$A:$A,Prod_Prop!$J:$J,"",0,1))</f>
        <v/>
      </c>
      <c r="S426" s="4" t="str">
        <f t="array" ref="S426">IF($E426="","", XLOOKUP(SUMIFS(Prod_Prop!$A:$A,Prod_Prop!$B:$B,$E426,Prod_Prop!$H:$H,S$1,Prod_Prop!$I:$I,"Exacto"),Prod_Prop!$A:$A,Prod_Prop!$J:$J,"",0,1))</f>
        <v/>
      </c>
      <c r="T426" s="4" t="str">
        <f t="array" ref="T426">IF($E426="","", XLOOKUP(SUMIFS(Prod_Prop!$A:$A,Prod_Prop!$B:$B,$E426,Prod_Prop!$H:$H,T$1,Prod_Prop!$I:$I,"Exacto"),Prod_Prop!$A:$A,Prod_Prop!$J:$J,"",0,1))</f>
        <v/>
      </c>
      <c r="U426" s="4" t="str">
        <f t="array" ref="U426">IF($E426="","", XLOOKUP(SUMIFS(Prod_Prop!$A:$A,Prod_Prop!$B:$B,$E426,Prod_Prop!$H:$H,U$1,Prod_Prop!$I:$I,"Exacto"),Prod_Prop!$A:$A,Prod_Prop!$J:$J,"",0,1))</f>
        <v/>
      </c>
      <c r="V426" s="4" t="str">
        <f t="array" ref="V426">IF($E426="","", XLOOKUP(SUMIFS(Prod_Prop!$A:$A,Prod_Prop!$B:$B,$E426,Prod_Prop!$H:$H,V$1,Prod_Prop!$I:$I,"Exacto"),Prod_Prop!$A:$A,Prod_Prop!$J:$J,"",0,1))</f>
        <v/>
      </c>
      <c r="X426" s="3" t="str">
        <f>IFERROR(__xludf.DUMMYFUNCTION("IF(D426="""","""",IFERROR(TRANSPOSE(FILTER('Validaciones Cotizador'!U:U,'Validaciones Cotizador'!O:O=D426,'Validaciones Cotizador'!T:T=""x"")),""Finalizar""))"),"")</f>
        <v/>
      </c>
    </row>
    <row r="427">
      <c r="A427" s="2" t="str">
        <f t="array" ref="A427">IF(E427="","",XLOOKUP(D427,'Validaciones Cotizador'!C:C,'Validaciones Cotizador'!A:A,"",0,1))</f>
        <v/>
      </c>
      <c r="B427" s="2" t="str">
        <f t="array" ref="B427">IF(F427="","",XLOOKUP(F427,Productos!E:E,Productos!G:G,"",0,1))</f>
        <v/>
      </c>
      <c r="C427" s="2" t="str">
        <f>IF(A427="","",SUMIFS('Validaciones Cotizador'!B:B,'Validaciones Cotizador'!C:C,D427,'Validaciones Cotizador'!A:A,A427))</f>
        <v/>
      </c>
      <c r="D427" s="4" t="str">
        <f>IFERROR(__xludf.DUMMYFUNCTION("IF(OR(F426=""Finalizar"",F426="""",F426=""Selecciona..""),"""",IF(OR(F426=""-"",INDEX(filter(Familias!F:F,Familias!D:D=A426,Familias!E:E=C426),1)=""O""),D426+1,D426))"),"")</f>
        <v/>
      </c>
      <c r="E427" s="2" t="str">
        <f>IF(OR(F427="",F427="Selecciona.."),"",IF(D427="Implemento",SUMIF(Implementos!B:B,F427,Implementos!A:A),SUMIF(Productos!E:E,F427,Productos!A:A)))</f>
        <v/>
      </c>
      <c r="F427" s="2" t="str">
        <f t="shared" si="2"/>
        <v/>
      </c>
      <c r="G427" s="10" t="str">
        <f t="array" ref="G427">IF(OR(F427="",F427="-",F427="Selecciona..",F427="Finalizar"),"",IF(A427="Rodados",XLOOKUP(B427,'Validaciones Cotizador'!I:I,'Validaciones Cotizador'!J:J,0,0,1),1))</f>
        <v/>
      </c>
      <c r="H427" s="11" t="str">
        <f>IF(OR(F427="",F427="Selecciona.."),"",SUMIF(Precio_Productos!K:K,E427,Precio_Productos!J:J)*G427)</f>
        <v/>
      </c>
      <c r="I427" s="4" t="str">
        <f t="array" ref="I427">IF($E427="","", XLOOKUP(SUMIFS(Prod_Prop!$A:$A,Prod_Prop!$B:$B,$E427,Prod_Prop!$H:$H,I$1,Prod_Prop!$I:$I,"Exacto"),Prod_Prop!$A:$A,Prod_Prop!$J:$J,"",0,1))</f>
        <v/>
      </c>
      <c r="J427" s="4" t="str">
        <f t="array" ref="J427">IF($E427="","", XLOOKUP(SUMIFS(Prod_Prop!$A:$A,Prod_Prop!$B:$B,$E427,Prod_Prop!$H:$H,J$1,Prod_Prop!$I:$I,"Exacto"),Prod_Prop!$A:$A,Prod_Prop!$J:$J,"",0,1))</f>
        <v/>
      </c>
      <c r="K427" s="4" t="str">
        <f t="array" ref="K427">IF($E427="","", XLOOKUP(SUMIFS(Prod_Prop!$A:$A,Prod_Prop!$B:$B,$E427,Prod_Prop!$H:$H,K$1,Prod_Prop!$I:$I,"Exacto"),Prod_Prop!$A:$A,Prod_Prop!$J:$J,"",0,1))</f>
        <v/>
      </c>
      <c r="L427" s="4" t="str">
        <f t="array" ref="L427">IF($E427="","", XLOOKUP(SUMIFS(Prod_Prop!$A:$A,Prod_Prop!$B:$B,$E427,Prod_Prop!$H:$H,L$1,Prod_Prop!$I:$I,"Exacto"),Prod_Prop!$A:$A,Prod_Prop!$J:$J,"",0,1))</f>
        <v/>
      </c>
      <c r="M427" s="4" t="str">
        <f t="array" ref="M427">IF($E427="","", XLOOKUP(SUMIFS(Prod_Prop!$A:$A,Prod_Prop!$B:$B,$E427,Prod_Prop!$H:$H,M$1,Prod_Prop!$I:$I,"Exacto"),Prod_Prop!$A:$A,Prod_Prop!$J:$J,"",0,1))</f>
        <v/>
      </c>
      <c r="N427" s="4" t="str">
        <f t="array" ref="N427">IF($E427="","", XLOOKUP(SUMIFS(Prod_Prop!$A:$A,Prod_Prop!$B:$B,$E427,Prod_Prop!$H:$H,N$1,Prod_Prop!$I:$I,"Exacto"),Prod_Prop!$A:$A,Prod_Prop!$J:$J,"",0,1))</f>
        <v/>
      </c>
      <c r="O427" s="4" t="str">
        <f t="array" ref="O427">IF($E427="","", XLOOKUP(SUMIFS(Prod_Prop!$A:$A,Prod_Prop!$B:$B,$E427,Prod_Prop!$H:$H,O$1,Prod_Prop!$I:$I,"Exacto"),Prod_Prop!$A:$A,Prod_Prop!$J:$J,"",0,1))</f>
        <v/>
      </c>
      <c r="P427" s="4" t="str">
        <f t="array" ref="P427">IF($E427="","", XLOOKUP(SUMIFS(Prod_Prop!$A:$A,Prod_Prop!$B:$B,$E427,Prod_Prop!$H:$H,P$1,Prod_Prop!$I:$I,"Exacto"),Prod_Prop!$A:$A,Prod_Prop!$J:$J,"",0,1))</f>
        <v/>
      </c>
      <c r="Q427" s="4" t="str">
        <f t="array" ref="Q427">IF($E427="","", XLOOKUP(SUMIFS(Prod_Prop!$A:$A,Prod_Prop!$B:$B,$E427,Prod_Prop!$H:$H,Q$1,Prod_Prop!$I:$I,"Exacto"),Prod_Prop!$A:$A,Prod_Prop!$J:$J,"",0,1))</f>
        <v/>
      </c>
      <c r="R427" s="4" t="str">
        <f t="array" ref="R427">IF($E427="","", XLOOKUP(SUMIFS(Prod_Prop!$A:$A,Prod_Prop!$B:$B,$E427,Prod_Prop!$H:$H,R$1,Prod_Prop!$I:$I,"Exacto"),Prod_Prop!$A:$A,Prod_Prop!$J:$J,"",0,1))</f>
        <v/>
      </c>
      <c r="S427" s="4" t="str">
        <f t="array" ref="S427">IF($E427="","", XLOOKUP(SUMIFS(Prod_Prop!$A:$A,Prod_Prop!$B:$B,$E427,Prod_Prop!$H:$H,S$1,Prod_Prop!$I:$I,"Exacto"),Prod_Prop!$A:$A,Prod_Prop!$J:$J,"",0,1))</f>
        <v/>
      </c>
      <c r="T427" s="4" t="str">
        <f t="array" ref="T427">IF($E427="","", XLOOKUP(SUMIFS(Prod_Prop!$A:$A,Prod_Prop!$B:$B,$E427,Prod_Prop!$H:$H,T$1,Prod_Prop!$I:$I,"Exacto"),Prod_Prop!$A:$A,Prod_Prop!$J:$J,"",0,1))</f>
        <v/>
      </c>
      <c r="U427" s="4" t="str">
        <f t="array" ref="U427">IF($E427="","", XLOOKUP(SUMIFS(Prod_Prop!$A:$A,Prod_Prop!$B:$B,$E427,Prod_Prop!$H:$H,U$1,Prod_Prop!$I:$I,"Exacto"),Prod_Prop!$A:$A,Prod_Prop!$J:$J,"",0,1))</f>
        <v/>
      </c>
      <c r="V427" s="4" t="str">
        <f t="array" ref="V427">IF($E427="","", XLOOKUP(SUMIFS(Prod_Prop!$A:$A,Prod_Prop!$B:$B,$E427,Prod_Prop!$H:$H,V$1,Prod_Prop!$I:$I,"Exacto"),Prod_Prop!$A:$A,Prod_Prop!$J:$J,"",0,1))</f>
        <v/>
      </c>
      <c r="X427" s="3" t="str">
        <f>IFERROR(__xludf.DUMMYFUNCTION("IF(D427="""","""",IFERROR(TRANSPOSE(FILTER('Validaciones Cotizador'!U:U,'Validaciones Cotizador'!O:O=D427,'Validaciones Cotizador'!T:T=""x"")),""Finalizar""))"),"")</f>
        <v/>
      </c>
    </row>
    <row r="428">
      <c r="A428" s="2" t="str">
        <f t="array" ref="A428">IF(E428="","",XLOOKUP(D428,'Validaciones Cotizador'!C:C,'Validaciones Cotizador'!A:A,"",0,1))</f>
        <v/>
      </c>
      <c r="B428" s="2" t="str">
        <f t="array" ref="B428">IF(F428="","",XLOOKUP(F428,Productos!E:E,Productos!G:G,"",0,1))</f>
        <v/>
      </c>
      <c r="C428" s="2" t="str">
        <f>IF(A428="","",SUMIFS('Validaciones Cotizador'!B:B,'Validaciones Cotizador'!C:C,D428,'Validaciones Cotizador'!A:A,A428))</f>
        <v/>
      </c>
      <c r="D428" s="4" t="str">
        <f>IFERROR(__xludf.DUMMYFUNCTION("IF(OR(F427=""Finalizar"",F427="""",F427=""Selecciona..""),"""",IF(OR(F427=""-"",INDEX(filter(Familias!F:F,Familias!D:D=A427,Familias!E:E=C427),1)=""O""),D427+1,D427))"),"")</f>
        <v/>
      </c>
      <c r="E428" s="2" t="str">
        <f>IF(OR(F428="",F428="Selecciona.."),"",IF(D428="Implemento",SUMIF(Implementos!B:B,F428,Implementos!A:A),SUMIF(Productos!E:E,F428,Productos!A:A)))</f>
        <v/>
      </c>
      <c r="F428" s="2" t="str">
        <f t="shared" si="2"/>
        <v/>
      </c>
      <c r="G428" s="10" t="str">
        <f t="array" ref="G428">IF(OR(F428="",F428="-",F428="Selecciona..",F428="Finalizar"),"",IF(A428="Rodados",XLOOKUP(B428,'Validaciones Cotizador'!I:I,'Validaciones Cotizador'!J:J,0,0,1),1))</f>
        <v/>
      </c>
      <c r="H428" s="11" t="str">
        <f>IF(OR(F428="",F428="Selecciona.."),"",SUMIF(Precio_Productos!K:K,E428,Precio_Productos!J:J)*G428)</f>
        <v/>
      </c>
      <c r="I428" s="4" t="str">
        <f t="array" ref="I428">IF($E428="","", XLOOKUP(SUMIFS(Prod_Prop!$A:$A,Prod_Prop!$B:$B,$E428,Prod_Prop!$H:$H,I$1,Prod_Prop!$I:$I,"Exacto"),Prod_Prop!$A:$A,Prod_Prop!$J:$J,"",0,1))</f>
        <v/>
      </c>
      <c r="J428" s="4" t="str">
        <f t="array" ref="J428">IF($E428="","", XLOOKUP(SUMIFS(Prod_Prop!$A:$A,Prod_Prop!$B:$B,$E428,Prod_Prop!$H:$H,J$1,Prod_Prop!$I:$I,"Exacto"),Prod_Prop!$A:$A,Prod_Prop!$J:$J,"",0,1))</f>
        <v/>
      </c>
      <c r="K428" s="4" t="str">
        <f t="array" ref="K428">IF($E428="","", XLOOKUP(SUMIFS(Prod_Prop!$A:$A,Prod_Prop!$B:$B,$E428,Prod_Prop!$H:$H,K$1,Prod_Prop!$I:$I,"Exacto"),Prod_Prop!$A:$A,Prod_Prop!$J:$J,"",0,1))</f>
        <v/>
      </c>
      <c r="L428" s="4" t="str">
        <f t="array" ref="L428">IF($E428="","", XLOOKUP(SUMIFS(Prod_Prop!$A:$A,Prod_Prop!$B:$B,$E428,Prod_Prop!$H:$H,L$1,Prod_Prop!$I:$I,"Exacto"),Prod_Prop!$A:$A,Prod_Prop!$J:$J,"",0,1))</f>
        <v/>
      </c>
      <c r="M428" s="4" t="str">
        <f t="array" ref="M428">IF($E428="","", XLOOKUP(SUMIFS(Prod_Prop!$A:$A,Prod_Prop!$B:$B,$E428,Prod_Prop!$H:$H,M$1,Prod_Prop!$I:$I,"Exacto"),Prod_Prop!$A:$A,Prod_Prop!$J:$J,"",0,1))</f>
        <v/>
      </c>
      <c r="N428" s="4" t="str">
        <f t="array" ref="N428">IF($E428="","", XLOOKUP(SUMIFS(Prod_Prop!$A:$A,Prod_Prop!$B:$B,$E428,Prod_Prop!$H:$H,N$1,Prod_Prop!$I:$I,"Exacto"),Prod_Prop!$A:$A,Prod_Prop!$J:$J,"",0,1))</f>
        <v/>
      </c>
      <c r="O428" s="4" t="str">
        <f t="array" ref="O428">IF($E428="","", XLOOKUP(SUMIFS(Prod_Prop!$A:$A,Prod_Prop!$B:$B,$E428,Prod_Prop!$H:$H,O$1,Prod_Prop!$I:$I,"Exacto"),Prod_Prop!$A:$A,Prod_Prop!$J:$J,"",0,1))</f>
        <v/>
      </c>
      <c r="P428" s="4" t="str">
        <f t="array" ref="P428">IF($E428="","", XLOOKUP(SUMIFS(Prod_Prop!$A:$A,Prod_Prop!$B:$B,$E428,Prod_Prop!$H:$H,P$1,Prod_Prop!$I:$I,"Exacto"),Prod_Prop!$A:$A,Prod_Prop!$J:$J,"",0,1))</f>
        <v/>
      </c>
      <c r="Q428" s="4" t="str">
        <f t="array" ref="Q428">IF($E428="","", XLOOKUP(SUMIFS(Prod_Prop!$A:$A,Prod_Prop!$B:$B,$E428,Prod_Prop!$H:$H,Q$1,Prod_Prop!$I:$I,"Exacto"),Prod_Prop!$A:$A,Prod_Prop!$J:$J,"",0,1))</f>
        <v/>
      </c>
      <c r="R428" s="4" t="str">
        <f t="array" ref="R428">IF($E428="","", XLOOKUP(SUMIFS(Prod_Prop!$A:$A,Prod_Prop!$B:$B,$E428,Prod_Prop!$H:$H,R$1,Prod_Prop!$I:$I,"Exacto"),Prod_Prop!$A:$A,Prod_Prop!$J:$J,"",0,1))</f>
        <v/>
      </c>
      <c r="S428" s="4" t="str">
        <f t="array" ref="S428">IF($E428="","", XLOOKUP(SUMIFS(Prod_Prop!$A:$A,Prod_Prop!$B:$B,$E428,Prod_Prop!$H:$H,S$1,Prod_Prop!$I:$I,"Exacto"),Prod_Prop!$A:$A,Prod_Prop!$J:$J,"",0,1))</f>
        <v/>
      </c>
      <c r="T428" s="4" t="str">
        <f t="array" ref="T428">IF($E428="","", XLOOKUP(SUMIFS(Prod_Prop!$A:$A,Prod_Prop!$B:$B,$E428,Prod_Prop!$H:$H,T$1,Prod_Prop!$I:$I,"Exacto"),Prod_Prop!$A:$A,Prod_Prop!$J:$J,"",0,1))</f>
        <v/>
      </c>
      <c r="U428" s="4" t="str">
        <f t="array" ref="U428">IF($E428="","", XLOOKUP(SUMIFS(Prod_Prop!$A:$A,Prod_Prop!$B:$B,$E428,Prod_Prop!$H:$H,U$1,Prod_Prop!$I:$I,"Exacto"),Prod_Prop!$A:$A,Prod_Prop!$J:$J,"",0,1))</f>
        <v/>
      </c>
      <c r="V428" s="4" t="str">
        <f t="array" ref="V428">IF($E428="","", XLOOKUP(SUMIFS(Prod_Prop!$A:$A,Prod_Prop!$B:$B,$E428,Prod_Prop!$H:$H,V$1,Prod_Prop!$I:$I,"Exacto"),Prod_Prop!$A:$A,Prod_Prop!$J:$J,"",0,1))</f>
        <v/>
      </c>
      <c r="X428" s="3" t="str">
        <f>IFERROR(__xludf.DUMMYFUNCTION("IF(D428="""","""",IFERROR(TRANSPOSE(FILTER('Validaciones Cotizador'!U:U,'Validaciones Cotizador'!O:O=D428,'Validaciones Cotizador'!T:T=""x"")),""Finalizar""))"),"")</f>
        <v/>
      </c>
    </row>
    <row r="429">
      <c r="A429" s="2" t="str">
        <f t="array" ref="A429">IF(E429="","",XLOOKUP(D429,'Validaciones Cotizador'!C:C,'Validaciones Cotizador'!A:A,"",0,1))</f>
        <v/>
      </c>
      <c r="B429" s="2" t="str">
        <f t="array" ref="B429">IF(F429="","",XLOOKUP(F429,Productos!E:E,Productos!G:G,"",0,1))</f>
        <v/>
      </c>
      <c r="C429" s="2" t="str">
        <f>IF(A429="","",SUMIFS('Validaciones Cotizador'!B:B,'Validaciones Cotizador'!C:C,D429,'Validaciones Cotizador'!A:A,A429))</f>
        <v/>
      </c>
      <c r="D429" s="4" t="str">
        <f>IFERROR(__xludf.DUMMYFUNCTION("IF(OR(F428=""Finalizar"",F428="""",F428=""Selecciona..""),"""",IF(OR(F428=""-"",INDEX(filter(Familias!F:F,Familias!D:D=A428,Familias!E:E=C428),1)=""O""),D428+1,D428))"),"")</f>
        <v/>
      </c>
      <c r="E429" s="2" t="str">
        <f>IF(OR(F429="",F429="Selecciona.."),"",IF(D429="Implemento",SUMIF(Implementos!B:B,F429,Implementos!A:A),SUMIF(Productos!E:E,F429,Productos!A:A)))</f>
        <v/>
      </c>
      <c r="F429" s="2" t="str">
        <f t="shared" si="2"/>
        <v/>
      </c>
      <c r="G429" s="10" t="str">
        <f t="array" ref="G429">IF(OR(F429="",F429="-",F429="Selecciona..",F429="Finalizar"),"",IF(A429="Rodados",XLOOKUP(B429,'Validaciones Cotizador'!I:I,'Validaciones Cotizador'!J:J,0,0,1),1))</f>
        <v/>
      </c>
      <c r="H429" s="11" t="str">
        <f>IF(OR(F429="",F429="Selecciona.."),"",SUMIF(Precio_Productos!K:K,E429,Precio_Productos!J:J)*G429)</f>
        <v/>
      </c>
      <c r="I429" s="4" t="str">
        <f t="array" ref="I429">IF($E429="","", XLOOKUP(SUMIFS(Prod_Prop!$A:$A,Prod_Prop!$B:$B,$E429,Prod_Prop!$H:$H,I$1,Prod_Prop!$I:$I,"Exacto"),Prod_Prop!$A:$A,Prod_Prop!$J:$J,"",0,1))</f>
        <v/>
      </c>
      <c r="J429" s="4" t="str">
        <f t="array" ref="J429">IF($E429="","", XLOOKUP(SUMIFS(Prod_Prop!$A:$A,Prod_Prop!$B:$B,$E429,Prod_Prop!$H:$H,J$1,Prod_Prop!$I:$I,"Exacto"),Prod_Prop!$A:$A,Prod_Prop!$J:$J,"",0,1))</f>
        <v/>
      </c>
      <c r="K429" s="4" t="str">
        <f t="array" ref="K429">IF($E429="","", XLOOKUP(SUMIFS(Prod_Prop!$A:$A,Prod_Prop!$B:$B,$E429,Prod_Prop!$H:$H,K$1,Prod_Prop!$I:$I,"Exacto"),Prod_Prop!$A:$A,Prod_Prop!$J:$J,"",0,1))</f>
        <v/>
      </c>
      <c r="L429" s="4" t="str">
        <f t="array" ref="L429">IF($E429="","", XLOOKUP(SUMIFS(Prod_Prop!$A:$A,Prod_Prop!$B:$B,$E429,Prod_Prop!$H:$H,L$1,Prod_Prop!$I:$I,"Exacto"),Prod_Prop!$A:$A,Prod_Prop!$J:$J,"",0,1))</f>
        <v/>
      </c>
      <c r="M429" s="4" t="str">
        <f t="array" ref="M429">IF($E429="","", XLOOKUP(SUMIFS(Prod_Prop!$A:$A,Prod_Prop!$B:$B,$E429,Prod_Prop!$H:$H,M$1,Prod_Prop!$I:$I,"Exacto"),Prod_Prop!$A:$A,Prod_Prop!$J:$J,"",0,1))</f>
        <v/>
      </c>
      <c r="N429" s="4" t="str">
        <f t="array" ref="N429">IF($E429="","", XLOOKUP(SUMIFS(Prod_Prop!$A:$A,Prod_Prop!$B:$B,$E429,Prod_Prop!$H:$H,N$1,Prod_Prop!$I:$I,"Exacto"),Prod_Prop!$A:$A,Prod_Prop!$J:$J,"",0,1))</f>
        <v/>
      </c>
      <c r="O429" s="4" t="str">
        <f t="array" ref="O429">IF($E429="","", XLOOKUP(SUMIFS(Prod_Prop!$A:$A,Prod_Prop!$B:$B,$E429,Prod_Prop!$H:$H,O$1,Prod_Prop!$I:$I,"Exacto"),Prod_Prop!$A:$A,Prod_Prop!$J:$J,"",0,1))</f>
        <v/>
      </c>
      <c r="P429" s="4" t="str">
        <f t="array" ref="P429">IF($E429="","", XLOOKUP(SUMIFS(Prod_Prop!$A:$A,Prod_Prop!$B:$B,$E429,Prod_Prop!$H:$H,P$1,Prod_Prop!$I:$I,"Exacto"),Prod_Prop!$A:$A,Prod_Prop!$J:$J,"",0,1))</f>
        <v/>
      </c>
      <c r="Q429" s="4" t="str">
        <f t="array" ref="Q429">IF($E429="","", XLOOKUP(SUMIFS(Prod_Prop!$A:$A,Prod_Prop!$B:$B,$E429,Prod_Prop!$H:$H,Q$1,Prod_Prop!$I:$I,"Exacto"),Prod_Prop!$A:$A,Prod_Prop!$J:$J,"",0,1))</f>
        <v/>
      </c>
      <c r="R429" s="4" t="str">
        <f t="array" ref="R429">IF($E429="","", XLOOKUP(SUMIFS(Prod_Prop!$A:$A,Prod_Prop!$B:$B,$E429,Prod_Prop!$H:$H,R$1,Prod_Prop!$I:$I,"Exacto"),Prod_Prop!$A:$A,Prod_Prop!$J:$J,"",0,1))</f>
        <v/>
      </c>
      <c r="S429" s="4" t="str">
        <f t="array" ref="S429">IF($E429="","", XLOOKUP(SUMIFS(Prod_Prop!$A:$A,Prod_Prop!$B:$B,$E429,Prod_Prop!$H:$H,S$1,Prod_Prop!$I:$I,"Exacto"),Prod_Prop!$A:$A,Prod_Prop!$J:$J,"",0,1))</f>
        <v/>
      </c>
      <c r="T429" s="4" t="str">
        <f t="array" ref="T429">IF($E429="","", XLOOKUP(SUMIFS(Prod_Prop!$A:$A,Prod_Prop!$B:$B,$E429,Prod_Prop!$H:$H,T$1,Prod_Prop!$I:$I,"Exacto"),Prod_Prop!$A:$A,Prod_Prop!$J:$J,"",0,1))</f>
        <v/>
      </c>
      <c r="U429" s="4" t="str">
        <f t="array" ref="U429">IF($E429="","", XLOOKUP(SUMIFS(Prod_Prop!$A:$A,Prod_Prop!$B:$B,$E429,Prod_Prop!$H:$H,U$1,Prod_Prop!$I:$I,"Exacto"),Prod_Prop!$A:$A,Prod_Prop!$J:$J,"",0,1))</f>
        <v/>
      </c>
      <c r="V429" s="4" t="str">
        <f t="array" ref="V429">IF($E429="","", XLOOKUP(SUMIFS(Prod_Prop!$A:$A,Prod_Prop!$B:$B,$E429,Prod_Prop!$H:$H,V$1,Prod_Prop!$I:$I,"Exacto"),Prod_Prop!$A:$A,Prod_Prop!$J:$J,"",0,1))</f>
        <v/>
      </c>
      <c r="X429" s="3" t="str">
        <f>IFERROR(__xludf.DUMMYFUNCTION("IF(D429="""","""",IFERROR(TRANSPOSE(FILTER('Validaciones Cotizador'!U:U,'Validaciones Cotizador'!O:O=D429,'Validaciones Cotizador'!T:T=""x"")),""Finalizar""))"),"")</f>
        <v/>
      </c>
    </row>
    <row r="430">
      <c r="A430" s="2" t="str">
        <f t="array" ref="A430">IF(E430="","",XLOOKUP(D430,'Validaciones Cotizador'!C:C,'Validaciones Cotizador'!A:A,"",0,1))</f>
        <v/>
      </c>
      <c r="B430" s="2" t="str">
        <f t="array" ref="B430">IF(F430="","",XLOOKUP(F430,Productos!E:E,Productos!G:G,"",0,1))</f>
        <v/>
      </c>
      <c r="C430" s="2" t="str">
        <f>IF(A430="","",SUMIFS('Validaciones Cotizador'!B:B,'Validaciones Cotizador'!C:C,D430,'Validaciones Cotizador'!A:A,A430))</f>
        <v/>
      </c>
      <c r="D430" s="4" t="str">
        <f>IFERROR(__xludf.DUMMYFUNCTION("IF(OR(F429=""Finalizar"",F429="""",F429=""Selecciona..""),"""",IF(OR(F429=""-"",INDEX(filter(Familias!F:F,Familias!D:D=A429,Familias!E:E=C429),1)=""O""),D429+1,D429))"),"")</f>
        <v/>
      </c>
      <c r="E430" s="2" t="str">
        <f>IF(OR(F430="",F430="Selecciona.."),"",IF(D430="Implemento",SUMIF(Implementos!B:B,F430,Implementos!A:A),SUMIF(Productos!E:E,F430,Productos!A:A)))</f>
        <v/>
      </c>
      <c r="F430" s="2" t="str">
        <f t="shared" si="2"/>
        <v/>
      </c>
      <c r="G430" s="10" t="str">
        <f t="array" ref="G430">IF(OR(F430="",F430="-",F430="Selecciona..",F430="Finalizar"),"",IF(A430="Rodados",XLOOKUP(B430,'Validaciones Cotizador'!I:I,'Validaciones Cotizador'!J:J,0,0,1),1))</f>
        <v/>
      </c>
      <c r="H430" s="11" t="str">
        <f>IF(OR(F430="",F430="Selecciona.."),"",SUMIF(Precio_Productos!K:K,E430,Precio_Productos!J:J)*G430)</f>
        <v/>
      </c>
      <c r="I430" s="4" t="str">
        <f t="array" ref="I430">IF($E430="","", XLOOKUP(SUMIFS(Prod_Prop!$A:$A,Prod_Prop!$B:$B,$E430,Prod_Prop!$H:$H,I$1,Prod_Prop!$I:$I,"Exacto"),Prod_Prop!$A:$A,Prod_Prop!$J:$J,"",0,1))</f>
        <v/>
      </c>
      <c r="J430" s="4" t="str">
        <f t="array" ref="J430">IF($E430="","", XLOOKUP(SUMIFS(Prod_Prop!$A:$A,Prod_Prop!$B:$B,$E430,Prod_Prop!$H:$H,J$1,Prod_Prop!$I:$I,"Exacto"),Prod_Prop!$A:$A,Prod_Prop!$J:$J,"",0,1))</f>
        <v/>
      </c>
      <c r="K430" s="4" t="str">
        <f t="array" ref="K430">IF($E430="","", XLOOKUP(SUMIFS(Prod_Prop!$A:$A,Prod_Prop!$B:$B,$E430,Prod_Prop!$H:$H,K$1,Prod_Prop!$I:$I,"Exacto"),Prod_Prop!$A:$A,Prod_Prop!$J:$J,"",0,1))</f>
        <v/>
      </c>
      <c r="L430" s="4" t="str">
        <f t="array" ref="L430">IF($E430="","", XLOOKUP(SUMIFS(Prod_Prop!$A:$A,Prod_Prop!$B:$B,$E430,Prod_Prop!$H:$H,L$1,Prod_Prop!$I:$I,"Exacto"),Prod_Prop!$A:$A,Prod_Prop!$J:$J,"",0,1))</f>
        <v/>
      </c>
      <c r="M430" s="4" t="str">
        <f t="array" ref="M430">IF($E430="","", XLOOKUP(SUMIFS(Prod_Prop!$A:$A,Prod_Prop!$B:$B,$E430,Prod_Prop!$H:$H,M$1,Prod_Prop!$I:$I,"Exacto"),Prod_Prop!$A:$A,Prod_Prop!$J:$J,"",0,1))</f>
        <v/>
      </c>
      <c r="N430" s="4" t="str">
        <f t="array" ref="N430">IF($E430="","", XLOOKUP(SUMIFS(Prod_Prop!$A:$A,Prod_Prop!$B:$B,$E430,Prod_Prop!$H:$H,N$1,Prod_Prop!$I:$I,"Exacto"),Prod_Prop!$A:$A,Prod_Prop!$J:$J,"",0,1))</f>
        <v/>
      </c>
      <c r="O430" s="4" t="str">
        <f t="array" ref="O430">IF($E430="","", XLOOKUP(SUMIFS(Prod_Prop!$A:$A,Prod_Prop!$B:$B,$E430,Prod_Prop!$H:$H,O$1,Prod_Prop!$I:$I,"Exacto"),Prod_Prop!$A:$A,Prod_Prop!$J:$J,"",0,1))</f>
        <v/>
      </c>
      <c r="P430" s="4" t="str">
        <f t="array" ref="P430">IF($E430="","", XLOOKUP(SUMIFS(Prod_Prop!$A:$A,Prod_Prop!$B:$B,$E430,Prod_Prop!$H:$H,P$1,Prod_Prop!$I:$I,"Exacto"),Prod_Prop!$A:$A,Prod_Prop!$J:$J,"",0,1))</f>
        <v/>
      </c>
      <c r="Q430" s="4" t="str">
        <f t="array" ref="Q430">IF($E430="","", XLOOKUP(SUMIFS(Prod_Prop!$A:$A,Prod_Prop!$B:$B,$E430,Prod_Prop!$H:$H,Q$1,Prod_Prop!$I:$I,"Exacto"),Prod_Prop!$A:$A,Prod_Prop!$J:$J,"",0,1))</f>
        <v/>
      </c>
      <c r="R430" s="4" t="str">
        <f t="array" ref="R430">IF($E430="","", XLOOKUP(SUMIFS(Prod_Prop!$A:$A,Prod_Prop!$B:$B,$E430,Prod_Prop!$H:$H,R$1,Prod_Prop!$I:$I,"Exacto"),Prod_Prop!$A:$A,Prod_Prop!$J:$J,"",0,1))</f>
        <v/>
      </c>
      <c r="S430" s="4" t="str">
        <f t="array" ref="S430">IF($E430="","", XLOOKUP(SUMIFS(Prod_Prop!$A:$A,Prod_Prop!$B:$B,$E430,Prod_Prop!$H:$H,S$1,Prod_Prop!$I:$I,"Exacto"),Prod_Prop!$A:$A,Prod_Prop!$J:$J,"",0,1))</f>
        <v/>
      </c>
      <c r="T430" s="4" t="str">
        <f t="array" ref="T430">IF($E430="","", XLOOKUP(SUMIFS(Prod_Prop!$A:$A,Prod_Prop!$B:$B,$E430,Prod_Prop!$H:$H,T$1,Prod_Prop!$I:$I,"Exacto"),Prod_Prop!$A:$A,Prod_Prop!$J:$J,"",0,1))</f>
        <v/>
      </c>
      <c r="U430" s="4" t="str">
        <f t="array" ref="U430">IF($E430="","", XLOOKUP(SUMIFS(Prod_Prop!$A:$A,Prod_Prop!$B:$B,$E430,Prod_Prop!$H:$H,U$1,Prod_Prop!$I:$I,"Exacto"),Prod_Prop!$A:$A,Prod_Prop!$J:$J,"",0,1))</f>
        <v/>
      </c>
      <c r="V430" s="4" t="str">
        <f t="array" ref="V430">IF($E430="","", XLOOKUP(SUMIFS(Prod_Prop!$A:$A,Prod_Prop!$B:$B,$E430,Prod_Prop!$H:$H,V$1,Prod_Prop!$I:$I,"Exacto"),Prod_Prop!$A:$A,Prod_Prop!$J:$J,"",0,1))</f>
        <v/>
      </c>
      <c r="X430" s="3" t="str">
        <f>IFERROR(__xludf.DUMMYFUNCTION("IF(D430="""","""",IFERROR(TRANSPOSE(FILTER('Validaciones Cotizador'!U:U,'Validaciones Cotizador'!O:O=D430,'Validaciones Cotizador'!T:T=""x"")),""Finalizar""))"),"")</f>
        <v/>
      </c>
    </row>
    <row r="431">
      <c r="A431" s="2" t="str">
        <f t="array" ref="A431">IF(E431="","",XLOOKUP(D431,'Validaciones Cotizador'!C:C,'Validaciones Cotizador'!A:A,"",0,1))</f>
        <v/>
      </c>
      <c r="B431" s="2" t="str">
        <f t="array" ref="B431">IF(F431="","",XLOOKUP(F431,Productos!E:E,Productos!G:G,"",0,1))</f>
        <v/>
      </c>
      <c r="C431" s="2" t="str">
        <f>IF(A431="","",SUMIFS('Validaciones Cotizador'!B:B,'Validaciones Cotizador'!C:C,D431,'Validaciones Cotizador'!A:A,A431))</f>
        <v/>
      </c>
      <c r="D431" s="4" t="str">
        <f>IFERROR(__xludf.DUMMYFUNCTION("IF(OR(F430=""Finalizar"",F430="""",F430=""Selecciona..""),"""",IF(OR(F430=""-"",INDEX(filter(Familias!F:F,Familias!D:D=A430,Familias!E:E=C430),1)=""O""),D430+1,D430))"),"")</f>
        <v/>
      </c>
      <c r="E431" s="2" t="str">
        <f>IF(OR(F431="",F431="Selecciona.."),"",IF(D431="Implemento",SUMIF(Implementos!B:B,F431,Implementos!A:A),SUMIF(Productos!E:E,F431,Productos!A:A)))</f>
        <v/>
      </c>
      <c r="F431" s="2" t="str">
        <f t="shared" si="2"/>
        <v/>
      </c>
      <c r="G431" s="10" t="str">
        <f t="array" ref="G431">IF(OR(F431="",F431="-",F431="Selecciona..",F431="Finalizar"),"",IF(A431="Rodados",XLOOKUP(B431,'Validaciones Cotizador'!I:I,'Validaciones Cotizador'!J:J,0,0,1),1))</f>
        <v/>
      </c>
      <c r="H431" s="11" t="str">
        <f>IF(OR(F431="",F431="Selecciona.."),"",SUMIF(Precio_Productos!K:K,E431,Precio_Productos!J:J)*G431)</f>
        <v/>
      </c>
      <c r="I431" s="4" t="str">
        <f t="array" ref="I431">IF($E431="","", XLOOKUP(SUMIFS(Prod_Prop!$A:$A,Prod_Prop!$B:$B,$E431,Prod_Prop!$H:$H,I$1,Prod_Prop!$I:$I,"Exacto"),Prod_Prop!$A:$A,Prod_Prop!$J:$J,"",0,1))</f>
        <v/>
      </c>
      <c r="J431" s="4" t="str">
        <f t="array" ref="J431">IF($E431="","", XLOOKUP(SUMIFS(Prod_Prop!$A:$A,Prod_Prop!$B:$B,$E431,Prod_Prop!$H:$H,J$1,Prod_Prop!$I:$I,"Exacto"),Prod_Prop!$A:$A,Prod_Prop!$J:$J,"",0,1))</f>
        <v/>
      </c>
      <c r="K431" s="4" t="str">
        <f t="array" ref="K431">IF($E431="","", XLOOKUP(SUMIFS(Prod_Prop!$A:$A,Prod_Prop!$B:$B,$E431,Prod_Prop!$H:$H,K$1,Prod_Prop!$I:$I,"Exacto"),Prod_Prop!$A:$A,Prod_Prop!$J:$J,"",0,1))</f>
        <v/>
      </c>
      <c r="L431" s="4" t="str">
        <f t="array" ref="L431">IF($E431="","", XLOOKUP(SUMIFS(Prod_Prop!$A:$A,Prod_Prop!$B:$B,$E431,Prod_Prop!$H:$H,L$1,Prod_Prop!$I:$I,"Exacto"),Prod_Prop!$A:$A,Prod_Prop!$J:$J,"",0,1))</f>
        <v/>
      </c>
      <c r="M431" s="4" t="str">
        <f t="array" ref="M431">IF($E431="","", XLOOKUP(SUMIFS(Prod_Prop!$A:$A,Prod_Prop!$B:$B,$E431,Prod_Prop!$H:$H,M$1,Prod_Prop!$I:$I,"Exacto"),Prod_Prop!$A:$A,Prod_Prop!$J:$J,"",0,1))</f>
        <v/>
      </c>
      <c r="N431" s="4" t="str">
        <f t="array" ref="N431">IF($E431="","", XLOOKUP(SUMIFS(Prod_Prop!$A:$A,Prod_Prop!$B:$B,$E431,Prod_Prop!$H:$H,N$1,Prod_Prop!$I:$I,"Exacto"),Prod_Prop!$A:$A,Prod_Prop!$J:$J,"",0,1))</f>
        <v/>
      </c>
      <c r="O431" s="4" t="str">
        <f t="array" ref="O431">IF($E431="","", XLOOKUP(SUMIFS(Prod_Prop!$A:$A,Prod_Prop!$B:$B,$E431,Prod_Prop!$H:$H,O$1,Prod_Prop!$I:$I,"Exacto"),Prod_Prop!$A:$A,Prod_Prop!$J:$J,"",0,1))</f>
        <v/>
      </c>
      <c r="P431" s="4" t="str">
        <f t="array" ref="P431">IF($E431="","", XLOOKUP(SUMIFS(Prod_Prop!$A:$A,Prod_Prop!$B:$B,$E431,Prod_Prop!$H:$H,P$1,Prod_Prop!$I:$I,"Exacto"),Prod_Prop!$A:$A,Prod_Prop!$J:$J,"",0,1))</f>
        <v/>
      </c>
      <c r="Q431" s="4" t="str">
        <f t="array" ref="Q431">IF($E431="","", XLOOKUP(SUMIFS(Prod_Prop!$A:$A,Prod_Prop!$B:$B,$E431,Prod_Prop!$H:$H,Q$1,Prod_Prop!$I:$I,"Exacto"),Prod_Prop!$A:$A,Prod_Prop!$J:$J,"",0,1))</f>
        <v/>
      </c>
      <c r="R431" s="4" t="str">
        <f t="array" ref="R431">IF($E431="","", XLOOKUP(SUMIFS(Prod_Prop!$A:$A,Prod_Prop!$B:$B,$E431,Prod_Prop!$H:$H,R$1,Prod_Prop!$I:$I,"Exacto"),Prod_Prop!$A:$A,Prod_Prop!$J:$J,"",0,1))</f>
        <v/>
      </c>
      <c r="S431" s="4" t="str">
        <f t="array" ref="S431">IF($E431="","", XLOOKUP(SUMIFS(Prod_Prop!$A:$A,Prod_Prop!$B:$B,$E431,Prod_Prop!$H:$H,S$1,Prod_Prop!$I:$I,"Exacto"),Prod_Prop!$A:$A,Prod_Prop!$J:$J,"",0,1))</f>
        <v/>
      </c>
      <c r="T431" s="4" t="str">
        <f t="array" ref="T431">IF($E431="","", XLOOKUP(SUMIFS(Prod_Prop!$A:$A,Prod_Prop!$B:$B,$E431,Prod_Prop!$H:$H,T$1,Prod_Prop!$I:$I,"Exacto"),Prod_Prop!$A:$A,Prod_Prop!$J:$J,"",0,1))</f>
        <v/>
      </c>
      <c r="U431" s="4" t="str">
        <f t="array" ref="U431">IF($E431="","", XLOOKUP(SUMIFS(Prod_Prop!$A:$A,Prod_Prop!$B:$B,$E431,Prod_Prop!$H:$H,U$1,Prod_Prop!$I:$I,"Exacto"),Prod_Prop!$A:$A,Prod_Prop!$J:$J,"",0,1))</f>
        <v/>
      </c>
      <c r="V431" s="4" t="str">
        <f t="array" ref="V431">IF($E431="","", XLOOKUP(SUMIFS(Prod_Prop!$A:$A,Prod_Prop!$B:$B,$E431,Prod_Prop!$H:$H,V$1,Prod_Prop!$I:$I,"Exacto"),Prod_Prop!$A:$A,Prod_Prop!$J:$J,"",0,1))</f>
        <v/>
      </c>
      <c r="X431" s="3" t="str">
        <f>IFERROR(__xludf.DUMMYFUNCTION("IF(D431="""","""",IFERROR(TRANSPOSE(FILTER('Validaciones Cotizador'!U:U,'Validaciones Cotizador'!O:O=D431,'Validaciones Cotizador'!T:T=""x"")),""Finalizar""))"),"")</f>
        <v/>
      </c>
    </row>
    <row r="432">
      <c r="A432" s="2" t="str">
        <f t="array" ref="A432">IF(E432="","",XLOOKUP(D432,'Validaciones Cotizador'!C:C,'Validaciones Cotizador'!A:A,"",0,1))</f>
        <v/>
      </c>
      <c r="B432" s="2" t="str">
        <f t="array" ref="B432">IF(F432="","",XLOOKUP(F432,Productos!E:E,Productos!G:G,"",0,1))</f>
        <v/>
      </c>
      <c r="C432" s="2" t="str">
        <f>IF(A432="","",SUMIFS('Validaciones Cotizador'!B:B,'Validaciones Cotizador'!C:C,D432,'Validaciones Cotizador'!A:A,A432))</f>
        <v/>
      </c>
      <c r="D432" s="4" t="str">
        <f>IFERROR(__xludf.DUMMYFUNCTION("IF(OR(F431=""Finalizar"",F431="""",F431=""Selecciona..""),"""",IF(OR(F431=""-"",INDEX(filter(Familias!F:F,Familias!D:D=A431,Familias!E:E=C431),1)=""O""),D431+1,D431))"),"")</f>
        <v/>
      </c>
      <c r="E432" s="2" t="str">
        <f>IF(OR(F432="",F432="Selecciona.."),"",IF(D432="Implemento",SUMIF(Implementos!B:B,F432,Implementos!A:A),SUMIF(Productos!E:E,F432,Productos!A:A)))</f>
        <v/>
      </c>
      <c r="F432" s="2" t="str">
        <f t="shared" si="2"/>
        <v/>
      </c>
      <c r="G432" s="10" t="str">
        <f t="array" ref="G432">IF(OR(F432="",F432="-",F432="Selecciona..",F432="Finalizar"),"",IF(A432="Rodados",XLOOKUP(B432,'Validaciones Cotizador'!I:I,'Validaciones Cotizador'!J:J,0,0,1),1))</f>
        <v/>
      </c>
      <c r="H432" s="11" t="str">
        <f>IF(OR(F432="",F432="Selecciona.."),"",SUMIF(Precio_Productos!K:K,E432,Precio_Productos!J:J)*G432)</f>
        <v/>
      </c>
      <c r="I432" s="4" t="str">
        <f t="array" ref="I432">IF($E432="","", XLOOKUP(SUMIFS(Prod_Prop!$A:$A,Prod_Prop!$B:$B,$E432,Prod_Prop!$H:$H,I$1,Prod_Prop!$I:$I,"Exacto"),Prod_Prop!$A:$A,Prod_Prop!$J:$J,"",0,1))</f>
        <v/>
      </c>
      <c r="J432" s="4" t="str">
        <f t="array" ref="J432">IF($E432="","", XLOOKUP(SUMIFS(Prod_Prop!$A:$A,Prod_Prop!$B:$B,$E432,Prod_Prop!$H:$H,J$1,Prod_Prop!$I:$I,"Exacto"),Prod_Prop!$A:$A,Prod_Prop!$J:$J,"",0,1))</f>
        <v/>
      </c>
      <c r="K432" s="4" t="str">
        <f t="array" ref="K432">IF($E432="","", XLOOKUP(SUMIFS(Prod_Prop!$A:$A,Prod_Prop!$B:$B,$E432,Prod_Prop!$H:$H,K$1,Prod_Prop!$I:$I,"Exacto"),Prod_Prop!$A:$A,Prod_Prop!$J:$J,"",0,1))</f>
        <v/>
      </c>
      <c r="L432" s="4" t="str">
        <f t="array" ref="L432">IF($E432="","", XLOOKUP(SUMIFS(Prod_Prop!$A:$A,Prod_Prop!$B:$B,$E432,Prod_Prop!$H:$H,L$1,Prod_Prop!$I:$I,"Exacto"),Prod_Prop!$A:$A,Prod_Prop!$J:$J,"",0,1))</f>
        <v/>
      </c>
      <c r="M432" s="4" t="str">
        <f t="array" ref="M432">IF($E432="","", XLOOKUP(SUMIFS(Prod_Prop!$A:$A,Prod_Prop!$B:$B,$E432,Prod_Prop!$H:$H,M$1,Prod_Prop!$I:$I,"Exacto"),Prod_Prop!$A:$A,Prod_Prop!$J:$J,"",0,1))</f>
        <v/>
      </c>
      <c r="N432" s="4" t="str">
        <f t="array" ref="N432">IF($E432="","", XLOOKUP(SUMIFS(Prod_Prop!$A:$A,Prod_Prop!$B:$B,$E432,Prod_Prop!$H:$H,N$1,Prod_Prop!$I:$I,"Exacto"),Prod_Prop!$A:$A,Prod_Prop!$J:$J,"",0,1))</f>
        <v/>
      </c>
      <c r="O432" s="4" t="str">
        <f t="array" ref="O432">IF($E432="","", XLOOKUP(SUMIFS(Prod_Prop!$A:$A,Prod_Prop!$B:$B,$E432,Prod_Prop!$H:$H,O$1,Prod_Prop!$I:$I,"Exacto"),Prod_Prop!$A:$A,Prod_Prop!$J:$J,"",0,1))</f>
        <v/>
      </c>
      <c r="P432" s="4" t="str">
        <f t="array" ref="P432">IF($E432="","", XLOOKUP(SUMIFS(Prod_Prop!$A:$A,Prod_Prop!$B:$B,$E432,Prod_Prop!$H:$H,P$1,Prod_Prop!$I:$I,"Exacto"),Prod_Prop!$A:$A,Prod_Prop!$J:$J,"",0,1))</f>
        <v/>
      </c>
      <c r="Q432" s="4" t="str">
        <f t="array" ref="Q432">IF($E432="","", XLOOKUP(SUMIFS(Prod_Prop!$A:$A,Prod_Prop!$B:$B,$E432,Prod_Prop!$H:$H,Q$1,Prod_Prop!$I:$I,"Exacto"),Prod_Prop!$A:$A,Prod_Prop!$J:$J,"",0,1))</f>
        <v/>
      </c>
      <c r="R432" s="4" t="str">
        <f t="array" ref="R432">IF($E432="","", XLOOKUP(SUMIFS(Prod_Prop!$A:$A,Prod_Prop!$B:$B,$E432,Prod_Prop!$H:$H,R$1,Prod_Prop!$I:$I,"Exacto"),Prod_Prop!$A:$A,Prod_Prop!$J:$J,"",0,1))</f>
        <v/>
      </c>
      <c r="S432" s="4" t="str">
        <f t="array" ref="S432">IF($E432="","", XLOOKUP(SUMIFS(Prod_Prop!$A:$A,Prod_Prop!$B:$B,$E432,Prod_Prop!$H:$H,S$1,Prod_Prop!$I:$I,"Exacto"),Prod_Prop!$A:$A,Prod_Prop!$J:$J,"",0,1))</f>
        <v/>
      </c>
      <c r="T432" s="4" t="str">
        <f t="array" ref="T432">IF($E432="","", XLOOKUP(SUMIFS(Prod_Prop!$A:$A,Prod_Prop!$B:$B,$E432,Prod_Prop!$H:$H,T$1,Prod_Prop!$I:$I,"Exacto"),Prod_Prop!$A:$A,Prod_Prop!$J:$J,"",0,1))</f>
        <v/>
      </c>
      <c r="U432" s="4" t="str">
        <f t="array" ref="U432">IF($E432="","", XLOOKUP(SUMIFS(Prod_Prop!$A:$A,Prod_Prop!$B:$B,$E432,Prod_Prop!$H:$H,U$1,Prod_Prop!$I:$I,"Exacto"),Prod_Prop!$A:$A,Prod_Prop!$J:$J,"",0,1))</f>
        <v/>
      </c>
      <c r="V432" s="4" t="str">
        <f t="array" ref="V432">IF($E432="","", XLOOKUP(SUMIFS(Prod_Prop!$A:$A,Prod_Prop!$B:$B,$E432,Prod_Prop!$H:$H,V$1,Prod_Prop!$I:$I,"Exacto"),Prod_Prop!$A:$A,Prod_Prop!$J:$J,"",0,1))</f>
        <v/>
      </c>
      <c r="X432" s="3" t="str">
        <f>IFERROR(__xludf.DUMMYFUNCTION("IF(D432="""","""",IFERROR(TRANSPOSE(FILTER('Validaciones Cotizador'!U:U,'Validaciones Cotizador'!O:O=D432,'Validaciones Cotizador'!T:T=""x"")),""Finalizar""))"),"")</f>
        <v/>
      </c>
    </row>
    <row r="433">
      <c r="A433" s="2" t="str">
        <f t="array" ref="A433">IF(E433="","",XLOOKUP(D433,'Validaciones Cotizador'!C:C,'Validaciones Cotizador'!A:A,"",0,1))</f>
        <v/>
      </c>
      <c r="B433" s="2" t="str">
        <f t="array" ref="B433">IF(F433="","",XLOOKUP(F433,Productos!E:E,Productos!G:G,"",0,1))</f>
        <v/>
      </c>
      <c r="C433" s="2" t="str">
        <f>IF(A433="","",SUMIFS('Validaciones Cotizador'!B:B,'Validaciones Cotizador'!C:C,D433,'Validaciones Cotizador'!A:A,A433))</f>
        <v/>
      </c>
      <c r="D433" s="4" t="str">
        <f>IFERROR(__xludf.DUMMYFUNCTION("IF(OR(F432=""Finalizar"",F432="""",F432=""Selecciona..""),"""",IF(OR(F432=""-"",INDEX(filter(Familias!F:F,Familias!D:D=A432,Familias!E:E=C432),1)=""O""),D432+1,D432))"),"")</f>
        <v/>
      </c>
      <c r="E433" s="2" t="str">
        <f>IF(OR(F433="",F433="Selecciona.."),"",IF(D433="Implemento",SUMIF(Implementos!B:B,F433,Implementos!A:A),SUMIF(Productos!E:E,F433,Productos!A:A)))</f>
        <v/>
      </c>
      <c r="F433" s="2" t="str">
        <f t="shared" si="2"/>
        <v/>
      </c>
      <c r="G433" s="10" t="str">
        <f t="array" ref="G433">IF(OR(F433="",F433="-",F433="Selecciona..",F433="Finalizar"),"",IF(A433="Rodados",XLOOKUP(B433,'Validaciones Cotizador'!I:I,'Validaciones Cotizador'!J:J,0,0,1),1))</f>
        <v/>
      </c>
      <c r="H433" s="11" t="str">
        <f>IF(OR(F433="",F433="Selecciona.."),"",SUMIF(Precio_Productos!K:K,E433,Precio_Productos!J:J)*G433)</f>
        <v/>
      </c>
      <c r="I433" s="4" t="str">
        <f t="array" ref="I433">IF($E433="","", XLOOKUP(SUMIFS(Prod_Prop!$A:$A,Prod_Prop!$B:$B,$E433,Prod_Prop!$H:$H,I$1,Prod_Prop!$I:$I,"Exacto"),Prod_Prop!$A:$A,Prod_Prop!$J:$J,"",0,1))</f>
        <v/>
      </c>
      <c r="J433" s="4" t="str">
        <f t="array" ref="J433">IF($E433="","", XLOOKUP(SUMIFS(Prod_Prop!$A:$A,Prod_Prop!$B:$B,$E433,Prod_Prop!$H:$H,J$1,Prod_Prop!$I:$I,"Exacto"),Prod_Prop!$A:$A,Prod_Prop!$J:$J,"",0,1))</f>
        <v/>
      </c>
      <c r="K433" s="4" t="str">
        <f t="array" ref="K433">IF($E433="","", XLOOKUP(SUMIFS(Prod_Prop!$A:$A,Prod_Prop!$B:$B,$E433,Prod_Prop!$H:$H,K$1,Prod_Prop!$I:$I,"Exacto"),Prod_Prop!$A:$A,Prod_Prop!$J:$J,"",0,1))</f>
        <v/>
      </c>
      <c r="L433" s="4" t="str">
        <f t="array" ref="L433">IF($E433="","", XLOOKUP(SUMIFS(Prod_Prop!$A:$A,Prod_Prop!$B:$B,$E433,Prod_Prop!$H:$H,L$1,Prod_Prop!$I:$I,"Exacto"),Prod_Prop!$A:$A,Prod_Prop!$J:$J,"",0,1))</f>
        <v/>
      </c>
      <c r="M433" s="4" t="str">
        <f t="array" ref="M433">IF($E433="","", XLOOKUP(SUMIFS(Prod_Prop!$A:$A,Prod_Prop!$B:$B,$E433,Prod_Prop!$H:$H,M$1,Prod_Prop!$I:$I,"Exacto"),Prod_Prop!$A:$A,Prod_Prop!$J:$J,"",0,1))</f>
        <v/>
      </c>
      <c r="N433" s="4" t="str">
        <f t="array" ref="N433">IF($E433="","", XLOOKUP(SUMIFS(Prod_Prop!$A:$A,Prod_Prop!$B:$B,$E433,Prod_Prop!$H:$H,N$1,Prod_Prop!$I:$I,"Exacto"),Prod_Prop!$A:$A,Prod_Prop!$J:$J,"",0,1))</f>
        <v/>
      </c>
      <c r="O433" s="4" t="str">
        <f t="array" ref="O433">IF($E433="","", XLOOKUP(SUMIFS(Prod_Prop!$A:$A,Prod_Prop!$B:$B,$E433,Prod_Prop!$H:$H,O$1,Prod_Prop!$I:$I,"Exacto"),Prod_Prop!$A:$A,Prod_Prop!$J:$J,"",0,1))</f>
        <v/>
      </c>
      <c r="P433" s="4" t="str">
        <f t="array" ref="P433">IF($E433="","", XLOOKUP(SUMIFS(Prod_Prop!$A:$A,Prod_Prop!$B:$B,$E433,Prod_Prop!$H:$H,P$1,Prod_Prop!$I:$I,"Exacto"),Prod_Prop!$A:$A,Prod_Prop!$J:$J,"",0,1))</f>
        <v/>
      </c>
      <c r="Q433" s="4" t="str">
        <f t="array" ref="Q433">IF($E433="","", XLOOKUP(SUMIFS(Prod_Prop!$A:$A,Prod_Prop!$B:$B,$E433,Prod_Prop!$H:$H,Q$1,Prod_Prop!$I:$I,"Exacto"),Prod_Prop!$A:$A,Prod_Prop!$J:$J,"",0,1))</f>
        <v/>
      </c>
      <c r="R433" s="4" t="str">
        <f t="array" ref="R433">IF($E433="","", XLOOKUP(SUMIFS(Prod_Prop!$A:$A,Prod_Prop!$B:$B,$E433,Prod_Prop!$H:$H,R$1,Prod_Prop!$I:$I,"Exacto"),Prod_Prop!$A:$A,Prod_Prop!$J:$J,"",0,1))</f>
        <v/>
      </c>
      <c r="S433" s="4" t="str">
        <f t="array" ref="S433">IF($E433="","", XLOOKUP(SUMIFS(Prod_Prop!$A:$A,Prod_Prop!$B:$B,$E433,Prod_Prop!$H:$H,S$1,Prod_Prop!$I:$I,"Exacto"),Prod_Prop!$A:$A,Prod_Prop!$J:$J,"",0,1))</f>
        <v/>
      </c>
      <c r="T433" s="4" t="str">
        <f t="array" ref="T433">IF($E433="","", XLOOKUP(SUMIFS(Prod_Prop!$A:$A,Prod_Prop!$B:$B,$E433,Prod_Prop!$H:$H,T$1,Prod_Prop!$I:$I,"Exacto"),Prod_Prop!$A:$A,Prod_Prop!$J:$J,"",0,1))</f>
        <v/>
      </c>
      <c r="U433" s="4" t="str">
        <f t="array" ref="U433">IF($E433="","", XLOOKUP(SUMIFS(Prod_Prop!$A:$A,Prod_Prop!$B:$B,$E433,Prod_Prop!$H:$H,U$1,Prod_Prop!$I:$I,"Exacto"),Prod_Prop!$A:$A,Prod_Prop!$J:$J,"",0,1))</f>
        <v/>
      </c>
      <c r="V433" s="4" t="str">
        <f t="array" ref="V433">IF($E433="","", XLOOKUP(SUMIFS(Prod_Prop!$A:$A,Prod_Prop!$B:$B,$E433,Prod_Prop!$H:$H,V$1,Prod_Prop!$I:$I,"Exacto"),Prod_Prop!$A:$A,Prod_Prop!$J:$J,"",0,1))</f>
        <v/>
      </c>
      <c r="X433" s="3" t="str">
        <f>IFERROR(__xludf.DUMMYFUNCTION("IF(D433="""","""",IFERROR(TRANSPOSE(FILTER('Validaciones Cotizador'!U:U,'Validaciones Cotizador'!O:O=D433,'Validaciones Cotizador'!T:T=""x"")),""Finalizar""))"),"")</f>
        <v/>
      </c>
    </row>
    <row r="434">
      <c r="A434" s="2" t="str">
        <f t="array" ref="A434">IF(E434="","",XLOOKUP(D434,'Validaciones Cotizador'!C:C,'Validaciones Cotizador'!A:A,"",0,1))</f>
        <v/>
      </c>
      <c r="B434" s="2" t="str">
        <f t="array" ref="B434">IF(F434="","",XLOOKUP(F434,Productos!E:E,Productos!G:G,"",0,1))</f>
        <v/>
      </c>
      <c r="C434" s="2" t="str">
        <f>IF(A434="","",SUMIFS('Validaciones Cotizador'!B:B,'Validaciones Cotizador'!C:C,D434,'Validaciones Cotizador'!A:A,A434))</f>
        <v/>
      </c>
      <c r="D434" s="4" t="str">
        <f>IFERROR(__xludf.DUMMYFUNCTION("IF(OR(F433=""Finalizar"",F433="""",F433=""Selecciona..""),"""",IF(OR(F433=""-"",INDEX(filter(Familias!F:F,Familias!D:D=A433,Familias!E:E=C433),1)=""O""),D433+1,D433))"),"")</f>
        <v/>
      </c>
      <c r="E434" s="2" t="str">
        <f>IF(OR(F434="",F434="Selecciona.."),"",IF(D434="Implemento",SUMIF(Implementos!B:B,F434,Implementos!A:A),SUMIF(Productos!E:E,F434,Productos!A:A)))</f>
        <v/>
      </c>
      <c r="F434" s="2" t="str">
        <f t="shared" si="2"/>
        <v/>
      </c>
      <c r="G434" s="10" t="str">
        <f t="array" ref="G434">IF(OR(F434="",F434="-",F434="Selecciona..",F434="Finalizar"),"",IF(A434="Rodados",XLOOKUP(B434,'Validaciones Cotizador'!I:I,'Validaciones Cotizador'!J:J,0,0,1),1))</f>
        <v/>
      </c>
      <c r="H434" s="11" t="str">
        <f>IF(OR(F434="",F434="Selecciona.."),"",SUMIF(Precio_Productos!K:K,E434,Precio_Productos!J:J)*G434)</f>
        <v/>
      </c>
      <c r="I434" s="4" t="str">
        <f t="array" ref="I434">IF($E434="","", XLOOKUP(SUMIFS(Prod_Prop!$A:$A,Prod_Prop!$B:$B,$E434,Prod_Prop!$H:$H,I$1,Prod_Prop!$I:$I,"Exacto"),Prod_Prop!$A:$A,Prod_Prop!$J:$J,"",0,1))</f>
        <v/>
      </c>
      <c r="J434" s="4" t="str">
        <f t="array" ref="J434">IF($E434="","", XLOOKUP(SUMIFS(Prod_Prop!$A:$A,Prod_Prop!$B:$B,$E434,Prod_Prop!$H:$H,J$1,Prod_Prop!$I:$I,"Exacto"),Prod_Prop!$A:$A,Prod_Prop!$J:$J,"",0,1))</f>
        <v/>
      </c>
      <c r="K434" s="4" t="str">
        <f t="array" ref="K434">IF($E434="","", XLOOKUP(SUMIFS(Prod_Prop!$A:$A,Prod_Prop!$B:$B,$E434,Prod_Prop!$H:$H,K$1,Prod_Prop!$I:$I,"Exacto"),Prod_Prop!$A:$A,Prod_Prop!$J:$J,"",0,1))</f>
        <v/>
      </c>
      <c r="L434" s="4" t="str">
        <f t="array" ref="L434">IF($E434="","", XLOOKUP(SUMIFS(Prod_Prop!$A:$A,Prod_Prop!$B:$B,$E434,Prod_Prop!$H:$H,L$1,Prod_Prop!$I:$I,"Exacto"),Prod_Prop!$A:$A,Prod_Prop!$J:$J,"",0,1))</f>
        <v/>
      </c>
      <c r="M434" s="4" t="str">
        <f t="array" ref="M434">IF($E434="","", XLOOKUP(SUMIFS(Prod_Prop!$A:$A,Prod_Prop!$B:$B,$E434,Prod_Prop!$H:$H,M$1,Prod_Prop!$I:$I,"Exacto"),Prod_Prop!$A:$A,Prod_Prop!$J:$J,"",0,1))</f>
        <v/>
      </c>
      <c r="N434" s="4" t="str">
        <f t="array" ref="N434">IF($E434="","", XLOOKUP(SUMIFS(Prod_Prop!$A:$A,Prod_Prop!$B:$B,$E434,Prod_Prop!$H:$H,N$1,Prod_Prop!$I:$I,"Exacto"),Prod_Prop!$A:$A,Prod_Prop!$J:$J,"",0,1))</f>
        <v/>
      </c>
      <c r="O434" s="4" t="str">
        <f t="array" ref="O434">IF($E434="","", XLOOKUP(SUMIFS(Prod_Prop!$A:$A,Prod_Prop!$B:$B,$E434,Prod_Prop!$H:$H,O$1,Prod_Prop!$I:$I,"Exacto"),Prod_Prop!$A:$A,Prod_Prop!$J:$J,"",0,1))</f>
        <v/>
      </c>
      <c r="P434" s="4" t="str">
        <f t="array" ref="P434">IF($E434="","", XLOOKUP(SUMIFS(Prod_Prop!$A:$A,Prod_Prop!$B:$B,$E434,Prod_Prop!$H:$H,P$1,Prod_Prop!$I:$I,"Exacto"),Prod_Prop!$A:$A,Prod_Prop!$J:$J,"",0,1))</f>
        <v/>
      </c>
      <c r="Q434" s="4" t="str">
        <f t="array" ref="Q434">IF($E434="","", XLOOKUP(SUMIFS(Prod_Prop!$A:$A,Prod_Prop!$B:$B,$E434,Prod_Prop!$H:$H,Q$1,Prod_Prop!$I:$I,"Exacto"),Prod_Prop!$A:$A,Prod_Prop!$J:$J,"",0,1))</f>
        <v/>
      </c>
      <c r="R434" s="4" t="str">
        <f t="array" ref="R434">IF($E434="","", XLOOKUP(SUMIFS(Prod_Prop!$A:$A,Prod_Prop!$B:$B,$E434,Prod_Prop!$H:$H,R$1,Prod_Prop!$I:$I,"Exacto"),Prod_Prop!$A:$A,Prod_Prop!$J:$J,"",0,1))</f>
        <v/>
      </c>
      <c r="S434" s="4" t="str">
        <f t="array" ref="S434">IF($E434="","", XLOOKUP(SUMIFS(Prod_Prop!$A:$A,Prod_Prop!$B:$B,$E434,Prod_Prop!$H:$H,S$1,Prod_Prop!$I:$I,"Exacto"),Prod_Prop!$A:$A,Prod_Prop!$J:$J,"",0,1))</f>
        <v/>
      </c>
      <c r="T434" s="4" t="str">
        <f t="array" ref="T434">IF($E434="","", XLOOKUP(SUMIFS(Prod_Prop!$A:$A,Prod_Prop!$B:$B,$E434,Prod_Prop!$H:$H,T$1,Prod_Prop!$I:$I,"Exacto"),Prod_Prop!$A:$A,Prod_Prop!$J:$J,"",0,1))</f>
        <v/>
      </c>
      <c r="U434" s="4" t="str">
        <f t="array" ref="U434">IF($E434="","", XLOOKUP(SUMIFS(Prod_Prop!$A:$A,Prod_Prop!$B:$B,$E434,Prod_Prop!$H:$H,U$1,Prod_Prop!$I:$I,"Exacto"),Prod_Prop!$A:$A,Prod_Prop!$J:$J,"",0,1))</f>
        <v/>
      </c>
      <c r="V434" s="4" t="str">
        <f t="array" ref="V434">IF($E434="","", XLOOKUP(SUMIFS(Prod_Prop!$A:$A,Prod_Prop!$B:$B,$E434,Prod_Prop!$H:$H,V$1,Prod_Prop!$I:$I,"Exacto"),Prod_Prop!$A:$A,Prod_Prop!$J:$J,"",0,1))</f>
        <v/>
      </c>
      <c r="X434" s="3" t="str">
        <f>IFERROR(__xludf.DUMMYFUNCTION("IF(D434="""","""",IFERROR(TRANSPOSE(FILTER('Validaciones Cotizador'!U:U,'Validaciones Cotizador'!O:O=D434,'Validaciones Cotizador'!T:T=""x"")),""Finalizar""))"),"")</f>
        <v/>
      </c>
    </row>
    <row r="435">
      <c r="A435" s="2" t="str">
        <f t="array" ref="A435">IF(E435="","",XLOOKUP(D435,'Validaciones Cotizador'!C:C,'Validaciones Cotizador'!A:A,"",0,1))</f>
        <v/>
      </c>
      <c r="B435" s="2" t="str">
        <f t="array" ref="B435">IF(F435="","",XLOOKUP(F435,Productos!E:E,Productos!G:G,"",0,1))</f>
        <v/>
      </c>
      <c r="C435" s="2" t="str">
        <f>IF(A435="","",SUMIFS('Validaciones Cotizador'!B:B,'Validaciones Cotizador'!C:C,D435,'Validaciones Cotizador'!A:A,A435))</f>
        <v/>
      </c>
      <c r="D435" s="4" t="str">
        <f>IFERROR(__xludf.DUMMYFUNCTION("IF(OR(F434=""Finalizar"",F434="""",F434=""Selecciona..""),"""",IF(OR(F434=""-"",INDEX(filter(Familias!F:F,Familias!D:D=A434,Familias!E:E=C434),1)=""O""),D434+1,D434))"),"")</f>
        <v/>
      </c>
      <c r="E435" s="2" t="str">
        <f>IF(OR(F435="",F435="Selecciona.."),"",IF(D435="Implemento",SUMIF(Implementos!B:B,F435,Implementos!A:A),SUMIF(Productos!E:E,F435,Productos!A:A)))</f>
        <v/>
      </c>
      <c r="F435" s="2" t="str">
        <f t="shared" si="2"/>
        <v/>
      </c>
      <c r="G435" s="10" t="str">
        <f t="array" ref="G435">IF(OR(F435="",F435="-",F435="Selecciona..",F435="Finalizar"),"",IF(A435="Rodados",XLOOKUP(B435,'Validaciones Cotizador'!I:I,'Validaciones Cotizador'!J:J,0,0,1),1))</f>
        <v/>
      </c>
      <c r="H435" s="11" t="str">
        <f>IF(OR(F435="",F435="Selecciona.."),"",SUMIF(Precio_Productos!K:K,E435,Precio_Productos!J:J)*G435)</f>
        <v/>
      </c>
      <c r="I435" s="4" t="str">
        <f t="array" ref="I435">IF($E435="","", XLOOKUP(SUMIFS(Prod_Prop!$A:$A,Prod_Prop!$B:$B,$E435,Prod_Prop!$H:$H,I$1,Prod_Prop!$I:$I,"Exacto"),Prod_Prop!$A:$A,Prod_Prop!$J:$J,"",0,1))</f>
        <v/>
      </c>
      <c r="J435" s="4" t="str">
        <f t="array" ref="J435">IF($E435="","", XLOOKUP(SUMIFS(Prod_Prop!$A:$A,Prod_Prop!$B:$B,$E435,Prod_Prop!$H:$H,J$1,Prod_Prop!$I:$I,"Exacto"),Prod_Prop!$A:$A,Prod_Prop!$J:$J,"",0,1))</f>
        <v/>
      </c>
      <c r="K435" s="4" t="str">
        <f t="array" ref="K435">IF($E435="","", XLOOKUP(SUMIFS(Prod_Prop!$A:$A,Prod_Prop!$B:$B,$E435,Prod_Prop!$H:$H,K$1,Prod_Prop!$I:$I,"Exacto"),Prod_Prop!$A:$A,Prod_Prop!$J:$J,"",0,1))</f>
        <v/>
      </c>
      <c r="L435" s="4" t="str">
        <f t="array" ref="L435">IF($E435="","", XLOOKUP(SUMIFS(Prod_Prop!$A:$A,Prod_Prop!$B:$B,$E435,Prod_Prop!$H:$H,L$1,Prod_Prop!$I:$I,"Exacto"),Prod_Prop!$A:$A,Prod_Prop!$J:$J,"",0,1))</f>
        <v/>
      </c>
      <c r="M435" s="4" t="str">
        <f t="array" ref="M435">IF($E435="","", XLOOKUP(SUMIFS(Prod_Prop!$A:$A,Prod_Prop!$B:$B,$E435,Prod_Prop!$H:$H,M$1,Prod_Prop!$I:$I,"Exacto"),Prod_Prop!$A:$A,Prod_Prop!$J:$J,"",0,1))</f>
        <v/>
      </c>
      <c r="N435" s="4" t="str">
        <f t="array" ref="N435">IF($E435="","", XLOOKUP(SUMIFS(Prod_Prop!$A:$A,Prod_Prop!$B:$B,$E435,Prod_Prop!$H:$H,N$1,Prod_Prop!$I:$I,"Exacto"),Prod_Prop!$A:$A,Prod_Prop!$J:$J,"",0,1))</f>
        <v/>
      </c>
      <c r="O435" s="4" t="str">
        <f t="array" ref="O435">IF($E435="","", XLOOKUP(SUMIFS(Prod_Prop!$A:$A,Prod_Prop!$B:$B,$E435,Prod_Prop!$H:$H,O$1,Prod_Prop!$I:$I,"Exacto"),Prod_Prop!$A:$A,Prod_Prop!$J:$J,"",0,1))</f>
        <v/>
      </c>
      <c r="P435" s="4" t="str">
        <f t="array" ref="P435">IF($E435="","", XLOOKUP(SUMIFS(Prod_Prop!$A:$A,Prod_Prop!$B:$B,$E435,Prod_Prop!$H:$H,P$1,Prod_Prop!$I:$I,"Exacto"),Prod_Prop!$A:$A,Prod_Prop!$J:$J,"",0,1))</f>
        <v/>
      </c>
      <c r="Q435" s="4" t="str">
        <f t="array" ref="Q435">IF($E435="","", XLOOKUP(SUMIFS(Prod_Prop!$A:$A,Prod_Prop!$B:$B,$E435,Prod_Prop!$H:$H,Q$1,Prod_Prop!$I:$I,"Exacto"),Prod_Prop!$A:$A,Prod_Prop!$J:$J,"",0,1))</f>
        <v/>
      </c>
      <c r="R435" s="4" t="str">
        <f t="array" ref="R435">IF($E435="","", XLOOKUP(SUMIFS(Prod_Prop!$A:$A,Prod_Prop!$B:$B,$E435,Prod_Prop!$H:$H,R$1,Prod_Prop!$I:$I,"Exacto"),Prod_Prop!$A:$A,Prod_Prop!$J:$J,"",0,1))</f>
        <v/>
      </c>
      <c r="S435" s="4" t="str">
        <f t="array" ref="S435">IF($E435="","", XLOOKUP(SUMIFS(Prod_Prop!$A:$A,Prod_Prop!$B:$B,$E435,Prod_Prop!$H:$H,S$1,Prod_Prop!$I:$I,"Exacto"),Prod_Prop!$A:$A,Prod_Prop!$J:$J,"",0,1))</f>
        <v/>
      </c>
      <c r="T435" s="4" t="str">
        <f t="array" ref="T435">IF($E435="","", XLOOKUP(SUMIFS(Prod_Prop!$A:$A,Prod_Prop!$B:$B,$E435,Prod_Prop!$H:$H,T$1,Prod_Prop!$I:$I,"Exacto"),Prod_Prop!$A:$A,Prod_Prop!$J:$J,"",0,1))</f>
        <v/>
      </c>
      <c r="U435" s="4" t="str">
        <f t="array" ref="U435">IF($E435="","", XLOOKUP(SUMIFS(Prod_Prop!$A:$A,Prod_Prop!$B:$B,$E435,Prod_Prop!$H:$H,U$1,Prod_Prop!$I:$I,"Exacto"),Prod_Prop!$A:$A,Prod_Prop!$J:$J,"",0,1))</f>
        <v/>
      </c>
      <c r="V435" s="4" t="str">
        <f t="array" ref="V435">IF($E435="","", XLOOKUP(SUMIFS(Prod_Prop!$A:$A,Prod_Prop!$B:$B,$E435,Prod_Prop!$H:$H,V$1,Prod_Prop!$I:$I,"Exacto"),Prod_Prop!$A:$A,Prod_Prop!$J:$J,"",0,1))</f>
        <v/>
      </c>
      <c r="X435" s="3" t="str">
        <f>IFERROR(__xludf.DUMMYFUNCTION("IF(D435="""","""",IFERROR(TRANSPOSE(FILTER('Validaciones Cotizador'!U:U,'Validaciones Cotizador'!O:O=D435,'Validaciones Cotizador'!T:T=""x"")),""Finalizar""))"),"")</f>
        <v/>
      </c>
    </row>
    <row r="436">
      <c r="A436" s="2" t="str">
        <f t="array" ref="A436">IF(E436="","",XLOOKUP(D436,'Validaciones Cotizador'!C:C,'Validaciones Cotizador'!A:A,"",0,1))</f>
        <v/>
      </c>
      <c r="B436" s="2" t="str">
        <f t="array" ref="B436">IF(F436="","",XLOOKUP(F436,Productos!E:E,Productos!G:G,"",0,1))</f>
        <v/>
      </c>
      <c r="C436" s="2" t="str">
        <f>IF(A436="","",SUMIFS('Validaciones Cotizador'!B:B,'Validaciones Cotizador'!C:C,D436,'Validaciones Cotizador'!A:A,A436))</f>
        <v/>
      </c>
      <c r="D436" s="4" t="str">
        <f>IFERROR(__xludf.DUMMYFUNCTION("IF(OR(F435=""Finalizar"",F435="""",F435=""Selecciona..""),"""",IF(OR(F435=""-"",INDEX(filter(Familias!F:F,Familias!D:D=A435,Familias!E:E=C435),1)=""O""),D435+1,D435))"),"")</f>
        <v/>
      </c>
      <c r="E436" s="2" t="str">
        <f>IF(OR(F436="",F436="Selecciona.."),"",IF(D436="Implemento",SUMIF(Implementos!B:B,F436,Implementos!A:A),SUMIF(Productos!E:E,F436,Productos!A:A)))</f>
        <v/>
      </c>
      <c r="F436" s="2" t="str">
        <f t="shared" si="2"/>
        <v/>
      </c>
      <c r="G436" s="10" t="str">
        <f t="array" ref="G436">IF(OR(F436="",F436="-",F436="Selecciona..",F436="Finalizar"),"",IF(A436="Rodados",XLOOKUP(B436,'Validaciones Cotizador'!I:I,'Validaciones Cotizador'!J:J,0,0,1),1))</f>
        <v/>
      </c>
      <c r="H436" s="11" t="str">
        <f>IF(OR(F436="",F436="Selecciona.."),"",SUMIF(Precio_Productos!K:K,E436,Precio_Productos!J:J)*G436)</f>
        <v/>
      </c>
      <c r="I436" s="4" t="str">
        <f t="array" ref="I436">IF($E436="","", XLOOKUP(SUMIFS(Prod_Prop!$A:$A,Prod_Prop!$B:$B,$E436,Prod_Prop!$H:$H,I$1,Prod_Prop!$I:$I,"Exacto"),Prod_Prop!$A:$A,Prod_Prop!$J:$J,"",0,1))</f>
        <v/>
      </c>
      <c r="J436" s="4" t="str">
        <f t="array" ref="J436">IF($E436="","", XLOOKUP(SUMIFS(Prod_Prop!$A:$A,Prod_Prop!$B:$B,$E436,Prod_Prop!$H:$H,J$1,Prod_Prop!$I:$I,"Exacto"),Prod_Prop!$A:$A,Prod_Prop!$J:$J,"",0,1))</f>
        <v/>
      </c>
      <c r="K436" s="4" t="str">
        <f t="array" ref="K436">IF($E436="","", XLOOKUP(SUMIFS(Prod_Prop!$A:$A,Prod_Prop!$B:$B,$E436,Prod_Prop!$H:$H,K$1,Prod_Prop!$I:$I,"Exacto"),Prod_Prop!$A:$A,Prod_Prop!$J:$J,"",0,1))</f>
        <v/>
      </c>
      <c r="L436" s="4" t="str">
        <f t="array" ref="L436">IF($E436="","", XLOOKUP(SUMIFS(Prod_Prop!$A:$A,Prod_Prop!$B:$B,$E436,Prod_Prop!$H:$H,L$1,Prod_Prop!$I:$I,"Exacto"),Prod_Prop!$A:$A,Prod_Prop!$J:$J,"",0,1))</f>
        <v/>
      </c>
      <c r="M436" s="4" t="str">
        <f t="array" ref="M436">IF($E436="","", XLOOKUP(SUMIFS(Prod_Prop!$A:$A,Prod_Prop!$B:$B,$E436,Prod_Prop!$H:$H,M$1,Prod_Prop!$I:$I,"Exacto"),Prod_Prop!$A:$A,Prod_Prop!$J:$J,"",0,1))</f>
        <v/>
      </c>
      <c r="N436" s="4" t="str">
        <f t="array" ref="N436">IF($E436="","", XLOOKUP(SUMIFS(Prod_Prop!$A:$A,Prod_Prop!$B:$B,$E436,Prod_Prop!$H:$H,N$1,Prod_Prop!$I:$I,"Exacto"),Prod_Prop!$A:$A,Prod_Prop!$J:$J,"",0,1))</f>
        <v/>
      </c>
      <c r="O436" s="4" t="str">
        <f t="array" ref="O436">IF($E436="","", XLOOKUP(SUMIFS(Prod_Prop!$A:$A,Prod_Prop!$B:$B,$E436,Prod_Prop!$H:$H,O$1,Prod_Prop!$I:$I,"Exacto"),Prod_Prop!$A:$A,Prod_Prop!$J:$J,"",0,1))</f>
        <v/>
      </c>
      <c r="P436" s="4" t="str">
        <f t="array" ref="P436">IF($E436="","", XLOOKUP(SUMIFS(Prod_Prop!$A:$A,Prod_Prop!$B:$B,$E436,Prod_Prop!$H:$H,P$1,Prod_Prop!$I:$I,"Exacto"),Prod_Prop!$A:$A,Prod_Prop!$J:$J,"",0,1))</f>
        <v/>
      </c>
      <c r="Q436" s="4" t="str">
        <f t="array" ref="Q436">IF($E436="","", XLOOKUP(SUMIFS(Prod_Prop!$A:$A,Prod_Prop!$B:$B,$E436,Prod_Prop!$H:$H,Q$1,Prod_Prop!$I:$I,"Exacto"),Prod_Prop!$A:$A,Prod_Prop!$J:$J,"",0,1))</f>
        <v/>
      </c>
      <c r="R436" s="4" t="str">
        <f t="array" ref="R436">IF($E436="","", XLOOKUP(SUMIFS(Prod_Prop!$A:$A,Prod_Prop!$B:$B,$E436,Prod_Prop!$H:$H,R$1,Prod_Prop!$I:$I,"Exacto"),Prod_Prop!$A:$A,Prod_Prop!$J:$J,"",0,1))</f>
        <v/>
      </c>
      <c r="S436" s="4" t="str">
        <f t="array" ref="S436">IF($E436="","", XLOOKUP(SUMIFS(Prod_Prop!$A:$A,Prod_Prop!$B:$B,$E436,Prod_Prop!$H:$H,S$1,Prod_Prop!$I:$I,"Exacto"),Prod_Prop!$A:$A,Prod_Prop!$J:$J,"",0,1))</f>
        <v/>
      </c>
      <c r="T436" s="4" t="str">
        <f t="array" ref="T436">IF($E436="","", XLOOKUP(SUMIFS(Prod_Prop!$A:$A,Prod_Prop!$B:$B,$E436,Prod_Prop!$H:$H,T$1,Prod_Prop!$I:$I,"Exacto"),Prod_Prop!$A:$A,Prod_Prop!$J:$J,"",0,1))</f>
        <v/>
      </c>
      <c r="U436" s="4" t="str">
        <f t="array" ref="U436">IF($E436="","", XLOOKUP(SUMIFS(Prod_Prop!$A:$A,Prod_Prop!$B:$B,$E436,Prod_Prop!$H:$H,U$1,Prod_Prop!$I:$I,"Exacto"),Prod_Prop!$A:$A,Prod_Prop!$J:$J,"",0,1))</f>
        <v/>
      </c>
      <c r="V436" s="4" t="str">
        <f t="array" ref="V436">IF($E436="","", XLOOKUP(SUMIFS(Prod_Prop!$A:$A,Prod_Prop!$B:$B,$E436,Prod_Prop!$H:$H,V$1,Prod_Prop!$I:$I,"Exacto"),Prod_Prop!$A:$A,Prod_Prop!$J:$J,"",0,1))</f>
        <v/>
      </c>
      <c r="X436" s="3" t="str">
        <f>IFERROR(__xludf.DUMMYFUNCTION("IF(D436="""","""",IFERROR(TRANSPOSE(FILTER('Validaciones Cotizador'!U:U,'Validaciones Cotizador'!O:O=D436,'Validaciones Cotizador'!T:T=""x"")),""Finalizar""))"),"")</f>
        <v/>
      </c>
    </row>
    <row r="437">
      <c r="A437" s="2" t="str">
        <f t="array" ref="A437">IF(E437="","",XLOOKUP(D437,'Validaciones Cotizador'!C:C,'Validaciones Cotizador'!A:A,"",0,1))</f>
        <v/>
      </c>
      <c r="B437" s="2" t="str">
        <f t="array" ref="B437">IF(F437="","",XLOOKUP(F437,Productos!E:E,Productos!G:G,"",0,1))</f>
        <v/>
      </c>
      <c r="C437" s="2" t="str">
        <f>IF(A437="","",SUMIFS('Validaciones Cotizador'!B:B,'Validaciones Cotizador'!C:C,D437,'Validaciones Cotizador'!A:A,A437))</f>
        <v/>
      </c>
      <c r="D437" s="4" t="str">
        <f>IFERROR(__xludf.DUMMYFUNCTION("IF(OR(F436=""Finalizar"",F436="""",F436=""Selecciona..""),"""",IF(OR(F436=""-"",INDEX(filter(Familias!F:F,Familias!D:D=A436,Familias!E:E=C436),1)=""O""),D436+1,D436))"),"")</f>
        <v/>
      </c>
      <c r="E437" s="2" t="str">
        <f>IF(OR(F437="",F437="Selecciona.."),"",IF(D437="Implemento",SUMIF(Implementos!B:B,F437,Implementos!A:A),SUMIF(Productos!E:E,F437,Productos!A:A)))</f>
        <v/>
      </c>
      <c r="F437" s="2" t="str">
        <f t="shared" si="2"/>
        <v/>
      </c>
      <c r="G437" s="10" t="str">
        <f t="array" ref="G437">IF(OR(F437="",F437="-",F437="Selecciona..",F437="Finalizar"),"",IF(A437="Rodados",XLOOKUP(B437,'Validaciones Cotizador'!I:I,'Validaciones Cotizador'!J:J,0,0,1),1))</f>
        <v/>
      </c>
      <c r="H437" s="11" t="str">
        <f>IF(OR(F437="",F437="Selecciona.."),"",SUMIF(Precio_Productos!K:K,E437,Precio_Productos!J:J)*G437)</f>
        <v/>
      </c>
      <c r="I437" s="4" t="str">
        <f t="array" ref="I437">IF($E437="","", XLOOKUP(SUMIFS(Prod_Prop!$A:$A,Prod_Prop!$B:$B,$E437,Prod_Prop!$H:$H,I$1,Prod_Prop!$I:$I,"Exacto"),Prod_Prop!$A:$A,Prod_Prop!$J:$J,"",0,1))</f>
        <v/>
      </c>
      <c r="J437" s="4" t="str">
        <f t="array" ref="J437">IF($E437="","", XLOOKUP(SUMIFS(Prod_Prop!$A:$A,Prod_Prop!$B:$B,$E437,Prod_Prop!$H:$H,J$1,Prod_Prop!$I:$I,"Exacto"),Prod_Prop!$A:$A,Prod_Prop!$J:$J,"",0,1))</f>
        <v/>
      </c>
      <c r="K437" s="4" t="str">
        <f t="array" ref="K437">IF($E437="","", XLOOKUP(SUMIFS(Prod_Prop!$A:$A,Prod_Prop!$B:$B,$E437,Prod_Prop!$H:$H,K$1,Prod_Prop!$I:$I,"Exacto"),Prod_Prop!$A:$A,Prod_Prop!$J:$J,"",0,1))</f>
        <v/>
      </c>
      <c r="L437" s="4" t="str">
        <f t="array" ref="L437">IF($E437="","", XLOOKUP(SUMIFS(Prod_Prop!$A:$A,Prod_Prop!$B:$B,$E437,Prod_Prop!$H:$H,L$1,Prod_Prop!$I:$I,"Exacto"),Prod_Prop!$A:$A,Prod_Prop!$J:$J,"",0,1))</f>
        <v/>
      </c>
      <c r="M437" s="4" t="str">
        <f t="array" ref="M437">IF($E437="","", XLOOKUP(SUMIFS(Prod_Prop!$A:$A,Prod_Prop!$B:$B,$E437,Prod_Prop!$H:$H,M$1,Prod_Prop!$I:$I,"Exacto"),Prod_Prop!$A:$A,Prod_Prop!$J:$J,"",0,1))</f>
        <v/>
      </c>
      <c r="N437" s="4" t="str">
        <f t="array" ref="N437">IF($E437="","", XLOOKUP(SUMIFS(Prod_Prop!$A:$A,Prod_Prop!$B:$B,$E437,Prod_Prop!$H:$H,N$1,Prod_Prop!$I:$I,"Exacto"),Prod_Prop!$A:$A,Prod_Prop!$J:$J,"",0,1))</f>
        <v/>
      </c>
      <c r="O437" s="4" t="str">
        <f t="array" ref="O437">IF($E437="","", XLOOKUP(SUMIFS(Prod_Prop!$A:$A,Prod_Prop!$B:$B,$E437,Prod_Prop!$H:$H,O$1,Prod_Prop!$I:$I,"Exacto"),Prod_Prop!$A:$A,Prod_Prop!$J:$J,"",0,1))</f>
        <v/>
      </c>
      <c r="P437" s="4" t="str">
        <f t="array" ref="P437">IF($E437="","", XLOOKUP(SUMIFS(Prod_Prop!$A:$A,Prod_Prop!$B:$B,$E437,Prod_Prop!$H:$H,P$1,Prod_Prop!$I:$I,"Exacto"),Prod_Prop!$A:$A,Prod_Prop!$J:$J,"",0,1))</f>
        <v/>
      </c>
      <c r="Q437" s="4" t="str">
        <f t="array" ref="Q437">IF($E437="","", XLOOKUP(SUMIFS(Prod_Prop!$A:$A,Prod_Prop!$B:$B,$E437,Prod_Prop!$H:$H,Q$1,Prod_Prop!$I:$I,"Exacto"),Prod_Prop!$A:$A,Prod_Prop!$J:$J,"",0,1))</f>
        <v/>
      </c>
      <c r="R437" s="4" t="str">
        <f t="array" ref="R437">IF($E437="","", XLOOKUP(SUMIFS(Prod_Prop!$A:$A,Prod_Prop!$B:$B,$E437,Prod_Prop!$H:$H,R$1,Prod_Prop!$I:$I,"Exacto"),Prod_Prop!$A:$A,Prod_Prop!$J:$J,"",0,1))</f>
        <v/>
      </c>
      <c r="S437" s="4" t="str">
        <f t="array" ref="S437">IF($E437="","", XLOOKUP(SUMIFS(Prod_Prop!$A:$A,Prod_Prop!$B:$B,$E437,Prod_Prop!$H:$H,S$1,Prod_Prop!$I:$I,"Exacto"),Prod_Prop!$A:$A,Prod_Prop!$J:$J,"",0,1))</f>
        <v/>
      </c>
      <c r="T437" s="4" t="str">
        <f t="array" ref="T437">IF($E437="","", XLOOKUP(SUMIFS(Prod_Prop!$A:$A,Prod_Prop!$B:$B,$E437,Prod_Prop!$H:$H,T$1,Prod_Prop!$I:$I,"Exacto"),Prod_Prop!$A:$A,Prod_Prop!$J:$J,"",0,1))</f>
        <v/>
      </c>
      <c r="U437" s="4" t="str">
        <f t="array" ref="U437">IF($E437="","", XLOOKUP(SUMIFS(Prod_Prop!$A:$A,Prod_Prop!$B:$B,$E437,Prod_Prop!$H:$H,U$1,Prod_Prop!$I:$I,"Exacto"),Prod_Prop!$A:$A,Prod_Prop!$J:$J,"",0,1))</f>
        <v/>
      </c>
      <c r="V437" s="4" t="str">
        <f t="array" ref="V437">IF($E437="","", XLOOKUP(SUMIFS(Prod_Prop!$A:$A,Prod_Prop!$B:$B,$E437,Prod_Prop!$H:$H,V$1,Prod_Prop!$I:$I,"Exacto"),Prod_Prop!$A:$A,Prod_Prop!$J:$J,"",0,1))</f>
        <v/>
      </c>
      <c r="X437" s="3" t="str">
        <f>IFERROR(__xludf.DUMMYFUNCTION("IF(D437="""","""",IFERROR(TRANSPOSE(FILTER('Validaciones Cotizador'!U:U,'Validaciones Cotizador'!O:O=D437,'Validaciones Cotizador'!T:T=""x"")),""Finalizar""))"),"")</f>
        <v/>
      </c>
    </row>
    <row r="438">
      <c r="A438" s="2" t="str">
        <f t="array" ref="A438">IF(E438="","",XLOOKUP(D438,'Validaciones Cotizador'!C:C,'Validaciones Cotizador'!A:A,"",0,1))</f>
        <v/>
      </c>
      <c r="B438" s="2" t="str">
        <f t="array" ref="B438">IF(F438="","",XLOOKUP(F438,Productos!E:E,Productos!G:G,"",0,1))</f>
        <v/>
      </c>
      <c r="C438" s="2" t="str">
        <f>IF(A438="","",SUMIFS('Validaciones Cotizador'!B:B,'Validaciones Cotizador'!C:C,D438,'Validaciones Cotizador'!A:A,A438))</f>
        <v/>
      </c>
      <c r="D438" s="4" t="str">
        <f>IFERROR(__xludf.DUMMYFUNCTION("IF(OR(F437=""Finalizar"",F437="""",F437=""Selecciona..""),"""",IF(OR(F437=""-"",INDEX(filter(Familias!F:F,Familias!D:D=A437,Familias!E:E=C437),1)=""O""),D437+1,D437))"),"")</f>
        <v/>
      </c>
      <c r="E438" s="2" t="str">
        <f>IF(OR(F438="",F438="Selecciona.."),"",IF(D438="Implemento",SUMIF(Implementos!B:B,F438,Implementos!A:A),SUMIF(Productos!E:E,F438,Productos!A:A)))</f>
        <v/>
      </c>
      <c r="F438" s="2" t="str">
        <f t="shared" si="2"/>
        <v/>
      </c>
      <c r="G438" s="10" t="str">
        <f t="array" ref="G438">IF(OR(F438="",F438="-",F438="Selecciona..",F438="Finalizar"),"",IF(A438="Rodados",XLOOKUP(B438,'Validaciones Cotizador'!I:I,'Validaciones Cotizador'!J:J,0,0,1),1))</f>
        <v/>
      </c>
      <c r="H438" s="11" t="str">
        <f>IF(OR(F438="",F438="Selecciona.."),"",SUMIF(Precio_Productos!K:K,E438,Precio_Productos!J:J)*G438)</f>
        <v/>
      </c>
      <c r="I438" s="4" t="str">
        <f t="array" ref="I438">IF($E438="","", XLOOKUP(SUMIFS(Prod_Prop!$A:$A,Prod_Prop!$B:$B,$E438,Prod_Prop!$H:$H,I$1,Prod_Prop!$I:$I,"Exacto"),Prod_Prop!$A:$A,Prod_Prop!$J:$J,"",0,1))</f>
        <v/>
      </c>
      <c r="J438" s="4" t="str">
        <f t="array" ref="J438">IF($E438="","", XLOOKUP(SUMIFS(Prod_Prop!$A:$A,Prod_Prop!$B:$B,$E438,Prod_Prop!$H:$H,J$1,Prod_Prop!$I:$I,"Exacto"),Prod_Prop!$A:$A,Prod_Prop!$J:$J,"",0,1))</f>
        <v/>
      </c>
      <c r="K438" s="4" t="str">
        <f t="array" ref="K438">IF($E438="","", XLOOKUP(SUMIFS(Prod_Prop!$A:$A,Prod_Prop!$B:$B,$E438,Prod_Prop!$H:$H,K$1,Prod_Prop!$I:$I,"Exacto"),Prod_Prop!$A:$A,Prod_Prop!$J:$J,"",0,1))</f>
        <v/>
      </c>
      <c r="L438" s="4" t="str">
        <f t="array" ref="L438">IF($E438="","", XLOOKUP(SUMIFS(Prod_Prop!$A:$A,Prod_Prop!$B:$B,$E438,Prod_Prop!$H:$H,L$1,Prod_Prop!$I:$I,"Exacto"),Prod_Prop!$A:$A,Prod_Prop!$J:$J,"",0,1))</f>
        <v/>
      </c>
      <c r="M438" s="4" t="str">
        <f t="array" ref="M438">IF($E438="","", XLOOKUP(SUMIFS(Prod_Prop!$A:$A,Prod_Prop!$B:$B,$E438,Prod_Prop!$H:$H,M$1,Prod_Prop!$I:$I,"Exacto"),Prod_Prop!$A:$A,Prod_Prop!$J:$J,"",0,1))</f>
        <v/>
      </c>
      <c r="N438" s="4" t="str">
        <f t="array" ref="N438">IF($E438="","", XLOOKUP(SUMIFS(Prod_Prop!$A:$A,Prod_Prop!$B:$B,$E438,Prod_Prop!$H:$H,N$1,Prod_Prop!$I:$I,"Exacto"),Prod_Prop!$A:$A,Prod_Prop!$J:$J,"",0,1))</f>
        <v/>
      </c>
      <c r="O438" s="4" t="str">
        <f t="array" ref="O438">IF($E438="","", XLOOKUP(SUMIFS(Prod_Prop!$A:$A,Prod_Prop!$B:$B,$E438,Prod_Prop!$H:$H,O$1,Prod_Prop!$I:$I,"Exacto"),Prod_Prop!$A:$A,Prod_Prop!$J:$J,"",0,1))</f>
        <v/>
      </c>
      <c r="P438" s="4" t="str">
        <f t="array" ref="P438">IF($E438="","", XLOOKUP(SUMIFS(Prod_Prop!$A:$A,Prod_Prop!$B:$B,$E438,Prod_Prop!$H:$H,P$1,Prod_Prop!$I:$I,"Exacto"),Prod_Prop!$A:$A,Prod_Prop!$J:$J,"",0,1))</f>
        <v/>
      </c>
      <c r="Q438" s="4" t="str">
        <f t="array" ref="Q438">IF($E438="","", XLOOKUP(SUMIFS(Prod_Prop!$A:$A,Prod_Prop!$B:$B,$E438,Prod_Prop!$H:$H,Q$1,Prod_Prop!$I:$I,"Exacto"),Prod_Prop!$A:$A,Prod_Prop!$J:$J,"",0,1))</f>
        <v/>
      </c>
      <c r="R438" s="4" t="str">
        <f t="array" ref="R438">IF($E438="","", XLOOKUP(SUMIFS(Prod_Prop!$A:$A,Prod_Prop!$B:$B,$E438,Prod_Prop!$H:$H,R$1,Prod_Prop!$I:$I,"Exacto"),Prod_Prop!$A:$A,Prod_Prop!$J:$J,"",0,1))</f>
        <v/>
      </c>
      <c r="S438" s="4" t="str">
        <f t="array" ref="S438">IF($E438="","", XLOOKUP(SUMIFS(Prod_Prop!$A:$A,Prod_Prop!$B:$B,$E438,Prod_Prop!$H:$H,S$1,Prod_Prop!$I:$I,"Exacto"),Prod_Prop!$A:$A,Prod_Prop!$J:$J,"",0,1))</f>
        <v/>
      </c>
      <c r="T438" s="4" t="str">
        <f t="array" ref="T438">IF($E438="","", XLOOKUP(SUMIFS(Prod_Prop!$A:$A,Prod_Prop!$B:$B,$E438,Prod_Prop!$H:$H,T$1,Prod_Prop!$I:$I,"Exacto"),Prod_Prop!$A:$A,Prod_Prop!$J:$J,"",0,1))</f>
        <v/>
      </c>
      <c r="U438" s="4" t="str">
        <f t="array" ref="U438">IF($E438="","", XLOOKUP(SUMIFS(Prod_Prop!$A:$A,Prod_Prop!$B:$B,$E438,Prod_Prop!$H:$H,U$1,Prod_Prop!$I:$I,"Exacto"),Prod_Prop!$A:$A,Prod_Prop!$J:$J,"",0,1))</f>
        <v/>
      </c>
      <c r="V438" s="4" t="str">
        <f t="array" ref="V438">IF($E438="","", XLOOKUP(SUMIFS(Prod_Prop!$A:$A,Prod_Prop!$B:$B,$E438,Prod_Prop!$H:$H,V$1,Prod_Prop!$I:$I,"Exacto"),Prod_Prop!$A:$A,Prod_Prop!$J:$J,"",0,1))</f>
        <v/>
      </c>
      <c r="X438" s="3" t="str">
        <f>IFERROR(__xludf.DUMMYFUNCTION("IF(D438="""","""",IFERROR(TRANSPOSE(FILTER('Validaciones Cotizador'!U:U,'Validaciones Cotizador'!O:O=D438,'Validaciones Cotizador'!T:T=""x"")),""Finalizar""))"),"")</f>
        <v/>
      </c>
    </row>
    <row r="439">
      <c r="A439" s="2" t="str">
        <f t="array" ref="A439">IF(E439="","",XLOOKUP(D439,'Validaciones Cotizador'!C:C,'Validaciones Cotizador'!A:A,"",0,1))</f>
        <v/>
      </c>
      <c r="B439" s="2" t="str">
        <f t="array" ref="B439">IF(F439="","",XLOOKUP(F439,Productos!E:E,Productos!G:G,"",0,1))</f>
        <v/>
      </c>
      <c r="C439" s="2" t="str">
        <f>IF(A439="","",SUMIFS('Validaciones Cotizador'!B:B,'Validaciones Cotizador'!C:C,D439,'Validaciones Cotizador'!A:A,A439))</f>
        <v/>
      </c>
      <c r="D439" s="4" t="str">
        <f>IFERROR(__xludf.DUMMYFUNCTION("IF(OR(F438=""Finalizar"",F438="""",F438=""Selecciona..""),"""",IF(OR(F438=""-"",INDEX(filter(Familias!F:F,Familias!D:D=A438,Familias!E:E=C438),1)=""O""),D438+1,D438))"),"")</f>
        <v/>
      </c>
      <c r="E439" s="2" t="str">
        <f>IF(OR(F439="",F439="Selecciona.."),"",IF(D439="Implemento",SUMIF(Implementos!B:B,F439,Implementos!A:A),SUMIF(Productos!E:E,F439,Productos!A:A)))</f>
        <v/>
      </c>
      <c r="F439" s="2" t="str">
        <f t="shared" si="2"/>
        <v/>
      </c>
      <c r="G439" s="10" t="str">
        <f t="array" ref="G439">IF(OR(F439="",F439="-",F439="Selecciona..",F439="Finalizar"),"",IF(A439="Rodados",XLOOKUP(B439,'Validaciones Cotizador'!I:I,'Validaciones Cotizador'!J:J,0,0,1),1))</f>
        <v/>
      </c>
      <c r="H439" s="11" t="str">
        <f>IF(OR(F439="",F439="Selecciona.."),"",SUMIF(Precio_Productos!K:K,E439,Precio_Productos!J:J)*G439)</f>
        <v/>
      </c>
      <c r="I439" s="4" t="str">
        <f t="array" ref="I439">IF($E439="","", XLOOKUP(SUMIFS(Prod_Prop!$A:$A,Prod_Prop!$B:$B,$E439,Prod_Prop!$H:$H,I$1,Prod_Prop!$I:$I,"Exacto"),Prod_Prop!$A:$A,Prod_Prop!$J:$J,"",0,1))</f>
        <v/>
      </c>
      <c r="J439" s="4" t="str">
        <f t="array" ref="J439">IF($E439="","", XLOOKUP(SUMIFS(Prod_Prop!$A:$A,Prod_Prop!$B:$B,$E439,Prod_Prop!$H:$H,J$1,Prod_Prop!$I:$I,"Exacto"),Prod_Prop!$A:$A,Prod_Prop!$J:$J,"",0,1))</f>
        <v/>
      </c>
      <c r="K439" s="4" t="str">
        <f t="array" ref="K439">IF($E439="","", XLOOKUP(SUMIFS(Prod_Prop!$A:$A,Prod_Prop!$B:$B,$E439,Prod_Prop!$H:$H,K$1,Prod_Prop!$I:$I,"Exacto"),Prod_Prop!$A:$A,Prod_Prop!$J:$J,"",0,1))</f>
        <v/>
      </c>
      <c r="L439" s="4" t="str">
        <f t="array" ref="L439">IF($E439="","", XLOOKUP(SUMIFS(Prod_Prop!$A:$A,Prod_Prop!$B:$B,$E439,Prod_Prop!$H:$H,L$1,Prod_Prop!$I:$I,"Exacto"),Prod_Prop!$A:$A,Prod_Prop!$J:$J,"",0,1))</f>
        <v/>
      </c>
      <c r="M439" s="4" t="str">
        <f t="array" ref="M439">IF($E439="","", XLOOKUP(SUMIFS(Prod_Prop!$A:$A,Prod_Prop!$B:$B,$E439,Prod_Prop!$H:$H,M$1,Prod_Prop!$I:$I,"Exacto"),Prod_Prop!$A:$A,Prod_Prop!$J:$J,"",0,1))</f>
        <v/>
      </c>
      <c r="N439" s="4" t="str">
        <f t="array" ref="N439">IF($E439="","", XLOOKUP(SUMIFS(Prod_Prop!$A:$A,Prod_Prop!$B:$B,$E439,Prod_Prop!$H:$H,N$1,Prod_Prop!$I:$I,"Exacto"),Prod_Prop!$A:$A,Prod_Prop!$J:$J,"",0,1))</f>
        <v/>
      </c>
      <c r="O439" s="4" t="str">
        <f t="array" ref="O439">IF($E439="","", XLOOKUP(SUMIFS(Prod_Prop!$A:$A,Prod_Prop!$B:$B,$E439,Prod_Prop!$H:$H,O$1,Prod_Prop!$I:$I,"Exacto"),Prod_Prop!$A:$A,Prod_Prop!$J:$J,"",0,1))</f>
        <v/>
      </c>
      <c r="P439" s="4" t="str">
        <f t="array" ref="P439">IF($E439="","", XLOOKUP(SUMIFS(Prod_Prop!$A:$A,Prod_Prop!$B:$B,$E439,Prod_Prop!$H:$H,P$1,Prod_Prop!$I:$I,"Exacto"),Prod_Prop!$A:$A,Prod_Prop!$J:$J,"",0,1))</f>
        <v/>
      </c>
      <c r="Q439" s="4" t="str">
        <f t="array" ref="Q439">IF($E439="","", XLOOKUP(SUMIFS(Prod_Prop!$A:$A,Prod_Prop!$B:$B,$E439,Prod_Prop!$H:$H,Q$1,Prod_Prop!$I:$I,"Exacto"),Prod_Prop!$A:$A,Prod_Prop!$J:$J,"",0,1))</f>
        <v/>
      </c>
      <c r="R439" s="4" t="str">
        <f t="array" ref="R439">IF($E439="","", XLOOKUP(SUMIFS(Prod_Prop!$A:$A,Prod_Prop!$B:$B,$E439,Prod_Prop!$H:$H,R$1,Prod_Prop!$I:$I,"Exacto"),Prod_Prop!$A:$A,Prod_Prop!$J:$J,"",0,1))</f>
        <v/>
      </c>
      <c r="S439" s="4" t="str">
        <f t="array" ref="S439">IF($E439="","", XLOOKUP(SUMIFS(Prod_Prop!$A:$A,Prod_Prop!$B:$B,$E439,Prod_Prop!$H:$H,S$1,Prod_Prop!$I:$I,"Exacto"),Prod_Prop!$A:$A,Prod_Prop!$J:$J,"",0,1))</f>
        <v/>
      </c>
      <c r="T439" s="4" t="str">
        <f t="array" ref="T439">IF($E439="","", XLOOKUP(SUMIFS(Prod_Prop!$A:$A,Prod_Prop!$B:$B,$E439,Prod_Prop!$H:$H,T$1,Prod_Prop!$I:$I,"Exacto"),Prod_Prop!$A:$A,Prod_Prop!$J:$J,"",0,1))</f>
        <v/>
      </c>
      <c r="U439" s="4" t="str">
        <f t="array" ref="U439">IF($E439="","", XLOOKUP(SUMIFS(Prod_Prop!$A:$A,Prod_Prop!$B:$B,$E439,Prod_Prop!$H:$H,U$1,Prod_Prop!$I:$I,"Exacto"),Prod_Prop!$A:$A,Prod_Prop!$J:$J,"",0,1))</f>
        <v/>
      </c>
      <c r="V439" s="4" t="str">
        <f t="array" ref="V439">IF($E439="","", XLOOKUP(SUMIFS(Prod_Prop!$A:$A,Prod_Prop!$B:$B,$E439,Prod_Prop!$H:$H,V$1,Prod_Prop!$I:$I,"Exacto"),Prod_Prop!$A:$A,Prod_Prop!$J:$J,"",0,1))</f>
        <v/>
      </c>
      <c r="X439" s="3" t="str">
        <f>IFERROR(__xludf.DUMMYFUNCTION("IF(D439="""","""",IFERROR(TRANSPOSE(FILTER('Validaciones Cotizador'!U:U,'Validaciones Cotizador'!O:O=D439,'Validaciones Cotizador'!T:T=""x"")),""Finalizar""))"),"")</f>
        <v/>
      </c>
    </row>
    <row r="440">
      <c r="A440" s="2" t="str">
        <f t="array" ref="A440">IF(E440="","",XLOOKUP(D440,'Validaciones Cotizador'!C:C,'Validaciones Cotizador'!A:A,"",0,1))</f>
        <v/>
      </c>
      <c r="B440" s="2" t="str">
        <f t="array" ref="B440">IF(F440="","",XLOOKUP(F440,Productos!E:E,Productos!G:G,"",0,1))</f>
        <v/>
      </c>
      <c r="C440" s="2" t="str">
        <f>IF(A440="","",SUMIFS('Validaciones Cotizador'!B:B,'Validaciones Cotizador'!C:C,D440,'Validaciones Cotizador'!A:A,A440))</f>
        <v/>
      </c>
      <c r="D440" s="4" t="str">
        <f>IFERROR(__xludf.DUMMYFUNCTION("IF(OR(F439=""Finalizar"",F439="""",F439=""Selecciona..""),"""",IF(OR(F439=""-"",INDEX(filter(Familias!F:F,Familias!D:D=A439,Familias!E:E=C439),1)=""O""),D439+1,D439))"),"")</f>
        <v/>
      </c>
      <c r="E440" s="2" t="str">
        <f>IF(OR(F440="",F440="Selecciona.."),"",IF(D440="Implemento",SUMIF(Implementos!B:B,F440,Implementos!A:A),SUMIF(Productos!E:E,F440,Productos!A:A)))</f>
        <v/>
      </c>
      <c r="F440" s="2" t="str">
        <f t="shared" si="2"/>
        <v/>
      </c>
      <c r="G440" s="10" t="str">
        <f t="array" ref="G440">IF(OR(F440="",F440="-",F440="Selecciona..",F440="Finalizar"),"",IF(A440="Rodados",XLOOKUP(B440,'Validaciones Cotizador'!I:I,'Validaciones Cotizador'!J:J,0,0,1),1))</f>
        <v/>
      </c>
      <c r="H440" s="11" t="str">
        <f>IF(OR(F440="",F440="Selecciona.."),"",SUMIF(Precio_Productos!K:K,E440,Precio_Productos!J:J)*G440)</f>
        <v/>
      </c>
      <c r="I440" s="4" t="str">
        <f t="array" ref="I440">IF($E440="","", XLOOKUP(SUMIFS(Prod_Prop!$A:$A,Prod_Prop!$B:$B,$E440,Prod_Prop!$H:$H,I$1,Prod_Prop!$I:$I,"Exacto"),Prod_Prop!$A:$A,Prod_Prop!$J:$J,"",0,1))</f>
        <v/>
      </c>
      <c r="J440" s="4" t="str">
        <f t="array" ref="J440">IF($E440="","", XLOOKUP(SUMIFS(Prod_Prop!$A:$A,Prod_Prop!$B:$B,$E440,Prod_Prop!$H:$H,J$1,Prod_Prop!$I:$I,"Exacto"),Prod_Prop!$A:$A,Prod_Prop!$J:$J,"",0,1))</f>
        <v/>
      </c>
      <c r="K440" s="4" t="str">
        <f t="array" ref="K440">IF($E440="","", XLOOKUP(SUMIFS(Prod_Prop!$A:$A,Prod_Prop!$B:$B,$E440,Prod_Prop!$H:$H,K$1,Prod_Prop!$I:$I,"Exacto"),Prod_Prop!$A:$A,Prod_Prop!$J:$J,"",0,1))</f>
        <v/>
      </c>
      <c r="L440" s="4" t="str">
        <f t="array" ref="L440">IF($E440="","", XLOOKUP(SUMIFS(Prod_Prop!$A:$A,Prod_Prop!$B:$B,$E440,Prod_Prop!$H:$H,L$1,Prod_Prop!$I:$I,"Exacto"),Prod_Prop!$A:$A,Prod_Prop!$J:$J,"",0,1))</f>
        <v/>
      </c>
      <c r="M440" s="4" t="str">
        <f t="array" ref="M440">IF($E440="","", XLOOKUP(SUMIFS(Prod_Prop!$A:$A,Prod_Prop!$B:$B,$E440,Prod_Prop!$H:$H,M$1,Prod_Prop!$I:$I,"Exacto"),Prod_Prop!$A:$A,Prod_Prop!$J:$J,"",0,1))</f>
        <v/>
      </c>
      <c r="N440" s="4" t="str">
        <f t="array" ref="N440">IF($E440="","", XLOOKUP(SUMIFS(Prod_Prop!$A:$A,Prod_Prop!$B:$B,$E440,Prod_Prop!$H:$H,N$1,Prod_Prop!$I:$I,"Exacto"),Prod_Prop!$A:$A,Prod_Prop!$J:$J,"",0,1))</f>
        <v/>
      </c>
      <c r="O440" s="4" t="str">
        <f t="array" ref="O440">IF($E440="","", XLOOKUP(SUMIFS(Prod_Prop!$A:$A,Prod_Prop!$B:$B,$E440,Prod_Prop!$H:$H,O$1,Prod_Prop!$I:$I,"Exacto"),Prod_Prop!$A:$A,Prod_Prop!$J:$J,"",0,1))</f>
        <v/>
      </c>
      <c r="P440" s="4" t="str">
        <f t="array" ref="P440">IF($E440="","", XLOOKUP(SUMIFS(Prod_Prop!$A:$A,Prod_Prop!$B:$B,$E440,Prod_Prop!$H:$H,P$1,Prod_Prop!$I:$I,"Exacto"),Prod_Prop!$A:$A,Prod_Prop!$J:$J,"",0,1))</f>
        <v/>
      </c>
      <c r="Q440" s="4" t="str">
        <f t="array" ref="Q440">IF($E440="","", XLOOKUP(SUMIFS(Prod_Prop!$A:$A,Prod_Prop!$B:$B,$E440,Prod_Prop!$H:$H,Q$1,Prod_Prop!$I:$I,"Exacto"),Prod_Prop!$A:$A,Prod_Prop!$J:$J,"",0,1))</f>
        <v/>
      </c>
      <c r="R440" s="4" t="str">
        <f t="array" ref="R440">IF($E440="","", XLOOKUP(SUMIFS(Prod_Prop!$A:$A,Prod_Prop!$B:$B,$E440,Prod_Prop!$H:$H,R$1,Prod_Prop!$I:$I,"Exacto"),Prod_Prop!$A:$A,Prod_Prop!$J:$J,"",0,1))</f>
        <v/>
      </c>
      <c r="S440" s="4" t="str">
        <f t="array" ref="S440">IF($E440="","", XLOOKUP(SUMIFS(Prod_Prop!$A:$A,Prod_Prop!$B:$B,$E440,Prod_Prop!$H:$H,S$1,Prod_Prop!$I:$I,"Exacto"),Prod_Prop!$A:$A,Prod_Prop!$J:$J,"",0,1))</f>
        <v/>
      </c>
      <c r="T440" s="4" t="str">
        <f t="array" ref="T440">IF($E440="","", XLOOKUP(SUMIFS(Prod_Prop!$A:$A,Prod_Prop!$B:$B,$E440,Prod_Prop!$H:$H,T$1,Prod_Prop!$I:$I,"Exacto"),Prod_Prop!$A:$A,Prod_Prop!$J:$J,"",0,1))</f>
        <v/>
      </c>
      <c r="U440" s="4" t="str">
        <f t="array" ref="U440">IF($E440="","", XLOOKUP(SUMIFS(Prod_Prop!$A:$A,Prod_Prop!$B:$B,$E440,Prod_Prop!$H:$H,U$1,Prod_Prop!$I:$I,"Exacto"),Prod_Prop!$A:$A,Prod_Prop!$J:$J,"",0,1))</f>
        <v/>
      </c>
      <c r="V440" s="4" t="str">
        <f t="array" ref="V440">IF($E440="","", XLOOKUP(SUMIFS(Prod_Prop!$A:$A,Prod_Prop!$B:$B,$E440,Prod_Prop!$H:$H,V$1,Prod_Prop!$I:$I,"Exacto"),Prod_Prop!$A:$A,Prod_Prop!$J:$J,"",0,1))</f>
        <v/>
      </c>
      <c r="X440" s="3" t="str">
        <f>IFERROR(__xludf.DUMMYFUNCTION("IF(D440="""","""",IFERROR(TRANSPOSE(FILTER('Validaciones Cotizador'!U:U,'Validaciones Cotizador'!O:O=D440,'Validaciones Cotizador'!T:T=""x"")),""Finalizar""))"),"")</f>
        <v/>
      </c>
    </row>
    <row r="441">
      <c r="A441" s="2" t="str">
        <f t="array" ref="A441">IF(E441="","",XLOOKUP(D441,'Validaciones Cotizador'!C:C,'Validaciones Cotizador'!A:A,"",0,1))</f>
        <v/>
      </c>
      <c r="B441" s="2" t="str">
        <f t="array" ref="B441">IF(F441="","",XLOOKUP(F441,Productos!E:E,Productos!G:G,"",0,1))</f>
        <v/>
      </c>
      <c r="C441" s="2" t="str">
        <f>IF(A441="","",SUMIFS('Validaciones Cotizador'!B:B,'Validaciones Cotizador'!C:C,D441,'Validaciones Cotizador'!A:A,A441))</f>
        <v/>
      </c>
      <c r="D441" s="4" t="str">
        <f>IFERROR(__xludf.DUMMYFUNCTION("IF(OR(F440=""Finalizar"",F440="""",F440=""Selecciona..""),"""",IF(OR(F440=""-"",INDEX(filter(Familias!F:F,Familias!D:D=A440,Familias!E:E=C440),1)=""O""),D440+1,D440))"),"")</f>
        <v/>
      </c>
      <c r="E441" s="2" t="str">
        <f>IF(OR(F441="",F441="Selecciona.."),"",IF(D441="Implemento",SUMIF(Implementos!B:B,F441,Implementos!A:A),SUMIF(Productos!E:E,F441,Productos!A:A)))</f>
        <v/>
      </c>
      <c r="F441" s="2" t="str">
        <f t="shared" si="2"/>
        <v/>
      </c>
      <c r="G441" s="10" t="str">
        <f t="array" ref="G441">IF(OR(F441="",F441="-",F441="Selecciona..",F441="Finalizar"),"",IF(A441="Rodados",XLOOKUP(B441,'Validaciones Cotizador'!I:I,'Validaciones Cotizador'!J:J,0,0,1),1))</f>
        <v/>
      </c>
      <c r="H441" s="11" t="str">
        <f>IF(OR(F441="",F441="Selecciona.."),"",SUMIF(Precio_Productos!K:K,E441,Precio_Productos!J:J)*G441)</f>
        <v/>
      </c>
      <c r="I441" s="4" t="str">
        <f t="array" ref="I441">IF($E441="","", XLOOKUP(SUMIFS(Prod_Prop!$A:$A,Prod_Prop!$B:$B,$E441,Prod_Prop!$H:$H,I$1,Prod_Prop!$I:$I,"Exacto"),Prod_Prop!$A:$A,Prod_Prop!$J:$J,"",0,1))</f>
        <v/>
      </c>
      <c r="J441" s="4" t="str">
        <f t="array" ref="J441">IF($E441="","", XLOOKUP(SUMIFS(Prod_Prop!$A:$A,Prod_Prop!$B:$B,$E441,Prod_Prop!$H:$H,J$1,Prod_Prop!$I:$I,"Exacto"),Prod_Prop!$A:$A,Prod_Prop!$J:$J,"",0,1))</f>
        <v/>
      </c>
      <c r="K441" s="4" t="str">
        <f t="array" ref="K441">IF($E441="","", XLOOKUP(SUMIFS(Prod_Prop!$A:$A,Prod_Prop!$B:$B,$E441,Prod_Prop!$H:$H,K$1,Prod_Prop!$I:$I,"Exacto"),Prod_Prop!$A:$A,Prod_Prop!$J:$J,"",0,1))</f>
        <v/>
      </c>
      <c r="L441" s="4" t="str">
        <f t="array" ref="L441">IF($E441="","", XLOOKUP(SUMIFS(Prod_Prop!$A:$A,Prod_Prop!$B:$B,$E441,Prod_Prop!$H:$H,L$1,Prod_Prop!$I:$I,"Exacto"),Prod_Prop!$A:$A,Prod_Prop!$J:$J,"",0,1))</f>
        <v/>
      </c>
      <c r="M441" s="4" t="str">
        <f t="array" ref="M441">IF($E441="","", XLOOKUP(SUMIFS(Prod_Prop!$A:$A,Prod_Prop!$B:$B,$E441,Prod_Prop!$H:$H,M$1,Prod_Prop!$I:$I,"Exacto"),Prod_Prop!$A:$A,Prod_Prop!$J:$J,"",0,1))</f>
        <v/>
      </c>
      <c r="N441" s="4" t="str">
        <f t="array" ref="N441">IF($E441="","", XLOOKUP(SUMIFS(Prod_Prop!$A:$A,Prod_Prop!$B:$B,$E441,Prod_Prop!$H:$H,N$1,Prod_Prop!$I:$I,"Exacto"),Prod_Prop!$A:$A,Prod_Prop!$J:$J,"",0,1))</f>
        <v/>
      </c>
      <c r="O441" s="4" t="str">
        <f t="array" ref="O441">IF($E441="","", XLOOKUP(SUMIFS(Prod_Prop!$A:$A,Prod_Prop!$B:$B,$E441,Prod_Prop!$H:$H,O$1,Prod_Prop!$I:$I,"Exacto"),Prod_Prop!$A:$A,Prod_Prop!$J:$J,"",0,1))</f>
        <v/>
      </c>
      <c r="P441" s="4" t="str">
        <f t="array" ref="P441">IF($E441="","", XLOOKUP(SUMIFS(Prod_Prop!$A:$A,Prod_Prop!$B:$B,$E441,Prod_Prop!$H:$H,P$1,Prod_Prop!$I:$I,"Exacto"),Prod_Prop!$A:$A,Prod_Prop!$J:$J,"",0,1))</f>
        <v/>
      </c>
      <c r="Q441" s="4" t="str">
        <f t="array" ref="Q441">IF($E441="","", XLOOKUP(SUMIFS(Prod_Prop!$A:$A,Prod_Prop!$B:$B,$E441,Prod_Prop!$H:$H,Q$1,Prod_Prop!$I:$I,"Exacto"),Prod_Prop!$A:$A,Prod_Prop!$J:$J,"",0,1))</f>
        <v/>
      </c>
      <c r="R441" s="4" t="str">
        <f t="array" ref="R441">IF($E441="","", XLOOKUP(SUMIFS(Prod_Prop!$A:$A,Prod_Prop!$B:$B,$E441,Prod_Prop!$H:$H,R$1,Prod_Prop!$I:$I,"Exacto"),Prod_Prop!$A:$A,Prod_Prop!$J:$J,"",0,1))</f>
        <v/>
      </c>
      <c r="S441" s="4" t="str">
        <f t="array" ref="S441">IF($E441="","", XLOOKUP(SUMIFS(Prod_Prop!$A:$A,Prod_Prop!$B:$B,$E441,Prod_Prop!$H:$H,S$1,Prod_Prop!$I:$I,"Exacto"),Prod_Prop!$A:$A,Prod_Prop!$J:$J,"",0,1))</f>
        <v/>
      </c>
      <c r="T441" s="4" t="str">
        <f t="array" ref="T441">IF($E441="","", XLOOKUP(SUMIFS(Prod_Prop!$A:$A,Prod_Prop!$B:$B,$E441,Prod_Prop!$H:$H,T$1,Prod_Prop!$I:$I,"Exacto"),Prod_Prop!$A:$A,Prod_Prop!$J:$J,"",0,1))</f>
        <v/>
      </c>
      <c r="U441" s="4" t="str">
        <f t="array" ref="U441">IF($E441="","", XLOOKUP(SUMIFS(Prod_Prop!$A:$A,Prod_Prop!$B:$B,$E441,Prod_Prop!$H:$H,U$1,Prod_Prop!$I:$I,"Exacto"),Prod_Prop!$A:$A,Prod_Prop!$J:$J,"",0,1))</f>
        <v/>
      </c>
      <c r="V441" s="4" t="str">
        <f t="array" ref="V441">IF($E441="","", XLOOKUP(SUMIFS(Prod_Prop!$A:$A,Prod_Prop!$B:$B,$E441,Prod_Prop!$H:$H,V$1,Prod_Prop!$I:$I,"Exacto"),Prod_Prop!$A:$A,Prod_Prop!$J:$J,"",0,1))</f>
        <v/>
      </c>
      <c r="X441" s="3" t="str">
        <f>IFERROR(__xludf.DUMMYFUNCTION("IF(D441="""","""",IFERROR(TRANSPOSE(FILTER('Validaciones Cotizador'!U:U,'Validaciones Cotizador'!O:O=D441,'Validaciones Cotizador'!T:T=""x"")),""Finalizar""))"),"")</f>
        <v/>
      </c>
    </row>
    <row r="442">
      <c r="A442" s="2" t="str">
        <f t="array" ref="A442">IF(E442="","",XLOOKUP(D442,'Validaciones Cotizador'!C:C,'Validaciones Cotizador'!A:A,"",0,1))</f>
        <v/>
      </c>
      <c r="B442" s="2" t="str">
        <f t="array" ref="B442">IF(F442="","",XLOOKUP(F442,Productos!E:E,Productos!G:G,"",0,1))</f>
        <v/>
      </c>
      <c r="C442" s="2" t="str">
        <f>IF(A442="","",SUMIFS('Validaciones Cotizador'!B:B,'Validaciones Cotizador'!C:C,D442,'Validaciones Cotizador'!A:A,A442))</f>
        <v/>
      </c>
      <c r="D442" s="4" t="str">
        <f>IFERROR(__xludf.DUMMYFUNCTION("IF(OR(F441=""Finalizar"",F441="""",F441=""Selecciona..""),"""",IF(OR(F441=""-"",INDEX(filter(Familias!F:F,Familias!D:D=A441,Familias!E:E=C441),1)=""O""),D441+1,D441))"),"")</f>
        <v/>
      </c>
      <c r="E442" s="2" t="str">
        <f>IF(OR(F442="",F442="Selecciona.."),"",IF(D442="Implemento",SUMIF(Implementos!B:B,F442,Implementos!A:A),SUMIF(Productos!E:E,F442,Productos!A:A)))</f>
        <v/>
      </c>
      <c r="F442" s="2" t="str">
        <f t="shared" si="2"/>
        <v/>
      </c>
      <c r="G442" s="10" t="str">
        <f t="array" ref="G442">IF(OR(F442="",F442="-",F442="Selecciona..",F442="Finalizar"),"",IF(A442="Rodados",XLOOKUP(B442,'Validaciones Cotizador'!I:I,'Validaciones Cotizador'!J:J,0,0,1),1))</f>
        <v/>
      </c>
      <c r="H442" s="11" t="str">
        <f>IF(OR(F442="",F442="Selecciona.."),"",SUMIF(Precio_Productos!K:K,E442,Precio_Productos!J:J)*G442)</f>
        <v/>
      </c>
      <c r="I442" s="4" t="str">
        <f t="array" ref="I442">IF($E442="","", XLOOKUP(SUMIFS(Prod_Prop!$A:$A,Prod_Prop!$B:$B,$E442,Prod_Prop!$H:$H,I$1,Prod_Prop!$I:$I,"Exacto"),Prod_Prop!$A:$A,Prod_Prop!$J:$J,"",0,1))</f>
        <v/>
      </c>
      <c r="J442" s="4" t="str">
        <f t="array" ref="J442">IF($E442="","", XLOOKUP(SUMIFS(Prod_Prop!$A:$A,Prod_Prop!$B:$B,$E442,Prod_Prop!$H:$H,J$1,Prod_Prop!$I:$I,"Exacto"),Prod_Prop!$A:$A,Prod_Prop!$J:$J,"",0,1))</f>
        <v/>
      </c>
      <c r="K442" s="4" t="str">
        <f t="array" ref="K442">IF($E442="","", XLOOKUP(SUMIFS(Prod_Prop!$A:$A,Prod_Prop!$B:$B,$E442,Prod_Prop!$H:$H,K$1,Prod_Prop!$I:$I,"Exacto"),Prod_Prop!$A:$A,Prod_Prop!$J:$J,"",0,1))</f>
        <v/>
      </c>
      <c r="L442" s="4" t="str">
        <f t="array" ref="L442">IF($E442="","", XLOOKUP(SUMIFS(Prod_Prop!$A:$A,Prod_Prop!$B:$B,$E442,Prod_Prop!$H:$H,L$1,Prod_Prop!$I:$I,"Exacto"),Prod_Prop!$A:$A,Prod_Prop!$J:$J,"",0,1))</f>
        <v/>
      </c>
      <c r="M442" s="4" t="str">
        <f t="array" ref="M442">IF($E442="","", XLOOKUP(SUMIFS(Prod_Prop!$A:$A,Prod_Prop!$B:$B,$E442,Prod_Prop!$H:$H,M$1,Prod_Prop!$I:$I,"Exacto"),Prod_Prop!$A:$A,Prod_Prop!$J:$J,"",0,1))</f>
        <v/>
      </c>
      <c r="N442" s="4" t="str">
        <f t="array" ref="N442">IF($E442="","", XLOOKUP(SUMIFS(Prod_Prop!$A:$A,Prod_Prop!$B:$B,$E442,Prod_Prop!$H:$H,N$1,Prod_Prop!$I:$I,"Exacto"),Prod_Prop!$A:$A,Prod_Prop!$J:$J,"",0,1))</f>
        <v/>
      </c>
      <c r="O442" s="4" t="str">
        <f t="array" ref="O442">IF($E442="","", XLOOKUP(SUMIFS(Prod_Prop!$A:$A,Prod_Prop!$B:$B,$E442,Prod_Prop!$H:$H,O$1,Prod_Prop!$I:$I,"Exacto"),Prod_Prop!$A:$A,Prod_Prop!$J:$J,"",0,1))</f>
        <v/>
      </c>
      <c r="P442" s="4" t="str">
        <f t="array" ref="P442">IF($E442="","", XLOOKUP(SUMIFS(Prod_Prop!$A:$A,Prod_Prop!$B:$B,$E442,Prod_Prop!$H:$H,P$1,Prod_Prop!$I:$I,"Exacto"),Prod_Prop!$A:$A,Prod_Prop!$J:$J,"",0,1))</f>
        <v/>
      </c>
      <c r="Q442" s="4" t="str">
        <f t="array" ref="Q442">IF($E442="","", XLOOKUP(SUMIFS(Prod_Prop!$A:$A,Prod_Prop!$B:$B,$E442,Prod_Prop!$H:$H,Q$1,Prod_Prop!$I:$I,"Exacto"),Prod_Prop!$A:$A,Prod_Prop!$J:$J,"",0,1))</f>
        <v/>
      </c>
      <c r="R442" s="4" t="str">
        <f t="array" ref="R442">IF($E442="","", XLOOKUP(SUMIFS(Prod_Prop!$A:$A,Prod_Prop!$B:$B,$E442,Prod_Prop!$H:$H,R$1,Prod_Prop!$I:$I,"Exacto"),Prod_Prop!$A:$A,Prod_Prop!$J:$J,"",0,1))</f>
        <v/>
      </c>
      <c r="S442" s="4" t="str">
        <f t="array" ref="S442">IF($E442="","", XLOOKUP(SUMIFS(Prod_Prop!$A:$A,Prod_Prop!$B:$B,$E442,Prod_Prop!$H:$H,S$1,Prod_Prop!$I:$I,"Exacto"),Prod_Prop!$A:$A,Prod_Prop!$J:$J,"",0,1))</f>
        <v/>
      </c>
      <c r="T442" s="4" t="str">
        <f t="array" ref="T442">IF($E442="","", XLOOKUP(SUMIFS(Prod_Prop!$A:$A,Prod_Prop!$B:$B,$E442,Prod_Prop!$H:$H,T$1,Prod_Prop!$I:$I,"Exacto"),Prod_Prop!$A:$A,Prod_Prop!$J:$J,"",0,1))</f>
        <v/>
      </c>
      <c r="U442" s="4" t="str">
        <f t="array" ref="U442">IF($E442="","", XLOOKUP(SUMIFS(Prod_Prop!$A:$A,Prod_Prop!$B:$B,$E442,Prod_Prop!$H:$H,U$1,Prod_Prop!$I:$I,"Exacto"),Prod_Prop!$A:$A,Prod_Prop!$J:$J,"",0,1))</f>
        <v/>
      </c>
      <c r="V442" s="4" t="str">
        <f t="array" ref="V442">IF($E442="","", XLOOKUP(SUMIFS(Prod_Prop!$A:$A,Prod_Prop!$B:$B,$E442,Prod_Prop!$H:$H,V$1,Prod_Prop!$I:$I,"Exacto"),Prod_Prop!$A:$A,Prod_Prop!$J:$J,"",0,1))</f>
        <v/>
      </c>
      <c r="X442" s="3" t="str">
        <f>IFERROR(__xludf.DUMMYFUNCTION("IF(D442="""","""",IFERROR(TRANSPOSE(FILTER('Validaciones Cotizador'!U:U,'Validaciones Cotizador'!O:O=D442,'Validaciones Cotizador'!T:T=""x"")),""Finalizar""))"),"")</f>
        <v/>
      </c>
    </row>
    <row r="443">
      <c r="A443" s="2" t="str">
        <f t="array" ref="A443">IF(E443="","",XLOOKUP(D443,'Validaciones Cotizador'!C:C,'Validaciones Cotizador'!A:A,"",0,1))</f>
        <v/>
      </c>
      <c r="B443" s="2" t="str">
        <f t="array" ref="B443">IF(F443="","",XLOOKUP(F443,Productos!E:E,Productos!G:G,"",0,1))</f>
        <v/>
      </c>
      <c r="C443" s="2" t="str">
        <f>IF(A443="","",SUMIFS('Validaciones Cotizador'!B:B,'Validaciones Cotizador'!C:C,D443,'Validaciones Cotizador'!A:A,A443))</f>
        <v/>
      </c>
      <c r="D443" s="4" t="str">
        <f>IFERROR(__xludf.DUMMYFUNCTION("IF(OR(F442=""Finalizar"",F442="""",F442=""Selecciona..""),"""",IF(OR(F442=""-"",INDEX(filter(Familias!F:F,Familias!D:D=A442,Familias!E:E=C442),1)=""O""),D442+1,D442))"),"")</f>
        <v/>
      </c>
      <c r="E443" s="2" t="str">
        <f>IF(OR(F443="",F443="Selecciona.."),"",IF(D443="Implemento",SUMIF(Implementos!B:B,F443,Implementos!A:A),SUMIF(Productos!E:E,F443,Productos!A:A)))</f>
        <v/>
      </c>
      <c r="F443" s="2" t="str">
        <f t="shared" si="2"/>
        <v/>
      </c>
      <c r="G443" s="10" t="str">
        <f t="array" ref="G443">IF(OR(F443="",F443="-",F443="Selecciona..",F443="Finalizar"),"",IF(A443="Rodados",XLOOKUP(B443,'Validaciones Cotizador'!I:I,'Validaciones Cotizador'!J:J,0,0,1),1))</f>
        <v/>
      </c>
      <c r="H443" s="11" t="str">
        <f>IF(OR(F443="",F443="Selecciona.."),"",SUMIF(Precio_Productos!K:K,E443,Precio_Productos!J:J)*G443)</f>
        <v/>
      </c>
      <c r="I443" s="4" t="str">
        <f t="array" ref="I443">IF($E443="","", XLOOKUP(SUMIFS(Prod_Prop!$A:$A,Prod_Prop!$B:$B,$E443,Prod_Prop!$H:$H,I$1,Prod_Prop!$I:$I,"Exacto"),Prod_Prop!$A:$A,Prod_Prop!$J:$J,"",0,1))</f>
        <v/>
      </c>
      <c r="J443" s="4" t="str">
        <f t="array" ref="J443">IF($E443="","", XLOOKUP(SUMIFS(Prod_Prop!$A:$A,Prod_Prop!$B:$B,$E443,Prod_Prop!$H:$H,J$1,Prod_Prop!$I:$I,"Exacto"),Prod_Prop!$A:$A,Prod_Prop!$J:$J,"",0,1))</f>
        <v/>
      </c>
      <c r="K443" s="4" t="str">
        <f t="array" ref="K443">IF($E443="","", XLOOKUP(SUMIFS(Prod_Prop!$A:$A,Prod_Prop!$B:$B,$E443,Prod_Prop!$H:$H,K$1,Prod_Prop!$I:$I,"Exacto"),Prod_Prop!$A:$A,Prod_Prop!$J:$J,"",0,1))</f>
        <v/>
      </c>
      <c r="L443" s="4" t="str">
        <f t="array" ref="L443">IF($E443="","", XLOOKUP(SUMIFS(Prod_Prop!$A:$A,Prod_Prop!$B:$B,$E443,Prod_Prop!$H:$H,L$1,Prod_Prop!$I:$I,"Exacto"),Prod_Prop!$A:$A,Prod_Prop!$J:$J,"",0,1))</f>
        <v/>
      </c>
      <c r="M443" s="4" t="str">
        <f t="array" ref="M443">IF($E443="","", XLOOKUP(SUMIFS(Prod_Prop!$A:$A,Prod_Prop!$B:$B,$E443,Prod_Prop!$H:$H,M$1,Prod_Prop!$I:$I,"Exacto"),Prod_Prop!$A:$A,Prod_Prop!$J:$J,"",0,1))</f>
        <v/>
      </c>
      <c r="N443" s="4" t="str">
        <f t="array" ref="N443">IF($E443="","", XLOOKUP(SUMIFS(Prod_Prop!$A:$A,Prod_Prop!$B:$B,$E443,Prod_Prop!$H:$H,N$1,Prod_Prop!$I:$I,"Exacto"),Prod_Prop!$A:$A,Prod_Prop!$J:$J,"",0,1))</f>
        <v/>
      </c>
      <c r="O443" s="4" t="str">
        <f t="array" ref="O443">IF($E443="","", XLOOKUP(SUMIFS(Prod_Prop!$A:$A,Prod_Prop!$B:$B,$E443,Prod_Prop!$H:$H,O$1,Prod_Prop!$I:$I,"Exacto"),Prod_Prop!$A:$A,Prod_Prop!$J:$J,"",0,1))</f>
        <v/>
      </c>
      <c r="P443" s="4" t="str">
        <f t="array" ref="P443">IF($E443="","", XLOOKUP(SUMIFS(Prod_Prop!$A:$A,Prod_Prop!$B:$B,$E443,Prod_Prop!$H:$H,P$1,Prod_Prop!$I:$I,"Exacto"),Prod_Prop!$A:$A,Prod_Prop!$J:$J,"",0,1))</f>
        <v/>
      </c>
      <c r="Q443" s="4" t="str">
        <f t="array" ref="Q443">IF($E443="","", XLOOKUP(SUMIFS(Prod_Prop!$A:$A,Prod_Prop!$B:$B,$E443,Prod_Prop!$H:$H,Q$1,Prod_Prop!$I:$I,"Exacto"),Prod_Prop!$A:$A,Prod_Prop!$J:$J,"",0,1))</f>
        <v/>
      </c>
      <c r="R443" s="4" t="str">
        <f t="array" ref="R443">IF($E443="","", XLOOKUP(SUMIFS(Prod_Prop!$A:$A,Prod_Prop!$B:$B,$E443,Prod_Prop!$H:$H,R$1,Prod_Prop!$I:$I,"Exacto"),Prod_Prop!$A:$A,Prod_Prop!$J:$J,"",0,1))</f>
        <v/>
      </c>
      <c r="S443" s="4" t="str">
        <f t="array" ref="S443">IF($E443="","", XLOOKUP(SUMIFS(Prod_Prop!$A:$A,Prod_Prop!$B:$B,$E443,Prod_Prop!$H:$H,S$1,Prod_Prop!$I:$I,"Exacto"),Prod_Prop!$A:$A,Prod_Prop!$J:$J,"",0,1))</f>
        <v/>
      </c>
      <c r="T443" s="4" t="str">
        <f t="array" ref="T443">IF($E443="","", XLOOKUP(SUMIFS(Prod_Prop!$A:$A,Prod_Prop!$B:$B,$E443,Prod_Prop!$H:$H,T$1,Prod_Prop!$I:$I,"Exacto"),Prod_Prop!$A:$A,Prod_Prop!$J:$J,"",0,1))</f>
        <v/>
      </c>
      <c r="U443" s="4" t="str">
        <f t="array" ref="U443">IF($E443="","", XLOOKUP(SUMIFS(Prod_Prop!$A:$A,Prod_Prop!$B:$B,$E443,Prod_Prop!$H:$H,U$1,Prod_Prop!$I:$I,"Exacto"),Prod_Prop!$A:$A,Prod_Prop!$J:$J,"",0,1))</f>
        <v/>
      </c>
      <c r="V443" s="4" t="str">
        <f t="array" ref="V443">IF($E443="","", XLOOKUP(SUMIFS(Prod_Prop!$A:$A,Prod_Prop!$B:$B,$E443,Prod_Prop!$H:$H,V$1,Prod_Prop!$I:$I,"Exacto"),Prod_Prop!$A:$A,Prod_Prop!$J:$J,"",0,1))</f>
        <v/>
      </c>
      <c r="X443" s="3" t="str">
        <f>IFERROR(__xludf.DUMMYFUNCTION("IF(D443="""","""",IFERROR(TRANSPOSE(FILTER('Validaciones Cotizador'!U:U,'Validaciones Cotizador'!O:O=D443,'Validaciones Cotizador'!T:T=""x"")),""Finalizar""))"),"")</f>
        <v/>
      </c>
    </row>
    <row r="444">
      <c r="A444" s="2" t="str">
        <f t="array" ref="A444">IF(E444="","",XLOOKUP(D444,'Validaciones Cotizador'!C:C,'Validaciones Cotizador'!A:A,"",0,1))</f>
        <v/>
      </c>
      <c r="B444" s="2" t="str">
        <f t="array" ref="B444">IF(F444="","",XLOOKUP(F444,Productos!E:E,Productos!G:G,"",0,1))</f>
        <v/>
      </c>
      <c r="C444" s="2" t="str">
        <f>IF(A444="","",SUMIFS('Validaciones Cotizador'!B:B,'Validaciones Cotizador'!C:C,D444,'Validaciones Cotizador'!A:A,A444))</f>
        <v/>
      </c>
      <c r="D444" s="4" t="str">
        <f>IFERROR(__xludf.DUMMYFUNCTION("IF(OR(F443=""Finalizar"",F443="""",F443=""Selecciona..""),"""",IF(OR(F443=""-"",INDEX(filter(Familias!F:F,Familias!D:D=A443,Familias!E:E=C443),1)=""O""),D443+1,D443))"),"")</f>
        <v/>
      </c>
      <c r="E444" s="2" t="str">
        <f>IF(OR(F444="",F444="Selecciona.."),"",IF(D444="Implemento",SUMIF(Implementos!B:B,F444,Implementos!A:A),SUMIF(Productos!E:E,F444,Productos!A:A)))</f>
        <v/>
      </c>
      <c r="F444" s="2" t="str">
        <f t="shared" si="2"/>
        <v/>
      </c>
      <c r="G444" s="10" t="str">
        <f t="array" ref="G444">IF(OR(F444="",F444="-",F444="Selecciona..",F444="Finalizar"),"",IF(A444="Rodados",XLOOKUP(B444,'Validaciones Cotizador'!I:I,'Validaciones Cotizador'!J:J,0,0,1),1))</f>
        <v/>
      </c>
      <c r="H444" s="11" t="str">
        <f>IF(OR(F444="",F444="Selecciona.."),"",SUMIF(Precio_Productos!K:K,E444,Precio_Productos!J:J)*G444)</f>
        <v/>
      </c>
      <c r="I444" s="4" t="str">
        <f t="array" ref="I444">IF($E444="","", XLOOKUP(SUMIFS(Prod_Prop!$A:$A,Prod_Prop!$B:$B,$E444,Prod_Prop!$H:$H,I$1,Prod_Prop!$I:$I,"Exacto"),Prod_Prop!$A:$A,Prod_Prop!$J:$J,"",0,1))</f>
        <v/>
      </c>
      <c r="J444" s="4" t="str">
        <f t="array" ref="J444">IF($E444="","", XLOOKUP(SUMIFS(Prod_Prop!$A:$A,Prod_Prop!$B:$B,$E444,Prod_Prop!$H:$H,J$1,Prod_Prop!$I:$I,"Exacto"),Prod_Prop!$A:$A,Prod_Prop!$J:$J,"",0,1))</f>
        <v/>
      </c>
      <c r="K444" s="4" t="str">
        <f t="array" ref="K444">IF($E444="","", XLOOKUP(SUMIFS(Prod_Prop!$A:$A,Prod_Prop!$B:$B,$E444,Prod_Prop!$H:$H,K$1,Prod_Prop!$I:$I,"Exacto"),Prod_Prop!$A:$A,Prod_Prop!$J:$J,"",0,1))</f>
        <v/>
      </c>
      <c r="L444" s="4" t="str">
        <f t="array" ref="L444">IF($E444="","", XLOOKUP(SUMIFS(Prod_Prop!$A:$A,Prod_Prop!$B:$B,$E444,Prod_Prop!$H:$H,L$1,Prod_Prop!$I:$I,"Exacto"),Prod_Prop!$A:$A,Prod_Prop!$J:$J,"",0,1))</f>
        <v/>
      </c>
      <c r="M444" s="4" t="str">
        <f t="array" ref="M444">IF($E444="","", XLOOKUP(SUMIFS(Prod_Prop!$A:$A,Prod_Prop!$B:$B,$E444,Prod_Prop!$H:$H,M$1,Prod_Prop!$I:$I,"Exacto"),Prod_Prop!$A:$A,Prod_Prop!$J:$J,"",0,1))</f>
        <v/>
      </c>
      <c r="N444" s="4" t="str">
        <f t="array" ref="N444">IF($E444="","", XLOOKUP(SUMIFS(Prod_Prop!$A:$A,Prod_Prop!$B:$B,$E444,Prod_Prop!$H:$H,N$1,Prod_Prop!$I:$I,"Exacto"),Prod_Prop!$A:$A,Prod_Prop!$J:$J,"",0,1))</f>
        <v/>
      </c>
      <c r="O444" s="4" t="str">
        <f t="array" ref="O444">IF($E444="","", XLOOKUP(SUMIFS(Prod_Prop!$A:$A,Prod_Prop!$B:$B,$E444,Prod_Prop!$H:$H,O$1,Prod_Prop!$I:$I,"Exacto"),Prod_Prop!$A:$A,Prod_Prop!$J:$J,"",0,1))</f>
        <v/>
      </c>
      <c r="P444" s="4" t="str">
        <f t="array" ref="P444">IF($E444="","", XLOOKUP(SUMIFS(Prod_Prop!$A:$A,Prod_Prop!$B:$B,$E444,Prod_Prop!$H:$H,P$1,Prod_Prop!$I:$I,"Exacto"),Prod_Prop!$A:$A,Prod_Prop!$J:$J,"",0,1))</f>
        <v/>
      </c>
      <c r="Q444" s="4" t="str">
        <f t="array" ref="Q444">IF($E444="","", XLOOKUP(SUMIFS(Prod_Prop!$A:$A,Prod_Prop!$B:$B,$E444,Prod_Prop!$H:$H,Q$1,Prod_Prop!$I:$I,"Exacto"),Prod_Prop!$A:$A,Prod_Prop!$J:$J,"",0,1))</f>
        <v/>
      </c>
      <c r="R444" s="4" t="str">
        <f t="array" ref="R444">IF($E444="","", XLOOKUP(SUMIFS(Prod_Prop!$A:$A,Prod_Prop!$B:$B,$E444,Prod_Prop!$H:$H,R$1,Prod_Prop!$I:$I,"Exacto"),Prod_Prop!$A:$A,Prod_Prop!$J:$J,"",0,1))</f>
        <v/>
      </c>
      <c r="S444" s="4" t="str">
        <f t="array" ref="S444">IF($E444="","", XLOOKUP(SUMIFS(Prod_Prop!$A:$A,Prod_Prop!$B:$B,$E444,Prod_Prop!$H:$H,S$1,Prod_Prop!$I:$I,"Exacto"),Prod_Prop!$A:$A,Prod_Prop!$J:$J,"",0,1))</f>
        <v/>
      </c>
      <c r="T444" s="4" t="str">
        <f t="array" ref="T444">IF($E444="","", XLOOKUP(SUMIFS(Prod_Prop!$A:$A,Prod_Prop!$B:$B,$E444,Prod_Prop!$H:$H,T$1,Prod_Prop!$I:$I,"Exacto"),Prod_Prop!$A:$A,Prod_Prop!$J:$J,"",0,1))</f>
        <v/>
      </c>
      <c r="U444" s="4" t="str">
        <f t="array" ref="U444">IF($E444="","", XLOOKUP(SUMIFS(Prod_Prop!$A:$A,Prod_Prop!$B:$B,$E444,Prod_Prop!$H:$H,U$1,Prod_Prop!$I:$I,"Exacto"),Prod_Prop!$A:$A,Prod_Prop!$J:$J,"",0,1))</f>
        <v/>
      </c>
      <c r="V444" s="4" t="str">
        <f t="array" ref="V444">IF($E444="","", XLOOKUP(SUMIFS(Prod_Prop!$A:$A,Prod_Prop!$B:$B,$E444,Prod_Prop!$H:$H,V$1,Prod_Prop!$I:$I,"Exacto"),Prod_Prop!$A:$A,Prod_Prop!$J:$J,"",0,1))</f>
        <v/>
      </c>
      <c r="X444" s="3" t="str">
        <f>IFERROR(__xludf.DUMMYFUNCTION("IF(D444="""","""",IFERROR(TRANSPOSE(FILTER('Validaciones Cotizador'!U:U,'Validaciones Cotizador'!O:O=D444,'Validaciones Cotizador'!T:T=""x"")),""Finalizar""))"),"")</f>
        <v/>
      </c>
    </row>
    <row r="445">
      <c r="A445" s="2" t="str">
        <f t="array" ref="A445">IF(E445="","",XLOOKUP(D445,'Validaciones Cotizador'!C:C,'Validaciones Cotizador'!A:A,"",0,1))</f>
        <v/>
      </c>
      <c r="B445" s="2" t="str">
        <f t="array" ref="B445">IF(F445="","",XLOOKUP(F445,Productos!E:E,Productos!G:G,"",0,1))</f>
        <v/>
      </c>
      <c r="C445" s="2" t="str">
        <f>IF(A445="","",SUMIFS('Validaciones Cotizador'!B:B,'Validaciones Cotizador'!C:C,D445,'Validaciones Cotizador'!A:A,A445))</f>
        <v/>
      </c>
      <c r="D445" s="4" t="str">
        <f>IFERROR(__xludf.DUMMYFUNCTION("IF(OR(F444=""Finalizar"",F444="""",F444=""Selecciona..""),"""",IF(OR(F444=""-"",INDEX(filter(Familias!F:F,Familias!D:D=A444,Familias!E:E=C444),1)=""O""),D444+1,D444))"),"")</f>
        <v/>
      </c>
      <c r="E445" s="2" t="str">
        <f>IF(OR(F445="",F445="Selecciona.."),"",IF(D445="Implemento",SUMIF(Implementos!B:B,F445,Implementos!A:A),SUMIF(Productos!E:E,F445,Productos!A:A)))</f>
        <v/>
      </c>
      <c r="F445" s="2" t="str">
        <f t="shared" si="2"/>
        <v/>
      </c>
      <c r="G445" s="10" t="str">
        <f t="array" ref="G445">IF(OR(F445="",F445="-",F445="Selecciona..",F445="Finalizar"),"",IF(A445="Rodados",XLOOKUP(B445,'Validaciones Cotizador'!I:I,'Validaciones Cotizador'!J:J,0,0,1),1))</f>
        <v/>
      </c>
      <c r="H445" s="11" t="str">
        <f>IF(OR(F445="",F445="Selecciona.."),"",SUMIF(Precio_Productos!K:K,E445,Precio_Productos!J:J)*G445)</f>
        <v/>
      </c>
      <c r="I445" s="4" t="str">
        <f t="array" ref="I445">IF($E445="","", XLOOKUP(SUMIFS(Prod_Prop!$A:$A,Prod_Prop!$B:$B,$E445,Prod_Prop!$H:$H,I$1,Prod_Prop!$I:$I,"Exacto"),Prod_Prop!$A:$A,Prod_Prop!$J:$J,"",0,1))</f>
        <v/>
      </c>
      <c r="J445" s="4" t="str">
        <f t="array" ref="J445">IF($E445="","", XLOOKUP(SUMIFS(Prod_Prop!$A:$A,Prod_Prop!$B:$B,$E445,Prod_Prop!$H:$H,J$1,Prod_Prop!$I:$I,"Exacto"),Prod_Prop!$A:$A,Prod_Prop!$J:$J,"",0,1))</f>
        <v/>
      </c>
      <c r="K445" s="4" t="str">
        <f t="array" ref="K445">IF($E445="","", XLOOKUP(SUMIFS(Prod_Prop!$A:$A,Prod_Prop!$B:$B,$E445,Prod_Prop!$H:$H,K$1,Prod_Prop!$I:$I,"Exacto"),Prod_Prop!$A:$A,Prod_Prop!$J:$J,"",0,1))</f>
        <v/>
      </c>
      <c r="L445" s="4" t="str">
        <f t="array" ref="L445">IF($E445="","", XLOOKUP(SUMIFS(Prod_Prop!$A:$A,Prod_Prop!$B:$B,$E445,Prod_Prop!$H:$H,L$1,Prod_Prop!$I:$I,"Exacto"),Prod_Prop!$A:$A,Prod_Prop!$J:$J,"",0,1))</f>
        <v/>
      </c>
      <c r="M445" s="4" t="str">
        <f t="array" ref="M445">IF($E445="","", XLOOKUP(SUMIFS(Prod_Prop!$A:$A,Prod_Prop!$B:$B,$E445,Prod_Prop!$H:$H,M$1,Prod_Prop!$I:$I,"Exacto"),Prod_Prop!$A:$A,Prod_Prop!$J:$J,"",0,1))</f>
        <v/>
      </c>
      <c r="N445" s="4" t="str">
        <f t="array" ref="N445">IF($E445="","", XLOOKUP(SUMIFS(Prod_Prop!$A:$A,Prod_Prop!$B:$B,$E445,Prod_Prop!$H:$H,N$1,Prod_Prop!$I:$I,"Exacto"),Prod_Prop!$A:$A,Prod_Prop!$J:$J,"",0,1))</f>
        <v/>
      </c>
      <c r="O445" s="4" t="str">
        <f t="array" ref="O445">IF($E445="","", XLOOKUP(SUMIFS(Prod_Prop!$A:$A,Prod_Prop!$B:$B,$E445,Prod_Prop!$H:$H,O$1,Prod_Prop!$I:$I,"Exacto"),Prod_Prop!$A:$A,Prod_Prop!$J:$J,"",0,1))</f>
        <v/>
      </c>
      <c r="P445" s="4" t="str">
        <f t="array" ref="P445">IF($E445="","", XLOOKUP(SUMIFS(Prod_Prop!$A:$A,Prod_Prop!$B:$B,$E445,Prod_Prop!$H:$H,P$1,Prod_Prop!$I:$I,"Exacto"),Prod_Prop!$A:$A,Prod_Prop!$J:$J,"",0,1))</f>
        <v/>
      </c>
      <c r="Q445" s="4" t="str">
        <f t="array" ref="Q445">IF($E445="","", XLOOKUP(SUMIFS(Prod_Prop!$A:$A,Prod_Prop!$B:$B,$E445,Prod_Prop!$H:$H,Q$1,Prod_Prop!$I:$I,"Exacto"),Prod_Prop!$A:$A,Prod_Prop!$J:$J,"",0,1))</f>
        <v/>
      </c>
      <c r="R445" s="4" t="str">
        <f t="array" ref="R445">IF($E445="","", XLOOKUP(SUMIFS(Prod_Prop!$A:$A,Prod_Prop!$B:$B,$E445,Prod_Prop!$H:$H,R$1,Prod_Prop!$I:$I,"Exacto"),Prod_Prop!$A:$A,Prod_Prop!$J:$J,"",0,1))</f>
        <v/>
      </c>
      <c r="S445" s="4" t="str">
        <f t="array" ref="S445">IF($E445="","", XLOOKUP(SUMIFS(Prod_Prop!$A:$A,Prod_Prop!$B:$B,$E445,Prod_Prop!$H:$H,S$1,Prod_Prop!$I:$I,"Exacto"),Prod_Prop!$A:$A,Prod_Prop!$J:$J,"",0,1))</f>
        <v/>
      </c>
      <c r="T445" s="4" t="str">
        <f t="array" ref="T445">IF($E445="","", XLOOKUP(SUMIFS(Prod_Prop!$A:$A,Prod_Prop!$B:$B,$E445,Prod_Prop!$H:$H,T$1,Prod_Prop!$I:$I,"Exacto"),Prod_Prop!$A:$A,Prod_Prop!$J:$J,"",0,1))</f>
        <v/>
      </c>
      <c r="U445" s="4" t="str">
        <f t="array" ref="U445">IF($E445="","", XLOOKUP(SUMIFS(Prod_Prop!$A:$A,Prod_Prop!$B:$B,$E445,Prod_Prop!$H:$H,U$1,Prod_Prop!$I:$I,"Exacto"),Prod_Prop!$A:$A,Prod_Prop!$J:$J,"",0,1))</f>
        <v/>
      </c>
      <c r="V445" s="4" t="str">
        <f t="array" ref="V445">IF($E445="","", XLOOKUP(SUMIFS(Prod_Prop!$A:$A,Prod_Prop!$B:$B,$E445,Prod_Prop!$H:$H,V$1,Prod_Prop!$I:$I,"Exacto"),Prod_Prop!$A:$A,Prod_Prop!$J:$J,"",0,1))</f>
        <v/>
      </c>
      <c r="X445" s="3" t="str">
        <f>IFERROR(__xludf.DUMMYFUNCTION("IF(D445="""","""",IFERROR(TRANSPOSE(FILTER('Validaciones Cotizador'!U:U,'Validaciones Cotizador'!O:O=D445,'Validaciones Cotizador'!T:T=""x"")),""Finalizar""))"),"")</f>
        <v/>
      </c>
    </row>
    <row r="446">
      <c r="A446" s="2" t="str">
        <f t="array" ref="A446">IF(E446="","",XLOOKUP(D446,'Validaciones Cotizador'!C:C,'Validaciones Cotizador'!A:A,"",0,1))</f>
        <v/>
      </c>
      <c r="B446" s="2" t="str">
        <f t="array" ref="B446">IF(F446="","",XLOOKUP(F446,Productos!E:E,Productos!G:G,"",0,1))</f>
        <v/>
      </c>
      <c r="C446" s="2" t="str">
        <f>IF(A446="","",SUMIFS('Validaciones Cotizador'!B:B,'Validaciones Cotizador'!C:C,D446,'Validaciones Cotizador'!A:A,A446))</f>
        <v/>
      </c>
      <c r="D446" s="4" t="str">
        <f>IFERROR(__xludf.DUMMYFUNCTION("IF(OR(F445=""Finalizar"",F445="""",F445=""Selecciona..""),"""",IF(OR(F445=""-"",INDEX(filter(Familias!F:F,Familias!D:D=A445,Familias!E:E=C445),1)=""O""),D445+1,D445))"),"")</f>
        <v/>
      </c>
      <c r="E446" s="2" t="str">
        <f>IF(OR(F446="",F446="Selecciona.."),"",IF(D446="Implemento",SUMIF(Implementos!B:B,F446,Implementos!A:A),SUMIF(Productos!E:E,F446,Productos!A:A)))</f>
        <v/>
      </c>
      <c r="F446" s="2" t="str">
        <f t="shared" si="2"/>
        <v/>
      </c>
      <c r="G446" s="10" t="str">
        <f t="array" ref="G446">IF(OR(F446="",F446="-",F446="Selecciona..",F446="Finalizar"),"",IF(A446="Rodados",XLOOKUP(B446,'Validaciones Cotizador'!I:I,'Validaciones Cotizador'!J:J,0,0,1),1))</f>
        <v/>
      </c>
      <c r="H446" s="11" t="str">
        <f>IF(OR(F446="",F446="Selecciona.."),"",SUMIF(Precio_Productos!K:K,E446,Precio_Productos!J:J)*G446)</f>
        <v/>
      </c>
      <c r="I446" s="4" t="str">
        <f t="array" ref="I446">IF($E446="","", XLOOKUP(SUMIFS(Prod_Prop!$A:$A,Prod_Prop!$B:$B,$E446,Prod_Prop!$H:$H,I$1,Prod_Prop!$I:$I,"Exacto"),Prod_Prop!$A:$A,Prod_Prop!$J:$J,"",0,1))</f>
        <v/>
      </c>
      <c r="J446" s="4" t="str">
        <f t="array" ref="J446">IF($E446="","", XLOOKUP(SUMIFS(Prod_Prop!$A:$A,Prod_Prop!$B:$B,$E446,Prod_Prop!$H:$H,J$1,Prod_Prop!$I:$I,"Exacto"),Prod_Prop!$A:$A,Prod_Prop!$J:$J,"",0,1))</f>
        <v/>
      </c>
      <c r="K446" s="4" t="str">
        <f t="array" ref="K446">IF($E446="","", XLOOKUP(SUMIFS(Prod_Prop!$A:$A,Prod_Prop!$B:$B,$E446,Prod_Prop!$H:$H,K$1,Prod_Prop!$I:$I,"Exacto"),Prod_Prop!$A:$A,Prod_Prop!$J:$J,"",0,1))</f>
        <v/>
      </c>
      <c r="L446" s="4" t="str">
        <f t="array" ref="L446">IF($E446="","", XLOOKUP(SUMIFS(Prod_Prop!$A:$A,Prod_Prop!$B:$B,$E446,Prod_Prop!$H:$H,L$1,Prod_Prop!$I:$I,"Exacto"),Prod_Prop!$A:$A,Prod_Prop!$J:$J,"",0,1))</f>
        <v/>
      </c>
      <c r="M446" s="4" t="str">
        <f t="array" ref="M446">IF($E446="","", XLOOKUP(SUMIFS(Prod_Prop!$A:$A,Prod_Prop!$B:$B,$E446,Prod_Prop!$H:$H,M$1,Prod_Prop!$I:$I,"Exacto"),Prod_Prop!$A:$A,Prod_Prop!$J:$J,"",0,1))</f>
        <v/>
      </c>
      <c r="N446" s="4" t="str">
        <f t="array" ref="N446">IF($E446="","", XLOOKUP(SUMIFS(Prod_Prop!$A:$A,Prod_Prop!$B:$B,$E446,Prod_Prop!$H:$H,N$1,Prod_Prop!$I:$I,"Exacto"),Prod_Prop!$A:$A,Prod_Prop!$J:$J,"",0,1))</f>
        <v/>
      </c>
      <c r="O446" s="4" t="str">
        <f t="array" ref="O446">IF($E446="","", XLOOKUP(SUMIFS(Prod_Prop!$A:$A,Prod_Prop!$B:$B,$E446,Prod_Prop!$H:$H,O$1,Prod_Prop!$I:$I,"Exacto"),Prod_Prop!$A:$A,Prod_Prop!$J:$J,"",0,1))</f>
        <v/>
      </c>
      <c r="P446" s="4" t="str">
        <f t="array" ref="P446">IF($E446="","", XLOOKUP(SUMIFS(Prod_Prop!$A:$A,Prod_Prop!$B:$B,$E446,Prod_Prop!$H:$H,P$1,Prod_Prop!$I:$I,"Exacto"),Prod_Prop!$A:$A,Prod_Prop!$J:$J,"",0,1))</f>
        <v/>
      </c>
      <c r="Q446" s="4" t="str">
        <f t="array" ref="Q446">IF($E446="","", XLOOKUP(SUMIFS(Prod_Prop!$A:$A,Prod_Prop!$B:$B,$E446,Prod_Prop!$H:$H,Q$1,Prod_Prop!$I:$I,"Exacto"),Prod_Prop!$A:$A,Prod_Prop!$J:$J,"",0,1))</f>
        <v/>
      </c>
      <c r="R446" s="4" t="str">
        <f t="array" ref="R446">IF($E446="","", XLOOKUP(SUMIFS(Prod_Prop!$A:$A,Prod_Prop!$B:$B,$E446,Prod_Prop!$H:$H,R$1,Prod_Prop!$I:$I,"Exacto"),Prod_Prop!$A:$A,Prod_Prop!$J:$J,"",0,1))</f>
        <v/>
      </c>
      <c r="S446" s="4" t="str">
        <f t="array" ref="S446">IF($E446="","", XLOOKUP(SUMIFS(Prod_Prop!$A:$A,Prod_Prop!$B:$B,$E446,Prod_Prop!$H:$H,S$1,Prod_Prop!$I:$I,"Exacto"),Prod_Prop!$A:$A,Prod_Prop!$J:$J,"",0,1))</f>
        <v/>
      </c>
      <c r="T446" s="4" t="str">
        <f t="array" ref="T446">IF($E446="","", XLOOKUP(SUMIFS(Prod_Prop!$A:$A,Prod_Prop!$B:$B,$E446,Prod_Prop!$H:$H,T$1,Prod_Prop!$I:$I,"Exacto"),Prod_Prop!$A:$A,Prod_Prop!$J:$J,"",0,1))</f>
        <v/>
      </c>
      <c r="U446" s="4" t="str">
        <f t="array" ref="U446">IF($E446="","", XLOOKUP(SUMIFS(Prod_Prop!$A:$A,Prod_Prop!$B:$B,$E446,Prod_Prop!$H:$H,U$1,Prod_Prop!$I:$I,"Exacto"),Prod_Prop!$A:$A,Prod_Prop!$J:$J,"",0,1))</f>
        <v/>
      </c>
      <c r="V446" s="4" t="str">
        <f t="array" ref="V446">IF($E446="","", XLOOKUP(SUMIFS(Prod_Prop!$A:$A,Prod_Prop!$B:$B,$E446,Prod_Prop!$H:$H,V$1,Prod_Prop!$I:$I,"Exacto"),Prod_Prop!$A:$A,Prod_Prop!$J:$J,"",0,1))</f>
        <v/>
      </c>
      <c r="X446" s="3" t="str">
        <f>IFERROR(__xludf.DUMMYFUNCTION("IF(D446="""","""",IFERROR(TRANSPOSE(FILTER('Validaciones Cotizador'!U:U,'Validaciones Cotizador'!O:O=D446,'Validaciones Cotizador'!T:T=""x"")),""Finalizar""))"),"")</f>
        <v/>
      </c>
    </row>
    <row r="447">
      <c r="A447" s="2" t="str">
        <f t="array" ref="A447">IF(E447="","",XLOOKUP(D447,'Validaciones Cotizador'!C:C,'Validaciones Cotizador'!A:A,"",0,1))</f>
        <v/>
      </c>
      <c r="B447" s="2" t="str">
        <f t="array" ref="B447">IF(F447="","",XLOOKUP(F447,Productos!E:E,Productos!G:G,"",0,1))</f>
        <v/>
      </c>
      <c r="C447" s="2" t="str">
        <f>IF(A447="","",SUMIFS('Validaciones Cotizador'!B:B,'Validaciones Cotizador'!C:C,D447,'Validaciones Cotizador'!A:A,A447))</f>
        <v/>
      </c>
      <c r="D447" s="4" t="str">
        <f>IFERROR(__xludf.DUMMYFUNCTION("IF(OR(F446=""Finalizar"",F446="""",F446=""Selecciona..""),"""",IF(OR(F446=""-"",INDEX(filter(Familias!F:F,Familias!D:D=A446,Familias!E:E=C446),1)=""O""),D446+1,D446))"),"")</f>
        <v/>
      </c>
      <c r="E447" s="2" t="str">
        <f>IF(OR(F447="",F447="Selecciona.."),"",IF(D447="Implemento",SUMIF(Implementos!B:B,F447,Implementos!A:A),SUMIF(Productos!E:E,F447,Productos!A:A)))</f>
        <v/>
      </c>
      <c r="F447" s="2" t="str">
        <f t="shared" si="2"/>
        <v/>
      </c>
      <c r="G447" s="10" t="str">
        <f t="array" ref="G447">IF(OR(F447="",F447="-",F447="Selecciona..",F447="Finalizar"),"",IF(A447="Rodados",XLOOKUP(B447,'Validaciones Cotizador'!I:I,'Validaciones Cotizador'!J:J,0,0,1),1))</f>
        <v/>
      </c>
      <c r="H447" s="11" t="str">
        <f>IF(OR(F447="",F447="Selecciona.."),"",SUMIF(Precio_Productos!K:K,E447,Precio_Productos!J:J)*G447)</f>
        <v/>
      </c>
      <c r="I447" s="4" t="str">
        <f t="array" ref="I447">IF($E447="","", XLOOKUP(SUMIFS(Prod_Prop!$A:$A,Prod_Prop!$B:$B,$E447,Prod_Prop!$H:$H,I$1,Prod_Prop!$I:$I,"Exacto"),Prod_Prop!$A:$A,Prod_Prop!$J:$J,"",0,1))</f>
        <v/>
      </c>
      <c r="J447" s="4" t="str">
        <f t="array" ref="J447">IF($E447="","", XLOOKUP(SUMIFS(Prod_Prop!$A:$A,Prod_Prop!$B:$B,$E447,Prod_Prop!$H:$H,J$1,Prod_Prop!$I:$I,"Exacto"),Prod_Prop!$A:$A,Prod_Prop!$J:$J,"",0,1))</f>
        <v/>
      </c>
      <c r="K447" s="4" t="str">
        <f t="array" ref="K447">IF($E447="","", XLOOKUP(SUMIFS(Prod_Prop!$A:$A,Prod_Prop!$B:$B,$E447,Prod_Prop!$H:$H,K$1,Prod_Prop!$I:$I,"Exacto"),Prod_Prop!$A:$A,Prod_Prop!$J:$J,"",0,1))</f>
        <v/>
      </c>
      <c r="L447" s="4" t="str">
        <f t="array" ref="L447">IF($E447="","", XLOOKUP(SUMIFS(Prod_Prop!$A:$A,Prod_Prop!$B:$B,$E447,Prod_Prop!$H:$H,L$1,Prod_Prop!$I:$I,"Exacto"),Prod_Prop!$A:$A,Prod_Prop!$J:$J,"",0,1))</f>
        <v/>
      </c>
      <c r="M447" s="4" t="str">
        <f t="array" ref="M447">IF($E447="","", XLOOKUP(SUMIFS(Prod_Prop!$A:$A,Prod_Prop!$B:$B,$E447,Prod_Prop!$H:$H,M$1,Prod_Prop!$I:$I,"Exacto"),Prod_Prop!$A:$A,Prod_Prop!$J:$J,"",0,1))</f>
        <v/>
      </c>
      <c r="N447" s="4" t="str">
        <f t="array" ref="N447">IF($E447="","", XLOOKUP(SUMIFS(Prod_Prop!$A:$A,Prod_Prop!$B:$B,$E447,Prod_Prop!$H:$H,N$1,Prod_Prop!$I:$I,"Exacto"),Prod_Prop!$A:$A,Prod_Prop!$J:$J,"",0,1))</f>
        <v/>
      </c>
      <c r="O447" s="4" t="str">
        <f t="array" ref="O447">IF($E447="","", XLOOKUP(SUMIFS(Prod_Prop!$A:$A,Prod_Prop!$B:$B,$E447,Prod_Prop!$H:$H,O$1,Prod_Prop!$I:$I,"Exacto"),Prod_Prop!$A:$A,Prod_Prop!$J:$J,"",0,1))</f>
        <v/>
      </c>
      <c r="P447" s="4" t="str">
        <f t="array" ref="P447">IF($E447="","", XLOOKUP(SUMIFS(Prod_Prop!$A:$A,Prod_Prop!$B:$B,$E447,Prod_Prop!$H:$H,P$1,Prod_Prop!$I:$I,"Exacto"),Prod_Prop!$A:$A,Prod_Prop!$J:$J,"",0,1))</f>
        <v/>
      </c>
      <c r="Q447" s="4" t="str">
        <f t="array" ref="Q447">IF($E447="","", XLOOKUP(SUMIFS(Prod_Prop!$A:$A,Prod_Prop!$B:$B,$E447,Prod_Prop!$H:$H,Q$1,Prod_Prop!$I:$I,"Exacto"),Prod_Prop!$A:$A,Prod_Prop!$J:$J,"",0,1))</f>
        <v/>
      </c>
      <c r="R447" s="4" t="str">
        <f t="array" ref="R447">IF($E447="","", XLOOKUP(SUMIFS(Prod_Prop!$A:$A,Prod_Prop!$B:$B,$E447,Prod_Prop!$H:$H,R$1,Prod_Prop!$I:$I,"Exacto"),Prod_Prop!$A:$A,Prod_Prop!$J:$J,"",0,1))</f>
        <v/>
      </c>
      <c r="S447" s="4" t="str">
        <f t="array" ref="S447">IF($E447="","", XLOOKUP(SUMIFS(Prod_Prop!$A:$A,Prod_Prop!$B:$B,$E447,Prod_Prop!$H:$H,S$1,Prod_Prop!$I:$I,"Exacto"),Prod_Prop!$A:$A,Prod_Prop!$J:$J,"",0,1))</f>
        <v/>
      </c>
      <c r="T447" s="4" t="str">
        <f t="array" ref="T447">IF($E447="","", XLOOKUP(SUMIFS(Prod_Prop!$A:$A,Prod_Prop!$B:$B,$E447,Prod_Prop!$H:$H,T$1,Prod_Prop!$I:$I,"Exacto"),Prod_Prop!$A:$A,Prod_Prop!$J:$J,"",0,1))</f>
        <v/>
      </c>
      <c r="U447" s="4" t="str">
        <f t="array" ref="U447">IF($E447="","", XLOOKUP(SUMIFS(Prod_Prop!$A:$A,Prod_Prop!$B:$B,$E447,Prod_Prop!$H:$H,U$1,Prod_Prop!$I:$I,"Exacto"),Prod_Prop!$A:$A,Prod_Prop!$J:$J,"",0,1))</f>
        <v/>
      </c>
      <c r="V447" s="4" t="str">
        <f t="array" ref="V447">IF($E447="","", XLOOKUP(SUMIFS(Prod_Prop!$A:$A,Prod_Prop!$B:$B,$E447,Prod_Prop!$H:$H,V$1,Prod_Prop!$I:$I,"Exacto"),Prod_Prop!$A:$A,Prod_Prop!$J:$J,"",0,1))</f>
        <v/>
      </c>
      <c r="X447" s="3" t="str">
        <f>IFERROR(__xludf.DUMMYFUNCTION("IF(D447="""","""",IFERROR(TRANSPOSE(FILTER('Validaciones Cotizador'!U:U,'Validaciones Cotizador'!O:O=D447,'Validaciones Cotizador'!T:T=""x"")),""Finalizar""))"),"")</f>
        <v/>
      </c>
    </row>
    <row r="448">
      <c r="A448" s="2" t="str">
        <f t="array" ref="A448">IF(E448="","",XLOOKUP(D448,'Validaciones Cotizador'!C:C,'Validaciones Cotizador'!A:A,"",0,1))</f>
        <v/>
      </c>
      <c r="B448" s="2" t="str">
        <f t="array" ref="B448">IF(F448="","",XLOOKUP(F448,Productos!E:E,Productos!G:G,"",0,1))</f>
        <v/>
      </c>
      <c r="C448" s="2" t="str">
        <f>IF(A448="","",SUMIFS('Validaciones Cotizador'!B:B,'Validaciones Cotizador'!C:C,D448,'Validaciones Cotizador'!A:A,A448))</f>
        <v/>
      </c>
      <c r="D448" s="4" t="str">
        <f>IFERROR(__xludf.DUMMYFUNCTION("IF(OR(F447=""Finalizar"",F447="""",F447=""Selecciona..""),"""",IF(OR(F447=""-"",INDEX(filter(Familias!F:F,Familias!D:D=A447,Familias!E:E=C447),1)=""O""),D447+1,D447))"),"")</f>
        <v/>
      </c>
      <c r="E448" s="2" t="str">
        <f>IF(OR(F448="",F448="Selecciona.."),"",IF(D448="Implemento",SUMIF(Implementos!B:B,F448,Implementos!A:A),SUMIF(Productos!E:E,F448,Productos!A:A)))</f>
        <v/>
      </c>
      <c r="F448" s="2" t="str">
        <f t="shared" si="2"/>
        <v/>
      </c>
      <c r="G448" s="10" t="str">
        <f t="array" ref="G448">IF(OR(F448="",F448="-",F448="Selecciona..",F448="Finalizar"),"",IF(A448="Rodados",XLOOKUP(B448,'Validaciones Cotizador'!I:I,'Validaciones Cotizador'!J:J,0,0,1),1))</f>
        <v/>
      </c>
      <c r="H448" s="11" t="str">
        <f>IF(OR(F448="",F448="Selecciona.."),"",SUMIF(Precio_Productos!K:K,E448,Precio_Productos!J:J)*G448)</f>
        <v/>
      </c>
      <c r="I448" s="4" t="str">
        <f t="array" ref="I448">IF($E448="","", XLOOKUP(SUMIFS(Prod_Prop!$A:$A,Prod_Prop!$B:$B,$E448,Prod_Prop!$H:$H,I$1,Prod_Prop!$I:$I,"Exacto"),Prod_Prop!$A:$A,Prod_Prop!$J:$J,"",0,1))</f>
        <v/>
      </c>
      <c r="J448" s="4" t="str">
        <f t="array" ref="J448">IF($E448="","", XLOOKUP(SUMIFS(Prod_Prop!$A:$A,Prod_Prop!$B:$B,$E448,Prod_Prop!$H:$H,J$1,Prod_Prop!$I:$I,"Exacto"),Prod_Prop!$A:$A,Prod_Prop!$J:$J,"",0,1))</f>
        <v/>
      </c>
      <c r="K448" s="4" t="str">
        <f t="array" ref="K448">IF($E448="","", XLOOKUP(SUMIFS(Prod_Prop!$A:$A,Prod_Prop!$B:$B,$E448,Prod_Prop!$H:$H,K$1,Prod_Prop!$I:$I,"Exacto"),Prod_Prop!$A:$A,Prod_Prop!$J:$J,"",0,1))</f>
        <v/>
      </c>
      <c r="L448" s="4" t="str">
        <f t="array" ref="L448">IF($E448="","", XLOOKUP(SUMIFS(Prod_Prop!$A:$A,Prod_Prop!$B:$B,$E448,Prod_Prop!$H:$H,L$1,Prod_Prop!$I:$I,"Exacto"),Prod_Prop!$A:$A,Prod_Prop!$J:$J,"",0,1))</f>
        <v/>
      </c>
      <c r="M448" s="4" t="str">
        <f t="array" ref="M448">IF($E448="","", XLOOKUP(SUMIFS(Prod_Prop!$A:$A,Prod_Prop!$B:$B,$E448,Prod_Prop!$H:$H,M$1,Prod_Prop!$I:$I,"Exacto"),Prod_Prop!$A:$A,Prod_Prop!$J:$J,"",0,1))</f>
        <v/>
      </c>
      <c r="N448" s="4" t="str">
        <f t="array" ref="N448">IF($E448="","", XLOOKUP(SUMIFS(Prod_Prop!$A:$A,Prod_Prop!$B:$B,$E448,Prod_Prop!$H:$H,N$1,Prod_Prop!$I:$I,"Exacto"),Prod_Prop!$A:$A,Prod_Prop!$J:$J,"",0,1))</f>
        <v/>
      </c>
      <c r="O448" s="4" t="str">
        <f t="array" ref="O448">IF($E448="","", XLOOKUP(SUMIFS(Prod_Prop!$A:$A,Prod_Prop!$B:$B,$E448,Prod_Prop!$H:$H,O$1,Prod_Prop!$I:$I,"Exacto"),Prod_Prop!$A:$A,Prod_Prop!$J:$J,"",0,1))</f>
        <v/>
      </c>
      <c r="P448" s="4" t="str">
        <f t="array" ref="P448">IF($E448="","", XLOOKUP(SUMIFS(Prod_Prop!$A:$A,Prod_Prop!$B:$B,$E448,Prod_Prop!$H:$H,P$1,Prod_Prop!$I:$I,"Exacto"),Prod_Prop!$A:$A,Prod_Prop!$J:$J,"",0,1))</f>
        <v/>
      </c>
      <c r="Q448" s="4" t="str">
        <f t="array" ref="Q448">IF($E448="","", XLOOKUP(SUMIFS(Prod_Prop!$A:$A,Prod_Prop!$B:$B,$E448,Prod_Prop!$H:$H,Q$1,Prod_Prop!$I:$I,"Exacto"),Prod_Prop!$A:$A,Prod_Prop!$J:$J,"",0,1))</f>
        <v/>
      </c>
      <c r="R448" s="4" t="str">
        <f t="array" ref="R448">IF($E448="","", XLOOKUP(SUMIFS(Prod_Prop!$A:$A,Prod_Prop!$B:$B,$E448,Prod_Prop!$H:$H,R$1,Prod_Prop!$I:$I,"Exacto"),Prod_Prop!$A:$A,Prod_Prop!$J:$J,"",0,1))</f>
        <v/>
      </c>
      <c r="S448" s="4" t="str">
        <f t="array" ref="S448">IF($E448="","", XLOOKUP(SUMIFS(Prod_Prop!$A:$A,Prod_Prop!$B:$B,$E448,Prod_Prop!$H:$H,S$1,Prod_Prop!$I:$I,"Exacto"),Prod_Prop!$A:$A,Prod_Prop!$J:$J,"",0,1))</f>
        <v/>
      </c>
      <c r="T448" s="4" t="str">
        <f t="array" ref="T448">IF($E448="","", XLOOKUP(SUMIFS(Prod_Prop!$A:$A,Prod_Prop!$B:$B,$E448,Prod_Prop!$H:$H,T$1,Prod_Prop!$I:$I,"Exacto"),Prod_Prop!$A:$A,Prod_Prop!$J:$J,"",0,1))</f>
        <v/>
      </c>
      <c r="U448" s="4" t="str">
        <f t="array" ref="U448">IF($E448="","", XLOOKUP(SUMIFS(Prod_Prop!$A:$A,Prod_Prop!$B:$B,$E448,Prod_Prop!$H:$H,U$1,Prod_Prop!$I:$I,"Exacto"),Prod_Prop!$A:$A,Prod_Prop!$J:$J,"",0,1))</f>
        <v/>
      </c>
      <c r="V448" s="4" t="str">
        <f t="array" ref="V448">IF($E448="","", XLOOKUP(SUMIFS(Prod_Prop!$A:$A,Prod_Prop!$B:$B,$E448,Prod_Prop!$H:$H,V$1,Prod_Prop!$I:$I,"Exacto"),Prod_Prop!$A:$A,Prod_Prop!$J:$J,"",0,1))</f>
        <v/>
      </c>
      <c r="X448" s="3" t="str">
        <f>IFERROR(__xludf.DUMMYFUNCTION("IF(D448="""","""",IFERROR(TRANSPOSE(FILTER('Validaciones Cotizador'!U:U,'Validaciones Cotizador'!O:O=D448,'Validaciones Cotizador'!T:T=""x"")),""Finalizar""))"),"")</f>
        <v/>
      </c>
    </row>
    <row r="449">
      <c r="A449" s="2" t="str">
        <f t="array" ref="A449">IF(E449="","",XLOOKUP(D449,'Validaciones Cotizador'!C:C,'Validaciones Cotizador'!A:A,"",0,1))</f>
        <v/>
      </c>
      <c r="B449" s="2" t="str">
        <f t="array" ref="B449">IF(F449="","",XLOOKUP(F449,Productos!E:E,Productos!G:G,"",0,1))</f>
        <v/>
      </c>
      <c r="C449" s="2" t="str">
        <f>IF(A449="","",SUMIFS('Validaciones Cotizador'!B:B,'Validaciones Cotizador'!C:C,D449,'Validaciones Cotizador'!A:A,A449))</f>
        <v/>
      </c>
      <c r="D449" s="4" t="str">
        <f>IFERROR(__xludf.DUMMYFUNCTION("IF(OR(F448=""Finalizar"",F448="""",F448=""Selecciona..""),"""",IF(OR(F448=""-"",INDEX(filter(Familias!F:F,Familias!D:D=A448,Familias!E:E=C448),1)=""O""),D448+1,D448))"),"")</f>
        <v/>
      </c>
      <c r="E449" s="2" t="str">
        <f>IF(OR(F449="",F449="Selecciona.."),"",IF(D449="Implemento",SUMIF(Implementos!B:B,F449,Implementos!A:A),SUMIF(Productos!E:E,F449,Productos!A:A)))</f>
        <v/>
      </c>
      <c r="F449" s="2" t="str">
        <f t="shared" si="2"/>
        <v/>
      </c>
      <c r="G449" s="10" t="str">
        <f t="array" ref="G449">IF(OR(F449="",F449="-",F449="Selecciona..",F449="Finalizar"),"",IF(A449="Rodados",XLOOKUP(B449,'Validaciones Cotizador'!I:I,'Validaciones Cotizador'!J:J,0,0,1),1))</f>
        <v/>
      </c>
      <c r="H449" s="11" t="str">
        <f>IF(OR(F449="",F449="Selecciona.."),"",SUMIF(Precio_Productos!K:K,E449,Precio_Productos!J:J)*G449)</f>
        <v/>
      </c>
      <c r="I449" s="4" t="str">
        <f t="array" ref="I449">IF($E449="","", XLOOKUP(SUMIFS(Prod_Prop!$A:$A,Prod_Prop!$B:$B,$E449,Prod_Prop!$H:$H,I$1,Prod_Prop!$I:$I,"Exacto"),Prod_Prop!$A:$A,Prod_Prop!$J:$J,"",0,1))</f>
        <v/>
      </c>
      <c r="J449" s="4" t="str">
        <f t="array" ref="J449">IF($E449="","", XLOOKUP(SUMIFS(Prod_Prop!$A:$A,Prod_Prop!$B:$B,$E449,Prod_Prop!$H:$H,J$1,Prod_Prop!$I:$I,"Exacto"),Prod_Prop!$A:$A,Prod_Prop!$J:$J,"",0,1))</f>
        <v/>
      </c>
      <c r="K449" s="4" t="str">
        <f t="array" ref="K449">IF($E449="","", XLOOKUP(SUMIFS(Prod_Prop!$A:$A,Prod_Prop!$B:$B,$E449,Prod_Prop!$H:$H,K$1,Prod_Prop!$I:$I,"Exacto"),Prod_Prop!$A:$A,Prod_Prop!$J:$J,"",0,1))</f>
        <v/>
      </c>
      <c r="L449" s="4" t="str">
        <f t="array" ref="L449">IF($E449="","", XLOOKUP(SUMIFS(Prod_Prop!$A:$A,Prod_Prop!$B:$B,$E449,Prod_Prop!$H:$H,L$1,Prod_Prop!$I:$I,"Exacto"),Prod_Prop!$A:$A,Prod_Prop!$J:$J,"",0,1))</f>
        <v/>
      </c>
      <c r="M449" s="4" t="str">
        <f t="array" ref="M449">IF($E449="","", XLOOKUP(SUMIFS(Prod_Prop!$A:$A,Prod_Prop!$B:$B,$E449,Prod_Prop!$H:$H,M$1,Prod_Prop!$I:$I,"Exacto"),Prod_Prop!$A:$A,Prod_Prop!$J:$J,"",0,1))</f>
        <v/>
      </c>
      <c r="N449" s="4" t="str">
        <f t="array" ref="N449">IF($E449="","", XLOOKUP(SUMIFS(Prod_Prop!$A:$A,Prod_Prop!$B:$B,$E449,Prod_Prop!$H:$H,N$1,Prod_Prop!$I:$I,"Exacto"),Prod_Prop!$A:$A,Prod_Prop!$J:$J,"",0,1))</f>
        <v/>
      </c>
      <c r="O449" s="4" t="str">
        <f t="array" ref="O449">IF($E449="","", XLOOKUP(SUMIFS(Prod_Prop!$A:$A,Prod_Prop!$B:$B,$E449,Prod_Prop!$H:$H,O$1,Prod_Prop!$I:$I,"Exacto"),Prod_Prop!$A:$A,Prod_Prop!$J:$J,"",0,1))</f>
        <v/>
      </c>
      <c r="P449" s="4" t="str">
        <f t="array" ref="P449">IF($E449="","", XLOOKUP(SUMIFS(Prod_Prop!$A:$A,Prod_Prop!$B:$B,$E449,Prod_Prop!$H:$H,P$1,Prod_Prop!$I:$I,"Exacto"),Prod_Prop!$A:$A,Prod_Prop!$J:$J,"",0,1))</f>
        <v/>
      </c>
      <c r="Q449" s="4" t="str">
        <f t="array" ref="Q449">IF($E449="","", XLOOKUP(SUMIFS(Prod_Prop!$A:$A,Prod_Prop!$B:$B,$E449,Prod_Prop!$H:$H,Q$1,Prod_Prop!$I:$I,"Exacto"),Prod_Prop!$A:$A,Prod_Prop!$J:$J,"",0,1))</f>
        <v/>
      </c>
      <c r="R449" s="4" t="str">
        <f t="array" ref="R449">IF($E449="","", XLOOKUP(SUMIFS(Prod_Prop!$A:$A,Prod_Prop!$B:$B,$E449,Prod_Prop!$H:$H,R$1,Prod_Prop!$I:$I,"Exacto"),Prod_Prop!$A:$A,Prod_Prop!$J:$J,"",0,1))</f>
        <v/>
      </c>
      <c r="S449" s="4" t="str">
        <f t="array" ref="S449">IF($E449="","", XLOOKUP(SUMIFS(Prod_Prop!$A:$A,Prod_Prop!$B:$B,$E449,Prod_Prop!$H:$H,S$1,Prod_Prop!$I:$I,"Exacto"),Prod_Prop!$A:$A,Prod_Prop!$J:$J,"",0,1))</f>
        <v/>
      </c>
      <c r="T449" s="4" t="str">
        <f t="array" ref="T449">IF($E449="","", XLOOKUP(SUMIFS(Prod_Prop!$A:$A,Prod_Prop!$B:$B,$E449,Prod_Prop!$H:$H,T$1,Prod_Prop!$I:$I,"Exacto"),Prod_Prop!$A:$A,Prod_Prop!$J:$J,"",0,1))</f>
        <v/>
      </c>
      <c r="U449" s="4" t="str">
        <f t="array" ref="U449">IF($E449="","", XLOOKUP(SUMIFS(Prod_Prop!$A:$A,Prod_Prop!$B:$B,$E449,Prod_Prop!$H:$H,U$1,Prod_Prop!$I:$I,"Exacto"),Prod_Prop!$A:$A,Prod_Prop!$J:$J,"",0,1))</f>
        <v/>
      </c>
      <c r="V449" s="4" t="str">
        <f t="array" ref="V449">IF($E449="","", XLOOKUP(SUMIFS(Prod_Prop!$A:$A,Prod_Prop!$B:$B,$E449,Prod_Prop!$H:$H,V$1,Prod_Prop!$I:$I,"Exacto"),Prod_Prop!$A:$A,Prod_Prop!$J:$J,"",0,1))</f>
        <v/>
      </c>
      <c r="X449" s="3" t="str">
        <f>IFERROR(__xludf.DUMMYFUNCTION("IF(D449="""","""",IFERROR(TRANSPOSE(FILTER('Validaciones Cotizador'!U:U,'Validaciones Cotizador'!O:O=D449,'Validaciones Cotizador'!T:T=""x"")),""Finalizar""))"),"")</f>
        <v/>
      </c>
    </row>
    <row r="450">
      <c r="A450" s="2" t="str">
        <f t="array" ref="A450">IF(E450="","",XLOOKUP(D450,'Validaciones Cotizador'!C:C,'Validaciones Cotizador'!A:A,"",0,1))</f>
        <v/>
      </c>
      <c r="B450" s="2" t="str">
        <f t="array" ref="B450">IF(F450="","",XLOOKUP(F450,Productos!E:E,Productos!G:G,"",0,1))</f>
        <v/>
      </c>
      <c r="C450" s="2" t="str">
        <f>IF(A450="","",SUMIFS('Validaciones Cotizador'!B:B,'Validaciones Cotizador'!C:C,D450,'Validaciones Cotizador'!A:A,A450))</f>
        <v/>
      </c>
      <c r="D450" s="4" t="str">
        <f>IFERROR(__xludf.DUMMYFUNCTION("IF(OR(F449=""Finalizar"",F449="""",F449=""Selecciona..""),"""",IF(OR(F449=""-"",INDEX(filter(Familias!F:F,Familias!D:D=A449,Familias!E:E=C449),1)=""O""),D449+1,D449))"),"")</f>
        <v/>
      </c>
      <c r="E450" s="2" t="str">
        <f>IF(OR(F450="",F450="Selecciona.."),"",IF(D450="Implemento",SUMIF(Implementos!B:B,F450,Implementos!A:A),SUMIF(Productos!E:E,F450,Productos!A:A)))</f>
        <v/>
      </c>
      <c r="F450" s="2" t="str">
        <f t="shared" si="2"/>
        <v/>
      </c>
      <c r="G450" s="10" t="str">
        <f t="array" ref="G450">IF(OR(F450="",F450="-",F450="Selecciona..",F450="Finalizar"),"",IF(A450="Rodados",XLOOKUP(B450,'Validaciones Cotizador'!I:I,'Validaciones Cotizador'!J:J,0,0,1),1))</f>
        <v/>
      </c>
      <c r="H450" s="11" t="str">
        <f>IF(OR(F450="",F450="Selecciona.."),"",SUMIF(Precio_Productos!K:K,E450,Precio_Productos!J:J)*G450)</f>
        <v/>
      </c>
      <c r="I450" s="4" t="str">
        <f t="array" ref="I450">IF($E450="","", XLOOKUP(SUMIFS(Prod_Prop!$A:$A,Prod_Prop!$B:$B,$E450,Prod_Prop!$H:$H,I$1,Prod_Prop!$I:$I,"Exacto"),Prod_Prop!$A:$A,Prod_Prop!$J:$J,"",0,1))</f>
        <v/>
      </c>
      <c r="J450" s="4" t="str">
        <f t="array" ref="J450">IF($E450="","", XLOOKUP(SUMIFS(Prod_Prop!$A:$A,Prod_Prop!$B:$B,$E450,Prod_Prop!$H:$H,J$1,Prod_Prop!$I:$I,"Exacto"),Prod_Prop!$A:$A,Prod_Prop!$J:$J,"",0,1))</f>
        <v/>
      </c>
      <c r="K450" s="4" t="str">
        <f t="array" ref="K450">IF($E450="","", XLOOKUP(SUMIFS(Prod_Prop!$A:$A,Prod_Prop!$B:$B,$E450,Prod_Prop!$H:$H,K$1,Prod_Prop!$I:$I,"Exacto"),Prod_Prop!$A:$A,Prod_Prop!$J:$J,"",0,1))</f>
        <v/>
      </c>
      <c r="L450" s="4" t="str">
        <f t="array" ref="L450">IF($E450="","", XLOOKUP(SUMIFS(Prod_Prop!$A:$A,Prod_Prop!$B:$B,$E450,Prod_Prop!$H:$H,L$1,Prod_Prop!$I:$I,"Exacto"),Prod_Prop!$A:$A,Prod_Prop!$J:$J,"",0,1))</f>
        <v/>
      </c>
      <c r="M450" s="4" t="str">
        <f t="array" ref="M450">IF($E450="","", XLOOKUP(SUMIFS(Prod_Prop!$A:$A,Prod_Prop!$B:$B,$E450,Prod_Prop!$H:$H,M$1,Prod_Prop!$I:$I,"Exacto"),Prod_Prop!$A:$A,Prod_Prop!$J:$J,"",0,1))</f>
        <v/>
      </c>
      <c r="N450" s="4" t="str">
        <f t="array" ref="N450">IF($E450="","", XLOOKUP(SUMIFS(Prod_Prop!$A:$A,Prod_Prop!$B:$B,$E450,Prod_Prop!$H:$H,N$1,Prod_Prop!$I:$I,"Exacto"),Prod_Prop!$A:$A,Prod_Prop!$J:$J,"",0,1))</f>
        <v/>
      </c>
      <c r="O450" s="4" t="str">
        <f t="array" ref="O450">IF($E450="","", XLOOKUP(SUMIFS(Prod_Prop!$A:$A,Prod_Prop!$B:$B,$E450,Prod_Prop!$H:$H,O$1,Prod_Prop!$I:$I,"Exacto"),Prod_Prop!$A:$A,Prod_Prop!$J:$J,"",0,1))</f>
        <v/>
      </c>
      <c r="P450" s="4" t="str">
        <f t="array" ref="P450">IF($E450="","", XLOOKUP(SUMIFS(Prod_Prop!$A:$A,Prod_Prop!$B:$B,$E450,Prod_Prop!$H:$H,P$1,Prod_Prop!$I:$I,"Exacto"),Prod_Prop!$A:$A,Prod_Prop!$J:$J,"",0,1))</f>
        <v/>
      </c>
      <c r="Q450" s="4" t="str">
        <f t="array" ref="Q450">IF($E450="","", XLOOKUP(SUMIFS(Prod_Prop!$A:$A,Prod_Prop!$B:$B,$E450,Prod_Prop!$H:$H,Q$1,Prod_Prop!$I:$I,"Exacto"),Prod_Prop!$A:$A,Prod_Prop!$J:$J,"",0,1))</f>
        <v/>
      </c>
      <c r="R450" s="4" t="str">
        <f t="array" ref="R450">IF($E450="","", XLOOKUP(SUMIFS(Prod_Prop!$A:$A,Prod_Prop!$B:$B,$E450,Prod_Prop!$H:$H,R$1,Prod_Prop!$I:$I,"Exacto"),Prod_Prop!$A:$A,Prod_Prop!$J:$J,"",0,1))</f>
        <v/>
      </c>
      <c r="S450" s="4" t="str">
        <f t="array" ref="S450">IF($E450="","", XLOOKUP(SUMIFS(Prod_Prop!$A:$A,Prod_Prop!$B:$B,$E450,Prod_Prop!$H:$H,S$1,Prod_Prop!$I:$I,"Exacto"),Prod_Prop!$A:$A,Prod_Prop!$J:$J,"",0,1))</f>
        <v/>
      </c>
      <c r="T450" s="4" t="str">
        <f t="array" ref="T450">IF($E450="","", XLOOKUP(SUMIFS(Prod_Prop!$A:$A,Prod_Prop!$B:$B,$E450,Prod_Prop!$H:$H,T$1,Prod_Prop!$I:$I,"Exacto"),Prod_Prop!$A:$A,Prod_Prop!$J:$J,"",0,1))</f>
        <v/>
      </c>
      <c r="U450" s="4" t="str">
        <f t="array" ref="U450">IF($E450="","", XLOOKUP(SUMIFS(Prod_Prop!$A:$A,Prod_Prop!$B:$B,$E450,Prod_Prop!$H:$H,U$1,Prod_Prop!$I:$I,"Exacto"),Prod_Prop!$A:$A,Prod_Prop!$J:$J,"",0,1))</f>
        <v/>
      </c>
      <c r="V450" s="4" t="str">
        <f t="array" ref="V450">IF($E450="","", XLOOKUP(SUMIFS(Prod_Prop!$A:$A,Prod_Prop!$B:$B,$E450,Prod_Prop!$H:$H,V$1,Prod_Prop!$I:$I,"Exacto"),Prod_Prop!$A:$A,Prod_Prop!$J:$J,"",0,1))</f>
        <v/>
      </c>
      <c r="X450" s="3" t="str">
        <f>IFERROR(__xludf.DUMMYFUNCTION("IF(D450="""","""",IFERROR(TRANSPOSE(FILTER('Validaciones Cotizador'!U:U,'Validaciones Cotizador'!O:O=D450,'Validaciones Cotizador'!T:T=""x"")),""Finalizar""))"),"")</f>
        <v/>
      </c>
    </row>
    <row r="451">
      <c r="A451" s="2" t="str">
        <f t="array" ref="A451">IF(E451="","",XLOOKUP(D451,'Validaciones Cotizador'!C:C,'Validaciones Cotizador'!A:A,"",0,1))</f>
        <v/>
      </c>
      <c r="B451" s="2" t="str">
        <f t="array" ref="B451">IF(F451="","",XLOOKUP(F451,Productos!E:E,Productos!G:G,"",0,1))</f>
        <v/>
      </c>
      <c r="C451" s="2" t="str">
        <f>IF(A451="","",SUMIFS('Validaciones Cotizador'!B:B,'Validaciones Cotizador'!C:C,D451,'Validaciones Cotizador'!A:A,A451))</f>
        <v/>
      </c>
      <c r="D451" s="4" t="str">
        <f>IFERROR(__xludf.DUMMYFUNCTION("IF(OR(F450=""Finalizar"",F450="""",F450=""Selecciona..""),"""",IF(OR(F450=""-"",INDEX(filter(Familias!F:F,Familias!D:D=A450,Familias!E:E=C450),1)=""O""),D450+1,D450))"),"")</f>
        <v/>
      </c>
      <c r="E451" s="2" t="str">
        <f>IF(OR(F451="",F451="Selecciona.."),"",IF(D451="Implemento",SUMIF(Implementos!B:B,F451,Implementos!A:A),SUMIF(Productos!E:E,F451,Productos!A:A)))</f>
        <v/>
      </c>
      <c r="F451" s="2" t="str">
        <f t="shared" si="2"/>
        <v/>
      </c>
      <c r="G451" s="10" t="str">
        <f t="array" ref="G451">IF(OR(F451="",F451="-",F451="Selecciona..",F451="Finalizar"),"",IF(A451="Rodados",XLOOKUP(B451,'Validaciones Cotizador'!I:I,'Validaciones Cotizador'!J:J,0,0,1),1))</f>
        <v/>
      </c>
      <c r="H451" s="11" t="str">
        <f>IF(OR(F451="",F451="Selecciona.."),"",SUMIF(Precio_Productos!K:K,E451,Precio_Productos!J:J)*G451)</f>
        <v/>
      </c>
      <c r="I451" s="4" t="str">
        <f t="array" ref="I451">IF($E451="","", XLOOKUP(SUMIFS(Prod_Prop!$A:$A,Prod_Prop!$B:$B,$E451,Prod_Prop!$H:$H,I$1,Prod_Prop!$I:$I,"Exacto"),Prod_Prop!$A:$A,Prod_Prop!$J:$J,"",0,1))</f>
        <v/>
      </c>
      <c r="J451" s="4" t="str">
        <f t="array" ref="J451">IF($E451="","", XLOOKUP(SUMIFS(Prod_Prop!$A:$A,Prod_Prop!$B:$B,$E451,Prod_Prop!$H:$H,J$1,Prod_Prop!$I:$I,"Exacto"),Prod_Prop!$A:$A,Prod_Prop!$J:$J,"",0,1))</f>
        <v/>
      </c>
      <c r="K451" s="4" t="str">
        <f t="array" ref="K451">IF($E451="","", XLOOKUP(SUMIFS(Prod_Prop!$A:$A,Prod_Prop!$B:$B,$E451,Prod_Prop!$H:$H,K$1,Prod_Prop!$I:$I,"Exacto"),Prod_Prop!$A:$A,Prod_Prop!$J:$J,"",0,1))</f>
        <v/>
      </c>
      <c r="L451" s="4" t="str">
        <f t="array" ref="L451">IF($E451="","", XLOOKUP(SUMIFS(Prod_Prop!$A:$A,Prod_Prop!$B:$B,$E451,Prod_Prop!$H:$H,L$1,Prod_Prop!$I:$I,"Exacto"),Prod_Prop!$A:$A,Prod_Prop!$J:$J,"",0,1))</f>
        <v/>
      </c>
      <c r="M451" s="4" t="str">
        <f t="array" ref="M451">IF($E451="","", XLOOKUP(SUMIFS(Prod_Prop!$A:$A,Prod_Prop!$B:$B,$E451,Prod_Prop!$H:$H,M$1,Prod_Prop!$I:$I,"Exacto"),Prod_Prop!$A:$A,Prod_Prop!$J:$J,"",0,1))</f>
        <v/>
      </c>
      <c r="N451" s="4" t="str">
        <f t="array" ref="N451">IF($E451="","", XLOOKUP(SUMIFS(Prod_Prop!$A:$A,Prod_Prop!$B:$B,$E451,Prod_Prop!$H:$H,N$1,Prod_Prop!$I:$I,"Exacto"),Prod_Prop!$A:$A,Prod_Prop!$J:$J,"",0,1))</f>
        <v/>
      </c>
      <c r="O451" s="4" t="str">
        <f t="array" ref="O451">IF($E451="","", XLOOKUP(SUMIFS(Prod_Prop!$A:$A,Prod_Prop!$B:$B,$E451,Prod_Prop!$H:$H,O$1,Prod_Prop!$I:$I,"Exacto"),Prod_Prop!$A:$A,Prod_Prop!$J:$J,"",0,1))</f>
        <v/>
      </c>
      <c r="P451" s="4" t="str">
        <f t="array" ref="P451">IF($E451="","", XLOOKUP(SUMIFS(Prod_Prop!$A:$A,Prod_Prop!$B:$B,$E451,Prod_Prop!$H:$H,P$1,Prod_Prop!$I:$I,"Exacto"),Prod_Prop!$A:$A,Prod_Prop!$J:$J,"",0,1))</f>
        <v/>
      </c>
      <c r="Q451" s="4" t="str">
        <f t="array" ref="Q451">IF($E451="","", XLOOKUP(SUMIFS(Prod_Prop!$A:$A,Prod_Prop!$B:$B,$E451,Prod_Prop!$H:$H,Q$1,Prod_Prop!$I:$I,"Exacto"),Prod_Prop!$A:$A,Prod_Prop!$J:$J,"",0,1))</f>
        <v/>
      </c>
      <c r="R451" s="4" t="str">
        <f t="array" ref="R451">IF($E451="","", XLOOKUP(SUMIFS(Prod_Prop!$A:$A,Prod_Prop!$B:$B,$E451,Prod_Prop!$H:$H,R$1,Prod_Prop!$I:$I,"Exacto"),Prod_Prop!$A:$A,Prod_Prop!$J:$J,"",0,1))</f>
        <v/>
      </c>
      <c r="S451" s="4" t="str">
        <f t="array" ref="S451">IF($E451="","", XLOOKUP(SUMIFS(Prod_Prop!$A:$A,Prod_Prop!$B:$B,$E451,Prod_Prop!$H:$H,S$1,Prod_Prop!$I:$I,"Exacto"),Prod_Prop!$A:$A,Prod_Prop!$J:$J,"",0,1))</f>
        <v/>
      </c>
      <c r="T451" s="4" t="str">
        <f t="array" ref="T451">IF($E451="","", XLOOKUP(SUMIFS(Prod_Prop!$A:$A,Prod_Prop!$B:$B,$E451,Prod_Prop!$H:$H,T$1,Prod_Prop!$I:$I,"Exacto"),Prod_Prop!$A:$A,Prod_Prop!$J:$J,"",0,1))</f>
        <v/>
      </c>
      <c r="U451" s="4" t="str">
        <f t="array" ref="U451">IF($E451="","", XLOOKUP(SUMIFS(Prod_Prop!$A:$A,Prod_Prop!$B:$B,$E451,Prod_Prop!$H:$H,U$1,Prod_Prop!$I:$I,"Exacto"),Prod_Prop!$A:$A,Prod_Prop!$J:$J,"",0,1))</f>
        <v/>
      </c>
      <c r="V451" s="4" t="str">
        <f t="array" ref="V451">IF($E451="","", XLOOKUP(SUMIFS(Prod_Prop!$A:$A,Prod_Prop!$B:$B,$E451,Prod_Prop!$H:$H,V$1,Prod_Prop!$I:$I,"Exacto"),Prod_Prop!$A:$A,Prod_Prop!$J:$J,"",0,1))</f>
        <v/>
      </c>
      <c r="X451" s="3" t="str">
        <f>IFERROR(__xludf.DUMMYFUNCTION("IF(D451="""","""",IFERROR(TRANSPOSE(FILTER('Validaciones Cotizador'!U:U,'Validaciones Cotizador'!O:O=D451,'Validaciones Cotizador'!T:T=""x"")),""Finalizar""))"),"")</f>
        <v/>
      </c>
    </row>
    <row r="452">
      <c r="A452" s="2" t="str">
        <f t="array" ref="A452">IF(E452="","",XLOOKUP(D452,'Validaciones Cotizador'!C:C,'Validaciones Cotizador'!A:A,"",0,1))</f>
        <v/>
      </c>
      <c r="B452" s="2" t="str">
        <f t="array" ref="B452">IF(F452="","",XLOOKUP(F452,Productos!E:E,Productos!G:G,"",0,1))</f>
        <v/>
      </c>
      <c r="C452" s="2" t="str">
        <f>IF(A452="","",SUMIFS('Validaciones Cotizador'!B:B,'Validaciones Cotizador'!C:C,D452,'Validaciones Cotizador'!A:A,A452))</f>
        <v/>
      </c>
      <c r="D452" s="4" t="str">
        <f>IFERROR(__xludf.DUMMYFUNCTION("IF(OR(F451=""Finalizar"",F451="""",F451=""Selecciona..""),"""",IF(OR(F451=""-"",INDEX(filter(Familias!F:F,Familias!D:D=A451,Familias!E:E=C451),1)=""O""),D451+1,D451))"),"")</f>
        <v/>
      </c>
      <c r="E452" s="2" t="str">
        <f>IF(OR(F452="",F452="Selecciona.."),"",IF(D452="Implemento",SUMIF(Implementos!B:B,F452,Implementos!A:A),SUMIF(Productos!E:E,F452,Productos!A:A)))</f>
        <v/>
      </c>
      <c r="F452" s="2" t="str">
        <f t="shared" si="2"/>
        <v/>
      </c>
      <c r="G452" s="10" t="str">
        <f t="array" ref="G452">IF(OR(F452="",F452="-",F452="Selecciona..",F452="Finalizar"),"",IF(A452="Rodados",XLOOKUP(B452,'Validaciones Cotizador'!I:I,'Validaciones Cotizador'!J:J,0,0,1),1))</f>
        <v/>
      </c>
      <c r="H452" s="11" t="str">
        <f>IF(OR(F452="",F452="Selecciona.."),"",SUMIF(Precio_Productos!K:K,E452,Precio_Productos!J:J)*G452)</f>
        <v/>
      </c>
      <c r="I452" s="4" t="str">
        <f t="array" ref="I452">IF($E452="","", XLOOKUP(SUMIFS(Prod_Prop!$A:$A,Prod_Prop!$B:$B,$E452,Prod_Prop!$H:$H,I$1,Prod_Prop!$I:$I,"Exacto"),Prod_Prop!$A:$A,Prod_Prop!$J:$J,"",0,1))</f>
        <v/>
      </c>
      <c r="J452" s="4" t="str">
        <f t="array" ref="J452">IF($E452="","", XLOOKUP(SUMIFS(Prod_Prop!$A:$A,Prod_Prop!$B:$B,$E452,Prod_Prop!$H:$H,J$1,Prod_Prop!$I:$I,"Exacto"),Prod_Prop!$A:$A,Prod_Prop!$J:$J,"",0,1))</f>
        <v/>
      </c>
      <c r="K452" s="4" t="str">
        <f t="array" ref="K452">IF($E452="","", XLOOKUP(SUMIFS(Prod_Prop!$A:$A,Prod_Prop!$B:$B,$E452,Prod_Prop!$H:$H,K$1,Prod_Prop!$I:$I,"Exacto"),Prod_Prop!$A:$A,Prod_Prop!$J:$J,"",0,1))</f>
        <v/>
      </c>
      <c r="L452" s="4" t="str">
        <f t="array" ref="L452">IF($E452="","", XLOOKUP(SUMIFS(Prod_Prop!$A:$A,Prod_Prop!$B:$B,$E452,Prod_Prop!$H:$H,L$1,Prod_Prop!$I:$I,"Exacto"),Prod_Prop!$A:$A,Prod_Prop!$J:$J,"",0,1))</f>
        <v/>
      </c>
      <c r="M452" s="4" t="str">
        <f t="array" ref="M452">IF($E452="","", XLOOKUP(SUMIFS(Prod_Prop!$A:$A,Prod_Prop!$B:$B,$E452,Prod_Prop!$H:$H,M$1,Prod_Prop!$I:$I,"Exacto"),Prod_Prop!$A:$A,Prod_Prop!$J:$J,"",0,1))</f>
        <v/>
      </c>
      <c r="N452" s="4" t="str">
        <f t="array" ref="N452">IF($E452="","", XLOOKUP(SUMIFS(Prod_Prop!$A:$A,Prod_Prop!$B:$B,$E452,Prod_Prop!$H:$H,N$1,Prod_Prop!$I:$I,"Exacto"),Prod_Prop!$A:$A,Prod_Prop!$J:$J,"",0,1))</f>
        <v/>
      </c>
      <c r="O452" s="4" t="str">
        <f t="array" ref="O452">IF($E452="","", XLOOKUP(SUMIFS(Prod_Prop!$A:$A,Prod_Prop!$B:$B,$E452,Prod_Prop!$H:$H,O$1,Prod_Prop!$I:$I,"Exacto"),Prod_Prop!$A:$A,Prod_Prop!$J:$J,"",0,1))</f>
        <v/>
      </c>
      <c r="P452" s="4" t="str">
        <f t="array" ref="P452">IF($E452="","", XLOOKUP(SUMIFS(Prod_Prop!$A:$A,Prod_Prop!$B:$B,$E452,Prod_Prop!$H:$H,P$1,Prod_Prop!$I:$I,"Exacto"),Prod_Prop!$A:$A,Prod_Prop!$J:$J,"",0,1))</f>
        <v/>
      </c>
      <c r="Q452" s="4" t="str">
        <f t="array" ref="Q452">IF($E452="","", XLOOKUP(SUMIFS(Prod_Prop!$A:$A,Prod_Prop!$B:$B,$E452,Prod_Prop!$H:$H,Q$1,Prod_Prop!$I:$I,"Exacto"),Prod_Prop!$A:$A,Prod_Prop!$J:$J,"",0,1))</f>
        <v/>
      </c>
      <c r="R452" s="4" t="str">
        <f t="array" ref="R452">IF($E452="","", XLOOKUP(SUMIFS(Prod_Prop!$A:$A,Prod_Prop!$B:$B,$E452,Prod_Prop!$H:$H,R$1,Prod_Prop!$I:$I,"Exacto"),Prod_Prop!$A:$A,Prod_Prop!$J:$J,"",0,1))</f>
        <v/>
      </c>
      <c r="S452" s="4" t="str">
        <f t="array" ref="S452">IF($E452="","", XLOOKUP(SUMIFS(Prod_Prop!$A:$A,Prod_Prop!$B:$B,$E452,Prod_Prop!$H:$H,S$1,Prod_Prop!$I:$I,"Exacto"),Prod_Prop!$A:$A,Prod_Prop!$J:$J,"",0,1))</f>
        <v/>
      </c>
      <c r="T452" s="4" t="str">
        <f t="array" ref="T452">IF($E452="","", XLOOKUP(SUMIFS(Prod_Prop!$A:$A,Prod_Prop!$B:$B,$E452,Prod_Prop!$H:$H,T$1,Prod_Prop!$I:$I,"Exacto"),Prod_Prop!$A:$A,Prod_Prop!$J:$J,"",0,1))</f>
        <v/>
      </c>
      <c r="U452" s="4" t="str">
        <f t="array" ref="U452">IF($E452="","", XLOOKUP(SUMIFS(Prod_Prop!$A:$A,Prod_Prop!$B:$B,$E452,Prod_Prop!$H:$H,U$1,Prod_Prop!$I:$I,"Exacto"),Prod_Prop!$A:$A,Prod_Prop!$J:$J,"",0,1))</f>
        <v/>
      </c>
      <c r="V452" s="4" t="str">
        <f t="array" ref="V452">IF($E452="","", XLOOKUP(SUMIFS(Prod_Prop!$A:$A,Prod_Prop!$B:$B,$E452,Prod_Prop!$H:$H,V$1,Prod_Prop!$I:$I,"Exacto"),Prod_Prop!$A:$A,Prod_Prop!$J:$J,"",0,1))</f>
        <v/>
      </c>
      <c r="X452" s="3" t="str">
        <f>IFERROR(__xludf.DUMMYFUNCTION("IF(D452="""","""",IFERROR(TRANSPOSE(FILTER('Validaciones Cotizador'!U:U,'Validaciones Cotizador'!O:O=D452,'Validaciones Cotizador'!T:T=""x"")),""Finalizar""))"),"")</f>
        <v/>
      </c>
    </row>
    <row r="453">
      <c r="A453" s="2" t="str">
        <f t="array" ref="A453">IF(E453="","",XLOOKUP(D453,'Validaciones Cotizador'!C:C,'Validaciones Cotizador'!A:A,"",0,1))</f>
        <v/>
      </c>
      <c r="B453" s="2" t="str">
        <f t="array" ref="B453">IF(F453="","",XLOOKUP(F453,Productos!E:E,Productos!G:G,"",0,1))</f>
        <v/>
      </c>
      <c r="C453" s="2" t="str">
        <f>IF(A453="","",SUMIFS('Validaciones Cotizador'!B:B,'Validaciones Cotizador'!C:C,D453,'Validaciones Cotizador'!A:A,A453))</f>
        <v/>
      </c>
      <c r="D453" s="4" t="str">
        <f>IFERROR(__xludf.DUMMYFUNCTION("IF(OR(F452=""Finalizar"",F452="""",F452=""Selecciona..""),"""",IF(OR(F452=""-"",INDEX(filter(Familias!F:F,Familias!D:D=A452,Familias!E:E=C452),1)=""O""),D452+1,D452))"),"")</f>
        <v/>
      </c>
      <c r="E453" s="2" t="str">
        <f>IF(OR(F453="",F453="Selecciona.."),"",IF(D453="Implemento",SUMIF(Implementos!B:B,F453,Implementos!A:A),SUMIF(Productos!E:E,F453,Productos!A:A)))</f>
        <v/>
      </c>
      <c r="F453" s="2" t="str">
        <f t="shared" si="2"/>
        <v/>
      </c>
      <c r="G453" s="10" t="str">
        <f t="array" ref="G453">IF(OR(F453="",F453="-",F453="Selecciona..",F453="Finalizar"),"",IF(A453="Rodados",XLOOKUP(B453,'Validaciones Cotizador'!I:I,'Validaciones Cotizador'!J:J,0,0,1),1))</f>
        <v/>
      </c>
      <c r="H453" s="11" t="str">
        <f>IF(OR(F453="",F453="Selecciona.."),"",SUMIF(Precio_Productos!K:K,E453,Precio_Productos!J:J)*G453)</f>
        <v/>
      </c>
      <c r="I453" s="4" t="str">
        <f t="array" ref="I453">IF($E453="","", XLOOKUP(SUMIFS(Prod_Prop!$A:$A,Prod_Prop!$B:$B,$E453,Prod_Prop!$H:$H,I$1,Prod_Prop!$I:$I,"Exacto"),Prod_Prop!$A:$A,Prod_Prop!$J:$J,"",0,1))</f>
        <v/>
      </c>
      <c r="J453" s="4" t="str">
        <f t="array" ref="J453">IF($E453="","", XLOOKUP(SUMIFS(Prod_Prop!$A:$A,Prod_Prop!$B:$B,$E453,Prod_Prop!$H:$H,J$1,Prod_Prop!$I:$I,"Exacto"),Prod_Prop!$A:$A,Prod_Prop!$J:$J,"",0,1))</f>
        <v/>
      </c>
      <c r="K453" s="4" t="str">
        <f t="array" ref="K453">IF($E453="","", XLOOKUP(SUMIFS(Prod_Prop!$A:$A,Prod_Prop!$B:$B,$E453,Prod_Prop!$H:$H,K$1,Prod_Prop!$I:$I,"Exacto"),Prod_Prop!$A:$A,Prod_Prop!$J:$J,"",0,1))</f>
        <v/>
      </c>
      <c r="L453" s="4" t="str">
        <f t="array" ref="L453">IF($E453="","", XLOOKUP(SUMIFS(Prod_Prop!$A:$A,Prod_Prop!$B:$B,$E453,Prod_Prop!$H:$H,L$1,Prod_Prop!$I:$I,"Exacto"),Prod_Prop!$A:$A,Prod_Prop!$J:$J,"",0,1))</f>
        <v/>
      </c>
      <c r="M453" s="4" t="str">
        <f t="array" ref="M453">IF($E453="","", XLOOKUP(SUMIFS(Prod_Prop!$A:$A,Prod_Prop!$B:$B,$E453,Prod_Prop!$H:$H,M$1,Prod_Prop!$I:$I,"Exacto"),Prod_Prop!$A:$A,Prod_Prop!$J:$J,"",0,1))</f>
        <v/>
      </c>
      <c r="N453" s="4" t="str">
        <f t="array" ref="N453">IF($E453="","", XLOOKUP(SUMIFS(Prod_Prop!$A:$A,Prod_Prop!$B:$B,$E453,Prod_Prop!$H:$H,N$1,Prod_Prop!$I:$I,"Exacto"),Prod_Prop!$A:$A,Prod_Prop!$J:$J,"",0,1))</f>
        <v/>
      </c>
      <c r="O453" s="4" t="str">
        <f t="array" ref="O453">IF($E453="","", XLOOKUP(SUMIFS(Prod_Prop!$A:$A,Prod_Prop!$B:$B,$E453,Prod_Prop!$H:$H,O$1,Prod_Prop!$I:$I,"Exacto"),Prod_Prop!$A:$A,Prod_Prop!$J:$J,"",0,1))</f>
        <v/>
      </c>
      <c r="P453" s="4" t="str">
        <f t="array" ref="P453">IF($E453="","", XLOOKUP(SUMIFS(Prod_Prop!$A:$A,Prod_Prop!$B:$B,$E453,Prod_Prop!$H:$H,P$1,Prod_Prop!$I:$I,"Exacto"),Prod_Prop!$A:$A,Prod_Prop!$J:$J,"",0,1))</f>
        <v/>
      </c>
      <c r="Q453" s="4" t="str">
        <f t="array" ref="Q453">IF($E453="","", XLOOKUP(SUMIFS(Prod_Prop!$A:$A,Prod_Prop!$B:$B,$E453,Prod_Prop!$H:$H,Q$1,Prod_Prop!$I:$I,"Exacto"),Prod_Prop!$A:$A,Prod_Prop!$J:$J,"",0,1))</f>
        <v/>
      </c>
      <c r="R453" s="4" t="str">
        <f t="array" ref="R453">IF($E453="","", XLOOKUP(SUMIFS(Prod_Prop!$A:$A,Prod_Prop!$B:$B,$E453,Prod_Prop!$H:$H,R$1,Prod_Prop!$I:$I,"Exacto"),Prod_Prop!$A:$A,Prod_Prop!$J:$J,"",0,1))</f>
        <v/>
      </c>
      <c r="S453" s="4" t="str">
        <f t="array" ref="S453">IF($E453="","", XLOOKUP(SUMIFS(Prod_Prop!$A:$A,Prod_Prop!$B:$B,$E453,Prod_Prop!$H:$H,S$1,Prod_Prop!$I:$I,"Exacto"),Prod_Prop!$A:$A,Prod_Prop!$J:$J,"",0,1))</f>
        <v/>
      </c>
      <c r="T453" s="4" t="str">
        <f t="array" ref="T453">IF($E453="","", XLOOKUP(SUMIFS(Prod_Prop!$A:$A,Prod_Prop!$B:$B,$E453,Prod_Prop!$H:$H,T$1,Prod_Prop!$I:$I,"Exacto"),Prod_Prop!$A:$A,Prod_Prop!$J:$J,"",0,1))</f>
        <v/>
      </c>
      <c r="U453" s="4" t="str">
        <f t="array" ref="U453">IF($E453="","", XLOOKUP(SUMIFS(Prod_Prop!$A:$A,Prod_Prop!$B:$B,$E453,Prod_Prop!$H:$H,U$1,Prod_Prop!$I:$I,"Exacto"),Prod_Prop!$A:$A,Prod_Prop!$J:$J,"",0,1))</f>
        <v/>
      </c>
      <c r="V453" s="4" t="str">
        <f t="array" ref="V453">IF($E453="","", XLOOKUP(SUMIFS(Prod_Prop!$A:$A,Prod_Prop!$B:$B,$E453,Prod_Prop!$H:$H,V$1,Prod_Prop!$I:$I,"Exacto"),Prod_Prop!$A:$A,Prod_Prop!$J:$J,"",0,1))</f>
        <v/>
      </c>
      <c r="X453" s="3" t="str">
        <f>IFERROR(__xludf.DUMMYFUNCTION("IF(D453="""","""",IFERROR(TRANSPOSE(FILTER('Validaciones Cotizador'!U:U,'Validaciones Cotizador'!O:O=D453,'Validaciones Cotizador'!T:T=""x"")),""Finalizar""))"),"")</f>
        <v/>
      </c>
    </row>
    <row r="454">
      <c r="A454" s="2" t="str">
        <f t="array" ref="A454">IF(E454="","",XLOOKUP(D454,'Validaciones Cotizador'!C:C,'Validaciones Cotizador'!A:A,"",0,1))</f>
        <v/>
      </c>
      <c r="B454" s="2" t="str">
        <f t="array" ref="B454">IF(F454="","",XLOOKUP(F454,Productos!E:E,Productos!G:G,"",0,1))</f>
        <v/>
      </c>
      <c r="C454" s="2" t="str">
        <f>IF(A454="","",SUMIFS('Validaciones Cotizador'!B:B,'Validaciones Cotizador'!C:C,D454,'Validaciones Cotizador'!A:A,A454))</f>
        <v/>
      </c>
      <c r="D454" s="4" t="str">
        <f>IFERROR(__xludf.DUMMYFUNCTION("IF(OR(F453=""Finalizar"",F453="""",F453=""Selecciona..""),"""",IF(OR(F453=""-"",INDEX(filter(Familias!F:F,Familias!D:D=A453,Familias!E:E=C453),1)=""O""),D453+1,D453))"),"")</f>
        <v/>
      </c>
      <c r="E454" s="2" t="str">
        <f>IF(OR(F454="",F454="Selecciona.."),"",IF(D454="Implemento",SUMIF(Implementos!B:B,F454,Implementos!A:A),SUMIF(Productos!E:E,F454,Productos!A:A)))</f>
        <v/>
      </c>
      <c r="F454" s="2" t="str">
        <f t="shared" si="2"/>
        <v/>
      </c>
      <c r="G454" s="10" t="str">
        <f t="array" ref="G454">IF(OR(F454="",F454="-",F454="Selecciona..",F454="Finalizar"),"",IF(A454="Rodados",XLOOKUP(B454,'Validaciones Cotizador'!I:I,'Validaciones Cotizador'!J:J,0,0,1),1))</f>
        <v/>
      </c>
      <c r="H454" s="11" t="str">
        <f>IF(OR(F454="",F454="Selecciona.."),"",SUMIF(Precio_Productos!K:K,E454,Precio_Productos!J:J)*G454)</f>
        <v/>
      </c>
      <c r="I454" s="4" t="str">
        <f t="array" ref="I454">IF($E454="","", XLOOKUP(SUMIFS(Prod_Prop!$A:$A,Prod_Prop!$B:$B,$E454,Prod_Prop!$H:$H,I$1,Prod_Prop!$I:$I,"Exacto"),Prod_Prop!$A:$A,Prod_Prop!$J:$J,"",0,1))</f>
        <v/>
      </c>
      <c r="J454" s="4" t="str">
        <f t="array" ref="J454">IF($E454="","", XLOOKUP(SUMIFS(Prod_Prop!$A:$A,Prod_Prop!$B:$B,$E454,Prod_Prop!$H:$H,J$1,Prod_Prop!$I:$I,"Exacto"),Prod_Prop!$A:$A,Prod_Prop!$J:$J,"",0,1))</f>
        <v/>
      </c>
      <c r="K454" s="4" t="str">
        <f t="array" ref="K454">IF($E454="","", XLOOKUP(SUMIFS(Prod_Prop!$A:$A,Prod_Prop!$B:$B,$E454,Prod_Prop!$H:$H,K$1,Prod_Prop!$I:$I,"Exacto"),Prod_Prop!$A:$A,Prod_Prop!$J:$J,"",0,1))</f>
        <v/>
      </c>
      <c r="L454" s="4" t="str">
        <f t="array" ref="L454">IF($E454="","", XLOOKUP(SUMIFS(Prod_Prop!$A:$A,Prod_Prop!$B:$B,$E454,Prod_Prop!$H:$H,L$1,Prod_Prop!$I:$I,"Exacto"),Prod_Prop!$A:$A,Prod_Prop!$J:$J,"",0,1))</f>
        <v/>
      </c>
      <c r="M454" s="4" t="str">
        <f t="array" ref="M454">IF($E454="","", XLOOKUP(SUMIFS(Prod_Prop!$A:$A,Prod_Prop!$B:$B,$E454,Prod_Prop!$H:$H,M$1,Prod_Prop!$I:$I,"Exacto"),Prod_Prop!$A:$A,Prod_Prop!$J:$J,"",0,1))</f>
        <v/>
      </c>
      <c r="N454" s="4" t="str">
        <f t="array" ref="N454">IF($E454="","", XLOOKUP(SUMIFS(Prod_Prop!$A:$A,Prod_Prop!$B:$B,$E454,Prod_Prop!$H:$H,N$1,Prod_Prop!$I:$I,"Exacto"),Prod_Prop!$A:$A,Prod_Prop!$J:$J,"",0,1))</f>
        <v/>
      </c>
      <c r="O454" s="4" t="str">
        <f t="array" ref="O454">IF($E454="","", XLOOKUP(SUMIFS(Prod_Prop!$A:$A,Prod_Prop!$B:$B,$E454,Prod_Prop!$H:$H,O$1,Prod_Prop!$I:$I,"Exacto"),Prod_Prop!$A:$A,Prod_Prop!$J:$J,"",0,1))</f>
        <v/>
      </c>
      <c r="P454" s="4" t="str">
        <f t="array" ref="P454">IF($E454="","", XLOOKUP(SUMIFS(Prod_Prop!$A:$A,Prod_Prop!$B:$B,$E454,Prod_Prop!$H:$H,P$1,Prod_Prop!$I:$I,"Exacto"),Prod_Prop!$A:$A,Prod_Prop!$J:$J,"",0,1))</f>
        <v/>
      </c>
      <c r="Q454" s="4" t="str">
        <f t="array" ref="Q454">IF($E454="","", XLOOKUP(SUMIFS(Prod_Prop!$A:$A,Prod_Prop!$B:$B,$E454,Prod_Prop!$H:$H,Q$1,Prod_Prop!$I:$I,"Exacto"),Prod_Prop!$A:$A,Prod_Prop!$J:$J,"",0,1))</f>
        <v/>
      </c>
      <c r="R454" s="4" t="str">
        <f t="array" ref="R454">IF($E454="","", XLOOKUP(SUMIFS(Prod_Prop!$A:$A,Prod_Prop!$B:$B,$E454,Prod_Prop!$H:$H,R$1,Prod_Prop!$I:$I,"Exacto"),Prod_Prop!$A:$A,Prod_Prop!$J:$J,"",0,1))</f>
        <v/>
      </c>
      <c r="S454" s="4" t="str">
        <f t="array" ref="S454">IF($E454="","", XLOOKUP(SUMIFS(Prod_Prop!$A:$A,Prod_Prop!$B:$B,$E454,Prod_Prop!$H:$H,S$1,Prod_Prop!$I:$I,"Exacto"),Prod_Prop!$A:$A,Prod_Prop!$J:$J,"",0,1))</f>
        <v/>
      </c>
      <c r="T454" s="4" t="str">
        <f t="array" ref="T454">IF($E454="","", XLOOKUP(SUMIFS(Prod_Prop!$A:$A,Prod_Prop!$B:$B,$E454,Prod_Prop!$H:$H,T$1,Prod_Prop!$I:$I,"Exacto"),Prod_Prop!$A:$A,Prod_Prop!$J:$J,"",0,1))</f>
        <v/>
      </c>
      <c r="U454" s="4" t="str">
        <f t="array" ref="U454">IF($E454="","", XLOOKUP(SUMIFS(Prod_Prop!$A:$A,Prod_Prop!$B:$B,$E454,Prod_Prop!$H:$H,U$1,Prod_Prop!$I:$I,"Exacto"),Prod_Prop!$A:$A,Prod_Prop!$J:$J,"",0,1))</f>
        <v/>
      </c>
      <c r="V454" s="4" t="str">
        <f t="array" ref="V454">IF($E454="","", XLOOKUP(SUMIFS(Prod_Prop!$A:$A,Prod_Prop!$B:$B,$E454,Prod_Prop!$H:$H,V$1,Prod_Prop!$I:$I,"Exacto"),Prod_Prop!$A:$A,Prod_Prop!$J:$J,"",0,1))</f>
        <v/>
      </c>
      <c r="X454" s="3" t="str">
        <f>IFERROR(__xludf.DUMMYFUNCTION("IF(D454="""","""",IFERROR(TRANSPOSE(FILTER('Validaciones Cotizador'!U:U,'Validaciones Cotizador'!O:O=D454,'Validaciones Cotizador'!T:T=""x"")),""Finalizar""))"),"")</f>
        <v/>
      </c>
    </row>
    <row r="455">
      <c r="A455" s="2" t="str">
        <f t="array" ref="A455">IF(E455="","",XLOOKUP(D455,'Validaciones Cotizador'!C:C,'Validaciones Cotizador'!A:A,"",0,1))</f>
        <v/>
      </c>
      <c r="B455" s="2" t="str">
        <f t="array" ref="B455">IF(F455="","",XLOOKUP(F455,Productos!E:E,Productos!G:G,"",0,1))</f>
        <v/>
      </c>
      <c r="C455" s="2" t="str">
        <f>IF(A455="","",SUMIFS('Validaciones Cotizador'!B:B,'Validaciones Cotizador'!C:C,D455,'Validaciones Cotizador'!A:A,A455))</f>
        <v/>
      </c>
      <c r="D455" s="4" t="str">
        <f>IFERROR(__xludf.DUMMYFUNCTION("IF(OR(F454=""Finalizar"",F454="""",F454=""Selecciona..""),"""",IF(OR(F454=""-"",INDEX(filter(Familias!F:F,Familias!D:D=A454,Familias!E:E=C454),1)=""O""),D454+1,D454))"),"")</f>
        <v/>
      </c>
      <c r="E455" s="2" t="str">
        <f>IF(OR(F455="",F455="Selecciona.."),"",IF(D455="Implemento",SUMIF(Implementos!B:B,F455,Implementos!A:A),SUMIF(Productos!E:E,F455,Productos!A:A)))</f>
        <v/>
      </c>
      <c r="F455" s="2" t="str">
        <f t="shared" si="2"/>
        <v/>
      </c>
      <c r="G455" s="10" t="str">
        <f t="array" ref="G455">IF(OR(F455="",F455="-",F455="Selecciona..",F455="Finalizar"),"",IF(A455="Rodados",XLOOKUP(B455,'Validaciones Cotizador'!I:I,'Validaciones Cotizador'!J:J,0,0,1),1))</f>
        <v/>
      </c>
      <c r="H455" s="11" t="str">
        <f>IF(OR(F455="",F455="Selecciona.."),"",SUMIF(Precio_Productos!K:K,E455,Precio_Productos!J:J)*G455)</f>
        <v/>
      </c>
      <c r="I455" s="4" t="str">
        <f t="array" ref="I455">IF($E455="","", XLOOKUP(SUMIFS(Prod_Prop!$A:$A,Prod_Prop!$B:$B,$E455,Prod_Prop!$H:$H,I$1,Prod_Prop!$I:$I,"Exacto"),Prod_Prop!$A:$A,Prod_Prop!$J:$J,"",0,1))</f>
        <v/>
      </c>
      <c r="J455" s="4" t="str">
        <f t="array" ref="J455">IF($E455="","", XLOOKUP(SUMIFS(Prod_Prop!$A:$A,Prod_Prop!$B:$B,$E455,Prod_Prop!$H:$H,J$1,Prod_Prop!$I:$I,"Exacto"),Prod_Prop!$A:$A,Prod_Prop!$J:$J,"",0,1))</f>
        <v/>
      </c>
      <c r="K455" s="4" t="str">
        <f t="array" ref="K455">IF($E455="","", XLOOKUP(SUMIFS(Prod_Prop!$A:$A,Prod_Prop!$B:$B,$E455,Prod_Prop!$H:$H,K$1,Prod_Prop!$I:$I,"Exacto"),Prod_Prop!$A:$A,Prod_Prop!$J:$J,"",0,1))</f>
        <v/>
      </c>
      <c r="L455" s="4" t="str">
        <f t="array" ref="L455">IF($E455="","", XLOOKUP(SUMIFS(Prod_Prop!$A:$A,Prod_Prop!$B:$B,$E455,Prod_Prop!$H:$H,L$1,Prod_Prop!$I:$I,"Exacto"),Prod_Prop!$A:$A,Prod_Prop!$J:$J,"",0,1))</f>
        <v/>
      </c>
      <c r="M455" s="4" t="str">
        <f t="array" ref="M455">IF($E455="","", XLOOKUP(SUMIFS(Prod_Prop!$A:$A,Prod_Prop!$B:$B,$E455,Prod_Prop!$H:$H,M$1,Prod_Prop!$I:$I,"Exacto"),Prod_Prop!$A:$A,Prod_Prop!$J:$J,"",0,1))</f>
        <v/>
      </c>
      <c r="N455" s="4" t="str">
        <f t="array" ref="N455">IF($E455="","", XLOOKUP(SUMIFS(Prod_Prop!$A:$A,Prod_Prop!$B:$B,$E455,Prod_Prop!$H:$H,N$1,Prod_Prop!$I:$I,"Exacto"),Prod_Prop!$A:$A,Prod_Prop!$J:$J,"",0,1))</f>
        <v/>
      </c>
      <c r="O455" s="4" t="str">
        <f t="array" ref="O455">IF($E455="","", XLOOKUP(SUMIFS(Prod_Prop!$A:$A,Prod_Prop!$B:$B,$E455,Prod_Prop!$H:$H,O$1,Prod_Prop!$I:$I,"Exacto"),Prod_Prop!$A:$A,Prod_Prop!$J:$J,"",0,1))</f>
        <v/>
      </c>
      <c r="P455" s="4" t="str">
        <f t="array" ref="P455">IF($E455="","", XLOOKUP(SUMIFS(Prod_Prop!$A:$A,Prod_Prop!$B:$B,$E455,Prod_Prop!$H:$H,P$1,Prod_Prop!$I:$I,"Exacto"),Prod_Prop!$A:$A,Prod_Prop!$J:$J,"",0,1))</f>
        <v/>
      </c>
      <c r="Q455" s="4" t="str">
        <f t="array" ref="Q455">IF($E455="","", XLOOKUP(SUMIFS(Prod_Prop!$A:$A,Prod_Prop!$B:$B,$E455,Prod_Prop!$H:$H,Q$1,Prod_Prop!$I:$I,"Exacto"),Prod_Prop!$A:$A,Prod_Prop!$J:$J,"",0,1))</f>
        <v/>
      </c>
      <c r="R455" s="4" t="str">
        <f t="array" ref="R455">IF($E455="","", XLOOKUP(SUMIFS(Prod_Prop!$A:$A,Prod_Prop!$B:$B,$E455,Prod_Prop!$H:$H,R$1,Prod_Prop!$I:$I,"Exacto"),Prod_Prop!$A:$A,Prod_Prop!$J:$J,"",0,1))</f>
        <v/>
      </c>
      <c r="S455" s="4" t="str">
        <f t="array" ref="S455">IF($E455="","", XLOOKUP(SUMIFS(Prod_Prop!$A:$A,Prod_Prop!$B:$B,$E455,Prod_Prop!$H:$H,S$1,Prod_Prop!$I:$I,"Exacto"),Prod_Prop!$A:$A,Prod_Prop!$J:$J,"",0,1))</f>
        <v/>
      </c>
      <c r="T455" s="4" t="str">
        <f t="array" ref="T455">IF($E455="","", XLOOKUP(SUMIFS(Prod_Prop!$A:$A,Prod_Prop!$B:$B,$E455,Prod_Prop!$H:$H,T$1,Prod_Prop!$I:$I,"Exacto"),Prod_Prop!$A:$A,Prod_Prop!$J:$J,"",0,1))</f>
        <v/>
      </c>
      <c r="U455" s="4" t="str">
        <f t="array" ref="U455">IF($E455="","", XLOOKUP(SUMIFS(Prod_Prop!$A:$A,Prod_Prop!$B:$B,$E455,Prod_Prop!$H:$H,U$1,Prod_Prop!$I:$I,"Exacto"),Prod_Prop!$A:$A,Prod_Prop!$J:$J,"",0,1))</f>
        <v/>
      </c>
      <c r="V455" s="4" t="str">
        <f t="array" ref="V455">IF($E455="","", XLOOKUP(SUMIFS(Prod_Prop!$A:$A,Prod_Prop!$B:$B,$E455,Prod_Prop!$H:$H,V$1,Prod_Prop!$I:$I,"Exacto"),Prod_Prop!$A:$A,Prod_Prop!$J:$J,"",0,1))</f>
        <v/>
      </c>
      <c r="X455" s="3" t="str">
        <f>IFERROR(__xludf.DUMMYFUNCTION("IF(D455="""","""",IFERROR(TRANSPOSE(FILTER('Validaciones Cotizador'!U:U,'Validaciones Cotizador'!O:O=D455,'Validaciones Cotizador'!T:T=""x"")),""Finalizar""))"),"")</f>
        <v/>
      </c>
    </row>
    <row r="456">
      <c r="A456" s="2" t="str">
        <f t="array" ref="A456">IF(E456="","",XLOOKUP(D456,'Validaciones Cotizador'!C:C,'Validaciones Cotizador'!A:A,"",0,1))</f>
        <v/>
      </c>
      <c r="B456" s="2" t="str">
        <f t="array" ref="B456">IF(F456="","",XLOOKUP(F456,Productos!E:E,Productos!G:G,"",0,1))</f>
        <v/>
      </c>
      <c r="C456" s="2" t="str">
        <f>IF(A456="","",SUMIFS('Validaciones Cotizador'!B:B,'Validaciones Cotizador'!C:C,D456,'Validaciones Cotizador'!A:A,A456))</f>
        <v/>
      </c>
      <c r="D456" s="4" t="str">
        <f>IFERROR(__xludf.DUMMYFUNCTION("IF(OR(F455=""Finalizar"",F455="""",F455=""Selecciona..""),"""",IF(OR(F455=""-"",INDEX(filter(Familias!F:F,Familias!D:D=A455,Familias!E:E=C455),1)=""O""),D455+1,D455))"),"")</f>
        <v/>
      </c>
      <c r="E456" s="2" t="str">
        <f>IF(OR(F456="",F456="Selecciona.."),"",IF(D456="Implemento",SUMIF(Implementos!B:B,F456,Implementos!A:A),SUMIF(Productos!E:E,F456,Productos!A:A)))</f>
        <v/>
      </c>
      <c r="F456" s="2" t="str">
        <f t="shared" si="2"/>
        <v/>
      </c>
      <c r="G456" s="10" t="str">
        <f t="array" ref="G456">IF(OR(F456="",F456="-",F456="Selecciona..",F456="Finalizar"),"",IF(A456="Rodados",XLOOKUP(B456,'Validaciones Cotizador'!I:I,'Validaciones Cotizador'!J:J,0,0,1),1))</f>
        <v/>
      </c>
      <c r="H456" s="11" t="str">
        <f>IF(OR(F456="",F456="Selecciona.."),"",SUMIF(Precio_Productos!K:K,E456,Precio_Productos!J:J)*G456)</f>
        <v/>
      </c>
      <c r="I456" s="4" t="str">
        <f t="array" ref="I456">IF($E456="","", XLOOKUP(SUMIFS(Prod_Prop!$A:$A,Prod_Prop!$B:$B,$E456,Prod_Prop!$H:$H,I$1,Prod_Prop!$I:$I,"Exacto"),Prod_Prop!$A:$A,Prod_Prop!$J:$J,"",0,1))</f>
        <v/>
      </c>
      <c r="J456" s="4" t="str">
        <f t="array" ref="J456">IF($E456="","", XLOOKUP(SUMIFS(Prod_Prop!$A:$A,Prod_Prop!$B:$B,$E456,Prod_Prop!$H:$H,J$1,Prod_Prop!$I:$I,"Exacto"),Prod_Prop!$A:$A,Prod_Prop!$J:$J,"",0,1))</f>
        <v/>
      </c>
      <c r="K456" s="4" t="str">
        <f t="array" ref="K456">IF($E456="","", XLOOKUP(SUMIFS(Prod_Prop!$A:$A,Prod_Prop!$B:$B,$E456,Prod_Prop!$H:$H,K$1,Prod_Prop!$I:$I,"Exacto"),Prod_Prop!$A:$A,Prod_Prop!$J:$J,"",0,1))</f>
        <v/>
      </c>
      <c r="L456" s="4" t="str">
        <f t="array" ref="L456">IF($E456="","", XLOOKUP(SUMIFS(Prod_Prop!$A:$A,Prod_Prop!$B:$B,$E456,Prod_Prop!$H:$H,L$1,Prod_Prop!$I:$I,"Exacto"),Prod_Prop!$A:$A,Prod_Prop!$J:$J,"",0,1))</f>
        <v/>
      </c>
      <c r="M456" s="4" t="str">
        <f t="array" ref="M456">IF($E456="","", XLOOKUP(SUMIFS(Prod_Prop!$A:$A,Prod_Prop!$B:$B,$E456,Prod_Prop!$H:$H,M$1,Prod_Prop!$I:$I,"Exacto"),Prod_Prop!$A:$A,Prod_Prop!$J:$J,"",0,1))</f>
        <v/>
      </c>
      <c r="N456" s="4" t="str">
        <f t="array" ref="N456">IF($E456="","", XLOOKUP(SUMIFS(Prod_Prop!$A:$A,Prod_Prop!$B:$B,$E456,Prod_Prop!$H:$H,N$1,Prod_Prop!$I:$I,"Exacto"),Prod_Prop!$A:$A,Prod_Prop!$J:$J,"",0,1))</f>
        <v/>
      </c>
      <c r="O456" s="4" t="str">
        <f t="array" ref="O456">IF($E456="","", XLOOKUP(SUMIFS(Prod_Prop!$A:$A,Prod_Prop!$B:$B,$E456,Prod_Prop!$H:$H,O$1,Prod_Prop!$I:$I,"Exacto"),Prod_Prop!$A:$A,Prod_Prop!$J:$J,"",0,1))</f>
        <v/>
      </c>
      <c r="P456" s="4" t="str">
        <f t="array" ref="P456">IF($E456="","", XLOOKUP(SUMIFS(Prod_Prop!$A:$A,Prod_Prop!$B:$B,$E456,Prod_Prop!$H:$H,P$1,Prod_Prop!$I:$I,"Exacto"),Prod_Prop!$A:$A,Prod_Prop!$J:$J,"",0,1))</f>
        <v/>
      </c>
      <c r="Q456" s="4" t="str">
        <f t="array" ref="Q456">IF($E456="","", XLOOKUP(SUMIFS(Prod_Prop!$A:$A,Prod_Prop!$B:$B,$E456,Prod_Prop!$H:$H,Q$1,Prod_Prop!$I:$I,"Exacto"),Prod_Prop!$A:$A,Prod_Prop!$J:$J,"",0,1))</f>
        <v/>
      </c>
      <c r="R456" s="4" t="str">
        <f t="array" ref="R456">IF($E456="","", XLOOKUP(SUMIFS(Prod_Prop!$A:$A,Prod_Prop!$B:$B,$E456,Prod_Prop!$H:$H,R$1,Prod_Prop!$I:$I,"Exacto"),Prod_Prop!$A:$A,Prod_Prop!$J:$J,"",0,1))</f>
        <v/>
      </c>
      <c r="S456" s="4" t="str">
        <f t="array" ref="S456">IF($E456="","", XLOOKUP(SUMIFS(Prod_Prop!$A:$A,Prod_Prop!$B:$B,$E456,Prod_Prop!$H:$H,S$1,Prod_Prop!$I:$I,"Exacto"),Prod_Prop!$A:$A,Prod_Prop!$J:$J,"",0,1))</f>
        <v/>
      </c>
      <c r="T456" s="4" t="str">
        <f t="array" ref="T456">IF($E456="","", XLOOKUP(SUMIFS(Prod_Prop!$A:$A,Prod_Prop!$B:$B,$E456,Prod_Prop!$H:$H,T$1,Prod_Prop!$I:$I,"Exacto"),Prod_Prop!$A:$A,Prod_Prop!$J:$J,"",0,1))</f>
        <v/>
      </c>
      <c r="U456" s="4" t="str">
        <f t="array" ref="U456">IF($E456="","", XLOOKUP(SUMIFS(Prod_Prop!$A:$A,Prod_Prop!$B:$B,$E456,Prod_Prop!$H:$H,U$1,Prod_Prop!$I:$I,"Exacto"),Prod_Prop!$A:$A,Prod_Prop!$J:$J,"",0,1))</f>
        <v/>
      </c>
      <c r="V456" s="4" t="str">
        <f t="array" ref="V456">IF($E456="","", XLOOKUP(SUMIFS(Prod_Prop!$A:$A,Prod_Prop!$B:$B,$E456,Prod_Prop!$H:$H,V$1,Prod_Prop!$I:$I,"Exacto"),Prod_Prop!$A:$A,Prod_Prop!$J:$J,"",0,1))</f>
        <v/>
      </c>
      <c r="X456" s="3" t="str">
        <f>IFERROR(__xludf.DUMMYFUNCTION("IF(D456="""","""",IFERROR(TRANSPOSE(FILTER('Validaciones Cotizador'!U:U,'Validaciones Cotizador'!O:O=D456,'Validaciones Cotizador'!T:T=""x"")),""Finalizar""))"),"")</f>
        <v/>
      </c>
    </row>
    <row r="457">
      <c r="A457" s="2" t="str">
        <f t="array" ref="A457">IF(E457="","",XLOOKUP(D457,'Validaciones Cotizador'!C:C,'Validaciones Cotizador'!A:A,"",0,1))</f>
        <v/>
      </c>
      <c r="B457" s="2" t="str">
        <f t="array" ref="B457">IF(F457="","",XLOOKUP(F457,Productos!E:E,Productos!G:G,"",0,1))</f>
        <v/>
      </c>
      <c r="C457" s="2" t="str">
        <f>IF(A457="","",SUMIFS('Validaciones Cotizador'!B:B,'Validaciones Cotizador'!C:C,D457,'Validaciones Cotizador'!A:A,A457))</f>
        <v/>
      </c>
      <c r="D457" s="4" t="str">
        <f>IFERROR(__xludf.DUMMYFUNCTION("IF(OR(F456=""Finalizar"",F456="""",F456=""Selecciona..""),"""",IF(OR(F456=""-"",INDEX(filter(Familias!F:F,Familias!D:D=A456,Familias!E:E=C456),1)=""O""),D456+1,D456))"),"")</f>
        <v/>
      </c>
      <c r="E457" s="2" t="str">
        <f>IF(OR(F457="",F457="Selecciona.."),"",IF(D457="Implemento",SUMIF(Implementos!B:B,F457,Implementos!A:A),SUMIF(Productos!E:E,F457,Productos!A:A)))</f>
        <v/>
      </c>
      <c r="F457" s="2" t="str">
        <f t="shared" si="2"/>
        <v/>
      </c>
      <c r="G457" s="10" t="str">
        <f t="array" ref="G457">IF(OR(F457="",F457="-",F457="Selecciona..",F457="Finalizar"),"",IF(A457="Rodados",XLOOKUP(B457,'Validaciones Cotizador'!I:I,'Validaciones Cotizador'!J:J,0,0,1),1))</f>
        <v/>
      </c>
      <c r="H457" s="11" t="str">
        <f>IF(OR(F457="",F457="Selecciona.."),"",SUMIF(Precio_Productos!K:K,E457,Precio_Productos!J:J)*G457)</f>
        <v/>
      </c>
      <c r="I457" s="4" t="str">
        <f t="array" ref="I457">IF($E457="","", XLOOKUP(SUMIFS(Prod_Prop!$A:$A,Prod_Prop!$B:$B,$E457,Prod_Prop!$H:$H,I$1,Prod_Prop!$I:$I,"Exacto"),Prod_Prop!$A:$A,Prod_Prop!$J:$J,"",0,1))</f>
        <v/>
      </c>
      <c r="J457" s="4" t="str">
        <f t="array" ref="J457">IF($E457="","", XLOOKUP(SUMIFS(Prod_Prop!$A:$A,Prod_Prop!$B:$B,$E457,Prod_Prop!$H:$H,J$1,Prod_Prop!$I:$I,"Exacto"),Prod_Prop!$A:$A,Prod_Prop!$J:$J,"",0,1))</f>
        <v/>
      </c>
      <c r="K457" s="4" t="str">
        <f t="array" ref="K457">IF($E457="","", XLOOKUP(SUMIFS(Prod_Prop!$A:$A,Prod_Prop!$B:$B,$E457,Prod_Prop!$H:$H,K$1,Prod_Prop!$I:$I,"Exacto"),Prod_Prop!$A:$A,Prod_Prop!$J:$J,"",0,1))</f>
        <v/>
      </c>
      <c r="L457" s="4" t="str">
        <f t="array" ref="L457">IF($E457="","", XLOOKUP(SUMIFS(Prod_Prop!$A:$A,Prod_Prop!$B:$B,$E457,Prod_Prop!$H:$H,L$1,Prod_Prop!$I:$I,"Exacto"),Prod_Prop!$A:$A,Prod_Prop!$J:$J,"",0,1))</f>
        <v/>
      </c>
      <c r="M457" s="4" t="str">
        <f t="array" ref="M457">IF($E457="","", XLOOKUP(SUMIFS(Prod_Prop!$A:$A,Prod_Prop!$B:$B,$E457,Prod_Prop!$H:$H,M$1,Prod_Prop!$I:$I,"Exacto"),Prod_Prop!$A:$A,Prod_Prop!$J:$J,"",0,1))</f>
        <v/>
      </c>
      <c r="N457" s="4" t="str">
        <f t="array" ref="N457">IF($E457="","", XLOOKUP(SUMIFS(Prod_Prop!$A:$A,Prod_Prop!$B:$B,$E457,Prod_Prop!$H:$H,N$1,Prod_Prop!$I:$I,"Exacto"),Prod_Prop!$A:$A,Prod_Prop!$J:$J,"",0,1))</f>
        <v/>
      </c>
      <c r="O457" s="4" t="str">
        <f t="array" ref="O457">IF($E457="","", XLOOKUP(SUMIFS(Prod_Prop!$A:$A,Prod_Prop!$B:$B,$E457,Prod_Prop!$H:$H,O$1,Prod_Prop!$I:$I,"Exacto"),Prod_Prop!$A:$A,Prod_Prop!$J:$J,"",0,1))</f>
        <v/>
      </c>
      <c r="P457" s="4" t="str">
        <f t="array" ref="P457">IF($E457="","", XLOOKUP(SUMIFS(Prod_Prop!$A:$A,Prod_Prop!$B:$B,$E457,Prod_Prop!$H:$H,P$1,Prod_Prop!$I:$I,"Exacto"),Prod_Prop!$A:$A,Prod_Prop!$J:$J,"",0,1))</f>
        <v/>
      </c>
      <c r="Q457" s="4" t="str">
        <f t="array" ref="Q457">IF($E457="","", XLOOKUP(SUMIFS(Prod_Prop!$A:$A,Prod_Prop!$B:$B,$E457,Prod_Prop!$H:$H,Q$1,Prod_Prop!$I:$I,"Exacto"),Prod_Prop!$A:$A,Prod_Prop!$J:$J,"",0,1))</f>
        <v/>
      </c>
      <c r="R457" s="4" t="str">
        <f t="array" ref="R457">IF($E457="","", XLOOKUP(SUMIFS(Prod_Prop!$A:$A,Prod_Prop!$B:$B,$E457,Prod_Prop!$H:$H,R$1,Prod_Prop!$I:$I,"Exacto"),Prod_Prop!$A:$A,Prod_Prop!$J:$J,"",0,1))</f>
        <v/>
      </c>
      <c r="S457" s="4" t="str">
        <f t="array" ref="S457">IF($E457="","", XLOOKUP(SUMIFS(Prod_Prop!$A:$A,Prod_Prop!$B:$B,$E457,Prod_Prop!$H:$H,S$1,Prod_Prop!$I:$I,"Exacto"),Prod_Prop!$A:$A,Prod_Prop!$J:$J,"",0,1))</f>
        <v/>
      </c>
      <c r="T457" s="4" t="str">
        <f t="array" ref="T457">IF($E457="","", XLOOKUP(SUMIFS(Prod_Prop!$A:$A,Prod_Prop!$B:$B,$E457,Prod_Prop!$H:$H,T$1,Prod_Prop!$I:$I,"Exacto"),Prod_Prop!$A:$A,Prod_Prop!$J:$J,"",0,1))</f>
        <v/>
      </c>
      <c r="U457" s="4" t="str">
        <f t="array" ref="U457">IF($E457="","", XLOOKUP(SUMIFS(Prod_Prop!$A:$A,Prod_Prop!$B:$B,$E457,Prod_Prop!$H:$H,U$1,Prod_Prop!$I:$I,"Exacto"),Prod_Prop!$A:$A,Prod_Prop!$J:$J,"",0,1))</f>
        <v/>
      </c>
      <c r="V457" s="4" t="str">
        <f t="array" ref="V457">IF($E457="","", XLOOKUP(SUMIFS(Prod_Prop!$A:$A,Prod_Prop!$B:$B,$E457,Prod_Prop!$H:$H,V$1,Prod_Prop!$I:$I,"Exacto"),Prod_Prop!$A:$A,Prod_Prop!$J:$J,"",0,1))</f>
        <v/>
      </c>
      <c r="X457" s="3" t="str">
        <f>IFERROR(__xludf.DUMMYFUNCTION("IF(D457="""","""",IFERROR(TRANSPOSE(FILTER('Validaciones Cotizador'!U:U,'Validaciones Cotizador'!O:O=D457,'Validaciones Cotizador'!T:T=""x"")),""Finalizar""))"),"")</f>
        <v/>
      </c>
    </row>
    <row r="458">
      <c r="A458" s="2" t="str">
        <f t="array" ref="A458">IF(E458="","",XLOOKUP(D458,'Validaciones Cotizador'!C:C,'Validaciones Cotizador'!A:A,"",0,1))</f>
        <v/>
      </c>
      <c r="B458" s="2" t="str">
        <f t="array" ref="B458">IF(F458="","",XLOOKUP(F458,Productos!E:E,Productos!G:G,"",0,1))</f>
        <v/>
      </c>
      <c r="C458" s="2" t="str">
        <f>IF(A458="","",SUMIFS('Validaciones Cotizador'!B:B,'Validaciones Cotizador'!C:C,D458,'Validaciones Cotizador'!A:A,A458))</f>
        <v/>
      </c>
      <c r="D458" s="4" t="str">
        <f>IFERROR(__xludf.DUMMYFUNCTION("IF(OR(F457=""Finalizar"",F457="""",F457=""Selecciona..""),"""",IF(OR(F457=""-"",INDEX(filter(Familias!F:F,Familias!D:D=A457,Familias!E:E=C457),1)=""O""),D457+1,D457))"),"")</f>
        <v/>
      </c>
      <c r="E458" s="2" t="str">
        <f>IF(OR(F458="",F458="Selecciona.."),"",IF(D458="Implemento",SUMIF(Implementos!B:B,F458,Implementos!A:A),SUMIF(Productos!E:E,F458,Productos!A:A)))</f>
        <v/>
      </c>
      <c r="F458" s="2" t="str">
        <f t="shared" si="2"/>
        <v/>
      </c>
      <c r="G458" s="10" t="str">
        <f t="array" ref="G458">IF(OR(F458="",F458="-",F458="Selecciona..",F458="Finalizar"),"",IF(A458="Rodados",XLOOKUP(B458,'Validaciones Cotizador'!I:I,'Validaciones Cotizador'!J:J,0,0,1),1))</f>
        <v/>
      </c>
      <c r="H458" s="11" t="str">
        <f>IF(OR(F458="",F458="Selecciona.."),"",SUMIF(Precio_Productos!K:K,E458,Precio_Productos!J:J)*G458)</f>
        <v/>
      </c>
      <c r="I458" s="4" t="str">
        <f t="array" ref="I458">IF($E458="","", XLOOKUP(SUMIFS(Prod_Prop!$A:$A,Prod_Prop!$B:$B,$E458,Prod_Prop!$H:$H,I$1,Prod_Prop!$I:$I,"Exacto"),Prod_Prop!$A:$A,Prod_Prop!$J:$J,"",0,1))</f>
        <v/>
      </c>
      <c r="J458" s="4" t="str">
        <f t="array" ref="J458">IF($E458="","", XLOOKUP(SUMIFS(Prod_Prop!$A:$A,Prod_Prop!$B:$B,$E458,Prod_Prop!$H:$H,J$1,Prod_Prop!$I:$I,"Exacto"),Prod_Prop!$A:$A,Prod_Prop!$J:$J,"",0,1))</f>
        <v/>
      </c>
      <c r="K458" s="4" t="str">
        <f t="array" ref="K458">IF($E458="","", XLOOKUP(SUMIFS(Prod_Prop!$A:$A,Prod_Prop!$B:$B,$E458,Prod_Prop!$H:$H,K$1,Prod_Prop!$I:$I,"Exacto"),Prod_Prop!$A:$A,Prod_Prop!$J:$J,"",0,1))</f>
        <v/>
      </c>
      <c r="L458" s="4" t="str">
        <f t="array" ref="L458">IF($E458="","", XLOOKUP(SUMIFS(Prod_Prop!$A:$A,Prod_Prop!$B:$B,$E458,Prod_Prop!$H:$H,L$1,Prod_Prop!$I:$I,"Exacto"),Prod_Prop!$A:$A,Prod_Prop!$J:$J,"",0,1))</f>
        <v/>
      </c>
      <c r="M458" s="4" t="str">
        <f t="array" ref="M458">IF($E458="","", XLOOKUP(SUMIFS(Prod_Prop!$A:$A,Prod_Prop!$B:$B,$E458,Prod_Prop!$H:$H,M$1,Prod_Prop!$I:$I,"Exacto"),Prod_Prop!$A:$A,Prod_Prop!$J:$J,"",0,1))</f>
        <v/>
      </c>
      <c r="N458" s="4" t="str">
        <f t="array" ref="N458">IF($E458="","", XLOOKUP(SUMIFS(Prod_Prop!$A:$A,Prod_Prop!$B:$B,$E458,Prod_Prop!$H:$H,N$1,Prod_Prop!$I:$I,"Exacto"),Prod_Prop!$A:$A,Prod_Prop!$J:$J,"",0,1))</f>
        <v/>
      </c>
      <c r="O458" s="4" t="str">
        <f t="array" ref="O458">IF($E458="","", XLOOKUP(SUMIFS(Prod_Prop!$A:$A,Prod_Prop!$B:$B,$E458,Prod_Prop!$H:$H,O$1,Prod_Prop!$I:$I,"Exacto"),Prod_Prop!$A:$A,Prod_Prop!$J:$J,"",0,1))</f>
        <v/>
      </c>
      <c r="P458" s="4" t="str">
        <f t="array" ref="P458">IF($E458="","", XLOOKUP(SUMIFS(Prod_Prop!$A:$A,Prod_Prop!$B:$B,$E458,Prod_Prop!$H:$H,P$1,Prod_Prop!$I:$I,"Exacto"),Prod_Prop!$A:$A,Prod_Prop!$J:$J,"",0,1))</f>
        <v/>
      </c>
      <c r="Q458" s="4" t="str">
        <f t="array" ref="Q458">IF($E458="","", XLOOKUP(SUMIFS(Prod_Prop!$A:$A,Prod_Prop!$B:$B,$E458,Prod_Prop!$H:$H,Q$1,Prod_Prop!$I:$I,"Exacto"),Prod_Prop!$A:$A,Prod_Prop!$J:$J,"",0,1))</f>
        <v/>
      </c>
      <c r="R458" s="4" t="str">
        <f t="array" ref="R458">IF($E458="","", XLOOKUP(SUMIFS(Prod_Prop!$A:$A,Prod_Prop!$B:$B,$E458,Prod_Prop!$H:$H,R$1,Prod_Prop!$I:$I,"Exacto"),Prod_Prop!$A:$A,Prod_Prop!$J:$J,"",0,1))</f>
        <v/>
      </c>
      <c r="S458" s="4" t="str">
        <f t="array" ref="S458">IF($E458="","", XLOOKUP(SUMIFS(Prod_Prop!$A:$A,Prod_Prop!$B:$B,$E458,Prod_Prop!$H:$H,S$1,Prod_Prop!$I:$I,"Exacto"),Prod_Prop!$A:$A,Prod_Prop!$J:$J,"",0,1))</f>
        <v/>
      </c>
      <c r="T458" s="4" t="str">
        <f t="array" ref="T458">IF($E458="","", XLOOKUP(SUMIFS(Prod_Prop!$A:$A,Prod_Prop!$B:$B,$E458,Prod_Prop!$H:$H,T$1,Prod_Prop!$I:$I,"Exacto"),Prod_Prop!$A:$A,Prod_Prop!$J:$J,"",0,1))</f>
        <v/>
      </c>
      <c r="U458" s="4" t="str">
        <f t="array" ref="U458">IF($E458="","", XLOOKUP(SUMIFS(Prod_Prop!$A:$A,Prod_Prop!$B:$B,$E458,Prod_Prop!$H:$H,U$1,Prod_Prop!$I:$I,"Exacto"),Prod_Prop!$A:$A,Prod_Prop!$J:$J,"",0,1))</f>
        <v/>
      </c>
      <c r="V458" s="4" t="str">
        <f t="array" ref="V458">IF($E458="","", XLOOKUP(SUMIFS(Prod_Prop!$A:$A,Prod_Prop!$B:$B,$E458,Prod_Prop!$H:$H,V$1,Prod_Prop!$I:$I,"Exacto"),Prod_Prop!$A:$A,Prod_Prop!$J:$J,"",0,1))</f>
        <v/>
      </c>
      <c r="X458" s="3" t="str">
        <f>IFERROR(__xludf.DUMMYFUNCTION("IF(D458="""","""",IFERROR(TRANSPOSE(FILTER('Validaciones Cotizador'!U:U,'Validaciones Cotizador'!O:O=D458,'Validaciones Cotizador'!T:T=""x"")),""Finalizar""))"),"")</f>
        <v/>
      </c>
    </row>
    <row r="459">
      <c r="A459" s="2" t="str">
        <f t="array" ref="A459">IF(E459="","",XLOOKUP(D459,'Validaciones Cotizador'!C:C,'Validaciones Cotizador'!A:A,"",0,1))</f>
        <v/>
      </c>
      <c r="B459" s="2" t="str">
        <f t="array" ref="B459">IF(F459="","",XLOOKUP(F459,Productos!E:E,Productos!G:G,"",0,1))</f>
        <v/>
      </c>
      <c r="C459" s="2" t="str">
        <f>IF(A459="","",SUMIFS('Validaciones Cotizador'!B:B,'Validaciones Cotizador'!C:C,D459,'Validaciones Cotizador'!A:A,A459))</f>
        <v/>
      </c>
      <c r="D459" s="4" t="str">
        <f>IFERROR(__xludf.DUMMYFUNCTION("IF(OR(F458=""Finalizar"",F458="""",F458=""Selecciona..""),"""",IF(OR(F458=""-"",INDEX(filter(Familias!F:F,Familias!D:D=A458,Familias!E:E=C458),1)=""O""),D458+1,D458))"),"")</f>
        <v/>
      </c>
      <c r="E459" s="2" t="str">
        <f>IF(OR(F459="",F459="Selecciona.."),"",IF(D459="Implemento",SUMIF(Implementos!B:B,F459,Implementos!A:A),SUMIF(Productos!E:E,F459,Productos!A:A)))</f>
        <v/>
      </c>
      <c r="F459" s="2" t="str">
        <f t="shared" si="2"/>
        <v/>
      </c>
      <c r="G459" s="10" t="str">
        <f t="array" ref="G459">IF(OR(F459="",F459="-",F459="Selecciona..",F459="Finalizar"),"",IF(A459="Rodados",XLOOKUP(B459,'Validaciones Cotizador'!I:I,'Validaciones Cotizador'!J:J,0,0,1),1))</f>
        <v/>
      </c>
      <c r="H459" s="11" t="str">
        <f>IF(OR(F459="",F459="Selecciona.."),"",SUMIF(Precio_Productos!K:K,E459,Precio_Productos!J:J)*G459)</f>
        <v/>
      </c>
      <c r="I459" s="4" t="str">
        <f t="array" ref="I459">IF($E459="","", XLOOKUP(SUMIFS(Prod_Prop!$A:$A,Prod_Prop!$B:$B,$E459,Prod_Prop!$H:$H,I$1,Prod_Prop!$I:$I,"Exacto"),Prod_Prop!$A:$A,Prod_Prop!$J:$J,"",0,1))</f>
        <v/>
      </c>
      <c r="J459" s="4" t="str">
        <f t="array" ref="J459">IF($E459="","", XLOOKUP(SUMIFS(Prod_Prop!$A:$A,Prod_Prop!$B:$B,$E459,Prod_Prop!$H:$H,J$1,Prod_Prop!$I:$I,"Exacto"),Prod_Prop!$A:$A,Prod_Prop!$J:$J,"",0,1))</f>
        <v/>
      </c>
      <c r="K459" s="4" t="str">
        <f t="array" ref="K459">IF($E459="","", XLOOKUP(SUMIFS(Prod_Prop!$A:$A,Prod_Prop!$B:$B,$E459,Prod_Prop!$H:$H,K$1,Prod_Prop!$I:$I,"Exacto"),Prod_Prop!$A:$A,Prod_Prop!$J:$J,"",0,1))</f>
        <v/>
      </c>
      <c r="L459" s="4" t="str">
        <f t="array" ref="L459">IF($E459="","", XLOOKUP(SUMIFS(Prod_Prop!$A:$A,Prod_Prop!$B:$B,$E459,Prod_Prop!$H:$H,L$1,Prod_Prop!$I:$I,"Exacto"),Prod_Prop!$A:$A,Prod_Prop!$J:$J,"",0,1))</f>
        <v/>
      </c>
      <c r="M459" s="4" t="str">
        <f t="array" ref="M459">IF($E459="","", XLOOKUP(SUMIFS(Prod_Prop!$A:$A,Prod_Prop!$B:$B,$E459,Prod_Prop!$H:$H,M$1,Prod_Prop!$I:$I,"Exacto"),Prod_Prop!$A:$A,Prod_Prop!$J:$J,"",0,1))</f>
        <v/>
      </c>
      <c r="N459" s="4" t="str">
        <f t="array" ref="N459">IF($E459="","", XLOOKUP(SUMIFS(Prod_Prop!$A:$A,Prod_Prop!$B:$B,$E459,Prod_Prop!$H:$H,N$1,Prod_Prop!$I:$I,"Exacto"),Prod_Prop!$A:$A,Prod_Prop!$J:$J,"",0,1))</f>
        <v/>
      </c>
      <c r="O459" s="4" t="str">
        <f t="array" ref="O459">IF($E459="","", XLOOKUP(SUMIFS(Prod_Prop!$A:$A,Prod_Prop!$B:$B,$E459,Prod_Prop!$H:$H,O$1,Prod_Prop!$I:$I,"Exacto"),Prod_Prop!$A:$A,Prod_Prop!$J:$J,"",0,1))</f>
        <v/>
      </c>
      <c r="P459" s="4" t="str">
        <f t="array" ref="P459">IF($E459="","", XLOOKUP(SUMIFS(Prod_Prop!$A:$A,Prod_Prop!$B:$B,$E459,Prod_Prop!$H:$H,P$1,Prod_Prop!$I:$I,"Exacto"),Prod_Prop!$A:$A,Prod_Prop!$J:$J,"",0,1))</f>
        <v/>
      </c>
      <c r="Q459" s="4" t="str">
        <f t="array" ref="Q459">IF($E459="","", XLOOKUP(SUMIFS(Prod_Prop!$A:$A,Prod_Prop!$B:$B,$E459,Prod_Prop!$H:$H,Q$1,Prod_Prop!$I:$I,"Exacto"),Prod_Prop!$A:$A,Prod_Prop!$J:$J,"",0,1))</f>
        <v/>
      </c>
      <c r="R459" s="4" t="str">
        <f t="array" ref="R459">IF($E459="","", XLOOKUP(SUMIFS(Prod_Prop!$A:$A,Prod_Prop!$B:$B,$E459,Prod_Prop!$H:$H,R$1,Prod_Prop!$I:$I,"Exacto"),Prod_Prop!$A:$A,Prod_Prop!$J:$J,"",0,1))</f>
        <v/>
      </c>
      <c r="S459" s="4" t="str">
        <f t="array" ref="S459">IF($E459="","", XLOOKUP(SUMIFS(Prod_Prop!$A:$A,Prod_Prop!$B:$B,$E459,Prod_Prop!$H:$H,S$1,Prod_Prop!$I:$I,"Exacto"),Prod_Prop!$A:$A,Prod_Prop!$J:$J,"",0,1))</f>
        <v/>
      </c>
      <c r="T459" s="4" t="str">
        <f t="array" ref="T459">IF($E459="","", XLOOKUP(SUMIFS(Prod_Prop!$A:$A,Prod_Prop!$B:$B,$E459,Prod_Prop!$H:$H,T$1,Prod_Prop!$I:$I,"Exacto"),Prod_Prop!$A:$A,Prod_Prop!$J:$J,"",0,1))</f>
        <v/>
      </c>
      <c r="U459" s="4" t="str">
        <f t="array" ref="U459">IF($E459="","", XLOOKUP(SUMIFS(Prod_Prop!$A:$A,Prod_Prop!$B:$B,$E459,Prod_Prop!$H:$H,U$1,Prod_Prop!$I:$I,"Exacto"),Prod_Prop!$A:$A,Prod_Prop!$J:$J,"",0,1))</f>
        <v/>
      </c>
      <c r="V459" s="4" t="str">
        <f t="array" ref="V459">IF($E459="","", XLOOKUP(SUMIFS(Prod_Prop!$A:$A,Prod_Prop!$B:$B,$E459,Prod_Prop!$H:$H,V$1,Prod_Prop!$I:$I,"Exacto"),Prod_Prop!$A:$A,Prod_Prop!$J:$J,"",0,1))</f>
        <v/>
      </c>
      <c r="X459" s="3" t="str">
        <f>IFERROR(__xludf.DUMMYFUNCTION("IF(D459="""","""",IFERROR(TRANSPOSE(FILTER('Validaciones Cotizador'!U:U,'Validaciones Cotizador'!O:O=D459,'Validaciones Cotizador'!T:T=""x"")),""Finalizar""))"),"")</f>
        <v/>
      </c>
    </row>
    <row r="460">
      <c r="A460" s="2" t="str">
        <f t="array" ref="A460">IF(E460="","",XLOOKUP(D460,'Validaciones Cotizador'!C:C,'Validaciones Cotizador'!A:A,"",0,1))</f>
        <v/>
      </c>
      <c r="B460" s="2" t="str">
        <f t="array" ref="B460">IF(F460="","",XLOOKUP(F460,Productos!E:E,Productos!G:G,"",0,1))</f>
        <v/>
      </c>
      <c r="C460" s="2" t="str">
        <f>IF(A460="","",SUMIFS('Validaciones Cotizador'!B:B,'Validaciones Cotizador'!C:C,D460,'Validaciones Cotizador'!A:A,A460))</f>
        <v/>
      </c>
      <c r="D460" s="4" t="str">
        <f>IFERROR(__xludf.DUMMYFUNCTION("IF(OR(F459=""Finalizar"",F459="""",F459=""Selecciona..""),"""",IF(OR(F459=""-"",INDEX(filter(Familias!F:F,Familias!D:D=A459,Familias!E:E=C459),1)=""O""),D459+1,D459))"),"")</f>
        <v/>
      </c>
      <c r="E460" s="2" t="str">
        <f>IF(OR(F460="",F460="Selecciona.."),"",IF(D460="Implemento",SUMIF(Implementos!B:B,F460,Implementos!A:A),SUMIF(Productos!E:E,F460,Productos!A:A)))</f>
        <v/>
      </c>
      <c r="F460" s="2" t="str">
        <f t="shared" si="2"/>
        <v/>
      </c>
      <c r="G460" s="10" t="str">
        <f t="array" ref="G460">IF(OR(F460="",F460="-",F460="Selecciona..",F460="Finalizar"),"",IF(A460="Rodados",XLOOKUP(B460,'Validaciones Cotizador'!I:I,'Validaciones Cotizador'!J:J,0,0,1),1))</f>
        <v/>
      </c>
      <c r="H460" s="11" t="str">
        <f>IF(OR(F460="",F460="Selecciona.."),"",SUMIF(Precio_Productos!K:K,E460,Precio_Productos!J:J)*G460)</f>
        <v/>
      </c>
      <c r="I460" s="4" t="str">
        <f t="array" ref="I460">IF($E460="","", XLOOKUP(SUMIFS(Prod_Prop!$A:$A,Prod_Prop!$B:$B,$E460,Prod_Prop!$H:$H,I$1,Prod_Prop!$I:$I,"Exacto"),Prod_Prop!$A:$A,Prod_Prop!$J:$J,"",0,1))</f>
        <v/>
      </c>
      <c r="J460" s="4" t="str">
        <f t="array" ref="J460">IF($E460="","", XLOOKUP(SUMIFS(Prod_Prop!$A:$A,Prod_Prop!$B:$B,$E460,Prod_Prop!$H:$H,J$1,Prod_Prop!$I:$I,"Exacto"),Prod_Prop!$A:$A,Prod_Prop!$J:$J,"",0,1))</f>
        <v/>
      </c>
      <c r="K460" s="4" t="str">
        <f t="array" ref="K460">IF($E460="","", XLOOKUP(SUMIFS(Prod_Prop!$A:$A,Prod_Prop!$B:$B,$E460,Prod_Prop!$H:$H,K$1,Prod_Prop!$I:$I,"Exacto"),Prod_Prop!$A:$A,Prod_Prop!$J:$J,"",0,1))</f>
        <v/>
      </c>
      <c r="L460" s="4" t="str">
        <f t="array" ref="L460">IF($E460="","", XLOOKUP(SUMIFS(Prod_Prop!$A:$A,Prod_Prop!$B:$B,$E460,Prod_Prop!$H:$H,L$1,Prod_Prop!$I:$I,"Exacto"),Prod_Prop!$A:$A,Prod_Prop!$J:$J,"",0,1))</f>
        <v/>
      </c>
      <c r="M460" s="4" t="str">
        <f t="array" ref="M460">IF($E460="","", XLOOKUP(SUMIFS(Prod_Prop!$A:$A,Prod_Prop!$B:$B,$E460,Prod_Prop!$H:$H,M$1,Prod_Prop!$I:$I,"Exacto"),Prod_Prop!$A:$A,Prod_Prop!$J:$J,"",0,1))</f>
        <v/>
      </c>
      <c r="N460" s="4" t="str">
        <f t="array" ref="N460">IF($E460="","", XLOOKUP(SUMIFS(Prod_Prop!$A:$A,Prod_Prop!$B:$B,$E460,Prod_Prop!$H:$H,N$1,Prod_Prop!$I:$I,"Exacto"),Prod_Prop!$A:$A,Prod_Prop!$J:$J,"",0,1))</f>
        <v/>
      </c>
      <c r="O460" s="4" t="str">
        <f t="array" ref="O460">IF($E460="","", XLOOKUP(SUMIFS(Prod_Prop!$A:$A,Prod_Prop!$B:$B,$E460,Prod_Prop!$H:$H,O$1,Prod_Prop!$I:$I,"Exacto"),Prod_Prop!$A:$A,Prod_Prop!$J:$J,"",0,1))</f>
        <v/>
      </c>
      <c r="P460" s="4" t="str">
        <f t="array" ref="P460">IF($E460="","", XLOOKUP(SUMIFS(Prod_Prop!$A:$A,Prod_Prop!$B:$B,$E460,Prod_Prop!$H:$H,P$1,Prod_Prop!$I:$I,"Exacto"),Prod_Prop!$A:$A,Prod_Prop!$J:$J,"",0,1))</f>
        <v/>
      </c>
      <c r="Q460" s="4" t="str">
        <f t="array" ref="Q460">IF($E460="","", XLOOKUP(SUMIFS(Prod_Prop!$A:$A,Prod_Prop!$B:$B,$E460,Prod_Prop!$H:$H,Q$1,Prod_Prop!$I:$I,"Exacto"),Prod_Prop!$A:$A,Prod_Prop!$J:$J,"",0,1))</f>
        <v/>
      </c>
      <c r="R460" s="4" t="str">
        <f t="array" ref="R460">IF($E460="","", XLOOKUP(SUMIFS(Prod_Prop!$A:$A,Prod_Prop!$B:$B,$E460,Prod_Prop!$H:$H,R$1,Prod_Prop!$I:$I,"Exacto"),Prod_Prop!$A:$A,Prod_Prop!$J:$J,"",0,1))</f>
        <v/>
      </c>
      <c r="S460" s="4" t="str">
        <f t="array" ref="S460">IF($E460="","", XLOOKUP(SUMIFS(Prod_Prop!$A:$A,Prod_Prop!$B:$B,$E460,Prod_Prop!$H:$H,S$1,Prod_Prop!$I:$I,"Exacto"),Prod_Prop!$A:$A,Prod_Prop!$J:$J,"",0,1))</f>
        <v/>
      </c>
      <c r="T460" s="4" t="str">
        <f t="array" ref="T460">IF($E460="","", XLOOKUP(SUMIFS(Prod_Prop!$A:$A,Prod_Prop!$B:$B,$E460,Prod_Prop!$H:$H,T$1,Prod_Prop!$I:$I,"Exacto"),Prod_Prop!$A:$A,Prod_Prop!$J:$J,"",0,1))</f>
        <v/>
      </c>
      <c r="U460" s="4" t="str">
        <f t="array" ref="U460">IF($E460="","", XLOOKUP(SUMIFS(Prod_Prop!$A:$A,Prod_Prop!$B:$B,$E460,Prod_Prop!$H:$H,U$1,Prod_Prop!$I:$I,"Exacto"),Prod_Prop!$A:$A,Prod_Prop!$J:$J,"",0,1))</f>
        <v/>
      </c>
      <c r="V460" s="4" t="str">
        <f t="array" ref="V460">IF($E460="","", XLOOKUP(SUMIFS(Prod_Prop!$A:$A,Prod_Prop!$B:$B,$E460,Prod_Prop!$H:$H,V$1,Prod_Prop!$I:$I,"Exacto"),Prod_Prop!$A:$A,Prod_Prop!$J:$J,"",0,1))</f>
        <v/>
      </c>
      <c r="X460" s="3" t="str">
        <f>IFERROR(__xludf.DUMMYFUNCTION("IF(D460="""","""",IFERROR(TRANSPOSE(FILTER('Validaciones Cotizador'!U:U,'Validaciones Cotizador'!O:O=D460,'Validaciones Cotizador'!T:T=""x"")),""Finalizar""))"),"")</f>
        <v/>
      </c>
    </row>
    <row r="461">
      <c r="A461" s="2" t="str">
        <f t="array" ref="A461">IF(E461="","",XLOOKUP(D461,'Validaciones Cotizador'!C:C,'Validaciones Cotizador'!A:A,"",0,1))</f>
        <v/>
      </c>
      <c r="B461" s="2" t="str">
        <f t="array" ref="B461">IF(F461="","",XLOOKUP(F461,Productos!E:E,Productos!G:G,"",0,1))</f>
        <v/>
      </c>
      <c r="C461" s="2" t="str">
        <f>IF(A461="","",SUMIFS('Validaciones Cotizador'!B:B,'Validaciones Cotizador'!C:C,D461,'Validaciones Cotizador'!A:A,A461))</f>
        <v/>
      </c>
      <c r="D461" s="4" t="str">
        <f>IFERROR(__xludf.DUMMYFUNCTION("IF(OR(F460=""Finalizar"",F460="""",F460=""Selecciona..""),"""",IF(OR(F460=""-"",INDEX(filter(Familias!F:F,Familias!D:D=A460,Familias!E:E=C460),1)=""O""),D460+1,D460))"),"")</f>
        <v/>
      </c>
      <c r="E461" s="2" t="str">
        <f>IF(OR(F461="",F461="Selecciona.."),"",IF(D461="Implemento",SUMIF(Implementos!B:B,F461,Implementos!A:A),SUMIF(Productos!E:E,F461,Productos!A:A)))</f>
        <v/>
      </c>
      <c r="F461" s="2" t="str">
        <f t="shared" si="2"/>
        <v/>
      </c>
      <c r="G461" s="10" t="str">
        <f t="array" ref="G461">IF(OR(F461="",F461="-",F461="Selecciona..",F461="Finalizar"),"",IF(A461="Rodados",XLOOKUP(B461,'Validaciones Cotizador'!I:I,'Validaciones Cotizador'!J:J,0,0,1),1))</f>
        <v/>
      </c>
      <c r="H461" s="11" t="str">
        <f>IF(OR(F461="",F461="Selecciona.."),"",SUMIF(Precio_Productos!K:K,E461,Precio_Productos!J:J)*G461)</f>
        <v/>
      </c>
      <c r="I461" s="4" t="str">
        <f t="array" ref="I461">IF($E461="","", XLOOKUP(SUMIFS(Prod_Prop!$A:$A,Prod_Prop!$B:$B,$E461,Prod_Prop!$H:$H,I$1,Prod_Prop!$I:$I,"Exacto"),Prod_Prop!$A:$A,Prod_Prop!$J:$J,"",0,1))</f>
        <v/>
      </c>
      <c r="J461" s="4" t="str">
        <f t="array" ref="J461">IF($E461="","", XLOOKUP(SUMIFS(Prod_Prop!$A:$A,Prod_Prop!$B:$B,$E461,Prod_Prop!$H:$H,J$1,Prod_Prop!$I:$I,"Exacto"),Prod_Prop!$A:$A,Prod_Prop!$J:$J,"",0,1))</f>
        <v/>
      </c>
      <c r="K461" s="4" t="str">
        <f t="array" ref="K461">IF($E461="","", XLOOKUP(SUMIFS(Prod_Prop!$A:$A,Prod_Prop!$B:$B,$E461,Prod_Prop!$H:$H,K$1,Prod_Prop!$I:$I,"Exacto"),Prod_Prop!$A:$A,Prod_Prop!$J:$J,"",0,1))</f>
        <v/>
      </c>
      <c r="L461" s="4" t="str">
        <f t="array" ref="L461">IF($E461="","", XLOOKUP(SUMIFS(Prod_Prop!$A:$A,Prod_Prop!$B:$B,$E461,Prod_Prop!$H:$H,L$1,Prod_Prop!$I:$I,"Exacto"),Prod_Prop!$A:$A,Prod_Prop!$J:$J,"",0,1))</f>
        <v/>
      </c>
      <c r="M461" s="4" t="str">
        <f t="array" ref="M461">IF($E461="","", XLOOKUP(SUMIFS(Prod_Prop!$A:$A,Prod_Prop!$B:$B,$E461,Prod_Prop!$H:$H,M$1,Prod_Prop!$I:$I,"Exacto"),Prod_Prop!$A:$A,Prod_Prop!$J:$J,"",0,1))</f>
        <v/>
      </c>
      <c r="N461" s="4" t="str">
        <f t="array" ref="N461">IF($E461="","", XLOOKUP(SUMIFS(Prod_Prop!$A:$A,Prod_Prop!$B:$B,$E461,Prod_Prop!$H:$H,N$1,Prod_Prop!$I:$I,"Exacto"),Prod_Prop!$A:$A,Prod_Prop!$J:$J,"",0,1))</f>
        <v/>
      </c>
      <c r="O461" s="4" t="str">
        <f t="array" ref="O461">IF($E461="","", XLOOKUP(SUMIFS(Prod_Prop!$A:$A,Prod_Prop!$B:$B,$E461,Prod_Prop!$H:$H,O$1,Prod_Prop!$I:$I,"Exacto"),Prod_Prop!$A:$A,Prod_Prop!$J:$J,"",0,1))</f>
        <v/>
      </c>
      <c r="P461" s="4" t="str">
        <f t="array" ref="P461">IF($E461="","", XLOOKUP(SUMIFS(Prod_Prop!$A:$A,Prod_Prop!$B:$B,$E461,Prod_Prop!$H:$H,P$1,Prod_Prop!$I:$I,"Exacto"),Prod_Prop!$A:$A,Prod_Prop!$J:$J,"",0,1))</f>
        <v/>
      </c>
      <c r="Q461" s="4" t="str">
        <f t="array" ref="Q461">IF($E461="","", XLOOKUP(SUMIFS(Prod_Prop!$A:$A,Prod_Prop!$B:$B,$E461,Prod_Prop!$H:$H,Q$1,Prod_Prop!$I:$I,"Exacto"),Prod_Prop!$A:$A,Prod_Prop!$J:$J,"",0,1))</f>
        <v/>
      </c>
      <c r="R461" s="4" t="str">
        <f t="array" ref="R461">IF($E461="","", XLOOKUP(SUMIFS(Prod_Prop!$A:$A,Prod_Prop!$B:$B,$E461,Prod_Prop!$H:$H,R$1,Prod_Prop!$I:$I,"Exacto"),Prod_Prop!$A:$A,Prod_Prop!$J:$J,"",0,1))</f>
        <v/>
      </c>
      <c r="S461" s="4" t="str">
        <f t="array" ref="S461">IF($E461="","", XLOOKUP(SUMIFS(Prod_Prop!$A:$A,Prod_Prop!$B:$B,$E461,Prod_Prop!$H:$H,S$1,Prod_Prop!$I:$I,"Exacto"),Prod_Prop!$A:$A,Prod_Prop!$J:$J,"",0,1))</f>
        <v/>
      </c>
      <c r="T461" s="4" t="str">
        <f t="array" ref="T461">IF($E461="","", XLOOKUP(SUMIFS(Prod_Prop!$A:$A,Prod_Prop!$B:$B,$E461,Prod_Prop!$H:$H,T$1,Prod_Prop!$I:$I,"Exacto"),Prod_Prop!$A:$A,Prod_Prop!$J:$J,"",0,1))</f>
        <v/>
      </c>
      <c r="U461" s="4" t="str">
        <f t="array" ref="U461">IF($E461="","", XLOOKUP(SUMIFS(Prod_Prop!$A:$A,Prod_Prop!$B:$B,$E461,Prod_Prop!$H:$H,U$1,Prod_Prop!$I:$I,"Exacto"),Prod_Prop!$A:$A,Prod_Prop!$J:$J,"",0,1))</f>
        <v/>
      </c>
      <c r="V461" s="4" t="str">
        <f t="array" ref="V461">IF($E461="","", XLOOKUP(SUMIFS(Prod_Prop!$A:$A,Prod_Prop!$B:$B,$E461,Prod_Prop!$H:$H,V$1,Prod_Prop!$I:$I,"Exacto"),Prod_Prop!$A:$A,Prod_Prop!$J:$J,"",0,1))</f>
        <v/>
      </c>
      <c r="X461" s="3" t="str">
        <f>IFERROR(__xludf.DUMMYFUNCTION("IF(D461="""","""",IFERROR(TRANSPOSE(FILTER('Validaciones Cotizador'!U:U,'Validaciones Cotizador'!O:O=D461,'Validaciones Cotizador'!T:T=""x"")),""Finalizar""))"),"")</f>
        <v/>
      </c>
    </row>
    <row r="462">
      <c r="A462" s="2" t="str">
        <f t="array" ref="A462">IF(E462="","",XLOOKUP(D462,'Validaciones Cotizador'!C:C,'Validaciones Cotizador'!A:A,"",0,1))</f>
        <v/>
      </c>
      <c r="B462" s="2" t="str">
        <f t="array" ref="B462">IF(F462="","",XLOOKUP(F462,Productos!E:E,Productos!G:G,"",0,1))</f>
        <v/>
      </c>
      <c r="C462" s="2" t="str">
        <f>IF(A462="","",SUMIFS('Validaciones Cotizador'!B:B,'Validaciones Cotizador'!C:C,D462,'Validaciones Cotizador'!A:A,A462))</f>
        <v/>
      </c>
      <c r="D462" s="4" t="str">
        <f>IFERROR(__xludf.DUMMYFUNCTION("IF(OR(F461=""Finalizar"",F461="""",F461=""Selecciona..""),"""",IF(OR(F461=""-"",INDEX(filter(Familias!F:F,Familias!D:D=A461,Familias!E:E=C461),1)=""O""),D461+1,D461))"),"")</f>
        <v/>
      </c>
      <c r="E462" s="2" t="str">
        <f>IF(OR(F462="",F462="Selecciona.."),"",IF(D462="Implemento",SUMIF(Implementos!B:B,F462,Implementos!A:A),SUMIF(Productos!E:E,F462,Productos!A:A)))</f>
        <v/>
      </c>
      <c r="F462" s="2" t="str">
        <f t="shared" si="2"/>
        <v/>
      </c>
      <c r="G462" s="10" t="str">
        <f t="array" ref="G462">IF(OR(F462="",F462="-",F462="Selecciona..",F462="Finalizar"),"",IF(A462="Rodados",XLOOKUP(B462,'Validaciones Cotizador'!I:I,'Validaciones Cotizador'!J:J,0,0,1),1))</f>
        <v/>
      </c>
      <c r="H462" s="11" t="str">
        <f>IF(OR(F462="",F462="Selecciona.."),"",SUMIF(Precio_Productos!K:K,E462,Precio_Productos!J:J)*G462)</f>
        <v/>
      </c>
      <c r="I462" s="4" t="str">
        <f t="array" ref="I462">IF($E462="","", XLOOKUP(SUMIFS(Prod_Prop!$A:$A,Prod_Prop!$B:$B,$E462,Prod_Prop!$H:$H,I$1,Prod_Prop!$I:$I,"Exacto"),Prod_Prop!$A:$A,Prod_Prop!$J:$J,"",0,1))</f>
        <v/>
      </c>
      <c r="J462" s="4" t="str">
        <f t="array" ref="J462">IF($E462="","", XLOOKUP(SUMIFS(Prod_Prop!$A:$A,Prod_Prop!$B:$B,$E462,Prod_Prop!$H:$H,J$1,Prod_Prop!$I:$I,"Exacto"),Prod_Prop!$A:$A,Prod_Prop!$J:$J,"",0,1))</f>
        <v/>
      </c>
      <c r="K462" s="4" t="str">
        <f t="array" ref="K462">IF($E462="","", XLOOKUP(SUMIFS(Prod_Prop!$A:$A,Prod_Prop!$B:$B,$E462,Prod_Prop!$H:$H,K$1,Prod_Prop!$I:$I,"Exacto"),Prod_Prop!$A:$A,Prod_Prop!$J:$J,"",0,1))</f>
        <v/>
      </c>
      <c r="L462" s="4" t="str">
        <f t="array" ref="L462">IF($E462="","", XLOOKUP(SUMIFS(Prod_Prop!$A:$A,Prod_Prop!$B:$B,$E462,Prod_Prop!$H:$H,L$1,Prod_Prop!$I:$I,"Exacto"),Prod_Prop!$A:$A,Prod_Prop!$J:$J,"",0,1))</f>
        <v/>
      </c>
      <c r="M462" s="4" t="str">
        <f t="array" ref="M462">IF($E462="","", XLOOKUP(SUMIFS(Prod_Prop!$A:$A,Prod_Prop!$B:$B,$E462,Prod_Prop!$H:$H,M$1,Prod_Prop!$I:$I,"Exacto"),Prod_Prop!$A:$A,Prod_Prop!$J:$J,"",0,1))</f>
        <v/>
      </c>
      <c r="N462" s="4" t="str">
        <f t="array" ref="N462">IF($E462="","", XLOOKUP(SUMIFS(Prod_Prop!$A:$A,Prod_Prop!$B:$B,$E462,Prod_Prop!$H:$H,N$1,Prod_Prop!$I:$I,"Exacto"),Prod_Prop!$A:$A,Prod_Prop!$J:$J,"",0,1))</f>
        <v/>
      </c>
      <c r="O462" s="4" t="str">
        <f t="array" ref="O462">IF($E462="","", XLOOKUP(SUMIFS(Prod_Prop!$A:$A,Prod_Prop!$B:$B,$E462,Prod_Prop!$H:$H,O$1,Prod_Prop!$I:$I,"Exacto"),Prod_Prop!$A:$A,Prod_Prop!$J:$J,"",0,1))</f>
        <v/>
      </c>
      <c r="P462" s="4" t="str">
        <f t="array" ref="P462">IF($E462="","", XLOOKUP(SUMIFS(Prod_Prop!$A:$A,Prod_Prop!$B:$B,$E462,Prod_Prop!$H:$H,P$1,Prod_Prop!$I:$I,"Exacto"),Prod_Prop!$A:$A,Prod_Prop!$J:$J,"",0,1))</f>
        <v/>
      </c>
      <c r="Q462" s="4" t="str">
        <f t="array" ref="Q462">IF($E462="","", XLOOKUP(SUMIFS(Prod_Prop!$A:$A,Prod_Prop!$B:$B,$E462,Prod_Prop!$H:$H,Q$1,Prod_Prop!$I:$I,"Exacto"),Prod_Prop!$A:$A,Prod_Prop!$J:$J,"",0,1))</f>
        <v/>
      </c>
      <c r="R462" s="4" t="str">
        <f t="array" ref="R462">IF($E462="","", XLOOKUP(SUMIFS(Prod_Prop!$A:$A,Prod_Prop!$B:$B,$E462,Prod_Prop!$H:$H,R$1,Prod_Prop!$I:$I,"Exacto"),Prod_Prop!$A:$A,Prod_Prop!$J:$J,"",0,1))</f>
        <v/>
      </c>
      <c r="S462" s="4" t="str">
        <f t="array" ref="S462">IF($E462="","", XLOOKUP(SUMIFS(Prod_Prop!$A:$A,Prod_Prop!$B:$B,$E462,Prod_Prop!$H:$H,S$1,Prod_Prop!$I:$I,"Exacto"),Prod_Prop!$A:$A,Prod_Prop!$J:$J,"",0,1))</f>
        <v/>
      </c>
      <c r="T462" s="4" t="str">
        <f t="array" ref="T462">IF($E462="","", XLOOKUP(SUMIFS(Prod_Prop!$A:$A,Prod_Prop!$B:$B,$E462,Prod_Prop!$H:$H,T$1,Prod_Prop!$I:$I,"Exacto"),Prod_Prop!$A:$A,Prod_Prop!$J:$J,"",0,1))</f>
        <v/>
      </c>
      <c r="U462" s="4" t="str">
        <f t="array" ref="U462">IF($E462="","", XLOOKUP(SUMIFS(Prod_Prop!$A:$A,Prod_Prop!$B:$B,$E462,Prod_Prop!$H:$H,U$1,Prod_Prop!$I:$I,"Exacto"),Prod_Prop!$A:$A,Prod_Prop!$J:$J,"",0,1))</f>
        <v/>
      </c>
      <c r="V462" s="4" t="str">
        <f t="array" ref="V462">IF($E462="","", XLOOKUP(SUMIFS(Prod_Prop!$A:$A,Prod_Prop!$B:$B,$E462,Prod_Prop!$H:$H,V$1,Prod_Prop!$I:$I,"Exacto"),Prod_Prop!$A:$A,Prod_Prop!$J:$J,"",0,1))</f>
        <v/>
      </c>
      <c r="X462" s="3" t="str">
        <f>IFERROR(__xludf.DUMMYFUNCTION("IF(D462="""","""",IFERROR(TRANSPOSE(FILTER('Validaciones Cotizador'!U:U,'Validaciones Cotizador'!O:O=D462,'Validaciones Cotizador'!T:T=""x"")),""Finalizar""))"),"")</f>
        <v/>
      </c>
    </row>
    <row r="463">
      <c r="A463" s="2" t="str">
        <f t="array" ref="A463">IF(E463="","",XLOOKUP(D463,'Validaciones Cotizador'!C:C,'Validaciones Cotizador'!A:A,"",0,1))</f>
        <v/>
      </c>
      <c r="B463" s="2" t="str">
        <f t="array" ref="B463">IF(F463="","",XLOOKUP(F463,Productos!E:E,Productos!G:G,"",0,1))</f>
        <v/>
      </c>
      <c r="C463" s="2" t="str">
        <f>IF(A463="","",SUMIFS('Validaciones Cotizador'!B:B,'Validaciones Cotizador'!C:C,D463,'Validaciones Cotizador'!A:A,A463))</f>
        <v/>
      </c>
      <c r="D463" s="4" t="str">
        <f>IFERROR(__xludf.DUMMYFUNCTION("IF(OR(F462=""Finalizar"",F462="""",F462=""Selecciona..""),"""",IF(OR(F462=""-"",INDEX(filter(Familias!F:F,Familias!D:D=A462,Familias!E:E=C462),1)=""O""),D462+1,D462))"),"")</f>
        <v/>
      </c>
      <c r="E463" s="2" t="str">
        <f>IF(OR(F463="",F463="Selecciona.."),"",IF(D463="Implemento",SUMIF(Implementos!B:B,F463,Implementos!A:A),SUMIF(Productos!E:E,F463,Productos!A:A)))</f>
        <v/>
      </c>
      <c r="F463" s="2" t="str">
        <f t="shared" si="2"/>
        <v/>
      </c>
      <c r="G463" s="10" t="str">
        <f t="array" ref="G463">IF(OR(F463="",F463="-",F463="Selecciona..",F463="Finalizar"),"",IF(A463="Rodados",XLOOKUP(B463,'Validaciones Cotizador'!I:I,'Validaciones Cotizador'!J:J,0,0,1),1))</f>
        <v/>
      </c>
      <c r="H463" s="11" t="str">
        <f>IF(OR(F463="",F463="Selecciona.."),"",SUMIF(Precio_Productos!K:K,E463,Precio_Productos!J:J)*G463)</f>
        <v/>
      </c>
      <c r="I463" s="4" t="str">
        <f t="array" ref="I463">IF($E463="","", XLOOKUP(SUMIFS(Prod_Prop!$A:$A,Prod_Prop!$B:$B,$E463,Prod_Prop!$H:$H,I$1,Prod_Prop!$I:$I,"Exacto"),Prod_Prop!$A:$A,Prod_Prop!$J:$J,"",0,1))</f>
        <v/>
      </c>
      <c r="J463" s="4" t="str">
        <f t="array" ref="J463">IF($E463="","", XLOOKUP(SUMIFS(Prod_Prop!$A:$A,Prod_Prop!$B:$B,$E463,Prod_Prop!$H:$H,J$1,Prod_Prop!$I:$I,"Exacto"),Prod_Prop!$A:$A,Prod_Prop!$J:$J,"",0,1))</f>
        <v/>
      </c>
      <c r="K463" s="4" t="str">
        <f t="array" ref="K463">IF($E463="","", XLOOKUP(SUMIFS(Prod_Prop!$A:$A,Prod_Prop!$B:$B,$E463,Prod_Prop!$H:$H,K$1,Prod_Prop!$I:$I,"Exacto"),Prod_Prop!$A:$A,Prod_Prop!$J:$J,"",0,1))</f>
        <v/>
      </c>
      <c r="L463" s="4" t="str">
        <f t="array" ref="L463">IF($E463="","", XLOOKUP(SUMIFS(Prod_Prop!$A:$A,Prod_Prop!$B:$B,$E463,Prod_Prop!$H:$H,L$1,Prod_Prop!$I:$I,"Exacto"),Prod_Prop!$A:$A,Prod_Prop!$J:$J,"",0,1))</f>
        <v/>
      </c>
      <c r="M463" s="4" t="str">
        <f t="array" ref="M463">IF($E463="","", XLOOKUP(SUMIFS(Prod_Prop!$A:$A,Prod_Prop!$B:$B,$E463,Prod_Prop!$H:$H,M$1,Prod_Prop!$I:$I,"Exacto"),Prod_Prop!$A:$A,Prod_Prop!$J:$J,"",0,1))</f>
        <v/>
      </c>
      <c r="N463" s="4" t="str">
        <f t="array" ref="N463">IF($E463="","", XLOOKUP(SUMIFS(Prod_Prop!$A:$A,Prod_Prop!$B:$B,$E463,Prod_Prop!$H:$H,N$1,Prod_Prop!$I:$I,"Exacto"),Prod_Prop!$A:$A,Prod_Prop!$J:$J,"",0,1))</f>
        <v/>
      </c>
      <c r="O463" s="4" t="str">
        <f t="array" ref="O463">IF($E463="","", XLOOKUP(SUMIFS(Prod_Prop!$A:$A,Prod_Prop!$B:$B,$E463,Prod_Prop!$H:$H,O$1,Prod_Prop!$I:$I,"Exacto"),Prod_Prop!$A:$A,Prod_Prop!$J:$J,"",0,1))</f>
        <v/>
      </c>
      <c r="P463" s="4" t="str">
        <f t="array" ref="P463">IF($E463="","", XLOOKUP(SUMIFS(Prod_Prop!$A:$A,Prod_Prop!$B:$B,$E463,Prod_Prop!$H:$H,P$1,Prod_Prop!$I:$I,"Exacto"),Prod_Prop!$A:$A,Prod_Prop!$J:$J,"",0,1))</f>
        <v/>
      </c>
      <c r="Q463" s="4" t="str">
        <f t="array" ref="Q463">IF($E463="","", XLOOKUP(SUMIFS(Prod_Prop!$A:$A,Prod_Prop!$B:$B,$E463,Prod_Prop!$H:$H,Q$1,Prod_Prop!$I:$I,"Exacto"),Prod_Prop!$A:$A,Prod_Prop!$J:$J,"",0,1))</f>
        <v/>
      </c>
      <c r="R463" s="4" t="str">
        <f t="array" ref="R463">IF($E463="","", XLOOKUP(SUMIFS(Prod_Prop!$A:$A,Prod_Prop!$B:$B,$E463,Prod_Prop!$H:$H,R$1,Prod_Prop!$I:$I,"Exacto"),Prod_Prop!$A:$A,Prod_Prop!$J:$J,"",0,1))</f>
        <v/>
      </c>
      <c r="S463" s="4" t="str">
        <f t="array" ref="S463">IF($E463="","", XLOOKUP(SUMIFS(Prod_Prop!$A:$A,Prod_Prop!$B:$B,$E463,Prod_Prop!$H:$H,S$1,Prod_Prop!$I:$I,"Exacto"),Prod_Prop!$A:$A,Prod_Prop!$J:$J,"",0,1))</f>
        <v/>
      </c>
      <c r="T463" s="4" t="str">
        <f t="array" ref="T463">IF($E463="","", XLOOKUP(SUMIFS(Prod_Prop!$A:$A,Prod_Prop!$B:$B,$E463,Prod_Prop!$H:$H,T$1,Prod_Prop!$I:$I,"Exacto"),Prod_Prop!$A:$A,Prod_Prop!$J:$J,"",0,1))</f>
        <v/>
      </c>
      <c r="U463" s="4" t="str">
        <f t="array" ref="U463">IF($E463="","", XLOOKUP(SUMIFS(Prod_Prop!$A:$A,Prod_Prop!$B:$B,$E463,Prod_Prop!$H:$H,U$1,Prod_Prop!$I:$I,"Exacto"),Prod_Prop!$A:$A,Prod_Prop!$J:$J,"",0,1))</f>
        <v/>
      </c>
      <c r="V463" s="4" t="str">
        <f t="array" ref="V463">IF($E463="","", XLOOKUP(SUMIFS(Prod_Prop!$A:$A,Prod_Prop!$B:$B,$E463,Prod_Prop!$H:$H,V$1,Prod_Prop!$I:$I,"Exacto"),Prod_Prop!$A:$A,Prod_Prop!$J:$J,"",0,1))</f>
        <v/>
      </c>
      <c r="X463" s="3" t="str">
        <f>IFERROR(__xludf.DUMMYFUNCTION("IF(D463="""","""",IFERROR(TRANSPOSE(FILTER('Validaciones Cotizador'!U:U,'Validaciones Cotizador'!O:O=D463,'Validaciones Cotizador'!T:T=""x"")),""Finalizar""))"),"")</f>
        <v/>
      </c>
    </row>
    <row r="464">
      <c r="A464" s="2" t="str">
        <f t="array" ref="A464">IF(E464="","",XLOOKUP(D464,'Validaciones Cotizador'!C:C,'Validaciones Cotizador'!A:A,"",0,1))</f>
        <v/>
      </c>
      <c r="B464" s="2" t="str">
        <f t="array" ref="B464">IF(F464="","",XLOOKUP(F464,Productos!E:E,Productos!G:G,"",0,1))</f>
        <v/>
      </c>
      <c r="C464" s="2" t="str">
        <f>IF(A464="","",SUMIFS('Validaciones Cotizador'!B:B,'Validaciones Cotizador'!C:C,D464,'Validaciones Cotizador'!A:A,A464))</f>
        <v/>
      </c>
      <c r="D464" s="4" t="str">
        <f>IFERROR(__xludf.DUMMYFUNCTION("IF(OR(F463=""Finalizar"",F463="""",F463=""Selecciona..""),"""",IF(OR(F463=""-"",INDEX(filter(Familias!F:F,Familias!D:D=A463,Familias!E:E=C463),1)=""O""),D463+1,D463))"),"")</f>
        <v/>
      </c>
      <c r="E464" s="2" t="str">
        <f>IF(OR(F464="",F464="Selecciona.."),"",IF(D464="Implemento",SUMIF(Implementos!B:B,F464,Implementos!A:A),SUMIF(Productos!E:E,F464,Productos!A:A)))</f>
        <v/>
      </c>
      <c r="F464" s="2" t="str">
        <f t="shared" si="2"/>
        <v/>
      </c>
      <c r="G464" s="10" t="str">
        <f t="array" ref="G464">IF(OR(F464="",F464="-",F464="Selecciona..",F464="Finalizar"),"",IF(A464="Rodados",XLOOKUP(B464,'Validaciones Cotizador'!I:I,'Validaciones Cotizador'!J:J,0,0,1),1))</f>
        <v/>
      </c>
      <c r="H464" s="11" t="str">
        <f>IF(OR(F464="",F464="Selecciona.."),"",SUMIF(Precio_Productos!K:K,E464,Precio_Productos!J:J)*G464)</f>
        <v/>
      </c>
      <c r="I464" s="4" t="str">
        <f t="array" ref="I464">IF($E464="","", XLOOKUP(SUMIFS(Prod_Prop!$A:$A,Prod_Prop!$B:$B,$E464,Prod_Prop!$H:$H,I$1,Prod_Prop!$I:$I,"Exacto"),Prod_Prop!$A:$A,Prod_Prop!$J:$J,"",0,1))</f>
        <v/>
      </c>
      <c r="J464" s="4" t="str">
        <f t="array" ref="J464">IF($E464="","", XLOOKUP(SUMIFS(Prod_Prop!$A:$A,Prod_Prop!$B:$B,$E464,Prod_Prop!$H:$H,J$1,Prod_Prop!$I:$I,"Exacto"),Prod_Prop!$A:$A,Prod_Prop!$J:$J,"",0,1))</f>
        <v/>
      </c>
      <c r="K464" s="4" t="str">
        <f t="array" ref="K464">IF($E464="","", XLOOKUP(SUMIFS(Prod_Prop!$A:$A,Prod_Prop!$B:$B,$E464,Prod_Prop!$H:$H,K$1,Prod_Prop!$I:$I,"Exacto"),Prod_Prop!$A:$A,Prod_Prop!$J:$J,"",0,1))</f>
        <v/>
      </c>
      <c r="L464" s="4" t="str">
        <f t="array" ref="L464">IF($E464="","", XLOOKUP(SUMIFS(Prod_Prop!$A:$A,Prod_Prop!$B:$B,$E464,Prod_Prop!$H:$H,L$1,Prod_Prop!$I:$I,"Exacto"),Prod_Prop!$A:$A,Prod_Prop!$J:$J,"",0,1))</f>
        <v/>
      </c>
      <c r="M464" s="4" t="str">
        <f t="array" ref="M464">IF($E464="","", XLOOKUP(SUMIFS(Prod_Prop!$A:$A,Prod_Prop!$B:$B,$E464,Prod_Prop!$H:$H,M$1,Prod_Prop!$I:$I,"Exacto"),Prod_Prop!$A:$A,Prod_Prop!$J:$J,"",0,1))</f>
        <v/>
      </c>
      <c r="N464" s="4" t="str">
        <f t="array" ref="N464">IF($E464="","", XLOOKUP(SUMIFS(Prod_Prop!$A:$A,Prod_Prop!$B:$B,$E464,Prod_Prop!$H:$H,N$1,Prod_Prop!$I:$I,"Exacto"),Prod_Prop!$A:$A,Prod_Prop!$J:$J,"",0,1))</f>
        <v/>
      </c>
      <c r="O464" s="4" t="str">
        <f t="array" ref="O464">IF($E464="","", XLOOKUP(SUMIFS(Prod_Prop!$A:$A,Prod_Prop!$B:$B,$E464,Prod_Prop!$H:$H,O$1,Prod_Prop!$I:$I,"Exacto"),Prod_Prop!$A:$A,Prod_Prop!$J:$J,"",0,1))</f>
        <v/>
      </c>
      <c r="P464" s="4" t="str">
        <f t="array" ref="P464">IF($E464="","", XLOOKUP(SUMIFS(Prod_Prop!$A:$A,Prod_Prop!$B:$B,$E464,Prod_Prop!$H:$H,P$1,Prod_Prop!$I:$I,"Exacto"),Prod_Prop!$A:$A,Prod_Prop!$J:$J,"",0,1))</f>
        <v/>
      </c>
      <c r="Q464" s="4" t="str">
        <f t="array" ref="Q464">IF($E464="","", XLOOKUP(SUMIFS(Prod_Prop!$A:$A,Prod_Prop!$B:$B,$E464,Prod_Prop!$H:$H,Q$1,Prod_Prop!$I:$I,"Exacto"),Prod_Prop!$A:$A,Prod_Prop!$J:$J,"",0,1))</f>
        <v/>
      </c>
      <c r="R464" s="4" t="str">
        <f t="array" ref="R464">IF($E464="","", XLOOKUP(SUMIFS(Prod_Prop!$A:$A,Prod_Prop!$B:$B,$E464,Prod_Prop!$H:$H,R$1,Prod_Prop!$I:$I,"Exacto"),Prod_Prop!$A:$A,Prod_Prop!$J:$J,"",0,1))</f>
        <v/>
      </c>
      <c r="S464" s="4" t="str">
        <f t="array" ref="S464">IF($E464="","", XLOOKUP(SUMIFS(Prod_Prop!$A:$A,Prod_Prop!$B:$B,$E464,Prod_Prop!$H:$H,S$1,Prod_Prop!$I:$I,"Exacto"),Prod_Prop!$A:$A,Prod_Prop!$J:$J,"",0,1))</f>
        <v/>
      </c>
      <c r="T464" s="4" t="str">
        <f t="array" ref="T464">IF($E464="","", XLOOKUP(SUMIFS(Prod_Prop!$A:$A,Prod_Prop!$B:$B,$E464,Prod_Prop!$H:$H,T$1,Prod_Prop!$I:$I,"Exacto"),Prod_Prop!$A:$A,Prod_Prop!$J:$J,"",0,1))</f>
        <v/>
      </c>
      <c r="U464" s="4" t="str">
        <f t="array" ref="U464">IF($E464="","", XLOOKUP(SUMIFS(Prod_Prop!$A:$A,Prod_Prop!$B:$B,$E464,Prod_Prop!$H:$H,U$1,Prod_Prop!$I:$I,"Exacto"),Prod_Prop!$A:$A,Prod_Prop!$J:$J,"",0,1))</f>
        <v/>
      </c>
      <c r="V464" s="4" t="str">
        <f t="array" ref="V464">IF($E464="","", XLOOKUP(SUMIFS(Prod_Prop!$A:$A,Prod_Prop!$B:$B,$E464,Prod_Prop!$H:$H,V$1,Prod_Prop!$I:$I,"Exacto"),Prod_Prop!$A:$A,Prod_Prop!$J:$J,"",0,1))</f>
        <v/>
      </c>
      <c r="X464" s="3" t="str">
        <f>IFERROR(__xludf.DUMMYFUNCTION("IF(D464="""","""",IFERROR(TRANSPOSE(FILTER('Validaciones Cotizador'!U:U,'Validaciones Cotizador'!O:O=D464,'Validaciones Cotizador'!T:T=""x"")),""Finalizar""))"),"")</f>
        <v/>
      </c>
    </row>
    <row r="465">
      <c r="A465" s="2" t="str">
        <f t="array" ref="A465">IF(E465="","",XLOOKUP(D465,'Validaciones Cotizador'!C:C,'Validaciones Cotizador'!A:A,"",0,1))</f>
        <v/>
      </c>
      <c r="B465" s="2" t="str">
        <f t="array" ref="B465">IF(F465="","",XLOOKUP(F465,Productos!E:E,Productos!G:G,"",0,1))</f>
        <v/>
      </c>
      <c r="C465" s="2" t="str">
        <f>IF(A465="","",SUMIFS('Validaciones Cotizador'!B:B,'Validaciones Cotizador'!C:C,D465,'Validaciones Cotizador'!A:A,A465))</f>
        <v/>
      </c>
      <c r="D465" s="4" t="str">
        <f>IFERROR(__xludf.DUMMYFUNCTION("IF(OR(F464=""Finalizar"",F464="""",F464=""Selecciona..""),"""",IF(OR(F464=""-"",INDEX(filter(Familias!F:F,Familias!D:D=A464,Familias!E:E=C464),1)=""O""),D464+1,D464))"),"")</f>
        <v/>
      </c>
      <c r="E465" s="2" t="str">
        <f>IF(OR(F465="",F465="Selecciona.."),"",IF(D465="Implemento",SUMIF(Implementos!B:B,F465,Implementos!A:A),SUMIF(Productos!E:E,F465,Productos!A:A)))</f>
        <v/>
      </c>
      <c r="F465" s="2" t="str">
        <f t="shared" si="2"/>
        <v/>
      </c>
      <c r="G465" s="10" t="str">
        <f t="array" ref="G465">IF(OR(F465="",F465="-",F465="Selecciona..",F465="Finalizar"),"",IF(A465="Rodados",XLOOKUP(B465,'Validaciones Cotizador'!I:I,'Validaciones Cotizador'!J:J,0,0,1),1))</f>
        <v/>
      </c>
      <c r="H465" s="11" t="str">
        <f>IF(OR(F465="",F465="Selecciona.."),"",SUMIF(Precio_Productos!K:K,E465,Precio_Productos!J:J)*G465)</f>
        <v/>
      </c>
      <c r="I465" s="4" t="str">
        <f t="array" ref="I465">IF($E465="","", XLOOKUP(SUMIFS(Prod_Prop!$A:$A,Prod_Prop!$B:$B,$E465,Prod_Prop!$H:$H,I$1,Prod_Prop!$I:$I,"Exacto"),Prod_Prop!$A:$A,Prod_Prop!$J:$J,"",0,1))</f>
        <v/>
      </c>
      <c r="J465" s="4" t="str">
        <f t="array" ref="J465">IF($E465="","", XLOOKUP(SUMIFS(Prod_Prop!$A:$A,Prod_Prop!$B:$B,$E465,Prod_Prop!$H:$H,J$1,Prod_Prop!$I:$I,"Exacto"),Prod_Prop!$A:$A,Prod_Prop!$J:$J,"",0,1))</f>
        <v/>
      </c>
      <c r="K465" s="4" t="str">
        <f t="array" ref="K465">IF($E465="","", XLOOKUP(SUMIFS(Prod_Prop!$A:$A,Prod_Prop!$B:$B,$E465,Prod_Prop!$H:$H,K$1,Prod_Prop!$I:$I,"Exacto"),Prod_Prop!$A:$A,Prod_Prop!$J:$J,"",0,1))</f>
        <v/>
      </c>
      <c r="L465" s="4" t="str">
        <f t="array" ref="L465">IF($E465="","", XLOOKUP(SUMIFS(Prod_Prop!$A:$A,Prod_Prop!$B:$B,$E465,Prod_Prop!$H:$H,L$1,Prod_Prop!$I:$I,"Exacto"),Prod_Prop!$A:$A,Prod_Prop!$J:$J,"",0,1))</f>
        <v/>
      </c>
      <c r="M465" s="4" t="str">
        <f t="array" ref="M465">IF($E465="","", XLOOKUP(SUMIFS(Prod_Prop!$A:$A,Prod_Prop!$B:$B,$E465,Prod_Prop!$H:$H,M$1,Prod_Prop!$I:$I,"Exacto"),Prod_Prop!$A:$A,Prod_Prop!$J:$J,"",0,1))</f>
        <v/>
      </c>
      <c r="N465" s="4" t="str">
        <f t="array" ref="N465">IF($E465="","", XLOOKUP(SUMIFS(Prod_Prop!$A:$A,Prod_Prop!$B:$B,$E465,Prod_Prop!$H:$H,N$1,Prod_Prop!$I:$I,"Exacto"),Prod_Prop!$A:$A,Prod_Prop!$J:$J,"",0,1))</f>
        <v/>
      </c>
      <c r="O465" s="4" t="str">
        <f t="array" ref="O465">IF($E465="","", XLOOKUP(SUMIFS(Prod_Prop!$A:$A,Prod_Prop!$B:$B,$E465,Prod_Prop!$H:$H,O$1,Prod_Prop!$I:$I,"Exacto"),Prod_Prop!$A:$A,Prod_Prop!$J:$J,"",0,1))</f>
        <v/>
      </c>
      <c r="P465" s="4" t="str">
        <f t="array" ref="P465">IF($E465="","", XLOOKUP(SUMIFS(Prod_Prop!$A:$A,Prod_Prop!$B:$B,$E465,Prod_Prop!$H:$H,P$1,Prod_Prop!$I:$I,"Exacto"),Prod_Prop!$A:$A,Prod_Prop!$J:$J,"",0,1))</f>
        <v/>
      </c>
      <c r="Q465" s="4" t="str">
        <f t="array" ref="Q465">IF($E465="","", XLOOKUP(SUMIFS(Prod_Prop!$A:$A,Prod_Prop!$B:$B,$E465,Prod_Prop!$H:$H,Q$1,Prod_Prop!$I:$I,"Exacto"),Prod_Prop!$A:$A,Prod_Prop!$J:$J,"",0,1))</f>
        <v/>
      </c>
      <c r="R465" s="4" t="str">
        <f t="array" ref="R465">IF($E465="","", XLOOKUP(SUMIFS(Prod_Prop!$A:$A,Prod_Prop!$B:$B,$E465,Prod_Prop!$H:$H,R$1,Prod_Prop!$I:$I,"Exacto"),Prod_Prop!$A:$A,Prod_Prop!$J:$J,"",0,1))</f>
        <v/>
      </c>
      <c r="S465" s="4" t="str">
        <f t="array" ref="S465">IF($E465="","", XLOOKUP(SUMIFS(Prod_Prop!$A:$A,Prod_Prop!$B:$B,$E465,Prod_Prop!$H:$H,S$1,Prod_Prop!$I:$I,"Exacto"),Prod_Prop!$A:$A,Prod_Prop!$J:$J,"",0,1))</f>
        <v/>
      </c>
      <c r="T465" s="4" t="str">
        <f t="array" ref="T465">IF($E465="","", XLOOKUP(SUMIFS(Prod_Prop!$A:$A,Prod_Prop!$B:$B,$E465,Prod_Prop!$H:$H,T$1,Prod_Prop!$I:$I,"Exacto"),Prod_Prop!$A:$A,Prod_Prop!$J:$J,"",0,1))</f>
        <v/>
      </c>
      <c r="U465" s="4" t="str">
        <f t="array" ref="U465">IF($E465="","", XLOOKUP(SUMIFS(Prod_Prop!$A:$A,Prod_Prop!$B:$B,$E465,Prod_Prop!$H:$H,U$1,Prod_Prop!$I:$I,"Exacto"),Prod_Prop!$A:$A,Prod_Prop!$J:$J,"",0,1))</f>
        <v/>
      </c>
      <c r="V465" s="4" t="str">
        <f t="array" ref="V465">IF($E465="","", XLOOKUP(SUMIFS(Prod_Prop!$A:$A,Prod_Prop!$B:$B,$E465,Prod_Prop!$H:$H,V$1,Prod_Prop!$I:$I,"Exacto"),Prod_Prop!$A:$A,Prod_Prop!$J:$J,"",0,1))</f>
        <v/>
      </c>
      <c r="X465" s="3" t="str">
        <f>IFERROR(__xludf.DUMMYFUNCTION("IF(D465="""","""",IFERROR(TRANSPOSE(FILTER('Validaciones Cotizador'!U:U,'Validaciones Cotizador'!O:O=D465,'Validaciones Cotizador'!T:T=""x"")),""Finalizar""))"),"")</f>
        <v/>
      </c>
    </row>
    <row r="466">
      <c r="A466" s="2" t="str">
        <f t="array" ref="A466">IF(E466="","",XLOOKUP(D466,'Validaciones Cotizador'!C:C,'Validaciones Cotizador'!A:A,"",0,1))</f>
        <v/>
      </c>
      <c r="B466" s="2" t="str">
        <f t="array" ref="B466">IF(F466="","",XLOOKUP(F466,Productos!E:E,Productos!G:G,"",0,1))</f>
        <v/>
      </c>
      <c r="C466" s="2" t="str">
        <f>IF(A466="","",SUMIFS('Validaciones Cotizador'!B:B,'Validaciones Cotizador'!C:C,D466,'Validaciones Cotizador'!A:A,A466))</f>
        <v/>
      </c>
      <c r="D466" s="4" t="str">
        <f>IFERROR(__xludf.DUMMYFUNCTION("IF(OR(F465=""Finalizar"",F465="""",F465=""Selecciona..""),"""",IF(OR(F465=""-"",INDEX(filter(Familias!F:F,Familias!D:D=A465,Familias!E:E=C465),1)=""O""),D465+1,D465))"),"")</f>
        <v/>
      </c>
      <c r="E466" s="2" t="str">
        <f>IF(OR(F466="",F466="Selecciona.."),"",IF(D466="Implemento",SUMIF(Implementos!B:B,F466,Implementos!A:A),SUMIF(Productos!E:E,F466,Productos!A:A)))</f>
        <v/>
      </c>
      <c r="F466" s="2" t="str">
        <f t="shared" si="2"/>
        <v/>
      </c>
      <c r="G466" s="10" t="str">
        <f t="array" ref="G466">IF(OR(F466="",F466="-",F466="Selecciona..",F466="Finalizar"),"",IF(A466="Rodados",XLOOKUP(B466,'Validaciones Cotizador'!I:I,'Validaciones Cotizador'!J:J,0,0,1),1))</f>
        <v/>
      </c>
      <c r="H466" s="11" t="str">
        <f>IF(OR(F466="",F466="Selecciona.."),"",SUMIF(Precio_Productos!K:K,E466,Precio_Productos!J:J)*G466)</f>
        <v/>
      </c>
      <c r="I466" s="4" t="str">
        <f t="array" ref="I466">IF($E466="","", XLOOKUP(SUMIFS(Prod_Prop!$A:$A,Prod_Prop!$B:$B,$E466,Prod_Prop!$H:$H,I$1,Prod_Prop!$I:$I,"Exacto"),Prod_Prop!$A:$A,Prod_Prop!$J:$J,"",0,1))</f>
        <v/>
      </c>
      <c r="J466" s="4" t="str">
        <f t="array" ref="J466">IF($E466="","", XLOOKUP(SUMIFS(Prod_Prop!$A:$A,Prod_Prop!$B:$B,$E466,Prod_Prop!$H:$H,J$1,Prod_Prop!$I:$I,"Exacto"),Prod_Prop!$A:$A,Prod_Prop!$J:$J,"",0,1))</f>
        <v/>
      </c>
      <c r="K466" s="4" t="str">
        <f t="array" ref="K466">IF($E466="","", XLOOKUP(SUMIFS(Prod_Prop!$A:$A,Prod_Prop!$B:$B,$E466,Prod_Prop!$H:$H,K$1,Prod_Prop!$I:$I,"Exacto"),Prod_Prop!$A:$A,Prod_Prop!$J:$J,"",0,1))</f>
        <v/>
      </c>
      <c r="L466" s="4" t="str">
        <f t="array" ref="L466">IF($E466="","", XLOOKUP(SUMIFS(Prod_Prop!$A:$A,Prod_Prop!$B:$B,$E466,Prod_Prop!$H:$H,L$1,Prod_Prop!$I:$I,"Exacto"),Prod_Prop!$A:$A,Prod_Prop!$J:$J,"",0,1))</f>
        <v/>
      </c>
      <c r="M466" s="4" t="str">
        <f t="array" ref="M466">IF($E466="","", XLOOKUP(SUMIFS(Prod_Prop!$A:$A,Prod_Prop!$B:$B,$E466,Prod_Prop!$H:$H,M$1,Prod_Prop!$I:$I,"Exacto"),Prod_Prop!$A:$A,Prod_Prop!$J:$J,"",0,1))</f>
        <v/>
      </c>
      <c r="N466" s="4" t="str">
        <f t="array" ref="N466">IF($E466="","", XLOOKUP(SUMIFS(Prod_Prop!$A:$A,Prod_Prop!$B:$B,$E466,Prod_Prop!$H:$H,N$1,Prod_Prop!$I:$I,"Exacto"),Prod_Prop!$A:$A,Prod_Prop!$J:$J,"",0,1))</f>
        <v/>
      </c>
      <c r="O466" s="4" t="str">
        <f t="array" ref="O466">IF($E466="","", XLOOKUP(SUMIFS(Prod_Prop!$A:$A,Prod_Prop!$B:$B,$E466,Prod_Prop!$H:$H,O$1,Prod_Prop!$I:$I,"Exacto"),Prod_Prop!$A:$A,Prod_Prop!$J:$J,"",0,1))</f>
        <v/>
      </c>
      <c r="P466" s="4" t="str">
        <f t="array" ref="P466">IF($E466="","", XLOOKUP(SUMIFS(Prod_Prop!$A:$A,Prod_Prop!$B:$B,$E466,Prod_Prop!$H:$H,P$1,Prod_Prop!$I:$I,"Exacto"),Prod_Prop!$A:$A,Prod_Prop!$J:$J,"",0,1))</f>
        <v/>
      </c>
      <c r="Q466" s="4" t="str">
        <f t="array" ref="Q466">IF($E466="","", XLOOKUP(SUMIFS(Prod_Prop!$A:$A,Prod_Prop!$B:$B,$E466,Prod_Prop!$H:$H,Q$1,Prod_Prop!$I:$I,"Exacto"),Prod_Prop!$A:$A,Prod_Prop!$J:$J,"",0,1))</f>
        <v/>
      </c>
      <c r="R466" s="4" t="str">
        <f t="array" ref="R466">IF($E466="","", XLOOKUP(SUMIFS(Prod_Prop!$A:$A,Prod_Prop!$B:$B,$E466,Prod_Prop!$H:$H,R$1,Prod_Prop!$I:$I,"Exacto"),Prod_Prop!$A:$A,Prod_Prop!$J:$J,"",0,1))</f>
        <v/>
      </c>
      <c r="S466" s="4" t="str">
        <f t="array" ref="S466">IF($E466="","", XLOOKUP(SUMIFS(Prod_Prop!$A:$A,Prod_Prop!$B:$B,$E466,Prod_Prop!$H:$H,S$1,Prod_Prop!$I:$I,"Exacto"),Prod_Prop!$A:$A,Prod_Prop!$J:$J,"",0,1))</f>
        <v/>
      </c>
      <c r="T466" s="4" t="str">
        <f t="array" ref="T466">IF($E466="","", XLOOKUP(SUMIFS(Prod_Prop!$A:$A,Prod_Prop!$B:$B,$E466,Prod_Prop!$H:$H,T$1,Prod_Prop!$I:$I,"Exacto"),Prod_Prop!$A:$A,Prod_Prop!$J:$J,"",0,1))</f>
        <v/>
      </c>
      <c r="U466" s="4" t="str">
        <f t="array" ref="U466">IF($E466="","", XLOOKUP(SUMIFS(Prod_Prop!$A:$A,Prod_Prop!$B:$B,$E466,Prod_Prop!$H:$H,U$1,Prod_Prop!$I:$I,"Exacto"),Prod_Prop!$A:$A,Prod_Prop!$J:$J,"",0,1))</f>
        <v/>
      </c>
      <c r="V466" s="4" t="str">
        <f t="array" ref="V466">IF($E466="","", XLOOKUP(SUMIFS(Prod_Prop!$A:$A,Prod_Prop!$B:$B,$E466,Prod_Prop!$H:$H,V$1,Prod_Prop!$I:$I,"Exacto"),Prod_Prop!$A:$A,Prod_Prop!$J:$J,"",0,1))</f>
        <v/>
      </c>
      <c r="X466" s="3" t="str">
        <f>IFERROR(__xludf.DUMMYFUNCTION("IF(D466="""","""",IFERROR(TRANSPOSE(FILTER('Validaciones Cotizador'!U:U,'Validaciones Cotizador'!O:O=D466,'Validaciones Cotizador'!T:T=""x"")),""Finalizar""))"),"")</f>
        <v/>
      </c>
    </row>
    <row r="467">
      <c r="A467" s="2" t="str">
        <f t="array" ref="A467">IF(E467="","",XLOOKUP(D467,'Validaciones Cotizador'!C:C,'Validaciones Cotizador'!A:A,"",0,1))</f>
        <v/>
      </c>
      <c r="B467" s="2" t="str">
        <f t="array" ref="B467">IF(F467="","",XLOOKUP(F467,Productos!E:E,Productos!G:G,"",0,1))</f>
        <v/>
      </c>
      <c r="C467" s="2" t="str">
        <f>IF(A467="","",SUMIFS('Validaciones Cotizador'!B:B,'Validaciones Cotizador'!C:C,D467,'Validaciones Cotizador'!A:A,A467))</f>
        <v/>
      </c>
      <c r="D467" s="4" t="str">
        <f>IFERROR(__xludf.DUMMYFUNCTION("IF(OR(F466=""Finalizar"",F466="""",F466=""Selecciona..""),"""",IF(OR(F466=""-"",INDEX(filter(Familias!F:F,Familias!D:D=A466,Familias!E:E=C466),1)=""O""),D466+1,D466))"),"")</f>
        <v/>
      </c>
      <c r="E467" s="2" t="str">
        <f>IF(OR(F467="",F467="Selecciona.."),"",IF(D467="Implemento",SUMIF(Implementos!B:B,F467,Implementos!A:A),SUMIF(Productos!E:E,F467,Productos!A:A)))</f>
        <v/>
      </c>
      <c r="F467" s="2" t="str">
        <f t="shared" si="2"/>
        <v/>
      </c>
      <c r="G467" s="10" t="str">
        <f t="array" ref="G467">IF(OR(F467="",F467="-",F467="Selecciona..",F467="Finalizar"),"",IF(A467="Rodados",XLOOKUP(B467,'Validaciones Cotizador'!I:I,'Validaciones Cotizador'!J:J,0,0,1),1))</f>
        <v/>
      </c>
      <c r="H467" s="11" t="str">
        <f>IF(OR(F467="",F467="Selecciona.."),"",SUMIF(Precio_Productos!K:K,E467,Precio_Productos!J:J)*G467)</f>
        <v/>
      </c>
      <c r="I467" s="4" t="str">
        <f t="array" ref="I467">IF($E467="","", XLOOKUP(SUMIFS(Prod_Prop!$A:$A,Prod_Prop!$B:$B,$E467,Prod_Prop!$H:$H,I$1,Prod_Prop!$I:$I,"Exacto"),Prod_Prop!$A:$A,Prod_Prop!$J:$J,"",0,1))</f>
        <v/>
      </c>
      <c r="J467" s="4" t="str">
        <f t="array" ref="J467">IF($E467="","", XLOOKUP(SUMIFS(Prod_Prop!$A:$A,Prod_Prop!$B:$B,$E467,Prod_Prop!$H:$H,J$1,Prod_Prop!$I:$I,"Exacto"),Prod_Prop!$A:$A,Prod_Prop!$J:$J,"",0,1))</f>
        <v/>
      </c>
      <c r="K467" s="4" t="str">
        <f t="array" ref="K467">IF($E467="","", XLOOKUP(SUMIFS(Prod_Prop!$A:$A,Prod_Prop!$B:$B,$E467,Prod_Prop!$H:$H,K$1,Prod_Prop!$I:$I,"Exacto"),Prod_Prop!$A:$A,Prod_Prop!$J:$J,"",0,1))</f>
        <v/>
      </c>
      <c r="L467" s="4" t="str">
        <f t="array" ref="L467">IF($E467="","", XLOOKUP(SUMIFS(Prod_Prop!$A:$A,Prod_Prop!$B:$B,$E467,Prod_Prop!$H:$H,L$1,Prod_Prop!$I:$I,"Exacto"),Prod_Prop!$A:$A,Prod_Prop!$J:$J,"",0,1))</f>
        <v/>
      </c>
      <c r="M467" s="4" t="str">
        <f t="array" ref="M467">IF($E467="","", XLOOKUP(SUMIFS(Prod_Prop!$A:$A,Prod_Prop!$B:$B,$E467,Prod_Prop!$H:$H,M$1,Prod_Prop!$I:$I,"Exacto"),Prod_Prop!$A:$A,Prod_Prop!$J:$J,"",0,1))</f>
        <v/>
      </c>
      <c r="N467" s="4" t="str">
        <f t="array" ref="N467">IF($E467="","", XLOOKUP(SUMIFS(Prod_Prop!$A:$A,Prod_Prop!$B:$B,$E467,Prod_Prop!$H:$H,N$1,Prod_Prop!$I:$I,"Exacto"),Prod_Prop!$A:$A,Prod_Prop!$J:$J,"",0,1))</f>
        <v/>
      </c>
      <c r="O467" s="4" t="str">
        <f t="array" ref="O467">IF($E467="","", XLOOKUP(SUMIFS(Prod_Prop!$A:$A,Prod_Prop!$B:$B,$E467,Prod_Prop!$H:$H,O$1,Prod_Prop!$I:$I,"Exacto"),Prod_Prop!$A:$A,Prod_Prop!$J:$J,"",0,1))</f>
        <v/>
      </c>
      <c r="P467" s="4" t="str">
        <f t="array" ref="P467">IF($E467="","", XLOOKUP(SUMIFS(Prod_Prop!$A:$A,Prod_Prop!$B:$B,$E467,Prod_Prop!$H:$H,P$1,Prod_Prop!$I:$I,"Exacto"),Prod_Prop!$A:$A,Prod_Prop!$J:$J,"",0,1))</f>
        <v/>
      </c>
      <c r="Q467" s="4" t="str">
        <f t="array" ref="Q467">IF($E467="","", XLOOKUP(SUMIFS(Prod_Prop!$A:$A,Prod_Prop!$B:$B,$E467,Prod_Prop!$H:$H,Q$1,Prod_Prop!$I:$I,"Exacto"),Prod_Prop!$A:$A,Prod_Prop!$J:$J,"",0,1))</f>
        <v/>
      </c>
      <c r="R467" s="4" t="str">
        <f t="array" ref="R467">IF($E467="","", XLOOKUP(SUMIFS(Prod_Prop!$A:$A,Prod_Prop!$B:$B,$E467,Prod_Prop!$H:$H,R$1,Prod_Prop!$I:$I,"Exacto"),Prod_Prop!$A:$A,Prod_Prop!$J:$J,"",0,1))</f>
        <v/>
      </c>
      <c r="S467" s="4" t="str">
        <f t="array" ref="S467">IF($E467="","", XLOOKUP(SUMIFS(Prod_Prop!$A:$A,Prod_Prop!$B:$B,$E467,Prod_Prop!$H:$H,S$1,Prod_Prop!$I:$I,"Exacto"),Prod_Prop!$A:$A,Prod_Prop!$J:$J,"",0,1))</f>
        <v/>
      </c>
      <c r="T467" s="4" t="str">
        <f t="array" ref="T467">IF($E467="","", XLOOKUP(SUMIFS(Prod_Prop!$A:$A,Prod_Prop!$B:$B,$E467,Prod_Prop!$H:$H,T$1,Prod_Prop!$I:$I,"Exacto"),Prod_Prop!$A:$A,Prod_Prop!$J:$J,"",0,1))</f>
        <v/>
      </c>
      <c r="U467" s="4" t="str">
        <f t="array" ref="U467">IF($E467="","", XLOOKUP(SUMIFS(Prod_Prop!$A:$A,Prod_Prop!$B:$B,$E467,Prod_Prop!$H:$H,U$1,Prod_Prop!$I:$I,"Exacto"),Prod_Prop!$A:$A,Prod_Prop!$J:$J,"",0,1))</f>
        <v/>
      </c>
      <c r="V467" s="4" t="str">
        <f t="array" ref="V467">IF($E467="","", XLOOKUP(SUMIFS(Prod_Prop!$A:$A,Prod_Prop!$B:$B,$E467,Prod_Prop!$H:$H,V$1,Prod_Prop!$I:$I,"Exacto"),Prod_Prop!$A:$A,Prod_Prop!$J:$J,"",0,1))</f>
        <v/>
      </c>
      <c r="X467" s="3" t="str">
        <f>IFERROR(__xludf.DUMMYFUNCTION("IF(D467="""","""",IFERROR(TRANSPOSE(FILTER('Validaciones Cotizador'!U:U,'Validaciones Cotizador'!O:O=D467,'Validaciones Cotizador'!T:T=""x"")),""Finalizar""))"),"")</f>
        <v/>
      </c>
    </row>
    <row r="468">
      <c r="A468" s="2" t="str">
        <f t="array" ref="A468">IF(E468="","",XLOOKUP(D468,'Validaciones Cotizador'!C:C,'Validaciones Cotizador'!A:A,"",0,1))</f>
        <v/>
      </c>
      <c r="B468" s="2" t="str">
        <f t="array" ref="B468">IF(F468="","",XLOOKUP(F468,Productos!E:E,Productos!G:G,"",0,1))</f>
        <v/>
      </c>
      <c r="C468" s="2" t="str">
        <f>IF(A468="","",SUMIFS('Validaciones Cotizador'!B:B,'Validaciones Cotizador'!C:C,D468,'Validaciones Cotizador'!A:A,A468))</f>
        <v/>
      </c>
      <c r="D468" s="4" t="str">
        <f>IFERROR(__xludf.DUMMYFUNCTION("IF(OR(F467=""Finalizar"",F467="""",F467=""Selecciona..""),"""",IF(OR(F467=""-"",INDEX(filter(Familias!F:F,Familias!D:D=A467,Familias!E:E=C467),1)=""O""),D467+1,D467))"),"")</f>
        <v/>
      </c>
      <c r="E468" s="2" t="str">
        <f>IF(OR(F468="",F468="Selecciona.."),"",IF(D468="Implemento",SUMIF(Implementos!B:B,F468,Implementos!A:A),SUMIF(Productos!E:E,F468,Productos!A:A)))</f>
        <v/>
      </c>
      <c r="F468" s="2" t="str">
        <f t="shared" si="2"/>
        <v/>
      </c>
      <c r="G468" s="10" t="str">
        <f t="array" ref="G468">IF(OR(F468="",F468="-",F468="Selecciona..",F468="Finalizar"),"",IF(A468="Rodados",XLOOKUP(B468,'Validaciones Cotizador'!I:I,'Validaciones Cotizador'!J:J,0,0,1),1))</f>
        <v/>
      </c>
      <c r="H468" s="11" t="str">
        <f>IF(OR(F468="",F468="Selecciona.."),"",SUMIF(Precio_Productos!K:K,E468,Precio_Productos!J:J)*G468)</f>
        <v/>
      </c>
      <c r="I468" s="4" t="str">
        <f t="array" ref="I468">IF($E468="","", XLOOKUP(SUMIFS(Prod_Prop!$A:$A,Prod_Prop!$B:$B,$E468,Prod_Prop!$H:$H,I$1,Prod_Prop!$I:$I,"Exacto"),Prod_Prop!$A:$A,Prod_Prop!$J:$J,"",0,1))</f>
        <v/>
      </c>
      <c r="J468" s="4" t="str">
        <f t="array" ref="J468">IF($E468="","", XLOOKUP(SUMIFS(Prod_Prop!$A:$A,Prod_Prop!$B:$B,$E468,Prod_Prop!$H:$H,J$1,Prod_Prop!$I:$I,"Exacto"),Prod_Prop!$A:$A,Prod_Prop!$J:$J,"",0,1))</f>
        <v/>
      </c>
      <c r="K468" s="4" t="str">
        <f t="array" ref="K468">IF($E468="","", XLOOKUP(SUMIFS(Prod_Prop!$A:$A,Prod_Prop!$B:$B,$E468,Prod_Prop!$H:$H,K$1,Prod_Prop!$I:$I,"Exacto"),Prod_Prop!$A:$A,Prod_Prop!$J:$J,"",0,1))</f>
        <v/>
      </c>
      <c r="L468" s="4" t="str">
        <f t="array" ref="L468">IF($E468="","", XLOOKUP(SUMIFS(Prod_Prop!$A:$A,Prod_Prop!$B:$B,$E468,Prod_Prop!$H:$H,L$1,Prod_Prop!$I:$I,"Exacto"),Prod_Prop!$A:$A,Prod_Prop!$J:$J,"",0,1))</f>
        <v/>
      </c>
      <c r="M468" s="4" t="str">
        <f t="array" ref="M468">IF($E468="","", XLOOKUP(SUMIFS(Prod_Prop!$A:$A,Prod_Prop!$B:$B,$E468,Prod_Prop!$H:$H,M$1,Prod_Prop!$I:$I,"Exacto"),Prod_Prop!$A:$A,Prod_Prop!$J:$J,"",0,1))</f>
        <v/>
      </c>
      <c r="N468" s="4" t="str">
        <f t="array" ref="N468">IF($E468="","", XLOOKUP(SUMIFS(Prod_Prop!$A:$A,Prod_Prop!$B:$B,$E468,Prod_Prop!$H:$H,N$1,Prod_Prop!$I:$I,"Exacto"),Prod_Prop!$A:$A,Prod_Prop!$J:$J,"",0,1))</f>
        <v/>
      </c>
      <c r="O468" s="4" t="str">
        <f t="array" ref="O468">IF($E468="","", XLOOKUP(SUMIFS(Prod_Prop!$A:$A,Prod_Prop!$B:$B,$E468,Prod_Prop!$H:$H,O$1,Prod_Prop!$I:$I,"Exacto"),Prod_Prop!$A:$A,Prod_Prop!$J:$J,"",0,1))</f>
        <v/>
      </c>
      <c r="P468" s="4" t="str">
        <f t="array" ref="P468">IF($E468="","", XLOOKUP(SUMIFS(Prod_Prop!$A:$A,Prod_Prop!$B:$B,$E468,Prod_Prop!$H:$H,P$1,Prod_Prop!$I:$I,"Exacto"),Prod_Prop!$A:$A,Prod_Prop!$J:$J,"",0,1))</f>
        <v/>
      </c>
      <c r="Q468" s="4" t="str">
        <f t="array" ref="Q468">IF($E468="","", XLOOKUP(SUMIFS(Prod_Prop!$A:$A,Prod_Prop!$B:$B,$E468,Prod_Prop!$H:$H,Q$1,Prod_Prop!$I:$I,"Exacto"),Prod_Prop!$A:$A,Prod_Prop!$J:$J,"",0,1))</f>
        <v/>
      </c>
      <c r="R468" s="4" t="str">
        <f t="array" ref="R468">IF($E468="","", XLOOKUP(SUMIFS(Prod_Prop!$A:$A,Prod_Prop!$B:$B,$E468,Prod_Prop!$H:$H,R$1,Prod_Prop!$I:$I,"Exacto"),Prod_Prop!$A:$A,Prod_Prop!$J:$J,"",0,1))</f>
        <v/>
      </c>
      <c r="S468" s="4" t="str">
        <f t="array" ref="S468">IF($E468="","", XLOOKUP(SUMIFS(Prod_Prop!$A:$A,Prod_Prop!$B:$B,$E468,Prod_Prop!$H:$H,S$1,Prod_Prop!$I:$I,"Exacto"),Prod_Prop!$A:$A,Prod_Prop!$J:$J,"",0,1))</f>
        <v/>
      </c>
      <c r="T468" s="4" t="str">
        <f t="array" ref="T468">IF($E468="","", XLOOKUP(SUMIFS(Prod_Prop!$A:$A,Prod_Prop!$B:$B,$E468,Prod_Prop!$H:$H,T$1,Prod_Prop!$I:$I,"Exacto"),Prod_Prop!$A:$A,Prod_Prop!$J:$J,"",0,1))</f>
        <v/>
      </c>
      <c r="U468" s="4" t="str">
        <f t="array" ref="U468">IF($E468="","", XLOOKUP(SUMIFS(Prod_Prop!$A:$A,Prod_Prop!$B:$B,$E468,Prod_Prop!$H:$H,U$1,Prod_Prop!$I:$I,"Exacto"),Prod_Prop!$A:$A,Prod_Prop!$J:$J,"",0,1))</f>
        <v/>
      </c>
      <c r="V468" s="4" t="str">
        <f t="array" ref="V468">IF($E468="","", XLOOKUP(SUMIFS(Prod_Prop!$A:$A,Prod_Prop!$B:$B,$E468,Prod_Prop!$H:$H,V$1,Prod_Prop!$I:$I,"Exacto"),Prod_Prop!$A:$A,Prod_Prop!$J:$J,"",0,1))</f>
        <v/>
      </c>
      <c r="X468" s="3" t="str">
        <f>IFERROR(__xludf.DUMMYFUNCTION("IF(D468="""","""",IFERROR(TRANSPOSE(FILTER('Validaciones Cotizador'!U:U,'Validaciones Cotizador'!O:O=D468,'Validaciones Cotizador'!T:T=""x"")),""Finalizar""))"),"")</f>
        <v/>
      </c>
    </row>
    <row r="469">
      <c r="A469" s="2" t="str">
        <f t="array" ref="A469">IF(E469="","",XLOOKUP(D469,'Validaciones Cotizador'!C:C,'Validaciones Cotizador'!A:A,"",0,1))</f>
        <v/>
      </c>
      <c r="B469" s="2" t="str">
        <f t="array" ref="B469">IF(F469="","",XLOOKUP(F469,Productos!E:E,Productos!G:G,"",0,1))</f>
        <v/>
      </c>
      <c r="C469" s="2" t="str">
        <f>IF(A469="","",SUMIFS('Validaciones Cotizador'!B:B,'Validaciones Cotizador'!C:C,D469,'Validaciones Cotizador'!A:A,A469))</f>
        <v/>
      </c>
      <c r="D469" s="4" t="str">
        <f>IFERROR(__xludf.DUMMYFUNCTION("IF(OR(F468=""Finalizar"",F468="""",F468=""Selecciona..""),"""",IF(OR(F468=""-"",INDEX(filter(Familias!F:F,Familias!D:D=A468,Familias!E:E=C468),1)=""O""),D468+1,D468))"),"")</f>
        <v/>
      </c>
      <c r="E469" s="2" t="str">
        <f>IF(OR(F469="",F469="Selecciona.."),"",IF(D469="Implemento",SUMIF(Implementos!B:B,F469,Implementos!A:A),SUMIF(Productos!E:E,F469,Productos!A:A)))</f>
        <v/>
      </c>
      <c r="F469" s="2" t="str">
        <f t="shared" si="2"/>
        <v/>
      </c>
      <c r="G469" s="10" t="str">
        <f t="array" ref="G469">IF(OR(F469="",F469="-",F469="Selecciona..",F469="Finalizar"),"",IF(A469="Rodados",XLOOKUP(B469,'Validaciones Cotizador'!I:I,'Validaciones Cotizador'!J:J,0,0,1),1))</f>
        <v/>
      </c>
      <c r="H469" s="11" t="str">
        <f>IF(OR(F469="",F469="Selecciona.."),"",SUMIF(Precio_Productos!K:K,E469,Precio_Productos!J:J)*G469)</f>
        <v/>
      </c>
      <c r="I469" s="4" t="str">
        <f t="array" ref="I469">IF($E469="","", XLOOKUP(SUMIFS(Prod_Prop!$A:$A,Prod_Prop!$B:$B,$E469,Prod_Prop!$H:$H,I$1,Prod_Prop!$I:$I,"Exacto"),Prod_Prop!$A:$A,Prod_Prop!$J:$J,"",0,1))</f>
        <v/>
      </c>
      <c r="J469" s="4" t="str">
        <f t="array" ref="J469">IF($E469="","", XLOOKUP(SUMIFS(Prod_Prop!$A:$A,Prod_Prop!$B:$B,$E469,Prod_Prop!$H:$H,J$1,Prod_Prop!$I:$I,"Exacto"),Prod_Prop!$A:$A,Prod_Prop!$J:$J,"",0,1))</f>
        <v/>
      </c>
      <c r="K469" s="4" t="str">
        <f t="array" ref="K469">IF($E469="","", XLOOKUP(SUMIFS(Prod_Prop!$A:$A,Prod_Prop!$B:$B,$E469,Prod_Prop!$H:$H,K$1,Prod_Prop!$I:$I,"Exacto"),Prod_Prop!$A:$A,Prod_Prop!$J:$J,"",0,1))</f>
        <v/>
      </c>
      <c r="L469" s="4" t="str">
        <f t="array" ref="L469">IF($E469="","", XLOOKUP(SUMIFS(Prod_Prop!$A:$A,Prod_Prop!$B:$B,$E469,Prod_Prop!$H:$H,L$1,Prod_Prop!$I:$I,"Exacto"),Prod_Prop!$A:$A,Prod_Prop!$J:$J,"",0,1))</f>
        <v/>
      </c>
      <c r="M469" s="4" t="str">
        <f t="array" ref="M469">IF($E469="","", XLOOKUP(SUMIFS(Prod_Prop!$A:$A,Prod_Prop!$B:$B,$E469,Prod_Prop!$H:$H,M$1,Prod_Prop!$I:$I,"Exacto"),Prod_Prop!$A:$A,Prod_Prop!$J:$J,"",0,1))</f>
        <v/>
      </c>
      <c r="N469" s="4" t="str">
        <f t="array" ref="N469">IF($E469="","", XLOOKUP(SUMIFS(Prod_Prop!$A:$A,Prod_Prop!$B:$B,$E469,Prod_Prop!$H:$H,N$1,Prod_Prop!$I:$I,"Exacto"),Prod_Prop!$A:$A,Prod_Prop!$J:$J,"",0,1))</f>
        <v/>
      </c>
      <c r="O469" s="4" t="str">
        <f t="array" ref="O469">IF($E469="","", XLOOKUP(SUMIFS(Prod_Prop!$A:$A,Prod_Prop!$B:$B,$E469,Prod_Prop!$H:$H,O$1,Prod_Prop!$I:$I,"Exacto"),Prod_Prop!$A:$A,Prod_Prop!$J:$J,"",0,1))</f>
        <v/>
      </c>
      <c r="P469" s="4" t="str">
        <f t="array" ref="P469">IF($E469="","", XLOOKUP(SUMIFS(Prod_Prop!$A:$A,Prod_Prop!$B:$B,$E469,Prod_Prop!$H:$H,P$1,Prod_Prop!$I:$I,"Exacto"),Prod_Prop!$A:$A,Prod_Prop!$J:$J,"",0,1))</f>
        <v/>
      </c>
      <c r="Q469" s="4" t="str">
        <f t="array" ref="Q469">IF($E469="","", XLOOKUP(SUMIFS(Prod_Prop!$A:$A,Prod_Prop!$B:$B,$E469,Prod_Prop!$H:$H,Q$1,Prod_Prop!$I:$I,"Exacto"),Prod_Prop!$A:$A,Prod_Prop!$J:$J,"",0,1))</f>
        <v/>
      </c>
      <c r="R469" s="4" t="str">
        <f t="array" ref="R469">IF($E469="","", XLOOKUP(SUMIFS(Prod_Prop!$A:$A,Prod_Prop!$B:$B,$E469,Prod_Prop!$H:$H,R$1,Prod_Prop!$I:$I,"Exacto"),Prod_Prop!$A:$A,Prod_Prop!$J:$J,"",0,1))</f>
        <v/>
      </c>
      <c r="S469" s="4" t="str">
        <f t="array" ref="S469">IF($E469="","", XLOOKUP(SUMIFS(Prod_Prop!$A:$A,Prod_Prop!$B:$B,$E469,Prod_Prop!$H:$H,S$1,Prod_Prop!$I:$I,"Exacto"),Prod_Prop!$A:$A,Prod_Prop!$J:$J,"",0,1))</f>
        <v/>
      </c>
      <c r="T469" s="4" t="str">
        <f t="array" ref="T469">IF($E469="","", XLOOKUP(SUMIFS(Prod_Prop!$A:$A,Prod_Prop!$B:$B,$E469,Prod_Prop!$H:$H,T$1,Prod_Prop!$I:$I,"Exacto"),Prod_Prop!$A:$A,Prod_Prop!$J:$J,"",0,1))</f>
        <v/>
      </c>
      <c r="U469" s="4" t="str">
        <f t="array" ref="U469">IF($E469="","", XLOOKUP(SUMIFS(Prod_Prop!$A:$A,Prod_Prop!$B:$B,$E469,Prod_Prop!$H:$H,U$1,Prod_Prop!$I:$I,"Exacto"),Prod_Prop!$A:$A,Prod_Prop!$J:$J,"",0,1))</f>
        <v/>
      </c>
      <c r="V469" s="4" t="str">
        <f t="array" ref="V469">IF($E469="","", XLOOKUP(SUMIFS(Prod_Prop!$A:$A,Prod_Prop!$B:$B,$E469,Prod_Prop!$H:$H,V$1,Prod_Prop!$I:$I,"Exacto"),Prod_Prop!$A:$A,Prod_Prop!$J:$J,"",0,1))</f>
        <v/>
      </c>
      <c r="X469" s="3" t="str">
        <f>IFERROR(__xludf.DUMMYFUNCTION("IF(D469="""","""",IFERROR(TRANSPOSE(FILTER('Validaciones Cotizador'!U:U,'Validaciones Cotizador'!O:O=D469,'Validaciones Cotizador'!T:T=""x"")),""Finalizar""))"),"")</f>
        <v/>
      </c>
    </row>
    <row r="470">
      <c r="A470" s="2" t="str">
        <f t="array" ref="A470">IF(E470="","",XLOOKUP(D470,'Validaciones Cotizador'!C:C,'Validaciones Cotizador'!A:A,"",0,1))</f>
        <v/>
      </c>
      <c r="B470" s="2" t="str">
        <f t="array" ref="B470">IF(F470="","",XLOOKUP(F470,Productos!E:E,Productos!G:G,"",0,1))</f>
        <v/>
      </c>
      <c r="C470" s="2" t="str">
        <f>IF(A470="","",SUMIFS('Validaciones Cotizador'!B:B,'Validaciones Cotizador'!C:C,D470,'Validaciones Cotizador'!A:A,A470))</f>
        <v/>
      </c>
      <c r="D470" s="4" t="str">
        <f>IFERROR(__xludf.DUMMYFUNCTION("IF(OR(F469=""Finalizar"",F469="""",F469=""Selecciona..""),"""",IF(OR(F469=""-"",INDEX(filter(Familias!F:F,Familias!D:D=A469,Familias!E:E=C469),1)=""O""),D469+1,D469))"),"")</f>
        <v/>
      </c>
      <c r="E470" s="2" t="str">
        <f>IF(OR(F470="",F470="Selecciona.."),"",IF(D470="Implemento",SUMIF(Implementos!B:B,F470,Implementos!A:A),SUMIF(Productos!E:E,F470,Productos!A:A)))</f>
        <v/>
      </c>
      <c r="F470" s="2" t="str">
        <f t="shared" si="2"/>
        <v/>
      </c>
      <c r="G470" s="10" t="str">
        <f t="array" ref="G470">IF(OR(F470="",F470="-",F470="Selecciona..",F470="Finalizar"),"",IF(A470="Rodados",XLOOKUP(B470,'Validaciones Cotizador'!I:I,'Validaciones Cotizador'!J:J,0,0,1),1))</f>
        <v/>
      </c>
      <c r="H470" s="11" t="str">
        <f>IF(OR(F470="",F470="Selecciona.."),"",SUMIF(Precio_Productos!K:K,E470,Precio_Productos!J:J)*G470)</f>
        <v/>
      </c>
      <c r="I470" s="4" t="str">
        <f t="array" ref="I470">IF($E470="","", XLOOKUP(SUMIFS(Prod_Prop!$A:$A,Prod_Prop!$B:$B,$E470,Prod_Prop!$H:$H,I$1,Prod_Prop!$I:$I,"Exacto"),Prod_Prop!$A:$A,Prod_Prop!$J:$J,"",0,1))</f>
        <v/>
      </c>
      <c r="J470" s="4" t="str">
        <f t="array" ref="J470">IF($E470="","", XLOOKUP(SUMIFS(Prod_Prop!$A:$A,Prod_Prop!$B:$B,$E470,Prod_Prop!$H:$H,J$1,Prod_Prop!$I:$I,"Exacto"),Prod_Prop!$A:$A,Prod_Prop!$J:$J,"",0,1))</f>
        <v/>
      </c>
      <c r="K470" s="4" t="str">
        <f t="array" ref="K470">IF($E470="","", XLOOKUP(SUMIFS(Prod_Prop!$A:$A,Prod_Prop!$B:$B,$E470,Prod_Prop!$H:$H,K$1,Prod_Prop!$I:$I,"Exacto"),Prod_Prop!$A:$A,Prod_Prop!$J:$J,"",0,1))</f>
        <v/>
      </c>
      <c r="L470" s="4" t="str">
        <f t="array" ref="L470">IF($E470="","", XLOOKUP(SUMIFS(Prod_Prop!$A:$A,Prod_Prop!$B:$B,$E470,Prod_Prop!$H:$H,L$1,Prod_Prop!$I:$I,"Exacto"),Prod_Prop!$A:$A,Prod_Prop!$J:$J,"",0,1))</f>
        <v/>
      </c>
      <c r="M470" s="4" t="str">
        <f t="array" ref="M470">IF($E470="","", XLOOKUP(SUMIFS(Prod_Prop!$A:$A,Prod_Prop!$B:$B,$E470,Prod_Prop!$H:$H,M$1,Prod_Prop!$I:$I,"Exacto"),Prod_Prop!$A:$A,Prod_Prop!$J:$J,"",0,1))</f>
        <v/>
      </c>
      <c r="N470" s="4" t="str">
        <f t="array" ref="N470">IF($E470="","", XLOOKUP(SUMIFS(Prod_Prop!$A:$A,Prod_Prop!$B:$B,$E470,Prod_Prop!$H:$H,N$1,Prod_Prop!$I:$I,"Exacto"),Prod_Prop!$A:$A,Prod_Prop!$J:$J,"",0,1))</f>
        <v/>
      </c>
      <c r="O470" s="4" t="str">
        <f t="array" ref="O470">IF($E470="","", XLOOKUP(SUMIFS(Prod_Prop!$A:$A,Prod_Prop!$B:$B,$E470,Prod_Prop!$H:$H,O$1,Prod_Prop!$I:$I,"Exacto"),Prod_Prop!$A:$A,Prod_Prop!$J:$J,"",0,1))</f>
        <v/>
      </c>
      <c r="P470" s="4" t="str">
        <f t="array" ref="P470">IF($E470="","", XLOOKUP(SUMIFS(Prod_Prop!$A:$A,Prod_Prop!$B:$B,$E470,Prod_Prop!$H:$H,P$1,Prod_Prop!$I:$I,"Exacto"),Prod_Prop!$A:$A,Prod_Prop!$J:$J,"",0,1))</f>
        <v/>
      </c>
      <c r="Q470" s="4" t="str">
        <f t="array" ref="Q470">IF($E470="","", XLOOKUP(SUMIFS(Prod_Prop!$A:$A,Prod_Prop!$B:$B,$E470,Prod_Prop!$H:$H,Q$1,Prod_Prop!$I:$I,"Exacto"),Prod_Prop!$A:$A,Prod_Prop!$J:$J,"",0,1))</f>
        <v/>
      </c>
      <c r="R470" s="4" t="str">
        <f t="array" ref="R470">IF($E470="","", XLOOKUP(SUMIFS(Prod_Prop!$A:$A,Prod_Prop!$B:$B,$E470,Prod_Prop!$H:$H,R$1,Prod_Prop!$I:$I,"Exacto"),Prod_Prop!$A:$A,Prod_Prop!$J:$J,"",0,1))</f>
        <v/>
      </c>
      <c r="S470" s="4" t="str">
        <f t="array" ref="S470">IF($E470="","", XLOOKUP(SUMIFS(Prod_Prop!$A:$A,Prod_Prop!$B:$B,$E470,Prod_Prop!$H:$H,S$1,Prod_Prop!$I:$I,"Exacto"),Prod_Prop!$A:$A,Prod_Prop!$J:$J,"",0,1))</f>
        <v/>
      </c>
      <c r="T470" s="4" t="str">
        <f t="array" ref="T470">IF($E470="","", XLOOKUP(SUMIFS(Prod_Prop!$A:$A,Prod_Prop!$B:$B,$E470,Prod_Prop!$H:$H,T$1,Prod_Prop!$I:$I,"Exacto"),Prod_Prop!$A:$A,Prod_Prop!$J:$J,"",0,1))</f>
        <v/>
      </c>
      <c r="U470" s="4" t="str">
        <f t="array" ref="U470">IF($E470="","", XLOOKUP(SUMIFS(Prod_Prop!$A:$A,Prod_Prop!$B:$B,$E470,Prod_Prop!$H:$H,U$1,Prod_Prop!$I:$I,"Exacto"),Prod_Prop!$A:$A,Prod_Prop!$J:$J,"",0,1))</f>
        <v/>
      </c>
      <c r="V470" s="4" t="str">
        <f t="array" ref="V470">IF($E470="","", XLOOKUP(SUMIFS(Prod_Prop!$A:$A,Prod_Prop!$B:$B,$E470,Prod_Prop!$H:$H,V$1,Prod_Prop!$I:$I,"Exacto"),Prod_Prop!$A:$A,Prod_Prop!$J:$J,"",0,1))</f>
        <v/>
      </c>
      <c r="X470" s="3" t="str">
        <f>IFERROR(__xludf.DUMMYFUNCTION("IF(D470="""","""",IFERROR(TRANSPOSE(FILTER('Validaciones Cotizador'!U:U,'Validaciones Cotizador'!O:O=D470,'Validaciones Cotizador'!T:T=""x"")),""Finalizar""))"),"")</f>
        <v/>
      </c>
    </row>
    <row r="471">
      <c r="A471" s="2" t="str">
        <f t="array" ref="A471">IF(E471="","",XLOOKUP(D471,'Validaciones Cotizador'!C:C,'Validaciones Cotizador'!A:A,"",0,1))</f>
        <v/>
      </c>
      <c r="B471" s="2" t="str">
        <f t="array" ref="B471">IF(F471="","",XLOOKUP(F471,Productos!E:E,Productos!G:G,"",0,1))</f>
        <v/>
      </c>
      <c r="C471" s="2" t="str">
        <f>IF(A471="","",SUMIFS('Validaciones Cotizador'!B:B,'Validaciones Cotizador'!C:C,D471,'Validaciones Cotizador'!A:A,A471))</f>
        <v/>
      </c>
      <c r="D471" s="4" t="str">
        <f>IFERROR(__xludf.DUMMYFUNCTION("IF(OR(F470=""Finalizar"",F470="""",F470=""Selecciona..""),"""",IF(OR(F470=""-"",INDEX(filter(Familias!F:F,Familias!D:D=A470,Familias!E:E=C470),1)=""O""),D470+1,D470))"),"")</f>
        <v/>
      </c>
      <c r="E471" s="2" t="str">
        <f>IF(OR(F471="",F471="Selecciona.."),"",IF(D471="Implemento",SUMIF(Implementos!B:B,F471,Implementos!A:A),SUMIF(Productos!E:E,F471,Productos!A:A)))</f>
        <v/>
      </c>
      <c r="F471" s="2" t="str">
        <f t="shared" si="2"/>
        <v/>
      </c>
      <c r="G471" s="10" t="str">
        <f t="array" ref="G471">IF(OR(F471="",F471="-",F471="Selecciona..",F471="Finalizar"),"",IF(A471="Rodados",XLOOKUP(B471,'Validaciones Cotizador'!I:I,'Validaciones Cotizador'!J:J,0,0,1),1))</f>
        <v/>
      </c>
      <c r="H471" s="11" t="str">
        <f>IF(OR(F471="",F471="Selecciona.."),"",SUMIF(Precio_Productos!K:K,E471,Precio_Productos!J:J)*G471)</f>
        <v/>
      </c>
      <c r="I471" s="4" t="str">
        <f t="array" ref="I471">IF($E471="","", XLOOKUP(SUMIFS(Prod_Prop!$A:$A,Prod_Prop!$B:$B,$E471,Prod_Prop!$H:$H,I$1,Prod_Prop!$I:$I,"Exacto"),Prod_Prop!$A:$A,Prod_Prop!$J:$J,"",0,1))</f>
        <v/>
      </c>
      <c r="J471" s="4" t="str">
        <f t="array" ref="J471">IF($E471="","", XLOOKUP(SUMIFS(Prod_Prop!$A:$A,Prod_Prop!$B:$B,$E471,Prod_Prop!$H:$H,J$1,Prod_Prop!$I:$I,"Exacto"),Prod_Prop!$A:$A,Prod_Prop!$J:$J,"",0,1))</f>
        <v/>
      </c>
      <c r="K471" s="4" t="str">
        <f t="array" ref="K471">IF($E471="","", XLOOKUP(SUMIFS(Prod_Prop!$A:$A,Prod_Prop!$B:$B,$E471,Prod_Prop!$H:$H,K$1,Prod_Prop!$I:$I,"Exacto"),Prod_Prop!$A:$A,Prod_Prop!$J:$J,"",0,1))</f>
        <v/>
      </c>
      <c r="L471" s="4" t="str">
        <f t="array" ref="L471">IF($E471="","", XLOOKUP(SUMIFS(Prod_Prop!$A:$A,Prod_Prop!$B:$B,$E471,Prod_Prop!$H:$H,L$1,Prod_Prop!$I:$I,"Exacto"),Prod_Prop!$A:$A,Prod_Prop!$J:$J,"",0,1))</f>
        <v/>
      </c>
      <c r="M471" s="4" t="str">
        <f t="array" ref="M471">IF($E471="","", XLOOKUP(SUMIFS(Prod_Prop!$A:$A,Prod_Prop!$B:$B,$E471,Prod_Prop!$H:$H,M$1,Prod_Prop!$I:$I,"Exacto"),Prod_Prop!$A:$A,Prod_Prop!$J:$J,"",0,1))</f>
        <v/>
      </c>
      <c r="N471" s="4" t="str">
        <f t="array" ref="N471">IF($E471="","", XLOOKUP(SUMIFS(Prod_Prop!$A:$A,Prod_Prop!$B:$B,$E471,Prod_Prop!$H:$H,N$1,Prod_Prop!$I:$I,"Exacto"),Prod_Prop!$A:$A,Prod_Prop!$J:$J,"",0,1))</f>
        <v/>
      </c>
      <c r="O471" s="4" t="str">
        <f t="array" ref="O471">IF($E471="","", XLOOKUP(SUMIFS(Prod_Prop!$A:$A,Prod_Prop!$B:$B,$E471,Prod_Prop!$H:$H,O$1,Prod_Prop!$I:$I,"Exacto"),Prod_Prop!$A:$A,Prod_Prop!$J:$J,"",0,1))</f>
        <v/>
      </c>
      <c r="P471" s="4" t="str">
        <f t="array" ref="P471">IF($E471="","", XLOOKUP(SUMIFS(Prod_Prop!$A:$A,Prod_Prop!$B:$B,$E471,Prod_Prop!$H:$H,P$1,Prod_Prop!$I:$I,"Exacto"),Prod_Prop!$A:$A,Prod_Prop!$J:$J,"",0,1))</f>
        <v/>
      </c>
      <c r="Q471" s="4" t="str">
        <f t="array" ref="Q471">IF($E471="","", XLOOKUP(SUMIFS(Prod_Prop!$A:$A,Prod_Prop!$B:$B,$E471,Prod_Prop!$H:$H,Q$1,Prod_Prop!$I:$I,"Exacto"),Prod_Prop!$A:$A,Prod_Prop!$J:$J,"",0,1))</f>
        <v/>
      </c>
      <c r="R471" s="4" t="str">
        <f t="array" ref="R471">IF($E471="","", XLOOKUP(SUMIFS(Prod_Prop!$A:$A,Prod_Prop!$B:$B,$E471,Prod_Prop!$H:$H,R$1,Prod_Prop!$I:$I,"Exacto"),Prod_Prop!$A:$A,Prod_Prop!$J:$J,"",0,1))</f>
        <v/>
      </c>
      <c r="S471" s="4" t="str">
        <f t="array" ref="S471">IF($E471="","", XLOOKUP(SUMIFS(Prod_Prop!$A:$A,Prod_Prop!$B:$B,$E471,Prod_Prop!$H:$H,S$1,Prod_Prop!$I:$I,"Exacto"),Prod_Prop!$A:$A,Prod_Prop!$J:$J,"",0,1))</f>
        <v/>
      </c>
      <c r="T471" s="4" t="str">
        <f t="array" ref="T471">IF($E471="","", XLOOKUP(SUMIFS(Prod_Prop!$A:$A,Prod_Prop!$B:$B,$E471,Prod_Prop!$H:$H,T$1,Prod_Prop!$I:$I,"Exacto"),Prod_Prop!$A:$A,Prod_Prop!$J:$J,"",0,1))</f>
        <v/>
      </c>
      <c r="U471" s="4" t="str">
        <f t="array" ref="U471">IF($E471="","", XLOOKUP(SUMIFS(Prod_Prop!$A:$A,Prod_Prop!$B:$B,$E471,Prod_Prop!$H:$H,U$1,Prod_Prop!$I:$I,"Exacto"),Prod_Prop!$A:$A,Prod_Prop!$J:$J,"",0,1))</f>
        <v/>
      </c>
      <c r="V471" s="4" t="str">
        <f t="array" ref="V471">IF($E471="","", XLOOKUP(SUMIFS(Prod_Prop!$A:$A,Prod_Prop!$B:$B,$E471,Prod_Prop!$H:$H,V$1,Prod_Prop!$I:$I,"Exacto"),Prod_Prop!$A:$A,Prod_Prop!$J:$J,"",0,1))</f>
        <v/>
      </c>
      <c r="X471" s="3" t="str">
        <f>IFERROR(__xludf.DUMMYFUNCTION("IF(D471="""","""",IFERROR(TRANSPOSE(FILTER('Validaciones Cotizador'!U:U,'Validaciones Cotizador'!O:O=D471,'Validaciones Cotizador'!T:T=""x"")),""Finalizar""))"),"")</f>
        <v/>
      </c>
    </row>
    <row r="472">
      <c r="A472" s="2" t="str">
        <f t="array" ref="A472">IF(E472="","",XLOOKUP(D472,'Validaciones Cotizador'!C:C,'Validaciones Cotizador'!A:A,"",0,1))</f>
        <v/>
      </c>
      <c r="B472" s="2" t="str">
        <f t="array" ref="B472">IF(F472="","",XLOOKUP(F472,Productos!E:E,Productos!G:G,"",0,1))</f>
        <v/>
      </c>
      <c r="C472" s="2" t="str">
        <f>IF(A472="","",SUMIFS('Validaciones Cotizador'!B:B,'Validaciones Cotizador'!C:C,D472,'Validaciones Cotizador'!A:A,A472))</f>
        <v/>
      </c>
      <c r="D472" s="4" t="str">
        <f>IFERROR(__xludf.DUMMYFUNCTION("IF(OR(F471=""Finalizar"",F471="""",F471=""Selecciona..""),"""",IF(OR(F471=""-"",INDEX(filter(Familias!F:F,Familias!D:D=A471,Familias!E:E=C471),1)=""O""),D471+1,D471))"),"")</f>
        <v/>
      </c>
      <c r="E472" s="2" t="str">
        <f>IF(OR(F472="",F472="Selecciona.."),"",IF(D472="Implemento",SUMIF(Implementos!B:B,F472,Implementos!A:A),SUMIF(Productos!E:E,F472,Productos!A:A)))</f>
        <v/>
      </c>
      <c r="F472" s="2" t="str">
        <f t="shared" si="2"/>
        <v/>
      </c>
      <c r="G472" s="10" t="str">
        <f t="array" ref="G472">IF(OR(F472="",F472="-",F472="Selecciona..",F472="Finalizar"),"",IF(A472="Rodados",XLOOKUP(B472,'Validaciones Cotizador'!I:I,'Validaciones Cotizador'!J:J,0,0,1),1))</f>
        <v/>
      </c>
      <c r="H472" s="11" t="str">
        <f>IF(OR(F472="",F472="Selecciona.."),"",SUMIF(Precio_Productos!K:K,E472,Precio_Productos!J:J)*G472)</f>
        <v/>
      </c>
      <c r="I472" s="4" t="str">
        <f t="array" ref="I472">IF($E472="","", XLOOKUP(SUMIFS(Prod_Prop!$A:$A,Prod_Prop!$B:$B,$E472,Prod_Prop!$H:$H,I$1,Prod_Prop!$I:$I,"Exacto"),Prod_Prop!$A:$A,Prod_Prop!$J:$J,"",0,1))</f>
        <v/>
      </c>
      <c r="J472" s="4" t="str">
        <f t="array" ref="J472">IF($E472="","", XLOOKUP(SUMIFS(Prod_Prop!$A:$A,Prod_Prop!$B:$B,$E472,Prod_Prop!$H:$H,J$1,Prod_Prop!$I:$I,"Exacto"),Prod_Prop!$A:$A,Prod_Prop!$J:$J,"",0,1))</f>
        <v/>
      </c>
      <c r="K472" s="4" t="str">
        <f t="array" ref="K472">IF($E472="","", XLOOKUP(SUMIFS(Prod_Prop!$A:$A,Prod_Prop!$B:$B,$E472,Prod_Prop!$H:$H,K$1,Prod_Prop!$I:$I,"Exacto"),Prod_Prop!$A:$A,Prod_Prop!$J:$J,"",0,1))</f>
        <v/>
      </c>
      <c r="L472" s="4" t="str">
        <f t="array" ref="L472">IF($E472="","", XLOOKUP(SUMIFS(Prod_Prop!$A:$A,Prod_Prop!$B:$B,$E472,Prod_Prop!$H:$H,L$1,Prod_Prop!$I:$I,"Exacto"),Prod_Prop!$A:$A,Prod_Prop!$J:$J,"",0,1))</f>
        <v/>
      </c>
      <c r="M472" s="4" t="str">
        <f t="array" ref="M472">IF($E472="","", XLOOKUP(SUMIFS(Prod_Prop!$A:$A,Prod_Prop!$B:$B,$E472,Prod_Prop!$H:$H,M$1,Prod_Prop!$I:$I,"Exacto"),Prod_Prop!$A:$A,Prod_Prop!$J:$J,"",0,1))</f>
        <v/>
      </c>
      <c r="N472" s="4" t="str">
        <f t="array" ref="N472">IF($E472="","", XLOOKUP(SUMIFS(Prod_Prop!$A:$A,Prod_Prop!$B:$B,$E472,Prod_Prop!$H:$H,N$1,Prod_Prop!$I:$I,"Exacto"),Prod_Prop!$A:$A,Prod_Prop!$J:$J,"",0,1))</f>
        <v/>
      </c>
      <c r="O472" s="4" t="str">
        <f t="array" ref="O472">IF($E472="","", XLOOKUP(SUMIFS(Prod_Prop!$A:$A,Prod_Prop!$B:$B,$E472,Prod_Prop!$H:$H,O$1,Prod_Prop!$I:$I,"Exacto"),Prod_Prop!$A:$A,Prod_Prop!$J:$J,"",0,1))</f>
        <v/>
      </c>
      <c r="P472" s="4" t="str">
        <f t="array" ref="P472">IF($E472="","", XLOOKUP(SUMIFS(Prod_Prop!$A:$A,Prod_Prop!$B:$B,$E472,Prod_Prop!$H:$H,P$1,Prod_Prop!$I:$I,"Exacto"),Prod_Prop!$A:$A,Prod_Prop!$J:$J,"",0,1))</f>
        <v/>
      </c>
      <c r="Q472" s="4" t="str">
        <f t="array" ref="Q472">IF($E472="","", XLOOKUP(SUMIFS(Prod_Prop!$A:$A,Prod_Prop!$B:$B,$E472,Prod_Prop!$H:$H,Q$1,Prod_Prop!$I:$I,"Exacto"),Prod_Prop!$A:$A,Prod_Prop!$J:$J,"",0,1))</f>
        <v/>
      </c>
      <c r="R472" s="4" t="str">
        <f t="array" ref="R472">IF($E472="","", XLOOKUP(SUMIFS(Prod_Prop!$A:$A,Prod_Prop!$B:$B,$E472,Prod_Prop!$H:$H,R$1,Prod_Prop!$I:$I,"Exacto"),Prod_Prop!$A:$A,Prod_Prop!$J:$J,"",0,1))</f>
        <v/>
      </c>
      <c r="S472" s="4" t="str">
        <f t="array" ref="S472">IF($E472="","", XLOOKUP(SUMIFS(Prod_Prop!$A:$A,Prod_Prop!$B:$B,$E472,Prod_Prop!$H:$H,S$1,Prod_Prop!$I:$I,"Exacto"),Prod_Prop!$A:$A,Prod_Prop!$J:$J,"",0,1))</f>
        <v/>
      </c>
      <c r="T472" s="4" t="str">
        <f t="array" ref="T472">IF($E472="","", XLOOKUP(SUMIFS(Prod_Prop!$A:$A,Prod_Prop!$B:$B,$E472,Prod_Prop!$H:$H,T$1,Prod_Prop!$I:$I,"Exacto"),Prod_Prop!$A:$A,Prod_Prop!$J:$J,"",0,1))</f>
        <v/>
      </c>
      <c r="U472" s="4" t="str">
        <f t="array" ref="U472">IF($E472="","", XLOOKUP(SUMIFS(Prod_Prop!$A:$A,Prod_Prop!$B:$B,$E472,Prod_Prop!$H:$H,U$1,Prod_Prop!$I:$I,"Exacto"),Prod_Prop!$A:$A,Prod_Prop!$J:$J,"",0,1))</f>
        <v/>
      </c>
      <c r="V472" s="4" t="str">
        <f t="array" ref="V472">IF($E472="","", XLOOKUP(SUMIFS(Prod_Prop!$A:$A,Prod_Prop!$B:$B,$E472,Prod_Prop!$H:$H,V$1,Prod_Prop!$I:$I,"Exacto"),Prod_Prop!$A:$A,Prod_Prop!$J:$J,"",0,1))</f>
        <v/>
      </c>
      <c r="X472" s="3" t="str">
        <f>IFERROR(__xludf.DUMMYFUNCTION("IF(D472="""","""",IFERROR(TRANSPOSE(FILTER('Validaciones Cotizador'!U:U,'Validaciones Cotizador'!O:O=D472,'Validaciones Cotizador'!T:T=""x"")),""Finalizar""))"),"")</f>
        <v/>
      </c>
    </row>
    <row r="473">
      <c r="A473" s="2" t="str">
        <f t="array" ref="A473">IF(E473="","",XLOOKUP(D473,'Validaciones Cotizador'!C:C,'Validaciones Cotizador'!A:A,"",0,1))</f>
        <v/>
      </c>
      <c r="B473" s="2" t="str">
        <f t="array" ref="B473">IF(F473="","",XLOOKUP(F473,Productos!E:E,Productos!G:G,"",0,1))</f>
        <v/>
      </c>
      <c r="C473" s="2" t="str">
        <f>IF(A473="","",SUMIFS('Validaciones Cotizador'!B:B,'Validaciones Cotizador'!C:C,D473,'Validaciones Cotizador'!A:A,A473))</f>
        <v/>
      </c>
      <c r="D473" s="4" t="str">
        <f>IFERROR(__xludf.DUMMYFUNCTION("IF(OR(F472=""Finalizar"",F472="""",F472=""Selecciona..""),"""",IF(OR(F472=""-"",INDEX(filter(Familias!F:F,Familias!D:D=A472,Familias!E:E=C472),1)=""O""),D472+1,D472))"),"")</f>
        <v/>
      </c>
      <c r="E473" s="2" t="str">
        <f>IF(OR(F473="",F473="Selecciona.."),"",IF(D473="Implemento",SUMIF(Implementos!B:B,F473,Implementos!A:A),SUMIF(Productos!E:E,F473,Productos!A:A)))</f>
        <v/>
      </c>
      <c r="F473" s="2" t="str">
        <f t="shared" si="2"/>
        <v/>
      </c>
      <c r="G473" s="10" t="str">
        <f t="array" ref="G473">IF(OR(F473="",F473="-",F473="Selecciona..",F473="Finalizar"),"",IF(A473="Rodados",XLOOKUP(B473,'Validaciones Cotizador'!I:I,'Validaciones Cotizador'!J:J,0,0,1),1))</f>
        <v/>
      </c>
      <c r="H473" s="11" t="str">
        <f>IF(OR(F473="",F473="Selecciona.."),"",SUMIF(Precio_Productos!K:K,E473,Precio_Productos!J:J)*G473)</f>
        <v/>
      </c>
      <c r="I473" s="4" t="str">
        <f t="array" ref="I473">IF($E473="","", XLOOKUP(SUMIFS(Prod_Prop!$A:$A,Prod_Prop!$B:$B,$E473,Prod_Prop!$H:$H,I$1,Prod_Prop!$I:$I,"Exacto"),Prod_Prop!$A:$A,Prod_Prop!$J:$J,"",0,1))</f>
        <v/>
      </c>
      <c r="J473" s="4" t="str">
        <f t="array" ref="J473">IF($E473="","", XLOOKUP(SUMIFS(Prod_Prop!$A:$A,Prod_Prop!$B:$B,$E473,Prod_Prop!$H:$H,J$1,Prod_Prop!$I:$I,"Exacto"),Prod_Prop!$A:$A,Prod_Prop!$J:$J,"",0,1))</f>
        <v/>
      </c>
      <c r="K473" s="4" t="str">
        <f t="array" ref="K473">IF($E473="","", XLOOKUP(SUMIFS(Prod_Prop!$A:$A,Prod_Prop!$B:$B,$E473,Prod_Prop!$H:$H,K$1,Prod_Prop!$I:$I,"Exacto"),Prod_Prop!$A:$A,Prod_Prop!$J:$J,"",0,1))</f>
        <v/>
      </c>
      <c r="L473" s="4" t="str">
        <f t="array" ref="L473">IF($E473="","", XLOOKUP(SUMIFS(Prod_Prop!$A:$A,Prod_Prop!$B:$B,$E473,Prod_Prop!$H:$H,L$1,Prod_Prop!$I:$I,"Exacto"),Prod_Prop!$A:$A,Prod_Prop!$J:$J,"",0,1))</f>
        <v/>
      </c>
      <c r="M473" s="4" t="str">
        <f t="array" ref="M473">IF($E473="","", XLOOKUP(SUMIFS(Prod_Prop!$A:$A,Prod_Prop!$B:$B,$E473,Prod_Prop!$H:$H,M$1,Prod_Prop!$I:$I,"Exacto"),Prod_Prop!$A:$A,Prod_Prop!$J:$J,"",0,1))</f>
        <v/>
      </c>
      <c r="N473" s="4" t="str">
        <f t="array" ref="N473">IF($E473="","", XLOOKUP(SUMIFS(Prod_Prop!$A:$A,Prod_Prop!$B:$B,$E473,Prod_Prop!$H:$H,N$1,Prod_Prop!$I:$I,"Exacto"),Prod_Prop!$A:$A,Prod_Prop!$J:$J,"",0,1))</f>
        <v/>
      </c>
      <c r="O473" s="4" t="str">
        <f t="array" ref="O473">IF($E473="","", XLOOKUP(SUMIFS(Prod_Prop!$A:$A,Prod_Prop!$B:$B,$E473,Prod_Prop!$H:$H,O$1,Prod_Prop!$I:$I,"Exacto"),Prod_Prop!$A:$A,Prod_Prop!$J:$J,"",0,1))</f>
        <v/>
      </c>
      <c r="P473" s="4" t="str">
        <f t="array" ref="P473">IF($E473="","", XLOOKUP(SUMIFS(Prod_Prop!$A:$A,Prod_Prop!$B:$B,$E473,Prod_Prop!$H:$H,P$1,Prod_Prop!$I:$I,"Exacto"),Prod_Prop!$A:$A,Prod_Prop!$J:$J,"",0,1))</f>
        <v/>
      </c>
      <c r="Q473" s="4" t="str">
        <f t="array" ref="Q473">IF($E473="","", XLOOKUP(SUMIFS(Prod_Prop!$A:$A,Prod_Prop!$B:$B,$E473,Prod_Prop!$H:$H,Q$1,Prod_Prop!$I:$I,"Exacto"),Prod_Prop!$A:$A,Prod_Prop!$J:$J,"",0,1))</f>
        <v/>
      </c>
      <c r="R473" s="4" t="str">
        <f t="array" ref="R473">IF($E473="","", XLOOKUP(SUMIFS(Prod_Prop!$A:$A,Prod_Prop!$B:$B,$E473,Prod_Prop!$H:$H,R$1,Prod_Prop!$I:$I,"Exacto"),Prod_Prop!$A:$A,Prod_Prop!$J:$J,"",0,1))</f>
        <v/>
      </c>
      <c r="S473" s="4" t="str">
        <f t="array" ref="S473">IF($E473="","", XLOOKUP(SUMIFS(Prod_Prop!$A:$A,Prod_Prop!$B:$B,$E473,Prod_Prop!$H:$H,S$1,Prod_Prop!$I:$I,"Exacto"),Prod_Prop!$A:$A,Prod_Prop!$J:$J,"",0,1))</f>
        <v/>
      </c>
      <c r="T473" s="4" t="str">
        <f t="array" ref="T473">IF($E473="","", XLOOKUP(SUMIFS(Prod_Prop!$A:$A,Prod_Prop!$B:$B,$E473,Prod_Prop!$H:$H,T$1,Prod_Prop!$I:$I,"Exacto"),Prod_Prop!$A:$A,Prod_Prop!$J:$J,"",0,1))</f>
        <v/>
      </c>
      <c r="U473" s="4" t="str">
        <f t="array" ref="U473">IF($E473="","", XLOOKUP(SUMIFS(Prod_Prop!$A:$A,Prod_Prop!$B:$B,$E473,Prod_Prop!$H:$H,U$1,Prod_Prop!$I:$I,"Exacto"),Prod_Prop!$A:$A,Prod_Prop!$J:$J,"",0,1))</f>
        <v/>
      </c>
      <c r="V473" s="4" t="str">
        <f t="array" ref="V473">IF($E473="","", XLOOKUP(SUMIFS(Prod_Prop!$A:$A,Prod_Prop!$B:$B,$E473,Prod_Prop!$H:$H,V$1,Prod_Prop!$I:$I,"Exacto"),Prod_Prop!$A:$A,Prod_Prop!$J:$J,"",0,1))</f>
        <v/>
      </c>
      <c r="X473" s="3" t="str">
        <f>IFERROR(__xludf.DUMMYFUNCTION("IF(D473="""","""",IFERROR(TRANSPOSE(FILTER('Validaciones Cotizador'!U:U,'Validaciones Cotizador'!O:O=D473,'Validaciones Cotizador'!T:T=""x"")),""Finalizar""))"),"")</f>
        <v/>
      </c>
    </row>
    <row r="474">
      <c r="A474" s="2" t="str">
        <f t="array" ref="A474">IF(E474="","",XLOOKUP(D474,'Validaciones Cotizador'!C:C,'Validaciones Cotizador'!A:A,"",0,1))</f>
        <v/>
      </c>
      <c r="B474" s="2" t="str">
        <f t="array" ref="B474">IF(F474="","",XLOOKUP(F474,Productos!E:E,Productos!G:G,"",0,1))</f>
        <v/>
      </c>
      <c r="C474" s="2" t="str">
        <f>IF(A474="","",SUMIFS('Validaciones Cotizador'!B:B,'Validaciones Cotizador'!C:C,D474,'Validaciones Cotizador'!A:A,A474))</f>
        <v/>
      </c>
      <c r="D474" s="4" t="str">
        <f>IFERROR(__xludf.DUMMYFUNCTION("IF(OR(F473=""Finalizar"",F473="""",F473=""Selecciona..""),"""",IF(OR(F473=""-"",INDEX(filter(Familias!F:F,Familias!D:D=A473,Familias!E:E=C473),1)=""O""),D473+1,D473))"),"")</f>
        <v/>
      </c>
      <c r="E474" s="2" t="str">
        <f>IF(OR(F474="",F474="Selecciona.."),"",IF(D474="Implemento",SUMIF(Implementos!B:B,F474,Implementos!A:A),SUMIF(Productos!E:E,F474,Productos!A:A)))</f>
        <v/>
      </c>
      <c r="F474" s="2" t="str">
        <f t="shared" si="2"/>
        <v/>
      </c>
      <c r="G474" s="10" t="str">
        <f t="array" ref="G474">IF(OR(F474="",F474="-",F474="Selecciona..",F474="Finalizar"),"",IF(A474="Rodados",XLOOKUP(B474,'Validaciones Cotizador'!I:I,'Validaciones Cotizador'!J:J,0,0,1),1))</f>
        <v/>
      </c>
      <c r="H474" s="11" t="str">
        <f>IF(OR(F474="",F474="Selecciona.."),"",SUMIF(Precio_Productos!K:K,E474,Precio_Productos!J:J)*G474)</f>
        <v/>
      </c>
      <c r="I474" s="4" t="str">
        <f t="array" ref="I474">IF($E474="","", XLOOKUP(SUMIFS(Prod_Prop!$A:$A,Prod_Prop!$B:$B,$E474,Prod_Prop!$H:$H,I$1,Prod_Prop!$I:$I,"Exacto"),Prod_Prop!$A:$A,Prod_Prop!$J:$J,"",0,1))</f>
        <v/>
      </c>
      <c r="J474" s="4" t="str">
        <f t="array" ref="J474">IF($E474="","", XLOOKUP(SUMIFS(Prod_Prop!$A:$A,Prod_Prop!$B:$B,$E474,Prod_Prop!$H:$H,J$1,Prod_Prop!$I:$I,"Exacto"),Prod_Prop!$A:$A,Prod_Prop!$J:$J,"",0,1))</f>
        <v/>
      </c>
      <c r="K474" s="4" t="str">
        <f t="array" ref="K474">IF($E474="","", XLOOKUP(SUMIFS(Prod_Prop!$A:$A,Prod_Prop!$B:$B,$E474,Prod_Prop!$H:$H,K$1,Prod_Prop!$I:$I,"Exacto"),Prod_Prop!$A:$A,Prod_Prop!$J:$J,"",0,1))</f>
        <v/>
      </c>
      <c r="L474" s="4" t="str">
        <f t="array" ref="L474">IF($E474="","", XLOOKUP(SUMIFS(Prod_Prop!$A:$A,Prod_Prop!$B:$B,$E474,Prod_Prop!$H:$H,L$1,Prod_Prop!$I:$I,"Exacto"),Prod_Prop!$A:$A,Prod_Prop!$J:$J,"",0,1))</f>
        <v/>
      </c>
      <c r="M474" s="4" t="str">
        <f t="array" ref="M474">IF($E474="","", XLOOKUP(SUMIFS(Prod_Prop!$A:$A,Prod_Prop!$B:$B,$E474,Prod_Prop!$H:$H,M$1,Prod_Prop!$I:$I,"Exacto"),Prod_Prop!$A:$A,Prod_Prop!$J:$J,"",0,1))</f>
        <v/>
      </c>
      <c r="N474" s="4" t="str">
        <f t="array" ref="N474">IF($E474="","", XLOOKUP(SUMIFS(Prod_Prop!$A:$A,Prod_Prop!$B:$B,$E474,Prod_Prop!$H:$H,N$1,Prod_Prop!$I:$I,"Exacto"),Prod_Prop!$A:$A,Prod_Prop!$J:$J,"",0,1))</f>
        <v/>
      </c>
      <c r="O474" s="4" t="str">
        <f t="array" ref="O474">IF($E474="","", XLOOKUP(SUMIFS(Prod_Prop!$A:$A,Prod_Prop!$B:$B,$E474,Prod_Prop!$H:$H,O$1,Prod_Prop!$I:$I,"Exacto"),Prod_Prop!$A:$A,Prod_Prop!$J:$J,"",0,1))</f>
        <v/>
      </c>
      <c r="P474" s="4" t="str">
        <f t="array" ref="P474">IF($E474="","", XLOOKUP(SUMIFS(Prod_Prop!$A:$A,Prod_Prop!$B:$B,$E474,Prod_Prop!$H:$H,P$1,Prod_Prop!$I:$I,"Exacto"),Prod_Prop!$A:$A,Prod_Prop!$J:$J,"",0,1))</f>
        <v/>
      </c>
      <c r="Q474" s="4" t="str">
        <f t="array" ref="Q474">IF($E474="","", XLOOKUP(SUMIFS(Prod_Prop!$A:$A,Prod_Prop!$B:$B,$E474,Prod_Prop!$H:$H,Q$1,Prod_Prop!$I:$I,"Exacto"),Prod_Prop!$A:$A,Prod_Prop!$J:$J,"",0,1))</f>
        <v/>
      </c>
      <c r="R474" s="4" t="str">
        <f t="array" ref="R474">IF($E474="","", XLOOKUP(SUMIFS(Prod_Prop!$A:$A,Prod_Prop!$B:$B,$E474,Prod_Prop!$H:$H,R$1,Prod_Prop!$I:$I,"Exacto"),Prod_Prop!$A:$A,Prod_Prop!$J:$J,"",0,1))</f>
        <v/>
      </c>
      <c r="S474" s="4" t="str">
        <f t="array" ref="S474">IF($E474="","", XLOOKUP(SUMIFS(Prod_Prop!$A:$A,Prod_Prop!$B:$B,$E474,Prod_Prop!$H:$H,S$1,Prod_Prop!$I:$I,"Exacto"),Prod_Prop!$A:$A,Prod_Prop!$J:$J,"",0,1))</f>
        <v/>
      </c>
      <c r="T474" s="4" t="str">
        <f t="array" ref="T474">IF($E474="","", XLOOKUP(SUMIFS(Prod_Prop!$A:$A,Prod_Prop!$B:$B,$E474,Prod_Prop!$H:$H,T$1,Prod_Prop!$I:$I,"Exacto"),Prod_Prop!$A:$A,Prod_Prop!$J:$J,"",0,1))</f>
        <v/>
      </c>
      <c r="U474" s="4" t="str">
        <f t="array" ref="U474">IF($E474="","", XLOOKUP(SUMIFS(Prod_Prop!$A:$A,Prod_Prop!$B:$B,$E474,Prod_Prop!$H:$H,U$1,Prod_Prop!$I:$I,"Exacto"),Prod_Prop!$A:$A,Prod_Prop!$J:$J,"",0,1))</f>
        <v/>
      </c>
      <c r="V474" s="4" t="str">
        <f t="array" ref="V474">IF($E474="","", XLOOKUP(SUMIFS(Prod_Prop!$A:$A,Prod_Prop!$B:$B,$E474,Prod_Prop!$H:$H,V$1,Prod_Prop!$I:$I,"Exacto"),Prod_Prop!$A:$A,Prod_Prop!$J:$J,"",0,1))</f>
        <v/>
      </c>
      <c r="X474" s="3" t="str">
        <f>IFERROR(__xludf.DUMMYFUNCTION("IF(D474="""","""",IFERROR(TRANSPOSE(FILTER('Validaciones Cotizador'!U:U,'Validaciones Cotizador'!O:O=D474,'Validaciones Cotizador'!T:T=""x"")),""Finalizar""))"),"")</f>
        <v/>
      </c>
    </row>
    <row r="475">
      <c r="A475" s="2" t="str">
        <f t="array" ref="A475">IF(E475="","",XLOOKUP(D475,'Validaciones Cotizador'!C:C,'Validaciones Cotizador'!A:A,"",0,1))</f>
        <v/>
      </c>
      <c r="B475" s="2" t="str">
        <f t="array" ref="B475">IF(F475="","",XLOOKUP(F475,Productos!E:E,Productos!G:G,"",0,1))</f>
        <v/>
      </c>
      <c r="C475" s="2" t="str">
        <f>IF(A475="","",SUMIFS('Validaciones Cotizador'!B:B,'Validaciones Cotizador'!C:C,D475,'Validaciones Cotizador'!A:A,A475))</f>
        <v/>
      </c>
      <c r="D475" s="4" t="str">
        <f>IFERROR(__xludf.DUMMYFUNCTION("IF(OR(F474=""Finalizar"",F474="""",F474=""Selecciona..""),"""",IF(OR(F474=""-"",INDEX(filter(Familias!F:F,Familias!D:D=A474,Familias!E:E=C474),1)=""O""),D474+1,D474))"),"")</f>
        <v/>
      </c>
      <c r="E475" s="2" t="str">
        <f>IF(OR(F475="",F475="Selecciona.."),"",IF(D475="Implemento",SUMIF(Implementos!B:B,F475,Implementos!A:A),SUMIF(Productos!E:E,F475,Productos!A:A)))</f>
        <v/>
      </c>
      <c r="F475" s="2" t="str">
        <f t="shared" si="2"/>
        <v/>
      </c>
      <c r="G475" s="10" t="str">
        <f t="array" ref="G475">IF(OR(F475="",F475="-",F475="Selecciona..",F475="Finalizar"),"",IF(A475="Rodados",XLOOKUP(B475,'Validaciones Cotizador'!I:I,'Validaciones Cotizador'!J:J,0,0,1),1))</f>
        <v/>
      </c>
      <c r="H475" s="11" t="str">
        <f>IF(OR(F475="",F475="Selecciona.."),"",SUMIF(Precio_Productos!K:K,E475,Precio_Productos!J:J)*G475)</f>
        <v/>
      </c>
      <c r="I475" s="4" t="str">
        <f t="array" ref="I475">IF($E475="","", XLOOKUP(SUMIFS(Prod_Prop!$A:$A,Prod_Prop!$B:$B,$E475,Prod_Prop!$H:$H,I$1,Prod_Prop!$I:$I,"Exacto"),Prod_Prop!$A:$A,Prod_Prop!$J:$J,"",0,1))</f>
        <v/>
      </c>
      <c r="J475" s="4" t="str">
        <f t="array" ref="J475">IF($E475="","", XLOOKUP(SUMIFS(Prod_Prop!$A:$A,Prod_Prop!$B:$B,$E475,Prod_Prop!$H:$H,J$1,Prod_Prop!$I:$I,"Exacto"),Prod_Prop!$A:$A,Prod_Prop!$J:$J,"",0,1))</f>
        <v/>
      </c>
      <c r="K475" s="4" t="str">
        <f t="array" ref="K475">IF($E475="","", XLOOKUP(SUMIFS(Prod_Prop!$A:$A,Prod_Prop!$B:$B,$E475,Prod_Prop!$H:$H,K$1,Prod_Prop!$I:$I,"Exacto"),Prod_Prop!$A:$A,Prod_Prop!$J:$J,"",0,1))</f>
        <v/>
      </c>
      <c r="L475" s="4" t="str">
        <f t="array" ref="L475">IF($E475="","", XLOOKUP(SUMIFS(Prod_Prop!$A:$A,Prod_Prop!$B:$B,$E475,Prod_Prop!$H:$H,L$1,Prod_Prop!$I:$I,"Exacto"),Prod_Prop!$A:$A,Prod_Prop!$J:$J,"",0,1))</f>
        <v/>
      </c>
      <c r="M475" s="4" t="str">
        <f t="array" ref="M475">IF($E475="","", XLOOKUP(SUMIFS(Prod_Prop!$A:$A,Prod_Prop!$B:$B,$E475,Prod_Prop!$H:$H,M$1,Prod_Prop!$I:$I,"Exacto"),Prod_Prop!$A:$A,Prod_Prop!$J:$J,"",0,1))</f>
        <v/>
      </c>
      <c r="N475" s="4" t="str">
        <f t="array" ref="N475">IF($E475="","", XLOOKUP(SUMIFS(Prod_Prop!$A:$A,Prod_Prop!$B:$B,$E475,Prod_Prop!$H:$H,N$1,Prod_Prop!$I:$I,"Exacto"),Prod_Prop!$A:$A,Prod_Prop!$J:$J,"",0,1))</f>
        <v/>
      </c>
      <c r="O475" s="4" t="str">
        <f t="array" ref="O475">IF($E475="","", XLOOKUP(SUMIFS(Prod_Prop!$A:$A,Prod_Prop!$B:$B,$E475,Prod_Prop!$H:$H,O$1,Prod_Prop!$I:$I,"Exacto"),Prod_Prop!$A:$A,Prod_Prop!$J:$J,"",0,1))</f>
        <v/>
      </c>
      <c r="P475" s="4" t="str">
        <f t="array" ref="P475">IF($E475="","", XLOOKUP(SUMIFS(Prod_Prop!$A:$A,Prod_Prop!$B:$B,$E475,Prod_Prop!$H:$H,P$1,Prod_Prop!$I:$I,"Exacto"),Prod_Prop!$A:$A,Prod_Prop!$J:$J,"",0,1))</f>
        <v/>
      </c>
      <c r="Q475" s="4" t="str">
        <f t="array" ref="Q475">IF($E475="","", XLOOKUP(SUMIFS(Prod_Prop!$A:$A,Prod_Prop!$B:$B,$E475,Prod_Prop!$H:$H,Q$1,Prod_Prop!$I:$I,"Exacto"),Prod_Prop!$A:$A,Prod_Prop!$J:$J,"",0,1))</f>
        <v/>
      </c>
      <c r="R475" s="4" t="str">
        <f t="array" ref="R475">IF($E475="","", XLOOKUP(SUMIFS(Prod_Prop!$A:$A,Prod_Prop!$B:$B,$E475,Prod_Prop!$H:$H,R$1,Prod_Prop!$I:$I,"Exacto"),Prod_Prop!$A:$A,Prod_Prop!$J:$J,"",0,1))</f>
        <v/>
      </c>
      <c r="S475" s="4" t="str">
        <f t="array" ref="S475">IF($E475="","", XLOOKUP(SUMIFS(Prod_Prop!$A:$A,Prod_Prop!$B:$B,$E475,Prod_Prop!$H:$H,S$1,Prod_Prop!$I:$I,"Exacto"),Prod_Prop!$A:$A,Prod_Prop!$J:$J,"",0,1))</f>
        <v/>
      </c>
      <c r="T475" s="4" t="str">
        <f t="array" ref="T475">IF($E475="","", XLOOKUP(SUMIFS(Prod_Prop!$A:$A,Prod_Prop!$B:$B,$E475,Prod_Prop!$H:$H,T$1,Prod_Prop!$I:$I,"Exacto"),Prod_Prop!$A:$A,Prod_Prop!$J:$J,"",0,1))</f>
        <v/>
      </c>
      <c r="U475" s="4" t="str">
        <f t="array" ref="U475">IF($E475="","", XLOOKUP(SUMIFS(Prod_Prop!$A:$A,Prod_Prop!$B:$B,$E475,Prod_Prop!$H:$H,U$1,Prod_Prop!$I:$I,"Exacto"),Prod_Prop!$A:$A,Prod_Prop!$J:$J,"",0,1))</f>
        <v/>
      </c>
      <c r="V475" s="4" t="str">
        <f t="array" ref="V475">IF($E475="","", XLOOKUP(SUMIFS(Prod_Prop!$A:$A,Prod_Prop!$B:$B,$E475,Prod_Prop!$H:$H,V$1,Prod_Prop!$I:$I,"Exacto"),Prod_Prop!$A:$A,Prod_Prop!$J:$J,"",0,1))</f>
        <v/>
      </c>
      <c r="X475" s="3" t="str">
        <f>IFERROR(__xludf.DUMMYFUNCTION("IF(D475="""","""",IFERROR(TRANSPOSE(FILTER('Validaciones Cotizador'!U:U,'Validaciones Cotizador'!O:O=D475,'Validaciones Cotizador'!T:T=""x"")),""Finalizar""))"),"")</f>
        <v/>
      </c>
    </row>
    <row r="476">
      <c r="A476" s="2" t="str">
        <f t="array" ref="A476">IF(E476="","",XLOOKUP(D476,'Validaciones Cotizador'!C:C,'Validaciones Cotizador'!A:A,"",0,1))</f>
        <v/>
      </c>
      <c r="B476" s="2" t="str">
        <f t="array" ref="B476">IF(F476="","",XLOOKUP(F476,Productos!E:E,Productos!G:G,"",0,1))</f>
        <v/>
      </c>
      <c r="C476" s="2" t="str">
        <f>IF(A476="","",SUMIFS('Validaciones Cotizador'!B:B,'Validaciones Cotizador'!C:C,D476,'Validaciones Cotizador'!A:A,A476))</f>
        <v/>
      </c>
      <c r="D476" s="4" t="str">
        <f>IFERROR(__xludf.DUMMYFUNCTION("IF(OR(F475=""Finalizar"",F475="""",F475=""Selecciona..""),"""",IF(OR(F475=""-"",INDEX(filter(Familias!F:F,Familias!D:D=A475,Familias!E:E=C475),1)=""O""),D475+1,D475))"),"")</f>
        <v/>
      </c>
      <c r="E476" s="2" t="str">
        <f>IF(OR(F476="",F476="Selecciona.."),"",IF(D476="Implemento",SUMIF(Implementos!B:B,F476,Implementos!A:A),SUMIF(Productos!E:E,F476,Productos!A:A)))</f>
        <v/>
      </c>
      <c r="F476" s="2" t="str">
        <f t="shared" si="2"/>
        <v/>
      </c>
      <c r="G476" s="10" t="str">
        <f t="array" ref="G476">IF(OR(F476="",F476="-",F476="Selecciona..",F476="Finalizar"),"",IF(A476="Rodados",XLOOKUP(B476,'Validaciones Cotizador'!I:I,'Validaciones Cotizador'!J:J,0,0,1),1))</f>
        <v/>
      </c>
      <c r="H476" s="11" t="str">
        <f>IF(OR(F476="",F476="Selecciona.."),"",SUMIF(Precio_Productos!K:K,E476,Precio_Productos!J:J)*G476)</f>
        <v/>
      </c>
      <c r="I476" s="4" t="str">
        <f t="array" ref="I476">IF($E476="","", XLOOKUP(SUMIFS(Prod_Prop!$A:$A,Prod_Prop!$B:$B,$E476,Prod_Prop!$H:$H,I$1,Prod_Prop!$I:$I,"Exacto"),Prod_Prop!$A:$A,Prod_Prop!$J:$J,"",0,1))</f>
        <v/>
      </c>
      <c r="J476" s="4" t="str">
        <f t="array" ref="J476">IF($E476="","", XLOOKUP(SUMIFS(Prod_Prop!$A:$A,Prod_Prop!$B:$B,$E476,Prod_Prop!$H:$H,J$1,Prod_Prop!$I:$I,"Exacto"),Prod_Prop!$A:$A,Prod_Prop!$J:$J,"",0,1))</f>
        <v/>
      </c>
      <c r="K476" s="4" t="str">
        <f t="array" ref="K476">IF($E476="","", XLOOKUP(SUMIFS(Prod_Prop!$A:$A,Prod_Prop!$B:$B,$E476,Prod_Prop!$H:$H,K$1,Prod_Prop!$I:$I,"Exacto"),Prod_Prop!$A:$A,Prod_Prop!$J:$J,"",0,1))</f>
        <v/>
      </c>
      <c r="L476" s="4" t="str">
        <f t="array" ref="L476">IF($E476="","", XLOOKUP(SUMIFS(Prod_Prop!$A:$A,Prod_Prop!$B:$B,$E476,Prod_Prop!$H:$H,L$1,Prod_Prop!$I:$I,"Exacto"),Prod_Prop!$A:$A,Prod_Prop!$J:$J,"",0,1))</f>
        <v/>
      </c>
      <c r="M476" s="4" t="str">
        <f t="array" ref="M476">IF($E476="","", XLOOKUP(SUMIFS(Prod_Prop!$A:$A,Prod_Prop!$B:$B,$E476,Prod_Prop!$H:$H,M$1,Prod_Prop!$I:$I,"Exacto"),Prod_Prop!$A:$A,Prod_Prop!$J:$J,"",0,1))</f>
        <v/>
      </c>
      <c r="N476" s="4" t="str">
        <f t="array" ref="N476">IF($E476="","", XLOOKUP(SUMIFS(Prod_Prop!$A:$A,Prod_Prop!$B:$B,$E476,Prod_Prop!$H:$H,N$1,Prod_Prop!$I:$I,"Exacto"),Prod_Prop!$A:$A,Prod_Prop!$J:$J,"",0,1))</f>
        <v/>
      </c>
      <c r="O476" s="4" t="str">
        <f t="array" ref="O476">IF($E476="","", XLOOKUP(SUMIFS(Prod_Prop!$A:$A,Prod_Prop!$B:$B,$E476,Prod_Prop!$H:$H,O$1,Prod_Prop!$I:$I,"Exacto"),Prod_Prop!$A:$A,Prod_Prop!$J:$J,"",0,1))</f>
        <v/>
      </c>
      <c r="P476" s="4" t="str">
        <f t="array" ref="P476">IF($E476="","", XLOOKUP(SUMIFS(Prod_Prop!$A:$A,Prod_Prop!$B:$B,$E476,Prod_Prop!$H:$H,P$1,Prod_Prop!$I:$I,"Exacto"),Prod_Prop!$A:$A,Prod_Prop!$J:$J,"",0,1))</f>
        <v/>
      </c>
      <c r="Q476" s="4" t="str">
        <f t="array" ref="Q476">IF($E476="","", XLOOKUP(SUMIFS(Prod_Prop!$A:$A,Prod_Prop!$B:$B,$E476,Prod_Prop!$H:$H,Q$1,Prod_Prop!$I:$I,"Exacto"),Prod_Prop!$A:$A,Prod_Prop!$J:$J,"",0,1))</f>
        <v/>
      </c>
      <c r="R476" s="4" t="str">
        <f t="array" ref="R476">IF($E476="","", XLOOKUP(SUMIFS(Prod_Prop!$A:$A,Prod_Prop!$B:$B,$E476,Prod_Prop!$H:$H,R$1,Prod_Prop!$I:$I,"Exacto"),Prod_Prop!$A:$A,Prod_Prop!$J:$J,"",0,1))</f>
        <v/>
      </c>
      <c r="S476" s="4" t="str">
        <f t="array" ref="S476">IF($E476="","", XLOOKUP(SUMIFS(Prod_Prop!$A:$A,Prod_Prop!$B:$B,$E476,Prod_Prop!$H:$H,S$1,Prod_Prop!$I:$I,"Exacto"),Prod_Prop!$A:$A,Prod_Prop!$J:$J,"",0,1))</f>
        <v/>
      </c>
      <c r="T476" s="4" t="str">
        <f t="array" ref="T476">IF($E476="","", XLOOKUP(SUMIFS(Prod_Prop!$A:$A,Prod_Prop!$B:$B,$E476,Prod_Prop!$H:$H,T$1,Prod_Prop!$I:$I,"Exacto"),Prod_Prop!$A:$A,Prod_Prop!$J:$J,"",0,1))</f>
        <v/>
      </c>
      <c r="U476" s="4" t="str">
        <f t="array" ref="U476">IF($E476="","", XLOOKUP(SUMIFS(Prod_Prop!$A:$A,Prod_Prop!$B:$B,$E476,Prod_Prop!$H:$H,U$1,Prod_Prop!$I:$I,"Exacto"),Prod_Prop!$A:$A,Prod_Prop!$J:$J,"",0,1))</f>
        <v/>
      </c>
      <c r="V476" s="4" t="str">
        <f t="array" ref="V476">IF($E476="","", XLOOKUP(SUMIFS(Prod_Prop!$A:$A,Prod_Prop!$B:$B,$E476,Prod_Prop!$H:$H,V$1,Prod_Prop!$I:$I,"Exacto"),Prod_Prop!$A:$A,Prod_Prop!$J:$J,"",0,1))</f>
        <v/>
      </c>
      <c r="X476" s="3" t="str">
        <f>IFERROR(__xludf.DUMMYFUNCTION("IF(D476="""","""",IFERROR(TRANSPOSE(FILTER('Validaciones Cotizador'!U:U,'Validaciones Cotizador'!O:O=D476,'Validaciones Cotizador'!T:T=""x"")),""Finalizar""))"),"")</f>
        <v/>
      </c>
    </row>
    <row r="477">
      <c r="A477" s="2" t="str">
        <f t="array" ref="A477">IF(E477="","",XLOOKUP(D477,'Validaciones Cotizador'!C:C,'Validaciones Cotizador'!A:A,"",0,1))</f>
        <v/>
      </c>
      <c r="B477" s="2" t="str">
        <f t="array" ref="B477">IF(F477="","",XLOOKUP(F477,Productos!E:E,Productos!G:G,"",0,1))</f>
        <v/>
      </c>
      <c r="C477" s="2" t="str">
        <f>IF(A477="","",SUMIFS('Validaciones Cotizador'!B:B,'Validaciones Cotizador'!C:C,D477,'Validaciones Cotizador'!A:A,A477))</f>
        <v/>
      </c>
      <c r="D477" s="4" t="str">
        <f>IFERROR(__xludf.DUMMYFUNCTION("IF(OR(F476=""Finalizar"",F476="""",F476=""Selecciona..""),"""",IF(OR(F476=""-"",INDEX(filter(Familias!F:F,Familias!D:D=A476,Familias!E:E=C476),1)=""O""),D476+1,D476))"),"")</f>
        <v/>
      </c>
      <c r="E477" s="2" t="str">
        <f>IF(OR(F477="",F477="Selecciona.."),"",IF(D477="Implemento",SUMIF(Implementos!B:B,F477,Implementos!A:A),SUMIF(Productos!E:E,F477,Productos!A:A)))</f>
        <v/>
      </c>
      <c r="F477" s="2" t="str">
        <f t="shared" si="2"/>
        <v/>
      </c>
      <c r="G477" s="10" t="str">
        <f t="array" ref="G477">IF(OR(F477="",F477="-",F477="Selecciona..",F477="Finalizar"),"",IF(A477="Rodados",XLOOKUP(B477,'Validaciones Cotizador'!I:I,'Validaciones Cotizador'!J:J,0,0,1),1))</f>
        <v/>
      </c>
      <c r="H477" s="11" t="str">
        <f>IF(OR(F477="",F477="Selecciona.."),"",SUMIF(Precio_Productos!K:K,E477,Precio_Productos!J:J)*G477)</f>
        <v/>
      </c>
      <c r="I477" s="4" t="str">
        <f t="array" ref="I477">IF($E477="","", XLOOKUP(SUMIFS(Prod_Prop!$A:$A,Prod_Prop!$B:$B,$E477,Prod_Prop!$H:$H,I$1,Prod_Prop!$I:$I,"Exacto"),Prod_Prop!$A:$A,Prod_Prop!$J:$J,"",0,1))</f>
        <v/>
      </c>
      <c r="J477" s="4" t="str">
        <f t="array" ref="J477">IF($E477="","", XLOOKUP(SUMIFS(Prod_Prop!$A:$A,Prod_Prop!$B:$B,$E477,Prod_Prop!$H:$H,J$1,Prod_Prop!$I:$I,"Exacto"),Prod_Prop!$A:$A,Prod_Prop!$J:$J,"",0,1))</f>
        <v/>
      </c>
      <c r="K477" s="4" t="str">
        <f t="array" ref="K477">IF($E477="","", XLOOKUP(SUMIFS(Prod_Prop!$A:$A,Prod_Prop!$B:$B,$E477,Prod_Prop!$H:$H,K$1,Prod_Prop!$I:$I,"Exacto"),Prod_Prop!$A:$A,Prod_Prop!$J:$J,"",0,1))</f>
        <v/>
      </c>
      <c r="L477" s="4" t="str">
        <f t="array" ref="L477">IF($E477="","", XLOOKUP(SUMIFS(Prod_Prop!$A:$A,Prod_Prop!$B:$B,$E477,Prod_Prop!$H:$H,L$1,Prod_Prop!$I:$I,"Exacto"),Prod_Prop!$A:$A,Prod_Prop!$J:$J,"",0,1))</f>
        <v/>
      </c>
      <c r="M477" s="4" t="str">
        <f t="array" ref="M477">IF($E477="","", XLOOKUP(SUMIFS(Prod_Prop!$A:$A,Prod_Prop!$B:$B,$E477,Prod_Prop!$H:$H,M$1,Prod_Prop!$I:$I,"Exacto"),Prod_Prop!$A:$A,Prod_Prop!$J:$J,"",0,1))</f>
        <v/>
      </c>
      <c r="N477" s="4" t="str">
        <f t="array" ref="N477">IF($E477="","", XLOOKUP(SUMIFS(Prod_Prop!$A:$A,Prod_Prop!$B:$B,$E477,Prod_Prop!$H:$H,N$1,Prod_Prop!$I:$I,"Exacto"),Prod_Prop!$A:$A,Prod_Prop!$J:$J,"",0,1))</f>
        <v/>
      </c>
      <c r="O477" s="4" t="str">
        <f t="array" ref="O477">IF($E477="","", XLOOKUP(SUMIFS(Prod_Prop!$A:$A,Prod_Prop!$B:$B,$E477,Prod_Prop!$H:$H,O$1,Prod_Prop!$I:$I,"Exacto"),Prod_Prop!$A:$A,Prod_Prop!$J:$J,"",0,1))</f>
        <v/>
      </c>
      <c r="P477" s="4" t="str">
        <f t="array" ref="P477">IF($E477="","", XLOOKUP(SUMIFS(Prod_Prop!$A:$A,Prod_Prop!$B:$B,$E477,Prod_Prop!$H:$H,P$1,Prod_Prop!$I:$I,"Exacto"),Prod_Prop!$A:$A,Prod_Prop!$J:$J,"",0,1))</f>
        <v/>
      </c>
      <c r="Q477" s="4" t="str">
        <f t="array" ref="Q477">IF($E477="","", XLOOKUP(SUMIFS(Prod_Prop!$A:$A,Prod_Prop!$B:$B,$E477,Prod_Prop!$H:$H,Q$1,Prod_Prop!$I:$I,"Exacto"),Prod_Prop!$A:$A,Prod_Prop!$J:$J,"",0,1))</f>
        <v/>
      </c>
      <c r="R477" s="4" t="str">
        <f t="array" ref="R477">IF($E477="","", XLOOKUP(SUMIFS(Prod_Prop!$A:$A,Prod_Prop!$B:$B,$E477,Prod_Prop!$H:$H,R$1,Prod_Prop!$I:$I,"Exacto"),Prod_Prop!$A:$A,Prod_Prop!$J:$J,"",0,1))</f>
        <v/>
      </c>
      <c r="S477" s="4" t="str">
        <f t="array" ref="S477">IF($E477="","", XLOOKUP(SUMIFS(Prod_Prop!$A:$A,Prod_Prop!$B:$B,$E477,Prod_Prop!$H:$H,S$1,Prod_Prop!$I:$I,"Exacto"),Prod_Prop!$A:$A,Prod_Prop!$J:$J,"",0,1))</f>
        <v/>
      </c>
      <c r="T477" s="4" t="str">
        <f t="array" ref="T477">IF($E477="","", XLOOKUP(SUMIFS(Prod_Prop!$A:$A,Prod_Prop!$B:$B,$E477,Prod_Prop!$H:$H,T$1,Prod_Prop!$I:$I,"Exacto"),Prod_Prop!$A:$A,Prod_Prop!$J:$J,"",0,1))</f>
        <v/>
      </c>
      <c r="U477" s="4" t="str">
        <f t="array" ref="U477">IF($E477="","", XLOOKUP(SUMIFS(Prod_Prop!$A:$A,Prod_Prop!$B:$B,$E477,Prod_Prop!$H:$H,U$1,Prod_Prop!$I:$I,"Exacto"),Prod_Prop!$A:$A,Prod_Prop!$J:$J,"",0,1))</f>
        <v/>
      </c>
      <c r="V477" s="4" t="str">
        <f t="array" ref="V477">IF($E477="","", XLOOKUP(SUMIFS(Prod_Prop!$A:$A,Prod_Prop!$B:$B,$E477,Prod_Prop!$H:$H,V$1,Prod_Prop!$I:$I,"Exacto"),Prod_Prop!$A:$A,Prod_Prop!$J:$J,"",0,1))</f>
        <v/>
      </c>
      <c r="X477" s="3" t="str">
        <f>IFERROR(__xludf.DUMMYFUNCTION("IF(D477="""","""",IFERROR(TRANSPOSE(FILTER('Validaciones Cotizador'!U:U,'Validaciones Cotizador'!O:O=D477,'Validaciones Cotizador'!T:T=""x"")),""Finalizar""))"),"")</f>
        <v/>
      </c>
    </row>
    <row r="478">
      <c r="A478" s="2" t="str">
        <f t="array" ref="A478">IF(E478="","",XLOOKUP(D478,'Validaciones Cotizador'!C:C,'Validaciones Cotizador'!A:A,"",0,1))</f>
        <v/>
      </c>
      <c r="B478" s="2" t="str">
        <f t="array" ref="B478">IF(F478="","",XLOOKUP(F478,Productos!E:E,Productos!G:G,"",0,1))</f>
        <v/>
      </c>
      <c r="C478" s="2" t="str">
        <f>IF(A478="","",SUMIFS('Validaciones Cotizador'!B:B,'Validaciones Cotizador'!C:C,D478,'Validaciones Cotizador'!A:A,A478))</f>
        <v/>
      </c>
      <c r="D478" s="4" t="str">
        <f>IFERROR(__xludf.DUMMYFUNCTION("IF(OR(F477=""Finalizar"",F477="""",F477=""Selecciona..""),"""",IF(OR(F477=""-"",INDEX(filter(Familias!F:F,Familias!D:D=A477,Familias!E:E=C477),1)=""O""),D477+1,D477))"),"")</f>
        <v/>
      </c>
      <c r="E478" s="2" t="str">
        <f>IF(OR(F478="",F478="Selecciona.."),"",IF(D478="Implemento",SUMIF(Implementos!B:B,F478,Implementos!A:A),SUMIF(Productos!E:E,F478,Productos!A:A)))</f>
        <v/>
      </c>
      <c r="F478" s="2" t="str">
        <f t="shared" si="2"/>
        <v/>
      </c>
      <c r="G478" s="10" t="str">
        <f t="array" ref="G478">IF(OR(F478="",F478="-",F478="Selecciona..",F478="Finalizar"),"",IF(A478="Rodados",XLOOKUP(B478,'Validaciones Cotizador'!I:I,'Validaciones Cotizador'!J:J,0,0,1),1))</f>
        <v/>
      </c>
      <c r="H478" s="11" t="str">
        <f>IF(OR(F478="",F478="Selecciona.."),"",SUMIF(Precio_Productos!K:K,E478,Precio_Productos!J:J)*G478)</f>
        <v/>
      </c>
      <c r="I478" s="4" t="str">
        <f t="array" ref="I478">IF($E478="","", XLOOKUP(SUMIFS(Prod_Prop!$A:$A,Prod_Prop!$B:$B,$E478,Prod_Prop!$H:$H,I$1,Prod_Prop!$I:$I,"Exacto"),Prod_Prop!$A:$A,Prod_Prop!$J:$J,"",0,1))</f>
        <v/>
      </c>
      <c r="J478" s="4" t="str">
        <f t="array" ref="J478">IF($E478="","", XLOOKUP(SUMIFS(Prod_Prop!$A:$A,Prod_Prop!$B:$B,$E478,Prod_Prop!$H:$H,J$1,Prod_Prop!$I:$I,"Exacto"),Prod_Prop!$A:$A,Prod_Prop!$J:$J,"",0,1))</f>
        <v/>
      </c>
      <c r="K478" s="4" t="str">
        <f t="array" ref="K478">IF($E478="","", XLOOKUP(SUMIFS(Prod_Prop!$A:$A,Prod_Prop!$B:$B,$E478,Prod_Prop!$H:$H,K$1,Prod_Prop!$I:$I,"Exacto"),Prod_Prop!$A:$A,Prod_Prop!$J:$J,"",0,1))</f>
        <v/>
      </c>
      <c r="L478" s="4" t="str">
        <f t="array" ref="L478">IF($E478="","", XLOOKUP(SUMIFS(Prod_Prop!$A:$A,Prod_Prop!$B:$B,$E478,Prod_Prop!$H:$H,L$1,Prod_Prop!$I:$I,"Exacto"),Prod_Prop!$A:$A,Prod_Prop!$J:$J,"",0,1))</f>
        <v/>
      </c>
      <c r="M478" s="4" t="str">
        <f t="array" ref="M478">IF($E478="","", XLOOKUP(SUMIFS(Prod_Prop!$A:$A,Prod_Prop!$B:$B,$E478,Prod_Prop!$H:$H,M$1,Prod_Prop!$I:$I,"Exacto"),Prod_Prop!$A:$A,Prod_Prop!$J:$J,"",0,1))</f>
        <v/>
      </c>
      <c r="N478" s="4" t="str">
        <f t="array" ref="N478">IF($E478="","", XLOOKUP(SUMIFS(Prod_Prop!$A:$A,Prod_Prop!$B:$B,$E478,Prod_Prop!$H:$H,N$1,Prod_Prop!$I:$I,"Exacto"),Prod_Prop!$A:$A,Prod_Prop!$J:$J,"",0,1))</f>
        <v/>
      </c>
      <c r="O478" s="4" t="str">
        <f t="array" ref="O478">IF($E478="","", XLOOKUP(SUMIFS(Prod_Prop!$A:$A,Prod_Prop!$B:$B,$E478,Prod_Prop!$H:$H,O$1,Prod_Prop!$I:$I,"Exacto"),Prod_Prop!$A:$A,Prod_Prop!$J:$J,"",0,1))</f>
        <v/>
      </c>
      <c r="P478" s="4" t="str">
        <f t="array" ref="P478">IF($E478="","", XLOOKUP(SUMIFS(Prod_Prop!$A:$A,Prod_Prop!$B:$B,$E478,Prod_Prop!$H:$H,P$1,Prod_Prop!$I:$I,"Exacto"),Prod_Prop!$A:$A,Prod_Prop!$J:$J,"",0,1))</f>
        <v/>
      </c>
      <c r="Q478" s="4" t="str">
        <f t="array" ref="Q478">IF($E478="","", XLOOKUP(SUMIFS(Prod_Prop!$A:$A,Prod_Prop!$B:$B,$E478,Prod_Prop!$H:$H,Q$1,Prod_Prop!$I:$I,"Exacto"),Prod_Prop!$A:$A,Prod_Prop!$J:$J,"",0,1))</f>
        <v/>
      </c>
      <c r="R478" s="4" t="str">
        <f t="array" ref="R478">IF($E478="","", XLOOKUP(SUMIFS(Prod_Prop!$A:$A,Prod_Prop!$B:$B,$E478,Prod_Prop!$H:$H,R$1,Prod_Prop!$I:$I,"Exacto"),Prod_Prop!$A:$A,Prod_Prop!$J:$J,"",0,1))</f>
        <v/>
      </c>
      <c r="S478" s="4" t="str">
        <f t="array" ref="S478">IF($E478="","", XLOOKUP(SUMIFS(Prod_Prop!$A:$A,Prod_Prop!$B:$B,$E478,Prod_Prop!$H:$H,S$1,Prod_Prop!$I:$I,"Exacto"),Prod_Prop!$A:$A,Prod_Prop!$J:$J,"",0,1))</f>
        <v/>
      </c>
      <c r="T478" s="4" t="str">
        <f t="array" ref="T478">IF($E478="","", XLOOKUP(SUMIFS(Prod_Prop!$A:$A,Prod_Prop!$B:$B,$E478,Prod_Prop!$H:$H,T$1,Prod_Prop!$I:$I,"Exacto"),Prod_Prop!$A:$A,Prod_Prop!$J:$J,"",0,1))</f>
        <v/>
      </c>
      <c r="U478" s="4" t="str">
        <f t="array" ref="U478">IF($E478="","", XLOOKUP(SUMIFS(Prod_Prop!$A:$A,Prod_Prop!$B:$B,$E478,Prod_Prop!$H:$H,U$1,Prod_Prop!$I:$I,"Exacto"),Prod_Prop!$A:$A,Prod_Prop!$J:$J,"",0,1))</f>
        <v/>
      </c>
      <c r="V478" s="4" t="str">
        <f t="array" ref="V478">IF($E478="","", XLOOKUP(SUMIFS(Prod_Prop!$A:$A,Prod_Prop!$B:$B,$E478,Prod_Prop!$H:$H,V$1,Prod_Prop!$I:$I,"Exacto"),Prod_Prop!$A:$A,Prod_Prop!$J:$J,"",0,1))</f>
        <v/>
      </c>
      <c r="X478" s="3" t="str">
        <f>IFERROR(__xludf.DUMMYFUNCTION("IF(D478="""","""",IFERROR(TRANSPOSE(FILTER('Validaciones Cotizador'!U:U,'Validaciones Cotizador'!O:O=D478,'Validaciones Cotizador'!T:T=""x"")),""Finalizar""))"),"")</f>
        <v/>
      </c>
    </row>
    <row r="479">
      <c r="A479" s="2" t="str">
        <f t="array" ref="A479">IF(E479="","",XLOOKUP(D479,'Validaciones Cotizador'!C:C,'Validaciones Cotizador'!A:A,"",0,1))</f>
        <v/>
      </c>
      <c r="B479" s="2" t="str">
        <f t="array" ref="B479">IF(F479="","",XLOOKUP(F479,Productos!E:E,Productos!G:G,"",0,1))</f>
        <v/>
      </c>
      <c r="C479" s="2" t="str">
        <f>IF(A479="","",SUMIFS('Validaciones Cotizador'!B:B,'Validaciones Cotizador'!C:C,D479,'Validaciones Cotizador'!A:A,A479))</f>
        <v/>
      </c>
      <c r="D479" s="4" t="str">
        <f>IFERROR(__xludf.DUMMYFUNCTION("IF(OR(F478=""Finalizar"",F478="""",F478=""Selecciona..""),"""",IF(OR(F478=""-"",INDEX(filter(Familias!F:F,Familias!D:D=A478,Familias!E:E=C478),1)=""O""),D478+1,D478))"),"")</f>
        <v/>
      </c>
      <c r="E479" s="2" t="str">
        <f>IF(OR(F479="",F479="Selecciona.."),"",IF(D479="Implemento",SUMIF(Implementos!B:B,F479,Implementos!A:A),SUMIF(Productos!E:E,F479,Productos!A:A)))</f>
        <v/>
      </c>
      <c r="F479" s="2" t="str">
        <f t="shared" si="2"/>
        <v/>
      </c>
      <c r="G479" s="10" t="str">
        <f t="array" ref="G479">IF(OR(F479="",F479="-",F479="Selecciona..",F479="Finalizar"),"",IF(A479="Rodados",XLOOKUP(B479,'Validaciones Cotizador'!I:I,'Validaciones Cotizador'!J:J,0,0,1),1))</f>
        <v/>
      </c>
      <c r="H479" s="11" t="str">
        <f>IF(OR(F479="",F479="Selecciona.."),"",SUMIF(Precio_Productos!K:K,E479,Precio_Productos!J:J)*G479)</f>
        <v/>
      </c>
      <c r="I479" s="4" t="str">
        <f t="array" ref="I479">IF($E479="","", XLOOKUP(SUMIFS(Prod_Prop!$A:$A,Prod_Prop!$B:$B,$E479,Prod_Prop!$H:$H,I$1,Prod_Prop!$I:$I,"Exacto"),Prod_Prop!$A:$A,Prod_Prop!$J:$J,"",0,1))</f>
        <v/>
      </c>
      <c r="J479" s="4" t="str">
        <f t="array" ref="J479">IF($E479="","", XLOOKUP(SUMIFS(Prod_Prop!$A:$A,Prod_Prop!$B:$B,$E479,Prod_Prop!$H:$H,J$1,Prod_Prop!$I:$I,"Exacto"),Prod_Prop!$A:$A,Prod_Prop!$J:$J,"",0,1))</f>
        <v/>
      </c>
      <c r="K479" s="4" t="str">
        <f t="array" ref="K479">IF($E479="","", XLOOKUP(SUMIFS(Prod_Prop!$A:$A,Prod_Prop!$B:$B,$E479,Prod_Prop!$H:$H,K$1,Prod_Prop!$I:$I,"Exacto"),Prod_Prop!$A:$A,Prod_Prop!$J:$J,"",0,1))</f>
        <v/>
      </c>
      <c r="L479" s="4" t="str">
        <f t="array" ref="L479">IF($E479="","", XLOOKUP(SUMIFS(Prod_Prop!$A:$A,Prod_Prop!$B:$B,$E479,Prod_Prop!$H:$H,L$1,Prod_Prop!$I:$I,"Exacto"),Prod_Prop!$A:$A,Prod_Prop!$J:$J,"",0,1))</f>
        <v/>
      </c>
      <c r="M479" s="4" t="str">
        <f t="array" ref="M479">IF($E479="","", XLOOKUP(SUMIFS(Prod_Prop!$A:$A,Prod_Prop!$B:$B,$E479,Prod_Prop!$H:$H,M$1,Prod_Prop!$I:$I,"Exacto"),Prod_Prop!$A:$A,Prod_Prop!$J:$J,"",0,1))</f>
        <v/>
      </c>
      <c r="N479" s="4" t="str">
        <f t="array" ref="N479">IF($E479="","", XLOOKUP(SUMIFS(Prod_Prop!$A:$A,Prod_Prop!$B:$B,$E479,Prod_Prop!$H:$H,N$1,Prod_Prop!$I:$I,"Exacto"),Prod_Prop!$A:$A,Prod_Prop!$J:$J,"",0,1))</f>
        <v/>
      </c>
      <c r="O479" s="4" t="str">
        <f t="array" ref="O479">IF($E479="","", XLOOKUP(SUMIFS(Prod_Prop!$A:$A,Prod_Prop!$B:$B,$E479,Prod_Prop!$H:$H,O$1,Prod_Prop!$I:$I,"Exacto"),Prod_Prop!$A:$A,Prod_Prop!$J:$J,"",0,1))</f>
        <v/>
      </c>
      <c r="P479" s="4" t="str">
        <f t="array" ref="P479">IF($E479="","", XLOOKUP(SUMIFS(Prod_Prop!$A:$A,Prod_Prop!$B:$B,$E479,Prod_Prop!$H:$H,P$1,Prod_Prop!$I:$I,"Exacto"),Prod_Prop!$A:$A,Prod_Prop!$J:$J,"",0,1))</f>
        <v/>
      </c>
      <c r="Q479" s="4" t="str">
        <f t="array" ref="Q479">IF($E479="","", XLOOKUP(SUMIFS(Prod_Prop!$A:$A,Prod_Prop!$B:$B,$E479,Prod_Prop!$H:$H,Q$1,Prod_Prop!$I:$I,"Exacto"),Prod_Prop!$A:$A,Prod_Prop!$J:$J,"",0,1))</f>
        <v/>
      </c>
      <c r="R479" s="4" t="str">
        <f t="array" ref="R479">IF($E479="","", XLOOKUP(SUMIFS(Prod_Prop!$A:$A,Prod_Prop!$B:$B,$E479,Prod_Prop!$H:$H,R$1,Prod_Prop!$I:$I,"Exacto"),Prod_Prop!$A:$A,Prod_Prop!$J:$J,"",0,1))</f>
        <v/>
      </c>
      <c r="S479" s="4" t="str">
        <f t="array" ref="S479">IF($E479="","", XLOOKUP(SUMIFS(Prod_Prop!$A:$A,Prod_Prop!$B:$B,$E479,Prod_Prop!$H:$H,S$1,Prod_Prop!$I:$I,"Exacto"),Prod_Prop!$A:$A,Prod_Prop!$J:$J,"",0,1))</f>
        <v/>
      </c>
      <c r="T479" s="4" t="str">
        <f t="array" ref="T479">IF($E479="","", XLOOKUP(SUMIFS(Prod_Prop!$A:$A,Prod_Prop!$B:$B,$E479,Prod_Prop!$H:$H,T$1,Prod_Prop!$I:$I,"Exacto"),Prod_Prop!$A:$A,Prod_Prop!$J:$J,"",0,1))</f>
        <v/>
      </c>
      <c r="U479" s="4" t="str">
        <f t="array" ref="U479">IF($E479="","", XLOOKUP(SUMIFS(Prod_Prop!$A:$A,Prod_Prop!$B:$B,$E479,Prod_Prop!$H:$H,U$1,Prod_Prop!$I:$I,"Exacto"),Prod_Prop!$A:$A,Prod_Prop!$J:$J,"",0,1))</f>
        <v/>
      </c>
      <c r="V479" s="4" t="str">
        <f t="array" ref="V479">IF($E479="","", XLOOKUP(SUMIFS(Prod_Prop!$A:$A,Prod_Prop!$B:$B,$E479,Prod_Prop!$H:$H,V$1,Prod_Prop!$I:$I,"Exacto"),Prod_Prop!$A:$A,Prod_Prop!$J:$J,"",0,1))</f>
        <v/>
      </c>
      <c r="X479" s="3" t="str">
        <f>IFERROR(__xludf.DUMMYFUNCTION("IF(D479="""","""",IFERROR(TRANSPOSE(FILTER('Validaciones Cotizador'!U:U,'Validaciones Cotizador'!O:O=D479,'Validaciones Cotizador'!T:T=""x"")),""Finalizar""))"),"")</f>
        <v/>
      </c>
    </row>
    <row r="480">
      <c r="A480" s="2" t="str">
        <f t="array" ref="A480">IF(E480="","",XLOOKUP(D480,'Validaciones Cotizador'!C:C,'Validaciones Cotizador'!A:A,"",0,1))</f>
        <v/>
      </c>
      <c r="B480" s="2" t="str">
        <f t="array" ref="B480">IF(F480="","",XLOOKUP(F480,Productos!E:E,Productos!G:G,"",0,1))</f>
        <v/>
      </c>
      <c r="C480" s="2" t="str">
        <f>IF(A480="","",SUMIFS('Validaciones Cotizador'!B:B,'Validaciones Cotizador'!C:C,D480,'Validaciones Cotizador'!A:A,A480))</f>
        <v/>
      </c>
      <c r="D480" s="4" t="str">
        <f>IFERROR(__xludf.DUMMYFUNCTION("IF(OR(F479=""Finalizar"",F479="""",F479=""Selecciona..""),"""",IF(OR(F479=""-"",INDEX(filter(Familias!F:F,Familias!D:D=A479,Familias!E:E=C479),1)=""O""),D479+1,D479))"),"")</f>
        <v/>
      </c>
      <c r="E480" s="2" t="str">
        <f>IF(OR(F480="",F480="Selecciona.."),"",IF(D480="Implemento",SUMIF(Implementos!B:B,F480,Implementos!A:A),SUMIF(Productos!E:E,F480,Productos!A:A)))</f>
        <v/>
      </c>
      <c r="F480" s="2" t="str">
        <f t="shared" si="2"/>
        <v/>
      </c>
      <c r="G480" s="10" t="str">
        <f t="array" ref="G480">IF(OR(F480="",F480="-",F480="Selecciona..",F480="Finalizar"),"",IF(A480="Rodados",XLOOKUP(B480,'Validaciones Cotizador'!I:I,'Validaciones Cotizador'!J:J,0,0,1),1))</f>
        <v/>
      </c>
      <c r="H480" s="11" t="str">
        <f>IF(OR(F480="",F480="Selecciona.."),"",SUMIF(Precio_Productos!K:K,E480,Precio_Productos!J:J)*G480)</f>
        <v/>
      </c>
      <c r="I480" s="4" t="str">
        <f t="array" ref="I480">IF($E480="","", XLOOKUP(SUMIFS(Prod_Prop!$A:$A,Prod_Prop!$B:$B,$E480,Prod_Prop!$H:$H,I$1,Prod_Prop!$I:$I,"Exacto"),Prod_Prop!$A:$A,Prod_Prop!$J:$J,"",0,1))</f>
        <v/>
      </c>
      <c r="J480" s="4" t="str">
        <f t="array" ref="J480">IF($E480="","", XLOOKUP(SUMIFS(Prod_Prop!$A:$A,Prod_Prop!$B:$B,$E480,Prod_Prop!$H:$H,J$1,Prod_Prop!$I:$I,"Exacto"),Prod_Prop!$A:$A,Prod_Prop!$J:$J,"",0,1))</f>
        <v/>
      </c>
      <c r="K480" s="4" t="str">
        <f t="array" ref="K480">IF($E480="","", XLOOKUP(SUMIFS(Prod_Prop!$A:$A,Prod_Prop!$B:$B,$E480,Prod_Prop!$H:$H,K$1,Prod_Prop!$I:$I,"Exacto"),Prod_Prop!$A:$A,Prod_Prop!$J:$J,"",0,1))</f>
        <v/>
      </c>
      <c r="L480" s="4" t="str">
        <f t="array" ref="L480">IF($E480="","", XLOOKUP(SUMIFS(Prod_Prop!$A:$A,Prod_Prop!$B:$B,$E480,Prod_Prop!$H:$H,L$1,Prod_Prop!$I:$I,"Exacto"),Prod_Prop!$A:$A,Prod_Prop!$J:$J,"",0,1))</f>
        <v/>
      </c>
      <c r="M480" s="4" t="str">
        <f t="array" ref="M480">IF($E480="","", XLOOKUP(SUMIFS(Prod_Prop!$A:$A,Prod_Prop!$B:$B,$E480,Prod_Prop!$H:$H,M$1,Prod_Prop!$I:$I,"Exacto"),Prod_Prop!$A:$A,Prod_Prop!$J:$J,"",0,1))</f>
        <v/>
      </c>
      <c r="N480" s="4" t="str">
        <f t="array" ref="N480">IF($E480="","", XLOOKUP(SUMIFS(Prod_Prop!$A:$A,Prod_Prop!$B:$B,$E480,Prod_Prop!$H:$H,N$1,Prod_Prop!$I:$I,"Exacto"),Prod_Prop!$A:$A,Prod_Prop!$J:$J,"",0,1))</f>
        <v/>
      </c>
      <c r="O480" s="4" t="str">
        <f t="array" ref="O480">IF($E480="","", XLOOKUP(SUMIFS(Prod_Prop!$A:$A,Prod_Prop!$B:$B,$E480,Prod_Prop!$H:$H,O$1,Prod_Prop!$I:$I,"Exacto"),Prod_Prop!$A:$A,Prod_Prop!$J:$J,"",0,1))</f>
        <v/>
      </c>
      <c r="P480" s="4" t="str">
        <f t="array" ref="P480">IF($E480="","", XLOOKUP(SUMIFS(Prod_Prop!$A:$A,Prod_Prop!$B:$B,$E480,Prod_Prop!$H:$H,P$1,Prod_Prop!$I:$I,"Exacto"),Prod_Prop!$A:$A,Prod_Prop!$J:$J,"",0,1))</f>
        <v/>
      </c>
      <c r="Q480" s="4" t="str">
        <f t="array" ref="Q480">IF($E480="","", XLOOKUP(SUMIFS(Prod_Prop!$A:$A,Prod_Prop!$B:$B,$E480,Prod_Prop!$H:$H,Q$1,Prod_Prop!$I:$I,"Exacto"),Prod_Prop!$A:$A,Prod_Prop!$J:$J,"",0,1))</f>
        <v/>
      </c>
      <c r="R480" s="4" t="str">
        <f t="array" ref="R480">IF($E480="","", XLOOKUP(SUMIFS(Prod_Prop!$A:$A,Prod_Prop!$B:$B,$E480,Prod_Prop!$H:$H,R$1,Prod_Prop!$I:$I,"Exacto"),Prod_Prop!$A:$A,Prod_Prop!$J:$J,"",0,1))</f>
        <v/>
      </c>
      <c r="S480" s="4" t="str">
        <f t="array" ref="S480">IF($E480="","", XLOOKUP(SUMIFS(Prod_Prop!$A:$A,Prod_Prop!$B:$B,$E480,Prod_Prop!$H:$H,S$1,Prod_Prop!$I:$I,"Exacto"),Prod_Prop!$A:$A,Prod_Prop!$J:$J,"",0,1))</f>
        <v/>
      </c>
      <c r="T480" s="4" t="str">
        <f t="array" ref="T480">IF($E480="","", XLOOKUP(SUMIFS(Prod_Prop!$A:$A,Prod_Prop!$B:$B,$E480,Prod_Prop!$H:$H,T$1,Prod_Prop!$I:$I,"Exacto"),Prod_Prop!$A:$A,Prod_Prop!$J:$J,"",0,1))</f>
        <v/>
      </c>
      <c r="U480" s="4" t="str">
        <f t="array" ref="U480">IF($E480="","", XLOOKUP(SUMIFS(Prod_Prop!$A:$A,Prod_Prop!$B:$B,$E480,Prod_Prop!$H:$H,U$1,Prod_Prop!$I:$I,"Exacto"),Prod_Prop!$A:$A,Prod_Prop!$J:$J,"",0,1))</f>
        <v/>
      </c>
      <c r="V480" s="4" t="str">
        <f t="array" ref="V480">IF($E480="","", XLOOKUP(SUMIFS(Prod_Prop!$A:$A,Prod_Prop!$B:$B,$E480,Prod_Prop!$H:$H,V$1,Prod_Prop!$I:$I,"Exacto"),Prod_Prop!$A:$A,Prod_Prop!$J:$J,"",0,1))</f>
        <v/>
      </c>
      <c r="X480" s="3" t="str">
        <f>IFERROR(__xludf.DUMMYFUNCTION("IF(D480="""","""",IFERROR(TRANSPOSE(FILTER('Validaciones Cotizador'!U:U,'Validaciones Cotizador'!O:O=D480,'Validaciones Cotizador'!T:T=""x"")),""Finalizar""))"),"")</f>
        <v/>
      </c>
    </row>
    <row r="481">
      <c r="A481" s="2" t="str">
        <f t="array" ref="A481">IF(E481="","",XLOOKUP(D481,'Validaciones Cotizador'!C:C,'Validaciones Cotizador'!A:A,"",0,1))</f>
        <v/>
      </c>
      <c r="B481" s="2" t="str">
        <f t="array" ref="B481">IF(F481="","",XLOOKUP(F481,Productos!E:E,Productos!G:G,"",0,1))</f>
        <v/>
      </c>
      <c r="C481" s="2" t="str">
        <f>IF(A481="","",SUMIFS('Validaciones Cotizador'!B:B,'Validaciones Cotizador'!C:C,D481,'Validaciones Cotizador'!A:A,A481))</f>
        <v/>
      </c>
      <c r="D481" s="4" t="str">
        <f>IFERROR(__xludf.DUMMYFUNCTION("IF(OR(F480=""Finalizar"",F480="""",F480=""Selecciona..""),"""",IF(OR(F480=""-"",INDEX(filter(Familias!F:F,Familias!D:D=A480,Familias!E:E=C480),1)=""O""),D480+1,D480))"),"")</f>
        <v/>
      </c>
      <c r="E481" s="2" t="str">
        <f>IF(OR(F481="",F481="Selecciona.."),"",IF(D481="Implemento",SUMIF(Implementos!B:B,F481,Implementos!A:A),SUMIF(Productos!E:E,F481,Productos!A:A)))</f>
        <v/>
      </c>
      <c r="F481" s="2" t="str">
        <f t="shared" si="2"/>
        <v/>
      </c>
      <c r="G481" s="10" t="str">
        <f t="array" ref="G481">IF(OR(F481="",F481="-",F481="Selecciona..",F481="Finalizar"),"",IF(A481="Rodados",XLOOKUP(B481,'Validaciones Cotizador'!I:I,'Validaciones Cotizador'!J:J,0,0,1),1))</f>
        <v/>
      </c>
      <c r="H481" s="11" t="str">
        <f>IF(OR(F481="",F481="Selecciona.."),"",SUMIF(Precio_Productos!K:K,E481,Precio_Productos!J:J)*G481)</f>
        <v/>
      </c>
      <c r="I481" s="4" t="str">
        <f t="array" ref="I481">IF($E481="","", XLOOKUP(SUMIFS(Prod_Prop!$A:$A,Prod_Prop!$B:$B,$E481,Prod_Prop!$H:$H,I$1,Prod_Prop!$I:$I,"Exacto"),Prod_Prop!$A:$A,Prod_Prop!$J:$J,"",0,1))</f>
        <v/>
      </c>
      <c r="J481" s="4" t="str">
        <f t="array" ref="J481">IF($E481="","", XLOOKUP(SUMIFS(Prod_Prop!$A:$A,Prod_Prop!$B:$B,$E481,Prod_Prop!$H:$H,J$1,Prod_Prop!$I:$I,"Exacto"),Prod_Prop!$A:$A,Prod_Prop!$J:$J,"",0,1))</f>
        <v/>
      </c>
      <c r="K481" s="4" t="str">
        <f t="array" ref="K481">IF($E481="","", XLOOKUP(SUMIFS(Prod_Prop!$A:$A,Prod_Prop!$B:$B,$E481,Prod_Prop!$H:$H,K$1,Prod_Prop!$I:$I,"Exacto"),Prod_Prop!$A:$A,Prod_Prop!$J:$J,"",0,1))</f>
        <v/>
      </c>
      <c r="L481" s="4" t="str">
        <f t="array" ref="L481">IF($E481="","", XLOOKUP(SUMIFS(Prod_Prop!$A:$A,Prod_Prop!$B:$B,$E481,Prod_Prop!$H:$H,L$1,Prod_Prop!$I:$I,"Exacto"),Prod_Prop!$A:$A,Prod_Prop!$J:$J,"",0,1))</f>
        <v/>
      </c>
      <c r="M481" s="4" t="str">
        <f t="array" ref="M481">IF($E481="","", XLOOKUP(SUMIFS(Prod_Prop!$A:$A,Prod_Prop!$B:$B,$E481,Prod_Prop!$H:$H,M$1,Prod_Prop!$I:$I,"Exacto"),Prod_Prop!$A:$A,Prod_Prop!$J:$J,"",0,1))</f>
        <v/>
      </c>
      <c r="N481" s="4" t="str">
        <f t="array" ref="N481">IF($E481="","", XLOOKUP(SUMIFS(Prod_Prop!$A:$A,Prod_Prop!$B:$B,$E481,Prod_Prop!$H:$H,N$1,Prod_Prop!$I:$I,"Exacto"),Prod_Prop!$A:$A,Prod_Prop!$J:$J,"",0,1))</f>
        <v/>
      </c>
      <c r="O481" s="4" t="str">
        <f t="array" ref="O481">IF($E481="","", XLOOKUP(SUMIFS(Prod_Prop!$A:$A,Prod_Prop!$B:$B,$E481,Prod_Prop!$H:$H,O$1,Prod_Prop!$I:$I,"Exacto"),Prod_Prop!$A:$A,Prod_Prop!$J:$J,"",0,1))</f>
        <v/>
      </c>
      <c r="P481" s="4" t="str">
        <f t="array" ref="P481">IF($E481="","", XLOOKUP(SUMIFS(Prod_Prop!$A:$A,Prod_Prop!$B:$B,$E481,Prod_Prop!$H:$H,P$1,Prod_Prop!$I:$I,"Exacto"),Prod_Prop!$A:$A,Prod_Prop!$J:$J,"",0,1))</f>
        <v/>
      </c>
      <c r="Q481" s="4" t="str">
        <f t="array" ref="Q481">IF($E481="","", XLOOKUP(SUMIFS(Prod_Prop!$A:$A,Prod_Prop!$B:$B,$E481,Prod_Prop!$H:$H,Q$1,Prod_Prop!$I:$I,"Exacto"),Prod_Prop!$A:$A,Prod_Prop!$J:$J,"",0,1))</f>
        <v/>
      </c>
      <c r="R481" s="4" t="str">
        <f t="array" ref="R481">IF($E481="","", XLOOKUP(SUMIFS(Prod_Prop!$A:$A,Prod_Prop!$B:$B,$E481,Prod_Prop!$H:$H,R$1,Prod_Prop!$I:$I,"Exacto"),Prod_Prop!$A:$A,Prod_Prop!$J:$J,"",0,1))</f>
        <v/>
      </c>
      <c r="S481" s="4" t="str">
        <f t="array" ref="S481">IF($E481="","", XLOOKUP(SUMIFS(Prod_Prop!$A:$A,Prod_Prop!$B:$B,$E481,Prod_Prop!$H:$H,S$1,Prod_Prop!$I:$I,"Exacto"),Prod_Prop!$A:$A,Prod_Prop!$J:$J,"",0,1))</f>
        <v/>
      </c>
      <c r="T481" s="4" t="str">
        <f t="array" ref="T481">IF($E481="","", XLOOKUP(SUMIFS(Prod_Prop!$A:$A,Prod_Prop!$B:$B,$E481,Prod_Prop!$H:$H,T$1,Prod_Prop!$I:$I,"Exacto"),Prod_Prop!$A:$A,Prod_Prop!$J:$J,"",0,1))</f>
        <v/>
      </c>
      <c r="U481" s="4" t="str">
        <f t="array" ref="U481">IF($E481="","", XLOOKUP(SUMIFS(Prod_Prop!$A:$A,Prod_Prop!$B:$B,$E481,Prod_Prop!$H:$H,U$1,Prod_Prop!$I:$I,"Exacto"),Prod_Prop!$A:$A,Prod_Prop!$J:$J,"",0,1))</f>
        <v/>
      </c>
      <c r="V481" s="4" t="str">
        <f t="array" ref="V481">IF($E481="","", XLOOKUP(SUMIFS(Prod_Prop!$A:$A,Prod_Prop!$B:$B,$E481,Prod_Prop!$H:$H,V$1,Prod_Prop!$I:$I,"Exacto"),Prod_Prop!$A:$A,Prod_Prop!$J:$J,"",0,1))</f>
        <v/>
      </c>
      <c r="X481" s="3" t="str">
        <f>IFERROR(__xludf.DUMMYFUNCTION("IF(D481="""","""",IFERROR(TRANSPOSE(FILTER('Validaciones Cotizador'!U:U,'Validaciones Cotizador'!O:O=D481,'Validaciones Cotizador'!T:T=""x"")),""Finalizar""))"),"")</f>
        <v/>
      </c>
    </row>
    <row r="482">
      <c r="A482" s="2" t="str">
        <f t="array" ref="A482">IF(E482="","",XLOOKUP(D482,'Validaciones Cotizador'!C:C,'Validaciones Cotizador'!A:A,"",0,1))</f>
        <v/>
      </c>
      <c r="B482" s="2" t="str">
        <f t="array" ref="B482">IF(F482="","",XLOOKUP(F482,Productos!E:E,Productos!G:G,"",0,1))</f>
        <v/>
      </c>
      <c r="C482" s="2" t="str">
        <f>IF(A482="","",SUMIFS('Validaciones Cotizador'!B:B,'Validaciones Cotizador'!C:C,D482,'Validaciones Cotizador'!A:A,A482))</f>
        <v/>
      </c>
      <c r="D482" s="4" t="str">
        <f>IFERROR(__xludf.DUMMYFUNCTION("IF(OR(F481=""Finalizar"",F481="""",F481=""Selecciona..""),"""",IF(OR(F481=""-"",INDEX(filter(Familias!F:F,Familias!D:D=A481,Familias!E:E=C481),1)=""O""),D481+1,D481))"),"")</f>
        <v/>
      </c>
      <c r="E482" s="2" t="str">
        <f>IF(OR(F482="",F482="Selecciona.."),"",IF(D482="Implemento",SUMIF(Implementos!B:B,F482,Implementos!A:A),SUMIF(Productos!E:E,F482,Productos!A:A)))</f>
        <v/>
      </c>
      <c r="F482" s="2" t="str">
        <f t="shared" si="2"/>
        <v/>
      </c>
      <c r="G482" s="10" t="str">
        <f t="array" ref="G482">IF(OR(F482="",F482="-",F482="Selecciona..",F482="Finalizar"),"",IF(A482="Rodados",XLOOKUP(B482,'Validaciones Cotizador'!I:I,'Validaciones Cotizador'!J:J,0,0,1),1))</f>
        <v/>
      </c>
      <c r="H482" s="11" t="str">
        <f>IF(OR(F482="",F482="Selecciona.."),"",SUMIF(Precio_Productos!K:K,E482,Precio_Productos!J:J)*G482)</f>
        <v/>
      </c>
      <c r="I482" s="4" t="str">
        <f t="array" ref="I482">IF($E482="","", XLOOKUP(SUMIFS(Prod_Prop!$A:$A,Prod_Prop!$B:$B,$E482,Prod_Prop!$H:$H,I$1,Prod_Prop!$I:$I,"Exacto"),Prod_Prop!$A:$A,Prod_Prop!$J:$J,"",0,1))</f>
        <v/>
      </c>
      <c r="J482" s="4" t="str">
        <f t="array" ref="J482">IF($E482="","", XLOOKUP(SUMIFS(Prod_Prop!$A:$A,Prod_Prop!$B:$B,$E482,Prod_Prop!$H:$H,J$1,Prod_Prop!$I:$I,"Exacto"),Prod_Prop!$A:$A,Prod_Prop!$J:$J,"",0,1))</f>
        <v/>
      </c>
      <c r="K482" s="4" t="str">
        <f t="array" ref="K482">IF($E482="","", XLOOKUP(SUMIFS(Prod_Prop!$A:$A,Prod_Prop!$B:$B,$E482,Prod_Prop!$H:$H,K$1,Prod_Prop!$I:$I,"Exacto"),Prod_Prop!$A:$A,Prod_Prop!$J:$J,"",0,1))</f>
        <v/>
      </c>
      <c r="L482" s="4" t="str">
        <f t="array" ref="L482">IF($E482="","", XLOOKUP(SUMIFS(Prod_Prop!$A:$A,Prod_Prop!$B:$B,$E482,Prod_Prop!$H:$H,L$1,Prod_Prop!$I:$I,"Exacto"),Prod_Prop!$A:$A,Prod_Prop!$J:$J,"",0,1))</f>
        <v/>
      </c>
      <c r="M482" s="4" t="str">
        <f t="array" ref="M482">IF($E482="","", XLOOKUP(SUMIFS(Prod_Prop!$A:$A,Prod_Prop!$B:$B,$E482,Prod_Prop!$H:$H,M$1,Prod_Prop!$I:$I,"Exacto"),Prod_Prop!$A:$A,Prod_Prop!$J:$J,"",0,1))</f>
        <v/>
      </c>
      <c r="N482" s="4" t="str">
        <f t="array" ref="N482">IF($E482="","", XLOOKUP(SUMIFS(Prod_Prop!$A:$A,Prod_Prop!$B:$B,$E482,Prod_Prop!$H:$H,N$1,Prod_Prop!$I:$I,"Exacto"),Prod_Prop!$A:$A,Prod_Prop!$J:$J,"",0,1))</f>
        <v/>
      </c>
      <c r="O482" s="4" t="str">
        <f t="array" ref="O482">IF($E482="","", XLOOKUP(SUMIFS(Prod_Prop!$A:$A,Prod_Prop!$B:$B,$E482,Prod_Prop!$H:$H,O$1,Prod_Prop!$I:$I,"Exacto"),Prod_Prop!$A:$A,Prod_Prop!$J:$J,"",0,1))</f>
        <v/>
      </c>
      <c r="P482" s="4" t="str">
        <f t="array" ref="P482">IF($E482="","", XLOOKUP(SUMIFS(Prod_Prop!$A:$A,Prod_Prop!$B:$B,$E482,Prod_Prop!$H:$H,P$1,Prod_Prop!$I:$I,"Exacto"),Prod_Prop!$A:$A,Prod_Prop!$J:$J,"",0,1))</f>
        <v/>
      </c>
      <c r="Q482" s="4" t="str">
        <f t="array" ref="Q482">IF($E482="","", XLOOKUP(SUMIFS(Prod_Prop!$A:$A,Prod_Prop!$B:$B,$E482,Prod_Prop!$H:$H,Q$1,Prod_Prop!$I:$I,"Exacto"),Prod_Prop!$A:$A,Prod_Prop!$J:$J,"",0,1))</f>
        <v/>
      </c>
      <c r="R482" s="4" t="str">
        <f t="array" ref="R482">IF($E482="","", XLOOKUP(SUMIFS(Prod_Prop!$A:$A,Prod_Prop!$B:$B,$E482,Prod_Prop!$H:$H,R$1,Prod_Prop!$I:$I,"Exacto"),Prod_Prop!$A:$A,Prod_Prop!$J:$J,"",0,1))</f>
        <v/>
      </c>
      <c r="S482" s="4" t="str">
        <f t="array" ref="S482">IF($E482="","", XLOOKUP(SUMIFS(Prod_Prop!$A:$A,Prod_Prop!$B:$B,$E482,Prod_Prop!$H:$H,S$1,Prod_Prop!$I:$I,"Exacto"),Prod_Prop!$A:$A,Prod_Prop!$J:$J,"",0,1))</f>
        <v/>
      </c>
      <c r="T482" s="4" t="str">
        <f t="array" ref="T482">IF($E482="","", XLOOKUP(SUMIFS(Prod_Prop!$A:$A,Prod_Prop!$B:$B,$E482,Prod_Prop!$H:$H,T$1,Prod_Prop!$I:$I,"Exacto"),Prod_Prop!$A:$A,Prod_Prop!$J:$J,"",0,1))</f>
        <v/>
      </c>
      <c r="U482" s="4" t="str">
        <f t="array" ref="U482">IF($E482="","", XLOOKUP(SUMIFS(Prod_Prop!$A:$A,Prod_Prop!$B:$B,$E482,Prod_Prop!$H:$H,U$1,Prod_Prop!$I:$I,"Exacto"),Prod_Prop!$A:$A,Prod_Prop!$J:$J,"",0,1))</f>
        <v/>
      </c>
      <c r="V482" s="4" t="str">
        <f t="array" ref="V482">IF($E482="","", XLOOKUP(SUMIFS(Prod_Prop!$A:$A,Prod_Prop!$B:$B,$E482,Prod_Prop!$H:$H,V$1,Prod_Prop!$I:$I,"Exacto"),Prod_Prop!$A:$A,Prod_Prop!$J:$J,"",0,1))</f>
        <v/>
      </c>
      <c r="X482" s="3" t="str">
        <f>IFERROR(__xludf.DUMMYFUNCTION("IF(D482="""","""",IFERROR(TRANSPOSE(FILTER('Validaciones Cotizador'!U:U,'Validaciones Cotizador'!O:O=D482,'Validaciones Cotizador'!T:T=""x"")),""Finalizar""))"),"")</f>
        <v/>
      </c>
    </row>
    <row r="483">
      <c r="A483" s="2" t="str">
        <f t="array" ref="A483">IF(E483="","",XLOOKUP(D483,'Validaciones Cotizador'!C:C,'Validaciones Cotizador'!A:A,"",0,1))</f>
        <v/>
      </c>
      <c r="B483" s="2" t="str">
        <f t="array" ref="B483">IF(F483="","",XLOOKUP(F483,Productos!E:E,Productos!G:G,"",0,1))</f>
        <v/>
      </c>
      <c r="C483" s="2" t="str">
        <f>IF(A483="","",SUMIFS('Validaciones Cotizador'!B:B,'Validaciones Cotizador'!C:C,D483,'Validaciones Cotizador'!A:A,A483))</f>
        <v/>
      </c>
      <c r="D483" s="4" t="str">
        <f>IFERROR(__xludf.DUMMYFUNCTION("IF(OR(F482=""Finalizar"",F482="""",F482=""Selecciona..""),"""",IF(OR(F482=""-"",INDEX(filter(Familias!F:F,Familias!D:D=A482,Familias!E:E=C482),1)=""O""),D482+1,D482))"),"")</f>
        <v/>
      </c>
      <c r="E483" s="2" t="str">
        <f>IF(OR(F483="",F483="Selecciona.."),"",IF(D483="Implemento",SUMIF(Implementos!B:B,F483,Implementos!A:A),SUMIF(Productos!E:E,F483,Productos!A:A)))</f>
        <v/>
      </c>
      <c r="F483" s="2" t="str">
        <f t="shared" si="2"/>
        <v/>
      </c>
      <c r="G483" s="10" t="str">
        <f t="array" ref="G483">IF(OR(F483="",F483="-",F483="Selecciona..",F483="Finalizar"),"",IF(A483="Rodados",XLOOKUP(B483,'Validaciones Cotizador'!I:I,'Validaciones Cotizador'!J:J,0,0,1),1))</f>
        <v/>
      </c>
      <c r="H483" s="11" t="str">
        <f>IF(OR(F483="",F483="Selecciona.."),"",SUMIF(Precio_Productos!K:K,E483,Precio_Productos!J:J)*G483)</f>
        <v/>
      </c>
      <c r="I483" s="4" t="str">
        <f t="array" ref="I483">IF($E483="","", XLOOKUP(SUMIFS(Prod_Prop!$A:$A,Prod_Prop!$B:$B,$E483,Prod_Prop!$H:$H,I$1,Prod_Prop!$I:$I,"Exacto"),Prod_Prop!$A:$A,Prod_Prop!$J:$J,"",0,1))</f>
        <v/>
      </c>
      <c r="J483" s="4" t="str">
        <f t="array" ref="J483">IF($E483="","", XLOOKUP(SUMIFS(Prod_Prop!$A:$A,Prod_Prop!$B:$B,$E483,Prod_Prop!$H:$H,J$1,Prod_Prop!$I:$I,"Exacto"),Prod_Prop!$A:$A,Prod_Prop!$J:$J,"",0,1))</f>
        <v/>
      </c>
      <c r="K483" s="4" t="str">
        <f t="array" ref="K483">IF($E483="","", XLOOKUP(SUMIFS(Prod_Prop!$A:$A,Prod_Prop!$B:$B,$E483,Prod_Prop!$H:$H,K$1,Prod_Prop!$I:$I,"Exacto"),Prod_Prop!$A:$A,Prod_Prop!$J:$J,"",0,1))</f>
        <v/>
      </c>
      <c r="L483" s="4" t="str">
        <f t="array" ref="L483">IF($E483="","", XLOOKUP(SUMIFS(Prod_Prop!$A:$A,Prod_Prop!$B:$B,$E483,Prod_Prop!$H:$H,L$1,Prod_Prop!$I:$I,"Exacto"),Prod_Prop!$A:$A,Prod_Prop!$J:$J,"",0,1))</f>
        <v/>
      </c>
      <c r="M483" s="4" t="str">
        <f t="array" ref="M483">IF($E483="","", XLOOKUP(SUMIFS(Prod_Prop!$A:$A,Prod_Prop!$B:$B,$E483,Prod_Prop!$H:$H,M$1,Prod_Prop!$I:$I,"Exacto"),Prod_Prop!$A:$A,Prod_Prop!$J:$J,"",0,1))</f>
        <v/>
      </c>
      <c r="N483" s="4" t="str">
        <f t="array" ref="N483">IF($E483="","", XLOOKUP(SUMIFS(Prod_Prop!$A:$A,Prod_Prop!$B:$B,$E483,Prod_Prop!$H:$H,N$1,Prod_Prop!$I:$I,"Exacto"),Prod_Prop!$A:$A,Prod_Prop!$J:$J,"",0,1))</f>
        <v/>
      </c>
      <c r="O483" s="4" t="str">
        <f t="array" ref="O483">IF($E483="","", XLOOKUP(SUMIFS(Prod_Prop!$A:$A,Prod_Prop!$B:$B,$E483,Prod_Prop!$H:$H,O$1,Prod_Prop!$I:$I,"Exacto"),Prod_Prop!$A:$A,Prod_Prop!$J:$J,"",0,1))</f>
        <v/>
      </c>
      <c r="P483" s="4" t="str">
        <f t="array" ref="P483">IF($E483="","", XLOOKUP(SUMIFS(Prod_Prop!$A:$A,Prod_Prop!$B:$B,$E483,Prod_Prop!$H:$H,P$1,Prod_Prop!$I:$I,"Exacto"),Prod_Prop!$A:$A,Prod_Prop!$J:$J,"",0,1))</f>
        <v/>
      </c>
      <c r="Q483" s="4" t="str">
        <f t="array" ref="Q483">IF($E483="","", XLOOKUP(SUMIFS(Prod_Prop!$A:$A,Prod_Prop!$B:$B,$E483,Prod_Prop!$H:$H,Q$1,Prod_Prop!$I:$I,"Exacto"),Prod_Prop!$A:$A,Prod_Prop!$J:$J,"",0,1))</f>
        <v/>
      </c>
      <c r="R483" s="4" t="str">
        <f t="array" ref="R483">IF($E483="","", XLOOKUP(SUMIFS(Prod_Prop!$A:$A,Prod_Prop!$B:$B,$E483,Prod_Prop!$H:$H,R$1,Prod_Prop!$I:$I,"Exacto"),Prod_Prop!$A:$A,Prod_Prop!$J:$J,"",0,1))</f>
        <v/>
      </c>
      <c r="S483" s="4" t="str">
        <f t="array" ref="S483">IF($E483="","", XLOOKUP(SUMIFS(Prod_Prop!$A:$A,Prod_Prop!$B:$B,$E483,Prod_Prop!$H:$H,S$1,Prod_Prop!$I:$I,"Exacto"),Prod_Prop!$A:$A,Prod_Prop!$J:$J,"",0,1))</f>
        <v/>
      </c>
      <c r="T483" s="4" t="str">
        <f t="array" ref="T483">IF($E483="","", XLOOKUP(SUMIFS(Prod_Prop!$A:$A,Prod_Prop!$B:$B,$E483,Prod_Prop!$H:$H,T$1,Prod_Prop!$I:$I,"Exacto"),Prod_Prop!$A:$A,Prod_Prop!$J:$J,"",0,1))</f>
        <v/>
      </c>
      <c r="U483" s="4" t="str">
        <f t="array" ref="U483">IF($E483="","", XLOOKUP(SUMIFS(Prod_Prop!$A:$A,Prod_Prop!$B:$B,$E483,Prod_Prop!$H:$H,U$1,Prod_Prop!$I:$I,"Exacto"),Prod_Prop!$A:$A,Prod_Prop!$J:$J,"",0,1))</f>
        <v/>
      </c>
      <c r="V483" s="4" t="str">
        <f t="array" ref="V483">IF($E483="","", XLOOKUP(SUMIFS(Prod_Prop!$A:$A,Prod_Prop!$B:$B,$E483,Prod_Prop!$H:$H,V$1,Prod_Prop!$I:$I,"Exacto"),Prod_Prop!$A:$A,Prod_Prop!$J:$J,"",0,1))</f>
        <v/>
      </c>
      <c r="X483" s="3" t="str">
        <f>IFERROR(__xludf.DUMMYFUNCTION("IF(D483="""","""",IFERROR(TRANSPOSE(FILTER('Validaciones Cotizador'!U:U,'Validaciones Cotizador'!O:O=D483,'Validaciones Cotizador'!T:T=""x"")),""Finalizar""))"),"")</f>
        <v/>
      </c>
    </row>
    <row r="484">
      <c r="A484" s="2" t="str">
        <f t="array" ref="A484">IF(E484="","",XLOOKUP(D484,'Validaciones Cotizador'!C:C,'Validaciones Cotizador'!A:A,"",0,1))</f>
        <v/>
      </c>
      <c r="B484" s="2" t="str">
        <f t="array" ref="B484">IF(F484="","",XLOOKUP(F484,Productos!E:E,Productos!G:G,"",0,1))</f>
        <v/>
      </c>
      <c r="C484" s="2" t="str">
        <f>IF(A484="","",SUMIFS('Validaciones Cotizador'!B:B,'Validaciones Cotizador'!C:C,D484,'Validaciones Cotizador'!A:A,A484))</f>
        <v/>
      </c>
      <c r="D484" s="4" t="str">
        <f>IFERROR(__xludf.DUMMYFUNCTION("IF(OR(F483=""Finalizar"",F483="""",F483=""Selecciona..""),"""",IF(OR(F483=""-"",INDEX(filter(Familias!F:F,Familias!D:D=A483,Familias!E:E=C483),1)=""O""),D483+1,D483))"),"")</f>
        <v/>
      </c>
      <c r="E484" s="2" t="str">
        <f>IF(OR(F484="",F484="Selecciona.."),"",IF(D484="Implemento",SUMIF(Implementos!B:B,F484,Implementos!A:A),SUMIF(Productos!E:E,F484,Productos!A:A)))</f>
        <v/>
      </c>
      <c r="F484" s="2" t="str">
        <f t="shared" si="2"/>
        <v/>
      </c>
      <c r="G484" s="10" t="str">
        <f t="array" ref="G484">IF(OR(F484="",F484="-",F484="Selecciona..",F484="Finalizar"),"",IF(A484="Rodados",XLOOKUP(B484,'Validaciones Cotizador'!I:I,'Validaciones Cotizador'!J:J,0,0,1),1))</f>
        <v/>
      </c>
      <c r="H484" s="11" t="str">
        <f>IF(OR(F484="",F484="Selecciona.."),"",SUMIF(Precio_Productos!K:K,E484,Precio_Productos!J:J)*G484)</f>
        <v/>
      </c>
      <c r="I484" s="4" t="str">
        <f t="array" ref="I484">IF($E484="","", XLOOKUP(SUMIFS(Prod_Prop!$A:$A,Prod_Prop!$B:$B,$E484,Prod_Prop!$H:$H,I$1,Prod_Prop!$I:$I,"Exacto"),Prod_Prop!$A:$A,Prod_Prop!$J:$J,"",0,1))</f>
        <v/>
      </c>
      <c r="J484" s="4" t="str">
        <f t="array" ref="J484">IF($E484="","", XLOOKUP(SUMIFS(Prod_Prop!$A:$A,Prod_Prop!$B:$B,$E484,Prod_Prop!$H:$H,J$1,Prod_Prop!$I:$I,"Exacto"),Prod_Prop!$A:$A,Prod_Prop!$J:$J,"",0,1))</f>
        <v/>
      </c>
      <c r="K484" s="4" t="str">
        <f t="array" ref="K484">IF($E484="","", XLOOKUP(SUMIFS(Prod_Prop!$A:$A,Prod_Prop!$B:$B,$E484,Prod_Prop!$H:$H,K$1,Prod_Prop!$I:$I,"Exacto"),Prod_Prop!$A:$A,Prod_Prop!$J:$J,"",0,1))</f>
        <v/>
      </c>
      <c r="L484" s="4" t="str">
        <f t="array" ref="L484">IF($E484="","", XLOOKUP(SUMIFS(Prod_Prop!$A:$A,Prod_Prop!$B:$B,$E484,Prod_Prop!$H:$H,L$1,Prod_Prop!$I:$I,"Exacto"),Prod_Prop!$A:$A,Prod_Prop!$J:$J,"",0,1))</f>
        <v/>
      </c>
      <c r="M484" s="4" t="str">
        <f t="array" ref="M484">IF($E484="","", XLOOKUP(SUMIFS(Prod_Prop!$A:$A,Prod_Prop!$B:$B,$E484,Prod_Prop!$H:$H,M$1,Prod_Prop!$I:$I,"Exacto"),Prod_Prop!$A:$A,Prod_Prop!$J:$J,"",0,1))</f>
        <v/>
      </c>
      <c r="N484" s="4" t="str">
        <f t="array" ref="N484">IF($E484="","", XLOOKUP(SUMIFS(Prod_Prop!$A:$A,Prod_Prop!$B:$B,$E484,Prod_Prop!$H:$H,N$1,Prod_Prop!$I:$I,"Exacto"),Prod_Prop!$A:$A,Prod_Prop!$J:$J,"",0,1))</f>
        <v/>
      </c>
      <c r="O484" s="4" t="str">
        <f t="array" ref="O484">IF($E484="","", XLOOKUP(SUMIFS(Prod_Prop!$A:$A,Prod_Prop!$B:$B,$E484,Prod_Prop!$H:$H,O$1,Prod_Prop!$I:$I,"Exacto"),Prod_Prop!$A:$A,Prod_Prop!$J:$J,"",0,1))</f>
        <v/>
      </c>
      <c r="P484" s="4" t="str">
        <f t="array" ref="P484">IF($E484="","", XLOOKUP(SUMIFS(Prod_Prop!$A:$A,Prod_Prop!$B:$B,$E484,Prod_Prop!$H:$H,P$1,Prod_Prop!$I:$I,"Exacto"),Prod_Prop!$A:$A,Prod_Prop!$J:$J,"",0,1))</f>
        <v/>
      </c>
      <c r="Q484" s="4" t="str">
        <f t="array" ref="Q484">IF($E484="","", XLOOKUP(SUMIFS(Prod_Prop!$A:$A,Prod_Prop!$B:$B,$E484,Prod_Prop!$H:$H,Q$1,Prod_Prop!$I:$I,"Exacto"),Prod_Prop!$A:$A,Prod_Prop!$J:$J,"",0,1))</f>
        <v/>
      </c>
      <c r="R484" s="4" t="str">
        <f t="array" ref="R484">IF($E484="","", XLOOKUP(SUMIFS(Prod_Prop!$A:$A,Prod_Prop!$B:$B,$E484,Prod_Prop!$H:$H,R$1,Prod_Prop!$I:$I,"Exacto"),Prod_Prop!$A:$A,Prod_Prop!$J:$J,"",0,1))</f>
        <v/>
      </c>
      <c r="S484" s="4" t="str">
        <f t="array" ref="S484">IF($E484="","", XLOOKUP(SUMIFS(Prod_Prop!$A:$A,Prod_Prop!$B:$B,$E484,Prod_Prop!$H:$H,S$1,Prod_Prop!$I:$I,"Exacto"),Prod_Prop!$A:$A,Prod_Prop!$J:$J,"",0,1))</f>
        <v/>
      </c>
      <c r="T484" s="4" t="str">
        <f t="array" ref="T484">IF($E484="","", XLOOKUP(SUMIFS(Prod_Prop!$A:$A,Prod_Prop!$B:$B,$E484,Prod_Prop!$H:$H,T$1,Prod_Prop!$I:$I,"Exacto"),Prod_Prop!$A:$A,Prod_Prop!$J:$J,"",0,1))</f>
        <v/>
      </c>
      <c r="U484" s="4" t="str">
        <f t="array" ref="U484">IF($E484="","", XLOOKUP(SUMIFS(Prod_Prop!$A:$A,Prod_Prop!$B:$B,$E484,Prod_Prop!$H:$H,U$1,Prod_Prop!$I:$I,"Exacto"),Prod_Prop!$A:$A,Prod_Prop!$J:$J,"",0,1))</f>
        <v/>
      </c>
      <c r="V484" s="4" t="str">
        <f t="array" ref="V484">IF($E484="","", XLOOKUP(SUMIFS(Prod_Prop!$A:$A,Prod_Prop!$B:$B,$E484,Prod_Prop!$H:$H,V$1,Prod_Prop!$I:$I,"Exacto"),Prod_Prop!$A:$A,Prod_Prop!$J:$J,"",0,1))</f>
        <v/>
      </c>
      <c r="X484" s="3" t="str">
        <f>IFERROR(__xludf.DUMMYFUNCTION("IF(D484="""","""",IFERROR(TRANSPOSE(FILTER('Validaciones Cotizador'!U:U,'Validaciones Cotizador'!O:O=D484,'Validaciones Cotizador'!T:T=""x"")),""Finalizar""))"),"")</f>
        <v/>
      </c>
    </row>
    <row r="485">
      <c r="A485" s="2" t="str">
        <f t="array" ref="A485">IF(E485="","",XLOOKUP(D485,'Validaciones Cotizador'!C:C,'Validaciones Cotizador'!A:A,"",0,1))</f>
        <v/>
      </c>
      <c r="B485" s="2" t="str">
        <f t="array" ref="B485">IF(F485="","",XLOOKUP(F485,Productos!E:E,Productos!G:G,"",0,1))</f>
        <v/>
      </c>
      <c r="C485" s="2" t="str">
        <f>IF(A485="","",SUMIFS('Validaciones Cotizador'!B:B,'Validaciones Cotizador'!C:C,D485,'Validaciones Cotizador'!A:A,A485))</f>
        <v/>
      </c>
      <c r="D485" s="4" t="str">
        <f>IFERROR(__xludf.DUMMYFUNCTION("IF(OR(F484=""Finalizar"",F484="""",F484=""Selecciona..""),"""",IF(OR(F484=""-"",INDEX(filter(Familias!F:F,Familias!D:D=A484,Familias!E:E=C484),1)=""O""),D484+1,D484))"),"")</f>
        <v/>
      </c>
      <c r="E485" s="2" t="str">
        <f>IF(OR(F485="",F485="Selecciona.."),"",IF(D485="Implemento",SUMIF(Implementos!B:B,F485,Implementos!A:A),SUMIF(Productos!E:E,F485,Productos!A:A)))</f>
        <v/>
      </c>
      <c r="F485" s="2" t="str">
        <f t="shared" si="2"/>
        <v/>
      </c>
      <c r="G485" s="10" t="str">
        <f t="array" ref="G485">IF(OR(F485="",F485="-",F485="Selecciona..",F485="Finalizar"),"",IF(A485="Rodados",XLOOKUP(B485,'Validaciones Cotizador'!I:I,'Validaciones Cotizador'!J:J,0,0,1),1))</f>
        <v/>
      </c>
      <c r="H485" s="11" t="str">
        <f>IF(OR(F485="",F485="Selecciona.."),"",SUMIF(Precio_Productos!K:K,E485,Precio_Productos!J:J)*G485)</f>
        <v/>
      </c>
      <c r="I485" s="4" t="str">
        <f t="array" ref="I485">IF($E485="","", XLOOKUP(SUMIFS(Prod_Prop!$A:$A,Prod_Prop!$B:$B,$E485,Prod_Prop!$H:$H,I$1,Prod_Prop!$I:$I,"Exacto"),Prod_Prop!$A:$A,Prod_Prop!$J:$J,"",0,1))</f>
        <v/>
      </c>
      <c r="J485" s="4" t="str">
        <f t="array" ref="J485">IF($E485="","", XLOOKUP(SUMIFS(Prod_Prop!$A:$A,Prod_Prop!$B:$B,$E485,Prod_Prop!$H:$H,J$1,Prod_Prop!$I:$I,"Exacto"),Prod_Prop!$A:$A,Prod_Prop!$J:$J,"",0,1))</f>
        <v/>
      </c>
      <c r="K485" s="4" t="str">
        <f t="array" ref="K485">IF($E485="","", XLOOKUP(SUMIFS(Prod_Prop!$A:$A,Prod_Prop!$B:$B,$E485,Prod_Prop!$H:$H,K$1,Prod_Prop!$I:$I,"Exacto"),Prod_Prop!$A:$A,Prod_Prop!$J:$J,"",0,1))</f>
        <v/>
      </c>
      <c r="L485" s="4" t="str">
        <f t="array" ref="L485">IF($E485="","", XLOOKUP(SUMIFS(Prod_Prop!$A:$A,Prod_Prop!$B:$B,$E485,Prod_Prop!$H:$H,L$1,Prod_Prop!$I:$I,"Exacto"),Prod_Prop!$A:$A,Prod_Prop!$J:$J,"",0,1))</f>
        <v/>
      </c>
      <c r="M485" s="4" t="str">
        <f t="array" ref="M485">IF($E485="","", XLOOKUP(SUMIFS(Prod_Prop!$A:$A,Prod_Prop!$B:$B,$E485,Prod_Prop!$H:$H,M$1,Prod_Prop!$I:$I,"Exacto"),Prod_Prop!$A:$A,Prod_Prop!$J:$J,"",0,1))</f>
        <v/>
      </c>
      <c r="N485" s="4" t="str">
        <f t="array" ref="N485">IF($E485="","", XLOOKUP(SUMIFS(Prod_Prop!$A:$A,Prod_Prop!$B:$B,$E485,Prod_Prop!$H:$H,N$1,Prod_Prop!$I:$I,"Exacto"),Prod_Prop!$A:$A,Prod_Prop!$J:$J,"",0,1))</f>
        <v/>
      </c>
      <c r="O485" s="4" t="str">
        <f t="array" ref="O485">IF($E485="","", XLOOKUP(SUMIFS(Prod_Prop!$A:$A,Prod_Prop!$B:$B,$E485,Prod_Prop!$H:$H,O$1,Prod_Prop!$I:$I,"Exacto"),Prod_Prop!$A:$A,Prod_Prop!$J:$J,"",0,1))</f>
        <v/>
      </c>
      <c r="P485" s="4" t="str">
        <f t="array" ref="P485">IF($E485="","", XLOOKUP(SUMIFS(Prod_Prop!$A:$A,Prod_Prop!$B:$B,$E485,Prod_Prop!$H:$H,P$1,Prod_Prop!$I:$I,"Exacto"),Prod_Prop!$A:$A,Prod_Prop!$J:$J,"",0,1))</f>
        <v/>
      </c>
      <c r="Q485" s="4" t="str">
        <f t="array" ref="Q485">IF($E485="","", XLOOKUP(SUMIFS(Prod_Prop!$A:$A,Prod_Prop!$B:$B,$E485,Prod_Prop!$H:$H,Q$1,Prod_Prop!$I:$I,"Exacto"),Prod_Prop!$A:$A,Prod_Prop!$J:$J,"",0,1))</f>
        <v/>
      </c>
      <c r="R485" s="4" t="str">
        <f t="array" ref="R485">IF($E485="","", XLOOKUP(SUMIFS(Prod_Prop!$A:$A,Prod_Prop!$B:$B,$E485,Prod_Prop!$H:$H,R$1,Prod_Prop!$I:$I,"Exacto"),Prod_Prop!$A:$A,Prod_Prop!$J:$J,"",0,1))</f>
        <v/>
      </c>
      <c r="S485" s="4" t="str">
        <f t="array" ref="S485">IF($E485="","", XLOOKUP(SUMIFS(Prod_Prop!$A:$A,Prod_Prop!$B:$B,$E485,Prod_Prop!$H:$H,S$1,Prod_Prop!$I:$I,"Exacto"),Prod_Prop!$A:$A,Prod_Prop!$J:$J,"",0,1))</f>
        <v/>
      </c>
      <c r="T485" s="4" t="str">
        <f t="array" ref="T485">IF($E485="","", XLOOKUP(SUMIFS(Prod_Prop!$A:$A,Prod_Prop!$B:$B,$E485,Prod_Prop!$H:$H,T$1,Prod_Prop!$I:$I,"Exacto"),Prod_Prop!$A:$A,Prod_Prop!$J:$J,"",0,1))</f>
        <v/>
      </c>
      <c r="U485" s="4" t="str">
        <f t="array" ref="U485">IF($E485="","", XLOOKUP(SUMIFS(Prod_Prop!$A:$A,Prod_Prop!$B:$B,$E485,Prod_Prop!$H:$H,U$1,Prod_Prop!$I:$I,"Exacto"),Prod_Prop!$A:$A,Prod_Prop!$J:$J,"",0,1))</f>
        <v/>
      </c>
      <c r="V485" s="4" t="str">
        <f t="array" ref="V485">IF($E485="","", XLOOKUP(SUMIFS(Prod_Prop!$A:$A,Prod_Prop!$B:$B,$E485,Prod_Prop!$H:$H,V$1,Prod_Prop!$I:$I,"Exacto"),Prod_Prop!$A:$A,Prod_Prop!$J:$J,"",0,1))</f>
        <v/>
      </c>
      <c r="X485" s="3" t="str">
        <f>IFERROR(__xludf.DUMMYFUNCTION("IF(D485="""","""",IFERROR(TRANSPOSE(FILTER('Validaciones Cotizador'!U:U,'Validaciones Cotizador'!O:O=D485,'Validaciones Cotizador'!T:T=""x"")),""Finalizar""))"),"")</f>
        <v/>
      </c>
    </row>
    <row r="486">
      <c r="A486" s="2" t="str">
        <f t="array" ref="A486">IF(E486="","",XLOOKUP(D486,'Validaciones Cotizador'!C:C,'Validaciones Cotizador'!A:A,"",0,1))</f>
        <v/>
      </c>
      <c r="B486" s="2" t="str">
        <f t="array" ref="B486">IF(F486="","",XLOOKUP(F486,Productos!E:E,Productos!G:G,"",0,1))</f>
        <v/>
      </c>
      <c r="C486" s="2" t="str">
        <f>IF(A486="","",SUMIFS('Validaciones Cotizador'!B:B,'Validaciones Cotizador'!C:C,D486,'Validaciones Cotizador'!A:A,A486))</f>
        <v/>
      </c>
      <c r="D486" s="4" t="str">
        <f>IFERROR(__xludf.DUMMYFUNCTION("IF(OR(F485=""Finalizar"",F485="""",F485=""Selecciona..""),"""",IF(OR(F485=""-"",INDEX(filter(Familias!F:F,Familias!D:D=A485,Familias!E:E=C485),1)=""O""),D485+1,D485))"),"")</f>
        <v/>
      </c>
      <c r="E486" s="2" t="str">
        <f>IF(OR(F486="",F486="Selecciona.."),"",IF(D486="Implemento",SUMIF(Implementos!B:B,F486,Implementos!A:A),SUMIF(Productos!E:E,F486,Productos!A:A)))</f>
        <v/>
      </c>
      <c r="F486" s="2" t="str">
        <f t="shared" si="2"/>
        <v/>
      </c>
      <c r="G486" s="10" t="str">
        <f t="array" ref="G486">IF(OR(F486="",F486="-",F486="Selecciona..",F486="Finalizar"),"",IF(A486="Rodados",XLOOKUP(B486,'Validaciones Cotizador'!I:I,'Validaciones Cotizador'!J:J,0,0,1),1))</f>
        <v/>
      </c>
      <c r="H486" s="11" t="str">
        <f>IF(OR(F486="",F486="Selecciona.."),"",SUMIF(Precio_Productos!K:K,E486,Precio_Productos!J:J)*G486)</f>
        <v/>
      </c>
      <c r="I486" s="4" t="str">
        <f t="array" ref="I486">IF($E486="","", XLOOKUP(SUMIFS(Prod_Prop!$A:$A,Prod_Prop!$B:$B,$E486,Prod_Prop!$H:$H,I$1,Prod_Prop!$I:$I,"Exacto"),Prod_Prop!$A:$A,Prod_Prop!$J:$J,"",0,1))</f>
        <v/>
      </c>
      <c r="J486" s="4" t="str">
        <f t="array" ref="J486">IF($E486="","", XLOOKUP(SUMIFS(Prod_Prop!$A:$A,Prod_Prop!$B:$B,$E486,Prod_Prop!$H:$H,J$1,Prod_Prop!$I:$I,"Exacto"),Prod_Prop!$A:$A,Prod_Prop!$J:$J,"",0,1))</f>
        <v/>
      </c>
      <c r="K486" s="4" t="str">
        <f t="array" ref="K486">IF($E486="","", XLOOKUP(SUMIFS(Prod_Prop!$A:$A,Prod_Prop!$B:$B,$E486,Prod_Prop!$H:$H,K$1,Prod_Prop!$I:$I,"Exacto"),Prod_Prop!$A:$A,Prod_Prop!$J:$J,"",0,1))</f>
        <v/>
      </c>
      <c r="L486" s="4" t="str">
        <f t="array" ref="L486">IF($E486="","", XLOOKUP(SUMIFS(Prod_Prop!$A:$A,Prod_Prop!$B:$B,$E486,Prod_Prop!$H:$H,L$1,Prod_Prop!$I:$I,"Exacto"),Prod_Prop!$A:$A,Prod_Prop!$J:$J,"",0,1))</f>
        <v/>
      </c>
      <c r="M486" s="4" t="str">
        <f t="array" ref="M486">IF($E486="","", XLOOKUP(SUMIFS(Prod_Prop!$A:$A,Prod_Prop!$B:$B,$E486,Prod_Prop!$H:$H,M$1,Prod_Prop!$I:$I,"Exacto"),Prod_Prop!$A:$A,Prod_Prop!$J:$J,"",0,1))</f>
        <v/>
      </c>
      <c r="N486" s="4" t="str">
        <f t="array" ref="N486">IF($E486="","", XLOOKUP(SUMIFS(Prod_Prop!$A:$A,Prod_Prop!$B:$B,$E486,Prod_Prop!$H:$H,N$1,Prod_Prop!$I:$I,"Exacto"),Prod_Prop!$A:$A,Prod_Prop!$J:$J,"",0,1))</f>
        <v/>
      </c>
      <c r="O486" s="4" t="str">
        <f t="array" ref="O486">IF($E486="","", XLOOKUP(SUMIFS(Prod_Prop!$A:$A,Prod_Prop!$B:$B,$E486,Prod_Prop!$H:$H,O$1,Prod_Prop!$I:$I,"Exacto"),Prod_Prop!$A:$A,Prod_Prop!$J:$J,"",0,1))</f>
        <v/>
      </c>
      <c r="P486" s="4" t="str">
        <f t="array" ref="P486">IF($E486="","", XLOOKUP(SUMIFS(Prod_Prop!$A:$A,Prod_Prop!$B:$B,$E486,Prod_Prop!$H:$H,P$1,Prod_Prop!$I:$I,"Exacto"),Prod_Prop!$A:$A,Prod_Prop!$J:$J,"",0,1))</f>
        <v/>
      </c>
      <c r="Q486" s="4" t="str">
        <f t="array" ref="Q486">IF($E486="","", XLOOKUP(SUMIFS(Prod_Prop!$A:$A,Prod_Prop!$B:$B,$E486,Prod_Prop!$H:$H,Q$1,Prod_Prop!$I:$I,"Exacto"),Prod_Prop!$A:$A,Prod_Prop!$J:$J,"",0,1))</f>
        <v/>
      </c>
      <c r="R486" s="4" t="str">
        <f t="array" ref="R486">IF($E486="","", XLOOKUP(SUMIFS(Prod_Prop!$A:$A,Prod_Prop!$B:$B,$E486,Prod_Prop!$H:$H,R$1,Prod_Prop!$I:$I,"Exacto"),Prod_Prop!$A:$A,Prod_Prop!$J:$J,"",0,1))</f>
        <v/>
      </c>
      <c r="S486" s="4" t="str">
        <f t="array" ref="S486">IF($E486="","", XLOOKUP(SUMIFS(Prod_Prop!$A:$A,Prod_Prop!$B:$B,$E486,Prod_Prop!$H:$H,S$1,Prod_Prop!$I:$I,"Exacto"),Prod_Prop!$A:$A,Prod_Prop!$J:$J,"",0,1))</f>
        <v/>
      </c>
      <c r="T486" s="4" t="str">
        <f t="array" ref="T486">IF($E486="","", XLOOKUP(SUMIFS(Prod_Prop!$A:$A,Prod_Prop!$B:$B,$E486,Prod_Prop!$H:$H,T$1,Prod_Prop!$I:$I,"Exacto"),Prod_Prop!$A:$A,Prod_Prop!$J:$J,"",0,1))</f>
        <v/>
      </c>
      <c r="U486" s="4" t="str">
        <f t="array" ref="U486">IF($E486="","", XLOOKUP(SUMIFS(Prod_Prop!$A:$A,Prod_Prop!$B:$B,$E486,Prod_Prop!$H:$H,U$1,Prod_Prop!$I:$I,"Exacto"),Prod_Prop!$A:$A,Prod_Prop!$J:$J,"",0,1))</f>
        <v/>
      </c>
      <c r="V486" s="4" t="str">
        <f t="array" ref="V486">IF($E486="","", XLOOKUP(SUMIFS(Prod_Prop!$A:$A,Prod_Prop!$B:$B,$E486,Prod_Prop!$H:$H,V$1,Prod_Prop!$I:$I,"Exacto"),Prod_Prop!$A:$A,Prod_Prop!$J:$J,"",0,1))</f>
        <v/>
      </c>
      <c r="X486" s="3" t="str">
        <f>IFERROR(__xludf.DUMMYFUNCTION("IF(D486="""","""",IFERROR(TRANSPOSE(FILTER('Validaciones Cotizador'!U:U,'Validaciones Cotizador'!O:O=D486,'Validaciones Cotizador'!T:T=""x"")),""Finalizar""))"),"")</f>
        <v/>
      </c>
    </row>
    <row r="487">
      <c r="A487" s="2" t="str">
        <f t="array" ref="A487">IF(E487="","",XLOOKUP(D487,'Validaciones Cotizador'!C:C,'Validaciones Cotizador'!A:A,"",0,1))</f>
        <v/>
      </c>
      <c r="B487" s="2" t="str">
        <f t="array" ref="B487">IF(F487="","",XLOOKUP(F487,Productos!E:E,Productos!G:G,"",0,1))</f>
        <v/>
      </c>
      <c r="C487" s="2" t="str">
        <f>IF(A487="","",SUMIFS('Validaciones Cotizador'!B:B,'Validaciones Cotizador'!C:C,D487,'Validaciones Cotizador'!A:A,A487))</f>
        <v/>
      </c>
      <c r="D487" s="4" t="str">
        <f>IFERROR(__xludf.DUMMYFUNCTION("IF(OR(F486=""Finalizar"",F486="""",F486=""Selecciona..""),"""",IF(OR(F486=""-"",INDEX(filter(Familias!F:F,Familias!D:D=A486,Familias!E:E=C486),1)=""O""),D486+1,D486))"),"")</f>
        <v/>
      </c>
      <c r="E487" s="2" t="str">
        <f>IF(OR(F487="",F487="Selecciona.."),"",IF(D487="Implemento",SUMIF(Implementos!B:B,F487,Implementos!A:A),SUMIF(Productos!E:E,F487,Productos!A:A)))</f>
        <v/>
      </c>
      <c r="F487" s="2" t="str">
        <f t="shared" si="2"/>
        <v/>
      </c>
      <c r="G487" s="10" t="str">
        <f t="array" ref="G487">IF(OR(F487="",F487="-",F487="Selecciona..",F487="Finalizar"),"",IF(A487="Rodados",XLOOKUP(B487,'Validaciones Cotizador'!I:I,'Validaciones Cotizador'!J:J,0,0,1),1))</f>
        <v/>
      </c>
      <c r="H487" s="11" t="str">
        <f>IF(OR(F487="",F487="Selecciona.."),"",SUMIF(Precio_Productos!K:K,E487,Precio_Productos!J:J)*G487)</f>
        <v/>
      </c>
      <c r="I487" s="4" t="str">
        <f t="array" ref="I487">IF($E487="","", XLOOKUP(SUMIFS(Prod_Prop!$A:$A,Prod_Prop!$B:$B,$E487,Prod_Prop!$H:$H,I$1,Prod_Prop!$I:$I,"Exacto"),Prod_Prop!$A:$A,Prod_Prop!$J:$J,"",0,1))</f>
        <v/>
      </c>
      <c r="J487" s="4" t="str">
        <f t="array" ref="J487">IF($E487="","", XLOOKUP(SUMIFS(Prod_Prop!$A:$A,Prod_Prop!$B:$B,$E487,Prod_Prop!$H:$H,J$1,Prod_Prop!$I:$I,"Exacto"),Prod_Prop!$A:$A,Prod_Prop!$J:$J,"",0,1))</f>
        <v/>
      </c>
      <c r="K487" s="4" t="str">
        <f t="array" ref="K487">IF($E487="","", XLOOKUP(SUMIFS(Prod_Prop!$A:$A,Prod_Prop!$B:$B,$E487,Prod_Prop!$H:$H,K$1,Prod_Prop!$I:$I,"Exacto"),Prod_Prop!$A:$A,Prod_Prop!$J:$J,"",0,1))</f>
        <v/>
      </c>
      <c r="L487" s="4" t="str">
        <f t="array" ref="L487">IF($E487="","", XLOOKUP(SUMIFS(Prod_Prop!$A:$A,Prod_Prop!$B:$B,$E487,Prod_Prop!$H:$H,L$1,Prod_Prop!$I:$I,"Exacto"),Prod_Prop!$A:$A,Prod_Prop!$J:$J,"",0,1))</f>
        <v/>
      </c>
      <c r="M487" s="4" t="str">
        <f t="array" ref="M487">IF($E487="","", XLOOKUP(SUMIFS(Prod_Prop!$A:$A,Prod_Prop!$B:$B,$E487,Prod_Prop!$H:$H,M$1,Prod_Prop!$I:$I,"Exacto"),Prod_Prop!$A:$A,Prod_Prop!$J:$J,"",0,1))</f>
        <v/>
      </c>
      <c r="N487" s="4" t="str">
        <f t="array" ref="N487">IF($E487="","", XLOOKUP(SUMIFS(Prod_Prop!$A:$A,Prod_Prop!$B:$B,$E487,Prod_Prop!$H:$H,N$1,Prod_Prop!$I:$I,"Exacto"),Prod_Prop!$A:$A,Prod_Prop!$J:$J,"",0,1))</f>
        <v/>
      </c>
      <c r="O487" s="4" t="str">
        <f t="array" ref="O487">IF($E487="","", XLOOKUP(SUMIFS(Prod_Prop!$A:$A,Prod_Prop!$B:$B,$E487,Prod_Prop!$H:$H,O$1,Prod_Prop!$I:$I,"Exacto"),Prod_Prop!$A:$A,Prod_Prop!$J:$J,"",0,1))</f>
        <v/>
      </c>
      <c r="P487" s="4" t="str">
        <f t="array" ref="P487">IF($E487="","", XLOOKUP(SUMIFS(Prod_Prop!$A:$A,Prod_Prop!$B:$B,$E487,Prod_Prop!$H:$H,P$1,Prod_Prop!$I:$I,"Exacto"),Prod_Prop!$A:$A,Prod_Prop!$J:$J,"",0,1))</f>
        <v/>
      </c>
      <c r="Q487" s="4" t="str">
        <f t="array" ref="Q487">IF($E487="","", XLOOKUP(SUMIFS(Prod_Prop!$A:$A,Prod_Prop!$B:$B,$E487,Prod_Prop!$H:$H,Q$1,Prod_Prop!$I:$I,"Exacto"),Prod_Prop!$A:$A,Prod_Prop!$J:$J,"",0,1))</f>
        <v/>
      </c>
      <c r="R487" s="4" t="str">
        <f t="array" ref="R487">IF($E487="","", XLOOKUP(SUMIFS(Prod_Prop!$A:$A,Prod_Prop!$B:$B,$E487,Prod_Prop!$H:$H,R$1,Prod_Prop!$I:$I,"Exacto"),Prod_Prop!$A:$A,Prod_Prop!$J:$J,"",0,1))</f>
        <v/>
      </c>
      <c r="S487" s="4" t="str">
        <f t="array" ref="S487">IF($E487="","", XLOOKUP(SUMIFS(Prod_Prop!$A:$A,Prod_Prop!$B:$B,$E487,Prod_Prop!$H:$H,S$1,Prod_Prop!$I:$I,"Exacto"),Prod_Prop!$A:$A,Prod_Prop!$J:$J,"",0,1))</f>
        <v/>
      </c>
      <c r="T487" s="4" t="str">
        <f t="array" ref="T487">IF($E487="","", XLOOKUP(SUMIFS(Prod_Prop!$A:$A,Prod_Prop!$B:$B,$E487,Prod_Prop!$H:$H,T$1,Prod_Prop!$I:$I,"Exacto"),Prod_Prop!$A:$A,Prod_Prop!$J:$J,"",0,1))</f>
        <v/>
      </c>
      <c r="U487" s="4" t="str">
        <f t="array" ref="U487">IF($E487="","", XLOOKUP(SUMIFS(Prod_Prop!$A:$A,Prod_Prop!$B:$B,$E487,Prod_Prop!$H:$H,U$1,Prod_Prop!$I:$I,"Exacto"),Prod_Prop!$A:$A,Prod_Prop!$J:$J,"",0,1))</f>
        <v/>
      </c>
      <c r="V487" s="4" t="str">
        <f t="array" ref="V487">IF($E487="","", XLOOKUP(SUMIFS(Prod_Prop!$A:$A,Prod_Prop!$B:$B,$E487,Prod_Prop!$H:$H,V$1,Prod_Prop!$I:$I,"Exacto"),Prod_Prop!$A:$A,Prod_Prop!$J:$J,"",0,1))</f>
        <v/>
      </c>
      <c r="X487" s="3" t="str">
        <f>IFERROR(__xludf.DUMMYFUNCTION("IF(D487="""","""",IFERROR(TRANSPOSE(FILTER('Validaciones Cotizador'!U:U,'Validaciones Cotizador'!O:O=D487,'Validaciones Cotizador'!T:T=""x"")),""Finalizar""))"),"")</f>
        <v/>
      </c>
    </row>
    <row r="488">
      <c r="A488" s="2" t="str">
        <f t="array" ref="A488">IF(E488="","",XLOOKUP(D488,'Validaciones Cotizador'!C:C,'Validaciones Cotizador'!A:A,"",0,1))</f>
        <v/>
      </c>
      <c r="B488" s="2" t="str">
        <f t="array" ref="B488">IF(F488="","",XLOOKUP(F488,Productos!E:E,Productos!G:G,"",0,1))</f>
        <v/>
      </c>
      <c r="C488" s="2" t="str">
        <f>IF(A488="","",SUMIFS('Validaciones Cotizador'!B:B,'Validaciones Cotizador'!C:C,D488,'Validaciones Cotizador'!A:A,A488))</f>
        <v/>
      </c>
      <c r="D488" s="4" t="str">
        <f>IFERROR(__xludf.DUMMYFUNCTION("IF(OR(F487=""Finalizar"",F487="""",F487=""Selecciona..""),"""",IF(OR(F487=""-"",INDEX(filter(Familias!F:F,Familias!D:D=A487,Familias!E:E=C487),1)=""O""),D487+1,D487))"),"")</f>
        <v/>
      </c>
      <c r="E488" s="2" t="str">
        <f>IF(OR(F488="",F488="Selecciona.."),"",IF(D488="Implemento",SUMIF(Implementos!B:B,F488,Implementos!A:A),SUMIF(Productos!E:E,F488,Productos!A:A)))</f>
        <v/>
      </c>
      <c r="F488" s="2" t="str">
        <f t="shared" si="2"/>
        <v/>
      </c>
      <c r="G488" s="10" t="str">
        <f t="array" ref="G488">IF(OR(F488="",F488="-",F488="Selecciona..",F488="Finalizar"),"",IF(A488="Rodados",XLOOKUP(B488,'Validaciones Cotizador'!I:I,'Validaciones Cotizador'!J:J,0,0,1),1))</f>
        <v/>
      </c>
      <c r="H488" s="11" t="str">
        <f>IF(OR(F488="",F488="Selecciona.."),"",SUMIF(Precio_Productos!K:K,E488,Precio_Productos!J:J)*G488)</f>
        <v/>
      </c>
      <c r="I488" s="4" t="str">
        <f t="array" ref="I488">IF($E488="","", XLOOKUP(SUMIFS(Prod_Prop!$A:$A,Prod_Prop!$B:$B,$E488,Prod_Prop!$H:$H,I$1,Prod_Prop!$I:$I,"Exacto"),Prod_Prop!$A:$A,Prod_Prop!$J:$J,"",0,1))</f>
        <v/>
      </c>
      <c r="J488" s="4" t="str">
        <f t="array" ref="J488">IF($E488="","", XLOOKUP(SUMIFS(Prod_Prop!$A:$A,Prod_Prop!$B:$B,$E488,Prod_Prop!$H:$H,J$1,Prod_Prop!$I:$I,"Exacto"),Prod_Prop!$A:$A,Prod_Prop!$J:$J,"",0,1))</f>
        <v/>
      </c>
      <c r="K488" s="4" t="str">
        <f t="array" ref="K488">IF($E488="","", XLOOKUP(SUMIFS(Prod_Prop!$A:$A,Prod_Prop!$B:$B,$E488,Prod_Prop!$H:$H,K$1,Prod_Prop!$I:$I,"Exacto"),Prod_Prop!$A:$A,Prod_Prop!$J:$J,"",0,1))</f>
        <v/>
      </c>
      <c r="L488" s="4" t="str">
        <f t="array" ref="L488">IF($E488="","", XLOOKUP(SUMIFS(Prod_Prop!$A:$A,Prod_Prop!$B:$B,$E488,Prod_Prop!$H:$H,L$1,Prod_Prop!$I:$I,"Exacto"),Prod_Prop!$A:$A,Prod_Prop!$J:$J,"",0,1))</f>
        <v/>
      </c>
      <c r="M488" s="4" t="str">
        <f t="array" ref="M488">IF($E488="","", XLOOKUP(SUMIFS(Prod_Prop!$A:$A,Prod_Prop!$B:$B,$E488,Prod_Prop!$H:$H,M$1,Prod_Prop!$I:$I,"Exacto"),Prod_Prop!$A:$A,Prod_Prop!$J:$J,"",0,1))</f>
        <v/>
      </c>
      <c r="N488" s="4" t="str">
        <f t="array" ref="N488">IF($E488="","", XLOOKUP(SUMIFS(Prod_Prop!$A:$A,Prod_Prop!$B:$B,$E488,Prod_Prop!$H:$H,N$1,Prod_Prop!$I:$I,"Exacto"),Prod_Prop!$A:$A,Prod_Prop!$J:$J,"",0,1))</f>
        <v/>
      </c>
      <c r="O488" s="4" t="str">
        <f t="array" ref="O488">IF($E488="","", XLOOKUP(SUMIFS(Prod_Prop!$A:$A,Prod_Prop!$B:$B,$E488,Prod_Prop!$H:$H,O$1,Prod_Prop!$I:$I,"Exacto"),Prod_Prop!$A:$A,Prod_Prop!$J:$J,"",0,1))</f>
        <v/>
      </c>
      <c r="P488" s="4" t="str">
        <f t="array" ref="P488">IF($E488="","", XLOOKUP(SUMIFS(Prod_Prop!$A:$A,Prod_Prop!$B:$B,$E488,Prod_Prop!$H:$H,P$1,Prod_Prop!$I:$I,"Exacto"),Prod_Prop!$A:$A,Prod_Prop!$J:$J,"",0,1))</f>
        <v/>
      </c>
      <c r="Q488" s="4" t="str">
        <f t="array" ref="Q488">IF($E488="","", XLOOKUP(SUMIFS(Prod_Prop!$A:$A,Prod_Prop!$B:$B,$E488,Prod_Prop!$H:$H,Q$1,Prod_Prop!$I:$I,"Exacto"),Prod_Prop!$A:$A,Prod_Prop!$J:$J,"",0,1))</f>
        <v/>
      </c>
      <c r="R488" s="4" t="str">
        <f t="array" ref="R488">IF($E488="","", XLOOKUP(SUMIFS(Prod_Prop!$A:$A,Prod_Prop!$B:$B,$E488,Prod_Prop!$H:$H,R$1,Prod_Prop!$I:$I,"Exacto"),Prod_Prop!$A:$A,Prod_Prop!$J:$J,"",0,1))</f>
        <v/>
      </c>
      <c r="S488" s="4" t="str">
        <f t="array" ref="S488">IF($E488="","", XLOOKUP(SUMIFS(Prod_Prop!$A:$A,Prod_Prop!$B:$B,$E488,Prod_Prop!$H:$H,S$1,Prod_Prop!$I:$I,"Exacto"),Prod_Prop!$A:$A,Prod_Prop!$J:$J,"",0,1))</f>
        <v/>
      </c>
      <c r="T488" s="4" t="str">
        <f t="array" ref="T488">IF($E488="","", XLOOKUP(SUMIFS(Prod_Prop!$A:$A,Prod_Prop!$B:$B,$E488,Prod_Prop!$H:$H,T$1,Prod_Prop!$I:$I,"Exacto"),Prod_Prop!$A:$A,Prod_Prop!$J:$J,"",0,1))</f>
        <v/>
      </c>
      <c r="U488" s="4" t="str">
        <f t="array" ref="U488">IF($E488="","", XLOOKUP(SUMIFS(Prod_Prop!$A:$A,Prod_Prop!$B:$B,$E488,Prod_Prop!$H:$H,U$1,Prod_Prop!$I:$I,"Exacto"),Prod_Prop!$A:$A,Prod_Prop!$J:$J,"",0,1))</f>
        <v/>
      </c>
      <c r="V488" s="4" t="str">
        <f t="array" ref="V488">IF($E488="","", XLOOKUP(SUMIFS(Prod_Prop!$A:$A,Prod_Prop!$B:$B,$E488,Prod_Prop!$H:$H,V$1,Prod_Prop!$I:$I,"Exacto"),Prod_Prop!$A:$A,Prod_Prop!$J:$J,"",0,1))</f>
        <v/>
      </c>
      <c r="X488" s="3" t="str">
        <f>IFERROR(__xludf.DUMMYFUNCTION("IF(D488="""","""",IFERROR(TRANSPOSE(FILTER('Validaciones Cotizador'!U:U,'Validaciones Cotizador'!O:O=D488,'Validaciones Cotizador'!T:T=""x"")),""Finalizar""))"),"")</f>
        <v/>
      </c>
    </row>
    <row r="489">
      <c r="A489" s="2" t="str">
        <f t="array" ref="A489">IF(E489="","",XLOOKUP(D489,'Validaciones Cotizador'!C:C,'Validaciones Cotizador'!A:A,"",0,1))</f>
        <v/>
      </c>
      <c r="B489" s="2" t="str">
        <f t="array" ref="B489">IF(F489="","",XLOOKUP(F489,Productos!E:E,Productos!G:G,"",0,1))</f>
        <v/>
      </c>
      <c r="C489" s="2" t="str">
        <f>IF(A489="","",SUMIFS('Validaciones Cotizador'!B:B,'Validaciones Cotizador'!C:C,D489,'Validaciones Cotizador'!A:A,A489))</f>
        <v/>
      </c>
      <c r="D489" s="4" t="str">
        <f>IFERROR(__xludf.DUMMYFUNCTION("IF(OR(F488=""Finalizar"",F488="""",F488=""Selecciona..""),"""",IF(OR(F488=""-"",INDEX(filter(Familias!F:F,Familias!D:D=A488,Familias!E:E=C488),1)=""O""),D488+1,D488))"),"")</f>
        <v/>
      </c>
      <c r="E489" s="2" t="str">
        <f>IF(OR(F489="",F489="Selecciona.."),"",IF(D489="Implemento",SUMIF(Implementos!B:B,F489,Implementos!A:A),SUMIF(Productos!E:E,F489,Productos!A:A)))</f>
        <v/>
      </c>
      <c r="F489" s="2" t="str">
        <f t="shared" si="2"/>
        <v/>
      </c>
      <c r="G489" s="10" t="str">
        <f t="array" ref="G489">IF(OR(F489="",F489="-",F489="Selecciona..",F489="Finalizar"),"",IF(A489="Rodados",XLOOKUP(B489,'Validaciones Cotizador'!I:I,'Validaciones Cotizador'!J:J,0,0,1),1))</f>
        <v/>
      </c>
      <c r="H489" s="11" t="str">
        <f>IF(OR(F489="",F489="Selecciona.."),"",SUMIF(Precio_Productos!K:K,E489,Precio_Productos!J:J)*G489)</f>
        <v/>
      </c>
      <c r="I489" s="4" t="str">
        <f t="array" ref="I489">IF($E489="","", XLOOKUP(SUMIFS(Prod_Prop!$A:$A,Prod_Prop!$B:$B,$E489,Prod_Prop!$H:$H,I$1,Prod_Prop!$I:$I,"Exacto"),Prod_Prop!$A:$A,Prod_Prop!$J:$J,"",0,1))</f>
        <v/>
      </c>
      <c r="J489" s="4" t="str">
        <f t="array" ref="J489">IF($E489="","", XLOOKUP(SUMIFS(Prod_Prop!$A:$A,Prod_Prop!$B:$B,$E489,Prod_Prop!$H:$H,J$1,Prod_Prop!$I:$I,"Exacto"),Prod_Prop!$A:$A,Prod_Prop!$J:$J,"",0,1))</f>
        <v/>
      </c>
      <c r="K489" s="4" t="str">
        <f t="array" ref="K489">IF($E489="","", XLOOKUP(SUMIFS(Prod_Prop!$A:$A,Prod_Prop!$B:$B,$E489,Prod_Prop!$H:$H,K$1,Prod_Prop!$I:$I,"Exacto"),Prod_Prop!$A:$A,Prod_Prop!$J:$J,"",0,1))</f>
        <v/>
      </c>
      <c r="L489" s="4" t="str">
        <f t="array" ref="L489">IF($E489="","", XLOOKUP(SUMIFS(Prod_Prop!$A:$A,Prod_Prop!$B:$B,$E489,Prod_Prop!$H:$H,L$1,Prod_Prop!$I:$I,"Exacto"),Prod_Prop!$A:$A,Prod_Prop!$J:$J,"",0,1))</f>
        <v/>
      </c>
      <c r="M489" s="4" t="str">
        <f t="array" ref="M489">IF($E489="","", XLOOKUP(SUMIFS(Prod_Prop!$A:$A,Prod_Prop!$B:$B,$E489,Prod_Prop!$H:$H,M$1,Prod_Prop!$I:$I,"Exacto"),Prod_Prop!$A:$A,Prod_Prop!$J:$J,"",0,1))</f>
        <v/>
      </c>
      <c r="N489" s="4" t="str">
        <f t="array" ref="N489">IF($E489="","", XLOOKUP(SUMIFS(Prod_Prop!$A:$A,Prod_Prop!$B:$B,$E489,Prod_Prop!$H:$H,N$1,Prod_Prop!$I:$I,"Exacto"),Prod_Prop!$A:$A,Prod_Prop!$J:$J,"",0,1))</f>
        <v/>
      </c>
      <c r="O489" s="4" t="str">
        <f t="array" ref="O489">IF($E489="","", XLOOKUP(SUMIFS(Prod_Prop!$A:$A,Prod_Prop!$B:$B,$E489,Prod_Prop!$H:$H,O$1,Prod_Prop!$I:$I,"Exacto"),Prod_Prop!$A:$A,Prod_Prop!$J:$J,"",0,1))</f>
        <v/>
      </c>
      <c r="P489" s="4" t="str">
        <f t="array" ref="P489">IF($E489="","", XLOOKUP(SUMIFS(Prod_Prop!$A:$A,Prod_Prop!$B:$B,$E489,Prod_Prop!$H:$H,P$1,Prod_Prop!$I:$I,"Exacto"),Prod_Prop!$A:$A,Prod_Prop!$J:$J,"",0,1))</f>
        <v/>
      </c>
      <c r="Q489" s="4" t="str">
        <f t="array" ref="Q489">IF($E489="","", XLOOKUP(SUMIFS(Prod_Prop!$A:$A,Prod_Prop!$B:$B,$E489,Prod_Prop!$H:$H,Q$1,Prod_Prop!$I:$I,"Exacto"),Prod_Prop!$A:$A,Prod_Prop!$J:$J,"",0,1))</f>
        <v/>
      </c>
      <c r="R489" s="4" t="str">
        <f t="array" ref="R489">IF($E489="","", XLOOKUP(SUMIFS(Prod_Prop!$A:$A,Prod_Prop!$B:$B,$E489,Prod_Prop!$H:$H,R$1,Prod_Prop!$I:$I,"Exacto"),Prod_Prop!$A:$A,Prod_Prop!$J:$J,"",0,1))</f>
        <v/>
      </c>
      <c r="S489" s="4" t="str">
        <f t="array" ref="S489">IF($E489="","", XLOOKUP(SUMIFS(Prod_Prop!$A:$A,Prod_Prop!$B:$B,$E489,Prod_Prop!$H:$H,S$1,Prod_Prop!$I:$I,"Exacto"),Prod_Prop!$A:$A,Prod_Prop!$J:$J,"",0,1))</f>
        <v/>
      </c>
      <c r="T489" s="4" t="str">
        <f t="array" ref="T489">IF($E489="","", XLOOKUP(SUMIFS(Prod_Prop!$A:$A,Prod_Prop!$B:$B,$E489,Prod_Prop!$H:$H,T$1,Prod_Prop!$I:$I,"Exacto"),Prod_Prop!$A:$A,Prod_Prop!$J:$J,"",0,1))</f>
        <v/>
      </c>
      <c r="U489" s="4" t="str">
        <f t="array" ref="U489">IF($E489="","", XLOOKUP(SUMIFS(Prod_Prop!$A:$A,Prod_Prop!$B:$B,$E489,Prod_Prop!$H:$H,U$1,Prod_Prop!$I:$I,"Exacto"),Prod_Prop!$A:$A,Prod_Prop!$J:$J,"",0,1))</f>
        <v/>
      </c>
      <c r="V489" s="4" t="str">
        <f t="array" ref="V489">IF($E489="","", XLOOKUP(SUMIFS(Prod_Prop!$A:$A,Prod_Prop!$B:$B,$E489,Prod_Prop!$H:$H,V$1,Prod_Prop!$I:$I,"Exacto"),Prod_Prop!$A:$A,Prod_Prop!$J:$J,"",0,1))</f>
        <v/>
      </c>
      <c r="X489" s="3" t="str">
        <f>IFERROR(__xludf.DUMMYFUNCTION("IF(D489="""","""",IFERROR(TRANSPOSE(FILTER('Validaciones Cotizador'!U:U,'Validaciones Cotizador'!O:O=D489,'Validaciones Cotizador'!T:T=""x"")),""Finalizar""))"),"")</f>
        <v/>
      </c>
    </row>
    <row r="490">
      <c r="A490" s="2" t="str">
        <f t="array" ref="A490">IF(E490="","",XLOOKUP(D490,'Validaciones Cotizador'!C:C,'Validaciones Cotizador'!A:A,"",0,1))</f>
        <v/>
      </c>
      <c r="B490" s="2" t="str">
        <f t="array" ref="B490">IF(F490="","",XLOOKUP(F490,Productos!E:E,Productos!G:G,"",0,1))</f>
        <v/>
      </c>
      <c r="C490" s="2" t="str">
        <f>IF(A490="","",SUMIFS('Validaciones Cotizador'!B:B,'Validaciones Cotizador'!C:C,D490,'Validaciones Cotizador'!A:A,A490))</f>
        <v/>
      </c>
      <c r="D490" s="4" t="str">
        <f>IFERROR(__xludf.DUMMYFUNCTION("IF(OR(F489=""Finalizar"",F489="""",F489=""Selecciona..""),"""",IF(OR(F489=""-"",INDEX(filter(Familias!F:F,Familias!D:D=A489,Familias!E:E=C489),1)=""O""),D489+1,D489))"),"")</f>
        <v/>
      </c>
      <c r="E490" s="2" t="str">
        <f>IF(OR(F490="",F490="Selecciona.."),"",IF(D490="Implemento",SUMIF(Implementos!B:B,F490,Implementos!A:A),SUMIF(Productos!E:E,F490,Productos!A:A)))</f>
        <v/>
      </c>
      <c r="F490" s="2" t="str">
        <f t="shared" si="2"/>
        <v/>
      </c>
      <c r="G490" s="10" t="str">
        <f t="array" ref="G490">IF(OR(F490="",F490="-",F490="Selecciona..",F490="Finalizar"),"",IF(A490="Rodados",XLOOKUP(B490,'Validaciones Cotizador'!I:I,'Validaciones Cotizador'!J:J,0,0,1),1))</f>
        <v/>
      </c>
      <c r="H490" s="11" t="str">
        <f>IF(OR(F490="",F490="Selecciona.."),"",SUMIF(Precio_Productos!K:K,E490,Precio_Productos!J:J)*G490)</f>
        <v/>
      </c>
      <c r="I490" s="4" t="str">
        <f t="array" ref="I490">IF($E490="","", XLOOKUP(SUMIFS(Prod_Prop!$A:$A,Prod_Prop!$B:$B,$E490,Prod_Prop!$H:$H,I$1,Prod_Prop!$I:$I,"Exacto"),Prod_Prop!$A:$A,Prod_Prop!$J:$J,"",0,1))</f>
        <v/>
      </c>
      <c r="J490" s="4" t="str">
        <f t="array" ref="J490">IF($E490="","", XLOOKUP(SUMIFS(Prod_Prop!$A:$A,Prod_Prop!$B:$B,$E490,Prod_Prop!$H:$H,J$1,Prod_Prop!$I:$I,"Exacto"),Prod_Prop!$A:$A,Prod_Prop!$J:$J,"",0,1))</f>
        <v/>
      </c>
      <c r="K490" s="4" t="str">
        <f t="array" ref="K490">IF($E490="","", XLOOKUP(SUMIFS(Prod_Prop!$A:$A,Prod_Prop!$B:$B,$E490,Prod_Prop!$H:$H,K$1,Prod_Prop!$I:$I,"Exacto"),Prod_Prop!$A:$A,Prod_Prop!$J:$J,"",0,1))</f>
        <v/>
      </c>
      <c r="L490" s="4" t="str">
        <f t="array" ref="L490">IF($E490="","", XLOOKUP(SUMIFS(Prod_Prop!$A:$A,Prod_Prop!$B:$B,$E490,Prod_Prop!$H:$H,L$1,Prod_Prop!$I:$I,"Exacto"),Prod_Prop!$A:$A,Prod_Prop!$J:$J,"",0,1))</f>
        <v/>
      </c>
      <c r="M490" s="4" t="str">
        <f t="array" ref="M490">IF($E490="","", XLOOKUP(SUMIFS(Prod_Prop!$A:$A,Prod_Prop!$B:$B,$E490,Prod_Prop!$H:$H,M$1,Prod_Prop!$I:$I,"Exacto"),Prod_Prop!$A:$A,Prod_Prop!$J:$J,"",0,1))</f>
        <v/>
      </c>
      <c r="N490" s="4" t="str">
        <f t="array" ref="N490">IF($E490="","", XLOOKUP(SUMIFS(Prod_Prop!$A:$A,Prod_Prop!$B:$B,$E490,Prod_Prop!$H:$H,N$1,Prod_Prop!$I:$I,"Exacto"),Prod_Prop!$A:$A,Prod_Prop!$J:$J,"",0,1))</f>
        <v/>
      </c>
      <c r="O490" s="4" t="str">
        <f t="array" ref="O490">IF($E490="","", XLOOKUP(SUMIFS(Prod_Prop!$A:$A,Prod_Prop!$B:$B,$E490,Prod_Prop!$H:$H,O$1,Prod_Prop!$I:$I,"Exacto"),Prod_Prop!$A:$A,Prod_Prop!$J:$J,"",0,1))</f>
        <v/>
      </c>
      <c r="P490" s="4" t="str">
        <f t="array" ref="P490">IF($E490="","", XLOOKUP(SUMIFS(Prod_Prop!$A:$A,Prod_Prop!$B:$B,$E490,Prod_Prop!$H:$H,P$1,Prod_Prop!$I:$I,"Exacto"),Prod_Prop!$A:$A,Prod_Prop!$J:$J,"",0,1))</f>
        <v/>
      </c>
      <c r="Q490" s="4" t="str">
        <f t="array" ref="Q490">IF($E490="","", XLOOKUP(SUMIFS(Prod_Prop!$A:$A,Prod_Prop!$B:$B,$E490,Prod_Prop!$H:$H,Q$1,Prod_Prop!$I:$I,"Exacto"),Prod_Prop!$A:$A,Prod_Prop!$J:$J,"",0,1))</f>
        <v/>
      </c>
      <c r="R490" s="4" t="str">
        <f t="array" ref="R490">IF($E490="","", XLOOKUP(SUMIFS(Prod_Prop!$A:$A,Prod_Prop!$B:$B,$E490,Prod_Prop!$H:$H,R$1,Prod_Prop!$I:$I,"Exacto"),Prod_Prop!$A:$A,Prod_Prop!$J:$J,"",0,1))</f>
        <v/>
      </c>
      <c r="S490" s="4" t="str">
        <f t="array" ref="S490">IF($E490="","", XLOOKUP(SUMIFS(Prod_Prop!$A:$A,Prod_Prop!$B:$B,$E490,Prod_Prop!$H:$H,S$1,Prod_Prop!$I:$I,"Exacto"),Prod_Prop!$A:$A,Prod_Prop!$J:$J,"",0,1))</f>
        <v/>
      </c>
      <c r="T490" s="4" t="str">
        <f t="array" ref="T490">IF($E490="","", XLOOKUP(SUMIFS(Prod_Prop!$A:$A,Prod_Prop!$B:$B,$E490,Prod_Prop!$H:$H,T$1,Prod_Prop!$I:$I,"Exacto"),Prod_Prop!$A:$A,Prod_Prop!$J:$J,"",0,1))</f>
        <v/>
      </c>
      <c r="U490" s="4" t="str">
        <f t="array" ref="U490">IF($E490="","", XLOOKUP(SUMIFS(Prod_Prop!$A:$A,Prod_Prop!$B:$B,$E490,Prod_Prop!$H:$H,U$1,Prod_Prop!$I:$I,"Exacto"),Prod_Prop!$A:$A,Prod_Prop!$J:$J,"",0,1))</f>
        <v/>
      </c>
      <c r="V490" s="4" t="str">
        <f t="array" ref="V490">IF($E490="","", XLOOKUP(SUMIFS(Prod_Prop!$A:$A,Prod_Prop!$B:$B,$E490,Prod_Prop!$H:$H,V$1,Prod_Prop!$I:$I,"Exacto"),Prod_Prop!$A:$A,Prod_Prop!$J:$J,"",0,1))</f>
        <v/>
      </c>
      <c r="X490" s="3" t="str">
        <f>IFERROR(__xludf.DUMMYFUNCTION("IF(D490="""","""",IFERROR(TRANSPOSE(FILTER('Validaciones Cotizador'!U:U,'Validaciones Cotizador'!O:O=D490,'Validaciones Cotizador'!T:T=""x"")),""Finalizar""))"),"")</f>
        <v/>
      </c>
    </row>
    <row r="491">
      <c r="A491" s="2" t="str">
        <f t="array" ref="A491">IF(E491="","",XLOOKUP(D491,'Validaciones Cotizador'!C:C,'Validaciones Cotizador'!A:A,"",0,1))</f>
        <v/>
      </c>
      <c r="B491" s="2" t="str">
        <f t="array" ref="B491">IF(F491="","",XLOOKUP(F491,Productos!E:E,Productos!G:G,"",0,1))</f>
        <v/>
      </c>
      <c r="C491" s="2" t="str">
        <f>IF(A491="","",SUMIFS('Validaciones Cotizador'!B:B,'Validaciones Cotizador'!C:C,D491,'Validaciones Cotizador'!A:A,A491))</f>
        <v/>
      </c>
      <c r="D491" s="4" t="str">
        <f>IFERROR(__xludf.DUMMYFUNCTION("IF(OR(F490=""Finalizar"",F490="""",F490=""Selecciona..""),"""",IF(OR(F490=""-"",INDEX(filter(Familias!F:F,Familias!D:D=A490,Familias!E:E=C490),1)=""O""),D490+1,D490))"),"")</f>
        <v/>
      </c>
      <c r="E491" s="2" t="str">
        <f>IF(OR(F491="",F491="Selecciona.."),"",IF(D491="Implemento",SUMIF(Implementos!B:B,F491,Implementos!A:A),SUMIF(Productos!E:E,F491,Productos!A:A)))</f>
        <v/>
      </c>
      <c r="F491" s="2" t="str">
        <f t="shared" si="2"/>
        <v/>
      </c>
      <c r="G491" s="10" t="str">
        <f t="array" ref="G491">IF(OR(F491="",F491="-",F491="Selecciona..",F491="Finalizar"),"",IF(A491="Rodados",XLOOKUP(B491,'Validaciones Cotizador'!I:I,'Validaciones Cotizador'!J:J,0,0,1),1))</f>
        <v/>
      </c>
      <c r="H491" s="11" t="str">
        <f>IF(OR(F491="",F491="Selecciona.."),"",SUMIF(Precio_Productos!K:K,E491,Precio_Productos!J:J)*G491)</f>
        <v/>
      </c>
      <c r="I491" s="4" t="str">
        <f t="array" ref="I491">IF($E491="","", XLOOKUP(SUMIFS(Prod_Prop!$A:$A,Prod_Prop!$B:$B,$E491,Prod_Prop!$H:$H,I$1,Prod_Prop!$I:$I,"Exacto"),Prod_Prop!$A:$A,Prod_Prop!$J:$J,"",0,1))</f>
        <v/>
      </c>
      <c r="J491" s="4" t="str">
        <f t="array" ref="J491">IF($E491="","", XLOOKUP(SUMIFS(Prod_Prop!$A:$A,Prod_Prop!$B:$B,$E491,Prod_Prop!$H:$H,J$1,Prod_Prop!$I:$I,"Exacto"),Prod_Prop!$A:$A,Prod_Prop!$J:$J,"",0,1))</f>
        <v/>
      </c>
      <c r="K491" s="4" t="str">
        <f t="array" ref="K491">IF($E491="","", XLOOKUP(SUMIFS(Prod_Prop!$A:$A,Prod_Prop!$B:$B,$E491,Prod_Prop!$H:$H,K$1,Prod_Prop!$I:$I,"Exacto"),Prod_Prop!$A:$A,Prod_Prop!$J:$J,"",0,1))</f>
        <v/>
      </c>
      <c r="L491" s="4" t="str">
        <f t="array" ref="L491">IF($E491="","", XLOOKUP(SUMIFS(Prod_Prop!$A:$A,Prod_Prop!$B:$B,$E491,Prod_Prop!$H:$H,L$1,Prod_Prop!$I:$I,"Exacto"),Prod_Prop!$A:$A,Prod_Prop!$J:$J,"",0,1))</f>
        <v/>
      </c>
      <c r="M491" s="4" t="str">
        <f t="array" ref="M491">IF($E491="","", XLOOKUP(SUMIFS(Prod_Prop!$A:$A,Prod_Prop!$B:$B,$E491,Prod_Prop!$H:$H,M$1,Prod_Prop!$I:$I,"Exacto"),Prod_Prop!$A:$A,Prod_Prop!$J:$J,"",0,1))</f>
        <v/>
      </c>
      <c r="N491" s="4" t="str">
        <f t="array" ref="N491">IF($E491="","", XLOOKUP(SUMIFS(Prod_Prop!$A:$A,Prod_Prop!$B:$B,$E491,Prod_Prop!$H:$H,N$1,Prod_Prop!$I:$I,"Exacto"),Prod_Prop!$A:$A,Prod_Prop!$J:$J,"",0,1))</f>
        <v/>
      </c>
      <c r="O491" s="4" t="str">
        <f t="array" ref="O491">IF($E491="","", XLOOKUP(SUMIFS(Prod_Prop!$A:$A,Prod_Prop!$B:$B,$E491,Prod_Prop!$H:$H,O$1,Prod_Prop!$I:$I,"Exacto"),Prod_Prop!$A:$A,Prod_Prop!$J:$J,"",0,1))</f>
        <v/>
      </c>
      <c r="P491" s="4" t="str">
        <f t="array" ref="P491">IF($E491="","", XLOOKUP(SUMIFS(Prod_Prop!$A:$A,Prod_Prop!$B:$B,$E491,Prod_Prop!$H:$H,P$1,Prod_Prop!$I:$I,"Exacto"),Prod_Prop!$A:$A,Prod_Prop!$J:$J,"",0,1))</f>
        <v/>
      </c>
      <c r="Q491" s="4" t="str">
        <f t="array" ref="Q491">IF($E491="","", XLOOKUP(SUMIFS(Prod_Prop!$A:$A,Prod_Prop!$B:$B,$E491,Prod_Prop!$H:$H,Q$1,Prod_Prop!$I:$I,"Exacto"),Prod_Prop!$A:$A,Prod_Prop!$J:$J,"",0,1))</f>
        <v/>
      </c>
      <c r="R491" s="4" t="str">
        <f t="array" ref="R491">IF($E491="","", XLOOKUP(SUMIFS(Prod_Prop!$A:$A,Prod_Prop!$B:$B,$E491,Prod_Prop!$H:$H,R$1,Prod_Prop!$I:$I,"Exacto"),Prod_Prop!$A:$A,Prod_Prop!$J:$J,"",0,1))</f>
        <v/>
      </c>
      <c r="S491" s="4" t="str">
        <f t="array" ref="S491">IF($E491="","", XLOOKUP(SUMIFS(Prod_Prop!$A:$A,Prod_Prop!$B:$B,$E491,Prod_Prop!$H:$H,S$1,Prod_Prop!$I:$I,"Exacto"),Prod_Prop!$A:$A,Prod_Prop!$J:$J,"",0,1))</f>
        <v/>
      </c>
      <c r="T491" s="4" t="str">
        <f t="array" ref="T491">IF($E491="","", XLOOKUP(SUMIFS(Prod_Prop!$A:$A,Prod_Prop!$B:$B,$E491,Prod_Prop!$H:$H,T$1,Prod_Prop!$I:$I,"Exacto"),Prod_Prop!$A:$A,Prod_Prop!$J:$J,"",0,1))</f>
        <v/>
      </c>
      <c r="U491" s="4" t="str">
        <f t="array" ref="U491">IF($E491="","", XLOOKUP(SUMIFS(Prod_Prop!$A:$A,Prod_Prop!$B:$B,$E491,Prod_Prop!$H:$H,U$1,Prod_Prop!$I:$I,"Exacto"),Prod_Prop!$A:$A,Prod_Prop!$J:$J,"",0,1))</f>
        <v/>
      </c>
      <c r="V491" s="4" t="str">
        <f t="array" ref="V491">IF($E491="","", XLOOKUP(SUMIFS(Prod_Prop!$A:$A,Prod_Prop!$B:$B,$E491,Prod_Prop!$H:$H,V$1,Prod_Prop!$I:$I,"Exacto"),Prod_Prop!$A:$A,Prod_Prop!$J:$J,"",0,1))</f>
        <v/>
      </c>
      <c r="X491" s="3" t="str">
        <f>IFERROR(__xludf.DUMMYFUNCTION("IF(D491="""","""",IFERROR(TRANSPOSE(FILTER('Validaciones Cotizador'!U:U,'Validaciones Cotizador'!O:O=D491,'Validaciones Cotizador'!T:T=""x"")),""Finalizar""))"),"")</f>
        <v/>
      </c>
    </row>
    <row r="492">
      <c r="A492" s="2" t="str">
        <f t="array" ref="A492">IF(E492="","",XLOOKUP(D492,'Validaciones Cotizador'!C:C,'Validaciones Cotizador'!A:A,"",0,1))</f>
        <v/>
      </c>
      <c r="B492" s="2" t="str">
        <f t="array" ref="B492">IF(F492="","",XLOOKUP(F492,Productos!E:E,Productos!G:G,"",0,1))</f>
        <v/>
      </c>
      <c r="C492" s="2" t="str">
        <f>IF(A492="","",SUMIFS('Validaciones Cotizador'!B:B,'Validaciones Cotizador'!C:C,D492,'Validaciones Cotizador'!A:A,A492))</f>
        <v/>
      </c>
      <c r="D492" s="4" t="str">
        <f>IFERROR(__xludf.DUMMYFUNCTION("IF(OR(F491=""Finalizar"",F491="""",F491=""Selecciona..""),"""",IF(OR(F491=""-"",INDEX(filter(Familias!F:F,Familias!D:D=A491,Familias!E:E=C491),1)=""O""),D491+1,D491))"),"")</f>
        <v/>
      </c>
      <c r="E492" s="2" t="str">
        <f>IF(OR(F492="",F492="Selecciona.."),"",IF(D492="Implemento",SUMIF(Implementos!B:B,F492,Implementos!A:A),SUMIF(Productos!E:E,F492,Productos!A:A)))</f>
        <v/>
      </c>
      <c r="F492" s="2" t="str">
        <f t="shared" si="2"/>
        <v/>
      </c>
      <c r="G492" s="10" t="str">
        <f t="array" ref="G492">IF(OR(F492="",F492="-",F492="Selecciona..",F492="Finalizar"),"",IF(A492="Rodados",XLOOKUP(B492,'Validaciones Cotizador'!I:I,'Validaciones Cotizador'!J:J,0,0,1),1))</f>
        <v/>
      </c>
      <c r="H492" s="11" t="str">
        <f>IF(OR(F492="",F492="Selecciona.."),"",SUMIF(Precio_Productos!K:K,E492,Precio_Productos!J:J)*G492)</f>
        <v/>
      </c>
      <c r="I492" s="4" t="str">
        <f t="array" ref="I492">IF($E492="","", XLOOKUP(SUMIFS(Prod_Prop!$A:$A,Prod_Prop!$B:$B,$E492,Prod_Prop!$H:$H,I$1,Prod_Prop!$I:$I,"Exacto"),Prod_Prop!$A:$A,Prod_Prop!$J:$J,"",0,1))</f>
        <v/>
      </c>
      <c r="J492" s="4" t="str">
        <f t="array" ref="J492">IF($E492="","", XLOOKUP(SUMIFS(Prod_Prop!$A:$A,Prod_Prop!$B:$B,$E492,Prod_Prop!$H:$H,J$1,Prod_Prop!$I:$I,"Exacto"),Prod_Prop!$A:$A,Prod_Prop!$J:$J,"",0,1))</f>
        <v/>
      </c>
      <c r="K492" s="4" t="str">
        <f t="array" ref="K492">IF($E492="","", XLOOKUP(SUMIFS(Prod_Prop!$A:$A,Prod_Prop!$B:$B,$E492,Prod_Prop!$H:$H,K$1,Prod_Prop!$I:$I,"Exacto"),Prod_Prop!$A:$A,Prod_Prop!$J:$J,"",0,1))</f>
        <v/>
      </c>
      <c r="L492" s="4" t="str">
        <f t="array" ref="L492">IF($E492="","", XLOOKUP(SUMIFS(Prod_Prop!$A:$A,Prod_Prop!$B:$B,$E492,Prod_Prop!$H:$H,L$1,Prod_Prop!$I:$I,"Exacto"),Prod_Prop!$A:$A,Prod_Prop!$J:$J,"",0,1))</f>
        <v/>
      </c>
      <c r="M492" s="4" t="str">
        <f t="array" ref="M492">IF($E492="","", XLOOKUP(SUMIFS(Prod_Prop!$A:$A,Prod_Prop!$B:$B,$E492,Prod_Prop!$H:$H,M$1,Prod_Prop!$I:$I,"Exacto"),Prod_Prop!$A:$A,Prod_Prop!$J:$J,"",0,1))</f>
        <v/>
      </c>
      <c r="N492" s="4" t="str">
        <f t="array" ref="N492">IF($E492="","", XLOOKUP(SUMIFS(Prod_Prop!$A:$A,Prod_Prop!$B:$B,$E492,Prod_Prop!$H:$H,N$1,Prod_Prop!$I:$I,"Exacto"),Prod_Prop!$A:$A,Prod_Prop!$J:$J,"",0,1))</f>
        <v/>
      </c>
      <c r="O492" s="4" t="str">
        <f t="array" ref="O492">IF($E492="","", XLOOKUP(SUMIFS(Prod_Prop!$A:$A,Prod_Prop!$B:$B,$E492,Prod_Prop!$H:$H,O$1,Prod_Prop!$I:$I,"Exacto"),Prod_Prop!$A:$A,Prod_Prop!$J:$J,"",0,1))</f>
        <v/>
      </c>
      <c r="P492" s="4" t="str">
        <f t="array" ref="P492">IF($E492="","", XLOOKUP(SUMIFS(Prod_Prop!$A:$A,Prod_Prop!$B:$B,$E492,Prod_Prop!$H:$H,P$1,Prod_Prop!$I:$I,"Exacto"),Prod_Prop!$A:$A,Prod_Prop!$J:$J,"",0,1))</f>
        <v/>
      </c>
      <c r="Q492" s="4" t="str">
        <f t="array" ref="Q492">IF($E492="","", XLOOKUP(SUMIFS(Prod_Prop!$A:$A,Prod_Prop!$B:$B,$E492,Prod_Prop!$H:$H,Q$1,Prod_Prop!$I:$I,"Exacto"),Prod_Prop!$A:$A,Prod_Prop!$J:$J,"",0,1))</f>
        <v/>
      </c>
      <c r="R492" s="4" t="str">
        <f t="array" ref="R492">IF($E492="","", XLOOKUP(SUMIFS(Prod_Prop!$A:$A,Prod_Prop!$B:$B,$E492,Prod_Prop!$H:$H,R$1,Prod_Prop!$I:$I,"Exacto"),Prod_Prop!$A:$A,Prod_Prop!$J:$J,"",0,1))</f>
        <v/>
      </c>
      <c r="S492" s="4" t="str">
        <f t="array" ref="S492">IF($E492="","", XLOOKUP(SUMIFS(Prod_Prop!$A:$A,Prod_Prop!$B:$B,$E492,Prod_Prop!$H:$H,S$1,Prod_Prop!$I:$I,"Exacto"),Prod_Prop!$A:$A,Prod_Prop!$J:$J,"",0,1))</f>
        <v/>
      </c>
      <c r="T492" s="4" t="str">
        <f t="array" ref="T492">IF($E492="","", XLOOKUP(SUMIFS(Prod_Prop!$A:$A,Prod_Prop!$B:$B,$E492,Prod_Prop!$H:$H,T$1,Prod_Prop!$I:$I,"Exacto"),Prod_Prop!$A:$A,Prod_Prop!$J:$J,"",0,1))</f>
        <v/>
      </c>
      <c r="U492" s="4" t="str">
        <f t="array" ref="U492">IF($E492="","", XLOOKUP(SUMIFS(Prod_Prop!$A:$A,Prod_Prop!$B:$B,$E492,Prod_Prop!$H:$H,U$1,Prod_Prop!$I:$I,"Exacto"),Prod_Prop!$A:$A,Prod_Prop!$J:$J,"",0,1))</f>
        <v/>
      </c>
      <c r="V492" s="4" t="str">
        <f t="array" ref="V492">IF($E492="","", XLOOKUP(SUMIFS(Prod_Prop!$A:$A,Prod_Prop!$B:$B,$E492,Prod_Prop!$H:$H,V$1,Prod_Prop!$I:$I,"Exacto"),Prod_Prop!$A:$A,Prod_Prop!$J:$J,"",0,1))</f>
        <v/>
      </c>
      <c r="X492" s="3" t="str">
        <f>IFERROR(__xludf.DUMMYFUNCTION("IF(D492="""","""",IFERROR(TRANSPOSE(FILTER('Validaciones Cotizador'!U:U,'Validaciones Cotizador'!O:O=D492,'Validaciones Cotizador'!T:T=""x"")),""Finalizar""))"),"")</f>
        <v/>
      </c>
    </row>
    <row r="493">
      <c r="A493" s="2" t="str">
        <f t="array" ref="A493">IF(E493="","",XLOOKUP(D493,'Validaciones Cotizador'!C:C,'Validaciones Cotizador'!A:A,"",0,1))</f>
        <v/>
      </c>
      <c r="B493" s="2" t="str">
        <f t="array" ref="B493">IF(F493="","",XLOOKUP(F493,Productos!E:E,Productos!G:G,"",0,1))</f>
        <v/>
      </c>
      <c r="C493" s="2" t="str">
        <f>IF(A493="","",SUMIFS('Validaciones Cotizador'!B:B,'Validaciones Cotizador'!C:C,D493,'Validaciones Cotizador'!A:A,A493))</f>
        <v/>
      </c>
      <c r="D493" s="4" t="str">
        <f>IFERROR(__xludf.DUMMYFUNCTION("IF(OR(F492=""Finalizar"",F492="""",F492=""Selecciona..""),"""",IF(OR(F492=""-"",INDEX(filter(Familias!F:F,Familias!D:D=A492,Familias!E:E=C492),1)=""O""),D492+1,D492))"),"")</f>
        <v/>
      </c>
      <c r="E493" s="2" t="str">
        <f>IF(OR(F493="",F493="Selecciona.."),"",IF(D493="Implemento",SUMIF(Implementos!B:B,F493,Implementos!A:A),SUMIF(Productos!E:E,F493,Productos!A:A)))</f>
        <v/>
      </c>
      <c r="F493" s="2" t="str">
        <f t="shared" si="2"/>
        <v/>
      </c>
      <c r="G493" s="10" t="str">
        <f t="array" ref="G493">IF(OR(F493="",F493="-",F493="Selecciona..",F493="Finalizar"),"",IF(A493="Rodados",XLOOKUP(B493,'Validaciones Cotizador'!I:I,'Validaciones Cotizador'!J:J,0,0,1),1))</f>
        <v/>
      </c>
      <c r="H493" s="11" t="str">
        <f>IF(OR(F493="",F493="Selecciona.."),"",SUMIF(Precio_Productos!K:K,E493,Precio_Productos!J:J)*G493)</f>
        <v/>
      </c>
      <c r="I493" s="4" t="str">
        <f t="array" ref="I493">IF($E493="","", XLOOKUP(SUMIFS(Prod_Prop!$A:$A,Prod_Prop!$B:$B,$E493,Prod_Prop!$H:$H,I$1,Prod_Prop!$I:$I,"Exacto"),Prod_Prop!$A:$A,Prod_Prop!$J:$J,"",0,1))</f>
        <v/>
      </c>
      <c r="J493" s="4" t="str">
        <f t="array" ref="J493">IF($E493="","", XLOOKUP(SUMIFS(Prod_Prop!$A:$A,Prod_Prop!$B:$B,$E493,Prod_Prop!$H:$H,J$1,Prod_Prop!$I:$I,"Exacto"),Prod_Prop!$A:$A,Prod_Prop!$J:$J,"",0,1))</f>
        <v/>
      </c>
      <c r="K493" s="4" t="str">
        <f t="array" ref="K493">IF($E493="","", XLOOKUP(SUMIFS(Prod_Prop!$A:$A,Prod_Prop!$B:$B,$E493,Prod_Prop!$H:$H,K$1,Prod_Prop!$I:$I,"Exacto"),Prod_Prop!$A:$A,Prod_Prop!$J:$J,"",0,1))</f>
        <v/>
      </c>
      <c r="L493" s="4" t="str">
        <f t="array" ref="L493">IF($E493="","", XLOOKUP(SUMIFS(Prod_Prop!$A:$A,Prod_Prop!$B:$B,$E493,Prod_Prop!$H:$H,L$1,Prod_Prop!$I:$I,"Exacto"),Prod_Prop!$A:$A,Prod_Prop!$J:$J,"",0,1))</f>
        <v/>
      </c>
      <c r="M493" s="4" t="str">
        <f t="array" ref="M493">IF($E493="","", XLOOKUP(SUMIFS(Prod_Prop!$A:$A,Prod_Prop!$B:$B,$E493,Prod_Prop!$H:$H,M$1,Prod_Prop!$I:$I,"Exacto"),Prod_Prop!$A:$A,Prod_Prop!$J:$J,"",0,1))</f>
        <v/>
      </c>
      <c r="N493" s="4" t="str">
        <f t="array" ref="N493">IF($E493="","", XLOOKUP(SUMIFS(Prod_Prop!$A:$A,Prod_Prop!$B:$B,$E493,Prod_Prop!$H:$H,N$1,Prod_Prop!$I:$I,"Exacto"),Prod_Prop!$A:$A,Prod_Prop!$J:$J,"",0,1))</f>
        <v/>
      </c>
      <c r="O493" s="4" t="str">
        <f t="array" ref="O493">IF($E493="","", XLOOKUP(SUMIFS(Prod_Prop!$A:$A,Prod_Prop!$B:$B,$E493,Prod_Prop!$H:$H,O$1,Prod_Prop!$I:$I,"Exacto"),Prod_Prop!$A:$A,Prod_Prop!$J:$J,"",0,1))</f>
        <v/>
      </c>
      <c r="P493" s="4" t="str">
        <f t="array" ref="P493">IF($E493="","", XLOOKUP(SUMIFS(Prod_Prop!$A:$A,Prod_Prop!$B:$B,$E493,Prod_Prop!$H:$H,P$1,Prod_Prop!$I:$I,"Exacto"),Prod_Prop!$A:$A,Prod_Prop!$J:$J,"",0,1))</f>
        <v/>
      </c>
      <c r="Q493" s="4" t="str">
        <f t="array" ref="Q493">IF($E493="","", XLOOKUP(SUMIFS(Prod_Prop!$A:$A,Prod_Prop!$B:$B,$E493,Prod_Prop!$H:$H,Q$1,Prod_Prop!$I:$I,"Exacto"),Prod_Prop!$A:$A,Prod_Prop!$J:$J,"",0,1))</f>
        <v/>
      </c>
      <c r="R493" s="4" t="str">
        <f t="array" ref="R493">IF($E493="","", XLOOKUP(SUMIFS(Prod_Prop!$A:$A,Prod_Prop!$B:$B,$E493,Prod_Prop!$H:$H,R$1,Prod_Prop!$I:$I,"Exacto"),Prod_Prop!$A:$A,Prod_Prop!$J:$J,"",0,1))</f>
        <v/>
      </c>
      <c r="S493" s="4" t="str">
        <f t="array" ref="S493">IF($E493="","", XLOOKUP(SUMIFS(Prod_Prop!$A:$A,Prod_Prop!$B:$B,$E493,Prod_Prop!$H:$H,S$1,Prod_Prop!$I:$I,"Exacto"),Prod_Prop!$A:$A,Prod_Prop!$J:$J,"",0,1))</f>
        <v/>
      </c>
      <c r="T493" s="4" t="str">
        <f t="array" ref="T493">IF($E493="","", XLOOKUP(SUMIFS(Prod_Prop!$A:$A,Prod_Prop!$B:$B,$E493,Prod_Prop!$H:$H,T$1,Prod_Prop!$I:$I,"Exacto"),Prod_Prop!$A:$A,Prod_Prop!$J:$J,"",0,1))</f>
        <v/>
      </c>
      <c r="U493" s="4" t="str">
        <f t="array" ref="U493">IF($E493="","", XLOOKUP(SUMIFS(Prod_Prop!$A:$A,Prod_Prop!$B:$B,$E493,Prod_Prop!$H:$H,U$1,Prod_Prop!$I:$I,"Exacto"),Prod_Prop!$A:$A,Prod_Prop!$J:$J,"",0,1))</f>
        <v/>
      </c>
      <c r="V493" s="4" t="str">
        <f t="array" ref="V493">IF($E493="","", XLOOKUP(SUMIFS(Prod_Prop!$A:$A,Prod_Prop!$B:$B,$E493,Prod_Prop!$H:$H,V$1,Prod_Prop!$I:$I,"Exacto"),Prod_Prop!$A:$A,Prod_Prop!$J:$J,"",0,1))</f>
        <v/>
      </c>
      <c r="X493" s="3" t="str">
        <f>IFERROR(__xludf.DUMMYFUNCTION("IF(D493="""","""",IFERROR(TRANSPOSE(FILTER('Validaciones Cotizador'!U:U,'Validaciones Cotizador'!O:O=D493,'Validaciones Cotizador'!T:T=""x"")),""Finalizar""))"),"")</f>
        <v/>
      </c>
    </row>
    <row r="494">
      <c r="A494" s="2" t="str">
        <f t="array" ref="A494">IF(E494="","",XLOOKUP(D494,'Validaciones Cotizador'!C:C,'Validaciones Cotizador'!A:A,"",0,1))</f>
        <v/>
      </c>
      <c r="B494" s="2" t="str">
        <f t="array" ref="B494">IF(F494="","",XLOOKUP(F494,Productos!E:E,Productos!G:G,"",0,1))</f>
        <v/>
      </c>
      <c r="C494" s="2" t="str">
        <f>IF(A494="","",SUMIFS('Validaciones Cotizador'!B:B,'Validaciones Cotizador'!C:C,D494,'Validaciones Cotizador'!A:A,A494))</f>
        <v/>
      </c>
      <c r="D494" s="4" t="str">
        <f>IFERROR(__xludf.DUMMYFUNCTION("IF(OR(F493=""Finalizar"",F493="""",F493=""Selecciona..""),"""",IF(OR(F493=""-"",INDEX(filter(Familias!F:F,Familias!D:D=A493,Familias!E:E=C493),1)=""O""),D493+1,D493))"),"")</f>
        <v/>
      </c>
      <c r="E494" s="2" t="str">
        <f>IF(OR(F494="",F494="Selecciona.."),"",IF(D494="Implemento",SUMIF(Implementos!B:B,F494,Implementos!A:A),SUMIF(Productos!E:E,F494,Productos!A:A)))</f>
        <v/>
      </c>
      <c r="F494" s="2" t="str">
        <f t="shared" si="2"/>
        <v/>
      </c>
      <c r="G494" s="10" t="str">
        <f t="array" ref="G494">IF(OR(F494="",F494="-",F494="Selecciona..",F494="Finalizar"),"",IF(A494="Rodados",XLOOKUP(B494,'Validaciones Cotizador'!I:I,'Validaciones Cotizador'!J:J,0,0,1),1))</f>
        <v/>
      </c>
      <c r="H494" s="11" t="str">
        <f>IF(OR(F494="",F494="Selecciona.."),"",SUMIF(Precio_Productos!K:K,E494,Precio_Productos!J:J)*G494)</f>
        <v/>
      </c>
      <c r="I494" s="4" t="str">
        <f t="array" ref="I494">IF($E494="","", XLOOKUP(SUMIFS(Prod_Prop!$A:$A,Prod_Prop!$B:$B,$E494,Prod_Prop!$H:$H,I$1,Prod_Prop!$I:$I,"Exacto"),Prod_Prop!$A:$A,Prod_Prop!$J:$J,"",0,1))</f>
        <v/>
      </c>
      <c r="J494" s="4" t="str">
        <f t="array" ref="J494">IF($E494="","", XLOOKUP(SUMIFS(Prod_Prop!$A:$A,Prod_Prop!$B:$B,$E494,Prod_Prop!$H:$H,J$1,Prod_Prop!$I:$I,"Exacto"),Prod_Prop!$A:$A,Prod_Prop!$J:$J,"",0,1))</f>
        <v/>
      </c>
      <c r="K494" s="4" t="str">
        <f t="array" ref="K494">IF($E494="","", XLOOKUP(SUMIFS(Prod_Prop!$A:$A,Prod_Prop!$B:$B,$E494,Prod_Prop!$H:$H,K$1,Prod_Prop!$I:$I,"Exacto"),Prod_Prop!$A:$A,Prod_Prop!$J:$J,"",0,1))</f>
        <v/>
      </c>
      <c r="L494" s="4" t="str">
        <f t="array" ref="L494">IF($E494="","", XLOOKUP(SUMIFS(Prod_Prop!$A:$A,Prod_Prop!$B:$B,$E494,Prod_Prop!$H:$H,L$1,Prod_Prop!$I:$I,"Exacto"),Prod_Prop!$A:$A,Prod_Prop!$J:$J,"",0,1))</f>
        <v/>
      </c>
      <c r="M494" s="4" t="str">
        <f t="array" ref="M494">IF($E494="","", XLOOKUP(SUMIFS(Prod_Prop!$A:$A,Prod_Prop!$B:$B,$E494,Prod_Prop!$H:$H,M$1,Prod_Prop!$I:$I,"Exacto"),Prod_Prop!$A:$A,Prod_Prop!$J:$J,"",0,1))</f>
        <v/>
      </c>
      <c r="N494" s="4" t="str">
        <f t="array" ref="N494">IF($E494="","", XLOOKUP(SUMIFS(Prod_Prop!$A:$A,Prod_Prop!$B:$B,$E494,Prod_Prop!$H:$H,N$1,Prod_Prop!$I:$I,"Exacto"),Prod_Prop!$A:$A,Prod_Prop!$J:$J,"",0,1))</f>
        <v/>
      </c>
      <c r="O494" s="4" t="str">
        <f t="array" ref="O494">IF($E494="","", XLOOKUP(SUMIFS(Prod_Prop!$A:$A,Prod_Prop!$B:$B,$E494,Prod_Prop!$H:$H,O$1,Prod_Prop!$I:$I,"Exacto"),Prod_Prop!$A:$A,Prod_Prop!$J:$J,"",0,1))</f>
        <v/>
      </c>
      <c r="P494" s="4" t="str">
        <f t="array" ref="P494">IF($E494="","", XLOOKUP(SUMIFS(Prod_Prop!$A:$A,Prod_Prop!$B:$B,$E494,Prod_Prop!$H:$H,P$1,Prod_Prop!$I:$I,"Exacto"),Prod_Prop!$A:$A,Prod_Prop!$J:$J,"",0,1))</f>
        <v/>
      </c>
      <c r="Q494" s="4" t="str">
        <f t="array" ref="Q494">IF($E494="","", XLOOKUP(SUMIFS(Prod_Prop!$A:$A,Prod_Prop!$B:$B,$E494,Prod_Prop!$H:$H,Q$1,Prod_Prop!$I:$I,"Exacto"),Prod_Prop!$A:$A,Prod_Prop!$J:$J,"",0,1))</f>
        <v/>
      </c>
      <c r="R494" s="4" t="str">
        <f t="array" ref="R494">IF($E494="","", XLOOKUP(SUMIFS(Prod_Prop!$A:$A,Prod_Prop!$B:$B,$E494,Prod_Prop!$H:$H,R$1,Prod_Prop!$I:$I,"Exacto"),Prod_Prop!$A:$A,Prod_Prop!$J:$J,"",0,1))</f>
        <v/>
      </c>
      <c r="S494" s="4" t="str">
        <f t="array" ref="S494">IF($E494="","", XLOOKUP(SUMIFS(Prod_Prop!$A:$A,Prod_Prop!$B:$B,$E494,Prod_Prop!$H:$H,S$1,Prod_Prop!$I:$I,"Exacto"),Prod_Prop!$A:$A,Prod_Prop!$J:$J,"",0,1))</f>
        <v/>
      </c>
      <c r="T494" s="4" t="str">
        <f t="array" ref="T494">IF($E494="","", XLOOKUP(SUMIFS(Prod_Prop!$A:$A,Prod_Prop!$B:$B,$E494,Prod_Prop!$H:$H,T$1,Prod_Prop!$I:$I,"Exacto"),Prod_Prop!$A:$A,Prod_Prop!$J:$J,"",0,1))</f>
        <v/>
      </c>
      <c r="U494" s="4" t="str">
        <f t="array" ref="U494">IF($E494="","", XLOOKUP(SUMIFS(Prod_Prop!$A:$A,Prod_Prop!$B:$B,$E494,Prod_Prop!$H:$H,U$1,Prod_Prop!$I:$I,"Exacto"),Prod_Prop!$A:$A,Prod_Prop!$J:$J,"",0,1))</f>
        <v/>
      </c>
      <c r="V494" s="4" t="str">
        <f t="array" ref="V494">IF($E494="","", XLOOKUP(SUMIFS(Prod_Prop!$A:$A,Prod_Prop!$B:$B,$E494,Prod_Prop!$H:$H,V$1,Prod_Prop!$I:$I,"Exacto"),Prod_Prop!$A:$A,Prod_Prop!$J:$J,"",0,1))</f>
        <v/>
      </c>
      <c r="X494" s="3" t="str">
        <f>IFERROR(__xludf.DUMMYFUNCTION("IF(D494="""","""",IFERROR(TRANSPOSE(FILTER('Validaciones Cotizador'!U:U,'Validaciones Cotizador'!O:O=D494,'Validaciones Cotizador'!T:T=""x"")),""Finalizar""))"),"")</f>
        <v/>
      </c>
    </row>
    <row r="495">
      <c r="A495" s="2" t="str">
        <f t="array" ref="A495">IF(E495="","",XLOOKUP(D495,'Validaciones Cotizador'!C:C,'Validaciones Cotizador'!A:A,"",0,1))</f>
        <v/>
      </c>
      <c r="B495" s="2" t="str">
        <f t="array" ref="B495">IF(F495="","",XLOOKUP(F495,Productos!E:E,Productos!G:G,"",0,1))</f>
        <v/>
      </c>
      <c r="C495" s="2" t="str">
        <f>IF(A495="","",SUMIFS('Validaciones Cotizador'!B:B,'Validaciones Cotizador'!C:C,D495,'Validaciones Cotizador'!A:A,A495))</f>
        <v/>
      </c>
      <c r="D495" s="4" t="str">
        <f>IFERROR(__xludf.DUMMYFUNCTION("IF(OR(F494=""Finalizar"",F494="""",F494=""Selecciona..""),"""",IF(OR(F494=""-"",INDEX(filter(Familias!F:F,Familias!D:D=A494,Familias!E:E=C494),1)=""O""),D494+1,D494))"),"")</f>
        <v/>
      </c>
      <c r="E495" s="2" t="str">
        <f>IF(OR(F495="",F495="Selecciona.."),"",IF(D495="Implemento",SUMIF(Implementos!B:B,F495,Implementos!A:A),SUMIF(Productos!E:E,F495,Productos!A:A)))</f>
        <v/>
      </c>
      <c r="F495" s="2" t="str">
        <f t="shared" si="2"/>
        <v/>
      </c>
      <c r="G495" s="10" t="str">
        <f t="array" ref="G495">IF(OR(F495="",F495="-",F495="Selecciona..",F495="Finalizar"),"",IF(A495="Rodados",XLOOKUP(B495,'Validaciones Cotizador'!I:I,'Validaciones Cotizador'!J:J,0,0,1),1))</f>
        <v/>
      </c>
      <c r="H495" s="11" t="str">
        <f>IF(OR(F495="",F495="Selecciona.."),"",SUMIF(Precio_Productos!K:K,E495,Precio_Productos!J:J)*G495)</f>
        <v/>
      </c>
      <c r="I495" s="4" t="str">
        <f t="array" ref="I495">IF($E495="","", XLOOKUP(SUMIFS(Prod_Prop!$A:$A,Prod_Prop!$B:$B,$E495,Prod_Prop!$H:$H,I$1,Prod_Prop!$I:$I,"Exacto"),Prod_Prop!$A:$A,Prod_Prop!$J:$J,"",0,1))</f>
        <v/>
      </c>
      <c r="J495" s="4" t="str">
        <f t="array" ref="J495">IF($E495="","", XLOOKUP(SUMIFS(Prod_Prop!$A:$A,Prod_Prop!$B:$B,$E495,Prod_Prop!$H:$H,J$1,Prod_Prop!$I:$I,"Exacto"),Prod_Prop!$A:$A,Prod_Prop!$J:$J,"",0,1))</f>
        <v/>
      </c>
      <c r="K495" s="4" t="str">
        <f t="array" ref="K495">IF($E495="","", XLOOKUP(SUMIFS(Prod_Prop!$A:$A,Prod_Prop!$B:$B,$E495,Prod_Prop!$H:$H,K$1,Prod_Prop!$I:$I,"Exacto"),Prod_Prop!$A:$A,Prod_Prop!$J:$J,"",0,1))</f>
        <v/>
      </c>
      <c r="L495" s="4" t="str">
        <f t="array" ref="L495">IF($E495="","", XLOOKUP(SUMIFS(Prod_Prop!$A:$A,Prod_Prop!$B:$B,$E495,Prod_Prop!$H:$H,L$1,Prod_Prop!$I:$I,"Exacto"),Prod_Prop!$A:$A,Prod_Prop!$J:$J,"",0,1))</f>
        <v/>
      </c>
      <c r="M495" s="4" t="str">
        <f t="array" ref="M495">IF($E495="","", XLOOKUP(SUMIFS(Prod_Prop!$A:$A,Prod_Prop!$B:$B,$E495,Prod_Prop!$H:$H,M$1,Prod_Prop!$I:$I,"Exacto"),Prod_Prop!$A:$A,Prod_Prop!$J:$J,"",0,1))</f>
        <v/>
      </c>
      <c r="N495" s="4" t="str">
        <f t="array" ref="N495">IF($E495="","", XLOOKUP(SUMIFS(Prod_Prop!$A:$A,Prod_Prop!$B:$B,$E495,Prod_Prop!$H:$H,N$1,Prod_Prop!$I:$I,"Exacto"),Prod_Prop!$A:$A,Prod_Prop!$J:$J,"",0,1))</f>
        <v/>
      </c>
      <c r="O495" s="4" t="str">
        <f t="array" ref="O495">IF($E495="","", XLOOKUP(SUMIFS(Prod_Prop!$A:$A,Prod_Prop!$B:$B,$E495,Prod_Prop!$H:$H,O$1,Prod_Prop!$I:$I,"Exacto"),Prod_Prop!$A:$A,Prod_Prop!$J:$J,"",0,1))</f>
        <v/>
      </c>
      <c r="P495" s="4" t="str">
        <f t="array" ref="P495">IF($E495="","", XLOOKUP(SUMIFS(Prod_Prop!$A:$A,Prod_Prop!$B:$B,$E495,Prod_Prop!$H:$H,P$1,Prod_Prop!$I:$I,"Exacto"),Prod_Prop!$A:$A,Prod_Prop!$J:$J,"",0,1))</f>
        <v/>
      </c>
      <c r="Q495" s="4" t="str">
        <f t="array" ref="Q495">IF($E495="","", XLOOKUP(SUMIFS(Prod_Prop!$A:$A,Prod_Prop!$B:$B,$E495,Prod_Prop!$H:$H,Q$1,Prod_Prop!$I:$I,"Exacto"),Prod_Prop!$A:$A,Prod_Prop!$J:$J,"",0,1))</f>
        <v/>
      </c>
      <c r="R495" s="4" t="str">
        <f t="array" ref="R495">IF($E495="","", XLOOKUP(SUMIFS(Prod_Prop!$A:$A,Prod_Prop!$B:$B,$E495,Prod_Prop!$H:$H,R$1,Prod_Prop!$I:$I,"Exacto"),Prod_Prop!$A:$A,Prod_Prop!$J:$J,"",0,1))</f>
        <v/>
      </c>
      <c r="S495" s="4" t="str">
        <f t="array" ref="S495">IF($E495="","", XLOOKUP(SUMIFS(Prod_Prop!$A:$A,Prod_Prop!$B:$B,$E495,Prod_Prop!$H:$H,S$1,Prod_Prop!$I:$I,"Exacto"),Prod_Prop!$A:$A,Prod_Prop!$J:$J,"",0,1))</f>
        <v/>
      </c>
      <c r="T495" s="4" t="str">
        <f t="array" ref="T495">IF($E495="","", XLOOKUP(SUMIFS(Prod_Prop!$A:$A,Prod_Prop!$B:$B,$E495,Prod_Prop!$H:$H,T$1,Prod_Prop!$I:$I,"Exacto"),Prod_Prop!$A:$A,Prod_Prop!$J:$J,"",0,1))</f>
        <v/>
      </c>
      <c r="U495" s="4" t="str">
        <f t="array" ref="U495">IF($E495="","", XLOOKUP(SUMIFS(Prod_Prop!$A:$A,Prod_Prop!$B:$B,$E495,Prod_Prop!$H:$H,U$1,Prod_Prop!$I:$I,"Exacto"),Prod_Prop!$A:$A,Prod_Prop!$J:$J,"",0,1))</f>
        <v/>
      </c>
      <c r="V495" s="4" t="str">
        <f t="array" ref="V495">IF($E495="","", XLOOKUP(SUMIFS(Prod_Prop!$A:$A,Prod_Prop!$B:$B,$E495,Prod_Prop!$H:$H,V$1,Prod_Prop!$I:$I,"Exacto"),Prod_Prop!$A:$A,Prod_Prop!$J:$J,"",0,1))</f>
        <v/>
      </c>
      <c r="X495" s="3" t="str">
        <f>IFERROR(__xludf.DUMMYFUNCTION("IF(D495="""","""",IFERROR(TRANSPOSE(FILTER('Validaciones Cotizador'!U:U,'Validaciones Cotizador'!O:O=D495,'Validaciones Cotizador'!T:T=""x"")),""Finalizar""))"),"")</f>
        <v/>
      </c>
    </row>
    <row r="496">
      <c r="A496" s="2" t="str">
        <f t="array" ref="A496">IF(E496="","",XLOOKUP(D496,'Validaciones Cotizador'!C:C,'Validaciones Cotizador'!A:A,"",0,1))</f>
        <v/>
      </c>
      <c r="B496" s="2" t="str">
        <f t="array" ref="B496">IF(F496="","",XLOOKUP(F496,Productos!E:E,Productos!G:G,"",0,1))</f>
        <v/>
      </c>
      <c r="C496" s="2" t="str">
        <f>IF(A496="","",SUMIFS('Validaciones Cotizador'!B:B,'Validaciones Cotizador'!C:C,D496,'Validaciones Cotizador'!A:A,A496))</f>
        <v/>
      </c>
      <c r="D496" s="4" t="str">
        <f>IFERROR(__xludf.DUMMYFUNCTION("IF(OR(F495=""Finalizar"",F495="""",F495=""Selecciona..""),"""",IF(OR(F495=""-"",INDEX(filter(Familias!F:F,Familias!D:D=A495,Familias!E:E=C495),1)=""O""),D495+1,D495))"),"")</f>
        <v/>
      </c>
      <c r="E496" s="2" t="str">
        <f>IF(OR(F496="",F496="Selecciona.."),"",IF(D496="Implemento",SUMIF(Implementos!B:B,F496,Implementos!A:A),SUMIF(Productos!E:E,F496,Productos!A:A)))</f>
        <v/>
      </c>
      <c r="F496" s="2" t="str">
        <f t="shared" si="2"/>
        <v/>
      </c>
      <c r="G496" s="10" t="str">
        <f t="array" ref="G496">IF(OR(F496="",F496="-",F496="Selecciona..",F496="Finalizar"),"",IF(A496="Rodados",XLOOKUP(B496,'Validaciones Cotizador'!I:I,'Validaciones Cotizador'!J:J,0,0,1),1))</f>
        <v/>
      </c>
      <c r="H496" s="11" t="str">
        <f>IF(OR(F496="",F496="Selecciona.."),"",SUMIF(Precio_Productos!K:K,E496,Precio_Productos!J:J)*G496)</f>
        <v/>
      </c>
      <c r="I496" s="4" t="str">
        <f t="array" ref="I496">IF($E496="","", XLOOKUP(SUMIFS(Prod_Prop!$A:$A,Prod_Prop!$B:$B,$E496,Prod_Prop!$H:$H,I$1,Prod_Prop!$I:$I,"Exacto"),Prod_Prop!$A:$A,Prod_Prop!$J:$J,"",0,1))</f>
        <v/>
      </c>
      <c r="J496" s="4" t="str">
        <f t="array" ref="J496">IF($E496="","", XLOOKUP(SUMIFS(Prod_Prop!$A:$A,Prod_Prop!$B:$B,$E496,Prod_Prop!$H:$H,J$1,Prod_Prop!$I:$I,"Exacto"),Prod_Prop!$A:$A,Prod_Prop!$J:$J,"",0,1))</f>
        <v/>
      </c>
      <c r="K496" s="4" t="str">
        <f t="array" ref="K496">IF($E496="","", XLOOKUP(SUMIFS(Prod_Prop!$A:$A,Prod_Prop!$B:$B,$E496,Prod_Prop!$H:$H,K$1,Prod_Prop!$I:$I,"Exacto"),Prod_Prop!$A:$A,Prod_Prop!$J:$J,"",0,1))</f>
        <v/>
      </c>
      <c r="L496" s="4" t="str">
        <f t="array" ref="L496">IF($E496="","", XLOOKUP(SUMIFS(Prod_Prop!$A:$A,Prod_Prop!$B:$B,$E496,Prod_Prop!$H:$H,L$1,Prod_Prop!$I:$I,"Exacto"),Prod_Prop!$A:$A,Prod_Prop!$J:$J,"",0,1))</f>
        <v/>
      </c>
      <c r="M496" s="4" t="str">
        <f t="array" ref="M496">IF($E496="","", XLOOKUP(SUMIFS(Prod_Prop!$A:$A,Prod_Prop!$B:$B,$E496,Prod_Prop!$H:$H,M$1,Prod_Prop!$I:$I,"Exacto"),Prod_Prop!$A:$A,Prod_Prop!$J:$J,"",0,1))</f>
        <v/>
      </c>
      <c r="N496" s="4" t="str">
        <f t="array" ref="N496">IF($E496="","", XLOOKUP(SUMIFS(Prod_Prop!$A:$A,Prod_Prop!$B:$B,$E496,Prod_Prop!$H:$H,N$1,Prod_Prop!$I:$I,"Exacto"),Prod_Prop!$A:$A,Prod_Prop!$J:$J,"",0,1))</f>
        <v/>
      </c>
      <c r="O496" s="4" t="str">
        <f t="array" ref="O496">IF($E496="","", XLOOKUP(SUMIFS(Prod_Prop!$A:$A,Prod_Prop!$B:$B,$E496,Prod_Prop!$H:$H,O$1,Prod_Prop!$I:$I,"Exacto"),Prod_Prop!$A:$A,Prod_Prop!$J:$J,"",0,1))</f>
        <v/>
      </c>
      <c r="P496" s="4" t="str">
        <f t="array" ref="P496">IF($E496="","", XLOOKUP(SUMIFS(Prod_Prop!$A:$A,Prod_Prop!$B:$B,$E496,Prod_Prop!$H:$H,P$1,Prod_Prop!$I:$I,"Exacto"),Prod_Prop!$A:$A,Prod_Prop!$J:$J,"",0,1))</f>
        <v/>
      </c>
      <c r="Q496" s="4" t="str">
        <f t="array" ref="Q496">IF($E496="","", XLOOKUP(SUMIFS(Prod_Prop!$A:$A,Prod_Prop!$B:$B,$E496,Prod_Prop!$H:$H,Q$1,Prod_Prop!$I:$I,"Exacto"),Prod_Prop!$A:$A,Prod_Prop!$J:$J,"",0,1))</f>
        <v/>
      </c>
      <c r="R496" s="4" t="str">
        <f t="array" ref="R496">IF($E496="","", XLOOKUP(SUMIFS(Prod_Prop!$A:$A,Prod_Prop!$B:$B,$E496,Prod_Prop!$H:$H,R$1,Prod_Prop!$I:$I,"Exacto"),Prod_Prop!$A:$A,Prod_Prop!$J:$J,"",0,1))</f>
        <v/>
      </c>
      <c r="S496" s="4" t="str">
        <f t="array" ref="S496">IF($E496="","", XLOOKUP(SUMIFS(Prod_Prop!$A:$A,Prod_Prop!$B:$B,$E496,Prod_Prop!$H:$H,S$1,Prod_Prop!$I:$I,"Exacto"),Prod_Prop!$A:$A,Prod_Prop!$J:$J,"",0,1))</f>
        <v/>
      </c>
      <c r="T496" s="4" t="str">
        <f t="array" ref="T496">IF($E496="","", XLOOKUP(SUMIFS(Prod_Prop!$A:$A,Prod_Prop!$B:$B,$E496,Prod_Prop!$H:$H,T$1,Prod_Prop!$I:$I,"Exacto"),Prod_Prop!$A:$A,Prod_Prop!$J:$J,"",0,1))</f>
        <v/>
      </c>
      <c r="U496" s="4" t="str">
        <f t="array" ref="U496">IF($E496="","", XLOOKUP(SUMIFS(Prod_Prop!$A:$A,Prod_Prop!$B:$B,$E496,Prod_Prop!$H:$H,U$1,Prod_Prop!$I:$I,"Exacto"),Prod_Prop!$A:$A,Prod_Prop!$J:$J,"",0,1))</f>
        <v/>
      </c>
      <c r="V496" s="4" t="str">
        <f t="array" ref="V496">IF($E496="","", XLOOKUP(SUMIFS(Prod_Prop!$A:$A,Prod_Prop!$B:$B,$E496,Prod_Prop!$H:$H,V$1,Prod_Prop!$I:$I,"Exacto"),Prod_Prop!$A:$A,Prod_Prop!$J:$J,"",0,1))</f>
        <v/>
      </c>
      <c r="X496" s="3" t="str">
        <f>IFERROR(__xludf.DUMMYFUNCTION("IF(D496="""","""",IFERROR(TRANSPOSE(FILTER('Validaciones Cotizador'!U:U,'Validaciones Cotizador'!O:O=D496,'Validaciones Cotizador'!T:T=""x"")),""Finalizar""))"),"")</f>
        <v/>
      </c>
    </row>
    <row r="497">
      <c r="A497" s="2" t="str">
        <f t="array" ref="A497">IF(E497="","",XLOOKUP(D497,'Validaciones Cotizador'!C:C,'Validaciones Cotizador'!A:A,"",0,1))</f>
        <v/>
      </c>
      <c r="B497" s="2" t="str">
        <f t="array" ref="B497">IF(F497="","",XLOOKUP(F497,Productos!E:E,Productos!G:G,"",0,1))</f>
        <v/>
      </c>
      <c r="C497" s="2" t="str">
        <f>IF(A497="","",SUMIFS('Validaciones Cotizador'!B:B,'Validaciones Cotizador'!C:C,D497,'Validaciones Cotizador'!A:A,A497))</f>
        <v/>
      </c>
      <c r="D497" s="4" t="str">
        <f>IFERROR(__xludf.DUMMYFUNCTION("IF(OR(F496=""Finalizar"",F496="""",F496=""Selecciona..""),"""",IF(OR(F496=""-"",INDEX(filter(Familias!F:F,Familias!D:D=A496,Familias!E:E=C496),1)=""O""),D496+1,D496))"),"")</f>
        <v/>
      </c>
      <c r="E497" s="2" t="str">
        <f>IF(OR(F497="",F497="Selecciona.."),"",IF(D497="Implemento",SUMIF(Implementos!B:B,F497,Implementos!A:A),SUMIF(Productos!E:E,F497,Productos!A:A)))</f>
        <v/>
      </c>
      <c r="F497" s="2" t="str">
        <f t="shared" si="2"/>
        <v/>
      </c>
      <c r="G497" s="10" t="str">
        <f t="array" ref="G497">IF(OR(F497="",F497="-",F497="Selecciona..",F497="Finalizar"),"",IF(A497="Rodados",XLOOKUP(B497,'Validaciones Cotizador'!I:I,'Validaciones Cotizador'!J:J,0,0,1),1))</f>
        <v/>
      </c>
      <c r="H497" s="11" t="str">
        <f>IF(OR(F497="",F497="Selecciona.."),"",SUMIF(Precio_Productos!K:K,E497,Precio_Productos!J:J)*G497)</f>
        <v/>
      </c>
      <c r="I497" s="4" t="str">
        <f t="array" ref="I497">IF($E497="","", XLOOKUP(SUMIFS(Prod_Prop!$A:$A,Prod_Prop!$B:$B,$E497,Prod_Prop!$H:$H,I$1,Prod_Prop!$I:$I,"Exacto"),Prod_Prop!$A:$A,Prod_Prop!$J:$J,"",0,1))</f>
        <v/>
      </c>
      <c r="J497" s="4" t="str">
        <f t="array" ref="J497">IF($E497="","", XLOOKUP(SUMIFS(Prod_Prop!$A:$A,Prod_Prop!$B:$B,$E497,Prod_Prop!$H:$H,J$1,Prod_Prop!$I:$I,"Exacto"),Prod_Prop!$A:$A,Prod_Prop!$J:$J,"",0,1))</f>
        <v/>
      </c>
      <c r="K497" s="4" t="str">
        <f t="array" ref="K497">IF($E497="","", XLOOKUP(SUMIFS(Prod_Prop!$A:$A,Prod_Prop!$B:$B,$E497,Prod_Prop!$H:$H,K$1,Prod_Prop!$I:$I,"Exacto"),Prod_Prop!$A:$A,Prod_Prop!$J:$J,"",0,1))</f>
        <v/>
      </c>
      <c r="L497" s="4" t="str">
        <f t="array" ref="L497">IF($E497="","", XLOOKUP(SUMIFS(Prod_Prop!$A:$A,Prod_Prop!$B:$B,$E497,Prod_Prop!$H:$H,L$1,Prod_Prop!$I:$I,"Exacto"),Prod_Prop!$A:$A,Prod_Prop!$J:$J,"",0,1))</f>
        <v/>
      </c>
      <c r="M497" s="4" t="str">
        <f t="array" ref="M497">IF($E497="","", XLOOKUP(SUMIFS(Prod_Prop!$A:$A,Prod_Prop!$B:$B,$E497,Prod_Prop!$H:$H,M$1,Prod_Prop!$I:$I,"Exacto"),Prod_Prop!$A:$A,Prod_Prop!$J:$J,"",0,1))</f>
        <v/>
      </c>
      <c r="N497" s="4" t="str">
        <f t="array" ref="N497">IF($E497="","", XLOOKUP(SUMIFS(Prod_Prop!$A:$A,Prod_Prop!$B:$B,$E497,Prod_Prop!$H:$H,N$1,Prod_Prop!$I:$I,"Exacto"),Prod_Prop!$A:$A,Prod_Prop!$J:$J,"",0,1))</f>
        <v/>
      </c>
      <c r="O497" s="4" t="str">
        <f t="array" ref="O497">IF($E497="","", XLOOKUP(SUMIFS(Prod_Prop!$A:$A,Prod_Prop!$B:$B,$E497,Prod_Prop!$H:$H,O$1,Prod_Prop!$I:$I,"Exacto"),Prod_Prop!$A:$A,Prod_Prop!$J:$J,"",0,1))</f>
        <v/>
      </c>
      <c r="P497" s="4" t="str">
        <f t="array" ref="P497">IF($E497="","", XLOOKUP(SUMIFS(Prod_Prop!$A:$A,Prod_Prop!$B:$B,$E497,Prod_Prop!$H:$H,P$1,Prod_Prop!$I:$I,"Exacto"),Prod_Prop!$A:$A,Prod_Prop!$J:$J,"",0,1))</f>
        <v/>
      </c>
      <c r="Q497" s="4" t="str">
        <f t="array" ref="Q497">IF($E497="","", XLOOKUP(SUMIFS(Prod_Prop!$A:$A,Prod_Prop!$B:$B,$E497,Prod_Prop!$H:$H,Q$1,Prod_Prop!$I:$I,"Exacto"),Prod_Prop!$A:$A,Prod_Prop!$J:$J,"",0,1))</f>
        <v/>
      </c>
      <c r="R497" s="4" t="str">
        <f t="array" ref="R497">IF($E497="","", XLOOKUP(SUMIFS(Prod_Prop!$A:$A,Prod_Prop!$B:$B,$E497,Prod_Prop!$H:$H,R$1,Prod_Prop!$I:$I,"Exacto"),Prod_Prop!$A:$A,Prod_Prop!$J:$J,"",0,1))</f>
        <v/>
      </c>
      <c r="S497" s="4" t="str">
        <f t="array" ref="S497">IF($E497="","", XLOOKUP(SUMIFS(Prod_Prop!$A:$A,Prod_Prop!$B:$B,$E497,Prod_Prop!$H:$H,S$1,Prod_Prop!$I:$I,"Exacto"),Prod_Prop!$A:$A,Prod_Prop!$J:$J,"",0,1))</f>
        <v/>
      </c>
      <c r="T497" s="4" t="str">
        <f t="array" ref="T497">IF($E497="","", XLOOKUP(SUMIFS(Prod_Prop!$A:$A,Prod_Prop!$B:$B,$E497,Prod_Prop!$H:$H,T$1,Prod_Prop!$I:$I,"Exacto"),Prod_Prop!$A:$A,Prod_Prop!$J:$J,"",0,1))</f>
        <v/>
      </c>
      <c r="U497" s="4" t="str">
        <f t="array" ref="U497">IF($E497="","", XLOOKUP(SUMIFS(Prod_Prop!$A:$A,Prod_Prop!$B:$B,$E497,Prod_Prop!$H:$H,U$1,Prod_Prop!$I:$I,"Exacto"),Prod_Prop!$A:$A,Prod_Prop!$J:$J,"",0,1))</f>
        <v/>
      </c>
      <c r="V497" s="4" t="str">
        <f t="array" ref="V497">IF($E497="","", XLOOKUP(SUMIFS(Prod_Prop!$A:$A,Prod_Prop!$B:$B,$E497,Prod_Prop!$H:$H,V$1,Prod_Prop!$I:$I,"Exacto"),Prod_Prop!$A:$A,Prod_Prop!$J:$J,"",0,1))</f>
        <v/>
      </c>
      <c r="X497" s="3" t="str">
        <f>IFERROR(__xludf.DUMMYFUNCTION("IF(D497="""","""",IFERROR(TRANSPOSE(FILTER('Validaciones Cotizador'!U:U,'Validaciones Cotizador'!O:O=D497,'Validaciones Cotizador'!T:T=""x"")),""Finalizar""))"),"")</f>
        <v/>
      </c>
    </row>
    <row r="498">
      <c r="A498" s="2" t="str">
        <f t="array" ref="A498">IF(E498="","",XLOOKUP(D498,'Validaciones Cotizador'!C:C,'Validaciones Cotizador'!A:A,"",0,1))</f>
        <v/>
      </c>
      <c r="B498" s="2" t="str">
        <f t="array" ref="B498">IF(F498="","",XLOOKUP(F498,Productos!E:E,Productos!G:G,"",0,1))</f>
        <v/>
      </c>
      <c r="C498" s="2" t="str">
        <f>IF(A498="","",SUMIFS('Validaciones Cotizador'!B:B,'Validaciones Cotizador'!C:C,D498,'Validaciones Cotizador'!A:A,A498))</f>
        <v/>
      </c>
      <c r="D498" s="4" t="str">
        <f>IFERROR(__xludf.DUMMYFUNCTION("IF(OR(F497=""Finalizar"",F497="""",F497=""Selecciona..""),"""",IF(OR(F497=""-"",INDEX(filter(Familias!F:F,Familias!D:D=A497,Familias!E:E=C497),1)=""O""),D497+1,D497))"),"")</f>
        <v/>
      </c>
      <c r="E498" s="2" t="str">
        <f>IF(OR(F498="",F498="Selecciona.."),"",IF(D498="Implemento",SUMIF(Implementos!B:B,F498,Implementos!A:A),SUMIF(Productos!E:E,F498,Productos!A:A)))</f>
        <v/>
      </c>
      <c r="F498" s="2" t="str">
        <f t="shared" si="2"/>
        <v/>
      </c>
      <c r="G498" s="10" t="str">
        <f t="array" ref="G498">IF(OR(F498="",F498="-",F498="Selecciona..",F498="Finalizar"),"",IF(A498="Rodados",XLOOKUP(B498,'Validaciones Cotizador'!I:I,'Validaciones Cotizador'!J:J,0,0,1),1))</f>
        <v/>
      </c>
      <c r="H498" s="11" t="str">
        <f>IF(OR(F498="",F498="Selecciona.."),"",SUMIF(Precio_Productos!K:K,E498,Precio_Productos!J:J)*G498)</f>
        <v/>
      </c>
      <c r="I498" s="4" t="str">
        <f t="array" ref="I498">IF($E498="","", XLOOKUP(SUMIFS(Prod_Prop!$A:$A,Prod_Prop!$B:$B,$E498,Prod_Prop!$H:$H,I$1,Prod_Prop!$I:$I,"Exacto"),Prod_Prop!$A:$A,Prod_Prop!$J:$J,"",0,1))</f>
        <v/>
      </c>
      <c r="J498" s="4" t="str">
        <f t="array" ref="J498">IF($E498="","", XLOOKUP(SUMIFS(Prod_Prop!$A:$A,Prod_Prop!$B:$B,$E498,Prod_Prop!$H:$H,J$1,Prod_Prop!$I:$I,"Exacto"),Prod_Prop!$A:$A,Prod_Prop!$J:$J,"",0,1))</f>
        <v/>
      </c>
      <c r="K498" s="4" t="str">
        <f t="array" ref="K498">IF($E498="","", XLOOKUP(SUMIFS(Prod_Prop!$A:$A,Prod_Prop!$B:$B,$E498,Prod_Prop!$H:$H,K$1,Prod_Prop!$I:$I,"Exacto"),Prod_Prop!$A:$A,Prod_Prop!$J:$J,"",0,1))</f>
        <v/>
      </c>
      <c r="L498" s="4" t="str">
        <f t="array" ref="L498">IF($E498="","", XLOOKUP(SUMIFS(Prod_Prop!$A:$A,Prod_Prop!$B:$B,$E498,Prod_Prop!$H:$H,L$1,Prod_Prop!$I:$I,"Exacto"),Prod_Prop!$A:$A,Prod_Prop!$J:$J,"",0,1))</f>
        <v/>
      </c>
      <c r="M498" s="4" t="str">
        <f t="array" ref="M498">IF($E498="","", XLOOKUP(SUMIFS(Prod_Prop!$A:$A,Prod_Prop!$B:$B,$E498,Prod_Prop!$H:$H,M$1,Prod_Prop!$I:$I,"Exacto"),Prod_Prop!$A:$A,Prod_Prop!$J:$J,"",0,1))</f>
        <v/>
      </c>
      <c r="N498" s="4" t="str">
        <f t="array" ref="N498">IF($E498="","", XLOOKUP(SUMIFS(Prod_Prop!$A:$A,Prod_Prop!$B:$B,$E498,Prod_Prop!$H:$H,N$1,Prod_Prop!$I:$I,"Exacto"),Prod_Prop!$A:$A,Prod_Prop!$J:$J,"",0,1))</f>
        <v/>
      </c>
      <c r="O498" s="4" t="str">
        <f t="array" ref="O498">IF($E498="","", XLOOKUP(SUMIFS(Prod_Prop!$A:$A,Prod_Prop!$B:$B,$E498,Prod_Prop!$H:$H,O$1,Prod_Prop!$I:$I,"Exacto"),Prod_Prop!$A:$A,Prod_Prop!$J:$J,"",0,1))</f>
        <v/>
      </c>
      <c r="P498" s="4" t="str">
        <f t="array" ref="P498">IF($E498="","", XLOOKUP(SUMIFS(Prod_Prop!$A:$A,Prod_Prop!$B:$B,$E498,Prod_Prop!$H:$H,P$1,Prod_Prop!$I:$I,"Exacto"),Prod_Prop!$A:$A,Prod_Prop!$J:$J,"",0,1))</f>
        <v/>
      </c>
      <c r="Q498" s="4" t="str">
        <f t="array" ref="Q498">IF($E498="","", XLOOKUP(SUMIFS(Prod_Prop!$A:$A,Prod_Prop!$B:$B,$E498,Prod_Prop!$H:$H,Q$1,Prod_Prop!$I:$I,"Exacto"),Prod_Prop!$A:$A,Prod_Prop!$J:$J,"",0,1))</f>
        <v/>
      </c>
      <c r="R498" s="4" t="str">
        <f t="array" ref="R498">IF($E498="","", XLOOKUP(SUMIFS(Prod_Prop!$A:$A,Prod_Prop!$B:$B,$E498,Prod_Prop!$H:$H,R$1,Prod_Prop!$I:$I,"Exacto"),Prod_Prop!$A:$A,Prod_Prop!$J:$J,"",0,1))</f>
        <v/>
      </c>
      <c r="S498" s="4" t="str">
        <f t="array" ref="S498">IF($E498="","", XLOOKUP(SUMIFS(Prod_Prop!$A:$A,Prod_Prop!$B:$B,$E498,Prod_Prop!$H:$H,S$1,Prod_Prop!$I:$I,"Exacto"),Prod_Prop!$A:$A,Prod_Prop!$J:$J,"",0,1))</f>
        <v/>
      </c>
      <c r="T498" s="4" t="str">
        <f t="array" ref="T498">IF($E498="","", XLOOKUP(SUMIFS(Prod_Prop!$A:$A,Prod_Prop!$B:$B,$E498,Prod_Prop!$H:$H,T$1,Prod_Prop!$I:$I,"Exacto"),Prod_Prop!$A:$A,Prod_Prop!$J:$J,"",0,1))</f>
        <v/>
      </c>
      <c r="U498" s="4" t="str">
        <f t="array" ref="U498">IF($E498="","", XLOOKUP(SUMIFS(Prod_Prop!$A:$A,Prod_Prop!$B:$B,$E498,Prod_Prop!$H:$H,U$1,Prod_Prop!$I:$I,"Exacto"),Prod_Prop!$A:$A,Prod_Prop!$J:$J,"",0,1))</f>
        <v/>
      </c>
      <c r="V498" s="4" t="str">
        <f t="array" ref="V498">IF($E498="","", XLOOKUP(SUMIFS(Prod_Prop!$A:$A,Prod_Prop!$B:$B,$E498,Prod_Prop!$H:$H,V$1,Prod_Prop!$I:$I,"Exacto"),Prod_Prop!$A:$A,Prod_Prop!$J:$J,"",0,1))</f>
        <v/>
      </c>
      <c r="X498" s="3" t="str">
        <f>IFERROR(__xludf.DUMMYFUNCTION("IF(D498="""","""",IFERROR(TRANSPOSE(FILTER('Validaciones Cotizador'!U:U,'Validaciones Cotizador'!O:O=D498,'Validaciones Cotizador'!T:T=""x"")),""Finalizar""))"),"")</f>
        <v/>
      </c>
    </row>
    <row r="499">
      <c r="A499" s="2" t="str">
        <f t="array" ref="A499">IF(E499="","",XLOOKUP(D499,'Validaciones Cotizador'!C:C,'Validaciones Cotizador'!A:A,"",0,1))</f>
        <v/>
      </c>
      <c r="B499" s="2" t="str">
        <f t="array" ref="B499">IF(F499="","",XLOOKUP(F499,Productos!E:E,Productos!G:G,"",0,1))</f>
        <v/>
      </c>
      <c r="C499" s="2" t="str">
        <f>IF(A499="","",SUMIFS('Validaciones Cotizador'!B:B,'Validaciones Cotizador'!C:C,D499,'Validaciones Cotizador'!A:A,A499))</f>
        <v/>
      </c>
      <c r="D499" s="4" t="str">
        <f>IFERROR(__xludf.DUMMYFUNCTION("IF(OR(F498=""Finalizar"",F498="""",F498=""Selecciona..""),"""",IF(OR(F498=""-"",INDEX(filter(Familias!F:F,Familias!D:D=A498,Familias!E:E=C498),1)=""O""),D498+1,D498))"),"")</f>
        <v/>
      </c>
      <c r="E499" s="2" t="str">
        <f>IF(OR(F499="",F499="Selecciona.."),"",IF(D499="Implemento",SUMIF(Implementos!B:B,F499,Implementos!A:A),SUMIF(Productos!E:E,F499,Productos!A:A)))</f>
        <v/>
      </c>
      <c r="F499" s="2" t="str">
        <f t="shared" si="2"/>
        <v/>
      </c>
      <c r="G499" s="10" t="str">
        <f t="array" ref="G499">IF(OR(F499="",F499="-",F499="Selecciona..",F499="Finalizar"),"",IF(A499="Rodados",XLOOKUP(B499,'Validaciones Cotizador'!I:I,'Validaciones Cotizador'!J:J,0,0,1),1))</f>
        <v/>
      </c>
      <c r="H499" s="11" t="str">
        <f>IF(OR(F499="",F499="Selecciona.."),"",SUMIF(Precio_Productos!K:K,E499,Precio_Productos!J:J)*G499)</f>
        <v/>
      </c>
      <c r="I499" s="4" t="str">
        <f t="array" ref="I499">IF($E499="","", XLOOKUP(SUMIFS(Prod_Prop!$A:$A,Prod_Prop!$B:$B,$E499,Prod_Prop!$H:$H,I$1,Prod_Prop!$I:$I,"Exacto"),Prod_Prop!$A:$A,Prod_Prop!$J:$J,"",0,1))</f>
        <v/>
      </c>
      <c r="J499" s="4" t="str">
        <f t="array" ref="J499">IF($E499="","", XLOOKUP(SUMIFS(Prod_Prop!$A:$A,Prod_Prop!$B:$B,$E499,Prod_Prop!$H:$H,J$1,Prod_Prop!$I:$I,"Exacto"),Prod_Prop!$A:$A,Prod_Prop!$J:$J,"",0,1))</f>
        <v/>
      </c>
      <c r="K499" s="4" t="str">
        <f t="array" ref="K499">IF($E499="","", XLOOKUP(SUMIFS(Prod_Prop!$A:$A,Prod_Prop!$B:$B,$E499,Prod_Prop!$H:$H,K$1,Prod_Prop!$I:$I,"Exacto"),Prod_Prop!$A:$A,Prod_Prop!$J:$J,"",0,1))</f>
        <v/>
      </c>
      <c r="L499" s="4" t="str">
        <f t="array" ref="L499">IF($E499="","", XLOOKUP(SUMIFS(Prod_Prop!$A:$A,Prod_Prop!$B:$B,$E499,Prod_Prop!$H:$H,L$1,Prod_Prop!$I:$I,"Exacto"),Prod_Prop!$A:$A,Prod_Prop!$J:$J,"",0,1))</f>
        <v/>
      </c>
      <c r="M499" s="4" t="str">
        <f t="array" ref="M499">IF($E499="","", XLOOKUP(SUMIFS(Prod_Prop!$A:$A,Prod_Prop!$B:$B,$E499,Prod_Prop!$H:$H,M$1,Prod_Prop!$I:$I,"Exacto"),Prod_Prop!$A:$A,Prod_Prop!$J:$J,"",0,1))</f>
        <v/>
      </c>
      <c r="N499" s="4" t="str">
        <f t="array" ref="N499">IF($E499="","", XLOOKUP(SUMIFS(Prod_Prop!$A:$A,Prod_Prop!$B:$B,$E499,Prod_Prop!$H:$H,N$1,Prod_Prop!$I:$I,"Exacto"),Prod_Prop!$A:$A,Prod_Prop!$J:$J,"",0,1))</f>
        <v/>
      </c>
      <c r="O499" s="4" t="str">
        <f t="array" ref="O499">IF($E499="","", XLOOKUP(SUMIFS(Prod_Prop!$A:$A,Prod_Prop!$B:$B,$E499,Prod_Prop!$H:$H,O$1,Prod_Prop!$I:$I,"Exacto"),Prod_Prop!$A:$A,Prod_Prop!$J:$J,"",0,1))</f>
        <v/>
      </c>
      <c r="P499" s="4" t="str">
        <f t="array" ref="P499">IF($E499="","", XLOOKUP(SUMIFS(Prod_Prop!$A:$A,Prod_Prop!$B:$B,$E499,Prod_Prop!$H:$H,P$1,Prod_Prop!$I:$I,"Exacto"),Prod_Prop!$A:$A,Prod_Prop!$J:$J,"",0,1))</f>
        <v/>
      </c>
      <c r="Q499" s="4" t="str">
        <f t="array" ref="Q499">IF($E499="","", XLOOKUP(SUMIFS(Prod_Prop!$A:$A,Prod_Prop!$B:$B,$E499,Prod_Prop!$H:$H,Q$1,Prod_Prop!$I:$I,"Exacto"),Prod_Prop!$A:$A,Prod_Prop!$J:$J,"",0,1))</f>
        <v/>
      </c>
      <c r="R499" s="4" t="str">
        <f t="array" ref="R499">IF($E499="","", XLOOKUP(SUMIFS(Prod_Prop!$A:$A,Prod_Prop!$B:$B,$E499,Prod_Prop!$H:$H,R$1,Prod_Prop!$I:$I,"Exacto"),Prod_Prop!$A:$A,Prod_Prop!$J:$J,"",0,1))</f>
        <v/>
      </c>
      <c r="S499" s="4" t="str">
        <f t="array" ref="S499">IF($E499="","", XLOOKUP(SUMIFS(Prod_Prop!$A:$A,Prod_Prop!$B:$B,$E499,Prod_Prop!$H:$H,S$1,Prod_Prop!$I:$I,"Exacto"),Prod_Prop!$A:$A,Prod_Prop!$J:$J,"",0,1))</f>
        <v/>
      </c>
      <c r="T499" s="4" t="str">
        <f t="array" ref="T499">IF($E499="","", XLOOKUP(SUMIFS(Prod_Prop!$A:$A,Prod_Prop!$B:$B,$E499,Prod_Prop!$H:$H,T$1,Prod_Prop!$I:$I,"Exacto"),Prod_Prop!$A:$A,Prod_Prop!$J:$J,"",0,1))</f>
        <v/>
      </c>
      <c r="U499" s="4" t="str">
        <f t="array" ref="U499">IF($E499="","", XLOOKUP(SUMIFS(Prod_Prop!$A:$A,Prod_Prop!$B:$B,$E499,Prod_Prop!$H:$H,U$1,Prod_Prop!$I:$I,"Exacto"),Prod_Prop!$A:$A,Prod_Prop!$J:$J,"",0,1))</f>
        <v/>
      </c>
      <c r="V499" s="4" t="str">
        <f t="array" ref="V499">IF($E499="","", XLOOKUP(SUMIFS(Prod_Prop!$A:$A,Prod_Prop!$B:$B,$E499,Prod_Prop!$H:$H,V$1,Prod_Prop!$I:$I,"Exacto"),Prod_Prop!$A:$A,Prod_Prop!$J:$J,"",0,1))</f>
        <v/>
      </c>
      <c r="X499" s="3" t="str">
        <f>IFERROR(__xludf.DUMMYFUNCTION("IF(D499="""","""",IFERROR(TRANSPOSE(FILTER('Validaciones Cotizador'!U:U,'Validaciones Cotizador'!O:O=D499,'Validaciones Cotizador'!T:T=""x"")),""Finalizar""))"),"")</f>
        <v/>
      </c>
    </row>
    <row r="500">
      <c r="A500" s="2" t="str">
        <f t="array" ref="A500">IF(E500="","",XLOOKUP(D500,'Validaciones Cotizador'!C:C,'Validaciones Cotizador'!A:A,"",0,1))</f>
        <v/>
      </c>
      <c r="B500" s="2" t="str">
        <f t="array" ref="B500">IF(F500="","",XLOOKUP(F500,Productos!E:E,Productos!G:G,"",0,1))</f>
        <v/>
      </c>
      <c r="C500" s="2" t="str">
        <f>IF(A500="","",SUMIFS('Validaciones Cotizador'!B:B,'Validaciones Cotizador'!C:C,D500,'Validaciones Cotizador'!A:A,A500))</f>
        <v/>
      </c>
      <c r="D500" s="4" t="str">
        <f>IFERROR(__xludf.DUMMYFUNCTION("IF(OR(F499=""Finalizar"",F499="""",F499=""Selecciona..""),"""",IF(OR(F499=""-"",INDEX(filter(Familias!F:F,Familias!D:D=A499,Familias!E:E=C499),1)=""O""),D499+1,D499))"),"")</f>
        <v/>
      </c>
      <c r="E500" s="2" t="str">
        <f>IF(OR(F500="",F500="Selecciona.."),"",IF(D500="Implemento",SUMIF(Implementos!B:B,F500,Implementos!A:A),SUMIF(Productos!E:E,F500,Productos!A:A)))</f>
        <v/>
      </c>
      <c r="F500" s="2" t="str">
        <f t="shared" si="2"/>
        <v/>
      </c>
      <c r="G500" s="10" t="str">
        <f t="array" ref="G500">IF(OR(F500="",F500="-",F500="Selecciona..",F500="Finalizar"),"",IF(A500="Rodados",XLOOKUP(B500,'Validaciones Cotizador'!I:I,'Validaciones Cotizador'!J:J,0,0,1),1))</f>
        <v/>
      </c>
      <c r="H500" s="11" t="str">
        <f>IF(OR(F500="",F500="Selecciona.."),"",SUMIF(Precio_Productos!K:K,E500,Precio_Productos!J:J)*G500)</f>
        <v/>
      </c>
      <c r="I500" s="4" t="str">
        <f t="array" ref="I500">IF($E500="","", XLOOKUP(SUMIFS(Prod_Prop!$A:$A,Prod_Prop!$B:$B,$E500,Prod_Prop!$H:$H,I$1,Prod_Prop!$I:$I,"Exacto"),Prod_Prop!$A:$A,Prod_Prop!$J:$J,"",0,1))</f>
        <v/>
      </c>
      <c r="J500" s="4" t="str">
        <f t="array" ref="J500">IF($E500="","", XLOOKUP(SUMIFS(Prod_Prop!$A:$A,Prod_Prop!$B:$B,$E500,Prod_Prop!$H:$H,J$1,Prod_Prop!$I:$I,"Exacto"),Prod_Prop!$A:$A,Prod_Prop!$J:$J,"",0,1))</f>
        <v/>
      </c>
      <c r="K500" s="4" t="str">
        <f t="array" ref="K500">IF($E500="","", XLOOKUP(SUMIFS(Prod_Prop!$A:$A,Prod_Prop!$B:$B,$E500,Prod_Prop!$H:$H,K$1,Prod_Prop!$I:$I,"Exacto"),Prod_Prop!$A:$A,Prod_Prop!$J:$J,"",0,1))</f>
        <v/>
      </c>
      <c r="L500" s="4" t="str">
        <f t="array" ref="L500">IF($E500="","", XLOOKUP(SUMIFS(Prod_Prop!$A:$A,Prod_Prop!$B:$B,$E500,Prod_Prop!$H:$H,L$1,Prod_Prop!$I:$I,"Exacto"),Prod_Prop!$A:$A,Prod_Prop!$J:$J,"",0,1))</f>
        <v/>
      </c>
      <c r="M500" s="4" t="str">
        <f t="array" ref="M500">IF($E500="","", XLOOKUP(SUMIFS(Prod_Prop!$A:$A,Prod_Prop!$B:$B,$E500,Prod_Prop!$H:$H,M$1,Prod_Prop!$I:$I,"Exacto"),Prod_Prop!$A:$A,Prod_Prop!$J:$J,"",0,1))</f>
        <v/>
      </c>
      <c r="N500" s="4" t="str">
        <f t="array" ref="N500">IF($E500="","", XLOOKUP(SUMIFS(Prod_Prop!$A:$A,Prod_Prop!$B:$B,$E500,Prod_Prop!$H:$H,N$1,Prod_Prop!$I:$I,"Exacto"),Prod_Prop!$A:$A,Prod_Prop!$J:$J,"",0,1))</f>
        <v/>
      </c>
      <c r="O500" s="4" t="str">
        <f t="array" ref="O500">IF($E500="","", XLOOKUP(SUMIFS(Prod_Prop!$A:$A,Prod_Prop!$B:$B,$E500,Prod_Prop!$H:$H,O$1,Prod_Prop!$I:$I,"Exacto"),Prod_Prop!$A:$A,Prod_Prop!$J:$J,"",0,1))</f>
        <v/>
      </c>
      <c r="P500" s="4" t="str">
        <f t="array" ref="P500">IF($E500="","", XLOOKUP(SUMIFS(Prod_Prop!$A:$A,Prod_Prop!$B:$B,$E500,Prod_Prop!$H:$H,P$1,Prod_Prop!$I:$I,"Exacto"),Prod_Prop!$A:$A,Prod_Prop!$J:$J,"",0,1))</f>
        <v/>
      </c>
      <c r="Q500" s="4" t="str">
        <f t="array" ref="Q500">IF($E500="","", XLOOKUP(SUMIFS(Prod_Prop!$A:$A,Prod_Prop!$B:$B,$E500,Prod_Prop!$H:$H,Q$1,Prod_Prop!$I:$I,"Exacto"),Prod_Prop!$A:$A,Prod_Prop!$J:$J,"",0,1))</f>
        <v/>
      </c>
      <c r="R500" s="4" t="str">
        <f t="array" ref="R500">IF($E500="","", XLOOKUP(SUMIFS(Prod_Prop!$A:$A,Prod_Prop!$B:$B,$E500,Prod_Prop!$H:$H,R$1,Prod_Prop!$I:$I,"Exacto"),Prod_Prop!$A:$A,Prod_Prop!$J:$J,"",0,1))</f>
        <v/>
      </c>
      <c r="S500" s="4" t="str">
        <f t="array" ref="S500">IF($E500="","", XLOOKUP(SUMIFS(Prod_Prop!$A:$A,Prod_Prop!$B:$B,$E500,Prod_Prop!$H:$H,S$1,Prod_Prop!$I:$I,"Exacto"),Prod_Prop!$A:$A,Prod_Prop!$J:$J,"",0,1))</f>
        <v/>
      </c>
      <c r="T500" s="4" t="str">
        <f t="array" ref="T500">IF($E500="","", XLOOKUP(SUMIFS(Prod_Prop!$A:$A,Prod_Prop!$B:$B,$E500,Prod_Prop!$H:$H,T$1,Prod_Prop!$I:$I,"Exacto"),Prod_Prop!$A:$A,Prod_Prop!$J:$J,"",0,1))</f>
        <v/>
      </c>
      <c r="U500" s="4" t="str">
        <f t="array" ref="U500">IF($E500="","", XLOOKUP(SUMIFS(Prod_Prop!$A:$A,Prod_Prop!$B:$B,$E500,Prod_Prop!$H:$H,U$1,Prod_Prop!$I:$I,"Exacto"),Prod_Prop!$A:$A,Prod_Prop!$J:$J,"",0,1))</f>
        <v/>
      </c>
      <c r="V500" s="4" t="str">
        <f t="array" ref="V500">IF($E500="","", XLOOKUP(SUMIFS(Prod_Prop!$A:$A,Prod_Prop!$B:$B,$E500,Prod_Prop!$H:$H,V$1,Prod_Prop!$I:$I,"Exacto"),Prod_Prop!$A:$A,Prod_Prop!$J:$J,"",0,1))</f>
        <v/>
      </c>
      <c r="X500" s="3" t="str">
        <f>IFERROR(__xludf.DUMMYFUNCTION("IF(D500="""","""",IFERROR(TRANSPOSE(FILTER('Validaciones Cotizador'!U:U,'Validaciones Cotizador'!O:O=D500,'Validaciones Cotizador'!T:T=""x"")),""Finalizar""))"),"")</f>
        <v/>
      </c>
    </row>
    <row r="501">
      <c r="A501" s="2" t="str">
        <f t="array" ref="A501">IF(E501="","",XLOOKUP(D501,'Validaciones Cotizador'!C:C,'Validaciones Cotizador'!A:A,"",0,1))</f>
        <v/>
      </c>
      <c r="B501" s="2" t="str">
        <f t="array" ref="B501">IF(F501="","",XLOOKUP(F501,Productos!E:E,Productos!G:G,"",0,1))</f>
        <v/>
      </c>
      <c r="C501" s="2" t="str">
        <f>IF(A501="","",SUMIFS('Validaciones Cotizador'!B:B,'Validaciones Cotizador'!C:C,D501,'Validaciones Cotizador'!A:A,A501))</f>
        <v/>
      </c>
      <c r="D501" s="4" t="str">
        <f>IFERROR(__xludf.DUMMYFUNCTION("IF(OR(F500=""Finalizar"",F500="""",F500=""Selecciona..""),"""",IF(OR(F500=""-"",INDEX(filter(Familias!F:F,Familias!D:D=A500,Familias!E:E=C500),1)=""O""),D500+1,D500))"),"")</f>
        <v/>
      </c>
      <c r="E501" s="2" t="str">
        <f>IF(OR(F501="",F501="Selecciona.."),"",IF(D501="Implemento",SUMIF(Implementos!B:B,F501,Implementos!A:A),SUMIF(Productos!E:E,F501,Productos!A:A)))</f>
        <v/>
      </c>
      <c r="F501" s="2" t="str">
        <f t="shared" si="2"/>
        <v/>
      </c>
      <c r="G501" s="10" t="str">
        <f t="array" ref="G501">IF(OR(F501="",F501="-",F501="Selecciona..",F501="Finalizar"),"",IF(A501="Rodados",XLOOKUP(B501,'Validaciones Cotizador'!I:I,'Validaciones Cotizador'!J:J,0,0,1),1))</f>
        <v/>
      </c>
      <c r="H501" s="11" t="str">
        <f>IF(OR(F501="",F501="Selecciona.."),"",SUMIF(Precio_Productos!K:K,E501,Precio_Productos!J:J)*G501)</f>
        <v/>
      </c>
      <c r="I501" s="4" t="str">
        <f t="array" ref="I501">IF($E501="","", XLOOKUP(SUMIFS(Prod_Prop!$A:$A,Prod_Prop!$B:$B,$E501,Prod_Prop!$H:$H,I$1,Prod_Prop!$I:$I,"Exacto"),Prod_Prop!$A:$A,Prod_Prop!$J:$J,"",0,1))</f>
        <v/>
      </c>
      <c r="J501" s="4" t="str">
        <f t="array" ref="J501">IF($E501="","", XLOOKUP(SUMIFS(Prod_Prop!$A:$A,Prod_Prop!$B:$B,$E501,Prod_Prop!$H:$H,J$1,Prod_Prop!$I:$I,"Exacto"),Prod_Prop!$A:$A,Prod_Prop!$J:$J,"",0,1))</f>
        <v/>
      </c>
      <c r="K501" s="4" t="str">
        <f t="array" ref="K501">IF($E501="","", XLOOKUP(SUMIFS(Prod_Prop!$A:$A,Prod_Prop!$B:$B,$E501,Prod_Prop!$H:$H,K$1,Prod_Prop!$I:$I,"Exacto"),Prod_Prop!$A:$A,Prod_Prop!$J:$J,"",0,1))</f>
        <v/>
      </c>
      <c r="L501" s="4" t="str">
        <f t="array" ref="L501">IF($E501="","", XLOOKUP(SUMIFS(Prod_Prop!$A:$A,Prod_Prop!$B:$B,$E501,Prod_Prop!$H:$H,L$1,Prod_Prop!$I:$I,"Exacto"),Prod_Prop!$A:$A,Prod_Prop!$J:$J,"",0,1))</f>
        <v/>
      </c>
      <c r="M501" s="4" t="str">
        <f t="array" ref="M501">IF($E501="","", XLOOKUP(SUMIFS(Prod_Prop!$A:$A,Prod_Prop!$B:$B,$E501,Prod_Prop!$H:$H,M$1,Prod_Prop!$I:$I,"Exacto"),Prod_Prop!$A:$A,Prod_Prop!$J:$J,"",0,1))</f>
        <v/>
      </c>
      <c r="N501" s="4" t="str">
        <f t="array" ref="N501">IF($E501="","", XLOOKUP(SUMIFS(Prod_Prop!$A:$A,Prod_Prop!$B:$B,$E501,Prod_Prop!$H:$H,N$1,Prod_Prop!$I:$I,"Exacto"),Prod_Prop!$A:$A,Prod_Prop!$J:$J,"",0,1))</f>
        <v/>
      </c>
      <c r="O501" s="4" t="str">
        <f t="array" ref="O501">IF($E501="","", XLOOKUP(SUMIFS(Prod_Prop!$A:$A,Prod_Prop!$B:$B,$E501,Prod_Prop!$H:$H,O$1,Prod_Prop!$I:$I,"Exacto"),Prod_Prop!$A:$A,Prod_Prop!$J:$J,"",0,1))</f>
        <v/>
      </c>
      <c r="P501" s="4" t="str">
        <f t="array" ref="P501">IF($E501="","", XLOOKUP(SUMIFS(Prod_Prop!$A:$A,Prod_Prop!$B:$B,$E501,Prod_Prop!$H:$H,P$1,Prod_Prop!$I:$I,"Exacto"),Prod_Prop!$A:$A,Prod_Prop!$J:$J,"",0,1))</f>
        <v/>
      </c>
      <c r="Q501" s="4" t="str">
        <f t="array" ref="Q501">IF($E501="","", XLOOKUP(SUMIFS(Prod_Prop!$A:$A,Prod_Prop!$B:$B,$E501,Prod_Prop!$H:$H,Q$1,Prod_Prop!$I:$I,"Exacto"),Prod_Prop!$A:$A,Prod_Prop!$J:$J,"",0,1))</f>
        <v/>
      </c>
      <c r="R501" s="4" t="str">
        <f t="array" ref="R501">IF($E501="","", XLOOKUP(SUMIFS(Prod_Prop!$A:$A,Prod_Prop!$B:$B,$E501,Prod_Prop!$H:$H,R$1,Prod_Prop!$I:$I,"Exacto"),Prod_Prop!$A:$A,Prod_Prop!$J:$J,"",0,1))</f>
        <v/>
      </c>
      <c r="S501" s="4" t="str">
        <f t="array" ref="S501">IF($E501="","", XLOOKUP(SUMIFS(Prod_Prop!$A:$A,Prod_Prop!$B:$B,$E501,Prod_Prop!$H:$H,S$1,Prod_Prop!$I:$I,"Exacto"),Prod_Prop!$A:$A,Prod_Prop!$J:$J,"",0,1))</f>
        <v/>
      </c>
      <c r="T501" s="4" t="str">
        <f t="array" ref="T501">IF($E501="","", XLOOKUP(SUMIFS(Prod_Prop!$A:$A,Prod_Prop!$B:$B,$E501,Prod_Prop!$H:$H,T$1,Prod_Prop!$I:$I,"Exacto"),Prod_Prop!$A:$A,Prod_Prop!$J:$J,"",0,1))</f>
        <v/>
      </c>
      <c r="U501" s="4" t="str">
        <f t="array" ref="U501">IF($E501="","", XLOOKUP(SUMIFS(Prod_Prop!$A:$A,Prod_Prop!$B:$B,$E501,Prod_Prop!$H:$H,U$1,Prod_Prop!$I:$I,"Exacto"),Prod_Prop!$A:$A,Prod_Prop!$J:$J,"",0,1))</f>
        <v/>
      </c>
      <c r="V501" s="4" t="str">
        <f t="array" ref="V501">IF($E501="","", XLOOKUP(SUMIFS(Prod_Prop!$A:$A,Prod_Prop!$B:$B,$E501,Prod_Prop!$H:$H,V$1,Prod_Prop!$I:$I,"Exacto"),Prod_Prop!$A:$A,Prod_Prop!$J:$J,"",0,1))</f>
        <v/>
      </c>
      <c r="X501" s="3" t="str">
        <f>IFERROR(__xludf.DUMMYFUNCTION("IF(D501="""","""",IFERROR(TRANSPOSE(FILTER('Validaciones Cotizador'!U:U,'Validaciones Cotizador'!O:O=D501,'Validaciones Cotizador'!T:T=""x"")),""Finalizar""))"),"")</f>
        <v/>
      </c>
    </row>
    <row r="502">
      <c r="A502" s="2" t="str">
        <f t="array" ref="A502">IF(E502="","",XLOOKUP(D502,'Validaciones Cotizador'!C:C,'Validaciones Cotizador'!A:A,"",0,1))</f>
        <v/>
      </c>
      <c r="B502" s="2" t="str">
        <f t="array" ref="B502">IF(F502="","",XLOOKUP(F502,Productos!E:E,Productos!G:G,"",0,1))</f>
        <v/>
      </c>
      <c r="C502" s="2" t="str">
        <f>IF(A502="","",SUMIFS('Validaciones Cotizador'!B:B,'Validaciones Cotizador'!C:C,D502,'Validaciones Cotizador'!A:A,A502))</f>
        <v/>
      </c>
      <c r="D502" s="4" t="str">
        <f>IFERROR(__xludf.DUMMYFUNCTION("IF(OR(F501=""Finalizar"",F501="""",F501=""Selecciona..""),"""",IF(OR(F501=""-"",INDEX(filter(Familias!F:F,Familias!D:D=A501,Familias!E:E=C501),1)=""O""),D501+1,D501))"),"")</f>
        <v/>
      </c>
      <c r="E502" s="2" t="str">
        <f>IF(OR(F502="",F502="Selecciona.."),"",IF(D502="Implemento",SUMIF(Implementos!B:B,F502,Implementos!A:A),SUMIF(Productos!E:E,F502,Productos!A:A)))</f>
        <v/>
      </c>
      <c r="F502" s="2" t="str">
        <f t="shared" si="2"/>
        <v/>
      </c>
      <c r="G502" s="10" t="str">
        <f t="array" ref="G502">IF(OR(F502="",F502="-",F502="Selecciona..",F502="Finalizar"),"",IF(A502="Rodados",XLOOKUP(B502,'Validaciones Cotizador'!I:I,'Validaciones Cotizador'!J:J,0,0,1),1))</f>
        <v/>
      </c>
      <c r="H502" s="11" t="str">
        <f>IF(OR(F502="",F502="Selecciona.."),"",SUMIF(Precio_Productos!K:K,E502,Precio_Productos!J:J)*G502)</f>
        <v/>
      </c>
      <c r="I502" s="4" t="str">
        <f t="array" ref="I502">IF($E502="","", XLOOKUP(SUMIFS(Prod_Prop!$A:$A,Prod_Prop!$B:$B,$E502,Prod_Prop!$H:$H,I$1,Prod_Prop!$I:$I,"Exacto"),Prod_Prop!$A:$A,Prod_Prop!$J:$J,"",0,1))</f>
        <v/>
      </c>
      <c r="J502" s="4" t="str">
        <f t="array" ref="J502">IF($E502="","", XLOOKUP(SUMIFS(Prod_Prop!$A:$A,Prod_Prop!$B:$B,$E502,Prod_Prop!$H:$H,J$1,Prod_Prop!$I:$I,"Exacto"),Prod_Prop!$A:$A,Prod_Prop!$J:$J,"",0,1))</f>
        <v/>
      </c>
      <c r="K502" s="4" t="str">
        <f t="array" ref="K502">IF($E502="","", XLOOKUP(SUMIFS(Prod_Prop!$A:$A,Prod_Prop!$B:$B,$E502,Prod_Prop!$H:$H,K$1,Prod_Prop!$I:$I,"Exacto"),Prod_Prop!$A:$A,Prod_Prop!$J:$J,"",0,1))</f>
        <v/>
      </c>
      <c r="L502" s="4" t="str">
        <f t="array" ref="L502">IF($E502="","", XLOOKUP(SUMIFS(Prod_Prop!$A:$A,Prod_Prop!$B:$B,$E502,Prod_Prop!$H:$H,L$1,Prod_Prop!$I:$I,"Exacto"),Prod_Prop!$A:$A,Prod_Prop!$J:$J,"",0,1))</f>
        <v/>
      </c>
      <c r="M502" s="4" t="str">
        <f t="array" ref="M502">IF($E502="","", XLOOKUP(SUMIFS(Prod_Prop!$A:$A,Prod_Prop!$B:$B,$E502,Prod_Prop!$H:$H,M$1,Prod_Prop!$I:$I,"Exacto"),Prod_Prop!$A:$A,Prod_Prop!$J:$J,"",0,1))</f>
        <v/>
      </c>
      <c r="N502" s="4" t="str">
        <f t="array" ref="N502">IF($E502="","", XLOOKUP(SUMIFS(Prod_Prop!$A:$A,Prod_Prop!$B:$B,$E502,Prod_Prop!$H:$H,N$1,Prod_Prop!$I:$I,"Exacto"),Prod_Prop!$A:$A,Prod_Prop!$J:$J,"",0,1))</f>
        <v/>
      </c>
      <c r="O502" s="4" t="str">
        <f t="array" ref="O502">IF($E502="","", XLOOKUP(SUMIFS(Prod_Prop!$A:$A,Prod_Prop!$B:$B,$E502,Prod_Prop!$H:$H,O$1,Prod_Prop!$I:$I,"Exacto"),Prod_Prop!$A:$A,Prod_Prop!$J:$J,"",0,1))</f>
        <v/>
      </c>
      <c r="P502" s="4" t="str">
        <f t="array" ref="P502">IF($E502="","", XLOOKUP(SUMIFS(Prod_Prop!$A:$A,Prod_Prop!$B:$B,$E502,Prod_Prop!$H:$H,P$1,Prod_Prop!$I:$I,"Exacto"),Prod_Prop!$A:$A,Prod_Prop!$J:$J,"",0,1))</f>
        <v/>
      </c>
      <c r="Q502" s="4" t="str">
        <f t="array" ref="Q502">IF($E502="","", XLOOKUP(SUMIFS(Prod_Prop!$A:$A,Prod_Prop!$B:$B,$E502,Prod_Prop!$H:$H,Q$1,Prod_Prop!$I:$I,"Exacto"),Prod_Prop!$A:$A,Prod_Prop!$J:$J,"",0,1))</f>
        <v/>
      </c>
      <c r="R502" s="4" t="str">
        <f t="array" ref="R502">IF($E502="","", XLOOKUP(SUMIFS(Prod_Prop!$A:$A,Prod_Prop!$B:$B,$E502,Prod_Prop!$H:$H,R$1,Prod_Prop!$I:$I,"Exacto"),Prod_Prop!$A:$A,Prod_Prop!$J:$J,"",0,1))</f>
        <v/>
      </c>
      <c r="S502" s="4" t="str">
        <f t="array" ref="S502">IF($E502="","", XLOOKUP(SUMIFS(Prod_Prop!$A:$A,Prod_Prop!$B:$B,$E502,Prod_Prop!$H:$H,S$1,Prod_Prop!$I:$I,"Exacto"),Prod_Prop!$A:$A,Prod_Prop!$J:$J,"",0,1))</f>
        <v/>
      </c>
      <c r="T502" s="4" t="str">
        <f t="array" ref="T502">IF($E502="","", XLOOKUP(SUMIFS(Prod_Prop!$A:$A,Prod_Prop!$B:$B,$E502,Prod_Prop!$H:$H,T$1,Prod_Prop!$I:$I,"Exacto"),Prod_Prop!$A:$A,Prod_Prop!$J:$J,"",0,1))</f>
        <v/>
      </c>
      <c r="U502" s="4" t="str">
        <f t="array" ref="U502">IF($E502="","", XLOOKUP(SUMIFS(Prod_Prop!$A:$A,Prod_Prop!$B:$B,$E502,Prod_Prop!$H:$H,U$1,Prod_Prop!$I:$I,"Exacto"),Prod_Prop!$A:$A,Prod_Prop!$J:$J,"",0,1))</f>
        <v/>
      </c>
      <c r="V502" s="4" t="str">
        <f t="array" ref="V502">IF($E502="","", XLOOKUP(SUMIFS(Prod_Prop!$A:$A,Prod_Prop!$B:$B,$E502,Prod_Prop!$H:$H,V$1,Prod_Prop!$I:$I,"Exacto"),Prod_Prop!$A:$A,Prod_Prop!$J:$J,"",0,1))</f>
        <v/>
      </c>
      <c r="X502" s="3" t="str">
        <f>IFERROR(__xludf.DUMMYFUNCTION("IF(D502="""","""",IFERROR(TRANSPOSE(FILTER('Validaciones Cotizador'!U:U,'Validaciones Cotizador'!O:O=D502,'Validaciones Cotizador'!T:T=""x"")),""Finalizar""))"),"")</f>
        <v/>
      </c>
    </row>
    <row r="503">
      <c r="A503" s="2" t="str">
        <f t="array" ref="A503">IF(E503="","",XLOOKUP(D503,'Validaciones Cotizador'!C:C,'Validaciones Cotizador'!A:A,"",0,1))</f>
        <v/>
      </c>
      <c r="B503" s="2" t="str">
        <f t="array" ref="B503">IF(F503="","",XLOOKUP(F503,Productos!E:E,Productos!G:G,"",0,1))</f>
        <v/>
      </c>
      <c r="C503" s="2" t="str">
        <f>IF(A503="","",SUMIFS('Validaciones Cotizador'!B:B,'Validaciones Cotizador'!C:C,D503,'Validaciones Cotizador'!A:A,A503))</f>
        <v/>
      </c>
      <c r="D503" s="4" t="str">
        <f>IFERROR(__xludf.DUMMYFUNCTION("IF(OR(F502=""Finalizar"",F502="""",F502=""Selecciona..""),"""",IF(OR(F502=""-"",INDEX(filter(Familias!F:F,Familias!D:D=A502,Familias!E:E=C502),1)=""O""),D502+1,D502))"),"")</f>
        <v/>
      </c>
      <c r="E503" s="2" t="str">
        <f>IF(OR(F503="",F503="Selecciona.."),"",IF(D503="Implemento",SUMIF(Implementos!B:B,F503,Implementos!A:A),SUMIF(Productos!E:E,F503,Productos!A:A)))</f>
        <v/>
      </c>
      <c r="F503" s="2" t="str">
        <f t="shared" si="2"/>
        <v/>
      </c>
      <c r="G503" s="10" t="str">
        <f t="array" ref="G503">IF(OR(F503="",F503="-",F503="Selecciona..",F503="Finalizar"),"",IF(A503="Rodados",XLOOKUP(B503,'Validaciones Cotizador'!I:I,'Validaciones Cotizador'!J:J,0,0,1),1))</f>
        <v/>
      </c>
      <c r="H503" s="11" t="str">
        <f>IF(OR(F503="",F503="Selecciona.."),"",SUMIF(Precio_Productos!K:K,E503,Precio_Productos!J:J)*G503)</f>
        <v/>
      </c>
      <c r="I503" s="4" t="str">
        <f t="array" ref="I503">IF($E503="","", XLOOKUP(SUMIFS(Prod_Prop!$A:$A,Prod_Prop!$B:$B,$E503,Prod_Prop!$H:$H,I$1,Prod_Prop!$I:$I,"Exacto"),Prod_Prop!$A:$A,Prod_Prop!$J:$J,"",0,1))</f>
        <v/>
      </c>
      <c r="J503" s="4" t="str">
        <f t="array" ref="J503">IF($E503="","", XLOOKUP(SUMIFS(Prod_Prop!$A:$A,Prod_Prop!$B:$B,$E503,Prod_Prop!$H:$H,J$1,Prod_Prop!$I:$I,"Exacto"),Prod_Prop!$A:$A,Prod_Prop!$J:$J,"",0,1))</f>
        <v/>
      </c>
      <c r="K503" s="4" t="str">
        <f t="array" ref="K503">IF($E503="","", XLOOKUP(SUMIFS(Prod_Prop!$A:$A,Prod_Prop!$B:$B,$E503,Prod_Prop!$H:$H,K$1,Prod_Prop!$I:$I,"Exacto"),Prod_Prop!$A:$A,Prod_Prop!$J:$J,"",0,1))</f>
        <v/>
      </c>
      <c r="L503" s="4" t="str">
        <f t="array" ref="L503">IF($E503="","", XLOOKUP(SUMIFS(Prod_Prop!$A:$A,Prod_Prop!$B:$B,$E503,Prod_Prop!$H:$H,L$1,Prod_Prop!$I:$I,"Exacto"),Prod_Prop!$A:$A,Prod_Prop!$J:$J,"",0,1))</f>
        <v/>
      </c>
      <c r="M503" s="4" t="str">
        <f t="array" ref="M503">IF($E503="","", XLOOKUP(SUMIFS(Prod_Prop!$A:$A,Prod_Prop!$B:$B,$E503,Prod_Prop!$H:$H,M$1,Prod_Prop!$I:$I,"Exacto"),Prod_Prop!$A:$A,Prod_Prop!$J:$J,"",0,1))</f>
        <v/>
      </c>
      <c r="N503" s="4" t="str">
        <f t="array" ref="N503">IF($E503="","", XLOOKUP(SUMIFS(Prod_Prop!$A:$A,Prod_Prop!$B:$B,$E503,Prod_Prop!$H:$H,N$1,Prod_Prop!$I:$I,"Exacto"),Prod_Prop!$A:$A,Prod_Prop!$J:$J,"",0,1))</f>
        <v/>
      </c>
      <c r="O503" s="4" t="str">
        <f t="array" ref="O503">IF($E503="","", XLOOKUP(SUMIFS(Prod_Prop!$A:$A,Prod_Prop!$B:$B,$E503,Prod_Prop!$H:$H,O$1,Prod_Prop!$I:$I,"Exacto"),Prod_Prop!$A:$A,Prod_Prop!$J:$J,"",0,1))</f>
        <v/>
      </c>
      <c r="P503" s="4" t="str">
        <f t="array" ref="P503">IF($E503="","", XLOOKUP(SUMIFS(Prod_Prop!$A:$A,Prod_Prop!$B:$B,$E503,Prod_Prop!$H:$H,P$1,Prod_Prop!$I:$I,"Exacto"),Prod_Prop!$A:$A,Prod_Prop!$J:$J,"",0,1))</f>
        <v/>
      </c>
      <c r="Q503" s="4" t="str">
        <f t="array" ref="Q503">IF($E503="","", XLOOKUP(SUMIFS(Prod_Prop!$A:$A,Prod_Prop!$B:$B,$E503,Prod_Prop!$H:$H,Q$1,Prod_Prop!$I:$I,"Exacto"),Prod_Prop!$A:$A,Prod_Prop!$J:$J,"",0,1))</f>
        <v/>
      </c>
      <c r="R503" s="4" t="str">
        <f t="array" ref="R503">IF($E503="","", XLOOKUP(SUMIFS(Prod_Prop!$A:$A,Prod_Prop!$B:$B,$E503,Prod_Prop!$H:$H,R$1,Prod_Prop!$I:$I,"Exacto"),Prod_Prop!$A:$A,Prod_Prop!$J:$J,"",0,1))</f>
        <v/>
      </c>
      <c r="S503" s="4" t="str">
        <f t="array" ref="S503">IF($E503="","", XLOOKUP(SUMIFS(Prod_Prop!$A:$A,Prod_Prop!$B:$B,$E503,Prod_Prop!$H:$H,S$1,Prod_Prop!$I:$I,"Exacto"),Prod_Prop!$A:$A,Prod_Prop!$J:$J,"",0,1))</f>
        <v/>
      </c>
      <c r="T503" s="4" t="str">
        <f t="array" ref="T503">IF($E503="","", XLOOKUP(SUMIFS(Prod_Prop!$A:$A,Prod_Prop!$B:$B,$E503,Prod_Prop!$H:$H,T$1,Prod_Prop!$I:$I,"Exacto"),Prod_Prop!$A:$A,Prod_Prop!$J:$J,"",0,1))</f>
        <v/>
      </c>
      <c r="U503" s="4" t="str">
        <f t="array" ref="U503">IF($E503="","", XLOOKUP(SUMIFS(Prod_Prop!$A:$A,Prod_Prop!$B:$B,$E503,Prod_Prop!$H:$H,U$1,Prod_Prop!$I:$I,"Exacto"),Prod_Prop!$A:$A,Prod_Prop!$J:$J,"",0,1))</f>
        <v/>
      </c>
      <c r="V503" s="4" t="str">
        <f t="array" ref="V503">IF($E503="","", XLOOKUP(SUMIFS(Prod_Prop!$A:$A,Prod_Prop!$B:$B,$E503,Prod_Prop!$H:$H,V$1,Prod_Prop!$I:$I,"Exacto"),Prod_Prop!$A:$A,Prod_Prop!$J:$J,"",0,1))</f>
        <v/>
      </c>
      <c r="X503" s="3" t="str">
        <f>IFERROR(__xludf.DUMMYFUNCTION("IF(D503="""","""",IFERROR(TRANSPOSE(FILTER('Validaciones Cotizador'!U:U,'Validaciones Cotizador'!O:O=D503,'Validaciones Cotizador'!T:T=""x"")),""Finalizar""))"),"")</f>
        <v/>
      </c>
    </row>
    <row r="504">
      <c r="A504" s="2" t="str">
        <f t="array" ref="A504">IF(E504="","",XLOOKUP(D504,'Validaciones Cotizador'!C:C,'Validaciones Cotizador'!A:A,"",0,1))</f>
        <v/>
      </c>
      <c r="B504" s="2" t="str">
        <f t="array" ref="B504">IF(F504="","",XLOOKUP(F504,Productos!E:E,Productos!G:G,"",0,1))</f>
        <v/>
      </c>
      <c r="C504" s="2" t="str">
        <f>IF(A504="","",SUMIFS('Validaciones Cotizador'!B:B,'Validaciones Cotizador'!C:C,D504,'Validaciones Cotizador'!A:A,A504))</f>
        <v/>
      </c>
      <c r="D504" s="4" t="str">
        <f>IFERROR(__xludf.DUMMYFUNCTION("IF(OR(F503=""Finalizar"",F503="""",F503=""Selecciona..""),"""",IF(OR(F503=""-"",INDEX(filter(Familias!F:F,Familias!D:D=A503,Familias!E:E=C503),1)=""O""),D503+1,D503))"),"")</f>
        <v/>
      </c>
      <c r="E504" s="2" t="str">
        <f>IF(OR(F504="",F504="Selecciona.."),"",IF(D504="Implemento",SUMIF(Implementos!B:B,F504,Implementos!A:A),SUMIF(Productos!E:E,F504,Productos!A:A)))</f>
        <v/>
      </c>
      <c r="F504" s="2" t="str">
        <f t="shared" si="2"/>
        <v/>
      </c>
      <c r="G504" s="10" t="str">
        <f t="array" ref="G504">IF(OR(F504="",F504="-",F504="Selecciona..",F504="Finalizar"),"",IF(A504="Rodados",XLOOKUP(B504,'Validaciones Cotizador'!I:I,'Validaciones Cotizador'!J:J,0,0,1),1))</f>
        <v/>
      </c>
      <c r="H504" s="11" t="str">
        <f>IF(OR(F504="",F504="Selecciona.."),"",SUMIF(Precio_Productos!K:K,E504,Precio_Productos!J:J)*G504)</f>
        <v/>
      </c>
      <c r="I504" s="4" t="str">
        <f t="array" ref="I504">IF($E504="","", XLOOKUP(SUMIFS(Prod_Prop!$A:$A,Prod_Prop!$B:$B,$E504,Prod_Prop!$H:$H,I$1,Prod_Prop!$I:$I,"Exacto"),Prod_Prop!$A:$A,Prod_Prop!$J:$J,"",0,1))</f>
        <v/>
      </c>
      <c r="J504" s="4" t="str">
        <f t="array" ref="J504">IF($E504="","", XLOOKUP(SUMIFS(Prod_Prop!$A:$A,Prod_Prop!$B:$B,$E504,Prod_Prop!$H:$H,J$1,Prod_Prop!$I:$I,"Exacto"),Prod_Prop!$A:$A,Prod_Prop!$J:$J,"",0,1))</f>
        <v/>
      </c>
      <c r="K504" s="4" t="str">
        <f t="array" ref="K504">IF($E504="","", XLOOKUP(SUMIFS(Prod_Prop!$A:$A,Prod_Prop!$B:$B,$E504,Prod_Prop!$H:$H,K$1,Prod_Prop!$I:$I,"Exacto"),Prod_Prop!$A:$A,Prod_Prop!$J:$J,"",0,1))</f>
        <v/>
      </c>
      <c r="L504" s="4" t="str">
        <f t="array" ref="L504">IF($E504="","", XLOOKUP(SUMIFS(Prod_Prop!$A:$A,Prod_Prop!$B:$B,$E504,Prod_Prop!$H:$H,L$1,Prod_Prop!$I:$I,"Exacto"),Prod_Prop!$A:$A,Prod_Prop!$J:$J,"",0,1))</f>
        <v/>
      </c>
      <c r="M504" s="4" t="str">
        <f t="array" ref="M504">IF($E504="","", XLOOKUP(SUMIFS(Prod_Prop!$A:$A,Prod_Prop!$B:$B,$E504,Prod_Prop!$H:$H,M$1,Prod_Prop!$I:$I,"Exacto"),Prod_Prop!$A:$A,Prod_Prop!$J:$J,"",0,1))</f>
        <v/>
      </c>
      <c r="N504" s="4" t="str">
        <f t="array" ref="N504">IF($E504="","", XLOOKUP(SUMIFS(Prod_Prop!$A:$A,Prod_Prop!$B:$B,$E504,Prod_Prop!$H:$H,N$1,Prod_Prop!$I:$I,"Exacto"),Prod_Prop!$A:$A,Prod_Prop!$J:$J,"",0,1))</f>
        <v/>
      </c>
      <c r="O504" s="4" t="str">
        <f t="array" ref="O504">IF($E504="","", XLOOKUP(SUMIFS(Prod_Prop!$A:$A,Prod_Prop!$B:$B,$E504,Prod_Prop!$H:$H,O$1,Prod_Prop!$I:$I,"Exacto"),Prod_Prop!$A:$A,Prod_Prop!$J:$J,"",0,1))</f>
        <v/>
      </c>
      <c r="P504" s="4" t="str">
        <f t="array" ref="P504">IF($E504="","", XLOOKUP(SUMIFS(Prod_Prop!$A:$A,Prod_Prop!$B:$B,$E504,Prod_Prop!$H:$H,P$1,Prod_Prop!$I:$I,"Exacto"),Prod_Prop!$A:$A,Prod_Prop!$J:$J,"",0,1))</f>
        <v/>
      </c>
      <c r="Q504" s="4" t="str">
        <f t="array" ref="Q504">IF($E504="","", XLOOKUP(SUMIFS(Prod_Prop!$A:$A,Prod_Prop!$B:$B,$E504,Prod_Prop!$H:$H,Q$1,Prod_Prop!$I:$I,"Exacto"),Prod_Prop!$A:$A,Prod_Prop!$J:$J,"",0,1))</f>
        <v/>
      </c>
      <c r="R504" s="4" t="str">
        <f t="array" ref="R504">IF($E504="","", XLOOKUP(SUMIFS(Prod_Prop!$A:$A,Prod_Prop!$B:$B,$E504,Prod_Prop!$H:$H,R$1,Prod_Prop!$I:$I,"Exacto"),Prod_Prop!$A:$A,Prod_Prop!$J:$J,"",0,1))</f>
        <v/>
      </c>
      <c r="S504" s="4" t="str">
        <f t="array" ref="S504">IF($E504="","", XLOOKUP(SUMIFS(Prod_Prop!$A:$A,Prod_Prop!$B:$B,$E504,Prod_Prop!$H:$H,S$1,Prod_Prop!$I:$I,"Exacto"),Prod_Prop!$A:$A,Prod_Prop!$J:$J,"",0,1))</f>
        <v/>
      </c>
      <c r="T504" s="4" t="str">
        <f t="array" ref="T504">IF($E504="","", XLOOKUP(SUMIFS(Prod_Prop!$A:$A,Prod_Prop!$B:$B,$E504,Prod_Prop!$H:$H,T$1,Prod_Prop!$I:$I,"Exacto"),Prod_Prop!$A:$A,Prod_Prop!$J:$J,"",0,1))</f>
        <v/>
      </c>
      <c r="U504" s="4" t="str">
        <f t="array" ref="U504">IF($E504="","", XLOOKUP(SUMIFS(Prod_Prop!$A:$A,Prod_Prop!$B:$B,$E504,Prod_Prop!$H:$H,U$1,Prod_Prop!$I:$I,"Exacto"),Prod_Prop!$A:$A,Prod_Prop!$J:$J,"",0,1))</f>
        <v/>
      </c>
      <c r="V504" s="4" t="str">
        <f t="array" ref="V504">IF($E504="","", XLOOKUP(SUMIFS(Prod_Prop!$A:$A,Prod_Prop!$B:$B,$E504,Prod_Prop!$H:$H,V$1,Prod_Prop!$I:$I,"Exacto"),Prod_Prop!$A:$A,Prod_Prop!$J:$J,"",0,1))</f>
        <v/>
      </c>
      <c r="X504" s="3" t="str">
        <f>IFERROR(__xludf.DUMMYFUNCTION("IF(D504="""","""",IFERROR(TRANSPOSE(FILTER('Validaciones Cotizador'!U:U,'Validaciones Cotizador'!O:O=D504,'Validaciones Cotizador'!T:T=""x"")),""Finalizar""))"),"")</f>
        <v/>
      </c>
    </row>
    <row r="505">
      <c r="A505" s="2" t="str">
        <f t="array" ref="A505">IF(E505="","",XLOOKUP(D505,'Validaciones Cotizador'!C:C,'Validaciones Cotizador'!A:A,"",0,1))</f>
        <v/>
      </c>
      <c r="B505" s="2" t="str">
        <f t="array" ref="B505">IF(F505="","",XLOOKUP(F505,Productos!E:E,Productos!G:G,"",0,1))</f>
        <v/>
      </c>
      <c r="C505" s="2" t="str">
        <f>IF(A505="","",SUMIFS('Validaciones Cotizador'!B:B,'Validaciones Cotizador'!C:C,D505,'Validaciones Cotizador'!A:A,A505))</f>
        <v/>
      </c>
      <c r="D505" s="4" t="str">
        <f>IFERROR(__xludf.DUMMYFUNCTION("IF(OR(F504=""Finalizar"",F504="""",F504=""Selecciona..""),"""",IF(OR(F504=""-"",INDEX(filter(Familias!F:F,Familias!D:D=A504,Familias!E:E=C504),1)=""O""),D504+1,D504))"),"")</f>
        <v/>
      </c>
      <c r="E505" s="2" t="str">
        <f>IF(OR(F505="",F505="Selecciona.."),"",IF(D505="Implemento",SUMIF(Implementos!B:B,F505,Implementos!A:A),SUMIF(Productos!E:E,F505,Productos!A:A)))</f>
        <v/>
      </c>
      <c r="F505" s="2" t="str">
        <f t="shared" si="2"/>
        <v/>
      </c>
      <c r="G505" s="10" t="str">
        <f t="array" ref="G505">IF(OR(F505="",F505="-",F505="Selecciona..",F505="Finalizar"),"",IF(A505="Rodados",XLOOKUP(B505,'Validaciones Cotizador'!I:I,'Validaciones Cotizador'!J:J,0,0,1),1))</f>
        <v/>
      </c>
      <c r="H505" s="11" t="str">
        <f>IF(OR(F505="",F505="Selecciona.."),"",SUMIF(Precio_Productos!K:K,E505,Precio_Productos!J:J)*G505)</f>
        <v/>
      </c>
      <c r="I505" s="4" t="str">
        <f t="array" ref="I505">IF($E505="","", XLOOKUP(SUMIFS(Prod_Prop!$A:$A,Prod_Prop!$B:$B,$E505,Prod_Prop!$H:$H,I$1,Prod_Prop!$I:$I,"Exacto"),Prod_Prop!$A:$A,Prod_Prop!$J:$J,"",0,1))</f>
        <v/>
      </c>
      <c r="J505" s="4" t="str">
        <f t="array" ref="J505">IF($E505="","", XLOOKUP(SUMIFS(Prod_Prop!$A:$A,Prod_Prop!$B:$B,$E505,Prod_Prop!$H:$H,J$1,Prod_Prop!$I:$I,"Exacto"),Prod_Prop!$A:$A,Prod_Prop!$J:$J,"",0,1))</f>
        <v/>
      </c>
      <c r="K505" s="4" t="str">
        <f t="array" ref="K505">IF($E505="","", XLOOKUP(SUMIFS(Prod_Prop!$A:$A,Prod_Prop!$B:$B,$E505,Prod_Prop!$H:$H,K$1,Prod_Prop!$I:$I,"Exacto"),Prod_Prop!$A:$A,Prod_Prop!$J:$J,"",0,1))</f>
        <v/>
      </c>
      <c r="L505" s="4" t="str">
        <f t="array" ref="L505">IF($E505="","", XLOOKUP(SUMIFS(Prod_Prop!$A:$A,Prod_Prop!$B:$B,$E505,Prod_Prop!$H:$H,L$1,Prod_Prop!$I:$I,"Exacto"),Prod_Prop!$A:$A,Prod_Prop!$J:$J,"",0,1))</f>
        <v/>
      </c>
      <c r="M505" s="4" t="str">
        <f t="array" ref="M505">IF($E505="","", XLOOKUP(SUMIFS(Prod_Prop!$A:$A,Prod_Prop!$B:$B,$E505,Prod_Prop!$H:$H,M$1,Prod_Prop!$I:$I,"Exacto"),Prod_Prop!$A:$A,Prod_Prop!$J:$J,"",0,1))</f>
        <v/>
      </c>
      <c r="N505" s="4" t="str">
        <f t="array" ref="N505">IF($E505="","", XLOOKUP(SUMIFS(Prod_Prop!$A:$A,Prod_Prop!$B:$B,$E505,Prod_Prop!$H:$H,N$1,Prod_Prop!$I:$I,"Exacto"),Prod_Prop!$A:$A,Prod_Prop!$J:$J,"",0,1))</f>
        <v/>
      </c>
      <c r="O505" s="4" t="str">
        <f t="array" ref="O505">IF($E505="","", XLOOKUP(SUMIFS(Prod_Prop!$A:$A,Prod_Prop!$B:$B,$E505,Prod_Prop!$H:$H,O$1,Prod_Prop!$I:$I,"Exacto"),Prod_Prop!$A:$A,Prod_Prop!$J:$J,"",0,1))</f>
        <v/>
      </c>
      <c r="P505" s="4" t="str">
        <f t="array" ref="P505">IF($E505="","", XLOOKUP(SUMIFS(Prod_Prop!$A:$A,Prod_Prop!$B:$B,$E505,Prod_Prop!$H:$H,P$1,Prod_Prop!$I:$I,"Exacto"),Prod_Prop!$A:$A,Prod_Prop!$J:$J,"",0,1))</f>
        <v/>
      </c>
      <c r="Q505" s="4" t="str">
        <f t="array" ref="Q505">IF($E505="","", XLOOKUP(SUMIFS(Prod_Prop!$A:$A,Prod_Prop!$B:$B,$E505,Prod_Prop!$H:$H,Q$1,Prod_Prop!$I:$I,"Exacto"),Prod_Prop!$A:$A,Prod_Prop!$J:$J,"",0,1))</f>
        <v/>
      </c>
      <c r="R505" s="4" t="str">
        <f t="array" ref="R505">IF($E505="","", XLOOKUP(SUMIFS(Prod_Prop!$A:$A,Prod_Prop!$B:$B,$E505,Prod_Prop!$H:$H,R$1,Prod_Prop!$I:$I,"Exacto"),Prod_Prop!$A:$A,Prod_Prop!$J:$J,"",0,1))</f>
        <v/>
      </c>
      <c r="S505" s="4" t="str">
        <f t="array" ref="S505">IF($E505="","", XLOOKUP(SUMIFS(Prod_Prop!$A:$A,Prod_Prop!$B:$B,$E505,Prod_Prop!$H:$H,S$1,Prod_Prop!$I:$I,"Exacto"),Prod_Prop!$A:$A,Prod_Prop!$J:$J,"",0,1))</f>
        <v/>
      </c>
      <c r="T505" s="4" t="str">
        <f t="array" ref="T505">IF($E505="","", XLOOKUP(SUMIFS(Prod_Prop!$A:$A,Prod_Prop!$B:$B,$E505,Prod_Prop!$H:$H,T$1,Prod_Prop!$I:$I,"Exacto"),Prod_Prop!$A:$A,Prod_Prop!$J:$J,"",0,1))</f>
        <v/>
      </c>
      <c r="U505" s="4" t="str">
        <f t="array" ref="U505">IF($E505="","", XLOOKUP(SUMIFS(Prod_Prop!$A:$A,Prod_Prop!$B:$B,$E505,Prod_Prop!$H:$H,U$1,Prod_Prop!$I:$I,"Exacto"),Prod_Prop!$A:$A,Prod_Prop!$J:$J,"",0,1))</f>
        <v/>
      </c>
      <c r="V505" s="4" t="str">
        <f t="array" ref="V505">IF($E505="","", XLOOKUP(SUMIFS(Prod_Prop!$A:$A,Prod_Prop!$B:$B,$E505,Prod_Prop!$H:$H,V$1,Prod_Prop!$I:$I,"Exacto"),Prod_Prop!$A:$A,Prod_Prop!$J:$J,"",0,1))</f>
        <v/>
      </c>
      <c r="X505" s="3" t="str">
        <f>IFERROR(__xludf.DUMMYFUNCTION("IF(D505="""","""",IFERROR(TRANSPOSE(FILTER('Validaciones Cotizador'!U:U,'Validaciones Cotizador'!O:O=D505,'Validaciones Cotizador'!T:T=""x"")),""Finalizar""))"),"")</f>
        <v/>
      </c>
    </row>
    <row r="506">
      <c r="A506" s="2" t="str">
        <f t="array" ref="A506">IF(E506="","",XLOOKUP(D506,'Validaciones Cotizador'!C:C,'Validaciones Cotizador'!A:A,"",0,1))</f>
        <v/>
      </c>
      <c r="B506" s="2" t="str">
        <f t="array" ref="B506">IF(F506="","",XLOOKUP(F506,Productos!E:E,Productos!G:G,"",0,1))</f>
        <v/>
      </c>
      <c r="C506" s="2" t="str">
        <f>IF(A506="","",SUMIFS('Validaciones Cotizador'!B:B,'Validaciones Cotizador'!C:C,D506,'Validaciones Cotizador'!A:A,A506))</f>
        <v/>
      </c>
      <c r="D506" s="4" t="str">
        <f>IFERROR(__xludf.DUMMYFUNCTION("IF(OR(F505=""Finalizar"",F505="""",F505=""Selecciona..""),"""",IF(OR(F505=""-"",INDEX(filter(Familias!F:F,Familias!D:D=A505,Familias!E:E=C505),1)=""O""),D505+1,D505))"),"")</f>
        <v/>
      </c>
      <c r="E506" s="2" t="str">
        <f>IF(OR(F506="",F506="Selecciona.."),"",IF(D506="Implemento",SUMIF(Implementos!B:B,F506,Implementos!A:A),SUMIF(Productos!E:E,F506,Productos!A:A)))</f>
        <v/>
      </c>
      <c r="F506" s="2" t="str">
        <f t="shared" si="2"/>
        <v/>
      </c>
      <c r="G506" s="10" t="str">
        <f t="array" ref="G506">IF(OR(F506="",F506="-",F506="Selecciona..",F506="Finalizar"),"",IF(A506="Rodados",XLOOKUP(B506,'Validaciones Cotizador'!I:I,'Validaciones Cotizador'!J:J,0,0,1),1))</f>
        <v/>
      </c>
      <c r="H506" s="11" t="str">
        <f>IF(OR(F506="",F506="Selecciona.."),"",SUMIF(Precio_Productos!K:K,E506,Precio_Productos!J:J)*G506)</f>
        <v/>
      </c>
      <c r="I506" s="4" t="str">
        <f t="array" ref="I506">IF($E506="","", XLOOKUP(SUMIFS(Prod_Prop!$A:$A,Prod_Prop!$B:$B,$E506,Prod_Prop!$H:$H,I$1,Prod_Prop!$I:$I,"Exacto"),Prod_Prop!$A:$A,Prod_Prop!$J:$J,"",0,1))</f>
        <v/>
      </c>
      <c r="J506" s="4" t="str">
        <f t="array" ref="J506">IF($E506="","", XLOOKUP(SUMIFS(Prod_Prop!$A:$A,Prod_Prop!$B:$B,$E506,Prod_Prop!$H:$H,J$1,Prod_Prop!$I:$I,"Exacto"),Prod_Prop!$A:$A,Prod_Prop!$J:$J,"",0,1))</f>
        <v/>
      </c>
      <c r="K506" s="4" t="str">
        <f t="array" ref="K506">IF($E506="","", XLOOKUP(SUMIFS(Prod_Prop!$A:$A,Prod_Prop!$B:$B,$E506,Prod_Prop!$H:$H,K$1,Prod_Prop!$I:$I,"Exacto"),Prod_Prop!$A:$A,Prod_Prop!$J:$J,"",0,1))</f>
        <v/>
      </c>
      <c r="L506" s="4" t="str">
        <f t="array" ref="L506">IF($E506="","", XLOOKUP(SUMIFS(Prod_Prop!$A:$A,Prod_Prop!$B:$B,$E506,Prod_Prop!$H:$H,L$1,Prod_Prop!$I:$I,"Exacto"),Prod_Prop!$A:$A,Prod_Prop!$J:$J,"",0,1))</f>
        <v/>
      </c>
      <c r="M506" s="4" t="str">
        <f t="array" ref="M506">IF($E506="","", XLOOKUP(SUMIFS(Prod_Prop!$A:$A,Prod_Prop!$B:$B,$E506,Prod_Prop!$H:$H,M$1,Prod_Prop!$I:$I,"Exacto"),Prod_Prop!$A:$A,Prod_Prop!$J:$J,"",0,1))</f>
        <v/>
      </c>
      <c r="N506" s="4" t="str">
        <f t="array" ref="N506">IF($E506="","", XLOOKUP(SUMIFS(Prod_Prop!$A:$A,Prod_Prop!$B:$B,$E506,Prod_Prop!$H:$H,N$1,Prod_Prop!$I:$I,"Exacto"),Prod_Prop!$A:$A,Prod_Prop!$J:$J,"",0,1))</f>
        <v/>
      </c>
      <c r="O506" s="4" t="str">
        <f t="array" ref="O506">IF($E506="","", XLOOKUP(SUMIFS(Prod_Prop!$A:$A,Prod_Prop!$B:$B,$E506,Prod_Prop!$H:$H,O$1,Prod_Prop!$I:$I,"Exacto"),Prod_Prop!$A:$A,Prod_Prop!$J:$J,"",0,1))</f>
        <v/>
      </c>
      <c r="P506" s="4" t="str">
        <f t="array" ref="P506">IF($E506="","", XLOOKUP(SUMIFS(Prod_Prop!$A:$A,Prod_Prop!$B:$B,$E506,Prod_Prop!$H:$H,P$1,Prod_Prop!$I:$I,"Exacto"),Prod_Prop!$A:$A,Prod_Prop!$J:$J,"",0,1))</f>
        <v/>
      </c>
      <c r="Q506" s="4" t="str">
        <f t="array" ref="Q506">IF($E506="","", XLOOKUP(SUMIFS(Prod_Prop!$A:$A,Prod_Prop!$B:$B,$E506,Prod_Prop!$H:$H,Q$1,Prod_Prop!$I:$I,"Exacto"),Prod_Prop!$A:$A,Prod_Prop!$J:$J,"",0,1))</f>
        <v/>
      </c>
      <c r="R506" s="4" t="str">
        <f t="array" ref="R506">IF($E506="","", XLOOKUP(SUMIFS(Prod_Prop!$A:$A,Prod_Prop!$B:$B,$E506,Prod_Prop!$H:$H,R$1,Prod_Prop!$I:$I,"Exacto"),Prod_Prop!$A:$A,Prod_Prop!$J:$J,"",0,1))</f>
        <v/>
      </c>
      <c r="S506" s="4" t="str">
        <f t="array" ref="S506">IF($E506="","", XLOOKUP(SUMIFS(Prod_Prop!$A:$A,Prod_Prop!$B:$B,$E506,Prod_Prop!$H:$H,S$1,Prod_Prop!$I:$I,"Exacto"),Prod_Prop!$A:$A,Prod_Prop!$J:$J,"",0,1))</f>
        <v/>
      </c>
      <c r="T506" s="4" t="str">
        <f t="array" ref="T506">IF($E506="","", XLOOKUP(SUMIFS(Prod_Prop!$A:$A,Prod_Prop!$B:$B,$E506,Prod_Prop!$H:$H,T$1,Prod_Prop!$I:$I,"Exacto"),Prod_Prop!$A:$A,Prod_Prop!$J:$J,"",0,1))</f>
        <v/>
      </c>
      <c r="U506" s="4" t="str">
        <f t="array" ref="U506">IF($E506="","", XLOOKUP(SUMIFS(Prod_Prop!$A:$A,Prod_Prop!$B:$B,$E506,Prod_Prop!$H:$H,U$1,Prod_Prop!$I:$I,"Exacto"),Prod_Prop!$A:$A,Prod_Prop!$J:$J,"",0,1))</f>
        <v/>
      </c>
      <c r="V506" s="4" t="str">
        <f t="array" ref="V506">IF($E506="","", XLOOKUP(SUMIFS(Prod_Prop!$A:$A,Prod_Prop!$B:$B,$E506,Prod_Prop!$H:$H,V$1,Prod_Prop!$I:$I,"Exacto"),Prod_Prop!$A:$A,Prod_Prop!$J:$J,"",0,1))</f>
        <v/>
      </c>
      <c r="X506" s="3" t="str">
        <f>IFERROR(__xludf.DUMMYFUNCTION("IF(D506="""","""",IFERROR(TRANSPOSE(FILTER('Validaciones Cotizador'!U:U,'Validaciones Cotizador'!O:O=D506,'Validaciones Cotizador'!T:T=""x"")),""Finalizar""))"),"")</f>
        <v/>
      </c>
    </row>
    <row r="507">
      <c r="A507" s="2" t="str">
        <f t="array" ref="A507">IF(E507="","",XLOOKUP(D507,'Validaciones Cotizador'!C:C,'Validaciones Cotizador'!A:A,"",0,1))</f>
        <v/>
      </c>
      <c r="B507" s="2" t="str">
        <f t="array" ref="B507">IF(F507="","",XLOOKUP(F507,Productos!E:E,Productos!G:G,"",0,1))</f>
        <v/>
      </c>
      <c r="C507" s="2" t="str">
        <f>IF(A507="","",SUMIFS('Validaciones Cotizador'!B:B,'Validaciones Cotizador'!C:C,D507,'Validaciones Cotizador'!A:A,A507))</f>
        <v/>
      </c>
      <c r="D507" s="4" t="str">
        <f>IFERROR(__xludf.DUMMYFUNCTION("IF(OR(F506=""Finalizar"",F506="""",F506=""Selecciona..""),"""",IF(OR(F506=""-"",INDEX(filter(Familias!F:F,Familias!D:D=A506,Familias!E:E=C506),1)=""O""),D506+1,D506))"),"")</f>
        <v/>
      </c>
      <c r="E507" s="2" t="str">
        <f>IF(OR(F507="",F507="Selecciona.."),"",IF(D507="Implemento",SUMIF(Implementos!B:B,F507,Implementos!A:A),SUMIF(Productos!E:E,F507,Productos!A:A)))</f>
        <v/>
      </c>
      <c r="F507" s="2" t="str">
        <f t="shared" si="2"/>
        <v/>
      </c>
      <c r="G507" s="10" t="str">
        <f t="array" ref="G507">IF(OR(F507="",F507="-",F507="Selecciona..",F507="Finalizar"),"",IF(A507="Rodados",XLOOKUP(B507,'Validaciones Cotizador'!I:I,'Validaciones Cotizador'!J:J,0,0,1),1))</f>
        <v/>
      </c>
      <c r="H507" s="11" t="str">
        <f>IF(OR(F507="",F507="Selecciona.."),"",SUMIF(Precio_Productos!K:K,E507,Precio_Productos!J:J)*G507)</f>
        <v/>
      </c>
      <c r="I507" s="4" t="str">
        <f t="array" ref="I507">IF($E507="","", XLOOKUP(SUMIFS(Prod_Prop!$A:$A,Prod_Prop!$B:$B,$E507,Prod_Prop!$H:$H,I$1,Prod_Prop!$I:$I,"Exacto"),Prod_Prop!$A:$A,Prod_Prop!$J:$J,"",0,1))</f>
        <v/>
      </c>
      <c r="J507" s="4" t="str">
        <f t="array" ref="J507">IF($E507="","", XLOOKUP(SUMIFS(Prod_Prop!$A:$A,Prod_Prop!$B:$B,$E507,Prod_Prop!$H:$H,J$1,Prod_Prop!$I:$I,"Exacto"),Prod_Prop!$A:$A,Prod_Prop!$J:$J,"",0,1))</f>
        <v/>
      </c>
      <c r="K507" s="4" t="str">
        <f t="array" ref="K507">IF($E507="","", XLOOKUP(SUMIFS(Prod_Prop!$A:$A,Prod_Prop!$B:$B,$E507,Prod_Prop!$H:$H,K$1,Prod_Prop!$I:$I,"Exacto"),Prod_Prop!$A:$A,Prod_Prop!$J:$J,"",0,1))</f>
        <v/>
      </c>
      <c r="L507" s="4" t="str">
        <f t="array" ref="L507">IF($E507="","", XLOOKUP(SUMIFS(Prod_Prop!$A:$A,Prod_Prop!$B:$B,$E507,Prod_Prop!$H:$H,L$1,Prod_Prop!$I:$I,"Exacto"),Prod_Prop!$A:$A,Prod_Prop!$J:$J,"",0,1))</f>
        <v/>
      </c>
      <c r="M507" s="4" t="str">
        <f t="array" ref="M507">IF($E507="","", XLOOKUP(SUMIFS(Prod_Prop!$A:$A,Prod_Prop!$B:$B,$E507,Prod_Prop!$H:$H,M$1,Prod_Prop!$I:$I,"Exacto"),Prod_Prop!$A:$A,Prod_Prop!$J:$J,"",0,1))</f>
        <v/>
      </c>
      <c r="N507" s="4" t="str">
        <f t="array" ref="N507">IF($E507="","", XLOOKUP(SUMIFS(Prod_Prop!$A:$A,Prod_Prop!$B:$B,$E507,Prod_Prop!$H:$H,N$1,Prod_Prop!$I:$I,"Exacto"),Prod_Prop!$A:$A,Prod_Prop!$J:$J,"",0,1))</f>
        <v/>
      </c>
      <c r="O507" s="4" t="str">
        <f t="array" ref="O507">IF($E507="","", XLOOKUP(SUMIFS(Prod_Prop!$A:$A,Prod_Prop!$B:$B,$E507,Prod_Prop!$H:$H,O$1,Prod_Prop!$I:$I,"Exacto"),Prod_Prop!$A:$A,Prod_Prop!$J:$J,"",0,1))</f>
        <v/>
      </c>
      <c r="P507" s="4" t="str">
        <f t="array" ref="P507">IF($E507="","", XLOOKUP(SUMIFS(Prod_Prop!$A:$A,Prod_Prop!$B:$B,$E507,Prod_Prop!$H:$H,P$1,Prod_Prop!$I:$I,"Exacto"),Prod_Prop!$A:$A,Prod_Prop!$J:$J,"",0,1))</f>
        <v/>
      </c>
      <c r="Q507" s="4" t="str">
        <f t="array" ref="Q507">IF($E507="","", XLOOKUP(SUMIFS(Prod_Prop!$A:$A,Prod_Prop!$B:$B,$E507,Prod_Prop!$H:$H,Q$1,Prod_Prop!$I:$I,"Exacto"),Prod_Prop!$A:$A,Prod_Prop!$J:$J,"",0,1))</f>
        <v/>
      </c>
      <c r="R507" s="4" t="str">
        <f t="array" ref="R507">IF($E507="","", XLOOKUP(SUMIFS(Prod_Prop!$A:$A,Prod_Prop!$B:$B,$E507,Prod_Prop!$H:$H,R$1,Prod_Prop!$I:$I,"Exacto"),Prod_Prop!$A:$A,Prod_Prop!$J:$J,"",0,1))</f>
        <v/>
      </c>
      <c r="S507" s="4" t="str">
        <f t="array" ref="S507">IF($E507="","", XLOOKUP(SUMIFS(Prod_Prop!$A:$A,Prod_Prop!$B:$B,$E507,Prod_Prop!$H:$H,S$1,Prod_Prop!$I:$I,"Exacto"),Prod_Prop!$A:$A,Prod_Prop!$J:$J,"",0,1))</f>
        <v/>
      </c>
      <c r="T507" s="4" t="str">
        <f t="array" ref="T507">IF($E507="","", XLOOKUP(SUMIFS(Prod_Prop!$A:$A,Prod_Prop!$B:$B,$E507,Prod_Prop!$H:$H,T$1,Prod_Prop!$I:$I,"Exacto"),Prod_Prop!$A:$A,Prod_Prop!$J:$J,"",0,1))</f>
        <v/>
      </c>
      <c r="U507" s="4" t="str">
        <f t="array" ref="U507">IF($E507="","", XLOOKUP(SUMIFS(Prod_Prop!$A:$A,Prod_Prop!$B:$B,$E507,Prod_Prop!$H:$H,U$1,Prod_Prop!$I:$I,"Exacto"),Prod_Prop!$A:$A,Prod_Prop!$J:$J,"",0,1))</f>
        <v/>
      </c>
      <c r="V507" s="4" t="str">
        <f t="array" ref="V507">IF($E507="","", XLOOKUP(SUMIFS(Prod_Prop!$A:$A,Prod_Prop!$B:$B,$E507,Prod_Prop!$H:$H,V$1,Prod_Prop!$I:$I,"Exacto"),Prod_Prop!$A:$A,Prod_Prop!$J:$J,"",0,1))</f>
        <v/>
      </c>
      <c r="X507" s="3" t="str">
        <f>IFERROR(__xludf.DUMMYFUNCTION("IF(D507="""","""",IFERROR(TRANSPOSE(FILTER('Validaciones Cotizador'!U:U,'Validaciones Cotizador'!O:O=D507,'Validaciones Cotizador'!T:T=""x"")),""Finalizar""))"),"")</f>
        <v/>
      </c>
    </row>
    <row r="508">
      <c r="A508" s="2" t="str">
        <f t="array" ref="A508">IF(E508="","",XLOOKUP(D508,'Validaciones Cotizador'!C:C,'Validaciones Cotizador'!A:A,"",0,1))</f>
        <v/>
      </c>
      <c r="B508" s="2" t="str">
        <f t="array" ref="B508">IF(F508="","",XLOOKUP(F508,Productos!E:E,Productos!G:G,"",0,1))</f>
        <v/>
      </c>
      <c r="C508" s="2" t="str">
        <f>IF(A508="","",SUMIFS('Validaciones Cotizador'!B:B,'Validaciones Cotizador'!C:C,D508,'Validaciones Cotizador'!A:A,A508))</f>
        <v/>
      </c>
      <c r="D508" s="4" t="str">
        <f>IFERROR(__xludf.DUMMYFUNCTION("IF(OR(F507=""Finalizar"",F507="""",F507=""Selecciona..""),"""",IF(OR(F507=""-"",INDEX(filter(Familias!F:F,Familias!D:D=A507,Familias!E:E=C507),1)=""O""),D507+1,D507))"),"")</f>
        <v/>
      </c>
      <c r="E508" s="2" t="str">
        <f>IF(OR(F508="",F508="Selecciona.."),"",IF(D508="Implemento",SUMIF(Implementos!B:B,F508,Implementos!A:A),SUMIF(Productos!E:E,F508,Productos!A:A)))</f>
        <v/>
      </c>
      <c r="F508" s="2" t="str">
        <f t="shared" si="2"/>
        <v/>
      </c>
      <c r="G508" s="10" t="str">
        <f t="array" ref="G508">IF(OR(F508="",F508="-",F508="Selecciona..",F508="Finalizar"),"",IF(A508="Rodados",XLOOKUP(B508,'Validaciones Cotizador'!I:I,'Validaciones Cotizador'!J:J,0,0,1),1))</f>
        <v/>
      </c>
      <c r="H508" s="11" t="str">
        <f>IF(OR(F508="",F508="Selecciona.."),"",SUMIF(Precio_Productos!K:K,E508,Precio_Productos!J:J)*G508)</f>
        <v/>
      </c>
      <c r="I508" s="4" t="str">
        <f t="array" ref="I508">IF($E508="","", XLOOKUP(SUMIFS(Prod_Prop!$A:$A,Prod_Prop!$B:$B,$E508,Prod_Prop!$H:$H,I$1,Prod_Prop!$I:$I,"Exacto"),Prod_Prop!$A:$A,Prod_Prop!$J:$J,"",0,1))</f>
        <v/>
      </c>
      <c r="J508" s="4" t="str">
        <f t="array" ref="J508">IF($E508="","", XLOOKUP(SUMIFS(Prod_Prop!$A:$A,Prod_Prop!$B:$B,$E508,Prod_Prop!$H:$H,J$1,Prod_Prop!$I:$I,"Exacto"),Prod_Prop!$A:$A,Prod_Prop!$J:$J,"",0,1))</f>
        <v/>
      </c>
      <c r="K508" s="4" t="str">
        <f t="array" ref="K508">IF($E508="","", XLOOKUP(SUMIFS(Prod_Prop!$A:$A,Prod_Prop!$B:$B,$E508,Prod_Prop!$H:$H,K$1,Prod_Prop!$I:$I,"Exacto"),Prod_Prop!$A:$A,Prod_Prop!$J:$J,"",0,1))</f>
        <v/>
      </c>
      <c r="L508" s="4" t="str">
        <f t="array" ref="L508">IF($E508="","", XLOOKUP(SUMIFS(Prod_Prop!$A:$A,Prod_Prop!$B:$B,$E508,Prod_Prop!$H:$H,L$1,Prod_Prop!$I:$I,"Exacto"),Prod_Prop!$A:$A,Prod_Prop!$J:$J,"",0,1))</f>
        <v/>
      </c>
      <c r="M508" s="4" t="str">
        <f t="array" ref="M508">IF($E508="","", XLOOKUP(SUMIFS(Prod_Prop!$A:$A,Prod_Prop!$B:$B,$E508,Prod_Prop!$H:$H,M$1,Prod_Prop!$I:$I,"Exacto"),Prod_Prop!$A:$A,Prod_Prop!$J:$J,"",0,1))</f>
        <v/>
      </c>
      <c r="N508" s="4" t="str">
        <f t="array" ref="N508">IF($E508="","", XLOOKUP(SUMIFS(Prod_Prop!$A:$A,Prod_Prop!$B:$B,$E508,Prod_Prop!$H:$H,N$1,Prod_Prop!$I:$I,"Exacto"),Prod_Prop!$A:$A,Prod_Prop!$J:$J,"",0,1))</f>
        <v/>
      </c>
      <c r="O508" s="4" t="str">
        <f t="array" ref="O508">IF($E508="","", XLOOKUP(SUMIFS(Prod_Prop!$A:$A,Prod_Prop!$B:$B,$E508,Prod_Prop!$H:$H,O$1,Prod_Prop!$I:$I,"Exacto"),Prod_Prop!$A:$A,Prod_Prop!$J:$J,"",0,1))</f>
        <v/>
      </c>
      <c r="P508" s="4" t="str">
        <f t="array" ref="P508">IF($E508="","", XLOOKUP(SUMIFS(Prod_Prop!$A:$A,Prod_Prop!$B:$B,$E508,Prod_Prop!$H:$H,P$1,Prod_Prop!$I:$I,"Exacto"),Prod_Prop!$A:$A,Prod_Prop!$J:$J,"",0,1))</f>
        <v/>
      </c>
      <c r="Q508" s="4" t="str">
        <f t="array" ref="Q508">IF($E508="","", XLOOKUP(SUMIFS(Prod_Prop!$A:$A,Prod_Prop!$B:$B,$E508,Prod_Prop!$H:$H,Q$1,Prod_Prop!$I:$I,"Exacto"),Prod_Prop!$A:$A,Prod_Prop!$J:$J,"",0,1))</f>
        <v/>
      </c>
      <c r="R508" s="4" t="str">
        <f t="array" ref="R508">IF($E508="","", XLOOKUP(SUMIFS(Prod_Prop!$A:$A,Prod_Prop!$B:$B,$E508,Prod_Prop!$H:$H,R$1,Prod_Prop!$I:$I,"Exacto"),Prod_Prop!$A:$A,Prod_Prop!$J:$J,"",0,1))</f>
        <v/>
      </c>
      <c r="S508" s="4" t="str">
        <f t="array" ref="S508">IF($E508="","", XLOOKUP(SUMIFS(Prod_Prop!$A:$A,Prod_Prop!$B:$B,$E508,Prod_Prop!$H:$H,S$1,Prod_Prop!$I:$I,"Exacto"),Prod_Prop!$A:$A,Prod_Prop!$J:$J,"",0,1))</f>
        <v/>
      </c>
      <c r="T508" s="4" t="str">
        <f t="array" ref="T508">IF($E508="","", XLOOKUP(SUMIFS(Prod_Prop!$A:$A,Prod_Prop!$B:$B,$E508,Prod_Prop!$H:$H,T$1,Prod_Prop!$I:$I,"Exacto"),Prod_Prop!$A:$A,Prod_Prop!$J:$J,"",0,1))</f>
        <v/>
      </c>
      <c r="U508" s="4" t="str">
        <f t="array" ref="U508">IF($E508="","", XLOOKUP(SUMIFS(Prod_Prop!$A:$A,Prod_Prop!$B:$B,$E508,Prod_Prop!$H:$H,U$1,Prod_Prop!$I:$I,"Exacto"),Prod_Prop!$A:$A,Prod_Prop!$J:$J,"",0,1))</f>
        <v/>
      </c>
      <c r="V508" s="4" t="str">
        <f t="array" ref="V508">IF($E508="","", XLOOKUP(SUMIFS(Prod_Prop!$A:$A,Prod_Prop!$B:$B,$E508,Prod_Prop!$H:$H,V$1,Prod_Prop!$I:$I,"Exacto"),Prod_Prop!$A:$A,Prod_Prop!$J:$J,"",0,1))</f>
        <v/>
      </c>
      <c r="X508" s="3" t="str">
        <f>IFERROR(__xludf.DUMMYFUNCTION("IF(D508="""","""",IFERROR(TRANSPOSE(FILTER('Validaciones Cotizador'!U:U,'Validaciones Cotizador'!O:O=D508,'Validaciones Cotizador'!T:T=""x"")),""Finalizar""))"),"")</f>
        <v/>
      </c>
    </row>
    <row r="509">
      <c r="A509" s="2" t="str">
        <f t="array" ref="A509">IF(E509="","",XLOOKUP(D509,'Validaciones Cotizador'!C:C,'Validaciones Cotizador'!A:A,"",0,1))</f>
        <v/>
      </c>
      <c r="B509" s="2" t="str">
        <f t="array" ref="B509">IF(F509="","",XLOOKUP(F509,Productos!E:E,Productos!G:G,"",0,1))</f>
        <v/>
      </c>
      <c r="C509" s="2" t="str">
        <f>IF(A509="","",SUMIFS('Validaciones Cotizador'!B:B,'Validaciones Cotizador'!C:C,D509,'Validaciones Cotizador'!A:A,A509))</f>
        <v/>
      </c>
      <c r="D509" s="4" t="str">
        <f>IFERROR(__xludf.DUMMYFUNCTION("IF(OR(F508=""Finalizar"",F508="""",F508=""Selecciona..""),"""",IF(OR(F508=""-"",INDEX(filter(Familias!F:F,Familias!D:D=A508,Familias!E:E=C508),1)=""O""),D508+1,D508))"),"")</f>
        <v/>
      </c>
      <c r="E509" s="2" t="str">
        <f>IF(OR(F509="",F509="Selecciona.."),"",IF(D509="Implemento",SUMIF(Implementos!B:B,F509,Implementos!A:A),SUMIF(Productos!E:E,F509,Productos!A:A)))</f>
        <v/>
      </c>
      <c r="F509" s="2" t="str">
        <f t="shared" si="2"/>
        <v/>
      </c>
      <c r="G509" s="10" t="str">
        <f t="array" ref="G509">IF(OR(F509="",F509="-",F509="Selecciona..",F509="Finalizar"),"",IF(A509="Rodados",XLOOKUP(B509,'Validaciones Cotizador'!I:I,'Validaciones Cotizador'!J:J,0,0,1),1))</f>
        <v/>
      </c>
      <c r="H509" s="11" t="str">
        <f>IF(OR(F509="",F509="Selecciona.."),"",SUMIF(Precio_Productos!K:K,E509,Precio_Productos!J:J)*G509)</f>
        <v/>
      </c>
      <c r="I509" s="4" t="str">
        <f t="array" ref="I509">IF($E509="","", XLOOKUP(SUMIFS(Prod_Prop!$A:$A,Prod_Prop!$B:$B,$E509,Prod_Prop!$H:$H,I$1,Prod_Prop!$I:$I,"Exacto"),Prod_Prop!$A:$A,Prod_Prop!$J:$J,"",0,1))</f>
        <v/>
      </c>
      <c r="J509" s="4" t="str">
        <f t="array" ref="J509">IF($E509="","", XLOOKUP(SUMIFS(Prod_Prop!$A:$A,Prod_Prop!$B:$B,$E509,Prod_Prop!$H:$H,J$1,Prod_Prop!$I:$I,"Exacto"),Prod_Prop!$A:$A,Prod_Prop!$J:$J,"",0,1))</f>
        <v/>
      </c>
      <c r="K509" s="4" t="str">
        <f t="array" ref="K509">IF($E509="","", XLOOKUP(SUMIFS(Prod_Prop!$A:$A,Prod_Prop!$B:$B,$E509,Prod_Prop!$H:$H,K$1,Prod_Prop!$I:$I,"Exacto"),Prod_Prop!$A:$A,Prod_Prop!$J:$J,"",0,1))</f>
        <v/>
      </c>
      <c r="L509" s="4" t="str">
        <f t="array" ref="L509">IF($E509="","", XLOOKUP(SUMIFS(Prod_Prop!$A:$A,Prod_Prop!$B:$B,$E509,Prod_Prop!$H:$H,L$1,Prod_Prop!$I:$I,"Exacto"),Prod_Prop!$A:$A,Prod_Prop!$J:$J,"",0,1))</f>
        <v/>
      </c>
      <c r="M509" s="4" t="str">
        <f t="array" ref="M509">IF($E509="","", XLOOKUP(SUMIFS(Prod_Prop!$A:$A,Prod_Prop!$B:$B,$E509,Prod_Prop!$H:$H,M$1,Prod_Prop!$I:$I,"Exacto"),Prod_Prop!$A:$A,Prod_Prop!$J:$J,"",0,1))</f>
        <v/>
      </c>
      <c r="N509" s="4" t="str">
        <f t="array" ref="N509">IF($E509="","", XLOOKUP(SUMIFS(Prod_Prop!$A:$A,Prod_Prop!$B:$B,$E509,Prod_Prop!$H:$H,N$1,Prod_Prop!$I:$I,"Exacto"),Prod_Prop!$A:$A,Prod_Prop!$J:$J,"",0,1))</f>
        <v/>
      </c>
      <c r="O509" s="4" t="str">
        <f t="array" ref="O509">IF($E509="","", XLOOKUP(SUMIFS(Prod_Prop!$A:$A,Prod_Prop!$B:$B,$E509,Prod_Prop!$H:$H,O$1,Prod_Prop!$I:$I,"Exacto"),Prod_Prop!$A:$A,Prod_Prop!$J:$J,"",0,1))</f>
        <v/>
      </c>
      <c r="P509" s="4" t="str">
        <f t="array" ref="P509">IF($E509="","", XLOOKUP(SUMIFS(Prod_Prop!$A:$A,Prod_Prop!$B:$B,$E509,Prod_Prop!$H:$H,P$1,Prod_Prop!$I:$I,"Exacto"),Prod_Prop!$A:$A,Prod_Prop!$J:$J,"",0,1))</f>
        <v/>
      </c>
      <c r="Q509" s="4" t="str">
        <f t="array" ref="Q509">IF($E509="","", XLOOKUP(SUMIFS(Prod_Prop!$A:$A,Prod_Prop!$B:$B,$E509,Prod_Prop!$H:$H,Q$1,Prod_Prop!$I:$I,"Exacto"),Prod_Prop!$A:$A,Prod_Prop!$J:$J,"",0,1))</f>
        <v/>
      </c>
      <c r="R509" s="4" t="str">
        <f t="array" ref="R509">IF($E509="","", XLOOKUP(SUMIFS(Prod_Prop!$A:$A,Prod_Prop!$B:$B,$E509,Prod_Prop!$H:$H,R$1,Prod_Prop!$I:$I,"Exacto"),Prod_Prop!$A:$A,Prod_Prop!$J:$J,"",0,1))</f>
        <v/>
      </c>
      <c r="S509" s="4" t="str">
        <f t="array" ref="S509">IF($E509="","", XLOOKUP(SUMIFS(Prod_Prop!$A:$A,Prod_Prop!$B:$B,$E509,Prod_Prop!$H:$H,S$1,Prod_Prop!$I:$I,"Exacto"),Prod_Prop!$A:$A,Prod_Prop!$J:$J,"",0,1))</f>
        <v/>
      </c>
      <c r="T509" s="4" t="str">
        <f t="array" ref="T509">IF($E509="","", XLOOKUP(SUMIFS(Prod_Prop!$A:$A,Prod_Prop!$B:$B,$E509,Prod_Prop!$H:$H,T$1,Prod_Prop!$I:$I,"Exacto"),Prod_Prop!$A:$A,Prod_Prop!$J:$J,"",0,1))</f>
        <v/>
      </c>
      <c r="U509" s="4" t="str">
        <f t="array" ref="U509">IF($E509="","", XLOOKUP(SUMIFS(Prod_Prop!$A:$A,Prod_Prop!$B:$B,$E509,Prod_Prop!$H:$H,U$1,Prod_Prop!$I:$I,"Exacto"),Prod_Prop!$A:$A,Prod_Prop!$J:$J,"",0,1))</f>
        <v/>
      </c>
      <c r="V509" s="4" t="str">
        <f t="array" ref="V509">IF($E509="","", XLOOKUP(SUMIFS(Prod_Prop!$A:$A,Prod_Prop!$B:$B,$E509,Prod_Prop!$H:$H,V$1,Prod_Prop!$I:$I,"Exacto"),Prod_Prop!$A:$A,Prod_Prop!$J:$J,"",0,1))</f>
        <v/>
      </c>
      <c r="X509" s="3" t="str">
        <f>IFERROR(__xludf.DUMMYFUNCTION("IF(D509="""","""",IFERROR(TRANSPOSE(FILTER('Validaciones Cotizador'!U:U,'Validaciones Cotizador'!O:O=D509,'Validaciones Cotizador'!T:T=""x"")),""Finalizar""))"),"")</f>
        <v/>
      </c>
    </row>
    <row r="510">
      <c r="A510" s="2" t="str">
        <f t="array" ref="A510">IF(E510="","",XLOOKUP(D510,'Validaciones Cotizador'!C:C,'Validaciones Cotizador'!A:A,"",0,1))</f>
        <v/>
      </c>
      <c r="B510" s="2" t="str">
        <f t="array" ref="B510">IF(F510="","",XLOOKUP(F510,Productos!E:E,Productos!G:G,"",0,1))</f>
        <v/>
      </c>
      <c r="C510" s="2" t="str">
        <f>IF(A510="","",SUMIFS('Validaciones Cotizador'!B:B,'Validaciones Cotizador'!C:C,D510,'Validaciones Cotizador'!A:A,A510))</f>
        <v/>
      </c>
      <c r="D510" s="4" t="str">
        <f>IFERROR(__xludf.DUMMYFUNCTION("IF(OR(F509=""Finalizar"",F509="""",F509=""Selecciona..""),"""",IF(OR(F509=""-"",INDEX(filter(Familias!F:F,Familias!D:D=A509,Familias!E:E=C509),1)=""O""),D509+1,D509))"),"")</f>
        <v/>
      </c>
      <c r="E510" s="2" t="str">
        <f>IF(OR(F510="",F510="Selecciona.."),"",IF(D510="Implemento",SUMIF(Implementos!B:B,F510,Implementos!A:A),SUMIF(Productos!E:E,F510,Productos!A:A)))</f>
        <v/>
      </c>
      <c r="F510" s="2" t="str">
        <f t="shared" si="2"/>
        <v/>
      </c>
      <c r="G510" s="10" t="str">
        <f t="array" ref="G510">IF(OR(F510="",F510="-",F510="Selecciona..",F510="Finalizar"),"",IF(A510="Rodados",XLOOKUP(B510,'Validaciones Cotizador'!I:I,'Validaciones Cotizador'!J:J,0,0,1),1))</f>
        <v/>
      </c>
      <c r="H510" s="11" t="str">
        <f>IF(OR(F510="",F510="Selecciona.."),"",SUMIF(Precio_Productos!K:K,E510,Precio_Productos!J:J)*G510)</f>
        <v/>
      </c>
      <c r="I510" s="4" t="str">
        <f t="array" ref="I510">IF($E510="","", XLOOKUP(SUMIFS(Prod_Prop!$A:$A,Prod_Prop!$B:$B,$E510,Prod_Prop!$H:$H,I$1,Prod_Prop!$I:$I,"Exacto"),Prod_Prop!$A:$A,Prod_Prop!$J:$J,"",0,1))</f>
        <v/>
      </c>
      <c r="J510" s="4" t="str">
        <f t="array" ref="J510">IF($E510="","", XLOOKUP(SUMIFS(Prod_Prop!$A:$A,Prod_Prop!$B:$B,$E510,Prod_Prop!$H:$H,J$1,Prod_Prop!$I:$I,"Exacto"),Prod_Prop!$A:$A,Prod_Prop!$J:$J,"",0,1))</f>
        <v/>
      </c>
      <c r="K510" s="4" t="str">
        <f t="array" ref="K510">IF($E510="","", XLOOKUP(SUMIFS(Prod_Prop!$A:$A,Prod_Prop!$B:$B,$E510,Prod_Prop!$H:$H,K$1,Prod_Prop!$I:$I,"Exacto"),Prod_Prop!$A:$A,Prod_Prop!$J:$J,"",0,1))</f>
        <v/>
      </c>
      <c r="L510" s="4" t="str">
        <f t="array" ref="L510">IF($E510="","", XLOOKUP(SUMIFS(Prod_Prop!$A:$A,Prod_Prop!$B:$B,$E510,Prod_Prop!$H:$H,L$1,Prod_Prop!$I:$I,"Exacto"),Prod_Prop!$A:$A,Prod_Prop!$J:$J,"",0,1))</f>
        <v/>
      </c>
      <c r="M510" s="4" t="str">
        <f t="array" ref="M510">IF($E510="","", XLOOKUP(SUMIFS(Prod_Prop!$A:$A,Prod_Prop!$B:$B,$E510,Prod_Prop!$H:$H,M$1,Prod_Prop!$I:$I,"Exacto"),Prod_Prop!$A:$A,Prod_Prop!$J:$J,"",0,1))</f>
        <v/>
      </c>
      <c r="N510" s="4" t="str">
        <f t="array" ref="N510">IF($E510="","", XLOOKUP(SUMIFS(Prod_Prop!$A:$A,Prod_Prop!$B:$B,$E510,Prod_Prop!$H:$H,N$1,Prod_Prop!$I:$I,"Exacto"),Prod_Prop!$A:$A,Prod_Prop!$J:$J,"",0,1))</f>
        <v/>
      </c>
      <c r="O510" s="4" t="str">
        <f t="array" ref="O510">IF($E510="","", XLOOKUP(SUMIFS(Prod_Prop!$A:$A,Prod_Prop!$B:$B,$E510,Prod_Prop!$H:$H,O$1,Prod_Prop!$I:$I,"Exacto"),Prod_Prop!$A:$A,Prod_Prop!$J:$J,"",0,1))</f>
        <v/>
      </c>
      <c r="P510" s="4" t="str">
        <f t="array" ref="P510">IF($E510="","", XLOOKUP(SUMIFS(Prod_Prop!$A:$A,Prod_Prop!$B:$B,$E510,Prod_Prop!$H:$H,P$1,Prod_Prop!$I:$I,"Exacto"),Prod_Prop!$A:$A,Prod_Prop!$J:$J,"",0,1))</f>
        <v/>
      </c>
      <c r="Q510" s="4" t="str">
        <f t="array" ref="Q510">IF($E510="","", XLOOKUP(SUMIFS(Prod_Prop!$A:$A,Prod_Prop!$B:$B,$E510,Prod_Prop!$H:$H,Q$1,Prod_Prop!$I:$I,"Exacto"),Prod_Prop!$A:$A,Prod_Prop!$J:$J,"",0,1))</f>
        <v/>
      </c>
      <c r="R510" s="4" t="str">
        <f t="array" ref="R510">IF($E510="","", XLOOKUP(SUMIFS(Prod_Prop!$A:$A,Prod_Prop!$B:$B,$E510,Prod_Prop!$H:$H,R$1,Prod_Prop!$I:$I,"Exacto"),Prod_Prop!$A:$A,Prod_Prop!$J:$J,"",0,1))</f>
        <v/>
      </c>
      <c r="S510" s="4" t="str">
        <f t="array" ref="S510">IF($E510="","", XLOOKUP(SUMIFS(Prod_Prop!$A:$A,Prod_Prop!$B:$B,$E510,Prod_Prop!$H:$H,S$1,Prod_Prop!$I:$I,"Exacto"),Prod_Prop!$A:$A,Prod_Prop!$J:$J,"",0,1))</f>
        <v/>
      </c>
      <c r="T510" s="4" t="str">
        <f t="array" ref="T510">IF($E510="","", XLOOKUP(SUMIFS(Prod_Prop!$A:$A,Prod_Prop!$B:$B,$E510,Prod_Prop!$H:$H,T$1,Prod_Prop!$I:$I,"Exacto"),Prod_Prop!$A:$A,Prod_Prop!$J:$J,"",0,1))</f>
        <v/>
      </c>
      <c r="U510" s="4" t="str">
        <f t="array" ref="U510">IF($E510="","", XLOOKUP(SUMIFS(Prod_Prop!$A:$A,Prod_Prop!$B:$B,$E510,Prod_Prop!$H:$H,U$1,Prod_Prop!$I:$I,"Exacto"),Prod_Prop!$A:$A,Prod_Prop!$J:$J,"",0,1))</f>
        <v/>
      </c>
      <c r="V510" s="4" t="str">
        <f t="array" ref="V510">IF($E510="","", XLOOKUP(SUMIFS(Prod_Prop!$A:$A,Prod_Prop!$B:$B,$E510,Prod_Prop!$H:$H,V$1,Prod_Prop!$I:$I,"Exacto"),Prod_Prop!$A:$A,Prod_Prop!$J:$J,"",0,1))</f>
        <v/>
      </c>
      <c r="X510" s="3" t="str">
        <f>IFERROR(__xludf.DUMMYFUNCTION("IF(D510="""","""",IFERROR(TRANSPOSE(FILTER('Validaciones Cotizador'!U:U,'Validaciones Cotizador'!O:O=D510,'Validaciones Cotizador'!T:T=""x"")),""Finalizar""))"),"")</f>
        <v/>
      </c>
    </row>
    <row r="511">
      <c r="A511" s="2" t="str">
        <f t="array" ref="A511">IF(E511="","",XLOOKUP(D511,'Validaciones Cotizador'!C:C,'Validaciones Cotizador'!A:A,"",0,1))</f>
        <v/>
      </c>
      <c r="B511" s="2" t="str">
        <f t="array" ref="B511">IF(F511="","",XLOOKUP(F511,Productos!E:E,Productos!G:G,"",0,1))</f>
        <v/>
      </c>
      <c r="C511" s="2" t="str">
        <f>IF(A511="","",SUMIFS('Validaciones Cotizador'!B:B,'Validaciones Cotizador'!C:C,D511,'Validaciones Cotizador'!A:A,A511))</f>
        <v/>
      </c>
      <c r="D511" s="4" t="str">
        <f>IFERROR(__xludf.DUMMYFUNCTION("IF(OR(F510=""Finalizar"",F510="""",F510=""Selecciona..""),"""",IF(OR(F510=""-"",INDEX(filter(Familias!F:F,Familias!D:D=A510,Familias!E:E=C510),1)=""O""),D510+1,D510))"),"")</f>
        <v/>
      </c>
      <c r="E511" s="2" t="str">
        <f>IF(OR(F511="",F511="Selecciona.."),"",IF(D511="Implemento",SUMIF(Implementos!B:B,F511,Implementos!A:A),SUMIF(Productos!E:E,F511,Productos!A:A)))</f>
        <v/>
      </c>
      <c r="F511" s="2" t="str">
        <f t="shared" si="2"/>
        <v/>
      </c>
      <c r="G511" s="10" t="str">
        <f t="array" ref="G511">IF(OR(F511="",F511="-",F511="Selecciona..",F511="Finalizar"),"",IF(A511="Rodados",XLOOKUP(B511,'Validaciones Cotizador'!I:I,'Validaciones Cotizador'!J:J,0,0,1),1))</f>
        <v/>
      </c>
      <c r="H511" s="11" t="str">
        <f>IF(OR(F511="",F511="Selecciona.."),"",SUMIF(Precio_Productos!K:K,E511,Precio_Productos!J:J)*G511)</f>
        <v/>
      </c>
      <c r="I511" s="4" t="str">
        <f t="array" ref="I511">IF($E511="","", XLOOKUP(SUMIFS(Prod_Prop!$A:$A,Prod_Prop!$B:$B,$E511,Prod_Prop!$H:$H,I$1,Prod_Prop!$I:$I,"Exacto"),Prod_Prop!$A:$A,Prod_Prop!$J:$J,"",0,1))</f>
        <v/>
      </c>
      <c r="J511" s="4" t="str">
        <f t="array" ref="J511">IF($E511="","", XLOOKUP(SUMIFS(Prod_Prop!$A:$A,Prod_Prop!$B:$B,$E511,Prod_Prop!$H:$H,J$1,Prod_Prop!$I:$I,"Exacto"),Prod_Prop!$A:$A,Prod_Prop!$J:$J,"",0,1))</f>
        <v/>
      </c>
      <c r="K511" s="4" t="str">
        <f t="array" ref="K511">IF($E511="","", XLOOKUP(SUMIFS(Prod_Prop!$A:$A,Prod_Prop!$B:$B,$E511,Prod_Prop!$H:$H,K$1,Prod_Prop!$I:$I,"Exacto"),Prod_Prop!$A:$A,Prod_Prop!$J:$J,"",0,1))</f>
        <v/>
      </c>
      <c r="L511" s="4" t="str">
        <f t="array" ref="L511">IF($E511="","", XLOOKUP(SUMIFS(Prod_Prop!$A:$A,Prod_Prop!$B:$B,$E511,Prod_Prop!$H:$H,L$1,Prod_Prop!$I:$I,"Exacto"),Prod_Prop!$A:$A,Prod_Prop!$J:$J,"",0,1))</f>
        <v/>
      </c>
      <c r="M511" s="4" t="str">
        <f t="array" ref="M511">IF($E511="","", XLOOKUP(SUMIFS(Prod_Prop!$A:$A,Prod_Prop!$B:$B,$E511,Prod_Prop!$H:$H,M$1,Prod_Prop!$I:$I,"Exacto"),Prod_Prop!$A:$A,Prod_Prop!$J:$J,"",0,1))</f>
        <v/>
      </c>
      <c r="N511" s="4" t="str">
        <f t="array" ref="N511">IF($E511="","", XLOOKUP(SUMIFS(Prod_Prop!$A:$A,Prod_Prop!$B:$B,$E511,Prod_Prop!$H:$H,N$1,Prod_Prop!$I:$I,"Exacto"),Prod_Prop!$A:$A,Prod_Prop!$J:$J,"",0,1))</f>
        <v/>
      </c>
      <c r="O511" s="4" t="str">
        <f t="array" ref="O511">IF($E511="","", XLOOKUP(SUMIFS(Prod_Prop!$A:$A,Prod_Prop!$B:$B,$E511,Prod_Prop!$H:$H,O$1,Prod_Prop!$I:$I,"Exacto"),Prod_Prop!$A:$A,Prod_Prop!$J:$J,"",0,1))</f>
        <v/>
      </c>
      <c r="P511" s="4" t="str">
        <f t="array" ref="P511">IF($E511="","", XLOOKUP(SUMIFS(Prod_Prop!$A:$A,Prod_Prop!$B:$B,$E511,Prod_Prop!$H:$H,P$1,Prod_Prop!$I:$I,"Exacto"),Prod_Prop!$A:$A,Prod_Prop!$J:$J,"",0,1))</f>
        <v/>
      </c>
      <c r="Q511" s="4" t="str">
        <f t="array" ref="Q511">IF($E511="","", XLOOKUP(SUMIFS(Prod_Prop!$A:$A,Prod_Prop!$B:$B,$E511,Prod_Prop!$H:$H,Q$1,Prod_Prop!$I:$I,"Exacto"),Prod_Prop!$A:$A,Prod_Prop!$J:$J,"",0,1))</f>
        <v/>
      </c>
      <c r="R511" s="4" t="str">
        <f t="array" ref="R511">IF($E511="","", XLOOKUP(SUMIFS(Prod_Prop!$A:$A,Prod_Prop!$B:$B,$E511,Prod_Prop!$H:$H,R$1,Prod_Prop!$I:$I,"Exacto"),Prod_Prop!$A:$A,Prod_Prop!$J:$J,"",0,1))</f>
        <v/>
      </c>
      <c r="S511" s="4" t="str">
        <f t="array" ref="S511">IF($E511="","", XLOOKUP(SUMIFS(Prod_Prop!$A:$A,Prod_Prop!$B:$B,$E511,Prod_Prop!$H:$H,S$1,Prod_Prop!$I:$I,"Exacto"),Prod_Prop!$A:$A,Prod_Prop!$J:$J,"",0,1))</f>
        <v/>
      </c>
      <c r="T511" s="4" t="str">
        <f t="array" ref="T511">IF($E511="","", XLOOKUP(SUMIFS(Prod_Prop!$A:$A,Prod_Prop!$B:$B,$E511,Prod_Prop!$H:$H,T$1,Prod_Prop!$I:$I,"Exacto"),Prod_Prop!$A:$A,Prod_Prop!$J:$J,"",0,1))</f>
        <v/>
      </c>
      <c r="U511" s="4" t="str">
        <f t="array" ref="U511">IF($E511="","", XLOOKUP(SUMIFS(Prod_Prop!$A:$A,Prod_Prop!$B:$B,$E511,Prod_Prop!$H:$H,U$1,Prod_Prop!$I:$I,"Exacto"),Prod_Prop!$A:$A,Prod_Prop!$J:$J,"",0,1))</f>
        <v/>
      </c>
      <c r="V511" s="4" t="str">
        <f t="array" ref="V511">IF($E511="","", XLOOKUP(SUMIFS(Prod_Prop!$A:$A,Prod_Prop!$B:$B,$E511,Prod_Prop!$H:$H,V$1,Prod_Prop!$I:$I,"Exacto"),Prod_Prop!$A:$A,Prod_Prop!$J:$J,"",0,1))</f>
        <v/>
      </c>
      <c r="X511" s="3" t="str">
        <f>IFERROR(__xludf.DUMMYFUNCTION("IF(D511="""","""",IFERROR(TRANSPOSE(FILTER('Validaciones Cotizador'!U:U,'Validaciones Cotizador'!O:O=D511,'Validaciones Cotizador'!T:T=""x"")),""Finalizar""))"),"")</f>
        <v/>
      </c>
    </row>
    <row r="512">
      <c r="A512" s="2" t="str">
        <f t="array" ref="A512">IF(E512="","",XLOOKUP(D512,'Validaciones Cotizador'!C:C,'Validaciones Cotizador'!A:A,"",0,1))</f>
        <v/>
      </c>
      <c r="B512" s="2" t="str">
        <f t="array" ref="B512">IF(F512="","",XLOOKUP(F512,Productos!E:E,Productos!G:G,"",0,1))</f>
        <v/>
      </c>
      <c r="C512" s="2" t="str">
        <f>IF(A512="","",SUMIFS('Validaciones Cotizador'!B:B,'Validaciones Cotizador'!C:C,D512,'Validaciones Cotizador'!A:A,A512))</f>
        <v/>
      </c>
      <c r="D512" s="4" t="str">
        <f>IFERROR(__xludf.DUMMYFUNCTION("IF(OR(F511=""Finalizar"",F511="""",F511=""Selecciona..""),"""",IF(OR(F511=""-"",INDEX(filter(Familias!F:F,Familias!D:D=A511,Familias!E:E=C511),1)=""O""),D511+1,D511))"),"")</f>
        <v/>
      </c>
      <c r="E512" s="2" t="str">
        <f>IF(OR(F512="",F512="Selecciona.."),"",IF(D512="Implemento",SUMIF(Implementos!B:B,F512,Implementos!A:A),SUMIF(Productos!E:E,F512,Productos!A:A)))</f>
        <v/>
      </c>
      <c r="F512" s="2" t="str">
        <f t="shared" si="2"/>
        <v/>
      </c>
      <c r="G512" s="10" t="str">
        <f t="array" ref="G512">IF(OR(F512="",F512="-",F512="Selecciona..",F512="Finalizar"),"",IF(A512="Rodados",XLOOKUP(B512,'Validaciones Cotizador'!I:I,'Validaciones Cotizador'!J:J,0,0,1),1))</f>
        <v/>
      </c>
      <c r="H512" s="11" t="str">
        <f>IF(OR(F512="",F512="Selecciona.."),"",SUMIF(Precio_Productos!K:K,E512,Precio_Productos!J:J)*G512)</f>
        <v/>
      </c>
      <c r="I512" s="4" t="str">
        <f t="array" ref="I512">IF($E512="","", XLOOKUP(SUMIFS(Prod_Prop!$A:$A,Prod_Prop!$B:$B,$E512,Prod_Prop!$H:$H,I$1,Prod_Prop!$I:$I,"Exacto"),Prod_Prop!$A:$A,Prod_Prop!$J:$J,"",0,1))</f>
        <v/>
      </c>
      <c r="J512" s="4" t="str">
        <f t="array" ref="J512">IF($E512="","", XLOOKUP(SUMIFS(Prod_Prop!$A:$A,Prod_Prop!$B:$B,$E512,Prod_Prop!$H:$H,J$1,Prod_Prop!$I:$I,"Exacto"),Prod_Prop!$A:$A,Prod_Prop!$J:$J,"",0,1))</f>
        <v/>
      </c>
      <c r="K512" s="4" t="str">
        <f t="array" ref="K512">IF($E512="","", XLOOKUP(SUMIFS(Prod_Prop!$A:$A,Prod_Prop!$B:$B,$E512,Prod_Prop!$H:$H,K$1,Prod_Prop!$I:$I,"Exacto"),Prod_Prop!$A:$A,Prod_Prop!$J:$J,"",0,1))</f>
        <v/>
      </c>
      <c r="L512" s="4" t="str">
        <f t="array" ref="L512">IF($E512="","", XLOOKUP(SUMIFS(Prod_Prop!$A:$A,Prod_Prop!$B:$B,$E512,Prod_Prop!$H:$H,L$1,Prod_Prop!$I:$I,"Exacto"),Prod_Prop!$A:$A,Prod_Prop!$J:$J,"",0,1))</f>
        <v/>
      </c>
      <c r="M512" s="4" t="str">
        <f t="array" ref="M512">IF($E512="","", XLOOKUP(SUMIFS(Prod_Prop!$A:$A,Prod_Prop!$B:$B,$E512,Prod_Prop!$H:$H,M$1,Prod_Prop!$I:$I,"Exacto"),Prod_Prop!$A:$A,Prod_Prop!$J:$J,"",0,1))</f>
        <v/>
      </c>
      <c r="N512" s="4" t="str">
        <f t="array" ref="N512">IF($E512="","", XLOOKUP(SUMIFS(Prod_Prop!$A:$A,Prod_Prop!$B:$B,$E512,Prod_Prop!$H:$H,N$1,Prod_Prop!$I:$I,"Exacto"),Prod_Prop!$A:$A,Prod_Prop!$J:$J,"",0,1))</f>
        <v/>
      </c>
      <c r="O512" s="4" t="str">
        <f t="array" ref="O512">IF($E512="","", XLOOKUP(SUMIFS(Prod_Prop!$A:$A,Prod_Prop!$B:$B,$E512,Prod_Prop!$H:$H,O$1,Prod_Prop!$I:$I,"Exacto"),Prod_Prop!$A:$A,Prod_Prop!$J:$J,"",0,1))</f>
        <v/>
      </c>
      <c r="P512" s="4" t="str">
        <f t="array" ref="P512">IF($E512="","", XLOOKUP(SUMIFS(Prod_Prop!$A:$A,Prod_Prop!$B:$B,$E512,Prod_Prop!$H:$H,P$1,Prod_Prop!$I:$I,"Exacto"),Prod_Prop!$A:$A,Prod_Prop!$J:$J,"",0,1))</f>
        <v/>
      </c>
      <c r="Q512" s="4" t="str">
        <f t="array" ref="Q512">IF($E512="","", XLOOKUP(SUMIFS(Prod_Prop!$A:$A,Prod_Prop!$B:$B,$E512,Prod_Prop!$H:$H,Q$1,Prod_Prop!$I:$I,"Exacto"),Prod_Prop!$A:$A,Prod_Prop!$J:$J,"",0,1))</f>
        <v/>
      </c>
      <c r="R512" s="4" t="str">
        <f t="array" ref="R512">IF($E512="","", XLOOKUP(SUMIFS(Prod_Prop!$A:$A,Prod_Prop!$B:$B,$E512,Prod_Prop!$H:$H,R$1,Prod_Prop!$I:$I,"Exacto"),Prod_Prop!$A:$A,Prod_Prop!$J:$J,"",0,1))</f>
        <v/>
      </c>
      <c r="S512" s="4" t="str">
        <f t="array" ref="S512">IF($E512="","", XLOOKUP(SUMIFS(Prod_Prop!$A:$A,Prod_Prop!$B:$B,$E512,Prod_Prop!$H:$H,S$1,Prod_Prop!$I:$I,"Exacto"),Prod_Prop!$A:$A,Prod_Prop!$J:$J,"",0,1))</f>
        <v/>
      </c>
      <c r="T512" s="4" t="str">
        <f t="array" ref="T512">IF($E512="","", XLOOKUP(SUMIFS(Prod_Prop!$A:$A,Prod_Prop!$B:$B,$E512,Prod_Prop!$H:$H,T$1,Prod_Prop!$I:$I,"Exacto"),Prod_Prop!$A:$A,Prod_Prop!$J:$J,"",0,1))</f>
        <v/>
      </c>
      <c r="U512" s="4" t="str">
        <f t="array" ref="U512">IF($E512="","", XLOOKUP(SUMIFS(Prod_Prop!$A:$A,Prod_Prop!$B:$B,$E512,Prod_Prop!$H:$H,U$1,Prod_Prop!$I:$I,"Exacto"),Prod_Prop!$A:$A,Prod_Prop!$J:$J,"",0,1))</f>
        <v/>
      </c>
      <c r="V512" s="4" t="str">
        <f t="array" ref="V512">IF($E512="","", XLOOKUP(SUMIFS(Prod_Prop!$A:$A,Prod_Prop!$B:$B,$E512,Prod_Prop!$H:$H,V$1,Prod_Prop!$I:$I,"Exacto"),Prod_Prop!$A:$A,Prod_Prop!$J:$J,"",0,1))</f>
        <v/>
      </c>
      <c r="X512" s="3" t="str">
        <f>IFERROR(__xludf.DUMMYFUNCTION("IF(D512="""","""",IFERROR(TRANSPOSE(FILTER('Validaciones Cotizador'!U:U,'Validaciones Cotizador'!O:O=D512,'Validaciones Cotizador'!T:T=""x"")),""Finalizar""))"),"")</f>
        <v/>
      </c>
    </row>
    <row r="513">
      <c r="A513" s="2" t="str">
        <f t="array" ref="A513">IF(E513="","",XLOOKUP(D513,'Validaciones Cotizador'!C:C,'Validaciones Cotizador'!A:A,"",0,1))</f>
        <v/>
      </c>
      <c r="B513" s="2" t="str">
        <f t="array" ref="B513">IF(F513="","",XLOOKUP(F513,Productos!E:E,Productos!G:G,"",0,1))</f>
        <v/>
      </c>
      <c r="C513" s="2" t="str">
        <f>IF(A513="","",SUMIFS('Validaciones Cotizador'!B:B,'Validaciones Cotizador'!C:C,D513,'Validaciones Cotizador'!A:A,A513))</f>
        <v/>
      </c>
      <c r="D513" s="4" t="str">
        <f>IFERROR(__xludf.DUMMYFUNCTION("IF(OR(F512=""Finalizar"",F512="""",F512=""Selecciona..""),"""",IF(OR(F512=""-"",INDEX(filter(Familias!F:F,Familias!D:D=A512,Familias!E:E=C512),1)=""O""),D512+1,D512))"),"")</f>
        <v/>
      </c>
      <c r="E513" s="2" t="str">
        <f>IF(OR(F513="",F513="Selecciona.."),"",IF(D513="Implemento",SUMIF(Implementos!B:B,F513,Implementos!A:A),SUMIF(Productos!E:E,F513,Productos!A:A)))</f>
        <v/>
      </c>
      <c r="F513" s="2" t="str">
        <f t="shared" si="2"/>
        <v/>
      </c>
      <c r="G513" s="10" t="str">
        <f t="array" ref="G513">IF(OR(F513="",F513="-",F513="Selecciona..",F513="Finalizar"),"",IF(A513="Rodados",XLOOKUP(B513,'Validaciones Cotizador'!I:I,'Validaciones Cotizador'!J:J,0,0,1),1))</f>
        <v/>
      </c>
      <c r="H513" s="11" t="str">
        <f>IF(OR(F513="",F513="Selecciona.."),"",SUMIF(Precio_Productos!K:K,E513,Precio_Productos!J:J)*G513)</f>
        <v/>
      </c>
      <c r="I513" s="4" t="str">
        <f t="array" ref="I513">IF($E513="","", XLOOKUP(SUMIFS(Prod_Prop!$A:$A,Prod_Prop!$B:$B,$E513,Prod_Prop!$H:$H,I$1,Prod_Prop!$I:$I,"Exacto"),Prod_Prop!$A:$A,Prod_Prop!$J:$J,"",0,1))</f>
        <v/>
      </c>
      <c r="J513" s="4" t="str">
        <f t="array" ref="J513">IF($E513="","", XLOOKUP(SUMIFS(Prod_Prop!$A:$A,Prod_Prop!$B:$B,$E513,Prod_Prop!$H:$H,J$1,Prod_Prop!$I:$I,"Exacto"),Prod_Prop!$A:$A,Prod_Prop!$J:$J,"",0,1))</f>
        <v/>
      </c>
      <c r="K513" s="4" t="str">
        <f t="array" ref="K513">IF($E513="","", XLOOKUP(SUMIFS(Prod_Prop!$A:$A,Prod_Prop!$B:$B,$E513,Prod_Prop!$H:$H,K$1,Prod_Prop!$I:$I,"Exacto"),Prod_Prop!$A:$A,Prod_Prop!$J:$J,"",0,1))</f>
        <v/>
      </c>
      <c r="L513" s="4" t="str">
        <f t="array" ref="L513">IF($E513="","", XLOOKUP(SUMIFS(Prod_Prop!$A:$A,Prod_Prop!$B:$B,$E513,Prod_Prop!$H:$H,L$1,Prod_Prop!$I:$I,"Exacto"),Prod_Prop!$A:$A,Prod_Prop!$J:$J,"",0,1))</f>
        <v/>
      </c>
      <c r="M513" s="4" t="str">
        <f t="array" ref="M513">IF($E513="","", XLOOKUP(SUMIFS(Prod_Prop!$A:$A,Prod_Prop!$B:$B,$E513,Prod_Prop!$H:$H,M$1,Prod_Prop!$I:$I,"Exacto"),Prod_Prop!$A:$A,Prod_Prop!$J:$J,"",0,1))</f>
        <v/>
      </c>
      <c r="N513" s="4" t="str">
        <f t="array" ref="N513">IF($E513="","", XLOOKUP(SUMIFS(Prod_Prop!$A:$A,Prod_Prop!$B:$B,$E513,Prod_Prop!$H:$H,N$1,Prod_Prop!$I:$I,"Exacto"),Prod_Prop!$A:$A,Prod_Prop!$J:$J,"",0,1))</f>
        <v/>
      </c>
      <c r="O513" s="4" t="str">
        <f t="array" ref="O513">IF($E513="","", XLOOKUP(SUMIFS(Prod_Prop!$A:$A,Prod_Prop!$B:$B,$E513,Prod_Prop!$H:$H,O$1,Prod_Prop!$I:$I,"Exacto"),Prod_Prop!$A:$A,Prod_Prop!$J:$J,"",0,1))</f>
        <v/>
      </c>
      <c r="P513" s="4" t="str">
        <f t="array" ref="P513">IF($E513="","", XLOOKUP(SUMIFS(Prod_Prop!$A:$A,Prod_Prop!$B:$B,$E513,Prod_Prop!$H:$H,P$1,Prod_Prop!$I:$I,"Exacto"),Prod_Prop!$A:$A,Prod_Prop!$J:$J,"",0,1))</f>
        <v/>
      </c>
      <c r="Q513" s="4" t="str">
        <f t="array" ref="Q513">IF($E513="","", XLOOKUP(SUMIFS(Prod_Prop!$A:$A,Prod_Prop!$B:$B,$E513,Prod_Prop!$H:$H,Q$1,Prod_Prop!$I:$I,"Exacto"),Prod_Prop!$A:$A,Prod_Prop!$J:$J,"",0,1))</f>
        <v/>
      </c>
      <c r="R513" s="4" t="str">
        <f t="array" ref="R513">IF($E513="","", XLOOKUP(SUMIFS(Prod_Prop!$A:$A,Prod_Prop!$B:$B,$E513,Prod_Prop!$H:$H,R$1,Prod_Prop!$I:$I,"Exacto"),Prod_Prop!$A:$A,Prod_Prop!$J:$J,"",0,1))</f>
        <v/>
      </c>
      <c r="S513" s="4" t="str">
        <f t="array" ref="S513">IF($E513="","", XLOOKUP(SUMIFS(Prod_Prop!$A:$A,Prod_Prop!$B:$B,$E513,Prod_Prop!$H:$H,S$1,Prod_Prop!$I:$I,"Exacto"),Prod_Prop!$A:$A,Prod_Prop!$J:$J,"",0,1))</f>
        <v/>
      </c>
      <c r="T513" s="4" t="str">
        <f t="array" ref="T513">IF($E513="","", XLOOKUP(SUMIFS(Prod_Prop!$A:$A,Prod_Prop!$B:$B,$E513,Prod_Prop!$H:$H,T$1,Prod_Prop!$I:$I,"Exacto"),Prod_Prop!$A:$A,Prod_Prop!$J:$J,"",0,1))</f>
        <v/>
      </c>
      <c r="U513" s="4" t="str">
        <f t="array" ref="U513">IF($E513="","", XLOOKUP(SUMIFS(Prod_Prop!$A:$A,Prod_Prop!$B:$B,$E513,Prod_Prop!$H:$H,U$1,Prod_Prop!$I:$I,"Exacto"),Prod_Prop!$A:$A,Prod_Prop!$J:$J,"",0,1))</f>
        <v/>
      </c>
      <c r="V513" s="4" t="str">
        <f t="array" ref="V513">IF($E513="","", XLOOKUP(SUMIFS(Prod_Prop!$A:$A,Prod_Prop!$B:$B,$E513,Prod_Prop!$H:$H,V$1,Prod_Prop!$I:$I,"Exacto"),Prod_Prop!$A:$A,Prod_Prop!$J:$J,"",0,1))</f>
        <v/>
      </c>
      <c r="X513" s="3" t="str">
        <f>IFERROR(__xludf.DUMMYFUNCTION("IF(D513="""","""",IFERROR(TRANSPOSE(FILTER('Validaciones Cotizador'!U:U,'Validaciones Cotizador'!O:O=D513,'Validaciones Cotizador'!T:T=""x"")),""Finalizar""))"),"")</f>
        <v/>
      </c>
    </row>
    <row r="514">
      <c r="A514" s="2" t="str">
        <f t="array" ref="A514">IF(E514="","",XLOOKUP(D514,'Validaciones Cotizador'!C:C,'Validaciones Cotizador'!A:A,"",0,1))</f>
        <v/>
      </c>
      <c r="B514" s="2" t="str">
        <f t="array" ref="B514">IF(F514="","",XLOOKUP(F514,Productos!E:E,Productos!G:G,"",0,1))</f>
        <v/>
      </c>
      <c r="C514" s="2" t="str">
        <f>IF(A514="","",SUMIFS('Validaciones Cotizador'!B:B,'Validaciones Cotizador'!C:C,D514,'Validaciones Cotizador'!A:A,A514))</f>
        <v/>
      </c>
      <c r="D514" s="4" t="str">
        <f>IFERROR(__xludf.DUMMYFUNCTION("IF(OR(F513=""Finalizar"",F513="""",F513=""Selecciona..""),"""",IF(OR(F513=""-"",INDEX(filter(Familias!F:F,Familias!D:D=A513,Familias!E:E=C513),1)=""O""),D513+1,D513))"),"")</f>
        <v/>
      </c>
      <c r="E514" s="2" t="str">
        <f>IF(OR(F514="",F514="Selecciona.."),"",IF(D514="Implemento",SUMIF(Implementos!B:B,F514,Implementos!A:A),SUMIF(Productos!E:E,F514,Productos!A:A)))</f>
        <v/>
      </c>
      <c r="F514" s="2" t="str">
        <f t="shared" si="2"/>
        <v/>
      </c>
      <c r="G514" s="10" t="str">
        <f t="array" ref="G514">IF(OR(F514="",F514="-",F514="Selecciona..",F514="Finalizar"),"",IF(A514="Rodados",XLOOKUP(B514,'Validaciones Cotizador'!I:I,'Validaciones Cotizador'!J:J,0,0,1),1))</f>
        <v/>
      </c>
      <c r="H514" s="11" t="str">
        <f>IF(OR(F514="",F514="Selecciona.."),"",SUMIF(Precio_Productos!K:K,E514,Precio_Productos!J:J)*G514)</f>
        <v/>
      </c>
      <c r="I514" s="4" t="str">
        <f t="array" ref="I514">IF($E514="","", XLOOKUP(SUMIFS(Prod_Prop!$A:$A,Prod_Prop!$B:$B,$E514,Prod_Prop!$H:$H,I$1,Prod_Prop!$I:$I,"Exacto"),Prod_Prop!$A:$A,Prod_Prop!$J:$J,"",0,1))</f>
        <v/>
      </c>
      <c r="J514" s="4" t="str">
        <f t="array" ref="J514">IF($E514="","", XLOOKUP(SUMIFS(Prod_Prop!$A:$A,Prod_Prop!$B:$B,$E514,Prod_Prop!$H:$H,J$1,Prod_Prop!$I:$I,"Exacto"),Prod_Prop!$A:$A,Prod_Prop!$J:$J,"",0,1))</f>
        <v/>
      </c>
      <c r="K514" s="4" t="str">
        <f t="array" ref="K514">IF($E514="","", XLOOKUP(SUMIFS(Prod_Prop!$A:$A,Prod_Prop!$B:$B,$E514,Prod_Prop!$H:$H,K$1,Prod_Prop!$I:$I,"Exacto"),Prod_Prop!$A:$A,Prod_Prop!$J:$J,"",0,1))</f>
        <v/>
      </c>
      <c r="L514" s="4" t="str">
        <f t="array" ref="L514">IF($E514="","", XLOOKUP(SUMIFS(Prod_Prop!$A:$A,Prod_Prop!$B:$B,$E514,Prod_Prop!$H:$H,L$1,Prod_Prop!$I:$I,"Exacto"),Prod_Prop!$A:$A,Prod_Prop!$J:$J,"",0,1))</f>
        <v/>
      </c>
      <c r="M514" s="4" t="str">
        <f t="array" ref="M514">IF($E514="","", XLOOKUP(SUMIFS(Prod_Prop!$A:$A,Prod_Prop!$B:$B,$E514,Prod_Prop!$H:$H,M$1,Prod_Prop!$I:$I,"Exacto"),Prod_Prop!$A:$A,Prod_Prop!$J:$J,"",0,1))</f>
        <v/>
      </c>
      <c r="N514" s="4" t="str">
        <f t="array" ref="N514">IF($E514="","", XLOOKUP(SUMIFS(Prod_Prop!$A:$A,Prod_Prop!$B:$B,$E514,Prod_Prop!$H:$H,N$1,Prod_Prop!$I:$I,"Exacto"),Prod_Prop!$A:$A,Prod_Prop!$J:$J,"",0,1))</f>
        <v/>
      </c>
      <c r="O514" s="4" t="str">
        <f t="array" ref="O514">IF($E514="","", XLOOKUP(SUMIFS(Prod_Prop!$A:$A,Prod_Prop!$B:$B,$E514,Prod_Prop!$H:$H,O$1,Prod_Prop!$I:$I,"Exacto"),Prod_Prop!$A:$A,Prod_Prop!$J:$J,"",0,1))</f>
        <v/>
      </c>
      <c r="P514" s="4" t="str">
        <f t="array" ref="P514">IF($E514="","", XLOOKUP(SUMIFS(Prod_Prop!$A:$A,Prod_Prop!$B:$B,$E514,Prod_Prop!$H:$H,P$1,Prod_Prop!$I:$I,"Exacto"),Prod_Prop!$A:$A,Prod_Prop!$J:$J,"",0,1))</f>
        <v/>
      </c>
      <c r="Q514" s="4" t="str">
        <f t="array" ref="Q514">IF($E514="","", XLOOKUP(SUMIFS(Prod_Prop!$A:$A,Prod_Prop!$B:$B,$E514,Prod_Prop!$H:$H,Q$1,Prod_Prop!$I:$I,"Exacto"),Prod_Prop!$A:$A,Prod_Prop!$J:$J,"",0,1))</f>
        <v/>
      </c>
      <c r="R514" s="4" t="str">
        <f t="array" ref="R514">IF($E514="","", XLOOKUP(SUMIFS(Prod_Prop!$A:$A,Prod_Prop!$B:$B,$E514,Prod_Prop!$H:$H,R$1,Prod_Prop!$I:$I,"Exacto"),Prod_Prop!$A:$A,Prod_Prop!$J:$J,"",0,1))</f>
        <v/>
      </c>
      <c r="S514" s="4" t="str">
        <f t="array" ref="S514">IF($E514="","", XLOOKUP(SUMIFS(Prod_Prop!$A:$A,Prod_Prop!$B:$B,$E514,Prod_Prop!$H:$H,S$1,Prod_Prop!$I:$I,"Exacto"),Prod_Prop!$A:$A,Prod_Prop!$J:$J,"",0,1))</f>
        <v/>
      </c>
      <c r="T514" s="4" t="str">
        <f t="array" ref="T514">IF($E514="","", XLOOKUP(SUMIFS(Prod_Prop!$A:$A,Prod_Prop!$B:$B,$E514,Prod_Prop!$H:$H,T$1,Prod_Prop!$I:$I,"Exacto"),Prod_Prop!$A:$A,Prod_Prop!$J:$J,"",0,1))</f>
        <v/>
      </c>
      <c r="U514" s="4" t="str">
        <f t="array" ref="U514">IF($E514="","", XLOOKUP(SUMIFS(Prod_Prop!$A:$A,Prod_Prop!$B:$B,$E514,Prod_Prop!$H:$H,U$1,Prod_Prop!$I:$I,"Exacto"),Prod_Prop!$A:$A,Prod_Prop!$J:$J,"",0,1))</f>
        <v/>
      </c>
      <c r="V514" s="4" t="str">
        <f t="array" ref="V514">IF($E514="","", XLOOKUP(SUMIFS(Prod_Prop!$A:$A,Prod_Prop!$B:$B,$E514,Prod_Prop!$H:$H,V$1,Prod_Prop!$I:$I,"Exacto"),Prod_Prop!$A:$A,Prod_Prop!$J:$J,"",0,1))</f>
        <v/>
      </c>
      <c r="X514" s="3" t="str">
        <f>IFERROR(__xludf.DUMMYFUNCTION("IF(D514="""","""",IFERROR(TRANSPOSE(FILTER('Validaciones Cotizador'!U:U,'Validaciones Cotizador'!O:O=D514,'Validaciones Cotizador'!T:T=""x"")),""Finalizar""))"),"")</f>
        <v/>
      </c>
    </row>
    <row r="515">
      <c r="A515" s="2" t="str">
        <f t="array" ref="A515">IF(E515="","",XLOOKUP(D515,'Validaciones Cotizador'!C:C,'Validaciones Cotizador'!A:A,"",0,1))</f>
        <v/>
      </c>
      <c r="B515" s="2" t="str">
        <f t="array" ref="B515">IF(F515="","",XLOOKUP(F515,Productos!E:E,Productos!G:G,"",0,1))</f>
        <v/>
      </c>
      <c r="C515" s="2" t="str">
        <f>IF(A515="","",SUMIFS('Validaciones Cotizador'!B:B,'Validaciones Cotizador'!C:C,D515,'Validaciones Cotizador'!A:A,A515))</f>
        <v/>
      </c>
      <c r="D515" s="4" t="str">
        <f>IFERROR(__xludf.DUMMYFUNCTION("IF(OR(F514=""Finalizar"",F514="""",F514=""Selecciona..""),"""",IF(OR(F514=""-"",INDEX(filter(Familias!F:F,Familias!D:D=A514,Familias!E:E=C514),1)=""O""),D514+1,D514))"),"")</f>
        <v/>
      </c>
      <c r="E515" s="2" t="str">
        <f>IF(OR(F515="",F515="Selecciona.."),"",IF(D515="Implemento",SUMIF(Implementos!B:B,F515,Implementos!A:A),SUMIF(Productos!E:E,F515,Productos!A:A)))</f>
        <v/>
      </c>
      <c r="F515" s="2" t="str">
        <f t="shared" si="2"/>
        <v/>
      </c>
      <c r="G515" s="10" t="str">
        <f t="array" ref="G515">IF(OR(F515="",F515="-",F515="Selecciona..",F515="Finalizar"),"",IF(A515="Rodados",XLOOKUP(B515,'Validaciones Cotizador'!I:I,'Validaciones Cotizador'!J:J,0,0,1),1))</f>
        <v/>
      </c>
      <c r="H515" s="11" t="str">
        <f>IF(OR(F515="",F515="Selecciona.."),"",SUMIF(Precio_Productos!K:K,E515,Precio_Productos!J:J)*G515)</f>
        <v/>
      </c>
      <c r="I515" s="4" t="str">
        <f t="array" ref="I515">IF($E515="","", XLOOKUP(SUMIFS(Prod_Prop!$A:$A,Prod_Prop!$B:$B,$E515,Prod_Prop!$H:$H,I$1,Prod_Prop!$I:$I,"Exacto"),Prod_Prop!$A:$A,Prod_Prop!$J:$J,"",0,1))</f>
        <v/>
      </c>
      <c r="J515" s="4" t="str">
        <f t="array" ref="J515">IF($E515="","", XLOOKUP(SUMIFS(Prod_Prop!$A:$A,Prod_Prop!$B:$B,$E515,Prod_Prop!$H:$H,J$1,Prod_Prop!$I:$I,"Exacto"),Prod_Prop!$A:$A,Prod_Prop!$J:$J,"",0,1))</f>
        <v/>
      </c>
      <c r="K515" s="4" t="str">
        <f t="array" ref="K515">IF($E515="","", XLOOKUP(SUMIFS(Prod_Prop!$A:$A,Prod_Prop!$B:$B,$E515,Prod_Prop!$H:$H,K$1,Prod_Prop!$I:$I,"Exacto"),Prod_Prop!$A:$A,Prod_Prop!$J:$J,"",0,1))</f>
        <v/>
      </c>
      <c r="L515" s="4" t="str">
        <f t="array" ref="L515">IF($E515="","", XLOOKUP(SUMIFS(Prod_Prop!$A:$A,Prod_Prop!$B:$B,$E515,Prod_Prop!$H:$H,L$1,Prod_Prop!$I:$I,"Exacto"),Prod_Prop!$A:$A,Prod_Prop!$J:$J,"",0,1))</f>
        <v/>
      </c>
      <c r="M515" s="4" t="str">
        <f t="array" ref="M515">IF($E515="","", XLOOKUP(SUMIFS(Prod_Prop!$A:$A,Prod_Prop!$B:$B,$E515,Prod_Prop!$H:$H,M$1,Prod_Prop!$I:$I,"Exacto"),Prod_Prop!$A:$A,Prod_Prop!$J:$J,"",0,1))</f>
        <v/>
      </c>
      <c r="N515" s="4" t="str">
        <f t="array" ref="N515">IF($E515="","", XLOOKUP(SUMIFS(Prod_Prop!$A:$A,Prod_Prop!$B:$B,$E515,Prod_Prop!$H:$H,N$1,Prod_Prop!$I:$I,"Exacto"),Prod_Prop!$A:$A,Prod_Prop!$J:$J,"",0,1))</f>
        <v/>
      </c>
      <c r="O515" s="4" t="str">
        <f t="array" ref="O515">IF($E515="","", XLOOKUP(SUMIFS(Prod_Prop!$A:$A,Prod_Prop!$B:$B,$E515,Prod_Prop!$H:$H,O$1,Prod_Prop!$I:$I,"Exacto"),Prod_Prop!$A:$A,Prod_Prop!$J:$J,"",0,1))</f>
        <v/>
      </c>
      <c r="P515" s="4" t="str">
        <f t="array" ref="P515">IF($E515="","", XLOOKUP(SUMIFS(Prod_Prop!$A:$A,Prod_Prop!$B:$B,$E515,Prod_Prop!$H:$H,P$1,Prod_Prop!$I:$I,"Exacto"),Prod_Prop!$A:$A,Prod_Prop!$J:$J,"",0,1))</f>
        <v/>
      </c>
      <c r="Q515" s="4" t="str">
        <f t="array" ref="Q515">IF($E515="","", XLOOKUP(SUMIFS(Prod_Prop!$A:$A,Prod_Prop!$B:$B,$E515,Prod_Prop!$H:$H,Q$1,Prod_Prop!$I:$I,"Exacto"),Prod_Prop!$A:$A,Prod_Prop!$J:$J,"",0,1))</f>
        <v/>
      </c>
      <c r="R515" s="4" t="str">
        <f t="array" ref="R515">IF($E515="","", XLOOKUP(SUMIFS(Prod_Prop!$A:$A,Prod_Prop!$B:$B,$E515,Prod_Prop!$H:$H,R$1,Prod_Prop!$I:$I,"Exacto"),Prod_Prop!$A:$A,Prod_Prop!$J:$J,"",0,1))</f>
        <v/>
      </c>
      <c r="S515" s="4" t="str">
        <f t="array" ref="S515">IF($E515="","", XLOOKUP(SUMIFS(Prod_Prop!$A:$A,Prod_Prop!$B:$B,$E515,Prod_Prop!$H:$H,S$1,Prod_Prop!$I:$I,"Exacto"),Prod_Prop!$A:$A,Prod_Prop!$J:$J,"",0,1))</f>
        <v/>
      </c>
      <c r="T515" s="4" t="str">
        <f t="array" ref="T515">IF($E515="","", XLOOKUP(SUMIFS(Prod_Prop!$A:$A,Prod_Prop!$B:$B,$E515,Prod_Prop!$H:$H,T$1,Prod_Prop!$I:$I,"Exacto"),Prod_Prop!$A:$A,Prod_Prop!$J:$J,"",0,1))</f>
        <v/>
      </c>
      <c r="U515" s="4" t="str">
        <f t="array" ref="U515">IF($E515="","", XLOOKUP(SUMIFS(Prod_Prop!$A:$A,Prod_Prop!$B:$B,$E515,Prod_Prop!$H:$H,U$1,Prod_Prop!$I:$I,"Exacto"),Prod_Prop!$A:$A,Prod_Prop!$J:$J,"",0,1))</f>
        <v/>
      </c>
      <c r="V515" s="4" t="str">
        <f t="array" ref="V515">IF($E515="","", XLOOKUP(SUMIFS(Prod_Prop!$A:$A,Prod_Prop!$B:$B,$E515,Prod_Prop!$H:$H,V$1,Prod_Prop!$I:$I,"Exacto"),Prod_Prop!$A:$A,Prod_Prop!$J:$J,"",0,1))</f>
        <v/>
      </c>
      <c r="X515" s="3" t="str">
        <f>IFERROR(__xludf.DUMMYFUNCTION("IF(D515="""","""",IFERROR(TRANSPOSE(FILTER('Validaciones Cotizador'!U:U,'Validaciones Cotizador'!O:O=D515,'Validaciones Cotizador'!T:T=""x"")),""Finalizar""))"),"")</f>
        <v/>
      </c>
    </row>
    <row r="516">
      <c r="A516" s="2" t="str">
        <f t="array" ref="A516">IF(E516="","",XLOOKUP(D516,'Validaciones Cotizador'!C:C,'Validaciones Cotizador'!A:A,"",0,1))</f>
        <v/>
      </c>
      <c r="B516" s="2" t="str">
        <f t="array" ref="B516">IF(F516="","",XLOOKUP(F516,Productos!E:E,Productos!G:G,"",0,1))</f>
        <v/>
      </c>
      <c r="C516" s="2" t="str">
        <f>IF(A516="","",SUMIFS('Validaciones Cotizador'!B:B,'Validaciones Cotizador'!C:C,D516,'Validaciones Cotizador'!A:A,A516))</f>
        <v/>
      </c>
      <c r="D516" s="4" t="str">
        <f>IFERROR(__xludf.DUMMYFUNCTION("IF(OR(F515=""Finalizar"",F515="""",F515=""Selecciona..""),"""",IF(OR(F515=""-"",INDEX(filter(Familias!F:F,Familias!D:D=A515,Familias!E:E=C515),1)=""O""),D515+1,D515))"),"")</f>
        <v/>
      </c>
      <c r="E516" s="2" t="str">
        <f>IF(OR(F516="",F516="Selecciona.."),"",IF(D516="Implemento",SUMIF(Implementos!B:B,F516,Implementos!A:A),SUMIF(Productos!E:E,F516,Productos!A:A)))</f>
        <v/>
      </c>
      <c r="F516" s="2" t="str">
        <f t="shared" si="2"/>
        <v/>
      </c>
      <c r="G516" s="10" t="str">
        <f t="array" ref="G516">IF(OR(F516="",F516="-",F516="Selecciona..",F516="Finalizar"),"",IF(A516="Rodados",XLOOKUP(B516,'Validaciones Cotizador'!I:I,'Validaciones Cotizador'!J:J,0,0,1),1))</f>
        <v/>
      </c>
      <c r="H516" s="11" t="str">
        <f>IF(OR(F516="",F516="Selecciona.."),"",SUMIF(Precio_Productos!K:K,E516,Precio_Productos!J:J)*G516)</f>
        <v/>
      </c>
      <c r="I516" s="4" t="str">
        <f t="array" ref="I516">IF($E516="","", XLOOKUP(SUMIFS(Prod_Prop!$A:$A,Prod_Prop!$B:$B,$E516,Prod_Prop!$H:$H,I$1,Prod_Prop!$I:$I,"Exacto"),Prod_Prop!$A:$A,Prod_Prop!$J:$J,"",0,1))</f>
        <v/>
      </c>
      <c r="J516" s="4" t="str">
        <f t="array" ref="J516">IF($E516="","", XLOOKUP(SUMIFS(Prod_Prop!$A:$A,Prod_Prop!$B:$B,$E516,Prod_Prop!$H:$H,J$1,Prod_Prop!$I:$I,"Exacto"),Prod_Prop!$A:$A,Prod_Prop!$J:$J,"",0,1))</f>
        <v/>
      </c>
      <c r="K516" s="4" t="str">
        <f t="array" ref="K516">IF($E516="","", XLOOKUP(SUMIFS(Prod_Prop!$A:$A,Prod_Prop!$B:$B,$E516,Prod_Prop!$H:$H,K$1,Prod_Prop!$I:$I,"Exacto"),Prod_Prop!$A:$A,Prod_Prop!$J:$J,"",0,1))</f>
        <v/>
      </c>
      <c r="L516" s="4" t="str">
        <f t="array" ref="L516">IF($E516="","", XLOOKUP(SUMIFS(Prod_Prop!$A:$A,Prod_Prop!$B:$B,$E516,Prod_Prop!$H:$H,L$1,Prod_Prop!$I:$I,"Exacto"),Prod_Prop!$A:$A,Prod_Prop!$J:$J,"",0,1))</f>
        <v/>
      </c>
      <c r="M516" s="4" t="str">
        <f t="array" ref="M516">IF($E516="","", XLOOKUP(SUMIFS(Prod_Prop!$A:$A,Prod_Prop!$B:$B,$E516,Prod_Prop!$H:$H,M$1,Prod_Prop!$I:$I,"Exacto"),Prod_Prop!$A:$A,Prod_Prop!$J:$J,"",0,1))</f>
        <v/>
      </c>
      <c r="N516" s="4" t="str">
        <f t="array" ref="N516">IF($E516="","", XLOOKUP(SUMIFS(Prod_Prop!$A:$A,Prod_Prop!$B:$B,$E516,Prod_Prop!$H:$H,N$1,Prod_Prop!$I:$I,"Exacto"),Prod_Prop!$A:$A,Prod_Prop!$J:$J,"",0,1))</f>
        <v/>
      </c>
      <c r="O516" s="4" t="str">
        <f t="array" ref="O516">IF($E516="","", XLOOKUP(SUMIFS(Prod_Prop!$A:$A,Prod_Prop!$B:$B,$E516,Prod_Prop!$H:$H,O$1,Prod_Prop!$I:$I,"Exacto"),Prod_Prop!$A:$A,Prod_Prop!$J:$J,"",0,1))</f>
        <v/>
      </c>
      <c r="P516" s="4" t="str">
        <f t="array" ref="P516">IF($E516="","", XLOOKUP(SUMIFS(Prod_Prop!$A:$A,Prod_Prop!$B:$B,$E516,Prod_Prop!$H:$H,P$1,Prod_Prop!$I:$I,"Exacto"),Prod_Prop!$A:$A,Prod_Prop!$J:$J,"",0,1))</f>
        <v/>
      </c>
      <c r="Q516" s="4" t="str">
        <f t="array" ref="Q516">IF($E516="","", XLOOKUP(SUMIFS(Prod_Prop!$A:$A,Prod_Prop!$B:$B,$E516,Prod_Prop!$H:$H,Q$1,Prod_Prop!$I:$I,"Exacto"),Prod_Prop!$A:$A,Prod_Prop!$J:$J,"",0,1))</f>
        <v/>
      </c>
      <c r="R516" s="4" t="str">
        <f t="array" ref="R516">IF($E516="","", XLOOKUP(SUMIFS(Prod_Prop!$A:$A,Prod_Prop!$B:$B,$E516,Prod_Prop!$H:$H,R$1,Prod_Prop!$I:$I,"Exacto"),Prod_Prop!$A:$A,Prod_Prop!$J:$J,"",0,1))</f>
        <v/>
      </c>
      <c r="S516" s="4" t="str">
        <f t="array" ref="S516">IF($E516="","", XLOOKUP(SUMIFS(Prod_Prop!$A:$A,Prod_Prop!$B:$B,$E516,Prod_Prop!$H:$H,S$1,Prod_Prop!$I:$I,"Exacto"),Prod_Prop!$A:$A,Prod_Prop!$J:$J,"",0,1))</f>
        <v/>
      </c>
      <c r="T516" s="4" t="str">
        <f t="array" ref="T516">IF($E516="","", XLOOKUP(SUMIFS(Prod_Prop!$A:$A,Prod_Prop!$B:$B,$E516,Prod_Prop!$H:$H,T$1,Prod_Prop!$I:$I,"Exacto"),Prod_Prop!$A:$A,Prod_Prop!$J:$J,"",0,1))</f>
        <v/>
      </c>
      <c r="U516" s="4" t="str">
        <f t="array" ref="U516">IF($E516="","", XLOOKUP(SUMIFS(Prod_Prop!$A:$A,Prod_Prop!$B:$B,$E516,Prod_Prop!$H:$H,U$1,Prod_Prop!$I:$I,"Exacto"),Prod_Prop!$A:$A,Prod_Prop!$J:$J,"",0,1))</f>
        <v/>
      </c>
      <c r="V516" s="4" t="str">
        <f t="array" ref="V516">IF($E516="","", XLOOKUP(SUMIFS(Prod_Prop!$A:$A,Prod_Prop!$B:$B,$E516,Prod_Prop!$H:$H,V$1,Prod_Prop!$I:$I,"Exacto"),Prod_Prop!$A:$A,Prod_Prop!$J:$J,"",0,1))</f>
        <v/>
      </c>
      <c r="X516" s="3" t="str">
        <f>IFERROR(__xludf.DUMMYFUNCTION("IF(D516="""","""",IFERROR(TRANSPOSE(FILTER('Validaciones Cotizador'!U:U,'Validaciones Cotizador'!O:O=D516,'Validaciones Cotizador'!T:T=""x"")),""Finalizar""))"),"")</f>
        <v/>
      </c>
    </row>
    <row r="517">
      <c r="A517" s="2" t="str">
        <f t="array" ref="A517">IF(E517="","",XLOOKUP(D517,'Validaciones Cotizador'!C:C,'Validaciones Cotizador'!A:A,"",0,1))</f>
        <v/>
      </c>
      <c r="B517" s="2" t="str">
        <f t="array" ref="B517">IF(F517="","",XLOOKUP(F517,Productos!E:E,Productos!G:G,"",0,1))</f>
        <v/>
      </c>
      <c r="C517" s="2" t="str">
        <f>IF(A517="","",SUMIFS('Validaciones Cotizador'!B:B,'Validaciones Cotizador'!C:C,D517,'Validaciones Cotizador'!A:A,A517))</f>
        <v/>
      </c>
      <c r="D517" s="4" t="str">
        <f>IFERROR(__xludf.DUMMYFUNCTION("IF(OR(F516=""Finalizar"",F516="""",F516=""Selecciona..""),"""",IF(OR(F516=""-"",INDEX(filter(Familias!F:F,Familias!D:D=A516,Familias!E:E=C516),1)=""O""),D516+1,D516))"),"")</f>
        <v/>
      </c>
      <c r="E517" s="2" t="str">
        <f>IF(OR(F517="",F517="Selecciona.."),"",IF(D517="Implemento",SUMIF(Implementos!B:B,F517,Implementos!A:A),SUMIF(Productos!E:E,F517,Productos!A:A)))</f>
        <v/>
      </c>
      <c r="F517" s="2" t="str">
        <f t="shared" si="2"/>
        <v/>
      </c>
      <c r="G517" s="10" t="str">
        <f t="array" ref="G517">IF(OR(F517="",F517="-",F517="Selecciona..",F517="Finalizar"),"",IF(A517="Rodados",XLOOKUP(B517,'Validaciones Cotizador'!I:I,'Validaciones Cotizador'!J:J,0,0,1),1))</f>
        <v/>
      </c>
      <c r="H517" s="11" t="str">
        <f>IF(OR(F517="",F517="Selecciona.."),"",SUMIF(Precio_Productos!K:K,E517,Precio_Productos!J:J)*G517)</f>
        <v/>
      </c>
      <c r="I517" s="4" t="str">
        <f t="array" ref="I517">IF($E517="","", XLOOKUP(SUMIFS(Prod_Prop!$A:$A,Prod_Prop!$B:$B,$E517,Prod_Prop!$H:$H,I$1,Prod_Prop!$I:$I,"Exacto"),Prod_Prop!$A:$A,Prod_Prop!$J:$J,"",0,1))</f>
        <v/>
      </c>
      <c r="J517" s="4" t="str">
        <f t="array" ref="J517">IF($E517="","", XLOOKUP(SUMIFS(Prod_Prop!$A:$A,Prod_Prop!$B:$B,$E517,Prod_Prop!$H:$H,J$1,Prod_Prop!$I:$I,"Exacto"),Prod_Prop!$A:$A,Prod_Prop!$J:$J,"",0,1))</f>
        <v/>
      </c>
      <c r="K517" s="4" t="str">
        <f t="array" ref="K517">IF($E517="","", XLOOKUP(SUMIFS(Prod_Prop!$A:$A,Prod_Prop!$B:$B,$E517,Prod_Prop!$H:$H,K$1,Prod_Prop!$I:$I,"Exacto"),Prod_Prop!$A:$A,Prod_Prop!$J:$J,"",0,1))</f>
        <v/>
      </c>
      <c r="L517" s="4" t="str">
        <f t="array" ref="L517">IF($E517="","", XLOOKUP(SUMIFS(Prod_Prop!$A:$A,Prod_Prop!$B:$B,$E517,Prod_Prop!$H:$H,L$1,Prod_Prop!$I:$I,"Exacto"),Prod_Prop!$A:$A,Prod_Prop!$J:$J,"",0,1))</f>
        <v/>
      </c>
      <c r="M517" s="4" t="str">
        <f t="array" ref="M517">IF($E517="","", XLOOKUP(SUMIFS(Prod_Prop!$A:$A,Prod_Prop!$B:$B,$E517,Prod_Prop!$H:$H,M$1,Prod_Prop!$I:$I,"Exacto"),Prod_Prop!$A:$A,Prod_Prop!$J:$J,"",0,1))</f>
        <v/>
      </c>
      <c r="N517" s="4" t="str">
        <f t="array" ref="N517">IF($E517="","", XLOOKUP(SUMIFS(Prod_Prop!$A:$A,Prod_Prop!$B:$B,$E517,Prod_Prop!$H:$H,N$1,Prod_Prop!$I:$I,"Exacto"),Prod_Prop!$A:$A,Prod_Prop!$J:$J,"",0,1))</f>
        <v/>
      </c>
      <c r="O517" s="4" t="str">
        <f t="array" ref="O517">IF($E517="","", XLOOKUP(SUMIFS(Prod_Prop!$A:$A,Prod_Prop!$B:$B,$E517,Prod_Prop!$H:$H,O$1,Prod_Prop!$I:$I,"Exacto"),Prod_Prop!$A:$A,Prod_Prop!$J:$J,"",0,1))</f>
        <v/>
      </c>
      <c r="P517" s="4" t="str">
        <f t="array" ref="P517">IF($E517="","", XLOOKUP(SUMIFS(Prod_Prop!$A:$A,Prod_Prop!$B:$B,$E517,Prod_Prop!$H:$H,P$1,Prod_Prop!$I:$I,"Exacto"),Prod_Prop!$A:$A,Prod_Prop!$J:$J,"",0,1))</f>
        <v/>
      </c>
      <c r="Q517" s="4" t="str">
        <f t="array" ref="Q517">IF($E517="","", XLOOKUP(SUMIFS(Prod_Prop!$A:$A,Prod_Prop!$B:$B,$E517,Prod_Prop!$H:$H,Q$1,Prod_Prop!$I:$I,"Exacto"),Prod_Prop!$A:$A,Prod_Prop!$J:$J,"",0,1))</f>
        <v/>
      </c>
      <c r="R517" s="4" t="str">
        <f t="array" ref="R517">IF($E517="","", XLOOKUP(SUMIFS(Prod_Prop!$A:$A,Prod_Prop!$B:$B,$E517,Prod_Prop!$H:$H,R$1,Prod_Prop!$I:$I,"Exacto"),Prod_Prop!$A:$A,Prod_Prop!$J:$J,"",0,1))</f>
        <v/>
      </c>
      <c r="S517" s="4" t="str">
        <f t="array" ref="S517">IF($E517="","", XLOOKUP(SUMIFS(Prod_Prop!$A:$A,Prod_Prop!$B:$B,$E517,Prod_Prop!$H:$H,S$1,Prod_Prop!$I:$I,"Exacto"),Prod_Prop!$A:$A,Prod_Prop!$J:$J,"",0,1))</f>
        <v/>
      </c>
      <c r="T517" s="4" t="str">
        <f t="array" ref="T517">IF($E517="","", XLOOKUP(SUMIFS(Prod_Prop!$A:$A,Prod_Prop!$B:$B,$E517,Prod_Prop!$H:$H,T$1,Prod_Prop!$I:$I,"Exacto"),Prod_Prop!$A:$A,Prod_Prop!$J:$J,"",0,1))</f>
        <v/>
      </c>
      <c r="U517" s="4" t="str">
        <f t="array" ref="U517">IF($E517="","", XLOOKUP(SUMIFS(Prod_Prop!$A:$A,Prod_Prop!$B:$B,$E517,Prod_Prop!$H:$H,U$1,Prod_Prop!$I:$I,"Exacto"),Prod_Prop!$A:$A,Prod_Prop!$J:$J,"",0,1))</f>
        <v/>
      </c>
      <c r="V517" s="4" t="str">
        <f t="array" ref="V517">IF($E517="","", XLOOKUP(SUMIFS(Prod_Prop!$A:$A,Prod_Prop!$B:$B,$E517,Prod_Prop!$H:$H,V$1,Prod_Prop!$I:$I,"Exacto"),Prod_Prop!$A:$A,Prod_Prop!$J:$J,"",0,1))</f>
        <v/>
      </c>
      <c r="X517" s="3" t="str">
        <f>IFERROR(__xludf.DUMMYFUNCTION("IF(D517="""","""",IFERROR(TRANSPOSE(FILTER('Validaciones Cotizador'!U:U,'Validaciones Cotizador'!O:O=D517,'Validaciones Cotizador'!T:T=""x"")),""Finalizar""))"),"")</f>
        <v/>
      </c>
    </row>
    <row r="518">
      <c r="A518" s="2" t="str">
        <f t="array" ref="A518">IF(E518="","",XLOOKUP(D518,'Validaciones Cotizador'!C:C,'Validaciones Cotizador'!A:A,"",0,1))</f>
        <v/>
      </c>
      <c r="B518" s="2" t="str">
        <f t="array" ref="B518">IF(F518="","",XLOOKUP(F518,Productos!E:E,Productos!G:G,"",0,1))</f>
        <v/>
      </c>
      <c r="C518" s="2" t="str">
        <f>IF(A518="","",SUMIFS('Validaciones Cotizador'!B:B,'Validaciones Cotizador'!C:C,D518,'Validaciones Cotizador'!A:A,A518))</f>
        <v/>
      </c>
      <c r="D518" s="4" t="str">
        <f>IFERROR(__xludf.DUMMYFUNCTION("IF(OR(F517=""Finalizar"",F517="""",F517=""Selecciona..""),"""",IF(OR(F517=""-"",INDEX(filter(Familias!F:F,Familias!D:D=A517,Familias!E:E=C517),1)=""O""),D517+1,D517))"),"")</f>
        <v/>
      </c>
      <c r="E518" s="2" t="str">
        <f>IF(OR(F518="",F518="Selecciona.."),"",IF(D518="Implemento",SUMIF(Implementos!B:B,F518,Implementos!A:A),SUMIF(Productos!E:E,F518,Productos!A:A)))</f>
        <v/>
      </c>
      <c r="F518" s="2" t="str">
        <f t="shared" si="2"/>
        <v/>
      </c>
      <c r="G518" s="10" t="str">
        <f t="array" ref="G518">IF(OR(F518="",F518="-",F518="Selecciona..",F518="Finalizar"),"",IF(A518="Rodados",XLOOKUP(B518,'Validaciones Cotizador'!I:I,'Validaciones Cotizador'!J:J,0,0,1),1))</f>
        <v/>
      </c>
      <c r="H518" s="11" t="str">
        <f>IF(OR(F518="",F518="Selecciona.."),"",SUMIF(Precio_Productos!K:K,E518,Precio_Productos!J:J)*G518)</f>
        <v/>
      </c>
      <c r="I518" s="4" t="str">
        <f t="array" ref="I518">IF($E518="","", XLOOKUP(SUMIFS(Prod_Prop!$A:$A,Prod_Prop!$B:$B,$E518,Prod_Prop!$H:$H,I$1,Prod_Prop!$I:$I,"Exacto"),Prod_Prop!$A:$A,Prod_Prop!$J:$J,"",0,1))</f>
        <v/>
      </c>
      <c r="J518" s="4" t="str">
        <f t="array" ref="J518">IF($E518="","", XLOOKUP(SUMIFS(Prod_Prop!$A:$A,Prod_Prop!$B:$B,$E518,Prod_Prop!$H:$H,J$1,Prod_Prop!$I:$I,"Exacto"),Prod_Prop!$A:$A,Prod_Prop!$J:$J,"",0,1))</f>
        <v/>
      </c>
      <c r="K518" s="4" t="str">
        <f t="array" ref="K518">IF($E518="","", XLOOKUP(SUMIFS(Prod_Prop!$A:$A,Prod_Prop!$B:$B,$E518,Prod_Prop!$H:$H,K$1,Prod_Prop!$I:$I,"Exacto"),Prod_Prop!$A:$A,Prod_Prop!$J:$J,"",0,1))</f>
        <v/>
      </c>
      <c r="L518" s="4" t="str">
        <f t="array" ref="L518">IF($E518="","", XLOOKUP(SUMIFS(Prod_Prop!$A:$A,Prod_Prop!$B:$B,$E518,Prod_Prop!$H:$H,L$1,Prod_Prop!$I:$I,"Exacto"),Prod_Prop!$A:$A,Prod_Prop!$J:$J,"",0,1))</f>
        <v/>
      </c>
      <c r="M518" s="4" t="str">
        <f t="array" ref="M518">IF($E518="","", XLOOKUP(SUMIFS(Prod_Prop!$A:$A,Prod_Prop!$B:$B,$E518,Prod_Prop!$H:$H,M$1,Prod_Prop!$I:$I,"Exacto"),Prod_Prop!$A:$A,Prod_Prop!$J:$J,"",0,1))</f>
        <v/>
      </c>
      <c r="N518" s="4" t="str">
        <f t="array" ref="N518">IF($E518="","", XLOOKUP(SUMIFS(Prod_Prop!$A:$A,Prod_Prop!$B:$B,$E518,Prod_Prop!$H:$H,N$1,Prod_Prop!$I:$I,"Exacto"),Prod_Prop!$A:$A,Prod_Prop!$J:$J,"",0,1))</f>
        <v/>
      </c>
      <c r="O518" s="4" t="str">
        <f t="array" ref="O518">IF($E518="","", XLOOKUP(SUMIFS(Prod_Prop!$A:$A,Prod_Prop!$B:$B,$E518,Prod_Prop!$H:$H,O$1,Prod_Prop!$I:$I,"Exacto"),Prod_Prop!$A:$A,Prod_Prop!$J:$J,"",0,1))</f>
        <v/>
      </c>
      <c r="P518" s="4" t="str">
        <f t="array" ref="P518">IF($E518="","", XLOOKUP(SUMIFS(Prod_Prop!$A:$A,Prod_Prop!$B:$B,$E518,Prod_Prop!$H:$H,P$1,Prod_Prop!$I:$I,"Exacto"),Prod_Prop!$A:$A,Prod_Prop!$J:$J,"",0,1))</f>
        <v/>
      </c>
      <c r="Q518" s="4" t="str">
        <f t="array" ref="Q518">IF($E518="","", XLOOKUP(SUMIFS(Prod_Prop!$A:$A,Prod_Prop!$B:$B,$E518,Prod_Prop!$H:$H,Q$1,Prod_Prop!$I:$I,"Exacto"),Prod_Prop!$A:$A,Prod_Prop!$J:$J,"",0,1))</f>
        <v/>
      </c>
      <c r="R518" s="4" t="str">
        <f t="array" ref="R518">IF($E518="","", XLOOKUP(SUMIFS(Prod_Prop!$A:$A,Prod_Prop!$B:$B,$E518,Prod_Prop!$H:$H,R$1,Prod_Prop!$I:$I,"Exacto"),Prod_Prop!$A:$A,Prod_Prop!$J:$J,"",0,1))</f>
        <v/>
      </c>
      <c r="S518" s="4" t="str">
        <f t="array" ref="S518">IF($E518="","", XLOOKUP(SUMIFS(Prod_Prop!$A:$A,Prod_Prop!$B:$B,$E518,Prod_Prop!$H:$H,S$1,Prod_Prop!$I:$I,"Exacto"),Prod_Prop!$A:$A,Prod_Prop!$J:$J,"",0,1))</f>
        <v/>
      </c>
      <c r="T518" s="4" t="str">
        <f t="array" ref="T518">IF($E518="","", XLOOKUP(SUMIFS(Prod_Prop!$A:$A,Prod_Prop!$B:$B,$E518,Prod_Prop!$H:$H,T$1,Prod_Prop!$I:$I,"Exacto"),Prod_Prop!$A:$A,Prod_Prop!$J:$J,"",0,1))</f>
        <v/>
      </c>
      <c r="U518" s="4" t="str">
        <f t="array" ref="U518">IF($E518="","", XLOOKUP(SUMIFS(Prod_Prop!$A:$A,Prod_Prop!$B:$B,$E518,Prod_Prop!$H:$H,U$1,Prod_Prop!$I:$I,"Exacto"),Prod_Prop!$A:$A,Prod_Prop!$J:$J,"",0,1))</f>
        <v/>
      </c>
      <c r="V518" s="4" t="str">
        <f t="array" ref="V518">IF($E518="","", XLOOKUP(SUMIFS(Prod_Prop!$A:$A,Prod_Prop!$B:$B,$E518,Prod_Prop!$H:$H,V$1,Prod_Prop!$I:$I,"Exacto"),Prod_Prop!$A:$A,Prod_Prop!$J:$J,"",0,1))</f>
        <v/>
      </c>
      <c r="X518" s="3" t="str">
        <f>IFERROR(__xludf.DUMMYFUNCTION("IF(D518="""","""",IFERROR(TRANSPOSE(FILTER('Validaciones Cotizador'!U:U,'Validaciones Cotizador'!O:O=D518,'Validaciones Cotizador'!T:T=""x"")),""Finalizar""))"),"")</f>
        <v/>
      </c>
    </row>
    <row r="519">
      <c r="A519" s="2" t="str">
        <f t="array" ref="A519">IF(E519="","",XLOOKUP(D519,'Validaciones Cotizador'!C:C,'Validaciones Cotizador'!A:A,"",0,1))</f>
        <v/>
      </c>
      <c r="B519" s="2" t="str">
        <f t="array" ref="B519">IF(F519="","",XLOOKUP(F519,Productos!E:E,Productos!G:G,"",0,1))</f>
        <v/>
      </c>
      <c r="C519" s="2" t="str">
        <f>IF(A519="","",SUMIFS('Validaciones Cotizador'!B:B,'Validaciones Cotizador'!C:C,D519,'Validaciones Cotizador'!A:A,A519))</f>
        <v/>
      </c>
      <c r="D519" s="4" t="str">
        <f>IFERROR(__xludf.DUMMYFUNCTION("IF(OR(F518=""Finalizar"",F518="""",F518=""Selecciona..""),"""",IF(OR(F518=""-"",INDEX(filter(Familias!F:F,Familias!D:D=A518,Familias!E:E=C518),1)=""O""),D518+1,D518))"),"")</f>
        <v/>
      </c>
      <c r="E519" s="2" t="str">
        <f>IF(OR(F519="",F519="Selecciona.."),"",IF(D519="Implemento",SUMIF(Implementos!B:B,F519,Implementos!A:A),SUMIF(Productos!E:E,F519,Productos!A:A)))</f>
        <v/>
      </c>
      <c r="F519" s="2" t="str">
        <f t="shared" si="2"/>
        <v/>
      </c>
      <c r="G519" s="10" t="str">
        <f t="array" ref="G519">IF(OR(F519="",F519="-",F519="Selecciona..",F519="Finalizar"),"",IF(A519="Rodados",XLOOKUP(B519,'Validaciones Cotizador'!I:I,'Validaciones Cotizador'!J:J,0,0,1),1))</f>
        <v/>
      </c>
      <c r="H519" s="11" t="str">
        <f>IF(OR(F519="",F519="Selecciona.."),"",SUMIF(Precio_Productos!K:K,E519,Precio_Productos!J:J)*G519)</f>
        <v/>
      </c>
      <c r="I519" s="4" t="str">
        <f t="array" ref="I519">IF($E519="","", XLOOKUP(SUMIFS(Prod_Prop!$A:$A,Prod_Prop!$B:$B,$E519,Prod_Prop!$H:$H,I$1,Prod_Prop!$I:$I,"Exacto"),Prod_Prop!$A:$A,Prod_Prop!$J:$J,"",0,1))</f>
        <v/>
      </c>
      <c r="J519" s="4" t="str">
        <f t="array" ref="J519">IF($E519="","", XLOOKUP(SUMIFS(Prod_Prop!$A:$A,Prod_Prop!$B:$B,$E519,Prod_Prop!$H:$H,J$1,Prod_Prop!$I:$I,"Exacto"),Prod_Prop!$A:$A,Prod_Prop!$J:$J,"",0,1))</f>
        <v/>
      </c>
      <c r="K519" s="4" t="str">
        <f t="array" ref="K519">IF($E519="","", XLOOKUP(SUMIFS(Prod_Prop!$A:$A,Prod_Prop!$B:$B,$E519,Prod_Prop!$H:$H,K$1,Prod_Prop!$I:$I,"Exacto"),Prod_Prop!$A:$A,Prod_Prop!$J:$J,"",0,1))</f>
        <v/>
      </c>
      <c r="L519" s="4" t="str">
        <f t="array" ref="L519">IF($E519="","", XLOOKUP(SUMIFS(Prod_Prop!$A:$A,Prod_Prop!$B:$B,$E519,Prod_Prop!$H:$H,L$1,Prod_Prop!$I:$I,"Exacto"),Prod_Prop!$A:$A,Prod_Prop!$J:$J,"",0,1))</f>
        <v/>
      </c>
      <c r="M519" s="4" t="str">
        <f t="array" ref="M519">IF($E519="","", XLOOKUP(SUMIFS(Prod_Prop!$A:$A,Prod_Prop!$B:$B,$E519,Prod_Prop!$H:$H,M$1,Prod_Prop!$I:$I,"Exacto"),Prod_Prop!$A:$A,Prod_Prop!$J:$J,"",0,1))</f>
        <v/>
      </c>
      <c r="N519" s="4" t="str">
        <f t="array" ref="N519">IF($E519="","", XLOOKUP(SUMIFS(Prod_Prop!$A:$A,Prod_Prop!$B:$B,$E519,Prod_Prop!$H:$H,N$1,Prod_Prop!$I:$I,"Exacto"),Prod_Prop!$A:$A,Prod_Prop!$J:$J,"",0,1))</f>
        <v/>
      </c>
      <c r="O519" s="4" t="str">
        <f t="array" ref="O519">IF($E519="","", XLOOKUP(SUMIFS(Prod_Prop!$A:$A,Prod_Prop!$B:$B,$E519,Prod_Prop!$H:$H,O$1,Prod_Prop!$I:$I,"Exacto"),Prod_Prop!$A:$A,Prod_Prop!$J:$J,"",0,1))</f>
        <v/>
      </c>
      <c r="P519" s="4" t="str">
        <f t="array" ref="P519">IF($E519="","", XLOOKUP(SUMIFS(Prod_Prop!$A:$A,Prod_Prop!$B:$B,$E519,Prod_Prop!$H:$H,P$1,Prod_Prop!$I:$I,"Exacto"),Prod_Prop!$A:$A,Prod_Prop!$J:$J,"",0,1))</f>
        <v/>
      </c>
      <c r="Q519" s="4" t="str">
        <f t="array" ref="Q519">IF($E519="","", XLOOKUP(SUMIFS(Prod_Prop!$A:$A,Prod_Prop!$B:$B,$E519,Prod_Prop!$H:$H,Q$1,Prod_Prop!$I:$I,"Exacto"),Prod_Prop!$A:$A,Prod_Prop!$J:$J,"",0,1))</f>
        <v/>
      </c>
      <c r="R519" s="4" t="str">
        <f t="array" ref="R519">IF($E519="","", XLOOKUP(SUMIFS(Prod_Prop!$A:$A,Prod_Prop!$B:$B,$E519,Prod_Prop!$H:$H,R$1,Prod_Prop!$I:$I,"Exacto"),Prod_Prop!$A:$A,Prod_Prop!$J:$J,"",0,1))</f>
        <v/>
      </c>
      <c r="S519" s="4" t="str">
        <f t="array" ref="S519">IF($E519="","", XLOOKUP(SUMIFS(Prod_Prop!$A:$A,Prod_Prop!$B:$B,$E519,Prod_Prop!$H:$H,S$1,Prod_Prop!$I:$I,"Exacto"),Prod_Prop!$A:$A,Prod_Prop!$J:$J,"",0,1))</f>
        <v/>
      </c>
      <c r="T519" s="4" t="str">
        <f t="array" ref="T519">IF($E519="","", XLOOKUP(SUMIFS(Prod_Prop!$A:$A,Prod_Prop!$B:$B,$E519,Prod_Prop!$H:$H,T$1,Prod_Prop!$I:$I,"Exacto"),Prod_Prop!$A:$A,Prod_Prop!$J:$J,"",0,1))</f>
        <v/>
      </c>
      <c r="U519" s="4" t="str">
        <f t="array" ref="U519">IF($E519="","", XLOOKUP(SUMIFS(Prod_Prop!$A:$A,Prod_Prop!$B:$B,$E519,Prod_Prop!$H:$H,U$1,Prod_Prop!$I:$I,"Exacto"),Prod_Prop!$A:$A,Prod_Prop!$J:$J,"",0,1))</f>
        <v/>
      </c>
      <c r="V519" s="4" t="str">
        <f t="array" ref="V519">IF($E519="","", XLOOKUP(SUMIFS(Prod_Prop!$A:$A,Prod_Prop!$B:$B,$E519,Prod_Prop!$H:$H,V$1,Prod_Prop!$I:$I,"Exacto"),Prod_Prop!$A:$A,Prod_Prop!$J:$J,"",0,1))</f>
        <v/>
      </c>
      <c r="X519" s="3" t="str">
        <f>IFERROR(__xludf.DUMMYFUNCTION("IF(D519="""","""",IFERROR(TRANSPOSE(FILTER('Validaciones Cotizador'!U:U,'Validaciones Cotizador'!O:O=D519,'Validaciones Cotizador'!T:T=""x"")),""Finalizar""))"),"")</f>
        <v/>
      </c>
    </row>
    <row r="520">
      <c r="A520" s="2" t="str">
        <f t="array" ref="A520">IF(E520="","",XLOOKUP(D520,'Validaciones Cotizador'!C:C,'Validaciones Cotizador'!A:A,"",0,1))</f>
        <v/>
      </c>
      <c r="B520" s="2" t="str">
        <f t="array" ref="B520">IF(F520="","",XLOOKUP(F520,Productos!E:E,Productos!G:G,"",0,1))</f>
        <v/>
      </c>
      <c r="C520" s="2" t="str">
        <f>IF(A520="","",SUMIFS('Validaciones Cotizador'!B:B,'Validaciones Cotizador'!C:C,D520,'Validaciones Cotizador'!A:A,A520))</f>
        <v/>
      </c>
      <c r="D520" s="4" t="str">
        <f>IFERROR(__xludf.DUMMYFUNCTION("IF(OR(F519=""Finalizar"",F519="""",F519=""Selecciona..""),"""",IF(OR(F519=""-"",INDEX(filter(Familias!F:F,Familias!D:D=A519,Familias!E:E=C519),1)=""O""),D519+1,D519))"),"")</f>
        <v/>
      </c>
      <c r="E520" s="2" t="str">
        <f>IF(OR(F520="",F520="Selecciona.."),"",IF(D520="Implemento",SUMIF(Implementos!B:B,F520,Implementos!A:A),SUMIF(Productos!E:E,F520,Productos!A:A)))</f>
        <v/>
      </c>
      <c r="F520" s="2" t="str">
        <f t="shared" si="2"/>
        <v/>
      </c>
      <c r="G520" s="10" t="str">
        <f t="array" ref="G520">IF(OR(F520="",F520="-",F520="Selecciona..",F520="Finalizar"),"",IF(A520="Rodados",XLOOKUP(B520,'Validaciones Cotizador'!I:I,'Validaciones Cotizador'!J:J,0,0,1),1))</f>
        <v/>
      </c>
      <c r="H520" s="11" t="str">
        <f>IF(OR(F520="",F520="Selecciona.."),"",SUMIF(Precio_Productos!K:K,E520,Precio_Productos!J:J)*G520)</f>
        <v/>
      </c>
      <c r="I520" s="4" t="str">
        <f t="array" ref="I520">IF($E520="","", XLOOKUP(SUMIFS(Prod_Prop!$A:$A,Prod_Prop!$B:$B,$E520,Prod_Prop!$H:$H,I$1,Prod_Prop!$I:$I,"Exacto"),Prod_Prop!$A:$A,Prod_Prop!$J:$J,"",0,1))</f>
        <v/>
      </c>
      <c r="J520" s="4" t="str">
        <f t="array" ref="J520">IF($E520="","", XLOOKUP(SUMIFS(Prod_Prop!$A:$A,Prod_Prop!$B:$B,$E520,Prod_Prop!$H:$H,J$1,Prod_Prop!$I:$I,"Exacto"),Prod_Prop!$A:$A,Prod_Prop!$J:$J,"",0,1))</f>
        <v/>
      </c>
      <c r="K520" s="4" t="str">
        <f t="array" ref="K520">IF($E520="","", XLOOKUP(SUMIFS(Prod_Prop!$A:$A,Prod_Prop!$B:$B,$E520,Prod_Prop!$H:$H,K$1,Prod_Prop!$I:$I,"Exacto"),Prod_Prop!$A:$A,Prod_Prop!$J:$J,"",0,1))</f>
        <v/>
      </c>
      <c r="L520" s="4" t="str">
        <f t="array" ref="L520">IF($E520="","", XLOOKUP(SUMIFS(Prod_Prop!$A:$A,Prod_Prop!$B:$B,$E520,Prod_Prop!$H:$H,L$1,Prod_Prop!$I:$I,"Exacto"),Prod_Prop!$A:$A,Prod_Prop!$J:$J,"",0,1))</f>
        <v/>
      </c>
      <c r="M520" s="4" t="str">
        <f t="array" ref="M520">IF($E520="","", XLOOKUP(SUMIFS(Prod_Prop!$A:$A,Prod_Prop!$B:$B,$E520,Prod_Prop!$H:$H,M$1,Prod_Prop!$I:$I,"Exacto"),Prod_Prop!$A:$A,Prod_Prop!$J:$J,"",0,1))</f>
        <v/>
      </c>
      <c r="N520" s="4" t="str">
        <f t="array" ref="N520">IF($E520="","", XLOOKUP(SUMIFS(Prod_Prop!$A:$A,Prod_Prop!$B:$B,$E520,Prod_Prop!$H:$H,N$1,Prod_Prop!$I:$I,"Exacto"),Prod_Prop!$A:$A,Prod_Prop!$J:$J,"",0,1))</f>
        <v/>
      </c>
      <c r="O520" s="4" t="str">
        <f t="array" ref="O520">IF($E520="","", XLOOKUP(SUMIFS(Prod_Prop!$A:$A,Prod_Prop!$B:$B,$E520,Prod_Prop!$H:$H,O$1,Prod_Prop!$I:$I,"Exacto"),Prod_Prop!$A:$A,Prod_Prop!$J:$J,"",0,1))</f>
        <v/>
      </c>
      <c r="P520" s="4" t="str">
        <f t="array" ref="P520">IF($E520="","", XLOOKUP(SUMIFS(Prod_Prop!$A:$A,Prod_Prop!$B:$B,$E520,Prod_Prop!$H:$H,P$1,Prod_Prop!$I:$I,"Exacto"),Prod_Prop!$A:$A,Prod_Prop!$J:$J,"",0,1))</f>
        <v/>
      </c>
      <c r="Q520" s="4" t="str">
        <f t="array" ref="Q520">IF($E520="","", XLOOKUP(SUMIFS(Prod_Prop!$A:$A,Prod_Prop!$B:$B,$E520,Prod_Prop!$H:$H,Q$1,Prod_Prop!$I:$I,"Exacto"),Prod_Prop!$A:$A,Prod_Prop!$J:$J,"",0,1))</f>
        <v/>
      </c>
      <c r="R520" s="4" t="str">
        <f t="array" ref="R520">IF($E520="","", XLOOKUP(SUMIFS(Prod_Prop!$A:$A,Prod_Prop!$B:$B,$E520,Prod_Prop!$H:$H,R$1,Prod_Prop!$I:$I,"Exacto"),Prod_Prop!$A:$A,Prod_Prop!$J:$J,"",0,1))</f>
        <v/>
      </c>
      <c r="S520" s="4" t="str">
        <f t="array" ref="S520">IF($E520="","", XLOOKUP(SUMIFS(Prod_Prop!$A:$A,Prod_Prop!$B:$B,$E520,Prod_Prop!$H:$H,S$1,Prod_Prop!$I:$I,"Exacto"),Prod_Prop!$A:$A,Prod_Prop!$J:$J,"",0,1))</f>
        <v/>
      </c>
      <c r="T520" s="4" t="str">
        <f t="array" ref="T520">IF($E520="","", XLOOKUP(SUMIFS(Prod_Prop!$A:$A,Prod_Prop!$B:$B,$E520,Prod_Prop!$H:$H,T$1,Prod_Prop!$I:$I,"Exacto"),Prod_Prop!$A:$A,Prod_Prop!$J:$J,"",0,1))</f>
        <v/>
      </c>
      <c r="U520" s="4" t="str">
        <f t="array" ref="U520">IF($E520="","", XLOOKUP(SUMIFS(Prod_Prop!$A:$A,Prod_Prop!$B:$B,$E520,Prod_Prop!$H:$H,U$1,Prod_Prop!$I:$I,"Exacto"),Prod_Prop!$A:$A,Prod_Prop!$J:$J,"",0,1))</f>
        <v/>
      </c>
      <c r="V520" s="4" t="str">
        <f t="array" ref="V520">IF($E520="","", XLOOKUP(SUMIFS(Prod_Prop!$A:$A,Prod_Prop!$B:$B,$E520,Prod_Prop!$H:$H,V$1,Prod_Prop!$I:$I,"Exacto"),Prod_Prop!$A:$A,Prod_Prop!$J:$J,"",0,1))</f>
        <v/>
      </c>
      <c r="X520" s="3" t="str">
        <f>IFERROR(__xludf.DUMMYFUNCTION("IF(D520="""","""",IFERROR(TRANSPOSE(FILTER('Validaciones Cotizador'!U:U,'Validaciones Cotizador'!O:O=D520,'Validaciones Cotizador'!T:T=""x"")),""Finalizar""))"),"")</f>
        <v/>
      </c>
    </row>
    <row r="521">
      <c r="A521" s="2" t="str">
        <f t="array" ref="A521">IF(E521="","",XLOOKUP(D521,'Validaciones Cotizador'!C:C,'Validaciones Cotizador'!A:A,"",0,1))</f>
        <v/>
      </c>
      <c r="B521" s="2" t="str">
        <f t="array" ref="B521">IF(F521="","",XLOOKUP(F521,Productos!E:E,Productos!G:G,"",0,1))</f>
        <v/>
      </c>
      <c r="C521" s="2" t="str">
        <f>IF(A521="","",SUMIFS('Validaciones Cotizador'!B:B,'Validaciones Cotizador'!C:C,D521,'Validaciones Cotizador'!A:A,A521))</f>
        <v/>
      </c>
      <c r="D521" s="4" t="str">
        <f>IFERROR(__xludf.DUMMYFUNCTION("IF(OR(F520=""Finalizar"",F520="""",F520=""Selecciona..""),"""",IF(OR(F520=""-"",INDEX(filter(Familias!F:F,Familias!D:D=A520,Familias!E:E=C520),1)=""O""),D520+1,D520))"),"")</f>
        <v/>
      </c>
      <c r="E521" s="2" t="str">
        <f>IF(OR(F521="",F521="Selecciona.."),"",IF(D521="Implemento",SUMIF(Implementos!B:B,F521,Implementos!A:A),SUMIF(Productos!E:E,F521,Productos!A:A)))</f>
        <v/>
      </c>
      <c r="F521" s="2" t="str">
        <f t="shared" si="2"/>
        <v/>
      </c>
      <c r="G521" s="10" t="str">
        <f t="array" ref="G521">IF(OR(F521="",F521="-",F521="Selecciona..",F521="Finalizar"),"",IF(A521="Rodados",XLOOKUP(B521,'Validaciones Cotizador'!I:I,'Validaciones Cotizador'!J:J,0,0,1),1))</f>
        <v/>
      </c>
      <c r="H521" s="11" t="str">
        <f>IF(OR(F521="",F521="Selecciona.."),"",SUMIF(Precio_Productos!K:K,E521,Precio_Productos!J:J)*G521)</f>
        <v/>
      </c>
      <c r="I521" s="4" t="str">
        <f t="array" ref="I521">IF($E521="","", XLOOKUP(SUMIFS(Prod_Prop!$A:$A,Prod_Prop!$B:$B,$E521,Prod_Prop!$H:$H,I$1,Prod_Prop!$I:$I,"Exacto"),Prod_Prop!$A:$A,Prod_Prop!$J:$J,"",0,1))</f>
        <v/>
      </c>
      <c r="J521" s="4" t="str">
        <f t="array" ref="J521">IF($E521="","", XLOOKUP(SUMIFS(Prod_Prop!$A:$A,Prod_Prop!$B:$B,$E521,Prod_Prop!$H:$H,J$1,Prod_Prop!$I:$I,"Exacto"),Prod_Prop!$A:$A,Prod_Prop!$J:$J,"",0,1))</f>
        <v/>
      </c>
      <c r="K521" s="4" t="str">
        <f t="array" ref="K521">IF($E521="","", XLOOKUP(SUMIFS(Prod_Prop!$A:$A,Prod_Prop!$B:$B,$E521,Prod_Prop!$H:$H,K$1,Prod_Prop!$I:$I,"Exacto"),Prod_Prop!$A:$A,Prod_Prop!$J:$J,"",0,1))</f>
        <v/>
      </c>
      <c r="L521" s="4" t="str">
        <f t="array" ref="L521">IF($E521="","", XLOOKUP(SUMIFS(Prod_Prop!$A:$A,Prod_Prop!$B:$B,$E521,Prod_Prop!$H:$H,L$1,Prod_Prop!$I:$I,"Exacto"),Prod_Prop!$A:$A,Prod_Prop!$J:$J,"",0,1))</f>
        <v/>
      </c>
      <c r="M521" s="4" t="str">
        <f t="array" ref="M521">IF($E521="","", XLOOKUP(SUMIFS(Prod_Prop!$A:$A,Prod_Prop!$B:$B,$E521,Prod_Prop!$H:$H,M$1,Prod_Prop!$I:$I,"Exacto"),Prod_Prop!$A:$A,Prod_Prop!$J:$J,"",0,1))</f>
        <v/>
      </c>
      <c r="N521" s="4" t="str">
        <f t="array" ref="N521">IF($E521="","", XLOOKUP(SUMIFS(Prod_Prop!$A:$A,Prod_Prop!$B:$B,$E521,Prod_Prop!$H:$H,N$1,Prod_Prop!$I:$I,"Exacto"),Prod_Prop!$A:$A,Prod_Prop!$J:$J,"",0,1))</f>
        <v/>
      </c>
      <c r="O521" s="4" t="str">
        <f t="array" ref="O521">IF($E521="","", XLOOKUP(SUMIFS(Prod_Prop!$A:$A,Prod_Prop!$B:$B,$E521,Prod_Prop!$H:$H,O$1,Prod_Prop!$I:$I,"Exacto"),Prod_Prop!$A:$A,Prod_Prop!$J:$J,"",0,1))</f>
        <v/>
      </c>
      <c r="P521" s="4" t="str">
        <f t="array" ref="P521">IF($E521="","", XLOOKUP(SUMIFS(Prod_Prop!$A:$A,Prod_Prop!$B:$B,$E521,Prod_Prop!$H:$H,P$1,Prod_Prop!$I:$I,"Exacto"),Prod_Prop!$A:$A,Prod_Prop!$J:$J,"",0,1))</f>
        <v/>
      </c>
      <c r="Q521" s="4" t="str">
        <f t="array" ref="Q521">IF($E521="","", XLOOKUP(SUMIFS(Prod_Prop!$A:$A,Prod_Prop!$B:$B,$E521,Prod_Prop!$H:$H,Q$1,Prod_Prop!$I:$I,"Exacto"),Prod_Prop!$A:$A,Prod_Prop!$J:$J,"",0,1))</f>
        <v/>
      </c>
      <c r="R521" s="4" t="str">
        <f t="array" ref="R521">IF($E521="","", XLOOKUP(SUMIFS(Prod_Prop!$A:$A,Prod_Prop!$B:$B,$E521,Prod_Prop!$H:$H,R$1,Prod_Prop!$I:$I,"Exacto"),Prod_Prop!$A:$A,Prod_Prop!$J:$J,"",0,1))</f>
        <v/>
      </c>
      <c r="S521" s="4" t="str">
        <f t="array" ref="S521">IF($E521="","", XLOOKUP(SUMIFS(Prod_Prop!$A:$A,Prod_Prop!$B:$B,$E521,Prod_Prop!$H:$H,S$1,Prod_Prop!$I:$I,"Exacto"),Prod_Prop!$A:$A,Prod_Prop!$J:$J,"",0,1))</f>
        <v/>
      </c>
      <c r="T521" s="4" t="str">
        <f t="array" ref="T521">IF($E521="","", XLOOKUP(SUMIFS(Prod_Prop!$A:$A,Prod_Prop!$B:$B,$E521,Prod_Prop!$H:$H,T$1,Prod_Prop!$I:$I,"Exacto"),Prod_Prop!$A:$A,Prod_Prop!$J:$J,"",0,1))</f>
        <v/>
      </c>
      <c r="U521" s="4" t="str">
        <f t="array" ref="U521">IF($E521="","", XLOOKUP(SUMIFS(Prod_Prop!$A:$A,Prod_Prop!$B:$B,$E521,Prod_Prop!$H:$H,U$1,Prod_Prop!$I:$I,"Exacto"),Prod_Prop!$A:$A,Prod_Prop!$J:$J,"",0,1))</f>
        <v/>
      </c>
      <c r="V521" s="4" t="str">
        <f t="array" ref="V521">IF($E521="","", XLOOKUP(SUMIFS(Prod_Prop!$A:$A,Prod_Prop!$B:$B,$E521,Prod_Prop!$H:$H,V$1,Prod_Prop!$I:$I,"Exacto"),Prod_Prop!$A:$A,Prod_Prop!$J:$J,"",0,1))</f>
        <v/>
      </c>
      <c r="X521" s="3" t="str">
        <f>IFERROR(__xludf.DUMMYFUNCTION("IF(D521="""","""",IFERROR(TRANSPOSE(FILTER('Validaciones Cotizador'!U:U,'Validaciones Cotizador'!O:O=D521,'Validaciones Cotizador'!T:T=""x"")),""Finalizar""))"),"")</f>
        <v/>
      </c>
    </row>
    <row r="522">
      <c r="A522" s="2" t="str">
        <f t="array" ref="A522">IF(E522="","",XLOOKUP(D522,'Validaciones Cotizador'!C:C,'Validaciones Cotizador'!A:A,"",0,1))</f>
        <v/>
      </c>
      <c r="B522" s="2" t="str">
        <f t="array" ref="B522">IF(F522="","",XLOOKUP(F522,Productos!E:E,Productos!G:G,"",0,1))</f>
        <v/>
      </c>
      <c r="C522" s="2" t="str">
        <f>IF(A522="","",SUMIFS('Validaciones Cotizador'!B:B,'Validaciones Cotizador'!C:C,D522,'Validaciones Cotizador'!A:A,A522))</f>
        <v/>
      </c>
      <c r="D522" s="4" t="str">
        <f>IFERROR(__xludf.DUMMYFUNCTION("IF(OR(F521=""Finalizar"",F521="""",F521=""Selecciona..""),"""",IF(OR(F521=""-"",INDEX(filter(Familias!F:F,Familias!D:D=A521,Familias!E:E=C521),1)=""O""),D521+1,D521))"),"")</f>
        <v/>
      </c>
      <c r="E522" s="2" t="str">
        <f>IF(OR(F522="",F522="Selecciona.."),"",IF(D522="Implemento",SUMIF(Implementos!B:B,F522,Implementos!A:A),SUMIF(Productos!E:E,F522,Productos!A:A)))</f>
        <v/>
      </c>
      <c r="F522" s="2" t="str">
        <f t="shared" si="2"/>
        <v/>
      </c>
      <c r="G522" s="10" t="str">
        <f t="array" ref="G522">IF(OR(F522="",F522="-",F522="Selecciona..",F522="Finalizar"),"",IF(A522="Rodados",XLOOKUP(B522,'Validaciones Cotizador'!I:I,'Validaciones Cotizador'!J:J,0,0,1),1))</f>
        <v/>
      </c>
      <c r="H522" s="11" t="str">
        <f>IF(OR(F522="",F522="Selecciona.."),"",SUMIF(Precio_Productos!K:K,E522,Precio_Productos!J:J)*G522)</f>
        <v/>
      </c>
      <c r="I522" s="4" t="str">
        <f t="array" ref="I522">IF($E522="","", XLOOKUP(SUMIFS(Prod_Prop!$A:$A,Prod_Prop!$B:$B,$E522,Prod_Prop!$H:$H,I$1,Prod_Prop!$I:$I,"Exacto"),Prod_Prop!$A:$A,Prod_Prop!$J:$J,"",0,1))</f>
        <v/>
      </c>
      <c r="J522" s="4" t="str">
        <f t="array" ref="J522">IF($E522="","", XLOOKUP(SUMIFS(Prod_Prop!$A:$A,Prod_Prop!$B:$B,$E522,Prod_Prop!$H:$H,J$1,Prod_Prop!$I:$I,"Exacto"),Prod_Prop!$A:$A,Prod_Prop!$J:$J,"",0,1))</f>
        <v/>
      </c>
      <c r="K522" s="4" t="str">
        <f t="array" ref="K522">IF($E522="","", XLOOKUP(SUMIFS(Prod_Prop!$A:$A,Prod_Prop!$B:$B,$E522,Prod_Prop!$H:$H,K$1,Prod_Prop!$I:$I,"Exacto"),Prod_Prop!$A:$A,Prod_Prop!$J:$J,"",0,1))</f>
        <v/>
      </c>
      <c r="L522" s="4" t="str">
        <f t="array" ref="L522">IF($E522="","", XLOOKUP(SUMIFS(Prod_Prop!$A:$A,Prod_Prop!$B:$B,$E522,Prod_Prop!$H:$H,L$1,Prod_Prop!$I:$I,"Exacto"),Prod_Prop!$A:$A,Prod_Prop!$J:$J,"",0,1))</f>
        <v/>
      </c>
      <c r="M522" s="4" t="str">
        <f t="array" ref="M522">IF($E522="","", XLOOKUP(SUMIFS(Prod_Prop!$A:$A,Prod_Prop!$B:$B,$E522,Prod_Prop!$H:$H,M$1,Prod_Prop!$I:$I,"Exacto"),Prod_Prop!$A:$A,Prod_Prop!$J:$J,"",0,1))</f>
        <v/>
      </c>
      <c r="N522" s="4" t="str">
        <f t="array" ref="N522">IF($E522="","", XLOOKUP(SUMIFS(Prod_Prop!$A:$A,Prod_Prop!$B:$B,$E522,Prod_Prop!$H:$H,N$1,Prod_Prop!$I:$I,"Exacto"),Prod_Prop!$A:$A,Prod_Prop!$J:$J,"",0,1))</f>
        <v/>
      </c>
      <c r="O522" s="4" t="str">
        <f t="array" ref="O522">IF($E522="","", XLOOKUP(SUMIFS(Prod_Prop!$A:$A,Prod_Prop!$B:$B,$E522,Prod_Prop!$H:$H,O$1,Prod_Prop!$I:$I,"Exacto"),Prod_Prop!$A:$A,Prod_Prop!$J:$J,"",0,1))</f>
        <v/>
      </c>
      <c r="P522" s="4" t="str">
        <f t="array" ref="P522">IF($E522="","", XLOOKUP(SUMIFS(Prod_Prop!$A:$A,Prod_Prop!$B:$B,$E522,Prod_Prop!$H:$H,P$1,Prod_Prop!$I:$I,"Exacto"),Prod_Prop!$A:$A,Prod_Prop!$J:$J,"",0,1))</f>
        <v/>
      </c>
      <c r="Q522" s="4" t="str">
        <f t="array" ref="Q522">IF($E522="","", XLOOKUP(SUMIFS(Prod_Prop!$A:$A,Prod_Prop!$B:$B,$E522,Prod_Prop!$H:$H,Q$1,Prod_Prop!$I:$I,"Exacto"),Prod_Prop!$A:$A,Prod_Prop!$J:$J,"",0,1))</f>
        <v/>
      </c>
      <c r="R522" s="4" t="str">
        <f t="array" ref="R522">IF($E522="","", XLOOKUP(SUMIFS(Prod_Prop!$A:$A,Prod_Prop!$B:$B,$E522,Prod_Prop!$H:$H,R$1,Prod_Prop!$I:$I,"Exacto"),Prod_Prop!$A:$A,Prod_Prop!$J:$J,"",0,1))</f>
        <v/>
      </c>
      <c r="S522" s="4" t="str">
        <f t="array" ref="S522">IF($E522="","", XLOOKUP(SUMIFS(Prod_Prop!$A:$A,Prod_Prop!$B:$B,$E522,Prod_Prop!$H:$H,S$1,Prod_Prop!$I:$I,"Exacto"),Prod_Prop!$A:$A,Prod_Prop!$J:$J,"",0,1))</f>
        <v/>
      </c>
      <c r="T522" s="4" t="str">
        <f t="array" ref="T522">IF($E522="","", XLOOKUP(SUMIFS(Prod_Prop!$A:$A,Prod_Prop!$B:$B,$E522,Prod_Prop!$H:$H,T$1,Prod_Prop!$I:$I,"Exacto"),Prod_Prop!$A:$A,Prod_Prop!$J:$J,"",0,1))</f>
        <v/>
      </c>
      <c r="U522" s="4" t="str">
        <f t="array" ref="U522">IF($E522="","", XLOOKUP(SUMIFS(Prod_Prop!$A:$A,Prod_Prop!$B:$B,$E522,Prod_Prop!$H:$H,U$1,Prod_Prop!$I:$I,"Exacto"),Prod_Prop!$A:$A,Prod_Prop!$J:$J,"",0,1))</f>
        <v/>
      </c>
      <c r="V522" s="4" t="str">
        <f t="array" ref="V522">IF($E522="","", XLOOKUP(SUMIFS(Prod_Prop!$A:$A,Prod_Prop!$B:$B,$E522,Prod_Prop!$H:$H,V$1,Prod_Prop!$I:$I,"Exacto"),Prod_Prop!$A:$A,Prod_Prop!$J:$J,"",0,1))</f>
        <v/>
      </c>
      <c r="X522" s="3" t="str">
        <f>IFERROR(__xludf.DUMMYFUNCTION("IF(D522="""","""",IFERROR(TRANSPOSE(FILTER('Validaciones Cotizador'!U:U,'Validaciones Cotizador'!O:O=D522,'Validaciones Cotizador'!T:T=""x"")),""Finalizar""))"),"")</f>
        <v/>
      </c>
    </row>
    <row r="523">
      <c r="A523" s="2" t="str">
        <f t="array" ref="A523">IF(E523="","",XLOOKUP(D523,'Validaciones Cotizador'!C:C,'Validaciones Cotizador'!A:A,"",0,1))</f>
        <v/>
      </c>
      <c r="B523" s="2" t="str">
        <f t="array" ref="B523">IF(F523="","",XLOOKUP(F523,Productos!E:E,Productos!G:G,"",0,1))</f>
        <v/>
      </c>
      <c r="C523" s="2" t="str">
        <f>IF(A523="","",SUMIFS('Validaciones Cotizador'!B:B,'Validaciones Cotizador'!C:C,D523,'Validaciones Cotizador'!A:A,A523))</f>
        <v/>
      </c>
      <c r="D523" s="4" t="str">
        <f>IFERROR(__xludf.DUMMYFUNCTION("IF(OR(F522=""Finalizar"",F522="""",F522=""Selecciona..""),"""",IF(OR(F522=""-"",INDEX(filter(Familias!F:F,Familias!D:D=A522,Familias!E:E=C522),1)=""O""),D522+1,D522))"),"")</f>
        <v/>
      </c>
      <c r="E523" s="2" t="str">
        <f>IF(OR(F523="",F523="Selecciona.."),"",IF(D523="Implemento",SUMIF(Implementos!B:B,F523,Implementos!A:A),SUMIF(Productos!E:E,F523,Productos!A:A)))</f>
        <v/>
      </c>
      <c r="F523" s="2" t="str">
        <f t="shared" si="2"/>
        <v/>
      </c>
      <c r="G523" s="10" t="str">
        <f t="array" ref="G523">IF(OR(F523="",F523="-",F523="Selecciona..",F523="Finalizar"),"",IF(A523="Rodados",XLOOKUP(B523,'Validaciones Cotizador'!I:I,'Validaciones Cotizador'!J:J,0,0,1),1))</f>
        <v/>
      </c>
      <c r="H523" s="11" t="str">
        <f>IF(OR(F523="",F523="Selecciona.."),"",SUMIF(Precio_Productos!K:K,E523,Precio_Productos!J:J)*G523)</f>
        <v/>
      </c>
      <c r="I523" s="4" t="str">
        <f t="array" ref="I523">IF($E523="","", XLOOKUP(SUMIFS(Prod_Prop!$A:$A,Prod_Prop!$B:$B,$E523,Prod_Prop!$H:$H,I$1,Prod_Prop!$I:$I,"Exacto"),Prod_Prop!$A:$A,Prod_Prop!$J:$J,"",0,1))</f>
        <v/>
      </c>
      <c r="J523" s="4" t="str">
        <f t="array" ref="J523">IF($E523="","", XLOOKUP(SUMIFS(Prod_Prop!$A:$A,Prod_Prop!$B:$B,$E523,Prod_Prop!$H:$H,J$1,Prod_Prop!$I:$I,"Exacto"),Prod_Prop!$A:$A,Prod_Prop!$J:$J,"",0,1))</f>
        <v/>
      </c>
      <c r="K523" s="4" t="str">
        <f t="array" ref="K523">IF($E523="","", XLOOKUP(SUMIFS(Prod_Prop!$A:$A,Prod_Prop!$B:$B,$E523,Prod_Prop!$H:$H,K$1,Prod_Prop!$I:$I,"Exacto"),Prod_Prop!$A:$A,Prod_Prop!$J:$J,"",0,1))</f>
        <v/>
      </c>
      <c r="L523" s="4" t="str">
        <f t="array" ref="L523">IF($E523="","", XLOOKUP(SUMIFS(Prod_Prop!$A:$A,Prod_Prop!$B:$B,$E523,Prod_Prop!$H:$H,L$1,Prod_Prop!$I:$I,"Exacto"),Prod_Prop!$A:$A,Prod_Prop!$J:$J,"",0,1))</f>
        <v/>
      </c>
      <c r="M523" s="4" t="str">
        <f t="array" ref="M523">IF($E523="","", XLOOKUP(SUMIFS(Prod_Prop!$A:$A,Prod_Prop!$B:$B,$E523,Prod_Prop!$H:$H,M$1,Prod_Prop!$I:$I,"Exacto"),Prod_Prop!$A:$A,Prod_Prop!$J:$J,"",0,1))</f>
        <v/>
      </c>
      <c r="N523" s="4" t="str">
        <f t="array" ref="N523">IF($E523="","", XLOOKUP(SUMIFS(Prod_Prop!$A:$A,Prod_Prop!$B:$B,$E523,Prod_Prop!$H:$H,N$1,Prod_Prop!$I:$I,"Exacto"),Prod_Prop!$A:$A,Prod_Prop!$J:$J,"",0,1))</f>
        <v/>
      </c>
      <c r="O523" s="4" t="str">
        <f t="array" ref="O523">IF($E523="","", XLOOKUP(SUMIFS(Prod_Prop!$A:$A,Prod_Prop!$B:$B,$E523,Prod_Prop!$H:$H,O$1,Prod_Prop!$I:$I,"Exacto"),Prod_Prop!$A:$A,Prod_Prop!$J:$J,"",0,1))</f>
        <v/>
      </c>
      <c r="P523" s="4" t="str">
        <f t="array" ref="P523">IF($E523="","", XLOOKUP(SUMIFS(Prod_Prop!$A:$A,Prod_Prop!$B:$B,$E523,Prod_Prop!$H:$H,P$1,Prod_Prop!$I:$I,"Exacto"),Prod_Prop!$A:$A,Prod_Prop!$J:$J,"",0,1))</f>
        <v/>
      </c>
      <c r="Q523" s="4" t="str">
        <f t="array" ref="Q523">IF($E523="","", XLOOKUP(SUMIFS(Prod_Prop!$A:$A,Prod_Prop!$B:$B,$E523,Prod_Prop!$H:$H,Q$1,Prod_Prop!$I:$I,"Exacto"),Prod_Prop!$A:$A,Prod_Prop!$J:$J,"",0,1))</f>
        <v/>
      </c>
      <c r="R523" s="4" t="str">
        <f t="array" ref="R523">IF($E523="","", XLOOKUP(SUMIFS(Prod_Prop!$A:$A,Prod_Prop!$B:$B,$E523,Prod_Prop!$H:$H,R$1,Prod_Prop!$I:$I,"Exacto"),Prod_Prop!$A:$A,Prod_Prop!$J:$J,"",0,1))</f>
        <v/>
      </c>
      <c r="S523" s="4" t="str">
        <f t="array" ref="S523">IF($E523="","", XLOOKUP(SUMIFS(Prod_Prop!$A:$A,Prod_Prop!$B:$B,$E523,Prod_Prop!$H:$H,S$1,Prod_Prop!$I:$I,"Exacto"),Prod_Prop!$A:$A,Prod_Prop!$J:$J,"",0,1))</f>
        <v/>
      </c>
      <c r="T523" s="4" t="str">
        <f t="array" ref="T523">IF($E523="","", XLOOKUP(SUMIFS(Prod_Prop!$A:$A,Prod_Prop!$B:$B,$E523,Prod_Prop!$H:$H,T$1,Prod_Prop!$I:$I,"Exacto"),Prod_Prop!$A:$A,Prod_Prop!$J:$J,"",0,1))</f>
        <v/>
      </c>
      <c r="U523" s="4" t="str">
        <f t="array" ref="U523">IF($E523="","", XLOOKUP(SUMIFS(Prod_Prop!$A:$A,Prod_Prop!$B:$B,$E523,Prod_Prop!$H:$H,U$1,Prod_Prop!$I:$I,"Exacto"),Prod_Prop!$A:$A,Prod_Prop!$J:$J,"",0,1))</f>
        <v/>
      </c>
      <c r="V523" s="4" t="str">
        <f t="array" ref="V523">IF($E523="","", XLOOKUP(SUMIFS(Prod_Prop!$A:$A,Prod_Prop!$B:$B,$E523,Prod_Prop!$H:$H,V$1,Prod_Prop!$I:$I,"Exacto"),Prod_Prop!$A:$A,Prod_Prop!$J:$J,"",0,1))</f>
        <v/>
      </c>
      <c r="X523" s="3" t="str">
        <f>IFERROR(__xludf.DUMMYFUNCTION("IF(D523="""","""",IFERROR(TRANSPOSE(FILTER('Validaciones Cotizador'!U:U,'Validaciones Cotizador'!O:O=D523,'Validaciones Cotizador'!T:T=""x"")),""Finalizar""))"),"")</f>
        <v/>
      </c>
    </row>
    <row r="524">
      <c r="A524" s="2" t="str">
        <f t="array" ref="A524">IF(E524="","",XLOOKUP(D524,'Validaciones Cotizador'!C:C,'Validaciones Cotizador'!A:A,"",0,1))</f>
        <v/>
      </c>
      <c r="B524" s="2" t="str">
        <f t="array" ref="B524">IF(F524="","",XLOOKUP(F524,Productos!E:E,Productos!G:G,"",0,1))</f>
        <v/>
      </c>
      <c r="C524" s="2" t="str">
        <f>IF(A524="","",SUMIFS('Validaciones Cotizador'!B:B,'Validaciones Cotizador'!C:C,D524,'Validaciones Cotizador'!A:A,A524))</f>
        <v/>
      </c>
      <c r="D524" s="4" t="str">
        <f>IFERROR(__xludf.DUMMYFUNCTION("IF(OR(F523=""Finalizar"",F523="""",F523=""Selecciona..""),"""",IF(OR(F523=""-"",INDEX(filter(Familias!F:F,Familias!D:D=A523,Familias!E:E=C523),1)=""O""),D523+1,D523))"),"")</f>
        <v/>
      </c>
      <c r="E524" s="2" t="str">
        <f>IF(OR(F524="",F524="Selecciona.."),"",IF(D524="Implemento",SUMIF(Implementos!B:B,F524,Implementos!A:A),SUMIF(Productos!E:E,F524,Productos!A:A)))</f>
        <v/>
      </c>
      <c r="F524" s="2" t="str">
        <f t="shared" si="2"/>
        <v/>
      </c>
      <c r="G524" s="10" t="str">
        <f t="array" ref="G524">IF(OR(F524="",F524="-",F524="Selecciona..",F524="Finalizar"),"",IF(A524="Rodados",XLOOKUP(B524,'Validaciones Cotizador'!I:I,'Validaciones Cotizador'!J:J,0,0,1),1))</f>
        <v/>
      </c>
      <c r="H524" s="11" t="str">
        <f>IF(OR(F524="",F524="Selecciona.."),"",SUMIF(Precio_Productos!K:K,E524,Precio_Productos!J:J)*G524)</f>
        <v/>
      </c>
      <c r="I524" s="4" t="str">
        <f t="array" ref="I524">IF($E524="","", XLOOKUP(SUMIFS(Prod_Prop!$A:$A,Prod_Prop!$B:$B,$E524,Prod_Prop!$H:$H,I$1,Prod_Prop!$I:$I,"Exacto"),Prod_Prop!$A:$A,Prod_Prop!$J:$J,"",0,1))</f>
        <v/>
      </c>
      <c r="J524" s="4" t="str">
        <f t="array" ref="J524">IF($E524="","", XLOOKUP(SUMIFS(Prod_Prop!$A:$A,Prod_Prop!$B:$B,$E524,Prod_Prop!$H:$H,J$1,Prod_Prop!$I:$I,"Exacto"),Prod_Prop!$A:$A,Prod_Prop!$J:$J,"",0,1))</f>
        <v/>
      </c>
      <c r="K524" s="4" t="str">
        <f t="array" ref="K524">IF($E524="","", XLOOKUP(SUMIFS(Prod_Prop!$A:$A,Prod_Prop!$B:$B,$E524,Prod_Prop!$H:$H,K$1,Prod_Prop!$I:$I,"Exacto"),Prod_Prop!$A:$A,Prod_Prop!$J:$J,"",0,1))</f>
        <v/>
      </c>
      <c r="L524" s="4" t="str">
        <f t="array" ref="L524">IF($E524="","", XLOOKUP(SUMIFS(Prod_Prop!$A:$A,Prod_Prop!$B:$B,$E524,Prod_Prop!$H:$H,L$1,Prod_Prop!$I:$I,"Exacto"),Prod_Prop!$A:$A,Prod_Prop!$J:$J,"",0,1))</f>
        <v/>
      </c>
      <c r="M524" s="4" t="str">
        <f t="array" ref="M524">IF($E524="","", XLOOKUP(SUMIFS(Prod_Prop!$A:$A,Prod_Prop!$B:$B,$E524,Prod_Prop!$H:$H,M$1,Prod_Prop!$I:$I,"Exacto"),Prod_Prop!$A:$A,Prod_Prop!$J:$J,"",0,1))</f>
        <v/>
      </c>
      <c r="N524" s="4" t="str">
        <f t="array" ref="N524">IF($E524="","", XLOOKUP(SUMIFS(Prod_Prop!$A:$A,Prod_Prop!$B:$B,$E524,Prod_Prop!$H:$H,N$1,Prod_Prop!$I:$I,"Exacto"),Prod_Prop!$A:$A,Prod_Prop!$J:$J,"",0,1))</f>
        <v/>
      </c>
      <c r="O524" s="4" t="str">
        <f t="array" ref="O524">IF($E524="","", XLOOKUP(SUMIFS(Prod_Prop!$A:$A,Prod_Prop!$B:$B,$E524,Prod_Prop!$H:$H,O$1,Prod_Prop!$I:$I,"Exacto"),Prod_Prop!$A:$A,Prod_Prop!$J:$J,"",0,1))</f>
        <v/>
      </c>
      <c r="P524" s="4" t="str">
        <f t="array" ref="P524">IF($E524="","", XLOOKUP(SUMIFS(Prod_Prop!$A:$A,Prod_Prop!$B:$B,$E524,Prod_Prop!$H:$H,P$1,Prod_Prop!$I:$I,"Exacto"),Prod_Prop!$A:$A,Prod_Prop!$J:$J,"",0,1))</f>
        <v/>
      </c>
      <c r="Q524" s="4" t="str">
        <f t="array" ref="Q524">IF($E524="","", XLOOKUP(SUMIFS(Prod_Prop!$A:$A,Prod_Prop!$B:$B,$E524,Prod_Prop!$H:$H,Q$1,Prod_Prop!$I:$I,"Exacto"),Prod_Prop!$A:$A,Prod_Prop!$J:$J,"",0,1))</f>
        <v/>
      </c>
      <c r="R524" s="4" t="str">
        <f t="array" ref="R524">IF($E524="","", XLOOKUP(SUMIFS(Prod_Prop!$A:$A,Prod_Prop!$B:$B,$E524,Prod_Prop!$H:$H,R$1,Prod_Prop!$I:$I,"Exacto"),Prod_Prop!$A:$A,Prod_Prop!$J:$J,"",0,1))</f>
        <v/>
      </c>
      <c r="S524" s="4" t="str">
        <f t="array" ref="S524">IF($E524="","", XLOOKUP(SUMIFS(Prod_Prop!$A:$A,Prod_Prop!$B:$B,$E524,Prod_Prop!$H:$H,S$1,Prod_Prop!$I:$I,"Exacto"),Prod_Prop!$A:$A,Prod_Prop!$J:$J,"",0,1))</f>
        <v/>
      </c>
      <c r="T524" s="4" t="str">
        <f t="array" ref="T524">IF($E524="","", XLOOKUP(SUMIFS(Prod_Prop!$A:$A,Prod_Prop!$B:$B,$E524,Prod_Prop!$H:$H,T$1,Prod_Prop!$I:$I,"Exacto"),Prod_Prop!$A:$A,Prod_Prop!$J:$J,"",0,1))</f>
        <v/>
      </c>
      <c r="U524" s="4" t="str">
        <f t="array" ref="U524">IF($E524="","", XLOOKUP(SUMIFS(Prod_Prop!$A:$A,Prod_Prop!$B:$B,$E524,Prod_Prop!$H:$H,U$1,Prod_Prop!$I:$I,"Exacto"),Prod_Prop!$A:$A,Prod_Prop!$J:$J,"",0,1))</f>
        <v/>
      </c>
      <c r="V524" s="4" t="str">
        <f t="array" ref="V524">IF($E524="","", XLOOKUP(SUMIFS(Prod_Prop!$A:$A,Prod_Prop!$B:$B,$E524,Prod_Prop!$H:$H,V$1,Prod_Prop!$I:$I,"Exacto"),Prod_Prop!$A:$A,Prod_Prop!$J:$J,"",0,1))</f>
        <v/>
      </c>
      <c r="X524" s="3" t="str">
        <f>IFERROR(__xludf.DUMMYFUNCTION("IF(D524="""","""",IFERROR(TRANSPOSE(FILTER('Validaciones Cotizador'!U:U,'Validaciones Cotizador'!O:O=D524,'Validaciones Cotizador'!T:T=""x"")),""Finalizar""))"),"")</f>
        <v/>
      </c>
    </row>
    <row r="525">
      <c r="A525" s="2" t="str">
        <f t="array" ref="A525">IF(E525="","",XLOOKUP(D525,'Validaciones Cotizador'!C:C,'Validaciones Cotizador'!A:A,"",0,1))</f>
        <v/>
      </c>
      <c r="B525" s="2" t="str">
        <f t="array" ref="B525">IF(F525="","",XLOOKUP(F525,Productos!E:E,Productos!G:G,"",0,1))</f>
        <v/>
      </c>
      <c r="C525" s="2" t="str">
        <f>IF(A525="","",SUMIFS('Validaciones Cotizador'!B:B,'Validaciones Cotizador'!C:C,D525,'Validaciones Cotizador'!A:A,A525))</f>
        <v/>
      </c>
      <c r="D525" s="4" t="str">
        <f>IFERROR(__xludf.DUMMYFUNCTION("IF(OR(F524=""Finalizar"",F524="""",F524=""Selecciona..""),"""",IF(OR(F524=""-"",INDEX(filter(Familias!F:F,Familias!D:D=A524,Familias!E:E=C524),1)=""O""),D524+1,D524))"),"")</f>
        <v/>
      </c>
      <c r="E525" s="2" t="str">
        <f>IF(OR(F525="",F525="Selecciona.."),"",IF(D525="Implemento",SUMIF(Implementos!B:B,F525,Implementos!A:A),SUMIF(Productos!E:E,F525,Productos!A:A)))</f>
        <v/>
      </c>
      <c r="F525" s="2" t="str">
        <f t="shared" si="2"/>
        <v/>
      </c>
      <c r="G525" s="10" t="str">
        <f t="array" ref="G525">IF(OR(F525="",F525="-",F525="Selecciona..",F525="Finalizar"),"",IF(A525="Rodados",XLOOKUP(B525,'Validaciones Cotizador'!I:I,'Validaciones Cotizador'!J:J,0,0,1),1))</f>
        <v/>
      </c>
      <c r="H525" s="11" t="str">
        <f>IF(OR(F525="",F525="Selecciona.."),"",SUMIF(Precio_Productos!K:K,E525,Precio_Productos!J:J)*G525)</f>
        <v/>
      </c>
      <c r="I525" s="4" t="str">
        <f t="array" ref="I525">IF($E525="","", XLOOKUP(SUMIFS(Prod_Prop!$A:$A,Prod_Prop!$B:$B,$E525,Prod_Prop!$H:$H,I$1,Prod_Prop!$I:$I,"Exacto"),Prod_Prop!$A:$A,Prod_Prop!$J:$J,"",0,1))</f>
        <v/>
      </c>
      <c r="J525" s="4" t="str">
        <f t="array" ref="J525">IF($E525="","", XLOOKUP(SUMIFS(Prod_Prop!$A:$A,Prod_Prop!$B:$B,$E525,Prod_Prop!$H:$H,J$1,Prod_Prop!$I:$I,"Exacto"),Prod_Prop!$A:$A,Prod_Prop!$J:$J,"",0,1))</f>
        <v/>
      </c>
      <c r="K525" s="4" t="str">
        <f t="array" ref="K525">IF($E525="","", XLOOKUP(SUMIFS(Prod_Prop!$A:$A,Prod_Prop!$B:$B,$E525,Prod_Prop!$H:$H,K$1,Prod_Prop!$I:$I,"Exacto"),Prod_Prop!$A:$A,Prod_Prop!$J:$J,"",0,1))</f>
        <v/>
      </c>
      <c r="L525" s="4" t="str">
        <f t="array" ref="L525">IF($E525="","", XLOOKUP(SUMIFS(Prod_Prop!$A:$A,Prod_Prop!$B:$B,$E525,Prod_Prop!$H:$H,L$1,Prod_Prop!$I:$I,"Exacto"),Prod_Prop!$A:$A,Prod_Prop!$J:$J,"",0,1))</f>
        <v/>
      </c>
      <c r="M525" s="4" t="str">
        <f t="array" ref="M525">IF($E525="","", XLOOKUP(SUMIFS(Prod_Prop!$A:$A,Prod_Prop!$B:$B,$E525,Prod_Prop!$H:$H,M$1,Prod_Prop!$I:$I,"Exacto"),Prod_Prop!$A:$A,Prod_Prop!$J:$J,"",0,1))</f>
        <v/>
      </c>
      <c r="N525" s="4" t="str">
        <f t="array" ref="N525">IF($E525="","", XLOOKUP(SUMIFS(Prod_Prop!$A:$A,Prod_Prop!$B:$B,$E525,Prod_Prop!$H:$H,N$1,Prod_Prop!$I:$I,"Exacto"),Prod_Prop!$A:$A,Prod_Prop!$J:$J,"",0,1))</f>
        <v/>
      </c>
      <c r="O525" s="4" t="str">
        <f t="array" ref="O525">IF($E525="","", XLOOKUP(SUMIFS(Prod_Prop!$A:$A,Prod_Prop!$B:$B,$E525,Prod_Prop!$H:$H,O$1,Prod_Prop!$I:$I,"Exacto"),Prod_Prop!$A:$A,Prod_Prop!$J:$J,"",0,1))</f>
        <v/>
      </c>
      <c r="P525" s="4" t="str">
        <f t="array" ref="P525">IF($E525="","", XLOOKUP(SUMIFS(Prod_Prop!$A:$A,Prod_Prop!$B:$B,$E525,Prod_Prop!$H:$H,P$1,Prod_Prop!$I:$I,"Exacto"),Prod_Prop!$A:$A,Prod_Prop!$J:$J,"",0,1))</f>
        <v/>
      </c>
      <c r="Q525" s="4" t="str">
        <f t="array" ref="Q525">IF($E525="","", XLOOKUP(SUMIFS(Prod_Prop!$A:$A,Prod_Prop!$B:$B,$E525,Prod_Prop!$H:$H,Q$1,Prod_Prop!$I:$I,"Exacto"),Prod_Prop!$A:$A,Prod_Prop!$J:$J,"",0,1))</f>
        <v/>
      </c>
      <c r="R525" s="4" t="str">
        <f t="array" ref="R525">IF($E525="","", XLOOKUP(SUMIFS(Prod_Prop!$A:$A,Prod_Prop!$B:$B,$E525,Prod_Prop!$H:$H,R$1,Prod_Prop!$I:$I,"Exacto"),Prod_Prop!$A:$A,Prod_Prop!$J:$J,"",0,1))</f>
        <v/>
      </c>
      <c r="S525" s="4" t="str">
        <f t="array" ref="S525">IF($E525="","", XLOOKUP(SUMIFS(Prod_Prop!$A:$A,Prod_Prop!$B:$B,$E525,Prod_Prop!$H:$H,S$1,Prod_Prop!$I:$I,"Exacto"),Prod_Prop!$A:$A,Prod_Prop!$J:$J,"",0,1))</f>
        <v/>
      </c>
      <c r="T525" s="4" t="str">
        <f t="array" ref="T525">IF($E525="","", XLOOKUP(SUMIFS(Prod_Prop!$A:$A,Prod_Prop!$B:$B,$E525,Prod_Prop!$H:$H,T$1,Prod_Prop!$I:$I,"Exacto"),Prod_Prop!$A:$A,Prod_Prop!$J:$J,"",0,1))</f>
        <v/>
      </c>
      <c r="U525" s="4" t="str">
        <f t="array" ref="U525">IF($E525="","", XLOOKUP(SUMIFS(Prod_Prop!$A:$A,Prod_Prop!$B:$B,$E525,Prod_Prop!$H:$H,U$1,Prod_Prop!$I:$I,"Exacto"),Prod_Prop!$A:$A,Prod_Prop!$J:$J,"",0,1))</f>
        <v/>
      </c>
      <c r="V525" s="4" t="str">
        <f t="array" ref="V525">IF($E525="","", XLOOKUP(SUMIFS(Prod_Prop!$A:$A,Prod_Prop!$B:$B,$E525,Prod_Prop!$H:$H,V$1,Prod_Prop!$I:$I,"Exacto"),Prod_Prop!$A:$A,Prod_Prop!$J:$J,"",0,1))</f>
        <v/>
      </c>
      <c r="X525" s="3" t="str">
        <f>IFERROR(__xludf.DUMMYFUNCTION("IF(D525="""","""",IFERROR(TRANSPOSE(FILTER('Validaciones Cotizador'!U:U,'Validaciones Cotizador'!O:O=D525,'Validaciones Cotizador'!T:T=""x"")),""Finalizar""))"),"")</f>
        <v/>
      </c>
    </row>
    <row r="526">
      <c r="A526" s="2" t="str">
        <f t="array" ref="A526">IF(E526="","",XLOOKUP(D526,'Validaciones Cotizador'!C:C,'Validaciones Cotizador'!A:A,"",0,1))</f>
        <v/>
      </c>
      <c r="B526" s="2" t="str">
        <f t="array" ref="B526">IF(F526="","",XLOOKUP(F526,Productos!E:E,Productos!G:G,"",0,1))</f>
        <v/>
      </c>
      <c r="C526" s="2" t="str">
        <f>IF(A526="","",SUMIFS('Validaciones Cotizador'!B:B,'Validaciones Cotizador'!C:C,D526,'Validaciones Cotizador'!A:A,A526))</f>
        <v/>
      </c>
      <c r="D526" s="4" t="str">
        <f>IFERROR(__xludf.DUMMYFUNCTION("IF(OR(F525=""Finalizar"",F525="""",F525=""Selecciona..""),"""",IF(OR(F525=""-"",INDEX(filter(Familias!F:F,Familias!D:D=A525,Familias!E:E=C525),1)=""O""),D525+1,D525))"),"")</f>
        <v/>
      </c>
      <c r="E526" s="2" t="str">
        <f>IF(OR(F526="",F526="Selecciona.."),"",IF(D526="Implemento",SUMIF(Implementos!B:B,F526,Implementos!A:A),SUMIF(Productos!E:E,F526,Productos!A:A)))</f>
        <v/>
      </c>
      <c r="F526" s="2" t="str">
        <f t="shared" si="2"/>
        <v/>
      </c>
      <c r="G526" s="10" t="str">
        <f t="array" ref="G526">IF(OR(F526="",F526="-",F526="Selecciona..",F526="Finalizar"),"",IF(A526="Rodados",XLOOKUP(B526,'Validaciones Cotizador'!I:I,'Validaciones Cotizador'!J:J,0,0,1),1))</f>
        <v/>
      </c>
      <c r="H526" s="11" t="str">
        <f>IF(OR(F526="",F526="Selecciona.."),"",SUMIF(Precio_Productos!K:K,E526,Precio_Productos!J:J)*G526)</f>
        <v/>
      </c>
      <c r="I526" s="4" t="str">
        <f t="array" ref="I526">IF($E526="","", XLOOKUP(SUMIFS(Prod_Prop!$A:$A,Prod_Prop!$B:$B,$E526,Prod_Prop!$H:$H,I$1,Prod_Prop!$I:$I,"Exacto"),Prod_Prop!$A:$A,Prod_Prop!$J:$J,"",0,1))</f>
        <v/>
      </c>
      <c r="J526" s="4" t="str">
        <f t="array" ref="J526">IF($E526="","", XLOOKUP(SUMIFS(Prod_Prop!$A:$A,Prod_Prop!$B:$B,$E526,Prod_Prop!$H:$H,J$1,Prod_Prop!$I:$I,"Exacto"),Prod_Prop!$A:$A,Prod_Prop!$J:$J,"",0,1))</f>
        <v/>
      </c>
      <c r="K526" s="4" t="str">
        <f t="array" ref="K526">IF($E526="","", XLOOKUP(SUMIFS(Prod_Prop!$A:$A,Prod_Prop!$B:$B,$E526,Prod_Prop!$H:$H,K$1,Prod_Prop!$I:$I,"Exacto"),Prod_Prop!$A:$A,Prod_Prop!$J:$J,"",0,1))</f>
        <v/>
      </c>
      <c r="L526" s="4" t="str">
        <f t="array" ref="L526">IF($E526="","", XLOOKUP(SUMIFS(Prod_Prop!$A:$A,Prod_Prop!$B:$B,$E526,Prod_Prop!$H:$H,L$1,Prod_Prop!$I:$I,"Exacto"),Prod_Prop!$A:$A,Prod_Prop!$J:$J,"",0,1))</f>
        <v/>
      </c>
      <c r="M526" s="4" t="str">
        <f t="array" ref="M526">IF($E526="","", XLOOKUP(SUMIFS(Prod_Prop!$A:$A,Prod_Prop!$B:$B,$E526,Prod_Prop!$H:$H,M$1,Prod_Prop!$I:$I,"Exacto"),Prod_Prop!$A:$A,Prod_Prop!$J:$J,"",0,1))</f>
        <v/>
      </c>
      <c r="N526" s="4" t="str">
        <f t="array" ref="N526">IF($E526="","", XLOOKUP(SUMIFS(Prod_Prop!$A:$A,Prod_Prop!$B:$B,$E526,Prod_Prop!$H:$H,N$1,Prod_Prop!$I:$I,"Exacto"),Prod_Prop!$A:$A,Prod_Prop!$J:$J,"",0,1))</f>
        <v/>
      </c>
      <c r="O526" s="4" t="str">
        <f t="array" ref="O526">IF($E526="","", XLOOKUP(SUMIFS(Prod_Prop!$A:$A,Prod_Prop!$B:$B,$E526,Prod_Prop!$H:$H,O$1,Prod_Prop!$I:$I,"Exacto"),Prod_Prop!$A:$A,Prod_Prop!$J:$J,"",0,1))</f>
        <v/>
      </c>
      <c r="P526" s="4" t="str">
        <f t="array" ref="P526">IF($E526="","", XLOOKUP(SUMIFS(Prod_Prop!$A:$A,Prod_Prop!$B:$B,$E526,Prod_Prop!$H:$H,P$1,Prod_Prop!$I:$I,"Exacto"),Prod_Prop!$A:$A,Prod_Prop!$J:$J,"",0,1))</f>
        <v/>
      </c>
      <c r="Q526" s="4" t="str">
        <f t="array" ref="Q526">IF($E526="","", XLOOKUP(SUMIFS(Prod_Prop!$A:$A,Prod_Prop!$B:$B,$E526,Prod_Prop!$H:$H,Q$1,Prod_Prop!$I:$I,"Exacto"),Prod_Prop!$A:$A,Prod_Prop!$J:$J,"",0,1))</f>
        <v/>
      </c>
      <c r="R526" s="4" t="str">
        <f t="array" ref="R526">IF($E526="","", XLOOKUP(SUMIFS(Prod_Prop!$A:$A,Prod_Prop!$B:$B,$E526,Prod_Prop!$H:$H,R$1,Prod_Prop!$I:$I,"Exacto"),Prod_Prop!$A:$A,Prod_Prop!$J:$J,"",0,1))</f>
        <v/>
      </c>
      <c r="S526" s="4" t="str">
        <f t="array" ref="S526">IF($E526="","", XLOOKUP(SUMIFS(Prod_Prop!$A:$A,Prod_Prop!$B:$B,$E526,Prod_Prop!$H:$H,S$1,Prod_Prop!$I:$I,"Exacto"),Prod_Prop!$A:$A,Prod_Prop!$J:$J,"",0,1))</f>
        <v/>
      </c>
      <c r="T526" s="4" t="str">
        <f t="array" ref="T526">IF($E526="","", XLOOKUP(SUMIFS(Prod_Prop!$A:$A,Prod_Prop!$B:$B,$E526,Prod_Prop!$H:$H,T$1,Prod_Prop!$I:$I,"Exacto"),Prod_Prop!$A:$A,Prod_Prop!$J:$J,"",0,1))</f>
        <v/>
      </c>
      <c r="U526" s="4" t="str">
        <f t="array" ref="U526">IF($E526="","", XLOOKUP(SUMIFS(Prod_Prop!$A:$A,Prod_Prop!$B:$B,$E526,Prod_Prop!$H:$H,U$1,Prod_Prop!$I:$I,"Exacto"),Prod_Prop!$A:$A,Prod_Prop!$J:$J,"",0,1))</f>
        <v/>
      </c>
      <c r="V526" s="4" t="str">
        <f t="array" ref="V526">IF($E526="","", XLOOKUP(SUMIFS(Prod_Prop!$A:$A,Prod_Prop!$B:$B,$E526,Prod_Prop!$H:$H,V$1,Prod_Prop!$I:$I,"Exacto"),Prod_Prop!$A:$A,Prod_Prop!$J:$J,"",0,1))</f>
        <v/>
      </c>
      <c r="X526" s="3" t="str">
        <f>IFERROR(__xludf.DUMMYFUNCTION("IF(D526="""","""",IFERROR(TRANSPOSE(FILTER('Validaciones Cotizador'!U:U,'Validaciones Cotizador'!O:O=D526,'Validaciones Cotizador'!T:T=""x"")),""Finalizar""))"),"")</f>
        <v/>
      </c>
    </row>
    <row r="527">
      <c r="A527" s="2" t="str">
        <f t="array" ref="A527">IF(E527="","",XLOOKUP(D527,'Validaciones Cotizador'!C:C,'Validaciones Cotizador'!A:A,"",0,1))</f>
        <v/>
      </c>
      <c r="B527" s="2" t="str">
        <f t="array" ref="B527">IF(F527="","",XLOOKUP(F527,Productos!E:E,Productos!G:G,"",0,1))</f>
        <v/>
      </c>
      <c r="C527" s="2" t="str">
        <f>IF(A527="","",SUMIFS('Validaciones Cotizador'!B:B,'Validaciones Cotizador'!C:C,D527,'Validaciones Cotizador'!A:A,A527))</f>
        <v/>
      </c>
      <c r="D527" s="4" t="str">
        <f>IFERROR(__xludf.DUMMYFUNCTION("IF(OR(F526=""Finalizar"",F526="""",F526=""Selecciona..""),"""",IF(OR(F526=""-"",INDEX(filter(Familias!F:F,Familias!D:D=A526,Familias!E:E=C526),1)=""O""),D526+1,D526))"),"")</f>
        <v/>
      </c>
      <c r="E527" s="2" t="str">
        <f>IF(OR(F527="",F527="Selecciona.."),"",IF(D527="Implemento",SUMIF(Implementos!B:B,F527,Implementos!A:A),SUMIF(Productos!E:E,F527,Productos!A:A)))</f>
        <v/>
      </c>
      <c r="F527" s="2" t="str">
        <f t="shared" si="2"/>
        <v/>
      </c>
      <c r="G527" s="10" t="str">
        <f t="array" ref="G527">IF(OR(F527="",F527="-",F527="Selecciona..",F527="Finalizar"),"",IF(A527="Rodados",XLOOKUP(B527,'Validaciones Cotizador'!I:I,'Validaciones Cotizador'!J:J,0,0,1),1))</f>
        <v/>
      </c>
      <c r="H527" s="11" t="str">
        <f>IF(OR(F527="",F527="Selecciona.."),"",SUMIF(Precio_Productos!K:K,E527,Precio_Productos!J:J)*G527)</f>
        <v/>
      </c>
      <c r="I527" s="4" t="str">
        <f t="array" ref="I527">IF($E527="","", XLOOKUP(SUMIFS(Prod_Prop!$A:$A,Prod_Prop!$B:$B,$E527,Prod_Prop!$H:$H,I$1,Prod_Prop!$I:$I,"Exacto"),Prod_Prop!$A:$A,Prod_Prop!$J:$J,"",0,1))</f>
        <v/>
      </c>
      <c r="J527" s="4" t="str">
        <f t="array" ref="J527">IF($E527="","", XLOOKUP(SUMIFS(Prod_Prop!$A:$A,Prod_Prop!$B:$B,$E527,Prod_Prop!$H:$H,J$1,Prod_Prop!$I:$I,"Exacto"),Prod_Prop!$A:$A,Prod_Prop!$J:$J,"",0,1))</f>
        <v/>
      </c>
      <c r="K527" s="4" t="str">
        <f t="array" ref="K527">IF($E527="","", XLOOKUP(SUMIFS(Prod_Prop!$A:$A,Prod_Prop!$B:$B,$E527,Prod_Prop!$H:$H,K$1,Prod_Prop!$I:$I,"Exacto"),Prod_Prop!$A:$A,Prod_Prop!$J:$J,"",0,1))</f>
        <v/>
      </c>
      <c r="L527" s="4" t="str">
        <f t="array" ref="L527">IF($E527="","", XLOOKUP(SUMIFS(Prod_Prop!$A:$A,Prod_Prop!$B:$B,$E527,Prod_Prop!$H:$H,L$1,Prod_Prop!$I:$I,"Exacto"),Prod_Prop!$A:$A,Prod_Prop!$J:$J,"",0,1))</f>
        <v/>
      </c>
      <c r="M527" s="4" t="str">
        <f t="array" ref="M527">IF($E527="","", XLOOKUP(SUMIFS(Prod_Prop!$A:$A,Prod_Prop!$B:$B,$E527,Prod_Prop!$H:$H,M$1,Prod_Prop!$I:$I,"Exacto"),Prod_Prop!$A:$A,Prod_Prop!$J:$J,"",0,1))</f>
        <v/>
      </c>
      <c r="N527" s="4" t="str">
        <f t="array" ref="N527">IF($E527="","", XLOOKUP(SUMIFS(Prod_Prop!$A:$A,Prod_Prop!$B:$B,$E527,Prod_Prop!$H:$H,N$1,Prod_Prop!$I:$I,"Exacto"),Prod_Prop!$A:$A,Prod_Prop!$J:$J,"",0,1))</f>
        <v/>
      </c>
      <c r="O527" s="4" t="str">
        <f t="array" ref="O527">IF($E527="","", XLOOKUP(SUMIFS(Prod_Prop!$A:$A,Prod_Prop!$B:$B,$E527,Prod_Prop!$H:$H,O$1,Prod_Prop!$I:$I,"Exacto"),Prod_Prop!$A:$A,Prod_Prop!$J:$J,"",0,1))</f>
        <v/>
      </c>
      <c r="P527" s="4" t="str">
        <f t="array" ref="P527">IF($E527="","", XLOOKUP(SUMIFS(Prod_Prop!$A:$A,Prod_Prop!$B:$B,$E527,Prod_Prop!$H:$H,P$1,Prod_Prop!$I:$I,"Exacto"),Prod_Prop!$A:$A,Prod_Prop!$J:$J,"",0,1))</f>
        <v/>
      </c>
      <c r="Q527" s="4" t="str">
        <f t="array" ref="Q527">IF($E527="","", XLOOKUP(SUMIFS(Prod_Prop!$A:$A,Prod_Prop!$B:$B,$E527,Prod_Prop!$H:$H,Q$1,Prod_Prop!$I:$I,"Exacto"),Prod_Prop!$A:$A,Prod_Prop!$J:$J,"",0,1))</f>
        <v/>
      </c>
      <c r="R527" s="4" t="str">
        <f t="array" ref="R527">IF($E527="","", XLOOKUP(SUMIFS(Prod_Prop!$A:$A,Prod_Prop!$B:$B,$E527,Prod_Prop!$H:$H,R$1,Prod_Prop!$I:$I,"Exacto"),Prod_Prop!$A:$A,Prod_Prop!$J:$J,"",0,1))</f>
        <v/>
      </c>
      <c r="S527" s="4" t="str">
        <f t="array" ref="S527">IF($E527="","", XLOOKUP(SUMIFS(Prod_Prop!$A:$A,Prod_Prop!$B:$B,$E527,Prod_Prop!$H:$H,S$1,Prod_Prop!$I:$I,"Exacto"),Prod_Prop!$A:$A,Prod_Prop!$J:$J,"",0,1))</f>
        <v/>
      </c>
      <c r="T527" s="4" t="str">
        <f t="array" ref="T527">IF($E527="","", XLOOKUP(SUMIFS(Prod_Prop!$A:$A,Prod_Prop!$B:$B,$E527,Prod_Prop!$H:$H,T$1,Prod_Prop!$I:$I,"Exacto"),Prod_Prop!$A:$A,Prod_Prop!$J:$J,"",0,1))</f>
        <v/>
      </c>
      <c r="U527" s="4" t="str">
        <f t="array" ref="U527">IF($E527="","", XLOOKUP(SUMIFS(Prod_Prop!$A:$A,Prod_Prop!$B:$B,$E527,Prod_Prop!$H:$H,U$1,Prod_Prop!$I:$I,"Exacto"),Prod_Prop!$A:$A,Prod_Prop!$J:$J,"",0,1))</f>
        <v/>
      </c>
      <c r="V527" s="4" t="str">
        <f t="array" ref="V527">IF($E527="","", XLOOKUP(SUMIFS(Prod_Prop!$A:$A,Prod_Prop!$B:$B,$E527,Prod_Prop!$H:$H,V$1,Prod_Prop!$I:$I,"Exacto"),Prod_Prop!$A:$A,Prod_Prop!$J:$J,"",0,1))</f>
        <v/>
      </c>
      <c r="X527" s="3" t="str">
        <f>IFERROR(__xludf.DUMMYFUNCTION("IF(D527="""","""",IFERROR(TRANSPOSE(FILTER('Validaciones Cotizador'!U:U,'Validaciones Cotizador'!O:O=D527,'Validaciones Cotizador'!T:T=""x"")),""Finalizar""))"),"")</f>
        <v/>
      </c>
    </row>
    <row r="528">
      <c r="A528" s="2" t="str">
        <f t="array" ref="A528">IF(E528="","",XLOOKUP(D528,'Validaciones Cotizador'!C:C,'Validaciones Cotizador'!A:A,"",0,1))</f>
        <v/>
      </c>
      <c r="B528" s="2" t="str">
        <f t="array" ref="B528">IF(F528="","",XLOOKUP(F528,Productos!E:E,Productos!G:G,"",0,1))</f>
        <v/>
      </c>
      <c r="C528" s="2" t="str">
        <f>IF(A528="","",SUMIFS('Validaciones Cotizador'!B:B,'Validaciones Cotizador'!C:C,D528,'Validaciones Cotizador'!A:A,A528))</f>
        <v/>
      </c>
      <c r="D528" s="4" t="str">
        <f>IFERROR(__xludf.DUMMYFUNCTION("IF(OR(F527=""Finalizar"",F527="""",F527=""Selecciona..""),"""",IF(OR(F527=""-"",INDEX(filter(Familias!F:F,Familias!D:D=A527,Familias!E:E=C527),1)=""O""),D527+1,D527))"),"")</f>
        <v/>
      </c>
      <c r="E528" s="2" t="str">
        <f>IF(OR(F528="",F528="Selecciona.."),"",IF(D528="Implemento",SUMIF(Implementos!B:B,F528,Implementos!A:A),SUMIF(Productos!E:E,F528,Productos!A:A)))</f>
        <v/>
      </c>
      <c r="F528" s="2" t="str">
        <f t="shared" si="2"/>
        <v/>
      </c>
      <c r="G528" s="10" t="str">
        <f t="array" ref="G528">IF(OR(F528="",F528="-",F528="Selecciona..",F528="Finalizar"),"",IF(A528="Rodados",XLOOKUP(B528,'Validaciones Cotizador'!I:I,'Validaciones Cotizador'!J:J,0,0,1),1))</f>
        <v/>
      </c>
      <c r="H528" s="11" t="str">
        <f>IF(OR(F528="",F528="Selecciona.."),"",SUMIF(Precio_Productos!K:K,E528,Precio_Productos!J:J)*G528)</f>
        <v/>
      </c>
      <c r="I528" s="4" t="str">
        <f t="array" ref="I528">IF($E528="","", XLOOKUP(SUMIFS(Prod_Prop!$A:$A,Prod_Prop!$B:$B,$E528,Prod_Prop!$H:$H,I$1,Prod_Prop!$I:$I,"Exacto"),Prod_Prop!$A:$A,Prod_Prop!$J:$J,"",0,1))</f>
        <v/>
      </c>
      <c r="J528" s="4" t="str">
        <f t="array" ref="J528">IF($E528="","", XLOOKUP(SUMIFS(Prod_Prop!$A:$A,Prod_Prop!$B:$B,$E528,Prod_Prop!$H:$H,J$1,Prod_Prop!$I:$I,"Exacto"),Prod_Prop!$A:$A,Prod_Prop!$J:$J,"",0,1))</f>
        <v/>
      </c>
      <c r="K528" s="4" t="str">
        <f t="array" ref="K528">IF($E528="","", XLOOKUP(SUMIFS(Prod_Prop!$A:$A,Prod_Prop!$B:$B,$E528,Prod_Prop!$H:$H,K$1,Prod_Prop!$I:$I,"Exacto"),Prod_Prop!$A:$A,Prod_Prop!$J:$J,"",0,1))</f>
        <v/>
      </c>
      <c r="L528" s="4" t="str">
        <f t="array" ref="L528">IF($E528="","", XLOOKUP(SUMIFS(Prod_Prop!$A:$A,Prod_Prop!$B:$B,$E528,Prod_Prop!$H:$H,L$1,Prod_Prop!$I:$I,"Exacto"),Prod_Prop!$A:$A,Prod_Prop!$J:$J,"",0,1))</f>
        <v/>
      </c>
      <c r="M528" s="4" t="str">
        <f t="array" ref="M528">IF($E528="","", XLOOKUP(SUMIFS(Prod_Prop!$A:$A,Prod_Prop!$B:$B,$E528,Prod_Prop!$H:$H,M$1,Prod_Prop!$I:$I,"Exacto"),Prod_Prop!$A:$A,Prod_Prop!$J:$J,"",0,1))</f>
        <v/>
      </c>
      <c r="N528" s="4" t="str">
        <f t="array" ref="N528">IF($E528="","", XLOOKUP(SUMIFS(Prod_Prop!$A:$A,Prod_Prop!$B:$B,$E528,Prod_Prop!$H:$H,N$1,Prod_Prop!$I:$I,"Exacto"),Prod_Prop!$A:$A,Prod_Prop!$J:$J,"",0,1))</f>
        <v/>
      </c>
      <c r="O528" s="4" t="str">
        <f t="array" ref="O528">IF($E528="","", XLOOKUP(SUMIFS(Prod_Prop!$A:$A,Prod_Prop!$B:$B,$E528,Prod_Prop!$H:$H,O$1,Prod_Prop!$I:$I,"Exacto"),Prod_Prop!$A:$A,Prod_Prop!$J:$J,"",0,1))</f>
        <v/>
      </c>
      <c r="P528" s="4" t="str">
        <f t="array" ref="P528">IF($E528="","", XLOOKUP(SUMIFS(Prod_Prop!$A:$A,Prod_Prop!$B:$B,$E528,Prod_Prop!$H:$H,P$1,Prod_Prop!$I:$I,"Exacto"),Prod_Prop!$A:$A,Prod_Prop!$J:$J,"",0,1))</f>
        <v/>
      </c>
      <c r="Q528" s="4" t="str">
        <f t="array" ref="Q528">IF($E528="","", XLOOKUP(SUMIFS(Prod_Prop!$A:$A,Prod_Prop!$B:$B,$E528,Prod_Prop!$H:$H,Q$1,Prod_Prop!$I:$I,"Exacto"),Prod_Prop!$A:$A,Prod_Prop!$J:$J,"",0,1))</f>
        <v/>
      </c>
      <c r="R528" s="4" t="str">
        <f t="array" ref="R528">IF($E528="","", XLOOKUP(SUMIFS(Prod_Prop!$A:$A,Prod_Prop!$B:$B,$E528,Prod_Prop!$H:$H,R$1,Prod_Prop!$I:$I,"Exacto"),Prod_Prop!$A:$A,Prod_Prop!$J:$J,"",0,1))</f>
        <v/>
      </c>
      <c r="S528" s="4" t="str">
        <f t="array" ref="S528">IF($E528="","", XLOOKUP(SUMIFS(Prod_Prop!$A:$A,Prod_Prop!$B:$B,$E528,Prod_Prop!$H:$H,S$1,Prod_Prop!$I:$I,"Exacto"),Prod_Prop!$A:$A,Prod_Prop!$J:$J,"",0,1))</f>
        <v/>
      </c>
      <c r="T528" s="4" t="str">
        <f t="array" ref="T528">IF($E528="","", XLOOKUP(SUMIFS(Prod_Prop!$A:$A,Prod_Prop!$B:$B,$E528,Prod_Prop!$H:$H,T$1,Prod_Prop!$I:$I,"Exacto"),Prod_Prop!$A:$A,Prod_Prop!$J:$J,"",0,1))</f>
        <v/>
      </c>
      <c r="U528" s="4" t="str">
        <f t="array" ref="U528">IF($E528="","", XLOOKUP(SUMIFS(Prod_Prop!$A:$A,Prod_Prop!$B:$B,$E528,Prod_Prop!$H:$H,U$1,Prod_Prop!$I:$I,"Exacto"),Prod_Prop!$A:$A,Prod_Prop!$J:$J,"",0,1))</f>
        <v/>
      </c>
      <c r="V528" s="4" t="str">
        <f t="array" ref="V528">IF($E528="","", XLOOKUP(SUMIFS(Prod_Prop!$A:$A,Prod_Prop!$B:$B,$E528,Prod_Prop!$H:$H,V$1,Prod_Prop!$I:$I,"Exacto"),Prod_Prop!$A:$A,Prod_Prop!$J:$J,"",0,1))</f>
        <v/>
      </c>
      <c r="X528" s="3" t="str">
        <f>IFERROR(__xludf.DUMMYFUNCTION("IF(D528="""","""",IFERROR(TRANSPOSE(FILTER('Validaciones Cotizador'!U:U,'Validaciones Cotizador'!O:O=D528,'Validaciones Cotizador'!T:T=""x"")),""Finalizar""))"),"")</f>
        <v/>
      </c>
    </row>
    <row r="529">
      <c r="A529" s="2" t="str">
        <f t="array" ref="A529">IF(E529="","",XLOOKUP(D529,'Validaciones Cotizador'!C:C,'Validaciones Cotizador'!A:A,"",0,1))</f>
        <v/>
      </c>
      <c r="B529" s="2" t="str">
        <f t="array" ref="B529">IF(F529="","",XLOOKUP(F529,Productos!E:E,Productos!G:G,"",0,1))</f>
        <v/>
      </c>
      <c r="C529" s="2" t="str">
        <f>IF(A529="","",SUMIFS('Validaciones Cotizador'!B:B,'Validaciones Cotizador'!C:C,D529,'Validaciones Cotizador'!A:A,A529))</f>
        <v/>
      </c>
      <c r="D529" s="4" t="str">
        <f>IFERROR(__xludf.DUMMYFUNCTION("IF(OR(F528=""Finalizar"",F528="""",F528=""Selecciona..""),"""",IF(OR(F528=""-"",INDEX(filter(Familias!F:F,Familias!D:D=A528,Familias!E:E=C528),1)=""O""),D528+1,D528))"),"")</f>
        <v/>
      </c>
      <c r="E529" s="2" t="str">
        <f>IF(OR(F529="",F529="Selecciona.."),"",IF(D529="Implemento",SUMIF(Implementos!B:B,F529,Implementos!A:A),SUMIF(Productos!E:E,F529,Productos!A:A)))</f>
        <v/>
      </c>
      <c r="F529" s="2" t="str">
        <f t="shared" si="2"/>
        <v/>
      </c>
      <c r="G529" s="10" t="str">
        <f t="array" ref="G529">IF(OR(F529="",F529="-",F529="Selecciona..",F529="Finalizar"),"",IF(A529="Rodados",XLOOKUP(B529,'Validaciones Cotizador'!I:I,'Validaciones Cotizador'!J:J,0,0,1),1))</f>
        <v/>
      </c>
      <c r="H529" s="11" t="str">
        <f>IF(OR(F529="",F529="Selecciona.."),"",SUMIF(Precio_Productos!K:K,E529,Precio_Productos!J:J)*G529)</f>
        <v/>
      </c>
      <c r="I529" s="4" t="str">
        <f t="array" ref="I529">IF($E529="","", XLOOKUP(SUMIFS(Prod_Prop!$A:$A,Prod_Prop!$B:$B,$E529,Prod_Prop!$H:$H,I$1,Prod_Prop!$I:$I,"Exacto"),Prod_Prop!$A:$A,Prod_Prop!$J:$J,"",0,1))</f>
        <v/>
      </c>
      <c r="J529" s="4" t="str">
        <f t="array" ref="J529">IF($E529="","", XLOOKUP(SUMIFS(Prod_Prop!$A:$A,Prod_Prop!$B:$B,$E529,Prod_Prop!$H:$H,J$1,Prod_Prop!$I:$I,"Exacto"),Prod_Prop!$A:$A,Prod_Prop!$J:$J,"",0,1))</f>
        <v/>
      </c>
      <c r="K529" s="4" t="str">
        <f t="array" ref="K529">IF($E529="","", XLOOKUP(SUMIFS(Prod_Prop!$A:$A,Prod_Prop!$B:$B,$E529,Prod_Prop!$H:$H,K$1,Prod_Prop!$I:$I,"Exacto"),Prod_Prop!$A:$A,Prod_Prop!$J:$J,"",0,1))</f>
        <v/>
      </c>
      <c r="L529" s="4" t="str">
        <f t="array" ref="L529">IF($E529="","", XLOOKUP(SUMIFS(Prod_Prop!$A:$A,Prod_Prop!$B:$B,$E529,Prod_Prop!$H:$H,L$1,Prod_Prop!$I:$I,"Exacto"),Prod_Prop!$A:$A,Prod_Prop!$J:$J,"",0,1))</f>
        <v/>
      </c>
      <c r="M529" s="4" t="str">
        <f t="array" ref="M529">IF($E529="","", XLOOKUP(SUMIFS(Prod_Prop!$A:$A,Prod_Prop!$B:$B,$E529,Prod_Prop!$H:$H,M$1,Prod_Prop!$I:$I,"Exacto"),Prod_Prop!$A:$A,Prod_Prop!$J:$J,"",0,1))</f>
        <v/>
      </c>
      <c r="N529" s="4" t="str">
        <f t="array" ref="N529">IF($E529="","", XLOOKUP(SUMIFS(Prod_Prop!$A:$A,Prod_Prop!$B:$B,$E529,Prod_Prop!$H:$H,N$1,Prod_Prop!$I:$I,"Exacto"),Prod_Prop!$A:$A,Prod_Prop!$J:$J,"",0,1))</f>
        <v/>
      </c>
      <c r="O529" s="4" t="str">
        <f t="array" ref="O529">IF($E529="","", XLOOKUP(SUMIFS(Prod_Prop!$A:$A,Prod_Prop!$B:$B,$E529,Prod_Prop!$H:$H,O$1,Prod_Prop!$I:$I,"Exacto"),Prod_Prop!$A:$A,Prod_Prop!$J:$J,"",0,1))</f>
        <v/>
      </c>
      <c r="P529" s="4" t="str">
        <f t="array" ref="P529">IF($E529="","", XLOOKUP(SUMIFS(Prod_Prop!$A:$A,Prod_Prop!$B:$B,$E529,Prod_Prop!$H:$H,P$1,Prod_Prop!$I:$I,"Exacto"),Prod_Prop!$A:$A,Prod_Prop!$J:$J,"",0,1))</f>
        <v/>
      </c>
      <c r="Q529" s="4" t="str">
        <f t="array" ref="Q529">IF($E529="","", XLOOKUP(SUMIFS(Prod_Prop!$A:$A,Prod_Prop!$B:$B,$E529,Prod_Prop!$H:$H,Q$1,Prod_Prop!$I:$I,"Exacto"),Prod_Prop!$A:$A,Prod_Prop!$J:$J,"",0,1))</f>
        <v/>
      </c>
      <c r="R529" s="4" t="str">
        <f t="array" ref="R529">IF($E529="","", XLOOKUP(SUMIFS(Prod_Prop!$A:$A,Prod_Prop!$B:$B,$E529,Prod_Prop!$H:$H,R$1,Prod_Prop!$I:$I,"Exacto"),Prod_Prop!$A:$A,Prod_Prop!$J:$J,"",0,1))</f>
        <v/>
      </c>
      <c r="S529" s="4" t="str">
        <f t="array" ref="S529">IF($E529="","", XLOOKUP(SUMIFS(Prod_Prop!$A:$A,Prod_Prop!$B:$B,$E529,Prod_Prop!$H:$H,S$1,Prod_Prop!$I:$I,"Exacto"),Prod_Prop!$A:$A,Prod_Prop!$J:$J,"",0,1))</f>
        <v/>
      </c>
      <c r="T529" s="4" t="str">
        <f t="array" ref="T529">IF($E529="","", XLOOKUP(SUMIFS(Prod_Prop!$A:$A,Prod_Prop!$B:$B,$E529,Prod_Prop!$H:$H,T$1,Prod_Prop!$I:$I,"Exacto"),Prod_Prop!$A:$A,Prod_Prop!$J:$J,"",0,1))</f>
        <v/>
      </c>
      <c r="U529" s="4" t="str">
        <f t="array" ref="U529">IF($E529="","", XLOOKUP(SUMIFS(Prod_Prop!$A:$A,Prod_Prop!$B:$B,$E529,Prod_Prop!$H:$H,U$1,Prod_Prop!$I:$I,"Exacto"),Prod_Prop!$A:$A,Prod_Prop!$J:$J,"",0,1))</f>
        <v/>
      </c>
      <c r="V529" s="4" t="str">
        <f t="array" ref="V529">IF($E529="","", XLOOKUP(SUMIFS(Prod_Prop!$A:$A,Prod_Prop!$B:$B,$E529,Prod_Prop!$H:$H,V$1,Prod_Prop!$I:$I,"Exacto"),Prod_Prop!$A:$A,Prod_Prop!$J:$J,"",0,1))</f>
        <v/>
      </c>
      <c r="X529" s="3" t="str">
        <f>IFERROR(__xludf.DUMMYFUNCTION("IF(D529="""","""",IFERROR(TRANSPOSE(FILTER('Validaciones Cotizador'!U:U,'Validaciones Cotizador'!O:O=D529,'Validaciones Cotizador'!T:T=""x"")),""Finalizar""))"),"")</f>
        <v/>
      </c>
    </row>
    <row r="530">
      <c r="A530" s="2" t="str">
        <f t="array" ref="A530">IF(E530="","",XLOOKUP(D530,'Validaciones Cotizador'!C:C,'Validaciones Cotizador'!A:A,"",0,1))</f>
        <v/>
      </c>
      <c r="B530" s="2" t="str">
        <f t="array" ref="B530">IF(F530="","",XLOOKUP(F530,Productos!E:E,Productos!G:G,"",0,1))</f>
        <v/>
      </c>
      <c r="C530" s="2" t="str">
        <f>IF(A530="","",SUMIFS('Validaciones Cotizador'!B:B,'Validaciones Cotizador'!C:C,D530,'Validaciones Cotizador'!A:A,A530))</f>
        <v/>
      </c>
      <c r="D530" s="4" t="str">
        <f>IFERROR(__xludf.DUMMYFUNCTION("IF(OR(F529=""Finalizar"",F529="""",F529=""Selecciona..""),"""",IF(OR(F529=""-"",INDEX(filter(Familias!F:F,Familias!D:D=A529,Familias!E:E=C529),1)=""O""),D529+1,D529))"),"")</f>
        <v/>
      </c>
      <c r="E530" s="2" t="str">
        <f>IF(OR(F530="",F530="Selecciona.."),"",IF(D530="Implemento",SUMIF(Implementos!B:B,F530,Implementos!A:A),SUMIF(Productos!E:E,F530,Productos!A:A)))</f>
        <v/>
      </c>
      <c r="F530" s="2" t="str">
        <f t="shared" si="2"/>
        <v/>
      </c>
      <c r="G530" s="10" t="str">
        <f t="array" ref="G530">IF(OR(F530="",F530="-",F530="Selecciona..",F530="Finalizar"),"",IF(A530="Rodados",XLOOKUP(B530,'Validaciones Cotizador'!I:I,'Validaciones Cotizador'!J:J,0,0,1),1))</f>
        <v/>
      </c>
      <c r="H530" s="11" t="str">
        <f>IF(OR(F530="",F530="Selecciona.."),"",SUMIF(Precio_Productos!K:K,E530,Precio_Productos!J:J)*G530)</f>
        <v/>
      </c>
      <c r="I530" s="4" t="str">
        <f t="array" ref="I530">IF($E530="","", XLOOKUP(SUMIFS(Prod_Prop!$A:$A,Prod_Prop!$B:$B,$E530,Prod_Prop!$H:$H,I$1,Prod_Prop!$I:$I,"Exacto"),Prod_Prop!$A:$A,Prod_Prop!$J:$J,"",0,1))</f>
        <v/>
      </c>
      <c r="J530" s="4" t="str">
        <f t="array" ref="J530">IF($E530="","", XLOOKUP(SUMIFS(Prod_Prop!$A:$A,Prod_Prop!$B:$B,$E530,Prod_Prop!$H:$H,J$1,Prod_Prop!$I:$I,"Exacto"),Prod_Prop!$A:$A,Prod_Prop!$J:$J,"",0,1))</f>
        <v/>
      </c>
      <c r="K530" s="4" t="str">
        <f t="array" ref="K530">IF($E530="","", XLOOKUP(SUMIFS(Prod_Prop!$A:$A,Prod_Prop!$B:$B,$E530,Prod_Prop!$H:$H,K$1,Prod_Prop!$I:$I,"Exacto"),Prod_Prop!$A:$A,Prod_Prop!$J:$J,"",0,1))</f>
        <v/>
      </c>
      <c r="L530" s="4" t="str">
        <f t="array" ref="L530">IF($E530="","", XLOOKUP(SUMIFS(Prod_Prop!$A:$A,Prod_Prop!$B:$B,$E530,Prod_Prop!$H:$H,L$1,Prod_Prop!$I:$I,"Exacto"),Prod_Prop!$A:$A,Prod_Prop!$J:$J,"",0,1))</f>
        <v/>
      </c>
      <c r="M530" s="4" t="str">
        <f t="array" ref="M530">IF($E530="","", XLOOKUP(SUMIFS(Prod_Prop!$A:$A,Prod_Prop!$B:$B,$E530,Prod_Prop!$H:$H,M$1,Prod_Prop!$I:$I,"Exacto"),Prod_Prop!$A:$A,Prod_Prop!$J:$J,"",0,1))</f>
        <v/>
      </c>
      <c r="N530" s="4" t="str">
        <f t="array" ref="N530">IF($E530="","", XLOOKUP(SUMIFS(Prod_Prop!$A:$A,Prod_Prop!$B:$B,$E530,Prod_Prop!$H:$H,N$1,Prod_Prop!$I:$I,"Exacto"),Prod_Prop!$A:$A,Prod_Prop!$J:$J,"",0,1))</f>
        <v/>
      </c>
      <c r="O530" s="4" t="str">
        <f t="array" ref="O530">IF($E530="","", XLOOKUP(SUMIFS(Prod_Prop!$A:$A,Prod_Prop!$B:$B,$E530,Prod_Prop!$H:$H,O$1,Prod_Prop!$I:$I,"Exacto"),Prod_Prop!$A:$A,Prod_Prop!$J:$J,"",0,1))</f>
        <v/>
      </c>
      <c r="P530" s="4" t="str">
        <f t="array" ref="P530">IF($E530="","", XLOOKUP(SUMIFS(Prod_Prop!$A:$A,Prod_Prop!$B:$B,$E530,Prod_Prop!$H:$H,P$1,Prod_Prop!$I:$I,"Exacto"),Prod_Prop!$A:$A,Prod_Prop!$J:$J,"",0,1))</f>
        <v/>
      </c>
      <c r="Q530" s="4" t="str">
        <f t="array" ref="Q530">IF($E530="","", XLOOKUP(SUMIFS(Prod_Prop!$A:$A,Prod_Prop!$B:$B,$E530,Prod_Prop!$H:$H,Q$1,Prod_Prop!$I:$I,"Exacto"),Prod_Prop!$A:$A,Prod_Prop!$J:$J,"",0,1))</f>
        <v/>
      </c>
      <c r="R530" s="4" t="str">
        <f t="array" ref="R530">IF($E530="","", XLOOKUP(SUMIFS(Prod_Prop!$A:$A,Prod_Prop!$B:$B,$E530,Prod_Prop!$H:$H,R$1,Prod_Prop!$I:$I,"Exacto"),Prod_Prop!$A:$A,Prod_Prop!$J:$J,"",0,1))</f>
        <v/>
      </c>
      <c r="S530" s="4" t="str">
        <f t="array" ref="S530">IF($E530="","", XLOOKUP(SUMIFS(Prod_Prop!$A:$A,Prod_Prop!$B:$B,$E530,Prod_Prop!$H:$H,S$1,Prod_Prop!$I:$I,"Exacto"),Prod_Prop!$A:$A,Prod_Prop!$J:$J,"",0,1))</f>
        <v/>
      </c>
      <c r="T530" s="4" t="str">
        <f t="array" ref="T530">IF($E530="","", XLOOKUP(SUMIFS(Prod_Prop!$A:$A,Prod_Prop!$B:$B,$E530,Prod_Prop!$H:$H,T$1,Prod_Prop!$I:$I,"Exacto"),Prod_Prop!$A:$A,Prod_Prop!$J:$J,"",0,1))</f>
        <v/>
      </c>
      <c r="U530" s="4" t="str">
        <f t="array" ref="U530">IF($E530="","", XLOOKUP(SUMIFS(Prod_Prop!$A:$A,Prod_Prop!$B:$B,$E530,Prod_Prop!$H:$H,U$1,Prod_Prop!$I:$I,"Exacto"),Prod_Prop!$A:$A,Prod_Prop!$J:$J,"",0,1))</f>
        <v/>
      </c>
      <c r="V530" s="4" t="str">
        <f t="array" ref="V530">IF($E530="","", XLOOKUP(SUMIFS(Prod_Prop!$A:$A,Prod_Prop!$B:$B,$E530,Prod_Prop!$H:$H,V$1,Prod_Prop!$I:$I,"Exacto"),Prod_Prop!$A:$A,Prod_Prop!$J:$J,"",0,1))</f>
        <v/>
      </c>
      <c r="X530" s="3" t="str">
        <f>IFERROR(__xludf.DUMMYFUNCTION("IF(D530="""","""",IFERROR(TRANSPOSE(FILTER('Validaciones Cotizador'!U:U,'Validaciones Cotizador'!O:O=D530,'Validaciones Cotizador'!T:T=""x"")),""Finalizar""))"),"")</f>
        <v/>
      </c>
    </row>
    <row r="531">
      <c r="A531" s="2" t="str">
        <f t="array" ref="A531">IF(E531="","",XLOOKUP(D531,'Validaciones Cotizador'!C:C,'Validaciones Cotizador'!A:A,"",0,1))</f>
        <v/>
      </c>
      <c r="B531" s="2" t="str">
        <f t="array" ref="B531">IF(F531="","",XLOOKUP(F531,Productos!E:E,Productos!G:G,"",0,1))</f>
        <v/>
      </c>
      <c r="C531" s="2" t="str">
        <f>IF(A531="","",SUMIFS('Validaciones Cotizador'!B:B,'Validaciones Cotizador'!C:C,D531,'Validaciones Cotizador'!A:A,A531))</f>
        <v/>
      </c>
      <c r="D531" s="4" t="str">
        <f>IFERROR(__xludf.DUMMYFUNCTION("IF(OR(F530=""Finalizar"",F530="""",F530=""Selecciona..""),"""",IF(OR(F530=""-"",INDEX(filter(Familias!F:F,Familias!D:D=A530,Familias!E:E=C530),1)=""O""),D530+1,D530))"),"")</f>
        <v/>
      </c>
      <c r="E531" s="2" t="str">
        <f>IF(OR(F531="",F531="Selecciona.."),"",IF(D531="Implemento",SUMIF(Implementos!B:B,F531,Implementos!A:A),SUMIF(Productos!E:E,F531,Productos!A:A)))</f>
        <v/>
      </c>
      <c r="F531" s="2" t="str">
        <f t="shared" si="2"/>
        <v/>
      </c>
      <c r="G531" s="10" t="str">
        <f t="array" ref="G531">IF(OR(F531="",F531="-",F531="Selecciona..",F531="Finalizar"),"",IF(A531="Rodados",XLOOKUP(B531,'Validaciones Cotizador'!I:I,'Validaciones Cotizador'!J:J,0,0,1),1))</f>
        <v/>
      </c>
      <c r="H531" s="11" t="str">
        <f>IF(OR(F531="",F531="Selecciona.."),"",SUMIF(Precio_Productos!K:K,E531,Precio_Productos!J:J)*G531)</f>
        <v/>
      </c>
      <c r="I531" s="4" t="str">
        <f t="array" ref="I531">IF($E531="","", XLOOKUP(SUMIFS(Prod_Prop!$A:$A,Prod_Prop!$B:$B,$E531,Prod_Prop!$H:$H,I$1,Prod_Prop!$I:$I,"Exacto"),Prod_Prop!$A:$A,Prod_Prop!$J:$J,"",0,1))</f>
        <v/>
      </c>
      <c r="J531" s="4" t="str">
        <f t="array" ref="J531">IF($E531="","", XLOOKUP(SUMIFS(Prod_Prop!$A:$A,Prod_Prop!$B:$B,$E531,Prod_Prop!$H:$H,J$1,Prod_Prop!$I:$I,"Exacto"),Prod_Prop!$A:$A,Prod_Prop!$J:$J,"",0,1))</f>
        <v/>
      </c>
      <c r="K531" s="4" t="str">
        <f t="array" ref="K531">IF($E531="","", XLOOKUP(SUMIFS(Prod_Prop!$A:$A,Prod_Prop!$B:$B,$E531,Prod_Prop!$H:$H,K$1,Prod_Prop!$I:$I,"Exacto"),Prod_Prop!$A:$A,Prod_Prop!$J:$J,"",0,1))</f>
        <v/>
      </c>
      <c r="L531" s="4" t="str">
        <f t="array" ref="L531">IF($E531="","", XLOOKUP(SUMIFS(Prod_Prop!$A:$A,Prod_Prop!$B:$B,$E531,Prod_Prop!$H:$H,L$1,Prod_Prop!$I:$I,"Exacto"),Prod_Prop!$A:$A,Prod_Prop!$J:$J,"",0,1))</f>
        <v/>
      </c>
      <c r="M531" s="4" t="str">
        <f t="array" ref="M531">IF($E531="","", XLOOKUP(SUMIFS(Prod_Prop!$A:$A,Prod_Prop!$B:$B,$E531,Prod_Prop!$H:$H,M$1,Prod_Prop!$I:$I,"Exacto"),Prod_Prop!$A:$A,Prod_Prop!$J:$J,"",0,1))</f>
        <v/>
      </c>
      <c r="N531" s="4" t="str">
        <f t="array" ref="N531">IF($E531="","", XLOOKUP(SUMIFS(Prod_Prop!$A:$A,Prod_Prop!$B:$B,$E531,Prod_Prop!$H:$H,N$1,Prod_Prop!$I:$I,"Exacto"),Prod_Prop!$A:$A,Prod_Prop!$J:$J,"",0,1))</f>
        <v/>
      </c>
      <c r="O531" s="4" t="str">
        <f t="array" ref="O531">IF($E531="","", XLOOKUP(SUMIFS(Prod_Prop!$A:$A,Prod_Prop!$B:$B,$E531,Prod_Prop!$H:$H,O$1,Prod_Prop!$I:$I,"Exacto"),Prod_Prop!$A:$A,Prod_Prop!$J:$J,"",0,1))</f>
        <v/>
      </c>
      <c r="P531" s="4" t="str">
        <f t="array" ref="P531">IF($E531="","", XLOOKUP(SUMIFS(Prod_Prop!$A:$A,Prod_Prop!$B:$B,$E531,Prod_Prop!$H:$H,P$1,Prod_Prop!$I:$I,"Exacto"),Prod_Prop!$A:$A,Prod_Prop!$J:$J,"",0,1))</f>
        <v/>
      </c>
      <c r="Q531" s="4" t="str">
        <f t="array" ref="Q531">IF($E531="","", XLOOKUP(SUMIFS(Prod_Prop!$A:$A,Prod_Prop!$B:$B,$E531,Prod_Prop!$H:$H,Q$1,Prod_Prop!$I:$I,"Exacto"),Prod_Prop!$A:$A,Prod_Prop!$J:$J,"",0,1))</f>
        <v/>
      </c>
      <c r="R531" s="4" t="str">
        <f t="array" ref="R531">IF($E531="","", XLOOKUP(SUMIFS(Prod_Prop!$A:$A,Prod_Prop!$B:$B,$E531,Prod_Prop!$H:$H,R$1,Prod_Prop!$I:$I,"Exacto"),Prod_Prop!$A:$A,Prod_Prop!$J:$J,"",0,1))</f>
        <v/>
      </c>
      <c r="S531" s="4" t="str">
        <f t="array" ref="S531">IF($E531="","", XLOOKUP(SUMIFS(Prod_Prop!$A:$A,Prod_Prop!$B:$B,$E531,Prod_Prop!$H:$H,S$1,Prod_Prop!$I:$I,"Exacto"),Prod_Prop!$A:$A,Prod_Prop!$J:$J,"",0,1))</f>
        <v/>
      </c>
      <c r="T531" s="4" t="str">
        <f t="array" ref="T531">IF($E531="","", XLOOKUP(SUMIFS(Prod_Prop!$A:$A,Prod_Prop!$B:$B,$E531,Prod_Prop!$H:$H,T$1,Prod_Prop!$I:$I,"Exacto"),Prod_Prop!$A:$A,Prod_Prop!$J:$J,"",0,1))</f>
        <v/>
      </c>
      <c r="U531" s="4" t="str">
        <f t="array" ref="U531">IF($E531="","", XLOOKUP(SUMIFS(Prod_Prop!$A:$A,Prod_Prop!$B:$B,$E531,Prod_Prop!$H:$H,U$1,Prod_Prop!$I:$I,"Exacto"),Prod_Prop!$A:$A,Prod_Prop!$J:$J,"",0,1))</f>
        <v/>
      </c>
      <c r="V531" s="4" t="str">
        <f t="array" ref="V531">IF($E531="","", XLOOKUP(SUMIFS(Prod_Prop!$A:$A,Prod_Prop!$B:$B,$E531,Prod_Prop!$H:$H,V$1,Prod_Prop!$I:$I,"Exacto"),Prod_Prop!$A:$A,Prod_Prop!$J:$J,"",0,1))</f>
        <v/>
      </c>
      <c r="X531" s="3" t="str">
        <f>IFERROR(__xludf.DUMMYFUNCTION("IF(D531="""","""",IFERROR(TRANSPOSE(FILTER('Validaciones Cotizador'!U:U,'Validaciones Cotizador'!O:O=D531,'Validaciones Cotizador'!T:T=""x"")),""Finalizar""))"),"")</f>
        <v/>
      </c>
    </row>
    <row r="532">
      <c r="A532" s="2" t="str">
        <f t="array" ref="A532">IF(E532="","",XLOOKUP(D532,'Validaciones Cotizador'!C:C,'Validaciones Cotizador'!A:A,"",0,1))</f>
        <v/>
      </c>
      <c r="B532" s="2" t="str">
        <f t="array" ref="B532">IF(F532="","",XLOOKUP(F532,Productos!E:E,Productos!G:G,"",0,1))</f>
        <v/>
      </c>
      <c r="C532" s="2" t="str">
        <f>IF(A532="","",SUMIFS('Validaciones Cotizador'!B:B,'Validaciones Cotizador'!C:C,D532,'Validaciones Cotizador'!A:A,A532))</f>
        <v/>
      </c>
      <c r="D532" s="4" t="str">
        <f>IFERROR(__xludf.DUMMYFUNCTION("IF(OR(F531=""Finalizar"",F531="""",F531=""Selecciona..""),"""",IF(OR(F531=""-"",INDEX(filter(Familias!F:F,Familias!D:D=A531,Familias!E:E=C531),1)=""O""),D531+1,D531))"),"")</f>
        <v/>
      </c>
      <c r="E532" s="2" t="str">
        <f>IF(OR(F532="",F532="Selecciona.."),"",IF(D532="Implemento",SUMIF(Implementos!B:B,F532,Implementos!A:A),SUMIF(Productos!E:E,F532,Productos!A:A)))</f>
        <v/>
      </c>
      <c r="F532" s="2" t="str">
        <f t="shared" si="2"/>
        <v/>
      </c>
      <c r="G532" s="10" t="str">
        <f t="array" ref="G532">IF(OR(F532="",F532="-",F532="Selecciona..",F532="Finalizar"),"",IF(A532="Rodados",XLOOKUP(B532,'Validaciones Cotizador'!I:I,'Validaciones Cotizador'!J:J,0,0,1),1))</f>
        <v/>
      </c>
      <c r="H532" s="11" t="str">
        <f>IF(OR(F532="",F532="Selecciona.."),"",SUMIF(Precio_Productos!K:K,E532,Precio_Productos!J:J)*G532)</f>
        <v/>
      </c>
      <c r="I532" s="4" t="str">
        <f t="array" ref="I532">IF($E532="","", XLOOKUP(SUMIFS(Prod_Prop!$A:$A,Prod_Prop!$B:$B,$E532,Prod_Prop!$H:$H,I$1,Prod_Prop!$I:$I,"Exacto"),Prod_Prop!$A:$A,Prod_Prop!$J:$J,"",0,1))</f>
        <v/>
      </c>
      <c r="J532" s="4" t="str">
        <f t="array" ref="J532">IF($E532="","", XLOOKUP(SUMIFS(Prod_Prop!$A:$A,Prod_Prop!$B:$B,$E532,Prod_Prop!$H:$H,J$1,Prod_Prop!$I:$I,"Exacto"),Prod_Prop!$A:$A,Prod_Prop!$J:$J,"",0,1))</f>
        <v/>
      </c>
      <c r="K532" s="4" t="str">
        <f t="array" ref="K532">IF($E532="","", XLOOKUP(SUMIFS(Prod_Prop!$A:$A,Prod_Prop!$B:$B,$E532,Prod_Prop!$H:$H,K$1,Prod_Prop!$I:$I,"Exacto"),Prod_Prop!$A:$A,Prod_Prop!$J:$J,"",0,1))</f>
        <v/>
      </c>
      <c r="L532" s="4" t="str">
        <f t="array" ref="L532">IF($E532="","", XLOOKUP(SUMIFS(Prod_Prop!$A:$A,Prod_Prop!$B:$B,$E532,Prod_Prop!$H:$H,L$1,Prod_Prop!$I:$I,"Exacto"),Prod_Prop!$A:$A,Prod_Prop!$J:$J,"",0,1))</f>
        <v/>
      </c>
      <c r="M532" s="4" t="str">
        <f t="array" ref="M532">IF($E532="","", XLOOKUP(SUMIFS(Prod_Prop!$A:$A,Prod_Prop!$B:$B,$E532,Prod_Prop!$H:$H,M$1,Prod_Prop!$I:$I,"Exacto"),Prod_Prop!$A:$A,Prod_Prop!$J:$J,"",0,1))</f>
        <v/>
      </c>
      <c r="N532" s="4" t="str">
        <f t="array" ref="N532">IF($E532="","", XLOOKUP(SUMIFS(Prod_Prop!$A:$A,Prod_Prop!$B:$B,$E532,Prod_Prop!$H:$H,N$1,Prod_Prop!$I:$I,"Exacto"),Prod_Prop!$A:$A,Prod_Prop!$J:$J,"",0,1))</f>
        <v/>
      </c>
      <c r="O532" s="4" t="str">
        <f t="array" ref="O532">IF($E532="","", XLOOKUP(SUMIFS(Prod_Prop!$A:$A,Prod_Prop!$B:$B,$E532,Prod_Prop!$H:$H,O$1,Prod_Prop!$I:$I,"Exacto"),Prod_Prop!$A:$A,Prod_Prop!$J:$J,"",0,1))</f>
        <v/>
      </c>
      <c r="P532" s="4" t="str">
        <f t="array" ref="P532">IF($E532="","", XLOOKUP(SUMIFS(Prod_Prop!$A:$A,Prod_Prop!$B:$B,$E532,Prod_Prop!$H:$H,P$1,Prod_Prop!$I:$I,"Exacto"),Prod_Prop!$A:$A,Prod_Prop!$J:$J,"",0,1))</f>
        <v/>
      </c>
      <c r="Q532" s="4" t="str">
        <f t="array" ref="Q532">IF($E532="","", XLOOKUP(SUMIFS(Prod_Prop!$A:$A,Prod_Prop!$B:$B,$E532,Prod_Prop!$H:$H,Q$1,Prod_Prop!$I:$I,"Exacto"),Prod_Prop!$A:$A,Prod_Prop!$J:$J,"",0,1))</f>
        <v/>
      </c>
      <c r="R532" s="4" t="str">
        <f t="array" ref="R532">IF($E532="","", XLOOKUP(SUMIFS(Prod_Prop!$A:$A,Prod_Prop!$B:$B,$E532,Prod_Prop!$H:$H,R$1,Prod_Prop!$I:$I,"Exacto"),Prod_Prop!$A:$A,Prod_Prop!$J:$J,"",0,1))</f>
        <v/>
      </c>
      <c r="S532" s="4" t="str">
        <f t="array" ref="S532">IF($E532="","", XLOOKUP(SUMIFS(Prod_Prop!$A:$A,Prod_Prop!$B:$B,$E532,Prod_Prop!$H:$H,S$1,Prod_Prop!$I:$I,"Exacto"),Prod_Prop!$A:$A,Prod_Prop!$J:$J,"",0,1))</f>
        <v/>
      </c>
      <c r="T532" s="4" t="str">
        <f t="array" ref="T532">IF($E532="","", XLOOKUP(SUMIFS(Prod_Prop!$A:$A,Prod_Prop!$B:$B,$E532,Prod_Prop!$H:$H,T$1,Prod_Prop!$I:$I,"Exacto"),Prod_Prop!$A:$A,Prod_Prop!$J:$J,"",0,1))</f>
        <v/>
      </c>
      <c r="U532" s="4" t="str">
        <f t="array" ref="U532">IF($E532="","", XLOOKUP(SUMIFS(Prod_Prop!$A:$A,Prod_Prop!$B:$B,$E532,Prod_Prop!$H:$H,U$1,Prod_Prop!$I:$I,"Exacto"),Prod_Prop!$A:$A,Prod_Prop!$J:$J,"",0,1))</f>
        <v/>
      </c>
      <c r="V532" s="4" t="str">
        <f t="array" ref="V532">IF($E532="","", XLOOKUP(SUMIFS(Prod_Prop!$A:$A,Prod_Prop!$B:$B,$E532,Prod_Prop!$H:$H,V$1,Prod_Prop!$I:$I,"Exacto"),Prod_Prop!$A:$A,Prod_Prop!$J:$J,"",0,1))</f>
        <v/>
      </c>
      <c r="X532" s="3" t="str">
        <f>IFERROR(__xludf.DUMMYFUNCTION("IF(D532="""","""",IFERROR(TRANSPOSE(FILTER('Validaciones Cotizador'!U:U,'Validaciones Cotizador'!O:O=D532,'Validaciones Cotizador'!T:T=""x"")),""Finalizar""))"),"")</f>
        <v/>
      </c>
    </row>
    <row r="533">
      <c r="A533" s="2" t="str">
        <f t="array" ref="A533">IF(E533="","",XLOOKUP(D533,'Validaciones Cotizador'!C:C,'Validaciones Cotizador'!A:A,"",0,1))</f>
        <v/>
      </c>
      <c r="B533" s="2" t="str">
        <f t="array" ref="B533">IF(F533="","",XLOOKUP(F533,Productos!E:E,Productos!G:G,"",0,1))</f>
        <v/>
      </c>
      <c r="C533" s="2" t="str">
        <f>IF(A533="","",SUMIFS('Validaciones Cotizador'!B:B,'Validaciones Cotizador'!C:C,D533,'Validaciones Cotizador'!A:A,A533))</f>
        <v/>
      </c>
      <c r="D533" s="4" t="str">
        <f>IFERROR(__xludf.DUMMYFUNCTION("IF(OR(F532=""Finalizar"",F532="""",F532=""Selecciona..""),"""",IF(OR(F532=""-"",INDEX(filter(Familias!F:F,Familias!D:D=A532,Familias!E:E=C532),1)=""O""),D532+1,D532))"),"")</f>
        <v/>
      </c>
      <c r="E533" s="2" t="str">
        <f>IF(OR(F533="",F533="Selecciona.."),"",IF(D533="Implemento",SUMIF(Implementos!B:B,F533,Implementos!A:A),SUMIF(Productos!E:E,F533,Productos!A:A)))</f>
        <v/>
      </c>
      <c r="F533" s="2" t="str">
        <f t="shared" si="2"/>
        <v/>
      </c>
      <c r="G533" s="10" t="str">
        <f t="array" ref="G533">IF(OR(F533="",F533="-",F533="Selecciona..",F533="Finalizar"),"",IF(A533="Rodados",XLOOKUP(B533,'Validaciones Cotizador'!I:I,'Validaciones Cotizador'!J:J,0,0,1),1))</f>
        <v/>
      </c>
      <c r="H533" s="11" t="str">
        <f>IF(OR(F533="",F533="Selecciona.."),"",SUMIF(Precio_Productos!K:K,E533,Precio_Productos!J:J)*G533)</f>
        <v/>
      </c>
      <c r="I533" s="4" t="str">
        <f t="array" ref="I533">IF($E533="","", XLOOKUP(SUMIFS(Prod_Prop!$A:$A,Prod_Prop!$B:$B,$E533,Prod_Prop!$H:$H,I$1,Prod_Prop!$I:$I,"Exacto"),Prod_Prop!$A:$A,Prod_Prop!$J:$J,"",0,1))</f>
        <v/>
      </c>
      <c r="J533" s="4" t="str">
        <f t="array" ref="J533">IF($E533="","", XLOOKUP(SUMIFS(Prod_Prop!$A:$A,Prod_Prop!$B:$B,$E533,Prod_Prop!$H:$H,J$1,Prod_Prop!$I:$I,"Exacto"),Prod_Prop!$A:$A,Prod_Prop!$J:$J,"",0,1))</f>
        <v/>
      </c>
      <c r="K533" s="4" t="str">
        <f t="array" ref="K533">IF($E533="","", XLOOKUP(SUMIFS(Prod_Prop!$A:$A,Prod_Prop!$B:$B,$E533,Prod_Prop!$H:$H,K$1,Prod_Prop!$I:$I,"Exacto"),Prod_Prop!$A:$A,Prod_Prop!$J:$J,"",0,1))</f>
        <v/>
      </c>
      <c r="L533" s="4" t="str">
        <f t="array" ref="L533">IF($E533="","", XLOOKUP(SUMIFS(Prod_Prop!$A:$A,Prod_Prop!$B:$B,$E533,Prod_Prop!$H:$H,L$1,Prod_Prop!$I:$I,"Exacto"),Prod_Prop!$A:$A,Prod_Prop!$J:$J,"",0,1))</f>
        <v/>
      </c>
      <c r="M533" s="4" t="str">
        <f t="array" ref="M533">IF($E533="","", XLOOKUP(SUMIFS(Prod_Prop!$A:$A,Prod_Prop!$B:$B,$E533,Prod_Prop!$H:$H,M$1,Prod_Prop!$I:$I,"Exacto"),Prod_Prop!$A:$A,Prod_Prop!$J:$J,"",0,1))</f>
        <v/>
      </c>
      <c r="N533" s="4" t="str">
        <f t="array" ref="N533">IF($E533="","", XLOOKUP(SUMIFS(Prod_Prop!$A:$A,Prod_Prop!$B:$B,$E533,Prod_Prop!$H:$H,N$1,Prod_Prop!$I:$I,"Exacto"),Prod_Prop!$A:$A,Prod_Prop!$J:$J,"",0,1))</f>
        <v/>
      </c>
      <c r="O533" s="4" t="str">
        <f t="array" ref="O533">IF($E533="","", XLOOKUP(SUMIFS(Prod_Prop!$A:$A,Prod_Prop!$B:$B,$E533,Prod_Prop!$H:$H,O$1,Prod_Prop!$I:$I,"Exacto"),Prod_Prop!$A:$A,Prod_Prop!$J:$J,"",0,1))</f>
        <v/>
      </c>
      <c r="P533" s="4" t="str">
        <f t="array" ref="P533">IF($E533="","", XLOOKUP(SUMIFS(Prod_Prop!$A:$A,Prod_Prop!$B:$B,$E533,Prod_Prop!$H:$H,P$1,Prod_Prop!$I:$I,"Exacto"),Prod_Prop!$A:$A,Prod_Prop!$J:$J,"",0,1))</f>
        <v/>
      </c>
      <c r="Q533" s="4" t="str">
        <f t="array" ref="Q533">IF($E533="","", XLOOKUP(SUMIFS(Prod_Prop!$A:$A,Prod_Prop!$B:$B,$E533,Prod_Prop!$H:$H,Q$1,Prod_Prop!$I:$I,"Exacto"),Prod_Prop!$A:$A,Prod_Prop!$J:$J,"",0,1))</f>
        <v/>
      </c>
      <c r="R533" s="4" t="str">
        <f t="array" ref="R533">IF($E533="","", XLOOKUP(SUMIFS(Prod_Prop!$A:$A,Prod_Prop!$B:$B,$E533,Prod_Prop!$H:$H,R$1,Prod_Prop!$I:$I,"Exacto"),Prod_Prop!$A:$A,Prod_Prop!$J:$J,"",0,1))</f>
        <v/>
      </c>
      <c r="S533" s="4" t="str">
        <f t="array" ref="S533">IF($E533="","", XLOOKUP(SUMIFS(Prod_Prop!$A:$A,Prod_Prop!$B:$B,$E533,Prod_Prop!$H:$H,S$1,Prod_Prop!$I:$I,"Exacto"),Prod_Prop!$A:$A,Prod_Prop!$J:$J,"",0,1))</f>
        <v/>
      </c>
      <c r="T533" s="4" t="str">
        <f t="array" ref="T533">IF($E533="","", XLOOKUP(SUMIFS(Prod_Prop!$A:$A,Prod_Prop!$B:$B,$E533,Prod_Prop!$H:$H,T$1,Prod_Prop!$I:$I,"Exacto"),Prod_Prop!$A:$A,Prod_Prop!$J:$J,"",0,1))</f>
        <v/>
      </c>
      <c r="U533" s="4" t="str">
        <f t="array" ref="U533">IF($E533="","", XLOOKUP(SUMIFS(Prod_Prop!$A:$A,Prod_Prop!$B:$B,$E533,Prod_Prop!$H:$H,U$1,Prod_Prop!$I:$I,"Exacto"),Prod_Prop!$A:$A,Prod_Prop!$J:$J,"",0,1))</f>
        <v/>
      </c>
      <c r="V533" s="4" t="str">
        <f t="array" ref="V533">IF($E533="","", XLOOKUP(SUMIFS(Prod_Prop!$A:$A,Prod_Prop!$B:$B,$E533,Prod_Prop!$H:$H,V$1,Prod_Prop!$I:$I,"Exacto"),Prod_Prop!$A:$A,Prod_Prop!$J:$J,"",0,1))</f>
        <v/>
      </c>
      <c r="X533" s="3" t="str">
        <f>IFERROR(__xludf.DUMMYFUNCTION("IF(D533="""","""",IFERROR(TRANSPOSE(FILTER('Validaciones Cotizador'!U:U,'Validaciones Cotizador'!O:O=D533,'Validaciones Cotizador'!T:T=""x"")),""Finalizar""))"),"")</f>
        <v/>
      </c>
    </row>
    <row r="534">
      <c r="A534" s="2" t="str">
        <f t="array" ref="A534">IF(E534="","",XLOOKUP(D534,'Validaciones Cotizador'!C:C,'Validaciones Cotizador'!A:A,"",0,1))</f>
        <v/>
      </c>
      <c r="B534" s="2" t="str">
        <f t="array" ref="B534">IF(F534="","",XLOOKUP(F534,Productos!E:E,Productos!G:G,"",0,1))</f>
        <v/>
      </c>
      <c r="C534" s="2" t="str">
        <f>IF(A534="","",SUMIFS('Validaciones Cotizador'!B:B,'Validaciones Cotizador'!C:C,D534,'Validaciones Cotizador'!A:A,A534))</f>
        <v/>
      </c>
      <c r="D534" s="4" t="str">
        <f>IFERROR(__xludf.DUMMYFUNCTION("IF(OR(F533=""Finalizar"",F533="""",F533=""Selecciona..""),"""",IF(OR(F533=""-"",INDEX(filter(Familias!F:F,Familias!D:D=A533,Familias!E:E=C533),1)=""O""),D533+1,D533))"),"")</f>
        <v/>
      </c>
      <c r="E534" s="2" t="str">
        <f>IF(OR(F534="",F534="Selecciona.."),"",IF(D534="Implemento",SUMIF(Implementos!B:B,F534,Implementos!A:A),SUMIF(Productos!E:E,F534,Productos!A:A)))</f>
        <v/>
      </c>
      <c r="F534" s="2" t="str">
        <f t="shared" si="2"/>
        <v/>
      </c>
      <c r="G534" s="10" t="str">
        <f t="array" ref="G534">IF(OR(F534="",F534="-",F534="Selecciona..",F534="Finalizar"),"",IF(A534="Rodados",XLOOKUP(B534,'Validaciones Cotizador'!I:I,'Validaciones Cotizador'!J:J,0,0,1),1))</f>
        <v/>
      </c>
      <c r="H534" s="11" t="str">
        <f>IF(OR(F534="",F534="Selecciona.."),"",SUMIF(Precio_Productos!K:K,E534,Precio_Productos!J:J)*G534)</f>
        <v/>
      </c>
      <c r="I534" s="4" t="str">
        <f t="array" ref="I534">IF($E534="","", XLOOKUP(SUMIFS(Prod_Prop!$A:$A,Prod_Prop!$B:$B,$E534,Prod_Prop!$H:$H,I$1,Prod_Prop!$I:$I,"Exacto"),Prod_Prop!$A:$A,Prod_Prop!$J:$J,"",0,1))</f>
        <v/>
      </c>
      <c r="J534" s="4" t="str">
        <f t="array" ref="J534">IF($E534="","", XLOOKUP(SUMIFS(Prod_Prop!$A:$A,Prod_Prop!$B:$B,$E534,Prod_Prop!$H:$H,J$1,Prod_Prop!$I:$I,"Exacto"),Prod_Prop!$A:$A,Prod_Prop!$J:$J,"",0,1))</f>
        <v/>
      </c>
      <c r="K534" s="4" t="str">
        <f t="array" ref="K534">IF($E534="","", XLOOKUP(SUMIFS(Prod_Prop!$A:$A,Prod_Prop!$B:$B,$E534,Prod_Prop!$H:$H,K$1,Prod_Prop!$I:$I,"Exacto"),Prod_Prop!$A:$A,Prod_Prop!$J:$J,"",0,1))</f>
        <v/>
      </c>
      <c r="L534" s="4" t="str">
        <f t="array" ref="L534">IF($E534="","", XLOOKUP(SUMIFS(Prod_Prop!$A:$A,Prod_Prop!$B:$B,$E534,Prod_Prop!$H:$H,L$1,Prod_Prop!$I:$I,"Exacto"),Prod_Prop!$A:$A,Prod_Prop!$J:$J,"",0,1))</f>
        <v/>
      </c>
      <c r="M534" s="4" t="str">
        <f t="array" ref="M534">IF($E534="","", XLOOKUP(SUMIFS(Prod_Prop!$A:$A,Prod_Prop!$B:$B,$E534,Prod_Prop!$H:$H,M$1,Prod_Prop!$I:$I,"Exacto"),Prod_Prop!$A:$A,Prod_Prop!$J:$J,"",0,1))</f>
        <v/>
      </c>
      <c r="N534" s="4" t="str">
        <f t="array" ref="N534">IF($E534="","", XLOOKUP(SUMIFS(Prod_Prop!$A:$A,Prod_Prop!$B:$B,$E534,Prod_Prop!$H:$H,N$1,Prod_Prop!$I:$I,"Exacto"),Prod_Prop!$A:$A,Prod_Prop!$J:$J,"",0,1))</f>
        <v/>
      </c>
      <c r="O534" s="4" t="str">
        <f t="array" ref="O534">IF($E534="","", XLOOKUP(SUMIFS(Prod_Prop!$A:$A,Prod_Prop!$B:$B,$E534,Prod_Prop!$H:$H,O$1,Prod_Prop!$I:$I,"Exacto"),Prod_Prop!$A:$A,Prod_Prop!$J:$J,"",0,1))</f>
        <v/>
      </c>
      <c r="P534" s="4" t="str">
        <f t="array" ref="P534">IF($E534="","", XLOOKUP(SUMIFS(Prod_Prop!$A:$A,Prod_Prop!$B:$B,$E534,Prod_Prop!$H:$H,P$1,Prod_Prop!$I:$I,"Exacto"),Prod_Prop!$A:$A,Prod_Prop!$J:$J,"",0,1))</f>
        <v/>
      </c>
      <c r="Q534" s="4" t="str">
        <f t="array" ref="Q534">IF($E534="","", XLOOKUP(SUMIFS(Prod_Prop!$A:$A,Prod_Prop!$B:$B,$E534,Prod_Prop!$H:$H,Q$1,Prod_Prop!$I:$I,"Exacto"),Prod_Prop!$A:$A,Prod_Prop!$J:$J,"",0,1))</f>
        <v/>
      </c>
      <c r="R534" s="4" t="str">
        <f t="array" ref="R534">IF($E534="","", XLOOKUP(SUMIFS(Prod_Prop!$A:$A,Prod_Prop!$B:$B,$E534,Prod_Prop!$H:$H,R$1,Prod_Prop!$I:$I,"Exacto"),Prod_Prop!$A:$A,Prod_Prop!$J:$J,"",0,1))</f>
        <v/>
      </c>
      <c r="S534" s="4" t="str">
        <f t="array" ref="S534">IF($E534="","", XLOOKUP(SUMIFS(Prod_Prop!$A:$A,Prod_Prop!$B:$B,$E534,Prod_Prop!$H:$H,S$1,Prod_Prop!$I:$I,"Exacto"),Prod_Prop!$A:$A,Prod_Prop!$J:$J,"",0,1))</f>
        <v/>
      </c>
      <c r="T534" s="4" t="str">
        <f t="array" ref="T534">IF($E534="","", XLOOKUP(SUMIFS(Prod_Prop!$A:$A,Prod_Prop!$B:$B,$E534,Prod_Prop!$H:$H,T$1,Prod_Prop!$I:$I,"Exacto"),Prod_Prop!$A:$A,Prod_Prop!$J:$J,"",0,1))</f>
        <v/>
      </c>
      <c r="U534" s="4" t="str">
        <f t="array" ref="U534">IF($E534="","", XLOOKUP(SUMIFS(Prod_Prop!$A:$A,Prod_Prop!$B:$B,$E534,Prod_Prop!$H:$H,U$1,Prod_Prop!$I:$I,"Exacto"),Prod_Prop!$A:$A,Prod_Prop!$J:$J,"",0,1))</f>
        <v/>
      </c>
      <c r="V534" s="4" t="str">
        <f t="array" ref="V534">IF($E534="","", XLOOKUP(SUMIFS(Prod_Prop!$A:$A,Prod_Prop!$B:$B,$E534,Prod_Prop!$H:$H,V$1,Prod_Prop!$I:$I,"Exacto"),Prod_Prop!$A:$A,Prod_Prop!$J:$J,"",0,1))</f>
        <v/>
      </c>
      <c r="X534" s="3" t="str">
        <f>IFERROR(__xludf.DUMMYFUNCTION("IF(D534="""","""",IFERROR(TRANSPOSE(FILTER('Validaciones Cotizador'!U:U,'Validaciones Cotizador'!O:O=D534,'Validaciones Cotizador'!T:T=""x"")),""Finalizar""))"),"")</f>
        <v/>
      </c>
    </row>
    <row r="535">
      <c r="A535" s="2" t="str">
        <f t="array" ref="A535">IF(E535="","",XLOOKUP(D535,'Validaciones Cotizador'!C:C,'Validaciones Cotizador'!A:A,"",0,1))</f>
        <v/>
      </c>
      <c r="B535" s="2" t="str">
        <f t="array" ref="B535">IF(F535="","",XLOOKUP(F535,Productos!E:E,Productos!G:G,"",0,1))</f>
        <v/>
      </c>
      <c r="C535" s="2" t="str">
        <f>IF(A535="","",SUMIFS('Validaciones Cotizador'!B:B,'Validaciones Cotizador'!C:C,D535,'Validaciones Cotizador'!A:A,A535))</f>
        <v/>
      </c>
      <c r="D535" s="4" t="str">
        <f>IFERROR(__xludf.DUMMYFUNCTION("IF(OR(F534=""Finalizar"",F534="""",F534=""Selecciona..""),"""",IF(OR(F534=""-"",INDEX(filter(Familias!F:F,Familias!D:D=A534,Familias!E:E=C534),1)=""O""),D534+1,D534))"),"")</f>
        <v/>
      </c>
      <c r="E535" s="2" t="str">
        <f>IF(OR(F535="",F535="Selecciona.."),"",IF(D535="Implemento",SUMIF(Implementos!B:B,F535,Implementos!A:A),SUMIF(Productos!E:E,F535,Productos!A:A)))</f>
        <v/>
      </c>
      <c r="F535" s="2" t="str">
        <f t="shared" si="2"/>
        <v/>
      </c>
      <c r="G535" s="10" t="str">
        <f t="array" ref="G535">IF(OR(F535="",F535="-",F535="Selecciona..",F535="Finalizar"),"",IF(A535="Rodados",XLOOKUP(B535,'Validaciones Cotizador'!I:I,'Validaciones Cotizador'!J:J,0,0,1),1))</f>
        <v/>
      </c>
      <c r="H535" s="11" t="str">
        <f>IF(OR(F535="",F535="Selecciona.."),"",SUMIF(Precio_Productos!K:K,E535,Precio_Productos!J:J)*G535)</f>
        <v/>
      </c>
      <c r="I535" s="4" t="str">
        <f t="array" ref="I535">IF($E535="","", XLOOKUP(SUMIFS(Prod_Prop!$A:$A,Prod_Prop!$B:$B,$E535,Prod_Prop!$H:$H,I$1,Prod_Prop!$I:$I,"Exacto"),Prod_Prop!$A:$A,Prod_Prop!$J:$J,"",0,1))</f>
        <v/>
      </c>
      <c r="J535" s="4" t="str">
        <f t="array" ref="J535">IF($E535="","", XLOOKUP(SUMIFS(Prod_Prop!$A:$A,Prod_Prop!$B:$B,$E535,Prod_Prop!$H:$H,J$1,Prod_Prop!$I:$I,"Exacto"),Prod_Prop!$A:$A,Prod_Prop!$J:$J,"",0,1))</f>
        <v/>
      </c>
      <c r="K535" s="4" t="str">
        <f t="array" ref="K535">IF($E535="","", XLOOKUP(SUMIFS(Prod_Prop!$A:$A,Prod_Prop!$B:$B,$E535,Prod_Prop!$H:$H,K$1,Prod_Prop!$I:$I,"Exacto"),Prod_Prop!$A:$A,Prod_Prop!$J:$J,"",0,1))</f>
        <v/>
      </c>
      <c r="L535" s="4" t="str">
        <f t="array" ref="L535">IF($E535="","", XLOOKUP(SUMIFS(Prod_Prop!$A:$A,Prod_Prop!$B:$B,$E535,Prod_Prop!$H:$H,L$1,Prod_Prop!$I:$I,"Exacto"),Prod_Prop!$A:$A,Prod_Prop!$J:$J,"",0,1))</f>
        <v/>
      </c>
      <c r="M535" s="4" t="str">
        <f t="array" ref="M535">IF($E535="","", XLOOKUP(SUMIFS(Prod_Prop!$A:$A,Prod_Prop!$B:$B,$E535,Prod_Prop!$H:$H,M$1,Prod_Prop!$I:$I,"Exacto"),Prod_Prop!$A:$A,Prod_Prop!$J:$J,"",0,1))</f>
        <v/>
      </c>
      <c r="N535" s="4" t="str">
        <f t="array" ref="N535">IF($E535="","", XLOOKUP(SUMIFS(Prod_Prop!$A:$A,Prod_Prop!$B:$B,$E535,Prod_Prop!$H:$H,N$1,Prod_Prop!$I:$I,"Exacto"),Prod_Prop!$A:$A,Prod_Prop!$J:$J,"",0,1))</f>
        <v/>
      </c>
      <c r="O535" s="4" t="str">
        <f t="array" ref="O535">IF($E535="","", XLOOKUP(SUMIFS(Prod_Prop!$A:$A,Prod_Prop!$B:$B,$E535,Prod_Prop!$H:$H,O$1,Prod_Prop!$I:$I,"Exacto"),Prod_Prop!$A:$A,Prod_Prop!$J:$J,"",0,1))</f>
        <v/>
      </c>
      <c r="P535" s="4" t="str">
        <f t="array" ref="P535">IF($E535="","", XLOOKUP(SUMIFS(Prod_Prop!$A:$A,Prod_Prop!$B:$B,$E535,Prod_Prop!$H:$H,P$1,Prod_Prop!$I:$I,"Exacto"),Prod_Prop!$A:$A,Prod_Prop!$J:$J,"",0,1))</f>
        <v/>
      </c>
      <c r="Q535" s="4" t="str">
        <f t="array" ref="Q535">IF($E535="","", XLOOKUP(SUMIFS(Prod_Prop!$A:$A,Prod_Prop!$B:$B,$E535,Prod_Prop!$H:$H,Q$1,Prod_Prop!$I:$I,"Exacto"),Prod_Prop!$A:$A,Prod_Prop!$J:$J,"",0,1))</f>
        <v/>
      </c>
      <c r="R535" s="4" t="str">
        <f t="array" ref="R535">IF($E535="","", XLOOKUP(SUMIFS(Prod_Prop!$A:$A,Prod_Prop!$B:$B,$E535,Prod_Prop!$H:$H,R$1,Prod_Prop!$I:$I,"Exacto"),Prod_Prop!$A:$A,Prod_Prop!$J:$J,"",0,1))</f>
        <v/>
      </c>
      <c r="S535" s="4" t="str">
        <f t="array" ref="S535">IF($E535="","", XLOOKUP(SUMIFS(Prod_Prop!$A:$A,Prod_Prop!$B:$B,$E535,Prod_Prop!$H:$H,S$1,Prod_Prop!$I:$I,"Exacto"),Prod_Prop!$A:$A,Prod_Prop!$J:$J,"",0,1))</f>
        <v/>
      </c>
      <c r="T535" s="4" t="str">
        <f t="array" ref="T535">IF($E535="","", XLOOKUP(SUMIFS(Prod_Prop!$A:$A,Prod_Prop!$B:$B,$E535,Prod_Prop!$H:$H,T$1,Prod_Prop!$I:$I,"Exacto"),Prod_Prop!$A:$A,Prod_Prop!$J:$J,"",0,1))</f>
        <v/>
      </c>
      <c r="U535" s="4" t="str">
        <f t="array" ref="U535">IF($E535="","", XLOOKUP(SUMIFS(Prod_Prop!$A:$A,Prod_Prop!$B:$B,$E535,Prod_Prop!$H:$H,U$1,Prod_Prop!$I:$I,"Exacto"),Prod_Prop!$A:$A,Prod_Prop!$J:$J,"",0,1))</f>
        <v/>
      </c>
      <c r="V535" s="4" t="str">
        <f t="array" ref="V535">IF($E535="","", XLOOKUP(SUMIFS(Prod_Prop!$A:$A,Prod_Prop!$B:$B,$E535,Prod_Prop!$H:$H,V$1,Prod_Prop!$I:$I,"Exacto"),Prod_Prop!$A:$A,Prod_Prop!$J:$J,"",0,1))</f>
        <v/>
      </c>
      <c r="X535" s="3" t="str">
        <f>IFERROR(__xludf.DUMMYFUNCTION("IF(D535="""","""",IFERROR(TRANSPOSE(FILTER('Validaciones Cotizador'!U:U,'Validaciones Cotizador'!O:O=D535,'Validaciones Cotizador'!T:T=""x"")),""Finalizar""))"),"")</f>
        <v/>
      </c>
    </row>
    <row r="536">
      <c r="A536" s="2" t="str">
        <f t="array" ref="A536">IF(E536="","",XLOOKUP(D536,'Validaciones Cotizador'!C:C,'Validaciones Cotizador'!A:A,"",0,1))</f>
        <v/>
      </c>
      <c r="B536" s="2" t="str">
        <f t="array" ref="B536">IF(F536="","",XLOOKUP(F536,Productos!E:E,Productos!G:G,"",0,1))</f>
        <v/>
      </c>
      <c r="C536" s="2" t="str">
        <f>IF(A536="","",SUMIFS('Validaciones Cotizador'!B:B,'Validaciones Cotizador'!C:C,D536,'Validaciones Cotizador'!A:A,A536))</f>
        <v/>
      </c>
      <c r="D536" s="4" t="str">
        <f>IFERROR(__xludf.DUMMYFUNCTION("IF(OR(F535=""Finalizar"",F535="""",F535=""Selecciona..""),"""",IF(OR(F535=""-"",INDEX(filter(Familias!F:F,Familias!D:D=A535,Familias!E:E=C535),1)=""O""),D535+1,D535))"),"")</f>
        <v/>
      </c>
      <c r="E536" s="2" t="str">
        <f>IF(OR(F536="",F536="Selecciona.."),"",IF(D536="Implemento",SUMIF(Implementos!B:B,F536,Implementos!A:A),SUMIF(Productos!E:E,F536,Productos!A:A)))</f>
        <v/>
      </c>
      <c r="F536" s="2" t="str">
        <f t="shared" si="2"/>
        <v/>
      </c>
      <c r="G536" s="10" t="str">
        <f t="array" ref="G536">IF(OR(F536="",F536="-",F536="Selecciona..",F536="Finalizar"),"",IF(A536="Rodados",XLOOKUP(B536,'Validaciones Cotizador'!I:I,'Validaciones Cotizador'!J:J,0,0,1),1))</f>
        <v/>
      </c>
      <c r="H536" s="11" t="str">
        <f>IF(OR(F536="",F536="Selecciona.."),"",SUMIF(Precio_Productos!K:K,E536,Precio_Productos!J:J)*G536)</f>
        <v/>
      </c>
      <c r="I536" s="4" t="str">
        <f t="array" ref="I536">IF($E536="","", XLOOKUP(SUMIFS(Prod_Prop!$A:$A,Prod_Prop!$B:$B,$E536,Prod_Prop!$H:$H,I$1,Prod_Prop!$I:$I,"Exacto"),Prod_Prop!$A:$A,Prod_Prop!$J:$J,"",0,1))</f>
        <v/>
      </c>
      <c r="J536" s="4" t="str">
        <f t="array" ref="J536">IF($E536="","", XLOOKUP(SUMIFS(Prod_Prop!$A:$A,Prod_Prop!$B:$B,$E536,Prod_Prop!$H:$H,J$1,Prod_Prop!$I:$I,"Exacto"),Prod_Prop!$A:$A,Prod_Prop!$J:$J,"",0,1))</f>
        <v/>
      </c>
      <c r="K536" s="4" t="str">
        <f t="array" ref="K536">IF($E536="","", XLOOKUP(SUMIFS(Prod_Prop!$A:$A,Prod_Prop!$B:$B,$E536,Prod_Prop!$H:$H,K$1,Prod_Prop!$I:$I,"Exacto"),Prod_Prop!$A:$A,Prod_Prop!$J:$J,"",0,1))</f>
        <v/>
      </c>
      <c r="L536" s="4" t="str">
        <f t="array" ref="L536">IF($E536="","", XLOOKUP(SUMIFS(Prod_Prop!$A:$A,Prod_Prop!$B:$B,$E536,Prod_Prop!$H:$H,L$1,Prod_Prop!$I:$I,"Exacto"),Prod_Prop!$A:$A,Prod_Prop!$J:$J,"",0,1))</f>
        <v/>
      </c>
      <c r="M536" s="4" t="str">
        <f t="array" ref="M536">IF($E536="","", XLOOKUP(SUMIFS(Prod_Prop!$A:$A,Prod_Prop!$B:$B,$E536,Prod_Prop!$H:$H,M$1,Prod_Prop!$I:$I,"Exacto"),Prod_Prop!$A:$A,Prod_Prop!$J:$J,"",0,1))</f>
        <v/>
      </c>
      <c r="N536" s="4" t="str">
        <f t="array" ref="N536">IF($E536="","", XLOOKUP(SUMIFS(Prod_Prop!$A:$A,Prod_Prop!$B:$B,$E536,Prod_Prop!$H:$H,N$1,Prod_Prop!$I:$I,"Exacto"),Prod_Prop!$A:$A,Prod_Prop!$J:$J,"",0,1))</f>
        <v/>
      </c>
      <c r="O536" s="4" t="str">
        <f t="array" ref="O536">IF($E536="","", XLOOKUP(SUMIFS(Prod_Prop!$A:$A,Prod_Prop!$B:$B,$E536,Prod_Prop!$H:$H,O$1,Prod_Prop!$I:$I,"Exacto"),Prod_Prop!$A:$A,Prod_Prop!$J:$J,"",0,1))</f>
        <v/>
      </c>
      <c r="P536" s="4" t="str">
        <f t="array" ref="P536">IF($E536="","", XLOOKUP(SUMIFS(Prod_Prop!$A:$A,Prod_Prop!$B:$B,$E536,Prod_Prop!$H:$H,P$1,Prod_Prop!$I:$I,"Exacto"),Prod_Prop!$A:$A,Prod_Prop!$J:$J,"",0,1))</f>
        <v/>
      </c>
      <c r="Q536" s="4" t="str">
        <f t="array" ref="Q536">IF($E536="","", XLOOKUP(SUMIFS(Prod_Prop!$A:$A,Prod_Prop!$B:$B,$E536,Prod_Prop!$H:$H,Q$1,Prod_Prop!$I:$I,"Exacto"),Prod_Prop!$A:$A,Prod_Prop!$J:$J,"",0,1))</f>
        <v/>
      </c>
      <c r="R536" s="4" t="str">
        <f t="array" ref="R536">IF($E536="","", XLOOKUP(SUMIFS(Prod_Prop!$A:$A,Prod_Prop!$B:$B,$E536,Prod_Prop!$H:$H,R$1,Prod_Prop!$I:$I,"Exacto"),Prod_Prop!$A:$A,Prod_Prop!$J:$J,"",0,1))</f>
        <v/>
      </c>
      <c r="S536" s="4" t="str">
        <f t="array" ref="S536">IF($E536="","", XLOOKUP(SUMIFS(Prod_Prop!$A:$A,Prod_Prop!$B:$B,$E536,Prod_Prop!$H:$H,S$1,Prod_Prop!$I:$I,"Exacto"),Prod_Prop!$A:$A,Prod_Prop!$J:$J,"",0,1))</f>
        <v/>
      </c>
      <c r="T536" s="4" t="str">
        <f t="array" ref="T536">IF($E536="","", XLOOKUP(SUMIFS(Prod_Prop!$A:$A,Prod_Prop!$B:$B,$E536,Prod_Prop!$H:$H,T$1,Prod_Prop!$I:$I,"Exacto"),Prod_Prop!$A:$A,Prod_Prop!$J:$J,"",0,1))</f>
        <v/>
      </c>
      <c r="U536" s="4" t="str">
        <f t="array" ref="U536">IF($E536="","", XLOOKUP(SUMIFS(Prod_Prop!$A:$A,Prod_Prop!$B:$B,$E536,Prod_Prop!$H:$H,U$1,Prod_Prop!$I:$I,"Exacto"),Prod_Prop!$A:$A,Prod_Prop!$J:$J,"",0,1))</f>
        <v/>
      </c>
      <c r="V536" s="4" t="str">
        <f t="array" ref="V536">IF($E536="","", XLOOKUP(SUMIFS(Prod_Prop!$A:$A,Prod_Prop!$B:$B,$E536,Prod_Prop!$H:$H,V$1,Prod_Prop!$I:$I,"Exacto"),Prod_Prop!$A:$A,Prod_Prop!$J:$J,"",0,1))</f>
        <v/>
      </c>
      <c r="X536" s="3" t="str">
        <f>IFERROR(__xludf.DUMMYFUNCTION("IF(D536="""","""",IFERROR(TRANSPOSE(FILTER('Validaciones Cotizador'!U:U,'Validaciones Cotizador'!O:O=D536,'Validaciones Cotizador'!T:T=""x"")),""Finalizar""))"),"")</f>
        <v/>
      </c>
    </row>
    <row r="537">
      <c r="A537" s="2" t="str">
        <f t="array" ref="A537">IF(E537="","",XLOOKUP(D537,'Validaciones Cotizador'!C:C,'Validaciones Cotizador'!A:A,"",0,1))</f>
        <v/>
      </c>
      <c r="B537" s="2" t="str">
        <f t="array" ref="B537">IF(F537="","",XLOOKUP(F537,Productos!E:E,Productos!G:G,"",0,1))</f>
        <v/>
      </c>
      <c r="C537" s="2" t="str">
        <f>IF(A537="","",SUMIFS('Validaciones Cotizador'!B:B,'Validaciones Cotizador'!C:C,D537,'Validaciones Cotizador'!A:A,A537))</f>
        <v/>
      </c>
      <c r="D537" s="4" t="str">
        <f>IFERROR(__xludf.DUMMYFUNCTION("IF(OR(F536=""Finalizar"",F536="""",F536=""Selecciona..""),"""",IF(OR(F536=""-"",INDEX(filter(Familias!F:F,Familias!D:D=A536,Familias!E:E=C536),1)=""O""),D536+1,D536))"),"")</f>
        <v/>
      </c>
      <c r="E537" s="2" t="str">
        <f>IF(OR(F537="",F537="Selecciona.."),"",IF(D537="Implemento",SUMIF(Implementos!B:B,F537,Implementos!A:A),SUMIF(Productos!E:E,F537,Productos!A:A)))</f>
        <v/>
      </c>
      <c r="F537" s="2" t="str">
        <f t="shared" si="2"/>
        <v/>
      </c>
      <c r="G537" s="10" t="str">
        <f t="array" ref="G537">IF(OR(F537="",F537="-",F537="Selecciona..",F537="Finalizar"),"",IF(A537="Rodados",XLOOKUP(B537,'Validaciones Cotizador'!I:I,'Validaciones Cotizador'!J:J,0,0,1),1))</f>
        <v/>
      </c>
      <c r="H537" s="11" t="str">
        <f>IF(OR(F537="",F537="Selecciona.."),"",SUMIF(Precio_Productos!K:K,E537,Precio_Productos!J:J)*G537)</f>
        <v/>
      </c>
      <c r="I537" s="4" t="str">
        <f t="array" ref="I537">IF($E537="","", XLOOKUP(SUMIFS(Prod_Prop!$A:$A,Prod_Prop!$B:$B,$E537,Prod_Prop!$H:$H,I$1,Prod_Prop!$I:$I,"Exacto"),Prod_Prop!$A:$A,Prod_Prop!$J:$J,"",0,1))</f>
        <v/>
      </c>
      <c r="J537" s="4" t="str">
        <f t="array" ref="J537">IF($E537="","", XLOOKUP(SUMIFS(Prod_Prop!$A:$A,Prod_Prop!$B:$B,$E537,Prod_Prop!$H:$H,J$1,Prod_Prop!$I:$I,"Exacto"),Prod_Prop!$A:$A,Prod_Prop!$J:$J,"",0,1))</f>
        <v/>
      </c>
      <c r="K537" s="4" t="str">
        <f t="array" ref="K537">IF($E537="","", XLOOKUP(SUMIFS(Prod_Prop!$A:$A,Prod_Prop!$B:$B,$E537,Prod_Prop!$H:$H,K$1,Prod_Prop!$I:$I,"Exacto"),Prod_Prop!$A:$A,Prod_Prop!$J:$J,"",0,1))</f>
        <v/>
      </c>
      <c r="L537" s="4" t="str">
        <f t="array" ref="L537">IF($E537="","", XLOOKUP(SUMIFS(Prod_Prop!$A:$A,Prod_Prop!$B:$B,$E537,Prod_Prop!$H:$H,L$1,Prod_Prop!$I:$I,"Exacto"),Prod_Prop!$A:$A,Prod_Prop!$J:$J,"",0,1))</f>
        <v/>
      </c>
      <c r="M537" s="4" t="str">
        <f t="array" ref="M537">IF($E537="","", XLOOKUP(SUMIFS(Prod_Prop!$A:$A,Prod_Prop!$B:$B,$E537,Prod_Prop!$H:$H,M$1,Prod_Prop!$I:$I,"Exacto"),Prod_Prop!$A:$A,Prod_Prop!$J:$J,"",0,1))</f>
        <v/>
      </c>
      <c r="N537" s="4" t="str">
        <f t="array" ref="N537">IF($E537="","", XLOOKUP(SUMIFS(Prod_Prop!$A:$A,Prod_Prop!$B:$B,$E537,Prod_Prop!$H:$H,N$1,Prod_Prop!$I:$I,"Exacto"),Prod_Prop!$A:$A,Prod_Prop!$J:$J,"",0,1))</f>
        <v/>
      </c>
      <c r="O537" s="4" t="str">
        <f t="array" ref="O537">IF($E537="","", XLOOKUP(SUMIFS(Prod_Prop!$A:$A,Prod_Prop!$B:$B,$E537,Prod_Prop!$H:$H,O$1,Prod_Prop!$I:$I,"Exacto"),Prod_Prop!$A:$A,Prod_Prop!$J:$J,"",0,1))</f>
        <v/>
      </c>
      <c r="P537" s="4" t="str">
        <f t="array" ref="P537">IF($E537="","", XLOOKUP(SUMIFS(Prod_Prop!$A:$A,Prod_Prop!$B:$B,$E537,Prod_Prop!$H:$H,P$1,Prod_Prop!$I:$I,"Exacto"),Prod_Prop!$A:$A,Prod_Prop!$J:$J,"",0,1))</f>
        <v/>
      </c>
      <c r="Q537" s="4" t="str">
        <f t="array" ref="Q537">IF($E537="","", XLOOKUP(SUMIFS(Prod_Prop!$A:$A,Prod_Prop!$B:$B,$E537,Prod_Prop!$H:$H,Q$1,Prod_Prop!$I:$I,"Exacto"),Prod_Prop!$A:$A,Prod_Prop!$J:$J,"",0,1))</f>
        <v/>
      </c>
      <c r="R537" s="4" t="str">
        <f t="array" ref="R537">IF($E537="","", XLOOKUP(SUMIFS(Prod_Prop!$A:$A,Prod_Prop!$B:$B,$E537,Prod_Prop!$H:$H,R$1,Prod_Prop!$I:$I,"Exacto"),Prod_Prop!$A:$A,Prod_Prop!$J:$J,"",0,1))</f>
        <v/>
      </c>
      <c r="S537" s="4" t="str">
        <f t="array" ref="S537">IF($E537="","", XLOOKUP(SUMIFS(Prod_Prop!$A:$A,Prod_Prop!$B:$B,$E537,Prod_Prop!$H:$H,S$1,Prod_Prop!$I:$I,"Exacto"),Prod_Prop!$A:$A,Prod_Prop!$J:$J,"",0,1))</f>
        <v/>
      </c>
      <c r="T537" s="4" t="str">
        <f t="array" ref="T537">IF($E537="","", XLOOKUP(SUMIFS(Prod_Prop!$A:$A,Prod_Prop!$B:$B,$E537,Prod_Prop!$H:$H,T$1,Prod_Prop!$I:$I,"Exacto"),Prod_Prop!$A:$A,Prod_Prop!$J:$J,"",0,1))</f>
        <v/>
      </c>
      <c r="U537" s="4" t="str">
        <f t="array" ref="U537">IF($E537="","", XLOOKUP(SUMIFS(Prod_Prop!$A:$A,Prod_Prop!$B:$B,$E537,Prod_Prop!$H:$H,U$1,Prod_Prop!$I:$I,"Exacto"),Prod_Prop!$A:$A,Prod_Prop!$J:$J,"",0,1))</f>
        <v/>
      </c>
      <c r="V537" s="4" t="str">
        <f t="array" ref="V537">IF($E537="","", XLOOKUP(SUMIFS(Prod_Prop!$A:$A,Prod_Prop!$B:$B,$E537,Prod_Prop!$H:$H,V$1,Prod_Prop!$I:$I,"Exacto"),Prod_Prop!$A:$A,Prod_Prop!$J:$J,"",0,1))</f>
        <v/>
      </c>
      <c r="X537" s="3" t="str">
        <f>IFERROR(__xludf.DUMMYFUNCTION("IF(D537="""","""",IFERROR(TRANSPOSE(FILTER('Validaciones Cotizador'!U:U,'Validaciones Cotizador'!O:O=D537,'Validaciones Cotizador'!T:T=""x"")),""Finalizar""))"),"")</f>
        <v/>
      </c>
    </row>
    <row r="538">
      <c r="A538" s="2" t="str">
        <f t="array" ref="A538">IF(E538="","",XLOOKUP(D538,'Validaciones Cotizador'!C:C,'Validaciones Cotizador'!A:A,"",0,1))</f>
        <v/>
      </c>
      <c r="B538" s="2" t="str">
        <f t="array" ref="B538">IF(F538="","",XLOOKUP(F538,Productos!E:E,Productos!G:G,"",0,1))</f>
        <v/>
      </c>
      <c r="C538" s="2" t="str">
        <f>IF(A538="","",SUMIFS('Validaciones Cotizador'!B:B,'Validaciones Cotizador'!C:C,D538,'Validaciones Cotizador'!A:A,A538))</f>
        <v/>
      </c>
      <c r="D538" s="4" t="str">
        <f>IFERROR(__xludf.DUMMYFUNCTION("IF(OR(F537=""Finalizar"",F537="""",F537=""Selecciona..""),"""",IF(OR(F537=""-"",INDEX(filter(Familias!F:F,Familias!D:D=A537,Familias!E:E=C537),1)=""O""),D537+1,D537))"),"")</f>
        <v/>
      </c>
      <c r="E538" s="2" t="str">
        <f>IF(OR(F538="",F538="Selecciona.."),"",IF(D538="Implemento",SUMIF(Implementos!B:B,F538,Implementos!A:A),SUMIF(Productos!E:E,F538,Productos!A:A)))</f>
        <v/>
      </c>
      <c r="F538" s="2" t="str">
        <f t="shared" si="2"/>
        <v/>
      </c>
      <c r="G538" s="10" t="str">
        <f t="array" ref="G538">IF(OR(F538="",F538="-",F538="Selecciona..",F538="Finalizar"),"",IF(A538="Rodados",XLOOKUP(B538,'Validaciones Cotizador'!I:I,'Validaciones Cotizador'!J:J,0,0,1),1))</f>
        <v/>
      </c>
      <c r="H538" s="11" t="str">
        <f>IF(OR(F538="",F538="Selecciona.."),"",SUMIF(Precio_Productos!K:K,E538,Precio_Productos!J:J)*G538)</f>
        <v/>
      </c>
      <c r="I538" s="4" t="str">
        <f t="array" ref="I538">IF($E538="","", XLOOKUP(SUMIFS(Prod_Prop!$A:$A,Prod_Prop!$B:$B,$E538,Prod_Prop!$H:$H,I$1,Prod_Prop!$I:$I,"Exacto"),Prod_Prop!$A:$A,Prod_Prop!$J:$J,"",0,1))</f>
        <v/>
      </c>
      <c r="J538" s="4" t="str">
        <f t="array" ref="J538">IF($E538="","", XLOOKUP(SUMIFS(Prod_Prop!$A:$A,Prod_Prop!$B:$B,$E538,Prod_Prop!$H:$H,J$1,Prod_Prop!$I:$I,"Exacto"),Prod_Prop!$A:$A,Prod_Prop!$J:$J,"",0,1))</f>
        <v/>
      </c>
      <c r="K538" s="4" t="str">
        <f t="array" ref="K538">IF($E538="","", XLOOKUP(SUMIFS(Prod_Prop!$A:$A,Prod_Prop!$B:$B,$E538,Prod_Prop!$H:$H,K$1,Prod_Prop!$I:$I,"Exacto"),Prod_Prop!$A:$A,Prod_Prop!$J:$J,"",0,1))</f>
        <v/>
      </c>
      <c r="L538" s="4" t="str">
        <f t="array" ref="L538">IF($E538="","", XLOOKUP(SUMIFS(Prod_Prop!$A:$A,Prod_Prop!$B:$B,$E538,Prod_Prop!$H:$H,L$1,Prod_Prop!$I:$I,"Exacto"),Prod_Prop!$A:$A,Prod_Prop!$J:$J,"",0,1))</f>
        <v/>
      </c>
      <c r="M538" s="4" t="str">
        <f t="array" ref="M538">IF($E538="","", XLOOKUP(SUMIFS(Prod_Prop!$A:$A,Prod_Prop!$B:$B,$E538,Prod_Prop!$H:$H,M$1,Prod_Prop!$I:$I,"Exacto"),Prod_Prop!$A:$A,Prod_Prop!$J:$J,"",0,1))</f>
        <v/>
      </c>
      <c r="N538" s="4" t="str">
        <f t="array" ref="N538">IF($E538="","", XLOOKUP(SUMIFS(Prod_Prop!$A:$A,Prod_Prop!$B:$B,$E538,Prod_Prop!$H:$H,N$1,Prod_Prop!$I:$I,"Exacto"),Prod_Prop!$A:$A,Prod_Prop!$J:$J,"",0,1))</f>
        <v/>
      </c>
      <c r="O538" s="4" t="str">
        <f t="array" ref="O538">IF($E538="","", XLOOKUP(SUMIFS(Prod_Prop!$A:$A,Prod_Prop!$B:$B,$E538,Prod_Prop!$H:$H,O$1,Prod_Prop!$I:$I,"Exacto"),Prod_Prop!$A:$A,Prod_Prop!$J:$J,"",0,1))</f>
        <v/>
      </c>
      <c r="P538" s="4" t="str">
        <f t="array" ref="P538">IF($E538="","", XLOOKUP(SUMIFS(Prod_Prop!$A:$A,Prod_Prop!$B:$B,$E538,Prod_Prop!$H:$H,P$1,Prod_Prop!$I:$I,"Exacto"),Prod_Prop!$A:$A,Prod_Prop!$J:$J,"",0,1))</f>
        <v/>
      </c>
      <c r="Q538" s="4" t="str">
        <f t="array" ref="Q538">IF($E538="","", XLOOKUP(SUMIFS(Prod_Prop!$A:$A,Prod_Prop!$B:$B,$E538,Prod_Prop!$H:$H,Q$1,Prod_Prop!$I:$I,"Exacto"),Prod_Prop!$A:$A,Prod_Prop!$J:$J,"",0,1))</f>
        <v/>
      </c>
      <c r="R538" s="4" t="str">
        <f t="array" ref="R538">IF($E538="","", XLOOKUP(SUMIFS(Prod_Prop!$A:$A,Prod_Prop!$B:$B,$E538,Prod_Prop!$H:$H,R$1,Prod_Prop!$I:$I,"Exacto"),Prod_Prop!$A:$A,Prod_Prop!$J:$J,"",0,1))</f>
        <v/>
      </c>
      <c r="S538" s="4" t="str">
        <f t="array" ref="S538">IF($E538="","", XLOOKUP(SUMIFS(Prod_Prop!$A:$A,Prod_Prop!$B:$B,$E538,Prod_Prop!$H:$H,S$1,Prod_Prop!$I:$I,"Exacto"),Prod_Prop!$A:$A,Prod_Prop!$J:$J,"",0,1))</f>
        <v/>
      </c>
      <c r="T538" s="4" t="str">
        <f t="array" ref="T538">IF($E538="","", XLOOKUP(SUMIFS(Prod_Prop!$A:$A,Prod_Prop!$B:$B,$E538,Prod_Prop!$H:$H,T$1,Prod_Prop!$I:$I,"Exacto"),Prod_Prop!$A:$A,Prod_Prop!$J:$J,"",0,1))</f>
        <v/>
      </c>
      <c r="U538" s="4" t="str">
        <f t="array" ref="U538">IF($E538="","", XLOOKUP(SUMIFS(Prod_Prop!$A:$A,Prod_Prop!$B:$B,$E538,Prod_Prop!$H:$H,U$1,Prod_Prop!$I:$I,"Exacto"),Prod_Prop!$A:$A,Prod_Prop!$J:$J,"",0,1))</f>
        <v/>
      </c>
      <c r="V538" s="4" t="str">
        <f t="array" ref="V538">IF($E538="","", XLOOKUP(SUMIFS(Prod_Prop!$A:$A,Prod_Prop!$B:$B,$E538,Prod_Prop!$H:$H,V$1,Prod_Prop!$I:$I,"Exacto"),Prod_Prop!$A:$A,Prod_Prop!$J:$J,"",0,1))</f>
        <v/>
      </c>
      <c r="X538" s="3" t="str">
        <f>IFERROR(__xludf.DUMMYFUNCTION("IF(D538="""","""",IFERROR(TRANSPOSE(FILTER('Validaciones Cotizador'!U:U,'Validaciones Cotizador'!O:O=D538,'Validaciones Cotizador'!T:T=""x"")),""Finalizar""))"),"")</f>
        <v/>
      </c>
    </row>
    <row r="539">
      <c r="A539" s="2" t="str">
        <f t="array" ref="A539">IF(E539="","",XLOOKUP(D539,'Validaciones Cotizador'!C:C,'Validaciones Cotizador'!A:A,"",0,1))</f>
        <v/>
      </c>
      <c r="B539" s="2" t="str">
        <f t="array" ref="B539">IF(F539="","",XLOOKUP(F539,Productos!E:E,Productos!G:G,"",0,1))</f>
        <v/>
      </c>
      <c r="C539" s="2" t="str">
        <f>IF(A539="","",SUMIFS('Validaciones Cotizador'!B:B,'Validaciones Cotizador'!C:C,D539,'Validaciones Cotizador'!A:A,A539))</f>
        <v/>
      </c>
      <c r="D539" s="4" t="str">
        <f>IFERROR(__xludf.DUMMYFUNCTION("IF(OR(F538=""Finalizar"",F538="""",F538=""Selecciona..""),"""",IF(OR(F538=""-"",INDEX(filter(Familias!F:F,Familias!D:D=A538,Familias!E:E=C538),1)=""O""),D538+1,D538))"),"")</f>
        <v/>
      </c>
      <c r="E539" s="2" t="str">
        <f>IF(OR(F539="",F539="Selecciona.."),"",IF(D539="Implemento",SUMIF(Implementos!B:B,F539,Implementos!A:A),SUMIF(Productos!E:E,F539,Productos!A:A)))</f>
        <v/>
      </c>
      <c r="F539" s="2" t="str">
        <f t="shared" si="2"/>
        <v/>
      </c>
      <c r="G539" s="10" t="str">
        <f t="array" ref="G539">IF(OR(F539="",F539="-",F539="Selecciona..",F539="Finalizar"),"",IF(A539="Rodados",XLOOKUP(B539,'Validaciones Cotizador'!I:I,'Validaciones Cotizador'!J:J,0,0,1),1))</f>
        <v/>
      </c>
      <c r="H539" s="11" t="str">
        <f>IF(OR(F539="",F539="Selecciona.."),"",SUMIF(Precio_Productos!K:K,E539,Precio_Productos!J:J)*G539)</f>
        <v/>
      </c>
      <c r="I539" s="4" t="str">
        <f t="array" ref="I539">IF($E539="","", XLOOKUP(SUMIFS(Prod_Prop!$A:$A,Prod_Prop!$B:$B,$E539,Prod_Prop!$H:$H,I$1,Prod_Prop!$I:$I,"Exacto"),Prod_Prop!$A:$A,Prod_Prop!$J:$J,"",0,1))</f>
        <v/>
      </c>
      <c r="J539" s="4" t="str">
        <f t="array" ref="J539">IF($E539="","", XLOOKUP(SUMIFS(Prod_Prop!$A:$A,Prod_Prop!$B:$B,$E539,Prod_Prop!$H:$H,J$1,Prod_Prop!$I:$I,"Exacto"),Prod_Prop!$A:$A,Prod_Prop!$J:$J,"",0,1))</f>
        <v/>
      </c>
      <c r="K539" s="4" t="str">
        <f t="array" ref="K539">IF($E539="","", XLOOKUP(SUMIFS(Prod_Prop!$A:$A,Prod_Prop!$B:$B,$E539,Prod_Prop!$H:$H,K$1,Prod_Prop!$I:$I,"Exacto"),Prod_Prop!$A:$A,Prod_Prop!$J:$J,"",0,1))</f>
        <v/>
      </c>
      <c r="L539" s="4" t="str">
        <f t="array" ref="L539">IF($E539="","", XLOOKUP(SUMIFS(Prod_Prop!$A:$A,Prod_Prop!$B:$B,$E539,Prod_Prop!$H:$H,L$1,Prod_Prop!$I:$I,"Exacto"),Prod_Prop!$A:$A,Prod_Prop!$J:$J,"",0,1))</f>
        <v/>
      </c>
      <c r="M539" s="4" t="str">
        <f t="array" ref="M539">IF($E539="","", XLOOKUP(SUMIFS(Prod_Prop!$A:$A,Prod_Prop!$B:$B,$E539,Prod_Prop!$H:$H,M$1,Prod_Prop!$I:$I,"Exacto"),Prod_Prop!$A:$A,Prod_Prop!$J:$J,"",0,1))</f>
        <v/>
      </c>
      <c r="N539" s="4" t="str">
        <f t="array" ref="N539">IF($E539="","", XLOOKUP(SUMIFS(Prod_Prop!$A:$A,Prod_Prop!$B:$B,$E539,Prod_Prop!$H:$H,N$1,Prod_Prop!$I:$I,"Exacto"),Prod_Prop!$A:$A,Prod_Prop!$J:$J,"",0,1))</f>
        <v/>
      </c>
      <c r="O539" s="4" t="str">
        <f t="array" ref="O539">IF($E539="","", XLOOKUP(SUMIFS(Prod_Prop!$A:$A,Prod_Prop!$B:$B,$E539,Prod_Prop!$H:$H,O$1,Prod_Prop!$I:$I,"Exacto"),Prod_Prop!$A:$A,Prod_Prop!$J:$J,"",0,1))</f>
        <v/>
      </c>
      <c r="P539" s="4" t="str">
        <f t="array" ref="P539">IF($E539="","", XLOOKUP(SUMIFS(Prod_Prop!$A:$A,Prod_Prop!$B:$B,$E539,Prod_Prop!$H:$H,P$1,Prod_Prop!$I:$I,"Exacto"),Prod_Prop!$A:$A,Prod_Prop!$J:$J,"",0,1))</f>
        <v/>
      </c>
      <c r="Q539" s="4" t="str">
        <f t="array" ref="Q539">IF($E539="","", XLOOKUP(SUMIFS(Prod_Prop!$A:$A,Prod_Prop!$B:$B,$E539,Prod_Prop!$H:$H,Q$1,Prod_Prop!$I:$I,"Exacto"),Prod_Prop!$A:$A,Prod_Prop!$J:$J,"",0,1))</f>
        <v/>
      </c>
      <c r="R539" s="4" t="str">
        <f t="array" ref="R539">IF($E539="","", XLOOKUP(SUMIFS(Prod_Prop!$A:$A,Prod_Prop!$B:$B,$E539,Prod_Prop!$H:$H,R$1,Prod_Prop!$I:$I,"Exacto"),Prod_Prop!$A:$A,Prod_Prop!$J:$J,"",0,1))</f>
        <v/>
      </c>
      <c r="S539" s="4" t="str">
        <f t="array" ref="S539">IF($E539="","", XLOOKUP(SUMIFS(Prod_Prop!$A:$A,Prod_Prop!$B:$B,$E539,Prod_Prop!$H:$H,S$1,Prod_Prop!$I:$I,"Exacto"),Prod_Prop!$A:$A,Prod_Prop!$J:$J,"",0,1))</f>
        <v/>
      </c>
      <c r="T539" s="4" t="str">
        <f t="array" ref="T539">IF($E539="","", XLOOKUP(SUMIFS(Prod_Prop!$A:$A,Prod_Prop!$B:$B,$E539,Prod_Prop!$H:$H,T$1,Prod_Prop!$I:$I,"Exacto"),Prod_Prop!$A:$A,Prod_Prop!$J:$J,"",0,1))</f>
        <v/>
      </c>
      <c r="U539" s="4" t="str">
        <f t="array" ref="U539">IF($E539="","", XLOOKUP(SUMIFS(Prod_Prop!$A:$A,Prod_Prop!$B:$B,$E539,Prod_Prop!$H:$H,U$1,Prod_Prop!$I:$I,"Exacto"),Prod_Prop!$A:$A,Prod_Prop!$J:$J,"",0,1))</f>
        <v/>
      </c>
      <c r="V539" s="4" t="str">
        <f t="array" ref="V539">IF($E539="","", XLOOKUP(SUMIFS(Prod_Prop!$A:$A,Prod_Prop!$B:$B,$E539,Prod_Prop!$H:$H,V$1,Prod_Prop!$I:$I,"Exacto"),Prod_Prop!$A:$A,Prod_Prop!$J:$J,"",0,1))</f>
        <v/>
      </c>
      <c r="X539" s="3" t="str">
        <f>IFERROR(__xludf.DUMMYFUNCTION("IF(D539="""","""",IFERROR(TRANSPOSE(FILTER('Validaciones Cotizador'!U:U,'Validaciones Cotizador'!O:O=D539,'Validaciones Cotizador'!T:T=""x"")),""Finalizar""))"),"")</f>
        <v/>
      </c>
    </row>
    <row r="540">
      <c r="A540" s="2" t="str">
        <f t="array" ref="A540">IF(E540="","",XLOOKUP(D540,'Validaciones Cotizador'!C:C,'Validaciones Cotizador'!A:A,"",0,1))</f>
        <v/>
      </c>
      <c r="B540" s="2" t="str">
        <f t="array" ref="B540">IF(F540="","",XLOOKUP(F540,Productos!E:E,Productos!G:G,"",0,1))</f>
        <v/>
      </c>
      <c r="C540" s="2" t="str">
        <f>IF(A540="","",SUMIFS('Validaciones Cotizador'!B:B,'Validaciones Cotizador'!C:C,D540,'Validaciones Cotizador'!A:A,A540))</f>
        <v/>
      </c>
      <c r="D540" s="4" t="str">
        <f>IFERROR(__xludf.DUMMYFUNCTION("IF(OR(F539=""Finalizar"",F539="""",F539=""Selecciona..""),"""",IF(OR(F539=""-"",INDEX(filter(Familias!F:F,Familias!D:D=A539,Familias!E:E=C539),1)=""O""),D539+1,D539))"),"")</f>
        <v/>
      </c>
      <c r="E540" s="2" t="str">
        <f>IF(OR(F540="",F540="Selecciona.."),"",IF(D540="Implemento",SUMIF(Implementos!B:B,F540,Implementos!A:A),SUMIF(Productos!E:E,F540,Productos!A:A)))</f>
        <v/>
      </c>
      <c r="F540" s="2" t="str">
        <f t="shared" si="2"/>
        <v/>
      </c>
      <c r="G540" s="10" t="str">
        <f t="array" ref="G540">IF(OR(F540="",F540="-",F540="Selecciona..",F540="Finalizar"),"",IF(A540="Rodados",XLOOKUP(B540,'Validaciones Cotizador'!I:I,'Validaciones Cotizador'!J:J,0,0,1),1))</f>
        <v/>
      </c>
      <c r="H540" s="11" t="str">
        <f>IF(OR(F540="",F540="Selecciona.."),"",SUMIF(Precio_Productos!K:K,E540,Precio_Productos!J:J)*G540)</f>
        <v/>
      </c>
      <c r="I540" s="4" t="str">
        <f t="array" ref="I540">IF($E540="","", XLOOKUP(SUMIFS(Prod_Prop!$A:$A,Prod_Prop!$B:$B,$E540,Prod_Prop!$H:$H,I$1,Prod_Prop!$I:$I,"Exacto"),Prod_Prop!$A:$A,Prod_Prop!$J:$J,"",0,1))</f>
        <v/>
      </c>
      <c r="J540" s="4" t="str">
        <f t="array" ref="J540">IF($E540="","", XLOOKUP(SUMIFS(Prod_Prop!$A:$A,Prod_Prop!$B:$B,$E540,Prod_Prop!$H:$H,J$1,Prod_Prop!$I:$I,"Exacto"),Prod_Prop!$A:$A,Prod_Prop!$J:$J,"",0,1))</f>
        <v/>
      </c>
      <c r="K540" s="4" t="str">
        <f t="array" ref="K540">IF($E540="","", XLOOKUP(SUMIFS(Prod_Prop!$A:$A,Prod_Prop!$B:$B,$E540,Prod_Prop!$H:$H,K$1,Prod_Prop!$I:$I,"Exacto"),Prod_Prop!$A:$A,Prod_Prop!$J:$J,"",0,1))</f>
        <v/>
      </c>
      <c r="L540" s="4" t="str">
        <f t="array" ref="L540">IF($E540="","", XLOOKUP(SUMIFS(Prod_Prop!$A:$A,Prod_Prop!$B:$B,$E540,Prod_Prop!$H:$H,L$1,Prod_Prop!$I:$I,"Exacto"),Prod_Prop!$A:$A,Prod_Prop!$J:$J,"",0,1))</f>
        <v/>
      </c>
      <c r="M540" s="4" t="str">
        <f t="array" ref="M540">IF($E540="","", XLOOKUP(SUMIFS(Prod_Prop!$A:$A,Prod_Prop!$B:$B,$E540,Prod_Prop!$H:$H,M$1,Prod_Prop!$I:$I,"Exacto"),Prod_Prop!$A:$A,Prod_Prop!$J:$J,"",0,1))</f>
        <v/>
      </c>
      <c r="N540" s="4" t="str">
        <f t="array" ref="N540">IF($E540="","", XLOOKUP(SUMIFS(Prod_Prop!$A:$A,Prod_Prop!$B:$B,$E540,Prod_Prop!$H:$H,N$1,Prod_Prop!$I:$I,"Exacto"),Prod_Prop!$A:$A,Prod_Prop!$J:$J,"",0,1))</f>
        <v/>
      </c>
      <c r="O540" s="4" t="str">
        <f t="array" ref="O540">IF($E540="","", XLOOKUP(SUMIFS(Prod_Prop!$A:$A,Prod_Prop!$B:$B,$E540,Prod_Prop!$H:$H,O$1,Prod_Prop!$I:$I,"Exacto"),Prod_Prop!$A:$A,Prod_Prop!$J:$J,"",0,1))</f>
        <v/>
      </c>
      <c r="P540" s="4" t="str">
        <f t="array" ref="P540">IF($E540="","", XLOOKUP(SUMIFS(Prod_Prop!$A:$A,Prod_Prop!$B:$B,$E540,Prod_Prop!$H:$H,P$1,Prod_Prop!$I:$I,"Exacto"),Prod_Prop!$A:$A,Prod_Prop!$J:$J,"",0,1))</f>
        <v/>
      </c>
      <c r="Q540" s="4" t="str">
        <f t="array" ref="Q540">IF($E540="","", XLOOKUP(SUMIFS(Prod_Prop!$A:$A,Prod_Prop!$B:$B,$E540,Prod_Prop!$H:$H,Q$1,Prod_Prop!$I:$I,"Exacto"),Prod_Prop!$A:$A,Prod_Prop!$J:$J,"",0,1))</f>
        <v/>
      </c>
      <c r="R540" s="4" t="str">
        <f t="array" ref="R540">IF($E540="","", XLOOKUP(SUMIFS(Prod_Prop!$A:$A,Prod_Prop!$B:$B,$E540,Prod_Prop!$H:$H,R$1,Prod_Prop!$I:$I,"Exacto"),Prod_Prop!$A:$A,Prod_Prop!$J:$J,"",0,1))</f>
        <v/>
      </c>
      <c r="S540" s="4" t="str">
        <f t="array" ref="S540">IF($E540="","", XLOOKUP(SUMIFS(Prod_Prop!$A:$A,Prod_Prop!$B:$B,$E540,Prod_Prop!$H:$H,S$1,Prod_Prop!$I:$I,"Exacto"),Prod_Prop!$A:$A,Prod_Prop!$J:$J,"",0,1))</f>
        <v/>
      </c>
      <c r="T540" s="4" t="str">
        <f t="array" ref="T540">IF($E540="","", XLOOKUP(SUMIFS(Prod_Prop!$A:$A,Prod_Prop!$B:$B,$E540,Prod_Prop!$H:$H,T$1,Prod_Prop!$I:$I,"Exacto"),Prod_Prop!$A:$A,Prod_Prop!$J:$J,"",0,1))</f>
        <v/>
      </c>
      <c r="U540" s="4" t="str">
        <f t="array" ref="U540">IF($E540="","", XLOOKUP(SUMIFS(Prod_Prop!$A:$A,Prod_Prop!$B:$B,$E540,Prod_Prop!$H:$H,U$1,Prod_Prop!$I:$I,"Exacto"),Prod_Prop!$A:$A,Prod_Prop!$J:$J,"",0,1))</f>
        <v/>
      </c>
      <c r="V540" s="4" t="str">
        <f t="array" ref="V540">IF($E540="","", XLOOKUP(SUMIFS(Prod_Prop!$A:$A,Prod_Prop!$B:$B,$E540,Prod_Prop!$H:$H,V$1,Prod_Prop!$I:$I,"Exacto"),Prod_Prop!$A:$A,Prod_Prop!$J:$J,"",0,1))</f>
        <v/>
      </c>
      <c r="X540" s="3" t="str">
        <f>IFERROR(__xludf.DUMMYFUNCTION("IF(D540="""","""",IFERROR(TRANSPOSE(FILTER('Validaciones Cotizador'!U:U,'Validaciones Cotizador'!O:O=D540,'Validaciones Cotizador'!T:T=""x"")),""Finalizar""))"),"")</f>
        <v/>
      </c>
    </row>
    <row r="541">
      <c r="A541" s="2" t="str">
        <f t="array" ref="A541">IF(E541="","",XLOOKUP(D541,'Validaciones Cotizador'!C:C,'Validaciones Cotizador'!A:A,"",0,1))</f>
        <v/>
      </c>
      <c r="B541" s="2" t="str">
        <f t="array" ref="B541">IF(F541="","",XLOOKUP(F541,Productos!E:E,Productos!G:G,"",0,1))</f>
        <v/>
      </c>
      <c r="C541" s="2" t="str">
        <f>IF(A541="","",SUMIFS('Validaciones Cotizador'!B:B,'Validaciones Cotizador'!C:C,D541,'Validaciones Cotizador'!A:A,A541))</f>
        <v/>
      </c>
      <c r="D541" s="4" t="str">
        <f>IFERROR(__xludf.DUMMYFUNCTION("IF(OR(F540=""Finalizar"",F540="""",F540=""Selecciona..""),"""",IF(OR(F540=""-"",INDEX(filter(Familias!F:F,Familias!D:D=A540,Familias!E:E=C540),1)=""O""),D540+1,D540))"),"")</f>
        <v/>
      </c>
      <c r="E541" s="2" t="str">
        <f>IF(OR(F541="",F541="Selecciona.."),"",IF(D541="Implemento",SUMIF(Implementos!B:B,F541,Implementos!A:A),SUMIF(Productos!E:E,F541,Productos!A:A)))</f>
        <v/>
      </c>
      <c r="F541" s="2" t="str">
        <f t="shared" si="2"/>
        <v/>
      </c>
      <c r="G541" s="10" t="str">
        <f t="array" ref="G541">IF(OR(F541="",F541="-",F541="Selecciona..",F541="Finalizar"),"",IF(A541="Rodados",XLOOKUP(B541,'Validaciones Cotizador'!I:I,'Validaciones Cotizador'!J:J,0,0,1),1))</f>
        <v/>
      </c>
      <c r="H541" s="11" t="str">
        <f>IF(OR(F541="",F541="Selecciona.."),"",SUMIF(Precio_Productos!K:K,E541,Precio_Productos!J:J)*G541)</f>
        <v/>
      </c>
      <c r="I541" s="4" t="str">
        <f t="array" ref="I541">IF($E541="","", XLOOKUP(SUMIFS(Prod_Prop!$A:$A,Prod_Prop!$B:$B,$E541,Prod_Prop!$H:$H,I$1,Prod_Prop!$I:$I,"Exacto"),Prod_Prop!$A:$A,Prod_Prop!$J:$J,"",0,1))</f>
        <v/>
      </c>
      <c r="J541" s="4" t="str">
        <f t="array" ref="J541">IF($E541="","", XLOOKUP(SUMIFS(Prod_Prop!$A:$A,Prod_Prop!$B:$B,$E541,Prod_Prop!$H:$H,J$1,Prod_Prop!$I:$I,"Exacto"),Prod_Prop!$A:$A,Prod_Prop!$J:$J,"",0,1))</f>
        <v/>
      </c>
      <c r="K541" s="4" t="str">
        <f t="array" ref="K541">IF($E541="","", XLOOKUP(SUMIFS(Prod_Prop!$A:$A,Prod_Prop!$B:$B,$E541,Prod_Prop!$H:$H,K$1,Prod_Prop!$I:$I,"Exacto"),Prod_Prop!$A:$A,Prod_Prop!$J:$J,"",0,1))</f>
        <v/>
      </c>
      <c r="L541" s="4" t="str">
        <f t="array" ref="L541">IF($E541="","", XLOOKUP(SUMIFS(Prod_Prop!$A:$A,Prod_Prop!$B:$B,$E541,Prod_Prop!$H:$H,L$1,Prod_Prop!$I:$I,"Exacto"),Prod_Prop!$A:$A,Prod_Prop!$J:$J,"",0,1))</f>
        <v/>
      </c>
      <c r="M541" s="4" t="str">
        <f t="array" ref="M541">IF($E541="","", XLOOKUP(SUMIFS(Prod_Prop!$A:$A,Prod_Prop!$B:$B,$E541,Prod_Prop!$H:$H,M$1,Prod_Prop!$I:$I,"Exacto"),Prod_Prop!$A:$A,Prod_Prop!$J:$J,"",0,1))</f>
        <v/>
      </c>
      <c r="N541" s="4" t="str">
        <f t="array" ref="N541">IF($E541="","", XLOOKUP(SUMIFS(Prod_Prop!$A:$A,Prod_Prop!$B:$B,$E541,Prod_Prop!$H:$H,N$1,Prod_Prop!$I:$I,"Exacto"),Prod_Prop!$A:$A,Prod_Prop!$J:$J,"",0,1))</f>
        <v/>
      </c>
      <c r="O541" s="4" t="str">
        <f t="array" ref="O541">IF($E541="","", XLOOKUP(SUMIFS(Prod_Prop!$A:$A,Prod_Prop!$B:$B,$E541,Prod_Prop!$H:$H,O$1,Prod_Prop!$I:$I,"Exacto"),Prod_Prop!$A:$A,Prod_Prop!$J:$J,"",0,1))</f>
        <v/>
      </c>
      <c r="P541" s="4" t="str">
        <f t="array" ref="P541">IF($E541="","", XLOOKUP(SUMIFS(Prod_Prop!$A:$A,Prod_Prop!$B:$B,$E541,Prod_Prop!$H:$H,P$1,Prod_Prop!$I:$I,"Exacto"),Prod_Prop!$A:$A,Prod_Prop!$J:$J,"",0,1))</f>
        <v/>
      </c>
      <c r="Q541" s="4" t="str">
        <f t="array" ref="Q541">IF($E541="","", XLOOKUP(SUMIFS(Prod_Prop!$A:$A,Prod_Prop!$B:$B,$E541,Prod_Prop!$H:$H,Q$1,Prod_Prop!$I:$I,"Exacto"),Prod_Prop!$A:$A,Prod_Prop!$J:$J,"",0,1))</f>
        <v/>
      </c>
      <c r="R541" s="4" t="str">
        <f t="array" ref="R541">IF($E541="","", XLOOKUP(SUMIFS(Prod_Prop!$A:$A,Prod_Prop!$B:$B,$E541,Prod_Prop!$H:$H,R$1,Prod_Prop!$I:$I,"Exacto"),Prod_Prop!$A:$A,Prod_Prop!$J:$J,"",0,1))</f>
        <v/>
      </c>
      <c r="S541" s="4" t="str">
        <f t="array" ref="S541">IF($E541="","", XLOOKUP(SUMIFS(Prod_Prop!$A:$A,Prod_Prop!$B:$B,$E541,Prod_Prop!$H:$H,S$1,Prod_Prop!$I:$I,"Exacto"),Prod_Prop!$A:$A,Prod_Prop!$J:$J,"",0,1))</f>
        <v/>
      </c>
      <c r="T541" s="4" t="str">
        <f t="array" ref="T541">IF($E541="","", XLOOKUP(SUMIFS(Prod_Prop!$A:$A,Prod_Prop!$B:$B,$E541,Prod_Prop!$H:$H,T$1,Prod_Prop!$I:$I,"Exacto"),Prod_Prop!$A:$A,Prod_Prop!$J:$J,"",0,1))</f>
        <v/>
      </c>
      <c r="U541" s="4" t="str">
        <f t="array" ref="U541">IF($E541="","", XLOOKUP(SUMIFS(Prod_Prop!$A:$A,Prod_Prop!$B:$B,$E541,Prod_Prop!$H:$H,U$1,Prod_Prop!$I:$I,"Exacto"),Prod_Prop!$A:$A,Prod_Prop!$J:$J,"",0,1))</f>
        <v/>
      </c>
      <c r="V541" s="4" t="str">
        <f t="array" ref="V541">IF($E541="","", XLOOKUP(SUMIFS(Prod_Prop!$A:$A,Prod_Prop!$B:$B,$E541,Prod_Prop!$H:$H,V$1,Prod_Prop!$I:$I,"Exacto"),Prod_Prop!$A:$A,Prod_Prop!$J:$J,"",0,1))</f>
        <v/>
      </c>
      <c r="X541" s="3" t="str">
        <f>IFERROR(__xludf.DUMMYFUNCTION("IF(D541="""","""",IFERROR(TRANSPOSE(FILTER('Validaciones Cotizador'!U:U,'Validaciones Cotizador'!O:O=D541,'Validaciones Cotizador'!T:T=""x"")),""Finalizar""))"),"")</f>
        <v/>
      </c>
    </row>
    <row r="542">
      <c r="A542" s="2" t="str">
        <f t="array" ref="A542">IF(E542="","",XLOOKUP(D542,'Validaciones Cotizador'!C:C,'Validaciones Cotizador'!A:A,"",0,1))</f>
        <v/>
      </c>
      <c r="B542" s="2" t="str">
        <f t="array" ref="B542">IF(F542="","",XLOOKUP(F542,Productos!E:E,Productos!G:G,"",0,1))</f>
        <v/>
      </c>
      <c r="C542" s="2" t="str">
        <f>IF(A542="","",SUMIFS('Validaciones Cotizador'!B:B,'Validaciones Cotizador'!C:C,D542,'Validaciones Cotizador'!A:A,A542))</f>
        <v/>
      </c>
      <c r="D542" s="4" t="str">
        <f>IFERROR(__xludf.DUMMYFUNCTION("IF(OR(F541=""Finalizar"",F541="""",F541=""Selecciona..""),"""",IF(OR(F541=""-"",INDEX(filter(Familias!F:F,Familias!D:D=A541,Familias!E:E=C541),1)=""O""),D541+1,D541))"),"")</f>
        <v/>
      </c>
      <c r="E542" s="2" t="str">
        <f>IF(OR(F542="",F542="Selecciona.."),"",IF(D542="Implemento",SUMIF(Implementos!B:B,F542,Implementos!A:A),SUMIF(Productos!E:E,F542,Productos!A:A)))</f>
        <v/>
      </c>
      <c r="F542" s="2" t="str">
        <f t="shared" si="2"/>
        <v/>
      </c>
      <c r="G542" s="10" t="str">
        <f t="array" ref="G542">IF(OR(F542="",F542="-",F542="Selecciona..",F542="Finalizar"),"",IF(A542="Rodados",XLOOKUP(B542,'Validaciones Cotizador'!I:I,'Validaciones Cotizador'!J:J,0,0,1),1))</f>
        <v/>
      </c>
      <c r="H542" s="11" t="str">
        <f>IF(OR(F542="",F542="Selecciona.."),"",SUMIF(Precio_Productos!K:K,E542,Precio_Productos!J:J)*G542)</f>
        <v/>
      </c>
      <c r="I542" s="4" t="str">
        <f t="array" ref="I542">IF($E542="","", XLOOKUP(SUMIFS(Prod_Prop!$A:$A,Prod_Prop!$B:$B,$E542,Prod_Prop!$H:$H,I$1,Prod_Prop!$I:$I,"Exacto"),Prod_Prop!$A:$A,Prod_Prop!$J:$J,"",0,1))</f>
        <v/>
      </c>
      <c r="J542" s="4" t="str">
        <f t="array" ref="J542">IF($E542="","", XLOOKUP(SUMIFS(Prod_Prop!$A:$A,Prod_Prop!$B:$B,$E542,Prod_Prop!$H:$H,J$1,Prod_Prop!$I:$I,"Exacto"),Prod_Prop!$A:$A,Prod_Prop!$J:$J,"",0,1))</f>
        <v/>
      </c>
      <c r="K542" s="4" t="str">
        <f t="array" ref="K542">IF($E542="","", XLOOKUP(SUMIFS(Prod_Prop!$A:$A,Prod_Prop!$B:$B,$E542,Prod_Prop!$H:$H,K$1,Prod_Prop!$I:$I,"Exacto"),Prod_Prop!$A:$A,Prod_Prop!$J:$J,"",0,1))</f>
        <v/>
      </c>
      <c r="L542" s="4" t="str">
        <f t="array" ref="L542">IF($E542="","", XLOOKUP(SUMIFS(Prod_Prop!$A:$A,Prod_Prop!$B:$B,$E542,Prod_Prop!$H:$H,L$1,Prod_Prop!$I:$I,"Exacto"),Prod_Prop!$A:$A,Prod_Prop!$J:$J,"",0,1))</f>
        <v/>
      </c>
      <c r="M542" s="4" t="str">
        <f t="array" ref="M542">IF($E542="","", XLOOKUP(SUMIFS(Prod_Prop!$A:$A,Prod_Prop!$B:$B,$E542,Prod_Prop!$H:$H,M$1,Prod_Prop!$I:$I,"Exacto"),Prod_Prop!$A:$A,Prod_Prop!$J:$J,"",0,1))</f>
        <v/>
      </c>
      <c r="N542" s="4" t="str">
        <f t="array" ref="N542">IF($E542="","", XLOOKUP(SUMIFS(Prod_Prop!$A:$A,Prod_Prop!$B:$B,$E542,Prod_Prop!$H:$H,N$1,Prod_Prop!$I:$I,"Exacto"),Prod_Prop!$A:$A,Prod_Prop!$J:$J,"",0,1))</f>
        <v/>
      </c>
      <c r="O542" s="4" t="str">
        <f t="array" ref="O542">IF($E542="","", XLOOKUP(SUMIFS(Prod_Prop!$A:$A,Prod_Prop!$B:$B,$E542,Prod_Prop!$H:$H,O$1,Prod_Prop!$I:$I,"Exacto"),Prod_Prop!$A:$A,Prod_Prop!$J:$J,"",0,1))</f>
        <v/>
      </c>
      <c r="P542" s="4" t="str">
        <f t="array" ref="P542">IF($E542="","", XLOOKUP(SUMIFS(Prod_Prop!$A:$A,Prod_Prop!$B:$B,$E542,Prod_Prop!$H:$H,P$1,Prod_Prop!$I:$I,"Exacto"),Prod_Prop!$A:$A,Prod_Prop!$J:$J,"",0,1))</f>
        <v/>
      </c>
      <c r="Q542" s="4" t="str">
        <f t="array" ref="Q542">IF($E542="","", XLOOKUP(SUMIFS(Prod_Prop!$A:$A,Prod_Prop!$B:$B,$E542,Prod_Prop!$H:$H,Q$1,Prod_Prop!$I:$I,"Exacto"),Prod_Prop!$A:$A,Prod_Prop!$J:$J,"",0,1))</f>
        <v/>
      </c>
      <c r="R542" s="4" t="str">
        <f t="array" ref="R542">IF($E542="","", XLOOKUP(SUMIFS(Prod_Prop!$A:$A,Prod_Prop!$B:$B,$E542,Prod_Prop!$H:$H,R$1,Prod_Prop!$I:$I,"Exacto"),Prod_Prop!$A:$A,Prod_Prop!$J:$J,"",0,1))</f>
        <v/>
      </c>
      <c r="S542" s="4" t="str">
        <f t="array" ref="S542">IF($E542="","", XLOOKUP(SUMIFS(Prod_Prop!$A:$A,Prod_Prop!$B:$B,$E542,Prod_Prop!$H:$H,S$1,Prod_Prop!$I:$I,"Exacto"),Prod_Prop!$A:$A,Prod_Prop!$J:$J,"",0,1))</f>
        <v/>
      </c>
      <c r="T542" s="4" t="str">
        <f t="array" ref="T542">IF($E542="","", XLOOKUP(SUMIFS(Prod_Prop!$A:$A,Prod_Prop!$B:$B,$E542,Prod_Prop!$H:$H,T$1,Prod_Prop!$I:$I,"Exacto"),Prod_Prop!$A:$A,Prod_Prop!$J:$J,"",0,1))</f>
        <v/>
      </c>
      <c r="U542" s="4" t="str">
        <f t="array" ref="U542">IF($E542="","", XLOOKUP(SUMIFS(Prod_Prop!$A:$A,Prod_Prop!$B:$B,$E542,Prod_Prop!$H:$H,U$1,Prod_Prop!$I:$I,"Exacto"),Prod_Prop!$A:$A,Prod_Prop!$J:$J,"",0,1))</f>
        <v/>
      </c>
      <c r="V542" s="4" t="str">
        <f t="array" ref="V542">IF($E542="","", XLOOKUP(SUMIFS(Prod_Prop!$A:$A,Prod_Prop!$B:$B,$E542,Prod_Prop!$H:$H,V$1,Prod_Prop!$I:$I,"Exacto"),Prod_Prop!$A:$A,Prod_Prop!$J:$J,"",0,1))</f>
        <v/>
      </c>
      <c r="X542" s="3" t="str">
        <f>IFERROR(__xludf.DUMMYFUNCTION("IF(D542="""","""",IFERROR(TRANSPOSE(FILTER('Validaciones Cotizador'!U:U,'Validaciones Cotizador'!O:O=D542,'Validaciones Cotizador'!T:T=""x"")),""Finalizar""))"),"")</f>
        <v/>
      </c>
    </row>
    <row r="543">
      <c r="A543" s="2" t="str">
        <f t="array" ref="A543">IF(E543="","",XLOOKUP(D543,'Validaciones Cotizador'!C:C,'Validaciones Cotizador'!A:A,"",0,1))</f>
        <v/>
      </c>
      <c r="B543" s="2" t="str">
        <f t="array" ref="B543">IF(F543="","",XLOOKUP(F543,Productos!E:E,Productos!G:G,"",0,1))</f>
        <v/>
      </c>
      <c r="C543" s="2" t="str">
        <f>IF(A543="","",SUMIFS('Validaciones Cotizador'!B:B,'Validaciones Cotizador'!C:C,D543,'Validaciones Cotizador'!A:A,A543))</f>
        <v/>
      </c>
      <c r="D543" s="4" t="str">
        <f>IFERROR(__xludf.DUMMYFUNCTION("IF(OR(F542=""Finalizar"",F542="""",F542=""Selecciona..""),"""",IF(OR(F542=""-"",INDEX(filter(Familias!F:F,Familias!D:D=A542,Familias!E:E=C542),1)=""O""),D542+1,D542))"),"")</f>
        <v/>
      </c>
      <c r="E543" s="2" t="str">
        <f>IF(OR(F543="",F543="Selecciona.."),"",IF(D543="Implemento",SUMIF(Implementos!B:B,F543,Implementos!A:A),SUMIF(Productos!E:E,F543,Productos!A:A)))</f>
        <v/>
      </c>
      <c r="F543" s="2" t="str">
        <f t="shared" si="2"/>
        <v/>
      </c>
      <c r="G543" s="10" t="str">
        <f t="array" ref="G543">IF(OR(F543="",F543="-",F543="Selecciona..",F543="Finalizar"),"",IF(A543="Rodados",XLOOKUP(B543,'Validaciones Cotizador'!I:I,'Validaciones Cotizador'!J:J,0,0,1),1))</f>
        <v/>
      </c>
      <c r="H543" s="11" t="str">
        <f>IF(OR(F543="",F543="Selecciona.."),"",SUMIF(Precio_Productos!K:K,E543,Precio_Productos!J:J)*G543)</f>
        <v/>
      </c>
      <c r="I543" s="4" t="str">
        <f t="array" ref="I543">IF($E543="","", XLOOKUP(SUMIFS(Prod_Prop!$A:$A,Prod_Prop!$B:$B,$E543,Prod_Prop!$H:$H,I$1,Prod_Prop!$I:$I,"Exacto"),Prod_Prop!$A:$A,Prod_Prop!$J:$J,"",0,1))</f>
        <v/>
      </c>
      <c r="J543" s="4" t="str">
        <f t="array" ref="J543">IF($E543="","", XLOOKUP(SUMIFS(Prod_Prop!$A:$A,Prod_Prop!$B:$B,$E543,Prod_Prop!$H:$H,J$1,Prod_Prop!$I:$I,"Exacto"),Prod_Prop!$A:$A,Prod_Prop!$J:$J,"",0,1))</f>
        <v/>
      </c>
      <c r="K543" s="4" t="str">
        <f t="array" ref="K543">IF($E543="","", XLOOKUP(SUMIFS(Prod_Prop!$A:$A,Prod_Prop!$B:$B,$E543,Prod_Prop!$H:$H,K$1,Prod_Prop!$I:$I,"Exacto"),Prod_Prop!$A:$A,Prod_Prop!$J:$J,"",0,1))</f>
        <v/>
      </c>
      <c r="L543" s="4" t="str">
        <f t="array" ref="L543">IF($E543="","", XLOOKUP(SUMIFS(Prod_Prop!$A:$A,Prod_Prop!$B:$B,$E543,Prod_Prop!$H:$H,L$1,Prod_Prop!$I:$I,"Exacto"),Prod_Prop!$A:$A,Prod_Prop!$J:$J,"",0,1))</f>
        <v/>
      </c>
      <c r="M543" s="4" t="str">
        <f t="array" ref="M543">IF($E543="","", XLOOKUP(SUMIFS(Prod_Prop!$A:$A,Prod_Prop!$B:$B,$E543,Prod_Prop!$H:$H,M$1,Prod_Prop!$I:$I,"Exacto"),Prod_Prop!$A:$A,Prod_Prop!$J:$J,"",0,1))</f>
        <v/>
      </c>
      <c r="N543" s="4" t="str">
        <f t="array" ref="N543">IF($E543="","", XLOOKUP(SUMIFS(Prod_Prop!$A:$A,Prod_Prop!$B:$B,$E543,Prod_Prop!$H:$H,N$1,Prod_Prop!$I:$I,"Exacto"),Prod_Prop!$A:$A,Prod_Prop!$J:$J,"",0,1))</f>
        <v/>
      </c>
      <c r="O543" s="4" t="str">
        <f t="array" ref="O543">IF($E543="","", XLOOKUP(SUMIFS(Prod_Prop!$A:$A,Prod_Prop!$B:$B,$E543,Prod_Prop!$H:$H,O$1,Prod_Prop!$I:$I,"Exacto"),Prod_Prop!$A:$A,Prod_Prop!$J:$J,"",0,1))</f>
        <v/>
      </c>
      <c r="P543" s="4" t="str">
        <f t="array" ref="P543">IF($E543="","", XLOOKUP(SUMIFS(Prod_Prop!$A:$A,Prod_Prop!$B:$B,$E543,Prod_Prop!$H:$H,P$1,Prod_Prop!$I:$I,"Exacto"),Prod_Prop!$A:$A,Prod_Prop!$J:$J,"",0,1))</f>
        <v/>
      </c>
      <c r="Q543" s="4" t="str">
        <f t="array" ref="Q543">IF($E543="","", XLOOKUP(SUMIFS(Prod_Prop!$A:$A,Prod_Prop!$B:$B,$E543,Prod_Prop!$H:$H,Q$1,Prod_Prop!$I:$I,"Exacto"),Prod_Prop!$A:$A,Prod_Prop!$J:$J,"",0,1))</f>
        <v/>
      </c>
      <c r="R543" s="4" t="str">
        <f t="array" ref="R543">IF($E543="","", XLOOKUP(SUMIFS(Prod_Prop!$A:$A,Prod_Prop!$B:$B,$E543,Prod_Prop!$H:$H,R$1,Prod_Prop!$I:$I,"Exacto"),Prod_Prop!$A:$A,Prod_Prop!$J:$J,"",0,1))</f>
        <v/>
      </c>
      <c r="S543" s="4" t="str">
        <f t="array" ref="S543">IF($E543="","", XLOOKUP(SUMIFS(Prod_Prop!$A:$A,Prod_Prop!$B:$B,$E543,Prod_Prop!$H:$H,S$1,Prod_Prop!$I:$I,"Exacto"),Prod_Prop!$A:$A,Prod_Prop!$J:$J,"",0,1))</f>
        <v/>
      </c>
      <c r="T543" s="4" t="str">
        <f t="array" ref="T543">IF($E543="","", XLOOKUP(SUMIFS(Prod_Prop!$A:$A,Prod_Prop!$B:$B,$E543,Prod_Prop!$H:$H,T$1,Prod_Prop!$I:$I,"Exacto"),Prod_Prop!$A:$A,Prod_Prop!$J:$J,"",0,1))</f>
        <v/>
      </c>
      <c r="U543" s="4" t="str">
        <f t="array" ref="U543">IF($E543="","", XLOOKUP(SUMIFS(Prod_Prop!$A:$A,Prod_Prop!$B:$B,$E543,Prod_Prop!$H:$H,U$1,Prod_Prop!$I:$I,"Exacto"),Prod_Prop!$A:$A,Prod_Prop!$J:$J,"",0,1))</f>
        <v/>
      </c>
      <c r="V543" s="4" t="str">
        <f t="array" ref="V543">IF($E543="","", XLOOKUP(SUMIFS(Prod_Prop!$A:$A,Prod_Prop!$B:$B,$E543,Prod_Prop!$H:$H,V$1,Prod_Prop!$I:$I,"Exacto"),Prod_Prop!$A:$A,Prod_Prop!$J:$J,"",0,1))</f>
        <v/>
      </c>
      <c r="X543" s="3" t="str">
        <f>IFERROR(__xludf.DUMMYFUNCTION("IF(D543="""","""",IFERROR(TRANSPOSE(FILTER('Validaciones Cotizador'!U:U,'Validaciones Cotizador'!O:O=D543,'Validaciones Cotizador'!T:T=""x"")),""Finalizar""))"),"")</f>
        <v/>
      </c>
    </row>
    <row r="544">
      <c r="A544" s="2" t="str">
        <f t="array" ref="A544">IF(E544="","",XLOOKUP(D544,'Validaciones Cotizador'!C:C,'Validaciones Cotizador'!A:A,"",0,1))</f>
        <v/>
      </c>
      <c r="B544" s="2" t="str">
        <f t="array" ref="B544">IF(F544="","",XLOOKUP(F544,Productos!E:E,Productos!G:G,"",0,1))</f>
        <v/>
      </c>
      <c r="C544" s="2" t="str">
        <f>IF(A544="","",SUMIFS('Validaciones Cotizador'!B:B,'Validaciones Cotizador'!C:C,D544,'Validaciones Cotizador'!A:A,A544))</f>
        <v/>
      </c>
      <c r="D544" s="4" t="str">
        <f>IFERROR(__xludf.DUMMYFUNCTION("IF(OR(F543=""Finalizar"",F543="""",F543=""Selecciona..""),"""",IF(OR(F543=""-"",INDEX(filter(Familias!F:F,Familias!D:D=A543,Familias!E:E=C543),1)=""O""),D543+1,D543))"),"")</f>
        <v/>
      </c>
      <c r="E544" s="2" t="str">
        <f>IF(OR(F544="",F544="Selecciona.."),"",IF(D544="Implemento",SUMIF(Implementos!B:B,F544,Implementos!A:A),SUMIF(Productos!E:E,F544,Productos!A:A)))</f>
        <v/>
      </c>
      <c r="F544" s="2" t="str">
        <f t="shared" si="2"/>
        <v/>
      </c>
      <c r="G544" s="10" t="str">
        <f t="array" ref="G544">IF(OR(F544="",F544="-",F544="Selecciona..",F544="Finalizar"),"",IF(A544="Rodados",XLOOKUP(B544,'Validaciones Cotizador'!I:I,'Validaciones Cotizador'!J:J,0,0,1),1))</f>
        <v/>
      </c>
      <c r="H544" s="11" t="str">
        <f>IF(OR(F544="",F544="Selecciona.."),"",SUMIF(Precio_Productos!K:K,E544,Precio_Productos!J:J)*G544)</f>
        <v/>
      </c>
      <c r="I544" s="4" t="str">
        <f t="array" ref="I544">IF($E544="","", XLOOKUP(SUMIFS(Prod_Prop!$A:$A,Prod_Prop!$B:$B,$E544,Prod_Prop!$H:$H,I$1,Prod_Prop!$I:$I,"Exacto"),Prod_Prop!$A:$A,Prod_Prop!$J:$J,"",0,1))</f>
        <v/>
      </c>
      <c r="J544" s="4" t="str">
        <f t="array" ref="J544">IF($E544="","", XLOOKUP(SUMIFS(Prod_Prop!$A:$A,Prod_Prop!$B:$B,$E544,Prod_Prop!$H:$H,J$1,Prod_Prop!$I:$I,"Exacto"),Prod_Prop!$A:$A,Prod_Prop!$J:$J,"",0,1))</f>
        <v/>
      </c>
      <c r="K544" s="4" t="str">
        <f t="array" ref="K544">IF($E544="","", XLOOKUP(SUMIFS(Prod_Prop!$A:$A,Prod_Prop!$B:$B,$E544,Prod_Prop!$H:$H,K$1,Prod_Prop!$I:$I,"Exacto"),Prod_Prop!$A:$A,Prod_Prop!$J:$J,"",0,1))</f>
        <v/>
      </c>
      <c r="L544" s="4" t="str">
        <f t="array" ref="L544">IF($E544="","", XLOOKUP(SUMIFS(Prod_Prop!$A:$A,Prod_Prop!$B:$B,$E544,Prod_Prop!$H:$H,L$1,Prod_Prop!$I:$I,"Exacto"),Prod_Prop!$A:$A,Prod_Prop!$J:$J,"",0,1))</f>
        <v/>
      </c>
      <c r="M544" s="4" t="str">
        <f t="array" ref="M544">IF($E544="","", XLOOKUP(SUMIFS(Prod_Prop!$A:$A,Prod_Prop!$B:$B,$E544,Prod_Prop!$H:$H,M$1,Prod_Prop!$I:$I,"Exacto"),Prod_Prop!$A:$A,Prod_Prop!$J:$J,"",0,1))</f>
        <v/>
      </c>
      <c r="N544" s="4" t="str">
        <f t="array" ref="N544">IF($E544="","", XLOOKUP(SUMIFS(Prod_Prop!$A:$A,Prod_Prop!$B:$B,$E544,Prod_Prop!$H:$H,N$1,Prod_Prop!$I:$I,"Exacto"),Prod_Prop!$A:$A,Prod_Prop!$J:$J,"",0,1))</f>
        <v/>
      </c>
      <c r="O544" s="4" t="str">
        <f t="array" ref="O544">IF($E544="","", XLOOKUP(SUMIFS(Prod_Prop!$A:$A,Prod_Prop!$B:$B,$E544,Prod_Prop!$H:$H,O$1,Prod_Prop!$I:$I,"Exacto"),Prod_Prop!$A:$A,Prod_Prop!$J:$J,"",0,1))</f>
        <v/>
      </c>
      <c r="P544" s="4" t="str">
        <f t="array" ref="P544">IF($E544="","", XLOOKUP(SUMIFS(Prod_Prop!$A:$A,Prod_Prop!$B:$B,$E544,Prod_Prop!$H:$H,P$1,Prod_Prop!$I:$I,"Exacto"),Prod_Prop!$A:$A,Prod_Prop!$J:$J,"",0,1))</f>
        <v/>
      </c>
      <c r="Q544" s="4" t="str">
        <f t="array" ref="Q544">IF($E544="","", XLOOKUP(SUMIFS(Prod_Prop!$A:$A,Prod_Prop!$B:$B,$E544,Prod_Prop!$H:$H,Q$1,Prod_Prop!$I:$I,"Exacto"),Prod_Prop!$A:$A,Prod_Prop!$J:$J,"",0,1))</f>
        <v/>
      </c>
      <c r="R544" s="4" t="str">
        <f t="array" ref="R544">IF($E544="","", XLOOKUP(SUMIFS(Prod_Prop!$A:$A,Prod_Prop!$B:$B,$E544,Prod_Prop!$H:$H,R$1,Prod_Prop!$I:$I,"Exacto"),Prod_Prop!$A:$A,Prod_Prop!$J:$J,"",0,1))</f>
        <v/>
      </c>
      <c r="S544" s="4" t="str">
        <f t="array" ref="S544">IF($E544="","", XLOOKUP(SUMIFS(Prod_Prop!$A:$A,Prod_Prop!$B:$B,$E544,Prod_Prop!$H:$H,S$1,Prod_Prop!$I:$I,"Exacto"),Prod_Prop!$A:$A,Prod_Prop!$J:$J,"",0,1))</f>
        <v/>
      </c>
      <c r="T544" s="4" t="str">
        <f t="array" ref="T544">IF($E544="","", XLOOKUP(SUMIFS(Prod_Prop!$A:$A,Prod_Prop!$B:$B,$E544,Prod_Prop!$H:$H,T$1,Prod_Prop!$I:$I,"Exacto"),Prod_Prop!$A:$A,Prod_Prop!$J:$J,"",0,1))</f>
        <v/>
      </c>
      <c r="U544" s="4" t="str">
        <f t="array" ref="U544">IF($E544="","", XLOOKUP(SUMIFS(Prod_Prop!$A:$A,Prod_Prop!$B:$B,$E544,Prod_Prop!$H:$H,U$1,Prod_Prop!$I:$I,"Exacto"),Prod_Prop!$A:$A,Prod_Prop!$J:$J,"",0,1))</f>
        <v/>
      </c>
      <c r="V544" s="4" t="str">
        <f t="array" ref="V544">IF($E544="","", XLOOKUP(SUMIFS(Prod_Prop!$A:$A,Prod_Prop!$B:$B,$E544,Prod_Prop!$H:$H,V$1,Prod_Prop!$I:$I,"Exacto"),Prod_Prop!$A:$A,Prod_Prop!$J:$J,"",0,1))</f>
        <v/>
      </c>
      <c r="X544" s="3" t="str">
        <f>IFERROR(__xludf.DUMMYFUNCTION("IF(D544="""","""",IFERROR(TRANSPOSE(FILTER('Validaciones Cotizador'!U:U,'Validaciones Cotizador'!O:O=D544,'Validaciones Cotizador'!T:T=""x"")),""Finalizar""))"),"")</f>
        <v/>
      </c>
    </row>
    <row r="545">
      <c r="A545" s="2" t="str">
        <f t="array" ref="A545">IF(E545="","",XLOOKUP(D545,'Validaciones Cotizador'!C:C,'Validaciones Cotizador'!A:A,"",0,1))</f>
        <v/>
      </c>
      <c r="B545" s="2" t="str">
        <f t="array" ref="B545">IF(F545="","",XLOOKUP(F545,Productos!E:E,Productos!G:G,"",0,1))</f>
        <v/>
      </c>
      <c r="C545" s="2" t="str">
        <f>IF(A545="","",SUMIFS('Validaciones Cotizador'!B:B,'Validaciones Cotizador'!C:C,D545,'Validaciones Cotizador'!A:A,A545))</f>
        <v/>
      </c>
      <c r="D545" s="4" t="str">
        <f>IFERROR(__xludf.DUMMYFUNCTION("IF(OR(F544=""Finalizar"",F544="""",F544=""Selecciona..""),"""",IF(OR(F544=""-"",INDEX(filter(Familias!F:F,Familias!D:D=A544,Familias!E:E=C544),1)=""O""),D544+1,D544))"),"")</f>
        <v/>
      </c>
      <c r="E545" s="2" t="str">
        <f>IF(OR(F545="",F545="Selecciona.."),"",IF(D545="Implemento",SUMIF(Implementos!B:B,F545,Implementos!A:A),SUMIF(Productos!E:E,F545,Productos!A:A)))</f>
        <v/>
      </c>
      <c r="F545" s="2" t="str">
        <f t="shared" si="2"/>
        <v/>
      </c>
      <c r="G545" s="10" t="str">
        <f t="array" ref="G545">IF(OR(F545="",F545="-",F545="Selecciona..",F545="Finalizar"),"",IF(A545="Rodados",XLOOKUP(B545,'Validaciones Cotizador'!I:I,'Validaciones Cotizador'!J:J,0,0,1),1))</f>
        <v/>
      </c>
      <c r="H545" s="11" t="str">
        <f>IF(OR(F545="",F545="Selecciona.."),"",SUMIF(Precio_Productos!K:K,E545,Precio_Productos!J:J)*G545)</f>
        <v/>
      </c>
      <c r="I545" s="4" t="str">
        <f t="array" ref="I545">IF($E545="","", XLOOKUP(SUMIFS(Prod_Prop!$A:$A,Prod_Prop!$B:$B,$E545,Prod_Prop!$H:$H,I$1,Prod_Prop!$I:$I,"Exacto"),Prod_Prop!$A:$A,Prod_Prop!$J:$J,"",0,1))</f>
        <v/>
      </c>
      <c r="J545" s="4" t="str">
        <f t="array" ref="J545">IF($E545="","", XLOOKUP(SUMIFS(Prod_Prop!$A:$A,Prod_Prop!$B:$B,$E545,Prod_Prop!$H:$H,J$1,Prod_Prop!$I:$I,"Exacto"),Prod_Prop!$A:$A,Prod_Prop!$J:$J,"",0,1))</f>
        <v/>
      </c>
      <c r="K545" s="4" t="str">
        <f t="array" ref="K545">IF($E545="","", XLOOKUP(SUMIFS(Prod_Prop!$A:$A,Prod_Prop!$B:$B,$E545,Prod_Prop!$H:$H,K$1,Prod_Prop!$I:$I,"Exacto"),Prod_Prop!$A:$A,Prod_Prop!$J:$J,"",0,1))</f>
        <v/>
      </c>
      <c r="L545" s="4" t="str">
        <f t="array" ref="L545">IF($E545="","", XLOOKUP(SUMIFS(Prod_Prop!$A:$A,Prod_Prop!$B:$B,$E545,Prod_Prop!$H:$H,L$1,Prod_Prop!$I:$I,"Exacto"),Prod_Prop!$A:$A,Prod_Prop!$J:$J,"",0,1))</f>
        <v/>
      </c>
      <c r="M545" s="4" t="str">
        <f t="array" ref="M545">IF($E545="","", XLOOKUP(SUMIFS(Prod_Prop!$A:$A,Prod_Prop!$B:$B,$E545,Prod_Prop!$H:$H,M$1,Prod_Prop!$I:$I,"Exacto"),Prod_Prop!$A:$A,Prod_Prop!$J:$J,"",0,1))</f>
        <v/>
      </c>
      <c r="N545" s="4" t="str">
        <f t="array" ref="N545">IF($E545="","", XLOOKUP(SUMIFS(Prod_Prop!$A:$A,Prod_Prop!$B:$B,$E545,Prod_Prop!$H:$H,N$1,Prod_Prop!$I:$I,"Exacto"),Prod_Prop!$A:$A,Prod_Prop!$J:$J,"",0,1))</f>
        <v/>
      </c>
      <c r="O545" s="4" t="str">
        <f t="array" ref="O545">IF($E545="","", XLOOKUP(SUMIFS(Prod_Prop!$A:$A,Prod_Prop!$B:$B,$E545,Prod_Prop!$H:$H,O$1,Prod_Prop!$I:$I,"Exacto"),Prod_Prop!$A:$A,Prod_Prop!$J:$J,"",0,1))</f>
        <v/>
      </c>
      <c r="P545" s="4" t="str">
        <f t="array" ref="P545">IF($E545="","", XLOOKUP(SUMIFS(Prod_Prop!$A:$A,Prod_Prop!$B:$B,$E545,Prod_Prop!$H:$H,P$1,Prod_Prop!$I:$I,"Exacto"),Prod_Prop!$A:$A,Prod_Prop!$J:$J,"",0,1))</f>
        <v/>
      </c>
      <c r="Q545" s="4" t="str">
        <f t="array" ref="Q545">IF($E545="","", XLOOKUP(SUMIFS(Prod_Prop!$A:$A,Prod_Prop!$B:$B,$E545,Prod_Prop!$H:$H,Q$1,Prod_Prop!$I:$I,"Exacto"),Prod_Prop!$A:$A,Prod_Prop!$J:$J,"",0,1))</f>
        <v/>
      </c>
      <c r="R545" s="4" t="str">
        <f t="array" ref="R545">IF($E545="","", XLOOKUP(SUMIFS(Prod_Prop!$A:$A,Prod_Prop!$B:$B,$E545,Prod_Prop!$H:$H,R$1,Prod_Prop!$I:$I,"Exacto"),Prod_Prop!$A:$A,Prod_Prop!$J:$J,"",0,1))</f>
        <v/>
      </c>
      <c r="S545" s="4" t="str">
        <f t="array" ref="S545">IF($E545="","", XLOOKUP(SUMIFS(Prod_Prop!$A:$A,Prod_Prop!$B:$B,$E545,Prod_Prop!$H:$H,S$1,Prod_Prop!$I:$I,"Exacto"),Prod_Prop!$A:$A,Prod_Prop!$J:$J,"",0,1))</f>
        <v/>
      </c>
      <c r="T545" s="4" t="str">
        <f t="array" ref="T545">IF($E545="","", XLOOKUP(SUMIFS(Prod_Prop!$A:$A,Prod_Prop!$B:$B,$E545,Prod_Prop!$H:$H,T$1,Prod_Prop!$I:$I,"Exacto"),Prod_Prop!$A:$A,Prod_Prop!$J:$J,"",0,1))</f>
        <v/>
      </c>
      <c r="U545" s="4" t="str">
        <f t="array" ref="U545">IF($E545="","", XLOOKUP(SUMIFS(Prod_Prop!$A:$A,Prod_Prop!$B:$B,$E545,Prod_Prop!$H:$H,U$1,Prod_Prop!$I:$I,"Exacto"),Prod_Prop!$A:$A,Prod_Prop!$J:$J,"",0,1))</f>
        <v/>
      </c>
      <c r="V545" s="4" t="str">
        <f t="array" ref="V545">IF($E545="","", XLOOKUP(SUMIFS(Prod_Prop!$A:$A,Prod_Prop!$B:$B,$E545,Prod_Prop!$H:$H,V$1,Prod_Prop!$I:$I,"Exacto"),Prod_Prop!$A:$A,Prod_Prop!$J:$J,"",0,1))</f>
        <v/>
      </c>
      <c r="X545" s="3" t="str">
        <f>IFERROR(__xludf.DUMMYFUNCTION("IF(D545="""","""",IFERROR(TRANSPOSE(FILTER('Validaciones Cotizador'!U:U,'Validaciones Cotizador'!O:O=D545,'Validaciones Cotizador'!T:T=""x"")),""Finalizar""))"),"")</f>
        <v/>
      </c>
    </row>
    <row r="546">
      <c r="A546" s="2" t="str">
        <f t="array" ref="A546">IF(E546="","",XLOOKUP(D546,'Validaciones Cotizador'!C:C,'Validaciones Cotizador'!A:A,"",0,1))</f>
        <v/>
      </c>
      <c r="B546" s="2" t="str">
        <f t="array" ref="B546">IF(F546="","",XLOOKUP(F546,Productos!E:E,Productos!G:G,"",0,1))</f>
        <v/>
      </c>
      <c r="C546" s="2" t="str">
        <f>IF(A546="","",SUMIFS('Validaciones Cotizador'!B:B,'Validaciones Cotizador'!C:C,D546,'Validaciones Cotizador'!A:A,A546))</f>
        <v/>
      </c>
      <c r="D546" s="4" t="str">
        <f>IFERROR(__xludf.DUMMYFUNCTION("IF(OR(F545=""Finalizar"",F545="""",F545=""Selecciona..""),"""",IF(OR(F545=""-"",INDEX(filter(Familias!F:F,Familias!D:D=A545,Familias!E:E=C545),1)=""O""),D545+1,D545))"),"")</f>
        <v/>
      </c>
      <c r="E546" s="2" t="str">
        <f>IF(OR(F546="",F546="Selecciona.."),"",IF(D546="Implemento",SUMIF(Implementos!B:B,F546,Implementos!A:A),SUMIF(Productos!E:E,F546,Productos!A:A)))</f>
        <v/>
      </c>
      <c r="F546" s="2" t="str">
        <f t="shared" si="2"/>
        <v/>
      </c>
      <c r="G546" s="10" t="str">
        <f t="array" ref="G546">IF(OR(F546="",F546="-",F546="Selecciona..",F546="Finalizar"),"",IF(A546="Rodados",XLOOKUP(B546,'Validaciones Cotizador'!I:I,'Validaciones Cotizador'!J:J,0,0,1),1))</f>
        <v/>
      </c>
      <c r="H546" s="11" t="str">
        <f>IF(OR(F546="",F546="Selecciona.."),"",SUMIF(Precio_Productos!K:K,E546,Precio_Productos!J:J)*G546)</f>
        <v/>
      </c>
      <c r="I546" s="4" t="str">
        <f t="array" ref="I546">IF($E546="","", XLOOKUP(SUMIFS(Prod_Prop!$A:$A,Prod_Prop!$B:$B,$E546,Prod_Prop!$H:$H,I$1,Prod_Prop!$I:$I,"Exacto"),Prod_Prop!$A:$A,Prod_Prop!$J:$J,"",0,1))</f>
        <v/>
      </c>
      <c r="J546" s="4" t="str">
        <f t="array" ref="J546">IF($E546="","", XLOOKUP(SUMIFS(Prod_Prop!$A:$A,Prod_Prop!$B:$B,$E546,Prod_Prop!$H:$H,J$1,Prod_Prop!$I:$I,"Exacto"),Prod_Prop!$A:$A,Prod_Prop!$J:$J,"",0,1))</f>
        <v/>
      </c>
      <c r="K546" s="4" t="str">
        <f t="array" ref="K546">IF($E546="","", XLOOKUP(SUMIFS(Prod_Prop!$A:$A,Prod_Prop!$B:$B,$E546,Prod_Prop!$H:$H,K$1,Prod_Prop!$I:$I,"Exacto"),Prod_Prop!$A:$A,Prod_Prop!$J:$J,"",0,1))</f>
        <v/>
      </c>
      <c r="L546" s="4" t="str">
        <f t="array" ref="L546">IF($E546="","", XLOOKUP(SUMIFS(Prod_Prop!$A:$A,Prod_Prop!$B:$B,$E546,Prod_Prop!$H:$H,L$1,Prod_Prop!$I:$I,"Exacto"),Prod_Prop!$A:$A,Prod_Prop!$J:$J,"",0,1))</f>
        <v/>
      </c>
      <c r="M546" s="4" t="str">
        <f t="array" ref="M546">IF($E546="","", XLOOKUP(SUMIFS(Prod_Prop!$A:$A,Prod_Prop!$B:$B,$E546,Prod_Prop!$H:$H,M$1,Prod_Prop!$I:$I,"Exacto"),Prod_Prop!$A:$A,Prod_Prop!$J:$J,"",0,1))</f>
        <v/>
      </c>
      <c r="N546" s="4" t="str">
        <f t="array" ref="N546">IF($E546="","", XLOOKUP(SUMIFS(Prod_Prop!$A:$A,Prod_Prop!$B:$B,$E546,Prod_Prop!$H:$H,N$1,Prod_Prop!$I:$I,"Exacto"),Prod_Prop!$A:$A,Prod_Prop!$J:$J,"",0,1))</f>
        <v/>
      </c>
      <c r="O546" s="4" t="str">
        <f t="array" ref="O546">IF($E546="","", XLOOKUP(SUMIFS(Prod_Prop!$A:$A,Prod_Prop!$B:$B,$E546,Prod_Prop!$H:$H,O$1,Prod_Prop!$I:$I,"Exacto"),Prod_Prop!$A:$A,Prod_Prop!$J:$J,"",0,1))</f>
        <v/>
      </c>
      <c r="P546" s="4" t="str">
        <f t="array" ref="P546">IF($E546="","", XLOOKUP(SUMIFS(Prod_Prop!$A:$A,Prod_Prop!$B:$B,$E546,Prod_Prop!$H:$H,P$1,Prod_Prop!$I:$I,"Exacto"),Prod_Prop!$A:$A,Prod_Prop!$J:$J,"",0,1))</f>
        <v/>
      </c>
      <c r="Q546" s="4" t="str">
        <f t="array" ref="Q546">IF($E546="","", XLOOKUP(SUMIFS(Prod_Prop!$A:$A,Prod_Prop!$B:$B,$E546,Prod_Prop!$H:$H,Q$1,Prod_Prop!$I:$I,"Exacto"),Prod_Prop!$A:$A,Prod_Prop!$J:$J,"",0,1))</f>
        <v/>
      </c>
      <c r="R546" s="4" t="str">
        <f t="array" ref="R546">IF($E546="","", XLOOKUP(SUMIFS(Prod_Prop!$A:$A,Prod_Prop!$B:$B,$E546,Prod_Prop!$H:$H,R$1,Prod_Prop!$I:$I,"Exacto"),Prod_Prop!$A:$A,Prod_Prop!$J:$J,"",0,1))</f>
        <v/>
      </c>
      <c r="S546" s="4" t="str">
        <f t="array" ref="S546">IF($E546="","", XLOOKUP(SUMIFS(Prod_Prop!$A:$A,Prod_Prop!$B:$B,$E546,Prod_Prop!$H:$H,S$1,Prod_Prop!$I:$I,"Exacto"),Prod_Prop!$A:$A,Prod_Prop!$J:$J,"",0,1))</f>
        <v/>
      </c>
      <c r="T546" s="4" t="str">
        <f t="array" ref="T546">IF($E546="","", XLOOKUP(SUMIFS(Prod_Prop!$A:$A,Prod_Prop!$B:$B,$E546,Prod_Prop!$H:$H,T$1,Prod_Prop!$I:$I,"Exacto"),Prod_Prop!$A:$A,Prod_Prop!$J:$J,"",0,1))</f>
        <v/>
      </c>
      <c r="U546" s="4" t="str">
        <f t="array" ref="U546">IF($E546="","", XLOOKUP(SUMIFS(Prod_Prop!$A:$A,Prod_Prop!$B:$B,$E546,Prod_Prop!$H:$H,U$1,Prod_Prop!$I:$I,"Exacto"),Prod_Prop!$A:$A,Prod_Prop!$J:$J,"",0,1))</f>
        <v/>
      </c>
      <c r="V546" s="4" t="str">
        <f t="array" ref="V546">IF($E546="","", XLOOKUP(SUMIFS(Prod_Prop!$A:$A,Prod_Prop!$B:$B,$E546,Prod_Prop!$H:$H,V$1,Prod_Prop!$I:$I,"Exacto"),Prod_Prop!$A:$A,Prod_Prop!$J:$J,"",0,1))</f>
        <v/>
      </c>
      <c r="X546" s="3" t="str">
        <f>IFERROR(__xludf.DUMMYFUNCTION("IF(D546="""","""",IFERROR(TRANSPOSE(FILTER('Validaciones Cotizador'!U:U,'Validaciones Cotizador'!O:O=D546,'Validaciones Cotizador'!T:T=""x"")),""Finalizar""))"),"")</f>
        <v/>
      </c>
    </row>
    <row r="547">
      <c r="A547" s="2" t="str">
        <f t="array" ref="A547">IF(E547="","",XLOOKUP(D547,'Validaciones Cotizador'!C:C,'Validaciones Cotizador'!A:A,"",0,1))</f>
        <v/>
      </c>
      <c r="B547" s="2" t="str">
        <f t="array" ref="B547">IF(F547="","",XLOOKUP(F547,Productos!E:E,Productos!G:G,"",0,1))</f>
        <v/>
      </c>
      <c r="C547" s="2" t="str">
        <f>IF(A547="","",SUMIFS('Validaciones Cotizador'!B:B,'Validaciones Cotizador'!C:C,D547,'Validaciones Cotizador'!A:A,A547))</f>
        <v/>
      </c>
      <c r="D547" s="4" t="str">
        <f>IFERROR(__xludf.DUMMYFUNCTION("IF(OR(F546=""Finalizar"",F546="""",F546=""Selecciona..""),"""",IF(OR(F546=""-"",INDEX(filter(Familias!F:F,Familias!D:D=A546,Familias!E:E=C546),1)=""O""),D546+1,D546))"),"")</f>
        <v/>
      </c>
      <c r="E547" s="2" t="str">
        <f>IF(OR(F547="",F547="Selecciona.."),"",IF(D547="Implemento",SUMIF(Implementos!B:B,F547,Implementos!A:A),SUMIF(Productos!E:E,F547,Productos!A:A)))</f>
        <v/>
      </c>
      <c r="F547" s="2" t="str">
        <f t="shared" si="2"/>
        <v/>
      </c>
      <c r="G547" s="10" t="str">
        <f t="array" ref="G547">IF(OR(F547="",F547="-",F547="Selecciona..",F547="Finalizar"),"",IF(A547="Rodados",XLOOKUP(B547,'Validaciones Cotizador'!I:I,'Validaciones Cotizador'!J:J,0,0,1),1))</f>
        <v/>
      </c>
      <c r="H547" s="11" t="str">
        <f>IF(OR(F547="",F547="Selecciona.."),"",SUMIF(Precio_Productos!K:K,E547,Precio_Productos!J:J)*G547)</f>
        <v/>
      </c>
      <c r="I547" s="4" t="str">
        <f t="array" ref="I547">IF($E547="","", XLOOKUP(SUMIFS(Prod_Prop!$A:$A,Prod_Prop!$B:$B,$E547,Prod_Prop!$H:$H,I$1,Prod_Prop!$I:$I,"Exacto"),Prod_Prop!$A:$A,Prod_Prop!$J:$J,"",0,1))</f>
        <v/>
      </c>
      <c r="J547" s="4" t="str">
        <f t="array" ref="J547">IF($E547="","", XLOOKUP(SUMIFS(Prod_Prop!$A:$A,Prod_Prop!$B:$B,$E547,Prod_Prop!$H:$H,J$1,Prod_Prop!$I:$I,"Exacto"),Prod_Prop!$A:$A,Prod_Prop!$J:$J,"",0,1))</f>
        <v/>
      </c>
      <c r="K547" s="4" t="str">
        <f t="array" ref="K547">IF($E547="","", XLOOKUP(SUMIFS(Prod_Prop!$A:$A,Prod_Prop!$B:$B,$E547,Prod_Prop!$H:$H,K$1,Prod_Prop!$I:$I,"Exacto"),Prod_Prop!$A:$A,Prod_Prop!$J:$J,"",0,1))</f>
        <v/>
      </c>
      <c r="L547" s="4" t="str">
        <f t="array" ref="L547">IF($E547="","", XLOOKUP(SUMIFS(Prod_Prop!$A:$A,Prod_Prop!$B:$B,$E547,Prod_Prop!$H:$H,L$1,Prod_Prop!$I:$I,"Exacto"),Prod_Prop!$A:$A,Prod_Prop!$J:$J,"",0,1))</f>
        <v/>
      </c>
      <c r="M547" s="4" t="str">
        <f t="array" ref="M547">IF($E547="","", XLOOKUP(SUMIFS(Prod_Prop!$A:$A,Prod_Prop!$B:$B,$E547,Prod_Prop!$H:$H,M$1,Prod_Prop!$I:$I,"Exacto"),Prod_Prop!$A:$A,Prod_Prop!$J:$J,"",0,1))</f>
        <v/>
      </c>
      <c r="N547" s="4" t="str">
        <f t="array" ref="N547">IF($E547="","", XLOOKUP(SUMIFS(Prod_Prop!$A:$A,Prod_Prop!$B:$B,$E547,Prod_Prop!$H:$H,N$1,Prod_Prop!$I:$I,"Exacto"),Prod_Prop!$A:$A,Prod_Prop!$J:$J,"",0,1))</f>
        <v/>
      </c>
      <c r="O547" s="4" t="str">
        <f t="array" ref="O547">IF($E547="","", XLOOKUP(SUMIFS(Prod_Prop!$A:$A,Prod_Prop!$B:$B,$E547,Prod_Prop!$H:$H,O$1,Prod_Prop!$I:$I,"Exacto"),Prod_Prop!$A:$A,Prod_Prop!$J:$J,"",0,1))</f>
        <v/>
      </c>
      <c r="P547" s="4" t="str">
        <f t="array" ref="P547">IF($E547="","", XLOOKUP(SUMIFS(Prod_Prop!$A:$A,Prod_Prop!$B:$B,$E547,Prod_Prop!$H:$H,P$1,Prod_Prop!$I:$I,"Exacto"),Prod_Prop!$A:$A,Prod_Prop!$J:$J,"",0,1))</f>
        <v/>
      </c>
      <c r="Q547" s="4" t="str">
        <f t="array" ref="Q547">IF($E547="","", XLOOKUP(SUMIFS(Prod_Prop!$A:$A,Prod_Prop!$B:$B,$E547,Prod_Prop!$H:$H,Q$1,Prod_Prop!$I:$I,"Exacto"),Prod_Prop!$A:$A,Prod_Prop!$J:$J,"",0,1))</f>
        <v/>
      </c>
      <c r="R547" s="4" t="str">
        <f t="array" ref="R547">IF($E547="","", XLOOKUP(SUMIFS(Prod_Prop!$A:$A,Prod_Prop!$B:$B,$E547,Prod_Prop!$H:$H,R$1,Prod_Prop!$I:$I,"Exacto"),Prod_Prop!$A:$A,Prod_Prop!$J:$J,"",0,1))</f>
        <v/>
      </c>
      <c r="S547" s="4" t="str">
        <f t="array" ref="S547">IF($E547="","", XLOOKUP(SUMIFS(Prod_Prop!$A:$A,Prod_Prop!$B:$B,$E547,Prod_Prop!$H:$H,S$1,Prod_Prop!$I:$I,"Exacto"),Prod_Prop!$A:$A,Prod_Prop!$J:$J,"",0,1))</f>
        <v/>
      </c>
      <c r="T547" s="4" t="str">
        <f t="array" ref="T547">IF($E547="","", XLOOKUP(SUMIFS(Prod_Prop!$A:$A,Prod_Prop!$B:$B,$E547,Prod_Prop!$H:$H,T$1,Prod_Prop!$I:$I,"Exacto"),Prod_Prop!$A:$A,Prod_Prop!$J:$J,"",0,1))</f>
        <v/>
      </c>
      <c r="U547" s="4" t="str">
        <f t="array" ref="U547">IF($E547="","", XLOOKUP(SUMIFS(Prod_Prop!$A:$A,Prod_Prop!$B:$B,$E547,Prod_Prop!$H:$H,U$1,Prod_Prop!$I:$I,"Exacto"),Prod_Prop!$A:$A,Prod_Prop!$J:$J,"",0,1))</f>
        <v/>
      </c>
      <c r="V547" s="4" t="str">
        <f t="array" ref="V547">IF($E547="","", XLOOKUP(SUMIFS(Prod_Prop!$A:$A,Prod_Prop!$B:$B,$E547,Prod_Prop!$H:$H,V$1,Prod_Prop!$I:$I,"Exacto"),Prod_Prop!$A:$A,Prod_Prop!$J:$J,"",0,1))</f>
        <v/>
      </c>
      <c r="X547" s="3" t="str">
        <f>IFERROR(__xludf.DUMMYFUNCTION("IF(D547="""","""",IFERROR(TRANSPOSE(FILTER('Validaciones Cotizador'!U:U,'Validaciones Cotizador'!O:O=D547,'Validaciones Cotizador'!T:T=""x"")),""Finalizar""))"),"")</f>
        <v/>
      </c>
    </row>
    <row r="548">
      <c r="A548" s="2" t="str">
        <f t="array" ref="A548">IF(E548="","",XLOOKUP(D548,'Validaciones Cotizador'!C:C,'Validaciones Cotizador'!A:A,"",0,1))</f>
        <v/>
      </c>
      <c r="B548" s="2" t="str">
        <f t="array" ref="B548">IF(F548="","",XLOOKUP(F548,Productos!E:E,Productos!G:G,"",0,1))</f>
        <v/>
      </c>
      <c r="C548" s="2" t="str">
        <f>IF(A548="","",SUMIFS('Validaciones Cotizador'!B:B,'Validaciones Cotizador'!C:C,D548,'Validaciones Cotizador'!A:A,A548))</f>
        <v/>
      </c>
      <c r="D548" s="4" t="str">
        <f>IFERROR(__xludf.DUMMYFUNCTION("IF(OR(F547=""Finalizar"",F547="""",F547=""Selecciona..""),"""",IF(OR(F547=""-"",INDEX(filter(Familias!F:F,Familias!D:D=A547,Familias!E:E=C547),1)=""O""),D547+1,D547))"),"")</f>
        <v/>
      </c>
      <c r="E548" s="2" t="str">
        <f>IF(OR(F548="",F548="Selecciona.."),"",IF(D548="Implemento",SUMIF(Implementos!B:B,F548,Implementos!A:A),SUMIF(Productos!E:E,F548,Productos!A:A)))</f>
        <v/>
      </c>
      <c r="F548" s="2" t="str">
        <f t="shared" si="2"/>
        <v/>
      </c>
      <c r="G548" s="10" t="str">
        <f t="array" ref="G548">IF(OR(F548="",F548="-",F548="Selecciona..",F548="Finalizar"),"",IF(A548="Rodados",XLOOKUP(B548,'Validaciones Cotizador'!I:I,'Validaciones Cotizador'!J:J,0,0,1),1))</f>
        <v/>
      </c>
      <c r="H548" s="11" t="str">
        <f>IF(OR(F548="",F548="Selecciona.."),"",SUMIF(Precio_Productos!K:K,E548,Precio_Productos!J:J)*G548)</f>
        <v/>
      </c>
      <c r="I548" s="4" t="str">
        <f t="array" ref="I548">IF($E548="","", XLOOKUP(SUMIFS(Prod_Prop!$A:$A,Prod_Prop!$B:$B,$E548,Prod_Prop!$H:$H,I$1,Prod_Prop!$I:$I,"Exacto"),Prod_Prop!$A:$A,Prod_Prop!$J:$J,"",0,1))</f>
        <v/>
      </c>
      <c r="J548" s="4" t="str">
        <f t="array" ref="J548">IF($E548="","", XLOOKUP(SUMIFS(Prod_Prop!$A:$A,Prod_Prop!$B:$B,$E548,Prod_Prop!$H:$H,J$1,Prod_Prop!$I:$I,"Exacto"),Prod_Prop!$A:$A,Prod_Prop!$J:$J,"",0,1))</f>
        <v/>
      </c>
      <c r="K548" s="4" t="str">
        <f t="array" ref="K548">IF($E548="","", XLOOKUP(SUMIFS(Prod_Prop!$A:$A,Prod_Prop!$B:$B,$E548,Prod_Prop!$H:$H,K$1,Prod_Prop!$I:$I,"Exacto"),Prod_Prop!$A:$A,Prod_Prop!$J:$J,"",0,1))</f>
        <v/>
      </c>
      <c r="L548" s="4" t="str">
        <f t="array" ref="L548">IF($E548="","", XLOOKUP(SUMIFS(Prod_Prop!$A:$A,Prod_Prop!$B:$B,$E548,Prod_Prop!$H:$H,L$1,Prod_Prop!$I:$I,"Exacto"),Prod_Prop!$A:$A,Prod_Prop!$J:$J,"",0,1))</f>
        <v/>
      </c>
      <c r="M548" s="4" t="str">
        <f t="array" ref="M548">IF($E548="","", XLOOKUP(SUMIFS(Prod_Prop!$A:$A,Prod_Prop!$B:$B,$E548,Prod_Prop!$H:$H,M$1,Prod_Prop!$I:$I,"Exacto"),Prod_Prop!$A:$A,Prod_Prop!$J:$J,"",0,1))</f>
        <v/>
      </c>
      <c r="N548" s="4" t="str">
        <f t="array" ref="N548">IF($E548="","", XLOOKUP(SUMIFS(Prod_Prop!$A:$A,Prod_Prop!$B:$B,$E548,Prod_Prop!$H:$H,N$1,Prod_Prop!$I:$I,"Exacto"),Prod_Prop!$A:$A,Prod_Prop!$J:$J,"",0,1))</f>
        <v/>
      </c>
      <c r="O548" s="4" t="str">
        <f t="array" ref="O548">IF($E548="","", XLOOKUP(SUMIFS(Prod_Prop!$A:$A,Prod_Prop!$B:$B,$E548,Prod_Prop!$H:$H,O$1,Prod_Prop!$I:$I,"Exacto"),Prod_Prop!$A:$A,Prod_Prop!$J:$J,"",0,1))</f>
        <v/>
      </c>
      <c r="P548" s="4" t="str">
        <f t="array" ref="P548">IF($E548="","", XLOOKUP(SUMIFS(Prod_Prop!$A:$A,Prod_Prop!$B:$B,$E548,Prod_Prop!$H:$H,P$1,Prod_Prop!$I:$I,"Exacto"),Prod_Prop!$A:$A,Prod_Prop!$J:$J,"",0,1))</f>
        <v/>
      </c>
      <c r="Q548" s="4" t="str">
        <f t="array" ref="Q548">IF($E548="","", XLOOKUP(SUMIFS(Prod_Prop!$A:$A,Prod_Prop!$B:$B,$E548,Prod_Prop!$H:$H,Q$1,Prod_Prop!$I:$I,"Exacto"),Prod_Prop!$A:$A,Prod_Prop!$J:$J,"",0,1))</f>
        <v/>
      </c>
      <c r="R548" s="4" t="str">
        <f t="array" ref="R548">IF($E548="","", XLOOKUP(SUMIFS(Prod_Prop!$A:$A,Prod_Prop!$B:$B,$E548,Prod_Prop!$H:$H,R$1,Prod_Prop!$I:$I,"Exacto"),Prod_Prop!$A:$A,Prod_Prop!$J:$J,"",0,1))</f>
        <v/>
      </c>
      <c r="S548" s="4" t="str">
        <f t="array" ref="S548">IF($E548="","", XLOOKUP(SUMIFS(Prod_Prop!$A:$A,Prod_Prop!$B:$B,$E548,Prod_Prop!$H:$H,S$1,Prod_Prop!$I:$I,"Exacto"),Prod_Prop!$A:$A,Prod_Prop!$J:$J,"",0,1))</f>
        <v/>
      </c>
      <c r="T548" s="4" t="str">
        <f t="array" ref="T548">IF($E548="","", XLOOKUP(SUMIFS(Prod_Prop!$A:$A,Prod_Prop!$B:$B,$E548,Prod_Prop!$H:$H,T$1,Prod_Prop!$I:$I,"Exacto"),Prod_Prop!$A:$A,Prod_Prop!$J:$J,"",0,1))</f>
        <v/>
      </c>
      <c r="U548" s="4" t="str">
        <f t="array" ref="U548">IF($E548="","", XLOOKUP(SUMIFS(Prod_Prop!$A:$A,Prod_Prop!$B:$B,$E548,Prod_Prop!$H:$H,U$1,Prod_Prop!$I:$I,"Exacto"),Prod_Prop!$A:$A,Prod_Prop!$J:$J,"",0,1))</f>
        <v/>
      </c>
      <c r="V548" s="4" t="str">
        <f t="array" ref="V548">IF($E548="","", XLOOKUP(SUMIFS(Prod_Prop!$A:$A,Prod_Prop!$B:$B,$E548,Prod_Prop!$H:$H,V$1,Prod_Prop!$I:$I,"Exacto"),Prod_Prop!$A:$A,Prod_Prop!$J:$J,"",0,1))</f>
        <v/>
      </c>
      <c r="X548" s="3" t="str">
        <f>IFERROR(__xludf.DUMMYFUNCTION("IF(D548="""","""",IFERROR(TRANSPOSE(FILTER('Validaciones Cotizador'!U:U,'Validaciones Cotizador'!O:O=D548,'Validaciones Cotizador'!T:T=""x"")),""Finalizar""))"),"")</f>
        <v/>
      </c>
    </row>
    <row r="549">
      <c r="A549" s="2" t="str">
        <f t="array" ref="A549">IF(E549="","",XLOOKUP(D549,'Validaciones Cotizador'!C:C,'Validaciones Cotizador'!A:A,"",0,1))</f>
        <v/>
      </c>
      <c r="B549" s="2" t="str">
        <f t="array" ref="B549">IF(F549="","",XLOOKUP(F549,Productos!E:E,Productos!G:G,"",0,1))</f>
        <v/>
      </c>
      <c r="C549" s="2" t="str">
        <f>IF(A549="","",SUMIFS('Validaciones Cotizador'!B:B,'Validaciones Cotizador'!C:C,D549,'Validaciones Cotizador'!A:A,A549))</f>
        <v/>
      </c>
      <c r="D549" s="4" t="str">
        <f>IFERROR(__xludf.DUMMYFUNCTION("IF(OR(F548=""Finalizar"",F548="""",F548=""Selecciona..""),"""",IF(OR(F548=""-"",INDEX(filter(Familias!F:F,Familias!D:D=A548,Familias!E:E=C548),1)=""O""),D548+1,D548))"),"")</f>
        <v/>
      </c>
      <c r="E549" s="2" t="str">
        <f>IF(OR(F549="",F549="Selecciona.."),"",IF(D549="Implemento",SUMIF(Implementos!B:B,F549,Implementos!A:A),SUMIF(Productos!E:E,F549,Productos!A:A)))</f>
        <v/>
      </c>
      <c r="F549" s="2" t="str">
        <f t="shared" si="2"/>
        <v/>
      </c>
      <c r="G549" s="10" t="str">
        <f t="array" ref="G549">IF(OR(F549="",F549="-",F549="Selecciona..",F549="Finalizar"),"",IF(A549="Rodados",XLOOKUP(B549,'Validaciones Cotizador'!I:I,'Validaciones Cotizador'!J:J,0,0,1),1))</f>
        <v/>
      </c>
      <c r="H549" s="11" t="str">
        <f>IF(OR(F549="",F549="Selecciona.."),"",SUMIF(Precio_Productos!K:K,E549,Precio_Productos!J:J)*G549)</f>
        <v/>
      </c>
      <c r="I549" s="4" t="str">
        <f t="array" ref="I549">IF($E549="","", XLOOKUP(SUMIFS(Prod_Prop!$A:$A,Prod_Prop!$B:$B,$E549,Prod_Prop!$H:$H,I$1,Prod_Prop!$I:$I,"Exacto"),Prod_Prop!$A:$A,Prod_Prop!$J:$J,"",0,1))</f>
        <v/>
      </c>
      <c r="J549" s="4" t="str">
        <f t="array" ref="J549">IF($E549="","", XLOOKUP(SUMIFS(Prod_Prop!$A:$A,Prod_Prop!$B:$B,$E549,Prod_Prop!$H:$H,J$1,Prod_Prop!$I:$I,"Exacto"),Prod_Prop!$A:$A,Prod_Prop!$J:$J,"",0,1))</f>
        <v/>
      </c>
      <c r="K549" s="4" t="str">
        <f t="array" ref="K549">IF($E549="","", XLOOKUP(SUMIFS(Prod_Prop!$A:$A,Prod_Prop!$B:$B,$E549,Prod_Prop!$H:$H,K$1,Prod_Prop!$I:$I,"Exacto"),Prod_Prop!$A:$A,Prod_Prop!$J:$J,"",0,1))</f>
        <v/>
      </c>
      <c r="L549" s="4" t="str">
        <f t="array" ref="L549">IF($E549="","", XLOOKUP(SUMIFS(Prod_Prop!$A:$A,Prod_Prop!$B:$B,$E549,Prod_Prop!$H:$H,L$1,Prod_Prop!$I:$I,"Exacto"),Prod_Prop!$A:$A,Prod_Prop!$J:$J,"",0,1))</f>
        <v/>
      </c>
      <c r="M549" s="4" t="str">
        <f t="array" ref="M549">IF($E549="","", XLOOKUP(SUMIFS(Prod_Prop!$A:$A,Prod_Prop!$B:$B,$E549,Prod_Prop!$H:$H,M$1,Prod_Prop!$I:$I,"Exacto"),Prod_Prop!$A:$A,Prod_Prop!$J:$J,"",0,1))</f>
        <v/>
      </c>
      <c r="N549" s="4" t="str">
        <f t="array" ref="N549">IF($E549="","", XLOOKUP(SUMIFS(Prod_Prop!$A:$A,Prod_Prop!$B:$B,$E549,Prod_Prop!$H:$H,N$1,Prod_Prop!$I:$I,"Exacto"),Prod_Prop!$A:$A,Prod_Prop!$J:$J,"",0,1))</f>
        <v/>
      </c>
      <c r="O549" s="4" t="str">
        <f t="array" ref="O549">IF($E549="","", XLOOKUP(SUMIFS(Prod_Prop!$A:$A,Prod_Prop!$B:$B,$E549,Prod_Prop!$H:$H,O$1,Prod_Prop!$I:$I,"Exacto"),Prod_Prop!$A:$A,Prod_Prop!$J:$J,"",0,1))</f>
        <v/>
      </c>
      <c r="P549" s="4" t="str">
        <f t="array" ref="P549">IF($E549="","", XLOOKUP(SUMIFS(Prod_Prop!$A:$A,Prod_Prop!$B:$B,$E549,Prod_Prop!$H:$H,P$1,Prod_Prop!$I:$I,"Exacto"),Prod_Prop!$A:$A,Prod_Prop!$J:$J,"",0,1))</f>
        <v/>
      </c>
      <c r="Q549" s="4" t="str">
        <f t="array" ref="Q549">IF($E549="","", XLOOKUP(SUMIFS(Prod_Prop!$A:$A,Prod_Prop!$B:$B,$E549,Prod_Prop!$H:$H,Q$1,Prod_Prop!$I:$I,"Exacto"),Prod_Prop!$A:$A,Prod_Prop!$J:$J,"",0,1))</f>
        <v/>
      </c>
      <c r="R549" s="4" t="str">
        <f t="array" ref="R549">IF($E549="","", XLOOKUP(SUMIFS(Prod_Prop!$A:$A,Prod_Prop!$B:$B,$E549,Prod_Prop!$H:$H,R$1,Prod_Prop!$I:$I,"Exacto"),Prod_Prop!$A:$A,Prod_Prop!$J:$J,"",0,1))</f>
        <v/>
      </c>
      <c r="S549" s="4" t="str">
        <f t="array" ref="S549">IF($E549="","", XLOOKUP(SUMIFS(Prod_Prop!$A:$A,Prod_Prop!$B:$B,$E549,Prod_Prop!$H:$H,S$1,Prod_Prop!$I:$I,"Exacto"),Prod_Prop!$A:$A,Prod_Prop!$J:$J,"",0,1))</f>
        <v/>
      </c>
      <c r="T549" s="4" t="str">
        <f t="array" ref="T549">IF($E549="","", XLOOKUP(SUMIFS(Prod_Prop!$A:$A,Prod_Prop!$B:$B,$E549,Prod_Prop!$H:$H,T$1,Prod_Prop!$I:$I,"Exacto"),Prod_Prop!$A:$A,Prod_Prop!$J:$J,"",0,1))</f>
        <v/>
      </c>
      <c r="U549" s="4" t="str">
        <f t="array" ref="U549">IF($E549="","", XLOOKUP(SUMIFS(Prod_Prop!$A:$A,Prod_Prop!$B:$B,$E549,Prod_Prop!$H:$H,U$1,Prod_Prop!$I:$I,"Exacto"),Prod_Prop!$A:$A,Prod_Prop!$J:$J,"",0,1))</f>
        <v/>
      </c>
      <c r="V549" s="4" t="str">
        <f t="array" ref="V549">IF($E549="","", XLOOKUP(SUMIFS(Prod_Prop!$A:$A,Prod_Prop!$B:$B,$E549,Prod_Prop!$H:$H,V$1,Prod_Prop!$I:$I,"Exacto"),Prod_Prop!$A:$A,Prod_Prop!$J:$J,"",0,1))</f>
        <v/>
      </c>
      <c r="X549" s="3" t="str">
        <f>IFERROR(__xludf.DUMMYFUNCTION("IF(D549="""","""",IFERROR(TRANSPOSE(FILTER('Validaciones Cotizador'!U:U,'Validaciones Cotizador'!O:O=D549,'Validaciones Cotizador'!T:T=""x"")),""Finalizar""))"),"")</f>
        <v/>
      </c>
    </row>
    <row r="550">
      <c r="A550" s="2" t="str">
        <f t="array" ref="A550">IF(E550="","",XLOOKUP(D550,'Validaciones Cotizador'!C:C,'Validaciones Cotizador'!A:A,"",0,1))</f>
        <v/>
      </c>
      <c r="B550" s="2" t="str">
        <f t="array" ref="B550">IF(F550="","",XLOOKUP(F550,Productos!E:E,Productos!G:G,"",0,1))</f>
        <v/>
      </c>
      <c r="C550" s="2" t="str">
        <f>IF(A550="","",SUMIFS('Validaciones Cotizador'!B:B,'Validaciones Cotizador'!C:C,D550,'Validaciones Cotizador'!A:A,A550))</f>
        <v/>
      </c>
      <c r="D550" s="4" t="str">
        <f>IFERROR(__xludf.DUMMYFUNCTION("IF(OR(F549=""Finalizar"",F549="""",F549=""Selecciona..""),"""",IF(OR(F549=""-"",INDEX(filter(Familias!F:F,Familias!D:D=A549,Familias!E:E=C549),1)=""O""),D549+1,D549))"),"")</f>
        <v/>
      </c>
      <c r="E550" s="2" t="str">
        <f>IF(OR(F550="",F550="Selecciona.."),"",IF(D550="Implemento",SUMIF(Implementos!B:B,F550,Implementos!A:A),SUMIF(Productos!E:E,F550,Productos!A:A)))</f>
        <v/>
      </c>
      <c r="F550" s="2" t="str">
        <f t="shared" si="2"/>
        <v/>
      </c>
      <c r="G550" s="10" t="str">
        <f t="array" ref="G550">IF(OR(F550="",F550="-",F550="Selecciona..",F550="Finalizar"),"",IF(A550="Rodados",XLOOKUP(B550,'Validaciones Cotizador'!I:I,'Validaciones Cotizador'!J:J,0,0,1),1))</f>
        <v/>
      </c>
      <c r="H550" s="11" t="str">
        <f>IF(OR(F550="",F550="Selecciona.."),"",SUMIF(Precio_Productos!K:K,E550,Precio_Productos!J:J)*G550)</f>
        <v/>
      </c>
      <c r="I550" s="4" t="str">
        <f t="array" ref="I550">IF($E550="","", XLOOKUP(SUMIFS(Prod_Prop!$A:$A,Prod_Prop!$B:$B,$E550,Prod_Prop!$H:$H,I$1,Prod_Prop!$I:$I,"Exacto"),Prod_Prop!$A:$A,Prod_Prop!$J:$J,"",0,1))</f>
        <v/>
      </c>
      <c r="J550" s="4" t="str">
        <f t="array" ref="J550">IF($E550="","", XLOOKUP(SUMIFS(Prod_Prop!$A:$A,Prod_Prop!$B:$B,$E550,Prod_Prop!$H:$H,J$1,Prod_Prop!$I:$I,"Exacto"),Prod_Prop!$A:$A,Prod_Prop!$J:$J,"",0,1))</f>
        <v/>
      </c>
      <c r="K550" s="4" t="str">
        <f t="array" ref="K550">IF($E550="","", XLOOKUP(SUMIFS(Prod_Prop!$A:$A,Prod_Prop!$B:$B,$E550,Prod_Prop!$H:$H,K$1,Prod_Prop!$I:$I,"Exacto"),Prod_Prop!$A:$A,Prod_Prop!$J:$J,"",0,1))</f>
        <v/>
      </c>
      <c r="L550" s="4" t="str">
        <f t="array" ref="L550">IF($E550="","", XLOOKUP(SUMIFS(Prod_Prop!$A:$A,Prod_Prop!$B:$B,$E550,Prod_Prop!$H:$H,L$1,Prod_Prop!$I:$I,"Exacto"),Prod_Prop!$A:$A,Prod_Prop!$J:$J,"",0,1))</f>
        <v/>
      </c>
      <c r="M550" s="4" t="str">
        <f t="array" ref="M550">IF($E550="","", XLOOKUP(SUMIFS(Prod_Prop!$A:$A,Prod_Prop!$B:$B,$E550,Prod_Prop!$H:$H,M$1,Prod_Prop!$I:$I,"Exacto"),Prod_Prop!$A:$A,Prod_Prop!$J:$J,"",0,1))</f>
        <v/>
      </c>
      <c r="N550" s="4" t="str">
        <f t="array" ref="N550">IF($E550="","", XLOOKUP(SUMIFS(Prod_Prop!$A:$A,Prod_Prop!$B:$B,$E550,Prod_Prop!$H:$H,N$1,Prod_Prop!$I:$I,"Exacto"),Prod_Prop!$A:$A,Prod_Prop!$J:$J,"",0,1))</f>
        <v/>
      </c>
      <c r="O550" s="4" t="str">
        <f t="array" ref="O550">IF($E550="","", XLOOKUP(SUMIFS(Prod_Prop!$A:$A,Prod_Prop!$B:$B,$E550,Prod_Prop!$H:$H,O$1,Prod_Prop!$I:$I,"Exacto"),Prod_Prop!$A:$A,Prod_Prop!$J:$J,"",0,1))</f>
        <v/>
      </c>
      <c r="P550" s="4" t="str">
        <f t="array" ref="P550">IF($E550="","", XLOOKUP(SUMIFS(Prod_Prop!$A:$A,Prod_Prop!$B:$B,$E550,Prod_Prop!$H:$H,P$1,Prod_Prop!$I:$I,"Exacto"),Prod_Prop!$A:$A,Prod_Prop!$J:$J,"",0,1))</f>
        <v/>
      </c>
      <c r="Q550" s="4" t="str">
        <f t="array" ref="Q550">IF($E550="","", XLOOKUP(SUMIFS(Prod_Prop!$A:$A,Prod_Prop!$B:$B,$E550,Prod_Prop!$H:$H,Q$1,Prod_Prop!$I:$I,"Exacto"),Prod_Prop!$A:$A,Prod_Prop!$J:$J,"",0,1))</f>
        <v/>
      </c>
      <c r="R550" s="4" t="str">
        <f t="array" ref="R550">IF($E550="","", XLOOKUP(SUMIFS(Prod_Prop!$A:$A,Prod_Prop!$B:$B,$E550,Prod_Prop!$H:$H,R$1,Prod_Prop!$I:$I,"Exacto"),Prod_Prop!$A:$A,Prod_Prop!$J:$J,"",0,1))</f>
        <v/>
      </c>
      <c r="S550" s="4" t="str">
        <f t="array" ref="S550">IF($E550="","", XLOOKUP(SUMIFS(Prod_Prop!$A:$A,Prod_Prop!$B:$B,$E550,Prod_Prop!$H:$H,S$1,Prod_Prop!$I:$I,"Exacto"),Prod_Prop!$A:$A,Prod_Prop!$J:$J,"",0,1))</f>
        <v/>
      </c>
      <c r="T550" s="4" t="str">
        <f t="array" ref="T550">IF($E550="","", XLOOKUP(SUMIFS(Prod_Prop!$A:$A,Prod_Prop!$B:$B,$E550,Prod_Prop!$H:$H,T$1,Prod_Prop!$I:$I,"Exacto"),Prod_Prop!$A:$A,Prod_Prop!$J:$J,"",0,1))</f>
        <v/>
      </c>
      <c r="U550" s="4" t="str">
        <f t="array" ref="U550">IF($E550="","", XLOOKUP(SUMIFS(Prod_Prop!$A:$A,Prod_Prop!$B:$B,$E550,Prod_Prop!$H:$H,U$1,Prod_Prop!$I:$I,"Exacto"),Prod_Prop!$A:$A,Prod_Prop!$J:$J,"",0,1))</f>
        <v/>
      </c>
      <c r="V550" s="4" t="str">
        <f t="array" ref="V550">IF($E550="","", XLOOKUP(SUMIFS(Prod_Prop!$A:$A,Prod_Prop!$B:$B,$E550,Prod_Prop!$H:$H,V$1,Prod_Prop!$I:$I,"Exacto"),Prod_Prop!$A:$A,Prod_Prop!$J:$J,"",0,1))</f>
        <v/>
      </c>
      <c r="X550" s="3" t="str">
        <f>IFERROR(__xludf.DUMMYFUNCTION("IF(D550="""","""",IFERROR(TRANSPOSE(FILTER('Validaciones Cotizador'!U:U,'Validaciones Cotizador'!O:O=D550,'Validaciones Cotizador'!T:T=""x"")),""Finalizar""))"),"")</f>
        <v/>
      </c>
    </row>
    <row r="551">
      <c r="A551" s="2" t="str">
        <f t="array" ref="A551">IF(E551="","",XLOOKUP(D551,'Validaciones Cotizador'!C:C,'Validaciones Cotizador'!A:A,"",0,1))</f>
        <v/>
      </c>
      <c r="B551" s="2" t="str">
        <f t="array" ref="B551">IF(F551="","",XLOOKUP(F551,Productos!E:E,Productos!G:G,"",0,1))</f>
        <v/>
      </c>
      <c r="C551" s="2" t="str">
        <f>IF(A551="","",SUMIFS('Validaciones Cotizador'!B:B,'Validaciones Cotizador'!C:C,D551,'Validaciones Cotizador'!A:A,A551))</f>
        <v/>
      </c>
      <c r="D551" s="4" t="str">
        <f>IFERROR(__xludf.DUMMYFUNCTION("IF(OR(F550=""Finalizar"",F550="""",F550=""Selecciona..""),"""",IF(OR(F550=""-"",INDEX(filter(Familias!F:F,Familias!D:D=A550,Familias!E:E=C550),1)=""O""),D550+1,D550))"),"")</f>
        <v/>
      </c>
      <c r="E551" s="2" t="str">
        <f>IF(OR(F551="",F551="Selecciona.."),"",IF(D551="Implemento",SUMIF(Implementos!B:B,F551,Implementos!A:A),SUMIF(Productos!E:E,F551,Productos!A:A)))</f>
        <v/>
      </c>
      <c r="F551" s="2" t="str">
        <f t="shared" si="2"/>
        <v/>
      </c>
      <c r="G551" s="10" t="str">
        <f t="array" ref="G551">IF(OR(F551="",F551="-",F551="Selecciona..",F551="Finalizar"),"",IF(A551="Rodados",XLOOKUP(B551,'Validaciones Cotizador'!I:I,'Validaciones Cotizador'!J:J,0,0,1),1))</f>
        <v/>
      </c>
      <c r="H551" s="11" t="str">
        <f>IF(OR(F551="",F551="Selecciona.."),"",SUMIF(Precio_Productos!K:K,E551,Precio_Productos!J:J)*G551)</f>
        <v/>
      </c>
      <c r="I551" s="4" t="str">
        <f t="array" ref="I551">IF($E551="","", XLOOKUP(SUMIFS(Prod_Prop!$A:$A,Prod_Prop!$B:$B,$E551,Prod_Prop!$H:$H,I$1,Prod_Prop!$I:$I,"Exacto"),Prod_Prop!$A:$A,Prod_Prop!$J:$J,"",0,1))</f>
        <v/>
      </c>
      <c r="J551" s="4" t="str">
        <f t="array" ref="J551">IF($E551="","", XLOOKUP(SUMIFS(Prod_Prop!$A:$A,Prod_Prop!$B:$B,$E551,Prod_Prop!$H:$H,J$1,Prod_Prop!$I:$I,"Exacto"),Prod_Prop!$A:$A,Prod_Prop!$J:$J,"",0,1))</f>
        <v/>
      </c>
      <c r="K551" s="4" t="str">
        <f t="array" ref="K551">IF($E551="","", XLOOKUP(SUMIFS(Prod_Prop!$A:$A,Prod_Prop!$B:$B,$E551,Prod_Prop!$H:$H,K$1,Prod_Prop!$I:$I,"Exacto"),Prod_Prop!$A:$A,Prod_Prop!$J:$J,"",0,1))</f>
        <v/>
      </c>
      <c r="L551" s="4" t="str">
        <f t="array" ref="L551">IF($E551="","", XLOOKUP(SUMIFS(Prod_Prop!$A:$A,Prod_Prop!$B:$B,$E551,Prod_Prop!$H:$H,L$1,Prod_Prop!$I:$I,"Exacto"),Prod_Prop!$A:$A,Prod_Prop!$J:$J,"",0,1))</f>
        <v/>
      </c>
      <c r="M551" s="4" t="str">
        <f t="array" ref="M551">IF($E551="","", XLOOKUP(SUMIFS(Prod_Prop!$A:$A,Prod_Prop!$B:$B,$E551,Prod_Prop!$H:$H,M$1,Prod_Prop!$I:$I,"Exacto"),Prod_Prop!$A:$A,Prod_Prop!$J:$J,"",0,1))</f>
        <v/>
      </c>
      <c r="N551" s="4" t="str">
        <f t="array" ref="N551">IF($E551="","", XLOOKUP(SUMIFS(Prod_Prop!$A:$A,Prod_Prop!$B:$B,$E551,Prod_Prop!$H:$H,N$1,Prod_Prop!$I:$I,"Exacto"),Prod_Prop!$A:$A,Prod_Prop!$J:$J,"",0,1))</f>
        <v/>
      </c>
      <c r="O551" s="4" t="str">
        <f t="array" ref="O551">IF($E551="","", XLOOKUP(SUMIFS(Prod_Prop!$A:$A,Prod_Prop!$B:$B,$E551,Prod_Prop!$H:$H,O$1,Prod_Prop!$I:$I,"Exacto"),Prod_Prop!$A:$A,Prod_Prop!$J:$J,"",0,1))</f>
        <v/>
      </c>
      <c r="P551" s="4" t="str">
        <f t="array" ref="P551">IF($E551="","", XLOOKUP(SUMIFS(Prod_Prop!$A:$A,Prod_Prop!$B:$B,$E551,Prod_Prop!$H:$H,P$1,Prod_Prop!$I:$I,"Exacto"),Prod_Prop!$A:$A,Prod_Prop!$J:$J,"",0,1))</f>
        <v/>
      </c>
      <c r="Q551" s="4" t="str">
        <f t="array" ref="Q551">IF($E551="","", XLOOKUP(SUMIFS(Prod_Prop!$A:$A,Prod_Prop!$B:$B,$E551,Prod_Prop!$H:$H,Q$1,Prod_Prop!$I:$I,"Exacto"),Prod_Prop!$A:$A,Prod_Prop!$J:$J,"",0,1))</f>
        <v/>
      </c>
      <c r="R551" s="4" t="str">
        <f t="array" ref="R551">IF($E551="","", XLOOKUP(SUMIFS(Prod_Prop!$A:$A,Prod_Prop!$B:$B,$E551,Prod_Prop!$H:$H,R$1,Prod_Prop!$I:$I,"Exacto"),Prod_Prop!$A:$A,Prod_Prop!$J:$J,"",0,1))</f>
        <v/>
      </c>
      <c r="S551" s="4" t="str">
        <f t="array" ref="S551">IF($E551="","", XLOOKUP(SUMIFS(Prod_Prop!$A:$A,Prod_Prop!$B:$B,$E551,Prod_Prop!$H:$H,S$1,Prod_Prop!$I:$I,"Exacto"),Prod_Prop!$A:$A,Prod_Prop!$J:$J,"",0,1))</f>
        <v/>
      </c>
      <c r="T551" s="4" t="str">
        <f t="array" ref="T551">IF($E551="","", XLOOKUP(SUMIFS(Prod_Prop!$A:$A,Prod_Prop!$B:$B,$E551,Prod_Prop!$H:$H,T$1,Prod_Prop!$I:$I,"Exacto"),Prod_Prop!$A:$A,Prod_Prop!$J:$J,"",0,1))</f>
        <v/>
      </c>
      <c r="U551" s="4" t="str">
        <f t="array" ref="U551">IF($E551="","", XLOOKUP(SUMIFS(Prod_Prop!$A:$A,Prod_Prop!$B:$B,$E551,Prod_Prop!$H:$H,U$1,Prod_Prop!$I:$I,"Exacto"),Prod_Prop!$A:$A,Prod_Prop!$J:$J,"",0,1))</f>
        <v/>
      </c>
      <c r="V551" s="4" t="str">
        <f t="array" ref="V551">IF($E551="","", XLOOKUP(SUMIFS(Prod_Prop!$A:$A,Prod_Prop!$B:$B,$E551,Prod_Prop!$H:$H,V$1,Prod_Prop!$I:$I,"Exacto"),Prod_Prop!$A:$A,Prod_Prop!$J:$J,"",0,1))</f>
        <v/>
      </c>
      <c r="X551" s="3" t="str">
        <f>IFERROR(__xludf.DUMMYFUNCTION("IF(D551="""","""",IFERROR(TRANSPOSE(FILTER('Validaciones Cotizador'!U:U,'Validaciones Cotizador'!O:O=D551,'Validaciones Cotizador'!T:T=""x"")),""Finalizar""))"),"")</f>
        <v/>
      </c>
    </row>
    <row r="552">
      <c r="A552" s="2" t="str">
        <f t="array" ref="A552">IF(E552="","",XLOOKUP(D552,'Validaciones Cotizador'!C:C,'Validaciones Cotizador'!A:A,"",0,1))</f>
        <v/>
      </c>
      <c r="B552" s="2" t="str">
        <f t="array" ref="B552">IF(F552="","",XLOOKUP(F552,Productos!E:E,Productos!G:G,"",0,1))</f>
        <v/>
      </c>
      <c r="C552" s="2" t="str">
        <f>IF(A552="","",SUMIFS('Validaciones Cotizador'!B:B,'Validaciones Cotizador'!C:C,D552,'Validaciones Cotizador'!A:A,A552))</f>
        <v/>
      </c>
      <c r="D552" s="4" t="str">
        <f>IFERROR(__xludf.DUMMYFUNCTION("IF(OR(F551=""Finalizar"",F551="""",F551=""Selecciona..""),"""",IF(OR(F551=""-"",INDEX(filter(Familias!F:F,Familias!D:D=A551,Familias!E:E=C551),1)=""O""),D551+1,D551))"),"")</f>
        <v/>
      </c>
      <c r="E552" s="2" t="str">
        <f>IF(OR(F552="",F552="Selecciona.."),"",IF(D552="Implemento",SUMIF(Implementos!B:B,F552,Implementos!A:A),SUMIF(Productos!E:E,F552,Productos!A:A)))</f>
        <v/>
      </c>
      <c r="F552" s="2" t="str">
        <f t="shared" si="2"/>
        <v/>
      </c>
      <c r="G552" s="10" t="str">
        <f t="array" ref="G552">IF(OR(F552="",F552="-",F552="Selecciona..",F552="Finalizar"),"",IF(A552="Rodados",XLOOKUP(B552,'Validaciones Cotizador'!I:I,'Validaciones Cotizador'!J:J,0,0,1),1))</f>
        <v/>
      </c>
      <c r="H552" s="11" t="str">
        <f>IF(OR(F552="",F552="Selecciona.."),"",SUMIF(Precio_Productos!K:K,E552,Precio_Productos!J:J)*G552)</f>
        <v/>
      </c>
      <c r="I552" s="4" t="str">
        <f t="array" ref="I552">IF($E552="","", XLOOKUP(SUMIFS(Prod_Prop!$A:$A,Prod_Prop!$B:$B,$E552,Prod_Prop!$H:$H,I$1,Prod_Prop!$I:$I,"Exacto"),Prod_Prop!$A:$A,Prod_Prop!$J:$J,"",0,1))</f>
        <v/>
      </c>
      <c r="J552" s="4" t="str">
        <f t="array" ref="J552">IF($E552="","", XLOOKUP(SUMIFS(Prod_Prop!$A:$A,Prod_Prop!$B:$B,$E552,Prod_Prop!$H:$H,J$1,Prod_Prop!$I:$I,"Exacto"),Prod_Prop!$A:$A,Prod_Prop!$J:$J,"",0,1))</f>
        <v/>
      </c>
      <c r="K552" s="4" t="str">
        <f t="array" ref="K552">IF($E552="","", XLOOKUP(SUMIFS(Prod_Prop!$A:$A,Prod_Prop!$B:$B,$E552,Prod_Prop!$H:$H,K$1,Prod_Prop!$I:$I,"Exacto"),Prod_Prop!$A:$A,Prod_Prop!$J:$J,"",0,1))</f>
        <v/>
      </c>
      <c r="L552" s="4" t="str">
        <f t="array" ref="L552">IF($E552="","", XLOOKUP(SUMIFS(Prod_Prop!$A:$A,Prod_Prop!$B:$B,$E552,Prod_Prop!$H:$H,L$1,Prod_Prop!$I:$I,"Exacto"),Prod_Prop!$A:$A,Prod_Prop!$J:$J,"",0,1))</f>
        <v/>
      </c>
      <c r="M552" s="4" t="str">
        <f t="array" ref="M552">IF($E552="","", XLOOKUP(SUMIFS(Prod_Prop!$A:$A,Prod_Prop!$B:$B,$E552,Prod_Prop!$H:$H,M$1,Prod_Prop!$I:$I,"Exacto"),Prod_Prop!$A:$A,Prod_Prop!$J:$J,"",0,1))</f>
        <v/>
      </c>
      <c r="N552" s="4" t="str">
        <f t="array" ref="N552">IF($E552="","", XLOOKUP(SUMIFS(Prod_Prop!$A:$A,Prod_Prop!$B:$B,$E552,Prod_Prop!$H:$H,N$1,Prod_Prop!$I:$I,"Exacto"),Prod_Prop!$A:$A,Prod_Prop!$J:$J,"",0,1))</f>
        <v/>
      </c>
      <c r="O552" s="4" t="str">
        <f t="array" ref="O552">IF($E552="","", XLOOKUP(SUMIFS(Prod_Prop!$A:$A,Prod_Prop!$B:$B,$E552,Prod_Prop!$H:$H,O$1,Prod_Prop!$I:$I,"Exacto"),Prod_Prop!$A:$A,Prod_Prop!$J:$J,"",0,1))</f>
        <v/>
      </c>
      <c r="P552" s="4" t="str">
        <f t="array" ref="P552">IF($E552="","", XLOOKUP(SUMIFS(Prod_Prop!$A:$A,Prod_Prop!$B:$B,$E552,Prod_Prop!$H:$H,P$1,Prod_Prop!$I:$I,"Exacto"),Prod_Prop!$A:$A,Prod_Prop!$J:$J,"",0,1))</f>
        <v/>
      </c>
      <c r="Q552" s="4" t="str">
        <f t="array" ref="Q552">IF($E552="","", XLOOKUP(SUMIFS(Prod_Prop!$A:$A,Prod_Prop!$B:$B,$E552,Prod_Prop!$H:$H,Q$1,Prod_Prop!$I:$I,"Exacto"),Prod_Prop!$A:$A,Prod_Prop!$J:$J,"",0,1))</f>
        <v/>
      </c>
      <c r="R552" s="4" t="str">
        <f t="array" ref="R552">IF($E552="","", XLOOKUP(SUMIFS(Prod_Prop!$A:$A,Prod_Prop!$B:$B,$E552,Prod_Prop!$H:$H,R$1,Prod_Prop!$I:$I,"Exacto"),Prod_Prop!$A:$A,Prod_Prop!$J:$J,"",0,1))</f>
        <v/>
      </c>
      <c r="S552" s="4" t="str">
        <f t="array" ref="S552">IF($E552="","", XLOOKUP(SUMIFS(Prod_Prop!$A:$A,Prod_Prop!$B:$B,$E552,Prod_Prop!$H:$H,S$1,Prod_Prop!$I:$I,"Exacto"),Prod_Prop!$A:$A,Prod_Prop!$J:$J,"",0,1))</f>
        <v/>
      </c>
      <c r="T552" s="4" t="str">
        <f t="array" ref="T552">IF($E552="","", XLOOKUP(SUMIFS(Prod_Prop!$A:$A,Prod_Prop!$B:$B,$E552,Prod_Prop!$H:$H,T$1,Prod_Prop!$I:$I,"Exacto"),Prod_Prop!$A:$A,Prod_Prop!$J:$J,"",0,1))</f>
        <v/>
      </c>
      <c r="U552" s="4" t="str">
        <f t="array" ref="U552">IF($E552="","", XLOOKUP(SUMIFS(Prod_Prop!$A:$A,Prod_Prop!$B:$B,$E552,Prod_Prop!$H:$H,U$1,Prod_Prop!$I:$I,"Exacto"),Prod_Prop!$A:$A,Prod_Prop!$J:$J,"",0,1))</f>
        <v/>
      </c>
      <c r="V552" s="4" t="str">
        <f t="array" ref="V552">IF($E552="","", XLOOKUP(SUMIFS(Prod_Prop!$A:$A,Prod_Prop!$B:$B,$E552,Prod_Prop!$H:$H,V$1,Prod_Prop!$I:$I,"Exacto"),Prod_Prop!$A:$A,Prod_Prop!$J:$J,"",0,1))</f>
        <v/>
      </c>
      <c r="X552" s="3" t="str">
        <f>IFERROR(__xludf.DUMMYFUNCTION("IF(D552="""","""",IFERROR(TRANSPOSE(FILTER('Validaciones Cotizador'!U:U,'Validaciones Cotizador'!O:O=D552,'Validaciones Cotizador'!T:T=""x"")),""Finalizar""))"),"")</f>
        <v/>
      </c>
    </row>
    <row r="553">
      <c r="A553" s="2" t="str">
        <f t="array" ref="A553">IF(E553="","",XLOOKUP(D553,'Validaciones Cotizador'!C:C,'Validaciones Cotizador'!A:A,"",0,1))</f>
        <v/>
      </c>
      <c r="B553" s="2" t="str">
        <f t="array" ref="B553">IF(F553="","",XLOOKUP(F553,Productos!E:E,Productos!G:G,"",0,1))</f>
        <v/>
      </c>
      <c r="C553" s="2" t="str">
        <f>IF(A553="","",SUMIFS('Validaciones Cotizador'!B:B,'Validaciones Cotizador'!C:C,D553,'Validaciones Cotizador'!A:A,A553))</f>
        <v/>
      </c>
      <c r="D553" s="4" t="str">
        <f>IFERROR(__xludf.DUMMYFUNCTION("IF(OR(F552=""Finalizar"",F552="""",F552=""Selecciona..""),"""",IF(OR(F552=""-"",INDEX(filter(Familias!F:F,Familias!D:D=A552,Familias!E:E=C552),1)=""O""),D552+1,D552))"),"")</f>
        <v/>
      </c>
      <c r="E553" s="2" t="str">
        <f>IF(OR(F553="",F553="Selecciona.."),"",IF(D553="Implemento",SUMIF(Implementos!B:B,F553,Implementos!A:A),SUMIF(Productos!E:E,F553,Productos!A:A)))</f>
        <v/>
      </c>
      <c r="F553" s="2" t="str">
        <f t="shared" si="2"/>
        <v/>
      </c>
      <c r="G553" s="10" t="str">
        <f t="array" ref="G553">IF(OR(F553="",F553="-",F553="Selecciona..",F553="Finalizar"),"",IF(A553="Rodados",XLOOKUP(B553,'Validaciones Cotizador'!I:I,'Validaciones Cotizador'!J:J,0,0,1),1))</f>
        <v/>
      </c>
      <c r="H553" s="11" t="str">
        <f>IF(OR(F553="",F553="Selecciona.."),"",SUMIF(Precio_Productos!K:K,E553,Precio_Productos!J:J)*G553)</f>
        <v/>
      </c>
      <c r="I553" s="4" t="str">
        <f t="array" ref="I553">IF($E553="","", XLOOKUP(SUMIFS(Prod_Prop!$A:$A,Prod_Prop!$B:$B,$E553,Prod_Prop!$H:$H,I$1,Prod_Prop!$I:$I,"Exacto"),Prod_Prop!$A:$A,Prod_Prop!$J:$J,"",0,1))</f>
        <v/>
      </c>
      <c r="J553" s="4" t="str">
        <f t="array" ref="J553">IF($E553="","", XLOOKUP(SUMIFS(Prod_Prop!$A:$A,Prod_Prop!$B:$B,$E553,Prod_Prop!$H:$H,J$1,Prod_Prop!$I:$I,"Exacto"),Prod_Prop!$A:$A,Prod_Prop!$J:$J,"",0,1))</f>
        <v/>
      </c>
      <c r="K553" s="4" t="str">
        <f t="array" ref="K553">IF($E553="","", XLOOKUP(SUMIFS(Prod_Prop!$A:$A,Prod_Prop!$B:$B,$E553,Prod_Prop!$H:$H,K$1,Prod_Prop!$I:$I,"Exacto"),Prod_Prop!$A:$A,Prod_Prop!$J:$J,"",0,1))</f>
        <v/>
      </c>
      <c r="L553" s="4" t="str">
        <f t="array" ref="L553">IF($E553="","", XLOOKUP(SUMIFS(Prod_Prop!$A:$A,Prod_Prop!$B:$B,$E553,Prod_Prop!$H:$H,L$1,Prod_Prop!$I:$I,"Exacto"),Prod_Prop!$A:$A,Prod_Prop!$J:$J,"",0,1))</f>
        <v/>
      </c>
      <c r="M553" s="4" t="str">
        <f t="array" ref="M553">IF($E553="","", XLOOKUP(SUMIFS(Prod_Prop!$A:$A,Prod_Prop!$B:$B,$E553,Prod_Prop!$H:$H,M$1,Prod_Prop!$I:$I,"Exacto"),Prod_Prop!$A:$A,Prod_Prop!$J:$J,"",0,1))</f>
        <v/>
      </c>
      <c r="N553" s="4" t="str">
        <f t="array" ref="N553">IF($E553="","", XLOOKUP(SUMIFS(Prod_Prop!$A:$A,Prod_Prop!$B:$B,$E553,Prod_Prop!$H:$H,N$1,Prod_Prop!$I:$I,"Exacto"),Prod_Prop!$A:$A,Prod_Prop!$J:$J,"",0,1))</f>
        <v/>
      </c>
      <c r="O553" s="4" t="str">
        <f t="array" ref="O553">IF($E553="","", XLOOKUP(SUMIFS(Prod_Prop!$A:$A,Prod_Prop!$B:$B,$E553,Prod_Prop!$H:$H,O$1,Prod_Prop!$I:$I,"Exacto"),Prod_Prop!$A:$A,Prod_Prop!$J:$J,"",0,1))</f>
        <v/>
      </c>
      <c r="P553" s="4" t="str">
        <f t="array" ref="P553">IF($E553="","", XLOOKUP(SUMIFS(Prod_Prop!$A:$A,Prod_Prop!$B:$B,$E553,Prod_Prop!$H:$H,P$1,Prod_Prop!$I:$I,"Exacto"),Prod_Prop!$A:$A,Prod_Prop!$J:$J,"",0,1))</f>
        <v/>
      </c>
      <c r="Q553" s="4" t="str">
        <f t="array" ref="Q553">IF($E553="","", XLOOKUP(SUMIFS(Prod_Prop!$A:$A,Prod_Prop!$B:$B,$E553,Prod_Prop!$H:$H,Q$1,Prod_Prop!$I:$I,"Exacto"),Prod_Prop!$A:$A,Prod_Prop!$J:$J,"",0,1))</f>
        <v/>
      </c>
      <c r="R553" s="4" t="str">
        <f t="array" ref="R553">IF($E553="","", XLOOKUP(SUMIFS(Prod_Prop!$A:$A,Prod_Prop!$B:$B,$E553,Prod_Prop!$H:$H,R$1,Prod_Prop!$I:$I,"Exacto"),Prod_Prop!$A:$A,Prod_Prop!$J:$J,"",0,1))</f>
        <v/>
      </c>
      <c r="S553" s="4" t="str">
        <f t="array" ref="S553">IF($E553="","", XLOOKUP(SUMIFS(Prod_Prop!$A:$A,Prod_Prop!$B:$B,$E553,Prod_Prop!$H:$H,S$1,Prod_Prop!$I:$I,"Exacto"),Prod_Prop!$A:$A,Prod_Prop!$J:$J,"",0,1))</f>
        <v/>
      </c>
      <c r="T553" s="4" t="str">
        <f t="array" ref="T553">IF($E553="","", XLOOKUP(SUMIFS(Prod_Prop!$A:$A,Prod_Prop!$B:$B,$E553,Prod_Prop!$H:$H,T$1,Prod_Prop!$I:$I,"Exacto"),Prod_Prop!$A:$A,Prod_Prop!$J:$J,"",0,1))</f>
        <v/>
      </c>
      <c r="U553" s="4" t="str">
        <f t="array" ref="U553">IF($E553="","", XLOOKUP(SUMIFS(Prod_Prop!$A:$A,Prod_Prop!$B:$B,$E553,Prod_Prop!$H:$H,U$1,Prod_Prop!$I:$I,"Exacto"),Prod_Prop!$A:$A,Prod_Prop!$J:$J,"",0,1))</f>
        <v/>
      </c>
      <c r="V553" s="4" t="str">
        <f t="array" ref="V553">IF($E553="","", XLOOKUP(SUMIFS(Prod_Prop!$A:$A,Prod_Prop!$B:$B,$E553,Prod_Prop!$H:$H,V$1,Prod_Prop!$I:$I,"Exacto"),Prod_Prop!$A:$A,Prod_Prop!$J:$J,"",0,1))</f>
        <v/>
      </c>
      <c r="X553" s="3" t="str">
        <f>IFERROR(__xludf.DUMMYFUNCTION("IF(D553="""","""",IFERROR(TRANSPOSE(FILTER('Validaciones Cotizador'!U:U,'Validaciones Cotizador'!O:O=D553,'Validaciones Cotizador'!T:T=""x"")),""Finalizar""))"),"")</f>
        <v/>
      </c>
    </row>
    <row r="554">
      <c r="A554" s="2" t="str">
        <f t="array" ref="A554">IF(E554="","",XLOOKUP(D554,'Validaciones Cotizador'!C:C,'Validaciones Cotizador'!A:A,"",0,1))</f>
        <v/>
      </c>
      <c r="B554" s="2" t="str">
        <f t="array" ref="B554">IF(F554="","",XLOOKUP(F554,Productos!E:E,Productos!G:G,"",0,1))</f>
        <v/>
      </c>
      <c r="C554" s="2" t="str">
        <f>IF(A554="","",SUMIFS('Validaciones Cotizador'!B:B,'Validaciones Cotizador'!C:C,D554,'Validaciones Cotizador'!A:A,A554))</f>
        <v/>
      </c>
      <c r="D554" s="4" t="str">
        <f>IFERROR(__xludf.DUMMYFUNCTION("IF(OR(F553=""Finalizar"",F553="""",F553=""Selecciona..""),"""",IF(OR(F553=""-"",INDEX(filter(Familias!F:F,Familias!D:D=A553,Familias!E:E=C553),1)=""O""),D553+1,D553))"),"")</f>
        <v/>
      </c>
      <c r="E554" s="2" t="str">
        <f>IF(OR(F554="",F554="Selecciona.."),"",IF(D554="Implemento",SUMIF(Implementos!B:B,F554,Implementos!A:A),SUMIF(Productos!E:E,F554,Productos!A:A)))</f>
        <v/>
      </c>
      <c r="F554" s="2" t="str">
        <f t="shared" si="2"/>
        <v/>
      </c>
      <c r="G554" s="10" t="str">
        <f t="array" ref="G554">IF(OR(F554="",F554="-",F554="Selecciona..",F554="Finalizar"),"",IF(A554="Rodados",XLOOKUP(B554,'Validaciones Cotizador'!I:I,'Validaciones Cotizador'!J:J,0,0,1),1))</f>
        <v/>
      </c>
      <c r="H554" s="11" t="str">
        <f>IF(OR(F554="",F554="Selecciona.."),"",SUMIF(Precio_Productos!K:K,E554,Precio_Productos!J:J)*G554)</f>
        <v/>
      </c>
      <c r="I554" s="4" t="str">
        <f t="array" ref="I554">IF($E554="","", XLOOKUP(SUMIFS(Prod_Prop!$A:$A,Prod_Prop!$B:$B,$E554,Prod_Prop!$H:$H,I$1,Prod_Prop!$I:$I,"Exacto"),Prod_Prop!$A:$A,Prod_Prop!$J:$J,"",0,1))</f>
        <v/>
      </c>
      <c r="J554" s="4" t="str">
        <f t="array" ref="J554">IF($E554="","", XLOOKUP(SUMIFS(Prod_Prop!$A:$A,Prod_Prop!$B:$B,$E554,Prod_Prop!$H:$H,J$1,Prod_Prop!$I:$I,"Exacto"),Prod_Prop!$A:$A,Prod_Prop!$J:$J,"",0,1))</f>
        <v/>
      </c>
      <c r="K554" s="4" t="str">
        <f t="array" ref="K554">IF($E554="","", XLOOKUP(SUMIFS(Prod_Prop!$A:$A,Prod_Prop!$B:$B,$E554,Prod_Prop!$H:$H,K$1,Prod_Prop!$I:$I,"Exacto"),Prod_Prop!$A:$A,Prod_Prop!$J:$J,"",0,1))</f>
        <v/>
      </c>
      <c r="L554" s="4" t="str">
        <f t="array" ref="L554">IF($E554="","", XLOOKUP(SUMIFS(Prod_Prop!$A:$A,Prod_Prop!$B:$B,$E554,Prod_Prop!$H:$H,L$1,Prod_Prop!$I:$I,"Exacto"),Prod_Prop!$A:$A,Prod_Prop!$J:$J,"",0,1))</f>
        <v/>
      </c>
      <c r="M554" s="4" t="str">
        <f t="array" ref="M554">IF($E554="","", XLOOKUP(SUMIFS(Prod_Prop!$A:$A,Prod_Prop!$B:$B,$E554,Prod_Prop!$H:$H,M$1,Prod_Prop!$I:$I,"Exacto"),Prod_Prop!$A:$A,Prod_Prop!$J:$J,"",0,1))</f>
        <v/>
      </c>
      <c r="N554" s="4" t="str">
        <f t="array" ref="N554">IF($E554="","", XLOOKUP(SUMIFS(Prod_Prop!$A:$A,Prod_Prop!$B:$B,$E554,Prod_Prop!$H:$H,N$1,Prod_Prop!$I:$I,"Exacto"),Prod_Prop!$A:$A,Prod_Prop!$J:$J,"",0,1))</f>
        <v/>
      </c>
      <c r="O554" s="4" t="str">
        <f t="array" ref="O554">IF($E554="","", XLOOKUP(SUMIFS(Prod_Prop!$A:$A,Prod_Prop!$B:$B,$E554,Prod_Prop!$H:$H,O$1,Prod_Prop!$I:$I,"Exacto"),Prod_Prop!$A:$A,Prod_Prop!$J:$J,"",0,1))</f>
        <v/>
      </c>
      <c r="P554" s="4" t="str">
        <f t="array" ref="P554">IF($E554="","", XLOOKUP(SUMIFS(Prod_Prop!$A:$A,Prod_Prop!$B:$B,$E554,Prod_Prop!$H:$H,P$1,Prod_Prop!$I:$I,"Exacto"),Prod_Prop!$A:$A,Prod_Prop!$J:$J,"",0,1))</f>
        <v/>
      </c>
      <c r="Q554" s="4" t="str">
        <f t="array" ref="Q554">IF($E554="","", XLOOKUP(SUMIFS(Prod_Prop!$A:$A,Prod_Prop!$B:$B,$E554,Prod_Prop!$H:$H,Q$1,Prod_Prop!$I:$I,"Exacto"),Prod_Prop!$A:$A,Prod_Prop!$J:$J,"",0,1))</f>
        <v/>
      </c>
      <c r="R554" s="4" t="str">
        <f t="array" ref="R554">IF($E554="","", XLOOKUP(SUMIFS(Prod_Prop!$A:$A,Prod_Prop!$B:$B,$E554,Prod_Prop!$H:$H,R$1,Prod_Prop!$I:$I,"Exacto"),Prod_Prop!$A:$A,Prod_Prop!$J:$J,"",0,1))</f>
        <v/>
      </c>
      <c r="S554" s="4" t="str">
        <f t="array" ref="S554">IF($E554="","", XLOOKUP(SUMIFS(Prod_Prop!$A:$A,Prod_Prop!$B:$B,$E554,Prod_Prop!$H:$H,S$1,Prod_Prop!$I:$I,"Exacto"),Prod_Prop!$A:$A,Prod_Prop!$J:$J,"",0,1))</f>
        <v/>
      </c>
      <c r="T554" s="4" t="str">
        <f t="array" ref="T554">IF($E554="","", XLOOKUP(SUMIFS(Prod_Prop!$A:$A,Prod_Prop!$B:$B,$E554,Prod_Prop!$H:$H,T$1,Prod_Prop!$I:$I,"Exacto"),Prod_Prop!$A:$A,Prod_Prop!$J:$J,"",0,1))</f>
        <v/>
      </c>
      <c r="U554" s="4" t="str">
        <f t="array" ref="U554">IF($E554="","", XLOOKUP(SUMIFS(Prod_Prop!$A:$A,Prod_Prop!$B:$B,$E554,Prod_Prop!$H:$H,U$1,Prod_Prop!$I:$I,"Exacto"),Prod_Prop!$A:$A,Prod_Prop!$J:$J,"",0,1))</f>
        <v/>
      </c>
      <c r="V554" s="4" t="str">
        <f t="array" ref="V554">IF($E554="","", XLOOKUP(SUMIFS(Prod_Prop!$A:$A,Prod_Prop!$B:$B,$E554,Prod_Prop!$H:$H,V$1,Prod_Prop!$I:$I,"Exacto"),Prod_Prop!$A:$A,Prod_Prop!$J:$J,"",0,1))</f>
        <v/>
      </c>
      <c r="X554" s="3" t="str">
        <f>IFERROR(__xludf.DUMMYFUNCTION("IF(D554="""","""",IFERROR(TRANSPOSE(FILTER('Validaciones Cotizador'!U:U,'Validaciones Cotizador'!O:O=D554,'Validaciones Cotizador'!T:T=""x"")),""Finalizar""))"),"")</f>
        <v/>
      </c>
    </row>
    <row r="555">
      <c r="A555" s="2" t="str">
        <f t="array" ref="A555">IF(E555="","",XLOOKUP(D555,'Validaciones Cotizador'!C:C,'Validaciones Cotizador'!A:A,"",0,1))</f>
        <v/>
      </c>
      <c r="B555" s="2" t="str">
        <f t="array" ref="B555">IF(F555="","",XLOOKUP(F555,Productos!E:E,Productos!G:G,"",0,1))</f>
        <v/>
      </c>
      <c r="C555" s="2" t="str">
        <f>IF(A555="","",SUMIFS('Validaciones Cotizador'!B:B,'Validaciones Cotizador'!C:C,D555,'Validaciones Cotizador'!A:A,A555))</f>
        <v/>
      </c>
      <c r="D555" s="4" t="str">
        <f>IFERROR(__xludf.DUMMYFUNCTION("IF(OR(F554=""Finalizar"",F554="""",F554=""Selecciona..""),"""",IF(OR(F554=""-"",INDEX(filter(Familias!F:F,Familias!D:D=A554,Familias!E:E=C554),1)=""O""),D554+1,D554))"),"")</f>
        <v/>
      </c>
      <c r="E555" s="2" t="str">
        <f>IF(OR(F555="",F555="Selecciona.."),"",IF(D555="Implemento",SUMIF(Implementos!B:B,F555,Implementos!A:A),SUMIF(Productos!E:E,F555,Productos!A:A)))</f>
        <v/>
      </c>
      <c r="F555" s="2" t="str">
        <f t="shared" si="2"/>
        <v/>
      </c>
      <c r="G555" s="10" t="str">
        <f t="array" ref="G555">IF(OR(F555="",F555="-",F555="Selecciona..",F555="Finalizar"),"",IF(A555="Rodados",XLOOKUP(B555,'Validaciones Cotizador'!I:I,'Validaciones Cotizador'!J:J,0,0,1),1))</f>
        <v/>
      </c>
      <c r="H555" s="11" t="str">
        <f>IF(OR(F555="",F555="Selecciona.."),"",SUMIF(Precio_Productos!K:K,E555,Precio_Productos!J:J)*G555)</f>
        <v/>
      </c>
      <c r="I555" s="4" t="str">
        <f t="array" ref="I555">IF($E555="","", XLOOKUP(SUMIFS(Prod_Prop!$A:$A,Prod_Prop!$B:$B,$E555,Prod_Prop!$H:$H,I$1,Prod_Prop!$I:$I,"Exacto"),Prod_Prop!$A:$A,Prod_Prop!$J:$J,"",0,1))</f>
        <v/>
      </c>
      <c r="J555" s="4" t="str">
        <f t="array" ref="J555">IF($E555="","", XLOOKUP(SUMIFS(Prod_Prop!$A:$A,Prod_Prop!$B:$B,$E555,Prod_Prop!$H:$H,J$1,Prod_Prop!$I:$I,"Exacto"),Prod_Prop!$A:$A,Prod_Prop!$J:$J,"",0,1))</f>
        <v/>
      </c>
      <c r="K555" s="4" t="str">
        <f t="array" ref="K555">IF($E555="","", XLOOKUP(SUMIFS(Prod_Prop!$A:$A,Prod_Prop!$B:$B,$E555,Prod_Prop!$H:$H,K$1,Prod_Prop!$I:$I,"Exacto"),Prod_Prop!$A:$A,Prod_Prop!$J:$J,"",0,1))</f>
        <v/>
      </c>
      <c r="L555" s="4" t="str">
        <f t="array" ref="L555">IF($E555="","", XLOOKUP(SUMIFS(Prod_Prop!$A:$A,Prod_Prop!$B:$B,$E555,Prod_Prop!$H:$H,L$1,Prod_Prop!$I:$I,"Exacto"),Prod_Prop!$A:$A,Prod_Prop!$J:$J,"",0,1))</f>
        <v/>
      </c>
      <c r="M555" s="4" t="str">
        <f t="array" ref="M555">IF($E555="","", XLOOKUP(SUMIFS(Prod_Prop!$A:$A,Prod_Prop!$B:$B,$E555,Prod_Prop!$H:$H,M$1,Prod_Prop!$I:$I,"Exacto"),Prod_Prop!$A:$A,Prod_Prop!$J:$J,"",0,1))</f>
        <v/>
      </c>
      <c r="N555" s="4" t="str">
        <f t="array" ref="N555">IF($E555="","", XLOOKUP(SUMIFS(Prod_Prop!$A:$A,Prod_Prop!$B:$B,$E555,Prod_Prop!$H:$H,N$1,Prod_Prop!$I:$I,"Exacto"),Prod_Prop!$A:$A,Prod_Prop!$J:$J,"",0,1))</f>
        <v/>
      </c>
      <c r="O555" s="4" t="str">
        <f t="array" ref="O555">IF($E555="","", XLOOKUP(SUMIFS(Prod_Prop!$A:$A,Prod_Prop!$B:$B,$E555,Prod_Prop!$H:$H,O$1,Prod_Prop!$I:$I,"Exacto"),Prod_Prop!$A:$A,Prod_Prop!$J:$J,"",0,1))</f>
        <v/>
      </c>
      <c r="P555" s="4" t="str">
        <f t="array" ref="P555">IF($E555="","", XLOOKUP(SUMIFS(Prod_Prop!$A:$A,Prod_Prop!$B:$B,$E555,Prod_Prop!$H:$H,P$1,Prod_Prop!$I:$I,"Exacto"),Prod_Prop!$A:$A,Prod_Prop!$J:$J,"",0,1))</f>
        <v/>
      </c>
      <c r="Q555" s="4" t="str">
        <f t="array" ref="Q555">IF($E555="","", XLOOKUP(SUMIFS(Prod_Prop!$A:$A,Prod_Prop!$B:$B,$E555,Prod_Prop!$H:$H,Q$1,Prod_Prop!$I:$I,"Exacto"),Prod_Prop!$A:$A,Prod_Prop!$J:$J,"",0,1))</f>
        <v/>
      </c>
      <c r="R555" s="4" t="str">
        <f t="array" ref="R555">IF($E555="","", XLOOKUP(SUMIFS(Prod_Prop!$A:$A,Prod_Prop!$B:$B,$E555,Prod_Prop!$H:$H,R$1,Prod_Prop!$I:$I,"Exacto"),Prod_Prop!$A:$A,Prod_Prop!$J:$J,"",0,1))</f>
        <v/>
      </c>
      <c r="S555" s="4" t="str">
        <f t="array" ref="S555">IF($E555="","", XLOOKUP(SUMIFS(Prod_Prop!$A:$A,Prod_Prop!$B:$B,$E555,Prod_Prop!$H:$H,S$1,Prod_Prop!$I:$I,"Exacto"),Prod_Prop!$A:$A,Prod_Prop!$J:$J,"",0,1))</f>
        <v/>
      </c>
      <c r="T555" s="4" t="str">
        <f t="array" ref="T555">IF($E555="","", XLOOKUP(SUMIFS(Prod_Prop!$A:$A,Prod_Prop!$B:$B,$E555,Prod_Prop!$H:$H,T$1,Prod_Prop!$I:$I,"Exacto"),Prod_Prop!$A:$A,Prod_Prop!$J:$J,"",0,1))</f>
        <v/>
      </c>
      <c r="U555" s="4" t="str">
        <f t="array" ref="U555">IF($E555="","", XLOOKUP(SUMIFS(Prod_Prop!$A:$A,Prod_Prop!$B:$B,$E555,Prod_Prop!$H:$H,U$1,Prod_Prop!$I:$I,"Exacto"),Prod_Prop!$A:$A,Prod_Prop!$J:$J,"",0,1))</f>
        <v/>
      </c>
      <c r="V555" s="4" t="str">
        <f t="array" ref="V555">IF($E555="","", XLOOKUP(SUMIFS(Prod_Prop!$A:$A,Prod_Prop!$B:$B,$E555,Prod_Prop!$H:$H,V$1,Prod_Prop!$I:$I,"Exacto"),Prod_Prop!$A:$A,Prod_Prop!$J:$J,"",0,1))</f>
        <v/>
      </c>
      <c r="X555" s="3" t="str">
        <f>IFERROR(__xludf.DUMMYFUNCTION("IF(D555="""","""",IFERROR(TRANSPOSE(FILTER('Validaciones Cotizador'!U:U,'Validaciones Cotizador'!O:O=D555,'Validaciones Cotizador'!T:T=""x"")),""Finalizar""))"),"")</f>
        <v/>
      </c>
    </row>
    <row r="556">
      <c r="A556" s="2" t="str">
        <f t="array" ref="A556">IF(E556="","",XLOOKUP(D556,'Validaciones Cotizador'!C:C,'Validaciones Cotizador'!A:A,"",0,1))</f>
        <v/>
      </c>
      <c r="B556" s="2" t="str">
        <f t="array" ref="B556">IF(F556="","",XLOOKUP(F556,Productos!E:E,Productos!G:G,"",0,1))</f>
        <v/>
      </c>
      <c r="C556" s="2" t="str">
        <f>IF(A556="","",SUMIFS('Validaciones Cotizador'!B:B,'Validaciones Cotizador'!C:C,D556,'Validaciones Cotizador'!A:A,A556))</f>
        <v/>
      </c>
      <c r="D556" s="4" t="str">
        <f>IFERROR(__xludf.DUMMYFUNCTION("IF(OR(F555=""Finalizar"",F555="""",F555=""Selecciona..""),"""",IF(OR(F555=""-"",INDEX(filter(Familias!F:F,Familias!D:D=A555,Familias!E:E=C555),1)=""O""),D555+1,D555))"),"")</f>
        <v/>
      </c>
      <c r="E556" s="2" t="str">
        <f>IF(OR(F556="",F556="Selecciona.."),"",IF(D556="Implemento",SUMIF(Implementos!B:B,F556,Implementos!A:A),SUMIF(Productos!E:E,F556,Productos!A:A)))</f>
        <v/>
      </c>
      <c r="F556" s="2" t="str">
        <f t="shared" si="2"/>
        <v/>
      </c>
      <c r="G556" s="10" t="str">
        <f t="array" ref="G556">IF(OR(F556="",F556="-",F556="Selecciona..",F556="Finalizar"),"",IF(A556="Rodados",XLOOKUP(B556,'Validaciones Cotizador'!I:I,'Validaciones Cotizador'!J:J,0,0,1),1))</f>
        <v/>
      </c>
      <c r="H556" s="11" t="str">
        <f>IF(OR(F556="",F556="Selecciona.."),"",SUMIF(Precio_Productos!K:K,E556,Precio_Productos!J:J)*G556)</f>
        <v/>
      </c>
      <c r="I556" s="4" t="str">
        <f t="array" ref="I556">IF($E556="","", XLOOKUP(SUMIFS(Prod_Prop!$A:$A,Prod_Prop!$B:$B,$E556,Prod_Prop!$H:$H,I$1,Prod_Prop!$I:$I,"Exacto"),Prod_Prop!$A:$A,Prod_Prop!$J:$J,"",0,1))</f>
        <v/>
      </c>
      <c r="J556" s="4" t="str">
        <f t="array" ref="J556">IF($E556="","", XLOOKUP(SUMIFS(Prod_Prop!$A:$A,Prod_Prop!$B:$B,$E556,Prod_Prop!$H:$H,J$1,Prod_Prop!$I:$I,"Exacto"),Prod_Prop!$A:$A,Prod_Prop!$J:$J,"",0,1))</f>
        <v/>
      </c>
      <c r="K556" s="4" t="str">
        <f t="array" ref="K556">IF($E556="","", XLOOKUP(SUMIFS(Prod_Prop!$A:$A,Prod_Prop!$B:$B,$E556,Prod_Prop!$H:$H,K$1,Prod_Prop!$I:$I,"Exacto"),Prod_Prop!$A:$A,Prod_Prop!$J:$J,"",0,1))</f>
        <v/>
      </c>
      <c r="L556" s="4" t="str">
        <f t="array" ref="L556">IF($E556="","", XLOOKUP(SUMIFS(Prod_Prop!$A:$A,Prod_Prop!$B:$B,$E556,Prod_Prop!$H:$H,L$1,Prod_Prop!$I:$I,"Exacto"),Prod_Prop!$A:$A,Prod_Prop!$J:$J,"",0,1))</f>
        <v/>
      </c>
      <c r="M556" s="4" t="str">
        <f t="array" ref="M556">IF($E556="","", XLOOKUP(SUMIFS(Prod_Prop!$A:$A,Prod_Prop!$B:$B,$E556,Prod_Prop!$H:$H,M$1,Prod_Prop!$I:$I,"Exacto"),Prod_Prop!$A:$A,Prod_Prop!$J:$J,"",0,1))</f>
        <v/>
      </c>
      <c r="N556" s="4" t="str">
        <f t="array" ref="N556">IF($E556="","", XLOOKUP(SUMIFS(Prod_Prop!$A:$A,Prod_Prop!$B:$B,$E556,Prod_Prop!$H:$H,N$1,Prod_Prop!$I:$I,"Exacto"),Prod_Prop!$A:$A,Prod_Prop!$J:$J,"",0,1))</f>
        <v/>
      </c>
      <c r="O556" s="4" t="str">
        <f t="array" ref="O556">IF($E556="","", XLOOKUP(SUMIFS(Prod_Prop!$A:$A,Prod_Prop!$B:$B,$E556,Prod_Prop!$H:$H,O$1,Prod_Prop!$I:$I,"Exacto"),Prod_Prop!$A:$A,Prod_Prop!$J:$J,"",0,1))</f>
        <v/>
      </c>
      <c r="P556" s="4" t="str">
        <f t="array" ref="P556">IF($E556="","", XLOOKUP(SUMIFS(Prod_Prop!$A:$A,Prod_Prop!$B:$B,$E556,Prod_Prop!$H:$H,P$1,Prod_Prop!$I:$I,"Exacto"),Prod_Prop!$A:$A,Prod_Prop!$J:$J,"",0,1))</f>
        <v/>
      </c>
      <c r="Q556" s="4" t="str">
        <f t="array" ref="Q556">IF($E556="","", XLOOKUP(SUMIFS(Prod_Prop!$A:$A,Prod_Prop!$B:$B,$E556,Prod_Prop!$H:$H,Q$1,Prod_Prop!$I:$I,"Exacto"),Prod_Prop!$A:$A,Prod_Prop!$J:$J,"",0,1))</f>
        <v/>
      </c>
      <c r="R556" s="4" t="str">
        <f t="array" ref="R556">IF($E556="","", XLOOKUP(SUMIFS(Prod_Prop!$A:$A,Prod_Prop!$B:$B,$E556,Prod_Prop!$H:$H,R$1,Prod_Prop!$I:$I,"Exacto"),Prod_Prop!$A:$A,Prod_Prop!$J:$J,"",0,1))</f>
        <v/>
      </c>
      <c r="S556" s="4" t="str">
        <f t="array" ref="S556">IF($E556="","", XLOOKUP(SUMIFS(Prod_Prop!$A:$A,Prod_Prop!$B:$B,$E556,Prod_Prop!$H:$H,S$1,Prod_Prop!$I:$I,"Exacto"),Prod_Prop!$A:$A,Prod_Prop!$J:$J,"",0,1))</f>
        <v/>
      </c>
      <c r="T556" s="4" t="str">
        <f t="array" ref="T556">IF($E556="","", XLOOKUP(SUMIFS(Prod_Prop!$A:$A,Prod_Prop!$B:$B,$E556,Prod_Prop!$H:$H,T$1,Prod_Prop!$I:$I,"Exacto"),Prod_Prop!$A:$A,Prod_Prop!$J:$J,"",0,1))</f>
        <v/>
      </c>
      <c r="U556" s="4" t="str">
        <f t="array" ref="U556">IF($E556="","", XLOOKUP(SUMIFS(Prod_Prop!$A:$A,Prod_Prop!$B:$B,$E556,Prod_Prop!$H:$H,U$1,Prod_Prop!$I:$I,"Exacto"),Prod_Prop!$A:$A,Prod_Prop!$J:$J,"",0,1))</f>
        <v/>
      </c>
      <c r="V556" s="4" t="str">
        <f t="array" ref="V556">IF($E556="","", XLOOKUP(SUMIFS(Prod_Prop!$A:$A,Prod_Prop!$B:$B,$E556,Prod_Prop!$H:$H,V$1,Prod_Prop!$I:$I,"Exacto"),Prod_Prop!$A:$A,Prod_Prop!$J:$J,"",0,1))</f>
        <v/>
      </c>
      <c r="X556" s="3" t="str">
        <f>IFERROR(__xludf.DUMMYFUNCTION("IF(D556="""","""",IFERROR(TRANSPOSE(FILTER('Validaciones Cotizador'!U:U,'Validaciones Cotizador'!O:O=D556,'Validaciones Cotizador'!T:T=""x"")),""Finalizar""))"),"")</f>
        <v/>
      </c>
    </row>
    <row r="557">
      <c r="A557" s="2" t="str">
        <f t="array" ref="A557">IF(E557="","",XLOOKUP(D557,'Validaciones Cotizador'!C:C,'Validaciones Cotizador'!A:A,"",0,1))</f>
        <v/>
      </c>
      <c r="B557" s="2" t="str">
        <f t="array" ref="B557">IF(F557="","",XLOOKUP(F557,Productos!E:E,Productos!G:G,"",0,1))</f>
        <v/>
      </c>
      <c r="C557" s="2" t="str">
        <f>IF(A557="","",SUMIFS('Validaciones Cotizador'!B:B,'Validaciones Cotizador'!C:C,D557,'Validaciones Cotizador'!A:A,A557))</f>
        <v/>
      </c>
      <c r="D557" s="4" t="str">
        <f>IFERROR(__xludf.DUMMYFUNCTION("IF(OR(F556=""Finalizar"",F556="""",F556=""Selecciona..""),"""",IF(OR(F556=""-"",INDEX(filter(Familias!F:F,Familias!D:D=A556,Familias!E:E=C556),1)=""O""),D556+1,D556))"),"")</f>
        <v/>
      </c>
      <c r="E557" s="2" t="str">
        <f>IF(OR(F557="",F557="Selecciona.."),"",IF(D557="Implemento",SUMIF(Implementos!B:B,F557,Implementos!A:A),SUMIF(Productos!E:E,F557,Productos!A:A)))</f>
        <v/>
      </c>
      <c r="F557" s="2" t="str">
        <f t="shared" si="2"/>
        <v/>
      </c>
      <c r="G557" s="10" t="str">
        <f t="array" ref="G557">IF(OR(F557="",F557="-",F557="Selecciona..",F557="Finalizar"),"",IF(A557="Rodados",XLOOKUP(B557,'Validaciones Cotizador'!I:I,'Validaciones Cotizador'!J:J,0,0,1),1))</f>
        <v/>
      </c>
      <c r="H557" s="11" t="str">
        <f>IF(OR(F557="",F557="Selecciona.."),"",SUMIF(Precio_Productos!K:K,E557,Precio_Productos!J:J)*G557)</f>
        <v/>
      </c>
      <c r="I557" s="4" t="str">
        <f t="array" ref="I557">IF($E557="","", XLOOKUP(SUMIFS(Prod_Prop!$A:$A,Prod_Prop!$B:$B,$E557,Prod_Prop!$H:$H,I$1,Prod_Prop!$I:$I,"Exacto"),Prod_Prop!$A:$A,Prod_Prop!$J:$J,"",0,1))</f>
        <v/>
      </c>
      <c r="J557" s="4" t="str">
        <f t="array" ref="J557">IF($E557="","", XLOOKUP(SUMIFS(Prod_Prop!$A:$A,Prod_Prop!$B:$B,$E557,Prod_Prop!$H:$H,J$1,Prod_Prop!$I:$I,"Exacto"),Prod_Prop!$A:$A,Prod_Prop!$J:$J,"",0,1))</f>
        <v/>
      </c>
      <c r="K557" s="4" t="str">
        <f t="array" ref="K557">IF($E557="","", XLOOKUP(SUMIFS(Prod_Prop!$A:$A,Prod_Prop!$B:$B,$E557,Prod_Prop!$H:$H,K$1,Prod_Prop!$I:$I,"Exacto"),Prod_Prop!$A:$A,Prod_Prop!$J:$J,"",0,1))</f>
        <v/>
      </c>
      <c r="L557" s="4" t="str">
        <f t="array" ref="L557">IF($E557="","", XLOOKUP(SUMIFS(Prod_Prop!$A:$A,Prod_Prop!$B:$B,$E557,Prod_Prop!$H:$H,L$1,Prod_Prop!$I:$I,"Exacto"),Prod_Prop!$A:$A,Prod_Prop!$J:$J,"",0,1))</f>
        <v/>
      </c>
      <c r="M557" s="4" t="str">
        <f t="array" ref="M557">IF($E557="","", XLOOKUP(SUMIFS(Prod_Prop!$A:$A,Prod_Prop!$B:$B,$E557,Prod_Prop!$H:$H,M$1,Prod_Prop!$I:$I,"Exacto"),Prod_Prop!$A:$A,Prod_Prop!$J:$J,"",0,1))</f>
        <v/>
      </c>
      <c r="N557" s="4" t="str">
        <f t="array" ref="N557">IF($E557="","", XLOOKUP(SUMIFS(Prod_Prop!$A:$A,Prod_Prop!$B:$B,$E557,Prod_Prop!$H:$H,N$1,Prod_Prop!$I:$I,"Exacto"),Prod_Prop!$A:$A,Prod_Prop!$J:$J,"",0,1))</f>
        <v/>
      </c>
      <c r="O557" s="4" t="str">
        <f t="array" ref="O557">IF($E557="","", XLOOKUP(SUMIFS(Prod_Prop!$A:$A,Prod_Prop!$B:$B,$E557,Prod_Prop!$H:$H,O$1,Prod_Prop!$I:$I,"Exacto"),Prod_Prop!$A:$A,Prod_Prop!$J:$J,"",0,1))</f>
        <v/>
      </c>
      <c r="P557" s="4" t="str">
        <f t="array" ref="P557">IF($E557="","", XLOOKUP(SUMIFS(Prod_Prop!$A:$A,Prod_Prop!$B:$B,$E557,Prod_Prop!$H:$H,P$1,Prod_Prop!$I:$I,"Exacto"),Prod_Prop!$A:$A,Prod_Prop!$J:$J,"",0,1))</f>
        <v/>
      </c>
      <c r="Q557" s="4" t="str">
        <f t="array" ref="Q557">IF($E557="","", XLOOKUP(SUMIFS(Prod_Prop!$A:$A,Prod_Prop!$B:$B,$E557,Prod_Prop!$H:$H,Q$1,Prod_Prop!$I:$I,"Exacto"),Prod_Prop!$A:$A,Prod_Prop!$J:$J,"",0,1))</f>
        <v/>
      </c>
      <c r="R557" s="4" t="str">
        <f t="array" ref="R557">IF($E557="","", XLOOKUP(SUMIFS(Prod_Prop!$A:$A,Prod_Prop!$B:$B,$E557,Prod_Prop!$H:$H,R$1,Prod_Prop!$I:$I,"Exacto"),Prod_Prop!$A:$A,Prod_Prop!$J:$J,"",0,1))</f>
        <v/>
      </c>
      <c r="S557" s="4" t="str">
        <f t="array" ref="S557">IF($E557="","", XLOOKUP(SUMIFS(Prod_Prop!$A:$A,Prod_Prop!$B:$B,$E557,Prod_Prop!$H:$H,S$1,Prod_Prop!$I:$I,"Exacto"),Prod_Prop!$A:$A,Prod_Prop!$J:$J,"",0,1))</f>
        <v/>
      </c>
      <c r="T557" s="4" t="str">
        <f t="array" ref="T557">IF($E557="","", XLOOKUP(SUMIFS(Prod_Prop!$A:$A,Prod_Prop!$B:$B,$E557,Prod_Prop!$H:$H,T$1,Prod_Prop!$I:$I,"Exacto"),Prod_Prop!$A:$A,Prod_Prop!$J:$J,"",0,1))</f>
        <v/>
      </c>
      <c r="U557" s="4" t="str">
        <f t="array" ref="U557">IF($E557="","", XLOOKUP(SUMIFS(Prod_Prop!$A:$A,Prod_Prop!$B:$B,$E557,Prod_Prop!$H:$H,U$1,Prod_Prop!$I:$I,"Exacto"),Prod_Prop!$A:$A,Prod_Prop!$J:$J,"",0,1))</f>
        <v/>
      </c>
      <c r="V557" s="4" t="str">
        <f t="array" ref="V557">IF($E557="","", XLOOKUP(SUMIFS(Prod_Prop!$A:$A,Prod_Prop!$B:$B,$E557,Prod_Prop!$H:$H,V$1,Prod_Prop!$I:$I,"Exacto"),Prod_Prop!$A:$A,Prod_Prop!$J:$J,"",0,1))</f>
        <v/>
      </c>
      <c r="X557" s="3" t="str">
        <f>IFERROR(__xludf.DUMMYFUNCTION("IF(D557="""","""",IFERROR(TRANSPOSE(FILTER('Validaciones Cotizador'!U:U,'Validaciones Cotizador'!O:O=D557,'Validaciones Cotizador'!T:T=""x"")),""Finalizar""))"),"")</f>
        <v/>
      </c>
    </row>
    <row r="558">
      <c r="A558" s="2" t="str">
        <f t="array" ref="A558">IF(E558="","",XLOOKUP(D558,'Validaciones Cotizador'!C:C,'Validaciones Cotizador'!A:A,"",0,1))</f>
        <v/>
      </c>
      <c r="B558" s="2" t="str">
        <f t="array" ref="B558">IF(F558="","",XLOOKUP(F558,Productos!E:E,Productos!G:G,"",0,1))</f>
        <v/>
      </c>
      <c r="C558" s="2" t="str">
        <f>IF(A558="","",SUMIFS('Validaciones Cotizador'!B:B,'Validaciones Cotizador'!C:C,D558,'Validaciones Cotizador'!A:A,A558))</f>
        <v/>
      </c>
      <c r="D558" s="4" t="str">
        <f>IFERROR(__xludf.DUMMYFUNCTION("IF(OR(F557=""Finalizar"",F557="""",F557=""Selecciona..""),"""",IF(OR(F557=""-"",INDEX(filter(Familias!F:F,Familias!D:D=A557,Familias!E:E=C557),1)=""O""),D557+1,D557))"),"")</f>
        <v/>
      </c>
      <c r="E558" s="2" t="str">
        <f>IF(OR(F558="",F558="Selecciona.."),"",IF(D558="Implemento",SUMIF(Implementos!B:B,F558,Implementos!A:A),SUMIF(Productos!E:E,F558,Productos!A:A)))</f>
        <v/>
      </c>
      <c r="F558" s="2" t="str">
        <f t="shared" si="2"/>
        <v/>
      </c>
      <c r="G558" s="10" t="str">
        <f t="array" ref="G558">IF(OR(F558="",F558="-",F558="Selecciona..",F558="Finalizar"),"",IF(A558="Rodados",XLOOKUP(B558,'Validaciones Cotizador'!I:I,'Validaciones Cotizador'!J:J,0,0,1),1))</f>
        <v/>
      </c>
      <c r="H558" s="11" t="str">
        <f>IF(OR(F558="",F558="Selecciona.."),"",SUMIF(Precio_Productos!K:K,E558,Precio_Productos!J:J)*G558)</f>
        <v/>
      </c>
      <c r="I558" s="4" t="str">
        <f t="array" ref="I558">IF($E558="","", XLOOKUP(SUMIFS(Prod_Prop!$A:$A,Prod_Prop!$B:$B,$E558,Prod_Prop!$H:$H,I$1,Prod_Prop!$I:$I,"Exacto"),Prod_Prop!$A:$A,Prod_Prop!$J:$J,"",0,1))</f>
        <v/>
      </c>
      <c r="J558" s="4" t="str">
        <f t="array" ref="J558">IF($E558="","", XLOOKUP(SUMIFS(Prod_Prop!$A:$A,Prod_Prop!$B:$B,$E558,Prod_Prop!$H:$H,J$1,Prod_Prop!$I:$I,"Exacto"),Prod_Prop!$A:$A,Prod_Prop!$J:$J,"",0,1))</f>
        <v/>
      </c>
      <c r="K558" s="4" t="str">
        <f t="array" ref="K558">IF($E558="","", XLOOKUP(SUMIFS(Prod_Prop!$A:$A,Prod_Prop!$B:$B,$E558,Prod_Prop!$H:$H,K$1,Prod_Prop!$I:$I,"Exacto"),Prod_Prop!$A:$A,Prod_Prop!$J:$J,"",0,1))</f>
        <v/>
      </c>
      <c r="L558" s="4" t="str">
        <f t="array" ref="L558">IF($E558="","", XLOOKUP(SUMIFS(Prod_Prop!$A:$A,Prod_Prop!$B:$B,$E558,Prod_Prop!$H:$H,L$1,Prod_Prop!$I:$I,"Exacto"),Prod_Prop!$A:$A,Prod_Prop!$J:$J,"",0,1))</f>
        <v/>
      </c>
      <c r="M558" s="4" t="str">
        <f t="array" ref="M558">IF($E558="","", XLOOKUP(SUMIFS(Prod_Prop!$A:$A,Prod_Prop!$B:$B,$E558,Prod_Prop!$H:$H,M$1,Prod_Prop!$I:$I,"Exacto"),Prod_Prop!$A:$A,Prod_Prop!$J:$J,"",0,1))</f>
        <v/>
      </c>
      <c r="N558" s="4" t="str">
        <f t="array" ref="N558">IF($E558="","", XLOOKUP(SUMIFS(Prod_Prop!$A:$A,Prod_Prop!$B:$B,$E558,Prod_Prop!$H:$H,N$1,Prod_Prop!$I:$I,"Exacto"),Prod_Prop!$A:$A,Prod_Prop!$J:$J,"",0,1))</f>
        <v/>
      </c>
      <c r="O558" s="4" t="str">
        <f t="array" ref="O558">IF($E558="","", XLOOKUP(SUMIFS(Prod_Prop!$A:$A,Prod_Prop!$B:$B,$E558,Prod_Prop!$H:$H,O$1,Prod_Prop!$I:$I,"Exacto"),Prod_Prop!$A:$A,Prod_Prop!$J:$J,"",0,1))</f>
        <v/>
      </c>
      <c r="P558" s="4" t="str">
        <f t="array" ref="P558">IF($E558="","", XLOOKUP(SUMIFS(Prod_Prop!$A:$A,Prod_Prop!$B:$B,$E558,Prod_Prop!$H:$H,P$1,Prod_Prop!$I:$I,"Exacto"),Prod_Prop!$A:$A,Prod_Prop!$J:$J,"",0,1))</f>
        <v/>
      </c>
      <c r="Q558" s="4" t="str">
        <f t="array" ref="Q558">IF($E558="","", XLOOKUP(SUMIFS(Prod_Prop!$A:$A,Prod_Prop!$B:$B,$E558,Prod_Prop!$H:$H,Q$1,Prod_Prop!$I:$I,"Exacto"),Prod_Prop!$A:$A,Prod_Prop!$J:$J,"",0,1))</f>
        <v/>
      </c>
      <c r="R558" s="4" t="str">
        <f t="array" ref="R558">IF($E558="","", XLOOKUP(SUMIFS(Prod_Prop!$A:$A,Prod_Prop!$B:$B,$E558,Prod_Prop!$H:$H,R$1,Prod_Prop!$I:$I,"Exacto"),Prod_Prop!$A:$A,Prod_Prop!$J:$J,"",0,1))</f>
        <v/>
      </c>
      <c r="S558" s="4" t="str">
        <f t="array" ref="S558">IF($E558="","", XLOOKUP(SUMIFS(Prod_Prop!$A:$A,Prod_Prop!$B:$B,$E558,Prod_Prop!$H:$H,S$1,Prod_Prop!$I:$I,"Exacto"),Prod_Prop!$A:$A,Prod_Prop!$J:$J,"",0,1))</f>
        <v/>
      </c>
      <c r="T558" s="4" t="str">
        <f t="array" ref="T558">IF($E558="","", XLOOKUP(SUMIFS(Prod_Prop!$A:$A,Prod_Prop!$B:$B,$E558,Prod_Prop!$H:$H,T$1,Prod_Prop!$I:$I,"Exacto"),Prod_Prop!$A:$A,Prod_Prop!$J:$J,"",0,1))</f>
        <v/>
      </c>
      <c r="U558" s="4" t="str">
        <f t="array" ref="U558">IF($E558="","", XLOOKUP(SUMIFS(Prod_Prop!$A:$A,Prod_Prop!$B:$B,$E558,Prod_Prop!$H:$H,U$1,Prod_Prop!$I:$I,"Exacto"),Prod_Prop!$A:$A,Prod_Prop!$J:$J,"",0,1))</f>
        <v/>
      </c>
      <c r="V558" s="4" t="str">
        <f t="array" ref="V558">IF($E558="","", XLOOKUP(SUMIFS(Prod_Prop!$A:$A,Prod_Prop!$B:$B,$E558,Prod_Prop!$H:$H,V$1,Prod_Prop!$I:$I,"Exacto"),Prod_Prop!$A:$A,Prod_Prop!$J:$J,"",0,1))</f>
        <v/>
      </c>
      <c r="X558" s="3" t="str">
        <f>IFERROR(__xludf.DUMMYFUNCTION("IF(D558="""","""",IFERROR(TRANSPOSE(FILTER('Validaciones Cotizador'!U:U,'Validaciones Cotizador'!O:O=D558,'Validaciones Cotizador'!T:T=""x"")),""Finalizar""))"),"")</f>
        <v/>
      </c>
    </row>
    <row r="559">
      <c r="A559" s="2" t="str">
        <f t="array" ref="A559">IF(E559="","",XLOOKUP(D559,'Validaciones Cotizador'!C:C,'Validaciones Cotizador'!A:A,"",0,1))</f>
        <v/>
      </c>
      <c r="B559" s="2" t="str">
        <f t="array" ref="B559">IF(F559="","",XLOOKUP(F559,Productos!E:E,Productos!G:G,"",0,1))</f>
        <v/>
      </c>
      <c r="C559" s="2" t="str">
        <f>IF(A559="","",SUMIFS('Validaciones Cotizador'!B:B,'Validaciones Cotizador'!C:C,D559,'Validaciones Cotizador'!A:A,A559))</f>
        <v/>
      </c>
      <c r="D559" s="4" t="str">
        <f>IFERROR(__xludf.DUMMYFUNCTION("IF(OR(F558=""Finalizar"",F558="""",F558=""Selecciona..""),"""",IF(OR(F558=""-"",INDEX(filter(Familias!F:F,Familias!D:D=A558,Familias!E:E=C558),1)=""O""),D558+1,D558))"),"")</f>
        <v/>
      </c>
      <c r="E559" s="2" t="str">
        <f>IF(OR(F559="",F559="Selecciona.."),"",IF(D559="Implemento",SUMIF(Implementos!B:B,F559,Implementos!A:A),SUMIF(Productos!E:E,F559,Productos!A:A)))</f>
        <v/>
      </c>
      <c r="F559" s="2" t="str">
        <f t="shared" si="2"/>
        <v/>
      </c>
      <c r="G559" s="10" t="str">
        <f t="array" ref="G559">IF(OR(F559="",F559="-",F559="Selecciona..",F559="Finalizar"),"",IF(A559="Rodados",XLOOKUP(B559,'Validaciones Cotizador'!I:I,'Validaciones Cotizador'!J:J,0,0,1),1))</f>
        <v/>
      </c>
      <c r="H559" s="11" t="str">
        <f>IF(OR(F559="",F559="Selecciona.."),"",SUMIF(Precio_Productos!K:K,E559,Precio_Productos!J:J)*G559)</f>
        <v/>
      </c>
      <c r="I559" s="4" t="str">
        <f t="array" ref="I559">IF($E559="","", XLOOKUP(SUMIFS(Prod_Prop!$A:$A,Prod_Prop!$B:$B,$E559,Prod_Prop!$H:$H,I$1,Prod_Prop!$I:$I,"Exacto"),Prod_Prop!$A:$A,Prod_Prop!$J:$J,"",0,1))</f>
        <v/>
      </c>
      <c r="J559" s="4" t="str">
        <f t="array" ref="J559">IF($E559="","", XLOOKUP(SUMIFS(Prod_Prop!$A:$A,Prod_Prop!$B:$B,$E559,Prod_Prop!$H:$H,J$1,Prod_Prop!$I:$I,"Exacto"),Prod_Prop!$A:$A,Prod_Prop!$J:$J,"",0,1))</f>
        <v/>
      </c>
      <c r="K559" s="4" t="str">
        <f t="array" ref="K559">IF($E559="","", XLOOKUP(SUMIFS(Prod_Prop!$A:$A,Prod_Prop!$B:$B,$E559,Prod_Prop!$H:$H,K$1,Prod_Prop!$I:$I,"Exacto"),Prod_Prop!$A:$A,Prod_Prop!$J:$J,"",0,1))</f>
        <v/>
      </c>
      <c r="L559" s="4" t="str">
        <f t="array" ref="L559">IF($E559="","", XLOOKUP(SUMIFS(Prod_Prop!$A:$A,Prod_Prop!$B:$B,$E559,Prod_Prop!$H:$H,L$1,Prod_Prop!$I:$I,"Exacto"),Prod_Prop!$A:$A,Prod_Prop!$J:$J,"",0,1))</f>
        <v/>
      </c>
      <c r="M559" s="4" t="str">
        <f t="array" ref="M559">IF($E559="","", XLOOKUP(SUMIFS(Prod_Prop!$A:$A,Prod_Prop!$B:$B,$E559,Prod_Prop!$H:$H,M$1,Prod_Prop!$I:$I,"Exacto"),Prod_Prop!$A:$A,Prod_Prop!$J:$J,"",0,1))</f>
        <v/>
      </c>
      <c r="N559" s="4" t="str">
        <f t="array" ref="N559">IF($E559="","", XLOOKUP(SUMIFS(Prod_Prop!$A:$A,Prod_Prop!$B:$B,$E559,Prod_Prop!$H:$H,N$1,Prod_Prop!$I:$I,"Exacto"),Prod_Prop!$A:$A,Prod_Prop!$J:$J,"",0,1))</f>
        <v/>
      </c>
      <c r="O559" s="4" t="str">
        <f t="array" ref="O559">IF($E559="","", XLOOKUP(SUMIFS(Prod_Prop!$A:$A,Prod_Prop!$B:$B,$E559,Prod_Prop!$H:$H,O$1,Prod_Prop!$I:$I,"Exacto"),Prod_Prop!$A:$A,Prod_Prop!$J:$J,"",0,1))</f>
        <v/>
      </c>
      <c r="P559" s="4" t="str">
        <f t="array" ref="P559">IF($E559="","", XLOOKUP(SUMIFS(Prod_Prop!$A:$A,Prod_Prop!$B:$B,$E559,Prod_Prop!$H:$H,P$1,Prod_Prop!$I:$I,"Exacto"),Prod_Prop!$A:$A,Prod_Prop!$J:$J,"",0,1))</f>
        <v/>
      </c>
      <c r="Q559" s="4" t="str">
        <f t="array" ref="Q559">IF($E559="","", XLOOKUP(SUMIFS(Prod_Prop!$A:$A,Prod_Prop!$B:$B,$E559,Prod_Prop!$H:$H,Q$1,Prod_Prop!$I:$I,"Exacto"),Prod_Prop!$A:$A,Prod_Prop!$J:$J,"",0,1))</f>
        <v/>
      </c>
      <c r="R559" s="4" t="str">
        <f t="array" ref="R559">IF($E559="","", XLOOKUP(SUMIFS(Prod_Prop!$A:$A,Prod_Prop!$B:$B,$E559,Prod_Prop!$H:$H,R$1,Prod_Prop!$I:$I,"Exacto"),Prod_Prop!$A:$A,Prod_Prop!$J:$J,"",0,1))</f>
        <v/>
      </c>
      <c r="S559" s="4" t="str">
        <f t="array" ref="S559">IF($E559="","", XLOOKUP(SUMIFS(Prod_Prop!$A:$A,Prod_Prop!$B:$B,$E559,Prod_Prop!$H:$H,S$1,Prod_Prop!$I:$I,"Exacto"),Prod_Prop!$A:$A,Prod_Prop!$J:$J,"",0,1))</f>
        <v/>
      </c>
      <c r="T559" s="4" t="str">
        <f t="array" ref="T559">IF($E559="","", XLOOKUP(SUMIFS(Prod_Prop!$A:$A,Prod_Prop!$B:$B,$E559,Prod_Prop!$H:$H,T$1,Prod_Prop!$I:$I,"Exacto"),Prod_Prop!$A:$A,Prod_Prop!$J:$J,"",0,1))</f>
        <v/>
      </c>
      <c r="U559" s="4" t="str">
        <f t="array" ref="U559">IF($E559="","", XLOOKUP(SUMIFS(Prod_Prop!$A:$A,Prod_Prop!$B:$B,$E559,Prod_Prop!$H:$H,U$1,Prod_Prop!$I:$I,"Exacto"),Prod_Prop!$A:$A,Prod_Prop!$J:$J,"",0,1))</f>
        <v/>
      </c>
      <c r="V559" s="4" t="str">
        <f t="array" ref="V559">IF($E559="","", XLOOKUP(SUMIFS(Prod_Prop!$A:$A,Prod_Prop!$B:$B,$E559,Prod_Prop!$H:$H,V$1,Prod_Prop!$I:$I,"Exacto"),Prod_Prop!$A:$A,Prod_Prop!$J:$J,"",0,1))</f>
        <v/>
      </c>
      <c r="X559" s="3" t="str">
        <f>IFERROR(__xludf.DUMMYFUNCTION("IF(D559="""","""",IFERROR(TRANSPOSE(FILTER('Validaciones Cotizador'!U:U,'Validaciones Cotizador'!O:O=D559,'Validaciones Cotizador'!T:T=""x"")),""Finalizar""))"),"")</f>
        <v/>
      </c>
    </row>
    <row r="560">
      <c r="A560" s="2" t="str">
        <f t="array" ref="A560">IF(E560="","",XLOOKUP(D560,'Validaciones Cotizador'!C:C,'Validaciones Cotizador'!A:A,"",0,1))</f>
        <v/>
      </c>
      <c r="B560" s="2" t="str">
        <f t="array" ref="B560">IF(F560="","",XLOOKUP(F560,Productos!E:E,Productos!G:G,"",0,1))</f>
        <v/>
      </c>
      <c r="C560" s="2" t="str">
        <f>IF(A560="","",SUMIFS('Validaciones Cotizador'!B:B,'Validaciones Cotizador'!C:C,D560,'Validaciones Cotizador'!A:A,A560))</f>
        <v/>
      </c>
      <c r="D560" s="4" t="str">
        <f>IFERROR(__xludf.DUMMYFUNCTION("IF(OR(F559=""Finalizar"",F559="""",F559=""Selecciona..""),"""",IF(OR(F559=""-"",INDEX(filter(Familias!F:F,Familias!D:D=A559,Familias!E:E=C559),1)=""O""),D559+1,D559))"),"")</f>
        <v/>
      </c>
      <c r="E560" s="2" t="str">
        <f>IF(OR(F560="",F560="Selecciona.."),"",IF(D560="Implemento",SUMIF(Implementos!B:B,F560,Implementos!A:A),SUMIF(Productos!E:E,F560,Productos!A:A)))</f>
        <v/>
      </c>
      <c r="F560" s="2" t="str">
        <f t="shared" si="2"/>
        <v/>
      </c>
      <c r="G560" s="10" t="str">
        <f t="array" ref="G560">IF(OR(F560="",F560="-",F560="Selecciona..",F560="Finalizar"),"",IF(A560="Rodados",XLOOKUP(B560,'Validaciones Cotizador'!I:I,'Validaciones Cotizador'!J:J,0,0,1),1))</f>
        <v/>
      </c>
      <c r="H560" s="11" t="str">
        <f>IF(OR(F560="",F560="Selecciona.."),"",SUMIF(Precio_Productos!K:K,E560,Precio_Productos!J:J)*G560)</f>
        <v/>
      </c>
      <c r="I560" s="4" t="str">
        <f t="array" ref="I560">IF($E560="","", XLOOKUP(SUMIFS(Prod_Prop!$A:$A,Prod_Prop!$B:$B,$E560,Prod_Prop!$H:$H,I$1,Prod_Prop!$I:$I,"Exacto"),Prod_Prop!$A:$A,Prod_Prop!$J:$J,"",0,1))</f>
        <v/>
      </c>
      <c r="J560" s="4" t="str">
        <f t="array" ref="J560">IF($E560="","", XLOOKUP(SUMIFS(Prod_Prop!$A:$A,Prod_Prop!$B:$B,$E560,Prod_Prop!$H:$H,J$1,Prod_Prop!$I:$I,"Exacto"),Prod_Prop!$A:$A,Prod_Prop!$J:$J,"",0,1))</f>
        <v/>
      </c>
      <c r="K560" s="4" t="str">
        <f t="array" ref="K560">IF($E560="","", XLOOKUP(SUMIFS(Prod_Prop!$A:$A,Prod_Prop!$B:$B,$E560,Prod_Prop!$H:$H,K$1,Prod_Prop!$I:$I,"Exacto"),Prod_Prop!$A:$A,Prod_Prop!$J:$J,"",0,1))</f>
        <v/>
      </c>
      <c r="L560" s="4" t="str">
        <f t="array" ref="L560">IF($E560="","", XLOOKUP(SUMIFS(Prod_Prop!$A:$A,Prod_Prop!$B:$B,$E560,Prod_Prop!$H:$H,L$1,Prod_Prop!$I:$I,"Exacto"),Prod_Prop!$A:$A,Prod_Prop!$J:$J,"",0,1))</f>
        <v/>
      </c>
      <c r="M560" s="4" t="str">
        <f t="array" ref="M560">IF($E560="","", XLOOKUP(SUMIFS(Prod_Prop!$A:$A,Prod_Prop!$B:$B,$E560,Prod_Prop!$H:$H,M$1,Prod_Prop!$I:$I,"Exacto"),Prod_Prop!$A:$A,Prod_Prop!$J:$J,"",0,1))</f>
        <v/>
      </c>
      <c r="N560" s="4" t="str">
        <f t="array" ref="N560">IF($E560="","", XLOOKUP(SUMIFS(Prod_Prop!$A:$A,Prod_Prop!$B:$B,$E560,Prod_Prop!$H:$H,N$1,Prod_Prop!$I:$I,"Exacto"),Prod_Prop!$A:$A,Prod_Prop!$J:$J,"",0,1))</f>
        <v/>
      </c>
      <c r="O560" s="4" t="str">
        <f t="array" ref="O560">IF($E560="","", XLOOKUP(SUMIFS(Prod_Prop!$A:$A,Prod_Prop!$B:$B,$E560,Prod_Prop!$H:$H,O$1,Prod_Prop!$I:$I,"Exacto"),Prod_Prop!$A:$A,Prod_Prop!$J:$J,"",0,1))</f>
        <v/>
      </c>
      <c r="P560" s="4" t="str">
        <f t="array" ref="P560">IF($E560="","", XLOOKUP(SUMIFS(Prod_Prop!$A:$A,Prod_Prop!$B:$B,$E560,Prod_Prop!$H:$H,P$1,Prod_Prop!$I:$I,"Exacto"),Prod_Prop!$A:$A,Prod_Prop!$J:$J,"",0,1))</f>
        <v/>
      </c>
      <c r="Q560" s="4" t="str">
        <f t="array" ref="Q560">IF($E560="","", XLOOKUP(SUMIFS(Prod_Prop!$A:$A,Prod_Prop!$B:$B,$E560,Prod_Prop!$H:$H,Q$1,Prod_Prop!$I:$I,"Exacto"),Prod_Prop!$A:$A,Prod_Prop!$J:$J,"",0,1))</f>
        <v/>
      </c>
      <c r="R560" s="4" t="str">
        <f t="array" ref="R560">IF($E560="","", XLOOKUP(SUMIFS(Prod_Prop!$A:$A,Prod_Prop!$B:$B,$E560,Prod_Prop!$H:$H,R$1,Prod_Prop!$I:$I,"Exacto"),Prod_Prop!$A:$A,Prod_Prop!$J:$J,"",0,1))</f>
        <v/>
      </c>
      <c r="S560" s="4" t="str">
        <f t="array" ref="S560">IF($E560="","", XLOOKUP(SUMIFS(Prod_Prop!$A:$A,Prod_Prop!$B:$B,$E560,Prod_Prop!$H:$H,S$1,Prod_Prop!$I:$I,"Exacto"),Prod_Prop!$A:$A,Prod_Prop!$J:$J,"",0,1))</f>
        <v/>
      </c>
      <c r="T560" s="4" t="str">
        <f t="array" ref="T560">IF($E560="","", XLOOKUP(SUMIFS(Prod_Prop!$A:$A,Prod_Prop!$B:$B,$E560,Prod_Prop!$H:$H,T$1,Prod_Prop!$I:$I,"Exacto"),Prod_Prop!$A:$A,Prod_Prop!$J:$J,"",0,1))</f>
        <v/>
      </c>
      <c r="U560" s="4" t="str">
        <f t="array" ref="U560">IF($E560="","", XLOOKUP(SUMIFS(Prod_Prop!$A:$A,Prod_Prop!$B:$B,$E560,Prod_Prop!$H:$H,U$1,Prod_Prop!$I:$I,"Exacto"),Prod_Prop!$A:$A,Prod_Prop!$J:$J,"",0,1))</f>
        <v/>
      </c>
      <c r="V560" s="4" t="str">
        <f t="array" ref="V560">IF($E560="","", XLOOKUP(SUMIFS(Prod_Prop!$A:$A,Prod_Prop!$B:$B,$E560,Prod_Prop!$H:$H,V$1,Prod_Prop!$I:$I,"Exacto"),Prod_Prop!$A:$A,Prod_Prop!$J:$J,"",0,1))</f>
        <v/>
      </c>
      <c r="X560" s="3" t="str">
        <f>IFERROR(__xludf.DUMMYFUNCTION("IF(D560="""","""",IFERROR(TRANSPOSE(FILTER('Validaciones Cotizador'!U:U,'Validaciones Cotizador'!O:O=D560,'Validaciones Cotizador'!T:T=""x"")),""Finalizar""))"),"")</f>
        <v/>
      </c>
    </row>
    <row r="561">
      <c r="A561" s="2" t="str">
        <f t="array" ref="A561">IF(E561="","",XLOOKUP(D561,'Validaciones Cotizador'!C:C,'Validaciones Cotizador'!A:A,"",0,1))</f>
        <v/>
      </c>
      <c r="B561" s="2" t="str">
        <f t="array" ref="B561">IF(F561="","",XLOOKUP(F561,Productos!E:E,Productos!G:G,"",0,1))</f>
        <v/>
      </c>
      <c r="C561" s="2" t="str">
        <f>IF(A561="","",SUMIFS('Validaciones Cotizador'!B:B,'Validaciones Cotizador'!C:C,D561,'Validaciones Cotizador'!A:A,A561))</f>
        <v/>
      </c>
      <c r="D561" s="4" t="str">
        <f>IFERROR(__xludf.DUMMYFUNCTION("IF(OR(F560=""Finalizar"",F560="""",F560=""Selecciona..""),"""",IF(OR(F560=""-"",INDEX(filter(Familias!F:F,Familias!D:D=A560,Familias!E:E=C560),1)=""O""),D560+1,D560))"),"")</f>
        <v/>
      </c>
      <c r="E561" s="2" t="str">
        <f>IF(OR(F561="",F561="Selecciona.."),"",IF(D561="Implemento",SUMIF(Implementos!B:B,F561,Implementos!A:A),SUMIF(Productos!E:E,F561,Productos!A:A)))</f>
        <v/>
      </c>
      <c r="F561" s="2" t="str">
        <f t="shared" si="2"/>
        <v/>
      </c>
      <c r="G561" s="10" t="str">
        <f t="array" ref="G561">IF(OR(F561="",F561="-",F561="Selecciona..",F561="Finalizar"),"",IF(A561="Rodados",XLOOKUP(B561,'Validaciones Cotizador'!I:I,'Validaciones Cotizador'!J:J,0,0,1),1))</f>
        <v/>
      </c>
      <c r="H561" s="11" t="str">
        <f>IF(OR(F561="",F561="Selecciona.."),"",SUMIF(Precio_Productos!K:K,E561,Precio_Productos!J:J)*G561)</f>
        <v/>
      </c>
      <c r="I561" s="4" t="str">
        <f t="array" ref="I561">IF($E561="","", XLOOKUP(SUMIFS(Prod_Prop!$A:$A,Prod_Prop!$B:$B,$E561,Prod_Prop!$H:$H,I$1,Prod_Prop!$I:$I,"Exacto"),Prod_Prop!$A:$A,Prod_Prop!$J:$J,"",0,1))</f>
        <v/>
      </c>
      <c r="J561" s="4" t="str">
        <f t="array" ref="J561">IF($E561="","", XLOOKUP(SUMIFS(Prod_Prop!$A:$A,Prod_Prop!$B:$B,$E561,Prod_Prop!$H:$H,J$1,Prod_Prop!$I:$I,"Exacto"),Prod_Prop!$A:$A,Prod_Prop!$J:$J,"",0,1))</f>
        <v/>
      </c>
      <c r="K561" s="4" t="str">
        <f t="array" ref="K561">IF($E561="","", XLOOKUP(SUMIFS(Prod_Prop!$A:$A,Prod_Prop!$B:$B,$E561,Prod_Prop!$H:$H,K$1,Prod_Prop!$I:$I,"Exacto"),Prod_Prop!$A:$A,Prod_Prop!$J:$J,"",0,1))</f>
        <v/>
      </c>
      <c r="L561" s="4" t="str">
        <f t="array" ref="L561">IF($E561="","", XLOOKUP(SUMIFS(Prod_Prop!$A:$A,Prod_Prop!$B:$B,$E561,Prod_Prop!$H:$H,L$1,Prod_Prop!$I:$I,"Exacto"),Prod_Prop!$A:$A,Prod_Prop!$J:$J,"",0,1))</f>
        <v/>
      </c>
      <c r="M561" s="4" t="str">
        <f t="array" ref="M561">IF($E561="","", XLOOKUP(SUMIFS(Prod_Prop!$A:$A,Prod_Prop!$B:$B,$E561,Prod_Prop!$H:$H,M$1,Prod_Prop!$I:$I,"Exacto"),Prod_Prop!$A:$A,Prod_Prop!$J:$J,"",0,1))</f>
        <v/>
      </c>
      <c r="N561" s="4" t="str">
        <f t="array" ref="N561">IF($E561="","", XLOOKUP(SUMIFS(Prod_Prop!$A:$A,Prod_Prop!$B:$B,$E561,Prod_Prop!$H:$H,N$1,Prod_Prop!$I:$I,"Exacto"),Prod_Prop!$A:$A,Prod_Prop!$J:$J,"",0,1))</f>
        <v/>
      </c>
      <c r="O561" s="4" t="str">
        <f t="array" ref="O561">IF($E561="","", XLOOKUP(SUMIFS(Prod_Prop!$A:$A,Prod_Prop!$B:$B,$E561,Prod_Prop!$H:$H,O$1,Prod_Prop!$I:$I,"Exacto"),Prod_Prop!$A:$A,Prod_Prop!$J:$J,"",0,1))</f>
        <v/>
      </c>
      <c r="P561" s="4" t="str">
        <f t="array" ref="P561">IF($E561="","", XLOOKUP(SUMIFS(Prod_Prop!$A:$A,Prod_Prop!$B:$B,$E561,Prod_Prop!$H:$H,P$1,Prod_Prop!$I:$I,"Exacto"),Prod_Prop!$A:$A,Prod_Prop!$J:$J,"",0,1))</f>
        <v/>
      </c>
      <c r="Q561" s="4" t="str">
        <f t="array" ref="Q561">IF($E561="","", XLOOKUP(SUMIFS(Prod_Prop!$A:$A,Prod_Prop!$B:$B,$E561,Prod_Prop!$H:$H,Q$1,Prod_Prop!$I:$I,"Exacto"),Prod_Prop!$A:$A,Prod_Prop!$J:$J,"",0,1))</f>
        <v/>
      </c>
      <c r="R561" s="4" t="str">
        <f t="array" ref="R561">IF($E561="","", XLOOKUP(SUMIFS(Prod_Prop!$A:$A,Prod_Prop!$B:$B,$E561,Prod_Prop!$H:$H,R$1,Prod_Prop!$I:$I,"Exacto"),Prod_Prop!$A:$A,Prod_Prop!$J:$J,"",0,1))</f>
        <v/>
      </c>
      <c r="S561" s="4" t="str">
        <f t="array" ref="S561">IF($E561="","", XLOOKUP(SUMIFS(Prod_Prop!$A:$A,Prod_Prop!$B:$B,$E561,Prod_Prop!$H:$H,S$1,Prod_Prop!$I:$I,"Exacto"),Prod_Prop!$A:$A,Prod_Prop!$J:$J,"",0,1))</f>
        <v/>
      </c>
      <c r="T561" s="4" t="str">
        <f t="array" ref="T561">IF($E561="","", XLOOKUP(SUMIFS(Prod_Prop!$A:$A,Prod_Prop!$B:$B,$E561,Prod_Prop!$H:$H,T$1,Prod_Prop!$I:$I,"Exacto"),Prod_Prop!$A:$A,Prod_Prop!$J:$J,"",0,1))</f>
        <v/>
      </c>
      <c r="U561" s="4" t="str">
        <f t="array" ref="U561">IF($E561="","", XLOOKUP(SUMIFS(Prod_Prop!$A:$A,Prod_Prop!$B:$B,$E561,Prod_Prop!$H:$H,U$1,Prod_Prop!$I:$I,"Exacto"),Prod_Prop!$A:$A,Prod_Prop!$J:$J,"",0,1))</f>
        <v/>
      </c>
      <c r="V561" s="4" t="str">
        <f t="array" ref="V561">IF($E561="","", XLOOKUP(SUMIFS(Prod_Prop!$A:$A,Prod_Prop!$B:$B,$E561,Prod_Prop!$H:$H,V$1,Prod_Prop!$I:$I,"Exacto"),Prod_Prop!$A:$A,Prod_Prop!$J:$J,"",0,1))</f>
        <v/>
      </c>
      <c r="X561" s="3" t="str">
        <f>IFERROR(__xludf.DUMMYFUNCTION("IF(D561="""","""",IFERROR(TRANSPOSE(FILTER('Validaciones Cotizador'!U:U,'Validaciones Cotizador'!O:O=D561,'Validaciones Cotizador'!T:T=""x"")),""Finalizar""))"),"")</f>
        <v/>
      </c>
    </row>
    <row r="562">
      <c r="A562" s="2" t="str">
        <f t="array" ref="A562">IF(E562="","",XLOOKUP(D562,'Validaciones Cotizador'!C:C,'Validaciones Cotizador'!A:A,"",0,1))</f>
        <v/>
      </c>
      <c r="B562" s="2" t="str">
        <f t="array" ref="B562">IF(F562="","",XLOOKUP(F562,Productos!E:E,Productos!G:G,"",0,1))</f>
        <v/>
      </c>
      <c r="C562" s="2" t="str">
        <f>IF(A562="","",SUMIFS('Validaciones Cotizador'!B:B,'Validaciones Cotizador'!C:C,D562,'Validaciones Cotizador'!A:A,A562))</f>
        <v/>
      </c>
      <c r="D562" s="4" t="str">
        <f>IFERROR(__xludf.DUMMYFUNCTION("IF(OR(F561=""Finalizar"",F561="""",F561=""Selecciona..""),"""",IF(OR(F561=""-"",INDEX(filter(Familias!F:F,Familias!D:D=A561,Familias!E:E=C561),1)=""O""),D561+1,D561))"),"")</f>
        <v/>
      </c>
      <c r="E562" s="2" t="str">
        <f>IF(OR(F562="",F562="Selecciona.."),"",IF(D562="Implemento",SUMIF(Implementos!B:B,F562,Implementos!A:A),SUMIF(Productos!E:E,F562,Productos!A:A)))</f>
        <v/>
      </c>
      <c r="F562" s="2" t="str">
        <f t="shared" si="2"/>
        <v/>
      </c>
      <c r="G562" s="10" t="str">
        <f t="array" ref="G562">IF(OR(F562="",F562="-",F562="Selecciona..",F562="Finalizar"),"",IF(A562="Rodados",XLOOKUP(B562,'Validaciones Cotizador'!I:I,'Validaciones Cotizador'!J:J,0,0,1),1))</f>
        <v/>
      </c>
      <c r="H562" s="11" t="str">
        <f>IF(OR(F562="",F562="Selecciona.."),"",SUMIF(Precio_Productos!K:K,E562,Precio_Productos!J:J)*G562)</f>
        <v/>
      </c>
      <c r="I562" s="4" t="str">
        <f t="array" ref="I562">IF($E562="","", XLOOKUP(SUMIFS(Prod_Prop!$A:$A,Prod_Prop!$B:$B,$E562,Prod_Prop!$H:$H,I$1,Prod_Prop!$I:$I,"Exacto"),Prod_Prop!$A:$A,Prod_Prop!$J:$J,"",0,1))</f>
        <v/>
      </c>
      <c r="J562" s="4" t="str">
        <f t="array" ref="J562">IF($E562="","", XLOOKUP(SUMIFS(Prod_Prop!$A:$A,Prod_Prop!$B:$B,$E562,Prod_Prop!$H:$H,J$1,Prod_Prop!$I:$I,"Exacto"),Prod_Prop!$A:$A,Prod_Prop!$J:$J,"",0,1))</f>
        <v/>
      </c>
      <c r="K562" s="4" t="str">
        <f t="array" ref="K562">IF($E562="","", XLOOKUP(SUMIFS(Prod_Prop!$A:$A,Prod_Prop!$B:$B,$E562,Prod_Prop!$H:$H,K$1,Prod_Prop!$I:$I,"Exacto"),Prod_Prop!$A:$A,Prod_Prop!$J:$J,"",0,1))</f>
        <v/>
      </c>
      <c r="L562" s="4" t="str">
        <f t="array" ref="L562">IF($E562="","", XLOOKUP(SUMIFS(Prod_Prop!$A:$A,Prod_Prop!$B:$B,$E562,Prod_Prop!$H:$H,L$1,Prod_Prop!$I:$I,"Exacto"),Prod_Prop!$A:$A,Prod_Prop!$J:$J,"",0,1))</f>
        <v/>
      </c>
      <c r="M562" s="4" t="str">
        <f t="array" ref="M562">IF($E562="","", XLOOKUP(SUMIFS(Prod_Prop!$A:$A,Prod_Prop!$B:$B,$E562,Prod_Prop!$H:$H,M$1,Prod_Prop!$I:$I,"Exacto"),Prod_Prop!$A:$A,Prod_Prop!$J:$J,"",0,1))</f>
        <v/>
      </c>
      <c r="N562" s="4" t="str">
        <f t="array" ref="N562">IF($E562="","", XLOOKUP(SUMIFS(Prod_Prop!$A:$A,Prod_Prop!$B:$B,$E562,Prod_Prop!$H:$H,N$1,Prod_Prop!$I:$I,"Exacto"),Prod_Prop!$A:$A,Prod_Prop!$J:$J,"",0,1))</f>
        <v/>
      </c>
      <c r="O562" s="4" t="str">
        <f t="array" ref="O562">IF($E562="","", XLOOKUP(SUMIFS(Prod_Prop!$A:$A,Prod_Prop!$B:$B,$E562,Prod_Prop!$H:$H,O$1,Prod_Prop!$I:$I,"Exacto"),Prod_Prop!$A:$A,Prod_Prop!$J:$J,"",0,1))</f>
        <v/>
      </c>
      <c r="P562" s="4" t="str">
        <f t="array" ref="P562">IF($E562="","", XLOOKUP(SUMIFS(Prod_Prop!$A:$A,Prod_Prop!$B:$B,$E562,Prod_Prop!$H:$H,P$1,Prod_Prop!$I:$I,"Exacto"),Prod_Prop!$A:$A,Prod_Prop!$J:$J,"",0,1))</f>
        <v/>
      </c>
      <c r="Q562" s="4" t="str">
        <f t="array" ref="Q562">IF($E562="","", XLOOKUP(SUMIFS(Prod_Prop!$A:$A,Prod_Prop!$B:$B,$E562,Prod_Prop!$H:$H,Q$1,Prod_Prop!$I:$I,"Exacto"),Prod_Prop!$A:$A,Prod_Prop!$J:$J,"",0,1))</f>
        <v/>
      </c>
      <c r="R562" s="4" t="str">
        <f t="array" ref="R562">IF($E562="","", XLOOKUP(SUMIFS(Prod_Prop!$A:$A,Prod_Prop!$B:$B,$E562,Prod_Prop!$H:$H,R$1,Prod_Prop!$I:$I,"Exacto"),Prod_Prop!$A:$A,Prod_Prop!$J:$J,"",0,1))</f>
        <v/>
      </c>
      <c r="S562" s="4" t="str">
        <f t="array" ref="S562">IF($E562="","", XLOOKUP(SUMIFS(Prod_Prop!$A:$A,Prod_Prop!$B:$B,$E562,Prod_Prop!$H:$H,S$1,Prod_Prop!$I:$I,"Exacto"),Prod_Prop!$A:$A,Prod_Prop!$J:$J,"",0,1))</f>
        <v/>
      </c>
      <c r="T562" s="4" t="str">
        <f t="array" ref="T562">IF($E562="","", XLOOKUP(SUMIFS(Prod_Prop!$A:$A,Prod_Prop!$B:$B,$E562,Prod_Prop!$H:$H,T$1,Prod_Prop!$I:$I,"Exacto"),Prod_Prop!$A:$A,Prod_Prop!$J:$J,"",0,1))</f>
        <v/>
      </c>
      <c r="U562" s="4" t="str">
        <f t="array" ref="U562">IF($E562="","", XLOOKUP(SUMIFS(Prod_Prop!$A:$A,Prod_Prop!$B:$B,$E562,Prod_Prop!$H:$H,U$1,Prod_Prop!$I:$I,"Exacto"),Prod_Prop!$A:$A,Prod_Prop!$J:$J,"",0,1))</f>
        <v/>
      </c>
      <c r="V562" s="4" t="str">
        <f t="array" ref="V562">IF($E562="","", XLOOKUP(SUMIFS(Prod_Prop!$A:$A,Prod_Prop!$B:$B,$E562,Prod_Prop!$H:$H,V$1,Prod_Prop!$I:$I,"Exacto"),Prod_Prop!$A:$A,Prod_Prop!$J:$J,"",0,1))</f>
        <v/>
      </c>
      <c r="X562" s="3" t="str">
        <f>IFERROR(__xludf.DUMMYFUNCTION("IF(D562="""","""",IFERROR(TRANSPOSE(FILTER('Validaciones Cotizador'!U:U,'Validaciones Cotizador'!O:O=D562,'Validaciones Cotizador'!T:T=""x"")),""Finalizar""))"),"")</f>
        <v/>
      </c>
    </row>
    <row r="563">
      <c r="A563" s="2" t="str">
        <f t="array" ref="A563">IF(E563="","",XLOOKUP(D563,'Validaciones Cotizador'!C:C,'Validaciones Cotizador'!A:A,"",0,1))</f>
        <v/>
      </c>
      <c r="B563" s="2" t="str">
        <f t="array" ref="B563">IF(F563="","",XLOOKUP(F563,Productos!E:E,Productos!G:G,"",0,1))</f>
        <v/>
      </c>
      <c r="C563" s="2" t="str">
        <f>IF(A563="","",SUMIFS('Validaciones Cotizador'!B:B,'Validaciones Cotizador'!C:C,D563,'Validaciones Cotizador'!A:A,A563))</f>
        <v/>
      </c>
      <c r="D563" s="4" t="str">
        <f>IFERROR(__xludf.DUMMYFUNCTION("IF(OR(F562=""Finalizar"",F562="""",F562=""Selecciona..""),"""",IF(OR(F562=""-"",INDEX(filter(Familias!F:F,Familias!D:D=A562,Familias!E:E=C562),1)=""O""),D562+1,D562))"),"")</f>
        <v/>
      </c>
      <c r="E563" s="2" t="str">
        <f>IF(OR(F563="",F563="Selecciona.."),"",IF(D563="Implemento",SUMIF(Implementos!B:B,F563,Implementos!A:A),SUMIF(Productos!E:E,F563,Productos!A:A)))</f>
        <v/>
      </c>
      <c r="F563" s="2" t="str">
        <f t="shared" si="2"/>
        <v/>
      </c>
      <c r="G563" s="10" t="str">
        <f t="array" ref="G563">IF(OR(F563="",F563="-",F563="Selecciona..",F563="Finalizar"),"",IF(A563="Rodados",XLOOKUP(B563,'Validaciones Cotizador'!I:I,'Validaciones Cotizador'!J:J,0,0,1),1))</f>
        <v/>
      </c>
      <c r="H563" s="11" t="str">
        <f>IF(OR(F563="",F563="Selecciona.."),"",SUMIF(Precio_Productos!K:K,E563,Precio_Productos!J:J)*G563)</f>
        <v/>
      </c>
      <c r="I563" s="4" t="str">
        <f t="array" ref="I563">IF($E563="","", XLOOKUP(SUMIFS(Prod_Prop!$A:$A,Prod_Prop!$B:$B,$E563,Prod_Prop!$H:$H,I$1,Prod_Prop!$I:$I,"Exacto"),Prod_Prop!$A:$A,Prod_Prop!$J:$J,"",0,1))</f>
        <v/>
      </c>
      <c r="J563" s="4" t="str">
        <f t="array" ref="J563">IF($E563="","", XLOOKUP(SUMIFS(Prod_Prop!$A:$A,Prod_Prop!$B:$B,$E563,Prod_Prop!$H:$H,J$1,Prod_Prop!$I:$I,"Exacto"),Prod_Prop!$A:$A,Prod_Prop!$J:$J,"",0,1))</f>
        <v/>
      </c>
      <c r="K563" s="4" t="str">
        <f t="array" ref="K563">IF($E563="","", XLOOKUP(SUMIFS(Prod_Prop!$A:$A,Prod_Prop!$B:$B,$E563,Prod_Prop!$H:$H,K$1,Prod_Prop!$I:$I,"Exacto"),Prod_Prop!$A:$A,Prod_Prop!$J:$J,"",0,1))</f>
        <v/>
      </c>
      <c r="L563" s="4" t="str">
        <f t="array" ref="L563">IF($E563="","", XLOOKUP(SUMIFS(Prod_Prop!$A:$A,Prod_Prop!$B:$B,$E563,Prod_Prop!$H:$H,L$1,Prod_Prop!$I:$I,"Exacto"),Prod_Prop!$A:$A,Prod_Prop!$J:$J,"",0,1))</f>
        <v/>
      </c>
      <c r="M563" s="4" t="str">
        <f t="array" ref="M563">IF($E563="","", XLOOKUP(SUMIFS(Prod_Prop!$A:$A,Prod_Prop!$B:$B,$E563,Prod_Prop!$H:$H,M$1,Prod_Prop!$I:$I,"Exacto"),Prod_Prop!$A:$A,Prod_Prop!$J:$J,"",0,1))</f>
        <v/>
      </c>
      <c r="N563" s="4" t="str">
        <f t="array" ref="N563">IF($E563="","", XLOOKUP(SUMIFS(Prod_Prop!$A:$A,Prod_Prop!$B:$B,$E563,Prod_Prop!$H:$H,N$1,Prod_Prop!$I:$I,"Exacto"),Prod_Prop!$A:$A,Prod_Prop!$J:$J,"",0,1))</f>
        <v/>
      </c>
      <c r="O563" s="4" t="str">
        <f t="array" ref="O563">IF($E563="","", XLOOKUP(SUMIFS(Prod_Prop!$A:$A,Prod_Prop!$B:$B,$E563,Prod_Prop!$H:$H,O$1,Prod_Prop!$I:$I,"Exacto"),Prod_Prop!$A:$A,Prod_Prop!$J:$J,"",0,1))</f>
        <v/>
      </c>
      <c r="P563" s="4" t="str">
        <f t="array" ref="P563">IF($E563="","", XLOOKUP(SUMIFS(Prod_Prop!$A:$A,Prod_Prop!$B:$B,$E563,Prod_Prop!$H:$H,P$1,Prod_Prop!$I:$I,"Exacto"),Prod_Prop!$A:$A,Prod_Prop!$J:$J,"",0,1))</f>
        <v/>
      </c>
      <c r="Q563" s="4" t="str">
        <f t="array" ref="Q563">IF($E563="","", XLOOKUP(SUMIFS(Prod_Prop!$A:$A,Prod_Prop!$B:$B,$E563,Prod_Prop!$H:$H,Q$1,Prod_Prop!$I:$I,"Exacto"),Prod_Prop!$A:$A,Prod_Prop!$J:$J,"",0,1))</f>
        <v/>
      </c>
      <c r="R563" s="4" t="str">
        <f t="array" ref="R563">IF($E563="","", XLOOKUP(SUMIFS(Prod_Prop!$A:$A,Prod_Prop!$B:$B,$E563,Prod_Prop!$H:$H,R$1,Prod_Prop!$I:$I,"Exacto"),Prod_Prop!$A:$A,Prod_Prop!$J:$J,"",0,1))</f>
        <v/>
      </c>
      <c r="S563" s="4" t="str">
        <f t="array" ref="S563">IF($E563="","", XLOOKUP(SUMIFS(Prod_Prop!$A:$A,Prod_Prop!$B:$B,$E563,Prod_Prop!$H:$H,S$1,Prod_Prop!$I:$I,"Exacto"),Prod_Prop!$A:$A,Prod_Prop!$J:$J,"",0,1))</f>
        <v/>
      </c>
      <c r="T563" s="4" t="str">
        <f t="array" ref="T563">IF($E563="","", XLOOKUP(SUMIFS(Prod_Prop!$A:$A,Prod_Prop!$B:$B,$E563,Prod_Prop!$H:$H,T$1,Prod_Prop!$I:$I,"Exacto"),Prod_Prop!$A:$A,Prod_Prop!$J:$J,"",0,1))</f>
        <v/>
      </c>
      <c r="U563" s="4" t="str">
        <f t="array" ref="U563">IF($E563="","", XLOOKUP(SUMIFS(Prod_Prop!$A:$A,Prod_Prop!$B:$B,$E563,Prod_Prop!$H:$H,U$1,Prod_Prop!$I:$I,"Exacto"),Prod_Prop!$A:$A,Prod_Prop!$J:$J,"",0,1))</f>
        <v/>
      </c>
      <c r="V563" s="4" t="str">
        <f t="array" ref="V563">IF($E563="","", XLOOKUP(SUMIFS(Prod_Prop!$A:$A,Prod_Prop!$B:$B,$E563,Prod_Prop!$H:$H,V$1,Prod_Prop!$I:$I,"Exacto"),Prod_Prop!$A:$A,Prod_Prop!$J:$J,"",0,1))</f>
        <v/>
      </c>
      <c r="X563" s="3" t="str">
        <f>IFERROR(__xludf.DUMMYFUNCTION("IF(D563="""","""",IFERROR(TRANSPOSE(FILTER('Validaciones Cotizador'!U:U,'Validaciones Cotizador'!O:O=D563,'Validaciones Cotizador'!T:T=""x"")),""Finalizar""))"),"")</f>
        <v/>
      </c>
    </row>
    <row r="564">
      <c r="A564" s="2" t="str">
        <f t="array" ref="A564">IF(E564="","",XLOOKUP(D564,'Validaciones Cotizador'!C:C,'Validaciones Cotizador'!A:A,"",0,1))</f>
        <v/>
      </c>
      <c r="B564" s="2" t="str">
        <f t="array" ref="B564">IF(F564="","",XLOOKUP(F564,Productos!E:E,Productos!G:G,"",0,1))</f>
        <v/>
      </c>
      <c r="C564" s="2" t="str">
        <f>IF(A564="","",SUMIFS('Validaciones Cotizador'!B:B,'Validaciones Cotizador'!C:C,D564,'Validaciones Cotizador'!A:A,A564))</f>
        <v/>
      </c>
      <c r="D564" s="4" t="str">
        <f>IFERROR(__xludf.DUMMYFUNCTION("IF(OR(F563=""Finalizar"",F563="""",F563=""Selecciona..""),"""",IF(OR(F563=""-"",INDEX(filter(Familias!F:F,Familias!D:D=A563,Familias!E:E=C563),1)=""O""),D563+1,D563))"),"")</f>
        <v/>
      </c>
      <c r="E564" s="2" t="str">
        <f>IF(OR(F564="",F564="Selecciona.."),"",IF(D564="Implemento",SUMIF(Implementos!B:B,F564,Implementos!A:A),SUMIF(Productos!E:E,F564,Productos!A:A)))</f>
        <v/>
      </c>
      <c r="F564" s="2" t="str">
        <f t="shared" si="2"/>
        <v/>
      </c>
      <c r="G564" s="10" t="str">
        <f t="array" ref="G564">IF(OR(F564="",F564="-",F564="Selecciona..",F564="Finalizar"),"",IF(A564="Rodados",XLOOKUP(B564,'Validaciones Cotizador'!I:I,'Validaciones Cotizador'!J:J,0,0,1),1))</f>
        <v/>
      </c>
      <c r="H564" s="11" t="str">
        <f>IF(OR(F564="",F564="Selecciona.."),"",SUMIF(Precio_Productos!K:K,E564,Precio_Productos!J:J)*G564)</f>
        <v/>
      </c>
      <c r="I564" s="4" t="str">
        <f t="array" ref="I564">IF($E564="","", XLOOKUP(SUMIFS(Prod_Prop!$A:$A,Prod_Prop!$B:$B,$E564,Prod_Prop!$H:$H,I$1,Prod_Prop!$I:$I,"Exacto"),Prod_Prop!$A:$A,Prod_Prop!$J:$J,"",0,1))</f>
        <v/>
      </c>
      <c r="J564" s="4" t="str">
        <f t="array" ref="J564">IF($E564="","", XLOOKUP(SUMIFS(Prod_Prop!$A:$A,Prod_Prop!$B:$B,$E564,Prod_Prop!$H:$H,J$1,Prod_Prop!$I:$I,"Exacto"),Prod_Prop!$A:$A,Prod_Prop!$J:$J,"",0,1))</f>
        <v/>
      </c>
      <c r="K564" s="4" t="str">
        <f t="array" ref="K564">IF($E564="","", XLOOKUP(SUMIFS(Prod_Prop!$A:$A,Prod_Prop!$B:$B,$E564,Prod_Prop!$H:$H,K$1,Prod_Prop!$I:$I,"Exacto"),Prod_Prop!$A:$A,Prod_Prop!$J:$J,"",0,1))</f>
        <v/>
      </c>
      <c r="L564" s="4" t="str">
        <f t="array" ref="L564">IF($E564="","", XLOOKUP(SUMIFS(Prod_Prop!$A:$A,Prod_Prop!$B:$B,$E564,Prod_Prop!$H:$H,L$1,Prod_Prop!$I:$I,"Exacto"),Prod_Prop!$A:$A,Prod_Prop!$J:$J,"",0,1))</f>
        <v/>
      </c>
      <c r="M564" s="4" t="str">
        <f t="array" ref="M564">IF($E564="","", XLOOKUP(SUMIFS(Prod_Prop!$A:$A,Prod_Prop!$B:$B,$E564,Prod_Prop!$H:$H,M$1,Prod_Prop!$I:$I,"Exacto"),Prod_Prop!$A:$A,Prod_Prop!$J:$J,"",0,1))</f>
        <v/>
      </c>
      <c r="N564" s="4" t="str">
        <f t="array" ref="N564">IF($E564="","", XLOOKUP(SUMIFS(Prod_Prop!$A:$A,Prod_Prop!$B:$B,$E564,Prod_Prop!$H:$H,N$1,Prod_Prop!$I:$I,"Exacto"),Prod_Prop!$A:$A,Prod_Prop!$J:$J,"",0,1))</f>
        <v/>
      </c>
      <c r="O564" s="4" t="str">
        <f t="array" ref="O564">IF($E564="","", XLOOKUP(SUMIFS(Prod_Prop!$A:$A,Prod_Prop!$B:$B,$E564,Prod_Prop!$H:$H,O$1,Prod_Prop!$I:$I,"Exacto"),Prod_Prop!$A:$A,Prod_Prop!$J:$J,"",0,1))</f>
        <v/>
      </c>
      <c r="P564" s="4" t="str">
        <f t="array" ref="P564">IF($E564="","", XLOOKUP(SUMIFS(Prod_Prop!$A:$A,Prod_Prop!$B:$B,$E564,Prod_Prop!$H:$H,P$1,Prod_Prop!$I:$I,"Exacto"),Prod_Prop!$A:$A,Prod_Prop!$J:$J,"",0,1))</f>
        <v/>
      </c>
      <c r="Q564" s="4" t="str">
        <f t="array" ref="Q564">IF($E564="","", XLOOKUP(SUMIFS(Prod_Prop!$A:$A,Prod_Prop!$B:$B,$E564,Prod_Prop!$H:$H,Q$1,Prod_Prop!$I:$I,"Exacto"),Prod_Prop!$A:$A,Prod_Prop!$J:$J,"",0,1))</f>
        <v/>
      </c>
      <c r="R564" s="4" t="str">
        <f t="array" ref="R564">IF($E564="","", XLOOKUP(SUMIFS(Prod_Prop!$A:$A,Prod_Prop!$B:$B,$E564,Prod_Prop!$H:$H,R$1,Prod_Prop!$I:$I,"Exacto"),Prod_Prop!$A:$A,Prod_Prop!$J:$J,"",0,1))</f>
        <v/>
      </c>
      <c r="S564" s="4" t="str">
        <f t="array" ref="S564">IF($E564="","", XLOOKUP(SUMIFS(Prod_Prop!$A:$A,Prod_Prop!$B:$B,$E564,Prod_Prop!$H:$H,S$1,Prod_Prop!$I:$I,"Exacto"),Prod_Prop!$A:$A,Prod_Prop!$J:$J,"",0,1))</f>
        <v/>
      </c>
      <c r="T564" s="4" t="str">
        <f t="array" ref="T564">IF($E564="","", XLOOKUP(SUMIFS(Prod_Prop!$A:$A,Prod_Prop!$B:$B,$E564,Prod_Prop!$H:$H,T$1,Prod_Prop!$I:$I,"Exacto"),Prod_Prop!$A:$A,Prod_Prop!$J:$J,"",0,1))</f>
        <v/>
      </c>
      <c r="U564" s="4" t="str">
        <f t="array" ref="U564">IF($E564="","", XLOOKUP(SUMIFS(Prod_Prop!$A:$A,Prod_Prop!$B:$B,$E564,Prod_Prop!$H:$H,U$1,Prod_Prop!$I:$I,"Exacto"),Prod_Prop!$A:$A,Prod_Prop!$J:$J,"",0,1))</f>
        <v/>
      </c>
      <c r="V564" s="4" t="str">
        <f t="array" ref="V564">IF($E564="","", XLOOKUP(SUMIFS(Prod_Prop!$A:$A,Prod_Prop!$B:$B,$E564,Prod_Prop!$H:$H,V$1,Prod_Prop!$I:$I,"Exacto"),Prod_Prop!$A:$A,Prod_Prop!$J:$J,"",0,1))</f>
        <v/>
      </c>
      <c r="X564" s="3" t="str">
        <f>IFERROR(__xludf.DUMMYFUNCTION("IF(D564="""","""",IFERROR(TRANSPOSE(FILTER('Validaciones Cotizador'!U:U,'Validaciones Cotizador'!O:O=D564,'Validaciones Cotizador'!T:T=""x"")),""Finalizar""))"),"")</f>
        <v/>
      </c>
    </row>
    <row r="565">
      <c r="A565" s="2" t="str">
        <f t="array" ref="A565">IF(E565="","",XLOOKUP(D565,'Validaciones Cotizador'!C:C,'Validaciones Cotizador'!A:A,"",0,1))</f>
        <v/>
      </c>
      <c r="B565" s="2" t="str">
        <f t="array" ref="B565">IF(F565="","",XLOOKUP(F565,Productos!E:E,Productos!G:G,"",0,1))</f>
        <v/>
      </c>
      <c r="C565" s="2" t="str">
        <f>IF(A565="","",SUMIFS('Validaciones Cotizador'!B:B,'Validaciones Cotizador'!C:C,D565,'Validaciones Cotizador'!A:A,A565))</f>
        <v/>
      </c>
      <c r="D565" s="4" t="str">
        <f>IFERROR(__xludf.DUMMYFUNCTION("IF(OR(F564=""Finalizar"",F564="""",F564=""Selecciona..""),"""",IF(OR(F564=""-"",INDEX(filter(Familias!F:F,Familias!D:D=A564,Familias!E:E=C564),1)=""O""),D564+1,D564))"),"")</f>
        <v/>
      </c>
      <c r="E565" s="2" t="str">
        <f>IF(OR(F565="",F565="Selecciona.."),"",IF(D565="Implemento",SUMIF(Implementos!B:B,F565,Implementos!A:A),SUMIF(Productos!E:E,F565,Productos!A:A)))</f>
        <v/>
      </c>
      <c r="F565" s="2" t="str">
        <f t="shared" si="2"/>
        <v/>
      </c>
      <c r="G565" s="10" t="str">
        <f t="array" ref="G565">IF(OR(F565="",F565="-",F565="Selecciona..",F565="Finalizar"),"",IF(A565="Rodados",XLOOKUP(B565,'Validaciones Cotizador'!I:I,'Validaciones Cotizador'!J:J,0,0,1),1))</f>
        <v/>
      </c>
      <c r="H565" s="11" t="str">
        <f>IF(OR(F565="",F565="Selecciona.."),"",SUMIF(Precio_Productos!K:K,E565,Precio_Productos!J:J)*G565)</f>
        <v/>
      </c>
      <c r="I565" s="4" t="str">
        <f t="array" ref="I565">IF($E565="","", XLOOKUP(SUMIFS(Prod_Prop!$A:$A,Prod_Prop!$B:$B,$E565,Prod_Prop!$H:$H,I$1,Prod_Prop!$I:$I,"Exacto"),Prod_Prop!$A:$A,Prod_Prop!$J:$J,"",0,1))</f>
        <v/>
      </c>
      <c r="J565" s="4" t="str">
        <f t="array" ref="J565">IF($E565="","", XLOOKUP(SUMIFS(Prod_Prop!$A:$A,Prod_Prop!$B:$B,$E565,Prod_Prop!$H:$H,J$1,Prod_Prop!$I:$I,"Exacto"),Prod_Prop!$A:$A,Prod_Prop!$J:$J,"",0,1))</f>
        <v/>
      </c>
      <c r="K565" s="4" t="str">
        <f t="array" ref="K565">IF($E565="","", XLOOKUP(SUMIFS(Prod_Prop!$A:$A,Prod_Prop!$B:$B,$E565,Prod_Prop!$H:$H,K$1,Prod_Prop!$I:$I,"Exacto"),Prod_Prop!$A:$A,Prod_Prop!$J:$J,"",0,1))</f>
        <v/>
      </c>
      <c r="L565" s="4" t="str">
        <f t="array" ref="L565">IF($E565="","", XLOOKUP(SUMIFS(Prod_Prop!$A:$A,Prod_Prop!$B:$B,$E565,Prod_Prop!$H:$H,L$1,Prod_Prop!$I:$I,"Exacto"),Prod_Prop!$A:$A,Prod_Prop!$J:$J,"",0,1))</f>
        <v/>
      </c>
      <c r="M565" s="4" t="str">
        <f t="array" ref="M565">IF($E565="","", XLOOKUP(SUMIFS(Prod_Prop!$A:$A,Prod_Prop!$B:$B,$E565,Prod_Prop!$H:$H,M$1,Prod_Prop!$I:$I,"Exacto"),Prod_Prop!$A:$A,Prod_Prop!$J:$J,"",0,1))</f>
        <v/>
      </c>
      <c r="N565" s="4" t="str">
        <f t="array" ref="N565">IF($E565="","", XLOOKUP(SUMIFS(Prod_Prop!$A:$A,Prod_Prop!$B:$B,$E565,Prod_Prop!$H:$H,N$1,Prod_Prop!$I:$I,"Exacto"),Prod_Prop!$A:$A,Prod_Prop!$J:$J,"",0,1))</f>
        <v/>
      </c>
      <c r="O565" s="4" t="str">
        <f t="array" ref="O565">IF($E565="","", XLOOKUP(SUMIFS(Prod_Prop!$A:$A,Prod_Prop!$B:$B,$E565,Prod_Prop!$H:$H,O$1,Prod_Prop!$I:$I,"Exacto"),Prod_Prop!$A:$A,Prod_Prop!$J:$J,"",0,1))</f>
        <v/>
      </c>
      <c r="P565" s="4" t="str">
        <f t="array" ref="P565">IF($E565="","", XLOOKUP(SUMIFS(Prod_Prop!$A:$A,Prod_Prop!$B:$B,$E565,Prod_Prop!$H:$H,P$1,Prod_Prop!$I:$I,"Exacto"),Prod_Prop!$A:$A,Prod_Prop!$J:$J,"",0,1))</f>
        <v/>
      </c>
      <c r="Q565" s="4" t="str">
        <f t="array" ref="Q565">IF($E565="","", XLOOKUP(SUMIFS(Prod_Prop!$A:$A,Prod_Prop!$B:$B,$E565,Prod_Prop!$H:$H,Q$1,Prod_Prop!$I:$I,"Exacto"),Prod_Prop!$A:$A,Prod_Prop!$J:$J,"",0,1))</f>
        <v/>
      </c>
      <c r="R565" s="4" t="str">
        <f t="array" ref="R565">IF($E565="","", XLOOKUP(SUMIFS(Prod_Prop!$A:$A,Prod_Prop!$B:$B,$E565,Prod_Prop!$H:$H,R$1,Prod_Prop!$I:$I,"Exacto"),Prod_Prop!$A:$A,Prod_Prop!$J:$J,"",0,1))</f>
        <v/>
      </c>
      <c r="S565" s="4" t="str">
        <f t="array" ref="S565">IF($E565="","", XLOOKUP(SUMIFS(Prod_Prop!$A:$A,Prod_Prop!$B:$B,$E565,Prod_Prop!$H:$H,S$1,Prod_Prop!$I:$I,"Exacto"),Prod_Prop!$A:$A,Prod_Prop!$J:$J,"",0,1))</f>
        <v/>
      </c>
      <c r="T565" s="4" t="str">
        <f t="array" ref="T565">IF($E565="","", XLOOKUP(SUMIFS(Prod_Prop!$A:$A,Prod_Prop!$B:$B,$E565,Prod_Prop!$H:$H,T$1,Prod_Prop!$I:$I,"Exacto"),Prod_Prop!$A:$A,Prod_Prop!$J:$J,"",0,1))</f>
        <v/>
      </c>
      <c r="U565" s="4" t="str">
        <f t="array" ref="U565">IF($E565="","", XLOOKUP(SUMIFS(Prod_Prop!$A:$A,Prod_Prop!$B:$B,$E565,Prod_Prop!$H:$H,U$1,Prod_Prop!$I:$I,"Exacto"),Prod_Prop!$A:$A,Prod_Prop!$J:$J,"",0,1))</f>
        <v/>
      </c>
      <c r="V565" s="4" t="str">
        <f t="array" ref="V565">IF($E565="","", XLOOKUP(SUMIFS(Prod_Prop!$A:$A,Prod_Prop!$B:$B,$E565,Prod_Prop!$H:$H,V$1,Prod_Prop!$I:$I,"Exacto"),Prod_Prop!$A:$A,Prod_Prop!$J:$J,"",0,1))</f>
        <v/>
      </c>
      <c r="X565" s="3" t="str">
        <f>IFERROR(__xludf.DUMMYFUNCTION("IF(D565="""","""",IFERROR(TRANSPOSE(FILTER('Validaciones Cotizador'!U:U,'Validaciones Cotizador'!O:O=D565,'Validaciones Cotizador'!T:T=""x"")),""Finalizar""))"),"")</f>
        <v/>
      </c>
    </row>
    <row r="566">
      <c r="A566" s="2" t="str">
        <f t="array" ref="A566">IF(E566="","",XLOOKUP(D566,'Validaciones Cotizador'!C:C,'Validaciones Cotizador'!A:A,"",0,1))</f>
        <v/>
      </c>
      <c r="B566" s="2" t="str">
        <f t="array" ref="B566">IF(F566="","",XLOOKUP(F566,Productos!E:E,Productos!G:G,"",0,1))</f>
        <v/>
      </c>
      <c r="C566" s="2" t="str">
        <f>IF(A566="","",SUMIFS('Validaciones Cotizador'!B:B,'Validaciones Cotizador'!C:C,D566,'Validaciones Cotizador'!A:A,A566))</f>
        <v/>
      </c>
      <c r="D566" s="4" t="str">
        <f>IFERROR(__xludf.DUMMYFUNCTION("IF(OR(F565=""Finalizar"",F565="""",F565=""Selecciona..""),"""",IF(OR(F565=""-"",INDEX(filter(Familias!F:F,Familias!D:D=A565,Familias!E:E=C565),1)=""O""),D565+1,D565))"),"")</f>
        <v/>
      </c>
      <c r="E566" s="2" t="str">
        <f>IF(OR(F566="",F566="Selecciona.."),"",IF(D566="Implemento",SUMIF(Implementos!B:B,F566,Implementos!A:A),SUMIF(Productos!E:E,F566,Productos!A:A)))</f>
        <v/>
      </c>
      <c r="F566" s="2" t="str">
        <f t="shared" si="2"/>
        <v/>
      </c>
      <c r="G566" s="10" t="str">
        <f t="array" ref="G566">IF(OR(F566="",F566="-",F566="Selecciona..",F566="Finalizar"),"",IF(A566="Rodados",XLOOKUP(B566,'Validaciones Cotizador'!I:I,'Validaciones Cotizador'!J:J,0,0,1),1))</f>
        <v/>
      </c>
      <c r="H566" s="11" t="str">
        <f>IF(OR(F566="",F566="Selecciona.."),"",SUMIF(Precio_Productos!K:K,E566,Precio_Productos!J:J)*G566)</f>
        <v/>
      </c>
      <c r="I566" s="4" t="str">
        <f t="array" ref="I566">IF($E566="","", XLOOKUP(SUMIFS(Prod_Prop!$A:$A,Prod_Prop!$B:$B,$E566,Prod_Prop!$H:$H,I$1,Prod_Prop!$I:$I,"Exacto"),Prod_Prop!$A:$A,Prod_Prop!$J:$J,"",0,1))</f>
        <v/>
      </c>
      <c r="J566" s="4" t="str">
        <f t="array" ref="J566">IF($E566="","", XLOOKUP(SUMIFS(Prod_Prop!$A:$A,Prod_Prop!$B:$B,$E566,Prod_Prop!$H:$H,J$1,Prod_Prop!$I:$I,"Exacto"),Prod_Prop!$A:$A,Prod_Prop!$J:$J,"",0,1))</f>
        <v/>
      </c>
      <c r="K566" s="4" t="str">
        <f t="array" ref="K566">IF($E566="","", XLOOKUP(SUMIFS(Prod_Prop!$A:$A,Prod_Prop!$B:$B,$E566,Prod_Prop!$H:$H,K$1,Prod_Prop!$I:$I,"Exacto"),Prod_Prop!$A:$A,Prod_Prop!$J:$J,"",0,1))</f>
        <v/>
      </c>
      <c r="L566" s="4" t="str">
        <f t="array" ref="L566">IF($E566="","", XLOOKUP(SUMIFS(Prod_Prop!$A:$A,Prod_Prop!$B:$B,$E566,Prod_Prop!$H:$H,L$1,Prod_Prop!$I:$I,"Exacto"),Prod_Prop!$A:$A,Prod_Prop!$J:$J,"",0,1))</f>
        <v/>
      </c>
      <c r="M566" s="4" t="str">
        <f t="array" ref="M566">IF($E566="","", XLOOKUP(SUMIFS(Prod_Prop!$A:$A,Prod_Prop!$B:$B,$E566,Prod_Prop!$H:$H,M$1,Prod_Prop!$I:$I,"Exacto"),Prod_Prop!$A:$A,Prod_Prop!$J:$J,"",0,1))</f>
        <v/>
      </c>
      <c r="N566" s="4" t="str">
        <f t="array" ref="N566">IF($E566="","", XLOOKUP(SUMIFS(Prod_Prop!$A:$A,Prod_Prop!$B:$B,$E566,Prod_Prop!$H:$H,N$1,Prod_Prop!$I:$I,"Exacto"),Prod_Prop!$A:$A,Prod_Prop!$J:$J,"",0,1))</f>
        <v/>
      </c>
      <c r="O566" s="4" t="str">
        <f t="array" ref="O566">IF($E566="","", XLOOKUP(SUMIFS(Prod_Prop!$A:$A,Prod_Prop!$B:$B,$E566,Prod_Prop!$H:$H,O$1,Prod_Prop!$I:$I,"Exacto"),Prod_Prop!$A:$A,Prod_Prop!$J:$J,"",0,1))</f>
        <v/>
      </c>
      <c r="P566" s="4" t="str">
        <f t="array" ref="P566">IF($E566="","", XLOOKUP(SUMIFS(Prod_Prop!$A:$A,Prod_Prop!$B:$B,$E566,Prod_Prop!$H:$H,P$1,Prod_Prop!$I:$I,"Exacto"),Prod_Prop!$A:$A,Prod_Prop!$J:$J,"",0,1))</f>
        <v/>
      </c>
      <c r="Q566" s="4" t="str">
        <f t="array" ref="Q566">IF($E566="","", XLOOKUP(SUMIFS(Prod_Prop!$A:$A,Prod_Prop!$B:$B,$E566,Prod_Prop!$H:$H,Q$1,Prod_Prop!$I:$I,"Exacto"),Prod_Prop!$A:$A,Prod_Prop!$J:$J,"",0,1))</f>
        <v/>
      </c>
      <c r="R566" s="4" t="str">
        <f t="array" ref="R566">IF($E566="","", XLOOKUP(SUMIFS(Prod_Prop!$A:$A,Prod_Prop!$B:$B,$E566,Prod_Prop!$H:$H,R$1,Prod_Prop!$I:$I,"Exacto"),Prod_Prop!$A:$A,Prod_Prop!$J:$J,"",0,1))</f>
        <v/>
      </c>
      <c r="S566" s="4" t="str">
        <f t="array" ref="S566">IF($E566="","", XLOOKUP(SUMIFS(Prod_Prop!$A:$A,Prod_Prop!$B:$B,$E566,Prod_Prop!$H:$H,S$1,Prod_Prop!$I:$I,"Exacto"),Prod_Prop!$A:$A,Prod_Prop!$J:$J,"",0,1))</f>
        <v/>
      </c>
      <c r="T566" s="4" t="str">
        <f t="array" ref="T566">IF($E566="","", XLOOKUP(SUMIFS(Prod_Prop!$A:$A,Prod_Prop!$B:$B,$E566,Prod_Prop!$H:$H,T$1,Prod_Prop!$I:$I,"Exacto"),Prod_Prop!$A:$A,Prod_Prop!$J:$J,"",0,1))</f>
        <v/>
      </c>
      <c r="U566" s="4" t="str">
        <f t="array" ref="U566">IF($E566="","", XLOOKUP(SUMIFS(Prod_Prop!$A:$A,Prod_Prop!$B:$B,$E566,Prod_Prop!$H:$H,U$1,Prod_Prop!$I:$I,"Exacto"),Prod_Prop!$A:$A,Prod_Prop!$J:$J,"",0,1))</f>
        <v/>
      </c>
      <c r="V566" s="4" t="str">
        <f t="array" ref="V566">IF($E566="","", XLOOKUP(SUMIFS(Prod_Prop!$A:$A,Prod_Prop!$B:$B,$E566,Prod_Prop!$H:$H,V$1,Prod_Prop!$I:$I,"Exacto"),Prod_Prop!$A:$A,Prod_Prop!$J:$J,"",0,1))</f>
        <v/>
      </c>
      <c r="X566" s="3" t="str">
        <f>IFERROR(__xludf.DUMMYFUNCTION("IF(D566="""","""",IFERROR(TRANSPOSE(FILTER('Validaciones Cotizador'!U:U,'Validaciones Cotizador'!O:O=D566,'Validaciones Cotizador'!T:T=""x"")),""Finalizar""))"),"")</f>
        <v/>
      </c>
    </row>
    <row r="567">
      <c r="A567" s="2" t="str">
        <f t="array" ref="A567">IF(E567="","",XLOOKUP(D567,'Validaciones Cotizador'!C:C,'Validaciones Cotizador'!A:A,"",0,1))</f>
        <v/>
      </c>
      <c r="B567" s="2" t="str">
        <f t="array" ref="B567">IF(F567="","",XLOOKUP(F567,Productos!E:E,Productos!G:G,"",0,1))</f>
        <v/>
      </c>
      <c r="C567" s="2" t="str">
        <f>IF(A567="","",SUMIFS('Validaciones Cotizador'!B:B,'Validaciones Cotizador'!C:C,D567,'Validaciones Cotizador'!A:A,A567))</f>
        <v/>
      </c>
      <c r="D567" s="4" t="str">
        <f>IFERROR(__xludf.DUMMYFUNCTION("IF(OR(F566=""Finalizar"",F566="""",F566=""Selecciona..""),"""",IF(OR(F566=""-"",INDEX(filter(Familias!F:F,Familias!D:D=A566,Familias!E:E=C566),1)=""O""),D566+1,D566))"),"")</f>
        <v/>
      </c>
      <c r="E567" s="2" t="str">
        <f>IF(OR(F567="",F567="Selecciona.."),"",IF(D567="Implemento",SUMIF(Implementos!B:B,F567,Implementos!A:A),SUMIF(Productos!E:E,F567,Productos!A:A)))</f>
        <v/>
      </c>
      <c r="F567" s="2" t="str">
        <f t="shared" si="2"/>
        <v/>
      </c>
      <c r="G567" s="10" t="str">
        <f t="array" ref="G567">IF(OR(F567="",F567="-",F567="Selecciona..",F567="Finalizar"),"",IF(A567="Rodados",XLOOKUP(B567,'Validaciones Cotizador'!I:I,'Validaciones Cotizador'!J:J,0,0,1),1))</f>
        <v/>
      </c>
      <c r="H567" s="11" t="str">
        <f>IF(OR(F567="",F567="Selecciona.."),"",SUMIF(Precio_Productos!K:K,E567,Precio_Productos!J:J)*G567)</f>
        <v/>
      </c>
      <c r="I567" s="4" t="str">
        <f t="array" ref="I567">IF($E567="","", XLOOKUP(SUMIFS(Prod_Prop!$A:$A,Prod_Prop!$B:$B,$E567,Prod_Prop!$H:$H,I$1,Prod_Prop!$I:$I,"Exacto"),Prod_Prop!$A:$A,Prod_Prop!$J:$J,"",0,1))</f>
        <v/>
      </c>
      <c r="J567" s="4" t="str">
        <f t="array" ref="J567">IF($E567="","", XLOOKUP(SUMIFS(Prod_Prop!$A:$A,Prod_Prop!$B:$B,$E567,Prod_Prop!$H:$H,J$1,Prod_Prop!$I:$I,"Exacto"),Prod_Prop!$A:$A,Prod_Prop!$J:$J,"",0,1))</f>
        <v/>
      </c>
      <c r="K567" s="4" t="str">
        <f t="array" ref="K567">IF($E567="","", XLOOKUP(SUMIFS(Prod_Prop!$A:$A,Prod_Prop!$B:$B,$E567,Prod_Prop!$H:$H,K$1,Prod_Prop!$I:$I,"Exacto"),Prod_Prop!$A:$A,Prod_Prop!$J:$J,"",0,1))</f>
        <v/>
      </c>
      <c r="L567" s="4" t="str">
        <f t="array" ref="L567">IF($E567="","", XLOOKUP(SUMIFS(Prod_Prop!$A:$A,Prod_Prop!$B:$B,$E567,Prod_Prop!$H:$H,L$1,Prod_Prop!$I:$I,"Exacto"),Prod_Prop!$A:$A,Prod_Prop!$J:$J,"",0,1))</f>
        <v/>
      </c>
      <c r="M567" s="4" t="str">
        <f t="array" ref="M567">IF($E567="","", XLOOKUP(SUMIFS(Prod_Prop!$A:$A,Prod_Prop!$B:$B,$E567,Prod_Prop!$H:$H,M$1,Prod_Prop!$I:$I,"Exacto"),Prod_Prop!$A:$A,Prod_Prop!$J:$J,"",0,1))</f>
        <v/>
      </c>
      <c r="N567" s="4" t="str">
        <f t="array" ref="N567">IF($E567="","", XLOOKUP(SUMIFS(Prod_Prop!$A:$A,Prod_Prop!$B:$B,$E567,Prod_Prop!$H:$H,N$1,Prod_Prop!$I:$I,"Exacto"),Prod_Prop!$A:$A,Prod_Prop!$J:$J,"",0,1))</f>
        <v/>
      </c>
      <c r="O567" s="4" t="str">
        <f t="array" ref="O567">IF($E567="","", XLOOKUP(SUMIFS(Prod_Prop!$A:$A,Prod_Prop!$B:$B,$E567,Prod_Prop!$H:$H,O$1,Prod_Prop!$I:$I,"Exacto"),Prod_Prop!$A:$A,Prod_Prop!$J:$J,"",0,1))</f>
        <v/>
      </c>
      <c r="P567" s="4" t="str">
        <f t="array" ref="P567">IF($E567="","", XLOOKUP(SUMIFS(Prod_Prop!$A:$A,Prod_Prop!$B:$B,$E567,Prod_Prop!$H:$H,P$1,Prod_Prop!$I:$I,"Exacto"),Prod_Prop!$A:$A,Prod_Prop!$J:$J,"",0,1))</f>
        <v/>
      </c>
      <c r="Q567" s="4" t="str">
        <f t="array" ref="Q567">IF($E567="","", XLOOKUP(SUMIFS(Prod_Prop!$A:$A,Prod_Prop!$B:$B,$E567,Prod_Prop!$H:$H,Q$1,Prod_Prop!$I:$I,"Exacto"),Prod_Prop!$A:$A,Prod_Prop!$J:$J,"",0,1))</f>
        <v/>
      </c>
      <c r="R567" s="4" t="str">
        <f t="array" ref="R567">IF($E567="","", XLOOKUP(SUMIFS(Prod_Prop!$A:$A,Prod_Prop!$B:$B,$E567,Prod_Prop!$H:$H,R$1,Prod_Prop!$I:$I,"Exacto"),Prod_Prop!$A:$A,Prod_Prop!$J:$J,"",0,1))</f>
        <v/>
      </c>
      <c r="S567" s="4" t="str">
        <f t="array" ref="S567">IF($E567="","", XLOOKUP(SUMIFS(Prod_Prop!$A:$A,Prod_Prop!$B:$B,$E567,Prod_Prop!$H:$H,S$1,Prod_Prop!$I:$I,"Exacto"),Prod_Prop!$A:$A,Prod_Prop!$J:$J,"",0,1))</f>
        <v/>
      </c>
      <c r="T567" s="4" t="str">
        <f t="array" ref="T567">IF($E567="","", XLOOKUP(SUMIFS(Prod_Prop!$A:$A,Prod_Prop!$B:$B,$E567,Prod_Prop!$H:$H,T$1,Prod_Prop!$I:$I,"Exacto"),Prod_Prop!$A:$A,Prod_Prop!$J:$J,"",0,1))</f>
        <v/>
      </c>
      <c r="U567" s="4" t="str">
        <f t="array" ref="U567">IF($E567="","", XLOOKUP(SUMIFS(Prod_Prop!$A:$A,Prod_Prop!$B:$B,$E567,Prod_Prop!$H:$H,U$1,Prod_Prop!$I:$I,"Exacto"),Prod_Prop!$A:$A,Prod_Prop!$J:$J,"",0,1))</f>
        <v/>
      </c>
      <c r="V567" s="4" t="str">
        <f t="array" ref="V567">IF($E567="","", XLOOKUP(SUMIFS(Prod_Prop!$A:$A,Prod_Prop!$B:$B,$E567,Prod_Prop!$H:$H,V$1,Prod_Prop!$I:$I,"Exacto"),Prod_Prop!$A:$A,Prod_Prop!$J:$J,"",0,1))</f>
        <v/>
      </c>
      <c r="X567" s="3" t="str">
        <f>IFERROR(__xludf.DUMMYFUNCTION("IF(D567="""","""",IFERROR(TRANSPOSE(FILTER('Validaciones Cotizador'!U:U,'Validaciones Cotizador'!O:O=D567,'Validaciones Cotizador'!T:T=""x"")),""Finalizar""))"),"")</f>
        <v/>
      </c>
    </row>
    <row r="568">
      <c r="A568" s="2" t="str">
        <f t="array" ref="A568">IF(E568="","",XLOOKUP(D568,'Validaciones Cotizador'!C:C,'Validaciones Cotizador'!A:A,"",0,1))</f>
        <v/>
      </c>
      <c r="B568" s="2" t="str">
        <f t="array" ref="B568">IF(F568="","",XLOOKUP(F568,Productos!E:E,Productos!G:G,"",0,1))</f>
        <v/>
      </c>
      <c r="C568" s="2" t="str">
        <f>IF(A568="","",SUMIFS('Validaciones Cotizador'!B:B,'Validaciones Cotizador'!C:C,D568,'Validaciones Cotizador'!A:A,A568))</f>
        <v/>
      </c>
      <c r="D568" s="4" t="str">
        <f>IFERROR(__xludf.DUMMYFUNCTION("IF(OR(F567=""Finalizar"",F567="""",F567=""Selecciona..""),"""",IF(OR(F567=""-"",INDEX(filter(Familias!F:F,Familias!D:D=A567,Familias!E:E=C567),1)=""O""),D567+1,D567))"),"")</f>
        <v/>
      </c>
      <c r="E568" s="2" t="str">
        <f>IF(OR(F568="",F568="Selecciona.."),"",IF(D568="Implemento",SUMIF(Implementos!B:B,F568,Implementos!A:A),SUMIF(Productos!E:E,F568,Productos!A:A)))</f>
        <v/>
      </c>
      <c r="F568" s="2" t="str">
        <f t="shared" si="2"/>
        <v/>
      </c>
      <c r="G568" s="10" t="str">
        <f t="array" ref="G568">IF(OR(F568="",F568="-",F568="Selecciona..",F568="Finalizar"),"",IF(A568="Rodados",XLOOKUP(B568,'Validaciones Cotizador'!I:I,'Validaciones Cotizador'!J:J,0,0,1),1))</f>
        <v/>
      </c>
      <c r="H568" s="11" t="str">
        <f>IF(OR(F568="",F568="Selecciona.."),"",SUMIF(Precio_Productos!K:K,E568,Precio_Productos!J:J)*G568)</f>
        <v/>
      </c>
      <c r="I568" s="4" t="str">
        <f t="array" ref="I568">IF($E568="","", XLOOKUP(SUMIFS(Prod_Prop!$A:$A,Prod_Prop!$B:$B,$E568,Prod_Prop!$H:$H,I$1,Prod_Prop!$I:$I,"Exacto"),Prod_Prop!$A:$A,Prod_Prop!$J:$J,"",0,1))</f>
        <v/>
      </c>
      <c r="J568" s="4" t="str">
        <f t="array" ref="J568">IF($E568="","", XLOOKUP(SUMIFS(Prod_Prop!$A:$A,Prod_Prop!$B:$B,$E568,Prod_Prop!$H:$H,J$1,Prod_Prop!$I:$I,"Exacto"),Prod_Prop!$A:$A,Prod_Prop!$J:$J,"",0,1))</f>
        <v/>
      </c>
      <c r="K568" s="4" t="str">
        <f t="array" ref="K568">IF($E568="","", XLOOKUP(SUMIFS(Prod_Prop!$A:$A,Prod_Prop!$B:$B,$E568,Prod_Prop!$H:$H,K$1,Prod_Prop!$I:$I,"Exacto"),Prod_Prop!$A:$A,Prod_Prop!$J:$J,"",0,1))</f>
        <v/>
      </c>
      <c r="L568" s="4" t="str">
        <f t="array" ref="L568">IF($E568="","", XLOOKUP(SUMIFS(Prod_Prop!$A:$A,Prod_Prop!$B:$B,$E568,Prod_Prop!$H:$H,L$1,Prod_Prop!$I:$I,"Exacto"),Prod_Prop!$A:$A,Prod_Prop!$J:$J,"",0,1))</f>
        <v/>
      </c>
      <c r="M568" s="4" t="str">
        <f t="array" ref="M568">IF($E568="","", XLOOKUP(SUMIFS(Prod_Prop!$A:$A,Prod_Prop!$B:$B,$E568,Prod_Prop!$H:$H,M$1,Prod_Prop!$I:$I,"Exacto"),Prod_Prop!$A:$A,Prod_Prop!$J:$J,"",0,1))</f>
        <v/>
      </c>
      <c r="N568" s="4" t="str">
        <f t="array" ref="N568">IF($E568="","", XLOOKUP(SUMIFS(Prod_Prop!$A:$A,Prod_Prop!$B:$B,$E568,Prod_Prop!$H:$H,N$1,Prod_Prop!$I:$I,"Exacto"),Prod_Prop!$A:$A,Prod_Prop!$J:$J,"",0,1))</f>
        <v/>
      </c>
      <c r="O568" s="4" t="str">
        <f t="array" ref="O568">IF($E568="","", XLOOKUP(SUMIFS(Prod_Prop!$A:$A,Prod_Prop!$B:$B,$E568,Prod_Prop!$H:$H,O$1,Prod_Prop!$I:$I,"Exacto"),Prod_Prop!$A:$A,Prod_Prop!$J:$J,"",0,1))</f>
        <v/>
      </c>
      <c r="P568" s="4" t="str">
        <f t="array" ref="P568">IF($E568="","", XLOOKUP(SUMIFS(Prod_Prop!$A:$A,Prod_Prop!$B:$B,$E568,Prod_Prop!$H:$H,P$1,Prod_Prop!$I:$I,"Exacto"),Prod_Prop!$A:$A,Prod_Prop!$J:$J,"",0,1))</f>
        <v/>
      </c>
      <c r="Q568" s="4" t="str">
        <f t="array" ref="Q568">IF($E568="","", XLOOKUP(SUMIFS(Prod_Prop!$A:$A,Prod_Prop!$B:$B,$E568,Prod_Prop!$H:$H,Q$1,Prod_Prop!$I:$I,"Exacto"),Prod_Prop!$A:$A,Prod_Prop!$J:$J,"",0,1))</f>
        <v/>
      </c>
      <c r="R568" s="4" t="str">
        <f t="array" ref="R568">IF($E568="","", XLOOKUP(SUMIFS(Prod_Prop!$A:$A,Prod_Prop!$B:$B,$E568,Prod_Prop!$H:$H,R$1,Prod_Prop!$I:$I,"Exacto"),Prod_Prop!$A:$A,Prod_Prop!$J:$J,"",0,1))</f>
        <v/>
      </c>
      <c r="S568" s="4" t="str">
        <f t="array" ref="S568">IF($E568="","", XLOOKUP(SUMIFS(Prod_Prop!$A:$A,Prod_Prop!$B:$B,$E568,Prod_Prop!$H:$H,S$1,Prod_Prop!$I:$I,"Exacto"),Prod_Prop!$A:$A,Prod_Prop!$J:$J,"",0,1))</f>
        <v/>
      </c>
      <c r="T568" s="4" t="str">
        <f t="array" ref="T568">IF($E568="","", XLOOKUP(SUMIFS(Prod_Prop!$A:$A,Prod_Prop!$B:$B,$E568,Prod_Prop!$H:$H,T$1,Prod_Prop!$I:$I,"Exacto"),Prod_Prop!$A:$A,Prod_Prop!$J:$J,"",0,1))</f>
        <v/>
      </c>
      <c r="U568" s="4" t="str">
        <f t="array" ref="U568">IF($E568="","", XLOOKUP(SUMIFS(Prod_Prop!$A:$A,Prod_Prop!$B:$B,$E568,Prod_Prop!$H:$H,U$1,Prod_Prop!$I:$I,"Exacto"),Prod_Prop!$A:$A,Prod_Prop!$J:$J,"",0,1))</f>
        <v/>
      </c>
      <c r="V568" s="4" t="str">
        <f t="array" ref="V568">IF($E568="","", XLOOKUP(SUMIFS(Prod_Prop!$A:$A,Prod_Prop!$B:$B,$E568,Prod_Prop!$H:$H,V$1,Prod_Prop!$I:$I,"Exacto"),Prod_Prop!$A:$A,Prod_Prop!$J:$J,"",0,1))</f>
        <v/>
      </c>
      <c r="X568" s="3" t="str">
        <f>IFERROR(__xludf.DUMMYFUNCTION("IF(D568="""","""",IFERROR(TRANSPOSE(FILTER('Validaciones Cotizador'!U:U,'Validaciones Cotizador'!O:O=D568,'Validaciones Cotizador'!T:T=""x"")),""Finalizar""))"),"")</f>
        <v/>
      </c>
    </row>
    <row r="569">
      <c r="A569" s="2" t="str">
        <f t="array" ref="A569">IF(E569="","",XLOOKUP(D569,'Validaciones Cotizador'!C:C,'Validaciones Cotizador'!A:A,"",0,1))</f>
        <v/>
      </c>
      <c r="B569" s="2" t="str">
        <f t="array" ref="B569">IF(F569="","",XLOOKUP(F569,Productos!E:E,Productos!G:G,"",0,1))</f>
        <v/>
      </c>
      <c r="C569" s="2" t="str">
        <f>IF(A569="","",SUMIFS('Validaciones Cotizador'!B:B,'Validaciones Cotizador'!C:C,D569,'Validaciones Cotizador'!A:A,A569))</f>
        <v/>
      </c>
      <c r="D569" s="4" t="str">
        <f>IFERROR(__xludf.DUMMYFUNCTION("IF(OR(F568=""Finalizar"",F568="""",F568=""Selecciona..""),"""",IF(OR(F568=""-"",INDEX(filter(Familias!F:F,Familias!D:D=A568,Familias!E:E=C568),1)=""O""),D568+1,D568))"),"")</f>
        <v/>
      </c>
      <c r="E569" s="2" t="str">
        <f>IF(OR(F569="",F569="Selecciona.."),"",IF(D569="Implemento",SUMIF(Implementos!B:B,F569,Implementos!A:A),SUMIF(Productos!E:E,F569,Productos!A:A)))</f>
        <v/>
      </c>
      <c r="F569" s="2" t="str">
        <f t="shared" si="2"/>
        <v/>
      </c>
      <c r="G569" s="10" t="str">
        <f t="array" ref="G569">IF(OR(F569="",F569="-",F569="Selecciona..",F569="Finalizar"),"",IF(A569="Rodados",XLOOKUP(B569,'Validaciones Cotizador'!I:I,'Validaciones Cotizador'!J:J,0,0,1),1))</f>
        <v/>
      </c>
      <c r="H569" s="11" t="str">
        <f>IF(OR(F569="",F569="Selecciona.."),"",SUMIF(Precio_Productos!K:K,E569,Precio_Productos!J:J)*G569)</f>
        <v/>
      </c>
      <c r="I569" s="4" t="str">
        <f t="array" ref="I569">IF($E569="","", XLOOKUP(SUMIFS(Prod_Prop!$A:$A,Prod_Prop!$B:$B,$E569,Prod_Prop!$H:$H,I$1,Prod_Prop!$I:$I,"Exacto"),Prod_Prop!$A:$A,Prod_Prop!$J:$J,"",0,1))</f>
        <v/>
      </c>
      <c r="J569" s="4" t="str">
        <f t="array" ref="J569">IF($E569="","", XLOOKUP(SUMIFS(Prod_Prop!$A:$A,Prod_Prop!$B:$B,$E569,Prod_Prop!$H:$H,J$1,Prod_Prop!$I:$I,"Exacto"),Prod_Prop!$A:$A,Prod_Prop!$J:$J,"",0,1))</f>
        <v/>
      </c>
      <c r="K569" s="4" t="str">
        <f t="array" ref="K569">IF($E569="","", XLOOKUP(SUMIFS(Prod_Prop!$A:$A,Prod_Prop!$B:$B,$E569,Prod_Prop!$H:$H,K$1,Prod_Prop!$I:$I,"Exacto"),Prod_Prop!$A:$A,Prod_Prop!$J:$J,"",0,1))</f>
        <v/>
      </c>
      <c r="L569" s="4" t="str">
        <f t="array" ref="L569">IF($E569="","", XLOOKUP(SUMIFS(Prod_Prop!$A:$A,Prod_Prop!$B:$B,$E569,Prod_Prop!$H:$H,L$1,Prod_Prop!$I:$I,"Exacto"),Prod_Prop!$A:$A,Prod_Prop!$J:$J,"",0,1))</f>
        <v/>
      </c>
      <c r="M569" s="4" t="str">
        <f t="array" ref="M569">IF($E569="","", XLOOKUP(SUMIFS(Prod_Prop!$A:$A,Prod_Prop!$B:$B,$E569,Prod_Prop!$H:$H,M$1,Prod_Prop!$I:$I,"Exacto"),Prod_Prop!$A:$A,Prod_Prop!$J:$J,"",0,1))</f>
        <v/>
      </c>
      <c r="N569" s="4" t="str">
        <f t="array" ref="N569">IF($E569="","", XLOOKUP(SUMIFS(Prod_Prop!$A:$A,Prod_Prop!$B:$B,$E569,Prod_Prop!$H:$H,N$1,Prod_Prop!$I:$I,"Exacto"),Prod_Prop!$A:$A,Prod_Prop!$J:$J,"",0,1))</f>
        <v/>
      </c>
      <c r="O569" s="4" t="str">
        <f t="array" ref="O569">IF($E569="","", XLOOKUP(SUMIFS(Prod_Prop!$A:$A,Prod_Prop!$B:$B,$E569,Prod_Prop!$H:$H,O$1,Prod_Prop!$I:$I,"Exacto"),Prod_Prop!$A:$A,Prod_Prop!$J:$J,"",0,1))</f>
        <v/>
      </c>
      <c r="P569" s="4" t="str">
        <f t="array" ref="P569">IF($E569="","", XLOOKUP(SUMIFS(Prod_Prop!$A:$A,Prod_Prop!$B:$B,$E569,Prod_Prop!$H:$H,P$1,Prod_Prop!$I:$I,"Exacto"),Prod_Prop!$A:$A,Prod_Prop!$J:$J,"",0,1))</f>
        <v/>
      </c>
      <c r="Q569" s="4" t="str">
        <f t="array" ref="Q569">IF($E569="","", XLOOKUP(SUMIFS(Prod_Prop!$A:$A,Prod_Prop!$B:$B,$E569,Prod_Prop!$H:$H,Q$1,Prod_Prop!$I:$I,"Exacto"),Prod_Prop!$A:$A,Prod_Prop!$J:$J,"",0,1))</f>
        <v/>
      </c>
      <c r="R569" s="4" t="str">
        <f t="array" ref="R569">IF($E569="","", XLOOKUP(SUMIFS(Prod_Prop!$A:$A,Prod_Prop!$B:$B,$E569,Prod_Prop!$H:$H,R$1,Prod_Prop!$I:$I,"Exacto"),Prod_Prop!$A:$A,Prod_Prop!$J:$J,"",0,1))</f>
        <v/>
      </c>
      <c r="S569" s="4" t="str">
        <f t="array" ref="S569">IF($E569="","", XLOOKUP(SUMIFS(Prod_Prop!$A:$A,Prod_Prop!$B:$B,$E569,Prod_Prop!$H:$H,S$1,Prod_Prop!$I:$I,"Exacto"),Prod_Prop!$A:$A,Prod_Prop!$J:$J,"",0,1))</f>
        <v/>
      </c>
      <c r="T569" s="4" t="str">
        <f t="array" ref="T569">IF($E569="","", XLOOKUP(SUMIFS(Prod_Prop!$A:$A,Prod_Prop!$B:$B,$E569,Prod_Prop!$H:$H,T$1,Prod_Prop!$I:$I,"Exacto"),Prod_Prop!$A:$A,Prod_Prop!$J:$J,"",0,1))</f>
        <v/>
      </c>
      <c r="U569" s="4" t="str">
        <f t="array" ref="U569">IF($E569="","", XLOOKUP(SUMIFS(Prod_Prop!$A:$A,Prod_Prop!$B:$B,$E569,Prod_Prop!$H:$H,U$1,Prod_Prop!$I:$I,"Exacto"),Prod_Prop!$A:$A,Prod_Prop!$J:$J,"",0,1))</f>
        <v/>
      </c>
      <c r="V569" s="4" t="str">
        <f t="array" ref="V569">IF($E569="","", XLOOKUP(SUMIFS(Prod_Prop!$A:$A,Prod_Prop!$B:$B,$E569,Prod_Prop!$H:$H,V$1,Prod_Prop!$I:$I,"Exacto"),Prod_Prop!$A:$A,Prod_Prop!$J:$J,"",0,1))</f>
        <v/>
      </c>
      <c r="X569" s="3" t="str">
        <f>IFERROR(__xludf.DUMMYFUNCTION("IF(D569="""","""",IFERROR(TRANSPOSE(FILTER('Validaciones Cotizador'!U:U,'Validaciones Cotizador'!O:O=D569,'Validaciones Cotizador'!T:T=""x"")),""Finalizar""))"),"")</f>
        <v/>
      </c>
    </row>
    <row r="570">
      <c r="A570" s="2" t="str">
        <f t="array" ref="A570">IF(E570="","",XLOOKUP(D570,'Validaciones Cotizador'!C:C,'Validaciones Cotizador'!A:A,"",0,1))</f>
        <v/>
      </c>
      <c r="B570" s="2" t="str">
        <f t="array" ref="B570">IF(F570="","",XLOOKUP(F570,Productos!E:E,Productos!G:G,"",0,1))</f>
        <v/>
      </c>
      <c r="C570" s="2" t="str">
        <f>IF(A570="","",SUMIFS('Validaciones Cotizador'!B:B,'Validaciones Cotizador'!C:C,D570,'Validaciones Cotizador'!A:A,A570))</f>
        <v/>
      </c>
      <c r="D570" s="4" t="str">
        <f>IFERROR(__xludf.DUMMYFUNCTION("IF(OR(F569=""Finalizar"",F569="""",F569=""Selecciona..""),"""",IF(OR(F569=""-"",INDEX(filter(Familias!F:F,Familias!D:D=A569,Familias!E:E=C569),1)=""O""),D569+1,D569))"),"")</f>
        <v/>
      </c>
      <c r="E570" s="2" t="str">
        <f>IF(OR(F570="",F570="Selecciona.."),"",IF(D570="Implemento",SUMIF(Implementos!B:B,F570,Implementos!A:A),SUMIF(Productos!E:E,F570,Productos!A:A)))</f>
        <v/>
      </c>
      <c r="F570" s="2" t="str">
        <f t="shared" si="2"/>
        <v/>
      </c>
      <c r="G570" s="10" t="str">
        <f t="array" ref="G570">IF(OR(F570="",F570="-",F570="Selecciona..",F570="Finalizar"),"",IF(A570="Rodados",XLOOKUP(B570,'Validaciones Cotizador'!I:I,'Validaciones Cotizador'!J:J,0,0,1),1))</f>
        <v/>
      </c>
      <c r="H570" s="11" t="str">
        <f>IF(OR(F570="",F570="Selecciona.."),"",SUMIF(Precio_Productos!K:K,E570,Precio_Productos!J:J)*G570)</f>
        <v/>
      </c>
      <c r="I570" s="4" t="str">
        <f t="array" ref="I570">IF($E570="","", XLOOKUP(SUMIFS(Prod_Prop!$A:$A,Prod_Prop!$B:$B,$E570,Prod_Prop!$H:$H,I$1,Prod_Prop!$I:$I,"Exacto"),Prod_Prop!$A:$A,Prod_Prop!$J:$J,"",0,1))</f>
        <v/>
      </c>
      <c r="J570" s="4" t="str">
        <f t="array" ref="J570">IF($E570="","", XLOOKUP(SUMIFS(Prod_Prop!$A:$A,Prod_Prop!$B:$B,$E570,Prod_Prop!$H:$H,J$1,Prod_Prop!$I:$I,"Exacto"),Prod_Prop!$A:$A,Prod_Prop!$J:$J,"",0,1))</f>
        <v/>
      </c>
      <c r="K570" s="4" t="str">
        <f t="array" ref="K570">IF($E570="","", XLOOKUP(SUMIFS(Prod_Prop!$A:$A,Prod_Prop!$B:$B,$E570,Prod_Prop!$H:$H,K$1,Prod_Prop!$I:$I,"Exacto"),Prod_Prop!$A:$A,Prod_Prop!$J:$J,"",0,1))</f>
        <v/>
      </c>
      <c r="L570" s="4" t="str">
        <f t="array" ref="L570">IF($E570="","", XLOOKUP(SUMIFS(Prod_Prop!$A:$A,Prod_Prop!$B:$B,$E570,Prod_Prop!$H:$H,L$1,Prod_Prop!$I:$I,"Exacto"),Prod_Prop!$A:$A,Prod_Prop!$J:$J,"",0,1))</f>
        <v/>
      </c>
      <c r="M570" s="4" t="str">
        <f t="array" ref="M570">IF($E570="","", XLOOKUP(SUMIFS(Prod_Prop!$A:$A,Prod_Prop!$B:$B,$E570,Prod_Prop!$H:$H,M$1,Prod_Prop!$I:$I,"Exacto"),Prod_Prop!$A:$A,Prod_Prop!$J:$J,"",0,1))</f>
        <v/>
      </c>
      <c r="N570" s="4" t="str">
        <f t="array" ref="N570">IF($E570="","", XLOOKUP(SUMIFS(Prod_Prop!$A:$A,Prod_Prop!$B:$B,$E570,Prod_Prop!$H:$H,N$1,Prod_Prop!$I:$I,"Exacto"),Prod_Prop!$A:$A,Prod_Prop!$J:$J,"",0,1))</f>
        <v/>
      </c>
      <c r="O570" s="4" t="str">
        <f t="array" ref="O570">IF($E570="","", XLOOKUP(SUMIFS(Prod_Prop!$A:$A,Prod_Prop!$B:$B,$E570,Prod_Prop!$H:$H,O$1,Prod_Prop!$I:$I,"Exacto"),Prod_Prop!$A:$A,Prod_Prop!$J:$J,"",0,1))</f>
        <v/>
      </c>
      <c r="P570" s="4" t="str">
        <f t="array" ref="P570">IF($E570="","", XLOOKUP(SUMIFS(Prod_Prop!$A:$A,Prod_Prop!$B:$B,$E570,Prod_Prop!$H:$H,P$1,Prod_Prop!$I:$I,"Exacto"),Prod_Prop!$A:$A,Prod_Prop!$J:$J,"",0,1))</f>
        <v/>
      </c>
      <c r="Q570" s="4" t="str">
        <f t="array" ref="Q570">IF($E570="","", XLOOKUP(SUMIFS(Prod_Prop!$A:$A,Prod_Prop!$B:$B,$E570,Prod_Prop!$H:$H,Q$1,Prod_Prop!$I:$I,"Exacto"),Prod_Prop!$A:$A,Prod_Prop!$J:$J,"",0,1))</f>
        <v/>
      </c>
      <c r="R570" s="4" t="str">
        <f t="array" ref="R570">IF($E570="","", XLOOKUP(SUMIFS(Prod_Prop!$A:$A,Prod_Prop!$B:$B,$E570,Prod_Prop!$H:$H,R$1,Prod_Prop!$I:$I,"Exacto"),Prod_Prop!$A:$A,Prod_Prop!$J:$J,"",0,1))</f>
        <v/>
      </c>
      <c r="S570" s="4" t="str">
        <f t="array" ref="S570">IF($E570="","", XLOOKUP(SUMIFS(Prod_Prop!$A:$A,Prod_Prop!$B:$B,$E570,Prod_Prop!$H:$H,S$1,Prod_Prop!$I:$I,"Exacto"),Prod_Prop!$A:$A,Prod_Prop!$J:$J,"",0,1))</f>
        <v/>
      </c>
      <c r="T570" s="4" t="str">
        <f t="array" ref="T570">IF($E570="","", XLOOKUP(SUMIFS(Prod_Prop!$A:$A,Prod_Prop!$B:$B,$E570,Prod_Prop!$H:$H,T$1,Prod_Prop!$I:$I,"Exacto"),Prod_Prop!$A:$A,Prod_Prop!$J:$J,"",0,1))</f>
        <v/>
      </c>
      <c r="U570" s="4" t="str">
        <f t="array" ref="U570">IF($E570="","", XLOOKUP(SUMIFS(Prod_Prop!$A:$A,Prod_Prop!$B:$B,$E570,Prod_Prop!$H:$H,U$1,Prod_Prop!$I:$I,"Exacto"),Prod_Prop!$A:$A,Prod_Prop!$J:$J,"",0,1))</f>
        <v/>
      </c>
      <c r="V570" s="4" t="str">
        <f t="array" ref="V570">IF($E570="","", XLOOKUP(SUMIFS(Prod_Prop!$A:$A,Prod_Prop!$B:$B,$E570,Prod_Prop!$H:$H,V$1,Prod_Prop!$I:$I,"Exacto"),Prod_Prop!$A:$A,Prod_Prop!$J:$J,"",0,1))</f>
        <v/>
      </c>
      <c r="X570" s="3" t="str">
        <f>IFERROR(__xludf.DUMMYFUNCTION("IF(D570="""","""",IFERROR(TRANSPOSE(FILTER('Validaciones Cotizador'!U:U,'Validaciones Cotizador'!O:O=D570,'Validaciones Cotizador'!T:T=""x"")),""Finalizar""))"),"")</f>
        <v/>
      </c>
    </row>
    <row r="571">
      <c r="A571" s="2" t="str">
        <f t="array" ref="A571">IF(E571="","",XLOOKUP(D571,'Validaciones Cotizador'!C:C,'Validaciones Cotizador'!A:A,"",0,1))</f>
        <v/>
      </c>
      <c r="B571" s="2" t="str">
        <f t="array" ref="B571">IF(F571="","",XLOOKUP(F571,Productos!E:E,Productos!G:G,"",0,1))</f>
        <v/>
      </c>
      <c r="C571" s="2" t="str">
        <f>IF(A571="","",SUMIFS('Validaciones Cotizador'!B:B,'Validaciones Cotizador'!C:C,D571,'Validaciones Cotizador'!A:A,A571))</f>
        <v/>
      </c>
      <c r="D571" s="4" t="str">
        <f>IFERROR(__xludf.DUMMYFUNCTION("IF(OR(F570=""Finalizar"",F570="""",F570=""Selecciona..""),"""",IF(OR(F570=""-"",INDEX(filter(Familias!F:F,Familias!D:D=A570,Familias!E:E=C570),1)=""O""),D570+1,D570))"),"")</f>
        <v/>
      </c>
      <c r="E571" s="2" t="str">
        <f>IF(OR(F571="",F571="Selecciona.."),"",IF(D571="Implemento",SUMIF(Implementos!B:B,F571,Implementos!A:A),SUMIF(Productos!E:E,F571,Productos!A:A)))</f>
        <v/>
      </c>
      <c r="F571" s="2" t="str">
        <f t="shared" si="2"/>
        <v/>
      </c>
      <c r="G571" s="10" t="str">
        <f t="array" ref="G571">IF(OR(F571="",F571="-",F571="Selecciona..",F571="Finalizar"),"",IF(A571="Rodados",XLOOKUP(B571,'Validaciones Cotizador'!I:I,'Validaciones Cotizador'!J:J,0,0,1),1))</f>
        <v/>
      </c>
      <c r="H571" s="11" t="str">
        <f>IF(OR(F571="",F571="Selecciona.."),"",SUMIF(Precio_Productos!K:K,E571,Precio_Productos!J:J)*G571)</f>
        <v/>
      </c>
      <c r="I571" s="4" t="str">
        <f t="array" ref="I571">IF($E571="","", XLOOKUP(SUMIFS(Prod_Prop!$A:$A,Prod_Prop!$B:$B,$E571,Prod_Prop!$H:$H,I$1,Prod_Prop!$I:$I,"Exacto"),Prod_Prop!$A:$A,Prod_Prop!$J:$J,"",0,1))</f>
        <v/>
      </c>
      <c r="J571" s="4" t="str">
        <f t="array" ref="J571">IF($E571="","", XLOOKUP(SUMIFS(Prod_Prop!$A:$A,Prod_Prop!$B:$B,$E571,Prod_Prop!$H:$H,J$1,Prod_Prop!$I:$I,"Exacto"),Prod_Prop!$A:$A,Prod_Prop!$J:$J,"",0,1))</f>
        <v/>
      </c>
      <c r="K571" s="4" t="str">
        <f t="array" ref="K571">IF($E571="","", XLOOKUP(SUMIFS(Prod_Prop!$A:$A,Prod_Prop!$B:$B,$E571,Prod_Prop!$H:$H,K$1,Prod_Prop!$I:$I,"Exacto"),Prod_Prop!$A:$A,Prod_Prop!$J:$J,"",0,1))</f>
        <v/>
      </c>
      <c r="L571" s="4" t="str">
        <f t="array" ref="L571">IF($E571="","", XLOOKUP(SUMIFS(Prod_Prop!$A:$A,Prod_Prop!$B:$B,$E571,Prod_Prop!$H:$H,L$1,Prod_Prop!$I:$I,"Exacto"),Prod_Prop!$A:$A,Prod_Prop!$J:$J,"",0,1))</f>
        <v/>
      </c>
      <c r="M571" s="4" t="str">
        <f t="array" ref="M571">IF($E571="","", XLOOKUP(SUMIFS(Prod_Prop!$A:$A,Prod_Prop!$B:$B,$E571,Prod_Prop!$H:$H,M$1,Prod_Prop!$I:$I,"Exacto"),Prod_Prop!$A:$A,Prod_Prop!$J:$J,"",0,1))</f>
        <v/>
      </c>
      <c r="N571" s="4" t="str">
        <f t="array" ref="N571">IF($E571="","", XLOOKUP(SUMIFS(Prod_Prop!$A:$A,Prod_Prop!$B:$B,$E571,Prod_Prop!$H:$H,N$1,Prod_Prop!$I:$I,"Exacto"),Prod_Prop!$A:$A,Prod_Prop!$J:$J,"",0,1))</f>
        <v/>
      </c>
      <c r="O571" s="4" t="str">
        <f t="array" ref="O571">IF($E571="","", XLOOKUP(SUMIFS(Prod_Prop!$A:$A,Prod_Prop!$B:$B,$E571,Prod_Prop!$H:$H,O$1,Prod_Prop!$I:$I,"Exacto"),Prod_Prop!$A:$A,Prod_Prop!$J:$J,"",0,1))</f>
        <v/>
      </c>
      <c r="P571" s="4" t="str">
        <f t="array" ref="P571">IF($E571="","", XLOOKUP(SUMIFS(Prod_Prop!$A:$A,Prod_Prop!$B:$B,$E571,Prod_Prop!$H:$H,P$1,Prod_Prop!$I:$I,"Exacto"),Prod_Prop!$A:$A,Prod_Prop!$J:$J,"",0,1))</f>
        <v/>
      </c>
      <c r="Q571" s="4" t="str">
        <f t="array" ref="Q571">IF($E571="","", XLOOKUP(SUMIFS(Prod_Prop!$A:$A,Prod_Prop!$B:$B,$E571,Prod_Prop!$H:$H,Q$1,Prod_Prop!$I:$I,"Exacto"),Prod_Prop!$A:$A,Prod_Prop!$J:$J,"",0,1))</f>
        <v/>
      </c>
      <c r="R571" s="4" t="str">
        <f t="array" ref="R571">IF($E571="","", XLOOKUP(SUMIFS(Prod_Prop!$A:$A,Prod_Prop!$B:$B,$E571,Prod_Prop!$H:$H,R$1,Prod_Prop!$I:$I,"Exacto"),Prod_Prop!$A:$A,Prod_Prop!$J:$J,"",0,1))</f>
        <v/>
      </c>
      <c r="S571" s="4" t="str">
        <f t="array" ref="S571">IF($E571="","", XLOOKUP(SUMIFS(Prod_Prop!$A:$A,Prod_Prop!$B:$B,$E571,Prod_Prop!$H:$H,S$1,Prod_Prop!$I:$I,"Exacto"),Prod_Prop!$A:$A,Prod_Prop!$J:$J,"",0,1))</f>
        <v/>
      </c>
      <c r="T571" s="4" t="str">
        <f t="array" ref="T571">IF($E571="","", XLOOKUP(SUMIFS(Prod_Prop!$A:$A,Prod_Prop!$B:$B,$E571,Prod_Prop!$H:$H,T$1,Prod_Prop!$I:$I,"Exacto"),Prod_Prop!$A:$A,Prod_Prop!$J:$J,"",0,1))</f>
        <v/>
      </c>
      <c r="U571" s="4" t="str">
        <f t="array" ref="U571">IF($E571="","", XLOOKUP(SUMIFS(Prod_Prop!$A:$A,Prod_Prop!$B:$B,$E571,Prod_Prop!$H:$H,U$1,Prod_Prop!$I:$I,"Exacto"),Prod_Prop!$A:$A,Prod_Prop!$J:$J,"",0,1))</f>
        <v/>
      </c>
      <c r="V571" s="4" t="str">
        <f t="array" ref="V571">IF($E571="","", XLOOKUP(SUMIFS(Prod_Prop!$A:$A,Prod_Prop!$B:$B,$E571,Prod_Prop!$H:$H,V$1,Prod_Prop!$I:$I,"Exacto"),Prod_Prop!$A:$A,Prod_Prop!$J:$J,"",0,1))</f>
        <v/>
      </c>
      <c r="X571" s="3" t="str">
        <f>IFERROR(__xludf.DUMMYFUNCTION("IF(D571="""","""",IFERROR(TRANSPOSE(FILTER('Validaciones Cotizador'!U:U,'Validaciones Cotizador'!O:O=D571,'Validaciones Cotizador'!T:T=""x"")),""Finalizar""))"),"")</f>
        <v/>
      </c>
    </row>
    <row r="572">
      <c r="A572" s="2" t="str">
        <f t="array" ref="A572">IF(E572="","",XLOOKUP(D572,'Validaciones Cotizador'!C:C,'Validaciones Cotizador'!A:A,"",0,1))</f>
        <v/>
      </c>
      <c r="B572" s="2" t="str">
        <f t="array" ref="B572">IF(F572="","",XLOOKUP(F572,Productos!E:E,Productos!G:G,"",0,1))</f>
        <v/>
      </c>
      <c r="C572" s="2" t="str">
        <f>IF(A572="","",SUMIFS('Validaciones Cotizador'!B:B,'Validaciones Cotizador'!C:C,D572,'Validaciones Cotizador'!A:A,A572))</f>
        <v/>
      </c>
      <c r="D572" s="4" t="str">
        <f>IFERROR(__xludf.DUMMYFUNCTION("IF(OR(F571=""Finalizar"",F571="""",F571=""Selecciona..""),"""",IF(OR(F571=""-"",INDEX(filter(Familias!F:F,Familias!D:D=A571,Familias!E:E=C571),1)=""O""),D571+1,D571))"),"")</f>
        <v/>
      </c>
      <c r="E572" s="2" t="str">
        <f>IF(OR(F572="",F572="Selecciona.."),"",IF(D572="Implemento",SUMIF(Implementos!B:B,F572,Implementos!A:A),SUMIF(Productos!E:E,F572,Productos!A:A)))</f>
        <v/>
      </c>
      <c r="F572" s="2" t="str">
        <f t="shared" si="2"/>
        <v/>
      </c>
      <c r="G572" s="10" t="str">
        <f t="array" ref="G572">IF(OR(F572="",F572="-",F572="Selecciona..",F572="Finalizar"),"",IF(A572="Rodados",XLOOKUP(B572,'Validaciones Cotizador'!I:I,'Validaciones Cotizador'!J:J,0,0,1),1))</f>
        <v/>
      </c>
      <c r="H572" s="11" t="str">
        <f>IF(OR(F572="",F572="Selecciona.."),"",SUMIF(Precio_Productos!K:K,E572,Precio_Productos!J:J)*G572)</f>
        <v/>
      </c>
      <c r="I572" s="4" t="str">
        <f t="array" ref="I572">IF($E572="","", XLOOKUP(SUMIFS(Prod_Prop!$A:$A,Prod_Prop!$B:$B,$E572,Prod_Prop!$H:$H,I$1,Prod_Prop!$I:$I,"Exacto"),Prod_Prop!$A:$A,Prod_Prop!$J:$J,"",0,1))</f>
        <v/>
      </c>
      <c r="J572" s="4" t="str">
        <f t="array" ref="J572">IF($E572="","", XLOOKUP(SUMIFS(Prod_Prop!$A:$A,Prod_Prop!$B:$B,$E572,Prod_Prop!$H:$H,J$1,Prod_Prop!$I:$I,"Exacto"),Prod_Prop!$A:$A,Prod_Prop!$J:$J,"",0,1))</f>
        <v/>
      </c>
      <c r="K572" s="4" t="str">
        <f t="array" ref="K572">IF($E572="","", XLOOKUP(SUMIFS(Prod_Prop!$A:$A,Prod_Prop!$B:$B,$E572,Prod_Prop!$H:$H,K$1,Prod_Prop!$I:$I,"Exacto"),Prod_Prop!$A:$A,Prod_Prop!$J:$J,"",0,1))</f>
        <v/>
      </c>
      <c r="L572" s="4" t="str">
        <f t="array" ref="L572">IF($E572="","", XLOOKUP(SUMIFS(Prod_Prop!$A:$A,Prod_Prop!$B:$B,$E572,Prod_Prop!$H:$H,L$1,Prod_Prop!$I:$I,"Exacto"),Prod_Prop!$A:$A,Prod_Prop!$J:$J,"",0,1))</f>
        <v/>
      </c>
      <c r="M572" s="4" t="str">
        <f t="array" ref="M572">IF($E572="","", XLOOKUP(SUMIFS(Prod_Prop!$A:$A,Prod_Prop!$B:$B,$E572,Prod_Prop!$H:$H,M$1,Prod_Prop!$I:$I,"Exacto"),Prod_Prop!$A:$A,Prod_Prop!$J:$J,"",0,1))</f>
        <v/>
      </c>
      <c r="N572" s="4" t="str">
        <f t="array" ref="N572">IF($E572="","", XLOOKUP(SUMIFS(Prod_Prop!$A:$A,Prod_Prop!$B:$B,$E572,Prod_Prop!$H:$H,N$1,Prod_Prop!$I:$I,"Exacto"),Prod_Prop!$A:$A,Prod_Prop!$J:$J,"",0,1))</f>
        <v/>
      </c>
      <c r="O572" s="4" t="str">
        <f t="array" ref="O572">IF($E572="","", XLOOKUP(SUMIFS(Prod_Prop!$A:$A,Prod_Prop!$B:$B,$E572,Prod_Prop!$H:$H,O$1,Prod_Prop!$I:$I,"Exacto"),Prod_Prop!$A:$A,Prod_Prop!$J:$J,"",0,1))</f>
        <v/>
      </c>
      <c r="P572" s="4" t="str">
        <f t="array" ref="P572">IF($E572="","", XLOOKUP(SUMIFS(Prod_Prop!$A:$A,Prod_Prop!$B:$B,$E572,Prod_Prop!$H:$H,P$1,Prod_Prop!$I:$I,"Exacto"),Prod_Prop!$A:$A,Prod_Prop!$J:$J,"",0,1))</f>
        <v/>
      </c>
      <c r="Q572" s="4" t="str">
        <f t="array" ref="Q572">IF($E572="","", XLOOKUP(SUMIFS(Prod_Prop!$A:$A,Prod_Prop!$B:$B,$E572,Prod_Prop!$H:$H,Q$1,Prod_Prop!$I:$I,"Exacto"),Prod_Prop!$A:$A,Prod_Prop!$J:$J,"",0,1))</f>
        <v/>
      </c>
      <c r="R572" s="4" t="str">
        <f t="array" ref="R572">IF($E572="","", XLOOKUP(SUMIFS(Prod_Prop!$A:$A,Prod_Prop!$B:$B,$E572,Prod_Prop!$H:$H,R$1,Prod_Prop!$I:$I,"Exacto"),Prod_Prop!$A:$A,Prod_Prop!$J:$J,"",0,1))</f>
        <v/>
      </c>
      <c r="S572" s="4" t="str">
        <f t="array" ref="S572">IF($E572="","", XLOOKUP(SUMIFS(Prod_Prop!$A:$A,Prod_Prop!$B:$B,$E572,Prod_Prop!$H:$H,S$1,Prod_Prop!$I:$I,"Exacto"),Prod_Prop!$A:$A,Prod_Prop!$J:$J,"",0,1))</f>
        <v/>
      </c>
      <c r="T572" s="4" t="str">
        <f t="array" ref="T572">IF($E572="","", XLOOKUP(SUMIFS(Prod_Prop!$A:$A,Prod_Prop!$B:$B,$E572,Prod_Prop!$H:$H,T$1,Prod_Prop!$I:$I,"Exacto"),Prod_Prop!$A:$A,Prod_Prop!$J:$J,"",0,1))</f>
        <v/>
      </c>
      <c r="U572" s="4" t="str">
        <f t="array" ref="U572">IF($E572="","", XLOOKUP(SUMIFS(Prod_Prop!$A:$A,Prod_Prop!$B:$B,$E572,Prod_Prop!$H:$H,U$1,Prod_Prop!$I:$I,"Exacto"),Prod_Prop!$A:$A,Prod_Prop!$J:$J,"",0,1))</f>
        <v/>
      </c>
      <c r="V572" s="4" t="str">
        <f t="array" ref="V572">IF($E572="","", XLOOKUP(SUMIFS(Prod_Prop!$A:$A,Prod_Prop!$B:$B,$E572,Prod_Prop!$H:$H,V$1,Prod_Prop!$I:$I,"Exacto"),Prod_Prop!$A:$A,Prod_Prop!$J:$J,"",0,1))</f>
        <v/>
      </c>
      <c r="X572" s="3" t="str">
        <f>IFERROR(__xludf.DUMMYFUNCTION("IF(D572="""","""",IFERROR(TRANSPOSE(FILTER('Validaciones Cotizador'!U:U,'Validaciones Cotizador'!O:O=D572,'Validaciones Cotizador'!T:T=""x"")),""Finalizar""))"),"")</f>
        <v/>
      </c>
    </row>
    <row r="573">
      <c r="A573" s="2" t="str">
        <f t="array" ref="A573">IF(E573="","",XLOOKUP(D573,'Validaciones Cotizador'!C:C,'Validaciones Cotizador'!A:A,"",0,1))</f>
        <v/>
      </c>
      <c r="B573" s="2" t="str">
        <f t="array" ref="B573">IF(F573="","",XLOOKUP(F573,Productos!E:E,Productos!G:G,"",0,1))</f>
        <v/>
      </c>
      <c r="C573" s="2" t="str">
        <f>IF(A573="","",SUMIFS('Validaciones Cotizador'!B:B,'Validaciones Cotizador'!C:C,D573,'Validaciones Cotizador'!A:A,A573))</f>
        <v/>
      </c>
      <c r="D573" s="4" t="str">
        <f>IFERROR(__xludf.DUMMYFUNCTION("IF(OR(F572=""Finalizar"",F572="""",F572=""Selecciona..""),"""",IF(OR(F572=""-"",INDEX(filter(Familias!F:F,Familias!D:D=A572,Familias!E:E=C572),1)=""O""),D572+1,D572))"),"")</f>
        <v/>
      </c>
      <c r="E573" s="2" t="str">
        <f>IF(OR(F573="",F573="Selecciona.."),"",IF(D573="Implemento",SUMIF(Implementos!B:B,F573,Implementos!A:A),SUMIF(Productos!E:E,F573,Productos!A:A)))</f>
        <v/>
      </c>
      <c r="F573" s="2" t="str">
        <f t="shared" si="2"/>
        <v/>
      </c>
      <c r="G573" s="10" t="str">
        <f t="array" ref="G573">IF(OR(F573="",F573="-",F573="Selecciona..",F573="Finalizar"),"",IF(A573="Rodados",XLOOKUP(B573,'Validaciones Cotizador'!I:I,'Validaciones Cotizador'!J:J,0,0,1),1))</f>
        <v/>
      </c>
      <c r="H573" s="11" t="str">
        <f>IF(OR(F573="",F573="Selecciona.."),"",SUMIF(Precio_Productos!K:K,E573,Precio_Productos!J:J)*G573)</f>
        <v/>
      </c>
      <c r="I573" s="4" t="str">
        <f t="array" ref="I573">IF($E573="","", XLOOKUP(SUMIFS(Prod_Prop!$A:$A,Prod_Prop!$B:$B,$E573,Prod_Prop!$H:$H,I$1,Prod_Prop!$I:$I,"Exacto"),Prod_Prop!$A:$A,Prod_Prop!$J:$J,"",0,1))</f>
        <v/>
      </c>
      <c r="J573" s="4" t="str">
        <f t="array" ref="J573">IF($E573="","", XLOOKUP(SUMIFS(Prod_Prop!$A:$A,Prod_Prop!$B:$B,$E573,Prod_Prop!$H:$H,J$1,Prod_Prop!$I:$I,"Exacto"),Prod_Prop!$A:$A,Prod_Prop!$J:$J,"",0,1))</f>
        <v/>
      </c>
      <c r="K573" s="4" t="str">
        <f t="array" ref="K573">IF($E573="","", XLOOKUP(SUMIFS(Prod_Prop!$A:$A,Prod_Prop!$B:$B,$E573,Prod_Prop!$H:$H,K$1,Prod_Prop!$I:$I,"Exacto"),Prod_Prop!$A:$A,Prod_Prop!$J:$J,"",0,1))</f>
        <v/>
      </c>
      <c r="L573" s="4" t="str">
        <f t="array" ref="L573">IF($E573="","", XLOOKUP(SUMIFS(Prod_Prop!$A:$A,Prod_Prop!$B:$B,$E573,Prod_Prop!$H:$H,L$1,Prod_Prop!$I:$I,"Exacto"),Prod_Prop!$A:$A,Prod_Prop!$J:$J,"",0,1))</f>
        <v/>
      </c>
      <c r="M573" s="4" t="str">
        <f t="array" ref="M573">IF($E573="","", XLOOKUP(SUMIFS(Prod_Prop!$A:$A,Prod_Prop!$B:$B,$E573,Prod_Prop!$H:$H,M$1,Prod_Prop!$I:$I,"Exacto"),Prod_Prop!$A:$A,Prod_Prop!$J:$J,"",0,1))</f>
        <v/>
      </c>
      <c r="N573" s="4" t="str">
        <f t="array" ref="N573">IF($E573="","", XLOOKUP(SUMIFS(Prod_Prop!$A:$A,Prod_Prop!$B:$B,$E573,Prod_Prop!$H:$H,N$1,Prod_Prop!$I:$I,"Exacto"),Prod_Prop!$A:$A,Prod_Prop!$J:$J,"",0,1))</f>
        <v/>
      </c>
      <c r="O573" s="4" t="str">
        <f t="array" ref="O573">IF($E573="","", XLOOKUP(SUMIFS(Prod_Prop!$A:$A,Prod_Prop!$B:$B,$E573,Prod_Prop!$H:$H,O$1,Prod_Prop!$I:$I,"Exacto"),Prod_Prop!$A:$A,Prod_Prop!$J:$J,"",0,1))</f>
        <v/>
      </c>
      <c r="P573" s="4" t="str">
        <f t="array" ref="P573">IF($E573="","", XLOOKUP(SUMIFS(Prod_Prop!$A:$A,Prod_Prop!$B:$B,$E573,Prod_Prop!$H:$H,P$1,Prod_Prop!$I:$I,"Exacto"),Prod_Prop!$A:$A,Prod_Prop!$J:$J,"",0,1))</f>
        <v/>
      </c>
      <c r="Q573" s="4" t="str">
        <f t="array" ref="Q573">IF($E573="","", XLOOKUP(SUMIFS(Prod_Prop!$A:$A,Prod_Prop!$B:$B,$E573,Prod_Prop!$H:$H,Q$1,Prod_Prop!$I:$I,"Exacto"),Prod_Prop!$A:$A,Prod_Prop!$J:$J,"",0,1))</f>
        <v/>
      </c>
      <c r="R573" s="4" t="str">
        <f t="array" ref="R573">IF($E573="","", XLOOKUP(SUMIFS(Prod_Prop!$A:$A,Prod_Prop!$B:$B,$E573,Prod_Prop!$H:$H,R$1,Prod_Prop!$I:$I,"Exacto"),Prod_Prop!$A:$A,Prod_Prop!$J:$J,"",0,1))</f>
        <v/>
      </c>
      <c r="S573" s="4" t="str">
        <f t="array" ref="S573">IF($E573="","", XLOOKUP(SUMIFS(Prod_Prop!$A:$A,Prod_Prop!$B:$B,$E573,Prod_Prop!$H:$H,S$1,Prod_Prop!$I:$I,"Exacto"),Prod_Prop!$A:$A,Prod_Prop!$J:$J,"",0,1))</f>
        <v/>
      </c>
      <c r="T573" s="4" t="str">
        <f t="array" ref="T573">IF($E573="","", XLOOKUP(SUMIFS(Prod_Prop!$A:$A,Prod_Prop!$B:$B,$E573,Prod_Prop!$H:$H,T$1,Prod_Prop!$I:$I,"Exacto"),Prod_Prop!$A:$A,Prod_Prop!$J:$J,"",0,1))</f>
        <v/>
      </c>
      <c r="U573" s="4" t="str">
        <f t="array" ref="U573">IF($E573="","", XLOOKUP(SUMIFS(Prod_Prop!$A:$A,Prod_Prop!$B:$B,$E573,Prod_Prop!$H:$H,U$1,Prod_Prop!$I:$I,"Exacto"),Prod_Prop!$A:$A,Prod_Prop!$J:$J,"",0,1))</f>
        <v/>
      </c>
      <c r="V573" s="4" t="str">
        <f t="array" ref="V573">IF($E573="","", XLOOKUP(SUMIFS(Prod_Prop!$A:$A,Prod_Prop!$B:$B,$E573,Prod_Prop!$H:$H,V$1,Prod_Prop!$I:$I,"Exacto"),Prod_Prop!$A:$A,Prod_Prop!$J:$J,"",0,1))</f>
        <v/>
      </c>
      <c r="X573" s="3" t="str">
        <f>IFERROR(__xludf.DUMMYFUNCTION("IF(D573="""","""",IFERROR(TRANSPOSE(FILTER('Validaciones Cotizador'!U:U,'Validaciones Cotizador'!O:O=D573,'Validaciones Cotizador'!T:T=""x"")),""Finalizar""))"),"")</f>
        <v/>
      </c>
    </row>
    <row r="574">
      <c r="A574" s="2" t="str">
        <f t="array" ref="A574">IF(E574="","",XLOOKUP(D574,'Validaciones Cotizador'!C:C,'Validaciones Cotizador'!A:A,"",0,1))</f>
        <v/>
      </c>
      <c r="B574" s="2" t="str">
        <f t="array" ref="B574">IF(F574="","",XLOOKUP(F574,Productos!E:E,Productos!G:G,"",0,1))</f>
        <v/>
      </c>
      <c r="C574" s="2" t="str">
        <f>IF(A574="","",SUMIFS('Validaciones Cotizador'!B:B,'Validaciones Cotizador'!C:C,D574,'Validaciones Cotizador'!A:A,A574))</f>
        <v/>
      </c>
      <c r="D574" s="4" t="str">
        <f>IFERROR(__xludf.DUMMYFUNCTION("IF(OR(F573=""Finalizar"",F573="""",F573=""Selecciona..""),"""",IF(OR(F573=""-"",INDEX(filter(Familias!F:F,Familias!D:D=A573,Familias!E:E=C573),1)=""O""),D573+1,D573))"),"")</f>
        <v/>
      </c>
      <c r="E574" s="2" t="str">
        <f>IF(OR(F574="",F574="Selecciona.."),"",IF(D574="Implemento",SUMIF(Implementos!B:B,F574,Implementos!A:A),SUMIF(Productos!E:E,F574,Productos!A:A)))</f>
        <v/>
      </c>
      <c r="F574" s="2" t="str">
        <f t="shared" si="2"/>
        <v/>
      </c>
      <c r="G574" s="10" t="str">
        <f t="array" ref="G574">IF(OR(F574="",F574="-",F574="Selecciona..",F574="Finalizar"),"",IF(A574="Rodados",XLOOKUP(B574,'Validaciones Cotizador'!I:I,'Validaciones Cotizador'!J:J,0,0,1),1))</f>
        <v/>
      </c>
      <c r="H574" s="11" t="str">
        <f>IF(OR(F574="",F574="Selecciona.."),"",SUMIF(Precio_Productos!K:K,E574,Precio_Productos!J:J)*G574)</f>
        <v/>
      </c>
      <c r="I574" s="4" t="str">
        <f t="array" ref="I574">IF($E574="","", XLOOKUP(SUMIFS(Prod_Prop!$A:$A,Prod_Prop!$B:$B,$E574,Prod_Prop!$H:$H,I$1,Prod_Prop!$I:$I,"Exacto"),Prod_Prop!$A:$A,Prod_Prop!$J:$J,"",0,1))</f>
        <v/>
      </c>
      <c r="J574" s="4" t="str">
        <f t="array" ref="J574">IF($E574="","", XLOOKUP(SUMIFS(Prod_Prop!$A:$A,Prod_Prop!$B:$B,$E574,Prod_Prop!$H:$H,J$1,Prod_Prop!$I:$I,"Exacto"),Prod_Prop!$A:$A,Prod_Prop!$J:$J,"",0,1))</f>
        <v/>
      </c>
      <c r="K574" s="4" t="str">
        <f t="array" ref="K574">IF($E574="","", XLOOKUP(SUMIFS(Prod_Prop!$A:$A,Prod_Prop!$B:$B,$E574,Prod_Prop!$H:$H,K$1,Prod_Prop!$I:$I,"Exacto"),Prod_Prop!$A:$A,Prod_Prop!$J:$J,"",0,1))</f>
        <v/>
      </c>
      <c r="L574" s="4" t="str">
        <f t="array" ref="L574">IF($E574="","", XLOOKUP(SUMIFS(Prod_Prop!$A:$A,Prod_Prop!$B:$B,$E574,Prod_Prop!$H:$H,L$1,Prod_Prop!$I:$I,"Exacto"),Prod_Prop!$A:$A,Prod_Prop!$J:$J,"",0,1))</f>
        <v/>
      </c>
      <c r="M574" s="4" t="str">
        <f t="array" ref="M574">IF($E574="","", XLOOKUP(SUMIFS(Prod_Prop!$A:$A,Prod_Prop!$B:$B,$E574,Prod_Prop!$H:$H,M$1,Prod_Prop!$I:$I,"Exacto"),Prod_Prop!$A:$A,Prod_Prop!$J:$J,"",0,1))</f>
        <v/>
      </c>
      <c r="N574" s="4" t="str">
        <f t="array" ref="N574">IF($E574="","", XLOOKUP(SUMIFS(Prod_Prop!$A:$A,Prod_Prop!$B:$B,$E574,Prod_Prop!$H:$H,N$1,Prod_Prop!$I:$I,"Exacto"),Prod_Prop!$A:$A,Prod_Prop!$J:$J,"",0,1))</f>
        <v/>
      </c>
      <c r="O574" s="4" t="str">
        <f t="array" ref="O574">IF($E574="","", XLOOKUP(SUMIFS(Prod_Prop!$A:$A,Prod_Prop!$B:$B,$E574,Prod_Prop!$H:$H,O$1,Prod_Prop!$I:$I,"Exacto"),Prod_Prop!$A:$A,Prod_Prop!$J:$J,"",0,1))</f>
        <v/>
      </c>
      <c r="P574" s="4" t="str">
        <f t="array" ref="P574">IF($E574="","", XLOOKUP(SUMIFS(Prod_Prop!$A:$A,Prod_Prop!$B:$B,$E574,Prod_Prop!$H:$H,P$1,Prod_Prop!$I:$I,"Exacto"),Prod_Prop!$A:$A,Prod_Prop!$J:$J,"",0,1))</f>
        <v/>
      </c>
      <c r="Q574" s="4" t="str">
        <f t="array" ref="Q574">IF($E574="","", XLOOKUP(SUMIFS(Prod_Prop!$A:$A,Prod_Prop!$B:$B,$E574,Prod_Prop!$H:$H,Q$1,Prod_Prop!$I:$I,"Exacto"),Prod_Prop!$A:$A,Prod_Prop!$J:$J,"",0,1))</f>
        <v/>
      </c>
      <c r="R574" s="4" t="str">
        <f t="array" ref="R574">IF($E574="","", XLOOKUP(SUMIFS(Prod_Prop!$A:$A,Prod_Prop!$B:$B,$E574,Prod_Prop!$H:$H,R$1,Prod_Prop!$I:$I,"Exacto"),Prod_Prop!$A:$A,Prod_Prop!$J:$J,"",0,1))</f>
        <v/>
      </c>
      <c r="S574" s="4" t="str">
        <f t="array" ref="S574">IF($E574="","", XLOOKUP(SUMIFS(Prod_Prop!$A:$A,Prod_Prop!$B:$B,$E574,Prod_Prop!$H:$H,S$1,Prod_Prop!$I:$I,"Exacto"),Prod_Prop!$A:$A,Prod_Prop!$J:$J,"",0,1))</f>
        <v/>
      </c>
      <c r="T574" s="4" t="str">
        <f t="array" ref="T574">IF($E574="","", XLOOKUP(SUMIFS(Prod_Prop!$A:$A,Prod_Prop!$B:$B,$E574,Prod_Prop!$H:$H,T$1,Prod_Prop!$I:$I,"Exacto"),Prod_Prop!$A:$A,Prod_Prop!$J:$J,"",0,1))</f>
        <v/>
      </c>
      <c r="U574" s="4" t="str">
        <f t="array" ref="U574">IF($E574="","", XLOOKUP(SUMIFS(Prod_Prop!$A:$A,Prod_Prop!$B:$B,$E574,Prod_Prop!$H:$H,U$1,Prod_Prop!$I:$I,"Exacto"),Prod_Prop!$A:$A,Prod_Prop!$J:$J,"",0,1))</f>
        <v/>
      </c>
      <c r="V574" s="4" t="str">
        <f t="array" ref="V574">IF($E574="","", XLOOKUP(SUMIFS(Prod_Prop!$A:$A,Prod_Prop!$B:$B,$E574,Prod_Prop!$H:$H,V$1,Prod_Prop!$I:$I,"Exacto"),Prod_Prop!$A:$A,Prod_Prop!$J:$J,"",0,1))</f>
        <v/>
      </c>
      <c r="X574" s="3" t="str">
        <f>IFERROR(__xludf.DUMMYFUNCTION("IF(D574="""","""",IFERROR(TRANSPOSE(FILTER('Validaciones Cotizador'!U:U,'Validaciones Cotizador'!O:O=D574,'Validaciones Cotizador'!T:T=""x"")),""Finalizar""))"),"")</f>
        <v/>
      </c>
    </row>
    <row r="575">
      <c r="A575" s="2" t="str">
        <f t="array" ref="A575">IF(E575="","",XLOOKUP(D575,'Validaciones Cotizador'!C:C,'Validaciones Cotizador'!A:A,"",0,1))</f>
        <v/>
      </c>
      <c r="B575" s="2" t="str">
        <f t="array" ref="B575">IF(F575="","",XLOOKUP(F575,Productos!E:E,Productos!G:G,"",0,1))</f>
        <v/>
      </c>
      <c r="C575" s="2" t="str">
        <f>IF(A575="","",SUMIFS('Validaciones Cotizador'!B:B,'Validaciones Cotizador'!C:C,D575,'Validaciones Cotizador'!A:A,A575))</f>
        <v/>
      </c>
      <c r="D575" s="4" t="str">
        <f>IFERROR(__xludf.DUMMYFUNCTION("IF(OR(F574=""Finalizar"",F574="""",F574=""Selecciona..""),"""",IF(OR(F574=""-"",INDEX(filter(Familias!F:F,Familias!D:D=A574,Familias!E:E=C574),1)=""O""),D574+1,D574))"),"")</f>
        <v/>
      </c>
      <c r="E575" s="2" t="str">
        <f>IF(OR(F575="",F575="Selecciona.."),"",IF(D575="Implemento",SUMIF(Implementos!B:B,F575,Implementos!A:A),SUMIF(Productos!E:E,F575,Productos!A:A)))</f>
        <v/>
      </c>
      <c r="F575" s="2" t="str">
        <f t="shared" si="2"/>
        <v/>
      </c>
      <c r="G575" s="10" t="str">
        <f t="array" ref="G575">IF(OR(F575="",F575="-",F575="Selecciona..",F575="Finalizar"),"",IF(A575="Rodados",XLOOKUP(B575,'Validaciones Cotizador'!I:I,'Validaciones Cotizador'!J:J,0,0,1),1))</f>
        <v/>
      </c>
      <c r="H575" s="11" t="str">
        <f>IF(OR(F575="",F575="Selecciona.."),"",SUMIF(Precio_Productos!K:K,E575,Precio_Productos!J:J)*G575)</f>
        <v/>
      </c>
      <c r="I575" s="4" t="str">
        <f t="array" ref="I575">IF($E575="","", XLOOKUP(SUMIFS(Prod_Prop!$A:$A,Prod_Prop!$B:$B,$E575,Prod_Prop!$H:$H,I$1,Prod_Prop!$I:$I,"Exacto"),Prod_Prop!$A:$A,Prod_Prop!$J:$J,"",0,1))</f>
        <v/>
      </c>
      <c r="J575" s="4" t="str">
        <f t="array" ref="J575">IF($E575="","", XLOOKUP(SUMIFS(Prod_Prop!$A:$A,Prod_Prop!$B:$B,$E575,Prod_Prop!$H:$H,J$1,Prod_Prop!$I:$I,"Exacto"),Prod_Prop!$A:$A,Prod_Prop!$J:$J,"",0,1))</f>
        <v/>
      </c>
      <c r="K575" s="4" t="str">
        <f t="array" ref="K575">IF($E575="","", XLOOKUP(SUMIFS(Prod_Prop!$A:$A,Prod_Prop!$B:$B,$E575,Prod_Prop!$H:$H,K$1,Prod_Prop!$I:$I,"Exacto"),Prod_Prop!$A:$A,Prod_Prop!$J:$J,"",0,1))</f>
        <v/>
      </c>
      <c r="L575" s="4" t="str">
        <f t="array" ref="L575">IF($E575="","", XLOOKUP(SUMIFS(Prod_Prop!$A:$A,Prod_Prop!$B:$B,$E575,Prod_Prop!$H:$H,L$1,Prod_Prop!$I:$I,"Exacto"),Prod_Prop!$A:$A,Prod_Prop!$J:$J,"",0,1))</f>
        <v/>
      </c>
      <c r="M575" s="4" t="str">
        <f t="array" ref="M575">IF($E575="","", XLOOKUP(SUMIFS(Prod_Prop!$A:$A,Prod_Prop!$B:$B,$E575,Prod_Prop!$H:$H,M$1,Prod_Prop!$I:$I,"Exacto"),Prod_Prop!$A:$A,Prod_Prop!$J:$J,"",0,1))</f>
        <v/>
      </c>
      <c r="N575" s="4" t="str">
        <f t="array" ref="N575">IF($E575="","", XLOOKUP(SUMIFS(Prod_Prop!$A:$A,Prod_Prop!$B:$B,$E575,Prod_Prop!$H:$H,N$1,Prod_Prop!$I:$I,"Exacto"),Prod_Prop!$A:$A,Prod_Prop!$J:$J,"",0,1))</f>
        <v/>
      </c>
      <c r="O575" s="4" t="str">
        <f t="array" ref="O575">IF($E575="","", XLOOKUP(SUMIFS(Prod_Prop!$A:$A,Prod_Prop!$B:$B,$E575,Prod_Prop!$H:$H,O$1,Prod_Prop!$I:$I,"Exacto"),Prod_Prop!$A:$A,Prod_Prop!$J:$J,"",0,1))</f>
        <v/>
      </c>
      <c r="P575" s="4" t="str">
        <f t="array" ref="P575">IF($E575="","", XLOOKUP(SUMIFS(Prod_Prop!$A:$A,Prod_Prop!$B:$B,$E575,Prod_Prop!$H:$H,P$1,Prod_Prop!$I:$I,"Exacto"),Prod_Prop!$A:$A,Prod_Prop!$J:$J,"",0,1))</f>
        <v/>
      </c>
      <c r="Q575" s="4" t="str">
        <f t="array" ref="Q575">IF($E575="","", XLOOKUP(SUMIFS(Prod_Prop!$A:$A,Prod_Prop!$B:$B,$E575,Prod_Prop!$H:$H,Q$1,Prod_Prop!$I:$I,"Exacto"),Prod_Prop!$A:$A,Prod_Prop!$J:$J,"",0,1))</f>
        <v/>
      </c>
      <c r="R575" s="4" t="str">
        <f t="array" ref="R575">IF($E575="","", XLOOKUP(SUMIFS(Prod_Prop!$A:$A,Prod_Prop!$B:$B,$E575,Prod_Prop!$H:$H,R$1,Prod_Prop!$I:$I,"Exacto"),Prod_Prop!$A:$A,Prod_Prop!$J:$J,"",0,1))</f>
        <v/>
      </c>
      <c r="S575" s="4" t="str">
        <f t="array" ref="S575">IF($E575="","", XLOOKUP(SUMIFS(Prod_Prop!$A:$A,Prod_Prop!$B:$B,$E575,Prod_Prop!$H:$H,S$1,Prod_Prop!$I:$I,"Exacto"),Prod_Prop!$A:$A,Prod_Prop!$J:$J,"",0,1))</f>
        <v/>
      </c>
      <c r="T575" s="4" t="str">
        <f t="array" ref="T575">IF($E575="","", XLOOKUP(SUMIFS(Prod_Prop!$A:$A,Prod_Prop!$B:$B,$E575,Prod_Prop!$H:$H,T$1,Prod_Prop!$I:$I,"Exacto"),Prod_Prop!$A:$A,Prod_Prop!$J:$J,"",0,1))</f>
        <v/>
      </c>
      <c r="U575" s="4" t="str">
        <f t="array" ref="U575">IF($E575="","", XLOOKUP(SUMIFS(Prod_Prop!$A:$A,Prod_Prop!$B:$B,$E575,Prod_Prop!$H:$H,U$1,Prod_Prop!$I:$I,"Exacto"),Prod_Prop!$A:$A,Prod_Prop!$J:$J,"",0,1))</f>
        <v/>
      </c>
      <c r="V575" s="4" t="str">
        <f t="array" ref="V575">IF($E575="","", XLOOKUP(SUMIFS(Prod_Prop!$A:$A,Prod_Prop!$B:$B,$E575,Prod_Prop!$H:$H,V$1,Prod_Prop!$I:$I,"Exacto"),Prod_Prop!$A:$A,Prod_Prop!$J:$J,"",0,1))</f>
        <v/>
      </c>
      <c r="X575" s="3" t="str">
        <f>IFERROR(__xludf.DUMMYFUNCTION("IF(D575="""","""",IFERROR(TRANSPOSE(FILTER('Validaciones Cotizador'!U:U,'Validaciones Cotizador'!O:O=D575,'Validaciones Cotizador'!T:T=""x"")),""Finalizar""))"),"")</f>
        <v/>
      </c>
    </row>
    <row r="576">
      <c r="A576" s="2" t="str">
        <f t="array" ref="A576">IF(E576="","",XLOOKUP(D576,'Validaciones Cotizador'!C:C,'Validaciones Cotizador'!A:A,"",0,1))</f>
        <v/>
      </c>
      <c r="B576" s="2" t="str">
        <f t="array" ref="B576">IF(F576="","",XLOOKUP(F576,Productos!E:E,Productos!G:G,"",0,1))</f>
        <v/>
      </c>
      <c r="C576" s="2" t="str">
        <f>IF(A576="","",SUMIFS('Validaciones Cotizador'!B:B,'Validaciones Cotizador'!C:C,D576,'Validaciones Cotizador'!A:A,A576))</f>
        <v/>
      </c>
      <c r="D576" s="4" t="str">
        <f>IFERROR(__xludf.DUMMYFUNCTION("IF(OR(F575=""Finalizar"",F575="""",F575=""Selecciona..""),"""",IF(OR(F575=""-"",INDEX(filter(Familias!F:F,Familias!D:D=A575,Familias!E:E=C575),1)=""O""),D575+1,D575))"),"")</f>
        <v/>
      </c>
      <c r="E576" s="2" t="str">
        <f>IF(OR(F576="",F576="Selecciona.."),"",IF(D576="Implemento",SUMIF(Implementos!B:B,F576,Implementos!A:A),SUMIF(Productos!E:E,F576,Productos!A:A)))</f>
        <v/>
      </c>
      <c r="F576" s="2" t="str">
        <f t="shared" si="2"/>
        <v/>
      </c>
      <c r="G576" s="10" t="str">
        <f t="array" ref="G576">IF(OR(F576="",F576="-",F576="Selecciona..",F576="Finalizar"),"",IF(A576="Rodados",XLOOKUP(B576,'Validaciones Cotizador'!I:I,'Validaciones Cotizador'!J:J,0,0,1),1))</f>
        <v/>
      </c>
      <c r="H576" s="11" t="str">
        <f>IF(OR(F576="",F576="Selecciona.."),"",SUMIF(Precio_Productos!K:K,E576,Precio_Productos!J:J)*G576)</f>
        <v/>
      </c>
      <c r="I576" s="4" t="str">
        <f t="array" ref="I576">IF($E576="","", XLOOKUP(SUMIFS(Prod_Prop!$A:$A,Prod_Prop!$B:$B,$E576,Prod_Prop!$H:$H,I$1,Prod_Prop!$I:$I,"Exacto"),Prod_Prop!$A:$A,Prod_Prop!$J:$J,"",0,1))</f>
        <v/>
      </c>
      <c r="J576" s="4" t="str">
        <f t="array" ref="J576">IF($E576="","", XLOOKUP(SUMIFS(Prod_Prop!$A:$A,Prod_Prop!$B:$B,$E576,Prod_Prop!$H:$H,J$1,Prod_Prop!$I:$I,"Exacto"),Prod_Prop!$A:$A,Prod_Prop!$J:$J,"",0,1))</f>
        <v/>
      </c>
      <c r="K576" s="4" t="str">
        <f t="array" ref="K576">IF($E576="","", XLOOKUP(SUMIFS(Prod_Prop!$A:$A,Prod_Prop!$B:$B,$E576,Prod_Prop!$H:$H,K$1,Prod_Prop!$I:$I,"Exacto"),Prod_Prop!$A:$A,Prod_Prop!$J:$J,"",0,1))</f>
        <v/>
      </c>
      <c r="L576" s="4" t="str">
        <f t="array" ref="L576">IF($E576="","", XLOOKUP(SUMIFS(Prod_Prop!$A:$A,Prod_Prop!$B:$B,$E576,Prod_Prop!$H:$H,L$1,Prod_Prop!$I:$I,"Exacto"),Prod_Prop!$A:$A,Prod_Prop!$J:$J,"",0,1))</f>
        <v/>
      </c>
      <c r="M576" s="4" t="str">
        <f t="array" ref="M576">IF($E576="","", XLOOKUP(SUMIFS(Prod_Prop!$A:$A,Prod_Prop!$B:$B,$E576,Prod_Prop!$H:$H,M$1,Prod_Prop!$I:$I,"Exacto"),Prod_Prop!$A:$A,Prod_Prop!$J:$J,"",0,1))</f>
        <v/>
      </c>
      <c r="N576" s="4" t="str">
        <f t="array" ref="N576">IF($E576="","", XLOOKUP(SUMIFS(Prod_Prop!$A:$A,Prod_Prop!$B:$B,$E576,Prod_Prop!$H:$H,N$1,Prod_Prop!$I:$I,"Exacto"),Prod_Prop!$A:$A,Prod_Prop!$J:$J,"",0,1))</f>
        <v/>
      </c>
      <c r="O576" s="4" t="str">
        <f t="array" ref="O576">IF($E576="","", XLOOKUP(SUMIFS(Prod_Prop!$A:$A,Prod_Prop!$B:$B,$E576,Prod_Prop!$H:$H,O$1,Prod_Prop!$I:$I,"Exacto"),Prod_Prop!$A:$A,Prod_Prop!$J:$J,"",0,1))</f>
        <v/>
      </c>
      <c r="P576" s="4" t="str">
        <f t="array" ref="P576">IF($E576="","", XLOOKUP(SUMIFS(Prod_Prop!$A:$A,Prod_Prop!$B:$B,$E576,Prod_Prop!$H:$H,P$1,Prod_Prop!$I:$I,"Exacto"),Prod_Prop!$A:$A,Prod_Prop!$J:$J,"",0,1))</f>
        <v/>
      </c>
      <c r="Q576" s="4" t="str">
        <f t="array" ref="Q576">IF($E576="","", XLOOKUP(SUMIFS(Prod_Prop!$A:$A,Prod_Prop!$B:$B,$E576,Prod_Prop!$H:$H,Q$1,Prod_Prop!$I:$I,"Exacto"),Prod_Prop!$A:$A,Prod_Prop!$J:$J,"",0,1))</f>
        <v/>
      </c>
      <c r="R576" s="4" t="str">
        <f t="array" ref="R576">IF($E576="","", XLOOKUP(SUMIFS(Prod_Prop!$A:$A,Prod_Prop!$B:$B,$E576,Prod_Prop!$H:$H,R$1,Prod_Prop!$I:$I,"Exacto"),Prod_Prop!$A:$A,Prod_Prop!$J:$J,"",0,1))</f>
        <v/>
      </c>
      <c r="S576" s="4" t="str">
        <f t="array" ref="S576">IF($E576="","", XLOOKUP(SUMIFS(Prod_Prop!$A:$A,Prod_Prop!$B:$B,$E576,Prod_Prop!$H:$H,S$1,Prod_Prop!$I:$I,"Exacto"),Prod_Prop!$A:$A,Prod_Prop!$J:$J,"",0,1))</f>
        <v/>
      </c>
      <c r="T576" s="4" t="str">
        <f t="array" ref="T576">IF($E576="","", XLOOKUP(SUMIFS(Prod_Prop!$A:$A,Prod_Prop!$B:$B,$E576,Prod_Prop!$H:$H,T$1,Prod_Prop!$I:$I,"Exacto"),Prod_Prop!$A:$A,Prod_Prop!$J:$J,"",0,1))</f>
        <v/>
      </c>
      <c r="U576" s="4" t="str">
        <f t="array" ref="U576">IF($E576="","", XLOOKUP(SUMIFS(Prod_Prop!$A:$A,Prod_Prop!$B:$B,$E576,Prod_Prop!$H:$H,U$1,Prod_Prop!$I:$I,"Exacto"),Prod_Prop!$A:$A,Prod_Prop!$J:$J,"",0,1))</f>
        <v/>
      </c>
      <c r="V576" s="4" t="str">
        <f t="array" ref="V576">IF($E576="","", XLOOKUP(SUMIFS(Prod_Prop!$A:$A,Prod_Prop!$B:$B,$E576,Prod_Prop!$H:$H,V$1,Prod_Prop!$I:$I,"Exacto"),Prod_Prop!$A:$A,Prod_Prop!$J:$J,"",0,1))</f>
        <v/>
      </c>
      <c r="X576" s="3" t="str">
        <f>IFERROR(__xludf.DUMMYFUNCTION("IF(D576="""","""",IFERROR(TRANSPOSE(FILTER('Validaciones Cotizador'!U:U,'Validaciones Cotizador'!O:O=D576,'Validaciones Cotizador'!T:T=""x"")),""Finalizar""))"),"")</f>
        <v/>
      </c>
    </row>
    <row r="577">
      <c r="A577" s="2" t="str">
        <f t="array" ref="A577">IF(E577="","",XLOOKUP(D577,'Validaciones Cotizador'!C:C,'Validaciones Cotizador'!A:A,"",0,1))</f>
        <v/>
      </c>
      <c r="B577" s="2" t="str">
        <f t="array" ref="B577">IF(F577="","",XLOOKUP(F577,Productos!E:E,Productos!G:G,"",0,1))</f>
        <v/>
      </c>
      <c r="C577" s="2" t="str">
        <f>IF(A577="","",SUMIFS('Validaciones Cotizador'!B:B,'Validaciones Cotizador'!C:C,D577,'Validaciones Cotizador'!A:A,A577))</f>
        <v/>
      </c>
      <c r="D577" s="4" t="str">
        <f>IFERROR(__xludf.DUMMYFUNCTION("IF(OR(F576=""Finalizar"",F576="""",F576=""Selecciona..""),"""",IF(OR(F576=""-"",INDEX(filter(Familias!F:F,Familias!D:D=A576,Familias!E:E=C576),1)=""O""),D576+1,D576))"),"")</f>
        <v/>
      </c>
      <c r="E577" s="2" t="str">
        <f>IF(OR(F577="",F577="Selecciona.."),"",IF(D577="Implemento",SUMIF(Implementos!B:B,F577,Implementos!A:A),SUMIF(Productos!E:E,F577,Productos!A:A)))</f>
        <v/>
      </c>
      <c r="F577" s="2" t="str">
        <f t="shared" si="2"/>
        <v/>
      </c>
      <c r="G577" s="10" t="str">
        <f t="array" ref="G577">IF(OR(F577="",F577="-",F577="Selecciona..",F577="Finalizar"),"",IF(A577="Rodados",XLOOKUP(B577,'Validaciones Cotizador'!I:I,'Validaciones Cotizador'!J:J,0,0,1),1))</f>
        <v/>
      </c>
      <c r="H577" s="11" t="str">
        <f>IF(OR(F577="",F577="Selecciona.."),"",SUMIF(Precio_Productos!K:K,E577,Precio_Productos!J:J)*G577)</f>
        <v/>
      </c>
      <c r="I577" s="4" t="str">
        <f t="array" ref="I577">IF($E577="","", XLOOKUP(SUMIFS(Prod_Prop!$A:$A,Prod_Prop!$B:$B,$E577,Prod_Prop!$H:$H,I$1,Prod_Prop!$I:$I,"Exacto"),Prod_Prop!$A:$A,Prod_Prop!$J:$J,"",0,1))</f>
        <v/>
      </c>
      <c r="J577" s="4" t="str">
        <f t="array" ref="J577">IF($E577="","", XLOOKUP(SUMIFS(Prod_Prop!$A:$A,Prod_Prop!$B:$B,$E577,Prod_Prop!$H:$H,J$1,Prod_Prop!$I:$I,"Exacto"),Prod_Prop!$A:$A,Prod_Prop!$J:$J,"",0,1))</f>
        <v/>
      </c>
      <c r="K577" s="4" t="str">
        <f t="array" ref="K577">IF($E577="","", XLOOKUP(SUMIFS(Prod_Prop!$A:$A,Prod_Prop!$B:$B,$E577,Prod_Prop!$H:$H,K$1,Prod_Prop!$I:$I,"Exacto"),Prod_Prop!$A:$A,Prod_Prop!$J:$J,"",0,1))</f>
        <v/>
      </c>
      <c r="L577" s="4" t="str">
        <f t="array" ref="L577">IF($E577="","", XLOOKUP(SUMIFS(Prod_Prop!$A:$A,Prod_Prop!$B:$B,$E577,Prod_Prop!$H:$H,L$1,Prod_Prop!$I:$I,"Exacto"),Prod_Prop!$A:$A,Prod_Prop!$J:$J,"",0,1))</f>
        <v/>
      </c>
      <c r="M577" s="4" t="str">
        <f t="array" ref="M577">IF($E577="","", XLOOKUP(SUMIFS(Prod_Prop!$A:$A,Prod_Prop!$B:$B,$E577,Prod_Prop!$H:$H,M$1,Prod_Prop!$I:$I,"Exacto"),Prod_Prop!$A:$A,Prod_Prop!$J:$J,"",0,1))</f>
        <v/>
      </c>
      <c r="N577" s="4" t="str">
        <f t="array" ref="N577">IF($E577="","", XLOOKUP(SUMIFS(Prod_Prop!$A:$A,Prod_Prop!$B:$B,$E577,Prod_Prop!$H:$H,N$1,Prod_Prop!$I:$I,"Exacto"),Prod_Prop!$A:$A,Prod_Prop!$J:$J,"",0,1))</f>
        <v/>
      </c>
      <c r="O577" s="4" t="str">
        <f t="array" ref="O577">IF($E577="","", XLOOKUP(SUMIFS(Prod_Prop!$A:$A,Prod_Prop!$B:$B,$E577,Prod_Prop!$H:$H,O$1,Prod_Prop!$I:$I,"Exacto"),Prod_Prop!$A:$A,Prod_Prop!$J:$J,"",0,1))</f>
        <v/>
      </c>
      <c r="P577" s="4" t="str">
        <f t="array" ref="P577">IF($E577="","", XLOOKUP(SUMIFS(Prod_Prop!$A:$A,Prod_Prop!$B:$B,$E577,Prod_Prop!$H:$H,P$1,Prod_Prop!$I:$I,"Exacto"),Prod_Prop!$A:$A,Prod_Prop!$J:$J,"",0,1))</f>
        <v/>
      </c>
      <c r="Q577" s="4" t="str">
        <f t="array" ref="Q577">IF($E577="","", XLOOKUP(SUMIFS(Prod_Prop!$A:$A,Prod_Prop!$B:$B,$E577,Prod_Prop!$H:$H,Q$1,Prod_Prop!$I:$I,"Exacto"),Prod_Prop!$A:$A,Prod_Prop!$J:$J,"",0,1))</f>
        <v/>
      </c>
      <c r="R577" s="4" t="str">
        <f t="array" ref="R577">IF($E577="","", XLOOKUP(SUMIFS(Prod_Prop!$A:$A,Prod_Prop!$B:$B,$E577,Prod_Prop!$H:$H,R$1,Prod_Prop!$I:$I,"Exacto"),Prod_Prop!$A:$A,Prod_Prop!$J:$J,"",0,1))</f>
        <v/>
      </c>
      <c r="S577" s="4" t="str">
        <f t="array" ref="S577">IF($E577="","", XLOOKUP(SUMIFS(Prod_Prop!$A:$A,Prod_Prop!$B:$B,$E577,Prod_Prop!$H:$H,S$1,Prod_Prop!$I:$I,"Exacto"),Prod_Prop!$A:$A,Prod_Prop!$J:$J,"",0,1))</f>
        <v/>
      </c>
      <c r="T577" s="4" t="str">
        <f t="array" ref="T577">IF($E577="","", XLOOKUP(SUMIFS(Prod_Prop!$A:$A,Prod_Prop!$B:$B,$E577,Prod_Prop!$H:$H,T$1,Prod_Prop!$I:$I,"Exacto"),Prod_Prop!$A:$A,Prod_Prop!$J:$J,"",0,1))</f>
        <v/>
      </c>
      <c r="U577" s="4" t="str">
        <f t="array" ref="U577">IF($E577="","", XLOOKUP(SUMIFS(Prod_Prop!$A:$A,Prod_Prop!$B:$B,$E577,Prod_Prop!$H:$H,U$1,Prod_Prop!$I:$I,"Exacto"),Prod_Prop!$A:$A,Prod_Prop!$J:$J,"",0,1))</f>
        <v/>
      </c>
      <c r="V577" s="4" t="str">
        <f t="array" ref="V577">IF($E577="","", XLOOKUP(SUMIFS(Prod_Prop!$A:$A,Prod_Prop!$B:$B,$E577,Prod_Prop!$H:$H,V$1,Prod_Prop!$I:$I,"Exacto"),Prod_Prop!$A:$A,Prod_Prop!$J:$J,"",0,1))</f>
        <v/>
      </c>
      <c r="X577" s="3" t="str">
        <f>IFERROR(__xludf.DUMMYFUNCTION("IF(D577="""","""",IFERROR(TRANSPOSE(FILTER('Validaciones Cotizador'!U:U,'Validaciones Cotizador'!O:O=D577,'Validaciones Cotizador'!T:T=""x"")),""Finalizar""))"),"")</f>
        <v/>
      </c>
    </row>
    <row r="578">
      <c r="A578" s="2" t="str">
        <f t="array" ref="A578">IF(E578="","",XLOOKUP(D578,'Validaciones Cotizador'!C:C,'Validaciones Cotizador'!A:A,"",0,1))</f>
        <v/>
      </c>
      <c r="B578" s="2" t="str">
        <f t="array" ref="B578">IF(F578="","",XLOOKUP(F578,Productos!E:E,Productos!G:G,"",0,1))</f>
        <v/>
      </c>
      <c r="C578" s="2" t="str">
        <f>IF(A578="","",SUMIFS('Validaciones Cotizador'!B:B,'Validaciones Cotizador'!C:C,D578,'Validaciones Cotizador'!A:A,A578))</f>
        <v/>
      </c>
      <c r="D578" s="4" t="str">
        <f>IFERROR(__xludf.DUMMYFUNCTION("IF(OR(F577=""Finalizar"",F577="""",F577=""Selecciona..""),"""",IF(OR(F577=""-"",INDEX(filter(Familias!F:F,Familias!D:D=A577,Familias!E:E=C577),1)=""O""),D577+1,D577))"),"")</f>
        <v/>
      </c>
      <c r="E578" s="2" t="str">
        <f>IF(OR(F578="",F578="Selecciona.."),"",IF(D578="Implemento",SUMIF(Implementos!B:B,F578,Implementos!A:A),SUMIF(Productos!E:E,F578,Productos!A:A)))</f>
        <v/>
      </c>
      <c r="F578" s="2" t="str">
        <f t="shared" si="2"/>
        <v/>
      </c>
      <c r="G578" s="10" t="str">
        <f t="array" ref="G578">IF(OR(F578="",F578="-",F578="Selecciona..",F578="Finalizar"),"",IF(A578="Rodados",XLOOKUP(B578,'Validaciones Cotizador'!I:I,'Validaciones Cotizador'!J:J,0,0,1),1))</f>
        <v/>
      </c>
      <c r="H578" s="11" t="str">
        <f>IF(OR(F578="",F578="Selecciona.."),"",SUMIF(Precio_Productos!K:K,E578,Precio_Productos!J:J)*G578)</f>
        <v/>
      </c>
      <c r="I578" s="4" t="str">
        <f t="array" ref="I578">IF($E578="","", XLOOKUP(SUMIFS(Prod_Prop!$A:$A,Prod_Prop!$B:$B,$E578,Prod_Prop!$H:$H,I$1,Prod_Prop!$I:$I,"Exacto"),Prod_Prop!$A:$A,Prod_Prop!$J:$J,"",0,1))</f>
        <v/>
      </c>
      <c r="J578" s="4" t="str">
        <f t="array" ref="J578">IF($E578="","", XLOOKUP(SUMIFS(Prod_Prop!$A:$A,Prod_Prop!$B:$B,$E578,Prod_Prop!$H:$H,J$1,Prod_Prop!$I:$I,"Exacto"),Prod_Prop!$A:$A,Prod_Prop!$J:$J,"",0,1))</f>
        <v/>
      </c>
      <c r="K578" s="4" t="str">
        <f t="array" ref="K578">IF($E578="","", XLOOKUP(SUMIFS(Prod_Prop!$A:$A,Prod_Prop!$B:$B,$E578,Prod_Prop!$H:$H,K$1,Prod_Prop!$I:$I,"Exacto"),Prod_Prop!$A:$A,Prod_Prop!$J:$J,"",0,1))</f>
        <v/>
      </c>
      <c r="L578" s="4" t="str">
        <f t="array" ref="L578">IF($E578="","", XLOOKUP(SUMIFS(Prod_Prop!$A:$A,Prod_Prop!$B:$B,$E578,Prod_Prop!$H:$H,L$1,Prod_Prop!$I:$I,"Exacto"),Prod_Prop!$A:$A,Prod_Prop!$J:$J,"",0,1))</f>
        <v/>
      </c>
      <c r="M578" s="4" t="str">
        <f t="array" ref="M578">IF($E578="","", XLOOKUP(SUMIFS(Prod_Prop!$A:$A,Prod_Prop!$B:$B,$E578,Prod_Prop!$H:$H,M$1,Prod_Prop!$I:$I,"Exacto"),Prod_Prop!$A:$A,Prod_Prop!$J:$J,"",0,1))</f>
        <v/>
      </c>
      <c r="N578" s="4" t="str">
        <f t="array" ref="N578">IF($E578="","", XLOOKUP(SUMIFS(Prod_Prop!$A:$A,Prod_Prop!$B:$B,$E578,Prod_Prop!$H:$H,N$1,Prod_Prop!$I:$I,"Exacto"),Prod_Prop!$A:$A,Prod_Prop!$J:$J,"",0,1))</f>
        <v/>
      </c>
      <c r="O578" s="4" t="str">
        <f t="array" ref="O578">IF($E578="","", XLOOKUP(SUMIFS(Prod_Prop!$A:$A,Prod_Prop!$B:$B,$E578,Prod_Prop!$H:$H,O$1,Prod_Prop!$I:$I,"Exacto"),Prod_Prop!$A:$A,Prod_Prop!$J:$J,"",0,1))</f>
        <v/>
      </c>
      <c r="P578" s="4" t="str">
        <f t="array" ref="P578">IF($E578="","", XLOOKUP(SUMIFS(Prod_Prop!$A:$A,Prod_Prop!$B:$B,$E578,Prod_Prop!$H:$H,P$1,Prod_Prop!$I:$I,"Exacto"),Prod_Prop!$A:$A,Prod_Prop!$J:$J,"",0,1))</f>
        <v/>
      </c>
      <c r="Q578" s="4" t="str">
        <f t="array" ref="Q578">IF($E578="","", XLOOKUP(SUMIFS(Prod_Prop!$A:$A,Prod_Prop!$B:$B,$E578,Prod_Prop!$H:$H,Q$1,Prod_Prop!$I:$I,"Exacto"),Prod_Prop!$A:$A,Prod_Prop!$J:$J,"",0,1))</f>
        <v/>
      </c>
      <c r="R578" s="4" t="str">
        <f t="array" ref="R578">IF($E578="","", XLOOKUP(SUMIFS(Prod_Prop!$A:$A,Prod_Prop!$B:$B,$E578,Prod_Prop!$H:$H,R$1,Prod_Prop!$I:$I,"Exacto"),Prod_Prop!$A:$A,Prod_Prop!$J:$J,"",0,1))</f>
        <v/>
      </c>
      <c r="S578" s="4" t="str">
        <f t="array" ref="S578">IF($E578="","", XLOOKUP(SUMIFS(Prod_Prop!$A:$A,Prod_Prop!$B:$B,$E578,Prod_Prop!$H:$H,S$1,Prod_Prop!$I:$I,"Exacto"),Prod_Prop!$A:$A,Prod_Prop!$J:$J,"",0,1))</f>
        <v/>
      </c>
      <c r="T578" s="4" t="str">
        <f t="array" ref="T578">IF($E578="","", XLOOKUP(SUMIFS(Prod_Prop!$A:$A,Prod_Prop!$B:$B,$E578,Prod_Prop!$H:$H,T$1,Prod_Prop!$I:$I,"Exacto"),Prod_Prop!$A:$A,Prod_Prop!$J:$J,"",0,1))</f>
        <v/>
      </c>
      <c r="U578" s="4" t="str">
        <f t="array" ref="U578">IF($E578="","", XLOOKUP(SUMIFS(Prod_Prop!$A:$A,Prod_Prop!$B:$B,$E578,Prod_Prop!$H:$H,U$1,Prod_Prop!$I:$I,"Exacto"),Prod_Prop!$A:$A,Prod_Prop!$J:$J,"",0,1))</f>
        <v/>
      </c>
      <c r="V578" s="4" t="str">
        <f t="array" ref="V578">IF($E578="","", XLOOKUP(SUMIFS(Prod_Prop!$A:$A,Prod_Prop!$B:$B,$E578,Prod_Prop!$H:$H,V$1,Prod_Prop!$I:$I,"Exacto"),Prod_Prop!$A:$A,Prod_Prop!$J:$J,"",0,1))</f>
        <v/>
      </c>
      <c r="X578" s="3" t="str">
        <f>IFERROR(__xludf.DUMMYFUNCTION("IF(D578="""","""",IFERROR(TRANSPOSE(FILTER('Validaciones Cotizador'!U:U,'Validaciones Cotizador'!O:O=D578,'Validaciones Cotizador'!T:T=""x"")),""Finalizar""))"),"")</f>
        <v/>
      </c>
    </row>
    <row r="579">
      <c r="A579" s="2" t="str">
        <f t="array" ref="A579">IF(E579="","",XLOOKUP(D579,'Validaciones Cotizador'!C:C,'Validaciones Cotizador'!A:A,"",0,1))</f>
        <v/>
      </c>
      <c r="B579" s="2" t="str">
        <f t="array" ref="B579">IF(F579="","",XLOOKUP(F579,Productos!E:E,Productos!G:G,"",0,1))</f>
        <v/>
      </c>
      <c r="C579" s="2" t="str">
        <f>IF(A579="","",SUMIFS('Validaciones Cotizador'!B:B,'Validaciones Cotizador'!C:C,D579,'Validaciones Cotizador'!A:A,A579))</f>
        <v/>
      </c>
      <c r="D579" s="4" t="str">
        <f>IFERROR(__xludf.DUMMYFUNCTION("IF(OR(F578=""Finalizar"",F578="""",F578=""Selecciona..""),"""",IF(OR(F578=""-"",INDEX(filter(Familias!F:F,Familias!D:D=A578,Familias!E:E=C578),1)=""O""),D578+1,D578))"),"")</f>
        <v/>
      </c>
      <c r="E579" s="2" t="str">
        <f>IF(OR(F579="",F579="Selecciona.."),"",IF(D579="Implemento",SUMIF(Implementos!B:B,F579,Implementos!A:A),SUMIF(Productos!E:E,F579,Productos!A:A)))</f>
        <v/>
      </c>
      <c r="F579" s="2" t="str">
        <f t="shared" si="2"/>
        <v/>
      </c>
      <c r="G579" s="10" t="str">
        <f t="array" ref="G579">IF(OR(F579="",F579="-",F579="Selecciona..",F579="Finalizar"),"",IF(A579="Rodados",XLOOKUP(B579,'Validaciones Cotizador'!I:I,'Validaciones Cotizador'!J:J,0,0,1),1))</f>
        <v/>
      </c>
      <c r="H579" s="11" t="str">
        <f>IF(OR(F579="",F579="Selecciona.."),"",SUMIF(Precio_Productos!K:K,E579,Precio_Productos!J:J)*G579)</f>
        <v/>
      </c>
      <c r="I579" s="4" t="str">
        <f t="array" ref="I579">IF($E579="","", XLOOKUP(SUMIFS(Prod_Prop!$A:$A,Prod_Prop!$B:$B,$E579,Prod_Prop!$H:$H,I$1,Prod_Prop!$I:$I,"Exacto"),Prod_Prop!$A:$A,Prod_Prop!$J:$J,"",0,1))</f>
        <v/>
      </c>
      <c r="J579" s="4" t="str">
        <f t="array" ref="J579">IF($E579="","", XLOOKUP(SUMIFS(Prod_Prop!$A:$A,Prod_Prop!$B:$B,$E579,Prod_Prop!$H:$H,J$1,Prod_Prop!$I:$I,"Exacto"),Prod_Prop!$A:$A,Prod_Prop!$J:$J,"",0,1))</f>
        <v/>
      </c>
      <c r="K579" s="4" t="str">
        <f t="array" ref="K579">IF($E579="","", XLOOKUP(SUMIFS(Prod_Prop!$A:$A,Prod_Prop!$B:$B,$E579,Prod_Prop!$H:$H,K$1,Prod_Prop!$I:$I,"Exacto"),Prod_Prop!$A:$A,Prod_Prop!$J:$J,"",0,1))</f>
        <v/>
      </c>
      <c r="L579" s="4" t="str">
        <f t="array" ref="L579">IF($E579="","", XLOOKUP(SUMIFS(Prod_Prop!$A:$A,Prod_Prop!$B:$B,$E579,Prod_Prop!$H:$H,L$1,Prod_Prop!$I:$I,"Exacto"),Prod_Prop!$A:$A,Prod_Prop!$J:$J,"",0,1))</f>
        <v/>
      </c>
      <c r="M579" s="4" t="str">
        <f t="array" ref="M579">IF($E579="","", XLOOKUP(SUMIFS(Prod_Prop!$A:$A,Prod_Prop!$B:$B,$E579,Prod_Prop!$H:$H,M$1,Prod_Prop!$I:$I,"Exacto"),Prod_Prop!$A:$A,Prod_Prop!$J:$J,"",0,1))</f>
        <v/>
      </c>
      <c r="N579" s="4" t="str">
        <f t="array" ref="N579">IF($E579="","", XLOOKUP(SUMIFS(Prod_Prop!$A:$A,Prod_Prop!$B:$B,$E579,Prod_Prop!$H:$H,N$1,Prod_Prop!$I:$I,"Exacto"),Prod_Prop!$A:$A,Prod_Prop!$J:$J,"",0,1))</f>
        <v/>
      </c>
      <c r="O579" s="4" t="str">
        <f t="array" ref="O579">IF($E579="","", XLOOKUP(SUMIFS(Prod_Prop!$A:$A,Prod_Prop!$B:$B,$E579,Prod_Prop!$H:$H,O$1,Prod_Prop!$I:$I,"Exacto"),Prod_Prop!$A:$A,Prod_Prop!$J:$J,"",0,1))</f>
        <v/>
      </c>
      <c r="P579" s="4" t="str">
        <f t="array" ref="P579">IF($E579="","", XLOOKUP(SUMIFS(Prod_Prop!$A:$A,Prod_Prop!$B:$B,$E579,Prod_Prop!$H:$H,P$1,Prod_Prop!$I:$I,"Exacto"),Prod_Prop!$A:$A,Prod_Prop!$J:$J,"",0,1))</f>
        <v/>
      </c>
      <c r="Q579" s="4" t="str">
        <f t="array" ref="Q579">IF($E579="","", XLOOKUP(SUMIFS(Prod_Prop!$A:$A,Prod_Prop!$B:$B,$E579,Prod_Prop!$H:$H,Q$1,Prod_Prop!$I:$I,"Exacto"),Prod_Prop!$A:$A,Prod_Prop!$J:$J,"",0,1))</f>
        <v/>
      </c>
      <c r="R579" s="4" t="str">
        <f t="array" ref="R579">IF($E579="","", XLOOKUP(SUMIFS(Prod_Prop!$A:$A,Prod_Prop!$B:$B,$E579,Prod_Prop!$H:$H,R$1,Prod_Prop!$I:$I,"Exacto"),Prod_Prop!$A:$A,Prod_Prop!$J:$J,"",0,1))</f>
        <v/>
      </c>
      <c r="S579" s="4" t="str">
        <f t="array" ref="S579">IF($E579="","", XLOOKUP(SUMIFS(Prod_Prop!$A:$A,Prod_Prop!$B:$B,$E579,Prod_Prop!$H:$H,S$1,Prod_Prop!$I:$I,"Exacto"),Prod_Prop!$A:$A,Prod_Prop!$J:$J,"",0,1))</f>
        <v/>
      </c>
      <c r="T579" s="4" t="str">
        <f t="array" ref="T579">IF($E579="","", XLOOKUP(SUMIFS(Prod_Prop!$A:$A,Prod_Prop!$B:$B,$E579,Prod_Prop!$H:$H,T$1,Prod_Prop!$I:$I,"Exacto"),Prod_Prop!$A:$A,Prod_Prop!$J:$J,"",0,1))</f>
        <v/>
      </c>
      <c r="U579" s="4" t="str">
        <f t="array" ref="U579">IF($E579="","", XLOOKUP(SUMIFS(Prod_Prop!$A:$A,Prod_Prop!$B:$B,$E579,Prod_Prop!$H:$H,U$1,Prod_Prop!$I:$I,"Exacto"),Prod_Prop!$A:$A,Prod_Prop!$J:$J,"",0,1))</f>
        <v/>
      </c>
      <c r="V579" s="4" t="str">
        <f t="array" ref="V579">IF($E579="","", XLOOKUP(SUMIFS(Prod_Prop!$A:$A,Prod_Prop!$B:$B,$E579,Prod_Prop!$H:$H,V$1,Prod_Prop!$I:$I,"Exacto"),Prod_Prop!$A:$A,Prod_Prop!$J:$J,"",0,1))</f>
        <v/>
      </c>
      <c r="X579" s="3" t="str">
        <f>IFERROR(__xludf.DUMMYFUNCTION("IF(D579="""","""",IFERROR(TRANSPOSE(FILTER('Validaciones Cotizador'!U:U,'Validaciones Cotizador'!O:O=D579,'Validaciones Cotizador'!T:T=""x"")),""Finalizar""))"),"")</f>
        <v/>
      </c>
    </row>
    <row r="580">
      <c r="A580" s="2" t="str">
        <f t="array" ref="A580">IF(E580="","",XLOOKUP(D580,'Validaciones Cotizador'!C:C,'Validaciones Cotizador'!A:A,"",0,1))</f>
        <v/>
      </c>
      <c r="B580" s="2" t="str">
        <f t="array" ref="B580">IF(F580="","",XLOOKUP(F580,Productos!E:E,Productos!G:G,"",0,1))</f>
        <v/>
      </c>
      <c r="C580" s="2" t="str">
        <f>IF(A580="","",SUMIFS('Validaciones Cotizador'!B:B,'Validaciones Cotizador'!C:C,D580,'Validaciones Cotizador'!A:A,A580))</f>
        <v/>
      </c>
      <c r="D580" s="4" t="str">
        <f>IFERROR(__xludf.DUMMYFUNCTION("IF(OR(F579=""Finalizar"",F579="""",F579=""Selecciona..""),"""",IF(OR(F579=""-"",INDEX(filter(Familias!F:F,Familias!D:D=A579,Familias!E:E=C579),1)=""O""),D579+1,D579))"),"")</f>
        <v/>
      </c>
      <c r="E580" s="2" t="str">
        <f>IF(OR(F580="",F580="Selecciona.."),"",IF(D580="Implemento",SUMIF(Implementos!B:B,F580,Implementos!A:A),SUMIF(Productos!E:E,F580,Productos!A:A)))</f>
        <v/>
      </c>
      <c r="F580" s="2" t="str">
        <f t="shared" si="2"/>
        <v/>
      </c>
      <c r="G580" s="10" t="str">
        <f t="array" ref="G580">IF(OR(F580="",F580="-",F580="Selecciona..",F580="Finalizar"),"",IF(A580="Rodados",XLOOKUP(B580,'Validaciones Cotizador'!I:I,'Validaciones Cotizador'!J:J,0,0,1),1))</f>
        <v/>
      </c>
      <c r="H580" s="11" t="str">
        <f>IF(OR(F580="",F580="Selecciona.."),"",SUMIF(Precio_Productos!K:K,E580,Precio_Productos!J:J)*G580)</f>
        <v/>
      </c>
      <c r="I580" s="4" t="str">
        <f t="array" ref="I580">IF($E580="","", XLOOKUP(SUMIFS(Prod_Prop!$A:$A,Prod_Prop!$B:$B,$E580,Prod_Prop!$H:$H,I$1,Prod_Prop!$I:$I,"Exacto"),Prod_Prop!$A:$A,Prod_Prop!$J:$J,"",0,1))</f>
        <v/>
      </c>
      <c r="J580" s="4" t="str">
        <f t="array" ref="J580">IF($E580="","", XLOOKUP(SUMIFS(Prod_Prop!$A:$A,Prod_Prop!$B:$B,$E580,Prod_Prop!$H:$H,J$1,Prod_Prop!$I:$I,"Exacto"),Prod_Prop!$A:$A,Prod_Prop!$J:$J,"",0,1))</f>
        <v/>
      </c>
      <c r="K580" s="4" t="str">
        <f t="array" ref="K580">IF($E580="","", XLOOKUP(SUMIFS(Prod_Prop!$A:$A,Prod_Prop!$B:$B,$E580,Prod_Prop!$H:$H,K$1,Prod_Prop!$I:$I,"Exacto"),Prod_Prop!$A:$A,Prod_Prop!$J:$J,"",0,1))</f>
        <v/>
      </c>
      <c r="L580" s="4" t="str">
        <f t="array" ref="L580">IF($E580="","", XLOOKUP(SUMIFS(Prod_Prop!$A:$A,Prod_Prop!$B:$B,$E580,Prod_Prop!$H:$H,L$1,Prod_Prop!$I:$I,"Exacto"),Prod_Prop!$A:$A,Prod_Prop!$J:$J,"",0,1))</f>
        <v/>
      </c>
      <c r="M580" s="4" t="str">
        <f t="array" ref="M580">IF($E580="","", XLOOKUP(SUMIFS(Prod_Prop!$A:$A,Prod_Prop!$B:$B,$E580,Prod_Prop!$H:$H,M$1,Prod_Prop!$I:$I,"Exacto"),Prod_Prop!$A:$A,Prod_Prop!$J:$J,"",0,1))</f>
        <v/>
      </c>
      <c r="N580" s="4" t="str">
        <f t="array" ref="N580">IF($E580="","", XLOOKUP(SUMIFS(Prod_Prop!$A:$A,Prod_Prop!$B:$B,$E580,Prod_Prop!$H:$H,N$1,Prod_Prop!$I:$I,"Exacto"),Prod_Prop!$A:$A,Prod_Prop!$J:$J,"",0,1))</f>
        <v/>
      </c>
      <c r="O580" s="4" t="str">
        <f t="array" ref="O580">IF($E580="","", XLOOKUP(SUMIFS(Prod_Prop!$A:$A,Prod_Prop!$B:$B,$E580,Prod_Prop!$H:$H,O$1,Prod_Prop!$I:$I,"Exacto"),Prod_Prop!$A:$A,Prod_Prop!$J:$J,"",0,1))</f>
        <v/>
      </c>
      <c r="P580" s="4" t="str">
        <f t="array" ref="P580">IF($E580="","", XLOOKUP(SUMIFS(Prod_Prop!$A:$A,Prod_Prop!$B:$B,$E580,Prod_Prop!$H:$H,P$1,Prod_Prop!$I:$I,"Exacto"),Prod_Prop!$A:$A,Prod_Prop!$J:$J,"",0,1))</f>
        <v/>
      </c>
      <c r="Q580" s="4" t="str">
        <f t="array" ref="Q580">IF($E580="","", XLOOKUP(SUMIFS(Prod_Prop!$A:$A,Prod_Prop!$B:$B,$E580,Prod_Prop!$H:$H,Q$1,Prod_Prop!$I:$I,"Exacto"),Prod_Prop!$A:$A,Prod_Prop!$J:$J,"",0,1))</f>
        <v/>
      </c>
      <c r="R580" s="4" t="str">
        <f t="array" ref="R580">IF($E580="","", XLOOKUP(SUMIFS(Prod_Prop!$A:$A,Prod_Prop!$B:$B,$E580,Prod_Prop!$H:$H,R$1,Prod_Prop!$I:$I,"Exacto"),Prod_Prop!$A:$A,Prod_Prop!$J:$J,"",0,1))</f>
        <v/>
      </c>
      <c r="S580" s="4" t="str">
        <f t="array" ref="S580">IF($E580="","", XLOOKUP(SUMIFS(Prod_Prop!$A:$A,Prod_Prop!$B:$B,$E580,Prod_Prop!$H:$H,S$1,Prod_Prop!$I:$I,"Exacto"),Prod_Prop!$A:$A,Prod_Prop!$J:$J,"",0,1))</f>
        <v/>
      </c>
      <c r="T580" s="4" t="str">
        <f t="array" ref="T580">IF($E580="","", XLOOKUP(SUMIFS(Prod_Prop!$A:$A,Prod_Prop!$B:$B,$E580,Prod_Prop!$H:$H,T$1,Prod_Prop!$I:$I,"Exacto"),Prod_Prop!$A:$A,Prod_Prop!$J:$J,"",0,1))</f>
        <v/>
      </c>
      <c r="U580" s="4" t="str">
        <f t="array" ref="U580">IF($E580="","", XLOOKUP(SUMIFS(Prod_Prop!$A:$A,Prod_Prop!$B:$B,$E580,Prod_Prop!$H:$H,U$1,Prod_Prop!$I:$I,"Exacto"),Prod_Prop!$A:$A,Prod_Prop!$J:$J,"",0,1))</f>
        <v/>
      </c>
      <c r="V580" s="4" t="str">
        <f t="array" ref="V580">IF($E580="","", XLOOKUP(SUMIFS(Prod_Prop!$A:$A,Prod_Prop!$B:$B,$E580,Prod_Prop!$H:$H,V$1,Prod_Prop!$I:$I,"Exacto"),Prod_Prop!$A:$A,Prod_Prop!$J:$J,"",0,1))</f>
        <v/>
      </c>
      <c r="X580" s="3" t="str">
        <f>IFERROR(__xludf.DUMMYFUNCTION("IF(D580="""","""",IFERROR(TRANSPOSE(FILTER('Validaciones Cotizador'!U:U,'Validaciones Cotizador'!O:O=D580,'Validaciones Cotizador'!T:T=""x"")),""Finalizar""))"),"")</f>
        <v/>
      </c>
    </row>
    <row r="581">
      <c r="A581" s="2" t="str">
        <f t="array" ref="A581">IF(E581="","",XLOOKUP(D581,'Validaciones Cotizador'!C:C,'Validaciones Cotizador'!A:A,"",0,1))</f>
        <v/>
      </c>
      <c r="B581" s="2" t="str">
        <f t="array" ref="B581">IF(F581="","",XLOOKUP(F581,Productos!E:E,Productos!G:G,"",0,1))</f>
        <v/>
      </c>
      <c r="C581" s="2" t="str">
        <f>IF(A581="","",SUMIFS('Validaciones Cotizador'!B:B,'Validaciones Cotizador'!C:C,D581,'Validaciones Cotizador'!A:A,A581))</f>
        <v/>
      </c>
      <c r="D581" s="4" t="str">
        <f>IFERROR(__xludf.DUMMYFUNCTION("IF(OR(F580=""Finalizar"",F580="""",F580=""Selecciona..""),"""",IF(OR(F580=""-"",INDEX(filter(Familias!F:F,Familias!D:D=A580,Familias!E:E=C580),1)=""O""),D580+1,D580))"),"")</f>
        <v/>
      </c>
      <c r="E581" s="2" t="str">
        <f>IF(OR(F581="",F581="Selecciona.."),"",IF(D581="Implemento",SUMIF(Implementos!B:B,F581,Implementos!A:A),SUMIF(Productos!E:E,F581,Productos!A:A)))</f>
        <v/>
      </c>
      <c r="F581" s="2" t="str">
        <f t="shared" si="2"/>
        <v/>
      </c>
      <c r="G581" s="10" t="str">
        <f t="array" ref="G581">IF(OR(F581="",F581="-",F581="Selecciona..",F581="Finalizar"),"",IF(A581="Rodados",XLOOKUP(B581,'Validaciones Cotizador'!I:I,'Validaciones Cotizador'!J:J,0,0,1),1))</f>
        <v/>
      </c>
      <c r="H581" s="11" t="str">
        <f>IF(OR(F581="",F581="Selecciona.."),"",SUMIF(Precio_Productos!K:K,E581,Precio_Productos!J:J)*G581)</f>
        <v/>
      </c>
      <c r="I581" s="4" t="str">
        <f t="array" ref="I581">IF($E581="","", XLOOKUP(SUMIFS(Prod_Prop!$A:$A,Prod_Prop!$B:$B,$E581,Prod_Prop!$H:$H,I$1,Prod_Prop!$I:$I,"Exacto"),Prod_Prop!$A:$A,Prod_Prop!$J:$J,"",0,1))</f>
        <v/>
      </c>
      <c r="J581" s="4" t="str">
        <f t="array" ref="J581">IF($E581="","", XLOOKUP(SUMIFS(Prod_Prop!$A:$A,Prod_Prop!$B:$B,$E581,Prod_Prop!$H:$H,J$1,Prod_Prop!$I:$I,"Exacto"),Prod_Prop!$A:$A,Prod_Prop!$J:$J,"",0,1))</f>
        <v/>
      </c>
      <c r="K581" s="4" t="str">
        <f t="array" ref="K581">IF($E581="","", XLOOKUP(SUMIFS(Prod_Prop!$A:$A,Prod_Prop!$B:$B,$E581,Prod_Prop!$H:$H,K$1,Prod_Prop!$I:$I,"Exacto"),Prod_Prop!$A:$A,Prod_Prop!$J:$J,"",0,1))</f>
        <v/>
      </c>
      <c r="L581" s="4" t="str">
        <f t="array" ref="L581">IF($E581="","", XLOOKUP(SUMIFS(Prod_Prop!$A:$A,Prod_Prop!$B:$B,$E581,Prod_Prop!$H:$H,L$1,Prod_Prop!$I:$I,"Exacto"),Prod_Prop!$A:$A,Prod_Prop!$J:$J,"",0,1))</f>
        <v/>
      </c>
      <c r="M581" s="4" t="str">
        <f t="array" ref="M581">IF($E581="","", XLOOKUP(SUMIFS(Prod_Prop!$A:$A,Prod_Prop!$B:$B,$E581,Prod_Prop!$H:$H,M$1,Prod_Prop!$I:$I,"Exacto"),Prod_Prop!$A:$A,Prod_Prop!$J:$J,"",0,1))</f>
        <v/>
      </c>
      <c r="N581" s="4" t="str">
        <f t="array" ref="N581">IF($E581="","", XLOOKUP(SUMIFS(Prod_Prop!$A:$A,Prod_Prop!$B:$B,$E581,Prod_Prop!$H:$H,N$1,Prod_Prop!$I:$I,"Exacto"),Prod_Prop!$A:$A,Prod_Prop!$J:$J,"",0,1))</f>
        <v/>
      </c>
      <c r="O581" s="4" t="str">
        <f t="array" ref="O581">IF($E581="","", XLOOKUP(SUMIFS(Prod_Prop!$A:$A,Prod_Prop!$B:$B,$E581,Prod_Prop!$H:$H,O$1,Prod_Prop!$I:$I,"Exacto"),Prod_Prop!$A:$A,Prod_Prop!$J:$J,"",0,1))</f>
        <v/>
      </c>
      <c r="P581" s="4" t="str">
        <f t="array" ref="P581">IF($E581="","", XLOOKUP(SUMIFS(Prod_Prop!$A:$A,Prod_Prop!$B:$B,$E581,Prod_Prop!$H:$H,P$1,Prod_Prop!$I:$I,"Exacto"),Prod_Prop!$A:$A,Prod_Prop!$J:$J,"",0,1))</f>
        <v/>
      </c>
      <c r="Q581" s="4" t="str">
        <f t="array" ref="Q581">IF($E581="","", XLOOKUP(SUMIFS(Prod_Prop!$A:$A,Prod_Prop!$B:$B,$E581,Prod_Prop!$H:$H,Q$1,Prod_Prop!$I:$I,"Exacto"),Prod_Prop!$A:$A,Prod_Prop!$J:$J,"",0,1))</f>
        <v/>
      </c>
      <c r="R581" s="4" t="str">
        <f t="array" ref="R581">IF($E581="","", XLOOKUP(SUMIFS(Prod_Prop!$A:$A,Prod_Prop!$B:$B,$E581,Prod_Prop!$H:$H,R$1,Prod_Prop!$I:$I,"Exacto"),Prod_Prop!$A:$A,Prod_Prop!$J:$J,"",0,1))</f>
        <v/>
      </c>
      <c r="S581" s="4" t="str">
        <f t="array" ref="S581">IF($E581="","", XLOOKUP(SUMIFS(Prod_Prop!$A:$A,Prod_Prop!$B:$B,$E581,Prod_Prop!$H:$H,S$1,Prod_Prop!$I:$I,"Exacto"),Prod_Prop!$A:$A,Prod_Prop!$J:$J,"",0,1))</f>
        <v/>
      </c>
      <c r="T581" s="4" t="str">
        <f t="array" ref="T581">IF($E581="","", XLOOKUP(SUMIFS(Prod_Prop!$A:$A,Prod_Prop!$B:$B,$E581,Prod_Prop!$H:$H,T$1,Prod_Prop!$I:$I,"Exacto"),Prod_Prop!$A:$A,Prod_Prop!$J:$J,"",0,1))</f>
        <v/>
      </c>
      <c r="U581" s="4" t="str">
        <f t="array" ref="U581">IF($E581="","", XLOOKUP(SUMIFS(Prod_Prop!$A:$A,Prod_Prop!$B:$B,$E581,Prod_Prop!$H:$H,U$1,Prod_Prop!$I:$I,"Exacto"),Prod_Prop!$A:$A,Prod_Prop!$J:$J,"",0,1))</f>
        <v/>
      </c>
      <c r="V581" s="4" t="str">
        <f t="array" ref="V581">IF($E581="","", XLOOKUP(SUMIFS(Prod_Prop!$A:$A,Prod_Prop!$B:$B,$E581,Prod_Prop!$H:$H,V$1,Prod_Prop!$I:$I,"Exacto"),Prod_Prop!$A:$A,Prod_Prop!$J:$J,"",0,1))</f>
        <v/>
      </c>
      <c r="X581" s="3" t="str">
        <f>IFERROR(__xludf.DUMMYFUNCTION("IF(D581="""","""",IFERROR(TRANSPOSE(FILTER('Validaciones Cotizador'!U:U,'Validaciones Cotizador'!O:O=D581,'Validaciones Cotizador'!T:T=""x"")),""Finalizar""))"),"")</f>
        <v/>
      </c>
    </row>
    <row r="582">
      <c r="A582" s="2" t="str">
        <f t="array" ref="A582">IF(E582="","",XLOOKUP(D582,'Validaciones Cotizador'!C:C,'Validaciones Cotizador'!A:A,"",0,1))</f>
        <v/>
      </c>
      <c r="B582" s="2" t="str">
        <f t="array" ref="B582">IF(F582="","",XLOOKUP(F582,Productos!E:E,Productos!G:G,"",0,1))</f>
        <v/>
      </c>
      <c r="C582" s="2" t="str">
        <f>IF(A582="","",SUMIFS('Validaciones Cotizador'!B:B,'Validaciones Cotizador'!C:C,D582,'Validaciones Cotizador'!A:A,A582))</f>
        <v/>
      </c>
      <c r="D582" s="4" t="str">
        <f>IFERROR(__xludf.DUMMYFUNCTION("IF(OR(F581=""Finalizar"",F581="""",F581=""Selecciona..""),"""",IF(OR(F581=""-"",INDEX(filter(Familias!F:F,Familias!D:D=A581,Familias!E:E=C581),1)=""O""),D581+1,D581))"),"")</f>
        <v/>
      </c>
      <c r="E582" s="2" t="str">
        <f>IF(OR(F582="",F582="Selecciona.."),"",IF(D582="Implemento",SUMIF(Implementos!B:B,F582,Implementos!A:A),SUMIF(Productos!E:E,F582,Productos!A:A)))</f>
        <v/>
      </c>
      <c r="F582" s="2" t="str">
        <f t="shared" si="2"/>
        <v/>
      </c>
      <c r="G582" s="10" t="str">
        <f t="array" ref="G582">IF(OR(F582="",F582="-",F582="Selecciona..",F582="Finalizar"),"",IF(A582="Rodados",XLOOKUP(B582,'Validaciones Cotizador'!I:I,'Validaciones Cotizador'!J:J,0,0,1),1))</f>
        <v/>
      </c>
      <c r="H582" s="11" t="str">
        <f>IF(OR(F582="",F582="Selecciona.."),"",SUMIF(Precio_Productos!K:K,E582,Precio_Productos!J:J)*G582)</f>
        <v/>
      </c>
      <c r="I582" s="4" t="str">
        <f t="array" ref="I582">IF($E582="","", XLOOKUP(SUMIFS(Prod_Prop!$A:$A,Prod_Prop!$B:$B,$E582,Prod_Prop!$H:$H,I$1,Prod_Prop!$I:$I,"Exacto"),Prod_Prop!$A:$A,Prod_Prop!$J:$J,"",0,1))</f>
        <v/>
      </c>
      <c r="J582" s="4" t="str">
        <f t="array" ref="J582">IF($E582="","", XLOOKUP(SUMIFS(Prod_Prop!$A:$A,Prod_Prop!$B:$B,$E582,Prod_Prop!$H:$H,J$1,Prod_Prop!$I:$I,"Exacto"),Prod_Prop!$A:$A,Prod_Prop!$J:$J,"",0,1))</f>
        <v/>
      </c>
      <c r="K582" s="4" t="str">
        <f t="array" ref="K582">IF($E582="","", XLOOKUP(SUMIFS(Prod_Prop!$A:$A,Prod_Prop!$B:$B,$E582,Prod_Prop!$H:$H,K$1,Prod_Prop!$I:$I,"Exacto"),Prod_Prop!$A:$A,Prod_Prop!$J:$J,"",0,1))</f>
        <v/>
      </c>
      <c r="L582" s="4" t="str">
        <f t="array" ref="L582">IF($E582="","", XLOOKUP(SUMIFS(Prod_Prop!$A:$A,Prod_Prop!$B:$B,$E582,Prod_Prop!$H:$H,L$1,Prod_Prop!$I:$I,"Exacto"),Prod_Prop!$A:$A,Prod_Prop!$J:$J,"",0,1))</f>
        <v/>
      </c>
      <c r="M582" s="4" t="str">
        <f t="array" ref="M582">IF($E582="","", XLOOKUP(SUMIFS(Prod_Prop!$A:$A,Prod_Prop!$B:$B,$E582,Prod_Prop!$H:$H,M$1,Prod_Prop!$I:$I,"Exacto"),Prod_Prop!$A:$A,Prod_Prop!$J:$J,"",0,1))</f>
        <v/>
      </c>
      <c r="N582" s="4" t="str">
        <f t="array" ref="N582">IF($E582="","", XLOOKUP(SUMIFS(Prod_Prop!$A:$A,Prod_Prop!$B:$B,$E582,Prod_Prop!$H:$H,N$1,Prod_Prop!$I:$I,"Exacto"),Prod_Prop!$A:$A,Prod_Prop!$J:$J,"",0,1))</f>
        <v/>
      </c>
      <c r="O582" s="4" t="str">
        <f t="array" ref="O582">IF($E582="","", XLOOKUP(SUMIFS(Prod_Prop!$A:$A,Prod_Prop!$B:$B,$E582,Prod_Prop!$H:$H,O$1,Prod_Prop!$I:$I,"Exacto"),Prod_Prop!$A:$A,Prod_Prop!$J:$J,"",0,1))</f>
        <v/>
      </c>
      <c r="P582" s="4" t="str">
        <f t="array" ref="P582">IF($E582="","", XLOOKUP(SUMIFS(Prod_Prop!$A:$A,Prod_Prop!$B:$B,$E582,Prod_Prop!$H:$H,P$1,Prod_Prop!$I:$I,"Exacto"),Prod_Prop!$A:$A,Prod_Prop!$J:$J,"",0,1))</f>
        <v/>
      </c>
      <c r="Q582" s="4" t="str">
        <f t="array" ref="Q582">IF($E582="","", XLOOKUP(SUMIFS(Prod_Prop!$A:$A,Prod_Prop!$B:$B,$E582,Prod_Prop!$H:$H,Q$1,Prod_Prop!$I:$I,"Exacto"),Prod_Prop!$A:$A,Prod_Prop!$J:$J,"",0,1))</f>
        <v/>
      </c>
      <c r="R582" s="4" t="str">
        <f t="array" ref="R582">IF($E582="","", XLOOKUP(SUMIFS(Prod_Prop!$A:$A,Prod_Prop!$B:$B,$E582,Prod_Prop!$H:$H,R$1,Prod_Prop!$I:$I,"Exacto"),Prod_Prop!$A:$A,Prod_Prop!$J:$J,"",0,1))</f>
        <v/>
      </c>
      <c r="S582" s="4" t="str">
        <f t="array" ref="S582">IF($E582="","", XLOOKUP(SUMIFS(Prod_Prop!$A:$A,Prod_Prop!$B:$B,$E582,Prod_Prop!$H:$H,S$1,Prod_Prop!$I:$I,"Exacto"),Prod_Prop!$A:$A,Prod_Prop!$J:$J,"",0,1))</f>
        <v/>
      </c>
      <c r="T582" s="4" t="str">
        <f t="array" ref="T582">IF($E582="","", XLOOKUP(SUMIFS(Prod_Prop!$A:$A,Prod_Prop!$B:$B,$E582,Prod_Prop!$H:$H,T$1,Prod_Prop!$I:$I,"Exacto"),Prod_Prop!$A:$A,Prod_Prop!$J:$J,"",0,1))</f>
        <v/>
      </c>
      <c r="U582" s="4" t="str">
        <f t="array" ref="U582">IF($E582="","", XLOOKUP(SUMIFS(Prod_Prop!$A:$A,Prod_Prop!$B:$B,$E582,Prod_Prop!$H:$H,U$1,Prod_Prop!$I:$I,"Exacto"),Prod_Prop!$A:$A,Prod_Prop!$J:$J,"",0,1))</f>
        <v/>
      </c>
      <c r="V582" s="4" t="str">
        <f t="array" ref="V582">IF($E582="","", XLOOKUP(SUMIFS(Prod_Prop!$A:$A,Prod_Prop!$B:$B,$E582,Prod_Prop!$H:$H,V$1,Prod_Prop!$I:$I,"Exacto"),Prod_Prop!$A:$A,Prod_Prop!$J:$J,"",0,1))</f>
        <v/>
      </c>
      <c r="X582" s="3" t="str">
        <f>IFERROR(__xludf.DUMMYFUNCTION("IF(D582="""","""",IFERROR(TRANSPOSE(FILTER('Validaciones Cotizador'!U:U,'Validaciones Cotizador'!O:O=D582,'Validaciones Cotizador'!T:T=""x"")),""Finalizar""))"),"")</f>
        <v/>
      </c>
    </row>
    <row r="583">
      <c r="A583" s="2" t="str">
        <f t="array" ref="A583">IF(E583="","",XLOOKUP(D583,'Validaciones Cotizador'!C:C,'Validaciones Cotizador'!A:A,"",0,1))</f>
        <v/>
      </c>
      <c r="B583" s="2" t="str">
        <f t="array" ref="B583">IF(F583="","",XLOOKUP(F583,Productos!E:E,Productos!G:G,"",0,1))</f>
        <v/>
      </c>
      <c r="C583" s="2" t="str">
        <f>IF(A583="","",SUMIFS('Validaciones Cotizador'!B:B,'Validaciones Cotizador'!C:C,D583,'Validaciones Cotizador'!A:A,A583))</f>
        <v/>
      </c>
      <c r="D583" s="4" t="str">
        <f>IFERROR(__xludf.DUMMYFUNCTION("IF(OR(F582=""Finalizar"",F582="""",F582=""Selecciona..""),"""",IF(OR(F582=""-"",INDEX(filter(Familias!F:F,Familias!D:D=A582,Familias!E:E=C582),1)=""O""),D582+1,D582))"),"")</f>
        <v/>
      </c>
      <c r="E583" s="2" t="str">
        <f>IF(OR(F583="",F583="Selecciona.."),"",IF(D583="Implemento",SUMIF(Implementos!B:B,F583,Implementos!A:A),SUMIF(Productos!E:E,F583,Productos!A:A)))</f>
        <v/>
      </c>
      <c r="F583" s="2" t="str">
        <f t="shared" si="2"/>
        <v/>
      </c>
      <c r="G583" s="10" t="str">
        <f t="array" ref="G583">IF(OR(F583="",F583="-",F583="Selecciona..",F583="Finalizar"),"",IF(A583="Rodados",XLOOKUP(B583,'Validaciones Cotizador'!I:I,'Validaciones Cotizador'!J:J,0,0,1),1))</f>
        <v/>
      </c>
      <c r="H583" s="11" t="str">
        <f>IF(OR(F583="",F583="Selecciona.."),"",SUMIF(Precio_Productos!K:K,E583,Precio_Productos!J:J)*G583)</f>
        <v/>
      </c>
      <c r="I583" s="4" t="str">
        <f t="array" ref="I583">IF($E583="","", XLOOKUP(SUMIFS(Prod_Prop!$A:$A,Prod_Prop!$B:$B,$E583,Prod_Prop!$H:$H,I$1,Prod_Prop!$I:$I,"Exacto"),Prod_Prop!$A:$A,Prod_Prop!$J:$J,"",0,1))</f>
        <v/>
      </c>
      <c r="J583" s="4" t="str">
        <f t="array" ref="J583">IF($E583="","", XLOOKUP(SUMIFS(Prod_Prop!$A:$A,Prod_Prop!$B:$B,$E583,Prod_Prop!$H:$H,J$1,Prod_Prop!$I:$I,"Exacto"),Prod_Prop!$A:$A,Prod_Prop!$J:$J,"",0,1))</f>
        <v/>
      </c>
      <c r="K583" s="4" t="str">
        <f t="array" ref="K583">IF($E583="","", XLOOKUP(SUMIFS(Prod_Prop!$A:$A,Prod_Prop!$B:$B,$E583,Prod_Prop!$H:$H,K$1,Prod_Prop!$I:$I,"Exacto"),Prod_Prop!$A:$A,Prod_Prop!$J:$J,"",0,1))</f>
        <v/>
      </c>
      <c r="L583" s="4" t="str">
        <f t="array" ref="L583">IF($E583="","", XLOOKUP(SUMIFS(Prod_Prop!$A:$A,Prod_Prop!$B:$B,$E583,Prod_Prop!$H:$H,L$1,Prod_Prop!$I:$I,"Exacto"),Prod_Prop!$A:$A,Prod_Prop!$J:$J,"",0,1))</f>
        <v/>
      </c>
      <c r="M583" s="4" t="str">
        <f t="array" ref="M583">IF($E583="","", XLOOKUP(SUMIFS(Prod_Prop!$A:$A,Prod_Prop!$B:$B,$E583,Prod_Prop!$H:$H,M$1,Prod_Prop!$I:$I,"Exacto"),Prod_Prop!$A:$A,Prod_Prop!$J:$J,"",0,1))</f>
        <v/>
      </c>
      <c r="N583" s="4" t="str">
        <f t="array" ref="N583">IF($E583="","", XLOOKUP(SUMIFS(Prod_Prop!$A:$A,Prod_Prop!$B:$B,$E583,Prod_Prop!$H:$H,N$1,Prod_Prop!$I:$I,"Exacto"),Prod_Prop!$A:$A,Prod_Prop!$J:$J,"",0,1))</f>
        <v/>
      </c>
      <c r="O583" s="4" t="str">
        <f t="array" ref="O583">IF($E583="","", XLOOKUP(SUMIFS(Prod_Prop!$A:$A,Prod_Prop!$B:$B,$E583,Prod_Prop!$H:$H,O$1,Prod_Prop!$I:$I,"Exacto"),Prod_Prop!$A:$A,Prod_Prop!$J:$J,"",0,1))</f>
        <v/>
      </c>
      <c r="P583" s="4" t="str">
        <f t="array" ref="P583">IF($E583="","", XLOOKUP(SUMIFS(Prod_Prop!$A:$A,Prod_Prop!$B:$B,$E583,Prod_Prop!$H:$H,P$1,Prod_Prop!$I:$I,"Exacto"),Prod_Prop!$A:$A,Prod_Prop!$J:$J,"",0,1))</f>
        <v/>
      </c>
      <c r="Q583" s="4" t="str">
        <f t="array" ref="Q583">IF($E583="","", XLOOKUP(SUMIFS(Prod_Prop!$A:$A,Prod_Prop!$B:$B,$E583,Prod_Prop!$H:$H,Q$1,Prod_Prop!$I:$I,"Exacto"),Prod_Prop!$A:$A,Prod_Prop!$J:$J,"",0,1))</f>
        <v/>
      </c>
      <c r="R583" s="4" t="str">
        <f t="array" ref="R583">IF($E583="","", XLOOKUP(SUMIFS(Prod_Prop!$A:$A,Prod_Prop!$B:$B,$E583,Prod_Prop!$H:$H,R$1,Prod_Prop!$I:$I,"Exacto"),Prod_Prop!$A:$A,Prod_Prop!$J:$J,"",0,1))</f>
        <v/>
      </c>
      <c r="S583" s="4" t="str">
        <f t="array" ref="S583">IF($E583="","", XLOOKUP(SUMIFS(Prod_Prop!$A:$A,Prod_Prop!$B:$B,$E583,Prod_Prop!$H:$H,S$1,Prod_Prop!$I:$I,"Exacto"),Prod_Prop!$A:$A,Prod_Prop!$J:$J,"",0,1))</f>
        <v/>
      </c>
      <c r="T583" s="4" t="str">
        <f t="array" ref="T583">IF($E583="","", XLOOKUP(SUMIFS(Prod_Prop!$A:$A,Prod_Prop!$B:$B,$E583,Prod_Prop!$H:$H,T$1,Prod_Prop!$I:$I,"Exacto"),Prod_Prop!$A:$A,Prod_Prop!$J:$J,"",0,1))</f>
        <v/>
      </c>
      <c r="U583" s="4" t="str">
        <f t="array" ref="U583">IF($E583="","", XLOOKUP(SUMIFS(Prod_Prop!$A:$A,Prod_Prop!$B:$B,$E583,Prod_Prop!$H:$H,U$1,Prod_Prop!$I:$I,"Exacto"),Prod_Prop!$A:$A,Prod_Prop!$J:$J,"",0,1))</f>
        <v/>
      </c>
      <c r="V583" s="4" t="str">
        <f t="array" ref="V583">IF($E583="","", XLOOKUP(SUMIFS(Prod_Prop!$A:$A,Prod_Prop!$B:$B,$E583,Prod_Prop!$H:$H,V$1,Prod_Prop!$I:$I,"Exacto"),Prod_Prop!$A:$A,Prod_Prop!$J:$J,"",0,1))</f>
        <v/>
      </c>
      <c r="X583" s="3" t="str">
        <f>IFERROR(__xludf.DUMMYFUNCTION("IF(D583="""","""",IFERROR(TRANSPOSE(FILTER('Validaciones Cotizador'!U:U,'Validaciones Cotizador'!O:O=D583,'Validaciones Cotizador'!T:T=""x"")),""Finalizar""))"),"")</f>
        <v/>
      </c>
    </row>
    <row r="584">
      <c r="A584" s="2" t="str">
        <f t="array" ref="A584">IF(E584="","",XLOOKUP(D584,'Validaciones Cotizador'!C:C,'Validaciones Cotizador'!A:A,"",0,1))</f>
        <v/>
      </c>
      <c r="B584" s="2" t="str">
        <f t="array" ref="B584">IF(F584="","",XLOOKUP(F584,Productos!E:E,Productos!G:G,"",0,1))</f>
        <v/>
      </c>
      <c r="C584" s="2" t="str">
        <f>IF(A584="","",SUMIFS('Validaciones Cotizador'!B:B,'Validaciones Cotizador'!C:C,D584,'Validaciones Cotizador'!A:A,A584))</f>
        <v/>
      </c>
      <c r="D584" s="4" t="str">
        <f>IFERROR(__xludf.DUMMYFUNCTION("IF(OR(F583=""Finalizar"",F583="""",F583=""Selecciona..""),"""",IF(OR(F583=""-"",INDEX(filter(Familias!F:F,Familias!D:D=A583,Familias!E:E=C583),1)=""O""),D583+1,D583))"),"")</f>
        <v/>
      </c>
      <c r="E584" s="2" t="str">
        <f>IF(OR(F584="",F584="Selecciona.."),"",IF(D584="Implemento",SUMIF(Implementos!B:B,F584,Implementos!A:A),SUMIF(Productos!E:E,F584,Productos!A:A)))</f>
        <v/>
      </c>
      <c r="F584" s="2" t="str">
        <f t="shared" si="2"/>
        <v/>
      </c>
      <c r="G584" s="10" t="str">
        <f t="array" ref="G584">IF(OR(F584="",F584="-",F584="Selecciona..",F584="Finalizar"),"",IF(A584="Rodados",XLOOKUP(B584,'Validaciones Cotizador'!I:I,'Validaciones Cotizador'!J:J,0,0,1),1))</f>
        <v/>
      </c>
      <c r="H584" s="11" t="str">
        <f>IF(OR(F584="",F584="Selecciona.."),"",SUMIF(Precio_Productos!K:K,E584,Precio_Productos!J:J)*G584)</f>
        <v/>
      </c>
      <c r="I584" s="4" t="str">
        <f t="array" ref="I584">IF($E584="","", XLOOKUP(SUMIFS(Prod_Prop!$A:$A,Prod_Prop!$B:$B,$E584,Prod_Prop!$H:$H,I$1,Prod_Prop!$I:$I,"Exacto"),Prod_Prop!$A:$A,Prod_Prop!$J:$J,"",0,1))</f>
        <v/>
      </c>
      <c r="J584" s="4" t="str">
        <f t="array" ref="J584">IF($E584="","", XLOOKUP(SUMIFS(Prod_Prop!$A:$A,Prod_Prop!$B:$B,$E584,Prod_Prop!$H:$H,J$1,Prod_Prop!$I:$I,"Exacto"),Prod_Prop!$A:$A,Prod_Prop!$J:$J,"",0,1))</f>
        <v/>
      </c>
      <c r="K584" s="4" t="str">
        <f t="array" ref="K584">IF($E584="","", XLOOKUP(SUMIFS(Prod_Prop!$A:$A,Prod_Prop!$B:$B,$E584,Prod_Prop!$H:$H,K$1,Prod_Prop!$I:$I,"Exacto"),Prod_Prop!$A:$A,Prod_Prop!$J:$J,"",0,1))</f>
        <v/>
      </c>
      <c r="L584" s="4" t="str">
        <f t="array" ref="L584">IF($E584="","", XLOOKUP(SUMIFS(Prod_Prop!$A:$A,Prod_Prop!$B:$B,$E584,Prod_Prop!$H:$H,L$1,Prod_Prop!$I:$I,"Exacto"),Prod_Prop!$A:$A,Prod_Prop!$J:$J,"",0,1))</f>
        <v/>
      </c>
      <c r="M584" s="4" t="str">
        <f t="array" ref="M584">IF($E584="","", XLOOKUP(SUMIFS(Prod_Prop!$A:$A,Prod_Prop!$B:$B,$E584,Prod_Prop!$H:$H,M$1,Prod_Prop!$I:$I,"Exacto"),Prod_Prop!$A:$A,Prod_Prop!$J:$J,"",0,1))</f>
        <v/>
      </c>
      <c r="N584" s="4" t="str">
        <f t="array" ref="N584">IF($E584="","", XLOOKUP(SUMIFS(Prod_Prop!$A:$A,Prod_Prop!$B:$B,$E584,Prod_Prop!$H:$H,N$1,Prod_Prop!$I:$I,"Exacto"),Prod_Prop!$A:$A,Prod_Prop!$J:$J,"",0,1))</f>
        <v/>
      </c>
      <c r="O584" s="4" t="str">
        <f t="array" ref="O584">IF($E584="","", XLOOKUP(SUMIFS(Prod_Prop!$A:$A,Prod_Prop!$B:$B,$E584,Prod_Prop!$H:$H,O$1,Prod_Prop!$I:$I,"Exacto"),Prod_Prop!$A:$A,Prod_Prop!$J:$J,"",0,1))</f>
        <v/>
      </c>
      <c r="P584" s="4" t="str">
        <f t="array" ref="P584">IF($E584="","", XLOOKUP(SUMIFS(Prod_Prop!$A:$A,Prod_Prop!$B:$B,$E584,Prod_Prop!$H:$H,P$1,Prod_Prop!$I:$I,"Exacto"),Prod_Prop!$A:$A,Prod_Prop!$J:$J,"",0,1))</f>
        <v/>
      </c>
      <c r="Q584" s="4" t="str">
        <f t="array" ref="Q584">IF($E584="","", XLOOKUP(SUMIFS(Prod_Prop!$A:$A,Prod_Prop!$B:$B,$E584,Prod_Prop!$H:$H,Q$1,Prod_Prop!$I:$I,"Exacto"),Prod_Prop!$A:$A,Prod_Prop!$J:$J,"",0,1))</f>
        <v/>
      </c>
      <c r="R584" s="4" t="str">
        <f t="array" ref="R584">IF($E584="","", XLOOKUP(SUMIFS(Prod_Prop!$A:$A,Prod_Prop!$B:$B,$E584,Prod_Prop!$H:$H,R$1,Prod_Prop!$I:$I,"Exacto"),Prod_Prop!$A:$A,Prod_Prop!$J:$J,"",0,1))</f>
        <v/>
      </c>
      <c r="S584" s="4" t="str">
        <f t="array" ref="S584">IF($E584="","", XLOOKUP(SUMIFS(Prod_Prop!$A:$A,Prod_Prop!$B:$B,$E584,Prod_Prop!$H:$H,S$1,Prod_Prop!$I:$I,"Exacto"),Prod_Prop!$A:$A,Prod_Prop!$J:$J,"",0,1))</f>
        <v/>
      </c>
      <c r="T584" s="4" t="str">
        <f t="array" ref="T584">IF($E584="","", XLOOKUP(SUMIFS(Prod_Prop!$A:$A,Prod_Prop!$B:$B,$E584,Prod_Prop!$H:$H,T$1,Prod_Prop!$I:$I,"Exacto"),Prod_Prop!$A:$A,Prod_Prop!$J:$J,"",0,1))</f>
        <v/>
      </c>
      <c r="U584" s="4" t="str">
        <f t="array" ref="U584">IF($E584="","", XLOOKUP(SUMIFS(Prod_Prop!$A:$A,Prod_Prop!$B:$B,$E584,Prod_Prop!$H:$H,U$1,Prod_Prop!$I:$I,"Exacto"),Prod_Prop!$A:$A,Prod_Prop!$J:$J,"",0,1))</f>
        <v/>
      </c>
      <c r="V584" s="4" t="str">
        <f t="array" ref="V584">IF($E584="","", XLOOKUP(SUMIFS(Prod_Prop!$A:$A,Prod_Prop!$B:$B,$E584,Prod_Prop!$H:$H,V$1,Prod_Prop!$I:$I,"Exacto"),Prod_Prop!$A:$A,Prod_Prop!$J:$J,"",0,1))</f>
        <v/>
      </c>
      <c r="X584" s="3" t="str">
        <f>IFERROR(__xludf.DUMMYFUNCTION("IF(D584="""","""",IFERROR(TRANSPOSE(FILTER('Validaciones Cotizador'!U:U,'Validaciones Cotizador'!O:O=D584,'Validaciones Cotizador'!T:T=""x"")),""Finalizar""))"),"")</f>
        <v/>
      </c>
    </row>
    <row r="585">
      <c r="A585" s="2" t="str">
        <f t="array" ref="A585">IF(E585="","",XLOOKUP(D585,'Validaciones Cotizador'!C:C,'Validaciones Cotizador'!A:A,"",0,1))</f>
        <v/>
      </c>
      <c r="B585" s="2" t="str">
        <f t="array" ref="B585">IF(F585="","",XLOOKUP(F585,Productos!E:E,Productos!G:G,"",0,1))</f>
        <v/>
      </c>
      <c r="C585" s="2" t="str">
        <f>IF(A585="","",SUMIFS('Validaciones Cotizador'!B:B,'Validaciones Cotizador'!C:C,D585,'Validaciones Cotizador'!A:A,A585))</f>
        <v/>
      </c>
      <c r="D585" s="4" t="str">
        <f>IFERROR(__xludf.DUMMYFUNCTION("IF(OR(F584=""Finalizar"",F584="""",F584=""Selecciona..""),"""",IF(OR(F584=""-"",INDEX(filter(Familias!F:F,Familias!D:D=A584,Familias!E:E=C584),1)=""O""),D584+1,D584))"),"")</f>
        <v/>
      </c>
      <c r="E585" s="2" t="str">
        <f>IF(OR(F585="",F585="Selecciona.."),"",IF(D585="Implemento",SUMIF(Implementos!B:B,F585,Implementos!A:A),SUMIF(Productos!E:E,F585,Productos!A:A)))</f>
        <v/>
      </c>
      <c r="F585" s="2" t="str">
        <f t="shared" si="2"/>
        <v/>
      </c>
      <c r="G585" s="10" t="str">
        <f t="array" ref="G585">IF(OR(F585="",F585="-",F585="Selecciona..",F585="Finalizar"),"",IF(A585="Rodados",XLOOKUP(B585,'Validaciones Cotizador'!I:I,'Validaciones Cotizador'!J:J,0,0,1),1))</f>
        <v/>
      </c>
      <c r="H585" s="11" t="str">
        <f>IF(OR(F585="",F585="Selecciona.."),"",SUMIF(Precio_Productos!K:K,E585,Precio_Productos!J:J)*G585)</f>
        <v/>
      </c>
      <c r="I585" s="4" t="str">
        <f t="array" ref="I585">IF($E585="","", XLOOKUP(SUMIFS(Prod_Prop!$A:$A,Prod_Prop!$B:$B,$E585,Prod_Prop!$H:$H,I$1,Prod_Prop!$I:$I,"Exacto"),Prod_Prop!$A:$A,Prod_Prop!$J:$J,"",0,1))</f>
        <v/>
      </c>
      <c r="J585" s="4" t="str">
        <f t="array" ref="J585">IF($E585="","", XLOOKUP(SUMIFS(Prod_Prop!$A:$A,Prod_Prop!$B:$B,$E585,Prod_Prop!$H:$H,J$1,Prod_Prop!$I:$I,"Exacto"),Prod_Prop!$A:$A,Prod_Prop!$J:$J,"",0,1))</f>
        <v/>
      </c>
      <c r="K585" s="4" t="str">
        <f t="array" ref="K585">IF($E585="","", XLOOKUP(SUMIFS(Prod_Prop!$A:$A,Prod_Prop!$B:$B,$E585,Prod_Prop!$H:$H,K$1,Prod_Prop!$I:$I,"Exacto"),Prod_Prop!$A:$A,Prod_Prop!$J:$J,"",0,1))</f>
        <v/>
      </c>
      <c r="L585" s="4" t="str">
        <f t="array" ref="L585">IF($E585="","", XLOOKUP(SUMIFS(Prod_Prop!$A:$A,Prod_Prop!$B:$B,$E585,Prod_Prop!$H:$H,L$1,Prod_Prop!$I:$I,"Exacto"),Prod_Prop!$A:$A,Prod_Prop!$J:$J,"",0,1))</f>
        <v/>
      </c>
      <c r="M585" s="4" t="str">
        <f t="array" ref="M585">IF($E585="","", XLOOKUP(SUMIFS(Prod_Prop!$A:$A,Prod_Prop!$B:$B,$E585,Prod_Prop!$H:$H,M$1,Prod_Prop!$I:$I,"Exacto"),Prod_Prop!$A:$A,Prod_Prop!$J:$J,"",0,1))</f>
        <v/>
      </c>
      <c r="N585" s="4" t="str">
        <f t="array" ref="N585">IF($E585="","", XLOOKUP(SUMIFS(Prod_Prop!$A:$A,Prod_Prop!$B:$B,$E585,Prod_Prop!$H:$H,N$1,Prod_Prop!$I:$I,"Exacto"),Prod_Prop!$A:$A,Prod_Prop!$J:$J,"",0,1))</f>
        <v/>
      </c>
      <c r="O585" s="4" t="str">
        <f t="array" ref="O585">IF($E585="","", XLOOKUP(SUMIFS(Prod_Prop!$A:$A,Prod_Prop!$B:$B,$E585,Prod_Prop!$H:$H,O$1,Prod_Prop!$I:$I,"Exacto"),Prod_Prop!$A:$A,Prod_Prop!$J:$J,"",0,1))</f>
        <v/>
      </c>
      <c r="P585" s="4" t="str">
        <f t="array" ref="P585">IF($E585="","", XLOOKUP(SUMIFS(Prod_Prop!$A:$A,Prod_Prop!$B:$B,$E585,Prod_Prop!$H:$H,P$1,Prod_Prop!$I:$I,"Exacto"),Prod_Prop!$A:$A,Prod_Prop!$J:$J,"",0,1))</f>
        <v/>
      </c>
      <c r="Q585" s="4" t="str">
        <f t="array" ref="Q585">IF($E585="","", XLOOKUP(SUMIFS(Prod_Prop!$A:$A,Prod_Prop!$B:$B,$E585,Prod_Prop!$H:$H,Q$1,Prod_Prop!$I:$I,"Exacto"),Prod_Prop!$A:$A,Prod_Prop!$J:$J,"",0,1))</f>
        <v/>
      </c>
      <c r="R585" s="4" t="str">
        <f t="array" ref="R585">IF($E585="","", XLOOKUP(SUMIFS(Prod_Prop!$A:$A,Prod_Prop!$B:$B,$E585,Prod_Prop!$H:$H,R$1,Prod_Prop!$I:$I,"Exacto"),Prod_Prop!$A:$A,Prod_Prop!$J:$J,"",0,1))</f>
        <v/>
      </c>
      <c r="S585" s="4" t="str">
        <f t="array" ref="S585">IF($E585="","", XLOOKUP(SUMIFS(Prod_Prop!$A:$A,Prod_Prop!$B:$B,$E585,Prod_Prop!$H:$H,S$1,Prod_Prop!$I:$I,"Exacto"),Prod_Prop!$A:$A,Prod_Prop!$J:$J,"",0,1))</f>
        <v/>
      </c>
      <c r="T585" s="4" t="str">
        <f t="array" ref="T585">IF($E585="","", XLOOKUP(SUMIFS(Prod_Prop!$A:$A,Prod_Prop!$B:$B,$E585,Prod_Prop!$H:$H,T$1,Prod_Prop!$I:$I,"Exacto"),Prod_Prop!$A:$A,Prod_Prop!$J:$J,"",0,1))</f>
        <v/>
      </c>
      <c r="U585" s="4" t="str">
        <f t="array" ref="U585">IF($E585="","", XLOOKUP(SUMIFS(Prod_Prop!$A:$A,Prod_Prop!$B:$B,$E585,Prod_Prop!$H:$H,U$1,Prod_Prop!$I:$I,"Exacto"),Prod_Prop!$A:$A,Prod_Prop!$J:$J,"",0,1))</f>
        <v/>
      </c>
      <c r="V585" s="4" t="str">
        <f t="array" ref="V585">IF($E585="","", XLOOKUP(SUMIFS(Prod_Prop!$A:$A,Prod_Prop!$B:$B,$E585,Prod_Prop!$H:$H,V$1,Prod_Prop!$I:$I,"Exacto"),Prod_Prop!$A:$A,Prod_Prop!$J:$J,"",0,1))</f>
        <v/>
      </c>
      <c r="X585" s="3" t="str">
        <f>IFERROR(__xludf.DUMMYFUNCTION("IF(D585="""","""",IFERROR(TRANSPOSE(FILTER('Validaciones Cotizador'!U:U,'Validaciones Cotizador'!O:O=D585,'Validaciones Cotizador'!T:T=""x"")),""Finalizar""))"),"")</f>
        <v/>
      </c>
    </row>
    <row r="586">
      <c r="A586" s="2" t="str">
        <f t="array" ref="A586">IF(E586="","",XLOOKUP(D586,'Validaciones Cotizador'!C:C,'Validaciones Cotizador'!A:A,"",0,1))</f>
        <v/>
      </c>
      <c r="B586" s="2" t="str">
        <f t="array" ref="B586">IF(F586="","",XLOOKUP(F586,Productos!E:E,Productos!G:G,"",0,1))</f>
        <v/>
      </c>
      <c r="C586" s="2" t="str">
        <f>IF(A586="","",SUMIFS('Validaciones Cotizador'!B:B,'Validaciones Cotizador'!C:C,D586,'Validaciones Cotizador'!A:A,A586))</f>
        <v/>
      </c>
      <c r="D586" s="4" t="str">
        <f>IFERROR(__xludf.DUMMYFUNCTION("IF(OR(F585=""Finalizar"",F585="""",F585=""Selecciona..""),"""",IF(OR(F585=""-"",INDEX(filter(Familias!F:F,Familias!D:D=A585,Familias!E:E=C585),1)=""O""),D585+1,D585))"),"")</f>
        <v/>
      </c>
      <c r="E586" s="2" t="str">
        <f>IF(OR(F586="",F586="Selecciona.."),"",IF(D586="Implemento",SUMIF(Implementos!B:B,F586,Implementos!A:A),SUMIF(Productos!E:E,F586,Productos!A:A)))</f>
        <v/>
      </c>
      <c r="F586" s="2" t="str">
        <f t="shared" si="2"/>
        <v/>
      </c>
      <c r="G586" s="10" t="str">
        <f t="array" ref="G586">IF(OR(F586="",F586="-",F586="Selecciona..",F586="Finalizar"),"",IF(A586="Rodados",XLOOKUP(B586,'Validaciones Cotizador'!I:I,'Validaciones Cotizador'!J:J,0,0,1),1))</f>
        <v/>
      </c>
      <c r="H586" s="11" t="str">
        <f>IF(OR(F586="",F586="Selecciona.."),"",SUMIF(Precio_Productos!K:K,E586,Precio_Productos!J:J)*G586)</f>
        <v/>
      </c>
      <c r="I586" s="4" t="str">
        <f t="array" ref="I586">IF($E586="","", XLOOKUP(SUMIFS(Prod_Prop!$A:$A,Prod_Prop!$B:$B,$E586,Prod_Prop!$H:$H,I$1,Prod_Prop!$I:$I,"Exacto"),Prod_Prop!$A:$A,Prod_Prop!$J:$J,"",0,1))</f>
        <v/>
      </c>
      <c r="J586" s="4" t="str">
        <f t="array" ref="J586">IF($E586="","", XLOOKUP(SUMIFS(Prod_Prop!$A:$A,Prod_Prop!$B:$B,$E586,Prod_Prop!$H:$H,J$1,Prod_Prop!$I:$I,"Exacto"),Prod_Prop!$A:$A,Prod_Prop!$J:$J,"",0,1))</f>
        <v/>
      </c>
      <c r="K586" s="4" t="str">
        <f t="array" ref="K586">IF($E586="","", XLOOKUP(SUMIFS(Prod_Prop!$A:$A,Prod_Prop!$B:$B,$E586,Prod_Prop!$H:$H,K$1,Prod_Prop!$I:$I,"Exacto"),Prod_Prop!$A:$A,Prod_Prop!$J:$J,"",0,1))</f>
        <v/>
      </c>
      <c r="L586" s="4" t="str">
        <f t="array" ref="L586">IF($E586="","", XLOOKUP(SUMIFS(Prod_Prop!$A:$A,Prod_Prop!$B:$B,$E586,Prod_Prop!$H:$H,L$1,Prod_Prop!$I:$I,"Exacto"),Prod_Prop!$A:$A,Prod_Prop!$J:$J,"",0,1))</f>
        <v/>
      </c>
      <c r="M586" s="4" t="str">
        <f t="array" ref="M586">IF($E586="","", XLOOKUP(SUMIFS(Prod_Prop!$A:$A,Prod_Prop!$B:$B,$E586,Prod_Prop!$H:$H,M$1,Prod_Prop!$I:$I,"Exacto"),Prod_Prop!$A:$A,Prod_Prop!$J:$J,"",0,1))</f>
        <v/>
      </c>
      <c r="N586" s="4" t="str">
        <f t="array" ref="N586">IF($E586="","", XLOOKUP(SUMIFS(Prod_Prop!$A:$A,Prod_Prop!$B:$B,$E586,Prod_Prop!$H:$H,N$1,Prod_Prop!$I:$I,"Exacto"),Prod_Prop!$A:$A,Prod_Prop!$J:$J,"",0,1))</f>
        <v/>
      </c>
      <c r="O586" s="4" t="str">
        <f t="array" ref="O586">IF($E586="","", XLOOKUP(SUMIFS(Prod_Prop!$A:$A,Prod_Prop!$B:$B,$E586,Prod_Prop!$H:$H,O$1,Prod_Prop!$I:$I,"Exacto"),Prod_Prop!$A:$A,Prod_Prop!$J:$J,"",0,1))</f>
        <v/>
      </c>
      <c r="P586" s="4" t="str">
        <f t="array" ref="P586">IF($E586="","", XLOOKUP(SUMIFS(Prod_Prop!$A:$A,Prod_Prop!$B:$B,$E586,Prod_Prop!$H:$H,P$1,Prod_Prop!$I:$I,"Exacto"),Prod_Prop!$A:$A,Prod_Prop!$J:$J,"",0,1))</f>
        <v/>
      </c>
      <c r="Q586" s="4" t="str">
        <f t="array" ref="Q586">IF($E586="","", XLOOKUP(SUMIFS(Prod_Prop!$A:$A,Prod_Prop!$B:$B,$E586,Prod_Prop!$H:$H,Q$1,Prod_Prop!$I:$I,"Exacto"),Prod_Prop!$A:$A,Prod_Prop!$J:$J,"",0,1))</f>
        <v/>
      </c>
      <c r="R586" s="4" t="str">
        <f t="array" ref="R586">IF($E586="","", XLOOKUP(SUMIFS(Prod_Prop!$A:$A,Prod_Prop!$B:$B,$E586,Prod_Prop!$H:$H,R$1,Prod_Prop!$I:$I,"Exacto"),Prod_Prop!$A:$A,Prod_Prop!$J:$J,"",0,1))</f>
        <v/>
      </c>
      <c r="S586" s="4" t="str">
        <f t="array" ref="S586">IF($E586="","", XLOOKUP(SUMIFS(Prod_Prop!$A:$A,Prod_Prop!$B:$B,$E586,Prod_Prop!$H:$H,S$1,Prod_Prop!$I:$I,"Exacto"),Prod_Prop!$A:$A,Prod_Prop!$J:$J,"",0,1))</f>
        <v/>
      </c>
      <c r="T586" s="4" t="str">
        <f t="array" ref="T586">IF($E586="","", XLOOKUP(SUMIFS(Prod_Prop!$A:$A,Prod_Prop!$B:$B,$E586,Prod_Prop!$H:$H,T$1,Prod_Prop!$I:$I,"Exacto"),Prod_Prop!$A:$A,Prod_Prop!$J:$J,"",0,1))</f>
        <v/>
      </c>
      <c r="U586" s="4" t="str">
        <f t="array" ref="U586">IF($E586="","", XLOOKUP(SUMIFS(Prod_Prop!$A:$A,Prod_Prop!$B:$B,$E586,Prod_Prop!$H:$H,U$1,Prod_Prop!$I:$I,"Exacto"),Prod_Prop!$A:$A,Prod_Prop!$J:$J,"",0,1))</f>
        <v/>
      </c>
      <c r="V586" s="4" t="str">
        <f t="array" ref="V586">IF($E586="","", XLOOKUP(SUMIFS(Prod_Prop!$A:$A,Prod_Prop!$B:$B,$E586,Prod_Prop!$H:$H,V$1,Prod_Prop!$I:$I,"Exacto"),Prod_Prop!$A:$A,Prod_Prop!$J:$J,"",0,1))</f>
        <v/>
      </c>
      <c r="X586" s="3" t="str">
        <f>IFERROR(__xludf.DUMMYFUNCTION("IF(D586="""","""",IFERROR(TRANSPOSE(FILTER('Validaciones Cotizador'!U:U,'Validaciones Cotizador'!O:O=D586,'Validaciones Cotizador'!T:T=""x"")),""Finalizar""))"),"")</f>
        <v/>
      </c>
    </row>
    <row r="587">
      <c r="A587" s="2" t="str">
        <f t="array" ref="A587">IF(E587="","",XLOOKUP(D587,'Validaciones Cotizador'!C:C,'Validaciones Cotizador'!A:A,"",0,1))</f>
        <v/>
      </c>
      <c r="B587" s="2" t="str">
        <f t="array" ref="B587">IF(F587="","",XLOOKUP(F587,Productos!E:E,Productos!G:G,"",0,1))</f>
        <v/>
      </c>
      <c r="C587" s="2" t="str">
        <f>IF(A587="","",SUMIFS('Validaciones Cotizador'!B:B,'Validaciones Cotizador'!C:C,D587,'Validaciones Cotizador'!A:A,A587))</f>
        <v/>
      </c>
      <c r="D587" s="4" t="str">
        <f>IFERROR(__xludf.DUMMYFUNCTION("IF(OR(F586=""Finalizar"",F586="""",F586=""Selecciona..""),"""",IF(OR(F586=""-"",INDEX(filter(Familias!F:F,Familias!D:D=A586,Familias!E:E=C586),1)=""O""),D586+1,D586))"),"")</f>
        <v/>
      </c>
      <c r="E587" s="2" t="str">
        <f>IF(OR(F587="",F587="Selecciona.."),"",IF(D587="Implemento",SUMIF(Implementos!B:B,F587,Implementos!A:A),SUMIF(Productos!E:E,F587,Productos!A:A)))</f>
        <v/>
      </c>
      <c r="F587" s="2" t="str">
        <f t="shared" si="2"/>
        <v/>
      </c>
      <c r="G587" s="10" t="str">
        <f t="array" ref="G587">IF(OR(F587="",F587="-",F587="Selecciona..",F587="Finalizar"),"",IF(A587="Rodados",XLOOKUP(B587,'Validaciones Cotizador'!I:I,'Validaciones Cotizador'!J:J,0,0,1),1))</f>
        <v/>
      </c>
      <c r="H587" s="11" t="str">
        <f>IF(OR(F587="",F587="Selecciona.."),"",SUMIF(Precio_Productos!K:K,E587,Precio_Productos!J:J)*G587)</f>
        <v/>
      </c>
      <c r="I587" s="4" t="str">
        <f t="array" ref="I587">IF($E587="","", XLOOKUP(SUMIFS(Prod_Prop!$A:$A,Prod_Prop!$B:$B,$E587,Prod_Prop!$H:$H,I$1,Prod_Prop!$I:$I,"Exacto"),Prod_Prop!$A:$A,Prod_Prop!$J:$J,"",0,1))</f>
        <v/>
      </c>
      <c r="J587" s="4" t="str">
        <f t="array" ref="J587">IF($E587="","", XLOOKUP(SUMIFS(Prod_Prop!$A:$A,Prod_Prop!$B:$B,$E587,Prod_Prop!$H:$H,J$1,Prod_Prop!$I:$I,"Exacto"),Prod_Prop!$A:$A,Prod_Prop!$J:$J,"",0,1))</f>
        <v/>
      </c>
      <c r="K587" s="4" t="str">
        <f t="array" ref="K587">IF($E587="","", XLOOKUP(SUMIFS(Prod_Prop!$A:$A,Prod_Prop!$B:$B,$E587,Prod_Prop!$H:$H,K$1,Prod_Prop!$I:$I,"Exacto"),Prod_Prop!$A:$A,Prod_Prop!$J:$J,"",0,1))</f>
        <v/>
      </c>
      <c r="L587" s="4" t="str">
        <f t="array" ref="L587">IF($E587="","", XLOOKUP(SUMIFS(Prod_Prop!$A:$A,Prod_Prop!$B:$B,$E587,Prod_Prop!$H:$H,L$1,Prod_Prop!$I:$I,"Exacto"),Prod_Prop!$A:$A,Prod_Prop!$J:$J,"",0,1))</f>
        <v/>
      </c>
      <c r="M587" s="4" t="str">
        <f t="array" ref="M587">IF($E587="","", XLOOKUP(SUMIFS(Prod_Prop!$A:$A,Prod_Prop!$B:$B,$E587,Prod_Prop!$H:$H,M$1,Prod_Prop!$I:$I,"Exacto"),Prod_Prop!$A:$A,Prod_Prop!$J:$J,"",0,1))</f>
        <v/>
      </c>
      <c r="N587" s="4" t="str">
        <f t="array" ref="N587">IF($E587="","", XLOOKUP(SUMIFS(Prod_Prop!$A:$A,Prod_Prop!$B:$B,$E587,Prod_Prop!$H:$H,N$1,Prod_Prop!$I:$I,"Exacto"),Prod_Prop!$A:$A,Prod_Prop!$J:$J,"",0,1))</f>
        <v/>
      </c>
      <c r="O587" s="4" t="str">
        <f t="array" ref="O587">IF($E587="","", XLOOKUP(SUMIFS(Prod_Prop!$A:$A,Prod_Prop!$B:$B,$E587,Prod_Prop!$H:$H,O$1,Prod_Prop!$I:$I,"Exacto"),Prod_Prop!$A:$A,Prod_Prop!$J:$J,"",0,1))</f>
        <v/>
      </c>
      <c r="P587" s="4" t="str">
        <f t="array" ref="P587">IF($E587="","", XLOOKUP(SUMIFS(Prod_Prop!$A:$A,Prod_Prop!$B:$B,$E587,Prod_Prop!$H:$H,P$1,Prod_Prop!$I:$I,"Exacto"),Prod_Prop!$A:$A,Prod_Prop!$J:$J,"",0,1))</f>
        <v/>
      </c>
      <c r="Q587" s="4" t="str">
        <f t="array" ref="Q587">IF($E587="","", XLOOKUP(SUMIFS(Prod_Prop!$A:$A,Prod_Prop!$B:$B,$E587,Prod_Prop!$H:$H,Q$1,Prod_Prop!$I:$I,"Exacto"),Prod_Prop!$A:$A,Prod_Prop!$J:$J,"",0,1))</f>
        <v/>
      </c>
      <c r="R587" s="4" t="str">
        <f t="array" ref="R587">IF($E587="","", XLOOKUP(SUMIFS(Prod_Prop!$A:$A,Prod_Prop!$B:$B,$E587,Prod_Prop!$H:$H,R$1,Prod_Prop!$I:$I,"Exacto"),Prod_Prop!$A:$A,Prod_Prop!$J:$J,"",0,1))</f>
        <v/>
      </c>
      <c r="S587" s="4" t="str">
        <f t="array" ref="S587">IF($E587="","", XLOOKUP(SUMIFS(Prod_Prop!$A:$A,Prod_Prop!$B:$B,$E587,Prod_Prop!$H:$H,S$1,Prod_Prop!$I:$I,"Exacto"),Prod_Prop!$A:$A,Prod_Prop!$J:$J,"",0,1))</f>
        <v/>
      </c>
      <c r="T587" s="4" t="str">
        <f t="array" ref="T587">IF($E587="","", XLOOKUP(SUMIFS(Prod_Prop!$A:$A,Prod_Prop!$B:$B,$E587,Prod_Prop!$H:$H,T$1,Prod_Prop!$I:$I,"Exacto"),Prod_Prop!$A:$A,Prod_Prop!$J:$J,"",0,1))</f>
        <v/>
      </c>
      <c r="U587" s="4" t="str">
        <f t="array" ref="U587">IF($E587="","", XLOOKUP(SUMIFS(Prod_Prop!$A:$A,Prod_Prop!$B:$B,$E587,Prod_Prop!$H:$H,U$1,Prod_Prop!$I:$I,"Exacto"),Prod_Prop!$A:$A,Prod_Prop!$J:$J,"",0,1))</f>
        <v/>
      </c>
      <c r="V587" s="4" t="str">
        <f t="array" ref="V587">IF($E587="","", XLOOKUP(SUMIFS(Prod_Prop!$A:$A,Prod_Prop!$B:$B,$E587,Prod_Prop!$H:$H,V$1,Prod_Prop!$I:$I,"Exacto"),Prod_Prop!$A:$A,Prod_Prop!$J:$J,"",0,1))</f>
        <v/>
      </c>
      <c r="X587" s="3" t="str">
        <f>IFERROR(__xludf.DUMMYFUNCTION("IF(D587="""","""",IFERROR(TRANSPOSE(FILTER('Validaciones Cotizador'!U:U,'Validaciones Cotizador'!O:O=D587,'Validaciones Cotizador'!T:T=""x"")),""Finalizar""))"),"")</f>
        <v/>
      </c>
    </row>
    <row r="588">
      <c r="A588" s="2" t="str">
        <f t="array" ref="A588">IF(E588="","",XLOOKUP(D588,'Validaciones Cotizador'!C:C,'Validaciones Cotizador'!A:A,"",0,1))</f>
        <v/>
      </c>
      <c r="B588" s="2" t="str">
        <f t="array" ref="B588">IF(F588="","",XLOOKUP(F588,Productos!E:E,Productos!G:G,"",0,1))</f>
        <v/>
      </c>
      <c r="C588" s="2" t="str">
        <f>IF(A588="","",SUMIFS('Validaciones Cotizador'!B:B,'Validaciones Cotizador'!C:C,D588,'Validaciones Cotizador'!A:A,A588))</f>
        <v/>
      </c>
      <c r="D588" s="4" t="str">
        <f>IFERROR(__xludf.DUMMYFUNCTION("IF(OR(F587=""Finalizar"",F587="""",F587=""Selecciona..""),"""",IF(OR(F587=""-"",INDEX(filter(Familias!F:F,Familias!D:D=A587,Familias!E:E=C587),1)=""O""),D587+1,D587))"),"")</f>
        <v/>
      </c>
      <c r="E588" s="2" t="str">
        <f>IF(OR(F588="",F588="Selecciona.."),"",IF(D588="Implemento",SUMIF(Implementos!B:B,F588,Implementos!A:A),SUMIF(Productos!E:E,F588,Productos!A:A)))</f>
        <v/>
      </c>
      <c r="F588" s="2" t="str">
        <f t="shared" si="2"/>
        <v/>
      </c>
      <c r="G588" s="10" t="str">
        <f t="array" ref="G588">IF(OR(F588="",F588="-",F588="Selecciona..",F588="Finalizar"),"",IF(A588="Rodados",XLOOKUP(B588,'Validaciones Cotizador'!I:I,'Validaciones Cotizador'!J:J,0,0,1),1))</f>
        <v/>
      </c>
      <c r="H588" s="11" t="str">
        <f>IF(OR(F588="",F588="Selecciona.."),"",SUMIF(Precio_Productos!K:K,E588,Precio_Productos!J:J)*G588)</f>
        <v/>
      </c>
      <c r="I588" s="4" t="str">
        <f t="array" ref="I588">IF($E588="","", XLOOKUP(SUMIFS(Prod_Prop!$A:$A,Prod_Prop!$B:$B,$E588,Prod_Prop!$H:$H,I$1,Prod_Prop!$I:$I,"Exacto"),Prod_Prop!$A:$A,Prod_Prop!$J:$J,"",0,1))</f>
        <v/>
      </c>
      <c r="J588" s="4" t="str">
        <f t="array" ref="J588">IF($E588="","", XLOOKUP(SUMIFS(Prod_Prop!$A:$A,Prod_Prop!$B:$B,$E588,Prod_Prop!$H:$H,J$1,Prod_Prop!$I:$I,"Exacto"),Prod_Prop!$A:$A,Prod_Prop!$J:$J,"",0,1))</f>
        <v/>
      </c>
      <c r="K588" s="4" t="str">
        <f t="array" ref="K588">IF($E588="","", XLOOKUP(SUMIFS(Prod_Prop!$A:$A,Prod_Prop!$B:$B,$E588,Prod_Prop!$H:$H,K$1,Prod_Prop!$I:$I,"Exacto"),Prod_Prop!$A:$A,Prod_Prop!$J:$J,"",0,1))</f>
        <v/>
      </c>
      <c r="L588" s="4" t="str">
        <f t="array" ref="L588">IF($E588="","", XLOOKUP(SUMIFS(Prod_Prop!$A:$A,Prod_Prop!$B:$B,$E588,Prod_Prop!$H:$H,L$1,Prod_Prop!$I:$I,"Exacto"),Prod_Prop!$A:$A,Prod_Prop!$J:$J,"",0,1))</f>
        <v/>
      </c>
      <c r="M588" s="4" t="str">
        <f t="array" ref="M588">IF($E588="","", XLOOKUP(SUMIFS(Prod_Prop!$A:$A,Prod_Prop!$B:$B,$E588,Prod_Prop!$H:$H,M$1,Prod_Prop!$I:$I,"Exacto"),Prod_Prop!$A:$A,Prod_Prop!$J:$J,"",0,1))</f>
        <v/>
      </c>
      <c r="N588" s="4" t="str">
        <f t="array" ref="N588">IF($E588="","", XLOOKUP(SUMIFS(Prod_Prop!$A:$A,Prod_Prop!$B:$B,$E588,Prod_Prop!$H:$H,N$1,Prod_Prop!$I:$I,"Exacto"),Prod_Prop!$A:$A,Prod_Prop!$J:$J,"",0,1))</f>
        <v/>
      </c>
      <c r="O588" s="4" t="str">
        <f t="array" ref="O588">IF($E588="","", XLOOKUP(SUMIFS(Prod_Prop!$A:$A,Prod_Prop!$B:$B,$E588,Prod_Prop!$H:$H,O$1,Prod_Prop!$I:$I,"Exacto"),Prod_Prop!$A:$A,Prod_Prop!$J:$J,"",0,1))</f>
        <v/>
      </c>
      <c r="P588" s="4" t="str">
        <f t="array" ref="P588">IF($E588="","", XLOOKUP(SUMIFS(Prod_Prop!$A:$A,Prod_Prop!$B:$B,$E588,Prod_Prop!$H:$H,P$1,Prod_Prop!$I:$I,"Exacto"),Prod_Prop!$A:$A,Prod_Prop!$J:$J,"",0,1))</f>
        <v/>
      </c>
      <c r="Q588" s="4" t="str">
        <f t="array" ref="Q588">IF($E588="","", XLOOKUP(SUMIFS(Prod_Prop!$A:$A,Prod_Prop!$B:$B,$E588,Prod_Prop!$H:$H,Q$1,Prod_Prop!$I:$I,"Exacto"),Prod_Prop!$A:$A,Prod_Prop!$J:$J,"",0,1))</f>
        <v/>
      </c>
      <c r="R588" s="4" t="str">
        <f t="array" ref="R588">IF($E588="","", XLOOKUP(SUMIFS(Prod_Prop!$A:$A,Prod_Prop!$B:$B,$E588,Prod_Prop!$H:$H,R$1,Prod_Prop!$I:$I,"Exacto"),Prod_Prop!$A:$A,Prod_Prop!$J:$J,"",0,1))</f>
        <v/>
      </c>
      <c r="S588" s="4" t="str">
        <f t="array" ref="S588">IF($E588="","", XLOOKUP(SUMIFS(Prod_Prop!$A:$A,Prod_Prop!$B:$B,$E588,Prod_Prop!$H:$H,S$1,Prod_Prop!$I:$I,"Exacto"),Prod_Prop!$A:$A,Prod_Prop!$J:$J,"",0,1))</f>
        <v/>
      </c>
      <c r="T588" s="4" t="str">
        <f t="array" ref="T588">IF($E588="","", XLOOKUP(SUMIFS(Prod_Prop!$A:$A,Prod_Prop!$B:$B,$E588,Prod_Prop!$H:$H,T$1,Prod_Prop!$I:$I,"Exacto"),Prod_Prop!$A:$A,Prod_Prop!$J:$J,"",0,1))</f>
        <v/>
      </c>
      <c r="U588" s="4" t="str">
        <f t="array" ref="U588">IF($E588="","", XLOOKUP(SUMIFS(Prod_Prop!$A:$A,Prod_Prop!$B:$B,$E588,Prod_Prop!$H:$H,U$1,Prod_Prop!$I:$I,"Exacto"),Prod_Prop!$A:$A,Prod_Prop!$J:$J,"",0,1))</f>
        <v/>
      </c>
      <c r="V588" s="4" t="str">
        <f t="array" ref="V588">IF($E588="","", XLOOKUP(SUMIFS(Prod_Prop!$A:$A,Prod_Prop!$B:$B,$E588,Prod_Prop!$H:$H,V$1,Prod_Prop!$I:$I,"Exacto"),Prod_Prop!$A:$A,Prod_Prop!$J:$J,"",0,1))</f>
        <v/>
      </c>
      <c r="X588" s="3" t="str">
        <f>IFERROR(__xludf.DUMMYFUNCTION("IF(D588="""","""",IFERROR(TRANSPOSE(FILTER('Validaciones Cotizador'!U:U,'Validaciones Cotizador'!O:O=D588,'Validaciones Cotizador'!T:T=""x"")),""Finalizar""))"),"")</f>
        <v/>
      </c>
    </row>
    <row r="589">
      <c r="A589" s="2" t="str">
        <f t="array" ref="A589">IF(E589="","",XLOOKUP(D589,'Validaciones Cotizador'!C:C,'Validaciones Cotizador'!A:A,"",0,1))</f>
        <v/>
      </c>
      <c r="B589" s="2" t="str">
        <f t="array" ref="B589">IF(F589="","",XLOOKUP(F589,Productos!E:E,Productos!G:G,"",0,1))</f>
        <v/>
      </c>
      <c r="C589" s="2" t="str">
        <f>IF(A589="","",SUMIFS('Validaciones Cotizador'!B:B,'Validaciones Cotizador'!C:C,D589,'Validaciones Cotizador'!A:A,A589))</f>
        <v/>
      </c>
      <c r="D589" s="4" t="str">
        <f>IFERROR(__xludf.DUMMYFUNCTION("IF(OR(F588=""Finalizar"",F588="""",F588=""Selecciona..""),"""",IF(OR(F588=""-"",INDEX(filter(Familias!F:F,Familias!D:D=A588,Familias!E:E=C588),1)=""O""),D588+1,D588))"),"")</f>
        <v/>
      </c>
      <c r="E589" s="2" t="str">
        <f>IF(OR(F589="",F589="Selecciona.."),"",IF(D589="Implemento",SUMIF(Implementos!B:B,F589,Implementos!A:A),SUMIF(Productos!E:E,F589,Productos!A:A)))</f>
        <v/>
      </c>
      <c r="F589" s="2" t="str">
        <f t="shared" si="2"/>
        <v/>
      </c>
      <c r="G589" s="10" t="str">
        <f t="array" ref="G589">IF(OR(F589="",F589="-",F589="Selecciona..",F589="Finalizar"),"",IF(A589="Rodados",XLOOKUP(B589,'Validaciones Cotizador'!I:I,'Validaciones Cotizador'!J:J,0,0,1),1))</f>
        <v/>
      </c>
      <c r="H589" s="11" t="str">
        <f>IF(OR(F589="",F589="Selecciona.."),"",SUMIF(Precio_Productos!K:K,E589,Precio_Productos!J:J)*G589)</f>
        <v/>
      </c>
      <c r="I589" s="4" t="str">
        <f t="array" ref="I589">IF($E589="","", XLOOKUP(SUMIFS(Prod_Prop!$A:$A,Prod_Prop!$B:$B,$E589,Prod_Prop!$H:$H,I$1,Prod_Prop!$I:$I,"Exacto"),Prod_Prop!$A:$A,Prod_Prop!$J:$J,"",0,1))</f>
        <v/>
      </c>
      <c r="J589" s="4" t="str">
        <f t="array" ref="J589">IF($E589="","", XLOOKUP(SUMIFS(Prod_Prop!$A:$A,Prod_Prop!$B:$B,$E589,Prod_Prop!$H:$H,J$1,Prod_Prop!$I:$I,"Exacto"),Prod_Prop!$A:$A,Prod_Prop!$J:$J,"",0,1))</f>
        <v/>
      </c>
      <c r="K589" s="4" t="str">
        <f t="array" ref="K589">IF($E589="","", XLOOKUP(SUMIFS(Prod_Prop!$A:$A,Prod_Prop!$B:$B,$E589,Prod_Prop!$H:$H,K$1,Prod_Prop!$I:$I,"Exacto"),Prod_Prop!$A:$A,Prod_Prop!$J:$J,"",0,1))</f>
        <v/>
      </c>
      <c r="L589" s="4" t="str">
        <f t="array" ref="L589">IF($E589="","", XLOOKUP(SUMIFS(Prod_Prop!$A:$A,Prod_Prop!$B:$B,$E589,Prod_Prop!$H:$H,L$1,Prod_Prop!$I:$I,"Exacto"),Prod_Prop!$A:$A,Prod_Prop!$J:$J,"",0,1))</f>
        <v/>
      </c>
      <c r="M589" s="4" t="str">
        <f t="array" ref="M589">IF($E589="","", XLOOKUP(SUMIFS(Prod_Prop!$A:$A,Prod_Prop!$B:$B,$E589,Prod_Prop!$H:$H,M$1,Prod_Prop!$I:$I,"Exacto"),Prod_Prop!$A:$A,Prod_Prop!$J:$J,"",0,1))</f>
        <v/>
      </c>
      <c r="N589" s="4" t="str">
        <f t="array" ref="N589">IF($E589="","", XLOOKUP(SUMIFS(Prod_Prop!$A:$A,Prod_Prop!$B:$B,$E589,Prod_Prop!$H:$H,N$1,Prod_Prop!$I:$I,"Exacto"),Prod_Prop!$A:$A,Prod_Prop!$J:$J,"",0,1))</f>
        <v/>
      </c>
      <c r="O589" s="4" t="str">
        <f t="array" ref="O589">IF($E589="","", XLOOKUP(SUMIFS(Prod_Prop!$A:$A,Prod_Prop!$B:$B,$E589,Prod_Prop!$H:$H,O$1,Prod_Prop!$I:$I,"Exacto"),Prod_Prop!$A:$A,Prod_Prop!$J:$J,"",0,1))</f>
        <v/>
      </c>
      <c r="P589" s="4" t="str">
        <f t="array" ref="P589">IF($E589="","", XLOOKUP(SUMIFS(Prod_Prop!$A:$A,Prod_Prop!$B:$B,$E589,Prod_Prop!$H:$H,P$1,Prod_Prop!$I:$I,"Exacto"),Prod_Prop!$A:$A,Prod_Prop!$J:$J,"",0,1))</f>
        <v/>
      </c>
      <c r="Q589" s="4" t="str">
        <f t="array" ref="Q589">IF($E589="","", XLOOKUP(SUMIFS(Prod_Prop!$A:$A,Prod_Prop!$B:$B,$E589,Prod_Prop!$H:$H,Q$1,Prod_Prop!$I:$I,"Exacto"),Prod_Prop!$A:$A,Prod_Prop!$J:$J,"",0,1))</f>
        <v/>
      </c>
      <c r="R589" s="4" t="str">
        <f t="array" ref="R589">IF($E589="","", XLOOKUP(SUMIFS(Prod_Prop!$A:$A,Prod_Prop!$B:$B,$E589,Prod_Prop!$H:$H,R$1,Prod_Prop!$I:$I,"Exacto"),Prod_Prop!$A:$A,Prod_Prop!$J:$J,"",0,1))</f>
        <v/>
      </c>
      <c r="S589" s="4" t="str">
        <f t="array" ref="S589">IF($E589="","", XLOOKUP(SUMIFS(Prod_Prop!$A:$A,Prod_Prop!$B:$B,$E589,Prod_Prop!$H:$H,S$1,Prod_Prop!$I:$I,"Exacto"),Prod_Prop!$A:$A,Prod_Prop!$J:$J,"",0,1))</f>
        <v/>
      </c>
      <c r="T589" s="4" t="str">
        <f t="array" ref="T589">IF($E589="","", XLOOKUP(SUMIFS(Prod_Prop!$A:$A,Prod_Prop!$B:$B,$E589,Prod_Prop!$H:$H,T$1,Prod_Prop!$I:$I,"Exacto"),Prod_Prop!$A:$A,Prod_Prop!$J:$J,"",0,1))</f>
        <v/>
      </c>
      <c r="U589" s="4" t="str">
        <f t="array" ref="U589">IF($E589="","", XLOOKUP(SUMIFS(Prod_Prop!$A:$A,Prod_Prop!$B:$B,$E589,Prod_Prop!$H:$H,U$1,Prod_Prop!$I:$I,"Exacto"),Prod_Prop!$A:$A,Prod_Prop!$J:$J,"",0,1))</f>
        <v/>
      </c>
      <c r="V589" s="4" t="str">
        <f t="array" ref="V589">IF($E589="","", XLOOKUP(SUMIFS(Prod_Prop!$A:$A,Prod_Prop!$B:$B,$E589,Prod_Prop!$H:$H,V$1,Prod_Prop!$I:$I,"Exacto"),Prod_Prop!$A:$A,Prod_Prop!$J:$J,"",0,1))</f>
        <v/>
      </c>
      <c r="X589" s="3" t="str">
        <f>IFERROR(__xludf.DUMMYFUNCTION("IF(D589="""","""",IFERROR(TRANSPOSE(FILTER('Validaciones Cotizador'!U:U,'Validaciones Cotizador'!O:O=D589,'Validaciones Cotizador'!T:T=""x"")),""Finalizar""))"),"")</f>
        <v/>
      </c>
    </row>
    <row r="590">
      <c r="A590" s="2" t="str">
        <f t="array" ref="A590">IF(E590="","",XLOOKUP(D590,'Validaciones Cotizador'!C:C,'Validaciones Cotizador'!A:A,"",0,1))</f>
        <v/>
      </c>
      <c r="B590" s="2" t="str">
        <f t="array" ref="B590">IF(F590="","",XLOOKUP(F590,Productos!E:E,Productos!G:G,"",0,1))</f>
        <v/>
      </c>
      <c r="C590" s="2" t="str">
        <f>IF(A590="","",SUMIFS('Validaciones Cotizador'!B:B,'Validaciones Cotizador'!C:C,D590,'Validaciones Cotizador'!A:A,A590))</f>
        <v/>
      </c>
      <c r="D590" s="4" t="str">
        <f>IFERROR(__xludf.DUMMYFUNCTION("IF(OR(F589=""Finalizar"",F589="""",F589=""Selecciona..""),"""",IF(OR(F589=""-"",INDEX(filter(Familias!F:F,Familias!D:D=A589,Familias!E:E=C589),1)=""O""),D589+1,D589))"),"")</f>
        <v/>
      </c>
      <c r="E590" s="2" t="str">
        <f>IF(OR(F590="",F590="Selecciona.."),"",IF(D590="Implemento",SUMIF(Implementos!B:B,F590,Implementos!A:A),SUMIF(Productos!E:E,F590,Productos!A:A)))</f>
        <v/>
      </c>
      <c r="F590" s="2" t="str">
        <f t="shared" si="2"/>
        <v/>
      </c>
      <c r="G590" s="10" t="str">
        <f t="array" ref="G590">IF(OR(F590="",F590="-",F590="Selecciona..",F590="Finalizar"),"",IF(A590="Rodados",XLOOKUP(B590,'Validaciones Cotizador'!I:I,'Validaciones Cotizador'!J:J,0,0,1),1))</f>
        <v/>
      </c>
      <c r="H590" s="11" t="str">
        <f>IF(OR(F590="",F590="Selecciona.."),"",SUMIF(Precio_Productos!K:K,E590,Precio_Productos!J:J)*G590)</f>
        <v/>
      </c>
      <c r="I590" s="4" t="str">
        <f t="array" ref="I590">IF($E590="","", XLOOKUP(SUMIFS(Prod_Prop!$A:$A,Prod_Prop!$B:$B,$E590,Prod_Prop!$H:$H,I$1,Prod_Prop!$I:$I,"Exacto"),Prod_Prop!$A:$A,Prod_Prop!$J:$J,"",0,1))</f>
        <v/>
      </c>
      <c r="J590" s="4" t="str">
        <f t="array" ref="J590">IF($E590="","", XLOOKUP(SUMIFS(Prod_Prop!$A:$A,Prod_Prop!$B:$B,$E590,Prod_Prop!$H:$H,J$1,Prod_Prop!$I:$I,"Exacto"),Prod_Prop!$A:$A,Prod_Prop!$J:$J,"",0,1))</f>
        <v/>
      </c>
      <c r="K590" s="4" t="str">
        <f t="array" ref="K590">IF($E590="","", XLOOKUP(SUMIFS(Prod_Prop!$A:$A,Prod_Prop!$B:$B,$E590,Prod_Prop!$H:$H,K$1,Prod_Prop!$I:$I,"Exacto"),Prod_Prop!$A:$A,Prod_Prop!$J:$J,"",0,1))</f>
        <v/>
      </c>
      <c r="L590" s="4" t="str">
        <f t="array" ref="L590">IF($E590="","", XLOOKUP(SUMIFS(Prod_Prop!$A:$A,Prod_Prop!$B:$B,$E590,Prod_Prop!$H:$H,L$1,Prod_Prop!$I:$I,"Exacto"),Prod_Prop!$A:$A,Prod_Prop!$J:$J,"",0,1))</f>
        <v/>
      </c>
      <c r="M590" s="4" t="str">
        <f t="array" ref="M590">IF($E590="","", XLOOKUP(SUMIFS(Prod_Prop!$A:$A,Prod_Prop!$B:$B,$E590,Prod_Prop!$H:$H,M$1,Prod_Prop!$I:$I,"Exacto"),Prod_Prop!$A:$A,Prod_Prop!$J:$J,"",0,1))</f>
        <v/>
      </c>
      <c r="N590" s="4" t="str">
        <f t="array" ref="N590">IF($E590="","", XLOOKUP(SUMIFS(Prod_Prop!$A:$A,Prod_Prop!$B:$B,$E590,Prod_Prop!$H:$H,N$1,Prod_Prop!$I:$I,"Exacto"),Prod_Prop!$A:$A,Prod_Prop!$J:$J,"",0,1))</f>
        <v/>
      </c>
      <c r="O590" s="4" t="str">
        <f t="array" ref="O590">IF($E590="","", XLOOKUP(SUMIFS(Prod_Prop!$A:$A,Prod_Prop!$B:$B,$E590,Prod_Prop!$H:$H,O$1,Prod_Prop!$I:$I,"Exacto"),Prod_Prop!$A:$A,Prod_Prop!$J:$J,"",0,1))</f>
        <v/>
      </c>
      <c r="P590" s="4" t="str">
        <f t="array" ref="P590">IF($E590="","", XLOOKUP(SUMIFS(Prod_Prop!$A:$A,Prod_Prop!$B:$B,$E590,Prod_Prop!$H:$H,P$1,Prod_Prop!$I:$I,"Exacto"),Prod_Prop!$A:$A,Prod_Prop!$J:$J,"",0,1))</f>
        <v/>
      </c>
      <c r="Q590" s="4" t="str">
        <f t="array" ref="Q590">IF($E590="","", XLOOKUP(SUMIFS(Prod_Prop!$A:$A,Prod_Prop!$B:$B,$E590,Prod_Prop!$H:$H,Q$1,Prod_Prop!$I:$I,"Exacto"),Prod_Prop!$A:$A,Prod_Prop!$J:$J,"",0,1))</f>
        <v/>
      </c>
      <c r="R590" s="4" t="str">
        <f t="array" ref="R590">IF($E590="","", XLOOKUP(SUMIFS(Prod_Prop!$A:$A,Prod_Prop!$B:$B,$E590,Prod_Prop!$H:$H,R$1,Prod_Prop!$I:$I,"Exacto"),Prod_Prop!$A:$A,Prod_Prop!$J:$J,"",0,1))</f>
        <v/>
      </c>
      <c r="S590" s="4" t="str">
        <f t="array" ref="S590">IF($E590="","", XLOOKUP(SUMIFS(Prod_Prop!$A:$A,Prod_Prop!$B:$B,$E590,Prod_Prop!$H:$H,S$1,Prod_Prop!$I:$I,"Exacto"),Prod_Prop!$A:$A,Prod_Prop!$J:$J,"",0,1))</f>
        <v/>
      </c>
      <c r="T590" s="4" t="str">
        <f t="array" ref="T590">IF($E590="","", XLOOKUP(SUMIFS(Prod_Prop!$A:$A,Prod_Prop!$B:$B,$E590,Prod_Prop!$H:$H,T$1,Prod_Prop!$I:$I,"Exacto"),Prod_Prop!$A:$A,Prod_Prop!$J:$J,"",0,1))</f>
        <v/>
      </c>
      <c r="U590" s="4" t="str">
        <f t="array" ref="U590">IF($E590="","", XLOOKUP(SUMIFS(Prod_Prop!$A:$A,Prod_Prop!$B:$B,$E590,Prod_Prop!$H:$H,U$1,Prod_Prop!$I:$I,"Exacto"),Prod_Prop!$A:$A,Prod_Prop!$J:$J,"",0,1))</f>
        <v/>
      </c>
      <c r="V590" s="4" t="str">
        <f t="array" ref="V590">IF($E590="","", XLOOKUP(SUMIFS(Prod_Prop!$A:$A,Prod_Prop!$B:$B,$E590,Prod_Prop!$H:$H,V$1,Prod_Prop!$I:$I,"Exacto"),Prod_Prop!$A:$A,Prod_Prop!$J:$J,"",0,1))</f>
        <v/>
      </c>
      <c r="X590" s="3" t="str">
        <f>IFERROR(__xludf.DUMMYFUNCTION("IF(D590="""","""",IFERROR(TRANSPOSE(FILTER('Validaciones Cotizador'!U:U,'Validaciones Cotizador'!O:O=D590,'Validaciones Cotizador'!T:T=""x"")),""Finalizar""))"),"")</f>
        <v/>
      </c>
    </row>
    <row r="591">
      <c r="A591" s="2" t="str">
        <f t="array" ref="A591">IF(E591="","",XLOOKUP(D591,'Validaciones Cotizador'!C:C,'Validaciones Cotizador'!A:A,"",0,1))</f>
        <v/>
      </c>
      <c r="B591" s="2" t="str">
        <f t="array" ref="B591">IF(F591="","",XLOOKUP(F591,Productos!E:E,Productos!G:G,"",0,1))</f>
        <v/>
      </c>
      <c r="C591" s="2" t="str">
        <f>IF(A591="","",SUMIFS('Validaciones Cotizador'!B:B,'Validaciones Cotizador'!C:C,D591,'Validaciones Cotizador'!A:A,A591))</f>
        <v/>
      </c>
      <c r="D591" s="4" t="str">
        <f>IFERROR(__xludf.DUMMYFUNCTION("IF(OR(F590=""Finalizar"",F590="""",F590=""Selecciona..""),"""",IF(OR(F590=""-"",INDEX(filter(Familias!F:F,Familias!D:D=A590,Familias!E:E=C590),1)=""O""),D590+1,D590))"),"")</f>
        <v/>
      </c>
      <c r="E591" s="2" t="str">
        <f>IF(OR(F591="",F591="Selecciona.."),"",IF(D591="Implemento",SUMIF(Implementos!B:B,F591,Implementos!A:A),SUMIF(Productos!E:E,F591,Productos!A:A)))</f>
        <v/>
      </c>
      <c r="F591" s="2" t="str">
        <f t="shared" si="2"/>
        <v/>
      </c>
      <c r="G591" s="10" t="str">
        <f t="array" ref="G591">IF(OR(F591="",F591="-",F591="Selecciona..",F591="Finalizar"),"",IF(A591="Rodados",XLOOKUP(B591,'Validaciones Cotizador'!I:I,'Validaciones Cotizador'!J:J,0,0,1),1))</f>
        <v/>
      </c>
      <c r="H591" s="11" t="str">
        <f>IF(OR(F591="",F591="Selecciona.."),"",SUMIF(Precio_Productos!K:K,E591,Precio_Productos!J:J)*G591)</f>
        <v/>
      </c>
      <c r="I591" s="4" t="str">
        <f t="array" ref="I591">IF($E591="","", XLOOKUP(SUMIFS(Prod_Prop!$A:$A,Prod_Prop!$B:$B,$E591,Prod_Prop!$H:$H,I$1,Prod_Prop!$I:$I,"Exacto"),Prod_Prop!$A:$A,Prod_Prop!$J:$J,"",0,1))</f>
        <v/>
      </c>
      <c r="J591" s="4" t="str">
        <f t="array" ref="J591">IF($E591="","", XLOOKUP(SUMIFS(Prod_Prop!$A:$A,Prod_Prop!$B:$B,$E591,Prod_Prop!$H:$H,J$1,Prod_Prop!$I:$I,"Exacto"),Prod_Prop!$A:$A,Prod_Prop!$J:$J,"",0,1))</f>
        <v/>
      </c>
      <c r="K591" s="4" t="str">
        <f t="array" ref="K591">IF($E591="","", XLOOKUP(SUMIFS(Prod_Prop!$A:$A,Prod_Prop!$B:$B,$E591,Prod_Prop!$H:$H,K$1,Prod_Prop!$I:$I,"Exacto"),Prod_Prop!$A:$A,Prod_Prop!$J:$J,"",0,1))</f>
        <v/>
      </c>
      <c r="L591" s="4" t="str">
        <f t="array" ref="L591">IF($E591="","", XLOOKUP(SUMIFS(Prod_Prop!$A:$A,Prod_Prop!$B:$B,$E591,Prod_Prop!$H:$H,L$1,Prod_Prop!$I:$I,"Exacto"),Prod_Prop!$A:$A,Prod_Prop!$J:$J,"",0,1))</f>
        <v/>
      </c>
      <c r="M591" s="4" t="str">
        <f t="array" ref="M591">IF($E591="","", XLOOKUP(SUMIFS(Prod_Prop!$A:$A,Prod_Prop!$B:$B,$E591,Prod_Prop!$H:$H,M$1,Prod_Prop!$I:$I,"Exacto"),Prod_Prop!$A:$A,Prod_Prop!$J:$J,"",0,1))</f>
        <v/>
      </c>
      <c r="N591" s="4" t="str">
        <f t="array" ref="N591">IF($E591="","", XLOOKUP(SUMIFS(Prod_Prop!$A:$A,Prod_Prop!$B:$B,$E591,Prod_Prop!$H:$H,N$1,Prod_Prop!$I:$I,"Exacto"),Prod_Prop!$A:$A,Prod_Prop!$J:$J,"",0,1))</f>
        <v/>
      </c>
      <c r="O591" s="4" t="str">
        <f t="array" ref="O591">IF($E591="","", XLOOKUP(SUMIFS(Prod_Prop!$A:$A,Prod_Prop!$B:$B,$E591,Prod_Prop!$H:$H,O$1,Prod_Prop!$I:$I,"Exacto"),Prod_Prop!$A:$A,Prod_Prop!$J:$J,"",0,1))</f>
        <v/>
      </c>
      <c r="P591" s="4" t="str">
        <f t="array" ref="P591">IF($E591="","", XLOOKUP(SUMIFS(Prod_Prop!$A:$A,Prod_Prop!$B:$B,$E591,Prod_Prop!$H:$H,P$1,Prod_Prop!$I:$I,"Exacto"),Prod_Prop!$A:$A,Prod_Prop!$J:$J,"",0,1))</f>
        <v/>
      </c>
      <c r="Q591" s="4" t="str">
        <f t="array" ref="Q591">IF($E591="","", XLOOKUP(SUMIFS(Prod_Prop!$A:$A,Prod_Prop!$B:$B,$E591,Prod_Prop!$H:$H,Q$1,Prod_Prop!$I:$I,"Exacto"),Prod_Prop!$A:$A,Prod_Prop!$J:$J,"",0,1))</f>
        <v/>
      </c>
      <c r="R591" s="4" t="str">
        <f t="array" ref="R591">IF($E591="","", XLOOKUP(SUMIFS(Prod_Prop!$A:$A,Prod_Prop!$B:$B,$E591,Prod_Prop!$H:$H,R$1,Prod_Prop!$I:$I,"Exacto"),Prod_Prop!$A:$A,Prod_Prop!$J:$J,"",0,1))</f>
        <v/>
      </c>
      <c r="S591" s="4" t="str">
        <f t="array" ref="S591">IF($E591="","", XLOOKUP(SUMIFS(Prod_Prop!$A:$A,Prod_Prop!$B:$B,$E591,Prod_Prop!$H:$H,S$1,Prod_Prop!$I:$I,"Exacto"),Prod_Prop!$A:$A,Prod_Prop!$J:$J,"",0,1))</f>
        <v/>
      </c>
      <c r="T591" s="4" t="str">
        <f t="array" ref="T591">IF($E591="","", XLOOKUP(SUMIFS(Prod_Prop!$A:$A,Prod_Prop!$B:$B,$E591,Prod_Prop!$H:$H,T$1,Prod_Prop!$I:$I,"Exacto"),Prod_Prop!$A:$A,Prod_Prop!$J:$J,"",0,1))</f>
        <v/>
      </c>
      <c r="U591" s="4" t="str">
        <f t="array" ref="U591">IF($E591="","", XLOOKUP(SUMIFS(Prod_Prop!$A:$A,Prod_Prop!$B:$B,$E591,Prod_Prop!$H:$H,U$1,Prod_Prop!$I:$I,"Exacto"),Prod_Prop!$A:$A,Prod_Prop!$J:$J,"",0,1))</f>
        <v/>
      </c>
      <c r="V591" s="4" t="str">
        <f t="array" ref="V591">IF($E591="","", XLOOKUP(SUMIFS(Prod_Prop!$A:$A,Prod_Prop!$B:$B,$E591,Prod_Prop!$H:$H,V$1,Prod_Prop!$I:$I,"Exacto"),Prod_Prop!$A:$A,Prod_Prop!$J:$J,"",0,1))</f>
        <v/>
      </c>
      <c r="X591" s="3" t="str">
        <f>IFERROR(__xludf.DUMMYFUNCTION("IF(D591="""","""",IFERROR(TRANSPOSE(FILTER('Validaciones Cotizador'!U:U,'Validaciones Cotizador'!O:O=D591,'Validaciones Cotizador'!T:T=""x"")),""Finalizar""))"),"")</f>
        <v/>
      </c>
    </row>
    <row r="592">
      <c r="A592" s="2" t="str">
        <f t="array" ref="A592">IF(E592="","",XLOOKUP(D592,'Validaciones Cotizador'!C:C,'Validaciones Cotizador'!A:A,"",0,1))</f>
        <v/>
      </c>
      <c r="B592" s="2" t="str">
        <f t="array" ref="B592">IF(F592="","",XLOOKUP(F592,Productos!E:E,Productos!G:G,"",0,1))</f>
        <v/>
      </c>
      <c r="C592" s="2" t="str">
        <f>IF(A592="","",SUMIFS('Validaciones Cotizador'!B:B,'Validaciones Cotizador'!C:C,D592,'Validaciones Cotizador'!A:A,A592))</f>
        <v/>
      </c>
      <c r="D592" s="4" t="str">
        <f>IFERROR(__xludf.DUMMYFUNCTION("IF(OR(F591=""Finalizar"",F591="""",F591=""Selecciona..""),"""",IF(OR(F591=""-"",INDEX(filter(Familias!F:F,Familias!D:D=A591,Familias!E:E=C591),1)=""O""),D591+1,D591))"),"")</f>
        <v/>
      </c>
      <c r="E592" s="2" t="str">
        <f>IF(OR(F592="",F592="Selecciona.."),"",IF(D592="Implemento",SUMIF(Implementos!B:B,F592,Implementos!A:A),SUMIF(Productos!E:E,F592,Productos!A:A)))</f>
        <v/>
      </c>
      <c r="F592" s="2" t="str">
        <f t="shared" si="2"/>
        <v/>
      </c>
      <c r="G592" s="10" t="str">
        <f t="array" ref="G592">IF(OR(F592="",F592="-",F592="Selecciona..",F592="Finalizar"),"",IF(A592="Rodados",XLOOKUP(B592,'Validaciones Cotizador'!I:I,'Validaciones Cotizador'!J:J,0,0,1),1))</f>
        <v/>
      </c>
      <c r="H592" s="11" t="str">
        <f>IF(OR(F592="",F592="Selecciona.."),"",SUMIF(Precio_Productos!K:K,E592,Precio_Productos!J:J)*G592)</f>
        <v/>
      </c>
      <c r="I592" s="4" t="str">
        <f t="array" ref="I592">IF($E592="","", XLOOKUP(SUMIFS(Prod_Prop!$A:$A,Prod_Prop!$B:$B,$E592,Prod_Prop!$H:$H,I$1,Prod_Prop!$I:$I,"Exacto"),Prod_Prop!$A:$A,Prod_Prop!$J:$J,"",0,1))</f>
        <v/>
      </c>
      <c r="J592" s="4" t="str">
        <f t="array" ref="J592">IF($E592="","", XLOOKUP(SUMIFS(Prod_Prop!$A:$A,Prod_Prop!$B:$B,$E592,Prod_Prop!$H:$H,J$1,Prod_Prop!$I:$I,"Exacto"),Prod_Prop!$A:$A,Prod_Prop!$J:$J,"",0,1))</f>
        <v/>
      </c>
      <c r="K592" s="4" t="str">
        <f t="array" ref="K592">IF($E592="","", XLOOKUP(SUMIFS(Prod_Prop!$A:$A,Prod_Prop!$B:$B,$E592,Prod_Prop!$H:$H,K$1,Prod_Prop!$I:$I,"Exacto"),Prod_Prop!$A:$A,Prod_Prop!$J:$J,"",0,1))</f>
        <v/>
      </c>
      <c r="L592" s="4" t="str">
        <f t="array" ref="L592">IF($E592="","", XLOOKUP(SUMIFS(Prod_Prop!$A:$A,Prod_Prop!$B:$B,$E592,Prod_Prop!$H:$H,L$1,Prod_Prop!$I:$I,"Exacto"),Prod_Prop!$A:$A,Prod_Prop!$J:$J,"",0,1))</f>
        <v/>
      </c>
      <c r="M592" s="4" t="str">
        <f t="array" ref="M592">IF($E592="","", XLOOKUP(SUMIFS(Prod_Prop!$A:$A,Prod_Prop!$B:$B,$E592,Prod_Prop!$H:$H,M$1,Prod_Prop!$I:$I,"Exacto"),Prod_Prop!$A:$A,Prod_Prop!$J:$J,"",0,1))</f>
        <v/>
      </c>
      <c r="N592" s="4" t="str">
        <f t="array" ref="N592">IF($E592="","", XLOOKUP(SUMIFS(Prod_Prop!$A:$A,Prod_Prop!$B:$B,$E592,Prod_Prop!$H:$H,N$1,Prod_Prop!$I:$I,"Exacto"),Prod_Prop!$A:$A,Prod_Prop!$J:$J,"",0,1))</f>
        <v/>
      </c>
      <c r="O592" s="4" t="str">
        <f t="array" ref="O592">IF($E592="","", XLOOKUP(SUMIFS(Prod_Prop!$A:$A,Prod_Prop!$B:$B,$E592,Prod_Prop!$H:$H,O$1,Prod_Prop!$I:$I,"Exacto"),Prod_Prop!$A:$A,Prod_Prop!$J:$J,"",0,1))</f>
        <v/>
      </c>
      <c r="P592" s="4" t="str">
        <f t="array" ref="P592">IF($E592="","", XLOOKUP(SUMIFS(Prod_Prop!$A:$A,Prod_Prop!$B:$B,$E592,Prod_Prop!$H:$H,P$1,Prod_Prop!$I:$I,"Exacto"),Prod_Prop!$A:$A,Prod_Prop!$J:$J,"",0,1))</f>
        <v/>
      </c>
      <c r="Q592" s="4" t="str">
        <f t="array" ref="Q592">IF($E592="","", XLOOKUP(SUMIFS(Prod_Prop!$A:$A,Prod_Prop!$B:$B,$E592,Prod_Prop!$H:$H,Q$1,Prod_Prop!$I:$I,"Exacto"),Prod_Prop!$A:$A,Prod_Prop!$J:$J,"",0,1))</f>
        <v/>
      </c>
      <c r="R592" s="4" t="str">
        <f t="array" ref="R592">IF($E592="","", XLOOKUP(SUMIFS(Prod_Prop!$A:$A,Prod_Prop!$B:$B,$E592,Prod_Prop!$H:$H,R$1,Prod_Prop!$I:$I,"Exacto"),Prod_Prop!$A:$A,Prod_Prop!$J:$J,"",0,1))</f>
        <v/>
      </c>
      <c r="S592" s="4" t="str">
        <f t="array" ref="S592">IF($E592="","", XLOOKUP(SUMIFS(Prod_Prop!$A:$A,Prod_Prop!$B:$B,$E592,Prod_Prop!$H:$H,S$1,Prod_Prop!$I:$I,"Exacto"),Prod_Prop!$A:$A,Prod_Prop!$J:$J,"",0,1))</f>
        <v/>
      </c>
      <c r="T592" s="4" t="str">
        <f t="array" ref="T592">IF($E592="","", XLOOKUP(SUMIFS(Prod_Prop!$A:$A,Prod_Prop!$B:$B,$E592,Prod_Prop!$H:$H,T$1,Prod_Prop!$I:$I,"Exacto"),Prod_Prop!$A:$A,Prod_Prop!$J:$J,"",0,1))</f>
        <v/>
      </c>
      <c r="U592" s="4" t="str">
        <f t="array" ref="U592">IF($E592="","", XLOOKUP(SUMIFS(Prod_Prop!$A:$A,Prod_Prop!$B:$B,$E592,Prod_Prop!$H:$H,U$1,Prod_Prop!$I:$I,"Exacto"),Prod_Prop!$A:$A,Prod_Prop!$J:$J,"",0,1))</f>
        <v/>
      </c>
      <c r="V592" s="4" t="str">
        <f t="array" ref="V592">IF($E592="","", XLOOKUP(SUMIFS(Prod_Prop!$A:$A,Prod_Prop!$B:$B,$E592,Prod_Prop!$H:$H,V$1,Prod_Prop!$I:$I,"Exacto"),Prod_Prop!$A:$A,Prod_Prop!$J:$J,"",0,1))</f>
        <v/>
      </c>
      <c r="X592" s="3" t="str">
        <f>IFERROR(__xludf.DUMMYFUNCTION("IF(D592="""","""",IFERROR(TRANSPOSE(FILTER('Validaciones Cotizador'!U:U,'Validaciones Cotizador'!O:O=D592,'Validaciones Cotizador'!T:T=""x"")),""Finalizar""))"),"")</f>
        <v/>
      </c>
    </row>
    <row r="593">
      <c r="A593" s="2" t="str">
        <f t="array" ref="A593">IF(E593="","",XLOOKUP(D593,'Validaciones Cotizador'!C:C,'Validaciones Cotizador'!A:A,"",0,1))</f>
        <v/>
      </c>
      <c r="B593" s="2" t="str">
        <f t="array" ref="B593">IF(F593="","",XLOOKUP(F593,Productos!E:E,Productos!G:G,"",0,1))</f>
        <v/>
      </c>
      <c r="C593" s="2" t="str">
        <f>IF(A593="","",SUMIFS('Validaciones Cotizador'!B:B,'Validaciones Cotizador'!C:C,D593,'Validaciones Cotizador'!A:A,A593))</f>
        <v/>
      </c>
      <c r="D593" s="4" t="str">
        <f>IFERROR(__xludf.DUMMYFUNCTION("IF(OR(F592=""Finalizar"",F592="""",F592=""Selecciona..""),"""",IF(OR(F592=""-"",INDEX(filter(Familias!F:F,Familias!D:D=A592,Familias!E:E=C592),1)=""O""),D592+1,D592))"),"")</f>
        <v/>
      </c>
      <c r="E593" s="2" t="str">
        <f>IF(OR(F593="",F593="Selecciona.."),"",IF(D593="Implemento",SUMIF(Implementos!B:B,F593,Implementos!A:A),SUMIF(Productos!E:E,F593,Productos!A:A)))</f>
        <v/>
      </c>
      <c r="F593" s="2" t="str">
        <f t="shared" si="2"/>
        <v/>
      </c>
      <c r="G593" s="10" t="str">
        <f t="array" ref="G593">IF(OR(F593="",F593="-",F593="Selecciona..",F593="Finalizar"),"",IF(A593="Rodados",XLOOKUP(B593,'Validaciones Cotizador'!I:I,'Validaciones Cotizador'!J:J,0,0,1),1))</f>
        <v/>
      </c>
      <c r="H593" s="11" t="str">
        <f>IF(OR(F593="",F593="Selecciona.."),"",SUMIF(Precio_Productos!K:K,E593,Precio_Productos!J:J)*G593)</f>
        <v/>
      </c>
      <c r="I593" s="4" t="str">
        <f t="array" ref="I593">IF($E593="","", XLOOKUP(SUMIFS(Prod_Prop!$A:$A,Prod_Prop!$B:$B,$E593,Prod_Prop!$H:$H,I$1,Prod_Prop!$I:$I,"Exacto"),Prod_Prop!$A:$A,Prod_Prop!$J:$J,"",0,1))</f>
        <v/>
      </c>
      <c r="J593" s="4" t="str">
        <f t="array" ref="J593">IF($E593="","", XLOOKUP(SUMIFS(Prod_Prop!$A:$A,Prod_Prop!$B:$B,$E593,Prod_Prop!$H:$H,J$1,Prod_Prop!$I:$I,"Exacto"),Prod_Prop!$A:$A,Prod_Prop!$J:$J,"",0,1))</f>
        <v/>
      </c>
      <c r="K593" s="4" t="str">
        <f t="array" ref="K593">IF($E593="","", XLOOKUP(SUMIFS(Prod_Prop!$A:$A,Prod_Prop!$B:$B,$E593,Prod_Prop!$H:$H,K$1,Prod_Prop!$I:$I,"Exacto"),Prod_Prop!$A:$A,Prod_Prop!$J:$J,"",0,1))</f>
        <v/>
      </c>
      <c r="L593" s="4" t="str">
        <f t="array" ref="L593">IF($E593="","", XLOOKUP(SUMIFS(Prod_Prop!$A:$A,Prod_Prop!$B:$B,$E593,Prod_Prop!$H:$H,L$1,Prod_Prop!$I:$I,"Exacto"),Prod_Prop!$A:$A,Prod_Prop!$J:$J,"",0,1))</f>
        <v/>
      </c>
      <c r="M593" s="4" t="str">
        <f t="array" ref="M593">IF($E593="","", XLOOKUP(SUMIFS(Prod_Prop!$A:$A,Prod_Prop!$B:$B,$E593,Prod_Prop!$H:$H,M$1,Prod_Prop!$I:$I,"Exacto"),Prod_Prop!$A:$A,Prod_Prop!$J:$J,"",0,1))</f>
        <v/>
      </c>
      <c r="N593" s="4" t="str">
        <f t="array" ref="N593">IF($E593="","", XLOOKUP(SUMIFS(Prod_Prop!$A:$A,Prod_Prop!$B:$B,$E593,Prod_Prop!$H:$H,N$1,Prod_Prop!$I:$I,"Exacto"),Prod_Prop!$A:$A,Prod_Prop!$J:$J,"",0,1))</f>
        <v/>
      </c>
      <c r="O593" s="4" t="str">
        <f t="array" ref="O593">IF($E593="","", XLOOKUP(SUMIFS(Prod_Prop!$A:$A,Prod_Prop!$B:$B,$E593,Prod_Prop!$H:$H,O$1,Prod_Prop!$I:$I,"Exacto"),Prod_Prop!$A:$A,Prod_Prop!$J:$J,"",0,1))</f>
        <v/>
      </c>
      <c r="P593" s="4" t="str">
        <f t="array" ref="P593">IF($E593="","", XLOOKUP(SUMIFS(Prod_Prop!$A:$A,Prod_Prop!$B:$B,$E593,Prod_Prop!$H:$H,P$1,Prod_Prop!$I:$I,"Exacto"),Prod_Prop!$A:$A,Prod_Prop!$J:$J,"",0,1))</f>
        <v/>
      </c>
      <c r="Q593" s="4" t="str">
        <f t="array" ref="Q593">IF($E593="","", XLOOKUP(SUMIFS(Prod_Prop!$A:$A,Prod_Prop!$B:$B,$E593,Prod_Prop!$H:$H,Q$1,Prod_Prop!$I:$I,"Exacto"),Prod_Prop!$A:$A,Prod_Prop!$J:$J,"",0,1))</f>
        <v/>
      </c>
      <c r="R593" s="4" t="str">
        <f t="array" ref="R593">IF($E593="","", XLOOKUP(SUMIFS(Prod_Prop!$A:$A,Prod_Prop!$B:$B,$E593,Prod_Prop!$H:$H,R$1,Prod_Prop!$I:$I,"Exacto"),Prod_Prop!$A:$A,Prod_Prop!$J:$J,"",0,1))</f>
        <v/>
      </c>
      <c r="S593" s="4" t="str">
        <f t="array" ref="S593">IF($E593="","", XLOOKUP(SUMIFS(Prod_Prop!$A:$A,Prod_Prop!$B:$B,$E593,Prod_Prop!$H:$H,S$1,Prod_Prop!$I:$I,"Exacto"),Prod_Prop!$A:$A,Prod_Prop!$J:$J,"",0,1))</f>
        <v/>
      </c>
      <c r="T593" s="4" t="str">
        <f t="array" ref="T593">IF($E593="","", XLOOKUP(SUMIFS(Prod_Prop!$A:$A,Prod_Prop!$B:$B,$E593,Prod_Prop!$H:$H,T$1,Prod_Prop!$I:$I,"Exacto"),Prod_Prop!$A:$A,Prod_Prop!$J:$J,"",0,1))</f>
        <v/>
      </c>
      <c r="U593" s="4" t="str">
        <f t="array" ref="U593">IF($E593="","", XLOOKUP(SUMIFS(Prod_Prop!$A:$A,Prod_Prop!$B:$B,$E593,Prod_Prop!$H:$H,U$1,Prod_Prop!$I:$I,"Exacto"),Prod_Prop!$A:$A,Prod_Prop!$J:$J,"",0,1))</f>
        <v/>
      </c>
      <c r="V593" s="4" t="str">
        <f t="array" ref="V593">IF($E593="","", XLOOKUP(SUMIFS(Prod_Prop!$A:$A,Prod_Prop!$B:$B,$E593,Prod_Prop!$H:$H,V$1,Prod_Prop!$I:$I,"Exacto"),Prod_Prop!$A:$A,Prod_Prop!$J:$J,"",0,1))</f>
        <v/>
      </c>
      <c r="X593" s="3" t="str">
        <f>IFERROR(__xludf.DUMMYFUNCTION("IF(D593="""","""",IFERROR(TRANSPOSE(FILTER('Validaciones Cotizador'!U:U,'Validaciones Cotizador'!O:O=D593,'Validaciones Cotizador'!T:T=""x"")),""Finalizar""))"),"")</f>
        <v/>
      </c>
    </row>
    <row r="594">
      <c r="A594" s="2" t="str">
        <f t="array" ref="A594">IF(E594="","",XLOOKUP(D594,'Validaciones Cotizador'!C:C,'Validaciones Cotizador'!A:A,"",0,1))</f>
        <v/>
      </c>
      <c r="B594" s="2" t="str">
        <f t="array" ref="B594">IF(F594="","",XLOOKUP(F594,Productos!E:E,Productos!G:G,"",0,1))</f>
        <v/>
      </c>
      <c r="C594" s="2" t="str">
        <f>IF(A594="","",SUMIFS('Validaciones Cotizador'!B:B,'Validaciones Cotizador'!C:C,D594,'Validaciones Cotizador'!A:A,A594))</f>
        <v/>
      </c>
      <c r="D594" s="4" t="str">
        <f>IFERROR(__xludf.DUMMYFUNCTION("IF(OR(F593=""Finalizar"",F593="""",F593=""Selecciona..""),"""",IF(OR(F593=""-"",INDEX(filter(Familias!F:F,Familias!D:D=A593,Familias!E:E=C593),1)=""O""),D593+1,D593))"),"")</f>
        <v/>
      </c>
      <c r="E594" s="2" t="str">
        <f>IF(OR(F594="",F594="Selecciona.."),"",IF(D594="Implemento",SUMIF(Implementos!B:B,F594,Implementos!A:A),SUMIF(Productos!E:E,F594,Productos!A:A)))</f>
        <v/>
      </c>
      <c r="F594" s="2" t="str">
        <f t="shared" si="2"/>
        <v/>
      </c>
      <c r="G594" s="10" t="str">
        <f t="array" ref="G594">IF(OR(F594="",F594="-",F594="Selecciona..",F594="Finalizar"),"",IF(A594="Rodados",XLOOKUP(B594,'Validaciones Cotizador'!I:I,'Validaciones Cotizador'!J:J,0,0,1),1))</f>
        <v/>
      </c>
      <c r="H594" s="11" t="str">
        <f>IF(OR(F594="",F594="Selecciona.."),"",SUMIF(Precio_Productos!K:K,E594,Precio_Productos!J:J)*G594)</f>
        <v/>
      </c>
      <c r="I594" s="4" t="str">
        <f t="array" ref="I594">IF($E594="","", XLOOKUP(SUMIFS(Prod_Prop!$A:$A,Prod_Prop!$B:$B,$E594,Prod_Prop!$H:$H,I$1,Prod_Prop!$I:$I,"Exacto"),Prod_Prop!$A:$A,Prod_Prop!$J:$J,"",0,1))</f>
        <v/>
      </c>
      <c r="J594" s="4" t="str">
        <f t="array" ref="J594">IF($E594="","", XLOOKUP(SUMIFS(Prod_Prop!$A:$A,Prod_Prop!$B:$B,$E594,Prod_Prop!$H:$H,J$1,Prod_Prop!$I:$I,"Exacto"),Prod_Prop!$A:$A,Prod_Prop!$J:$J,"",0,1))</f>
        <v/>
      </c>
      <c r="K594" s="4" t="str">
        <f t="array" ref="K594">IF($E594="","", XLOOKUP(SUMIFS(Prod_Prop!$A:$A,Prod_Prop!$B:$B,$E594,Prod_Prop!$H:$H,K$1,Prod_Prop!$I:$I,"Exacto"),Prod_Prop!$A:$A,Prod_Prop!$J:$J,"",0,1))</f>
        <v/>
      </c>
      <c r="L594" s="4" t="str">
        <f t="array" ref="L594">IF($E594="","", XLOOKUP(SUMIFS(Prod_Prop!$A:$A,Prod_Prop!$B:$B,$E594,Prod_Prop!$H:$H,L$1,Prod_Prop!$I:$I,"Exacto"),Prod_Prop!$A:$A,Prod_Prop!$J:$J,"",0,1))</f>
        <v/>
      </c>
      <c r="M594" s="4" t="str">
        <f t="array" ref="M594">IF($E594="","", XLOOKUP(SUMIFS(Prod_Prop!$A:$A,Prod_Prop!$B:$B,$E594,Prod_Prop!$H:$H,M$1,Prod_Prop!$I:$I,"Exacto"),Prod_Prop!$A:$A,Prod_Prop!$J:$J,"",0,1))</f>
        <v/>
      </c>
      <c r="N594" s="4" t="str">
        <f t="array" ref="N594">IF($E594="","", XLOOKUP(SUMIFS(Prod_Prop!$A:$A,Prod_Prop!$B:$B,$E594,Prod_Prop!$H:$H,N$1,Prod_Prop!$I:$I,"Exacto"),Prod_Prop!$A:$A,Prod_Prop!$J:$J,"",0,1))</f>
        <v/>
      </c>
      <c r="O594" s="4" t="str">
        <f t="array" ref="O594">IF($E594="","", XLOOKUP(SUMIFS(Prod_Prop!$A:$A,Prod_Prop!$B:$B,$E594,Prod_Prop!$H:$H,O$1,Prod_Prop!$I:$I,"Exacto"),Prod_Prop!$A:$A,Prod_Prop!$J:$J,"",0,1))</f>
        <v/>
      </c>
      <c r="P594" s="4" t="str">
        <f t="array" ref="P594">IF($E594="","", XLOOKUP(SUMIFS(Prod_Prop!$A:$A,Prod_Prop!$B:$B,$E594,Prod_Prop!$H:$H,P$1,Prod_Prop!$I:$I,"Exacto"),Prod_Prop!$A:$A,Prod_Prop!$J:$J,"",0,1))</f>
        <v/>
      </c>
      <c r="Q594" s="4" t="str">
        <f t="array" ref="Q594">IF($E594="","", XLOOKUP(SUMIFS(Prod_Prop!$A:$A,Prod_Prop!$B:$B,$E594,Prod_Prop!$H:$H,Q$1,Prod_Prop!$I:$I,"Exacto"),Prod_Prop!$A:$A,Prod_Prop!$J:$J,"",0,1))</f>
        <v/>
      </c>
      <c r="R594" s="4" t="str">
        <f t="array" ref="R594">IF($E594="","", XLOOKUP(SUMIFS(Prod_Prop!$A:$A,Prod_Prop!$B:$B,$E594,Prod_Prop!$H:$H,R$1,Prod_Prop!$I:$I,"Exacto"),Prod_Prop!$A:$A,Prod_Prop!$J:$J,"",0,1))</f>
        <v/>
      </c>
      <c r="S594" s="4" t="str">
        <f t="array" ref="S594">IF($E594="","", XLOOKUP(SUMIFS(Prod_Prop!$A:$A,Prod_Prop!$B:$B,$E594,Prod_Prop!$H:$H,S$1,Prod_Prop!$I:$I,"Exacto"),Prod_Prop!$A:$A,Prod_Prop!$J:$J,"",0,1))</f>
        <v/>
      </c>
      <c r="T594" s="4" t="str">
        <f t="array" ref="T594">IF($E594="","", XLOOKUP(SUMIFS(Prod_Prop!$A:$A,Prod_Prop!$B:$B,$E594,Prod_Prop!$H:$H,T$1,Prod_Prop!$I:$I,"Exacto"),Prod_Prop!$A:$A,Prod_Prop!$J:$J,"",0,1))</f>
        <v/>
      </c>
      <c r="U594" s="4" t="str">
        <f t="array" ref="U594">IF($E594="","", XLOOKUP(SUMIFS(Prod_Prop!$A:$A,Prod_Prop!$B:$B,$E594,Prod_Prop!$H:$H,U$1,Prod_Prop!$I:$I,"Exacto"),Prod_Prop!$A:$A,Prod_Prop!$J:$J,"",0,1))</f>
        <v/>
      </c>
      <c r="V594" s="4" t="str">
        <f t="array" ref="V594">IF($E594="","", XLOOKUP(SUMIFS(Prod_Prop!$A:$A,Prod_Prop!$B:$B,$E594,Prod_Prop!$H:$H,V$1,Prod_Prop!$I:$I,"Exacto"),Prod_Prop!$A:$A,Prod_Prop!$J:$J,"",0,1))</f>
        <v/>
      </c>
      <c r="X594" s="3" t="str">
        <f>IFERROR(__xludf.DUMMYFUNCTION("IF(D594="""","""",IFERROR(TRANSPOSE(FILTER('Validaciones Cotizador'!U:U,'Validaciones Cotizador'!O:O=D594,'Validaciones Cotizador'!T:T=""x"")),""Finalizar""))"),"")</f>
        <v/>
      </c>
    </row>
    <row r="595">
      <c r="A595" s="2" t="str">
        <f t="array" ref="A595">IF(E595="","",XLOOKUP(D595,'Validaciones Cotizador'!C:C,'Validaciones Cotizador'!A:A,"",0,1))</f>
        <v/>
      </c>
      <c r="B595" s="2" t="str">
        <f t="array" ref="B595">IF(F595="","",XLOOKUP(F595,Productos!E:E,Productos!G:G,"",0,1))</f>
        <v/>
      </c>
      <c r="C595" s="2" t="str">
        <f>IF(A595="","",SUMIFS('Validaciones Cotizador'!B:B,'Validaciones Cotizador'!C:C,D595,'Validaciones Cotizador'!A:A,A595))</f>
        <v/>
      </c>
      <c r="D595" s="4" t="str">
        <f>IFERROR(__xludf.DUMMYFUNCTION("IF(OR(F594=""Finalizar"",F594="""",F594=""Selecciona..""),"""",IF(OR(F594=""-"",INDEX(filter(Familias!F:F,Familias!D:D=A594,Familias!E:E=C594),1)=""O""),D594+1,D594))"),"")</f>
        <v/>
      </c>
      <c r="E595" s="2" t="str">
        <f>IF(OR(F595="",F595="Selecciona.."),"",IF(D595="Implemento",SUMIF(Implementos!B:B,F595,Implementos!A:A),SUMIF(Productos!E:E,F595,Productos!A:A)))</f>
        <v/>
      </c>
      <c r="F595" s="2" t="str">
        <f t="shared" si="2"/>
        <v/>
      </c>
      <c r="G595" s="10" t="str">
        <f t="array" ref="G595">IF(OR(F595="",F595="-",F595="Selecciona..",F595="Finalizar"),"",IF(A595="Rodados",XLOOKUP(B595,'Validaciones Cotizador'!I:I,'Validaciones Cotizador'!J:J,0,0,1),1))</f>
        <v/>
      </c>
      <c r="H595" s="11" t="str">
        <f>IF(OR(F595="",F595="Selecciona.."),"",SUMIF(Precio_Productos!K:K,E595,Precio_Productos!J:J)*G595)</f>
        <v/>
      </c>
      <c r="I595" s="4" t="str">
        <f t="array" ref="I595">IF($E595="","", XLOOKUP(SUMIFS(Prod_Prop!$A:$A,Prod_Prop!$B:$B,$E595,Prod_Prop!$H:$H,I$1,Prod_Prop!$I:$I,"Exacto"),Prod_Prop!$A:$A,Prod_Prop!$J:$J,"",0,1))</f>
        <v/>
      </c>
      <c r="J595" s="4" t="str">
        <f t="array" ref="J595">IF($E595="","", XLOOKUP(SUMIFS(Prod_Prop!$A:$A,Prod_Prop!$B:$B,$E595,Prod_Prop!$H:$H,J$1,Prod_Prop!$I:$I,"Exacto"),Prod_Prop!$A:$A,Prod_Prop!$J:$J,"",0,1))</f>
        <v/>
      </c>
      <c r="K595" s="4" t="str">
        <f t="array" ref="K595">IF($E595="","", XLOOKUP(SUMIFS(Prod_Prop!$A:$A,Prod_Prop!$B:$B,$E595,Prod_Prop!$H:$H,K$1,Prod_Prop!$I:$I,"Exacto"),Prod_Prop!$A:$A,Prod_Prop!$J:$J,"",0,1))</f>
        <v/>
      </c>
      <c r="L595" s="4" t="str">
        <f t="array" ref="L595">IF($E595="","", XLOOKUP(SUMIFS(Prod_Prop!$A:$A,Prod_Prop!$B:$B,$E595,Prod_Prop!$H:$H,L$1,Prod_Prop!$I:$I,"Exacto"),Prod_Prop!$A:$A,Prod_Prop!$J:$J,"",0,1))</f>
        <v/>
      </c>
      <c r="M595" s="4" t="str">
        <f t="array" ref="M595">IF($E595="","", XLOOKUP(SUMIFS(Prod_Prop!$A:$A,Prod_Prop!$B:$B,$E595,Prod_Prop!$H:$H,M$1,Prod_Prop!$I:$I,"Exacto"),Prod_Prop!$A:$A,Prod_Prop!$J:$J,"",0,1))</f>
        <v/>
      </c>
      <c r="N595" s="4" t="str">
        <f t="array" ref="N595">IF($E595="","", XLOOKUP(SUMIFS(Prod_Prop!$A:$A,Prod_Prop!$B:$B,$E595,Prod_Prop!$H:$H,N$1,Prod_Prop!$I:$I,"Exacto"),Prod_Prop!$A:$A,Prod_Prop!$J:$J,"",0,1))</f>
        <v/>
      </c>
      <c r="O595" s="4" t="str">
        <f t="array" ref="O595">IF($E595="","", XLOOKUP(SUMIFS(Prod_Prop!$A:$A,Prod_Prop!$B:$B,$E595,Prod_Prop!$H:$H,O$1,Prod_Prop!$I:$I,"Exacto"),Prod_Prop!$A:$A,Prod_Prop!$J:$J,"",0,1))</f>
        <v/>
      </c>
      <c r="P595" s="4" t="str">
        <f t="array" ref="P595">IF($E595="","", XLOOKUP(SUMIFS(Prod_Prop!$A:$A,Prod_Prop!$B:$B,$E595,Prod_Prop!$H:$H,P$1,Prod_Prop!$I:$I,"Exacto"),Prod_Prop!$A:$A,Prod_Prop!$J:$J,"",0,1))</f>
        <v/>
      </c>
      <c r="Q595" s="4" t="str">
        <f t="array" ref="Q595">IF($E595="","", XLOOKUP(SUMIFS(Prod_Prop!$A:$A,Prod_Prop!$B:$B,$E595,Prod_Prop!$H:$H,Q$1,Prod_Prop!$I:$I,"Exacto"),Prod_Prop!$A:$A,Prod_Prop!$J:$J,"",0,1))</f>
        <v/>
      </c>
      <c r="R595" s="4" t="str">
        <f t="array" ref="R595">IF($E595="","", XLOOKUP(SUMIFS(Prod_Prop!$A:$A,Prod_Prop!$B:$B,$E595,Prod_Prop!$H:$H,R$1,Prod_Prop!$I:$I,"Exacto"),Prod_Prop!$A:$A,Prod_Prop!$J:$J,"",0,1))</f>
        <v/>
      </c>
      <c r="S595" s="4" t="str">
        <f t="array" ref="S595">IF($E595="","", XLOOKUP(SUMIFS(Prod_Prop!$A:$A,Prod_Prop!$B:$B,$E595,Prod_Prop!$H:$H,S$1,Prod_Prop!$I:$I,"Exacto"),Prod_Prop!$A:$A,Prod_Prop!$J:$J,"",0,1))</f>
        <v/>
      </c>
      <c r="T595" s="4" t="str">
        <f t="array" ref="T595">IF($E595="","", XLOOKUP(SUMIFS(Prod_Prop!$A:$A,Prod_Prop!$B:$B,$E595,Prod_Prop!$H:$H,T$1,Prod_Prop!$I:$I,"Exacto"),Prod_Prop!$A:$A,Prod_Prop!$J:$J,"",0,1))</f>
        <v/>
      </c>
      <c r="U595" s="4" t="str">
        <f t="array" ref="U595">IF($E595="","", XLOOKUP(SUMIFS(Prod_Prop!$A:$A,Prod_Prop!$B:$B,$E595,Prod_Prop!$H:$H,U$1,Prod_Prop!$I:$I,"Exacto"),Prod_Prop!$A:$A,Prod_Prop!$J:$J,"",0,1))</f>
        <v/>
      </c>
      <c r="V595" s="4" t="str">
        <f t="array" ref="V595">IF($E595="","", XLOOKUP(SUMIFS(Prod_Prop!$A:$A,Prod_Prop!$B:$B,$E595,Prod_Prop!$H:$H,V$1,Prod_Prop!$I:$I,"Exacto"),Prod_Prop!$A:$A,Prod_Prop!$J:$J,"",0,1))</f>
        <v/>
      </c>
      <c r="X595" s="3" t="str">
        <f>IFERROR(__xludf.DUMMYFUNCTION("IF(D595="""","""",IFERROR(TRANSPOSE(FILTER('Validaciones Cotizador'!U:U,'Validaciones Cotizador'!O:O=D595,'Validaciones Cotizador'!T:T=""x"")),""Finalizar""))"),"")</f>
        <v/>
      </c>
    </row>
    <row r="596">
      <c r="A596" s="2" t="str">
        <f t="array" ref="A596">IF(E596="","",XLOOKUP(D596,'Validaciones Cotizador'!C:C,'Validaciones Cotizador'!A:A,"",0,1))</f>
        <v/>
      </c>
      <c r="B596" s="2" t="str">
        <f t="array" ref="B596">IF(F596="","",XLOOKUP(F596,Productos!E:E,Productos!G:G,"",0,1))</f>
        <v/>
      </c>
      <c r="C596" s="2" t="str">
        <f>IF(A596="","",SUMIFS('Validaciones Cotizador'!B:B,'Validaciones Cotizador'!C:C,D596,'Validaciones Cotizador'!A:A,A596))</f>
        <v/>
      </c>
      <c r="D596" s="4" t="str">
        <f>IFERROR(__xludf.DUMMYFUNCTION("IF(OR(F595=""Finalizar"",F595="""",F595=""Selecciona..""),"""",IF(OR(F595=""-"",INDEX(filter(Familias!F:F,Familias!D:D=A595,Familias!E:E=C595),1)=""O""),D595+1,D595))"),"")</f>
        <v/>
      </c>
      <c r="E596" s="2" t="str">
        <f>IF(OR(F596="",F596="Selecciona.."),"",IF(D596="Implemento",SUMIF(Implementos!B:B,F596,Implementos!A:A),SUMIF(Productos!E:E,F596,Productos!A:A)))</f>
        <v/>
      </c>
      <c r="F596" s="2" t="str">
        <f t="shared" si="2"/>
        <v/>
      </c>
      <c r="G596" s="10" t="str">
        <f t="array" ref="G596">IF(OR(F596="",F596="-",F596="Selecciona..",F596="Finalizar"),"",IF(A596="Rodados",XLOOKUP(B596,'Validaciones Cotizador'!I:I,'Validaciones Cotizador'!J:J,0,0,1),1))</f>
        <v/>
      </c>
      <c r="H596" s="11" t="str">
        <f>IF(OR(F596="",F596="Selecciona.."),"",SUMIF(Precio_Productos!K:K,E596,Precio_Productos!J:J)*G596)</f>
        <v/>
      </c>
      <c r="I596" s="4" t="str">
        <f t="array" ref="I596">IF($E596="","", XLOOKUP(SUMIFS(Prod_Prop!$A:$A,Prod_Prop!$B:$B,$E596,Prod_Prop!$H:$H,I$1,Prod_Prop!$I:$I,"Exacto"),Prod_Prop!$A:$A,Prod_Prop!$J:$J,"",0,1))</f>
        <v/>
      </c>
      <c r="J596" s="4" t="str">
        <f t="array" ref="J596">IF($E596="","", XLOOKUP(SUMIFS(Prod_Prop!$A:$A,Prod_Prop!$B:$B,$E596,Prod_Prop!$H:$H,J$1,Prod_Prop!$I:$I,"Exacto"),Prod_Prop!$A:$A,Prod_Prop!$J:$J,"",0,1))</f>
        <v/>
      </c>
      <c r="K596" s="4" t="str">
        <f t="array" ref="K596">IF($E596="","", XLOOKUP(SUMIFS(Prod_Prop!$A:$A,Prod_Prop!$B:$B,$E596,Prod_Prop!$H:$H,K$1,Prod_Prop!$I:$I,"Exacto"),Prod_Prop!$A:$A,Prod_Prop!$J:$J,"",0,1))</f>
        <v/>
      </c>
      <c r="L596" s="4" t="str">
        <f t="array" ref="L596">IF($E596="","", XLOOKUP(SUMIFS(Prod_Prop!$A:$A,Prod_Prop!$B:$B,$E596,Prod_Prop!$H:$H,L$1,Prod_Prop!$I:$I,"Exacto"),Prod_Prop!$A:$A,Prod_Prop!$J:$J,"",0,1))</f>
        <v/>
      </c>
      <c r="M596" s="4" t="str">
        <f t="array" ref="M596">IF($E596="","", XLOOKUP(SUMIFS(Prod_Prop!$A:$A,Prod_Prop!$B:$B,$E596,Prod_Prop!$H:$H,M$1,Prod_Prop!$I:$I,"Exacto"),Prod_Prop!$A:$A,Prod_Prop!$J:$J,"",0,1))</f>
        <v/>
      </c>
      <c r="N596" s="4" t="str">
        <f t="array" ref="N596">IF($E596="","", XLOOKUP(SUMIFS(Prod_Prop!$A:$A,Prod_Prop!$B:$B,$E596,Prod_Prop!$H:$H,N$1,Prod_Prop!$I:$I,"Exacto"),Prod_Prop!$A:$A,Prod_Prop!$J:$J,"",0,1))</f>
        <v/>
      </c>
      <c r="O596" s="4" t="str">
        <f t="array" ref="O596">IF($E596="","", XLOOKUP(SUMIFS(Prod_Prop!$A:$A,Prod_Prop!$B:$B,$E596,Prod_Prop!$H:$H,O$1,Prod_Prop!$I:$I,"Exacto"),Prod_Prop!$A:$A,Prod_Prop!$J:$J,"",0,1))</f>
        <v/>
      </c>
      <c r="P596" s="4" t="str">
        <f t="array" ref="P596">IF($E596="","", XLOOKUP(SUMIFS(Prod_Prop!$A:$A,Prod_Prop!$B:$B,$E596,Prod_Prop!$H:$H,P$1,Prod_Prop!$I:$I,"Exacto"),Prod_Prop!$A:$A,Prod_Prop!$J:$J,"",0,1))</f>
        <v/>
      </c>
      <c r="Q596" s="4" t="str">
        <f t="array" ref="Q596">IF($E596="","", XLOOKUP(SUMIFS(Prod_Prop!$A:$A,Prod_Prop!$B:$B,$E596,Prod_Prop!$H:$H,Q$1,Prod_Prop!$I:$I,"Exacto"),Prod_Prop!$A:$A,Prod_Prop!$J:$J,"",0,1))</f>
        <v/>
      </c>
      <c r="R596" s="4" t="str">
        <f t="array" ref="R596">IF($E596="","", XLOOKUP(SUMIFS(Prod_Prop!$A:$A,Prod_Prop!$B:$B,$E596,Prod_Prop!$H:$H,R$1,Prod_Prop!$I:$I,"Exacto"),Prod_Prop!$A:$A,Prod_Prop!$J:$J,"",0,1))</f>
        <v/>
      </c>
      <c r="S596" s="4" t="str">
        <f t="array" ref="S596">IF($E596="","", XLOOKUP(SUMIFS(Prod_Prop!$A:$A,Prod_Prop!$B:$B,$E596,Prod_Prop!$H:$H,S$1,Prod_Prop!$I:$I,"Exacto"),Prod_Prop!$A:$A,Prod_Prop!$J:$J,"",0,1))</f>
        <v/>
      </c>
      <c r="T596" s="4" t="str">
        <f t="array" ref="T596">IF($E596="","", XLOOKUP(SUMIFS(Prod_Prop!$A:$A,Prod_Prop!$B:$B,$E596,Prod_Prop!$H:$H,T$1,Prod_Prop!$I:$I,"Exacto"),Prod_Prop!$A:$A,Prod_Prop!$J:$J,"",0,1))</f>
        <v/>
      </c>
      <c r="U596" s="4" t="str">
        <f t="array" ref="U596">IF($E596="","", XLOOKUP(SUMIFS(Prod_Prop!$A:$A,Prod_Prop!$B:$B,$E596,Prod_Prop!$H:$H,U$1,Prod_Prop!$I:$I,"Exacto"),Prod_Prop!$A:$A,Prod_Prop!$J:$J,"",0,1))</f>
        <v/>
      </c>
      <c r="V596" s="4" t="str">
        <f t="array" ref="V596">IF($E596="","", XLOOKUP(SUMIFS(Prod_Prop!$A:$A,Prod_Prop!$B:$B,$E596,Prod_Prop!$H:$H,V$1,Prod_Prop!$I:$I,"Exacto"),Prod_Prop!$A:$A,Prod_Prop!$J:$J,"",0,1))</f>
        <v/>
      </c>
      <c r="X596" s="3" t="str">
        <f>IFERROR(__xludf.DUMMYFUNCTION("IF(D596="""","""",IFERROR(TRANSPOSE(FILTER('Validaciones Cotizador'!U:U,'Validaciones Cotizador'!O:O=D596,'Validaciones Cotizador'!T:T=""x"")),""Finalizar""))"),"")</f>
        <v/>
      </c>
    </row>
    <row r="597">
      <c r="A597" s="2" t="str">
        <f t="array" ref="A597">IF(E597="","",XLOOKUP(D597,'Validaciones Cotizador'!C:C,'Validaciones Cotizador'!A:A,"",0,1))</f>
        <v/>
      </c>
      <c r="B597" s="2" t="str">
        <f t="array" ref="B597">IF(F597="","",XLOOKUP(F597,Productos!E:E,Productos!G:G,"",0,1))</f>
        <v/>
      </c>
      <c r="C597" s="2" t="str">
        <f>IF(A597="","",SUMIFS('Validaciones Cotizador'!B:B,'Validaciones Cotizador'!C:C,D597,'Validaciones Cotizador'!A:A,A597))</f>
        <v/>
      </c>
      <c r="D597" s="4" t="str">
        <f>IFERROR(__xludf.DUMMYFUNCTION("IF(OR(F596=""Finalizar"",F596="""",F596=""Selecciona..""),"""",IF(OR(F596=""-"",INDEX(filter(Familias!F:F,Familias!D:D=A596,Familias!E:E=C596),1)=""O""),D596+1,D596))"),"")</f>
        <v/>
      </c>
      <c r="E597" s="2" t="str">
        <f>IF(OR(F597="",F597="Selecciona.."),"",IF(D597="Implemento",SUMIF(Implementos!B:B,F597,Implementos!A:A),SUMIF(Productos!E:E,F597,Productos!A:A)))</f>
        <v/>
      </c>
      <c r="F597" s="2" t="str">
        <f t="shared" si="2"/>
        <v/>
      </c>
      <c r="G597" s="10" t="str">
        <f t="array" ref="G597">IF(OR(F597="",F597="-",F597="Selecciona..",F597="Finalizar"),"",IF(A597="Rodados",XLOOKUP(B597,'Validaciones Cotizador'!I:I,'Validaciones Cotizador'!J:J,0,0,1),1))</f>
        <v/>
      </c>
      <c r="H597" s="11" t="str">
        <f>IF(OR(F597="",F597="Selecciona.."),"",SUMIF(Precio_Productos!K:K,E597,Precio_Productos!J:J)*G597)</f>
        <v/>
      </c>
      <c r="I597" s="4" t="str">
        <f t="array" ref="I597">IF($E597="","", XLOOKUP(SUMIFS(Prod_Prop!$A:$A,Prod_Prop!$B:$B,$E597,Prod_Prop!$H:$H,I$1,Prod_Prop!$I:$I,"Exacto"),Prod_Prop!$A:$A,Prod_Prop!$J:$J,"",0,1))</f>
        <v/>
      </c>
      <c r="J597" s="4" t="str">
        <f t="array" ref="J597">IF($E597="","", XLOOKUP(SUMIFS(Prod_Prop!$A:$A,Prod_Prop!$B:$B,$E597,Prod_Prop!$H:$H,J$1,Prod_Prop!$I:$I,"Exacto"),Prod_Prop!$A:$A,Prod_Prop!$J:$J,"",0,1))</f>
        <v/>
      </c>
      <c r="K597" s="4" t="str">
        <f t="array" ref="K597">IF($E597="","", XLOOKUP(SUMIFS(Prod_Prop!$A:$A,Prod_Prop!$B:$B,$E597,Prod_Prop!$H:$H,K$1,Prod_Prop!$I:$I,"Exacto"),Prod_Prop!$A:$A,Prod_Prop!$J:$J,"",0,1))</f>
        <v/>
      </c>
      <c r="L597" s="4" t="str">
        <f t="array" ref="L597">IF($E597="","", XLOOKUP(SUMIFS(Prod_Prop!$A:$A,Prod_Prop!$B:$B,$E597,Prod_Prop!$H:$H,L$1,Prod_Prop!$I:$I,"Exacto"),Prod_Prop!$A:$A,Prod_Prop!$J:$J,"",0,1))</f>
        <v/>
      </c>
      <c r="M597" s="4" t="str">
        <f t="array" ref="M597">IF($E597="","", XLOOKUP(SUMIFS(Prod_Prop!$A:$A,Prod_Prop!$B:$B,$E597,Prod_Prop!$H:$H,M$1,Prod_Prop!$I:$I,"Exacto"),Prod_Prop!$A:$A,Prod_Prop!$J:$J,"",0,1))</f>
        <v/>
      </c>
      <c r="N597" s="4" t="str">
        <f t="array" ref="N597">IF($E597="","", XLOOKUP(SUMIFS(Prod_Prop!$A:$A,Prod_Prop!$B:$B,$E597,Prod_Prop!$H:$H,N$1,Prod_Prop!$I:$I,"Exacto"),Prod_Prop!$A:$A,Prod_Prop!$J:$J,"",0,1))</f>
        <v/>
      </c>
      <c r="O597" s="4" t="str">
        <f t="array" ref="O597">IF($E597="","", XLOOKUP(SUMIFS(Prod_Prop!$A:$A,Prod_Prop!$B:$B,$E597,Prod_Prop!$H:$H,O$1,Prod_Prop!$I:$I,"Exacto"),Prod_Prop!$A:$A,Prod_Prop!$J:$J,"",0,1))</f>
        <v/>
      </c>
      <c r="P597" s="4" t="str">
        <f t="array" ref="P597">IF($E597="","", XLOOKUP(SUMIFS(Prod_Prop!$A:$A,Prod_Prop!$B:$B,$E597,Prod_Prop!$H:$H,P$1,Prod_Prop!$I:$I,"Exacto"),Prod_Prop!$A:$A,Prod_Prop!$J:$J,"",0,1))</f>
        <v/>
      </c>
      <c r="Q597" s="4" t="str">
        <f t="array" ref="Q597">IF($E597="","", XLOOKUP(SUMIFS(Prod_Prop!$A:$A,Prod_Prop!$B:$B,$E597,Prod_Prop!$H:$H,Q$1,Prod_Prop!$I:$I,"Exacto"),Prod_Prop!$A:$A,Prod_Prop!$J:$J,"",0,1))</f>
        <v/>
      </c>
      <c r="R597" s="4" t="str">
        <f t="array" ref="R597">IF($E597="","", XLOOKUP(SUMIFS(Prod_Prop!$A:$A,Prod_Prop!$B:$B,$E597,Prod_Prop!$H:$H,R$1,Prod_Prop!$I:$I,"Exacto"),Prod_Prop!$A:$A,Prod_Prop!$J:$J,"",0,1))</f>
        <v/>
      </c>
      <c r="S597" s="4" t="str">
        <f t="array" ref="S597">IF($E597="","", XLOOKUP(SUMIFS(Prod_Prop!$A:$A,Prod_Prop!$B:$B,$E597,Prod_Prop!$H:$H,S$1,Prod_Prop!$I:$I,"Exacto"),Prod_Prop!$A:$A,Prod_Prop!$J:$J,"",0,1))</f>
        <v/>
      </c>
      <c r="T597" s="4" t="str">
        <f t="array" ref="T597">IF($E597="","", XLOOKUP(SUMIFS(Prod_Prop!$A:$A,Prod_Prop!$B:$B,$E597,Prod_Prop!$H:$H,T$1,Prod_Prop!$I:$I,"Exacto"),Prod_Prop!$A:$A,Prod_Prop!$J:$J,"",0,1))</f>
        <v/>
      </c>
      <c r="U597" s="4" t="str">
        <f t="array" ref="U597">IF($E597="","", XLOOKUP(SUMIFS(Prod_Prop!$A:$A,Prod_Prop!$B:$B,$E597,Prod_Prop!$H:$H,U$1,Prod_Prop!$I:$I,"Exacto"),Prod_Prop!$A:$A,Prod_Prop!$J:$J,"",0,1))</f>
        <v/>
      </c>
      <c r="V597" s="4" t="str">
        <f t="array" ref="V597">IF($E597="","", XLOOKUP(SUMIFS(Prod_Prop!$A:$A,Prod_Prop!$B:$B,$E597,Prod_Prop!$H:$H,V$1,Prod_Prop!$I:$I,"Exacto"),Prod_Prop!$A:$A,Prod_Prop!$J:$J,"",0,1))</f>
        <v/>
      </c>
      <c r="X597" s="3" t="str">
        <f>IFERROR(__xludf.DUMMYFUNCTION("IF(D597="""","""",IFERROR(TRANSPOSE(FILTER('Validaciones Cotizador'!U:U,'Validaciones Cotizador'!O:O=D597,'Validaciones Cotizador'!T:T=""x"")),""Finalizar""))"),"")</f>
        <v/>
      </c>
    </row>
    <row r="598">
      <c r="A598" s="2" t="str">
        <f t="array" ref="A598">IF(E598="","",XLOOKUP(D598,'Validaciones Cotizador'!C:C,'Validaciones Cotizador'!A:A,"",0,1))</f>
        <v/>
      </c>
      <c r="B598" s="2" t="str">
        <f t="array" ref="B598">IF(F598="","",XLOOKUP(F598,Productos!E:E,Productos!G:G,"",0,1))</f>
        <v/>
      </c>
      <c r="C598" s="2" t="str">
        <f>IF(A598="","",SUMIFS('Validaciones Cotizador'!B:B,'Validaciones Cotizador'!C:C,D598,'Validaciones Cotizador'!A:A,A598))</f>
        <v/>
      </c>
      <c r="D598" s="4" t="str">
        <f>IFERROR(__xludf.DUMMYFUNCTION("IF(OR(F597=""Finalizar"",F597="""",F597=""Selecciona..""),"""",IF(OR(F597=""-"",INDEX(filter(Familias!F:F,Familias!D:D=A597,Familias!E:E=C597),1)=""O""),D597+1,D597))"),"")</f>
        <v/>
      </c>
      <c r="E598" s="2" t="str">
        <f>IF(OR(F598="",F598="Selecciona.."),"",IF(D598="Implemento",SUMIF(Implementos!B:B,F598,Implementos!A:A),SUMIF(Productos!E:E,F598,Productos!A:A)))</f>
        <v/>
      </c>
      <c r="F598" s="2" t="str">
        <f t="shared" si="2"/>
        <v/>
      </c>
      <c r="G598" s="10" t="str">
        <f t="array" ref="G598">IF(OR(F598="",F598="-",F598="Selecciona..",F598="Finalizar"),"",IF(A598="Rodados",XLOOKUP(B598,'Validaciones Cotizador'!I:I,'Validaciones Cotizador'!J:J,0,0,1),1))</f>
        <v/>
      </c>
      <c r="H598" s="11" t="str">
        <f>IF(OR(F598="",F598="Selecciona.."),"",SUMIF(Precio_Productos!K:K,E598,Precio_Productos!J:J)*G598)</f>
        <v/>
      </c>
      <c r="I598" s="4" t="str">
        <f t="array" ref="I598">IF($E598="","", XLOOKUP(SUMIFS(Prod_Prop!$A:$A,Prod_Prop!$B:$B,$E598,Prod_Prop!$H:$H,I$1,Prod_Prop!$I:$I,"Exacto"),Prod_Prop!$A:$A,Prod_Prop!$J:$J,"",0,1))</f>
        <v/>
      </c>
      <c r="J598" s="4" t="str">
        <f t="array" ref="J598">IF($E598="","", XLOOKUP(SUMIFS(Prod_Prop!$A:$A,Prod_Prop!$B:$B,$E598,Prod_Prop!$H:$H,J$1,Prod_Prop!$I:$I,"Exacto"),Prod_Prop!$A:$A,Prod_Prop!$J:$J,"",0,1))</f>
        <v/>
      </c>
      <c r="K598" s="4" t="str">
        <f t="array" ref="K598">IF($E598="","", XLOOKUP(SUMIFS(Prod_Prop!$A:$A,Prod_Prop!$B:$B,$E598,Prod_Prop!$H:$H,K$1,Prod_Prop!$I:$I,"Exacto"),Prod_Prop!$A:$A,Prod_Prop!$J:$J,"",0,1))</f>
        <v/>
      </c>
      <c r="L598" s="4" t="str">
        <f t="array" ref="L598">IF($E598="","", XLOOKUP(SUMIFS(Prod_Prop!$A:$A,Prod_Prop!$B:$B,$E598,Prod_Prop!$H:$H,L$1,Prod_Prop!$I:$I,"Exacto"),Prod_Prop!$A:$A,Prod_Prop!$J:$J,"",0,1))</f>
        <v/>
      </c>
      <c r="M598" s="4" t="str">
        <f t="array" ref="M598">IF($E598="","", XLOOKUP(SUMIFS(Prod_Prop!$A:$A,Prod_Prop!$B:$B,$E598,Prod_Prop!$H:$H,M$1,Prod_Prop!$I:$I,"Exacto"),Prod_Prop!$A:$A,Prod_Prop!$J:$J,"",0,1))</f>
        <v/>
      </c>
      <c r="N598" s="4" t="str">
        <f t="array" ref="N598">IF($E598="","", XLOOKUP(SUMIFS(Prod_Prop!$A:$A,Prod_Prop!$B:$B,$E598,Prod_Prop!$H:$H,N$1,Prod_Prop!$I:$I,"Exacto"),Prod_Prop!$A:$A,Prod_Prop!$J:$J,"",0,1))</f>
        <v/>
      </c>
      <c r="O598" s="4" t="str">
        <f t="array" ref="O598">IF($E598="","", XLOOKUP(SUMIFS(Prod_Prop!$A:$A,Prod_Prop!$B:$B,$E598,Prod_Prop!$H:$H,O$1,Prod_Prop!$I:$I,"Exacto"),Prod_Prop!$A:$A,Prod_Prop!$J:$J,"",0,1))</f>
        <v/>
      </c>
      <c r="P598" s="4" t="str">
        <f t="array" ref="P598">IF($E598="","", XLOOKUP(SUMIFS(Prod_Prop!$A:$A,Prod_Prop!$B:$B,$E598,Prod_Prop!$H:$H,P$1,Prod_Prop!$I:$I,"Exacto"),Prod_Prop!$A:$A,Prod_Prop!$J:$J,"",0,1))</f>
        <v/>
      </c>
      <c r="Q598" s="4" t="str">
        <f t="array" ref="Q598">IF($E598="","", XLOOKUP(SUMIFS(Prod_Prop!$A:$A,Prod_Prop!$B:$B,$E598,Prod_Prop!$H:$H,Q$1,Prod_Prop!$I:$I,"Exacto"),Prod_Prop!$A:$A,Prod_Prop!$J:$J,"",0,1))</f>
        <v/>
      </c>
      <c r="R598" s="4" t="str">
        <f t="array" ref="R598">IF($E598="","", XLOOKUP(SUMIFS(Prod_Prop!$A:$A,Prod_Prop!$B:$B,$E598,Prod_Prop!$H:$H,R$1,Prod_Prop!$I:$I,"Exacto"),Prod_Prop!$A:$A,Prod_Prop!$J:$J,"",0,1))</f>
        <v/>
      </c>
      <c r="S598" s="4" t="str">
        <f t="array" ref="S598">IF($E598="","", XLOOKUP(SUMIFS(Prod_Prop!$A:$A,Prod_Prop!$B:$B,$E598,Prod_Prop!$H:$H,S$1,Prod_Prop!$I:$I,"Exacto"),Prod_Prop!$A:$A,Prod_Prop!$J:$J,"",0,1))</f>
        <v/>
      </c>
      <c r="T598" s="4" t="str">
        <f t="array" ref="T598">IF($E598="","", XLOOKUP(SUMIFS(Prod_Prop!$A:$A,Prod_Prop!$B:$B,$E598,Prod_Prop!$H:$H,T$1,Prod_Prop!$I:$I,"Exacto"),Prod_Prop!$A:$A,Prod_Prop!$J:$J,"",0,1))</f>
        <v/>
      </c>
      <c r="U598" s="4" t="str">
        <f t="array" ref="U598">IF($E598="","", XLOOKUP(SUMIFS(Prod_Prop!$A:$A,Prod_Prop!$B:$B,$E598,Prod_Prop!$H:$H,U$1,Prod_Prop!$I:$I,"Exacto"),Prod_Prop!$A:$A,Prod_Prop!$J:$J,"",0,1))</f>
        <v/>
      </c>
      <c r="V598" s="4" t="str">
        <f t="array" ref="V598">IF($E598="","", XLOOKUP(SUMIFS(Prod_Prop!$A:$A,Prod_Prop!$B:$B,$E598,Prod_Prop!$H:$H,V$1,Prod_Prop!$I:$I,"Exacto"),Prod_Prop!$A:$A,Prod_Prop!$J:$J,"",0,1))</f>
        <v/>
      </c>
      <c r="X598" s="3" t="str">
        <f>IFERROR(__xludf.DUMMYFUNCTION("IF(D598="""","""",IFERROR(TRANSPOSE(FILTER('Validaciones Cotizador'!U:U,'Validaciones Cotizador'!O:O=D598,'Validaciones Cotizador'!T:T=""x"")),""Finalizar""))"),"")</f>
        <v/>
      </c>
    </row>
    <row r="599">
      <c r="A599" s="2" t="str">
        <f t="array" ref="A599">IF(E599="","",XLOOKUP(D599,'Validaciones Cotizador'!C:C,'Validaciones Cotizador'!A:A,"",0,1))</f>
        <v/>
      </c>
      <c r="B599" s="2" t="str">
        <f t="array" ref="B599">IF(F599="","",XLOOKUP(F599,Productos!E:E,Productos!G:G,"",0,1))</f>
        <v/>
      </c>
      <c r="C599" s="2" t="str">
        <f>IF(A599="","",SUMIFS('Validaciones Cotizador'!B:B,'Validaciones Cotizador'!C:C,D599,'Validaciones Cotizador'!A:A,A599))</f>
        <v/>
      </c>
      <c r="D599" s="4" t="str">
        <f>IFERROR(__xludf.DUMMYFUNCTION("IF(OR(F598=""Finalizar"",F598="""",F598=""Selecciona..""),"""",IF(OR(F598=""-"",INDEX(filter(Familias!F:F,Familias!D:D=A598,Familias!E:E=C598),1)=""O""),D598+1,D598))"),"")</f>
        <v/>
      </c>
      <c r="E599" s="2" t="str">
        <f>IF(OR(F599="",F599="Selecciona.."),"",IF(D599="Implemento",SUMIF(Implementos!B:B,F599,Implementos!A:A),SUMIF(Productos!E:E,F599,Productos!A:A)))</f>
        <v/>
      </c>
      <c r="F599" s="2" t="str">
        <f t="shared" si="2"/>
        <v/>
      </c>
      <c r="G599" s="10" t="str">
        <f t="array" ref="G599">IF(OR(F599="",F599="-",F599="Selecciona..",F599="Finalizar"),"",IF(A599="Rodados",XLOOKUP(B599,'Validaciones Cotizador'!I:I,'Validaciones Cotizador'!J:J,0,0,1),1))</f>
        <v/>
      </c>
      <c r="H599" s="11" t="str">
        <f>IF(OR(F599="",F599="Selecciona.."),"",SUMIF(Precio_Productos!K:K,E599,Precio_Productos!J:J)*G599)</f>
        <v/>
      </c>
      <c r="I599" s="4" t="str">
        <f t="array" ref="I599">IF($E599="","", XLOOKUP(SUMIFS(Prod_Prop!$A:$A,Prod_Prop!$B:$B,$E599,Prod_Prop!$H:$H,I$1,Prod_Prop!$I:$I,"Exacto"),Prod_Prop!$A:$A,Prod_Prop!$J:$J,"",0,1))</f>
        <v/>
      </c>
      <c r="J599" s="4" t="str">
        <f t="array" ref="J599">IF($E599="","", XLOOKUP(SUMIFS(Prod_Prop!$A:$A,Prod_Prop!$B:$B,$E599,Prod_Prop!$H:$H,J$1,Prod_Prop!$I:$I,"Exacto"),Prod_Prop!$A:$A,Prod_Prop!$J:$J,"",0,1))</f>
        <v/>
      </c>
      <c r="K599" s="4" t="str">
        <f t="array" ref="K599">IF($E599="","", XLOOKUP(SUMIFS(Prod_Prop!$A:$A,Prod_Prop!$B:$B,$E599,Prod_Prop!$H:$H,K$1,Prod_Prop!$I:$I,"Exacto"),Prod_Prop!$A:$A,Prod_Prop!$J:$J,"",0,1))</f>
        <v/>
      </c>
      <c r="L599" s="4" t="str">
        <f t="array" ref="L599">IF($E599="","", XLOOKUP(SUMIFS(Prod_Prop!$A:$A,Prod_Prop!$B:$B,$E599,Prod_Prop!$H:$H,L$1,Prod_Prop!$I:$I,"Exacto"),Prod_Prop!$A:$A,Prod_Prop!$J:$J,"",0,1))</f>
        <v/>
      </c>
      <c r="M599" s="4" t="str">
        <f t="array" ref="M599">IF($E599="","", XLOOKUP(SUMIFS(Prod_Prop!$A:$A,Prod_Prop!$B:$B,$E599,Prod_Prop!$H:$H,M$1,Prod_Prop!$I:$I,"Exacto"),Prod_Prop!$A:$A,Prod_Prop!$J:$J,"",0,1))</f>
        <v/>
      </c>
      <c r="N599" s="4" t="str">
        <f t="array" ref="N599">IF($E599="","", XLOOKUP(SUMIFS(Prod_Prop!$A:$A,Prod_Prop!$B:$B,$E599,Prod_Prop!$H:$H,N$1,Prod_Prop!$I:$I,"Exacto"),Prod_Prop!$A:$A,Prod_Prop!$J:$J,"",0,1))</f>
        <v/>
      </c>
      <c r="O599" s="4" t="str">
        <f t="array" ref="O599">IF($E599="","", XLOOKUP(SUMIFS(Prod_Prop!$A:$A,Prod_Prop!$B:$B,$E599,Prod_Prop!$H:$H,O$1,Prod_Prop!$I:$I,"Exacto"),Prod_Prop!$A:$A,Prod_Prop!$J:$J,"",0,1))</f>
        <v/>
      </c>
      <c r="P599" s="4" t="str">
        <f t="array" ref="P599">IF($E599="","", XLOOKUP(SUMIFS(Prod_Prop!$A:$A,Prod_Prop!$B:$B,$E599,Prod_Prop!$H:$H,P$1,Prod_Prop!$I:$I,"Exacto"),Prod_Prop!$A:$A,Prod_Prop!$J:$J,"",0,1))</f>
        <v/>
      </c>
      <c r="Q599" s="4" t="str">
        <f t="array" ref="Q599">IF($E599="","", XLOOKUP(SUMIFS(Prod_Prop!$A:$A,Prod_Prop!$B:$B,$E599,Prod_Prop!$H:$H,Q$1,Prod_Prop!$I:$I,"Exacto"),Prod_Prop!$A:$A,Prod_Prop!$J:$J,"",0,1))</f>
        <v/>
      </c>
      <c r="R599" s="4" t="str">
        <f t="array" ref="R599">IF($E599="","", XLOOKUP(SUMIFS(Prod_Prop!$A:$A,Prod_Prop!$B:$B,$E599,Prod_Prop!$H:$H,R$1,Prod_Prop!$I:$I,"Exacto"),Prod_Prop!$A:$A,Prod_Prop!$J:$J,"",0,1))</f>
        <v/>
      </c>
      <c r="S599" s="4" t="str">
        <f t="array" ref="S599">IF($E599="","", XLOOKUP(SUMIFS(Prod_Prop!$A:$A,Prod_Prop!$B:$B,$E599,Prod_Prop!$H:$H,S$1,Prod_Prop!$I:$I,"Exacto"),Prod_Prop!$A:$A,Prod_Prop!$J:$J,"",0,1))</f>
        <v/>
      </c>
      <c r="T599" s="4" t="str">
        <f t="array" ref="T599">IF($E599="","", XLOOKUP(SUMIFS(Prod_Prop!$A:$A,Prod_Prop!$B:$B,$E599,Prod_Prop!$H:$H,T$1,Prod_Prop!$I:$I,"Exacto"),Prod_Prop!$A:$A,Prod_Prop!$J:$J,"",0,1))</f>
        <v/>
      </c>
      <c r="U599" s="4" t="str">
        <f t="array" ref="U599">IF($E599="","", XLOOKUP(SUMIFS(Prod_Prop!$A:$A,Prod_Prop!$B:$B,$E599,Prod_Prop!$H:$H,U$1,Prod_Prop!$I:$I,"Exacto"),Prod_Prop!$A:$A,Prod_Prop!$J:$J,"",0,1))</f>
        <v/>
      </c>
      <c r="V599" s="4" t="str">
        <f t="array" ref="V599">IF($E599="","", XLOOKUP(SUMIFS(Prod_Prop!$A:$A,Prod_Prop!$B:$B,$E599,Prod_Prop!$H:$H,V$1,Prod_Prop!$I:$I,"Exacto"),Prod_Prop!$A:$A,Prod_Prop!$J:$J,"",0,1))</f>
        <v/>
      </c>
      <c r="X599" s="3" t="str">
        <f>IFERROR(__xludf.DUMMYFUNCTION("IF(D599="""","""",IFERROR(TRANSPOSE(FILTER('Validaciones Cotizador'!U:U,'Validaciones Cotizador'!O:O=D599,'Validaciones Cotizador'!T:T=""x"")),""Finalizar""))"),"")</f>
        <v/>
      </c>
    </row>
    <row r="600">
      <c r="A600" s="2" t="str">
        <f t="array" ref="A600">IF(E600="","",XLOOKUP(D600,'Validaciones Cotizador'!C:C,'Validaciones Cotizador'!A:A,"",0,1))</f>
        <v/>
      </c>
      <c r="B600" s="2" t="str">
        <f t="array" ref="B600">IF(F600="","",XLOOKUP(F600,Productos!E:E,Productos!G:G,"",0,1))</f>
        <v/>
      </c>
      <c r="C600" s="2" t="str">
        <f>IF(A600="","",SUMIFS('Validaciones Cotizador'!B:B,'Validaciones Cotizador'!C:C,D600,'Validaciones Cotizador'!A:A,A600))</f>
        <v/>
      </c>
      <c r="D600" s="4" t="str">
        <f>IFERROR(__xludf.DUMMYFUNCTION("IF(OR(F599=""Finalizar"",F599="""",F599=""Selecciona..""),"""",IF(OR(F599=""-"",INDEX(filter(Familias!F:F,Familias!D:D=A599,Familias!E:E=C599),1)=""O""),D599+1,D599))"),"")</f>
        <v/>
      </c>
      <c r="E600" s="2" t="str">
        <f>IF(OR(F600="",F600="Selecciona.."),"",IF(D600="Implemento",SUMIF(Implementos!B:B,F600,Implementos!A:A),SUMIF(Productos!E:E,F600,Productos!A:A)))</f>
        <v/>
      </c>
      <c r="F600" s="2" t="str">
        <f t="shared" si="2"/>
        <v/>
      </c>
      <c r="G600" s="10" t="str">
        <f t="array" ref="G600">IF(OR(F600="",F600="-",F600="Selecciona..",F600="Finalizar"),"",IF(A600="Rodados",XLOOKUP(B600,'Validaciones Cotizador'!I:I,'Validaciones Cotizador'!J:J,0,0,1),1))</f>
        <v/>
      </c>
      <c r="H600" s="11" t="str">
        <f>IF(OR(F600="",F600="Selecciona.."),"",SUMIF(Precio_Productos!K:K,E600,Precio_Productos!J:J)*G600)</f>
        <v/>
      </c>
      <c r="I600" s="4" t="str">
        <f t="array" ref="I600">IF($E600="","", XLOOKUP(SUMIFS(Prod_Prop!$A:$A,Prod_Prop!$B:$B,$E600,Prod_Prop!$H:$H,I$1,Prod_Prop!$I:$I,"Exacto"),Prod_Prop!$A:$A,Prod_Prop!$J:$J,"",0,1))</f>
        <v/>
      </c>
      <c r="J600" s="4" t="str">
        <f t="array" ref="J600">IF($E600="","", XLOOKUP(SUMIFS(Prod_Prop!$A:$A,Prod_Prop!$B:$B,$E600,Prod_Prop!$H:$H,J$1,Prod_Prop!$I:$I,"Exacto"),Prod_Prop!$A:$A,Prod_Prop!$J:$J,"",0,1))</f>
        <v/>
      </c>
      <c r="K600" s="4" t="str">
        <f t="array" ref="K600">IF($E600="","", XLOOKUP(SUMIFS(Prod_Prop!$A:$A,Prod_Prop!$B:$B,$E600,Prod_Prop!$H:$H,K$1,Prod_Prop!$I:$I,"Exacto"),Prod_Prop!$A:$A,Prod_Prop!$J:$J,"",0,1))</f>
        <v/>
      </c>
      <c r="L600" s="4" t="str">
        <f t="array" ref="L600">IF($E600="","", XLOOKUP(SUMIFS(Prod_Prop!$A:$A,Prod_Prop!$B:$B,$E600,Prod_Prop!$H:$H,L$1,Prod_Prop!$I:$I,"Exacto"),Prod_Prop!$A:$A,Prod_Prop!$J:$J,"",0,1))</f>
        <v/>
      </c>
      <c r="M600" s="4" t="str">
        <f t="array" ref="M600">IF($E600="","", XLOOKUP(SUMIFS(Prod_Prop!$A:$A,Prod_Prop!$B:$B,$E600,Prod_Prop!$H:$H,M$1,Prod_Prop!$I:$I,"Exacto"),Prod_Prop!$A:$A,Prod_Prop!$J:$J,"",0,1))</f>
        <v/>
      </c>
      <c r="N600" s="4" t="str">
        <f t="array" ref="N600">IF($E600="","", XLOOKUP(SUMIFS(Prod_Prop!$A:$A,Prod_Prop!$B:$B,$E600,Prod_Prop!$H:$H,N$1,Prod_Prop!$I:$I,"Exacto"),Prod_Prop!$A:$A,Prod_Prop!$J:$J,"",0,1))</f>
        <v/>
      </c>
      <c r="O600" s="4" t="str">
        <f t="array" ref="O600">IF($E600="","", XLOOKUP(SUMIFS(Prod_Prop!$A:$A,Prod_Prop!$B:$B,$E600,Prod_Prop!$H:$H,O$1,Prod_Prop!$I:$I,"Exacto"),Prod_Prop!$A:$A,Prod_Prop!$J:$J,"",0,1))</f>
        <v/>
      </c>
      <c r="P600" s="4" t="str">
        <f t="array" ref="P600">IF($E600="","", XLOOKUP(SUMIFS(Prod_Prop!$A:$A,Prod_Prop!$B:$B,$E600,Prod_Prop!$H:$H,P$1,Prod_Prop!$I:$I,"Exacto"),Prod_Prop!$A:$A,Prod_Prop!$J:$J,"",0,1))</f>
        <v/>
      </c>
      <c r="Q600" s="4" t="str">
        <f t="array" ref="Q600">IF($E600="","", XLOOKUP(SUMIFS(Prod_Prop!$A:$A,Prod_Prop!$B:$B,$E600,Prod_Prop!$H:$H,Q$1,Prod_Prop!$I:$I,"Exacto"),Prod_Prop!$A:$A,Prod_Prop!$J:$J,"",0,1))</f>
        <v/>
      </c>
      <c r="R600" s="4" t="str">
        <f t="array" ref="R600">IF($E600="","", XLOOKUP(SUMIFS(Prod_Prop!$A:$A,Prod_Prop!$B:$B,$E600,Prod_Prop!$H:$H,R$1,Prod_Prop!$I:$I,"Exacto"),Prod_Prop!$A:$A,Prod_Prop!$J:$J,"",0,1))</f>
        <v/>
      </c>
      <c r="S600" s="4" t="str">
        <f t="array" ref="S600">IF($E600="","", XLOOKUP(SUMIFS(Prod_Prop!$A:$A,Prod_Prop!$B:$B,$E600,Prod_Prop!$H:$H,S$1,Prod_Prop!$I:$I,"Exacto"),Prod_Prop!$A:$A,Prod_Prop!$J:$J,"",0,1))</f>
        <v/>
      </c>
      <c r="T600" s="4" t="str">
        <f t="array" ref="T600">IF($E600="","", XLOOKUP(SUMIFS(Prod_Prop!$A:$A,Prod_Prop!$B:$B,$E600,Prod_Prop!$H:$H,T$1,Prod_Prop!$I:$I,"Exacto"),Prod_Prop!$A:$A,Prod_Prop!$J:$J,"",0,1))</f>
        <v/>
      </c>
      <c r="U600" s="4" t="str">
        <f t="array" ref="U600">IF($E600="","", XLOOKUP(SUMIFS(Prod_Prop!$A:$A,Prod_Prop!$B:$B,$E600,Prod_Prop!$H:$H,U$1,Prod_Prop!$I:$I,"Exacto"),Prod_Prop!$A:$A,Prod_Prop!$J:$J,"",0,1))</f>
        <v/>
      </c>
      <c r="V600" s="4" t="str">
        <f t="array" ref="V600">IF($E600="","", XLOOKUP(SUMIFS(Prod_Prop!$A:$A,Prod_Prop!$B:$B,$E600,Prod_Prop!$H:$H,V$1,Prod_Prop!$I:$I,"Exacto"),Prod_Prop!$A:$A,Prod_Prop!$J:$J,"",0,1))</f>
        <v/>
      </c>
      <c r="X600" s="3" t="str">
        <f>IFERROR(__xludf.DUMMYFUNCTION("IF(D600="""","""",IFERROR(TRANSPOSE(FILTER('Validaciones Cotizador'!U:U,'Validaciones Cotizador'!O:O=D600,'Validaciones Cotizador'!T:T=""x"")),""Finalizar""))"),"")</f>
        <v/>
      </c>
    </row>
    <row r="601">
      <c r="A601" s="2" t="str">
        <f t="array" ref="A601">IF(E601="","",XLOOKUP(D601,'Validaciones Cotizador'!C:C,'Validaciones Cotizador'!A:A,"",0,1))</f>
        <v/>
      </c>
      <c r="B601" s="2" t="str">
        <f t="array" ref="B601">IF(F601="","",XLOOKUP(F601,Productos!E:E,Productos!G:G,"",0,1))</f>
        <v/>
      </c>
      <c r="C601" s="2" t="str">
        <f>IF(A601="","",SUMIFS('Validaciones Cotizador'!B:B,'Validaciones Cotizador'!C:C,D601,'Validaciones Cotizador'!A:A,A601))</f>
        <v/>
      </c>
      <c r="D601" s="4" t="str">
        <f>IFERROR(__xludf.DUMMYFUNCTION("IF(OR(F600=""Finalizar"",F600="""",F600=""Selecciona..""),"""",IF(OR(F600=""-"",INDEX(filter(Familias!F:F,Familias!D:D=A600,Familias!E:E=C600),1)=""O""),D600+1,D600))"),"")</f>
        <v/>
      </c>
      <c r="E601" s="2" t="str">
        <f>IF(OR(F601="",F601="Selecciona.."),"",IF(D601="Implemento",SUMIF(Implementos!B:B,F601,Implementos!A:A),SUMIF(Productos!E:E,F601,Productos!A:A)))</f>
        <v/>
      </c>
      <c r="F601" s="2" t="str">
        <f t="shared" si="2"/>
        <v/>
      </c>
      <c r="G601" s="10" t="str">
        <f t="array" ref="G601">IF(OR(F601="",F601="-",F601="Selecciona..",F601="Finalizar"),"",IF(A601="Rodados",XLOOKUP(B601,'Validaciones Cotizador'!I:I,'Validaciones Cotizador'!J:J,0,0,1),1))</f>
        <v/>
      </c>
      <c r="H601" s="11" t="str">
        <f>IF(OR(F601="",F601="Selecciona.."),"",SUMIF(Precio_Productos!K:K,E601,Precio_Productos!J:J)*G601)</f>
        <v/>
      </c>
      <c r="I601" s="4" t="str">
        <f t="array" ref="I601">IF($E601="","", XLOOKUP(SUMIFS(Prod_Prop!$A:$A,Prod_Prop!$B:$B,$E601,Prod_Prop!$H:$H,I$1,Prod_Prop!$I:$I,"Exacto"),Prod_Prop!$A:$A,Prod_Prop!$J:$J,"",0,1))</f>
        <v/>
      </c>
      <c r="J601" s="4" t="str">
        <f t="array" ref="J601">IF($E601="","", XLOOKUP(SUMIFS(Prod_Prop!$A:$A,Prod_Prop!$B:$B,$E601,Prod_Prop!$H:$H,J$1,Prod_Prop!$I:$I,"Exacto"),Prod_Prop!$A:$A,Prod_Prop!$J:$J,"",0,1))</f>
        <v/>
      </c>
      <c r="K601" s="4" t="str">
        <f t="array" ref="K601">IF($E601="","", XLOOKUP(SUMIFS(Prod_Prop!$A:$A,Prod_Prop!$B:$B,$E601,Prod_Prop!$H:$H,K$1,Prod_Prop!$I:$I,"Exacto"),Prod_Prop!$A:$A,Prod_Prop!$J:$J,"",0,1))</f>
        <v/>
      </c>
      <c r="L601" s="4" t="str">
        <f t="array" ref="L601">IF($E601="","", XLOOKUP(SUMIFS(Prod_Prop!$A:$A,Prod_Prop!$B:$B,$E601,Prod_Prop!$H:$H,L$1,Prod_Prop!$I:$I,"Exacto"),Prod_Prop!$A:$A,Prod_Prop!$J:$J,"",0,1))</f>
        <v/>
      </c>
      <c r="M601" s="4" t="str">
        <f t="array" ref="M601">IF($E601="","", XLOOKUP(SUMIFS(Prod_Prop!$A:$A,Prod_Prop!$B:$B,$E601,Prod_Prop!$H:$H,M$1,Prod_Prop!$I:$I,"Exacto"),Prod_Prop!$A:$A,Prod_Prop!$J:$J,"",0,1))</f>
        <v/>
      </c>
      <c r="N601" s="4" t="str">
        <f t="array" ref="N601">IF($E601="","", XLOOKUP(SUMIFS(Prod_Prop!$A:$A,Prod_Prop!$B:$B,$E601,Prod_Prop!$H:$H,N$1,Prod_Prop!$I:$I,"Exacto"),Prod_Prop!$A:$A,Prod_Prop!$J:$J,"",0,1))</f>
        <v/>
      </c>
      <c r="O601" s="4" t="str">
        <f t="array" ref="O601">IF($E601="","", XLOOKUP(SUMIFS(Prod_Prop!$A:$A,Prod_Prop!$B:$B,$E601,Prod_Prop!$H:$H,O$1,Prod_Prop!$I:$I,"Exacto"),Prod_Prop!$A:$A,Prod_Prop!$J:$J,"",0,1))</f>
        <v/>
      </c>
      <c r="P601" s="4" t="str">
        <f t="array" ref="P601">IF($E601="","", XLOOKUP(SUMIFS(Prod_Prop!$A:$A,Prod_Prop!$B:$B,$E601,Prod_Prop!$H:$H,P$1,Prod_Prop!$I:$I,"Exacto"),Prod_Prop!$A:$A,Prod_Prop!$J:$J,"",0,1))</f>
        <v/>
      </c>
      <c r="Q601" s="4" t="str">
        <f t="array" ref="Q601">IF($E601="","", XLOOKUP(SUMIFS(Prod_Prop!$A:$A,Prod_Prop!$B:$B,$E601,Prod_Prop!$H:$H,Q$1,Prod_Prop!$I:$I,"Exacto"),Prod_Prop!$A:$A,Prod_Prop!$J:$J,"",0,1))</f>
        <v/>
      </c>
      <c r="R601" s="4" t="str">
        <f t="array" ref="R601">IF($E601="","", XLOOKUP(SUMIFS(Prod_Prop!$A:$A,Prod_Prop!$B:$B,$E601,Prod_Prop!$H:$H,R$1,Prod_Prop!$I:$I,"Exacto"),Prod_Prop!$A:$A,Prod_Prop!$J:$J,"",0,1))</f>
        <v/>
      </c>
      <c r="S601" s="4" t="str">
        <f t="array" ref="S601">IF($E601="","", XLOOKUP(SUMIFS(Prod_Prop!$A:$A,Prod_Prop!$B:$B,$E601,Prod_Prop!$H:$H,S$1,Prod_Prop!$I:$I,"Exacto"),Prod_Prop!$A:$A,Prod_Prop!$J:$J,"",0,1))</f>
        <v/>
      </c>
      <c r="T601" s="4" t="str">
        <f t="array" ref="T601">IF($E601="","", XLOOKUP(SUMIFS(Prod_Prop!$A:$A,Prod_Prop!$B:$B,$E601,Prod_Prop!$H:$H,T$1,Prod_Prop!$I:$I,"Exacto"),Prod_Prop!$A:$A,Prod_Prop!$J:$J,"",0,1))</f>
        <v/>
      </c>
      <c r="U601" s="4" t="str">
        <f t="array" ref="U601">IF($E601="","", XLOOKUP(SUMIFS(Prod_Prop!$A:$A,Prod_Prop!$B:$B,$E601,Prod_Prop!$H:$H,U$1,Prod_Prop!$I:$I,"Exacto"),Prod_Prop!$A:$A,Prod_Prop!$J:$J,"",0,1))</f>
        <v/>
      </c>
      <c r="V601" s="4" t="str">
        <f t="array" ref="V601">IF($E601="","", XLOOKUP(SUMIFS(Prod_Prop!$A:$A,Prod_Prop!$B:$B,$E601,Prod_Prop!$H:$H,V$1,Prod_Prop!$I:$I,"Exacto"),Prod_Prop!$A:$A,Prod_Prop!$J:$J,"",0,1))</f>
        <v/>
      </c>
      <c r="X601" s="3" t="str">
        <f>IFERROR(__xludf.DUMMYFUNCTION("IF(D601="""","""",IFERROR(TRANSPOSE(FILTER('Validaciones Cotizador'!U:U,'Validaciones Cotizador'!O:O=D601,'Validaciones Cotizador'!T:T=""x"")),""Finalizar""))"),"")</f>
        <v/>
      </c>
    </row>
    <row r="602">
      <c r="A602" s="2" t="str">
        <f t="array" ref="A602">IF(E602="","",XLOOKUP(D602,'Validaciones Cotizador'!C:C,'Validaciones Cotizador'!A:A,"",0,1))</f>
        <v/>
      </c>
      <c r="B602" s="2" t="str">
        <f t="array" ref="B602">IF(F602="","",XLOOKUP(F602,Productos!E:E,Productos!G:G,"",0,1))</f>
        <v/>
      </c>
      <c r="C602" s="2" t="str">
        <f>IF(A602="","",SUMIFS('Validaciones Cotizador'!B:B,'Validaciones Cotizador'!C:C,D602,'Validaciones Cotizador'!A:A,A602))</f>
        <v/>
      </c>
      <c r="D602" s="4" t="str">
        <f>IFERROR(__xludf.DUMMYFUNCTION("IF(OR(F601=""Finalizar"",F601="""",F601=""Selecciona..""),"""",IF(OR(F601=""-"",INDEX(filter(Familias!F:F,Familias!D:D=A601,Familias!E:E=C601),1)=""O""),D601+1,D601))"),"")</f>
        <v/>
      </c>
      <c r="E602" s="2" t="str">
        <f>IF(OR(F602="",F602="Selecciona.."),"",IF(D602="Implemento",SUMIF(Implementos!B:B,F602,Implementos!A:A),SUMIF(Productos!E:E,F602,Productos!A:A)))</f>
        <v/>
      </c>
      <c r="F602" s="2" t="str">
        <f t="shared" si="2"/>
        <v/>
      </c>
      <c r="G602" s="10" t="str">
        <f t="array" ref="G602">IF(OR(F602="",F602="-",F602="Selecciona..",F602="Finalizar"),"",IF(A602="Rodados",XLOOKUP(B602,'Validaciones Cotizador'!I:I,'Validaciones Cotizador'!J:J,0,0,1),1))</f>
        <v/>
      </c>
      <c r="H602" s="11" t="str">
        <f>IF(OR(F602="",F602="Selecciona.."),"",SUMIF(Precio_Productos!K:K,E602,Precio_Productos!J:J)*G602)</f>
        <v/>
      </c>
      <c r="I602" s="4" t="str">
        <f t="array" ref="I602">IF($E602="","", XLOOKUP(SUMIFS(Prod_Prop!$A:$A,Prod_Prop!$B:$B,$E602,Prod_Prop!$H:$H,I$1,Prod_Prop!$I:$I,"Exacto"),Prod_Prop!$A:$A,Prod_Prop!$J:$J,"",0,1))</f>
        <v/>
      </c>
      <c r="J602" s="4" t="str">
        <f t="array" ref="J602">IF($E602="","", XLOOKUP(SUMIFS(Prod_Prop!$A:$A,Prod_Prop!$B:$B,$E602,Prod_Prop!$H:$H,J$1,Prod_Prop!$I:$I,"Exacto"),Prod_Prop!$A:$A,Prod_Prop!$J:$J,"",0,1))</f>
        <v/>
      </c>
      <c r="K602" s="4" t="str">
        <f t="array" ref="K602">IF($E602="","", XLOOKUP(SUMIFS(Prod_Prop!$A:$A,Prod_Prop!$B:$B,$E602,Prod_Prop!$H:$H,K$1,Prod_Prop!$I:$I,"Exacto"),Prod_Prop!$A:$A,Prod_Prop!$J:$J,"",0,1))</f>
        <v/>
      </c>
      <c r="L602" s="4" t="str">
        <f t="array" ref="L602">IF($E602="","", XLOOKUP(SUMIFS(Prod_Prop!$A:$A,Prod_Prop!$B:$B,$E602,Prod_Prop!$H:$H,L$1,Prod_Prop!$I:$I,"Exacto"),Prod_Prop!$A:$A,Prod_Prop!$J:$J,"",0,1))</f>
        <v/>
      </c>
      <c r="M602" s="4" t="str">
        <f t="array" ref="M602">IF($E602="","", XLOOKUP(SUMIFS(Prod_Prop!$A:$A,Prod_Prop!$B:$B,$E602,Prod_Prop!$H:$H,M$1,Prod_Prop!$I:$I,"Exacto"),Prod_Prop!$A:$A,Prod_Prop!$J:$J,"",0,1))</f>
        <v/>
      </c>
      <c r="N602" s="4" t="str">
        <f t="array" ref="N602">IF($E602="","", XLOOKUP(SUMIFS(Prod_Prop!$A:$A,Prod_Prop!$B:$B,$E602,Prod_Prop!$H:$H,N$1,Prod_Prop!$I:$I,"Exacto"),Prod_Prop!$A:$A,Prod_Prop!$J:$J,"",0,1))</f>
        <v/>
      </c>
      <c r="O602" s="4" t="str">
        <f t="array" ref="O602">IF($E602="","", XLOOKUP(SUMIFS(Prod_Prop!$A:$A,Prod_Prop!$B:$B,$E602,Prod_Prop!$H:$H,O$1,Prod_Prop!$I:$I,"Exacto"),Prod_Prop!$A:$A,Prod_Prop!$J:$J,"",0,1))</f>
        <v/>
      </c>
      <c r="P602" s="4" t="str">
        <f t="array" ref="P602">IF($E602="","", XLOOKUP(SUMIFS(Prod_Prop!$A:$A,Prod_Prop!$B:$B,$E602,Prod_Prop!$H:$H,P$1,Prod_Prop!$I:$I,"Exacto"),Prod_Prop!$A:$A,Prod_Prop!$J:$J,"",0,1))</f>
        <v/>
      </c>
      <c r="Q602" s="4" t="str">
        <f t="array" ref="Q602">IF($E602="","", XLOOKUP(SUMIFS(Prod_Prop!$A:$A,Prod_Prop!$B:$B,$E602,Prod_Prop!$H:$H,Q$1,Prod_Prop!$I:$I,"Exacto"),Prod_Prop!$A:$A,Prod_Prop!$J:$J,"",0,1))</f>
        <v/>
      </c>
      <c r="R602" s="4" t="str">
        <f t="array" ref="R602">IF($E602="","", XLOOKUP(SUMIFS(Prod_Prop!$A:$A,Prod_Prop!$B:$B,$E602,Prod_Prop!$H:$H,R$1,Prod_Prop!$I:$I,"Exacto"),Prod_Prop!$A:$A,Prod_Prop!$J:$J,"",0,1))</f>
        <v/>
      </c>
      <c r="S602" s="4" t="str">
        <f t="array" ref="S602">IF($E602="","", XLOOKUP(SUMIFS(Prod_Prop!$A:$A,Prod_Prop!$B:$B,$E602,Prod_Prop!$H:$H,S$1,Prod_Prop!$I:$I,"Exacto"),Prod_Prop!$A:$A,Prod_Prop!$J:$J,"",0,1))</f>
        <v/>
      </c>
      <c r="T602" s="4" t="str">
        <f t="array" ref="T602">IF($E602="","", XLOOKUP(SUMIFS(Prod_Prop!$A:$A,Prod_Prop!$B:$B,$E602,Prod_Prop!$H:$H,T$1,Prod_Prop!$I:$I,"Exacto"),Prod_Prop!$A:$A,Prod_Prop!$J:$J,"",0,1))</f>
        <v/>
      </c>
      <c r="U602" s="4" t="str">
        <f t="array" ref="U602">IF($E602="","", XLOOKUP(SUMIFS(Prod_Prop!$A:$A,Prod_Prop!$B:$B,$E602,Prod_Prop!$H:$H,U$1,Prod_Prop!$I:$I,"Exacto"),Prod_Prop!$A:$A,Prod_Prop!$J:$J,"",0,1))</f>
        <v/>
      </c>
      <c r="V602" s="4" t="str">
        <f t="array" ref="V602">IF($E602="","", XLOOKUP(SUMIFS(Prod_Prop!$A:$A,Prod_Prop!$B:$B,$E602,Prod_Prop!$H:$H,V$1,Prod_Prop!$I:$I,"Exacto"),Prod_Prop!$A:$A,Prod_Prop!$J:$J,"",0,1))</f>
        <v/>
      </c>
      <c r="X602" s="3" t="str">
        <f>IFERROR(__xludf.DUMMYFUNCTION("IF(D602="""","""",IFERROR(TRANSPOSE(FILTER('Validaciones Cotizador'!U:U,'Validaciones Cotizador'!O:O=D602,'Validaciones Cotizador'!T:T=""x"")),""Finalizar""))"),"")</f>
        <v/>
      </c>
    </row>
    <row r="603">
      <c r="A603" s="2" t="str">
        <f t="array" ref="A603">IF(E603="","",XLOOKUP(D603,'Validaciones Cotizador'!C:C,'Validaciones Cotizador'!A:A,"",0,1))</f>
        <v/>
      </c>
      <c r="B603" s="2" t="str">
        <f t="array" ref="B603">IF(F603="","",XLOOKUP(F603,Productos!E:E,Productos!G:G,"",0,1))</f>
        <v/>
      </c>
      <c r="C603" s="2" t="str">
        <f>IF(A603="","",SUMIFS('Validaciones Cotizador'!B:B,'Validaciones Cotizador'!C:C,D603,'Validaciones Cotizador'!A:A,A603))</f>
        <v/>
      </c>
      <c r="D603" s="4" t="str">
        <f>IFERROR(__xludf.DUMMYFUNCTION("IF(OR(F602=""Finalizar"",F602="""",F602=""Selecciona..""),"""",IF(OR(F602=""-"",INDEX(filter(Familias!F:F,Familias!D:D=A602,Familias!E:E=C602),1)=""O""),D602+1,D602))"),"")</f>
        <v/>
      </c>
      <c r="E603" s="2" t="str">
        <f>IF(OR(F603="",F603="Selecciona.."),"",IF(D603="Implemento",SUMIF(Implementos!B:B,F603,Implementos!A:A),SUMIF(Productos!E:E,F603,Productos!A:A)))</f>
        <v/>
      </c>
      <c r="F603" s="2" t="str">
        <f t="shared" si="2"/>
        <v/>
      </c>
      <c r="G603" s="10" t="str">
        <f t="array" ref="G603">IF(OR(F603="",F603="-",F603="Selecciona..",F603="Finalizar"),"",IF(A603="Rodados",XLOOKUP(B603,'Validaciones Cotizador'!I:I,'Validaciones Cotizador'!J:J,0,0,1),1))</f>
        <v/>
      </c>
      <c r="H603" s="11" t="str">
        <f>IF(OR(F603="",F603="Selecciona.."),"",SUMIF(Precio_Productos!K:K,E603,Precio_Productos!J:J)*G603)</f>
        <v/>
      </c>
      <c r="I603" s="4" t="str">
        <f t="array" ref="I603">IF($E603="","", XLOOKUP(SUMIFS(Prod_Prop!$A:$A,Prod_Prop!$B:$B,$E603,Prod_Prop!$H:$H,I$1,Prod_Prop!$I:$I,"Exacto"),Prod_Prop!$A:$A,Prod_Prop!$J:$J,"",0,1))</f>
        <v/>
      </c>
      <c r="J603" s="4" t="str">
        <f t="array" ref="J603">IF($E603="","", XLOOKUP(SUMIFS(Prod_Prop!$A:$A,Prod_Prop!$B:$B,$E603,Prod_Prop!$H:$H,J$1,Prod_Prop!$I:$I,"Exacto"),Prod_Prop!$A:$A,Prod_Prop!$J:$J,"",0,1))</f>
        <v/>
      </c>
      <c r="K603" s="4" t="str">
        <f t="array" ref="K603">IF($E603="","", XLOOKUP(SUMIFS(Prod_Prop!$A:$A,Prod_Prop!$B:$B,$E603,Prod_Prop!$H:$H,K$1,Prod_Prop!$I:$I,"Exacto"),Prod_Prop!$A:$A,Prod_Prop!$J:$J,"",0,1))</f>
        <v/>
      </c>
      <c r="L603" s="4" t="str">
        <f t="array" ref="L603">IF($E603="","", XLOOKUP(SUMIFS(Prod_Prop!$A:$A,Prod_Prop!$B:$B,$E603,Prod_Prop!$H:$H,L$1,Prod_Prop!$I:$I,"Exacto"),Prod_Prop!$A:$A,Prod_Prop!$J:$J,"",0,1))</f>
        <v/>
      </c>
      <c r="M603" s="4" t="str">
        <f t="array" ref="M603">IF($E603="","", XLOOKUP(SUMIFS(Prod_Prop!$A:$A,Prod_Prop!$B:$B,$E603,Prod_Prop!$H:$H,M$1,Prod_Prop!$I:$I,"Exacto"),Prod_Prop!$A:$A,Prod_Prop!$J:$J,"",0,1))</f>
        <v/>
      </c>
      <c r="N603" s="4" t="str">
        <f t="array" ref="N603">IF($E603="","", XLOOKUP(SUMIFS(Prod_Prop!$A:$A,Prod_Prop!$B:$B,$E603,Prod_Prop!$H:$H,N$1,Prod_Prop!$I:$I,"Exacto"),Prod_Prop!$A:$A,Prod_Prop!$J:$J,"",0,1))</f>
        <v/>
      </c>
      <c r="O603" s="4" t="str">
        <f t="array" ref="O603">IF($E603="","", XLOOKUP(SUMIFS(Prod_Prop!$A:$A,Prod_Prop!$B:$B,$E603,Prod_Prop!$H:$H,O$1,Prod_Prop!$I:$I,"Exacto"),Prod_Prop!$A:$A,Prod_Prop!$J:$J,"",0,1))</f>
        <v/>
      </c>
      <c r="P603" s="4" t="str">
        <f t="array" ref="P603">IF($E603="","", XLOOKUP(SUMIFS(Prod_Prop!$A:$A,Prod_Prop!$B:$B,$E603,Prod_Prop!$H:$H,P$1,Prod_Prop!$I:$I,"Exacto"),Prod_Prop!$A:$A,Prod_Prop!$J:$J,"",0,1))</f>
        <v/>
      </c>
      <c r="Q603" s="4" t="str">
        <f t="array" ref="Q603">IF($E603="","", XLOOKUP(SUMIFS(Prod_Prop!$A:$A,Prod_Prop!$B:$B,$E603,Prod_Prop!$H:$H,Q$1,Prod_Prop!$I:$I,"Exacto"),Prod_Prop!$A:$A,Prod_Prop!$J:$J,"",0,1))</f>
        <v/>
      </c>
      <c r="R603" s="4" t="str">
        <f t="array" ref="R603">IF($E603="","", XLOOKUP(SUMIFS(Prod_Prop!$A:$A,Prod_Prop!$B:$B,$E603,Prod_Prop!$H:$H,R$1,Prod_Prop!$I:$I,"Exacto"),Prod_Prop!$A:$A,Prod_Prop!$J:$J,"",0,1))</f>
        <v/>
      </c>
      <c r="S603" s="4" t="str">
        <f t="array" ref="S603">IF($E603="","", XLOOKUP(SUMIFS(Prod_Prop!$A:$A,Prod_Prop!$B:$B,$E603,Prod_Prop!$H:$H,S$1,Prod_Prop!$I:$I,"Exacto"),Prod_Prop!$A:$A,Prod_Prop!$J:$J,"",0,1))</f>
        <v/>
      </c>
      <c r="T603" s="4" t="str">
        <f t="array" ref="T603">IF($E603="","", XLOOKUP(SUMIFS(Prod_Prop!$A:$A,Prod_Prop!$B:$B,$E603,Prod_Prop!$H:$H,T$1,Prod_Prop!$I:$I,"Exacto"),Prod_Prop!$A:$A,Prod_Prop!$J:$J,"",0,1))</f>
        <v/>
      </c>
      <c r="U603" s="4" t="str">
        <f t="array" ref="U603">IF($E603="","", XLOOKUP(SUMIFS(Prod_Prop!$A:$A,Prod_Prop!$B:$B,$E603,Prod_Prop!$H:$H,U$1,Prod_Prop!$I:$I,"Exacto"),Prod_Prop!$A:$A,Prod_Prop!$J:$J,"",0,1))</f>
        <v/>
      </c>
      <c r="V603" s="4" t="str">
        <f t="array" ref="V603">IF($E603="","", XLOOKUP(SUMIFS(Prod_Prop!$A:$A,Prod_Prop!$B:$B,$E603,Prod_Prop!$H:$H,V$1,Prod_Prop!$I:$I,"Exacto"),Prod_Prop!$A:$A,Prod_Prop!$J:$J,"",0,1))</f>
        <v/>
      </c>
      <c r="X603" s="3" t="str">
        <f>IFERROR(__xludf.DUMMYFUNCTION("IF(D603="""","""",IFERROR(TRANSPOSE(FILTER('Validaciones Cotizador'!U:U,'Validaciones Cotizador'!O:O=D603,'Validaciones Cotizador'!T:T=""x"")),""Finalizar""))"),"")</f>
        <v/>
      </c>
    </row>
    <row r="604">
      <c r="A604" s="2" t="str">
        <f t="array" ref="A604">IF(E604="","",XLOOKUP(D604,'Validaciones Cotizador'!C:C,'Validaciones Cotizador'!A:A,"",0,1))</f>
        <v/>
      </c>
      <c r="B604" s="2" t="str">
        <f t="array" ref="B604">IF(F604="","",XLOOKUP(F604,Productos!E:E,Productos!G:G,"",0,1))</f>
        <v/>
      </c>
      <c r="C604" s="2" t="str">
        <f>IF(A604="","",SUMIFS('Validaciones Cotizador'!B:B,'Validaciones Cotizador'!C:C,D604,'Validaciones Cotizador'!A:A,A604))</f>
        <v/>
      </c>
      <c r="D604" s="4" t="str">
        <f>IFERROR(__xludf.DUMMYFUNCTION("IF(OR(F603=""Finalizar"",F603="""",F603=""Selecciona..""),"""",IF(OR(F603=""-"",INDEX(filter(Familias!F:F,Familias!D:D=A603,Familias!E:E=C603),1)=""O""),D603+1,D603))"),"")</f>
        <v/>
      </c>
      <c r="E604" s="2" t="str">
        <f>IF(OR(F604="",F604="Selecciona.."),"",IF(D604="Implemento",SUMIF(Implementos!B:B,F604,Implementos!A:A),SUMIF(Productos!E:E,F604,Productos!A:A)))</f>
        <v/>
      </c>
      <c r="F604" s="2" t="str">
        <f t="shared" si="2"/>
        <v/>
      </c>
      <c r="G604" s="10" t="str">
        <f t="array" ref="G604">IF(OR(F604="",F604="-",F604="Selecciona..",F604="Finalizar"),"",IF(A604="Rodados",XLOOKUP(B604,'Validaciones Cotizador'!I:I,'Validaciones Cotizador'!J:J,0,0,1),1))</f>
        <v/>
      </c>
      <c r="H604" s="11" t="str">
        <f>IF(OR(F604="",F604="Selecciona.."),"",SUMIF(Precio_Productos!K:K,E604,Precio_Productos!J:J)*G604)</f>
        <v/>
      </c>
      <c r="I604" s="4" t="str">
        <f t="array" ref="I604">IF($E604="","", XLOOKUP(SUMIFS(Prod_Prop!$A:$A,Prod_Prop!$B:$B,$E604,Prod_Prop!$H:$H,I$1,Prod_Prop!$I:$I,"Exacto"),Prod_Prop!$A:$A,Prod_Prop!$J:$J,"",0,1))</f>
        <v/>
      </c>
      <c r="J604" s="4" t="str">
        <f t="array" ref="J604">IF($E604="","", XLOOKUP(SUMIFS(Prod_Prop!$A:$A,Prod_Prop!$B:$B,$E604,Prod_Prop!$H:$H,J$1,Prod_Prop!$I:$I,"Exacto"),Prod_Prop!$A:$A,Prod_Prop!$J:$J,"",0,1))</f>
        <v/>
      </c>
      <c r="K604" s="4" t="str">
        <f t="array" ref="K604">IF($E604="","", XLOOKUP(SUMIFS(Prod_Prop!$A:$A,Prod_Prop!$B:$B,$E604,Prod_Prop!$H:$H,K$1,Prod_Prop!$I:$I,"Exacto"),Prod_Prop!$A:$A,Prod_Prop!$J:$J,"",0,1))</f>
        <v/>
      </c>
      <c r="L604" s="4" t="str">
        <f t="array" ref="L604">IF($E604="","", XLOOKUP(SUMIFS(Prod_Prop!$A:$A,Prod_Prop!$B:$B,$E604,Prod_Prop!$H:$H,L$1,Prod_Prop!$I:$I,"Exacto"),Prod_Prop!$A:$A,Prod_Prop!$J:$J,"",0,1))</f>
        <v/>
      </c>
      <c r="M604" s="4" t="str">
        <f t="array" ref="M604">IF($E604="","", XLOOKUP(SUMIFS(Prod_Prop!$A:$A,Prod_Prop!$B:$B,$E604,Prod_Prop!$H:$H,M$1,Prod_Prop!$I:$I,"Exacto"),Prod_Prop!$A:$A,Prod_Prop!$J:$J,"",0,1))</f>
        <v/>
      </c>
      <c r="N604" s="4" t="str">
        <f t="array" ref="N604">IF($E604="","", XLOOKUP(SUMIFS(Prod_Prop!$A:$A,Prod_Prop!$B:$B,$E604,Prod_Prop!$H:$H,N$1,Prod_Prop!$I:$I,"Exacto"),Prod_Prop!$A:$A,Prod_Prop!$J:$J,"",0,1))</f>
        <v/>
      </c>
      <c r="O604" s="4" t="str">
        <f t="array" ref="O604">IF($E604="","", XLOOKUP(SUMIFS(Prod_Prop!$A:$A,Prod_Prop!$B:$B,$E604,Prod_Prop!$H:$H,O$1,Prod_Prop!$I:$I,"Exacto"),Prod_Prop!$A:$A,Prod_Prop!$J:$J,"",0,1))</f>
        <v/>
      </c>
      <c r="P604" s="4" t="str">
        <f t="array" ref="P604">IF($E604="","", XLOOKUP(SUMIFS(Prod_Prop!$A:$A,Prod_Prop!$B:$B,$E604,Prod_Prop!$H:$H,P$1,Prod_Prop!$I:$I,"Exacto"),Prod_Prop!$A:$A,Prod_Prop!$J:$J,"",0,1))</f>
        <v/>
      </c>
      <c r="Q604" s="4" t="str">
        <f t="array" ref="Q604">IF($E604="","", XLOOKUP(SUMIFS(Prod_Prop!$A:$A,Prod_Prop!$B:$B,$E604,Prod_Prop!$H:$H,Q$1,Prod_Prop!$I:$I,"Exacto"),Prod_Prop!$A:$A,Prod_Prop!$J:$J,"",0,1))</f>
        <v/>
      </c>
      <c r="R604" s="4" t="str">
        <f t="array" ref="R604">IF($E604="","", XLOOKUP(SUMIFS(Prod_Prop!$A:$A,Prod_Prop!$B:$B,$E604,Prod_Prop!$H:$H,R$1,Prod_Prop!$I:$I,"Exacto"),Prod_Prop!$A:$A,Prod_Prop!$J:$J,"",0,1))</f>
        <v/>
      </c>
      <c r="S604" s="4" t="str">
        <f t="array" ref="S604">IF($E604="","", XLOOKUP(SUMIFS(Prod_Prop!$A:$A,Prod_Prop!$B:$B,$E604,Prod_Prop!$H:$H,S$1,Prod_Prop!$I:$I,"Exacto"),Prod_Prop!$A:$A,Prod_Prop!$J:$J,"",0,1))</f>
        <v/>
      </c>
      <c r="T604" s="4" t="str">
        <f t="array" ref="T604">IF($E604="","", XLOOKUP(SUMIFS(Prod_Prop!$A:$A,Prod_Prop!$B:$B,$E604,Prod_Prop!$H:$H,T$1,Prod_Prop!$I:$I,"Exacto"),Prod_Prop!$A:$A,Prod_Prop!$J:$J,"",0,1))</f>
        <v/>
      </c>
      <c r="U604" s="4" t="str">
        <f t="array" ref="U604">IF($E604="","", XLOOKUP(SUMIFS(Prod_Prop!$A:$A,Prod_Prop!$B:$B,$E604,Prod_Prop!$H:$H,U$1,Prod_Prop!$I:$I,"Exacto"),Prod_Prop!$A:$A,Prod_Prop!$J:$J,"",0,1))</f>
        <v/>
      </c>
      <c r="V604" s="4" t="str">
        <f t="array" ref="V604">IF($E604="","", XLOOKUP(SUMIFS(Prod_Prop!$A:$A,Prod_Prop!$B:$B,$E604,Prod_Prop!$H:$H,V$1,Prod_Prop!$I:$I,"Exacto"),Prod_Prop!$A:$A,Prod_Prop!$J:$J,"",0,1))</f>
        <v/>
      </c>
      <c r="X604" s="3" t="str">
        <f>IFERROR(__xludf.DUMMYFUNCTION("IF(D604="""","""",IFERROR(TRANSPOSE(FILTER('Validaciones Cotizador'!U:U,'Validaciones Cotizador'!O:O=D604,'Validaciones Cotizador'!T:T=""x"")),""Finalizar""))"),"")</f>
        <v/>
      </c>
    </row>
    <row r="605">
      <c r="A605" s="2" t="str">
        <f t="array" ref="A605">IF(E605="","",XLOOKUP(D605,'Validaciones Cotizador'!C:C,'Validaciones Cotizador'!A:A,"",0,1))</f>
        <v/>
      </c>
      <c r="B605" s="2" t="str">
        <f t="array" ref="B605">IF(F605="","",XLOOKUP(F605,Productos!E:E,Productos!G:G,"",0,1))</f>
        <v/>
      </c>
      <c r="C605" s="2" t="str">
        <f>IF(A605="","",SUMIFS('Validaciones Cotizador'!B:B,'Validaciones Cotizador'!C:C,D605,'Validaciones Cotizador'!A:A,A605))</f>
        <v/>
      </c>
      <c r="D605" s="4" t="str">
        <f>IFERROR(__xludf.DUMMYFUNCTION("IF(OR(F604=""Finalizar"",F604="""",F604=""Selecciona..""),"""",IF(OR(F604=""-"",INDEX(filter(Familias!F:F,Familias!D:D=A604,Familias!E:E=C604),1)=""O""),D604+1,D604))"),"")</f>
        <v/>
      </c>
      <c r="E605" s="2" t="str">
        <f>IF(OR(F605="",F605="Selecciona.."),"",IF(D605="Implemento",SUMIF(Implementos!B:B,F605,Implementos!A:A),SUMIF(Productos!E:E,F605,Productos!A:A)))</f>
        <v/>
      </c>
      <c r="F605" s="2" t="str">
        <f t="shared" si="2"/>
        <v/>
      </c>
      <c r="G605" s="10" t="str">
        <f t="array" ref="G605">IF(OR(F605="",F605="-",F605="Selecciona..",F605="Finalizar"),"",IF(A605="Rodados",XLOOKUP(B605,'Validaciones Cotizador'!I:I,'Validaciones Cotizador'!J:J,0,0,1),1))</f>
        <v/>
      </c>
      <c r="H605" s="11" t="str">
        <f>IF(OR(F605="",F605="Selecciona.."),"",SUMIF(Precio_Productos!K:K,E605,Precio_Productos!J:J)*G605)</f>
        <v/>
      </c>
      <c r="I605" s="4" t="str">
        <f t="array" ref="I605">IF($E605="","", XLOOKUP(SUMIFS(Prod_Prop!$A:$A,Prod_Prop!$B:$B,$E605,Prod_Prop!$H:$H,I$1,Prod_Prop!$I:$I,"Exacto"),Prod_Prop!$A:$A,Prod_Prop!$J:$J,"",0,1))</f>
        <v/>
      </c>
      <c r="J605" s="4" t="str">
        <f t="array" ref="J605">IF($E605="","", XLOOKUP(SUMIFS(Prod_Prop!$A:$A,Prod_Prop!$B:$B,$E605,Prod_Prop!$H:$H,J$1,Prod_Prop!$I:$I,"Exacto"),Prod_Prop!$A:$A,Prod_Prop!$J:$J,"",0,1))</f>
        <v/>
      </c>
      <c r="K605" s="4" t="str">
        <f t="array" ref="K605">IF($E605="","", XLOOKUP(SUMIFS(Prod_Prop!$A:$A,Prod_Prop!$B:$B,$E605,Prod_Prop!$H:$H,K$1,Prod_Prop!$I:$I,"Exacto"),Prod_Prop!$A:$A,Prod_Prop!$J:$J,"",0,1))</f>
        <v/>
      </c>
      <c r="L605" s="4" t="str">
        <f t="array" ref="L605">IF($E605="","", XLOOKUP(SUMIFS(Prod_Prop!$A:$A,Prod_Prop!$B:$B,$E605,Prod_Prop!$H:$H,L$1,Prod_Prop!$I:$I,"Exacto"),Prod_Prop!$A:$A,Prod_Prop!$J:$J,"",0,1))</f>
        <v/>
      </c>
      <c r="M605" s="4" t="str">
        <f t="array" ref="M605">IF($E605="","", XLOOKUP(SUMIFS(Prod_Prop!$A:$A,Prod_Prop!$B:$B,$E605,Prod_Prop!$H:$H,M$1,Prod_Prop!$I:$I,"Exacto"),Prod_Prop!$A:$A,Prod_Prop!$J:$J,"",0,1))</f>
        <v/>
      </c>
      <c r="N605" s="4" t="str">
        <f t="array" ref="N605">IF($E605="","", XLOOKUP(SUMIFS(Prod_Prop!$A:$A,Prod_Prop!$B:$B,$E605,Prod_Prop!$H:$H,N$1,Prod_Prop!$I:$I,"Exacto"),Prod_Prop!$A:$A,Prod_Prop!$J:$J,"",0,1))</f>
        <v/>
      </c>
      <c r="O605" s="4" t="str">
        <f t="array" ref="O605">IF($E605="","", XLOOKUP(SUMIFS(Prod_Prop!$A:$A,Prod_Prop!$B:$B,$E605,Prod_Prop!$H:$H,O$1,Prod_Prop!$I:$I,"Exacto"),Prod_Prop!$A:$A,Prod_Prop!$J:$J,"",0,1))</f>
        <v/>
      </c>
      <c r="P605" s="4" t="str">
        <f t="array" ref="P605">IF($E605="","", XLOOKUP(SUMIFS(Prod_Prop!$A:$A,Prod_Prop!$B:$B,$E605,Prod_Prop!$H:$H,P$1,Prod_Prop!$I:$I,"Exacto"),Prod_Prop!$A:$A,Prod_Prop!$J:$J,"",0,1))</f>
        <v/>
      </c>
      <c r="Q605" s="4" t="str">
        <f t="array" ref="Q605">IF($E605="","", XLOOKUP(SUMIFS(Prod_Prop!$A:$A,Prod_Prop!$B:$B,$E605,Prod_Prop!$H:$H,Q$1,Prod_Prop!$I:$I,"Exacto"),Prod_Prop!$A:$A,Prod_Prop!$J:$J,"",0,1))</f>
        <v/>
      </c>
      <c r="R605" s="4" t="str">
        <f t="array" ref="R605">IF($E605="","", XLOOKUP(SUMIFS(Prod_Prop!$A:$A,Prod_Prop!$B:$B,$E605,Prod_Prop!$H:$H,R$1,Prod_Prop!$I:$I,"Exacto"),Prod_Prop!$A:$A,Prod_Prop!$J:$J,"",0,1))</f>
        <v/>
      </c>
      <c r="S605" s="4" t="str">
        <f t="array" ref="S605">IF($E605="","", XLOOKUP(SUMIFS(Prod_Prop!$A:$A,Prod_Prop!$B:$B,$E605,Prod_Prop!$H:$H,S$1,Prod_Prop!$I:$I,"Exacto"),Prod_Prop!$A:$A,Prod_Prop!$J:$J,"",0,1))</f>
        <v/>
      </c>
      <c r="T605" s="4" t="str">
        <f t="array" ref="T605">IF($E605="","", XLOOKUP(SUMIFS(Prod_Prop!$A:$A,Prod_Prop!$B:$B,$E605,Prod_Prop!$H:$H,T$1,Prod_Prop!$I:$I,"Exacto"),Prod_Prop!$A:$A,Prod_Prop!$J:$J,"",0,1))</f>
        <v/>
      </c>
      <c r="U605" s="4" t="str">
        <f t="array" ref="U605">IF($E605="","", XLOOKUP(SUMIFS(Prod_Prop!$A:$A,Prod_Prop!$B:$B,$E605,Prod_Prop!$H:$H,U$1,Prod_Prop!$I:$I,"Exacto"),Prod_Prop!$A:$A,Prod_Prop!$J:$J,"",0,1))</f>
        <v/>
      </c>
      <c r="V605" s="4" t="str">
        <f t="array" ref="V605">IF($E605="","", XLOOKUP(SUMIFS(Prod_Prop!$A:$A,Prod_Prop!$B:$B,$E605,Prod_Prop!$H:$H,V$1,Prod_Prop!$I:$I,"Exacto"),Prod_Prop!$A:$A,Prod_Prop!$J:$J,"",0,1))</f>
        <v/>
      </c>
      <c r="X605" s="3" t="str">
        <f>IFERROR(__xludf.DUMMYFUNCTION("IF(D605="""","""",IFERROR(TRANSPOSE(FILTER('Validaciones Cotizador'!U:U,'Validaciones Cotizador'!O:O=D605,'Validaciones Cotizador'!T:T=""x"")),""Finalizar""))"),"")</f>
        <v/>
      </c>
    </row>
    <row r="606">
      <c r="A606" s="2" t="str">
        <f t="array" ref="A606">IF(E606="","",XLOOKUP(D606,'Validaciones Cotizador'!C:C,'Validaciones Cotizador'!A:A,"",0,1))</f>
        <v/>
      </c>
      <c r="B606" s="2" t="str">
        <f t="array" ref="B606">IF(F606="","",XLOOKUP(F606,Productos!E:E,Productos!G:G,"",0,1))</f>
        <v/>
      </c>
      <c r="C606" s="2" t="str">
        <f>IF(A606="","",SUMIFS('Validaciones Cotizador'!B:B,'Validaciones Cotizador'!C:C,D606,'Validaciones Cotizador'!A:A,A606))</f>
        <v/>
      </c>
      <c r="D606" s="4" t="str">
        <f>IFERROR(__xludf.DUMMYFUNCTION("IF(OR(F605=""Finalizar"",F605="""",F605=""Selecciona..""),"""",IF(OR(F605=""-"",INDEX(filter(Familias!F:F,Familias!D:D=A605,Familias!E:E=C605),1)=""O""),D605+1,D605))"),"")</f>
        <v/>
      </c>
      <c r="E606" s="2" t="str">
        <f>IF(OR(F606="",F606="Selecciona.."),"",IF(D606="Implemento",SUMIF(Implementos!B:B,F606,Implementos!A:A),SUMIF(Productos!E:E,F606,Productos!A:A)))</f>
        <v/>
      </c>
      <c r="F606" s="2" t="str">
        <f t="shared" si="2"/>
        <v/>
      </c>
      <c r="G606" s="10" t="str">
        <f t="array" ref="G606">IF(OR(F606="",F606="-",F606="Selecciona..",F606="Finalizar"),"",IF(A606="Rodados",XLOOKUP(B606,'Validaciones Cotizador'!I:I,'Validaciones Cotizador'!J:J,0,0,1),1))</f>
        <v/>
      </c>
      <c r="H606" s="11" t="str">
        <f>IF(OR(F606="",F606="Selecciona.."),"",SUMIF(Precio_Productos!K:K,E606,Precio_Productos!J:J)*G606)</f>
        <v/>
      </c>
      <c r="I606" s="4" t="str">
        <f t="array" ref="I606">IF($E606="","", XLOOKUP(SUMIFS(Prod_Prop!$A:$A,Prod_Prop!$B:$B,$E606,Prod_Prop!$H:$H,I$1,Prod_Prop!$I:$I,"Exacto"),Prod_Prop!$A:$A,Prod_Prop!$J:$J,"",0,1))</f>
        <v/>
      </c>
      <c r="J606" s="4" t="str">
        <f t="array" ref="J606">IF($E606="","", XLOOKUP(SUMIFS(Prod_Prop!$A:$A,Prod_Prop!$B:$B,$E606,Prod_Prop!$H:$H,J$1,Prod_Prop!$I:$I,"Exacto"),Prod_Prop!$A:$A,Prod_Prop!$J:$J,"",0,1))</f>
        <v/>
      </c>
      <c r="K606" s="4" t="str">
        <f t="array" ref="K606">IF($E606="","", XLOOKUP(SUMIFS(Prod_Prop!$A:$A,Prod_Prop!$B:$B,$E606,Prod_Prop!$H:$H,K$1,Prod_Prop!$I:$I,"Exacto"),Prod_Prop!$A:$A,Prod_Prop!$J:$J,"",0,1))</f>
        <v/>
      </c>
      <c r="L606" s="4" t="str">
        <f t="array" ref="L606">IF($E606="","", XLOOKUP(SUMIFS(Prod_Prop!$A:$A,Prod_Prop!$B:$B,$E606,Prod_Prop!$H:$H,L$1,Prod_Prop!$I:$I,"Exacto"),Prod_Prop!$A:$A,Prod_Prop!$J:$J,"",0,1))</f>
        <v/>
      </c>
      <c r="M606" s="4" t="str">
        <f t="array" ref="M606">IF($E606="","", XLOOKUP(SUMIFS(Prod_Prop!$A:$A,Prod_Prop!$B:$B,$E606,Prod_Prop!$H:$H,M$1,Prod_Prop!$I:$I,"Exacto"),Prod_Prop!$A:$A,Prod_Prop!$J:$J,"",0,1))</f>
        <v/>
      </c>
      <c r="N606" s="4" t="str">
        <f t="array" ref="N606">IF($E606="","", XLOOKUP(SUMIFS(Prod_Prop!$A:$A,Prod_Prop!$B:$B,$E606,Prod_Prop!$H:$H,N$1,Prod_Prop!$I:$I,"Exacto"),Prod_Prop!$A:$A,Prod_Prop!$J:$J,"",0,1))</f>
        <v/>
      </c>
      <c r="O606" s="4" t="str">
        <f t="array" ref="O606">IF($E606="","", XLOOKUP(SUMIFS(Prod_Prop!$A:$A,Prod_Prop!$B:$B,$E606,Prod_Prop!$H:$H,O$1,Prod_Prop!$I:$I,"Exacto"),Prod_Prop!$A:$A,Prod_Prop!$J:$J,"",0,1))</f>
        <v/>
      </c>
      <c r="P606" s="4" t="str">
        <f t="array" ref="P606">IF($E606="","", XLOOKUP(SUMIFS(Prod_Prop!$A:$A,Prod_Prop!$B:$B,$E606,Prod_Prop!$H:$H,P$1,Prod_Prop!$I:$I,"Exacto"),Prod_Prop!$A:$A,Prod_Prop!$J:$J,"",0,1))</f>
        <v/>
      </c>
      <c r="Q606" s="4" t="str">
        <f t="array" ref="Q606">IF($E606="","", XLOOKUP(SUMIFS(Prod_Prop!$A:$A,Prod_Prop!$B:$B,$E606,Prod_Prop!$H:$H,Q$1,Prod_Prop!$I:$I,"Exacto"),Prod_Prop!$A:$A,Prod_Prop!$J:$J,"",0,1))</f>
        <v/>
      </c>
      <c r="R606" s="4" t="str">
        <f t="array" ref="R606">IF($E606="","", XLOOKUP(SUMIFS(Prod_Prop!$A:$A,Prod_Prop!$B:$B,$E606,Prod_Prop!$H:$H,R$1,Prod_Prop!$I:$I,"Exacto"),Prod_Prop!$A:$A,Prod_Prop!$J:$J,"",0,1))</f>
        <v/>
      </c>
      <c r="S606" s="4" t="str">
        <f t="array" ref="S606">IF($E606="","", XLOOKUP(SUMIFS(Prod_Prop!$A:$A,Prod_Prop!$B:$B,$E606,Prod_Prop!$H:$H,S$1,Prod_Prop!$I:$I,"Exacto"),Prod_Prop!$A:$A,Prod_Prop!$J:$J,"",0,1))</f>
        <v/>
      </c>
      <c r="T606" s="4" t="str">
        <f t="array" ref="T606">IF($E606="","", XLOOKUP(SUMIFS(Prod_Prop!$A:$A,Prod_Prop!$B:$B,$E606,Prod_Prop!$H:$H,T$1,Prod_Prop!$I:$I,"Exacto"),Prod_Prop!$A:$A,Prod_Prop!$J:$J,"",0,1))</f>
        <v/>
      </c>
      <c r="U606" s="4" t="str">
        <f t="array" ref="U606">IF($E606="","", XLOOKUP(SUMIFS(Prod_Prop!$A:$A,Prod_Prop!$B:$B,$E606,Prod_Prop!$H:$H,U$1,Prod_Prop!$I:$I,"Exacto"),Prod_Prop!$A:$A,Prod_Prop!$J:$J,"",0,1))</f>
        <v/>
      </c>
      <c r="V606" s="4" t="str">
        <f t="array" ref="V606">IF($E606="","", XLOOKUP(SUMIFS(Prod_Prop!$A:$A,Prod_Prop!$B:$B,$E606,Prod_Prop!$H:$H,V$1,Prod_Prop!$I:$I,"Exacto"),Prod_Prop!$A:$A,Prod_Prop!$J:$J,"",0,1))</f>
        <v/>
      </c>
      <c r="X606" s="3" t="str">
        <f>IFERROR(__xludf.DUMMYFUNCTION("IF(D606="""","""",IFERROR(TRANSPOSE(FILTER('Validaciones Cotizador'!U:U,'Validaciones Cotizador'!O:O=D606,'Validaciones Cotizador'!T:T=""x"")),""Finalizar""))"),"")</f>
        <v/>
      </c>
    </row>
    <row r="607">
      <c r="A607" s="2" t="str">
        <f t="array" ref="A607">IF(E607="","",XLOOKUP(D607,'Validaciones Cotizador'!C:C,'Validaciones Cotizador'!A:A,"",0,1))</f>
        <v/>
      </c>
      <c r="B607" s="2" t="str">
        <f t="array" ref="B607">IF(F607="","",XLOOKUP(F607,Productos!E:E,Productos!G:G,"",0,1))</f>
        <v/>
      </c>
      <c r="C607" s="2" t="str">
        <f>IF(A607="","",SUMIFS('Validaciones Cotizador'!B:B,'Validaciones Cotizador'!C:C,D607,'Validaciones Cotizador'!A:A,A607))</f>
        <v/>
      </c>
      <c r="D607" s="4" t="str">
        <f>IFERROR(__xludf.DUMMYFUNCTION("IF(OR(F606=""Finalizar"",F606="""",F606=""Selecciona..""),"""",IF(OR(F606=""-"",INDEX(filter(Familias!F:F,Familias!D:D=A606,Familias!E:E=C606),1)=""O""),D606+1,D606))"),"")</f>
        <v/>
      </c>
      <c r="E607" s="2" t="str">
        <f>IF(OR(F607="",F607="Selecciona.."),"",IF(D607="Implemento",SUMIF(Implementos!B:B,F607,Implementos!A:A),SUMIF(Productos!E:E,F607,Productos!A:A)))</f>
        <v/>
      </c>
      <c r="F607" s="2" t="str">
        <f t="shared" si="2"/>
        <v/>
      </c>
      <c r="G607" s="10" t="str">
        <f t="array" ref="G607">IF(OR(F607="",F607="-",F607="Selecciona..",F607="Finalizar"),"",IF(A607="Rodados",XLOOKUP(B607,'Validaciones Cotizador'!I:I,'Validaciones Cotizador'!J:J,0,0,1),1))</f>
        <v/>
      </c>
      <c r="H607" s="11" t="str">
        <f>IF(OR(F607="",F607="Selecciona.."),"",SUMIF(Precio_Productos!K:K,E607,Precio_Productos!J:J)*G607)</f>
        <v/>
      </c>
      <c r="I607" s="4" t="str">
        <f t="array" ref="I607">IF($E607="","", XLOOKUP(SUMIFS(Prod_Prop!$A:$A,Prod_Prop!$B:$B,$E607,Prod_Prop!$H:$H,I$1,Prod_Prop!$I:$I,"Exacto"),Prod_Prop!$A:$A,Prod_Prop!$J:$J,"",0,1))</f>
        <v/>
      </c>
      <c r="J607" s="4" t="str">
        <f t="array" ref="J607">IF($E607="","", XLOOKUP(SUMIFS(Prod_Prop!$A:$A,Prod_Prop!$B:$B,$E607,Prod_Prop!$H:$H,J$1,Prod_Prop!$I:$I,"Exacto"),Prod_Prop!$A:$A,Prod_Prop!$J:$J,"",0,1))</f>
        <v/>
      </c>
      <c r="K607" s="4" t="str">
        <f t="array" ref="K607">IF($E607="","", XLOOKUP(SUMIFS(Prod_Prop!$A:$A,Prod_Prop!$B:$B,$E607,Prod_Prop!$H:$H,K$1,Prod_Prop!$I:$I,"Exacto"),Prod_Prop!$A:$A,Prod_Prop!$J:$J,"",0,1))</f>
        <v/>
      </c>
      <c r="L607" s="4" t="str">
        <f t="array" ref="L607">IF($E607="","", XLOOKUP(SUMIFS(Prod_Prop!$A:$A,Prod_Prop!$B:$B,$E607,Prod_Prop!$H:$H,L$1,Prod_Prop!$I:$I,"Exacto"),Prod_Prop!$A:$A,Prod_Prop!$J:$J,"",0,1))</f>
        <v/>
      </c>
      <c r="M607" s="4" t="str">
        <f t="array" ref="M607">IF($E607="","", XLOOKUP(SUMIFS(Prod_Prop!$A:$A,Prod_Prop!$B:$B,$E607,Prod_Prop!$H:$H,M$1,Prod_Prop!$I:$I,"Exacto"),Prod_Prop!$A:$A,Prod_Prop!$J:$J,"",0,1))</f>
        <v/>
      </c>
      <c r="N607" s="4" t="str">
        <f t="array" ref="N607">IF($E607="","", XLOOKUP(SUMIFS(Prod_Prop!$A:$A,Prod_Prop!$B:$B,$E607,Prod_Prop!$H:$H,N$1,Prod_Prop!$I:$I,"Exacto"),Prod_Prop!$A:$A,Prod_Prop!$J:$J,"",0,1))</f>
        <v/>
      </c>
      <c r="O607" s="4" t="str">
        <f t="array" ref="O607">IF($E607="","", XLOOKUP(SUMIFS(Prod_Prop!$A:$A,Prod_Prop!$B:$B,$E607,Prod_Prop!$H:$H,O$1,Prod_Prop!$I:$I,"Exacto"),Prod_Prop!$A:$A,Prod_Prop!$J:$J,"",0,1))</f>
        <v/>
      </c>
      <c r="P607" s="4" t="str">
        <f t="array" ref="P607">IF($E607="","", XLOOKUP(SUMIFS(Prod_Prop!$A:$A,Prod_Prop!$B:$B,$E607,Prod_Prop!$H:$H,P$1,Prod_Prop!$I:$I,"Exacto"),Prod_Prop!$A:$A,Prod_Prop!$J:$J,"",0,1))</f>
        <v/>
      </c>
      <c r="Q607" s="4" t="str">
        <f t="array" ref="Q607">IF($E607="","", XLOOKUP(SUMIFS(Prod_Prop!$A:$A,Prod_Prop!$B:$B,$E607,Prod_Prop!$H:$H,Q$1,Prod_Prop!$I:$I,"Exacto"),Prod_Prop!$A:$A,Prod_Prop!$J:$J,"",0,1))</f>
        <v/>
      </c>
      <c r="R607" s="4" t="str">
        <f t="array" ref="R607">IF($E607="","", XLOOKUP(SUMIFS(Prod_Prop!$A:$A,Prod_Prop!$B:$B,$E607,Prod_Prop!$H:$H,R$1,Prod_Prop!$I:$I,"Exacto"),Prod_Prop!$A:$A,Prod_Prop!$J:$J,"",0,1))</f>
        <v/>
      </c>
      <c r="S607" s="4" t="str">
        <f t="array" ref="S607">IF($E607="","", XLOOKUP(SUMIFS(Prod_Prop!$A:$A,Prod_Prop!$B:$B,$E607,Prod_Prop!$H:$H,S$1,Prod_Prop!$I:$I,"Exacto"),Prod_Prop!$A:$A,Prod_Prop!$J:$J,"",0,1))</f>
        <v/>
      </c>
      <c r="T607" s="4" t="str">
        <f t="array" ref="T607">IF($E607="","", XLOOKUP(SUMIFS(Prod_Prop!$A:$A,Prod_Prop!$B:$B,$E607,Prod_Prop!$H:$H,T$1,Prod_Prop!$I:$I,"Exacto"),Prod_Prop!$A:$A,Prod_Prop!$J:$J,"",0,1))</f>
        <v/>
      </c>
      <c r="U607" s="4" t="str">
        <f t="array" ref="U607">IF($E607="","", XLOOKUP(SUMIFS(Prod_Prop!$A:$A,Prod_Prop!$B:$B,$E607,Prod_Prop!$H:$H,U$1,Prod_Prop!$I:$I,"Exacto"),Prod_Prop!$A:$A,Prod_Prop!$J:$J,"",0,1))</f>
        <v/>
      </c>
      <c r="V607" s="4" t="str">
        <f t="array" ref="V607">IF($E607="","", XLOOKUP(SUMIFS(Prod_Prop!$A:$A,Prod_Prop!$B:$B,$E607,Prod_Prop!$H:$H,V$1,Prod_Prop!$I:$I,"Exacto"),Prod_Prop!$A:$A,Prod_Prop!$J:$J,"",0,1))</f>
        <v/>
      </c>
      <c r="X607" s="3" t="str">
        <f>IFERROR(__xludf.DUMMYFUNCTION("IF(D607="""","""",IFERROR(TRANSPOSE(FILTER('Validaciones Cotizador'!U:U,'Validaciones Cotizador'!O:O=D607,'Validaciones Cotizador'!T:T=""x"")),""Finalizar""))"),"")</f>
        <v/>
      </c>
    </row>
    <row r="608">
      <c r="A608" s="2" t="str">
        <f t="array" ref="A608">IF(E608="","",XLOOKUP(D608,'Validaciones Cotizador'!C:C,'Validaciones Cotizador'!A:A,"",0,1))</f>
        <v/>
      </c>
      <c r="B608" s="2" t="str">
        <f t="array" ref="B608">IF(F608="","",XLOOKUP(F608,Productos!E:E,Productos!G:G,"",0,1))</f>
        <v/>
      </c>
      <c r="C608" s="2" t="str">
        <f>IF(A608="","",SUMIFS('Validaciones Cotizador'!B:B,'Validaciones Cotizador'!C:C,D608,'Validaciones Cotizador'!A:A,A608))</f>
        <v/>
      </c>
      <c r="D608" s="4" t="str">
        <f>IFERROR(__xludf.DUMMYFUNCTION("IF(OR(F607=""Finalizar"",F607="""",F607=""Selecciona..""),"""",IF(OR(F607=""-"",INDEX(filter(Familias!F:F,Familias!D:D=A607,Familias!E:E=C607),1)=""O""),D607+1,D607))"),"")</f>
        <v/>
      </c>
      <c r="E608" s="2" t="str">
        <f>IF(OR(F608="",F608="Selecciona.."),"",IF(D608="Implemento",SUMIF(Implementos!B:B,F608,Implementos!A:A),SUMIF(Productos!E:E,F608,Productos!A:A)))</f>
        <v/>
      </c>
      <c r="F608" s="2" t="str">
        <f t="shared" si="2"/>
        <v/>
      </c>
      <c r="G608" s="10" t="str">
        <f t="array" ref="G608">IF(OR(F608="",F608="-",F608="Selecciona..",F608="Finalizar"),"",IF(A608="Rodados",XLOOKUP(B608,'Validaciones Cotizador'!I:I,'Validaciones Cotizador'!J:J,0,0,1),1))</f>
        <v/>
      </c>
      <c r="H608" s="11" t="str">
        <f>IF(OR(F608="",F608="Selecciona.."),"",SUMIF(Precio_Productos!K:K,E608,Precio_Productos!J:J)*G608)</f>
        <v/>
      </c>
      <c r="I608" s="4" t="str">
        <f t="array" ref="I608">IF($E608="","", XLOOKUP(SUMIFS(Prod_Prop!$A:$A,Prod_Prop!$B:$B,$E608,Prod_Prop!$H:$H,I$1,Prod_Prop!$I:$I,"Exacto"),Prod_Prop!$A:$A,Prod_Prop!$J:$J,"",0,1))</f>
        <v/>
      </c>
      <c r="J608" s="4" t="str">
        <f t="array" ref="J608">IF($E608="","", XLOOKUP(SUMIFS(Prod_Prop!$A:$A,Prod_Prop!$B:$B,$E608,Prod_Prop!$H:$H,J$1,Prod_Prop!$I:$I,"Exacto"),Prod_Prop!$A:$A,Prod_Prop!$J:$J,"",0,1))</f>
        <v/>
      </c>
      <c r="K608" s="4" t="str">
        <f t="array" ref="K608">IF($E608="","", XLOOKUP(SUMIFS(Prod_Prop!$A:$A,Prod_Prop!$B:$B,$E608,Prod_Prop!$H:$H,K$1,Prod_Prop!$I:$I,"Exacto"),Prod_Prop!$A:$A,Prod_Prop!$J:$J,"",0,1))</f>
        <v/>
      </c>
      <c r="L608" s="4" t="str">
        <f t="array" ref="L608">IF($E608="","", XLOOKUP(SUMIFS(Prod_Prop!$A:$A,Prod_Prop!$B:$B,$E608,Prod_Prop!$H:$H,L$1,Prod_Prop!$I:$I,"Exacto"),Prod_Prop!$A:$A,Prod_Prop!$J:$J,"",0,1))</f>
        <v/>
      </c>
      <c r="M608" s="4" t="str">
        <f t="array" ref="M608">IF($E608="","", XLOOKUP(SUMIFS(Prod_Prop!$A:$A,Prod_Prop!$B:$B,$E608,Prod_Prop!$H:$H,M$1,Prod_Prop!$I:$I,"Exacto"),Prod_Prop!$A:$A,Prod_Prop!$J:$J,"",0,1))</f>
        <v/>
      </c>
      <c r="N608" s="4" t="str">
        <f t="array" ref="N608">IF($E608="","", XLOOKUP(SUMIFS(Prod_Prop!$A:$A,Prod_Prop!$B:$B,$E608,Prod_Prop!$H:$H,N$1,Prod_Prop!$I:$I,"Exacto"),Prod_Prop!$A:$A,Prod_Prop!$J:$J,"",0,1))</f>
        <v/>
      </c>
      <c r="O608" s="4" t="str">
        <f t="array" ref="O608">IF($E608="","", XLOOKUP(SUMIFS(Prod_Prop!$A:$A,Prod_Prop!$B:$B,$E608,Prod_Prop!$H:$H,O$1,Prod_Prop!$I:$I,"Exacto"),Prod_Prop!$A:$A,Prod_Prop!$J:$J,"",0,1))</f>
        <v/>
      </c>
      <c r="P608" s="4" t="str">
        <f t="array" ref="P608">IF($E608="","", XLOOKUP(SUMIFS(Prod_Prop!$A:$A,Prod_Prop!$B:$B,$E608,Prod_Prop!$H:$H,P$1,Prod_Prop!$I:$I,"Exacto"),Prod_Prop!$A:$A,Prod_Prop!$J:$J,"",0,1))</f>
        <v/>
      </c>
      <c r="Q608" s="4" t="str">
        <f t="array" ref="Q608">IF($E608="","", XLOOKUP(SUMIFS(Prod_Prop!$A:$A,Prod_Prop!$B:$B,$E608,Prod_Prop!$H:$H,Q$1,Prod_Prop!$I:$I,"Exacto"),Prod_Prop!$A:$A,Prod_Prop!$J:$J,"",0,1))</f>
        <v/>
      </c>
      <c r="R608" s="4" t="str">
        <f t="array" ref="R608">IF($E608="","", XLOOKUP(SUMIFS(Prod_Prop!$A:$A,Prod_Prop!$B:$B,$E608,Prod_Prop!$H:$H,R$1,Prod_Prop!$I:$I,"Exacto"),Prod_Prop!$A:$A,Prod_Prop!$J:$J,"",0,1))</f>
        <v/>
      </c>
      <c r="S608" s="4" t="str">
        <f t="array" ref="S608">IF($E608="","", XLOOKUP(SUMIFS(Prod_Prop!$A:$A,Prod_Prop!$B:$B,$E608,Prod_Prop!$H:$H,S$1,Prod_Prop!$I:$I,"Exacto"),Prod_Prop!$A:$A,Prod_Prop!$J:$J,"",0,1))</f>
        <v/>
      </c>
      <c r="T608" s="4" t="str">
        <f t="array" ref="T608">IF($E608="","", XLOOKUP(SUMIFS(Prod_Prop!$A:$A,Prod_Prop!$B:$B,$E608,Prod_Prop!$H:$H,T$1,Prod_Prop!$I:$I,"Exacto"),Prod_Prop!$A:$A,Prod_Prop!$J:$J,"",0,1))</f>
        <v/>
      </c>
      <c r="U608" s="4" t="str">
        <f t="array" ref="U608">IF($E608="","", XLOOKUP(SUMIFS(Prod_Prop!$A:$A,Prod_Prop!$B:$B,$E608,Prod_Prop!$H:$H,U$1,Prod_Prop!$I:$I,"Exacto"),Prod_Prop!$A:$A,Prod_Prop!$J:$J,"",0,1))</f>
        <v/>
      </c>
      <c r="V608" s="4" t="str">
        <f t="array" ref="V608">IF($E608="","", XLOOKUP(SUMIFS(Prod_Prop!$A:$A,Prod_Prop!$B:$B,$E608,Prod_Prop!$H:$H,V$1,Prod_Prop!$I:$I,"Exacto"),Prod_Prop!$A:$A,Prod_Prop!$J:$J,"",0,1))</f>
        <v/>
      </c>
      <c r="X608" s="3" t="str">
        <f>IFERROR(__xludf.DUMMYFUNCTION("IF(D608="""","""",IFERROR(TRANSPOSE(FILTER('Validaciones Cotizador'!U:U,'Validaciones Cotizador'!O:O=D608,'Validaciones Cotizador'!T:T=""x"")),""Finalizar""))"),"")</f>
        <v/>
      </c>
    </row>
    <row r="609">
      <c r="A609" s="2" t="str">
        <f t="array" ref="A609">IF(E609="","",XLOOKUP(D609,'Validaciones Cotizador'!C:C,'Validaciones Cotizador'!A:A,"",0,1))</f>
        <v/>
      </c>
      <c r="B609" s="2" t="str">
        <f t="array" ref="B609">IF(F609="","",XLOOKUP(F609,Productos!E:E,Productos!G:G,"",0,1))</f>
        <v/>
      </c>
      <c r="C609" s="2" t="str">
        <f>IF(A609="","",SUMIFS('Validaciones Cotizador'!B:B,'Validaciones Cotizador'!C:C,D609,'Validaciones Cotizador'!A:A,A609))</f>
        <v/>
      </c>
      <c r="D609" s="4" t="str">
        <f>IFERROR(__xludf.DUMMYFUNCTION("IF(OR(F608=""Finalizar"",F608="""",F608=""Selecciona..""),"""",IF(OR(F608=""-"",INDEX(filter(Familias!F:F,Familias!D:D=A608,Familias!E:E=C608),1)=""O""),D608+1,D608))"),"")</f>
        <v/>
      </c>
      <c r="E609" s="2" t="str">
        <f>IF(OR(F609="",F609="Selecciona.."),"",IF(D609="Implemento",SUMIF(Implementos!B:B,F609,Implementos!A:A),SUMIF(Productos!E:E,F609,Productos!A:A)))</f>
        <v/>
      </c>
      <c r="F609" s="2" t="str">
        <f t="shared" si="2"/>
        <v/>
      </c>
      <c r="G609" s="10" t="str">
        <f t="array" ref="G609">IF(OR(F609="",F609="-",F609="Selecciona..",F609="Finalizar"),"",IF(A609="Rodados",XLOOKUP(B609,'Validaciones Cotizador'!I:I,'Validaciones Cotizador'!J:J,0,0,1),1))</f>
        <v/>
      </c>
      <c r="H609" s="11" t="str">
        <f>IF(OR(F609="",F609="Selecciona.."),"",SUMIF(Precio_Productos!K:K,E609,Precio_Productos!J:J)*G609)</f>
        <v/>
      </c>
      <c r="I609" s="4" t="str">
        <f t="array" ref="I609">IF($E609="","", XLOOKUP(SUMIFS(Prod_Prop!$A:$A,Prod_Prop!$B:$B,$E609,Prod_Prop!$H:$H,I$1,Prod_Prop!$I:$I,"Exacto"),Prod_Prop!$A:$A,Prod_Prop!$J:$J,"",0,1))</f>
        <v/>
      </c>
      <c r="J609" s="4" t="str">
        <f t="array" ref="J609">IF($E609="","", XLOOKUP(SUMIFS(Prod_Prop!$A:$A,Prod_Prop!$B:$B,$E609,Prod_Prop!$H:$H,J$1,Prod_Prop!$I:$I,"Exacto"),Prod_Prop!$A:$A,Prod_Prop!$J:$J,"",0,1))</f>
        <v/>
      </c>
      <c r="K609" s="4" t="str">
        <f t="array" ref="K609">IF($E609="","", XLOOKUP(SUMIFS(Prod_Prop!$A:$A,Prod_Prop!$B:$B,$E609,Prod_Prop!$H:$H,K$1,Prod_Prop!$I:$I,"Exacto"),Prod_Prop!$A:$A,Prod_Prop!$J:$J,"",0,1))</f>
        <v/>
      </c>
      <c r="L609" s="4" t="str">
        <f t="array" ref="L609">IF($E609="","", XLOOKUP(SUMIFS(Prod_Prop!$A:$A,Prod_Prop!$B:$B,$E609,Prod_Prop!$H:$H,L$1,Prod_Prop!$I:$I,"Exacto"),Prod_Prop!$A:$A,Prod_Prop!$J:$J,"",0,1))</f>
        <v/>
      </c>
      <c r="M609" s="4" t="str">
        <f t="array" ref="M609">IF($E609="","", XLOOKUP(SUMIFS(Prod_Prop!$A:$A,Prod_Prop!$B:$B,$E609,Prod_Prop!$H:$H,M$1,Prod_Prop!$I:$I,"Exacto"),Prod_Prop!$A:$A,Prod_Prop!$J:$J,"",0,1))</f>
        <v/>
      </c>
      <c r="N609" s="4" t="str">
        <f t="array" ref="N609">IF($E609="","", XLOOKUP(SUMIFS(Prod_Prop!$A:$A,Prod_Prop!$B:$B,$E609,Prod_Prop!$H:$H,N$1,Prod_Prop!$I:$I,"Exacto"),Prod_Prop!$A:$A,Prod_Prop!$J:$J,"",0,1))</f>
        <v/>
      </c>
      <c r="O609" s="4" t="str">
        <f t="array" ref="O609">IF($E609="","", XLOOKUP(SUMIFS(Prod_Prop!$A:$A,Prod_Prop!$B:$B,$E609,Prod_Prop!$H:$H,O$1,Prod_Prop!$I:$I,"Exacto"),Prod_Prop!$A:$A,Prod_Prop!$J:$J,"",0,1))</f>
        <v/>
      </c>
      <c r="P609" s="4" t="str">
        <f t="array" ref="P609">IF($E609="","", XLOOKUP(SUMIFS(Prod_Prop!$A:$A,Prod_Prop!$B:$B,$E609,Prod_Prop!$H:$H,P$1,Prod_Prop!$I:$I,"Exacto"),Prod_Prop!$A:$A,Prod_Prop!$J:$J,"",0,1))</f>
        <v/>
      </c>
      <c r="Q609" s="4" t="str">
        <f t="array" ref="Q609">IF($E609="","", XLOOKUP(SUMIFS(Prod_Prop!$A:$A,Prod_Prop!$B:$B,$E609,Prod_Prop!$H:$H,Q$1,Prod_Prop!$I:$I,"Exacto"),Prod_Prop!$A:$A,Prod_Prop!$J:$J,"",0,1))</f>
        <v/>
      </c>
      <c r="R609" s="4" t="str">
        <f t="array" ref="R609">IF($E609="","", XLOOKUP(SUMIFS(Prod_Prop!$A:$A,Prod_Prop!$B:$B,$E609,Prod_Prop!$H:$H,R$1,Prod_Prop!$I:$I,"Exacto"),Prod_Prop!$A:$A,Prod_Prop!$J:$J,"",0,1))</f>
        <v/>
      </c>
      <c r="S609" s="4" t="str">
        <f t="array" ref="S609">IF($E609="","", XLOOKUP(SUMIFS(Prod_Prop!$A:$A,Prod_Prop!$B:$B,$E609,Prod_Prop!$H:$H,S$1,Prod_Prop!$I:$I,"Exacto"),Prod_Prop!$A:$A,Prod_Prop!$J:$J,"",0,1))</f>
        <v/>
      </c>
      <c r="T609" s="4" t="str">
        <f t="array" ref="T609">IF($E609="","", XLOOKUP(SUMIFS(Prod_Prop!$A:$A,Prod_Prop!$B:$B,$E609,Prod_Prop!$H:$H,T$1,Prod_Prop!$I:$I,"Exacto"),Prod_Prop!$A:$A,Prod_Prop!$J:$J,"",0,1))</f>
        <v/>
      </c>
      <c r="U609" s="4" t="str">
        <f t="array" ref="U609">IF($E609="","", XLOOKUP(SUMIFS(Prod_Prop!$A:$A,Prod_Prop!$B:$B,$E609,Prod_Prop!$H:$H,U$1,Prod_Prop!$I:$I,"Exacto"),Prod_Prop!$A:$A,Prod_Prop!$J:$J,"",0,1))</f>
        <v/>
      </c>
      <c r="V609" s="4" t="str">
        <f t="array" ref="V609">IF($E609="","", XLOOKUP(SUMIFS(Prod_Prop!$A:$A,Prod_Prop!$B:$B,$E609,Prod_Prop!$H:$H,V$1,Prod_Prop!$I:$I,"Exacto"),Prod_Prop!$A:$A,Prod_Prop!$J:$J,"",0,1))</f>
        <v/>
      </c>
      <c r="X609" s="3" t="str">
        <f>IFERROR(__xludf.DUMMYFUNCTION("IF(D609="""","""",IFERROR(TRANSPOSE(FILTER('Validaciones Cotizador'!U:U,'Validaciones Cotizador'!O:O=D609,'Validaciones Cotizador'!T:T=""x"")),""Finalizar""))"),"")</f>
        <v/>
      </c>
    </row>
    <row r="610">
      <c r="A610" s="2" t="str">
        <f t="array" ref="A610">IF(E610="","",XLOOKUP(D610,'Validaciones Cotizador'!C:C,'Validaciones Cotizador'!A:A,"",0,1))</f>
        <v/>
      </c>
      <c r="B610" s="2" t="str">
        <f t="array" ref="B610">IF(F610="","",XLOOKUP(F610,Productos!E:E,Productos!G:G,"",0,1))</f>
        <v/>
      </c>
      <c r="C610" s="2" t="str">
        <f>IF(A610="","",SUMIFS('Validaciones Cotizador'!B:B,'Validaciones Cotizador'!C:C,D610,'Validaciones Cotizador'!A:A,A610))</f>
        <v/>
      </c>
      <c r="D610" s="4" t="str">
        <f>IFERROR(__xludf.DUMMYFUNCTION("IF(OR(F609=""Finalizar"",F609="""",F609=""Selecciona..""),"""",IF(OR(F609=""-"",INDEX(filter(Familias!F:F,Familias!D:D=A609,Familias!E:E=C609),1)=""O""),D609+1,D609))"),"")</f>
        <v/>
      </c>
      <c r="E610" s="2" t="str">
        <f>IF(OR(F610="",F610="Selecciona.."),"",IF(D610="Implemento",SUMIF(Implementos!B:B,F610,Implementos!A:A),SUMIF(Productos!E:E,F610,Productos!A:A)))</f>
        <v/>
      </c>
      <c r="F610" s="2" t="str">
        <f t="shared" si="2"/>
        <v/>
      </c>
      <c r="G610" s="10" t="str">
        <f t="array" ref="G610">IF(OR(F610="",F610="-",F610="Selecciona..",F610="Finalizar"),"",IF(A610="Rodados",XLOOKUP(B610,'Validaciones Cotizador'!I:I,'Validaciones Cotizador'!J:J,0,0,1),1))</f>
        <v/>
      </c>
      <c r="H610" s="11" t="str">
        <f>IF(OR(F610="",F610="Selecciona.."),"",SUMIF(Precio_Productos!K:K,E610,Precio_Productos!J:J)*G610)</f>
        <v/>
      </c>
      <c r="I610" s="4" t="str">
        <f t="array" ref="I610">IF($E610="","", XLOOKUP(SUMIFS(Prod_Prop!$A:$A,Prod_Prop!$B:$B,$E610,Prod_Prop!$H:$H,I$1,Prod_Prop!$I:$I,"Exacto"),Prod_Prop!$A:$A,Prod_Prop!$J:$J,"",0,1))</f>
        <v/>
      </c>
      <c r="J610" s="4" t="str">
        <f t="array" ref="J610">IF($E610="","", XLOOKUP(SUMIFS(Prod_Prop!$A:$A,Prod_Prop!$B:$B,$E610,Prod_Prop!$H:$H,J$1,Prod_Prop!$I:$I,"Exacto"),Prod_Prop!$A:$A,Prod_Prop!$J:$J,"",0,1))</f>
        <v/>
      </c>
      <c r="K610" s="4" t="str">
        <f t="array" ref="K610">IF($E610="","", XLOOKUP(SUMIFS(Prod_Prop!$A:$A,Prod_Prop!$B:$B,$E610,Prod_Prop!$H:$H,K$1,Prod_Prop!$I:$I,"Exacto"),Prod_Prop!$A:$A,Prod_Prop!$J:$J,"",0,1))</f>
        <v/>
      </c>
      <c r="L610" s="4" t="str">
        <f t="array" ref="L610">IF($E610="","", XLOOKUP(SUMIFS(Prod_Prop!$A:$A,Prod_Prop!$B:$B,$E610,Prod_Prop!$H:$H,L$1,Prod_Prop!$I:$I,"Exacto"),Prod_Prop!$A:$A,Prod_Prop!$J:$J,"",0,1))</f>
        <v/>
      </c>
      <c r="M610" s="4" t="str">
        <f t="array" ref="M610">IF($E610="","", XLOOKUP(SUMIFS(Prod_Prop!$A:$A,Prod_Prop!$B:$B,$E610,Prod_Prop!$H:$H,M$1,Prod_Prop!$I:$I,"Exacto"),Prod_Prop!$A:$A,Prod_Prop!$J:$J,"",0,1))</f>
        <v/>
      </c>
      <c r="N610" s="4" t="str">
        <f t="array" ref="N610">IF($E610="","", XLOOKUP(SUMIFS(Prod_Prop!$A:$A,Prod_Prop!$B:$B,$E610,Prod_Prop!$H:$H,N$1,Prod_Prop!$I:$I,"Exacto"),Prod_Prop!$A:$A,Prod_Prop!$J:$J,"",0,1))</f>
        <v/>
      </c>
      <c r="O610" s="4" t="str">
        <f t="array" ref="O610">IF($E610="","", XLOOKUP(SUMIFS(Prod_Prop!$A:$A,Prod_Prop!$B:$B,$E610,Prod_Prop!$H:$H,O$1,Prod_Prop!$I:$I,"Exacto"),Prod_Prop!$A:$A,Prod_Prop!$J:$J,"",0,1))</f>
        <v/>
      </c>
      <c r="P610" s="4" t="str">
        <f t="array" ref="P610">IF($E610="","", XLOOKUP(SUMIFS(Prod_Prop!$A:$A,Prod_Prop!$B:$B,$E610,Prod_Prop!$H:$H,P$1,Prod_Prop!$I:$I,"Exacto"),Prod_Prop!$A:$A,Prod_Prop!$J:$J,"",0,1))</f>
        <v/>
      </c>
      <c r="Q610" s="4" t="str">
        <f t="array" ref="Q610">IF($E610="","", XLOOKUP(SUMIFS(Prod_Prop!$A:$A,Prod_Prop!$B:$B,$E610,Prod_Prop!$H:$H,Q$1,Prod_Prop!$I:$I,"Exacto"),Prod_Prop!$A:$A,Prod_Prop!$J:$J,"",0,1))</f>
        <v/>
      </c>
      <c r="R610" s="4" t="str">
        <f t="array" ref="R610">IF($E610="","", XLOOKUP(SUMIFS(Prod_Prop!$A:$A,Prod_Prop!$B:$B,$E610,Prod_Prop!$H:$H,R$1,Prod_Prop!$I:$I,"Exacto"),Prod_Prop!$A:$A,Prod_Prop!$J:$J,"",0,1))</f>
        <v/>
      </c>
      <c r="S610" s="4" t="str">
        <f t="array" ref="S610">IF($E610="","", XLOOKUP(SUMIFS(Prod_Prop!$A:$A,Prod_Prop!$B:$B,$E610,Prod_Prop!$H:$H,S$1,Prod_Prop!$I:$I,"Exacto"),Prod_Prop!$A:$A,Prod_Prop!$J:$J,"",0,1))</f>
        <v/>
      </c>
      <c r="T610" s="4" t="str">
        <f t="array" ref="T610">IF($E610="","", XLOOKUP(SUMIFS(Prod_Prop!$A:$A,Prod_Prop!$B:$B,$E610,Prod_Prop!$H:$H,T$1,Prod_Prop!$I:$I,"Exacto"),Prod_Prop!$A:$A,Prod_Prop!$J:$J,"",0,1))</f>
        <v/>
      </c>
      <c r="U610" s="4" t="str">
        <f t="array" ref="U610">IF($E610="","", XLOOKUP(SUMIFS(Prod_Prop!$A:$A,Prod_Prop!$B:$B,$E610,Prod_Prop!$H:$H,U$1,Prod_Prop!$I:$I,"Exacto"),Prod_Prop!$A:$A,Prod_Prop!$J:$J,"",0,1))</f>
        <v/>
      </c>
      <c r="V610" s="4" t="str">
        <f t="array" ref="V610">IF($E610="","", XLOOKUP(SUMIFS(Prod_Prop!$A:$A,Prod_Prop!$B:$B,$E610,Prod_Prop!$H:$H,V$1,Prod_Prop!$I:$I,"Exacto"),Prod_Prop!$A:$A,Prod_Prop!$J:$J,"",0,1))</f>
        <v/>
      </c>
      <c r="X610" s="3" t="str">
        <f>IFERROR(__xludf.DUMMYFUNCTION("IF(D610="""","""",IFERROR(TRANSPOSE(FILTER('Validaciones Cotizador'!U:U,'Validaciones Cotizador'!O:O=D610,'Validaciones Cotizador'!T:T=""x"")),""Finalizar""))"),"")</f>
        <v/>
      </c>
    </row>
    <row r="611">
      <c r="A611" s="2" t="str">
        <f t="array" ref="A611">IF(E611="","",XLOOKUP(D611,'Validaciones Cotizador'!C:C,'Validaciones Cotizador'!A:A,"",0,1))</f>
        <v/>
      </c>
      <c r="B611" s="2" t="str">
        <f t="array" ref="B611">IF(F611="","",XLOOKUP(F611,Productos!E:E,Productos!G:G,"",0,1))</f>
        <v/>
      </c>
      <c r="C611" s="2" t="str">
        <f>IF(A611="","",SUMIFS('Validaciones Cotizador'!B:B,'Validaciones Cotizador'!C:C,D611,'Validaciones Cotizador'!A:A,A611))</f>
        <v/>
      </c>
      <c r="D611" s="4" t="str">
        <f>IFERROR(__xludf.DUMMYFUNCTION("IF(OR(F610=""Finalizar"",F610="""",F610=""Selecciona..""),"""",IF(OR(F610=""-"",INDEX(filter(Familias!F:F,Familias!D:D=A610,Familias!E:E=C610),1)=""O""),D610+1,D610))"),"")</f>
        <v/>
      </c>
      <c r="E611" s="2" t="str">
        <f>IF(OR(F611="",F611="Selecciona.."),"",IF(D611="Implemento",SUMIF(Implementos!B:B,F611,Implementos!A:A),SUMIF(Productos!E:E,F611,Productos!A:A)))</f>
        <v/>
      </c>
      <c r="F611" s="2" t="str">
        <f t="shared" si="2"/>
        <v/>
      </c>
      <c r="G611" s="10" t="str">
        <f t="array" ref="G611">IF(OR(F611="",F611="-",F611="Selecciona..",F611="Finalizar"),"",IF(A611="Rodados",XLOOKUP(B611,'Validaciones Cotizador'!I:I,'Validaciones Cotizador'!J:J,0,0,1),1))</f>
        <v/>
      </c>
      <c r="H611" s="11" t="str">
        <f>IF(OR(F611="",F611="Selecciona.."),"",SUMIF(Precio_Productos!K:K,E611,Precio_Productos!J:J)*G611)</f>
        <v/>
      </c>
      <c r="I611" s="4" t="str">
        <f t="array" ref="I611">IF($E611="","", XLOOKUP(SUMIFS(Prod_Prop!$A:$A,Prod_Prop!$B:$B,$E611,Prod_Prop!$H:$H,I$1,Prod_Prop!$I:$I,"Exacto"),Prod_Prop!$A:$A,Prod_Prop!$J:$J,"",0,1))</f>
        <v/>
      </c>
      <c r="J611" s="4" t="str">
        <f t="array" ref="J611">IF($E611="","", XLOOKUP(SUMIFS(Prod_Prop!$A:$A,Prod_Prop!$B:$B,$E611,Prod_Prop!$H:$H,J$1,Prod_Prop!$I:$I,"Exacto"),Prod_Prop!$A:$A,Prod_Prop!$J:$J,"",0,1))</f>
        <v/>
      </c>
      <c r="K611" s="4" t="str">
        <f t="array" ref="K611">IF($E611="","", XLOOKUP(SUMIFS(Prod_Prop!$A:$A,Prod_Prop!$B:$B,$E611,Prod_Prop!$H:$H,K$1,Prod_Prop!$I:$I,"Exacto"),Prod_Prop!$A:$A,Prod_Prop!$J:$J,"",0,1))</f>
        <v/>
      </c>
      <c r="L611" s="4" t="str">
        <f t="array" ref="L611">IF($E611="","", XLOOKUP(SUMIFS(Prod_Prop!$A:$A,Prod_Prop!$B:$B,$E611,Prod_Prop!$H:$H,L$1,Prod_Prop!$I:$I,"Exacto"),Prod_Prop!$A:$A,Prod_Prop!$J:$J,"",0,1))</f>
        <v/>
      </c>
      <c r="M611" s="4" t="str">
        <f t="array" ref="M611">IF($E611="","", XLOOKUP(SUMIFS(Prod_Prop!$A:$A,Prod_Prop!$B:$B,$E611,Prod_Prop!$H:$H,M$1,Prod_Prop!$I:$I,"Exacto"),Prod_Prop!$A:$A,Prod_Prop!$J:$J,"",0,1))</f>
        <v/>
      </c>
      <c r="N611" s="4" t="str">
        <f t="array" ref="N611">IF($E611="","", XLOOKUP(SUMIFS(Prod_Prop!$A:$A,Prod_Prop!$B:$B,$E611,Prod_Prop!$H:$H,N$1,Prod_Prop!$I:$I,"Exacto"),Prod_Prop!$A:$A,Prod_Prop!$J:$J,"",0,1))</f>
        <v/>
      </c>
      <c r="O611" s="4" t="str">
        <f t="array" ref="O611">IF($E611="","", XLOOKUP(SUMIFS(Prod_Prop!$A:$A,Prod_Prop!$B:$B,$E611,Prod_Prop!$H:$H,O$1,Prod_Prop!$I:$I,"Exacto"),Prod_Prop!$A:$A,Prod_Prop!$J:$J,"",0,1))</f>
        <v/>
      </c>
      <c r="P611" s="4" t="str">
        <f t="array" ref="P611">IF($E611="","", XLOOKUP(SUMIFS(Prod_Prop!$A:$A,Prod_Prop!$B:$B,$E611,Prod_Prop!$H:$H,P$1,Prod_Prop!$I:$I,"Exacto"),Prod_Prop!$A:$A,Prod_Prop!$J:$J,"",0,1))</f>
        <v/>
      </c>
      <c r="Q611" s="4" t="str">
        <f t="array" ref="Q611">IF($E611="","", XLOOKUP(SUMIFS(Prod_Prop!$A:$A,Prod_Prop!$B:$B,$E611,Prod_Prop!$H:$H,Q$1,Prod_Prop!$I:$I,"Exacto"),Prod_Prop!$A:$A,Prod_Prop!$J:$J,"",0,1))</f>
        <v/>
      </c>
      <c r="R611" s="4" t="str">
        <f t="array" ref="R611">IF($E611="","", XLOOKUP(SUMIFS(Prod_Prop!$A:$A,Prod_Prop!$B:$B,$E611,Prod_Prop!$H:$H,R$1,Prod_Prop!$I:$I,"Exacto"),Prod_Prop!$A:$A,Prod_Prop!$J:$J,"",0,1))</f>
        <v/>
      </c>
      <c r="S611" s="4" t="str">
        <f t="array" ref="S611">IF($E611="","", XLOOKUP(SUMIFS(Prod_Prop!$A:$A,Prod_Prop!$B:$B,$E611,Prod_Prop!$H:$H,S$1,Prod_Prop!$I:$I,"Exacto"),Prod_Prop!$A:$A,Prod_Prop!$J:$J,"",0,1))</f>
        <v/>
      </c>
      <c r="T611" s="4" t="str">
        <f t="array" ref="T611">IF($E611="","", XLOOKUP(SUMIFS(Prod_Prop!$A:$A,Prod_Prop!$B:$B,$E611,Prod_Prop!$H:$H,T$1,Prod_Prop!$I:$I,"Exacto"),Prod_Prop!$A:$A,Prod_Prop!$J:$J,"",0,1))</f>
        <v/>
      </c>
      <c r="U611" s="4" t="str">
        <f t="array" ref="U611">IF($E611="","", XLOOKUP(SUMIFS(Prod_Prop!$A:$A,Prod_Prop!$B:$B,$E611,Prod_Prop!$H:$H,U$1,Prod_Prop!$I:$I,"Exacto"),Prod_Prop!$A:$A,Prod_Prop!$J:$J,"",0,1))</f>
        <v/>
      </c>
      <c r="V611" s="4" t="str">
        <f t="array" ref="V611">IF($E611="","", XLOOKUP(SUMIFS(Prod_Prop!$A:$A,Prod_Prop!$B:$B,$E611,Prod_Prop!$H:$H,V$1,Prod_Prop!$I:$I,"Exacto"),Prod_Prop!$A:$A,Prod_Prop!$J:$J,"",0,1))</f>
        <v/>
      </c>
      <c r="X611" s="3" t="str">
        <f>IFERROR(__xludf.DUMMYFUNCTION("IF(D611="""","""",IFERROR(TRANSPOSE(FILTER('Validaciones Cotizador'!U:U,'Validaciones Cotizador'!O:O=D611,'Validaciones Cotizador'!T:T=""x"")),""Finalizar""))"),"")</f>
        <v/>
      </c>
    </row>
    <row r="612">
      <c r="A612" s="2" t="str">
        <f t="array" ref="A612">IF(E612="","",XLOOKUP(D612,'Validaciones Cotizador'!C:C,'Validaciones Cotizador'!A:A,"",0,1))</f>
        <v/>
      </c>
      <c r="B612" s="2" t="str">
        <f t="array" ref="B612">IF(F612="","",XLOOKUP(F612,Productos!E:E,Productos!G:G,"",0,1))</f>
        <v/>
      </c>
      <c r="C612" s="2" t="str">
        <f>IF(A612="","",SUMIFS('Validaciones Cotizador'!B:B,'Validaciones Cotizador'!C:C,D612,'Validaciones Cotizador'!A:A,A612))</f>
        <v/>
      </c>
      <c r="D612" s="4" t="str">
        <f>IFERROR(__xludf.DUMMYFUNCTION("IF(OR(F611=""Finalizar"",F611="""",F611=""Selecciona..""),"""",IF(OR(F611=""-"",INDEX(filter(Familias!F:F,Familias!D:D=A611,Familias!E:E=C611),1)=""O""),D611+1,D611))"),"")</f>
        <v/>
      </c>
      <c r="E612" s="2" t="str">
        <f>IF(OR(F612="",F612="Selecciona.."),"",IF(D612="Implemento",SUMIF(Implementos!B:B,F612,Implementos!A:A),SUMIF(Productos!E:E,F612,Productos!A:A)))</f>
        <v/>
      </c>
      <c r="F612" s="2" t="str">
        <f t="shared" si="2"/>
        <v/>
      </c>
      <c r="G612" s="10" t="str">
        <f t="array" ref="G612">IF(OR(F612="",F612="-",F612="Selecciona..",F612="Finalizar"),"",IF(A612="Rodados",XLOOKUP(B612,'Validaciones Cotizador'!I:I,'Validaciones Cotizador'!J:J,0,0,1),1))</f>
        <v/>
      </c>
      <c r="H612" s="11" t="str">
        <f>IF(OR(F612="",F612="Selecciona.."),"",SUMIF(Precio_Productos!K:K,E612,Precio_Productos!J:J)*G612)</f>
        <v/>
      </c>
      <c r="I612" s="4" t="str">
        <f t="array" ref="I612">IF($E612="","", XLOOKUP(SUMIFS(Prod_Prop!$A:$A,Prod_Prop!$B:$B,$E612,Prod_Prop!$H:$H,I$1,Prod_Prop!$I:$I,"Exacto"),Prod_Prop!$A:$A,Prod_Prop!$J:$J,"",0,1))</f>
        <v/>
      </c>
      <c r="J612" s="4" t="str">
        <f t="array" ref="J612">IF($E612="","", XLOOKUP(SUMIFS(Prod_Prop!$A:$A,Prod_Prop!$B:$B,$E612,Prod_Prop!$H:$H,J$1,Prod_Prop!$I:$I,"Exacto"),Prod_Prop!$A:$A,Prod_Prop!$J:$J,"",0,1))</f>
        <v/>
      </c>
      <c r="K612" s="4" t="str">
        <f t="array" ref="K612">IF($E612="","", XLOOKUP(SUMIFS(Prod_Prop!$A:$A,Prod_Prop!$B:$B,$E612,Prod_Prop!$H:$H,K$1,Prod_Prop!$I:$I,"Exacto"),Prod_Prop!$A:$A,Prod_Prop!$J:$J,"",0,1))</f>
        <v/>
      </c>
      <c r="L612" s="4" t="str">
        <f t="array" ref="L612">IF($E612="","", XLOOKUP(SUMIFS(Prod_Prop!$A:$A,Prod_Prop!$B:$B,$E612,Prod_Prop!$H:$H,L$1,Prod_Prop!$I:$I,"Exacto"),Prod_Prop!$A:$A,Prod_Prop!$J:$J,"",0,1))</f>
        <v/>
      </c>
      <c r="M612" s="4" t="str">
        <f t="array" ref="M612">IF($E612="","", XLOOKUP(SUMIFS(Prod_Prop!$A:$A,Prod_Prop!$B:$B,$E612,Prod_Prop!$H:$H,M$1,Prod_Prop!$I:$I,"Exacto"),Prod_Prop!$A:$A,Prod_Prop!$J:$J,"",0,1))</f>
        <v/>
      </c>
      <c r="N612" s="4" t="str">
        <f t="array" ref="N612">IF($E612="","", XLOOKUP(SUMIFS(Prod_Prop!$A:$A,Prod_Prop!$B:$B,$E612,Prod_Prop!$H:$H,N$1,Prod_Prop!$I:$I,"Exacto"),Prod_Prop!$A:$A,Prod_Prop!$J:$J,"",0,1))</f>
        <v/>
      </c>
      <c r="O612" s="4" t="str">
        <f t="array" ref="O612">IF($E612="","", XLOOKUP(SUMIFS(Prod_Prop!$A:$A,Prod_Prop!$B:$B,$E612,Prod_Prop!$H:$H,O$1,Prod_Prop!$I:$I,"Exacto"),Prod_Prop!$A:$A,Prod_Prop!$J:$J,"",0,1))</f>
        <v/>
      </c>
      <c r="P612" s="4" t="str">
        <f t="array" ref="P612">IF($E612="","", XLOOKUP(SUMIFS(Prod_Prop!$A:$A,Prod_Prop!$B:$B,$E612,Prod_Prop!$H:$H,P$1,Prod_Prop!$I:$I,"Exacto"),Prod_Prop!$A:$A,Prod_Prop!$J:$J,"",0,1))</f>
        <v/>
      </c>
      <c r="Q612" s="4" t="str">
        <f t="array" ref="Q612">IF($E612="","", XLOOKUP(SUMIFS(Prod_Prop!$A:$A,Prod_Prop!$B:$B,$E612,Prod_Prop!$H:$H,Q$1,Prod_Prop!$I:$I,"Exacto"),Prod_Prop!$A:$A,Prod_Prop!$J:$J,"",0,1))</f>
        <v/>
      </c>
      <c r="R612" s="4" t="str">
        <f t="array" ref="R612">IF($E612="","", XLOOKUP(SUMIFS(Prod_Prop!$A:$A,Prod_Prop!$B:$B,$E612,Prod_Prop!$H:$H,R$1,Prod_Prop!$I:$I,"Exacto"),Prod_Prop!$A:$A,Prod_Prop!$J:$J,"",0,1))</f>
        <v/>
      </c>
      <c r="S612" s="4" t="str">
        <f t="array" ref="S612">IF($E612="","", XLOOKUP(SUMIFS(Prod_Prop!$A:$A,Prod_Prop!$B:$B,$E612,Prod_Prop!$H:$H,S$1,Prod_Prop!$I:$I,"Exacto"),Prod_Prop!$A:$A,Prod_Prop!$J:$J,"",0,1))</f>
        <v/>
      </c>
      <c r="T612" s="4" t="str">
        <f t="array" ref="T612">IF($E612="","", XLOOKUP(SUMIFS(Prod_Prop!$A:$A,Prod_Prop!$B:$B,$E612,Prod_Prop!$H:$H,T$1,Prod_Prop!$I:$I,"Exacto"),Prod_Prop!$A:$A,Prod_Prop!$J:$J,"",0,1))</f>
        <v/>
      </c>
      <c r="U612" s="4" t="str">
        <f t="array" ref="U612">IF($E612="","", XLOOKUP(SUMIFS(Prod_Prop!$A:$A,Prod_Prop!$B:$B,$E612,Prod_Prop!$H:$H,U$1,Prod_Prop!$I:$I,"Exacto"),Prod_Prop!$A:$A,Prod_Prop!$J:$J,"",0,1))</f>
        <v/>
      </c>
      <c r="V612" s="4" t="str">
        <f t="array" ref="V612">IF($E612="","", XLOOKUP(SUMIFS(Prod_Prop!$A:$A,Prod_Prop!$B:$B,$E612,Prod_Prop!$H:$H,V$1,Prod_Prop!$I:$I,"Exacto"),Prod_Prop!$A:$A,Prod_Prop!$J:$J,"",0,1))</f>
        <v/>
      </c>
      <c r="X612" s="3" t="str">
        <f>IFERROR(__xludf.DUMMYFUNCTION("IF(D612="""","""",IFERROR(TRANSPOSE(FILTER('Validaciones Cotizador'!U:U,'Validaciones Cotizador'!O:O=D612,'Validaciones Cotizador'!T:T=""x"")),""Finalizar""))"),"")</f>
        <v/>
      </c>
    </row>
    <row r="613">
      <c r="A613" s="2" t="str">
        <f t="array" ref="A613">IF(E613="","",XLOOKUP(D613,'Validaciones Cotizador'!C:C,'Validaciones Cotizador'!A:A,"",0,1))</f>
        <v/>
      </c>
      <c r="B613" s="2" t="str">
        <f t="array" ref="B613">IF(F613="","",XLOOKUP(F613,Productos!E:E,Productos!G:G,"",0,1))</f>
        <v/>
      </c>
      <c r="C613" s="2" t="str">
        <f>IF(A613="","",SUMIFS('Validaciones Cotizador'!B:B,'Validaciones Cotizador'!C:C,D613,'Validaciones Cotizador'!A:A,A613))</f>
        <v/>
      </c>
      <c r="D613" s="4" t="str">
        <f>IFERROR(__xludf.DUMMYFUNCTION("IF(OR(F612=""Finalizar"",F612="""",F612=""Selecciona..""),"""",IF(OR(F612=""-"",INDEX(filter(Familias!F:F,Familias!D:D=A612,Familias!E:E=C612),1)=""O""),D612+1,D612))"),"")</f>
        <v/>
      </c>
      <c r="E613" s="2" t="str">
        <f>IF(OR(F613="",F613="Selecciona.."),"",IF(D613="Implemento",SUMIF(Implementos!B:B,F613,Implementos!A:A),SUMIF(Productos!E:E,F613,Productos!A:A)))</f>
        <v/>
      </c>
      <c r="F613" s="2" t="str">
        <f t="shared" si="2"/>
        <v/>
      </c>
      <c r="G613" s="10" t="str">
        <f t="array" ref="G613">IF(OR(F613="",F613="-",F613="Selecciona..",F613="Finalizar"),"",IF(A613="Rodados",XLOOKUP(B613,'Validaciones Cotizador'!I:I,'Validaciones Cotizador'!J:J,0,0,1),1))</f>
        <v/>
      </c>
      <c r="H613" s="11" t="str">
        <f>IF(OR(F613="",F613="Selecciona.."),"",SUMIF(Precio_Productos!K:K,E613,Precio_Productos!J:J)*G613)</f>
        <v/>
      </c>
      <c r="I613" s="4" t="str">
        <f t="array" ref="I613">IF($E613="","", XLOOKUP(SUMIFS(Prod_Prop!$A:$A,Prod_Prop!$B:$B,$E613,Prod_Prop!$H:$H,I$1,Prod_Prop!$I:$I,"Exacto"),Prod_Prop!$A:$A,Prod_Prop!$J:$J,"",0,1))</f>
        <v/>
      </c>
      <c r="J613" s="4" t="str">
        <f t="array" ref="J613">IF($E613="","", XLOOKUP(SUMIFS(Prod_Prop!$A:$A,Prod_Prop!$B:$B,$E613,Prod_Prop!$H:$H,J$1,Prod_Prop!$I:$I,"Exacto"),Prod_Prop!$A:$A,Prod_Prop!$J:$J,"",0,1))</f>
        <v/>
      </c>
      <c r="K613" s="4" t="str">
        <f t="array" ref="K613">IF($E613="","", XLOOKUP(SUMIFS(Prod_Prop!$A:$A,Prod_Prop!$B:$B,$E613,Prod_Prop!$H:$H,K$1,Prod_Prop!$I:$I,"Exacto"),Prod_Prop!$A:$A,Prod_Prop!$J:$J,"",0,1))</f>
        <v/>
      </c>
      <c r="L613" s="4" t="str">
        <f t="array" ref="L613">IF($E613="","", XLOOKUP(SUMIFS(Prod_Prop!$A:$A,Prod_Prop!$B:$B,$E613,Prod_Prop!$H:$H,L$1,Prod_Prop!$I:$I,"Exacto"),Prod_Prop!$A:$A,Prod_Prop!$J:$J,"",0,1))</f>
        <v/>
      </c>
      <c r="M613" s="4" t="str">
        <f t="array" ref="M613">IF($E613="","", XLOOKUP(SUMIFS(Prod_Prop!$A:$A,Prod_Prop!$B:$B,$E613,Prod_Prop!$H:$H,M$1,Prod_Prop!$I:$I,"Exacto"),Prod_Prop!$A:$A,Prod_Prop!$J:$J,"",0,1))</f>
        <v/>
      </c>
      <c r="N613" s="4" t="str">
        <f t="array" ref="N613">IF($E613="","", XLOOKUP(SUMIFS(Prod_Prop!$A:$A,Prod_Prop!$B:$B,$E613,Prod_Prop!$H:$H,N$1,Prod_Prop!$I:$I,"Exacto"),Prod_Prop!$A:$A,Prod_Prop!$J:$J,"",0,1))</f>
        <v/>
      </c>
      <c r="O613" s="4" t="str">
        <f t="array" ref="O613">IF($E613="","", XLOOKUP(SUMIFS(Prod_Prop!$A:$A,Prod_Prop!$B:$B,$E613,Prod_Prop!$H:$H,O$1,Prod_Prop!$I:$I,"Exacto"),Prod_Prop!$A:$A,Prod_Prop!$J:$J,"",0,1))</f>
        <v/>
      </c>
      <c r="P613" s="4" t="str">
        <f t="array" ref="P613">IF($E613="","", XLOOKUP(SUMIFS(Prod_Prop!$A:$A,Prod_Prop!$B:$B,$E613,Prod_Prop!$H:$H,P$1,Prod_Prop!$I:$I,"Exacto"),Prod_Prop!$A:$A,Prod_Prop!$J:$J,"",0,1))</f>
        <v/>
      </c>
      <c r="Q613" s="4" t="str">
        <f t="array" ref="Q613">IF($E613="","", XLOOKUP(SUMIFS(Prod_Prop!$A:$A,Prod_Prop!$B:$B,$E613,Prod_Prop!$H:$H,Q$1,Prod_Prop!$I:$I,"Exacto"),Prod_Prop!$A:$A,Prod_Prop!$J:$J,"",0,1))</f>
        <v/>
      </c>
      <c r="R613" s="4" t="str">
        <f t="array" ref="R613">IF($E613="","", XLOOKUP(SUMIFS(Prod_Prop!$A:$A,Prod_Prop!$B:$B,$E613,Prod_Prop!$H:$H,R$1,Prod_Prop!$I:$I,"Exacto"),Prod_Prop!$A:$A,Prod_Prop!$J:$J,"",0,1))</f>
        <v/>
      </c>
      <c r="S613" s="4" t="str">
        <f t="array" ref="S613">IF($E613="","", XLOOKUP(SUMIFS(Prod_Prop!$A:$A,Prod_Prop!$B:$B,$E613,Prod_Prop!$H:$H,S$1,Prod_Prop!$I:$I,"Exacto"),Prod_Prop!$A:$A,Prod_Prop!$J:$J,"",0,1))</f>
        <v/>
      </c>
      <c r="T613" s="4" t="str">
        <f t="array" ref="T613">IF($E613="","", XLOOKUP(SUMIFS(Prod_Prop!$A:$A,Prod_Prop!$B:$B,$E613,Prod_Prop!$H:$H,T$1,Prod_Prop!$I:$I,"Exacto"),Prod_Prop!$A:$A,Prod_Prop!$J:$J,"",0,1))</f>
        <v/>
      </c>
      <c r="U613" s="4" t="str">
        <f t="array" ref="U613">IF($E613="","", XLOOKUP(SUMIFS(Prod_Prop!$A:$A,Prod_Prop!$B:$B,$E613,Prod_Prop!$H:$H,U$1,Prod_Prop!$I:$I,"Exacto"),Prod_Prop!$A:$A,Prod_Prop!$J:$J,"",0,1))</f>
        <v/>
      </c>
      <c r="V613" s="4" t="str">
        <f t="array" ref="V613">IF($E613="","", XLOOKUP(SUMIFS(Prod_Prop!$A:$A,Prod_Prop!$B:$B,$E613,Prod_Prop!$H:$H,V$1,Prod_Prop!$I:$I,"Exacto"),Prod_Prop!$A:$A,Prod_Prop!$J:$J,"",0,1))</f>
        <v/>
      </c>
      <c r="X613" s="3" t="str">
        <f>IFERROR(__xludf.DUMMYFUNCTION("IF(D613="""","""",IFERROR(TRANSPOSE(FILTER('Validaciones Cotizador'!U:U,'Validaciones Cotizador'!O:O=D613,'Validaciones Cotizador'!T:T=""x"")),""Finalizar""))"),"")</f>
        <v/>
      </c>
    </row>
    <row r="614">
      <c r="A614" s="2" t="str">
        <f t="array" ref="A614">IF(E614="","",XLOOKUP(D614,'Validaciones Cotizador'!C:C,'Validaciones Cotizador'!A:A,"",0,1))</f>
        <v/>
      </c>
      <c r="B614" s="2" t="str">
        <f t="array" ref="B614">IF(F614="","",XLOOKUP(F614,Productos!E:E,Productos!G:G,"",0,1))</f>
        <v/>
      </c>
      <c r="C614" s="2" t="str">
        <f>IF(A614="","",SUMIFS('Validaciones Cotizador'!B:B,'Validaciones Cotizador'!C:C,D614,'Validaciones Cotizador'!A:A,A614))</f>
        <v/>
      </c>
      <c r="D614" s="4" t="str">
        <f>IFERROR(__xludf.DUMMYFUNCTION("IF(OR(F613=""Finalizar"",F613="""",F613=""Selecciona..""),"""",IF(OR(F613=""-"",INDEX(filter(Familias!F:F,Familias!D:D=A613,Familias!E:E=C613),1)=""O""),D613+1,D613))"),"")</f>
        <v/>
      </c>
      <c r="E614" s="2" t="str">
        <f>IF(OR(F614="",F614="Selecciona.."),"",IF(D614="Implemento",SUMIF(Implementos!B:B,F614,Implementos!A:A),SUMIF(Productos!E:E,F614,Productos!A:A)))</f>
        <v/>
      </c>
      <c r="F614" s="2" t="str">
        <f t="shared" si="2"/>
        <v/>
      </c>
      <c r="G614" s="10" t="str">
        <f t="array" ref="G614">IF(OR(F614="",F614="-",F614="Selecciona..",F614="Finalizar"),"",IF(A614="Rodados",XLOOKUP(B614,'Validaciones Cotizador'!I:I,'Validaciones Cotizador'!J:J,0,0,1),1))</f>
        <v/>
      </c>
      <c r="H614" s="11" t="str">
        <f>IF(OR(F614="",F614="Selecciona.."),"",SUMIF(Precio_Productos!K:K,E614,Precio_Productos!J:J)*G614)</f>
        <v/>
      </c>
      <c r="I614" s="4" t="str">
        <f t="array" ref="I614">IF($E614="","", XLOOKUP(SUMIFS(Prod_Prop!$A:$A,Prod_Prop!$B:$B,$E614,Prod_Prop!$H:$H,I$1,Prod_Prop!$I:$I,"Exacto"),Prod_Prop!$A:$A,Prod_Prop!$J:$J,"",0,1))</f>
        <v/>
      </c>
      <c r="J614" s="4" t="str">
        <f t="array" ref="J614">IF($E614="","", XLOOKUP(SUMIFS(Prod_Prop!$A:$A,Prod_Prop!$B:$B,$E614,Prod_Prop!$H:$H,J$1,Prod_Prop!$I:$I,"Exacto"),Prod_Prop!$A:$A,Prod_Prop!$J:$J,"",0,1))</f>
        <v/>
      </c>
      <c r="K614" s="4" t="str">
        <f t="array" ref="K614">IF($E614="","", XLOOKUP(SUMIFS(Prod_Prop!$A:$A,Prod_Prop!$B:$B,$E614,Prod_Prop!$H:$H,K$1,Prod_Prop!$I:$I,"Exacto"),Prod_Prop!$A:$A,Prod_Prop!$J:$J,"",0,1))</f>
        <v/>
      </c>
      <c r="L614" s="4" t="str">
        <f t="array" ref="L614">IF($E614="","", XLOOKUP(SUMIFS(Prod_Prop!$A:$A,Prod_Prop!$B:$B,$E614,Prod_Prop!$H:$H,L$1,Prod_Prop!$I:$I,"Exacto"),Prod_Prop!$A:$A,Prod_Prop!$J:$J,"",0,1))</f>
        <v/>
      </c>
      <c r="M614" s="4" t="str">
        <f t="array" ref="M614">IF($E614="","", XLOOKUP(SUMIFS(Prod_Prop!$A:$A,Prod_Prop!$B:$B,$E614,Prod_Prop!$H:$H,M$1,Prod_Prop!$I:$I,"Exacto"),Prod_Prop!$A:$A,Prod_Prop!$J:$J,"",0,1))</f>
        <v/>
      </c>
      <c r="N614" s="4" t="str">
        <f t="array" ref="N614">IF($E614="","", XLOOKUP(SUMIFS(Prod_Prop!$A:$A,Prod_Prop!$B:$B,$E614,Prod_Prop!$H:$H,N$1,Prod_Prop!$I:$I,"Exacto"),Prod_Prop!$A:$A,Prod_Prop!$J:$J,"",0,1))</f>
        <v/>
      </c>
      <c r="O614" s="4" t="str">
        <f t="array" ref="O614">IF($E614="","", XLOOKUP(SUMIFS(Prod_Prop!$A:$A,Prod_Prop!$B:$B,$E614,Prod_Prop!$H:$H,O$1,Prod_Prop!$I:$I,"Exacto"),Prod_Prop!$A:$A,Prod_Prop!$J:$J,"",0,1))</f>
        <v/>
      </c>
      <c r="P614" s="4" t="str">
        <f t="array" ref="P614">IF($E614="","", XLOOKUP(SUMIFS(Prod_Prop!$A:$A,Prod_Prop!$B:$B,$E614,Prod_Prop!$H:$H,P$1,Prod_Prop!$I:$I,"Exacto"),Prod_Prop!$A:$A,Prod_Prop!$J:$J,"",0,1))</f>
        <v/>
      </c>
      <c r="Q614" s="4" t="str">
        <f t="array" ref="Q614">IF($E614="","", XLOOKUP(SUMIFS(Prod_Prop!$A:$A,Prod_Prop!$B:$B,$E614,Prod_Prop!$H:$H,Q$1,Prod_Prop!$I:$I,"Exacto"),Prod_Prop!$A:$A,Prod_Prop!$J:$J,"",0,1))</f>
        <v/>
      </c>
      <c r="R614" s="4" t="str">
        <f t="array" ref="R614">IF($E614="","", XLOOKUP(SUMIFS(Prod_Prop!$A:$A,Prod_Prop!$B:$B,$E614,Prod_Prop!$H:$H,R$1,Prod_Prop!$I:$I,"Exacto"),Prod_Prop!$A:$A,Prod_Prop!$J:$J,"",0,1))</f>
        <v/>
      </c>
      <c r="S614" s="4" t="str">
        <f t="array" ref="S614">IF($E614="","", XLOOKUP(SUMIFS(Prod_Prop!$A:$A,Prod_Prop!$B:$B,$E614,Prod_Prop!$H:$H,S$1,Prod_Prop!$I:$I,"Exacto"),Prod_Prop!$A:$A,Prod_Prop!$J:$J,"",0,1))</f>
        <v/>
      </c>
      <c r="T614" s="4" t="str">
        <f t="array" ref="T614">IF($E614="","", XLOOKUP(SUMIFS(Prod_Prop!$A:$A,Prod_Prop!$B:$B,$E614,Prod_Prop!$H:$H,T$1,Prod_Prop!$I:$I,"Exacto"),Prod_Prop!$A:$A,Prod_Prop!$J:$J,"",0,1))</f>
        <v/>
      </c>
      <c r="U614" s="4" t="str">
        <f t="array" ref="U614">IF($E614="","", XLOOKUP(SUMIFS(Prod_Prop!$A:$A,Prod_Prop!$B:$B,$E614,Prod_Prop!$H:$H,U$1,Prod_Prop!$I:$I,"Exacto"),Prod_Prop!$A:$A,Prod_Prop!$J:$J,"",0,1))</f>
        <v/>
      </c>
      <c r="V614" s="4" t="str">
        <f t="array" ref="V614">IF($E614="","", XLOOKUP(SUMIFS(Prod_Prop!$A:$A,Prod_Prop!$B:$B,$E614,Prod_Prop!$H:$H,V$1,Prod_Prop!$I:$I,"Exacto"),Prod_Prop!$A:$A,Prod_Prop!$J:$J,"",0,1))</f>
        <v/>
      </c>
      <c r="X614" s="3" t="str">
        <f>IFERROR(__xludf.DUMMYFUNCTION("IF(D614="""","""",IFERROR(TRANSPOSE(FILTER('Validaciones Cotizador'!U:U,'Validaciones Cotizador'!O:O=D614,'Validaciones Cotizador'!T:T=""x"")),""Finalizar""))"),"")</f>
        <v/>
      </c>
    </row>
    <row r="615">
      <c r="A615" s="2" t="str">
        <f t="array" ref="A615">IF(E615="","",XLOOKUP(D615,'Validaciones Cotizador'!C:C,'Validaciones Cotizador'!A:A,"",0,1))</f>
        <v/>
      </c>
      <c r="B615" s="2" t="str">
        <f t="array" ref="B615">IF(F615="","",XLOOKUP(F615,Productos!E:E,Productos!G:G,"",0,1))</f>
        <v/>
      </c>
      <c r="C615" s="2" t="str">
        <f>IF(A615="","",SUMIFS('Validaciones Cotizador'!B:B,'Validaciones Cotizador'!C:C,D615,'Validaciones Cotizador'!A:A,A615))</f>
        <v/>
      </c>
      <c r="D615" s="4" t="str">
        <f>IFERROR(__xludf.DUMMYFUNCTION("IF(OR(F614=""Finalizar"",F614="""",F614=""Selecciona..""),"""",IF(OR(F614=""-"",INDEX(filter(Familias!F:F,Familias!D:D=A614,Familias!E:E=C614),1)=""O""),D614+1,D614))"),"")</f>
        <v/>
      </c>
      <c r="E615" s="2" t="str">
        <f>IF(OR(F615="",F615="Selecciona.."),"",IF(D615="Implemento",SUMIF(Implementos!B:B,F615,Implementos!A:A),SUMIF(Productos!E:E,F615,Productos!A:A)))</f>
        <v/>
      </c>
      <c r="F615" s="2" t="str">
        <f t="shared" si="2"/>
        <v/>
      </c>
      <c r="G615" s="10" t="str">
        <f t="array" ref="G615">IF(OR(F615="",F615="-",F615="Selecciona..",F615="Finalizar"),"",IF(A615="Rodados",XLOOKUP(B615,'Validaciones Cotizador'!I:I,'Validaciones Cotizador'!J:J,0,0,1),1))</f>
        <v/>
      </c>
      <c r="H615" s="11" t="str">
        <f>IF(OR(F615="",F615="Selecciona.."),"",SUMIF(Precio_Productos!K:K,E615,Precio_Productos!J:J)*G615)</f>
        <v/>
      </c>
      <c r="I615" s="4" t="str">
        <f t="array" ref="I615">IF($E615="","", XLOOKUP(SUMIFS(Prod_Prop!$A:$A,Prod_Prop!$B:$B,$E615,Prod_Prop!$H:$H,I$1,Prod_Prop!$I:$I,"Exacto"),Prod_Prop!$A:$A,Prod_Prop!$J:$J,"",0,1))</f>
        <v/>
      </c>
      <c r="J615" s="4" t="str">
        <f t="array" ref="J615">IF($E615="","", XLOOKUP(SUMIFS(Prod_Prop!$A:$A,Prod_Prop!$B:$B,$E615,Prod_Prop!$H:$H,J$1,Prod_Prop!$I:$I,"Exacto"),Prod_Prop!$A:$A,Prod_Prop!$J:$J,"",0,1))</f>
        <v/>
      </c>
      <c r="K615" s="4" t="str">
        <f t="array" ref="K615">IF($E615="","", XLOOKUP(SUMIFS(Prod_Prop!$A:$A,Prod_Prop!$B:$B,$E615,Prod_Prop!$H:$H,K$1,Prod_Prop!$I:$I,"Exacto"),Prod_Prop!$A:$A,Prod_Prop!$J:$J,"",0,1))</f>
        <v/>
      </c>
      <c r="L615" s="4" t="str">
        <f t="array" ref="L615">IF($E615="","", XLOOKUP(SUMIFS(Prod_Prop!$A:$A,Prod_Prop!$B:$B,$E615,Prod_Prop!$H:$H,L$1,Prod_Prop!$I:$I,"Exacto"),Prod_Prop!$A:$A,Prod_Prop!$J:$J,"",0,1))</f>
        <v/>
      </c>
      <c r="M615" s="4" t="str">
        <f t="array" ref="M615">IF($E615="","", XLOOKUP(SUMIFS(Prod_Prop!$A:$A,Prod_Prop!$B:$B,$E615,Prod_Prop!$H:$H,M$1,Prod_Prop!$I:$I,"Exacto"),Prod_Prop!$A:$A,Prod_Prop!$J:$J,"",0,1))</f>
        <v/>
      </c>
      <c r="N615" s="4" t="str">
        <f t="array" ref="N615">IF($E615="","", XLOOKUP(SUMIFS(Prod_Prop!$A:$A,Prod_Prop!$B:$B,$E615,Prod_Prop!$H:$H,N$1,Prod_Prop!$I:$I,"Exacto"),Prod_Prop!$A:$A,Prod_Prop!$J:$J,"",0,1))</f>
        <v/>
      </c>
      <c r="O615" s="4" t="str">
        <f t="array" ref="O615">IF($E615="","", XLOOKUP(SUMIFS(Prod_Prop!$A:$A,Prod_Prop!$B:$B,$E615,Prod_Prop!$H:$H,O$1,Prod_Prop!$I:$I,"Exacto"),Prod_Prop!$A:$A,Prod_Prop!$J:$J,"",0,1))</f>
        <v/>
      </c>
      <c r="P615" s="4" t="str">
        <f t="array" ref="P615">IF($E615="","", XLOOKUP(SUMIFS(Prod_Prop!$A:$A,Prod_Prop!$B:$B,$E615,Prod_Prop!$H:$H,P$1,Prod_Prop!$I:$I,"Exacto"),Prod_Prop!$A:$A,Prod_Prop!$J:$J,"",0,1))</f>
        <v/>
      </c>
      <c r="Q615" s="4" t="str">
        <f t="array" ref="Q615">IF($E615="","", XLOOKUP(SUMIFS(Prod_Prop!$A:$A,Prod_Prop!$B:$B,$E615,Prod_Prop!$H:$H,Q$1,Prod_Prop!$I:$I,"Exacto"),Prod_Prop!$A:$A,Prod_Prop!$J:$J,"",0,1))</f>
        <v/>
      </c>
      <c r="R615" s="4" t="str">
        <f t="array" ref="R615">IF($E615="","", XLOOKUP(SUMIFS(Prod_Prop!$A:$A,Prod_Prop!$B:$B,$E615,Prod_Prop!$H:$H,R$1,Prod_Prop!$I:$I,"Exacto"),Prod_Prop!$A:$A,Prod_Prop!$J:$J,"",0,1))</f>
        <v/>
      </c>
      <c r="S615" s="4" t="str">
        <f t="array" ref="S615">IF($E615="","", XLOOKUP(SUMIFS(Prod_Prop!$A:$A,Prod_Prop!$B:$B,$E615,Prod_Prop!$H:$H,S$1,Prod_Prop!$I:$I,"Exacto"),Prod_Prop!$A:$A,Prod_Prop!$J:$J,"",0,1))</f>
        <v/>
      </c>
      <c r="T615" s="4" t="str">
        <f t="array" ref="T615">IF($E615="","", XLOOKUP(SUMIFS(Prod_Prop!$A:$A,Prod_Prop!$B:$B,$E615,Prod_Prop!$H:$H,T$1,Prod_Prop!$I:$I,"Exacto"),Prod_Prop!$A:$A,Prod_Prop!$J:$J,"",0,1))</f>
        <v/>
      </c>
      <c r="U615" s="4" t="str">
        <f t="array" ref="U615">IF($E615="","", XLOOKUP(SUMIFS(Prod_Prop!$A:$A,Prod_Prop!$B:$B,$E615,Prod_Prop!$H:$H,U$1,Prod_Prop!$I:$I,"Exacto"),Prod_Prop!$A:$A,Prod_Prop!$J:$J,"",0,1))</f>
        <v/>
      </c>
      <c r="V615" s="4" t="str">
        <f t="array" ref="V615">IF($E615="","", XLOOKUP(SUMIFS(Prod_Prop!$A:$A,Prod_Prop!$B:$B,$E615,Prod_Prop!$H:$H,V$1,Prod_Prop!$I:$I,"Exacto"),Prod_Prop!$A:$A,Prod_Prop!$J:$J,"",0,1))</f>
        <v/>
      </c>
      <c r="X615" s="3" t="str">
        <f>IFERROR(__xludf.DUMMYFUNCTION("IF(D615="""","""",IFERROR(TRANSPOSE(FILTER('Validaciones Cotizador'!U:U,'Validaciones Cotizador'!O:O=D615,'Validaciones Cotizador'!T:T=""x"")),""Finalizar""))"),"")</f>
        <v/>
      </c>
    </row>
    <row r="616">
      <c r="A616" s="2" t="str">
        <f t="array" ref="A616">IF(E616="","",XLOOKUP(D616,'Validaciones Cotizador'!C:C,'Validaciones Cotizador'!A:A,"",0,1))</f>
        <v/>
      </c>
      <c r="B616" s="2" t="str">
        <f t="array" ref="B616">IF(F616="","",XLOOKUP(F616,Productos!E:E,Productos!G:G,"",0,1))</f>
        <v/>
      </c>
      <c r="C616" s="2" t="str">
        <f>IF(A616="","",SUMIFS('Validaciones Cotizador'!B:B,'Validaciones Cotizador'!C:C,D616,'Validaciones Cotizador'!A:A,A616))</f>
        <v/>
      </c>
      <c r="D616" s="4" t="str">
        <f>IFERROR(__xludf.DUMMYFUNCTION("IF(OR(F615=""Finalizar"",F615="""",F615=""Selecciona..""),"""",IF(OR(F615=""-"",INDEX(filter(Familias!F:F,Familias!D:D=A615,Familias!E:E=C615),1)=""O""),D615+1,D615))"),"")</f>
        <v/>
      </c>
      <c r="E616" s="2" t="str">
        <f>IF(OR(F616="",F616="Selecciona.."),"",IF(D616="Implemento",SUMIF(Implementos!B:B,F616,Implementos!A:A),SUMIF(Productos!E:E,F616,Productos!A:A)))</f>
        <v/>
      </c>
      <c r="F616" s="2" t="str">
        <f t="shared" si="2"/>
        <v/>
      </c>
      <c r="G616" s="10" t="str">
        <f t="array" ref="G616">IF(OR(F616="",F616="-",F616="Selecciona..",F616="Finalizar"),"",IF(A616="Rodados",XLOOKUP(B616,'Validaciones Cotizador'!I:I,'Validaciones Cotizador'!J:J,0,0,1),1))</f>
        <v/>
      </c>
      <c r="H616" s="11" t="str">
        <f>IF(OR(F616="",F616="Selecciona.."),"",SUMIF(Precio_Productos!K:K,E616,Precio_Productos!J:J)*G616)</f>
        <v/>
      </c>
      <c r="I616" s="4" t="str">
        <f t="array" ref="I616">IF($E616="","", XLOOKUP(SUMIFS(Prod_Prop!$A:$A,Prod_Prop!$B:$B,$E616,Prod_Prop!$H:$H,I$1,Prod_Prop!$I:$I,"Exacto"),Prod_Prop!$A:$A,Prod_Prop!$J:$J,"",0,1))</f>
        <v/>
      </c>
      <c r="J616" s="4" t="str">
        <f t="array" ref="J616">IF($E616="","", XLOOKUP(SUMIFS(Prod_Prop!$A:$A,Prod_Prop!$B:$B,$E616,Prod_Prop!$H:$H,J$1,Prod_Prop!$I:$I,"Exacto"),Prod_Prop!$A:$A,Prod_Prop!$J:$J,"",0,1))</f>
        <v/>
      </c>
      <c r="K616" s="4" t="str">
        <f t="array" ref="K616">IF($E616="","", XLOOKUP(SUMIFS(Prod_Prop!$A:$A,Prod_Prop!$B:$B,$E616,Prod_Prop!$H:$H,K$1,Prod_Prop!$I:$I,"Exacto"),Prod_Prop!$A:$A,Prod_Prop!$J:$J,"",0,1))</f>
        <v/>
      </c>
      <c r="L616" s="4" t="str">
        <f t="array" ref="L616">IF($E616="","", XLOOKUP(SUMIFS(Prod_Prop!$A:$A,Prod_Prop!$B:$B,$E616,Prod_Prop!$H:$H,L$1,Prod_Prop!$I:$I,"Exacto"),Prod_Prop!$A:$A,Prod_Prop!$J:$J,"",0,1))</f>
        <v/>
      </c>
      <c r="M616" s="4" t="str">
        <f t="array" ref="M616">IF($E616="","", XLOOKUP(SUMIFS(Prod_Prop!$A:$A,Prod_Prop!$B:$B,$E616,Prod_Prop!$H:$H,M$1,Prod_Prop!$I:$I,"Exacto"),Prod_Prop!$A:$A,Prod_Prop!$J:$J,"",0,1))</f>
        <v/>
      </c>
      <c r="N616" s="4" t="str">
        <f t="array" ref="N616">IF($E616="","", XLOOKUP(SUMIFS(Prod_Prop!$A:$A,Prod_Prop!$B:$B,$E616,Prod_Prop!$H:$H,N$1,Prod_Prop!$I:$I,"Exacto"),Prod_Prop!$A:$A,Prod_Prop!$J:$J,"",0,1))</f>
        <v/>
      </c>
      <c r="O616" s="4" t="str">
        <f t="array" ref="O616">IF($E616="","", XLOOKUP(SUMIFS(Prod_Prop!$A:$A,Prod_Prop!$B:$B,$E616,Prod_Prop!$H:$H,O$1,Prod_Prop!$I:$I,"Exacto"),Prod_Prop!$A:$A,Prod_Prop!$J:$J,"",0,1))</f>
        <v/>
      </c>
      <c r="P616" s="4" t="str">
        <f t="array" ref="P616">IF($E616="","", XLOOKUP(SUMIFS(Prod_Prop!$A:$A,Prod_Prop!$B:$B,$E616,Prod_Prop!$H:$H,P$1,Prod_Prop!$I:$I,"Exacto"),Prod_Prop!$A:$A,Prod_Prop!$J:$J,"",0,1))</f>
        <v/>
      </c>
      <c r="Q616" s="4" t="str">
        <f t="array" ref="Q616">IF($E616="","", XLOOKUP(SUMIFS(Prod_Prop!$A:$A,Prod_Prop!$B:$B,$E616,Prod_Prop!$H:$H,Q$1,Prod_Prop!$I:$I,"Exacto"),Prod_Prop!$A:$A,Prod_Prop!$J:$J,"",0,1))</f>
        <v/>
      </c>
      <c r="R616" s="4" t="str">
        <f t="array" ref="R616">IF($E616="","", XLOOKUP(SUMIFS(Prod_Prop!$A:$A,Prod_Prop!$B:$B,$E616,Prod_Prop!$H:$H,R$1,Prod_Prop!$I:$I,"Exacto"),Prod_Prop!$A:$A,Prod_Prop!$J:$J,"",0,1))</f>
        <v/>
      </c>
      <c r="S616" s="4" t="str">
        <f t="array" ref="S616">IF($E616="","", XLOOKUP(SUMIFS(Prod_Prop!$A:$A,Prod_Prop!$B:$B,$E616,Prod_Prop!$H:$H,S$1,Prod_Prop!$I:$I,"Exacto"),Prod_Prop!$A:$A,Prod_Prop!$J:$J,"",0,1))</f>
        <v/>
      </c>
      <c r="T616" s="4" t="str">
        <f t="array" ref="T616">IF($E616="","", XLOOKUP(SUMIFS(Prod_Prop!$A:$A,Prod_Prop!$B:$B,$E616,Prod_Prop!$H:$H,T$1,Prod_Prop!$I:$I,"Exacto"),Prod_Prop!$A:$A,Prod_Prop!$J:$J,"",0,1))</f>
        <v/>
      </c>
      <c r="U616" s="4" t="str">
        <f t="array" ref="U616">IF($E616="","", XLOOKUP(SUMIFS(Prod_Prop!$A:$A,Prod_Prop!$B:$B,$E616,Prod_Prop!$H:$H,U$1,Prod_Prop!$I:$I,"Exacto"),Prod_Prop!$A:$A,Prod_Prop!$J:$J,"",0,1))</f>
        <v/>
      </c>
      <c r="V616" s="4" t="str">
        <f t="array" ref="V616">IF($E616="","", XLOOKUP(SUMIFS(Prod_Prop!$A:$A,Prod_Prop!$B:$B,$E616,Prod_Prop!$H:$H,V$1,Prod_Prop!$I:$I,"Exacto"),Prod_Prop!$A:$A,Prod_Prop!$J:$J,"",0,1))</f>
        <v/>
      </c>
      <c r="X616" s="3" t="str">
        <f>IFERROR(__xludf.DUMMYFUNCTION("IF(D616="""","""",IFERROR(TRANSPOSE(FILTER('Validaciones Cotizador'!U:U,'Validaciones Cotizador'!O:O=D616,'Validaciones Cotizador'!T:T=""x"")),""Finalizar""))"),"")</f>
        <v/>
      </c>
    </row>
    <row r="617">
      <c r="A617" s="2" t="str">
        <f t="array" ref="A617">IF(E617="","",XLOOKUP(D617,'Validaciones Cotizador'!C:C,'Validaciones Cotizador'!A:A,"",0,1))</f>
        <v/>
      </c>
      <c r="B617" s="2" t="str">
        <f t="array" ref="B617">IF(F617="","",XLOOKUP(F617,Productos!E:E,Productos!G:G,"",0,1))</f>
        <v/>
      </c>
      <c r="C617" s="2" t="str">
        <f>IF(A617="","",SUMIFS('Validaciones Cotizador'!B:B,'Validaciones Cotizador'!C:C,D617,'Validaciones Cotizador'!A:A,A617))</f>
        <v/>
      </c>
      <c r="D617" s="4" t="str">
        <f>IFERROR(__xludf.DUMMYFUNCTION("IF(OR(F616=""Finalizar"",F616="""",F616=""Selecciona..""),"""",IF(OR(F616=""-"",INDEX(filter(Familias!F:F,Familias!D:D=A616,Familias!E:E=C616),1)=""O""),D616+1,D616))"),"")</f>
        <v/>
      </c>
      <c r="E617" s="2" t="str">
        <f>IF(OR(F617="",F617="Selecciona.."),"",IF(D617="Implemento",SUMIF(Implementos!B:B,F617,Implementos!A:A),SUMIF(Productos!E:E,F617,Productos!A:A)))</f>
        <v/>
      </c>
      <c r="F617" s="2" t="str">
        <f t="shared" si="2"/>
        <v/>
      </c>
      <c r="G617" s="10" t="str">
        <f t="array" ref="G617">IF(OR(F617="",F617="-",F617="Selecciona..",F617="Finalizar"),"",IF(A617="Rodados",XLOOKUP(B617,'Validaciones Cotizador'!I:I,'Validaciones Cotizador'!J:J,0,0,1),1))</f>
        <v/>
      </c>
      <c r="H617" s="11" t="str">
        <f>IF(OR(F617="",F617="Selecciona.."),"",SUMIF(Precio_Productos!K:K,E617,Precio_Productos!J:J)*G617)</f>
        <v/>
      </c>
      <c r="I617" s="4" t="str">
        <f t="array" ref="I617">IF($E617="","", XLOOKUP(SUMIFS(Prod_Prop!$A:$A,Prod_Prop!$B:$B,$E617,Prod_Prop!$H:$H,I$1,Prod_Prop!$I:$I,"Exacto"),Prod_Prop!$A:$A,Prod_Prop!$J:$J,"",0,1))</f>
        <v/>
      </c>
      <c r="J617" s="4" t="str">
        <f t="array" ref="J617">IF($E617="","", XLOOKUP(SUMIFS(Prod_Prop!$A:$A,Prod_Prop!$B:$B,$E617,Prod_Prop!$H:$H,J$1,Prod_Prop!$I:$I,"Exacto"),Prod_Prop!$A:$A,Prod_Prop!$J:$J,"",0,1))</f>
        <v/>
      </c>
      <c r="K617" s="4" t="str">
        <f t="array" ref="K617">IF($E617="","", XLOOKUP(SUMIFS(Prod_Prop!$A:$A,Prod_Prop!$B:$B,$E617,Prod_Prop!$H:$H,K$1,Prod_Prop!$I:$I,"Exacto"),Prod_Prop!$A:$A,Prod_Prop!$J:$J,"",0,1))</f>
        <v/>
      </c>
      <c r="L617" s="4" t="str">
        <f t="array" ref="L617">IF($E617="","", XLOOKUP(SUMIFS(Prod_Prop!$A:$A,Prod_Prop!$B:$B,$E617,Prod_Prop!$H:$H,L$1,Prod_Prop!$I:$I,"Exacto"),Prod_Prop!$A:$A,Prod_Prop!$J:$J,"",0,1))</f>
        <v/>
      </c>
      <c r="M617" s="4" t="str">
        <f t="array" ref="M617">IF($E617="","", XLOOKUP(SUMIFS(Prod_Prop!$A:$A,Prod_Prop!$B:$B,$E617,Prod_Prop!$H:$H,M$1,Prod_Prop!$I:$I,"Exacto"),Prod_Prop!$A:$A,Prod_Prop!$J:$J,"",0,1))</f>
        <v/>
      </c>
      <c r="N617" s="4" t="str">
        <f t="array" ref="N617">IF($E617="","", XLOOKUP(SUMIFS(Prod_Prop!$A:$A,Prod_Prop!$B:$B,$E617,Prod_Prop!$H:$H,N$1,Prod_Prop!$I:$I,"Exacto"),Prod_Prop!$A:$A,Prod_Prop!$J:$J,"",0,1))</f>
        <v/>
      </c>
      <c r="O617" s="4" t="str">
        <f t="array" ref="O617">IF($E617="","", XLOOKUP(SUMIFS(Prod_Prop!$A:$A,Prod_Prop!$B:$B,$E617,Prod_Prop!$H:$H,O$1,Prod_Prop!$I:$I,"Exacto"),Prod_Prop!$A:$A,Prod_Prop!$J:$J,"",0,1))</f>
        <v/>
      </c>
      <c r="P617" s="4" t="str">
        <f t="array" ref="P617">IF($E617="","", XLOOKUP(SUMIFS(Prod_Prop!$A:$A,Prod_Prop!$B:$B,$E617,Prod_Prop!$H:$H,P$1,Prod_Prop!$I:$I,"Exacto"),Prod_Prop!$A:$A,Prod_Prop!$J:$J,"",0,1))</f>
        <v/>
      </c>
      <c r="Q617" s="4" t="str">
        <f t="array" ref="Q617">IF($E617="","", XLOOKUP(SUMIFS(Prod_Prop!$A:$A,Prod_Prop!$B:$B,$E617,Prod_Prop!$H:$H,Q$1,Prod_Prop!$I:$I,"Exacto"),Prod_Prop!$A:$A,Prod_Prop!$J:$J,"",0,1))</f>
        <v/>
      </c>
      <c r="R617" s="4" t="str">
        <f t="array" ref="R617">IF($E617="","", XLOOKUP(SUMIFS(Prod_Prop!$A:$A,Prod_Prop!$B:$B,$E617,Prod_Prop!$H:$H,R$1,Prod_Prop!$I:$I,"Exacto"),Prod_Prop!$A:$A,Prod_Prop!$J:$J,"",0,1))</f>
        <v/>
      </c>
      <c r="S617" s="4" t="str">
        <f t="array" ref="S617">IF($E617="","", XLOOKUP(SUMIFS(Prod_Prop!$A:$A,Prod_Prop!$B:$B,$E617,Prod_Prop!$H:$H,S$1,Prod_Prop!$I:$I,"Exacto"),Prod_Prop!$A:$A,Prod_Prop!$J:$J,"",0,1))</f>
        <v/>
      </c>
      <c r="T617" s="4" t="str">
        <f t="array" ref="T617">IF($E617="","", XLOOKUP(SUMIFS(Prod_Prop!$A:$A,Prod_Prop!$B:$B,$E617,Prod_Prop!$H:$H,T$1,Prod_Prop!$I:$I,"Exacto"),Prod_Prop!$A:$A,Prod_Prop!$J:$J,"",0,1))</f>
        <v/>
      </c>
      <c r="U617" s="4" t="str">
        <f t="array" ref="U617">IF($E617="","", XLOOKUP(SUMIFS(Prod_Prop!$A:$A,Prod_Prop!$B:$B,$E617,Prod_Prop!$H:$H,U$1,Prod_Prop!$I:$I,"Exacto"),Prod_Prop!$A:$A,Prod_Prop!$J:$J,"",0,1))</f>
        <v/>
      </c>
      <c r="V617" s="4" t="str">
        <f t="array" ref="V617">IF($E617="","", XLOOKUP(SUMIFS(Prod_Prop!$A:$A,Prod_Prop!$B:$B,$E617,Prod_Prop!$H:$H,V$1,Prod_Prop!$I:$I,"Exacto"),Prod_Prop!$A:$A,Prod_Prop!$J:$J,"",0,1))</f>
        <v/>
      </c>
      <c r="X617" s="3" t="str">
        <f>IFERROR(__xludf.DUMMYFUNCTION("IF(D617="""","""",IFERROR(TRANSPOSE(FILTER('Validaciones Cotizador'!U:U,'Validaciones Cotizador'!O:O=D617,'Validaciones Cotizador'!T:T=""x"")),""Finalizar""))"),"")</f>
        <v/>
      </c>
    </row>
    <row r="618">
      <c r="A618" s="2" t="str">
        <f t="array" ref="A618">IF(E618="","",XLOOKUP(D618,'Validaciones Cotizador'!C:C,'Validaciones Cotizador'!A:A,"",0,1))</f>
        <v/>
      </c>
      <c r="B618" s="2" t="str">
        <f t="array" ref="B618">IF(F618="","",XLOOKUP(F618,Productos!E:E,Productos!G:G,"",0,1))</f>
        <v/>
      </c>
      <c r="C618" s="2" t="str">
        <f>IF(A618="","",SUMIFS('Validaciones Cotizador'!B:B,'Validaciones Cotizador'!C:C,D618,'Validaciones Cotizador'!A:A,A618))</f>
        <v/>
      </c>
      <c r="D618" s="4" t="str">
        <f>IFERROR(__xludf.DUMMYFUNCTION("IF(OR(F617=""Finalizar"",F617="""",F617=""Selecciona..""),"""",IF(OR(F617=""-"",INDEX(filter(Familias!F:F,Familias!D:D=A617,Familias!E:E=C617),1)=""O""),D617+1,D617))"),"")</f>
        <v/>
      </c>
      <c r="E618" s="2" t="str">
        <f>IF(OR(F618="",F618="Selecciona.."),"",IF(D618="Implemento",SUMIF(Implementos!B:B,F618,Implementos!A:A),SUMIF(Productos!E:E,F618,Productos!A:A)))</f>
        <v/>
      </c>
      <c r="F618" s="2" t="str">
        <f t="shared" si="2"/>
        <v/>
      </c>
      <c r="G618" s="10" t="str">
        <f t="array" ref="G618">IF(OR(F618="",F618="-",F618="Selecciona..",F618="Finalizar"),"",IF(A618="Rodados",XLOOKUP(B618,'Validaciones Cotizador'!I:I,'Validaciones Cotizador'!J:J,0,0,1),1))</f>
        <v/>
      </c>
      <c r="H618" s="11" t="str">
        <f>IF(OR(F618="",F618="Selecciona.."),"",SUMIF(Precio_Productos!K:K,E618,Precio_Productos!J:J)*G618)</f>
        <v/>
      </c>
      <c r="I618" s="4" t="str">
        <f t="array" ref="I618">IF($E618="","", XLOOKUP(SUMIFS(Prod_Prop!$A:$A,Prod_Prop!$B:$B,$E618,Prod_Prop!$H:$H,I$1,Prod_Prop!$I:$I,"Exacto"),Prod_Prop!$A:$A,Prod_Prop!$J:$J,"",0,1))</f>
        <v/>
      </c>
      <c r="J618" s="4" t="str">
        <f t="array" ref="J618">IF($E618="","", XLOOKUP(SUMIFS(Prod_Prop!$A:$A,Prod_Prop!$B:$B,$E618,Prod_Prop!$H:$H,J$1,Prod_Prop!$I:$I,"Exacto"),Prod_Prop!$A:$A,Prod_Prop!$J:$J,"",0,1))</f>
        <v/>
      </c>
      <c r="K618" s="4" t="str">
        <f t="array" ref="K618">IF($E618="","", XLOOKUP(SUMIFS(Prod_Prop!$A:$A,Prod_Prop!$B:$B,$E618,Prod_Prop!$H:$H,K$1,Prod_Prop!$I:$I,"Exacto"),Prod_Prop!$A:$A,Prod_Prop!$J:$J,"",0,1))</f>
        <v/>
      </c>
      <c r="L618" s="4" t="str">
        <f t="array" ref="L618">IF($E618="","", XLOOKUP(SUMIFS(Prod_Prop!$A:$A,Prod_Prop!$B:$B,$E618,Prod_Prop!$H:$H,L$1,Prod_Prop!$I:$I,"Exacto"),Prod_Prop!$A:$A,Prod_Prop!$J:$J,"",0,1))</f>
        <v/>
      </c>
      <c r="M618" s="4" t="str">
        <f t="array" ref="M618">IF($E618="","", XLOOKUP(SUMIFS(Prod_Prop!$A:$A,Prod_Prop!$B:$B,$E618,Prod_Prop!$H:$H,M$1,Prod_Prop!$I:$I,"Exacto"),Prod_Prop!$A:$A,Prod_Prop!$J:$J,"",0,1))</f>
        <v/>
      </c>
      <c r="N618" s="4" t="str">
        <f t="array" ref="N618">IF($E618="","", XLOOKUP(SUMIFS(Prod_Prop!$A:$A,Prod_Prop!$B:$B,$E618,Prod_Prop!$H:$H,N$1,Prod_Prop!$I:$I,"Exacto"),Prod_Prop!$A:$A,Prod_Prop!$J:$J,"",0,1))</f>
        <v/>
      </c>
      <c r="O618" s="4" t="str">
        <f t="array" ref="O618">IF($E618="","", XLOOKUP(SUMIFS(Prod_Prop!$A:$A,Prod_Prop!$B:$B,$E618,Prod_Prop!$H:$H,O$1,Prod_Prop!$I:$I,"Exacto"),Prod_Prop!$A:$A,Prod_Prop!$J:$J,"",0,1))</f>
        <v/>
      </c>
      <c r="P618" s="4" t="str">
        <f t="array" ref="P618">IF($E618="","", XLOOKUP(SUMIFS(Prod_Prop!$A:$A,Prod_Prop!$B:$B,$E618,Prod_Prop!$H:$H,P$1,Prod_Prop!$I:$I,"Exacto"),Prod_Prop!$A:$A,Prod_Prop!$J:$J,"",0,1))</f>
        <v/>
      </c>
      <c r="Q618" s="4" t="str">
        <f t="array" ref="Q618">IF($E618="","", XLOOKUP(SUMIFS(Prod_Prop!$A:$A,Prod_Prop!$B:$B,$E618,Prod_Prop!$H:$H,Q$1,Prod_Prop!$I:$I,"Exacto"),Prod_Prop!$A:$A,Prod_Prop!$J:$J,"",0,1))</f>
        <v/>
      </c>
      <c r="R618" s="4" t="str">
        <f t="array" ref="R618">IF($E618="","", XLOOKUP(SUMIFS(Prod_Prop!$A:$A,Prod_Prop!$B:$B,$E618,Prod_Prop!$H:$H,R$1,Prod_Prop!$I:$I,"Exacto"),Prod_Prop!$A:$A,Prod_Prop!$J:$J,"",0,1))</f>
        <v/>
      </c>
      <c r="S618" s="4" t="str">
        <f t="array" ref="S618">IF($E618="","", XLOOKUP(SUMIFS(Prod_Prop!$A:$A,Prod_Prop!$B:$B,$E618,Prod_Prop!$H:$H,S$1,Prod_Prop!$I:$I,"Exacto"),Prod_Prop!$A:$A,Prod_Prop!$J:$J,"",0,1))</f>
        <v/>
      </c>
      <c r="T618" s="4" t="str">
        <f t="array" ref="T618">IF($E618="","", XLOOKUP(SUMIFS(Prod_Prop!$A:$A,Prod_Prop!$B:$B,$E618,Prod_Prop!$H:$H,T$1,Prod_Prop!$I:$I,"Exacto"),Prod_Prop!$A:$A,Prod_Prop!$J:$J,"",0,1))</f>
        <v/>
      </c>
      <c r="U618" s="4" t="str">
        <f t="array" ref="U618">IF($E618="","", XLOOKUP(SUMIFS(Prod_Prop!$A:$A,Prod_Prop!$B:$B,$E618,Prod_Prop!$H:$H,U$1,Prod_Prop!$I:$I,"Exacto"),Prod_Prop!$A:$A,Prod_Prop!$J:$J,"",0,1))</f>
        <v/>
      </c>
      <c r="V618" s="4" t="str">
        <f t="array" ref="V618">IF($E618="","", XLOOKUP(SUMIFS(Prod_Prop!$A:$A,Prod_Prop!$B:$B,$E618,Prod_Prop!$H:$H,V$1,Prod_Prop!$I:$I,"Exacto"),Prod_Prop!$A:$A,Prod_Prop!$J:$J,"",0,1))</f>
        <v/>
      </c>
      <c r="X618" s="3" t="str">
        <f>IFERROR(__xludf.DUMMYFUNCTION("IF(D618="""","""",IFERROR(TRANSPOSE(FILTER('Validaciones Cotizador'!U:U,'Validaciones Cotizador'!O:O=D618,'Validaciones Cotizador'!T:T=""x"")),""Finalizar""))"),"")</f>
        <v/>
      </c>
    </row>
    <row r="619">
      <c r="A619" s="2" t="str">
        <f t="array" ref="A619">IF(E619="","",XLOOKUP(D619,'Validaciones Cotizador'!C:C,'Validaciones Cotizador'!A:A,"",0,1))</f>
        <v/>
      </c>
      <c r="B619" s="2" t="str">
        <f t="array" ref="B619">IF(F619="","",XLOOKUP(F619,Productos!E:E,Productos!G:G,"",0,1))</f>
        <v/>
      </c>
      <c r="C619" s="2" t="str">
        <f>IF(A619="","",SUMIFS('Validaciones Cotizador'!B:B,'Validaciones Cotizador'!C:C,D619,'Validaciones Cotizador'!A:A,A619))</f>
        <v/>
      </c>
      <c r="D619" s="4" t="str">
        <f>IFERROR(__xludf.DUMMYFUNCTION("IF(OR(F618=""Finalizar"",F618="""",F618=""Selecciona..""),"""",IF(OR(F618=""-"",INDEX(filter(Familias!F:F,Familias!D:D=A618,Familias!E:E=C618),1)=""O""),D618+1,D618))"),"")</f>
        <v/>
      </c>
      <c r="E619" s="2" t="str">
        <f>IF(OR(F619="",F619="Selecciona.."),"",IF(D619="Implemento",SUMIF(Implementos!B:B,F619,Implementos!A:A),SUMIF(Productos!E:E,F619,Productos!A:A)))</f>
        <v/>
      </c>
      <c r="F619" s="2" t="str">
        <f t="shared" si="2"/>
        <v/>
      </c>
      <c r="G619" s="10" t="str">
        <f t="array" ref="G619">IF(OR(F619="",F619="-",F619="Selecciona..",F619="Finalizar"),"",IF(A619="Rodados",XLOOKUP(B619,'Validaciones Cotizador'!I:I,'Validaciones Cotizador'!J:J,0,0,1),1))</f>
        <v/>
      </c>
      <c r="H619" s="11" t="str">
        <f>IF(OR(F619="",F619="Selecciona.."),"",SUMIF(Precio_Productos!K:K,E619,Precio_Productos!J:J)*G619)</f>
        <v/>
      </c>
      <c r="I619" s="4" t="str">
        <f t="array" ref="I619">IF($E619="","", XLOOKUP(SUMIFS(Prod_Prop!$A:$A,Prod_Prop!$B:$B,$E619,Prod_Prop!$H:$H,I$1,Prod_Prop!$I:$I,"Exacto"),Prod_Prop!$A:$A,Prod_Prop!$J:$J,"",0,1))</f>
        <v/>
      </c>
      <c r="J619" s="4" t="str">
        <f t="array" ref="J619">IF($E619="","", XLOOKUP(SUMIFS(Prod_Prop!$A:$A,Prod_Prop!$B:$B,$E619,Prod_Prop!$H:$H,J$1,Prod_Prop!$I:$I,"Exacto"),Prod_Prop!$A:$A,Prod_Prop!$J:$J,"",0,1))</f>
        <v/>
      </c>
      <c r="K619" s="4" t="str">
        <f t="array" ref="K619">IF($E619="","", XLOOKUP(SUMIFS(Prod_Prop!$A:$A,Prod_Prop!$B:$B,$E619,Prod_Prop!$H:$H,K$1,Prod_Prop!$I:$I,"Exacto"),Prod_Prop!$A:$A,Prod_Prop!$J:$J,"",0,1))</f>
        <v/>
      </c>
      <c r="L619" s="4" t="str">
        <f t="array" ref="L619">IF($E619="","", XLOOKUP(SUMIFS(Prod_Prop!$A:$A,Prod_Prop!$B:$B,$E619,Prod_Prop!$H:$H,L$1,Prod_Prop!$I:$I,"Exacto"),Prod_Prop!$A:$A,Prod_Prop!$J:$J,"",0,1))</f>
        <v/>
      </c>
      <c r="M619" s="4" t="str">
        <f t="array" ref="M619">IF($E619="","", XLOOKUP(SUMIFS(Prod_Prop!$A:$A,Prod_Prop!$B:$B,$E619,Prod_Prop!$H:$H,M$1,Prod_Prop!$I:$I,"Exacto"),Prod_Prop!$A:$A,Prod_Prop!$J:$J,"",0,1))</f>
        <v/>
      </c>
      <c r="N619" s="4" t="str">
        <f t="array" ref="N619">IF($E619="","", XLOOKUP(SUMIFS(Prod_Prop!$A:$A,Prod_Prop!$B:$B,$E619,Prod_Prop!$H:$H,N$1,Prod_Prop!$I:$I,"Exacto"),Prod_Prop!$A:$A,Prod_Prop!$J:$J,"",0,1))</f>
        <v/>
      </c>
      <c r="O619" s="4" t="str">
        <f t="array" ref="O619">IF($E619="","", XLOOKUP(SUMIFS(Prod_Prop!$A:$A,Prod_Prop!$B:$B,$E619,Prod_Prop!$H:$H,O$1,Prod_Prop!$I:$I,"Exacto"),Prod_Prop!$A:$A,Prod_Prop!$J:$J,"",0,1))</f>
        <v/>
      </c>
      <c r="P619" s="4" t="str">
        <f t="array" ref="P619">IF($E619="","", XLOOKUP(SUMIFS(Prod_Prop!$A:$A,Prod_Prop!$B:$B,$E619,Prod_Prop!$H:$H,P$1,Prod_Prop!$I:$I,"Exacto"),Prod_Prop!$A:$A,Prod_Prop!$J:$J,"",0,1))</f>
        <v/>
      </c>
      <c r="Q619" s="4" t="str">
        <f t="array" ref="Q619">IF($E619="","", XLOOKUP(SUMIFS(Prod_Prop!$A:$A,Prod_Prop!$B:$B,$E619,Prod_Prop!$H:$H,Q$1,Prod_Prop!$I:$I,"Exacto"),Prod_Prop!$A:$A,Prod_Prop!$J:$J,"",0,1))</f>
        <v/>
      </c>
      <c r="R619" s="4" t="str">
        <f t="array" ref="R619">IF($E619="","", XLOOKUP(SUMIFS(Prod_Prop!$A:$A,Prod_Prop!$B:$B,$E619,Prod_Prop!$H:$H,R$1,Prod_Prop!$I:$I,"Exacto"),Prod_Prop!$A:$A,Prod_Prop!$J:$J,"",0,1))</f>
        <v/>
      </c>
      <c r="S619" s="4" t="str">
        <f t="array" ref="S619">IF($E619="","", XLOOKUP(SUMIFS(Prod_Prop!$A:$A,Prod_Prop!$B:$B,$E619,Prod_Prop!$H:$H,S$1,Prod_Prop!$I:$I,"Exacto"),Prod_Prop!$A:$A,Prod_Prop!$J:$J,"",0,1))</f>
        <v/>
      </c>
      <c r="T619" s="4" t="str">
        <f t="array" ref="T619">IF($E619="","", XLOOKUP(SUMIFS(Prod_Prop!$A:$A,Prod_Prop!$B:$B,$E619,Prod_Prop!$H:$H,T$1,Prod_Prop!$I:$I,"Exacto"),Prod_Prop!$A:$A,Prod_Prop!$J:$J,"",0,1))</f>
        <v/>
      </c>
      <c r="U619" s="4" t="str">
        <f t="array" ref="U619">IF($E619="","", XLOOKUP(SUMIFS(Prod_Prop!$A:$A,Prod_Prop!$B:$B,$E619,Prod_Prop!$H:$H,U$1,Prod_Prop!$I:$I,"Exacto"),Prod_Prop!$A:$A,Prod_Prop!$J:$J,"",0,1))</f>
        <v/>
      </c>
      <c r="V619" s="4" t="str">
        <f t="array" ref="V619">IF($E619="","", XLOOKUP(SUMIFS(Prod_Prop!$A:$A,Prod_Prop!$B:$B,$E619,Prod_Prop!$H:$H,V$1,Prod_Prop!$I:$I,"Exacto"),Prod_Prop!$A:$A,Prod_Prop!$J:$J,"",0,1))</f>
        <v/>
      </c>
      <c r="X619" s="3" t="str">
        <f>IFERROR(__xludf.DUMMYFUNCTION("IF(D619="""","""",IFERROR(TRANSPOSE(FILTER('Validaciones Cotizador'!U:U,'Validaciones Cotizador'!O:O=D619,'Validaciones Cotizador'!T:T=""x"")),""Finalizar""))"),"")</f>
        <v/>
      </c>
    </row>
    <row r="620">
      <c r="A620" s="2" t="str">
        <f t="array" ref="A620">IF(E620="","",XLOOKUP(D620,'Validaciones Cotizador'!C:C,'Validaciones Cotizador'!A:A,"",0,1))</f>
        <v/>
      </c>
      <c r="B620" s="2" t="str">
        <f t="array" ref="B620">IF(F620="","",XLOOKUP(F620,Productos!E:E,Productos!G:G,"",0,1))</f>
        <v/>
      </c>
      <c r="C620" s="2" t="str">
        <f>IF(A620="","",SUMIFS('Validaciones Cotizador'!B:B,'Validaciones Cotizador'!C:C,D620,'Validaciones Cotizador'!A:A,A620))</f>
        <v/>
      </c>
      <c r="D620" s="4" t="str">
        <f>IFERROR(__xludf.DUMMYFUNCTION("IF(OR(F619=""Finalizar"",F619="""",F619=""Selecciona..""),"""",IF(OR(F619=""-"",INDEX(filter(Familias!F:F,Familias!D:D=A619,Familias!E:E=C619),1)=""O""),D619+1,D619))"),"")</f>
        <v/>
      </c>
      <c r="E620" s="2" t="str">
        <f>IF(OR(F620="",F620="Selecciona.."),"",IF(D620="Implemento",SUMIF(Implementos!B:B,F620,Implementos!A:A),SUMIF(Productos!E:E,F620,Productos!A:A)))</f>
        <v/>
      </c>
      <c r="F620" s="2" t="str">
        <f t="shared" si="2"/>
        <v/>
      </c>
      <c r="G620" s="10" t="str">
        <f t="array" ref="G620">IF(OR(F620="",F620="-",F620="Selecciona..",F620="Finalizar"),"",IF(A620="Rodados",XLOOKUP(B620,'Validaciones Cotizador'!I:I,'Validaciones Cotizador'!J:J,0,0,1),1))</f>
        <v/>
      </c>
      <c r="H620" s="11" t="str">
        <f>IF(OR(F620="",F620="Selecciona.."),"",SUMIF(Precio_Productos!K:K,E620,Precio_Productos!J:J)*G620)</f>
        <v/>
      </c>
      <c r="I620" s="4" t="str">
        <f t="array" ref="I620">IF($E620="","", XLOOKUP(SUMIFS(Prod_Prop!$A:$A,Prod_Prop!$B:$B,$E620,Prod_Prop!$H:$H,I$1,Prod_Prop!$I:$I,"Exacto"),Prod_Prop!$A:$A,Prod_Prop!$J:$J,"",0,1))</f>
        <v/>
      </c>
      <c r="J620" s="4" t="str">
        <f t="array" ref="J620">IF($E620="","", XLOOKUP(SUMIFS(Prod_Prop!$A:$A,Prod_Prop!$B:$B,$E620,Prod_Prop!$H:$H,J$1,Prod_Prop!$I:$I,"Exacto"),Prod_Prop!$A:$A,Prod_Prop!$J:$J,"",0,1))</f>
        <v/>
      </c>
      <c r="K620" s="4" t="str">
        <f t="array" ref="K620">IF($E620="","", XLOOKUP(SUMIFS(Prod_Prop!$A:$A,Prod_Prop!$B:$B,$E620,Prod_Prop!$H:$H,K$1,Prod_Prop!$I:$I,"Exacto"),Prod_Prop!$A:$A,Prod_Prop!$J:$J,"",0,1))</f>
        <v/>
      </c>
      <c r="L620" s="4" t="str">
        <f t="array" ref="L620">IF($E620="","", XLOOKUP(SUMIFS(Prod_Prop!$A:$A,Prod_Prop!$B:$B,$E620,Prod_Prop!$H:$H,L$1,Prod_Prop!$I:$I,"Exacto"),Prod_Prop!$A:$A,Prod_Prop!$J:$J,"",0,1))</f>
        <v/>
      </c>
      <c r="M620" s="4" t="str">
        <f t="array" ref="M620">IF($E620="","", XLOOKUP(SUMIFS(Prod_Prop!$A:$A,Prod_Prop!$B:$B,$E620,Prod_Prop!$H:$H,M$1,Prod_Prop!$I:$I,"Exacto"),Prod_Prop!$A:$A,Prod_Prop!$J:$J,"",0,1))</f>
        <v/>
      </c>
      <c r="N620" s="4" t="str">
        <f t="array" ref="N620">IF($E620="","", XLOOKUP(SUMIFS(Prod_Prop!$A:$A,Prod_Prop!$B:$B,$E620,Prod_Prop!$H:$H,N$1,Prod_Prop!$I:$I,"Exacto"),Prod_Prop!$A:$A,Prod_Prop!$J:$J,"",0,1))</f>
        <v/>
      </c>
      <c r="O620" s="4" t="str">
        <f t="array" ref="O620">IF($E620="","", XLOOKUP(SUMIFS(Prod_Prop!$A:$A,Prod_Prop!$B:$B,$E620,Prod_Prop!$H:$H,O$1,Prod_Prop!$I:$I,"Exacto"),Prod_Prop!$A:$A,Prod_Prop!$J:$J,"",0,1))</f>
        <v/>
      </c>
      <c r="P620" s="4" t="str">
        <f t="array" ref="P620">IF($E620="","", XLOOKUP(SUMIFS(Prod_Prop!$A:$A,Prod_Prop!$B:$B,$E620,Prod_Prop!$H:$H,P$1,Prod_Prop!$I:$I,"Exacto"),Prod_Prop!$A:$A,Prod_Prop!$J:$J,"",0,1))</f>
        <v/>
      </c>
      <c r="Q620" s="4" t="str">
        <f t="array" ref="Q620">IF($E620="","", XLOOKUP(SUMIFS(Prod_Prop!$A:$A,Prod_Prop!$B:$B,$E620,Prod_Prop!$H:$H,Q$1,Prod_Prop!$I:$I,"Exacto"),Prod_Prop!$A:$A,Prod_Prop!$J:$J,"",0,1))</f>
        <v/>
      </c>
      <c r="R620" s="4" t="str">
        <f t="array" ref="R620">IF($E620="","", XLOOKUP(SUMIFS(Prod_Prop!$A:$A,Prod_Prop!$B:$B,$E620,Prod_Prop!$H:$H,R$1,Prod_Prop!$I:$I,"Exacto"),Prod_Prop!$A:$A,Prod_Prop!$J:$J,"",0,1))</f>
        <v/>
      </c>
      <c r="S620" s="4" t="str">
        <f t="array" ref="S620">IF($E620="","", XLOOKUP(SUMIFS(Prod_Prop!$A:$A,Prod_Prop!$B:$B,$E620,Prod_Prop!$H:$H,S$1,Prod_Prop!$I:$I,"Exacto"),Prod_Prop!$A:$A,Prod_Prop!$J:$J,"",0,1))</f>
        <v/>
      </c>
      <c r="T620" s="4" t="str">
        <f t="array" ref="T620">IF($E620="","", XLOOKUP(SUMIFS(Prod_Prop!$A:$A,Prod_Prop!$B:$B,$E620,Prod_Prop!$H:$H,T$1,Prod_Prop!$I:$I,"Exacto"),Prod_Prop!$A:$A,Prod_Prop!$J:$J,"",0,1))</f>
        <v/>
      </c>
      <c r="U620" s="4" t="str">
        <f t="array" ref="U620">IF($E620="","", XLOOKUP(SUMIFS(Prod_Prop!$A:$A,Prod_Prop!$B:$B,$E620,Prod_Prop!$H:$H,U$1,Prod_Prop!$I:$I,"Exacto"),Prod_Prop!$A:$A,Prod_Prop!$J:$J,"",0,1))</f>
        <v/>
      </c>
      <c r="V620" s="4" t="str">
        <f t="array" ref="V620">IF($E620="","", XLOOKUP(SUMIFS(Prod_Prop!$A:$A,Prod_Prop!$B:$B,$E620,Prod_Prop!$H:$H,V$1,Prod_Prop!$I:$I,"Exacto"),Prod_Prop!$A:$A,Prod_Prop!$J:$J,"",0,1))</f>
        <v/>
      </c>
      <c r="X620" s="3" t="str">
        <f>IFERROR(__xludf.DUMMYFUNCTION("IF(D620="""","""",IFERROR(TRANSPOSE(FILTER('Validaciones Cotizador'!U:U,'Validaciones Cotizador'!O:O=D620,'Validaciones Cotizador'!T:T=""x"")),""Finalizar""))"),"")</f>
        <v/>
      </c>
    </row>
    <row r="621">
      <c r="A621" s="2" t="str">
        <f t="array" ref="A621">IF(E621="","",XLOOKUP(D621,'Validaciones Cotizador'!C:C,'Validaciones Cotizador'!A:A,"",0,1))</f>
        <v/>
      </c>
      <c r="B621" s="2" t="str">
        <f t="array" ref="B621">IF(F621="","",XLOOKUP(F621,Productos!E:E,Productos!G:G,"",0,1))</f>
        <v/>
      </c>
      <c r="C621" s="2" t="str">
        <f>IF(A621="","",SUMIFS('Validaciones Cotizador'!B:B,'Validaciones Cotizador'!C:C,D621,'Validaciones Cotizador'!A:A,A621))</f>
        <v/>
      </c>
      <c r="D621" s="4" t="str">
        <f>IFERROR(__xludf.DUMMYFUNCTION("IF(OR(F620=""Finalizar"",F620="""",F620=""Selecciona..""),"""",IF(OR(F620=""-"",INDEX(filter(Familias!F:F,Familias!D:D=A620,Familias!E:E=C620),1)=""O""),D620+1,D620))"),"")</f>
        <v/>
      </c>
      <c r="E621" s="2" t="str">
        <f>IF(OR(F621="",F621="Selecciona.."),"",IF(D621="Implemento",SUMIF(Implementos!B:B,F621,Implementos!A:A),SUMIF(Productos!E:E,F621,Productos!A:A)))</f>
        <v/>
      </c>
      <c r="F621" s="2" t="str">
        <f t="shared" si="2"/>
        <v/>
      </c>
      <c r="G621" s="10" t="str">
        <f t="array" ref="G621">IF(OR(F621="",F621="-",F621="Selecciona..",F621="Finalizar"),"",IF(A621="Rodados",XLOOKUP(B621,'Validaciones Cotizador'!I:I,'Validaciones Cotizador'!J:J,0,0,1),1))</f>
        <v/>
      </c>
      <c r="H621" s="11" t="str">
        <f>IF(OR(F621="",F621="Selecciona.."),"",SUMIF(Precio_Productos!K:K,E621,Precio_Productos!J:J)*G621)</f>
        <v/>
      </c>
      <c r="I621" s="4" t="str">
        <f t="array" ref="I621">IF($E621="","", XLOOKUP(SUMIFS(Prod_Prop!$A:$A,Prod_Prop!$B:$B,$E621,Prod_Prop!$H:$H,I$1,Prod_Prop!$I:$I,"Exacto"),Prod_Prop!$A:$A,Prod_Prop!$J:$J,"",0,1))</f>
        <v/>
      </c>
      <c r="J621" s="4" t="str">
        <f t="array" ref="J621">IF($E621="","", XLOOKUP(SUMIFS(Prod_Prop!$A:$A,Prod_Prop!$B:$B,$E621,Prod_Prop!$H:$H,J$1,Prod_Prop!$I:$I,"Exacto"),Prod_Prop!$A:$A,Prod_Prop!$J:$J,"",0,1))</f>
        <v/>
      </c>
      <c r="K621" s="4" t="str">
        <f t="array" ref="K621">IF($E621="","", XLOOKUP(SUMIFS(Prod_Prop!$A:$A,Prod_Prop!$B:$B,$E621,Prod_Prop!$H:$H,K$1,Prod_Prop!$I:$I,"Exacto"),Prod_Prop!$A:$A,Prod_Prop!$J:$J,"",0,1))</f>
        <v/>
      </c>
      <c r="L621" s="4" t="str">
        <f t="array" ref="L621">IF($E621="","", XLOOKUP(SUMIFS(Prod_Prop!$A:$A,Prod_Prop!$B:$B,$E621,Prod_Prop!$H:$H,L$1,Prod_Prop!$I:$I,"Exacto"),Prod_Prop!$A:$A,Prod_Prop!$J:$J,"",0,1))</f>
        <v/>
      </c>
      <c r="M621" s="4" t="str">
        <f t="array" ref="M621">IF($E621="","", XLOOKUP(SUMIFS(Prod_Prop!$A:$A,Prod_Prop!$B:$B,$E621,Prod_Prop!$H:$H,M$1,Prod_Prop!$I:$I,"Exacto"),Prod_Prop!$A:$A,Prod_Prop!$J:$J,"",0,1))</f>
        <v/>
      </c>
      <c r="N621" s="4" t="str">
        <f t="array" ref="N621">IF($E621="","", XLOOKUP(SUMIFS(Prod_Prop!$A:$A,Prod_Prop!$B:$B,$E621,Prod_Prop!$H:$H,N$1,Prod_Prop!$I:$I,"Exacto"),Prod_Prop!$A:$A,Prod_Prop!$J:$J,"",0,1))</f>
        <v/>
      </c>
      <c r="O621" s="4" t="str">
        <f t="array" ref="O621">IF($E621="","", XLOOKUP(SUMIFS(Prod_Prop!$A:$A,Prod_Prop!$B:$B,$E621,Prod_Prop!$H:$H,O$1,Prod_Prop!$I:$I,"Exacto"),Prod_Prop!$A:$A,Prod_Prop!$J:$J,"",0,1))</f>
        <v/>
      </c>
      <c r="P621" s="4" t="str">
        <f t="array" ref="P621">IF($E621="","", XLOOKUP(SUMIFS(Prod_Prop!$A:$A,Prod_Prop!$B:$B,$E621,Prod_Prop!$H:$H,P$1,Prod_Prop!$I:$I,"Exacto"),Prod_Prop!$A:$A,Prod_Prop!$J:$J,"",0,1))</f>
        <v/>
      </c>
      <c r="Q621" s="4" t="str">
        <f t="array" ref="Q621">IF($E621="","", XLOOKUP(SUMIFS(Prod_Prop!$A:$A,Prod_Prop!$B:$B,$E621,Prod_Prop!$H:$H,Q$1,Prod_Prop!$I:$I,"Exacto"),Prod_Prop!$A:$A,Prod_Prop!$J:$J,"",0,1))</f>
        <v/>
      </c>
      <c r="R621" s="4" t="str">
        <f t="array" ref="R621">IF($E621="","", XLOOKUP(SUMIFS(Prod_Prop!$A:$A,Prod_Prop!$B:$B,$E621,Prod_Prop!$H:$H,R$1,Prod_Prop!$I:$I,"Exacto"),Prod_Prop!$A:$A,Prod_Prop!$J:$J,"",0,1))</f>
        <v/>
      </c>
      <c r="S621" s="4" t="str">
        <f t="array" ref="S621">IF($E621="","", XLOOKUP(SUMIFS(Prod_Prop!$A:$A,Prod_Prop!$B:$B,$E621,Prod_Prop!$H:$H,S$1,Prod_Prop!$I:$I,"Exacto"),Prod_Prop!$A:$A,Prod_Prop!$J:$J,"",0,1))</f>
        <v/>
      </c>
      <c r="T621" s="4" t="str">
        <f t="array" ref="T621">IF($E621="","", XLOOKUP(SUMIFS(Prod_Prop!$A:$A,Prod_Prop!$B:$B,$E621,Prod_Prop!$H:$H,T$1,Prod_Prop!$I:$I,"Exacto"),Prod_Prop!$A:$A,Prod_Prop!$J:$J,"",0,1))</f>
        <v/>
      </c>
      <c r="U621" s="4" t="str">
        <f t="array" ref="U621">IF($E621="","", XLOOKUP(SUMIFS(Prod_Prop!$A:$A,Prod_Prop!$B:$B,$E621,Prod_Prop!$H:$H,U$1,Prod_Prop!$I:$I,"Exacto"),Prod_Prop!$A:$A,Prod_Prop!$J:$J,"",0,1))</f>
        <v/>
      </c>
      <c r="V621" s="4" t="str">
        <f t="array" ref="V621">IF($E621="","", XLOOKUP(SUMIFS(Prod_Prop!$A:$A,Prod_Prop!$B:$B,$E621,Prod_Prop!$H:$H,V$1,Prod_Prop!$I:$I,"Exacto"),Prod_Prop!$A:$A,Prod_Prop!$J:$J,"",0,1))</f>
        <v/>
      </c>
      <c r="X621" s="3" t="str">
        <f>IFERROR(__xludf.DUMMYFUNCTION("IF(D621="""","""",IFERROR(TRANSPOSE(FILTER('Validaciones Cotizador'!U:U,'Validaciones Cotizador'!O:O=D621,'Validaciones Cotizador'!T:T=""x"")),""Finalizar""))"),"")</f>
        <v/>
      </c>
    </row>
    <row r="622">
      <c r="A622" s="2" t="str">
        <f t="array" ref="A622">IF(E622="","",XLOOKUP(D622,'Validaciones Cotizador'!C:C,'Validaciones Cotizador'!A:A,"",0,1))</f>
        <v/>
      </c>
      <c r="B622" s="2" t="str">
        <f t="array" ref="B622">IF(F622="","",XLOOKUP(F622,Productos!E:E,Productos!G:G,"",0,1))</f>
        <v/>
      </c>
      <c r="C622" s="2" t="str">
        <f>IF(A622="","",SUMIFS('Validaciones Cotizador'!B:B,'Validaciones Cotizador'!C:C,D622,'Validaciones Cotizador'!A:A,A622))</f>
        <v/>
      </c>
      <c r="D622" s="4" t="str">
        <f>IFERROR(__xludf.DUMMYFUNCTION("IF(OR(F621=""Finalizar"",F621="""",F621=""Selecciona..""),"""",IF(OR(F621=""-"",INDEX(filter(Familias!F:F,Familias!D:D=A621,Familias!E:E=C621),1)=""O""),D621+1,D621))"),"")</f>
        <v/>
      </c>
      <c r="E622" s="2" t="str">
        <f>IF(OR(F622="",F622="Selecciona.."),"",IF(D622="Implemento",SUMIF(Implementos!B:B,F622,Implementos!A:A),SUMIF(Productos!E:E,F622,Productos!A:A)))</f>
        <v/>
      </c>
      <c r="F622" s="2" t="str">
        <f t="shared" si="2"/>
        <v/>
      </c>
      <c r="G622" s="10" t="str">
        <f t="array" ref="G622">IF(OR(F622="",F622="-",F622="Selecciona..",F622="Finalizar"),"",IF(A622="Rodados",XLOOKUP(B622,'Validaciones Cotizador'!I:I,'Validaciones Cotizador'!J:J,0,0,1),1))</f>
        <v/>
      </c>
      <c r="H622" s="11" t="str">
        <f>IF(OR(F622="",F622="Selecciona.."),"",SUMIF(Precio_Productos!K:K,E622,Precio_Productos!J:J)*G622)</f>
        <v/>
      </c>
      <c r="I622" s="4" t="str">
        <f t="array" ref="I622">IF($E622="","", XLOOKUP(SUMIFS(Prod_Prop!$A:$A,Prod_Prop!$B:$B,$E622,Prod_Prop!$H:$H,I$1,Prod_Prop!$I:$I,"Exacto"),Prod_Prop!$A:$A,Prod_Prop!$J:$J,"",0,1))</f>
        <v/>
      </c>
      <c r="J622" s="4" t="str">
        <f t="array" ref="J622">IF($E622="","", XLOOKUP(SUMIFS(Prod_Prop!$A:$A,Prod_Prop!$B:$B,$E622,Prod_Prop!$H:$H,J$1,Prod_Prop!$I:$I,"Exacto"),Prod_Prop!$A:$A,Prod_Prop!$J:$J,"",0,1))</f>
        <v/>
      </c>
      <c r="K622" s="4" t="str">
        <f t="array" ref="K622">IF($E622="","", XLOOKUP(SUMIFS(Prod_Prop!$A:$A,Prod_Prop!$B:$B,$E622,Prod_Prop!$H:$H,K$1,Prod_Prop!$I:$I,"Exacto"),Prod_Prop!$A:$A,Prod_Prop!$J:$J,"",0,1))</f>
        <v/>
      </c>
      <c r="L622" s="4" t="str">
        <f t="array" ref="L622">IF($E622="","", XLOOKUP(SUMIFS(Prod_Prop!$A:$A,Prod_Prop!$B:$B,$E622,Prod_Prop!$H:$H,L$1,Prod_Prop!$I:$I,"Exacto"),Prod_Prop!$A:$A,Prod_Prop!$J:$J,"",0,1))</f>
        <v/>
      </c>
      <c r="M622" s="4" t="str">
        <f t="array" ref="M622">IF($E622="","", XLOOKUP(SUMIFS(Prod_Prop!$A:$A,Prod_Prop!$B:$B,$E622,Prod_Prop!$H:$H,M$1,Prod_Prop!$I:$I,"Exacto"),Prod_Prop!$A:$A,Prod_Prop!$J:$J,"",0,1))</f>
        <v/>
      </c>
      <c r="N622" s="4" t="str">
        <f t="array" ref="N622">IF($E622="","", XLOOKUP(SUMIFS(Prod_Prop!$A:$A,Prod_Prop!$B:$B,$E622,Prod_Prop!$H:$H,N$1,Prod_Prop!$I:$I,"Exacto"),Prod_Prop!$A:$A,Prod_Prop!$J:$J,"",0,1))</f>
        <v/>
      </c>
      <c r="O622" s="4" t="str">
        <f t="array" ref="O622">IF($E622="","", XLOOKUP(SUMIFS(Prod_Prop!$A:$A,Prod_Prop!$B:$B,$E622,Prod_Prop!$H:$H,O$1,Prod_Prop!$I:$I,"Exacto"),Prod_Prop!$A:$A,Prod_Prop!$J:$J,"",0,1))</f>
        <v/>
      </c>
      <c r="P622" s="4" t="str">
        <f t="array" ref="P622">IF($E622="","", XLOOKUP(SUMIFS(Prod_Prop!$A:$A,Prod_Prop!$B:$B,$E622,Prod_Prop!$H:$H,P$1,Prod_Prop!$I:$I,"Exacto"),Prod_Prop!$A:$A,Prod_Prop!$J:$J,"",0,1))</f>
        <v/>
      </c>
      <c r="Q622" s="4" t="str">
        <f t="array" ref="Q622">IF($E622="","", XLOOKUP(SUMIFS(Prod_Prop!$A:$A,Prod_Prop!$B:$B,$E622,Prod_Prop!$H:$H,Q$1,Prod_Prop!$I:$I,"Exacto"),Prod_Prop!$A:$A,Prod_Prop!$J:$J,"",0,1))</f>
        <v/>
      </c>
      <c r="R622" s="4" t="str">
        <f t="array" ref="R622">IF($E622="","", XLOOKUP(SUMIFS(Prod_Prop!$A:$A,Prod_Prop!$B:$B,$E622,Prod_Prop!$H:$H,R$1,Prod_Prop!$I:$I,"Exacto"),Prod_Prop!$A:$A,Prod_Prop!$J:$J,"",0,1))</f>
        <v/>
      </c>
      <c r="S622" s="4" t="str">
        <f t="array" ref="S622">IF($E622="","", XLOOKUP(SUMIFS(Prod_Prop!$A:$A,Prod_Prop!$B:$B,$E622,Prod_Prop!$H:$H,S$1,Prod_Prop!$I:$I,"Exacto"),Prod_Prop!$A:$A,Prod_Prop!$J:$J,"",0,1))</f>
        <v/>
      </c>
      <c r="T622" s="4" t="str">
        <f t="array" ref="T622">IF($E622="","", XLOOKUP(SUMIFS(Prod_Prop!$A:$A,Prod_Prop!$B:$B,$E622,Prod_Prop!$H:$H,T$1,Prod_Prop!$I:$I,"Exacto"),Prod_Prop!$A:$A,Prod_Prop!$J:$J,"",0,1))</f>
        <v/>
      </c>
      <c r="U622" s="4" t="str">
        <f t="array" ref="U622">IF($E622="","", XLOOKUP(SUMIFS(Prod_Prop!$A:$A,Prod_Prop!$B:$B,$E622,Prod_Prop!$H:$H,U$1,Prod_Prop!$I:$I,"Exacto"),Prod_Prop!$A:$A,Prod_Prop!$J:$J,"",0,1))</f>
        <v/>
      </c>
      <c r="V622" s="4" t="str">
        <f t="array" ref="V622">IF($E622="","", XLOOKUP(SUMIFS(Prod_Prop!$A:$A,Prod_Prop!$B:$B,$E622,Prod_Prop!$H:$H,V$1,Prod_Prop!$I:$I,"Exacto"),Prod_Prop!$A:$A,Prod_Prop!$J:$J,"",0,1))</f>
        <v/>
      </c>
      <c r="X622" s="3" t="str">
        <f>IFERROR(__xludf.DUMMYFUNCTION("IF(D622="""","""",IFERROR(TRANSPOSE(FILTER('Validaciones Cotizador'!U:U,'Validaciones Cotizador'!O:O=D622,'Validaciones Cotizador'!T:T=""x"")),""Finalizar""))"),"")</f>
        <v/>
      </c>
    </row>
    <row r="623">
      <c r="A623" s="2" t="str">
        <f t="array" ref="A623">IF(E623="","",XLOOKUP(D623,'Validaciones Cotizador'!C:C,'Validaciones Cotizador'!A:A,"",0,1))</f>
        <v/>
      </c>
      <c r="B623" s="2" t="str">
        <f t="array" ref="B623">IF(F623="","",XLOOKUP(F623,Productos!E:E,Productos!G:G,"",0,1))</f>
        <v/>
      </c>
      <c r="C623" s="2" t="str">
        <f>IF(A623="","",SUMIFS('Validaciones Cotizador'!B:B,'Validaciones Cotizador'!C:C,D623,'Validaciones Cotizador'!A:A,A623))</f>
        <v/>
      </c>
      <c r="D623" s="4" t="str">
        <f>IFERROR(__xludf.DUMMYFUNCTION("IF(OR(F622=""Finalizar"",F622="""",F622=""Selecciona..""),"""",IF(OR(F622=""-"",INDEX(filter(Familias!F:F,Familias!D:D=A622,Familias!E:E=C622),1)=""O""),D622+1,D622))"),"")</f>
        <v/>
      </c>
      <c r="E623" s="2" t="str">
        <f>IF(OR(F623="",F623="Selecciona.."),"",IF(D623="Implemento",SUMIF(Implementos!B:B,F623,Implementos!A:A),SUMIF(Productos!E:E,F623,Productos!A:A)))</f>
        <v/>
      </c>
      <c r="F623" s="2" t="str">
        <f t="shared" si="2"/>
        <v/>
      </c>
      <c r="G623" s="10" t="str">
        <f t="array" ref="G623">IF(OR(F623="",F623="-",F623="Selecciona..",F623="Finalizar"),"",IF(A623="Rodados",XLOOKUP(B623,'Validaciones Cotizador'!I:I,'Validaciones Cotizador'!J:J,0,0,1),1))</f>
        <v/>
      </c>
      <c r="H623" s="11" t="str">
        <f>IF(OR(F623="",F623="Selecciona.."),"",SUMIF(Precio_Productos!K:K,E623,Precio_Productos!J:J)*G623)</f>
        <v/>
      </c>
      <c r="I623" s="4" t="str">
        <f t="array" ref="I623">IF($E623="","", XLOOKUP(SUMIFS(Prod_Prop!$A:$A,Prod_Prop!$B:$B,$E623,Prod_Prop!$H:$H,I$1,Prod_Prop!$I:$I,"Exacto"),Prod_Prop!$A:$A,Prod_Prop!$J:$J,"",0,1))</f>
        <v/>
      </c>
      <c r="J623" s="4" t="str">
        <f t="array" ref="J623">IF($E623="","", XLOOKUP(SUMIFS(Prod_Prop!$A:$A,Prod_Prop!$B:$B,$E623,Prod_Prop!$H:$H,J$1,Prod_Prop!$I:$I,"Exacto"),Prod_Prop!$A:$A,Prod_Prop!$J:$J,"",0,1))</f>
        <v/>
      </c>
      <c r="K623" s="4" t="str">
        <f t="array" ref="K623">IF($E623="","", XLOOKUP(SUMIFS(Prod_Prop!$A:$A,Prod_Prop!$B:$B,$E623,Prod_Prop!$H:$H,K$1,Prod_Prop!$I:$I,"Exacto"),Prod_Prop!$A:$A,Prod_Prop!$J:$J,"",0,1))</f>
        <v/>
      </c>
      <c r="L623" s="4" t="str">
        <f t="array" ref="L623">IF($E623="","", XLOOKUP(SUMIFS(Prod_Prop!$A:$A,Prod_Prop!$B:$B,$E623,Prod_Prop!$H:$H,L$1,Prod_Prop!$I:$I,"Exacto"),Prod_Prop!$A:$A,Prod_Prop!$J:$J,"",0,1))</f>
        <v/>
      </c>
      <c r="M623" s="4" t="str">
        <f t="array" ref="M623">IF($E623="","", XLOOKUP(SUMIFS(Prod_Prop!$A:$A,Prod_Prop!$B:$B,$E623,Prod_Prop!$H:$H,M$1,Prod_Prop!$I:$I,"Exacto"),Prod_Prop!$A:$A,Prod_Prop!$J:$J,"",0,1))</f>
        <v/>
      </c>
      <c r="N623" s="4" t="str">
        <f t="array" ref="N623">IF($E623="","", XLOOKUP(SUMIFS(Prod_Prop!$A:$A,Prod_Prop!$B:$B,$E623,Prod_Prop!$H:$H,N$1,Prod_Prop!$I:$I,"Exacto"),Prod_Prop!$A:$A,Prod_Prop!$J:$J,"",0,1))</f>
        <v/>
      </c>
      <c r="O623" s="4" t="str">
        <f t="array" ref="O623">IF($E623="","", XLOOKUP(SUMIFS(Prod_Prop!$A:$A,Prod_Prop!$B:$B,$E623,Prod_Prop!$H:$H,O$1,Prod_Prop!$I:$I,"Exacto"),Prod_Prop!$A:$A,Prod_Prop!$J:$J,"",0,1))</f>
        <v/>
      </c>
      <c r="P623" s="4" t="str">
        <f t="array" ref="P623">IF($E623="","", XLOOKUP(SUMIFS(Prod_Prop!$A:$A,Prod_Prop!$B:$B,$E623,Prod_Prop!$H:$H,P$1,Prod_Prop!$I:$I,"Exacto"),Prod_Prop!$A:$A,Prod_Prop!$J:$J,"",0,1))</f>
        <v/>
      </c>
      <c r="Q623" s="4" t="str">
        <f t="array" ref="Q623">IF($E623="","", XLOOKUP(SUMIFS(Prod_Prop!$A:$A,Prod_Prop!$B:$B,$E623,Prod_Prop!$H:$H,Q$1,Prod_Prop!$I:$I,"Exacto"),Prod_Prop!$A:$A,Prod_Prop!$J:$J,"",0,1))</f>
        <v/>
      </c>
      <c r="R623" s="4" t="str">
        <f t="array" ref="R623">IF($E623="","", XLOOKUP(SUMIFS(Prod_Prop!$A:$A,Prod_Prop!$B:$B,$E623,Prod_Prop!$H:$H,R$1,Prod_Prop!$I:$I,"Exacto"),Prod_Prop!$A:$A,Prod_Prop!$J:$J,"",0,1))</f>
        <v/>
      </c>
      <c r="S623" s="4" t="str">
        <f t="array" ref="S623">IF($E623="","", XLOOKUP(SUMIFS(Prod_Prop!$A:$A,Prod_Prop!$B:$B,$E623,Prod_Prop!$H:$H,S$1,Prod_Prop!$I:$I,"Exacto"),Prod_Prop!$A:$A,Prod_Prop!$J:$J,"",0,1))</f>
        <v/>
      </c>
      <c r="T623" s="4" t="str">
        <f t="array" ref="T623">IF($E623="","", XLOOKUP(SUMIFS(Prod_Prop!$A:$A,Prod_Prop!$B:$B,$E623,Prod_Prop!$H:$H,T$1,Prod_Prop!$I:$I,"Exacto"),Prod_Prop!$A:$A,Prod_Prop!$J:$J,"",0,1))</f>
        <v/>
      </c>
      <c r="U623" s="4" t="str">
        <f t="array" ref="U623">IF($E623="","", XLOOKUP(SUMIFS(Prod_Prop!$A:$A,Prod_Prop!$B:$B,$E623,Prod_Prop!$H:$H,U$1,Prod_Prop!$I:$I,"Exacto"),Prod_Prop!$A:$A,Prod_Prop!$J:$J,"",0,1))</f>
        <v/>
      </c>
      <c r="V623" s="4" t="str">
        <f t="array" ref="V623">IF($E623="","", XLOOKUP(SUMIFS(Prod_Prop!$A:$A,Prod_Prop!$B:$B,$E623,Prod_Prop!$H:$H,V$1,Prod_Prop!$I:$I,"Exacto"),Prod_Prop!$A:$A,Prod_Prop!$J:$J,"",0,1))</f>
        <v/>
      </c>
      <c r="X623" s="3" t="str">
        <f>IFERROR(__xludf.DUMMYFUNCTION("IF(D623="""","""",IFERROR(TRANSPOSE(FILTER('Validaciones Cotizador'!U:U,'Validaciones Cotizador'!O:O=D623,'Validaciones Cotizador'!T:T=""x"")),""Finalizar""))"),"")</f>
        <v/>
      </c>
    </row>
    <row r="624">
      <c r="A624" s="2" t="str">
        <f t="array" ref="A624">IF(E624="","",XLOOKUP(D624,'Validaciones Cotizador'!C:C,'Validaciones Cotizador'!A:A,"",0,1))</f>
        <v/>
      </c>
      <c r="B624" s="2" t="str">
        <f t="array" ref="B624">IF(F624="","",XLOOKUP(F624,Productos!E:E,Productos!G:G,"",0,1))</f>
        <v/>
      </c>
      <c r="C624" s="2" t="str">
        <f>IF(A624="","",SUMIFS('Validaciones Cotizador'!B:B,'Validaciones Cotizador'!C:C,D624,'Validaciones Cotizador'!A:A,A624))</f>
        <v/>
      </c>
      <c r="D624" s="4" t="str">
        <f>IFERROR(__xludf.DUMMYFUNCTION("IF(OR(F623=""Finalizar"",F623="""",F623=""Selecciona..""),"""",IF(OR(F623=""-"",INDEX(filter(Familias!F:F,Familias!D:D=A623,Familias!E:E=C623),1)=""O""),D623+1,D623))"),"")</f>
        <v/>
      </c>
      <c r="E624" s="2" t="str">
        <f>IF(OR(F624="",F624="Selecciona.."),"",IF(D624="Implemento",SUMIF(Implementos!B:B,F624,Implementos!A:A),SUMIF(Productos!E:E,F624,Productos!A:A)))</f>
        <v/>
      </c>
      <c r="F624" s="2" t="str">
        <f t="shared" si="2"/>
        <v/>
      </c>
      <c r="G624" s="10" t="str">
        <f t="array" ref="G624">IF(OR(F624="",F624="-",F624="Selecciona..",F624="Finalizar"),"",IF(A624="Rodados",XLOOKUP(B624,'Validaciones Cotizador'!I:I,'Validaciones Cotizador'!J:J,0,0,1),1))</f>
        <v/>
      </c>
      <c r="H624" s="11" t="str">
        <f>IF(OR(F624="",F624="Selecciona.."),"",SUMIF(Precio_Productos!K:K,E624,Precio_Productos!J:J)*G624)</f>
        <v/>
      </c>
      <c r="I624" s="4" t="str">
        <f t="array" ref="I624">IF($E624="","", XLOOKUP(SUMIFS(Prod_Prop!$A:$A,Prod_Prop!$B:$B,$E624,Prod_Prop!$H:$H,I$1,Prod_Prop!$I:$I,"Exacto"),Prod_Prop!$A:$A,Prod_Prop!$J:$J,"",0,1))</f>
        <v/>
      </c>
      <c r="J624" s="4" t="str">
        <f t="array" ref="J624">IF($E624="","", XLOOKUP(SUMIFS(Prod_Prop!$A:$A,Prod_Prop!$B:$B,$E624,Prod_Prop!$H:$H,J$1,Prod_Prop!$I:$I,"Exacto"),Prod_Prop!$A:$A,Prod_Prop!$J:$J,"",0,1))</f>
        <v/>
      </c>
      <c r="K624" s="4" t="str">
        <f t="array" ref="K624">IF($E624="","", XLOOKUP(SUMIFS(Prod_Prop!$A:$A,Prod_Prop!$B:$B,$E624,Prod_Prop!$H:$H,K$1,Prod_Prop!$I:$I,"Exacto"),Prod_Prop!$A:$A,Prod_Prop!$J:$J,"",0,1))</f>
        <v/>
      </c>
      <c r="L624" s="4" t="str">
        <f t="array" ref="L624">IF($E624="","", XLOOKUP(SUMIFS(Prod_Prop!$A:$A,Prod_Prop!$B:$B,$E624,Prod_Prop!$H:$H,L$1,Prod_Prop!$I:$I,"Exacto"),Prod_Prop!$A:$A,Prod_Prop!$J:$J,"",0,1))</f>
        <v/>
      </c>
      <c r="M624" s="4" t="str">
        <f t="array" ref="M624">IF($E624="","", XLOOKUP(SUMIFS(Prod_Prop!$A:$A,Prod_Prop!$B:$B,$E624,Prod_Prop!$H:$H,M$1,Prod_Prop!$I:$I,"Exacto"),Prod_Prop!$A:$A,Prod_Prop!$J:$J,"",0,1))</f>
        <v/>
      </c>
      <c r="N624" s="4" t="str">
        <f t="array" ref="N624">IF($E624="","", XLOOKUP(SUMIFS(Prod_Prop!$A:$A,Prod_Prop!$B:$B,$E624,Prod_Prop!$H:$H,N$1,Prod_Prop!$I:$I,"Exacto"),Prod_Prop!$A:$A,Prod_Prop!$J:$J,"",0,1))</f>
        <v/>
      </c>
      <c r="O624" s="4" t="str">
        <f t="array" ref="O624">IF($E624="","", XLOOKUP(SUMIFS(Prod_Prop!$A:$A,Prod_Prop!$B:$B,$E624,Prod_Prop!$H:$H,O$1,Prod_Prop!$I:$I,"Exacto"),Prod_Prop!$A:$A,Prod_Prop!$J:$J,"",0,1))</f>
        <v/>
      </c>
      <c r="P624" s="4" t="str">
        <f t="array" ref="P624">IF($E624="","", XLOOKUP(SUMIFS(Prod_Prop!$A:$A,Prod_Prop!$B:$B,$E624,Prod_Prop!$H:$H,P$1,Prod_Prop!$I:$I,"Exacto"),Prod_Prop!$A:$A,Prod_Prop!$J:$J,"",0,1))</f>
        <v/>
      </c>
      <c r="Q624" s="4" t="str">
        <f t="array" ref="Q624">IF($E624="","", XLOOKUP(SUMIFS(Prod_Prop!$A:$A,Prod_Prop!$B:$B,$E624,Prod_Prop!$H:$H,Q$1,Prod_Prop!$I:$I,"Exacto"),Prod_Prop!$A:$A,Prod_Prop!$J:$J,"",0,1))</f>
        <v/>
      </c>
      <c r="R624" s="4" t="str">
        <f t="array" ref="R624">IF($E624="","", XLOOKUP(SUMIFS(Prod_Prop!$A:$A,Prod_Prop!$B:$B,$E624,Prod_Prop!$H:$H,R$1,Prod_Prop!$I:$I,"Exacto"),Prod_Prop!$A:$A,Prod_Prop!$J:$J,"",0,1))</f>
        <v/>
      </c>
      <c r="S624" s="4" t="str">
        <f t="array" ref="S624">IF($E624="","", XLOOKUP(SUMIFS(Prod_Prop!$A:$A,Prod_Prop!$B:$B,$E624,Prod_Prop!$H:$H,S$1,Prod_Prop!$I:$I,"Exacto"),Prod_Prop!$A:$A,Prod_Prop!$J:$J,"",0,1))</f>
        <v/>
      </c>
      <c r="T624" s="4" t="str">
        <f t="array" ref="T624">IF($E624="","", XLOOKUP(SUMIFS(Prod_Prop!$A:$A,Prod_Prop!$B:$B,$E624,Prod_Prop!$H:$H,T$1,Prod_Prop!$I:$I,"Exacto"),Prod_Prop!$A:$A,Prod_Prop!$J:$J,"",0,1))</f>
        <v/>
      </c>
      <c r="U624" s="4" t="str">
        <f t="array" ref="U624">IF($E624="","", XLOOKUP(SUMIFS(Prod_Prop!$A:$A,Prod_Prop!$B:$B,$E624,Prod_Prop!$H:$H,U$1,Prod_Prop!$I:$I,"Exacto"),Prod_Prop!$A:$A,Prod_Prop!$J:$J,"",0,1))</f>
        <v/>
      </c>
      <c r="V624" s="4" t="str">
        <f t="array" ref="V624">IF($E624="","", XLOOKUP(SUMIFS(Prod_Prop!$A:$A,Prod_Prop!$B:$B,$E624,Prod_Prop!$H:$H,V$1,Prod_Prop!$I:$I,"Exacto"),Prod_Prop!$A:$A,Prod_Prop!$J:$J,"",0,1))</f>
        <v/>
      </c>
      <c r="X624" s="3" t="str">
        <f>IFERROR(__xludf.DUMMYFUNCTION("IF(D624="""","""",IFERROR(TRANSPOSE(FILTER('Validaciones Cotizador'!U:U,'Validaciones Cotizador'!O:O=D624,'Validaciones Cotizador'!T:T=""x"")),""Finalizar""))"),"")</f>
        <v/>
      </c>
    </row>
    <row r="625">
      <c r="A625" s="2" t="str">
        <f t="array" ref="A625">IF(E625="","",XLOOKUP(D625,'Validaciones Cotizador'!C:C,'Validaciones Cotizador'!A:A,"",0,1))</f>
        <v/>
      </c>
      <c r="B625" s="2" t="str">
        <f t="array" ref="B625">IF(F625="","",XLOOKUP(F625,Productos!E:E,Productos!G:G,"",0,1))</f>
        <v/>
      </c>
      <c r="C625" s="2" t="str">
        <f>IF(A625="","",SUMIFS('Validaciones Cotizador'!B:B,'Validaciones Cotizador'!C:C,D625,'Validaciones Cotizador'!A:A,A625))</f>
        <v/>
      </c>
      <c r="D625" s="4" t="str">
        <f>IFERROR(__xludf.DUMMYFUNCTION("IF(OR(F624=""Finalizar"",F624="""",F624=""Selecciona..""),"""",IF(OR(F624=""-"",INDEX(filter(Familias!F:F,Familias!D:D=A624,Familias!E:E=C624),1)=""O""),D624+1,D624))"),"")</f>
        <v/>
      </c>
      <c r="E625" s="2" t="str">
        <f>IF(OR(F625="",F625="Selecciona.."),"",IF(D625="Implemento",SUMIF(Implementos!B:B,F625,Implementos!A:A),SUMIF(Productos!E:E,F625,Productos!A:A)))</f>
        <v/>
      </c>
      <c r="F625" s="2" t="str">
        <f t="shared" si="2"/>
        <v/>
      </c>
      <c r="G625" s="10" t="str">
        <f t="array" ref="G625">IF(OR(F625="",F625="-",F625="Selecciona..",F625="Finalizar"),"",IF(A625="Rodados",XLOOKUP(B625,'Validaciones Cotizador'!I:I,'Validaciones Cotizador'!J:J,0,0,1),1))</f>
        <v/>
      </c>
      <c r="H625" s="11" t="str">
        <f>IF(OR(F625="",F625="Selecciona.."),"",SUMIF(Precio_Productos!K:K,E625,Precio_Productos!J:J)*G625)</f>
        <v/>
      </c>
      <c r="I625" s="4" t="str">
        <f t="array" ref="I625">IF($E625="","", XLOOKUP(SUMIFS(Prod_Prop!$A:$A,Prod_Prop!$B:$B,$E625,Prod_Prop!$H:$H,I$1,Prod_Prop!$I:$I,"Exacto"),Prod_Prop!$A:$A,Prod_Prop!$J:$J,"",0,1))</f>
        <v/>
      </c>
      <c r="J625" s="4" t="str">
        <f t="array" ref="J625">IF($E625="","", XLOOKUP(SUMIFS(Prod_Prop!$A:$A,Prod_Prop!$B:$B,$E625,Prod_Prop!$H:$H,J$1,Prod_Prop!$I:$I,"Exacto"),Prod_Prop!$A:$A,Prod_Prop!$J:$J,"",0,1))</f>
        <v/>
      </c>
      <c r="K625" s="4" t="str">
        <f t="array" ref="K625">IF($E625="","", XLOOKUP(SUMIFS(Prod_Prop!$A:$A,Prod_Prop!$B:$B,$E625,Prod_Prop!$H:$H,K$1,Prod_Prop!$I:$I,"Exacto"),Prod_Prop!$A:$A,Prod_Prop!$J:$J,"",0,1))</f>
        <v/>
      </c>
      <c r="L625" s="4" t="str">
        <f t="array" ref="L625">IF($E625="","", XLOOKUP(SUMIFS(Prod_Prop!$A:$A,Prod_Prop!$B:$B,$E625,Prod_Prop!$H:$H,L$1,Prod_Prop!$I:$I,"Exacto"),Prod_Prop!$A:$A,Prod_Prop!$J:$J,"",0,1))</f>
        <v/>
      </c>
      <c r="M625" s="4" t="str">
        <f t="array" ref="M625">IF($E625="","", XLOOKUP(SUMIFS(Prod_Prop!$A:$A,Prod_Prop!$B:$B,$E625,Prod_Prop!$H:$H,M$1,Prod_Prop!$I:$I,"Exacto"),Prod_Prop!$A:$A,Prod_Prop!$J:$J,"",0,1))</f>
        <v/>
      </c>
      <c r="N625" s="4" t="str">
        <f t="array" ref="N625">IF($E625="","", XLOOKUP(SUMIFS(Prod_Prop!$A:$A,Prod_Prop!$B:$B,$E625,Prod_Prop!$H:$H,N$1,Prod_Prop!$I:$I,"Exacto"),Prod_Prop!$A:$A,Prod_Prop!$J:$J,"",0,1))</f>
        <v/>
      </c>
      <c r="O625" s="4" t="str">
        <f t="array" ref="O625">IF($E625="","", XLOOKUP(SUMIFS(Prod_Prop!$A:$A,Prod_Prop!$B:$B,$E625,Prod_Prop!$H:$H,O$1,Prod_Prop!$I:$I,"Exacto"),Prod_Prop!$A:$A,Prod_Prop!$J:$J,"",0,1))</f>
        <v/>
      </c>
      <c r="P625" s="4" t="str">
        <f t="array" ref="P625">IF($E625="","", XLOOKUP(SUMIFS(Prod_Prop!$A:$A,Prod_Prop!$B:$B,$E625,Prod_Prop!$H:$H,P$1,Prod_Prop!$I:$I,"Exacto"),Prod_Prop!$A:$A,Prod_Prop!$J:$J,"",0,1))</f>
        <v/>
      </c>
      <c r="Q625" s="4" t="str">
        <f t="array" ref="Q625">IF($E625="","", XLOOKUP(SUMIFS(Prod_Prop!$A:$A,Prod_Prop!$B:$B,$E625,Prod_Prop!$H:$H,Q$1,Prod_Prop!$I:$I,"Exacto"),Prod_Prop!$A:$A,Prod_Prop!$J:$J,"",0,1))</f>
        <v/>
      </c>
      <c r="R625" s="4" t="str">
        <f t="array" ref="R625">IF($E625="","", XLOOKUP(SUMIFS(Prod_Prop!$A:$A,Prod_Prop!$B:$B,$E625,Prod_Prop!$H:$H,R$1,Prod_Prop!$I:$I,"Exacto"),Prod_Prop!$A:$A,Prod_Prop!$J:$J,"",0,1))</f>
        <v/>
      </c>
      <c r="S625" s="4" t="str">
        <f t="array" ref="S625">IF($E625="","", XLOOKUP(SUMIFS(Prod_Prop!$A:$A,Prod_Prop!$B:$B,$E625,Prod_Prop!$H:$H,S$1,Prod_Prop!$I:$I,"Exacto"),Prod_Prop!$A:$A,Prod_Prop!$J:$J,"",0,1))</f>
        <v/>
      </c>
      <c r="T625" s="4" t="str">
        <f t="array" ref="T625">IF($E625="","", XLOOKUP(SUMIFS(Prod_Prop!$A:$A,Prod_Prop!$B:$B,$E625,Prod_Prop!$H:$H,T$1,Prod_Prop!$I:$I,"Exacto"),Prod_Prop!$A:$A,Prod_Prop!$J:$J,"",0,1))</f>
        <v/>
      </c>
      <c r="U625" s="4" t="str">
        <f t="array" ref="U625">IF($E625="","", XLOOKUP(SUMIFS(Prod_Prop!$A:$A,Prod_Prop!$B:$B,$E625,Prod_Prop!$H:$H,U$1,Prod_Prop!$I:$I,"Exacto"),Prod_Prop!$A:$A,Prod_Prop!$J:$J,"",0,1))</f>
        <v/>
      </c>
      <c r="V625" s="4" t="str">
        <f t="array" ref="V625">IF($E625="","", XLOOKUP(SUMIFS(Prod_Prop!$A:$A,Prod_Prop!$B:$B,$E625,Prod_Prop!$H:$H,V$1,Prod_Prop!$I:$I,"Exacto"),Prod_Prop!$A:$A,Prod_Prop!$J:$J,"",0,1))</f>
        <v/>
      </c>
      <c r="X625" s="3" t="str">
        <f>IFERROR(__xludf.DUMMYFUNCTION("IF(D625="""","""",IFERROR(TRANSPOSE(FILTER('Validaciones Cotizador'!U:U,'Validaciones Cotizador'!O:O=D625,'Validaciones Cotizador'!T:T=""x"")),""Finalizar""))"),"")</f>
        <v/>
      </c>
    </row>
    <row r="626">
      <c r="A626" s="2" t="str">
        <f t="array" ref="A626">IF(E626="","",XLOOKUP(D626,'Validaciones Cotizador'!C:C,'Validaciones Cotizador'!A:A,"",0,1))</f>
        <v/>
      </c>
      <c r="B626" s="2" t="str">
        <f t="array" ref="B626">IF(F626="","",XLOOKUP(F626,Productos!E:E,Productos!G:G,"",0,1))</f>
        <v/>
      </c>
      <c r="C626" s="2" t="str">
        <f>IF(A626="","",SUMIFS('Validaciones Cotizador'!B:B,'Validaciones Cotizador'!C:C,D626,'Validaciones Cotizador'!A:A,A626))</f>
        <v/>
      </c>
      <c r="D626" s="4" t="str">
        <f>IFERROR(__xludf.DUMMYFUNCTION("IF(OR(F625=""Finalizar"",F625="""",F625=""Selecciona..""),"""",IF(OR(F625=""-"",INDEX(filter(Familias!F:F,Familias!D:D=A625,Familias!E:E=C625),1)=""O""),D625+1,D625))"),"")</f>
        <v/>
      </c>
      <c r="E626" s="2" t="str">
        <f>IF(OR(F626="",F626="Selecciona.."),"",IF(D626="Implemento",SUMIF(Implementos!B:B,F626,Implementos!A:A),SUMIF(Productos!E:E,F626,Productos!A:A)))</f>
        <v/>
      </c>
      <c r="F626" s="2" t="str">
        <f t="shared" si="2"/>
        <v/>
      </c>
      <c r="G626" s="10" t="str">
        <f t="array" ref="G626">IF(OR(F626="",F626="-",F626="Selecciona..",F626="Finalizar"),"",IF(A626="Rodados",XLOOKUP(B626,'Validaciones Cotizador'!I:I,'Validaciones Cotizador'!J:J,0,0,1),1))</f>
        <v/>
      </c>
      <c r="H626" s="11" t="str">
        <f>IF(OR(F626="",F626="Selecciona.."),"",SUMIF(Precio_Productos!K:K,E626,Precio_Productos!J:J)*G626)</f>
        <v/>
      </c>
      <c r="I626" s="4" t="str">
        <f t="array" ref="I626">IF($E626="","", XLOOKUP(SUMIFS(Prod_Prop!$A:$A,Prod_Prop!$B:$B,$E626,Prod_Prop!$H:$H,I$1,Prod_Prop!$I:$I,"Exacto"),Prod_Prop!$A:$A,Prod_Prop!$J:$J,"",0,1))</f>
        <v/>
      </c>
      <c r="J626" s="4" t="str">
        <f t="array" ref="J626">IF($E626="","", XLOOKUP(SUMIFS(Prod_Prop!$A:$A,Prod_Prop!$B:$B,$E626,Prod_Prop!$H:$H,J$1,Prod_Prop!$I:$I,"Exacto"),Prod_Prop!$A:$A,Prod_Prop!$J:$J,"",0,1))</f>
        <v/>
      </c>
      <c r="K626" s="4" t="str">
        <f t="array" ref="K626">IF($E626="","", XLOOKUP(SUMIFS(Prod_Prop!$A:$A,Prod_Prop!$B:$B,$E626,Prod_Prop!$H:$H,K$1,Prod_Prop!$I:$I,"Exacto"),Prod_Prop!$A:$A,Prod_Prop!$J:$J,"",0,1))</f>
        <v/>
      </c>
      <c r="L626" s="4" t="str">
        <f t="array" ref="L626">IF($E626="","", XLOOKUP(SUMIFS(Prod_Prop!$A:$A,Prod_Prop!$B:$B,$E626,Prod_Prop!$H:$H,L$1,Prod_Prop!$I:$I,"Exacto"),Prod_Prop!$A:$A,Prod_Prop!$J:$J,"",0,1))</f>
        <v/>
      </c>
      <c r="M626" s="4" t="str">
        <f t="array" ref="M626">IF($E626="","", XLOOKUP(SUMIFS(Prod_Prop!$A:$A,Prod_Prop!$B:$B,$E626,Prod_Prop!$H:$H,M$1,Prod_Prop!$I:$I,"Exacto"),Prod_Prop!$A:$A,Prod_Prop!$J:$J,"",0,1))</f>
        <v/>
      </c>
      <c r="N626" s="4" t="str">
        <f t="array" ref="N626">IF($E626="","", XLOOKUP(SUMIFS(Prod_Prop!$A:$A,Prod_Prop!$B:$B,$E626,Prod_Prop!$H:$H,N$1,Prod_Prop!$I:$I,"Exacto"),Prod_Prop!$A:$A,Prod_Prop!$J:$J,"",0,1))</f>
        <v/>
      </c>
      <c r="O626" s="4" t="str">
        <f t="array" ref="O626">IF($E626="","", XLOOKUP(SUMIFS(Prod_Prop!$A:$A,Prod_Prop!$B:$B,$E626,Prod_Prop!$H:$H,O$1,Prod_Prop!$I:$I,"Exacto"),Prod_Prop!$A:$A,Prod_Prop!$J:$J,"",0,1))</f>
        <v/>
      </c>
      <c r="P626" s="4" t="str">
        <f t="array" ref="P626">IF($E626="","", XLOOKUP(SUMIFS(Prod_Prop!$A:$A,Prod_Prop!$B:$B,$E626,Prod_Prop!$H:$H,P$1,Prod_Prop!$I:$I,"Exacto"),Prod_Prop!$A:$A,Prod_Prop!$J:$J,"",0,1))</f>
        <v/>
      </c>
      <c r="Q626" s="4" t="str">
        <f t="array" ref="Q626">IF($E626="","", XLOOKUP(SUMIFS(Prod_Prop!$A:$A,Prod_Prop!$B:$B,$E626,Prod_Prop!$H:$H,Q$1,Prod_Prop!$I:$I,"Exacto"),Prod_Prop!$A:$A,Prod_Prop!$J:$J,"",0,1))</f>
        <v/>
      </c>
      <c r="R626" s="4" t="str">
        <f t="array" ref="R626">IF($E626="","", XLOOKUP(SUMIFS(Prod_Prop!$A:$A,Prod_Prop!$B:$B,$E626,Prod_Prop!$H:$H,R$1,Prod_Prop!$I:$I,"Exacto"),Prod_Prop!$A:$A,Prod_Prop!$J:$J,"",0,1))</f>
        <v/>
      </c>
      <c r="S626" s="4" t="str">
        <f t="array" ref="S626">IF($E626="","", XLOOKUP(SUMIFS(Prod_Prop!$A:$A,Prod_Prop!$B:$B,$E626,Prod_Prop!$H:$H,S$1,Prod_Prop!$I:$I,"Exacto"),Prod_Prop!$A:$A,Prod_Prop!$J:$J,"",0,1))</f>
        <v/>
      </c>
      <c r="T626" s="4" t="str">
        <f t="array" ref="T626">IF($E626="","", XLOOKUP(SUMIFS(Prod_Prop!$A:$A,Prod_Prop!$B:$B,$E626,Prod_Prop!$H:$H,T$1,Prod_Prop!$I:$I,"Exacto"),Prod_Prop!$A:$A,Prod_Prop!$J:$J,"",0,1))</f>
        <v/>
      </c>
      <c r="U626" s="4" t="str">
        <f t="array" ref="U626">IF($E626="","", XLOOKUP(SUMIFS(Prod_Prop!$A:$A,Prod_Prop!$B:$B,$E626,Prod_Prop!$H:$H,U$1,Prod_Prop!$I:$I,"Exacto"),Prod_Prop!$A:$A,Prod_Prop!$J:$J,"",0,1))</f>
        <v/>
      </c>
      <c r="V626" s="4" t="str">
        <f t="array" ref="V626">IF($E626="","", XLOOKUP(SUMIFS(Prod_Prop!$A:$A,Prod_Prop!$B:$B,$E626,Prod_Prop!$H:$H,V$1,Prod_Prop!$I:$I,"Exacto"),Prod_Prop!$A:$A,Prod_Prop!$J:$J,"",0,1))</f>
        <v/>
      </c>
      <c r="X626" s="3" t="str">
        <f>IFERROR(__xludf.DUMMYFUNCTION("IF(D626="""","""",IFERROR(TRANSPOSE(FILTER('Validaciones Cotizador'!U:U,'Validaciones Cotizador'!O:O=D626,'Validaciones Cotizador'!T:T=""x"")),""Finalizar""))"),"")</f>
        <v/>
      </c>
    </row>
    <row r="627">
      <c r="A627" s="2" t="str">
        <f t="array" ref="A627">IF(E627="","",XLOOKUP(D627,'Validaciones Cotizador'!C:C,'Validaciones Cotizador'!A:A,"",0,1))</f>
        <v/>
      </c>
      <c r="B627" s="2" t="str">
        <f t="array" ref="B627">IF(F627="","",XLOOKUP(F627,Productos!E:E,Productos!G:G,"",0,1))</f>
        <v/>
      </c>
      <c r="C627" s="2" t="str">
        <f>IF(A627="","",SUMIFS('Validaciones Cotizador'!B:B,'Validaciones Cotizador'!C:C,D627,'Validaciones Cotizador'!A:A,A627))</f>
        <v/>
      </c>
      <c r="D627" s="4" t="str">
        <f>IFERROR(__xludf.DUMMYFUNCTION("IF(OR(F626=""Finalizar"",F626="""",F626=""Selecciona..""),"""",IF(OR(F626=""-"",INDEX(filter(Familias!F:F,Familias!D:D=A626,Familias!E:E=C626),1)=""O""),D626+1,D626))"),"")</f>
        <v/>
      </c>
      <c r="E627" s="2" t="str">
        <f>IF(OR(F627="",F627="Selecciona.."),"",IF(D627="Implemento",SUMIF(Implementos!B:B,F627,Implementos!A:A),SUMIF(Productos!E:E,F627,Productos!A:A)))</f>
        <v/>
      </c>
      <c r="F627" s="2" t="str">
        <f t="shared" si="2"/>
        <v/>
      </c>
      <c r="G627" s="10" t="str">
        <f t="array" ref="G627">IF(OR(F627="",F627="-",F627="Selecciona..",F627="Finalizar"),"",IF(A627="Rodados",XLOOKUP(B627,'Validaciones Cotizador'!I:I,'Validaciones Cotizador'!J:J,0,0,1),1))</f>
        <v/>
      </c>
      <c r="H627" s="11" t="str">
        <f>IF(OR(F627="",F627="Selecciona.."),"",SUMIF(Precio_Productos!K:K,E627,Precio_Productos!J:J)*G627)</f>
        <v/>
      </c>
      <c r="I627" s="4" t="str">
        <f t="array" ref="I627">IF($E627="","", XLOOKUP(SUMIFS(Prod_Prop!$A:$A,Prod_Prop!$B:$B,$E627,Prod_Prop!$H:$H,I$1,Prod_Prop!$I:$I,"Exacto"),Prod_Prop!$A:$A,Prod_Prop!$J:$J,"",0,1))</f>
        <v/>
      </c>
      <c r="J627" s="4" t="str">
        <f t="array" ref="J627">IF($E627="","", XLOOKUP(SUMIFS(Prod_Prop!$A:$A,Prod_Prop!$B:$B,$E627,Prod_Prop!$H:$H,J$1,Prod_Prop!$I:$I,"Exacto"),Prod_Prop!$A:$A,Prod_Prop!$J:$J,"",0,1))</f>
        <v/>
      </c>
      <c r="K627" s="4" t="str">
        <f t="array" ref="K627">IF($E627="","", XLOOKUP(SUMIFS(Prod_Prop!$A:$A,Prod_Prop!$B:$B,$E627,Prod_Prop!$H:$H,K$1,Prod_Prop!$I:$I,"Exacto"),Prod_Prop!$A:$A,Prod_Prop!$J:$J,"",0,1))</f>
        <v/>
      </c>
      <c r="L627" s="4" t="str">
        <f t="array" ref="L627">IF($E627="","", XLOOKUP(SUMIFS(Prod_Prop!$A:$A,Prod_Prop!$B:$B,$E627,Prod_Prop!$H:$H,L$1,Prod_Prop!$I:$I,"Exacto"),Prod_Prop!$A:$A,Prod_Prop!$J:$J,"",0,1))</f>
        <v/>
      </c>
      <c r="M627" s="4" t="str">
        <f t="array" ref="M627">IF($E627="","", XLOOKUP(SUMIFS(Prod_Prop!$A:$A,Prod_Prop!$B:$B,$E627,Prod_Prop!$H:$H,M$1,Prod_Prop!$I:$I,"Exacto"),Prod_Prop!$A:$A,Prod_Prop!$J:$J,"",0,1))</f>
        <v/>
      </c>
      <c r="N627" s="4" t="str">
        <f t="array" ref="N627">IF($E627="","", XLOOKUP(SUMIFS(Prod_Prop!$A:$A,Prod_Prop!$B:$B,$E627,Prod_Prop!$H:$H,N$1,Prod_Prop!$I:$I,"Exacto"),Prod_Prop!$A:$A,Prod_Prop!$J:$J,"",0,1))</f>
        <v/>
      </c>
      <c r="O627" s="4" t="str">
        <f t="array" ref="O627">IF($E627="","", XLOOKUP(SUMIFS(Prod_Prop!$A:$A,Prod_Prop!$B:$B,$E627,Prod_Prop!$H:$H,O$1,Prod_Prop!$I:$I,"Exacto"),Prod_Prop!$A:$A,Prod_Prop!$J:$J,"",0,1))</f>
        <v/>
      </c>
      <c r="P627" s="4" t="str">
        <f t="array" ref="P627">IF($E627="","", XLOOKUP(SUMIFS(Prod_Prop!$A:$A,Prod_Prop!$B:$B,$E627,Prod_Prop!$H:$H,P$1,Prod_Prop!$I:$I,"Exacto"),Prod_Prop!$A:$A,Prod_Prop!$J:$J,"",0,1))</f>
        <v/>
      </c>
      <c r="Q627" s="4" t="str">
        <f t="array" ref="Q627">IF($E627="","", XLOOKUP(SUMIFS(Prod_Prop!$A:$A,Prod_Prop!$B:$B,$E627,Prod_Prop!$H:$H,Q$1,Prod_Prop!$I:$I,"Exacto"),Prod_Prop!$A:$A,Prod_Prop!$J:$J,"",0,1))</f>
        <v/>
      </c>
      <c r="R627" s="4" t="str">
        <f t="array" ref="R627">IF($E627="","", XLOOKUP(SUMIFS(Prod_Prop!$A:$A,Prod_Prop!$B:$B,$E627,Prod_Prop!$H:$H,R$1,Prod_Prop!$I:$I,"Exacto"),Prod_Prop!$A:$A,Prod_Prop!$J:$J,"",0,1))</f>
        <v/>
      </c>
      <c r="S627" s="4" t="str">
        <f t="array" ref="S627">IF($E627="","", XLOOKUP(SUMIFS(Prod_Prop!$A:$A,Prod_Prop!$B:$B,$E627,Prod_Prop!$H:$H,S$1,Prod_Prop!$I:$I,"Exacto"),Prod_Prop!$A:$A,Prod_Prop!$J:$J,"",0,1))</f>
        <v/>
      </c>
      <c r="T627" s="4" t="str">
        <f t="array" ref="T627">IF($E627="","", XLOOKUP(SUMIFS(Prod_Prop!$A:$A,Prod_Prop!$B:$B,$E627,Prod_Prop!$H:$H,T$1,Prod_Prop!$I:$I,"Exacto"),Prod_Prop!$A:$A,Prod_Prop!$J:$J,"",0,1))</f>
        <v/>
      </c>
      <c r="U627" s="4" t="str">
        <f t="array" ref="U627">IF($E627="","", XLOOKUP(SUMIFS(Prod_Prop!$A:$A,Prod_Prop!$B:$B,$E627,Prod_Prop!$H:$H,U$1,Prod_Prop!$I:$I,"Exacto"),Prod_Prop!$A:$A,Prod_Prop!$J:$J,"",0,1))</f>
        <v/>
      </c>
      <c r="V627" s="4" t="str">
        <f t="array" ref="V627">IF($E627="","", XLOOKUP(SUMIFS(Prod_Prop!$A:$A,Prod_Prop!$B:$B,$E627,Prod_Prop!$H:$H,V$1,Prod_Prop!$I:$I,"Exacto"),Prod_Prop!$A:$A,Prod_Prop!$J:$J,"",0,1))</f>
        <v/>
      </c>
      <c r="X627" s="3" t="str">
        <f>IFERROR(__xludf.DUMMYFUNCTION("IF(D627="""","""",IFERROR(TRANSPOSE(FILTER('Validaciones Cotizador'!U:U,'Validaciones Cotizador'!O:O=D627,'Validaciones Cotizador'!T:T=""x"")),""Finalizar""))"),"")</f>
        <v/>
      </c>
    </row>
    <row r="628">
      <c r="A628" s="2" t="str">
        <f t="array" ref="A628">IF(E628="","",XLOOKUP(D628,'Validaciones Cotizador'!C:C,'Validaciones Cotizador'!A:A,"",0,1))</f>
        <v/>
      </c>
      <c r="B628" s="2" t="str">
        <f t="array" ref="B628">IF(F628="","",XLOOKUP(F628,Productos!E:E,Productos!G:G,"",0,1))</f>
        <v/>
      </c>
      <c r="C628" s="2" t="str">
        <f>IF(A628="","",SUMIFS('Validaciones Cotizador'!B:B,'Validaciones Cotizador'!C:C,D628,'Validaciones Cotizador'!A:A,A628))</f>
        <v/>
      </c>
      <c r="D628" s="4" t="str">
        <f>IFERROR(__xludf.DUMMYFUNCTION("IF(OR(F627=""Finalizar"",F627="""",F627=""Selecciona..""),"""",IF(OR(F627=""-"",INDEX(filter(Familias!F:F,Familias!D:D=A627,Familias!E:E=C627),1)=""O""),D627+1,D627))"),"")</f>
        <v/>
      </c>
      <c r="E628" s="2" t="str">
        <f>IF(OR(F628="",F628="Selecciona.."),"",IF(D628="Implemento",SUMIF(Implementos!B:B,F628,Implementos!A:A),SUMIF(Productos!E:E,F628,Productos!A:A)))</f>
        <v/>
      </c>
      <c r="F628" s="2" t="str">
        <f t="shared" si="2"/>
        <v/>
      </c>
      <c r="G628" s="10" t="str">
        <f t="array" ref="G628">IF(OR(F628="",F628="-",F628="Selecciona..",F628="Finalizar"),"",IF(A628="Rodados",XLOOKUP(B628,'Validaciones Cotizador'!I:I,'Validaciones Cotizador'!J:J,0,0,1),1))</f>
        <v/>
      </c>
      <c r="H628" s="11" t="str">
        <f>IF(OR(F628="",F628="Selecciona.."),"",SUMIF(Precio_Productos!K:K,E628,Precio_Productos!J:J)*G628)</f>
        <v/>
      </c>
      <c r="I628" s="4" t="str">
        <f t="array" ref="I628">IF($E628="","", XLOOKUP(SUMIFS(Prod_Prop!$A:$A,Prod_Prop!$B:$B,$E628,Prod_Prop!$H:$H,I$1,Prod_Prop!$I:$I,"Exacto"),Prod_Prop!$A:$A,Prod_Prop!$J:$J,"",0,1))</f>
        <v/>
      </c>
      <c r="J628" s="4" t="str">
        <f t="array" ref="J628">IF($E628="","", XLOOKUP(SUMIFS(Prod_Prop!$A:$A,Prod_Prop!$B:$B,$E628,Prod_Prop!$H:$H,J$1,Prod_Prop!$I:$I,"Exacto"),Prod_Prop!$A:$A,Prod_Prop!$J:$J,"",0,1))</f>
        <v/>
      </c>
      <c r="K628" s="4" t="str">
        <f t="array" ref="K628">IF($E628="","", XLOOKUP(SUMIFS(Prod_Prop!$A:$A,Prod_Prop!$B:$B,$E628,Prod_Prop!$H:$H,K$1,Prod_Prop!$I:$I,"Exacto"),Prod_Prop!$A:$A,Prod_Prop!$J:$J,"",0,1))</f>
        <v/>
      </c>
      <c r="L628" s="4" t="str">
        <f t="array" ref="L628">IF($E628="","", XLOOKUP(SUMIFS(Prod_Prop!$A:$A,Prod_Prop!$B:$B,$E628,Prod_Prop!$H:$H,L$1,Prod_Prop!$I:$I,"Exacto"),Prod_Prop!$A:$A,Prod_Prop!$J:$J,"",0,1))</f>
        <v/>
      </c>
      <c r="M628" s="4" t="str">
        <f t="array" ref="M628">IF($E628="","", XLOOKUP(SUMIFS(Prod_Prop!$A:$A,Prod_Prop!$B:$B,$E628,Prod_Prop!$H:$H,M$1,Prod_Prop!$I:$I,"Exacto"),Prod_Prop!$A:$A,Prod_Prop!$J:$J,"",0,1))</f>
        <v/>
      </c>
      <c r="N628" s="4" t="str">
        <f t="array" ref="N628">IF($E628="","", XLOOKUP(SUMIFS(Prod_Prop!$A:$A,Prod_Prop!$B:$B,$E628,Prod_Prop!$H:$H,N$1,Prod_Prop!$I:$I,"Exacto"),Prod_Prop!$A:$A,Prod_Prop!$J:$J,"",0,1))</f>
        <v/>
      </c>
      <c r="O628" s="4" t="str">
        <f t="array" ref="O628">IF($E628="","", XLOOKUP(SUMIFS(Prod_Prop!$A:$A,Prod_Prop!$B:$B,$E628,Prod_Prop!$H:$H,O$1,Prod_Prop!$I:$I,"Exacto"),Prod_Prop!$A:$A,Prod_Prop!$J:$J,"",0,1))</f>
        <v/>
      </c>
      <c r="P628" s="4" t="str">
        <f t="array" ref="P628">IF($E628="","", XLOOKUP(SUMIFS(Prod_Prop!$A:$A,Prod_Prop!$B:$B,$E628,Prod_Prop!$H:$H,P$1,Prod_Prop!$I:$I,"Exacto"),Prod_Prop!$A:$A,Prod_Prop!$J:$J,"",0,1))</f>
        <v/>
      </c>
      <c r="Q628" s="4" t="str">
        <f t="array" ref="Q628">IF($E628="","", XLOOKUP(SUMIFS(Prod_Prop!$A:$A,Prod_Prop!$B:$B,$E628,Prod_Prop!$H:$H,Q$1,Prod_Prop!$I:$I,"Exacto"),Prod_Prop!$A:$A,Prod_Prop!$J:$J,"",0,1))</f>
        <v/>
      </c>
      <c r="R628" s="4" t="str">
        <f t="array" ref="R628">IF($E628="","", XLOOKUP(SUMIFS(Prod_Prop!$A:$A,Prod_Prop!$B:$B,$E628,Prod_Prop!$H:$H,R$1,Prod_Prop!$I:$I,"Exacto"),Prod_Prop!$A:$A,Prod_Prop!$J:$J,"",0,1))</f>
        <v/>
      </c>
      <c r="S628" s="4" t="str">
        <f t="array" ref="S628">IF($E628="","", XLOOKUP(SUMIFS(Prod_Prop!$A:$A,Prod_Prop!$B:$B,$E628,Prod_Prop!$H:$H,S$1,Prod_Prop!$I:$I,"Exacto"),Prod_Prop!$A:$A,Prod_Prop!$J:$J,"",0,1))</f>
        <v/>
      </c>
      <c r="T628" s="4" t="str">
        <f t="array" ref="T628">IF($E628="","", XLOOKUP(SUMIFS(Prod_Prop!$A:$A,Prod_Prop!$B:$B,$E628,Prod_Prop!$H:$H,T$1,Prod_Prop!$I:$I,"Exacto"),Prod_Prop!$A:$A,Prod_Prop!$J:$J,"",0,1))</f>
        <v/>
      </c>
      <c r="U628" s="4" t="str">
        <f t="array" ref="U628">IF($E628="","", XLOOKUP(SUMIFS(Prod_Prop!$A:$A,Prod_Prop!$B:$B,$E628,Prod_Prop!$H:$H,U$1,Prod_Prop!$I:$I,"Exacto"),Prod_Prop!$A:$A,Prod_Prop!$J:$J,"",0,1))</f>
        <v/>
      </c>
      <c r="V628" s="4" t="str">
        <f t="array" ref="V628">IF($E628="","", XLOOKUP(SUMIFS(Prod_Prop!$A:$A,Prod_Prop!$B:$B,$E628,Prod_Prop!$H:$H,V$1,Prod_Prop!$I:$I,"Exacto"),Prod_Prop!$A:$A,Prod_Prop!$J:$J,"",0,1))</f>
        <v/>
      </c>
      <c r="X628" s="3" t="str">
        <f>IFERROR(__xludf.DUMMYFUNCTION("IF(D628="""","""",IFERROR(TRANSPOSE(FILTER('Validaciones Cotizador'!U:U,'Validaciones Cotizador'!O:O=D628,'Validaciones Cotizador'!T:T=""x"")),""Finalizar""))"),"")</f>
        <v/>
      </c>
    </row>
    <row r="629">
      <c r="A629" s="2" t="str">
        <f t="array" ref="A629">IF(E629="","",XLOOKUP(D629,'Validaciones Cotizador'!C:C,'Validaciones Cotizador'!A:A,"",0,1))</f>
        <v/>
      </c>
      <c r="B629" s="2" t="str">
        <f t="array" ref="B629">IF(F629="","",XLOOKUP(F629,Productos!E:E,Productos!G:G,"",0,1))</f>
        <v/>
      </c>
      <c r="C629" s="2" t="str">
        <f>IF(A629="","",SUMIFS('Validaciones Cotizador'!B:B,'Validaciones Cotizador'!C:C,D629,'Validaciones Cotizador'!A:A,A629))</f>
        <v/>
      </c>
      <c r="D629" s="4" t="str">
        <f>IFERROR(__xludf.DUMMYFUNCTION("IF(OR(F628=""Finalizar"",F628="""",F628=""Selecciona..""),"""",IF(OR(F628=""-"",INDEX(filter(Familias!F:F,Familias!D:D=A628,Familias!E:E=C628),1)=""O""),D628+1,D628))"),"")</f>
        <v/>
      </c>
      <c r="E629" s="2" t="str">
        <f>IF(OR(F629="",F629="Selecciona.."),"",IF(D629="Implemento",SUMIF(Implementos!B:B,F629,Implementos!A:A),SUMIF(Productos!E:E,F629,Productos!A:A)))</f>
        <v/>
      </c>
      <c r="F629" s="2" t="str">
        <f t="shared" si="2"/>
        <v/>
      </c>
      <c r="G629" s="10" t="str">
        <f t="array" ref="G629">IF(OR(F629="",F629="-",F629="Selecciona..",F629="Finalizar"),"",IF(A629="Rodados",XLOOKUP(B629,'Validaciones Cotizador'!I:I,'Validaciones Cotizador'!J:J,0,0,1),1))</f>
        <v/>
      </c>
      <c r="H629" s="11" t="str">
        <f>IF(OR(F629="",F629="Selecciona.."),"",SUMIF(Precio_Productos!K:K,E629,Precio_Productos!J:J)*G629)</f>
        <v/>
      </c>
      <c r="I629" s="4" t="str">
        <f t="array" ref="I629">IF($E629="","", XLOOKUP(SUMIFS(Prod_Prop!$A:$A,Prod_Prop!$B:$B,$E629,Prod_Prop!$H:$H,I$1,Prod_Prop!$I:$I,"Exacto"),Prod_Prop!$A:$A,Prod_Prop!$J:$J,"",0,1))</f>
        <v/>
      </c>
      <c r="J629" s="4" t="str">
        <f t="array" ref="J629">IF($E629="","", XLOOKUP(SUMIFS(Prod_Prop!$A:$A,Prod_Prop!$B:$B,$E629,Prod_Prop!$H:$H,J$1,Prod_Prop!$I:$I,"Exacto"),Prod_Prop!$A:$A,Prod_Prop!$J:$J,"",0,1))</f>
        <v/>
      </c>
      <c r="K629" s="4" t="str">
        <f t="array" ref="K629">IF($E629="","", XLOOKUP(SUMIFS(Prod_Prop!$A:$A,Prod_Prop!$B:$B,$E629,Prod_Prop!$H:$H,K$1,Prod_Prop!$I:$I,"Exacto"),Prod_Prop!$A:$A,Prod_Prop!$J:$J,"",0,1))</f>
        <v/>
      </c>
      <c r="L629" s="4" t="str">
        <f t="array" ref="L629">IF($E629="","", XLOOKUP(SUMIFS(Prod_Prop!$A:$A,Prod_Prop!$B:$B,$E629,Prod_Prop!$H:$H,L$1,Prod_Prop!$I:$I,"Exacto"),Prod_Prop!$A:$A,Prod_Prop!$J:$J,"",0,1))</f>
        <v/>
      </c>
      <c r="M629" s="4" t="str">
        <f t="array" ref="M629">IF($E629="","", XLOOKUP(SUMIFS(Prod_Prop!$A:$A,Prod_Prop!$B:$B,$E629,Prod_Prop!$H:$H,M$1,Prod_Prop!$I:$I,"Exacto"),Prod_Prop!$A:$A,Prod_Prop!$J:$J,"",0,1))</f>
        <v/>
      </c>
      <c r="N629" s="4" t="str">
        <f t="array" ref="N629">IF($E629="","", XLOOKUP(SUMIFS(Prod_Prop!$A:$A,Prod_Prop!$B:$B,$E629,Prod_Prop!$H:$H,N$1,Prod_Prop!$I:$I,"Exacto"),Prod_Prop!$A:$A,Prod_Prop!$J:$J,"",0,1))</f>
        <v/>
      </c>
      <c r="O629" s="4" t="str">
        <f t="array" ref="O629">IF($E629="","", XLOOKUP(SUMIFS(Prod_Prop!$A:$A,Prod_Prop!$B:$B,$E629,Prod_Prop!$H:$H,O$1,Prod_Prop!$I:$I,"Exacto"),Prod_Prop!$A:$A,Prod_Prop!$J:$J,"",0,1))</f>
        <v/>
      </c>
      <c r="P629" s="4" t="str">
        <f t="array" ref="P629">IF($E629="","", XLOOKUP(SUMIFS(Prod_Prop!$A:$A,Prod_Prop!$B:$B,$E629,Prod_Prop!$H:$H,P$1,Prod_Prop!$I:$I,"Exacto"),Prod_Prop!$A:$A,Prod_Prop!$J:$J,"",0,1))</f>
        <v/>
      </c>
      <c r="Q629" s="4" t="str">
        <f t="array" ref="Q629">IF($E629="","", XLOOKUP(SUMIFS(Prod_Prop!$A:$A,Prod_Prop!$B:$B,$E629,Prod_Prop!$H:$H,Q$1,Prod_Prop!$I:$I,"Exacto"),Prod_Prop!$A:$A,Prod_Prop!$J:$J,"",0,1))</f>
        <v/>
      </c>
      <c r="R629" s="4" t="str">
        <f t="array" ref="R629">IF($E629="","", XLOOKUP(SUMIFS(Prod_Prop!$A:$A,Prod_Prop!$B:$B,$E629,Prod_Prop!$H:$H,R$1,Prod_Prop!$I:$I,"Exacto"),Prod_Prop!$A:$A,Prod_Prop!$J:$J,"",0,1))</f>
        <v/>
      </c>
      <c r="S629" s="4" t="str">
        <f t="array" ref="S629">IF($E629="","", XLOOKUP(SUMIFS(Prod_Prop!$A:$A,Prod_Prop!$B:$B,$E629,Prod_Prop!$H:$H,S$1,Prod_Prop!$I:$I,"Exacto"),Prod_Prop!$A:$A,Prod_Prop!$J:$J,"",0,1))</f>
        <v/>
      </c>
      <c r="T629" s="4" t="str">
        <f t="array" ref="T629">IF($E629="","", XLOOKUP(SUMIFS(Prod_Prop!$A:$A,Prod_Prop!$B:$B,$E629,Prod_Prop!$H:$H,T$1,Prod_Prop!$I:$I,"Exacto"),Prod_Prop!$A:$A,Prod_Prop!$J:$J,"",0,1))</f>
        <v/>
      </c>
      <c r="U629" s="4" t="str">
        <f t="array" ref="U629">IF($E629="","", XLOOKUP(SUMIFS(Prod_Prop!$A:$A,Prod_Prop!$B:$B,$E629,Prod_Prop!$H:$H,U$1,Prod_Prop!$I:$I,"Exacto"),Prod_Prop!$A:$A,Prod_Prop!$J:$J,"",0,1))</f>
        <v/>
      </c>
      <c r="V629" s="4" t="str">
        <f t="array" ref="V629">IF($E629="","", XLOOKUP(SUMIFS(Prod_Prop!$A:$A,Prod_Prop!$B:$B,$E629,Prod_Prop!$H:$H,V$1,Prod_Prop!$I:$I,"Exacto"),Prod_Prop!$A:$A,Prod_Prop!$J:$J,"",0,1))</f>
        <v/>
      </c>
      <c r="X629" s="3" t="str">
        <f>IFERROR(__xludf.DUMMYFUNCTION("IF(D629="""","""",IFERROR(TRANSPOSE(FILTER('Validaciones Cotizador'!U:U,'Validaciones Cotizador'!O:O=D629,'Validaciones Cotizador'!T:T=""x"")),""Finalizar""))"),"")</f>
        <v/>
      </c>
    </row>
    <row r="630">
      <c r="A630" s="2" t="str">
        <f t="array" ref="A630">IF(E630="","",XLOOKUP(D630,'Validaciones Cotizador'!C:C,'Validaciones Cotizador'!A:A,"",0,1))</f>
        <v/>
      </c>
      <c r="B630" s="2" t="str">
        <f t="array" ref="B630">IF(F630="","",XLOOKUP(F630,Productos!E:E,Productos!G:G,"",0,1))</f>
        <v/>
      </c>
      <c r="C630" s="2" t="str">
        <f>IF(A630="","",SUMIFS('Validaciones Cotizador'!B:B,'Validaciones Cotizador'!C:C,D630,'Validaciones Cotizador'!A:A,A630))</f>
        <v/>
      </c>
      <c r="D630" s="4" t="str">
        <f>IFERROR(__xludf.DUMMYFUNCTION("IF(OR(F629=""Finalizar"",F629="""",F629=""Selecciona..""),"""",IF(OR(F629=""-"",INDEX(filter(Familias!F:F,Familias!D:D=A629,Familias!E:E=C629),1)=""O""),D629+1,D629))"),"")</f>
        <v/>
      </c>
      <c r="E630" s="2" t="str">
        <f>IF(OR(F630="",F630="Selecciona.."),"",IF(D630="Implemento",SUMIF(Implementos!B:B,F630,Implementos!A:A),SUMIF(Productos!E:E,F630,Productos!A:A)))</f>
        <v/>
      </c>
      <c r="F630" s="2" t="str">
        <f t="shared" si="2"/>
        <v/>
      </c>
      <c r="G630" s="10" t="str">
        <f t="array" ref="G630">IF(OR(F630="",F630="-",F630="Selecciona..",F630="Finalizar"),"",IF(A630="Rodados",XLOOKUP(B630,'Validaciones Cotizador'!I:I,'Validaciones Cotizador'!J:J,0,0,1),1))</f>
        <v/>
      </c>
      <c r="H630" s="11" t="str">
        <f>IF(OR(F630="",F630="Selecciona.."),"",SUMIF(Precio_Productos!K:K,E630,Precio_Productos!J:J)*G630)</f>
        <v/>
      </c>
      <c r="I630" s="4" t="str">
        <f t="array" ref="I630">IF($E630="","", XLOOKUP(SUMIFS(Prod_Prop!$A:$A,Prod_Prop!$B:$B,$E630,Prod_Prop!$H:$H,I$1,Prod_Prop!$I:$I,"Exacto"),Prod_Prop!$A:$A,Prod_Prop!$J:$J,"",0,1))</f>
        <v/>
      </c>
      <c r="J630" s="4" t="str">
        <f t="array" ref="J630">IF($E630="","", XLOOKUP(SUMIFS(Prod_Prop!$A:$A,Prod_Prop!$B:$B,$E630,Prod_Prop!$H:$H,J$1,Prod_Prop!$I:$I,"Exacto"),Prod_Prop!$A:$A,Prod_Prop!$J:$J,"",0,1))</f>
        <v/>
      </c>
      <c r="K630" s="4" t="str">
        <f t="array" ref="K630">IF($E630="","", XLOOKUP(SUMIFS(Prod_Prop!$A:$A,Prod_Prop!$B:$B,$E630,Prod_Prop!$H:$H,K$1,Prod_Prop!$I:$I,"Exacto"),Prod_Prop!$A:$A,Prod_Prop!$J:$J,"",0,1))</f>
        <v/>
      </c>
      <c r="L630" s="4" t="str">
        <f t="array" ref="L630">IF($E630="","", XLOOKUP(SUMIFS(Prod_Prop!$A:$A,Prod_Prop!$B:$B,$E630,Prod_Prop!$H:$H,L$1,Prod_Prop!$I:$I,"Exacto"),Prod_Prop!$A:$A,Prod_Prop!$J:$J,"",0,1))</f>
        <v/>
      </c>
      <c r="M630" s="4" t="str">
        <f t="array" ref="M630">IF($E630="","", XLOOKUP(SUMIFS(Prod_Prop!$A:$A,Prod_Prop!$B:$B,$E630,Prod_Prop!$H:$H,M$1,Prod_Prop!$I:$I,"Exacto"),Prod_Prop!$A:$A,Prod_Prop!$J:$J,"",0,1))</f>
        <v/>
      </c>
      <c r="N630" s="4" t="str">
        <f t="array" ref="N630">IF($E630="","", XLOOKUP(SUMIFS(Prod_Prop!$A:$A,Prod_Prop!$B:$B,$E630,Prod_Prop!$H:$H,N$1,Prod_Prop!$I:$I,"Exacto"),Prod_Prop!$A:$A,Prod_Prop!$J:$J,"",0,1))</f>
        <v/>
      </c>
      <c r="O630" s="4" t="str">
        <f t="array" ref="O630">IF($E630="","", XLOOKUP(SUMIFS(Prod_Prop!$A:$A,Prod_Prop!$B:$B,$E630,Prod_Prop!$H:$H,O$1,Prod_Prop!$I:$I,"Exacto"),Prod_Prop!$A:$A,Prod_Prop!$J:$J,"",0,1))</f>
        <v/>
      </c>
      <c r="P630" s="4" t="str">
        <f t="array" ref="P630">IF($E630="","", XLOOKUP(SUMIFS(Prod_Prop!$A:$A,Prod_Prop!$B:$B,$E630,Prod_Prop!$H:$H,P$1,Prod_Prop!$I:$I,"Exacto"),Prod_Prop!$A:$A,Prod_Prop!$J:$J,"",0,1))</f>
        <v/>
      </c>
      <c r="Q630" s="4" t="str">
        <f t="array" ref="Q630">IF($E630="","", XLOOKUP(SUMIFS(Prod_Prop!$A:$A,Prod_Prop!$B:$B,$E630,Prod_Prop!$H:$H,Q$1,Prod_Prop!$I:$I,"Exacto"),Prod_Prop!$A:$A,Prod_Prop!$J:$J,"",0,1))</f>
        <v/>
      </c>
      <c r="R630" s="4" t="str">
        <f t="array" ref="R630">IF($E630="","", XLOOKUP(SUMIFS(Prod_Prop!$A:$A,Prod_Prop!$B:$B,$E630,Prod_Prop!$H:$H,R$1,Prod_Prop!$I:$I,"Exacto"),Prod_Prop!$A:$A,Prod_Prop!$J:$J,"",0,1))</f>
        <v/>
      </c>
      <c r="S630" s="4" t="str">
        <f t="array" ref="S630">IF($E630="","", XLOOKUP(SUMIFS(Prod_Prop!$A:$A,Prod_Prop!$B:$B,$E630,Prod_Prop!$H:$H,S$1,Prod_Prop!$I:$I,"Exacto"),Prod_Prop!$A:$A,Prod_Prop!$J:$J,"",0,1))</f>
        <v/>
      </c>
      <c r="T630" s="4" t="str">
        <f t="array" ref="T630">IF($E630="","", XLOOKUP(SUMIFS(Prod_Prop!$A:$A,Prod_Prop!$B:$B,$E630,Prod_Prop!$H:$H,T$1,Prod_Prop!$I:$I,"Exacto"),Prod_Prop!$A:$A,Prod_Prop!$J:$J,"",0,1))</f>
        <v/>
      </c>
      <c r="U630" s="4" t="str">
        <f t="array" ref="U630">IF($E630="","", XLOOKUP(SUMIFS(Prod_Prop!$A:$A,Prod_Prop!$B:$B,$E630,Prod_Prop!$H:$H,U$1,Prod_Prop!$I:$I,"Exacto"),Prod_Prop!$A:$A,Prod_Prop!$J:$J,"",0,1))</f>
        <v/>
      </c>
      <c r="V630" s="4" t="str">
        <f t="array" ref="V630">IF($E630="","", XLOOKUP(SUMIFS(Prod_Prop!$A:$A,Prod_Prop!$B:$B,$E630,Prod_Prop!$H:$H,V$1,Prod_Prop!$I:$I,"Exacto"),Prod_Prop!$A:$A,Prod_Prop!$J:$J,"",0,1))</f>
        <v/>
      </c>
      <c r="X630" s="3" t="str">
        <f>IFERROR(__xludf.DUMMYFUNCTION("IF(D630="""","""",IFERROR(TRANSPOSE(FILTER('Validaciones Cotizador'!U:U,'Validaciones Cotizador'!O:O=D630,'Validaciones Cotizador'!T:T=""x"")),""Finalizar""))"),"")</f>
        <v/>
      </c>
    </row>
    <row r="631">
      <c r="A631" s="2" t="str">
        <f t="array" ref="A631">IF(E631="","",XLOOKUP(D631,'Validaciones Cotizador'!C:C,'Validaciones Cotizador'!A:A,"",0,1))</f>
        <v/>
      </c>
      <c r="B631" s="2" t="str">
        <f t="array" ref="B631">IF(F631="","",XLOOKUP(F631,Productos!E:E,Productos!G:G,"",0,1))</f>
        <v/>
      </c>
      <c r="C631" s="2" t="str">
        <f>IF(A631="","",SUMIFS('Validaciones Cotizador'!B:B,'Validaciones Cotizador'!C:C,D631,'Validaciones Cotizador'!A:A,A631))</f>
        <v/>
      </c>
      <c r="D631" s="4" t="str">
        <f>IFERROR(__xludf.DUMMYFUNCTION("IF(OR(F630=""Finalizar"",F630="""",F630=""Selecciona..""),"""",IF(OR(F630=""-"",INDEX(filter(Familias!F:F,Familias!D:D=A630,Familias!E:E=C630),1)=""O""),D630+1,D630))"),"")</f>
        <v/>
      </c>
      <c r="E631" s="2" t="str">
        <f>IF(OR(F631="",F631="Selecciona.."),"",IF(D631="Implemento",SUMIF(Implementos!B:B,F631,Implementos!A:A),SUMIF(Productos!E:E,F631,Productos!A:A)))</f>
        <v/>
      </c>
      <c r="F631" s="2" t="str">
        <f t="shared" si="2"/>
        <v/>
      </c>
      <c r="G631" s="10" t="str">
        <f t="array" ref="G631">IF(OR(F631="",F631="-",F631="Selecciona..",F631="Finalizar"),"",IF(A631="Rodados",XLOOKUP(B631,'Validaciones Cotizador'!I:I,'Validaciones Cotizador'!J:J,0,0,1),1))</f>
        <v/>
      </c>
      <c r="H631" s="11" t="str">
        <f>IF(OR(F631="",F631="Selecciona.."),"",SUMIF(Precio_Productos!K:K,E631,Precio_Productos!J:J)*G631)</f>
        <v/>
      </c>
      <c r="I631" s="4" t="str">
        <f t="array" ref="I631">IF($E631="","", XLOOKUP(SUMIFS(Prod_Prop!$A:$A,Prod_Prop!$B:$B,$E631,Prod_Prop!$H:$H,I$1,Prod_Prop!$I:$I,"Exacto"),Prod_Prop!$A:$A,Prod_Prop!$J:$J,"",0,1))</f>
        <v/>
      </c>
      <c r="J631" s="4" t="str">
        <f t="array" ref="J631">IF($E631="","", XLOOKUP(SUMIFS(Prod_Prop!$A:$A,Prod_Prop!$B:$B,$E631,Prod_Prop!$H:$H,J$1,Prod_Prop!$I:$I,"Exacto"),Prod_Prop!$A:$A,Prod_Prop!$J:$J,"",0,1))</f>
        <v/>
      </c>
      <c r="K631" s="4" t="str">
        <f t="array" ref="K631">IF($E631="","", XLOOKUP(SUMIFS(Prod_Prop!$A:$A,Prod_Prop!$B:$B,$E631,Prod_Prop!$H:$H,K$1,Prod_Prop!$I:$I,"Exacto"),Prod_Prop!$A:$A,Prod_Prop!$J:$J,"",0,1))</f>
        <v/>
      </c>
      <c r="L631" s="4" t="str">
        <f t="array" ref="L631">IF($E631="","", XLOOKUP(SUMIFS(Prod_Prop!$A:$A,Prod_Prop!$B:$B,$E631,Prod_Prop!$H:$H,L$1,Prod_Prop!$I:$I,"Exacto"),Prod_Prop!$A:$A,Prod_Prop!$J:$J,"",0,1))</f>
        <v/>
      </c>
      <c r="M631" s="4" t="str">
        <f t="array" ref="M631">IF($E631="","", XLOOKUP(SUMIFS(Prod_Prop!$A:$A,Prod_Prop!$B:$B,$E631,Prod_Prop!$H:$H,M$1,Prod_Prop!$I:$I,"Exacto"),Prod_Prop!$A:$A,Prod_Prop!$J:$J,"",0,1))</f>
        <v/>
      </c>
      <c r="N631" s="4" t="str">
        <f t="array" ref="N631">IF($E631="","", XLOOKUP(SUMIFS(Prod_Prop!$A:$A,Prod_Prop!$B:$B,$E631,Prod_Prop!$H:$H,N$1,Prod_Prop!$I:$I,"Exacto"),Prod_Prop!$A:$A,Prod_Prop!$J:$J,"",0,1))</f>
        <v/>
      </c>
      <c r="O631" s="4" t="str">
        <f t="array" ref="O631">IF($E631="","", XLOOKUP(SUMIFS(Prod_Prop!$A:$A,Prod_Prop!$B:$B,$E631,Prod_Prop!$H:$H,O$1,Prod_Prop!$I:$I,"Exacto"),Prod_Prop!$A:$A,Prod_Prop!$J:$J,"",0,1))</f>
        <v/>
      </c>
      <c r="P631" s="4" t="str">
        <f t="array" ref="P631">IF($E631="","", XLOOKUP(SUMIFS(Prod_Prop!$A:$A,Prod_Prop!$B:$B,$E631,Prod_Prop!$H:$H,P$1,Prod_Prop!$I:$I,"Exacto"),Prod_Prop!$A:$A,Prod_Prop!$J:$J,"",0,1))</f>
        <v/>
      </c>
      <c r="Q631" s="4" t="str">
        <f t="array" ref="Q631">IF($E631="","", XLOOKUP(SUMIFS(Prod_Prop!$A:$A,Prod_Prop!$B:$B,$E631,Prod_Prop!$H:$H,Q$1,Prod_Prop!$I:$I,"Exacto"),Prod_Prop!$A:$A,Prod_Prop!$J:$J,"",0,1))</f>
        <v/>
      </c>
      <c r="R631" s="4" t="str">
        <f t="array" ref="R631">IF($E631="","", XLOOKUP(SUMIFS(Prod_Prop!$A:$A,Prod_Prop!$B:$B,$E631,Prod_Prop!$H:$H,R$1,Prod_Prop!$I:$I,"Exacto"),Prod_Prop!$A:$A,Prod_Prop!$J:$J,"",0,1))</f>
        <v/>
      </c>
      <c r="S631" s="4" t="str">
        <f t="array" ref="S631">IF($E631="","", XLOOKUP(SUMIFS(Prod_Prop!$A:$A,Prod_Prop!$B:$B,$E631,Prod_Prop!$H:$H,S$1,Prod_Prop!$I:$I,"Exacto"),Prod_Prop!$A:$A,Prod_Prop!$J:$J,"",0,1))</f>
        <v/>
      </c>
      <c r="T631" s="4" t="str">
        <f t="array" ref="T631">IF($E631="","", XLOOKUP(SUMIFS(Prod_Prop!$A:$A,Prod_Prop!$B:$B,$E631,Prod_Prop!$H:$H,T$1,Prod_Prop!$I:$I,"Exacto"),Prod_Prop!$A:$A,Prod_Prop!$J:$J,"",0,1))</f>
        <v/>
      </c>
      <c r="U631" s="4" t="str">
        <f t="array" ref="U631">IF($E631="","", XLOOKUP(SUMIFS(Prod_Prop!$A:$A,Prod_Prop!$B:$B,$E631,Prod_Prop!$H:$H,U$1,Prod_Prop!$I:$I,"Exacto"),Prod_Prop!$A:$A,Prod_Prop!$J:$J,"",0,1))</f>
        <v/>
      </c>
      <c r="V631" s="4" t="str">
        <f t="array" ref="V631">IF($E631="","", XLOOKUP(SUMIFS(Prod_Prop!$A:$A,Prod_Prop!$B:$B,$E631,Prod_Prop!$H:$H,V$1,Prod_Prop!$I:$I,"Exacto"),Prod_Prop!$A:$A,Prod_Prop!$J:$J,"",0,1))</f>
        <v/>
      </c>
      <c r="X631" s="3" t="str">
        <f>IFERROR(__xludf.DUMMYFUNCTION("IF(D631="""","""",IFERROR(TRANSPOSE(FILTER('Validaciones Cotizador'!U:U,'Validaciones Cotizador'!O:O=D631,'Validaciones Cotizador'!T:T=""x"")),""Finalizar""))"),"")</f>
        <v/>
      </c>
    </row>
    <row r="632">
      <c r="A632" s="2" t="str">
        <f t="array" ref="A632">IF(E632="","",XLOOKUP(D632,'Validaciones Cotizador'!C:C,'Validaciones Cotizador'!A:A,"",0,1))</f>
        <v/>
      </c>
      <c r="B632" s="2" t="str">
        <f t="array" ref="B632">IF(F632="","",XLOOKUP(F632,Productos!E:E,Productos!G:G,"",0,1))</f>
        <v/>
      </c>
      <c r="C632" s="2" t="str">
        <f>IF(A632="","",SUMIFS('Validaciones Cotizador'!B:B,'Validaciones Cotizador'!C:C,D632,'Validaciones Cotizador'!A:A,A632))</f>
        <v/>
      </c>
      <c r="D632" s="4" t="str">
        <f>IFERROR(__xludf.DUMMYFUNCTION("IF(OR(F631=""Finalizar"",F631="""",F631=""Selecciona..""),"""",IF(OR(F631=""-"",INDEX(filter(Familias!F:F,Familias!D:D=A631,Familias!E:E=C631),1)=""O""),D631+1,D631))"),"")</f>
        <v/>
      </c>
      <c r="E632" s="2" t="str">
        <f>IF(OR(F632="",F632="Selecciona.."),"",IF(D632="Implemento",SUMIF(Implementos!B:B,F632,Implementos!A:A),SUMIF(Productos!E:E,F632,Productos!A:A)))</f>
        <v/>
      </c>
      <c r="F632" s="2" t="str">
        <f t="shared" si="2"/>
        <v/>
      </c>
      <c r="G632" s="10" t="str">
        <f t="array" ref="G632">IF(OR(F632="",F632="-",F632="Selecciona..",F632="Finalizar"),"",IF(A632="Rodados",XLOOKUP(B632,'Validaciones Cotizador'!I:I,'Validaciones Cotizador'!J:J,0,0,1),1))</f>
        <v/>
      </c>
      <c r="H632" s="11" t="str">
        <f>IF(OR(F632="",F632="Selecciona.."),"",SUMIF(Precio_Productos!K:K,E632,Precio_Productos!J:J)*G632)</f>
        <v/>
      </c>
      <c r="I632" s="4" t="str">
        <f t="array" ref="I632">IF($E632="","", XLOOKUP(SUMIFS(Prod_Prop!$A:$A,Prod_Prop!$B:$B,$E632,Prod_Prop!$H:$H,I$1,Prod_Prop!$I:$I,"Exacto"),Prod_Prop!$A:$A,Prod_Prop!$J:$J,"",0,1))</f>
        <v/>
      </c>
      <c r="J632" s="4" t="str">
        <f t="array" ref="J632">IF($E632="","", XLOOKUP(SUMIFS(Prod_Prop!$A:$A,Prod_Prop!$B:$B,$E632,Prod_Prop!$H:$H,J$1,Prod_Prop!$I:$I,"Exacto"),Prod_Prop!$A:$A,Prod_Prop!$J:$J,"",0,1))</f>
        <v/>
      </c>
      <c r="K632" s="4" t="str">
        <f t="array" ref="K632">IF($E632="","", XLOOKUP(SUMIFS(Prod_Prop!$A:$A,Prod_Prop!$B:$B,$E632,Prod_Prop!$H:$H,K$1,Prod_Prop!$I:$I,"Exacto"),Prod_Prop!$A:$A,Prod_Prop!$J:$J,"",0,1))</f>
        <v/>
      </c>
      <c r="L632" s="4" t="str">
        <f t="array" ref="L632">IF($E632="","", XLOOKUP(SUMIFS(Prod_Prop!$A:$A,Prod_Prop!$B:$B,$E632,Prod_Prop!$H:$H,L$1,Prod_Prop!$I:$I,"Exacto"),Prod_Prop!$A:$A,Prod_Prop!$J:$J,"",0,1))</f>
        <v/>
      </c>
      <c r="M632" s="4" t="str">
        <f t="array" ref="M632">IF($E632="","", XLOOKUP(SUMIFS(Prod_Prop!$A:$A,Prod_Prop!$B:$B,$E632,Prod_Prop!$H:$H,M$1,Prod_Prop!$I:$I,"Exacto"),Prod_Prop!$A:$A,Prod_Prop!$J:$J,"",0,1))</f>
        <v/>
      </c>
      <c r="N632" s="4" t="str">
        <f t="array" ref="N632">IF($E632="","", XLOOKUP(SUMIFS(Prod_Prop!$A:$A,Prod_Prop!$B:$B,$E632,Prod_Prop!$H:$H,N$1,Prod_Prop!$I:$I,"Exacto"),Prod_Prop!$A:$A,Prod_Prop!$J:$J,"",0,1))</f>
        <v/>
      </c>
      <c r="O632" s="4" t="str">
        <f t="array" ref="O632">IF($E632="","", XLOOKUP(SUMIFS(Prod_Prop!$A:$A,Prod_Prop!$B:$B,$E632,Prod_Prop!$H:$H,O$1,Prod_Prop!$I:$I,"Exacto"),Prod_Prop!$A:$A,Prod_Prop!$J:$J,"",0,1))</f>
        <v/>
      </c>
      <c r="P632" s="4" t="str">
        <f t="array" ref="P632">IF($E632="","", XLOOKUP(SUMIFS(Prod_Prop!$A:$A,Prod_Prop!$B:$B,$E632,Prod_Prop!$H:$H,P$1,Prod_Prop!$I:$I,"Exacto"),Prod_Prop!$A:$A,Prod_Prop!$J:$J,"",0,1))</f>
        <v/>
      </c>
      <c r="Q632" s="4" t="str">
        <f t="array" ref="Q632">IF($E632="","", XLOOKUP(SUMIFS(Prod_Prop!$A:$A,Prod_Prop!$B:$B,$E632,Prod_Prop!$H:$H,Q$1,Prod_Prop!$I:$I,"Exacto"),Prod_Prop!$A:$A,Prod_Prop!$J:$J,"",0,1))</f>
        <v/>
      </c>
      <c r="R632" s="4" t="str">
        <f t="array" ref="R632">IF($E632="","", XLOOKUP(SUMIFS(Prod_Prop!$A:$A,Prod_Prop!$B:$B,$E632,Prod_Prop!$H:$H,R$1,Prod_Prop!$I:$I,"Exacto"),Prod_Prop!$A:$A,Prod_Prop!$J:$J,"",0,1))</f>
        <v/>
      </c>
      <c r="S632" s="4" t="str">
        <f t="array" ref="S632">IF($E632="","", XLOOKUP(SUMIFS(Prod_Prop!$A:$A,Prod_Prop!$B:$B,$E632,Prod_Prop!$H:$H,S$1,Prod_Prop!$I:$I,"Exacto"),Prod_Prop!$A:$A,Prod_Prop!$J:$J,"",0,1))</f>
        <v/>
      </c>
      <c r="T632" s="4" t="str">
        <f t="array" ref="T632">IF($E632="","", XLOOKUP(SUMIFS(Prod_Prop!$A:$A,Prod_Prop!$B:$B,$E632,Prod_Prop!$H:$H,T$1,Prod_Prop!$I:$I,"Exacto"),Prod_Prop!$A:$A,Prod_Prop!$J:$J,"",0,1))</f>
        <v/>
      </c>
      <c r="U632" s="4" t="str">
        <f t="array" ref="U632">IF($E632="","", XLOOKUP(SUMIFS(Prod_Prop!$A:$A,Prod_Prop!$B:$B,$E632,Prod_Prop!$H:$H,U$1,Prod_Prop!$I:$I,"Exacto"),Prod_Prop!$A:$A,Prod_Prop!$J:$J,"",0,1))</f>
        <v/>
      </c>
      <c r="V632" s="4" t="str">
        <f t="array" ref="V632">IF($E632="","", XLOOKUP(SUMIFS(Prod_Prop!$A:$A,Prod_Prop!$B:$B,$E632,Prod_Prop!$H:$H,V$1,Prod_Prop!$I:$I,"Exacto"),Prod_Prop!$A:$A,Prod_Prop!$J:$J,"",0,1))</f>
        <v/>
      </c>
      <c r="X632" s="3" t="str">
        <f>IFERROR(__xludf.DUMMYFUNCTION("IF(D632="""","""",IFERROR(TRANSPOSE(FILTER('Validaciones Cotizador'!U:U,'Validaciones Cotizador'!O:O=D632,'Validaciones Cotizador'!T:T=""x"")),""Finalizar""))"),"")</f>
        <v/>
      </c>
    </row>
    <row r="633">
      <c r="A633" s="2" t="str">
        <f t="array" ref="A633">IF(E633="","",XLOOKUP(D633,'Validaciones Cotizador'!C:C,'Validaciones Cotizador'!A:A,"",0,1))</f>
        <v/>
      </c>
      <c r="B633" s="2" t="str">
        <f t="array" ref="B633">IF(F633="","",XLOOKUP(F633,Productos!E:E,Productos!G:G,"",0,1))</f>
        <v/>
      </c>
      <c r="C633" s="2" t="str">
        <f>IF(A633="","",SUMIFS('Validaciones Cotizador'!B:B,'Validaciones Cotizador'!C:C,D633,'Validaciones Cotizador'!A:A,A633))</f>
        <v/>
      </c>
      <c r="D633" s="4" t="str">
        <f>IFERROR(__xludf.DUMMYFUNCTION("IF(OR(F632=""Finalizar"",F632="""",F632=""Selecciona..""),"""",IF(OR(F632=""-"",INDEX(filter(Familias!F:F,Familias!D:D=A632,Familias!E:E=C632),1)=""O""),D632+1,D632))"),"")</f>
        <v/>
      </c>
      <c r="E633" s="2" t="str">
        <f>IF(OR(F633="",F633="Selecciona.."),"",IF(D633="Implemento",SUMIF(Implementos!B:B,F633,Implementos!A:A),SUMIF(Productos!E:E,F633,Productos!A:A)))</f>
        <v/>
      </c>
      <c r="F633" s="2" t="str">
        <f t="shared" si="2"/>
        <v/>
      </c>
      <c r="G633" s="10" t="str">
        <f t="array" ref="G633">IF(OR(F633="",F633="-",F633="Selecciona..",F633="Finalizar"),"",IF(A633="Rodados",XLOOKUP(B633,'Validaciones Cotizador'!I:I,'Validaciones Cotizador'!J:J,0,0,1),1))</f>
        <v/>
      </c>
      <c r="H633" s="11" t="str">
        <f>IF(OR(F633="",F633="Selecciona.."),"",SUMIF(Precio_Productos!K:K,E633,Precio_Productos!J:J)*G633)</f>
        <v/>
      </c>
      <c r="I633" s="4" t="str">
        <f t="array" ref="I633">IF($E633="","", XLOOKUP(SUMIFS(Prod_Prop!$A:$A,Prod_Prop!$B:$B,$E633,Prod_Prop!$H:$H,I$1,Prod_Prop!$I:$I,"Exacto"),Prod_Prop!$A:$A,Prod_Prop!$J:$J,"",0,1))</f>
        <v/>
      </c>
      <c r="J633" s="4" t="str">
        <f t="array" ref="J633">IF($E633="","", XLOOKUP(SUMIFS(Prod_Prop!$A:$A,Prod_Prop!$B:$B,$E633,Prod_Prop!$H:$H,J$1,Prod_Prop!$I:$I,"Exacto"),Prod_Prop!$A:$A,Prod_Prop!$J:$J,"",0,1))</f>
        <v/>
      </c>
      <c r="K633" s="4" t="str">
        <f t="array" ref="K633">IF($E633="","", XLOOKUP(SUMIFS(Prod_Prop!$A:$A,Prod_Prop!$B:$B,$E633,Prod_Prop!$H:$H,K$1,Prod_Prop!$I:$I,"Exacto"),Prod_Prop!$A:$A,Prod_Prop!$J:$J,"",0,1))</f>
        <v/>
      </c>
      <c r="L633" s="4" t="str">
        <f t="array" ref="L633">IF($E633="","", XLOOKUP(SUMIFS(Prod_Prop!$A:$A,Prod_Prop!$B:$B,$E633,Prod_Prop!$H:$H,L$1,Prod_Prop!$I:$I,"Exacto"),Prod_Prop!$A:$A,Prod_Prop!$J:$J,"",0,1))</f>
        <v/>
      </c>
      <c r="M633" s="4" t="str">
        <f t="array" ref="M633">IF($E633="","", XLOOKUP(SUMIFS(Prod_Prop!$A:$A,Prod_Prop!$B:$B,$E633,Prod_Prop!$H:$H,M$1,Prod_Prop!$I:$I,"Exacto"),Prod_Prop!$A:$A,Prod_Prop!$J:$J,"",0,1))</f>
        <v/>
      </c>
      <c r="N633" s="4" t="str">
        <f t="array" ref="N633">IF($E633="","", XLOOKUP(SUMIFS(Prod_Prop!$A:$A,Prod_Prop!$B:$B,$E633,Prod_Prop!$H:$H,N$1,Prod_Prop!$I:$I,"Exacto"),Prod_Prop!$A:$A,Prod_Prop!$J:$J,"",0,1))</f>
        <v/>
      </c>
      <c r="O633" s="4" t="str">
        <f t="array" ref="O633">IF($E633="","", XLOOKUP(SUMIFS(Prod_Prop!$A:$A,Prod_Prop!$B:$B,$E633,Prod_Prop!$H:$H,O$1,Prod_Prop!$I:$I,"Exacto"),Prod_Prop!$A:$A,Prod_Prop!$J:$J,"",0,1))</f>
        <v/>
      </c>
      <c r="P633" s="4" t="str">
        <f t="array" ref="P633">IF($E633="","", XLOOKUP(SUMIFS(Prod_Prop!$A:$A,Prod_Prop!$B:$B,$E633,Prod_Prop!$H:$H,P$1,Prod_Prop!$I:$I,"Exacto"),Prod_Prop!$A:$A,Prod_Prop!$J:$J,"",0,1))</f>
        <v/>
      </c>
      <c r="Q633" s="4" t="str">
        <f t="array" ref="Q633">IF($E633="","", XLOOKUP(SUMIFS(Prod_Prop!$A:$A,Prod_Prop!$B:$B,$E633,Prod_Prop!$H:$H,Q$1,Prod_Prop!$I:$I,"Exacto"),Prod_Prop!$A:$A,Prod_Prop!$J:$J,"",0,1))</f>
        <v/>
      </c>
      <c r="R633" s="4" t="str">
        <f t="array" ref="R633">IF($E633="","", XLOOKUP(SUMIFS(Prod_Prop!$A:$A,Prod_Prop!$B:$B,$E633,Prod_Prop!$H:$H,R$1,Prod_Prop!$I:$I,"Exacto"),Prod_Prop!$A:$A,Prod_Prop!$J:$J,"",0,1))</f>
        <v/>
      </c>
      <c r="S633" s="4" t="str">
        <f t="array" ref="S633">IF($E633="","", XLOOKUP(SUMIFS(Prod_Prop!$A:$A,Prod_Prop!$B:$B,$E633,Prod_Prop!$H:$H,S$1,Prod_Prop!$I:$I,"Exacto"),Prod_Prop!$A:$A,Prod_Prop!$J:$J,"",0,1))</f>
        <v/>
      </c>
      <c r="T633" s="4" t="str">
        <f t="array" ref="T633">IF($E633="","", XLOOKUP(SUMIFS(Prod_Prop!$A:$A,Prod_Prop!$B:$B,$E633,Prod_Prop!$H:$H,T$1,Prod_Prop!$I:$I,"Exacto"),Prod_Prop!$A:$A,Prod_Prop!$J:$J,"",0,1))</f>
        <v/>
      </c>
      <c r="U633" s="4" t="str">
        <f t="array" ref="U633">IF($E633="","", XLOOKUP(SUMIFS(Prod_Prop!$A:$A,Prod_Prop!$B:$B,$E633,Prod_Prop!$H:$H,U$1,Prod_Prop!$I:$I,"Exacto"),Prod_Prop!$A:$A,Prod_Prop!$J:$J,"",0,1))</f>
        <v/>
      </c>
      <c r="V633" s="4" t="str">
        <f t="array" ref="V633">IF($E633="","", XLOOKUP(SUMIFS(Prod_Prop!$A:$A,Prod_Prop!$B:$B,$E633,Prod_Prop!$H:$H,V$1,Prod_Prop!$I:$I,"Exacto"),Prod_Prop!$A:$A,Prod_Prop!$J:$J,"",0,1))</f>
        <v/>
      </c>
      <c r="X633" s="3" t="str">
        <f>IFERROR(__xludf.DUMMYFUNCTION("IF(D633="""","""",IFERROR(TRANSPOSE(FILTER('Validaciones Cotizador'!U:U,'Validaciones Cotizador'!O:O=D633,'Validaciones Cotizador'!T:T=""x"")),""Finalizar""))"),"")</f>
        <v/>
      </c>
    </row>
    <row r="634">
      <c r="A634" s="2" t="str">
        <f t="array" ref="A634">IF(E634="","",XLOOKUP(D634,'Validaciones Cotizador'!C:C,'Validaciones Cotizador'!A:A,"",0,1))</f>
        <v/>
      </c>
      <c r="B634" s="2" t="str">
        <f t="array" ref="B634">IF(F634="","",XLOOKUP(F634,Productos!E:E,Productos!G:G,"",0,1))</f>
        <v/>
      </c>
      <c r="C634" s="2" t="str">
        <f>IF(A634="","",SUMIFS('Validaciones Cotizador'!B:B,'Validaciones Cotizador'!C:C,D634,'Validaciones Cotizador'!A:A,A634))</f>
        <v/>
      </c>
      <c r="D634" s="4" t="str">
        <f>IFERROR(__xludf.DUMMYFUNCTION("IF(OR(F633=""Finalizar"",F633="""",F633=""Selecciona..""),"""",IF(OR(F633=""-"",INDEX(filter(Familias!F:F,Familias!D:D=A633,Familias!E:E=C633),1)=""O""),D633+1,D633))"),"")</f>
        <v/>
      </c>
      <c r="E634" s="2" t="str">
        <f>IF(OR(F634="",F634="Selecciona.."),"",IF(D634="Implemento",SUMIF(Implementos!B:B,F634,Implementos!A:A),SUMIF(Productos!E:E,F634,Productos!A:A)))</f>
        <v/>
      </c>
      <c r="F634" s="2" t="str">
        <f t="shared" si="2"/>
        <v/>
      </c>
      <c r="G634" s="10" t="str">
        <f t="array" ref="G634">IF(OR(F634="",F634="-",F634="Selecciona..",F634="Finalizar"),"",IF(A634="Rodados",XLOOKUP(B634,'Validaciones Cotizador'!I:I,'Validaciones Cotizador'!J:J,0,0,1),1))</f>
        <v/>
      </c>
      <c r="H634" s="11" t="str">
        <f>IF(OR(F634="",F634="Selecciona.."),"",SUMIF(Precio_Productos!K:K,E634,Precio_Productos!J:J)*G634)</f>
        <v/>
      </c>
      <c r="I634" s="4" t="str">
        <f t="array" ref="I634">IF($E634="","", XLOOKUP(SUMIFS(Prod_Prop!$A:$A,Prod_Prop!$B:$B,$E634,Prod_Prop!$H:$H,I$1,Prod_Prop!$I:$I,"Exacto"),Prod_Prop!$A:$A,Prod_Prop!$J:$J,"",0,1))</f>
        <v/>
      </c>
      <c r="J634" s="4" t="str">
        <f t="array" ref="J634">IF($E634="","", XLOOKUP(SUMIFS(Prod_Prop!$A:$A,Prod_Prop!$B:$B,$E634,Prod_Prop!$H:$H,J$1,Prod_Prop!$I:$I,"Exacto"),Prod_Prop!$A:$A,Prod_Prop!$J:$J,"",0,1))</f>
        <v/>
      </c>
      <c r="K634" s="4" t="str">
        <f t="array" ref="K634">IF($E634="","", XLOOKUP(SUMIFS(Prod_Prop!$A:$A,Prod_Prop!$B:$B,$E634,Prod_Prop!$H:$H,K$1,Prod_Prop!$I:$I,"Exacto"),Prod_Prop!$A:$A,Prod_Prop!$J:$J,"",0,1))</f>
        <v/>
      </c>
      <c r="L634" s="4" t="str">
        <f t="array" ref="L634">IF($E634="","", XLOOKUP(SUMIFS(Prod_Prop!$A:$A,Prod_Prop!$B:$B,$E634,Prod_Prop!$H:$H,L$1,Prod_Prop!$I:$I,"Exacto"),Prod_Prop!$A:$A,Prod_Prop!$J:$J,"",0,1))</f>
        <v/>
      </c>
      <c r="M634" s="4" t="str">
        <f t="array" ref="M634">IF($E634="","", XLOOKUP(SUMIFS(Prod_Prop!$A:$A,Prod_Prop!$B:$B,$E634,Prod_Prop!$H:$H,M$1,Prod_Prop!$I:$I,"Exacto"),Prod_Prop!$A:$A,Prod_Prop!$J:$J,"",0,1))</f>
        <v/>
      </c>
      <c r="N634" s="4" t="str">
        <f t="array" ref="N634">IF($E634="","", XLOOKUP(SUMIFS(Prod_Prop!$A:$A,Prod_Prop!$B:$B,$E634,Prod_Prop!$H:$H,N$1,Prod_Prop!$I:$I,"Exacto"),Prod_Prop!$A:$A,Prod_Prop!$J:$J,"",0,1))</f>
        <v/>
      </c>
      <c r="O634" s="4" t="str">
        <f t="array" ref="O634">IF($E634="","", XLOOKUP(SUMIFS(Prod_Prop!$A:$A,Prod_Prop!$B:$B,$E634,Prod_Prop!$H:$H,O$1,Prod_Prop!$I:$I,"Exacto"),Prod_Prop!$A:$A,Prod_Prop!$J:$J,"",0,1))</f>
        <v/>
      </c>
      <c r="P634" s="4" t="str">
        <f t="array" ref="P634">IF($E634="","", XLOOKUP(SUMIFS(Prod_Prop!$A:$A,Prod_Prop!$B:$B,$E634,Prod_Prop!$H:$H,P$1,Prod_Prop!$I:$I,"Exacto"),Prod_Prop!$A:$A,Prod_Prop!$J:$J,"",0,1))</f>
        <v/>
      </c>
      <c r="Q634" s="4" t="str">
        <f t="array" ref="Q634">IF($E634="","", XLOOKUP(SUMIFS(Prod_Prop!$A:$A,Prod_Prop!$B:$B,$E634,Prod_Prop!$H:$H,Q$1,Prod_Prop!$I:$I,"Exacto"),Prod_Prop!$A:$A,Prod_Prop!$J:$J,"",0,1))</f>
        <v/>
      </c>
      <c r="R634" s="4" t="str">
        <f t="array" ref="R634">IF($E634="","", XLOOKUP(SUMIFS(Prod_Prop!$A:$A,Prod_Prop!$B:$B,$E634,Prod_Prop!$H:$H,R$1,Prod_Prop!$I:$I,"Exacto"),Prod_Prop!$A:$A,Prod_Prop!$J:$J,"",0,1))</f>
        <v/>
      </c>
      <c r="S634" s="4" t="str">
        <f t="array" ref="S634">IF($E634="","", XLOOKUP(SUMIFS(Prod_Prop!$A:$A,Prod_Prop!$B:$B,$E634,Prod_Prop!$H:$H,S$1,Prod_Prop!$I:$I,"Exacto"),Prod_Prop!$A:$A,Prod_Prop!$J:$J,"",0,1))</f>
        <v/>
      </c>
      <c r="T634" s="4" t="str">
        <f t="array" ref="T634">IF($E634="","", XLOOKUP(SUMIFS(Prod_Prop!$A:$A,Prod_Prop!$B:$B,$E634,Prod_Prop!$H:$H,T$1,Prod_Prop!$I:$I,"Exacto"),Prod_Prop!$A:$A,Prod_Prop!$J:$J,"",0,1))</f>
        <v/>
      </c>
      <c r="U634" s="4" t="str">
        <f t="array" ref="U634">IF($E634="","", XLOOKUP(SUMIFS(Prod_Prop!$A:$A,Prod_Prop!$B:$B,$E634,Prod_Prop!$H:$H,U$1,Prod_Prop!$I:$I,"Exacto"),Prod_Prop!$A:$A,Prod_Prop!$J:$J,"",0,1))</f>
        <v/>
      </c>
      <c r="V634" s="4" t="str">
        <f t="array" ref="V634">IF($E634="","", XLOOKUP(SUMIFS(Prod_Prop!$A:$A,Prod_Prop!$B:$B,$E634,Prod_Prop!$H:$H,V$1,Prod_Prop!$I:$I,"Exacto"),Prod_Prop!$A:$A,Prod_Prop!$J:$J,"",0,1))</f>
        <v/>
      </c>
      <c r="X634" s="3" t="str">
        <f>IFERROR(__xludf.DUMMYFUNCTION("IF(D634="""","""",IFERROR(TRANSPOSE(FILTER('Validaciones Cotizador'!U:U,'Validaciones Cotizador'!O:O=D634,'Validaciones Cotizador'!T:T=""x"")),""Finalizar""))"),"")</f>
        <v/>
      </c>
    </row>
    <row r="635">
      <c r="A635" s="2" t="str">
        <f t="array" ref="A635">IF(E635="","",XLOOKUP(D635,'Validaciones Cotizador'!C:C,'Validaciones Cotizador'!A:A,"",0,1))</f>
        <v/>
      </c>
      <c r="B635" s="2" t="str">
        <f t="array" ref="B635">IF(F635="","",XLOOKUP(F635,Productos!E:E,Productos!G:G,"",0,1))</f>
        <v/>
      </c>
      <c r="C635" s="2" t="str">
        <f>IF(A635="","",SUMIFS('Validaciones Cotizador'!B:B,'Validaciones Cotizador'!C:C,D635,'Validaciones Cotizador'!A:A,A635))</f>
        <v/>
      </c>
      <c r="D635" s="4" t="str">
        <f>IFERROR(__xludf.DUMMYFUNCTION("IF(OR(F634=""Finalizar"",F634="""",F634=""Selecciona..""),"""",IF(OR(F634=""-"",INDEX(filter(Familias!F:F,Familias!D:D=A634,Familias!E:E=C634),1)=""O""),D634+1,D634))"),"")</f>
        <v/>
      </c>
      <c r="E635" s="2" t="str">
        <f>IF(OR(F635="",F635="Selecciona.."),"",IF(D635="Implemento",SUMIF(Implementos!B:B,F635,Implementos!A:A),SUMIF(Productos!E:E,F635,Productos!A:A)))</f>
        <v/>
      </c>
      <c r="F635" s="2" t="str">
        <f t="shared" si="2"/>
        <v/>
      </c>
      <c r="G635" s="10" t="str">
        <f t="array" ref="G635">IF(OR(F635="",F635="-",F635="Selecciona..",F635="Finalizar"),"",IF(A635="Rodados",XLOOKUP(B635,'Validaciones Cotizador'!I:I,'Validaciones Cotizador'!J:J,0,0,1),1))</f>
        <v/>
      </c>
      <c r="H635" s="11" t="str">
        <f>IF(OR(F635="",F635="Selecciona.."),"",SUMIF(Precio_Productos!K:K,E635,Precio_Productos!J:J)*G635)</f>
        <v/>
      </c>
      <c r="I635" s="4" t="str">
        <f t="array" ref="I635">IF($E635="","", XLOOKUP(SUMIFS(Prod_Prop!$A:$A,Prod_Prop!$B:$B,$E635,Prod_Prop!$H:$H,I$1,Prod_Prop!$I:$I,"Exacto"),Prod_Prop!$A:$A,Prod_Prop!$J:$J,"",0,1))</f>
        <v/>
      </c>
      <c r="J635" s="4" t="str">
        <f t="array" ref="J635">IF($E635="","", XLOOKUP(SUMIFS(Prod_Prop!$A:$A,Prod_Prop!$B:$B,$E635,Prod_Prop!$H:$H,J$1,Prod_Prop!$I:$I,"Exacto"),Prod_Prop!$A:$A,Prod_Prop!$J:$J,"",0,1))</f>
        <v/>
      </c>
      <c r="K635" s="4" t="str">
        <f t="array" ref="K635">IF($E635="","", XLOOKUP(SUMIFS(Prod_Prop!$A:$A,Prod_Prop!$B:$B,$E635,Prod_Prop!$H:$H,K$1,Prod_Prop!$I:$I,"Exacto"),Prod_Prop!$A:$A,Prod_Prop!$J:$J,"",0,1))</f>
        <v/>
      </c>
      <c r="L635" s="4" t="str">
        <f t="array" ref="L635">IF($E635="","", XLOOKUP(SUMIFS(Prod_Prop!$A:$A,Prod_Prop!$B:$B,$E635,Prod_Prop!$H:$H,L$1,Prod_Prop!$I:$I,"Exacto"),Prod_Prop!$A:$A,Prod_Prop!$J:$J,"",0,1))</f>
        <v/>
      </c>
      <c r="M635" s="4" t="str">
        <f t="array" ref="M635">IF($E635="","", XLOOKUP(SUMIFS(Prod_Prop!$A:$A,Prod_Prop!$B:$B,$E635,Prod_Prop!$H:$H,M$1,Prod_Prop!$I:$I,"Exacto"),Prod_Prop!$A:$A,Prod_Prop!$J:$J,"",0,1))</f>
        <v/>
      </c>
      <c r="N635" s="4" t="str">
        <f t="array" ref="N635">IF($E635="","", XLOOKUP(SUMIFS(Prod_Prop!$A:$A,Prod_Prop!$B:$B,$E635,Prod_Prop!$H:$H,N$1,Prod_Prop!$I:$I,"Exacto"),Prod_Prop!$A:$A,Prod_Prop!$J:$J,"",0,1))</f>
        <v/>
      </c>
      <c r="O635" s="4" t="str">
        <f t="array" ref="O635">IF($E635="","", XLOOKUP(SUMIFS(Prod_Prop!$A:$A,Prod_Prop!$B:$B,$E635,Prod_Prop!$H:$H,O$1,Prod_Prop!$I:$I,"Exacto"),Prod_Prop!$A:$A,Prod_Prop!$J:$J,"",0,1))</f>
        <v/>
      </c>
      <c r="P635" s="4" t="str">
        <f t="array" ref="P635">IF($E635="","", XLOOKUP(SUMIFS(Prod_Prop!$A:$A,Prod_Prop!$B:$B,$E635,Prod_Prop!$H:$H,P$1,Prod_Prop!$I:$I,"Exacto"),Prod_Prop!$A:$A,Prod_Prop!$J:$J,"",0,1))</f>
        <v/>
      </c>
      <c r="Q635" s="4" t="str">
        <f t="array" ref="Q635">IF($E635="","", XLOOKUP(SUMIFS(Prod_Prop!$A:$A,Prod_Prop!$B:$B,$E635,Prod_Prop!$H:$H,Q$1,Prod_Prop!$I:$I,"Exacto"),Prod_Prop!$A:$A,Prod_Prop!$J:$J,"",0,1))</f>
        <v/>
      </c>
      <c r="R635" s="4" t="str">
        <f t="array" ref="R635">IF($E635="","", XLOOKUP(SUMIFS(Prod_Prop!$A:$A,Prod_Prop!$B:$B,$E635,Prod_Prop!$H:$H,R$1,Prod_Prop!$I:$I,"Exacto"),Prod_Prop!$A:$A,Prod_Prop!$J:$J,"",0,1))</f>
        <v/>
      </c>
      <c r="S635" s="4" t="str">
        <f t="array" ref="S635">IF($E635="","", XLOOKUP(SUMIFS(Prod_Prop!$A:$A,Prod_Prop!$B:$B,$E635,Prod_Prop!$H:$H,S$1,Prod_Prop!$I:$I,"Exacto"),Prod_Prop!$A:$A,Prod_Prop!$J:$J,"",0,1))</f>
        <v/>
      </c>
      <c r="T635" s="4" t="str">
        <f t="array" ref="T635">IF($E635="","", XLOOKUP(SUMIFS(Prod_Prop!$A:$A,Prod_Prop!$B:$B,$E635,Prod_Prop!$H:$H,T$1,Prod_Prop!$I:$I,"Exacto"),Prod_Prop!$A:$A,Prod_Prop!$J:$J,"",0,1))</f>
        <v/>
      </c>
      <c r="U635" s="4" t="str">
        <f t="array" ref="U635">IF($E635="","", XLOOKUP(SUMIFS(Prod_Prop!$A:$A,Prod_Prop!$B:$B,$E635,Prod_Prop!$H:$H,U$1,Prod_Prop!$I:$I,"Exacto"),Prod_Prop!$A:$A,Prod_Prop!$J:$J,"",0,1))</f>
        <v/>
      </c>
      <c r="V635" s="4" t="str">
        <f t="array" ref="V635">IF($E635="","", XLOOKUP(SUMIFS(Prod_Prop!$A:$A,Prod_Prop!$B:$B,$E635,Prod_Prop!$H:$H,V$1,Prod_Prop!$I:$I,"Exacto"),Prod_Prop!$A:$A,Prod_Prop!$J:$J,"",0,1))</f>
        <v/>
      </c>
      <c r="X635" s="3" t="str">
        <f>IFERROR(__xludf.DUMMYFUNCTION("IF(D635="""","""",IFERROR(TRANSPOSE(FILTER('Validaciones Cotizador'!U:U,'Validaciones Cotizador'!O:O=D635,'Validaciones Cotizador'!T:T=""x"")),""Finalizar""))"),"")</f>
        <v/>
      </c>
    </row>
    <row r="636">
      <c r="A636" s="2" t="str">
        <f t="array" ref="A636">IF(E636="","",XLOOKUP(D636,'Validaciones Cotizador'!C:C,'Validaciones Cotizador'!A:A,"",0,1))</f>
        <v/>
      </c>
      <c r="B636" s="2" t="str">
        <f t="array" ref="B636">IF(F636="","",XLOOKUP(F636,Productos!E:E,Productos!G:G,"",0,1))</f>
        <v/>
      </c>
      <c r="C636" s="2" t="str">
        <f>IF(A636="","",SUMIFS('Validaciones Cotizador'!B:B,'Validaciones Cotizador'!C:C,D636,'Validaciones Cotizador'!A:A,A636))</f>
        <v/>
      </c>
      <c r="D636" s="4" t="str">
        <f>IFERROR(__xludf.DUMMYFUNCTION("IF(OR(F635=""Finalizar"",F635="""",F635=""Selecciona..""),"""",IF(OR(F635=""-"",INDEX(filter(Familias!F:F,Familias!D:D=A635,Familias!E:E=C635),1)=""O""),D635+1,D635))"),"")</f>
        <v/>
      </c>
      <c r="E636" s="2" t="str">
        <f>IF(OR(F636="",F636="Selecciona.."),"",IF(D636="Implemento",SUMIF(Implementos!B:B,F636,Implementos!A:A),SUMIF(Productos!E:E,F636,Productos!A:A)))</f>
        <v/>
      </c>
      <c r="F636" s="2" t="str">
        <f t="shared" si="2"/>
        <v/>
      </c>
      <c r="G636" s="10" t="str">
        <f t="array" ref="G636">IF(OR(F636="",F636="-",F636="Selecciona..",F636="Finalizar"),"",IF(A636="Rodados",XLOOKUP(B636,'Validaciones Cotizador'!I:I,'Validaciones Cotizador'!J:J,0,0,1),1))</f>
        <v/>
      </c>
      <c r="H636" s="11" t="str">
        <f>IF(OR(F636="",F636="Selecciona.."),"",SUMIF(Precio_Productos!K:K,E636,Precio_Productos!J:J)*G636)</f>
        <v/>
      </c>
      <c r="I636" s="4" t="str">
        <f t="array" ref="I636">IF($E636="","", XLOOKUP(SUMIFS(Prod_Prop!$A:$A,Prod_Prop!$B:$B,$E636,Prod_Prop!$H:$H,I$1,Prod_Prop!$I:$I,"Exacto"),Prod_Prop!$A:$A,Prod_Prop!$J:$J,"",0,1))</f>
        <v/>
      </c>
      <c r="J636" s="4" t="str">
        <f t="array" ref="J636">IF($E636="","", XLOOKUP(SUMIFS(Prod_Prop!$A:$A,Prod_Prop!$B:$B,$E636,Prod_Prop!$H:$H,J$1,Prod_Prop!$I:$I,"Exacto"),Prod_Prop!$A:$A,Prod_Prop!$J:$J,"",0,1))</f>
        <v/>
      </c>
      <c r="K636" s="4" t="str">
        <f t="array" ref="K636">IF($E636="","", XLOOKUP(SUMIFS(Prod_Prop!$A:$A,Prod_Prop!$B:$B,$E636,Prod_Prop!$H:$H,K$1,Prod_Prop!$I:$I,"Exacto"),Prod_Prop!$A:$A,Prod_Prop!$J:$J,"",0,1))</f>
        <v/>
      </c>
      <c r="L636" s="4" t="str">
        <f t="array" ref="L636">IF($E636="","", XLOOKUP(SUMIFS(Prod_Prop!$A:$A,Prod_Prop!$B:$B,$E636,Prod_Prop!$H:$H,L$1,Prod_Prop!$I:$I,"Exacto"),Prod_Prop!$A:$A,Prod_Prop!$J:$J,"",0,1))</f>
        <v/>
      </c>
      <c r="M636" s="4" t="str">
        <f t="array" ref="M636">IF($E636="","", XLOOKUP(SUMIFS(Prod_Prop!$A:$A,Prod_Prop!$B:$B,$E636,Prod_Prop!$H:$H,M$1,Prod_Prop!$I:$I,"Exacto"),Prod_Prop!$A:$A,Prod_Prop!$J:$J,"",0,1))</f>
        <v/>
      </c>
      <c r="N636" s="4" t="str">
        <f t="array" ref="N636">IF($E636="","", XLOOKUP(SUMIFS(Prod_Prop!$A:$A,Prod_Prop!$B:$B,$E636,Prod_Prop!$H:$H,N$1,Prod_Prop!$I:$I,"Exacto"),Prod_Prop!$A:$A,Prod_Prop!$J:$J,"",0,1))</f>
        <v/>
      </c>
      <c r="O636" s="4" t="str">
        <f t="array" ref="O636">IF($E636="","", XLOOKUP(SUMIFS(Prod_Prop!$A:$A,Prod_Prop!$B:$B,$E636,Prod_Prop!$H:$H,O$1,Prod_Prop!$I:$I,"Exacto"),Prod_Prop!$A:$A,Prod_Prop!$J:$J,"",0,1))</f>
        <v/>
      </c>
      <c r="P636" s="4" t="str">
        <f t="array" ref="P636">IF($E636="","", XLOOKUP(SUMIFS(Prod_Prop!$A:$A,Prod_Prop!$B:$B,$E636,Prod_Prop!$H:$H,P$1,Prod_Prop!$I:$I,"Exacto"),Prod_Prop!$A:$A,Prod_Prop!$J:$J,"",0,1))</f>
        <v/>
      </c>
      <c r="Q636" s="4" t="str">
        <f t="array" ref="Q636">IF($E636="","", XLOOKUP(SUMIFS(Prod_Prop!$A:$A,Prod_Prop!$B:$B,$E636,Prod_Prop!$H:$H,Q$1,Prod_Prop!$I:$I,"Exacto"),Prod_Prop!$A:$A,Prod_Prop!$J:$J,"",0,1))</f>
        <v/>
      </c>
      <c r="R636" s="4" t="str">
        <f t="array" ref="R636">IF($E636="","", XLOOKUP(SUMIFS(Prod_Prop!$A:$A,Prod_Prop!$B:$B,$E636,Prod_Prop!$H:$H,R$1,Prod_Prop!$I:$I,"Exacto"),Prod_Prop!$A:$A,Prod_Prop!$J:$J,"",0,1))</f>
        <v/>
      </c>
      <c r="S636" s="4" t="str">
        <f t="array" ref="S636">IF($E636="","", XLOOKUP(SUMIFS(Prod_Prop!$A:$A,Prod_Prop!$B:$B,$E636,Prod_Prop!$H:$H,S$1,Prod_Prop!$I:$I,"Exacto"),Prod_Prop!$A:$A,Prod_Prop!$J:$J,"",0,1))</f>
        <v/>
      </c>
      <c r="T636" s="4" t="str">
        <f t="array" ref="T636">IF($E636="","", XLOOKUP(SUMIFS(Prod_Prop!$A:$A,Prod_Prop!$B:$B,$E636,Prod_Prop!$H:$H,T$1,Prod_Prop!$I:$I,"Exacto"),Prod_Prop!$A:$A,Prod_Prop!$J:$J,"",0,1))</f>
        <v/>
      </c>
      <c r="U636" s="4" t="str">
        <f t="array" ref="U636">IF($E636="","", XLOOKUP(SUMIFS(Prod_Prop!$A:$A,Prod_Prop!$B:$B,$E636,Prod_Prop!$H:$H,U$1,Prod_Prop!$I:$I,"Exacto"),Prod_Prop!$A:$A,Prod_Prop!$J:$J,"",0,1))</f>
        <v/>
      </c>
      <c r="V636" s="4" t="str">
        <f t="array" ref="V636">IF($E636="","", XLOOKUP(SUMIFS(Prod_Prop!$A:$A,Prod_Prop!$B:$B,$E636,Prod_Prop!$H:$H,V$1,Prod_Prop!$I:$I,"Exacto"),Prod_Prop!$A:$A,Prod_Prop!$J:$J,"",0,1))</f>
        <v/>
      </c>
      <c r="X636" s="3" t="str">
        <f>IFERROR(__xludf.DUMMYFUNCTION("IF(D636="""","""",IFERROR(TRANSPOSE(FILTER('Validaciones Cotizador'!U:U,'Validaciones Cotizador'!O:O=D636,'Validaciones Cotizador'!T:T=""x"")),""Finalizar""))"),"")</f>
        <v/>
      </c>
    </row>
    <row r="637">
      <c r="A637" s="2" t="str">
        <f t="array" ref="A637">IF(E637="","",XLOOKUP(D637,'Validaciones Cotizador'!C:C,'Validaciones Cotizador'!A:A,"",0,1))</f>
        <v/>
      </c>
      <c r="B637" s="2" t="str">
        <f t="array" ref="B637">IF(F637="","",XLOOKUP(F637,Productos!E:E,Productos!G:G,"",0,1))</f>
        <v/>
      </c>
      <c r="C637" s="2" t="str">
        <f>IF(A637="","",SUMIFS('Validaciones Cotizador'!B:B,'Validaciones Cotizador'!C:C,D637,'Validaciones Cotizador'!A:A,A637))</f>
        <v/>
      </c>
      <c r="D637" s="4" t="str">
        <f>IFERROR(__xludf.DUMMYFUNCTION("IF(OR(F636=""Finalizar"",F636="""",F636=""Selecciona..""),"""",IF(OR(F636=""-"",INDEX(filter(Familias!F:F,Familias!D:D=A636,Familias!E:E=C636),1)=""O""),D636+1,D636))"),"")</f>
        <v/>
      </c>
      <c r="E637" s="2" t="str">
        <f>IF(OR(F637="",F637="Selecciona.."),"",IF(D637="Implemento",SUMIF(Implementos!B:B,F637,Implementos!A:A),SUMIF(Productos!E:E,F637,Productos!A:A)))</f>
        <v/>
      </c>
      <c r="F637" s="2" t="str">
        <f t="shared" si="2"/>
        <v/>
      </c>
      <c r="G637" s="10" t="str">
        <f t="array" ref="G637">IF(OR(F637="",F637="-",F637="Selecciona..",F637="Finalizar"),"",IF(A637="Rodados",XLOOKUP(B637,'Validaciones Cotizador'!I:I,'Validaciones Cotizador'!J:J,0,0,1),1))</f>
        <v/>
      </c>
      <c r="H637" s="11" t="str">
        <f>IF(OR(F637="",F637="Selecciona.."),"",SUMIF(Precio_Productos!K:K,E637,Precio_Productos!J:J)*G637)</f>
        <v/>
      </c>
      <c r="I637" s="4" t="str">
        <f t="array" ref="I637">IF($E637="","", XLOOKUP(SUMIFS(Prod_Prop!$A:$A,Prod_Prop!$B:$B,$E637,Prod_Prop!$H:$H,I$1,Prod_Prop!$I:$I,"Exacto"),Prod_Prop!$A:$A,Prod_Prop!$J:$J,"",0,1))</f>
        <v/>
      </c>
      <c r="J637" s="4" t="str">
        <f t="array" ref="J637">IF($E637="","", XLOOKUP(SUMIFS(Prod_Prop!$A:$A,Prod_Prop!$B:$B,$E637,Prod_Prop!$H:$H,J$1,Prod_Prop!$I:$I,"Exacto"),Prod_Prop!$A:$A,Prod_Prop!$J:$J,"",0,1))</f>
        <v/>
      </c>
      <c r="K637" s="4" t="str">
        <f t="array" ref="K637">IF($E637="","", XLOOKUP(SUMIFS(Prod_Prop!$A:$A,Prod_Prop!$B:$B,$E637,Prod_Prop!$H:$H,K$1,Prod_Prop!$I:$I,"Exacto"),Prod_Prop!$A:$A,Prod_Prop!$J:$J,"",0,1))</f>
        <v/>
      </c>
      <c r="L637" s="4" t="str">
        <f t="array" ref="L637">IF($E637="","", XLOOKUP(SUMIFS(Prod_Prop!$A:$A,Prod_Prop!$B:$B,$E637,Prod_Prop!$H:$H,L$1,Prod_Prop!$I:$I,"Exacto"),Prod_Prop!$A:$A,Prod_Prop!$J:$J,"",0,1))</f>
        <v/>
      </c>
      <c r="M637" s="4" t="str">
        <f t="array" ref="M637">IF($E637="","", XLOOKUP(SUMIFS(Prod_Prop!$A:$A,Prod_Prop!$B:$B,$E637,Prod_Prop!$H:$H,M$1,Prod_Prop!$I:$I,"Exacto"),Prod_Prop!$A:$A,Prod_Prop!$J:$J,"",0,1))</f>
        <v/>
      </c>
      <c r="N637" s="4" t="str">
        <f t="array" ref="N637">IF($E637="","", XLOOKUP(SUMIFS(Prod_Prop!$A:$A,Prod_Prop!$B:$B,$E637,Prod_Prop!$H:$H,N$1,Prod_Prop!$I:$I,"Exacto"),Prod_Prop!$A:$A,Prod_Prop!$J:$J,"",0,1))</f>
        <v/>
      </c>
      <c r="O637" s="4" t="str">
        <f t="array" ref="O637">IF($E637="","", XLOOKUP(SUMIFS(Prod_Prop!$A:$A,Prod_Prop!$B:$B,$E637,Prod_Prop!$H:$H,O$1,Prod_Prop!$I:$I,"Exacto"),Prod_Prop!$A:$A,Prod_Prop!$J:$J,"",0,1))</f>
        <v/>
      </c>
      <c r="P637" s="4" t="str">
        <f t="array" ref="P637">IF($E637="","", XLOOKUP(SUMIFS(Prod_Prop!$A:$A,Prod_Prop!$B:$B,$E637,Prod_Prop!$H:$H,P$1,Prod_Prop!$I:$I,"Exacto"),Prod_Prop!$A:$A,Prod_Prop!$J:$J,"",0,1))</f>
        <v/>
      </c>
      <c r="Q637" s="4" t="str">
        <f t="array" ref="Q637">IF($E637="","", XLOOKUP(SUMIFS(Prod_Prop!$A:$A,Prod_Prop!$B:$B,$E637,Prod_Prop!$H:$H,Q$1,Prod_Prop!$I:$I,"Exacto"),Prod_Prop!$A:$A,Prod_Prop!$J:$J,"",0,1))</f>
        <v/>
      </c>
      <c r="R637" s="4" t="str">
        <f t="array" ref="R637">IF($E637="","", XLOOKUP(SUMIFS(Prod_Prop!$A:$A,Prod_Prop!$B:$B,$E637,Prod_Prop!$H:$H,R$1,Prod_Prop!$I:$I,"Exacto"),Prod_Prop!$A:$A,Prod_Prop!$J:$J,"",0,1))</f>
        <v/>
      </c>
      <c r="S637" s="4" t="str">
        <f t="array" ref="S637">IF($E637="","", XLOOKUP(SUMIFS(Prod_Prop!$A:$A,Prod_Prop!$B:$B,$E637,Prod_Prop!$H:$H,S$1,Prod_Prop!$I:$I,"Exacto"),Prod_Prop!$A:$A,Prod_Prop!$J:$J,"",0,1))</f>
        <v/>
      </c>
      <c r="T637" s="4" t="str">
        <f t="array" ref="T637">IF($E637="","", XLOOKUP(SUMIFS(Prod_Prop!$A:$A,Prod_Prop!$B:$B,$E637,Prod_Prop!$H:$H,T$1,Prod_Prop!$I:$I,"Exacto"),Prod_Prop!$A:$A,Prod_Prop!$J:$J,"",0,1))</f>
        <v/>
      </c>
      <c r="U637" s="4" t="str">
        <f t="array" ref="U637">IF($E637="","", XLOOKUP(SUMIFS(Prod_Prop!$A:$A,Prod_Prop!$B:$B,$E637,Prod_Prop!$H:$H,U$1,Prod_Prop!$I:$I,"Exacto"),Prod_Prop!$A:$A,Prod_Prop!$J:$J,"",0,1))</f>
        <v/>
      </c>
      <c r="V637" s="4" t="str">
        <f t="array" ref="V637">IF($E637="","", XLOOKUP(SUMIFS(Prod_Prop!$A:$A,Prod_Prop!$B:$B,$E637,Prod_Prop!$H:$H,V$1,Prod_Prop!$I:$I,"Exacto"),Prod_Prop!$A:$A,Prod_Prop!$J:$J,"",0,1))</f>
        <v/>
      </c>
      <c r="X637" s="3" t="str">
        <f>IFERROR(__xludf.DUMMYFUNCTION("IF(D637="""","""",IFERROR(TRANSPOSE(FILTER('Validaciones Cotizador'!U:U,'Validaciones Cotizador'!O:O=D637,'Validaciones Cotizador'!T:T=""x"")),""Finalizar""))"),"")</f>
        <v/>
      </c>
    </row>
    <row r="638">
      <c r="A638" s="2" t="str">
        <f t="array" ref="A638">IF(E638="","",XLOOKUP(D638,'Validaciones Cotizador'!C:C,'Validaciones Cotizador'!A:A,"",0,1))</f>
        <v/>
      </c>
      <c r="B638" s="2" t="str">
        <f t="array" ref="B638">IF(F638="","",XLOOKUP(F638,Productos!E:E,Productos!G:G,"",0,1))</f>
        <v/>
      </c>
      <c r="C638" s="2" t="str">
        <f>IF(A638="","",SUMIFS('Validaciones Cotizador'!B:B,'Validaciones Cotizador'!C:C,D638,'Validaciones Cotizador'!A:A,A638))</f>
        <v/>
      </c>
      <c r="D638" s="4" t="str">
        <f>IFERROR(__xludf.DUMMYFUNCTION("IF(OR(F637=""Finalizar"",F637="""",F637=""Selecciona..""),"""",IF(OR(F637=""-"",INDEX(filter(Familias!F:F,Familias!D:D=A637,Familias!E:E=C637),1)=""O""),D637+1,D637))"),"")</f>
        <v/>
      </c>
      <c r="E638" s="2" t="str">
        <f>IF(OR(F638="",F638="Selecciona.."),"",IF(D638="Implemento",SUMIF(Implementos!B:B,F638,Implementos!A:A),SUMIF(Productos!E:E,F638,Productos!A:A)))</f>
        <v/>
      </c>
      <c r="F638" s="2" t="str">
        <f t="shared" si="2"/>
        <v/>
      </c>
      <c r="G638" s="10" t="str">
        <f t="array" ref="G638">IF(OR(F638="",F638="-",F638="Selecciona..",F638="Finalizar"),"",IF(A638="Rodados",XLOOKUP(B638,'Validaciones Cotizador'!I:I,'Validaciones Cotizador'!J:J,0,0,1),1))</f>
        <v/>
      </c>
      <c r="H638" s="11" t="str">
        <f>IF(OR(F638="",F638="Selecciona.."),"",SUMIF(Precio_Productos!K:K,E638,Precio_Productos!J:J)*G638)</f>
        <v/>
      </c>
      <c r="I638" s="4" t="str">
        <f t="array" ref="I638">IF($E638="","", XLOOKUP(SUMIFS(Prod_Prop!$A:$A,Prod_Prop!$B:$B,$E638,Prod_Prop!$H:$H,I$1,Prod_Prop!$I:$I,"Exacto"),Prod_Prop!$A:$A,Prod_Prop!$J:$J,"",0,1))</f>
        <v/>
      </c>
      <c r="J638" s="4" t="str">
        <f t="array" ref="J638">IF($E638="","", XLOOKUP(SUMIFS(Prod_Prop!$A:$A,Prod_Prop!$B:$B,$E638,Prod_Prop!$H:$H,J$1,Prod_Prop!$I:$I,"Exacto"),Prod_Prop!$A:$A,Prod_Prop!$J:$J,"",0,1))</f>
        <v/>
      </c>
      <c r="K638" s="4" t="str">
        <f t="array" ref="K638">IF($E638="","", XLOOKUP(SUMIFS(Prod_Prop!$A:$A,Prod_Prop!$B:$B,$E638,Prod_Prop!$H:$H,K$1,Prod_Prop!$I:$I,"Exacto"),Prod_Prop!$A:$A,Prod_Prop!$J:$J,"",0,1))</f>
        <v/>
      </c>
      <c r="L638" s="4" t="str">
        <f t="array" ref="L638">IF($E638="","", XLOOKUP(SUMIFS(Prod_Prop!$A:$A,Prod_Prop!$B:$B,$E638,Prod_Prop!$H:$H,L$1,Prod_Prop!$I:$I,"Exacto"),Prod_Prop!$A:$A,Prod_Prop!$J:$J,"",0,1))</f>
        <v/>
      </c>
      <c r="M638" s="4" t="str">
        <f t="array" ref="M638">IF($E638="","", XLOOKUP(SUMIFS(Prod_Prop!$A:$A,Prod_Prop!$B:$B,$E638,Prod_Prop!$H:$H,M$1,Prod_Prop!$I:$I,"Exacto"),Prod_Prop!$A:$A,Prod_Prop!$J:$J,"",0,1))</f>
        <v/>
      </c>
      <c r="N638" s="4" t="str">
        <f t="array" ref="N638">IF($E638="","", XLOOKUP(SUMIFS(Prod_Prop!$A:$A,Prod_Prop!$B:$B,$E638,Prod_Prop!$H:$H,N$1,Prod_Prop!$I:$I,"Exacto"),Prod_Prop!$A:$A,Prod_Prop!$J:$J,"",0,1))</f>
        <v/>
      </c>
      <c r="O638" s="4" t="str">
        <f t="array" ref="O638">IF($E638="","", XLOOKUP(SUMIFS(Prod_Prop!$A:$A,Prod_Prop!$B:$B,$E638,Prod_Prop!$H:$H,O$1,Prod_Prop!$I:$I,"Exacto"),Prod_Prop!$A:$A,Prod_Prop!$J:$J,"",0,1))</f>
        <v/>
      </c>
      <c r="P638" s="4" t="str">
        <f t="array" ref="P638">IF($E638="","", XLOOKUP(SUMIFS(Prod_Prop!$A:$A,Prod_Prop!$B:$B,$E638,Prod_Prop!$H:$H,P$1,Prod_Prop!$I:$I,"Exacto"),Prod_Prop!$A:$A,Prod_Prop!$J:$J,"",0,1))</f>
        <v/>
      </c>
      <c r="Q638" s="4" t="str">
        <f t="array" ref="Q638">IF($E638="","", XLOOKUP(SUMIFS(Prod_Prop!$A:$A,Prod_Prop!$B:$B,$E638,Prod_Prop!$H:$H,Q$1,Prod_Prop!$I:$I,"Exacto"),Prod_Prop!$A:$A,Prod_Prop!$J:$J,"",0,1))</f>
        <v/>
      </c>
      <c r="R638" s="4" t="str">
        <f t="array" ref="R638">IF($E638="","", XLOOKUP(SUMIFS(Prod_Prop!$A:$A,Prod_Prop!$B:$B,$E638,Prod_Prop!$H:$H,R$1,Prod_Prop!$I:$I,"Exacto"),Prod_Prop!$A:$A,Prod_Prop!$J:$J,"",0,1))</f>
        <v/>
      </c>
      <c r="S638" s="4" t="str">
        <f t="array" ref="S638">IF($E638="","", XLOOKUP(SUMIFS(Prod_Prop!$A:$A,Prod_Prop!$B:$B,$E638,Prod_Prop!$H:$H,S$1,Prod_Prop!$I:$I,"Exacto"),Prod_Prop!$A:$A,Prod_Prop!$J:$J,"",0,1))</f>
        <v/>
      </c>
      <c r="T638" s="4" t="str">
        <f t="array" ref="T638">IF($E638="","", XLOOKUP(SUMIFS(Prod_Prop!$A:$A,Prod_Prop!$B:$B,$E638,Prod_Prop!$H:$H,T$1,Prod_Prop!$I:$I,"Exacto"),Prod_Prop!$A:$A,Prod_Prop!$J:$J,"",0,1))</f>
        <v/>
      </c>
      <c r="U638" s="4" t="str">
        <f t="array" ref="U638">IF($E638="","", XLOOKUP(SUMIFS(Prod_Prop!$A:$A,Prod_Prop!$B:$B,$E638,Prod_Prop!$H:$H,U$1,Prod_Prop!$I:$I,"Exacto"),Prod_Prop!$A:$A,Prod_Prop!$J:$J,"",0,1))</f>
        <v/>
      </c>
      <c r="V638" s="4" t="str">
        <f t="array" ref="V638">IF($E638="","", XLOOKUP(SUMIFS(Prod_Prop!$A:$A,Prod_Prop!$B:$B,$E638,Prod_Prop!$H:$H,V$1,Prod_Prop!$I:$I,"Exacto"),Prod_Prop!$A:$A,Prod_Prop!$J:$J,"",0,1))</f>
        <v/>
      </c>
      <c r="X638" s="3" t="str">
        <f>IFERROR(__xludf.DUMMYFUNCTION("IF(D638="""","""",IFERROR(TRANSPOSE(FILTER('Validaciones Cotizador'!U:U,'Validaciones Cotizador'!O:O=D638,'Validaciones Cotizador'!T:T=""x"")),""Finalizar""))"),"")</f>
        <v/>
      </c>
    </row>
    <row r="639">
      <c r="A639" s="2" t="str">
        <f t="array" ref="A639">IF(E639="","",XLOOKUP(D639,'Validaciones Cotizador'!C:C,'Validaciones Cotizador'!A:A,"",0,1))</f>
        <v/>
      </c>
      <c r="B639" s="2" t="str">
        <f t="array" ref="B639">IF(F639="","",XLOOKUP(F639,Productos!E:E,Productos!G:G,"",0,1))</f>
        <v/>
      </c>
      <c r="C639" s="2" t="str">
        <f>IF(A639="","",SUMIFS('Validaciones Cotizador'!B:B,'Validaciones Cotizador'!C:C,D639,'Validaciones Cotizador'!A:A,A639))</f>
        <v/>
      </c>
      <c r="D639" s="4" t="str">
        <f>IFERROR(__xludf.DUMMYFUNCTION("IF(OR(F638=""Finalizar"",F638="""",F638=""Selecciona..""),"""",IF(OR(F638=""-"",INDEX(filter(Familias!F:F,Familias!D:D=A638,Familias!E:E=C638),1)=""O""),D638+1,D638))"),"")</f>
        <v/>
      </c>
      <c r="E639" s="2" t="str">
        <f>IF(OR(F639="",F639="Selecciona.."),"",IF(D639="Implemento",SUMIF(Implementos!B:B,F639,Implementos!A:A),SUMIF(Productos!E:E,F639,Productos!A:A)))</f>
        <v/>
      </c>
      <c r="F639" s="2" t="str">
        <f t="shared" si="2"/>
        <v/>
      </c>
      <c r="G639" s="10" t="str">
        <f t="array" ref="G639">IF(OR(F639="",F639="-",F639="Selecciona..",F639="Finalizar"),"",IF(A639="Rodados",XLOOKUP(B639,'Validaciones Cotizador'!I:I,'Validaciones Cotizador'!J:J,0,0,1),1))</f>
        <v/>
      </c>
      <c r="H639" s="11" t="str">
        <f>IF(OR(F639="",F639="Selecciona.."),"",SUMIF(Precio_Productos!K:K,E639,Precio_Productos!J:J)*G639)</f>
        <v/>
      </c>
      <c r="I639" s="4" t="str">
        <f t="array" ref="I639">IF($E639="","", XLOOKUP(SUMIFS(Prod_Prop!$A:$A,Prod_Prop!$B:$B,$E639,Prod_Prop!$H:$H,I$1,Prod_Prop!$I:$I,"Exacto"),Prod_Prop!$A:$A,Prod_Prop!$J:$J,"",0,1))</f>
        <v/>
      </c>
      <c r="J639" s="4" t="str">
        <f t="array" ref="J639">IF($E639="","", XLOOKUP(SUMIFS(Prod_Prop!$A:$A,Prod_Prop!$B:$B,$E639,Prod_Prop!$H:$H,J$1,Prod_Prop!$I:$I,"Exacto"),Prod_Prop!$A:$A,Prod_Prop!$J:$J,"",0,1))</f>
        <v/>
      </c>
      <c r="K639" s="4" t="str">
        <f t="array" ref="K639">IF($E639="","", XLOOKUP(SUMIFS(Prod_Prop!$A:$A,Prod_Prop!$B:$B,$E639,Prod_Prop!$H:$H,K$1,Prod_Prop!$I:$I,"Exacto"),Prod_Prop!$A:$A,Prod_Prop!$J:$J,"",0,1))</f>
        <v/>
      </c>
      <c r="L639" s="4" t="str">
        <f t="array" ref="L639">IF($E639="","", XLOOKUP(SUMIFS(Prod_Prop!$A:$A,Prod_Prop!$B:$B,$E639,Prod_Prop!$H:$H,L$1,Prod_Prop!$I:$I,"Exacto"),Prod_Prop!$A:$A,Prod_Prop!$J:$J,"",0,1))</f>
        <v/>
      </c>
      <c r="M639" s="4" t="str">
        <f t="array" ref="M639">IF($E639="","", XLOOKUP(SUMIFS(Prod_Prop!$A:$A,Prod_Prop!$B:$B,$E639,Prod_Prop!$H:$H,M$1,Prod_Prop!$I:$I,"Exacto"),Prod_Prop!$A:$A,Prod_Prop!$J:$J,"",0,1))</f>
        <v/>
      </c>
      <c r="N639" s="4" t="str">
        <f t="array" ref="N639">IF($E639="","", XLOOKUP(SUMIFS(Prod_Prop!$A:$A,Prod_Prop!$B:$B,$E639,Prod_Prop!$H:$H,N$1,Prod_Prop!$I:$I,"Exacto"),Prod_Prop!$A:$A,Prod_Prop!$J:$J,"",0,1))</f>
        <v/>
      </c>
      <c r="O639" s="4" t="str">
        <f t="array" ref="O639">IF($E639="","", XLOOKUP(SUMIFS(Prod_Prop!$A:$A,Prod_Prop!$B:$B,$E639,Prod_Prop!$H:$H,O$1,Prod_Prop!$I:$I,"Exacto"),Prod_Prop!$A:$A,Prod_Prop!$J:$J,"",0,1))</f>
        <v/>
      </c>
      <c r="P639" s="4" t="str">
        <f t="array" ref="P639">IF($E639="","", XLOOKUP(SUMIFS(Prod_Prop!$A:$A,Prod_Prop!$B:$B,$E639,Prod_Prop!$H:$H,P$1,Prod_Prop!$I:$I,"Exacto"),Prod_Prop!$A:$A,Prod_Prop!$J:$J,"",0,1))</f>
        <v/>
      </c>
      <c r="Q639" s="4" t="str">
        <f t="array" ref="Q639">IF($E639="","", XLOOKUP(SUMIFS(Prod_Prop!$A:$A,Prod_Prop!$B:$B,$E639,Prod_Prop!$H:$H,Q$1,Prod_Prop!$I:$I,"Exacto"),Prod_Prop!$A:$A,Prod_Prop!$J:$J,"",0,1))</f>
        <v/>
      </c>
      <c r="R639" s="4" t="str">
        <f t="array" ref="R639">IF($E639="","", XLOOKUP(SUMIFS(Prod_Prop!$A:$A,Prod_Prop!$B:$B,$E639,Prod_Prop!$H:$H,R$1,Prod_Prop!$I:$I,"Exacto"),Prod_Prop!$A:$A,Prod_Prop!$J:$J,"",0,1))</f>
        <v/>
      </c>
      <c r="S639" s="4" t="str">
        <f t="array" ref="S639">IF($E639="","", XLOOKUP(SUMIFS(Prod_Prop!$A:$A,Prod_Prop!$B:$B,$E639,Prod_Prop!$H:$H,S$1,Prod_Prop!$I:$I,"Exacto"),Prod_Prop!$A:$A,Prod_Prop!$J:$J,"",0,1))</f>
        <v/>
      </c>
      <c r="T639" s="4" t="str">
        <f t="array" ref="T639">IF($E639="","", XLOOKUP(SUMIFS(Prod_Prop!$A:$A,Prod_Prop!$B:$B,$E639,Prod_Prop!$H:$H,T$1,Prod_Prop!$I:$I,"Exacto"),Prod_Prop!$A:$A,Prod_Prop!$J:$J,"",0,1))</f>
        <v/>
      </c>
      <c r="U639" s="4" t="str">
        <f t="array" ref="U639">IF($E639="","", XLOOKUP(SUMIFS(Prod_Prop!$A:$A,Prod_Prop!$B:$B,$E639,Prod_Prop!$H:$H,U$1,Prod_Prop!$I:$I,"Exacto"),Prod_Prop!$A:$A,Prod_Prop!$J:$J,"",0,1))</f>
        <v/>
      </c>
      <c r="V639" s="4" t="str">
        <f t="array" ref="V639">IF($E639="","", XLOOKUP(SUMIFS(Prod_Prop!$A:$A,Prod_Prop!$B:$B,$E639,Prod_Prop!$H:$H,V$1,Prod_Prop!$I:$I,"Exacto"),Prod_Prop!$A:$A,Prod_Prop!$J:$J,"",0,1))</f>
        <v/>
      </c>
      <c r="X639" s="3" t="str">
        <f>IFERROR(__xludf.DUMMYFUNCTION("IF(D639="""","""",IFERROR(TRANSPOSE(FILTER('Validaciones Cotizador'!U:U,'Validaciones Cotizador'!O:O=D639,'Validaciones Cotizador'!T:T=""x"")),""Finalizar""))"),"")</f>
        <v/>
      </c>
    </row>
    <row r="640">
      <c r="A640" s="2" t="str">
        <f t="array" ref="A640">IF(E640="","",XLOOKUP(D640,'Validaciones Cotizador'!C:C,'Validaciones Cotizador'!A:A,"",0,1))</f>
        <v/>
      </c>
      <c r="B640" s="2" t="str">
        <f t="array" ref="B640">IF(F640="","",XLOOKUP(F640,Productos!E:E,Productos!G:G,"",0,1))</f>
        <v/>
      </c>
      <c r="C640" s="2" t="str">
        <f>IF(A640="","",SUMIFS('Validaciones Cotizador'!B:B,'Validaciones Cotizador'!C:C,D640,'Validaciones Cotizador'!A:A,A640))</f>
        <v/>
      </c>
      <c r="D640" s="4" t="str">
        <f>IFERROR(__xludf.DUMMYFUNCTION("IF(OR(F639=""Finalizar"",F639="""",F639=""Selecciona..""),"""",IF(OR(F639=""-"",INDEX(filter(Familias!F:F,Familias!D:D=A639,Familias!E:E=C639),1)=""O""),D639+1,D639))"),"")</f>
        <v/>
      </c>
      <c r="E640" s="2" t="str">
        <f>IF(OR(F640="",F640="Selecciona.."),"",IF(D640="Implemento",SUMIF(Implementos!B:B,F640,Implementos!A:A),SUMIF(Productos!E:E,F640,Productos!A:A)))</f>
        <v/>
      </c>
      <c r="F640" s="2" t="str">
        <f t="shared" si="2"/>
        <v/>
      </c>
      <c r="G640" s="10" t="str">
        <f t="array" ref="G640">IF(OR(F640="",F640="-",F640="Selecciona..",F640="Finalizar"),"",IF(A640="Rodados",XLOOKUP(B640,'Validaciones Cotizador'!I:I,'Validaciones Cotizador'!J:J,0,0,1),1))</f>
        <v/>
      </c>
      <c r="H640" s="11" t="str">
        <f>IF(OR(F640="",F640="Selecciona.."),"",SUMIF(Precio_Productos!K:K,E640,Precio_Productos!J:J)*G640)</f>
        <v/>
      </c>
      <c r="I640" s="4" t="str">
        <f t="array" ref="I640">IF($E640="","", XLOOKUP(SUMIFS(Prod_Prop!$A:$A,Prod_Prop!$B:$B,$E640,Prod_Prop!$H:$H,I$1,Prod_Prop!$I:$I,"Exacto"),Prod_Prop!$A:$A,Prod_Prop!$J:$J,"",0,1))</f>
        <v/>
      </c>
      <c r="J640" s="4" t="str">
        <f t="array" ref="J640">IF($E640="","", XLOOKUP(SUMIFS(Prod_Prop!$A:$A,Prod_Prop!$B:$B,$E640,Prod_Prop!$H:$H,J$1,Prod_Prop!$I:$I,"Exacto"),Prod_Prop!$A:$A,Prod_Prop!$J:$J,"",0,1))</f>
        <v/>
      </c>
      <c r="K640" s="4" t="str">
        <f t="array" ref="K640">IF($E640="","", XLOOKUP(SUMIFS(Prod_Prop!$A:$A,Prod_Prop!$B:$B,$E640,Prod_Prop!$H:$H,K$1,Prod_Prop!$I:$I,"Exacto"),Prod_Prop!$A:$A,Prod_Prop!$J:$J,"",0,1))</f>
        <v/>
      </c>
      <c r="L640" s="4" t="str">
        <f t="array" ref="L640">IF($E640="","", XLOOKUP(SUMIFS(Prod_Prop!$A:$A,Prod_Prop!$B:$B,$E640,Prod_Prop!$H:$H,L$1,Prod_Prop!$I:$I,"Exacto"),Prod_Prop!$A:$A,Prod_Prop!$J:$J,"",0,1))</f>
        <v/>
      </c>
      <c r="M640" s="4" t="str">
        <f t="array" ref="M640">IF($E640="","", XLOOKUP(SUMIFS(Prod_Prop!$A:$A,Prod_Prop!$B:$B,$E640,Prod_Prop!$H:$H,M$1,Prod_Prop!$I:$I,"Exacto"),Prod_Prop!$A:$A,Prod_Prop!$J:$J,"",0,1))</f>
        <v/>
      </c>
      <c r="N640" s="4" t="str">
        <f t="array" ref="N640">IF($E640="","", XLOOKUP(SUMIFS(Prod_Prop!$A:$A,Prod_Prop!$B:$B,$E640,Prod_Prop!$H:$H,N$1,Prod_Prop!$I:$I,"Exacto"),Prod_Prop!$A:$A,Prod_Prop!$J:$J,"",0,1))</f>
        <v/>
      </c>
      <c r="O640" s="4" t="str">
        <f t="array" ref="O640">IF($E640="","", XLOOKUP(SUMIFS(Prod_Prop!$A:$A,Prod_Prop!$B:$B,$E640,Prod_Prop!$H:$H,O$1,Prod_Prop!$I:$I,"Exacto"),Prod_Prop!$A:$A,Prod_Prop!$J:$J,"",0,1))</f>
        <v/>
      </c>
      <c r="P640" s="4" t="str">
        <f t="array" ref="P640">IF($E640="","", XLOOKUP(SUMIFS(Prod_Prop!$A:$A,Prod_Prop!$B:$B,$E640,Prod_Prop!$H:$H,P$1,Prod_Prop!$I:$I,"Exacto"),Prod_Prop!$A:$A,Prod_Prop!$J:$J,"",0,1))</f>
        <v/>
      </c>
      <c r="Q640" s="4" t="str">
        <f t="array" ref="Q640">IF($E640="","", XLOOKUP(SUMIFS(Prod_Prop!$A:$A,Prod_Prop!$B:$B,$E640,Prod_Prop!$H:$H,Q$1,Prod_Prop!$I:$I,"Exacto"),Prod_Prop!$A:$A,Prod_Prop!$J:$J,"",0,1))</f>
        <v/>
      </c>
      <c r="R640" s="4" t="str">
        <f t="array" ref="R640">IF($E640="","", XLOOKUP(SUMIFS(Prod_Prop!$A:$A,Prod_Prop!$B:$B,$E640,Prod_Prop!$H:$H,R$1,Prod_Prop!$I:$I,"Exacto"),Prod_Prop!$A:$A,Prod_Prop!$J:$J,"",0,1))</f>
        <v/>
      </c>
      <c r="S640" s="4" t="str">
        <f t="array" ref="S640">IF($E640="","", XLOOKUP(SUMIFS(Prod_Prop!$A:$A,Prod_Prop!$B:$B,$E640,Prod_Prop!$H:$H,S$1,Prod_Prop!$I:$I,"Exacto"),Prod_Prop!$A:$A,Prod_Prop!$J:$J,"",0,1))</f>
        <v/>
      </c>
      <c r="T640" s="4" t="str">
        <f t="array" ref="T640">IF($E640="","", XLOOKUP(SUMIFS(Prod_Prop!$A:$A,Prod_Prop!$B:$B,$E640,Prod_Prop!$H:$H,T$1,Prod_Prop!$I:$I,"Exacto"),Prod_Prop!$A:$A,Prod_Prop!$J:$J,"",0,1))</f>
        <v/>
      </c>
      <c r="U640" s="4" t="str">
        <f t="array" ref="U640">IF($E640="","", XLOOKUP(SUMIFS(Prod_Prop!$A:$A,Prod_Prop!$B:$B,$E640,Prod_Prop!$H:$H,U$1,Prod_Prop!$I:$I,"Exacto"),Prod_Prop!$A:$A,Prod_Prop!$J:$J,"",0,1))</f>
        <v/>
      </c>
      <c r="V640" s="4" t="str">
        <f t="array" ref="V640">IF($E640="","", XLOOKUP(SUMIFS(Prod_Prop!$A:$A,Prod_Prop!$B:$B,$E640,Prod_Prop!$H:$H,V$1,Prod_Prop!$I:$I,"Exacto"),Prod_Prop!$A:$A,Prod_Prop!$J:$J,"",0,1))</f>
        <v/>
      </c>
      <c r="X640" s="3" t="str">
        <f>IFERROR(__xludf.DUMMYFUNCTION("IF(D640="""","""",IFERROR(TRANSPOSE(FILTER('Validaciones Cotizador'!U:U,'Validaciones Cotizador'!O:O=D640,'Validaciones Cotizador'!T:T=""x"")),""Finalizar""))"),"")</f>
        <v/>
      </c>
    </row>
    <row r="641">
      <c r="A641" s="2" t="str">
        <f t="array" ref="A641">IF(E641="","",XLOOKUP(D641,'Validaciones Cotizador'!C:C,'Validaciones Cotizador'!A:A,"",0,1))</f>
        <v/>
      </c>
      <c r="B641" s="2" t="str">
        <f t="array" ref="B641">IF(F641="","",XLOOKUP(F641,Productos!E:E,Productos!G:G,"",0,1))</f>
        <v/>
      </c>
      <c r="C641" s="2" t="str">
        <f>IF(A641="","",SUMIFS('Validaciones Cotizador'!B:B,'Validaciones Cotizador'!C:C,D641,'Validaciones Cotizador'!A:A,A641))</f>
        <v/>
      </c>
      <c r="D641" s="4" t="str">
        <f>IFERROR(__xludf.DUMMYFUNCTION("IF(OR(F640=""Finalizar"",F640="""",F640=""Selecciona..""),"""",IF(OR(F640=""-"",INDEX(filter(Familias!F:F,Familias!D:D=A640,Familias!E:E=C640),1)=""O""),D640+1,D640))"),"")</f>
        <v/>
      </c>
      <c r="E641" s="2" t="str">
        <f>IF(OR(F641="",F641="Selecciona.."),"",IF(D641="Implemento",SUMIF(Implementos!B:B,F641,Implementos!A:A),SUMIF(Productos!E:E,F641,Productos!A:A)))</f>
        <v/>
      </c>
      <c r="F641" s="2" t="str">
        <f t="shared" si="2"/>
        <v/>
      </c>
      <c r="G641" s="10" t="str">
        <f t="array" ref="G641">IF(OR(F641="",F641="-",F641="Selecciona..",F641="Finalizar"),"",IF(A641="Rodados",XLOOKUP(B641,'Validaciones Cotizador'!I:I,'Validaciones Cotizador'!J:J,0,0,1),1))</f>
        <v/>
      </c>
      <c r="H641" s="11" t="str">
        <f>IF(OR(F641="",F641="Selecciona.."),"",SUMIF(Precio_Productos!K:K,E641,Precio_Productos!J:J)*G641)</f>
        <v/>
      </c>
      <c r="I641" s="4" t="str">
        <f t="array" ref="I641">IF($E641="","", XLOOKUP(SUMIFS(Prod_Prop!$A:$A,Prod_Prop!$B:$B,$E641,Prod_Prop!$H:$H,I$1,Prod_Prop!$I:$I,"Exacto"),Prod_Prop!$A:$A,Prod_Prop!$J:$J,"",0,1))</f>
        <v/>
      </c>
      <c r="J641" s="4" t="str">
        <f t="array" ref="J641">IF($E641="","", XLOOKUP(SUMIFS(Prod_Prop!$A:$A,Prod_Prop!$B:$B,$E641,Prod_Prop!$H:$H,J$1,Prod_Prop!$I:$I,"Exacto"),Prod_Prop!$A:$A,Prod_Prop!$J:$J,"",0,1))</f>
        <v/>
      </c>
      <c r="K641" s="4" t="str">
        <f t="array" ref="K641">IF($E641="","", XLOOKUP(SUMIFS(Prod_Prop!$A:$A,Prod_Prop!$B:$B,$E641,Prod_Prop!$H:$H,K$1,Prod_Prop!$I:$I,"Exacto"),Prod_Prop!$A:$A,Prod_Prop!$J:$J,"",0,1))</f>
        <v/>
      </c>
      <c r="L641" s="4" t="str">
        <f t="array" ref="L641">IF($E641="","", XLOOKUP(SUMIFS(Prod_Prop!$A:$A,Prod_Prop!$B:$B,$E641,Prod_Prop!$H:$H,L$1,Prod_Prop!$I:$I,"Exacto"),Prod_Prop!$A:$A,Prod_Prop!$J:$J,"",0,1))</f>
        <v/>
      </c>
      <c r="M641" s="4" t="str">
        <f t="array" ref="M641">IF($E641="","", XLOOKUP(SUMIFS(Prod_Prop!$A:$A,Prod_Prop!$B:$B,$E641,Prod_Prop!$H:$H,M$1,Prod_Prop!$I:$I,"Exacto"),Prod_Prop!$A:$A,Prod_Prop!$J:$J,"",0,1))</f>
        <v/>
      </c>
      <c r="N641" s="4" t="str">
        <f t="array" ref="N641">IF($E641="","", XLOOKUP(SUMIFS(Prod_Prop!$A:$A,Prod_Prop!$B:$B,$E641,Prod_Prop!$H:$H,N$1,Prod_Prop!$I:$I,"Exacto"),Prod_Prop!$A:$A,Prod_Prop!$J:$J,"",0,1))</f>
        <v/>
      </c>
      <c r="O641" s="4" t="str">
        <f t="array" ref="O641">IF($E641="","", XLOOKUP(SUMIFS(Prod_Prop!$A:$A,Prod_Prop!$B:$B,$E641,Prod_Prop!$H:$H,O$1,Prod_Prop!$I:$I,"Exacto"),Prod_Prop!$A:$A,Prod_Prop!$J:$J,"",0,1))</f>
        <v/>
      </c>
      <c r="P641" s="4" t="str">
        <f t="array" ref="P641">IF($E641="","", XLOOKUP(SUMIFS(Prod_Prop!$A:$A,Prod_Prop!$B:$B,$E641,Prod_Prop!$H:$H,P$1,Prod_Prop!$I:$I,"Exacto"),Prod_Prop!$A:$A,Prod_Prop!$J:$J,"",0,1))</f>
        <v/>
      </c>
      <c r="Q641" s="4" t="str">
        <f t="array" ref="Q641">IF($E641="","", XLOOKUP(SUMIFS(Prod_Prop!$A:$A,Prod_Prop!$B:$B,$E641,Prod_Prop!$H:$H,Q$1,Prod_Prop!$I:$I,"Exacto"),Prod_Prop!$A:$A,Prod_Prop!$J:$J,"",0,1))</f>
        <v/>
      </c>
      <c r="R641" s="4" t="str">
        <f t="array" ref="R641">IF($E641="","", XLOOKUP(SUMIFS(Prod_Prop!$A:$A,Prod_Prop!$B:$B,$E641,Prod_Prop!$H:$H,R$1,Prod_Prop!$I:$I,"Exacto"),Prod_Prop!$A:$A,Prod_Prop!$J:$J,"",0,1))</f>
        <v/>
      </c>
      <c r="S641" s="4" t="str">
        <f t="array" ref="S641">IF($E641="","", XLOOKUP(SUMIFS(Prod_Prop!$A:$A,Prod_Prop!$B:$B,$E641,Prod_Prop!$H:$H,S$1,Prod_Prop!$I:$I,"Exacto"),Prod_Prop!$A:$A,Prod_Prop!$J:$J,"",0,1))</f>
        <v/>
      </c>
      <c r="T641" s="4" t="str">
        <f t="array" ref="T641">IF($E641="","", XLOOKUP(SUMIFS(Prod_Prop!$A:$A,Prod_Prop!$B:$B,$E641,Prod_Prop!$H:$H,T$1,Prod_Prop!$I:$I,"Exacto"),Prod_Prop!$A:$A,Prod_Prop!$J:$J,"",0,1))</f>
        <v/>
      </c>
      <c r="U641" s="4" t="str">
        <f t="array" ref="U641">IF($E641="","", XLOOKUP(SUMIFS(Prod_Prop!$A:$A,Prod_Prop!$B:$B,$E641,Prod_Prop!$H:$H,U$1,Prod_Prop!$I:$I,"Exacto"),Prod_Prop!$A:$A,Prod_Prop!$J:$J,"",0,1))</f>
        <v/>
      </c>
      <c r="V641" s="4" t="str">
        <f t="array" ref="V641">IF($E641="","", XLOOKUP(SUMIFS(Prod_Prop!$A:$A,Prod_Prop!$B:$B,$E641,Prod_Prop!$H:$H,V$1,Prod_Prop!$I:$I,"Exacto"),Prod_Prop!$A:$A,Prod_Prop!$J:$J,"",0,1))</f>
        <v/>
      </c>
      <c r="X641" s="3" t="str">
        <f>IFERROR(__xludf.DUMMYFUNCTION("IF(D641="""","""",IFERROR(TRANSPOSE(FILTER('Validaciones Cotizador'!U:U,'Validaciones Cotizador'!O:O=D641,'Validaciones Cotizador'!T:T=""x"")),""Finalizar""))"),"")</f>
        <v/>
      </c>
    </row>
    <row r="642">
      <c r="A642" s="2" t="str">
        <f t="array" ref="A642">IF(E642="","",XLOOKUP(D642,'Validaciones Cotizador'!C:C,'Validaciones Cotizador'!A:A,"",0,1))</f>
        <v/>
      </c>
      <c r="B642" s="2" t="str">
        <f t="array" ref="B642">IF(F642="","",XLOOKUP(F642,Productos!E:E,Productos!G:G,"",0,1))</f>
        <v/>
      </c>
      <c r="C642" s="2" t="str">
        <f>IF(A642="","",SUMIFS('Validaciones Cotizador'!B:B,'Validaciones Cotizador'!C:C,D642,'Validaciones Cotizador'!A:A,A642))</f>
        <v/>
      </c>
      <c r="D642" s="4" t="str">
        <f>IFERROR(__xludf.DUMMYFUNCTION("IF(OR(F641=""Finalizar"",F641="""",F641=""Selecciona..""),"""",IF(OR(F641=""-"",INDEX(filter(Familias!F:F,Familias!D:D=A641,Familias!E:E=C641),1)=""O""),D641+1,D641))"),"")</f>
        <v/>
      </c>
      <c r="E642" s="2" t="str">
        <f>IF(OR(F642="",F642="Selecciona.."),"",IF(D642="Implemento",SUMIF(Implementos!B:B,F642,Implementos!A:A),SUMIF(Productos!E:E,F642,Productos!A:A)))</f>
        <v/>
      </c>
      <c r="F642" s="2" t="str">
        <f t="shared" si="2"/>
        <v/>
      </c>
      <c r="G642" s="10" t="str">
        <f t="array" ref="G642">IF(OR(F642="",F642="-",F642="Selecciona..",F642="Finalizar"),"",IF(A642="Rodados",XLOOKUP(B642,'Validaciones Cotizador'!I:I,'Validaciones Cotizador'!J:J,0,0,1),1))</f>
        <v/>
      </c>
      <c r="H642" s="11" t="str">
        <f>IF(OR(F642="",F642="Selecciona.."),"",SUMIF(Precio_Productos!K:K,E642,Precio_Productos!J:J)*G642)</f>
        <v/>
      </c>
      <c r="I642" s="4" t="str">
        <f t="array" ref="I642">IF($E642="","", XLOOKUP(SUMIFS(Prod_Prop!$A:$A,Prod_Prop!$B:$B,$E642,Prod_Prop!$H:$H,I$1,Prod_Prop!$I:$I,"Exacto"),Prod_Prop!$A:$A,Prod_Prop!$J:$J,"",0,1))</f>
        <v/>
      </c>
      <c r="J642" s="4" t="str">
        <f t="array" ref="J642">IF($E642="","", XLOOKUP(SUMIFS(Prod_Prop!$A:$A,Prod_Prop!$B:$B,$E642,Prod_Prop!$H:$H,J$1,Prod_Prop!$I:$I,"Exacto"),Prod_Prop!$A:$A,Prod_Prop!$J:$J,"",0,1))</f>
        <v/>
      </c>
      <c r="K642" s="4" t="str">
        <f t="array" ref="K642">IF($E642="","", XLOOKUP(SUMIFS(Prod_Prop!$A:$A,Prod_Prop!$B:$B,$E642,Prod_Prop!$H:$H,K$1,Prod_Prop!$I:$I,"Exacto"),Prod_Prop!$A:$A,Prod_Prop!$J:$J,"",0,1))</f>
        <v/>
      </c>
      <c r="L642" s="4" t="str">
        <f t="array" ref="L642">IF($E642="","", XLOOKUP(SUMIFS(Prod_Prop!$A:$A,Prod_Prop!$B:$B,$E642,Prod_Prop!$H:$H,L$1,Prod_Prop!$I:$I,"Exacto"),Prod_Prop!$A:$A,Prod_Prop!$J:$J,"",0,1))</f>
        <v/>
      </c>
      <c r="M642" s="4" t="str">
        <f t="array" ref="M642">IF($E642="","", XLOOKUP(SUMIFS(Prod_Prop!$A:$A,Prod_Prop!$B:$B,$E642,Prod_Prop!$H:$H,M$1,Prod_Prop!$I:$I,"Exacto"),Prod_Prop!$A:$A,Prod_Prop!$J:$J,"",0,1))</f>
        <v/>
      </c>
      <c r="N642" s="4" t="str">
        <f t="array" ref="N642">IF($E642="","", XLOOKUP(SUMIFS(Prod_Prop!$A:$A,Prod_Prop!$B:$B,$E642,Prod_Prop!$H:$H,N$1,Prod_Prop!$I:$I,"Exacto"),Prod_Prop!$A:$A,Prod_Prop!$J:$J,"",0,1))</f>
        <v/>
      </c>
      <c r="O642" s="4" t="str">
        <f t="array" ref="O642">IF($E642="","", XLOOKUP(SUMIFS(Prod_Prop!$A:$A,Prod_Prop!$B:$B,$E642,Prod_Prop!$H:$H,O$1,Prod_Prop!$I:$I,"Exacto"),Prod_Prop!$A:$A,Prod_Prop!$J:$J,"",0,1))</f>
        <v/>
      </c>
      <c r="P642" s="4" t="str">
        <f t="array" ref="P642">IF($E642="","", XLOOKUP(SUMIFS(Prod_Prop!$A:$A,Prod_Prop!$B:$B,$E642,Prod_Prop!$H:$H,P$1,Prod_Prop!$I:$I,"Exacto"),Prod_Prop!$A:$A,Prod_Prop!$J:$J,"",0,1))</f>
        <v/>
      </c>
      <c r="Q642" s="4" t="str">
        <f t="array" ref="Q642">IF($E642="","", XLOOKUP(SUMIFS(Prod_Prop!$A:$A,Prod_Prop!$B:$B,$E642,Prod_Prop!$H:$H,Q$1,Prod_Prop!$I:$I,"Exacto"),Prod_Prop!$A:$A,Prod_Prop!$J:$J,"",0,1))</f>
        <v/>
      </c>
      <c r="R642" s="4" t="str">
        <f t="array" ref="R642">IF($E642="","", XLOOKUP(SUMIFS(Prod_Prop!$A:$A,Prod_Prop!$B:$B,$E642,Prod_Prop!$H:$H,R$1,Prod_Prop!$I:$I,"Exacto"),Prod_Prop!$A:$A,Prod_Prop!$J:$J,"",0,1))</f>
        <v/>
      </c>
      <c r="S642" s="4" t="str">
        <f t="array" ref="S642">IF($E642="","", XLOOKUP(SUMIFS(Prod_Prop!$A:$A,Prod_Prop!$B:$B,$E642,Prod_Prop!$H:$H,S$1,Prod_Prop!$I:$I,"Exacto"),Prod_Prop!$A:$A,Prod_Prop!$J:$J,"",0,1))</f>
        <v/>
      </c>
      <c r="T642" s="4" t="str">
        <f t="array" ref="T642">IF($E642="","", XLOOKUP(SUMIFS(Prod_Prop!$A:$A,Prod_Prop!$B:$B,$E642,Prod_Prop!$H:$H,T$1,Prod_Prop!$I:$I,"Exacto"),Prod_Prop!$A:$A,Prod_Prop!$J:$J,"",0,1))</f>
        <v/>
      </c>
      <c r="U642" s="4" t="str">
        <f t="array" ref="U642">IF($E642="","", XLOOKUP(SUMIFS(Prod_Prop!$A:$A,Prod_Prop!$B:$B,$E642,Prod_Prop!$H:$H,U$1,Prod_Prop!$I:$I,"Exacto"),Prod_Prop!$A:$A,Prod_Prop!$J:$J,"",0,1))</f>
        <v/>
      </c>
      <c r="V642" s="4" t="str">
        <f t="array" ref="V642">IF($E642="","", XLOOKUP(SUMIFS(Prod_Prop!$A:$A,Prod_Prop!$B:$B,$E642,Prod_Prop!$H:$H,V$1,Prod_Prop!$I:$I,"Exacto"),Prod_Prop!$A:$A,Prod_Prop!$J:$J,"",0,1))</f>
        <v/>
      </c>
      <c r="X642" s="3" t="str">
        <f>IFERROR(__xludf.DUMMYFUNCTION("IF(D642="""","""",IFERROR(TRANSPOSE(FILTER('Validaciones Cotizador'!U:U,'Validaciones Cotizador'!O:O=D642,'Validaciones Cotizador'!T:T=""x"")),""Finalizar""))"),"")</f>
        <v/>
      </c>
    </row>
    <row r="643">
      <c r="A643" s="2" t="str">
        <f t="array" ref="A643">IF(E643="","",XLOOKUP(D643,'Validaciones Cotizador'!C:C,'Validaciones Cotizador'!A:A,"",0,1))</f>
        <v/>
      </c>
      <c r="B643" s="2" t="str">
        <f t="array" ref="B643">IF(F643="","",XLOOKUP(F643,Productos!E:E,Productos!G:G,"",0,1))</f>
        <v/>
      </c>
      <c r="C643" s="2" t="str">
        <f>IF(A643="","",SUMIFS('Validaciones Cotizador'!B:B,'Validaciones Cotizador'!C:C,D643,'Validaciones Cotizador'!A:A,A643))</f>
        <v/>
      </c>
      <c r="D643" s="4" t="str">
        <f>IFERROR(__xludf.DUMMYFUNCTION("IF(OR(F642=""Finalizar"",F642="""",F642=""Selecciona..""),"""",IF(OR(F642=""-"",INDEX(filter(Familias!F:F,Familias!D:D=A642,Familias!E:E=C642),1)=""O""),D642+1,D642))"),"")</f>
        <v/>
      </c>
      <c r="E643" s="2" t="str">
        <f>IF(OR(F643="",F643="Selecciona.."),"",IF(D643="Implemento",SUMIF(Implementos!B:B,F643,Implementos!A:A),SUMIF(Productos!E:E,F643,Productos!A:A)))</f>
        <v/>
      </c>
      <c r="F643" s="2" t="str">
        <f t="shared" si="2"/>
        <v/>
      </c>
      <c r="G643" s="10" t="str">
        <f t="array" ref="G643">IF(OR(F643="",F643="-",F643="Selecciona..",F643="Finalizar"),"",IF(A643="Rodados",XLOOKUP(B643,'Validaciones Cotizador'!I:I,'Validaciones Cotizador'!J:J,0,0,1),1))</f>
        <v/>
      </c>
      <c r="H643" s="11" t="str">
        <f>IF(OR(F643="",F643="Selecciona.."),"",SUMIF(Precio_Productos!K:K,E643,Precio_Productos!J:J)*G643)</f>
        <v/>
      </c>
      <c r="I643" s="4" t="str">
        <f t="array" ref="I643">IF($E643="","", XLOOKUP(SUMIFS(Prod_Prop!$A:$A,Prod_Prop!$B:$B,$E643,Prod_Prop!$H:$H,I$1,Prod_Prop!$I:$I,"Exacto"),Prod_Prop!$A:$A,Prod_Prop!$J:$J,"",0,1))</f>
        <v/>
      </c>
      <c r="J643" s="4" t="str">
        <f t="array" ref="J643">IF($E643="","", XLOOKUP(SUMIFS(Prod_Prop!$A:$A,Prod_Prop!$B:$B,$E643,Prod_Prop!$H:$H,J$1,Prod_Prop!$I:$I,"Exacto"),Prod_Prop!$A:$A,Prod_Prop!$J:$J,"",0,1))</f>
        <v/>
      </c>
      <c r="K643" s="4" t="str">
        <f t="array" ref="K643">IF($E643="","", XLOOKUP(SUMIFS(Prod_Prop!$A:$A,Prod_Prop!$B:$B,$E643,Prod_Prop!$H:$H,K$1,Prod_Prop!$I:$I,"Exacto"),Prod_Prop!$A:$A,Prod_Prop!$J:$J,"",0,1))</f>
        <v/>
      </c>
      <c r="L643" s="4" t="str">
        <f t="array" ref="L643">IF($E643="","", XLOOKUP(SUMIFS(Prod_Prop!$A:$A,Prod_Prop!$B:$B,$E643,Prod_Prop!$H:$H,L$1,Prod_Prop!$I:$I,"Exacto"),Prod_Prop!$A:$A,Prod_Prop!$J:$J,"",0,1))</f>
        <v/>
      </c>
      <c r="M643" s="4" t="str">
        <f t="array" ref="M643">IF($E643="","", XLOOKUP(SUMIFS(Prod_Prop!$A:$A,Prod_Prop!$B:$B,$E643,Prod_Prop!$H:$H,M$1,Prod_Prop!$I:$I,"Exacto"),Prod_Prop!$A:$A,Prod_Prop!$J:$J,"",0,1))</f>
        <v/>
      </c>
      <c r="N643" s="4" t="str">
        <f t="array" ref="N643">IF($E643="","", XLOOKUP(SUMIFS(Prod_Prop!$A:$A,Prod_Prop!$B:$B,$E643,Prod_Prop!$H:$H,N$1,Prod_Prop!$I:$I,"Exacto"),Prod_Prop!$A:$A,Prod_Prop!$J:$J,"",0,1))</f>
        <v/>
      </c>
      <c r="O643" s="4" t="str">
        <f t="array" ref="O643">IF($E643="","", XLOOKUP(SUMIFS(Prod_Prop!$A:$A,Prod_Prop!$B:$B,$E643,Prod_Prop!$H:$H,O$1,Prod_Prop!$I:$I,"Exacto"),Prod_Prop!$A:$A,Prod_Prop!$J:$J,"",0,1))</f>
        <v/>
      </c>
      <c r="P643" s="4" t="str">
        <f t="array" ref="P643">IF($E643="","", XLOOKUP(SUMIFS(Prod_Prop!$A:$A,Prod_Prop!$B:$B,$E643,Prod_Prop!$H:$H,P$1,Prod_Prop!$I:$I,"Exacto"),Prod_Prop!$A:$A,Prod_Prop!$J:$J,"",0,1))</f>
        <v/>
      </c>
      <c r="Q643" s="4" t="str">
        <f t="array" ref="Q643">IF($E643="","", XLOOKUP(SUMIFS(Prod_Prop!$A:$A,Prod_Prop!$B:$B,$E643,Prod_Prop!$H:$H,Q$1,Prod_Prop!$I:$I,"Exacto"),Prod_Prop!$A:$A,Prod_Prop!$J:$J,"",0,1))</f>
        <v/>
      </c>
      <c r="R643" s="4" t="str">
        <f t="array" ref="R643">IF($E643="","", XLOOKUP(SUMIFS(Prod_Prop!$A:$A,Prod_Prop!$B:$B,$E643,Prod_Prop!$H:$H,R$1,Prod_Prop!$I:$I,"Exacto"),Prod_Prop!$A:$A,Prod_Prop!$J:$J,"",0,1))</f>
        <v/>
      </c>
      <c r="S643" s="4" t="str">
        <f t="array" ref="S643">IF($E643="","", XLOOKUP(SUMIFS(Prod_Prop!$A:$A,Prod_Prop!$B:$B,$E643,Prod_Prop!$H:$H,S$1,Prod_Prop!$I:$I,"Exacto"),Prod_Prop!$A:$A,Prod_Prop!$J:$J,"",0,1))</f>
        <v/>
      </c>
      <c r="T643" s="4" t="str">
        <f t="array" ref="T643">IF($E643="","", XLOOKUP(SUMIFS(Prod_Prop!$A:$A,Prod_Prop!$B:$B,$E643,Prod_Prop!$H:$H,T$1,Prod_Prop!$I:$I,"Exacto"),Prod_Prop!$A:$A,Prod_Prop!$J:$J,"",0,1))</f>
        <v/>
      </c>
      <c r="U643" s="4" t="str">
        <f t="array" ref="U643">IF($E643="","", XLOOKUP(SUMIFS(Prod_Prop!$A:$A,Prod_Prop!$B:$B,$E643,Prod_Prop!$H:$H,U$1,Prod_Prop!$I:$I,"Exacto"),Prod_Prop!$A:$A,Prod_Prop!$J:$J,"",0,1))</f>
        <v/>
      </c>
      <c r="V643" s="4" t="str">
        <f t="array" ref="V643">IF($E643="","", XLOOKUP(SUMIFS(Prod_Prop!$A:$A,Prod_Prop!$B:$B,$E643,Prod_Prop!$H:$H,V$1,Prod_Prop!$I:$I,"Exacto"),Prod_Prop!$A:$A,Prod_Prop!$J:$J,"",0,1))</f>
        <v/>
      </c>
      <c r="X643" s="3" t="str">
        <f>IFERROR(__xludf.DUMMYFUNCTION("IF(D643="""","""",IFERROR(TRANSPOSE(FILTER('Validaciones Cotizador'!U:U,'Validaciones Cotizador'!O:O=D643,'Validaciones Cotizador'!T:T=""x"")),""Finalizar""))"),"")</f>
        <v/>
      </c>
    </row>
    <row r="644">
      <c r="A644" s="2" t="str">
        <f t="array" ref="A644">IF(E644="","",XLOOKUP(D644,'Validaciones Cotizador'!C:C,'Validaciones Cotizador'!A:A,"",0,1))</f>
        <v/>
      </c>
      <c r="B644" s="2" t="str">
        <f t="array" ref="B644">IF(F644="","",XLOOKUP(F644,Productos!E:E,Productos!G:G,"",0,1))</f>
        <v/>
      </c>
      <c r="C644" s="2" t="str">
        <f>IF(A644="","",SUMIFS('Validaciones Cotizador'!B:B,'Validaciones Cotizador'!C:C,D644,'Validaciones Cotizador'!A:A,A644))</f>
        <v/>
      </c>
      <c r="D644" s="4" t="str">
        <f>IFERROR(__xludf.DUMMYFUNCTION("IF(OR(F643=""Finalizar"",F643="""",F643=""Selecciona..""),"""",IF(OR(F643=""-"",INDEX(filter(Familias!F:F,Familias!D:D=A643,Familias!E:E=C643),1)=""O""),D643+1,D643))"),"")</f>
        <v/>
      </c>
      <c r="E644" s="2" t="str">
        <f>IF(OR(F644="",F644="Selecciona.."),"",IF(D644="Implemento",SUMIF(Implementos!B:B,F644,Implementos!A:A),SUMIF(Productos!E:E,F644,Productos!A:A)))</f>
        <v/>
      </c>
      <c r="F644" s="2" t="str">
        <f t="shared" si="2"/>
        <v/>
      </c>
      <c r="G644" s="10" t="str">
        <f t="array" ref="G644">IF(OR(F644="",F644="-",F644="Selecciona..",F644="Finalizar"),"",IF(A644="Rodados",XLOOKUP(B644,'Validaciones Cotizador'!I:I,'Validaciones Cotizador'!J:J,0,0,1),1))</f>
        <v/>
      </c>
      <c r="H644" s="11" t="str">
        <f>IF(OR(F644="",F644="Selecciona.."),"",SUMIF(Precio_Productos!K:K,E644,Precio_Productos!J:J)*G644)</f>
        <v/>
      </c>
      <c r="I644" s="4" t="str">
        <f t="array" ref="I644">IF($E644="","", XLOOKUP(SUMIFS(Prod_Prop!$A:$A,Prod_Prop!$B:$B,$E644,Prod_Prop!$H:$H,I$1,Prod_Prop!$I:$I,"Exacto"),Prod_Prop!$A:$A,Prod_Prop!$J:$J,"",0,1))</f>
        <v/>
      </c>
      <c r="J644" s="4" t="str">
        <f t="array" ref="J644">IF($E644="","", XLOOKUP(SUMIFS(Prod_Prop!$A:$A,Prod_Prop!$B:$B,$E644,Prod_Prop!$H:$H,J$1,Prod_Prop!$I:$I,"Exacto"),Prod_Prop!$A:$A,Prod_Prop!$J:$J,"",0,1))</f>
        <v/>
      </c>
      <c r="K644" s="4" t="str">
        <f t="array" ref="K644">IF($E644="","", XLOOKUP(SUMIFS(Prod_Prop!$A:$A,Prod_Prop!$B:$B,$E644,Prod_Prop!$H:$H,K$1,Prod_Prop!$I:$I,"Exacto"),Prod_Prop!$A:$A,Prod_Prop!$J:$J,"",0,1))</f>
        <v/>
      </c>
      <c r="L644" s="4" t="str">
        <f t="array" ref="L644">IF($E644="","", XLOOKUP(SUMIFS(Prod_Prop!$A:$A,Prod_Prop!$B:$B,$E644,Prod_Prop!$H:$H,L$1,Prod_Prop!$I:$I,"Exacto"),Prod_Prop!$A:$A,Prod_Prop!$J:$J,"",0,1))</f>
        <v/>
      </c>
      <c r="M644" s="4" t="str">
        <f t="array" ref="M644">IF($E644="","", XLOOKUP(SUMIFS(Prod_Prop!$A:$A,Prod_Prop!$B:$B,$E644,Prod_Prop!$H:$H,M$1,Prod_Prop!$I:$I,"Exacto"),Prod_Prop!$A:$A,Prod_Prop!$J:$J,"",0,1))</f>
        <v/>
      </c>
      <c r="N644" s="4" t="str">
        <f t="array" ref="N644">IF($E644="","", XLOOKUP(SUMIFS(Prod_Prop!$A:$A,Prod_Prop!$B:$B,$E644,Prod_Prop!$H:$H,N$1,Prod_Prop!$I:$I,"Exacto"),Prod_Prop!$A:$A,Prod_Prop!$J:$J,"",0,1))</f>
        <v/>
      </c>
      <c r="O644" s="4" t="str">
        <f t="array" ref="O644">IF($E644="","", XLOOKUP(SUMIFS(Prod_Prop!$A:$A,Prod_Prop!$B:$B,$E644,Prod_Prop!$H:$H,O$1,Prod_Prop!$I:$I,"Exacto"),Prod_Prop!$A:$A,Prod_Prop!$J:$J,"",0,1))</f>
        <v/>
      </c>
      <c r="P644" s="4" t="str">
        <f t="array" ref="P644">IF($E644="","", XLOOKUP(SUMIFS(Prod_Prop!$A:$A,Prod_Prop!$B:$B,$E644,Prod_Prop!$H:$H,P$1,Prod_Prop!$I:$I,"Exacto"),Prod_Prop!$A:$A,Prod_Prop!$J:$J,"",0,1))</f>
        <v/>
      </c>
      <c r="Q644" s="4" t="str">
        <f t="array" ref="Q644">IF($E644="","", XLOOKUP(SUMIFS(Prod_Prop!$A:$A,Prod_Prop!$B:$B,$E644,Prod_Prop!$H:$H,Q$1,Prod_Prop!$I:$I,"Exacto"),Prod_Prop!$A:$A,Prod_Prop!$J:$J,"",0,1))</f>
        <v/>
      </c>
      <c r="R644" s="4" t="str">
        <f t="array" ref="R644">IF($E644="","", XLOOKUP(SUMIFS(Prod_Prop!$A:$A,Prod_Prop!$B:$B,$E644,Prod_Prop!$H:$H,R$1,Prod_Prop!$I:$I,"Exacto"),Prod_Prop!$A:$A,Prod_Prop!$J:$J,"",0,1))</f>
        <v/>
      </c>
      <c r="S644" s="4" t="str">
        <f t="array" ref="S644">IF($E644="","", XLOOKUP(SUMIFS(Prod_Prop!$A:$A,Prod_Prop!$B:$B,$E644,Prod_Prop!$H:$H,S$1,Prod_Prop!$I:$I,"Exacto"),Prod_Prop!$A:$A,Prod_Prop!$J:$J,"",0,1))</f>
        <v/>
      </c>
      <c r="T644" s="4" t="str">
        <f t="array" ref="T644">IF($E644="","", XLOOKUP(SUMIFS(Prod_Prop!$A:$A,Prod_Prop!$B:$B,$E644,Prod_Prop!$H:$H,T$1,Prod_Prop!$I:$I,"Exacto"),Prod_Prop!$A:$A,Prod_Prop!$J:$J,"",0,1))</f>
        <v/>
      </c>
      <c r="U644" s="4" t="str">
        <f t="array" ref="U644">IF($E644="","", XLOOKUP(SUMIFS(Prod_Prop!$A:$A,Prod_Prop!$B:$B,$E644,Prod_Prop!$H:$H,U$1,Prod_Prop!$I:$I,"Exacto"),Prod_Prop!$A:$A,Prod_Prop!$J:$J,"",0,1))</f>
        <v/>
      </c>
      <c r="V644" s="4" t="str">
        <f t="array" ref="V644">IF($E644="","", XLOOKUP(SUMIFS(Prod_Prop!$A:$A,Prod_Prop!$B:$B,$E644,Prod_Prop!$H:$H,V$1,Prod_Prop!$I:$I,"Exacto"),Prod_Prop!$A:$A,Prod_Prop!$J:$J,"",0,1))</f>
        <v/>
      </c>
      <c r="X644" s="3" t="str">
        <f>IFERROR(__xludf.DUMMYFUNCTION("IF(D644="""","""",IFERROR(TRANSPOSE(FILTER('Validaciones Cotizador'!U:U,'Validaciones Cotizador'!O:O=D644,'Validaciones Cotizador'!T:T=""x"")),""Finalizar""))"),"")</f>
        <v/>
      </c>
    </row>
    <row r="645">
      <c r="A645" s="2" t="str">
        <f t="array" ref="A645">IF(E645="","",XLOOKUP(D645,'Validaciones Cotizador'!C:C,'Validaciones Cotizador'!A:A,"",0,1))</f>
        <v/>
      </c>
      <c r="B645" s="2" t="str">
        <f t="array" ref="B645">IF(F645="","",XLOOKUP(F645,Productos!E:E,Productos!G:G,"",0,1))</f>
        <v/>
      </c>
      <c r="C645" s="2" t="str">
        <f>IF(A645="","",SUMIFS('Validaciones Cotizador'!B:B,'Validaciones Cotizador'!C:C,D645,'Validaciones Cotizador'!A:A,A645))</f>
        <v/>
      </c>
      <c r="D645" s="4" t="str">
        <f>IFERROR(__xludf.DUMMYFUNCTION("IF(OR(F644=""Finalizar"",F644="""",F644=""Selecciona..""),"""",IF(OR(F644=""-"",INDEX(filter(Familias!F:F,Familias!D:D=A644,Familias!E:E=C644),1)=""O""),D644+1,D644))"),"")</f>
        <v/>
      </c>
      <c r="E645" s="2" t="str">
        <f>IF(OR(F645="",F645="Selecciona.."),"",IF(D645="Implemento",SUMIF(Implementos!B:B,F645,Implementos!A:A),SUMIF(Productos!E:E,F645,Productos!A:A)))</f>
        <v/>
      </c>
      <c r="F645" s="2" t="str">
        <f t="shared" si="2"/>
        <v/>
      </c>
      <c r="G645" s="10" t="str">
        <f t="array" ref="G645">IF(OR(F645="",F645="-",F645="Selecciona..",F645="Finalizar"),"",IF(A645="Rodados",XLOOKUP(B645,'Validaciones Cotizador'!I:I,'Validaciones Cotizador'!J:J,0,0,1),1))</f>
        <v/>
      </c>
      <c r="H645" s="11" t="str">
        <f>IF(OR(F645="",F645="Selecciona.."),"",SUMIF(Precio_Productos!K:K,E645,Precio_Productos!J:J)*G645)</f>
        <v/>
      </c>
      <c r="I645" s="4" t="str">
        <f t="array" ref="I645">IF($E645="","", XLOOKUP(SUMIFS(Prod_Prop!$A:$A,Prod_Prop!$B:$B,$E645,Prod_Prop!$H:$H,I$1,Prod_Prop!$I:$I,"Exacto"),Prod_Prop!$A:$A,Prod_Prop!$J:$J,"",0,1))</f>
        <v/>
      </c>
      <c r="J645" s="4" t="str">
        <f t="array" ref="J645">IF($E645="","", XLOOKUP(SUMIFS(Prod_Prop!$A:$A,Prod_Prop!$B:$B,$E645,Prod_Prop!$H:$H,J$1,Prod_Prop!$I:$I,"Exacto"),Prod_Prop!$A:$A,Prod_Prop!$J:$J,"",0,1))</f>
        <v/>
      </c>
      <c r="K645" s="4" t="str">
        <f t="array" ref="K645">IF($E645="","", XLOOKUP(SUMIFS(Prod_Prop!$A:$A,Prod_Prop!$B:$B,$E645,Prod_Prop!$H:$H,K$1,Prod_Prop!$I:$I,"Exacto"),Prod_Prop!$A:$A,Prod_Prop!$J:$J,"",0,1))</f>
        <v/>
      </c>
      <c r="L645" s="4" t="str">
        <f t="array" ref="L645">IF($E645="","", XLOOKUP(SUMIFS(Prod_Prop!$A:$A,Prod_Prop!$B:$B,$E645,Prod_Prop!$H:$H,L$1,Prod_Prop!$I:$I,"Exacto"),Prod_Prop!$A:$A,Prod_Prop!$J:$J,"",0,1))</f>
        <v/>
      </c>
      <c r="M645" s="4" t="str">
        <f t="array" ref="M645">IF($E645="","", XLOOKUP(SUMIFS(Prod_Prop!$A:$A,Prod_Prop!$B:$B,$E645,Prod_Prop!$H:$H,M$1,Prod_Prop!$I:$I,"Exacto"),Prod_Prop!$A:$A,Prod_Prop!$J:$J,"",0,1))</f>
        <v/>
      </c>
      <c r="N645" s="4" t="str">
        <f t="array" ref="N645">IF($E645="","", XLOOKUP(SUMIFS(Prod_Prop!$A:$A,Prod_Prop!$B:$B,$E645,Prod_Prop!$H:$H,N$1,Prod_Prop!$I:$I,"Exacto"),Prod_Prop!$A:$A,Prod_Prop!$J:$J,"",0,1))</f>
        <v/>
      </c>
      <c r="O645" s="4" t="str">
        <f t="array" ref="O645">IF($E645="","", XLOOKUP(SUMIFS(Prod_Prop!$A:$A,Prod_Prop!$B:$B,$E645,Prod_Prop!$H:$H,O$1,Prod_Prop!$I:$I,"Exacto"),Prod_Prop!$A:$A,Prod_Prop!$J:$J,"",0,1))</f>
        <v/>
      </c>
      <c r="P645" s="4" t="str">
        <f t="array" ref="P645">IF($E645="","", XLOOKUP(SUMIFS(Prod_Prop!$A:$A,Prod_Prop!$B:$B,$E645,Prod_Prop!$H:$H,P$1,Prod_Prop!$I:$I,"Exacto"),Prod_Prop!$A:$A,Prod_Prop!$J:$J,"",0,1))</f>
        <v/>
      </c>
      <c r="Q645" s="4" t="str">
        <f t="array" ref="Q645">IF($E645="","", XLOOKUP(SUMIFS(Prod_Prop!$A:$A,Prod_Prop!$B:$B,$E645,Prod_Prop!$H:$H,Q$1,Prod_Prop!$I:$I,"Exacto"),Prod_Prop!$A:$A,Prod_Prop!$J:$J,"",0,1))</f>
        <v/>
      </c>
      <c r="R645" s="4" t="str">
        <f t="array" ref="R645">IF($E645="","", XLOOKUP(SUMIFS(Prod_Prop!$A:$A,Prod_Prop!$B:$B,$E645,Prod_Prop!$H:$H,R$1,Prod_Prop!$I:$I,"Exacto"),Prod_Prop!$A:$A,Prod_Prop!$J:$J,"",0,1))</f>
        <v/>
      </c>
      <c r="S645" s="4" t="str">
        <f t="array" ref="S645">IF($E645="","", XLOOKUP(SUMIFS(Prod_Prop!$A:$A,Prod_Prop!$B:$B,$E645,Prod_Prop!$H:$H,S$1,Prod_Prop!$I:$I,"Exacto"),Prod_Prop!$A:$A,Prod_Prop!$J:$J,"",0,1))</f>
        <v/>
      </c>
      <c r="T645" s="4" t="str">
        <f t="array" ref="T645">IF($E645="","", XLOOKUP(SUMIFS(Prod_Prop!$A:$A,Prod_Prop!$B:$B,$E645,Prod_Prop!$H:$H,T$1,Prod_Prop!$I:$I,"Exacto"),Prod_Prop!$A:$A,Prod_Prop!$J:$J,"",0,1))</f>
        <v/>
      </c>
      <c r="U645" s="4" t="str">
        <f t="array" ref="U645">IF($E645="","", XLOOKUP(SUMIFS(Prod_Prop!$A:$A,Prod_Prop!$B:$B,$E645,Prod_Prop!$H:$H,U$1,Prod_Prop!$I:$I,"Exacto"),Prod_Prop!$A:$A,Prod_Prop!$J:$J,"",0,1))</f>
        <v/>
      </c>
      <c r="V645" s="4" t="str">
        <f t="array" ref="V645">IF($E645="","", XLOOKUP(SUMIFS(Prod_Prop!$A:$A,Prod_Prop!$B:$B,$E645,Prod_Prop!$H:$H,V$1,Prod_Prop!$I:$I,"Exacto"),Prod_Prop!$A:$A,Prod_Prop!$J:$J,"",0,1))</f>
        <v/>
      </c>
      <c r="X645" s="3" t="str">
        <f>IFERROR(__xludf.DUMMYFUNCTION("IF(D645="""","""",IFERROR(TRANSPOSE(FILTER('Validaciones Cotizador'!U:U,'Validaciones Cotizador'!O:O=D645,'Validaciones Cotizador'!T:T=""x"")),""Finalizar""))"),"")</f>
        <v/>
      </c>
    </row>
    <row r="646">
      <c r="A646" s="2" t="str">
        <f t="array" ref="A646">IF(E646="","",XLOOKUP(D646,'Validaciones Cotizador'!C:C,'Validaciones Cotizador'!A:A,"",0,1))</f>
        <v/>
      </c>
      <c r="B646" s="2" t="str">
        <f t="array" ref="B646">IF(F646="","",XLOOKUP(F646,Productos!E:E,Productos!G:G,"",0,1))</f>
        <v/>
      </c>
      <c r="C646" s="2" t="str">
        <f>IF(A646="","",SUMIFS('Validaciones Cotizador'!B:B,'Validaciones Cotizador'!C:C,D646,'Validaciones Cotizador'!A:A,A646))</f>
        <v/>
      </c>
      <c r="D646" s="4" t="str">
        <f>IFERROR(__xludf.DUMMYFUNCTION("IF(OR(F645=""Finalizar"",F645="""",F645=""Selecciona..""),"""",IF(OR(F645=""-"",INDEX(filter(Familias!F:F,Familias!D:D=A645,Familias!E:E=C645),1)=""O""),D645+1,D645))"),"")</f>
        <v/>
      </c>
      <c r="E646" s="2" t="str">
        <f>IF(OR(F646="",F646="Selecciona.."),"",IF(D646="Implemento",SUMIF(Implementos!B:B,F646,Implementos!A:A),SUMIF(Productos!E:E,F646,Productos!A:A)))</f>
        <v/>
      </c>
      <c r="F646" s="2" t="str">
        <f t="shared" si="2"/>
        <v/>
      </c>
      <c r="G646" s="10" t="str">
        <f t="array" ref="G646">IF(OR(F646="",F646="-",F646="Selecciona..",F646="Finalizar"),"",IF(A646="Rodados",XLOOKUP(B646,'Validaciones Cotizador'!I:I,'Validaciones Cotizador'!J:J,0,0,1),1))</f>
        <v/>
      </c>
      <c r="H646" s="11" t="str">
        <f>IF(OR(F646="",F646="Selecciona.."),"",SUMIF(Precio_Productos!K:K,E646,Precio_Productos!J:J)*G646)</f>
        <v/>
      </c>
      <c r="I646" s="4" t="str">
        <f t="array" ref="I646">IF($E646="","", XLOOKUP(SUMIFS(Prod_Prop!$A:$A,Prod_Prop!$B:$B,$E646,Prod_Prop!$H:$H,I$1,Prod_Prop!$I:$I,"Exacto"),Prod_Prop!$A:$A,Prod_Prop!$J:$J,"",0,1))</f>
        <v/>
      </c>
      <c r="J646" s="4" t="str">
        <f t="array" ref="J646">IF($E646="","", XLOOKUP(SUMIFS(Prod_Prop!$A:$A,Prod_Prop!$B:$B,$E646,Prod_Prop!$H:$H,J$1,Prod_Prop!$I:$I,"Exacto"),Prod_Prop!$A:$A,Prod_Prop!$J:$J,"",0,1))</f>
        <v/>
      </c>
      <c r="K646" s="4" t="str">
        <f t="array" ref="K646">IF($E646="","", XLOOKUP(SUMIFS(Prod_Prop!$A:$A,Prod_Prop!$B:$B,$E646,Prod_Prop!$H:$H,K$1,Prod_Prop!$I:$I,"Exacto"),Prod_Prop!$A:$A,Prod_Prop!$J:$J,"",0,1))</f>
        <v/>
      </c>
      <c r="L646" s="4" t="str">
        <f t="array" ref="L646">IF($E646="","", XLOOKUP(SUMIFS(Prod_Prop!$A:$A,Prod_Prop!$B:$B,$E646,Prod_Prop!$H:$H,L$1,Prod_Prop!$I:$I,"Exacto"),Prod_Prop!$A:$A,Prod_Prop!$J:$J,"",0,1))</f>
        <v/>
      </c>
      <c r="M646" s="4" t="str">
        <f t="array" ref="M646">IF($E646="","", XLOOKUP(SUMIFS(Prod_Prop!$A:$A,Prod_Prop!$B:$B,$E646,Prod_Prop!$H:$H,M$1,Prod_Prop!$I:$I,"Exacto"),Prod_Prop!$A:$A,Prod_Prop!$J:$J,"",0,1))</f>
        <v/>
      </c>
      <c r="N646" s="4" t="str">
        <f t="array" ref="N646">IF($E646="","", XLOOKUP(SUMIFS(Prod_Prop!$A:$A,Prod_Prop!$B:$B,$E646,Prod_Prop!$H:$H,N$1,Prod_Prop!$I:$I,"Exacto"),Prod_Prop!$A:$A,Prod_Prop!$J:$J,"",0,1))</f>
        <v/>
      </c>
      <c r="O646" s="4" t="str">
        <f t="array" ref="O646">IF($E646="","", XLOOKUP(SUMIFS(Prod_Prop!$A:$A,Prod_Prop!$B:$B,$E646,Prod_Prop!$H:$H,O$1,Prod_Prop!$I:$I,"Exacto"),Prod_Prop!$A:$A,Prod_Prop!$J:$J,"",0,1))</f>
        <v/>
      </c>
      <c r="P646" s="4" t="str">
        <f t="array" ref="P646">IF($E646="","", XLOOKUP(SUMIFS(Prod_Prop!$A:$A,Prod_Prop!$B:$B,$E646,Prod_Prop!$H:$H,P$1,Prod_Prop!$I:$I,"Exacto"),Prod_Prop!$A:$A,Prod_Prop!$J:$J,"",0,1))</f>
        <v/>
      </c>
      <c r="Q646" s="4" t="str">
        <f t="array" ref="Q646">IF($E646="","", XLOOKUP(SUMIFS(Prod_Prop!$A:$A,Prod_Prop!$B:$B,$E646,Prod_Prop!$H:$H,Q$1,Prod_Prop!$I:$I,"Exacto"),Prod_Prop!$A:$A,Prod_Prop!$J:$J,"",0,1))</f>
        <v/>
      </c>
      <c r="R646" s="4" t="str">
        <f t="array" ref="R646">IF($E646="","", XLOOKUP(SUMIFS(Prod_Prop!$A:$A,Prod_Prop!$B:$B,$E646,Prod_Prop!$H:$H,R$1,Prod_Prop!$I:$I,"Exacto"),Prod_Prop!$A:$A,Prod_Prop!$J:$J,"",0,1))</f>
        <v/>
      </c>
      <c r="S646" s="4" t="str">
        <f t="array" ref="S646">IF($E646="","", XLOOKUP(SUMIFS(Prod_Prop!$A:$A,Prod_Prop!$B:$B,$E646,Prod_Prop!$H:$H,S$1,Prod_Prop!$I:$I,"Exacto"),Prod_Prop!$A:$A,Prod_Prop!$J:$J,"",0,1))</f>
        <v/>
      </c>
      <c r="T646" s="4" t="str">
        <f t="array" ref="T646">IF($E646="","", XLOOKUP(SUMIFS(Prod_Prop!$A:$A,Prod_Prop!$B:$B,$E646,Prod_Prop!$H:$H,T$1,Prod_Prop!$I:$I,"Exacto"),Prod_Prop!$A:$A,Prod_Prop!$J:$J,"",0,1))</f>
        <v/>
      </c>
      <c r="U646" s="4" t="str">
        <f t="array" ref="U646">IF($E646="","", XLOOKUP(SUMIFS(Prod_Prop!$A:$A,Prod_Prop!$B:$B,$E646,Prod_Prop!$H:$H,U$1,Prod_Prop!$I:$I,"Exacto"),Prod_Prop!$A:$A,Prod_Prop!$J:$J,"",0,1))</f>
        <v/>
      </c>
      <c r="V646" s="4" t="str">
        <f t="array" ref="V646">IF($E646="","", XLOOKUP(SUMIFS(Prod_Prop!$A:$A,Prod_Prop!$B:$B,$E646,Prod_Prop!$H:$H,V$1,Prod_Prop!$I:$I,"Exacto"),Prod_Prop!$A:$A,Prod_Prop!$J:$J,"",0,1))</f>
        <v/>
      </c>
      <c r="X646" s="3" t="str">
        <f>IFERROR(__xludf.DUMMYFUNCTION("IF(D646="""","""",IFERROR(TRANSPOSE(FILTER('Validaciones Cotizador'!U:U,'Validaciones Cotizador'!O:O=D646,'Validaciones Cotizador'!T:T=""x"")),""Finalizar""))"),"")</f>
        <v/>
      </c>
    </row>
    <row r="647">
      <c r="A647" s="2" t="str">
        <f t="array" ref="A647">IF(E647="","",XLOOKUP(D647,'Validaciones Cotizador'!C:C,'Validaciones Cotizador'!A:A,"",0,1))</f>
        <v/>
      </c>
      <c r="B647" s="2" t="str">
        <f t="array" ref="B647">IF(F647="","",XLOOKUP(F647,Productos!E:E,Productos!G:G,"",0,1))</f>
        <v/>
      </c>
      <c r="C647" s="2" t="str">
        <f>IF(A647="","",SUMIFS('Validaciones Cotizador'!B:B,'Validaciones Cotizador'!C:C,D647,'Validaciones Cotizador'!A:A,A647))</f>
        <v/>
      </c>
      <c r="D647" s="4" t="str">
        <f>IFERROR(__xludf.DUMMYFUNCTION("IF(OR(F646=""Finalizar"",F646="""",F646=""Selecciona..""),"""",IF(OR(F646=""-"",INDEX(filter(Familias!F:F,Familias!D:D=A646,Familias!E:E=C646),1)=""O""),D646+1,D646))"),"")</f>
        <v/>
      </c>
      <c r="E647" s="2" t="str">
        <f>IF(OR(F647="",F647="Selecciona.."),"",IF(D647="Implemento",SUMIF(Implementos!B:B,F647,Implementos!A:A),SUMIF(Productos!E:E,F647,Productos!A:A)))</f>
        <v/>
      </c>
      <c r="F647" s="2" t="str">
        <f t="shared" si="2"/>
        <v/>
      </c>
      <c r="G647" s="10" t="str">
        <f t="array" ref="G647">IF(OR(F647="",F647="-",F647="Selecciona..",F647="Finalizar"),"",IF(A647="Rodados",XLOOKUP(B647,'Validaciones Cotizador'!I:I,'Validaciones Cotizador'!J:J,0,0,1),1))</f>
        <v/>
      </c>
      <c r="H647" s="11" t="str">
        <f>IF(OR(F647="",F647="Selecciona.."),"",SUMIF(Precio_Productos!K:K,E647,Precio_Productos!J:J)*G647)</f>
        <v/>
      </c>
      <c r="I647" s="4" t="str">
        <f t="array" ref="I647">IF($E647="","", XLOOKUP(SUMIFS(Prod_Prop!$A:$A,Prod_Prop!$B:$B,$E647,Prod_Prop!$H:$H,I$1,Prod_Prop!$I:$I,"Exacto"),Prod_Prop!$A:$A,Prod_Prop!$J:$J,"",0,1))</f>
        <v/>
      </c>
      <c r="J647" s="4" t="str">
        <f t="array" ref="J647">IF($E647="","", XLOOKUP(SUMIFS(Prod_Prop!$A:$A,Prod_Prop!$B:$B,$E647,Prod_Prop!$H:$H,J$1,Prod_Prop!$I:$I,"Exacto"),Prod_Prop!$A:$A,Prod_Prop!$J:$J,"",0,1))</f>
        <v/>
      </c>
      <c r="K647" s="4" t="str">
        <f t="array" ref="K647">IF($E647="","", XLOOKUP(SUMIFS(Prod_Prop!$A:$A,Prod_Prop!$B:$B,$E647,Prod_Prop!$H:$H,K$1,Prod_Prop!$I:$I,"Exacto"),Prod_Prop!$A:$A,Prod_Prop!$J:$J,"",0,1))</f>
        <v/>
      </c>
      <c r="L647" s="4" t="str">
        <f t="array" ref="L647">IF($E647="","", XLOOKUP(SUMIFS(Prod_Prop!$A:$A,Prod_Prop!$B:$B,$E647,Prod_Prop!$H:$H,L$1,Prod_Prop!$I:$I,"Exacto"),Prod_Prop!$A:$A,Prod_Prop!$J:$J,"",0,1))</f>
        <v/>
      </c>
      <c r="M647" s="4" t="str">
        <f t="array" ref="M647">IF($E647="","", XLOOKUP(SUMIFS(Prod_Prop!$A:$A,Prod_Prop!$B:$B,$E647,Prod_Prop!$H:$H,M$1,Prod_Prop!$I:$I,"Exacto"),Prod_Prop!$A:$A,Prod_Prop!$J:$J,"",0,1))</f>
        <v/>
      </c>
      <c r="N647" s="4" t="str">
        <f t="array" ref="N647">IF($E647="","", XLOOKUP(SUMIFS(Prod_Prop!$A:$A,Prod_Prop!$B:$B,$E647,Prod_Prop!$H:$H,N$1,Prod_Prop!$I:$I,"Exacto"),Prod_Prop!$A:$A,Prod_Prop!$J:$J,"",0,1))</f>
        <v/>
      </c>
      <c r="O647" s="4" t="str">
        <f t="array" ref="O647">IF($E647="","", XLOOKUP(SUMIFS(Prod_Prop!$A:$A,Prod_Prop!$B:$B,$E647,Prod_Prop!$H:$H,O$1,Prod_Prop!$I:$I,"Exacto"),Prod_Prop!$A:$A,Prod_Prop!$J:$J,"",0,1))</f>
        <v/>
      </c>
      <c r="P647" s="4" t="str">
        <f t="array" ref="P647">IF($E647="","", XLOOKUP(SUMIFS(Prod_Prop!$A:$A,Prod_Prop!$B:$B,$E647,Prod_Prop!$H:$H,P$1,Prod_Prop!$I:$I,"Exacto"),Prod_Prop!$A:$A,Prod_Prop!$J:$J,"",0,1))</f>
        <v/>
      </c>
      <c r="Q647" s="4" t="str">
        <f t="array" ref="Q647">IF($E647="","", XLOOKUP(SUMIFS(Prod_Prop!$A:$A,Prod_Prop!$B:$B,$E647,Prod_Prop!$H:$H,Q$1,Prod_Prop!$I:$I,"Exacto"),Prod_Prop!$A:$A,Prod_Prop!$J:$J,"",0,1))</f>
        <v/>
      </c>
      <c r="R647" s="4" t="str">
        <f t="array" ref="R647">IF($E647="","", XLOOKUP(SUMIFS(Prod_Prop!$A:$A,Prod_Prop!$B:$B,$E647,Prod_Prop!$H:$H,R$1,Prod_Prop!$I:$I,"Exacto"),Prod_Prop!$A:$A,Prod_Prop!$J:$J,"",0,1))</f>
        <v/>
      </c>
      <c r="S647" s="4" t="str">
        <f t="array" ref="S647">IF($E647="","", XLOOKUP(SUMIFS(Prod_Prop!$A:$A,Prod_Prop!$B:$B,$E647,Prod_Prop!$H:$H,S$1,Prod_Prop!$I:$I,"Exacto"),Prod_Prop!$A:$A,Prod_Prop!$J:$J,"",0,1))</f>
        <v/>
      </c>
      <c r="T647" s="4" t="str">
        <f t="array" ref="T647">IF($E647="","", XLOOKUP(SUMIFS(Prod_Prop!$A:$A,Prod_Prop!$B:$B,$E647,Prod_Prop!$H:$H,T$1,Prod_Prop!$I:$I,"Exacto"),Prod_Prop!$A:$A,Prod_Prop!$J:$J,"",0,1))</f>
        <v/>
      </c>
      <c r="U647" s="4" t="str">
        <f t="array" ref="U647">IF($E647="","", XLOOKUP(SUMIFS(Prod_Prop!$A:$A,Prod_Prop!$B:$B,$E647,Prod_Prop!$H:$H,U$1,Prod_Prop!$I:$I,"Exacto"),Prod_Prop!$A:$A,Prod_Prop!$J:$J,"",0,1))</f>
        <v/>
      </c>
      <c r="V647" s="4" t="str">
        <f t="array" ref="V647">IF($E647="","", XLOOKUP(SUMIFS(Prod_Prop!$A:$A,Prod_Prop!$B:$B,$E647,Prod_Prop!$H:$H,V$1,Prod_Prop!$I:$I,"Exacto"),Prod_Prop!$A:$A,Prod_Prop!$J:$J,"",0,1))</f>
        <v/>
      </c>
      <c r="X647" s="3" t="str">
        <f>IFERROR(__xludf.DUMMYFUNCTION("IF(D647="""","""",IFERROR(TRANSPOSE(FILTER('Validaciones Cotizador'!U:U,'Validaciones Cotizador'!O:O=D647,'Validaciones Cotizador'!T:T=""x"")),""Finalizar""))"),"")</f>
        <v/>
      </c>
    </row>
    <row r="648">
      <c r="A648" s="2" t="str">
        <f t="array" ref="A648">IF(E648="","",XLOOKUP(D648,'Validaciones Cotizador'!C:C,'Validaciones Cotizador'!A:A,"",0,1))</f>
        <v/>
      </c>
      <c r="B648" s="2" t="str">
        <f t="array" ref="B648">IF(F648="","",XLOOKUP(F648,Productos!E:E,Productos!G:G,"",0,1))</f>
        <v/>
      </c>
      <c r="C648" s="2" t="str">
        <f>IF(A648="","",SUMIFS('Validaciones Cotizador'!B:B,'Validaciones Cotizador'!C:C,D648,'Validaciones Cotizador'!A:A,A648))</f>
        <v/>
      </c>
      <c r="D648" s="4" t="str">
        <f>IFERROR(__xludf.DUMMYFUNCTION("IF(OR(F647=""Finalizar"",F647="""",F647=""Selecciona..""),"""",IF(OR(F647=""-"",INDEX(filter(Familias!F:F,Familias!D:D=A647,Familias!E:E=C647),1)=""O""),D647+1,D647))"),"")</f>
        <v/>
      </c>
      <c r="E648" s="2" t="str">
        <f>IF(OR(F648="",F648="Selecciona.."),"",IF(D648="Implemento",SUMIF(Implementos!B:B,F648,Implementos!A:A),SUMIF(Productos!E:E,F648,Productos!A:A)))</f>
        <v/>
      </c>
      <c r="F648" s="2" t="str">
        <f t="shared" si="2"/>
        <v/>
      </c>
      <c r="G648" s="10" t="str">
        <f t="array" ref="G648">IF(OR(F648="",F648="-",F648="Selecciona..",F648="Finalizar"),"",IF(A648="Rodados",XLOOKUP(B648,'Validaciones Cotizador'!I:I,'Validaciones Cotizador'!J:J,0,0,1),1))</f>
        <v/>
      </c>
      <c r="H648" s="11" t="str">
        <f>IF(OR(F648="",F648="Selecciona.."),"",SUMIF(Precio_Productos!K:K,E648,Precio_Productos!J:J)*G648)</f>
        <v/>
      </c>
      <c r="I648" s="4" t="str">
        <f t="array" ref="I648">IF($E648="","", XLOOKUP(SUMIFS(Prod_Prop!$A:$A,Prod_Prop!$B:$B,$E648,Prod_Prop!$H:$H,I$1,Prod_Prop!$I:$I,"Exacto"),Prod_Prop!$A:$A,Prod_Prop!$J:$J,"",0,1))</f>
        <v/>
      </c>
      <c r="J648" s="4" t="str">
        <f t="array" ref="J648">IF($E648="","", XLOOKUP(SUMIFS(Prod_Prop!$A:$A,Prod_Prop!$B:$B,$E648,Prod_Prop!$H:$H,J$1,Prod_Prop!$I:$I,"Exacto"),Prod_Prop!$A:$A,Prod_Prop!$J:$J,"",0,1))</f>
        <v/>
      </c>
      <c r="K648" s="4" t="str">
        <f t="array" ref="K648">IF($E648="","", XLOOKUP(SUMIFS(Prod_Prop!$A:$A,Prod_Prop!$B:$B,$E648,Prod_Prop!$H:$H,K$1,Prod_Prop!$I:$I,"Exacto"),Prod_Prop!$A:$A,Prod_Prop!$J:$J,"",0,1))</f>
        <v/>
      </c>
      <c r="L648" s="4" t="str">
        <f t="array" ref="L648">IF($E648="","", XLOOKUP(SUMIFS(Prod_Prop!$A:$A,Prod_Prop!$B:$B,$E648,Prod_Prop!$H:$H,L$1,Prod_Prop!$I:$I,"Exacto"),Prod_Prop!$A:$A,Prod_Prop!$J:$J,"",0,1))</f>
        <v/>
      </c>
      <c r="M648" s="4" t="str">
        <f t="array" ref="M648">IF($E648="","", XLOOKUP(SUMIFS(Prod_Prop!$A:$A,Prod_Prop!$B:$B,$E648,Prod_Prop!$H:$H,M$1,Prod_Prop!$I:$I,"Exacto"),Prod_Prop!$A:$A,Prod_Prop!$J:$J,"",0,1))</f>
        <v/>
      </c>
      <c r="N648" s="4" t="str">
        <f t="array" ref="N648">IF($E648="","", XLOOKUP(SUMIFS(Prod_Prop!$A:$A,Prod_Prop!$B:$B,$E648,Prod_Prop!$H:$H,N$1,Prod_Prop!$I:$I,"Exacto"),Prod_Prop!$A:$A,Prod_Prop!$J:$J,"",0,1))</f>
        <v/>
      </c>
      <c r="O648" s="4" t="str">
        <f t="array" ref="O648">IF($E648="","", XLOOKUP(SUMIFS(Prod_Prop!$A:$A,Prod_Prop!$B:$B,$E648,Prod_Prop!$H:$H,O$1,Prod_Prop!$I:$I,"Exacto"),Prod_Prop!$A:$A,Prod_Prop!$J:$J,"",0,1))</f>
        <v/>
      </c>
      <c r="P648" s="4" t="str">
        <f t="array" ref="P648">IF($E648="","", XLOOKUP(SUMIFS(Prod_Prop!$A:$A,Prod_Prop!$B:$B,$E648,Prod_Prop!$H:$H,P$1,Prod_Prop!$I:$I,"Exacto"),Prod_Prop!$A:$A,Prod_Prop!$J:$J,"",0,1))</f>
        <v/>
      </c>
      <c r="Q648" s="4" t="str">
        <f t="array" ref="Q648">IF($E648="","", XLOOKUP(SUMIFS(Prod_Prop!$A:$A,Prod_Prop!$B:$B,$E648,Prod_Prop!$H:$H,Q$1,Prod_Prop!$I:$I,"Exacto"),Prod_Prop!$A:$A,Prod_Prop!$J:$J,"",0,1))</f>
        <v/>
      </c>
      <c r="R648" s="4" t="str">
        <f t="array" ref="R648">IF($E648="","", XLOOKUP(SUMIFS(Prod_Prop!$A:$A,Prod_Prop!$B:$B,$E648,Prod_Prop!$H:$H,R$1,Prod_Prop!$I:$I,"Exacto"),Prod_Prop!$A:$A,Prod_Prop!$J:$J,"",0,1))</f>
        <v/>
      </c>
      <c r="S648" s="4" t="str">
        <f t="array" ref="S648">IF($E648="","", XLOOKUP(SUMIFS(Prod_Prop!$A:$A,Prod_Prop!$B:$B,$E648,Prod_Prop!$H:$H,S$1,Prod_Prop!$I:$I,"Exacto"),Prod_Prop!$A:$A,Prod_Prop!$J:$J,"",0,1))</f>
        <v/>
      </c>
      <c r="T648" s="4" t="str">
        <f t="array" ref="T648">IF($E648="","", XLOOKUP(SUMIFS(Prod_Prop!$A:$A,Prod_Prop!$B:$B,$E648,Prod_Prop!$H:$H,T$1,Prod_Prop!$I:$I,"Exacto"),Prod_Prop!$A:$A,Prod_Prop!$J:$J,"",0,1))</f>
        <v/>
      </c>
      <c r="U648" s="4" t="str">
        <f t="array" ref="U648">IF($E648="","", XLOOKUP(SUMIFS(Prod_Prop!$A:$A,Prod_Prop!$B:$B,$E648,Prod_Prop!$H:$H,U$1,Prod_Prop!$I:$I,"Exacto"),Prod_Prop!$A:$A,Prod_Prop!$J:$J,"",0,1))</f>
        <v/>
      </c>
      <c r="V648" s="4" t="str">
        <f t="array" ref="V648">IF($E648="","", XLOOKUP(SUMIFS(Prod_Prop!$A:$A,Prod_Prop!$B:$B,$E648,Prod_Prop!$H:$H,V$1,Prod_Prop!$I:$I,"Exacto"),Prod_Prop!$A:$A,Prod_Prop!$J:$J,"",0,1))</f>
        <v/>
      </c>
      <c r="X648" s="3" t="str">
        <f>IFERROR(__xludf.DUMMYFUNCTION("IF(D648="""","""",IFERROR(TRANSPOSE(FILTER('Validaciones Cotizador'!U:U,'Validaciones Cotizador'!O:O=D648,'Validaciones Cotizador'!T:T=""x"")),""Finalizar""))"),"")</f>
        <v/>
      </c>
    </row>
    <row r="649">
      <c r="A649" s="2" t="str">
        <f t="array" ref="A649">IF(E649="","",XLOOKUP(D649,'Validaciones Cotizador'!C:C,'Validaciones Cotizador'!A:A,"",0,1))</f>
        <v/>
      </c>
      <c r="B649" s="2" t="str">
        <f t="array" ref="B649">IF(F649="","",XLOOKUP(F649,Productos!E:E,Productos!G:G,"",0,1))</f>
        <v/>
      </c>
      <c r="C649" s="2" t="str">
        <f>IF(A649="","",SUMIFS('Validaciones Cotizador'!B:B,'Validaciones Cotizador'!C:C,D649,'Validaciones Cotizador'!A:A,A649))</f>
        <v/>
      </c>
      <c r="D649" s="4" t="str">
        <f>IFERROR(__xludf.DUMMYFUNCTION("IF(OR(F648=""Finalizar"",F648="""",F648=""Selecciona..""),"""",IF(OR(F648=""-"",INDEX(filter(Familias!F:F,Familias!D:D=A648,Familias!E:E=C648),1)=""O""),D648+1,D648))"),"")</f>
        <v/>
      </c>
      <c r="E649" s="2" t="str">
        <f>IF(OR(F649="",F649="Selecciona.."),"",IF(D649="Implemento",SUMIF(Implementos!B:B,F649,Implementos!A:A),SUMIF(Productos!E:E,F649,Productos!A:A)))</f>
        <v/>
      </c>
      <c r="F649" s="2" t="str">
        <f t="shared" si="2"/>
        <v/>
      </c>
      <c r="G649" s="10" t="str">
        <f t="array" ref="G649">IF(OR(F649="",F649="-",F649="Selecciona..",F649="Finalizar"),"",IF(A649="Rodados",XLOOKUP(B649,'Validaciones Cotizador'!I:I,'Validaciones Cotizador'!J:J,0,0,1),1))</f>
        <v/>
      </c>
      <c r="H649" s="11" t="str">
        <f>IF(OR(F649="",F649="Selecciona.."),"",SUMIF(Precio_Productos!K:K,E649,Precio_Productos!J:J)*G649)</f>
        <v/>
      </c>
      <c r="I649" s="4" t="str">
        <f t="array" ref="I649">IF($E649="","", XLOOKUP(SUMIFS(Prod_Prop!$A:$A,Prod_Prop!$B:$B,$E649,Prod_Prop!$H:$H,I$1,Prod_Prop!$I:$I,"Exacto"),Prod_Prop!$A:$A,Prod_Prop!$J:$J,"",0,1))</f>
        <v/>
      </c>
      <c r="J649" s="4" t="str">
        <f t="array" ref="J649">IF($E649="","", XLOOKUP(SUMIFS(Prod_Prop!$A:$A,Prod_Prop!$B:$B,$E649,Prod_Prop!$H:$H,J$1,Prod_Prop!$I:$I,"Exacto"),Prod_Prop!$A:$A,Prod_Prop!$J:$J,"",0,1))</f>
        <v/>
      </c>
      <c r="K649" s="4" t="str">
        <f t="array" ref="K649">IF($E649="","", XLOOKUP(SUMIFS(Prod_Prop!$A:$A,Prod_Prop!$B:$B,$E649,Prod_Prop!$H:$H,K$1,Prod_Prop!$I:$I,"Exacto"),Prod_Prop!$A:$A,Prod_Prop!$J:$J,"",0,1))</f>
        <v/>
      </c>
      <c r="L649" s="4" t="str">
        <f t="array" ref="L649">IF($E649="","", XLOOKUP(SUMIFS(Prod_Prop!$A:$A,Prod_Prop!$B:$B,$E649,Prod_Prop!$H:$H,L$1,Prod_Prop!$I:$I,"Exacto"),Prod_Prop!$A:$A,Prod_Prop!$J:$J,"",0,1))</f>
        <v/>
      </c>
      <c r="M649" s="4" t="str">
        <f t="array" ref="M649">IF($E649="","", XLOOKUP(SUMIFS(Prod_Prop!$A:$A,Prod_Prop!$B:$B,$E649,Prod_Prop!$H:$H,M$1,Prod_Prop!$I:$I,"Exacto"),Prod_Prop!$A:$A,Prod_Prop!$J:$J,"",0,1))</f>
        <v/>
      </c>
      <c r="N649" s="4" t="str">
        <f t="array" ref="N649">IF($E649="","", XLOOKUP(SUMIFS(Prod_Prop!$A:$A,Prod_Prop!$B:$B,$E649,Prod_Prop!$H:$H,N$1,Prod_Prop!$I:$I,"Exacto"),Prod_Prop!$A:$A,Prod_Prop!$J:$J,"",0,1))</f>
        <v/>
      </c>
      <c r="O649" s="4" t="str">
        <f t="array" ref="O649">IF($E649="","", XLOOKUP(SUMIFS(Prod_Prop!$A:$A,Prod_Prop!$B:$B,$E649,Prod_Prop!$H:$H,O$1,Prod_Prop!$I:$I,"Exacto"),Prod_Prop!$A:$A,Prod_Prop!$J:$J,"",0,1))</f>
        <v/>
      </c>
      <c r="P649" s="4" t="str">
        <f t="array" ref="P649">IF($E649="","", XLOOKUP(SUMIFS(Prod_Prop!$A:$A,Prod_Prop!$B:$B,$E649,Prod_Prop!$H:$H,P$1,Prod_Prop!$I:$I,"Exacto"),Prod_Prop!$A:$A,Prod_Prop!$J:$J,"",0,1))</f>
        <v/>
      </c>
      <c r="Q649" s="4" t="str">
        <f t="array" ref="Q649">IF($E649="","", XLOOKUP(SUMIFS(Prod_Prop!$A:$A,Prod_Prop!$B:$B,$E649,Prod_Prop!$H:$H,Q$1,Prod_Prop!$I:$I,"Exacto"),Prod_Prop!$A:$A,Prod_Prop!$J:$J,"",0,1))</f>
        <v/>
      </c>
      <c r="R649" s="4" t="str">
        <f t="array" ref="R649">IF($E649="","", XLOOKUP(SUMIFS(Prod_Prop!$A:$A,Prod_Prop!$B:$B,$E649,Prod_Prop!$H:$H,R$1,Prod_Prop!$I:$I,"Exacto"),Prod_Prop!$A:$A,Prod_Prop!$J:$J,"",0,1))</f>
        <v/>
      </c>
      <c r="S649" s="4" t="str">
        <f t="array" ref="S649">IF($E649="","", XLOOKUP(SUMIFS(Prod_Prop!$A:$A,Prod_Prop!$B:$B,$E649,Prod_Prop!$H:$H,S$1,Prod_Prop!$I:$I,"Exacto"),Prod_Prop!$A:$A,Prod_Prop!$J:$J,"",0,1))</f>
        <v/>
      </c>
      <c r="T649" s="4" t="str">
        <f t="array" ref="T649">IF($E649="","", XLOOKUP(SUMIFS(Prod_Prop!$A:$A,Prod_Prop!$B:$B,$E649,Prod_Prop!$H:$H,T$1,Prod_Prop!$I:$I,"Exacto"),Prod_Prop!$A:$A,Prod_Prop!$J:$J,"",0,1))</f>
        <v/>
      </c>
      <c r="U649" s="4" t="str">
        <f t="array" ref="U649">IF($E649="","", XLOOKUP(SUMIFS(Prod_Prop!$A:$A,Prod_Prop!$B:$B,$E649,Prod_Prop!$H:$H,U$1,Prod_Prop!$I:$I,"Exacto"),Prod_Prop!$A:$A,Prod_Prop!$J:$J,"",0,1))</f>
        <v/>
      </c>
      <c r="V649" s="4" t="str">
        <f t="array" ref="V649">IF($E649="","", XLOOKUP(SUMIFS(Prod_Prop!$A:$A,Prod_Prop!$B:$B,$E649,Prod_Prop!$H:$H,V$1,Prod_Prop!$I:$I,"Exacto"),Prod_Prop!$A:$A,Prod_Prop!$J:$J,"",0,1))</f>
        <v/>
      </c>
      <c r="X649" s="3" t="str">
        <f>IFERROR(__xludf.DUMMYFUNCTION("IF(D649="""","""",IFERROR(TRANSPOSE(FILTER('Validaciones Cotizador'!U:U,'Validaciones Cotizador'!O:O=D649,'Validaciones Cotizador'!T:T=""x"")),""Finalizar""))"),"")</f>
        <v/>
      </c>
    </row>
    <row r="650">
      <c r="A650" s="2" t="str">
        <f t="array" ref="A650">IF(E650="","",XLOOKUP(D650,'Validaciones Cotizador'!C:C,'Validaciones Cotizador'!A:A,"",0,1))</f>
        <v/>
      </c>
      <c r="B650" s="2" t="str">
        <f t="array" ref="B650">IF(F650="","",XLOOKUP(F650,Productos!E:E,Productos!G:G,"",0,1))</f>
        <v/>
      </c>
      <c r="C650" s="2" t="str">
        <f>IF(A650="","",SUMIFS('Validaciones Cotizador'!B:B,'Validaciones Cotizador'!C:C,D650,'Validaciones Cotizador'!A:A,A650))</f>
        <v/>
      </c>
      <c r="D650" s="4" t="str">
        <f>IFERROR(__xludf.DUMMYFUNCTION("IF(OR(F649=""Finalizar"",F649="""",F649=""Selecciona..""),"""",IF(OR(F649=""-"",INDEX(filter(Familias!F:F,Familias!D:D=A649,Familias!E:E=C649),1)=""O""),D649+1,D649))"),"")</f>
        <v/>
      </c>
      <c r="E650" s="2" t="str">
        <f>IF(OR(F650="",F650="Selecciona.."),"",IF(D650="Implemento",SUMIF(Implementos!B:B,F650,Implementos!A:A),SUMIF(Productos!E:E,F650,Productos!A:A)))</f>
        <v/>
      </c>
      <c r="F650" s="2" t="str">
        <f t="shared" si="2"/>
        <v/>
      </c>
      <c r="G650" s="10" t="str">
        <f t="array" ref="G650">IF(OR(F650="",F650="-",F650="Selecciona..",F650="Finalizar"),"",IF(A650="Rodados",XLOOKUP(B650,'Validaciones Cotizador'!I:I,'Validaciones Cotizador'!J:J,0,0,1),1))</f>
        <v/>
      </c>
      <c r="H650" s="11" t="str">
        <f>IF(OR(F650="",F650="Selecciona.."),"",SUMIF(Precio_Productos!K:K,E650,Precio_Productos!J:J)*G650)</f>
        <v/>
      </c>
      <c r="I650" s="4" t="str">
        <f t="array" ref="I650">IF($E650="","", XLOOKUP(SUMIFS(Prod_Prop!$A:$A,Prod_Prop!$B:$B,$E650,Prod_Prop!$H:$H,I$1,Prod_Prop!$I:$I,"Exacto"),Prod_Prop!$A:$A,Prod_Prop!$J:$J,"",0,1))</f>
        <v/>
      </c>
      <c r="J650" s="4" t="str">
        <f t="array" ref="J650">IF($E650="","", XLOOKUP(SUMIFS(Prod_Prop!$A:$A,Prod_Prop!$B:$B,$E650,Prod_Prop!$H:$H,J$1,Prod_Prop!$I:$I,"Exacto"),Prod_Prop!$A:$A,Prod_Prop!$J:$J,"",0,1))</f>
        <v/>
      </c>
      <c r="K650" s="4" t="str">
        <f t="array" ref="K650">IF($E650="","", XLOOKUP(SUMIFS(Prod_Prop!$A:$A,Prod_Prop!$B:$B,$E650,Prod_Prop!$H:$H,K$1,Prod_Prop!$I:$I,"Exacto"),Prod_Prop!$A:$A,Prod_Prop!$J:$J,"",0,1))</f>
        <v/>
      </c>
      <c r="L650" s="4" t="str">
        <f t="array" ref="L650">IF($E650="","", XLOOKUP(SUMIFS(Prod_Prop!$A:$A,Prod_Prop!$B:$B,$E650,Prod_Prop!$H:$H,L$1,Prod_Prop!$I:$I,"Exacto"),Prod_Prop!$A:$A,Prod_Prop!$J:$J,"",0,1))</f>
        <v/>
      </c>
      <c r="M650" s="4" t="str">
        <f t="array" ref="M650">IF($E650="","", XLOOKUP(SUMIFS(Prod_Prop!$A:$A,Prod_Prop!$B:$B,$E650,Prod_Prop!$H:$H,M$1,Prod_Prop!$I:$I,"Exacto"),Prod_Prop!$A:$A,Prod_Prop!$J:$J,"",0,1))</f>
        <v/>
      </c>
      <c r="N650" s="4" t="str">
        <f t="array" ref="N650">IF($E650="","", XLOOKUP(SUMIFS(Prod_Prop!$A:$A,Prod_Prop!$B:$B,$E650,Prod_Prop!$H:$H,N$1,Prod_Prop!$I:$I,"Exacto"),Prod_Prop!$A:$A,Prod_Prop!$J:$J,"",0,1))</f>
        <v/>
      </c>
      <c r="O650" s="4" t="str">
        <f t="array" ref="O650">IF($E650="","", XLOOKUP(SUMIFS(Prod_Prop!$A:$A,Prod_Prop!$B:$B,$E650,Prod_Prop!$H:$H,O$1,Prod_Prop!$I:$I,"Exacto"),Prod_Prop!$A:$A,Prod_Prop!$J:$J,"",0,1))</f>
        <v/>
      </c>
      <c r="P650" s="4" t="str">
        <f t="array" ref="P650">IF($E650="","", XLOOKUP(SUMIFS(Prod_Prop!$A:$A,Prod_Prop!$B:$B,$E650,Prod_Prop!$H:$H,P$1,Prod_Prop!$I:$I,"Exacto"),Prod_Prop!$A:$A,Prod_Prop!$J:$J,"",0,1))</f>
        <v/>
      </c>
      <c r="Q650" s="4" t="str">
        <f t="array" ref="Q650">IF($E650="","", XLOOKUP(SUMIFS(Prod_Prop!$A:$A,Prod_Prop!$B:$B,$E650,Prod_Prop!$H:$H,Q$1,Prod_Prop!$I:$I,"Exacto"),Prod_Prop!$A:$A,Prod_Prop!$J:$J,"",0,1))</f>
        <v/>
      </c>
      <c r="R650" s="4" t="str">
        <f t="array" ref="R650">IF($E650="","", XLOOKUP(SUMIFS(Prod_Prop!$A:$A,Prod_Prop!$B:$B,$E650,Prod_Prop!$H:$H,R$1,Prod_Prop!$I:$I,"Exacto"),Prod_Prop!$A:$A,Prod_Prop!$J:$J,"",0,1))</f>
        <v/>
      </c>
      <c r="S650" s="4" t="str">
        <f t="array" ref="S650">IF($E650="","", XLOOKUP(SUMIFS(Prod_Prop!$A:$A,Prod_Prop!$B:$B,$E650,Prod_Prop!$H:$H,S$1,Prod_Prop!$I:$I,"Exacto"),Prod_Prop!$A:$A,Prod_Prop!$J:$J,"",0,1))</f>
        <v/>
      </c>
      <c r="T650" s="4" t="str">
        <f t="array" ref="T650">IF($E650="","", XLOOKUP(SUMIFS(Prod_Prop!$A:$A,Prod_Prop!$B:$B,$E650,Prod_Prop!$H:$H,T$1,Prod_Prop!$I:$I,"Exacto"),Prod_Prop!$A:$A,Prod_Prop!$J:$J,"",0,1))</f>
        <v/>
      </c>
      <c r="U650" s="4" t="str">
        <f t="array" ref="U650">IF($E650="","", XLOOKUP(SUMIFS(Prod_Prop!$A:$A,Prod_Prop!$B:$B,$E650,Prod_Prop!$H:$H,U$1,Prod_Prop!$I:$I,"Exacto"),Prod_Prop!$A:$A,Prod_Prop!$J:$J,"",0,1))</f>
        <v/>
      </c>
      <c r="V650" s="4" t="str">
        <f t="array" ref="V650">IF($E650="","", XLOOKUP(SUMIFS(Prod_Prop!$A:$A,Prod_Prop!$B:$B,$E650,Prod_Prop!$H:$H,V$1,Prod_Prop!$I:$I,"Exacto"),Prod_Prop!$A:$A,Prod_Prop!$J:$J,"",0,1))</f>
        <v/>
      </c>
      <c r="X650" s="3" t="str">
        <f>IFERROR(__xludf.DUMMYFUNCTION("IF(D650="""","""",IFERROR(TRANSPOSE(FILTER('Validaciones Cotizador'!U:U,'Validaciones Cotizador'!O:O=D650,'Validaciones Cotizador'!T:T=""x"")),""Finalizar""))"),"")</f>
        <v/>
      </c>
    </row>
    <row r="651">
      <c r="A651" s="2" t="str">
        <f t="array" ref="A651">IF(E651="","",XLOOKUP(D651,'Validaciones Cotizador'!C:C,'Validaciones Cotizador'!A:A,"",0,1))</f>
        <v/>
      </c>
      <c r="B651" s="2" t="str">
        <f t="array" ref="B651">IF(F651="","",XLOOKUP(F651,Productos!E:E,Productos!G:G,"",0,1))</f>
        <v/>
      </c>
      <c r="C651" s="2" t="str">
        <f>IF(A651="","",SUMIFS('Validaciones Cotizador'!B:B,'Validaciones Cotizador'!C:C,D651,'Validaciones Cotizador'!A:A,A651))</f>
        <v/>
      </c>
      <c r="D651" s="4" t="str">
        <f>IFERROR(__xludf.DUMMYFUNCTION("IF(OR(F650=""Finalizar"",F650="""",F650=""Selecciona..""),"""",IF(OR(F650=""-"",INDEX(filter(Familias!F:F,Familias!D:D=A650,Familias!E:E=C650),1)=""O""),D650+1,D650))"),"")</f>
        <v/>
      </c>
      <c r="E651" s="2" t="str">
        <f>IF(OR(F651="",F651="Selecciona.."),"",IF(D651="Implemento",SUMIF(Implementos!B:B,F651,Implementos!A:A),SUMIF(Productos!E:E,F651,Productos!A:A)))</f>
        <v/>
      </c>
      <c r="F651" s="2" t="str">
        <f t="shared" si="2"/>
        <v/>
      </c>
      <c r="G651" s="10" t="str">
        <f t="array" ref="G651">IF(OR(F651="",F651="-",F651="Selecciona..",F651="Finalizar"),"",IF(A651="Rodados",XLOOKUP(B651,'Validaciones Cotizador'!I:I,'Validaciones Cotizador'!J:J,0,0,1),1))</f>
        <v/>
      </c>
      <c r="H651" s="11" t="str">
        <f>IF(OR(F651="",F651="Selecciona.."),"",SUMIF(Precio_Productos!K:K,E651,Precio_Productos!J:J)*G651)</f>
        <v/>
      </c>
      <c r="I651" s="4" t="str">
        <f t="array" ref="I651">IF($E651="","", XLOOKUP(SUMIFS(Prod_Prop!$A:$A,Prod_Prop!$B:$B,$E651,Prod_Prop!$H:$H,I$1,Prod_Prop!$I:$I,"Exacto"),Prod_Prop!$A:$A,Prod_Prop!$J:$J,"",0,1))</f>
        <v/>
      </c>
      <c r="J651" s="4" t="str">
        <f t="array" ref="J651">IF($E651="","", XLOOKUP(SUMIFS(Prod_Prop!$A:$A,Prod_Prop!$B:$B,$E651,Prod_Prop!$H:$H,J$1,Prod_Prop!$I:$I,"Exacto"),Prod_Prop!$A:$A,Prod_Prop!$J:$J,"",0,1))</f>
        <v/>
      </c>
      <c r="K651" s="4" t="str">
        <f t="array" ref="K651">IF($E651="","", XLOOKUP(SUMIFS(Prod_Prop!$A:$A,Prod_Prop!$B:$B,$E651,Prod_Prop!$H:$H,K$1,Prod_Prop!$I:$I,"Exacto"),Prod_Prop!$A:$A,Prod_Prop!$J:$J,"",0,1))</f>
        <v/>
      </c>
      <c r="L651" s="4" t="str">
        <f t="array" ref="L651">IF($E651="","", XLOOKUP(SUMIFS(Prod_Prop!$A:$A,Prod_Prop!$B:$B,$E651,Prod_Prop!$H:$H,L$1,Prod_Prop!$I:$I,"Exacto"),Prod_Prop!$A:$A,Prod_Prop!$J:$J,"",0,1))</f>
        <v/>
      </c>
      <c r="M651" s="4" t="str">
        <f t="array" ref="M651">IF($E651="","", XLOOKUP(SUMIFS(Prod_Prop!$A:$A,Prod_Prop!$B:$B,$E651,Prod_Prop!$H:$H,M$1,Prod_Prop!$I:$I,"Exacto"),Prod_Prop!$A:$A,Prod_Prop!$J:$J,"",0,1))</f>
        <v/>
      </c>
      <c r="N651" s="4" t="str">
        <f t="array" ref="N651">IF($E651="","", XLOOKUP(SUMIFS(Prod_Prop!$A:$A,Prod_Prop!$B:$B,$E651,Prod_Prop!$H:$H,N$1,Prod_Prop!$I:$I,"Exacto"),Prod_Prop!$A:$A,Prod_Prop!$J:$J,"",0,1))</f>
        <v/>
      </c>
      <c r="O651" s="4" t="str">
        <f t="array" ref="O651">IF($E651="","", XLOOKUP(SUMIFS(Prod_Prop!$A:$A,Prod_Prop!$B:$B,$E651,Prod_Prop!$H:$H,O$1,Prod_Prop!$I:$I,"Exacto"),Prod_Prop!$A:$A,Prod_Prop!$J:$J,"",0,1))</f>
        <v/>
      </c>
      <c r="P651" s="4" t="str">
        <f t="array" ref="P651">IF($E651="","", XLOOKUP(SUMIFS(Prod_Prop!$A:$A,Prod_Prop!$B:$B,$E651,Prod_Prop!$H:$H,P$1,Prod_Prop!$I:$I,"Exacto"),Prod_Prop!$A:$A,Prod_Prop!$J:$J,"",0,1))</f>
        <v/>
      </c>
      <c r="Q651" s="4" t="str">
        <f t="array" ref="Q651">IF($E651="","", XLOOKUP(SUMIFS(Prod_Prop!$A:$A,Prod_Prop!$B:$B,$E651,Prod_Prop!$H:$H,Q$1,Prod_Prop!$I:$I,"Exacto"),Prod_Prop!$A:$A,Prod_Prop!$J:$J,"",0,1))</f>
        <v/>
      </c>
      <c r="R651" s="4" t="str">
        <f t="array" ref="R651">IF($E651="","", XLOOKUP(SUMIFS(Prod_Prop!$A:$A,Prod_Prop!$B:$B,$E651,Prod_Prop!$H:$H,R$1,Prod_Prop!$I:$I,"Exacto"),Prod_Prop!$A:$A,Prod_Prop!$J:$J,"",0,1))</f>
        <v/>
      </c>
      <c r="S651" s="4" t="str">
        <f t="array" ref="S651">IF($E651="","", XLOOKUP(SUMIFS(Prod_Prop!$A:$A,Prod_Prop!$B:$B,$E651,Prod_Prop!$H:$H,S$1,Prod_Prop!$I:$I,"Exacto"),Prod_Prop!$A:$A,Prod_Prop!$J:$J,"",0,1))</f>
        <v/>
      </c>
      <c r="T651" s="4" t="str">
        <f t="array" ref="T651">IF($E651="","", XLOOKUP(SUMIFS(Prod_Prop!$A:$A,Prod_Prop!$B:$B,$E651,Prod_Prop!$H:$H,T$1,Prod_Prop!$I:$I,"Exacto"),Prod_Prop!$A:$A,Prod_Prop!$J:$J,"",0,1))</f>
        <v/>
      </c>
      <c r="U651" s="4" t="str">
        <f t="array" ref="U651">IF($E651="","", XLOOKUP(SUMIFS(Prod_Prop!$A:$A,Prod_Prop!$B:$B,$E651,Prod_Prop!$H:$H,U$1,Prod_Prop!$I:$I,"Exacto"),Prod_Prop!$A:$A,Prod_Prop!$J:$J,"",0,1))</f>
        <v/>
      </c>
      <c r="V651" s="4" t="str">
        <f t="array" ref="V651">IF($E651="","", XLOOKUP(SUMIFS(Prod_Prop!$A:$A,Prod_Prop!$B:$B,$E651,Prod_Prop!$H:$H,V$1,Prod_Prop!$I:$I,"Exacto"),Prod_Prop!$A:$A,Prod_Prop!$J:$J,"",0,1))</f>
        <v/>
      </c>
      <c r="X651" s="3" t="str">
        <f>IFERROR(__xludf.DUMMYFUNCTION("IF(D651="""","""",IFERROR(TRANSPOSE(FILTER('Validaciones Cotizador'!U:U,'Validaciones Cotizador'!O:O=D651,'Validaciones Cotizador'!T:T=""x"")),""Finalizar""))"),"")</f>
        <v/>
      </c>
    </row>
    <row r="652">
      <c r="A652" s="2" t="str">
        <f t="array" ref="A652">IF(E652="","",XLOOKUP(D652,'Validaciones Cotizador'!C:C,'Validaciones Cotizador'!A:A,"",0,1))</f>
        <v/>
      </c>
      <c r="B652" s="2" t="str">
        <f t="array" ref="B652">IF(F652="","",XLOOKUP(F652,Productos!E:E,Productos!G:G,"",0,1))</f>
        <v/>
      </c>
      <c r="C652" s="2" t="str">
        <f>IF(A652="","",SUMIFS('Validaciones Cotizador'!B:B,'Validaciones Cotizador'!C:C,D652,'Validaciones Cotizador'!A:A,A652))</f>
        <v/>
      </c>
      <c r="D652" s="4" t="str">
        <f>IFERROR(__xludf.DUMMYFUNCTION("IF(OR(F651=""Finalizar"",F651="""",F651=""Selecciona..""),"""",IF(OR(F651=""-"",INDEX(filter(Familias!F:F,Familias!D:D=A651,Familias!E:E=C651),1)=""O""),D651+1,D651))"),"")</f>
        <v/>
      </c>
      <c r="E652" s="2" t="str">
        <f>IF(OR(F652="",F652="Selecciona.."),"",IF(D652="Implemento",SUMIF(Implementos!B:B,F652,Implementos!A:A),SUMIF(Productos!E:E,F652,Productos!A:A)))</f>
        <v/>
      </c>
      <c r="F652" s="2" t="str">
        <f t="shared" si="2"/>
        <v/>
      </c>
      <c r="G652" s="10" t="str">
        <f t="array" ref="G652">IF(OR(F652="",F652="-",F652="Selecciona..",F652="Finalizar"),"",IF(A652="Rodados",XLOOKUP(B652,'Validaciones Cotizador'!I:I,'Validaciones Cotizador'!J:J,0,0,1),1))</f>
        <v/>
      </c>
      <c r="H652" s="11" t="str">
        <f>IF(OR(F652="",F652="Selecciona.."),"",SUMIF(Precio_Productos!K:K,E652,Precio_Productos!J:J)*G652)</f>
        <v/>
      </c>
      <c r="I652" s="4" t="str">
        <f t="array" ref="I652">IF($E652="","", XLOOKUP(SUMIFS(Prod_Prop!$A:$A,Prod_Prop!$B:$B,$E652,Prod_Prop!$H:$H,I$1,Prod_Prop!$I:$I,"Exacto"),Prod_Prop!$A:$A,Prod_Prop!$J:$J,"",0,1))</f>
        <v/>
      </c>
      <c r="J652" s="4" t="str">
        <f t="array" ref="J652">IF($E652="","", XLOOKUP(SUMIFS(Prod_Prop!$A:$A,Prod_Prop!$B:$B,$E652,Prod_Prop!$H:$H,J$1,Prod_Prop!$I:$I,"Exacto"),Prod_Prop!$A:$A,Prod_Prop!$J:$J,"",0,1))</f>
        <v/>
      </c>
      <c r="K652" s="4" t="str">
        <f t="array" ref="K652">IF($E652="","", XLOOKUP(SUMIFS(Prod_Prop!$A:$A,Prod_Prop!$B:$B,$E652,Prod_Prop!$H:$H,K$1,Prod_Prop!$I:$I,"Exacto"),Prod_Prop!$A:$A,Prod_Prop!$J:$J,"",0,1))</f>
        <v/>
      </c>
      <c r="L652" s="4" t="str">
        <f t="array" ref="L652">IF($E652="","", XLOOKUP(SUMIFS(Prod_Prop!$A:$A,Prod_Prop!$B:$B,$E652,Prod_Prop!$H:$H,L$1,Prod_Prop!$I:$I,"Exacto"),Prod_Prop!$A:$A,Prod_Prop!$J:$J,"",0,1))</f>
        <v/>
      </c>
      <c r="M652" s="4" t="str">
        <f t="array" ref="M652">IF($E652="","", XLOOKUP(SUMIFS(Prod_Prop!$A:$A,Prod_Prop!$B:$B,$E652,Prod_Prop!$H:$H,M$1,Prod_Prop!$I:$I,"Exacto"),Prod_Prop!$A:$A,Prod_Prop!$J:$J,"",0,1))</f>
        <v/>
      </c>
      <c r="N652" s="4" t="str">
        <f t="array" ref="N652">IF($E652="","", XLOOKUP(SUMIFS(Prod_Prop!$A:$A,Prod_Prop!$B:$B,$E652,Prod_Prop!$H:$H,N$1,Prod_Prop!$I:$I,"Exacto"),Prod_Prop!$A:$A,Prod_Prop!$J:$J,"",0,1))</f>
        <v/>
      </c>
      <c r="O652" s="4" t="str">
        <f t="array" ref="O652">IF($E652="","", XLOOKUP(SUMIFS(Prod_Prop!$A:$A,Prod_Prop!$B:$B,$E652,Prod_Prop!$H:$H,O$1,Prod_Prop!$I:$I,"Exacto"),Prod_Prop!$A:$A,Prod_Prop!$J:$J,"",0,1))</f>
        <v/>
      </c>
      <c r="P652" s="4" t="str">
        <f t="array" ref="P652">IF($E652="","", XLOOKUP(SUMIFS(Prod_Prop!$A:$A,Prod_Prop!$B:$B,$E652,Prod_Prop!$H:$H,P$1,Prod_Prop!$I:$I,"Exacto"),Prod_Prop!$A:$A,Prod_Prop!$J:$J,"",0,1))</f>
        <v/>
      </c>
      <c r="Q652" s="4" t="str">
        <f t="array" ref="Q652">IF($E652="","", XLOOKUP(SUMIFS(Prod_Prop!$A:$A,Prod_Prop!$B:$B,$E652,Prod_Prop!$H:$H,Q$1,Prod_Prop!$I:$I,"Exacto"),Prod_Prop!$A:$A,Prod_Prop!$J:$J,"",0,1))</f>
        <v/>
      </c>
      <c r="R652" s="4" t="str">
        <f t="array" ref="R652">IF($E652="","", XLOOKUP(SUMIFS(Prod_Prop!$A:$A,Prod_Prop!$B:$B,$E652,Prod_Prop!$H:$H,R$1,Prod_Prop!$I:$I,"Exacto"),Prod_Prop!$A:$A,Prod_Prop!$J:$J,"",0,1))</f>
        <v/>
      </c>
      <c r="S652" s="4" t="str">
        <f t="array" ref="S652">IF($E652="","", XLOOKUP(SUMIFS(Prod_Prop!$A:$A,Prod_Prop!$B:$B,$E652,Prod_Prop!$H:$H,S$1,Prod_Prop!$I:$I,"Exacto"),Prod_Prop!$A:$A,Prod_Prop!$J:$J,"",0,1))</f>
        <v/>
      </c>
      <c r="T652" s="4" t="str">
        <f t="array" ref="T652">IF($E652="","", XLOOKUP(SUMIFS(Prod_Prop!$A:$A,Prod_Prop!$B:$B,$E652,Prod_Prop!$H:$H,T$1,Prod_Prop!$I:$I,"Exacto"),Prod_Prop!$A:$A,Prod_Prop!$J:$J,"",0,1))</f>
        <v/>
      </c>
      <c r="U652" s="4" t="str">
        <f t="array" ref="U652">IF($E652="","", XLOOKUP(SUMIFS(Prod_Prop!$A:$A,Prod_Prop!$B:$B,$E652,Prod_Prop!$H:$H,U$1,Prod_Prop!$I:$I,"Exacto"),Prod_Prop!$A:$A,Prod_Prop!$J:$J,"",0,1))</f>
        <v/>
      </c>
      <c r="V652" s="4" t="str">
        <f t="array" ref="V652">IF($E652="","", XLOOKUP(SUMIFS(Prod_Prop!$A:$A,Prod_Prop!$B:$B,$E652,Prod_Prop!$H:$H,V$1,Prod_Prop!$I:$I,"Exacto"),Prod_Prop!$A:$A,Prod_Prop!$J:$J,"",0,1))</f>
        <v/>
      </c>
      <c r="X652" s="3" t="str">
        <f>IFERROR(__xludf.DUMMYFUNCTION("IF(D652="""","""",IFERROR(TRANSPOSE(FILTER('Validaciones Cotizador'!U:U,'Validaciones Cotizador'!O:O=D652,'Validaciones Cotizador'!T:T=""x"")),""Finalizar""))"),"")</f>
        <v/>
      </c>
    </row>
    <row r="653">
      <c r="A653" s="2" t="str">
        <f t="array" ref="A653">IF(E653="","",XLOOKUP(D653,'Validaciones Cotizador'!C:C,'Validaciones Cotizador'!A:A,"",0,1))</f>
        <v/>
      </c>
      <c r="B653" s="2" t="str">
        <f t="array" ref="B653">IF(F653="","",XLOOKUP(F653,Productos!E:E,Productos!G:G,"",0,1))</f>
        <v/>
      </c>
      <c r="C653" s="2" t="str">
        <f>IF(A653="","",SUMIFS('Validaciones Cotizador'!B:B,'Validaciones Cotizador'!C:C,D653,'Validaciones Cotizador'!A:A,A653))</f>
        <v/>
      </c>
      <c r="D653" s="4" t="str">
        <f>IFERROR(__xludf.DUMMYFUNCTION("IF(OR(F652=""Finalizar"",F652="""",F652=""Selecciona..""),"""",IF(OR(F652=""-"",INDEX(filter(Familias!F:F,Familias!D:D=A652,Familias!E:E=C652),1)=""O""),D652+1,D652))"),"")</f>
        <v/>
      </c>
      <c r="E653" s="2" t="str">
        <f>IF(OR(F653="",F653="Selecciona.."),"",IF(D653="Implemento",SUMIF(Implementos!B:B,F653,Implementos!A:A),SUMIF(Productos!E:E,F653,Productos!A:A)))</f>
        <v/>
      </c>
      <c r="F653" s="2" t="str">
        <f t="shared" si="2"/>
        <v/>
      </c>
      <c r="G653" s="10" t="str">
        <f t="array" ref="G653">IF(OR(F653="",F653="-",F653="Selecciona..",F653="Finalizar"),"",IF(A653="Rodados",XLOOKUP(B653,'Validaciones Cotizador'!I:I,'Validaciones Cotizador'!J:J,0,0,1),1))</f>
        <v/>
      </c>
      <c r="H653" s="11" t="str">
        <f>IF(OR(F653="",F653="Selecciona.."),"",SUMIF(Precio_Productos!K:K,E653,Precio_Productos!J:J)*G653)</f>
        <v/>
      </c>
      <c r="I653" s="4" t="str">
        <f t="array" ref="I653">IF($E653="","", XLOOKUP(SUMIFS(Prod_Prop!$A:$A,Prod_Prop!$B:$B,$E653,Prod_Prop!$H:$H,I$1,Prod_Prop!$I:$I,"Exacto"),Prod_Prop!$A:$A,Prod_Prop!$J:$J,"",0,1))</f>
        <v/>
      </c>
      <c r="J653" s="4" t="str">
        <f t="array" ref="J653">IF($E653="","", XLOOKUP(SUMIFS(Prod_Prop!$A:$A,Prod_Prop!$B:$B,$E653,Prod_Prop!$H:$H,J$1,Prod_Prop!$I:$I,"Exacto"),Prod_Prop!$A:$A,Prod_Prop!$J:$J,"",0,1))</f>
        <v/>
      </c>
      <c r="K653" s="4" t="str">
        <f t="array" ref="K653">IF($E653="","", XLOOKUP(SUMIFS(Prod_Prop!$A:$A,Prod_Prop!$B:$B,$E653,Prod_Prop!$H:$H,K$1,Prod_Prop!$I:$I,"Exacto"),Prod_Prop!$A:$A,Prod_Prop!$J:$J,"",0,1))</f>
        <v/>
      </c>
      <c r="L653" s="4" t="str">
        <f t="array" ref="L653">IF($E653="","", XLOOKUP(SUMIFS(Prod_Prop!$A:$A,Prod_Prop!$B:$B,$E653,Prod_Prop!$H:$H,L$1,Prod_Prop!$I:$I,"Exacto"),Prod_Prop!$A:$A,Prod_Prop!$J:$J,"",0,1))</f>
        <v/>
      </c>
      <c r="M653" s="4" t="str">
        <f t="array" ref="M653">IF($E653="","", XLOOKUP(SUMIFS(Prod_Prop!$A:$A,Prod_Prop!$B:$B,$E653,Prod_Prop!$H:$H,M$1,Prod_Prop!$I:$I,"Exacto"),Prod_Prop!$A:$A,Prod_Prop!$J:$J,"",0,1))</f>
        <v/>
      </c>
      <c r="N653" s="4" t="str">
        <f t="array" ref="N653">IF($E653="","", XLOOKUP(SUMIFS(Prod_Prop!$A:$A,Prod_Prop!$B:$B,$E653,Prod_Prop!$H:$H,N$1,Prod_Prop!$I:$I,"Exacto"),Prod_Prop!$A:$A,Prod_Prop!$J:$J,"",0,1))</f>
        <v/>
      </c>
      <c r="O653" s="4" t="str">
        <f t="array" ref="O653">IF($E653="","", XLOOKUP(SUMIFS(Prod_Prop!$A:$A,Prod_Prop!$B:$B,$E653,Prod_Prop!$H:$H,O$1,Prod_Prop!$I:$I,"Exacto"),Prod_Prop!$A:$A,Prod_Prop!$J:$J,"",0,1))</f>
        <v/>
      </c>
      <c r="P653" s="4" t="str">
        <f t="array" ref="P653">IF($E653="","", XLOOKUP(SUMIFS(Prod_Prop!$A:$A,Prod_Prop!$B:$B,$E653,Prod_Prop!$H:$H,P$1,Prod_Prop!$I:$I,"Exacto"),Prod_Prop!$A:$A,Prod_Prop!$J:$J,"",0,1))</f>
        <v/>
      </c>
      <c r="Q653" s="4" t="str">
        <f t="array" ref="Q653">IF($E653="","", XLOOKUP(SUMIFS(Prod_Prop!$A:$A,Prod_Prop!$B:$B,$E653,Prod_Prop!$H:$H,Q$1,Prod_Prop!$I:$I,"Exacto"),Prod_Prop!$A:$A,Prod_Prop!$J:$J,"",0,1))</f>
        <v/>
      </c>
      <c r="R653" s="4" t="str">
        <f t="array" ref="R653">IF($E653="","", XLOOKUP(SUMIFS(Prod_Prop!$A:$A,Prod_Prop!$B:$B,$E653,Prod_Prop!$H:$H,R$1,Prod_Prop!$I:$I,"Exacto"),Prod_Prop!$A:$A,Prod_Prop!$J:$J,"",0,1))</f>
        <v/>
      </c>
      <c r="S653" s="4" t="str">
        <f t="array" ref="S653">IF($E653="","", XLOOKUP(SUMIFS(Prod_Prop!$A:$A,Prod_Prop!$B:$B,$E653,Prod_Prop!$H:$H,S$1,Prod_Prop!$I:$I,"Exacto"),Prod_Prop!$A:$A,Prod_Prop!$J:$J,"",0,1))</f>
        <v/>
      </c>
      <c r="T653" s="4" t="str">
        <f t="array" ref="T653">IF($E653="","", XLOOKUP(SUMIFS(Prod_Prop!$A:$A,Prod_Prop!$B:$B,$E653,Prod_Prop!$H:$H,T$1,Prod_Prop!$I:$I,"Exacto"),Prod_Prop!$A:$A,Prod_Prop!$J:$J,"",0,1))</f>
        <v/>
      </c>
      <c r="U653" s="4" t="str">
        <f t="array" ref="U653">IF($E653="","", XLOOKUP(SUMIFS(Prod_Prop!$A:$A,Prod_Prop!$B:$B,$E653,Prod_Prop!$H:$H,U$1,Prod_Prop!$I:$I,"Exacto"),Prod_Prop!$A:$A,Prod_Prop!$J:$J,"",0,1))</f>
        <v/>
      </c>
      <c r="V653" s="4" t="str">
        <f t="array" ref="V653">IF($E653="","", XLOOKUP(SUMIFS(Prod_Prop!$A:$A,Prod_Prop!$B:$B,$E653,Prod_Prop!$H:$H,V$1,Prod_Prop!$I:$I,"Exacto"),Prod_Prop!$A:$A,Prod_Prop!$J:$J,"",0,1))</f>
        <v/>
      </c>
      <c r="X653" s="3" t="str">
        <f>IFERROR(__xludf.DUMMYFUNCTION("IF(D653="""","""",IFERROR(TRANSPOSE(FILTER('Validaciones Cotizador'!U:U,'Validaciones Cotizador'!O:O=D653,'Validaciones Cotizador'!T:T=""x"")),""Finalizar""))"),"")</f>
        <v/>
      </c>
    </row>
    <row r="654">
      <c r="A654" s="2" t="str">
        <f t="array" ref="A654">IF(E654="","",XLOOKUP(D654,'Validaciones Cotizador'!C:C,'Validaciones Cotizador'!A:A,"",0,1))</f>
        <v/>
      </c>
      <c r="B654" s="2" t="str">
        <f t="array" ref="B654">IF(F654="","",XLOOKUP(F654,Productos!E:E,Productos!G:G,"",0,1))</f>
        <v/>
      </c>
      <c r="C654" s="2" t="str">
        <f>IF(A654="","",SUMIFS('Validaciones Cotizador'!B:B,'Validaciones Cotizador'!C:C,D654,'Validaciones Cotizador'!A:A,A654))</f>
        <v/>
      </c>
      <c r="D654" s="4" t="str">
        <f>IFERROR(__xludf.DUMMYFUNCTION("IF(OR(F653=""Finalizar"",F653="""",F653=""Selecciona..""),"""",IF(OR(F653=""-"",INDEX(filter(Familias!F:F,Familias!D:D=A653,Familias!E:E=C653),1)=""O""),D653+1,D653))"),"")</f>
        <v/>
      </c>
      <c r="E654" s="2" t="str">
        <f>IF(OR(F654="",F654="Selecciona.."),"",IF(D654="Implemento",SUMIF(Implementos!B:B,F654,Implementos!A:A),SUMIF(Productos!E:E,F654,Productos!A:A)))</f>
        <v/>
      </c>
      <c r="F654" s="2" t="str">
        <f t="shared" si="2"/>
        <v/>
      </c>
      <c r="G654" s="10" t="str">
        <f t="array" ref="G654">IF(OR(F654="",F654="-",F654="Selecciona..",F654="Finalizar"),"",IF(A654="Rodados",XLOOKUP(B654,'Validaciones Cotizador'!I:I,'Validaciones Cotizador'!J:J,0,0,1),1))</f>
        <v/>
      </c>
      <c r="H654" s="11" t="str">
        <f>IF(OR(F654="",F654="Selecciona.."),"",SUMIF(Precio_Productos!K:K,E654,Precio_Productos!J:J)*G654)</f>
        <v/>
      </c>
      <c r="I654" s="4" t="str">
        <f t="array" ref="I654">IF($E654="","", XLOOKUP(SUMIFS(Prod_Prop!$A:$A,Prod_Prop!$B:$B,$E654,Prod_Prop!$H:$H,I$1,Prod_Prop!$I:$I,"Exacto"),Prod_Prop!$A:$A,Prod_Prop!$J:$J,"",0,1))</f>
        <v/>
      </c>
      <c r="J654" s="4" t="str">
        <f t="array" ref="J654">IF($E654="","", XLOOKUP(SUMIFS(Prod_Prop!$A:$A,Prod_Prop!$B:$B,$E654,Prod_Prop!$H:$H,J$1,Prod_Prop!$I:$I,"Exacto"),Prod_Prop!$A:$A,Prod_Prop!$J:$J,"",0,1))</f>
        <v/>
      </c>
      <c r="K654" s="4" t="str">
        <f t="array" ref="K654">IF($E654="","", XLOOKUP(SUMIFS(Prod_Prop!$A:$A,Prod_Prop!$B:$B,$E654,Prod_Prop!$H:$H,K$1,Prod_Prop!$I:$I,"Exacto"),Prod_Prop!$A:$A,Prod_Prop!$J:$J,"",0,1))</f>
        <v/>
      </c>
      <c r="L654" s="4" t="str">
        <f t="array" ref="L654">IF($E654="","", XLOOKUP(SUMIFS(Prod_Prop!$A:$A,Prod_Prop!$B:$B,$E654,Prod_Prop!$H:$H,L$1,Prod_Prop!$I:$I,"Exacto"),Prod_Prop!$A:$A,Prod_Prop!$J:$J,"",0,1))</f>
        <v/>
      </c>
      <c r="M654" s="4" t="str">
        <f t="array" ref="M654">IF($E654="","", XLOOKUP(SUMIFS(Prod_Prop!$A:$A,Prod_Prop!$B:$B,$E654,Prod_Prop!$H:$H,M$1,Prod_Prop!$I:$I,"Exacto"),Prod_Prop!$A:$A,Prod_Prop!$J:$J,"",0,1))</f>
        <v/>
      </c>
      <c r="N654" s="4" t="str">
        <f t="array" ref="N654">IF($E654="","", XLOOKUP(SUMIFS(Prod_Prop!$A:$A,Prod_Prop!$B:$B,$E654,Prod_Prop!$H:$H,N$1,Prod_Prop!$I:$I,"Exacto"),Prod_Prop!$A:$A,Prod_Prop!$J:$J,"",0,1))</f>
        <v/>
      </c>
      <c r="O654" s="4" t="str">
        <f t="array" ref="O654">IF($E654="","", XLOOKUP(SUMIFS(Prod_Prop!$A:$A,Prod_Prop!$B:$B,$E654,Prod_Prop!$H:$H,O$1,Prod_Prop!$I:$I,"Exacto"),Prod_Prop!$A:$A,Prod_Prop!$J:$J,"",0,1))</f>
        <v/>
      </c>
      <c r="P654" s="4" t="str">
        <f t="array" ref="P654">IF($E654="","", XLOOKUP(SUMIFS(Prod_Prop!$A:$A,Prod_Prop!$B:$B,$E654,Prod_Prop!$H:$H,P$1,Prod_Prop!$I:$I,"Exacto"),Prod_Prop!$A:$A,Prod_Prop!$J:$J,"",0,1))</f>
        <v/>
      </c>
      <c r="Q654" s="4" t="str">
        <f t="array" ref="Q654">IF($E654="","", XLOOKUP(SUMIFS(Prod_Prop!$A:$A,Prod_Prop!$B:$B,$E654,Prod_Prop!$H:$H,Q$1,Prod_Prop!$I:$I,"Exacto"),Prod_Prop!$A:$A,Prod_Prop!$J:$J,"",0,1))</f>
        <v/>
      </c>
      <c r="R654" s="4" t="str">
        <f t="array" ref="R654">IF($E654="","", XLOOKUP(SUMIFS(Prod_Prop!$A:$A,Prod_Prop!$B:$B,$E654,Prod_Prop!$H:$H,R$1,Prod_Prop!$I:$I,"Exacto"),Prod_Prop!$A:$A,Prod_Prop!$J:$J,"",0,1))</f>
        <v/>
      </c>
      <c r="S654" s="4" t="str">
        <f t="array" ref="S654">IF($E654="","", XLOOKUP(SUMIFS(Prod_Prop!$A:$A,Prod_Prop!$B:$B,$E654,Prod_Prop!$H:$H,S$1,Prod_Prop!$I:$I,"Exacto"),Prod_Prop!$A:$A,Prod_Prop!$J:$J,"",0,1))</f>
        <v/>
      </c>
      <c r="T654" s="4" t="str">
        <f t="array" ref="T654">IF($E654="","", XLOOKUP(SUMIFS(Prod_Prop!$A:$A,Prod_Prop!$B:$B,$E654,Prod_Prop!$H:$H,T$1,Prod_Prop!$I:$I,"Exacto"),Prod_Prop!$A:$A,Prod_Prop!$J:$J,"",0,1))</f>
        <v/>
      </c>
      <c r="U654" s="4" t="str">
        <f t="array" ref="U654">IF($E654="","", XLOOKUP(SUMIFS(Prod_Prop!$A:$A,Prod_Prop!$B:$B,$E654,Prod_Prop!$H:$H,U$1,Prod_Prop!$I:$I,"Exacto"),Prod_Prop!$A:$A,Prod_Prop!$J:$J,"",0,1))</f>
        <v/>
      </c>
      <c r="V654" s="4" t="str">
        <f t="array" ref="V654">IF($E654="","", XLOOKUP(SUMIFS(Prod_Prop!$A:$A,Prod_Prop!$B:$B,$E654,Prod_Prop!$H:$H,V$1,Prod_Prop!$I:$I,"Exacto"),Prod_Prop!$A:$A,Prod_Prop!$J:$J,"",0,1))</f>
        <v/>
      </c>
      <c r="X654" s="3" t="str">
        <f>IFERROR(__xludf.DUMMYFUNCTION("IF(D654="""","""",IFERROR(TRANSPOSE(FILTER('Validaciones Cotizador'!U:U,'Validaciones Cotizador'!O:O=D654,'Validaciones Cotizador'!T:T=""x"")),""Finalizar""))"),"")</f>
        <v/>
      </c>
    </row>
    <row r="655">
      <c r="A655" s="2" t="str">
        <f t="array" ref="A655">IF(E655="","",XLOOKUP(D655,'Validaciones Cotizador'!C:C,'Validaciones Cotizador'!A:A,"",0,1))</f>
        <v/>
      </c>
      <c r="B655" s="2" t="str">
        <f t="array" ref="B655">IF(F655="","",XLOOKUP(F655,Productos!E:E,Productos!G:G,"",0,1))</f>
        <v/>
      </c>
      <c r="C655" s="2" t="str">
        <f>IF(A655="","",SUMIFS('Validaciones Cotizador'!B:B,'Validaciones Cotizador'!C:C,D655,'Validaciones Cotizador'!A:A,A655))</f>
        <v/>
      </c>
      <c r="D655" s="4" t="str">
        <f>IFERROR(__xludf.DUMMYFUNCTION("IF(OR(F654=""Finalizar"",F654="""",F654=""Selecciona..""),"""",IF(OR(F654=""-"",INDEX(filter(Familias!F:F,Familias!D:D=A654,Familias!E:E=C654),1)=""O""),D654+1,D654))"),"")</f>
        <v/>
      </c>
      <c r="E655" s="2" t="str">
        <f>IF(OR(F655="",F655="Selecciona.."),"",IF(D655="Implemento",SUMIF(Implementos!B:B,F655,Implementos!A:A),SUMIF(Productos!E:E,F655,Productos!A:A)))</f>
        <v/>
      </c>
      <c r="F655" s="2" t="str">
        <f t="shared" si="2"/>
        <v/>
      </c>
      <c r="G655" s="10" t="str">
        <f t="array" ref="G655">IF(OR(F655="",F655="-",F655="Selecciona..",F655="Finalizar"),"",IF(A655="Rodados",XLOOKUP(B655,'Validaciones Cotizador'!I:I,'Validaciones Cotizador'!J:J,0,0,1),1))</f>
        <v/>
      </c>
      <c r="H655" s="11" t="str">
        <f>IF(OR(F655="",F655="Selecciona.."),"",SUMIF(Precio_Productos!K:K,E655,Precio_Productos!J:J)*G655)</f>
        <v/>
      </c>
      <c r="I655" s="4" t="str">
        <f t="array" ref="I655">IF($E655="","", XLOOKUP(SUMIFS(Prod_Prop!$A:$A,Prod_Prop!$B:$B,$E655,Prod_Prop!$H:$H,I$1,Prod_Prop!$I:$I,"Exacto"),Prod_Prop!$A:$A,Prod_Prop!$J:$J,"",0,1))</f>
        <v/>
      </c>
      <c r="J655" s="4" t="str">
        <f t="array" ref="J655">IF($E655="","", XLOOKUP(SUMIFS(Prod_Prop!$A:$A,Prod_Prop!$B:$B,$E655,Prod_Prop!$H:$H,J$1,Prod_Prop!$I:$I,"Exacto"),Prod_Prop!$A:$A,Prod_Prop!$J:$J,"",0,1))</f>
        <v/>
      </c>
      <c r="K655" s="4" t="str">
        <f t="array" ref="K655">IF($E655="","", XLOOKUP(SUMIFS(Prod_Prop!$A:$A,Prod_Prop!$B:$B,$E655,Prod_Prop!$H:$H,K$1,Prod_Prop!$I:$I,"Exacto"),Prod_Prop!$A:$A,Prod_Prop!$J:$J,"",0,1))</f>
        <v/>
      </c>
      <c r="L655" s="4" t="str">
        <f t="array" ref="L655">IF($E655="","", XLOOKUP(SUMIFS(Prod_Prop!$A:$A,Prod_Prop!$B:$B,$E655,Prod_Prop!$H:$H,L$1,Prod_Prop!$I:$I,"Exacto"),Prod_Prop!$A:$A,Prod_Prop!$J:$J,"",0,1))</f>
        <v/>
      </c>
      <c r="M655" s="4" t="str">
        <f t="array" ref="M655">IF($E655="","", XLOOKUP(SUMIFS(Prod_Prop!$A:$A,Prod_Prop!$B:$B,$E655,Prod_Prop!$H:$H,M$1,Prod_Prop!$I:$I,"Exacto"),Prod_Prop!$A:$A,Prod_Prop!$J:$J,"",0,1))</f>
        <v/>
      </c>
      <c r="N655" s="4" t="str">
        <f t="array" ref="N655">IF($E655="","", XLOOKUP(SUMIFS(Prod_Prop!$A:$A,Prod_Prop!$B:$B,$E655,Prod_Prop!$H:$H,N$1,Prod_Prop!$I:$I,"Exacto"),Prod_Prop!$A:$A,Prod_Prop!$J:$J,"",0,1))</f>
        <v/>
      </c>
      <c r="O655" s="4" t="str">
        <f t="array" ref="O655">IF($E655="","", XLOOKUP(SUMIFS(Prod_Prop!$A:$A,Prod_Prop!$B:$B,$E655,Prod_Prop!$H:$H,O$1,Prod_Prop!$I:$I,"Exacto"),Prod_Prop!$A:$A,Prod_Prop!$J:$J,"",0,1))</f>
        <v/>
      </c>
      <c r="P655" s="4" t="str">
        <f t="array" ref="P655">IF($E655="","", XLOOKUP(SUMIFS(Prod_Prop!$A:$A,Prod_Prop!$B:$B,$E655,Prod_Prop!$H:$H,P$1,Prod_Prop!$I:$I,"Exacto"),Prod_Prop!$A:$A,Prod_Prop!$J:$J,"",0,1))</f>
        <v/>
      </c>
      <c r="Q655" s="4" t="str">
        <f t="array" ref="Q655">IF($E655="","", XLOOKUP(SUMIFS(Prod_Prop!$A:$A,Prod_Prop!$B:$B,$E655,Prod_Prop!$H:$H,Q$1,Prod_Prop!$I:$I,"Exacto"),Prod_Prop!$A:$A,Prod_Prop!$J:$J,"",0,1))</f>
        <v/>
      </c>
      <c r="R655" s="4" t="str">
        <f t="array" ref="R655">IF($E655="","", XLOOKUP(SUMIFS(Prod_Prop!$A:$A,Prod_Prop!$B:$B,$E655,Prod_Prop!$H:$H,R$1,Prod_Prop!$I:$I,"Exacto"),Prod_Prop!$A:$A,Prod_Prop!$J:$J,"",0,1))</f>
        <v/>
      </c>
      <c r="S655" s="4" t="str">
        <f t="array" ref="S655">IF($E655="","", XLOOKUP(SUMIFS(Prod_Prop!$A:$A,Prod_Prop!$B:$B,$E655,Prod_Prop!$H:$H,S$1,Prod_Prop!$I:$I,"Exacto"),Prod_Prop!$A:$A,Prod_Prop!$J:$J,"",0,1))</f>
        <v/>
      </c>
      <c r="T655" s="4" t="str">
        <f t="array" ref="T655">IF($E655="","", XLOOKUP(SUMIFS(Prod_Prop!$A:$A,Prod_Prop!$B:$B,$E655,Prod_Prop!$H:$H,T$1,Prod_Prop!$I:$I,"Exacto"),Prod_Prop!$A:$A,Prod_Prop!$J:$J,"",0,1))</f>
        <v/>
      </c>
      <c r="U655" s="4" t="str">
        <f t="array" ref="U655">IF($E655="","", XLOOKUP(SUMIFS(Prod_Prop!$A:$A,Prod_Prop!$B:$B,$E655,Prod_Prop!$H:$H,U$1,Prod_Prop!$I:$I,"Exacto"),Prod_Prop!$A:$A,Prod_Prop!$J:$J,"",0,1))</f>
        <v/>
      </c>
      <c r="V655" s="4" t="str">
        <f t="array" ref="V655">IF($E655="","", XLOOKUP(SUMIFS(Prod_Prop!$A:$A,Prod_Prop!$B:$B,$E655,Prod_Prop!$H:$H,V$1,Prod_Prop!$I:$I,"Exacto"),Prod_Prop!$A:$A,Prod_Prop!$J:$J,"",0,1))</f>
        <v/>
      </c>
      <c r="X655" s="3" t="str">
        <f>IFERROR(__xludf.DUMMYFUNCTION("IF(D655="""","""",IFERROR(TRANSPOSE(FILTER('Validaciones Cotizador'!U:U,'Validaciones Cotizador'!O:O=D655,'Validaciones Cotizador'!T:T=""x"")),""Finalizar""))"),"")</f>
        <v/>
      </c>
    </row>
    <row r="656">
      <c r="A656" s="2" t="str">
        <f t="array" ref="A656">IF(E656="","",XLOOKUP(D656,'Validaciones Cotizador'!C:C,'Validaciones Cotizador'!A:A,"",0,1))</f>
        <v/>
      </c>
      <c r="B656" s="2" t="str">
        <f t="array" ref="B656">IF(F656="","",XLOOKUP(F656,Productos!E:E,Productos!G:G,"",0,1))</f>
        <v/>
      </c>
      <c r="C656" s="2" t="str">
        <f>IF(A656="","",SUMIFS('Validaciones Cotizador'!B:B,'Validaciones Cotizador'!C:C,D656,'Validaciones Cotizador'!A:A,A656))</f>
        <v/>
      </c>
      <c r="D656" s="4" t="str">
        <f>IFERROR(__xludf.DUMMYFUNCTION("IF(OR(F655=""Finalizar"",F655="""",F655=""Selecciona..""),"""",IF(OR(F655=""-"",INDEX(filter(Familias!F:F,Familias!D:D=A655,Familias!E:E=C655),1)=""O""),D655+1,D655))"),"")</f>
        <v/>
      </c>
      <c r="E656" s="2" t="str">
        <f>IF(OR(F656="",F656="Selecciona.."),"",IF(D656="Implemento",SUMIF(Implementos!B:B,F656,Implementos!A:A),SUMIF(Productos!E:E,F656,Productos!A:A)))</f>
        <v/>
      </c>
      <c r="F656" s="2" t="str">
        <f t="shared" si="2"/>
        <v/>
      </c>
      <c r="G656" s="10" t="str">
        <f t="array" ref="G656">IF(OR(F656="",F656="-",F656="Selecciona..",F656="Finalizar"),"",IF(A656="Rodados",XLOOKUP(B656,'Validaciones Cotizador'!I:I,'Validaciones Cotizador'!J:J,0,0,1),1))</f>
        <v/>
      </c>
      <c r="H656" s="11" t="str">
        <f>IF(OR(F656="",F656="Selecciona.."),"",SUMIF(Precio_Productos!K:K,E656,Precio_Productos!J:J)*G656)</f>
        <v/>
      </c>
      <c r="I656" s="4" t="str">
        <f t="array" ref="I656">IF($E656="","", XLOOKUP(SUMIFS(Prod_Prop!$A:$A,Prod_Prop!$B:$B,$E656,Prod_Prop!$H:$H,I$1,Prod_Prop!$I:$I,"Exacto"),Prod_Prop!$A:$A,Prod_Prop!$J:$J,"",0,1))</f>
        <v/>
      </c>
      <c r="J656" s="4" t="str">
        <f t="array" ref="J656">IF($E656="","", XLOOKUP(SUMIFS(Prod_Prop!$A:$A,Prod_Prop!$B:$B,$E656,Prod_Prop!$H:$H,J$1,Prod_Prop!$I:$I,"Exacto"),Prod_Prop!$A:$A,Prod_Prop!$J:$J,"",0,1))</f>
        <v/>
      </c>
      <c r="K656" s="4" t="str">
        <f t="array" ref="K656">IF($E656="","", XLOOKUP(SUMIFS(Prod_Prop!$A:$A,Prod_Prop!$B:$B,$E656,Prod_Prop!$H:$H,K$1,Prod_Prop!$I:$I,"Exacto"),Prod_Prop!$A:$A,Prod_Prop!$J:$J,"",0,1))</f>
        <v/>
      </c>
      <c r="L656" s="4" t="str">
        <f t="array" ref="L656">IF($E656="","", XLOOKUP(SUMIFS(Prod_Prop!$A:$A,Prod_Prop!$B:$B,$E656,Prod_Prop!$H:$H,L$1,Prod_Prop!$I:$I,"Exacto"),Prod_Prop!$A:$A,Prod_Prop!$J:$J,"",0,1))</f>
        <v/>
      </c>
      <c r="M656" s="4" t="str">
        <f t="array" ref="M656">IF($E656="","", XLOOKUP(SUMIFS(Prod_Prop!$A:$A,Prod_Prop!$B:$B,$E656,Prod_Prop!$H:$H,M$1,Prod_Prop!$I:$I,"Exacto"),Prod_Prop!$A:$A,Prod_Prop!$J:$J,"",0,1))</f>
        <v/>
      </c>
      <c r="N656" s="4" t="str">
        <f t="array" ref="N656">IF($E656="","", XLOOKUP(SUMIFS(Prod_Prop!$A:$A,Prod_Prop!$B:$B,$E656,Prod_Prop!$H:$H,N$1,Prod_Prop!$I:$I,"Exacto"),Prod_Prop!$A:$A,Prod_Prop!$J:$J,"",0,1))</f>
        <v/>
      </c>
      <c r="O656" s="4" t="str">
        <f t="array" ref="O656">IF($E656="","", XLOOKUP(SUMIFS(Prod_Prop!$A:$A,Prod_Prop!$B:$B,$E656,Prod_Prop!$H:$H,O$1,Prod_Prop!$I:$I,"Exacto"),Prod_Prop!$A:$A,Prod_Prop!$J:$J,"",0,1))</f>
        <v/>
      </c>
      <c r="P656" s="4" t="str">
        <f t="array" ref="P656">IF($E656="","", XLOOKUP(SUMIFS(Prod_Prop!$A:$A,Prod_Prop!$B:$B,$E656,Prod_Prop!$H:$H,P$1,Prod_Prop!$I:$I,"Exacto"),Prod_Prop!$A:$A,Prod_Prop!$J:$J,"",0,1))</f>
        <v/>
      </c>
      <c r="Q656" s="4" t="str">
        <f t="array" ref="Q656">IF($E656="","", XLOOKUP(SUMIFS(Prod_Prop!$A:$A,Prod_Prop!$B:$B,$E656,Prod_Prop!$H:$H,Q$1,Prod_Prop!$I:$I,"Exacto"),Prod_Prop!$A:$A,Prod_Prop!$J:$J,"",0,1))</f>
        <v/>
      </c>
      <c r="R656" s="4" t="str">
        <f t="array" ref="R656">IF($E656="","", XLOOKUP(SUMIFS(Prod_Prop!$A:$A,Prod_Prop!$B:$B,$E656,Prod_Prop!$H:$H,R$1,Prod_Prop!$I:$I,"Exacto"),Prod_Prop!$A:$A,Prod_Prop!$J:$J,"",0,1))</f>
        <v/>
      </c>
      <c r="S656" s="4" t="str">
        <f t="array" ref="S656">IF($E656="","", XLOOKUP(SUMIFS(Prod_Prop!$A:$A,Prod_Prop!$B:$B,$E656,Prod_Prop!$H:$H,S$1,Prod_Prop!$I:$I,"Exacto"),Prod_Prop!$A:$A,Prod_Prop!$J:$J,"",0,1))</f>
        <v/>
      </c>
      <c r="T656" s="4" t="str">
        <f t="array" ref="T656">IF($E656="","", XLOOKUP(SUMIFS(Prod_Prop!$A:$A,Prod_Prop!$B:$B,$E656,Prod_Prop!$H:$H,T$1,Prod_Prop!$I:$I,"Exacto"),Prod_Prop!$A:$A,Prod_Prop!$J:$J,"",0,1))</f>
        <v/>
      </c>
      <c r="U656" s="4" t="str">
        <f t="array" ref="U656">IF($E656="","", XLOOKUP(SUMIFS(Prod_Prop!$A:$A,Prod_Prop!$B:$B,$E656,Prod_Prop!$H:$H,U$1,Prod_Prop!$I:$I,"Exacto"),Prod_Prop!$A:$A,Prod_Prop!$J:$J,"",0,1))</f>
        <v/>
      </c>
      <c r="V656" s="4" t="str">
        <f t="array" ref="V656">IF($E656="","", XLOOKUP(SUMIFS(Prod_Prop!$A:$A,Prod_Prop!$B:$B,$E656,Prod_Prop!$H:$H,V$1,Prod_Prop!$I:$I,"Exacto"),Prod_Prop!$A:$A,Prod_Prop!$J:$J,"",0,1))</f>
        <v/>
      </c>
      <c r="X656" s="3" t="str">
        <f>IFERROR(__xludf.DUMMYFUNCTION("IF(D656="""","""",IFERROR(TRANSPOSE(FILTER('Validaciones Cotizador'!U:U,'Validaciones Cotizador'!O:O=D656,'Validaciones Cotizador'!T:T=""x"")),""Finalizar""))"),"")</f>
        <v/>
      </c>
    </row>
    <row r="657">
      <c r="A657" s="2" t="str">
        <f t="array" ref="A657">IF(E657="","",XLOOKUP(D657,'Validaciones Cotizador'!C:C,'Validaciones Cotizador'!A:A,"",0,1))</f>
        <v/>
      </c>
      <c r="B657" s="2" t="str">
        <f t="array" ref="B657">IF(F657="","",XLOOKUP(F657,Productos!E:E,Productos!G:G,"",0,1))</f>
        <v/>
      </c>
      <c r="C657" s="2" t="str">
        <f>IF(A657="","",SUMIFS('Validaciones Cotizador'!B:B,'Validaciones Cotizador'!C:C,D657,'Validaciones Cotizador'!A:A,A657))</f>
        <v/>
      </c>
      <c r="D657" s="4" t="str">
        <f>IFERROR(__xludf.DUMMYFUNCTION("IF(OR(F656=""Finalizar"",F656="""",F656=""Selecciona..""),"""",IF(OR(F656=""-"",INDEX(filter(Familias!F:F,Familias!D:D=A656,Familias!E:E=C656),1)=""O""),D656+1,D656))"),"")</f>
        <v/>
      </c>
      <c r="E657" s="2" t="str">
        <f>IF(OR(F657="",F657="Selecciona.."),"",IF(D657="Implemento",SUMIF(Implementos!B:B,F657,Implementos!A:A),SUMIF(Productos!E:E,F657,Productos!A:A)))</f>
        <v/>
      </c>
      <c r="F657" s="2" t="str">
        <f t="shared" si="2"/>
        <v/>
      </c>
      <c r="G657" s="10" t="str">
        <f t="array" ref="G657">IF(OR(F657="",F657="-",F657="Selecciona..",F657="Finalizar"),"",IF(A657="Rodados",XLOOKUP(B657,'Validaciones Cotizador'!I:I,'Validaciones Cotizador'!J:J,0,0,1),1))</f>
        <v/>
      </c>
      <c r="H657" s="11" t="str">
        <f>IF(OR(F657="",F657="Selecciona.."),"",SUMIF(Precio_Productos!K:K,E657,Precio_Productos!J:J)*G657)</f>
        <v/>
      </c>
      <c r="I657" s="4" t="str">
        <f t="array" ref="I657">IF($E657="","", XLOOKUP(SUMIFS(Prod_Prop!$A:$A,Prod_Prop!$B:$B,$E657,Prod_Prop!$H:$H,I$1,Prod_Prop!$I:$I,"Exacto"),Prod_Prop!$A:$A,Prod_Prop!$J:$J,"",0,1))</f>
        <v/>
      </c>
      <c r="J657" s="4" t="str">
        <f t="array" ref="J657">IF($E657="","", XLOOKUP(SUMIFS(Prod_Prop!$A:$A,Prod_Prop!$B:$B,$E657,Prod_Prop!$H:$H,J$1,Prod_Prop!$I:$I,"Exacto"),Prod_Prop!$A:$A,Prod_Prop!$J:$J,"",0,1))</f>
        <v/>
      </c>
      <c r="K657" s="4" t="str">
        <f t="array" ref="K657">IF($E657="","", XLOOKUP(SUMIFS(Prod_Prop!$A:$A,Prod_Prop!$B:$B,$E657,Prod_Prop!$H:$H,K$1,Prod_Prop!$I:$I,"Exacto"),Prod_Prop!$A:$A,Prod_Prop!$J:$J,"",0,1))</f>
        <v/>
      </c>
      <c r="L657" s="4" t="str">
        <f t="array" ref="L657">IF($E657="","", XLOOKUP(SUMIFS(Prod_Prop!$A:$A,Prod_Prop!$B:$B,$E657,Prod_Prop!$H:$H,L$1,Prod_Prop!$I:$I,"Exacto"),Prod_Prop!$A:$A,Prod_Prop!$J:$J,"",0,1))</f>
        <v/>
      </c>
      <c r="M657" s="4" t="str">
        <f t="array" ref="M657">IF($E657="","", XLOOKUP(SUMIFS(Prod_Prop!$A:$A,Prod_Prop!$B:$B,$E657,Prod_Prop!$H:$H,M$1,Prod_Prop!$I:$I,"Exacto"),Prod_Prop!$A:$A,Prod_Prop!$J:$J,"",0,1))</f>
        <v/>
      </c>
      <c r="N657" s="4" t="str">
        <f t="array" ref="N657">IF($E657="","", XLOOKUP(SUMIFS(Prod_Prop!$A:$A,Prod_Prop!$B:$B,$E657,Prod_Prop!$H:$H,N$1,Prod_Prop!$I:$I,"Exacto"),Prod_Prop!$A:$A,Prod_Prop!$J:$J,"",0,1))</f>
        <v/>
      </c>
      <c r="O657" s="4" t="str">
        <f t="array" ref="O657">IF($E657="","", XLOOKUP(SUMIFS(Prod_Prop!$A:$A,Prod_Prop!$B:$B,$E657,Prod_Prop!$H:$H,O$1,Prod_Prop!$I:$I,"Exacto"),Prod_Prop!$A:$A,Prod_Prop!$J:$J,"",0,1))</f>
        <v/>
      </c>
      <c r="P657" s="4" t="str">
        <f t="array" ref="P657">IF($E657="","", XLOOKUP(SUMIFS(Prod_Prop!$A:$A,Prod_Prop!$B:$B,$E657,Prod_Prop!$H:$H,P$1,Prod_Prop!$I:$I,"Exacto"),Prod_Prop!$A:$A,Prod_Prop!$J:$J,"",0,1))</f>
        <v/>
      </c>
      <c r="Q657" s="4" t="str">
        <f t="array" ref="Q657">IF($E657="","", XLOOKUP(SUMIFS(Prod_Prop!$A:$A,Prod_Prop!$B:$B,$E657,Prod_Prop!$H:$H,Q$1,Prod_Prop!$I:$I,"Exacto"),Prod_Prop!$A:$A,Prod_Prop!$J:$J,"",0,1))</f>
        <v/>
      </c>
      <c r="R657" s="4" t="str">
        <f t="array" ref="R657">IF($E657="","", XLOOKUP(SUMIFS(Prod_Prop!$A:$A,Prod_Prop!$B:$B,$E657,Prod_Prop!$H:$H,R$1,Prod_Prop!$I:$I,"Exacto"),Prod_Prop!$A:$A,Prod_Prop!$J:$J,"",0,1))</f>
        <v/>
      </c>
      <c r="S657" s="4" t="str">
        <f t="array" ref="S657">IF($E657="","", XLOOKUP(SUMIFS(Prod_Prop!$A:$A,Prod_Prop!$B:$B,$E657,Prod_Prop!$H:$H,S$1,Prod_Prop!$I:$I,"Exacto"),Prod_Prop!$A:$A,Prod_Prop!$J:$J,"",0,1))</f>
        <v/>
      </c>
      <c r="T657" s="4" t="str">
        <f t="array" ref="T657">IF($E657="","", XLOOKUP(SUMIFS(Prod_Prop!$A:$A,Prod_Prop!$B:$B,$E657,Prod_Prop!$H:$H,T$1,Prod_Prop!$I:$I,"Exacto"),Prod_Prop!$A:$A,Prod_Prop!$J:$J,"",0,1))</f>
        <v/>
      </c>
      <c r="U657" s="4" t="str">
        <f t="array" ref="U657">IF($E657="","", XLOOKUP(SUMIFS(Prod_Prop!$A:$A,Prod_Prop!$B:$B,$E657,Prod_Prop!$H:$H,U$1,Prod_Prop!$I:$I,"Exacto"),Prod_Prop!$A:$A,Prod_Prop!$J:$J,"",0,1))</f>
        <v/>
      </c>
      <c r="V657" s="4" t="str">
        <f t="array" ref="V657">IF($E657="","", XLOOKUP(SUMIFS(Prod_Prop!$A:$A,Prod_Prop!$B:$B,$E657,Prod_Prop!$H:$H,V$1,Prod_Prop!$I:$I,"Exacto"),Prod_Prop!$A:$A,Prod_Prop!$J:$J,"",0,1))</f>
        <v/>
      </c>
      <c r="X657" s="3" t="str">
        <f>IFERROR(__xludf.DUMMYFUNCTION("IF(D657="""","""",IFERROR(TRANSPOSE(FILTER('Validaciones Cotizador'!U:U,'Validaciones Cotizador'!O:O=D657,'Validaciones Cotizador'!T:T=""x"")),""Finalizar""))"),"")</f>
        <v/>
      </c>
    </row>
    <row r="658">
      <c r="A658" s="2" t="str">
        <f t="array" ref="A658">IF(E658="","",XLOOKUP(D658,'Validaciones Cotizador'!C:C,'Validaciones Cotizador'!A:A,"",0,1))</f>
        <v/>
      </c>
      <c r="B658" s="2" t="str">
        <f t="array" ref="B658">IF(F658="","",XLOOKUP(F658,Productos!E:E,Productos!G:G,"",0,1))</f>
        <v/>
      </c>
      <c r="C658" s="2" t="str">
        <f>IF(A658="","",SUMIFS('Validaciones Cotizador'!B:B,'Validaciones Cotizador'!C:C,D658,'Validaciones Cotizador'!A:A,A658))</f>
        <v/>
      </c>
      <c r="D658" s="4" t="str">
        <f>IFERROR(__xludf.DUMMYFUNCTION("IF(OR(F657=""Finalizar"",F657="""",F657=""Selecciona..""),"""",IF(OR(F657=""-"",INDEX(filter(Familias!F:F,Familias!D:D=A657,Familias!E:E=C657),1)=""O""),D657+1,D657))"),"")</f>
        <v/>
      </c>
      <c r="E658" s="2" t="str">
        <f>IF(OR(F658="",F658="Selecciona.."),"",IF(D658="Implemento",SUMIF(Implementos!B:B,F658,Implementos!A:A),SUMIF(Productos!E:E,F658,Productos!A:A)))</f>
        <v/>
      </c>
      <c r="F658" s="2" t="str">
        <f t="shared" si="2"/>
        <v/>
      </c>
      <c r="G658" s="10" t="str">
        <f t="array" ref="G658">IF(OR(F658="",F658="-",F658="Selecciona..",F658="Finalizar"),"",IF(A658="Rodados",XLOOKUP(B658,'Validaciones Cotizador'!I:I,'Validaciones Cotizador'!J:J,0,0,1),1))</f>
        <v/>
      </c>
      <c r="H658" s="11" t="str">
        <f>IF(OR(F658="",F658="Selecciona.."),"",SUMIF(Precio_Productos!K:K,E658,Precio_Productos!J:J)*G658)</f>
        <v/>
      </c>
      <c r="I658" s="4" t="str">
        <f t="array" ref="I658">IF($E658="","", XLOOKUP(SUMIFS(Prod_Prop!$A:$A,Prod_Prop!$B:$B,$E658,Prod_Prop!$H:$H,I$1,Prod_Prop!$I:$I,"Exacto"),Prod_Prop!$A:$A,Prod_Prop!$J:$J,"",0,1))</f>
        <v/>
      </c>
      <c r="J658" s="4" t="str">
        <f t="array" ref="J658">IF($E658="","", XLOOKUP(SUMIFS(Prod_Prop!$A:$A,Prod_Prop!$B:$B,$E658,Prod_Prop!$H:$H,J$1,Prod_Prop!$I:$I,"Exacto"),Prod_Prop!$A:$A,Prod_Prop!$J:$J,"",0,1))</f>
        <v/>
      </c>
      <c r="K658" s="4" t="str">
        <f t="array" ref="K658">IF($E658="","", XLOOKUP(SUMIFS(Prod_Prop!$A:$A,Prod_Prop!$B:$B,$E658,Prod_Prop!$H:$H,K$1,Prod_Prop!$I:$I,"Exacto"),Prod_Prop!$A:$A,Prod_Prop!$J:$J,"",0,1))</f>
        <v/>
      </c>
      <c r="L658" s="4" t="str">
        <f t="array" ref="L658">IF($E658="","", XLOOKUP(SUMIFS(Prod_Prop!$A:$A,Prod_Prop!$B:$B,$E658,Prod_Prop!$H:$H,L$1,Prod_Prop!$I:$I,"Exacto"),Prod_Prop!$A:$A,Prod_Prop!$J:$J,"",0,1))</f>
        <v/>
      </c>
      <c r="M658" s="4" t="str">
        <f t="array" ref="M658">IF($E658="","", XLOOKUP(SUMIFS(Prod_Prop!$A:$A,Prod_Prop!$B:$B,$E658,Prod_Prop!$H:$H,M$1,Prod_Prop!$I:$I,"Exacto"),Prod_Prop!$A:$A,Prod_Prop!$J:$J,"",0,1))</f>
        <v/>
      </c>
      <c r="N658" s="4" t="str">
        <f t="array" ref="N658">IF($E658="","", XLOOKUP(SUMIFS(Prod_Prop!$A:$A,Prod_Prop!$B:$B,$E658,Prod_Prop!$H:$H,N$1,Prod_Prop!$I:$I,"Exacto"),Prod_Prop!$A:$A,Prod_Prop!$J:$J,"",0,1))</f>
        <v/>
      </c>
      <c r="O658" s="4" t="str">
        <f t="array" ref="O658">IF($E658="","", XLOOKUP(SUMIFS(Prod_Prop!$A:$A,Prod_Prop!$B:$B,$E658,Prod_Prop!$H:$H,O$1,Prod_Prop!$I:$I,"Exacto"),Prod_Prop!$A:$A,Prod_Prop!$J:$J,"",0,1))</f>
        <v/>
      </c>
      <c r="P658" s="4" t="str">
        <f t="array" ref="P658">IF($E658="","", XLOOKUP(SUMIFS(Prod_Prop!$A:$A,Prod_Prop!$B:$B,$E658,Prod_Prop!$H:$H,P$1,Prod_Prop!$I:$I,"Exacto"),Prod_Prop!$A:$A,Prod_Prop!$J:$J,"",0,1))</f>
        <v/>
      </c>
      <c r="Q658" s="4" t="str">
        <f t="array" ref="Q658">IF($E658="","", XLOOKUP(SUMIFS(Prod_Prop!$A:$A,Prod_Prop!$B:$B,$E658,Prod_Prop!$H:$H,Q$1,Prod_Prop!$I:$I,"Exacto"),Prod_Prop!$A:$A,Prod_Prop!$J:$J,"",0,1))</f>
        <v/>
      </c>
      <c r="R658" s="4" t="str">
        <f t="array" ref="R658">IF($E658="","", XLOOKUP(SUMIFS(Prod_Prop!$A:$A,Prod_Prop!$B:$B,$E658,Prod_Prop!$H:$H,R$1,Prod_Prop!$I:$I,"Exacto"),Prod_Prop!$A:$A,Prod_Prop!$J:$J,"",0,1))</f>
        <v/>
      </c>
      <c r="S658" s="4" t="str">
        <f t="array" ref="S658">IF($E658="","", XLOOKUP(SUMIFS(Prod_Prop!$A:$A,Prod_Prop!$B:$B,$E658,Prod_Prop!$H:$H,S$1,Prod_Prop!$I:$I,"Exacto"),Prod_Prop!$A:$A,Prod_Prop!$J:$J,"",0,1))</f>
        <v/>
      </c>
      <c r="T658" s="4" t="str">
        <f t="array" ref="T658">IF($E658="","", XLOOKUP(SUMIFS(Prod_Prop!$A:$A,Prod_Prop!$B:$B,$E658,Prod_Prop!$H:$H,T$1,Prod_Prop!$I:$I,"Exacto"),Prod_Prop!$A:$A,Prod_Prop!$J:$J,"",0,1))</f>
        <v/>
      </c>
      <c r="U658" s="4" t="str">
        <f t="array" ref="U658">IF($E658="","", XLOOKUP(SUMIFS(Prod_Prop!$A:$A,Prod_Prop!$B:$B,$E658,Prod_Prop!$H:$H,U$1,Prod_Prop!$I:$I,"Exacto"),Prod_Prop!$A:$A,Prod_Prop!$J:$J,"",0,1))</f>
        <v/>
      </c>
      <c r="V658" s="4" t="str">
        <f t="array" ref="V658">IF($E658="","", XLOOKUP(SUMIFS(Prod_Prop!$A:$A,Prod_Prop!$B:$B,$E658,Prod_Prop!$H:$H,V$1,Prod_Prop!$I:$I,"Exacto"),Prod_Prop!$A:$A,Prod_Prop!$J:$J,"",0,1))</f>
        <v/>
      </c>
      <c r="X658" s="3" t="str">
        <f>IFERROR(__xludf.DUMMYFUNCTION("IF(D658="""","""",IFERROR(TRANSPOSE(FILTER('Validaciones Cotizador'!U:U,'Validaciones Cotizador'!O:O=D658,'Validaciones Cotizador'!T:T=""x"")),""Finalizar""))"),"")</f>
        <v/>
      </c>
    </row>
    <row r="659">
      <c r="A659" s="2" t="str">
        <f t="array" ref="A659">IF(E659="","",XLOOKUP(D659,'Validaciones Cotizador'!C:C,'Validaciones Cotizador'!A:A,"",0,1))</f>
        <v/>
      </c>
      <c r="B659" s="2" t="str">
        <f t="array" ref="B659">IF(F659="","",XLOOKUP(F659,Productos!E:E,Productos!G:G,"",0,1))</f>
        <v/>
      </c>
      <c r="C659" s="2" t="str">
        <f>IF(A659="","",SUMIFS('Validaciones Cotizador'!B:B,'Validaciones Cotizador'!C:C,D659,'Validaciones Cotizador'!A:A,A659))</f>
        <v/>
      </c>
      <c r="D659" s="4" t="str">
        <f>IFERROR(__xludf.DUMMYFUNCTION("IF(OR(F658=""Finalizar"",F658="""",F658=""Selecciona..""),"""",IF(OR(F658=""-"",INDEX(filter(Familias!F:F,Familias!D:D=A658,Familias!E:E=C658),1)=""O""),D658+1,D658))"),"")</f>
        <v/>
      </c>
      <c r="E659" s="2" t="str">
        <f>IF(OR(F659="",F659="Selecciona.."),"",IF(D659="Implemento",SUMIF(Implementos!B:B,F659,Implementos!A:A),SUMIF(Productos!E:E,F659,Productos!A:A)))</f>
        <v/>
      </c>
      <c r="F659" s="2" t="str">
        <f t="shared" si="2"/>
        <v/>
      </c>
      <c r="G659" s="10" t="str">
        <f t="array" ref="G659">IF(OR(F659="",F659="-",F659="Selecciona..",F659="Finalizar"),"",IF(A659="Rodados",XLOOKUP(B659,'Validaciones Cotizador'!I:I,'Validaciones Cotizador'!J:J,0,0,1),1))</f>
        <v/>
      </c>
      <c r="H659" s="11" t="str">
        <f>IF(OR(F659="",F659="Selecciona.."),"",SUMIF(Precio_Productos!K:K,E659,Precio_Productos!J:J)*G659)</f>
        <v/>
      </c>
      <c r="I659" s="4" t="str">
        <f t="array" ref="I659">IF($E659="","", XLOOKUP(SUMIFS(Prod_Prop!$A:$A,Prod_Prop!$B:$B,$E659,Prod_Prop!$H:$H,I$1,Prod_Prop!$I:$I,"Exacto"),Prod_Prop!$A:$A,Prod_Prop!$J:$J,"",0,1))</f>
        <v/>
      </c>
      <c r="J659" s="4" t="str">
        <f t="array" ref="J659">IF($E659="","", XLOOKUP(SUMIFS(Prod_Prop!$A:$A,Prod_Prop!$B:$B,$E659,Prod_Prop!$H:$H,J$1,Prod_Prop!$I:$I,"Exacto"),Prod_Prop!$A:$A,Prod_Prop!$J:$J,"",0,1))</f>
        <v/>
      </c>
      <c r="K659" s="4" t="str">
        <f t="array" ref="K659">IF($E659="","", XLOOKUP(SUMIFS(Prod_Prop!$A:$A,Prod_Prop!$B:$B,$E659,Prod_Prop!$H:$H,K$1,Prod_Prop!$I:$I,"Exacto"),Prod_Prop!$A:$A,Prod_Prop!$J:$J,"",0,1))</f>
        <v/>
      </c>
      <c r="L659" s="4" t="str">
        <f t="array" ref="L659">IF($E659="","", XLOOKUP(SUMIFS(Prod_Prop!$A:$A,Prod_Prop!$B:$B,$E659,Prod_Prop!$H:$H,L$1,Prod_Prop!$I:$I,"Exacto"),Prod_Prop!$A:$A,Prod_Prop!$J:$J,"",0,1))</f>
        <v/>
      </c>
      <c r="M659" s="4" t="str">
        <f t="array" ref="M659">IF($E659="","", XLOOKUP(SUMIFS(Prod_Prop!$A:$A,Prod_Prop!$B:$B,$E659,Prod_Prop!$H:$H,M$1,Prod_Prop!$I:$I,"Exacto"),Prod_Prop!$A:$A,Prod_Prop!$J:$J,"",0,1))</f>
        <v/>
      </c>
      <c r="N659" s="4" t="str">
        <f t="array" ref="N659">IF($E659="","", XLOOKUP(SUMIFS(Prod_Prop!$A:$A,Prod_Prop!$B:$B,$E659,Prod_Prop!$H:$H,N$1,Prod_Prop!$I:$I,"Exacto"),Prod_Prop!$A:$A,Prod_Prop!$J:$J,"",0,1))</f>
        <v/>
      </c>
      <c r="O659" s="4" t="str">
        <f t="array" ref="O659">IF($E659="","", XLOOKUP(SUMIFS(Prod_Prop!$A:$A,Prod_Prop!$B:$B,$E659,Prod_Prop!$H:$H,O$1,Prod_Prop!$I:$I,"Exacto"),Prod_Prop!$A:$A,Prod_Prop!$J:$J,"",0,1))</f>
        <v/>
      </c>
      <c r="P659" s="4" t="str">
        <f t="array" ref="P659">IF($E659="","", XLOOKUP(SUMIFS(Prod_Prop!$A:$A,Prod_Prop!$B:$B,$E659,Prod_Prop!$H:$H,P$1,Prod_Prop!$I:$I,"Exacto"),Prod_Prop!$A:$A,Prod_Prop!$J:$J,"",0,1))</f>
        <v/>
      </c>
      <c r="Q659" s="4" t="str">
        <f t="array" ref="Q659">IF($E659="","", XLOOKUP(SUMIFS(Prod_Prop!$A:$A,Prod_Prop!$B:$B,$E659,Prod_Prop!$H:$H,Q$1,Prod_Prop!$I:$I,"Exacto"),Prod_Prop!$A:$A,Prod_Prop!$J:$J,"",0,1))</f>
        <v/>
      </c>
      <c r="R659" s="4" t="str">
        <f t="array" ref="R659">IF($E659="","", XLOOKUP(SUMIFS(Prod_Prop!$A:$A,Prod_Prop!$B:$B,$E659,Prod_Prop!$H:$H,R$1,Prod_Prop!$I:$I,"Exacto"),Prod_Prop!$A:$A,Prod_Prop!$J:$J,"",0,1))</f>
        <v/>
      </c>
      <c r="S659" s="4" t="str">
        <f t="array" ref="S659">IF($E659="","", XLOOKUP(SUMIFS(Prod_Prop!$A:$A,Prod_Prop!$B:$B,$E659,Prod_Prop!$H:$H,S$1,Prod_Prop!$I:$I,"Exacto"),Prod_Prop!$A:$A,Prod_Prop!$J:$J,"",0,1))</f>
        <v/>
      </c>
      <c r="T659" s="4" t="str">
        <f t="array" ref="T659">IF($E659="","", XLOOKUP(SUMIFS(Prod_Prop!$A:$A,Prod_Prop!$B:$B,$E659,Prod_Prop!$H:$H,T$1,Prod_Prop!$I:$I,"Exacto"),Prod_Prop!$A:$A,Prod_Prop!$J:$J,"",0,1))</f>
        <v/>
      </c>
      <c r="U659" s="4" t="str">
        <f t="array" ref="U659">IF($E659="","", XLOOKUP(SUMIFS(Prod_Prop!$A:$A,Prod_Prop!$B:$B,$E659,Prod_Prop!$H:$H,U$1,Prod_Prop!$I:$I,"Exacto"),Prod_Prop!$A:$A,Prod_Prop!$J:$J,"",0,1))</f>
        <v/>
      </c>
      <c r="V659" s="4" t="str">
        <f t="array" ref="V659">IF($E659="","", XLOOKUP(SUMIFS(Prod_Prop!$A:$A,Prod_Prop!$B:$B,$E659,Prod_Prop!$H:$H,V$1,Prod_Prop!$I:$I,"Exacto"),Prod_Prop!$A:$A,Prod_Prop!$J:$J,"",0,1))</f>
        <v/>
      </c>
      <c r="X659" s="3" t="str">
        <f>IFERROR(__xludf.DUMMYFUNCTION("IF(D659="""","""",IFERROR(TRANSPOSE(FILTER('Validaciones Cotizador'!U:U,'Validaciones Cotizador'!O:O=D659,'Validaciones Cotizador'!T:T=""x"")),""Finalizar""))"),"")</f>
        <v/>
      </c>
    </row>
    <row r="660">
      <c r="A660" s="2" t="str">
        <f t="array" ref="A660">IF(E660="","",XLOOKUP(D660,'Validaciones Cotizador'!C:C,'Validaciones Cotizador'!A:A,"",0,1))</f>
        <v/>
      </c>
      <c r="B660" s="2" t="str">
        <f t="array" ref="B660">IF(F660="","",XLOOKUP(F660,Productos!E:E,Productos!G:G,"",0,1))</f>
        <v/>
      </c>
      <c r="C660" s="2" t="str">
        <f>IF(A660="","",SUMIFS('Validaciones Cotizador'!B:B,'Validaciones Cotizador'!C:C,D660,'Validaciones Cotizador'!A:A,A660))</f>
        <v/>
      </c>
      <c r="D660" s="4" t="str">
        <f>IFERROR(__xludf.DUMMYFUNCTION("IF(OR(F659=""Finalizar"",F659="""",F659=""Selecciona..""),"""",IF(OR(F659=""-"",INDEX(filter(Familias!F:F,Familias!D:D=A659,Familias!E:E=C659),1)=""O""),D659+1,D659))"),"")</f>
        <v/>
      </c>
      <c r="E660" s="2" t="str">
        <f>IF(OR(F660="",F660="Selecciona.."),"",IF(D660="Implemento",SUMIF(Implementos!B:B,F660,Implementos!A:A),SUMIF(Productos!E:E,F660,Productos!A:A)))</f>
        <v/>
      </c>
      <c r="F660" s="2" t="str">
        <f t="shared" si="2"/>
        <v/>
      </c>
      <c r="G660" s="10" t="str">
        <f t="array" ref="G660">IF(OR(F660="",F660="-",F660="Selecciona..",F660="Finalizar"),"",IF(A660="Rodados",XLOOKUP(B660,'Validaciones Cotizador'!I:I,'Validaciones Cotizador'!J:J,0,0,1),1))</f>
        <v/>
      </c>
      <c r="H660" s="11" t="str">
        <f>IF(OR(F660="",F660="Selecciona.."),"",SUMIF(Precio_Productos!K:K,E660,Precio_Productos!J:J)*G660)</f>
        <v/>
      </c>
      <c r="I660" s="4" t="str">
        <f t="array" ref="I660">IF($E660="","", XLOOKUP(SUMIFS(Prod_Prop!$A:$A,Prod_Prop!$B:$B,$E660,Prod_Prop!$H:$H,I$1,Prod_Prop!$I:$I,"Exacto"),Prod_Prop!$A:$A,Prod_Prop!$J:$J,"",0,1))</f>
        <v/>
      </c>
      <c r="J660" s="4" t="str">
        <f t="array" ref="J660">IF($E660="","", XLOOKUP(SUMIFS(Prod_Prop!$A:$A,Prod_Prop!$B:$B,$E660,Prod_Prop!$H:$H,J$1,Prod_Prop!$I:$I,"Exacto"),Prod_Prop!$A:$A,Prod_Prop!$J:$J,"",0,1))</f>
        <v/>
      </c>
      <c r="K660" s="4" t="str">
        <f t="array" ref="K660">IF($E660="","", XLOOKUP(SUMIFS(Prod_Prop!$A:$A,Prod_Prop!$B:$B,$E660,Prod_Prop!$H:$H,K$1,Prod_Prop!$I:$I,"Exacto"),Prod_Prop!$A:$A,Prod_Prop!$J:$J,"",0,1))</f>
        <v/>
      </c>
      <c r="L660" s="4" t="str">
        <f t="array" ref="L660">IF($E660="","", XLOOKUP(SUMIFS(Prod_Prop!$A:$A,Prod_Prop!$B:$B,$E660,Prod_Prop!$H:$H,L$1,Prod_Prop!$I:$I,"Exacto"),Prod_Prop!$A:$A,Prod_Prop!$J:$J,"",0,1))</f>
        <v/>
      </c>
      <c r="M660" s="4" t="str">
        <f t="array" ref="M660">IF($E660="","", XLOOKUP(SUMIFS(Prod_Prop!$A:$A,Prod_Prop!$B:$B,$E660,Prod_Prop!$H:$H,M$1,Prod_Prop!$I:$I,"Exacto"),Prod_Prop!$A:$A,Prod_Prop!$J:$J,"",0,1))</f>
        <v/>
      </c>
      <c r="N660" s="4" t="str">
        <f t="array" ref="N660">IF($E660="","", XLOOKUP(SUMIFS(Prod_Prop!$A:$A,Prod_Prop!$B:$B,$E660,Prod_Prop!$H:$H,N$1,Prod_Prop!$I:$I,"Exacto"),Prod_Prop!$A:$A,Prod_Prop!$J:$J,"",0,1))</f>
        <v/>
      </c>
      <c r="O660" s="4" t="str">
        <f t="array" ref="O660">IF($E660="","", XLOOKUP(SUMIFS(Prod_Prop!$A:$A,Prod_Prop!$B:$B,$E660,Prod_Prop!$H:$H,O$1,Prod_Prop!$I:$I,"Exacto"),Prod_Prop!$A:$A,Prod_Prop!$J:$J,"",0,1))</f>
        <v/>
      </c>
      <c r="P660" s="4" t="str">
        <f t="array" ref="P660">IF($E660="","", XLOOKUP(SUMIFS(Prod_Prop!$A:$A,Prod_Prop!$B:$B,$E660,Prod_Prop!$H:$H,P$1,Prod_Prop!$I:$I,"Exacto"),Prod_Prop!$A:$A,Prod_Prop!$J:$J,"",0,1))</f>
        <v/>
      </c>
      <c r="Q660" s="4" t="str">
        <f t="array" ref="Q660">IF($E660="","", XLOOKUP(SUMIFS(Prod_Prop!$A:$A,Prod_Prop!$B:$B,$E660,Prod_Prop!$H:$H,Q$1,Prod_Prop!$I:$I,"Exacto"),Prod_Prop!$A:$A,Prod_Prop!$J:$J,"",0,1))</f>
        <v/>
      </c>
      <c r="R660" s="4" t="str">
        <f t="array" ref="R660">IF($E660="","", XLOOKUP(SUMIFS(Prod_Prop!$A:$A,Prod_Prop!$B:$B,$E660,Prod_Prop!$H:$H,R$1,Prod_Prop!$I:$I,"Exacto"),Prod_Prop!$A:$A,Prod_Prop!$J:$J,"",0,1))</f>
        <v/>
      </c>
      <c r="S660" s="4" t="str">
        <f t="array" ref="S660">IF($E660="","", XLOOKUP(SUMIFS(Prod_Prop!$A:$A,Prod_Prop!$B:$B,$E660,Prod_Prop!$H:$H,S$1,Prod_Prop!$I:$I,"Exacto"),Prod_Prop!$A:$A,Prod_Prop!$J:$J,"",0,1))</f>
        <v/>
      </c>
      <c r="T660" s="4" t="str">
        <f t="array" ref="T660">IF($E660="","", XLOOKUP(SUMIFS(Prod_Prop!$A:$A,Prod_Prop!$B:$B,$E660,Prod_Prop!$H:$H,T$1,Prod_Prop!$I:$I,"Exacto"),Prod_Prop!$A:$A,Prod_Prop!$J:$J,"",0,1))</f>
        <v/>
      </c>
      <c r="U660" s="4" t="str">
        <f t="array" ref="U660">IF($E660="","", XLOOKUP(SUMIFS(Prod_Prop!$A:$A,Prod_Prop!$B:$B,$E660,Prod_Prop!$H:$H,U$1,Prod_Prop!$I:$I,"Exacto"),Prod_Prop!$A:$A,Prod_Prop!$J:$J,"",0,1))</f>
        <v/>
      </c>
      <c r="V660" s="4" t="str">
        <f t="array" ref="V660">IF($E660="","", XLOOKUP(SUMIFS(Prod_Prop!$A:$A,Prod_Prop!$B:$B,$E660,Prod_Prop!$H:$H,V$1,Prod_Prop!$I:$I,"Exacto"),Prod_Prop!$A:$A,Prod_Prop!$J:$J,"",0,1))</f>
        <v/>
      </c>
      <c r="X660" s="3" t="str">
        <f>IFERROR(__xludf.DUMMYFUNCTION("IF(D660="""","""",IFERROR(TRANSPOSE(FILTER('Validaciones Cotizador'!U:U,'Validaciones Cotizador'!O:O=D660,'Validaciones Cotizador'!T:T=""x"")),""Finalizar""))"),"")</f>
        <v/>
      </c>
    </row>
    <row r="661">
      <c r="A661" s="2" t="str">
        <f t="array" ref="A661">IF(E661="","",XLOOKUP(D661,'Validaciones Cotizador'!C:C,'Validaciones Cotizador'!A:A,"",0,1))</f>
        <v/>
      </c>
      <c r="B661" s="2" t="str">
        <f t="array" ref="B661">IF(F661="","",XLOOKUP(F661,Productos!E:E,Productos!G:G,"",0,1))</f>
        <v/>
      </c>
      <c r="C661" s="2" t="str">
        <f>IF(A661="","",SUMIFS('Validaciones Cotizador'!B:B,'Validaciones Cotizador'!C:C,D661,'Validaciones Cotizador'!A:A,A661))</f>
        <v/>
      </c>
      <c r="D661" s="4" t="str">
        <f>IFERROR(__xludf.DUMMYFUNCTION("IF(OR(F660=""Finalizar"",F660="""",F660=""Selecciona..""),"""",IF(OR(F660=""-"",INDEX(filter(Familias!F:F,Familias!D:D=A660,Familias!E:E=C660),1)=""O""),D660+1,D660))"),"")</f>
        <v/>
      </c>
      <c r="E661" s="2" t="str">
        <f>IF(OR(F661="",F661="Selecciona.."),"",IF(D661="Implemento",SUMIF(Implementos!B:B,F661,Implementos!A:A),SUMIF(Productos!E:E,F661,Productos!A:A)))</f>
        <v/>
      </c>
      <c r="F661" s="2" t="str">
        <f t="shared" si="2"/>
        <v/>
      </c>
      <c r="G661" s="10" t="str">
        <f t="array" ref="G661">IF(OR(F661="",F661="-",F661="Selecciona..",F661="Finalizar"),"",IF(A661="Rodados",XLOOKUP(B661,'Validaciones Cotizador'!I:I,'Validaciones Cotizador'!J:J,0,0,1),1))</f>
        <v/>
      </c>
      <c r="H661" s="11" t="str">
        <f>IF(OR(F661="",F661="Selecciona.."),"",SUMIF(Precio_Productos!K:K,E661,Precio_Productos!J:J)*G661)</f>
        <v/>
      </c>
      <c r="I661" s="4" t="str">
        <f t="array" ref="I661">IF($E661="","", XLOOKUP(SUMIFS(Prod_Prop!$A:$A,Prod_Prop!$B:$B,$E661,Prod_Prop!$H:$H,I$1,Prod_Prop!$I:$I,"Exacto"),Prod_Prop!$A:$A,Prod_Prop!$J:$J,"",0,1))</f>
        <v/>
      </c>
      <c r="J661" s="4" t="str">
        <f t="array" ref="J661">IF($E661="","", XLOOKUP(SUMIFS(Prod_Prop!$A:$A,Prod_Prop!$B:$B,$E661,Prod_Prop!$H:$H,J$1,Prod_Prop!$I:$I,"Exacto"),Prod_Prop!$A:$A,Prod_Prop!$J:$J,"",0,1))</f>
        <v/>
      </c>
      <c r="K661" s="4" t="str">
        <f t="array" ref="K661">IF($E661="","", XLOOKUP(SUMIFS(Prod_Prop!$A:$A,Prod_Prop!$B:$B,$E661,Prod_Prop!$H:$H,K$1,Prod_Prop!$I:$I,"Exacto"),Prod_Prop!$A:$A,Prod_Prop!$J:$J,"",0,1))</f>
        <v/>
      </c>
      <c r="L661" s="4" t="str">
        <f t="array" ref="L661">IF($E661="","", XLOOKUP(SUMIFS(Prod_Prop!$A:$A,Prod_Prop!$B:$B,$E661,Prod_Prop!$H:$H,L$1,Prod_Prop!$I:$I,"Exacto"),Prod_Prop!$A:$A,Prod_Prop!$J:$J,"",0,1))</f>
        <v/>
      </c>
      <c r="M661" s="4" t="str">
        <f t="array" ref="M661">IF($E661="","", XLOOKUP(SUMIFS(Prod_Prop!$A:$A,Prod_Prop!$B:$B,$E661,Prod_Prop!$H:$H,M$1,Prod_Prop!$I:$I,"Exacto"),Prod_Prop!$A:$A,Prod_Prop!$J:$J,"",0,1))</f>
        <v/>
      </c>
      <c r="N661" s="4" t="str">
        <f t="array" ref="N661">IF($E661="","", XLOOKUP(SUMIFS(Prod_Prop!$A:$A,Prod_Prop!$B:$B,$E661,Prod_Prop!$H:$H,N$1,Prod_Prop!$I:$I,"Exacto"),Prod_Prop!$A:$A,Prod_Prop!$J:$J,"",0,1))</f>
        <v/>
      </c>
      <c r="O661" s="4" t="str">
        <f t="array" ref="O661">IF($E661="","", XLOOKUP(SUMIFS(Prod_Prop!$A:$A,Prod_Prop!$B:$B,$E661,Prod_Prop!$H:$H,O$1,Prod_Prop!$I:$I,"Exacto"),Prod_Prop!$A:$A,Prod_Prop!$J:$J,"",0,1))</f>
        <v/>
      </c>
      <c r="P661" s="4" t="str">
        <f t="array" ref="P661">IF($E661="","", XLOOKUP(SUMIFS(Prod_Prop!$A:$A,Prod_Prop!$B:$B,$E661,Prod_Prop!$H:$H,P$1,Prod_Prop!$I:$I,"Exacto"),Prod_Prop!$A:$A,Prod_Prop!$J:$J,"",0,1))</f>
        <v/>
      </c>
      <c r="Q661" s="4" t="str">
        <f t="array" ref="Q661">IF($E661="","", XLOOKUP(SUMIFS(Prod_Prop!$A:$A,Prod_Prop!$B:$B,$E661,Prod_Prop!$H:$H,Q$1,Prod_Prop!$I:$I,"Exacto"),Prod_Prop!$A:$A,Prod_Prop!$J:$J,"",0,1))</f>
        <v/>
      </c>
      <c r="R661" s="4" t="str">
        <f t="array" ref="R661">IF($E661="","", XLOOKUP(SUMIFS(Prod_Prop!$A:$A,Prod_Prop!$B:$B,$E661,Prod_Prop!$H:$H,R$1,Prod_Prop!$I:$I,"Exacto"),Prod_Prop!$A:$A,Prod_Prop!$J:$J,"",0,1))</f>
        <v/>
      </c>
      <c r="S661" s="4" t="str">
        <f t="array" ref="S661">IF($E661="","", XLOOKUP(SUMIFS(Prod_Prop!$A:$A,Prod_Prop!$B:$B,$E661,Prod_Prop!$H:$H,S$1,Prod_Prop!$I:$I,"Exacto"),Prod_Prop!$A:$A,Prod_Prop!$J:$J,"",0,1))</f>
        <v/>
      </c>
      <c r="T661" s="4" t="str">
        <f t="array" ref="T661">IF($E661="","", XLOOKUP(SUMIFS(Prod_Prop!$A:$A,Prod_Prop!$B:$B,$E661,Prod_Prop!$H:$H,T$1,Prod_Prop!$I:$I,"Exacto"),Prod_Prop!$A:$A,Prod_Prop!$J:$J,"",0,1))</f>
        <v/>
      </c>
      <c r="U661" s="4" t="str">
        <f t="array" ref="U661">IF($E661="","", XLOOKUP(SUMIFS(Prod_Prop!$A:$A,Prod_Prop!$B:$B,$E661,Prod_Prop!$H:$H,U$1,Prod_Prop!$I:$I,"Exacto"),Prod_Prop!$A:$A,Prod_Prop!$J:$J,"",0,1))</f>
        <v/>
      </c>
      <c r="V661" s="4" t="str">
        <f t="array" ref="V661">IF($E661="","", XLOOKUP(SUMIFS(Prod_Prop!$A:$A,Prod_Prop!$B:$B,$E661,Prod_Prop!$H:$H,V$1,Prod_Prop!$I:$I,"Exacto"),Prod_Prop!$A:$A,Prod_Prop!$J:$J,"",0,1))</f>
        <v/>
      </c>
      <c r="X661" s="3" t="str">
        <f>IFERROR(__xludf.DUMMYFUNCTION("IF(D661="""","""",IFERROR(TRANSPOSE(FILTER('Validaciones Cotizador'!U:U,'Validaciones Cotizador'!O:O=D661,'Validaciones Cotizador'!T:T=""x"")),""Finalizar""))"),"")</f>
        <v/>
      </c>
    </row>
    <row r="662">
      <c r="A662" s="2" t="str">
        <f t="array" ref="A662">IF(E662="","",XLOOKUP(D662,'Validaciones Cotizador'!C:C,'Validaciones Cotizador'!A:A,"",0,1))</f>
        <v/>
      </c>
      <c r="B662" s="2" t="str">
        <f t="array" ref="B662">IF(F662="","",XLOOKUP(F662,Productos!E:E,Productos!G:G,"",0,1))</f>
        <v/>
      </c>
      <c r="C662" s="2" t="str">
        <f>IF(A662="","",SUMIFS('Validaciones Cotizador'!B:B,'Validaciones Cotizador'!C:C,D662,'Validaciones Cotizador'!A:A,A662))</f>
        <v/>
      </c>
      <c r="D662" s="4" t="str">
        <f>IFERROR(__xludf.DUMMYFUNCTION("IF(OR(F661=""Finalizar"",F661="""",F661=""Selecciona..""),"""",IF(OR(F661=""-"",INDEX(filter(Familias!F:F,Familias!D:D=A661,Familias!E:E=C661),1)=""O""),D661+1,D661))"),"")</f>
        <v/>
      </c>
      <c r="E662" s="2" t="str">
        <f>IF(OR(F662="",F662="Selecciona.."),"",IF(D662="Implemento",SUMIF(Implementos!B:B,F662,Implementos!A:A),SUMIF(Productos!E:E,F662,Productos!A:A)))</f>
        <v/>
      </c>
      <c r="F662" s="2" t="str">
        <f t="shared" si="2"/>
        <v/>
      </c>
      <c r="G662" s="10" t="str">
        <f t="array" ref="G662">IF(OR(F662="",F662="-",F662="Selecciona..",F662="Finalizar"),"",IF(A662="Rodados",XLOOKUP(B662,'Validaciones Cotizador'!I:I,'Validaciones Cotizador'!J:J,0,0,1),1))</f>
        <v/>
      </c>
      <c r="H662" s="11" t="str">
        <f>IF(OR(F662="",F662="Selecciona.."),"",SUMIF(Precio_Productos!K:K,E662,Precio_Productos!J:J)*G662)</f>
        <v/>
      </c>
      <c r="I662" s="4" t="str">
        <f t="array" ref="I662">IF($E662="","", XLOOKUP(SUMIFS(Prod_Prop!$A:$A,Prod_Prop!$B:$B,$E662,Prod_Prop!$H:$H,I$1,Prod_Prop!$I:$I,"Exacto"),Prod_Prop!$A:$A,Prod_Prop!$J:$J,"",0,1))</f>
        <v/>
      </c>
      <c r="J662" s="4" t="str">
        <f t="array" ref="J662">IF($E662="","", XLOOKUP(SUMIFS(Prod_Prop!$A:$A,Prod_Prop!$B:$B,$E662,Prod_Prop!$H:$H,J$1,Prod_Prop!$I:$I,"Exacto"),Prod_Prop!$A:$A,Prod_Prop!$J:$J,"",0,1))</f>
        <v/>
      </c>
      <c r="K662" s="4" t="str">
        <f t="array" ref="K662">IF($E662="","", XLOOKUP(SUMIFS(Prod_Prop!$A:$A,Prod_Prop!$B:$B,$E662,Prod_Prop!$H:$H,K$1,Prod_Prop!$I:$I,"Exacto"),Prod_Prop!$A:$A,Prod_Prop!$J:$J,"",0,1))</f>
        <v/>
      </c>
      <c r="L662" s="4" t="str">
        <f t="array" ref="L662">IF($E662="","", XLOOKUP(SUMIFS(Prod_Prop!$A:$A,Prod_Prop!$B:$B,$E662,Prod_Prop!$H:$H,L$1,Prod_Prop!$I:$I,"Exacto"),Prod_Prop!$A:$A,Prod_Prop!$J:$J,"",0,1))</f>
        <v/>
      </c>
      <c r="M662" s="4" t="str">
        <f t="array" ref="M662">IF($E662="","", XLOOKUP(SUMIFS(Prod_Prop!$A:$A,Prod_Prop!$B:$B,$E662,Prod_Prop!$H:$H,M$1,Prod_Prop!$I:$I,"Exacto"),Prod_Prop!$A:$A,Prod_Prop!$J:$J,"",0,1))</f>
        <v/>
      </c>
      <c r="N662" s="4" t="str">
        <f t="array" ref="N662">IF($E662="","", XLOOKUP(SUMIFS(Prod_Prop!$A:$A,Prod_Prop!$B:$B,$E662,Prod_Prop!$H:$H,N$1,Prod_Prop!$I:$I,"Exacto"),Prod_Prop!$A:$A,Prod_Prop!$J:$J,"",0,1))</f>
        <v/>
      </c>
      <c r="O662" s="4" t="str">
        <f t="array" ref="O662">IF($E662="","", XLOOKUP(SUMIFS(Prod_Prop!$A:$A,Prod_Prop!$B:$B,$E662,Prod_Prop!$H:$H,O$1,Prod_Prop!$I:$I,"Exacto"),Prod_Prop!$A:$A,Prod_Prop!$J:$J,"",0,1))</f>
        <v/>
      </c>
      <c r="P662" s="4" t="str">
        <f t="array" ref="P662">IF($E662="","", XLOOKUP(SUMIFS(Prod_Prop!$A:$A,Prod_Prop!$B:$B,$E662,Prod_Prop!$H:$H,P$1,Prod_Prop!$I:$I,"Exacto"),Prod_Prop!$A:$A,Prod_Prop!$J:$J,"",0,1))</f>
        <v/>
      </c>
      <c r="Q662" s="4" t="str">
        <f t="array" ref="Q662">IF($E662="","", XLOOKUP(SUMIFS(Prod_Prop!$A:$A,Prod_Prop!$B:$B,$E662,Prod_Prop!$H:$H,Q$1,Prod_Prop!$I:$I,"Exacto"),Prod_Prop!$A:$A,Prod_Prop!$J:$J,"",0,1))</f>
        <v/>
      </c>
      <c r="R662" s="4" t="str">
        <f t="array" ref="R662">IF($E662="","", XLOOKUP(SUMIFS(Prod_Prop!$A:$A,Prod_Prop!$B:$B,$E662,Prod_Prop!$H:$H,R$1,Prod_Prop!$I:$I,"Exacto"),Prod_Prop!$A:$A,Prod_Prop!$J:$J,"",0,1))</f>
        <v/>
      </c>
      <c r="S662" s="4" t="str">
        <f t="array" ref="S662">IF($E662="","", XLOOKUP(SUMIFS(Prod_Prop!$A:$A,Prod_Prop!$B:$B,$E662,Prod_Prop!$H:$H,S$1,Prod_Prop!$I:$I,"Exacto"),Prod_Prop!$A:$A,Prod_Prop!$J:$J,"",0,1))</f>
        <v/>
      </c>
      <c r="T662" s="4" t="str">
        <f t="array" ref="T662">IF($E662="","", XLOOKUP(SUMIFS(Prod_Prop!$A:$A,Prod_Prop!$B:$B,$E662,Prod_Prop!$H:$H,T$1,Prod_Prop!$I:$I,"Exacto"),Prod_Prop!$A:$A,Prod_Prop!$J:$J,"",0,1))</f>
        <v/>
      </c>
      <c r="U662" s="4" t="str">
        <f t="array" ref="U662">IF($E662="","", XLOOKUP(SUMIFS(Prod_Prop!$A:$A,Prod_Prop!$B:$B,$E662,Prod_Prop!$H:$H,U$1,Prod_Prop!$I:$I,"Exacto"),Prod_Prop!$A:$A,Prod_Prop!$J:$J,"",0,1))</f>
        <v/>
      </c>
      <c r="V662" s="4" t="str">
        <f t="array" ref="V662">IF($E662="","", XLOOKUP(SUMIFS(Prod_Prop!$A:$A,Prod_Prop!$B:$B,$E662,Prod_Prop!$H:$H,V$1,Prod_Prop!$I:$I,"Exacto"),Prod_Prop!$A:$A,Prod_Prop!$J:$J,"",0,1))</f>
        <v/>
      </c>
      <c r="X662" s="3" t="str">
        <f>IFERROR(__xludf.DUMMYFUNCTION("IF(D662="""","""",IFERROR(TRANSPOSE(FILTER('Validaciones Cotizador'!U:U,'Validaciones Cotizador'!O:O=D662,'Validaciones Cotizador'!T:T=""x"")),""Finalizar""))"),"")</f>
        <v/>
      </c>
    </row>
    <row r="663">
      <c r="A663" s="2" t="str">
        <f t="array" ref="A663">IF(E663="","",XLOOKUP(D663,'Validaciones Cotizador'!C:C,'Validaciones Cotizador'!A:A,"",0,1))</f>
        <v/>
      </c>
      <c r="B663" s="2" t="str">
        <f t="array" ref="B663">IF(F663="","",XLOOKUP(F663,Productos!E:E,Productos!G:G,"",0,1))</f>
        <v/>
      </c>
      <c r="C663" s="2" t="str">
        <f>IF(A663="","",SUMIFS('Validaciones Cotizador'!B:B,'Validaciones Cotizador'!C:C,D663,'Validaciones Cotizador'!A:A,A663))</f>
        <v/>
      </c>
      <c r="D663" s="4" t="str">
        <f>IFERROR(__xludf.DUMMYFUNCTION("IF(OR(F662=""Finalizar"",F662="""",F662=""Selecciona..""),"""",IF(OR(F662=""-"",INDEX(filter(Familias!F:F,Familias!D:D=A662,Familias!E:E=C662),1)=""O""),D662+1,D662))"),"")</f>
        <v/>
      </c>
      <c r="E663" s="2" t="str">
        <f>IF(OR(F663="",F663="Selecciona.."),"",IF(D663="Implemento",SUMIF(Implementos!B:B,F663,Implementos!A:A),SUMIF(Productos!E:E,F663,Productos!A:A)))</f>
        <v/>
      </c>
      <c r="F663" s="2" t="str">
        <f t="shared" si="2"/>
        <v/>
      </c>
      <c r="G663" s="10" t="str">
        <f t="array" ref="G663">IF(OR(F663="",F663="-",F663="Selecciona..",F663="Finalizar"),"",IF(A663="Rodados",XLOOKUP(B663,'Validaciones Cotizador'!I:I,'Validaciones Cotizador'!J:J,0,0,1),1))</f>
        <v/>
      </c>
      <c r="H663" s="11" t="str">
        <f>IF(OR(F663="",F663="Selecciona.."),"",SUMIF(Precio_Productos!K:K,E663,Precio_Productos!J:J)*G663)</f>
        <v/>
      </c>
      <c r="I663" s="4" t="str">
        <f t="array" ref="I663">IF($E663="","", XLOOKUP(SUMIFS(Prod_Prop!$A:$A,Prod_Prop!$B:$B,$E663,Prod_Prop!$H:$H,I$1,Prod_Prop!$I:$I,"Exacto"),Prod_Prop!$A:$A,Prod_Prop!$J:$J,"",0,1))</f>
        <v/>
      </c>
      <c r="J663" s="4" t="str">
        <f t="array" ref="J663">IF($E663="","", XLOOKUP(SUMIFS(Prod_Prop!$A:$A,Prod_Prop!$B:$B,$E663,Prod_Prop!$H:$H,J$1,Prod_Prop!$I:$I,"Exacto"),Prod_Prop!$A:$A,Prod_Prop!$J:$J,"",0,1))</f>
        <v/>
      </c>
      <c r="K663" s="4" t="str">
        <f t="array" ref="K663">IF($E663="","", XLOOKUP(SUMIFS(Prod_Prop!$A:$A,Prod_Prop!$B:$B,$E663,Prod_Prop!$H:$H,K$1,Prod_Prop!$I:$I,"Exacto"),Prod_Prop!$A:$A,Prod_Prop!$J:$J,"",0,1))</f>
        <v/>
      </c>
      <c r="L663" s="4" t="str">
        <f t="array" ref="L663">IF($E663="","", XLOOKUP(SUMIFS(Prod_Prop!$A:$A,Prod_Prop!$B:$B,$E663,Prod_Prop!$H:$H,L$1,Prod_Prop!$I:$I,"Exacto"),Prod_Prop!$A:$A,Prod_Prop!$J:$J,"",0,1))</f>
        <v/>
      </c>
      <c r="M663" s="4" t="str">
        <f t="array" ref="M663">IF($E663="","", XLOOKUP(SUMIFS(Prod_Prop!$A:$A,Prod_Prop!$B:$B,$E663,Prod_Prop!$H:$H,M$1,Prod_Prop!$I:$I,"Exacto"),Prod_Prop!$A:$A,Prod_Prop!$J:$J,"",0,1))</f>
        <v/>
      </c>
      <c r="N663" s="4" t="str">
        <f t="array" ref="N663">IF($E663="","", XLOOKUP(SUMIFS(Prod_Prop!$A:$A,Prod_Prop!$B:$B,$E663,Prod_Prop!$H:$H,N$1,Prod_Prop!$I:$I,"Exacto"),Prod_Prop!$A:$A,Prod_Prop!$J:$J,"",0,1))</f>
        <v/>
      </c>
      <c r="O663" s="4" t="str">
        <f t="array" ref="O663">IF($E663="","", XLOOKUP(SUMIFS(Prod_Prop!$A:$A,Prod_Prop!$B:$B,$E663,Prod_Prop!$H:$H,O$1,Prod_Prop!$I:$I,"Exacto"),Prod_Prop!$A:$A,Prod_Prop!$J:$J,"",0,1))</f>
        <v/>
      </c>
      <c r="P663" s="4" t="str">
        <f t="array" ref="P663">IF($E663="","", XLOOKUP(SUMIFS(Prod_Prop!$A:$A,Prod_Prop!$B:$B,$E663,Prod_Prop!$H:$H,P$1,Prod_Prop!$I:$I,"Exacto"),Prod_Prop!$A:$A,Prod_Prop!$J:$J,"",0,1))</f>
        <v/>
      </c>
      <c r="Q663" s="4" t="str">
        <f t="array" ref="Q663">IF($E663="","", XLOOKUP(SUMIFS(Prod_Prop!$A:$A,Prod_Prop!$B:$B,$E663,Prod_Prop!$H:$H,Q$1,Prod_Prop!$I:$I,"Exacto"),Prod_Prop!$A:$A,Prod_Prop!$J:$J,"",0,1))</f>
        <v/>
      </c>
      <c r="R663" s="4" t="str">
        <f t="array" ref="R663">IF($E663="","", XLOOKUP(SUMIFS(Prod_Prop!$A:$A,Prod_Prop!$B:$B,$E663,Prod_Prop!$H:$H,R$1,Prod_Prop!$I:$I,"Exacto"),Prod_Prop!$A:$A,Prod_Prop!$J:$J,"",0,1))</f>
        <v/>
      </c>
      <c r="S663" s="4" t="str">
        <f t="array" ref="S663">IF($E663="","", XLOOKUP(SUMIFS(Prod_Prop!$A:$A,Prod_Prop!$B:$B,$E663,Prod_Prop!$H:$H,S$1,Prod_Prop!$I:$I,"Exacto"),Prod_Prop!$A:$A,Prod_Prop!$J:$J,"",0,1))</f>
        <v/>
      </c>
      <c r="T663" s="4" t="str">
        <f t="array" ref="T663">IF($E663="","", XLOOKUP(SUMIFS(Prod_Prop!$A:$A,Prod_Prop!$B:$B,$E663,Prod_Prop!$H:$H,T$1,Prod_Prop!$I:$I,"Exacto"),Prod_Prop!$A:$A,Prod_Prop!$J:$J,"",0,1))</f>
        <v/>
      </c>
      <c r="U663" s="4" t="str">
        <f t="array" ref="U663">IF($E663="","", XLOOKUP(SUMIFS(Prod_Prop!$A:$A,Prod_Prop!$B:$B,$E663,Prod_Prop!$H:$H,U$1,Prod_Prop!$I:$I,"Exacto"),Prod_Prop!$A:$A,Prod_Prop!$J:$J,"",0,1))</f>
        <v/>
      </c>
      <c r="V663" s="4" t="str">
        <f t="array" ref="V663">IF($E663="","", XLOOKUP(SUMIFS(Prod_Prop!$A:$A,Prod_Prop!$B:$B,$E663,Prod_Prop!$H:$H,V$1,Prod_Prop!$I:$I,"Exacto"),Prod_Prop!$A:$A,Prod_Prop!$J:$J,"",0,1))</f>
        <v/>
      </c>
      <c r="X663" s="3" t="str">
        <f>IFERROR(__xludf.DUMMYFUNCTION("IF(D663="""","""",IFERROR(TRANSPOSE(FILTER('Validaciones Cotizador'!U:U,'Validaciones Cotizador'!O:O=D663,'Validaciones Cotizador'!T:T=""x"")),""Finalizar""))"),"")</f>
        <v/>
      </c>
    </row>
    <row r="664">
      <c r="A664" s="2" t="str">
        <f t="array" ref="A664">IF(E664="","",XLOOKUP(D664,'Validaciones Cotizador'!C:C,'Validaciones Cotizador'!A:A,"",0,1))</f>
        <v/>
      </c>
      <c r="B664" s="2" t="str">
        <f t="array" ref="B664">IF(F664="","",XLOOKUP(F664,Productos!E:E,Productos!G:G,"",0,1))</f>
        <v/>
      </c>
      <c r="C664" s="2" t="str">
        <f>IF(A664="","",SUMIFS('Validaciones Cotizador'!B:B,'Validaciones Cotizador'!C:C,D664,'Validaciones Cotizador'!A:A,A664))</f>
        <v/>
      </c>
      <c r="D664" s="4" t="str">
        <f>IFERROR(__xludf.DUMMYFUNCTION("IF(OR(F663=""Finalizar"",F663="""",F663=""Selecciona..""),"""",IF(OR(F663=""-"",INDEX(filter(Familias!F:F,Familias!D:D=A663,Familias!E:E=C663),1)=""O""),D663+1,D663))"),"")</f>
        <v/>
      </c>
      <c r="E664" s="2" t="str">
        <f>IF(OR(F664="",F664="Selecciona.."),"",IF(D664="Implemento",SUMIF(Implementos!B:B,F664,Implementos!A:A),SUMIF(Productos!E:E,F664,Productos!A:A)))</f>
        <v/>
      </c>
      <c r="F664" s="2" t="str">
        <f t="shared" si="2"/>
        <v/>
      </c>
      <c r="G664" s="10" t="str">
        <f t="array" ref="G664">IF(OR(F664="",F664="-",F664="Selecciona..",F664="Finalizar"),"",IF(A664="Rodados",XLOOKUP(B664,'Validaciones Cotizador'!I:I,'Validaciones Cotizador'!J:J,0,0,1),1))</f>
        <v/>
      </c>
      <c r="H664" s="11" t="str">
        <f>IF(OR(F664="",F664="Selecciona.."),"",SUMIF(Precio_Productos!K:K,E664,Precio_Productos!J:J)*G664)</f>
        <v/>
      </c>
      <c r="I664" s="4" t="str">
        <f t="array" ref="I664">IF($E664="","", XLOOKUP(SUMIFS(Prod_Prop!$A:$A,Prod_Prop!$B:$B,$E664,Prod_Prop!$H:$H,I$1,Prod_Prop!$I:$I,"Exacto"),Prod_Prop!$A:$A,Prod_Prop!$J:$J,"",0,1))</f>
        <v/>
      </c>
      <c r="J664" s="4" t="str">
        <f t="array" ref="J664">IF($E664="","", XLOOKUP(SUMIFS(Prod_Prop!$A:$A,Prod_Prop!$B:$B,$E664,Prod_Prop!$H:$H,J$1,Prod_Prop!$I:$I,"Exacto"),Prod_Prop!$A:$A,Prod_Prop!$J:$J,"",0,1))</f>
        <v/>
      </c>
      <c r="K664" s="4" t="str">
        <f t="array" ref="K664">IF($E664="","", XLOOKUP(SUMIFS(Prod_Prop!$A:$A,Prod_Prop!$B:$B,$E664,Prod_Prop!$H:$H,K$1,Prod_Prop!$I:$I,"Exacto"),Prod_Prop!$A:$A,Prod_Prop!$J:$J,"",0,1))</f>
        <v/>
      </c>
      <c r="L664" s="4" t="str">
        <f t="array" ref="L664">IF($E664="","", XLOOKUP(SUMIFS(Prod_Prop!$A:$A,Prod_Prop!$B:$B,$E664,Prod_Prop!$H:$H,L$1,Prod_Prop!$I:$I,"Exacto"),Prod_Prop!$A:$A,Prod_Prop!$J:$J,"",0,1))</f>
        <v/>
      </c>
      <c r="M664" s="4" t="str">
        <f t="array" ref="M664">IF($E664="","", XLOOKUP(SUMIFS(Prod_Prop!$A:$A,Prod_Prop!$B:$B,$E664,Prod_Prop!$H:$H,M$1,Prod_Prop!$I:$I,"Exacto"),Prod_Prop!$A:$A,Prod_Prop!$J:$J,"",0,1))</f>
        <v/>
      </c>
      <c r="N664" s="4" t="str">
        <f t="array" ref="N664">IF($E664="","", XLOOKUP(SUMIFS(Prod_Prop!$A:$A,Prod_Prop!$B:$B,$E664,Prod_Prop!$H:$H,N$1,Prod_Prop!$I:$I,"Exacto"),Prod_Prop!$A:$A,Prod_Prop!$J:$J,"",0,1))</f>
        <v/>
      </c>
      <c r="O664" s="4" t="str">
        <f t="array" ref="O664">IF($E664="","", XLOOKUP(SUMIFS(Prod_Prop!$A:$A,Prod_Prop!$B:$B,$E664,Prod_Prop!$H:$H,O$1,Prod_Prop!$I:$I,"Exacto"),Prod_Prop!$A:$A,Prod_Prop!$J:$J,"",0,1))</f>
        <v/>
      </c>
      <c r="P664" s="4" t="str">
        <f t="array" ref="P664">IF($E664="","", XLOOKUP(SUMIFS(Prod_Prop!$A:$A,Prod_Prop!$B:$B,$E664,Prod_Prop!$H:$H,P$1,Prod_Prop!$I:$I,"Exacto"),Prod_Prop!$A:$A,Prod_Prop!$J:$J,"",0,1))</f>
        <v/>
      </c>
      <c r="Q664" s="4" t="str">
        <f t="array" ref="Q664">IF($E664="","", XLOOKUP(SUMIFS(Prod_Prop!$A:$A,Prod_Prop!$B:$B,$E664,Prod_Prop!$H:$H,Q$1,Prod_Prop!$I:$I,"Exacto"),Prod_Prop!$A:$A,Prod_Prop!$J:$J,"",0,1))</f>
        <v/>
      </c>
      <c r="R664" s="4" t="str">
        <f t="array" ref="R664">IF($E664="","", XLOOKUP(SUMIFS(Prod_Prop!$A:$A,Prod_Prop!$B:$B,$E664,Prod_Prop!$H:$H,R$1,Prod_Prop!$I:$I,"Exacto"),Prod_Prop!$A:$A,Prod_Prop!$J:$J,"",0,1))</f>
        <v/>
      </c>
      <c r="S664" s="4" t="str">
        <f t="array" ref="S664">IF($E664="","", XLOOKUP(SUMIFS(Prod_Prop!$A:$A,Prod_Prop!$B:$B,$E664,Prod_Prop!$H:$H,S$1,Prod_Prop!$I:$I,"Exacto"),Prod_Prop!$A:$A,Prod_Prop!$J:$J,"",0,1))</f>
        <v/>
      </c>
      <c r="T664" s="4" t="str">
        <f t="array" ref="T664">IF($E664="","", XLOOKUP(SUMIFS(Prod_Prop!$A:$A,Prod_Prop!$B:$B,$E664,Prod_Prop!$H:$H,T$1,Prod_Prop!$I:$I,"Exacto"),Prod_Prop!$A:$A,Prod_Prop!$J:$J,"",0,1))</f>
        <v/>
      </c>
      <c r="U664" s="4" t="str">
        <f t="array" ref="U664">IF($E664="","", XLOOKUP(SUMIFS(Prod_Prop!$A:$A,Prod_Prop!$B:$B,$E664,Prod_Prop!$H:$H,U$1,Prod_Prop!$I:$I,"Exacto"),Prod_Prop!$A:$A,Prod_Prop!$J:$J,"",0,1))</f>
        <v/>
      </c>
      <c r="V664" s="4" t="str">
        <f t="array" ref="V664">IF($E664="","", XLOOKUP(SUMIFS(Prod_Prop!$A:$A,Prod_Prop!$B:$B,$E664,Prod_Prop!$H:$H,V$1,Prod_Prop!$I:$I,"Exacto"),Prod_Prop!$A:$A,Prod_Prop!$J:$J,"",0,1))</f>
        <v/>
      </c>
      <c r="X664" s="3" t="str">
        <f>IFERROR(__xludf.DUMMYFUNCTION("IF(D664="""","""",IFERROR(TRANSPOSE(FILTER('Validaciones Cotizador'!U:U,'Validaciones Cotizador'!O:O=D664,'Validaciones Cotizador'!T:T=""x"")),""Finalizar""))"),"")</f>
        <v/>
      </c>
    </row>
    <row r="665">
      <c r="A665" s="2" t="str">
        <f t="array" ref="A665">IF(E665="","",XLOOKUP(D665,'Validaciones Cotizador'!C:C,'Validaciones Cotizador'!A:A,"",0,1))</f>
        <v/>
      </c>
      <c r="B665" s="2" t="str">
        <f t="array" ref="B665">IF(F665="","",XLOOKUP(F665,Productos!E:E,Productos!G:G,"",0,1))</f>
        <v/>
      </c>
      <c r="C665" s="2" t="str">
        <f>IF(A665="","",SUMIFS('Validaciones Cotizador'!B:B,'Validaciones Cotizador'!C:C,D665,'Validaciones Cotizador'!A:A,A665))</f>
        <v/>
      </c>
      <c r="D665" s="4" t="str">
        <f>IFERROR(__xludf.DUMMYFUNCTION("IF(OR(F664=""Finalizar"",F664="""",F664=""Selecciona..""),"""",IF(OR(F664=""-"",INDEX(filter(Familias!F:F,Familias!D:D=A664,Familias!E:E=C664),1)=""O""),D664+1,D664))"),"")</f>
        <v/>
      </c>
      <c r="E665" s="2" t="str">
        <f>IF(OR(F665="",F665="Selecciona.."),"",IF(D665="Implemento",SUMIF(Implementos!B:B,F665,Implementos!A:A),SUMIF(Productos!E:E,F665,Productos!A:A)))</f>
        <v/>
      </c>
      <c r="F665" s="2" t="str">
        <f t="shared" si="2"/>
        <v/>
      </c>
      <c r="G665" s="10" t="str">
        <f t="array" ref="G665">IF(OR(F665="",F665="-",F665="Selecciona..",F665="Finalizar"),"",IF(A665="Rodados",XLOOKUP(B665,'Validaciones Cotizador'!I:I,'Validaciones Cotizador'!J:J,0,0,1),1))</f>
        <v/>
      </c>
      <c r="H665" s="11" t="str">
        <f>IF(OR(F665="",F665="Selecciona.."),"",SUMIF(Precio_Productos!K:K,E665,Precio_Productos!J:J)*G665)</f>
        <v/>
      </c>
      <c r="I665" s="4" t="str">
        <f t="array" ref="I665">IF($E665="","", XLOOKUP(SUMIFS(Prod_Prop!$A:$A,Prod_Prop!$B:$B,$E665,Prod_Prop!$H:$H,I$1,Prod_Prop!$I:$I,"Exacto"),Prod_Prop!$A:$A,Prod_Prop!$J:$J,"",0,1))</f>
        <v/>
      </c>
      <c r="J665" s="4" t="str">
        <f t="array" ref="J665">IF($E665="","", XLOOKUP(SUMIFS(Prod_Prop!$A:$A,Prod_Prop!$B:$B,$E665,Prod_Prop!$H:$H,J$1,Prod_Prop!$I:$I,"Exacto"),Prod_Prop!$A:$A,Prod_Prop!$J:$J,"",0,1))</f>
        <v/>
      </c>
      <c r="K665" s="4" t="str">
        <f t="array" ref="K665">IF($E665="","", XLOOKUP(SUMIFS(Prod_Prop!$A:$A,Prod_Prop!$B:$B,$E665,Prod_Prop!$H:$H,K$1,Prod_Prop!$I:$I,"Exacto"),Prod_Prop!$A:$A,Prod_Prop!$J:$J,"",0,1))</f>
        <v/>
      </c>
      <c r="L665" s="4" t="str">
        <f t="array" ref="L665">IF($E665="","", XLOOKUP(SUMIFS(Prod_Prop!$A:$A,Prod_Prop!$B:$B,$E665,Prod_Prop!$H:$H,L$1,Prod_Prop!$I:$I,"Exacto"),Prod_Prop!$A:$A,Prod_Prop!$J:$J,"",0,1))</f>
        <v/>
      </c>
      <c r="M665" s="4" t="str">
        <f t="array" ref="M665">IF($E665="","", XLOOKUP(SUMIFS(Prod_Prop!$A:$A,Prod_Prop!$B:$B,$E665,Prod_Prop!$H:$H,M$1,Prod_Prop!$I:$I,"Exacto"),Prod_Prop!$A:$A,Prod_Prop!$J:$J,"",0,1))</f>
        <v/>
      </c>
      <c r="N665" s="4" t="str">
        <f t="array" ref="N665">IF($E665="","", XLOOKUP(SUMIFS(Prod_Prop!$A:$A,Prod_Prop!$B:$B,$E665,Prod_Prop!$H:$H,N$1,Prod_Prop!$I:$I,"Exacto"),Prod_Prop!$A:$A,Prod_Prop!$J:$J,"",0,1))</f>
        <v/>
      </c>
      <c r="O665" s="4" t="str">
        <f t="array" ref="O665">IF($E665="","", XLOOKUP(SUMIFS(Prod_Prop!$A:$A,Prod_Prop!$B:$B,$E665,Prod_Prop!$H:$H,O$1,Prod_Prop!$I:$I,"Exacto"),Prod_Prop!$A:$A,Prod_Prop!$J:$J,"",0,1))</f>
        <v/>
      </c>
      <c r="P665" s="4" t="str">
        <f t="array" ref="P665">IF($E665="","", XLOOKUP(SUMIFS(Prod_Prop!$A:$A,Prod_Prop!$B:$B,$E665,Prod_Prop!$H:$H,P$1,Prod_Prop!$I:$I,"Exacto"),Prod_Prop!$A:$A,Prod_Prop!$J:$J,"",0,1))</f>
        <v/>
      </c>
      <c r="Q665" s="4" t="str">
        <f t="array" ref="Q665">IF($E665="","", XLOOKUP(SUMIFS(Prod_Prop!$A:$A,Prod_Prop!$B:$B,$E665,Prod_Prop!$H:$H,Q$1,Prod_Prop!$I:$I,"Exacto"),Prod_Prop!$A:$A,Prod_Prop!$J:$J,"",0,1))</f>
        <v/>
      </c>
      <c r="R665" s="4" t="str">
        <f t="array" ref="R665">IF($E665="","", XLOOKUP(SUMIFS(Prod_Prop!$A:$A,Prod_Prop!$B:$B,$E665,Prod_Prop!$H:$H,R$1,Prod_Prop!$I:$I,"Exacto"),Prod_Prop!$A:$A,Prod_Prop!$J:$J,"",0,1))</f>
        <v/>
      </c>
      <c r="S665" s="4" t="str">
        <f t="array" ref="S665">IF($E665="","", XLOOKUP(SUMIFS(Prod_Prop!$A:$A,Prod_Prop!$B:$B,$E665,Prod_Prop!$H:$H,S$1,Prod_Prop!$I:$I,"Exacto"),Prod_Prop!$A:$A,Prod_Prop!$J:$J,"",0,1))</f>
        <v/>
      </c>
      <c r="T665" s="4" t="str">
        <f t="array" ref="T665">IF($E665="","", XLOOKUP(SUMIFS(Prod_Prop!$A:$A,Prod_Prop!$B:$B,$E665,Prod_Prop!$H:$H,T$1,Prod_Prop!$I:$I,"Exacto"),Prod_Prop!$A:$A,Prod_Prop!$J:$J,"",0,1))</f>
        <v/>
      </c>
      <c r="U665" s="4" t="str">
        <f t="array" ref="U665">IF($E665="","", XLOOKUP(SUMIFS(Prod_Prop!$A:$A,Prod_Prop!$B:$B,$E665,Prod_Prop!$H:$H,U$1,Prod_Prop!$I:$I,"Exacto"),Prod_Prop!$A:$A,Prod_Prop!$J:$J,"",0,1))</f>
        <v/>
      </c>
      <c r="V665" s="4" t="str">
        <f t="array" ref="V665">IF($E665="","", XLOOKUP(SUMIFS(Prod_Prop!$A:$A,Prod_Prop!$B:$B,$E665,Prod_Prop!$H:$H,V$1,Prod_Prop!$I:$I,"Exacto"),Prod_Prop!$A:$A,Prod_Prop!$J:$J,"",0,1))</f>
        <v/>
      </c>
      <c r="X665" s="3" t="str">
        <f>IFERROR(__xludf.DUMMYFUNCTION("IF(D665="""","""",IFERROR(TRANSPOSE(FILTER('Validaciones Cotizador'!U:U,'Validaciones Cotizador'!O:O=D665,'Validaciones Cotizador'!T:T=""x"")),""Finalizar""))"),"")</f>
        <v/>
      </c>
    </row>
    <row r="666">
      <c r="A666" s="2" t="str">
        <f t="array" ref="A666">IF(E666="","",XLOOKUP(D666,'Validaciones Cotizador'!C:C,'Validaciones Cotizador'!A:A,"",0,1))</f>
        <v/>
      </c>
      <c r="B666" s="2" t="str">
        <f t="array" ref="B666">IF(F666="","",XLOOKUP(F666,Productos!E:E,Productos!G:G,"",0,1))</f>
        <v/>
      </c>
      <c r="C666" s="2" t="str">
        <f>IF(A666="","",SUMIFS('Validaciones Cotizador'!B:B,'Validaciones Cotizador'!C:C,D666,'Validaciones Cotizador'!A:A,A666))</f>
        <v/>
      </c>
      <c r="D666" s="4" t="str">
        <f>IFERROR(__xludf.DUMMYFUNCTION("IF(OR(F665=""Finalizar"",F665="""",F665=""Selecciona..""),"""",IF(OR(F665=""-"",INDEX(filter(Familias!F:F,Familias!D:D=A665,Familias!E:E=C665),1)=""O""),D665+1,D665))"),"")</f>
        <v/>
      </c>
      <c r="E666" s="2" t="str">
        <f>IF(OR(F666="",F666="Selecciona.."),"",IF(D666="Implemento",SUMIF(Implementos!B:B,F666,Implementos!A:A),SUMIF(Productos!E:E,F666,Productos!A:A)))</f>
        <v/>
      </c>
      <c r="F666" s="2" t="str">
        <f t="shared" si="2"/>
        <v/>
      </c>
      <c r="G666" s="10" t="str">
        <f t="array" ref="G666">IF(OR(F666="",F666="-",F666="Selecciona..",F666="Finalizar"),"",IF(A666="Rodados",XLOOKUP(B666,'Validaciones Cotizador'!I:I,'Validaciones Cotizador'!J:J,0,0,1),1))</f>
        <v/>
      </c>
      <c r="H666" s="11" t="str">
        <f>IF(OR(F666="",F666="Selecciona.."),"",SUMIF(Precio_Productos!K:K,E666,Precio_Productos!J:J)*G666)</f>
        <v/>
      </c>
      <c r="I666" s="4" t="str">
        <f t="array" ref="I666">IF($E666="","", XLOOKUP(SUMIFS(Prod_Prop!$A:$A,Prod_Prop!$B:$B,$E666,Prod_Prop!$H:$H,I$1,Prod_Prop!$I:$I,"Exacto"),Prod_Prop!$A:$A,Prod_Prop!$J:$J,"",0,1))</f>
        <v/>
      </c>
      <c r="J666" s="4" t="str">
        <f t="array" ref="J666">IF($E666="","", XLOOKUP(SUMIFS(Prod_Prop!$A:$A,Prod_Prop!$B:$B,$E666,Prod_Prop!$H:$H,J$1,Prod_Prop!$I:$I,"Exacto"),Prod_Prop!$A:$A,Prod_Prop!$J:$J,"",0,1))</f>
        <v/>
      </c>
      <c r="K666" s="4" t="str">
        <f t="array" ref="K666">IF($E666="","", XLOOKUP(SUMIFS(Prod_Prop!$A:$A,Prod_Prop!$B:$B,$E666,Prod_Prop!$H:$H,K$1,Prod_Prop!$I:$I,"Exacto"),Prod_Prop!$A:$A,Prod_Prop!$J:$J,"",0,1))</f>
        <v/>
      </c>
      <c r="L666" s="4" t="str">
        <f t="array" ref="L666">IF($E666="","", XLOOKUP(SUMIFS(Prod_Prop!$A:$A,Prod_Prop!$B:$B,$E666,Prod_Prop!$H:$H,L$1,Prod_Prop!$I:$I,"Exacto"),Prod_Prop!$A:$A,Prod_Prop!$J:$J,"",0,1))</f>
        <v/>
      </c>
      <c r="M666" s="4" t="str">
        <f t="array" ref="M666">IF($E666="","", XLOOKUP(SUMIFS(Prod_Prop!$A:$A,Prod_Prop!$B:$B,$E666,Prod_Prop!$H:$H,M$1,Prod_Prop!$I:$I,"Exacto"),Prod_Prop!$A:$A,Prod_Prop!$J:$J,"",0,1))</f>
        <v/>
      </c>
      <c r="N666" s="4" t="str">
        <f t="array" ref="N666">IF($E666="","", XLOOKUP(SUMIFS(Prod_Prop!$A:$A,Prod_Prop!$B:$B,$E666,Prod_Prop!$H:$H,N$1,Prod_Prop!$I:$I,"Exacto"),Prod_Prop!$A:$A,Prod_Prop!$J:$J,"",0,1))</f>
        <v/>
      </c>
      <c r="O666" s="4" t="str">
        <f t="array" ref="O666">IF($E666="","", XLOOKUP(SUMIFS(Prod_Prop!$A:$A,Prod_Prop!$B:$B,$E666,Prod_Prop!$H:$H,O$1,Prod_Prop!$I:$I,"Exacto"),Prod_Prop!$A:$A,Prod_Prop!$J:$J,"",0,1))</f>
        <v/>
      </c>
      <c r="P666" s="4" t="str">
        <f t="array" ref="P666">IF($E666="","", XLOOKUP(SUMIFS(Prod_Prop!$A:$A,Prod_Prop!$B:$B,$E666,Prod_Prop!$H:$H,P$1,Prod_Prop!$I:$I,"Exacto"),Prod_Prop!$A:$A,Prod_Prop!$J:$J,"",0,1))</f>
        <v/>
      </c>
      <c r="Q666" s="4" t="str">
        <f t="array" ref="Q666">IF($E666="","", XLOOKUP(SUMIFS(Prod_Prop!$A:$A,Prod_Prop!$B:$B,$E666,Prod_Prop!$H:$H,Q$1,Prod_Prop!$I:$I,"Exacto"),Prod_Prop!$A:$A,Prod_Prop!$J:$J,"",0,1))</f>
        <v/>
      </c>
      <c r="R666" s="4" t="str">
        <f t="array" ref="R666">IF($E666="","", XLOOKUP(SUMIFS(Prod_Prop!$A:$A,Prod_Prop!$B:$B,$E666,Prod_Prop!$H:$H,R$1,Prod_Prop!$I:$I,"Exacto"),Prod_Prop!$A:$A,Prod_Prop!$J:$J,"",0,1))</f>
        <v/>
      </c>
      <c r="S666" s="4" t="str">
        <f t="array" ref="S666">IF($E666="","", XLOOKUP(SUMIFS(Prod_Prop!$A:$A,Prod_Prop!$B:$B,$E666,Prod_Prop!$H:$H,S$1,Prod_Prop!$I:$I,"Exacto"),Prod_Prop!$A:$A,Prod_Prop!$J:$J,"",0,1))</f>
        <v/>
      </c>
      <c r="T666" s="4" t="str">
        <f t="array" ref="T666">IF($E666="","", XLOOKUP(SUMIFS(Prod_Prop!$A:$A,Prod_Prop!$B:$B,$E666,Prod_Prop!$H:$H,T$1,Prod_Prop!$I:$I,"Exacto"),Prod_Prop!$A:$A,Prod_Prop!$J:$J,"",0,1))</f>
        <v/>
      </c>
      <c r="U666" s="4" t="str">
        <f t="array" ref="U666">IF($E666="","", XLOOKUP(SUMIFS(Prod_Prop!$A:$A,Prod_Prop!$B:$B,$E666,Prod_Prop!$H:$H,U$1,Prod_Prop!$I:$I,"Exacto"),Prod_Prop!$A:$A,Prod_Prop!$J:$J,"",0,1))</f>
        <v/>
      </c>
      <c r="V666" s="4" t="str">
        <f t="array" ref="V666">IF($E666="","", XLOOKUP(SUMIFS(Prod_Prop!$A:$A,Prod_Prop!$B:$B,$E666,Prod_Prop!$H:$H,V$1,Prod_Prop!$I:$I,"Exacto"),Prod_Prop!$A:$A,Prod_Prop!$J:$J,"",0,1))</f>
        <v/>
      </c>
      <c r="X666" s="3" t="str">
        <f>IFERROR(__xludf.DUMMYFUNCTION("IF(D666="""","""",IFERROR(TRANSPOSE(FILTER('Validaciones Cotizador'!U:U,'Validaciones Cotizador'!O:O=D666,'Validaciones Cotizador'!T:T=""x"")),""Finalizar""))"),"")</f>
        <v/>
      </c>
    </row>
    <row r="667">
      <c r="A667" s="2" t="str">
        <f t="array" ref="A667">IF(E667="","",XLOOKUP(D667,'Validaciones Cotizador'!C:C,'Validaciones Cotizador'!A:A,"",0,1))</f>
        <v/>
      </c>
      <c r="B667" s="2" t="str">
        <f t="array" ref="B667">IF(F667="","",XLOOKUP(F667,Productos!E:E,Productos!G:G,"",0,1))</f>
        <v/>
      </c>
      <c r="C667" s="2" t="str">
        <f>IF(A667="","",SUMIFS('Validaciones Cotizador'!B:B,'Validaciones Cotizador'!C:C,D667,'Validaciones Cotizador'!A:A,A667))</f>
        <v/>
      </c>
      <c r="D667" s="4" t="str">
        <f>IFERROR(__xludf.DUMMYFUNCTION("IF(OR(F666=""Finalizar"",F666="""",F666=""Selecciona..""),"""",IF(OR(F666=""-"",INDEX(filter(Familias!F:F,Familias!D:D=A666,Familias!E:E=C666),1)=""O""),D666+1,D666))"),"")</f>
        <v/>
      </c>
      <c r="E667" s="2" t="str">
        <f>IF(OR(F667="",F667="Selecciona.."),"",IF(D667="Implemento",SUMIF(Implementos!B:B,F667,Implementos!A:A),SUMIF(Productos!E:E,F667,Productos!A:A)))</f>
        <v/>
      </c>
      <c r="F667" s="2" t="str">
        <f t="shared" si="2"/>
        <v/>
      </c>
      <c r="G667" s="10" t="str">
        <f t="array" ref="G667">IF(OR(F667="",F667="-",F667="Selecciona..",F667="Finalizar"),"",IF(A667="Rodados",XLOOKUP(B667,'Validaciones Cotizador'!I:I,'Validaciones Cotizador'!J:J,0,0,1),1))</f>
        <v/>
      </c>
      <c r="H667" s="11" t="str">
        <f>IF(OR(F667="",F667="Selecciona.."),"",SUMIF(Precio_Productos!K:K,E667,Precio_Productos!J:J)*G667)</f>
        <v/>
      </c>
      <c r="I667" s="4" t="str">
        <f t="array" ref="I667">IF($E667="","", XLOOKUP(SUMIFS(Prod_Prop!$A:$A,Prod_Prop!$B:$B,$E667,Prod_Prop!$H:$H,I$1,Prod_Prop!$I:$I,"Exacto"),Prod_Prop!$A:$A,Prod_Prop!$J:$J,"",0,1))</f>
        <v/>
      </c>
      <c r="J667" s="4" t="str">
        <f t="array" ref="J667">IF($E667="","", XLOOKUP(SUMIFS(Prod_Prop!$A:$A,Prod_Prop!$B:$B,$E667,Prod_Prop!$H:$H,J$1,Prod_Prop!$I:$I,"Exacto"),Prod_Prop!$A:$A,Prod_Prop!$J:$J,"",0,1))</f>
        <v/>
      </c>
      <c r="K667" s="4" t="str">
        <f t="array" ref="K667">IF($E667="","", XLOOKUP(SUMIFS(Prod_Prop!$A:$A,Prod_Prop!$B:$B,$E667,Prod_Prop!$H:$H,K$1,Prod_Prop!$I:$I,"Exacto"),Prod_Prop!$A:$A,Prod_Prop!$J:$J,"",0,1))</f>
        <v/>
      </c>
      <c r="L667" s="4" t="str">
        <f t="array" ref="L667">IF($E667="","", XLOOKUP(SUMIFS(Prod_Prop!$A:$A,Prod_Prop!$B:$B,$E667,Prod_Prop!$H:$H,L$1,Prod_Prop!$I:$I,"Exacto"),Prod_Prop!$A:$A,Prod_Prop!$J:$J,"",0,1))</f>
        <v/>
      </c>
      <c r="M667" s="4" t="str">
        <f t="array" ref="M667">IF($E667="","", XLOOKUP(SUMIFS(Prod_Prop!$A:$A,Prod_Prop!$B:$B,$E667,Prod_Prop!$H:$H,M$1,Prod_Prop!$I:$I,"Exacto"),Prod_Prop!$A:$A,Prod_Prop!$J:$J,"",0,1))</f>
        <v/>
      </c>
      <c r="N667" s="4" t="str">
        <f t="array" ref="N667">IF($E667="","", XLOOKUP(SUMIFS(Prod_Prop!$A:$A,Prod_Prop!$B:$B,$E667,Prod_Prop!$H:$H,N$1,Prod_Prop!$I:$I,"Exacto"),Prod_Prop!$A:$A,Prod_Prop!$J:$J,"",0,1))</f>
        <v/>
      </c>
      <c r="O667" s="4" t="str">
        <f t="array" ref="O667">IF($E667="","", XLOOKUP(SUMIFS(Prod_Prop!$A:$A,Prod_Prop!$B:$B,$E667,Prod_Prop!$H:$H,O$1,Prod_Prop!$I:$I,"Exacto"),Prod_Prop!$A:$A,Prod_Prop!$J:$J,"",0,1))</f>
        <v/>
      </c>
      <c r="P667" s="4" t="str">
        <f t="array" ref="P667">IF($E667="","", XLOOKUP(SUMIFS(Prod_Prop!$A:$A,Prod_Prop!$B:$B,$E667,Prod_Prop!$H:$H,P$1,Prod_Prop!$I:$I,"Exacto"),Prod_Prop!$A:$A,Prod_Prop!$J:$J,"",0,1))</f>
        <v/>
      </c>
      <c r="Q667" s="4" t="str">
        <f t="array" ref="Q667">IF($E667="","", XLOOKUP(SUMIFS(Prod_Prop!$A:$A,Prod_Prop!$B:$B,$E667,Prod_Prop!$H:$H,Q$1,Prod_Prop!$I:$I,"Exacto"),Prod_Prop!$A:$A,Prod_Prop!$J:$J,"",0,1))</f>
        <v/>
      </c>
      <c r="R667" s="4" t="str">
        <f t="array" ref="R667">IF($E667="","", XLOOKUP(SUMIFS(Prod_Prop!$A:$A,Prod_Prop!$B:$B,$E667,Prod_Prop!$H:$H,R$1,Prod_Prop!$I:$I,"Exacto"),Prod_Prop!$A:$A,Prod_Prop!$J:$J,"",0,1))</f>
        <v/>
      </c>
      <c r="S667" s="4" t="str">
        <f t="array" ref="S667">IF($E667="","", XLOOKUP(SUMIFS(Prod_Prop!$A:$A,Prod_Prop!$B:$B,$E667,Prod_Prop!$H:$H,S$1,Prod_Prop!$I:$I,"Exacto"),Prod_Prop!$A:$A,Prod_Prop!$J:$J,"",0,1))</f>
        <v/>
      </c>
      <c r="T667" s="4" t="str">
        <f t="array" ref="T667">IF($E667="","", XLOOKUP(SUMIFS(Prod_Prop!$A:$A,Prod_Prop!$B:$B,$E667,Prod_Prop!$H:$H,T$1,Prod_Prop!$I:$I,"Exacto"),Prod_Prop!$A:$A,Prod_Prop!$J:$J,"",0,1))</f>
        <v/>
      </c>
      <c r="U667" s="4" t="str">
        <f t="array" ref="U667">IF($E667="","", XLOOKUP(SUMIFS(Prod_Prop!$A:$A,Prod_Prop!$B:$B,$E667,Prod_Prop!$H:$H,U$1,Prod_Prop!$I:$I,"Exacto"),Prod_Prop!$A:$A,Prod_Prop!$J:$J,"",0,1))</f>
        <v/>
      </c>
      <c r="V667" s="4" t="str">
        <f t="array" ref="V667">IF($E667="","", XLOOKUP(SUMIFS(Prod_Prop!$A:$A,Prod_Prop!$B:$B,$E667,Prod_Prop!$H:$H,V$1,Prod_Prop!$I:$I,"Exacto"),Prod_Prop!$A:$A,Prod_Prop!$J:$J,"",0,1))</f>
        <v/>
      </c>
      <c r="X667" s="3" t="str">
        <f>IFERROR(__xludf.DUMMYFUNCTION("IF(D667="""","""",IFERROR(TRANSPOSE(FILTER('Validaciones Cotizador'!U:U,'Validaciones Cotizador'!O:O=D667,'Validaciones Cotizador'!T:T=""x"")),""Finalizar""))"),"")</f>
        <v/>
      </c>
    </row>
    <row r="668">
      <c r="A668" s="2" t="str">
        <f t="array" ref="A668">IF(E668="","",XLOOKUP(D668,'Validaciones Cotizador'!C:C,'Validaciones Cotizador'!A:A,"",0,1))</f>
        <v/>
      </c>
      <c r="B668" s="2" t="str">
        <f t="array" ref="B668">IF(F668="","",XLOOKUP(F668,Productos!E:E,Productos!G:G,"",0,1))</f>
        <v/>
      </c>
      <c r="C668" s="2" t="str">
        <f>IF(A668="","",SUMIFS('Validaciones Cotizador'!B:B,'Validaciones Cotizador'!C:C,D668,'Validaciones Cotizador'!A:A,A668))</f>
        <v/>
      </c>
      <c r="D668" s="4" t="str">
        <f>IFERROR(__xludf.DUMMYFUNCTION("IF(OR(F667=""Finalizar"",F667="""",F667=""Selecciona..""),"""",IF(OR(F667=""-"",INDEX(filter(Familias!F:F,Familias!D:D=A667,Familias!E:E=C667),1)=""O""),D667+1,D667))"),"")</f>
        <v/>
      </c>
      <c r="E668" s="2" t="str">
        <f>IF(OR(F668="",F668="Selecciona.."),"",IF(D668="Implemento",SUMIF(Implementos!B:B,F668,Implementos!A:A),SUMIF(Productos!E:E,F668,Productos!A:A)))</f>
        <v/>
      </c>
      <c r="F668" s="2" t="str">
        <f t="shared" si="2"/>
        <v/>
      </c>
      <c r="G668" s="10" t="str">
        <f t="array" ref="G668">IF(OR(F668="",F668="-",F668="Selecciona..",F668="Finalizar"),"",IF(A668="Rodados",XLOOKUP(B668,'Validaciones Cotizador'!I:I,'Validaciones Cotizador'!J:J,0,0,1),1))</f>
        <v/>
      </c>
      <c r="H668" s="11" t="str">
        <f>IF(OR(F668="",F668="Selecciona.."),"",SUMIF(Precio_Productos!K:K,E668,Precio_Productos!J:J)*G668)</f>
        <v/>
      </c>
      <c r="I668" s="4" t="str">
        <f t="array" ref="I668">IF($E668="","", XLOOKUP(SUMIFS(Prod_Prop!$A:$A,Prod_Prop!$B:$B,$E668,Prod_Prop!$H:$H,I$1,Prod_Prop!$I:$I,"Exacto"),Prod_Prop!$A:$A,Prod_Prop!$J:$J,"",0,1))</f>
        <v/>
      </c>
      <c r="J668" s="4" t="str">
        <f t="array" ref="J668">IF($E668="","", XLOOKUP(SUMIFS(Prod_Prop!$A:$A,Prod_Prop!$B:$B,$E668,Prod_Prop!$H:$H,J$1,Prod_Prop!$I:$I,"Exacto"),Prod_Prop!$A:$A,Prod_Prop!$J:$J,"",0,1))</f>
        <v/>
      </c>
      <c r="K668" s="4" t="str">
        <f t="array" ref="K668">IF($E668="","", XLOOKUP(SUMIFS(Prod_Prop!$A:$A,Prod_Prop!$B:$B,$E668,Prod_Prop!$H:$H,K$1,Prod_Prop!$I:$I,"Exacto"),Prod_Prop!$A:$A,Prod_Prop!$J:$J,"",0,1))</f>
        <v/>
      </c>
      <c r="L668" s="4" t="str">
        <f t="array" ref="L668">IF($E668="","", XLOOKUP(SUMIFS(Prod_Prop!$A:$A,Prod_Prop!$B:$B,$E668,Prod_Prop!$H:$H,L$1,Prod_Prop!$I:$I,"Exacto"),Prod_Prop!$A:$A,Prod_Prop!$J:$J,"",0,1))</f>
        <v/>
      </c>
      <c r="M668" s="4" t="str">
        <f t="array" ref="M668">IF($E668="","", XLOOKUP(SUMIFS(Prod_Prop!$A:$A,Prod_Prop!$B:$B,$E668,Prod_Prop!$H:$H,M$1,Prod_Prop!$I:$I,"Exacto"),Prod_Prop!$A:$A,Prod_Prop!$J:$J,"",0,1))</f>
        <v/>
      </c>
      <c r="N668" s="4" t="str">
        <f t="array" ref="N668">IF($E668="","", XLOOKUP(SUMIFS(Prod_Prop!$A:$A,Prod_Prop!$B:$B,$E668,Prod_Prop!$H:$H,N$1,Prod_Prop!$I:$I,"Exacto"),Prod_Prop!$A:$A,Prod_Prop!$J:$J,"",0,1))</f>
        <v/>
      </c>
      <c r="O668" s="4" t="str">
        <f t="array" ref="O668">IF($E668="","", XLOOKUP(SUMIFS(Prod_Prop!$A:$A,Prod_Prop!$B:$B,$E668,Prod_Prop!$H:$H,O$1,Prod_Prop!$I:$I,"Exacto"),Prod_Prop!$A:$A,Prod_Prop!$J:$J,"",0,1))</f>
        <v/>
      </c>
      <c r="P668" s="4" t="str">
        <f t="array" ref="P668">IF($E668="","", XLOOKUP(SUMIFS(Prod_Prop!$A:$A,Prod_Prop!$B:$B,$E668,Prod_Prop!$H:$H,P$1,Prod_Prop!$I:$I,"Exacto"),Prod_Prop!$A:$A,Prod_Prop!$J:$J,"",0,1))</f>
        <v/>
      </c>
      <c r="Q668" s="4" t="str">
        <f t="array" ref="Q668">IF($E668="","", XLOOKUP(SUMIFS(Prod_Prop!$A:$A,Prod_Prop!$B:$B,$E668,Prod_Prop!$H:$H,Q$1,Prod_Prop!$I:$I,"Exacto"),Prod_Prop!$A:$A,Prod_Prop!$J:$J,"",0,1))</f>
        <v/>
      </c>
      <c r="R668" s="4" t="str">
        <f t="array" ref="R668">IF($E668="","", XLOOKUP(SUMIFS(Prod_Prop!$A:$A,Prod_Prop!$B:$B,$E668,Prod_Prop!$H:$H,R$1,Prod_Prop!$I:$I,"Exacto"),Prod_Prop!$A:$A,Prod_Prop!$J:$J,"",0,1))</f>
        <v/>
      </c>
      <c r="S668" s="4" t="str">
        <f t="array" ref="S668">IF($E668="","", XLOOKUP(SUMIFS(Prod_Prop!$A:$A,Prod_Prop!$B:$B,$E668,Prod_Prop!$H:$H,S$1,Prod_Prop!$I:$I,"Exacto"),Prod_Prop!$A:$A,Prod_Prop!$J:$J,"",0,1))</f>
        <v/>
      </c>
      <c r="T668" s="4" t="str">
        <f t="array" ref="T668">IF($E668="","", XLOOKUP(SUMIFS(Prod_Prop!$A:$A,Prod_Prop!$B:$B,$E668,Prod_Prop!$H:$H,T$1,Prod_Prop!$I:$I,"Exacto"),Prod_Prop!$A:$A,Prod_Prop!$J:$J,"",0,1))</f>
        <v/>
      </c>
      <c r="U668" s="4" t="str">
        <f t="array" ref="U668">IF($E668="","", XLOOKUP(SUMIFS(Prod_Prop!$A:$A,Prod_Prop!$B:$B,$E668,Prod_Prop!$H:$H,U$1,Prod_Prop!$I:$I,"Exacto"),Prod_Prop!$A:$A,Prod_Prop!$J:$J,"",0,1))</f>
        <v/>
      </c>
      <c r="V668" s="4" t="str">
        <f t="array" ref="V668">IF($E668="","", XLOOKUP(SUMIFS(Prod_Prop!$A:$A,Prod_Prop!$B:$B,$E668,Prod_Prop!$H:$H,V$1,Prod_Prop!$I:$I,"Exacto"),Prod_Prop!$A:$A,Prod_Prop!$J:$J,"",0,1))</f>
        <v/>
      </c>
      <c r="X668" s="3" t="str">
        <f>IFERROR(__xludf.DUMMYFUNCTION("IF(D668="""","""",IFERROR(TRANSPOSE(FILTER('Validaciones Cotizador'!U:U,'Validaciones Cotizador'!O:O=D668,'Validaciones Cotizador'!T:T=""x"")),""Finalizar""))"),"")</f>
        <v/>
      </c>
    </row>
    <row r="669">
      <c r="A669" s="2" t="str">
        <f t="array" ref="A669">IF(E669="","",XLOOKUP(D669,'Validaciones Cotizador'!C:C,'Validaciones Cotizador'!A:A,"",0,1))</f>
        <v/>
      </c>
      <c r="B669" s="2" t="str">
        <f t="array" ref="B669">IF(F669="","",XLOOKUP(F669,Productos!E:E,Productos!G:G,"",0,1))</f>
        <v/>
      </c>
      <c r="C669" s="2" t="str">
        <f>IF(A669="","",SUMIFS('Validaciones Cotizador'!B:B,'Validaciones Cotizador'!C:C,D669,'Validaciones Cotizador'!A:A,A669))</f>
        <v/>
      </c>
      <c r="D669" s="4" t="str">
        <f>IFERROR(__xludf.DUMMYFUNCTION("IF(OR(F668=""Finalizar"",F668="""",F668=""Selecciona..""),"""",IF(OR(F668=""-"",INDEX(filter(Familias!F:F,Familias!D:D=A668,Familias!E:E=C668),1)=""O""),D668+1,D668))"),"")</f>
        <v/>
      </c>
      <c r="E669" s="2" t="str">
        <f>IF(OR(F669="",F669="Selecciona.."),"",IF(D669="Implemento",SUMIF(Implementos!B:B,F669,Implementos!A:A),SUMIF(Productos!E:E,F669,Productos!A:A)))</f>
        <v/>
      </c>
      <c r="F669" s="2" t="str">
        <f t="shared" si="2"/>
        <v/>
      </c>
      <c r="G669" s="10" t="str">
        <f t="array" ref="G669">IF(OR(F669="",F669="-",F669="Selecciona..",F669="Finalizar"),"",IF(A669="Rodados",XLOOKUP(B669,'Validaciones Cotizador'!I:I,'Validaciones Cotizador'!J:J,0,0,1),1))</f>
        <v/>
      </c>
      <c r="H669" s="11" t="str">
        <f>IF(OR(F669="",F669="Selecciona.."),"",SUMIF(Precio_Productos!K:K,E669,Precio_Productos!J:J)*G669)</f>
        <v/>
      </c>
      <c r="I669" s="4" t="str">
        <f t="array" ref="I669">IF($E669="","", XLOOKUP(SUMIFS(Prod_Prop!$A:$A,Prod_Prop!$B:$B,$E669,Prod_Prop!$H:$H,I$1,Prod_Prop!$I:$I,"Exacto"),Prod_Prop!$A:$A,Prod_Prop!$J:$J,"",0,1))</f>
        <v/>
      </c>
      <c r="J669" s="4" t="str">
        <f t="array" ref="J669">IF($E669="","", XLOOKUP(SUMIFS(Prod_Prop!$A:$A,Prod_Prop!$B:$B,$E669,Prod_Prop!$H:$H,J$1,Prod_Prop!$I:$I,"Exacto"),Prod_Prop!$A:$A,Prod_Prop!$J:$J,"",0,1))</f>
        <v/>
      </c>
      <c r="K669" s="4" t="str">
        <f t="array" ref="K669">IF($E669="","", XLOOKUP(SUMIFS(Prod_Prop!$A:$A,Prod_Prop!$B:$B,$E669,Prod_Prop!$H:$H,K$1,Prod_Prop!$I:$I,"Exacto"),Prod_Prop!$A:$A,Prod_Prop!$J:$J,"",0,1))</f>
        <v/>
      </c>
      <c r="L669" s="4" t="str">
        <f t="array" ref="L669">IF($E669="","", XLOOKUP(SUMIFS(Prod_Prop!$A:$A,Prod_Prop!$B:$B,$E669,Prod_Prop!$H:$H,L$1,Prod_Prop!$I:$I,"Exacto"),Prod_Prop!$A:$A,Prod_Prop!$J:$J,"",0,1))</f>
        <v/>
      </c>
      <c r="M669" s="4" t="str">
        <f t="array" ref="M669">IF($E669="","", XLOOKUP(SUMIFS(Prod_Prop!$A:$A,Prod_Prop!$B:$B,$E669,Prod_Prop!$H:$H,M$1,Prod_Prop!$I:$I,"Exacto"),Prod_Prop!$A:$A,Prod_Prop!$J:$J,"",0,1))</f>
        <v/>
      </c>
      <c r="N669" s="4" t="str">
        <f t="array" ref="N669">IF($E669="","", XLOOKUP(SUMIFS(Prod_Prop!$A:$A,Prod_Prop!$B:$B,$E669,Prod_Prop!$H:$H,N$1,Prod_Prop!$I:$I,"Exacto"),Prod_Prop!$A:$A,Prod_Prop!$J:$J,"",0,1))</f>
        <v/>
      </c>
      <c r="O669" s="4" t="str">
        <f t="array" ref="O669">IF($E669="","", XLOOKUP(SUMIFS(Prod_Prop!$A:$A,Prod_Prop!$B:$B,$E669,Prod_Prop!$H:$H,O$1,Prod_Prop!$I:$I,"Exacto"),Prod_Prop!$A:$A,Prod_Prop!$J:$J,"",0,1))</f>
        <v/>
      </c>
      <c r="P669" s="4" t="str">
        <f t="array" ref="P669">IF($E669="","", XLOOKUP(SUMIFS(Prod_Prop!$A:$A,Prod_Prop!$B:$B,$E669,Prod_Prop!$H:$H,P$1,Prod_Prop!$I:$I,"Exacto"),Prod_Prop!$A:$A,Prod_Prop!$J:$J,"",0,1))</f>
        <v/>
      </c>
      <c r="Q669" s="4" t="str">
        <f t="array" ref="Q669">IF($E669="","", XLOOKUP(SUMIFS(Prod_Prop!$A:$A,Prod_Prop!$B:$B,$E669,Prod_Prop!$H:$H,Q$1,Prod_Prop!$I:$I,"Exacto"),Prod_Prop!$A:$A,Prod_Prop!$J:$J,"",0,1))</f>
        <v/>
      </c>
      <c r="R669" s="4" t="str">
        <f t="array" ref="R669">IF($E669="","", XLOOKUP(SUMIFS(Prod_Prop!$A:$A,Prod_Prop!$B:$B,$E669,Prod_Prop!$H:$H,R$1,Prod_Prop!$I:$I,"Exacto"),Prod_Prop!$A:$A,Prod_Prop!$J:$J,"",0,1))</f>
        <v/>
      </c>
      <c r="S669" s="4" t="str">
        <f t="array" ref="S669">IF($E669="","", XLOOKUP(SUMIFS(Prod_Prop!$A:$A,Prod_Prop!$B:$B,$E669,Prod_Prop!$H:$H,S$1,Prod_Prop!$I:$I,"Exacto"),Prod_Prop!$A:$A,Prod_Prop!$J:$J,"",0,1))</f>
        <v/>
      </c>
      <c r="T669" s="4" t="str">
        <f t="array" ref="T669">IF($E669="","", XLOOKUP(SUMIFS(Prod_Prop!$A:$A,Prod_Prop!$B:$B,$E669,Prod_Prop!$H:$H,T$1,Prod_Prop!$I:$I,"Exacto"),Prod_Prop!$A:$A,Prod_Prop!$J:$J,"",0,1))</f>
        <v/>
      </c>
      <c r="U669" s="4" t="str">
        <f t="array" ref="U669">IF($E669="","", XLOOKUP(SUMIFS(Prod_Prop!$A:$A,Prod_Prop!$B:$B,$E669,Prod_Prop!$H:$H,U$1,Prod_Prop!$I:$I,"Exacto"),Prod_Prop!$A:$A,Prod_Prop!$J:$J,"",0,1))</f>
        <v/>
      </c>
      <c r="V669" s="4" t="str">
        <f t="array" ref="V669">IF($E669="","", XLOOKUP(SUMIFS(Prod_Prop!$A:$A,Prod_Prop!$B:$B,$E669,Prod_Prop!$H:$H,V$1,Prod_Prop!$I:$I,"Exacto"),Prod_Prop!$A:$A,Prod_Prop!$J:$J,"",0,1))</f>
        <v/>
      </c>
      <c r="X669" s="3" t="str">
        <f>IFERROR(__xludf.DUMMYFUNCTION("IF(D669="""","""",IFERROR(TRANSPOSE(FILTER('Validaciones Cotizador'!U:U,'Validaciones Cotizador'!O:O=D669,'Validaciones Cotizador'!T:T=""x"")),""Finalizar""))"),"")</f>
        <v/>
      </c>
    </row>
    <row r="670">
      <c r="A670" s="2" t="str">
        <f t="array" ref="A670">IF(E670="","",XLOOKUP(D670,'Validaciones Cotizador'!C:C,'Validaciones Cotizador'!A:A,"",0,1))</f>
        <v/>
      </c>
      <c r="B670" s="2" t="str">
        <f t="array" ref="B670">IF(F670="","",XLOOKUP(F670,Productos!E:E,Productos!G:G,"",0,1))</f>
        <v/>
      </c>
      <c r="C670" s="2" t="str">
        <f>IF(A670="","",SUMIFS('Validaciones Cotizador'!B:B,'Validaciones Cotizador'!C:C,D670,'Validaciones Cotizador'!A:A,A670))</f>
        <v/>
      </c>
      <c r="D670" s="4" t="str">
        <f>IFERROR(__xludf.DUMMYFUNCTION("IF(OR(F669=""Finalizar"",F669="""",F669=""Selecciona..""),"""",IF(OR(F669=""-"",INDEX(filter(Familias!F:F,Familias!D:D=A669,Familias!E:E=C669),1)=""O""),D669+1,D669))"),"")</f>
        <v/>
      </c>
      <c r="E670" s="2" t="str">
        <f>IF(OR(F670="",F670="Selecciona.."),"",IF(D670="Implemento",SUMIF(Implementos!B:B,F670,Implementos!A:A),SUMIF(Productos!E:E,F670,Productos!A:A)))</f>
        <v/>
      </c>
      <c r="F670" s="2" t="str">
        <f t="shared" si="2"/>
        <v/>
      </c>
      <c r="G670" s="10" t="str">
        <f t="array" ref="G670">IF(OR(F670="",F670="-",F670="Selecciona..",F670="Finalizar"),"",IF(A670="Rodados",XLOOKUP(B670,'Validaciones Cotizador'!I:I,'Validaciones Cotizador'!J:J,0,0,1),1))</f>
        <v/>
      </c>
      <c r="H670" s="11" t="str">
        <f>IF(OR(F670="",F670="Selecciona.."),"",SUMIF(Precio_Productos!K:K,E670,Precio_Productos!J:J)*G670)</f>
        <v/>
      </c>
      <c r="I670" s="4" t="str">
        <f t="array" ref="I670">IF($E670="","", XLOOKUP(SUMIFS(Prod_Prop!$A:$A,Prod_Prop!$B:$B,$E670,Prod_Prop!$H:$H,I$1,Prod_Prop!$I:$I,"Exacto"),Prod_Prop!$A:$A,Prod_Prop!$J:$J,"",0,1))</f>
        <v/>
      </c>
      <c r="J670" s="4" t="str">
        <f t="array" ref="J670">IF($E670="","", XLOOKUP(SUMIFS(Prod_Prop!$A:$A,Prod_Prop!$B:$B,$E670,Prod_Prop!$H:$H,J$1,Prod_Prop!$I:$I,"Exacto"),Prod_Prop!$A:$A,Prod_Prop!$J:$J,"",0,1))</f>
        <v/>
      </c>
      <c r="K670" s="4" t="str">
        <f t="array" ref="K670">IF($E670="","", XLOOKUP(SUMIFS(Prod_Prop!$A:$A,Prod_Prop!$B:$B,$E670,Prod_Prop!$H:$H,K$1,Prod_Prop!$I:$I,"Exacto"),Prod_Prop!$A:$A,Prod_Prop!$J:$J,"",0,1))</f>
        <v/>
      </c>
      <c r="L670" s="4" t="str">
        <f t="array" ref="L670">IF($E670="","", XLOOKUP(SUMIFS(Prod_Prop!$A:$A,Prod_Prop!$B:$B,$E670,Prod_Prop!$H:$H,L$1,Prod_Prop!$I:$I,"Exacto"),Prod_Prop!$A:$A,Prod_Prop!$J:$J,"",0,1))</f>
        <v/>
      </c>
      <c r="M670" s="4" t="str">
        <f t="array" ref="M670">IF($E670="","", XLOOKUP(SUMIFS(Prod_Prop!$A:$A,Prod_Prop!$B:$B,$E670,Prod_Prop!$H:$H,M$1,Prod_Prop!$I:$I,"Exacto"),Prod_Prop!$A:$A,Prod_Prop!$J:$J,"",0,1))</f>
        <v/>
      </c>
      <c r="N670" s="4" t="str">
        <f t="array" ref="N670">IF($E670="","", XLOOKUP(SUMIFS(Prod_Prop!$A:$A,Prod_Prop!$B:$B,$E670,Prod_Prop!$H:$H,N$1,Prod_Prop!$I:$I,"Exacto"),Prod_Prop!$A:$A,Prod_Prop!$J:$J,"",0,1))</f>
        <v/>
      </c>
      <c r="O670" s="4" t="str">
        <f t="array" ref="O670">IF($E670="","", XLOOKUP(SUMIFS(Prod_Prop!$A:$A,Prod_Prop!$B:$B,$E670,Prod_Prop!$H:$H,O$1,Prod_Prop!$I:$I,"Exacto"),Prod_Prop!$A:$A,Prod_Prop!$J:$J,"",0,1))</f>
        <v/>
      </c>
      <c r="P670" s="4" t="str">
        <f t="array" ref="P670">IF($E670="","", XLOOKUP(SUMIFS(Prod_Prop!$A:$A,Prod_Prop!$B:$B,$E670,Prod_Prop!$H:$H,P$1,Prod_Prop!$I:$I,"Exacto"),Prod_Prop!$A:$A,Prod_Prop!$J:$J,"",0,1))</f>
        <v/>
      </c>
      <c r="Q670" s="4" t="str">
        <f t="array" ref="Q670">IF($E670="","", XLOOKUP(SUMIFS(Prod_Prop!$A:$A,Prod_Prop!$B:$B,$E670,Prod_Prop!$H:$H,Q$1,Prod_Prop!$I:$I,"Exacto"),Prod_Prop!$A:$A,Prod_Prop!$J:$J,"",0,1))</f>
        <v/>
      </c>
      <c r="R670" s="4" t="str">
        <f t="array" ref="R670">IF($E670="","", XLOOKUP(SUMIFS(Prod_Prop!$A:$A,Prod_Prop!$B:$B,$E670,Prod_Prop!$H:$H,R$1,Prod_Prop!$I:$I,"Exacto"),Prod_Prop!$A:$A,Prod_Prop!$J:$J,"",0,1))</f>
        <v/>
      </c>
      <c r="S670" s="4" t="str">
        <f t="array" ref="S670">IF($E670="","", XLOOKUP(SUMIFS(Prod_Prop!$A:$A,Prod_Prop!$B:$B,$E670,Prod_Prop!$H:$H,S$1,Prod_Prop!$I:$I,"Exacto"),Prod_Prop!$A:$A,Prod_Prop!$J:$J,"",0,1))</f>
        <v/>
      </c>
      <c r="T670" s="4" t="str">
        <f t="array" ref="T670">IF($E670="","", XLOOKUP(SUMIFS(Prod_Prop!$A:$A,Prod_Prop!$B:$B,$E670,Prod_Prop!$H:$H,T$1,Prod_Prop!$I:$I,"Exacto"),Prod_Prop!$A:$A,Prod_Prop!$J:$J,"",0,1))</f>
        <v/>
      </c>
      <c r="U670" s="4" t="str">
        <f t="array" ref="U670">IF($E670="","", XLOOKUP(SUMIFS(Prod_Prop!$A:$A,Prod_Prop!$B:$B,$E670,Prod_Prop!$H:$H,U$1,Prod_Prop!$I:$I,"Exacto"),Prod_Prop!$A:$A,Prod_Prop!$J:$J,"",0,1))</f>
        <v/>
      </c>
      <c r="V670" s="4" t="str">
        <f t="array" ref="V670">IF($E670="","", XLOOKUP(SUMIFS(Prod_Prop!$A:$A,Prod_Prop!$B:$B,$E670,Prod_Prop!$H:$H,V$1,Prod_Prop!$I:$I,"Exacto"),Prod_Prop!$A:$A,Prod_Prop!$J:$J,"",0,1))</f>
        <v/>
      </c>
      <c r="X670" s="3" t="str">
        <f>IFERROR(__xludf.DUMMYFUNCTION("IF(D670="""","""",IFERROR(TRANSPOSE(FILTER('Validaciones Cotizador'!U:U,'Validaciones Cotizador'!O:O=D670,'Validaciones Cotizador'!T:T=""x"")),""Finalizar""))"),"")</f>
        <v/>
      </c>
    </row>
    <row r="671">
      <c r="A671" s="2" t="str">
        <f t="array" ref="A671">IF(E671="","",XLOOKUP(D671,'Validaciones Cotizador'!C:C,'Validaciones Cotizador'!A:A,"",0,1))</f>
        <v/>
      </c>
      <c r="B671" s="2" t="str">
        <f t="array" ref="B671">IF(F671="","",XLOOKUP(F671,Productos!E:E,Productos!G:G,"",0,1))</f>
        <v/>
      </c>
      <c r="C671" s="2" t="str">
        <f>IF(A671="","",SUMIFS('Validaciones Cotizador'!B:B,'Validaciones Cotizador'!C:C,D671,'Validaciones Cotizador'!A:A,A671))</f>
        <v/>
      </c>
      <c r="D671" s="4" t="str">
        <f>IFERROR(__xludf.DUMMYFUNCTION("IF(OR(F670=""Finalizar"",F670="""",F670=""Selecciona..""),"""",IF(OR(F670=""-"",INDEX(filter(Familias!F:F,Familias!D:D=A670,Familias!E:E=C670),1)=""O""),D670+1,D670))"),"")</f>
        <v/>
      </c>
      <c r="E671" s="2" t="str">
        <f>IF(OR(F671="",F671="Selecciona.."),"",IF(D671="Implemento",SUMIF(Implementos!B:B,F671,Implementos!A:A),SUMIF(Productos!E:E,F671,Productos!A:A)))</f>
        <v/>
      </c>
      <c r="F671" s="2" t="str">
        <f t="shared" si="2"/>
        <v/>
      </c>
      <c r="G671" s="10" t="str">
        <f t="array" ref="G671">IF(OR(F671="",F671="-",F671="Selecciona..",F671="Finalizar"),"",IF(A671="Rodados",XLOOKUP(B671,'Validaciones Cotizador'!I:I,'Validaciones Cotizador'!J:J,0,0,1),1))</f>
        <v/>
      </c>
      <c r="H671" s="11" t="str">
        <f>IF(OR(F671="",F671="Selecciona.."),"",SUMIF(Precio_Productos!K:K,E671,Precio_Productos!J:J)*G671)</f>
        <v/>
      </c>
      <c r="I671" s="4" t="str">
        <f t="array" ref="I671">IF($E671="","", XLOOKUP(SUMIFS(Prod_Prop!$A:$A,Prod_Prop!$B:$B,$E671,Prod_Prop!$H:$H,I$1,Prod_Prop!$I:$I,"Exacto"),Prod_Prop!$A:$A,Prod_Prop!$J:$J,"",0,1))</f>
        <v/>
      </c>
      <c r="J671" s="4" t="str">
        <f t="array" ref="J671">IF($E671="","", XLOOKUP(SUMIFS(Prod_Prop!$A:$A,Prod_Prop!$B:$B,$E671,Prod_Prop!$H:$H,J$1,Prod_Prop!$I:$I,"Exacto"),Prod_Prop!$A:$A,Prod_Prop!$J:$J,"",0,1))</f>
        <v/>
      </c>
      <c r="K671" s="4" t="str">
        <f t="array" ref="K671">IF($E671="","", XLOOKUP(SUMIFS(Prod_Prop!$A:$A,Prod_Prop!$B:$B,$E671,Prod_Prop!$H:$H,K$1,Prod_Prop!$I:$I,"Exacto"),Prod_Prop!$A:$A,Prod_Prop!$J:$J,"",0,1))</f>
        <v/>
      </c>
      <c r="L671" s="4" t="str">
        <f t="array" ref="L671">IF($E671="","", XLOOKUP(SUMIFS(Prod_Prop!$A:$A,Prod_Prop!$B:$B,$E671,Prod_Prop!$H:$H,L$1,Prod_Prop!$I:$I,"Exacto"),Prod_Prop!$A:$A,Prod_Prop!$J:$J,"",0,1))</f>
        <v/>
      </c>
      <c r="M671" s="4" t="str">
        <f t="array" ref="M671">IF($E671="","", XLOOKUP(SUMIFS(Prod_Prop!$A:$A,Prod_Prop!$B:$B,$E671,Prod_Prop!$H:$H,M$1,Prod_Prop!$I:$I,"Exacto"),Prod_Prop!$A:$A,Prod_Prop!$J:$J,"",0,1))</f>
        <v/>
      </c>
      <c r="N671" s="4" t="str">
        <f t="array" ref="N671">IF($E671="","", XLOOKUP(SUMIFS(Prod_Prop!$A:$A,Prod_Prop!$B:$B,$E671,Prod_Prop!$H:$H,N$1,Prod_Prop!$I:$I,"Exacto"),Prod_Prop!$A:$A,Prod_Prop!$J:$J,"",0,1))</f>
        <v/>
      </c>
      <c r="O671" s="4" t="str">
        <f t="array" ref="O671">IF($E671="","", XLOOKUP(SUMIFS(Prod_Prop!$A:$A,Prod_Prop!$B:$B,$E671,Prod_Prop!$H:$H,O$1,Prod_Prop!$I:$I,"Exacto"),Prod_Prop!$A:$A,Prod_Prop!$J:$J,"",0,1))</f>
        <v/>
      </c>
      <c r="P671" s="4" t="str">
        <f t="array" ref="P671">IF($E671="","", XLOOKUP(SUMIFS(Prod_Prop!$A:$A,Prod_Prop!$B:$B,$E671,Prod_Prop!$H:$H,P$1,Prod_Prop!$I:$I,"Exacto"),Prod_Prop!$A:$A,Prod_Prop!$J:$J,"",0,1))</f>
        <v/>
      </c>
      <c r="Q671" s="4" t="str">
        <f t="array" ref="Q671">IF($E671="","", XLOOKUP(SUMIFS(Prod_Prop!$A:$A,Prod_Prop!$B:$B,$E671,Prod_Prop!$H:$H,Q$1,Prod_Prop!$I:$I,"Exacto"),Prod_Prop!$A:$A,Prod_Prop!$J:$J,"",0,1))</f>
        <v/>
      </c>
      <c r="R671" s="4" t="str">
        <f t="array" ref="R671">IF($E671="","", XLOOKUP(SUMIFS(Prod_Prop!$A:$A,Prod_Prop!$B:$B,$E671,Prod_Prop!$H:$H,R$1,Prod_Prop!$I:$I,"Exacto"),Prod_Prop!$A:$A,Prod_Prop!$J:$J,"",0,1))</f>
        <v/>
      </c>
      <c r="S671" s="4" t="str">
        <f t="array" ref="S671">IF($E671="","", XLOOKUP(SUMIFS(Prod_Prop!$A:$A,Prod_Prop!$B:$B,$E671,Prod_Prop!$H:$H,S$1,Prod_Prop!$I:$I,"Exacto"),Prod_Prop!$A:$A,Prod_Prop!$J:$J,"",0,1))</f>
        <v/>
      </c>
      <c r="T671" s="4" t="str">
        <f t="array" ref="T671">IF($E671="","", XLOOKUP(SUMIFS(Prod_Prop!$A:$A,Prod_Prop!$B:$B,$E671,Prod_Prop!$H:$H,T$1,Prod_Prop!$I:$I,"Exacto"),Prod_Prop!$A:$A,Prod_Prop!$J:$J,"",0,1))</f>
        <v/>
      </c>
      <c r="U671" s="4" t="str">
        <f t="array" ref="U671">IF($E671="","", XLOOKUP(SUMIFS(Prod_Prop!$A:$A,Prod_Prop!$B:$B,$E671,Prod_Prop!$H:$H,U$1,Prod_Prop!$I:$I,"Exacto"),Prod_Prop!$A:$A,Prod_Prop!$J:$J,"",0,1))</f>
        <v/>
      </c>
      <c r="V671" s="4" t="str">
        <f t="array" ref="V671">IF($E671="","", XLOOKUP(SUMIFS(Prod_Prop!$A:$A,Prod_Prop!$B:$B,$E671,Prod_Prop!$H:$H,V$1,Prod_Prop!$I:$I,"Exacto"),Prod_Prop!$A:$A,Prod_Prop!$J:$J,"",0,1))</f>
        <v/>
      </c>
      <c r="X671" s="3" t="str">
        <f>IFERROR(__xludf.DUMMYFUNCTION("IF(D671="""","""",IFERROR(TRANSPOSE(FILTER('Validaciones Cotizador'!U:U,'Validaciones Cotizador'!O:O=D671,'Validaciones Cotizador'!T:T=""x"")),""Finalizar""))"),"")</f>
        <v/>
      </c>
    </row>
    <row r="672">
      <c r="A672" s="2" t="str">
        <f t="array" ref="A672">IF(E672="","",XLOOKUP(D672,'Validaciones Cotizador'!C:C,'Validaciones Cotizador'!A:A,"",0,1))</f>
        <v/>
      </c>
      <c r="B672" s="2" t="str">
        <f t="array" ref="B672">IF(F672="","",XLOOKUP(F672,Productos!E:E,Productos!G:G,"",0,1))</f>
        <v/>
      </c>
      <c r="C672" s="2" t="str">
        <f>IF(A672="","",SUMIFS('Validaciones Cotizador'!B:B,'Validaciones Cotizador'!C:C,D672,'Validaciones Cotizador'!A:A,A672))</f>
        <v/>
      </c>
      <c r="D672" s="4" t="str">
        <f>IFERROR(__xludf.DUMMYFUNCTION("IF(OR(F671=""Finalizar"",F671="""",F671=""Selecciona..""),"""",IF(OR(F671=""-"",INDEX(filter(Familias!F:F,Familias!D:D=A671,Familias!E:E=C671),1)=""O""),D671+1,D671))"),"")</f>
        <v/>
      </c>
      <c r="E672" s="2" t="str">
        <f>IF(OR(F672="",F672="Selecciona.."),"",IF(D672="Implemento",SUMIF(Implementos!B:B,F672,Implementos!A:A),SUMIF(Productos!E:E,F672,Productos!A:A)))</f>
        <v/>
      </c>
      <c r="F672" s="2" t="str">
        <f t="shared" si="2"/>
        <v/>
      </c>
      <c r="G672" s="10" t="str">
        <f t="array" ref="G672">IF(OR(F672="",F672="-",F672="Selecciona..",F672="Finalizar"),"",IF(A672="Rodados",XLOOKUP(B672,'Validaciones Cotizador'!I:I,'Validaciones Cotizador'!J:J,0,0,1),1))</f>
        <v/>
      </c>
      <c r="H672" s="11" t="str">
        <f>IF(OR(F672="",F672="Selecciona.."),"",SUMIF(Precio_Productos!K:K,E672,Precio_Productos!J:J)*G672)</f>
        <v/>
      </c>
      <c r="I672" s="4" t="str">
        <f t="array" ref="I672">IF($E672="","", XLOOKUP(SUMIFS(Prod_Prop!$A:$A,Prod_Prop!$B:$B,$E672,Prod_Prop!$H:$H,I$1,Prod_Prop!$I:$I,"Exacto"),Prod_Prop!$A:$A,Prod_Prop!$J:$J,"",0,1))</f>
        <v/>
      </c>
      <c r="J672" s="4" t="str">
        <f t="array" ref="J672">IF($E672="","", XLOOKUP(SUMIFS(Prod_Prop!$A:$A,Prod_Prop!$B:$B,$E672,Prod_Prop!$H:$H,J$1,Prod_Prop!$I:$I,"Exacto"),Prod_Prop!$A:$A,Prod_Prop!$J:$J,"",0,1))</f>
        <v/>
      </c>
      <c r="K672" s="4" t="str">
        <f t="array" ref="K672">IF($E672="","", XLOOKUP(SUMIFS(Prod_Prop!$A:$A,Prod_Prop!$B:$B,$E672,Prod_Prop!$H:$H,K$1,Prod_Prop!$I:$I,"Exacto"),Prod_Prop!$A:$A,Prod_Prop!$J:$J,"",0,1))</f>
        <v/>
      </c>
      <c r="L672" s="4" t="str">
        <f t="array" ref="L672">IF($E672="","", XLOOKUP(SUMIFS(Prod_Prop!$A:$A,Prod_Prop!$B:$B,$E672,Prod_Prop!$H:$H,L$1,Prod_Prop!$I:$I,"Exacto"),Prod_Prop!$A:$A,Prod_Prop!$J:$J,"",0,1))</f>
        <v/>
      </c>
      <c r="M672" s="4" t="str">
        <f t="array" ref="M672">IF($E672="","", XLOOKUP(SUMIFS(Prod_Prop!$A:$A,Prod_Prop!$B:$B,$E672,Prod_Prop!$H:$H,M$1,Prod_Prop!$I:$I,"Exacto"),Prod_Prop!$A:$A,Prod_Prop!$J:$J,"",0,1))</f>
        <v/>
      </c>
      <c r="N672" s="4" t="str">
        <f t="array" ref="N672">IF($E672="","", XLOOKUP(SUMIFS(Prod_Prop!$A:$A,Prod_Prop!$B:$B,$E672,Prod_Prop!$H:$H,N$1,Prod_Prop!$I:$I,"Exacto"),Prod_Prop!$A:$A,Prod_Prop!$J:$J,"",0,1))</f>
        <v/>
      </c>
      <c r="O672" s="4" t="str">
        <f t="array" ref="O672">IF($E672="","", XLOOKUP(SUMIFS(Prod_Prop!$A:$A,Prod_Prop!$B:$B,$E672,Prod_Prop!$H:$H,O$1,Prod_Prop!$I:$I,"Exacto"),Prod_Prop!$A:$A,Prod_Prop!$J:$J,"",0,1))</f>
        <v/>
      </c>
      <c r="P672" s="4" t="str">
        <f t="array" ref="P672">IF($E672="","", XLOOKUP(SUMIFS(Prod_Prop!$A:$A,Prod_Prop!$B:$B,$E672,Prod_Prop!$H:$H,P$1,Prod_Prop!$I:$I,"Exacto"),Prod_Prop!$A:$A,Prod_Prop!$J:$J,"",0,1))</f>
        <v/>
      </c>
      <c r="Q672" s="4" t="str">
        <f t="array" ref="Q672">IF($E672="","", XLOOKUP(SUMIFS(Prod_Prop!$A:$A,Prod_Prop!$B:$B,$E672,Prod_Prop!$H:$H,Q$1,Prod_Prop!$I:$I,"Exacto"),Prod_Prop!$A:$A,Prod_Prop!$J:$J,"",0,1))</f>
        <v/>
      </c>
      <c r="R672" s="4" t="str">
        <f t="array" ref="R672">IF($E672="","", XLOOKUP(SUMIFS(Prod_Prop!$A:$A,Prod_Prop!$B:$B,$E672,Prod_Prop!$H:$H,R$1,Prod_Prop!$I:$I,"Exacto"),Prod_Prop!$A:$A,Prod_Prop!$J:$J,"",0,1))</f>
        <v/>
      </c>
      <c r="S672" s="4" t="str">
        <f t="array" ref="S672">IF($E672="","", XLOOKUP(SUMIFS(Prod_Prop!$A:$A,Prod_Prop!$B:$B,$E672,Prod_Prop!$H:$H,S$1,Prod_Prop!$I:$I,"Exacto"),Prod_Prop!$A:$A,Prod_Prop!$J:$J,"",0,1))</f>
        <v/>
      </c>
      <c r="T672" s="4" t="str">
        <f t="array" ref="T672">IF($E672="","", XLOOKUP(SUMIFS(Prod_Prop!$A:$A,Prod_Prop!$B:$B,$E672,Prod_Prop!$H:$H,T$1,Prod_Prop!$I:$I,"Exacto"),Prod_Prop!$A:$A,Prod_Prop!$J:$J,"",0,1))</f>
        <v/>
      </c>
      <c r="U672" s="4" t="str">
        <f t="array" ref="U672">IF($E672="","", XLOOKUP(SUMIFS(Prod_Prop!$A:$A,Prod_Prop!$B:$B,$E672,Prod_Prop!$H:$H,U$1,Prod_Prop!$I:$I,"Exacto"),Prod_Prop!$A:$A,Prod_Prop!$J:$J,"",0,1))</f>
        <v/>
      </c>
      <c r="V672" s="4" t="str">
        <f t="array" ref="V672">IF($E672="","", XLOOKUP(SUMIFS(Prod_Prop!$A:$A,Prod_Prop!$B:$B,$E672,Prod_Prop!$H:$H,V$1,Prod_Prop!$I:$I,"Exacto"),Prod_Prop!$A:$A,Prod_Prop!$J:$J,"",0,1))</f>
        <v/>
      </c>
      <c r="X672" s="3" t="str">
        <f>IFERROR(__xludf.DUMMYFUNCTION("IF(D672="""","""",IFERROR(TRANSPOSE(FILTER('Validaciones Cotizador'!U:U,'Validaciones Cotizador'!O:O=D672,'Validaciones Cotizador'!T:T=""x"")),""Finalizar""))"),"")</f>
        <v/>
      </c>
    </row>
    <row r="673">
      <c r="A673" s="2" t="str">
        <f t="array" ref="A673">IF(E673="","",XLOOKUP(D673,'Validaciones Cotizador'!C:C,'Validaciones Cotizador'!A:A,"",0,1))</f>
        <v/>
      </c>
      <c r="B673" s="2" t="str">
        <f t="array" ref="B673">IF(F673="","",XLOOKUP(F673,Productos!E:E,Productos!G:G,"",0,1))</f>
        <v/>
      </c>
      <c r="C673" s="2" t="str">
        <f>IF(A673="","",SUMIFS('Validaciones Cotizador'!B:B,'Validaciones Cotizador'!C:C,D673,'Validaciones Cotizador'!A:A,A673))</f>
        <v/>
      </c>
      <c r="D673" s="4" t="str">
        <f>IFERROR(__xludf.DUMMYFUNCTION("IF(OR(F672=""Finalizar"",F672="""",F672=""Selecciona..""),"""",IF(OR(F672=""-"",INDEX(filter(Familias!F:F,Familias!D:D=A672,Familias!E:E=C672),1)=""O""),D672+1,D672))"),"")</f>
        <v/>
      </c>
      <c r="E673" s="2" t="str">
        <f>IF(OR(F673="",F673="Selecciona.."),"",IF(D673="Implemento",SUMIF(Implementos!B:B,F673,Implementos!A:A),SUMIF(Productos!E:E,F673,Productos!A:A)))</f>
        <v/>
      </c>
      <c r="F673" s="2" t="str">
        <f t="shared" si="2"/>
        <v/>
      </c>
      <c r="G673" s="10" t="str">
        <f t="array" ref="G673">IF(OR(F673="",F673="-",F673="Selecciona..",F673="Finalizar"),"",IF(A673="Rodados",XLOOKUP(B673,'Validaciones Cotizador'!I:I,'Validaciones Cotizador'!J:J,0,0,1),1))</f>
        <v/>
      </c>
      <c r="H673" s="11" t="str">
        <f>IF(OR(F673="",F673="Selecciona.."),"",SUMIF(Precio_Productos!K:K,E673,Precio_Productos!J:J)*G673)</f>
        <v/>
      </c>
      <c r="I673" s="4" t="str">
        <f t="array" ref="I673">IF($E673="","", XLOOKUP(SUMIFS(Prod_Prop!$A:$A,Prod_Prop!$B:$B,$E673,Prod_Prop!$H:$H,I$1,Prod_Prop!$I:$I,"Exacto"),Prod_Prop!$A:$A,Prod_Prop!$J:$J,"",0,1))</f>
        <v/>
      </c>
      <c r="J673" s="4" t="str">
        <f t="array" ref="J673">IF($E673="","", XLOOKUP(SUMIFS(Prod_Prop!$A:$A,Prod_Prop!$B:$B,$E673,Prod_Prop!$H:$H,J$1,Prod_Prop!$I:$I,"Exacto"),Prod_Prop!$A:$A,Prod_Prop!$J:$J,"",0,1))</f>
        <v/>
      </c>
      <c r="K673" s="4" t="str">
        <f t="array" ref="K673">IF($E673="","", XLOOKUP(SUMIFS(Prod_Prop!$A:$A,Prod_Prop!$B:$B,$E673,Prod_Prop!$H:$H,K$1,Prod_Prop!$I:$I,"Exacto"),Prod_Prop!$A:$A,Prod_Prop!$J:$J,"",0,1))</f>
        <v/>
      </c>
      <c r="L673" s="4" t="str">
        <f t="array" ref="L673">IF($E673="","", XLOOKUP(SUMIFS(Prod_Prop!$A:$A,Prod_Prop!$B:$B,$E673,Prod_Prop!$H:$H,L$1,Prod_Prop!$I:$I,"Exacto"),Prod_Prop!$A:$A,Prod_Prop!$J:$J,"",0,1))</f>
        <v/>
      </c>
      <c r="M673" s="4" t="str">
        <f t="array" ref="M673">IF($E673="","", XLOOKUP(SUMIFS(Prod_Prop!$A:$A,Prod_Prop!$B:$B,$E673,Prod_Prop!$H:$H,M$1,Prod_Prop!$I:$I,"Exacto"),Prod_Prop!$A:$A,Prod_Prop!$J:$J,"",0,1))</f>
        <v/>
      </c>
      <c r="N673" s="4" t="str">
        <f t="array" ref="N673">IF($E673="","", XLOOKUP(SUMIFS(Prod_Prop!$A:$A,Prod_Prop!$B:$B,$E673,Prod_Prop!$H:$H,N$1,Prod_Prop!$I:$I,"Exacto"),Prod_Prop!$A:$A,Prod_Prop!$J:$J,"",0,1))</f>
        <v/>
      </c>
      <c r="O673" s="4" t="str">
        <f t="array" ref="O673">IF($E673="","", XLOOKUP(SUMIFS(Prod_Prop!$A:$A,Prod_Prop!$B:$B,$E673,Prod_Prop!$H:$H,O$1,Prod_Prop!$I:$I,"Exacto"),Prod_Prop!$A:$A,Prod_Prop!$J:$J,"",0,1))</f>
        <v/>
      </c>
      <c r="P673" s="4" t="str">
        <f t="array" ref="P673">IF($E673="","", XLOOKUP(SUMIFS(Prod_Prop!$A:$A,Prod_Prop!$B:$B,$E673,Prod_Prop!$H:$H,P$1,Prod_Prop!$I:$I,"Exacto"),Prod_Prop!$A:$A,Prod_Prop!$J:$J,"",0,1))</f>
        <v/>
      </c>
      <c r="Q673" s="4" t="str">
        <f t="array" ref="Q673">IF($E673="","", XLOOKUP(SUMIFS(Prod_Prop!$A:$A,Prod_Prop!$B:$B,$E673,Prod_Prop!$H:$H,Q$1,Prod_Prop!$I:$I,"Exacto"),Prod_Prop!$A:$A,Prod_Prop!$J:$J,"",0,1))</f>
        <v/>
      </c>
      <c r="R673" s="4" t="str">
        <f t="array" ref="R673">IF($E673="","", XLOOKUP(SUMIFS(Prod_Prop!$A:$A,Prod_Prop!$B:$B,$E673,Prod_Prop!$H:$H,R$1,Prod_Prop!$I:$I,"Exacto"),Prod_Prop!$A:$A,Prod_Prop!$J:$J,"",0,1))</f>
        <v/>
      </c>
      <c r="S673" s="4" t="str">
        <f t="array" ref="S673">IF($E673="","", XLOOKUP(SUMIFS(Prod_Prop!$A:$A,Prod_Prop!$B:$B,$E673,Prod_Prop!$H:$H,S$1,Prod_Prop!$I:$I,"Exacto"),Prod_Prop!$A:$A,Prod_Prop!$J:$J,"",0,1))</f>
        <v/>
      </c>
      <c r="T673" s="4" t="str">
        <f t="array" ref="T673">IF($E673="","", XLOOKUP(SUMIFS(Prod_Prop!$A:$A,Prod_Prop!$B:$B,$E673,Prod_Prop!$H:$H,T$1,Prod_Prop!$I:$I,"Exacto"),Prod_Prop!$A:$A,Prod_Prop!$J:$J,"",0,1))</f>
        <v/>
      </c>
      <c r="U673" s="4" t="str">
        <f t="array" ref="U673">IF($E673="","", XLOOKUP(SUMIFS(Prod_Prop!$A:$A,Prod_Prop!$B:$B,$E673,Prod_Prop!$H:$H,U$1,Prod_Prop!$I:$I,"Exacto"),Prod_Prop!$A:$A,Prod_Prop!$J:$J,"",0,1))</f>
        <v/>
      </c>
      <c r="V673" s="4" t="str">
        <f t="array" ref="V673">IF($E673="","", XLOOKUP(SUMIFS(Prod_Prop!$A:$A,Prod_Prop!$B:$B,$E673,Prod_Prop!$H:$H,V$1,Prod_Prop!$I:$I,"Exacto"),Prod_Prop!$A:$A,Prod_Prop!$J:$J,"",0,1))</f>
        <v/>
      </c>
      <c r="X673" s="3" t="str">
        <f>IFERROR(__xludf.DUMMYFUNCTION("IF(D673="""","""",IFERROR(TRANSPOSE(FILTER('Validaciones Cotizador'!U:U,'Validaciones Cotizador'!O:O=D673,'Validaciones Cotizador'!T:T=""x"")),""Finalizar""))"),"")</f>
        <v/>
      </c>
    </row>
    <row r="674">
      <c r="A674" s="2" t="str">
        <f t="array" ref="A674">IF(E674="","",XLOOKUP(D674,'Validaciones Cotizador'!C:C,'Validaciones Cotizador'!A:A,"",0,1))</f>
        <v/>
      </c>
      <c r="B674" s="2" t="str">
        <f t="array" ref="B674">IF(F674="","",XLOOKUP(F674,Productos!E:E,Productos!G:G,"",0,1))</f>
        <v/>
      </c>
      <c r="C674" s="2" t="str">
        <f>IF(A674="","",SUMIFS('Validaciones Cotizador'!B:B,'Validaciones Cotizador'!C:C,D674,'Validaciones Cotizador'!A:A,A674))</f>
        <v/>
      </c>
      <c r="D674" s="4" t="str">
        <f>IFERROR(__xludf.DUMMYFUNCTION("IF(OR(F673=""Finalizar"",F673="""",F673=""Selecciona..""),"""",IF(OR(F673=""-"",INDEX(filter(Familias!F:F,Familias!D:D=A673,Familias!E:E=C673),1)=""O""),D673+1,D673))"),"")</f>
        <v/>
      </c>
      <c r="E674" s="2" t="str">
        <f>IF(OR(F674="",F674="Selecciona.."),"",IF(D674="Implemento",SUMIF(Implementos!B:B,F674,Implementos!A:A),SUMIF(Productos!E:E,F674,Productos!A:A)))</f>
        <v/>
      </c>
      <c r="F674" s="2" t="str">
        <f t="shared" si="2"/>
        <v/>
      </c>
      <c r="G674" s="10" t="str">
        <f t="array" ref="G674">IF(OR(F674="",F674="-",F674="Selecciona..",F674="Finalizar"),"",IF(A674="Rodados",XLOOKUP(B674,'Validaciones Cotizador'!I:I,'Validaciones Cotizador'!J:J,0,0,1),1))</f>
        <v/>
      </c>
      <c r="H674" s="11" t="str">
        <f>IF(OR(F674="",F674="Selecciona.."),"",SUMIF(Precio_Productos!K:K,E674,Precio_Productos!J:J)*G674)</f>
        <v/>
      </c>
      <c r="I674" s="4" t="str">
        <f t="array" ref="I674">IF($E674="","", XLOOKUP(SUMIFS(Prod_Prop!$A:$A,Prod_Prop!$B:$B,$E674,Prod_Prop!$H:$H,I$1,Prod_Prop!$I:$I,"Exacto"),Prod_Prop!$A:$A,Prod_Prop!$J:$J,"",0,1))</f>
        <v/>
      </c>
      <c r="J674" s="4" t="str">
        <f t="array" ref="J674">IF($E674="","", XLOOKUP(SUMIFS(Prod_Prop!$A:$A,Prod_Prop!$B:$B,$E674,Prod_Prop!$H:$H,J$1,Prod_Prop!$I:$I,"Exacto"),Prod_Prop!$A:$A,Prod_Prop!$J:$J,"",0,1))</f>
        <v/>
      </c>
      <c r="K674" s="4" t="str">
        <f t="array" ref="K674">IF($E674="","", XLOOKUP(SUMIFS(Prod_Prop!$A:$A,Prod_Prop!$B:$B,$E674,Prod_Prop!$H:$H,K$1,Prod_Prop!$I:$I,"Exacto"),Prod_Prop!$A:$A,Prod_Prop!$J:$J,"",0,1))</f>
        <v/>
      </c>
      <c r="L674" s="4" t="str">
        <f t="array" ref="L674">IF($E674="","", XLOOKUP(SUMIFS(Prod_Prop!$A:$A,Prod_Prop!$B:$B,$E674,Prod_Prop!$H:$H,L$1,Prod_Prop!$I:$I,"Exacto"),Prod_Prop!$A:$A,Prod_Prop!$J:$J,"",0,1))</f>
        <v/>
      </c>
      <c r="M674" s="4" t="str">
        <f t="array" ref="M674">IF($E674="","", XLOOKUP(SUMIFS(Prod_Prop!$A:$A,Prod_Prop!$B:$B,$E674,Prod_Prop!$H:$H,M$1,Prod_Prop!$I:$I,"Exacto"),Prod_Prop!$A:$A,Prod_Prop!$J:$J,"",0,1))</f>
        <v/>
      </c>
      <c r="N674" s="4" t="str">
        <f t="array" ref="N674">IF($E674="","", XLOOKUP(SUMIFS(Prod_Prop!$A:$A,Prod_Prop!$B:$B,$E674,Prod_Prop!$H:$H,N$1,Prod_Prop!$I:$I,"Exacto"),Prod_Prop!$A:$A,Prod_Prop!$J:$J,"",0,1))</f>
        <v/>
      </c>
      <c r="O674" s="4" t="str">
        <f t="array" ref="O674">IF($E674="","", XLOOKUP(SUMIFS(Prod_Prop!$A:$A,Prod_Prop!$B:$B,$E674,Prod_Prop!$H:$H,O$1,Prod_Prop!$I:$I,"Exacto"),Prod_Prop!$A:$A,Prod_Prop!$J:$J,"",0,1))</f>
        <v/>
      </c>
      <c r="P674" s="4" t="str">
        <f t="array" ref="P674">IF($E674="","", XLOOKUP(SUMIFS(Prod_Prop!$A:$A,Prod_Prop!$B:$B,$E674,Prod_Prop!$H:$H,P$1,Prod_Prop!$I:$I,"Exacto"),Prod_Prop!$A:$A,Prod_Prop!$J:$J,"",0,1))</f>
        <v/>
      </c>
      <c r="Q674" s="4" t="str">
        <f t="array" ref="Q674">IF($E674="","", XLOOKUP(SUMIFS(Prod_Prop!$A:$A,Prod_Prop!$B:$B,$E674,Prod_Prop!$H:$H,Q$1,Prod_Prop!$I:$I,"Exacto"),Prod_Prop!$A:$A,Prod_Prop!$J:$J,"",0,1))</f>
        <v/>
      </c>
      <c r="R674" s="4" t="str">
        <f t="array" ref="R674">IF($E674="","", XLOOKUP(SUMIFS(Prod_Prop!$A:$A,Prod_Prop!$B:$B,$E674,Prod_Prop!$H:$H,R$1,Prod_Prop!$I:$I,"Exacto"),Prod_Prop!$A:$A,Prod_Prop!$J:$J,"",0,1))</f>
        <v/>
      </c>
      <c r="S674" s="4" t="str">
        <f t="array" ref="S674">IF($E674="","", XLOOKUP(SUMIFS(Prod_Prop!$A:$A,Prod_Prop!$B:$B,$E674,Prod_Prop!$H:$H,S$1,Prod_Prop!$I:$I,"Exacto"),Prod_Prop!$A:$A,Prod_Prop!$J:$J,"",0,1))</f>
        <v/>
      </c>
      <c r="T674" s="4" t="str">
        <f t="array" ref="T674">IF($E674="","", XLOOKUP(SUMIFS(Prod_Prop!$A:$A,Prod_Prop!$B:$B,$E674,Prod_Prop!$H:$H,T$1,Prod_Prop!$I:$I,"Exacto"),Prod_Prop!$A:$A,Prod_Prop!$J:$J,"",0,1))</f>
        <v/>
      </c>
      <c r="U674" s="4" t="str">
        <f t="array" ref="U674">IF($E674="","", XLOOKUP(SUMIFS(Prod_Prop!$A:$A,Prod_Prop!$B:$B,$E674,Prod_Prop!$H:$H,U$1,Prod_Prop!$I:$I,"Exacto"),Prod_Prop!$A:$A,Prod_Prop!$J:$J,"",0,1))</f>
        <v/>
      </c>
      <c r="V674" s="4" t="str">
        <f t="array" ref="V674">IF($E674="","", XLOOKUP(SUMIFS(Prod_Prop!$A:$A,Prod_Prop!$B:$B,$E674,Prod_Prop!$H:$H,V$1,Prod_Prop!$I:$I,"Exacto"),Prod_Prop!$A:$A,Prod_Prop!$J:$J,"",0,1))</f>
        <v/>
      </c>
      <c r="X674" s="3" t="str">
        <f>IFERROR(__xludf.DUMMYFUNCTION("IF(D674="""","""",IFERROR(TRANSPOSE(FILTER('Validaciones Cotizador'!U:U,'Validaciones Cotizador'!O:O=D674,'Validaciones Cotizador'!T:T=""x"")),""Finalizar""))"),"")</f>
        <v/>
      </c>
    </row>
    <row r="675">
      <c r="A675" s="2" t="str">
        <f t="array" ref="A675">IF(E675="","",XLOOKUP(D675,'Validaciones Cotizador'!C:C,'Validaciones Cotizador'!A:A,"",0,1))</f>
        <v/>
      </c>
      <c r="B675" s="2" t="str">
        <f t="array" ref="B675">IF(F675="","",XLOOKUP(F675,Productos!E:E,Productos!G:G,"",0,1))</f>
        <v/>
      </c>
      <c r="C675" s="2" t="str">
        <f>IF(A675="","",SUMIFS('Validaciones Cotizador'!B:B,'Validaciones Cotizador'!C:C,D675,'Validaciones Cotizador'!A:A,A675))</f>
        <v/>
      </c>
      <c r="D675" s="4" t="str">
        <f>IFERROR(__xludf.DUMMYFUNCTION("IF(OR(F674=""Finalizar"",F674="""",F674=""Selecciona..""),"""",IF(OR(F674=""-"",INDEX(filter(Familias!F:F,Familias!D:D=A674,Familias!E:E=C674),1)=""O""),D674+1,D674))"),"")</f>
        <v/>
      </c>
      <c r="E675" s="2" t="str">
        <f>IF(OR(F675="",F675="Selecciona.."),"",IF(D675="Implemento",SUMIF(Implementos!B:B,F675,Implementos!A:A),SUMIF(Productos!E:E,F675,Productos!A:A)))</f>
        <v/>
      </c>
      <c r="F675" s="2" t="str">
        <f t="shared" si="2"/>
        <v/>
      </c>
      <c r="G675" s="10" t="str">
        <f t="array" ref="G675">IF(OR(F675="",F675="-",F675="Selecciona..",F675="Finalizar"),"",IF(A675="Rodados",XLOOKUP(B675,'Validaciones Cotizador'!I:I,'Validaciones Cotizador'!J:J,0,0,1),1))</f>
        <v/>
      </c>
      <c r="H675" s="11" t="str">
        <f>IF(OR(F675="",F675="Selecciona.."),"",SUMIF(Precio_Productos!K:K,E675,Precio_Productos!J:J)*G675)</f>
        <v/>
      </c>
      <c r="I675" s="4" t="str">
        <f t="array" ref="I675">IF($E675="","", XLOOKUP(SUMIFS(Prod_Prop!$A:$A,Prod_Prop!$B:$B,$E675,Prod_Prop!$H:$H,I$1,Prod_Prop!$I:$I,"Exacto"),Prod_Prop!$A:$A,Prod_Prop!$J:$J,"",0,1))</f>
        <v/>
      </c>
      <c r="J675" s="4" t="str">
        <f t="array" ref="J675">IF($E675="","", XLOOKUP(SUMIFS(Prod_Prop!$A:$A,Prod_Prop!$B:$B,$E675,Prod_Prop!$H:$H,J$1,Prod_Prop!$I:$I,"Exacto"),Prod_Prop!$A:$A,Prod_Prop!$J:$J,"",0,1))</f>
        <v/>
      </c>
      <c r="K675" s="4" t="str">
        <f t="array" ref="K675">IF($E675="","", XLOOKUP(SUMIFS(Prod_Prop!$A:$A,Prod_Prop!$B:$B,$E675,Prod_Prop!$H:$H,K$1,Prod_Prop!$I:$I,"Exacto"),Prod_Prop!$A:$A,Prod_Prop!$J:$J,"",0,1))</f>
        <v/>
      </c>
      <c r="L675" s="4" t="str">
        <f t="array" ref="L675">IF($E675="","", XLOOKUP(SUMIFS(Prod_Prop!$A:$A,Prod_Prop!$B:$B,$E675,Prod_Prop!$H:$H,L$1,Prod_Prop!$I:$I,"Exacto"),Prod_Prop!$A:$A,Prod_Prop!$J:$J,"",0,1))</f>
        <v/>
      </c>
      <c r="M675" s="4" t="str">
        <f t="array" ref="M675">IF($E675="","", XLOOKUP(SUMIFS(Prod_Prop!$A:$A,Prod_Prop!$B:$B,$E675,Prod_Prop!$H:$H,M$1,Prod_Prop!$I:$I,"Exacto"),Prod_Prop!$A:$A,Prod_Prop!$J:$J,"",0,1))</f>
        <v/>
      </c>
      <c r="N675" s="4" t="str">
        <f t="array" ref="N675">IF($E675="","", XLOOKUP(SUMIFS(Prod_Prop!$A:$A,Prod_Prop!$B:$B,$E675,Prod_Prop!$H:$H,N$1,Prod_Prop!$I:$I,"Exacto"),Prod_Prop!$A:$A,Prod_Prop!$J:$J,"",0,1))</f>
        <v/>
      </c>
      <c r="O675" s="4" t="str">
        <f t="array" ref="O675">IF($E675="","", XLOOKUP(SUMIFS(Prod_Prop!$A:$A,Prod_Prop!$B:$B,$E675,Prod_Prop!$H:$H,O$1,Prod_Prop!$I:$I,"Exacto"),Prod_Prop!$A:$A,Prod_Prop!$J:$J,"",0,1))</f>
        <v/>
      </c>
      <c r="P675" s="4" t="str">
        <f t="array" ref="P675">IF($E675="","", XLOOKUP(SUMIFS(Prod_Prop!$A:$A,Prod_Prop!$B:$B,$E675,Prod_Prop!$H:$H,P$1,Prod_Prop!$I:$I,"Exacto"),Prod_Prop!$A:$A,Prod_Prop!$J:$J,"",0,1))</f>
        <v/>
      </c>
      <c r="Q675" s="4" t="str">
        <f t="array" ref="Q675">IF($E675="","", XLOOKUP(SUMIFS(Prod_Prop!$A:$A,Prod_Prop!$B:$B,$E675,Prod_Prop!$H:$H,Q$1,Prod_Prop!$I:$I,"Exacto"),Prod_Prop!$A:$A,Prod_Prop!$J:$J,"",0,1))</f>
        <v/>
      </c>
      <c r="R675" s="4" t="str">
        <f t="array" ref="R675">IF($E675="","", XLOOKUP(SUMIFS(Prod_Prop!$A:$A,Prod_Prop!$B:$B,$E675,Prod_Prop!$H:$H,R$1,Prod_Prop!$I:$I,"Exacto"),Prod_Prop!$A:$A,Prod_Prop!$J:$J,"",0,1))</f>
        <v/>
      </c>
      <c r="S675" s="4" t="str">
        <f t="array" ref="S675">IF($E675="","", XLOOKUP(SUMIFS(Prod_Prop!$A:$A,Prod_Prop!$B:$B,$E675,Prod_Prop!$H:$H,S$1,Prod_Prop!$I:$I,"Exacto"),Prod_Prop!$A:$A,Prod_Prop!$J:$J,"",0,1))</f>
        <v/>
      </c>
      <c r="T675" s="4" t="str">
        <f t="array" ref="T675">IF($E675="","", XLOOKUP(SUMIFS(Prod_Prop!$A:$A,Prod_Prop!$B:$B,$E675,Prod_Prop!$H:$H,T$1,Prod_Prop!$I:$I,"Exacto"),Prod_Prop!$A:$A,Prod_Prop!$J:$J,"",0,1))</f>
        <v/>
      </c>
      <c r="U675" s="4" t="str">
        <f t="array" ref="U675">IF($E675="","", XLOOKUP(SUMIFS(Prod_Prop!$A:$A,Prod_Prop!$B:$B,$E675,Prod_Prop!$H:$H,U$1,Prod_Prop!$I:$I,"Exacto"),Prod_Prop!$A:$A,Prod_Prop!$J:$J,"",0,1))</f>
        <v/>
      </c>
      <c r="V675" s="4" t="str">
        <f t="array" ref="V675">IF($E675="","", XLOOKUP(SUMIFS(Prod_Prop!$A:$A,Prod_Prop!$B:$B,$E675,Prod_Prop!$H:$H,V$1,Prod_Prop!$I:$I,"Exacto"),Prod_Prop!$A:$A,Prod_Prop!$J:$J,"",0,1))</f>
        <v/>
      </c>
      <c r="X675" s="3" t="str">
        <f>IFERROR(__xludf.DUMMYFUNCTION("IF(D675="""","""",IFERROR(TRANSPOSE(FILTER('Validaciones Cotizador'!U:U,'Validaciones Cotizador'!O:O=D675,'Validaciones Cotizador'!T:T=""x"")),""Finalizar""))"),"")</f>
        <v/>
      </c>
    </row>
    <row r="676">
      <c r="A676" s="2" t="str">
        <f t="array" ref="A676">IF(E676="","",XLOOKUP(D676,'Validaciones Cotizador'!C:C,'Validaciones Cotizador'!A:A,"",0,1))</f>
        <v/>
      </c>
      <c r="B676" s="2" t="str">
        <f t="array" ref="B676">IF(F676="","",XLOOKUP(F676,Productos!E:E,Productos!G:G,"",0,1))</f>
        <v/>
      </c>
      <c r="C676" s="2" t="str">
        <f>IF(A676="","",SUMIFS('Validaciones Cotizador'!B:B,'Validaciones Cotizador'!C:C,D676,'Validaciones Cotizador'!A:A,A676))</f>
        <v/>
      </c>
      <c r="D676" s="4" t="str">
        <f>IFERROR(__xludf.DUMMYFUNCTION("IF(OR(F675=""Finalizar"",F675="""",F675=""Selecciona..""),"""",IF(OR(F675=""-"",INDEX(filter(Familias!F:F,Familias!D:D=A675,Familias!E:E=C675),1)=""O""),D675+1,D675))"),"")</f>
        <v/>
      </c>
      <c r="E676" s="2" t="str">
        <f>IF(OR(F676="",F676="Selecciona.."),"",IF(D676="Implemento",SUMIF(Implementos!B:B,F676,Implementos!A:A),SUMIF(Productos!E:E,F676,Productos!A:A)))</f>
        <v/>
      </c>
      <c r="F676" s="2" t="str">
        <f t="shared" si="2"/>
        <v/>
      </c>
      <c r="G676" s="10" t="str">
        <f t="array" ref="G676">IF(OR(F676="",F676="-",F676="Selecciona..",F676="Finalizar"),"",IF(A676="Rodados",XLOOKUP(B676,'Validaciones Cotizador'!I:I,'Validaciones Cotizador'!J:J,0,0,1),1))</f>
        <v/>
      </c>
      <c r="H676" s="11" t="str">
        <f>IF(OR(F676="",F676="Selecciona.."),"",SUMIF(Precio_Productos!K:K,E676,Precio_Productos!J:J)*G676)</f>
        <v/>
      </c>
      <c r="I676" s="4" t="str">
        <f t="array" ref="I676">IF($E676="","", XLOOKUP(SUMIFS(Prod_Prop!$A:$A,Prod_Prop!$B:$B,$E676,Prod_Prop!$H:$H,I$1,Prod_Prop!$I:$I,"Exacto"),Prod_Prop!$A:$A,Prod_Prop!$J:$J,"",0,1))</f>
        <v/>
      </c>
      <c r="J676" s="4" t="str">
        <f t="array" ref="J676">IF($E676="","", XLOOKUP(SUMIFS(Prod_Prop!$A:$A,Prod_Prop!$B:$B,$E676,Prod_Prop!$H:$H,J$1,Prod_Prop!$I:$I,"Exacto"),Prod_Prop!$A:$A,Prod_Prop!$J:$J,"",0,1))</f>
        <v/>
      </c>
      <c r="K676" s="4" t="str">
        <f t="array" ref="K676">IF($E676="","", XLOOKUP(SUMIFS(Prod_Prop!$A:$A,Prod_Prop!$B:$B,$E676,Prod_Prop!$H:$H,K$1,Prod_Prop!$I:$I,"Exacto"),Prod_Prop!$A:$A,Prod_Prop!$J:$J,"",0,1))</f>
        <v/>
      </c>
      <c r="L676" s="4" t="str">
        <f t="array" ref="L676">IF($E676="","", XLOOKUP(SUMIFS(Prod_Prop!$A:$A,Prod_Prop!$B:$B,$E676,Prod_Prop!$H:$H,L$1,Prod_Prop!$I:$I,"Exacto"),Prod_Prop!$A:$A,Prod_Prop!$J:$J,"",0,1))</f>
        <v/>
      </c>
      <c r="M676" s="4" t="str">
        <f t="array" ref="M676">IF($E676="","", XLOOKUP(SUMIFS(Prod_Prop!$A:$A,Prod_Prop!$B:$B,$E676,Prod_Prop!$H:$H,M$1,Prod_Prop!$I:$I,"Exacto"),Prod_Prop!$A:$A,Prod_Prop!$J:$J,"",0,1))</f>
        <v/>
      </c>
      <c r="N676" s="4" t="str">
        <f t="array" ref="N676">IF($E676="","", XLOOKUP(SUMIFS(Prod_Prop!$A:$A,Prod_Prop!$B:$B,$E676,Prod_Prop!$H:$H,N$1,Prod_Prop!$I:$I,"Exacto"),Prod_Prop!$A:$A,Prod_Prop!$J:$J,"",0,1))</f>
        <v/>
      </c>
      <c r="O676" s="4" t="str">
        <f t="array" ref="O676">IF($E676="","", XLOOKUP(SUMIFS(Prod_Prop!$A:$A,Prod_Prop!$B:$B,$E676,Prod_Prop!$H:$H,O$1,Prod_Prop!$I:$I,"Exacto"),Prod_Prop!$A:$A,Prod_Prop!$J:$J,"",0,1))</f>
        <v/>
      </c>
      <c r="P676" s="4" t="str">
        <f t="array" ref="P676">IF($E676="","", XLOOKUP(SUMIFS(Prod_Prop!$A:$A,Prod_Prop!$B:$B,$E676,Prod_Prop!$H:$H,P$1,Prod_Prop!$I:$I,"Exacto"),Prod_Prop!$A:$A,Prod_Prop!$J:$J,"",0,1))</f>
        <v/>
      </c>
      <c r="Q676" s="4" t="str">
        <f t="array" ref="Q676">IF($E676="","", XLOOKUP(SUMIFS(Prod_Prop!$A:$A,Prod_Prop!$B:$B,$E676,Prod_Prop!$H:$H,Q$1,Prod_Prop!$I:$I,"Exacto"),Prod_Prop!$A:$A,Prod_Prop!$J:$J,"",0,1))</f>
        <v/>
      </c>
      <c r="R676" s="4" t="str">
        <f t="array" ref="R676">IF($E676="","", XLOOKUP(SUMIFS(Prod_Prop!$A:$A,Prod_Prop!$B:$B,$E676,Prod_Prop!$H:$H,R$1,Prod_Prop!$I:$I,"Exacto"),Prod_Prop!$A:$A,Prod_Prop!$J:$J,"",0,1))</f>
        <v/>
      </c>
      <c r="S676" s="4" t="str">
        <f t="array" ref="S676">IF($E676="","", XLOOKUP(SUMIFS(Prod_Prop!$A:$A,Prod_Prop!$B:$B,$E676,Prod_Prop!$H:$H,S$1,Prod_Prop!$I:$I,"Exacto"),Prod_Prop!$A:$A,Prod_Prop!$J:$J,"",0,1))</f>
        <v/>
      </c>
      <c r="T676" s="4" t="str">
        <f t="array" ref="T676">IF($E676="","", XLOOKUP(SUMIFS(Prod_Prop!$A:$A,Prod_Prop!$B:$B,$E676,Prod_Prop!$H:$H,T$1,Prod_Prop!$I:$I,"Exacto"),Prod_Prop!$A:$A,Prod_Prop!$J:$J,"",0,1))</f>
        <v/>
      </c>
      <c r="U676" s="4" t="str">
        <f t="array" ref="U676">IF($E676="","", XLOOKUP(SUMIFS(Prod_Prop!$A:$A,Prod_Prop!$B:$B,$E676,Prod_Prop!$H:$H,U$1,Prod_Prop!$I:$I,"Exacto"),Prod_Prop!$A:$A,Prod_Prop!$J:$J,"",0,1))</f>
        <v/>
      </c>
      <c r="V676" s="4" t="str">
        <f t="array" ref="V676">IF($E676="","", XLOOKUP(SUMIFS(Prod_Prop!$A:$A,Prod_Prop!$B:$B,$E676,Prod_Prop!$H:$H,V$1,Prod_Prop!$I:$I,"Exacto"),Prod_Prop!$A:$A,Prod_Prop!$J:$J,"",0,1))</f>
        <v/>
      </c>
      <c r="X676" s="3" t="str">
        <f>IFERROR(__xludf.DUMMYFUNCTION("IF(D676="""","""",IFERROR(TRANSPOSE(FILTER('Validaciones Cotizador'!U:U,'Validaciones Cotizador'!O:O=D676,'Validaciones Cotizador'!T:T=""x"")),""Finalizar""))"),"")</f>
        <v/>
      </c>
    </row>
    <row r="677">
      <c r="A677" s="2" t="str">
        <f t="array" ref="A677">IF(E677="","",XLOOKUP(D677,'Validaciones Cotizador'!C:C,'Validaciones Cotizador'!A:A,"",0,1))</f>
        <v/>
      </c>
      <c r="B677" s="2" t="str">
        <f t="array" ref="B677">IF(F677="","",XLOOKUP(F677,Productos!E:E,Productos!G:G,"",0,1))</f>
        <v/>
      </c>
      <c r="C677" s="2" t="str">
        <f>IF(A677="","",SUMIFS('Validaciones Cotizador'!B:B,'Validaciones Cotizador'!C:C,D677,'Validaciones Cotizador'!A:A,A677))</f>
        <v/>
      </c>
      <c r="D677" s="4" t="str">
        <f>IFERROR(__xludf.DUMMYFUNCTION("IF(OR(F676=""Finalizar"",F676="""",F676=""Selecciona..""),"""",IF(OR(F676=""-"",INDEX(filter(Familias!F:F,Familias!D:D=A676,Familias!E:E=C676),1)=""O""),D676+1,D676))"),"")</f>
        <v/>
      </c>
      <c r="E677" s="2" t="str">
        <f>IF(OR(F677="",F677="Selecciona.."),"",IF(D677="Implemento",SUMIF(Implementos!B:B,F677,Implementos!A:A),SUMIF(Productos!E:E,F677,Productos!A:A)))</f>
        <v/>
      </c>
      <c r="F677" s="2" t="str">
        <f t="shared" si="2"/>
        <v/>
      </c>
      <c r="G677" s="10" t="str">
        <f t="array" ref="G677">IF(OR(F677="",F677="-",F677="Selecciona..",F677="Finalizar"),"",IF(A677="Rodados",XLOOKUP(B677,'Validaciones Cotizador'!I:I,'Validaciones Cotizador'!J:J,0,0,1),1))</f>
        <v/>
      </c>
      <c r="H677" s="11" t="str">
        <f>IF(OR(F677="",F677="Selecciona.."),"",SUMIF(Precio_Productos!K:K,E677,Precio_Productos!J:J)*G677)</f>
        <v/>
      </c>
      <c r="I677" s="4" t="str">
        <f t="array" ref="I677">IF($E677="","", XLOOKUP(SUMIFS(Prod_Prop!$A:$A,Prod_Prop!$B:$B,$E677,Prod_Prop!$H:$H,I$1,Prod_Prop!$I:$I,"Exacto"),Prod_Prop!$A:$A,Prod_Prop!$J:$J,"",0,1))</f>
        <v/>
      </c>
      <c r="J677" s="4" t="str">
        <f t="array" ref="J677">IF($E677="","", XLOOKUP(SUMIFS(Prod_Prop!$A:$A,Prod_Prop!$B:$B,$E677,Prod_Prop!$H:$H,J$1,Prod_Prop!$I:$I,"Exacto"),Prod_Prop!$A:$A,Prod_Prop!$J:$J,"",0,1))</f>
        <v/>
      </c>
      <c r="K677" s="4" t="str">
        <f t="array" ref="K677">IF($E677="","", XLOOKUP(SUMIFS(Prod_Prop!$A:$A,Prod_Prop!$B:$B,$E677,Prod_Prop!$H:$H,K$1,Prod_Prop!$I:$I,"Exacto"),Prod_Prop!$A:$A,Prod_Prop!$J:$J,"",0,1))</f>
        <v/>
      </c>
      <c r="L677" s="4" t="str">
        <f t="array" ref="L677">IF($E677="","", XLOOKUP(SUMIFS(Prod_Prop!$A:$A,Prod_Prop!$B:$B,$E677,Prod_Prop!$H:$H,L$1,Prod_Prop!$I:$I,"Exacto"),Prod_Prop!$A:$A,Prod_Prop!$J:$J,"",0,1))</f>
        <v/>
      </c>
      <c r="M677" s="4" t="str">
        <f t="array" ref="M677">IF($E677="","", XLOOKUP(SUMIFS(Prod_Prop!$A:$A,Prod_Prop!$B:$B,$E677,Prod_Prop!$H:$H,M$1,Prod_Prop!$I:$I,"Exacto"),Prod_Prop!$A:$A,Prod_Prop!$J:$J,"",0,1))</f>
        <v/>
      </c>
      <c r="N677" s="4" t="str">
        <f t="array" ref="N677">IF($E677="","", XLOOKUP(SUMIFS(Prod_Prop!$A:$A,Prod_Prop!$B:$B,$E677,Prod_Prop!$H:$H,N$1,Prod_Prop!$I:$I,"Exacto"),Prod_Prop!$A:$A,Prod_Prop!$J:$J,"",0,1))</f>
        <v/>
      </c>
      <c r="O677" s="4" t="str">
        <f t="array" ref="O677">IF($E677="","", XLOOKUP(SUMIFS(Prod_Prop!$A:$A,Prod_Prop!$B:$B,$E677,Prod_Prop!$H:$H,O$1,Prod_Prop!$I:$I,"Exacto"),Prod_Prop!$A:$A,Prod_Prop!$J:$J,"",0,1))</f>
        <v/>
      </c>
      <c r="P677" s="4" t="str">
        <f t="array" ref="P677">IF($E677="","", XLOOKUP(SUMIFS(Prod_Prop!$A:$A,Prod_Prop!$B:$B,$E677,Prod_Prop!$H:$H,P$1,Prod_Prop!$I:$I,"Exacto"),Prod_Prop!$A:$A,Prod_Prop!$J:$J,"",0,1))</f>
        <v/>
      </c>
      <c r="Q677" s="4" t="str">
        <f t="array" ref="Q677">IF($E677="","", XLOOKUP(SUMIFS(Prod_Prop!$A:$A,Prod_Prop!$B:$B,$E677,Prod_Prop!$H:$H,Q$1,Prod_Prop!$I:$I,"Exacto"),Prod_Prop!$A:$A,Prod_Prop!$J:$J,"",0,1))</f>
        <v/>
      </c>
      <c r="R677" s="4" t="str">
        <f t="array" ref="R677">IF($E677="","", XLOOKUP(SUMIFS(Prod_Prop!$A:$A,Prod_Prop!$B:$B,$E677,Prod_Prop!$H:$H,R$1,Prod_Prop!$I:$I,"Exacto"),Prod_Prop!$A:$A,Prod_Prop!$J:$J,"",0,1))</f>
        <v/>
      </c>
      <c r="S677" s="4" t="str">
        <f t="array" ref="S677">IF($E677="","", XLOOKUP(SUMIFS(Prod_Prop!$A:$A,Prod_Prop!$B:$B,$E677,Prod_Prop!$H:$H,S$1,Prod_Prop!$I:$I,"Exacto"),Prod_Prop!$A:$A,Prod_Prop!$J:$J,"",0,1))</f>
        <v/>
      </c>
      <c r="T677" s="4" t="str">
        <f t="array" ref="T677">IF($E677="","", XLOOKUP(SUMIFS(Prod_Prop!$A:$A,Prod_Prop!$B:$B,$E677,Prod_Prop!$H:$H,T$1,Prod_Prop!$I:$I,"Exacto"),Prod_Prop!$A:$A,Prod_Prop!$J:$J,"",0,1))</f>
        <v/>
      </c>
      <c r="U677" s="4" t="str">
        <f t="array" ref="U677">IF($E677="","", XLOOKUP(SUMIFS(Prod_Prop!$A:$A,Prod_Prop!$B:$B,$E677,Prod_Prop!$H:$H,U$1,Prod_Prop!$I:$I,"Exacto"),Prod_Prop!$A:$A,Prod_Prop!$J:$J,"",0,1))</f>
        <v/>
      </c>
      <c r="V677" s="4" t="str">
        <f t="array" ref="V677">IF($E677="","", XLOOKUP(SUMIFS(Prod_Prop!$A:$A,Prod_Prop!$B:$B,$E677,Prod_Prop!$H:$H,V$1,Prod_Prop!$I:$I,"Exacto"),Prod_Prop!$A:$A,Prod_Prop!$J:$J,"",0,1))</f>
        <v/>
      </c>
      <c r="X677" s="3" t="str">
        <f>IFERROR(__xludf.DUMMYFUNCTION("IF(D677="""","""",IFERROR(TRANSPOSE(FILTER('Validaciones Cotizador'!U:U,'Validaciones Cotizador'!O:O=D677,'Validaciones Cotizador'!T:T=""x"")),""Finalizar""))"),"")</f>
        <v/>
      </c>
    </row>
    <row r="678">
      <c r="A678" s="2" t="str">
        <f t="array" ref="A678">IF(E678="","",XLOOKUP(D678,'Validaciones Cotizador'!C:C,'Validaciones Cotizador'!A:A,"",0,1))</f>
        <v/>
      </c>
      <c r="B678" s="2" t="str">
        <f t="array" ref="B678">IF(F678="","",XLOOKUP(F678,Productos!E:E,Productos!G:G,"",0,1))</f>
        <v/>
      </c>
      <c r="C678" s="2" t="str">
        <f>IF(A678="","",SUMIFS('Validaciones Cotizador'!B:B,'Validaciones Cotizador'!C:C,D678,'Validaciones Cotizador'!A:A,A678))</f>
        <v/>
      </c>
      <c r="D678" s="4" t="str">
        <f>IFERROR(__xludf.DUMMYFUNCTION("IF(OR(F677=""Finalizar"",F677="""",F677=""Selecciona..""),"""",IF(OR(F677=""-"",INDEX(filter(Familias!F:F,Familias!D:D=A677,Familias!E:E=C677),1)=""O""),D677+1,D677))"),"")</f>
        <v/>
      </c>
      <c r="E678" s="2" t="str">
        <f>IF(OR(F678="",F678="Selecciona.."),"",IF(D678="Implemento",SUMIF(Implementos!B:B,F678,Implementos!A:A),SUMIF(Productos!E:E,F678,Productos!A:A)))</f>
        <v/>
      </c>
      <c r="F678" s="2" t="str">
        <f t="shared" si="2"/>
        <v/>
      </c>
      <c r="G678" s="10" t="str">
        <f t="array" ref="G678">IF(OR(F678="",F678="-",F678="Selecciona..",F678="Finalizar"),"",IF(A678="Rodados",XLOOKUP(B678,'Validaciones Cotizador'!I:I,'Validaciones Cotizador'!J:J,0,0,1),1))</f>
        <v/>
      </c>
      <c r="H678" s="11" t="str">
        <f>IF(OR(F678="",F678="Selecciona.."),"",SUMIF(Precio_Productos!K:K,E678,Precio_Productos!J:J)*G678)</f>
        <v/>
      </c>
      <c r="I678" s="4" t="str">
        <f t="array" ref="I678">IF($E678="","", XLOOKUP(SUMIFS(Prod_Prop!$A:$A,Prod_Prop!$B:$B,$E678,Prod_Prop!$H:$H,I$1,Prod_Prop!$I:$I,"Exacto"),Prod_Prop!$A:$A,Prod_Prop!$J:$J,"",0,1))</f>
        <v/>
      </c>
      <c r="J678" s="4" t="str">
        <f t="array" ref="J678">IF($E678="","", XLOOKUP(SUMIFS(Prod_Prop!$A:$A,Prod_Prop!$B:$B,$E678,Prod_Prop!$H:$H,J$1,Prod_Prop!$I:$I,"Exacto"),Prod_Prop!$A:$A,Prod_Prop!$J:$J,"",0,1))</f>
        <v/>
      </c>
      <c r="K678" s="4" t="str">
        <f t="array" ref="K678">IF($E678="","", XLOOKUP(SUMIFS(Prod_Prop!$A:$A,Prod_Prop!$B:$B,$E678,Prod_Prop!$H:$H,K$1,Prod_Prop!$I:$I,"Exacto"),Prod_Prop!$A:$A,Prod_Prop!$J:$J,"",0,1))</f>
        <v/>
      </c>
      <c r="L678" s="4" t="str">
        <f t="array" ref="L678">IF($E678="","", XLOOKUP(SUMIFS(Prod_Prop!$A:$A,Prod_Prop!$B:$B,$E678,Prod_Prop!$H:$H,L$1,Prod_Prop!$I:$I,"Exacto"),Prod_Prop!$A:$A,Prod_Prop!$J:$J,"",0,1))</f>
        <v/>
      </c>
      <c r="M678" s="4" t="str">
        <f t="array" ref="M678">IF($E678="","", XLOOKUP(SUMIFS(Prod_Prop!$A:$A,Prod_Prop!$B:$B,$E678,Prod_Prop!$H:$H,M$1,Prod_Prop!$I:$I,"Exacto"),Prod_Prop!$A:$A,Prod_Prop!$J:$J,"",0,1))</f>
        <v/>
      </c>
      <c r="N678" s="4" t="str">
        <f t="array" ref="N678">IF($E678="","", XLOOKUP(SUMIFS(Prod_Prop!$A:$A,Prod_Prop!$B:$B,$E678,Prod_Prop!$H:$H,N$1,Prod_Prop!$I:$I,"Exacto"),Prod_Prop!$A:$A,Prod_Prop!$J:$J,"",0,1))</f>
        <v/>
      </c>
      <c r="O678" s="4" t="str">
        <f t="array" ref="O678">IF($E678="","", XLOOKUP(SUMIFS(Prod_Prop!$A:$A,Prod_Prop!$B:$B,$E678,Prod_Prop!$H:$H,O$1,Prod_Prop!$I:$I,"Exacto"),Prod_Prop!$A:$A,Prod_Prop!$J:$J,"",0,1))</f>
        <v/>
      </c>
      <c r="P678" s="4" t="str">
        <f t="array" ref="P678">IF($E678="","", XLOOKUP(SUMIFS(Prod_Prop!$A:$A,Prod_Prop!$B:$B,$E678,Prod_Prop!$H:$H,P$1,Prod_Prop!$I:$I,"Exacto"),Prod_Prop!$A:$A,Prod_Prop!$J:$J,"",0,1))</f>
        <v/>
      </c>
      <c r="Q678" s="4" t="str">
        <f t="array" ref="Q678">IF($E678="","", XLOOKUP(SUMIFS(Prod_Prop!$A:$A,Prod_Prop!$B:$B,$E678,Prod_Prop!$H:$H,Q$1,Prod_Prop!$I:$I,"Exacto"),Prod_Prop!$A:$A,Prod_Prop!$J:$J,"",0,1))</f>
        <v/>
      </c>
      <c r="R678" s="4" t="str">
        <f t="array" ref="R678">IF($E678="","", XLOOKUP(SUMIFS(Prod_Prop!$A:$A,Prod_Prop!$B:$B,$E678,Prod_Prop!$H:$H,R$1,Prod_Prop!$I:$I,"Exacto"),Prod_Prop!$A:$A,Prod_Prop!$J:$J,"",0,1))</f>
        <v/>
      </c>
      <c r="S678" s="4" t="str">
        <f t="array" ref="S678">IF($E678="","", XLOOKUP(SUMIFS(Prod_Prop!$A:$A,Prod_Prop!$B:$B,$E678,Prod_Prop!$H:$H,S$1,Prod_Prop!$I:$I,"Exacto"),Prod_Prop!$A:$A,Prod_Prop!$J:$J,"",0,1))</f>
        <v/>
      </c>
      <c r="T678" s="4" t="str">
        <f t="array" ref="T678">IF($E678="","", XLOOKUP(SUMIFS(Prod_Prop!$A:$A,Prod_Prop!$B:$B,$E678,Prod_Prop!$H:$H,T$1,Prod_Prop!$I:$I,"Exacto"),Prod_Prop!$A:$A,Prod_Prop!$J:$J,"",0,1))</f>
        <v/>
      </c>
      <c r="U678" s="4" t="str">
        <f t="array" ref="U678">IF($E678="","", XLOOKUP(SUMIFS(Prod_Prop!$A:$A,Prod_Prop!$B:$B,$E678,Prod_Prop!$H:$H,U$1,Prod_Prop!$I:$I,"Exacto"),Prod_Prop!$A:$A,Prod_Prop!$J:$J,"",0,1))</f>
        <v/>
      </c>
      <c r="V678" s="4" t="str">
        <f t="array" ref="V678">IF($E678="","", XLOOKUP(SUMIFS(Prod_Prop!$A:$A,Prod_Prop!$B:$B,$E678,Prod_Prop!$H:$H,V$1,Prod_Prop!$I:$I,"Exacto"),Prod_Prop!$A:$A,Prod_Prop!$J:$J,"",0,1))</f>
        <v/>
      </c>
      <c r="X678" s="3" t="str">
        <f>IFERROR(__xludf.DUMMYFUNCTION("IF(D678="""","""",IFERROR(TRANSPOSE(FILTER('Validaciones Cotizador'!U:U,'Validaciones Cotizador'!O:O=D678,'Validaciones Cotizador'!T:T=""x"")),""Finalizar""))"),"")</f>
        <v/>
      </c>
    </row>
    <row r="679">
      <c r="A679" s="2" t="str">
        <f t="array" ref="A679">IF(E679="","",XLOOKUP(D679,'Validaciones Cotizador'!C:C,'Validaciones Cotizador'!A:A,"",0,1))</f>
        <v/>
      </c>
      <c r="B679" s="2" t="str">
        <f t="array" ref="B679">IF(F679="","",XLOOKUP(F679,Productos!E:E,Productos!G:G,"",0,1))</f>
        <v/>
      </c>
      <c r="C679" s="2" t="str">
        <f>IF(A679="","",SUMIFS('Validaciones Cotizador'!B:B,'Validaciones Cotizador'!C:C,D679,'Validaciones Cotizador'!A:A,A679))</f>
        <v/>
      </c>
      <c r="D679" s="4" t="str">
        <f>IFERROR(__xludf.DUMMYFUNCTION("IF(OR(F678=""Finalizar"",F678="""",F678=""Selecciona..""),"""",IF(OR(F678=""-"",INDEX(filter(Familias!F:F,Familias!D:D=A678,Familias!E:E=C678),1)=""O""),D678+1,D678))"),"")</f>
        <v/>
      </c>
      <c r="E679" s="2" t="str">
        <f>IF(OR(F679="",F679="Selecciona.."),"",IF(D679="Implemento",SUMIF(Implementos!B:B,F679,Implementos!A:A),SUMIF(Productos!E:E,F679,Productos!A:A)))</f>
        <v/>
      </c>
      <c r="F679" s="2" t="str">
        <f t="shared" si="2"/>
        <v/>
      </c>
      <c r="G679" s="10" t="str">
        <f t="array" ref="G679">IF(OR(F679="",F679="-",F679="Selecciona..",F679="Finalizar"),"",IF(A679="Rodados",XLOOKUP(B679,'Validaciones Cotizador'!I:I,'Validaciones Cotizador'!J:J,0,0,1),1))</f>
        <v/>
      </c>
      <c r="H679" s="11" t="str">
        <f>IF(OR(F679="",F679="Selecciona.."),"",SUMIF(Precio_Productos!K:K,E679,Precio_Productos!J:J)*G679)</f>
        <v/>
      </c>
      <c r="I679" s="4" t="str">
        <f t="array" ref="I679">IF($E679="","", XLOOKUP(SUMIFS(Prod_Prop!$A:$A,Prod_Prop!$B:$B,$E679,Prod_Prop!$H:$H,I$1,Prod_Prop!$I:$I,"Exacto"),Prod_Prop!$A:$A,Prod_Prop!$J:$J,"",0,1))</f>
        <v/>
      </c>
      <c r="J679" s="4" t="str">
        <f t="array" ref="J679">IF($E679="","", XLOOKUP(SUMIFS(Prod_Prop!$A:$A,Prod_Prop!$B:$B,$E679,Prod_Prop!$H:$H,J$1,Prod_Prop!$I:$I,"Exacto"),Prod_Prop!$A:$A,Prod_Prop!$J:$J,"",0,1))</f>
        <v/>
      </c>
      <c r="K679" s="4" t="str">
        <f t="array" ref="K679">IF($E679="","", XLOOKUP(SUMIFS(Prod_Prop!$A:$A,Prod_Prop!$B:$B,$E679,Prod_Prop!$H:$H,K$1,Prod_Prop!$I:$I,"Exacto"),Prod_Prop!$A:$A,Prod_Prop!$J:$J,"",0,1))</f>
        <v/>
      </c>
      <c r="L679" s="4" t="str">
        <f t="array" ref="L679">IF($E679="","", XLOOKUP(SUMIFS(Prod_Prop!$A:$A,Prod_Prop!$B:$B,$E679,Prod_Prop!$H:$H,L$1,Prod_Prop!$I:$I,"Exacto"),Prod_Prop!$A:$A,Prod_Prop!$J:$J,"",0,1))</f>
        <v/>
      </c>
      <c r="M679" s="4" t="str">
        <f t="array" ref="M679">IF($E679="","", XLOOKUP(SUMIFS(Prod_Prop!$A:$A,Prod_Prop!$B:$B,$E679,Prod_Prop!$H:$H,M$1,Prod_Prop!$I:$I,"Exacto"),Prod_Prop!$A:$A,Prod_Prop!$J:$J,"",0,1))</f>
        <v/>
      </c>
      <c r="N679" s="4" t="str">
        <f t="array" ref="N679">IF($E679="","", XLOOKUP(SUMIFS(Prod_Prop!$A:$A,Prod_Prop!$B:$B,$E679,Prod_Prop!$H:$H,N$1,Prod_Prop!$I:$I,"Exacto"),Prod_Prop!$A:$A,Prod_Prop!$J:$J,"",0,1))</f>
        <v/>
      </c>
      <c r="O679" s="4" t="str">
        <f t="array" ref="O679">IF($E679="","", XLOOKUP(SUMIFS(Prod_Prop!$A:$A,Prod_Prop!$B:$B,$E679,Prod_Prop!$H:$H,O$1,Prod_Prop!$I:$I,"Exacto"),Prod_Prop!$A:$A,Prod_Prop!$J:$J,"",0,1))</f>
        <v/>
      </c>
      <c r="P679" s="4" t="str">
        <f t="array" ref="P679">IF($E679="","", XLOOKUP(SUMIFS(Prod_Prop!$A:$A,Prod_Prop!$B:$B,$E679,Prod_Prop!$H:$H,P$1,Prod_Prop!$I:$I,"Exacto"),Prod_Prop!$A:$A,Prod_Prop!$J:$J,"",0,1))</f>
        <v/>
      </c>
      <c r="Q679" s="4" t="str">
        <f t="array" ref="Q679">IF($E679="","", XLOOKUP(SUMIFS(Prod_Prop!$A:$A,Prod_Prop!$B:$B,$E679,Prod_Prop!$H:$H,Q$1,Prod_Prop!$I:$I,"Exacto"),Prod_Prop!$A:$A,Prod_Prop!$J:$J,"",0,1))</f>
        <v/>
      </c>
      <c r="R679" s="4" t="str">
        <f t="array" ref="R679">IF($E679="","", XLOOKUP(SUMIFS(Prod_Prop!$A:$A,Prod_Prop!$B:$B,$E679,Prod_Prop!$H:$H,R$1,Prod_Prop!$I:$I,"Exacto"),Prod_Prop!$A:$A,Prod_Prop!$J:$J,"",0,1))</f>
        <v/>
      </c>
      <c r="S679" s="4" t="str">
        <f t="array" ref="S679">IF($E679="","", XLOOKUP(SUMIFS(Prod_Prop!$A:$A,Prod_Prop!$B:$B,$E679,Prod_Prop!$H:$H,S$1,Prod_Prop!$I:$I,"Exacto"),Prod_Prop!$A:$A,Prod_Prop!$J:$J,"",0,1))</f>
        <v/>
      </c>
      <c r="T679" s="4" t="str">
        <f t="array" ref="T679">IF($E679="","", XLOOKUP(SUMIFS(Prod_Prop!$A:$A,Prod_Prop!$B:$B,$E679,Prod_Prop!$H:$H,T$1,Prod_Prop!$I:$I,"Exacto"),Prod_Prop!$A:$A,Prod_Prop!$J:$J,"",0,1))</f>
        <v/>
      </c>
      <c r="U679" s="4" t="str">
        <f t="array" ref="U679">IF($E679="","", XLOOKUP(SUMIFS(Prod_Prop!$A:$A,Prod_Prop!$B:$B,$E679,Prod_Prop!$H:$H,U$1,Prod_Prop!$I:$I,"Exacto"),Prod_Prop!$A:$A,Prod_Prop!$J:$J,"",0,1))</f>
        <v/>
      </c>
      <c r="V679" s="4" t="str">
        <f t="array" ref="V679">IF($E679="","", XLOOKUP(SUMIFS(Prod_Prop!$A:$A,Prod_Prop!$B:$B,$E679,Prod_Prop!$H:$H,V$1,Prod_Prop!$I:$I,"Exacto"),Prod_Prop!$A:$A,Prod_Prop!$J:$J,"",0,1))</f>
        <v/>
      </c>
      <c r="X679" s="3" t="str">
        <f>IFERROR(__xludf.DUMMYFUNCTION("IF(D679="""","""",IFERROR(TRANSPOSE(FILTER('Validaciones Cotizador'!U:U,'Validaciones Cotizador'!O:O=D679,'Validaciones Cotizador'!T:T=""x"")),""Finalizar""))"),"")</f>
        <v/>
      </c>
    </row>
    <row r="680">
      <c r="A680" s="2" t="str">
        <f t="array" ref="A680">IF(E680="","",XLOOKUP(D680,'Validaciones Cotizador'!C:C,'Validaciones Cotizador'!A:A,"",0,1))</f>
        <v/>
      </c>
      <c r="B680" s="2" t="str">
        <f t="array" ref="B680">IF(F680="","",XLOOKUP(F680,Productos!E:E,Productos!G:G,"",0,1))</f>
        <v/>
      </c>
      <c r="C680" s="2" t="str">
        <f>IF(A680="","",SUMIFS('Validaciones Cotizador'!B:B,'Validaciones Cotizador'!C:C,D680,'Validaciones Cotizador'!A:A,A680))</f>
        <v/>
      </c>
      <c r="D680" s="4" t="str">
        <f>IFERROR(__xludf.DUMMYFUNCTION("IF(OR(F679=""Finalizar"",F679="""",F679=""Selecciona..""),"""",IF(OR(F679=""-"",INDEX(filter(Familias!F:F,Familias!D:D=A679,Familias!E:E=C679),1)=""O""),D679+1,D679))"),"")</f>
        <v/>
      </c>
      <c r="E680" s="2" t="str">
        <f>IF(OR(F680="",F680="Selecciona.."),"",IF(D680="Implemento",SUMIF(Implementos!B:B,F680,Implementos!A:A),SUMIF(Productos!E:E,F680,Productos!A:A)))</f>
        <v/>
      </c>
      <c r="F680" s="2" t="str">
        <f t="shared" si="2"/>
        <v/>
      </c>
      <c r="G680" s="10" t="str">
        <f t="array" ref="G680">IF(OR(F680="",F680="-",F680="Selecciona..",F680="Finalizar"),"",IF(A680="Rodados",XLOOKUP(B680,'Validaciones Cotizador'!I:I,'Validaciones Cotizador'!J:J,0,0,1),1))</f>
        <v/>
      </c>
      <c r="H680" s="11" t="str">
        <f>IF(OR(F680="",F680="Selecciona.."),"",SUMIF(Precio_Productos!K:K,E680,Precio_Productos!J:J)*G680)</f>
        <v/>
      </c>
      <c r="I680" s="4" t="str">
        <f t="array" ref="I680">IF($E680="","", XLOOKUP(SUMIFS(Prod_Prop!$A:$A,Prod_Prop!$B:$B,$E680,Prod_Prop!$H:$H,I$1,Prod_Prop!$I:$I,"Exacto"),Prod_Prop!$A:$A,Prod_Prop!$J:$J,"",0,1))</f>
        <v/>
      </c>
      <c r="J680" s="4" t="str">
        <f t="array" ref="J680">IF($E680="","", XLOOKUP(SUMIFS(Prod_Prop!$A:$A,Prod_Prop!$B:$B,$E680,Prod_Prop!$H:$H,J$1,Prod_Prop!$I:$I,"Exacto"),Prod_Prop!$A:$A,Prod_Prop!$J:$J,"",0,1))</f>
        <v/>
      </c>
      <c r="K680" s="4" t="str">
        <f t="array" ref="K680">IF($E680="","", XLOOKUP(SUMIFS(Prod_Prop!$A:$A,Prod_Prop!$B:$B,$E680,Prod_Prop!$H:$H,K$1,Prod_Prop!$I:$I,"Exacto"),Prod_Prop!$A:$A,Prod_Prop!$J:$J,"",0,1))</f>
        <v/>
      </c>
      <c r="L680" s="4" t="str">
        <f t="array" ref="L680">IF($E680="","", XLOOKUP(SUMIFS(Prod_Prop!$A:$A,Prod_Prop!$B:$B,$E680,Prod_Prop!$H:$H,L$1,Prod_Prop!$I:$I,"Exacto"),Prod_Prop!$A:$A,Prod_Prop!$J:$J,"",0,1))</f>
        <v/>
      </c>
      <c r="M680" s="4" t="str">
        <f t="array" ref="M680">IF($E680="","", XLOOKUP(SUMIFS(Prod_Prop!$A:$A,Prod_Prop!$B:$B,$E680,Prod_Prop!$H:$H,M$1,Prod_Prop!$I:$I,"Exacto"),Prod_Prop!$A:$A,Prod_Prop!$J:$J,"",0,1))</f>
        <v/>
      </c>
      <c r="N680" s="4" t="str">
        <f t="array" ref="N680">IF($E680="","", XLOOKUP(SUMIFS(Prod_Prop!$A:$A,Prod_Prop!$B:$B,$E680,Prod_Prop!$H:$H,N$1,Prod_Prop!$I:$I,"Exacto"),Prod_Prop!$A:$A,Prod_Prop!$J:$J,"",0,1))</f>
        <v/>
      </c>
      <c r="O680" s="4" t="str">
        <f t="array" ref="O680">IF($E680="","", XLOOKUP(SUMIFS(Prod_Prop!$A:$A,Prod_Prop!$B:$B,$E680,Prod_Prop!$H:$H,O$1,Prod_Prop!$I:$I,"Exacto"),Prod_Prop!$A:$A,Prod_Prop!$J:$J,"",0,1))</f>
        <v/>
      </c>
      <c r="P680" s="4" t="str">
        <f t="array" ref="P680">IF($E680="","", XLOOKUP(SUMIFS(Prod_Prop!$A:$A,Prod_Prop!$B:$B,$E680,Prod_Prop!$H:$H,P$1,Prod_Prop!$I:$I,"Exacto"),Prod_Prop!$A:$A,Prod_Prop!$J:$J,"",0,1))</f>
        <v/>
      </c>
      <c r="Q680" s="4" t="str">
        <f t="array" ref="Q680">IF($E680="","", XLOOKUP(SUMIFS(Prod_Prop!$A:$A,Prod_Prop!$B:$B,$E680,Prod_Prop!$H:$H,Q$1,Prod_Prop!$I:$I,"Exacto"),Prod_Prop!$A:$A,Prod_Prop!$J:$J,"",0,1))</f>
        <v/>
      </c>
      <c r="R680" s="4" t="str">
        <f t="array" ref="R680">IF($E680="","", XLOOKUP(SUMIFS(Prod_Prop!$A:$A,Prod_Prop!$B:$B,$E680,Prod_Prop!$H:$H,R$1,Prod_Prop!$I:$I,"Exacto"),Prod_Prop!$A:$A,Prod_Prop!$J:$J,"",0,1))</f>
        <v/>
      </c>
      <c r="S680" s="4" t="str">
        <f t="array" ref="S680">IF($E680="","", XLOOKUP(SUMIFS(Prod_Prop!$A:$A,Prod_Prop!$B:$B,$E680,Prod_Prop!$H:$H,S$1,Prod_Prop!$I:$I,"Exacto"),Prod_Prop!$A:$A,Prod_Prop!$J:$J,"",0,1))</f>
        <v/>
      </c>
      <c r="T680" s="4" t="str">
        <f t="array" ref="T680">IF($E680="","", XLOOKUP(SUMIFS(Prod_Prop!$A:$A,Prod_Prop!$B:$B,$E680,Prod_Prop!$H:$H,T$1,Prod_Prop!$I:$I,"Exacto"),Prod_Prop!$A:$A,Prod_Prop!$J:$J,"",0,1))</f>
        <v/>
      </c>
      <c r="U680" s="4" t="str">
        <f t="array" ref="U680">IF($E680="","", XLOOKUP(SUMIFS(Prod_Prop!$A:$A,Prod_Prop!$B:$B,$E680,Prod_Prop!$H:$H,U$1,Prod_Prop!$I:$I,"Exacto"),Prod_Prop!$A:$A,Prod_Prop!$J:$J,"",0,1))</f>
        <v/>
      </c>
      <c r="V680" s="4" t="str">
        <f t="array" ref="V680">IF($E680="","", XLOOKUP(SUMIFS(Prod_Prop!$A:$A,Prod_Prop!$B:$B,$E680,Prod_Prop!$H:$H,V$1,Prod_Prop!$I:$I,"Exacto"),Prod_Prop!$A:$A,Prod_Prop!$J:$J,"",0,1))</f>
        <v/>
      </c>
      <c r="X680" s="3" t="str">
        <f>IFERROR(__xludf.DUMMYFUNCTION("IF(D680="""","""",IFERROR(TRANSPOSE(FILTER('Validaciones Cotizador'!U:U,'Validaciones Cotizador'!O:O=D680,'Validaciones Cotizador'!T:T=""x"")),""Finalizar""))"),"")</f>
        <v/>
      </c>
    </row>
    <row r="681">
      <c r="A681" s="2" t="str">
        <f t="array" ref="A681">IF(E681="","",XLOOKUP(D681,'Validaciones Cotizador'!C:C,'Validaciones Cotizador'!A:A,"",0,1))</f>
        <v/>
      </c>
      <c r="B681" s="2" t="str">
        <f t="array" ref="B681">IF(F681="","",XLOOKUP(F681,Productos!E:E,Productos!G:G,"",0,1))</f>
        <v/>
      </c>
      <c r="C681" s="2" t="str">
        <f>IF(A681="","",SUMIFS('Validaciones Cotizador'!B:B,'Validaciones Cotizador'!C:C,D681,'Validaciones Cotizador'!A:A,A681))</f>
        <v/>
      </c>
      <c r="D681" s="4" t="str">
        <f>IFERROR(__xludf.DUMMYFUNCTION("IF(OR(F680=""Finalizar"",F680="""",F680=""Selecciona..""),"""",IF(OR(F680=""-"",INDEX(filter(Familias!F:F,Familias!D:D=A680,Familias!E:E=C680),1)=""O""),D680+1,D680))"),"")</f>
        <v/>
      </c>
      <c r="E681" s="2" t="str">
        <f>IF(OR(F681="",F681="Selecciona.."),"",IF(D681="Implemento",SUMIF(Implementos!B:B,F681,Implementos!A:A),SUMIF(Productos!E:E,F681,Productos!A:A)))</f>
        <v/>
      </c>
      <c r="F681" s="2" t="str">
        <f t="shared" si="2"/>
        <v/>
      </c>
      <c r="G681" s="10" t="str">
        <f t="array" ref="G681">IF(OR(F681="",F681="-",F681="Selecciona..",F681="Finalizar"),"",IF(A681="Rodados",XLOOKUP(B681,'Validaciones Cotizador'!I:I,'Validaciones Cotizador'!J:J,0,0,1),1))</f>
        <v/>
      </c>
      <c r="H681" s="11" t="str">
        <f>IF(OR(F681="",F681="Selecciona.."),"",SUMIF(Precio_Productos!K:K,E681,Precio_Productos!J:J)*G681)</f>
        <v/>
      </c>
      <c r="I681" s="4" t="str">
        <f t="array" ref="I681">IF($E681="","", XLOOKUP(SUMIFS(Prod_Prop!$A:$A,Prod_Prop!$B:$B,$E681,Prod_Prop!$H:$H,I$1,Prod_Prop!$I:$I,"Exacto"),Prod_Prop!$A:$A,Prod_Prop!$J:$J,"",0,1))</f>
        <v/>
      </c>
      <c r="J681" s="4" t="str">
        <f t="array" ref="J681">IF($E681="","", XLOOKUP(SUMIFS(Prod_Prop!$A:$A,Prod_Prop!$B:$B,$E681,Prod_Prop!$H:$H,J$1,Prod_Prop!$I:$I,"Exacto"),Prod_Prop!$A:$A,Prod_Prop!$J:$J,"",0,1))</f>
        <v/>
      </c>
      <c r="K681" s="4" t="str">
        <f t="array" ref="K681">IF($E681="","", XLOOKUP(SUMIFS(Prod_Prop!$A:$A,Prod_Prop!$B:$B,$E681,Prod_Prop!$H:$H,K$1,Prod_Prop!$I:$I,"Exacto"),Prod_Prop!$A:$A,Prod_Prop!$J:$J,"",0,1))</f>
        <v/>
      </c>
      <c r="L681" s="4" t="str">
        <f t="array" ref="L681">IF($E681="","", XLOOKUP(SUMIFS(Prod_Prop!$A:$A,Prod_Prop!$B:$B,$E681,Prod_Prop!$H:$H,L$1,Prod_Prop!$I:$I,"Exacto"),Prod_Prop!$A:$A,Prod_Prop!$J:$J,"",0,1))</f>
        <v/>
      </c>
      <c r="M681" s="4" t="str">
        <f t="array" ref="M681">IF($E681="","", XLOOKUP(SUMIFS(Prod_Prop!$A:$A,Prod_Prop!$B:$B,$E681,Prod_Prop!$H:$H,M$1,Prod_Prop!$I:$I,"Exacto"),Prod_Prop!$A:$A,Prod_Prop!$J:$J,"",0,1))</f>
        <v/>
      </c>
      <c r="N681" s="4" t="str">
        <f t="array" ref="N681">IF($E681="","", XLOOKUP(SUMIFS(Prod_Prop!$A:$A,Prod_Prop!$B:$B,$E681,Prod_Prop!$H:$H,N$1,Prod_Prop!$I:$I,"Exacto"),Prod_Prop!$A:$A,Prod_Prop!$J:$J,"",0,1))</f>
        <v/>
      </c>
      <c r="O681" s="4" t="str">
        <f t="array" ref="O681">IF($E681="","", XLOOKUP(SUMIFS(Prod_Prop!$A:$A,Prod_Prop!$B:$B,$E681,Prod_Prop!$H:$H,O$1,Prod_Prop!$I:$I,"Exacto"),Prod_Prop!$A:$A,Prod_Prop!$J:$J,"",0,1))</f>
        <v/>
      </c>
      <c r="P681" s="4" t="str">
        <f t="array" ref="P681">IF($E681="","", XLOOKUP(SUMIFS(Prod_Prop!$A:$A,Prod_Prop!$B:$B,$E681,Prod_Prop!$H:$H,P$1,Prod_Prop!$I:$I,"Exacto"),Prod_Prop!$A:$A,Prod_Prop!$J:$J,"",0,1))</f>
        <v/>
      </c>
      <c r="Q681" s="4" t="str">
        <f t="array" ref="Q681">IF($E681="","", XLOOKUP(SUMIFS(Prod_Prop!$A:$A,Prod_Prop!$B:$B,$E681,Prod_Prop!$H:$H,Q$1,Prod_Prop!$I:$I,"Exacto"),Prod_Prop!$A:$A,Prod_Prop!$J:$J,"",0,1))</f>
        <v/>
      </c>
      <c r="R681" s="4" t="str">
        <f t="array" ref="R681">IF($E681="","", XLOOKUP(SUMIFS(Prod_Prop!$A:$A,Prod_Prop!$B:$B,$E681,Prod_Prop!$H:$H,R$1,Prod_Prop!$I:$I,"Exacto"),Prod_Prop!$A:$A,Prod_Prop!$J:$J,"",0,1))</f>
        <v/>
      </c>
      <c r="S681" s="4" t="str">
        <f t="array" ref="S681">IF($E681="","", XLOOKUP(SUMIFS(Prod_Prop!$A:$A,Prod_Prop!$B:$B,$E681,Prod_Prop!$H:$H,S$1,Prod_Prop!$I:$I,"Exacto"),Prod_Prop!$A:$A,Prod_Prop!$J:$J,"",0,1))</f>
        <v/>
      </c>
      <c r="T681" s="4" t="str">
        <f t="array" ref="T681">IF($E681="","", XLOOKUP(SUMIFS(Prod_Prop!$A:$A,Prod_Prop!$B:$B,$E681,Prod_Prop!$H:$H,T$1,Prod_Prop!$I:$I,"Exacto"),Prod_Prop!$A:$A,Prod_Prop!$J:$J,"",0,1))</f>
        <v/>
      </c>
      <c r="U681" s="4" t="str">
        <f t="array" ref="U681">IF($E681="","", XLOOKUP(SUMIFS(Prod_Prop!$A:$A,Prod_Prop!$B:$B,$E681,Prod_Prop!$H:$H,U$1,Prod_Prop!$I:$I,"Exacto"),Prod_Prop!$A:$A,Prod_Prop!$J:$J,"",0,1))</f>
        <v/>
      </c>
      <c r="V681" s="4" t="str">
        <f t="array" ref="V681">IF($E681="","", XLOOKUP(SUMIFS(Prod_Prop!$A:$A,Prod_Prop!$B:$B,$E681,Prod_Prop!$H:$H,V$1,Prod_Prop!$I:$I,"Exacto"),Prod_Prop!$A:$A,Prod_Prop!$J:$J,"",0,1))</f>
        <v/>
      </c>
      <c r="X681" s="3" t="str">
        <f>IFERROR(__xludf.DUMMYFUNCTION("IF(D681="""","""",IFERROR(TRANSPOSE(FILTER('Validaciones Cotizador'!U:U,'Validaciones Cotizador'!O:O=D681,'Validaciones Cotizador'!T:T=""x"")),""Finalizar""))"),"")</f>
        <v/>
      </c>
    </row>
    <row r="682">
      <c r="A682" s="2" t="str">
        <f t="array" ref="A682">IF(E682="","",XLOOKUP(D682,'Validaciones Cotizador'!C:C,'Validaciones Cotizador'!A:A,"",0,1))</f>
        <v/>
      </c>
      <c r="B682" s="2" t="str">
        <f t="array" ref="B682">IF(F682="","",XLOOKUP(F682,Productos!E:E,Productos!G:G,"",0,1))</f>
        <v/>
      </c>
      <c r="C682" s="2" t="str">
        <f>IF(A682="","",SUMIFS('Validaciones Cotizador'!B:B,'Validaciones Cotizador'!C:C,D682,'Validaciones Cotizador'!A:A,A682))</f>
        <v/>
      </c>
      <c r="D682" s="4" t="str">
        <f>IFERROR(__xludf.DUMMYFUNCTION("IF(OR(F681=""Finalizar"",F681="""",F681=""Selecciona..""),"""",IF(OR(F681=""-"",INDEX(filter(Familias!F:F,Familias!D:D=A681,Familias!E:E=C681),1)=""O""),D681+1,D681))"),"")</f>
        <v/>
      </c>
      <c r="E682" s="2" t="str">
        <f>IF(OR(F682="",F682="Selecciona.."),"",IF(D682="Implemento",SUMIF(Implementos!B:B,F682,Implementos!A:A),SUMIF(Productos!E:E,F682,Productos!A:A)))</f>
        <v/>
      </c>
      <c r="F682" s="2" t="str">
        <f t="shared" si="2"/>
        <v/>
      </c>
      <c r="G682" s="10" t="str">
        <f t="array" ref="G682">IF(OR(F682="",F682="-",F682="Selecciona..",F682="Finalizar"),"",IF(A682="Rodados",XLOOKUP(B682,'Validaciones Cotizador'!I:I,'Validaciones Cotizador'!J:J,0,0,1),1))</f>
        <v/>
      </c>
      <c r="H682" s="11" t="str">
        <f>IF(OR(F682="",F682="Selecciona.."),"",SUMIF(Precio_Productos!K:K,E682,Precio_Productos!J:J)*G682)</f>
        <v/>
      </c>
      <c r="I682" s="4" t="str">
        <f t="array" ref="I682">IF($E682="","", XLOOKUP(SUMIFS(Prod_Prop!$A:$A,Prod_Prop!$B:$B,$E682,Prod_Prop!$H:$H,I$1,Prod_Prop!$I:$I,"Exacto"),Prod_Prop!$A:$A,Prod_Prop!$J:$J,"",0,1))</f>
        <v/>
      </c>
      <c r="J682" s="4" t="str">
        <f t="array" ref="J682">IF($E682="","", XLOOKUP(SUMIFS(Prod_Prop!$A:$A,Prod_Prop!$B:$B,$E682,Prod_Prop!$H:$H,J$1,Prod_Prop!$I:$I,"Exacto"),Prod_Prop!$A:$A,Prod_Prop!$J:$J,"",0,1))</f>
        <v/>
      </c>
      <c r="K682" s="4" t="str">
        <f t="array" ref="K682">IF($E682="","", XLOOKUP(SUMIFS(Prod_Prop!$A:$A,Prod_Prop!$B:$B,$E682,Prod_Prop!$H:$H,K$1,Prod_Prop!$I:$I,"Exacto"),Prod_Prop!$A:$A,Prod_Prop!$J:$J,"",0,1))</f>
        <v/>
      </c>
      <c r="L682" s="4" t="str">
        <f t="array" ref="L682">IF($E682="","", XLOOKUP(SUMIFS(Prod_Prop!$A:$A,Prod_Prop!$B:$B,$E682,Prod_Prop!$H:$H,L$1,Prod_Prop!$I:$I,"Exacto"),Prod_Prop!$A:$A,Prod_Prop!$J:$J,"",0,1))</f>
        <v/>
      </c>
      <c r="M682" s="4" t="str">
        <f t="array" ref="M682">IF($E682="","", XLOOKUP(SUMIFS(Prod_Prop!$A:$A,Prod_Prop!$B:$B,$E682,Prod_Prop!$H:$H,M$1,Prod_Prop!$I:$I,"Exacto"),Prod_Prop!$A:$A,Prod_Prop!$J:$J,"",0,1))</f>
        <v/>
      </c>
      <c r="N682" s="4" t="str">
        <f t="array" ref="N682">IF($E682="","", XLOOKUP(SUMIFS(Prod_Prop!$A:$A,Prod_Prop!$B:$B,$E682,Prod_Prop!$H:$H,N$1,Prod_Prop!$I:$I,"Exacto"),Prod_Prop!$A:$A,Prod_Prop!$J:$J,"",0,1))</f>
        <v/>
      </c>
      <c r="O682" s="4" t="str">
        <f t="array" ref="O682">IF($E682="","", XLOOKUP(SUMIFS(Prod_Prop!$A:$A,Prod_Prop!$B:$B,$E682,Prod_Prop!$H:$H,O$1,Prod_Prop!$I:$I,"Exacto"),Prod_Prop!$A:$A,Prod_Prop!$J:$J,"",0,1))</f>
        <v/>
      </c>
      <c r="P682" s="4" t="str">
        <f t="array" ref="P682">IF($E682="","", XLOOKUP(SUMIFS(Prod_Prop!$A:$A,Prod_Prop!$B:$B,$E682,Prod_Prop!$H:$H,P$1,Prod_Prop!$I:$I,"Exacto"),Prod_Prop!$A:$A,Prod_Prop!$J:$J,"",0,1))</f>
        <v/>
      </c>
      <c r="Q682" s="4" t="str">
        <f t="array" ref="Q682">IF($E682="","", XLOOKUP(SUMIFS(Prod_Prop!$A:$A,Prod_Prop!$B:$B,$E682,Prod_Prop!$H:$H,Q$1,Prod_Prop!$I:$I,"Exacto"),Prod_Prop!$A:$A,Prod_Prop!$J:$J,"",0,1))</f>
        <v/>
      </c>
      <c r="R682" s="4" t="str">
        <f t="array" ref="R682">IF($E682="","", XLOOKUP(SUMIFS(Prod_Prop!$A:$A,Prod_Prop!$B:$B,$E682,Prod_Prop!$H:$H,R$1,Prod_Prop!$I:$I,"Exacto"),Prod_Prop!$A:$A,Prod_Prop!$J:$J,"",0,1))</f>
        <v/>
      </c>
      <c r="S682" s="4" t="str">
        <f t="array" ref="S682">IF($E682="","", XLOOKUP(SUMIFS(Prod_Prop!$A:$A,Prod_Prop!$B:$B,$E682,Prod_Prop!$H:$H,S$1,Prod_Prop!$I:$I,"Exacto"),Prod_Prop!$A:$A,Prod_Prop!$J:$J,"",0,1))</f>
        <v/>
      </c>
      <c r="T682" s="4" t="str">
        <f t="array" ref="T682">IF($E682="","", XLOOKUP(SUMIFS(Prod_Prop!$A:$A,Prod_Prop!$B:$B,$E682,Prod_Prop!$H:$H,T$1,Prod_Prop!$I:$I,"Exacto"),Prod_Prop!$A:$A,Prod_Prop!$J:$J,"",0,1))</f>
        <v/>
      </c>
      <c r="U682" s="4" t="str">
        <f t="array" ref="U682">IF($E682="","", XLOOKUP(SUMIFS(Prod_Prop!$A:$A,Prod_Prop!$B:$B,$E682,Prod_Prop!$H:$H,U$1,Prod_Prop!$I:$I,"Exacto"),Prod_Prop!$A:$A,Prod_Prop!$J:$J,"",0,1))</f>
        <v/>
      </c>
      <c r="V682" s="4" t="str">
        <f t="array" ref="V682">IF($E682="","", XLOOKUP(SUMIFS(Prod_Prop!$A:$A,Prod_Prop!$B:$B,$E682,Prod_Prop!$H:$H,V$1,Prod_Prop!$I:$I,"Exacto"),Prod_Prop!$A:$A,Prod_Prop!$J:$J,"",0,1))</f>
        <v/>
      </c>
      <c r="X682" s="3" t="str">
        <f>IFERROR(__xludf.DUMMYFUNCTION("IF(D682="""","""",IFERROR(TRANSPOSE(FILTER('Validaciones Cotizador'!U:U,'Validaciones Cotizador'!O:O=D682,'Validaciones Cotizador'!T:T=""x"")),""Finalizar""))"),"")</f>
        <v/>
      </c>
    </row>
    <row r="683">
      <c r="A683" s="2" t="str">
        <f t="array" ref="A683">IF(E683="","",XLOOKUP(D683,'Validaciones Cotizador'!C:C,'Validaciones Cotizador'!A:A,"",0,1))</f>
        <v/>
      </c>
      <c r="B683" s="2" t="str">
        <f t="array" ref="B683">IF(F683="","",XLOOKUP(F683,Productos!E:E,Productos!G:G,"",0,1))</f>
        <v/>
      </c>
      <c r="C683" s="2" t="str">
        <f>IF(A683="","",SUMIFS('Validaciones Cotizador'!B:B,'Validaciones Cotizador'!C:C,D683,'Validaciones Cotizador'!A:A,A683))</f>
        <v/>
      </c>
      <c r="D683" s="4" t="str">
        <f>IFERROR(__xludf.DUMMYFUNCTION("IF(OR(F682=""Finalizar"",F682="""",F682=""Selecciona..""),"""",IF(OR(F682=""-"",INDEX(filter(Familias!F:F,Familias!D:D=A682,Familias!E:E=C682),1)=""O""),D682+1,D682))"),"")</f>
        <v/>
      </c>
      <c r="E683" s="2" t="str">
        <f>IF(OR(F683="",F683="Selecciona.."),"",IF(D683="Implemento",SUMIF(Implementos!B:B,F683,Implementos!A:A),SUMIF(Productos!E:E,F683,Productos!A:A)))</f>
        <v/>
      </c>
      <c r="F683" s="2" t="str">
        <f t="shared" si="2"/>
        <v/>
      </c>
      <c r="G683" s="10" t="str">
        <f t="array" ref="G683">IF(OR(F683="",F683="-",F683="Selecciona..",F683="Finalizar"),"",IF(A683="Rodados",XLOOKUP(B683,'Validaciones Cotizador'!I:I,'Validaciones Cotizador'!J:J,0,0,1),1))</f>
        <v/>
      </c>
      <c r="H683" s="11" t="str">
        <f>IF(OR(F683="",F683="Selecciona.."),"",SUMIF(Precio_Productos!K:K,E683,Precio_Productos!J:J)*G683)</f>
        <v/>
      </c>
      <c r="I683" s="4" t="str">
        <f t="array" ref="I683">IF($E683="","", XLOOKUP(SUMIFS(Prod_Prop!$A:$A,Prod_Prop!$B:$B,$E683,Prod_Prop!$H:$H,I$1,Prod_Prop!$I:$I,"Exacto"),Prod_Prop!$A:$A,Prod_Prop!$J:$J,"",0,1))</f>
        <v/>
      </c>
      <c r="J683" s="4" t="str">
        <f t="array" ref="J683">IF($E683="","", XLOOKUP(SUMIFS(Prod_Prop!$A:$A,Prod_Prop!$B:$B,$E683,Prod_Prop!$H:$H,J$1,Prod_Prop!$I:$I,"Exacto"),Prod_Prop!$A:$A,Prod_Prop!$J:$J,"",0,1))</f>
        <v/>
      </c>
      <c r="K683" s="4" t="str">
        <f t="array" ref="K683">IF($E683="","", XLOOKUP(SUMIFS(Prod_Prop!$A:$A,Prod_Prop!$B:$B,$E683,Prod_Prop!$H:$H,K$1,Prod_Prop!$I:$I,"Exacto"),Prod_Prop!$A:$A,Prod_Prop!$J:$J,"",0,1))</f>
        <v/>
      </c>
      <c r="L683" s="4" t="str">
        <f t="array" ref="L683">IF($E683="","", XLOOKUP(SUMIFS(Prod_Prop!$A:$A,Prod_Prop!$B:$B,$E683,Prod_Prop!$H:$H,L$1,Prod_Prop!$I:$I,"Exacto"),Prod_Prop!$A:$A,Prod_Prop!$J:$J,"",0,1))</f>
        <v/>
      </c>
      <c r="M683" s="4" t="str">
        <f t="array" ref="M683">IF($E683="","", XLOOKUP(SUMIFS(Prod_Prop!$A:$A,Prod_Prop!$B:$B,$E683,Prod_Prop!$H:$H,M$1,Prod_Prop!$I:$I,"Exacto"),Prod_Prop!$A:$A,Prod_Prop!$J:$J,"",0,1))</f>
        <v/>
      </c>
      <c r="N683" s="4" t="str">
        <f t="array" ref="N683">IF($E683="","", XLOOKUP(SUMIFS(Prod_Prop!$A:$A,Prod_Prop!$B:$B,$E683,Prod_Prop!$H:$H,N$1,Prod_Prop!$I:$I,"Exacto"),Prod_Prop!$A:$A,Prod_Prop!$J:$J,"",0,1))</f>
        <v/>
      </c>
      <c r="O683" s="4" t="str">
        <f t="array" ref="O683">IF($E683="","", XLOOKUP(SUMIFS(Prod_Prop!$A:$A,Prod_Prop!$B:$B,$E683,Prod_Prop!$H:$H,O$1,Prod_Prop!$I:$I,"Exacto"),Prod_Prop!$A:$A,Prod_Prop!$J:$J,"",0,1))</f>
        <v/>
      </c>
      <c r="P683" s="4" t="str">
        <f t="array" ref="P683">IF($E683="","", XLOOKUP(SUMIFS(Prod_Prop!$A:$A,Prod_Prop!$B:$B,$E683,Prod_Prop!$H:$H,P$1,Prod_Prop!$I:$I,"Exacto"),Prod_Prop!$A:$A,Prod_Prop!$J:$J,"",0,1))</f>
        <v/>
      </c>
      <c r="Q683" s="4" t="str">
        <f t="array" ref="Q683">IF($E683="","", XLOOKUP(SUMIFS(Prod_Prop!$A:$A,Prod_Prop!$B:$B,$E683,Prod_Prop!$H:$H,Q$1,Prod_Prop!$I:$I,"Exacto"),Prod_Prop!$A:$A,Prod_Prop!$J:$J,"",0,1))</f>
        <v/>
      </c>
      <c r="R683" s="4" t="str">
        <f t="array" ref="R683">IF($E683="","", XLOOKUP(SUMIFS(Prod_Prop!$A:$A,Prod_Prop!$B:$B,$E683,Prod_Prop!$H:$H,R$1,Prod_Prop!$I:$I,"Exacto"),Prod_Prop!$A:$A,Prod_Prop!$J:$J,"",0,1))</f>
        <v/>
      </c>
      <c r="S683" s="4" t="str">
        <f t="array" ref="S683">IF($E683="","", XLOOKUP(SUMIFS(Prod_Prop!$A:$A,Prod_Prop!$B:$B,$E683,Prod_Prop!$H:$H,S$1,Prod_Prop!$I:$I,"Exacto"),Prod_Prop!$A:$A,Prod_Prop!$J:$J,"",0,1))</f>
        <v/>
      </c>
      <c r="T683" s="4" t="str">
        <f t="array" ref="T683">IF($E683="","", XLOOKUP(SUMIFS(Prod_Prop!$A:$A,Prod_Prop!$B:$B,$E683,Prod_Prop!$H:$H,T$1,Prod_Prop!$I:$I,"Exacto"),Prod_Prop!$A:$A,Prod_Prop!$J:$J,"",0,1))</f>
        <v/>
      </c>
      <c r="U683" s="4" t="str">
        <f t="array" ref="U683">IF($E683="","", XLOOKUP(SUMIFS(Prod_Prop!$A:$A,Prod_Prop!$B:$B,$E683,Prod_Prop!$H:$H,U$1,Prod_Prop!$I:$I,"Exacto"),Prod_Prop!$A:$A,Prod_Prop!$J:$J,"",0,1))</f>
        <v/>
      </c>
      <c r="V683" s="4" t="str">
        <f t="array" ref="V683">IF($E683="","", XLOOKUP(SUMIFS(Prod_Prop!$A:$A,Prod_Prop!$B:$B,$E683,Prod_Prop!$H:$H,V$1,Prod_Prop!$I:$I,"Exacto"),Prod_Prop!$A:$A,Prod_Prop!$J:$J,"",0,1))</f>
        <v/>
      </c>
      <c r="X683" s="3" t="str">
        <f>IFERROR(__xludf.DUMMYFUNCTION("IF(D683="""","""",IFERROR(TRANSPOSE(FILTER('Validaciones Cotizador'!U:U,'Validaciones Cotizador'!O:O=D683,'Validaciones Cotizador'!T:T=""x"")),""Finalizar""))"),"")</f>
        <v/>
      </c>
    </row>
    <row r="684">
      <c r="A684" s="2" t="str">
        <f t="array" ref="A684">IF(E684="","",XLOOKUP(D684,'Validaciones Cotizador'!C:C,'Validaciones Cotizador'!A:A,"",0,1))</f>
        <v/>
      </c>
      <c r="B684" s="2" t="str">
        <f t="array" ref="B684">IF(F684="","",XLOOKUP(F684,Productos!E:E,Productos!G:G,"",0,1))</f>
        <v/>
      </c>
      <c r="C684" s="2" t="str">
        <f>IF(A684="","",SUMIFS('Validaciones Cotizador'!B:B,'Validaciones Cotizador'!C:C,D684,'Validaciones Cotizador'!A:A,A684))</f>
        <v/>
      </c>
      <c r="D684" s="4" t="str">
        <f>IFERROR(__xludf.DUMMYFUNCTION("IF(OR(F683=""Finalizar"",F683="""",F683=""Selecciona..""),"""",IF(OR(F683=""-"",INDEX(filter(Familias!F:F,Familias!D:D=A683,Familias!E:E=C683),1)=""O""),D683+1,D683))"),"")</f>
        <v/>
      </c>
      <c r="E684" s="2" t="str">
        <f>IF(OR(F684="",F684="Selecciona.."),"",IF(D684="Implemento",SUMIF(Implementos!B:B,F684,Implementos!A:A),SUMIF(Productos!E:E,F684,Productos!A:A)))</f>
        <v/>
      </c>
      <c r="F684" s="2" t="str">
        <f t="shared" si="2"/>
        <v/>
      </c>
      <c r="G684" s="10" t="str">
        <f t="array" ref="G684">IF(OR(F684="",F684="-",F684="Selecciona..",F684="Finalizar"),"",IF(A684="Rodados",XLOOKUP(B684,'Validaciones Cotizador'!I:I,'Validaciones Cotizador'!J:J,0,0,1),1))</f>
        <v/>
      </c>
      <c r="H684" s="11" t="str">
        <f>IF(OR(F684="",F684="Selecciona.."),"",SUMIF(Precio_Productos!K:K,E684,Precio_Productos!J:J)*G684)</f>
        <v/>
      </c>
      <c r="I684" s="4" t="str">
        <f t="array" ref="I684">IF($E684="","", XLOOKUP(SUMIFS(Prod_Prop!$A:$A,Prod_Prop!$B:$B,$E684,Prod_Prop!$H:$H,I$1,Prod_Prop!$I:$I,"Exacto"),Prod_Prop!$A:$A,Prod_Prop!$J:$J,"",0,1))</f>
        <v/>
      </c>
      <c r="J684" s="4" t="str">
        <f t="array" ref="J684">IF($E684="","", XLOOKUP(SUMIFS(Prod_Prop!$A:$A,Prod_Prop!$B:$B,$E684,Prod_Prop!$H:$H,J$1,Prod_Prop!$I:$I,"Exacto"),Prod_Prop!$A:$A,Prod_Prop!$J:$J,"",0,1))</f>
        <v/>
      </c>
      <c r="K684" s="4" t="str">
        <f t="array" ref="K684">IF($E684="","", XLOOKUP(SUMIFS(Prod_Prop!$A:$A,Prod_Prop!$B:$B,$E684,Prod_Prop!$H:$H,K$1,Prod_Prop!$I:$I,"Exacto"),Prod_Prop!$A:$A,Prod_Prop!$J:$J,"",0,1))</f>
        <v/>
      </c>
      <c r="L684" s="4" t="str">
        <f t="array" ref="L684">IF($E684="","", XLOOKUP(SUMIFS(Prod_Prop!$A:$A,Prod_Prop!$B:$B,$E684,Prod_Prop!$H:$H,L$1,Prod_Prop!$I:$I,"Exacto"),Prod_Prop!$A:$A,Prod_Prop!$J:$J,"",0,1))</f>
        <v/>
      </c>
      <c r="M684" s="4" t="str">
        <f t="array" ref="M684">IF($E684="","", XLOOKUP(SUMIFS(Prod_Prop!$A:$A,Prod_Prop!$B:$B,$E684,Prod_Prop!$H:$H,M$1,Prod_Prop!$I:$I,"Exacto"),Prod_Prop!$A:$A,Prod_Prop!$J:$J,"",0,1))</f>
        <v/>
      </c>
      <c r="N684" s="4" t="str">
        <f t="array" ref="N684">IF($E684="","", XLOOKUP(SUMIFS(Prod_Prop!$A:$A,Prod_Prop!$B:$B,$E684,Prod_Prop!$H:$H,N$1,Prod_Prop!$I:$I,"Exacto"),Prod_Prop!$A:$A,Prod_Prop!$J:$J,"",0,1))</f>
        <v/>
      </c>
      <c r="O684" s="4" t="str">
        <f t="array" ref="O684">IF($E684="","", XLOOKUP(SUMIFS(Prod_Prop!$A:$A,Prod_Prop!$B:$B,$E684,Prod_Prop!$H:$H,O$1,Prod_Prop!$I:$I,"Exacto"),Prod_Prop!$A:$A,Prod_Prop!$J:$J,"",0,1))</f>
        <v/>
      </c>
      <c r="P684" s="4" t="str">
        <f t="array" ref="P684">IF($E684="","", XLOOKUP(SUMIFS(Prod_Prop!$A:$A,Prod_Prop!$B:$B,$E684,Prod_Prop!$H:$H,P$1,Prod_Prop!$I:$I,"Exacto"),Prod_Prop!$A:$A,Prod_Prop!$J:$J,"",0,1))</f>
        <v/>
      </c>
      <c r="Q684" s="4" t="str">
        <f t="array" ref="Q684">IF($E684="","", XLOOKUP(SUMIFS(Prod_Prop!$A:$A,Prod_Prop!$B:$B,$E684,Prod_Prop!$H:$H,Q$1,Prod_Prop!$I:$I,"Exacto"),Prod_Prop!$A:$A,Prod_Prop!$J:$J,"",0,1))</f>
        <v/>
      </c>
      <c r="R684" s="4" t="str">
        <f t="array" ref="R684">IF($E684="","", XLOOKUP(SUMIFS(Prod_Prop!$A:$A,Prod_Prop!$B:$B,$E684,Prod_Prop!$H:$H,R$1,Prod_Prop!$I:$I,"Exacto"),Prod_Prop!$A:$A,Prod_Prop!$J:$J,"",0,1))</f>
        <v/>
      </c>
      <c r="S684" s="4" t="str">
        <f t="array" ref="S684">IF($E684="","", XLOOKUP(SUMIFS(Prod_Prop!$A:$A,Prod_Prop!$B:$B,$E684,Prod_Prop!$H:$H,S$1,Prod_Prop!$I:$I,"Exacto"),Prod_Prop!$A:$A,Prod_Prop!$J:$J,"",0,1))</f>
        <v/>
      </c>
      <c r="T684" s="4" t="str">
        <f t="array" ref="T684">IF($E684="","", XLOOKUP(SUMIFS(Prod_Prop!$A:$A,Prod_Prop!$B:$B,$E684,Prod_Prop!$H:$H,T$1,Prod_Prop!$I:$I,"Exacto"),Prod_Prop!$A:$A,Prod_Prop!$J:$J,"",0,1))</f>
        <v/>
      </c>
      <c r="U684" s="4" t="str">
        <f t="array" ref="U684">IF($E684="","", XLOOKUP(SUMIFS(Prod_Prop!$A:$A,Prod_Prop!$B:$B,$E684,Prod_Prop!$H:$H,U$1,Prod_Prop!$I:$I,"Exacto"),Prod_Prop!$A:$A,Prod_Prop!$J:$J,"",0,1))</f>
        <v/>
      </c>
      <c r="V684" s="4" t="str">
        <f t="array" ref="V684">IF($E684="","", XLOOKUP(SUMIFS(Prod_Prop!$A:$A,Prod_Prop!$B:$B,$E684,Prod_Prop!$H:$H,V$1,Prod_Prop!$I:$I,"Exacto"),Prod_Prop!$A:$A,Prod_Prop!$J:$J,"",0,1))</f>
        <v/>
      </c>
      <c r="X684" s="3" t="str">
        <f>IFERROR(__xludf.DUMMYFUNCTION("IF(D684="""","""",IFERROR(TRANSPOSE(FILTER('Validaciones Cotizador'!U:U,'Validaciones Cotizador'!O:O=D684,'Validaciones Cotizador'!T:T=""x"")),""Finalizar""))"),"")</f>
        <v/>
      </c>
    </row>
    <row r="685">
      <c r="A685" s="2" t="str">
        <f t="array" ref="A685">IF(E685="","",XLOOKUP(D685,'Validaciones Cotizador'!C:C,'Validaciones Cotizador'!A:A,"",0,1))</f>
        <v/>
      </c>
      <c r="B685" s="2" t="str">
        <f t="array" ref="B685">IF(F685="","",XLOOKUP(F685,Productos!E:E,Productos!G:G,"",0,1))</f>
        <v/>
      </c>
      <c r="C685" s="2" t="str">
        <f>IF(A685="","",SUMIFS('Validaciones Cotizador'!B:B,'Validaciones Cotizador'!C:C,D685,'Validaciones Cotizador'!A:A,A685))</f>
        <v/>
      </c>
      <c r="D685" s="4" t="str">
        <f>IFERROR(__xludf.DUMMYFUNCTION("IF(OR(F684=""Finalizar"",F684="""",F684=""Selecciona..""),"""",IF(OR(F684=""-"",INDEX(filter(Familias!F:F,Familias!D:D=A684,Familias!E:E=C684),1)=""O""),D684+1,D684))"),"")</f>
        <v/>
      </c>
      <c r="E685" s="2" t="str">
        <f>IF(OR(F685="",F685="Selecciona.."),"",IF(D685="Implemento",SUMIF(Implementos!B:B,F685,Implementos!A:A),SUMIF(Productos!E:E,F685,Productos!A:A)))</f>
        <v/>
      </c>
      <c r="F685" s="2" t="str">
        <f t="shared" si="2"/>
        <v/>
      </c>
      <c r="G685" s="10" t="str">
        <f t="array" ref="G685">IF(OR(F685="",F685="-",F685="Selecciona..",F685="Finalizar"),"",IF(A685="Rodados",XLOOKUP(B685,'Validaciones Cotizador'!I:I,'Validaciones Cotizador'!J:J,0,0,1),1))</f>
        <v/>
      </c>
      <c r="H685" s="11" t="str">
        <f>IF(OR(F685="",F685="Selecciona.."),"",SUMIF(Precio_Productos!K:K,E685,Precio_Productos!J:J)*G685)</f>
        <v/>
      </c>
      <c r="I685" s="4" t="str">
        <f t="array" ref="I685">IF($E685="","", XLOOKUP(SUMIFS(Prod_Prop!$A:$A,Prod_Prop!$B:$B,$E685,Prod_Prop!$H:$H,I$1,Prod_Prop!$I:$I,"Exacto"),Prod_Prop!$A:$A,Prod_Prop!$J:$J,"",0,1))</f>
        <v/>
      </c>
      <c r="J685" s="4" t="str">
        <f t="array" ref="J685">IF($E685="","", XLOOKUP(SUMIFS(Prod_Prop!$A:$A,Prod_Prop!$B:$B,$E685,Prod_Prop!$H:$H,J$1,Prod_Prop!$I:$I,"Exacto"),Prod_Prop!$A:$A,Prod_Prop!$J:$J,"",0,1))</f>
        <v/>
      </c>
      <c r="K685" s="4" t="str">
        <f t="array" ref="K685">IF($E685="","", XLOOKUP(SUMIFS(Prod_Prop!$A:$A,Prod_Prop!$B:$B,$E685,Prod_Prop!$H:$H,K$1,Prod_Prop!$I:$I,"Exacto"),Prod_Prop!$A:$A,Prod_Prop!$J:$J,"",0,1))</f>
        <v/>
      </c>
      <c r="L685" s="4" t="str">
        <f t="array" ref="L685">IF($E685="","", XLOOKUP(SUMIFS(Prod_Prop!$A:$A,Prod_Prop!$B:$B,$E685,Prod_Prop!$H:$H,L$1,Prod_Prop!$I:$I,"Exacto"),Prod_Prop!$A:$A,Prod_Prop!$J:$J,"",0,1))</f>
        <v/>
      </c>
      <c r="M685" s="4" t="str">
        <f t="array" ref="M685">IF($E685="","", XLOOKUP(SUMIFS(Prod_Prop!$A:$A,Prod_Prop!$B:$B,$E685,Prod_Prop!$H:$H,M$1,Prod_Prop!$I:$I,"Exacto"),Prod_Prop!$A:$A,Prod_Prop!$J:$J,"",0,1))</f>
        <v/>
      </c>
      <c r="N685" s="4" t="str">
        <f t="array" ref="N685">IF($E685="","", XLOOKUP(SUMIFS(Prod_Prop!$A:$A,Prod_Prop!$B:$B,$E685,Prod_Prop!$H:$H,N$1,Prod_Prop!$I:$I,"Exacto"),Prod_Prop!$A:$A,Prod_Prop!$J:$J,"",0,1))</f>
        <v/>
      </c>
      <c r="O685" s="4" t="str">
        <f t="array" ref="O685">IF($E685="","", XLOOKUP(SUMIFS(Prod_Prop!$A:$A,Prod_Prop!$B:$B,$E685,Prod_Prop!$H:$H,O$1,Prod_Prop!$I:$I,"Exacto"),Prod_Prop!$A:$A,Prod_Prop!$J:$J,"",0,1))</f>
        <v/>
      </c>
      <c r="P685" s="4" t="str">
        <f t="array" ref="P685">IF($E685="","", XLOOKUP(SUMIFS(Prod_Prop!$A:$A,Prod_Prop!$B:$B,$E685,Prod_Prop!$H:$H,P$1,Prod_Prop!$I:$I,"Exacto"),Prod_Prop!$A:$A,Prod_Prop!$J:$J,"",0,1))</f>
        <v/>
      </c>
      <c r="Q685" s="4" t="str">
        <f t="array" ref="Q685">IF($E685="","", XLOOKUP(SUMIFS(Prod_Prop!$A:$A,Prod_Prop!$B:$B,$E685,Prod_Prop!$H:$H,Q$1,Prod_Prop!$I:$I,"Exacto"),Prod_Prop!$A:$A,Prod_Prop!$J:$J,"",0,1))</f>
        <v/>
      </c>
      <c r="R685" s="4" t="str">
        <f t="array" ref="R685">IF($E685="","", XLOOKUP(SUMIFS(Prod_Prop!$A:$A,Prod_Prop!$B:$B,$E685,Prod_Prop!$H:$H,R$1,Prod_Prop!$I:$I,"Exacto"),Prod_Prop!$A:$A,Prod_Prop!$J:$J,"",0,1))</f>
        <v/>
      </c>
      <c r="S685" s="4" t="str">
        <f t="array" ref="S685">IF($E685="","", XLOOKUP(SUMIFS(Prod_Prop!$A:$A,Prod_Prop!$B:$B,$E685,Prod_Prop!$H:$H,S$1,Prod_Prop!$I:$I,"Exacto"),Prod_Prop!$A:$A,Prod_Prop!$J:$J,"",0,1))</f>
        <v/>
      </c>
      <c r="T685" s="4" t="str">
        <f t="array" ref="T685">IF($E685="","", XLOOKUP(SUMIFS(Prod_Prop!$A:$A,Prod_Prop!$B:$B,$E685,Prod_Prop!$H:$H,T$1,Prod_Prop!$I:$I,"Exacto"),Prod_Prop!$A:$A,Prod_Prop!$J:$J,"",0,1))</f>
        <v/>
      </c>
      <c r="U685" s="4" t="str">
        <f t="array" ref="U685">IF($E685="","", XLOOKUP(SUMIFS(Prod_Prop!$A:$A,Prod_Prop!$B:$B,$E685,Prod_Prop!$H:$H,U$1,Prod_Prop!$I:$I,"Exacto"),Prod_Prop!$A:$A,Prod_Prop!$J:$J,"",0,1))</f>
        <v/>
      </c>
      <c r="V685" s="4" t="str">
        <f t="array" ref="V685">IF($E685="","", XLOOKUP(SUMIFS(Prod_Prop!$A:$A,Prod_Prop!$B:$B,$E685,Prod_Prop!$H:$H,V$1,Prod_Prop!$I:$I,"Exacto"),Prod_Prop!$A:$A,Prod_Prop!$J:$J,"",0,1))</f>
        <v/>
      </c>
      <c r="X685" s="3" t="str">
        <f>IFERROR(__xludf.DUMMYFUNCTION("IF(D685="""","""",IFERROR(TRANSPOSE(FILTER('Validaciones Cotizador'!U:U,'Validaciones Cotizador'!O:O=D685,'Validaciones Cotizador'!T:T=""x"")),""Finalizar""))"),"")</f>
        <v/>
      </c>
    </row>
    <row r="686">
      <c r="A686" s="2" t="str">
        <f t="array" ref="A686">IF(E686="","",XLOOKUP(D686,'Validaciones Cotizador'!C:C,'Validaciones Cotizador'!A:A,"",0,1))</f>
        <v/>
      </c>
      <c r="B686" s="2" t="str">
        <f t="array" ref="B686">IF(F686="","",XLOOKUP(F686,Productos!E:E,Productos!G:G,"",0,1))</f>
        <v/>
      </c>
      <c r="C686" s="2" t="str">
        <f>IF(A686="","",SUMIFS('Validaciones Cotizador'!B:B,'Validaciones Cotizador'!C:C,D686,'Validaciones Cotizador'!A:A,A686))</f>
        <v/>
      </c>
      <c r="D686" s="4" t="str">
        <f>IFERROR(__xludf.DUMMYFUNCTION("IF(OR(F685=""Finalizar"",F685="""",F685=""Selecciona..""),"""",IF(OR(F685=""-"",INDEX(filter(Familias!F:F,Familias!D:D=A685,Familias!E:E=C685),1)=""O""),D685+1,D685))"),"")</f>
        <v/>
      </c>
      <c r="E686" s="2" t="str">
        <f>IF(OR(F686="",F686="Selecciona.."),"",IF(D686="Implemento",SUMIF(Implementos!B:B,F686,Implementos!A:A),SUMIF(Productos!E:E,F686,Productos!A:A)))</f>
        <v/>
      </c>
      <c r="F686" s="2" t="str">
        <f t="shared" si="2"/>
        <v/>
      </c>
      <c r="G686" s="10" t="str">
        <f t="array" ref="G686">IF(OR(F686="",F686="-",F686="Selecciona..",F686="Finalizar"),"",IF(A686="Rodados",XLOOKUP(B686,'Validaciones Cotizador'!I:I,'Validaciones Cotizador'!J:J,0,0,1),1))</f>
        <v/>
      </c>
      <c r="H686" s="11" t="str">
        <f>IF(OR(F686="",F686="Selecciona.."),"",SUMIF(Precio_Productos!K:K,E686,Precio_Productos!J:J)*G686)</f>
        <v/>
      </c>
      <c r="I686" s="4" t="str">
        <f t="array" ref="I686">IF($E686="","", XLOOKUP(SUMIFS(Prod_Prop!$A:$A,Prod_Prop!$B:$B,$E686,Prod_Prop!$H:$H,I$1,Prod_Prop!$I:$I,"Exacto"),Prod_Prop!$A:$A,Prod_Prop!$J:$J,"",0,1))</f>
        <v/>
      </c>
      <c r="J686" s="4" t="str">
        <f t="array" ref="J686">IF($E686="","", XLOOKUP(SUMIFS(Prod_Prop!$A:$A,Prod_Prop!$B:$B,$E686,Prod_Prop!$H:$H,J$1,Prod_Prop!$I:$I,"Exacto"),Prod_Prop!$A:$A,Prod_Prop!$J:$J,"",0,1))</f>
        <v/>
      </c>
      <c r="K686" s="4" t="str">
        <f t="array" ref="K686">IF($E686="","", XLOOKUP(SUMIFS(Prod_Prop!$A:$A,Prod_Prop!$B:$B,$E686,Prod_Prop!$H:$H,K$1,Prod_Prop!$I:$I,"Exacto"),Prod_Prop!$A:$A,Prod_Prop!$J:$J,"",0,1))</f>
        <v/>
      </c>
      <c r="L686" s="4" t="str">
        <f t="array" ref="L686">IF($E686="","", XLOOKUP(SUMIFS(Prod_Prop!$A:$A,Prod_Prop!$B:$B,$E686,Prod_Prop!$H:$H,L$1,Prod_Prop!$I:$I,"Exacto"),Prod_Prop!$A:$A,Prod_Prop!$J:$J,"",0,1))</f>
        <v/>
      </c>
      <c r="M686" s="4" t="str">
        <f t="array" ref="M686">IF($E686="","", XLOOKUP(SUMIFS(Prod_Prop!$A:$A,Prod_Prop!$B:$B,$E686,Prod_Prop!$H:$H,M$1,Prod_Prop!$I:$I,"Exacto"),Prod_Prop!$A:$A,Prod_Prop!$J:$J,"",0,1))</f>
        <v/>
      </c>
      <c r="N686" s="4" t="str">
        <f t="array" ref="N686">IF($E686="","", XLOOKUP(SUMIFS(Prod_Prop!$A:$A,Prod_Prop!$B:$B,$E686,Prod_Prop!$H:$H,N$1,Prod_Prop!$I:$I,"Exacto"),Prod_Prop!$A:$A,Prod_Prop!$J:$J,"",0,1))</f>
        <v/>
      </c>
      <c r="O686" s="4" t="str">
        <f t="array" ref="O686">IF($E686="","", XLOOKUP(SUMIFS(Prod_Prop!$A:$A,Prod_Prop!$B:$B,$E686,Prod_Prop!$H:$H,O$1,Prod_Prop!$I:$I,"Exacto"),Prod_Prop!$A:$A,Prod_Prop!$J:$J,"",0,1))</f>
        <v/>
      </c>
      <c r="P686" s="4" t="str">
        <f t="array" ref="P686">IF($E686="","", XLOOKUP(SUMIFS(Prod_Prop!$A:$A,Prod_Prop!$B:$B,$E686,Prod_Prop!$H:$H,P$1,Prod_Prop!$I:$I,"Exacto"),Prod_Prop!$A:$A,Prod_Prop!$J:$J,"",0,1))</f>
        <v/>
      </c>
      <c r="Q686" s="4" t="str">
        <f t="array" ref="Q686">IF($E686="","", XLOOKUP(SUMIFS(Prod_Prop!$A:$A,Prod_Prop!$B:$B,$E686,Prod_Prop!$H:$H,Q$1,Prod_Prop!$I:$I,"Exacto"),Prod_Prop!$A:$A,Prod_Prop!$J:$J,"",0,1))</f>
        <v/>
      </c>
      <c r="R686" s="4" t="str">
        <f t="array" ref="R686">IF($E686="","", XLOOKUP(SUMIFS(Prod_Prop!$A:$A,Prod_Prop!$B:$B,$E686,Prod_Prop!$H:$H,R$1,Prod_Prop!$I:$I,"Exacto"),Prod_Prop!$A:$A,Prod_Prop!$J:$J,"",0,1))</f>
        <v/>
      </c>
      <c r="S686" s="4" t="str">
        <f t="array" ref="S686">IF($E686="","", XLOOKUP(SUMIFS(Prod_Prop!$A:$A,Prod_Prop!$B:$B,$E686,Prod_Prop!$H:$H,S$1,Prod_Prop!$I:$I,"Exacto"),Prod_Prop!$A:$A,Prod_Prop!$J:$J,"",0,1))</f>
        <v/>
      </c>
      <c r="T686" s="4" t="str">
        <f t="array" ref="T686">IF($E686="","", XLOOKUP(SUMIFS(Prod_Prop!$A:$A,Prod_Prop!$B:$B,$E686,Prod_Prop!$H:$H,T$1,Prod_Prop!$I:$I,"Exacto"),Prod_Prop!$A:$A,Prod_Prop!$J:$J,"",0,1))</f>
        <v/>
      </c>
      <c r="U686" s="4" t="str">
        <f t="array" ref="U686">IF($E686="","", XLOOKUP(SUMIFS(Prod_Prop!$A:$A,Prod_Prop!$B:$B,$E686,Prod_Prop!$H:$H,U$1,Prod_Prop!$I:$I,"Exacto"),Prod_Prop!$A:$A,Prod_Prop!$J:$J,"",0,1))</f>
        <v/>
      </c>
      <c r="V686" s="4" t="str">
        <f t="array" ref="V686">IF($E686="","", XLOOKUP(SUMIFS(Prod_Prop!$A:$A,Prod_Prop!$B:$B,$E686,Prod_Prop!$H:$H,V$1,Prod_Prop!$I:$I,"Exacto"),Prod_Prop!$A:$A,Prod_Prop!$J:$J,"",0,1))</f>
        <v/>
      </c>
      <c r="X686" s="3" t="str">
        <f>IFERROR(__xludf.DUMMYFUNCTION("IF(D686="""","""",IFERROR(TRANSPOSE(FILTER('Validaciones Cotizador'!U:U,'Validaciones Cotizador'!O:O=D686,'Validaciones Cotizador'!T:T=""x"")),""Finalizar""))"),"")</f>
        <v/>
      </c>
    </row>
    <row r="687">
      <c r="A687" s="2" t="str">
        <f t="array" ref="A687">IF(E687="","",XLOOKUP(D687,'Validaciones Cotizador'!C:C,'Validaciones Cotizador'!A:A,"",0,1))</f>
        <v/>
      </c>
      <c r="B687" s="2" t="str">
        <f t="array" ref="B687">IF(F687="","",XLOOKUP(F687,Productos!E:E,Productos!G:G,"",0,1))</f>
        <v/>
      </c>
      <c r="C687" s="2" t="str">
        <f>IF(A687="","",SUMIFS('Validaciones Cotizador'!B:B,'Validaciones Cotizador'!C:C,D687,'Validaciones Cotizador'!A:A,A687))</f>
        <v/>
      </c>
      <c r="D687" s="4" t="str">
        <f>IFERROR(__xludf.DUMMYFUNCTION("IF(OR(F686=""Finalizar"",F686="""",F686=""Selecciona..""),"""",IF(OR(F686=""-"",INDEX(filter(Familias!F:F,Familias!D:D=A686,Familias!E:E=C686),1)=""O""),D686+1,D686))"),"")</f>
        <v/>
      </c>
      <c r="E687" s="2" t="str">
        <f>IF(OR(F687="",F687="Selecciona.."),"",IF(D687="Implemento",SUMIF(Implementos!B:B,F687,Implementos!A:A),SUMIF(Productos!E:E,F687,Productos!A:A)))</f>
        <v/>
      </c>
      <c r="F687" s="2" t="str">
        <f t="shared" si="2"/>
        <v/>
      </c>
      <c r="G687" s="10" t="str">
        <f t="array" ref="G687">IF(OR(F687="",F687="-",F687="Selecciona..",F687="Finalizar"),"",IF(A687="Rodados",XLOOKUP(B687,'Validaciones Cotizador'!I:I,'Validaciones Cotizador'!J:J,0,0,1),1))</f>
        <v/>
      </c>
      <c r="H687" s="11" t="str">
        <f>IF(OR(F687="",F687="Selecciona.."),"",SUMIF(Precio_Productos!K:K,E687,Precio_Productos!J:J)*G687)</f>
        <v/>
      </c>
      <c r="I687" s="4" t="str">
        <f t="array" ref="I687">IF($E687="","", XLOOKUP(SUMIFS(Prod_Prop!$A:$A,Prod_Prop!$B:$B,$E687,Prod_Prop!$H:$H,I$1,Prod_Prop!$I:$I,"Exacto"),Prod_Prop!$A:$A,Prod_Prop!$J:$J,"",0,1))</f>
        <v/>
      </c>
      <c r="J687" s="4" t="str">
        <f t="array" ref="J687">IF($E687="","", XLOOKUP(SUMIFS(Prod_Prop!$A:$A,Prod_Prop!$B:$B,$E687,Prod_Prop!$H:$H,J$1,Prod_Prop!$I:$I,"Exacto"),Prod_Prop!$A:$A,Prod_Prop!$J:$J,"",0,1))</f>
        <v/>
      </c>
      <c r="K687" s="4" t="str">
        <f t="array" ref="K687">IF($E687="","", XLOOKUP(SUMIFS(Prod_Prop!$A:$A,Prod_Prop!$B:$B,$E687,Prod_Prop!$H:$H,K$1,Prod_Prop!$I:$I,"Exacto"),Prod_Prop!$A:$A,Prod_Prop!$J:$J,"",0,1))</f>
        <v/>
      </c>
      <c r="L687" s="4" t="str">
        <f t="array" ref="L687">IF($E687="","", XLOOKUP(SUMIFS(Prod_Prop!$A:$A,Prod_Prop!$B:$B,$E687,Prod_Prop!$H:$H,L$1,Prod_Prop!$I:$I,"Exacto"),Prod_Prop!$A:$A,Prod_Prop!$J:$J,"",0,1))</f>
        <v/>
      </c>
      <c r="M687" s="4" t="str">
        <f t="array" ref="M687">IF($E687="","", XLOOKUP(SUMIFS(Prod_Prop!$A:$A,Prod_Prop!$B:$B,$E687,Prod_Prop!$H:$H,M$1,Prod_Prop!$I:$I,"Exacto"),Prod_Prop!$A:$A,Prod_Prop!$J:$J,"",0,1))</f>
        <v/>
      </c>
      <c r="N687" s="4" t="str">
        <f t="array" ref="N687">IF($E687="","", XLOOKUP(SUMIFS(Prod_Prop!$A:$A,Prod_Prop!$B:$B,$E687,Prod_Prop!$H:$H,N$1,Prod_Prop!$I:$I,"Exacto"),Prod_Prop!$A:$A,Prod_Prop!$J:$J,"",0,1))</f>
        <v/>
      </c>
      <c r="O687" s="4" t="str">
        <f t="array" ref="O687">IF($E687="","", XLOOKUP(SUMIFS(Prod_Prop!$A:$A,Prod_Prop!$B:$B,$E687,Prod_Prop!$H:$H,O$1,Prod_Prop!$I:$I,"Exacto"),Prod_Prop!$A:$A,Prod_Prop!$J:$J,"",0,1))</f>
        <v/>
      </c>
      <c r="P687" s="4" t="str">
        <f t="array" ref="P687">IF($E687="","", XLOOKUP(SUMIFS(Prod_Prop!$A:$A,Prod_Prop!$B:$B,$E687,Prod_Prop!$H:$H,P$1,Prod_Prop!$I:$I,"Exacto"),Prod_Prop!$A:$A,Prod_Prop!$J:$J,"",0,1))</f>
        <v/>
      </c>
      <c r="Q687" s="4" t="str">
        <f t="array" ref="Q687">IF($E687="","", XLOOKUP(SUMIFS(Prod_Prop!$A:$A,Prod_Prop!$B:$B,$E687,Prod_Prop!$H:$H,Q$1,Prod_Prop!$I:$I,"Exacto"),Prod_Prop!$A:$A,Prod_Prop!$J:$J,"",0,1))</f>
        <v/>
      </c>
      <c r="R687" s="4" t="str">
        <f t="array" ref="R687">IF($E687="","", XLOOKUP(SUMIFS(Prod_Prop!$A:$A,Prod_Prop!$B:$B,$E687,Prod_Prop!$H:$H,R$1,Prod_Prop!$I:$I,"Exacto"),Prod_Prop!$A:$A,Prod_Prop!$J:$J,"",0,1))</f>
        <v/>
      </c>
      <c r="S687" s="4" t="str">
        <f t="array" ref="S687">IF($E687="","", XLOOKUP(SUMIFS(Prod_Prop!$A:$A,Prod_Prop!$B:$B,$E687,Prod_Prop!$H:$H,S$1,Prod_Prop!$I:$I,"Exacto"),Prod_Prop!$A:$A,Prod_Prop!$J:$J,"",0,1))</f>
        <v/>
      </c>
      <c r="T687" s="4" t="str">
        <f t="array" ref="T687">IF($E687="","", XLOOKUP(SUMIFS(Prod_Prop!$A:$A,Prod_Prop!$B:$B,$E687,Prod_Prop!$H:$H,T$1,Prod_Prop!$I:$I,"Exacto"),Prod_Prop!$A:$A,Prod_Prop!$J:$J,"",0,1))</f>
        <v/>
      </c>
      <c r="U687" s="4" t="str">
        <f t="array" ref="U687">IF($E687="","", XLOOKUP(SUMIFS(Prod_Prop!$A:$A,Prod_Prop!$B:$B,$E687,Prod_Prop!$H:$H,U$1,Prod_Prop!$I:$I,"Exacto"),Prod_Prop!$A:$A,Prod_Prop!$J:$J,"",0,1))</f>
        <v/>
      </c>
      <c r="V687" s="4" t="str">
        <f t="array" ref="V687">IF($E687="","", XLOOKUP(SUMIFS(Prod_Prop!$A:$A,Prod_Prop!$B:$B,$E687,Prod_Prop!$H:$H,V$1,Prod_Prop!$I:$I,"Exacto"),Prod_Prop!$A:$A,Prod_Prop!$J:$J,"",0,1))</f>
        <v/>
      </c>
      <c r="X687" s="3" t="str">
        <f>IFERROR(__xludf.DUMMYFUNCTION("IF(D687="""","""",IFERROR(TRANSPOSE(FILTER('Validaciones Cotizador'!U:U,'Validaciones Cotizador'!O:O=D687,'Validaciones Cotizador'!T:T=""x"")),""Finalizar""))"),"")</f>
        <v/>
      </c>
    </row>
    <row r="688">
      <c r="A688" s="2" t="str">
        <f t="array" ref="A688">IF(E688="","",XLOOKUP(D688,'Validaciones Cotizador'!C:C,'Validaciones Cotizador'!A:A,"",0,1))</f>
        <v/>
      </c>
      <c r="B688" s="2" t="str">
        <f t="array" ref="B688">IF(F688="","",XLOOKUP(F688,Productos!E:E,Productos!G:G,"",0,1))</f>
        <v/>
      </c>
      <c r="C688" s="2" t="str">
        <f>IF(A688="","",SUMIFS('Validaciones Cotizador'!B:B,'Validaciones Cotizador'!C:C,D688,'Validaciones Cotizador'!A:A,A688))</f>
        <v/>
      </c>
      <c r="D688" s="4" t="str">
        <f>IFERROR(__xludf.DUMMYFUNCTION("IF(OR(F687=""Finalizar"",F687="""",F687=""Selecciona..""),"""",IF(OR(F687=""-"",INDEX(filter(Familias!F:F,Familias!D:D=A687,Familias!E:E=C687),1)=""O""),D687+1,D687))"),"")</f>
        <v/>
      </c>
      <c r="E688" s="2" t="str">
        <f>IF(OR(F688="",F688="Selecciona.."),"",IF(D688="Implemento",SUMIF(Implementos!B:B,F688,Implementos!A:A),SUMIF(Productos!E:E,F688,Productos!A:A)))</f>
        <v/>
      </c>
      <c r="F688" s="2" t="str">
        <f t="shared" si="2"/>
        <v/>
      </c>
      <c r="G688" s="10" t="str">
        <f t="array" ref="G688">IF(OR(F688="",F688="-",F688="Selecciona..",F688="Finalizar"),"",IF(A688="Rodados",XLOOKUP(B688,'Validaciones Cotizador'!I:I,'Validaciones Cotizador'!J:J,0,0,1),1))</f>
        <v/>
      </c>
      <c r="H688" s="11" t="str">
        <f>IF(OR(F688="",F688="Selecciona.."),"",SUMIF(Precio_Productos!K:K,E688,Precio_Productos!J:J)*G688)</f>
        <v/>
      </c>
      <c r="I688" s="4" t="str">
        <f t="array" ref="I688">IF($E688="","", XLOOKUP(SUMIFS(Prod_Prop!$A:$A,Prod_Prop!$B:$B,$E688,Prod_Prop!$H:$H,I$1,Prod_Prop!$I:$I,"Exacto"),Prod_Prop!$A:$A,Prod_Prop!$J:$J,"",0,1))</f>
        <v/>
      </c>
      <c r="J688" s="4" t="str">
        <f t="array" ref="J688">IF($E688="","", XLOOKUP(SUMIFS(Prod_Prop!$A:$A,Prod_Prop!$B:$B,$E688,Prod_Prop!$H:$H,J$1,Prod_Prop!$I:$I,"Exacto"),Prod_Prop!$A:$A,Prod_Prop!$J:$J,"",0,1))</f>
        <v/>
      </c>
      <c r="K688" s="4" t="str">
        <f t="array" ref="K688">IF($E688="","", XLOOKUP(SUMIFS(Prod_Prop!$A:$A,Prod_Prop!$B:$B,$E688,Prod_Prop!$H:$H,K$1,Prod_Prop!$I:$I,"Exacto"),Prod_Prop!$A:$A,Prod_Prop!$J:$J,"",0,1))</f>
        <v/>
      </c>
      <c r="L688" s="4" t="str">
        <f t="array" ref="L688">IF($E688="","", XLOOKUP(SUMIFS(Prod_Prop!$A:$A,Prod_Prop!$B:$B,$E688,Prod_Prop!$H:$H,L$1,Prod_Prop!$I:$I,"Exacto"),Prod_Prop!$A:$A,Prod_Prop!$J:$J,"",0,1))</f>
        <v/>
      </c>
      <c r="M688" s="4" t="str">
        <f t="array" ref="M688">IF($E688="","", XLOOKUP(SUMIFS(Prod_Prop!$A:$A,Prod_Prop!$B:$B,$E688,Prod_Prop!$H:$H,M$1,Prod_Prop!$I:$I,"Exacto"),Prod_Prop!$A:$A,Prod_Prop!$J:$J,"",0,1))</f>
        <v/>
      </c>
      <c r="N688" s="4" t="str">
        <f t="array" ref="N688">IF($E688="","", XLOOKUP(SUMIFS(Prod_Prop!$A:$A,Prod_Prop!$B:$B,$E688,Prod_Prop!$H:$H,N$1,Prod_Prop!$I:$I,"Exacto"),Prod_Prop!$A:$A,Prod_Prop!$J:$J,"",0,1))</f>
        <v/>
      </c>
      <c r="O688" s="4" t="str">
        <f t="array" ref="O688">IF($E688="","", XLOOKUP(SUMIFS(Prod_Prop!$A:$A,Prod_Prop!$B:$B,$E688,Prod_Prop!$H:$H,O$1,Prod_Prop!$I:$I,"Exacto"),Prod_Prop!$A:$A,Prod_Prop!$J:$J,"",0,1))</f>
        <v/>
      </c>
      <c r="P688" s="4" t="str">
        <f t="array" ref="P688">IF($E688="","", XLOOKUP(SUMIFS(Prod_Prop!$A:$A,Prod_Prop!$B:$B,$E688,Prod_Prop!$H:$H,P$1,Prod_Prop!$I:$I,"Exacto"),Prod_Prop!$A:$A,Prod_Prop!$J:$J,"",0,1))</f>
        <v/>
      </c>
      <c r="Q688" s="4" t="str">
        <f t="array" ref="Q688">IF($E688="","", XLOOKUP(SUMIFS(Prod_Prop!$A:$A,Prod_Prop!$B:$B,$E688,Prod_Prop!$H:$H,Q$1,Prod_Prop!$I:$I,"Exacto"),Prod_Prop!$A:$A,Prod_Prop!$J:$J,"",0,1))</f>
        <v/>
      </c>
      <c r="R688" s="4" t="str">
        <f t="array" ref="R688">IF($E688="","", XLOOKUP(SUMIFS(Prod_Prop!$A:$A,Prod_Prop!$B:$B,$E688,Prod_Prop!$H:$H,R$1,Prod_Prop!$I:$I,"Exacto"),Prod_Prop!$A:$A,Prod_Prop!$J:$J,"",0,1))</f>
        <v/>
      </c>
      <c r="S688" s="4" t="str">
        <f t="array" ref="S688">IF($E688="","", XLOOKUP(SUMIFS(Prod_Prop!$A:$A,Prod_Prop!$B:$B,$E688,Prod_Prop!$H:$H,S$1,Prod_Prop!$I:$I,"Exacto"),Prod_Prop!$A:$A,Prod_Prop!$J:$J,"",0,1))</f>
        <v/>
      </c>
      <c r="T688" s="4" t="str">
        <f t="array" ref="T688">IF($E688="","", XLOOKUP(SUMIFS(Prod_Prop!$A:$A,Prod_Prop!$B:$B,$E688,Prod_Prop!$H:$H,T$1,Prod_Prop!$I:$I,"Exacto"),Prod_Prop!$A:$A,Prod_Prop!$J:$J,"",0,1))</f>
        <v/>
      </c>
      <c r="U688" s="4" t="str">
        <f t="array" ref="U688">IF($E688="","", XLOOKUP(SUMIFS(Prod_Prop!$A:$A,Prod_Prop!$B:$B,$E688,Prod_Prop!$H:$H,U$1,Prod_Prop!$I:$I,"Exacto"),Prod_Prop!$A:$A,Prod_Prop!$J:$J,"",0,1))</f>
        <v/>
      </c>
      <c r="V688" s="4" t="str">
        <f t="array" ref="V688">IF($E688="","", XLOOKUP(SUMIFS(Prod_Prop!$A:$A,Prod_Prop!$B:$B,$E688,Prod_Prop!$H:$H,V$1,Prod_Prop!$I:$I,"Exacto"),Prod_Prop!$A:$A,Prod_Prop!$J:$J,"",0,1))</f>
        <v/>
      </c>
      <c r="X688" s="3" t="str">
        <f>IFERROR(__xludf.DUMMYFUNCTION("IF(D688="""","""",IFERROR(TRANSPOSE(FILTER('Validaciones Cotizador'!U:U,'Validaciones Cotizador'!O:O=D688,'Validaciones Cotizador'!T:T=""x"")),""Finalizar""))"),"")</f>
        <v/>
      </c>
    </row>
    <row r="689">
      <c r="A689" s="2" t="str">
        <f t="array" ref="A689">IF(E689="","",XLOOKUP(D689,'Validaciones Cotizador'!C:C,'Validaciones Cotizador'!A:A,"",0,1))</f>
        <v/>
      </c>
      <c r="B689" s="2" t="str">
        <f t="array" ref="B689">IF(F689="","",XLOOKUP(F689,Productos!E:E,Productos!G:G,"",0,1))</f>
        <v/>
      </c>
      <c r="C689" s="2" t="str">
        <f>IF(A689="","",SUMIFS('Validaciones Cotizador'!B:B,'Validaciones Cotizador'!C:C,D689,'Validaciones Cotizador'!A:A,A689))</f>
        <v/>
      </c>
      <c r="D689" s="4" t="str">
        <f>IFERROR(__xludf.DUMMYFUNCTION("IF(OR(F688=""Finalizar"",F688="""",F688=""Selecciona..""),"""",IF(OR(F688=""-"",INDEX(filter(Familias!F:F,Familias!D:D=A688,Familias!E:E=C688),1)=""O""),D688+1,D688))"),"")</f>
        <v/>
      </c>
      <c r="E689" s="2" t="str">
        <f>IF(OR(F689="",F689="Selecciona.."),"",IF(D689="Implemento",SUMIF(Implementos!B:B,F689,Implementos!A:A),SUMIF(Productos!E:E,F689,Productos!A:A)))</f>
        <v/>
      </c>
      <c r="F689" s="2" t="str">
        <f t="shared" si="2"/>
        <v/>
      </c>
      <c r="G689" s="10" t="str">
        <f t="array" ref="G689">IF(OR(F689="",F689="-",F689="Selecciona..",F689="Finalizar"),"",IF(A689="Rodados",XLOOKUP(B689,'Validaciones Cotizador'!I:I,'Validaciones Cotizador'!J:J,0,0,1),1))</f>
        <v/>
      </c>
      <c r="H689" s="11" t="str">
        <f>IF(OR(F689="",F689="Selecciona.."),"",SUMIF(Precio_Productos!K:K,E689,Precio_Productos!J:J)*G689)</f>
        <v/>
      </c>
      <c r="I689" s="4" t="str">
        <f t="array" ref="I689">IF($E689="","", XLOOKUP(SUMIFS(Prod_Prop!$A:$A,Prod_Prop!$B:$B,$E689,Prod_Prop!$H:$H,I$1,Prod_Prop!$I:$I,"Exacto"),Prod_Prop!$A:$A,Prod_Prop!$J:$J,"",0,1))</f>
        <v/>
      </c>
      <c r="J689" s="4" t="str">
        <f t="array" ref="J689">IF($E689="","", XLOOKUP(SUMIFS(Prod_Prop!$A:$A,Prod_Prop!$B:$B,$E689,Prod_Prop!$H:$H,J$1,Prod_Prop!$I:$I,"Exacto"),Prod_Prop!$A:$A,Prod_Prop!$J:$J,"",0,1))</f>
        <v/>
      </c>
      <c r="K689" s="4" t="str">
        <f t="array" ref="K689">IF($E689="","", XLOOKUP(SUMIFS(Prod_Prop!$A:$A,Prod_Prop!$B:$B,$E689,Prod_Prop!$H:$H,K$1,Prod_Prop!$I:$I,"Exacto"),Prod_Prop!$A:$A,Prod_Prop!$J:$J,"",0,1))</f>
        <v/>
      </c>
      <c r="L689" s="4" t="str">
        <f t="array" ref="L689">IF($E689="","", XLOOKUP(SUMIFS(Prod_Prop!$A:$A,Prod_Prop!$B:$B,$E689,Prod_Prop!$H:$H,L$1,Prod_Prop!$I:$I,"Exacto"),Prod_Prop!$A:$A,Prod_Prop!$J:$J,"",0,1))</f>
        <v/>
      </c>
      <c r="M689" s="4" t="str">
        <f t="array" ref="M689">IF($E689="","", XLOOKUP(SUMIFS(Prod_Prop!$A:$A,Prod_Prop!$B:$B,$E689,Prod_Prop!$H:$H,M$1,Prod_Prop!$I:$I,"Exacto"),Prod_Prop!$A:$A,Prod_Prop!$J:$J,"",0,1))</f>
        <v/>
      </c>
      <c r="N689" s="4" t="str">
        <f t="array" ref="N689">IF($E689="","", XLOOKUP(SUMIFS(Prod_Prop!$A:$A,Prod_Prop!$B:$B,$E689,Prod_Prop!$H:$H,N$1,Prod_Prop!$I:$I,"Exacto"),Prod_Prop!$A:$A,Prod_Prop!$J:$J,"",0,1))</f>
        <v/>
      </c>
      <c r="O689" s="4" t="str">
        <f t="array" ref="O689">IF($E689="","", XLOOKUP(SUMIFS(Prod_Prop!$A:$A,Prod_Prop!$B:$B,$E689,Prod_Prop!$H:$H,O$1,Prod_Prop!$I:$I,"Exacto"),Prod_Prop!$A:$A,Prod_Prop!$J:$J,"",0,1))</f>
        <v/>
      </c>
      <c r="P689" s="4" t="str">
        <f t="array" ref="P689">IF($E689="","", XLOOKUP(SUMIFS(Prod_Prop!$A:$A,Prod_Prop!$B:$B,$E689,Prod_Prop!$H:$H,P$1,Prod_Prop!$I:$I,"Exacto"),Prod_Prop!$A:$A,Prod_Prop!$J:$J,"",0,1))</f>
        <v/>
      </c>
      <c r="Q689" s="4" t="str">
        <f t="array" ref="Q689">IF($E689="","", XLOOKUP(SUMIFS(Prod_Prop!$A:$A,Prod_Prop!$B:$B,$E689,Prod_Prop!$H:$H,Q$1,Prod_Prop!$I:$I,"Exacto"),Prod_Prop!$A:$A,Prod_Prop!$J:$J,"",0,1))</f>
        <v/>
      </c>
      <c r="R689" s="4" t="str">
        <f t="array" ref="R689">IF($E689="","", XLOOKUP(SUMIFS(Prod_Prop!$A:$A,Prod_Prop!$B:$B,$E689,Prod_Prop!$H:$H,R$1,Prod_Prop!$I:$I,"Exacto"),Prod_Prop!$A:$A,Prod_Prop!$J:$J,"",0,1))</f>
        <v/>
      </c>
      <c r="S689" s="4" t="str">
        <f t="array" ref="S689">IF($E689="","", XLOOKUP(SUMIFS(Prod_Prop!$A:$A,Prod_Prop!$B:$B,$E689,Prod_Prop!$H:$H,S$1,Prod_Prop!$I:$I,"Exacto"),Prod_Prop!$A:$A,Prod_Prop!$J:$J,"",0,1))</f>
        <v/>
      </c>
      <c r="T689" s="4" t="str">
        <f t="array" ref="T689">IF($E689="","", XLOOKUP(SUMIFS(Prod_Prop!$A:$A,Prod_Prop!$B:$B,$E689,Prod_Prop!$H:$H,T$1,Prod_Prop!$I:$I,"Exacto"),Prod_Prop!$A:$A,Prod_Prop!$J:$J,"",0,1))</f>
        <v/>
      </c>
      <c r="U689" s="4" t="str">
        <f t="array" ref="U689">IF($E689="","", XLOOKUP(SUMIFS(Prod_Prop!$A:$A,Prod_Prop!$B:$B,$E689,Prod_Prop!$H:$H,U$1,Prod_Prop!$I:$I,"Exacto"),Prod_Prop!$A:$A,Prod_Prop!$J:$J,"",0,1))</f>
        <v/>
      </c>
      <c r="V689" s="4" t="str">
        <f t="array" ref="V689">IF($E689="","", XLOOKUP(SUMIFS(Prod_Prop!$A:$A,Prod_Prop!$B:$B,$E689,Prod_Prop!$H:$H,V$1,Prod_Prop!$I:$I,"Exacto"),Prod_Prop!$A:$A,Prod_Prop!$J:$J,"",0,1))</f>
        <v/>
      </c>
      <c r="X689" s="3" t="str">
        <f>IFERROR(__xludf.DUMMYFUNCTION("IF(D689="""","""",IFERROR(TRANSPOSE(FILTER('Validaciones Cotizador'!U:U,'Validaciones Cotizador'!O:O=D689,'Validaciones Cotizador'!T:T=""x"")),""Finalizar""))"),"")</f>
        <v/>
      </c>
    </row>
    <row r="690">
      <c r="A690" s="2" t="str">
        <f t="array" ref="A690">IF(E690="","",XLOOKUP(D690,'Validaciones Cotizador'!C:C,'Validaciones Cotizador'!A:A,"",0,1))</f>
        <v/>
      </c>
      <c r="B690" s="2" t="str">
        <f t="array" ref="B690">IF(F690="","",XLOOKUP(F690,Productos!E:E,Productos!G:G,"",0,1))</f>
        <v/>
      </c>
      <c r="C690" s="2" t="str">
        <f>IF(A690="","",SUMIFS('Validaciones Cotizador'!B:B,'Validaciones Cotizador'!C:C,D690,'Validaciones Cotizador'!A:A,A690))</f>
        <v/>
      </c>
      <c r="D690" s="4" t="str">
        <f>IFERROR(__xludf.DUMMYFUNCTION("IF(OR(F689=""Finalizar"",F689="""",F689=""Selecciona..""),"""",IF(OR(F689=""-"",INDEX(filter(Familias!F:F,Familias!D:D=A689,Familias!E:E=C689),1)=""O""),D689+1,D689))"),"")</f>
        <v/>
      </c>
      <c r="E690" s="2" t="str">
        <f>IF(OR(F690="",F690="Selecciona.."),"",IF(D690="Implemento",SUMIF(Implementos!B:B,F690,Implementos!A:A),SUMIF(Productos!E:E,F690,Productos!A:A)))</f>
        <v/>
      </c>
      <c r="F690" s="2" t="str">
        <f t="shared" si="2"/>
        <v/>
      </c>
      <c r="G690" s="10" t="str">
        <f t="array" ref="G690">IF(OR(F690="",F690="-",F690="Selecciona..",F690="Finalizar"),"",IF(A690="Rodados",XLOOKUP(B690,'Validaciones Cotizador'!I:I,'Validaciones Cotizador'!J:J,0,0,1),1))</f>
        <v/>
      </c>
      <c r="H690" s="11" t="str">
        <f>IF(OR(F690="",F690="Selecciona.."),"",SUMIF(Precio_Productos!K:K,E690,Precio_Productos!J:J)*G690)</f>
        <v/>
      </c>
      <c r="I690" s="4" t="str">
        <f t="array" ref="I690">IF($E690="","", XLOOKUP(SUMIFS(Prod_Prop!$A:$A,Prod_Prop!$B:$B,$E690,Prod_Prop!$H:$H,I$1,Prod_Prop!$I:$I,"Exacto"),Prod_Prop!$A:$A,Prod_Prop!$J:$J,"",0,1))</f>
        <v/>
      </c>
      <c r="J690" s="4" t="str">
        <f t="array" ref="J690">IF($E690="","", XLOOKUP(SUMIFS(Prod_Prop!$A:$A,Prod_Prop!$B:$B,$E690,Prod_Prop!$H:$H,J$1,Prod_Prop!$I:$I,"Exacto"),Prod_Prop!$A:$A,Prod_Prop!$J:$J,"",0,1))</f>
        <v/>
      </c>
      <c r="K690" s="4" t="str">
        <f t="array" ref="K690">IF($E690="","", XLOOKUP(SUMIFS(Prod_Prop!$A:$A,Prod_Prop!$B:$B,$E690,Prod_Prop!$H:$H,K$1,Prod_Prop!$I:$I,"Exacto"),Prod_Prop!$A:$A,Prod_Prop!$J:$J,"",0,1))</f>
        <v/>
      </c>
      <c r="L690" s="4" t="str">
        <f t="array" ref="L690">IF($E690="","", XLOOKUP(SUMIFS(Prod_Prop!$A:$A,Prod_Prop!$B:$B,$E690,Prod_Prop!$H:$H,L$1,Prod_Prop!$I:$I,"Exacto"),Prod_Prop!$A:$A,Prod_Prop!$J:$J,"",0,1))</f>
        <v/>
      </c>
      <c r="M690" s="4" t="str">
        <f t="array" ref="M690">IF($E690="","", XLOOKUP(SUMIFS(Prod_Prop!$A:$A,Prod_Prop!$B:$B,$E690,Prod_Prop!$H:$H,M$1,Prod_Prop!$I:$I,"Exacto"),Prod_Prop!$A:$A,Prod_Prop!$J:$J,"",0,1))</f>
        <v/>
      </c>
      <c r="N690" s="4" t="str">
        <f t="array" ref="N690">IF($E690="","", XLOOKUP(SUMIFS(Prod_Prop!$A:$A,Prod_Prop!$B:$B,$E690,Prod_Prop!$H:$H,N$1,Prod_Prop!$I:$I,"Exacto"),Prod_Prop!$A:$A,Prod_Prop!$J:$J,"",0,1))</f>
        <v/>
      </c>
      <c r="O690" s="4" t="str">
        <f t="array" ref="O690">IF($E690="","", XLOOKUP(SUMIFS(Prod_Prop!$A:$A,Prod_Prop!$B:$B,$E690,Prod_Prop!$H:$H,O$1,Prod_Prop!$I:$I,"Exacto"),Prod_Prop!$A:$A,Prod_Prop!$J:$J,"",0,1))</f>
        <v/>
      </c>
      <c r="P690" s="4" t="str">
        <f t="array" ref="P690">IF($E690="","", XLOOKUP(SUMIFS(Prod_Prop!$A:$A,Prod_Prop!$B:$B,$E690,Prod_Prop!$H:$H,P$1,Prod_Prop!$I:$I,"Exacto"),Prod_Prop!$A:$A,Prod_Prop!$J:$J,"",0,1))</f>
        <v/>
      </c>
      <c r="Q690" s="4" t="str">
        <f t="array" ref="Q690">IF($E690="","", XLOOKUP(SUMIFS(Prod_Prop!$A:$A,Prod_Prop!$B:$B,$E690,Prod_Prop!$H:$H,Q$1,Prod_Prop!$I:$I,"Exacto"),Prod_Prop!$A:$A,Prod_Prop!$J:$J,"",0,1))</f>
        <v/>
      </c>
      <c r="R690" s="4" t="str">
        <f t="array" ref="R690">IF($E690="","", XLOOKUP(SUMIFS(Prod_Prop!$A:$A,Prod_Prop!$B:$B,$E690,Prod_Prop!$H:$H,R$1,Prod_Prop!$I:$I,"Exacto"),Prod_Prop!$A:$A,Prod_Prop!$J:$J,"",0,1))</f>
        <v/>
      </c>
      <c r="S690" s="4" t="str">
        <f t="array" ref="S690">IF($E690="","", XLOOKUP(SUMIFS(Prod_Prop!$A:$A,Prod_Prop!$B:$B,$E690,Prod_Prop!$H:$H,S$1,Prod_Prop!$I:$I,"Exacto"),Prod_Prop!$A:$A,Prod_Prop!$J:$J,"",0,1))</f>
        <v/>
      </c>
      <c r="T690" s="4" t="str">
        <f t="array" ref="T690">IF($E690="","", XLOOKUP(SUMIFS(Prod_Prop!$A:$A,Prod_Prop!$B:$B,$E690,Prod_Prop!$H:$H,T$1,Prod_Prop!$I:$I,"Exacto"),Prod_Prop!$A:$A,Prod_Prop!$J:$J,"",0,1))</f>
        <v/>
      </c>
      <c r="U690" s="4" t="str">
        <f t="array" ref="U690">IF($E690="","", XLOOKUP(SUMIFS(Prod_Prop!$A:$A,Prod_Prop!$B:$B,$E690,Prod_Prop!$H:$H,U$1,Prod_Prop!$I:$I,"Exacto"),Prod_Prop!$A:$A,Prod_Prop!$J:$J,"",0,1))</f>
        <v/>
      </c>
      <c r="V690" s="4" t="str">
        <f t="array" ref="V690">IF($E690="","", XLOOKUP(SUMIFS(Prod_Prop!$A:$A,Prod_Prop!$B:$B,$E690,Prod_Prop!$H:$H,V$1,Prod_Prop!$I:$I,"Exacto"),Prod_Prop!$A:$A,Prod_Prop!$J:$J,"",0,1))</f>
        <v/>
      </c>
      <c r="X690" s="3" t="str">
        <f>IFERROR(__xludf.DUMMYFUNCTION("IF(D690="""","""",IFERROR(TRANSPOSE(FILTER('Validaciones Cotizador'!U:U,'Validaciones Cotizador'!O:O=D690,'Validaciones Cotizador'!T:T=""x"")),""Finalizar""))"),"")</f>
        <v/>
      </c>
    </row>
    <row r="691">
      <c r="A691" s="2" t="str">
        <f t="array" ref="A691">IF(E691="","",XLOOKUP(D691,'Validaciones Cotizador'!C:C,'Validaciones Cotizador'!A:A,"",0,1))</f>
        <v/>
      </c>
      <c r="B691" s="2" t="str">
        <f t="array" ref="B691">IF(F691="","",XLOOKUP(F691,Productos!E:E,Productos!G:G,"",0,1))</f>
        <v/>
      </c>
      <c r="C691" s="2" t="str">
        <f>IF(A691="","",SUMIFS('Validaciones Cotizador'!B:B,'Validaciones Cotizador'!C:C,D691,'Validaciones Cotizador'!A:A,A691))</f>
        <v/>
      </c>
      <c r="D691" s="4" t="str">
        <f>IFERROR(__xludf.DUMMYFUNCTION("IF(OR(F690=""Finalizar"",F690="""",F690=""Selecciona..""),"""",IF(OR(F690=""-"",INDEX(filter(Familias!F:F,Familias!D:D=A690,Familias!E:E=C690),1)=""O""),D690+1,D690))"),"")</f>
        <v/>
      </c>
      <c r="E691" s="2" t="str">
        <f>IF(OR(F691="",F691="Selecciona.."),"",IF(D691="Implemento",SUMIF(Implementos!B:B,F691,Implementos!A:A),SUMIF(Productos!E:E,F691,Productos!A:A)))</f>
        <v/>
      </c>
      <c r="F691" s="2" t="str">
        <f t="shared" si="2"/>
        <v/>
      </c>
      <c r="G691" s="10" t="str">
        <f t="array" ref="G691">IF(OR(F691="",F691="-",F691="Selecciona..",F691="Finalizar"),"",IF(A691="Rodados",XLOOKUP(B691,'Validaciones Cotizador'!I:I,'Validaciones Cotizador'!J:J,0,0,1),1))</f>
        <v/>
      </c>
      <c r="H691" s="11" t="str">
        <f>IF(OR(F691="",F691="Selecciona.."),"",SUMIF(Precio_Productos!K:K,E691,Precio_Productos!J:J)*G691)</f>
        <v/>
      </c>
      <c r="I691" s="4" t="str">
        <f t="array" ref="I691">IF($E691="","", XLOOKUP(SUMIFS(Prod_Prop!$A:$A,Prod_Prop!$B:$B,$E691,Prod_Prop!$H:$H,I$1,Prod_Prop!$I:$I,"Exacto"),Prod_Prop!$A:$A,Prod_Prop!$J:$J,"",0,1))</f>
        <v/>
      </c>
      <c r="J691" s="4" t="str">
        <f t="array" ref="J691">IF($E691="","", XLOOKUP(SUMIFS(Prod_Prop!$A:$A,Prod_Prop!$B:$B,$E691,Prod_Prop!$H:$H,J$1,Prod_Prop!$I:$I,"Exacto"),Prod_Prop!$A:$A,Prod_Prop!$J:$J,"",0,1))</f>
        <v/>
      </c>
      <c r="K691" s="4" t="str">
        <f t="array" ref="K691">IF($E691="","", XLOOKUP(SUMIFS(Prod_Prop!$A:$A,Prod_Prop!$B:$B,$E691,Prod_Prop!$H:$H,K$1,Prod_Prop!$I:$I,"Exacto"),Prod_Prop!$A:$A,Prod_Prop!$J:$J,"",0,1))</f>
        <v/>
      </c>
      <c r="L691" s="4" t="str">
        <f t="array" ref="L691">IF($E691="","", XLOOKUP(SUMIFS(Prod_Prop!$A:$A,Prod_Prop!$B:$B,$E691,Prod_Prop!$H:$H,L$1,Prod_Prop!$I:$I,"Exacto"),Prod_Prop!$A:$A,Prod_Prop!$J:$J,"",0,1))</f>
        <v/>
      </c>
      <c r="M691" s="4" t="str">
        <f t="array" ref="M691">IF($E691="","", XLOOKUP(SUMIFS(Prod_Prop!$A:$A,Prod_Prop!$B:$B,$E691,Prod_Prop!$H:$H,M$1,Prod_Prop!$I:$I,"Exacto"),Prod_Prop!$A:$A,Prod_Prop!$J:$J,"",0,1))</f>
        <v/>
      </c>
      <c r="N691" s="4" t="str">
        <f t="array" ref="N691">IF($E691="","", XLOOKUP(SUMIFS(Prod_Prop!$A:$A,Prod_Prop!$B:$B,$E691,Prod_Prop!$H:$H,N$1,Prod_Prop!$I:$I,"Exacto"),Prod_Prop!$A:$A,Prod_Prop!$J:$J,"",0,1))</f>
        <v/>
      </c>
      <c r="O691" s="4" t="str">
        <f t="array" ref="O691">IF($E691="","", XLOOKUP(SUMIFS(Prod_Prop!$A:$A,Prod_Prop!$B:$B,$E691,Prod_Prop!$H:$H,O$1,Prod_Prop!$I:$I,"Exacto"),Prod_Prop!$A:$A,Prod_Prop!$J:$J,"",0,1))</f>
        <v/>
      </c>
      <c r="P691" s="4" t="str">
        <f t="array" ref="P691">IF($E691="","", XLOOKUP(SUMIFS(Prod_Prop!$A:$A,Prod_Prop!$B:$B,$E691,Prod_Prop!$H:$H,P$1,Prod_Prop!$I:$I,"Exacto"),Prod_Prop!$A:$A,Prod_Prop!$J:$J,"",0,1))</f>
        <v/>
      </c>
      <c r="Q691" s="4" t="str">
        <f t="array" ref="Q691">IF($E691="","", XLOOKUP(SUMIFS(Prod_Prop!$A:$A,Prod_Prop!$B:$B,$E691,Prod_Prop!$H:$H,Q$1,Prod_Prop!$I:$I,"Exacto"),Prod_Prop!$A:$A,Prod_Prop!$J:$J,"",0,1))</f>
        <v/>
      </c>
      <c r="R691" s="4" t="str">
        <f t="array" ref="R691">IF($E691="","", XLOOKUP(SUMIFS(Prod_Prop!$A:$A,Prod_Prop!$B:$B,$E691,Prod_Prop!$H:$H,R$1,Prod_Prop!$I:$I,"Exacto"),Prod_Prop!$A:$A,Prod_Prop!$J:$J,"",0,1))</f>
        <v/>
      </c>
      <c r="S691" s="4" t="str">
        <f t="array" ref="S691">IF($E691="","", XLOOKUP(SUMIFS(Prod_Prop!$A:$A,Prod_Prop!$B:$B,$E691,Prod_Prop!$H:$H,S$1,Prod_Prop!$I:$I,"Exacto"),Prod_Prop!$A:$A,Prod_Prop!$J:$J,"",0,1))</f>
        <v/>
      </c>
      <c r="T691" s="4" t="str">
        <f t="array" ref="T691">IF($E691="","", XLOOKUP(SUMIFS(Prod_Prop!$A:$A,Prod_Prop!$B:$B,$E691,Prod_Prop!$H:$H,T$1,Prod_Prop!$I:$I,"Exacto"),Prod_Prop!$A:$A,Prod_Prop!$J:$J,"",0,1))</f>
        <v/>
      </c>
      <c r="U691" s="4" t="str">
        <f t="array" ref="U691">IF($E691="","", XLOOKUP(SUMIFS(Prod_Prop!$A:$A,Prod_Prop!$B:$B,$E691,Prod_Prop!$H:$H,U$1,Prod_Prop!$I:$I,"Exacto"),Prod_Prop!$A:$A,Prod_Prop!$J:$J,"",0,1))</f>
        <v/>
      </c>
      <c r="V691" s="4" t="str">
        <f t="array" ref="V691">IF($E691="","", XLOOKUP(SUMIFS(Prod_Prop!$A:$A,Prod_Prop!$B:$B,$E691,Prod_Prop!$H:$H,V$1,Prod_Prop!$I:$I,"Exacto"),Prod_Prop!$A:$A,Prod_Prop!$J:$J,"",0,1))</f>
        <v/>
      </c>
      <c r="X691" s="3" t="str">
        <f>IFERROR(__xludf.DUMMYFUNCTION("IF(D691="""","""",IFERROR(TRANSPOSE(FILTER('Validaciones Cotizador'!U:U,'Validaciones Cotizador'!O:O=D691,'Validaciones Cotizador'!T:T=""x"")),""Finalizar""))"),"")</f>
        <v/>
      </c>
    </row>
    <row r="692">
      <c r="A692" s="2" t="str">
        <f t="array" ref="A692">IF(E692="","",XLOOKUP(D692,'Validaciones Cotizador'!C:C,'Validaciones Cotizador'!A:A,"",0,1))</f>
        <v/>
      </c>
      <c r="B692" s="2" t="str">
        <f t="array" ref="B692">IF(F692="","",XLOOKUP(F692,Productos!E:E,Productos!G:G,"",0,1))</f>
        <v/>
      </c>
      <c r="C692" s="2" t="str">
        <f>IF(A692="","",SUMIFS('Validaciones Cotizador'!B:B,'Validaciones Cotizador'!C:C,D692,'Validaciones Cotizador'!A:A,A692))</f>
        <v/>
      </c>
      <c r="D692" s="4" t="str">
        <f>IFERROR(__xludf.DUMMYFUNCTION("IF(OR(F691=""Finalizar"",F691="""",F691=""Selecciona..""),"""",IF(OR(F691=""-"",INDEX(filter(Familias!F:F,Familias!D:D=A691,Familias!E:E=C691),1)=""O""),D691+1,D691))"),"")</f>
        <v/>
      </c>
      <c r="E692" s="2" t="str">
        <f>IF(OR(F692="",F692="Selecciona.."),"",IF(D692="Implemento",SUMIF(Implementos!B:B,F692,Implementos!A:A),SUMIF(Productos!E:E,F692,Productos!A:A)))</f>
        <v/>
      </c>
      <c r="F692" s="2" t="str">
        <f t="shared" si="2"/>
        <v/>
      </c>
      <c r="G692" s="10" t="str">
        <f t="array" ref="G692">IF(OR(F692="",F692="-",F692="Selecciona..",F692="Finalizar"),"",IF(A692="Rodados",XLOOKUP(B692,'Validaciones Cotizador'!I:I,'Validaciones Cotizador'!J:J,0,0,1),1))</f>
        <v/>
      </c>
      <c r="H692" s="11" t="str">
        <f>IF(OR(F692="",F692="Selecciona.."),"",SUMIF(Precio_Productos!K:K,E692,Precio_Productos!J:J)*G692)</f>
        <v/>
      </c>
      <c r="I692" s="4" t="str">
        <f t="array" ref="I692">IF($E692="","", XLOOKUP(SUMIFS(Prod_Prop!$A:$A,Prod_Prop!$B:$B,$E692,Prod_Prop!$H:$H,I$1,Prod_Prop!$I:$I,"Exacto"),Prod_Prop!$A:$A,Prod_Prop!$J:$J,"",0,1))</f>
        <v/>
      </c>
      <c r="J692" s="4" t="str">
        <f t="array" ref="J692">IF($E692="","", XLOOKUP(SUMIFS(Prod_Prop!$A:$A,Prod_Prop!$B:$B,$E692,Prod_Prop!$H:$H,J$1,Prod_Prop!$I:$I,"Exacto"),Prod_Prop!$A:$A,Prod_Prop!$J:$J,"",0,1))</f>
        <v/>
      </c>
      <c r="K692" s="4" t="str">
        <f t="array" ref="K692">IF($E692="","", XLOOKUP(SUMIFS(Prod_Prop!$A:$A,Prod_Prop!$B:$B,$E692,Prod_Prop!$H:$H,K$1,Prod_Prop!$I:$I,"Exacto"),Prod_Prop!$A:$A,Prod_Prop!$J:$J,"",0,1))</f>
        <v/>
      </c>
      <c r="L692" s="4" t="str">
        <f t="array" ref="L692">IF($E692="","", XLOOKUP(SUMIFS(Prod_Prop!$A:$A,Prod_Prop!$B:$B,$E692,Prod_Prop!$H:$H,L$1,Prod_Prop!$I:$I,"Exacto"),Prod_Prop!$A:$A,Prod_Prop!$J:$J,"",0,1))</f>
        <v/>
      </c>
      <c r="M692" s="4" t="str">
        <f t="array" ref="M692">IF($E692="","", XLOOKUP(SUMIFS(Prod_Prop!$A:$A,Prod_Prop!$B:$B,$E692,Prod_Prop!$H:$H,M$1,Prod_Prop!$I:$I,"Exacto"),Prod_Prop!$A:$A,Prod_Prop!$J:$J,"",0,1))</f>
        <v/>
      </c>
      <c r="N692" s="4" t="str">
        <f t="array" ref="N692">IF($E692="","", XLOOKUP(SUMIFS(Prod_Prop!$A:$A,Prod_Prop!$B:$B,$E692,Prod_Prop!$H:$H,N$1,Prod_Prop!$I:$I,"Exacto"),Prod_Prop!$A:$A,Prod_Prop!$J:$J,"",0,1))</f>
        <v/>
      </c>
      <c r="O692" s="4" t="str">
        <f t="array" ref="O692">IF($E692="","", XLOOKUP(SUMIFS(Prod_Prop!$A:$A,Prod_Prop!$B:$B,$E692,Prod_Prop!$H:$H,O$1,Prod_Prop!$I:$I,"Exacto"),Prod_Prop!$A:$A,Prod_Prop!$J:$J,"",0,1))</f>
        <v/>
      </c>
      <c r="P692" s="4" t="str">
        <f t="array" ref="P692">IF($E692="","", XLOOKUP(SUMIFS(Prod_Prop!$A:$A,Prod_Prop!$B:$B,$E692,Prod_Prop!$H:$H,P$1,Prod_Prop!$I:$I,"Exacto"),Prod_Prop!$A:$A,Prod_Prop!$J:$J,"",0,1))</f>
        <v/>
      </c>
      <c r="Q692" s="4" t="str">
        <f t="array" ref="Q692">IF($E692="","", XLOOKUP(SUMIFS(Prod_Prop!$A:$A,Prod_Prop!$B:$B,$E692,Prod_Prop!$H:$H,Q$1,Prod_Prop!$I:$I,"Exacto"),Prod_Prop!$A:$A,Prod_Prop!$J:$J,"",0,1))</f>
        <v/>
      </c>
      <c r="R692" s="4" t="str">
        <f t="array" ref="R692">IF($E692="","", XLOOKUP(SUMIFS(Prod_Prop!$A:$A,Prod_Prop!$B:$B,$E692,Prod_Prop!$H:$H,R$1,Prod_Prop!$I:$I,"Exacto"),Prod_Prop!$A:$A,Prod_Prop!$J:$J,"",0,1))</f>
        <v/>
      </c>
      <c r="S692" s="4" t="str">
        <f t="array" ref="S692">IF($E692="","", XLOOKUP(SUMIFS(Prod_Prop!$A:$A,Prod_Prop!$B:$B,$E692,Prod_Prop!$H:$H,S$1,Prod_Prop!$I:$I,"Exacto"),Prod_Prop!$A:$A,Prod_Prop!$J:$J,"",0,1))</f>
        <v/>
      </c>
      <c r="T692" s="4" t="str">
        <f t="array" ref="T692">IF($E692="","", XLOOKUP(SUMIFS(Prod_Prop!$A:$A,Prod_Prop!$B:$B,$E692,Prod_Prop!$H:$H,T$1,Prod_Prop!$I:$I,"Exacto"),Prod_Prop!$A:$A,Prod_Prop!$J:$J,"",0,1))</f>
        <v/>
      </c>
      <c r="U692" s="4" t="str">
        <f t="array" ref="U692">IF($E692="","", XLOOKUP(SUMIFS(Prod_Prop!$A:$A,Prod_Prop!$B:$B,$E692,Prod_Prop!$H:$H,U$1,Prod_Prop!$I:$I,"Exacto"),Prod_Prop!$A:$A,Prod_Prop!$J:$J,"",0,1))</f>
        <v/>
      </c>
      <c r="V692" s="4" t="str">
        <f t="array" ref="V692">IF($E692="","", XLOOKUP(SUMIFS(Prod_Prop!$A:$A,Prod_Prop!$B:$B,$E692,Prod_Prop!$H:$H,V$1,Prod_Prop!$I:$I,"Exacto"),Prod_Prop!$A:$A,Prod_Prop!$J:$J,"",0,1))</f>
        <v/>
      </c>
      <c r="X692" s="3" t="str">
        <f>IFERROR(__xludf.DUMMYFUNCTION("IF(D692="""","""",IFERROR(TRANSPOSE(FILTER('Validaciones Cotizador'!U:U,'Validaciones Cotizador'!O:O=D692,'Validaciones Cotizador'!T:T=""x"")),""Finalizar""))"),"")</f>
        <v/>
      </c>
    </row>
    <row r="693">
      <c r="A693" s="2" t="str">
        <f t="array" ref="A693">IF(E693="","",XLOOKUP(D693,'Validaciones Cotizador'!C:C,'Validaciones Cotizador'!A:A,"",0,1))</f>
        <v/>
      </c>
      <c r="B693" s="2" t="str">
        <f t="array" ref="B693">IF(F693="","",XLOOKUP(F693,Productos!E:E,Productos!G:G,"",0,1))</f>
        <v/>
      </c>
      <c r="C693" s="2" t="str">
        <f>IF(A693="","",SUMIFS('Validaciones Cotizador'!B:B,'Validaciones Cotizador'!C:C,D693,'Validaciones Cotizador'!A:A,A693))</f>
        <v/>
      </c>
      <c r="D693" s="4" t="str">
        <f>IFERROR(__xludf.DUMMYFUNCTION("IF(OR(F692=""Finalizar"",F692="""",F692=""Selecciona..""),"""",IF(OR(F692=""-"",INDEX(filter(Familias!F:F,Familias!D:D=A692,Familias!E:E=C692),1)=""O""),D692+1,D692))"),"")</f>
        <v/>
      </c>
      <c r="E693" s="2" t="str">
        <f>IF(OR(F693="",F693="Selecciona.."),"",IF(D693="Implemento",SUMIF(Implementos!B:B,F693,Implementos!A:A),SUMIF(Productos!E:E,F693,Productos!A:A)))</f>
        <v/>
      </c>
      <c r="F693" s="2" t="str">
        <f t="shared" si="2"/>
        <v/>
      </c>
      <c r="G693" s="10" t="str">
        <f t="array" ref="G693">IF(OR(F693="",F693="-",F693="Selecciona..",F693="Finalizar"),"",IF(A693="Rodados",XLOOKUP(B693,'Validaciones Cotizador'!I:I,'Validaciones Cotizador'!J:J,0,0,1),1))</f>
        <v/>
      </c>
      <c r="H693" s="11" t="str">
        <f>IF(OR(F693="",F693="Selecciona.."),"",SUMIF(Precio_Productos!K:K,E693,Precio_Productos!J:J)*G693)</f>
        <v/>
      </c>
      <c r="I693" s="4" t="str">
        <f t="array" ref="I693">IF($E693="","", XLOOKUP(SUMIFS(Prod_Prop!$A:$A,Prod_Prop!$B:$B,$E693,Prod_Prop!$H:$H,I$1,Prod_Prop!$I:$I,"Exacto"),Prod_Prop!$A:$A,Prod_Prop!$J:$J,"",0,1))</f>
        <v/>
      </c>
      <c r="J693" s="4" t="str">
        <f t="array" ref="J693">IF($E693="","", XLOOKUP(SUMIFS(Prod_Prop!$A:$A,Prod_Prop!$B:$B,$E693,Prod_Prop!$H:$H,J$1,Prod_Prop!$I:$I,"Exacto"),Prod_Prop!$A:$A,Prod_Prop!$J:$J,"",0,1))</f>
        <v/>
      </c>
      <c r="K693" s="4" t="str">
        <f t="array" ref="K693">IF($E693="","", XLOOKUP(SUMIFS(Prod_Prop!$A:$A,Prod_Prop!$B:$B,$E693,Prod_Prop!$H:$H,K$1,Prod_Prop!$I:$I,"Exacto"),Prod_Prop!$A:$A,Prod_Prop!$J:$J,"",0,1))</f>
        <v/>
      </c>
      <c r="L693" s="4" t="str">
        <f t="array" ref="L693">IF($E693="","", XLOOKUP(SUMIFS(Prod_Prop!$A:$A,Prod_Prop!$B:$B,$E693,Prod_Prop!$H:$H,L$1,Prod_Prop!$I:$I,"Exacto"),Prod_Prop!$A:$A,Prod_Prop!$J:$J,"",0,1))</f>
        <v/>
      </c>
      <c r="M693" s="4" t="str">
        <f t="array" ref="M693">IF($E693="","", XLOOKUP(SUMIFS(Prod_Prop!$A:$A,Prod_Prop!$B:$B,$E693,Prod_Prop!$H:$H,M$1,Prod_Prop!$I:$I,"Exacto"),Prod_Prop!$A:$A,Prod_Prop!$J:$J,"",0,1))</f>
        <v/>
      </c>
      <c r="N693" s="4" t="str">
        <f t="array" ref="N693">IF($E693="","", XLOOKUP(SUMIFS(Prod_Prop!$A:$A,Prod_Prop!$B:$B,$E693,Prod_Prop!$H:$H,N$1,Prod_Prop!$I:$I,"Exacto"),Prod_Prop!$A:$A,Prod_Prop!$J:$J,"",0,1))</f>
        <v/>
      </c>
      <c r="O693" s="4" t="str">
        <f t="array" ref="O693">IF($E693="","", XLOOKUP(SUMIFS(Prod_Prop!$A:$A,Prod_Prop!$B:$B,$E693,Prod_Prop!$H:$H,O$1,Prod_Prop!$I:$I,"Exacto"),Prod_Prop!$A:$A,Prod_Prop!$J:$J,"",0,1))</f>
        <v/>
      </c>
      <c r="P693" s="4" t="str">
        <f t="array" ref="P693">IF($E693="","", XLOOKUP(SUMIFS(Prod_Prop!$A:$A,Prod_Prop!$B:$B,$E693,Prod_Prop!$H:$H,P$1,Prod_Prop!$I:$I,"Exacto"),Prod_Prop!$A:$A,Prod_Prop!$J:$J,"",0,1))</f>
        <v/>
      </c>
      <c r="Q693" s="4" t="str">
        <f t="array" ref="Q693">IF($E693="","", XLOOKUP(SUMIFS(Prod_Prop!$A:$A,Prod_Prop!$B:$B,$E693,Prod_Prop!$H:$H,Q$1,Prod_Prop!$I:$I,"Exacto"),Prod_Prop!$A:$A,Prod_Prop!$J:$J,"",0,1))</f>
        <v/>
      </c>
      <c r="R693" s="4" t="str">
        <f t="array" ref="R693">IF($E693="","", XLOOKUP(SUMIFS(Prod_Prop!$A:$A,Prod_Prop!$B:$B,$E693,Prod_Prop!$H:$H,R$1,Prod_Prop!$I:$I,"Exacto"),Prod_Prop!$A:$A,Prod_Prop!$J:$J,"",0,1))</f>
        <v/>
      </c>
      <c r="S693" s="4" t="str">
        <f t="array" ref="S693">IF($E693="","", XLOOKUP(SUMIFS(Prod_Prop!$A:$A,Prod_Prop!$B:$B,$E693,Prod_Prop!$H:$H,S$1,Prod_Prop!$I:$I,"Exacto"),Prod_Prop!$A:$A,Prod_Prop!$J:$J,"",0,1))</f>
        <v/>
      </c>
      <c r="T693" s="4" t="str">
        <f t="array" ref="T693">IF($E693="","", XLOOKUP(SUMIFS(Prod_Prop!$A:$A,Prod_Prop!$B:$B,$E693,Prod_Prop!$H:$H,T$1,Prod_Prop!$I:$I,"Exacto"),Prod_Prop!$A:$A,Prod_Prop!$J:$J,"",0,1))</f>
        <v/>
      </c>
      <c r="U693" s="4" t="str">
        <f t="array" ref="U693">IF($E693="","", XLOOKUP(SUMIFS(Prod_Prop!$A:$A,Prod_Prop!$B:$B,$E693,Prod_Prop!$H:$H,U$1,Prod_Prop!$I:$I,"Exacto"),Prod_Prop!$A:$A,Prod_Prop!$J:$J,"",0,1))</f>
        <v/>
      </c>
      <c r="V693" s="4" t="str">
        <f t="array" ref="V693">IF($E693="","", XLOOKUP(SUMIFS(Prod_Prop!$A:$A,Prod_Prop!$B:$B,$E693,Prod_Prop!$H:$H,V$1,Prod_Prop!$I:$I,"Exacto"),Prod_Prop!$A:$A,Prod_Prop!$J:$J,"",0,1))</f>
        <v/>
      </c>
      <c r="X693" s="3" t="str">
        <f>IFERROR(__xludf.DUMMYFUNCTION("IF(D693="""","""",IFERROR(TRANSPOSE(FILTER('Validaciones Cotizador'!U:U,'Validaciones Cotizador'!O:O=D693,'Validaciones Cotizador'!T:T=""x"")),""Finalizar""))"),"")</f>
        <v/>
      </c>
    </row>
    <row r="694">
      <c r="A694" s="2" t="str">
        <f t="array" ref="A694">IF(E694="","",XLOOKUP(D694,'Validaciones Cotizador'!C:C,'Validaciones Cotizador'!A:A,"",0,1))</f>
        <v/>
      </c>
      <c r="B694" s="2" t="str">
        <f t="array" ref="B694">IF(F694="","",XLOOKUP(F694,Productos!E:E,Productos!G:G,"",0,1))</f>
        <v/>
      </c>
      <c r="C694" s="2" t="str">
        <f>IF(A694="","",SUMIFS('Validaciones Cotizador'!B:B,'Validaciones Cotizador'!C:C,D694,'Validaciones Cotizador'!A:A,A694))</f>
        <v/>
      </c>
      <c r="D694" s="4" t="str">
        <f>IFERROR(__xludf.DUMMYFUNCTION("IF(OR(F693=""Finalizar"",F693="""",F693=""Selecciona..""),"""",IF(OR(F693=""-"",INDEX(filter(Familias!F:F,Familias!D:D=A693,Familias!E:E=C693),1)=""O""),D693+1,D693))"),"")</f>
        <v/>
      </c>
      <c r="E694" s="2" t="str">
        <f>IF(OR(F694="",F694="Selecciona.."),"",IF(D694="Implemento",SUMIF(Implementos!B:B,F694,Implementos!A:A),SUMIF(Productos!E:E,F694,Productos!A:A)))</f>
        <v/>
      </c>
      <c r="F694" s="2" t="str">
        <f t="shared" si="2"/>
        <v/>
      </c>
      <c r="G694" s="10" t="str">
        <f t="array" ref="G694">IF(OR(F694="",F694="-",F694="Selecciona..",F694="Finalizar"),"",IF(A694="Rodados",XLOOKUP(B694,'Validaciones Cotizador'!I:I,'Validaciones Cotizador'!J:J,0,0,1),1))</f>
        <v/>
      </c>
      <c r="H694" s="11" t="str">
        <f>IF(OR(F694="",F694="Selecciona.."),"",SUMIF(Precio_Productos!K:K,E694,Precio_Productos!J:J)*G694)</f>
        <v/>
      </c>
      <c r="I694" s="4" t="str">
        <f t="array" ref="I694">IF($E694="","", XLOOKUP(SUMIFS(Prod_Prop!$A:$A,Prod_Prop!$B:$B,$E694,Prod_Prop!$H:$H,I$1,Prod_Prop!$I:$I,"Exacto"),Prod_Prop!$A:$A,Prod_Prop!$J:$J,"",0,1))</f>
        <v/>
      </c>
      <c r="J694" s="4" t="str">
        <f t="array" ref="J694">IF($E694="","", XLOOKUP(SUMIFS(Prod_Prop!$A:$A,Prod_Prop!$B:$B,$E694,Prod_Prop!$H:$H,J$1,Prod_Prop!$I:$I,"Exacto"),Prod_Prop!$A:$A,Prod_Prop!$J:$J,"",0,1))</f>
        <v/>
      </c>
      <c r="K694" s="4" t="str">
        <f t="array" ref="K694">IF($E694="","", XLOOKUP(SUMIFS(Prod_Prop!$A:$A,Prod_Prop!$B:$B,$E694,Prod_Prop!$H:$H,K$1,Prod_Prop!$I:$I,"Exacto"),Prod_Prop!$A:$A,Prod_Prop!$J:$J,"",0,1))</f>
        <v/>
      </c>
      <c r="L694" s="4" t="str">
        <f t="array" ref="L694">IF($E694="","", XLOOKUP(SUMIFS(Prod_Prop!$A:$A,Prod_Prop!$B:$B,$E694,Prod_Prop!$H:$H,L$1,Prod_Prop!$I:$I,"Exacto"),Prod_Prop!$A:$A,Prod_Prop!$J:$J,"",0,1))</f>
        <v/>
      </c>
      <c r="M694" s="4" t="str">
        <f t="array" ref="M694">IF($E694="","", XLOOKUP(SUMIFS(Prod_Prop!$A:$A,Prod_Prop!$B:$B,$E694,Prod_Prop!$H:$H,M$1,Prod_Prop!$I:$I,"Exacto"),Prod_Prop!$A:$A,Prod_Prop!$J:$J,"",0,1))</f>
        <v/>
      </c>
      <c r="N694" s="4" t="str">
        <f t="array" ref="N694">IF($E694="","", XLOOKUP(SUMIFS(Prod_Prop!$A:$A,Prod_Prop!$B:$B,$E694,Prod_Prop!$H:$H,N$1,Prod_Prop!$I:$I,"Exacto"),Prod_Prop!$A:$A,Prod_Prop!$J:$J,"",0,1))</f>
        <v/>
      </c>
      <c r="O694" s="4" t="str">
        <f t="array" ref="O694">IF($E694="","", XLOOKUP(SUMIFS(Prod_Prop!$A:$A,Prod_Prop!$B:$B,$E694,Prod_Prop!$H:$H,O$1,Prod_Prop!$I:$I,"Exacto"),Prod_Prop!$A:$A,Prod_Prop!$J:$J,"",0,1))</f>
        <v/>
      </c>
      <c r="P694" s="4" t="str">
        <f t="array" ref="P694">IF($E694="","", XLOOKUP(SUMIFS(Prod_Prop!$A:$A,Prod_Prop!$B:$B,$E694,Prod_Prop!$H:$H,P$1,Prod_Prop!$I:$I,"Exacto"),Prod_Prop!$A:$A,Prod_Prop!$J:$J,"",0,1))</f>
        <v/>
      </c>
      <c r="Q694" s="4" t="str">
        <f t="array" ref="Q694">IF($E694="","", XLOOKUP(SUMIFS(Prod_Prop!$A:$A,Prod_Prop!$B:$B,$E694,Prod_Prop!$H:$H,Q$1,Prod_Prop!$I:$I,"Exacto"),Prod_Prop!$A:$A,Prod_Prop!$J:$J,"",0,1))</f>
        <v/>
      </c>
      <c r="R694" s="4" t="str">
        <f t="array" ref="R694">IF($E694="","", XLOOKUP(SUMIFS(Prod_Prop!$A:$A,Prod_Prop!$B:$B,$E694,Prod_Prop!$H:$H,R$1,Prod_Prop!$I:$I,"Exacto"),Prod_Prop!$A:$A,Prod_Prop!$J:$J,"",0,1))</f>
        <v/>
      </c>
      <c r="S694" s="4" t="str">
        <f t="array" ref="S694">IF($E694="","", XLOOKUP(SUMIFS(Prod_Prop!$A:$A,Prod_Prop!$B:$B,$E694,Prod_Prop!$H:$H,S$1,Prod_Prop!$I:$I,"Exacto"),Prod_Prop!$A:$A,Prod_Prop!$J:$J,"",0,1))</f>
        <v/>
      </c>
      <c r="T694" s="4" t="str">
        <f t="array" ref="T694">IF($E694="","", XLOOKUP(SUMIFS(Prod_Prop!$A:$A,Prod_Prop!$B:$B,$E694,Prod_Prop!$H:$H,T$1,Prod_Prop!$I:$I,"Exacto"),Prod_Prop!$A:$A,Prod_Prop!$J:$J,"",0,1))</f>
        <v/>
      </c>
      <c r="U694" s="4" t="str">
        <f t="array" ref="U694">IF($E694="","", XLOOKUP(SUMIFS(Prod_Prop!$A:$A,Prod_Prop!$B:$B,$E694,Prod_Prop!$H:$H,U$1,Prod_Prop!$I:$I,"Exacto"),Prod_Prop!$A:$A,Prod_Prop!$J:$J,"",0,1))</f>
        <v/>
      </c>
      <c r="V694" s="4" t="str">
        <f t="array" ref="V694">IF($E694="","", XLOOKUP(SUMIFS(Prod_Prop!$A:$A,Prod_Prop!$B:$B,$E694,Prod_Prop!$H:$H,V$1,Prod_Prop!$I:$I,"Exacto"),Prod_Prop!$A:$A,Prod_Prop!$J:$J,"",0,1))</f>
        <v/>
      </c>
      <c r="X694" s="3" t="str">
        <f>IFERROR(__xludf.DUMMYFUNCTION("IF(D694="""","""",IFERROR(TRANSPOSE(FILTER('Validaciones Cotizador'!U:U,'Validaciones Cotizador'!O:O=D694,'Validaciones Cotizador'!T:T=""x"")),""Finalizar""))"),"")</f>
        <v/>
      </c>
    </row>
    <row r="695">
      <c r="A695" s="2" t="str">
        <f t="array" ref="A695">IF(E695="","",XLOOKUP(D695,'Validaciones Cotizador'!C:C,'Validaciones Cotizador'!A:A,"",0,1))</f>
        <v/>
      </c>
      <c r="B695" s="2" t="str">
        <f t="array" ref="B695">IF(F695="","",XLOOKUP(F695,Productos!E:E,Productos!G:G,"",0,1))</f>
        <v/>
      </c>
      <c r="C695" s="2" t="str">
        <f>IF(A695="","",SUMIFS('Validaciones Cotizador'!B:B,'Validaciones Cotizador'!C:C,D695,'Validaciones Cotizador'!A:A,A695))</f>
        <v/>
      </c>
      <c r="D695" s="4" t="str">
        <f>IFERROR(__xludf.DUMMYFUNCTION("IF(OR(F694=""Finalizar"",F694="""",F694=""Selecciona..""),"""",IF(OR(F694=""-"",INDEX(filter(Familias!F:F,Familias!D:D=A694,Familias!E:E=C694),1)=""O""),D694+1,D694))"),"")</f>
        <v/>
      </c>
      <c r="E695" s="2" t="str">
        <f>IF(OR(F695="",F695="Selecciona.."),"",IF(D695="Implemento",SUMIF(Implementos!B:B,F695,Implementos!A:A),SUMIF(Productos!E:E,F695,Productos!A:A)))</f>
        <v/>
      </c>
      <c r="F695" s="2" t="str">
        <f t="shared" si="2"/>
        <v/>
      </c>
      <c r="G695" s="10" t="str">
        <f t="array" ref="G695">IF(OR(F695="",F695="-",F695="Selecciona..",F695="Finalizar"),"",IF(A695="Rodados",XLOOKUP(B695,'Validaciones Cotizador'!I:I,'Validaciones Cotizador'!J:J,0,0,1),1))</f>
        <v/>
      </c>
      <c r="H695" s="11" t="str">
        <f>IF(OR(F695="",F695="Selecciona.."),"",SUMIF(Precio_Productos!K:K,E695,Precio_Productos!J:J)*G695)</f>
        <v/>
      </c>
      <c r="I695" s="4" t="str">
        <f t="array" ref="I695">IF($E695="","", XLOOKUP(SUMIFS(Prod_Prop!$A:$A,Prod_Prop!$B:$B,$E695,Prod_Prop!$H:$H,I$1,Prod_Prop!$I:$I,"Exacto"),Prod_Prop!$A:$A,Prod_Prop!$J:$J,"",0,1))</f>
        <v/>
      </c>
      <c r="J695" s="4" t="str">
        <f t="array" ref="J695">IF($E695="","", XLOOKUP(SUMIFS(Prod_Prop!$A:$A,Prod_Prop!$B:$B,$E695,Prod_Prop!$H:$H,J$1,Prod_Prop!$I:$I,"Exacto"),Prod_Prop!$A:$A,Prod_Prop!$J:$J,"",0,1))</f>
        <v/>
      </c>
      <c r="K695" s="4" t="str">
        <f t="array" ref="K695">IF($E695="","", XLOOKUP(SUMIFS(Prod_Prop!$A:$A,Prod_Prop!$B:$B,$E695,Prod_Prop!$H:$H,K$1,Prod_Prop!$I:$I,"Exacto"),Prod_Prop!$A:$A,Prod_Prop!$J:$J,"",0,1))</f>
        <v/>
      </c>
      <c r="L695" s="4" t="str">
        <f t="array" ref="L695">IF($E695="","", XLOOKUP(SUMIFS(Prod_Prop!$A:$A,Prod_Prop!$B:$B,$E695,Prod_Prop!$H:$H,L$1,Prod_Prop!$I:$I,"Exacto"),Prod_Prop!$A:$A,Prod_Prop!$J:$J,"",0,1))</f>
        <v/>
      </c>
      <c r="M695" s="4" t="str">
        <f t="array" ref="M695">IF($E695="","", XLOOKUP(SUMIFS(Prod_Prop!$A:$A,Prod_Prop!$B:$B,$E695,Prod_Prop!$H:$H,M$1,Prod_Prop!$I:$I,"Exacto"),Prod_Prop!$A:$A,Prod_Prop!$J:$J,"",0,1))</f>
        <v/>
      </c>
      <c r="N695" s="4" t="str">
        <f t="array" ref="N695">IF($E695="","", XLOOKUP(SUMIFS(Prod_Prop!$A:$A,Prod_Prop!$B:$B,$E695,Prod_Prop!$H:$H,N$1,Prod_Prop!$I:$I,"Exacto"),Prod_Prop!$A:$A,Prod_Prop!$J:$J,"",0,1))</f>
        <v/>
      </c>
      <c r="O695" s="4" t="str">
        <f t="array" ref="O695">IF($E695="","", XLOOKUP(SUMIFS(Prod_Prop!$A:$A,Prod_Prop!$B:$B,$E695,Prod_Prop!$H:$H,O$1,Prod_Prop!$I:$I,"Exacto"),Prod_Prop!$A:$A,Prod_Prop!$J:$J,"",0,1))</f>
        <v/>
      </c>
      <c r="P695" s="4" t="str">
        <f t="array" ref="P695">IF($E695="","", XLOOKUP(SUMIFS(Prod_Prop!$A:$A,Prod_Prop!$B:$B,$E695,Prod_Prop!$H:$H,P$1,Prod_Prop!$I:$I,"Exacto"),Prod_Prop!$A:$A,Prod_Prop!$J:$J,"",0,1))</f>
        <v/>
      </c>
      <c r="Q695" s="4" t="str">
        <f t="array" ref="Q695">IF($E695="","", XLOOKUP(SUMIFS(Prod_Prop!$A:$A,Prod_Prop!$B:$B,$E695,Prod_Prop!$H:$H,Q$1,Prod_Prop!$I:$I,"Exacto"),Prod_Prop!$A:$A,Prod_Prop!$J:$J,"",0,1))</f>
        <v/>
      </c>
      <c r="R695" s="4" t="str">
        <f t="array" ref="R695">IF($E695="","", XLOOKUP(SUMIFS(Prod_Prop!$A:$A,Prod_Prop!$B:$B,$E695,Prod_Prop!$H:$H,R$1,Prod_Prop!$I:$I,"Exacto"),Prod_Prop!$A:$A,Prod_Prop!$J:$J,"",0,1))</f>
        <v/>
      </c>
      <c r="S695" s="4" t="str">
        <f t="array" ref="S695">IF($E695="","", XLOOKUP(SUMIFS(Prod_Prop!$A:$A,Prod_Prop!$B:$B,$E695,Prod_Prop!$H:$H,S$1,Prod_Prop!$I:$I,"Exacto"),Prod_Prop!$A:$A,Prod_Prop!$J:$J,"",0,1))</f>
        <v/>
      </c>
      <c r="T695" s="4" t="str">
        <f t="array" ref="T695">IF($E695="","", XLOOKUP(SUMIFS(Prod_Prop!$A:$A,Prod_Prop!$B:$B,$E695,Prod_Prop!$H:$H,T$1,Prod_Prop!$I:$I,"Exacto"),Prod_Prop!$A:$A,Prod_Prop!$J:$J,"",0,1))</f>
        <v/>
      </c>
      <c r="U695" s="4" t="str">
        <f t="array" ref="U695">IF($E695="","", XLOOKUP(SUMIFS(Prod_Prop!$A:$A,Prod_Prop!$B:$B,$E695,Prod_Prop!$H:$H,U$1,Prod_Prop!$I:$I,"Exacto"),Prod_Prop!$A:$A,Prod_Prop!$J:$J,"",0,1))</f>
        <v/>
      </c>
      <c r="V695" s="4" t="str">
        <f t="array" ref="V695">IF($E695="","", XLOOKUP(SUMIFS(Prod_Prop!$A:$A,Prod_Prop!$B:$B,$E695,Prod_Prop!$H:$H,V$1,Prod_Prop!$I:$I,"Exacto"),Prod_Prop!$A:$A,Prod_Prop!$J:$J,"",0,1))</f>
        <v/>
      </c>
      <c r="X695" s="3" t="str">
        <f>IFERROR(__xludf.DUMMYFUNCTION("IF(D695="""","""",IFERROR(TRANSPOSE(FILTER('Validaciones Cotizador'!U:U,'Validaciones Cotizador'!O:O=D695,'Validaciones Cotizador'!T:T=""x"")),""Finalizar""))"),"")</f>
        <v/>
      </c>
    </row>
    <row r="696">
      <c r="A696" s="2" t="str">
        <f t="array" ref="A696">IF(E696="","",XLOOKUP(D696,'Validaciones Cotizador'!C:C,'Validaciones Cotizador'!A:A,"",0,1))</f>
        <v/>
      </c>
      <c r="B696" s="2" t="str">
        <f t="array" ref="B696">IF(F696="","",XLOOKUP(F696,Productos!E:E,Productos!G:G,"",0,1))</f>
        <v/>
      </c>
      <c r="C696" s="2" t="str">
        <f>IF(A696="","",SUMIFS('Validaciones Cotizador'!B:B,'Validaciones Cotizador'!C:C,D696,'Validaciones Cotizador'!A:A,A696))</f>
        <v/>
      </c>
      <c r="D696" s="4" t="str">
        <f>IFERROR(__xludf.DUMMYFUNCTION("IF(OR(F695=""Finalizar"",F695="""",F695=""Selecciona..""),"""",IF(OR(F695=""-"",INDEX(filter(Familias!F:F,Familias!D:D=A695,Familias!E:E=C695),1)=""O""),D695+1,D695))"),"")</f>
        <v/>
      </c>
      <c r="E696" s="2" t="str">
        <f>IF(OR(F696="",F696="Selecciona.."),"",IF(D696="Implemento",SUMIF(Implementos!B:B,F696,Implementos!A:A),SUMIF(Productos!E:E,F696,Productos!A:A)))</f>
        <v/>
      </c>
      <c r="F696" s="2" t="str">
        <f t="shared" si="2"/>
        <v/>
      </c>
      <c r="G696" s="10" t="str">
        <f t="array" ref="G696">IF(OR(F696="",F696="-",F696="Selecciona..",F696="Finalizar"),"",IF(A696="Rodados",XLOOKUP(B696,'Validaciones Cotizador'!I:I,'Validaciones Cotizador'!J:J,0,0,1),1))</f>
        <v/>
      </c>
      <c r="H696" s="11" t="str">
        <f>IF(OR(F696="",F696="Selecciona.."),"",SUMIF(Precio_Productos!K:K,E696,Precio_Productos!J:J)*G696)</f>
        <v/>
      </c>
      <c r="I696" s="4" t="str">
        <f t="array" ref="I696">IF($E696="","", XLOOKUP(SUMIFS(Prod_Prop!$A:$A,Prod_Prop!$B:$B,$E696,Prod_Prop!$H:$H,I$1,Prod_Prop!$I:$I,"Exacto"),Prod_Prop!$A:$A,Prod_Prop!$J:$J,"",0,1))</f>
        <v/>
      </c>
      <c r="J696" s="4" t="str">
        <f t="array" ref="J696">IF($E696="","", XLOOKUP(SUMIFS(Prod_Prop!$A:$A,Prod_Prop!$B:$B,$E696,Prod_Prop!$H:$H,J$1,Prod_Prop!$I:$I,"Exacto"),Prod_Prop!$A:$A,Prod_Prop!$J:$J,"",0,1))</f>
        <v/>
      </c>
      <c r="K696" s="4" t="str">
        <f t="array" ref="K696">IF($E696="","", XLOOKUP(SUMIFS(Prod_Prop!$A:$A,Prod_Prop!$B:$B,$E696,Prod_Prop!$H:$H,K$1,Prod_Prop!$I:$I,"Exacto"),Prod_Prop!$A:$A,Prod_Prop!$J:$J,"",0,1))</f>
        <v/>
      </c>
      <c r="L696" s="4" t="str">
        <f t="array" ref="L696">IF($E696="","", XLOOKUP(SUMIFS(Prod_Prop!$A:$A,Prod_Prop!$B:$B,$E696,Prod_Prop!$H:$H,L$1,Prod_Prop!$I:$I,"Exacto"),Prod_Prop!$A:$A,Prod_Prop!$J:$J,"",0,1))</f>
        <v/>
      </c>
      <c r="M696" s="4" t="str">
        <f t="array" ref="M696">IF($E696="","", XLOOKUP(SUMIFS(Prod_Prop!$A:$A,Prod_Prop!$B:$B,$E696,Prod_Prop!$H:$H,M$1,Prod_Prop!$I:$I,"Exacto"),Prod_Prop!$A:$A,Prod_Prop!$J:$J,"",0,1))</f>
        <v/>
      </c>
      <c r="N696" s="4" t="str">
        <f t="array" ref="N696">IF($E696="","", XLOOKUP(SUMIFS(Prod_Prop!$A:$A,Prod_Prop!$B:$B,$E696,Prod_Prop!$H:$H,N$1,Prod_Prop!$I:$I,"Exacto"),Prod_Prop!$A:$A,Prod_Prop!$J:$J,"",0,1))</f>
        <v/>
      </c>
      <c r="O696" s="4" t="str">
        <f t="array" ref="O696">IF($E696="","", XLOOKUP(SUMIFS(Prod_Prop!$A:$A,Prod_Prop!$B:$B,$E696,Prod_Prop!$H:$H,O$1,Prod_Prop!$I:$I,"Exacto"),Prod_Prop!$A:$A,Prod_Prop!$J:$J,"",0,1))</f>
        <v/>
      </c>
      <c r="P696" s="4" t="str">
        <f t="array" ref="P696">IF($E696="","", XLOOKUP(SUMIFS(Prod_Prop!$A:$A,Prod_Prop!$B:$B,$E696,Prod_Prop!$H:$H,P$1,Prod_Prop!$I:$I,"Exacto"),Prod_Prop!$A:$A,Prod_Prop!$J:$J,"",0,1))</f>
        <v/>
      </c>
      <c r="Q696" s="4" t="str">
        <f t="array" ref="Q696">IF($E696="","", XLOOKUP(SUMIFS(Prod_Prop!$A:$A,Prod_Prop!$B:$B,$E696,Prod_Prop!$H:$H,Q$1,Prod_Prop!$I:$I,"Exacto"),Prod_Prop!$A:$A,Prod_Prop!$J:$J,"",0,1))</f>
        <v/>
      </c>
      <c r="R696" s="4" t="str">
        <f t="array" ref="R696">IF($E696="","", XLOOKUP(SUMIFS(Prod_Prop!$A:$A,Prod_Prop!$B:$B,$E696,Prod_Prop!$H:$H,R$1,Prod_Prop!$I:$I,"Exacto"),Prod_Prop!$A:$A,Prod_Prop!$J:$J,"",0,1))</f>
        <v/>
      </c>
      <c r="S696" s="4" t="str">
        <f t="array" ref="S696">IF($E696="","", XLOOKUP(SUMIFS(Prod_Prop!$A:$A,Prod_Prop!$B:$B,$E696,Prod_Prop!$H:$H,S$1,Prod_Prop!$I:$I,"Exacto"),Prod_Prop!$A:$A,Prod_Prop!$J:$J,"",0,1))</f>
        <v/>
      </c>
      <c r="T696" s="4" t="str">
        <f t="array" ref="T696">IF($E696="","", XLOOKUP(SUMIFS(Prod_Prop!$A:$A,Prod_Prop!$B:$B,$E696,Prod_Prop!$H:$H,T$1,Prod_Prop!$I:$I,"Exacto"),Prod_Prop!$A:$A,Prod_Prop!$J:$J,"",0,1))</f>
        <v/>
      </c>
      <c r="U696" s="4" t="str">
        <f t="array" ref="U696">IF($E696="","", XLOOKUP(SUMIFS(Prod_Prop!$A:$A,Prod_Prop!$B:$B,$E696,Prod_Prop!$H:$H,U$1,Prod_Prop!$I:$I,"Exacto"),Prod_Prop!$A:$A,Prod_Prop!$J:$J,"",0,1))</f>
        <v/>
      </c>
      <c r="V696" s="4" t="str">
        <f t="array" ref="V696">IF($E696="","", XLOOKUP(SUMIFS(Prod_Prop!$A:$A,Prod_Prop!$B:$B,$E696,Prod_Prop!$H:$H,V$1,Prod_Prop!$I:$I,"Exacto"),Prod_Prop!$A:$A,Prod_Prop!$J:$J,"",0,1))</f>
        <v/>
      </c>
      <c r="X696" s="3" t="str">
        <f>IFERROR(__xludf.DUMMYFUNCTION("IF(D696="""","""",IFERROR(TRANSPOSE(FILTER('Validaciones Cotizador'!U:U,'Validaciones Cotizador'!O:O=D696,'Validaciones Cotizador'!T:T=""x"")),""Finalizar""))"),"")</f>
        <v/>
      </c>
    </row>
    <row r="697">
      <c r="A697" s="2" t="str">
        <f t="array" ref="A697">IF(E697="","",XLOOKUP(D697,'Validaciones Cotizador'!C:C,'Validaciones Cotizador'!A:A,"",0,1))</f>
        <v/>
      </c>
      <c r="B697" s="2" t="str">
        <f t="array" ref="B697">IF(F697="","",XLOOKUP(F697,Productos!E:E,Productos!G:G,"",0,1))</f>
        <v/>
      </c>
      <c r="C697" s="2" t="str">
        <f>IF(A697="","",SUMIFS('Validaciones Cotizador'!B:B,'Validaciones Cotizador'!C:C,D697,'Validaciones Cotizador'!A:A,A697))</f>
        <v/>
      </c>
      <c r="D697" s="4" t="str">
        <f>IFERROR(__xludf.DUMMYFUNCTION("IF(OR(F696=""Finalizar"",F696="""",F696=""Selecciona..""),"""",IF(OR(F696=""-"",INDEX(filter(Familias!F:F,Familias!D:D=A696,Familias!E:E=C696),1)=""O""),D696+1,D696))"),"")</f>
        <v/>
      </c>
      <c r="E697" s="2" t="str">
        <f>IF(OR(F697="",F697="Selecciona.."),"",IF(D697="Implemento",SUMIF(Implementos!B:B,F697,Implementos!A:A),SUMIF(Productos!E:E,F697,Productos!A:A)))</f>
        <v/>
      </c>
      <c r="F697" s="2" t="str">
        <f t="shared" si="2"/>
        <v/>
      </c>
      <c r="G697" s="10" t="str">
        <f t="array" ref="G697">IF(OR(F697="",F697="-",F697="Selecciona..",F697="Finalizar"),"",IF(A697="Rodados",XLOOKUP(B697,'Validaciones Cotizador'!I:I,'Validaciones Cotizador'!J:J,0,0,1),1))</f>
        <v/>
      </c>
      <c r="H697" s="11" t="str">
        <f>IF(OR(F697="",F697="Selecciona.."),"",SUMIF(Precio_Productos!K:K,E697,Precio_Productos!J:J)*G697)</f>
        <v/>
      </c>
      <c r="I697" s="4" t="str">
        <f t="array" ref="I697">IF($E697="","", XLOOKUP(SUMIFS(Prod_Prop!$A:$A,Prod_Prop!$B:$B,$E697,Prod_Prop!$H:$H,I$1,Prod_Prop!$I:$I,"Exacto"),Prod_Prop!$A:$A,Prod_Prop!$J:$J,"",0,1))</f>
        <v/>
      </c>
      <c r="J697" s="4" t="str">
        <f t="array" ref="J697">IF($E697="","", XLOOKUP(SUMIFS(Prod_Prop!$A:$A,Prod_Prop!$B:$B,$E697,Prod_Prop!$H:$H,J$1,Prod_Prop!$I:$I,"Exacto"),Prod_Prop!$A:$A,Prod_Prop!$J:$J,"",0,1))</f>
        <v/>
      </c>
      <c r="K697" s="4" t="str">
        <f t="array" ref="K697">IF($E697="","", XLOOKUP(SUMIFS(Prod_Prop!$A:$A,Prod_Prop!$B:$B,$E697,Prod_Prop!$H:$H,K$1,Prod_Prop!$I:$I,"Exacto"),Prod_Prop!$A:$A,Prod_Prop!$J:$J,"",0,1))</f>
        <v/>
      </c>
      <c r="L697" s="4" t="str">
        <f t="array" ref="L697">IF($E697="","", XLOOKUP(SUMIFS(Prod_Prop!$A:$A,Prod_Prop!$B:$B,$E697,Prod_Prop!$H:$H,L$1,Prod_Prop!$I:$I,"Exacto"),Prod_Prop!$A:$A,Prod_Prop!$J:$J,"",0,1))</f>
        <v/>
      </c>
      <c r="M697" s="4" t="str">
        <f t="array" ref="M697">IF($E697="","", XLOOKUP(SUMIFS(Prod_Prop!$A:$A,Prod_Prop!$B:$B,$E697,Prod_Prop!$H:$H,M$1,Prod_Prop!$I:$I,"Exacto"),Prod_Prop!$A:$A,Prod_Prop!$J:$J,"",0,1))</f>
        <v/>
      </c>
      <c r="N697" s="4" t="str">
        <f t="array" ref="N697">IF($E697="","", XLOOKUP(SUMIFS(Prod_Prop!$A:$A,Prod_Prop!$B:$B,$E697,Prod_Prop!$H:$H,N$1,Prod_Prop!$I:$I,"Exacto"),Prod_Prop!$A:$A,Prod_Prop!$J:$J,"",0,1))</f>
        <v/>
      </c>
      <c r="O697" s="4" t="str">
        <f t="array" ref="O697">IF($E697="","", XLOOKUP(SUMIFS(Prod_Prop!$A:$A,Prod_Prop!$B:$B,$E697,Prod_Prop!$H:$H,O$1,Prod_Prop!$I:$I,"Exacto"),Prod_Prop!$A:$A,Prod_Prop!$J:$J,"",0,1))</f>
        <v/>
      </c>
      <c r="P697" s="4" t="str">
        <f t="array" ref="P697">IF($E697="","", XLOOKUP(SUMIFS(Prod_Prop!$A:$A,Prod_Prop!$B:$B,$E697,Prod_Prop!$H:$H,P$1,Prod_Prop!$I:$I,"Exacto"),Prod_Prop!$A:$A,Prod_Prop!$J:$J,"",0,1))</f>
        <v/>
      </c>
      <c r="Q697" s="4" t="str">
        <f t="array" ref="Q697">IF($E697="","", XLOOKUP(SUMIFS(Prod_Prop!$A:$A,Prod_Prop!$B:$B,$E697,Prod_Prop!$H:$H,Q$1,Prod_Prop!$I:$I,"Exacto"),Prod_Prop!$A:$A,Prod_Prop!$J:$J,"",0,1))</f>
        <v/>
      </c>
      <c r="R697" s="4" t="str">
        <f t="array" ref="R697">IF($E697="","", XLOOKUP(SUMIFS(Prod_Prop!$A:$A,Prod_Prop!$B:$B,$E697,Prod_Prop!$H:$H,R$1,Prod_Prop!$I:$I,"Exacto"),Prod_Prop!$A:$A,Prod_Prop!$J:$J,"",0,1))</f>
        <v/>
      </c>
      <c r="S697" s="4" t="str">
        <f t="array" ref="S697">IF($E697="","", XLOOKUP(SUMIFS(Prod_Prop!$A:$A,Prod_Prop!$B:$B,$E697,Prod_Prop!$H:$H,S$1,Prod_Prop!$I:$I,"Exacto"),Prod_Prop!$A:$A,Prod_Prop!$J:$J,"",0,1))</f>
        <v/>
      </c>
      <c r="T697" s="4" t="str">
        <f t="array" ref="T697">IF($E697="","", XLOOKUP(SUMIFS(Prod_Prop!$A:$A,Prod_Prop!$B:$B,$E697,Prod_Prop!$H:$H,T$1,Prod_Prop!$I:$I,"Exacto"),Prod_Prop!$A:$A,Prod_Prop!$J:$J,"",0,1))</f>
        <v/>
      </c>
      <c r="U697" s="4" t="str">
        <f t="array" ref="U697">IF($E697="","", XLOOKUP(SUMIFS(Prod_Prop!$A:$A,Prod_Prop!$B:$B,$E697,Prod_Prop!$H:$H,U$1,Prod_Prop!$I:$I,"Exacto"),Prod_Prop!$A:$A,Prod_Prop!$J:$J,"",0,1))</f>
        <v/>
      </c>
      <c r="V697" s="4" t="str">
        <f t="array" ref="V697">IF($E697="","", XLOOKUP(SUMIFS(Prod_Prop!$A:$A,Prod_Prop!$B:$B,$E697,Prod_Prop!$H:$H,V$1,Prod_Prop!$I:$I,"Exacto"),Prod_Prop!$A:$A,Prod_Prop!$J:$J,"",0,1))</f>
        <v/>
      </c>
      <c r="X697" s="3" t="str">
        <f>IFERROR(__xludf.DUMMYFUNCTION("IF(D697="""","""",IFERROR(TRANSPOSE(FILTER('Validaciones Cotizador'!U:U,'Validaciones Cotizador'!O:O=D697,'Validaciones Cotizador'!T:T=""x"")),""Finalizar""))"),"")</f>
        <v/>
      </c>
    </row>
    <row r="698">
      <c r="A698" s="2" t="str">
        <f t="array" ref="A698">IF(E698="","",XLOOKUP(D698,'Validaciones Cotizador'!C:C,'Validaciones Cotizador'!A:A,"",0,1))</f>
        <v/>
      </c>
      <c r="B698" s="2" t="str">
        <f t="array" ref="B698">IF(F698="","",XLOOKUP(F698,Productos!E:E,Productos!G:G,"",0,1))</f>
        <v/>
      </c>
      <c r="C698" s="2" t="str">
        <f>IF(A698="","",SUMIFS('Validaciones Cotizador'!B:B,'Validaciones Cotizador'!C:C,D698,'Validaciones Cotizador'!A:A,A698))</f>
        <v/>
      </c>
      <c r="D698" s="4" t="str">
        <f>IFERROR(__xludf.DUMMYFUNCTION("IF(OR(F697=""Finalizar"",F697="""",F697=""Selecciona..""),"""",IF(OR(F697=""-"",INDEX(filter(Familias!F:F,Familias!D:D=A697,Familias!E:E=C697),1)=""O""),D697+1,D697))"),"")</f>
        <v/>
      </c>
      <c r="E698" s="2" t="str">
        <f>IF(OR(F698="",F698="Selecciona.."),"",IF(D698="Implemento",SUMIF(Implementos!B:B,F698,Implementos!A:A),SUMIF(Productos!E:E,F698,Productos!A:A)))</f>
        <v/>
      </c>
      <c r="F698" s="2" t="str">
        <f t="shared" si="2"/>
        <v/>
      </c>
      <c r="G698" s="10" t="str">
        <f t="array" ref="G698">IF(OR(F698="",F698="-",F698="Selecciona..",F698="Finalizar"),"",IF(A698="Rodados",XLOOKUP(B698,'Validaciones Cotizador'!I:I,'Validaciones Cotizador'!J:J,0,0,1),1))</f>
        <v/>
      </c>
      <c r="H698" s="11" t="str">
        <f>IF(OR(F698="",F698="Selecciona.."),"",SUMIF(Precio_Productos!K:K,E698,Precio_Productos!J:J)*G698)</f>
        <v/>
      </c>
      <c r="I698" s="4" t="str">
        <f t="array" ref="I698">IF($E698="","", XLOOKUP(SUMIFS(Prod_Prop!$A:$A,Prod_Prop!$B:$B,$E698,Prod_Prop!$H:$H,I$1,Prod_Prop!$I:$I,"Exacto"),Prod_Prop!$A:$A,Prod_Prop!$J:$J,"",0,1))</f>
        <v/>
      </c>
      <c r="J698" s="4" t="str">
        <f t="array" ref="J698">IF($E698="","", XLOOKUP(SUMIFS(Prod_Prop!$A:$A,Prod_Prop!$B:$B,$E698,Prod_Prop!$H:$H,J$1,Prod_Prop!$I:$I,"Exacto"),Prod_Prop!$A:$A,Prod_Prop!$J:$J,"",0,1))</f>
        <v/>
      </c>
      <c r="K698" s="4" t="str">
        <f t="array" ref="K698">IF($E698="","", XLOOKUP(SUMIFS(Prod_Prop!$A:$A,Prod_Prop!$B:$B,$E698,Prod_Prop!$H:$H,K$1,Prod_Prop!$I:$I,"Exacto"),Prod_Prop!$A:$A,Prod_Prop!$J:$J,"",0,1))</f>
        <v/>
      </c>
      <c r="L698" s="4" t="str">
        <f t="array" ref="L698">IF($E698="","", XLOOKUP(SUMIFS(Prod_Prop!$A:$A,Prod_Prop!$B:$B,$E698,Prod_Prop!$H:$H,L$1,Prod_Prop!$I:$I,"Exacto"),Prod_Prop!$A:$A,Prod_Prop!$J:$J,"",0,1))</f>
        <v/>
      </c>
      <c r="M698" s="4" t="str">
        <f t="array" ref="M698">IF($E698="","", XLOOKUP(SUMIFS(Prod_Prop!$A:$A,Prod_Prop!$B:$B,$E698,Prod_Prop!$H:$H,M$1,Prod_Prop!$I:$I,"Exacto"),Prod_Prop!$A:$A,Prod_Prop!$J:$J,"",0,1))</f>
        <v/>
      </c>
      <c r="N698" s="4" t="str">
        <f t="array" ref="N698">IF($E698="","", XLOOKUP(SUMIFS(Prod_Prop!$A:$A,Prod_Prop!$B:$B,$E698,Prod_Prop!$H:$H,N$1,Prod_Prop!$I:$I,"Exacto"),Prod_Prop!$A:$A,Prod_Prop!$J:$J,"",0,1))</f>
        <v/>
      </c>
      <c r="O698" s="4" t="str">
        <f t="array" ref="O698">IF($E698="","", XLOOKUP(SUMIFS(Prod_Prop!$A:$A,Prod_Prop!$B:$B,$E698,Prod_Prop!$H:$H,O$1,Prod_Prop!$I:$I,"Exacto"),Prod_Prop!$A:$A,Prod_Prop!$J:$J,"",0,1))</f>
        <v/>
      </c>
      <c r="P698" s="4" t="str">
        <f t="array" ref="P698">IF($E698="","", XLOOKUP(SUMIFS(Prod_Prop!$A:$A,Prod_Prop!$B:$B,$E698,Prod_Prop!$H:$H,P$1,Prod_Prop!$I:$I,"Exacto"),Prod_Prop!$A:$A,Prod_Prop!$J:$J,"",0,1))</f>
        <v/>
      </c>
      <c r="Q698" s="4" t="str">
        <f t="array" ref="Q698">IF($E698="","", XLOOKUP(SUMIFS(Prod_Prop!$A:$A,Prod_Prop!$B:$B,$E698,Prod_Prop!$H:$H,Q$1,Prod_Prop!$I:$I,"Exacto"),Prod_Prop!$A:$A,Prod_Prop!$J:$J,"",0,1))</f>
        <v/>
      </c>
      <c r="R698" s="4" t="str">
        <f t="array" ref="R698">IF($E698="","", XLOOKUP(SUMIFS(Prod_Prop!$A:$A,Prod_Prop!$B:$B,$E698,Prod_Prop!$H:$H,R$1,Prod_Prop!$I:$I,"Exacto"),Prod_Prop!$A:$A,Prod_Prop!$J:$J,"",0,1))</f>
        <v/>
      </c>
      <c r="S698" s="4" t="str">
        <f t="array" ref="S698">IF($E698="","", XLOOKUP(SUMIFS(Prod_Prop!$A:$A,Prod_Prop!$B:$B,$E698,Prod_Prop!$H:$H,S$1,Prod_Prop!$I:$I,"Exacto"),Prod_Prop!$A:$A,Prod_Prop!$J:$J,"",0,1))</f>
        <v/>
      </c>
      <c r="T698" s="4" t="str">
        <f t="array" ref="T698">IF($E698="","", XLOOKUP(SUMIFS(Prod_Prop!$A:$A,Prod_Prop!$B:$B,$E698,Prod_Prop!$H:$H,T$1,Prod_Prop!$I:$I,"Exacto"),Prod_Prop!$A:$A,Prod_Prop!$J:$J,"",0,1))</f>
        <v/>
      </c>
      <c r="U698" s="4" t="str">
        <f t="array" ref="U698">IF($E698="","", XLOOKUP(SUMIFS(Prod_Prop!$A:$A,Prod_Prop!$B:$B,$E698,Prod_Prop!$H:$H,U$1,Prod_Prop!$I:$I,"Exacto"),Prod_Prop!$A:$A,Prod_Prop!$J:$J,"",0,1))</f>
        <v/>
      </c>
      <c r="V698" s="4" t="str">
        <f t="array" ref="V698">IF($E698="","", XLOOKUP(SUMIFS(Prod_Prop!$A:$A,Prod_Prop!$B:$B,$E698,Prod_Prop!$H:$H,V$1,Prod_Prop!$I:$I,"Exacto"),Prod_Prop!$A:$A,Prod_Prop!$J:$J,"",0,1))</f>
        <v/>
      </c>
      <c r="X698" s="3" t="str">
        <f>IFERROR(__xludf.DUMMYFUNCTION("IF(D698="""","""",IFERROR(TRANSPOSE(FILTER('Validaciones Cotizador'!U:U,'Validaciones Cotizador'!O:O=D698,'Validaciones Cotizador'!T:T=""x"")),""Finalizar""))"),"")</f>
        <v/>
      </c>
    </row>
    <row r="699">
      <c r="A699" s="2" t="str">
        <f t="array" ref="A699">IF(E699="","",XLOOKUP(D699,'Validaciones Cotizador'!C:C,'Validaciones Cotizador'!A:A,"",0,1))</f>
        <v/>
      </c>
      <c r="B699" s="2" t="str">
        <f t="array" ref="B699">IF(F699="","",XLOOKUP(F699,Productos!E:E,Productos!G:G,"",0,1))</f>
        <v/>
      </c>
      <c r="C699" s="2" t="str">
        <f>IF(A699="","",SUMIFS('Validaciones Cotizador'!B:B,'Validaciones Cotizador'!C:C,D699,'Validaciones Cotizador'!A:A,A699))</f>
        <v/>
      </c>
      <c r="D699" s="4" t="str">
        <f>IFERROR(__xludf.DUMMYFUNCTION("IF(OR(F698=""Finalizar"",F698="""",F698=""Selecciona..""),"""",IF(OR(F698=""-"",INDEX(filter(Familias!F:F,Familias!D:D=A698,Familias!E:E=C698),1)=""O""),D698+1,D698))"),"")</f>
        <v/>
      </c>
      <c r="E699" s="2" t="str">
        <f>IF(OR(F699="",F699="Selecciona.."),"",IF(D699="Implemento",SUMIF(Implementos!B:B,F699,Implementos!A:A),SUMIF(Productos!E:E,F699,Productos!A:A)))</f>
        <v/>
      </c>
      <c r="F699" s="2" t="str">
        <f t="shared" si="2"/>
        <v/>
      </c>
      <c r="G699" s="10" t="str">
        <f t="array" ref="G699">IF(OR(F699="",F699="-",F699="Selecciona..",F699="Finalizar"),"",IF(A699="Rodados",XLOOKUP(B699,'Validaciones Cotizador'!I:I,'Validaciones Cotizador'!J:J,0,0,1),1))</f>
        <v/>
      </c>
      <c r="H699" s="11" t="str">
        <f>IF(OR(F699="",F699="Selecciona.."),"",SUMIF(Precio_Productos!K:K,E699,Precio_Productos!J:J)*G699)</f>
        <v/>
      </c>
      <c r="I699" s="4" t="str">
        <f t="array" ref="I699">IF($E699="","", XLOOKUP(SUMIFS(Prod_Prop!$A:$A,Prod_Prop!$B:$B,$E699,Prod_Prop!$H:$H,I$1,Prod_Prop!$I:$I,"Exacto"),Prod_Prop!$A:$A,Prod_Prop!$J:$J,"",0,1))</f>
        <v/>
      </c>
      <c r="J699" s="4" t="str">
        <f t="array" ref="J699">IF($E699="","", XLOOKUP(SUMIFS(Prod_Prop!$A:$A,Prod_Prop!$B:$B,$E699,Prod_Prop!$H:$H,J$1,Prod_Prop!$I:$I,"Exacto"),Prod_Prop!$A:$A,Prod_Prop!$J:$J,"",0,1))</f>
        <v/>
      </c>
      <c r="K699" s="4" t="str">
        <f t="array" ref="K699">IF($E699="","", XLOOKUP(SUMIFS(Prod_Prop!$A:$A,Prod_Prop!$B:$B,$E699,Prod_Prop!$H:$H,K$1,Prod_Prop!$I:$I,"Exacto"),Prod_Prop!$A:$A,Prod_Prop!$J:$J,"",0,1))</f>
        <v/>
      </c>
      <c r="L699" s="4" t="str">
        <f t="array" ref="L699">IF($E699="","", XLOOKUP(SUMIFS(Prod_Prop!$A:$A,Prod_Prop!$B:$B,$E699,Prod_Prop!$H:$H,L$1,Prod_Prop!$I:$I,"Exacto"),Prod_Prop!$A:$A,Prod_Prop!$J:$J,"",0,1))</f>
        <v/>
      </c>
      <c r="M699" s="4" t="str">
        <f t="array" ref="M699">IF($E699="","", XLOOKUP(SUMIFS(Prod_Prop!$A:$A,Prod_Prop!$B:$B,$E699,Prod_Prop!$H:$H,M$1,Prod_Prop!$I:$I,"Exacto"),Prod_Prop!$A:$A,Prod_Prop!$J:$J,"",0,1))</f>
        <v/>
      </c>
      <c r="N699" s="4" t="str">
        <f t="array" ref="N699">IF($E699="","", XLOOKUP(SUMIFS(Prod_Prop!$A:$A,Prod_Prop!$B:$B,$E699,Prod_Prop!$H:$H,N$1,Prod_Prop!$I:$I,"Exacto"),Prod_Prop!$A:$A,Prod_Prop!$J:$J,"",0,1))</f>
        <v/>
      </c>
      <c r="O699" s="4" t="str">
        <f t="array" ref="O699">IF($E699="","", XLOOKUP(SUMIFS(Prod_Prop!$A:$A,Prod_Prop!$B:$B,$E699,Prod_Prop!$H:$H,O$1,Prod_Prop!$I:$I,"Exacto"),Prod_Prop!$A:$A,Prod_Prop!$J:$J,"",0,1))</f>
        <v/>
      </c>
      <c r="P699" s="4" t="str">
        <f t="array" ref="P699">IF($E699="","", XLOOKUP(SUMIFS(Prod_Prop!$A:$A,Prod_Prop!$B:$B,$E699,Prod_Prop!$H:$H,P$1,Prod_Prop!$I:$I,"Exacto"),Prod_Prop!$A:$A,Prod_Prop!$J:$J,"",0,1))</f>
        <v/>
      </c>
      <c r="Q699" s="4" t="str">
        <f t="array" ref="Q699">IF($E699="","", XLOOKUP(SUMIFS(Prod_Prop!$A:$A,Prod_Prop!$B:$B,$E699,Prod_Prop!$H:$H,Q$1,Prod_Prop!$I:$I,"Exacto"),Prod_Prop!$A:$A,Prod_Prop!$J:$J,"",0,1))</f>
        <v/>
      </c>
      <c r="R699" s="4" t="str">
        <f t="array" ref="R699">IF($E699="","", XLOOKUP(SUMIFS(Prod_Prop!$A:$A,Prod_Prop!$B:$B,$E699,Prod_Prop!$H:$H,R$1,Prod_Prop!$I:$I,"Exacto"),Prod_Prop!$A:$A,Prod_Prop!$J:$J,"",0,1))</f>
        <v/>
      </c>
      <c r="S699" s="4" t="str">
        <f t="array" ref="S699">IF($E699="","", XLOOKUP(SUMIFS(Prod_Prop!$A:$A,Prod_Prop!$B:$B,$E699,Prod_Prop!$H:$H,S$1,Prod_Prop!$I:$I,"Exacto"),Prod_Prop!$A:$A,Prod_Prop!$J:$J,"",0,1))</f>
        <v/>
      </c>
      <c r="T699" s="4" t="str">
        <f t="array" ref="T699">IF($E699="","", XLOOKUP(SUMIFS(Prod_Prop!$A:$A,Prod_Prop!$B:$B,$E699,Prod_Prop!$H:$H,T$1,Prod_Prop!$I:$I,"Exacto"),Prod_Prop!$A:$A,Prod_Prop!$J:$J,"",0,1))</f>
        <v/>
      </c>
      <c r="U699" s="4" t="str">
        <f t="array" ref="U699">IF($E699="","", XLOOKUP(SUMIFS(Prod_Prop!$A:$A,Prod_Prop!$B:$B,$E699,Prod_Prop!$H:$H,U$1,Prod_Prop!$I:$I,"Exacto"),Prod_Prop!$A:$A,Prod_Prop!$J:$J,"",0,1))</f>
        <v/>
      </c>
      <c r="V699" s="4" t="str">
        <f t="array" ref="V699">IF($E699="","", XLOOKUP(SUMIFS(Prod_Prop!$A:$A,Prod_Prop!$B:$B,$E699,Prod_Prop!$H:$H,V$1,Prod_Prop!$I:$I,"Exacto"),Prod_Prop!$A:$A,Prod_Prop!$J:$J,"",0,1))</f>
        <v/>
      </c>
      <c r="X699" s="3" t="str">
        <f>IFERROR(__xludf.DUMMYFUNCTION("IF(D699="""","""",IFERROR(TRANSPOSE(FILTER('Validaciones Cotizador'!U:U,'Validaciones Cotizador'!O:O=D699,'Validaciones Cotizador'!T:T=""x"")),""Finalizar""))"),"")</f>
        <v/>
      </c>
    </row>
    <row r="700">
      <c r="A700" s="2" t="str">
        <f t="array" ref="A700">IF(E700="","",XLOOKUP(D700,'Validaciones Cotizador'!C:C,'Validaciones Cotizador'!A:A,"",0,1))</f>
        <v/>
      </c>
      <c r="B700" s="2" t="str">
        <f t="array" ref="B700">IF(F700="","",XLOOKUP(F700,Productos!E:E,Productos!G:G,"",0,1))</f>
        <v/>
      </c>
      <c r="C700" s="2" t="str">
        <f>IF(A700="","",SUMIFS('Validaciones Cotizador'!B:B,'Validaciones Cotizador'!C:C,D700,'Validaciones Cotizador'!A:A,A700))</f>
        <v/>
      </c>
      <c r="D700" s="4" t="str">
        <f>IFERROR(__xludf.DUMMYFUNCTION("IF(OR(F699=""Finalizar"",F699="""",F699=""Selecciona..""),"""",IF(OR(F699=""-"",INDEX(filter(Familias!F:F,Familias!D:D=A699,Familias!E:E=C699),1)=""O""),D699+1,D699))"),"")</f>
        <v/>
      </c>
      <c r="E700" s="2" t="str">
        <f>IF(OR(F700="",F700="Selecciona.."),"",IF(D700="Implemento",SUMIF(Implementos!B:B,F700,Implementos!A:A),SUMIF(Productos!E:E,F700,Productos!A:A)))</f>
        <v/>
      </c>
      <c r="F700" s="2" t="str">
        <f t="shared" si="2"/>
        <v/>
      </c>
      <c r="G700" s="10" t="str">
        <f t="array" ref="G700">IF(OR(F700="",F700="-",F700="Selecciona..",F700="Finalizar"),"",IF(A700="Rodados",XLOOKUP(B700,'Validaciones Cotizador'!I:I,'Validaciones Cotizador'!J:J,0,0,1),1))</f>
        <v/>
      </c>
      <c r="H700" s="11" t="str">
        <f>IF(OR(F700="",F700="Selecciona.."),"",SUMIF(Precio_Productos!K:K,E700,Precio_Productos!J:J)*G700)</f>
        <v/>
      </c>
      <c r="I700" s="4" t="str">
        <f t="array" ref="I700">IF($E700="","", XLOOKUP(SUMIFS(Prod_Prop!$A:$A,Prod_Prop!$B:$B,$E700,Prod_Prop!$H:$H,I$1,Prod_Prop!$I:$I,"Exacto"),Prod_Prop!$A:$A,Prod_Prop!$J:$J,"",0,1))</f>
        <v/>
      </c>
      <c r="J700" s="4" t="str">
        <f t="array" ref="J700">IF($E700="","", XLOOKUP(SUMIFS(Prod_Prop!$A:$A,Prod_Prop!$B:$B,$E700,Prod_Prop!$H:$H,J$1,Prod_Prop!$I:$I,"Exacto"),Prod_Prop!$A:$A,Prod_Prop!$J:$J,"",0,1))</f>
        <v/>
      </c>
      <c r="K700" s="4" t="str">
        <f t="array" ref="K700">IF($E700="","", XLOOKUP(SUMIFS(Prod_Prop!$A:$A,Prod_Prop!$B:$B,$E700,Prod_Prop!$H:$H,K$1,Prod_Prop!$I:$I,"Exacto"),Prod_Prop!$A:$A,Prod_Prop!$J:$J,"",0,1))</f>
        <v/>
      </c>
      <c r="L700" s="4" t="str">
        <f t="array" ref="L700">IF($E700="","", XLOOKUP(SUMIFS(Prod_Prop!$A:$A,Prod_Prop!$B:$B,$E700,Prod_Prop!$H:$H,L$1,Prod_Prop!$I:$I,"Exacto"),Prod_Prop!$A:$A,Prod_Prop!$J:$J,"",0,1))</f>
        <v/>
      </c>
      <c r="M700" s="4" t="str">
        <f t="array" ref="M700">IF($E700="","", XLOOKUP(SUMIFS(Prod_Prop!$A:$A,Prod_Prop!$B:$B,$E700,Prod_Prop!$H:$H,M$1,Prod_Prop!$I:$I,"Exacto"),Prod_Prop!$A:$A,Prod_Prop!$J:$J,"",0,1))</f>
        <v/>
      </c>
      <c r="N700" s="4" t="str">
        <f t="array" ref="N700">IF($E700="","", XLOOKUP(SUMIFS(Prod_Prop!$A:$A,Prod_Prop!$B:$B,$E700,Prod_Prop!$H:$H,N$1,Prod_Prop!$I:$I,"Exacto"),Prod_Prop!$A:$A,Prod_Prop!$J:$J,"",0,1))</f>
        <v/>
      </c>
      <c r="O700" s="4" t="str">
        <f t="array" ref="O700">IF($E700="","", XLOOKUP(SUMIFS(Prod_Prop!$A:$A,Prod_Prop!$B:$B,$E700,Prod_Prop!$H:$H,O$1,Prod_Prop!$I:$I,"Exacto"),Prod_Prop!$A:$A,Prod_Prop!$J:$J,"",0,1))</f>
        <v/>
      </c>
      <c r="P700" s="4" t="str">
        <f t="array" ref="P700">IF($E700="","", XLOOKUP(SUMIFS(Prod_Prop!$A:$A,Prod_Prop!$B:$B,$E700,Prod_Prop!$H:$H,P$1,Prod_Prop!$I:$I,"Exacto"),Prod_Prop!$A:$A,Prod_Prop!$J:$J,"",0,1))</f>
        <v/>
      </c>
      <c r="Q700" s="4" t="str">
        <f t="array" ref="Q700">IF($E700="","", XLOOKUP(SUMIFS(Prod_Prop!$A:$A,Prod_Prop!$B:$B,$E700,Prod_Prop!$H:$H,Q$1,Prod_Prop!$I:$I,"Exacto"),Prod_Prop!$A:$A,Prod_Prop!$J:$J,"",0,1))</f>
        <v/>
      </c>
      <c r="R700" s="4" t="str">
        <f t="array" ref="R700">IF($E700="","", XLOOKUP(SUMIFS(Prod_Prop!$A:$A,Prod_Prop!$B:$B,$E700,Prod_Prop!$H:$H,R$1,Prod_Prop!$I:$I,"Exacto"),Prod_Prop!$A:$A,Prod_Prop!$J:$J,"",0,1))</f>
        <v/>
      </c>
      <c r="S700" s="4" t="str">
        <f t="array" ref="S700">IF($E700="","", XLOOKUP(SUMIFS(Prod_Prop!$A:$A,Prod_Prop!$B:$B,$E700,Prod_Prop!$H:$H,S$1,Prod_Prop!$I:$I,"Exacto"),Prod_Prop!$A:$A,Prod_Prop!$J:$J,"",0,1))</f>
        <v/>
      </c>
      <c r="T700" s="4" t="str">
        <f t="array" ref="T700">IF($E700="","", XLOOKUP(SUMIFS(Prod_Prop!$A:$A,Prod_Prop!$B:$B,$E700,Prod_Prop!$H:$H,T$1,Prod_Prop!$I:$I,"Exacto"),Prod_Prop!$A:$A,Prod_Prop!$J:$J,"",0,1))</f>
        <v/>
      </c>
      <c r="U700" s="4" t="str">
        <f t="array" ref="U700">IF($E700="","", XLOOKUP(SUMIFS(Prod_Prop!$A:$A,Prod_Prop!$B:$B,$E700,Prod_Prop!$H:$H,U$1,Prod_Prop!$I:$I,"Exacto"),Prod_Prop!$A:$A,Prod_Prop!$J:$J,"",0,1))</f>
        <v/>
      </c>
      <c r="V700" s="4" t="str">
        <f t="array" ref="V700">IF($E700="","", XLOOKUP(SUMIFS(Prod_Prop!$A:$A,Prod_Prop!$B:$B,$E700,Prod_Prop!$H:$H,V$1,Prod_Prop!$I:$I,"Exacto"),Prod_Prop!$A:$A,Prod_Prop!$J:$J,"",0,1))</f>
        <v/>
      </c>
      <c r="X700" s="3" t="str">
        <f>IFERROR(__xludf.DUMMYFUNCTION("IF(D700="""","""",IFERROR(TRANSPOSE(FILTER('Validaciones Cotizador'!U:U,'Validaciones Cotizador'!O:O=D700,'Validaciones Cotizador'!T:T=""x"")),""Finalizar""))"),"")</f>
        <v/>
      </c>
    </row>
    <row r="701">
      <c r="A701" s="2" t="str">
        <f t="array" ref="A701">IF(E701="","",XLOOKUP(D701,'Validaciones Cotizador'!C:C,'Validaciones Cotizador'!A:A,"",0,1))</f>
        <v/>
      </c>
      <c r="B701" s="2" t="str">
        <f t="array" ref="B701">IF(F701="","",XLOOKUP(F701,Productos!E:E,Productos!G:G,"",0,1))</f>
        <v/>
      </c>
      <c r="C701" s="2" t="str">
        <f>IF(A701="","",SUMIFS('Validaciones Cotizador'!B:B,'Validaciones Cotizador'!C:C,D701,'Validaciones Cotizador'!A:A,A701))</f>
        <v/>
      </c>
      <c r="D701" s="4" t="str">
        <f>IFERROR(__xludf.DUMMYFUNCTION("IF(OR(F700=""Finalizar"",F700="""",F700=""Selecciona..""),"""",IF(OR(F700=""-"",INDEX(filter(Familias!F:F,Familias!D:D=A700,Familias!E:E=C700),1)=""O""),D700+1,D700))"),"")</f>
        <v/>
      </c>
      <c r="E701" s="2" t="str">
        <f>IF(OR(F701="",F701="Selecciona.."),"",IF(D701="Implemento",SUMIF(Implementos!B:B,F701,Implementos!A:A),SUMIF(Productos!E:E,F701,Productos!A:A)))</f>
        <v/>
      </c>
      <c r="F701" s="2" t="str">
        <f t="shared" si="2"/>
        <v/>
      </c>
      <c r="G701" s="10" t="str">
        <f t="array" ref="G701">IF(OR(F701="",F701="-",F701="Selecciona..",F701="Finalizar"),"",IF(A701="Rodados",XLOOKUP(B701,'Validaciones Cotizador'!I:I,'Validaciones Cotizador'!J:J,0,0,1),1))</f>
        <v/>
      </c>
      <c r="H701" s="11" t="str">
        <f>IF(OR(F701="",F701="Selecciona.."),"",SUMIF(Precio_Productos!K:K,E701,Precio_Productos!J:J)*G701)</f>
        <v/>
      </c>
      <c r="I701" s="4" t="str">
        <f t="array" ref="I701">IF($E701="","", XLOOKUP(SUMIFS(Prod_Prop!$A:$A,Prod_Prop!$B:$B,$E701,Prod_Prop!$H:$H,I$1,Prod_Prop!$I:$I,"Exacto"),Prod_Prop!$A:$A,Prod_Prop!$J:$J,"",0,1))</f>
        <v/>
      </c>
      <c r="J701" s="4" t="str">
        <f t="array" ref="J701">IF($E701="","", XLOOKUP(SUMIFS(Prod_Prop!$A:$A,Prod_Prop!$B:$B,$E701,Prod_Prop!$H:$H,J$1,Prod_Prop!$I:$I,"Exacto"),Prod_Prop!$A:$A,Prod_Prop!$J:$J,"",0,1))</f>
        <v/>
      </c>
      <c r="K701" s="4" t="str">
        <f t="array" ref="K701">IF($E701="","", XLOOKUP(SUMIFS(Prod_Prop!$A:$A,Prod_Prop!$B:$B,$E701,Prod_Prop!$H:$H,K$1,Prod_Prop!$I:$I,"Exacto"),Prod_Prop!$A:$A,Prod_Prop!$J:$J,"",0,1))</f>
        <v/>
      </c>
      <c r="L701" s="4" t="str">
        <f t="array" ref="L701">IF($E701="","", XLOOKUP(SUMIFS(Prod_Prop!$A:$A,Prod_Prop!$B:$B,$E701,Prod_Prop!$H:$H,L$1,Prod_Prop!$I:$I,"Exacto"),Prod_Prop!$A:$A,Prod_Prop!$J:$J,"",0,1))</f>
        <v/>
      </c>
      <c r="M701" s="4" t="str">
        <f t="array" ref="M701">IF($E701="","", XLOOKUP(SUMIFS(Prod_Prop!$A:$A,Prod_Prop!$B:$B,$E701,Prod_Prop!$H:$H,M$1,Prod_Prop!$I:$I,"Exacto"),Prod_Prop!$A:$A,Prod_Prop!$J:$J,"",0,1))</f>
        <v/>
      </c>
      <c r="N701" s="4" t="str">
        <f t="array" ref="N701">IF($E701="","", XLOOKUP(SUMIFS(Prod_Prop!$A:$A,Prod_Prop!$B:$B,$E701,Prod_Prop!$H:$H,N$1,Prod_Prop!$I:$I,"Exacto"),Prod_Prop!$A:$A,Prod_Prop!$J:$J,"",0,1))</f>
        <v/>
      </c>
      <c r="O701" s="4" t="str">
        <f t="array" ref="O701">IF($E701="","", XLOOKUP(SUMIFS(Prod_Prop!$A:$A,Prod_Prop!$B:$B,$E701,Prod_Prop!$H:$H,O$1,Prod_Prop!$I:$I,"Exacto"),Prod_Prop!$A:$A,Prod_Prop!$J:$J,"",0,1))</f>
        <v/>
      </c>
      <c r="P701" s="4" t="str">
        <f t="array" ref="P701">IF($E701="","", XLOOKUP(SUMIFS(Prod_Prop!$A:$A,Prod_Prop!$B:$B,$E701,Prod_Prop!$H:$H,P$1,Prod_Prop!$I:$I,"Exacto"),Prod_Prop!$A:$A,Prod_Prop!$J:$J,"",0,1))</f>
        <v/>
      </c>
      <c r="Q701" s="4" t="str">
        <f t="array" ref="Q701">IF($E701="","", XLOOKUP(SUMIFS(Prod_Prop!$A:$A,Prod_Prop!$B:$B,$E701,Prod_Prop!$H:$H,Q$1,Prod_Prop!$I:$I,"Exacto"),Prod_Prop!$A:$A,Prod_Prop!$J:$J,"",0,1))</f>
        <v/>
      </c>
      <c r="R701" s="4" t="str">
        <f t="array" ref="R701">IF($E701="","", XLOOKUP(SUMIFS(Prod_Prop!$A:$A,Prod_Prop!$B:$B,$E701,Prod_Prop!$H:$H,R$1,Prod_Prop!$I:$I,"Exacto"),Prod_Prop!$A:$A,Prod_Prop!$J:$J,"",0,1))</f>
        <v/>
      </c>
      <c r="S701" s="4" t="str">
        <f t="array" ref="S701">IF($E701="","", XLOOKUP(SUMIFS(Prod_Prop!$A:$A,Prod_Prop!$B:$B,$E701,Prod_Prop!$H:$H,S$1,Prod_Prop!$I:$I,"Exacto"),Prod_Prop!$A:$A,Prod_Prop!$J:$J,"",0,1))</f>
        <v/>
      </c>
      <c r="T701" s="4" t="str">
        <f t="array" ref="T701">IF($E701="","", XLOOKUP(SUMIFS(Prod_Prop!$A:$A,Prod_Prop!$B:$B,$E701,Prod_Prop!$H:$H,T$1,Prod_Prop!$I:$I,"Exacto"),Prod_Prop!$A:$A,Prod_Prop!$J:$J,"",0,1))</f>
        <v/>
      </c>
      <c r="U701" s="4" t="str">
        <f t="array" ref="U701">IF($E701="","", XLOOKUP(SUMIFS(Prod_Prop!$A:$A,Prod_Prop!$B:$B,$E701,Prod_Prop!$H:$H,U$1,Prod_Prop!$I:$I,"Exacto"),Prod_Prop!$A:$A,Prod_Prop!$J:$J,"",0,1))</f>
        <v/>
      </c>
      <c r="V701" s="4" t="str">
        <f t="array" ref="V701">IF($E701="","", XLOOKUP(SUMIFS(Prod_Prop!$A:$A,Prod_Prop!$B:$B,$E701,Prod_Prop!$H:$H,V$1,Prod_Prop!$I:$I,"Exacto"),Prod_Prop!$A:$A,Prod_Prop!$J:$J,"",0,1))</f>
        <v/>
      </c>
      <c r="X701" s="3" t="str">
        <f>IFERROR(__xludf.DUMMYFUNCTION("IF(D701="""","""",IFERROR(TRANSPOSE(FILTER('Validaciones Cotizador'!U:U,'Validaciones Cotizador'!O:O=D701,'Validaciones Cotizador'!T:T=""x"")),""Finalizar""))"),"")</f>
        <v/>
      </c>
    </row>
    <row r="702">
      <c r="A702" s="2" t="str">
        <f t="array" ref="A702">IF(E702="","",XLOOKUP(D702,'Validaciones Cotizador'!C:C,'Validaciones Cotizador'!A:A,"",0,1))</f>
        <v/>
      </c>
      <c r="B702" s="2" t="str">
        <f t="array" ref="B702">IF(F702="","",XLOOKUP(F702,Productos!E:E,Productos!G:G,"",0,1))</f>
        <v/>
      </c>
      <c r="C702" s="2" t="str">
        <f>IF(A702="","",SUMIFS('Validaciones Cotizador'!B:B,'Validaciones Cotizador'!C:C,D702,'Validaciones Cotizador'!A:A,A702))</f>
        <v/>
      </c>
      <c r="D702" s="4" t="str">
        <f>IFERROR(__xludf.DUMMYFUNCTION("IF(OR(F701=""Finalizar"",F701="""",F701=""Selecciona..""),"""",IF(OR(F701=""-"",INDEX(filter(Familias!F:F,Familias!D:D=A701,Familias!E:E=C701),1)=""O""),D701+1,D701))"),"")</f>
        <v/>
      </c>
      <c r="E702" s="2" t="str">
        <f>IF(OR(F702="",F702="Selecciona.."),"",IF(D702="Implemento",SUMIF(Implementos!B:B,F702,Implementos!A:A),SUMIF(Productos!E:E,F702,Productos!A:A)))</f>
        <v/>
      </c>
      <c r="F702" s="2" t="str">
        <f t="shared" si="2"/>
        <v/>
      </c>
      <c r="G702" s="10" t="str">
        <f t="array" ref="G702">IF(OR(F702="",F702="-",F702="Selecciona..",F702="Finalizar"),"",IF(A702="Rodados",XLOOKUP(B702,'Validaciones Cotizador'!I:I,'Validaciones Cotizador'!J:J,0,0,1),1))</f>
        <v/>
      </c>
      <c r="H702" s="11" t="str">
        <f>IF(OR(F702="",F702="Selecciona.."),"",SUMIF(Precio_Productos!K:K,E702,Precio_Productos!J:J)*G702)</f>
        <v/>
      </c>
      <c r="I702" s="4" t="str">
        <f t="array" ref="I702">IF($E702="","", XLOOKUP(SUMIFS(Prod_Prop!$A:$A,Prod_Prop!$B:$B,$E702,Prod_Prop!$H:$H,I$1,Prod_Prop!$I:$I,"Exacto"),Prod_Prop!$A:$A,Prod_Prop!$J:$J,"",0,1))</f>
        <v/>
      </c>
      <c r="J702" s="4" t="str">
        <f t="array" ref="J702">IF($E702="","", XLOOKUP(SUMIFS(Prod_Prop!$A:$A,Prod_Prop!$B:$B,$E702,Prod_Prop!$H:$H,J$1,Prod_Prop!$I:$I,"Exacto"),Prod_Prop!$A:$A,Prod_Prop!$J:$J,"",0,1))</f>
        <v/>
      </c>
      <c r="K702" s="4" t="str">
        <f t="array" ref="K702">IF($E702="","", XLOOKUP(SUMIFS(Prod_Prop!$A:$A,Prod_Prop!$B:$B,$E702,Prod_Prop!$H:$H,K$1,Prod_Prop!$I:$I,"Exacto"),Prod_Prop!$A:$A,Prod_Prop!$J:$J,"",0,1))</f>
        <v/>
      </c>
      <c r="L702" s="4" t="str">
        <f t="array" ref="L702">IF($E702="","", XLOOKUP(SUMIFS(Prod_Prop!$A:$A,Prod_Prop!$B:$B,$E702,Prod_Prop!$H:$H,L$1,Prod_Prop!$I:$I,"Exacto"),Prod_Prop!$A:$A,Prod_Prop!$J:$J,"",0,1))</f>
        <v/>
      </c>
      <c r="M702" s="4" t="str">
        <f t="array" ref="M702">IF($E702="","", XLOOKUP(SUMIFS(Prod_Prop!$A:$A,Prod_Prop!$B:$B,$E702,Prod_Prop!$H:$H,M$1,Prod_Prop!$I:$I,"Exacto"),Prod_Prop!$A:$A,Prod_Prop!$J:$J,"",0,1))</f>
        <v/>
      </c>
      <c r="N702" s="4" t="str">
        <f t="array" ref="N702">IF($E702="","", XLOOKUP(SUMIFS(Prod_Prop!$A:$A,Prod_Prop!$B:$B,$E702,Prod_Prop!$H:$H,N$1,Prod_Prop!$I:$I,"Exacto"),Prod_Prop!$A:$A,Prod_Prop!$J:$J,"",0,1))</f>
        <v/>
      </c>
      <c r="O702" s="4" t="str">
        <f t="array" ref="O702">IF($E702="","", XLOOKUP(SUMIFS(Prod_Prop!$A:$A,Prod_Prop!$B:$B,$E702,Prod_Prop!$H:$H,O$1,Prod_Prop!$I:$I,"Exacto"),Prod_Prop!$A:$A,Prod_Prop!$J:$J,"",0,1))</f>
        <v/>
      </c>
      <c r="P702" s="4" t="str">
        <f t="array" ref="P702">IF($E702="","", XLOOKUP(SUMIFS(Prod_Prop!$A:$A,Prod_Prop!$B:$B,$E702,Prod_Prop!$H:$H,P$1,Prod_Prop!$I:$I,"Exacto"),Prod_Prop!$A:$A,Prod_Prop!$J:$J,"",0,1))</f>
        <v/>
      </c>
      <c r="Q702" s="4" t="str">
        <f t="array" ref="Q702">IF($E702="","", XLOOKUP(SUMIFS(Prod_Prop!$A:$A,Prod_Prop!$B:$B,$E702,Prod_Prop!$H:$H,Q$1,Prod_Prop!$I:$I,"Exacto"),Prod_Prop!$A:$A,Prod_Prop!$J:$J,"",0,1))</f>
        <v/>
      </c>
      <c r="R702" s="4" t="str">
        <f t="array" ref="R702">IF($E702="","", XLOOKUP(SUMIFS(Prod_Prop!$A:$A,Prod_Prop!$B:$B,$E702,Prod_Prop!$H:$H,R$1,Prod_Prop!$I:$I,"Exacto"),Prod_Prop!$A:$A,Prod_Prop!$J:$J,"",0,1))</f>
        <v/>
      </c>
      <c r="S702" s="4" t="str">
        <f t="array" ref="S702">IF($E702="","", XLOOKUP(SUMIFS(Prod_Prop!$A:$A,Prod_Prop!$B:$B,$E702,Prod_Prop!$H:$H,S$1,Prod_Prop!$I:$I,"Exacto"),Prod_Prop!$A:$A,Prod_Prop!$J:$J,"",0,1))</f>
        <v/>
      </c>
      <c r="T702" s="4" t="str">
        <f t="array" ref="T702">IF($E702="","", XLOOKUP(SUMIFS(Prod_Prop!$A:$A,Prod_Prop!$B:$B,$E702,Prod_Prop!$H:$H,T$1,Prod_Prop!$I:$I,"Exacto"),Prod_Prop!$A:$A,Prod_Prop!$J:$J,"",0,1))</f>
        <v/>
      </c>
      <c r="U702" s="4" t="str">
        <f t="array" ref="U702">IF($E702="","", XLOOKUP(SUMIFS(Prod_Prop!$A:$A,Prod_Prop!$B:$B,$E702,Prod_Prop!$H:$H,U$1,Prod_Prop!$I:$I,"Exacto"),Prod_Prop!$A:$A,Prod_Prop!$J:$J,"",0,1))</f>
        <v/>
      </c>
      <c r="V702" s="4" t="str">
        <f t="array" ref="V702">IF($E702="","", XLOOKUP(SUMIFS(Prod_Prop!$A:$A,Prod_Prop!$B:$B,$E702,Prod_Prop!$H:$H,V$1,Prod_Prop!$I:$I,"Exacto"),Prod_Prop!$A:$A,Prod_Prop!$J:$J,"",0,1))</f>
        <v/>
      </c>
      <c r="X702" s="3" t="str">
        <f>IFERROR(__xludf.DUMMYFUNCTION("IF(D702="""","""",IFERROR(TRANSPOSE(FILTER('Validaciones Cotizador'!U:U,'Validaciones Cotizador'!O:O=D702,'Validaciones Cotizador'!T:T=""x"")),""Finalizar""))"),"")</f>
        <v/>
      </c>
    </row>
    <row r="703">
      <c r="A703" s="2" t="str">
        <f t="array" ref="A703">IF(E703="","",XLOOKUP(D703,'Validaciones Cotizador'!C:C,'Validaciones Cotizador'!A:A,"",0,1))</f>
        <v/>
      </c>
      <c r="B703" s="2" t="str">
        <f t="array" ref="B703">IF(F703="","",XLOOKUP(F703,Productos!E:E,Productos!G:G,"",0,1))</f>
        <v/>
      </c>
      <c r="C703" s="2" t="str">
        <f>IF(A703="","",SUMIFS('Validaciones Cotizador'!B:B,'Validaciones Cotizador'!C:C,D703,'Validaciones Cotizador'!A:A,A703))</f>
        <v/>
      </c>
      <c r="D703" s="4" t="str">
        <f>IFERROR(__xludf.DUMMYFUNCTION("IF(OR(F702=""Finalizar"",F702="""",F702=""Selecciona..""),"""",IF(OR(F702=""-"",INDEX(filter(Familias!F:F,Familias!D:D=A702,Familias!E:E=C702),1)=""O""),D702+1,D702))"),"")</f>
        <v/>
      </c>
      <c r="E703" s="2" t="str">
        <f>IF(OR(F703="",F703="Selecciona.."),"",IF(D703="Implemento",SUMIF(Implementos!B:B,F703,Implementos!A:A),SUMIF(Productos!E:E,F703,Productos!A:A)))</f>
        <v/>
      </c>
      <c r="F703" s="2" t="str">
        <f t="shared" si="2"/>
        <v/>
      </c>
      <c r="G703" s="10" t="str">
        <f t="array" ref="G703">IF(OR(F703="",F703="-",F703="Selecciona..",F703="Finalizar"),"",IF(A703="Rodados",XLOOKUP(B703,'Validaciones Cotizador'!I:I,'Validaciones Cotizador'!J:J,0,0,1),1))</f>
        <v/>
      </c>
      <c r="H703" s="11" t="str">
        <f>IF(OR(F703="",F703="Selecciona.."),"",SUMIF(Precio_Productos!K:K,E703,Precio_Productos!J:J)*G703)</f>
        <v/>
      </c>
      <c r="I703" s="4" t="str">
        <f t="array" ref="I703">IF($E703="","", XLOOKUP(SUMIFS(Prod_Prop!$A:$A,Prod_Prop!$B:$B,$E703,Prod_Prop!$H:$H,I$1,Prod_Prop!$I:$I,"Exacto"),Prod_Prop!$A:$A,Prod_Prop!$J:$J,"",0,1))</f>
        <v/>
      </c>
      <c r="J703" s="4" t="str">
        <f t="array" ref="J703">IF($E703="","", XLOOKUP(SUMIFS(Prod_Prop!$A:$A,Prod_Prop!$B:$B,$E703,Prod_Prop!$H:$H,J$1,Prod_Prop!$I:$I,"Exacto"),Prod_Prop!$A:$A,Prod_Prop!$J:$J,"",0,1))</f>
        <v/>
      </c>
      <c r="K703" s="4" t="str">
        <f t="array" ref="K703">IF($E703="","", XLOOKUP(SUMIFS(Prod_Prop!$A:$A,Prod_Prop!$B:$B,$E703,Prod_Prop!$H:$H,K$1,Prod_Prop!$I:$I,"Exacto"),Prod_Prop!$A:$A,Prod_Prop!$J:$J,"",0,1))</f>
        <v/>
      </c>
      <c r="L703" s="4" t="str">
        <f t="array" ref="L703">IF($E703="","", XLOOKUP(SUMIFS(Prod_Prop!$A:$A,Prod_Prop!$B:$B,$E703,Prod_Prop!$H:$H,L$1,Prod_Prop!$I:$I,"Exacto"),Prod_Prop!$A:$A,Prod_Prop!$J:$J,"",0,1))</f>
        <v/>
      </c>
      <c r="M703" s="4" t="str">
        <f t="array" ref="M703">IF($E703="","", XLOOKUP(SUMIFS(Prod_Prop!$A:$A,Prod_Prop!$B:$B,$E703,Prod_Prop!$H:$H,M$1,Prod_Prop!$I:$I,"Exacto"),Prod_Prop!$A:$A,Prod_Prop!$J:$J,"",0,1))</f>
        <v/>
      </c>
      <c r="N703" s="4" t="str">
        <f t="array" ref="N703">IF($E703="","", XLOOKUP(SUMIFS(Prod_Prop!$A:$A,Prod_Prop!$B:$B,$E703,Prod_Prop!$H:$H,N$1,Prod_Prop!$I:$I,"Exacto"),Prod_Prop!$A:$A,Prod_Prop!$J:$J,"",0,1))</f>
        <v/>
      </c>
      <c r="O703" s="4" t="str">
        <f t="array" ref="O703">IF($E703="","", XLOOKUP(SUMIFS(Prod_Prop!$A:$A,Prod_Prop!$B:$B,$E703,Prod_Prop!$H:$H,O$1,Prod_Prop!$I:$I,"Exacto"),Prod_Prop!$A:$A,Prod_Prop!$J:$J,"",0,1))</f>
        <v/>
      </c>
      <c r="P703" s="4" t="str">
        <f t="array" ref="P703">IF($E703="","", XLOOKUP(SUMIFS(Prod_Prop!$A:$A,Prod_Prop!$B:$B,$E703,Prod_Prop!$H:$H,P$1,Prod_Prop!$I:$I,"Exacto"),Prod_Prop!$A:$A,Prod_Prop!$J:$J,"",0,1))</f>
        <v/>
      </c>
      <c r="Q703" s="4" t="str">
        <f t="array" ref="Q703">IF($E703="","", XLOOKUP(SUMIFS(Prod_Prop!$A:$A,Prod_Prop!$B:$B,$E703,Prod_Prop!$H:$H,Q$1,Prod_Prop!$I:$I,"Exacto"),Prod_Prop!$A:$A,Prod_Prop!$J:$J,"",0,1))</f>
        <v/>
      </c>
      <c r="R703" s="4" t="str">
        <f t="array" ref="R703">IF($E703="","", XLOOKUP(SUMIFS(Prod_Prop!$A:$A,Prod_Prop!$B:$B,$E703,Prod_Prop!$H:$H,R$1,Prod_Prop!$I:$I,"Exacto"),Prod_Prop!$A:$A,Prod_Prop!$J:$J,"",0,1))</f>
        <v/>
      </c>
      <c r="S703" s="4" t="str">
        <f t="array" ref="S703">IF($E703="","", XLOOKUP(SUMIFS(Prod_Prop!$A:$A,Prod_Prop!$B:$B,$E703,Prod_Prop!$H:$H,S$1,Prod_Prop!$I:$I,"Exacto"),Prod_Prop!$A:$A,Prod_Prop!$J:$J,"",0,1))</f>
        <v/>
      </c>
      <c r="T703" s="4" t="str">
        <f t="array" ref="T703">IF($E703="","", XLOOKUP(SUMIFS(Prod_Prop!$A:$A,Prod_Prop!$B:$B,$E703,Prod_Prop!$H:$H,T$1,Prod_Prop!$I:$I,"Exacto"),Prod_Prop!$A:$A,Prod_Prop!$J:$J,"",0,1))</f>
        <v/>
      </c>
      <c r="U703" s="4" t="str">
        <f t="array" ref="U703">IF($E703="","", XLOOKUP(SUMIFS(Prod_Prop!$A:$A,Prod_Prop!$B:$B,$E703,Prod_Prop!$H:$H,U$1,Prod_Prop!$I:$I,"Exacto"),Prod_Prop!$A:$A,Prod_Prop!$J:$J,"",0,1))</f>
        <v/>
      </c>
      <c r="V703" s="4" t="str">
        <f t="array" ref="V703">IF($E703="","", XLOOKUP(SUMIFS(Prod_Prop!$A:$A,Prod_Prop!$B:$B,$E703,Prod_Prop!$H:$H,V$1,Prod_Prop!$I:$I,"Exacto"),Prod_Prop!$A:$A,Prod_Prop!$J:$J,"",0,1))</f>
        <v/>
      </c>
      <c r="X703" s="3" t="str">
        <f>IFERROR(__xludf.DUMMYFUNCTION("IF(D703="""","""",IFERROR(TRANSPOSE(FILTER('Validaciones Cotizador'!U:U,'Validaciones Cotizador'!O:O=D703,'Validaciones Cotizador'!T:T=""x"")),""Finalizar""))"),"")</f>
        <v/>
      </c>
    </row>
    <row r="704">
      <c r="A704" s="2" t="str">
        <f t="array" ref="A704">IF(E704="","",XLOOKUP(D704,'Validaciones Cotizador'!C:C,'Validaciones Cotizador'!A:A,"",0,1))</f>
        <v/>
      </c>
      <c r="B704" s="2" t="str">
        <f t="array" ref="B704">IF(F704="","",XLOOKUP(F704,Productos!E:E,Productos!G:G,"",0,1))</f>
        <v/>
      </c>
      <c r="C704" s="2" t="str">
        <f>IF(A704="","",SUMIFS('Validaciones Cotizador'!B:B,'Validaciones Cotizador'!C:C,D704,'Validaciones Cotizador'!A:A,A704))</f>
        <v/>
      </c>
      <c r="D704" s="4" t="str">
        <f>IFERROR(__xludf.DUMMYFUNCTION("IF(OR(F703=""Finalizar"",F703="""",F703=""Selecciona..""),"""",IF(OR(F703=""-"",INDEX(filter(Familias!F:F,Familias!D:D=A703,Familias!E:E=C703),1)=""O""),D703+1,D703))"),"")</f>
        <v/>
      </c>
      <c r="E704" s="2" t="str">
        <f>IF(OR(F704="",F704="Selecciona.."),"",IF(D704="Implemento",SUMIF(Implementos!B:B,F704,Implementos!A:A),SUMIF(Productos!E:E,F704,Productos!A:A)))</f>
        <v/>
      </c>
      <c r="F704" s="2" t="str">
        <f t="shared" si="2"/>
        <v/>
      </c>
      <c r="G704" s="10" t="str">
        <f t="array" ref="G704">IF(OR(F704="",F704="-",F704="Selecciona..",F704="Finalizar"),"",IF(A704="Rodados",XLOOKUP(B704,'Validaciones Cotizador'!I:I,'Validaciones Cotizador'!J:J,0,0,1),1))</f>
        <v/>
      </c>
      <c r="H704" s="11" t="str">
        <f>IF(OR(F704="",F704="Selecciona.."),"",SUMIF(Precio_Productos!K:K,E704,Precio_Productos!J:J)*G704)</f>
        <v/>
      </c>
      <c r="I704" s="4" t="str">
        <f t="array" ref="I704">IF($E704="","", XLOOKUP(SUMIFS(Prod_Prop!$A:$A,Prod_Prop!$B:$B,$E704,Prod_Prop!$H:$H,I$1,Prod_Prop!$I:$I,"Exacto"),Prod_Prop!$A:$A,Prod_Prop!$J:$J,"",0,1))</f>
        <v/>
      </c>
      <c r="J704" s="4" t="str">
        <f t="array" ref="J704">IF($E704="","", XLOOKUP(SUMIFS(Prod_Prop!$A:$A,Prod_Prop!$B:$B,$E704,Prod_Prop!$H:$H,J$1,Prod_Prop!$I:$I,"Exacto"),Prod_Prop!$A:$A,Prod_Prop!$J:$J,"",0,1))</f>
        <v/>
      </c>
      <c r="K704" s="4" t="str">
        <f t="array" ref="K704">IF($E704="","", XLOOKUP(SUMIFS(Prod_Prop!$A:$A,Prod_Prop!$B:$B,$E704,Prod_Prop!$H:$H,K$1,Prod_Prop!$I:$I,"Exacto"),Prod_Prop!$A:$A,Prod_Prop!$J:$J,"",0,1))</f>
        <v/>
      </c>
      <c r="L704" s="4" t="str">
        <f t="array" ref="L704">IF($E704="","", XLOOKUP(SUMIFS(Prod_Prop!$A:$A,Prod_Prop!$B:$B,$E704,Prod_Prop!$H:$H,L$1,Prod_Prop!$I:$I,"Exacto"),Prod_Prop!$A:$A,Prod_Prop!$J:$J,"",0,1))</f>
        <v/>
      </c>
      <c r="M704" s="4" t="str">
        <f t="array" ref="M704">IF($E704="","", XLOOKUP(SUMIFS(Prod_Prop!$A:$A,Prod_Prop!$B:$B,$E704,Prod_Prop!$H:$H,M$1,Prod_Prop!$I:$I,"Exacto"),Prod_Prop!$A:$A,Prod_Prop!$J:$J,"",0,1))</f>
        <v/>
      </c>
      <c r="N704" s="4" t="str">
        <f t="array" ref="N704">IF($E704="","", XLOOKUP(SUMIFS(Prod_Prop!$A:$A,Prod_Prop!$B:$B,$E704,Prod_Prop!$H:$H,N$1,Prod_Prop!$I:$I,"Exacto"),Prod_Prop!$A:$A,Prod_Prop!$J:$J,"",0,1))</f>
        <v/>
      </c>
      <c r="O704" s="4" t="str">
        <f t="array" ref="O704">IF($E704="","", XLOOKUP(SUMIFS(Prod_Prop!$A:$A,Prod_Prop!$B:$B,$E704,Prod_Prop!$H:$H,O$1,Prod_Prop!$I:$I,"Exacto"),Prod_Prop!$A:$A,Prod_Prop!$J:$J,"",0,1))</f>
        <v/>
      </c>
      <c r="P704" s="4" t="str">
        <f t="array" ref="P704">IF($E704="","", XLOOKUP(SUMIFS(Prod_Prop!$A:$A,Prod_Prop!$B:$B,$E704,Prod_Prop!$H:$H,P$1,Prod_Prop!$I:$I,"Exacto"),Prod_Prop!$A:$A,Prod_Prop!$J:$J,"",0,1))</f>
        <v/>
      </c>
      <c r="Q704" s="4" t="str">
        <f t="array" ref="Q704">IF($E704="","", XLOOKUP(SUMIFS(Prod_Prop!$A:$A,Prod_Prop!$B:$B,$E704,Prod_Prop!$H:$H,Q$1,Prod_Prop!$I:$I,"Exacto"),Prod_Prop!$A:$A,Prod_Prop!$J:$J,"",0,1))</f>
        <v/>
      </c>
      <c r="R704" s="4" t="str">
        <f t="array" ref="R704">IF($E704="","", XLOOKUP(SUMIFS(Prod_Prop!$A:$A,Prod_Prop!$B:$B,$E704,Prod_Prop!$H:$H,R$1,Prod_Prop!$I:$I,"Exacto"),Prod_Prop!$A:$A,Prod_Prop!$J:$J,"",0,1))</f>
        <v/>
      </c>
      <c r="S704" s="4" t="str">
        <f t="array" ref="S704">IF($E704="","", XLOOKUP(SUMIFS(Prod_Prop!$A:$A,Prod_Prop!$B:$B,$E704,Prod_Prop!$H:$H,S$1,Prod_Prop!$I:$I,"Exacto"),Prod_Prop!$A:$A,Prod_Prop!$J:$J,"",0,1))</f>
        <v/>
      </c>
      <c r="T704" s="4" t="str">
        <f t="array" ref="T704">IF($E704="","", XLOOKUP(SUMIFS(Prod_Prop!$A:$A,Prod_Prop!$B:$B,$E704,Prod_Prop!$H:$H,T$1,Prod_Prop!$I:$I,"Exacto"),Prod_Prop!$A:$A,Prod_Prop!$J:$J,"",0,1))</f>
        <v/>
      </c>
      <c r="U704" s="4" t="str">
        <f t="array" ref="U704">IF($E704="","", XLOOKUP(SUMIFS(Prod_Prop!$A:$A,Prod_Prop!$B:$B,$E704,Prod_Prop!$H:$H,U$1,Prod_Prop!$I:$I,"Exacto"),Prod_Prop!$A:$A,Prod_Prop!$J:$J,"",0,1))</f>
        <v/>
      </c>
      <c r="V704" s="4" t="str">
        <f t="array" ref="V704">IF($E704="","", XLOOKUP(SUMIFS(Prod_Prop!$A:$A,Prod_Prop!$B:$B,$E704,Prod_Prop!$H:$H,V$1,Prod_Prop!$I:$I,"Exacto"),Prod_Prop!$A:$A,Prod_Prop!$J:$J,"",0,1))</f>
        <v/>
      </c>
      <c r="X704" s="3" t="str">
        <f>IFERROR(__xludf.DUMMYFUNCTION("IF(D704="""","""",IFERROR(TRANSPOSE(FILTER('Validaciones Cotizador'!U:U,'Validaciones Cotizador'!O:O=D704,'Validaciones Cotizador'!T:T=""x"")),""Finalizar""))"),"")</f>
        <v/>
      </c>
    </row>
    <row r="705">
      <c r="A705" s="2" t="str">
        <f t="array" ref="A705">IF(E705="","",XLOOKUP(D705,'Validaciones Cotizador'!C:C,'Validaciones Cotizador'!A:A,"",0,1))</f>
        <v/>
      </c>
      <c r="B705" s="2" t="str">
        <f t="array" ref="B705">IF(F705="","",XLOOKUP(F705,Productos!E:E,Productos!G:G,"",0,1))</f>
        <v/>
      </c>
      <c r="C705" s="2" t="str">
        <f>IF(A705="","",SUMIFS('Validaciones Cotizador'!B:B,'Validaciones Cotizador'!C:C,D705,'Validaciones Cotizador'!A:A,A705))</f>
        <v/>
      </c>
      <c r="D705" s="4" t="str">
        <f>IFERROR(__xludf.DUMMYFUNCTION("IF(OR(F704=""Finalizar"",F704="""",F704=""Selecciona..""),"""",IF(OR(F704=""-"",INDEX(filter(Familias!F:F,Familias!D:D=A704,Familias!E:E=C704),1)=""O""),D704+1,D704))"),"")</f>
        <v/>
      </c>
      <c r="E705" s="2" t="str">
        <f>IF(OR(F705="",F705="Selecciona.."),"",IF(D705="Implemento",SUMIF(Implementos!B:B,F705,Implementos!A:A),SUMIF(Productos!E:E,F705,Productos!A:A)))</f>
        <v/>
      </c>
      <c r="F705" s="2" t="str">
        <f t="shared" si="2"/>
        <v/>
      </c>
      <c r="G705" s="10" t="str">
        <f t="array" ref="G705">IF(OR(F705="",F705="-",F705="Selecciona..",F705="Finalizar"),"",IF(A705="Rodados",XLOOKUP(B705,'Validaciones Cotizador'!I:I,'Validaciones Cotizador'!J:J,0,0,1),1))</f>
        <v/>
      </c>
      <c r="H705" s="11" t="str">
        <f>IF(OR(F705="",F705="Selecciona.."),"",SUMIF(Precio_Productos!K:K,E705,Precio_Productos!J:J)*G705)</f>
        <v/>
      </c>
      <c r="I705" s="4" t="str">
        <f t="array" ref="I705">IF($E705="","", XLOOKUP(SUMIFS(Prod_Prop!$A:$A,Prod_Prop!$B:$B,$E705,Prod_Prop!$H:$H,I$1,Prod_Prop!$I:$I,"Exacto"),Prod_Prop!$A:$A,Prod_Prop!$J:$J,"",0,1))</f>
        <v/>
      </c>
      <c r="J705" s="4" t="str">
        <f t="array" ref="J705">IF($E705="","", XLOOKUP(SUMIFS(Prod_Prop!$A:$A,Prod_Prop!$B:$B,$E705,Prod_Prop!$H:$H,J$1,Prod_Prop!$I:$I,"Exacto"),Prod_Prop!$A:$A,Prod_Prop!$J:$J,"",0,1))</f>
        <v/>
      </c>
      <c r="K705" s="4" t="str">
        <f t="array" ref="K705">IF($E705="","", XLOOKUP(SUMIFS(Prod_Prop!$A:$A,Prod_Prop!$B:$B,$E705,Prod_Prop!$H:$H,K$1,Prod_Prop!$I:$I,"Exacto"),Prod_Prop!$A:$A,Prod_Prop!$J:$J,"",0,1))</f>
        <v/>
      </c>
      <c r="L705" s="4" t="str">
        <f t="array" ref="L705">IF($E705="","", XLOOKUP(SUMIFS(Prod_Prop!$A:$A,Prod_Prop!$B:$B,$E705,Prod_Prop!$H:$H,L$1,Prod_Prop!$I:$I,"Exacto"),Prod_Prop!$A:$A,Prod_Prop!$J:$J,"",0,1))</f>
        <v/>
      </c>
      <c r="M705" s="4" t="str">
        <f t="array" ref="M705">IF($E705="","", XLOOKUP(SUMIFS(Prod_Prop!$A:$A,Prod_Prop!$B:$B,$E705,Prod_Prop!$H:$H,M$1,Prod_Prop!$I:$I,"Exacto"),Prod_Prop!$A:$A,Prod_Prop!$J:$J,"",0,1))</f>
        <v/>
      </c>
      <c r="N705" s="4" t="str">
        <f t="array" ref="N705">IF($E705="","", XLOOKUP(SUMIFS(Prod_Prop!$A:$A,Prod_Prop!$B:$B,$E705,Prod_Prop!$H:$H,N$1,Prod_Prop!$I:$I,"Exacto"),Prod_Prop!$A:$A,Prod_Prop!$J:$J,"",0,1))</f>
        <v/>
      </c>
      <c r="O705" s="4" t="str">
        <f t="array" ref="O705">IF($E705="","", XLOOKUP(SUMIFS(Prod_Prop!$A:$A,Prod_Prop!$B:$B,$E705,Prod_Prop!$H:$H,O$1,Prod_Prop!$I:$I,"Exacto"),Prod_Prop!$A:$A,Prod_Prop!$J:$J,"",0,1))</f>
        <v/>
      </c>
      <c r="P705" s="4" t="str">
        <f t="array" ref="P705">IF($E705="","", XLOOKUP(SUMIFS(Prod_Prop!$A:$A,Prod_Prop!$B:$B,$E705,Prod_Prop!$H:$H,P$1,Prod_Prop!$I:$I,"Exacto"),Prod_Prop!$A:$A,Prod_Prop!$J:$J,"",0,1))</f>
        <v/>
      </c>
      <c r="Q705" s="4" t="str">
        <f t="array" ref="Q705">IF($E705="","", XLOOKUP(SUMIFS(Prod_Prop!$A:$A,Prod_Prop!$B:$B,$E705,Prod_Prop!$H:$H,Q$1,Prod_Prop!$I:$I,"Exacto"),Prod_Prop!$A:$A,Prod_Prop!$J:$J,"",0,1))</f>
        <v/>
      </c>
      <c r="R705" s="4" t="str">
        <f t="array" ref="R705">IF($E705="","", XLOOKUP(SUMIFS(Prod_Prop!$A:$A,Prod_Prop!$B:$B,$E705,Prod_Prop!$H:$H,R$1,Prod_Prop!$I:$I,"Exacto"),Prod_Prop!$A:$A,Prod_Prop!$J:$J,"",0,1))</f>
        <v/>
      </c>
      <c r="S705" s="4" t="str">
        <f t="array" ref="S705">IF($E705="","", XLOOKUP(SUMIFS(Prod_Prop!$A:$A,Prod_Prop!$B:$B,$E705,Prod_Prop!$H:$H,S$1,Prod_Prop!$I:$I,"Exacto"),Prod_Prop!$A:$A,Prod_Prop!$J:$J,"",0,1))</f>
        <v/>
      </c>
      <c r="T705" s="4" t="str">
        <f t="array" ref="T705">IF($E705="","", XLOOKUP(SUMIFS(Prod_Prop!$A:$A,Prod_Prop!$B:$B,$E705,Prod_Prop!$H:$H,T$1,Prod_Prop!$I:$I,"Exacto"),Prod_Prop!$A:$A,Prod_Prop!$J:$J,"",0,1))</f>
        <v/>
      </c>
      <c r="U705" s="4" t="str">
        <f t="array" ref="U705">IF($E705="","", XLOOKUP(SUMIFS(Prod_Prop!$A:$A,Prod_Prop!$B:$B,$E705,Prod_Prop!$H:$H,U$1,Prod_Prop!$I:$I,"Exacto"),Prod_Prop!$A:$A,Prod_Prop!$J:$J,"",0,1))</f>
        <v/>
      </c>
      <c r="V705" s="4" t="str">
        <f t="array" ref="V705">IF($E705="","", XLOOKUP(SUMIFS(Prod_Prop!$A:$A,Prod_Prop!$B:$B,$E705,Prod_Prop!$H:$H,V$1,Prod_Prop!$I:$I,"Exacto"),Prod_Prop!$A:$A,Prod_Prop!$J:$J,"",0,1))</f>
        <v/>
      </c>
      <c r="X705" s="3" t="str">
        <f>IFERROR(__xludf.DUMMYFUNCTION("IF(D705="""","""",IFERROR(TRANSPOSE(FILTER('Validaciones Cotizador'!U:U,'Validaciones Cotizador'!O:O=D705,'Validaciones Cotizador'!T:T=""x"")),""Finalizar""))"),"")</f>
        <v/>
      </c>
    </row>
    <row r="706">
      <c r="A706" s="2" t="str">
        <f t="array" ref="A706">IF(E706="","",XLOOKUP(D706,'Validaciones Cotizador'!C:C,'Validaciones Cotizador'!A:A,"",0,1))</f>
        <v/>
      </c>
      <c r="B706" s="2" t="str">
        <f t="array" ref="B706">IF(F706="","",XLOOKUP(F706,Productos!E:E,Productos!G:G,"",0,1))</f>
        <v/>
      </c>
      <c r="C706" s="2" t="str">
        <f>IF(A706="","",SUMIFS('Validaciones Cotizador'!B:B,'Validaciones Cotizador'!C:C,D706,'Validaciones Cotizador'!A:A,A706))</f>
        <v/>
      </c>
      <c r="D706" s="4" t="str">
        <f>IFERROR(__xludf.DUMMYFUNCTION("IF(OR(F705=""Finalizar"",F705="""",F705=""Selecciona..""),"""",IF(OR(F705=""-"",INDEX(filter(Familias!F:F,Familias!D:D=A705,Familias!E:E=C705),1)=""O""),D705+1,D705))"),"")</f>
        <v/>
      </c>
      <c r="E706" s="2" t="str">
        <f>IF(OR(F706="",F706="Selecciona.."),"",IF(D706="Implemento",SUMIF(Implementos!B:B,F706,Implementos!A:A),SUMIF(Productos!E:E,F706,Productos!A:A)))</f>
        <v/>
      </c>
      <c r="F706" s="2" t="str">
        <f t="shared" si="2"/>
        <v/>
      </c>
      <c r="G706" s="10" t="str">
        <f t="array" ref="G706">IF(OR(F706="",F706="-",F706="Selecciona..",F706="Finalizar"),"",IF(A706="Rodados",XLOOKUP(B706,'Validaciones Cotizador'!I:I,'Validaciones Cotizador'!J:J,0,0,1),1))</f>
        <v/>
      </c>
      <c r="H706" s="11" t="str">
        <f>IF(OR(F706="",F706="Selecciona.."),"",SUMIF(Precio_Productos!K:K,E706,Precio_Productos!J:J)*G706)</f>
        <v/>
      </c>
      <c r="I706" s="4" t="str">
        <f t="array" ref="I706">IF($E706="","", XLOOKUP(SUMIFS(Prod_Prop!$A:$A,Prod_Prop!$B:$B,$E706,Prod_Prop!$H:$H,I$1,Prod_Prop!$I:$I,"Exacto"),Prod_Prop!$A:$A,Prod_Prop!$J:$J,"",0,1))</f>
        <v/>
      </c>
      <c r="J706" s="4" t="str">
        <f t="array" ref="J706">IF($E706="","", XLOOKUP(SUMIFS(Prod_Prop!$A:$A,Prod_Prop!$B:$B,$E706,Prod_Prop!$H:$H,J$1,Prod_Prop!$I:$I,"Exacto"),Prod_Prop!$A:$A,Prod_Prop!$J:$J,"",0,1))</f>
        <v/>
      </c>
      <c r="K706" s="4" t="str">
        <f t="array" ref="K706">IF($E706="","", XLOOKUP(SUMIFS(Prod_Prop!$A:$A,Prod_Prop!$B:$B,$E706,Prod_Prop!$H:$H,K$1,Prod_Prop!$I:$I,"Exacto"),Prod_Prop!$A:$A,Prod_Prop!$J:$J,"",0,1))</f>
        <v/>
      </c>
      <c r="L706" s="4" t="str">
        <f t="array" ref="L706">IF($E706="","", XLOOKUP(SUMIFS(Prod_Prop!$A:$A,Prod_Prop!$B:$B,$E706,Prod_Prop!$H:$H,L$1,Prod_Prop!$I:$I,"Exacto"),Prod_Prop!$A:$A,Prod_Prop!$J:$J,"",0,1))</f>
        <v/>
      </c>
      <c r="M706" s="4" t="str">
        <f t="array" ref="M706">IF($E706="","", XLOOKUP(SUMIFS(Prod_Prop!$A:$A,Prod_Prop!$B:$B,$E706,Prod_Prop!$H:$H,M$1,Prod_Prop!$I:$I,"Exacto"),Prod_Prop!$A:$A,Prod_Prop!$J:$J,"",0,1))</f>
        <v/>
      </c>
      <c r="N706" s="4" t="str">
        <f t="array" ref="N706">IF($E706="","", XLOOKUP(SUMIFS(Prod_Prop!$A:$A,Prod_Prop!$B:$B,$E706,Prod_Prop!$H:$H,N$1,Prod_Prop!$I:$I,"Exacto"),Prod_Prop!$A:$A,Prod_Prop!$J:$J,"",0,1))</f>
        <v/>
      </c>
      <c r="O706" s="4" t="str">
        <f t="array" ref="O706">IF($E706="","", XLOOKUP(SUMIFS(Prod_Prop!$A:$A,Prod_Prop!$B:$B,$E706,Prod_Prop!$H:$H,O$1,Prod_Prop!$I:$I,"Exacto"),Prod_Prop!$A:$A,Prod_Prop!$J:$J,"",0,1))</f>
        <v/>
      </c>
      <c r="P706" s="4" t="str">
        <f t="array" ref="P706">IF($E706="","", XLOOKUP(SUMIFS(Prod_Prop!$A:$A,Prod_Prop!$B:$B,$E706,Prod_Prop!$H:$H,P$1,Prod_Prop!$I:$I,"Exacto"),Prod_Prop!$A:$A,Prod_Prop!$J:$J,"",0,1))</f>
        <v/>
      </c>
      <c r="Q706" s="4" t="str">
        <f t="array" ref="Q706">IF($E706="","", XLOOKUP(SUMIFS(Prod_Prop!$A:$A,Prod_Prop!$B:$B,$E706,Prod_Prop!$H:$H,Q$1,Prod_Prop!$I:$I,"Exacto"),Prod_Prop!$A:$A,Prod_Prop!$J:$J,"",0,1))</f>
        <v/>
      </c>
      <c r="R706" s="4" t="str">
        <f t="array" ref="R706">IF($E706="","", XLOOKUP(SUMIFS(Prod_Prop!$A:$A,Prod_Prop!$B:$B,$E706,Prod_Prop!$H:$H,R$1,Prod_Prop!$I:$I,"Exacto"),Prod_Prop!$A:$A,Prod_Prop!$J:$J,"",0,1))</f>
        <v/>
      </c>
      <c r="S706" s="4" t="str">
        <f t="array" ref="S706">IF($E706="","", XLOOKUP(SUMIFS(Prod_Prop!$A:$A,Prod_Prop!$B:$B,$E706,Prod_Prop!$H:$H,S$1,Prod_Prop!$I:$I,"Exacto"),Prod_Prop!$A:$A,Prod_Prop!$J:$J,"",0,1))</f>
        <v/>
      </c>
      <c r="T706" s="4" t="str">
        <f t="array" ref="T706">IF($E706="","", XLOOKUP(SUMIFS(Prod_Prop!$A:$A,Prod_Prop!$B:$B,$E706,Prod_Prop!$H:$H,T$1,Prod_Prop!$I:$I,"Exacto"),Prod_Prop!$A:$A,Prod_Prop!$J:$J,"",0,1))</f>
        <v/>
      </c>
      <c r="U706" s="4" t="str">
        <f t="array" ref="U706">IF($E706="","", XLOOKUP(SUMIFS(Prod_Prop!$A:$A,Prod_Prop!$B:$B,$E706,Prod_Prop!$H:$H,U$1,Prod_Prop!$I:$I,"Exacto"),Prod_Prop!$A:$A,Prod_Prop!$J:$J,"",0,1))</f>
        <v/>
      </c>
      <c r="V706" s="4" t="str">
        <f t="array" ref="V706">IF($E706="","", XLOOKUP(SUMIFS(Prod_Prop!$A:$A,Prod_Prop!$B:$B,$E706,Prod_Prop!$H:$H,V$1,Prod_Prop!$I:$I,"Exacto"),Prod_Prop!$A:$A,Prod_Prop!$J:$J,"",0,1))</f>
        <v/>
      </c>
      <c r="X706" s="3" t="str">
        <f>IFERROR(__xludf.DUMMYFUNCTION("IF(D706="""","""",IFERROR(TRANSPOSE(FILTER('Validaciones Cotizador'!U:U,'Validaciones Cotizador'!O:O=D706,'Validaciones Cotizador'!T:T=""x"")),""Finalizar""))"),"")</f>
        <v/>
      </c>
    </row>
    <row r="707">
      <c r="A707" s="2" t="str">
        <f t="array" ref="A707">IF(E707="","",XLOOKUP(D707,'Validaciones Cotizador'!C:C,'Validaciones Cotizador'!A:A,"",0,1))</f>
        <v/>
      </c>
      <c r="B707" s="2" t="str">
        <f t="array" ref="B707">IF(F707="","",XLOOKUP(F707,Productos!E:E,Productos!G:G,"",0,1))</f>
        <v/>
      </c>
      <c r="C707" s="2" t="str">
        <f>IF(A707="","",SUMIFS('Validaciones Cotizador'!B:B,'Validaciones Cotizador'!C:C,D707,'Validaciones Cotizador'!A:A,A707))</f>
        <v/>
      </c>
      <c r="D707" s="4" t="str">
        <f>IFERROR(__xludf.DUMMYFUNCTION("IF(OR(F706=""Finalizar"",F706="""",F706=""Selecciona..""),"""",IF(OR(F706=""-"",INDEX(filter(Familias!F:F,Familias!D:D=A706,Familias!E:E=C706),1)=""O""),D706+1,D706))"),"")</f>
        <v/>
      </c>
      <c r="E707" s="2" t="str">
        <f>IF(OR(F707="",F707="Selecciona.."),"",IF(D707="Implemento",SUMIF(Implementos!B:B,F707,Implementos!A:A),SUMIF(Productos!E:E,F707,Productos!A:A)))</f>
        <v/>
      </c>
      <c r="F707" s="2" t="str">
        <f t="shared" si="2"/>
        <v/>
      </c>
      <c r="G707" s="10" t="str">
        <f t="array" ref="G707">IF(OR(F707="",F707="-",F707="Selecciona..",F707="Finalizar"),"",IF(A707="Rodados",XLOOKUP(B707,'Validaciones Cotizador'!I:I,'Validaciones Cotizador'!J:J,0,0,1),1))</f>
        <v/>
      </c>
      <c r="H707" s="11" t="str">
        <f>IF(OR(F707="",F707="Selecciona.."),"",SUMIF(Precio_Productos!K:K,E707,Precio_Productos!J:J)*G707)</f>
        <v/>
      </c>
      <c r="I707" s="4" t="str">
        <f t="array" ref="I707">IF($E707="","", XLOOKUP(SUMIFS(Prod_Prop!$A:$A,Prod_Prop!$B:$B,$E707,Prod_Prop!$H:$H,I$1,Prod_Prop!$I:$I,"Exacto"),Prod_Prop!$A:$A,Prod_Prop!$J:$J,"",0,1))</f>
        <v/>
      </c>
      <c r="J707" s="4" t="str">
        <f t="array" ref="J707">IF($E707="","", XLOOKUP(SUMIFS(Prod_Prop!$A:$A,Prod_Prop!$B:$B,$E707,Prod_Prop!$H:$H,J$1,Prod_Prop!$I:$I,"Exacto"),Prod_Prop!$A:$A,Prod_Prop!$J:$J,"",0,1))</f>
        <v/>
      </c>
      <c r="K707" s="4" t="str">
        <f t="array" ref="K707">IF($E707="","", XLOOKUP(SUMIFS(Prod_Prop!$A:$A,Prod_Prop!$B:$B,$E707,Prod_Prop!$H:$H,K$1,Prod_Prop!$I:$I,"Exacto"),Prod_Prop!$A:$A,Prod_Prop!$J:$J,"",0,1))</f>
        <v/>
      </c>
      <c r="L707" s="4" t="str">
        <f t="array" ref="L707">IF($E707="","", XLOOKUP(SUMIFS(Prod_Prop!$A:$A,Prod_Prop!$B:$B,$E707,Prod_Prop!$H:$H,L$1,Prod_Prop!$I:$I,"Exacto"),Prod_Prop!$A:$A,Prod_Prop!$J:$J,"",0,1))</f>
        <v/>
      </c>
      <c r="M707" s="4" t="str">
        <f t="array" ref="M707">IF($E707="","", XLOOKUP(SUMIFS(Prod_Prop!$A:$A,Prod_Prop!$B:$B,$E707,Prod_Prop!$H:$H,M$1,Prod_Prop!$I:$I,"Exacto"),Prod_Prop!$A:$A,Prod_Prop!$J:$J,"",0,1))</f>
        <v/>
      </c>
      <c r="N707" s="4" t="str">
        <f t="array" ref="N707">IF($E707="","", XLOOKUP(SUMIFS(Prod_Prop!$A:$A,Prod_Prop!$B:$B,$E707,Prod_Prop!$H:$H,N$1,Prod_Prop!$I:$I,"Exacto"),Prod_Prop!$A:$A,Prod_Prop!$J:$J,"",0,1))</f>
        <v/>
      </c>
      <c r="O707" s="4" t="str">
        <f t="array" ref="O707">IF($E707="","", XLOOKUP(SUMIFS(Prod_Prop!$A:$A,Prod_Prop!$B:$B,$E707,Prod_Prop!$H:$H,O$1,Prod_Prop!$I:$I,"Exacto"),Prod_Prop!$A:$A,Prod_Prop!$J:$J,"",0,1))</f>
        <v/>
      </c>
      <c r="P707" s="4" t="str">
        <f t="array" ref="P707">IF($E707="","", XLOOKUP(SUMIFS(Prod_Prop!$A:$A,Prod_Prop!$B:$B,$E707,Prod_Prop!$H:$H,P$1,Prod_Prop!$I:$I,"Exacto"),Prod_Prop!$A:$A,Prod_Prop!$J:$J,"",0,1))</f>
        <v/>
      </c>
      <c r="Q707" s="4" t="str">
        <f t="array" ref="Q707">IF($E707="","", XLOOKUP(SUMIFS(Prod_Prop!$A:$A,Prod_Prop!$B:$B,$E707,Prod_Prop!$H:$H,Q$1,Prod_Prop!$I:$I,"Exacto"),Prod_Prop!$A:$A,Prod_Prop!$J:$J,"",0,1))</f>
        <v/>
      </c>
      <c r="R707" s="4" t="str">
        <f t="array" ref="R707">IF($E707="","", XLOOKUP(SUMIFS(Prod_Prop!$A:$A,Prod_Prop!$B:$B,$E707,Prod_Prop!$H:$H,R$1,Prod_Prop!$I:$I,"Exacto"),Prod_Prop!$A:$A,Prod_Prop!$J:$J,"",0,1))</f>
        <v/>
      </c>
      <c r="S707" s="4" t="str">
        <f t="array" ref="S707">IF($E707="","", XLOOKUP(SUMIFS(Prod_Prop!$A:$A,Prod_Prop!$B:$B,$E707,Prod_Prop!$H:$H,S$1,Prod_Prop!$I:$I,"Exacto"),Prod_Prop!$A:$A,Prod_Prop!$J:$J,"",0,1))</f>
        <v/>
      </c>
      <c r="T707" s="4" t="str">
        <f t="array" ref="T707">IF($E707="","", XLOOKUP(SUMIFS(Prod_Prop!$A:$A,Prod_Prop!$B:$B,$E707,Prod_Prop!$H:$H,T$1,Prod_Prop!$I:$I,"Exacto"),Prod_Prop!$A:$A,Prod_Prop!$J:$J,"",0,1))</f>
        <v/>
      </c>
      <c r="U707" s="4" t="str">
        <f t="array" ref="U707">IF($E707="","", XLOOKUP(SUMIFS(Prod_Prop!$A:$A,Prod_Prop!$B:$B,$E707,Prod_Prop!$H:$H,U$1,Prod_Prop!$I:$I,"Exacto"),Prod_Prop!$A:$A,Prod_Prop!$J:$J,"",0,1))</f>
        <v/>
      </c>
      <c r="V707" s="4" t="str">
        <f t="array" ref="V707">IF($E707="","", XLOOKUP(SUMIFS(Prod_Prop!$A:$A,Prod_Prop!$B:$B,$E707,Prod_Prop!$H:$H,V$1,Prod_Prop!$I:$I,"Exacto"),Prod_Prop!$A:$A,Prod_Prop!$J:$J,"",0,1))</f>
        <v/>
      </c>
      <c r="X707" s="3" t="str">
        <f>IFERROR(__xludf.DUMMYFUNCTION("IF(D707="""","""",IFERROR(TRANSPOSE(FILTER('Validaciones Cotizador'!U:U,'Validaciones Cotizador'!O:O=D707,'Validaciones Cotizador'!T:T=""x"")),""Finalizar""))"),"")</f>
        <v/>
      </c>
    </row>
    <row r="708">
      <c r="A708" s="2" t="str">
        <f t="array" ref="A708">IF(E708="","",XLOOKUP(D708,'Validaciones Cotizador'!C:C,'Validaciones Cotizador'!A:A,"",0,1))</f>
        <v/>
      </c>
      <c r="B708" s="2" t="str">
        <f t="array" ref="B708">IF(F708="","",XLOOKUP(F708,Productos!E:E,Productos!G:G,"",0,1))</f>
        <v/>
      </c>
      <c r="C708" s="2" t="str">
        <f>IF(A708="","",SUMIFS('Validaciones Cotizador'!B:B,'Validaciones Cotizador'!C:C,D708,'Validaciones Cotizador'!A:A,A708))</f>
        <v/>
      </c>
      <c r="D708" s="4" t="str">
        <f>IFERROR(__xludf.DUMMYFUNCTION("IF(OR(F707=""Finalizar"",F707="""",F707=""Selecciona..""),"""",IF(OR(F707=""-"",INDEX(filter(Familias!F:F,Familias!D:D=A707,Familias!E:E=C707),1)=""O""),D707+1,D707))"),"")</f>
        <v/>
      </c>
      <c r="E708" s="2" t="str">
        <f>IF(OR(F708="",F708="Selecciona.."),"",IF(D708="Implemento",SUMIF(Implementos!B:B,F708,Implementos!A:A),SUMIF(Productos!E:E,F708,Productos!A:A)))</f>
        <v/>
      </c>
      <c r="F708" s="2" t="str">
        <f t="shared" si="2"/>
        <v/>
      </c>
      <c r="G708" s="10" t="str">
        <f t="array" ref="G708">IF(OR(F708="",F708="-",F708="Selecciona..",F708="Finalizar"),"",IF(A708="Rodados",XLOOKUP(B708,'Validaciones Cotizador'!I:I,'Validaciones Cotizador'!J:J,0,0,1),1))</f>
        <v/>
      </c>
      <c r="H708" s="11" t="str">
        <f>IF(OR(F708="",F708="Selecciona.."),"",SUMIF(Precio_Productos!K:K,E708,Precio_Productos!J:J)*G708)</f>
        <v/>
      </c>
      <c r="I708" s="4" t="str">
        <f t="array" ref="I708">IF($E708="","", XLOOKUP(SUMIFS(Prod_Prop!$A:$A,Prod_Prop!$B:$B,$E708,Prod_Prop!$H:$H,I$1,Prod_Prop!$I:$I,"Exacto"),Prod_Prop!$A:$A,Prod_Prop!$J:$J,"",0,1))</f>
        <v/>
      </c>
      <c r="J708" s="4" t="str">
        <f t="array" ref="J708">IF($E708="","", XLOOKUP(SUMIFS(Prod_Prop!$A:$A,Prod_Prop!$B:$B,$E708,Prod_Prop!$H:$H,J$1,Prod_Prop!$I:$I,"Exacto"),Prod_Prop!$A:$A,Prod_Prop!$J:$J,"",0,1))</f>
        <v/>
      </c>
      <c r="K708" s="4" t="str">
        <f t="array" ref="K708">IF($E708="","", XLOOKUP(SUMIFS(Prod_Prop!$A:$A,Prod_Prop!$B:$B,$E708,Prod_Prop!$H:$H,K$1,Prod_Prop!$I:$I,"Exacto"),Prod_Prop!$A:$A,Prod_Prop!$J:$J,"",0,1))</f>
        <v/>
      </c>
      <c r="L708" s="4" t="str">
        <f t="array" ref="L708">IF($E708="","", XLOOKUP(SUMIFS(Prod_Prop!$A:$A,Prod_Prop!$B:$B,$E708,Prod_Prop!$H:$H,L$1,Prod_Prop!$I:$I,"Exacto"),Prod_Prop!$A:$A,Prod_Prop!$J:$J,"",0,1))</f>
        <v/>
      </c>
      <c r="M708" s="4" t="str">
        <f t="array" ref="M708">IF($E708="","", XLOOKUP(SUMIFS(Prod_Prop!$A:$A,Prod_Prop!$B:$B,$E708,Prod_Prop!$H:$H,M$1,Prod_Prop!$I:$I,"Exacto"),Prod_Prop!$A:$A,Prod_Prop!$J:$J,"",0,1))</f>
        <v/>
      </c>
      <c r="N708" s="4" t="str">
        <f t="array" ref="N708">IF($E708="","", XLOOKUP(SUMIFS(Prod_Prop!$A:$A,Prod_Prop!$B:$B,$E708,Prod_Prop!$H:$H,N$1,Prod_Prop!$I:$I,"Exacto"),Prod_Prop!$A:$A,Prod_Prop!$J:$J,"",0,1))</f>
        <v/>
      </c>
      <c r="O708" s="4" t="str">
        <f t="array" ref="O708">IF($E708="","", XLOOKUP(SUMIFS(Prod_Prop!$A:$A,Prod_Prop!$B:$B,$E708,Prod_Prop!$H:$H,O$1,Prod_Prop!$I:$I,"Exacto"),Prod_Prop!$A:$A,Prod_Prop!$J:$J,"",0,1))</f>
        <v/>
      </c>
      <c r="P708" s="4" t="str">
        <f t="array" ref="P708">IF($E708="","", XLOOKUP(SUMIFS(Prod_Prop!$A:$A,Prod_Prop!$B:$B,$E708,Prod_Prop!$H:$H,P$1,Prod_Prop!$I:$I,"Exacto"),Prod_Prop!$A:$A,Prod_Prop!$J:$J,"",0,1))</f>
        <v/>
      </c>
      <c r="Q708" s="4" t="str">
        <f t="array" ref="Q708">IF($E708="","", XLOOKUP(SUMIFS(Prod_Prop!$A:$A,Prod_Prop!$B:$B,$E708,Prod_Prop!$H:$H,Q$1,Prod_Prop!$I:$I,"Exacto"),Prod_Prop!$A:$A,Prod_Prop!$J:$J,"",0,1))</f>
        <v/>
      </c>
      <c r="R708" s="4" t="str">
        <f t="array" ref="R708">IF($E708="","", XLOOKUP(SUMIFS(Prod_Prop!$A:$A,Prod_Prop!$B:$B,$E708,Prod_Prop!$H:$H,R$1,Prod_Prop!$I:$I,"Exacto"),Prod_Prop!$A:$A,Prod_Prop!$J:$J,"",0,1))</f>
        <v/>
      </c>
      <c r="S708" s="4" t="str">
        <f t="array" ref="S708">IF($E708="","", XLOOKUP(SUMIFS(Prod_Prop!$A:$A,Prod_Prop!$B:$B,$E708,Prod_Prop!$H:$H,S$1,Prod_Prop!$I:$I,"Exacto"),Prod_Prop!$A:$A,Prod_Prop!$J:$J,"",0,1))</f>
        <v/>
      </c>
      <c r="T708" s="4" t="str">
        <f t="array" ref="T708">IF($E708="","", XLOOKUP(SUMIFS(Prod_Prop!$A:$A,Prod_Prop!$B:$B,$E708,Prod_Prop!$H:$H,T$1,Prod_Prop!$I:$I,"Exacto"),Prod_Prop!$A:$A,Prod_Prop!$J:$J,"",0,1))</f>
        <v/>
      </c>
      <c r="U708" s="4" t="str">
        <f t="array" ref="U708">IF($E708="","", XLOOKUP(SUMIFS(Prod_Prop!$A:$A,Prod_Prop!$B:$B,$E708,Prod_Prop!$H:$H,U$1,Prod_Prop!$I:$I,"Exacto"),Prod_Prop!$A:$A,Prod_Prop!$J:$J,"",0,1))</f>
        <v/>
      </c>
      <c r="V708" s="4" t="str">
        <f t="array" ref="V708">IF($E708="","", XLOOKUP(SUMIFS(Prod_Prop!$A:$A,Prod_Prop!$B:$B,$E708,Prod_Prop!$H:$H,V$1,Prod_Prop!$I:$I,"Exacto"),Prod_Prop!$A:$A,Prod_Prop!$J:$J,"",0,1))</f>
        <v/>
      </c>
      <c r="X708" s="3" t="str">
        <f>IFERROR(__xludf.DUMMYFUNCTION("IF(D708="""","""",IFERROR(TRANSPOSE(FILTER('Validaciones Cotizador'!U:U,'Validaciones Cotizador'!O:O=D708,'Validaciones Cotizador'!T:T=""x"")),""Finalizar""))"),"")</f>
        <v/>
      </c>
    </row>
    <row r="709">
      <c r="A709" s="2" t="str">
        <f t="array" ref="A709">IF(E709="","",XLOOKUP(D709,'Validaciones Cotizador'!C:C,'Validaciones Cotizador'!A:A,"",0,1))</f>
        <v/>
      </c>
      <c r="B709" s="2" t="str">
        <f t="array" ref="B709">IF(F709="","",XLOOKUP(F709,Productos!E:E,Productos!G:G,"",0,1))</f>
        <v/>
      </c>
      <c r="C709" s="2" t="str">
        <f>IF(A709="","",SUMIFS('Validaciones Cotizador'!B:B,'Validaciones Cotizador'!C:C,D709,'Validaciones Cotizador'!A:A,A709))</f>
        <v/>
      </c>
      <c r="D709" s="4" t="str">
        <f>IFERROR(__xludf.DUMMYFUNCTION("IF(OR(F708=""Finalizar"",F708="""",F708=""Selecciona..""),"""",IF(OR(F708=""-"",INDEX(filter(Familias!F:F,Familias!D:D=A708,Familias!E:E=C708),1)=""O""),D708+1,D708))"),"")</f>
        <v/>
      </c>
      <c r="E709" s="2" t="str">
        <f>IF(OR(F709="",F709="Selecciona.."),"",IF(D709="Implemento",SUMIF(Implementos!B:B,F709,Implementos!A:A),SUMIF(Productos!E:E,F709,Productos!A:A)))</f>
        <v/>
      </c>
      <c r="F709" s="2" t="str">
        <f t="shared" si="2"/>
        <v/>
      </c>
      <c r="G709" s="10" t="str">
        <f t="array" ref="G709">IF(OR(F709="",F709="-",F709="Selecciona..",F709="Finalizar"),"",IF(A709="Rodados",XLOOKUP(B709,'Validaciones Cotizador'!I:I,'Validaciones Cotizador'!J:J,0,0,1),1))</f>
        <v/>
      </c>
      <c r="H709" s="11" t="str">
        <f>IF(OR(F709="",F709="Selecciona.."),"",SUMIF(Precio_Productos!K:K,E709,Precio_Productos!J:J)*G709)</f>
        <v/>
      </c>
      <c r="I709" s="4" t="str">
        <f t="array" ref="I709">IF($E709="","", XLOOKUP(SUMIFS(Prod_Prop!$A:$A,Prod_Prop!$B:$B,$E709,Prod_Prop!$H:$H,I$1,Prod_Prop!$I:$I,"Exacto"),Prod_Prop!$A:$A,Prod_Prop!$J:$J,"",0,1))</f>
        <v/>
      </c>
      <c r="J709" s="4" t="str">
        <f t="array" ref="J709">IF($E709="","", XLOOKUP(SUMIFS(Prod_Prop!$A:$A,Prod_Prop!$B:$B,$E709,Prod_Prop!$H:$H,J$1,Prod_Prop!$I:$I,"Exacto"),Prod_Prop!$A:$A,Prod_Prop!$J:$J,"",0,1))</f>
        <v/>
      </c>
      <c r="K709" s="4" t="str">
        <f t="array" ref="K709">IF($E709="","", XLOOKUP(SUMIFS(Prod_Prop!$A:$A,Prod_Prop!$B:$B,$E709,Prod_Prop!$H:$H,K$1,Prod_Prop!$I:$I,"Exacto"),Prod_Prop!$A:$A,Prod_Prop!$J:$J,"",0,1))</f>
        <v/>
      </c>
      <c r="L709" s="4" t="str">
        <f t="array" ref="L709">IF($E709="","", XLOOKUP(SUMIFS(Prod_Prop!$A:$A,Prod_Prop!$B:$B,$E709,Prod_Prop!$H:$H,L$1,Prod_Prop!$I:$I,"Exacto"),Prod_Prop!$A:$A,Prod_Prop!$J:$J,"",0,1))</f>
        <v/>
      </c>
      <c r="M709" s="4" t="str">
        <f t="array" ref="M709">IF($E709="","", XLOOKUP(SUMIFS(Prod_Prop!$A:$A,Prod_Prop!$B:$B,$E709,Prod_Prop!$H:$H,M$1,Prod_Prop!$I:$I,"Exacto"),Prod_Prop!$A:$A,Prod_Prop!$J:$J,"",0,1))</f>
        <v/>
      </c>
      <c r="N709" s="4" t="str">
        <f t="array" ref="N709">IF($E709="","", XLOOKUP(SUMIFS(Prod_Prop!$A:$A,Prod_Prop!$B:$B,$E709,Prod_Prop!$H:$H,N$1,Prod_Prop!$I:$I,"Exacto"),Prod_Prop!$A:$A,Prod_Prop!$J:$J,"",0,1))</f>
        <v/>
      </c>
      <c r="O709" s="4" t="str">
        <f t="array" ref="O709">IF($E709="","", XLOOKUP(SUMIFS(Prod_Prop!$A:$A,Prod_Prop!$B:$B,$E709,Prod_Prop!$H:$H,O$1,Prod_Prop!$I:$I,"Exacto"),Prod_Prop!$A:$A,Prod_Prop!$J:$J,"",0,1))</f>
        <v/>
      </c>
      <c r="P709" s="4" t="str">
        <f t="array" ref="P709">IF($E709="","", XLOOKUP(SUMIFS(Prod_Prop!$A:$A,Prod_Prop!$B:$B,$E709,Prod_Prop!$H:$H,P$1,Prod_Prop!$I:$I,"Exacto"),Prod_Prop!$A:$A,Prod_Prop!$J:$J,"",0,1))</f>
        <v/>
      </c>
      <c r="Q709" s="4" t="str">
        <f t="array" ref="Q709">IF($E709="","", XLOOKUP(SUMIFS(Prod_Prop!$A:$A,Prod_Prop!$B:$B,$E709,Prod_Prop!$H:$H,Q$1,Prod_Prop!$I:$I,"Exacto"),Prod_Prop!$A:$A,Prod_Prop!$J:$J,"",0,1))</f>
        <v/>
      </c>
      <c r="R709" s="4" t="str">
        <f t="array" ref="R709">IF($E709="","", XLOOKUP(SUMIFS(Prod_Prop!$A:$A,Prod_Prop!$B:$B,$E709,Prod_Prop!$H:$H,R$1,Prod_Prop!$I:$I,"Exacto"),Prod_Prop!$A:$A,Prod_Prop!$J:$J,"",0,1))</f>
        <v/>
      </c>
      <c r="S709" s="4" t="str">
        <f t="array" ref="S709">IF($E709="","", XLOOKUP(SUMIFS(Prod_Prop!$A:$A,Prod_Prop!$B:$B,$E709,Prod_Prop!$H:$H,S$1,Prod_Prop!$I:$I,"Exacto"),Prod_Prop!$A:$A,Prod_Prop!$J:$J,"",0,1))</f>
        <v/>
      </c>
      <c r="T709" s="4" t="str">
        <f t="array" ref="T709">IF($E709="","", XLOOKUP(SUMIFS(Prod_Prop!$A:$A,Prod_Prop!$B:$B,$E709,Prod_Prop!$H:$H,T$1,Prod_Prop!$I:$I,"Exacto"),Prod_Prop!$A:$A,Prod_Prop!$J:$J,"",0,1))</f>
        <v/>
      </c>
      <c r="U709" s="4" t="str">
        <f t="array" ref="U709">IF($E709="","", XLOOKUP(SUMIFS(Prod_Prop!$A:$A,Prod_Prop!$B:$B,$E709,Prod_Prop!$H:$H,U$1,Prod_Prop!$I:$I,"Exacto"),Prod_Prop!$A:$A,Prod_Prop!$J:$J,"",0,1))</f>
        <v/>
      </c>
      <c r="V709" s="4" t="str">
        <f t="array" ref="V709">IF($E709="","", XLOOKUP(SUMIFS(Prod_Prop!$A:$A,Prod_Prop!$B:$B,$E709,Prod_Prop!$H:$H,V$1,Prod_Prop!$I:$I,"Exacto"),Prod_Prop!$A:$A,Prod_Prop!$J:$J,"",0,1))</f>
        <v/>
      </c>
      <c r="X709" s="3" t="str">
        <f>IFERROR(__xludf.DUMMYFUNCTION("IF(D709="""","""",IFERROR(TRANSPOSE(FILTER('Validaciones Cotizador'!U:U,'Validaciones Cotizador'!O:O=D709,'Validaciones Cotizador'!T:T=""x"")),""Finalizar""))"),"")</f>
        <v/>
      </c>
    </row>
    <row r="710">
      <c r="A710" s="2" t="str">
        <f t="array" ref="A710">IF(E710="","",XLOOKUP(D710,'Validaciones Cotizador'!C:C,'Validaciones Cotizador'!A:A,"",0,1))</f>
        <v/>
      </c>
      <c r="B710" s="2" t="str">
        <f t="array" ref="B710">IF(F710="","",XLOOKUP(F710,Productos!E:E,Productos!G:G,"",0,1))</f>
        <v/>
      </c>
      <c r="C710" s="2" t="str">
        <f>IF(A710="","",SUMIFS('Validaciones Cotizador'!B:B,'Validaciones Cotizador'!C:C,D710,'Validaciones Cotizador'!A:A,A710))</f>
        <v/>
      </c>
      <c r="D710" s="4" t="str">
        <f>IFERROR(__xludf.DUMMYFUNCTION("IF(OR(F709=""Finalizar"",F709="""",F709=""Selecciona..""),"""",IF(OR(F709=""-"",INDEX(filter(Familias!F:F,Familias!D:D=A709,Familias!E:E=C709),1)=""O""),D709+1,D709))"),"")</f>
        <v/>
      </c>
      <c r="E710" s="2" t="str">
        <f>IF(OR(F710="",F710="Selecciona.."),"",IF(D710="Implemento",SUMIF(Implementos!B:B,F710,Implementos!A:A),SUMIF(Productos!E:E,F710,Productos!A:A)))</f>
        <v/>
      </c>
      <c r="F710" s="2" t="str">
        <f t="shared" si="2"/>
        <v/>
      </c>
      <c r="G710" s="10" t="str">
        <f t="array" ref="G710">IF(OR(F710="",F710="-",F710="Selecciona..",F710="Finalizar"),"",IF(A710="Rodados",XLOOKUP(B710,'Validaciones Cotizador'!I:I,'Validaciones Cotizador'!J:J,0,0,1),1))</f>
        <v/>
      </c>
      <c r="H710" s="11" t="str">
        <f>IF(OR(F710="",F710="Selecciona.."),"",SUMIF(Precio_Productos!K:K,E710,Precio_Productos!J:J)*G710)</f>
        <v/>
      </c>
      <c r="I710" s="4" t="str">
        <f t="array" ref="I710">IF($E710="","", XLOOKUP(SUMIFS(Prod_Prop!$A:$A,Prod_Prop!$B:$B,$E710,Prod_Prop!$H:$H,I$1,Prod_Prop!$I:$I,"Exacto"),Prod_Prop!$A:$A,Prod_Prop!$J:$J,"",0,1))</f>
        <v/>
      </c>
      <c r="J710" s="4" t="str">
        <f t="array" ref="J710">IF($E710="","", XLOOKUP(SUMIFS(Prod_Prop!$A:$A,Prod_Prop!$B:$B,$E710,Prod_Prop!$H:$H,J$1,Prod_Prop!$I:$I,"Exacto"),Prod_Prop!$A:$A,Prod_Prop!$J:$J,"",0,1))</f>
        <v/>
      </c>
      <c r="K710" s="4" t="str">
        <f t="array" ref="K710">IF($E710="","", XLOOKUP(SUMIFS(Prod_Prop!$A:$A,Prod_Prop!$B:$B,$E710,Prod_Prop!$H:$H,K$1,Prod_Prop!$I:$I,"Exacto"),Prod_Prop!$A:$A,Prod_Prop!$J:$J,"",0,1))</f>
        <v/>
      </c>
      <c r="L710" s="4" t="str">
        <f t="array" ref="L710">IF($E710="","", XLOOKUP(SUMIFS(Prod_Prop!$A:$A,Prod_Prop!$B:$B,$E710,Prod_Prop!$H:$H,L$1,Prod_Prop!$I:$I,"Exacto"),Prod_Prop!$A:$A,Prod_Prop!$J:$J,"",0,1))</f>
        <v/>
      </c>
      <c r="M710" s="4" t="str">
        <f t="array" ref="M710">IF($E710="","", XLOOKUP(SUMIFS(Prod_Prop!$A:$A,Prod_Prop!$B:$B,$E710,Prod_Prop!$H:$H,M$1,Prod_Prop!$I:$I,"Exacto"),Prod_Prop!$A:$A,Prod_Prop!$J:$J,"",0,1))</f>
        <v/>
      </c>
      <c r="N710" s="4" t="str">
        <f t="array" ref="N710">IF($E710="","", XLOOKUP(SUMIFS(Prod_Prop!$A:$A,Prod_Prop!$B:$B,$E710,Prod_Prop!$H:$H,N$1,Prod_Prop!$I:$I,"Exacto"),Prod_Prop!$A:$A,Prod_Prop!$J:$J,"",0,1))</f>
        <v/>
      </c>
      <c r="O710" s="4" t="str">
        <f t="array" ref="O710">IF($E710="","", XLOOKUP(SUMIFS(Prod_Prop!$A:$A,Prod_Prop!$B:$B,$E710,Prod_Prop!$H:$H,O$1,Prod_Prop!$I:$I,"Exacto"),Prod_Prop!$A:$A,Prod_Prop!$J:$J,"",0,1))</f>
        <v/>
      </c>
      <c r="P710" s="4" t="str">
        <f t="array" ref="P710">IF($E710="","", XLOOKUP(SUMIFS(Prod_Prop!$A:$A,Prod_Prop!$B:$B,$E710,Prod_Prop!$H:$H,P$1,Prod_Prop!$I:$I,"Exacto"),Prod_Prop!$A:$A,Prod_Prop!$J:$J,"",0,1))</f>
        <v/>
      </c>
      <c r="Q710" s="4" t="str">
        <f t="array" ref="Q710">IF($E710="","", XLOOKUP(SUMIFS(Prod_Prop!$A:$A,Prod_Prop!$B:$B,$E710,Prod_Prop!$H:$H,Q$1,Prod_Prop!$I:$I,"Exacto"),Prod_Prop!$A:$A,Prod_Prop!$J:$J,"",0,1))</f>
        <v/>
      </c>
      <c r="R710" s="4" t="str">
        <f t="array" ref="R710">IF($E710="","", XLOOKUP(SUMIFS(Prod_Prop!$A:$A,Prod_Prop!$B:$B,$E710,Prod_Prop!$H:$H,R$1,Prod_Prop!$I:$I,"Exacto"),Prod_Prop!$A:$A,Prod_Prop!$J:$J,"",0,1))</f>
        <v/>
      </c>
      <c r="S710" s="4" t="str">
        <f t="array" ref="S710">IF($E710="","", XLOOKUP(SUMIFS(Prod_Prop!$A:$A,Prod_Prop!$B:$B,$E710,Prod_Prop!$H:$H,S$1,Prod_Prop!$I:$I,"Exacto"),Prod_Prop!$A:$A,Prod_Prop!$J:$J,"",0,1))</f>
        <v/>
      </c>
      <c r="T710" s="4" t="str">
        <f t="array" ref="T710">IF($E710="","", XLOOKUP(SUMIFS(Prod_Prop!$A:$A,Prod_Prop!$B:$B,$E710,Prod_Prop!$H:$H,T$1,Prod_Prop!$I:$I,"Exacto"),Prod_Prop!$A:$A,Prod_Prop!$J:$J,"",0,1))</f>
        <v/>
      </c>
      <c r="U710" s="4" t="str">
        <f t="array" ref="U710">IF($E710="","", XLOOKUP(SUMIFS(Prod_Prop!$A:$A,Prod_Prop!$B:$B,$E710,Prod_Prop!$H:$H,U$1,Prod_Prop!$I:$I,"Exacto"),Prod_Prop!$A:$A,Prod_Prop!$J:$J,"",0,1))</f>
        <v/>
      </c>
      <c r="V710" s="4" t="str">
        <f t="array" ref="V710">IF($E710="","", XLOOKUP(SUMIFS(Prod_Prop!$A:$A,Prod_Prop!$B:$B,$E710,Prod_Prop!$H:$H,V$1,Prod_Prop!$I:$I,"Exacto"),Prod_Prop!$A:$A,Prod_Prop!$J:$J,"",0,1))</f>
        <v/>
      </c>
      <c r="X710" s="3" t="str">
        <f>IFERROR(__xludf.DUMMYFUNCTION("IF(D710="""","""",IFERROR(TRANSPOSE(FILTER('Validaciones Cotizador'!U:U,'Validaciones Cotizador'!O:O=D710,'Validaciones Cotizador'!T:T=""x"")),""Finalizar""))"),"")</f>
        <v/>
      </c>
    </row>
    <row r="711">
      <c r="A711" s="2" t="str">
        <f t="array" ref="A711">IF(E711="","",XLOOKUP(D711,'Validaciones Cotizador'!C:C,'Validaciones Cotizador'!A:A,"",0,1))</f>
        <v/>
      </c>
      <c r="B711" s="2" t="str">
        <f t="array" ref="B711">IF(F711="","",XLOOKUP(F711,Productos!E:E,Productos!G:G,"",0,1))</f>
        <v/>
      </c>
      <c r="C711" s="2" t="str">
        <f>IF(A711="","",SUMIFS('Validaciones Cotizador'!B:B,'Validaciones Cotizador'!C:C,D711,'Validaciones Cotizador'!A:A,A711))</f>
        <v/>
      </c>
      <c r="D711" s="4" t="str">
        <f>IFERROR(__xludf.DUMMYFUNCTION("IF(OR(F710=""Finalizar"",F710="""",F710=""Selecciona..""),"""",IF(OR(F710=""-"",INDEX(filter(Familias!F:F,Familias!D:D=A710,Familias!E:E=C710),1)=""O""),D710+1,D710))"),"")</f>
        <v/>
      </c>
      <c r="E711" s="2" t="str">
        <f>IF(OR(F711="",F711="Selecciona.."),"",IF(D711="Implemento",SUMIF(Implementos!B:B,F711,Implementos!A:A),SUMIF(Productos!E:E,F711,Productos!A:A)))</f>
        <v/>
      </c>
      <c r="F711" s="2" t="str">
        <f t="shared" si="2"/>
        <v/>
      </c>
      <c r="G711" s="10" t="str">
        <f t="array" ref="G711">IF(OR(F711="",F711="-",F711="Selecciona..",F711="Finalizar"),"",IF(A711="Rodados",XLOOKUP(B711,'Validaciones Cotizador'!I:I,'Validaciones Cotizador'!J:J,0,0,1),1))</f>
        <v/>
      </c>
      <c r="H711" s="11" t="str">
        <f>IF(OR(F711="",F711="Selecciona.."),"",SUMIF(Precio_Productos!K:K,E711,Precio_Productos!J:J)*G711)</f>
        <v/>
      </c>
      <c r="I711" s="4" t="str">
        <f t="array" ref="I711">IF($E711="","", XLOOKUP(SUMIFS(Prod_Prop!$A:$A,Prod_Prop!$B:$B,$E711,Prod_Prop!$H:$H,I$1,Prod_Prop!$I:$I,"Exacto"),Prod_Prop!$A:$A,Prod_Prop!$J:$J,"",0,1))</f>
        <v/>
      </c>
      <c r="J711" s="4" t="str">
        <f t="array" ref="J711">IF($E711="","", XLOOKUP(SUMIFS(Prod_Prop!$A:$A,Prod_Prop!$B:$B,$E711,Prod_Prop!$H:$H,J$1,Prod_Prop!$I:$I,"Exacto"),Prod_Prop!$A:$A,Prod_Prop!$J:$J,"",0,1))</f>
        <v/>
      </c>
      <c r="K711" s="4" t="str">
        <f t="array" ref="K711">IF($E711="","", XLOOKUP(SUMIFS(Prod_Prop!$A:$A,Prod_Prop!$B:$B,$E711,Prod_Prop!$H:$H,K$1,Prod_Prop!$I:$I,"Exacto"),Prod_Prop!$A:$A,Prod_Prop!$J:$J,"",0,1))</f>
        <v/>
      </c>
      <c r="L711" s="4" t="str">
        <f t="array" ref="L711">IF($E711="","", XLOOKUP(SUMIFS(Prod_Prop!$A:$A,Prod_Prop!$B:$B,$E711,Prod_Prop!$H:$H,L$1,Prod_Prop!$I:$I,"Exacto"),Prod_Prop!$A:$A,Prod_Prop!$J:$J,"",0,1))</f>
        <v/>
      </c>
      <c r="M711" s="4" t="str">
        <f t="array" ref="M711">IF($E711="","", XLOOKUP(SUMIFS(Prod_Prop!$A:$A,Prod_Prop!$B:$B,$E711,Prod_Prop!$H:$H,M$1,Prod_Prop!$I:$I,"Exacto"),Prod_Prop!$A:$A,Prod_Prop!$J:$J,"",0,1))</f>
        <v/>
      </c>
      <c r="N711" s="4" t="str">
        <f t="array" ref="N711">IF($E711="","", XLOOKUP(SUMIFS(Prod_Prop!$A:$A,Prod_Prop!$B:$B,$E711,Prod_Prop!$H:$H,N$1,Prod_Prop!$I:$I,"Exacto"),Prod_Prop!$A:$A,Prod_Prop!$J:$J,"",0,1))</f>
        <v/>
      </c>
      <c r="O711" s="4" t="str">
        <f t="array" ref="O711">IF($E711="","", XLOOKUP(SUMIFS(Prod_Prop!$A:$A,Prod_Prop!$B:$B,$E711,Prod_Prop!$H:$H,O$1,Prod_Prop!$I:$I,"Exacto"),Prod_Prop!$A:$A,Prod_Prop!$J:$J,"",0,1))</f>
        <v/>
      </c>
      <c r="P711" s="4" t="str">
        <f t="array" ref="P711">IF($E711="","", XLOOKUP(SUMIFS(Prod_Prop!$A:$A,Prod_Prop!$B:$B,$E711,Prod_Prop!$H:$H,P$1,Prod_Prop!$I:$I,"Exacto"),Prod_Prop!$A:$A,Prod_Prop!$J:$J,"",0,1))</f>
        <v/>
      </c>
      <c r="Q711" s="4" t="str">
        <f t="array" ref="Q711">IF($E711="","", XLOOKUP(SUMIFS(Prod_Prop!$A:$A,Prod_Prop!$B:$B,$E711,Prod_Prop!$H:$H,Q$1,Prod_Prop!$I:$I,"Exacto"),Prod_Prop!$A:$A,Prod_Prop!$J:$J,"",0,1))</f>
        <v/>
      </c>
      <c r="R711" s="4" t="str">
        <f t="array" ref="R711">IF($E711="","", XLOOKUP(SUMIFS(Prod_Prop!$A:$A,Prod_Prop!$B:$B,$E711,Prod_Prop!$H:$H,R$1,Prod_Prop!$I:$I,"Exacto"),Prod_Prop!$A:$A,Prod_Prop!$J:$J,"",0,1))</f>
        <v/>
      </c>
      <c r="S711" s="4" t="str">
        <f t="array" ref="S711">IF($E711="","", XLOOKUP(SUMIFS(Prod_Prop!$A:$A,Prod_Prop!$B:$B,$E711,Prod_Prop!$H:$H,S$1,Prod_Prop!$I:$I,"Exacto"),Prod_Prop!$A:$A,Prod_Prop!$J:$J,"",0,1))</f>
        <v/>
      </c>
      <c r="T711" s="4" t="str">
        <f t="array" ref="T711">IF($E711="","", XLOOKUP(SUMIFS(Prod_Prop!$A:$A,Prod_Prop!$B:$B,$E711,Prod_Prop!$H:$H,T$1,Prod_Prop!$I:$I,"Exacto"),Prod_Prop!$A:$A,Prod_Prop!$J:$J,"",0,1))</f>
        <v/>
      </c>
      <c r="U711" s="4" t="str">
        <f t="array" ref="U711">IF($E711="","", XLOOKUP(SUMIFS(Prod_Prop!$A:$A,Prod_Prop!$B:$B,$E711,Prod_Prop!$H:$H,U$1,Prod_Prop!$I:$I,"Exacto"),Prod_Prop!$A:$A,Prod_Prop!$J:$J,"",0,1))</f>
        <v/>
      </c>
      <c r="V711" s="4" t="str">
        <f t="array" ref="V711">IF($E711="","", XLOOKUP(SUMIFS(Prod_Prop!$A:$A,Prod_Prop!$B:$B,$E711,Prod_Prop!$H:$H,V$1,Prod_Prop!$I:$I,"Exacto"),Prod_Prop!$A:$A,Prod_Prop!$J:$J,"",0,1))</f>
        <v/>
      </c>
      <c r="X711" s="3" t="str">
        <f>IFERROR(__xludf.DUMMYFUNCTION("IF(D711="""","""",IFERROR(TRANSPOSE(FILTER('Validaciones Cotizador'!U:U,'Validaciones Cotizador'!O:O=D711,'Validaciones Cotizador'!T:T=""x"")),""Finalizar""))"),"")</f>
        <v/>
      </c>
    </row>
    <row r="712">
      <c r="A712" s="2" t="str">
        <f t="array" ref="A712">IF(E712="","",XLOOKUP(D712,'Validaciones Cotizador'!C:C,'Validaciones Cotizador'!A:A,"",0,1))</f>
        <v/>
      </c>
      <c r="B712" s="2" t="str">
        <f t="array" ref="B712">IF(F712="","",XLOOKUP(F712,Productos!E:E,Productos!G:G,"",0,1))</f>
        <v/>
      </c>
      <c r="C712" s="2" t="str">
        <f>IF(A712="","",SUMIFS('Validaciones Cotizador'!B:B,'Validaciones Cotizador'!C:C,D712,'Validaciones Cotizador'!A:A,A712))</f>
        <v/>
      </c>
      <c r="D712" s="4" t="str">
        <f>IFERROR(__xludf.DUMMYFUNCTION("IF(OR(F711=""Finalizar"",F711="""",F711=""Selecciona..""),"""",IF(OR(F711=""-"",INDEX(filter(Familias!F:F,Familias!D:D=A711,Familias!E:E=C711),1)=""O""),D711+1,D711))"),"")</f>
        <v/>
      </c>
      <c r="E712" s="2" t="str">
        <f>IF(OR(F712="",F712="Selecciona.."),"",IF(D712="Implemento",SUMIF(Implementos!B:B,F712,Implementos!A:A),SUMIF(Productos!E:E,F712,Productos!A:A)))</f>
        <v/>
      </c>
      <c r="F712" s="2" t="str">
        <f t="shared" si="2"/>
        <v/>
      </c>
      <c r="G712" s="10" t="str">
        <f t="array" ref="G712">IF(OR(F712="",F712="-",F712="Selecciona..",F712="Finalizar"),"",IF(A712="Rodados",XLOOKUP(B712,'Validaciones Cotizador'!I:I,'Validaciones Cotizador'!J:J,0,0,1),1))</f>
        <v/>
      </c>
      <c r="H712" s="11" t="str">
        <f>IF(OR(F712="",F712="Selecciona.."),"",SUMIF(Precio_Productos!K:K,E712,Precio_Productos!J:J)*G712)</f>
        <v/>
      </c>
      <c r="I712" s="4" t="str">
        <f t="array" ref="I712">IF($E712="","", XLOOKUP(SUMIFS(Prod_Prop!$A:$A,Prod_Prop!$B:$B,$E712,Prod_Prop!$H:$H,I$1,Prod_Prop!$I:$I,"Exacto"),Prod_Prop!$A:$A,Prod_Prop!$J:$J,"",0,1))</f>
        <v/>
      </c>
      <c r="J712" s="4" t="str">
        <f t="array" ref="J712">IF($E712="","", XLOOKUP(SUMIFS(Prod_Prop!$A:$A,Prod_Prop!$B:$B,$E712,Prod_Prop!$H:$H,J$1,Prod_Prop!$I:$I,"Exacto"),Prod_Prop!$A:$A,Prod_Prop!$J:$J,"",0,1))</f>
        <v/>
      </c>
      <c r="K712" s="4" t="str">
        <f t="array" ref="K712">IF($E712="","", XLOOKUP(SUMIFS(Prod_Prop!$A:$A,Prod_Prop!$B:$B,$E712,Prod_Prop!$H:$H,K$1,Prod_Prop!$I:$I,"Exacto"),Prod_Prop!$A:$A,Prod_Prop!$J:$J,"",0,1))</f>
        <v/>
      </c>
      <c r="L712" s="4" t="str">
        <f t="array" ref="L712">IF($E712="","", XLOOKUP(SUMIFS(Prod_Prop!$A:$A,Prod_Prop!$B:$B,$E712,Prod_Prop!$H:$H,L$1,Prod_Prop!$I:$I,"Exacto"),Prod_Prop!$A:$A,Prod_Prop!$J:$J,"",0,1))</f>
        <v/>
      </c>
      <c r="M712" s="4" t="str">
        <f t="array" ref="M712">IF($E712="","", XLOOKUP(SUMIFS(Prod_Prop!$A:$A,Prod_Prop!$B:$B,$E712,Prod_Prop!$H:$H,M$1,Prod_Prop!$I:$I,"Exacto"),Prod_Prop!$A:$A,Prod_Prop!$J:$J,"",0,1))</f>
        <v/>
      </c>
      <c r="N712" s="4" t="str">
        <f t="array" ref="N712">IF($E712="","", XLOOKUP(SUMIFS(Prod_Prop!$A:$A,Prod_Prop!$B:$B,$E712,Prod_Prop!$H:$H,N$1,Prod_Prop!$I:$I,"Exacto"),Prod_Prop!$A:$A,Prod_Prop!$J:$J,"",0,1))</f>
        <v/>
      </c>
      <c r="O712" s="4" t="str">
        <f t="array" ref="O712">IF($E712="","", XLOOKUP(SUMIFS(Prod_Prop!$A:$A,Prod_Prop!$B:$B,$E712,Prod_Prop!$H:$H,O$1,Prod_Prop!$I:$I,"Exacto"),Prod_Prop!$A:$A,Prod_Prop!$J:$J,"",0,1))</f>
        <v/>
      </c>
      <c r="P712" s="4" t="str">
        <f t="array" ref="P712">IF($E712="","", XLOOKUP(SUMIFS(Prod_Prop!$A:$A,Prod_Prop!$B:$B,$E712,Prod_Prop!$H:$H,P$1,Prod_Prop!$I:$I,"Exacto"),Prod_Prop!$A:$A,Prod_Prop!$J:$J,"",0,1))</f>
        <v/>
      </c>
      <c r="Q712" s="4" t="str">
        <f t="array" ref="Q712">IF($E712="","", XLOOKUP(SUMIFS(Prod_Prop!$A:$A,Prod_Prop!$B:$B,$E712,Prod_Prop!$H:$H,Q$1,Prod_Prop!$I:$I,"Exacto"),Prod_Prop!$A:$A,Prod_Prop!$J:$J,"",0,1))</f>
        <v/>
      </c>
      <c r="R712" s="4" t="str">
        <f t="array" ref="R712">IF($E712="","", XLOOKUP(SUMIFS(Prod_Prop!$A:$A,Prod_Prop!$B:$B,$E712,Prod_Prop!$H:$H,R$1,Prod_Prop!$I:$I,"Exacto"),Prod_Prop!$A:$A,Prod_Prop!$J:$J,"",0,1))</f>
        <v/>
      </c>
      <c r="S712" s="4" t="str">
        <f t="array" ref="S712">IF($E712="","", XLOOKUP(SUMIFS(Prod_Prop!$A:$A,Prod_Prop!$B:$B,$E712,Prod_Prop!$H:$H,S$1,Prod_Prop!$I:$I,"Exacto"),Prod_Prop!$A:$A,Prod_Prop!$J:$J,"",0,1))</f>
        <v/>
      </c>
      <c r="T712" s="4" t="str">
        <f t="array" ref="T712">IF($E712="","", XLOOKUP(SUMIFS(Prod_Prop!$A:$A,Prod_Prop!$B:$B,$E712,Prod_Prop!$H:$H,T$1,Prod_Prop!$I:$I,"Exacto"),Prod_Prop!$A:$A,Prod_Prop!$J:$J,"",0,1))</f>
        <v/>
      </c>
      <c r="U712" s="4" t="str">
        <f t="array" ref="U712">IF($E712="","", XLOOKUP(SUMIFS(Prod_Prop!$A:$A,Prod_Prop!$B:$B,$E712,Prod_Prop!$H:$H,U$1,Prod_Prop!$I:$I,"Exacto"),Prod_Prop!$A:$A,Prod_Prop!$J:$J,"",0,1))</f>
        <v/>
      </c>
      <c r="V712" s="4" t="str">
        <f t="array" ref="V712">IF($E712="","", XLOOKUP(SUMIFS(Prod_Prop!$A:$A,Prod_Prop!$B:$B,$E712,Prod_Prop!$H:$H,V$1,Prod_Prop!$I:$I,"Exacto"),Prod_Prop!$A:$A,Prod_Prop!$J:$J,"",0,1))</f>
        <v/>
      </c>
      <c r="X712" s="3" t="str">
        <f>IFERROR(__xludf.DUMMYFUNCTION("IF(D712="""","""",IFERROR(TRANSPOSE(FILTER('Validaciones Cotizador'!U:U,'Validaciones Cotizador'!O:O=D712,'Validaciones Cotizador'!T:T=""x"")),""Finalizar""))"),"")</f>
        <v/>
      </c>
    </row>
    <row r="713">
      <c r="A713" s="2" t="str">
        <f t="array" ref="A713">IF(E713="","",XLOOKUP(D713,'Validaciones Cotizador'!C:C,'Validaciones Cotizador'!A:A,"",0,1))</f>
        <v/>
      </c>
      <c r="B713" s="2" t="str">
        <f t="array" ref="B713">IF(F713="","",XLOOKUP(F713,Productos!E:E,Productos!G:G,"",0,1))</f>
        <v/>
      </c>
      <c r="C713" s="2" t="str">
        <f>IF(A713="","",SUMIFS('Validaciones Cotizador'!B:B,'Validaciones Cotizador'!C:C,D713,'Validaciones Cotizador'!A:A,A713))</f>
        <v/>
      </c>
      <c r="D713" s="4" t="str">
        <f>IFERROR(__xludf.DUMMYFUNCTION("IF(OR(F712=""Finalizar"",F712="""",F712=""Selecciona..""),"""",IF(OR(F712=""-"",INDEX(filter(Familias!F:F,Familias!D:D=A712,Familias!E:E=C712),1)=""O""),D712+1,D712))"),"")</f>
        <v/>
      </c>
      <c r="E713" s="2" t="str">
        <f>IF(OR(F713="",F713="Selecciona.."),"",IF(D713="Implemento",SUMIF(Implementos!B:B,F713,Implementos!A:A),SUMIF(Productos!E:E,F713,Productos!A:A)))</f>
        <v/>
      </c>
      <c r="F713" s="2" t="str">
        <f t="shared" si="2"/>
        <v/>
      </c>
      <c r="G713" s="10" t="str">
        <f t="array" ref="G713">IF(OR(F713="",F713="-",F713="Selecciona..",F713="Finalizar"),"",IF(A713="Rodados",XLOOKUP(B713,'Validaciones Cotizador'!I:I,'Validaciones Cotizador'!J:J,0,0,1),1))</f>
        <v/>
      </c>
      <c r="H713" s="11" t="str">
        <f>IF(OR(F713="",F713="Selecciona.."),"",SUMIF(Precio_Productos!K:K,E713,Precio_Productos!J:J)*G713)</f>
        <v/>
      </c>
      <c r="I713" s="4" t="str">
        <f t="array" ref="I713">IF($E713="","", XLOOKUP(SUMIFS(Prod_Prop!$A:$A,Prod_Prop!$B:$B,$E713,Prod_Prop!$H:$H,I$1,Prod_Prop!$I:$I,"Exacto"),Prod_Prop!$A:$A,Prod_Prop!$J:$J,"",0,1))</f>
        <v/>
      </c>
      <c r="J713" s="4" t="str">
        <f t="array" ref="J713">IF($E713="","", XLOOKUP(SUMIFS(Prod_Prop!$A:$A,Prod_Prop!$B:$B,$E713,Prod_Prop!$H:$H,J$1,Prod_Prop!$I:$I,"Exacto"),Prod_Prop!$A:$A,Prod_Prop!$J:$J,"",0,1))</f>
        <v/>
      </c>
      <c r="K713" s="4" t="str">
        <f t="array" ref="K713">IF($E713="","", XLOOKUP(SUMIFS(Prod_Prop!$A:$A,Prod_Prop!$B:$B,$E713,Prod_Prop!$H:$H,K$1,Prod_Prop!$I:$I,"Exacto"),Prod_Prop!$A:$A,Prod_Prop!$J:$J,"",0,1))</f>
        <v/>
      </c>
      <c r="L713" s="4" t="str">
        <f t="array" ref="L713">IF($E713="","", XLOOKUP(SUMIFS(Prod_Prop!$A:$A,Prod_Prop!$B:$B,$E713,Prod_Prop!$H:$H,L$1,Prod_Prop!$I:$I,"Exacto"),Prod_Prop!$A:$A,Prod_Prop!$J:$J,"",0,1))</f>
        <v/>
      </c>
      <c r="M713" s="4" t="str">
        <f t="array" ref="M713">IF($E713="","", XLOOKUP(SUMIFS(Prod_Prop!$A:$A,Prod_Prop!$B:$B,$E713,Prod_Prop!$H:$H,M$1,Prod_Prop!$I:$I,"Exacto"),Prod_Prop!$A:$A,Prod_Prop!$J:$J,"",0,1))</f>
        <v/>
      </c>
      <c r="N713" s="4" t="str">
        <f t="array" ref="N713">IF($E713="","", XLOOKUP(SUMIFS(Prod_Prop!$A:$A,Prod_Prop!$B:$B,$E713,Prod_Prop!$H:$H,N$1,Prod_Prop!$I:$I,"Exacto"),Prod_Prop!$A:$A,Prod_Prop!$J:$J,"",0,1))</f>
        <v/>
      </c>
      <c r="O713" s="4" t="str">
        <f t="array" ref="O713">IF($E713="","", XLOOKUP(SUMIFS(Prod_Prop!$A:$A,Prod_Prop!$B:$B,$E713,Prod_Prop!$H:$H,O$1,Prod_Prop!$I:$I,"Exacto"),Prod_Prop!$A:$A,Prod_Prop!$J:$J,"",0,1))</f>
        <v/>
      </c>
      <c r="P713" s="4" t="str">
        <f t="array" ref="P713">IF($E713="","", XLOOKUP(SUMIFS(Prod_Prop!$A:$A,Prod_Prop!$B:$B,$E713,Prod_Prop!$H:$H,P$1,Prod_Prop!$I:$I,"Exacto"),Prod_Prop!$A:$A,Prod_Prop!$J:$J,"",0,1))</f>
        <v/>
      </c>
      <c r="Q713" s="4" t="str">
        <f t="array" ref="Q713">IF($E713="","", XLOOKUP(SUMIFS(Prod_Prop!$A:$A,Prod_Prop!$B:$B,$E713,Prod_Prop!$H:$H,Q$1,Prod_Prop!$I:$I,"Exacto"),Prod_Prop!$A:$A,Prod_Prop!$J:$J,"",0,1))</f>
        <v/>
      </c>
      <c r="R713" s="4" t="str">
        <f t="array" ref="R713">IF($E713="","", XLOOKUP(SUMIFS(Prod_Prop!$A:$A,Prod_Prop!$B:$B,$E713,Prod_Prop!$H:$H,R$1,Prod_Prop!$I:$I,"Exacto"),Prod_Prop!$A:$A,Prod_Prop!$J:$J,"",0,1))</f>
        <v/>
      </c>
      <c r="S713" s="4" t="str">
        <f t="array" ref="S713">IF($E713="","", XLOOKUP(SUMIFS(Prod_Prop!$A:$A,Prod_Prop!$B:$B,$E713,Prod_Prop!$H:$H,S$1,Prod_Prop!$I:$I,"Exacto"),Prod_Prop!$A:$A,Prod_Prop!$J:$J,"",0,1))</f>
        <v/>
      </c>
      <c r="T713" s="4" t="str">
        <f t="array" ref="T713">IF($E713="","", XLOOKUP(SUMIFS(Prod_Prop!$A:$A,Prod_Prop!$B:$B,$E713,Prod_Prop!$H:$H,T$1,Prod_Prop!$I:$I,"Exacto"),Prod_Prop!$A:$A,Prod_Prop!$J:$J,"",0,1))</f>
        <v/>
      </c>
      <c r="U713" s="4" t="str">
        <f t="array" ref="U713">IF($E713="","", XLOOKUP(SUMIFS(Prod_Prop!$A:$A,Prod_Prop!$B:$B,$E713,Prod_Prop!$H:$H,U$1,Prod_Prop!$I:$I,"Exacto"),Prod_Prop!$A:$A,Prod_Prop!$J:$J,"",0,1))</f>
        <v/>
      </c>
      <c r="V713" s="4" t="str">
        <f t="array" ref="V713">IF($E713="","", XLOOKUP(SUMIFS(Prod_Prop!$A:$A,Prod_Prop!$B:$B,$E713,Prod_Prop!$H:$H,V$1,Prod_Prop!$I:$I,"Exacto"),Prod_Prop!$A:$A,Prod_Prop!$J:$J,"",0,1))</f>
        <v/>
      </c>
      <c r="X713" s="3" t="str">
        <f>IFERROR(__xludf.DUMMYFUNCTION("IF(D713="""","""",IFERROR(TRANSPOSE(FILTER('Validaciones Cotizador'!U:U,'Validaciones Cotizador'!O:O=D713,'Validaciones Cotizador'!T:T=""x"")),""Finalizar""))"),"")</f>
        <v/>
      </c>
    </row>
    <row r="714">
      <c r="A714" s="2" t="str">
        <f t="array" ref="A714">IF(E714="","",XLOOKUP(D714,'Validaciones Cotizador'!C:C,'Validaciones Cotizador'!A:A,"",0,1))</f>
        <v/>
      </c>
      <c r="B714" s="2" t="str">
        <f t="array" ref="B714">IF(F714="","",XLOOKUP(F714,Productos!E:E,Productos!G:G,"",0,1))</f>
        <v/>
      </c>
      <c r="C714" s="2" t="str">
        <f>IF(A714="","",SUMIFS('Validaciones Cotizador'!B:B,'Validaciones Cotizador'!C:C,D714,'Validaciones Cotizador'!A:A,A714))</f>
        <v/>
      </c>
      <c r="D714" s="4" t="str">
        <f>IFERROR(__xludf.DUMMYFUNCTION("IF(OR(F713=""Finalizar"",F713="""",F713=""Selecciona..""),"""",IF(OR(F713=""-"",INDEX(filter(Familias!F:F,Familias!D:D=A713,Familias!E:E=C713),1)=""O""),D713+1,D713))"),"")</f>
        <v/>
      </c>
      <c r="E714" s="2" t="str">
        <f>IF(OR(F714="",F714="Selecciona.."),"",IF(D714="Implemento",SUMIF(Implementos!B:B,F714,Implementos!A:A),SUMIF(Productos!E:E,F714,Productos!A:A)))</f>
        <v/>
      </c>
      <c r="F714" s="2" t="str">
        <f t="shared" si="2"/>
        <v/>
      </c>
      <c r="G714" s="10" t="str">
        <f t="array" ref="G714">IF(OR(F714="",F714="-",F714="Selecciona..",F714="Finalizar"),"",IF(A714="Rodados",XLOOKUP(B714,'Validaciones Cotizador'!I:I,'Validaciones Cotizador'!J:J,0,0,1),1))</f>
        <v/>
      </c>
      <c r="H714" s="11" t="str">
        <f>IF(OR(F714="",F714="Selecciona.."),"",SUMIF(Precio_Productos!K:K,E714,Precio_Productos!J:J)*G714)</f>
        <v/>
      </c>
      <c r="I714" s="4" t="str">
        <f t="array" ref="I714">IF($E714="","", XLOOKUP(SUMIFS(Prod_Prop!$A:$A,Prod_Prop!$B:$B,$E714,Prod_Prop!$H:$H,I$1,Prod_Prop!$I:$I,"Exacto"),Prod_Prop!$A:$A,Prod_Prop!$J:$J,"",0,1))</f>
        <v/>
      </c>
      <c r="J714" s="4" t="str">
        <f t="array" ref="J714">IF($E714="","", XLOOKUP(SUMIFS(Prod_Prop!$A:$A,Prod_Prop!$B:$B,$E714,Prod_Prop!$H:$H,J$1,Prod_Prop!$I:$I,"Exacto"),Prod_Prop!$A:$A,Prod_Prop!$J:$J,"",0,1))</f>
        <v/>
      </c>
      <c r="K714" s="4" t="str">
        <f t="array" ref="K714">IF($E714="","", XLOOKUP(SUMIFS(Prod_Prop!$A:$A,Prod_Prop!$B:$B,$E714,Prod_Prop!$H:$H,K$1,Prod_Prop!$I:$I,"Exacto"),Prod_Prop!$A:$A,Prod_Prop!$J:$J,"",0,1))</f>
        <v/>
      </c>
      <c r="L714" s="4" t="str">
        <f t="array" ref="L714">IF($E714="","", XLOOKUP(SUMIFS(Prod_Prop!$A:$A,Prod_Prop!$B:$B,$E714,Prod_Prop!$H:$H,L$1,Prod_Prop!$I:$I,"Exacto"),Prod_Prop!$A:$A,Prod_Prop!$J:$J,"",0,1))</f>
        <v/>
      </c>
      <c r="M714" s="4" t="str">
        <f t="array" ref="M714">IF($E714="","", XLOOKUP(SUMIFS(Prod_Prop!$A:$A,Prod_Prop!$B:$B,$E714,Prod_Prop!$H:$H,M$1,Prod_Prop!$I:$I,"Exacto"),Prod_Prop!$A:$A,Prod_Prop!$J:$J,"",0,1))</f>
        <v/>
      </c>
      <c r="N714" s="4" t="str">
        <f t="array" ref="N714">IF($E714="","", XLOOKUP(SUMIFS(Prod_Prop!$A:$A,Prod_Prop!$B:$B,$E714,Prod_Prop!$H:$H,N$1,Prod_Prop!$I:$I,"Exacto"),Prod_Prop!$A:$A,Prod_Prop!$J:$J,"",0,1))</f>
        <v/>
      </c>
      <c r="O714" s="4" t="str">
        <f t="array" ref="O714">IF($E714="","", XLOOKUP(SUMIFS(Prod_Prop!$A:$A,Prod_Prop!$B:$B,$E714,Prod_Prop!$H:$H,O$1,Prod_Prop!$I:$I,"Exacto"),Prod_Prop!$A:$A,Prod_Prop!$J:$J,"",0,1))</f>
        <v/>
      </c>
      <c r="P714" s="4" t="str">
        <f t="array" ref="P714">IF($E714="","", XLOOKUP(SUMIFS(Prod_Prop!$A:$A,Prod_Prop!$B:$B,$E714,Prod_Prop!$H:$H,P$1,Prod_Prop!$I:$I,"Exacto"),Prod_Prop!$A:$A,Prod_Prop!$J:$J,"",0,1))</f>
        <v/>
      </c>
      <c r="Q714" s="4" t="str">
        <f t="array" ref="Q714">IF($E714="","", XLOOKUP(SUMIFS(Prod_Prop!$A:$A,Prod_Prop!$B:$B,$E714,Prod_Prop!$H:$H,Q$1,Prod_Prop!$I:$I,"Exacto"),Prod_Prop!$A:$A,Prod_Prop!$J:$J,"",0,1))</f>
        <v/>
      </c>
      <c r="R714" s="4" t="str">
        <f t="array" ref="R714">IF($E714="","", XLOOKUP(SUMIFS(Prod_Prop!$A:$A,Prod_Prop!$B:$B,$E714,Prod_Prop!$H:$H,R$1,Prod_Prop!$I:$I,"Exacto"),Prod_Prop!$A:$A,Prod_Prop!$J:$J,"",0,1))</f>
        <v/>
      </c>
      <c r="S714" s="4" t="str">
        <f t="array" ref="S714">IF($E714="","", XLOOKUP(SUMIFS(Prod_Prop!$A:$A,Prod_Prop!$B:$B,$E714,Prod_Prop!$H:$H,S$1,Prod_Prop!$I:$I,"Exacto"),Prod_Prop!$A:$A,Prod_Prop!$J:$J,"",0,1))</f>
        <v/>
      </c>
      <c r="T714" s="4" t="str">
        <f t="array" ref="T714">IF($E714="","", XLOOKUP(SUMIFS(Prod_Prop!$A:$A,Prod_Prop!$B:$B,$E714,Prod_Prop!$H:$H,T$1,Prod_Prop!$I:$I,"Exacto"),Prod_Prop!$A:$A,Prod_Prop!$J:$J,"",0,1))</f>
        <v/>
      </c>
      <c r="U714" s="4" t="str">
        <f t="array" ref="U714">IF($E714="","", XLOOKUP(SUMIFS(Prod_Prop!$A:$A,Prod_Prop!$B:$B,$E714,Prod_Prop!$H:$H,U$1,Prod_Prop!$I:$I,"Exacto"),Prod_Prop!$A:$A,Prod_Prop!$J:$J,"",0,1))</f>
        <v/>
      </c>
      <c r="V714" s="4" t="str">
        <f t="array" ref="V714">IF($E714="","", XLOOKUP(SUMIFS(Prod_Prop!$A:$A,Prod_Prop!$B:$B,$E714,Prod_Prop!$H:$H,V$1,Prod_Prop!$I:$I,"Exacto"),Prod_Prop!$A:$A,Prod_Prop!$J:$J,"",0,1))</f>
        <v/>
      </c>
      <c r="X714" s="3" t="str">
        <f>IFERROR(__xludf.DUMMYFUNCTION("IF(D714="""","""",IFERROR(TRANSPOSE(FILTER('Validaciones Cotizador'!U:U,'Validaciones Cotizador'!O:O=D714,'Validaciones Cotizador'!T:T=""x"")),""Finalizar""))"),"")</f>
        <v/>
      </c>
    </row>
    <row r="715">
      <c r="A715" s="2" t="str">
        <f t="array" ref="A715">IF(E715="","",XLOOKUP(D715,'Validaciones Cotizador'!C:C,'Validaciones Cotizador'!A:A,"",0,1))</f>
        <v/>
      </c>
      <c r="B715" s="2" t="str">
        <f t="array" ref="B715">IF(F715="","",XLOOKUP(F715,Productos!E:E,Productos!G:G,"",0,1))</f>
        <v/>
      </c>
      <c r="C715" s="2" t="str">
        <f>IF(A715="","",SUMIFS('Validaciones Cotizador'!B:B,'Validaciones Cotizador'!C:C,D715,'Validaciones Cotizador'!A:A,A715))</f>
        <v/>
      </c>
      <c r="D715" s="4" t="str">
        <f>IFERROR(__xludf.DUMMYFUNCTION("IF(OR(F714=""Finalizar"",F714="""",F714=""Selecciona..""),"""",IF(OR(F714=""-"",INDEX(filter(Familias!F:F,Familias!D:D=A714,Familias!E:E=C714),1)=""O""),D714+1,D714))"),"")</f>
        <v/>
      </c>
      <c r="E715" s="2" t="str">
        <f>IF(OR(F715="",F715="Selecciona.."),"",IF(D715="Implemento",SUMIF(Implementos!B:B,F715,Implementos!A:A),SUMIF(Productos!E:E,F715,Productos!A:A)))</f>
        <v/>
      </c>
      <c r="F715" s="2" t="str">
        <f t="shared" si="2"/>
        <v/>
      </c>
      <c r="G715" s="10" t="str">
        <f t="array" ref="G715">IF(OR(F715="",F715="-",F715="Selecciona..",F715="Finalizar"),"",IF(A715="Rodados",XLOOKUP(B715,'Validaciones Cotizador'!I:I,'Validaciones Cotizador'!J:J,0,0,1),1))</f>
        <v/>
      </c>
      <c r="H715" s="11" t="str">
        <f>IF(OR(F715="",F715="Selecciona.."),"",SUMIF(Precio_Productos!K:K,E715,Precio_Productos!J:J)*G715)</f>
        <v/>
      </c>
      <c r="I715" s="4" t="str">
        <f t="array" ref="I715">IF($E715="","", XLOOKUP(SUMIFS(Prod_Prop!$A:$A,Prod_Prop!$B:$B,$E715,Prod_Prop!$H:$H,I$1,Prod_Prop!$I:$I,"Exacto"),Prod_Prop!$A:$A,Prod_Prop!$J:$J,"",0,1))</f>
        <v/>
      </c>
      <c r="J715" s="4" t="str">
        <f t="array" ref="J715">IF($E715="","", XLOOKUP(SUMIFS(Prod_Prop!$A:$A,Prod_Prop!$B:$B,$E715,Prod_Prop!$H:$H,J$1,Prod_Prop!$I:$I,"Exacto"),Prod_Prop!$A:$A,Prod_Prop!$J:$J,"",0,1))</f>
        <v/>
      </c>
      <c r="K715" s="4" t="str">
        <f t="array" ref="K715">IF($E715="","", XLOOKUP(SUMIFS(Prod_Prop!$A:$A,Prod_Prop!$B:$B,$E715,Prod_Prop!$H:$H,K$1,Prod_Prop!$I:$I,"Exacto"),Prod_Prop!$A:$A,Prod_Prop!$J:$J,"",0,1))</f>
        <v/>
      </c>
      <c r="L715" s="4" t="str">
        <f t="array" ref="L715">IF($E715="","", XLOOKUP(SUMIFS(Prod_Prop!$A:$A,Prod_Prop!$B:$B,$E715,Prod_Prop!$H:$H,L$1,Prod_Prop!$I:$I,"Exacto"),Prod_Prop!$A:$A,Prod_Prop!$J:$J,"",0,1))</f>
        <v/>
      </c>
      <c r="M715" s="4" t="str">
        <f t="array" ref="M715">IF($E715="","", XLOOKUP(SUMIFS(Prod_Prop!$A:$A,Prod_Prop!$B:$B,$E715,Prod_Prop!$H:$H,M$1,Prod_Prop!$I:$I,"Exacto"),Prod_Prop!$A:$A,Prod_Prop!$J:$J,"",0,1))</f>
        <v/>
      </c>
      <c r="N715" s="4" t="str">
        <f t="array" ref="N715">IF($E715="","", XLOOKUP(SUMIFS(Prod_Prop!$A:$A,Prod_Prop!$B:$B,$E715,Prod_Prop!$H:$H,N$1,Prod_Prop!$I:$I,"Exacto"),Prod_Prop!$A:$A,Prod_Prop!$J:$J,"",0,1))</f>
        <v/>
      </c>
      <c r="O715" s="4" t="str">
        <f t="array" ref="O715">IF($E715="","", XLOOKUP(SUMIFS(Prod_Prop!$A:$A,Prod_Prop!$B:$B,$E715,Prod_Prop!$H:$H,O$1,Prod_Prop!$I:$I,"Exacto"),Prod_Prop!$A:$A,Prod_Prop!$J:$J,"",0,1))</f>
        <v/>
      </c>
      <c r="P715" s="4" t="str">
        <f t="array" ref="P715">IF($E715="","", XLOOKUP(SUMIFS(Prod_Prop!$A:$A,Prod_Prop!$B:$B,$E715,Prod_Prop!$H:$H,P$1,Prod_Prop!$I:$I,"Exacto"),Prod_Prop!$A:$A,Prod_Prop!$J:$J,"",0,1))</f>
        <v/>
      </c>
      <c r="Q715" s="4" t="str">
        <f t="array" ref="Q715">IF($E715="","", XLOOKUP(SUMIFS(Prod_Prop!$A:$A,Prod_Prop!$B:$B,$E715,Prod_Prop!$H:$H,Q$1,Prod_Prop!$I:$I,"Exacto"),Prod_Prop!$A:$A,Prod_Prop!$J:$J,"",0,1))</f>
        <v/>
      </c>
      <c r="R715" s="4" t="str">
        <f t="array" ref="R715">IF($E715="","", XLOOKUP(SUMIFS(Prod_Prop!$A:$A,Prod_Prop!$B:$B,$E715,Prod_Prop!$H:$H,R$1,Prod_Prop!$I:$I,"Exacto"),Prod_Prop!$A:$A,Prod_Prop!$J:$J,"",0,1))</f>
        <v/>
      </c>
      <c r="S715" s="4" t="str">
        <f t="array" ref="S715">IF($E715="","", XLOOKUP(SUMIFS(Prod_Prop!$A:$A,Prod_Prop!$B:$B,$E715,Prod_Prop!$H:$H,S$1,Prod_Prop!$I:$I,"Exacto"),Prod_Prop!$A:$A,Prod_Prop!$J:$J,"",0,1))</f>
        <v/>
      </c>
      <c r="T715" s="4" t="str">
        <f t="array" ref="T715">IF($E715="","", XLOOKUP(SUMIFS(Prod_Prop!$A:$A,Prod_Prop!$B:$B,$E715,Prod_Prop!$H:$H,T$1,Prod_Prop!$I:$I,"Exacto"),Prod_Prop!$A:$A,Prod_Prop!$J:$J,"",0,1))</f>
        <v/>
      </c>
      <c r="U715" s="4" t="str">
        <f t="array" ref="U715">IF($E715="","", XLOOKUP(SUMIFS(Prod_Prop!$A:$A,Prod_Prop!$B:$B,$E715,Prod_Prop!$H:$H,U$1,Prod_Prop!$I:$I,"Exacto"),Prod_Prop!$A:$A,Prod_Prop!$J:$J,"",0,1))</f>
        <v/>
      </c>
      <c r="V715" s="4" t="str">
        <f t="array" ref="V715">IF($E715="","", XLOOKUP(SUMIFS(Prod_Prop!$A:$A,Prod_Prop!$B:$B,$E715,Prod_Prop!$H:$H,V$1,Prod_Prop!$I:$I,"Exacto"),Prod_Prop!$A:$A,Prod_Prop!$J:$J,"",0,1))</f>
        <v/>
      </c>
      <c r="X715" s="3" t="str">
        <f>IFERROR(__xludf.DUMMYFUNCTION("IF(D715="""","""",IFERROR(TRANSPOSE(FILTER('Validaciones Cotizador'!U:U,'Validaciones Cotizador'!O:O=D715,'Validaciones Cotizador'!T:T=""x"")),""Finalizar""))"),"")</f>
        <v/>
      </c>
    </row>
    <row r="716">
      <c r="A716" s="2" t="str">
        <f t="array" ref="A716">IF(E716="","",XLOOKUP(D716,'Validaciones Cotizador'!C:C,'Validaciones Cotizador'!A:A,"",0,1))</f>
        <v/>
      </c>
      <c r="B716" s="2" t="str">
        <f t="array" ref="B716">IF(F716="","",XLOOKUP(F716,Productos!E:E,Productos!G:G,"",0,1))</f>
        <v/>
      </c>
      <c r="C716" s="2" t="str">
        <f>IF(A716="","",SUMIFS('Validaciones Cotizador'!B:B,'Validaciones Cotizador'!C:C,D716,'Validaciones Cotizador'!A:A,A716))</f>
        <v/>
      </c>
      <c r="D716" s="4" t="str">
        <f>IFERROR(__xludf.DUMMYFUNCTION("IF(OR(F715=""Finalizar"",F715="""",F715=""Selecciona..""),"""",IF(OR(F715=""-"",INDEX(filter(Familias!F:F,Familias!D:D=A715,Familias!E:E=C715),1)=""O""),D715+1,D715))"),"")</f>
        <v/>
      </c>
      <c r="E716" s="2" t="str">
        <f>IF(OR(F716="",F716="Selecciona.."),"",IF(D716="Implemento",SUMIF(Implementos!B:B,F716,Implementos!A:A),SUMIF(Productos!E:E,F716,Productos!A:A)))</f>
        <v/>
      </c>
      <c r="F716" s="2" t="str">
        <f t="shared" si="2"/>
        <v/>
      </c>
      <c r="G716" s="10" t="str">
        <f t="array" ref="G716">IF(OR(F716="",F716="-",F716="Selecciona..",F716="Finalizar"),"",IF(A716="Rodados",XLOOKUP(B716,'Validaciones Cotizador'!I:I,'Validaciones Cotizador'!J:J,0,0,1),1))</f>
        <v/>
      </c>
      <c r="H716" s="11" t="str">
        <f>IF(OR(F716="",F716="Selecciona.."),"",SUMIF(Precio_Productos!K:K,E716,Precio_Productos!J:J)*G716)</f>
        <v/>
      </c>
      <c r="I716" s="4" t="str">
        <f t="array" ref="I716">IF($E716="","", XLOOKUP(SUMIFS(Prod_Prop!$A:$A,Prod_Prop!$B:$B,$E716,Prod_Prop!$H:$H,I$1,Prod_Prop!$I:$I,"Exacto"),Prod_Prop!$A:$A,Prod_Prop!$J:$J,"",0,1))</f>
        <v/>
      </c>
      <c r="J716" s="4" t="str">
        <f t="array" ref="J716">IF($E716="","", XLOOKUP(SUMIFS(Prod_Prop!$A:$A,Prod_Prop!$B:$B,$E716,Prod_Prop!$H:$H,J$1,Prod_Prop!$I:$I,"Exacto"),Prod_Prop!$A:$A,Prod_Prop!$J:$J,"",0,1))</f>
        <v/>
      </c>
      <c r="K716" s="4" t="str">
        <f t="array" ref="K716">IF($E716="","", XLOOKUP(SUMIFS(Prod_Prop!$A:$A,Prod_Prop!$B:$B,$E716,Prod_Prop!$H:$H,K$1,Prod_Prop!$I:$I,"Exacto"),Prod_Prop!$A:$A,Prod_Prop!$J:$J,"",0,1))</f>
        <v/>
      </c>
      <c r="L716" s="4" t="str">
        <f t="array" ref="L716">IF($E716="","", XLOOKUP(SUMIFS(Prod_Prop!$A:$A,Prod_Prop!$B:$B,$E716,Prod_Prop!$H:$H,L$1,Prod_Prop!$I:$I,"Exacto"),Prod_Prop!$A:$A,Prod_Prop!$J:$J,"",0,1))</f>
        <v/>
      </c>
      <c r="M716" s="4" t="str">
        <f t="array" ref="M716">IF($E716="","", XLOOKUP(SUMIFS(Prod_Prop!$A:$A,Prod_Prop!$B:$B,$E716,Prod_Prop!$H:$H,M$1,Prod_Prop!$I:$I,"Exacto"),Prod_Prop!$A:$A,Prod_Prop!$J:$J,"",0,1))</f>
        <v/>
      </c>
      <c r="N716" s="4" t="str">
        <f t="array" ref="N716">IF($E716="","", XLOOKUP(SUMIFS(Prod_Prop!$A:$A,Prod_Prop!$B:$B,$E716,Prod_Prop!$H:$H,N$1,Prod_Prop!$I:$I,"Exacto"),Prod_Prop!$A:$A,Prod_Prop!$J:$J,"",0,1))</f>
        <v/>
      </c>
      <c r="O716" s="4" t="str">
        <f t="array" ref="O716">IF($E716="","", XLOOKUP(SUMIFS(Prod_Prop!$A:$A,Prod_Prop!$B:$B,$E716,Prod_Prop!$H:$H,O$1,Prod_Prop!$I:$I,"Exacto"),Prod_Prop!$A:$A,Prod_Prop!$J:$J,"",0,1))</f>
        <v/>
      </c>
      <c r="P716" s="4" t="str">
        <f t="array" ref="P716">IF($E716="","", XLOOKUP(SUMIFS(Prod_Prop!$A:$A,Prod_Prop!$B:$B,$E716,Prod_Prop!$H:$H,P$1,Prod_Prop!$I:$I,"Exacto"),Prod_Prop!$A:$A,Prod_Prop!$J:$J,"",0,1))</f>
        <v/>
      </c>
      <c r="Q716" s="4" t="str">
        <f t="array" ref="Q716">IF($E716="","", XLOOKUP(SUMIFS(Prod_Prop!$A:$A,Prod_Prop!$B:$B,$E716,Prod_Prop!$H:$H,Q$1,Prod_Prop!$I:$I,"Exacto"),Prod_Prop!$A:$A,Prod_Prop!$J:$J,"",0,1))</f>
        <v/>
      </c>
      <c r="R716" s="4" t="str">
        <f t="array" ref="R716">IF($E716="","", XLOOKUP(SUMIFS(Prod_Prop!$A:$A,Prod_Prop!$B:$B,$E716,Prod_Prop!$H:$H,R$1,Prod_Prop!$I:$I,"Exacto"),Prod_Prop!$A:$A,Prod_Prop!$J:$J,"",0,1))</f>
        <v/>
      </c>
      <c r="S716" s="4" t="str">
        <f t="array" ref="S716">IF($E716="","", XLOOKUP(SUMIFS(Prod_Prop!$A:$A,Prod_Prop!$B:$B,$E716,Prod_Prop!$H:$H,S$1,Prod_Prop!$I:$I,"Exacto"),Prod_Prop!$A:$A,Prod_Prop!$J:$J,"",0,1))</f>
        <v/>
      </c>
      <c r="T716" s="4" t="str">
        <f t="array" ref="T716">IF($E716="","", XLOOKUP(SUMIFS(Prod_Prop!$A:$A,Prod_Prop!$B:$B,$E716,Prod_Prop!$H:$H,T$1,Prod_Prop!$I:$I,"Exacto"),Prod_Prop!$A:$A,Prod_Prop!$J:$J,"",0,1))</f>
        <v/>
      </c>
      <c r="U716" s="4" t="str">
        <f t="array" ref="U716">IF($E716="","", XLOOKUP(SUMIFS(Prod_Prop!$A:$A,Prod_Prop!$B:$B,$E716,Prod_Prop!$H:$H,U$1,Prod_Prop!$I:$I,"Exacto"),Prod_Prop!$A:$A,Prod_Prop!$J:$J,"",0,1))</f>
        <v/>
      </c>
      <c r="V716" s="4" t="str">
        <f t="array" ref="V716">IF($E716="","", XLOOKUP(SUMIFS(Prod_Prop!$A:$A,Prod_Prop!$B:$B,$E716,Prod_Prop!$H:$H,V$1,Prod_Prop!$I:$I,"Exacto"),Prod_Prop!$A:$A,Prod_Prop!$J:$J,"",0,1))</f>
        <v/>
      </c>
      <c r="X716" s="3" t="str">
        <f>IFERROR(__xludf.DUMMYFUNCTION("IF(D716="""","""",IFERROR(TRANSPOSE(FILTER('Validaciones Cotizador'!U:U,'Validaciones Cotizador'!O:O=D716,'Validaciones Cotizador'!T:T=""x"")),""Finalizar""))"),"")</f>
        <v/>
      </c>
    </row>
    <row r="717">
      <c r="A717" s="2" t="str">
        <f t="array" ref="A717">IF(E717="","",XLOOKUP(D717,'Validaciones Cotizador'!C:C,'Validaciones Cotizador'!A:A,"",0,1))</f>
        <v/>
      </c>
      <c r="B717" s="2" t="str">
        <f t="array" ref="B717">IF(F717="","",XLOOKUP(F717,Productos!E:E,Productos!G:G,"",0,1))</f>
        <v/>
      </c>
      <c r="C717" s="2" t="str">
        <f>IF(A717="","",SUMIFS('Validaciones Cotizador'!B:B,'Validaciones Cotizador'!C:C,D717,'Validaciones Cotizador'!A:A,A717))</f>
        <v/>
      </c>
      <c r="D717" s="4" t="str">
        <f>IFERROR(__xludf.DUMMYFUNCTION("IF(OR(F716=""Finalizar"",F716="""",F716=""Selecciona..""),"""",IF(OR(F716=""-"",INDEX(filter(Familias!F:F,Familias!D:D=A716,Familias!E:E=C716),1)=""O""),D716+1,D716))"),"")</f>
        <v/>
      </c>
      <c r="E717" s="2" t="str">
        <f>IF(OR(F717="",F717="Selecciona.."),"",IF(D717="Implemento",SUMIF(Implementos!B:B,F717,Implementos!A:A),SUMIF(Productos!E:E,F717,Productos!A:A)))</f>
        <v/>
      </c>
      <c r="F717" s="2" t="str">
        <f t="shared" si="2"/>
        <v/>
      </c>
      <c r="G717" s="10" t="str">
        <f t="array" ref="G717">IF(OR(F717="",F717="-",F717="Selecciona..",F717="Finalizar"),"",IF(A717="Rodados",XLOOKUP(B717,'Validaciones Cotizador'!I:I,'Validaciones Cotizador'!J:J,0,0,1),1))</f>
        <v/>
      </c>
      <c r="H717" s="11" t="str">
        <f>IF(OR(F717="",F717="Selecciona.."),"",SUMIF(Precio_Productos!K:K,E717,Precio_Productos!J:J)*G717)</f>
        <v/>
      </c>
      <c r="I717" s="4" t="str">
        <f t="array" ref="I717">IF($E717="","", XLOOKUP(SUMIFS(Prod_Prop!$A:$A,Prod_Prop!$B:$B,$E717,Prod_Prop!$H:$H,I$1,Prod_Prop!$I:$I,"Exacto"),Prod_Prop!$A:$A,Prod_Prop!$J:$J,"",0,1))</f>
        <v/>
      </c>
      <c r="J717" s="4" t="str">
        <f t="array" ref="J717">IF($E717="","", XLOOKUP(SUMIFS(Prod_Prop!$A:$A,Prod_Prop!$B:$B,$E717,Prod_Prop!$H:$H,J$1,Prod_Prop!$I:$I,"Exacto"),Prod_Prop!$A:$A,Prod_Prop!$J:$J,"",0,1))</f>
        <v/>
      </c>
      <c r="K717" s="4" t="str">
        <f t="array" ref="K717">IF($E717="","", XLOOKUP(SUMIFS(Prod_Prop!$A:$A,Prod_Prop!$B:$B,$E717,Prod_Prop!$H:$H,K$1,Prod_Prop!$I:$I,"Exacto"),Prod_Prop!$A:$A,Prod_Prop!$J:$J,"",0,1))</f>
        <v/>
      </c>
      <c r="L717" s="4" t="str">
        <f t="array" ref="L717">IF($E717="","", XLOOKUP(SUMIFS(Prod_Prop!$A:$A,Prod_Prop!$B:$B,$E717,Prod_Prop!$H:$H,L$1,Prod_Prop!$I:$I,"Exacto"),Prod_Prop!$A:$A,Prod_Prop!$J:$J,"",0,1))</f>
        <v/>
      </c>
      <c r="M717" s="4" t="str">
        <f t="array" ref="M717">IF($E717="","", XLOOKUP(SUMIFS(Prod_Prop!$A:$A,Prod_Prop!$B:$B,$E717,Prod_Prop!$H:$H,M$1,Prod_Prop!$I:$I,"Exacto"),Prod_Prop!$A:$A,Prod_Prop!$J:$J,"",0,1))</f>
        <v/>
      </c>
      <c r="N717" s="4" t="str">
        <f t="array" ref="N717">IF($E717="","", XLOOKUP(SUMIFS(Prod_Prop!$A:$A,Prod_Prop!$B:$B,$E717,Prod_Prop!$H:$H,N$1,Prod_Prop!$I:$I,"Exacto"),Prod_Prop!$A:$A,Prod_Prop!$J:$J,"",0,1))</f>
        <v/>
      </c>
      <c r="O717" s="4" t="str">
        <f t="array" ref="O717">IF($E717="","", XLOOKUP(SUMIFS(Prod_Prop!$A:$A,Prod_Prop!$B:$B,$E717,Prod_Prop!$H:$H,O$1,Prod_Prop!$I:$I,"Exacto"),Prod_Prop!$A:$A,Prod_Prop!$J:$J,"",0,1))</f>
        <v/>
      </c>
      <c r="P717" s="4" t="str">
        <f t="array" ref="P717">IF($E717="","", XLOOKUP(SUMIFS(Prod_Prop!$A:$A,Prod_Prop!$B:$B,$E717,Prod_Prop!$H:$H,P$1,Prod_Prop!$I:$I,"Exacto"),Prod_Prop!$A:$A,Prod_Prop!$J:$J,"",0,1))</f>
        <v/>
      </c>
      <c r="Q717" s="4" t="str">
        <f t="array" ref="Q717">IF($E717="","", XLOOKUP(SUMIFS(Prod_Prop!$A:$A,Prod_Prop!$B:$B,$E717,Prod_Prop!$H:$H,Q$1,Prod_Prop!$I:$I,"Exacto"),Prod_Prop!$A:$A,Prod_Prop!$J:$J,"",0,1))</f>
        <v/>
      </c>
      <c r="R717" s="4" t="str">
        <f t="array" ref="R717">IF($E717="","", XLOOKUP(SUMIFS(Prod_Prop!$A:$A,Prod_Prop!$B:$B,$E717,Prod_Prop!$H:$H,R$1,Prod_Prop!$I:$I,"Exacto"),Prod_Prop!$A:$A,Prod_Prop!$J:$J,"",0,1))</f>
        <v/>
      </c>
      <c r="S717" s="4" t="str">
        <f t="array" ref="S717">IF($E717="","", XLOOKUP(SUMIFS(Prod_Prop!$A:$A,Prod_Prop!$B:$B,$E717,Prod_Prop!$H:$H,S$1,Prod_Prop!$I:$I,"Exacto"),Prod_Prop!$A:$A,Prod_Prop!$J:$J,"",0,1))</f>
        <v/>
      </c>
      <c r="T717" s="4" t="str">
        <f t="array" ref="T717">IF($E717="","", XLOOKUP(SUMIFS(Prod_Prop!$A:$A,Prod_Prop!$B:$B,$E717,Prod_Prop!$H:$H,T$1,Prod_Prop!$I:$I,"Exacto"),Prod_Prop!$A:$A,Prod_Prop!$J:$J,"",0,1))</f>
        <v/>
      </c>
      <c r="U717" s="4" t="str">
        <f t="array" ref="U717">IF($E717="","", XLOOKUP(SUMIFS(Prod_Prop!$A:$A,Prod_Prop!$B:$B,$E717,Prod_Prop!$H:$H,U$1,Prod_Prop!$I:$I,"Exacto"),Prod_Prop!$A:$A,Prod_Prop!$J:$J,"",0,1))</f>
        <v/>
      </c>
      <c r="V717" s="4" t="str">
        <f t="array" ref="V717">IF($E717="","", XLOOKUP(SUMIFS(Prod_Prop!$A:$A,Prod_Prop!$B:$B,$E717,Prod_Prop!$H:$H,V$1,Prod_Prop!$I:$I,"Exacto"),Prod_Prop!$A:$A,Prod_Prop!$J:$J,"",0,1))</f>
        <v/>
      </c>
      <c r="X717" s="3" t="str">
        <f>IFERROR(__xludf.DUMMYFUNCTION("IF(D717="""","""",IFERROR(TRANSPOSE(FILTER('Validaciones Cotizador'!U:U,'Validaciones Cotizador'!O:O=D717,'Validaciones Cotizador'!T:T=""x"")),""Finalizar""))"),"")</f>
        <v/>
      </c>
    </row>
    <row r="718">
      <c r="A718" s="2" t="str">
        <f t="array" ref="A718">IF(E718="","",XLOOKUP(D718,'Validaciones Cotizador'!C:C,'Validaciones Cotizador'!A:A,"",0,1))</f>
        <v/>
      </c>
      <c r="B718" s="2" t="str">
        <f t="array" ref="B718">IF(F718="","",XLOOKUP(F718,Productos!E:E,Productos!G:G,"",0,1))</f>
        <v/>
      </c>
      <c r="C718" s="2" t="str">
        <f>IF(A718="","",SUMIFS('Validaciones Cotizador'!B:B,'Validaciones Cotizador'!C:C,D718,'Validaciones Cotizador'!A:A,A718))</f>
        <v/>
      </c>
      <c r="D718" s="4" t="str">
        <f>IFERROR(__xludf.DUMMYFUNCTION("IF(OR(F717=""Finalizar"",F717="""",F717=""Selecciona..""),"""",IF(OR(F717=""-"",INDEX(filter(Familias!F:F,Familias!D:D=A717,Familias!E:E=C717),1)=""O""),D717+1,D717))"),"")</f>
        <v/>
      </c>
      <c r="E718" s="2" t="str">
        <f>IF(OR(F718="",F718="Selecciona.."),"",IF(D718="Implemento",SUMIF(Implementos!B:B,F718,Implementos!A:A),SUMIF(Productos!E:E,F718,Productos!A:A)))</f>
        <v/>
      </c>
      <c r="F718" s="2" t="str">
        <f t="shared" si="2"/>
        <v/>
      </c>
      <c r="G718" s="10" t="str">
        <f t="array" ref="G718">IF(OR(F718="",F718="-",F718="Selecciona..",F718="Finalizar"),"",IF(A718="Rodados",XLOOKUP(B718,'Validaciones Cotizador'!I:I,'Validaciones Cotizador'!J:J,0,0,1),1))</f>
        <v/>
      </c>
      <c r="H718" s="11" t="str">
        <f>IF(OR(F718="",F718="Selecciona.."),"",SUMIF(Precio_Productos!K:K,E718,Precio_Productos!J:J)*G718)</f>
        <v/>
      </c>
      <c r="I718" s="4" t="str">
        <f t="array" ref="I718">IF($E718="","", XLOOKUP(SUMIFS(Prod_Prop!$A:$A,Prod_Prop!$B:$B,$E718,Prod_Prop!$H:$H,I$1,Prod_Prop!$I:$I,"Exacto"),Prod_Prop!$A:$A,Prod_Prop!$J:$J,"",0,1))</f>
        <v/>
      </c>
      <c r="J718" s="4" t="str">
        <f t="array" ref="J718">IF($E718="","", XLOOKUP(SUMIFS(Prod_Prop!$A:$A,Prod_Prop!$B:$B,$E718,Prod_Prop!$H:$H,J$1,Prod_Prop!$I:$I,"Exacto"),Prod_Prop!$A:$A,Prod_Prop!$J:$J,"",0,1))</f>
        <v/>
      </c>
      <c r="K718" s="4" t="str">
        <f t="array" ref="K718">IF($E718="","", XLOOKUP(SUMIFS(Prod_Prop!$A:$A,Prod_Prop!$B:$B,$E718,Prod_Prop!$H:$H,K$1,Prod_Prop!$I:$I,"Exacto"),Prod_Prop!$A:$A,Prod_Prop!$J:$J,"",0,1))</f>
        <v/>
      </c>
      <c r="L718" s="4" t="str">
        <f t="array" ref="L718">IF($E718="","", XLOOKUP(SUMIFS(Prod_Prop!$A:$A,Prod_Prop!$B:$B,$E718,Prod_Prop!$H:$H,L$1,Prod_Prop!$I:$I,"Exacto"),Prod_Prop!$A:$A,Prod_Prop!$J:$J,"",0,1))</f>
        <v/>
      </c>
      <c r="M718" s="4" t="str">
        <f t="array" ref="M718">IF($E718="","", XLOOKUP(SUMIFS(Prod_Prop!$A:$A,Prod_Prop!$B:$B,$E718,Prod_Prop!$H:$H,M$1,Prod_Prop!$I:$I,"Exacto"),Prod_Prop!$A:$A,Prod_Prop!$J:$J,"",0,1))</f>
        <v/>
      </c>
      <c r="N718" s="4" t="str">
        <f t="array" ref="N718">IF($E718="","", XLOOKUP(SUMIFS(Prod_Prop!$A:$A,Prod_Prop!$B:$B,$E718,Prod_Prop!$H:$H,N$1,Prod_Prop!$I:$I,"Exacto"),Prod_Prop!$A:$A,Prod_Prop!$J:$J,"",0,1))</f>
        <v/>
      </c>
      <c r="O718" s="4" t="str">
        <f t="array" ref="O718">IF($E718="","", XLOOKUP(SUMIFS(Prod_Prop!$A:$A,Prod_Prop!$B:$B,$E718,Prod_Prop!$H:$H,O$1,Prod_Prop!$I:$I,"Exacto"),Prod_Prop!$A:$A,Prod_Prop!$J:$J,"",0,1))</f>
        <v/>
      </c>
      <c r="P718" s="4" t="str">
        <f t="array" ref="P718">IF($E718="","", XLOOKUP(SUMIFS(Prod_Prop!$A:$A,Prod_Prop!$B:$B,$E718,Prod_Prop!$H:$H,P$1,Prod_Prop!$I:$I,"Exacto"),Prod_Prop!$A:$A,Prod_Prop!$J:$J,"",0,1))</f>
        <v/>
      </c>
      <c r="Q718" s="4" t="str">
        <f t="array" ref="Q718">IF($E718="","", XLOOKUP(SUMIFS(Prod_Prop!$A:$A,Prod_Prop!$B:$B,$E718,Prod_Prop!$H:$H,Q$1,Prod_Prop!$I:$I,"Exacto"),Prod_Prop!$A:$A,Prod_Prop!$J:$J,"",0,1))</f>
        <v/>
      </c>
      <c r="R718" s="4" t="str">
        <f t="array" ref="R718">IF($E718="","", XLOOKUP(SUMIFS(Prod_Prop!$A:$A,Prod_Prop!$B:$B,$E718,Prod_Prop!$H:$H,R$1,Prod_Prop!$I:$I,"Exacto"),Prod_Prop!$A:$A,Prod_Prop!$J:$J,"",0,1))</f>
        <v/>
      </c>
      <c r="S718" s="4" t="str">
        <f t="array" ref="S718">IF($E718="","", XLOOKUP(SUMIFS(Prod_Prop!$A:$A,Prod_Prop!$B:$B,$E718,Prod_Prop!$H:$H,S$1,Prod_Prop!$I:$I,"Exacto"),Prod_Prop!$A:$A,Prod_Prop!$J:$J,"",0,1))</f>
        <v/>
      </c>
      <c r="T718" s="4" t="str">
        <f t="array" ref="T718">IF($E718="","", XLOOKUP(SUMIFS(Prod_Prop!$A:$A,Prod_Prop!$B:$B,$E718,Prod_Prop!$H:$H,T$1,Prod_Prop!$I:$I,"Exacto"),Prod_Prop!$A:$A,Prod_Prop!$J:$J,"",0,1))</f>
        <v/>
      </c>
      <c r="U718" s="4" t="str">
        <f t="array" ref="U718">IF($E718="","", XLOOKUP(SUMIFS(Prod_Prop!$A:$A,Prod_Prop!$B:$B,$E718,Prod_Prop!$H:$H,U$1,Prod_Prop!$I:$I,"Exacto"),Prod_Prop!$A:$A,Prod_Prop!$J:$J,"",0,1))</f>
        <v/>
      </c>
      <c r="V718" s="4" t="str">
        <f t="array" ref="V718">IF($E718="","", XLOOKUP(SUMIFS(Prod_Prop!$A:$A,Prod_Prop!$B:$B,$E718,Prod_Prop!$H:$H,V$1,Prod_Prop!$I:$I,"Exacto"),Prod_Prop!$A:$A,Prod_Prop!$J:$J,"",0,1))</f>
        <v/>
      </c>
      <c r="X718" s="3" t="str">
        <f>IFERROR(__xludf.DUMMYFUNCTION("IF(D718="""","""",IFERROR(TRANSPOSE(FILTER('Validaciones Cotizador'!U:U,'Validaciones Cotizador'!O:O=D718,'Validaciones Cotizador'!T:T=""x"")),""Finalizar""))"),"")</f>
        <v/>
      </c>
    </row>
    <row r="719">
      <c r="A719" s="2" t="str">
        <f t="array" ref="A719">IF(E719="","",XLOOKUP(D719,'Validaciones Cotizador'!C:C,'Validaciones Cotizador'!A:A,"",0,1))</f>
        <v/>
      </c>
      <c r="B719" s="2" t="str">
        <f t="array" ref="B719">IF(F719="","",XLOOKUP(F719,Productos!E:E,Productos!G:G,"",0,1))</f>
        <v/>
      </c>
      <c r="C719" s="2" t="str">
        <f>IF(A719="","",SUMIFS('Validaciones Cotizador'!B:B,'Validaciones Cotizador'!C:C,D719,'Validaciones Cotizador'!A:A,A719))</f>
        <v/>
      </c>
      <c r="D719" s="4" t="str">
        <f>IFERROR(__xludf.DUMMYFUNCTION("IF(OR(F718=""Finalizar"",F718="""",F718=""Selecciona..""),"""",IF(OR(F718=""-"",INDEX(filter(Familias!F:F,Familias!D:D=A718,Familias!E:E=C718),1)=""O""),D718+1,D718))"),"")</f>
        <v/>
      </c>
      <c r="E719" s="2" t="str">
        <f>IF(OR(F719="",F719="Selecciona.."),"",IF(D719="Implemento",SUMIF(Implementos!B:B,F719,Implementos!A:A),SUMIF(Productos!E:E,F719,Productos!A:A)))</f>
        <v/>
      </c>
      <c r="F719" s="2" t="str">
        <f t="shared" si="2"/>
        <v/>
      </c>
      <c r="G719" s="10" t="str">
        <f t="array" ref="G719">IF(OR(F719="",F719="-",F719="Selecciona..",F719="Finalizar"),"",IF(A719="Rodados",XLOOKUP(B719,'Validaciones Cotizador'!I:I,'Validaciones Cotizador'!J:J,0,0,1),1))</f>
        <v/>
      </c>
      <c r="H719" s="11" t="str">
        <f>IF(OR(F719="",F719="Selecciona.."),"",SUMIF(Precio_Productos!K:K,E719,Precio_Productos!J:J)*G719)</f>
        <v/>
      </c>
      <c r="I719" s="4" t="str">
        <f t="array" ref="I719">IF($E719="","", XLOOKUP(SUMIFS(Prod_Prop!$A:$A,Prod_Prop!$B:$B,$E719,Prod_Prop!$H:$H,I$1,Prod_Prop!$I:$I,"Exacto"),Prod_Prop!$A:$A,Prod_Prop!$J:$J,"",0,1))</f>
        <v/>
      </c>
      <c r="J719" s="4" t="str">
        <f t="array" ref="J719">IF($E719="","", XLOOKUP(SUMIFS(Prod_Prop!$A:$A,Prod_Prop!$B:$B,$E719,Prod_Prop!$H:$H,J$1,Prod_Prop!$I:$I,"Exacto"),Prod_Prop!$A:$A,Prod_Prop!$J:$J,"",0,1))</f>
        <v/>
      </c>
      <c r="K719" s="4" t="str">
        <f t="array" ref="K719">IF($E719="","", XLOOKUP(SUMIFS(Prod_Prop!$A:$A,Prod_Prop!$B:$B,$E719,Prod_Prop!$H:$H,K$1,Prod_Prop!$I:$I,"Exacto"),Prod_Prop!$A:$A,Prod_Prop!$J:$J,"",0,1))</f>
        <v/>
      </c>
      <c r="L719" s="4" t="str">
        <f t="array" ref="L719">IF($E719="","", XLOOKUP(SUMIFS(Prod_Prop!$A:$A,Prod_Prop!$B:$B,$E719,Prod_Prop!$H:$H,L$1,Prod_Prop!$I:$I,"Exacto"),Prod_Prop!$A:$A,Prod_Prop!$J:$J,"",0,1))</f>
        <v/>
      </c>
      <c r="M719" s="4" t="str">
        <f t="array" ref="M719">IF($E719="","", XLOOKUP(SUMIFS(Prod_Prop!$A:$A,Prod_Prop!$B:$B,$E719,Prod_Prop!$H:$H,M$1,Prod_Prop!$I:$I,"Exacto"),Prod_Prop!$A:$A,Prod_Prop!$J:$J,"",0,1))</f>
        <v/>
      </c>
      <c r="N719" s="4" t="str">
        <f t="array" ref="N719">IF($E719="","", XLOOKUP(SUMIFS(Prod_Prop!$A:$A,Prod_Prop!$B:$B,$E719,Prod_Prop!$H:$H,N$1,Prod_Prop!$I:$I,"Exacto"),Prod_Prop!$A:$A,Prod_Prop!$J:$J,"",0,1))</f>
        <v/>
      </c>
      <c r="O719" s="4" t="str">
        <f t="array" ref="O719">IF($E719="","", XLOOKUP(SUMIFS(Prod_Prop!$A:$A,Prod_Prop!$B:$B,$E719,Prod_Prop!$H:$H,O$1,Prod_Prop!$I:$I,"Exacto"),Prod_Prop!$A:$A,Prod_Prop!$J:$J,"",0,1))</f>
        <v/>
      </c>
      <c r="P719" s="4" t="str">
        <f t="array" ref="P719">IF($E719="","", XLOOKUP(SUMIFS(Prod_Prop!$A:$A,Prod_Prop!$B:$B,$E719,Prod_Prop!$H:$H,P$1,Prod_Prop!$I:$I,"Exacto"),Prod_Prop!$A:$A,Prod_Prop!$J:$J,"",0,1))</f>
        <v/>
      </c>
      <c r="Q719" s="4" t="str">
        <f t="array" ref="Q719">IF($E719="","", XLOOKUP(SUMIFS(Prod_Prop!$A:$A,Prod_Prop!$B:$B,$E719,Prod_Prop!$H:$H,Q$1,Prod_Prop!$I:$I,"Exacto"),Prod_Prop!$A:$A,Prod_Prop!$J:$J,"",0,1))</f>
        <v/>
      </c>
      <c r="R719" s="4" t="str">
        <f t="array" ref="R719">IF($E719="","", XLOOKUP(SUMIFS(Prod_Prop!$A:$A,Prod_Prop!$B:$B,$E719,Prod_Prop!$H:$H,R$1,Prod_Prop!$I:$I,"Exacto"),Prod_Prop!$A:$A,Prod_Prop!$J:$J,"",0,1))</f>
        <v/>
      </c>
      <c r="S719" s="4" t="str">
        <f t="array" ref="S719">IF($E719="","", XLOOKUP(SUMIFS(Prod_Prop!$A:$A,Prod_Prop!$B:$B,$E719,Prod_Prop!$H:$H,S$1,Prod_Prop!$I:$I,"Exacto"),Prod_Prop!$A:$A,Prod_Prop!$J:$J,"",0,1))</f>
        <v/>
      </c>
      <c r="T719" s="4" t="str">
        <f t="array" ref="T719">IF($E719="","", XLOOKUP(SUMIFS(Prod_Prop!$A:$A,Prod_Prop!$B:$B,$E719,Prod_Prop!$H:$H,T$1,Prod_Prop!$I:$I,"Exacto"),Prod_Prop!$A:$A,Prod_Prop!$J:$J,"",0,1))</f>
        <v/>
      </c>
      <c r="U719" s="4" t="str">
        <f t="array" ref="U719">IF($E719="","", XLOOKUP(SUMIFS(Prod_Prop!$A:$A,Prod_Prop!$B:$B,$E719,Prod_Prop!$H:$H,U$1,Prod_Prop!$I:$I,"Exacto"),Prod_Prop!$A:$A,Prod_Prop!$J:$J,"",0,1))</f>
        <v/>
      </c>
      <c r="V719" s="4" t="str">
        <f t="array" ref="V719">IF($E719="","", XLOOKUP(SUMIFS(Prod_Prop!$A:$A,Prod_Prop!$B:$B,$E719,Prod_Prop!$H:$H,V$1,Prod_Prop!$I:$I,"Exacto"),Prod_Prop!$A:$A,Prod_Prop!$J:$J,"",0,1))</f>
        <v/>
      </c>
      <c r="X719" s="3" t="str">
        <f>IFERROR(__xludf.DUMMYFUNCTION("IF(D719="""","""",IFERROR(TRANSPOSE(FILTER('Validaciones Cotizador'!U:U,'Validaciones Cotizador'!O:O=D719,'Validaciones Cotizador'!T:T=""x"")),""Finalizar""))"),"")</f>
        <v/>
      </c>
    </row>
    <row r="720">
      <c r="A720" s="2" t="str">
        <f t="array" ref="A720">IF(E720="","",XLOOKUP(D720,'Validaciones Cotizador'!C:C,'Validaciones Cotizador'!A:A,"",0,1))</f>
        <v/>
      </c>
      <c r="B720" s="2" t="str">
        <f t="array" ref="B720">IF(F720="","",XLOOKUP(F720,Productos!E:E,Productos!G:G,"",0,1))</f>
        <v/>
      </c>
      <c r="C720" s="2" t="str">
        <f>IF(A720="","",SUMIFS('Validaciones Cotizador'!B:B,'Validaciones Cotizador'!C:C,D720,'Validaciones Cotizador'!A:A,A720))</f>
        <v/>
      </c>
      <c r="D720" s="4" t="str">
        <f>IFERROR(__xludf.DUMMYFUNCTION("IF(OR(F719=""Finalizar"",F719="""",F719=""Selecciona..""),"""",IF(OR(F719=""-"",INDEX(filter(Familias!F:F,Familias!D:D=A719,Familias!E:E=C719),1)=""O""),D719+1,D719))"),"")</f>
        <v/>
      </c>
      <c r="E720" s="2" t="str">
        <f>IF(OR(F720="",F720="Selecciona.."),"",IF(D720="Implemento",SUMIF(Implementos!B:B,F720,Implementos!A:A),SUMIF(Productos!E:E,F720,Productos!A:A)))</f>
        <v/>
      </c>
      <c r="F720" s="2" t="str">
        <f t="shared" si="2"/>
        <v/>
      </c>
      <c r="G720" s="10" t="str">
        <f t="array" ref="G720">IF(OR(F720="",F720="-",F720="Selecciona..",F720="Finalizar"),"",IF(A720="Rodados",XLOOKUP(B720,'Validaciones Cotizador'!I:I,'Validaciones Cotizador'!J:J,0,0,1),1))</f>
        <v/>
      </c>
      <c r="H720" s="11" t="str">
        <f>IF(OR(F720="",F720="Selecciona.."),"",SUMIF(Precio_Productos!K:K,E720,Precio_Productos!J:J)*G720)</f>
        <v/>
      </c>
      <c r="I720" s="4" t="str">
        <f t="array" ref="I720">IF($E720="","", XLOOKUP(SUMIFS(Prod_Prop!$A:$A,Prod_Prop!$B:$B,$E720,Prod_Prop!$H:$H,I$1,Prod_Prop!$I:$I,"Exacto"),Prod_Prop!$A:$A,Prod_Prop!$J:$J,"",0,1))</f>
        <v/>
      </c>
      <c r="J720" s="4" t="str">
        <f t="array" ref="J720">IF($E720="","", XLOOKUP(SUMIFS(Prod_Prop!$A:$A,Prod_Prop!$B:$B,$E720,Prod_Prop!$H:$H,J$1,Prod_Prop!$I:$I,"Exacto"),Prod_Prop!$A:$A,Prod_Prop!$J:$J,"",0,1))</f>
        <v/>
      </c>
      <c r="K720" s="4" t="str">
        <f t="array" ref="K720">IF($E720="","", XLOOKUP(SUMIFS(Prod_Prop!$A:$A,Prod_Prop!$B:$B,$E720,Prod_Prop!$H:$H,K$1,Prod_Prop!$I:$I,"Exacto"),Prod_Prop!$A:$A,Prod_Prop!$J:$J,"",0,1))</f>
        <v/>
      </c>
      <c r="L720" s="4" t="str">
        <f t="array" ref="L720">IF($E720="","", XLOOKUP(SUMIFS(Prod_Prop!$A:$A,Prod_Prop!$B:$B,$E720,Prod_Prop!$H:$H,L$1,Prod_Prop!$I:$I,"Exacto"),Prod_Prop!$A:$A,Prod_Prop!$J:$J,"",0,1))</f>
        <v/>
      </c>
      <c r="M720" s="4" t="str">
        <f t="array" ref="M720">IF($E720="","", XLOOKUP(SUMIFS(Prod_Prop!$A:$A,Prod_Prop!$B:$B,$E720,Prod_Prop!$H:$H,M$1,Prod_Prop!$I:$I,"Exacto"),Prod_Prop!$A:$A,Prod_Prop!$J:$J,"",0,1))</f>
        <v/>
      </c>
      <c r="N720" s="4" t="str">
        <f t="array" ref="N720">IF($E720="","", XLOOKUP(SUMIFS(Prod_Prop!$A:$A,Prod_Prop!$B:$B,$E720,Prod_Prop!$H:$H,N$1,Prod_Prop!$I:$I,"Exacto"),Prod_Prop!$A:$A,Prod_Prop!$J:$J,"",0,1))</f>
        <v/>
      </c>
      <c r="O720" s="4" t="str">
        <f t="array" ref="O720">IF($E720="","", XLOOKUP(SUMIFS(Prod_Prop!$A:$A,Prod_Prop!$B:$B,$E720,Prod_Prop!$H:$H,O$1,Prod_Prop!$I:$I,"Exacto"),Prod_Prop!$A:$A,Prod_Prop!$J:$J,"",0,1))</f>
        <v/>
      </c>
      <c r="P720" s="4" t="str">
        <f t="array" ref="P720">IF($E720="","", XLOOKUP(SUMIFS(Prod_Prop!$A:$A,Prod_Prop!$B:$B,$E720,Prod_Prop!$H:$H,P$1,Prod_Prop!$I:$I,"Exacto"),Prod_Prop!$A:$A,Prod_Prop!$J:$J,"",0,1))</f>
        <v/>
      </c>
      <c r="Q720" s="4" t="str">
        <f t="array" ref="Q720">IF($E720="","", XLOOKUP(SUMIFS(Prod_Prop!$A:$A,Prod_Prop!$B:$B,$E720,Prod_Prop!$H:$H,Q$1,Prod_Prop!$I:$I,"Exacto"),Prod_Prop!$A:$A,Prod_Prop!$J:$J,"",0,1))</f>
        <v/>
      </c>
      <c r="R720" s="4" t="str">
        <f t="array" ref="R720">IF($E720="","", XLOOKUP(SUMIFS(Prod_Prop!$A:$A,Prod_Prop!$B:$B,$E720,Prod_Prop!$H:$H,R$1,Prod_Prop!$I:$I,"Exacto"),Prod_Prop!$A:$A,Prod_Prop!$J:$J,"",0,1))</f>
        <v/>
      </c>
      <c r="S720" s="4" t="str">
        <f t="array" ref="S720">IF($E720="","", XLOOKUP(SUMIFS(Prod_Prop!$A:$A,Prod_Prop!$B:$B,$E720,Prod_Prop!$H:$H,S$1,Prod_Prop!$I:$I,"Exacto"),Prod_Prop!$A:$A,Prod_Prop!$J:$J,"",0,1))</f>
        <v/>
      </c>
      <c r="T720" s="4" t="str">
        <f t="array" ref="T720">IF($E720="","", XLOOKUP(SUMIFS(Prod_Prop!$A:$A,Prod_Prop!$B:$B,$E720,Prod_Prop!$H:$H,T$1,Prod_Prop!$I:$I,"Exacto"),Prod_Prop!$A:$A,Prod_Prop!$J:$J,"",0,1))</f>
        <v/>
      </c>
      <c r="U720" s="4" t="str">
        <f t="array" ref="U720">IF($E720="","", XLOOKUP(SUMIFS(Prod_Prop!$A:$A,Prod_Prop!$B:$B,$E720,Prod_Prop!$H:$H,U$1,Prod_Prop!$I:$I,"Exacto"),Prod_Prop!$A:$A,Prod_Prop!$J:$J,"",0,1))</f>
        <v/>
      </c>
      <c r="V720" s="4" t="str">
        <f t="array" ref="V720">IF($E720="","", XLOOKUP(SUMIFS(Prod_Prop!$A:$A,Prod_Prop!$B:$B,$E720,Prod_Prop!$H:$H,V$1,Prod_Prop!$I:$I,"Exacto"),Prod_Prop!$A:$A,Prod_Prop!$J:$J,"",0,1))</f>
        <v/>
      </c>
      <c r="X720" s="3" t="str">
        <f>IFERROR(__xludf.DUMMYFUNCTION("IF(D720="""","""",IFERROR(TRANSPOSE(FILTER('Validaciones Cotizador'!U:U,'Validaciones Cotizador'!O:O=D720,'Validaciones Cotizador'!T:T=""x"")),""Finalizar""))"),"")</f>
        <v/>
      </c>
    </row>
    <row r="721">
      <c r="A721" s="2" t="str">
        <f t="array" ref="A721">IF(E721="","",XLOOKUP(D721,'Validaciones Cotizador'!C:C,'Validaciones Cotizador'!A:A,"",0,1))</f>
        <v/>
      </c>
      <c r="B721" s="2" t="str">
        <f t="array" ref="B721">IF(F721="","",XLOOKUP(F721,Productos!E:E,Productos!G:G,"",0,1))</f>
        <v/>
      </c>
      <c r="C721" s="2" t="str">
        <f>IF(A721="","",SUMIFS('Validaciones Cotizador'!B:B,'Validaciones Cotizador'!C:C,D721,'Validaciones Cotizador'!A:A,A721))</f>
        <v/>
      </c>
      <c r="D721" s="4" t="str">
        <f>IFERROR(__xludf.DUMMYFUNCTION("IF(OR(F720=""Finalizar"",F720="""",F720=""Selecciona..""),"""",IF(OR(F720=""-"",INDEX(filter(Familias!F:F,Familias!D:D=A720,Familias!E:E=C720),1)=""O""),D720+1,D720))"),"")</f>
        <v/>
      </c>
      <c r="E721" s="2" t="str">
        <f>IF(OR(F721="",F721="Selecciona.."),"",IF(D721="Implemento",SUMIF(Implementos!B:B,F721,Implementos!A:A),SUMIF(Productos!E:E,F721,Productos!A:A)))</f>
        <v/>
      </c>
      <c r="F721" s="2" t="str">
        <f t="shared" si="2"/>
        <v/>
      </c>
      <c r="G721" s="10" t="str">
        <f t="array" ref="G721">IF(OR(F721="",F721="-",F721="Selecciona..",F721="Finalizar"),"",IF(A721="Rodados",XLOOKUP(B721,'Validaciones Cotizador'!I:I,'Validaciones Cotizador'!J:J,0,0,1),1))</f>
        <v/>
      </c>
      <c r="H721" s="11" t="str">
        <f>IF(OR(F721="",F721="Selecciona.."),"",SUMIF(Precio_Productos!K:K,E721,Precio_Productos!J:J)*G721)</f>
        <v/>
      </c>
      <c r="I721" s="4" t="str">
        <f t="array" ref="I721">IF($E721="","", XLOOKUP(SUMIFS(Prod_Prop!$A:$A,Prod_Prop!$B:$B,$E721,Prod_Prop!$H:$H,I$1,Prod_Prop!$I:$I,"Exacto"),Prod_Prop!$A:$A,Prod_Prop!$J:$J,"",0,1))</f>
        <v/>
      </c>
      <c r="J721" s="4" t="str">
        <f t="array" ref="J721">IF($E721="","", XLOOKUP(SUMIFS(Prod_Prop!$A:$A,Prod_Prop!$B:$B,$E721,Prod_Prop!$H:$H,J$1,Prod_Prop!$I:$I,"Exacto"),Prod_Prop!$A:$A,Prod_Prop!$J:$J,"",0,1))</f>
        <v/>
      </c>
      <c r="K721" s="4" t="str">
        <f t="array" ref="K721">IF($E721="","", XLOOKUP(SUMIFS(Prod_Prop!$A:$A,Prod_Prop!$B:$B,$E721,Prod_Prop!$H:$H,K$1,Prod_Prop!$I:$I,"Exacto"),Prod_Prop!$A:$A,Prod_Prop!$J:$J,"",0,1))</f>
        <v/>
      </c>
      <c r="L721" s="4" t="str">
        <f t="array" ref="L721">IF($E721="","", XLOOKUP(SUMIFS(Prod_Prop!$A:$A,Prod_Prop!$B:$B,$E721,Prod_Prop!$H:$H,L$1,Prod_Prop!$I:$I,"Exacto"),Prod_Prop!$A:$A,Prod_Prop!$J:$J,"",0,1))</f>
        <v/>
      </c>
      <c r="M721" s="4" t="str">
        <f t="array" ref="M721">IF($E721="","", XLOOKUP(SUMIFS(Prod_Prop!$A:$A,Prod_Prop!$B:$B,$E721,Prod_Prop!$H:$H,M$1,Prod_Prop!$I:$I,"Exacto"),Prod_Prop!$A:$A,Prod_Prop!$J:$J,"",0,1))</f>
        <v/>
      </c>
      <c r="N721" s="4" t="str">
        <f t="array" ref="N721">IF($E721="","", XLOOKUP(SUMIFS(Prod_Prop!$A:$A,Prod_Prop!$B:$B,$E721,Prod_Prop!$H:$H,N$1,Prod_Prop!$I:$I,"Exacto"),Prod_Prop!$A:$A,Prod_Prop!$J:$J,"",0,1))</f>
        <v/>
      </c>
      <c r="O721" s="4" t="str">
        <f t="array" ref="O721">IF($E721="","", XLOOKUP(SUMIFS(Prod_Prop!$A:$A,Prod_Prop!$B:$B,$E721,Prod_Prop!$H:$H,O$1,Prod_Prop!$I:$I,"Exacto"),Prod_Prop!$A:$A,Prod_Prop!$J:$J,"",0,1))</f>
        <v/>
      </c>
      <c r="P721" s="4" t="str">
        <f t="array" ref="P721">IF($E721="","", XLOOKUP(SUMIFS(Prod_Prop!$A:$A,Prod_Prop!$B:$B,$E721,Prod_Prop!$H:$H,P$1,Prod_Prop!$I:$I,"Exacto"),Prod_Prop!$A:$A,Prod_Prop!$J:$J,"",0,1))</f>
        <v/>
      </c>
      <c r="Q721" s="4" t="str">
        <f t="array" ref="Q721">IF($E721="","", XLOOKUP(SUMIFS(Prod_Prop!$A:$A,Prod_Prop!$B:$B,$E721,Prod_Prop!$H:$H,Q$1,Prod_Prop!$I:$I,"Exacto"),Prod_Prop!$A:$A,Prod_Prop!$J:$J,"",0,1))</f>
        <v/>
      </c>
      <c r="R721" s="4" t="str">
        <f t="array" ref="R721">IF($E721="","", XLOOKUP(SUMIFS(Prod_Prop!$A:$A,Prod_Prop!$B:$B,$E721,Prod_Prop!$H:$H,R$1,Prod_Prop!$I:$I,"Exacto"),Prod_Prop!$A:$A,Prod_Prop!$J:$J,"",0,1))</f>
        <v/>
      </c>
      <c r="S721" s="4" t="str">
        <f t="array" ref="S721">IF($E721="","", XLOOKUP(SUMIFS(Prod_Prop!$A:$A,Prod_Prop!$B:$B,$E721,Prod_Prop!$H:$H,S$1,Prod_Prop!$I:$I,"Exacto"),Prod_Prop!$A:$A,Prod_Prop!$J:$J,"",0,1))</f>
        <v/>
      </c>
      <c r="T721" s="4" t="str">
        <f t="array" ref="T721">IF($E721="","", XLOOKUP(SUMIFS(Prod_Prop!$A:$A,Prod_Prop!$B:$B,$E721,Prod_Prop!$H:$H,T$1,Prod_Prop!$I:$I,"Exacto"),Prod_Prop!$A:$A,Prod_Prop!$J:$J,"",0,1))</f>
        <v/>
      </c>
      <c r="U721" s="4" t="str">
        <f t="array" ref="U721">IF($E721="","", XLOOKUP(SUMIFS(Prod_Prop!$A:$A,Prod_Prop!$B:$B,$E721,Prod_Prop!$H:$H,U$1,Prod_Prop!$I:$I,"Exacto"),Prod_Prop!$A:$A,Prod_Prop!$J:$J,"",0,1))</f>
        <v/>
      </c>
      <c r="V721" s="4" t="str">
        <f t="array" ref="V721">IF($E721="","", XLOOKUP(SUMIFS(Prod_Prop!$A:$A,Prod_Prop!$B:$B,$E721,Prod_Prop!$H:$H,V$1,Prod_Prop!$I:$I,"Exacto"),Prod_Prop!$A:$A,Prod_Prop!$J:$J,"",0,1))</f>
        <v/>
      </c>
      <c r="X721" s="3" t="str">
        <f>IFERROR(__xludf.DUMMYFUNCTION("IF(D721="""","""",IFERROR(TRANSPOSE(FILTER('Validaciones Cotizador'!U:U,'Validaciones Cotizador'!O:O=D721,'Validaciones Cotizador'!T:T=""x"")),""Finalizar""))"),"")</f>
        <v/>
      </c>
    </row>
    <row r="722">
      <c r="A722" s="2" t="str">
        <f t="array" ref="A722">IF(E722="","",XLOOKUP(D722,'Validaciones Cotizador'!C:C,'Validaciones Cotizador'!A:A,"",0,1))</f>
        <v/>
      </c>
      <c r="B722" s="2" t="str">
        <f t="array" ref="B722">IF(F722="","",XLOOKUP(F722,Productos!E:E,Productos!G:G,"",0,1))</f>
        <v/>
      </c>
      <c r="C722" s="2" t="str">
        <f>IF(A722="","",SUMIFS('Validaciones Cotizador'!B:B,'Validaciones Cotizador'!C:C,D722,'Validaciones Cotizador'!A:A,A722))</f>
        <v/>
      </c>
      <c r="D722" s="4" t="str">
        <f>IFERROR(__xludf.DUMMYFUNCTION("IF(OR(F721=""Finalizar"",F721="""",F721=""Selecciona..""),"""",IF(OR(F721=""-"",INDEX(filter(Familias!F:F,Familias!D:D=A721,Familias!E:E=C721),1)=""O""),D721+1,D721))"),"")</f>
        <v/>
      </c>
      <c r="E722" s="2" t="str">
        <f>IF(OR(F722="",F722="Selecciona.."),"",IF(D722="Implemento",SUMIF(Implementos!B:B,F722,Implementos!A:A),SUMIF(Productos!E:E,F722,Productos!A:A)))</f>
        <v/>
      </c>
      <c r="F722" s="2" t="str">
        <f t="shared" si="2"/>
        <v/>
      </c>
      <c r="G722" s="10" t="str">
        <f t="array" ref="G722">IF(OR(F722="",F722="-",F722="Selecciona..",F722="Finalizar"),"",IF(A722="Rodados",XLOOKUP(B722,'Validaciones Cotizador'!I:I,'Validaciones Cotizador'!J:J,0,0,1),1))</f>
        <v/>
      </c>
      <c r="H722" s="11" t="str">
        <f>IF(OR(F722="",F722="Selecciona.."),"",SUMIF(Precio_Productos!K:K,E722,Precio_Productos!J:J)*G722)</f>
        <v/>
      </c>
      <c r="I722" s="4" t="str">
        <f t="array" ref="I722">IF($E722="","", XLOOKUP(SUMIFS(Prod_Prop!$A:$A,Prod_Prop!$B:$B,$E722,Prod_Prop!$H:$H,I$1,Prod_Prop!$I:$I,"Exacto"),Prod_Prop!$A:$A,Prod_Prop!$J:$J,"",0,1))</f>
        <v/>
      </c>
      <c r="J722" s="4" t="str">
        <f t="array" ref="J722">IF($E722="","", XLOOKUP(SUMIFS(Prod_Prop!$A:$A,Prod_Prop!$B:$B,$E722,Prod_Prop!$H:$H,J$1,Prod_Prop!$I:$I,"Exacto"),Prod_Prop!$A:$A,Prod_Prop!$J:$J,"",0,1))</f>
        <v/>
      </c>
      <c r="K722" s="4" t="str">
        <f t="array" ref="K722">IF($E722="","", XLOOKUP(SUMIFS(Prod_Prop!$A:$A,Prod_Prop!$B:$B,$E722,Prod_Prop!$H:$H,K$1,Prod_Prop!$I:$I,"Exacto"),Prod_Prop!$A:$A,Prod_Prop!$J:$J,"",0,1))</f>
        <v/>
      </c>
      <c r="L722" s="4" t="str">
        <f t="array" ref="L722">IF($E722="","", XLOOKUP(SUMIFS(Prod_Prop!$A:$A,Prod_Prop!$B:$B,$E722,Prod_Prop!$H:$H,L$1,Prod_Prop!$I:$I,"Exacto"),Prod_Prop!$A:$A,Prod_Prop!$J:$J,"",0,1))</f>
        <v/>
      </c>
      <c r="M722" s="4" t="str">
        <f t="array" ref="M722">IF($E722="","", XLOOKUP(SUMIFS(Prod_Prop!$A:$A,Prod_Prop!$B:$B,$E722,Prod_Prop!$H:$H,M$1,Prod_Prop!$I:$I,"Exacto"),Prod_Prop!$A:$A,Prod_Prop!$J:$J,"",0,1))</f>
        <v/>
      </c>
      <c r="N722" s="4" t="str">
        <f t="array" ref="N722">IF($E722="","", XLOOKUP(SUMIFS(Prod_Prop!$A:$A,Prod_Prop!$B:$B,$E722,Prod_Prop!$H:$H,N$1,Prod_Prop!$I:$I,"Exacto"),Prod_Prop!$A:$A,Prod_Prop!$J:$J,"",0,1))</f>
        <v/>
      </c>
      <c r="O722" s="4" t="str">
        <f t="array" ref="O722">IF($E722="","", XLOOKUP(SUMIFS(Prod_Prop!$A:$A,Prod_Prop!$B:$B,$E722,Prod_Prop!$H:$H,O$1,Prod_Prop!$I:$I,"Exacto"),Prod_Prop!$A:$A,Prod_Prop!$J:$J,"",0,1))</f>
        <v/>
      </c>
      <c r="P722" s="4" t="str">
        <f t="array" ref="P722">IF($E722="","", XLOOKUP(SUMIFS(Prod_Prop!$A:$A,Prod_Prop!$B:$B,$E722,Prod_Prop!$H:$H,P$1,Prod_Prop!$I:$I,"Exacto"),Prod_Prop!$A:$A,Prod_Prop!$J:$J,"",0,1))</f>
        <v/>
      </c>
      <c r="Q722" s="4" t="str">
        <f t="array" ref="Q722">IF($E722="","", XLOOKUP(SUMIFS(Prod_Prop!$A:$A,Prod_Prop!$B:$B,$E722,Prod_Prop!$H:$H,Q$1,Prod_Prop!$I:$I,"Exacto"),Prod_Prop!$A:$A,Prod_Prop!$J:$J,"",0,1))</f>
        <v/>
      </c>
      <c r="R722" s="4" t="str">
        <f t="array" ref="R722">IF($E722="","", XLOOKUP(SUMIFS(Prod_Prop!$A:$A,Prod_Prop!$B:$B,$E722,Prod_Prop!$H:$H,R$1,Prod_Prop!$I:$I,"Exacto"),Prod_Prop!$A:$A,Prod_Prop!$J:$J,"",0,1))</f>
        <v/>
      </c>
      <c r="S722" s="4" t="str">
        <f t="array" ref="S722">IF($E722="","", XLOOKUP(SUMIFS(Prod_Prop!$A:$A,Prod_Prop!$B:$B,$E722,Prod_Prop!$H:$H,S$1,Prod_Prop!$I:$I,"Exacto"),Prod_Prop!$A:$A,Prod_Prop!$J:$J,"",0,1))</f>
        <v/>
      </c>
      <c r="T722" s="4" t="str">
        <f t="array" ref="T722">IF($E722="","", XLOOKUP(SUMIFS(Prod_Prop!$A:$A,Prod_Prop!$B:$B,$E722,Prod_Prop!$H:$H,T$1,Prod_Prop!$I:$I,"Exacto"),Prod_Prop!$A:$A,Prod_Prop!$J:$J,"",0,1))</f>
        <v/>
      </c>
      <c r="U722" s="4" t="str">
        <f t="array" ref="U722">IF($E722="","", XLOOKUP(SUMIFS(Prod_Prop!$A:$A,Prod_Prop!$B:$B,$E722,Prod_Prop!$H:$H,U$1,Prod_Prop!$I:$I,"Exacto"),Prod_Prop!$A:$A,Prod_Prop!$J:$J,"",0,1))</f>
        <v/>
      </c>
      <c r="V722" s="4" t="str">
        <f t="array" ref="V722">IF($E722="","", XLOOKUP(SUMIFS(Prod_Prop!$A:$A,Prod_Prop!$B:$B,$E722,Prod_Prop!$H:$H,V$1,Prod_Prop!$I:$I,"Exacto"),Prod_Prop!$A:$A,Prod_Prop!$J:$J,"",0,1))</f>
        <v/>
      </c>
      <c r="X722" s="3" t="str">
        <f>IFERROR(__xludf.DUMMYFUNCTION("IF(D722="""","""",IFERROR(TRANSPOSE(FILTER('Validaciones Cotizador'!U:U,'Validaciones Cotizador'!O:O=D722,'Validaciones Cotizador'!T:T=""x"")),""Finalizar""))"),"")</f>
        <v/>
      </c>
    </row>
    <row r="723">
      <c r="A723" s="2" t="str">
        <f t="array" ref="A723">IF(E723="","",XLOOKUP(D723,'Validaciones Cotizador'!C:C,'Validaciones Cotizador'!A:A,"",0,1))</f>
        <v/>
      </c>
      <c r="B723" s="2" t="str">
        <f t="array" ref="B723">IF(F723="","",XLOOKUP(F723,Productos!E:E,Productos!G:G,"",0,1))</f>
        <v/>
      </c>
      <c r="C723" s="2" t="str">
        <f>IF(A723="","",SUMIFS('Validaciones Cotizador'!B:B,'Validaciones Cotizador'!C:C,D723,'Validaciones Cotizador'!A:A,A723))</f>
        <v/>
      </c>
      <c r="D723" s="4" t="str">
        <f>IFERROR(__xludf.DUMMYFUNCTION("IF(OR(F722=""Finalizar"",F722="""",F722=""Selecciona..""),"""",IF(OR(F722=""-"",INDEX(filter(Familias!F:F,Familias!D:D=A722,Familias!E:E=C722),1)=""O""),D722+1,D722))"),"")</f>
        <v/>
      </c>
      <c r="E723" s="2" t="str">
        <f>IF(OR(F723="",F723="Selecciona.."),"",IF(D723="Implemento",SUMIF(Implementos!B:B,F723,Implementos!A:A),SUMIF(Productos!E:E,F723,Productos!A:A)))</f>
        <v/>
      </c>
      <c r="F723" s="2" t="str">
        <f t="shared" si="2"/>
        <v/>
      </c>
      <c r="G723" s="10" t="str">
        <f t="array" ref="G723">IF(OR(F723="",F723="-",F723="Selecciona..",F723="Finalizar"),"",IF(A723="Rodados",XLOOKUP(B723,'Validaciones Cotizador'!I:I,'Validaciones Cotizador'!J:J,0,0,1),1))</f>
        <v/>
      </c>
      <c r="H723" s="11" t="str">
        <f>IF(OR(F723="",F723="Selecciona.."),"",SUMIF(Precio_Productos!K:K,E723,Precio_Productos!J:J)*G723)</f>
        <v/>
      </c>
      <c r="I723" s="4" t="str">
        <f t="array" ref="I723">IF($E723="","", XLOOKUP(SUMIFS(Prod_Prop!$A:$A,Prod_Prop!$B:$B,$E723,Prod_Prop!$H:$H,I$1,Prod_Prop!$I:$I,"Exacto"),Prod_Prop!$A:$A,Prod_Prop!$J:$J,"",0,1))</f>
        <v/>
      </c>
      <c r="J723" s="4" t="str">
        <f t="array" ref="J723">IF($E723="","", XLOOKUP(SUMIFS(Prod_Prop!$A:$A,Prod_Prop!$B:$B,$E723,Prod_Prop!$H:$H,J$1,Prod_Prop!$I:$I,"Exacto"),Prod_Prop!$A:$A,Prod_Prop!$J:$J,"",0,1))</f>
        <v/>
      </c>
      <c r="K723" s="4" t="str">
        <f t="array" ref="K723">IF($E723="","", XLOOKUP(SUMIFS(Prod_Prop!$A:$A,Prod_Prop!$B:$B,$E723,Prod_Prop!$H:$H,K$1,Prod_Prop!$I:$I,"Exacto"),Prod_Prop!$A:$A,Prod_Prop!$J:$J,"",0,1))</f>
        <v/>
      </c>
      <c r="L723" s="4" t="str">
        <f t="array" ref="L723">IF($E723="","", XLOOKUP(SUMIFS(Prod_Prop!$A:$A,Prod_Prop!$B:$B,$E723,Prod_Prop!$H:$H,L$1,Prod_Prop!$I:$I,"Exacto"),Prod_Prop!$A:$A,Prod_Prop!$J:$J,"",0,1))</f>
        <v/>
      </c>
      <c r="M723" s="4" t="str">
        <f t="array" ref="M723">IF($E723="","", XLOOKUP(SUMIFS(Prod_Prop!$A:$A,Prod_Prop!$B:$B,$E723,Prod_Prop!$H:$H,M$1,Prod_Prop!$I:$I,"Exacto"),Prod_Prop!$A:$A,Prod_Prop!$J:$J,"",0,1))</f>
        <v/>
      </c>
      <c r="N723" s="4" t="str">
        <f t="array" ref="N723">IF($E723="","", XLOOKUP(SUMIFS(Prod_Prop!$A:$A,Prod_Prop!$B:$B,$E723,Prod_Prop!$H:$H,N$1,Prod_Prop!$I:$I,"Exacto"),Prod_Prop!$A:$A,Prod_Prop!$J:$J,"",0,1))</f>
        <v/>
      </c>
      <c r="O723" s="4" t="str">
        <f t="array" ref="O723">IF($E723="","", XLOOKUP(SUMIFS(Prod_Prop!$A:$A,Prod_Prop!$B:$B,$E723,Prod_Prop!$H:$H,O$1,Prod_Prop!$I:$I,"Exacto"),Prod_Prop!$A:$A,Prod_Prop!$J:$J,"",0,1))</f>
        <v/>
      </c>
      <c r="P723" s="4" t="str">
        <f t="array" ref="P723">IF($E723="","", XLOOKUP(SUMIFS(Prod_Prop!$A:$A,Prod_Prop!$B:$B,$E723,Prod_Prop!$H:$H,P$1,Prod_Prop!$I:$I,"Exacto"),Prod_Prop!$A:$A,Prod_Prop!$J:$J,"",0,1))</f>
        <v/>
      </c>
      <c r="Q723" s="4" t="str">
        <f t="array" ref="Q723">IF($E723="","", XLOOKUP(SUMIFS(Prod_Prop!$A:$A,Prod_Prop!$B:$B,$E723,Prod_Prop!$H:$H,Q$1,Prod_Prop!$I:$I,"Exacto"),Prod_Prop!$A:$A,Prod_Prop!$J:$J,"",0,1))</f>
        <v/>
      </c>
      <c r="R723" s="4" t="str">
        <f t="array" ref="R723">IF($E723="","", XLOOKUP(SUMIFS(Prod_Prop!$A:$A,Prod_Prop!$B:$B,$E723,Prod_Prop!$H:$H,R$1,Prod_Prop!$I:$I,"Exacto"),Prod_Prop!$A:$A,Prod_Prop!$J:$J,"",0,1))</f>
        <v/>
      </c>
      <c r="S723" s="4" t="str">
        <f t="array" ref="S723">IF($E723="","", XLOOKUP(SUMIFS(Prod_Prop!$A:$A,Prod_Prop!$B:$B,$E723,Prod_Prop!$H:$H,S$1,Prod_Prop!$I:$I,"Exacto"),Prod_Prop!$A:$A,Prod_Prop!$J:$J,"",0,1))</f>
        <v/>
      </c>
      <c r="T723" s="4" t="str">
        <f t="array" ref="T723">IF($E723="","", XLOOKUP(SUMIFS(Prod_Prop!$A:$A,Prod_Prop!$B:$B,$E723,Prod_Prop!$H:$H,T$1,Prod_Prop!$I:$I,"Exacto"),Prod_Prop!$A:$A,Prod_Prop!$J:$J,"",0,1))</f>
        <v/>
      </c>
      <c r="U723" s="4" t="str">
        <f t="array" ref="U723">IF($E723="","", XLOOKUP(SUMIFS(Prod_Prop!$A:$A,Prod_Prop!$B:$B,$E723,Prod_Prop!$H:$H,U$1,Prod_Prop!$I:$I,"Exacto"),Prod_Prop!$A:$A,Prod_Prop!$J:$J,"",0,1))</f>
        <v/>
      </c>
      <c r="V723" s="4" t="str">
        <f t="array" ref="V723">IF($E723="","", XLOOKUP(SUMIFS(Prod_Prop!$A:$A,Prod_Prop!$B:$B,$E723,Prod_Prop!$H:$H,V$1,Prod_Prop!$I:$I,"Exacto"),Prod_Prop!$A:$A,Prod_Prop!$J:$J,"",0,1))</f>
        <v/>
      </c>
      <c r="X723" s="3" t="str">
        <f>IFERROR(__xludf.DUMMYFUNCTION("IF(D723="""","""",IFERROR(TRANSPOSE(FILTER('Validaciones Cotizador'!U:U,'Validaciones Cotizador'!O:O=D723,'Validaciones Cotizador'!T:T=""x"")),""Finalizar""))"),"")</f>
        <v/>
      </c>
    </row>
    <row r="724">
      <c r="A724" s="2" t="str">
        <f t="array" ref="A724">IF(E724="","",XLOOKUP(D724,'Validaciones Cotizador'!C:C,'Validaciones Cotizador'!A:A,"",0,1))</f>
        <v/>
      </c>
      <c r="B724" s="2" t="str">
        <f t="array" ref="B724">IF(F724="","",XLOOKUP(F724,Productos!E:E,Productos!G:G,"",0,1))</f>
        <v/>
      </c>
      <c r="C724" s="2" t="str">
        <f>IF(A724="","",SUMIFS('Validaciones Cotizador'!B:B,'Validaciones Cotizador'!C:C,D724,'Validaciones Cotizador'!A:A,A724))</f>
        <v/>
      </c>
      <c r="D724" s="4" t="str">
        <f>IFERROR(__xludf.DUMMYFUNCTION("IF(OR(F723=""Finalizar"",F723="""",F723=""Selecciona..""),"""",IF(OR(F723=""-"",INDEX(filter(Familias!F:F,Familias!D:D=A723,Familias!E:E=C723),1)=""O""),D723+1,D723))"),"")</f>
        <v/>
      </c>
      <c r="E724" s="2" t="str">
        <f>IF(OR(F724="",F724="Selecciona.."),"",IF(D724="Implemento",SUMIF(Implementos!B:B,F724,Implementos!A:A),SUMIF(Productos!E:E,F724,Productos!A:A)))</f>
        <v/>
      </c>
      <c r="F724" s="2" t="str">
        <f t="shared" si="2"/>
        <v/>
      </c>
      <c r="G724" s="10" t="str">
        <f t="array" ref="G724">IF(OR(F724="",F724="-",F724="Selecciona..",F724="Finalizar"),"",IF(A724="Rodados",XLOOKUP(B724,'Validaciones Cotizador'!I:I,'Validaciones Cotizador'!J:J,0,0,1),1))</f>
        <v/>
      </c>
      <c r="H724" s="11" t="str">
        <f>IF(OR(F724="",F724="Selecciona.."),"",SUMIF(Precio_Productos!K:K,E724,Precio_Productos!J:J)*G724)</f>
        <v/>
      </c>
      <c r="I724" s="4" t="str">
        <f t="array" ref="I724">IF($E724="","", XLOOKUP(SUMIFS(Prod_Prop!$A:$A,Prod_Prop!$B:$B,$E724,Prod_Prop!$H:$H,I$1,Prod_Prop!$I:$I,"Exacto"),Prod_Prop!$A:$A,Prod_Prop!$J:$J,"",0,1))</f>
        <v/>
      </c>
      <c r="J724" s="4" t="str">
        <f t="array" ref="J724">IF($E724="","", XLOOKUP(SUMIFS(Prod_Prop!$A:$A,Prod_Prop!$B:$B,$E724,Prod_Prop!$H:$H,J$1,Prod_Prop!$I:$I,"Exacto"),Prod_Prop!$A:$A,Prod_Prop!$J:$J,"",0,1))</f>
        <v/>
      </c>
      <c r="K724" s="4" t="str">
        <f t="array" ref="K724">IF($E724="","", XLOOKUP(SUMIFS(Prod_Prop!$A:$A,Prod_Prop!$B:$B,$E724,Prod_Prop!$H:$H,K$1,Prod_Prop!$I:$I,"Exacto"),Prod_Prop!$A:$A,Prod_Prop!$J:$J,"",0,1))</f>
        <v/>
      </c>
      <c r="L724" s="4" t="str">
        <f t="array" ref="L724">IF($E724="","", XLOOKUP(SUMIFS(Prod_Prop!$A:$A,Prod_Prop!$B:$B,$E724,Prod_Prop!$H:$H,L$1,Prod_Prop!$I:$I,"Exacto"),Prod_Prop!$A:$A,Prod_Prop!$J:$J,"",0,1))</f>
        <v/>
      </c>
      <c r="M724" s="4" t="str">
        <f t="array" ref="M724">IF($E724="","", XLOOKUP(SUMIFS(Prod_Prop!$A:$A,Prod_Prop!$B:$B,$E724,Prod_Prop!$H:$H,M$1,Prod_Prop!$I:$I,"Exacto"),Prod_Prop!$A:$A,Prod_Prop!$J:$J,"",0,1))</f>
        <v/>
      </c>
      <c r="N724" s="4" t="str">
        <f t="array" ref="N724">IF($E724="","", XLOOKUP(SUMIFS(Prod_Prop!$A:$A,Prod_Prop!$B:$B,$E724,Prod_Prop!$H:$H,N$1,Prod_Prop!$I:$I,"Exacto"),Prod_Prop!$A:$A,Prod_Prop!$J:$J,"",0,1))</f>
        <v/>
      </c>
      <c r="O724" s="4" t="str">
        <f t="array" ref="O724">IF($E724="","", XLOOKUP(SUMIFS(Prod_Prop!$A:$A,Prod_Prop!$B:$B,$E724,Prod_Prop!$H:$H,O$1,Prod_Prop!$I:$I,"Exacto"),Prod_Prop!$A:$A,Prod_Prop!$J:$J,"",0,1))</f>
        <v/>
      </c>
      <c r="P724" s="4" t="str">
        <f t="array" ref="P724">IF($E724="","", XLOOKUP(SUMIFS(Prod_Prop!$A:$A,Prod_Prop!$B:$B,$E724,Prod_Prop!$H:$H,P$1,Prod_Prop!$I:$I,"Exacto"),Prod_Prop!$A:$A,Prod_Prop!$J:$J,"",0,1))</f>
        <v/>
      </c>
      <c r="Q724" s="4" t="str">
        <f t="array" ref="Q724">IF($E724="","", XLOOKUP(SUMIFS(Prod_Prop!$A:$A,Prod_Prop!$B:$B,$E724,Prod_Prop!$H:$H,Q$1,Prod_Prop!$I:$I,"Exacto"),Prod_Prop!$A:$A,Prod_Prop!$J:$J,"",0,1))</f>
        <v/>
      </c>
      <c r="R724" s="4" t="str">
        <f t="array" ref="R724">IF($E724="","", XLOOKUP(SUMIFS(Prod_Prop!$A:$A,Prod_Prop!$B:$B,$E724,Prod_Prop!$H:$H,R$1,Prod_Prop!$I:$I,"Exacto"),Prod_Prop!$A:$A,Prod_Prop!$J:$J,"",0,1))</f>
        <v/>
      </c>
      <c r="S724" s="4" t="str">
        <f t="array" ref="S724">IF($E724="","", XLOOKUP(SUMIFS(Prod_Prop!$A:$A,Prod_Prop!$B:$B,$E724,Prod_Prop!$H:$H,S$1,Prod_Prop!$I:$I,"Exacto"),Prod_Prop!$A:$A,Prod_Prop!$J:$J,"",0,1))</f>
        <v/>
      </c>
      <c r="T724" s="4" t="str">
        <f t="array" ref="T724">IF($E724="","", XLOOKUP(SUMIFS(Prod_Prop!$A:$A,Prod_Prop!$B:$B,$E724,Prod_Prop!$H:$H,T$1,Prod_Prop!$I:$I,"Exacto"),Prod_Prop!$A:$A,Prod_Prop!$J:$J,"",0,1))</f>
        <v/>
      </c>
      <c r="U724" s="4" t="str">
        <f t="array" ref="U724">IF($E724="","", XLOOKUP(SUMIFS(Prod_Prop!$A:$A,Prod_Prop!$B:$B,$E724,Prod_Prop!$H:$H,U$1,Prod_Prop!$I:$I,"Exacto"),Prod_Prop!$A:$A,Prod_Prop!$J:$J,"",0,1))</f>
        <v/>
      </c>
      <c r="V724" s="4" t="str">
        <f t="array" ref="V724">IF($E724="","", XLOOKUP(SUMIFS(Prod_Prop!$A:$A,Prod_Prop!$B:$B,$E724,Prod_Prop!$H:$H,V$1,Prod_Prop!$I:$I,"Exacto"),Prod_Prop!$A:$A,Prod_Prop!$J:$J,"",0,1))</f>
        <v/>
      </c>
      <c r="X724" s="3" t="str">
        <f>IFERROR(__xludf.DUMMYFUNCTION("IF(D724="""","""",IFERROR(TRANSPOSE(FILTER('Validaciones Cotizador'!U:U,'Validaciones Cotizador'!O:O=D724,'Validaciones Cotizador'!T:T=""x"")),""Finalizar""))"),"")</f>
        <v/>
      </c>
    </row>
    <row r="725">
      <c r="A725" s="2" t="str">
        <f t="array" ref="A725">IF(E725="","",XLOOKUP(D725,'Validaciones Cotizador'!C:C,'Validaciones Cotizador'!A:A,"",0,1))</f>
        <v/>
      </c>
      <c r="B725" s="2" t="str">
        <f t="array" ref="B725">IF(F725="","",XLOOKUP(F725,Productos!E:E,Productos!G:G,"",0,1))</f>
        <v/>
      </c>
      <c r="C725" s="2" t="str">
        <f>IF(A725="","",SUMIFS('Validaciones Cotizador'!B:B,'Validaciones Cotizador'!C:C,D725,'Validaciones Cotizador'!A:A,A725))</f>
        <v/>
      </c>
      <c r="D725" s="4" t="str">
        <f>IFERROR(__xludf.DUMMYFUNCTION("IF(OR(F724=""Finalizar"",F724="""",F724=""Selecciona..""),"""",IF(OR(F724=""-"",INDEX(filter(Familias!F:F,Familias!D:D=A724,Familias!E:E=C724),1)=""O""),D724+1,D724))"),"")</f>
        <v/>
      </c>
      <c r="E725" s="2" t="str">
        <f>IF(OR(F725="",F725="Selecciona.."),"",IF(D725="Implemento",SUMIF(Implementos!B:B,F725,Implementos!A:A),SUMIF(Productos!E:E,F725,Productos!A:A)))</f>
        <v/>
      </c>
      <c r="F725" s="2" t="str">
        <f t="shared" si="2"/>
        <v/>
      </c>
      <c r="G725" s="10" t="str">
        <f t="array" ref="G725">IF(OR(F725="",F725="-",F725="Selecciona..",F725="Finalizar"),"",IF(A725="Rodados",XLOOKUP(B725,'Validaciones Cotizador'!I:I,'Validaciones Cotizador'!J:J,0,0,1),1))</f>
        <v/>
      </c>
      <c r="H725" s="11" t="str">
        <f>IF(OR(F725="",F725="Selecciona.."),"",SUMIF(Precio_Productos!K:K,E725,Precio_Productos!J:J)*G725)</f>
        <v/>
      </c>
      <c r="I725" s="4" t="str">
        <f t="array" ref="I725">IF($E725="","", XLOOKUP(SUMIFS(Prod_Prop!$A:$A,Prod_Prop!$B:$B,$E725,Prod_Prop!$H:$H,I$1,Prod_Prop!$I:$I,"Exacto"),Prod_Prop!$A:$A,Prod_Prop!$J:$J,"",0,1))</f>
        <v/>
      </c>
      <c r="J725" s="4" t="str">
        <f t="array" ref="J725">IF($E725="","", XLOOKUP(SUMIFS(Prod_Prop!$A:$A,Prod_Prop!$B:$B,$E725,Prod_Prop!$H:$H,J$1,Prod_Prop!$I:$I,"Exacto"),Prod_Prop!$A:$A,Prod_Prop!$J:$J,"",0,1))</f>
        <v/>
      </c>
      <c r="K725" s="4" t="str">
        <f t="array" ref="K725">IF($E725="","", XLOOKUP(SUMIFS(Prod_Prop!$A:$A,Prod_Prop!$B:$B,$E725,Prod_Prop!$H:$H,K$1,Prod_Prop!$I:$I,"Exacto"),Prod_Prop!$A:$A,Prod_Prop!$J:$J,"",0,1))</f>
        <v/>
      </c>
      <c r="L725" s="4" t="str">
        <f t="array" ref="L725">IF($E725="","", XLOOKUP(SUMIFS(Prod_Prop!$A:$A,Prod_Prop!$B:$B,$E725,Prod_Prop!$H:$H,L$1,Prod_Prop!$I:$I,"Exacto"),Prod_Prop!$A:$A,Prod_Prop!$J:$J,"",0,1))</f>
        <v/>
      </c>
      <c r="M725" s="4" t="str">
        <f t="array" ref="M725">IF($E725="","", XLOOKUP(SUMIFS(Prod_Prop!$A:$A,Prod_Prop!$B:$B,$E725,Prod_Prop!$H:$H,M$1,Prod_Prop!$I:$I,"Exacto"),Prod_Prop!$A:$A,Prod_Prop!$J:$J,"",0,1))</f>
        <v/>
      </c>
      <c r="N725" s="4" t="str">
        <f t="array" ref="N725">IF($E725="","", XLOOKUP(SUMIFS(Prod_Prop!$A:$A,Prod_Prop!$B:$B,$E725,Prod_Prop!$H:$H,N$1,Prod_Prop!$I:$I,"Exacto"),Prod_Prop!$A:$A,Prod_Prop!$J:$J,"",0,1))</f>
        <v/>
      </c>
      <c r="O725" s="4" t="str">
        <f t="array" ref="O725">IF($E725="","", XLOOKUP(SUMIFS(Prod_Prop!$A:$A,Prod_Prop!$B:$B,$E725,Prod_Prop!$H:$H,O$1,Prod_Prop!$I:$I,"Exacto"),Prod_Prop!$A:$A,Prod_Prop!$J:$J,"",0,1))</f>
        <v/>
      </c>
      <c r="P725" s="4" t="str">
        <f t="array" ref="P725">IF($E725="","", XLOOKUP(SUMIFS(Prod_Prop!$A:$A,Prod_Prop!$B:$B,$E725,Prod_Prop!$H:$H,P$1,Prod_Prop!$I:$I,"Exacto"),Prod_Prop!$A:$A,Prod_Prop!$J:$J,"",0,1))</f>
        <v/>
      </c>
      <c r="Q725" s="4" t="str">
        <f t="array" ref="Q725">IF($E725="","", XLOOKUP(SUMIFS(Prod_Prop!$A:$A,Prod_Prop!$B:$B,$E725,Prod_Prop!$H:$H,Q$1,Prod_Prop!$I:$I,"Exacto"),Prod_Prop!$A:$A,Prod_Prop!$J:$J,"",0,1))</f>
        <v/>
      </c>
      <c r="R725" s="4" t="str">
        <f t="array" ref="R725">IF($E725="","", XLOOKUP(SUMIFS(Prod_Prop!$A:$A,Prod_Prop!$B:$B,$E725,Prod_Prop!$H:$H,R$1,Prod_Prop!$I:$I,"Exacto"),Prod_Prop!$A:$A,Prod_Prop!$J:$J,"",0,1))</f>
        <v/>
      </c>
      <c r="S725" s="4" t="str">
        <f t="array" ref="S725">IF($E725="","", XLOOKUP(SUMIFS(Prod_Prop!$A:$A,Prod_Prop!$B:$B,$E725,Prod_Prop!$H:$H,S$1,Prod_Prop!$I:$I,"Exacto"),Prod_Prop!$A:$A,Prod_Prop!$J:$J,"",0,1))</f>
        <v/>
      </c>
      <c r="T725" s="4" t="str">
        <f t="array" ref="T725">IF($E725="","", XLOOKUP(SUMIFS(Prod_Prop!$A:$A,Prod_Prop!$B:$B,$E725,Prod_Prop!$H:$H,T$1,Prod_Prop!$I:$I,"Exacto"),Prod_Prop!$A:$A,Prod_Prop!$J:$J,"",0,1))</f>
        <v/>
      </c>
      <c r="U725" s="4" t="str">
        <f t="array" ref="U725">IF($E725="","", XLOOKUP(SUMIFS(Prod_Prop!$A:$A,Prod_Prop!$B:$B,$E725,Prod_Prop!$H:$H,U$1,Prod_Prop!$I:$I,"Exacto"),Prod_Prop!$A:$A,Prod_Prop!$J:$J,"",0,1))</f>
        <v/>
      </c>
      <c r="V725" s="4" t="str">
        <f t="array" ref="V725">IF($E725="","", XLOOKUP(SUMIFS(Prod_Prop!$A:$A,Prod_Prop!$B:$B,$E725,Prod_Prop!$H:$H,V$1,Prod_Prop!$I:$I,"Exacto"),Prod_Prop!$A:$A,Prod_Prop!$J:$J,"",0,1))</f>
        <v/>
      </c>
      <c r="X725" s="3" t="str">
        <f>IFERROR(__xludf.DUMMYFUNCTION("IF(D725="""","""",IFERROR(TRANSPOSE(FILTER('Validaciones Cotizador'!U:U,'Validaciones Cotizador'!O:O=D725,'Validaciones Cotizador'!T:T=""x"")),""Finalizar""))"),"")</f>
        <v/>
      </c>
    </row>
    <row r="726">
      <c r="A726" s="2" t="str">
        <f t="array" ref="A726">IF(E726="","",XLOOKUP(D726,'Validaciones Cotizador'!C:C,'Validaciones Cotizador'!A:A,"",0,1))</f>
        <v/>
      </c>
      <c r="B726" s="2" t="str">
        <f t="array" ref="B726">IF(F726="","",XLOOKUP(F726,Productos!E:E,Productos!G:G,"",0,1))</f>
        <v/>
      </c>
      <c r="C726" s="2" t="str">
        <f>IF(A726="","",SUMIFS('Validaciones Cotizador'!B:B,'Validaciones Cotizador'!C:C,D726,'Validaciones Cotizador'!A:A,A726))</f>
        <v/>
      </c>
      <c r="D726" s="4" t="str">
        <f>IFERROR(__xludf.DUMMYFUNCTION("IF(OR(F725=""Finalizar"",F725="""",F725=""Selecciona..""),"""",IF(OR(F725=""-"",INDEX(filter(Familias!F:F,Familias!D:D=A725,Familias!E:E=C725),1)=""O""),D725+1,D725))"),"")</f>
        <v/>
      </c>
      <c r="E726" s="2" t="str">
        <f>IF(OR(F726="",F726="Selecciona.."),"",IF(D726="Implemento",SUMIF(Implementos!B:B,F726,Implementos!A:A),SUMIF(Productos!E:E,F726,Productos!A:A)))</f>
        <v/>
      </c>
      <c r="F726" s="2" t="str">
        <f t="shared" si="2"/>
        <v/>
      </c>
      <c r="G726" s="10" t="str">
        <f t="array" ref="G726">IF(OR(F726="",F726="-",F726="Selecciona..",F726="Finalizar"),"",IF(A726="Rodados",XLOOKUP(B726,'Validaciones Cotizador'!I:I,'Validaciones Cotizador'!J:J,0,0,1),1))</f>
        <v/>
      </c>
      <c r="H726" s="11" t="str">
        <f>IF(OR(F726="",F726="Selecciona.."),"",SUMIF(Precio_Productos!K:K,E726,Precio_Productos!J:J)*G726)</f>
        <v/>
      </c>
      <c r="I726" s="4" t="str">
        <f t="array" ref="I726">IF($E726="","", XLOOKUP(SUMIFS(Prod_Prop!$A:$A,Prod_Prop!$B:$B,$E726,Prod_Prop!$H:$H,I$1,Prod_Prop!$I:$I,"Exacto"),Prod_Prop!$A:$A,Prod_Prop!$J:$J,"",0,1))</f>
        <v/>
      </c>
      <c r="J726" s="4" t="str">
        <f t="array" ref="J726">IF($E726="","", XLOOKUP(SUMIFS(Prod_Prop!$A:$A,Prod_Prop!$B:$B,$E726,Prod_Prop!$H:$H,J$1,Prod_Prop!$I:$I,"Exacto"),Prod_Prop!$A:$A,Prod_Prop!$J:$J,"",0,1))</f>
        <v/>
      </c>
      <c r="K726" s="4" t="str">
        <f t="array" ref="K726">IF($E726="","", XLOOKUP(SUMIFS(Prod_Prop!$A:$A,Prod_Prop!$B:$B,$E726,Prod_Prop!$H:$H,K$1,Prod_Prop!$I:$I,"Exacto"),Prod_Prop!$A:$A,Prod_Prop!$J:$J,"",0,1))</f>
        <v/>
      </c>
      <c r="L726" s="4" t="str">
        <f t="array" ref="L726">IF($E726="","", XLOOKUP(SUMIFS(Prod_Prop!$A:$A,Prod_Prop!$B:$B,$E726,Prod_Prop!$H:$H,L$1,Prod_Prop!$I:$I,"Exacto"),Prod_Prop!$A:$A,Prod_Prop!$J:$J,"",0,1))</f>
        <v/>
      </c>
      <c r="M726" s="4" t="str">
        <f t="array" ref="M726">IF($E726="","", XLOOKUP(SUMIFS(Prod_Prop!$A:$A,Prod_Prop!$B:$B,$E726,Prod_Prop!$H:$H,M$1,Prod_Prop!$I:$I,"Exacto"),Prod_Prop!$A:$A,Prod_Prop!$J:$J,"",0,1))</f>
        <v/>
      </c>
      <c r="N726" s="4" t="str">
        <f t="array" ref="N726">IF($E726="","", XLOOKUP(SUMIFS(Prod_Prop!$A:$A,Prod_Prop!$B:$B,$E726,Prod_Prop!$H:$H,N$1,Prod_Prop!$I:$I,"Exacto"),Prod_Prop!$A:$A,Prod_Prop!$J:$J,"",0,1))</f>
        <v/>
      </c>
      <c r="O726" s="4" t="str">
        <f t="array" ref="O726">IF($E726="","", XLOOKUP(SUMIFS(Prod_Prop!$A:$A,Prod_Prop!$B:$B,$E726,Prod_Prop!$H:$H,O$1,Prod_Prop!$I:$I,"Exacto"),Prod_Prop!$A:$A,Prod_Prop!$J:$J,"",0,1))</f>
        <v/>
      </c>
      <c r="P726" s="4" t="str">
        <f t="array" ref="P726">IF($E726="","", XLOOKUP(SUMIFS(Prod_Prop!$A:$A,Prod_Prop!$B:$B,$E726,Prod_Prop!$H:$H,P$1,Prod_Prop!$I:$I,"Exacto"),Prod_Prop!$A:$A,Prod_Prop!$J:$J,"",0,1))</f>
        <v/>
      </c>
      <c r="Q726" s="4" t="str">
        <f t="array" ref="Q726">IF($E726="","", XLOOKUP(SUMIFS(Prod_Prop!$A:$A,Prod_Prop!$B:$B,$E726,Prod_Prop!$H:$H,Q$1,Prod_Prop!$I:$I,"Exacto"),Prod_Prop!$A:$A,Prod_Prop!$J:$J,"",0,1))</f>
        <v/>
      </c>
      <c r="R726" s="4" t="str">
        <f t="array" ref="R726">IF($E726="","", XLOOKUP(SUMIFS(Prod_Prop!$A:$A,Prod_Prop!$B:$B,$E726,Prod_Prop!$H:$H,R$1,Prod_Prop!$I:$I,"Exacto"),Prod_Prop!$A:$A,Prod_Prop!$J:$J,"",0,1))</f>
        <v/>
      </c>
      <c r="S726" s="4" t="str">
        <f t="array" ref="S726">IF($E726="","", XLOOKUP(SUMIFS(Prod_Prop!$A:$A,Prod_Prop!$B:$B,$E726,Prod_Prop!$H:$H,S$1,Prod_Prop!$I:$I,"Exacto"),Prod_Prop!$A:$A,Prod_Prop!$J:$J,"",0,1))</f>
        <v/>
      </c>
      <c r="T726" s="4" t="str">
        <f t="array" ref="T726">IF($E726="","", XLOOKUP(SUMIFS(Prod_Prop!$A:$A,Prod_Prop!$B:$B,$E726,Prod_Prop!$H:$H,T$1,Prod_Prop!$I:$I,"Exacto"),Prod_Prop!$A:$A,Prod_Prop!$J:$J,"",0,1))</f>
        <v/>
      </c>
      <c r="U726" s="4" t="str">
        <f t="array" ref="U726">IF($E726="","", XLOOKUP(SUMIFS(Prod_Prop!$A:$A,Prod_Prop!$B:$B,$E726,Prod_Prop!$H:$H,U$1,Prod_Prop!$I:$I,"Exacto"),Prod_Prop!$A:$A,Prod_Prop!$J:$J,"",0,1))</f>
        <v/>
      </c>
      <c r="V726" s="4" t="str">
        <f t="array" ref="V726">IF($E726="","", XLOOKUP(SUMIFS(Prod_Prop!$A:$A,Prod_Prop!$B:$B,$E726,Prod_Prop!$H:$H,V$1,Prod_Prop!$I:$I,"Exacto"),Prod_Prop!$A:$A,Prod_Prop!$J:$J,"",0,1))</f>
        <v/>
      </c>
      <c r="X726" s="3" t="str">
        <f>IFERROR(__xludf.DUMMYFUNCTION("IF(D726="""","""",IFERROR(TRANSPOSE(FILTER('Validaciones Cotizador'!U:U,'Validaciones Cotizador'!O:O=D726,'Validaciones Cotizador'!T:T=""x"")),""Finalizar""))"),"")</f>
        <v/>
      </c>
    </row>
    <row r="727">
      <c r="A727" s="2" t="str">
        <f t="array" ref="A727">IF(E727="","",XLOOKUP(D727,'Validaciones Cotizador'!C:C,'Validaciones Cotizador'!A:A,"",0,1))</f>
        <v/>
      </c>
      <c r="B727" s="2" t="str">
        <f t="array" ref="B727">IF(F727="","",XLOOKUP(F727,Productos!E:E,Productos!G:G,"",0,1))</f>
        <v/>
      </c>
      <c r="C727" s="2" t="str">
        <f>IF(A727="","",SUMIFS('Validaciones Cotizador'!B:B,'Validaciones Cotizador'!C:C,D727,'Validaciones Cotizador'!A:A,A727))</f>
        <v/>
      </c>
      <c r="D727" s="4" t="str">
        <f>IFERROR(__xludf.DUMMYFUNCTION("IF(OR(F726=""Finalizar"",F726="""",F726=""Selecciona..""),"""",IF(OR(F726=""-"",INDEX(filter(Familias!F:F,Familias!D:D=A726,Familias!E:E=C726),1)=""O""),D726+1,D726))"),"")</f>
        <v/>
      </c>
      <c r="E727" s="2" t="str">
        <f>IF(OR(F727="",F727="Selecciona.."),"",IF(D727="Implemento",SUMIF(Implementos!B:B,F727,Implementos!A:A),SUMIF(Productos!E:E,F727,Productos!A:A)))</f>
        <v/>
      </c>
      <c r="F727" s="2" t="str">
        <f t="shared" si="2"/>
        <v/>
      </c>
      <c r="G727" s="10" t="str">
        <f t="array" ref="G727">IF(OR(F727="",F727="-",F727="Selecciona..",F727="Finalizar"),"",IF(A727="Rodados",XLOOKUP(B727,'Validaciones Cotizador'!I:I,'Validaciones Cotizador'!J:J,0,0,1),1))</f>
        <v/>
      </c>
      <c r="H727" s="11" t="str">
        <f>IF(OR(F727="",F727="Selecciona.."),"",SUMIF(Precio_Productos!K:K,E727,Precio_Productos!J:J)*G727)</f>
        <v/>
      </c>
      <c r="I727" s="4" t="str">
        <f t="array" ref="I727">IF($E727="","", XLOOKUP(SUMIFS(Prod_Prop!$A:$A,Prod_Prop!$B:$B,$E727,Prod_Prop!$H:$H,I$1,Prod_Prop!$I:$I,"Exacto"),Prod_Prop!$A:$A,Prod_Prop!$J:$J,"",0,1))</f>
        <v/>
      </c>
      <c r="J727" s="4" t="str">
        <f t="array" ref="J727">IF($E727="","", XLOOKUP(SUMIFS(Prod_Prop!$A:$A,Prod_Prop!$B:$B,$E727,Prod_Prop!$H:$H,J$1,Prod_Prop!$I:$I,"Exacto"),Prod_Prop!$A:$A,Prod_Prop!$J:$J,"",0,1))</f>
        <v/>
      </c>
      <c r="K727" s="4" t="str">
        <f t="array" ref="K727">IF($E727="","", XLOOKUP(SUMIFS(Prod_Prop!$A:$A,Prod_Prop!$B:$B,$E727,Prod_Prop!$H:$H,K$1,Prod_Prop!$I:$I,"Exacto"),Prod_Prop!$A:$A,Prod_Prop!$J:$J,"",0,1))</f>
        <v/>
      </c>
      <c r="L727" s="4" t="str">
        <f t="array" ref="L727">IF($E727="","", XLOOKUP(SUMIFS(Prod_Prop!$A:$A,Prod_Prop!$B:$B,$E727,Prod_Prop!$H:$H,L$1,Prod_Prop!$I:$I,"Exacto"),Prod_Prop!$A:$A,Prod_Prop!$J:$J,"",0,1))</f>
        <v/>
      </c>
      <c r="M727" s="4" t="str">
        <f t="array" ref="M727">IF($E727="","", XLOOKUP(SUMIFS(Prod_Prop!$A:$A,Prod_Prop!$B:$B,$E727,Prod_Prop!$H:$H,M$1,Prod_Prop!$I:$I,"Exacto"),Prod_Prop!$A:$A,Prod_Prop!$J:$J,"",0,1))</f>
        <v/>
      </c>
      <c r="N727" s="4" t="str">
        <f t="array" ref="N727">IF($E727="","", XLOOKUP(SUMIFS(Prod_Prop!$A:$A,Prod_Prop!$B:$B,$E727,Prod_Prop!$H:$H,N$1,Prod_Prop!$I:$I,"Exacto"),Prod_Prop!$A:$A,Prod_Prop!$J:$J,"",0,1))</f>
        <v/>
      </c>
      <c r="O727" s="4" t="str">
        <f t="array" ref="O727">IF($E727="","", XLOOKUP(SUMIFS(Prod_Prop!$A:$A,Prod_Prop!$B:$B,$E727,Prod_Prop!$H:$H,O$1,Prod_Prop!$I:$I,"Exacto"),Prod_Prop!$A:$A,Prod_Prop!$J:$J,"",0,1))</f>
        <v/>
      </c>
      <c r="P727" s="4" t="str">
        <f t="array" ref="P727">IF($E727="","", XLOOKUP(SUMIFS(Prod_Prop!$A:$A,Prod_Prop!$B:$B,$E727,Prod_Prop!$H:$H,P$1,Prod_Prop!$I:$I,"Exacto"),Prod_Prop!$A:$A,Prod_Prop!$J:$J,"",0,1))</f>
        <v/>
      </c>
      <c r="Q727" s="4" t="str">
        <f t="array" ref="Q727">IF($E727="","", XLOOKUP(SUMIFS(Prod_Prop!$A:$A,Prod_Prop!$B:$B,$E727,Prod_Prop!$H:$H,Q$1,Prod_Prop!$I:$I,"Exacto"),Prod_Prop!$A:$A,Prod_Prop!$J:$J,"",0,1))</f>
        <v/>
      </c>
      <c r="R727" s="4" t="str">
        <f t="array" ref="R727">IF($E727="","", XLOOKUP(SUMIFS(Prod_Prop!$A:$A,Prod_Prop!$B:$B,$E727,Prod_Prop!$H:$H,R$1,Prod_Prop!$I:$I,"Exacto"),Prod_Prop!$A:$A,Prod_Prop!$J:$J,"",0,1))</f>
        <v/>
      </c>
      <c r="S727" s="4" t="str">
        <f t="array" ref="S727">IF($E727="","", XLOOKUP(SUMIFS(Prod_Prop!$A:$A,Prod_Prop!$B:$B,$E727,Prod_Prop!$H:$H,S$1,Prod_Prop!$I:$I,"Exacto"),Prod_Prop!$A:$A,Prod_Prop!$J:$J,"",0,1))</f>
        <v/>
      </c>
      <c r="T727" s="4" t="str">
        <f t="array" ref="T727">IF($E727="","", XLOOKUP(SUMIFS(Prod_Prop!$A:$A,Prod_Prop!$B:$B,$E727,Prod_Prop!$H:$H,T$1,Prod_Prop!$I:$I,"Exacto"),Prod_Prop!$A:$A,Prod_Prop!$J:$J,"",0,1))</f>
        <v/>
      </c>
      <c r="U727" s="4" t="str">
        <f t="array" ref="U727">IF($E727="","", XLOOKUP(SUMIFS(Prod_Prop!$A:$A,Prod_Prop!$B:$B,$E727,Prod_Prop!$H:$H,U$1,Prod_Prop!$I:$I,"Exacto"),Prod_Prop!$A:$A,Prod_Prop!$J:$J,"",0,1))</f>
        <v/>
      </c>
      <c r="V727" s="4" t="str">
        <f t="array" ref="V727">IF($E727="","", XLOOKUP(SUMIFS(Prod_Prop!$A:$A,Prod_Prop!$B:$B,$E727,Prod_Prop!$H:$H,V$1,Prod_Prop!$I:$I,"Exacto"),Prod_Prop!$A:$A,Prod_Prop!$J:$J,"",0,1))</f>
        <v/>
      </c>
      <c r="X727" s="3" t="str">
        <f>IFERROR(__xludf.DUMMYFUNCTION("IF(D727="""","""",IFERROR(TRANSPOSE(FILTER('Validaciones Cotizador'!U:U,'Validaciones Cotizador'!O:O=D727,'Validaciones Cotizador'!T:T=""x"")),""Finalizar""))"),"")</f>
        <v/>
      </c>
    </row>
    <row r="728">
      <c r="A728" s="2" t="str">
        <f t="array" ref="A728">IF(E728="","",XLOOKUP(D728,'Validaciones Cotizador'!C:C,'Validaciones Cotizador'!A:A,"",0,1))</f>
        <v/>
      </c>
      <c r="B728" s="2" t="str">
        <f t="array" ref="B728">IF(F728="","",XLOOKUP(F728,Productos!E:E,Productos!G:G,"",0,1))</f>
        <v/>
      </c>
      <c r="C728" s="2" t="str">
        <f>IF(A728="","",SUMIFS('Validaciones Cotizador'!B:B,'Validaciones Cotizador'!C:C,D728,'Validaciones Cotizador'!A:A,A728))</f>
        <v/>
      </c>
      <c r="D728" s="4" t="str">
        <f>IFERROR(__xludf.DUMMYFUNCTION("IF(OR(F727=""Finalizar"",F727="""",F727=""Selecciona..""),"""",IF(OR(F727=""-"",INDEX(filter(Familias!F:F,Familias!D:D=A727,Familias!E:E=C727),1)=""O""),D727+1,D727))"),"")</f>
        <v/>
      </c>
      <c r="E728" s="2" t="str">
        <f>IF(OR(F728="",F728="Selecciona.."),"",IF(D728="Implemento",SUMIF(Implementos!B:B,F728,Implementos!A:A),SUMIF(Productos!E:E,F728,Productos!A:A)))</f>
        <v/>
      </c>
      <c r="F728" s="2" t="str">
        <f t="shared" si="2"/>
        <v/>
      </c>
      <c r="G728" s="10" t="str">
        <f t="array" ref="G728">IF(OR(F728="",F728="-",F728="Selecciona..",F728="Finalizar"),"",IF(A728="Rodados",XLOOKUP(B728,'Validaciones Cotizador'!I:I,'Validaciones Cotizador'!J:J,0,0,1),1))</f>
        <v/>
      </c>
      <c r="H728" s="11" t="str">
        <f>IF(OR(F728="",F728="Selecciona.."),"",SUMIF(Precio_Productos!K:K,E728,Precio_Productos!J:J)*G728)</f>
        <v/>
      </c>
      <c r="I728" s="4" t="str">
        <f t="array" ref="I728">IF($E728="","", XLOOKUP(SUMIFS(Prod_Prop!$A:$A,Prod_Prop!$B:$B,$E728,Prod_Prop!$H:$H,I$1,Prod_Prop!$I:$I,"Exacto"),Prod_Prop!$A:$A,Prod_Prop!$J:$J,"",0,1))</f>
        <v/>
      </c>
      <c r="J728" s="4" t="str">
        <f t="array" ref="J728">IF($E728="","", XLOOKUP(SUMIFS(Prod_Prop!$A:$A,Prod_Prop!$B:$B,$E728,Prod_Prop!$H:$H,J$1,Prod_Prop!$I:$I,"Exacto"),Prod_Prop!$A:$A,Prod_Prop!$J:$J,"",0,1))</f>
        <v/>
      </c>
      <c r="K728" s="4" t="str">
        <f t="array" ref="K728">IF($E728="","", XLOOKUP(SUMIFS(Prod_Prop!$A:$A,Prod_Prop!$B:$B,$E728,Prod_Prop!$H:$H,K$1,Prod_Prop!$I:$I,"Exacto"),Prod_Prop!$A:$A,Prod_Prop!$J:$J,"",0,1))</f>
        <v/>
      </c>
      <c r="L728" s="4" t="str">
        <f t="array" ref="L728">IF($E728="","", XLOOKUP(SUMIFS(Prod_Prop!$A:$A,Prod_Prop!$B:$B,$E728,Prod_Prop!$H:$H,L$1,Prod_Prop!$I:$I,"Exacto"),Prod_Prop!$A:$A,Prod_Prop!$J:$J,"",0,1))</f>
        <v/>
      </c>
      <c r="M728" s="4" t="str">
        <f t="array" ref="M728">IF($E728="","", XLOOKUP(SUMIFS(Prod_Prop!$A:$A,Prod_Prop!$B:$B,$E728,Prod_Prop!$H:$H,M$1,Prod_Prop!$I:$I,"Exacto"),Prod_Prop!$A:$A,Prod_Prop!$J:$J,"",0,1))</f>
        <v/>
      </c>
      <c r="N728" s="4" t="str">
        <f t="array" ref="N728">IF($E728="","", XLOOKUP(SUMIFS(Prod_Prop!$A:$A,Prod_Prop!$B:$B,$E728,Prod_Prop!$H:$H,N$1,Prod_Prop!$I:$I,"Exacto"),Prod_Prop!$A:$A,Prod_Prop!$J:$J,"",0,1))</f>
        <v/>
      </c>
      <c r="O728" s="4" t="str">
        <f t="array" ref="O728">IF($E728="","", XLOOKUP(SUMIFS(Prod_Prop!$A:$A,Prod_Prop!$B:$B,$E728,Prod_Prop!$H:$H,O$1,Prod_Prop!$I:$I,"Exacto"),Prod_Prop!$A:$A,Prod_Prop!$J:$J,"",0,1))</f>
        <v/>
      </c>
      <c r="P728" s="4" t="str">
        <f t="array" ref="P728">IF($E728="","", XLOOKUP(SUMIFS(Prod_Prop!$A:$A,Prod_Prop!$B:$B,$E728,Prod_Prop!$H:$H,P$1,Prod_Prop!$I:$I,"Exacto"),Prod_Prop!$A:$A,Prod_Prop!$J:$J,"",0,1))</f>
        <v/>
      </c>
      <c r="Q728" s="4" t="str">
        <f t="array" ref="Q728">IF($E728="","", XLOOKUP(SUMIFS(Prod_Prop!$A:$A,Prod_Prop!$B:$B,$E728,Prod_Prop!$H:$H,Q$1,Prod_Prop!$I:$I,"Exacto"),Prod_Prop!$A:$A,Prod_Prop!$J:$J,"",0,1))</f>
        <v/>
      </c>
      <c r="R728" s="4" t="str">
        <f t="array" ref="R728">IF($E728="","", XLOOKUP(SUMIFS(Prod_Prop!$A:$A,Prod_Prop!$B:$B,$E728,Prod_Prop!$H:$H,R$1,Prod_Prop!$I:$I,"Exacto"),Prod_Prop!$A:$A,Prod_Prop!$J:$J,"",0,1))</f>
        <v/>
      </c>
      <c r="S728" s="4" t="str">
        <f t="array" ref="S728">IF($E728="","", XLOOKUP(SUMIFS(Prod_Prop!$A:$A,Prod_Prop!$B:$B,$E728,Prod_Prop!$H:$H,S$1,Prod_Prop!$I:$I,"Exacto"),Prod_Prop!$A:$A,Prod_Prop!$J:$J,"",0,1))</f>
        <v/>
      </c>
      <c r="T728" s="4" t="str">
        <f t="array" ref="T728">IF($E728="","", XLOOKUP(SUMIFS(Prod_Prop!$A:$A,Prod_Prop!$B:$B,$E728,Prod_Prop!$H:$H,T$1,Prod_Prop!$I:$I,"Exacto"),Prod_Prop!$A:$A,Prod_Prop!$J:$J,"",0,1))</f>
        <v/>
      </c>
      <c r="U728" s="4" t="str">
        <f t="array" ref="U728">IF($E728="","", XLOOKUP(SUMIFS(Prod_Prop!$A:$A,Prod_Prop!$B:$B,$E728,Prod_Prop!$H:$H,U$1,Prod_Prop!$I:$I,"Exacto"),Prod_Prop!$A:$A,Prod_Prop!$J:$J,"",0,1))</f>
        <v/>
      </c>
      <c r="V728" s="4" t="str">
        <f t="array" ref="V728">IF($E728="","", XLOOKUP(SUMIFS(Prod_Prop!$A:$A,Prod_Prop!$B:$B,$E728,Prod_Prop!$H:$H,V$1,Prod_Prop!$I:$I,"Exacto"),Prod_Prop!$A:$A,Prod_Prop!$J:$J,"",0,1))</f>
        <v/>
      </c>
      <c r="X728" s="3" t="str">
        <f>IFERROR(__xludf.DUMMYFUNCTION("IF(D728="""","""",IFERROR(TRANSPOSE(FILTER('Validaciones Cotizador'!U:U,'Validaciones Cotizador'!O:O=D728,'Validaciones Cotizador'!T:T=""x"")),""Finalizar""))"),"")</f>
        <v/>
      </c>
    </row>
    <row r="729">
      <c r="A729" s="2" t="str">
        <f t="array" ref="A729">IF(E729="","",XLOOKUP(D729,'Validaciones Cotizador'!C:C,'Validaciones Cotizador'!A:A,"",0,1))</f>
        <v/>
      </c>
      <c r="B729" s="2" t="str">
        <f t="array" ref="B729">IF(F729="","",XLOOKUP(F729,Productos!E:E,Productos!G:G,"",0,1))</f>
        <v/>
      </c>
      <c r="C729" s="2" t="str">
        <f>IF(A729="","",SUMIFS('Validaciones Cotizador'!B:B,'Validaciones Cotizador'!C:C,D729,'Validaciones Cotizador'!A:A,A729))</f>
        <v/>
      </c>
      <c r="D729" s="4" t="str">
        <f>IFERROR(__xludf.DUMMYFUNCTION("IF(OR(F728=""Finalizar"",F728="""",F728=""Selecciona..""),"""",IF(OR(F728=""-"",INDEX(filter(Familias!F:F,Familias!D:D=A728,Familias!E:E=C728),1)=""O""),D728+1,D728))"),"")</f>
        <v/>
      </c>
      <c r="E729" s="2" t="str">
        <f>IF(OR(F729="",F729="Selecciona.."),"",IF(D729="Implemento",SUMIF(Implementos!B:B,F729,Implementos!A:A),SUMIF(Productos!E:E,F729,Productos!A:A)))</f>
        <v/>
      </c>
      <c r="F729" s="2" t="str">
        <f t="shared" si="2"/>
        <v/>
      </c>
      <c r="G729" s="10" t="str">
        <f t="array" ref="G729">IF(OR(F729="",F729="-",F729="Selecciona..",F729="Finalizar"),"",IF(A729="Rodados",XLOOKUP(B729,'Validaciones Cotizador'!I:I,'Validaciones Cotizador'!J:J,0,0,1),1))</f>
        <v/>
      </c>
      <c r="H729" s="11" t="str">
        <f>IF(OR(F729="",F729="Selecciona.."),"",SUMIF(Precio_Productos!K:K,E729,Precio_Productos!J:J)*G729)</f>
        <v/>
      </c>
      <c r="I729" s="4" t="str">
        <f t="array" ref="I729">IF($E729="","", XLOOKUP(SUMIFS(Prod_Prop!$A:$A,Prod_Prop!$B:$B,$E729,Prod_Prop!$H:$H,I$1,Prod_Prop!$I:$I,"Exacto"),Prod_Prop!$A:$A,Prod_Prop!$J:$J,"",0,1))</f>
        <v/>
      </c>
      <c r="J729" s="4" t="str">
        <f t="array" ref="J729">IF($E729="","", XLOOKUP(SUMIFS(Prod_Prop!$A:$A,Prod_Prop!$B:$B,$E729,Prod_Prop!$H:$H,J$1,Prod_Prop!$I:$I,"Exacto"),Prod_Prop!$A:$A,Prod_Prop!$J:$J,"",0,1))</f>
        <v/>
      </c>
      <c r="K729" s="4" t="str">
        <f t="array" ref="K729">IF($E729="","", XLOOKUP(SUMIFS(Prod_Prop!$A:$A,Prod_Prop!$B:$B,$E729,Prod_Prop!$H:$H,K$1,Prod_Prop!$I:$I,"Exacto"),Prod_Prop!$A:$A,Prod_Prop!$J:$J,"",0,1))</f>
        <v/>
      </c>
      <c r="L729" s="4" t="str">
        <f t="array" ref="L729">IF($E729="","", XLOOKUP(SUMIFS(Prod_Prop!$A:$A,Prod_Prop!$B:$B,$E729,Prod_Prop!$H:$H,L$1,Prod_Prop!$I:$I,"Exacto"),Prod_Prop!$A:$A,Prod_Prop!$J:$J,"",0,1))</f>
        <v/>
      </c>
      <c r="M729" s="4" t="str">
        <f t="array" ref="M729">IF($E729="","", XLOOKUP(SUMIFS(Prod_Prop!$A:$A,Prod_Prop!$B:$B,$E729,Prod_Prop!$H:$H,M$1,Prod_Prop!$I:$I,"Exacto"),Prod_Prop!$A:$A,Prod_Prop!$J:$J,"",0,1))</f>
        <v/>
      </c>
      <c r="N729" s="4" t="str">
        <f t="array" ref="N729">IF($E729="","", XLOOKUP(SUMIFS(Prod_Prop!$A:$A,Prod_Prop!$B:$B,$E729,Prod_Prop!$H:$H,N$1,Prod_Prop!$I:$I,"Exacto"),Prod_Prop!$A:$A,Prod_Prop!$J:$J,"",0,1))</f>
        <v/>
      </c>
      <c r="O729" s="4" t="str">
        <f t="array" ref="O729">IF($E729="","", XLOOKUP(SUMIFS(Prod_Prop!$A:$A,Prod_Prop!$B:$B,$E729,Prod_Prop!$H:$H,O$1,Prod_Prop!$I:$I,"Exacto"),Prod_Prop!$A:$A,Prod_Prop!$J:$J,"",0,1))</f>
        <v/>
      </c>
      <c r="P729" s="4" t="str">
        <f t="array" ref="P729">IF($E729="","", XLOOKUP(SUMIFS(Prod_Prop!$A:$A,Prod_Prop!$B:$B,$E729,Prod_Prop!$H:$H,P$1,Prod_Prop!$I:$I,"Exacto"),Prod_Prop!$A:$A,Prod_Prop!$J:$J,"",0,1))</f>
        <v/>
      </c>
      <c r="Q729" s="4" t="str">
        <f t="array" ref="Q729">IF($E729="","", XLOOKUP(SUMIFS(Prod_Prop!$A:$A,Prod_Prop!$B:$B,$E729,Prod_Prop!$H:$H,Q$1,Prod_Prop!$I:$I,"Exacto"),Prod_Prop!$A:$A,Prod_Prop!$J:$J,"",0,1))</f>
        <v/>
      </c>
      <c r="R729" s="4" t="str">
        <f t="array" ref="R729">IF($E729="","", XLOOKUP(SUMIFS(Prod_Prop!$A:$A,Prod_Prop!$B:$B,$E729,Prod_Prop!$H:$H,R$1,Prod_Prop!$I:$I,"Exacto"),Prod_Prop!$A:$A,Prod_Prop!$J:$J,"",0,1))</f>
        <v/>
      </c>
      <c r="S729" s="4" t="str">
        <f t="array" ref="S729">IF($E729="","", XLOOKUP(SUMIFS(Prod_Prop!$A:$A,Prod_Prop!$B:$B,$E729,Prod_Prop!$H:$H,S$1,Prod_Prop!$I:$I,"Exacto"),Prod_Prop!$A:$A,Prod_Prop!$J:$J,"",0,1))</f>
        <v/>
      </c>
      <c r="T729" s="4" t="str">
        <f t="array" ref="T729">IF($E729="","", XLOOKUP(SUMIFS(Prod_Prop!$A:$A,Prod_Prop!$B:$B,$E729,Prod_Prop!$H:$H,T$1,Prod_Prop!$I:$I,"Exacto"),Prod_Prop!$A:$A,Prod_Prop!$J:$J,"",0,1))</f>
        <v/>
      </c>
      <c r="U729" s="4" t="str">
        <f t="array" ref="U729">IF($E729="","", XLOOKUP(SUMIFS(Prod_Prop!$A:$A,Prod_Prop!$B:$B,$E729,Prod_Prop!$H:$H,U$1,Prod_Prop!$I:$I,"Exacto"),Prod_Prop!$A:$A,Prod_Prop!$J:$J,"",0,1))</f>
        <v/>
      </c>
      <c r="V729" s="4" t="str">
        <f t="array" ref="V729">IF($E729="","", XLOOKUP(SUMIFS(Prod_Prop!$A:$A,Prod_Prop!$B:$B,$E729,Prod_Prop!$H:$H,V$1,Prod_Prop!$I:$I,"Exacto"),Prod_Prop!$A:$A,Prod_Prop!$J:$J,"",0,1))</f>
        <v/>
      </c>
      <c r="X729" s="3" t="str">
        <f>IFERROR(__xludf.DUMMYFUNCTION("IF(D729="""","""",IFERROR(TRANSPOSE(FILTER('Validaciones Cotizador'!U:U,'Validaciones Cotizador'!O:O=D729,'Validaciones Cotizador'!T:T=""x"")),""Finalizar""))"),"")</f>
        <v/>
      </c>
    </row>
    <row r="730">
      <c r="A730" s="2" t="str">
        <f t="array" ref="A730">IF(E730="","",XLOOKUP(D730,'Validaciones Cotizador'!C:C,'Validaciones Cotizador'!A:A,"",0,1))</f>
        <v/>
      </c>
      <c r="B730" s="2" t="str">
        <f t="array" ref="B730">IF(F730="","",XLOOKUP(F730,Productos!E:E,Productos!G:G,"",0,1))</f>
        <v/>
      </c>
      <c r="C730" s="2" t="str">
        <f>IF(A730="","",SUMIFS('Validaciones Cotizador'!B:B,'Validaciones Cotizador'!C:C,D730,'Validaciones Cotizador'!A:A,A730))</f>
        <v/>
      </c>
      <c r="D730" s="4" t="str">
        <f>IFERROR(__xludf.DUMMYFUNCTION("IF(OR(F729=""Finalizar"",F729="""",F729=""Selecciona..""),"""",IF(OR(F729=""-"",INDEX(filter(Familias!F:F,Familias!D:D=A729,Familias!E:E=C729),1)=""O""),D729+1,D729))"),"")</f>
        <v/>
      </c>
      <c r="E730" s="2" t="str">
        <f>IF(OR(F730="",F730="Selecciona.."),"",IF(D730="Implemento",SUMIF(Implementos!B:B,F730,Implementos!A:A),SUMIF(Productos!E:E,F730,Productos!A:A)))</f>
        <v/>
      </c>
      <c r="F730" s="2" t="str">
        <f t="shared" si="2"/>
        <v/>
      </c>
      <c r="G730" s="10" t="str">
        <f t="array" ref="G730">IF(OR(F730="",F730="-",F730="Selecciona..",F730="Finalizar"),"",IF(A730="Rodados",XLOOKUP(B730,'Validaciones Cotizador'!I:I,'Validaciones Cotizador'!J:J,0,0,1),1))</f>
        <v/>
      </c>
      <c r="H730" s="11" t="str">
        <f>IF(OR(F730="",F730="Selecciona.."),"",SUMIF(Precio_Productos!K:K,E730,Precio_Productos!J:J)*G730)</f>
        <v/>
      </c>
      <c r="I730" s="4" t="str">
        <f t="array" ref="I730">IF($E730="","", XLOOKUP(SUMIFS(Prod_Prop!$A:$A,Prod_Prop!$B:$B,$E730,Prod_Prop!$H:$H,I$1,Prod_Prop!$I:$I,"Exacto"),Prod_Prop!$A:$A,Prod_Prop!$J:$J,"",0,1))</f>
        <v/>
      </c>
      <c r="J730" s="4" t="str">
        <f t="array" ref="J730">IF($E730="","", XLOOKUP(SUMIFS(Prod_Prop!$A:$A,Prod_Prop!$B:$B,$E730,Prod_Prop!$H:$H,J$1,Prod_Prop!$I:$I,"Exacto"),Prod_Prop!$A:$A,Prod_Prop!$J:$J,"",0,1))</f>
        <v/>
      </c>
      <c r="K730" s="4" t="str">
        <f t="array" ref="K730">IF($E730="","", XLOOKUP(SUMIFS(Prod_Prop!$A:$A,Prod_Prop!$B:$B,$E730,Prod_Prop!$H:$H,K$1,Prod_Prop!$I:$I,"Exacto"),Prod_Prop!$A:$A,Prod_Prop!$J:$J,"",0,1))</f>
        <v/>
      </c>
      <c r="L730" s="4" t="str">
        <f t="array" ref="L730">IF($E730="","", XLOOKUP(SUMIFS(Prod_Prop!$A:$A,Prod_Prop!$B:$B,$E730,Prod_Prop!$H:$H,L$1,Prod_Prop!$I:$I,"Exacto"),Prod_Prop!$A:$A,Prod_Prop!$J:$J,"",0,1))</f>
        <v/>
      </c>
      <c r="M730" s="4" t="str">
        <f t="array" ref="M730">IF($E730="","", XLOOKUP(SUMIFS(Prod_Prop!$A:$A,Prod_Prop!$B:$B,$E730,Prod_Prop!$H:$H,M$1,Prod_Prop!$I:$I,"Exacto"),Prod_Prop!$A:$A,Prod_Prop!$J:$J,"",0,1))</f>
        <v/>
      </c>
      <c r="N730" s="4" t="str">
        <f t="array" ref="N730">IF($E730="","", XLOOKUP(SUMIFS(Prod_Prop!$A:$A,Prod_Prop!$B:$B,$E730,Prod_Prop!$H:$H,N$1,Prod_Prop!$I:$I,"Exacto"),Prod_Prop!$A:$A,Prod_Prop!$J:$J,"",0,1))</f>
        <v/>
      </c>
      <c r="O730" s="4" t="str">
        <f t="array" ref="O730">IF($E730="","", XLOOKUP(SUMIFS(Prod_Prop!$A:$A,Prod_Prop!$B:$B,$E730,Prod_Prop!$H:$H,O$1,Prod_Prop!$I:$I,"Exacto"),Prod_Prop!$A:$A,Prod_Prop!$J:$J,"",0,1))</f>
        <v/>
      </c>
      <c r="P730" s="4" t="str">
        <f t="array" ref="P730">IF($E730="","", XLOOKUP(SUMIFS(Prod_Prop!$A:$A,Prod_Prop!$B:$B,$E730,Prod_Prop!$H:$H,P$1,Prod_Prop!$I:$I,"Exacto"),Prod_Prop!$A:$A,Prod_Prop!$J:$J,"",0,1))</f>
        <v/>
      </c>
      <c r="Q730" s="4" t="str">
        <f t="array" ref="Q730">IF($E730="","", XLOOKUP(SUMIFS(Prod_Prop!$A:$A,Prod_Prop!$B:$B,$E730,Prod_Prop!$H:$H,Q$1,Prod_Prop!$I:$I,"Exacto"),Prod_Prop!$A:$A,Prod_Prop!$J:$J,"",0,1))</f>
        <v/>
      </c>
      <c r="R730" s="4" t="str">
        <f t="array" ref="R730">IF($E730="","", XLOOKUP(SUMIFS(Prod_Prop!$A:$A,Prod_Prop!$B:$B,$E730,Prod_Prop!$H:$H,R$1,Prod_Prop!$I:$I,"Exacto"),Prod_Prop!$A:$A,Prod_Prop!$J:$J,"",0,1))</f>
        <v/>
      </c>
      <c r="S730" s="4" t="str">
        <f t="array" ref="S730">IF($E730="","", XLOOKUP(SUMIFS(Prod_Prop!$A:$A,Prod_Prop!$B:$B,$E730,Prod_Prop!$H:$H,S$1,Prod_Prop!$I:$I,"Exacto"),Prod_Prop!$A:$A,Prod_Prop!$J:$J,"",0,1))</f>
        <v/>
      </c>
      <c r="T730" s="4" t="str">
        <f t="array" ref="T730">IF($E730="","", XLOOKUP(SUMIFS(Prod_Prop!$A:$A,Prod_Prop!$B:$B,$E730,Prod_Prop!$H:$H,T$1,Prod_Prop!$I:$I,"Exacto"),Prod_Prop!$A:$A,Prod_Prop!$J:$J,"",0,1))</f>
        <v/>
      </c>
      <c r="U730" s="4" t="str">
        <f t="array" ref="U730">IF($E730="","", XLOOKUP(SUMIFS(Prod_Prop!$A:$A,Prod_Prop!$B:$B,$E730,Prod_Prop!$H:$H,U$1,Prod_Prop!$I:$I,"Exacto"),Prod_Prop!$A:$A,Prod_Prop!$J:$J,"",0,1))</f>
        <v/>
      </c>
      <c r="V730" s="4" t="str">
        <f t="array" ref="V730">IF($E730="","", XLOOKUP(SUMIFS(Prod_Prop!$A:$A,Prod_Prop!$B:$B,$E730,Prod_Prop!$H:$H,V$1,Prod_Prop!$I:$I,"Exacto"),Prod_Prop!$A:$A,Prod_Prop!$J:$J,"",0,1))</f>
        <v/>
      </c>
      <c r="X730" s="3" t="str">
        <f>IFERROR(__xludf.DUMMYFUNCTION("IF(D730="""","""",IFERROR(TRANSPOSE(FILTER('Validaciones Cotizador'!U:U,'Validaciones Cotizador'!O:O=D730,'Validaciones Cotizador'!T:T=""x"")),""Finalizar""))"),"")</f>
        <v/>
      </c>
    </row>
    <row r="731">
      <c r="A731" s="2" t="str">
        <f t="array" ref="A731">IF(E731="","",XLOOKUP(D731,'Validaciones Cotizador'!C:C,'Validaciones Cotizador'!A:A,"",0,1))</f>
        <v/>
      </c>
      <c r="B731" s="2" t="str">
        <f t="array" ref="B731">IF(F731="","",XLOOKUP(F731,Productos!E:E,Productos!G:G,"",0,1))</f>
        <v/>
      </c>
      <c r="C731" s="2" t="str">
        <f>IF(A731="","",SUMIFS('Validaciones Cotizador'!B:B,'Validaciones Cotizador'!C:C,D731,'Validaciones Cotizador'!A:A,A731))</f>
        <v/>
      </c>
      <c r="D731" s="4" t="str">
        <f>IFERROR(__xludf.DUMMYFUNCTION("IF(OR(F730=""Finalizar"",F730="""",F730=""Selecciona..""),"""",IF(OR(F730=""-"",INDEX(filter(Familias!F:F,Familias!D:D=A730,Familias!E:E=C730),1)=""O""),D730+1,D730))"),"")</f>
        <v/>
      </c>
      <c r="E731" s="2" t="str">
        <f>IF(OR(F731="",F731="Selecciona.."),"",IF(D731="Implemento",SUMIF(Implementos!B:B,F731,Implementos!A:A),SUMIF(Productos!E:E,F731,Productos!A:A)))</f>
        <v/>
      </c>
      <c r="F731" s="2" t="str">
        <f t="shared" si="2"/>
        <v/>
      </c>
      <c r="G731" s="10" t="str">
        <f t="array" ref="G731">IF(OR(F731="",F731="-",F731="Selecciona..",F731="Finalizar"),"",IF(A731="Rodados",XLOOKUP(B731,'Validaciones Cotizador'!I:I,'Validaciones Cotizador'!J:J,0,0,1),1))</f>
        <v/>
      </c>
      <c r="H731" s="11" t="str">
        <f>IF(OR(F731="",F731="Selecciona.."),"",SUMIF(Precio_Productos!K:K,E731,Precio_Productos!J:J)*G731)</f>
        <v/>
      </c>
      <c r="I731" s="4" t="str">
        <f t="array" ref="I731">IF($E731="","", XLOOKUP(SUMIFS(Prod_Prop!$A:$A,Prod_Prop!$B:$B,$E731,Prod_Prop!$H:$H,I$1,Prod_Prop!$I:$I,"Exacto"),Prod_Prop!$A:$A,Prod_Prop!$J:$J,"",0,1))</f>
        <v/>
      </c>
      <c r="J731" s="4" t="str">
        <f t="array" ref="J731">IF($E731="","", XLOOKUP(SUMIFS(Prod_Prop!$A:$A,Prod_Prop!$B:$B,$E731,Prod_Prop!$H:$H,J$1,Prod_Prop!$I:$I,"Exacto"),Prod_Prop!$A:$A,Prod_Prop!$J:$J,"",0,1))</f>
        <v/>
      </c>
      <c r="K731" s="4" t="str">
        <f t="array" ref="K731">IF($E731="","", XLOOKUP(SUMIFS(Prod_Prop!$A:$A,Prod_Prop!$B:$B,$E731,Prod_Prop!$H:$H,K$1,Prod_Prop!$I:$I,"Exacto"),Prod_Prop!$A:$A,Prod_Prop!$J:$J,"",0,1))</f>
        <v/>
      </c>
      <c r="L731" s="4" t="str">
        <f t="array" ref="L731">IF($E731="","", XLOOKUP(SUMIFS(Prod_Prop!$A:$A,Prod_Prop!$B:$B,$E731,Prod_Prop!$H:$H,L$1,Prod_Prop!$I:$I,"Exacto"),Prod_Prop!$A:$A,Prod_Prop!$J:$J,"",0,1))</f>
        <v/>
      </c>
      <c r="M731" s="4" t="str">
        <f t="array" ref="M731">IF($E731="","", XLOOKUP(SUMIFS(Prod_Prop!$A:$A,Prod_Prop!$B:$B,$E731,Prod_Prop!$H:$H,M$1,Prod_Prop!$I:$I,"Exacto"),Prod_Prop!$A:$A,Prod_Prop!$J:$J,"",0,1))</f>
        <v/>
      </c>
      <c r="N731" s="4" t="str">
        <f t="array" ref="N731">IF($E731="","", XLOOKUP(SUMIFS(Prod_Prop!$A:$A,Prod_Prop!$B:$B,$E731,Prod_Prop!$H:$H,N$1,Prod_Prop!$I:$I,"Exacto"),Prod_Prop!$A:$A,Prod_Prop!$J:$J,"",0,1))</f>
        <v/>
      </c>
      <c r="O731" s="4" t="str">
        <f t="array" ref="O731">IF($E731="","", XLOOKUP(SUMIFS(Prod_Prop!$A:$A,Prod_Prop!$B:$B,$E731,Prod_Prop!$H:$H,O$1,Prod_Prop!$I:$I,"Exacto"),Prod_Prop!$A:$A,Prod_Prop!$J:$J,"",0,1))</f>
        <v/>
      </c>
      <c r="P731" s="4" t="str">
        <f t="array" ref="P731">IF($E731="","", XLOOKUP(SUMIFS(Prod_Prop!$A:$A,Prod_Prop!$B:$B,$E731,Prod_Prop!$H:$H,P$1,Prod_Prop!$I:$I,"Exacto"),Prod_Prop!$A:$A,Prod_Prop!$J:$J,"",0,1))</f>
        <v/>
      </c>
      <c r="Q731" s="4" t="str">
        <f t="array" ref="Q731">IF($E731="","", XLOOKUP(SUMIFS(Prod_Prop!$A:$A,Prod_Prop!$B:$B,$E731,Prod_Prop!$H:$H,Q$1,Prod_Prop!$I:$I,"Exacto"),Prod_Prop!$A:$A,Prod_Prop!$J:$J,"",0,1))</f>
        <v/>
      </c>
      <c r="R731" s="4" t="str">
        <f t="array" ref="R731">IF($E731="","", XLOOKUP(SUMIFS(Prod_Prop!$A:$A,Prod_Prop!$B:$B,$E731,Prod_Prop!$H:$H,R$1,Prod_Prop!$I:$I,"Exacto"),Prod_Prop!$A:$A,Prod_Prop!$J:$J,"",0,1))</f>
        <v/>
      </c>
      <c r="S731" s="4" t="str">
        <f t="array" ref="S731">IF($E731="","", XLOOKUP(SUMIFS(Prod_Prop!$A:$A,Prod_Prop!$B:$B,$E731,Prod_Prop!$H:$H,S$1,Prod_Prop!$I:$I,"Exacto"),Prod_Prop!$A:$A,Prod_Prop!$J:$J,"",0,1))</f>
        <v/>
      </c>
      <c r="T731" s="4" t="str">
        <f t="array" ref="T731">IF($E731="","", XLOOKUP(SUMIFS(Prod_Prop!$A:$A,Prod_Prop!$B:$B,$E731,Prod_Prop!$H:$H,T$1,Prod_Prop!$I:$I,"Exacto"),Prod_Prop!$A:$A,Prod_Prop!$J:$J,"",0,1))</f>
        <v/>
      </c>
      <c r="U731" s="4" t="str">
        <f t="array" ref="U731">IF($E731="","", XLOOKUP(SUMIFS(Prod_Prop!$A:$A,Prod_Prop!$B:$B,$E731,Prod_Prop!$H:$H,U$1,Prod_Prop!$I:$I,"Exacto"),Prod_Prop!$A:$A,Prod_Prop!$J:$J,"",0,1))</f>
        <v/>
      </c>
      <c r="V731" s="4" t="str">
        <f t="array" ref="V731">IF($E731="","", XLOOKUP(SUMIFS(Prod_Prop!$A:$A,Prod_Prop!$B:$B,$E731,Prod_Prop!$H:$H,V$1,Prod_Prop!$I:$I,"Exacto"),Prod_Prop!$A:$A,Prod_Prop!$J:$J,"",0,1))</f>
        <v/>
      </c>
      <c r="X731" s="3" t="str">
        <f>IFERROR(__xludf.DUMMYFUNCTION("IF(D731="""","""",IFERROR(TRANSPOSE(FILTER('Validaciones Cotizador'!U:U,'Validaciones Cotizador'!O:O=D731,'Validaciones Cotizador'!T:T=""x"")),""Finalizar""))"),"")</f>
        <v/>
      </c>
    </row>
    <row r="732">
      <c r="A732" s="2" t="str">
        <f t="array" ref="A732">IF(E732="","",XLOOKUP(D732,'Validaciones Cotizador'!C:C,'Validaciones Cotizador'!A:A,"",0,1))</f>
        <v/>
      </c>
      <c r="B732" s="2" t="str">
        <f t="array" ref="B732">IF(F732="","",XLOOKUP(F732,Productos!E:E,Productos!G:G,"",0,1))</f>
        <v/>
      </c>
      <c r="C732" s="2" t="str">
        <f>IF(A732="","",SUMIFS('Validaciones Cotizador'!B:B,'Validaciones Cotizador'!C:C,D732,'Validaciones Cotizador'!A:A,A732))</f>
        <v/>
      </c>
      <c r="D732" s="4" t="str">
        <f>IFERROR(__xludf.DUMMYFUNCTION("IF(OR(F731=""Finalizar"",F731="""",F731=""Selecciona..""),"""",IF(OR(F731=""-"",INDEX(filter(Familias!F:F,Familias!D:D=A731,Familias!E:E=C731),1)=""O""),D731+1,D731))"),"")</f>
        <v/>
      </c>
      <c r="E732" s="2" t="str">
        <f>IF(OR(F732="",F732="Selecciona.."),"",IF(D732="Implemento",SUMIF(Implementos!B:B,F732,Implementos!A:A),SUMIF(Productos!E:E,F732,Productos!A:A)))</f>
        <v/>
      </c>
      <c r="F732" s="2" t="str">
        <f t="shared" si="2"/>
        <v/>
      </c>
      <c r="G732" s="10" t="str">
        <f t="array" ref="G732">IF(OR(F732="",F732="-",F732="Selecciona..",F732="Finalizar"),"",IF(A732="Rodados",XLOOKUP(B732,'Validaciones Cotizador'!I:I,'Validaciones Cotizador'!J:J,0,0,1),1))</f>
        <v/>
      </c>
      <c r="H732" s="11" t="str">
        <f>IF(OR(F732="",F732="Selecciona.."),"",SUMIF(Precio_Productos!K:K,E732,Precio_Productos!J:J)*G732)</f>
        <v/>
      </c>
      <c r="I732" s="4" t="str">
        <f t="array" ref="I732">IF($E732="","", XLOOKUP(SUMIFS(Prod_Prop!$A:$A,Prod_Prop!$B:$B,$E732,Prod_Prop!$H:$H,I$1,Prod_Prop!$I:$I,"Exacto"),Prod_Prop!$A:$A,Prod_Prop!$J:$J,"",0,1))</f>
        <v/>
      </c>
      <c r="J732" s="4" t="str">
        <f t="array" ref="J732">IF($E732="","", XLOOKUP(SUMIFS(Prod_Prop!$A:$A,Prod_Prop!$B:$B,$E732,Prod_Prop!$H:$H,J$1,Prod_Prop!$I:$I,"Exacto"),Prod_Prop!$A:$A,Prod_Prop!$J:$J,"",0,1))</f>
        <v/>
      </c>
      <c r="K732" s="4" t="str">
        <f t="array" ref="K732">IF($E732="","", XLOOKUP(SUMIFS(Prod_Prop!$A:$A,Prod_Prop!$B:$B,$E732,Prod_Prop!$H:$H,K$1,Prod_Prop!$I:$I,"Exacto"),Prod_Prop!$A:$A,Prod_Prop!$J:$J,"",0,1))</f>
        <v/>
      </c>
      <c r="L732" s="4" t="str">
        <f t="array" ref="L732">IF($E732="","", XLOOKUP(SUMIFS(Prod_Prop!$A:$A,Prod_Prop!$B:$B,$E732,Prod_Prop!$H:$H,L$1,Prod_Prop!$I:$I,"Exacto"),Prod_Prop!$A:$A,Prod_Prop!$J:$J,"",0,1))</f>
        <v/>
      </c>
      <c r="M732" s="4" t="str">
        <f t="array" ref="M732">IF($E732="","", XLOOKUP(SUMIFS(Prod_Prop!$A:$A,Prod_Prop!$B:$B,$E732,Prod_Prop!$H:$H,M$1,Prod_Prop!$I:$I,"Exacto"),Prod_Prop!$A:$A,Prod_Prop!$J:$J,"",0,1))</f>
        <v/>
      </c>
      <c r="N732" s="4" t="str">
        <f t="array" ref="N732">IF($E732="","", XLOOKUP(SUMIFS(Prod_Prop!$A:$A,Prod_Prop!$B:$B,$E732,Prod_Prop!$H:$H,N$1,Prod_Prop!$I:$I,"Exacto"),Prod_Prop!$A:$A,Prod_Prop!$J:$J,"",0,1))</f>
        <v/>
      </c>
      <c r="O732" s="4" t="str">
        <f t="array" ref="O732">IF($E732="","", XLOOKUP(SUMIFS(Prod_Prop!$A:$A,Prod_Prop!$B:$B,$E732,Prod_Prop!$H:$H,O$1,Prod_Prop!$I:$I,"Exacto"),Prod_Prop!$A:$A,Prod_Prop!$J:$J,"",0,1))</f>
        <v/>
      </c>
      <c r="P732" s="4" t="str">
        <f t="array" ref="P732">IF($E732="","", XLOOKUP(SUMIFS(Prod_Prop!$A:$A,Prod_Prop!$B:$B,$E732,Prod_Prop!$H:$H,P$1,Prod_Prop!$I:$I,"Exacto"),Prod_Prop!$A:$A,Prod_Prop!$J:$J,"",0,1))</f>
        <v/>
      </c>
      <c r="Q732" s="4" t="str">
        <f t="array" ref="Q732">IF($E732="","", XLOOKUP(SUMIFS(Prod_Prop!$A:$A,Prod_Prop!$B:$B,$E732,Prod_Prop!$H:$H,Q$1,Prod_Prop!$I:$I,"Exacto"),Prod_Prop!$A:$A,Prod_Prop!$J:$J,"",0,1))</f>
        <v/>
      </c>
      <c r="R732" s="4" t="str">
        <f t="array" ref="R732">IF($E732="","", XLOOKUP(SUMIFS(Prod_Prop!$A:$A,Prod_Prop!$B:$B,$E732,Prod_Prop!$H:$H,R$1,Prod_Prop!$I:$I,"Exacto"),Prod_Prop!$A:$A,Prod_Prop!$J:$J,"",0,1))</f>
        <v/>
      </c>
      <c r="S732" s="4" t="str">
        <f t="array" ref="S732">IF($E732="","", XLOOKUP(SUMIFS(Prod_Prop!$A:$A,Prod_Prop!$B:$B,$E732,Prod_Prop!$H:$H,S$1,Prod_Prop!$I:$I,"Exacto"),Prod_Prop!$A:$A,Prod_Prop!$J:$J,"",0,1))</f>
        <v/>
      </c>
      <c r="T732" s="4" t="str">
        <f t="array" ref="T732">IF($E732="","", XLOOKUP(SUMIFS(Prod_Prop!$A:$A,Prod_Prop!$B:$B,$E732,Prod_Prop!$H:$H,T$1,Prod_Prop!$I:$I,"Exacto"),Prod_Prop!$A:$A,Prod_Prop!$J:$J,"",0,1))</f>
        <v/>
      </c>
      <c r="U732" s="4" t="str">
        <f t="array" ref="U732">IF($E732="","", XLOOKUP(SUMIFS(Prod_Prop!$A:$A,Prod_Prop!$B:$B,$E732,Prod_Prop!$H:$H,U$1,Prod_Prop!$I:$I,"Exacto"),Prod_Prop!$A:$A,Prod_Prop!$J:$J,"",0,1))</f>
        <v/>
      </c>
      <c r="V732" s="4" t="str">
        <f t="array" ref="V732">IF($E732="","", XLOOKUP(SUMIFS(Prod_Prop!$A:$A,Prod_Prop!$B:$B,$E732,Prod_Prop!$H:$H,V$1,Prod_Prop!$I:$I,"Exacto"),Prod_Prop!$A:$A,Prod_Prop!$J:$J,"",0,1))</f>
        <v/>
      </c>
      <c r="X732" s="3" t="str">
        <f>IFERROR(__xludf.DUMMYFUNCTION("IF(D732="""","""",IFERROR(TRANSPOSE(FILTER('Validaciones Cotizador'!U:U,'Validaciones Cotizador'!O:O=D732,'Validaciones Cotizador'!T:T=""x"")),""Finalizar""))"),"")</f>
        <v/>
      </c>
    </row>
    <row r="733">
      <c r="A733" s="2" t="str">
        <f t="array" ref="A733">IF(E733="","",XLOOKUP(D733,'Validaciones Cotizador'!C:C,'Validaciones Cotizador'!A:A,"",0,1))</f>
        <v/>
      </c>
      <c r="B733" s="2" t="str">
        <f t="array" ref="B733">IF(F733="","",XLOOKUP(F733,Productos!E:E,Productos!G:G,"",0,1))</f>
        <v/>
      </c>
      <c r="C733" s="2" t="str">
        <f>IF(A733="","",SUMIFS('Validaciones Cotizador'!B:B,'Validaciones Cotizador'!C:C,D733,'Validaciones Cotizador'!A:A,A733))</f>
        <v/>
      </c>
      <c r="D733" s="4" t="str">
        <f>IFERROR(__xludf.DUMMYFUNCTION("IF(OR(F732=""Finalizar"",F732="""",F732=""Selecciona..""),"""",IF(OR(F732=""-"",INDEX(filter(Familias!F:F,Familias!D:D=A732,Familias!E:E=C732),1)=""O""),D732+1,D732))"),"")</f>
        <v/>
      </c>
      <c r="E733" s="2" t="str">
        <f>IF(OR(F733="",F733="Selecciona.."),"",IF(D733="Implemento",SUMIF(Implementos!B:B,F733,Implementos!A:A),SUMIF(Productos!E:E,F733,Productos!A:A)))</f>
        <v/>
      </c>
      <c r="F733" s="2" t="str">
        <f t="shared" si="2"/>
        <v/>
      </c>
      <c r="G733" s="10" t="str">
        <f t="array" ref="G733">IF(OR(F733="",F733="-",F733="Selecciona..",F733="Finalizar"),"",IF(A733="Rodados",XLOOKUP(B733,'Validaciones Cotizador'!I:I,'Validaciones Cotizador'!J:J,0,0,1),1))</f>
        <v/>
      </c>
      <c r="H733" s="11" t="str">
        <f>IF(OR(F733="",F733="Selecciona.."),"",SUMIF(Precio_Productos!K:K,E733,Precio_Productos!J:J)*G733)</f>
        <v/>
      </c>
      <c r="I733" s="4" t="str">
        <f t="array" ref="I733">IF($E733="","", XLOOKUP(SUMIFS(Prod_Prop!$A:$A,Prod_Prop!$B:$B,$E733,Prod_Prop!$H:$H,I$1,Prod_Prop!$I:$I,"Exacto"),Prod_Prop!$A:$A,Prod_Prop!$J:$J,"",0,1))</f>
        <v/>
      </c>
      <c r="J733" s="4" t="str">
        <f t="array" ref="J733">IF($E733="","", XLOOKUP(SUMIFS(Prod_Prop!$A:$A,Prod_Prop!$B:$B,$E733,Prod_Prop!$H:$H,J$1,Prod_Prop!$I:$I,"Exacto"),Prod_Prop!$A:$A,Prod_Prop!$J:$J,"",0,1))</f>
        <v/>
      </c>
      <c r="K733" s="4" t="str">
        <f t="array" ref="K733">IF($E733="","", XLOOKUP(SUMIFS(Prod_Prop!$A:$A,Prod_Prop!$B:$B,$E733,Prod_Prop!$H:$H,K$1,Prod_Prop!$I:$I,"Exacto"),Prod_Prop!$A:$A,Prod_Prop!$J:$J,"",0,1))</f>
        <v/>
      </c>
      <c r="L733" s="4" t="str">
        <f t="array" ref="L733">IF($E733="","", XLOOKUP(SUMIFS(Prod_Prop!$A:$A,Prod_Prop!$B:$B,$E733,Prod_Prop!$H:$H,L$1,Prod_Prop!$I:$I,"Exacto"),Prod_Prop!$A:$A,Prod_Prop!$J:$J,"",0,1))</f>
        <v/>
      </c>
      <c r="M733" s="4" t="str">
        <f t="array" ref="M733">IF($E733="","", XLOOKUP(SUMIFS(Prod_Prop!$A:$A,Prod_Prop!$B:$B,$E733,Prod_Prop!$H:$H,M$1,Prod_Prop!$I:$I,"Exacto"),Prod_Prop!$A:$A,Prod_Prop!$J:$J,"",0,1))</f>
        <v/>
      </c>
      <c r="N733" s="4" t="str">
        <f t="array" ref="N733">IF($E733="","", XLOOKUP(SUMIFS(Prod_Prop!$A:$A,Prod_Prop!$B:$B,$E733,Prod_Prop!$H:$H,N$1,Prod_Prop!$I:$I,"Exacto"),Prod_Prop!$A:$A,Prod_Prop!$J:$J,"",0,1))</f>
        <v/>
      </c>
      <c r="O733" s="4" t="str">
        <f t="array" ref="O733">IF($E733="","", XLOOKUP(SUMIFS(Prod_Prop!$A:$A,Prod_Prop!$B:$B,$E733,Prod_Prop!$H:$H,O$1,Prod_Prop!$I:$I,"Exacto"),Prod_Prop!$A:$A,Prod_Prop!$J:$J,"",0,1))</f>
        <v/>
      </c>
      <c r="P733" s="4" t="str">
        <f t="array" ref="P733">IF($E733="","", XLOOKUP(SUMIFS(Prod_Prop!$A:$A,Prod_Prop!$B:$B,$E733,Prod_Prop!$H:$H,P$1,Prod_Prop!$I:$I,"Exacto"),Prod_Prop!$A:$A,Prod_Prop!$J:$J,"",0,1))</f>
        <v/>
      </c>
      <c r="Q733" s="4" t="str">
        <f t="array" ref="Q733">IF($E733="","", XLOOKUP(SUMIFS(Prod_Prop!$A:$A,Prod_Prop!$B:$B,$E733,Prod_Prop!$H:$H,Q$1,Prod_Prop!$I:$I,"Exacto"),Prod_Prop!$A:$A,Prod_Prop!$J:$J,"",0,1))</f>
        <v/>
      </c>
      <c r="R733" s="4" t="str">
        <f t="array" ref="R733">IF($E733="","", XLOOKUP(SUMIFS(Prod_Prop!$A:$A,Prod_Prop!$B:$B,$E733,Prod_Prop!$H:$H,R$1,Prod_Prop!$I:$I,"Exacto"),Prod_Prop!$A:$A,Prod_Prop!$J:$J,"",0,1))</f>
        <v/>
      </c>
      <c r="S733" s="4" t="str">
        <f t="array" ref="S733">IF($E733="","", XLOOKUP(SUMIFS(Prod_Prop!$A:$A,Prod_Prop!$B:$B,$E733,Prod_Prop!$H:$H,S$1,Prod_Prop!$I:$I,"Exacto"),Prod_Prop!$A:$A,Prod_Prop!$J:$J,"",0,1))</f>
        <v/>
      </c>
      <c r="T733" s="4" t="str">
        <f t="array" ref="T733">IF($E733="","", XLOOKUP(SUMIFS(Prod_Prop!$A:$A,Prod_Prop!$B:$B,$E733,Prod_Prop!$H:$H,T$1,Prod_Prop!$I:$I,"Exacto"),Prod_Prop!$A:$A,Prod_Prop!$J:$J,"",0,1))</f>
        <v/>
      </c>
      <c r="U733" s="4" t="str">
        <f t="array" ref="U733">IF($E733="","", XLOOKUP(SUMIFS(Prod_Prop!$A:$A,Prod_Prop!$B:$B,$E733,Prod_Prop!$H:$H,U$1,Prod_Prop!$I:$I,"Exacto"),Prod_Prop!$A:$A,Prod_Prop!$J:$J,"",0,1))</f>
        <v/>
      </c>
      <c r="V733" s="4" t="str">
        <f t="array" ref="V733">IF($E733="","", XLOOKUP(SUMIFS(Prod_Prop!$A:$A,Prod_Prop!$B:$B,$E733,Prod_Prop!$H:$H,V$1,Prod_Prop!$I:$I,"Exacto"),Prod_Prop!$A:$A,Prod_Prop!$J:$J,"",0,1))</f>
        <v/>
      </c>
      <c r="X733" s="3" t="str">
        <f>IFERROR(__xludf.DUMMYFUNCTION("IF(D733="""","""",IFERROR(TRANSPOSE(FILTER('Validaciones Cotizador'!U:U,'Validaciones Cotizador'!O:O=D733,'Validaciones Cotizador'!T:T=""x"")),""Finalizar""))"),"")</f>
        <v/>
      </c>
    </row>
    <row r="734">
      <c r="A734" s="2" t="str">
        <f t="array" ref="A734">IF(E734="","",XLOOKUP(D734,'Validaciones Cotizador'!C:C,'Validaciones Cotizador'!A:A,"",0,1))</f>
        <v/>
      </c>
      <c r="B734" s="2" t="str">
        <f t="array" ref="B734">IF(F734="","",XLOOKUP(F734,Productos!E:E,Productos!G:G,"",0,1))</f>
        <v/>
      </c>
      <c r="C734" s="2" t="str">
        <f>IF(A734="","",SUMIFS('Validaciones Cotizador'!B:B,'Validaciones Cotizador'!C:C,D734,'Validaciones Cotizador'!A:A,A734))</f>
        <v/>
      </c>
      <c r="D734" s="4" t="str">
        <f>IFERROR(__xludf.DUMMYFUNCTION("IF(OR(F733=""Finalizar"",F733="""",F733=""Selecciona..""),"""",IF(OR(F733=""-"",INDEX(filter(Familias!F:F,Familias!D:D=A733,Familias!E:E=C733),1)=""O""),D733+1,D733))"),"")</f>
        <v/>
      </c>
      <c r="E734" s="2" t="str">
        <f>IF(OR(F734="",F734="Selecciona.."),"",IF(D734="Implemento",SUMIF(Implementos!B:B,F734,Implementos!A:A),SUMIF(Productos!E:E,F734,Productos!A:A)))</f>
        <v/>
      </c>
      <c r="F734" s="2" t="str">
        <f t="shared" si="2"/>
        <v/>
      </c>
      <c r="G734" s="10" t="str">
        <f t="array" ref="G734">IF(OR(F734="",F734="-",F734="Selecciona..",F734="Finalizar"),"",IF(A734="Rodados",XLOOKUP(B734,'Validaciones Cotizador'!I:I,'Validaciones Cotizador'!J:J,0,0,1),1))</f>
        <v/>
      </c>
      <c r="H734" s="11" t="str">
        <f>IF(OR(F734="",F734="Selecciona.."),"",SUMIF(Precio_Productos!K:K,E734,Precio_Productos!J:J)*G734)</f>
        <v/>
      </c>
      <c r="I734" s="4" t="str">
        <f t="array" ref="I734">IF($E734="","", XLOOKUP(SUMIFS(Prod_Prop!$A:$A,Prod_Prop!$B:$B,$E734,Prod_Prop!$H:$H,I$1,Prod_Prop!$I:$I,"Exacto"),Prod_Prop!$A:$A,Prod_Prop!$J:$J,"",0,1))</f>
        <v/>
      </c>
      <c r="J734" s="4" t="str">
        <f t="array" ref="J734">IF($E734="","", XLOOKUP(SUMIFS(Prod_Prop!$A:$A,Prod_Prop!$B:$B,$E734,Prod_Prop!$H:$H,J$1,Prod_Prop!$I:$I,"Exacto"),Prod_Prop!$A:$A,Prod_Prop!$J:$J,"",0,1))</f>
        <v/>
      </c>
      <c r="K734" s="4" t="str">
        <f t="array" ref="K734">IF($E734="","", XLOOKUP(SUMIFS(Prod_Prop!$A:$A,Prod_Prop!$B:$B,$E734,Prod_Prop!$H:$H,K$1,Prod_Prop!$I:$I,"Exacto"),Prod_Prop!$A:$A,Prod_Prop!$J:$J,"",0,1))</f>
        <v/>
      </c>
      <c r="L734" s="4" t="str">
        <f t="array" ref="L734">IF($E734="","", XLOOKUP(SUMIFS(Prod_Prop!$A:$A,Prod_Prop!$B:$B,$E734,Prod_Prop!$H:$H,L$1,Prod_Prop!$I:$I,"Exacto"),Prod_Prop!$A:$A,Prod_Prop!$J:$J,"",0,1))</f>
        <v/>
      </c>
      <c r="M734" s="4" t="str">
        <f t="array" ref="M734">IF($E734="","", XLOOKUP(SUMIFS(Prod_Prop!$A:$A,Prod_Prop!$B:$B,$E734,Prod_Prop!$H:$H,M$1,Prod_Prop!$I:$I,"Exacto"),Prod_Prop!$A:$A,Prod_Prop!$J:$J,"",0,1))</f>
        <v/>
      </c>
      <c r="N734" s="4" t="str">
        <f t="array" ref="N734">IF($E734="","", XLOOKUP(SUMIFS(Prod_Prop!$A:$A,Prod_Prop!$B:$B,$E734,Prod_Prop!$H:$H,N$1,Prod_Prop!$I:$I,"Exacto"),Prod_Prop!$A:$A,Prod_Prop!$J:$J,"",0,1))</f>
        <v/>
      </c>
      <c r="O734" s="4" t="str">
        <f t="array" ref="O734">IF($E734="","", XLOOKUP(SUMIFS(Prod_Prop!$A:$A,Prod_Prop!$B:$B,$E734,Prod_Prop!$H:$H,O$1,Prod_Prop!$I:$I,"Exacto"),Prod_Prop!$A:$A,Prod_Prop!$J:$J,"",0,1))</f>
        <v/>
      </c>
      <c r="P734" s="4" t="str">
        <f t="array" ref="P734">IF($E734="","", XLOOKUP(SUMIFS(Prod_Prop!$A:$A,Prod_Prop!$B:$B,$E734,Prod_Prop!$H:$H,P$1,Prod_Prop!$I:$I,"Exacto"),Prod_Prop!$A:$A,Prod_Prop!$J:$J,"",0,1))</f>
        <v/>
      </c>
      <c r="Q734" s="4" t="str">
        <f t="array" ref="Q734">IF($E734="","", XLOOKUP(SUMIFS(Prod_Prop!$A:$A,Prod_Prop!$B:$B,$E734,Prod_Prop!$H:$H,Q$1,Prod_Prop!$I:$I,"Exacto"),Prod_Prop!$A:$A,Prod_Prop!$J:$J,"",0,1))</f>
        <v/>
      </c>
      <c r="R734" s="4" t="str">
        <f t="array" ref="R734">IF($E734="","", XLOOKUP(SUMIFS(Prod_Prop!$A:$A,Prod_Prop!$B:$B,$E734,Prod_Prop!$H:$H,R$1,Prod_Prop!$I:$I,"Exacto"),Prod_Prop!$A:$A,Prod_Prop!$J:$J,"",0,1))</f>
        <v/>
      </c>
      <c r="S734" s="4" t="str">
        <f t="array" ref="S734">IF($E734="","", XLOOKUP(SUMIFS(Prod_Prop!$A:$A,Prod_Prop!$B:$B,$E734,Prod_Prop!$H:$H,S$1,Prod_Prop!$I:$I,"Exacto"),Prod_Prop!$A:$A,Prod_Prop!$J:$J,"",0,1))</f>
        <v/>
      </c>
      <c r="T734" s="4" t="str">
        <f t="array" ref="T734">IF($E734="","", XLOOKUP(SUMIFS(Prod_Prop!$A:$A,Prod_Prop!$B:$B,$E734,Prod_Prop!$H:$H,T$1,Prod_Prop!$I:$I,"Exacto"),Prod_Prop!$A:$A,Prod_Prop!$J:$J,"",0,1))</f>
        <v/>
      </c>
      <c r="U734" s="4" t="str">
        <f t="array" ref="U734">IF($E734="","", XLOOKUP(SUMIFS(Prod_Prop!$A:$A,Prod_Prop!$B:$B,$E734,Prod_Prop!$H:$H,U$1,Prod_Prop!$I:$I,"Exacto"),Prod_Prop!$A:$A,Prod_Prop!$J:$J,"",0,1))</f>
        <v/>
      </c>
      <c r="V734" s="4" t="str">
        <f t="array" ref="V734">IF($E734="","", XLOOKUP(SUMIFS(Prod_Prop!$A:$A,Prod_Prop!$B:$B,$E734,Prod_Prop!$H:$H,V$1,Prod_Prop!$I:$I,"Exacto"),Prod_Prop!$A:$A,Prod_Prop!$J:$J,"",0,1))</f>
        <v/>
      </c>
      <c r="X734" s="3" t="str">
        <f>IFERROR(__xludf.DUMMYFUNCTION("IF(D734="""","""",IFERROR(TRANSPOSE(FILTER('Validaciones Cotizador'!U:U,'Validaciones Cotizador'!O:O=D734,'Validaciones Cotizador'!T:T=""x"")),""Finalizar""))"),"")</f>
        <v/>
      </c>
    </row>
    <row r="735">
      <c r="A735" s="2" t="str">
        <f t="array" ref="A735">IF(E735="","",XLOOKUP(D735,'Validaciones Cotizador'!C:C,'Validaciones Cotizador'!A:A,"",0,1))</f>
        <v/>
      </c>
      <c r="B735" s="2" t="str">
        <f t="array" ref="B735">IF(F735="","",XLOOKUP(F735,Productos!E:E,Productos!G:G,"",0,1))</f>
        <v/>
      </c>
      <c r="C735" s="2" t="str">
        <f>IF(A735="","",SUMIFS('Validaciones Cotizador'!B:B,'Validaciones Cotizador'!C:C,D735,'Validaciones Cotizador'!A:A,A735))</f>
        <v/>
      </c>
      <c r="D735" s="4" t="str">
        <f>IFERROR(__xludf.DUMMYFUNCTION("IF(OR(F734=""Finalizar"",F734="""",F734=""Selecciona..""),"""",IF(OR(F734=""-"",INDEX(filter(Familias!F:F,Familias!D:D=A734,Familias!E:E=C734),1)=""O""),D734+1,D734))"),"")</f>
        <v/>
      </c>
      <c r="E735" s="2" t="str">
        <f>IF(OR(F735="",F735="Selecciona.."),"",IF(D735="Implemento",SUMIF(Implementos!B:B,F735,Implementos!A:A),SUMIF(Productos!E:E,F735,Productos!A:A)))</f>
        <v/>
      </c>
      <c r="F735" s="2" t="str">
        <f t="shared" si="2"/>
        <v/>
      </c>
      <c r="G735" s="10" t="str">
        <f t="array" ref="G735">IF(OR(F735="",F735="-",F735="Selecciona..",F735="Finalizar"),"",IF(A735="Rodados",XLOOKUP(B735,'Validaciones Cotizador'!I:I,'Validaciones Cotizador'!J:J,0,0,1),1))</f>
        <v/>
      </c>
      <c r="H735" s="11" t="str">
        <f>IF(OR(F735="",F735="Selecciona.."),"",SUMIF(Precio_Productos!K:K,E735,Precio_Productos!J:J)*G735)</f>
        <v/>
      </c>
      <c r="I735" s="4" t="str">
        <f t="array" ref="I735">IF($E735="","", XLOOKUP(SUMIFS(Prod_Prop!$A:$A,Prod_Prop!$B:$B,$E735,Prod_Prop!$H:$H,I$1,Prod_Prop!$I:$I,"Exacto"),Prod_Prop!$A:$A,Prod_Prop!$J:$J,"",0,1))</f>
        <v/>
      </c>
      <c r="J735" s="4" t="str">
        <f t="array" ref="J735">IF($E735="","", XLOOKUP(SUMIFS(Prod_Prop!$A:$A,Prod_Prop!$B:$B,$E735,Prod_Prop!$H:$H,J$1,Prod_Prop!$I:$I,"Exacto"),Prod_Prop!$A:$A,Prod_Prop!$J:$J,"",0,1))</f>
        <v/>
      </c>
      <c r="K735" s="4" t="str">
        <f t="array" ref="K735">IF($E735="","", XLOOKUP(SUMIFS(Prod_Prop!$A:$A,Prod_Prop!$B:$B,$E735,Prod_Prop!$H:$H,K$1,Prod_Prop!$I:$I,"Exacto"),Prod_Prop!$A:$A,Prod_Prop!$J:$J,"",0,1))</f>
        <v/>
      </c>
      <c r="L735" s="4" t="str">
        <f t="array" ref="L735">IF($E735="","", XLOOKUP(SUMIFS(Prod_Prop!$A:$A,Prod_Prop!$B:$B,$E735,Prod_Prop!$H:$H,L$1,Prod_Prop!$I:$I,"Exacto"),Prod_Prop!$A:$A,Prod_Prop!$J:$J,"",0,1))</f>
        <v/>
      </c>
      <c r="M735" s="4" t="str">
        <f t="array" ref="M735">IF($E735="","", XLOOKUP(SUMIFS(Prod_Prop!$A:$A,Prod_Prop!$B:$B,$E735,Prod_Prop!$H:$H,M$1,Prod_Prop!$I:$I,"Exacto"),Prod_Prop!$A:$A,Prod_Prop!$J:$J,"",0,1))</f>
        <v/>
      </c>
      <c r="N735" s="4" t="str">
        <f t="array" ref="N735">IF($E735="","", XLOOKUP(SUMIFS(Prod_Prop!$A:$A,Prod_Prop!$B:$B,$E735,Prod_Prop!$H:$H,N$1,Prod_Prop!$I:$I,"Exacto"),Prod_Prop!$A:$A,Prod_Prop!$J:$J,"",0,1))</f>
        <v/>
      </c>
      <c r="O735" s="4" t="str">
        <f t="array" ref="O735">IF($E735="","", XLOOKUP(SUMIFS(Prod_Prop!$A:$A,Prod_Prop!$B:$B,$E735,Prod_Prop!$H:$H,O$1,Prod_Prop!$I:$I,"Exacto"),Prod_Prop!$A:$A,Prod_Prop!$J:$J,"",0,1))</f>
        <v/>
      </c>
      <c r="P735" s="4" t="str">
        <f t="array" ref="P735">IF($E735="","", XLOOKUP(SUMIFS(Prod_Prop!$A:$A,Prod_Prop!$B:$B,$E735,Prod_Prop!$H:$H,P$1,Prod_Prop!$I:$I,"Exacto"),Prod_Prop!$A:$A,Prod_Prop!$J:$J,"",0,1))</f>
        <v/>
      </c>
      <c r="Q735" s="4" t="str">
        <f t="array" ref="Q735">IF($E735="","", XLOOKUP(SUMIFS(Prod_Prop!$A:$A,Prod_Prop!$B:$B,$E735,Prod_Prop!$H:$H,Q$1,Prod_Prop!$I:$I,"Exacto"),Prod_Prop!$A:$A,Prod_Prop!$J:$J,"",0,1))</f>
        <v/>
      </c>
      <c r="R735" s="4" t="str">
        <f t="array" ref="R735">IF($E735="","", XLOOKUP(SUMIFS(Prod_Prop!$A:$A,Prod_Prop!$B:$B,$E735,Prod_Prop!$H:$H,R$1,Prod_Prop!$I:$I,"Exacto"),Prod_Prop!$A:$A,Prod_Prop!$J:$J,"",0,1))</f>
        <v/>
      </c>
      <c r="S735" s="4" t="str">
        <f t="array" ref="S735">IF($E735="","", XLOOKUP(SUMIFS(Prod_Prop!$A:$A,Prod_Prop!$B:$B,$E735,Prod_Prop!$H:$H,S$1,Prod_Prop!$I:$I,"Exacto"),Prod_Prop!$A:$A,Prod_Prop!$J:$J,"",0,1))</f>
        <v/>
      </c>
      <c r="T735" s="4" t="str">
        <f t="array" ref="T735">IF($E735="","", XLOOKUP(SUMIFS(Prod_Prop!$A:$A,Prod_Prop!$B:$B,$E735,Prod_Prop!$H:$H,T$1,Prod_Prop!$I:$I,"Exacto"),Prod_Prop!$A:$A,Prod_Prop!$J:$J,"",0,1))</f>
        <v/>
      </c>
      <c r="U735" s="4" t="str">
        <f t="array" ref="U735">IF($E735="","", XLOOKUP(SUMIFS(Prod_Prop!$A:$A,Prod_Prop!$B:$B,$E735,Prod_Prop!$H:$H,U$1,Prod_Prop!$I:$I,"Exacto"),Prod_Prop!$A:$A,Prod_Prop!$J:$J,"",0,1))</f>
        <v/>
      </c>
      <c r="V735" s="4" t="str">
        <f t="array" ref="V735">IF($E735="","", XLOOKUP(SUMIFS(Prod_Prop!$A:$A,Prod_Prop!$B:$B,$E735,Prod_Prop!$H:$H,V$1,Prod_Prop!$I:$I,"Exacto"),Prod_Prop!$A:$A,Prod_Prop!$J:$J,"",0,1))</f>
        <v/>
      </c>
      <c r="X735" s="3" t="str">
        <f>IFERROR(__xludf.DUMMYFUNCTION("IF(D735="""","""",IFERROR(TRANSPOSE(FILTER('Validaciones Cotizador'!U:U,'Validaciones Cotizador'!O:O=D735,'Validaciones Cotizador'!T:T=""x"")),""Finalizar""))"),"")</f>
        <v/>
      </c>
    </row>
    <row r="736">
      <c r="A736" s="2" t="str">
        <f t="array" ref="A736">IF(E736="","",XLOOKUP(D736,'Validaciones Cotizador'!C:C,'Validaciones Cotizador'!A:A,"",0,1))</f>
        <v/>
      </c>
      <c r="B736" s="2" t="str">
        <f t="array" ref="B736">IF(F736="","",XLOOKUP(F736,Productos!E:E,Productos!G:G,"",0,1))</f>
        <v/>
      </c>
      <c r="C736" s="2" t="str">
        <f>IF(A736="","",SUMIFS('Validaciones Cotizador'!B:B,'Validaciones Cotizador'!C:C,D736,'Validaciones Cotizador'!A:A,A736))</f>
        <v/>
      </c>
      <c r="D736" s="4" t="str">
        <f>IFERROR(__xludf.DUMMYFUNCTION("IF(OR(F735=""Finalizar"",F735="""",F735=""Selecciona..""),"""",IF(OR(F735=""-"",INDEX(filter(Familias!F:F,Familias!D:D=A735,Familias!E:E=C735),1)=""O""),D735+1,D735))"),"")</f>
        <v/>
      </c>
      <c r="E736" s="2" t="str">
        <f>IF(OR(F736="",F736="Selecciona.."),"",IF(D736="Implemento",SUMIF(Implementos!B:B,F736,Implementos!A:A),SUMIF(Productos!E:E,F736,Productos!A:A)))</f>
        <v/>
      </c>
      <c r="F736" s="2" t="str">
        <f t="shared" si="2"/>
        <v/>
      </c>
      <c r="G736" s="10" t="str">
        <f t="array" ref="G736">IF(OR(F736="",F736="-",F736="Selecciona..",F736="Finalizar"),"",IF(A736="Rodados",XLOOKUP(B736,'Validaciones Cotizador'!I:I,'Validaciones Cotizador'!J:J,0,0,1),1))</f>
        <v/>
      </c>
      <c r="H736" s="11" t="str">
        <f>IF(OR(F736="",F736="Selecciona.."),"",SUMIF(Precio_Productos!K:K,E736,Precio_Productos!J:J)*G736)</f>
        <v/>
      </c>
      <c r="I736" s="4" t="str">
        <f t="array" ref="I736">IF($E736="","", XLOOKUP(SUMIFS(Prod_Prop!$A:$A,Prod_Prop!$B:$B,$E736,Prod_Prop!$H:$H,I$1,Prod_Prop!$I:$I,"Exacto"),Prod_Prop!$A:$A,Prod_Prop!$J:$J,"",0,1))</f>
        <v/>
      </c>
      <c r="J736" s="4" t="str">
        <f t="array" ref="J736">IF($E736="","", XLOOKUP(SUMIFS(Prod_Prop!$A:$A,Prod_Prop!$B:$B,$E736,Prod_Prop!$H:$H,J$1,Prod_Prop!$I:$I,"Exacto"),Prod_Prop!$A:$A,Prod_Prop!$J:$J,"",0,1))</f>
        <v/>
      </c>
      <c r="K736" s="4" t="str">
        <f t="array" ref="K736">IF($E736="","", XLOOKUP(SUMIFS(Prod_Prop!$A:$A,Prod_Prop!$B:$B,$E736,Prod_Prop!$H:$H,K$1,Prod_Prop!$I:$I,"Exacto"),Prod_Prop!$A:$A,Prod_Prop!$J:$J,"",0,1))</f>
        <v/>
      </c>
      <c r="L736" s="4" t="str">
        <f t="array" ref="L736">IF($E736="","", XLOOKUP(SUMIFS(Prod_Prop!$A:$A,Prod_Prop!$B:$B,$E736,Prod_Prop!$H:$H,L$1,Prod_Prop!$I:$I,"Exacto"),Prod_Prop!$A:$A,Prod_Prop!$J:$J,"",0,1))</f>
        <v/>
      </c>
      <c r="M736" s="4" t="str">
        <f t="array" ref="M736">IF($E736="","", XLOOKUP(SUMIFS(Prod_Prop!$A:$A,Prod_Prop!$B:$B,$E736,Prod_Prop!$H:$H,M$1,Prod_Prop!$I:$I,"Exacto"),Prod_Prop!$A:$A,Prod_Prop!$J:$J,"",0,1))</f>
        <v/>
      </c>
      <c r="N736" s="4" t="str">
        <f t="array" ref="N736">IF($E736="","", XLOOKUP(SUMIFS(Prod_Prop!$A:$A,Prod_Prop!$B:$B,$E736,Prod_Prop!$H:$H,N$1,Prod_Prop!$I:$I,"Exacto"),Prod_Prop!$A:$A,Prod_Prop!$J:$J,"",0,1))</f>
        <v/>
      </c>
      <c r="O736" s="4" t="str">
        <f t="array" ref="O736">IF($E736="","", XLOOKUP(SUMIFS(Prod_Prop!$A:$A,Prod_Prop!$B:$B,$E736,Prod_Prop!$H:$H,O$1,Prod_Prop!$I:$I,"Exacto"),Prod_Prop!$A:$A,Prod_Prop!$J:$J,"",0,1))</f>
        <v/>
      </c>
      <c r="P736" s="4" t="str">
        <f t="array" ref="P736">IF($E736="","", XLOOKUP(SUMIFS(Prod_Prop!$A:$A,Prod_Prop!$B:$B,$E736,Prod_Prop!$H:$H,P$1,Prod_Prop!$I:$I,"Exacto"),Prod_Prop!$A:$A,Prod_Prop!$J:$J,"",0,1))</f>
        <v/>
      </c>
      <c r="Q736" s="4" t="str">
        <f t="array" ref="Q736">IF($E736="","", XLOOKUP(SUMIFS(Prod_Prop!$A:$A,Prod_Prop!$B:$B,$E736,Prod_Prop!$H:$H,Q$1,Prod_Prop!$I:$I,"Exacto"),Prod_Prop!$A:$A,Prod_Prop!$J:$J,"",0,1))</f>
        <v/>
      </c>
      <c r="R736" s="4" t="str">
        <f t="array" ref="R736">IF($E736="","", XLOOKUP(SUMIFS(Prod_Prop!$A:$A,Prod_Prop!$B:$B,$E736,Prod_Prop!$H:$H,R$1,Prod_Prop!$I:$I,"Exacto"),Prod_Prop!$A:$A,Prod_Prop!$J:$J,"",0,1))</f>
        <v/>
      </c>
      <c r="S736" s="4" t="str">
        <f t="array" ref="S736">IF($E736="","", XLOOKUP(SUMIFS(Prod_Prop!$A:$A,Prod_Prop!$B:$B,$E736,Prod_Prop!$H:$H,S$1,Prod_Prop!$I:$I,"Exacto"),Prod_Prop!$A:$A,Prod_Prop!$J:$J,"",0,1))</f>
        <v/>
      </c>
      <c r="T736" s="4" t="str">
        <f t="array" ref="T736">IF($E736="","", XLOOKUP(SUMIFS(Prod_Prop!$A:$A,Prod_Prop!$B:$B,$E736,Prod_Prop!$H:$H,T$1,Prod_Prop!$I:$I,"Exacto"),Prod_Prop!$A:$A,Prod_Prop!$J:$J,"",0,1))</f>
        <v/>
      </c>
      <c r="U736" s="4" t="str">
        <f t="array" ref="U736">IF($E736="","", XLOOKUP(SUMIFS(Prod_Prop!$A:$A,Prod_Prop!$B:$B,$E736,Prod_Prop!$H:$H,U$1,Prod_Prop!$I:$I,"Exacto"),Prod_Prop!$A:$A,Prod_Prop!$J:$J,"",0,1))</f>
        <v/>
      </c>
      <c r="V736" s="4" t="str">
        <f t="array" ref="V736">IF($E736="","", XLOOKUP(SUMIFS(Prod_Prop!$A:$A,Prod_Prop!$B:$B,$E736,Prod_Prop!$H:$H,V$1,Prod_Prop!$I:$I,"Exacto"),Prod_Prop!$A:$A,Prod_Prop!$J:$J,"",0,1))</f>
        <v/>
      </c>
      <c r="X736" s="3" t="str">
        <f>IFERROR(__xludf.DUMMYFUNCTION("IF(D736="""","""",IFERROR(TRANSPOSE(FILTER('Validaciones Cotizador'!U:U,'Validaciones Cotizador'!O:O=D736,'Validaciones Cotizador'!T:T=""x"")),""Finalizar""))"),"")</f>
        <v/>
      </c>
    </row>
    <row r="737">
      <c r="A737" s="2" t="str">
        <f t="array" ref="A737">IF(E737="","",XLOOKUP(D737,'Validaciones Cotizador'!C:C,'Validaciones Cotizador'!A:A,"",0,1))</f>
        <v/>
      </c>
      <c r="B737" s="2" t="str">
        <f t="array" ref="B737">IF(F737="","",XLOOKUP(F737,Productos!E:E,Productos!G:G,"",0,1))</f>
        <v/>
      </c>
      <c r="C737" s="2" t="str">
        <f>IF(A737="","",SUMIFS('Validaciones Cotizador'!B:B,'Validaciones Cotizador'!C:C,D737,'Validaciones Cotizador'!A:A,A737))</f>
        <v/>
      </c>
      <c r="D737" s="4" t="str">
        <f>IFERROR(__xludf.DUMMYFUNCTION("IF(OR(F736=""Finalizar"",F736="""",F736=""Selecciona..""),"""",IF(OR(F736=""-"",INDEX(filter(Familias!F:F,Familias!D:D=A736,Familias!E:E=C736),1)=""O""),D736+1,D736))"),"")</f>
        <v/>
      </c>
      <c r="E737" s="2" t="str">
        <f>IF(OR(F737="",F737="Selecciona.."),"",IF(D737="Implemento",SUMIF(Implementos!B:B,F737,Implementos!A:A),SUMIF(Productos!E:E,F737,Productos!A:A)))</f>
        <v/>
      </c>
      <c r="F737" s="2" t="str">
        <f t="shared" si="2"/>
        <v/>
      </c>
      <c r="G737" s="10" t="str">
        <f t="array" ref="G737">IF(OR(F737="",F737="-",F737="Selecciona..",F737="Finalizar"),"",IF(A737="Rodados",XLOOKUP(B737,'Validaciones Cotizador'!I:I,'Validaciones Cotizador'!J:J,0,0,1),1))</f>
        <v/>
      </c>
      <c r="H737" s="11" t="str">
        <f>IF(OR(F737="",F737="Selecciona.."),"",SUMIF(Precio_Productos!K:K,E737,Precio_Productos!J:J)*G737)</f>
        <v/>
      </c>
      <c r="I737" s="4" t="str">
        <f t="array" ref="I737">IF($E737="","", XLOOKUP(SUMIFS(Prod_Prop!$A:$A,Prod_Prop!$B:$B,$E737,Prod_Prop!$H:$H,I$1,Prod_Prop!$I:$I,"Exacto"),Prod_Prop!$A:$A,Prod_Prop!$J:$J,"",0,1))</f>
        <v/>
      </c>
      <c r="J737" s="4" t="str">
        <f t="array" ref="J737">IF($E737="","", XLOOKUP(SUMIFS(Prod_Prop!$A:$A,Prod_Prop!$B:$B,$E737,Prod_Prop!$H:$H,J$1,Prod_Prop!$I:$I,"Exacto"),Prod_Prop!$A:$A,Prod_Prop!$J:$J,"",0,1))</f>
        <v/>
      </c>
      <c r="K737" s="4" t="str">
        <f t="array" ref="K737">IF($E737="","", XLOOKUP(SUMIFS(Prod_Prop!$A:$A,Prod_Prop!$B:$B,$E737,Prod_Prop!$H:$H,K$1,Prod_Prop!$I:$I,"Exacto"),Prod_Prop!$A:$A,Prod_Prop!$J:$J,"",0,1))</f>
        <v/>
      </c>
      <c r="L737" s="4" t="str">
        <f t="array" ref="L737">IF($E737="","", XLOOKUP(SUMIFS(Prod_Prop!$A:$A,Prod_Prop!$B:$B,$E737,Prod_Prop!$H:$H,L$1,Prod_Prop!$I:$I,"Exacto"),Prod_Prop!$A:$A,Prod_Prop!$J:$J,"",0,1))</f>
        <v/>
      </c>
      <c r="M737" s="4" t="str">
        <f t="array" ref="M737">IF($E737="","", XLOOKUP(SUMIFS(Prod_Prop!$A:$A,Prod_Prop!$B:$B,$E737,Prod_Prop!$H:$H,M$1,Prod_Prop!$I:$I,"Exacto"),Prod_Prop!$A:$A,Prod_Prop!$J:$J,"",0,1))</f>
        <v/>
      </c>
      <c r="N737" s="4" t="str">
        <f t="array" ref="N737">IF($E737="","", XLOOKUP(SUMIFS(Prod_Prop!$A:$A,Prod_Prop!$B:$B,$E737,Prod_Prop!$H:$H,N$1,Prod_Prop!$I:$I,"Exacto"),Prod_Prop!$A:$A,Prod_Prop!$J:$J,"",0,1))</f>
        <v/>
      </c>
      <c r="O737" s="4" t="str">
        <f t="array" ref="O737">IF($E737="","", XLOOKUP(SUMIFS(Prod_Prop!$A:$A,Prod_Prop!$B:$B,$E737,Prod_Prop!$H:$H,O$1,Prod_Prop!$I:$I,"Exacto"),Prod_Prop!$A:$A,Prod_Prop!$J:$J,"",0,1))</f>
        <v/>
      </c>
      <c r="P737" s="4" t="str">
        <f t="array" ref="P737">IF($E737="","", XLOOKUP(SUMIFS(Prod_Prop!$A:$A,Prod_Prop!$B:$B,$E737,Prod_Prop!$H:$H,P$1,Prod_Prop!$I:$I,"Exacto"),Prod_Prop!$A:$A,Prod_Prop!$J:$J,"",0,1))</f>
        <v/>
      </c>
      <c r="Q737" s="4" t="str">
        <f t="array" ref="Q737">IF($E737="","", XLOOKUP(SUMIFS(Prod_Prop!$A:$A,Prod_Prop!$B:$B,$E737,Prod_Prop!$H:$H,Q$1,Prod_Prop!$I:$I,"Exacto"),Prod_Prop!$A:$A,Prod_Prop!$J:$J,"",0,1))</f>
        <v/>
      </c>
      <c r="R737" s="4" t="str">
        <f t="array" ref="R737">IF($E737="","", XLOOKUP(SUMIFS(Prod_Prop!$A:$A,Prod_Prop!$B:$B,$E737,Prod_Prop!$H:$H,R$1,Prod_Prop!$I:$I,"Exacto"),Prod_Prop!$A:$A,Prod_Prop!$J:$J,"",0,1))</f>
        <v/>
      </c>
      <c r="S737" s="4" t="str">
        <f t="array" ref="S737">IF($E737="","", XLOOKUP(SUMIFS(Prod_Prop!$A:$A,Prod_Prop!$B:$B,$E737,Prod_Prop!$H:$H,S$1,Prod_Prop!$I:$I,"Exacto"),Prod_Prop!$A:$A,Prod_Prop!$J:$J,"",0,1))</f>
        <v/>
      </c>
      <c r="T737" s="4" t="str">
        <f t="array" ref="T737">IF($E737="","", XLOOKUP(SUMIFS(Prod_Prop!$A:$A,Prod_Prop!$B:$B,$E737,Prod_Prop!$H:$H,T$1,Prod_Prop!$I:$I,"Exacto"),Prod_Prop!$A:$A,Prod_Prop!$J:$J,"",0,1))</f>
        <v/>
      </c>
      <c r="U737" s="4" t="str">
        <f t="array" ref="U737">IF($E737="","", XLOOKUP(SUMIFS(Prod_Prop!$A:$A,Prod_Prop!$B:$B,$E737,Prod_Prop!$H:$H,U$1,Prod_Prop!$I:$I,"Exacto"),Prod_Prop!$A:$A,Prod_Prop!$J:$J,"",0,1))</f>
        <v/>
      </c>
      <c r="V737" s="4" t="str">
        <f t="array" ref="V737">IF($E737="","", XLOOKUP(SUMIFS(Prod_Prop!$A:$A,Prod_Prop!$B:$B,$E737,Prod_Prop!$H:$H,V$1,Prod_Prop!$I:$I,"Exacto"),Prod_Prop!$A:$A,Prod_Prop!$J:$J,"",0,1))</f>
        <v/>
      </c>
      <c r="X737" s="3" t="str">
        <f>IFERROR(__xludf.DUMMYFUNCTION("IF(D737="""","""",IFERROR(TRANSPOSE(FILTER('Validaciones Cotizador'!U:U,'Validaciones Cotizador'!O:O=D737,'Validaciones Cotizador'!T:T=""x"")),""Finalizar""))"),"")</f>
        <v/>
      </c>
    </row>
    <row r="738">
      <c r="A738" s="2" t="str">
        <f t="array" ref="A738">IF(E738="","",XLOOKUP(D738,'Validaciones Cotizador'!C:C,'Validaciones Cotizador'!A:A,"",0,1))</f>
        <v/>
      </c>
      <c r="B738" s="2" t="str">
        <f t="array" ref="B738">IF(F738="","",XLOOKUP(F738,Productos!E:E,Productos!G:G,"",0,1))</f>
        <v/>
      </c>
      <c r="C738" s="2" t="str">
        <f>IF(A738="","",SUMIFS('Validaciones Cotizador'!B:B,'Validaciones Cotizador'!C:C,D738,'Validaciones Cotizador'!A:A,A738))</f>
        <v/>
      </c>
      <c r="D738" s="4" t="str">
        <f>IFERROR(__xludf.DUMMYFUNCTION("IF(OR(F737=""Finalizar"",F737="""",F737=""Selecciona..""),"""",IF(OR(F737=""-"",INDEX(filter(Familias!F:F,Familias!D:D=A737,Familias!E:E=C737),1)=""O""),D737+1,D737))"),"")</f>
        <v/>
      </c>
      <c r="E738" s="2" t="str">
        <f>IF(OR(F738="",F738="Selecciona.."),"",IF(D738="Implemento",SUMIF(Implementos!B:B,F738,Implementos!A:A),SUMIF(Productos!E:E,F738,Productos!A:A)))</f>
        <v/>
      </c>
      <c r="F738" s="2" t="str">
        <f t="shared" si="2"/>
        <v/>
      </c>
      <c r="G738" s="10" t="str">
        <f t="array" ref="G738">IF(OR(F738="",F738="-",F738="Selecciona..",F738="Finalizar"),"",IF(A738="Rodados",XLOOKUP(B738,'Validaciones Cotizador'!I:I,'Validaciones Cotizador'!J:J,0,0,1),1))</f>
        <v/>
      </c>
      <c r="H738" s="11" t="str">
        <f>IF(OR(F738="",F738="Selecciona.."),"",SUMIF(Precio_Productos!K:K,E738,Precio_Productos!J:J)*G738)</f>
        <v/>
      </c>
      <c r="I738" s="4" t="str">
        <f t="array" ref="I738">IF($E738="","", XLOOKUP(SUMIFS(Prod_Prop!$A:$A,Prod_Prop!$B:$B,$E738,Prod_Prop!$H:$H,I$1,Prod_Prop!$I:$I,"Exacto"),Prod_Prop!$A:$A,Prod_Prop!$J:$J,"",0,1))</f>
        <v/>
      </c>
      <c r="J738" s="4" t="str">
        <f t="array" ref="J738">IF($E738="","", XLOOKUP(SUMIFS(Prod_Prop!$A:$A,Prod_Prop!$B:$B,$E738,Prod_Prop!$H:$H,J$1,Prod_Prop!$I:$I,"Exacto"),Prod_Prop!$A:$A,Prod_Prop!$J:$J,"",0,1))</f>
        <v/>
      </c>
      <c r="K738" s="4" t="str">
        <f t="array" ref="K738">IF($E738="","", XLOOKUP(SUMIFS(Prod_Prop!$A:$A,Prod_Prop!$B:$B,$E738,Prod_Prop!$H:$H,K$1,Prod_Prop!$I:$I,"Exacto"),Prod_Prop!$A:$A,Prod_Prop!$J:$J,"",0,1))</f>
        <v/>
      </c>
      <c r="L738" s="4" t="str">
        <f t="array" ref="L738">IF($E738="","", XLOOKUP(SUMIFS(Prod_Prop!$A:$A,Prod_Prop!$B:$B,$E738,Prod_Prop!$H:$H,L$1,Prod_Prop!$I:$I,"Exacto"),Prod_Prop!$A:$A,Prod_Prop!$J:$J,"",0,1))</f>
        <v/>
      </c>
      <c r="M738" s="4" t="str">
        <f t="array" ref="M738">IF($E738="","", XLOOKUP(SUMIFS(Prod_Prop!$A:$A,Prod_Prop!$B:$B,$E738,Prod_Prop!$H:$H,M$1,Prod_Prop!$I:$I,"Exacto"),Prod_Prop!$A:$A,Prod_Prop!$J:$J,"",0,1))</f>
        <v/>
      </c>
      <c r="N738" s="4" t="str">
        <f t="array" ref="N738">IF($E738="","", XLOOKUP(SUMIFS(Prod_Prop!$A:$A,Prod_Prop!$B:$B,$E738,Prod_Prop!$H:$H,N$1,Prod_Prop!$I:$I,"Exacto"),Prod_Prop!$A:$A,Prod_Prop!$J:$J,"",0,1))</f>
        <v/>
      </c>
      <c r="O738" s="4" t="str">
        <f t="array" ref="O738">IF($E738="","", XLOOKUP(SUMIFS(Prod_Prop!$A:$A,Prod_Prop!$B:$B,$E738,Prod_Prop!$H:$H,O$1,Prod_Prop!$I:$I,"Exacto"),Prod_Prop!$A:$A,Prod_Prop!$J:$J,"",0,1))</f>
        <v/>
      </c>
      <c r="P738" s="4" t="str">
        <f t="array" ref="P738">IF($E738="","", XLOOKUP(SUMIFS(Prod_Prop!$A:$A,Prod_Prop!$B:$B,$E738,Prod_Prop!$H:$H,P$1,Prod_Prop!$I:$I,"Exacto"),Prod_Prop!$A:$A,Prod_Prop!$J:$J,"",0,1))</f>
        <v/>
      </c>
      <c r="Q738" s="4" t="str">
        <f t="array" ref="Q738">IF($E738="","", XLOOKUP(SUMIFS(Prod_Prop!$A:$A,Prod_Prop!$B:$B,$E738,Prod_Prop!$H:$H,Q$1,Prod_Prop!$I:$I,"Exacto"),Prod_Prop!$A:$A,Prod_Prop!$J:$J,"",0,1))</f>
        <v/>
      </c>
      <c r="R738" s="4" t="str">
        <f t="array" ref="R738">IF($E738="","", XLOOKUP(SUMIFS(Prod_Prop!$A:$A,Prod_Prop!$B:$B,$E738,Prod_Prop!$H:$H,R$1,Prod_Prop!$I:$I,"Exacto"),Prod_Prop!$A:$A,Prod_Prop!$J:$J,"",0,1))</f>
        <v/>
      </c>
      <c r="S738" s="4" t="str">
        <f t="array" ref="S738">IF($E738="","", XLOOKUP(SUMIFS(Prod_Prop!$A:$A,Prod_Prop!$B:$B,$E738,Prod_Prop!$H:$H,S$1,Prod_Prop!$I:$I,"Exacto"),Prod_Prop!$A:$A,Prod_Prop!$J:$J,"",0,1))</f>
        <v/>
      </c>
      <c r="T738" s="4" t="str">
        <f t="array" ref="T738">IF($E738="","", XLOOKUP(SUMIFS(Prod_Prop!$A:$A,Prod_Prop!$B:$B,$E738,Prod_Prop!$H:$H,T$1,Prod_Prop!$I:$I,"Exacto"),Prod_Prop!$A:$A,Prod_Prop!$J:$J,"",0,1))</f>
        <v/>
      </c>
      <c r="U738" s="4" t="str">
        <f t="array" ref="U738">IF($E738="","", XLOOKUP(SUMIFS(Prod_Prop!$A:$A,Prod_Prop!$B:$B,$E738,Prod_Prop!$H:$H,U$1,Prod_Prop!$I:$I,"Exacto"),Prod_Prop!$A:$A,Prod_Prop!$J:$J,"",0,1))</f>
        <v/>
      </c>
      <c r="V738" s="4" t="str">
        <f t="array" ref="V738">IF($E738="","", XLOOKUP(SUMIFS(Prod_Prop!$A:$A,Prod_Prop!$B:$B,$E738,Prod_Prop!$H:$H,V$1,Prod_Prop!$I:$I,"Exacto"),Prod_Prop!$A:$A,Prod_Prop!$J:$J,"",0,1))</f>
        <v/>
      </c>
      <c r="X738" s="3" t="str">
        <f>IFERROR(__xludf.DUMMYFUNCTION("IF(D738="""","""",IFERROR(TRANSPOSE(FILTER('Validaciones Cotizador'!U:U,'Validaciones Cotizador'!O:O=D738,'Validaciones Cotizador'!T:T=""x"")),""Finalizar""))"),"")</f>
        <v/>
      </c>
    </row>
    <row r="739">
      <c r="A739" s="2" t="str">
        <f t="array" ref="A739">IF(E739="","",XLOOKUP(D739,'Validaciones Cotizador'!C:C,'Validaciones Cotizador'!A:A,"",0,1))</f>
        <v/>
      </c>
      <c r="B739" s="2" t="str">
        <f t="array" ref="B739">IF(F739="","",XLOOKUP(F739,Productos!E:E,Productos!G:G,"",0,1))</f>
        <v/>
      </c>
      <c r="C739" s="2" t="str">
        <f>IF(A739="","",SUMIFS('Validaciones Cotizador'!B:B,'Validaciones Cotizador'!C:C,D739,'Validaciones Cotizador'!A:A,A739))</f>
        <v/>
      </c>
      <c r="D739" s="4" t="str">
        <f>IFERROR(__xludf.DUMMYFUNCTION("IF(OR(F738=""Finalizar"",F738="""",F738=""Selecciona..""),"""",IF(OR(F738=""-"",INDEX(filter(Familias!F:F,Familias!D:D=A738,Familias!E:E=C738),1)=""O""),D738+1,D738))"),"")</f>
        <v/>
      </c>
      <c r="E739" s="2" t="str">
        <f>IF(OR(F739="",F739="Selecciona.."),"",IF(D739="Implemento",SUMIF(Implementos!B:B,F739,Implementos!A:A),SUMIF(Productos!E:E,F739,Productos!A:A)))</f>
        <v/>
      </c>
      <c r="F739" s="2" t="str">
        <f t="shared" si="2"/>
        <v/>
      </c>
      <c r="G739" s="10" t="str">
        <f t="array" ref="G739">IF(OR(F739="",F739="-",F739="Selecciona..",F739="Finalizar"),"",IF(A739="Rodados",XLOOKUP(B739,'Validaciones Cotizador'!I:I,'Validaciones Cotizador'!J:J,0,0,1),1))</f>
        <v/>
      </c>
      <c r="H739" s="11" t="str">
        <f>IF(OR(F739="",F739="Selecciona.."),"",SUMIF(Precio_Productos!K:K,E739,Precio_Productos!J:J)*G739)</f>
        <v/>
      </c>
      <c r="I739" s="4" t="str">
        <f t="array" ref="I739">IF($E739="","", XLOOKUP(SUMIFS(Prod_Prop!$A:$A,Prod_Prop!$B:$B,$E739,Prod_Prop!$H:$H,I$1,Prod_Prop!$I:$I,"Exacto"),Prod_Prop!$A:$A,Prod_Prop!$J:$J,"",0,1))</f>
        <v/>
      </c>
      <c r="J739" s="4" t="str">
        <f t="array" ref="J739">IF($E739="","", XLOOKUP(SUMIFS(Prod_Prop!$A:$A,Prod_Prop!$B:$B,$E739,Prod_Prop!$H:$H,J$1,Prod_Prop!$I:$I,"Exacto"),Prod_Prop!$A:$A,Prod_Prop!$J:$J,"",0,1))</f>
        <v/>
      </c>
      <c r="K739" s="4" t="str">
        <f t="array" ref="K739">IF($E739="","", XLOOKUP(SUMIFS(Prod_Prop!$A:$A,Prod_Prop!$B:$B,$E739,Prod_Prop!$H:$H,K$1,Prod_Prop!$I:$I,"Exacto"),Prod_Prop!$A:$A,Prod_Prop!$J:$J,"",0,1))</f>
        <v/>
      </c>
      <c r="L739" s="4" t="str">
        <f t="array" ref="L739">IF($E739="","", XLOOKUP(SUMIFS(Prod_Prop!$A:$A,Prod_Prop!$B:$B,$E739,Prod_Prop!$H:$H,L$1,Prod_Prop!$I:$I,"Exacto"),Prod_Prop!$A:$A,Prod_Prop!$J:$J,"",0,1))</f>
        <v/>
      </c>
      <c r="M739" s="4" t="str">
        <f t="array" ref="M739">IF($E739="","", XLOOKUP(SUMIFS(Prod_Prop!$A:$A,Prod_Prop!$B:$B,$E739,Prod_Prop!$H:$H,M$1,Prod_Prop!$I:$I,"Exacto"),Prod_Prop!$A:$A,Prod_Prop!$J:$J,"",0,1))</f>
        <v/>
      </c>
      <c r="N739" s="4" t="str">
        <f t="array" ref="N739">IF($E739="","", XLOOKUP(SUMIFS(Prod_Prop!$A:$A,Prod_Prop!$B:$B,$E739,Prod_Prop!$H:$H,N$1,Prod_Prop!$I:$I,"Exacto"),Prod_Prop!$A:$A,Prod_Prop!$J:$J,"",0,1))</f>
        <v/>
      </c>
      <c r="O739" s="4" t="str">
        <f t="array" ref="O739">IF($E739="","", XLOOKUP(SUMIFS(Prod_Prop!$A:$A,Prod_Prop!$B:$B,$E739,Prod_Prop!$H:$H,O$1,Prod_Prop!$I:$I,"Exacto"),Prod_Prop!$A:$A,Prod_Prop!$J:$J,"",0,1))</f>
        <v/>
      </c>
      <c r="P739" s="4" t="str">
        <f t="array" ref="P739">IF($E739="","", XLOOKUP(SUMIFS(Prod_Prop!$A:$A,Prod_Prop!$B:$B,$E739,Prod_Prop!$H:$H,P$1,Prod_Prop!$I:$I,"Exacto"),Prod_Prop!$A:$A,Prod_Prop!$J:$J,"",0,1))</f>
        <v/>
      </c>
      <c r="Q739" s="4" t="str">
        <f t="array" ref="Q739">IF($E739="","", XLOOKUP(SUMIFS(Prod_Prop!$A:$A,Prod_Prop!$B:$B,$E739,Prod_Prop!$H:$H,Q$1,Prod_Prop!$I:$I,"Exacto"),Prod_Prop!$A:$A,Prod_Prop!$J:$J,"",0,1))</f>
        <v/>
      </c>
      <c r="R739" s="4" t="str">
        <f t="array" ref="R739">IF($E739="","", XLOOKUP(SUMIFS(Prod_Prop!$A:$A,Prod_Prop!$B:$B,$E739,Prod_Prop!$H:$H,R$1,Prod_Prop!$I:$I,"Exacto"),Prod_Prop!$A:$A,Prod_Prop!$J:$J,"",0,1))</f>
        <v/>
      </c>
      <c r="S739" s="4" t="str">
        <f t="array" ref="S739">IF($E739="","", XLOOKUP(SUMIFS(Prod_Prop!$A:$A,Prod_Prop!$B:$B,$E739,Prod_Prop!$H:$H,S$1,Prod_Prop!$I:$I,"Exacto"),Prod_Prop!$A:$A,Prod_Prop!$J:$J,"",0,1))</f>
        <v/>
      </c>
      <c r="T739" s="4" t="str">
        <f t="array" ref="T739">IF($E739="","", XLOOKUP(SUMIFS(Prod_Prop!$A:$A,Prod_Prop!$B:$B,$E739,Prod_Prop!$H:$H,T$1,Prod_Prop!$I:$I,"Exacto"),Prod_Prop!$A:$A,Prod_Prop!$J:$J,"",0,1))</f>
        <v/>
      </c>
      <c r="U739" s="4" t="str">
        <f t="array" ref="U739">IF($E739="","", XLOOKUP(SUMIFS(Prod_Prop!$A:$A,Prod_Prop!$B:$B,$E739,Prod_Prop!$H:$H,U$1,Prod_Prop!$I:$I,"Exacto"),Prod_Prop!$A:$A,Prod_Prop!$J:$J,"",0,1))</f>
        <v/>
      </c>
      <c r="V739" s="4" t="str">
        <f t="array" ref="V739">IF($E739="","", XLOOKUP(SUMIFS(Prod_Prop!$A:$A,Prod_Prop!$B:$B,$E739,Prod_Prop!$H:$H,V$1,Prod_Prop!$I:$I,"Exacto"),Prod_Prop!$A:$A,Prod_Prop!$J:$J,"",0,1))</f>
        <v/>
      </c>
      <c r="X739" s="3" t="str">
        <f>IFERROR(__xludf.DUMMYFUNCTION("IF(D739="""","""",IFERROR(TRANSPOSE(FILTER('Validaciones Cotizador'!U:U,'Validaciones Cotizador'!O:O=D739,'Validaciones Cotizador'!T:T=""x"")),""Finalizar""))"),"")</f>
        <v/>
      </c>
    </row>
    <row r="740">
      <c r="A740" s="2" t="str">
        <f t="array" ref="A740">IF(E740="","",XLOOKUP(D740,'Validaciones Cotizador'!C:C,'Validaciones Cotizador'!A:A,"",0,1))</f>
        <v/>
      </c>
      <c r="B740" s="2" t="str">
        <f t="array" ref="B740">IF(F740="","",XLOOKUP(F740,Productos!E:E,Productos!G:G,"",0,1))</f>
        <v/>
      </c>
      <c r="C740" s="2" t="str">
        <f>IF(A740="","",SUMIFS('Validaciones Cotizador'!B:B,'Validaciones Cotizador'!C:C,D740,'Validaciones Cotizador'!A:A,A740))</f>
        <v/>
      </c>
      <c r="D740" s="4" t="str">
        <f>IFERROR(__xludf.DUMMYFUNCTION("IF(OR(F739=""Finalizar"",F739="""",F739=""Selecciona..""),"""",IF(OR(F739=""-"",INDEX(filter(Familias!F:F,Familias!D:D=A739,Familias!E:E=C739),1)=""O""),D739+1,D739))"),"")</f>
        <v/>
      </c>
      <c r="E740" s="2" t="str">
        <f>IF(OR(F740="",F740="Selecciona.."),"",IF(D740="Implemento",SUMIF(Implementos!B:B,F740,Implementos!A:A),SUMIF(Productos!E:E,F740,Productos!A:A)))</f>
        <v/>
      </c>
      <c r="F740" s="2" t="str">
        <f t="shared" si="2"/>
        <v/>
      </c>
      <c r="G740" s="10" t="str">
        <f t="array" ref="G740">IF(OR(F740="",F740="-",F740="Selecciona..",F740="Finalizar"),"",IF(A740="Rodados",XLOOKUP(B740,'Validaciones Cotizador'!I:I,'Validaciones Cotizador'!J:J,0,0,1),1))</f>
        <v/>
      </c>
      <c r="H740" s="11" t="str">
        <f>IF(OR(F740="",F740="Selecciona.."),"",SUMIF(Precio_Productos!K:K,E740,Precio_Productos!J:J)*G740)</f>
        <v/>
      </c>
      <c r="I740" s="4" t="str">
        <f t="array" ref="I740">IF($E740="","", XLOOKUP(SUMIFS(Prod_Prop!$A:$A,Prod_Prop!$B:$B,$E740,Prod_Prop!$H:$H,I$1,Prod_Prop!$I:$I,"Exacto"),Prod_Prop!$A:$A,Prod_Prop!$J:$J,"",0,1))</f>
        <v/>
      </c>
      <c r="J740" s="4" t="str">
        <f t="array" ref="J740">IF($E740="","", XLOOKUP(SUMIFS(Prod_Prop!$A:$A,Prod_Prop!$B:$B,$E740,Prod_Prop!$H:$H,J$1,Prod_Prop!$I:$I,"Exacto"),Prod_Prop!$A:$A,Prod_Prop!$J:$J,"",0,1))</f>
        <v/>
      </c>
      <c r="K740" s="4" t="str">
        <f t="array" ref="K740">IF($E740="","", XLOOKUP(SUMIFS(Prod_Prop!$A:$A,Prod_Prop!$B:$B,$E740,Prod_Prop!$H:$H,K$1,Prod_Prop!$I:$I,"Exacto"),Prod_Prop!$A:$A,Prod_Prop!$J:$J,"",0,1))</f>
        <v/>
      </c>
      <c r="L740" s="4" t="str">
        <f t="array" ref="L740">IF($E740="","", XLOOKUP(SUMIFS(Prod_Prop!$A:$A,Prod_Prop!$B:$B,$E740,Prod_Prop!$H:$H,L$1,Prod_Prop!$I:$I,"Exacto"),Prod_Prop!$A:$A,Prod_Prop!$J:$J,"",0,1))</f>
        <v/>
      </c>
      <c r="M740" s="4" t="str">
        <f t="array" ref="M740">IF($E740="","", XLOOKUP(SUMIFS(Prod_Prop!$A:$A,Prod_Prop!$B:$B,$E740,Prod_Prop!$H:$H,M$1,Prod_Prop!$I:$I,"Exacto"),Prod_Prop!$A:$A,Prod_Prop!$J:$J,"",0,1))</f>
        <v/>
      </c>
      <c r="N740" s="4" t="str">
        <f t="array" ref="N740">IF($E740="","", XLOOKUP(SUMIFS(Prod_Prop!$A:$A,Prod_Prop!$B:$B,$E740,Prod_Prop!$H:$H,N$1,Prod_Prop!$I:$I,"Exacto"),Prod_Prop!$A:$A,Prod_Prop!$J:$J,"",0,1))</f>
        <v/>
      </c>
      <c r="O740" s="4" t="str">
        <f t="array" ref="O740">IF($E740="","", XLOOKUP(SUMIFS(Prod_Prop!$A:$A,Prod_Prop!$B:$B,$E740,Prod_Prop!$H:$H,O$1,Prod_Prop!$I:$I,"Exacto"),Prod_Prop!$A:$A,Prod_Prop!$J:$J,"",0,1))</f>
        <v/>
      </c>
      <c r="P740" s="4" t="str">
        <f t="array" ref="P740">IF($E740="","", XLOOKUP(SUMIFS(Prod_Prop!$A:$A,Prod_Prop!$B:$B,$E740,Prod_Prop!$H:$H,P$1,Prod_Prop!$I:$I,"Exacto"),Prod_Prop!$A:$A,Prod_Prop!$J:$J,"",0,1))</f>
        <v/>
      </c>
      <c r="Q740" s="4" t="str">
        <f t="array" ref="Q740">IF($E740="","", XLOOKUP(SUMIFS(Prod_Prop!$A:$A,Prod_Prop!$B:$B,$E740,Prod_Prop!$H:$H,Q$1,Prod_Prop!$I:$I,"Exacto"),Prod_Prop!$A:$A,Prod_Prop!$J:$J,"",0,1))</f>
        <v/>
      </c>
      <c r="R740" s="4" t="str">
        <f t="array" ref="R740">IF($E740="","", XLOOKUP(SUMIFS(Prod_Prop!$A:$A,Prod_Prop!$B:$B,$E740,Prod_Prop!$H:$H,R$1,Prod_Prop!$I:$I,"Exacto"),Prod_Prop!$A:$A,Prod_Prop!$J:$J,"",0,1))</f>
        <v/>
      </c>
      <c r="S740" s="4" t="str">
        <f t="array" ref="S740">IF($E740="","", XLOOKUP(SUMIFS(Prod_Prop!$A:$A,Prod_Prop!$B:$B,$E740,Prod_Prop!$H:$H,S$1,Prod_Prop!$I:$I,"Exacto"),Prod_Prop!$A:$A,Prod_Prop!$J:$J,"",0,1))</f>
        <v/>
      </c>
      <c r="T740" s="4" t="str">
        <f t="array" ref="T740">IF($E740="","", XLOOKUP(SUMIFS(Prod_Prop!$A:$A,Prod_Prop!$B:$B,$E740,Prod_Prop!$H:$H,T$1,Prod_Prop!$I:$I,"Exacto"),Prod_Prop!$A:$A,Prod_Prop!$J:$J,"",0,1))</f>
        <v/>
      </c>
      <c r="U740" s="4" t="str">
        <f t="array" ref="U740">IF($E740="","", XLOOKUP(SUMIFS(Prod_Prop!$A:$A,Prod_Prop!$B:$B,$E740,Prod_Prop!$H:$H,U$1,Prod_Prop!$I:$I,"Exacto"),Prod_Prop!$A:$A,Prod_Prop!$J:$J,"",0,1))</f>
        <v/>
      </c>
      <c r="V740" s="4" t="str">
        <f t="array" ref="V740">IF($E740="","", XLOOKUP(SUMIFS(Prod_Prop!$A:$A,Prod_Prop!$B:$B,$E740,Prod_Prop!$H:$H,V$1,Prod_Prop!$I:$I,"Exacto"),Prod_Prop!$A:$A,Prod_Prop!$J:$J,"",0,1))</f>
        <v/>
      </c>
      <c r="X740" s="3" t="str">
        <f>IFERROR(__xludf.DUMMYFUNCTION("IF(D740="""","""",IFERROR(TRANSPOSE(FILTER('Validaciones Cotizador'!U:U,'Validaciones Cotizador'!O:O=D740,'Validaciones Cotizador'!T:T=""x"")),""Finalizar""))"),"")</f>
        <v/>
      </c>
    </row>
    <row r="741">
      <c r="A741" s="2" t="str">
        <f t="array" ref="A741">IF(E741="","",XLOOKUP(D741,'Validaciones Cotizador'!C:C,'Validaciones Cotizador'!A:A,"",0,1))</f>
        <v/>
      </c>
      <c r="B741" s="2" t="str">
        <f t="array" ref="B741">IF(F741="","",XLOOKUP(F741,Productos!E:E,Productos!G:G,"",0,1))</f>
        <v/>
      </c>
      <c r="C741" s="2" t="str">
        <f>IF(A741="","",SUMIFS('Validaciones Cotizador'!B:B,'Validaciones Cotizador'!C:C,D741,'Validaciones Cotizador'!A:A,A741))</f>
        <v/>
      </c>
      <c r="D741" s="4" t="str">
        <f>IFERROR(__xludf.DUMMYFUNCTION("IF(OR(F740=""Finalizar"",F740="""",F740=""Selecciona..""),"""",IF(OR(F740=""-"",INDEX(filter(Familias!F:F,Familias!D:D=A740,Familias!E:E=C740),1)=""O""),D740+1,D740))"),"")</f>
        <v/>
      </c>
      <c r="E741" s="2" t="str">
        <f>IF(OR(F741="",F741="Selecciona.."),"",IF(D741="Implemento",SUMIF(Implementos!B:B,F741,Implementos!A:A),SUMIF(Productos!E:E,F741,Productos!A:A)))</f>
        <v/>
      </c>
      <c r="F741" s="2" t="str">
        <f t="shared" si="2"/>
        <v/>
      </c>
      <c r="G741" s="10" t="str">
        <f t="array" ref="G741">IF(OR(F741="",F741="-",F741="Selecciona..",F741="Finalizar"),"",IF(A741="Rodados",XLOOKUP(B741,'Validaciones Cotizador'!I:I,'Validaciones Cotizador'!J:J,0,0,1),1))</f>
        <v/>
      </c>
      <c r="H741" s="11" t="str">
        <f>IF(OR(F741="",F741="Selecciona.."),"",SUMIF(Precio_Productos!K:K,E741,Precio_Productos!J:J)*G741)</f>
        <v/>
      </c>
      <c r="I741" s="4" t="str">
        <f t="array" ref="I741">IF($E741="","", XLOOKUP(SUMIFS(Prod_Prop!$A:$A,Prod_Prop!$B:$B,$E741,Prod_Prop!$H:$H,I$1,Prod_Prop!$I:$I,"Exacto"),Prod_Prop!$A:$A,Prod_Prop!$J:$J,"",0,1))</f>
        <v/>
      </c>
      <c r="J741" s="4" t="str">
        <f t="array" ref="J741">IF($E741="","", XLOOKUP(SUMIFS(Prod_Prop!$A:$A,Prod_Prop!$B:$B,$E741,Prod_Prop!$H:$H,J$1,Prod_Prop!$I:$I,"Exacto"),Prod_Prop!$A:$A,Prod_Prop!$J:$J,"",0,1))</f>
        <v/>
      </c>
      <c r="K741" s="4" t="str">
        <f t="array" ref="K741">IF($E741="","", XLOOKUP(SUMIFS(Prod_Prop!$A:$A,Prod_Prop!$B:$B,$E741,Prod_Prop!$H:$H,K$1,Prod_Prop!$I:$I,"Exacto"),Prod_Prop!$A:$A,Prod_Prop!$J:$J,"",0,1))</f>
        <v/>
      </c>
      <c r="L741" s="4" t="str">
        <f t="array" ref="L741">IF($E741="","", XLOOKUP(SUMIFS(Prod_Prop!$A:$A,Prod_Prop!$B:$B,$E741,Prod_Prop!$H:$H,L$1,Prod_Prop!$I:$I,"Exacto"),Prod_Prop!$A:$A,Prod_Prop!$J:$J,"",0,1))</f>
        <v/>
      </c>
      <c r="M741" s="4" t="str">
        <f t="array" ref="M741">IF($E741="","", XLOOKUP(SUMIFS(Prod_Prop!$A:$A,Prod_Prop!$B:$B,$E741,Prod_Prop!$H:$H,M$1,Prod_Prop!$I:$I,"Exacto"),Prod_Prop!$A:$A,Prod_Prop!$J:$J,"",0,1))</f>
        <v/>
      </c>
      <c r="N741" s="4" t="str">
        <f t="array" ref="N741">IF($E741="","", XLOOKUP(SUMIFS(Prod_Prop!$A:$A,Prod_Prop!$B:$B,$E741,Prod_Prop!$H:$H,N$1,Prod_Prop!$I:$I,"Exacto"),Prod_Prop!$A:$A,Prod_Prop!$J:$J,"",0,1))</f>
        <v/>
      </c>
      <c r="O741" s="4" t="str">
        <f t="array" ref="O741">IF($E741="","", XLOOKUP(SUMIFS(Prod_Prop!$A:$A,Prod_Prop!$B:$B,$E741,Prod_Prop!$H:$H,O$1,Prod_Prop!$I:$I,"Exacto"),Prod_Prop!$A:$A,Prod_Prop!$J:$J,"",0,1))</f>
        <v/>
      </c>
      <c r="P741" s="4" t="str">
        <f t="array" ref="P741">IF($E741="","", XLOOKUP(SUMIFS(Prod_Prop!$A:$A,Prod_Prop!$B:$B,$E741,Prod_Prop!$H:$H,P$1,Prod_Prop!$I:$I,"Exacto"),Prod_Prop!$A:$A,Prod_Prop!$J:$J,"",0,1))</f>
        <v/>
      </c>
      <c r="Q741" s="4" t="str">
        <f t="array" ref="Q741">IF($E741="","", XLOOKUP(SUMIFS(Prod_Prop!$A:$A,Prod_Prop!$B:$B,$E741,Prod_Prop!$H:$H,Q$1,Prod_Prop!$I:$I,"Exacto"),Prod_Prop!$A:$A,Prod_Prop!$J:$J,"",0,1))</f>
        <v/>
      </c>
      <c r="R741" s="4" t="str">
        <f t="array" ref="R741">IF($E741="","", XLOOKUP(SUMIFS(Prod_Prop!$A:$A,Prod_Prop!$B:$B,$E741,Prod_Prop!$H:$H,R$1,Prod_Prop!$I:$I,"Exacto"),Prod_Prop!$A:$A,Prod_Prop!$J:$J,"",0,1))</f>
        <v/>
      </c>
      <c r="S741" s="4" t="str">
        <f t="array" ref="S741">IF($E741="","", XLOOKUP(SUMIFS(Prod_Prop!$A:$A,Prod_Prop!$B:$B,$E741,Prod_Prop!$H:$H,S$1,Prod_Prop!$I:$I,"Exacto"),Prod_Prop!$A:$A,Prod_Prop!$J:$J,"",0,1))</f>
        <v/>
      </c>
      <c r="T741" s="4" t="str">
        <f t="array" ref="T741">IF($E741="","", XLOOKUP(SUMIFS(Prod_Prop!$A:$A,Prod_Prop!$B:$B,$E741,Prod_Prop!$H:$H,T$1,Prod_Prop!$I:$I,"Exacto"),Prod_Prop!$A:$A,Prod_Prop!$J:$J,"",0,1))</f>
        <v/>
      </c>
      <c r="U741" s="4" t="str">
        <f t="array" ref="U741">IF($E741="","", XLOOKUP(SUMIFS(Prod_Prop!$A:$A,Prod_Prop!$B:$B,$E741,Prod_Prop!$H:$H,U$1,Prod_Prop!$I:$I,"Exacto"),Prod_Prop!$A:$A,Prod_Prop!$J:$J,"",0,1))</f>
        <v/>
      </c>
      <c r="V741" s="4" t="str">
        <f t="array" ref="V741">IF($E741="","", XLOOKUP(SUMIFS(Prod_Prop!$A:$A,Prod_Prop!$B:$B,$E741,Prod_Prop!$H:$H,V$1,Prod_Prop!$I:$I,"Exacto"),Prod_Prop!$A:$A,Prod_Prop!$J:$J,"",0,1))</f>
        <v/>
      </c>
      <c r="X741" s="3" t="str">
        <f>IFERROR(__xludf.DUMMYFUNCTION("IF(D741="""","""",IFERROR(TRANSPOSE(FILTER('Validaciones Cotizador'!U:U,'Validaciones Cotizador'!O:O=D741,'Validaciones Cotizador'!T:T=""x"")),""Finalizar""))"),"")</f>
        <v/>
      </c>
    </row>
    <row r="742">
      <c r="A742" s="2" t="str">
        <f t="array" ref="A742">IF(E742="","",XLOOKUP(D742,'Validaciones Cotizador'!C:C,'Validaciones Cotizador'!A:A,"",0,1))</f>
        <v/>
      </c>
      <c r="B742" s="2" t="str">
        <f t="array" ref="B742">IF(F742="","",XLOOKUP(F742,Productos!E:E,Productos!G:G,"",0,1))</f>
        <v/>
      </c>
      <c r="C742" s="2" t="str">
        <f>IF(A742="","",SUMIFS('Validaciones Cotizador'!B:B,'Validaciones Cotizador'!C:C,D742,'Validaciones Cotizador'!A:A,A742))</f>
        <v/>
      </c>
      <c r="D742" s="4" t="str">
        <f>IFERROR(__xludf.DUMMYFUNCTION("IF(OR(F741=""Finalizar"",F741="""",F741=""Selecciona..""),"""",IF(OR(F741=""-"",INDEX(filter(Familias!F:F,Familias!D:D=A741,Familias!E:E=C741),1)=""O""),D741+1,D741))"),"")</f>
        <v/>
      </c>
      <c r="E742" s="2" t="str">
        <f>IF(OR(F742="",F742="Selecciona.."),"",IF(D742="Implemento",SUMIF(Implementos!B:B,F742,Implementos!A:A),SUMIF(Productos!E:E,F742,Productos!A:A)))</f>
        <v/>
      </c>
      <c r="F742" s="2" t="str">
        <f t="shared" si="2"/>
        <v/>
      </c>
      <c r="G742" s="10" t="str">
        <f t="array" ref="G742">IF(OR(F742="",F742="-",F742="Selecciona..",F742="Finalizar"),"",IF(A742="Rodados",XLOOKUP(B742,'Validaciones Cotizador'!I:I,'Validaciones Cotizador'!J:J,0,0,1),1))</f>
        <v/>
      </c>
      <c r="H742" s="11" t="str">
        <f>IF(OR(F742="",F742="Selecciona.."),"",SUMIF(Precio_Productos!K:K,E742,Precio_Productos!J:J)*G742)</f>
        <v/>
      </c>
      <c r="I742" s="4" t="str">
        <f t="array" ref="I742">IF($E742="","", XLOOKUP(SUMIFS(Prod_Prop!$A:$A,Prod_Prop!$B:$B,$E742,Prod_Prop!$H:$H,I$1,Prod_Prop!$I:$I,"Exacto"),Prod_Prop!$A:$A,Prod_Prop!$J:$J,"",0,1))</f>
        <v/>
      </c>
      <c r="J742" s="4" t="str">
        <f t="array" ref="J742">IF($E742="","", XLOOKUP(SUMIFS(Prod_Prop!$A:$A,Prod_Prop!$B:$B,$E742,Prod_Prop!$H:$H,J$1,Prod_Prop!$I:$I,"Exacto"),Prod_Prop!$A:$A,Prod_Prop!$J:$J,"",0,1))</f>
        <v/>
      </c>
      <c r="K742" s="4" t="str">
        <f t="array" ref="K742">IF($E742="","", XLOOKUP(SUMIFS(Prod_Prop!$A:$A,Prod_Prop!$B:$B,$E742,Prod_Prop!$H:$H,K$1,Prod_Prop!$I:$I,"Exacto"),Prod_Prop!$A:$A,Prod_Prop!$J:$J,"",0,1))</f>
        <v/>
      </c>
      <c r="L742" s="4" t="str">
        <f t="array" ref="L742">IF($E742="","", XLOOKUP(SUMIFS(Prod_Prop!$A:$A,Prod_Prop!$B:$B,$E742,Prod_Prop!$H:$H,L$1,Prod_Prop!$I:$I,"Exacto"),Prod_Prop!$A:$A,Prod_Prop!$J:$J,"",0,1))</f>
        <v/>
      </c>
      <c r="M742" s="4" t="str">
        <f t="array" ref="M742">IF($E742="","", XLOOKUP(SUMIFS(Prod_Prop!$A:$A,Prod_Prop!$B:$B,$E742,Prod_Prop!$H:$H,M$1,Prod_Prop!$I:$I,"Exacto"),Prod_Prop!$A:$A,Prod_Prop!$J:$J,"",0,1))</f>
        <v/>
      </c>
      <c r="N742" s="4" t="str">
        <f t="array" ref="N742">IF($E742="","", XLOOKUP(SUMIFS(Prod_Prop!$A:$A,Prod_Prop!$B:$B,$E742,Prod_Prop!$H:$H,N$1,Prod_Prop!$I:$I,"Exacto"),Prod_Prop!$A:$A,Prod_Prop!$J:$J,"",0,1))</f>
        <v/>
      </c>
      <c r="O742" s="4" t="str">
        <f t="array" ref="O742">IF($E742="","", XLOOKUP(SUMIFS(Prod_Prop!$A:$A,Prod_Prop!$B:$B,$E742,Prod_Prop!$H:$H,O$1,Prod_Prop!$I:$I,"Exacto"),Prod_Prop!$A:$A,Prod_Prop!$J:$J,"",0,1))</f>
        <v/>
      </c>
      <c r="P742" s="4" t="str">
        <f t="array" ref="P742">IF($E742="","", XLOOKUP(SUMIFS(Prod_Prop!$A:$A,Prod_Prop!$B:$B,$E742,Prod_Prop!$H:$H,P$1,Prod_Prop!$I:$I,"Exacto"),Prod_Prop!$A:$A,Prod_Prop!$J:$J,"",0,1))</f>
        <v/>
      </c>
      <c r="Q742" s="4" t="str">
        <f t="array" ref="Q742">IF($E742="","", XLOOKUP(SUMIFS(Prod_Prop!$A:$A,Prod_Prop!$B:$B,$E742,Prod_Prop!$H:$H,Q$1,Prod_Prop!$I:$I,"Exacto"),Prod_Prop!$A:$A,Prod_Prop!$J:$J,"",0,1))</f>
        <v/>
      </c>
      <c r="R742" s="4" t="str">
        <f t="array" ref="R742">IF($E742="","", XLOOKUP(SUMIFS(Prod_Prop!$A:$A,Prod_Prop!$B:$B,$E742,Prod_Prop!$H:$H,R$1,Prod_Prop!$I:$I,"Exacto"),Prod_Prop!$A:$A,Prod_Prop!$J:$J,"",0,1))</f>
        <v/>
      </c>
      <c r="S742" s="4" t="str">
        <f t="array" ref="S742">IF($E742="","", XLOOKUP(SUMIFS(Prod_Prop!$A:$A,Prod_Prop!$B:$B,$E742,Prod_Prop!$H:$H,S$1,Prod_Prop!$I:$I,"Exacto"),Prod_Prop!$A:$A,Prod_Prop!$J:$J,"",0,1))</f>
        <v/>
      </c>
      <c r="T742" s="4" t="str">
        <f t="array" ref="T742">IF($E742="","", XLOOKUP(SUMIFS(Prod_Prop!$A:$A,Prod_Prop!$B:$B,$E742,Prod_Prop!$H:$H,T$1,Prod_Prop!$I:$I,"Exacto"),Prod_Prop!$A:$A,Prod_Prop!$J:$J,"",0,1))</f>
        <v/>
      </c>
      <c r="U742" s="4" t="str">
        <f t="array" ref="U742">IF($E742="","", XLOOKUP(SUMIFS(Prod_Prop!$A:$A,Prod_Prop!$B:$B,$E742,Prod_Prop!$H:$H,U$1,Prod_Prop!$I:$I,"Exacto"),Prod_Prop!$A:$A,Prod_Prop!$J:$J,"",0,1))</f>
        <v/>
      </c>
      <c r="V742" s="4" t="str">
        <f t="array" ref="V742">IF($E742="","", XLOOKUP(SUMIFS(Prod_Prop!$A:$A,Prod_Prop!$B:$B,$E742,Prod_Prop!$H:$H,V$1,Prod_Prop!$I:$I,"Exacto"),Prod_Prop!$A:$A,Prod_Prop!$J:$J,"",0,1))</f>
        <v/>
      </c>
      <c r="X742" s="3" t="str">
        <f>IFERROR(__xludf.DUMMYFUNCTION("IF(D742="""","""",IFERROR(TRANSPOSE(FILTER('Validaciones Cotizador'!U:U,'Validaciones Cotizador'!O:O=D742,'Validaciones Cotizador'!T:T=""x"")),""Finalizar""))"),"")</f>
        <v/>
      </c>
    </row>
    <row r="743">
      <c r="A743" s="2" t="str">
        <f t="array" ref="A743">IF(E743="","",XLOOKUP(D743,'Validaciones Cotizador'!C:C,'Validaciones Cotizador'!A:A,"",0,1))</f>
        <v/>
      </c>
      <c r="B743" s="2" t="str">
        <f t="array" ref="B743">IF(F743="","",XLOOKUP(F743,Productos!E:E,Productos!G:G,"",0,1))</f>
        <v/>
      </c>
      <c r="C743" s="2" t="str">
        <f>IF(A743="","",SUMIFS('Validaciones Cotizador'!B:B,'Validaciones Cotizador'!C:C,D743,'Validaciones Cotizador'!A:A,A743))</f>
        <v/>
      </c>
      <c r="D743" s="4" t="str">
        <f>IFERROR(__xludf.DUMMYFUNCTION("IF(OR(F742=""Finalizar"",F742="""",F742=""Selecciona..""),"""",IF(OR(F742=""-"",INDEX(filter(Familias!F:F,Familias!D:D=A742,Familias!E:E=C742),1)=""O""),D742+1,D742))"),"")</f>
        <v/>
      </c>
      <c r="E743" s="2" t="str">
        <f>IF(OR(F743="",F743="Selecciona.."),"",IF(D743="Implemento",SUMIF(Implementos!B:B,F743,Implementos!A:A),SUMIF(Productos!E:E,F743,Productos!A:A)))</f>
        <v/>
      </c>
      <c r="F743" s="2" t="str">
        <f t="shared" si="2"/>
        <v/>
      </c>
      <c r="G743" s="10" t="str">
        <f t="array" ref="G743">IF(OR(F743="",F743="-",F743="Selecciona..",F743="Finalizar"),"",IF(A743="Rodados",XLOOKUP(B743,'Validaciones Cotizador'!I:I,'Validaciones Cotizador'!J:J,0,0,1),1))</f>
        <v/>
      </c>
      <c r="H743" s="11" t="str">
        <f>IF(OR(F743="",F743="Selecciona.."),"",SUMIF(Precio_Productos!K:K,E743,Precio_Productos!J:J)*G743)</f>
        <v/>
      </c>
      <c r="I743" s="4" t="str">
        <f t="array" ref="I743">IF($E743="","", XLOOKUP(SUMIFS(Prod_Prop!$A:$A,Prod_Prop!$B:$B,$E743,Prod_Prop!$H:$H,I$1,Prod_Prop!$I:$I,"Exacto"),Prod_Prop!$A:$A,Prod_Prop!$J:$J,"",0,1))</f>
        <v/>
      </c>
      <c r="J743" s="4" t="str">
        <f t="array" ref="J743">IF($E743="","", XLOOKUP(SUMIFS(Prod_Prop!$A:$A,Prod_Prop!$B:$B,$E743,Prod_Prop!$H:$H,J$1,Prod_Prop!$I:$I,"Exacto"),Prod_Prop!$A:$A,Prod_Prop!$J:$J,"",0,1))</f>
        <v/>
      </c>
      <c r="K743" s="4" t="str">
        <f t="array" ref="K743">IF($E743="","", XLOOKUP(SUMIFS(Prod_Prop!$A:$A,Prod_Prop!$B:$B,$E743,Prod_Prop!$H:$H,K$1,Prod_Prop!$I:$I,"Exacto"),Prod_Prop!$A:$A,Prod_Prop!$J:$J,"",0,1))</f>
        <v/>
      </c>
      <c r="L743" s="4" t="str">
        <f t="array" ref="L743">IF($E743="","", XLOOKUP(SUMIFS(Prod_Prop!$A:$A,Prod_Prop!$B:$B,$E743,Prod_Prop!$H:$H,L$1,Prod_Prop!$I:$I,"Exacto"),Prod_Prop!$A:$A,Prod_Prop!$J:$J,"",0,1))</f>
        <v/>
      </c>
      <c r="M743" s="4" t="str">
        <f t="array" ref="M743">IF($E743="","", XLOOKUP(SUMIFS(Prod_Prop!$A:$A,Prod_Prop!$B:$B,$E743,Prod_Prop!$H:$H,M$1,Prod_Prop!$I:$I,"Exacto"),Prod_Prop!$A:$A,Prod_Prop!$J:$J,"",0,1))</f>
        <v/>
      </c>
      <c r="N743" s="4" t="str">
        <f t="array" ref="N743">IF($E743="","", XLOOKUP(SUMIFS(Prod_Prop!$A:$A,Prod_Prop!$B:$B,$E743,Prod_Prop!$H:$H,N$1,Prod_Prop!$I:$I,"Exacto"),Prod_Prop!$A:$A,Prod_Prop!$J:$J,"",0,1))</f>
        <v/>
      </c>
      <c r="O743" s="4" t="str">
        <f t="array" ref="O743">IF($E743="","", XLOOKUP(SUMIFS(Prod_Prop!$A:$A,Prod_Prop!$B:$B,$E743,Prod_Prop!$H:$H,O$1,Prod_Prop!$I:$I,"Exacto"),Prod_Prop!$A:$A,Prod_Prop!$J:$J,"",0,1))</f>
        <v/>
      </c>
      <c r="P743" s="4" t="str">
        <f t="array" ref="P743">IF($E743="","", XLOOKUP(SUMIFS(Prod_Prop!$A:$A,Prod_Prop!$B:$B,$E743,Prod_Prop!$H:$H,P$1,Prod_Prop!$I:$I,"Exacto"),Prod_Prop!$A:$A,Prod_Prop!$J:$J,"",0,1))</f>
        <v/>
      </c>
      <c r="Q743" s="4" t="str">
        <f t="array" ref="Q743">IF($E743="","", XLOOKUP(SUMIFS(Prod_Prop!$A:$A,Prod_Prop!$B:$B,$E743,Prod_Prop!$H:$H,Q$1,Prod_Prop!$I:$I,"Exacto"),Prod_Prop!$A:$A,Prod_Prop!$J:$J,"",0,1))</f>
        <v/>
      </c>
      <c r="R743" s="4" t="str">
        <f t="array" ref="R743">IF($E743="","", XLOOKUP(SUMIFS(Prod_Prop!$A:$A,Prod_Prop!$B:$B,$E743,Prod_Prop!$H:$H,R$1,Prod_Prop!$I:$I,"Exacto"),Prod_Prop!$A:$A,Prod_Prop!$J:$J,"",0,1))</f>
        <v/>
      </c>
      <c r="S743" s="4" t="str">
        <f t="array" ref="S743">IF($E743="","", XLOOKUP(SUMIFS(Prod_Prop!$A:$A,Prod_Prop!$B:$B,$E743,Prod_Prop!$H:$H,S$1,Prod_Prop!$I:$I,"Exacto"),Prod_Prop!$A:$A,Prod_Prop!$J:$J,"",0,1))</f>
        <v/>
      </c>
      <c r="T743" s="4" t="str">
        <f t="array" ref="T743">IF($E743="","", XLOOKUP(SUMIFS(Prod_Prop!$A:$A,Prod_Prop!$B:$B,$E743,Prod_Prop!$H:$H,T$1,Prod_Prop!$I:$I,"Exacto"),Prod_Prop!$A:$A,Prod_Prop!$J:$J,"",0,1))</f>
        <v/>
      </c>
      <c r="U743" s="4" t="str">
        <f t="array" ref="U743">IF($E743="","", XLOOKUP(SUMIFS(Prod_Prop!$A:$A,Prod_Prop!$B:$B,$E743,Prod_Prop!$H:$H,U$1,Prod_Prop!$I:$I,"Exacto"),Prod_Prop!$A:$A,Prod_Prop!$J:$J,"",0,1))</f>
        <v/>
      </c>
      <c r="V743" s="4" t="str">
        <f t="array" ref="V743">IF($E743="","", XLOOKUP(SUMIFS(Prod_Prop!$A:$A,Prod_Prop!$B:$B,$E743,Prod_Prop!$H:$H,V$1,Prod_Prop!$I:$I,"Exacto"),Prod_Prop!$A:$A,Prod_Prop!$J:$J,"",0,1))</f>
        <v/>
      </c>
      <c r="X743" s="3" t="str">
        <f>IFERROR(__xludf.DUMMYFUNCTION("IF(D743="""","""",IFERROR(TRANSPOSE(FILTER('Validaciones Cotizador'!U:U,'Validaciones Cotizador'!O:O=D743,'Validaciones Cotizador'!T:T=""x"")),""Finalizar""))"),"")</f>
        <v/>
      </c>
    </row>
    <row r="744">
      <c r="A744" s="2" t="str">
        <f t="array" ref="A744">IF(E744="","",XLOOKUP(D744,'Validaciones Cotizador'!C:C,'Validaciones Cotizador'!A:A,"",0,1))</f>
        <v/>
      </c>
      <c r="B744" s="2" t="str">
        <f t="array" ref="B744">IF(F744="","",XLOOKUP(F744,Productos!E:E,Productos!G:G,"",0,1))</f>
        <v/>
      </c>
      <c r="C744" s="2" t="str">
        <f>IF(A744="","",SUMIFS('Validaciones Cotizador'!B:B,'Validaciones Cotizador'!C:C,D744,'Validaciones Cotizador'!A:A,A744))</f>
        <v/>
      </c>
      <c r="D744" s="4" t="str">
        <f>IFERROR(__xludf.DUMMYFUNCTION("IF(OR(F743=""Finalizar"",F743="""",F743=""Selecciona..""),"""",IF(OR(F743=""-"",INDEX(filter(Familias!F:F,Familias!D:D=A743,Familias!E:E=C743),1)=""O""),D743+1,D743))"),"")</f>
        <v/>
      </c>
      <c r="E744" s="2" t="str">
        <f>IF(OR(F744="",F744="Selecciona.."),"",IF(D744="Implemento",SUMIF(Implementos!B:B,F744,Implementos!A:A),SUMIF(Productos!E:E,F744,Productos!A:A)))</f>
        <v/>
      </c>
      <c r="F744" s="2" t="str">
        <f t="shared" si="2"/>
        <v/>
      </c>
      <c r="G744" s="10" t="str">
        <f t="array" ref="G744">IF(OR(F744="",F744="-",F744="Selecciona..",F744="Finalizar"),"",IF(A744="Rodados",XLOOKUP(B744,'Validaciones Cotizador'!I:I,'Validaciones Cotizador'!J:J,0,0,1),1))</f>
        <v/>
      </c>
      <c r="H744" s="11" t="str">
        <f>IF(OR(F744="",F744="Selecciona.."),"",SUMIF(Precio_Productos!K:K,E744,Precio_Productos!J:J)*G744)</f>
        <v/>
      </c>
      <c r="I744" s="4" t="str">
        <f t="array" ref="I744">IF($E744="","", XLOOKUP(SUMIFS(Prod_Prop!$A:$A,Prod_Prop!$B:$B,$E744,Prod_Prop!$H:$H,I$1,Prod_Prop!$I:$I,"Exacto"),Prod_Prop!$A:$A,Prod_Prop!$J:$J,"",0,1))</f>
        <v/>
      </c>
      <c r="J744" s="4" t="str">
        <f t="array" ref="J744">IF($E744="","", XLOOKUP(SUMIFS(Prod_Prop!$A:$A,Prod_Prop!$B:$B,$E744,Prod_Prop!$H:$H,J$1,Prod_Prop!$I:$I,"Exacto"),Prod_Prop!$A:$A,Prod_Prop!$J:$J,"",0,1))</f>
        <v/>
      </c>
      <c r="K744" s="4" t="str">
        <f t="array" ref="K744">IF($E744="","", XLOOKUP(SUMIFS(Prod_Prop!$A:$A,Prod_Prop!$B:$B,$E744,Prod_Prop!$H:$H,K$1,Prod_Prop!$I:$I,"Exacto"),Prod_Prop!$A:$A,Prod_Prop!$J:$J,"",0,1))</f>
        <v/>
      </c>
      <c r="L744" s="4" t="str">
        <f t="array" ref="L744">IF($E744="","", XLOOKUP(SUMIFS(Prod_Prop!$A:$A,Prod_Prop!$B:$B,$E744,Prod_Prop!$H:$H,L$1,Prod_Prop!$I:$I,"Exacto"),Prod_Prop!$A:$A,Prod_Prop!$J:$J,"",0,1))</f>
        <v/>
      </c>
      <c r="M744" s="4" t="str">
        <f t="array" ref="M744">IF($E744="","", XLOOKUP(SUMIFS(Prod_Prop!$A:$A,Prod_Prop!$B:$B,$E744,Prod_Prop!$H:$H,M$1,Prod_Prop!$I:$I,"Exacto"),Prod_Prop!$A:$A,Prod_Prop!$J:$J,"",0,1))</f>
        <v/>
      </c>
      <c r="N744" s="4" t="str">
        <f t="array" ref="N744">IF($E744="","", XLOOKUP(SUMIFS(Prod_Prop!$A:$A,Prod_Prop!$B:$B,$E744,Prod_Prop!$H:$H,N$1,Prod_Prop!$I:$I,"Exacto"),Prod_Prop!$A:$A,Prod_Prop!$J:$J,"",0,1))</f>
        <v/>
      </c>
      <c r="O744" s="4" t="str">
        <f t="array" ref="O744">IF($E744="","", XLOOKUP(SUMIFS(Prod_Prop!$A:$A,Prod_Prop!$B:$B,$E744,Prod_Prop!$H:$H,O$1,Prod_Prop!$I:$I,"Exacto"),Prod_Prop!$A:$A,Prod_Prop!$J:$J,"",0,1))</f>
        <v/>
      </c>
      <c r="P744" s="4" t="str">
        <f t="array" ref="P744">IF($E744="","", XLOOKUP(SUMIFS(Prod_Prop!$A:$A,Prod_Prop!$B:$B,$E744,Prod_Prop!$H:$H,P$1,Prod_Prop!$I:$I,"Exacto"),Prod_Prop!$A:$A,Prod_Prop!$J:$J,"",0,1))</f>
        <v/>
      </c>
      <c r="Q744" s="4" t="str">
        <f t="array" ref="Q744">IF($E744="","", XLOOKUP(SUMIFS(Prod_Prop!$A:$A,Prod_Prop!$B:$B,$E744,Prod_Prop!$H:$H,Q$1,Prod_Prop!$I:$I,"Exacto"),Prod_Prop!$A:$A,Prod_Prop!$J:$J,"",0,1))</f>
        <v/>
      </c>
      <c r="R744" s="4" t="str">
        <f t="array" ref="R744">IF($E744="","", XLOOKUP(SUMIFS(Prod_Prop!$A:$A,Prod_Prop!$B:$B,$E744,Prod_Prop!$H:$H,R$1,Prod_Prop!$I:$I,"Exacto"),Prod_Prop!$A:$A,Prod_Prop!$J:$J,"",0,1))</f>
        <v/>
      </c>
      <c r="S744" s="4" t="str">
        <f t="array" ref="S744">IF($E744="","", XLOOKUP(SUMIFS(Prod_Prop!$A:$A,Prod_Prop!$B:$B,$E744,Prod_Prop!$H:$H,S$1,Prod_Prop!$I:$I,"Exacto"),Prod_Prop!$A:$A,Prod_Prop!$J:$J,"",0,1))</f>
        <v/>
      </c>
      <c r="T744" s="4" t="str">
        <f t="array" ref="T744">IF($E744="","", XLOOKUP(SUMIFS(Prod_Prop!$A:$A,Prod_Prop!$B:$B,$E744,Prod_Prop!$H:$H,T$1,Prod_Prop!$I:$I,"Exacto"),Prod_Prop!$A:$A,Prod_Prop!$J:$J,"",0,1))</f>
        <v/>
      </c>
      <c r="U744" s="4" t="str">
        <f t="array" ref="U744">IF($E744="","", XLOOKUP(SUMIFS(Prod_Prop!$A:$A,Prod_Prop!$B:$B,$E744,Prod_Prop!$H:$H,U$1,Prod_Prop!$I:$I,"Exacto"),Prod_Prop!$A:$A,Prod_Prop!$J:$J,"",0,1))</f>
        <v/>
      </c>
      <c r="V744" s="4" t="str">
        <f t="array" ref="V744">IF($E744="","", XLOOKUP(SUMIFS(Prod_Prop!$A:$A,Prod_Prop!$B:$B,$E744,Prod_Prop!$H:$H,V$1,Prod_Prop!$I:$I,"Exacto"),Prod_Prop!$A:$A,Prod_Prop!$J:$J,"",0,1))</f>
        <v/>
      </c>
      <c r="X744" s="3" t="str">
        <f>IFERROR(__xludf.DUMMYFUNCTION("IF(D744="""","""",IFERROR(TRANSPOSE(FILTER('Validaciones Cotizador'!U:U,'Validaciones Cotizador'!O:O=D744,'Validaciones Cotizador'!T:T=""x"")),""Finalizar""))"),"")</f>
        <v/>
      </c>
    </row>
    <row r="745">
      <c r="A745" s="2" t="str">
        <f t="array" ref="A745">IF(E745="","",XLOOKUP(D745,'Validaciones Cotizador'!C:C,'Validaciones Cotizador'!A:A,"",0,1))</f>
        <v/>
      </c>
      <c r="B745" s="2" t="str">
        <f t="array" ref="B745">IF(F745="","",XLOOKUP(F745,Productos!E:E,Productos!G:G,"",0,1))</f>
        <v/>
      </c>
      <c r="C745" s="2" t="str">
        <f>IF(A745="","",SUMIFS('Validaciones Cotizador'!B:B,'Validaciones Cotizador'!C:C,D745,'Validaciones Cotizador'!A:A,A745))</f>
        <v/>
      </c>
      <c r="D745" s="4" t="str">
        <f>IFERROR(__xludf.DUMMYFUNCTION("IF(OR(F744=""Finalizar"",F744="""",F744=""Selecciona..""),"""",IF(OR(F744=""-"",INDEX(filter(Familias!F:F,Familias!D:D=A744,Familias!E:E=C744),1)=""O""),D744+1,D744))"),"")</f>
        <v/>
      </c>
      <c r="E745" s="2" t="str">
        <f>IF(OR(F745="",F745="Selecciona.."),"",IF(D745="Implemento",SUMIF(Implementos!B:B,F745,Implementos!A:A),SUMIF(Productos!E:E,F745,Productos!A:A)))</f>
        <v/>
      </c>
      <c r="F745" s="2" t="str">
        <f t="shared" si="2"/>
        <v/>
      </c>
      <c r="G745" s="10" t="str">
        <f t="array" ref="G745">IF(OR(F745="",F745="-",F745="Selecciona..",F745="Finalizar"),"",IF(A745="Rodados",XLOOKUP(B745,'Validaciones Cotizador'!I:I,'Validaciones Cotizador'!J:J,0,0,1),1))</f>
        <v/>
      </c>
      <c r="H745" s="11" t="str">
        <f>IF(OR(F745="",F745="Selecciona.."),"",SUMIF(Precio_Productos!K:K,E745,Precio_Productos!J:J)*G745)</f>
        <v/>
      </c>
      <c r="I745" s="4" t="str">
        <f t="array" ref="I745">IF($E745="","", XLOOKUP(SUMIFS(Prod_Prop!$A:$A,Prod_Prop!$B:$B,$E745,Prod_Prop!$H:$H,I$1,Prod_Prop!$I:$I,"Exacto"),Prod_Prop!$A:$A,Prod_Prop!$J:$J,"",0,1))</f>
        <v/>
      </c>
      <c r="J745" s="4" t="str">
        <f t="array" ref="J745">IF($E745="","", XLOOKUP(SUMIFS(Prod_Prop!$A:$A,Prod_Prop!$B:$B,$E745,Prod_Prop!$H:$H,J$1,Prod_Prop!$I:$I,"Exacto"),Prod_Prop!$A:$A,Prod_Prop!$J:$J,"",0,1))</f>
        <v/>
      </c>
      <c r="K745" s="4" t="str">
        <f t="array" ref="K745">IF($E745="","", XLOOKUP(SUMIFS(Prod_Prop!$A:$A,Prod_Prop!$B:$B,$E745,Prod_Prop!$H:$H,K$1,Prod_Prop!$I:$I,"Exacto"),Prod_Prop!$A:$A,Prod_Prop!$J:$J,"",0,1))</f>
        <v/>
      </c>
      <c r="L745" s="4" t="str">
        <f t="array" ref="L745">IF($E745="","", XLOOKUP(SUMIFS(Prod_Prop!$A:$A,Prod_Prop!$B:$B,$E745,Prod_Prop!$H:$H,L$1,Prod_Prop!$I:$I,"Exacto"),Prod_Prop!$A:$A,Prod_Prop!$J:$J,"",0,1))</f>
        <v/>
      </c>
      <c r="M745" s="4" t="str">
        <f t="array" ref="M745">IF($E745="","", XLOOKUP(SUMIFS(Prod_Prop!$A:$A,Prod_Prop!$B:$B,$E745,Prod_Prop!$H:$H,M$1,Prod_Prop!$I:$I,"Exacto"),Prod_Prop!$A:$A,Prod_Prop!$J:$J,"",0,1))</f>
        <v/>
      </c>
      <c r="N745" s="4" t="str">
        <f t="array" ref="N745">IF($E745="","", XLOOKUP(SUMIFS(Prod_Prop!$A:$A,Prod_Prop!$B:$B,$E745,Prod_Prop!$H:$H,N$1,Prod_Prop!$I:$I,"Exacto"),Prod_Prop!$A:$A,Prod_Prop!$J:$J,"",0,1))</f>
        <v/>
      </c>
      <c r="O745" s="4" t="str">
        <f t="array" ref="O745">IF($E745="","", XLOOKUP(SUMIFS(Prod_Prop!$A:$A,Prod_Prop!$B:$B,$E745,Prod_Prop!$H:$H,O$1,Prod_Prop!$I:$I,"Exacto"),Prod_Prop!$A:$A,Prod_Prop!$J:$J,"",0,1))</f>
        <v/>
      </c>
      <c r="P745" s="4" t="str">
        <f t="array" ref="P745">IF($E745="","", XLOOKUP(SUMIFS(Prod_Prop!$A:$A,Prod_Prop!$B:$B,$E745,Prod_Prop!$H:$H,P$1,Prod_Prop!$I:$I,"Exacto"),Prod_Prop!$A:$A,Prod_Prop!$J:$J,"",0,1))</f>
        <v/>
      </c>
      <c r="Q745" s="4" t="str">
        <f t="array" ref="Q745">IF($E745="","", XLOOKUP(SUMIFS(Prod_Prop!$A:$A,Prod_Prop!$B:$B,$E745,Prod_Prop!$H:$H,Q$1,Prod_Prop!$I:$I,"Exacto"),Prod_Prop!$A:$A,Prod_Prop!$J:$J,"",0,1))</f>
        <v/>
      </c>
      <c r="R745" s="4" t="str">
        <f t="array" ref="R745">IF($E745="","", XLOOKUP(SUMIFS(Prod_Prop!$A:$A,Prod_Prop!$B:$B,$E745,Prod_Prop!$H:$H,R$1,Prod_Prop!$I:$I,"Exacto"),Prod_Prop!$A:$A,Prod_Prop!$J:$J,"",0,1))</f>
        <v/>
      </c>
      <c r="S745" s="4" t="str">
        <f t="array" ref="S745">IF($E745="","", XLOOKUP(SUMIFS(Prod_Prop!$A:$A,Prod_Prop!$B:$B,$E745,Prod_Prop!$H:$H,S$1,Prod_Prop!$I:$I,"Exacto"),Prod_Prop!$A:$A,Prod_Prop!$J:$J,"",0,1))</f>
        <v/>
      </c>
      <c r="T745" s="4" t="str">
        <f t="array" ref="T745">IF($E745="","", XLOOKUP(SUMIFS(Prod_Prop!$A:$A,Prod_Prop!$B:$B,$E745,Prod_Prop!$H:$H,T$1,Prod_Prop!$I:$I,"Exacto"),Prod_Prop!$A:$A,Prod_Prop!$J:$J,"",0,1))</f>
        <v/>
      </c>
      <c r="U745" s="4" t="str">
        <f t="array" ref="U745">IF($E745="","", XLOOKUP(SUMIFS(Prod_Prop!$A:$A,Prod_Prop!$B:$B,$E745,Prod_Prop!$H:$H,U$1,Prod_Prop!$I:$I,"Exacto"),Prod_Prop!$A:$A,Prod_Prop!$J:$J,"",0,1))</f>
        <v/>
      </c>
      <c r="V745" s="4" t="str">
        <f t="array" ref="V745">IF($E745="","", XLOOKUP(SUMIFS(Prod_Prop!$A:$A,Prod_Prop!$B:$B,$E745,Prod_Prop!$H:$H,V$1,Prod_Prop!$I:$I,"Exacto"),Prod_Prop!$A:$A,Prod_Prop!$J:$J,"",0,1))</f>
        <v/>
      </c>
      <c r="X745" s="3" t="str">
        <f>IFERROR(__xludf.DUMMYFUNCTION("IF(D745="""","""",IFERROR(TRANSPOSE(FILTER('Validaciones Cotizador'!U:U,'Validaciones Cotizador'!O:O=D745,'Validaciones Cotizador'!T:T=""x"")),""Finalizar""))"),"")</f>
        <v/>
      </c>
    </row>
    <row r="746">
      <c r="A746" s="2" t="str">
        <f t="array" ref="A746">IF(E746="","",XLOOKUP(D746,'Validaciones Cotizador'!C:C,'Validaciones Cotizador'!A:A,"",0,1))</f>
        <v/>
      </c>
      <c r="B746" s="2" t="str">
        <f t="array" ref="B746">IF(F746="","",XLOOKUP(F746,Productos!E:E,Productos!G:G,"",0,1))</f>
        <v/>
      </c>
      <c r="C746" s="2" t="str">
        <f>IF(A746="","",SUMIFS('Validaciones Cotizador'!B:B,'Validaciones Cotizador'!C:C,D746,'Validaciones Cotizador'!A:A,A746))</f>
        <v/>
      </c>
      <c r="D746" s="4" t="str">
        <f>IFERROR(__xludf.DUMMYFUNCTION("IF(OR(F745=""Finalizar"",F745="""",F745=""Selecciona..""),"""",IF(OR(F745=""-"",INDEX(filter(Familias!F:F,Familias!D:D=A745,Familias!E:E=C745),1)=""O""),D745+1,D745))"),"")</f>
        <v/>
      </c>
      <c r="E746" s="2" t="str">
        <f>IF(OR(F746="",F746="Selecciona.."),"",IF(D746="Implemento",SUMIF(Implementos!B:B,F746,Implementos!A:A),SUMIF(Productos!E:E,F746,Productos!A:A)))</f>
        <v/>
      </c>
      <c r="F746" s="2" t="str">
        <f t="shared" si="2"/>
        <v/>
      </c>
      <c r="G746" s="10" t="str">
        <f t="array" ref="G746">IF(OR(F746="",F746="-",F746="Selecciona..",F746="Finalizar"),"",IF(A746="Rodados",XLOOKUP(B746,'Validaciones Cotizador'!I:I,'Validaciones Cotizador'!J:J,0,0,1),1))</f>
        <v/>
      </c>
      <c r="H746" s="11" t="str">
        <f>IF(OR(F746="",F746="Selecciona.."),"",SUMIF(Precio_Productos!K:K,E746,Precio_Productos!J:J)*G746)</f>
        <v/>
      </c>
      <c r="I746" s="4" t="str">
        <f t="array" ref="I746">IF($E746="","", XLOOKUP(SUMIFS(Prod_Prop!$A:$A,Prod_Prop!$B:$B,$E746,Prod_Prop!$H:$H,I$1,Prod_Prop!$I:$I,"Exacto"),Prod_Prop!$A:$A,Prod_Prop!$J:$J,"",0,1))</f>
        <v/>
      </c>
      <c r="J746" s="4" t="str">
        <f t="array" ref="J746">IF($E746="","", XLOOKUP(SUMIFS(Prod_Prop!$A:$A,Prod_Prop!$B:$B,$E746,Prod_Prop!$H:$H,J$1,Prod_Prop!$I:$I,"Exacto"),Prod_Prop!$A:$A,Prod_Prop!$J:$J,"",0,1))</f>
        <v/>
      </c>
      <c r="K746" s="4" t="str">
        <f t="array" ref="K746">IF($E746="","", XLOOKUP(SUMIFS(Prod_Prop!$A:$A,Prod_Prop!$B:$B,$E746,Prod_Prop!$H:$H,K$1,Prod_Prop!$I:$I,"Exacto"),Prod_Prop!$A:$A,Prod_Prop!$J:$J,"",0,1))</f>
        <v/>
      </c>
      <c r="L746" s="4" t="str">
        <f t="array" ref="L746">IF($E746="","", XLOOKUP(SUMIFS(Prod_Prop!$A:$A,Prod_Prop!$B:$B,$E746,Prod_Prop!$H:$H,L$1,Prod_Prop!$I:$I,"Exacto"),Prod_Prop!$A:$A,Prod_Prop!$J:$J,"",0,1))</f>
        <v/>
      </c>
      <c r="M746" s="4" t="str">
        <f t="array" ref="M746">IF($E746="","", XLOOKUP(SUMIFS(Prod_Prop!$A:$A,Prod_Prop!$B:$B,$E746,Prod_Prop!$H:$H,M$1,Prod_Prop!$I:$I,"Exacto"),Prod_Prop!$A:$A,Prod_Prop!$J:$J,"",0,1))</f>
        <v/>
      </c>
      <c r="N746" s="4" t="str">
        <f t="array" ref="N746">IF($E746="","", XLOOKUP(SUMIFS(Prod_Prop!$A:$A,Prod_Prop!$B:$B,$E746,Prod_Prop!$H:$H,N$1,Prod_Prop!$I:$I,"Exacto"),Prod_Prop!$A:$A,Prod_Prop!$J:$J,"",0,1))</f>
        <v/>
      </c>
      <c r="O746" s="4" t="str">
        <f t="array" ref="O746">IF($E746="","", XLOOKUP(SUMIFS(Prod_Prop!$A:$A,Prod_Prop!$B:$B,$E746,Prod_Prop!$H:$H,O$1,Prod_Prop!$I:$I,"Exacto"),Prod_Prop!$A:$A,Prod_Prop!$J:$J,"",0,1))</f>
        <v/>
      </c>
      <c r="P746" s="4" t="str">
        <f t="array" ref="P746">IF($E746="","", XLOOKUP(SUMIFS(Prod_Prop!$A:$A,Prod_Prop!$B:$B,$E746,Prod_Prop!$H:$H,P$1,Prod_Prop!$I:$I,"Exacto"),Prod_Prop!$A:$A,Prod_Prop!$J:$J,"",0,1))</f>
        <v/>
      </c>
      <c r="Q746" s="4" t="str">
        <f t="array" ref="Q746">IF($E746="","", XLOOKUP(SUMIFS(Prod_Prop!$A:$A,Prod_Prop!$B:$B,$E746,Prod_Prop!$H:$H,Q$1,Prod_Prop!$I:$I,"Exacto"),Prod_Prop!$A:$A,Prod_Prop!$J:$J,"",0,1))</f>
        <v/>
      </c>
      <c r="R746" s="4" t="str">
        <f t="array" ref="R746">IF($E746="","", XLOOKUP(SUMIFS(Prod_Prop!$A:$A,Prod_Prop!$B:$B,$E746,Prod_Prop!$H:$H,R$1,Prod_Prop!$I:$I,"Exacto"),Prod_Prop!$A:$A,Prod_Prop!$J:$J,"",0,1))</f>
        <v/>
      </c>
      <c r="S746" s="4" t="str">
        <f t="array" ref="S746">IF($E746="","", XLOOKUP(SUMIFS(Prod_Prop!$A:$A,Prod_Prop!$B:$B,$E746,Prod_Prop!$H:$H,S$1,Prod_Prop!$I:$I,"Exacto"),Prod_Prop!$A:$A,Prod_Prop!$J:$J,"",0,1))</f>
        <v/>
      </c>
      <c r="T746" s="4" t="str">
        <f t="array" ref="T746">IF($E746="","", XLOOKUP(SUMIFS(Prod_Prop!$A:$A,Prod_Prop!$B:$B,$E746,Prod_Prop!$H:$H,T$1,Prod_Prop!$I:$I,"Exacto"),Prod_Prop!$A:$A,Prod_Prop!$J:$J,"",0,1))</f>
        <v/>
      </c>
      <c r="U746" s="4" t="str">
        <f t="array" ref="U746">IF($E746="","", XLOOKUP(SUMIFS(Prod_Prop!$A:$A,Prod_Prop!$B:$B,$E746,Prod_Prop!$H:$H,U$1,Prod_Prop!$I:$I,"Exacto"),Prod_Prop!$A:$A,Prod_Prop!$J:$J,"",0,1))</f>
        <v/>
      </c>
      <c r="V746" s="4" t="str">
        <f t="array" ref="V746">IF($E746="","", XLOOKUP(SUMIFS(Prod_Prop!$A:$A,Prod_Prop!$B:$B,$E746,Prod_Prop!$H:$H,V$1,Prod_Prop!$I:$I,"Exacto"),Prod_Prop!$A:$A,Prod_Prop!$J:$J,"",0,1))</f>
        <v/>
      </c>
      <c r="X746" s="3" t="str">
        <f>IFERROR(__xludf.DUMMYFUNCTION("IF(D746="""","""",IFERROR(TRANSPOSE(FILTER('Validaciones Cotizador'!U:U,'Validaciones Cotizador'!O:O=D746,'Validaciones Cotizador'!T:T=""x"")),""Finalizar""))"),"")</f>
        <v/>
      </c>
    </row>
    <row r="747">
      <c r="A747" s="2" t="str">
        <f t="array" ref="A747">IF(E747="","",XLOOKUP(D747,'Validaciones Cotizador'!C:C,'Validaciones Cotizador'!A:A,"",0,1))</f>
        <v/>
      </c>
      <c r="B747" s="2" t="str">
        <f t="array" ref="B747">IF(F747="","",XLOOKUP(F747,Productos!E:E,Productos!G:G,"",0,1))</f>
        <v/>
      </c>
      <c r="C747" s="2" t="str">
        <f>IF(A747="","",SUMIFS('Validaciones Cotizador'!B:B,'Validaciones Cotizador'!C:C,D747,'Validaciones Cotizador'!A:A,A747))</f>
        <v/>
      </c>
      <c r="D747" s="4" t="str">
        <f>IFERROR(__xludf.DUMMYFUNCTION("IF(OR(F746=""Finalizar"",F746="""",F746=""Selecciona..""),"""",IF(OR(F746=""-"",INDEX(filter(Familias!F:F,Familias!D:D=A746,Familias!E:E=C746),1)=""O""),D746+1,D746))"),"")</f>
        <v/>
      </c>
      <c r="E747" s="2" t="str">
        <f>IF(OR(F747="",F747="Selecciona.."),"",IF(D747="Implemento",SUMIF(Implementos!B:B,F747,Implementos!A:A),SUMIF(Productos!E:E,F747,Productos!A:A)))</f>
        <v/>
      </c>
      <c r="F747" s="2" t="str">
        <f t="shared" si="2"/>
        <v/>
      </c>
      <c r="G747" s="10" t="str">
        <f t="array" ref="G747">IF(OR(F747="",F747="-",F747="Selecciona..",F747="Finalizar"),"",IF(A747="Rodados",XLOOKUP(B747,'Validaciones Cotizador'!I:I,'Validaciones Cotizador'!J:J,0,0,1),1))</f>
        <v/>
      </c>
      <c r="H747" s="11" t="str">
        <f>IF(OR(F747="",F747="Selecciona.."),"",SUMIF(Precio_Productos!K:K,E747,Precio_Productos!J:J)*G747)</f>
        <v/>
      </c>
      <c r="I747" s="4" t="str">
        <f t="array" ref="I747">IF($E747="","", XLOOKUP(SUMIFS(Prod_Prop!$A:$A,Prod_Prop!$B:$B,$E747,Prod_Prop!$H:$H,I$1,Prod_Prop!$I:$I,"Exacto"),Prod_Prop!$A:$A,Prod_Prop!$J:$J,"",0,1))</f>
        <v/>
      </c>
      <c r="J747" s="4" t="str">
        <f t="array" ref="J747">IF($E747="","", XLOOKUP(SUMIFS(Prod_Prop!$A:$A,Prod_Prop!$B:$B,$E747,Prod_Prop!$H:$H,J$1,Prod_Prop!$I:$I,"Exacto"),Prod_Prop!$A:$A,Prod_Prop!$J:$J,"",0,1))</f>
        <v/>
      </c>
      <c r="K747" s="4" t="str">
        <f t="array" ref="K747">IF($E747="","", XLOOKUP(SUMIFS(Prod_Prop!$A:$A,Prod_Prop!$B:$B,$E747,Prod_Prop!$H:$H,K$1,Prod_Prop!$I:$I,"Exacto"),Prod_Prop!$A:$A,Prod_Prop!$J:$J,"",0,1))</f>
        <v/>
      </c>
      <c r="L747" s="4" t="str">
        <f t="array" ref="L747">IF($E747="","", XLOOKUP(SUMIFS(Prod_Prop!$A:$A,Prod_Prop!$B:$B,$E747,Prod_Prop!$H:$H,L$1,Prod_Prop!$I:$I,"Exacto"),Prod_Prop!$A:$A,Prod_Prop!$J:$J,"",0,1))</f>
        <v/>
      </c>
      <c r="M747" s="4" t="str">
        <f t="array" ref="M747">IF($E747="","", XLOOKUP(SUMIFS(Prod_Prop!$A:$A,Prod_Prop!$B:$B,$E747,Prod_Prop!$H:$H,M$1,Prod_Prop!$I:$I,"Exacto"),Prod_Prop!$A:$A,Prod_Prop!$J:$J,"",0,1))</f>
        <v/>
      </c>
      <c r="N747" s="4" t="str">
        <f t="array" ref="N747">IF($E747="","", XLOOKUP(SUMIFS(Prod_Prop!$A:$A,Prod_Prop!$B:$B,$E747,Prod_Prop!$H:$H,N$1,Prod_Prop!$I:$I,"Exacto"),Prod_Prop!$A:$A,Prod_Prop!$J:$J,"",0,1))</f>
        <v/>
      </c>
      <c r="O747" s="4" t="str">
        <f t="array" ref="O747">IF($E747="","", XLOOKUP(SUMIFS(Prod_Prop!$A:$A,Prod_Prop!$B:$B,$E747,Prod_Prop!$H:$H,O$1,Prod_Prop!$I:$I,"Exacto"),Prod_Prop!$A:$A,Prod_Prop!$J:$J,"",0,1))</f>
        <v/>
      </c>
      <c r="P747" s="4" t="str">
        <f t="array" ref="P747">IF($E747="","", XLOOKUP(SUMIFS(Prod_Prop!$A:$A,Prod_Prop!$B:$B,$E747,Prod_Prop!$H:$H,P$1,Prod_Prop!$I:$I,"Exacto"),Prod_Prop!$A:$A,Prod_Prop!$J:$J,"",0,1))</f>
        <v/>
      </c>
      <c r="Q747" s="4" t="str">
        <f t="array" ref="Q747">IF($E747="","", XLOOKUP(SUMIFS(Prod_Prop!$A:$A,Prod_Prop!$B:$B,$E747,Prod_Prop!$H:$H,Q$1,Prod_Prop!$I:$I,"Exacto"),Prod_Prop!$A:$A,Prod_Prop!$J:$J,"",0,1))</f>
        <v/>
      </c>
      <c r="R747" s="4" t="str">
        <f t="array" ref="R747">IF($E747="","", XLOOKUP(SUMIFS(Prod_Prop!$A:$A,Prod_Prop!$B:$B,$E747,Prod_Prop!$H:$H,R$1,Prod_Prop!$I:$I,"Exacto"),Prod_Prop!$A:$A,Prod_Prop!$J:$J,"",0,1))</f>
        <v/>
      </c>
      <c r="S747" s="4" t="str">
        <f t="array" ref="S747">IF($E747="","", XLOOKUP(SUMIFS(Prod_Prop!$A:$A,Prod_Prop!$B:$B,$E747,Prod_Prop!$H:$H,S$1,Prod_Prop!$I:$I,"Exacto"),Prod_Prop!$A:$A,Prod_Prop!$J:$J,"",0,1))</f>
        <v/>
      </c>
      <c r="T747" s="4" t="str">
        <f t="array" ref="T747">IF($E747="","", XLOOKUP(SUMIFS(Prod_Prop!$A:$A,Prod_Prop!$B:$B,$E747,Prod_Prop!$H:$H,T$1,Prod_Prop!$I:$I,"Exacto"),Prod_Prop!$A:$A,Prod_Prop!$J:$J,"",0,1))</f>
        <v/>
      </c>
      <c r="U747" s="4" t="str">
        <f t="array" ref="U747">IF($E747="","", XLOOKUP(SUMIFS(Prod_Prop!$A:$A,Prod_Prop!$B:$B,$E747,Prod_Prop!$H:$H,U$1,Prod_Prop!$I:$I,"Exacto"),Prod_Prop!$A:$A,Prod_Prop!$J:$J,"",0,1))</f>
        <v/>
      </c>
      <c r="V747" s="4" t="str">
        <f t="array" ref="V747">IF($E747="","", XLOOKUP(SUMIFS(Prod_Prop!$A:$A,Prod_Prop!$B:$B,$E747,Prod_Prop!$H:$H,V$1,Prod_Prop!$I:$I,"Exacto"),Prod_Prop!$A:$A,Prod_Prop!$J:$J,"",0,1))</f>
        <v/>
      </c>
      <c r="X747" s="3" t="str">
        <f>IFERROR(__xludf.DUMMYFUNCTION("IF(D747="""","""",IFERROR(TRANSPOSE(FILTER('Validaciones Cotizador'!U:U,'Validaciones Cotizador'!O:O=D747,'Validaciones Cotizador'!T:T=""x"")),""Finalizar""))"),"")</f>
        <v/>
      </c>
    </row>
    <row r="748">
      <c r="A748" s="2" t="str">
        <f t="array" ref="A748">IF(E748="","",XLOOKUP(D748,'Validaciones Cotizador'!C:C,'Validaciones Cotizador'!A:A,"",0,1))</f>
        <v/>
      </c>
      <c r="B748" s="2" t="str">
        <f t="array" ref="B748">IF(F748="","",XLOOKUP(F748,Productos!E:E,Productos!G:G,"",0,1))</f>
        <v/>
      </c>
      <c r="C748" s="2" t="str">
        <f>IF(A748="","",SUMIFS('Validaciones Cotizador'!B:B,'Validaciones Cotizador'!C:C,D748,'Validaciones Cotizador'!A:A,A748))</f>
        <v/>
      </c>
      <c r="D748" s="4" t="str">
        <f>IFERROR(__xludf.DUMMYFUNCTION("IF(OR(F747=""Finalizar"",F747="""",F747=""Selecciona..""),"""",IF(OR(F747=""-"",INDEX(filter(Familias!F:F,Familias!D:D=A747,Familias!E:E=C747),1)=""O""),D747+1,D747))"),"")</f>
        <v/>
      </c>
      <c r="E748" s="2" t="str">
        <f>IF(OR(F748="",F748="Selecciona.."),"",IF(D748="Implemento",SUMIF(Implementos!B:B,F748,Implementos!A:A),SUMIF(Productos!E:E,F748,Productos!A:A)))</f>
        <v/>
      </c>
      <c r="F748" s="2" t="str">
        <f t="shared" si="2"/>
        <v/>
      </c>
      <c r="G748" s="10" t="str">
        <f t="array" ref="G748">IF(OR(F748="",F748="-",F748="Selecciona..",F748="Finalizar"),"",IF(A748="Rodados",XLOOKUP(B748,'Validaciones Cotizador'!I:I,'Validaciones Cotizador'!J:J,0,0,1),1))</f>
        <v/>
      </c>
      <c r="H748" s="11" t="str">
        <f>IF(OR(F748="",F748="Selecciona.."),"",SUMIF(Precio_Productos!K:K,E748,Precio_Productos!J:J)*G748)</f>
        <v/>
      </c>
      <c r="I748" s="4" t="str">
        <f t="array" ref="I748">IF($E748="","", XLOOKUP(SUMIFS(Prod_Prop!$A:$A,Prod_Prop!$B:$B,$E748,Prod_Prop!$H:$H,I$1,Prod_Prop!$I:$I,"Exacto"),Prod_Prop!$A:$A,Prod_Prop!$J:$J,"",0,1))</f>
        <v/>
      </c>
      <c r="J748" s="4" t="str">
        <f t="array" ref="J748">IF($E748="","", XLOOKUP(SUMIFS(Prod_Prop!$A:$A,Prod_Prop!$B:$B,$E748,Prod_Prop!$H:$H,J$1,Prod_Prop!$I:$I,"Exacto"),Prod_Prop!$A:$A,Prod_Prop!$J:$J,"",0,1))</f>
        <v/>
      </c>
      <c r="K748" s="4" t="str">
        <f t="array" ref="K748">IF($E748="","", XLOOKUP(SUMIFS(Prod_Prop!$A:$A,Prod_Prop!$B:$B,$E748,Prod_Prop!$H:$H,K$1,Prod_Prop!$I:$I,"Exacto"),Prod_Prop!$A:$A,Prod_Prop!$J:$J,"",0,1))</f>
        <v/>
      </c>
      <c r="L748" s="4" t="str">
        <f t="array" ref="L748">IF($E748="","", XLOOKUP(SUMIFS(Prod_Prop!$A:$A,Prod_Prop!$B:$B,$E748,Prod_Prop!$H:$H,L$1,Prod_Prop!$I:$I,"Exacto"),Prod_Prop!$A:$A,Prod_Prop!$J:$J,"",0,1))</f>
        <v/>
      </c>
      <c r="M748" s="4" t="str">
        <f t="array" ref="M748">IF($E748="","", XLOOKUP(SUMIFS(Prod_Prop!$A:$A,Prod_Prop!$B:$B,$E748,Prod_Prop!$H:$H,M$1,Prod_Prop!$I:$I,"Exacto"),Prod_Prop!$A:$A,Prod_Prop!$J:$J,"",0,1))</f>
        <v/>
      </c>
      <c r="N748" s="4" t="str">
        <f t="array" ref="N748">IF($E748="","", XLOOKUP(SUMIFS(Prod_Prop!$A:$A,Prod_Prop!$B:$B,$E748,Prod_Prop!$H:$H,N$1,Prod_Prop!$I:$I,"Exacto"),Prod_Prop!$A:$A,Prod_Prop!$J:$J,"",0,1))</f>
        <v/>
      </c>
      <c r="O748" s="4" t="str">
        <f t="array" ref="O748">IF($E748="","", XLOOKUP(SUMIFS(Prod_Prop!$A:$A,Prod_Prop!$B:$B,$E748,Prod_Prop!$H:$H,O$1,Prod_Prop!$I:$I,"Exacto"),Prod_Prop!$A:$A,Prod_Prop!$J:$J,"",0,1))</f>
        <v/>
      </c>
      <c r="P748" s="4" t="str">
        <f t="array" ref="P748">IF($E748="","", XLOOKUP(SUMIFS(Prod_Prop!$A:$A,Prod_Prop!$B:$B,$E748,Prod_Prop!$H:$H,P$1,Prod_Prop!$I:$I,"Exacto"),Prod_Prop!$A:$A,Prod_Prop!$J:$J,"",0,1))</f>
        <v/>
      </c>
      <c r="Q748" s="4" t="str">
        <f t="array" ref="Q748">IF($E748="","", XLOOKUP(SUMIFS(Prod_Prop!$A:$A,Prod_Prop!$B:$B,$E748,Prod_Prop!$H:$H,Q$1,Prod_Prop!$I:$I,"Exacto"),Prod_Prop!$A:$A,Prod_Prop!$J:$J,"",0,1))</f>
        <v/>
      </c>
      <c r="R748" s="4" t="str">
        <f t="array" ref="R748">IF($E748="","", XLOOKUP(SUMIFS(Prod_Prop!$A:$A,Prod_Prop!$B:$B,$E748,Prod_Prop!$H:$H,R$1,Prod_Prop!$I:$I,"Exacto"),Prod_Prop!$A:$A,Prod_Prop!$J:$J,"",0,1))</f>
        <v/>
      </c>
      <c r="S748" s="4" t="str">
        <f t="array" ref="S748">IF($E748="","", XLOOKUP(SUMIFS(Prod_Prop!$A:$A,Prod_Prop!$B:$B,$E748,Prod_Prop!$H:$H,S$1,Prod_Prop!$I:$I,"Exacto"),Prod_Prop!$A:$A,Prod_Prop!$J:$J,"",0,1))</f>
        <v/>
      </c>
      <c r="T748" s="4" t="str">
        <f t="array" ref="T748">IF($E748="","", XLOOKUP(SUMIFS(Prod_Prop!$A:$A,Prod_Prop!$B:$B,$E748,Prod_Prop!$H:$H,T$1,Prod_Prop!$I:$I,"Exacto"),Prod_Prop!$A:$A,Prod_Prop!$J:$J,"",0,1))</f>
        <v/>
      </c>
      <c r="U748" s="4" t="str">
        <f t="array" ref="U748">IF($E748="","", XLOOKUP(SUMIFS(Prod_Prop!$A:$A,Prod_Prop!$B:$B,$E748,Prod_Prop!$H:$H,U$1,Prod_Prop!$I:$I,"Exacto"),Prod_Prop!$A:$A,Prod_Prop!$J:$J,"",0,1))</f>
        <v/>
      </c>
      <c r="V748" s="4" t="str">
        <f t="array" ref="V748">IF($E748="","", XLOOKUP(SUMIFS(Prod_Prop!$A:$A,Prod_Prop!$B:$B,$E748,Prod_Prop!$H:$H,V$1,Prod_Prop!$I:$I,"Exacto"),Prod_Prop!$A:$A,Prod_Prop!$J:$J,"",0,1))</f>
        <v/>
      </c>
      <c r="X748" s="3" t="str">
        <f>IFERROR(__xludf.DUMMYFUNCTION("IF(D748="""","""",IFERROR(TRANSPOSE(FILTER('Validaciones Cotizador'!U:U,'Validaciones Cotizador'!O:O=D748,'Validaciones Cotizador'!T:T=""x"")),""Finalizar""))"),"")</f>
        <v/>
      </c>
    </row>
    <row r="749">
      <c r="A749" s="2" t="str">
        <f t="array" ref="A749">IF(E749="","",XLOOKUP(D749,'Validaciones Cotizador'!C:C,'Validaciones Cotizador'!A:A,"",0,1))</f>
        <v/>
      </c>
      <c r="B749" s="2" t="str">
        <f t="array" ref="B749">IF(F749="","",XLOOKUP(F749,Productos!E:E,Productos!G:G,"",0,1))</f>
        <v/>
      </c>
      <c r="C749" s="2" t="str">
        <f>IF(A749="","",SUMIFS('Validaciones Cotizador'!B:B,'Validaciones Cotizador'!C:C,D749,'Validaciones Cotizador'!A:A,A749))</f>
        <v/>
      </c>
      <c r="D749" s="4" t="str">
        <f>IFERROR(__xludf.DUMMYFUNCTION("IF(OR(F748=""Finalizar"",F748="""",F748=""Selecciona..""),"""",IF(OR(F748=""-"",INDEX(filter(Familias!F:F,Familias!D:D=A748,Familias!E:E=C748),1)=""O""),D748+1,D748))"),"")</f>
        <v/>
      </c>
      <c r="E749" s="2" t="str">
        <f>IF(OR(F749="",F749="Selecciona.."),"",IF(D749="Implemento",SUMIF(Implementos!B:B,F749,Implementos!A:A),SUMIF(Productos!E:E,F749,Productos!A:A)))</f>
        <v/>
      </c>
      <c r="F749" s="2" t="str">
        <f t="shared" si="2"/>
        <v/>
      </c>
      <c r="G749" s="10" t="str">
        <f t="array" ref="G749">IF(OR(F749="",F749="-",F749="Selecciona..",F749="Finalizar"),"",IF(A749="Rodados",XLOOKUP(B749,'Validaciones Cotizador'!I:I,'Validaciones Cotizador'!J:J,0,0,1),1))</f>
        <v/>
      </c>
      <c r="H749" s="11" t="str">
        <f>IF(OR(F749="",F749="Selecciona.."),"",SUMIF(Precio_Productos!K:K,E749,Precio_Productos!J:J)*G749)</f>
        <v/>
      </c>
      <c r="I749" s="4" t="str">
        <f t="array" ref="I749">IF($E749="","", XLOOKUP(SUMIFS(Prod_Prop!$A:$A,Prod_Prop!$B:$B,$E749,Prod_Prop!$H:$H,I$1,Prod_Prop!$I:$I,"Exacto"),Prod_Prop!$A:$A,Prod_Prop!$J:$J,"",0,1))</f>
        <v/>
      </c>
      <c r="J749" s="4" t="str">
        <f t="array" ref="J749">IF($E749="","", XLOOKUP(SUMIFS(Prod_Prop!$A:$A,Prod_Prop!$B:$B,$E749,Prod_Prop!$H:$H,J$1,Prod_Prop!$I:$I,"Exacto"),Prod_Prop!$A:$A,Prod_Prop!$J:$J,"",0,1))</f>
        <v/>
      </c>
      <c r="K749" s="4" t="str">
        <f t="array" ref="K749">IF($E749="","", XLOOKUP(SUMIFS(Prod_Prop!$A:$A,Prod_Prop!$B:$B,$E749,Prod_Prop!$H:$H,K$1,Prod_Prop!$I:$I,"Exacto"),Prod_Prop!$A:$A,Prod_Prop!$J:$J,"",0,1))</f>
        <v/>
      </c>
      <c r="L749" s="4" t="str">
        <f t="array" ref="L749">IF($E749="","", XLOOKUP(SUMIFS(Prod_Prop!$A:$A,Prod_Prop!$B:$B,$E749,Prod_Prop!$H:$H,L$1,Prod_Prop!$I:$I,"Exacto"),Prod_Prop!$A:$A,Prod_Prop!$J:$J,"",0,1))</f>
        <v/>
      </c>
      <c r="M749" s="4" t="str">
        <f t="array" ref="M749">IF($E749="","", XLOOKUP(SUMIFS(Prod_Prop!$A:$A,Prod_Prop!$B:$B,$E749,Prod_Prop!$H:$H,M$1,Prod_Prop!$I:$I,"Exacto"),Prod_Prop!$A:$A,Prod_Prop!$J:$J,"",0,1))</f>
        <v/>
      </c>
      <c r="N749" s="4" t="str">
        <f t="array" ref="N749">IF($E749="","", XLOOKUP(SUMIFS(Prod_Prop!$A:$A,Prod_Prop!$B:$B,$E749,Prod_Prop!$H:$H,N$1,Prod_Prop!$I:$I,"Exacto"),Prod_Prop!$A:$A,Prod_Prop!$J:$J,"",0,1))</f>
        <v/>
      </c>
      <c r="O749" s="4" t="str">
        <f t="array" ref="O749">IF($E749="","", XLOOKUP(SUMIFS(Prod_Prop!$A:$A,Prod_Prop!$B:$B,$E749,Prod_Prop!$H:$H,O$1,Prod_Prop!$I:$I,"Exacto"),Prod_Prop!$A:$A,Prod_Prop!$J:$J,"",0,1))</f>
        <v/>
      </c>
      <c r="P749" s="4" t="str">
        <f t="array" ref="P749">IF($E749="","", XLOOKUP(SUMIFS(Prod_Prop!$A:$A,Prod_Prop!$B:$B,$E749,Prod_Prop!$H:$H,P$1,Prod_Prop!$I:$I,"Exacto"),Prod_Prop!$A:$A,Prod_Prop!$J:$J,"",0,1))</f>
        <v/>
      </c>
      <c r="Q749" s="4" t="str">
        <f t="array" ref="Q749">IF($E749="","", XLOOKUP(SUMIFS(Prod_Prop!$A:$A,Prod_Prop!$B:$B,$E749,Prod_Prop!$H:$H,Q$1,Prod_Prop!$I:$I,"Exacto"),Prod_Prop!$A:$A,Prod_Prop!$J:$J,"",0,1))</f>
        <v/>
      </c>
      <c r="R749" s="4" t="str">
        <f t="array" ref="R749">IF($E749="","", XLOOKUP(SUMIFS(Prod_Prop!$A:$A,Prod_Prop!$B:$B,$E749,Prod_Prop!$H:$H,R$1,Prod_Prop!$I:$I,"Exacto"),Prod_Prop!$A:$A,Prod_Prop!$J:$J,"",0,1))</f>
        <v/>
      </c>
      <c r="S749" s="4" t="str">
        <f t="array" ref="S749">IF($E749="","", XLOOKUP(SUMIFS(Prod_Prop!$A:$A,Prod_Prop!$B:$B,$E749,Prod_Prop!$H:$H,S$1,Prod_Prop!$I:$I,"Exacto"),Prod_Prop!$A:$A,Prod_Prop!$J:$J,"",0,1))</f>
        <v/>
      </c>
      <c r="T749" s="4" t="str">
        <f t="array" ref="T749">IF($E749="","", XLOOKUP(SUMIFS(Prod_Prop!$A:$A,Prod_Prop!$B:$B,$E749,Prod_Prop!$H:$H,T$1,Prod_Prop!$I:$I,"Exacto"),Prod_Prop!$A:$A,Prod_Prop!$J:$J,"",0,1))</f>
        <v/>
      </c>
      <c r="U749" s="4" t="str">
        <f t="array" ref="U749">IF($E749="","", XLOOKUP(SUMIFS(Prod_Prop!$A:$A,Prod_Prop!$B:$B,$E749,Prod_Prop!$H:$H,U$1,Prod_Prop!$I:$I,"Exacto"),Prod_Prop!$A:$A,Prod_Prop!$J:$J,"",0,1))</f>
        <v/>
      </c>
      <c r="V749" s="4" t="str">
        <f t="array" ref="V749">IF($E749="","", XLOOKUP(SUMIFS(Prod_Prop!$A:$A,Prod_Prop!$B:$B,$E749,Prod_Prop!$H:$H,V$1,Prod_Prop!$I:$I,"Exacto"),Prod_Prop!$A:$A,Prod_Prop!$J:$J,"",0,1))</f>
        <v/>
      </c>
      <c r="X749" s="3" t="str">
        <f>IFERROR(__xludf.DUMMYFUNCTION("IF(D749="""","""",IFERROR(TRANSPOSE(FILTER('Validaciones Cotizador'!U:U,'Validaciones Cotizador'!O:O=D749,'Validaciones Cotizador'!T:T=""x"")),""Finalizar""))"),"")</f>
        <v/>
      </c>
    </row>
    <row r="750">
      <c r="A750" s="2" t="str">
        <f t="array" ref="A750">IF(E750="","",XLOOKUP(D750,'Validaciones Cotizador'!C:C,'Validaciones Cotizador'!A:A,"",0,1))</f>
        <v/>
      </c>
      <c r="B750" s="2" t="str">
        <f t="array" ref="B750">IF(F750="","",XLOOKUP(F750,Productos!E:E,Productos!G:G,"",0,1))</f>
        <v/>
      </c>
      <c r="C750" s="2" t="str">
        <f>IF(A750="","",SUMIFS('Validaciones Cotizador'!B:B,'Validaciones Cotizador'!C:C,D750,'Validaciones Cotizador'!A:A,A750))</f>
        <v/>
      </c>
      <c r="D750" s="4" t="str">
        <f>IFERROR(__xludf.DUMMYFUNCTION("IF(OR(F749=""Finalizar"",F749="""",F749=""Selecciona..""),"""",IF(OR(F749=""-"",INDEX(filter(Familias!F:F,Familias!D:D=A749,Familias!E:E=C749),1)=""O""),D749+1,D749))"),"")</f>
        <v/>
      </c>
      <c r="E750" s="2" t="str">
        <f>IF(OR(F750="",F750="Selecciona.."),"",IF(D750="Implemento",SUMIF(Implementos!B:B,F750,Implementos!A:A),SUMIF(Productos!E:E,F750,Productos!A:A)))</f>
        <v/>
      </c>
      <c r="F750" s="2" t="str">
        <f t="shared" si="2"/>
        <v/>
      </c>
      <c r="G750" s="10" t="str">
        <f t="array" ref="G750">IF(OR(F750="",F750="-",F750="Selecciona..",F750="Finalizar"),"",IF(A750="Rodados",XLOOKUP(B750,'Validaciones Cotizador'!I:I,'Validaciones Cotizador'!J:J,0,0,1),1))</f>
        <v/>
      </c>
      <c r="H750" s="11" t="str">
        <f>IF(OR(F750="",F750="Selecciona.."),"",SUMIF(Precio_Productos!K:K,E750,Precio_Productos!J:J)*G750)</f>
        <v/>
      </c>
      <c r="I750" s="4" t="str">
        <f t="array" ref="I750">IF($E750="","", XLOOKUP(SUMIFS(Prod_Prop!$A:$A,Prod_Prop!$B:$B,$E750,Prod_Prop!$H:$H,I$1,Prod_Prop!$I:$I,"Exacto"),Prod_Prop!$A:$A,Prod_Prop!$J:$J,"",0,1))</f>
        <v/>
      </c>
      <c r="J750" s="4" t="str">
        <f t="array" ref="J750">IF($E750="","", XLOOKUP(SUMIFS(Prod_Prop!$A:$A,Prod_Prop!$B:$B,$E750,Prod_Prop!$H:$H,J$1,Prod_Prop!$I:$I,"Exacto"),Prod_Prop!$A:$A,Prod_Prop!$J:$J,"",0,1))</f>
        <v/>
      </c>
      <c r="K750" s="4" t="str">
        <f t="array" ref="K750">IF($E750="","", XLOOKUP(SUMIFS(Prod_Prop!$A:$A,Prod_Prop!$B:$B,$E750,Prod_Prop!$H:$H,K$1,Prod_Prop!$I:$I,"Exacto"),Prod_Prop!$A:$A,Prod_Prop!$J:$J,"",0,1))</f>
        <v/>
      </c>
      <c r="L750" s="4" t="str">
        <f t="array" ref="L750">IF($E750="","", XLOOKUP(SUMIFS(Prod_Prop!$A:$A,Prod_Prop!$B:$B,$E750,Prod_Prop!$H:$H,L$1,Prod_Prop!$I:$I,"Exacto"),Prod_Prop!$A:$A,Prod_Prop!$J:$J,"",0,1))</f>
        <v/>
      </c>
      <c r="M750" s="4" t="str">
        <f t="array" ref="M750">IF($E750="","", XLOOKUP(SUMIFS(Prod_Prop!$A:$A,Prod_Prop!$B:$B,$E750,Prod_Prop!$H:$H,M$1,Prod_Prop!$I:$I,"Exacto"),Prod_Prop!$A:$A,Prod_Prop!$J:$J,"",0,1))</f>
        <v/>
      </c>
      <c r="N750" s="4" t="str">
        <f t="array" ref="N750">IF($E750="","", XLOOKUP(SUMIFS(Prod_Prop!$A:$A,Prod_Prop!$B:$B,$E750,Prod_Prop!$H:$H,N$1,Prod_Prop!$I:$I,"Exacto"),Prod_Prop!$A:$A,Prod_Prop!$J:$J,"",0,1))</f>
        <v/>
      </c>
      <c r="O750" s="4" t="str">
        <f t="array" ref="O750">IF($E750="","", XLOOKUP(SUMIFS(Prod_Prop!$A:$A,Prod_Prop!$B:$B,$E750,Prod_Prop!$H:$H,O$1,Prod_Prop!$I:$I,"Exacto"),Prod_Prop!$A:$A,Prod_Prop!$J:$J,"",0,1))</f>
        <v/>
      </c>
      <c r="P750" s="4" t="str">
        <f t="array" ref="P750">IF($E750="","", XLOOKUP(SUMIFS(Prod_Prop!$A:$A,Prod_Prop!$B:$B,$E750,Prod_Prop!$H:$H,P$1,Prod_Prop!$I:$I,"Exacto"),Prod_Prop!$A:$A,Prod_Prop!$J:$J,"",0,1))</f>
        <v/>
      </c>
      <c r="Q750" s="4" t="str">
        <f t="array" ref="Q750">IF($E750="","", XLOOKUP(SUMIFS(Prod_Prop!$A:$A,Prod_Prop!$B:$B,$E750,Prod_Prop!$H:$H,Q$1,Prod_Prop!$I:$I,"Exacto"),Prod_Prop!$A:$A,Prod_Prop!$J:$J,"",0,1))</f>
        <v/>
      </c>
      <c r="R750" s="4" t="str">
        <f t="array" ref="R750">IF($E750="","", XLOOKUP(SUMIFS(Prod_Prop!$A:$A,Prod_Prop!$B:$B,$E750,Prod_Prop!$H:$H,R$1,Prod_Prop!$I:$I,"Exacto"),Prod_Prop!$A:$A,Prod_Prop!$J:$J,"",0,1))</f>
        <v/>
      </c>
      <c r="S750" s="4" t="str">
        <f t="array" ref="S750">IF($E750="","", XLOOKUP(SUMIFS(Prod_Prop!$A:$A,Prod_Prop!$B:$B,$E750,Prod_Prop!$H:$H,S$1,Prod_Prop!$I:$I,"Exacto"),Prod_Prop!$A:$A,Prod_Prop!$J:$J,"",0,1))</f>
        <v/>
      </c>
      <c r="T750" s="4" t="str">
        <f t="array" ref="T750">IF($E750="","", XLOOKUP(SUMIFS(Prod_Prop!$A:$A,Prod_Prop!$B:$B,$E750,Prod_Prop!$H:$H,T$1,Prod_Prop!$I:$I,"Exacto"),Prod_Prop!$A:$A,Prod_Prop!$J:$J,"",0,1))</f>
        <v/>
      </c>
      <c r="U750" s="4" t="str">
        <f t="array" ref="U750">IF($E750="","", XLOOKUP(SUMIFS(Prod_Prop!$A:$A,Prod_Prop!$B:$B,$E750,Prod_Prop!$H:$H,U$1,Prod_Prop!$I:$I,"Exacto"),Prod_Prop!$A:$A,Prod_Prop!$J:$J,"",0,1))</f>
        <v/>
      </c>
      <c r="V750" s="4" t="str">
        <f t="array" ref="V750">IF($E750="","", XLOOKUP(SUMIFS(Prod_Prop!$A:$A,Prod_Prop!$B:$B,$E750,Prod_Prop!$H:$H,V$1,Prod_Prop!$I:$I,"Exacto"),Prod_Prop!$A:$A,Prod_Prop!$J:$J,"",0,1))</f>
        <v/>
      </c>
      <c r="X750" s="3" t="str">
        <f>IFERROR(__xludf.DUMMYFUNCTION("IF(D750="""","""",IFERROR(TRANSPOSE(FILTER('Validaciones Cotizador'!U:U,'Validaciones Cotizador'!O:O=D750,'Validaciones Cotizador'!T:T=""x"")),""Finalizar""))"),"")</f>
        <v/>
      </c>
    </row>
    <row r="751">
      <c r="A751" s="2" t="str">
        <f t="array" ref="A751">IF(E751="","",XLOOKUP(D751,'Validaciones Cotizador'!C:C,'Validaciones Cotizador'!A:A,"",0,1))</f>
        <v/>
      </c>
      <c r="B751" s="2" t="str">
        <f t="array" ref="B751">IF(F751="","",XLOOKUP(F751,Productos!E:E,Productos!G:G,"",0,1))</f>
        <v/>
      </c>
      <c r="C751" s="2" t="str">
        <f>IF(A751="","",SUMIFS('Validaciones Cotizador'!B:B,'Validaciones Cotizador'!C:C,D751,'Validaciones Cotizador'!A:A,A751))</f>
        <v/>
      </c>
      <c r="D751" s="4" t="str">
        <f>IFERROR(__xludf.DUMMYFUNCTION("IF(OR(F750=""Finalizar"",F750="""",F750=""Selecciona..""),"""",IF(OR(F750=""-"",INDEX(filter(Familias!F:F,Familias!D:D=A750,Familias!E:E=C750),1)=""O""),D750+1,D750))"),"")</f>
        <v/>
      </c>
      <c r="E751" s="2" t="str">
        <f>IF(OR(F751="",F751="Selecciona.."),"",IF(D751="Implemento",SUMIF(Implementos!B:B,F751,Implementos!A:A),SUMIF(Productos!E:E,F751,Productos!A:A)))</f>
        <v/>
      </c>
      <c r="F751" s="2" t="str">
        <f t="shared" si="2"/>
        <v/>
      </c>
      <c r="G751" s="10" t="str">
        <f t="array" ref="G751">IF(OR(F751="",F751="-",F751="Selecciona..",F751="Finalizar"),"",IF(A751="Rodados",XLOOKUP(B751,'Validaciones Cotizador'!I:I,'Validaciones Cotizador'!J:J,0,0,1),1))</f>
        <v/>
      </c>
      <c r="H751" s="11" t="str">
        <f>IF(OR(F751="",F751="Selecciona.."),"",SUMIF(Precio_Productos!K:K,E751,Precio_Productos!J:J)*G751)</f>
        <v/>
      </c>
      <c r="I751" s="4" t="str">
        <f t="array" ref="I751">IF($E751="","", XLOOKUP(SUMIFS(Prod_Prop!$A:$A,Prod_Prop!$B:$B,$E751,Prod_Prop!$H:$H,I$1,Prod_Prop!$I:$I,"Exacto"),Prod_Prop!$A:$A,Prod_Prop!$J:$J,"",0,1))</f>
        <v/>
      </c>
      <c r="J751" s="4" t="str">
        <f t="array" ref="J751">IF($E751="","", XLOOKUP(SUMIFS(Prod_Prop!$A:$A,Prod_Prop!$B:$B,$E751,Prod_Prop!$H:$H,J$1,Prod_Prop!$I:$I,"Exacto"),Prod_Prop!$A:$A,Prod_Prop!$J:$J,"",0,1))</f>
        <v/>
      </c>
      <c r="K751" s="4" t="str">
        <f t="array" ref="K751">IF($E751="","", XLOOKUP(SUMIFS(Prod_Prop!$A:$A,Prod_Prop!$B:$B,$E751,Prod_Prop!$H:$H,K$1,Prod_Prop!$I:$I,"Exacto"),Prod_Prop!$A:$A,Prod_Prop!$J:$J,"",0,1))</f>
        <v/>
      </c>
      <c r="L751" s="4" t="str">
        <f t="array" ref="L751">IF($E751="","", XLOOKUP(SUMIFS(Prod_Prop!$A:$A,Prod_Prop!$B:$B,$E751,Prod_Prop!$H:$H,L$1,Prod_Prop!$I:$I,"Exacto"),Prod_Prop!$A:$A,Prod_Prop!$J:$J,"",0,1))</f>
        <v/>
      </c>
      <c r="M751" s="4" t="str">
        <f t="array" ref="M751">IF($E751="","", XLOOKUP(SUMIFS(Prod_Prop!$A:$A,Prod_Prop!$B:$B,$E751,Prod_Prop!$H:$H,M$1,Prod_Prop!$I:$I,"Exacto"),Prod_Prop!$A:$A,Prod_Prop!$J:$J,"",0,1))</f>
        <v/>
      </c>
      <c r="N751" s="4" t="str">
        <f t="array" ref="N751">IF($E751="","", XLOOKUP(SUMIFS(Prod_Prop!$A:$A,Prod_Prop!$B:$B,$E751,Prod_Prop!$H:$H,N$1,Prod_Prop!$I:$I,"Exacto"),Prod_Prop!$A:$A,Prod_Prop!$J:$J,"",0,1))</f>
        <v/>
      </c>
      <c r="O751" s="4" t="str">
        <f t="array" ref="O751">IF($E751="","", XLOOKUP(SUMIFS(Prod_Prop!$A:$A,Prod_Prop!$B:$B,$E751,Prod_Prop!$H:$H,O$1,Prod_Prop!$I:$I,"Exacto"),Prod_Prop!$A:$A,Prod_Prop!$J:$J,"",0,1))</f>
        <v/>
      </c>
      <c r="P751" s="4" t="str">
        <f t="array" ref="P751">IF($E751="","", XLOOKUP(SUMIFS(Prod_Prop!$A:$A,Prod_Prop!$B:$B,$E751,Prod_Prop!$H:$H,P$1,Prod_Prop!$I:$I,"Exacto"),Prod_Prop!$A:$A,Prod_Prop!$J:$J,"",0,1))</f>
        <v/>
      </c>
      <c r="Q751" s="4" t="str">
        <f t="array" ref="Q751">IF($E751="","", XLOOKUP(SUMIFS(Prod_Prop!$A:$A,Prod_Prop!$B:$B,$E751,Prod_Prop!$H:$H,Q$1,Prod_Prop!$I:$I,"Exacto"),Prod_Prop!$A:$A,Prod_Prop!$J:$J,"",0,1))</f>
        <v/>
      </c>
      <c r="R751" s="4" t="str">
        <f t="array" ref="R751">IF($E751="","", XLOOKUP(SUMIFS(Prod_Prop!$A:$A,Prod_Prop!$B:$B,$E751,Prod_Prop!$H:$H,R$1,Prod_Prop!$I:$I,"Exacto"),Prod_Prop!$A:$A,Prod_Prop!$J:$J,"",0,1))</f>
        <v/>
      </c>
      <c r="S751" s="4" t="str">
        <f t="array" ref="S751">IF($E751="","", XLOOKUP(SUMIFS(Prod_Prop!$A:$A,Prod_Prop!$B:$B,$E751,Prod_Prop!$H:$H,S$1,Prod_Prop!$I:$I,"Exacto"),Prod_Prop!$A:$A,Prod_Prop!$J:$J,"",0,1))</f>
        <v/>
      </c>
      <c r="T751" s="4" t="str">
        <f t="array" ref="T751">IF($E751="","", XLOOKUP(SUMIFS(Prod_Prop!$A:$A,Prod_Prop!$B:$B,$E751,Prod_Prop!$H:$H,T$1,Prod_Prop!$I:$I,"Exacto"),Prod_Prop!$A:$A,Prod_Prop!$J:$J,"",0,1))</f>
        <v/>
      </c>
      <c r="U751" s="4" t="str">
        <f t="array" ref="U751">IF($E751="","", XLOOKUP(SUMIFS(Prod_Prop!$A:$A,Prod_Prop!$B:$B,$E751,Prod_Prop!$H:$H,U$1,Prod_Prop!$I:$I,"Exacto"),Prod_Prop!$A:$A,Prod_Prop!$J:$J,"",0,1))</f>
        <v/>
      </c>
      <c r="V751" s="4" t="str">
        <f t="array" ref="V751">IF($E751="","", XLOOKUP(SUMIFS(Prod_Prop!$A:$A,Prod_Prop!$B:$B,$E751,Prod_Prop!$H:$H,V$1,Prod_Prop!$I:$I,"Exacto"),Prod_Prop!$A:$A,Prod_Prop!$J:$J,"",0,1))</f>
        <v/>
      </c>
      <c r="X751" s="3" t="str">
        <f>IFERROR(__xludf.DUMMYFUNCTION("IF(D751="""","""",IFERROR(TRANSPOSE(FILTER('Validaciones Cotizador'!U:U,'Validaciones Cotizador'!O:O=D751,'Validaciones Cotizador'!T:T=""x"")),""Finalizar""))"),"")</f>
        <v/>
      </c>
    </row>
    <row r="752">
      <c r="A752" s="2" t="str">
        <f t="array" ref="A752">IF(E752="","",XLOOKUP(D752,'Validaciones Cotizador'!C:C,'Validaciones Cotizador'!A:A,"",0,1))</f>
        <v/>
      </c>
      <c r="B752" s="2" t="str">
        <f t="array" ref="B752">IF(F752="","",XLOOKUP(F752,Productos!E:E,Productos!G:G,"",0,1))</f>
        <v/>
      </c>
      <c r="C752" s="2" t="str">
        <f>IF(A752="","",SUMIFS('Validaciones Cotizador'!B:B,'Validaciones Cotizador'!C:C,D752,'Validaciones Cotizador'!A:A,A752))</f>
        <v/>
      </c>
      <c r="D752" s="4" t="str">
        <f>IFERROR(__xludf.DUMMYFUNCTION("IF(OR(F751=""Finalizar"",F751="""",F751=""Selecciona..""),"""",IF(OR(F751=""-"",INDEX(filter(Familias!F:F,Familias!D:D=A751,Familias!E:E=C751),1)=""O""),D751+1,D751))"),"")</f>
        <v/>
      </c>
      <c r="E752" s="2" t="str">
        <f>IF(OR(F752="",F752="Selecciona.."),"",IF(D752="Implemento",SUMIF(Implementos!B:B,F752,Implementos!A:A),SUMIF(Productos!E:E,F752,Productos!A:A)))</f>
        <v/>
      </c>
      <c r="F752" s="2" t="str">
        <f t="shared" si="2"/>
        <v/>
      </c>
      <c r="G752" s="10" t="str">
        <f t="array" ref="G752">IF(OR(F752="",F752="-",F752="Selecciona..",F752="Finalizar"),"",IF(A752="Rodados",XLOOKUP(B752,'Validaciones Cotizador'!I:I,'Validaciones Cotizador'!J:J,0,0,1),1))</f>
        <v/>
      </c>
      <c r="H752" s="11" t="str">
        <f>IF(OR(F752="",F752="Selecciona.."),"",SUMIF(Precio_Productos!K:K,E752,Precio_Productos!J:J)*G752)</f>
        <v/>
      </c>
      <c r="I752" s="4" t="str">
        <f t="array" ref="I752">IF($E752="","", XLOOKUP(SUMIFS(Prod_Prop!$A:$A,Prod_Prop!$B:$B,$E752,Prod_Prop!$H:$H,I$1,Prod_Prop!$I:$I,"Exacto"),Prod_Prop!$A:$A,Prod_Prop!$J:$J,"",0,1))</f>
        <v/>
      </c>
      <c r="J752" s="4" t="str">
        <f t="array" ref="J752">IF($E752="","", XLOOKUP(SUMIFS(Prod_Prop!$A:$A,Prod_Prop!$B:$B,$E752,Prod_Prop!$H:$H,J$1,Prod_Prop!$I:$I,"Exacto"),Prod_Prop!$A:$A,Prod_Prop!$J:$J,"",0,1))</f>
        <v/>
      </c>
      <c r="K752" s="4" t="str">
        <f t="array" ref="K752">IF($E752="","", XLOOKUP(SUMIFS(Prod_Prop!$A:$A,Prod_Prop!$B:$B,$E752,Prod_Prop!$H:$H,K$1,Prod_Prop!$I:$I,"Exacto"),Prod_Prop!$A:$A,Prod_Prop!$J:$J,"",0,1))</f>
        <v/>
      </c>
      <c r="L752" s="4" t="str">
        <f t="array" ref="L752">IF($E752="","", XLOOKUP(SUMIFS(Prod_Prop!$A:$A,Prod_Prop!$B:$B,$E752,Prod_Prop!$H:$H,L$1,Prod_Prop!$I:$I,"Exacto"),Prod_Prop!$A:$A,Prod_Prop!$J:$J,"",0,1))</f>
        <v/>
      </c>
      <c r="M752" s="4" t="str">
        <f t="array" ref="M752">IF($E752="","", XLOOKUP(SUMIFS(Prod_Prop!$A:$A,Prod_Prop!$B:$B,$E752,Prod_Prop!$H:$H,M$1,Prod_Prop!$I:$I,"Exacto"),Prod_Prop!$A:$A,Prod_Prop!$J:$J,"",0,1))</f>
        <v/>
      </c>
      <c r="N752" s="4" t="str">
        <f t="array" ref="N752">IF($E752="","", XLOOKUP(SUMIFS(Prod_Prop!$A:$A,Prod_Prop!$B:$B,$E752,Prod_Prop!$H:$H,N$1,Prod_Prop!$I:$I,"Exacto"),Prod_Prop!$A:$A,Prod_Prop!$J:$J,"",0,1))</f>
        <v/>
      </c>
      <c r="O752" s="4" t="str">
        <f t="array" ref="O752">IF($E752="","", XLOOKUP(SUMIFS(Prod_Prop!$A:$A,Prod_Prop!$B:$B,$E752,Prod_Prop!$H:$H,O$1,Prod_Prop!$I:$I,"Exacto"),Prod_Prop!$A:$A,Prod_Prop!$J:$J,"",0,1))</f>
        <v/>
      </c>
      <c r="P752" s="4" t="str">
        <f t="array" ref="P752">IF($E752="","", XLOOKUP(SUMIFS(Prod_Prop!$A:$A,Prod_Prop!$B:$B,$E752,Prod_Prop!$H:$H,P$1,Prod_Prop!$I:$I,"Exacto"),Prod_Prop!$A:$A,Prod_Prop!$J:$J,"",0,1))</f>
        <v/>
      </c>
      <c r="Q752" s="4" t="str">
        <f t="array" ref="Q752">IF($E752="","", XLOOKUP(SUMIFS(Prod_Prop!$A:$A,Prod_Prop!$B:$B,$E752,Prod_Prop!$H:$H,Q$1,Prod_Prop!$I:$I,"Exacto"),Prod_Prop!$A:$A,Prod_Prop!$J:$J,"",0,1))</f>
        <v/>
      </c>
      <c r="R752" s="4" t="str">
        <f t="array" ref="R752">IF($E752="","", XLOOKUP(SUMIFS(Prod_Prop!$A:$A,Prod_Prop!$B:$B,$E752,Prod_Prop!$H:$H,R$1,Prod_Prop!$I:$I,"Exacto"),Prod_Prop!$A:$A,Prod_Prop!$J:$J,"",0,1))</f>
        <v/>
      </c>
      <c r="S752" s="4" t="str">
        <f t="array" ref="S752">IF($E752="","", XLOOKUP(SUMIFS(Prod_Prop!$A:$A,Prod_Prop!$B:$B,$E752,Prod_Prop!$H:$H,S$1,Prod_Prop!$I:$I,"Exacto"),Prod_Prop!$A:$A,Prod_Prop!$J:$J,"",0,1))</f>
        <v/>
      </c>
      <c r="T752" s="4" t="str">
        <f t="array" ref="T752">IF($E752="","", XLOOKUP(SUMIFS(Prod_Prop!$A:$A,Prod_Prop!$B:$B,$E752,Prod_Prop!$H:$H,T$1,Prod_Prop!$I:$I,"Exacto"),Prod_Prop!$A:$A,Prod_Prop!$J:$J,"",0,1))</f>
        <v/>
      </c>
      <c r="U752" s="4" t="str">
        <f t="array" ref="U752">IF($E752="","", XLOOKUP(SUMIFS(Prod_Prop!$A:$A,Prod_Prop!$B:$B,$E752,Prod_Prop!$H:$H,U$1,Prod_Prop!$I:$I,"Exacto"),Prod_Prop!$A:$A,Prod_Prop!$J:$J,"",0,1))</f>
        <v/>
      </c>
      <c r="V752" s="4" t="str">
        <f t="array" ref="V752">IF($E752="","", XLOOKUP(SUMIFS(Prod_Prop!$A:$A,Prod_Prop!$B:$B,$E752,Prod_Prop!$H:$H,V$1,Prod_Prop!$I:$I,"Exacto"),Prod_Prop!$A:$A,Prod_Prop!$J:$J,"",0,1))</f>
        <v/>
      </c>
      <c r="X752" s="3" t="str">
        <f>IFERROR(__xludf.DUMMYFUNCTION("IF(D752="""","""",IFERROR(TRANSPOSE(FILTER('Validaciones Cotizador'!U:U,'Validaciones Cotizador'!O:O=D752,'Validaciones Cotizador'!T:T=""x"")),""Finalizar""))"),"")</f>
        <v/>
      </c>
    </row>
    <row r="753">
      <c r="A753" s="2" t="str">
        <f t="array" ref="A753">IF(E753="","",XLOOKUP(D753,'Validaciones Cotizador'!C:C,'Validaciones Cotizador'!A:A,"",0,1))</f>
        <v/>
      </c>
      <c r="B753" s="2" t="str">
        <f t="array" ref="B753">IF(F753="","",XLOOKUP(F753,Productos!E:E,Productos!G:G,"",0,1))</f>
        <v/>
      </c>
      <c r="C753" s="2" t="str">
        <f>IF(A753="","",SUMIFS('Validaciones Cotizador'!B:B,'Validaciones Cotizador'!C:C,D753,'Validaciones Cotizador'!A:A,A753))</f>
        <v/>
      </c>
      <c r="D753" s="4" t="str">
        <f>IFERROR(__xludf.DUMMYFUNCTION("IF(OR(F752=""Finalizar"",F752="""",F752=""Selecciona..""),"""",IF(OR(F752=""-"",INDEX(filter(Familias!F:F,Familias!D:D=A752,Familias!E:E=C752),1)=""O""),D752+1,D752))"),"")</f>
        <v/>
      </c>
      <c r="E753" s="2" t="str">
        <f>IF(OR(F753="",F753="Selecciona.."),"",IF(D753="Implemento",SUMIF(Implementos!B:B,F753,Implementos!A:A),SUMIF(Productos!E:E,F753,Productos!A:A)))</f>
        <v/>
      </c>
      <c r="F753" s="2" t="str">
        <f t="shared" si="2"/>
        <v/>
      </c>
      <c r="G753" s="10" t="str">
        <f t="array" ref="G753">IF(OR(F753="",F753="-",F753="Selecciona..",F753="Finalizar"),"",IF(A753="Rodados",XLOOKUP(B753,'Validaciones Cotizador'!I:I,'Validaciones Cotizador'!J:J,0,0,1),1))</f>
        <v/>
      </c>
      <c r="H753" s="11" t="str">
        <f>IF(OR(F753="",F753="Selecciona.."),"",SUMIF(Precio_Productos!K:K,E753,Precio_Productos!J:J)*G753)</f>
        <v/>
      </c>
      <c r="I753" s="4" t="str">
        <f t="array" ref="I753">IF($E753="","", XLOOKUP(SUMIFS(Prod_Prop!$A:$A,Prod_Prop!$B:$B,$E753,Prod_Prop!$H:$H,I$1,Prod_Prop!$I:$I,"Exacto"),Prod_Prop!$A:$A,Prod_Prop!$J:$J,"",0,1))</f>
        <v/>
      </c>
      <c r="J753" s="4" t="str">
        <f t="array" ref="J753">IF($E753="","", XLOOKUP(SUMIFS(Prod_Prop!$A:$A,Prod_Prop!$B:$B,$E753,Prod_Prop!$H:$H,J$1,Prod_Prop!$I:$I,"Exacto"),Prod_Prop!$A:$A,Prod_Prop!$J:$J,"",0,1))</f>
        <v/>
      </c>
      <c r="K753" s="4" t="str">
        <f t="array" ref="K753">IF($E753="","", XLOOKUP(SUMIFS(Prod_Prop!$A:$A,Prod_Prop!$B:$B,$E753,Prod_Prop!$H:$H,K$1,Prod_Prop!$I:$I,"Exacto"),Prod_Prop!$A:$A,Prod_Prop!$J:$J,"",0,1))</f>
        <v/>
      </c>
      <c r="L753" s="4" t="str">
        <f t="array" ref="L753">IF($E753="","", XLOOKUP(SUMIFS(Prod_Prop!$A:$A,Prod_Prop!$B:$B,$E753,Prod_Prop!$H:$H,L$1,Prod_Prop!$I:$I,"Exacto"),Prod_Prop!$A:$A,Prod_Prop!$J:$J,"",0,1))</f>
        <v/>
      </c>
      <c r="M753" s="4" t="str">
        <f t="array" ref="M753">IF($E753="","", XLOOKUP(SUMIFS(Prod_Prop!$A:$A,Prod_Prop!$B:$B,$E753,Prod_Prop!$H:$H,M$1,Prod_Prop!$I:$I,"Exacto"),Prod_Prop!$A:$A,Prod_Prop!$J:$J,"",0,1))</f>
        <v/>
      </c>
      <c r="N753" s="4" t="str">
        <f t="array" ref="N753">IF($E753="","", XLOOKUP(SUMIFS(Prod_Prop!$A:$A,Prod_Prop!$B:$B,$E753,Prod_Prop!$H:$H,N$1,Prod_Prop!$I:$I,"Exacto"),Prod_Prop!$A:$A,Prod_Prop!$J:$J,"",0,1))</f>
        <v/>
      </c>
      <c r="O753" s="4" t="str">
        <f t="array" ref="O753">IF($E753="","", XLOOKUP(SUMIFS(Prod_Prop!$A:$A,Prod_Prop!$B:$B,$E753,Prod_Prop!$H:$H,O$1,Prod_Prop!$I:$I,"Exacto"),Prod_Prop!$A:$A,Prod_Prop!$J:$J,"",0,1))</f>
        <v/>
      </c>
      <c r="P753" s="4" t="str">
        <f t="array" ref="P753">IF($E753="","", XLOOKUP(SUMIFS(Prod_Prop!$A:$A,Prod_Prop!$B:$B,$E753,Prod_Prop!$H:$H,P$1,Prod_Prop!$I:$I,"Exacto"),Prod_Prop!$A:$A,Prod_Prop!$J:$J,"",0,1))</f>
        <v/>
      </c>
      <c r="Q753" s="4" t="str">
        <f t="array" ref="Q753">IF($E753="","", XLOOKUP(SUMIFS(Prod_Prop!$A:$A,Prod_Prop!$B:$B,$E753,Prod_Prop!$H:$H,Q$1,Prod_Prop!$I:$I,"Exacto"),Prod_Prop!$A:$A,Prod_Prop!$J:$J,"",0,1))</f>
        <v/>
      </c>
      <c r="R753" s="4" t="str">
        <f t="array" ref="R753">IF($E753="","", XLOOKUP(SUMIFS(Prod_Prop!$A:$A,Prod_Prop!$B:$B,$E753,Prod_Prop!$H:$H,R$1,Prod_Prop!$I:$I,"Exacto"),Prod_Prop!$A:$A,Prod_Prop!$J:$J,"",0,1))</f>
        <v/>
      </c>
      <c r="S753" s="4" t="str">
        <f t="array" ref="S753">IF($E753="","", XLOOKUP(SUMIFS(Prod_Prop!$A:$A,Prod_Prop!$B:$B,$E753,Prod_Prop!$H:$H,S$1,Prod_Prop!$I:$I,"Exacto"),Prod_Prop!$A:$A,Prod_Prop!$J:$J,"",0,1))</f>
        <v/>
      </c>
      <c r="T753" s="4" t="str">
        <f t="array" ref="T753">IF($E753="","", XLOOKUP(SUMIFS(Prod_Prop!$A:$A,Prod_Prop!$B:$B,$E753,Prod_Prop!$H:$H,T$1,Prod_Prop!$I:$I,"Exacto"),Prod_Prop!$A:$A,Prod_Prop!$J:$J,"",0,1))</f>
        <v/>
      </c>
      <c r="U753" s="4" t="str">
        <f t="array" ref="U753">IF($E753="","", XLOOKUP(SUMIFS(Prod_Prop!$A:$A,Prod_Prop!$B:$B,$E753,Prod_Prop!$H:$H,U$1,Prod_Prop!$I:$I,"Exacto"),Prod_Prop!$A:$A,Prod_Prop!$J:$J,"",0,1))</f>
        <v/>
      </c>
      <c r="V753" s="4" t="str">
        <f t="array" ref="V753">IF($E753="","", XLOOKUP(SUMIFS(Prod_Prop!$A:$A,Prod_Prop!$B:$B,$E753,Prod_Prop!$H:$H,V$1,Prod_Prop!$I:$I,"Exacto"),Prod_Prop!$A:$A,Prod_Prop!$J:$J,"",0,1))</f>
        <v/>
      </c>
      <c r="X753" s="3" t="str">
        <f>IFERROR(__xludf.DUMMYFUNCTION("IF(D753="""","""",IFERROR(TRANSPOSE(FILTER('Validaciones Cotizador'!U:U,'Validaciones Cotizador'!O:O=D753,'Validaciones Cotizador'!T:T=""x"")),""Finalizar""))"),"")</f>
        <v/>
      </c>
    </row>
    <row r="754">
      <c r="A754" s="2" t="str">
        <f t="array" ref="A754">IF(E754="","",XLOOKUP(D754,'Validaciones Cotizador'!C:C,'Validaciones Cotizador'!A:A,"",0,1))</f>
        <v/>
      </c>
      <c r="B754" s="2" t="str">
        <f t="array" ref="B754">IF(F754="","",XLOOKUP(F754,Productos!E:E,Productos!G:G,"",0,1))</f>
        <v/>
      </c>
      <c r="C754" s="2" t="str">
        <f>IF(A754="","",SUMIFS('Validaciones Cotizador'!B:B,'Validaciones Cotizador'!C:C,D754,'Validaciones Cotizador'!A:A,A754))</f>
        <v/>
      </c>
      <c r="D754" s="4" t="str">
        <f>IFERROR(__xludf.DUMMYFUNCTION("IF(OR(F753=""Finalizar"",F753="""",F753=""Selecciona..""),"""",IF(OR(F753=""-"",INDEX(filter(Familias!F:F,Familias!D:D=A753,Familias!E:E=C753),1)=""O""),D753+1,D753))"),"")</f>
        <v/>
      </c>
      <c r="E754" s="2" t="str">
        <f>IF(OR(F754="",F754="Selecciona.."),"",IF(D754="Implemento",SUMIF(Implementos!B:B,F754,Implementos!A:A),SUMIF(Productos!E:E,F754,Productos!A:A)))</f>
        <v/>
      </c>
      <c r="F754" s="2" t="str">
        <f t="shared" si="2"/>
        <v/>
      </c>
      <c r="G754" s="10" t="str">
        <f t="array" ref="G754">IF(OR(F754="",F754="-",F754="Selecciona..",F754="Finalizar"),"",IF(A754="Rodados",XLOOKUP(B754,'Validaciones Cotizador'!I:I,'Validaciones Cotizador'!J:J,0,0,1),1))</f>
        <v/>
      </c>
      <c r="H754" s="11" t="str">
        <f>IF(OR(F754="",F754="Selecciona.."),"",SUMIF(Precio_Productos!K:K,E754,Precio_Productos!J:J)*G754)</f>
        <v/>
      </c>
      <c r="I754" s="4" t="str">
        <f t="array" ref="I754">IF($E754="","", XLOOKUP(SUMIFS(Prod_Prop!$A:$A,Prod_Prop!$B:$B,$E754,Prod_Prop!$H:$H,I$1,Prod_Prop!$I:$I,"Exacto"),Prod_Prop!$A:$A,Prod_Prop!$J:$J,"",0,1))</f>
        <v/>
      </c>
      <c r="J754" s="4" t="str">
        <f t="array" ref="J754">IF($E754="","", XLOOKUP(SUMIFS(Prod_Prop!$A:$A,Prod_Prop!$B:$B,$E754,Prod_Prop!$H:$H,J$1,Prod_Prop!$I:$I,"Exacto"),Prod_Prop!$A:$A,Prod_Prop!$J:$J,"",0,1))</f>
        <v/>
      </c>
      <c r="K754" s="4" t="str">
        <f t="array" ref="K754">IF($E754="","", XLOOKUP(SUMIFS(Prod_Prop!$A:$A,Prod_Prop!$B:$B,$E754,Prod_Prop!$H:$H,K$1,Prod_Prop!$I:$I,"Exacto"),Prod_Prop!$A:$A,Prod_Prop!$J:$J,"",0,1))</f>
        <v/>
      </c>
      <c r="L754" s="4" t="str">
        <f t="array" ref="L754">IF($E754="","", XLOOKUP(SUMIFS(Prod_Prop!$A:$A,Prod_Prop!$B:$B,$E754,Prod_Prop!$H:$H,L$1,Prod_Prop!$I:$I,"Exacto"),Prod_Prop!$A:$A,Prod_Prop!$J:$J,"",0,1))</f>
        <v/>
      </c>
      <c r="M754" s="4" t="str">
        <f t="array" ref="M754">IF($E754="","", XLOOKUP(SUMIFS(Prod_Prop!$A:$A,Prod_Prop!$B:$B,$E754,Prod_Prop!$H:$H,M$1,Prod_Prop!$I:$I,"Exacto"),Prod_Prop!$A:$A,Prod_Prop!$J:$J,"",0,1))</f>
        <v/>
      </c>
      <c r="N754" s="4" t="str">
        <f t="array" ref="N754">IF($E754="","", XLOOKUP(SUMIFS(Prod_Prop!$A:$A,Prod_Prop!$B:$B,$E754,Prod_Prop!$H:$H,N$1,Prod_Prop!$I:$I,"Exacto"),Prod_Prop!$A:$A,Prod_Prop!$J:$J,"",0,1))</f>
        <v/>
      </c>
      <c r="O754" s="4" t="str">
        <f t="array" ref="O754">IF($E754="","", XLOOKUP(SUMIFS(Prod_Prop!$A:$A,Prod_Prop!$B:$B,$E754,Prod_Prop!$H:$H,O$1,Prod_Prop!$I:$I,"Exacto"),Prod_Prop!$A:$A,Prod_Prop!$J:$J,"",0,1))</f>
        <v/>
      </c>
      <c r="P754" s="4" t="str">
        <f t="array" ref="P754">IF($E754="","", XLOOKUP(SUMIFS(Prod_Prop!$A:$A,Prod_Prop!$B:$B,$E754,Prod_Prop!$H:$H,P$1,Prod_Prop!$I:$I,"Exacto"),Prod_Prop!$A:$A,Prod_Prop!$J:$J,"",0,1))</f>
        <v/>
      </c>
      <c r="Q754" s="4" t="str">
        <f t="array" ref="Q754">IF($E754="","", XLOOKUP(SUMIFS(Prod_Prop!$A:$A,Prod_Prop!$B:$B,$E754,Prod_Prop!$H:$H,Q$1,Prod_Prop!$I:$I,"Exacto"),Prod_Prop!$A:$A,Prod_Prop!$J:$J,"",0,1))</f>
        <v/>
      </c>
      <c r="R754" s="4" t="str">
        <f t="array" ref="R754">IF($E754="","", XLOOKUP(SUMIFS(Prod_Prop!$A:$A,Prod_Prop!$B:$B,$E754,Prod_Prop!$H:$H,R$1,Prod_Prop!$I:$I,"Exacto"),Prod_Prop!$A:$A,Prod_Prop!$J:$J,"",0,1))</f>
        <v/>
      </c>
      <c r="S754" s="4" t="str">
        <f t="array" ref="S754">IF($E754="","", XLOOKUP(SUMIFS(Prod_Prop!$A:$A,Prod_Prop!$B:$B,$E754,Prod_Prop!$H:$H,S$1,Prod_Prop!$I:$I,"Exacto"),Prod_Prop!$A:$A,Prod_Prop!$J:$J,"",0,1))</f>
        <v/>
      </c>
      <c r="T754" s="4" t="str">
        <f t="array" ref="T754">IF($E754="","", XLOOKUP(SUMIFS(Prod_Prop!$A:$A,Prod_Prop!$B:$B,$E754,Prod_Prop!$H:$H,T$1,Prod_Prop!$I:$I,"Exacto"),Prod_Prop!$A:$A,Prod_Prop!$J:$J,"",0,1))</f>
        <v/>
      </c>
      <c r="U754" s="4" t="str">
        <f t="array" ref="U754">IF($E754="","", XLOOKUP(SUMIFS(Prod_Prop!$A:$A,Prod_Prop!$B:$B,$E754,Prod_Prop!$H:$H,U$1,Prod_Prop!$I:$I,"Exacto"),Prod_Prop!$A:$A,Prod_Prop!$J:$J,"",0,1))</f>
        <v/>
      </c>
      <c r="V754" s="4" t="str">
        <f t="array" ref="V754">IF($E754="","", XLOOKUP(SUMIFS(Prod_Prop!$A:$A,Prod_Prop!$B:$B,$E754,Prod_Prop!$H:$H,V$1,Prod_Prop!$I:$I,"Exacto"),Prod_Prop!$A:$A,Prod_Prop!$J:$J,"",0,1))</f>
        <v/>
      </c>
      <c r="X754" s="3" t="str">
        <f>IFERROR(__xludf.DUMMYFUNCTION("IF(D754="""","""",IFERROR(TRANSPOSE(FILTER('Validaciones Cotizador'!U:U,'Validaciones Cotizador'!O:O=D754,'Validaciones Cotizador'!T:T=""x"")),""Finalizar""))"),"")</f>
        <v/>
      </c>
    </row>
    <row r="755">
      <c r="A755" s="2" t="str">
        <f t="array" ref="A755">IF(E755="","",XLOOKUP(D755,'Validaciones Cotizador'!C:C,'Validaciones Cotizador'!A:A,"",0,1))</f>
        <v/>
      </c>
      <c r="B755" s="2" t="str">
        <f t="array" ref="B755">IF(F755="","",XLOOKUP(F755,Productos!E:E,Productos!G:G,"",0,1))</f>
        <v/>
      </c>
      <c r="C755" s="2" t="str">
        <f>IF(A755="","",SUMIFS('Validaciones Cotizador'!B:B,'Validaciones Cotizador'!C:C,D755,'Validaciones Cotizador'!A:A,A755))</f>
        <v/>
      </c>
      <c r="D755" s="4" t="str">
        <f>IFERROR(__xludf.DUMMYFUNCTION("IF(OR(F754=""Finalizar"",F754="""",F754=""Selecciona..""),"""",IF(OR(F754=""-"",INDEX(filter(Familias!F:F,Familias!D:D=A754,Familias!E:E=C754),1)=""O""),D754+1,D754))"),"")</f>
        <v/>
      </c>
      <c r="E755" s="2" t="str">
        <f>IF(OR(F755="",F755="Selecciona.."),"",IF(D755="Implemento",SUMIF(Implementos!B:B,F755,Implementos!A:A),SUMIF(Productos!E:E,F755,Productos!A:A)))</f>
        <v/>
      </c>
      <c r="F755" s="2" t="str">
        <f t="shared" si="2"/>
        <v/>
      </c>
      <c r="G755" s="10" t="str">
        <f t="array" ref="G755">IF(OR(F755="",F755="-",F755="Selecciona..",F755="Finalizar"),"",IF(A755="Rodados",XLOOKUP(B755,'Validaciones Cotizador'!I:I,'Validaciones Cotizador'!J:J,0,0,1),1))</f>
        <v/>
      </c>
      <c r="H755" s="11" t="str">
        <f>IF(OR(F755="",F755="Selecciona.."),"",SUMIF(Precio_Productos!K:K,E755,Precio_Productos!J:J)*G755)</f>
        <v/>
      </c>
      <c r="I755" s="4" t="str">
        <f t="array" ref="I755">IF($E755="","", XLOOKUP(SUMIFS(Prod_Prop!$A:$A,Prod_Prop!$B:$B,$E755,Prod_Prop!$H:$H,I$1,Prod_Prop!$I:$I,"Exacto"),Prod_Prop!$A:$A,Prod_Prop!$J:$J,"",0,1))</f>
        <v/>
      </c>
      <c r="J755" s="4" t="str">
        <f t="array" ref="J755">IF($E755="","", XLOOKUP(SUMIFS(Prod_Prop!$A:$A,Prod_Prop!$B:$B,$E755,Prod_Prop!$H:$H,J$1,Prod_Prop!$I:$I,"Exacto"),Prod_Prop!$A:$A,Prod_Prop!$J:$J,"",0,1))</f>
        <v/>
      </c>
      <c r="K755" s="4" t="str">
        <f t="array" ref="K755">IF($E755="","", XLOOKUP(SUMIFS(Prod_Prop!$A:$A,Prod_Prop!$B:$B,$E755,Prod_Prop!$H:$H,K$1,Prod_Prop!$I:$I,"Exacto"),Prod_Prop!$A:$A,Prod_Prop!$J:$J,"",0,1))</f>
        <v/>
      </c>
      <c r="L755" s="4" t="str">
        <f t="array" ref="L755">IF($E755="","", XLOOKUP(SUMIFS(Prod_Prop!$A:$A,Prod_Prop!$B:$B,$E755,Prod_Prop!$H:$H,L$1,Prod_Prop!$I:$I,"Exacto"),Prod_Prop!$A:$A,Prod_Prop!$J:$J,"",0,1))</f>
        <v/>
      </c>
      <c r="M755" s="4" t="str">
        <f t="array" ref="M755">IF($E755="","", XLOOKUP(SUMIFS(Prod_Prop!$A:$A,Prod_Prop!$B:$B,$E755,Prod_Prop!$H:$H,M$1,Prod_Prop!$I:$I,"Exacto"),Prod_Prop!$A:$A,Prod_Prop!$J:$J,"",0,1))</f>
        <v/>
      </c>
      <c r="N755" s="4" t="str">
        <f t="array" ref="N755">IF($E755="","", XLOOKUP(SUMIFS(Prod_Prop!$A:$A,Prod_Prop!$B:$B,$E755,Prod_Prop!$H:$H,N$1,Prod_Prop!$I:$I,"Exacto"),Prod_Prop!$A:$A,Prod_Prop!$J:$J,"",0,1))</f>
        <v/>
      </c>
      <c r="O755" s="4" t="str">
        <f t="array" ref="O755">IF($E755="","", XLOOKUP(SUMIFS(Prod_Prop!$A:$A,Prod_Prop!$B:$B,$E755,Prod_Prop!$H:$H,O$1,Prod_Prop!$I:$I,"Exacto"),Prod_Prop!$A:$A,Prod_Prop!$J:$J,"",0,1))</f>
        <v/>
      </c>
      <c r="P755" s="4" t="str">
        <f t="array" ref="P755">IF($E755="","", XLOOKUP(SUMIFS(Prod_Prop!$A:$A,Prod_Prop!$B:$B,$E755,Prod_Prop!$H:$H,P$1,Prod_Prop!$I:$I,"Exacto"),Prod_Prop!$A:$A,Prod_Prop!$J:$J,"",0,1))</f>
        <v/>
      </c>
      <c r="Q755" s="4" t="str">
        <f t="array" ref="Q755">IF($E755="","", XLOOKUP(SUMIFS(Prod_Prop!$A:$A,Prod_Prop!$B:$B,$E755,Prod_Prop!$H:$H,Q$1,Prod_Prop!$I:$I,"Exacto"),Prod_Prop!$A:$A,Prod_Prop!$J:$J,"",0,1))</f>
        <v/>
      </c>
      <c r="R755" s="4" t="str">
        <f t="array" ref="R755">IF($E755="","", XLOOKUP(SUMIFS(Prod_Prop!$A:$A,Prod_Prop!$B:$B,$E755,Prod_Prop!$H:$H,R$1,Prod_Prop!$I:$I,"Exacto"),Prod_Prop!$A:$A,Prod_Prop!$J:$J,"",0,1))</f>
        <v/>
      </c>
      <c r="S755" s="4" t="str">
        <f t="array" ref="S755">IF($E755="","", XLOOKUP(SUMIFS(Prod_Prop!$A:$A,Prod_Prop!$B:$B,$E755,Prod_Prop!$H:$H,S$1,Prod_Prop!$I:$I,"Exacto"),Prod_Prop!$A:$A,Prod_Prop!$J:$J,"",0,1))</f>
        <v/>
      </c>
      <c r="T755" s="4" t="str">
        <f t="array" ref="T755">IF($E755="","", XLOOKUP(SUMIFS(Prod_Prop!$A:$A,Prod_Prop!$B:$B,$E755,Prod_Prop!$H:$H,T$1,Prod_Prop!$I:$I,"Exacto"),Prod_Prop!$A:$A,Prod_Prop!$J:$J,"",0,1))</f>
        <v/>
      </c>
      <c r="U755" s="4" t="str">
        <f t="array" ref="U755">IF($E755="","", XLOOKUP(SUMIFS(Prod_Prop!$A:$A,Prod_Prop!$B:$B,$E755,Prod_Prop!$H:$H,U$1,Prod_Prop!$I:$I,"Exacto"),Prod_Prop!$A:$A,Prod_Prop!$J:$J,"",0,1))</f>
        <v/>
      </c>
      <c r="V755" s="4" t="str">
        <f t="array" ref="V755">IF($E755="","", XLOOKUP(SUMIFS(Prod_Prop!$A:$A,Prod_Prop!$B:$B,$E755,Prod_Prop!$H:$H,V$1,Prod_Prop!$I:$I,"Exacto"),Prod_Prop!$A:$A,Prod_Prop!$J:$J,"",0,1))</f>
        <v/>
      </c>
      <c r="X755" s="3" t="str">
        <f>IFERROR(__xludf.DUMMYFUNCTION("IF(D755="""","""",IFERROR(TRANSPOSE(FILTER('Validaciones Cotizador'!U:U,'Validaciones Cotizador'!O:O=D755,'Validaciones Cotizador'!T:T=""x"")),""Finalizar""))"),"")</f>
        <v/>
      </c>
    </row>
    <row r="756">
      <c r="A756" s="2" t="str">
        <f t="array" ref="A756">IF(E756="","",XLOOKUP(D756,'Validaciones Cotizador'!C:C,'Validaciones Cotizador'!A:A,"",0,1))</f>
        <v/>
      </c>
      <c r="B756" s="2" t="str">
        <f t="array" ref="B756">IF(F756="","",XLOOKUP(F756,Productos!E:E,Productos!G:G,"",0,1))</f>
        <v/>
      </c>
      <c r="C756" s="2" t="str">
        <f>IF(A756="","",SUMIFS('Validaciones Cotizador'!B:B,'Validaciones Cotizador'!C:C,D756,'Validaciones Cotizador'!A:A,A756))</f>
        <v/>
      </c>
      <c r="D756" s="4" t="str">
        <f>IFERROR(__xludf.DUMMYFUNCTION("IF(OR(F755=""Finalizar"",F755="""",F755=""Selecciona..""),"""",IF(OR(F755=""-"",INDEX(filter(Familias!F:F,Familias!D:D=A755,Familias!E:E=C755),1)=""O""),D755+1,D755))"),"")</f>
        <v/>
      </c>
      <c r="E756" s="2" t="str">
        <f>IF(OR(F756="",F756="Selecciona.."),"",IF(D756="Implemento",SUMIF(Implementos!B:B,F756,Implementos!A:A),SUMIF(Productos!E:E,F756,Productos!A:A)))</f>
        <v/>
      </c>
      <c r="F756" s="2" t="str">
        <f t="shared" si="2"/>
        <v/>
      </c>
      <c r="G756" s="10" t="str">
        <f t="array" ref="G756">IF(OR(F756="",F756="-",F756="Selecciona..",F756="Finalizar"),"",IF(A756="Rodados",XLOOKUP(B756,'Validaciones Cotizador'!I:I,'Validaciones Cotizador'!J:J,0,0,1),1))</f>
        <v/>
      </c>
      <c r="H756" s="11" t="str">
        <f>IF(OR(F756="",F756="Selecciona.."),"",SUMIF(Precio_Productos!K:K,E756,Precio_Productos!J:J)*G756)</f>
        <v/>
      </c>
      <c r="I756" s="4" t="str">
        <f t="array" ref="I756">IF($E756="","", XLOOKUP(SUMIFS(Prod_Prop!$A:$A,Prod_Prop!$B:$B,$E756,Prod_Prop!$H:$H,I$1,Prod_Prop!$I:$I,"Exacto"),Prod_Prop!$A:$A,Prod_Prop!$J:$J,"",0,1))</f>
        <v/>
      </c>
      <c r="J756" s="4" t="str">
        <f t="array" ref="J756">IF($E756="","", XLOOKUP(SUMIFS(Prod_Prop!$A:$A,Prod_Prop!$B:$B,$E756,Prod_Prop!$H:$H,J$1,Prod_Prop!$I:$I,"Exacto"),Prod_Prop!$A:$A,Prod_Prop!$J:$J,"",0,1))</f>
        <v/>
      </c>
      <c r="K756" s="4" t="str">
        <f t="array" ref="K756">IF($E756="","", XLOOKUP(SUMIFS(Prod_Prop!$A:$A,Prod_Prop!$B:$B,$E756,Prod_Prop!$H:$H,K$1,Prod_Prop!$I:$I,"Exacto"),Prod_Prop!$A:$A,Prod_Prop!$J:$J,"",0,1))</f>
        <v/>
      </c>
      <c r="L756" s="4" t="str">
        <f t="array" ref="L756">IF($E756="","", XLOOKUP(SUMIFS(Prod_Prop!$A:$A,Prod_Prop!$B:$B,$E756,Prod_Prop!$H:$H,L$1,Prod_Prop!$I:$I,"Exacto"),Prod_Prop!$A:$A,Prod_Prop!$J:$J,"",0,1))</f>
        <v/>
      </c>
      <c r="M756" s="4" t="str">
        <f t="array" ref="M756">IF($E756="","", XLOOKUP(SUMIFS(Prod_Prop!$A:$A,Prod_Prop!$B:$B,$E756,Prod_Prop!$H:$H,M$1,Prod_Prop!$I:$I,"Exacto"),Prod_Prop!$A:$A,Prod_Prop!$J:$J,"",0,1))</f>
        <v/>
      </c>
      <c r="N756" s="4" t="str">
        <f t="array" ref="N756">IF($E756="","", XLOOKUP(SUMIFS(Prod_Prop!$A:$A,Prod_Prop!$B:$B,$E756,Prod_Prop!$H:$H,N$1,Prod_Prop!$I:$I,"Exacto"),Prod_Prop!$A:$A,Prod_Prop!$J:$J,"",0,1))</f>
        <v/>
      </c>
      <c r="O756" s="4" t="str">
        <f t="array" ref="O756">IF($E756="","", XLOOKUP(SUMIFS(Prod_Prop!$A:$A,Prod_Prop!$B:$B,$E756,Prod_Prop!$H:$H,O$1,Prod_Prop!$I:$I,"Exacto"),Prod_Prop!$A:$A,Prod_Prop!$J:$J,"",0,1))</f>
        <v/>
      </c>
      <c r="P756" s="4" t="str">
        <f t="array" ref="P756">IF($E756="","", XLOOKUP(SUMIFS(Prod_Prop!$A:$A,Prod_Prop!$B:$B,$E756,Prod_Prop!$H:$H,P$1,Prod_Prop!$I:$I,"Exacto"),Prod_Prop!$A:$A,Prod_Prop!$J:$J,"",0,1))</f>
        <v/>
      </c>
      <c r="Q756" s="4" t="str">
        <f t="array" ref="Q756">IF($E756="","", XLOOKUP(SUMIFS(Prod_Prop!$A:$A,Prod_Prop!$B:$B,$E756,Prod_Prop!$H:$H,Q$1,Prod_Prop!$I:$I,"Exacto"),Prod_Prop!$A:$A,Prod_Prop!$J:$J,"",0,1))</f>
        <v/>
      </c>
      <c r="R756" s="4" t="str">
        <f t="array" ref="R756">IF($E756="","", XLOOKUP(SUMIFS(Prod_Prop!$A:$A,Prod_Prop!$B:$B,$E756,Prod_Prop!$H:$H,R$1,Prod_Prop!$I:$I,"Exacto"),Prod_Prop!$A:$A,Prod_Prop!$J:$J,"",0,1))</f>
        <v/>
      </c>
      <c r="S756" s="4" t="str">
        <f t="array" ref="S756">IF($E756="","", XLOOKUP(SUMIFS(Prod_Prop!$A:$A,Prod_Prop!$B:$B,$E756,Prod_Prop!$H:$H,S$1,Prod_Prop!$I:$I,"Exacto"),Prod_Prop!$A:$A,Prod_Prop!$J:$J,"",0,1))</f>
        <v/>
      </c>
      <c r="T756" s="4" t="str">
        <f t="array" ref="T756">IF($E756="","", XLOOKUP(SUMIFS(Prod_Prop!$A:$A,Prod_Prop!$B:$B,$E756,Prod_Prop!$H:$H,T$1,Prod_Prop!$I:$I,"Exacto"),Prod_Prop!$A:$A,Prod_Prop!$J:$J,"",0,1))</f>
        <v/>
      </c>
      <c r="U756" s="4" t="str">
        <f t="array" ref="U756">IF($E756="","", XLOOKUP(SUMIFS(Prod_Prop!$A:$A,Prod_Prop!$B:$B,$E756,Prod_Prop!$H:$H,U$1,Prod_Prop!$I:$I,"Exacto"),Prod_Prop!$A:$A,Prod_Prop!$J:$J,"",0,1))</f>
        <v/>
      </c>
      <c r="V756" s="4" t="str">
        <f t="array" ref="V756">IF($E756="","", XLOOKUP(SUMIFS(Prod_Prop!$A:$A,Prod_Prop!$B:$B,$E756,Prod_Prop!$H:$H,V$1,Prod_Prop!$I:$I,"Exacto"),Prod_Prop!$A:$A,Prod_Prop!$J:$J,"",0,1))</f>
        <v/>
      </c>
      <c r="X756" s="3" t="str">
        <f>IFERROR(__xludf.DUMMYFUNCTION("IF(D756="""","""",IFERROR(TRANSPOSE(FILTER('Validaciones Cotizador'!U:U,'Validaciones Cotizador'!O:O=D756,'Validaciones Cotizador'!T:T=""x"")),""Finalizar""))"),"")</f>
        <v/>
      </c>
    </row>
    <row r="757">
      <c r="A757" s="2" t="str">
        <f t="array" ref="A757">IF(E757="","",XLOOKUP(D757,'Validaciones Cotizador'!C:C,'Validaciones Cotizador'!A:A,"",0,1))</f>
        <v/>
      </c>
      <c r="B757" s="2" t="str">
        <f t="array" ref="B757">IF(F757="","",XLOOKUP(F757,Productos!E:E,Productos!G:G,"",0,1))</f>
        <v/>
      </c>
      <c r="C757" s="2" t="str">
        <f>IF(A757="","",SUMIFS('Validaciones Cotizador'!B:B,'Validaciones Cotizador'!C:C,D757,'Validaciones Cotizador'!A:A,A757))</f>
        <v/>
      </c>
      <c r="D757" s="4" t="str">
        <f>IFERROR(__xludf.DUMMYFUNCTION("IF(OR(F756=""Finalizar"",F756="""",F756=""Selecciona..""),"""",IF(OR(F756=""-"",INDEX(filter(Familias!F:F,Familias!D:D=A756,Familias!E:E=C756),1)=""O""),D756+1,D756))"),"")</f>
        <v/>
      </c>
      <c r="E757" s="2" t="str">
        <f>IF(OR(F757="",F757="Selecciona.."),"",IF(D757="Implemento",SUMIF(Implementos!B:B,F757,Implementos!A:A),SUMIF(Productos!E:E,F757,Productos!A:A)))</f>
        <v/>
      </c>
      <c r="F757" s="2" t="str">
        <f t="shared" si="2"/>
        <v/>
      </c>
      <c r="G757" s="10" t="str">
        <f t="array" ref="G757">IF(OR(F757="",F757="-",F757="Selecciona..",F757="Finalizar"),"",IF(A757="Rodados",XLOOKUP(B757,'Validaciones Cotizador'!I:I,'Validaciones Cotizador'!J:J,0,0,1),1))</f>
        <v/>
      </c>
      <c r="H757" s="11" t="str">
        <f>IF(OR(F757="",F757="Selecciona.."),"",SUMIF(Precio_Productos!K:K,E757,Precio_Productos!J:J)*G757)</f>
        <v/>
      </c>
      <c r="I757" s="4" t="str">
        <f t="array" ref="I757">IF($E757="","", XLOOKUP(SUMIFS(Prod_Prop!$A:$A,Prod_Prop!$B:$B,$E757,Prod_Prop!$H:$H,I$1,Prod_Prop!$I:$I,"Exacto"),Prod_Prop!$A:$A,Prod_Prop!$J:$J,"",0,1))</f>
        <v/>
      </c>
      <c r="J757" s="4" t="str">
        <f t="array" ref="J757">IF($E757="","", XLOOKUP(SUMIFS(Prod_Prop!$A:$A,Prod_Prop!$B:$B,$E757,Prod_Prop!$H:$H,J$1,Prod_Prop!$I:$I,"Exacto"),Prod_Prop!$A:$A,Prod_Prop!$J:$J,"",0,1))</f>
        <v/>
      </c>
      <c r="K757" s="4" t="str">
        <f t="array" ref="K757">IF($E757="","", XLOOKUP(SUMIFS(Prod_Prop!$A:$A,Prod_Prop!$B:$B,$E757,Prod_Prop!$H:$H,K$1,Prod_Prop!$I:$I,"Exacto"),Prod_Prop!$A:$A,Prod_Prop!$J:$J,"",0,1))</f>
        <v/>
      </c>
      <c r="L757" s="4" t="str">
        <f t="array" ref="L757">IF($E757="","", XLOOKUP(SUMIFS(Prod_Prop!$A:$A,Prod_Prop!$B:$B,$E757,Prod_Prop!$H:$H,L$1,Prod_Prop!$I:$I,"Exacto"),Prod_Prop!$A:$A,Prod_Prop!$J:$J,"",0,1))</f>
        <v/>
      </c>
      <c r="M757" s="4" t="str">
        <f t="array" ref="M757">IF($E757="","", XLOOKUP(SUMIFS(Prod_Prop!$A:$A,Prod_Prop!$B:$B,$E757,Prod_Prop!$H:$H,M$1,Prod_Prop!$I:$I,"Exacto"),Prod_Prop!$A:$A,Prod_Prop!$J:$J,"",0,1))</f>
        <v/>
      </c>
      <c r="N757" s="4" t="str">
        <f t="array" ref="N757">IF($E757="","", XLOOKUP(SUMIFS(Prod_Prop!$A:$A,Prod_Prop!$B:$B,$E757,Prod_Prop!$H:$H,N$1,Prod_Prop!$I:$I,"Exacto"),Prod_Prop!$A:$A,Prod_Prop!$J:$J,"",0,1))</f>
        <v/>
      </c>
      <c r="O757" s="4" t="str">
        <f t="array" ref="O757">IF($E757="","", XLOOKUP(SUMIFS(Prod_Prop!$A:$A,Prod_Prop!$B:$B,$E757,Prod_Prop!$H:$H,O$1,Prod_Prop!$I:$I,"Exacto"),Prod_Prop!$A:$A,Prod_Prop!$J:$J,"",0,1))</f>
        <v/>
      </c>
      <c r="P757" s="4" t="str">
        <f t="array" ref="P757">IF($E757="","", XLOOKUP(SUMIFS(Prod_Prop!$A:$A,Prod_Prop!$B:$B,$E757,Prod_Prop!$H:$H,P$1,Prod_Prop!$I:$I,"Exacto"),Prod_Prop!$A:$A,Prod_Prop!$J:$J,"",0,1))</f>
        <v/>
      </c>
      <c r="Q757" s="4" t="str">
        <f t="array" ref="Q757">IF($E757="","", XLOOKUP(SUMIFS(Prod_Prop!$A:$A,Prod_Prop!$B:$B,$E757,Prod_Prop!$H:$H,Q$1,Prod_Prop!$I:$I,"Exacto"),Prod_Prop!$A:$A,Prod_Prop!$J:$J,"",0,1))</f>
        <v/>
      </c>
      <c r="R757" s="4" t="str">
        <f t="array" ref="R757">IF($E757="","", XLOOKUP(SUMIFS(Prod_Prop!$A:$A,Prod_Prop!$B:$B,$E757,Prod_Prop!$H:$H,R$1,Prod_Prop!$I:$I,"Exacto"),Prod_Prop!$A:$A,Prod_Prop!$J:$J,"",0,1))</f>
        <v/>
      </c>
      <c r="S757" s="4" t="str">
        <f t="array" ref="S757">IF($E757="","", XLOOKUP(SUMIFS(Prod_Prop!$A:$A,Prod_Prop!$B:$B,$E757,Prod_Prop!$H:$H,S$1,Prod_Prop!$I:$I,"Exacto"),Prod_Prop!$A:$A,Prod_Prop!$J:$J,"",0,1))</f>
        <v/>
      </c>
      <c r="T757" s="4" t="str">
        <f t="array" ref="T757">IF($E757="","", XLOOKUP(SUMIFS(Prod_Prop!$A:$A,Prod_Prop!$B:$B,$E757,Prod_Prop!$H:$H,T$1,Prod_Prop!$I:$I,"Exacto"),Prod_Prop!$A:$A,Prod_Prop!$J:$J,"",0,1))</f>
        <v/>
      </c>
      <c r="U757" s="4" t="str">
        <f t="array" ref="U757">IF($E757="","", XLOOKUP(SUMIFS(Prod_Prop!$A:$A,Prod_Prop!$B:$B,$E757,Prod_Prop!$H:$H,U$1,Prod_Prop!$I:$I,"Exacto"),Prod_Prop!$A:$A,Prod_Prop!$J:$J,"",0,1))</f>
        <v/>
      </c>
      <c r="V757" s="4" t="str">
        <f t="array" ref="V757">IF($E757="","", XLOOKUP(SUMIFS(Prod_Prop!$A:$A,Prod_Prop!$B:$B,$E757,Prod_Prop!$H:$H,V$1,Prod_Prop!$I:$I,"Exacto"),Prod_Prop!$A:$A,Prod_Prop!$J:$J,"",0,1))</f>
        <v/>
      </c>
      <c r="X757" s="3" t="str">
        <f>IFERROR(__xludf.DUMMYFUNCTION("IF(D757="""","""",IFERROR(TRANSPOSE(FILTER('Validaciones Cotizador'!U:U,'Validaciones Cotizador'!O:O=D757,'Validaciones Cotizador'!T:T=""x"")),""Finalizar""))"),"")</f>
        <v/>
      </c>
    </row>
    <row r="758">
      <c r="A758" s="2" t="str">
        <f t="array" ref="A758">IF(E758="","",XLOOKUP(D758,'Validaciones Cotizador'!C:C,'Validaciones Cotizador'!A:A,"",0,1))</f>
        <v/>
      </c>
      <c r="B758" s="2" t="str">
        <f t="array" ref="B758">IF(F758="","",XLOOKUP(F758,Productos!E:E,Productos!G:G,"",0,1))</f>
        <v/>
      </c>
      <c r="C758" s="2" t="str">
        <f>IF(A758="","",SUMIFS('Validaciones Cotizador'!B:B,'Validaciones Cotizador'!C:C,D758,'Validaciones Cotizador'!A:A,A758))</f>
        <v/>
      </c>
      <c r="D758" s="4" t="str">
        <f>IFERROR(__xludf.DUMMYFUNCTION("IF(OR(F757=""Finalizar"",F757="""",F757=""Selecciona..""),"""",IF(OR(F757=""-"",INDEX(filter(Familias!F:F,Familias!D:D=A757,Familias!E:E=C757),1)=""O""),D757+1,D757))"),"")</f>
        <v/>
      </c>
      <c r="E758" s="2" t="str">
        <f>IF(OR(F758="",F758="Selecciona.."),"",IF(D758="Implemento",SUMIF(Implementos!B:B,F758,Implementos!A:A),SUMIF(Productos!E:E,F758,Productos!A:A)))</f>
        <v/>
      </c>
      <c r="F758" s="2" t="str">
        <f t="shared" si="2"/>
        <v/>
      </c>
      <c r="G758" s="10" t="str">
        <f t="array" ref="G758">IF(OR(F758="",F758="-",F758="Selecciona..",F758="Finalizar"),"",IF(A758="Rodados",XLOOKUP(B758,'Validaciones Cotizador'!I:I,'Validaciones Cotizador'!J:J,0,0,1),1))</f>
        <v/>
      </c>
      <c r="H758" s="11" t="str">
        <f>IF(OR(F758="",F758="Selecciona.."),"",SUMIF(Precio_Productos!K:K,E758,Precio_Productos!J:J)*G758)</f>
        <v/>
      </c>
      <c r="I758" s="4" t="str">
        <f t="array" ref="I758">IF($E758="","", XLOOKUP(SUMIFS(Prod_Prop!$A:$A,Prod_Prop!$B:$B,$E758,Prod_Prop!$H:$H,I$1,Prod_Prop!$I:$I,"Exacto"),Prod_Prop!$A:$A,Prod_Prop!$J:$J,"",0,1))</f>
        <v/>
      </c>
      <c r="J758" s="4" t="str">
        <f t="array" ref="J758">IF($E758="","", XLOOKUP(SUMIFS(Prod_Prop!$A:$A,Prod_Prop!$B:$B,$E758,Prod_Prop!$H:$H,J$1,Prod_Prop!$I:$I,"Exacto"),Prod_Prop!$A:$A,Prod_Prop!$J:$J,"",0,1))</f>
        <v/>
      </c>
      <c r="K758" s="4" t="str">
        <f t="array" ref="K758">IF($E758="","", XLOOKUP(SUMIFS(Prod_Prop!$A:$A,Prod_Prop!$B:$B,$E758,Prod_Prop!$H:$H,K$1,Prod_Prop!$I:$I,"Exacto"),Prod_Prop!$A:$A,Prod_Prop!$J:$J,"",0,1))</f>
        <v/>
      </c>
      <c r="L758" s="4" t="str">
        <f t="array" ref="L758">IF($E758="","", XLOOKUP(SUMIFS(Prod_Prop!$A:$A,Prod_Prop!$B:$B,$E758,Prod_Prop!$H:$H,L$1,Prod_Prop!$I:$I,"Exacto"),Prod_Prop!$A:$A,Prod_Prop!$J:$J,"",0,1))</f>
        <v/>
      </c>
      <c r="M758" s="4" t="str">
        <f t="array" ref="M758">IF($E758="","", XLOOKUP(SUMIFS(Prod_Prop!$A:$A,Prod_Prop!$B:$B,$E758,Prod_Prop!$H:$H,M$1,Prod_Prop!$I:$I,"Exacto"),Prod_Prop!$A:$A,Prod_Prop!$J:$J,"",0,1))</f>
        <v/>
      </c>
      <c r="N758" s="4" t="str">
        <f t="array" ref="N758">IF($E758="","", XLOOKUP(SUMIFS(Prod_Prop!$A:$A,Prod_Prop!$B:$B,$E758,Prod_Prop!$H:$H,N$1,Prod_Prop!$I:$I,"Exacto"),Prod_Prop!$A:$A,Prod_Prop!$J:$J,"",0,1))</f>
        <v/>
      </c>
      <c r="O758" s="4" t="str">
        <f t="array" ref="O758">IF($E758="","", XLOOKUP(SUMIFS(Prod_Prop!$A:$A,Prod_Prop!$B:$B,$E758,Prod_Prop!$H:$H,O$1,Prod_Prop!$I:$I,"Exacto"),Prod_Prop!$A:$A,Prod_Prop!$J:$J,"",0,1))</f>
        <v/>
      </c>
      <c r="P758" s="4" t="str">
        <f t="array" ref="P758">IF($E758="","", XLOOKUP(SUMIFS(Prod_Prop!$A:$A,Prod_Prop!$B:$B,$E758,Prod_Prop!$H:$H,P$1,Prod_Prop!$I:$I,"Exacto"),Prod_Prop!$A:$A,Prod_Prop!$J:$J,"",0,1))</f>
        <v/>
      </c>
      <c r="Q758" s="4" t="str">
        <f t="array" ref="Q758">IF($E758="","", XLOOKUP(SUMIFS(Prod_Prop!$A:$A,Prod_Prop!$B:$B,$E758,Prod_Prop!$H:$H,Q$1,Prod_Prop!$I:$I,"Exacto"),Prod_Prop!$A:$A,Prod_Prop!$J:$J,"",0,1))</f>
        <v/>
      </c>
      <c r="R758" s="4" t="str">
        <f t="array" ref="R758">IF($E758="","", XLOOKUP(SUMIFS(Prod_Prop!$A:$A,Prod_Prop!$B:$B,$E758,Prod_Prop!$H:$H,R$1,Prod_Prop!$I:$I,"Exacto"),Prod_Prop!$A:$A,Prod_Prop!$J:$J,"",0,1))</f>
        <v/>
      </c>
      <c r="S758" s="4" t="str">
        <f t="array" ref="S758">IF($E758="","", XLOOKUP(SUMIFS(Prod_Prop!$A:$A,Prod_Prop!$B:$B,$E758,Prod_Prop!$H:$H,S$1,Prod_Prop!$I:$I,"Exacto"),Prod_Prop!$A:$A,Prod_Prop!$J:$J,"",0,1))</f>
        <v/>
      </c>
      <c r="T758" s="4" t="str">
        <f t="array" ref="T758">IF($E758="","", XLOOKUP(SUMIFS(Prod_Prop!$A:$A,Prod_Prop!$B:$B,$E758,Prod_Prop!$H:$H,T$1,Prod_Prop!$I:$I,"Exacto"),Prod_Prop!$A:$A,Prod_Prop!$J:$J,"",0,1))</f>
        <v/>
      </c>
      <c r="U758" s="4" t="str">
        <f t="array" ref="U758">IF($E758="","", XLOOKUP(SUMIFS(Prod_Prop!$A:$A,Prod_Prop!$B:$B,$E758,Prod_Prop!$H:$H,U$1,Prod_Prop!$I:$I,"Exacto"),Prod_Prop!$A:$A,Prod_Prop!$J:$J,"",0,1))</f>
        <v/>
      </c>
      <c r="V758" s="4" t="str">
        <f t="array" ref="V758">IF($E758="","", XLOOKUP(SUMIFS(Prod_Prop!$A:$A,Prod_Prop!$B:$B,$E758,Prod_Prop!$H:$H,V$1,Prod_Prop!$I:$I,"Exacto"),Prod_Prop!$A:$A,Prod_Prop!$J:$J,"",0,1))</f>
        <v/>
      </c>
      <c r="X758" s="3" t="str">
        <f>IFERROR(__xludf.DUMMYFUNCTION("IF(D758="""","""",IFERROR(TRANSPOSE(FILTER('Validaciones Cotizador'!U:U,'Validaciones Cotizador'!O:O=D758,'Validaciones Cotizador'!T:T=""x"")),""Finalizar""))"),"")</f>
        <v/>
      </c>
    </row>
    <row r="759">
      <c r="A759" s="2" t="str">
        <f t="array" ref="A759">IF(E759="","",XLOOKUP(D759,'Validaciones Cotizador'!C:C,'Validaciones Cotizador'!A:A,"",0,1))</f>
        <v/>
      </c>
      <c r="B759" s="2" t="str">
        <f t="array" ref="B759">IF(F759="","",XLOOKUP(F759,Productos!E:E,Productos!G:G,"",0,1))</f>
        <v/>
      </c>
      <c r="C759" s="2" t="str">
        <f>IF(A759="","",SUMIFS('Validaciones Cotizador'!B:B,'Validaciones Cotizador'!C:C,D759,'Validaciones Cotizador'!A:A,A759))</f>
        <v/>
      </c>
      <c r="D759" s="4" t="str">
        <f>IFERROR(__xludf.DUMMYFUNCTION("IF(OR(F758=""Finalizar"",F758="""",F758=""Selecciona..""),"""",IF(OR(F758=""-"",INDEX(filter(Familias!F:F,Familias!D:D=A758,Familias!E:E=C758),1)=""O""),D758+1,D758))"),"")</f>
        <v/>
      </c>
      <c r="E759" s="2" t="str">
        <f>IF(OR(F759="",F759="Selecciona.."),"",IF(D759="Implemento",SUMIF(Implementos!B:B,F759,Implementos!A:A),SUMIF(Productos!E:E,F759,Productos!A:A)))</f>
        <v/>
      </c>
      <c r="F759" s="2" t="str">
        <f t="shared" si="2"/>
        <v/>
      </c>
      <c r="G759" s="10" t="str">
        <f t="array" ref="G759">IF(OR(F759="",F759="-",F759="Selecciona..",F759="Finalizar"),"",IF(A759="Rodados",XLOOKUP(B759,'Validaciones Cotizador'!I:I,'Validaciones Cotizador'!J:J,0,0,1),1))</f>
        <v/>
      </c>
      <c r="H759" s="11" t="str">
        <f>IF(OR(F759="",F759="Selecciona.."),"",SUMIF(Precio_Productos!K:K,E759,Precio_Productos!J:J)*G759)</f>
        <v/>
      </c>
      <c r="I759" s="4" t="str">
        <f t="array" ref="I759">IF($E759="","", XLOOKUP(SUMIFS(Prod_Prop!$A:$A,Prod_Prop!$B:$B,$E759,Prod_Prop!$H:$H,I$1,Prod_Prop!$I:$I,"Exacto"),Prod_Prop!$A:$A,Prod_Prop!$J:$J,"",0,1))</f>
        <v/>
      </c>
      <c r="J759" s="4" t="str">
        <f t="array" ref="J759">IF($E759="","", XLOOKUP(SUMIFS(Prod_Prop!$A:$A,Prod_Prop!$B:$B,$E759,Prod_Prop!$H:$H,J$1,Prod_Prop!$I:$I,"Exacto"),Prod_Prop!$A:$A,Prod_Prop!$J:$J,"",0,1))</f>
        <v/>
      </c>
      <c r="K759" s="4" t="str">
        <f t="array" ref="K759">IF($E759="","", XLOOKUP(SUMIFS(Prod_Prop!$A:$A,Prod_Prop!$B:$B,$E759,Prod_Prop!$H:$H,K$1,Prod_Prop!$I:$I,"Exacto"),Prod_Prop!$A:$A,Prod_Prop!$J:$J,"",0,1))</f>
        <v/>
      </c>
      <c r="L759" s="4" t="str">
        <f t="array" ref="L759">IF($E759="","", XLOOKUP(SUMIFS(Prod_Prop!$A:$A,Prod_Prop!$B:$B,$E759,Prod_Prop!$H:$H,L$1,Prod_Prop!$I:$I,"Exacto"),Prod_Prop!$A:$A,Prod_Prop!$J:$J,"",0,1))</f>
        <v/>
      </c>
      <c r="M759" s="4" t="str">
        <f t="array" ref="M759">IF($E759="","", XLOOKUP(SUMIFS(Prod_Prop!$A:$A,Prod_Prop!$B:$B,$E759,Prod_Prop!$H:$H,M$1,Prod_Prop!$I:$I,"Exacto"),Prod_Prop!$A:$A,Prod_Prop!$J:$J,"",0,1))</f>
        <v/>
      </c>
      <c r="N759" s="4" t="str">
        <f t="array" ref="N759">IF($E759="","", XLOOKUP(SUMIFS(Prod_Prop!$A:$A,Prod_Prop!$B:$B,$E759,Prod_Prop!$H:$H,N$1,Prod_Prop!$I:$I,"Exacto"),Prod_Prop!$A:$A,Prod_Prop!$J:$J,"",0,1))</f>
        <v/>
      </c>
      <c r="O759" s="4" t="str">
        <f t="array" ref="O759">IF($E759="","", XLOOKUP(SUMIFS(Prod_Prop!$A:$A,Prod_Prop!$B:$B,$E759,Prod_Prop!$H:$H,O$1,Prod_Prop!$I:$I,"Exacto"),Prod_Prop!$A:$A,Prod_Prop!$J:$J,"",0,1))</f>
        <v/>
      </c>
      <c r="P759" s="4" t="str">
        <f t="array" ref="P759">IF($E759="","", XLOOKUP(SUMIFS(Prod_Prop!$A:$A,Prod_Prop!$B:$B,$E759,Prod_Prop!$H:$H,P$1,Prod_Prop!$I:$I,"Exacto"),Prod_Prop!$A:$A,Prod_Prop!$J:$J,"",0,1))</f>
        <v/>
      </c>
      <c r="Q759" s="4" t="str">
        <f t="array" ref="Q759">IF($E759="","", XLOOKUP(SUMIFS(Prod_Prop!$A:$A,Prod_Prop!$B:$B,$E759,Prod_Prop!$H:$H,Q$1,Prod_Prop!$I:$I,"Exacto"),Prod_Prop!$A:$A,Prod_Prop!$J:$J,"",0,1))</f>
        <v/>
      </c>
      <c r="R759" s="4" t="str">
        <f t="array" ref="R759">IF($E759="","", XLOOKUP(SUMIFS(Prod_Prop!$A:$A,Prod_Prop!$B:$B,$E759,Prod_Prop!$H:$H,R$1,Prod_Prop!$I:$I,"Exacto"),Prod_Prop!$A:$A,Prod_Prop!$J:$J,"",0,1))</f>
        <v/>
      </c>
      <c r="S759" s="4" t="str">
        <f t="array" ref="S759">IF($E759="","", XLOOKUP(SUMIFS(Prod_Prop!$A:$A,Prod_Prop!$B:$B,$E759,Prod_Prop!$H:$H,S$1,Prod_Prop!$I:$I,"Exacto"),Prod_Prop!$A:$A,Prod_Prop!$J:$J,"",0,1))</f>
        <v/>
      </c>
      <c r="T759" s="4" t="str">
        <f t="array" ref="T759">IF($E759="","", XLOOKUP(SUMIFS(Prod_Prop!$A:$A,Prod_Prop!$B:$B,$E759,Prod_Prop!$H:$H,T$1,Prod_Prop!$I:$I,"Exacto"),Prod_Prop!$A:$A,Prod_Prop!$J:$J,"",0,1))</f>
        <v/>
      </c>
      <c r="U759" s="4" t="str">
        <f t="array" ref="U759">IF($E759="","", XLOOKUP(SUMIFS(Prod_Prop!$A:$A,Prod_Prop!$B:$B,$E759,Prod_Prop!$H:$H,U$1,Prod_Prop!$I:$I,"Exacto"),Prod_Prop!$A:$A,Prod_Prop!$J:$J,"",0,1))</f>
        <v/>
      </c>
      <c r="V759" s="4" t="str">
        <f t="array" ref="V759">IF($E759="","", XLOOKUP(SUMIFS(Prod_Prop!$A:$A,Prod_Prop!$B:$B,$E759,Prod_Prop!$H:$H,V$1,Prod_Prop!$I:$I,"Exacto"),Prod_Prop!$A:$A,Prod_Prop!$J:$J,"",0,1))</f>
        <v/>
      </c>
      <c r="X759" s="3" t="str">
        <f>IFERROR(__xludf.DUMMYFUNCTION("IF(D759="""","""",IFERROR(TRANSPOSE(FILTER('Validaciones Cotizador'!U:U,'Validaciones Cotizador'!O:O=D759,'Validaciones Cotizador'!T:T=""x"")),""Finalizar""))"),"")</f>
        <v/>
      </c>
    </row>
    <row r="760">
      <c r="A760" s="2" t="str">
        <f t="array" ref="A760">IF(E760="","",XLOOKUP(D760,'Validaciones Cotizador'!C:C,'Validaciones Cotizador'!A:A,"",0,1))</f>
        <v/>
      </c>
      <c r="B760" s="2" t="str">
        <f t="array" ref="B760">IF(F760="","",XLOOKUP(F760,Productos!E:E,Productos!G:G,"",0,1))</f>
        <v/>
      </c>
      <c r="C760" s="2" t="str">
        <f>IF(A760="","",SUMIFS('Validaciones Cotizador'!B:B,'Validaciones Cotizador'!C:C,D760,'Validaciones Cotizador'!A:A,A760))</f>
        <v/>
      </c>
      <c r="D760" s="4" t="str">
        <f>IFERROR(__xludf.DUMMYFUNCTION("IF(OR(F759=""Finalizar"",F759="""",F759=""Selecciona..""),"""",IF(OR(F759=""-"",INDEX(filter(Familias!F:F,Familias!D:D=A759,Familias!E:E=C759),1)=""O""),D759+1,D759))"),"")</f>
        <v/>
      </c>
      <c r="E760" s="2" t="str">
        <f>IF(OR(F760="",F760="Selecciona.."),"",IF(D760="Implemento",SUMIF(Implementos!B:B,F760,Implementos!A:A),SUMIF(Productos!E:E,F760,Productos!A:A)))</f>
        <v/>
      </c>
      <c r="F760" s="2" t="str">
        <f t="shared" si="2"/>
        <v/>
      </c>
      <c r="G760" s="10" t="str">
        <f t="array" ref="G760">IF(OR(F760="",F760="-",F760="Selecciona..",F760="Finalizar"),"",IF(A760="Rodados",XLOOKUP(B760,'Validaciones Cotizador'!I:I,'Validaciones Cotizador'!J:J,0,0,1),1))</f>
        <v/>
      </c>
      <c r="H760" s="11" t="str">
        <f>IF(OR(F760="",F760="Selecciona.."),"",SUMIF(Precio_Productos!K:K,E760,Precio_Productos!J:J)*G760)</f>
        <v/>
      </c>
      <c r="I760" s="4" t="str">
        <f t="array" ref="I760">IF($E760="","", XLOOKUP(SUMIFS(Prod_Prop!$A:$A,Prod_Prop!$B:$B,$E760,Prod_Prop!$H:$H,I$1,Prod_Prop!$I:$I,"Exacto"),Prod_Prop!$A:$A,Prod_Prop!$J:$J,"",0,1))</f>
        <v/>
      </c>
      <c r="J760" s="4" t="str">
        <f t="array" ref="J760">IF($E760="","", XLOOKUP(SUMIFS(Prod_Prop!$A:$A,Prod_Prop!$B:$B,$E760,Prod_Prop!$H:$H,J$1,Prod_Prop!$I:$I,"Exacto"),Prod_Prop!$A:$A,Prod_Prop!$J:$J,"",0,1))</f>
        <v/>
      </c>
      <c r="K760" s="4" t="str">
        <f t="array" ref="K760">IF($E760="","", XLOOKUP(SUMIFS(Prod_Prop!$A:$A,Prod_Prop!$B:$B,$E760,Prod_Prop!$H:$H,K$1,Prod_Prop!$I:$I,"Exacto"),Prod_Prop!$A:$A,Prod_Prop!$J:$J,"",0,1))</f>
        <v/>
      </c>
      <c r="L760" s="4" t="str">
        <f t="array" ref="L760">IF($E760="","", XLOOKUP(SUMIFS(Prod_Prop!$A:$A,Prod_Prop!$B:$B,$E760,Prod_Prop!$H:$H,L$1,Prod_Prop!$I:$I,"Exacto"),Prod_Prop!$A:$A,Prod_Prop!$J:$J,"",0,1))</f>
        <v/>
      </c>
      <c r="M760" s="4" t="str">
        <f t="array" ref="M760">IF($E760="","", XLOOKUP(SUMIFS(Prod_Prop!$A:$A,Prod_Prop!$B:$B,$E760,Prod_Prop!$H:$H,M$1,Prod_Prop!$I:$I,"Exacto"),Prod_Prop!$A:$A,Prod_Prop!$J:$J,"",0,1))</f>
        <v/>
      </c>
      <c r="N760" s="4" t="str">
        <f t="array" ref="N760">IF($E760="","", XLOOKUP(SUMIFS(Prod_Prop!$A:$A,Prod_Prop!$B:$B,$E760,Prod_Prop!$H:$H,N$1,Prod_Prop!$I:$I,"Exacto"),Prod_Prop!$A:$A,Prod_Prop!$J:$J,"",0,1))</f>
        <v/>
      </c>
      <c r="O760" s="4" t="str">
        <f t="array" ref="O760">IF($E760="","", XLOOKUP(SUMIFS(Prod_Prop!$A:$A,Prod_Prop!$B:$B,$E760,Prod_Prop!$H:$H,O$1,Prod_Prop!$I:$I,"Exacto"),Prod_Prop!$A:$A,Prod_Prop!$J:$J,"",0,1))</f>
        <v/>
      </c>
      <c r="P760" s="4" t="str">
        <f t="array" ref="P760">IF($E760="","", XLOOKUP(SUMIFS(Prod_Prop!$A:$A,Prod_Prop!$B:$B,$E760,Prod_Prop!$H:$H,P$1,Prod_Prop!$I:$I,"Exacto"),Prod_Prop!$A:$A,Prod_Prop!$J:$J,"",0,1))</f>
        <v/>
      </c>
      <c r="Q760" s="4" t="str">
        <f t="array" ref="Q760">IF($E760="","", XLOOKUP(SUMIFS(Prod_Prop!$A:$A,Prod_Prop!$B:$B,$E760,Prod_Prop!$H:$H,Q$1,Prod_Prop!$I:$I,"Exacto"),Prod_Prop!$A:$A,Prod_Prop!$J:$J,"",0,1))</f>
        <v/>
      </c>
      <c r="R760" s="4" t="str">
        <f t="array" ref="R760">IF($E760="","", XLOOKUP(SUMIFS(Prod_Prop!$A:$A,Prod_Prop!$B:$B,$E760,Prod_Prop!$H:$H,R$1,Prod_Prop!$I:$I,"Exacto"),Prod_Prop!$A:$A,Prod_Prop!$J:$J,"",0,1))</f>
        <v/>
      </c>
      <c r="S760" s="4" t="str">
        <f t="array" ref="S760">IF($E760="","", XLOOKUP(SUMIFS(Prod_Prop!$A:$A,Prod_Prop!$B:$B,$E760,Prod_Prop!$H:$H,S$1,Prod_Prop!$I:$I,"Exacto"),Prod_Prop!$A:$A,Prod_Prop!$J:$J,"",0,1))</f>
        <v/>
      </c>
      <c r="T760" s="4" t="str">
        <f t="array" ref="T760">IF($E760="","", XLOOKUP(SUMIFS(Prod_Prop!$A:$A,Prod_Prop!$B:$B,$E760,Prod_Prop!$H:$H,T$1,Prod_Prop!$I:$I,"Exacto"),Prod_Prop!$A:$A,Prod_Prop!$J:$J,"",0,1))</f>
        <v/>
      </c>
      <c r="U760" s="4" t="str">
        <f t="array" ref="U760">IF($E760="","", XLOOKUP(SUMIFS(Prod_Prop!$A:$A,Prod_Prop!$B:$B,$E760,Prod_Prop!$H:$H,U$1,Prod_Prop!$I:$I,"Exacto"),Prod_Prop!$A:$A,Prod_Prop!$J:$J,"",0,1))</f>
        <v/>
      </c>
      <c r="V760" s="4" t="str">
        <f t="array" ref="V760">IF($E760="","", XLOOKUP(SUMIFS(Prod_Prop!$A:$A,Prod_Prop!$B:$B,$E760,Prod_Prop!$H:$H,V$1,Prod_Prop!$I:$I,"Exacto"),Prod_Prop!$A:$A,Prod_Prop!$J:$J,"",0,1))</f>
        <v/>
      </c>
      <c r="X760" s="3" t="str">
        <f>IFERROR(__xludf.DUMMYFUNCTION("IF(D760="""","""",IFERROR(TRANSPOSE(FILTER('Validaciones Cotizador'!U:U,'Validaciones Cotizador'!O:O=D760,'Validaciones Cotizador'!T:T=""x"")),""Finalizar""))"),"")</f>
        <v/>
      </c>
    </row>
    <row r="761">
      <c r="A761" s="2" t="str">
        <f t="array" ref="A761">IF(E761="","",XLOOKUP(D761,'Validaciones Cotizador'!C:C,'Validaciones Cotizador'!A:A,"",0,1))</f>
        <v/>
      </c>
      <c r="B761" s="2" t="str">
        <f t="array" ref="B761">IF(F761="","",XLOOKUP(F761,Productos!E:E,Productos!G:G,"",0,1))</f>
        <v/>
      </c>
      <c r="C761" s="2" t="str">
        <f>IF(A761="","",SUMIFS('Validaciones Cotizador'!B:B,'Validaciones Cotizador'!C:C,D761,'Validaciones Cotizador'!A:A,A761))</f>
        <v/>
      </c>
      <c r="D761" s="4" t="str">
        <f>IFERROR(__xludf.DUMMYFUNCTION("IF(OR(F760=""Finalizar"",F760="""",F760=""Selecciona..""),"""",IF(OR(F760=""-"",INDEX(filter(Familias!F:F,Familias!D:D=A760,Familias!E:E=C760),1)=""O""),D760+1,D760))"),"")</f>
        <v/>
      </c>
      <c r="E761" s="2" t="str">
        <f>IF(OR(F761="",F761="Selecciona.."),"",IF(D761="Implemento",SUMIF(Implementos!B:B,F761,Implementos!A:A),SUMIF(Productos!E:E,F761,Productos!A:A)))</f>
        <v/>
      </c>
      <c r="F761" s="2" t="str">
        <f t="shared" si="2"/>
        <v/>
      </c>
      <c r="G761" s="10" t="str">
        <f t="array" ref="G761">IF(OR(F761="",F761="-",F761="Selecciona..",F761="Finalizar"),"",IF(A761="Rodados",XLOOKUP(B761,'Validaciones Cotizador'!I:I,'Validaciones Cotizador'!J:J,0,0,1),1))</f>
        <v/>
      </c>
      <c r="H761" s="11" t="str">
        <f>IF(OR(F761="",F761="Selecciona.."),"",SUMIF(Precio_Productos!K:K,E761,Precio_Productos!J:J)*G761)</f>
        <v/>
      </c>
      <c r="I761" s="4" t="str">
        <f t="array" ref="I761">IF($E761="","", XLOOKUP(SUMIFS(Prod_Prop!$A:$A,Prod_Prop!$B:$B,$E761,Prod_Prop!$H:$H,I$1,Prod_Prop!$I:$I,"Exacto"),Prod_Prop!$A:$A,Prod_Prop!$J:$J,"",0,1))</f>
        <v/>
      </c>
      <c r="J761" s="4" t="str">
        <f t="array" ref="J761">IF($E761="","", XLOOKUP(SUMIFS(Prod_Prop!$A:$A,Prod_Prop!$B:$B,$E761,Prod_Prop!$H:$H,J$1,Prod_Prop!$I:$I,"Exacto"),Prod_Prop!$A:$A,Prod_Prop!$J:$J,"",0,1))</f>
        <v/>
      </c>
      <c r="K761" s="4" t="str">
        <f t="array" ref="K761">IF($E761="","", XLOOKUP(SUMIFS(Prod_Prop!$A:$A,Prod_Prop!$B:$B,$E761,Prod_Prop!$H:$H,K$1,Prod_Prop!$I:$I,"Exacto"),Prod_Prop!$A:$A,Prod_Prop!$J:$J,"",0,1))</f>
        <v/>
      </c>
      <c r="L761" s="4" t="str">
        <f t="array" ref="L761">IF($E761="","", XLOOKUP(SUMIFS(Prod_Prop!$A:$A,Prod_Prop!$B:$B,$E761,Prod_Prop!$H:$H,L$1,Prod_Prop!$I:$I,"Exacto"),Prod_Prop!$A:$A,Prod_Prop!$J:$J,"",0,1))</f>
        <v/>
      </c>
      <c r="M761" s="4" t="str">
        <f t="array" ref="M761">IF($E761="","", XLOOKUP(SUMIFS(Prod_Prop!$A:$A,Prod_Prop!$B:$B,$E761,Prod_Prop!$H:$H,M$1,Prod_Prop!$I:$I,"Exacto"),Prod_Prop!$A:$A,Prod_Prop!$J:$J,"",0,1))</f>
        <v/>
      </c>
      <c r="N761" s="4" t="str">
        <f t="array" ref="N761">IF($E761="","", XLOOKUP(SUMIFS(Prod_Prop!$A:$A,Prod_Prop!$B:$B,$E761,Prod_Prop!$H:$H,N$1,Prod_Prop!$I:$I,"Exacto"),Prod_Prop!$A:$A,Prod_Prop!$J:$J,"",0,1))</f>
        <v/>
      </c>
      <c r="O761" s="4" t="str">
        <f t="array" ref="O761">IF($E761="","", XLOOKUP(SUMIFS(Prod_Prop!$A:$A,Prod_Prop!$B:$B,$E761,Prod_Prop!$H:$H,O$1,Prod_Prop!$I:$I,"Exacto"),Prod_Prop!$A:$A,Prod_Prop!$J:$J,"",0,1))</f>
        <v/>
      </c>
      <c r="P761" s="4" t="str">
        <f t="array" ref="P761">IF($E761="","", XLOOKUP(SUMIFS(Prod_Prop!$A:$A,Prod_Prop!$B:$B,$E761,Prod_Prop!$H:$H,P$1,Prod_Prop!$I:$I,"Exacto"),Prod_Prop!$A:$A,Prod_Prop!$J:$J,"",0,1))</f>
        <v/>
      </c>
      <c r="Q761" s="4" t="str">
        <f t="array" ref="Q761">IF($E761="","", XLOOKUP(SUMIFS(Prod_Prop!$A:$A,Prod_Prop!$B:$B,$E761,Prod_Prop!$H:$H,Q$1,Prod_Prop!$I:$I,"Exacto"),Prod_Prop!$A:$A,Prod_Prop!$J:$J,"",0,1))</f>
        <v/>
      </c>
      <c r="R761" s="4" t="str">
        <f t="array" ref="R761">IF($E761="","", XLOOKUP(SUMIFS(Prod_Prop!$A:$A,Prod_Prop!$B:$B,$E761,Prod_Prop!$H:$H,R$1,Prod_Prop!$I:$I,"Exacto"),Prod_Prop!$A:$A,Prod_Prop!$J:$J,"",0,1))</f>
        <v/>
      </c>
      <c r="S761" s="4" t="str">
        <f t="array" ref="S761">IF($E761="","", XLOOKUP(SUMIFS(Prod_Prop!$A:$A,Prod_Prop!$B:$B,$E761,Prod_Prop!$H:$H,S$1,Prod_Prop!$I:$I,"Exacto"),Prod_Prop!$A:$A,Prod_Prop!$J:$J,"",0,1))</f>
        <v/>
      </c>
      <c r="T761" s="4" t="str">
        <f t="array" ref="T761">IF($E761="","", XLOOKUP(SUMIFS(Prod_Prop!$A:$A,Prod_Prop!$B:$B,$E761,Prod_Prop!$H:$H,T$1,Prod_Prop!$I:$I,"Exacto"),Prod_Prop!$A:$A,Prod_Prop!$J:$J,"",0,1))</f>
        <v/>
      </c>
      <c r="U761" s="4" t="str">
        <f t="array" ref="U761">IF($E761="","", XLOOKUP(SUMIFS(Prod_Prop!$A:$A,Prod_Prop!$B:$B,$E761,Prod_Prop!$H:$H,U$1,Prod_Prop!$I:$I,"Exacto"),Prod_Prop!$A:$A,Prod_Prop!$J:$J,"",0,1))</f>
        <v/>
      </c>
      <c r="V761" s="4" t="str">
        <f t="array" ref="V761">IF($E761="","", XLOOKUP(SUMIFS(Prod_Prop!$A:$A,Prod_Prop!$B:$B,$E761,Prod_Prop!$H:$H,V$1,Prod_Prop!$I:$I,"Exacto"),Prod_Prop!$A:$A,Prod_Prop!$J:$J,"",0,1))</f>
        <v/>
      </c>
      <c r="X761" s="3" t="str">
        <f>IFERROR(__xludf.DUMMYFUNCTION("IF(D761="""","""",IFERROR(TRANSPOSE(FILTER('Validaciones Cotizador'!U:U,'Validaciones Cotizador'!O:O=D761,'Validaciones Cotizador'!T:T=""x"")),""Finalizar""))"),"")</f>
        <v/>
      </c>
    </row>
    <row r="762">
      <c r="A762" s="2" t="str">
        <f t="array" ref="A762">IF(E762="","",XLOOKUP(D762,'Validaciones Cotizador'!C:C,'Validaciones Cotizador'!A:A,"",0,1))</f>
        <v/>
      </c>
      <c r="B762" s="2" t="str">
        <f t="array" ref="B762">IF(F762="","",XLOOKUP(F762,Productos!E:E,Productos!G:G,"",0,1))</f>
        <v/>
      </c>
      <c r="C762" s="2" t="str">
        <f>IF(A762="","",SUMIFS('Validaciones Cotizador'!B:B,'Validaciones Cotizador'!C:C,D762,'Validaciones Cotizador'!A:A,A762))</f>
        <v/>
      </c>
      <c r="D762" s="4" t="str">
        <f>IFERROR(__xludf.DUMMYFUNCTION("IF(OR(F761=""Finalizar"",F761="""",F761=""Selecciona..""),"""",IF(OR(F761=""-"",INDEX(filter(Familias!F:F,Familias!D:D=A761,Familias!E:E=C761),1)=""O""),D761+1,D761))"),"")</f>
        <v/>
      </c>
      <c r="E762" s="2" t="str">
        <f>IF(OR(F762="",F762="Selecciona.."),"",IF(D762="Implemento",SUMIF(Implementos!B:B,F762,Implementos!A:A),SUMIF(Productos!E:E,F762,Productos!A:A)))</f>
        <v/>
      </c>
      <c r="F762" s="2" t="str">
        <f t="shared" si="2"/>
        <v/>
      </c>
      <c r="G762" s="10" t="str">
        <f t="array" ref="G762">IF(OR(F762="",F762="-",F762="Selecciona..",F762="Finalizar"),"",IF(A762="Rodados",XLOOKUP(B762,'Validaciones Cotizador'!I:I,'Validaciones Cotizador'!J:J,0,0,1),1))</f>
        <v/>
      </c>
      <c r="H762" s="11" t="str">
        <f>IF(OR(F762="",F762="Selecciona.."),"",SUMIF(Precio_Productos!K:K,E762,Precio_Productos!J:J)*G762)</f>
        <v/>
      </c>
      <c r="I762" s="4" t="str">
        <f t="array" ref="I762">IF($E762="","", XLOOKUP(SUMIFS(Prod_Prop!$A:$A,Prod_Prop!$B:$B,$E762,Prod_Prop!$H:$H,I$1,Prod_Prop!$I:$I,"Exacto"),Prod_Prop!$A:$A,Prod_Prop!$J:$J,"",0,1))</f>
        <v/>
      </c>
      <c r="J762" s="4" t="str">
        <f t="array" ref="J762">IF($E762="","", XLOOKUP(SUMIFS(Prod_Prop!$A:$A,Prod_Prop!$B:$B,$E762,Prod_Prop!$H:$H,J$1,Prod_Prop!$I:$I,"Exacto"),Prod_Prop!$A:$A,Prod_Prop!$J:$J,"",0,1))</f>
        <v/>
      </c>
      <c r="K762" s="4" t="str">
        <f t="array" ref="K762">IF($E762="","", XLOOKUP(SUMIFS(Prod_Prop!$A:$A,Prod_Prop!$B:$B,$E762,Prod_Prop!$H:$H,K$1,Prod_Prop!$I:$I,"Exacto"),Prod_Prop!$A:$A,Prod_Prop!$J:$J,"",0,1))</f>
        <v/>
      </c>
      <c r="L762" s="4" t="str">
        <f t="array" ref="L762">IF($E762="","", XLOOKUP(SUMIFS(Prod_Prop!$A:$A,Prod_Prop!$B:$B,$E762,Prod_Prop!$H:$H,L$1,Prod_Prop!$I:$I,"Exacto"),Prod_Prop!$A:$A,Prod_Prop!$J:$J,"",0,1))</f>
        <v/>
      </c>
      <c r="M762" s="4" t="str">
        <f t="array" ref="M762">IF($E762="","", XLOOKUP(SUMIFS(Prod_Prop!$A:$A,Prod_Prop!$B:$B,$E762,Prod_Prop!$H:$H,M$1,Prod_Prop!$I:$I,"Exacto"),Prod_Prop!$A:$A,Prod_Prop!$J:$J,"",0,1))</f>
        <v/>
      </c>
      <c r="N762" s="4" t="str">
        <f t="array" ref="N762">IF($E762="","", XLOOKUP(SUMIFS(Prod_Prop!$A:$A,Prod_Prop!$B:$B,$E762,Prod_Prop!$H:$H,N$1,Prod_Prop!$I:$I,"Exacto"),Prod_Prop!$A:$A,Prod_Prop!$J:$J,"",0,1))</f>
        <v/>
      </c>
      <c r="O762" s="4" t="str">
        <f t="array" ref="O762">IF($E762="","", XLOOKUP(SUMIFS(Prod_Prop!$A:$A,Prod_Prop!$B:$B,$E762,Prod_Prop!$H:$H,O$1,Prod_Prop!$I:$I,"Exacto"),Prod_Prop!$A:$A,Prod_Prop!$J:$J,"",0,1))</f>
        <v/>
      </c>
      <c r="P762" s="4" t="str">
        <f t="array" ref="P762">IF($E762="","", XLOOKUP(SUMIFS(Prod_Prop!$A:$A,Prod_Prop!$B:$B,$E762,Prod_Prop!$H:$H,P$1,Prod_Prop!$I:$I,"Exacto"),Prod_Prop!$A:$A,Prod_Prop!$J:$J,"",0,1))</f>
        <v/>
      </c>
      <c r="Q762" s="4" t="str">
        <f t="array" ref="Q762">IF($E762="","", XLOOKUP(SUMIFS(Prod_Prop!$A:$A,Prod_Prop!$B:$B,$E762,Prod_Prop!$H:$H,Q$1,Prod_Prop!$I:$I,"Exacto"),Prod_Prop!$A:$A,Prod_Prop!$J:$J,"",0,1))</f>
        <v/>
      </c>
      <c r="R762" s="4" t="str">
        <f t="array" ref="R762">IF($E762="","", XLOOKUP(SUMIFS(Prod_Prop!$A:$A,Prod_Prop!$B:$B,$E762,Prod_Prop!$H:$H,R$1,Prod_Prop!$I:$I,"Exacto"),Prod_Prop!$A:$A,Prod_Prop!$J:$J,"",0,1))</f>
        <v/>
      </c>
      <c r="S762" s="4" t="str">
        <f t="array" ref="S762">IF($E762="","", XLOOKUP(SUMIFS(Prod_Prop!$A:$A,Prod_Prop!$B:$B,$E762,Prod_Prop!$H:$H,S$1,Prod_Prop!$I:$I,"Exacto"),Prod_Prop!$A:$A,Prod_Prop!$J:$J,"",0,1))</f>
        <v/>
      </c>
      <c r="T762" s="4" t="str">
        <f t="array" ref="T762">IF($E762="","", XLOOKUP(SUMIFS(Prod_Prop!$A:$A,Prod_Prop!$B:$B,$E762,Prod_Prop!$H:$H,T$1,Prod_Prop!$I:$I,"Exacto"),Prod_Prop!$A:$A,Prod_Prop!$J:$J,"",0,1))</f>
        <v/>
      </c>
      <c r="U762" s="4" t="str">
        <f t="array" ref="U762">IF($E762="","", XLOOKUP(SUMIFS(Prod_Prop!$A:$A,Prod_Prop!$B:$B,$E762,Prod_Prop!$H:$H,U$1,Prod_Prop!$I:$I,"Exacto"),Prod_Prop!$A:$A,Prod_Prop!$J:$J,"",0,1))</f>
        <v/>
      </c>
      <c r="V762" s="4" t="str">
        <f t="array" ref="V762">IF($E762="","", XLOOKUP(SUMIFS(Prod_Prop!$A:$A,Prod_Prop!$B:$B,$E762,Prod_Prop!$H:$H,V$1,Prod_Prop!$I:$I,"Exacto"),Prod_Prop!$A:$A,Prod_Prop!$J:$J,"",0,1))</f>
        <v/>
      </c>
      <c r="X762" s="3" t="str">
        <f>IFERROR(__xludf.DUMMYFUNCTION("IF(D762="""","""",IFERROR(TRANSPOSE(FILTER('Validaciones Cotizador'!U:U,'Validaciones Cotizador'!O:O=D762,'Validaciones Cotizador'!T:T=""x"")),""Finalizar""))"),"")</f>
        <v/>
      </c>
    </row>
    <row r="763">
      <c r="A763" s="2" t="str">
        <f t="array" ref="A763">IF(E763="","",XLOOKUP(D763,'Validaciones Cotizador'!C:C,'Validaciones Cotizador'!A:A,"",0,1))</f>
        <v/>
      </c>
      <c r="B763" s="2" t="str">
        <f t="array" ref="B763">IF(F763="","",XLOOKUP(F763,Productos!E:E,Productos!G:G,"",0,1))</f>
        <v/>
      </c>
      <c r="C763" s="2" t="str">
        <f>IF(A763="","",SUMIFS('Validaciones Cotizador'!B:B,'Validaciones Cotizador'!C:C,D763,'Validaciones Cotizador'!A:A,A763))</f>
        <v/>
      </c>
      <c r="D763" s="4" t="str">
        <f>IFERROR(__xludf.DUMMYFUNCTION("IF(OR(F762=""Finalizar"",F762="""",F762=""Selecciona..""),"""",IF(OR(F762=""-"",INDEX(filter(Familias!F:F,Familias!D:D=A762,Familias!E:E=C762),1)=""O""),D762+1,D762))"),"")</f>
        <v/>
      </c>
      <c r="E763" s="2" t="str">
        <f>IF(OR(F763="",F763="Selecciona.."),"",IF(D763="Implemento",SUMIF(Implementos!B:B,F763,Implementos!A:A),SUMIF(Productos!E:E,F763,Productos!A:A)))</f>
        <v/>
      </c>
      <c r="F763" s="2" t="str">
        <f t="shared" si="2"/>
        <v/>
      </c>
      <c r="G763" s="10" t="str">
        <f t="array" ref="G763">IF(OR(F763="",F763="-",F763="Selecciona..",F763="Finalizar"),"",IF(A763="Rodados",XLOOKUP(B763,'Validaciones Cotizador'!I:I,'Validaciones Cotizador'!J:J,0,0,1),1))</f>
        <v/>
      </c>
      <c r="H763" s="11" t="str">
        <f>IF(OR(F763="",F763="Selecciona.."),"",SUMIF(Precio_Productos!K:K,E763,Precio_Productos!J:J)*G763)</f>
        <v/>
      </c>
      <c r="I763" s="4" t="str">
        <f t="array" ref="I763">IF($E763="","", XLOOKUP(SUMIFS(Prod_Prop!$A:$A,Prod_Prop!$B:$B,$E763,Prod_Prop!$H:$H,I$1,Prod_Prop!$I:$I,"Exacto"),Prod_Prop!$A:$A,Prod_Prop!$J:$J,"",0,1))</f>
        <v/>
      </c>
      <c r="J763" s="4" t="str">
        <f t="array" ref="J763">IF($E763="","", XLOOKUP(SUMIFS(Prod_Prop!$A:$A,Prod_Prop!$B:$B,$E763,Prod_Prop!$H:$H,J$1,Prod_Prop!$I:$I,"Exacto"),Prod_Prop!$A:$A,Prod_Prop!$J:$J,"",0,1))</f>
        <v/>
      </c>
      <c r="K763" s="4" t="str">
        <f t="array" ref="K763">IF($E763="","", XLOOKUP(SUMIFS(Prod_Prop!$A:$A,Prod_Prop!$B:$B,$E763,Prod_Prop!$H:$H,K$1,Prod_Prop!$I:$I,"Exacto"),Prod_Prop!$A:$A,Prod_Prop!$J:$J,"",0,1))</f>
        <v/>
      </c>
      <c r="L763" s="4" t="str">
        <f t="array" ref="L763">IF($E763="","", XLOOKUP(SUMIFS(Prod_Prop!$A:$A,Prod_Prop!$B:$B,$E763,Prod_Prop!$H:$H,L$1,Prod_Prop!$I:$I,"Exacto"),Prod_Prop!$A:$A,Prod_Prop!$J:$J,"",0,1))</f>
        <v/>
      </c>
      <c r="M763" s="4" t="str">
        <f t="array" ref="M763">IF($E763="","", XLOOKUP(SUMIFS(Prod_Prop!$A:$A,Prod_Prop!$B:$B,$E763,Prod_Prop!$H:$H,M$1,Prod_Prop!$I:$I,"Exacto"),Prod_Prop!$A:$A,Prod_Prop!$J:$J,"",0,1))</f>
        <v/>
      </c>
      <c r="N763" s="4" t="str">
        <f t="array" ref="N763">IF($E763="","", XLOOKUP(SUMIFS(Prod_Prop!$A:$A,Prod_Prop!$B:$B,$E763,Prod_Prop!$H:$H,N$1,Prod_Prop!$I:$I,"Exacto"),Prod_Prop!$A:$A,Prod_Prop!$J:$J,"",0,1))</f>
        <v/>
      </c>
      <c r="O763" s="4" t="str">
        <f t="array" ref="O763">IF($E763="","", XLOOKUP(SUMIFS(Prod_Prop!$A:$A,Prod_Prop!$B:$B,$E763,Prod_Prop!$H:$H,O$1,Prod_Prop!$I:$I,"Exacto"),Prod_Prop!$A:$A,Prod_Prop!$J:$J,"",0,1))</f>
        <v/>
      </c>
      <c r="P763" s="4" t="str">
        <f t="array" ref="P763">IF($E763="","", XLOOKUP(SUMIFS(Prod_Prop!$A:$A,Prod_Prop!$B:$B,$E763,Prod_Prop!$H:$H,P$1,Prod_Prop!$I:$I,"Exacto"),Prod_Prop!$A:$A,Prod_Prop!$J:$J,"",0,1))</f>
        <v/>
      </c>
      <c r="Q763" s="4" t="str">
        <f t="array" ref="Q763">IF($E763="","", XLOOKUP(SUMIFS(Prod_Prop!$A:$A,Prod_Prop!$B:$B,$E763,Prod_Prop!$H:$H,Q$1,Prod_Prop!$I:$I,"Exacto"),Prod_Prop!$A:$A,Prod_Prop!$J:$J,"",0,1))</f>
        <v/>
      </c>
      <c r="R763" s="4" t="str">
        <f t="array" ref="R763">IF($E763="","", XLOOKUP(SUMIFS(Prod_Prop!$A:$A,Prod_Prop!$B:$B,$E763,Prod_Prop!$H:$H,R$1,Prod_Prop!$I:$I,"Exacto"),Prod_Prop!$A:$A,Prod_Prop!$J:$J,"",0,1))</f>
        <v/>
      </c>
      <c r="S763" s="4" t="str">
        <f t="array" ref="S763">IF($E763="","", XLOOKUP(SUMIFS(Prod_Prop!$A:$A,Prod_Prop!$B:$B,$E763,Prod_Prop!$H:$H,S$1,Prod_Prop!$I:$I,"Exacto"),Prod_Prop!$A:$A,Prod_Prop!$J:$J,"",0,1))</f>
        <v/>
      </c>
      <c r="T763" s="4" t="str">
        <f t="array" ref="T763">IF($E763="","", XLOOKUP(SUMIFS(Prod_Prop!$A:$A,Prod_Prop!$B:$B,$E763,Prod_Prop!$H:$H,T$1,Prod_Prop!$I:$I,"Exacto"),Prod_Prop!$A:$A,Prod_Prop!$J:$J,"",0,1))</f>
        <v/>
      </c>
      <c r="U763" s="4" t="str">
        <f t="array" ref="U763">IF($E763="","", XLOOKUP(SUMIFS(Prod_Prop!$A:$A,Prod_Prop!$B:$B,$E763,Prod_Prop!$H:$H,U$1,Prod_Prop!$I:$I,"Exacto"),Prod_Prop!$A:$A,Prod_Prop!$J:$J,"",0,1))</f>
        <v/>
      </c>
      <c r="V763" s="4" t="str">
        <f t="array" ref="V763">IF($E763="","", XLOOKUP(SUMIFS(Prod_Prop!$A:$A,Prod_Prop!$B:$B,$E763,Prod_Prop!$H:$H,V$1,Prod_Prop!$I:$I,"Exacto"),Prod_Prop!$A:$A,Prod_Prop!$J:$J,"",0,1))</f>
        <v/>
      </c>
      <c r="X763" s="3" t="str">
        <f>IFERROR(__xludf.DUMMYFUNCTION("IF(D763="""","""",IFERROR(TRANSPOSE(FILTER('Validaciones Cotizador'!U:U,'Validaciones Cotizador'!O:O=D763,'Validaciones Cotizador'!T:T=""x"")),""Finalizar""))"),"")</f>
        <v/>
      </c>
    </row>
    <row r="764">
      <c r="A764" s="2" t="str">
        <f t="array" ref="A764">IF(E764="","",XLOOKUP(D764,'Validaciones Cotizador'!C:C,'Validaciones Cotizador'!A:A,"",0,1))</f>
        <v/>
      </c>
      <c r="B764" s="2" t="str">
        <f t="array" ref="B764">IF(F764="","",XLOOKUP(F764,Productos!E:E,Productos!G:G,"",0,1))</f>
        <v/>
      </c>
      <c r="C764" s="2" t="str">
        <f>IF(A764="","",SUMIFS('Validaciones Cotizador'!B:B,'Validaciones Cotizador'!C:C,D764,'Validaciones Cotizador'!A:A,A764))</f>
        <v/>
      </c>
      <c r="D764" s="4" t="str">
        <f>IFERROR(__xludf.DUMMYFUNCTION("IF(OR(F763=""Finalizar"",F763="""",F763=""Selecciona..""),"""",IF(OR(F763=""-"",INDEX(filter(Familias!F:F,Familias!D:D=A763,Familias!E:E=C763),1)=""O""),D763+1,D763))"),"")</f>
        <v/>
      </c>
      <c r="E764" s="2" t="str">
        <f>IF(OR(F764="",F764="Selecciona.."),"",IF(D764="Implemento",SUMIF(Implementos!B:B,F764,Implementos!A:A),SUMIF(Productos!E:E,F764,Productos!A:A)))</f>
        <v/>
      </c>
      <c r="F764" s="2" t="str">
        <f t="shared" si="2"/>
        <v/>
      </c>
      <c r="G764" s="10" t="str">
        <f t="array" ref="G764">IF(OR(F764="",F764="-",F764="Selecciona..",F764="Finalizar"),"",IF(A764="Rodados",XLOOKUP(B764,'Validaciones Cotizador'!I:I,'Validaciones Cotizador'!J:J,0,0,1),1))</f>
        <v/>
      </c>
      <c r="H764" s="11" t="str">
        <f>IF(OR(F764="",F764="Selecciona.."),"",SUMIF(Precio_Productos!K:K,E764,Precio_Productos!J:J)*G764)</f>
        <v/>
      </c>
      <c r="I764" s="4" t="str">
        <f t="array" ref="I764">IF($E764="","", XLOOKUP(SUMIFS(Prod_Prop!$A:$A,Prod_Prop!$B:$B,$E764,Prod_Prop!$H:$H,I$1,Prod_Prop!$I:$I,"Exacto"),Prod_Prop!$A:$A,Prod_Prop!$J:$J,"",0,1))</f>
        <v/>
      </c>
      <c r="J764" s="4" t="str">
        <f t="array" ref="J764">IF($E764="","", XLOOKUP(SUMIFS(Prod_Prop!$A:$A,Prod_Prop!$B:$B,$E764,Prod_Prop!$H:$H,J$1,Prod_Prop!$I:$I,"Exacto"),Prod_Prop!$A:$A,Prod_Prop!$J:$J,"",0,1))</f>
        <v/>
      </c>
      <c r="K764" s="4" t="str">
        <f t="array" ref="K764">IF($E764="","", XLOOKUP(SUMIFS(Prod_Prop!$A:$A,Prod_Prop!$B:$B,$E764,Prod_Prop!$H:$H,K$1,Prod_Prop!$I:$I,"Exacto"),Prod_Prop!$A:$A,Prod_Prop!$J:$J,"",0,1))</f>
        <v/>
      </c>
      <c r="L764" s="4" t="str">
        <f t="array" ref="L764">IF($E764="","", XLOOKUP(SUMIFS(Prod_Prop!$A:$A,Prod_Prop!$B:$B,$E764,Prod_Prop!$H:$H,L$1,Prod_Prop!$I:$I,"Exacto"),Prod_Prop!$A:$A,Prod_Prop!$J:$J,"",0,1))</f>
        <v/>
      </c>
      <c r="M764" s="4" t="str">
        <f t="array" ref="M764">IF($E764="","", XLOOKUP(SUMIFS(Prod_Prop!$A:$A,Prod_Prop!$B:$B,$E764,Prod_Prop!$H:$H,M$1,Prod_Prop!$I:$I,"Exacto"),Prod_Prop!$A:$A,Prod_Prop!$J:$J,"",0,1))</f>
        <v/>
      </c>
      <c r="N764" s="4" t="str">
        <f t="array" ref="N764">IF($E764="","", XLOOKUP(SUMIFS(Prod_Prop!$A:$A,Prod_Prop!$B:$B,$E764,Prod_Prop!$H:$H,N$1,Prod_Prop!$I:$I,"Exacto"),Prod_Prop!$A:$A,Prod_Prop!$J:$J,"",0,1))</f>
        <v/>
      </c>
      <c r="O764" s="4" t="str">
        <f t="array" ref="O764">IF($E764="","", XLOOKUP(SUMIFS(Prod_Prop!$A:$A,Prod_Prop!$B:$B,$E764,Prod_Prop!$H:$H,O$1,Prod_Prop!$I:$I,"Exacto"),Prod_Prop!$A:$A,Prod_Prop!$J:$J,"",0,1))</f>
        <v/>
      </c>
      <c r="P764" s="4" t="str">
        <f t="array" ref="P764">IF($E764="","", XLOOKUP(SUMIFS(Prod_Prop!$A:$A,Prod_Prop!$B:$B,$E764,Prod_Prop!$H:$H,P$1,Prod_Prop!$I:$I,"Exacto"),Prod_Prop!$A:$A,Prod_Prop!$J:$J,"",0,1))</f>
        <v/>
      </c>
      <c r="Q764" s="4" t="str">
        <f t="array" ref="Q764">IF($E764="","", XLOOKUP(SUMIFS(Prod_Prop!$A:$A,Prod_Prop!$B:$B,$E764,Prod_Prop!$H:$H,Q$1,Prod_Prop!$I:$I,"Exacto"),Prod_Prop!$A:$A,Prod_Prop!$J:$J,"",0,1))</f>
        <v/>
      </c>
      <c r="R764" s="4" t="str">
        <f t="array" ref="R764">IF($E764="","", XLOOKUP(SUMIFS(Prod_Prop!$A:$A,Prod_Prop!$B:$B,$E764,Prod_Prop!$H:$H,R$1,Prod_Prop!$I:$I,"Exacto"),Prod_Prop!$A:$A,Prod_Prop!$J:$J,"",0,1))</f>
        <v/>
      </c>
      <c r="S764" s="4" t="str">
        <f t="array" ref="S764">IF($E764="","", XLOOKUP(SUMIFS(Prod_Prop!$A:$A,Prod_Prop!$B:$B,$E764,Prod_Prop!$H:$H,S$1,Prod_Prop!$I:$I,"Exacto"),Prod_Prop!$A:$A,Prod_Prop!$J:$J,"",0,1))</f>
        <v/>
      </c>
      <c r="T764" s="4" t="str">
        <f t="array" ref="T764">IF($E764="","", XLOOKUP(SUMIFS(Prod_Prop!$A:$A,Prod_Prop!$B:$B,$E764,Prod_Prop!$H:$H,T$1,Prod_Prop!$I:$I,"Exacto"),Prod_Prop!$A:$A,Prod_Prop!$J:$J,"",0,1))</f>
        <v/>
      </c>
      <c r="U764" s="4" t="str">
        <f t="array" ref="U764">IF($E764="","", XLOOKUP(SUMIFS(Prod_Prop!$A:$A,Prod_Prop!$B:$B,$E764,Prod_Prop!$H:$H,U$1,Prod_Prop!$I:$I,"Exacto"),Prod_Prop!$A:$A,Prod_Prop!$J:$J,"",0,1))</f>
        <v/>
      </c>
      <c r="V764" s="4" t="str">
        <f t="array" ref="V764">IF($E764="","", XLOOKUP(SUMIFS(Prod_Prop!$A:$A,Prod_Prop!$B:$B,$E764,Prod_Prop!$H:$H,V$1,Prod_Prop!$I:$I,"Exacto"),Prod_Prop!$A:$A,Prod_Prop!$J:$J,"",0,1))</f>
        <v/>
      </c>
      <c r="X764" s="3" t="str">
        <f>IFERROR(__xludf.DUMMYFUNCTION("IF(D764="""","""",IFERROR(TRANSPOSE(FILTER('Validaciones Cotizador'!U:U,'Validaciones Cotizador'!O:O=D764,'Validaciones Cotizador'!T:T=""x"")),""Finalizar""))"),"")</f>
        <v/>
      </c>
    </row>
    <row r="765">
      <c r="A765" s="2" t="str">
        <f t="array" ref="A765">IF(E765="","",XLOOKUP(D765,'Validaciones Cotizador'!C:C,'Validaciones Cotizador'!A:A,"",0,1))</f>
        <v/>
      </c>
      <c r="B765" s="2" t="str">
        <f t="array" ref="B765">IF(F765="","",XLOOKUP(F765,Productos!E:E,Productos!G:G,"",0,1))</f>
        <v/>
      </c>
      <c r="C765" s="2" t="str">
        <f>IF(A765="","",SUMIFS('Validaciones Cotizador'!B:B,'Validaciones Cotizador'!C:C,D765,'Validaciones Cotizador'!A:A,A765))</f>
        <v/>
      </c>
      <c r="D765" s="4" t="str">
        <f>IFERROR(__xludf.DUMMYFUNCTION("IF(OR(F764=""Finalizar"",F764="""",F764=""Selecciona..""),"""",IF(OR(F764=""-"",INDEX(filter(Familias!F:F,Familias!D:D=A764,Familias!E:E=C764),1)=""O""),D764+1,D764))"),"")</f>
        <v/>
      </c>
      <c r="E765" s="2" t="str">
        <f>IF(OR(F765="",F765="Selecciona.."),"",IF(D765="Implemento",SUMIF(Implementos!B:B,F765,Implementos!A:A),SUMIF(Productos!E:E,F765,Productos!A:A)))</f>
        <v/>
      </c>
      <c r="F765" s="2" t="str">
        <f t="shared" si="2"/>
        <v/>
      </c>
      <c r="G765" s="10" t="str">
        <f t="array" ref="G765">IF(OR(F765="",F765="-",F765="Selecciona..",F765="Finalizar"),"",IF(A765="Rodados",XLOOKUP(B765,'Validaciones Cotizador'!I:I,'Validaciones Cotizador'!J:J,0,0,1),1))</f>
        <v/>
      </c>
      <c r="H765" s="11" t="str">
        <f>IF(OR(F765="",F765="Selecciona.."),"",SUMIF(Precio_Productos!K:K,E765,Precio_Productos!J:J)*G765)</f>
        <v/>
      </c>
      <c r="I765" s="4" t="str">
        <f t="array" ref="I765">IF($E765="","", XLOOKUP(SUMIFS(Prod_Prop!$A:$A,Prod_Prop!$B:$B,$E765,Prod_Prop!$H:$H,I$1,Prod_Prop!$I:$I,"Exacto"),Prod_Prop!$A:$A,Prod_Prop!$J:$J,"",0,1))</f>
        <v/>
      </c>
      <c r="J765" s="4" t="str">
        <f t="array" ref="J765">IF($E765="","", XLOOKUP(SUMIFS(Prod_Prop!$A:$A,Prod_Prop!$B:$B,$E765,Prod_Prop!$H:$H,J$1,Prod_Prop!$I:$I,"Exacto"),Prod_Prop!$A:$A,Prod_Prop!$J:$J,"",0,1))</f>
        <v/>
      </c>
      <c r="K765" s="4" t="str">
        <f t="array" ref="K765">IF($E765="","", XLOOKUP(SUMIFS(Prod_Prop!$A:$A,Prod_Prop!$B:$B,$E765,Prod_Prop!$H:$H,K$1,Prod_Prop!$I:$I,"Exacto"),Prod_Prop!$A:$A,Prod_Prop!$J:$J,"",0,1))</f>
        <v/>
      </c>
      <c r="L765" s="4" t="str">
        <f t="array" ref="L765">IF($E765="","", XLOOKUP(SUMIFS(Prod_Prop!$A:$A,Prod_Prop!$B:$B,$E765,Prod_Prop!$H:$H,L$1,Prod_Prop!$I:$I,"Exacto"),Prod_Prop!$A:$A,Prod_Prop!$J:$J,"",0,1))</f>
        <v/>
      </c>
      <c r="M765" s="4" t="str">
        <f t="array" ref="M765">IF($E765="","", XLOOKUP(SUMIFS(Prod_Prop!$A:$A,Prod_Prop!$B:$B,$E765,Prod_Prop!$H:$H,M$1,Prod_Prop!$I:$I,"Exacto"),Prod_Prop!$A:$A,Prod_Prop!$J:$J,"",0,1))</f>
        <v/>
      </c>
      <c r="N765" s="4" t="str">
        <f t="array" ref="N765">IF($E765="","", XLOOKUP(SUMIFS(Prod_Prop!$A:$A,Prod_Prop!$B:$B,$E765,Prod_Prop!$H:$H,N$1,Prod_Prop!$I:$I,"Exacto"),Prod_Prop!$A:$A,Prod_Prop!$J:$J,"",0,1))</f>
        <v/>
      </c>
      <c r="O765" s="4" t="str">
        <f t="array" ref="O765">IF($E765="","", XLOOKUP(SUMIFS(Prod_Prop!$A:$A,Prod_Prop!$B:$B,$E765,Prod_Prop!$H:$H,O$1,Prod_Prop!$I:$I,"Exacto"),Prod_Prop!$A:$A,Prod_Prop!$J:$J,"",0,1))</f>
        <v/>
      </c>
      <c r="P765" s="4" t="str">
        <f t="array" ref="P765">IF($E765="","", XLOOKUP(SUMIFS(Prod_Prop!$A:$A,Prod_Prop!$B:$B,$E765,Prod_Prop!$H:$H,P$1,Prod_Prop!$I:$I,"Exacto"),Prod_Prop!$A:$A,Prod_Prop!$J:$J,"",0,1))</f>
        <v/>
      </c>
      <c r="Q765" s="4" t="str">
        <f t="array" ref="Q765">IF($E765="","", XLOOKUP(SUMIFS(Prod_Prop!$A:$A,Prod_Prop!$B:$B,$E765,Prod_Prop!$H:$H,Q$1,Prod_Prop!$I:$I,"Exacto"),Prod_Prop!$A:$A,Prod_Prop!$J:$J,"",0,1))</f>
        <v/>
      </c>
      <c r="R765" s="4" t="str">
        <f t="array" ref="R765">IF($E765="","", XLOOKUP(SUMIFS(Prod_Prop!$A:$A,Prod_Prop!$B:$B,$E765,Prod_Prop!$H:$H,R$1,Prod_Prop!$I:$I,"Exacto"),Prod_Prop!$A:$A,Prod_Prop!$J:$J,"",0,1))</f>
        <v/>
      </c>
      <c r="S765" s="4" t="str">
        <f t="array" ref="S765">IF($E765="","", XLOOKUP(SUMIFS(Prod_Prop!$A:$A,Prod_Prop!$B:$B,$E765,Prod_Prop!$H:$H,S$1,Prod_Prop!$I:$I,"Exacto"),Prod_Prop!$A:$A,Prod_Prop!$J:$J,"",0,1))</f>
        <v/>
      </c>
      <c r="T765" s="4" t="str">
        <f t="array" ref="T765">IF($E765="","", XLOOKUP(SUMIFS(Prod_Prop!$A:$A,Prod_Prop!$B:$B,$E765,Prod_Prop!$H:$H,T$1,Prod_Prop!$I:$I,"Exacto"),Prod_Prop!$A:$A,Prod_Prop!$J:$J,"",0,1))</f>
        <v/>
      </c>
      <c r="U765" s="4" t="str">
        <f t="array" ref="U765">IF($E765="","", XLOOKUP(SUMIFS(Prod_Prop!$A:$A,Prod_Prop!$B:$B,$E765,Prod_Prop!$H:$H,U$1,Prod_Prop!$I:$I,"Exacto"),Prod_Prop!$A:$A,Prod_Prop!$J:$J,"",0,1))</f>
        <v/>
      </c>
      <c r="V765" s="4" t="str">
        <f t="array" ref="V765">IF($E765="","", XLOOKUP(SUMIFS(Prod_Prop!$A:$A,Prod_Prop!$B:$B,$E765,Prod_Prop!$H:$H,V$1,Prod_Prop!$I:$I,"Exacto"),Prod_Prop!$A:$A,Prod_Prop!$J:$J,"",0,1))</f>
        <v/>
      </c>
      <c r="X765" s="3" t="str">
        <f>IFERROR(__xludf.DUMMYFUNCTION("IF(D765="""","""",IFERROR(TRANSPOSE(FILTER('Validaciones Cotizador'!U:U,'Validaciones Cotizador'!O:O=D765,'Validaciones Cotizador'!T:T=""x"")),""Finalizar""))"),"")</f>
        <v/>
      </c>
    </row>
    <row r="766">
      <c r="A766" s="2" t="str">
        <f t="array" ref="A766">IF(E766="","",XLOOKUP(D766,'Validaciones Cotizador'!C:C,'Validaciones Cotizador'!A:A,"",0,1))</f>
        <v/>
      </c>
      <c r="B766" s="2" t="str">
        <f t="array" ref="B766">IF(F766="","",XLOOKUP(F766,Productos!E:E,Productos!G:G,"",0,1))</f>
        <v/>
      </c>
      <c r="C766" s="2" t="str">
        <f>IF(A766="","",SUMIFS('Validaciones Cotizador'!B:B,'Validaciones Cotizador'!C:C,D766,'Validaciones Cotizador'!A:A,A766))</f>
        <v/>
      </c>
      <c r="D766" s="4" t="str">
        <f>IFERROR(__xludf.DUMMYFUNCTION("IF(OR(F765=""Finalizar"",F765="""",F765=""Selecciona..""),"""",IF(OR(F765=""-"",INDEX(filter(Familias!F:F,Familias!D:D=A765,Familias!E:E=C765),1)=""O""),D765+1,D765))"),"")</f>
        <v/>
      </c>
      <c r="E766" s="2" t="str">
        <f>IF(OR(F766="",F766="Selecciona.."),"",IF(D766="Implemento",SUMIF(Implementos!B:B,F766,Implementos!A:A),SUMIF(Productos!E:E,F766,Productos!A:A)))</f>
        <v/>
      </c>
      <c r="F766" s="2" t="str">
        <f t="shared" si="2"/>
        <v/>
      </c>
      <c r="G766" s="10" t="str">
        <f t="array" ref="G766">IF(OR(F766="",F766="-",F766="Selecciona..",F766="Finalizar"),"",IF(A766="Rodados",XLOOKUP(B766,'Validaciones Cotizador'!I:I,'Validaciones Cotizador'!J:J,0,0,1),1))</f>
        <v/>
      </c>
      <c r="H766" s="11" t="str">
        <f>IF(OR(F766="",F766="Selecciona.."),"",SUMIF(Precio_Productos!K:K,E766,Precio_Productos!J:J)*G766)</f>
        <v/>
      </c>
      <c r="I766" s="4" t="str">
        <f t="array" ref="I766">IF($E766="","", XLOOKUP(SUMIFS(Prod_Prop!$A:$A,Prod_Prop!$B:$B,$E766,Prod_Prop!$H:$H,I$1,Prod_Prop!$I:$I,"Exacto"),Prod_Prop!$A:$A,Prod_Prop!$J:$J,"",0,1))</f>
        <v/>
      </c>
      <c r="J766" s="4" t="str">
        <f t="array" ref="J766">IF($E766="","", XLOOKUP(SUMIFS(Prod_Prop!$A:$A,Prod_Prop!$B:$B,$E766,Prod_Prop!$H:$H,J$1,Prod_Prop!$I:$I,"Exacto"),Prod_Prop!$A:$A,Prod_Prop!$J:$J,"",0,1))</f>
        <v/>
      </c>
      <c r="K766" s="4" t="str">
        <f t="array" ref="K766">IF($E766="","", XLOOKUP(SUMIFS(Prod_Prop!$A:$A,Prod_Prop!$B:$B,$E766,Prod_Prop!$H:$H,K$1,Prod_Prop!$I:$I,"Exacto"),Prod_Prop!$A:$A,Prod_Prop!$J:$J,"",0,1))</f>
        <v/>
      </c>
      <c r="L766" s="4" t="str">
        <f t="array" ref="L766">IF($E766="","", XLOOKUP(SUMIFS(Prod_Prop!$A:$A,Prod_Prop!$B:$B,$E766,Prod_Prop!$H:$H,L$1,Prod_Prop!$I:$I,"Exacto"),Prod_Prop!$A:$A,Prod_Prop!$J:$J,"",0,1))</f>
        <v/>
      </c>
      <c r="M766" s="4" t="str">
        <f t="array" ref="M766">IF($E766="","", XLOOKUP(SUMIFS(Prod_Prop!$A:$A,Prod_Prop!$B:$B,$E766,Prod_Prop!$H:$H,M$1,Prod_Prop!$I:$I,"Exacto"),Prod_Prop!$A:$A,Prod_Prop!$J:$J,"",0,1))</f>
        <v/>
      </c>
      <c r="N766" s="4" t="str">
        <f t="array" ref="N766">IF($E766="","", XLOOKUP(SUMIFS(Prod_Prop!$A:$A,Prod_Prop!$B:$B,$E766,Prod_Prop!$H:$H,N$1,Prod_Prop!$I:$I,"Exacto"),Prod_Prop!$A:$A,Prod_Prop!$J:$J,"",0,1))</f>
        <v/>
      </c>
      <c r="O766" s="4" t="str">
        <f t="array" ref="O766">IF($E766="","", XLOOKUP(SUMIFS(Prod_Prop!$A:$A,Prod_Prop!$B:$B,$E766,Prod_Prop!$H:$H,O$1,Prod_Prop!$I:$I,"Exacto"),Prod_Prop!$A:$A,Prod_Prop!$J:$J,"",0,1))</f>
        <v/>
      </c>
      <c r="P766" s="4" t="str">
        <f t="array" ref="P766">IF($E766="","", XLOOKUP(SUMIFS(Prod_Prop!$A:$A,Prod_Prop!$B:$B,$E766,Prod_Prop!$H:$H,P$1,Prod_Prop!$I:$I,"Exacto"),Prod_Prop!$A:$A,Prod_Prop!$J:$J,"",0,1))</f>
        <v/>
      </c>
      <c r="Q766" s="4" t="str">
        <f t="array" ref="Q766">IF($E766="","", XLOOKUP(SUMIFS(Prod_Prop!$A:$A,Prod_Prop!$B:$B,$E766,Prod_Prop!$H:$H,Q$1,Prod_Prop!$I:$I,"Exacto"),Prod_Prop!$A:$A,Prod_Prop!$J:$J,"",0,1))</f>
        <v/>
      </c>
      <c r="R766" s="4" t="str">
        <f t="array" ref="R766">IF($E766="","", XLOOKUP(SUMIFS(Prod_Prop!$A:$A,Prod_Prop!$B:$B,$E766,Prod_Prop!$H:$H,R$1,Prod_Prop!$I:$I,"Exacto"),Prod_Prop!$A:$A,Prod_Prop!$J:$J,"",0,1))</f>
        <v/>
      </c>
      <c r="S766" s="4" t="str">
        <f t="array" ref="S766">IF($E766="","", XLOOKUP(SUMIFS(Prod_Prop!$A:$A,Prod_Prop!$B:$B,$E766,Prod_Prop!$H:$H,S$1,Prod_Prop!$I:$I,"Exacto"),Prod_Prop!$A:$A,Prod_Prop!$J:$J,"",0,1))</f>
        <v/>
      </c>
      <c r="T766" s="4" t="str">
        <f t="array" ref="T766">IF($E766="","", XLOOKUP(SUMIFS(Prod_Prop!$A:$A,Prod_Prop!$B:$B,$E766,Prod_Prop!$H:$H,T$1,Prod_Prop!$I:$I,"Exacto"),Prod_Prop!$A:$A,Prod_Prop!$J:$J,"",0,1))</f>
        <v/>
      </c>
      <c r="U766" s="4" t="str">
        <f t="array" ref="U766">IF($E766="","", XLOOKUP(SUMIFS(Prod_Prop!$A:$A,Prod_Prop!$B:$B,$E766,Prod_Prop!$H:$H,U$1,Prod_Prop!$I:$I,"Exacto"),Prod_Prop!$A:$A,Prod_Prop!$J:$J,"",0,1))</f>
        <v/>
      </c>
      <c r="V766" s="4" t="str">
        <f t="array" ref="V766">IF($E766="","", XLOOKUP(SUMIFS(Prod_Prop!$A:$A,Prod_Prop!$B:$B,$E766,Prod_Prop!$H:$H,V$1,Prod_Prop!$I:$I,"Exacto"),Prod_Prop!$A:$A,Prod_Prop!$J:$J,"",0,1))</f>
        <v/>
      </c>
      <c r="X766" s="3" t="str">
        <f>IFERROR(__xludf.DUMMYFUNCTION("IF(D766="""","""",IFERROR(TRANSPOSE(FILTER('Validaciones Cotizador'!U:U,'Validaciones Cotizador'!O:O=D766,'Validaciones Cotizador'!T:T=""x"")),""Finalizar""))"),"")</f>
        <v/>
      </c>
    </row>
    <row r="767">
      <c r="A767" s="2" t="str">
        <f t="array" ref="A767">IF(E767="","",XLOOKUP(D767,'Validaciones Cotizador'!C:C,'Validaciones Cotizador'!A:A,"",0,1))</f>
        <v/>
      </c>
      <c r="B767" s="2" t="str">
        <f t="array" ref="B767">IF(F767="","",XLOOKUP(F767,Productos!E:E,Productos!G:G,"",0,1))</f>
        <v/>
      </c>
      <c r="C767" s="2" t="str">
        <f>IF(A767="","",SUMIFS('Validaciones Cotizador'!B:B,'Validaciones Cotizador'!C:C,D767,'Validaciones Cotizador'!A:A,A767))</f>
        <v/>
      </c>
      <c r="D767" s="4" t="str">
        <f>IFERROR(__xludf.DUMMYFUNCTION("IF(OR(F766=""Finalizar"",F766="""",F766=""Selecciona..""),"""",IF(OR(F766=""-"",INDEX(filter(Familias!F:F,Familias!D:D=A766,Familias!E:E=C766),1)=""O""),D766+1,D766))"),"")</f>
        <v/>
      </c>
      <c r="E767" s="2" t="str">
        <f>IF(OR(F767="",F767="Selecciona.."),"",IF(D767="Implemento",SUMIF(Implementos!B:B,F767,Implementos!A:A),SUMIF(Productos!E:E,F767,Productos!A:A)))</f>
        <v/>
      </c>
      <c r="F767" s="2" t="str">
        <f t="shared" si="2"/>
        <v/>
      </c>
      <c r="G767" s="10" t="str">
        <f t="array" ref="G767">IF(OR(F767="",F767="-",F767="Selecciona..",F767="Finalizar"),"",IF(A767="Rodados",XLOOKUP(B767,'Validaciones Cotizador'!I:I,'Validaciones Cotizador'!J:J,0,0,1),1))</f>
        <v/>
      </c>
      <c r="H767" s="11" t="str">
        <f>IF(OR(F767="",F767="Selecciona.."),"",SUMIF(Precio_Productos!K:K,E767,Precio_Productos!J:J)*G767)</f>
        <v/>
      </c>
      <c r="I767" s="4" t="str">
        <f t="array" ref="I767">IF($E767="","", XLOOKUP(SUMIFS(Prod_Prop!$A:$A,Prod_Prop!$B:$B,$E767,Prod_Prop!$H:$H,I$1,Prod_Prop!$I:$I,"Exacto"),Prod_Prop!$A:$A,Prod_Prop!$J:$J,"",0,1))</f>
        <v/>
      </c>
      <c r="J767" s="4" t="str">
        <f t="array" ref="J767">IF($E767="","", XLOOKUP(SUMIFS(Prod_Prop!$A:$A,Prod_Prop!$B:$B,$E767,Prod_Prop!$H:$H,J$1,Prod_Prop!$I:$I,"Exacto"),Prod_Prop!$A:$A,Prod_Prop!$J:$J,"",0,1))</f>
        <v/>
      </c>
      <c r="K767" s="4" t="str">
        <f t="array" ref="K767">IF($E767="","", XLOOKUP(SUMIFS(Prod_Prop!$A:$A,Prod_Prop!$B:$B,$E767,Prod_Prop!$H:$H,K$1,Prod_Prop!$I:$I,"Exacto"),Prod_Prop!$A:$A,Prod_Prop!$J:$J,"",0,1))</f>
        <v/>
      </c>
      <c r="L767" s="4" t="str">
        <f t="array" ref="L767">IF($E767="","", XLOOKUP(SUMIFS(Prod_Prop!$A:$A,Prod_Prop!$B:$B,$E767,Prod_Prop!$H:$H,L$1,Prod_Prop!$I:$I,"Exacto"),Prod_Prop!$A:$A,Prod_Prop!$J:$J,"",0,1))</f>
        <v/>
      </c>
      <c r="M767" s="4" t="str">
        <f t="array" ref="M767">IF($E767="","", XLOOKUP(SUMIFS(Prod_Prop!$A:$A,Prod_Prop!$B:$B,$E767,Prod_Prop!$H:$H,M$1,Prod_Prop!$I:$I,"Exacto"),Prod_Prop!$A:$A,Prod_Prop!$J:$J,"",0,1))</f>
        <v/>
      </c>
      <c r="N767" s="4" t="str">
        <f t="array" ref="N767">IF($E767="","", XLOOKUP(SUMIFS(Prod_Prop!$A:$A,Prod_Prop!$B:$B,$E767,Prod_Prop!$H:$H,N$1,Prod_Prop!$I:$I,"Exacto"),Prod_Prop!$A:$A,Prod_Prop!$J:$J,"",0,1))</f>
        <v/>
      </c>
      <c r="O767" s="4" t="str">
        <f t="array" ref="O767">IF($E767="","", XLOOKUP(SUMIFS(Prod_Prop!$A:$A,Prod_Prop!$B:$B,$E767,Prod_Prop!$H:$H,O$1,Prod_Prop!$I:$I,"Exacto"),Prod_Prop!$A:$A,Prod_Prop!$J:$J,"",0,1))</f>
        <v/>
      </c>
      <c r="P767" s="4" t="str">
        <f t="array" ref="P767">IF($E767="","", XLOOKUP(SUMIFS(Prod_Prop!$A:$A,Prod_Prop!$B:$B,$E767,Prod_Prop!$H:$H,P$1,Prod_Prop!$I:$I,"Exacto"),Prod_Prop!$A:$A,Prod_Prop!$J:$J,"",0,1))</f>
        <v/>
      </c>
      <c r="Q767" s="4" t="str">
        <f t="array" ref="Q767">IF($E767="","", XLOOKUP(SUMIFS(Prod_Prop!$A:$A,Prod_Prop!$B:$B,$E767,Prod_Prop!$H:$H,Q$1,Prod_Prop!$I:$I,"Exacto"),Prod_Prop!$A:$A,Prod_Prop!$J:$J,"",0,1))</f>
        <v/>
      </c>
      <c r="R767" s="4" t="str">
        <f t="array" ref="R767">IF($E767="","", XLOOKUP(SUMIFS(Prod_Prop!$A:$A,Prod_Prop!$B:$B,$E767,Prod_Prop!$H:$H,R$1,Prod_Prop!$I:$I,"Exacto"),Prod_Prop!$A:$A,Prod_Prop!$J:$J,"",0,1))</f>
        <v/>
      </c>
      <c r="S767" s="4" t="str">
        <f t="array" ref="S767">IF($E767="","", XLOOKUP(SUMIFS(Prod_Prop!$A:$A,Prod_Prop!$B:$B,$E767,Prod_Prop!$H:$H,S$1,Prod_Prop!$I:$I,"Exacto"),Prod_Prop!$A:$A,Prod_Prop!$J:$J,"",0,1))</f>
        <v/>
      </c>
      <c r="T767" s="4" t="str">
        <f t="array" ref="T767">IF($E767="","", XLOOKUP(SUMIFS(Prod_Prop!$A:$A,Prod_Prop!$B:$B,$E767,Prod_Prop!$H:$H,T$1,Prod_Prop!$I:$I,"Exacto"),Prod_Prop!$A:$A,Prod_Prop!$J:$J,"",0,1))</f>
        <v/>
      </c>
      <c r="U767" s="4" t="str">
        <f t="array" ref="U767">IF($E767="","", XLOOKUP(SUMIFS(Prod_Prop!$A:$A,Prod_Prop!$B:$B,$E767,Prod_Prop!$H:$H,U$1,Prod_Prop!$I:$I,"Exacto"),Prod_Prop!$A:$A,Prod_Prop!$J:$J,"",0,1))</f>
        <v/>
      </c>
      <c r="V767" s="4" t="str">
        <f t="array" ref="V767">IF($E767="","", XLOOKUP(SUMIFS(Prod_Prop!$A:$A,Prod_Prop!$B:$B,$E767,Prod_Prop!$H:$H,V$1,Prod_Prop!$I:$I,"Exacto"),Prod_Prop!$A:$A,Prod_Prop!$J:$J,"",0,1))</f>
        <v/>
      </c>
      <c r="X767" s="3" t="str">
        <f>IFERROR(__xludf.DUMMYFUNCTION("IF(D767="""","""",IFERROR(TRANSPOSE(FILTER('Validaciones Cotizador'!U:U,'Validaciones Cotizador'!O:O=D767,'Validaciones Cotizador'!T:T=""x"")),""Finalizar""))"),"")</f>
        <v/>
      </c>
    </row>
    <row r="768">
      <c r="A768" s="2" t="str">
        <f t="array" ref="A768">IF(E768="","",XLOOKUP(D768,'Validaciones Cotizador'!C:C,'Validaciones Cotizador'!A:A,"",0,1))</f>
        <v/>
      </c>
      <c r="B768" s="2" t="str">
        <f t="array" ref="B768">IF(F768="","",XLOOKUP(F768,Productos!E:E,Productos!G:G,"",0,1))</f>
        <v/>
      </c>
      <c r="C768" s="2" t="str">
        <f>IF(A768="","",SUMIFS('Validaciones Cotizador'!B:B,'Validaciones Cotizador'!C:C,D768,'Validaciones Cotizador'!A:A,A768))</f>
        <v/>
      </c>
      <c r="D768" s="4" t="str">
        <f>IFERROR(__xludf.DUMMYFUNCTION("IF(OR(F767=""Finalizar"",F767="""",F767=""Selecciona..""),"""",IF(OR(F767=""-"",INDEX(filter(Familias!F:F,Familias!D:D=A767,Familias!E:E=C767),1)=""O""),D767+1,D767))"),"")</f>
        <v/>
      </c>
      <c r="E768" s="2" t="str">
        <f>IF(OR(F768="",F768="Selecciona.."),"",IF(D768="Implemento",SUMIF(Implementos!B:B,F768,Implementos!A:A),SUMIF(Productos!E:E,F768,Productos!A:A)))</f>
        <v/>
      </c>
      <c r="F768" s="2" t="str">
        <f t="shared" si="2"/>
        <v/>
      </c>
      <c r="G768" s="10" t="str">
        <f t="array" ref="G768">IF(OR(F768="",F768="-",F768="Selecciona..",F768="Finalizar"),"",IF(A768="Rodados",XLOOKUP(B768,'Validaciones Cotizador'!I:I,'Validaciones Cotizador'!J:J,0,0,1),1))</f>
        <v/>
      </c>
      <c r="H768" s="11" t="str">
        <f>IF(OR(F768="",F768="Selecciona.."),"",SUMIF(Precio_Productos!K:K,E768,Precio_Productos!J:J)*G768)</f>
        <v/>
      </c>
      <c r="I768" s="4" t="str">
        <f t="array" ref="I768">IF($E768="","", XLOOKUP(SUMIFS(Prod_Prop!$A:$A,Prod_Prop!$B:$B,$E768,Prod_Prop!$H:$H,I$1,Prod_Prop!$I:$I,"Exacto"),Prod_Prop!$A:$A,Prod_Prop!$J:$J,"",0,1))</f>
        <v/>
      </c>
      <c r="J768" s="4" t="str">
        <f t="array" ref="J768">IF($E768="","", XLOOKUP(SUMIFS(Prod_Prop!$A:$A,Prod_Prop!$B:$B,$E768,Prod_Prop!$H:$H,J$1,Prod_Prop!$I:$I,"Exacto"),Prod_Prop!$A:$A,Prod_Prop!$J:$J,"",0,1))</f>
        <v/>
      </c>
      <c r="K768" s="4" t="str">
        <f t="array" ref="K768">IF($E768="","", XLOOKUP(SUMIFS(Prod_Prop!$A:$A,Prod_Prop!$B:$B,$E768,Prod_Prop!$H:$H,K$1,Prod_Prop!$I:$I,"Exacto"),Prod_Prop!$A:$A,Prod_Prop!$J:$J,"",0,1))</f>
        <v/>
      </c>
      <c r="L768" s="4" t="str">
        <f t="array" ref="L768">IF($E768="","", XLOOKUP(SUMIFS(Prod_Prop!$A:$A,Prod_Prop!$B:$B,$E768,Prod_Prop!$H:$H,L$1,Prod_Prop!$I:$I,"Exacto"),Prod_Prop!$A:$A,Prod_Prop!$J:$J,"",0,1))</f>
        <v/>
      </c>
      <c r="M768" s="4" t="str">
        <f t="array" ref="M768">IF($E768="","", XLOOKUP(SUMIFS(Prod_Prop!$A:$A,Prod_Prop!$B:$B,$E768,Prod_Prop!$H:$H,M$1,Prod_Prop!$I:$I,"Exacto"),Prod_Prop!$A:$A,Prod_Prop!$J:$J,"",0,1))</f>
        <v/>
      </c>
      <c r="N768" s="4" t="str">
        <f t="array" ref="N768">IF($E768="","", XLOOKUP(SUMIFS(Prod_Prop!$A:$A,Prod_Prop!$B:$B,$E768,Prod_Prop!$H:$H,N$1,Prod_Prop!$I:$I,"Exacto"),Prod_Prop!$A:$A,Prod_Prop!$J:$J,"",0,1))</f>
        <v/>
      </c>
      <c r="O768" s="4" t="str">
        <f t="array" ref="O768">IF($E768="","", XLOOKUP(SUMIFS(Prod_Prop!$A:$A,Prod_Prop!$B:$B,$E768,Prod_Prop!$H:$H,O$1,Prod_Prop!$I:$I,"Exacto"),Prod_Prop!$A:$A,Prod_Prop!$J:$J,"",0,1))</f>
        <v/>
      </c>
      <c r="P768" s="4" t="str">
        <f t="array" ref="P768">IF($E768="","", XLOOKUP(SUMIFS(Prod_Prop!$A:$A,Prod_Prop!$B:$B,$E768,Prod_Prop!$H:$H,P$1,Prod_Prop!$I:$I,"Exacto"),Prod_Prop!$A:$A,Prod_Prop!$J:$J,"",0,1))</f>
        <v/>
      </c>
      <c r="Q768" s="4" t="str">
        <f t="array" ref="Q768">IF($E768="","", XLOOKUP(SUMIFS(Prod_Prop!$A:$A,Prod_Prop!$B:$B,$E768,Prod_Prop!$H:$H,Q$1,Prod_Prop!$I:$I,"Exacto"),Prod_Prop!$A:$A,Prod_Prop!$J:$J,"",0,1))</f>
        <v/>
      </c>
      <c r="R768" s="4" t="str">
        <f t="array" ref="R768">IF($E768="","", XLOOKUP(SUMIFS(Prod_Prop!$A:$A,Prod_Prop!$B:$B,$E768,Prod_Prop!$H:$H,R$1,Prod_Prop!$I:$I,"Exacto"),Prod_Prop!$A:$A,Prod_Prop!$J:$J,"",0,1))</f>
        <v/>
      </c>
      <c r="S768" s="4" t="str">
        <f t="array" ref="S768">IF($E768="","", XLOOKUP(SUMIFS(Prod_Prop!$A:$A,Prod_Prop!$B:$B,$E768,Prod_Prop!$H:$H,S$1,Prod_Prop!$I:$I,"Exacto"),Prod_Prop!$A:$A,Prod_Prop!$J:$J,"",0,1))</f>
        <v/>
      </c>
      <c r="T768" s="4" t="str">
        <f t="array" ref="T768">IF($E768="","", XLOOKUP(SUMIFS(Prod_Prop!$A:$A,Prod_Prop!$B:$B,$E768,Prod_Prop!$H:$H,T$1,Prod_Prop!$I:$I,"Exacto"),Prod_Prop!$A:$A,Prod_Prop!$J:$J,"",0,1))</f>
        <v/>
      </c>
      <c r="U768" s="4" t="str">
        <f t="array" ref="U768">IF($E768="","", XLOOKUP(SUMIFS(Prod_Prop!$A:$A,Prod_Prop!$B:$B,$E768,Prod_Prop!$H:$H,U$1,Prod_Prop!$I:$I,"Exacto"),Prod_Prop!$A:$A,Prod_Prop!$J:$J,"",0,1))</f>
        <v/>
      </c>
      <c r="V768" s="4" t="str">
        <f t="array" ref="V768">IF($E768="","", XLOOKUP(SUMIFS(Prod_Prop!$A:$A,Prod_Prop!$B:$B,$E768,Prod_Prop!$H:$H,V$1,Prod_Prop!$I:$I,"Exacto"),Prod_Prop!$A:$A,Prod_Prop!$J:$J,"",0,1))</f>
        <v/>
      </c>
      <c r="X768" s="3" t="str">
        <f>IFERROR(__xludf.DUMMYFUNCTION("IF(D768="""","""",IFERROR(TRANSPOSE(FILTER('Validaciones Cotizador'!U:U,'Validaciones Cotizador'!O:O=D768,'Validaciones Cotizador'!T:T=""x"")),""Finalizar""))"),"")</f>
        <v/>
      </c>
    </row>
    <row r="769">
      <c r="A769" s="2" t="str">
        <f t="array" ref="A769">IF(E769="","",XLOOKUP(D769,'Validaciones Cotizador'!C:C,'Validaciones Cotizador'!A:A,"",0,1))</f>
        <v/>
      </c>
      <c r="B769" s="2" t="str">
        <f t="array" ref="B769">IF(F769="","",XLOOKUP(F769,Productos!E:E,Productos!G:G,"",0,1))</f>
        <v/>
      </c>
      <c r="C769" s="2" t="str">
        <f>IF(A769="","",SUMIFS('Validaciones Cotizador'!B:B,'Validaciones Cotizador'!C:C,D769,'Validaciones Cotizador'!A:A,A769))</f>
        <v/>
      </c>
      <c r="D769" s="4" t="str">
        <f>IFERROR(__xludf.DUMMYFUNCTION("IF(OR(F768=""Finalizar"",F768="""",F768=""Selecciona..""),"""",IF(OR(F768=""-"",INDEX(filter(Familias!F:F,Familias!D:D=A768,Familias!E:E=C768),1)=""O""),D768+1,D768))"),"")</f>
        <v/>
      </c>
      <c r="E769" s="2" t="str">
        <f>IF(OR(F769="",F769="Selecciona.."),"",IF(D769="Implemento",SUMIF(Implementos!B:B,F769,Implementos!A:A),SUMIF(Productos!E:E,F769,Productos!A:A)))</f>
        <v/>
      </c>
      <c r="F769" s="2" t="str">
        <f t="shared" si="2"/>
        <v/>
      </c>
      <c r="G769" s="10" t="str">
        <f t="array" ref="G769">IF(OR(F769="",F769="-",F769="Selecciona..",F769="Finalizar"),"",IF(A769="Rodados",XLOOKUP(B769,'Validaciones Cotizador'!I:I,'Validaciones Cotizador'!J:J,0,0,1),1))</f>
        <v/>
      </c>
      <c r="H769" s="11" t="str">
        <f>IF(OR(F769="",F769="Selecciona.."),"",SUMIF(Precio_Productos!K:K,E769,Precio_Productos!J:J)*G769)</f>
        <v/>
      </c>
      <c r="I769" s="4" t="str">
        <f t="array" ref="I769">IF($E769="","", XLOOKUP(SUMIFS(Prod_Prop!$A:$A,Prod_Prop!$B:$B,$E769,Prod_Prop!$H:$H,I$1,Prod_Prop!$I:$I,"Exacto"),Prod_Prop!$A:$A,Prod_Prop!$J:$J,"",0,1))</f>
        <v/>
      </c>
      <c r="J769" s="4" t="str">
        <f t="array" ref="J769">IF($E769="","", XLOOKUP(SUMIFS(Prod_Prop!$A:$A,Prod_Prop!$B:$B,$E769,Prod_Prop!$H:$H,J$1,Prod_Prop!$I:$I,"Exacto"),Prod_Prop!$A:$A,Prod_Prop!$J:$J,"",0,1))</f>
        <v/>
      </c>
      <c r="K769" s="4" t="str">
        <f t="array" ref="K769">IF($E769="","", XLOOKUP(SUMIFS(Prod_Prop!$A:$A,Prod_Prop!$B:$B,$E769,Prod_Prop!$H:$H,K$1,Prod_Prop!$I:$I,"Exacto"),Prod_Prop!$A:$A,Prod_Prop!$J:$J,"",0,1))</f>
        <v/>
      </c>
      <c r="L769" s="4" t="str">
        <f t="array" ref="L769">IF($E769="","", XLOOKUP(SUMIFS(Prod_Prop!$A:$A,Prod_Prop!$B:$B,$E769,Prod_Prop!$H:$H,L$1,Prod_Prop!$I:$I,"Exacto"),Prod_Prop!$A:$A,Prod_Prop!$J:$J,"",0,1))</f>
        <v/>
      </c>
      <c r="M769" s="4" t="str">
        <f t="array" ref="M769">IF($E769="","", XLOOKUP(SUMIFS(Prod_Prop!$A:$A,Prod_Prop!$B:$B,$E769,Prod_Prop!$H:$H,M$1,Prod_Prop!$I:$I,"Exacto"),Prod_Prop!$A:$A,Prod_Prop!$J:$J,"",0,1))</f>
        <v/>
      </c>
      <c r="N769" s="4" t="str">
        <f t="array" ref="N769">IF($E769="","", XLOOKUP(SUMIFS(Prod_Prop!$A:$A,Prod_Prop!$B:$B,$E769,Prod_Prop!$H:$H,N$1,Prod_Prop!$I:$I,"Exacto"),Prod_Prop!$A:$A,Prod_Prop!$J:$J,"",0,1))</f>
        <v/>
      </c>
      <c r="O769" s="4" t="str">
        <f t="array" ref="O769">IF($E769="","", XLOOKUP(SUMIFS(Prod_Prop!$A:$A,Prod_Prop!$B:$B,$E769,Prod_Prop!$H:$H,O$1,Prod_Prop!$I:$I,"Exacto"),Prod_Prop!$A:$A,Prod_Prop!$J:$J,"",0,1))</f>
        <v/>
      </c>
      <c r="P769" s="4" t="str">
        <f t="array" ref="P769">IF($E769="","", XLOOKUP(SUMIFS(Prod_Prop!$A:$A,Prod_Prop!$B:$B,$E769,Prod_Prop!$H:$H,P$1,Prod_Prop!$I:$I,"Exacto"),Prod_Prop!$A:$A,Prod_Prop!$J:$J,"",0,1))</f>
        <v/>
      </c>
      <c r="Q769" s="4" t="str">
        <f t="array" ref="Q769">IF($E769="","", XLOOKUP(SUMIFS(Prod_Prop!$A:$A,Prod_Prop!$B:$B,$E769,Prod_Prop!$H:$H,Q$1,Prod_Prop!$I:$I,"Exacto"),Prod_Prop!$A:$A,Prod_Prop!$J:$J,"",0,1))</f>
        <v/>
      </c>
      <c r="R769" s="4" t="str">
        <f t="array" ref="R769">IF($E769="","", XLOOKUP(SUMIFS(Prod_Prop!$A:$A,Prod_Prop!$B:$B,$E769,Prod_Prop!$H:$H,R$1,Prod_Prop!$I:$I,"Exacto"),Prod_Prop!$A:$A,Prod_Prop!$J:$J,"",0,1))</f>
        <v/>
      </c>
      <c r="S769" s="4" t="str">
        <f t="array" ref="S769">IF($E769="","", XLOOKUP(SUMIFS(Prod_Prop!$A:$A,Prod_Prop!$B:$B,$E769,Prod_Prop!$H:$H,S$1,Prod_Prop!$I:$I,"Exacto"),Prod_Prop!$A:$A,Prod_Prop!$J:$J,"",0,1))</f>
        <v/>
      </c>
      <c r="T769" s="4" t="str">
        <f t="array" ref="T769">IF($E769="","", XLOOKUP(SUMIFS(Prod_Prop!$A:$A,Prod_Prop!$B:$B,$E769,Prod_Prop!$H:$H,T$1,Prod_Prop!$I:$I,"Exacto"),Prod_Prop!$A:$A,Prod_Prop!$J:$J,"",0,1))</f>
        <v/>
      </c>
      <c r="U769" s="4" t="str">
        <f t="array" ref="U769">IF($E769="","", XLOOKUP(SUMIFS(Prod_Prop!$A:$A,Prod_Prop!$B:$B,$E769,Prod_Prop!$H:$H,U$1,Prod_Prop!$I:$I,"Exacto"),Prod_Prop!$A:$A,Prod_Prop!$J:$J,"",0,1))</f>
        <v/>
      </c>
      <c r="V769" s="4" t="str">
        <f t="array" ref="V769">IF($E769="","", XLOOKUP(SUMIFS(Prod_Prop!$A:$A,Prod_Prop!$B:$B,$E769,Prod_Prop!$H:$H,V$1,Prod_Prop!$I:$I,"Exacto"),Prod_Prop!$A:$A,Prod_Prop!$J:$J,"",0,1))</f>
        <v/>
      </c>
      <c r="X769" s="3" t="str">
        <f>IFERROR(__xludf.DUMMYFUNCTION("IF(D769="""","""",IFERROR(TRANSPOSE(FILTER('Validaciones Cotizador'!U:U,'Validaciones Cotizador'!O:O=D769,'Validaciones Cotizador'!T:T=""x"")),""Finalizar""))"),"")</f>
        <v/>
      </c>
    </row>
    <row r="770">
      <c r="A770" s="2" t="str">
        <f t="array" ref="A770">IF(E770="","",XLOOKUP(D770,'Validaciones Cotizador'!C:C,'Validaciones Cotizador'!A:A,"",0,1))</f>
        <v/>
      </c>
      <c r="B770" s="2" t="str">
        <f t="array" ref="B770">IF(F770="","",XLOOKUP(F770,Productos!E:E,Productos!G:G,"",0,1))</f>
        <v/>
      </c>
      <c r="C770" s="2" t="str">
        <f>IF(A770="","",SUMIFS('Validaciones Cotizador'!B:B,'Validaciones Cotizador'!C:C,D770,'Validaciones Cotizador'!A:A,A770))</f>
        <v/>
      </c>
      <c r="D770" s="4" t="str">
        <f>IFERROR(__xludf.DUMMYFUNCTION("IF(OR(F769=""Finalizar"",F769="""",F769=""Selecciona..""),"""",IF(OR(F769=""-"",INDEX(filter(Familias!F:F,Familias!D:D=A769,Familias!E:E=C769),1)=""O""),D769+1,D769))"),"")</f>
        <v/>
      </c>
      <c r="E770" s="2" t="str">
        <f>IF(OR(F770="",F770="Selecciona.."),"",IF(D770="Implemento",SUMIF(Implementos!B:B,F770,Implementos!A:A),SUMIF(Productos!E:E,F770,Productos!A:A)))</f>
        <v/>
      </c>
      <c r="F770" s="2" t="str">
        <f t="shared" si="2"/>
        <v/>
      </c>
      <c r="G770" s="10" t="str">
        <f t="array" ref="G770">IF(OR(F770="",F770="-",F770="Selecciona..",F770="Finalizar"),"",IF(A770="Rodados",XLOOKUP(B770,'Validaciones Cotizador'!I:I,'Validaciones Cotizador'!J:J,0,0,1),1))</f>
        <v/>
      </c>
      <c r="H770" s="11" t="str">
        <f>IF(OR(F770="",F770="Selecciona.."),"",SUMIF(Precio_Productos!K:K,E770,Precio_Productos!J:J)*G770)</f>
        <v/>
      </c>
      <c r="I770" s="4" t="str">
        <f t="array" ref="I770">IF($E770="","", XLOOKUP(SUMIFS(Prod_Prop!$A:$A,Prod_Prop!$B:$B,$E770,Prod_Prop!$H:$H,I$1,Prod_Prop!$I:$I,"Exacto"),Prod_Prop!$A:$A,Prod_Prop!$J:$J,"",0,1))</f>
        <v/>
      </c>
      <c r="J770" s="4" t="str">
        <f t="array" ref="J770">IF($E770="","", XLOOKUP(SUMIFS(Prod_Prop!$A:$A,Prod_Prop!$B:$B,$E770,Prod_Prop!$H:$H,J$1,Prod_Prop!$I:$I,"Exacto"),Prod_Prop!$A:$A,Prod_Prop!$J:$J,"",0,1))</f>
        <v/>
      </c>
      <c r="K770" s="4" t="str">
        <f t="array" ref="K770">IF($E770="","", XLOOKUP(SUMIFS(Prod_Prop!$A:$A,Prod_Prop!$B:$B,$E770,Prod_Prop!$H:$H,K$1,Prod_Prop!$I:$I,"Exacto"),Prod_Prop!$A:$A,Prod_Prop!$J:$J,"",0,1))</f>
        <v/>
      </c>
      <c r="L770" s="4" t="str">
        <f t="array" ref="L770">IF($E770="","", XLOOKUP(SUMIFS(Prod_Prop!$A:$A,Prod_Prop!$B:$B,$E770,Prod_Prop!$H:$H,L$1,Prod_Prop!$I:$I,"Exacto"),Prod_Prop!$A:$A,Prod_Prop!$J:$J,"",0,1))</f>
        <v/>
      </c>
      <c r="M770" s="4" t="str">
        <f t="array" ref="M770">IF($E770="","", XLOOKUP(SUMIFS(Prod_Prop!$A:$A,Prod_Prop!$B:$B,$E770,Prod_Prop!$H:$H,M$1,Prod_Prop!$I:$I,"Exacto"),Prod_Prop!$A:$A,Prod_Prop!$J:$J,"",0,1))</f>
        <v/>
      </c>
      <c r="N770" s="4" t="str">
        <f t="array" ref="N770">IF($E770="","", XLOOKUP(SUMIFS(Prod_Prop!$A:$A,Prod_Prop!$B:$B,$E770,Prod_Prop!$H:$H,N$1,Prod_Prop!$I:$I,"Exacto"),Prod_Prop!$A:$A,Prod_Prop!$J:$J,"",0,1))</f>
        <v/>
      </c>
      <c r="O770" s="4" t="str">
        <f t="array" ref="O770">IF($E770="","", XLOOKUP(SUMIFS(Prod_Prop!$A:$A,Prod_Prop!$B:$B,$E770,Prod_Prop!$H:$H,O$1,Prod_Prop!$I:$I,"Exacto"),Prod_Prop!$A:$A,Prod_Prop!$J:$J,"",0,1))</f>
        <v/>
      </c>
      <c r="P770" s="4" t="str">
        <f t="array" ref="P770">IF($E770="","", XLOOKUP(SUMIFS(Prod_Prop!$A:$A,Prod_Prop!$B:$B,$E770,Prod_Prop!$H:$H,P$1,Prod_Prop!$I:$I,"Exacto"),Prod_Prop!$A:$A,Prod_Prop!$J:$J,"",0,1))</f>
        <v/>
      </c>
      <c r="Q770" s="4" t="str">
        <f t="array" ref="Q770">IF($E770="","", XLOOKUP(SUMIFS(Prod_Prop!$A:$A,Prod_Prop!$B:$B,$E770,Prod_Prop!$H:$H,Q$1,Prod_Prop!$I:$I,"Exacto"),Prod_Prop!$A:$A,Prod_Prop!$J:$J,"",0,1))</f>
        <v/>
      </c>
      <c r="R770" s="4" t="str">
        <f t="array" ref="R770">IF($E770="","", XLOOKUP(SUMIFS(Prod_Prop!$A:$A,Prod_Prop!$B:$B,$E770,Prod_Prop!$H:$H,R$1,Prod_Prop!$I:$I,"Exacto"),Prod_Prop!$A:$A,Prod_Prop!$J:$J,"",0,1))</f>
        <v/>
      </c>
      <c r="S770" s="4" t="str">
        <f t="array" ref="S770">IF($E770="","", XLOOKUP(SUMIFS(Prod_Prop!$A:$A,Prod_Prop!$B:$B,$E770,Prod_Prop!$H:$H,S$1,Prod_Prop!$I:$I,"Exacto"),Prod_Prop!$A:$A,Prod_Prop!$J:$J,"",0,1))</f>
        <v/>
      </c>
      <c r="T770" s="4" t="str">
        <f t="array" ref="T770">IF($E770="","", XLOOKUP(SUMIFS(Prod_Prop!$A:$A,Prod_Prop!$B:$B,$E770,Prod_Prop!$H:$H,T$1,Prod_Prop!$I:$I,"Exacto"),Prod_Prop!$A:$A,Prod_Prop!$J:$J,"",0,1))</f>
        <v/>
      </c>
      <c r="U770" s="4" t="str">
        <f t="array" ref="U770">IF($E770="","", XLOOKUP(SUMIFS(Prod_Prop!$A:$A,Prod_Prop!$B:$B,$E770,Prod_Prop!$H:$H,U$1,Prod_Prop!$I:$I,"Exacto"),Prod_Prop!$A:$A,Prod_Prop!$J:$J,"",0,1))</f>
        <v/>
      </c>
      <c r="V770" s="4" t="str">
        <f t="array" ref="V770">IF($E770="","", XLOOKUP(SUMIFS(Prod_Prop!$A:$A,Prod_Prop!$B:$B,$E770,Prod_Prop!$H:$H,V$1,Prod_Prop!$I:$I,"Exacto"),Prod_Prop!$A:$A,Prod_Prop!$J:$J,"",0,1))</f>
        <v/>
      </c>
      <c r="X770" s="3" t="str">
        <f>IFERROR(__xludf.DUMMYFUNCTION("IF(D770="""","""",IFERROR(TRANSPOSE(FILTER('Validaciones Cotizador'!U:U,'Validaciones Cotizador'!O:O=D770,'Validaciones Cotizador'!T:T=""x"")),""Finalizar""))"),"")</f>
        <v/>
      </c>
    </row>
    <row r="771">
      <c r="A771" s="2" t="str">
        <f t="array" ref="A771">IF(E771="","",XLOOKUP(D771,'Validaciones Cotizador'!C:C,'Validaciones Cotizador'!A:A,"",0,1))</f>
        <v/>
      </c>
      <c r="B771" s="2" t="str">
        <f t="array" ref="B771">IF(F771="","",XLOOKUP(F771,Productos!E:E,Productos!G:G,"",0,1))</f>
        <v/>
      </c>
      <c r="C771" s="2" t="str">
        <f>IF(A771="","",SUMIFS('Validaciones Cotizador'!B:B,'Validaciones Cotizador'!C:C,D771,'Validaciones Cotizador'!A:A,A771))</f>
        <v/>
      </c>
      <c r="D771" s="4" t="str">
        <f>IFERROR(__xludf.DUMMYFUNCTION("IF(OR(F770=""Finalizar"",F770="""",F770=""Selecciona..""),"""",IF(OR(F770=""-"",INDEX(filter(Familias!F:F,Familias!D:D=A770,Familias!E:E=C770),1)=""O""),D770+1,D770))"),"")</f>
        <v/>
      </c>
      <c r="E771" s="2" t="str">
        <f>IF(OR(F771="",F771="Selecciona.."),"",IF(D771="Implemento",SUMIF(Implementos!B:B,F771,Implementos!A:A),SUMIF(Productos!E:E,F771,Productos!A:A)))</f>
        <v/>
      </c>
      <c r="F771" s="2" t="str">
        <f t="shared" si="2"/>
        <v/>
      </c>
      <c r="G771" s="10" t="str">
        <f t="array" ref="G771">IF(OR(F771="",F771="-",F771="Selecciona..",F771="Finalizar"),"",IF(A771="Rodados",XLOOKUP(B771,'Validaciones Cotizador'!I:I,'Validaciones Cotizador'!J:J,0,0,1),1))</f>
        <v/>
      </c>
      <c r="H771" s="11" t="str">
        <f>IF(OR(F771="",F771="Selecciona.."),"",SUMIF(Precio_Productos!K:K,E771,Precio_Productos!J:J)*G771)</f>
        <v/>
      </c>
      <c r="I771" s="4" t="str">
        <f t="array" ref="I771">IF($E771="","", XLOOKUP(SUMIFS(Prod_Prop!$A:$A,Prod_Prop!$B:$B,$E771,Prod_Prop!$H:$H,I$1,Prod_Prop!$I:$I,"Exacto"),Prod_Prop!$A:$A,Prod_Prop!$J:$J,"",0,1))</f>
        <v/>
      </c>
      <c r="J771" s="4" t="str">
        <f t="array" ref="J771">IF($E771="","", XLOOKUP(SUMIFS(Prod_Prop!$A:$A,Prod_Prop!$B:$B,$E771,Prod_Prop!$H:$H,J$1,Prod_Prop!$I:$I,"Exacto"),Prod_Prop!$A:$A,Prod_Prop!$J:$J,"",0,1))</f>
        <v/>
      </c>
      <c r="K771" s="4" t="str">
        <f t="array" ref="K771">IF($E771="","", XLOOKUP(SUMIFS(Prod_Prop!$A:$A,Prod_Prop!$B:$B,$E771,Prod_Prop!$H:$H,K$1,Prod_Prop!$I:$I,"Exacto"),Prod_Prop!$A:$A,Prod_Prop!$J:$J,"",0,1))</f>
        <v/>
      </c>
      <c r="L771" s="4" t="str">
        <f t="array" ref="L771">IF($E771="","", XLOOKUP(SUMIFS(Prod_Prop!$A:$A,Prod_Prop!$B:$B,$E771,Prod_Prop!$H:$H,L$1,Prod_Prop!$I:$I,"Exacto"),Prod_Prop!$A:$A,Prod_Prop!$J:$J,"",0,1))</f>
        <v/>
      </c>
      <c r="M771" s="4" t="str">
        <f t="array" ref="M771">IF($E771="","", XLOOKUP(SUMIFS(Prod_Prop!$A:$A,Prod_Prop!$B:$B,$E771,Prod_Prop!$H:$H,M$1,Prod_Prop!$I:$I,"Exacto"),Prod_Prop!$A:$A,Prod_Prop!$J:$J,"",0,1))</f>
        <v/>
      </c>
      <c r="N771" s="4" t="str">
        <f t="array" ref="N771">IF($E771="","", XLOOKUP(SUMIFS(Prod_Prop!$A:$A,Prod_Prop!$B:$B,$E771,Prod_Prop!$H:$H,N$1,Prod_Prop!$I:$I,"Exacto"),Prod_Prop!$A:$A,Prod_Prop!$J:$J,"",0,1))</f>
        <v/>
      </c>
      <c r="O771" s="4" t="str">
        <f t="array" ref="O771">IF($E771="","", XLOOKUP(SUMIFS(Prod_Prop!$A:$A,Prod_Prop!$B:$B,$E771,Prod_Prop!$H:$H,O$1,Prod_Prop!$I:$I,"Exacto"),Prod_Prop!$A:$A,Prod_Prop!$J:$J,"",0,1))</f>
        <v/>
      </c>
      <c r="P771" s="4" t="str">
        <f t="array" ref="P771">IF($E771="","", XLOOKUP(SUMIFS(Prod_Prop!$A:$A,Prod_Prop!$B:$B,$E771,Prod_Prop!$H:$H,P$1,Prod_Prop!$I:$I,"Exacto"),Prod_Prop!$A:$A,Prod_Prop!$J:$J,"",0,1))</f>
        <v/>
      </c>
      <c r="Q771" s="4" t="str">
        <f t="array" ref="Q771">IF($E771="","", XLOOKUP(SUMIFS(Prod_Prop!$A:$A,Prod_Prop!$B:$B,$E771,Prod_Prop!$H:$H,Q$1,Prod_Prop!$I:$I,"Exacto"),Prod_Prop!$A:$A,Prod_Prop!$J:$J,"",0,1))</f>
        <v/>
      </c>
      <c r="R771" s="4" t="str">
        <f t="array" ref="R771">IF($E771="","", XLOOKUP(SUMIFS(Prod_Prop!$A:$A,Prod_Prop!$B:$B,$E771,Prod_Prop!$H:$H,R$1,Prod_Prop!$I:$I,"Exacto"),Prod_Prop!$A:$A,Prod_Prop!$J:$J,"",0,1))</f>
        <v/>
      </c>
      <c r="S771" s="4" t="str">
        <f t="array" ref="S771">IF($E771="","", XLOOKUP(SUMIFS(Prod_Prop!$A:$A,Prod_Prop!$B:$B,$E771,Prod_Prop!$H:$H,S$1,Prod_Prop!$I:$I,"Exacto"),Prod_Prop!$A:$A,Prod_Prop!$J:$J,"",0,1))</f>
        <v/>
      </c>
      <c r="T771" s="4" t="str">
        <f t="array" ref="T771">IF($E771="","", XLOOKUP(SUMIFS(Prod_Prop!$A:$A,Prod_Prop!$B:$B,$E771,Prod_Prop!$H:$H,T$1,Prod_Prop!$I:$I,"Exacto"),Prod_Prop!$A:$A,Prod_Prop!$J:$J,"",0,1))</f>
        <v/>
      </c>
      <c r="U771" s="4" t="str">
        <f t="array" ref="U771">IF($E771="","", XLOOKUP(SUMIFS(Prod_Prop!$A:$A,Prod_Prop!$B:$B,$E771,Prod_Prop!$H:$H,U$1,Prod_Prop!$I:$I,"Exacto"),Prod_Prop!$A:$A,Prod_Prop!$J:$J,"",0,1))</f>
        <v/>
      </c>
      <c r="V771" s="4" t="str">
        <f t="array" ref="V771">IF($E771="","", XLOOKUP(SUMIFS(Prod_Prop!$A:$A,Prod_Prop!$B:$B,$E771,Prod_Prop!$H:$H,V$1,Prod_Prop!$I:$I,"Exacto"),Prod_Prop!$A:$A,Prod_Prop!$J:$J,"",0,1))</f>
        <v/>
      </c>
      <c r="X771" s="3" t="str">
        <f>IFERROR(__xludf.DUMMYFUNCTION("IF(D771="""","""",IFERROR(TRANSPOSE(FILTER('Validaciones Cotizador'!U:U,'Validaciones Cotizador'!O:O=D771,'Validaciones Cotizador'!T:T=""x"")),""Finalizar""))"),"")</f>
        <v/>
      </c>
    </row>
    <row r="772">
      <c r="A772" s="2" t="str">
        <f t="array" ref="A772">IF(E772="","",XLOOKUP(D772,'Validaciones Cotizador'!C:C,'Validaciones Cotizador'!A:A,"",0,1))</f>
        <v/>
      </c>
      <c r="B772" s="2" t="str">
        <f t="array" ref="B772">IF(F772="","",XLOOKUP(F772,Productos!E:E,Productos!G:G,"",0,1))</f>
        <v/>
      </c>
      <c r="C772" s="2" t="str">
        <f>IF(A772="","",SUMIFS('Validaciones Cotizador'!B:B,'Validaciones Cotizador'!C:C,D772,'Validaciones Cotizador'!A:A,A772))</f>
        <v/>
      </c>
      <c r="D772" s="4" t="str">
        <f>IFERROR(__xludf.DUMMYFUNCTION("IF(OR(F771=""Finalizar"",F771="""",F771=""Selecciona..""),"""",IF(OR(F771=""-"",INDEX(filter(Familias!F:F,Familias!D:D=A771,Familias!E:E=C771),1)=""O""),D771+1,D771))"),"")</f>
        <v/>
      </c>
      <c r="E772" s="2" t="str">
        <f>IF(OR(F772="",F772="Selecciona.."),"",IF(D772="Implemento",SUMIF(Implementos!B:B,F772,Implementos!A:A),SUMIF(Productos!E:E,F772,Productos!A:A)))</f>
        <v/>
      </c>
      <c r="F772" s="2" t="str">
        <f t="shared" si="2"/>
        <v/>
      </c>
      <c r="G772" s="10" t="str">
        <f t="array" ref="G772">IF(OR(F772="",F772="-",F772="Selecciona..",F772="Finalizar"),"",IF(A772="Rodados",XLOOKUP(B772,'Validaciones Cotizador'!I:I,'Validaciones Cotizador'!J:J,0,0,1),1))</f>
        <v/>
      </c>
      <c r="H772" s="11" t="str">
        <f>IF(OR(F772="",F772="Selecciona.."),"",SUMIF(Precio_Productos!K:K,E772,Precio_Productos!J:J)*G772)</f>
        <v/>
      </c>
      <c r="I772" s="4" t="str">
        <f t="array" ref="I772">IF($E772="","", XLOOKUP(SUMIFS(Prod_Prop!$A:$A,Prod_Prop!$B:$B,$E772,Prod_Prop!$H:$H,I$1,Prod_Prop!$I:$I,"Exacto"),Prod_Prop!$A:$A,Prod_Prop!$J:$J,"",0,1))</f>
        <v/>
      </c>
      <c r="J772" s="4" t="str">
        <f t="array" ref="J772">IF($E772="","", XLOOKUP(SUMIFS(Prod_Prop!$A:$A,Prod_Prop!$B:$B,$E772,Prod_Prop!$H:$H,J$1,Prod_Prop!$I:$I,"Exacto"),Prod_Prop!$A:$A,Prod_Prop!$J:$J,"",0,1))</f>
        <v/>
      </c>
      <c r="K772" s="4" t="str">
        <f t="array" ref="K772">IF($E772="","", XLOOKUP(SUMIFS(Prod_Prop!$A:$A,Prod_Prop!$B:$B,$E772,Prod_Prop!$H:$H,K$1,Prod_Prop!$I:$I,"Exacto"),Prod_Prop!$A:$A,Prod_Prop!$J:$J,"",0,1))</f>
        <v/>
      </c>
      <c r="L772" s="4" t="str">
        <f t="array" ref="L772">IF($E772="","", XLOOKUP(SUMIFS(Prod_Prop!$A:$A,Prod_Prop!$B:$B,$E772,Prod_Prop!$H:$H,L$1,Prod_Prop!$I:$I,"Exacto"),Prod_Prop!$A:$A,Prod_Prop!$J:$J,"",0,1))</f>
        <v/>
      </c>
      <c r="M772" s="4" t="str">
        <f t="array" ref="M772">IF($E772="","", XLOOKUP(SUMIFS(Prod_Prop!$A:$A,Prod_Prop!$B:$B,$E772,Prod_Prop!$H:$H,M$1,Prod_Prop!$I:$I,"Exacto"),Prod_Prop!$A:$A,Prod_Prop!$J:$J,"",0,1))</f>
        <v/>
      </c>
      <c r="N772" s="4" t="str">
        <f t="array" ref="N772">IF($E772="","", XLOOKUP(SUMIFS(Prod_Prop!$A:$A,Prod_Prop!$B:$B,$E772,Prod_Prop!$H:$H,N$1,Prod_Prop!$I:$I,"Exacto"),Prod_Prop!$A:$A,Prod_Prop!$J:$J,"",0,1))</f>
        <v/>
      </c>
      <c r="O772" s="4" t="str">
        <f t="array" ref="O772">IF($E772="","", XLOOKUP(SUMIFS(Prod_Prop!$A:$A,Prod_Prop!$B:$B,$E772,Prod_Prop!$H:$H,O$1,Prod_Prop!$I:$I,"Exacto"),Prod_Prop!$A:$A,Prod_Prop!$J:$J,"",0,1))</f>
        <v/>
      </c>
      <c r="P772" s="4" t="str">
        <f t="array" ref="P772">IF($E772="","", XLOOKUP(SUMIFS(Prod_Prop!$A:$A,Prod_Prop!$B:$B,$E772,Prod_Prop!$H:$H,P$1,Prod_Prop!$I:$I,"Exacto"),Prod_Prop!$A:$A,Prod_Prop!$J:$J,"",0,1))</f>
        <v/>
      </c>
      <c r="Q772" s="4" t="str">
        <f t="array" ref="Q772">IF($E772="","", XLOOKUP(SUMIFS(Prod_Prop!$A:$A,Prod_Prop!$B:$B,$E772,Prod_Prop!$H:$H,Q$1,Prod_Prop!$I:$I,"Exacto"),Prod_Prop!$A:$A,Prod_Prop!$J:$J,"",0,1))</f>
        <v/>
      </c>
      <c r="R772" s="4" t="str">
        <f t="array" ref="R772">IF($E772="","", XLOOKUP(SUMIFS(Prod_Prop!$A:$A,Prod_Prop!$B:$B,$E772,Prod_Prop!$H:$H,R$1,Prod_Prop!$I:$I,"Exacto"),Prod_Prop!$A:$A,Prod_Prop!$J:$J,"",0,1))</f>
        <v/>
      </c>
      <c r="S772" s="4" t="str">
        <f t="array" ref="S772">IF($E772="","", XLOOKUP(SUMIFS(Prod_Prop!$A:$A,Prod_Prop!$B:$B,$E772,Prod_Prop!$H:$H,S$1,Prod_Prop!$I:$I,"Exacto"),Prod_Prop!$A:$A,Prod_Prop!$J:$J,"",0,1))</f>
        <v/>
      </c>
      <c r="T772" s="4" t="str">
        <f t="array" ref="T772">IF($E772="","", XLOOKUP(SUMIFS(Prod_Prop!$A:$A,Prod_Prop!$B:$B,$E772,Prod_Prop!$H:$H,T$1,Prod_Prop!$I:$I,"Exacto"),Prod_Prop!$A:$A,Prod_Prop!$J:$J,"",0,1))</f>
        <v/>
      </c>
      <c r="U772" s="4" t="str">
        <f t="array" ref="U772">IF($E772="","", XLOOKUP(SUMIFS(Prod_Prop!$A:$A,Prod_Prop!$B:$B,$E772,Prod_Prop!$H:$H,U$1,Prod_Prop!$I:$I,"Exacto"),Prod_Prop!$A:$A,Prod_Prop!$J:$J,"",0,1))</f>
        <v/>
      </c>
      <c r="V772" s="4" t="str">
        <f t="array" ref="V772">IF($E772="","", XLOOKUP(SUMIFS(Prod_Prop!$A:$A,Prod_Prop!$B:$B,$E772,Prod_Prop!$H:$H,V$1,Prod_Prop!$I:$I,"Exacto"),Prod_Prop!$A:$A,Prod_Prop!$J:$J,"",0,1))</f>
        <v/>
      </c>
      <c r="X772" s="3" t="str">
        <f>IFERROR(__xludf.DUMMYFUNCTION("IF(D772="""","""",IFERROR(TRANSPOSE(FILTER('Validaciones Cotizador'!U:U,'Validaciones Cotizador'!O:O=D772,'Validaciones Cotizador'!T:T=""x"")),""Finalizar""))"),"")</f>
        <v/>
      </c>
    </row>
    <row r="773">
      <c r="A773" s="2" t="str">
        <f t="array" ref="A773">IF(E773="","",XLOOKUP(D773,'Validaciones Cotizador'!C:C,'Validaciones Cotizador'!A:A,"",0,1))</f>
        <v/>
      </c>
      <c r="B773" s="2" t="str">
        <f t="array" ref="B773">IF(F773="","",XLOOKUP(F773,Productos!E:E,Productos!G:G,"",0,1))</f>
        <v/>
      </c>
      <c r="C773" s="2" t="str">
        <f>IF(A773="","",SUMIFS('Validaciones Cotizador'!B:B,'Validaciones Cotizador'!C:C,D773,'Validaciones Cotizador'!A:A,A773))</f>
        <v/>
      </c>
      <c r="D773" s="4" t="str">
        <f>IFERROR(__xludf.DUMMYFUNCTION("IF(OR(F772=""Finalizar"",F772="""",F772=""Selecciona..""),"""",IF(OR(F772=""-"",INDEX(filter(Familias!F:F,Familias!D:D=A772,Familias!E:E=C772),1)=""O""),D772+1,D772))"),"")</f>
        <v/>
      </c>
      <c r="E773" s="2" t="str">
        <f>IF(OR(F773="",F773="Selecciona.."),"",IF(D773="Implemento",SUMIF(Implementos!B:B,F773,Implementos!A:A),SUMIF(Productos!E:E,F773,Productos!A:A)))</f>
        <v/>
      </c>
      <c r="F773" s="2" t="str">
        <f t="shared" si="2"/>
        <v/>
      </c>
      <c r="G773" s="10" t="str">
        <f t="array" ref="G773">IF(OR(F773="",F773="-",F773="Selecciona..",F773="Finalizar"),"",IF(A773="Rodados",XLOOKUP(B773,'Validaciones Cotizador'!I:I,'Validaciones Cotizador'!J:J,0,0,1),1))</f>
        <v/>
      </c>
      <c r="H773" s="11" t="str">
        <f>IF(OR(F773="",F773="Selecciona.."),"",SUMIF(Precio_Productos!K:K,E773,Precio_Productos!J:J)*G773)</f>
        <v/>
      </c>
      <c r="I773" s="4" t="str">
        <f t="array" ref="I773">IF($E773="","", XLOOKUP(SUMIFS(Prod_Prop!$A:$A,Prod_Prop!$B:$B,$E773,Prod_Prop!$H:$H,I$1,Prod_Prop!$I:$I,"Exacto"),Prod_Prop!$A:$A,Prod_Prop!$J:$J,"",0,1))</f>
        <v/>
      </c>
      <c r="J773" s="4" t="str">
        <f t="array" ref="J773">IF($E773="","", XLOOKUP(SUMIFS(Prod_Prop!$A:$A,Prod_Prop!$B:$B,$E773,Prod_Prop!$H:$H,J$1,Prod_Prop!$I:$I,"Exacto"),Prod_Prop!$A:$A,Prod_Prop!$J:$J,"",0,1))</f>
        <v/>
      </c>
      <c r="K773" s="4" t="str">
        <f t="array" ref="K773">IF($E773="","", XLOOKUP(SUMIFS(Prod_Prop!$A:$A,Prod_Prop!$B:$B,$E773,Prod_Prop!$H:$H,K$1,Prod_Prop!$I:$I,"Exacto"),Prod_Prop!$A:$A,Prod_Prop!$J:$J,"",0,1))</f>
        <v/>
      </c>
      <c r="L773" s="4" t="str">
        <f t="array" ref="L773">IF($E773="","", XLOOKUP(SUMIFS(Prod_Prop!$A:$A,Prod_Prop!$B:$B,$E773,Prod_Prop!$H:$H,L$1,Prod_Prop!$I:$I,"Exacto"),Prod_Prop!$A:$A,Prod_Prop!$J:$J,"",0,1))</f>
        <v/>
      </c>
      <c r="M773" s="4" t="str">
        <f t="array" ref="M773">IF($E773="","", XLOOKUP(SUMIFS(Prod_Prop!$A:$A,Prod_Prop!$B:$B,$E773,Prod_Prop!$H:$H,M$1,Prod_Prop!$I:$I,"Exacto"),Prod_Prop!$A:$A,Prod_Prop!$J:$J,"",0,1))</f>
        <v/>
      </c>
      <c r="N773" s="4" t="str">
        <f t="array" ref="N773">IF($E773="","", XLOOKUP(SUMIFS(Prod_Prop!$A:$A,Prod_Prop!$B:$B,$E773,Prod_Prop!$H:$H,N$1,Prod_Prop!$I:$I,"Exacto"),Prod_Prop!$A:$A,Prod_Prop!$J:$J,"",0,1))</f>
        <v/>
      </c>
      <c r="O773" s="4" t="str">
        <f t="array" ref="O773">IF($E773="","", XLOOKUP(SUMIFS(Prod_Prop!$A:$A,Prod_Prop!$B:$B,$E773,Prod_Prop!$H:$H,O$1,Prod_Prop!$I:$I,"Exacto"),Prod_Prop!$A:$A,Prod_Prop!$J:$J,"",0,1))</f>
        <v/>
      </c>
      <c r="P773" s="4" t="str">
        <f t="array" ref="P773">IF($E773="","", XLOOKUP(SUMIFS(Prod_Prop!$A:$A,Prod_Prop!$B:$B,$E773,Prod_Prop!$H:$H,P$1,Prod_Prop!$I:$I,"Exacto"),Prod_Prop!$A:$A,Prod_Prop!$J:$J,"",0,1))</f>
        <v/>
      </c>
      <c r="Q773" s="4" t="str">
        <f t="array" ref="Q773">IF($E773="","", XLOOKUP(SUMIFS(Prod_Prop!$A:$A,Prod_Prop!$B:$B,$E773,Prod_Prop!$H:$H,Q$1,Prod_Prop!$I:$I,"Exacto"),Prod_Prop!$A:$A,Prod_Prop!$J:$J,"",0,1))</f>
        <v/>
      </c>
      <c r="R773" s="4" t="str">
        <f t="array" ref="R773">IF($E773="","", XLOOKUP(SUMIFS(Prod_Prop!$A:$A,Prod_Prop!$B:$B,$E773,Prod_Prop!$H:$H,R$1,Prod_Prop!$I:$I,"Exacto"),Prod_Prop!$A:$A,Prod_Prop!$J:$J,"",0,1))</f>
        <v/>
      </c>
      <c r="S773" s="4" t="str">
        <f t="array" ref="S773">IF($E773="","", XLOOKUP(SUMIFS(Prod_Prop!$A:$A,Prod_Prop!$B:$B,$E773,Prod_Prop!$H:$H,S$1,Prod_Prop!$I:$I,"Exacto"),Prod_Prop!$A:$A,Prod_Prop!$J:$J,"",0,1))</f>
        <v/>
      </c>
      <c r="T773" s="4" t="str">
        <f t="array" ref="T773">IF($E773="","", XLOOKUP(SUMIFS(Prod_Prop!$A:$A,Prod_Prop!$B:$B,$E773,Prod_Prop!$H:$H,T$1,Prod_Prop!$I:$I,"Exacto"),Prod_Prop!$A:$A,Prod_Prop!$J:$J,"",0,1))</f>
        <v/>
      </c>
      <c r="U773" s="4" t="str">
        <f t="array" ref="U773">IF($E773="","", XLOOKUP(SUMIFS(Prod_Prop!$A:$A,Prod_Prop!$B:$B,$E773,Prod_Prop!$H:$H,U$1,Prod_Prop!$I:$I,"Exacto"),Prod_Prop!$A:$A,Prod_Prop!$J:$J,"",0,1))</f>
        <v/>
      </c>
      <c r="V773" s="4" t="str">
        <f t="array" ref="V773">IF($E773="","", XLOOKUP(SUMIFS(Prod_Prop!$A:$A,Prod_Prop!$B:$B,$E773,Prod_Prop!$H:$H,V$1,Prod_Prop!$I:$I,"Exacto"),Prod_Prop!$A:$A,Prod_Prop!$J:$J,"",0,1))</f>
        <v/>
      </c>
      <c r="X773" s="3" t="str">
        <f>IFERROR(__xludf.DUMMYFUNCTION("IF(D773="""","""",IFERROR(TRANSPOSE(FILTER('Validaciones Cotizador'!U:U,'Validaciones Cotizador'!O:O=D773,'Validaciones Cotizador'!T:T=""x"")),""Finalizar""))"),"")</f>
        <v/>
      </c>
    </row>
    <row r="774">
      <c r="A774" s="2" t="str">
        <f t="array" ref="A774">IF(E774="","",XLOOKUP(D774,'Validaciones Cotizador'!C:C,'Validaciones Cotizador'!A:A,"",0,1))</f>
        <v/>
      </c>
      <c r="B774" s="2" t="str">
        <f t="array" ref="B774">IF(F774="","",XLOOKUP(F774,Productos!E:E,Productos!G:G,"",0,1))</f>
        <v/>
      </c>
      <c r="C774" s="2" t="str">
        <f>IF(A774="","",SUMIFS('Validaciones Cotizador'!B:B,'Validaciones Cotizador'!C:C,D774,'Validaciones Cotizador'!A:A,A774))</f>
        <v/>
      </c>
      <c r="D774" s="4" t="str">
        <f>IFERROR(__xludf.DUMMYFUNCTION("IF(OR(F773=""Finalizar"",F773="""",F773=""Selecciona..""),"""",IF(OR(F773=""-"",INDEX(filter(Familias!F:F,Familias!D:D=A773,Familias!E:E=C773),1)=""O""),D773+1,D773))"),"")</f>
        <v/>
      </c>
      <c r="E774" s="2" t="str">
        <f>IF(OR(F774="",F774="Selecciona.."),"",IF(D774="Implemento",SUMIF(Implementos!B:B,F774,Implementos!A:A),SUMIF(Productos!E:E,F774,Productos!A:A)))</f>
        <v/>
      </c>
      <c r="F774" s="2" t="str">
        <f t="shared" si="2"/>
        <v/>
      </c>
      <c r="G774" s="10" t="str">
        <f t="array" ref="G774">IF(OR(F774="",F774="-",F774="Selecciona..",F774="Finalizar"),"",IF(A774="Rodados",XLOOKUP(B774,'Validaciones Cotizador'!I:I,'Validaciones Cotizador'!J:J,0,0,1),1))</f>
        <v/>
      </c>
      <c r="H774" s="11" t="str">
        <f>IF(OR(F774="",F774="Selecciona.."),"",SUMIF(Precio_Productos!K:K,E774,Precio_Productos!J:J)*G774)</f>
        <v/>
      </c>
      <c r="I774" s="4" t="str">
        <f t="array" ref="I774">IF($E774="","", XLOOKUP(SUMIFS(Prod_Prop!$A:$A,Prod_Prop!$B:$B,$E774,Prod_Prop!$H:$H,I$1,Prod_Prop!$I:$I,"Exacto"),Prod_Prop!$A:$A,Prod_Prop!$J:$J,"",0,1))</f>
        <v/>
      </c>
      <c r="J774" s="4" t="str">
        <f t="array" ref="J774">IF($E774="","", XLOOKUP(SUMIFS(Prod_Prop!$A:$A,Prod_Prop!$B:$B,$E774,Prod_Prop!$H:$H,J$1,Prod_Prop!$I:$I,"Exacto"),Prod_Prop!$A:$A,Prod_Prop!$J:$J,"",0,1))</f>
        <v/>
      </c>
      <c r="K774" s="4" t="str">
        <f t="array" ref="K774">IF($E774="","", XLOOKUP(SUMIFS(Prod_Prop!$A:$A,Prod_Prop!$B:$B,$E774,Prod_Prop!$H:$H,K$1,Prod_Prop!$I:$I,"Exacto"),Prod_Prop!$A:$A,Prod_Prop!$J:$J,"",0,1))</f>
        <v/>
      </c>
      <c r="L774" s="4" t="str">
        <f t="array" ref="L774">IF($E774="","", XLOOKUP(SUMIFS(Prod_Prop!$A:$A,Prod_Prop!$B:$B,$E774,Prod_Prop!$H:$H,L$1,Prod_Prop!$I:$I,"Exacto"),Prod_Prop!$A:$A,Prod_Prop!$J:$J,"",0,1))</f>
        <v/>
      </c>
      <c r="M774" s="4" t="str">
        <f t="array" ref="M774">IF($E774="","", XLOOKUP(SUMIFS(Prod_Prop!$A:$A,Prod_Prop!$B:$B,$E774,Prod_Prop!$H:$H,M$1,Prod_Prop!$I:$I,"Exacto"),Prod_Prop!$A:$A,Prod_Prop!$J:$J,"",0,1))</f>
        <v/>
      </c>
      <c r="N774" s="4" t="str">
        <f t="array" ref="N774">IF($E774="","", XLOOKUP(SUMIFS(Prod_Prop!$A:$A,Prod_Prop!$B:$B,$E774,Prod_Prop!$H:$H,N$1,Prod_Prop!$I:$I,"Exacto"),Prod_Prop!$A:$A,Prod_Prop!$J:$J,"",0,1))</f>
        <v/>
      </c>
      <c r="O774" s="4" t="str">
        <f t="array" ref="O774">IF($E774="","", XLOOKUP(SUMIFS(Prod_Prop!$A:$A,Prod_Prop!$B:$B,$E774,Prod_Prop!$H:$H,O$1,Prod_Prop!$I:$I,"Exacto"),Prod_Prop!$A:$A,Prod_Prop!$J:$J,"",0,1))</f>
        <v/>
      </c>
      <c r="P774" s="4" t="str">
        <f t="array" ref="P774">IF($E774="","", XLOOKUP(SUMIFS(Prod_Prop!$A:$A,Prod_Prop!$B:$B,$E774,Prod_Prop!$H:$H,P$1,Prod_Prop!$I:$I,"Exacto"),Prod_Prop!$A:$A,Prod_Prop!$J:$J,"",0,1))</f>
        <v/>
      </c>
      <c r="Q774" s="4" t="str">
        <f t="array" ref="Q774">IF($E774="","", XLOOKUP(SUMIFS(Prod_Prop!$A:$A,Prod_Prop!$B:$B,$E774,Prod_Prop!$H:$H,Q$1,Prod_Prop!$I:$I,"Exacto"),Prod_Prop!$A:$A,Prod_Prop!$J:$J,"",0,1))</f>
        <v/>
      </c>
      <c r="R774" s="4" t="str">
        <f t="array" ref="R774">IF($E774="","", XLOOKUP(SUMIFS(Prod_Prop!$A:$A,Prod_Prop!$B:$B,$E774,Prod_Prop!$H:$H,R$1,Prod_Prop!$I:$I,"Exacto"),Prod_Prop!$A:$A,Prod_Prop!$J:$J,"",0,1))</f>
        <v/>
      </c>
      <c r="S774" s="4" t="str">
        <f t="array" ref="S774">IF($E774="","", XLOOKUP(SUMIFS(Prod_Prop!$A:$A,Prod_Prop!$B:$B,$E774,Prod_Prop!$H:$H,S$1,Prod_Prop!$I:$I,"Exacto"),Prod_Prop!$A:$A,Prod_Prop!$J:$J,"",0,1))</f>
        <v/>
      </c>
      <c r="T774" s="4" t="str">
        <f t="array" ref="T774">IF($E774="","", XLOOKUP(SUMIFS(Prod_Prop!$A:$A,Prod_Prop!$B:$B,$E774,Prod_Prop!$H:$H,T$1,Prod_Prop!$I:$I,"Exacto"),Prod_Prop!$A:$A,Prod_Prop!$J:$J,"",0,1))</f>
        <v/>
      </c>
      <c r="U774" s="4" t="str">
        <f t="array" ref="U774">IF($E774="","", XLOOKUP(SUMIFS(Prod_Prop!$A:$A,Prod_Prop!$B:$B,$E774,Prod_Prop!$H:$H,U$1,Prod_Prop!$I:$I,"Exacto"),Prod_Prop!$A:$A,Prod_Prop!$J:$J,"",0,1))</f>
        <v/>
      </c>
      <c r="V774" s="4" t="str">
        <f t="array" ref="V774">IF($E774="","", XLOOKUP(SUMIFS(Prod_Prop!$A:$A,Prod_Prop!$B:$B,$E774,Prod_Prop!$H:$H,V$1,Prod_Prop!$I:$I,"Exacto"),Prod_Prop!$A:$A,Prod_Prop!$J:$J,"",0,1))</f>
        <v/>
      </c>
      <c r="X774" s="3" t="str">
        <f>IFERROR(__xludf.DUMMYFUNCTION("IF(D774="""","""",IFERROR(TRANSPOSE(FILTER('Validaciones Cotizador'!U:U,'Validaciones Cotizador'!O:O=D774,'Validaciones Cotizador'!T:T=""x"")),""Finalizar""))"),"")</f>
        <v/>
      </c>
    </row>
    <row r="775">
      <c r="A775" s="2" t="str">
        <f t="array" ref="A775">IF(E775="","",XLOOKUP(D775,'Validaciones Cotizador'!C:C,'Validaciones Cotizador'!A:A,"",0,1))</f>
        <v/>
      </c>
      <c r="B775" s="2" t="str">
        <f t="array" ref="B775">IF(F775="","",XLOOKUP(F775,Productos!E:E,Productos!G:G,"",0,1))</f>
        <v/>
      </c>
      <c r="C775" s="2" t="str">
        <f>IF(A775="","",SUMIFS('Validaciones Cotizador'!B:B,'Validaciones Cotizador'!C:C,D775,'Validaciones Cotizador'!A:A,A775))</f>
        <v/>
      </c>
      <c r="D775" s="4" t="str">
        <f>IFERROR(__xludf.DUMMYFUNCTION("IF(OR(F774=""Finalizar"",F774="""",F774=""Selecciona..""),"""",IF(OR(F774=""-"",INDEX(filter(Familias!F:F,Familias!D:D=A774,Familias!E:E=C774),1)=""O""),D774+1,D774))"),"")</f>
        <v/>
      </c>
      <c r="E775" s="2" t="str">
        <f>IF(OR(F775="",F775="Selecciona.."),"",IF(D775="Implemento",SUMIF(Implementos!B:B,F775,Implementos!A:A),SUMIF(Productos!E:E,F775,Productos!A:A)))</f>
        <v/>
      </c>
      <c r="F775" s="2" t="str">
        <f t="shared" si="2"/>
        <v/>
      </c>
      <c r="G775" s="10" t="str">
        <f t="array" ref="G775">IF(OR(F775="",F775="-",F775="Selecciona..",F775="Finalizar"),"",IF(A775="Rodados",XLOOKUP(B775,'Validaciones Cotizador'!I:I,'Validaciones Cotizador'!J:J,0,0,1),1))</f>
        <v/>
      </c>
      <c r="H775" s="11" t="str">
        <f>IF(OR(F775="",F775="Selecciona.."),"",SUMIF(Precio_Productos!K:K,E775,Precio_Productos!J:J)*G775)</f>
        <v/>
      </c>
      <c r="I775" s="4" t="str">
        <f t="array" ref="I775">IF($E775="","", XLOOKUP(SUMIFS(Prod_Prop!$A:$A,Prod_Prop!$B:$B,$E775,Prod_Prop!$H:$H,I$1,Prod_Prop!$I:$I,"Exacto"),Prod_Prop!$A:$A,Prod_Prop!$J:$J,"",0,1))</f>
        <v/>
      </c>
      <c r="J775" s="4" t="str">
        <f t="array" ref="J775">IF($E775="","", XLOOKUP(SUMIFS(Prod_Prop!$A:$A,Prod_Prop!$B:$B,$E775,Prod_Prop!$H:$H,J$1,Prod_Prop!$I:$I,"Exacto"),Prod_Prop!$A:$A,Prod_Prop!$J:$J,"",0,1))</f>
        <v/>
      </c>
      <c r="K775" s="4" t="str">
        <f t="array" ref="K775">IF($E775="","", XLOOKUP(SUMIFS(Prod_Prop!$A:$A,Prod_Prop!$B:$B,$E775,Prod_Prop!$H:$H,K$1,Prod_Prop!$I:$I,"Exacto"),Prod_Prop!$A:$A,Prod_Prop!$J:$J,"",0,1))</f>
        <v/>
      </c>
      <c r="L775" s="4" t="str">
        <f t="array" ref="L775">IF($E775="","", XLOOKUP(SUMIFS(Prod_Prop!$A:$A,Prod_Prop!$B:$B,$E775,Prod_Prop!$H:$H,L$1,Prod_Prop!$I:$I,"Exacto"),Prod_Prop!$A:$A,Prod_Prop!$J:$J,"",0,1))</f>
        <v/>
      </c>
      <c r="M775" s="4" t="str">
        <f t="array" ref="M775">IF($E775="","", XLOOKUP(SUMIFS(Prod_Prop!$A:$A,Prod_Prop!$B:$B,$E775,Prod_Prop!$H:$H,M$1,Prod_Prop!$I:$I,"Exacto"),Prod_Prop!$A:$A,Prod_Prop!$J:$J,"",0,1))</f>
        <v/>
      </c>
      <c r="N775" s="4" t="str">
        <f t="array" ref="N775">IF($E775="","", XLOOKUP(SUMIFS(Prod_Prop!$A:$A,Prod_Prop!$B:$B,$E775,Prod_Prop!$H:$H,N$1,Prod_Prop!$I:$I,"Exacto"),Prod_Prop!$A:$A,Prod_Prop!$J:$J,"",0,1))</f>
        <v/>
      </c>
      <c r="O775" s="4" t="str">
        <f t="array" ref="O775">IF($E775="","", XLOOKUP(SUMIFS(Prod_Prop!$A:$A,Prod_Prop!$B:$B,$E775,Prod_Prop!$H:$H,O$1,Prod_Prop!$I:$I,"Exacto"),Prod_Prop!$A:$A,Prod_Prop!$J:$J,"",0,1))</f>
        <v/>
      </c>
      <c r="P775" s="4" t="str">
        <f t="array" ref="P775">IF($E775="","", XLOOKUP(SUMIFS(Prod_Prop!$A:$A,Prod_Prop!$B:$B,$E775,Prod_Prop!$H:$H,P$1,Prod_Prop!$I:$I,"Exacto"),Prod_Prop!$A:$A,Prod_Prop!$J:$J,"",0,1))</f>
        <v/>
      </c>
      <c r="Q775" s="4" t="str">
        <f t="array" ref="Q775">IF($E775="","", XLOOKUP(SUMIFS(Prod_Prop!$A:$A,Prod_Prop!$B:$B,$E775,Prod_Prop!$H:$H,Q$1,Prod_Prop!$I:$I,"Exacto"),Prod_Prop!$A:$A,Prod_Prop!$J:$J,"",0,1))</f>
        <v/>
      </c>
      <c r="R775" s="4" t="str">
        <f t="array" ref="R775">IF($E775="","", XLOOKUP(SUMIFS(Prod_Prop!$A:$A,Prod_Prop!$B:$B,$E775,Prod_Prop!$H:$H,R$1,Prod_Prop!$I:$I,"Exacto"),Prod_Prop!$A:$A,Prod_Prop!$J:$J,"",0,1))</f>
        <v/>
      </c>
      <c r="S775" s="4" t="str">
        <f t="array" ref="S775">IF($E775="","", XLOOKUP(SUMIFS(Prod_Prop!$A:$A,Prod_Prop!$B:$B,$E775,Prod_Prop!$H:$H,S$1,Prod_Prop!$I:$I,"Exacto"),Prod_Prop!$A:$A,Prod_Prop!$J:$J,"",0,1))</f>
        <v/>
      </c>
      <c r="T775" s="4" t="str">
        <f t="array" ref="T775">IF($E775="","", XLOOKUP(SUMIFS(Prod_Prop!$A:$A,Prod_Prop!$B:$B,$E775,Prod_Prop!$H:$H,T$1,Prod_Prop!$I:$I,"Exacto"),Prod_Prop!$A:$A,Prod_Prop!$J:$J,"",0,1))</f>
        <v/>
      </c>
      <c r="U775" s="4" t="str">
        <f t="array" ref="U775">IF($E775="","", XLOOKUP(SUMIFS(Prod_Prop!$A:$A,Prod_Prop!$B:$B,$E775,Prod_Prop!$H:$H,U$1,Prod_Prop!$I:$I,"Exacto"),Prod_Prop!$A:$A,Prod_Prop!$J:$J,"",0,1))</f>
        <v/>
      </c>
      <c r="V775" s="4" t="str">
        <f t="array" ref="V775">IF($E775="","", XLOOKUP(SUMIFS(Prod_Prop!$A:$A,Prod_Prop!$B:$B,$E775,Prod_Prop!$H:$H,V$1,Prod_Prop!$I:$I,"Exacto"),Prod_Prop!$A:$A,Prod_Prop!$J:$J,"",0,1))</f>
        <v/>
      </c>
      <c r="X775" s="3" t="str">
        <f>IFERROR(__xludf.DUMMYFUNCTION("IF(D775="""","""",IFERROR(TRANSPOSE(FILTER('Validaciones Cotizador'!U:U,'Validaciones Cotizador'!O:O=D775,'Validaciones Cotizador'!T:T=""x"")),""Finalizar""))"),"")</f>
        <v/>
      </c>
    </row>
    <row r="776">
      <c r="A776" s="2" t="str">
        <f t="array" ref="A776">IF(E776="","",XLOOKUP(D776,'Validaciones Cotizador'!C:C,'Validaciones Cotizador'!A:A,"",0,1))</f>
        <v/>
      </c>
      <c r="B776" s="2" t="str">
        <f t="array" ref="B776">IF(F776="","",XLOOKUP(F776,Productos!E:E,Productos!G:G,"",0,1))</f>
        <v/>
      </c>
      <c r="C776" s="2" t="str">
        <f>IF(A776="","",SUMIFS('Validaciones Cotizador'!B:B,'Validaciones Cotizador'!C:C,D776,'Validaciones Cotizador'!A:A,A776))</f>
        <v/>
      </c>
      <c r="D776" s="4" t="str">
        <f>IFERROR(__xludf.DUMMYFUNCTION("IF(OR(F775=""Finalizar"",F775="""",F775=""Selecciona..""),"""",IF(OR(F775=""-"",INDEX(filter(Familias!F:F,Familias!D:D=A775,Familias!E:E=C775),1)=""O""),D775+1,D775))"),"")</f>
        <v/>
      </c>
      <c r="E776" s="2" t="str">
        <f>IF(OR(F776="",F776="Selecciona.."),"",IF(D776="Implemento",SUMIF(Implementos!B:B,F776,Implementos!A:A),SUMIF(Productos!E:E,F776,Productos!A:A)))</f>
        <v/>
      </c>
      <c r="F776" s="2" t="str">
        <f t="shared" si="2"/>
        <v/>
      </c>
      <c r="G776" s="10" t="str">
        <f t="array" ref="G776">IF(OR(F776="",F776="-",F776="Selecciona..",F776="Finalizar"),"",IF(A776="Rodados",XLOOKUP(B776,'Validaciones Cotizador'!I:I,'Validaciones Cotizador'!J:J,0,0,1),1))</f>
        <v/>
      </c>
      <c r="H776" s="11" t="str">
        <f>IF(OR(F776="",F776="Selecciona.."),"",SUMIF(Precio_Productos!K:K,E776,Precio_Productos!J:J)*G776)</f>
        <v/>
      </c>
      <c r="I776" s="4" t="str">
        <f t="array" ref="I776">IF($E776="","", XLOOKUP(SUMIFS(Prod_Prop!$A:$A,Prod_Prop!$B:$B,$E776,Prod_Prop!$H:$H,I$1,Prod_Prop!$I:$I,"Exacto"),Prod_Prop!$A:$A,Prod_Prop!$J:$J,"",0,1))</f>
        <v/>
      </c>
      <c r="J776" s="4" t="str">
        <f t="array" ref="J776">IF($E776="","", XLOOKUP(SUMIFS(Prod_Prop!$A:$A,Prod_Prop!$B:$B,$E776,Prod_Prop!$H:$H,J$1,Prod_Prop!$I:$I,"Exacto"),Prod_Prop!$A:$A,Prod_Prop!$J:$J,"",0,1))</f>
        <v/>
      </c>
      <c r="K776" s="4" t="str">
        <f t="array" ref="K776">IF($E776="","", XLOOKUP(SUMIFS(Prod_Prop!$A:$A,Prod_Prop!$B:$B,$E776,Prod_Prop!$H:$H,K$1,Prod_Prop!$I:$I,"Exacto"),Prod_Prop!$A:$A,Prod_Prop!$J:$J,"",0,1))</f>
        <v/>
      </c>
      <c r="L776" s="4" t="str">
        <f t="array" ref="L776">IF($E776="","", XLOOKUP(SUMIFS(Prod_Prop!$A:$A,Prod_Prop!$B:$B,$E776,Prod_Prop!$H:$H,L$1,Prod_Prop!$I:$I,"Exacto"),Prod_Prop!$A:$A,Prod_Prop!$J:$J,"",0,1))</f>
        <v/>
      </c>
      <c r="M776" s="4" t="str">
        <f t="array" ref="M776">IF($E776="","", XLOOKUP(SUMIFS(Prod_Prop!$A:$A,Prod_Prop!$B:$B,$E776,Prod_Prop!$H:$H,M$1,Prod_Prop!$I:$I,"Exacto"),Prod_Prop!$A:$A,Prod_Prop!$J:$J,"",0,1))</f>
        <v/>
      </c>
      <c r="N776" s="4" t="str">
        <f t="array" ref="N776">IF($E776="","", XLOOKUP(SUMIFS(Prod_Prop!$A:$A,Prod_Prop!$B:$B,$E776,Prod_Prop!$H:$H,N$1,Prod_Prop!$I:$I,"Exacto"),Prod_Prop!$A:$A,Prod_Prop!$J:$J,"",0,1))</f>
        <v/>
      </c>
      <c r="O776" s="4" t="str">
        <f t="array" ref="O776">IF($E776="","", XLOOKUP(SUMIFS(Prod_Prop!$A:$A,Prod_Prop!$B:$B,$E776,Prod_Prop!$H:$H,O$1,Prod_Prop!$I:$I,"Exacto"),Prod_Prop!$A:$A,Prod_Prop!$J:$J,"",0,1))</f>
        <v/>
      </c>
      <c r="P776" s="4" t="str">
        <f t="array" ref="P776">IF($E776="","", XLOOKUP(SUMIFS(Prod_Prop!$A:$A,Prod_Prop!$B:$B,$E776,Prod_Prop!$H:$H,P$1,Prod_Prop!$I:$I,"Exacto"),Prod_Prop!$A:$A,Prod_Prop!$J:$J,"",0,1))</f>
        <v/>
      </c>
      <c r="Q776" s="4" t="str">
        <f t="array" ref="Q776">IF($E776="","", XLOOKUP(SUMIFS(Prod_Prop!$A:$A,Prod_Prop!$B:$B,$E776,Prod_Prop!$H:$H,Q$1,Prod_Prop!$I:$I,"Exacto"),Prod_Prop!$A:$A,Prod_Prop!$J:$J,"",0,1))</f>
        <v/>
      </c>
      <c r="R776" s="4" t="str">
        <f t="array" ref="R776">IF($E776="","", XLOOKUP(SUMIFS(Prod_Prop!$A:$A,Prod_Prop!$B:$B,$E776,Prod_Prop!$H:$H,R$1,Prod_Prop!$I:$I,"Exacto"),Prod_Prop!$A:$A,Prod_Prop!$J:$J,"",0,1))</f>
        <v/>
      </c>
      <c r="S776" s="4" t="str">
        <f t="array" ref="S776">IF($E776="","", XLOOKUP(SUMIFS(Prod_Prop!$A:$A,Prod_Prop!$B:$B,$E776,Prod_Prop!$H:$H,S$1,Prod_Prop!$I:$I,"Exacto"),Prod_Prop!$A:$A,Prod_Prop!$J:$J,"",0,1))</f>
        <v/>
      </c>
      <c r="T776" s="4" t="str">
        <f t="array" ref="T776">IF($E776="","", XLOOKUP(SUMIFS(Prod_Prop!$A:$A,Prod_Prop!$B:$B,$E776,Prod_Prop!$H:$H,T$1,Prod_Prop!$I:$I,"Exacto"),Prod_Prop!$A:$A,Prod_Prop!$J:$J,"",0,1))</f>
        <v/>
      </c>
      <c r="U776" s="4" t="str">
        <f t="array" ref="U776">IF($E776="","", XLOOKUP(SUMIFS(Prod_Prop!$A:$A,Prod_Prop!$B:$B,$E776,Prod_Prop!$H:$H,U$1,Prod_Prop!$I:$I,"Exacto"),Prod_Prop!$A:$A,Prod_Prop!$J:$J,"",0,1))</f>
        <v/>
      </c>
      <c r="V776" s="4" t="str">
        <f t="array" ref="V776">IF($E776="","", XLOOKUP(SUMIFS(Prod_Prop!$A:$A,Prod_Prop!$B:$B,$E776,Prod_Prop!$H:$H,V$1,Prod_Prop!$I:$I,"Exacto"),Prod_Prop!$A:$A,Prod_Prop!$J:$J,"",0,1))</f>
        <v/>
      </c>
      <c r="X776" s="3" t="str">
        <f>IFERROR(__xludf.DUMMYFUNCTION("IF(D776="""","""",IFERROR(TRANSPOSE(FILTER('Validaciones Cotizador'!U:U,'Validaciones Cotizador'!O:O=D776,'Validaciones Cotizador'!T:T=""x"")),""Finalizar""))"),"")</f>
        <v/>
      </c>
    </row>
    <row r="777">
      <c r="A777" s="2" t="str">
        <f t="array" ref="A777">IF(E777="","",XLOOKUP(D777,'Validaciones Cotizador'!C:C,'Validaciones Cotizador'!A:A,"",0,1))</f>
        <v/>
      </c>
      <c r="B777" s="2" t="str">
        <f t="array" ref="B777">IF(F777="","",XLOOKUP(F777,Productos!E:E,Productos!G:G,"",0,1))</f>
        <v/>
      </c>
      <c r="C777" s="2" t="str">
        <f>IF(A777="","",SUMIFS('Validaciones Cotizador'!B:B,'Validaciones Cotizador'!C:C,D777,'Validaciones Cotizador'!A:A,A777))</f>
        <v/>
      </c>
      <c r="D777" s="4" t="str">
        <f>IFERROR(__xludf.DUMMYFUNCTION("IF(OR(F776=""Finalizar"",F776="""",F776=""Selecciona..""),"""",IF(OR(F776=""-"",INDEX(filter(Familias!F:F,Familias!D:D=A776,Familias!E:E=C776),1)=""O""),D776+1,D776))"),"")</f>
        <v/>
      </c>
      <c r="E777" s="2" t="str">
        <f>IF(OR(F777="",F777="Selecciona.."),"",IF(D777="Implemento",SUMIF(Implementos!B:B,F777,Implementos!A:A),SUMIF(Productos!E:E,F777,Productos!A:A)))</f>
        <v/>
      </c>
      <c r="F777" s="2" t="str">
        <f t="shared" si="2"/>
        <v/>
      </c>
      <c r="G777" s="10" t="str">
        <f t="array" ref="G777">IF(OR(F777="",F777="-",F777="Selecciona..",F777="Finalizar"),"",IF(A777="Rodados",XLOOKUP(B777,'Validaciones Cotizador'!I:I,'Validaciones Cotizador'!J:J,0,0,1),1))</f>
        <v/>
      </c>
      <c r="H777" s="11" t="str">
        <f>IF(OR(F777="",F777="Selecciona.."),"",SUMIF(Precio_Productos!K:K,E777,Precio_Productos!J:J)*G777)</f>
        <v/>
      </c>
      <c r="I777" s="4" t="str">
        <f t="array" ref="I777">IF($E777="","", XLOOKUP(SUMIFS(Prod_Prop!$A:$A,Prod_Prop!$B:$B,$E777,Prod_Prop!$H:$H,I$1,Prod_Prop!$I:$I,"Exacto"),Prod_Prop!$A:$A,Prod_Prop!$J:$J,"",0,1))</f>
        <v/>
      </c>
      <c r="J777" s="4" t="str">
        <f t="array" ref="J777">IF($E777="","", XLOOKUP(SUMIFS(Prod_Prop!$A:$A,Prod_Prop!$B:$B,$E777,Prod_Prop!$H:$H,J$1,Prod_Prop!$I:$I,"Exacto"),Prod_Prop!$A:$A,Prod_Prop!$J:$J,"",0,1))</f>
        <v/>
      </c>
      <c r="K777" s="4" t="str">
        <f t="array" ref="K777">IF($E777="","", XLOOKUP(SUMIFS(Prod_Prop!$A:$A,Prod_Prop!$B:$B,$E777,Prod_Prop!$H:$H,K$1,Prod_Prop!$I:$I,"Exacto"),Prod_Prop!$A:$A,Prod_Prop!$J:$J,"",0,1))</f>
        <v/>
      </c>
      <c r="L777" s="4" t="str">
        <f t="array" ref="L777">IF($E777="","", XLOOKUP(SUMIFS(Prod_Prop!$A:$A,Prod_Prop!$B:$B,$E777,Prod_Prop!$H:$H,L$1,Prod_Prop!$I:$I,"Exacto"),Prod_Prop!$A:$A,Prod_Prop!$J:$J,"",0,1))</f>
        <v/>
      </c>
      <c r="M777" s="4" t="str">
        <f t="array" ref="M777">IF($E777="","", XLOOKUP(SUMIFS(Prod_Prop!$A:$A,Prod_Prop!$B:$B,$E777,Prod_Prop!$H:$H,M$1,Prod_Prop!$I:$I,"Exacto"),Prod_Prop!$A:$A,Prod_Prop!$J:$J,"",0,1))</f>
        <v/>
      </c>
      <c r="N777" s="4" t="str">
        <f t="array" ref="N777">IF($E777="","", XLOOKUP(SUMIFS(Prod_Prop!$A:$A,Prod_Prop!$B:$B,$E777,Prod_Prop!$H:$H,N$1,Prod_Prop!$I:$I,"Exacto"),Prod_Prop!$A:$A,Prod_Prop!$J:$J,"",0,1))</f>
        <v/>
      </c>
      <c r="O777" s="4" t="str">
        <f t="array" ref="O777">IF($E777="","", XLOOKUP(SUMIFS(Prod_Prop!$A:$A,Prod_Prop!$B:$B,$E777,Prod_Prop!$H:$H,O$1,Prod_Prop!$I:$I,"Exacto"),Prod_Prop!$A:$A,Prod_Prop!$J:$J,"",0,1))</f>
        <v/>
      </c>
      <c r="P777" s="4" t="str">
        <f t="array" ref="P777">IF($E777="","", XLOOKUP(SUMIFS(Prod_Prop!$A:$A,Prod_Prop!$B:$B,$E777,Prod_Prop!$H:$H,P$1,Prod_Prop!$I:$I,"Exacto"),Prod_Prop!$A:$A,Prod_Prop!$J:$J,"",0,1))</f>
        <v/>
      </c>
      <c r="Q777" s="4" t="str">
        <f t="array" ref="Q777">IF($E777="","", XLOOKUP(SUMIFS(Prod_Prop!$A:$A,Prod_Prop!$B:$B,$E777,Prod_Prop!$H:$H,Q$1,Prod_Prop!$I:$I,"Exacto"),Prod_Prop!$A:$A,Prod_Prop!$J:$J,"",0,1))</f>
        <v/>
      </c>
      <c r="R777" s="4" t="str">
        <f t="array" ref="R777">IF($E777="","", XLOOKUP(SUMIFS(Prod_Prop!$A:$A,Prod_Prop!$B:$B,$E777,Prod_Prop!$H:$H,R$1,Prod_Prop!$I:$I,"Exacto"),Prod_Prop!$A:$A,Prod_Prop!$J:$J,"",0,1))</f>
        <v/>
      </c>
      <c r="S777" s="4" t="str">
        <f t="array" ref="S777">IF($E777="","", XLOOKUP(SUMIFS(Prod_Prop!$A:$A,Prod_Prop!$B:$B,$E777,Prod_Prop!$H:$H,S$1,Prod_Prop!$I:$I,"Exacto"),Prod_Prop!$A:$A,Prod_Prop!$J:$J,"",0,1))</f>
        <v/>
      </c>
      <c r="T777" s="4" t="str">
        <f t="array" ref="T777">IF($E777="","", XLOOKUP(SUMIFS(Prod_Prop!$A:$A,Prod_Prop!$B:$B,$E777,Prod_Prop!$H:$H,T$1,Prod_Prop!$I:$I,"Exacto"),Prod_Prop!$A:$A,Prod_Prop!$J:$J,"",0,1))</f>
        <v/>
      </c>
      <c r="U777" s="4" t="str">
        <f t="array" ref="U777">IF($E777="","", XLOOKUP(SUMIFS(Prod_Prop!$A:$A,Prod_Prop!$B:$B,$E777,Prod_Prop!$H:$H,U$1,Prod_Prop!$I:$I,"Exacto"),Prod_Prop!$A:$A,Prod_Prop!$J:$J,"",0,1))</f>
        <v/>
      </c>
      <c r="V777" s="4" t="str">
        <f t="array" ref="V777">IF($E777="","", XLOOKUP(SUMIFS(Prod_Prop!$A:$A,Prod_Prop!$B:$B,$E777,Prod_Prop!$H:$H,V$1,Prod_Prop!$I:$I,"Exacto"),Prod_Prop!$A:$A,Prod_Prop!$J:$J,"",0,1))</f>
        <v/>
      </c>
      <c r="X777" s="3" t="str">
        <f>IFERROR(__xludf.DUMMYFUNCTION("IF(D777="""","""",IFERROR(TRANSPOSE(FILTER('Validaciones Cotizador'!U:U,'Validaciones Cotizador'!O:O=D777,'Validaciones Cotizador'!T:T=""x"")),""Finalizar""))"),"")</f>
        <v/>
      </c>
    </row>
    <row r="778">
      <c r="A778" s="2" t="str">
        <f t="array" ref="A778">IF(E778="","",XLOOKUP(D778,'Validaciones Cotizador'!C:C,'Validaciones Cotizador'!A:A,"",0,1))</f>
        <v/>
      </c>
      <c r="B778" s="2" t="str">
        <f t="array" ref="B778">IF(F778="","",XLOOKUP(F778,Productos!E:E,Productos!G:G,"",0,1))</f>
        <v/>
      </c>
      <c r="C778" s="2" t="str">
        <f>IF(A778="","",SUMIFS('Validaciones Cotizador'!B:B,'Validaciones Cotizador'!C:C,D778,'Validaciones Cotizador'!A:A,A778))</f>
        <v/>
      </c>
      <c r="D778" s="4" t="str">
        <f>IFERROR(__xludf.DUMMYFUNCTION("IF(OR(F777=""Finalizar"",F777="""",F777=""Selecciona..""),"""",IF(OR(F777=""-"",INDEX(filter(Familias!F:F,Familias!D:D=A777,Familias!E:E=C777),1)=""O""),D777+1,D777))"),"")</f>
        <v/>
      </c>
      <c r="E778" s="2" t="str">
        <f>IF(OR(F778="",F778="Selecciona.."),"",IF(D778="Implemento",SUMIF(Implementos!B:B,F778,Implementos!A:A),SUMIF(Productos!E:E,F778,Productos!A:A)))</f>
        <v/>
      </c>
      <c r="F778" s="2" t="str">
        <f t="shared" si="2"/>
        <v/>
      </c>
      <c r="G778" s="10" t="str">
        <f t="array" ref="G778">IF(OR(F778="",F778="-",F778="Selecciona..",F778="Finalizar"),"",IF(A778="Rodados",XLOOKUP(B778,'Validaciones Cotizador'!I:I,'Validaciones Cotizador'!J:J,0,0,1),1))</f>
        <v/>
      </c>
      <c r="H778" s="11" t="str">
        <f>IF(OR(F778="",F778="Selecciona.."),"",SUMIF(Precio_Productos!K:K,E778,Precio_Productos!J:J)*G778)</f>
        <v/>
      </c>
      <c r="I778" s="4" t="str">
        <f t="array" ref="I778">IF($E778="","", XLOOKUP(SUMIFS(Prod_Prop!$A:$A,Prod_Prop!$B:$B,$E778,Prod_Prop!$H:$H,I$1,Prod_Prop!$I:$I,"Exacto"),Prod_Prop!$A:$A,Prod_Prop!$J:$J,"",0,1))</f>
        <v/>
      </c>
      <c r="J778" s="4" t="str">
        <f t="array" ref="J778">IF($E778="","", XLOOKUP(SUMIFS(Prod_Prop!$A:$A,Prod_Prop!$B:$B,$E778,Prod_Prop!$H:$H,J$1,Prod_Prop!$I:$I,"Exacto"),Prod_Prop!$A:$A,Prod_Prop!$J:$J,"",0,1))</f>
        <v/>
      </c>
      <c r="K778" s="4" t="str">
        <f t="array" ref="K778">IF($E778="","", XLOOKUP(SUMIFS(Prod_Prop!$A:$A,Prod_Prop!$B:$B,$E778,Prod_Prop!$H:$H,K$1,Prod_Prop!$I:$I,"Exacto"),Prod_Prop!$A:$A,Prod_Prop!$J:$J,"",0,1))</f>
        <v/>
      </c>
      <c r="L778" s="4" t="str">
        <f t="array" ref="L778">IF($E778="","", XLOOKUP(SUMIFS(Prod_Prop!$A:$A,Prod_Prop!$B:$B,$E778,Prod_Prop!$H:$H,L$1,Prod_Prop!$I:$I,"Exacto"),Prod_Prop!$A:$A,Prod_Prop!$J:$J,"",0,1))</f>
        <v/>
      </c>
      <c r="M778" s="4" t="str">
        <f t="array" ref="M778">IF($E778="","", XLOOKUP(SUMIFS(Prod_Prop!$A:$A,Prod_Prop!$B:$B,$E778,Prod_Prop!$H:$H,M$1,Prod_Prop!$I:$I,"Exacto"),Prod_Prop!$A:$A,Prod_Prop!$J:$J,"",0,1))</f>
        <v/>
      </c>
      <c r="N778" s="4" t="str">
        <f t="array" ref="N778">IF($E778="","", XLOOKUP(SUMIFS(Prod_Prop!$A:$A,Prod_Prop!$B:$B,$E778,Prod_Prop!$H:$H,N$1,Prod_Prop!$I:$I,"Exacto"),Prod_Prop!$A:$A,Prod_Prop!$J:$J,"",0,1))</f>
        <v/>
      </c>
      <c r="O778" s="4" t="str">
        <f t="array" ref="O778">IF($E778="","", XLOOKUP(SUMIFS(Prod_Prop!$A:$A,Prod_Prop!$B:$B,$E778,Prod_Prop!$H:$H,O$1,Prod_Prop!$I:$I,"Exacto"),Prod_Prop!$A:$A,Prod_Prop!$J:$J,"",0,1))</f>
        <v/>
      </c>
      <c r="P778" s="4" t="str">
        <f t="array" ref="P778">IF($E778="","", XLOOKUP(SUMIFS(Prod_Prop!$A:$A,Prod_Prop!$B:$B,$E778,Prod_Prop!$H:$H,P$1,Prod_Prop!$I:$I,"Exacto"),Prod_Prop!$A:$A,Prod_Prop!$J:$J,"",0,1))</f>
        <v/>
      </c>
      <c r="Q778" s="4" t="str">
        <f t="array" ref="Q778">IF($E778="","", XLOOKUP(SUMIFS(Prod_Prop!$A:$A,Prod_Prop!$B:$B,$E778,Prod_Prop!$H:$H,Q$1,Prod_Prop!$I:$I,"Exacto"),Prod_Prop!$A:$A,Prod_Prop!$J:$J,"",0,1))</f>
        <v/>
      </c>
      <c r="R778" s="4" t="str">
        <f t="array" ref="R778">IF($E778="","", XLOOKUP(SUMIFS(Prod_Prop!$A:$A,Prod_Prop!$B:$B,$E778,Prod_Prop!$H:$H,R$1,Prod_Prop!$I:$I,"Exacto"),Prod_Prop!$A:$A,Prod_Prop!$J:$J,"",0,1))</f>
        <v/>
      </c>
      <c r="S778" s="4" t="str">
        <f t="array" ref="S778">IF($E778="","", XLOOKUP(SUMIFS(Prod_Prop!$A:$A,Prod_Prop!$B:$B,$E778,Prod_Prop!$H:$H,S$1,Prod_Prop!$I:$I,"Exacto"),Prod_Prop!$A:$A,Prod_Prop!$J:$J,"",0,1))</f>
        <v/>
      </c>
      <c r="T778" s="4" t="str">
        <f t="array" ref="T778">IF($E778="","", XLOOKUP(SUMIFS(Prod_Prop!$A:$A,Prod_Prop!$B:$B,$E778,Prod_Prop!$H:$H,T$1,Prod_Prop!$I:$I,"Exacto"),Prod_Prop!$A:$A,Prod_Prop!$J:$J,"",0,1))</f>
        <v/>
      </c>
      <c r="U778" s="4" t="str">
        <f t="array" ref="U778">IF($E778="","", XLOOKUP(SUMIFS(Prod_Prop!$A:$A,Prod_Prop!$B:$B,$E778,Prod_Prop!$H:$H,U$1,Prod_Prop!$I:$I,"Exacto"),Prod_Prop!$A:$A,Prod_Prop!$J:$J,"",0,1))</f>
        <v/>
      </c>
      <c r="V778" s="4" t="str">
        <f t="array" ref="V778">IF($E778="","", XLOOKUP(SUMIFS(Prod_Prop!$A:$A,Prod_Prop!$B:$B,$E778,Prod_Prop!$H:$H,V$1,Prod_Prop!$I:$I,"Exacto"),Prod_Prop!$A:$A,Prod_Prop!$J:$J,"",0,1))</f>
        <v/>
      </c>
      <c r="X778" s="3" t="str">
        <f>IFERROR(__xludf.DUMMYFUNCTION("IF(D778="""","""",IFERROR(TRANSPOSE(FILTER('Validaciones Cotizador'!U:U,'Validaciones Cotizador'!O:O=D778,'Validaciones Cotizador'!T:T=""x"")),""Finalizar""))"),"")</f>
        <v/>
      </c>
    </row>
    <row r="779">
      <c r="A779" s="2" t="str">
        <f t="array" ref="A779">IF(E779="","",XLOOKUP(D779,'Validaciones Cotizador'!C:C,'Validaciones Cotizador'!A:A,"",0,1))</f>
        <v/>
      </c>
      <c r="B779" s="2" t="str">
        <f t="array" ref="B779">IF(F779="","",XLOOKUP(F779,Productos!E:E,Productos!G:G,"",0,1))</f>
        <v/>
      </c>
      <c r="C779" s="2" t="str">
        <f>IF(A779="","",SUMIFS('Validaciones Cotizador'!B:B,'Validaciones Cotizador'!C:C,D779,'Validaciones Cotizador'!A:A,A779))</f>
        <v/>
      </c>
      <c r="D779" s="4" t="str">
        <f>IFERROR(__xludf.DUMMYFUNCTION("IF(OR(F778=""Finalizar"",F778="""",F778=""Selecciona..""),"""",IF(OR(F778=""-"",INDEX(filter(Familias!F:F,Familias!D:D=A778,Familias!E:E=C778),1)=""O""),D778+1,D778))"),"")</f>
        <v/>
      </c>
      <c r="E779" s="2" t="str">
        <f>IF(OR(F779="",F779="Selecciona.."),"",IF(D779="Implemento",SUMIF(Implementos!B:B,F779,Implementos!A:A),SUMIF(Productos!E:E,F779,Productos!A:A)))</f>
        <v/>
      </c>
      <c r="F779" s="2" t="str">
        <f t="shared" si="2"/>
        <v/>
      </c>
      <c r="G779" s="10" t="str">
        <f t="array" ref="G779">IF(OR(F779="",F779="-",F779="Selecciona..",F779="Finalizar"),"",IF(A779="Rodados",XLOOKUP(B779,'Validaciones Cotizador'!I:I,'Validaciones Cotizador'!J:J,0,0,1),1))</f>
        <v/>
      </c>
      <c r="H779" s="11" t="str">
        <f>IF(OR(F779="",F779="Selecciona.."),"",SUMIF(Precio_Productos!K:K,E779,Precio_Productos!J:J)*G779)</f>
        <v/>
      </c>
      <c r="I779" s="4" t="str">
        <f t="array" ref="I779">IF($E779="","", XLOOKUP(SUMIFS(Prod_Prop!$A:$A,Prod_Prop!$B:$B,$E779,Prod_Prop!$H:$H,I$1,Prod_Prop!$I:$I,"Exacto"),Prod_Prop!$A:$A,Prod_Prop!$J:$J,"",0,1))</f>
        <v/>
      </c>
      <c r="J779" s="4" t="str">
        <f t="array" ref="J779">IF($E779="","", XLOOKUP(SUMIFS(Prod_Prop!$A:$A,Prod_Prop!$B:$B,$E779,Prod_Prop!$H:$H,J$1,Prod_Prop!$I:$I,"Exacto"),Prod_Prop!$A:$A,Prod_Prop!$J:$J,"",0,1))</f>
        <v/>
      </c>
      <c r="K779" s="4" t="str">
        <f t="array" ref="K779">IF($E779="","", XLOOKUP(SUMIFS(Prod_Prop!$A:$A,Prod_Prop!$B:$B,$E779,Prod_Prop!$H:$H,K$1,Prod_Prop!$I:$I,"Exacto"),Prod_Prop!$A:$A,Prod_Prop!$J:$J,"",0,1))</f>
        <v/>
      </c>
      <c r="L779" s="4" t="str">
        <f t="array" ref="L779">IF($E779="","", XLOOKUP(SUMIFS(Prod_Prop!$A:$A,Prod_Prop!$B:$B,$E779,Prod_Prop!$H:$H,L$1,Prod_Prop!$I:$I,"Exacto"),Prod_Prop!$A:$A,Prod_Prop!$J:$J,"",0,1))</f>
        <v/>
      </c>
      <c r="M779" s="4" t="str">
        <f t="array" ref="M779">IF($E779="","", XLOOKUP(SUMIFS(Prod_Prop!$A:$A,Prod_Prop!$B:$B,$E779,Prod_Prop!$H:$H,M$1,Prod_Prop!$I:$I,"Exacto"),Prod_Prop!$A:$A,Prod_Prop!$J:$J,"",0,1))</f>
        <v/>
      </c>
      <c r="N779" s="4" t="str">
        <f t="array" ref="N779">IF($E779="","", XLOOKUP(SUMIFS(Prod_Prop!$A:$A,Prod_Prop!$B:$B,$E779,Prod_Prop!$H:$H,N$1,Prod_Prop!$I:$I,"Exacto"),Prod_Prop!$A:$A,Prod_Prop!$J:$J,"",0,1))</f>
        <v/>
      </c>
      <c r="O779" s="4" t="str">
        <f t="array" ref="O779">IF($E779="","", XLOOKUP(SUMIFS(Prod_Prop!$A:$A,Prod_Prop!$B:$B,$E779,Prod_Prop!$H:$H,O$1,Prod_Prop!$I:$I,"Exacto"),Prod_Prop!$A:$A,Prod_Prop!$J:$J,"",0,1))</f>
        <v/>
      </c>
      <c r="P779" s="4" t="str">
        <f t="array" ref="P779">IF($E779="","", XLOOKUP(SUMIFS(Prod_Prop!$A:$A,Prod_Prop!$B:$B,$E779,Prod_Prop!$H:$H,P$1,Prod_Prop!$I:$I,"Exacto"),Prod_Prop!$A:$A,Prod_Prop!$J:$J,"",0,1))</f>
        <v/>
      </c>
      <c r="Q779" s="4" t="str">
        <f t="array" ref="Q779">IF($E779="","", XLOOKUP(SUMIFS(Prod_Prop!$A:$A,Prod_Prop!$B:$B,$E779,Prod_Prop!$H:$H,Q$1,Prod_Prop!$I:$I,"Exacto"),Prod_Prop!$A:$A,Prod_Prop!$J:$J,"",0,1))</f>
        <v/>
      </c>
      <c r="R779" s="4" t="str">
        <f t="array" ref="R779">IF($E779="","", XLOOKUP(SUMIFS(Prod_Prop!$A:$A,Prod_Prop!$B:$B,$E779,Prod_Prop!$H:$H,R$1,Prod_Prop!$I:$I,"Exacto"),Prod_Prop!$A:$A,Prod_Prop!$J:$J,"",0,1))</f>
        <v/>
      </c>
      <c r="S779" s="4" t="str">
        <f t="array" ref="S779">IF($E779="","", XLOOKUP(SUMIFS(Prod_Prop!$A:$A,Prod_Prop!$B:$B,$E779,Prod_Prop!$H:$H,S$1,Prod_Prop!$I:$I,"Exacto"),Prod_Prop!$A:$A,Prod_Prop!$J:$J,"",0,1))</f>
        <v/>
      </c>
      <c r="T779" s="4" t="str">
        <f t="array" ref="T779">IF($E779="","", XLOOKUP(SUMIFS(Prod_Prop!$A:$A,Prod_Prop!$B:$B,$E779,Prod_Prop!$H:$H,T$1,Prod_Prop!$I:$I,"Exacto"),Prod_Prop!$A:$A,Prod_Prop!$J:$J,"",0,1))</f>
        <v/>
      </c>
      <c r="U779" s="4" t="str">
        <f t="array" ref="U779">IF($E779="","", XLOOKUP(SUMIFS(Prod_Prop!$A:$A,Prod_Prop!$B:$B,$E779,Prod_Prop!$H:$H,U$1,Prod_Prop!$I:$I,"Exacto"),Prod_Prop!$A:$A,Prod_Prop!$J:$J,"",0,1))</f>
        <v/>
      </c>
      <c r="V779" s="4" t="str">
        <f t="array" ref="V779">IF($E779="","", XLOOKUP(SUMIFS(Prod_Prop!$A:$A,Prod_Prop!$B:$B,$E779,Prod_Prop!$H:$H,V$1,Prod_Prop!$I:$I,"Exacto"),Prod_Prop!$A:$A,Prod_Prop!$J:$J,"",0,1))</f>
        <v/>
      </c>
      <c r="X779" s="3" t="str">
        <f>IFERROR(__xludf.DUMMYFUNCTION("IF(D779="""","""",IFERROR(TRANSPOSE(FILTER('Validaciones Cotizador'!U:U,'Validaciones Cotizador'!O:O=D779,'Validaciones Cotizador'!T:T=""x"")),""Finalizar""))"),"")</f>
        <v/>
      </c>
    </row>
    <row r="780">
      <c r="A780" s="2" t="str">
        <f t="array" ref="A780">IF(E780="","",XLOOKUP(D780,'Validaciones Cotizador'!C:C,'Validaciones Cotizador'!A:A,"",0,1))</f>
        <v/>
      </c>
      <c r="B780" s="2" t="str">
        <f t="array" ref="B780">IF(F780="","",XLOOKUP(F780,Productos!E:E,Productos!G:G,"",0,1))</f>
        <v/>
      </c>
      <c r="C780" s="2" t="str">
        <f>IF(A780="","",SUMIFS('Validaciones Cotizador'!B:B,'Validaciones Cotizador'!C:C,D780,'Validaciones Cotizador'!A:A,A780))</f>
        <v/>
      </c>
      <c r="D780" s="4" t="str">
        <f>IFERROR(__xludf.DUMMYFUNCTION("IF(OR(F779=""Finalizar"",F779="""",F779=""Selecciona..""),"""",IF(OR(F779=""-"",INDEX(filter(Familias!F:F,Familias!D:D=A779,Familias!E:E=C779),1)=""O""),D779+1,D779))"),"")</f>
        <v/>
      </c>
      <c r="E780" s="2" t="str">
        <f>IF(OR(F780="",F780="Selecciona.."),"",IF(D780="Implemento",SUMIF(Implementos!B:B,F780,Implementos!A:A),SUMIF(Productos!E:E,F780,Productos!A:A)))</f>
        <v/>
      </c>
      <c r="F780" s="2" t="str">
        <f t="shared" si="2"/>
        <v/>
      </c>
      <c r="G780" s="10" t="str">
        <f t="array" ref="G780">IF(OR(F780="",F780="-",F780="Selecciona..",F780="Finalizar"),"",IF(A780="Rodados",XLOOKUP(B780,'Validaciones Cotizador'!I:I,'Validaciones Cotizador'!J:J,0,0,1),1))</f>
        <v/>
      </c>
      <c r="H780" s="11" t="str">
        <f>IF(OR(F780="",F780="Selecciona.."),"",SUMIF(Precio_Productos!K:K,E780,Precio_Productos!J:J)*G780)</f>
        <v/>
      </c>
      <c r="I780" s="4" t="str">
        <f t="array" ref="I780">IF($E780="","", XLOOKUP(SUMIFS(Prod_Prop!$A:$A,Prod_Prop!$B:$B,$E780,Prod_Prop!$H:$H,I$1,Prod_Prop!$I:$I,"Exacto"),Prod_Prop!$A:$A,Prod_Prop!$J:$J,"",0,1))</f>
        <v/>
      </c>
      <c r="J780" s="4" t="str">
        <f t="array" ref="J780">IF($E780="","", XLOOKUP(SUMIFS(Prod_Prop!$A:$A,Prod_Prop!$B:$B,$E780,Prod_Prop!$H:$H,J$1,Prod_Prop!$I:$I,"Exacto"),Prod_Prop!$A:$A,Prod_Prop!$J:$J,"",0,1))</f>
        <v/>
      </c>
      <c r="K780" s="4" t="str">
        <f t="array" ref="K780">IF($E780="","", XLOOKUP(SUMIFS(Prod_Prop!$A:$A,Prod_Prop!$B:$B,$E780,Prod_Prop!$H:$H,K$1,Prod_Prop!$I:$I,"Exacto"),Prod_Prop!$A:$A,Prod_Prop!$J:$J,"",0,1))</f>
        <v/>
      </c>
      <c r="L780" s="4" t="str">
        <f t="array" ref="L780">IF($E780="","", XLOOKUP(SUMIFS(Prod_Prop!$A:$A,Prod_Prop!$B:$B,$E780,Prod_Prop!$H:$H,L$1,Prod_Prop!$I:$I,"Exacto"),Prod_Prop!$A:$A,Prod_Prop!$J:$J,"",0,1))</f>
        <v/>
      </c>
      <c r="M780" s="4" t="str">
        <f t="array" ref="M780">IF($E780="","", XLOOKUP(SUMIFS(Prod_Prop!$A:$A,Prod_Prop!$B:$B,$E780,Prod_Prop!$H:$H,M$1,Prod_Prop!$I:$I,"Exacto"),Prod_Prop!$A:$A,Prod_Prop!$J:$J,"",0,1))</f>
        <v/>
      </c>
      <c r="N780" s="4" t="str">
        <f t="array" ref="N780">IF($E780="","", XLOOKUP(SUMIFS(Prod_Prop!$A:$A,Prod_Prop!$B:$B,$E780,Prod_Prop!$H:$H,N$1,Prod_Prop!$I:$I,"Exacto"),Prod_Prop!$A:$A,Prod_Prop!$J:$J,"",0,1))</f>
        <v/>
      </c>
      <c r="O780" s="4" t="str">
        <f t="array" ref="O780">IF($E780="","", XLOOKUP(SUMIFS(Prod_Prop!$A:$A,Prod_Prop!$B:$B,$E780,Prod_Prop!$H:$H,O$1,Prod_Prop!$I:$I,"Exacto"),Prod_Prop!$A:$A,Prod_Prop!$J:$J,"",0,1))</f>
        <v/>
      </c>
      <c r="P780" s="4" t="str">
        <f t="array" ref="P780">IF($E780="","", XLOOKUP(SUMIFS(Prod_Prop!$A:$A,Prod_Prop!$B:$B,$E780,Prod_Prop!$H:$H,P$1,Prod_Prop!$I:$I,"Exacto"),Prod_Prop!$A:$A,Prod_Prop!$J:$J,"",0,1))</f>
        <v/>
      </c>
      <c r="Q780" s="4" t="str">
        <f t="array" ref="Q780">IF($E780="","", XLOOKUP(SUMIFS(Prod_Prop!$A:$A,Prod_Prop!$B:$B,$E780,Prod_Prop!$H:$H,Q$1,Prod_Prop!$I:$I,"Exacto"),Prod_Prop!$A:$A,Prod_Prop!$J:$J,"",0,1))</f>
        <v/>
      </c>
      <c r="R780" s="4" t="str">
        <f t="array" ref="R780">IF($E780="","", XLOOKUP(SUMIFS(Prod_Prop!$A:$A,Prod_Prop!$B:$B,$E780,Prod_Prop!$H:$H,R$1,Prod_Prop!$I:$I,"Exacto"),Prod_Prop!$A:$A,Prod_Prop!$J:$J,"",0,1))</f>
        <v/>
      </c>
      <c r="S780" s="4" t="str">
        <f t="array" ref="S780">IF($E780="","", XLOOKUP(SUMIFS(Prod_Prop!$A:$A,Prod_Prop!$B:$B,$E780,Prod_Prop!$H:$H,S$1,Prod_Prop!$I:$I,"Exacto"),Prod_Prop!$A:$A,Prod_Prop!$J:$J,"",0,1))</f>
        <v/>
      </c>
      <c r="T780" s="4" t="str">
        <f t="array" ref="T780">IF($E780="","", XLOOKUP(SUMIFS(Prod_Prop!$A:$A,Prod_Prop!$B:$B,$E780,Prod_Prop!$H:$H,T$1,Prod_Prop!$I:$I,"Exacto"),Prod_Prop!$A:$A,Prod_Prop!$J:$J,"",0,1))</f>
        <v/>
      </c>
      <c r="U780" s="4" t="str">
        <f t="array" ref="U780">IF($E780="","", XLOOKUP(SUMIFS(Prod_Prop!$A:$A,Prod_Prop!$B:$B,$E780,Prod_Prop!$H:$H,U$1,Prod_Prop!$I:$I,"Exacto"),Prod_Prop!$A:$A,Prod_Prop!$J:$J,"",0,1))</f>
        <v/>
      </c>
      <c r="V780" s="4" t="str">
        <f t="array" ref="V780">IF($E780="","", XLOOKUP(SUMIFS(Prod_Prop!$A:$A,Prod_Prop!$B:$B,$E780,Prod_Prop!$H:$H,V$1,Prod_Prop!$I:$I,"Exacto"),Prod_Prop!$A:$A,Prod_Prop!$J:$J,"",0,1))</f>
        <v/>
      </c>
      <c r="X780" s="3" t="str">
        <f>IFERROR(__xludf.DUMMYFUNCTION("IF(D780="""","""",IFERROR(TRANSPOSE(FILTER('Validaciones Cotizador'!U:U,'Validaciones Cotizador'!O:O=D780,'Validaciones Cotizador'!T:T=""x"")),""Finalizar""))"),"")</f>
        <v/>
      </c>
    </row>
    <row r="781">
      <c r="A781" s="2" t="str">
        <f t="array" ref="A781">IF(E781="","",XLOOKUP(D781,'Validaciones Cotizador'!C:C,'Validaciones Cotizador'!A:A,"",0,1))</f>
        <v/>
      </c>
      <c r="B781" s="2" t="str">
        <f t="array" ref="B781">IF(F781="","",XLOOKUP(F781,Productos!E:E,Productos!G:G,"",0,1))</f>
        <v/>
      </c>
      <c r="C781" s="2" t="str">
        <f>IF(A781="","",SUMIFS('Validaciones Cotizador'!B:B,'Validaciones Cotizador'!C:C,D781,'Validaciones Cotizador'!A:A,A781))</f>
        <v/>
      </c>
      <c r="D781" s="4" t="str">
        <f>IFERROR(__xludf.DUMMYFUNCTION("IF(OR(F780=""Finalizar"",F780="""",F780=""Selecciona..""),"""",IF(OR(F780=""-"",INDEX(filter(Familias!F:F,Familias!D:D=A780,Familias!E:E=C780),1)=""O""),D780+1,D780))"),"")</f>
        <v/>
      </c>
      <c r="E781" s="2" t="str">
        <f>IF(OR(F781="",F781="Selecciona.."),"",IF(D781="Implemento",SUMIF(Implementos!B:B,F781,Implementos!A:A),SUMIF(Productos!E:E,F781,Productos!A:A)))</f>
        <v/>
      </c>
      <c r="F781" s="2" t="str">
        <f t="shared" si="2"/>
        <v/>
      </c>
      <c r="G781" s="10" t="str">
        <f t="array" ref="G781">IF(OR(F781="",F781="-",F781="Selecciona..",F781="Finalizar"),"",IF(A781="Rodados",XLOOKUP(B781,'Validaciones Cotizador'!I:I,'Validaciones Cotizador'!J:J,0,0,1),1))</f>
        <v/>
      </c>
      <c r="H781" s="11" t="str">
        <f>IF(OR(F781="",F781="Selecciona.."),"",SUMIF(Precio_Productos!K:K,E781,Precio_Productos!J:J)*G781)</f>
        <v/>
      </c>
      <c r="I781" s="4" t="str">
        <f t="array" ref="I781">IF($E781="","", XLOOKUP(SUMIFS(Prod_Prop!$A:$A,Prod_Prop!$B:$B,$E781,Prod_Prop!$H:$H,I$1,Prod_Prop!$I:$I,"Exacto"),Prod_Prop!$A:$A,Prod_Prop!$J:$J,"",0,1))</f>
        <v/>
      </c>
      <c r="J781" s="4" t="str">
        <f t="array" ref="J781">IF($E781="","", XLOOKUP(SUMIFS(Prod_Prop!$A:$A,Prod_Prop!$B:$B,$E781,Prod_Prop!$H:$H,J$1,Prod_Prop!$I:$I,"Exacto"),Prod_Prop!$A:$A,Prod_Prop!$J:$J,"",0,1))</f>
        <v/>
      </c>
      <c r="K781" s="4" t="str">
        <f t="array" ref="K781">IF($E781="","", XLOOKUP(SUMIFS(Prod_Prop!$A:$A,Prod_Prop!$B:$B,$E781,Prod_Prop!$H:$H,K$1,Prod_Prop!$I:$I,"Exacto"),Prod_Prop!$A:$A,Prod_Prop!$J:$J,"",0,1))</f>
        <v/>
      </c>
      <c r="L781" s="4" t="str">
        <f t="array" ref="L781">IF($E781="","", XLOOKUP(SUMIFS(Prod_Prop!$A:$A,Prod_Prop!$B:$B,$E781,Prod_Prop!$H:$H,L$1,Prod_Prop!$I:$I,"Exacto"),Prod_Prop!$A:$A,Prod_Prop!$J:$J,"",0,1))</f>
        <v/>
      </c>
      <c r="M781" s="4" t="str">
        <f t="array" ref="M781">IF($E781="","", XLOOKUP(SUMIFS(Prod_Prop!$A:$A,Prod_Prop!$B:$B,$E781,Prod_Prop!$H:$H,M$1,Prod_Prop!$I:$I,"Exacto"),Prod_Prop!$A:$A,Prod_Prop!$J:$J,"",0,1))</f>
        <v/>
      </c>
      <c r="N781" s="4" t="str">
        <f t="array" ref="N781">IF($E781="","", XLOOKUP(SUMIFS(Prod_Prop!$A:$A,Prod_Prop!$B:$B,$E781,Prod_Prop!$H:$H,N$1,Prod_Prop!$I:$I,"Exacto"),Prod_Prop!$A:$A,Prod_Prop!$J:$J,"",0,1))</f>
        <v/>
      </c>
      <c r="O781" s="4" t="str">
        <f t="array" ref="O781">IF($E781="","", XLOOKUP(SUMIFS(Prod_Prop!$A:$A,Prod_Prop!$B:$B,$E781,Prod_Prop!$H:$H,O$1,Prod_Prop!$I:$I,"Exacto"),Prod_Prop!$A:$A,Prod_Prop!$J:$J,"",0,1))</f>
        <v/>
      </c>
      <c r="P781" s="4" t="str">
        <f t="array" ref="P781">IF($E781="","", XLOOKUP(SUMIFS(Prod_Prop!$A:$A,Prod_Prop!$B:$B,$E781,Prod_Prop!$H:$H,P$1,Prod_Prop!$I:$I,"Exacto"),Prod_Prop!$A:$A,Prod_Prop!$J:$J,"",0,1))</f>
        <v/>
      </c>
      <c r="Q781" s="4" t="str">
        <f t="array" ref="Q781">IF($E781="","", XLOOKUP(SUMIFS(Prod_Prop!$A:$A,Prod_Prop!$B:$B,$E781,Prod_Prop!$H:$H,Q$1,Prod_Prop!$I:$I,"Exacto"),Prod_Prop!$A:$A,Prod_Prop!$J:$J,"",0,1))</f>
        <v/>
      </c>
      <c r="R781" s="4" t="str">
        <f t="array" ref="R781">IF($E781="","", XLOOKUP(SUMIFS(Prod_Prop!$A:$A,Prod_Prop!$B:$B,$E781,Prod_Prop!$H:$H,R$1,Prod_Prop!$I:$I,"Exacto"),Prod_Prop!$A:$A,Prod_Prop!$J:$J,"",0,1))</f>
        <v/>
      </c>
      <c r="S781" s="4" t="str">
        <f t="array" ref="S781">IF($E781="","", XLOOKUP(SUMIFS(Prod_Prop!$A:$A,Prod_Prop!$B:$B,$E781,Prod_Prop!$H:$H,S$1,Prod_Prop!$I:$I,"Exacto"),Prod_Prop!$A:$A,Prod_Prop!$J:$J,"",0,1))</f>
        <v/>
      </c>
      <c r="T781" s="4" t="str">
        <f t="array" ref="T781">IF($E781="","", XLOOKUP(SUMIFS(Prod_Prop!$A:$A,Prod_Prop!$B:$B,$E781,Prod_Prop!$H:$H,T$1,Prod_Prop!$I:$I,"Exacto"),Prod_Prop!$A:$A,Prod_Prop!$J:$J,"",0,1))</f>
        <v/>
      </c>
      <c r="U781" s="4" t="str">
        <f t="array" ref="U781">IF($E781="","", XLOOKUP(SUMIFS(Prod_Prop!$A:$A,Prod_Prop!$B:$B,$E781,Prod_Prop!$H:$H,U$1,Prod_Prop!$I:$I,"Exacto"),Prod_Prop!$A:$A,Prod_Prop!$J:$J,"",0,1))</f>
        <v/>
      </c>
      <c r="V781" s="4" t="str">
        <f t="array" ref="V781">IF($E781="","", XLOOKUP(SUMIFS(Prod_Prop!$A:$A,Prod_Prop!$B:$B,$E781,Prod_Prop!$H:$H,V$1,Prod_Prop!$I:$I,"Exacto"),Prod_Prop!$A:$A,Prod_Prop!$J:$J,"",0,1))</f>
        <v/>
      </c>
      <c r="X781" s="3" t="str">
        <f>IFERROR(__xludf.DUMMYFUNCTION("IF(D781="""","""",IFERROR(TRANSPOSE(FILTER('Validaciones Cotizador'!U:U,'Validaciones Cotizador'!O:O=D781,'Validaciones Cotizador'!T:T=""x"")),""Finalizar""))"),"")</f>
        <v/>
      </c>
    </row>
    <row r="782">
      <c r="A782" s="2" t="str">
        <f t="array" ref="A782">IF(E782="","",XLOOKUP(D782,'Validaciones Cotizador'!C:C,'Validaciones Cotizador'!A:A,"",0,1))</f>
        <v/>
      </c>
      <c r="B782" s="2" t="str">
        <f t="array" ref="B782">IF(F782="","",XLOOKUP(F782,Productos!E:E,Productos!G:G,"",0,1))</f>
        <v/>
      </c>
      <c r="C782" s="2" t="str">
        <f>IF(A782="","",SUMIFS('Validaciones Cotizador'!B:B,'Validaciones Cotizador'!C:C,D782,'Validaciones Cotizador'!A:A,A782))</f>
        <v/>
      </c>
      <c r="D782" s="4" t="str">
        <f>IFERROR(__xludf.DUMMYFUNCTION("IF(OR(F781=""Finalizar"",F781="""",F781=""Selecciona..""),"""",IF(OR(F781=""-"",INDEX(filter(Familias!F:F,Familias!D:D=A781,Familias!E:E=C781),1)=""O""),D781+1,D781))"),"")</f>
        <v/>
      </c>
      <c r="E782" s="2" t="str">
        <f>IF(OR(F782="",F782="Selecciona.."),"",IF(D782="Implemento",SUMIF(Implementos!B:B,F782,Implementos!A:A),SUMIF(Productos!E:E,F782,Productos!A:A)))</f>
        <v/>
      </c>
      <c r="F782" s="2" t="str">
        <f t="shared" si="2"/>
        <v/>
      </c>
      <c r="G782" s="10" t="str">
        <f t="array" ref="G782">IF(OR(F782="",F782="-",F782="Selecciona..",F782="Finalizar"),"",IF(A782="Rodados",XLOOKUP(B782,'Validaciones Cotizador'!I:I,'Validaciones Cotizador'!J:J,0,0,1),1))</f>
        <v/>
      </c>
      <c r="H782" s="11" t="str">
        <f>IF(OR(F782="",F782="Selecciona.."),"",SUMIF(Precio_Productos!K:K,E782,Precio_Productos!J:J)*G782)</f>
        <v/>
      </c>
      <c r="I782" s="4" t="str">
        <f t="array" ref="I782">IF($E782="","", XLOOKUP(SUMIFS(Prod_Prop!$A:$A,Prod_Prop!$B:$B,$E782,Prod_Prop!$H:$H,I$1,Prod_Prop!$I:$I,"Exacto"),Prod_Prop!$A:$A,Prod_Prop!$J:$J,"",0,1))</f>
        <v/>
      </c>
      <c r="J782" s="4" t="str">
        <f t="array" ref="J782">IF($E782="","", XLOOKUP(SUMIFS(Prod_Prop!$A:$A,Prod_Prop!$B:$B,$E782,Prod_Prop!$H:$H,J$1,Prod_Prop!$I:$I,"Exacto"),Prod_Prop!$A:$A,Prod_Prop!$J:$J,"",0,1))</f>
        <v/>
      </c>
      <c r="K782" s="4" t="str">
        <f t="array" ref="K782">IF($E782="","", XLOOKUP(SUMIFS(Prod_Prop!$A:$A,Prod_Prop!$B:$B,$E782,Prod_Prop!$H:$H,K$1,Prod_Prop!$I:$I,"Exacto"),Prod_Prop!$A:$A,Prod_Prop!$J:$J,"",0,1))</f>
        <v/>
      </c>
      <c r="L782" s="4" t="str">
        <f t="array" ref="L782">IF($E782="","", XLOOKUP(SUMIFS(Prod_Prop!$A:$A,Prod_Prop!$B:$B,$E782,Prod_Prop!$H:$H,L$1,Prod_Prop!$I:$I,"Exacto"),Prod_Prop!$A:$A,Prod_Prop!$J:$J,"",0,1))</f>
        <v/>
      </c>
      <c r="M782" s="4" t="str">
        <f t="array" ref="M782">IF($E782="","", XLOOKUP(SUMIFS(Prod_Prop!$A:$A,Prod_Prop!$B:$B,$E782,Prod_Prop!$H:$H,M$1,Prod_Prop!$I:$I,"Exacto"),Prod_Prop!$A:$A,Prod_Prop!$J:$J,"",0,1))</f>
        <v/>
      </c>
      <c r="N782" s="4" t="str">
        <f t="array" ref="N782">IF($E782="","", XLOOKUP(SUMIFS(Prod_Prop!$A:$A,Prod_Prop!$B:$B,$E782,Prod_Prop!$H:$H,N$1,Prod_Prop!$I:$I,"Exacto"),Prod_Prop!$A:$A,Prod_Prop!$J:$J,"",0,1))</f>
        <v/>
      </c>
      <c r="O782" s="4" t="str">
        <f t="array" ref="O782">IF($E782="","", XLOOKUP(SUMIFS(Prod_Prop!$A:$A,Prod_Prop!$B:$B,$E782,Prod_Prop!$H:$H,O$1,Prod_Prop!$I:$I,"Exacto"),Prod_Prop!$A:$A,Prod_Prop!$J:$J,"",0,1))</f>
        <v/>
      </c>
      <c r="P782" s="4" t="str">
        <f t="array" ref="P782">IF($E782="","", XLOOKUP(SUMIFS(Prod_Prop!$A:$A,Prod_Prop!$B:$B,$E782,Prod_Prop!$H:$H,P$1,Prod_Prop!$I:$I,"Exacto"),Prod_Prop!$A:$A,Prod_Prop!$J:$J,"",0,1))</f>
        <v/>
      </c>
      <c r="Q782" s="4" t="str">
        <f t="array" ref="Q782">IF($E782="","", XLOOKUP(SUMIFS(Prod_Prop!$A:$A,Prod_Prop!$B:$B,$E782,Prod_Prop!$H:$H,Q$1,Prod_Prop!$I:$I,"Exacto"),Prod_Prop!$A:$A,Prod_Prop!$J:$J,"",0,1))</f>
        <v/>
      </c>
      <c r="R782" s="4" t="str">
        <f t="array" ref="R782">IF($E782="","", XLOOKUP(SUMIFS(Prod_Prop!$A:$A,Prod_Prop!$B:$B,$E782,Prod_Prop!$H:$H,R$1,Prod_Prop!$I:$I,"Exacto"),Prod_Prop!$A:$A,Prod_Prop!$J:$J,"",0,1))</f>
        <v/>
      </c>
      <c r="S782" s="4" t="str">
        <f t="array" ref="S782">IF($E782="","", XLOOKUP(SUMIFS(Prod_Prop!$A:$A,Prod_Prop!$B:$B,$E782,Prod_Prop!$H:$H,S$1,Prod_Prop!$I:$I,"Exacto"),Prod_Prop!$A:$A,Prod_Prop!$J:$J,"",0,1))</f>
        <v/>
      </c>
      <c r="T782" s="4" t="str">
        <f t="array" ref="T782">IF($E782="","", XLOOKUP(SUMIFS(Prod_Prop!$A:$A,Prod_Prop!$B:$B,$E782,Prod_Prop!$H:$H,T$1,Prod_Prop!$I:$I,"Exacto"),Prod_Prop!$A:$A,Prod_Prop!$J:$J,"",0,1))</f>
        <v/>
      </c>
      <c r="U782" s="4" t="str">
        <f t="array" ref="U782">IF($E782="","", XLOOKUP(SUMIFS(Prod_Prop!$A:$A,Prod_Prop!$B:$B,$E782,Prod_Prop!$H:$H,U$1,Prod_Prop!$I:$I,"Exacto"),Prod_Prop!$A:$A,Prod_Prop!$J:$J,"",0,1))</f>
        <v/>
      </c>
      <c r="V782" s="4" t="str">
        <f t="array" ref="V782">IF($E782="","", XLOOKUP(SUMIFS(Prod_Prop!$A:$A,Prod_Prop!$B:$B,$E782,Prod_Prop!$H:$H,V$1,Prod_Prop!$I:$I,"Exacto"),Prod_Prop!$A:$A,Prod_Prop!$J:$J,"",0,1))</f>
        <v/>
      </c>
      <c r="X782" s="3" t="str">
        <f>IFERROR(__xludf.DUMMYFUNCTION("IF(D782="""","""",IFERROR(TRANSPOSE(FILTER('Validaciones Cotizador'!U:U,'Validaciones Cotizador'!O:O=D782,'Validaciones Cotizador'!T:T=""x"")),""Finalizar""))"),"")</f>
        <v/>
      </c>
    </row>
    <row r="783">
      <c r="A783" s="2" t="str">
        <f t="array" ref="A783">IF(E783="","",XLOOKUP(D783,'Validaciones Cotizador'!C:C,'Validaciones Cotizador'!A:A,"",0,1))</f>
        <v/>
      </c>
      <c r="B783" s="2" t="str">
        <f t="array" ref="B783">IF(F783="","",XLOOKUP(F783,Productos!E:E,Productos!G:G,"",0,1))</f>
        <v/>
      </c>
      <c r="C783" s="2" t="str">
        <f>IF(A783="","",SUMIFS('Validaciones Cotizador'!B:B,'Validaciones Cotizador'!C:C,D783,'Validaciones Cotizador'!A:A,A783))</f>
        <v/>
      </c>
      <c r="D783" s="4" t="str">
        <f>IFERROR(__xludf.DUMMYFUNCTION("IF(OR(F782=""Finalizar"",F782="""",F782=""Selecciona..""),"""",IF(OR(F782=""-"",INDEX(filter(Familias!F:F,Familias!D:D=A782,Familias!E:E=C782),1)=""O""),D782+1,D782))"),"")</f>
        <v/>
      </c>
      <c r="E783" s="2" t="str">
        <f>IF(OR(F783="",F783="Selecciona.."),"",IF(D783="Implemento",SUMIF(Implementos!B:B,F783,Implementos!A:A),SUMIF(Productos!E:E,F783,Productos!A:A)))</f>
        <v/>
      </c>
      <c r="F783" s="2" t="str">
        <f t="shared" si="2"/>
        <v/>
      </c>
      <c r="G783" s="10" t="str">
        <f t="array" ref="G783">IF(OR(F783="",F783="-",F783="Selecciona..",F783="Finalizar"),"",IF(A783="Rodados",XLOOKUP(B783,'Validaciones Cotizador'!I:I,'Validaciones Cotizador'!J:J,0,0,1),1))</f>
        <v/>
      </c>
      <c r="H783" s="11" t="str">
        <f>IF(OR(F783="",F783="Selecciona.."),"",SUMIF(Precio_Productos!K:K,E783,Precio_Productos!J:J)*G783)</f>
        <v/>
      </c>
      <c r="I783" s="4" t="str">
        <f t="array" ref="I783">IF($E783="","", XLOOKUP(SUMIFS(Prod_Prop!$A:$A,Prod_Prop!$B:$B,$E783,Prod_Prop!$H:$H,I$1,Prod_Prop!$I:$I,"Exacto"),Prod_Prop!$A:$A,Prod_Prop!$J:$J,"",0,1))</f>
        <v/>
      </c>
      <c r="J783" s="4" t="str">
        <f t="array" ref="J783">IF($E783="","", XLOOKUP(SUMIFS(Prod_Prop!$A:$A,Prod_Prop!$B:$B,$E783,Prod_Prop!$H:$H,J$1,Prod_Prop!$I:$I,"Exacto"),Prod_Prop!$A:$A,Prod_Prop!$J:$J,"",0,1))</f>
        <v/>
      </c>
      <c r="K783" s="4" t="str">
        <f t="array" ref="K783">IF($E783="","", XLOOKUP(SUMIFS(Prod_Prop!$A:$A,Prod_Prop!$B:$B,$E783,Prod_Prop!$H:$H,K$1,Prod_Prop!$I:$I,"Exacto"),Prod_Prop!$A:$A,Prod_Prop!$J:$J,"",0,1))</f>
        <v/>
      </c>
      <c r="L783" s="4" t="str">
        <f t="array" ref="L783">IF($E783="","", XLOOKUP(SUMIFS(Prod_Prop!$A:$A,Prod_Prop!$B:$B,$E783,Prod_Prop!$H:$H,L$1,Prod_Prop!$I:$I,"Exacto"),Prod_Prop!$A:$A,Prod_Prop!$J:$J,"",0,1))</f>
        <v/>
      </c>
      <c r="M783" s="4" t="str">
        <f t="array" ref="M783">IF($E783="","", XLOOKUP(SUMIFS(Prod_Prop!$A:$A,Prod_Prop!$B:$B,$E783,Prod_Prop!$H:$H,M$1,Prod_Prop!$I:$I,"Exacto"),Prod_Prop!$A:$A,Prod_Prop!$J:$J,"",0,1))</f>
        <v/>
      </c>
      <c r="N783" s="4" t="str">
        <f t="array" ref="N783">IF($E783="","", XLOOKUP(SUMIFS(Prod_Prop!$A:$A,Prod_Prop!$B:$B,$E783,Prod_Prop!$H:$H,N$1,Prod_Prop!$I:$I,"Exacto"),Prod_Prop!$A:$A,Prod_Prop!$J:$J,"",0,1))</f>
        <v/>
      </c>
      <c r="O783" s="4" t="str">
        <f t="array" ref="O783">IF($E783="","", XLOOKUP(SUMIFS(Prod_Prop!$A:$A,Prod_Prop!$B:$B,$E783,Prod_Prop!$H:$H,O$1,Prod_Prop!$I:$I,"Exacto"),Prod_Prop!$A:$A,Prod_Prop!$J:$J,"",0,1))</f>
        <v/>
      </c>
      <c r="P783" s="4" t="str">
        <f t="array" ref="P783">IF($E783="","", XLOOKUP(SUMIFS(Prod_Prop!$A:$A,Prod_Prop!$B:$B,$E783,Prod_Prop!$H:$H,P$1,Prod_Prop!$I:$I,"Exacto"),Prod_Prop!$A:$A,Prod_Prop!$J:$J,"",0,1))</f>
        <v/>
      </c>
      <c r="Q783" s="4" t="str">
        <f t="array" ref="Q783">IF($E783="","", XLOOKUP(SUMIFS(Prod_Prop!$A:$A,Prod_Prop!$B:$B,$E783,Prod_Prop!$H:$H,Q$1,Prod_Prop!$I:$I,"Exacto"),Prod_Prop!$A:$A,Prod_Prop!$J:$J,"",0,1))</f>
        <v/>
      </c>
      <c r="R783" s="4" t="str">
        <f t="array" ref="R783">IF($E783="","", XLOOKUP(SUMIFS(Prod_Prop!$A:$A,Prod_Prop!$B:$B,$E783,Prod_Prop!$H:$H,R$1,Prod_Prop!$I:$I,"Exacto"),Prod_Prop!$A:$A,Prod_Prop!$J:$J,"",0,1))</f>
        <v/>
      </c>
      <c r="S783" s="4" t="str">
        <f t="array" ref="S783">IF($E783="","", XLOOKUP(SUMIFS(Prod_Prop!$A:$A,Prod_Prop!$B:$B,$E783,Prod_Prop!$H:$H,S$1,Prod_Prop!$I:$I,"Exacto"),Prod_Prop!$A:$A,Prod_Prop!$J:$J,"",0,1))</f>
        <v/>
      </c>
      <c r="T783" s="4" t="str">
        <f t="array" ref="T783">IF($E783="","", XLOOKUP(SUMIFS(Prod_Prop!$A:$A,Prod_Prop!$B:$B,$E783,Prod_Prop!$H:$H,T$1,Prod_Prop!$I:$I,"Exacto"),Prod_Prop!$A:$A,Prod_Prop!$J:$J,"",0,1))</f>
        <v/>
      </c>
      <c r="U783" s="4" t="str">
        <f t="array" ref="U783">IF($E783="","", XLOOKUP(SUMIFS(Prod_Prop!$A:$A,Prod_Prop!$B:$B,$E783,Prod_Prop!$H:$H,U$1,Prod_Prop!$I:$I,"Exacto"),Prod_Prop!$A:$A,Prod_Prop!$J:$J,"",0,1))</f>
        <v/>
      </c>
      <c r="V783" s="4" t="str">
        <f t="array" ref="V783">IF($E783="","", XLOOKUP(SUMIFS(Prod_Prop!$A:$A,Prod_Prop!$B:$B,$E783,Prod_Prop!$H:$H,V$1,Prod_Prop!$I:$I,"Exacto"),Prod_Prop!$A:$A,Prod_Prop!$J:$J,"",0,1))</f>
        <v/>
      </c>
      <c r="X783" s="3" t="str">
        <f>IFERROR(__xludf.DUMMYFUNCTION("IF(D783="""","""",IFERROR(TRANSPOSE(FILTER('Validaciones Cotizador'!U:U,'Validaciones Cotizador'!O:O=D783,'Validaciones Cotizador'!T:T=""x"")),""Finalizar""))"),"")</f>
        <v/>
      </c>
    </row>
    <row r="784">
      <c r="A784" s="2" t="str">
        <f t="array" ref="A784">IF(E784="","",XLOOKUP(D784,'Validaciones Cotizador'!C:C,'Validaciones Cotizador'!A:A,"",0,1))</f>
        <v/>
      </c>
      <c r="B784" s="2" t="str">
        <f t="array" ref="B784">IF(F784="","",XLOOKUP(F784,Productos!E:E,Productos!G:G,"",0,1))</f>
        <v/>
      </c>
      <c r="C784" s="2" t="str">
        <f>IF(A784="","",SUMIFS('Validaciones Cotizador'!B:B,'Validaciones Cotizador'!C:C,D784,'Validaciones Cotizador'!A:A,A784))</f>
        <v/>
      </c>
      <c r="D784" s="4" t="str">
        <f>IFERROR(__xludf.DUMMYFUNCTION("IF(OR(F783=""Finalizar"",F783="""",F783=""Selecciona..""),"""",IF(OR(F783=""-"",INDEX(filter(Familias!F:F,Familias!D:D=A783,Familias!E:E=C783),1)=""O""),D783+1,D783))"),"")</f>
        <v/>
      </c>
      <c r="E784" s="2" t="str">
        <f>IF(OR(F784="",F784="Selecciona.."),"",IF(D784="Implemento",SUMIF(Implementos!B:B,F784,Implementos!A:A),SUMIF(Productos!E:E,F784,Productos!A:A)))</f>
        <v/>
      </c>
      <c r="F784" s="2" t="str">
        <f t="shared" si="2"/>
        <v/>
      </c>
      <c r="G784" s="10" t="str">
        <f t="array" ref="G784">IF(OR(F784="",F784="-",F784="Selecciona..",F784="Finalizar"),"",IF(A784="Rodados",XLOOKUP(B784,'Validaciones Cotizador'!I:I,'Validaciones Cotizador'!J:J,0,0,1),1))</f>
        <v/>
      </c>
      <c r="H784" s="11" t="str">
        <f>IF(OR(F784="",F784="Selecciona.."),"",SUMIF(Precio_Productos!K:K,E784,Precio_Productos!J:J)*G784)</f>
        <v/>
      </c>
      <c r="I784" s="4" t="str">
        <f t="array" ref="I784">IF($E784="","", XLOOKUP(SUMIFS(Prod_Prop!$A:$A,Prod_Prop!$B:$B,$E784,Prod_Prop!$H:$H,I$1,Prod_Prop!$I:$I,"Exacto"),Prod_Prop!$A:$A,Prod_Prop!$J:$J,"",0,1))</f>
        <v/>
      </c>
      <c r="J784" s="4" t="str">
        <f t="array" ref="J784">IF($E784="","", XLOOKUP(SUMIFS(Prod_Prop!$A:$A,Prod_Prop!$B:$B,$E784,Prod_Prop!$H:$H,J$1,Prod_Prop!$I:$I,"Exacto"),Prod_Prop!$A:$A,Prod_Prop!$J:$J,"",0,1))</f>
        <v/>
      </c>
      <c r="K784" s="4" t="str">
        <f t="array" ref="K784">IF($E784="","", XLOOKUP(SUMIFS(Prod_Prop!$A:$A,Prod_Prop!$B:$B,$E784,Prod_Prop!$H:$H,K$1,Prod_Prop!$I:$I,"Exacto"),Prod_Prop!$A:$A,Prod_Prop!$J:$J,"",0,1))</f>
        <v/>
      </c>
      <c r="L784" s="4" t="str">
        <f t="array" ref="L784">IF($E784="","", XLOOKUP(SUMIFS(Prod_Prop!$A:$A,Prod_Prop!$B:$B,$E784,Prod_Prop!$H:$H,L$1,Prod_Prop!$I:$I,"Exacto"),Prod_Prop!$A:$A,Prod_Prop!$J:$J,"",0,1))</f>
        <v/>
      </c>
      <c r="M784" s="4" t="str">
        <f t="array" ref="M784">IF($E784="","", XLOOKUP(SUMIFS(Prod_Prop!$A:$A,Prod_Prop!$B:$B,$E784,Prod_Prop!$H:$H,M$1,Prod_Prop!$I:$I,"Exacto"),Prod_Prop!$A:$A,Prod_Prop!$J:$J,"",0,1))</f>
        <v/>
      </c>
      <c r="N784" s="4" t="str">
        <f t="array" ref="N784">IF($E784="","", XLOOKUP(SUMIFS(Prod_Prop!$A:$A,Prod_Prop!$B:$B,$E784,Prod_Prop!$H:$H,N$1,Prod_Prop!$I:$I,"Exacto"),Prod_Prop!$A:$A,Prod_Prop!$J:$J,"",0,1))</f>
        <v/>
      </c>
      <c r="O784" s="4" t="str">
        <f t="array" ref="O784">IF($E784="","", XLOOKUP(SUMIFS(Prod_Prop!$A:$A,Prod_Prop!$B:$B,$E784,Prod_Prop!$H:$H,O$1,Prod_Prop!$I:$I,"Exacto"),Prod_Prop!$A:$A,Prod_Prop!$J:$J,"",0,1))</f>
        <v/>
      </c>
      <c r="P784" s="4" t="str">
        <f t="array" ref="P784">IF($E784="","", XLOOKUP(SUMIFS(Prod_Prop!$A:$A,Prod_Prop!$B:$B,$E784,Prod_Prop!$H:$H,P$1,Prod_Prop!$I:$I,"Exacto"),Prod_Prop!$A:$A,Prod_Prop!$J:$J,"",0,1))</f>
        <v/>
      </c>
      <c r="Q784" s="4" t="str">
        <f t="array" ref="Q784">IF($E784="","", XLOOKUP(SUMIFS(Prod_Prop!$A:$A,Prod_Prop!$B:$B,$E784,Prod_Prop!$H:$H,Q$1,Prod_Prop!$I:$I,"Exacto"),Prod_Prop!$A:$A,Prod_Prop!$J:$J,"",0,1))</f>
        <v/>
      </c>
      <c r="R784" s="4" t="str">
        <f t="array" ref="R784">IF($E784="","", XLOOKUP(SUMIFS(Prod_Prop!$A:$A,Prod_Prop!$B:$B,$E784,Prod_Prop!$H:$H,R$1,Prod_Prop!$I:$I,"Exacto"),Prod_Prop!$A:$A,Prod_Prop!$J:$J,"",0,1))</f>
        <v/>
      </c>
      <c r="S784" s="4" t="str">
        <f t="array" ref="S784">IF($E784="","", XLOOKUP(SUMIFS(Prod_Prop!$A:$A,Prod_Prop!$B:$B,$E784,Prod_Prop!$H:$H,S$1,Prod_Prop!$I:$I,"Exacto"),Prod_Prop!$A:$A,Prod_Prop!$J:$J,"",0,1))</f>
        <v/>
      </c>
      <c r="T784" s="4" t="str">
        <f t="array" ref="T784">IF($E784="","", XLOOKUP(SUMIFS(Prod_Prop!$A:$A,Prod_Prop!$B:$B,$E784,Prod_Prop!$H:$H,T$1,Prod_Prop!$I:$I,"Exacto"),Prod_Prop!$A:$A,Prod_Prop!$J:$J,"",0,1))</f>
        <v/>
      </c>
      <c r="U784" s="4" t="str">
        <f t="array" ref="U784">IF($E784="","", XLOOKUP(SUMIFS(Prod_Prop!$A:$A,Prod_Prop!$B:$B,$E784,Prod_Prop!$H:$H,U$1,Prod_Prop!$I:$I,"Exacto"),Prod_Prop!$A:$A,Prod_Prop!$J:$J,"",0,1))</f>
        <v/>
      </c>
      <c r="V784" s="4" t="str">
        <f t="array" ref="V784">IF($E784="","", XLOOKUP(SUMIFS(Prod_Prop!$A:$A,Prod_Prop!$B:$B,$E784,Prod_Prop!$H:$H,V$1,Prod_Prop!$I:$I,"Exacto"),Prod_Prop!$A:$A,Prod_Prop!$J:$J,"",0,1))</f>
        <v/>
      </c>
      <c r="X784" s="3" t="str">
        <f>IFERROR(__xludf.DUMMYFUNCTION("IF(D784="""","""",IFERROR(TRANSPOSE(FILTER('Validaciones Cotizador'!U:U,'Validaciones Cotizador'!O:O=D784,'Validaciones Cotizador'!T:T=""x"")),""Finalizar""))"),"")</f>
        <v/>
      </c>
    </row>
    <row r="785">
      <c r="A785" s="2" t="str">
        <f t="array" ref="A785">IF(E785="","",XLOOKUP(D785,'Validaciones Cotizador'!C:C,'Validaciones Cotizador'!A:A,"",0,1))</f>
        <v/>
      </c>
      <c r="B785" s="2" t="str">
        <f t="array" ref="B785">IF(F785="","",XLOOKUP(F785,Productos!E:E,Productos!G:G,"",0,1))</f>
        <v/>
      </c>
      <c r="C785" s="2" t="str">
        <f>IF(A785="","",SUMIFS('Validaciones Cotizador'!B:B,'Validaciones Cotizador'!C:C,D785,'Validaciones Cotizador'!A:A,A785))</f>
        <v/>
      </c>
      <c r="D785" s="4" t="str">
        <f>IFERROR(__xludf.DUMMYFUNCTION("IF(OR(F784=""Finalizar"",F784="""",F784=""Selecciona..""),"""",IF(OR(F784=""-"",INDEX(filter(Familias!F:F,Familias!D:D=A784,Familias!E:E=C784),1)=""O""),D784+1,D784))"),"")</f>
        <v/>
      </c>
      <c r="E785" s="2" t="str">
        <f>IF(OR(F785="",F785="Selecciona.."),"",IF(D785="Implemento",SUMIF(Implementos!B:B,F785,Implementos!A:A),SUMIF(Productos!E:E,F785,Productos!A:A)))</f>
        <v/>
      </c>
      <c r="F785" s="2" t="str">
        <f t="shared" si="2"/>
        <v/>
      </c>
      <c r="G785" s="10" t="str">
        <f t="array" ref="G785">IF(OR(F785="",F785="-",F785="Selecciona..",F785="Finalizar"),"",IF(A785="Rodados",XLOOKUP(B785,'Validaciones Cotizador'!I:I,'Validaciones Cotizador'!J:J,0,0,1),1))</f>
        <v/>
      </c>
      <c r="H785" s="11" t="str">
        <f>IF(OR(F785="",F785="Selecciona.."),"",SUMIF(Precio_Productos!K:K,E785,Precio_Productos!J:J)*G785)</f>
        <v/>
      </c>
      <c r="I785" s="4" t="str">
        <f t="array" ref="I785">IF($E785="","", XLOOKUP(SUMIFS(Prod_Prop!$A:$A,Prod_Prop!$B:$B,$E785,Prod_Prop!$H:$H,I$1,Prod_Prop!$I:$I,"Exacto"),Prod_Prop!$A:$A,Prod_Prop!$J:$J,"",0,1))</f>
        <v/>
      </c>
      <c r="J785" s="4" t="str">
        <f t="array" ref="J785">IF($E785="","", XLOOKUP(SUMIFS(Prod_Prop!$A:$A,Prod_Prop!$B:$B,$E785,Prod_Prop!$H:$H,J$1,Prod_Prop!$I:$I,"Exacto"),Prod_Prop!$A:$A,Prod_Prop!$J:$J,"",0,1))</f>
        <v/>
      </c>
      <c r="K785" s="4" t="str">
        <f t="array" ref="K785">IF($E785="","", XLOOKUP(SUMIFS(Prod_Prop!$A:$A,Prod_Prop!$B:$B,$E785,Prod_Prop!$H:$H,K$1,Prod_Prop!$I:$I,"Exacto"),Prod_Prop!$A:$A,Prod_Prop!$J:$J,"",0,1))</f>
        <v/>
      </c>
      <c r="L785" s="4" t="str">
        <f t="array" ref="L785">IF($E785="","", XLOOKUP(SUMIFS(Prod_Prop!$A:$A,Prod_Prop!$B:$B,$E785,Prod_Prop!$H:$H,L$1,Prod_Prop!$I:$I,"Exacto"),Prod_Prop!$A:$A,Prod_Prop!$J:$J,"",0,1))</f>
        <v/>
      </c>
      <c r="M785" s="4" t="str">
        <f t="array" ref="M785">IF($E785="","", XLOOKUP(SUMIFS(Prod_Prop!$A:$A,Prod_Prop!$B:$B,$E785,Prod_Prop!$H:$H,M$1,Prod_Prop!$I:$I,"Exacto"),Prod_Prop!$A:$A,Prod_Prop!$J:$J,"",0,1))</f>
        <v/>
      </c>
      <c r="N785" s="4" t="str">
        <f t="array" ref="N785">IF($E785="","", XLOOKUP(SUMIFS(Prod_Prop!$A:$A,Prod_Prop!$B:$B,$E785,Prod_Prop!$H:$H,N$1,Prod_Prop!$I:$I,"Exacto"),Prod_Prop!$A:$A,Prod_Prop!$J:$J,"",0,1))</f>
        <v/>
      </c>
      <c r="O785" s="4" t="str">
        <f t="array" ref="O785">IF($E785="","", XLOOKUP(SUMIFS(Prod_Prop!$A:$A,Prod_Prop!$B:$B,$E785,Prod_Prop!$H:$H,O$1,Prod_Prop!$I:$I,"Exacto"),Prod_Prop!$A:$A,Prod_Prop!$J:$J,"",0,1))</f>
        <v/>
      </c>
      <c r="P785" s="4" t="str">
        <f t="array" ref="P785">IF($E785="","", XLOOKUP(SUMIFS(Prod_Prop!$A:$A,Prod_Prop!$B:$B,$E785,Prod_Prop!$H:$H,P$1,Prod_Prop!$I:$I,"Exacto"),Prod_Prop!$A:$A,Prod_Prop!$J:$J,"",0,1))</f>
        <v/>
      </c>
      <c r="Q785" s="4" t="str">
        <f t="array" ref="Q785">IF($E785="","", XLOOKUP(SUMIFS(Prod_Prop!$A:$A,Prod_Prop!$B:$B,$E785,Prod_Prop!$H:$H,Q$1,Prod_Prop!$I:$I,"Exacto"),Prod_Prop!$A:$A,Prod_Prop!$J:$J,"",0,1))</f>
        <v/>
      </c>
      <c r="R785" s="4" t="str">
        <f t="array" ref="R785">IF($E785="","", XLOOKUP(SUMIFS(Prod_Prop!$A:$A,Prod_Prop!$B:$B,$E785,Prod_Prop!$H:$H,R$1,Prod_Prop!$I:$I,"Exacto"),Prod_Prop!$A:$A,Prod_Prop!$J:$J,"",0,1))</f>
        <v/>
      </c>
      <c r="S785" s="4" t="str">
        <f t="array" ref="S785">IF($E785="","", XLOOKUP(SUMIFS(Prod_Prop!$A:$A,Prod_Prop!$B:$B,$E785,Prod_Prop!$H:$H,S$1,Prod_Prop!$I:$I,"Exacto"),Prod_Prop!$A:$A,Prod_Prop!$J:$J,"",0,1))</f>
        <v/>
      </c>
      <c r="T785" s="4" t="str">
        <f t="array" ref="T785">IF($E785="","", XLOOKUP(SUMIFS(Prod_Prop!$A:$A,Prod_Prop!$B:$B,$E785,Prod_Prop!$H:$H,T$1,Prod_Prop!$I:$I,"Exacto"),Prod_Prop!$A:$A,Prod_Prop!$J:$J,"",0,1))</f>
        <v/>
      </c>
      <c r="U785" s="4" t="str">
        <f t="array" ref="U785">IF($E785="","", XLOOKUP(SUMIFS(Prod_Prop!$A:$A,Prod_Prop!$B:$B,$E785,Prod_Prop!$H:$H,U$1,Prod_Prop!$I:$I,"Exacto"),Prod_Prop!$A:$A,Prod_Prop!$J:$J,"",0,1))</f>
        <v/>
      </c>
      <c r="V785" s="4" t="str">
        <f t="array" ref="V785">IF($E785="","", XLOOKUP(SUMIFS(Prod_Prop!$A:$A,Prod_Prop!$B:$B,$E785,Prod_Prop!$H:$H,V$1,Prod_Prop!$I:$I,"Exacto"),Prod_Prop!$A:$A,Prod_Prop!$J:$J,"",0,1))</f>
        <v/>
      </c>
      <c r="X785" s="3" t="str">
        <f>IFERROR(__xludf.DUMMYFUNCTION("IF(D785="""","""",IFERROR(TRANSPOSE(FILTER('Validaciones Cotizador'!U:U,'Validaciones Cotizador'!O:O=D785,'Validaciones Cotizador'!T:T=""x"")),""Finalizar""))"),"")</f>
        <v/>
      </c>
    </row>
    <row r="786">
      <c r="A786" s="2" t="str">
        <f t="array" ref="A786">IF(E786="","",XLOOKUP(D786,'Validaciones Cotizador'!C:C,'Validaciones Cotizador'!A:A,"",0,1))</f>
        <v/>
      </c>
      <c r="B786" s="2" t="str">
        <f t="array" ref="B786">IF(F786="","",XLOOKUP(F786,Productos!E:E,Productos!G:G,"",0,1))</f>
        <v/>
      </c>
      <c r="C786" s="2" t="str">
        <f>IF(A786="","",SUMIFS('Validaciones Cotizador'!B:B,'Validaciones Cotizador'!C:C,D786,'Validaciones Cotizador'!A:A,A786))</f>
        <v/>
      </c>
      <c r="D786" s="4" t="str">
        <f>IFERROR(__xludf.DUMMYFUNCTION("IF(OR(F785=""Finalizar"",F785="""",F785=""Selecciona..""),"""",IF(OR(F785=""-"",INDEX(filter(Familias!F:F,Familias!D:D=A785,Familias!E:E=C785),1)=""O""),D785+1,D785))"),"")</f>
        <v/>
      </c>
      <c r="E786" s="2" t="str">
        <f>IF(OR(F786="",F786="Selecciona.."),"",IF(D786="Implemento",SUMIF(Implementos!B:B,F786,Implementos!A:A),SUMIF(Productos!E:E,F786,Productos!A:A)))</f>
        <v/>
      </c>
      <c r="F786" s="2" t="str">
        <f t="shared" si="2"/>
        <v/>
      </c>
      <c r="G786" s="10" t="str">
        <f t="array" ref="G786">IF(OR(F786="",F786="-",F786="Selecciona..",F786="Finalizar"),"",IF(A786="Rodados",XLOOKUP(B786,'Validaciones Cotizador'!I:I,'Validaciones Cotizador'!J:J,0,0,1),1))</f>
        <v/>
      </c>
      <c r="H786" s="11" t="str">
        <f>IF(OR(F786="",F786="Selecciona.."),"",SUMIF(Precio_Productos!K:K,E786,Precio_Productos!J:J)*G786)</f>
        <v/>
      </c>
      <c r="I786" s="4" t="str">
        <f t="array" ref="I786">IF($E786="","", XLOOKUP(SUMIFS(Prod_Prop!$A:$A,Prod_Prop!$B:$B,$E786,Prod_Prop!$H:$H,I$1,Prod_Prop!$I:$I,"Exacto"),Prod_Prop!$A:$A,Prod_Prop!$J:$J,"",0,1))</f>
        <v/>
      </c>
      <c r="J786" s="4" t="str">
        <f t="array" ref="J786">IF($E786="","", XLOOKUP(SUMIFS(Prod_Prop!$A:$A,Prod_Prop!$B:$B,$E786,Prod_Prop!$H:$H,J$1,Prod_Prop!$I:$I,"Exacto"),Prod_Prop!$A:$A,Prod_Prop!$J:$J,"",0,1))</f>
        <v/>
      </c>
      <c r="K786" s="4" t="str">
        <f t="array" ref="K786">IF($E786="","", XLOOKUP(SUMIFS(Prod_Prop!$A:$A,Prod_Prop!$B:$B,$E786,Prod_Prop!$H:$H,K$1,Prod_Prop!$I:$I,"Exacto"),Prod_Prop!$A:$A,Prod_Prop!$J:$J,"",0,1))</f>
        <v/>
      </c>
      <c r="L786" s="4" t="str">
        <f t="array" ref="L786">IF($E786="","", XLOOKUP(SUMIFS(Prod_Prop!$A:$A,Prod_Prop!$B:$B,$E786,Prod_Prop!$H:$H,L$1,Prod_Prop!$I:$I,"Exacto"),Prod_Prop!$A:$A,Prod_Prop!$J:$J,"",0,1))</f>
        <v/>
      </c>
      <c r="M786" s="4" t="str">
        <f t="array" ref="M786">IF($E786="","", XLOOKUP(SUMIFS(Prod_Prop!$A:$A,Prod_Prop!$B:$B,$E786,Prod_Prop!$H:$H,M$1,Prod_Prop!$I:$I,"Exacto"),Prod_Prop!$A:$A,Prod_Prop!$J:$J,"",0,1))</f>
        <v/>
      </c>
      <c r="N786" s="4" t="str">
        <f t="array" ref="N786">IF($E786="","", XLOOKUP(SUMIFS(Prod_Prop!$A:$A,Prod_Prop!$B:$B,$E786,Prod_Prop!$H:$H,N$1,Prod_Prop!$I:$I,"Exacto"),Prod_Prop!$A:$A,Prod_Prop!$J:$J,"",0,1))</f>
        <v/>
      </c>
      <c r="O786" s="4" t="str">
        <f t="array" ref="O786">IF($E786="","", XLOOKUP(SUMIFS(Prod_Prop!$A:$A,Prod_Prop!$B:$B,$E786,Prod_Prop!$H:$H,O$1,Prod_Prop!$I:$I,"Exacto"),Prod_Prop!$A:$A,Prod_Prop!$J:$J,"",0,1))</f>
        <v/>
      </c>
      <c r="P786" s="4" t="str">
        <f t="array" ref="P786">IF($E786="","", XLOOKUP(SUMIFS(Prod_Prop!$A:$A,Prod_Prop!$B:$B,$E786,Prod_Prop!$H:$H,P$1,Prod_Prop!$I:$I,"Exacto"),Prod_Prop!$A:$A,Prod_Prop!$J:$J,"",0,1))</f>
        <v/>
      </c>
      <c r="Q786" s="4" t="str">
        <f t="array" ref="Q786">IF($E786="","", XLOOKUP(SUMIFS(Prod_Prop!$A:$A,Prod_Prop!$B:$B,$E786,Prod_Prop!$H:$H,Q$1,Prod_Prop!$I:$I,"Exacto"),Prod_Prop!$A:$A,Prod_Prop!$J:$J,"",0,1))</f>
        <v/>
      </c>
      <c r="R786" s="4" t="str">
        <f t="array" ref="R786">IF($E786="","", XLOOKUP(SUMIFS(Prod_Prop!$A:$A,Prod_Prop!$B:$B,$E786,Prod_Prop!$H:$H,R$1,Prod_Prop!$I:$I,"Exacto"),Prod_Prop!$A:$A,Prod_Prop!$J:$J,"",0,1))</f>
        <v/>
      </c>
      <c r="S786" s="4" t="str">
        <f t="array" ref="S786">IF($E786="","", XLOOKUP(SUMIFS(Prod_Prop!$A:$A,Prod_Prop!$B:$B,$E786,Prod_Prop!$H:$H,S$1,Prod_Prop!$I:$I,"Exacto"),Prod_Prop!$A:$A,Prod_Prop!$J:$J,"",0,1))</f>
        <v/>
      </c>
      <c r="T786" s="4" t="str">
        <f t="array" ref="T786">IF($E786="","", XLOOKUP(SUMIFS(Prod_Prop!$A:$A,Prod_Prop!$B:$B,$E786,Prod_Prop!$H:$H,T$1,Prod_Prop!$I:$I,"Exacto"),Prod_Prop!$A:$A,Prod_Prop!$J:$J,"",0,1))</f>
        <v/>
      </c>
      <c r="U786" s="4" t="str">
        <f t="array" ref="U786">IF($E786="","", XLOOKUP(SUMIFS(Prod_Prop!$A:$A,Prod_Prop!$B:$B,$E786,Prod_Prop!$H:$H,U$1,Prod_Prop!$I:$I,"Exacto"),Prod_Prop!$A:$A,Prod_Prop!$J:$J,"",0,1))</f>
        <v/>
      </c>
      <c r="V786" s="4" t="str">
        <f t="array" ref="V786">IF($E786="","", XLOOKUP(SUMIFS(Prod_Prop!$A:$A,Prod_Prop!$B:$B,$E786,Prod_Prop!$H:$H,V$1,Prod_Prop!$I:$I,"Exacto"),Prod_Prop!$A:$A,Prod_Prop!$J:$J,"",0,1))</f>
        <v/>
      </c>
      <c r="X786" s="3" t="str">
        <f>IFERROR(__xludf.DUMMYFUNCTION("IF(D786="""","""",IFERROR(TRANSPOSE(FILTER('Validaciones Cotizador'!U:U,'Validaciones Cotizador'!O:O=D786,'Validaciones Cotizador'!T:T=""x"")),""Finalizar""))"),"")</f>
        <v/>
      </c>
    </row>
    <row r="787">
      <c r="A787" s="2" t="str">
        <f t="array" ref="A787">IF(E787="","",XLOOKUP(D787,'Validaciones Cotizador'!C:C,'Validaciones Cotizador'!A:A,"",0,1))</f>
        <v/>
      </c>
      <c r="B787" s="2" t="str">
        <f t="array" ref="B787">IF(F787="","",XLOOKUP(F787,Productos!E:E,Productos!G:G,"",0,1))</f>
        <v/>
      </c>
      <c r="C787" s="2" t="str">
        <f>IF(A787="","",SUMIFS('Validaciones Cotizador'!B:B,'Validaciones Cotizador'!C:C,D787,'Validaciones Cotizador'!A:A,A787))</f>
        <v/>
      </c>
      <c r="D787" s="4" t="str">
        <f>IFERROR(__xludf.DUMMYFUNCTION("IF(OR(F786=""Finalizar"",F786="""",F786=""Selecciona..""),"""",IF(OR(F786=""-"",INDEX(filter(Familias!F:F,Familias!D:D=A786,Familias!E:E=C786),1)=""O""),D786+1,D786))"),"")</f>
        <v/>
      </c>
      <c r="E787" s="2" t="str">
        <f>IF(OR(F787="",F787="Selecciona.."),"",IF(D787="Implemento",SUMIF(Implementos!B:B,F787,Implementos!A:A),SUMIF(Productos!E:E,F787,Productos!A:A)))</f>
        <v/>
      </c>
      <c r="F787" s="2" t="str">
        <f t="shared" si="2"/>
        <v/>
      </c>
      <c r="G787" s="10" t="str">
        <f t="array" ref="G787">IF(OR(F787="",F787="-",F787="Selecciona..",F787="Finalizar"),"",IF(A787="Rodados",XLOOKUP(B787,'Validaciones Cotizador'!I:I,'Validaciones Cotizador'!J:J,0,0,1),1))</f>
        <v/>
      </c>
      <c r="H787" s="11" t="str">
        <f>IF(OR(F787="",F787="Selecciona.."),"",SUMIF(Precio_Productos!K:K,E787,Precio_Productos!J:J)*G787)</f>
        <v/>
      </c>
      <c r="I787" s="4" t="str">
        <f t="array" ref="I787">IF($E787="","", XLOOKUP(SUMIFS(Prod_Prop!$A:$A,Prod_Prop!$B:$B,$E787,Prod_Prop!$H:$H,I$1,Prod_Prop!$I:$I,"Exacto"),Prod_Prop!$A:$A,Prod_Prop!$J:$J,"",0,1))</f>
        <v/>
      </c>
      <c r="J787" s="4" t="str">
        <f t="array" ref="J787">IF($E787="","", XLOOKUP(SUMIFS(Prod_Prop!$A:$A,Prod_Prop!$B:$B,$E787,Prod_Prop!$H:$H,J$1,Prod_Prop!$I:$I,"Exacto"),Prod_Prop!$A:$A,Prod_Prop!$J:$J,"",0,1))</f>
        <v/>
      </c>
      <c r="K787" s="4" t="str">
        <f t="array" ref="K787">IF($E787="","", XLOOKUP(SUMIFS(Prod_Prop!$A:$A,Prod_Prop!$B:$B,$E787,Prod_Prop!$H:$H,K$1,Prod_Prop!$I:$I,"Exacto"),Prod_Prop!$A:$A,Prod_Prop!$J:$J,"",0,1))</f>
        <v/>
      </c>
      <c r="L787" s="4" t="str">
        <f t="array" ref="L787">IF($E787="","", XLOOKUP(SUMIFS(Prod_Prop!$A:$A,Prod_Prop!$B:$B,$E787,Prod_Prop!$H:$H,L$1,Prod_Prop!$I:$I,"Exacto"),Prod_Prop!$A:$A,Prod_Prop!$J:$J,"",0,1))</f>
        <v/>
      </c>
      <c r="M787" s="4" t="str">
        <f t="array" ref="M787">IF($E787="","", XLOOKUP(SUMIFS(Prod_Prop!$A:$A,Prod_Prop!$B:$B,$E787,Prod_Prop!$H:$H,M$1,Prod_Prop!$I:$I,"Exacto"),Prod_Prop!$A:$A,Prod_Prop!$J:$J,"",0,1))</f>
        <v/>
      </c>
      <c r="N787" s="4" t="str">
        <f t="array" ref="N787">IF($E787="","", XLOOKUP(SUMIFS(Prod_Prop!$A:$A,Prod_Prop!$B:$B,$E787,Prod_Prop!$H:$H,N$1,Prod_Prop!$I:$I,"Exacto"),Prod_Prop!$A:$A,Prod_Prop!$J:$J,"",0,1))</f>
        <v/>
      </c>
      <c r="O787" s="4" t="str">
        <f t="array" ref="O787">IF($E787="","", XLOOKUP(SUMIFS(Prod_Prop!$A:$A,Prod_Prop!$B:$B,$E787,Prod_Prop!$H:$H,O$1,Prod_Prop!$I:$I,"Exacto"),Prod_Prop!$A:$A,Prod_Prop!$J:$J,"",0,1))</f>
        <v/>
      </c>
      <c r="P787" s="4" t="str">
        <f t="array" ref="P787">IF($E787="","", XLOOKUP(SUMIFS(Prod_Prop!$A:$A,Prod_Prop!$B:$B,$E787,Prod_Prop!$H:$H,P$1,Prod_Prop!$I:$I,"Exacto"),Prod_Prop!$A:$A,Prod_Prop!$J:$J,"",0,1))</f>
        <v/>
      </c>
      <c r="Q787" s="4" t="str">
        <f t="array" ref="Q787">IF($E787="","", XLOOKUP(SUMIFS(Prod_Prop!$A:$A,Prod_Prop!$B:$B,$E787,Prod_Prop!$H:$H,Q$1,Prod_Prop!$I:$I,"Exacto"),Prod_Prop!$A:$A,Prod_Prop!$J:$J,"",0,1))</f>
        <v/>
      </c>
      <c r="R787" s="4" t="str">
        <f t="array" ref="R787">IF($E787="","", XLOOKUP(SUMIFS(Prod_Prop!$A:$A,Prod_Prop!$B:$B,$E787,Prod_Prop!$H:$H,R$1,Prod_Prop!$I:$I,"Exacto"),Prod_Prop!$A:$A,Prod_Prop!$J:$J,"",0,1))</f>
        <v/>
      </c>
      <c r="S787" s="4" t="str">
        <f t="array" ref="S787">IF($E787="","", XLOOKUP(SUMIFS(Prod_Prop!$A:$A,Prod_Prop!$B:$B,$E787,Prod_Prop!$H:$H,S$1,Prod_Prop!$I:$I,"Exacto"),Prod_Prop!$A:$A,Prod_Prop!$J:$J,"",0,1))</f>
        <v/>
      </c>
      <c r="T787" s="4" t="str">
        <f t="array" ref="T787">IF($E787="","", XLOOKUP(SUMIFS(Prod_Prop!$A:$A,Prod_Prop!$B:$B,$E787,Prod_Prop!$H:$H,T$1,Prod_Prop!$I:$I,"Exacto"),Prod_Prop!$A:$A,Prod_Prop!$J:$J,"",0,1))</f>
        <v/>
      </c>
      <c r="U787" s="4" t="str">
        <f t="array" ref="U787">IF($E787="","", XLOOKUP(SUMIFS(Prod_Prop!$A:$A,Prod_Prop!$B:$B,$E787,Prod_Prop!$H:$H,U$1,Prod_Prop!$I:$I,"Exacto"),Prod_Prop!$A:$A,Prod_Prop!$J:$J,"",0,1))</f>
        <v/>
      </c>
      <c r="V787" s="4" t="str">
        <f t="array" ref="V787">IF($E787="","", XLOOKUP(SUMIFS(Prod_Prop!$A:$A,Prod_Prop!$B:$B,$E787,Prod_Prop!$H:$H,V$1,Prod_Prop!$I:$I,"Exacto"),Prod_Prop!$A:$A,Prod_Prop!$J:$J,"",0,1))</f>
        <v/>
      </c>
      <c r="X787" s="3" t="str">
        <f>IFERROR(__xludf.DUMMYFUNCTION("IF(D787="""","""",IFERROR(TRANSPOSE(FILTER('Validaciones Cotizador'!U:U,'Validaciones Cotizador'!O:O=D787,'Validaciones Cotizador'!T:T=""x"")),""Finalizar""))"),"")</f>
        <v/>
      </c>
    </row>
    <row r="788">
      <c r="A788" s="2" t="str">
        <f t="array" ref="A788">IF(E788="","",XLOOKUP(D788,'Validaciones Cotizador'!C:C,'Validaciones Cotizador'!A:A,"",0,1))</f>
        <v/>
      </c>
      <c r="B788" s="2" t="str">
        <f t="array" ref="B788">IF(F788="","",XLOOKUP(F788,Productos!E:E,Productos!G:G,"",0,1))</f>
        <v/>
      </c>
      <c r="C788" s="2" t="str">
        <f>IF(A788="","",SUMIFS('Validaciones Cotizador'!B:B,'Validaciones Cotizador'!C:C,D788,'Validaciones Cotizador'!A:A,A788))</f>
        <v/>
      </c>
      <c r="D788" s="4" t="str">
        <f>IFERROR(__xludf.DUMMYFUNCTION("IF(OR(F787=""Finalizar"",F787="""",F787=""Selecciona..""),"""",IF(OR(F787=""-"",INDEX(filter(Familias!F:F,Familias!D:D=A787,Familias!E:E=C787),1)=""O""),D787+1,D787))"),"")</f>
        <v/>
      </c>
      <c r="E788" s="2" t="str">
        <f>IF(OR(F788="",F788="Selecciona.."),"",IF(D788="Implemento",SUMIF(Implementos!B:B,F788,Implementos!A:A),SUMIF(Productos!E:E,F788,Productos!A:A)))</f>
        <v/>
      </c>
      <c r="F788" s="2" t="str">
        <f t="shared" si="2"/>
        <v/>
      </c>
      <c r="G788" s="10" t="str">
        <f t="array" ref="G788">IF(OR(F788="",F788="-",F788="Selecciona..",F788="Finalizar"),"",IF(A788="Rodados",XLOOKUP(B788,'Validaciones Cotizador'!I:I,'Validaciones Cotizador'!J:J,0,0,1),1))</f>
        <v/>
      </c>
      <c r="H788" s="11" t="str">
        <f>IF(OR(F788="",F788="Selecciona.."),"",SUMIF(Precio_Productos!K:K,E788,Precio_Productos!J:J)*G788)</f>
        <v/>
      </c>
      <c r="I788" s="4" t="str">
        <f t="array" ref="I788">IF($E788="","", XLOOKUP(SUMIFS(Prod_Prop!$A:$A,Prod_Prop!$B:$B,$E788,Prod_Prop!$H:$H,I$1,Prod_Prop!$I:$I,"Exacto"),Prod_Prop!$A:$A,Prod_Prop!$J:$J,"",0,1))</f>
        <v/>
      </c>
      <c r="J788" s="4" t="str">
        <f t="array" ref="J788">IF($E788="","", XLOOKUP(SUMIFS(Prod_Prop!$A:$A,Prod_Prop!$B:$B,$E788,Prod_Prop!$H:$H,J$1,Prod_Prop!$I:$I,"Exacto"),Prod_Prop!$A:$A,Prod_Prop!$J:$J,"",0,1))</f>
        <v/>
      </c>
      <c r="K788" s="4" t="str">
        <f t="array" ref="K788">IF($E788="","", XLOOKUP(SUMIFS(Prod_Prop!$A:$A,Prod_Prop!$B:$B,$E788,Prod_Prop!$H:$H,K$1,Prod_Prop!$I:$I,"Exacto"),Prod_Prop!$A:$A,Prod_Prop!$J:$J,"",0,1))</f>
        <v/>
      </c>
      <c r="L788" s="4" t="str">
        <f t="array" ref="L788">IF($E788="","", XLOOKUP(SUMIFS(Prod_Prop!$A:$A,Prod_Prop!$B:$B,$E788,Prod_Prop!$H:$H,L$1,Prod_Prop!$I:$I,"Exacto"),Prod_Prop!$A:$A,Prod_Prop!$J:$J,"",0,1))</f>
        <v/>
      </c>
      <c r="M788" s="4" t="str">
        <f t="array" ref="M788">IF($E788="","", XLOOKUP(SUMIFS(Prod_Prop!$A:$A,Prod_Prop!$B:$B,$E788,Prod_Prop!$H:$H,M$1,Prod_Prop!$I:$I,"Exacto"),Prod_Prop!$A:$A,Prod_Prop!$J:$J,"",0,1))</f>
        <v/>
      </c>
      <c r="N788" s="4" t="str">
        <f t="array" ref="N788">IF($E788="","", XLOOKUP(SUMIFS(Prod_Prop!$A:$A,Prod_Prop!$B:$B,$E788,Prod_Prop!$H:$H,N$1,Prod_Prop!$I:$I,"Exacto"),Prod_Prop!$A:$A,Prod_Prop!$J:$J,"",0,1))</f>
        <v/>
      </c>
      <c r="O788" s="4" t="str">
        <f t="array" ref="O788">IF($E788="","", XLOOKUP(SUMIFS(Prod_Prop!$A:$A,Prod_Prop!$B:$B,$E788,Prod_Prop!$H:$H,O$1,Prod_Prop!$I:$I,"Exacto"),Prod_Prop!$A:$A,Prod_Prop!$J:$J,"",0,1))</f>
        <v/>
      </c>
      <c r="P788" s="4" t="str">
        <f t="array" ref="P788">IF($E788="","", XLOOKUP(SUMIFS(Prod_Prop!$A:$A,Prod_Prop!$B:$B,$E788,Prod_Prop!$H:$H,P$1,Prod_Prop!$I:$I,"Exacto"),Prod_Prop!$A:$A,Prod_Prop!$J:$J,"",0,1))</f>
        <v/>
      </c>
      <c r="Q788" s="4" t="str">
        <f t="array" ref="Q788">IF($E788="","", XLOOKUP(SUMIFS(Prod_Prop!$A:$A,Prod_Prop!$B:$B,$E788,Prod_Prop!$H:$H,Q$1,Prod_Prop!$I:$I,"Exacto"),Prod_Prop!$A:$A,Prod_Prop!$J:$J,"",0,1))</f>
        <v/>
      </c>
      <c r="R788" s="4" t="str">
        <f t="array" ref="R788">IF($E788="","", XLOOKUP(SUMIFS(Prod_Prop!$A:$A,Prod_Prop!$B:$B,$E788,Prod_Prop!$H:$H,R$1,Prod_Prop!$I:$I,"Exacto"),Prod_Prop!$A:$A,Prod_Prop!$J:$J,"",0,1))</f>
        <v/>
      </c>
      <c r="S788" s="4" t="str">
        <f t="array" ref="S788">IF($E788="","", XLOOKUP(SUMIFS(Prod_Prop!$A:$A,Prod_Prop!$B:$B,$E788,Prod_Prop!$H:$H,S$1,Prod_Prop!$I:$I,"Exacto"),Prod_Prop!$A:$A,Prod_Prop!$J:$J,"",0,1))</f>
        <v/>
      </c>
      <c r="T788" s="4" t="str">
        <f t="array" ref="T788">IF($E788="","", XLOOKUP(SUMIFS(Prod_Prop!$A:$A,Prod_Prop!$B:$B,$E788,Prod_Prop!$H:$H,T$1,Prod_Prop!$I:$I,"Exacto"),Prod_Prop!$A:$A,Prod_Prop!$J:$J,"",0,1))</f>
        <v/>
      </c>
      <c r="U788" s="4" t="str">
        <f t="array" ref="U788">IF($E788="","", XLOOKUP(SUMIFS(Prod_Prop!$A:$A,Prod_Prop!$B:$B,$E788,Prod_Prop!$H:$H,U$1,Prod_Prop!$I:$I,"Exacto"),Prod_Prop!$A:$A,Prod_Prop!$J:$J,"",0,1))</f>
        <v/>
      </c>
      <c r="V788" s="4" t="str">
        <f t="array" ref="V788">IF($E788="","", XLOOKUP(SUMIFS(Prod_Prop!$A:$A,Prod_Prop!$B:$B,$E788,Prod_Prop!$H:$H,V$1,Prod_Prop!$I:$I,"Exacto"),Prod_Prop!$A:$A,Prod_Prop!$J:$J,"",0,1))</f>
        <v/>
      </c>
      <c r="X788" s="3" t="str">
        <f>IFERROR(__xludf.DUMMYFUNCTION("IF(D788="""","""",IFERROR(TRANSPOSE(FILTER('Validaciones Cotizador'!U:U,'Validaciones Cotizador'!O:O=D788,'Validaciones Cotizador'!T:T=""x"")),""Finalizar""))"),"")</f>
        <v/>
      </c>
    </row>
    <row r="789">
      <c r="A789" s="2" t="str">
        <f t="array" ref="A789">IF(E789="","",XLOOKUP(D789,'Validaciones Cotizador'!C:C,'Validaciones Cotizador'!A:A,"",0,1))</f>
        <v/>
      </c>
      <c r="B789" s="2" t="str">
        <f t="array" ref="B789">IF(F789="","",XLOOKUP(F789,Productos!E:E,Productos!G:G,"",0,1))</f>
        <v/>
      </c>
      <c r="C789" s="2" t="str">
        <f>IF(A789="","",SUMIFS('Validaciones Cotizador'!B:B,'Validaciones Cotizador'!C:C,D789,'Validaciones Cotizador'!A:A,A789))</f>
        <v/>
      </c>
      <c r="D789" s="4" t="str">
        <f>IFERROR(__xludf.DUMMYFUNCTION("IF(OR(F788=""Finalizar"",F788="""",F788=""Selecciona..""),"""",IF(OR(F788=""-"",INDEX(filter(Familias!F:F,Familias!D:D=A788,Familias!E:E=C788),1)=""O""),D788+1,D788))"),"")</f>
        <v/>
      </c>
      <c r="E789" s="2" t="str">
        <f>IF(OR(F789="",F789="Selecciona.."),"",IF(D789="Implemento",SUMIF(Implementos!B:B,F789,Implementos!A:A),SUMIF(Productos!E:E,F789,Productos!A:A)))</f>
        <v/>
      </c>
      <c r="F789" s="2" t="str">
        <f t="shared" si="2"/>
        <v/>
      </c>
      <c r="G789" s="10" t="str">
        <f t="array" ref="G789">IF(OR(F789="",F789="-",F789="Selecciona..",F789="Finalizar"),"",IF(A789="Rodados",XLOOKUP(B789,'Validaciones Cotizador'!I:I,'Validaciones Cotizador'!J:J,0,0,1),1))</f>
        <v/>
      </c>
      <c r="H789" s="11" t="str">
        <f>IF(OR(F789="",F789="Selecciona.."),"",SUMIF(Precio_Productos!K:K,E789,Precio_Productos!J:J)*G789)</f>
        <v/>
      </c>
      <c r="I789" s="4" t="str">
        <f t="array" ref="I789">IF($E789="","", XLOOKUP(SUMIFS(Prod_Prop!$A:$A,Prod_Prop!$B:$B,$E789,Prod_Prop!$H:$H,I$1,Prod_Prop!$I:$I,"Exacto"),Prod_Prop!$A:$A,Prod_Prop!$J:$J,"",0,1))</f>
        <v/>
      </c>
      <c r="J789" s="4" t="str">
        <f t="array" ref="J789">IF($E789="","", XLOOKUP(SUMIFS(Prod_Prop!$A:$A,Prod_Prop!$B:$B,$E789,Prod_Prop!$H:$H,J$1,Prod_Prop!$I:$I,"Exacto"),Prod_Prop!$A:$A,Prod_Prop!$J:$J,"",0,1))</f>
        <v/>
      </c>
      <c r="K789" s="4" t="str">
        <f t="array" ref="K789">IF($E789="","", XLOOKUP(SUMIFS(Prod_Prop!$A:$A,Prod_Prop!$B:$B,$E789,Prod_Prop!$H:$H,K$1,Prod_Prop!$I:$I,"Exacto"),Prod_Prop!$A:$A,Prod_Prop!$J:$J,"",0,1))</f>
        <v/>
      </c>
      <c r="L789" s="4" t="str">
        <f t="array" ref="L789">IF($E789="","", XLOOKUP(SUMIFS(Prod_Prop!$A:$A,Prod_Prop!$B:$B,$E789,Prod_Prop!$H:$H,L$1,Prod_Prop!$I:$I,"Exacto"),Prod_Prop!$A:$A,Prod_Prop!$J:$J,"",0,1))</f>
        <v/>
      </c>
      <c r="M789" s="4" t="str">
        <f t="array" ref="M789">IF($E789="","", XLOOKUP(SUMIFS(Prod_Prop!$A:$A,Prod_Prop!$B:$B,$E789,Prod_Prop!$H:$H,M$1,Prod_Prop!$I:$I,"Exacto"),Prod_Prop!$A:$A,Prod_Prop!$J:$J,"",0,1))</f>
        <v/>
      </c>
      <c r="N789" s="4" t="str">
        <f t="array" ref="N789">IF($E789="","", XLOOKUP(SUMIFS(Prod_Prop!$A:$A,Prod_Prop!$B:$B,$E789,Prod_Prop!$H:$H,N$1,Prod_Prop!$I:$I,"Exacto"),Prod_Prop!$A:$A,Prod_Prop!$J:$J,"",0,1))</f>
        <v/>
      </c>
      <c r="O789" s="4" t="str">
        <f t="array" ref="O789">IF($E789="","", XLOOKUP(SUMIFS(Prod_Prop!$A:$A,Prod_Prop!$B:$B,$E789,Prod_Prop!$H:$H,O$1,Prod_Prop!$I:$I,"Exacto"),Prod_Prop!$A:$A,Prod_Prop!$J:$J,"",0,1))</f>
        <v/>
      </c>
      <c r="P789" s="4" t="str">
        <f t="array" ref="P789">IF($E789="","", XLOOKUP(SUMIFS(Prod_Prop!$A:$A,Prod_Prop!$B:$B,$E789,Prod_Prop!$H:$H,P$1,Prod_Prop!$I:$I,"Exacto"),Prod_Prop!$A:$A,Prod_Prop!$J:$J,"",0,1))</f>
        <v/>
      </c>
      <c r="Q789" s="4" t="str">
        <f t="array" ref="Q789">IF($E789="","", XLOOKUP(SUMIFS(Prod_Prop!$A:$A,Prod_Prop!$B:$B,$E789,Prod_Prop!$H:$H,Q$1,Prod_Prop!$I:$I,"Exacto"),Prod_Prop!$A:$A,Prod_Prop!$J:$J,"",0,1))</f>
        <v/>
      </c>
      <c r="R789" s="4" t="str">
        <f t="array" ref="R789">IF($E789="","", XLOOKUP(SUMIFS(Prod_Prop!$A:$A,Prod_Prop!$B:$B,$E789,Prod_Prop!$H:$H,R$1,Prod_Prop!$I:$I,"Exacto"),Prod_Prop!$A:$A,Prod_Prop!$J:$J,"",0,1))</f>
        <v/>
      </c>
      <c r="S789" s="4" t="str">
        <f t="array" ref="S789">IF($E789="","", XLOOKUP(SUMIFS(Prod_Prop!$A:$A,Prod_Prop!$B:$B,$E789,Prod_Prop!$H:$H,S$1,Prod_Prop!$I:$I,"Exacto"),Prod_Prop!$A:$A,Prod_Prop!$J:$J,"",0,1))</f>
        <v/>
      </c>
      <c r="T789" s="4" t="str">
        <f t="array" ref="T789">IF($E789="","", XLOOKUP(SUMIFS(Prod_Prop!$A:$A,Prod_Prop!$B:$B,$E789,Prod_Prop!$H:$H,T$1,Prod_Prop!$I:$I,"Exacto"),Prod_Prop!$A:$A,Prod_Prop!$J:$J,"",0,1))</f>
        <v/>
      </c>
      <c r="U789" s="4" t="str">
        <f t="array" ref="U789">IF($E789="","", XLOOKUP(SUMIFS(Prod_Prop!$A:$A,Prod_Prop!$B:$B,$E789,Prod_Prop!$H:$H,U$1,Prod_Prop!$I:$I,"Exacto"),Prod_Prop!$A:$A,Prod_Prop!$J:$J,"",0,1))</f>
        <v/>
      </c>
      <c r="V789" s="4" t="str">
        <f t="array" ref="V789">IF($E789="","", XLOOKUP(SUMIFS(Prod_Prop!$A:$A,Prod_Prop!$B:$B,$E789,Prod_Prop!$H:$H,V$1,Prod_Prop!$I:$I,"Exacto"),Prod_Prop!$A:$A,Prod_Prop!$J:$J,"",0,1))</f>
        <v/>
      </c>
      <c r="X789" s="3" t="str">
        <f>IFERROR(__xludf.DUMMYFUNCTION("IF(D789="""","""",IFERROR(TRANSPOSE(FILTER('Validaciones Cotizador'!U:U,'Validaciones Cotizador'!O:O=D789,'Validaciones Cotizador'!T:T=""x"")),""Finalizar""))"),"")</f>
        <v/>
      </c>
    </row>
    <row r="790">
      <c r="A790" s="2" t="str">
        <f t="array" ref="A790">IF(E790="","",XLOOKUP(D790,'Validaciones Cotizador'!C:C,'Validaciones Cotizador'!A:A,"",0,1))</f>
        <v/>
      </c>
      <c r="B790" s="2" t="str">
        <f t="array" ref="B790">IF(F790="","",XLOOKUP(F790,Productos!E:E,Productos!G:G,"",0,1))</f>
        <v/>
      </c>
      <c r="C790" s="2" t="str">
        <f>IF(A790="","",SUMIFS('Validaciones Cotizador'!B:B,'Validaciones Cotizador'!C:C,D790,'Validaciones Cotizador'!A:A,A790))</f>
        <v/>
      </c>
      <c r="D790" s="4" t="str">
        <f>IFERROR(__xludf.DUMMYFUNCTION("IF(OR(F789=""Finalizar"",F789="""",F789=""Selecciona..""),"""",IF(OR(F789=""-"",INDEX(filter(Familias!F:F,Familias!D:D=A789,Familias!E:E=C789),1)=""O""),D789+1,D789))"),"")</f>
        <v/>
      </c>
      <c r="E790" s="2" t="str">
        <f>IF(OR(F790="",F790="Selecciona.."),"",IF(D790="Implemento",SUMIF(Implementos!B:B,F790,Implementos!A:A),SUMIF(Productos!E:E,F790,Productos!A:A)))</f>
        <v/>
      </c>
      <c r="F790" s="2" t="str">
        <f t="shared" si="2"/>
        <v/>
      </c>
      <c r="G790" s="10" t="str">
        <f t="array" ref="G790">IF(OR(F790="",F790="-",F790="Selecciona..",F790="Finalizar"),"",IF(A790="Rodados",XLOOKUP(B790,'Validaciones Cotizador'!I:I,'Validaciones Cotizador'!J:J,0,0,1),1))</f>
        <v/>
      </c>
      <c r="H790" s="11" t="str">
        <f>IF(OR(F790="",F790="Selecciona.."),"",SUMIF(Precio_Productos!K:K,E790,Precio_Productos!J:J)*G790)</f>
        <v/>
      </c>
      <c r="I790" s="4" t="str">
        <f t="array" ref="I790">IF($E790="","", XLOOKUP(SUMIFS(Prod_Prop!$A:$A,Prod_Prop!$B:$B,$E790,Prod_Prop!$H:$H,I$1,Prod_Prop!$I:$I,"Exacto"),Prod_Prop!$A:$A,Prod_Prop!$J:$J,"",0,1))</f>
        <v/>
      </c>
      <c r="J790" s="4" t="str">
        <f t="array" ref="J790">IF($E790="","", XLOOKUP(SUMIFS(Prod_Prop!$A:$A,Prod_Prop!$B:$B,$E790,Prod_Prop!$H:$H,J$1,Prod_Prop!$I:$I,"Exacto"),Prod_Prop!$A:$A,Prod_Prop!$J:$J,"",0,1))</f>
        <v/>
      </c>
      <c r="K790" s="4" t="str">
        <f t="array" ref="K790">IF($E790="","", XLOOKUP(SUMIFS(Prod_Prop!$A:$A,Prod_Prop!$B:$B,$E790,Prod_Prop!$H:$H,K$1,Prod_Prop!$I:$I,"Exacto"),Prod_Prop!$A:$A,Prod_Prop!$J:$J,"",0,1))</f>
        <v/>
      </c>
      <c r="L790" s="4" t="str">
        <f t="array" ref="L790">IF($E790="","", XLOOKUP(SUMIFS(Prod_Prop!$A:$A,Prod_Prop!$B:$B,$E790,Prod_Prop!$H:$H,L$1,Prod_Prop!$I:$I,"Exacto"),Prod_Prop!$A:$A,Prod_Prop!$J:$J,"",0,1))</f>
        <v/>
      </c>
      <c r="M790" s="4" t="str">
        <f t="array" ref="M790">IF($E790="","", XLOOKUP(SUMIFS(Prod_Prop!$A:$A,Prod_Prop!$B:$B,$E790,Prod_Prop!$H:$H,M$1,Prod_Prop!$I:$I,"Exacto"),Prod_Prop!$A:$A,Prod_Prop!$J:$J,"",0,1))</f>
        <v/>
      </c>
      <c r="N790" s="4" t="str">
        <f t="array" ref="N790">IF($E790="","", XLOOKUP(SUMIFS(Prod_Prop!$A:$A,Prod_Prop!$B:$B,$E790,Prod_Prop!$H:$H,N$1,Prod_Prop!$I:$I,"Exacto"),Prod_Prop!$A:$A,Prod_Prop!$J:$J,"",0,1))</f>
        <v/>
      </c>
      <c r="O790" s="4" t="str">
        <f t="array" ref="O790">IF($E790="","", XLOOKUP(SUMIFS(Prod_Prop!$A:$A,Prod_Prop!$B:$B,$E790,Prod_Prop!$H:$H,O$1,Prod_Prop!$I:$I,"Exacto"),Prod_Prop!$A:$A,Prod_Prop!$J:$J,"",0,1))</f>
        <v/>
      </c>
      <c r="P790" s="4" t="str">
        <f t="array" ref="P790">IF($E790="","", XLOOKUP(SUMIFS(Prod_Prop!$A:$A,Prod_Prop!$B:$B,$E790,Prod_Prop!$H:$H,P$1,Prod_Prop!$I:$I,"Exacto"),Prod_Prop!$A:$A,Prod_Prop!$J:$J,"",0,1))</f>
        <v/>
      </c>
      <c r="Q790" s="4" t="str">
        <f t="array" ref="Q790">IF($E790="","", XLOOKUP(SUMIFS(Prod_Prop!$A:$A,Prod_Prop!$B:$B,$E790,Prod_Prop!$H:$H,Q$1,Prod_Prop!$I:$I,"Exacto"),Prod_Prop!$A:$A,Prod_Prop!$J:$J,"",0,1))</f>
        <v/>
      </c>
      <c r="R790" s="4" t="str">
        <f t="array" ref="R790">IF($E790="","", XLOOKUP(SUMIFS(Prod_Prop!$A:$A,Prod_Prop!$B:$B,$E790,Prod_Prop!$H:$H,R$1,Prod_Prop!$I:$I,"Exacto"),Prod_Prop!$A:$A,Prod_Prop!$J:$J,"",0,1))</f>
        <v/>
      </c>
      <c r="S790" s="4" t="str">
        <f t="array" ref="S790">IF($E790="","", XLOOKUP(SUMIFS(Prod_Prop!$A:$A,Prod_Prop!$B:$B,$E790,Prod_Prop!$H:$H,S$1,Prod_Prop!$I:$I,"Exacto"),Prod_Prop!$A:$A,Prod_Prop!$J:$J,"",0,1))</f>
        <v/>
      </c>
      <c r="T790" s="4" t="str">
        <f t="array" ref="T790">IF($E790="","", XLOOKUP(SUMIFS(Prod_Prop!$A:$A,Prod_Prop!$B:$B,$E790,Prod_Prop!$H:$H,T$1,Prod_Prop!$I:$I,"Exacto"),Prod_Prop!$A:$A,Prod_Prop!$J:$J,"",0,1))</f>
        <v/>
      </c>
      <c r="U790" s="4" t="str">
        <f t="array" ref="U790">IF($E790="","", XLOOKUP(SUMIFS(Prod_Prop!$A:$A,Prod_Prop!$B:$B,$E790,Prod_Prop!$H:$H,U$1,Prod_Prop!$I:$I,"Exacto"),Prod_Prop!$A:$A,Prod_Prop!$J:$J,"",0,1))</f>
        <v/>
      </c>
      <c r="V790" s="4" t="str">
        <f t="array" ref="V790">IF($E790="","", XLOOKUP(SUMIFS(Prod_Prop!$A:$A,Prod_Prop!$B:$B,$E790,Prod_Prop!$H:$H,V$1,Prod_Prop!$I:$I,"Exacto"),Prod_Prop!$A:$A,Prod_Prop!$J:$J,"",0,1))</f>
        <v/>
      </c>
      <c r="X790" s="3" t="str">
        <f>IFERROR(__xludf.DUMMYFUNCTION("IF(D790="""","""",IFERROR(TRANSPOSE(FILTER('Validaciones Cotizador'!U:U,'Validaciones Cotizador'!O:O=D790,'Validaciones Cotizador'!T:T=""x"")),""Finalizar""))"),"")</f>
        <v/>
      </c>
    </row>
    <row r="791">
      <c r="A791" s="2" t="str">
        <f t="array" ref="A791">IF(E791="","",XLOOKUP(D791,'Validaciones Cotizador'!C:C,'Validaciones Cotizador'!A:A,"",0,1))</f>
        <v/>
      </c>
      <c r="B791" s="2" t="str">
        <f t="array" ref="B791">IF(F791="","",XLOOKUP(F791,Productos!E:E,Productos!G:G,"",0,1))</f>
        <v/>
      </c>
      <c r="C791" s="2" t="str">
        <f>IF(A791="","",SUMIFS('Validaciones Cotizador'!B:B,'Validaciones Cotizador'!C:C,D791,'Validaciones Cotizador'!A:A,A791))</f>
        <v/>
      </c>
      <c r="D791" s="4" t="str">
        <f>IFERROR(__xludf.DUMMYFUNCTION("IF(OR(F790=""Finalizar"",F790="""",F790=""Selecciona..""),"""",IF(OR(F790=""-"",INDEX(filter(Familias!F:F,Familias!D:D=A790,Familias!E:E=C790),1)=""O""),D790+1,D790))"),"")</f>
        <v/>
      </c>
      <c r="E791" s="2" t="str">
        <f>IF(OR(F791="",F791="Selecciona.."),"",IF(D791="Implemento",SUMIF(Implementos!B:B,F791,Implementos!A:A),SUMIF(Productos!E:E,F791,Productos!A:A)))</f>
        <v/>
      </c>
      <c r="F791" s="2" t="str">
        <f t="shared" si="2"/>
        <v/>
      </c>
      <c r="G791" s="10" t="str">
        <f t="array" ref="G791">IF(OR(F791="",F791="-",F791="Selecciona..",F791="Finalizar"),"",IF(A791="Rodados",XLOOKUP(B791,'Validaciones Cotizador'!I:I,'Validaciones Cotizador'!J:J,0,0,1),1))</f>
        <v/>
      </c>
      <c r="H791" s="11" t="str">
        <f>IF(OR(F791="",F791="Selecciona.."),"",SUMIF(Precio_Productos!K:K,E791,Precio_Productos!J:J)*G791)</f>
        <v/>
      </c>
      <c r="I791" s="4" t="str">
        <f t="array" ref="I791">IF($E791="","", XLOOKUP(SUMIFS(Prod_Prop!$A:$A,Prod_Prop!$B:$B,$E791,Prod_Prop!$H:$H,I$1,Prod_Prop!$I:$I,"Exacto"),Prod_Prop!$A:$A,Prod_Prop!$J:$J,"",0,1))</f>
        <v/>
      </c>
      <c r="J791" s="4" t="str">
        <f t="array" ref="J791">IF($E791="","", XLOOKUP(SUMIFS(Prod_Prop!$A:$A,Prod_Prop!$B:$B,$E791,Prod_Prop!$H:$H,J$1,Prod_Prop!$I:$I,"Exacto"),Prod_Prop!$A:$A,Prod_Prop!$J:$J,"",0,1))</f>
        <v/>
      </c>
      <c r="K791" s="4" t="str">
        <f t="array" ref="K791">IF($E791="","", XLOOKUP(SUMIFS(Prod_Prop!$A:$A,Prod_Prop!$B:$B,$E791,Prod_Prop!$H:$H,K$1,Prod_Prop!$I:$I,"Exacto"),Prod_Prop!$A:$A,Prod_Prop!$J:$J,"",0,1))</f>
        <v/>
      </c>
      <c r="L791" s="4" t="str">
        <f t="array" ref="L791">IF($E791="","", XLOOKUP(SUMIFS(Prod_Prop!$A:$A,Prod_Prop!$B:$B,$E791,Prod_Prop!$H:$H,L$1,Prod_Prop!$I:$I,"Exacto"),Prod_Prop!$A:$A,Prod_Prop!$J:$J,"",0,1))</f>
        <v/>
      </c>
      <c r="M791" s="4" t="str">
        <f t="array" ref="M791">IF($E791="","", XLOOKUP(SUMIFS(Prod_Prop!$A:$A,Prod_Prop!$B:$B,$E791,Prod_Prop!$H:$H,M$1,Prod_Prop!$I:$I,"Exacto"),Prod_Prop!$A:$A,Prod_Prop!$J:$J,"",0,1))</f>
        <v/>
      </c>
      <c r="N791" s="4" t="str">
        <f t="array" ref="N791">IF($E791="","", XLOOKUP(SUMIFS(Prod_Prop!$A:$A,Prod_Prop!$B:$B,$E791,Prod_Prop!$H:$H,N$1,Prod_Prop!$I:$I,"Exacto"),Prod_Prop!$A:$A,Prod_Prop!$J:$J,"",0,1))</f>
        <v/>
      </c>
      <c r="O791" s="4" t="str">
        <f t="array" ref="O791">IF($E791="","", XLOOKUP(SUMIFS(Prod_Prop!$A:$A,Prod_Prop!$B:$B,$E791,Prod_Prop!$H:$H,O$1,Prod_Prop!$I:$I,"Exacto"),Prod_Prop!$A:$A,Prod_Prop!$J:$J,"",0,1))</f>
        <v/>
      </c>
      <c r="P791" s="4" t="str">
        <f t="array" ref="P791">IF($E791="","", XLOOKUP(SUMIFS(Prod_Prop!$A:$A,Prod_Prop!$B:$B,$E791,Prod_Prop!$H:$H,P$1,Prod_Prop!$I:$I,"Exacto"),Prod_Prop!$A:$A,Prod_Prop!$J:$J,"",0,1))</f>
        <v/>
      </c>
      <c r="Q791" s="4" t="str">
        <f t="array" ref="Q791">IF($E791="","", XLOOKUP(SUMIFS(Prod_Prop!$A:$A,Prod_Prop!$B:$B,$E791,Prod_Prop!$H:$H,Q$1,Prod_Prop!$I:$I,"Exacto"),Prod_Prop!$A:$A,Prod_Prop!$J:$J,"",0,1))</f>
        <v/>
      </c>
      <c r="R791" s="4" t="str">
        <f t="array" ref="R791">IF($E791="","", XLOOKUP(SUMIFS(Prod_Prop!$A:$A,Prod_Prop!$B:$B,$E791,Prod_Prop!$H:$H,R$1,Prod_Prop!$I:$I,"Exacto"),Prod_Prop!$A:$A,Prod_Prop!$J:$J,"",0,1))</f>
        <v/>
      </c>
      <c r="S791" s="4" t="str">
        <f t="array" ref="S791">IF($E791="","", XLOOKUP(SUMIFS(Prod_Prop!$A:$A,Prod_Prop!$B:$B,$E791,Prod_Prop!$H:$H,S$1,Prod_Prop!$I:$I,"Exacto"),Prod_Prop!$A:$A,Prod_Prop!$J:$J,"",0,1))</f>
        <v/>
      </c>
      <c r="T791" s="4" t="str">
        <f t="array" ref="T791">IF($E791="","", XLOOKUP(SUMIFS(Prod_Prop!$A:$A,Prod_Prop!$B:$B,$E791,Prod_Prop!$H:$H,T$1,Prod_Prop!$I:$I,"Exacto"),Prod_Prop!$A:$A,Prod_Prop!$J:$J,"",0,1))</f>
        <v/>
      </c>
      <c r="U791" s="4" t="str">
        <f t="array" ref="U791">IF($E791="","", XLOOKUP(SUMIFS(Prod_Prop!$A:$A,Prod_Prop!$B:$B,$E791,Prod_Prop!$H:$H,U$1,Prod_Prop!$I:$I,"Exacto"),Prod_Prop!$A:$A,Prod_Prop!$J:$J,"",0,1))</f>
        <v/>
      </c>
      <c r="V791" s="4" t="str">
        <f t="array" ref="V791">IF($E791="","", XLOOKUP(SUMIFS(Prod_Prop!$A:$A,Prod_Prop!$B:$B,$E791,Prod_Prop!$H:$H,V$1,Prod_Prop!$I:$I,"Exacto"),Prod_Prop!$A:$A,Prod_Prop!$J:$J,"",0,1))</f>
        <v/>
      </c>
      <c r="X791" s="3" t="str">
        <f>IFERROR(__xludf.DUMMYFUNCTION("IF(D791="""","""",IFERROR(TRANSPOSE(FILTER('Validaciones Cotizador'!U:U,'Validaciones Cotizador'!O:O=D791,'Validaciones Cotizador'!T:T=""x"")),""Finalizar""))"),"")</f>
        <v/>
      </c>
    </row>
    <row r="792">
      <c r="A792" s="2" t="str">
        <f t="array" ref="A792">IF(E792="","",XLOOKUP(D792,'Validaciones Cotizador'!C:C,'Validaciones Cotizador'!A:A,"",0,1))</f>
        <v/>
      </c>
      <c r="B792" s="2" t="str">
        <f t="array" ref="B792">IF(F792="","",XLOOKUP(F792,Productos!E:E,Productos!G:G,"",0,1))</f>
        <v/>
      </c>
      <c r="C792" s="2" t="str">
        <f>IF(A792="","",SUMIFS('Validaciones Cotizador'!B:B,'Validaciones Cotizador'!C:C,D792,'Validaciones Cotizador'!A:A,A792))</f>
        <v/>
      </c>
      <c r="D792" s="4" t="str">
        <f>IFERROR(__xludf.DUMMYFUNCTION("IF(OR(F791=""Finalizar"",F791="""",F791=""Selecciona..""),"""",IF(OR(F791=""-"",INDEX(filter(Familias!F:F,Familias!D:D=A791,Familias!E:E=C791),1)=""O""),D791+1,D791))"),"")</f>
        <v/>
      </c>
      <c r="E792" s="2" t="str">
        <f>IF(OR(F792="",F792="Selecciona.."),"",IF(D792="Implemento",SUMIF(Implementos!B:B,F792,Implementos!A:A),SUMIF(Productos!E:E,F792,Productos!A:A)))</f>
        <v/>
      </c>
      <c r="F792" s="2" t="str">
        <f t="shared" si="2"/>
        <v/>
      </c>
      <c r="G792" s="10" t="str">
        <f t="array" ref="G792">IF(OR(F792="",F792="-",F792="Selecciona..",F792="Finalizar"),"",IF(A792="Rodados",XLOOKUP(B792,'Validaciones Cotizador'!I:I,'Validaciones Cotizador'!J:J,0,0,1),1))</f>
        <v/>
      </c>
      <c r="H792" s="11" t="str">
        <f>IF(OR(F792="",F792="Selecciona.."),"",SUMIF(Precio_Productos!K:K,E792,Precio_Productos!J:J)*G792)</f>
        <v/>
      </c>
      <c r="I792" s="4" t="str">
        <f t="array" ref="I792">IF($E792="","", XLOOKUP(SUMIFS(Prod_Prop!$A:$A,Prod_Prop!$B:$B,$E792,Prod_Prop!$H:$H,I$1,Prod_Prop!$I:$I,"Exacto"),Prod_Prop!$A:$A,Prod_Prop!$J:$J,"",0,1))</f>
        <v/>
      </c>
      <c r="J792" s="4" t="str">
        <f t="array" ref="J792">IF($E792="","", XLOOKUP(SUMIFS(Prod_Prop!$A:$A,Prod_Prop!$B:$B,$E792,Prod_Prop!$H:$H,J$1,Prod_Prop!$I:$I,"Exacto"),Prod_Prop!$A:$A,Prod_Prop!$J:$J,"",0,1))</f>
        <v/>
      </c>
      <c r="K792" s="4" t="str">
        <f t="array" ref="K792">IF($E792="","", XLOOKUP(SUMIFS(Prod_Prop!$A:$A,Prod_Prop!$B:$B,$E792,Prod_Prop!$H:$H,K$1,Prod_Prop!$I:$I,"Exacto"),Prod_Prop!$A:$A,Prod_Prop!$J:$J,"",0,1))</f>
        <v/>
      </c>
      <c r="L792" s="4" t="str">
        <f t="array" ref="L792">IF($E792="","", XLOOKUP(SUMIFS(Prod_Prop!$A:$A,Prod_Prop!$B:$B,$E792,Prod_Prop!$H:$H,L$1,Prod_Prop!$I:$I,"Exacto"),Prod_Prop!$A:$A,Prod_Prop!$J:$J,"",0,1))</f>
        <v/>
      </c>
      <c r="M792" s="4" t="str">
        <f t="array" ref="M792">IF($E792="","", XLOOKUP(SUMIFS(Prod_Prop!$A:$A,Prod_Prop!$B:$B,$E792,Prod_Prop!$H:$H,M$1,Prod_Prop!$I:$I,"Exacto"),Prod_Prop!$A:$A,Prod_Prop!$J:$J,"",0,1))</f>
        <v/>
      </c>
      <c r="N792" s="4" t="str">
        <f t="array" ref="N792">IF($E792="","", XLOOKUP(SUMIFS(Prod_Prop!$A:$A,Prod_Prop!$B:$B,$E792,Prod_Prop!$H:$H,N$1,Prod_Prop!$I:$I,"Exacto"),Prod_Prop!$A:$A,Prod_Prop!$J:$J,"",0,1))</f>
        <v/>
      </c>
      <c r="O792" s="4" t="str">
        <f t="array" ref="O792">IF($E792="","", XLOOKUP(SUMIFS(Prod_Prop!$A:$A,Prod_Prop!$B:$B,$E792,Prod_Prop!$H:$H,O$1,Prod_Prop!$I:$I,"Exacto"),Prod_Prop!$A:$A,Prod_Prop!$J:$J,"",0,1))</f>
        <v/>
      </c>
      <c r="P792" s="4" t="str">
        <f t="array" ref="P792">IF($E792="","", XLOOKUP(SUMIFS(Prod_Prop!$A:$A,Prod_Prop!$B:$B,$E792,Prod_Prop!$H:$H,P$1,Prod_Prop!$I:$I,"Exacto"),Prod_Prop!$A:$A,Prod_Prop!$J:$J,"",0,1))</f>
        <v/>
      </c>
      <c r="Q792" s="4" t="str">
        <f t="array" ref="Q792">IF($E792="","", XLOOKUP(SUMIFS(Prod_Prop!$A:$A,Prod_Prop!$B:$B,$E792,Prod_Prop!$H:$H,Q$1,Prod_Prop!$I:$I,"Exacto"),Prod_Prop!$A:$A,Prod_Prop!$J:$J,"",0,1))</f>
        <v/>
      </c>
      <c r="R792" s="4" t="str">
        <f t="array" ref="R792">IF($E792="","", XLOOKUP(SUMIFS(Prod_Prop!$A:$A,Prod_Prop!$B:$B,$E792,Prod_Prop!$H:$H,R$1,Prod_Prop!$I:$I,"Exacto"),Prod_Prop!$A:$A,Prod_Prop!$J:$J,"",0,1))</f>
        <v/>
      </c>
      <c r="S792" s="4" t="str">
        <f t="array" ref="S792">IF($E792="","", XLOOKUP(SUMIFS(Prod_Prop!$A:$A,Prod_Prop!$B:$B,$E792,Prod_Prop!$H:$H,S$1,Prod_Prop!$I:$I,"Exacto"),Prod_Prop!$A:$A,Prod_Prop!$J:$J,"",0,1))</f>
        <v/>
      </c>
      <c r="T792" s="4" t="str">
        <f t="array" ref="T792">IF($E792="","", XLOOKUP(SUMIFS(Prod_Prop!$A:$A,Prod_Prop!$B:$B,$E792,Prod_Prop!$H:$H,T$1,Prod_Prop!$I:$I,"Exacto"),Prod_Prop!$A:$A,Prod_Prop!$J:$J,"",0,1))</f>
        <v/>
      </c>
      <c r="U792" s="4" t="str">
        <f t="array" ref="U792">IF($E792="","", XLOOKUP(SUMIFS(Prod_Prop!$A:$A,Prod_Prop!$B:$B,$E792,Prod_Prop!$H:$H,U$1,Prod_Prop!$I:$I,"Exacto"),Prod_Prop!$A:$A,Prod_Prop!$J:$J,"",0,1))</f>
        <v/>
      </c>
      <c r="V792" s="4" t="str">
        <f t="array" ref="V792">IF($E792="","", XLOOKUP(SUMIFS(Prod_Prop!$A:$A,Prod_Prop!$B:$B,$E792,Prod_Prop!$H:$H,V$1,Prod_Prop!$I:$I,"Exacto"),Prod_Prop!$A:$A,Prod_Prop!$J:$J,"",0,1))</f>
        <v/>
      </c>
      <c r="X792" s="3" t="str">
        <f>IFERROR(__xludf.DUMMYFUNCTION("IF(D792="""","""",IFERROR(TRANSPOSE(FILTER('Validaciones Cotizador'!U:U,'Validaciones Cotizador'!O:O=D792,'Validaciones Cotizador'!T:T=""x"")),""Finalizar""))"),"")</f>
        <v/>
      </c>
    </row>
    <row r="793">
      <c r="A793" s="2" t="str">
        <f t="array" ref="A793">IF(E793="","",XLOOKUP(D793,'Validaciones Cotizador'!C:C,'Validaciones Cotizador'!A:A,"",0,1))</f>
        <v/>
      </c>
      <c r="B793" s="2" t="str">
        <f t="array" ref="B793">IF(F793="","",XLOOKUP(F793,Productos!E:E,Productos!G:G,"",0,1))</f>
        <v/>
      </c>
      <c r="C793" s="2" t="str">
        <f>IF(A793="","",SUMIFS('Validaciones Cotizador'!B:B,'Validaciones Cotizador'!C:C,D793,'Validaciones Cotizador'!A:A,A793))</f>
        <v/>
      </c>
      <c r="D793" s="4" t="str">
        <f>IFERROR(__xludf.DUMMYFUNCTION("IF(OR(F792=""Finalizar"",F792="""",F792=""Selecciona..""),"""",IF(OR(F792=""-"",INDEX(filter(Familias!F:F,Familias!D:D=A792,Familias!E:E=C792),1)=""O""),D792+1,D792))"),"")</f>
        <v/>
      </c>
      <c r="E793" s="2" t="str">
        <f>IF(OR(F793="",F793="Selecciona.."),"",IF(D793="Implemento",SUMIF(Implementos!B:B,F793,Implementos!A:A),SUMIF(Productos!E:E,F793,Productos!A:A)))</f>
        <v/>
      </c>
      <c r="F793" s="2" t="str">
        <f t="shared" si="2"/>
        <v/>
      </c>
      <c r="G793" s="10" t="str">
        <f t="array" ref="G793">IF(OR(F793="",F793="-",F793="Selecciona..",F793="Finalizar"),"",IF(A793="Rodados",XLOOKUP(B793,'Validaciones Cotizador'!I:I,'Validaciones Cotizador'!J:J,0,0,1),1))</f>
        <v/>
      </c>
      <c r="H793" s="11" t="str">
        <f>IF(OR(F793="",F793="Selecciona.."),"",SUMIF(Precio_Productos!K:K,E793,Precio_Productos!J:J)*G793)</f>
        <v/>
      </c>
      <c r="I793" s="4" t="str">
        <f t="array" ref="I793">IF($E793="","", XLOOKUP(SUMIFS(Prod_Prop!$A:$A,Prod_Prop!$B:$B,$E793,Prod_Prop!$H:$H,I$1,Prod_Prop!$I:$I,"Exacto"),Prod_Prop!$A:$A,Prod_Prop!$J:$J,"",0,1))</f>
        <v/>
      </c>
      <c r="J793" s="4" t="str">
        <f t="array" ref="J793">IF($E793="","", XLOOKUP(SUMIFS(Prod_Prop!$A:$A,Prod_Prop!$B:$B,$E793,Prod_Prop!$H:$H,J$1,Prod_Prop!$I:$I,"Exacto"),Prod_Prop!$A:$A,Prod_Prop!$J:$J,"",0,1))</f>
        <v/>
      </c>
      <c r="K793" s="4" t="str">
        <f t="array" ref="K793">IF($E793="","", XLOOKUP(SUMIFS(Prod_Prop!$A:$A,Prod_Prop!$B:$B,$E793,Prod_Prop!$H:$H,K$1,Prod_Prop!$I:$I,"Exacto"),Prod_Prop!$A:$A,Prod_Prop!$J:$J,"",0,1))</f>
        <v/>
      </c>
      <c r="L793" s="4" t="str">
        <f t="array" ref="L793">IF($E793="","", XLOOKUP(SUMIFS(Prod_Prop!$A:$A,Prod_Prop!$B:$B,$E793,Prod_Prop!$H:$H,L$1,Prod_Prop!$I:$I,"Exacto"),Prod_Prop!$A:$A,Prod_Prop!$J:$J,"",0,1))</f>
        <v/>
      </c>
      <c r="M793" s="4" t="str">
        <f t="array" ref="M793">IF($E793="","", XLOOKUP(SUMIFS(Prod_Prop!$A:$A,Prod_Prop!$B:$B,$E793,Prod_Prop!$H:$H,M$1,Prod_Prop!$I:$I,"Exacto"),Prod_Prop!$A:$A,Prod_Prop!$J:$J,"",0,1))</f>
        <v/>
      </c>
      <c r="N793" s="4" t="str">
        <f t="array" ref="N793">IF($E793="","", XLOOKUP(SUMIFS(Prod_Prop!$A:$A,Prod_Prop!$B:$B,$E793,Prod_Prop!$H:$H,N$1,Prod_Prop!$I:$I,"Exacto"),Prod_Prop!$A:$A,Prod_Prop!$J:$J,"",0,1))</f>
        <v/>
      </c>
      <c r="O793" s="4" t="str">
        <f t="array" ref="O793">IF($E793="","", XLOOKUP(SUMIFS(Prod_Prop!$A:$A,Prod_Prop!$B:$B,$E793,Prod_Prop!$H:$H,O$1,Prod_Prop!$I:$I,"Exacto"),Prod_Prop!$A:$A,Prod_Prop!$J:$J,"",0,1))</f>
        <v/>
      </c>
      <c r="P793" s="4" t="str">
        <f t="array" ref="P793">IF($E793="","", XLOOKUP(SUMIFS(Prod_Prop!$A:$A,Prod_Prop!$B:$B,$E793,Prod_Prop!$H:$H,P$1,Prod_Prop!$I:$I,"Exacto"),Prod_Prop!$A:$A,Prod_Prop!$J:$J,"",0,1))</f>
        <v/>
      </c>
      <c r="Q793" s="4" t="str">
        <f t="array" ref="Q793">IF($E793="","", XLOOKUP(SUMIFS(Prod_Prop!$A:$A,Prod_Prop!$B:$B,$E793,Prod_Prop!$H:$H,Q$1,Prod_Prop!$I:$I,"Exacto"),Prod_Prop!$A:$A,Prod_Prop!$J:$J,"",0,1))</f>
        <v/>
      </c>
      <c r="R793" s="4" t="str">
        <f t="array" ref="R793">IF($E793="","", XLOOKUP(SUMIFS(Prod_Prop!$A:$A,Prod_Prop!$B:$B,$E793,Prod_Prop!$H:$H,R$1,Prod_Prop!$I:$I,"Exacto"),Prod_Prop!$A:$A,Prod_Prop!$J:$J,"",0,1))</f>
        <v/>
      </c>
      <c r="S793" s="4" t="str">
        <f t="array" ref="S793">IF($E793="","", XLOOKUP(SUMIFS(Prod_Prop!$A:$A,Prod_Prop!$B:$B,$E793,Prod_Prop!$H:$H,S$1,Prod_Prop!$I:$I,"Exacto"),Prod_Prop!$A:$A,Prod_Prop!$J:$J,"",0,1))</f>
        <v/>
      </c>
      <c r="T793" s="4" t="str">
        <f t="array" ref="T793">IF($E793="","", XLOOKUP(SUMIFS(Prod_Prop!$A:$A,Prod_Prop!$B:$B,$E793,Prod_Prop!$H:$H,T$1,Prod_Prop!$I:$I,"Exacto"),Prod_Prop!$A:$A,Prod_Prop!$J:$J,"",0,1))</f>
        <v/>
      </c>
      <c r="U793" s="4" t="str">
        <f t="array" ref="U793">IF($E793="","", XLOOKUP(SUMIFS(Prod_Prop!$A:$A,Prod_Prop!$B:$B,$E793,Prod_Prop!$H:$H,U$1,Prod_Prop!$I:$I,"Exacto"),Prod_Prop!$A:$A,Prod_Prop!$J:$J,"",0,1))</f>
        <v/>
      </c>
      <c r="V793" s="4" t="str">
        <f t="array" ref="V793">IF($E793="","", XLOOKUP(SUMIFS(Prod_Prop!$A:$A,Prod_Prop!$B:$B,$E793,Prod_Prop!$H:$H,V$1,Prod_Prop!$I:$I,"Exacto"),Prod_Prop!$A:$A,Prod_Prop!$J:$J,"",0,1))</f>
        <v/>
      </c>
      <c r="X793" s="3" t="str">
        <f>IFERROR(__xludf.DUMMYFUNCTION("IF(D793="""","""",IFERROR(TRANSPOSE(FILTER('Validaciones Cotizador'!U:U,'Validaciones Cotizador'!O:O=D793,'Validaciones Cotizador'!T:T=""x"")),""Finalizar""))"),"")</f>
        <v/>
      </c>
    </row>
    <row r="794">
      <c r="A794" s="2" t="str">
        <f t="array" ref="A794">IF(E794="","",XLOOKUP(D794,'Validaciones Cotizador'!C:C,'Validaciones Cotizador'!A:A,"",0,1))</f>
        <v/>
      </c>
      <c r="B794" s="2" t="str">
        <f t="array" ref="B794">IF(F794="","",XLOOKUP(F794,Productos!E:E,Productos!G:G,"",0,1))</f>
        <v/>
      </c>
      <c r="C794" s="2" t="str">
        <f>IF(A794="","",SUMIFS('Validaciones Cotizador'!B:B,'Validaciones Cotizador'!C:C,D794,'Validaciones Cotizador'!A:A,A794))</f>
        <v/>
      </c>
      <c r="D794" s="4" t="str">
        <f>IFERROR(__xludf.DUMMYFUNCTION("IF(OR(F793=""Finalizar"",F793="""",F793=""Selecciona..""),"""",IF(OR(F793=""-"",INDEX(filter(Familias!F:F,Familias!D:D=A793,Familias!E:E=C793),1)=""O""),D793+1,D793))"),"")</f>
        <v/>
      </c>
      <c r="E794" s="2" t="str">
        <f>IF(OR(F794="",F794="Selecciona.."),"",IF(D794="Implemento",SUMIF(Implementos!B:B,F794,Implementos!A:A),SUMIF(Productos!E:E,F794,Productos!A:A)))</f>
        <v/>
      </c>
      <c r="F794" s="2" t="str">
        <f t="shared" si="2"/>
        <v/>
      </c>
      <c r="G794" s="10" t="str">
        <f t="array" ref="G794">IF(OR(F794="",F794="-",F794="Selecciona..",F794="Finalizar"),"",IF(A794="Rodados",XLOOKUP(B794,'Validaciones Cotizador'!I:I,'Validaciones Cotizador'!J:J,0,0,1),1))</f>
        <v/>
      </c>
      <c r="H794" s="11" t="str">
        <f>IF(OR(F794="",F794="Selecciona.."),"",SUMIF(Precio_Productos!K:K,E794,Precio_Productos!J:J)*G794)</f>
        <v/>
      </c>
      <c r="I794" s="4" t="str">
        <f t="array" ref="I794">IF($E794="","", XLOOKUP(SUMIFS(Prod_Prop!$A:$A,Prod_Prop!$B:$B,$E794,Prod_Prop!$H:$H,I$1,Prod_Prop!$I:$I,"Exacto"),Prod_Prop!$A:$A,Prod_Prop!$J:$J,"",0,1))</f>
        <v/>
      </c>
      <c r="J794" s="4" t="str">
        <f t="array" ref="J794">IF($E794="","", XLOOKUP(SUMIFS(Prod_Prop!$A:$A,Prod_Prop!$B:$B,$E794,Prod_Prop!$H:$H,J$1,Prod_Prop!$I:$I,"Exacto"),Prod_Prop!$A:$A,Prod_Prop!$J:$J,"",0,1))</f>
        <v/>
      </c>
      <c r="K794" s="4" t="str">
        <f t="array" ref="K794">IF($E794="","", XLOOKUP(SUMIFS(Prod_Prop!$A:$A,Prod_Prop!$B:$B,$E794,Prod_Prop!$H:$H,K$1,Prod_Prop!$I:$I,"Exacto"),Prod_Prop!$A:$A,Prod_Prop!$J:$J,"",0,1))</f>
        <v/>
      </c>
      <c r="L794" s="4" t="str">
        <f t="array" ref="L794">IF($E794="","", XLOOKUP(SUMIFS(Prod_Prop!$A:$A,Prod_Prop!$B:$B,$E794,Prod_Prop!$H:$H,L$1,Prod_Prop!$I:$I,"Exacto"),Prod_Prop!$A:$A,Prod_Prop!$J:$J,"",0,1))</f>
        <v/>
      </c>
      <c r="M794" s="4" t="str">
        <f t="array" ref="M794">IF($E794="","", XLOOKUP(SUMIFS(Prod_Prop!$A:$A,Prod_Prop!$B:$B,$E794,Prod_Prop!$H:$H,M$1,Prod_Prop!$I:$I,"Exacto"),Prod_Prop!$A:$A,Prod_Prop!$J:$J,"",0,1))</f>
        <v/>
      </c>
      <c r="N794" s="4" t="str">
        <f t="array" ref="N794">IF($E794="","", XLOOKUP(SUMIFS(Prod_Prop!$A:$A,Prod_Prop!$B:$B,$E794,Prod_Prop!$H:$H,N$1,Prod_Prop!$I:$I,"Exacto"),Prod_Prop!$A:$A,Prod_Prop!$J:$J,"",0,1))</f>
        <v/>
      </c>
      <c r="O794" s="4" t="str">
        <f t="array" ref="O794">IF($E794="","", XLOOKUP(SUMIFS(Prod_Prop!$A:$A,Prod_Prop!$B:$B,$E794,Prod_Prop!$H:$H,O$1,Prod_Prop!$I:$I,"Exacto"),Prod_Prop!$A:$A,Prod_Prop!$J:$J,"",0,1))</f>
        <v/>
      </c>
      <c r="P794" s="4" t="str">
        <f t="array" ref="P794">IF($E794="","", XLOOKUP(SUMIFS(Prod_Prop!$A:$A,Prod_Prop!$B:$B,$E794,Prod_Prop!$H:$H,P$1,Prod_Prop!$I:$I,"Exacto"),Prod_Prop!$A:$A,Prod_Prop!$J:$J,"",0,1))</f>
        <v/>
      </c>
      <c r="Q794" s="4" t="str">
        <f t="array" ref="Q794">IF($E794="","", XLOOKUP(SUMIFS(Prod_Prop!$A:$A,Prod_Prop!$B:$B,$E794,Prod_Prop!$H:$H,Q$1,Prod_Prop!$I:$I,"Exacto"),Prod_Prop!$A:$A,Prod_Prop!$J:$J,"",0,1))</f>
        <v/>
      </c>
      <c r="R794" s="4" t="str">
        <f t="array" ref="R794">IF($E794="","", XLOOKUP(SUMIFS(Prod_Prop!$A:$A,Prod_Prop!$B:$B,$E794,Prod_Prop!$H:$H,R$1,Prod_Prop!$I:$I,"Exacto"),Prod_Prop!$A:$A,Prod_Prop!$J:$J,"",0,1))</f>
        <v/>
      </c>
      <c r="S794" s="4" t="str">
        <f t="array" ref="S794">IF($E794="","", XLOOKUP(SUMIFS(Prod_Prop!$A:$A,Prod_Prop!$B:$B,$E794,Prod_Prop!$H:$H,S$1,Prod_Prop!$I:$I,"Exacto"),Prod_Prop!$A:$A,Prod_Prop!$J:$J,"",0,1))</f>
        <v/>
      </c>
      <c r="T794" s="4" t="str">
        <f t="array" ref="T794">IF($E794="","", XLOOKUP(SUMIFS(Prod_Prop!$A:$A,Prod_Prop!$B:$B,$E794,Prod_Prop!$H:$H,T$1,Prod_Prop!$I:$I,"Exacto"),Prod_Prop!$A:$A,Prod_Prop!$J:$J,"",0,1))</f>
        <v/>
      </c>
      <c r="U794" s="4" t="str">
        <f t="array" ref="U794">IF($E794="","", XLOOKUP(SUMIFS(Prod_Prop!$A:$A,Prod_Prop!$B:$B,$E794,Prod_Prop!$H:$H,U$1,Prod_Prop!$I:$I,"Exacto"),Prod_Prop!$A:$A,Prod_Prop!$J:$J,"",0,1))</f>
        <v/>
      </c>
      <c r="V794" s="4" t="str">
        <f t="array" ref="V794">IF($E794="","", XLOOKUP(SUMIFS(Prod_Prop!$A:$A,Prod_Prop!$B:$B,$E794,Prod_Prop!$H:$H,V$1,Prod_Prop!$I:$I,"Exacto"),Prod_Prop!$A:$A,Prod_Prop!$J:$J,"",0,1))</f>
        <v/>
      </c>
      <c r="X794" s="3" t="str">
        <f>IFERROR(__xludf.DUMMYFUNCTION("IF(D794="""","""",IFERROR(TRANSPOSE(FILTER('Validaciones Cotizador'!U:U,'Validaciones Cotizador'!O:O=D794,'Validaciones Cotizador'!T:T=""x"")),""Finalizar""))"),"")</f>
        <v/>
      </c>
    </row>
    <row r="795">
      <c r="A795" s="2" t="str">
        <f t="array" ref="A795">IF(E795="","",XLOOKUP(D795,'Validaciones Cotizador'!C:C,'Validaciones Cotizador'!A:A,"",0,1))</f>
        <v/>
      </c>
      <c r="B795" s="2" t="str">
        <f t="array" ref="B795">IF(F795="","",XLOOKUP(F795,Productos!E:E,Productos!G:G,"",0,1))</f>
        <v/>
      </c>
      <c r="C795" s="2" t="str">
        <f>IF(A795="","",SUMIFS('Validaciones Cotizador'!B:B,'Validaciones Cotizador'!C:C,D795,'Validaciones Cotizador'!A:A,A795))</f>
        <v/>
      </c>
      <c r="D795" s="4" t="str">
        <f>IFERROR(__xludf.DUMMYFUNCTION("IF(OR(F794=""Finalizar"",F794="""",F794=""Selecciona..""),"""",IF(OR(F794=""-"",INDEX(filter(Familias!F:F,Familias!D:D=A794,Familias!E:E=C794),1)=""O""),D794+1,D794))"),"")</f>
        <v/>
      </c>
      <c r="E795" s="2" t="str">
        <f>IF(OR(F795="",F795="Selecciona.."),"",IF(D795="Implemento",SUMIF(Implementos!B:B,F795,Implementos!A:A),SUMIF(Productos!E:E,F795,Productos!A:A)))</f>
        <v/>
      </c>
      <c r="F795" s="2" t="str">
        <f t="shared" si="2"/>
        <v/>
      </c>
      <c r="G795" s="10" t="str">
        <f t="array" ref="G795">IF(OR(F795="",F795="-",F795="Selecciona..",F795="Finalizar"),"",IF(A795="Rodados",XLOOKUP(B795,'Validaciones Cotizador'!I:I,'Validaciones Cotizador'!J:J,0,0,1),1))</f>
        <v/>
      </c>
      <c r="H795" s="11" t="str">
        <f>IF(OR(F795="",F795="Selecciona.."),"",SUMIF(Precio_Productos!K:K,E795,Precio_Productos!J:J)*G795)</f>
        <v/>
      </c>
      <c r="I795" s="4" t="str">
        <f t="array" ref="I795">IF($E795="","", XLOOKUP(SUMIFS(Prod_Prop!$A:$A,Prod_Prop!$B:$B,$E795,Prod_Prop!$H:$H,I$1,Prod_Prop!$I:$I,"Exacto"),Prod_Prop!$A:$A,Prod_Prop!$J:$J,"",0,1))</f>
        <v/>
      </c>
      <c r="J795" s="4" t="str">
        <f t="array" ref="J795">IF($E795="","", XLOOKUP(SUMIFS(Prod_Prop!$A:$A,Prod_Prop!$B:$B,$E795,Prod_Prop!$H:$H,J$1,Prod_Prop!$I:$I,"Exacto"),Prod_Prop!$A:$A,Prod_Prop!$J:$J,"",0,1))</f>
        <v/>
      </c>
      <c r="K795" s="4" t="str">
        <f t="array" ref="K795">IF($E795="","", XLOOKUP(SUMIFS(Prod_Prop!$A:$A,Prod_Prop!$B:$B,$E795,Prod_Prop!$H:$H,K$1,Prod_Prop!$I:$I,"Exacto"),Prod_Prop!$A:$A,Prod_Prop!$J:$J,"",0,1))</f>
        <v/>
      </c>
      <c r="L795" s="4" t="str">
        <f t="array" ref="L795">IF($E795="","", XLOOKUP(SUMIFS(Prod_Prop!$A:$A,Prod_Prop!$B:$B,$E795,Prod_Prop!$H:$H,L$1,Prod_Prop!$I:$I,"Exacto"),Prod_Prop!$A:$A,Prod_Prop!$J:$J,"",0,1))</f>
        <v/>
      </c>
      <c r="M795" s="4" t="str">
        <f t="array" ref="M795">IF($E795="","", XLOOKUP(SUMIFS(Prod_Prop!$A:$A,Prod_Prop!$B:$B,$E795,Prod_Prop!$H:$H,M$1,Prod_Prop!$I:$I,"Exacto"),Prod_Prop!$A:$A,Prod_Prop!$J:$J,"",0,1))</f>
        <v/>
      </c>
      <c r="N795" s="4" t="str">
        <f t="array" ref="N795">IF($E795="","", XLOOKUP(SUMIFS(Prod_Prop!$A:$A,Prod_Prop!$B:$B,$E795,Prod_Prop!$H:$H,N$1,Prod_Prop!$I:$I,"Exacto"),Prod_Prop!$A:$A,Prod_Prop!$J:$J,"",0,1))</f>
        <v/>
      </c>
      <c r="O795" s="4" t="str">
        <f t="array" ref="O795">IF($E795="","", XLOOKUP(SUMIFS(Prod_Prop!$A:$A,Prod_Prop!$B:$B,$E795,Prod_Prop!$H:$H,O$1,Prod_Prop!$I:$I,"Exacto"),Prod_Prop!$A:$A,Prod_Prop!$J:$J,"",0,1))</f>
        <v/>
      </c>
      <c r="P795" s="4" t="str">
        <f t="array" ref="P795">IF($E795="","", XLOOKUP(SUMIFS(Prod_Prop!$A:$A,Prod_Prop!$B:$B,$E795,Prod_Prop!$H:$H,P$1,Prod_Prop!$I:$I,"Exacto"),Prod_Prop!$A:$A,Prod_Prop!$J:$J,"",0,1))</f>
        <v/>
      </c>
      <c r="Q795" s="4" t="str">
        <f t="array" ref="Q795">IF($E795="","", XLOOKUP(SUMIFS(Prod_Prop!$A:$A,Prod_Prop!$B:$B,$E795,Prod_Prop!$H:$H,Q$1,Prod_Prop!$I:$I,"Exacto"),Prod_Prop!$A:$A,Prod_Prop!$J:$J,"",0,1))</f>
        <v/>
      </c>
      <c r="R795" s="4" t="str">
        <f t="array" ref="R795">IF($E795="","", XLOOKUP(SUMIFS(Prod_Prop!$A:$A,Prod_Prop!$B:$B,$E795,Prod_Prop!$H:$H,R$1,Prod_Prop!$I:$I,"Exacto"),Prod_Prop!$A:$A,Prod_Prop!$J:$J,"",0,1))</f>
        <v/>
      </c>
      <c r="S795" s="4" t="str">
        <f t="array" ref="S795">IF($E795="","", XLOOKUP(SUMIFS(Prod_Prop!$A:$A,Prod_Prop!$B:$B,$E795,Prod_Prop!$H:$H,S$1,Prod_Prop!$I:$I,"Exacto"),Prod_Prop!$A:$A,Prod_Prop!$J:$J,"",0,1))</f>
        <v/>
      </c>
      <c r="T795" s="4" t="str">
        <f t="array" ref="T795">IF($E795="","", XLOOKUP(SUMIFS(Prod_Prop!$A:$A,Prod_Prop!$B:$B,$E795,Prod_Prop!$H:$H,T$1,Prod_Prop!$I:$I,"Exacto"),Prod_Prop!$A:$A,Prod_Prop!$J:$J,"",0,1))</f>
        <v/>
      </c>
      <c r="U795" s="4" t="str">
        <f t="array" ref="U795">IF($E795="","", XLOOKUP(SUMIFS(Prod_Prop!$A:$A,Prod_Prop!$B:$B,$E795,Prod_Prop!$H:$H,U$1,Prod_Prop!$I:$I,"Exacto"),Prod_Prop!$A:$A,Prod_Prop!$J:$J,"",0,1))</f>
        <v/>
      </c>
      <c r="V795" s="4" t="str">
        <f t="array" ref="V795">IF($E795="","", XLOOKUP(SUMIFS(Prod_Prop!$A:$A,Prod_Prop!$B:$B,$E795,Prod_Prop!$H:$H,V$1,Prod_Prop!$I:$I,"Exacto"),Prod_Prop!$A:$A,Prod_Prop!$J:$J,"",0,1))</f>
        <v/>
      </c>
      <c r="X795" s="3" t="str">
        <f>IFERROR(__xludf.DUMMYFUNCTION("IF(D795="""","""",IFERROR(TRANSPOSE(FILTER('Validaciones Cotizador'!U:U,'Validaciones Cotizador'!O:O=D795,'Validaciones Cotizador'!T:T=""x"")),""Finalizar""))"),"")</f>
        <v/>
      </c>
    </row>
    <row r="796">
      <c r="A796" s="2" t="str">
        <f t="array" ref="A796">IF(E796="","",XLOOKUP(D796,'Validaciones Cotizador'!C:C,'Validaciones Cotizador'!A:A,"",0,1))</f>
        <v/>
      </c>
      <c r="B796" s="2" t="str">
        <f t="array" ref="B796">IF(F796="","",XLOOKUP(F796,Productos!E:E,Productos!G:G,"",0,1))</f>
        <v/>
      </c>
      <c r="C796" s="2" t="str">
        <f>IF(A796="","",SUMIFS('Validaciones Cotizador'!B:B,'Validaciones Cotizador'!C:C,D796,'Validaciones Cotizador'!A:A,A796))</f>
        <v/>
      </c>
      <c r="D796" s="4" t="str">
        <f>IFERROR(__xludf.DUMMYFUNCTION("IF(OR(F795=""Finalizar"",F795="""",F795=""Selecciona..""),"""",IF(OR(F795=""-"",INDEX(filter(Familias!F:F,Familias!D:D=A795,Familias!E:E=C795),1)=""O""),D795+1,D795))"),"")</f>
        <v/>
      </c>
      <c r="E796" s="2" t="str">
        <f>IF(OR(F796="",F796="Selecciona.."),"",IF(D796="Implemento",SUMIF(Implementos!B:B,F796,Implementos!A:A),SUMIF(Productos!E:E,F796,Productos!A:A)))</f>
        <v/>
      </c>
      <c r="F796" s="2" t="str">
        <f t="shared" si="2"/>
        <v/>
      </c>
      <c r="G796" s="10" t="str">
        <f t="array" ref="G796">IF(OR(F796="",F796="-",F796="Selecciona..",F796="Finalizar"),"",IF(A796="Rodados",XLOOKUP(B796,'Validaciones Cotizador'!I:I,'Validaciones Cotizador'!J:J,0,0,1),1))</f>
        <v/>
      </c>
      <c r="H796" s="11" t="str">
        <f>IF(OR(F796="",F796="Selecciona.."),"",SUMIF(Precio_Productos!K:K,E796,Precio_Productos!J:J)*G796)</f>
        <v/>
      </c>
      <c r="I796" s="4" t="str">
        <f t="array" ref="I796">IF($E796="","", XLOOKUP(SUMIFS(Prod_Prop!$A:$A,Prod_Prop!$B:$B,$E796,Prod_Prop!$H:$H,I$1,Prod_Prop!$I:$I,"Exacto"),Prod_Prop!$A:$A,Prod_Prop!$J:$J,"",0,1))</f>
        <v/>
      </c>
      <c r="J796" s="4" t="str">
        <f t="array" ref="J796">IF($E796="","", XLOOKUP(SUMIFS(Prod_Prop!$A:$A,Prod_Prop!$B:$B,$E796,Prod_Prop!$H:$H,J$1,Prod_Prop!$I:$I,"Exacto"),Prod_Prop!$A:$A,Prod_Prop!$J:$J,"",0,1))</f>
        <v/>
      </c>
      <c r="K796" s="4" t="str">
        <f t="array" ref="K796">IF($E796="","", XLOOKUP(SUMIFS(Prod_Prop!$A:$A,Prod_Prop!$B:$B,$E796,Prod_Prop!$H:$H,K$1,Prod_Prop!$I:$I,"Exacto"),Prod_Prop!$A:$A,Prod_Prop!$J:$J,"",0,1))</f>
        <v/>
      </c>
      <c r="L796" s="4" t="str">
        <f t="array" ref="L796">IF($E796="","", XLOOKUP(SUMIFS(Prod_Prop!$A:$A,Prod_Prop!$B:$B,$E796,Prod_Prop!$H:$H,L$1,Prod_Prop!$I:$I,"Exacto"),Prod_Prop!$A:$A,Prod_Prop!$J:$J,"",0,1))</f>
        <v/>
      </c>
      <c r="M796" s="4" t="str">
        <f t="array" ref="M796">IF($E796="","", XLOOKUP(SUMIFS(Prod_Prop!$A:$A,Prod_Prop!$B:$B,$E796,Prod_Prop!$H:$H,M$1,Prod_Prop!$I:$I,"Exacto"),Prod_Prop!$A:$A,Prod_Prop!$J:$J,"",0,1))</f>
        <v/>
      </c>
      <c r="N796" s="4" t="str">
        <f t="array" ref="N796">IF($E796="","", XLOOKUP(SUMIFS(Prod_Prop!$A:$A,Prod_Prop!$B:$B,$E796,Prod_Prop!$H:$H,N$1,Prod_Prop!$I:$I,"Exacto"),Prod_Prop!$A:$A,Prod_Prop!$J:$J,"",0,1))</f>
        <v/>
      </c>
      <c r="O796" s="4" t="str">
        <f t="array" ref="O796">IF($E796="","", XLOOKUP(SUMIFS(Prod_Prop!$A:$A,Prod_Prop!$B:$B,$E796,Prod_Prop!$H:$H,O$1,Prod_Prop!$I:$I,"Exacto"),Prod_Prop!$A:$A,Prod_Prop!$J:$J,"",0,1))</f>
        <v/>
      </c>
      <c r="P796" s="4" t="str">
        <f t="array" ref="P796">IF($E796="","", XLOOKUP(SUMIFS(Prod_Prop!$A:$A,Prod_Prop!$B:$B,$E796,Prod_Prop!$H:$H,P$1,Prod_Prop!$I:$I,"Exacto"),Prod_Prop!$A:$A,Prod_Prop!$J:$J,"",0,1))</f>
        <v/>
      </c>
      <c r="Q796" s="4" t="str">
        <f t="array" ref="Q796">IF($E796="","", XLOOKUP(SUMIFS(Prod_Prop!$A:$A,Prod_Prop!$B:$B,$E796,Prod_Prop!$H:$H,Q$1,Prod_Prop!$I:$I,"Exacto"),Prod_Prop!$A:$A,Prod_Prop!$J:$J,"",0,1))</f>
        <v/>
      </c>
      <c r="R796" s="4" t="str">
        <f t="array" ref="R796">IF($E796="","", XLOOKUP(SUMIFS(Prod_Prop!$A:$A,Prod_Prop!$B:$B,$E796,Prod_Prop!$H:$H,R$1,Prod_Prop!$I:$I,"Exacto"),Prod_Prop!$A:$A,Prod_Prop!$J:$J,"",0,1))</f>
        <v/>
      </c>
      <c r="S796" s="4" t="str">
        <f t="array" ref="S796">IF($E796="","", XLOOKUP(SUMIFS(Prod_Prop!$A:$A,Prod_Prop!$B:$B,$E796,Prod_Prop!$H:$H,S$1,Prod_Prop!$I:$I,"Exacto"),Prod_Prop!$A:$A,Prod_Prop!$J:$J,"",0,1))</f>
        <v/>
      </c>
      <c r="T796" s="4" t="str">
        <f t="array" ref="T796">IF($E796="","", XLOOKUP(SUMIFS(Prod_Prop!$A:$A,Prod_Prop!$B:$B,$E796,Prod_Prop!$H:$H,T$1,Prod_Prop!$I:$I,"Exacto"),Prod_Prop!$A:$A,Prod_Prop!$J:$J,"",0,1))</f>
        <v/>
      </c>
      <c r="U796" s="4" t="str">
        <f t="array" ref="U796">IF($E796="","", XLOOKUP(SUMIFS(Prod_Prop!$A:$A,Prod_Prop!$B:$B,$E796,Prod_Prop!$H:$H,U$1,Prod_Prop!$I:$I,"Exacto"),Prod_Prop!$A:$A,Prod_Prop!$J:$J,"",0,1))</f>
        <v/>
      </c>
      <c r="V796" s="4" t="str">
        <f t="array" ref="V796">IF($E796="","", XLOOKUP(SUMIFS(Prod_Prop!$A:$A,Prod_Prop!$B:$B,$E796,Prod_Prop!$H:$H,V$1,Prod_Prop!$I:$I,"Exacto"),Prod_Prop!$A:$A,Prod_Prop!$J:$J,"",0,1))</f>
        <v/>
      </c>
      <c r="X796" s="3" t="str">
        <f>IFERROR(__xludf.DUMMYFUNCTION("IF(D796="""","""",IFERROR(TRANSPOSE(FILTER('Validaciones Cotizador'!U:U,'Validaciones Cotizador'!O:O=D796,'Validaciones Cotizador'!T:T=""x"")),""Finalizar""))"),"")</f>
        <v/>
      </c>
    </row>
    <row r="797">
      <c r="A797" s="2" t="str">
        <f t="array" ref="A797">IF(E797="","",XLOOKUP(D797,'Validaciones Cotizador'!C:C,'Validaciones Cotizador'!A:A,"",0,1))</f>
        <v/>
      </c>
      <c r="B797" s="2" t="str">
        <f t="array" ref="B797">IF(F797="","",XLOOKUP(F797,Productos!E:E,Productos!G:G,"",0,1))</f>
        <v/>
      </c>
      <c r="C797" s="2" t="str">
        <f>IF(A797="","",SUMIFS('Validaciones Cotizador'!B:B,'Validaciones Cotizador'!C:C,D797,'Validaciones Cotizador'!A:A,A797))</f>
        <v/>
      </c>
      <c r="D797" s="4" t="str">
        <f>IFERROR(__xludf.DUMMYFUNCTION("IF(OR(F796=""Finalizar"",F796="""",F796=""Selecciona..""),"""",IF(OR(F796=""-"",INDEX(filter(Familias!F:F,Familias!D:D=A796,Familias!E:E=C796),1)=""O""),D796+1,D796))"),"")</f>
        <v/>
      </c>
      <c r="E797" s="2" t="str">
        <f>IF(OR(F797="",F797="Selecciona.."),"",IF(D797="Implemento",SUMIF(Implementos!B:B,F797,Implementos!A:A),SUMIF(Productos!E:E,F797,Productos!A:A)))</f>
        <v/>
      </c>
      <c r="F797" s="2" t="str">
        <f t="shared" si="2"/>
        <v/>
      </c>
      <c r="G797" s="10" t="str">
        <f t="array" ref="G797">IF(OR(F797="",F797="-",F797="Selecciona..",F797="Finalizar"),"",IF(A797="Rodados",XLOOKUP(B797,'Validaciones Cotizador'!I:I,'Validaciones Cotizador'!J:J,0,0,1),1))</f>
        <v/>
      </c>
      <c r="H797" s="11" t="str">
        <f>IF(OR(F797="",F797="Selecciona.."),"",SUMIF(Precio_Productos!K:K,E797,Precio_Productos!J:J)*G797)</f>
        <v/>
      </c>
      <c r="I797" s="4" t="str">
        <f t="array" ref="I797">IF($E797="","", XLOOKUP(SUMIFS(Prod_Prop!$A:$A,Prod_Prop!$B:$B,$E797,Prod_Prop!$H:$H,I$1,Prod_Prop!$I:$I,"Exacto"),Prod_Prop!$A:$A,Prod_Prop!$J:$J,"",0,1))</f>
        <v/>
      </c>
      <c r="J797" s="4" t="str">
        <f t="array" ref="J797">IF($E797="","", XLOOKUP(SUMIFS(Prod_Prop!$A:$A,Prod_Prop!$B:$B,$E797,Prod_Prop!$H:$H,J$1,Prod_Prop!$I:$I,"Exacto"),Prod_Prop!$A:$A,Prod_Prop!$J:$J,"",0,1))</f>
        <v/>
      </c>
      <c r="K797" s="4" t="str">
        <f t="array" ref="K797">IF($E797="","", XLOOKUP(SUMIFS(Prod_Prop!$A:$A,Prod_Prop!$B:$B,$E797,Prod_Prop!$H:$H,K$1,Prod_Prop!$I:$I,"Exacto"),Prod_Prop!$A:$A,Prod_Prop!$J:$J,"",0,1))</f>
        <v/>
      </c>
      <c r="L797" s="4" t="str">
        <f t="array" ref="L797">IF($E797="","", XLOOKUP(SUMIFS(Prod_Prop!$A:$A,Prod_Prop!$B:$B,$E797,Prod_Prop!$H:$H,L$1,Prod_Prop!$I:$I,"Exacto"),Prod_Prop!$A:$A,Prod_Prop!$J:$J,"",0,1))</f>
        <v/>
      </c>
      <c r="M797" s="4" t="str">
        <f t="array" ref="M797">IF($E797="","", XLOOKUP(SUMIFS(Prod_Prop!$A:$A,Prod_Prop!$B:$B,$E797,Prod_Prop!$H:$H,M$1,Prod_Prop!$I:$I,"Exacto"),Prod_Prop!$A:$A,Prod_Prop!$J:$J,"",0,1))</f>
        <v/>
      </c>
      <c r="N797" s="4" t="str">
        <f t="array" ref="N797">IF($E797="","", XLOOKUP(SUMIFS(Prod_Prop!$A:$A,Prod_Prop!$B:$B,$E797,Prod_Prop!$H:$H,N$1,Prod_Prop!$I:$I,"Exacto"),Prod_Prop!$A:$A,Prod_Prop!$J:$J,"",0,1))</f>
        <v/>
      </c>
      <c r="O797" s="4" t="str">
        <f t="array" ref="O797">IF($E797="","", XLOOKUP(SUMIFS(Prod_Prop!$A:$A,Prod_Prop!$B:$B,$E797,Prod_Prop!$H:$H,O$1,Prod_Prop!$I:$I,"Exacto"),Prod_Prop!$A:$A,Prod_Prop!$J:$J,"",0,1))</f>
        <v/>
      </c>
      <c r="P797" s="4" t="str">
        <f t="array" ref="P797">IF($E797="","", XLOOKUP(SUMIFS(Prod_Prop!$A:$A,Prod_Prop!$B:$B,$E797,Prod_Prop!$H:$H,P$1,Prod_Prop!$I:$I,"Exacto"),Prod_Prop!$A:$A,Prod_Prop!$J:$J,"",0,1))</f>
        <v/>
      </c>
      <c r="Q797" s="4" t="str">
        <f t="array" ref="Q797">IF($E797="","", XLOOKUP(SUMIFS(Prod_Prop!$A:$A,Prod_Prop!$B:$B,$E797,Prod_Prop!$H:$H,Q$1,Prod_Prop!$I:$I,"Exacto"),Prod_Prop!$A:$A,Prod_Prop!$J:$J,"",0,1))</f>
        <v/>
      </c>
      <c r="R797" s="4" t="str">
        <f t="array" ref="R797">IF($E797="","", XLOOKUP(SUMIFS(Prod_Prop!$A:$A,Prod_Prop!$B:$B,$E797,Prod_Prop!$H:$H,R$1,Prod_Prop!$I:$I,"Exacto"),Prod_Prop!$A:$A,Prod_Prop!$J:$J,"",0,1))</f>
        <v/>
      </c>
      <c r="S797" s="4" t="str">
        <f t="array" ref="S797">IF($E797="","", XLOOKUP(SUMIFS(Prod_Prop!$A:$A,Prod_Prop!$B:$B,$E797,Prod_Prop!$H:$H,S$1,Prod_Prop!$I:$I,"Exacto"),Prod_Prop!$A:$A,Prod_Prop!$J:$J,"",0,1))</f>
        <v/>
      </c>
      <c r="T797" s="4" t="str">
        <f t="array" ref="T797">IF($E797="","", XLOOKUP(SUMIFS(Prod_Prop!$A:$A,Prod_Prop!$B:$B,$E797,Prod_Prop!$H:$H,T$1,Prod_Prop!$I:$I,"Exacto"),Prod_Prop!$A:$A,Prod_Prop!$J:$J,"",0,1))</f>
        <v/>
      </c>
      <c r="U797" s="4" t="str">
        <f t="array" ref="U797">IF($E797="","", XLOOKUP(SUMIFS(Prod_Prop!$A:$A,Prod_Prop!$B:$B,$E797,Prod_Prop!$H:$H,U$1,Prod_Prop!$I:$I,"Exacto"),Prod_Prop!$A:$A,Prod_Prop!$J:$J,"",0,1))</f>
        <v/>
      </c>
      <c r="V797" s="4" t="str">
        <f t="array" ref="V797">IF($E797="","", XLOOKUP(SUMIFS(Prod_Prop!$A:$A,Prod_Prop!$B:$B,$E797,Prod_Prop!$H:$H,V$1,Prod_Prop!$I:$I,"Exacto"),Prod_Prop!$A:$A,Prod_Prop!$J:$J,"",0,1))</f>
        <v/>
      </c>
      <c r="X797" s="3" t="str">
        <f>IFERROR(__xludf.DUMMYFUNCTION("IF(D797="""","""",IFERROR(TRANSPOSE(FILTER('Validaciones Cotizador'!U:U,'Validaciones Cotizador'!O:O=D797,'Validaciones Cotizador'!T:T=""x"")),""Finalizar""))"),"")</f>
        <v/>
      </c>
    </row>
    <row r="798">
      <c r="A798" s="2" t="str">
        <f t="array" ref="A798">IF(E798="","",XLOOKUP(D798,'Validaciones Cotizador'!C:C,'Validaciones Cotizador'!A:A,"",0,1))</f>
        <v/>
      </c>
      <c r="B798" s="2" t="str">
        <f t="array" ref="B798">IF(F798="","",XLOOKUP(F798,Productos!E:E,Productos!G:G,"",0,1))</f>
        <v/>
      </c>
      <c r="C798" s="2" t="str">
        <f>IF(A798="","",SUMIFS('Validaciones Cotizador'!B:B,'Validaciones Cotizador'!C:C,D798,'Validaciones Cotizador'!A:A,A798))</f>
        <v/>
      </c>
      <c r="D798" s="4" t="str">
        <f>IFERROR(__xludf.DUMMYFUNCTION("IF(OR(F797=""Finalizar"",F797="""",F797=""Selecciona..""),"""",IF(OR(F797=""-"",INDEX(filter(Familias!F:F,Familias!D:D=A797,Familias!E:E=C797),1)=""O""),D797+1,D797))"),"")</f>
        <v/>
      </c>
      <c r="E798" s="2" t="str">
        <f>IF(OR(F798="",F798="Selecciona.."),"",IF(D798="Implemento",SUMIF(Implementos!B:B,F798,Implementos!A:A),SUMIF(Productos!E:E,F798,Productos!A:A)))</f>
        <v/>
      </c>
      <c r="F798" s="2" t="str">
        <f t="shared" si="2"/>
        <v/>
      </c>
      <c r="G798" s="10" t="str">
        <f t="array" ref="G798">IF(OR(F798="",F798="-",F798="Selecciona..",F798="Finalizar"),"",IF(A798="Rodados",XLOOKUP(B798,'Validaciones Cotizador'!I:I,'Validaciones Cotizador'!J:J,0,0,1),1))</f>
        <v/>
      </c>
      <c r="H798" s="11" t="str">
        <f>IF(OR(F798="",F798="Selecciona.."),"",SUMIF(Precio_Productos!K:K,E798,Precio_Productos!J:J)*G798)</f>
        <v/>
      </c>
      <c r="I798" s="4" t="str">
        <f t="array" ref="I798">IF($E798="","", XLOOKUP(SUMIFS(Prod_Prop!$A:$A,Prod_Prop!$B:$B,$E798,Prod_Prop!$H:$H,I$1,Prod_Prop!$I:$I,"Exacto"),Prod_Prop!$A:$A,Prod_Prop!$J:$J,"",0,1))</f>
        <v/>
      </c>
      <c r="J798" s="4" t="str">
        <f t="array" ref="J798">IF($E798="","", XLOOKUP(SUMIFS(Prod_Prop!$A:$A,Prod_Prop!$B:$B,$E798,Prod_Prop!$H:$H,J$1,Prod_Prop!$I:$I,"Exacto"),Prod_Prop!$A:$A,Prod_Prop!$J:$J,"",0,1))</f>
        <v/>
      </c>
      <c r="K798" s="4" t="str">
        <f t="array" ref="K798">IF($E798="","", XLOOKUP(SUMIFS(Prod_Prop!$A:$A,Prod_Prop!$B:$B,$E798,Prod_Prop!$H:$H,K$1,Prod_Prop!$I:$I,"Exacto"),Prod_Prop!$A:$A,Prod_Prop!$J:$J,"",0,1))</f>
        <v/>
      </c>
      <c r="L798" s="4" t="str">
        <f t="array" ref="L798">IF($E798="","", XLOOKUP(SUMIFS(Prod_Prop!$A:$A,Prod_Prop!$B:$B,$E798,Prod_Prop!$H:$H,L$1,Prod_Prop!$I:$I,"Exacto"),Prod_Prop!$A:$A,Prod_Prop!$J:$J,"",0,1))</f>
        <v/>
      </c>
      <c r="M798" s="4" t="str">
        <f t="array" ref="M798">IF($E798="","", XLOOKUP(SUMIFS(Prod_Prop!$A:$A,Prod_Prop!$B:$B,$E798,Prod_Prop!$H:$H,M$1,Prod_Prop!$I:$I,"Exacto"),Prod_Prop!$A:$A,Prod_Prop!$J:$J,"",0,1))</f>
        <v/>
      </c>
      <c r="N798" s="4" t="str">
        <f t="array" ref="N798">IF($E798="","", XLOOKUP(SUMIFS(Prod_Prop!$A:$A,Prod_Prop!$B:$B,$E798,Prod_Prop!$H:$H,N$1,Prod_Prop!$I:$I,"Exacto"),Prod_Prop!$A:$A,Prod_Prop!$J:$J,"",0,1))</f>
        <v/>
      </c>
      <c r="O798" s="4" t="str">
        <f t="array" ref="O798">IF($E798="","", XLOOKUP(SUMIFS(Prod_Prop!$A:$A,Prod_Prop!$B:$B,$E798,Prod_Prop!$H:$H,O$1,Prod_Prop!$I:$I,"Exacto"),Prod_Prop!$A:$A,Prod_Prop!$J:$J,"",0,1))</f>
        <v/>
      </c>
      <c r="P798" s="4" t="str">
        <f t="array" ref="P798">IF($E798="","", XLOOKUP(SUMIFS(Prod_Prop!$A:$A,Prod_Prop!$B:$B,$E798,Prod_Prop!$H:$H,P$1,Prod_Prop!$I:$I,"Exacto"),Prod_Prop!$A:$A,Prod_Prop!$J:$J,"",0,1))</f>
        <v/>
      </c>
      <c r="Q798" s="4" t="str">
        <f t="array" ref="Q798">IF($E798="","", XLOOKUP(SUMIFS(Prod_Prop!$A:$A,Prod_Prop!$B:$B,$E798,Prod_Prop!$H:$H,Q$1,Prod_Prop!$I:$I,"Exacto"),Prod_Prop!$A:$A,Prod_Prop!$J:$J,"",0,1))</f>
        <v/>
      </c>
      <c r="R798" s="4" t="str">
        <f t="array" ref="R798">IF($E798="","", XLOOKUP(SUMIFS(Prod_Prop!$A:$A,Prod_Prop!$B:$B,$E798,Prod_Prop!$H:$H,R$1,Prod_Prop!$I:$I,"Exacto"),Prod_Prop!$A:$A,Prod_Prop!$J:$J,"",0,1))</f>
        <v/>
      </c>
      <c r="S798" s="4" t="str">
        <f t="array" ref="S798">IF($E798="","", XLOOKUP(SUMIFS(Prod_Prop!$A:$A,Prod_Prop!$B:$B,$E798,Prod_Prop!$H:$H,S$1,Prod_Prop!$I:$I,"Exacto"),Prod_Prop!$A:$A,Prod_Prop!$J:$J,"",0,1))</f>
        <v/>
      </c>
      <c r="T798" s="4" t="str">
        <f t="array" ref="T798">IF($E798="","", XLOOKUP(SUMIFS(Prod_Prop!$A:$A,Prod_Prop!$B:$B,$E798,Prod_Prop!$H:$H,T$1,Prod_Prop!$I:$I,"Exacto"),Prod_Prop!$A:$A,Prod_Prop!$J:$J,"",0,1))</f>
        <v/>
      </c>
      <c r="U798" s="4" t="str">
        <f t="array" ref="U798">IF($E798="","", XLOOKUP(SUMIFS(Prod_Prop!$A:$A,Prod_Prop!$B:$B,$E798,Prod_Prop!$H:$H,U$1,Prod_Prop!$I:$I,"Exacto"),Prod_Prop!$A:$A,Prod_Prop!$J:$J,"",0,1))</f>
        <v/>
      </c>
      <c r="V798" s="4" t="str">
        <f t="array" ref="V798">IF($E798="","", XLOOKUP(SUMIFS(Prod_Prop!$A:$A,Prod_Prop!$B:$B,$E798,Prod_Prop!$H:$H,V$1,Prod_Prop!$I:$I,"Exacto"),Prod_Prop!$A:$A,Prod_Prop!$J:$J,"",0,1))</f>
        <v/>
      </c>
      <c r="X798" s="3" t="str">
        <f>IFERROR(__xludf.DUMMYFUNCTION("IF(D798="""","""",IFERROR(TRANSPOSE(FILTER('Validaciones Cotizador'!U:U,'Validaciones Cotizador'!O:O=D798,'Validaciones Cotizador'!T:T=""x"")),""Finalizar""))"),"")</f>
        <v/>
      </c>
    </row>
    <row r="799">
      <c r="A799" s="2" t="str">
        <f t="array" ref="A799">IF(E799="","",XLOOKUP(D799,'Validaciones Cotizador'!C:C,'Validaciones Cotizador'!A:A,"",0,1))</f>
        <v/>
      </c>
      <c r="B799" s="2" t="str">
        <f t="array" ref="B799">IF(F799="","",XLOOKUP(F799,Productos!E:E,Productos!G:G,"",0,1))</f>
        <v/>
      </c>
      <c r="C799" s="2" t="str">
        <f>IF(A799="","",SUMIFS('Validaciones Cotizador'!B:B,'Validaciones Cotizador'!C:C,D799,'Validaciones Cotizador'!A:A,A799))</f>
        <v/>
      </c>
      <c r="D799" s="4" t="str">
        <f>IFERROR(__xludf.DUMMYFUNCTION("IF(OR(F798=""Finalizar"",F798="""",F798=""Selecciona..""),"""",IF(OR(F798=""-"",INDEX(filter(Familias!F:F,Familias!D:D=A798,Familias!E:E=C798),1)=""O""),D798+1,D798))"),"")</f>
        <v/>
      </c>
      <c r="E799" s="2" t="str">
        <f>IF(OR(F799="",F799="Selecciona.."),"",IF(D799="Implemento",SUMIF(Implementos!B:B,F799,Implementos!A:A),SUMIF(Productos!E:E,F799,Productos!A:A)))</f>
        <v/>
      </c>
      <c r="F799" s="2" t="str">
        <f t="shared" si="2"/>
        <v/>
      </c>
      <c r="G799" s="10" t="str">
        <f t="array" ref="G799">IF(OR(F799="",F799="-",F799="Selecciona..",F799="Finalizar"),"",IF(A799="Rodados",XLOOKUP(B799,'Validaciones Cotizador'!I:I,'Validaciones Cotizador'!J:J,0,0,1),1))</f>
        <v/>
      </c>
      <c r="H799" s="11" t="str">
        <f>IF(OR(F799="",F799="Selecciona.."),"",SUMIF(Precio_Productos!K:K,E799,Precio_Productos!J:J)*G799)</f>
        <v/>
      </c>
      <c r="I799" s="4" t="str">
        <f t="array" ref="I799">IF($E799="","", XLOOKUP(SUMIFS(Prod_Prop!$A:$A,Prod_Prop!$B:$B,$E799,Prod_Prop!$H:$H,I$1,Prod_Prop!$I:$I,"Exacto"),Prod_Prop!$A:$A,Prod_Prop!$J:$J,"",0,1))</f>
        <v/>
      </c>
      <c r="J799" s="4" t="str">
        <f t="array" ref="J799">IF($E799="","", XLOOKUP(SUMIFS(Prod_Prop!$A:$A,Prod_Prop!$B:$B,$E799,Prod_Prop!$H:$H,J$1,Prod_Prop!$I:$I,"Exacto"),Prod_Prop!$A:$A,Prod_Prop!$J:$J,"",0,1))</f>
        <v/>
      </c>
      <c r="K799" s="4" t="str">
        <f t="array" ref="K799">IF($E799="","", XLOOKUP(SUMIFS(Prod_Prop!$A:$A,Prod_Prop!$B:$B,$E799,Prod_Prop!$H:$H,K$1,Prod_Prop!$I:$I,"Exacto"),Prod_Prop!$A:$A,Prod_Prop!$J:$J,"",0,1))</f>
        <v/>
      </c>
      <c r="L799" s="4" t="str">
        <f t="array" ref="L799">IF($E799="","", XLOOKUP(SUMIFS(Prod_Prop!$A:$A,Prod_Prop!$B:$B,$E799,Prod_Prop!$H:$H,L$1,Prod_Prop!$I:$I,"Exacto"),Prod_Prop!$A:$A,Prod_Prop!$J:$J,"",0,1))</f>
        <v/>
      </c>
      <c r="M799" s="4" t="str">
        <f t="array" ref="M799">IF($E799="","", XLOOKUP(SUMIFS(Prod_Prop!$A:$A,Prod_Prop!$B:$B,$E799,Prod_Prop!$H:$H,M$1,Prod_Prop!$I:$I,"Exacto"),Prod_Prop!$A:$A,Prod_Prop!$J:$J,"",0,1))</f>
        <v/>
      </c>
      <c r="N799" s="4" t="str">
        <f t="array" ref="N799">IF($E799="","", XLOOKUP(SUMIFS(Prod_Prop!$A:$A,Prod_Prop!$B:$B,$E799,Prod_Prop!$H:$H,N$1,Prod_Prop!$I:$I,"Exacto"),Prod_Prop!$A:$A,Prod_Prop!$J:$J,"",0,1))</f>
        <v/>
      </c>
      <c r="O799" s="4" t="str">
        <f t="array" ref="O799">IF($E799="","", XLOOKUP(SUMIFS(Prod_Prop!$A:$A,Prod_Prop!$B:$B,$E799,Prod_Prop!$H:$H,O$1,Prod_Prop!$I:$I,"Exacto"),Prod_Prop!$A:$A,Prod_Prop!$J:$J,"",0,1))</f>
        <v/>
      </c>
      <c r="P799" s="4" t="str">
        <f t="array" ref="P799">IF($E799="","", XLOOKUP(SUMIFS(Prod_Prop!$A:$A,Prod_Prop!$B:$B,$E799,Prod_Prop!$H:$H,P$1,Prod_Prop!$I:$I,"Exacto"),Prod_Prop!$A:$A,Prod_Prop!$J:$J,"",0,1))</f>
        <v/>
      </c>
      <c r="Q799" s="4" t="str">
        <f t="array" ref="Q799">IF($E799="","", XLOOKUP(SUMIFS(Prod_Prop!$A:$A,Prod_Prop!$B:$B,$E799,Prod_Prop!$H:$H,Q$1,Prod_Prop!$I:$I,"Exacto"),Prod_Prop!$A:$A,Prod_Prop!$J:$J,"",0,1))</f>
        <v/>
      </c>
      <c r="R799" s="4" t="str">
        <f t="array" ref="R799">IF($E799="","", XLOOKUP(SUMIFS(Prod_Prop!$A:$A,Prod_Prop!$B:$B,$E799,Prod_Prop!$H:$H,R$1,Prod_Prop!$I:$I,"Exacto"),Prod_Prop!$A:$A,Prod_Prop!$J:$J,"",0,1))</f>
        <v/>
      </c>
      <c r="S799" s="4" t="str">
        <f t="array" ref="S799">IF($E799="","", XLOOKUP(SUMIFS(Prod_Prop!$A:$A,Prod_Prop!$B:$B,$E799,Prod_Prop!$H:$H,S$1,Prod_Prop!$I:$I,"Exacto"),Prod_Prop!$A:$A,Prod_Prop!$J:$J,"",0,1))</f>
        <v/>
      </c>
      <c r="T799" s="4" t="str">
        <f t="array" ref="T799">IF($E799="","", XLOOKUP(SUMIFS(Prod_Prop!$A:$A,Prod_Prop!$B:$B,$E799,Prod_Prop!$H:$H,T$1,Prod_Prop!$I:$I,"Exacto"),Prod_Prop!$A:$A,Prod_Prop!$J:$J,"",0,1))</f>
        <v/>
      </c>
      <c r="U799" s="4" t="str">
        <f t="array" ref="U799">IF($E799="","", XLOOKUP(SUMIFS(Prod_Prop!$A:$A,Prod_Prop!$B:$B,$E799,Prod_Prop!$H:$H,U$1,Prod_Prop!$I:$I,"Exacto"),Prod_Prop!$A:$A,Prod_Prop!$J:$J,"",0,1))</f>
        <v/>
      </c>
      <c r="V799" s="4" t="str">
        <f t="array" ref="V799">IF($E799="","", XLOOKUP(SUMIFS(Prod_Prop!$A:$A,Prod_Prop!$B:$B,$E799,Prod_Prop!$H:$H,V$1,Prod_Prop!$I:$I,"Exacto"),Prod_Prop!$A:$A,Prod_Prop!$J:$J,"",0,1))</f>
        <v/>
      </c>
      <c r="X799" s="3" t="str">
        <f>IFERROR(__xludf.DUMMYFUNCTION("IF(D799="""","""",IFERROR(TRANSPOSE(FILTER('Validaciones Cotizador'!U:U,'Validaciones Cotizador'!O:O=D799,'Validaciones Cotizador'!T:T=""x"")),""Finalizar""))"),"")</f>
        <v/>
      </c>
    </row>
    <row r="800">
      <c r="A800" s="2" t="str">
        <f t="array" ref="A800">IF(E800="","",XLOOKUP(D800,'Validaciones Cotizador'!C:C,'Validaciones Cotizador'!A:A,"",0,1))</f>
        <v/>
      </c>
      <c r="B800" s="2" t="str">
        <f t="array" ref="B800">IF(F800="","",XLOOKUP(F800,Productos!E:E,Productos!G:G,"",0,1))</f>
        <v/>
      </c>
      <c r="C800" s="2" t="str">
        <f>IF(A800="","",SUMIFS('Validaciones Cotizador'!B:B,'Validaciones Cotizador'!C:C,D800,'Validaciones Cotizador'!A:A,A800))</f>
        <v/>
      </c>
      <c r="D800" s="4" t="str">
        <f>IFERROR(__xludf.DUMMYFUNCTION("IF(OR(F799=""Finalizar"",F799="""",F799=""Selecciona..""),"""",IF(OR(F799=""-"",INDEX(filter(Familias!F:F,Familias!D:D=A799,Familias!E:E=C799),1)=""O""),D799+1,D799))"),"")</f>
        <v/>
      </c>
      <c r="E800" s="2" t="str">
        <f>IF(OR(F800="",F800="Selecciona.."),"",IF(D800="Implemento",SUMIF(Implementos!B:B,F800,Implementos!A:A),SUMIF(Productos!E:E,F800,Productos!A:A)))</f>
        <v/>
      </c>
      <c r="F800" s="2" t="str">
        <f t="shared" si="2"/>
        <v/>
      </c>
      <c r="G800" s="10" t="str">
        <f t="array" ref="G800">IF(OR(F800="",F800="-",F800="Selecciona..",F800="Finalizar"),"",IF(A800="Rodados",XLOOKUP(B800,'Validaciones Cotizador'!I:I,'Validaciones Cotizador'!J:J,0,0,1),1))</f>
        <v/>
      </c>
      <c r="H800" s="11" t="str">
        <f>IF(OR(F800="",F800="Selecciona.."),"",SUMIF(Precio_Productos!K:K,E800,Precio_Productos!J:J)*G800)</f>
        <v/>
      </c>
      <c r="I800" s="4" t="str">
        <f t="array" ref="I800">IF($E800="","", XLOOKUP(SUMIFS(Prod_Prop!$A:$A,Prod_Prop!$B:$B,$E800,Prod_Prop!$H:$H,I$1,Prod_Prop!$I:$I,"Exacto"),Prod_Prop!$A:$A,Prod_Prop!$J:$J,"",0,1))</f>
        <v/>
      </c>
      <c r="J800" s="4" t="str">
        <f t="array" ref="J800">IF($E800="","", XLOOKUP(SUMIFS(Prod_Prop!$A:$A,Prod_Prop!$B:$B,$E800,Prod_Prop!$H:$H,J$1,Prod_Prop!$I:$I,"Exacto"),Prod_Prop!$A:$A,Prod_Prop!$J:$J,"",0,1))</f>
        <v/>
      </c>
      <c r="K800" s="4" t="str">
        <f t="array" ref="K800">IF($E800="","", XLOOKUP(SUMIFS(Prod_Prop!$A:$A,Prod_Prop!$B:$B,$E800,Prod_Prop!$H:$H,K$1,Prod_Prop!$I:$I,"Exacto"),Prod_Prop!$A:$A,Prod_Prop!$J:$J,"",0,1))</f>
        <v/>
      </c>
      <c r="L800" s="4" t="str">
        <f t="array" ref="L800">IF($E800="","", XLOOKUP(SUMIFS(Prod_Prop!$A:$A,Prod_Prop!$B:$B,$E800,Prod_Prop!$H:$H,L$1,Prod_Prop!$I:$I,"Exacto"),Prod_Prop!$A:$A,Prod_Prop!$J:$J,"",0,1))</f>
        <v/>
      </c>
      <c r="M800" s="4" t="str">
        <f t="array" ref="M800">IF($E800="","", XLOOKUP(SUMIFS(Prod_Prop!$A:$A,Prod_Prop!$B:$B,$E800,Prod_Prop!$H:$H,M$1,Prod_Prop!$I:$I,"Exacto"),Prod_Prop!$A:$A,Prod_Prop!$J:$J,"",0,1))</f>
        <v/>
      </c>
      <c r="N800" s="4" t="str">
        <f t="array" ref="N800">IF($E800="","", XLOOKUP(SUMIFS(Prod_Prop!$A:$A,Prod_Prop!$B:$B,$E800,Prod_Prop!$H:$H,N$1,Prod_Prop!$I:$I,"Exacto"),Prod_Prop!$A:$A,Prod_Prop!$J:$J,"",0,1))</f>
        <v/>
      </c>
      <c r="O800" s="4" t="str">
        <f t="array" ref="O800">IF($E800="","", XLOOKUP(SUMIFS(Prod_Prop!$A:$A,Prod_Prop!$B:$B,$E800,Prod_Prop!$H:$H,O$1,Prod_Prop!$I:$I,"Exacto"),Prod_Prop!$A:$A,Prod_Prop!$J:$J,"",0,1))</f>
        <v/>
      </c>
      <c r="P800" s="4" t="str">
        <f t="array" ref="P800">IF($E800="","", XLOOKUP(SUMIFS(Prod_Prop!$A:$A,Prod_Prop!$B:$B,$E800,Prod_Prop!$H:$H,P$1,Prod_Prop!$I:$I,"Exacto"),Prod_Prop!$A:$A,Prod_Prop!$J:$J,"",0,1))</f>
        <v/>
      </c>
      <c r="Q800" s="4" t="str">
        <f t="array" ref="Q800">IF($E800="","", XLOOKUP(SUMIFS(Prod_Prop!$A:$A,Prod_Prop!$B:$B,$E800,Prod_Prop!$H:$H,Q$1,Prod_Prop!$I:$I,"Exacto"),Prod_Prop!$A:$A,Prod_Prop!$J:$J,"",0,1))</f>
        <v/>
      </c>
      <c r="R800" s="4" t="str">
        <f t="array" ref="R800">IF($E800="","", XLOOKUP(SUMIFS(Prod_Prop!$A:$A,Prod_Prop!$B:$B,$E800,Prod_Prop!$H:$H,R$1,Prod_Prop!$I:$I,"Exacto"),Prod_Prop!$A:$A,Prod_Prop!$J:$J,"",0,1))</f>
        <v/>
      </c>
      <c r="S800" s="4" t="str">
        <f t="array" ref="S800">IF($E800="","", XLOOKUP(SUMIFS(Prod_Prop!$A:$A,Prod_Prop!$B:$B,$E800,Prod_Prop!$H:$H,S$1,Prod_Prop!$I:$I,"Exacto"),Prod_Prop!$A:$A,Prod_Prop!$J:$J,"",0,1))</f>
        <v/>
      </c>
      <c r="T800" s="4" t="str">
        <f t="array" ref="T800">IF($E800="","", XLOOKUP(SUMIFS(Prod_Prop!$A:$A,Prod_Prop!$B:$B,$E800,Prod_Prop!$H:$H,T$1,Prod_Prop!$I:$I,"Exacto"),Prod_Prop!$A:$A,Prod_Prop!$J:$J,"",0,1))</f>
        <v/>
      </c>
      <c r="U800" s="4" t="str">
        <f t="array" ref="U800">IF($E800="","", XLOOKUP(SUMIFS(Prod_Prop!$A:$A,Prod_Prop!$B:$B,$E800,Prod_Prop!$H:$H,U$1,Prod_Prop!$I:$I,"Exacto"),Prod_Prop!$A:$A,Prod_Prop!$J:$J,"",0,1))</f>
        <v/>
      </c>
      <c r="V800" s="4" t="str">
        <f t="array" ref="V800">IF($E800="","", XLOOKUP(SUMIFS(Prod_Prop!$A:$A,Prod_Prop!$B:$B,$E800,Prod_Prop!$H:$H,V$1,Prod_Prop!$I:$I,"Exacto"),Prod_Prop!$A:$A,Prod_Prop!$J:$J,"",0,1))</f>
        <v/>
      </c>
      <c r="X800" s="3" t="str">
        <f>IFERROR(__xludf.DUMMYFUNCTION("IF(D800="""","""",IFERROR(TRANSPOSE(FILTER('Validaciones Cotizador'!U:U,'Validaciones Cotizador'!O:O=D800,'Validaciones Cotizador'!T:T=""x"")),""Finalizar""))"),"")</f>
        <v/>
      </c>
    </row>
    <row r="801">
      <c r="A801" s="2" t="str">
        <f t="array" ref="A801">IF(E801="","",XLOOKUP(D801,'Validaciones Cotizador'!C:C,'Validaciones Cotizador'!A:A,"",0,1))</f>
        <v/>
      </c>
      <c r="B801" s="2" t="str">
        <f t="array" ref="B801">IF(F801="","",XLOOKUP(F801,Productos!E:E,Productos!G:G,"",0,1))</f>
        <v/>
      </c>
      <c r="C801" s="2" t="str">
        <f>IF(A801="","",SUMIFS('Validaciones Cotizador'!B:B,'Validaciones Cotizador'!C:C,D801,'Validaciones Cotizador'!A:A,A801))</f>
        <v/>
      </c>
      <c r="D801" s="4" t="str">
        <f>IFERROR(__xludf.DUMMYFUNCTION("IF(OR(F800=""Finalizar"",F800="""",F800=""Selecciona..""),"""",IF(OR(F800=""-"",INDEX(filter(Familias!F:F,Familias!D:D=A800,Familias!E:E=C800),1)=""O""),D800+1,D800))"),"")</f>
        <v/>
      </c>
      <c r="E801" s="2" t="str">
        <f>IF(OR(F801="",F801="Selecciona.."),"",IF(D801="Implemento",SUMIF(Implementos!B:B,F801,Implementos!A:A),SUMIF(Productos!E:E,F801,Productos!A:A)))</f>
        <v/>
      </c>
      <c r="F801" s="2" t="str">
        <f t="shared" si="2"/>
        <v/>
      </c>
      <c r="G801" s="10" t="str">
        <f t="array" ref="G801">IF(OR(F801="",F801="-",F801="Selecciona..",F801="Finalizar"),"",IF(A801="Rodados",XLOOKUP(B801,'Validaciones Cotizador'!I:I,'Validaciones Cotizador'!J:J,0,0,1),1))</f>
        <v/>
      </c>
      <c r="H801" s="11" t="str">
        <f>IF(OR(F801="",F801="Selecciona.."),"",SUMIF(Precio_Productos!K:K,E801,Precio_Productos!J:J)*G801)</f>
        <v/>
      </c>
      <c r="I801" s="4" t="str">
        <f t="array" ref="I801">IF($E801="","", XLOOKUP(SUMIFS(Prod_Prop!$A:$A,Prod_Prop!$B:$B,$E801,Prod_Prop!$H:$H,I$1,Prod_Prop!$I:$I,"Exacto"),Prod_Prop!$A:$A,Prod_Prop!$J:$J,"",0,1))</f>
        <v/>
      </c>
      <c r="J801" s="4" t="str">
        <f t="array" ref="J801">IF($E801="","", XLOOKUP(SUMIFS(Prod_Prop!$A:$A,Prod_Prop!$B:$B,$E801,Prod_Prop!$H:$H,J$1,Prod_Prop!$I:$I,"Exacto"),Prod_Prop!$A:$A,Prod_Prop!$J:$J,"",0,1))</f>
        <v/>
      </c>
      <c r="K801" s="4" t="str">
        <f t="array" ref="K801">IF($E801="","", XLOOKUP(SUMIFS(Prod_Prop!$A:$A,Prod_Prop!$B:$B,$E801,Prod_Prop!$H:$H,K$1,Prod_Prop!$I:$I,"Exacto"),Prod_Prop!$A:$A,Prod_Prop!$J:$J,"",0,1))</f>
        <v/>
      </c>
      <c r="L801" s="4" t="str">
        <f t="array" ref="L801">IF($E801="","", XLOOKUP(SUMIFS(Prod_Prop!$A:$A,Prod_Prop!$B:$B,$E801,Prod_Prop!$H:$H,L$1,Prod_Prop!$I:$I,"Exacto"),Prod_Prop!$A:$A,Prod_Prop!$J:$J,"",0,1))</f>
        <v/>
      </c>
      <c r="M801" s="4" t="str">
        <f t="array" ref="M801">IF($E801="","", XLOOKUP(SUMIFS(Prod_Prop!$A:$A,Prod_Prop!$B:$B,$E801,Prod_Prop!$H:$H,M$1,Prod_Prop!$I:$I,"Exacto"),Prod_Prop!$A:$A,Prod_Prop!$J:$J,"",0,1))</f>
        <v/>
      </c>
      <c r="N801" s="4" t="str">
        <f t="array" ref="N801">IF($E801="","", XLOOKUP(SUMIFS(Prod_Prop!$A:$A,Prod_Prop!$B:$B,$E801,Prod_Prop!$H:$H,N$1,Prod_Prop!$I:$I,"Exacto"),Prod_Prop!$A:$A,Prod_Prop!$J:$J,"",0,1))</f>
        <v/>
      </c>
      <c r="O801" s="4" t="str">
        <f t="array" ref="O801">IF($E801="","", XLOOKUP(SUMIFS(Prod_Prop!$A:$A,Prod_Prop!$B:$B,$E801,Prod_Prop!$H:$H,O$1,Prod_Prop!$I:$I,"Exacto"),Prod_Prop!$A:$A,Prod_Prop!$J:$J,"",0,1))</f>
        <v/>
      </c>
      <c r="P801" s="4" t="str">
        <f t="array" ref="P801">IF($E801="","", XLOOKUP(SUMIFS(Prod_Prop!$A:$A,Prod_Prop!$B:$B,$E801,Prod_Prop!$H:$H,P$1,Prod_Prop!$I:$I,"Exacto"),Prod_Prop!$A:$A,Prod_Prop!$J:$J,"",0,1))</f>
        <v/>
      </c>
      <c r="Q801" s="4" t="str">
        <f t="array" ref="Q801">IF($E801="","", XLOOKUP(SUMIFS(Prod_Prop!$A:$A,Prod_Prop!$B:$B,$E801,Prod_Prop!$H:$H,Q$1,Prod_Prop!$I:$I,"Exacto"),Prod_Prop!$A:$A,Prod_Prop!$J:$J,"",0,1))</f>
        <v/>
      </c>
      <c r="R801" s="4" t="str">
        <f t="array" ref="R801">IF($E801="","", XLOOKUP(SUMIFS(Prod_Prop!$A:$A,Prod_Prop!$B:$B,$E801,Prod_Prop!$H:$H,R$1,Prod_Prop!$I:$I,"Exacto"),Prod_Prop!$A:$A,Prod_Prop!$J:$J,"",0,1))</f>
        <v/>
      </c>
      <c r="S801" s="4" t="str">
        <f t="array" ref="S801">IF($E801="","", XLOOKUP(SUMIFS(Prod_Prop!$A:$A,Prod_Prop!$B:$B,$E801,Prod_Prop!$H:$H,S$1,Prod_Prop!$I:$I,"Exacto"),Prod_Prop!$A:$A,Prod_Prop!$J:$J,"",0,1))</f>
        <v/>
      </c>
      <c r="T801" s="4" t="str">
        <f t="array" ref="T801">IF($E801="","", XLOOKUP(SUMIFS(Prod_Prop!$A:$A,Prod_Prop!$B:$B,$E801,Prod_Prop!$H:$H,T$1,Prod_Prop!$I:$I,"Exacto"),Prod_Prop!$A:$A,Prod_Prop!$J:$J,"",0,1))</f>
        <v/>
      </c>
      <c r="U801" s="4" t="str">
        <f t="array" ref="U801">IF($E801="","", XLOOKUP(SUMIFS(Prod_Prop!$A:$A,Prod_Prop!$B:$B,$E801,Prod_Prop!$H:$H,U$1,Prod_Prop!$I:$I,"Exacto"),Prod_Prop!$A:$A,Prod_Prop!$J:$J,"",0,1))</f>
        <v/>
      </c>
      <c r="V801" s="4" t="str">
        <f t="array" ref="V801">IF($E801="","", XLOOKUP(SUMIFS(Prod_Prop!$A:$A,Prod_Prop!$B:$B,$E801,Prod_Prop!$H:$H,V$1,Prod_Prop!$I:$I,"Exacto"),Prod_Prop!$A:$A,Prod_Prop!$J:$J,"",0,1))</f>
        <v/>
      </c>
      <c r="X801" s="3" t="str">
        <f>IFERROR(__xludf.DUMMYFUNCTION("IF(D801="""","""",IFERROR(TRANSPOSE(FILTER('Validaciones Cotizador'!U:U,'Validaciones Cotizador'!O:O=D801,'Validaciones Cotizador'!T:T=""x"")),""Finalizar""))"),"")</f>
        <v/>
      </c>
    </row>
    <row r="802">
      <c r="A802" s="2" t="str">
        <f t="array" ref="A802">IF(E802="","",XLOOKUP(D802,'Validaciones Cotizador'!C:C,'Validaciones Cotizador'!A:A,"",0,1))</f>
        <v/>
      </c>
      <c r="B802" s="2" t="str">
        <f t="array" ref="B802">IF(F802="","",XLOOKUP(F802,Productos!E:E,Productos!G:G,"",0,1))</f>
        <v/>
      </c>
      <c r="C802" s="2" t="str">
        <f>IF(A802="","",SUMIFS('Validaciones Cotizador'!B:B,'Validaciones Cotizador'!C:C,D802,'Validaciones Cotizador'!A:A,A802))</f>
        <v/>
      </c>
      <c r="D802" s="4" t="str">
        <f>IFERROR(__xludf.DUMMYFUNCTION("IF(OR(F801=""Finalizar"",F801="""",F801=""Selecciona..""),"""",IF(OR(F801=""-"",INDEX(filter(Familias!F:F,Familias!D:D=A801,Familias!E:E=C801),1)=""O""),D801+1,D801))"),"")</f>
        <v/>
      </c>
      <c r="E802" s="2" t="str">
        <f>IF(OR(F802="",F802="Selecciona.."),"",IF(D802="Implemento",SUMIF(Implementos!B:B,F802,Implementos!A:A),SUMIF(Productos!E:E,F802,Productos!A:A)))</f>
        <v/>
      </c>
      <c r="F802" s="2" t="str">
        <f t="shared" si="2"/>
        <v/>
      </c>
      <c r="G802" s="10" t="str">
        <f t="array" ref="G802">IF(OR(F802="",F802="-",F802="Selecciona..",F802="Finalizar"),"",IF(A802="Rodados",XLOOKUP(B802,'Validaciones Cotizador'!I:I,'Validaciones Cotizador'!J:J,0,0,1),1))</f>
        <v/>
      </c>
      <c r="H802" s="11" t="str">
        <f>IF(OR(F802="",F802="Selecciona.."),"",SUMIF(Precio_Productos!K:K,E802,Precio_Productos!J:J)*G802)</f>
        <v/>
      </c>
      <c r="I802" s="4" t="str">
        <f t="array" ref="I802">IF($E802="","", XLOOKUP(SUMIFS(Prod_Prop!$A:$A,Prod_Prop!$B:$B,$E802,Prod_Prop!$H:$H,I$1,Prod_Prop!$I:$I,"Exacto"),Prod_Prop!$A:$A,Prod_Prop!$J:$J,"",0,1))</f>
        <v/>
      </c>
      <c r="J802" s="4" t="str">
        <f t="array" ref="J802">IF($E802="","", XLOOKUP(SUMIFS(Prod_Prop!$A:$A,Prod_Prop!$B:$B,$E802,Prod_Prop!$H:$H,J$1,Prod_Prop!$I:$I,"Exacto"),Prod_Prop!$A:$A,Prod_Prop!$J:$J,"",0,1))</f>
        <v/>
      </c>
      <c r="K802" s="4" t="str">
        <f t="array" ref="K802">IF($E802="","", XLOOKUP(SUMIFS(Prod_Prop!$A:$A,Prod_Prop!$B:$B,$E802,Prod_Prop!$H:$H,K$1,Prod_Prop!$I:$I,"Exacto"),Prod_Prop!$A:$A,Prod_Prop!$J:$J,"",0,1))</f>
        <v/>
      </c>
      <c r="L802" s="4" t="str">
        <f t="array" ref="L802">IF($E802="","", XLOOKUP(SUMIFS(Prod_Prop!$A:$A,Prod_Prop!$B:$B,$E802,Prod_Prop!$H:$H,L$1,Prod_Prop!$I:$I,"Exacto"),Prod_Prop!$A:$A,Prod_Prop!$J:$J,"",0,1))</f>
        <v/>
      </c>
      <c r="M802" s="4" t="str">
        <f t="array" ref="M802">IF($E802="","", XLOOKUP(SUMIFS(Prod_Prop!$A:$A,Prod_Prop!$B:$B,$E802,Prod_Prop!$H:$H,M$1,Prod_Prop!$I:$I,"Exacto"),Prod_Prop!$A:$A,Prod_Prop!$J:$J,"",0,1))</f>
        <v/>
      </c>
      <c r="N802" s="4" t="str">
        <f t="array" ref="N802">IF($E802="","", XLOOKUP(SUMIFS(Prod_Prop!$A:$A,Prod_Prop!$B:$B,$E802,Prod_Prop!$H:$H,N$1,Prod_Prop!$I:$I,"Exacto"),Prod_Prop!$A:$A,Prod_Prop!$J:$J,"",0,1))</f>
        <v/>
      </c>
      <c r="O802" s="4" t="str">
        <f t="array" ref="O802">IF($E802="","", XLOOKUP(SUMIFS(Prod_Prop!$A:$A,Prod_Prop!$B:$B,$E802,Prod_Prop!$H:$H,O$1,Prod_Prop!$I:$I,"Exacto"),Prod_Prop!$A:$A,Prod_Prop!$J:$J,"",0,1))</f>
        <v/>
      </c>
      <c r="P802" s="4" t="str">
        <f t="array" ref="P802">IF($E802="","", XLOOKUP(SUMIFS(Prod_Prop!$A:$A,Prod_Prop!$B:$B,$E802,Prod_Prop!$H:$H,P$1,Prod_Prop!$I:$I,"Exacto"),Prod_Prop!$A:$A,Prod_Prop!$J:$J,"",0,1))</f>
        <v/>
      </c>
      <c r="Q802" s="4" t="str">
        <f t="array" ref="Q802">IF($E802="","", XLOOKUP(SUMIFS(Prod_Prop!$A:$A,Prod_Prop!$B:$B,$E802,Prod_Prop!$H:$H,Q$1,Prod_Prop!$I:$I,"Exacto"),Prod_Prop!$A:$A,Prod_Prop!$J:$J,"",0,1))</f>
        <v/>
      </c>
      <c r="R802" s="4" t="str">
        <f t="array" ref="R802">IF($E802="","", XLOOKUP(SUMIFS(Prod_Prop!$A:$A,Prod_Prop!$B:$B,$E802,Prod_Prop!$H:$H,R$1,Prod_Prop!$I:$I,"Exacto"),Prod_Prop!$A:$A,Prod_Prop!$J:$J,"",0,1))</f>
        <v/>
      </c>
      <c r="S802" s="4" t="str">
        <f t="array" ref="S802">IF($E802="","", XLOOKUP(SUMIFS(Prod_Prop!$A:$A,Prod_Prop!$B:$B,$E802,Prod_Prop!$H:$H,S$1,Prod_Prop!$I:$I,"Exacto"),Prod_Prop!$A:$A,Prod_Prop!$J:$J,"",0,1))</f>
        <v/>
      </c>
      <c r="T802" s="4" t="str">
        <f t="array" ref="T802">IF($E802="","", XLOOKUP(SUMIFS(Prod_Prop!$A:$A,Prod_Prop!$B:$B,$E802,Prod_Prop!$H:$H,T$1,Prod_Prop!$I:$I,"Exacto"),Prod_Prop!$A:$A,Prod_Prop!$J:$J,"",0,1))</f>
        <v/>
      </c>
      <c r="U802" s="4" t="str">
        <f t="array" ref="U802">IF($E802="","", XLOOKUP(SUMIFS(Prod_Prop!$A:$A,Prod_Prop!$B:$B,$E802,Prod_Prop!$H:$H,U$1,Prod_Prop!$I:$I,"Exacto"),Prod_Prop!$A:$A,Prod_Prop!$J:$J,"",0,1))</f>
        <v/>
      </c>
      <c r="V802" s="4" t="str">
        <f t="array" ref="V802">IF($E802="","", XLOOKUP(SUMIFS(Prod_Prop!$A:$A,Prod_Prop!$B:$B,$E802,Prod_Prop!$H:$H,V$1,Prod_Prop!$I:$I,"Exacto"),Prod_Prop!$A:$A,Prod_Prop!$J:$J,"",0,1))</f>
        <v/>
      </c>
      <c r="X802" s="3" t="str">
        <f>IFERROR(__xludf.DUMMYFUNCTION("IF(D802="""","""",IFERROR(TRANSPOSE(FILTER('Validaciones Cotizador'!U:U,'Validaciones Cotizador'!O:O=D802,'Validaciones Cotizador'!T:T=""x"")),""Finalizar""))"),"")</f>
        <v/>
      </c>
    </row>
    <row r="803">
      <c r="A803" s="2" t="str">
        <f t="array" ref="A803">IF(E803="","",XLOOKUP(D803,'Validaciones Cotizador'!C:C,'Validaciones Cotizador'!A:A,"",0,1))</f>
        <v/>
      </c>
      <c r="B803" s="2" t="str">
        <f t="array" ref="B803">IF(F803="","",XLOOKUP(F803,Productos!E:E,Productos!G:G,"",0,1))</f>
        <v/>
      </c>
      <c r="C803" s="2" t="str">
        <f>IF(A803="","",SUMIFS('Validaciones Cotizador'!B:B,'Validaciones Cotizador'!C:C,D803,'Validaciones Cotizador'!A:A,A803))</f>
        <v/>
      </c>
      <c r="D803" s="4" t="str">
        <f>IFERROR(__xludf.DUMMYFUNCTION("IF(OR(F802=""Finalizar"",F802="""",F802=""Selecciona..""),"""",IF(OR(F802=""-"",INDEX(filter(Familias!F:F,Familias!D:D=A802,Familias!E:E=C802),1)=""O""),D802+1,D802))"),"")</f>
        <v/>
      </c>
      <c r="E803" s="2" t="str">
        <f>IF(OR(F803="",F803="Selecciona.."),"",IF(D803="Implemento",SUMIF(Implementos!B:B,F803,Implementos!A:A),SUMIF(Productos!E:E,F803,Productos!A:A)))</f>
        <v/>
      </c>
      <c r="F803" s="2" t="str">
        <f t="shared" si="2"/>
        <v/>
      </c>
      <c r="G803" s="10" t="str">
        <f t="array" ref="G803">IF(OR(F803="",F803="-",F803="Selecciona..",F803="Finalizar"),"",IF(A803="Rodados",XLOOKUP(B803,'Validaciones Cotizador'!I:I,'Validaciones Cotizador'!J:J,0,0,1),1))</f>
        <v/>
      </c>
      <c r="H803" s="11" t="str">
        <f>IF(OR(F803="",F803="Selecciona.."),"",SUMIF(Precio_Productos!K:K,E803,Precio_Productos!J:J)*G803)</f>
        <v/>
      </c>
      <c r="I803" s="4" t="str">
        <f t="array" ref="I803">IF($E803="","", XLOOKUP(SUMIFS(Prod_Prop!$A:$A,Prod_Prop!$B:$B,$E803,Prod_Prop!$H:$H,I$1,Prod_Prop!$I:$I,"Exacto"),Prod_Prop!$A:$A,Prod_Prop!$J:$J,"",0,1))</f>
        <v/>
      </c>
      <c r="J803" s="4" t="str">
        <f t="array" ref="J803">IF($E803="","", XLOOKUP(SUMIFS(Prod_Prop!$A:$A,Prod_Prop!$B:$B,$E803,Prod_Prop!$H:$H,J$1,Prod_Prop!$I:$I,"Exacto"),Prod_Prop!$A:$A,Prod_Prop!$J:$J,"",0,1))</f>
        <v/>
      </c>
      <c r="K803" s="4" t="str">
        <f t="array" ref="K803">IF($E803="","", XLOOKUP(SUMIFS(Prod_Prop!$A:$A,Prod_Prop!$B:$B,$E803,Prod_Prop!$H:$H,K$1,Prod_Prop!$I:$I,"Exacto"),Prod_Prop!$A:$A,Prod_Prop!$J:$J,"",0,1))</f>
        <v/>
      </c>
      <c r="L803" s="4" t="str">
        <f t="array" ref="L803">IF($E803="","", XLOOKUP(SUMIFS(Prod_Prop!$A:$A,Prod_Prop!$B:$B,$E803,Prod_Prop!$H:$H,L$1,Prod_Prop!$I:$I,"Exacto"),Prod_Prop!$A:$A,Prod_Prop!$J:$J,"",0,1))</f>
        <v/>
      </c>
      <c r="M803" s="4" t="str">
        <f t="array" ref="M803">IF($E803="","", XLOOKUP(SUMIFS(Prod_Prop!$A:$A,Prod_Prop!$B:$B,$E803,Prod_Prop!$H:$H,M$1,Prod_Prop!$I:$I,"Exacto"),Prod_Prop!$A:$A,Prod_Prop!$J:$J,"",0,1))</f>
        <v/>
      </c>
      <c r="N803" s="4" t="str">
        <f t="array" ref="N803">IF($E803="","", XLOOKUP(SUMIFS(Prod_Prop!$A:$A,Prod_Prop!$B:$B,$E803,Prod_Prop!$H:$H,N$1,Prod_Prop!$I:$I,"Exacto"),Prod_Prop!$A:$A,Prod_Prop!$J:$J,"",0,1))</f>
        <v/>
      </c>
      <c r="O803" s="4" t="str">
        <f t="array" ref="O803">IF($E803="","", XLOOKUP(SUMIFS(Prod_Prop!$A:$A,Prod_Prop!$B:$B,$E803,Prod_Prop!$H:$H,O$1,Prod_Prop!$I:$I,"Exacto"),Prod_Prop!$A:$A,Prod_Prop!$J:$J,"",0,1))</f>
        <v/>
      </c>
      <c r="P803" s="4" t="str">
        <f t="array" ref="P803">IF($E803="","", XLOOKUP(SUMIFS(Prod_Prop!$A:$A,Prod_Prop!$B:$B,$E803,Prod_Prop!$H:$H,P$1,Prod_Prop!$I:$I,"Exacto"),Prod_Prop!$A:$A,Prod_Prop!$J:$J,"",0,1))</f>
        <v/>
      </c>
      <c r="Q803" s="4" t="str">
        <f t="array" ref="Q803">IF($E803="","", XLOOKUP(SUMIFS(Prod_Prop!$A:$A,Prod_Prop!$B:$B,$E803,Prod_Prop!$H:$H,Q$1,Prod_Prop!$I:$I,"Exacto"),Prod_Prop!$A:$A,Prod_Prop!$J:$J,"",0,1))</f>
        <v/>
      </c>
      <c r="R803" s="4" t="str">
        <f t="array" ref="R803">IF($E803="","", XLOOKUP(SUMIFS(Prod_Prop!$A:$A,Prod_Prop!$B:$B,$E803,Prod_Prop!$H:$H,R$1,Prod_Prop!$I:$I,"Exacto"),Prod_Prop!$A:$A,Prod_Prop!$J:$J,"",0,1))</f>
        <v/>
      </c>
      <c r="S803" s="4" t="str">
        <f t="array" ref="S803">IF($E803="","", XLOOKUP(SUMIFS(Prod_Prop!$A:$A,Prod_Prop!$B:$B,$E803,Prod_Prop!$H:$H,S$1,Prod_Prop!$I:$I,"Exacto"),Prod_Prop!$A:$A,Prod_Prop!$J:$J,"",0,1))</f>
        <v/>
      </c>
      <c r="T803" s="4" t="str">
        <f t="array" ref="T803">IF($E803="","", XLOOKUP(SUMIFS(Prod_Prop!$A:$A,Prod_Prop!$B:$B,$E803,Prod_Prop!$H:$H,T$1,Prod_Prop!$I:$I,"Exacto"),Prod_Prop!$A:$A,Prod_Prop!$J:$J,"",0,1))</f>
        <v/>
      </c>
      <c r="U803" s="4" t="str">
        <f t="array" ref="U803">IF($E803="","", XLOOKUP(SUMIFS(Prod_Prop!$A:$A,Prod_Prop!$B:$B,$E803,Prod_Prop!$H:$H,U$1,Prod_Prop!$I:$I,"Exacto"),Prod_Prop!$A:$A,Prod_Prop!$J:$J,"",0,1))</f>
        <v/>
      </c>
      <c r="V803" s="4" t="str">
        <f t="array" ref="V803">IF($E803="","", XLOOKUP(SUMIFS(Prod_Prop!$A:$A,Prod_Prop!$B:$B,$E803,Prod_Prop!$H:$H,V$1,Prod_Prop!$I:$I,"Exacto"),Prod_Prop!$A:$A,Prod_Prop!$J:$J,"",0,1))</f>
        <v/>
      </c>
      <c r="X803" s="3" t="str">
        <f>IFERROR(__xludf.DUMMYFUNCTION("IF(D803="""","""",IFERROR(TRANSPOSE(FILTER('Validaciones Cotizador'!U:U,'Validaciones Cotizador'!O:O=D803,'Validaciones Cotizador'!T:T=""x"")),""Finalizar""))"),"")</f>
        <v/>
      </c>
    </row>
    <row r="804">
      <c r="A804" s="2" t="str">
        <f t="array" ref="A804">IF(E804="","",XLOOKUP(D804,'Validaciones Cotizador'!C:C,'Validaciones Cotizador'!A:A,"",0,1))</f>
        <v/>
      </c>
      <c r="B804" s="2" t="str">
        <f t="array" ref="B804">IF(F804="","",XLOOKUP(F804,Productos!E:E,Productos!G:G,"",0,1))</f>
        <v/>
      </c>
      <c r="C804" s="2" t="str">
        <f>IF(A804="","",SUMIFS('Validaciones Cotizador'!B:B,'Validaciones Cotizador'!C:C,D804,'Validaciones Cotizador'!A:A,A804))</f>
        <v/>
      </c>
      <c r="D804" s="4" t="str">
        <f>IFERROR(__xludf.DUMMYFUNCTION("IF(OR(F803=""Finalizar"",F803="""",F803=""Selecciona..""),"""",IF(OR(F803=""-"",INDEX(filter(Familias!F:F,Familias!D:D=A803,Familias!E:E=C803),1)=""O""),D803+1,D803))"),"")</f>
        <v/>
      </c>
      <c r="E804" s="2" t="str">
        <f>IF(OR(F804="",F804="Selecciona.."),"",IF(D804="Implemento",SUMIF(Implementos!B:B,F804,Implementos!A:A),SUMIF(Productos!E:E,F804,Productos!A:A)))</f>
        <v/>
      </c>
      <c r="F804" s="2" t="str">
        <f t="shared" si="2"/>
        <v/>
      </c>
      <c r="G804" s="10" t="str">
        <f t="array" ref="G804">IF(OR(F804="",F804="-",F804="Selecciona..",F804="Finalizar"),"",IF(A804="Rodados",XLOOKUP(B804,'Validaciones Cotizador'!I:I,'Validaciones Cotizador'!J:J,0,0,1),1))</f>
        <v/>
      </c>
      <c r="H804" s="11" t="str">
        <f>IF(OR(F804="",F804="Selecciona.."),"",SUMIF(Precio_Productos!K:K,E804,Precio_Productos!J:J)*G804)</f>
        <v/>
      </c>
      <c r="I804" s="4" t="str">
        <f t="array" ref="I804">IF($E804="","", XLOOKUP(SUMIFS(Prod_Prop!$A:$A,Prod_Prop!$B:$B,$E804,Prod_Prop!$H:$H,I$1,Prod_Prop!$I:$I,"Exacto"),Prod_Prop!$A:$A,Prod_Prop!$J:$J,"",0,1))</f>
        <v/>
      </c>
      <c r="J804" s="4" t="str">
        <f t="array" ref="J804">IF($E804="","", XLOOKUP(SUMIFS(Prod_Prop!$A:$A,Prod_Prop!$B:$B,$E804,Prod_Prop!$H:$H,J$1,Prod_Prop!$I:$I,"Exacto"),Prod_Prop!$A:$A,Prod_Prop!$J:$J,"",0,1))</f>
        <v/>
      </c>
      <c r="K804" s="4" t="str">
        <f t="array" ref="K804">IF($E804="","", XLOOKUP(SUMIFS(Prod_Prop!$A:$A,Prod_Prop!$B:$B,$E804,Prod_Prop!$H:$H,K$1,Prod_Prop!$I:$I,"Exacto"),Prod_Prop!$A:$A,Prod_Prop!$J:$J,"",0,1))</f>
        <v/>
      </c>
      <c r="L804" s="4" t="str">
        <f t="array" ref="L804">IF($E804="","", XLOOKUP(SUMIFS(Prod_Prop!$A:$A,Prod_Prop!$B:$B,$E804,Prod_Prop!$H:$H,L$1,Prod_Prop!$I:$I,"Exacto"),Prod_Prop!$A:$A,Prod_Prop!$J:$J,"",0,1))</f>
        <v/>
      </c>
      <c r="M804" s="4" t="str">
        <f t="array" ref="M804">IF($E804="","", XLOOKUP(SUMIFS(Prod_Prop!$A:$A,Prod_Prop!$B:$B,$E804,Prod_Prop!$H:$H,M$1,Prod_Prop!$I:$I,"Exacto"),Prod_Prop!$A:$A,Prod_Prop!$J:$J,"",0,1))</f>
        <v/>
      </c>
      <c r="N804" s="4" t="str">
        <f t="array" ref="N804">IF($E804="","", XLOOKUP(SUMIFS(Prod_Prop!$A:$A,Prod_Prop!$B:$B,$E804,Prod_Prop!$H:$H,N$1,Prod_Prop!$I:$I,"Exacto"),Prod_Prop!$A:$A,Prod_Prop!$J:$J,"",0,1))</f>
        <v/>
      </c>
      <c r="O804" s="4" t="str">
        <f t="array" ref="O804">IF($E804="","", XLOOKUP(SUMIFS(Prod_Prop!$A:$A,Prod_Prop!$B:$B,$E804,Prod_Prop!$H:$H,O$1,Prod_Prop!$I:$I,"Exacto"),Prod_Prop!$A:$A,Prod_Prop!$J:$J,"",0,1))</f>
        <v/>
      </c>
      <c r="P804" s="4" t="str">
        <f t="array" ref="P804">IF($E804="","", XLOOKUP(SUMIFS(Prod_Prop!$A:$A,Prod_Prop!$B:$B,$E804,Prod_Prop!$H:$H,P$1,Prod_Prop!$I:$I,"Exacto"),Prod_Prop!$A:$A,Prod_Prop!$J:$J,"",0,1))</f>
        <v/>
      </c>
      <c r="Q804" s="4" t="str">
        <f t="array" ref="Q804">IF($E804="","", XLOOKUP(SUMIFS(Prod_Prop!$A:$A,Prod_Prop!$B:$B,$E804,Prod_Prop!$H:$H,Q$1,Prod_Prop!$I:$I,"Exacto"),Prod_Prop!$A:$A,Prod_Prop!$J:$J,"",0,1))</f>
        <v/>
      </c>
      <c r="R804" s="4" t="str">
        <f t="array" ref="R804">IF($E804="","", XLOOKUP(SUMIFS(Prod_Prop!$A:$A,Prod_Prop!$B:$B,$E804,Prod_Prop!$H:$H,R$1,Prod_Prop!$I:$I,"Exacto"),Prod_Prop!$A:$A,Prod_Prop!$J:$J,"",0,1))</f>
        <v/>
      </c>
      <c r="S804" s="4" t="str">
        <f t="array" ref="S804">IF($E804="","", XLOOKUP(SUMIFS(Prod_Prop!$A:$A,Prod_Prop!$B:$B,$E804,Prod_Prop!$H:$H,S$1,Prod_Prop!$I:$I,"Exacto"),Prod_Prop!$A:$A,Prod_Prop!$J:$J,"",0,1))</f>
        <v/>
      </c>
      <c r="T804" s="4" t="str">
        <f t="array" ref="T804">IF($E804="","", XLOOKUP(SUMIFS(Prod_Prop!$A:$A,Prod_Prop!$B:$B,$E804,Prod_Prop!$H:$H,T$1,Prod_Prop!$I:$I,"Exacto"),Prod_Prop!$A:$A,Prod_Prop!$J:$J,"",0,1))</f>
        <v/>
      </c>
      <c r="U804" s="4" t="str">
        <f t="array" ref="U804">IF($E804="","", XLOOKUP(SUMIFS(Prod_Prop!$A:$A,Prod_Prop!$B:$B,$E804,Prod_Prop!$H:$H,U$1,Prod_Prop!$I:$I,"Exacto"),Prod_Prop!$A:$A,Prod_Prop!$J:$J,"",0,1))</f>
        <v/>
      </c>
      <c r="V804" s="4" t="str">
        <f t="array" ref="V804">IF($E804="","", XLOOKUP(SUMIFS(Prod_Prop!$A:$A,Prod_Prop!$B:$B,$E804,Prod_Prop!$H:$H,V$1,Prod_Prop!$I:$I,"Exacto"),Prod_Prop!$A:$A,Prod_Prop!$J:$J,"",0,1))</f>
        <v/>
      </c>
      <c r="X804" s="3" t="str">
        <f>IFERROR(__xludf.DUMMYFUNCTION("IF(D804="""","""",IFERROR(TRANSPOSE(FILTER('Validaciones Cotizador'!U:U,'Validaciones Cotizador'!O:O=D804,'Validaciones Cotizador'!T:T=""x"")),""Finalizar""))"),"")</f>
        <v/>
      </c>
    </row>
    <row r="805">
      <c r="A805" s="2" t="str">
        <f t="array" ref="A805">IF(E805="","",XLOOKUP(D805,'Validaciones Cotizador'!C:C,'Validaciones Cotizador'!A:A,"",0,1))</f>
        <v/>
      </c>
      <c r="B805" s="2" t="str">
        <f t="array" ref="B805">IF(F805="","",XLOOKUP(F805,Productos!E:E,Productos!G:G,"",0,1))</f>
        <v/>
      </c>
      <c r="C805" s="2" t="str">
        <f>IF(A805="","",SUMIFS('Validaciones Cotizador'!B:B,'Validaciones Cotizador'!C:C,D805,'Validaciones Cotizador'!A:A,A805))</f>
        <v/>
      </c>
      <c r="D805" s="4" t="str">
        <f>IFERROR(__xludf.DUMMYFUNCTION("IF(OR(F804=""Finalizar"",F804="""",F804=""Selecciona..""),"""",IF(OR(F804=""-"",INDEX(filter(Familias!F:F,Familias!D:D=A804,Familias!E:E=C804),1)=""O""),D804+1,D804))"),"")</f>
        <v/>
      </c>
      <c r="E805" s="2" t="str">
        <f>IF(OR(F805="",F805="Selecciona.."),"",IF(D805="Implemento",SUMIF(Implementos!B:B,F805,Implementos!A:A),SUMIF(Productos!E:E,F805,Productos!A:A)))</f>
        <v/>
      </c>
      <c r="F805" s="2" t="str">
        <f t="shared" si="2"/>
        <v/>
      </c>
      <c r="G805" s="10" t="str">
        <f t="array" ref="G805">IF(OR(F805="",F805="-",F805="Selecciona..",F805="Finalizar"),"",IF(A805="Rodados",XLOOKUP(B805,'Validaciones Cotizador'!I:I,'Validaciones Cotizador'!J:J,0,0,1),1))</f>
        <v/>
      </c>
      <c r="H805" s="11" t="str">
        <f>IF(OR(F805="",F805="Selecciona.."),"",SUMIF(Precio_Productos!K:K,E805,Precio_Productos!J:J)*G805)</f>
        <v/>
      </c>
      <c r="I805" s="4" t="str">
        <f t="array" ref="I805">IF($E805="","", XLOOKUP(SUMIFS(Prod_Prop!$A:$A,Prod_Prop!$B:$B,$E805,Prod_Prop!$H:$H,I$1,Prod_Prop!$I:$I,"Exacto"),Prod_Prop!$A:$A,Prod_Prop!$J:$J,"",0,1))</f>
        <v/>
      </c>
      <c r="J805" s="4" t="str">
        <f t="array" ref="J805">IF($E805="","", XLOOKUP(SUMIFS(Prod_Prop!$A:$A,Prod_Prop!$B:$B,$E805,Prod_Prop!$H:$H,J$1,Prod_Prop!$I:$I,"Exacto"),Prod_Prop!$A:$A,Prod_Prop!$J:$J,"",0,1))</f>
        <v/>
      </c>
      <c r="K805" s="4" t="str">
        <f t="array" ref="K805">IF($E805="","", XLOOKUP(SUMIFS(Prod_Prop!$A:$A,Prod_Prop!$B:$B,$E805,Prod_Prop!$H:$H,K$1,Prod_Prop!$I:$I,"Exacto"),Prod_Prop!$A:$A,Prod_Prop!$J:$J,"",0,1))</f>
        <v/>
      </c>
      <c r="L805" s="4" t="str">
        <f t="array" ref="L805">IF($E805="","", XLOOKUP(SUMIFS(Prod_Prop!$A:$A,Prod_Prop!$B:$B,$E805,Prod_Prop!$H:$H,L$1,Prod_Prop!$I:$I,"Exacto"),Prod_Prop!$A:$A,Prod_Prop!$J:$J,"",0,1))</f>
        <v/>
      </c>
      <c r="M805" s="4" t="str">
        <f t="array" ref="M805">IF($E805="","", XLOOKUP(SUMIFS(Prod_Prop!$A:$A,Prod_Prop!$B:$B,$E805,Prod_Prop!$H:$H,M$1,Prod_Prop!$I:$I,"Exacto"),Prod_Prop!$A:$A,Prod_Prop!$J:$J,"",0,1))</f>
        <v/>
      </c>
      <c r="N805" s="4" t="str">
        <f t="array" ref="N805">IF($E805="","", XLOOKUP(SUMIFS(Prod_Prop!$A:$A,Prod_Prop!$B:$B,$E805,Prod_Prop!$H:$H,N$1,Prod_Prop!$I:$I,"Exacto"),Prod_Prop!$A:$A,Prod_Prop!$J:$J,"",0,1))</f>
        <v/>
      </c>
      <c r="O805" s="4" t="str">
        <f t="array" ref="O805">IF($E805="","", XLOOKUP(SUMIFS(Prod_Prop!$A:$A,Prod_Prop!$B:$B,$E805,Prod_Prop!$H:$H,O$1,Prod_Prop!$I:$I,"Exacto"),Prod_Prop!$A:$A,Prod_Prop!$J:$J,"",0,1))</f>
        <v/>
      </c>
      <c r="P805" s="4" t="str">
        <f t="array" ref="P805">IF($E805="","", XLOOKUP(SUMIFS(Prod_Prop!$A:$A,Prod_Prop!$B:$B,$E805,Prod_Prop!$H:$H,P$1,Prod_Prop!$I:$I,"Exacto"),Prod_Prop!$A:$A,Prod_Prop!$J:$J,"",0,1))</f>
        <v/>
      </c>
      <c r="Q805" s="4" t="str">
        <f t="array" ref="Q805">IF($E805="","", XLOOKUP(SUMIFS(Prod_Prop!$A:$A,Prod_Prop!$B:$B,$E805,Prod_Prop!$H:$H,Q$1,Prod_Prop!$I:$I,"Exacto"),Prod_Prop!$A:$A,Prod_Prop!$J:$J,"",0,1))</f>
        <v/>
      </c>
      <c r="R805" s="4" t="str">
        <f t="array" ref="R805">IF($E805="","", XLOOKUP(SUMIFS(Prod_Prop!$A:$A,Prod_Prop!$B:$B,$E805,Prod_Prop!$H:$H,R$1,Prod_Prop!$I:$I,"Exacto"),Prod_Prop!$A:$A,Prod_Prop!$J:$J,"",0,1))</f>
        <v/>
      </c>
      <c r="S805" s="4" t="str">
        <f t="array" ref="S805">IF($E805="","", XLOOKUP(SUMIFS(Prod_Prop!$A:$A,Prod_Prop!$B:$B,$E805,Prod_Prop!$H:$H,S$1,Prod_Prop!$I:$I,"Exacto"),Prod_Prop!$A:$A,Prod_Prop!$J:$J,"",0,1))</f>
        <v/>
      </c>
      <c r="T805" s="4" t="str">
        <f t="array" ref="T805">IF($E805="","", XLOOKUP(SUMIFS(Prod_Prop!$A:$A,Prod_Prop!$B:$B,$E805,Prod_Prop!$H:$H,T$1,Prod_Prop!$I:$I,"Exacto"),Prod_Prop!$A:$A,Prod_Prop!$J:$J,"",0,1))</f>
        <v/>
      </c>
      <c r="U805" s="4" t="str">
        <f t="array" ref="U805">IF($E805="","", XLOOKUP(SUMIFS(Prod_Prop!$A:$A,Prod_Prop!$B:$B,$E805,Prod_Prop!$H:$H,U$1,Prod_Prop!$I:$I,"Exacto"),Prod_Prop!$A:$A,Prod_Prop!$J:$J,"",0,1))</f>
        <v/>
      </c>
      <c r="V805" s="4" t="str">
        <f t="array" ref="V805">IF($E805="","", XLOOKUP(SUMIFS(Prod_Prop!$A:$A,Prod_Prop!$B:$B,$E805,Prod_Prop!$H:$H,V$1,Prod_Prop!$I:$I,"Exacto"),Prod_Prop!$A:$A,Prod_Prop!$J:$J,"",0,1))</f>
        <v/>
      </c>
      <c r="X805" s="3" t="str">
        <f>IFERROR(__xludf.DUMMYFUNCTION("IF(D805="""","""",IFERROR(TRANSPOSE(FILTER('Validaciones Cotizador'!U:U,'Validaciones Cotizador'!O:O=D805,'Validaciones Cotizador'!T:T=""x"")),""Finalizar""))"),"")</f>
        <v/>
      </c>
    </row>
    <row r="806">
      <c r="A806" s="2" t="str">
        <f t="array" ref="A806">IF(E806="","",XLOOKUP(D806,'Validaciones Cotizador'!C:C,'Validaciones Cotizador'!A:A,"",0,1))</f>
        <v/>
      </c>
      <c r="B806" s="2" t="str">
        <f t="array" ref="B806">IF(F806="","",XLOOKUP(F806,Productos!E:E,Productos!G:G,"",0,1))</f>
        <v/>
      </c>
      <c r="C806" s="2" t="str">
        <f>IF(A806="","",SUMIFS('Validaciones Cotizador'!B:B,'Validaciones Cotizador'!C:C,D806,'Validaciones Cotizador'!A:A,A806))</f>
        <v/>
      </c>
      <c r="D806" s="4" t="str">
        <f>IFERROR(__xludf.DUMMYFUNCTION("IF(OR(F805=""Finalizar"",F805="""",F805=""Selecciona..""),"""",IF(OR(F805=""-"",INDEX(filter(Familias!F:F,Familias!D:D=A805,Familias!E:E=C805),1)=""O""),D805+1,D805))"),"")</f>
        <v/>
      </c>
      <c r="E806" s="2" t="str">
        <f>IF(OR(F806="",F806="Selecciona.."),"",IF(D806="Implemento",SUMIF(Implementos!B:B,F806,Implementos!A:A),SUMIF(Productos!E:E,F806,Productos!A:A)))</f>
        <v/>
      </c>
      <c r="F806" s="2" t="str">
        <f t="shared" si="2"/>
        <v/>
      </c>
      <c r="G806" s="10" t="str">
        <f t="array" ref="G806">IF(OR(F806="",F806="-",F806="Selecciona..",F806="Finalizar"),"",IF(A806="Rodados",XLOOKUP(B806,'Validaciones Cotizador'!I:I,'Validaciones Cotizador'!J:J,0,0,1),1))</f>
        <v/>
      </c>
      <c r="H806" s="11" t="str">
        <f>IF(OR(F806="",F806="Selecciona.."),"",SUMIF(Precio_Productos!K:K,E806,Precio_Productos!J:J)*G806)</f>
        <v/>
      </c>
      <c r="I806" s="4" t="str">
        <f t="array" ref="I806">IF($E806="","", XLOOKUP(SUMIFS(Prod_Prop!$A:$A,Prod_Prop!$B:$B,$E806,Prod_Prop!$H:$H,I$1,Prod_Prop!$I:$I,"Exacto"),Prod_Prop!$A:$A,Prod_Prop!$J:$J,"",0,1))</f>
        <v/>
      </c>
      <c r="J806" s="4" t="str">
        <f t="array" ref="J806">IF($E806="","", XLOOKUP(SUMIFS(Prod_Prop!$A:$A,Prod_Prop!$B:$B,$E806,Prod_Prop!$H:$H,J$1,Prod_Prop!$I:$I,"Exacto"),Prod_Prop!$A:$A,Prod_Prop!$J:$J,"",0,1))</f>
        <v/>
      </c>
      <c r="K806" s="4" t="str">
        <f t="array" ref="K806">IF($E806="","", XLOOKUP(SUMIFS(Prod_Prop!$A:$A,Prod_Prop!$B:$B,$E806,Prod_Prop!$H:$H,K$1,Prod_Prop!$I:$I,"Exacto"),Prod_Prop!$A:$A,Prod_Prop!$J:$J,"",0,1))</f>
        <v/>
      </c>
      <c r="L806" s="4" t="str">
        <f t="array" ref="L806">IF($E806="","", XLOOKUP(SUMIFS(Prod_Prop!$A:$A,Prod_Prop!$B:$B,$E806,Prod_Prop!$H:$H,L$1,Prod_Prop!$I:$I,"Exacto"),Prod_Prop!$A:$A,Prod_Prop!$J:$J,"",0,1))</f>
        <v/>
      </c>
      <c r="M806" s="4" t="str">
        <f t="array" ref="M806">IF($E806="","", XLOOKUP(SUMIFS(Prod_Prop!$A:$A,Prod_Prop!$B:$B,$E806,Prod_Prop!$H:$H,M$1,Prod_Prop!$I:$I,"Exacto"),Prod_Prop!$A:$A,Prod_Prop!$J:$J,"",0,1))</f>
        <v/>
      </c>
      <c r="N806" s="4" t="str">
        <f t="array" ref="N806">IF($E806="","", XLOOKUP(SUMIFS(Prod_Prop!$A:$A,Prod_Prop!$B:$B,$E806,Prod_Prop!$H:$H,N$1,Prod_Prop!$I:$I,"Exacto"),Prod_Prop!$A:$A,Prod_Prop!$J:$J,"",0,1))</f>
        <v/>
      </c>
      <c r="O806" s="4" t="str">
        <f t="array" ref="O806">IF($E806="","", XLOOKUP(SUMIFS(Prod_Prop!$A:$A,Prod_Prop!$B:$B,$E806,Prod_Prop!$H:$H,O$1,Prod_Prop!$I:$I,"Exacto"),Prod_Prop!$A:$A,Prod_Prop!$J:$J,"",0,1))</f>
        <v/>
      </c>
      <c r="P806" s="4" t="str">
        <f t="array" ref="P806">IF($E806="","", XLOOKUP(SUMIFS(Prod_Prop!$A:$A,Prod_Prop!$B:$B,$E806,Prod_Prop!$H:$H,P$1,Prod_Prop!$I:$I,"Exacto"),Prod_Prop!$A:$A,Prod_Prop!$J:$J,"",0,1))</f>
        <v/>
      </c>
      <c r="Q806" s="4" t="str">
        <f t="array" ref="Q806">IF($E806="","", XLOOKUP(SUMIFS(Prod_Prop!$A:$A,Prod_Prop!$B:$B,$E806,Prod_Prop!$H:$H,Q$1,Prod_Prop!$I:$I,"Exacto"),Prod_Prop!$A:$A,Prod_Prop!$J:$J,"",0,1))</f>
        <v/>
      </c>
      <c r="R806" s="4" t="str">
        <f t="array" ref="R806">IF($E806="","", XLOOKUP(SUMIFS(Prod_Prop!$A:$A,Prod_Prop!$B:$B,$E806,Prod_Prop!$H:$H,R$1,Prod_Prop!$I:$I,"Exacto"),Prod_Prop!$A:$A,Prod_Prop!$J:$J,"",0,1))</f>
        <v/>
      </c>
      <c r="S806" s="4" t="str">
        <f t="array" ref="S806">IF($E806="","", XLOOKUP(SUMIFS(Prod_Prop!$A:$A,Prod_Prop!$B:$B,$E806,Prod_Prop!$H:$H,S$1,Prod_Prop!$I:$I,"Exacto"),Prod_Prop!$A:$A,Prod_Prop!$J:$J,"",0,1))</f>
        <v/>
      </c>
      <c r="T806" s="4" t="str">
        <f t="array" ref="T806">IF($E806="","", XLOOKUP(SUMIFS(Prod_Prop!$A:$A,Prod_Prop!$B:$B,$E806,Prod_Prop!$H:$H,T$1,Prod_Prop!$I:$I,"Exacto"),Prod_Prop!$A:$A,Prod_Prop!$J:$J,"",0,1))</f>
        <v/>
      </c>
      <c r="U806" s="4" t="str">
        <f t="array" ref="U806">IF($E806="","", XLOOKUP(SUMIFS(Prod_Prop!$A:$A,Prod_Prop!$B:$B,$E806,Prod_Prop!$H:$H,U$1,Prod_Prop!$I:$I,"Exacto"),Prod_Prop!$A:$A,Prod_Prop!$J:$J,"",0,1))</f>
        <v/>
      </c>
      <c r="V806" s="4" t="str">
        <f t="array" ref="V806">IF($E806="","", XLOOKUP(SUMIFS(Prod_Prop!$A:$A,Prod_Prop!$B:$B,$E806,Prod_Prop!$H:$H,V$1,Prod_Prop!$I:$I,"Exacto"),Prod_Prop!$A:$A,Prod_Prop!$J:$J,"",0,1))</f>
        <v/>
      </c>
      <c r="X806" s="3" t="str">
        <f>IFERROR(__xludf.DUMMYFUNCTION("IF(D806="""","""",IFERROR(TRANSPOSE(FILTER('Validaciones Cotizador'!U:U,'Validaciones Cotizador'!O:O=D806,'Validaciones Cotizador'!T:T=""x"")),""Finalizar""))"),"")</f>
        <v/>
      </c>
    </row>
    <row r="807">
      <c r="A807" s="2" t="str">
        <f t="array" ref="A807">IF(E807="","",XLOOKUP(D807,'Validaciones Cotizador'!C:C,'Validaciones Cotizador'!A:A,"",0,1))</f>
        <v/>
      </c>
      <c r="B807" s="2" t="str">
        <f t="array" ref="B807">IF(F807="","",XLOOKUP(F807,Productos!E:E,Productos!G:G,"",0,1))</f>
        <v/>
      </c>
      <c r="C807" s="2" t="str">
        <f>IF(A807="","",SUMIFS('Validaciones Cotizador'!B:B,'Validaciones Cotizador'!C:C,D807,'Validaciones Cotizador'!A:A,A807))</f>
        <v/>
      </c>
      <c r="D807" s="4" t="str">
        <f>IFERROR(__xludf.DUMMYFUNCTION("IF(OR(F806=""Finalizar"",F806="""",F806=""Selecciona..""),"""",IF(OR(F806=""-"",INDEX(filter(Familias!F:F,Familias!D:D=A806,Familias!E:E=C806),1)=""O""),D806+1,D806))"),"")</f>
        <v/>
      </c>
      <c r="E807" s="2" t="str">
        <f>IF(OR(F807="",F807="Selecciona.."),"",IF(D807="Implemento",SUMIF(Implementos!B:B,F807,Implementos!A:A),SUMIF(Productos!E:E,F807,Productos!A:A)))</f>
        <v/>
      </c>
      <c r="F807" s="2" t="str">
        <f t="shared" si="2"/>
        <v/>
      </c>
      <c r="G807" s="10" t="str">
        <f t="array" ref="G807">IF(OR(F807="",F807="-",F807="Selecciona..",F807="Finalizar"),"",IF(A807="Rodados",XLOOKUP(B807,'Validaciones Cotizador'!I:I,'Validaciones Cotizador'!J:J,0,0,1),1))</f>
        <v/>
      </c>
      <c r="H807" s="11" t="str">
        <f>IF(OR(F807="",F807="Selecciona.."),"",SUMIF(Precio_Productos!K:K,E807,Precio_Productos!J:J)*G807)</f>
        <v/>
      </c>
      <c r="I807" s="4" t="str">
        <f t="array" ref="I807">IF($E807="","", XLOOKUP(SUMIFS(Prod_Prop!$A:$A,Prod_Prop!$B:$B,$E807,Prod_Prop!$H:$H,I$1,Prod_Prop!$I:$I,"Exacto"),Prod_Prop!$A:$A,Prod_Prop!$J:$J,"",0,1))</f>
        <v/>
      </c>
      <c r="J807" s="4" t="str">
        <f t="array" ref="J807">IF($E807="","", XLOOKUP(SUMIFS(Prod_Prop!$A:$A,Prod_Prop!$B:$B,$E807,Prod_Prop!$H:$H,J$1,Prod_Prop!$I:$I,"Exacto"),Prod_Prop!$A:$A,Prod_Prop!$J:$J,"",0,1))</f>
        <v/>
      </c>
      <c r="K807" s="4" t="str">
        <f t="array" ref="K807">IF($E807="","", XLOOKUP(SUMIFS(Prod_Prop!$A:$A,Prod_Prop!$B:$B,$E807,Prod_Prop!$H:$H,K$1,Prod_Prop!$I:$I,"Exacto"),Prod_Prop!$A:$A,Prod_Prop!$J:$J,"",0,1))</f>
        <v/>
      </c>
      <c r="L807" s="4" t="str">
        <f t="array" ref="L807">IF($E807="","", XLOOKUP(SUMIFS(Prod_Prop!$A:$A,Prod_Prop!$B:$B,$E807,Prod_Prop!$H:$H,L$1,Prod_Prop!$I:$I,"Exacto"),Prod_Prop!$A:$A,Prod_Prop!$J:$J,"",0,1))</f>
        <v/>
      </c>
      <c r="M807" s="4" t="str">
        <f t="array" ref="M807">IF($E807="","", XLOOKUP(SUMIFS(Prod_Prop!$A:$A,Prod_Prop!$B:$B,$E807,Prod_Prop!$H:$H,M$1,Prod_Prop!$I:$I,"Exacto"),Prod_Prop!$A:$A,Prod_Prop!$J:$J,"",0,1))</f>
        <v/>
      </c>
      <c r="N807" s="4" t="str">
        <f t="array" ref="N807">IF($E807="","", XLOOKUP(SUMIFS(Prod_Prop!$A:$A,Prod_Prop!$B:$B,$E807,Prod_Prop!$H:$H,N$1,Prod_Prop!$I:$I,"Exacto"),Prod_Prop!$A:$A,Prod_Prop!$J:$J,"",0,1))</f>
        <v/>
      </c>
      <c r="O807" s="4" t="str">
        <f t="array" ref="O807">IF($E807="","", XLOOKUP(SUMIFS(Prod_Prop!$A:$A,Prod_Prop!$B:$B,$E807,Prod_Prop!$H:$H,O$1,Prod_Prop!$I:$I,"Exacto"),Prod_Prop!$A:$A,Prod_Prop!$J:$J,"",0,1))</f>
        <v/>
      </c>
      <c r="P807" s="4" t="str">
        <f t="array" ref="P807">IF($E807="","", XLOOKUP(SUMIFS(Prod_Prop!$A:$A,Prod_Prop!$B:$B,$E807,Prod_Prop!$H:$H,P$1,Prod_Prop!$I:$I,"Exacto"),Prod_Prop!$A:$A,Prod_Prop!$J:$J,"",0,1))</f>
        <v/>
      </c>
      <c r="Q807" s="4" t="str">
        <f t="array" ref="Q807">IF($E807="","", XLOOKUP(SUMIFS(Prod_Prop!$A:$A,Prod_Prop!$B:$B,$E807,Prod_Prop!$H:$H,Q$1,Prod_Prop!$I:$I,"Exacto"),Prod_Prop!$A:$A,Prod_Prop!$J:$J,"",0,1))</f>
        <v/>
      </c>
      <c r="R807" s="4" t="str">
        <f t="array" ref="R807">IF($E807="","", XLOOKUP(SUMIFS(Prod_Prop!$A:$A,Prod_Prop!$B:$B,$E807,Prod_Prop!$H:$H,R$1,Prod_Prop!$I:$I,"Exacto"),Prod_Prop!$A:$A,Prod_Prop!$J:$J,"",0,1))</f>
        <v/>
      </c>
      <c r="S807" s="4" t="str">
        <f t="array" ref="S807">IF($E807="","", XLOOKUP(SUMIFS(Prod_Prop!$A:$A,Prod_Prop!$B:$B,$E807,Prod_Prop!$H:$H,S$1,Prod_Prop!$I:$I,"Exacto"),Prod_Prop!$A:$A,Prod_Prop!$J:$J,"",0,1))</f>
        <v/>
      </c>
      <c r="T807" s="4" t="str">
        <f t="array" ref="T807">IF($E807="","", XLOOKUP(SUMIFS(Prod_Prop!$A:$A,Prod_Prop!$B:$B,$E807,Prod_Prop!$H:$H,T$1,Prod_Prop!$I:$I,"Exacto"),Prod_Prop!$A:$A,Prod_Prop!$J:$J,"",0,1))</f>
        <v/>
      </c>
      <c r="U807" s="4" t="str">
        <f t="array" ref="U807">IF($E807="","", XLOOKUP(SUMIFS(Prod_Prop!$A:$A,Prod_Prop!$B:$B,$E807,Prod_Prop!$H:$H,U$1,Prod_Prop!$I:$I,"Exacto"),Prod_Prop!$A:$A,Prod_Prop!$J:$J,"",0,1))</f>
        <v/>
      </c>
      <c r="V807" s="4" t="str">
        <f t="array" ref="V807">IF($E807="","", XLOOKUP(SUMIFS(Prod_Prop!$A:$A,Prod_Prop!$B:$B,$E807,Prod_Prop!$H:$H,V$1,Prod_Prop!$I:$I,"Exacto"),Prod_Prop!$A:$A,Prod_Prop!$J:$J,"",0,1))</f>
        <v/>
      </c>
      <c r="X807" s="3" t="str">
        <f>IFERROR(__xludf.DUMMYFUNCTION("IF(D807="""","""",IFERROR(TRANSPOSE(FILTER('Validaciones Cotizador'!U:U,'Validaciones Cotizador'!O:O=D807,'Validaciones Cotizador'!T:T=""x"")),""Finalizar""))"),"")</f>
        <v/>
      </c>
    </row>
    <row r="808">
      <c r="A808" s="2" t="str">
        <f t="array" ref="A808">IF(E808="","",XLOOKUP(D808,'Validaciones Cotizador'!C:C,'Validaciones Cotizador'!A:A,"",0,1))</f>
        <v/>
      </c>
      <c r="B808" s="2" t="str">
        <f t="array" ref="B808">IF(F808="","",XLOOKUP(F808,Productos!E:E,Productos!G:G,"",0,1))</f>
        <v/>
      </c>
      <c r="C808" s="2" t="str">
        <f>IF(A808="","",SUMIFS('Validaciones Cotizador'!B:B,'Validaciones Cotizador'!C:C,D808,'Validaciones Cotizador'!A:A,A808))</f>
        <v/>
      </c>
      <c r="D808" s="4" t="str">
        <f>IFERROR(__xludf.DUMMYFUNCTION("IF(OR(F807=""Finalizar"",F807="""",F807=""Selecciona..""),"""",IF(OR(F807=""-"",INDEX(filter(Familias!F:F,Familias!D:D=A807,Familias!E:E=C807),1)=""O""),D807+1,D807))"),"")</f>
        <v/>
      </c>
      <c r="E808" s="2" t="str">
        <f>IF(OR(F808="",F808="Selecciona.."),"",IF(D808="Implemento",SUMIF(Implementos!B:B,F808,Implementos!A:A),SUMIF(Productos!E:E,F808,Productos!A:A)))</f>
        <v/>
      </c>
      <c r="F808" s="2" t="str">
        <f t="shared" si="2"/>
        <v/>
      </c>
      <c r="G808" s="10" t="str">
        <f t="array" ref="G808">IF(OR(F808="",F808="-",F808="Selecciona..",F808="Finalizar"),"",IF(A808="Rodados",XLOOKUP(B808,'Validaciones Cotizador'!I:I,'Validaciones Cotizador'!J:J,0,0,1),1))</f>
        <v/>
      </c>
      <c r="H808" s="11" t="str">
        <f>IF(OR(F808="",F808="Selecciona.."),"",SUMIF(Precio_Productos!K:K,E808,Precio_Productos!J:J)*G808)</f>
        <v/>
      </c>
      <c r="I808" s="4" t="str">
        <f t="array" ref="I808">IF($E808="","", XLOOKUP(SUMIFS(Prod_Prop!$A:$A,Prod_Prop!$B:$B,$E808,Prod_Prop!$H:$H,I$1,Prod_Prop!$I:$I,"Exacto"),Prod_Prop!$A:$A,Prod_Prop!$J:$J,"",0,1))</f>
        <v/>
      </c>
      <c r="J808" s="4" t="str">
        <f t="array" ref="J808">IF($E808="","", XLOOKUP(SUMIFS(Prod_Prop!$A:$A,Prod_Prop!$B:$B,$E808,Prod_Prop!$H:$H,J$1,Prod_Prop!$I:$I,"Exacto"),Prod_Prop!$A:$A,Prod_Prop!$J:$J,"",0,1))</f>
        <v/>
      </c>
      <c r="K808" s="4" t="str">
        <f t="array" ref="K808">IF($E808="","", XLOOKUP(SUMIFS(Prod_Prop!$A:$A,Prod_Prop!$B:$B,$E808,Prod_Prop!$H:$H,K$1,Prod_Prop!$I:$I,"Exacto"),Prod_Prop!$A:$A,Prod_Prop!$J:$J,"",0,1))</f>
        <v/>
      </c>
      <c r="L808" s="4" t="str">
        <f t="array" ref="L808">IF($E808="","", XLOOKUP(SUMIFS(Prod_Prop!$A:$A,Prod_Prop!$B:$B,$E808,Prod_Prop!$H:$H,L$1,Prod_Prop!$I:$I,"Exacto"),Prod_Prop!$A:$A,Prod_Prop!$J:$J,"",0,1))</f>
        <v/>
      </c>
      <c r="M808" s="4" t="str">
        <f t="array" ref="M808">IF($E808="","", XLOOKUP(SUMIFS(Prod_Prop!$A:$A,Prod_Prop!$B:$B,$E808,Prod_Prop!$H:$H,M$1,Prod_Prop!$I:$I,"Exacto"),Prod_Prop!$A:$A,Prod_Prop!$J:$J,"",0,1))</f>
        <v/>
      </c>
      <c r="N808" s="4" t="str">
        <f t="array" ref="N808">IF($E808="","", XLOOKUP(SUMIFS(Prod_Prop!$A:$A,Prod_Prop!$B:$B,$E808,Prod_Prop!$H:$H,N$1,Prod_Prop!$I:$I,"Exacto"),Prod_Prop!$A:$A,Prod_Prop!$J:$J,"",0,1))</f>
        <v/>
      </c>
      <c r="O808" s="4" t="str">
        <f t="array" ref="O808">IF($E808="","", XLOOKUP(SUMIFS(Prod_Prop!$A:$A,Prod_Prop!$B:$B,$E808,Prod_Prop!$H:$H,O$1,Prod_Prop!$I:$I,"Exacto"),Prod_Prop!$A:$A,Prod_Prop!$J:$J,"",0,1))</f>
        <v/>
      </c>
      <c r="P808" s="4" t="str">
        <f t="array" ref="P808">IF($E808="","", XLOOKUP(SUMIFS(Prod_Prop!$A:$A,Prod_Prop!$B:$B,$E808,Prod_Prop!$H:$H,P$1,Prod_Prop!$I:$I,"Exacto"),Prod_Prop!$A:$A,Prod_Prop!$J:$J,"",0,1))</f>
        <v/>
      </c>
      <c r="Q808" s="4" t="str">
        <f t="array" ref="Q808">IF($E808="","", XLOOKUP(SUMIFS(Prod_Prop!$A:$A,Prod_Prop!$B:$B,$E808,Prod_Prop!$H:$H,Q$1,Prod_Prop!$I:$I,"Exacto"),Prod_Prop!$A:$A,Prod_Prop!$J:$J,"",0,1))</f>
        <v/>
      </c>
      <c r="R808" s="4" t="str">
        <f t="array" ref="R808">IF($E808="","", XLOOKUP(SUMIFS(Prod_Prop!$A:$A,Prod_Prop!$B:$B,$E808,Prod_Prop!$H:$H,R$1,Prod_Prop!$I:$I,"Exacto"),Prod_Prop!$A:$A,Prod_Prop!$J:$J,"",0,1))</f>
        <v/>
      </c>
      <c r="S808" s="4" t="str">
        <f t="array" ref="S808">IF($E808="","", XLOOKUP(SUMIFS(Prod_Prop!$A:$A,Prod_Prop!$B:$B,$E808,Prod_Prop!$H:$H,S$1,Prod_Prop!$I:$I,"Exacto"),Prod_Prop!$A:$A,Prod_Prop!$J:$J,"",0,1))</f>
        <v/>
      </c>
      <c r="T808" s="4" t="str">
        <f t="array" ref="T808">IF($E808="","", XLOOKUP(SUMIFS(Prod_Prop!$A:$A,Prod_Prop!$B:$B,$E808,Prod_Prop!$H:$H,T$1,Prod_Prop!$I:$I,"Exacto"),Prod_Prop!$A:$A,Prod_Prop!$J:$J,"",0,1))</f>
        <v/>
      </c>
      <c r="U808" s="4" t="str">
        <f t="array" ref="U808">IF($E808="","", XLOOKUP(SUMIFS(Prod_Prop!$A:$A,Prod_Prop!$B:$B,$E808,Prod_Prop!$H:$H,U$1,Prod_Prop!$I:$I,"Exacto"),Prod_Prop!$A:$A,Prod_Prop!$J:$J,"",0,1))</f>
        <v/>
      </c>
      <c r="V808" s="4" t="str">
        <f t="array" ref="V808">IF($E808="","", XLOOKUP(SUMIFS(Prod_Prop!$A:$A,Prod_Prop!$B:$B,$E808,Prod_Prop!$H:$H,V$1,Prod_Prop!$I:$I,"Exacto"),Prod_Prop!$A:$A,Prod_Prop!$J:$J,"",0,1))</f>
        <v/>
      </c>
      <c r="X808" s="3" t="str">
        <f>IFERROR(__xludf.DUMMYFUNCTION("IF(D808="""","""",IFERROR(TRANSPOSE(FILTER('Validaciones Cotizador'!U:U,'Validaciones Cotizador'!O:O=D808,'Validaciones Cotizador'!T:T=""x"")),""Finalizar""))"),"")</f>
        <v/>
      </c>
    </row>
    <row r="809">
      <c r="A809" s="2" t="str">
        <f t="array" ref="A809">IF(E809="","",XLOOKUP(D809,'Validaciones Cotizador'!C:C,'Validaciones Cotizador'!A:A,"",0,1))</f>
        <v/>
      </c>
      <c r="B809" s="2" t="str">
        <f t="array" ref="B809">IF(F809="","",XLOOKUP(F809,Productos!E:E,Productos!G:G,"",0,1))</f>
        <v/>
      </c>
      <c r="C809" s="2" t="str">
        <f>IF(A809="","",SUMIFS('Validaciones Cotizador'!B:B,'Validaciones Cotizador'!C:C,D809,'Validaciones Cotizador'!A:A,A809))</f>
        <v/>
      </c>
      <c r="D809" s="4" t="str">
        <f>IFERROR(__xludf.DUMMYFUNCTION("IF(OR(F808=""Finalizar"",F808="""",F808=""Selecciona..""),"""",IF(OR(F808=""-"",INDEX(filter(Familias!F:F,Familias!D:D=A808,Familias!E:E=C808),1)=""O""),D808+1,D808))"),"")</f>
        <v/>
      </c>
      <c r="E809" s="2" t="str">
        <f>IF(OR(F809="",F809="Selecciona.."),"",IF(D809="Implemento",SUMIF(Implementos!B:B,F809,Implementos!A:A),SUMIF(Productos!E:E,F809,Productos!A:A)))</f>
        <v/>
      </c>
      <c r="F809" s="2" t="str">
        <f t="shared" si="2"/>
        <v/>
      </c>
      <c r="G809" s="10" t="str">
        <f t="array" ref="G809">IF(OR(F809="",F809="-",F809="Selecciona..",F809="Finalizar"),"",IF(A809="Rodados",XLOOKUP(B809,'Validaciones Cotizador'!I:I,'Validaciones Cotizador'!J:J,0,0,1),1))</f>
        <v/>
      </c>
      <c r="H809" s="11" t="str">
        <f>IF(OR(F809="",F809="Selecciona.."),"",SUMIF(Precio_Productos!K:K,E809,Precio_Productos!J:J)*G809)</f>
        <v/>
      </c>
      <c r="I809" s="4" t="str">
        <f t="array" ref="I809">IF($E809="","", XLOOKUP(SUMIFS(Prod_Prop!$A:$A,Prod_Prop!$B:$B,$E809,Prod_Prop!$H:$H,I$1,Prod_Prop!$I:$I,"Exacto"),Prod_Prop!$A:$A,Prod_Prop!$J:$J,"",0,1))</f>
        <v/>
      </c>
      <c r="J809" s="4" t="str">
        <f t="array" ref="J809">IF($E809="","", XLOOKUP(SUMIFS(Prod_Prop!$A:$A,Prod_Prop!$B:$B,$E809,Prod_Prop!$H:$H,J$1,Prod_Prop!$I:$I,"Exacto"),Prod_Prop!$A:$A,Prod_Prop!$J:$J,"",0,1))</f>
        <v/>
      </c>
      <c r="K809" s="4" t="str">
        <f t="array" ref="K809">IF($E809="","", XLOOKUP(SUMIFS(Prod_Prop!$A:$A,Prod_Prop!$B:$B,$E809,Prod_Prop!$H:$H,K$1,Prod_Prop!$I:$I,"Exacto"),Prod_Prop!$A:$A,Prod_Prop!$J:$J,"",0,1))</f>
        <v/>
      </c>
      <c r="L809" s="4" t="str">
        <f t="array" ref="L809">IF($E809="","", XLOOKUP(SUMIFS(Prod_Prop!$A:$A,Prod_Prop!$B:$B,$E809,Prod_Prop!$H:$H,L$1,Prod_Prop!$I:$I,"Exacto"),Prod_Prop!$A:$A,Prod_Prop!$J:$J,"",0,1))</f>
        <v/>
      </c>
      <c r="M809" s="4" t="str">
        <f t="array" ref="M809">IF($E809="","", XLOOKUP(SUMIFS(Prod_Prop!$A:$A,Prod_Prop!$B:$B,$E809,Prod_Prop!$H:$H,M$1,Prod_Prop!$I:$I,"Exacto"),Prod_Prop!$A:$A,Prod_Prop!$J:$J,"",0,1))</f>
        <v/>
      </c>
      <c r="N809" s="4" t="str">
        <f t="array" ref="N809">IF($E809="","", XLOOKUP(SUMIFS(Prod_Prop!$A:$A,Prod_Prop!$B:$B,$E809,Prod_Prop!$H:$H,N$1,Prod_Prop!$I:$I,"Exacto"),Prod_Prop!$A:$A,Prod_Prop!$J:$J,"",0,1))</f>
        <v/>
      </c>
      <c r="O809" s="4" t="str">
        <f t="array" ref="O809">IF($E809="","", XLOOKUP(SUMIFS(Prod_Prop!$A:$A,Prod_Prop!$B:$B,$E809,Prod_Prop!$H:$H,O$1,Prod_Prop!$I:$I,"Exacto"),Prod_Prop!$A:$A,Prod_Prop!$J:$J,"",0,1))</f>
        <v/>
      </c>
      <c r="P809" s="4" t="str">
        <f t="array" ref="P809">IF($E809="","", XLOOKUP(SUMIFS(Prod_Prop!$A:$A,Prod_Prop!$B:$B,$E809,Prod_Prop!$H:$H,P$1,Prod_Prop!$I:$I,"Exacto"),Prod_Prop!$A:$A,Prod_Prop!$J:$J,"",0,1))</f>
        <v/>
      </c>
      <c r="Q809" s="4" t="str">
        <f t="array" ref="Q809">IF($E809="","", XLOOKUP(SUMIFS(Prod_Prop!$A:$A,Prod_Prop!$B:$B,$E809,Prod_Prop!$H:$H,Q$1,Prod_Prop!$I:$I,"Exacto"),Prod_Prop!$A:$A,Prod_Prop!$J:$J,"",0,1))</f>
        <v/>
      </c>
      <c r="R809" s="4" t="str">
        <f t="array" ref="R809">IF($E809="","", XLOOKUP(SUMIFS(Prod_Prop!$A:$A,Prod_Prop!$B:$B,$E809,Prod_Prop!$H:$H,R$1,Prod_Prop!$I:$I,"Exacto"),Prod_Prop!$A:$A,Prod_Prop!$J:$J,"",0,1))</f>
        <v/>
      </c>
      <c r="S809" s="4" t="str">
        <f t="array" ref="S809">IF($E809="","", XLOOKUP(SUMIFS(Prod_Prop!$A:$A,Prod_Prop!$B:$B,$E809,Prod_Prop!$H:$H,S$1,Prod_Prop!$I:$I,"Exacto"),Prod_Prop!$A:$A,Prod_Prop!$J:$J,"",0,1))</f>
        <v/>
      </c>
      <c r="T809" s="4" t="str">
        <f t="array" ref="T809">IF($E809="","", XLOOKUP(SUMIFS(Prod_Prop!$A:$A,Prod_Prop!$B:$B,$E809,Prod_Prop!$H:$H,T$1,Prod_Prop!$I:$I,"Exacto"),Prod_Prop!$A:$A,Prod_Prop!$J:$J,"",0,1))</f>
        <v/>
      </c>
      <c r="U809" s="4" t="str">
        <f t="array" ref="U809">IF($E809="","", XLOOKUP(SUMIFS(Prod_Prop!$A:$A,Prod_Prop!$B:$B,$E809,Prod_Prop!$H:$H,U$1,Prod_Prop!$I:$I,"Exacto"),Prod_Prop!$A:$A,Prod_Prop!$J:$J,"",0,1))</f>
        <v/>
      </c>
      <c r="V809" s="4" t="str">
        <f t="array" ref="V809">IF($E809="","", XLOOKUP(SUMIFS(Prod_Prop!$A:$A,Prod_Prop!$B:$B,$E809,Prod_Prop!$H:$H,V$1,Prod_Prop!$I:$I,"Exacto"),Prod_Prop!$A:$A,Prod_Prop!$J:$J,"",0,1))</f>
        <v/>
      </c>
      <c r="X809" s="3" t="str">
        <f>IFERROR(__xludf.DUMMYFUNCTION("IF(D809="""","""",IFERROR(TRANSPOSE(FILTER('Validaciones Cotizador'!U:U,'Validaciones Cotizador'!O:O=D809,'Validaciones Cotizador'!T:T=""x"")),""Finalizar""))"),"")</f>
        <v/>
      </c>
    </row>
    <row r="810">
      <c r="A810" s="2" t="str">
        <f t="array" ref="A810">IF(E810="","",XLOOKUP(D810,'Validaciones Cotizador'!C:C,'Validaciones Cotizador'!A:A,"",0,1))</f>
        <v/>
      </c>
      <c r="B810" s="2" t="str">
        <f t="array" ref="B810">IF(F810="","",XLOOKUP(F810,Productos!E:E,Productos!G:G,"",0,1))</f>
        <v/>
      </c>
      <c r="C810" s="2" t="str">
        <f>IF(A810="","",SUMIFS('Validaciones Cotizador'!B:B,'Validaciones Cotizador'!C:C,D810,'Validaciones Cotizador'!A:A,A810))</f>
        <v/>
      </c>
      <c r="D810" s="4" t="str">
        <f>IFERROR(__xludf.DUMMYFUNCTION("IF(OR(F809=""Finalizar"",F809="""",F809=""Selecciona..""),"""",IF(OR(F809=""-"",INDEX(filter(Familias!F:F,Familias!D:D=A809,Familias!E:E=C809),1)=""O""),D809+1,D809))"),"")</f>
        <v/>
      </c>
      <c r="E810" s="2" t="str">
        <f>IF(OR(F810="",F810="Selecciona.."),"",IF(D810="Implemento",SUMIF(Implementos!B:B,F810,Implementos!A:A),SUMIF(Productos!E:E,F810,Productos!A:A)))</f>
        <v/>
      </c>
      <c r="F810" s="2" t="str">
        <f t="shared" si="2"/>
        <v/>
      </c>
      <c r="G810" s="10" t="str">
        <f t="array" ref="G810">IF(OR(F810="",F810="-",F810="Selecciona..",F810="Finalizar"),"",IF(A810="Rodados",XLOOKUP(B810,'Validaciones Cotizador'!I:I,'Validaciones Cotizador'!J:J,0,0,1),1))</f>
        <v/>
      </c>
      <c r="H810" s="11" t="str">
        <f>IF(OR(F810="",F810="Selecciona.."),"",SUMIF(Precio_Productos!K:K,E810,Precio_Productos!J:J)*G810)</f>
        <v/>
      </c>
      <c r="I810" s="4" t="str">
        <f t="array" ref="I810">IF($E810="","", XLOOKUP(SUMIFS(Prod_Prop!$A:$A,Prod_Prop!$B:$B,$E810,Prod_Prop!$H:$H,I$1,Prod_Prop!$I:$I,"Exacto"),Prod_Prop!$A:$A,Prod_Prop!$J:$J,"",0,1))</f>
        <v/>
      </c>
      <c r="J810" s="4" t="str">
        <f t="array" ref="J810">IF($E810="","", XLOOKUP(SUMIFS(Prod_Prop!$A:$A,Prod_Prop!$B:$B,$E810,Prod_Prop!$H:$H,J$1,Prod_Prop!$I:$I,"Exacto"),Prod_Prop!$A:$A,Prod_Prop!$J:$J,"",0,1))</f>
        <v/>
      </c>
      <c r="K810" s="4" t="str">
        <f t="array" ref="K810">IF($E810="","", XLOOKUP(SUMIFS(Prod_Prop!$A:$A,Prod_Prop!$B:$B,$E810,Prod_Prop!$H:$H,K$1,Prod_Prop!$I:$I,"Exacto"),Prod_Prop!$A:$A,Prod_Prop!$J:$J,"",0,1))</f>
        <v/>
      </c>
      <c r="L810" s="4" t="str">
        <f t="array" ref="L810">IF($E810="","", XLOOKUP(SUMIFS(Prod_Prop!$A:$A,Prod_Prop!$B:$B,$E810,Prod_Prop!$H:$H,L$1,Prod_Prop!$I:$I,"Exacto"),Prod_Prop!$A:$A,Prod_Prop!$J:$J,"",0,1))</f>
        <v/>
      </c>
      <c r="M810" s="4" t="str">
        <f t="array" ref="M810">IF($E810="","", XLOOKUP(SUMIFS(Prod_Prop!$A:$A,Prod_Prop!$B:$B,$E810,Prod_Prop!$H:$H,M$1,Prod_Prop!$I:$I,"Exacto"),Prod_Prop!$A:$A,Prod_Prop!$J:$J,"",0,1))</f>
        <v/>
      </c>
      <c r="N810" s="4" t="str">
        <f t="array" ref="N810">IF($E810="","", XLOOKUP(SUMIFS(Prod_Prop!$A:$A,Prod_Prop!$B:$B,$E810,Prod_Prop!$H:$H,N$1,Prod_Prop!$I:$I,"Exacto"),Prod_Prop!$A:$A,Prod_Prop!$J:$J,"",0,1))</f>
        <v/>
      </c>
      <c r="O810" s="4" t="str">
        <f t="array" ref="O810">IF($E810="","", XLOOKUP(SUMIFS(Prod_Prop!$A:$A,Prod_Prop!$B:$B,$E810,Prod_Prop!$H:$H,O$1,Prod_Prop!$I:$I,"Exacto"),Prod_Prop!$A:$A,Prod_Prop!$J:$J,"",0,1))</f>
        <v/>
      </c>
      <c r="P810" s="4" t="str">
        <f t="array" ref="P810">IF($E810="","", XLOOKUP(SUMIFS(Prod_Prop!$A:$A,Prod_Prop!$B:$B,$E810,Prod_Prop!$H:$H,P$1,Prod_Prop!$I:$I,"Exacto"),Prod_Prop!$A:$A,Prod_Prop!$J:$J,"",0,1))</f>
        <v/>
      </c>
      <c r="Q810" s="4" t="str">
        <f t="array" ref="Q810">IF($E810="","", XLOOKUP(SUMIFS(Prod_Prop!$A:$A,Prod_Prop!$B:$B,$E810,Prod_Prop!$H:$H,Q$1,Prod_Prop!$I:$I,"Exacto"),Prod_Prop!$A:$A,Prod_Prop!$J:$J,"",0,1))</f>
        <v/>
      </c>
      <c r="R810" s="4" t="str">
        <f t="array" ref="R810">IF($E810="","", XLOOKUP(SUMIFS(Prod_Prop!$A:$A,Prod_Prop!$B:$B,$E810,Prod_Prop!$H:$H,R$1,Prod_Prop!$I:$I,"Exacto"),Prod_Prop!$A:$A,Prod_Prop!$J:$J,"",0,1))</f>
        <v/>
      </c>
      <c r="S810" s="4" t="str">
        <f t="array" ref="S810">IF($E810="","", XLOOKUP(SUMIFS(Prod_Prop!$A:$A,Prod_Prop!$B:$B,$E810,Prod_Prop!$H:$H,S$1,Prod_Prop!$I:$I,"Exacto"),Prod_Prop!$A:$A,Prod_Prop!$J:$J,"",0,1))</f>
        <v/>
      </c>
      <c r="T810" s="4" t="str">
        <f t="array" ref="T810">IF($E810="","", XLOOKUP(SUMIFS(Prod_Prop!$A:$A,Prod_Prop!$B:$B,$E810,Prod_Prop!$H:$H,T$1,Prod_Prop!$I:$I,"Exacto"),Prod_Prop!$A:$A,Prod_Prop!$J:$J,"",0,1))</f>
        <v/>
      </c>
      <c r="U810" s="4" t="str">
        <f t="array" ref="U810">IF($E810="","", XLOOKUP(SUMIFS(Prod_Prop!$A:$A,Prod_Prop!$B:$B,$E810,Prod_Prop!$H:$H,U$1,Prod_Prop!$I:$I,"Exacto"),Prod_Prop!$A:$A,Prod_Prop!$J:$J,"",0,1))</f>
        <v/>
      </c>
      <c r="V810" s="4" t="str">
        <f t="array" ref="V810">IF($E810="","", XLOOKUP(SUMIFS(Prod_Prop!$A:$A,Prod_Prop!$B:$B,$E810,Prod_Prop!$H:$H,V$1,Prod_Prop!$I:$I,"Exacto"),Prod_Prop!$A:$A,Prod_Prop!$J:$J,"",0,1))</f>
        <v/>
      </c>
      <c r="X810" s="3" t="str">
        <f>IFERROR(__xludf.DUMMYFUNCTION("IF(D810="""","""",IFERROR(TRANSPOSE(FILTER('Validaciones Cotizador'!U:U,'Validaciones Cotizador'!O:O=D810,'Validaciones Cotizador'!T:T=""x"")),""Finalizar""))"),"")</f>
        <v/>
      </c>
    </row>
    <row r="811">
      <c r="A811" s="2" t="str">
        <f t="array" ref="A811">IF(E811="","",XLOOKUP(D811,'Validaciones Cotizador'!C:C,'Validaciones Cotizador'!A:A,"",0,1))</f>
        <v/>
      </c>
      <c r="B811" s="2" t="str">
        <f t="array" ref="B811">IF(F811="","",XLOOKUP(F811,Productos!E:E,Productos!G:G,"",0,1))</f>
        <v/>
      </c>
      <c r="C811" s="2" t="str">
        <f>IF(A811="","",SUMIFS('Validaciones Cotizador'!B:B,'Validaciones Cotizador'!C:C,D811,'Validaciones Cotizador'!A:A,A811))</f>
        <v/>
      </c>
      <c r="D811" s="4" t="str">
        <f>IFERROR(__xludf.DUMMYFUNCTION("IF(OR(F810=""Finalizar"",F810="""",F810=""Selecciona..""),"""",IF(OR(F810=""-"",INDEX(filter(Familias!F:F,Familias!D:D=A810,Familias!E:E=C810),1)=""O""),D810+1,D810))"),"")</f>
        <v/>
      </c>
      <c r="E811" s="2" t="str">
        <f>IF(OR(F811="",F811="Selecciona.."),"",IF(D811="Implemento",SUMIF(Implementos!B:B,F811,Implementos!A:A),SUMIF(Productos!E:E,F811,Productos!A:A)))</f>
        <v/>
      </c>
      <c r="F811" s="2" t="str">
        <f t="shared" si="2"/>
        <v/>
      </c>
      <c r="G811" s="10" t="str">
        <f t="array" ref="G811">IF(OR(F811="",F811="-",F811="Selecciona..",F811="Finalizar"),"",IF(A811="Rodados",XLOOKUP(B811,'Validaciones Cotizador'!I:I,'Validaciones Cotizador'!J:J,0,0,1),1))</f>
        <v/>
      </c>
      <c r="H811" s="11" t="str">
        <f>IF(OR(F811="",F811="Selecciona.."),"",SUMIF(Precio_Productos!K:K,E811,Precio_Productos!J:J)*G811)</f>
        <v/>
      </c>
      <c r="I811" s="4" t="str">
        <f t="array" ref="I811">IF($E811="","", XLOOKUP(SUMIFS(Prod_Prop!$A:$A,Prod_Prop!$B:$B,$E811,Prod_Prop!$H:$H,I$1,Prod_Prop!$I:$I,"Exacto"),Prod_Prop!$A:$A,Prod_Prop!$J:$J,"",0,1))</f>
        <v/>
      </c>
      <c r="J811" s="4" t="str">
        <f t="array" ref="J811">IF($E811="","", XLOOKUP(SUMIFS(Prod_Prop!$A:$A,Prod_Prop!$B:$B,$E811,Prod_Prop!$H:$H,J$1,Prod_Prop!$I:$I,"Exacto"),Prod_Prop!$A:$A,Prod_Prop!$J:$J,"",0,1))</f>
        <v/>
      </c>
      <c r="K811" s="4" t="str">
        <f t="array" ref="K811">IF($E811="","", XLOOKUP(SUMIFS(Prod_Prop!$A:$A,Prod_Prop!$B:$B,$E811,Prod_Prop!$H:$H,K$1,Prod_Prop!$I:$I,"Exacto"),Prod_Prop!$A:$A,Prod_Prop!$J:$J,"",0,1))</f>
        <v/>
      </c>
      <c r="L811" s="4" t="str">
        <f t="array" ref="L811">IF($E811="","", XLOOKUP(SUMIFS(Prod_Prop!$A:$A,Prod_Prop!$B:$B,$E811,Prod_Prop!$H:$H,L$1,Prod_Prop!$I:$I,"Exacto"),Prod_Prop!$A:$A,Prod_Prop!$J:$J,"",0,1))</f>
        <v/>
      </c>
      <c r="M811" s="4" t="str">
        <f t="array" ref="M811">IF($E811="","", XLOOKUP(SUMIFS(Prod_Prop!$A:$A,Prod_Prop!$B:$B,$E811,Prod_Prop!$H:$H,M$1,Prod_Prop!$I:$I,"Exacto"),Prod_Prop!$A:$A,Prod_Prop!$J:$J,"",0,1))</f>
        <v/>
      </c>
      <c r="N811" s="4" t="str">
        <f t="array" ref="N811">IF($E811="","", XLOOKUP(SUMIFS(Prod_Prop!$A:$A,Prod_Prop!$B:$B,$E811,Prod_Prop!$H:$H,N$1,Prod_Prop!$I:$I,"Exacto"),Prod_Prop!$A:$A,Prod_Prop!$J:$J,"",0,1))</f>
        <v/>
      </c>
      <c r="O811" s="4" t="str">
        <f t="array" ref="O811">IF($E811="","", XLOOKUP(SUMIFS(Prod_Prop!$A:$A,Prod_Prop!$B:$B,$E811,Prod_Prop!$H:$H,O$1,Prod_Prop!$I:$I,"Exacto"),Prod_Prop!$A:$A,Prod_Prop!$J:$J,"",0,1))</f>
        <v/>
      </c>
      <c r="P811" s="4" t="str">
        <f t="array" ref="P811">IF($E811="","", XLOOKUP(SUMIFS(Prod_Prop!$A:$A,Prod_Prop!$B:$B,$E811,Prod_Prop!$H:$H,P$1,Prod_Prop!$I:$I,"Exacto"),Prod_Prop!$A:$A,Prod_Prop!$J:$J,"",0,1))</f>
        <v/>
      </c>
      <c r="Q811" s="4" t="str">
        <f t="array" ref="Q811">IF($E811="","", XLOOKUP(SUMIFS(Prod_Prop!$A:$A,Prod_Prop!$B:$B,$E811,Prod_Prop!$H:$H,Q$1,Prod_Prop!$I:$I,"Exacto"),Prod_Prop!$A:$A,Prod_Prop!$J:$J,"",0,1))</f>
        <v/>
      </c>
      <c r="R811" s="4" t="str">
        <f t="array" ref="R811">IF($E811="","", XLOOKUP(SUMIFS(Prod_Prop!$A:$A,Prod_Prop!$B:$B,$E811,Prod_Prop!$H:$H,R$1,Prod_Prop!$I:$I,"Exacto"),Prod_Prop!$A:$A,Prod_Prop!$J:$J,"",0,1))</f>
        <v/>
      </c>
      <c r="S811" s="4" t="str">
        <f t="array" ref="S811">IF($E811="","", XLOOKUP(SUMIFS(Prod_Prop!$A:$A,Prod_Prop!$B:$B,$E811,Prod_Prop!$H:$H,S$1,Prod_Prop!$I:$I,"Exacto"),Prod_Prop!$A:$A,Prod_Prop!$J:$J,"",0,1))</f>
        <v/>
      </c>
      <c r="T811" s="4" t="str">
        <f t="array" ref="T811">IF($E811="","", XLOOKUP(SUMIFS(Prod_Prop!$A:$A,Prod_Prop!$B:$B,$E811,Prod_Prop!$H:$H,T$1,Prod_Prop!$I:$I,"Exacto"),Prod_Prop!$A:$A,Prod_Prop!$J:$J,"",0,1))</f>
        <v/>
      </c>
      <c r="U811" s="4" t="str">
        <f t="array" ref="U811">IF($E811="","", XLOOKUP(SUMIFS(Prod_Prop!$A:$A,Prod_Prop!$B:$B,$E811,Prod_Prop!$H:$H,U$1,Prod_Prop!$I:$I,"Exacto"),Prod_Prop!$A:$A,Prod_Prop!$J:$J,"",0,1))</f>
        <v/>
      </c>
      <c r="V811" s="4" t="str">
        <f t="array" ref="V811">IF($E811="","", XLOOKUP(SUMIFS(Prod_Prop!$A:$A,Prod_Prop!$B:$B,$E811,Prod_Prop!$H:$H,V$1,Prod_Prop!$I:$I,"Exacto"),Prod_Prop!$A:$A,Prod_Prop!$J:$J,"",0,1))</f>
        <v/>
      </c>
      <c r="X811" s="3" t="str">
        <f>IFERROR(__xludf.DUMMYFUNCTION("IF(D811="""","""",IFERROR(TRANSPOSE(FILTER('Validaciones Cotizador'!U:U,'Validaciones Cotizador'!O:O=D811,'Validaciones Cotizador'!T:T=""x"")),""Finalizar""))"),"")</f>
        <v/>
      </c>
    </row>
    <row r="812">
      <c r="A812" s="2" t="str">
        <f t="array" ref="A812">IF(E812="","",XLOOKUP(D812,'Validaciones Cotizador'!C:C,'Validaciones Cotizador'!A:A,"",0,1))</f>
        <v/>
      </c>
      <c r="B812" s="2" t="str">
        <f t="array" ref="B812">IF(F812="","",XLOOKUP(F812,Productos!E:E,Productos!G:G,"",0,1))</f>
        <v/>
      </c>
      <c r="C812" s="2" t="str">
        <f>IF(A812="","",SUMIFS('Validaciones Cotizador'!B:B,'Validaciones Cotizador'!C:C,D812,'Validaciones Cotizador'!A:A,A812))</f>
        <v/>
      </c>
      <c r="D812" s="4" t="str">
        <f>IFERROR(__xludf.DUMMYFUNCTION("IF(OR(F811=""Finalizar"",F811="""",F811=""Selecciona..""),"""",IF(OR(F811=""-"",INDEX(filter(Familias!F:F,Familias!D:D=A811,Familias!E:E=C811),1)=""O""),D811+1,D811))"),"")</f>
        <v/>
      </c>
      <c r="E812" s="2" t="str">
        <f>IF(OR(F812="",F812="Selecciona.."),"",IF(D812="Implemento",SUMIF(Implementos!B:B,F812,Implementos!A:A),SUMIF(Productos!E:E,F812,Productos!A:A)))</f>
        <v/>
      </c>
      <c r="F812" s="2" t="str">
        <f t="shared" si="2"/>
        <v/>
      </c>
      <c r="G812" s="10" t="str">
        <f t="array" ref="G812">IF(OR(F812="",F812="-",F812="Selecciona..",F812="Finalizar"),"",IF(A812="Rodados",XLOOKUP(B812,'Validaciones Cotizador'!I:I,'Validaciones Cotizador'!J:J,0,0,1),1))</f>
        <v/>
      </c>
      <c r="H812" s="11" t="str">
        <f>IF(OR(F812="",F812="Selecciona.."),"",SUMIF(Precio_Productos!K:K,E812,Precio_Productos!J:J)*G812)</f>
        <v/>
      </c>
      <c r="I812" s="4" t="str">
        <f t="array" ref="I812">IF($E812="","", XLOOKUP(SUMIFS(Prod_Prop!$A:$A,Prod_Prop!$B:$B,$E812,Prod_Prop!$H:$H,I$1,Prod_Prop!$I:$I,"Exacto"),Prod_Prop!$A:$A,Prod_Prop!$J:$J,"",0,1))</f>
        <v/>
      </c>
      <c r="J812" s="4" t="str">
        <f t="array" ref="J812">IF($E812="","", XLOOKUP(SUMIFS(Prod_Prop!$A:$A,Prod_Prop!$B:$B,$E812,Prod_Prop!$H:$H,J$1,Prod_Prop!$I:$I,"Exacto"),Prod_Prop!$A:$A,Prod_Prop!$J:$J,"",0,1))</f>
        <v/>
      </c>
      <c r="K812" s="4" t="str">
        <f t="array" ref="K812">IF($E812="","", XLOOKUP(SUMIFS(Prod_Prop!$A:$A,Prod_Prop!$B:$B,$E812,Prod_Prop!$H:$H,K$1,Prod_Prop!$I:$I,"Exacto"),Prod_Prop!$A:$A,Prod_Prop!$J:$J,"",0,1))</f>
        <v/>
      </c>
      <c r="L812" s="4" t="str">
        <f t="array" ref="L812">IF($E812="","", XLOOKUP(SUMIFS(Prod_Prop!$A:$A,Prod_Prop!$B:$B,$E812,Prod_Prop!$H:$H,L$1,Prod_Prop!$I:$I,"Exacto"),Prod_Prop!$A:$A,Prod_Prop!$J:$J,"",0,1))</f>
        <v/>
      </c>
      <c r="M812" s="4" t="str">
        <f t="array" ref="M812">IF($E812="","", XLOOKUP(SUMIFS(Prod_Prop!$A:$A,Prod_Prop!$B:$B,$E812,Prod_Prop!$H:$H,M$1,Prod_Prop!$I:$I,"Exacto"),Prod_Prop!$A:$A,Prod_Prop!$J:$J,"",0,1))</f>
        <v/>
      </c>
      <c r="N812" s="4" t="str">
        <f t="array" ref="N812">IF($E812="","", XLOOKUP(SUMIFS(Prod_Prop!$A:$A,Prod_Prop!$B:$B,$E812,Prod_Prop!$H:$H,N$1,Prod_Prop!$I:$I,"Exacto"),Prod_Prop!$A:$A,Prod_Prop!$J:$J,"",0,1))</f>
        <v/>
      </c>
      <c r="O812" s="4" t="str">
        <f t="array" ref="O812">IF($E812="","", XLOOKUP(SUMIFS(Prod_Prop!$A:$A,Prod_Prop!$B:$B,$E812,Prod_Prop!$H:$H,O$1,Prod_Prop!$I:$I,"Exacto"),Prod_Prop!$A:$A,Prod_Prop!$J:$J,"",0,1))</f>
        <v/>
      </c>
      <c r="P812" s="4" t="str">
        <f t="array" ref="P812">IF($E812="","", XLOOKUP(SUMIFS(Prod_Prop!$A:$A,Prod_Prop!$B:$B,$E812,Prod_Prop!$H:$H,P$1,Prod_Prop!$I:$I,"Exacto"),Prod_Prop!$A:$A,Prod_Prop!$J:$J,"",0,1))</f>
        <v/>
      </c>
      <c r="Q812" s="4" t="str">
        <f t="array" ref="Q812">IF($E812="","", XLOOKUP(SUMIFS(Prod_Prop!$A:$A,Prod_Prop!$B:$B,$E812,Prod_Prop!$H:$H,Q$1,Prod_Prop!$I:$I,"Exacto"),Prod_Prop!$A:$A,Prod_Prop!$J:$J,"",0,1))</f>
        <v/>
      </c>
      <c r="R812" s="4" t="str">
        <f t="array" ref="R812">IF($E812="","", XLOOKUP(SUMIFS(Prod_Prop!$A:$A,Prod_Prop!$B:$B,$E812,Prod_Prop!$H:$H,R$1,Prod_Prop!$I:$I,"Exacto"),Prod_Prop!$A:$A,Prod_Prop!$J:$J,"",0,1))</f>
        <v/>
      </c>
      <c r="S812" s="4" t="str">
        <f t="array" ref="S812">IF($E812="","", XLOOKUP(SUMIFS(Prod_Prop!$A:$A,Prod_Prop!$B:$B,$E812,Prod_Prop!$H:$H,S$1,Prod_Prop!$I:$I,"Exacto"),Prod_Prop!$A:$A,Prod_Prop!$J:$J,"",0,1))</f>
        <v/>
      </c>
      <c r="T812" s="4" t="str">
        <f t="array" ref="T812">IF($E812="","", XLOOKUP(SUMIFS(Prod_Prop!$A:$A,Prod_Prop!$B:$B,$E812,Prod_Prop!$H:$H,T$1,Prod_Prop!$I:$I,"Exacto"),Prod_Prop!$A:$A,Prod_Prop!$J:$J,"",0,1))</f>
        <v/>
      </c>
      <c r="U812" s="4" t="str">
        <f t="array" ref="U812">IF($E812="","", XLOOKUP(SUMIFS(Prod_Prop!$A:$A,Prod_Prop!$B:$B,$E812,Prod_Prop!$H:$H,U$1,Prod_Prop!$I:$I,"Exacto"),Prod_Prop!$A:$A,Prod_Prop!$J:$J,"",0,1))</f>
        <v/>
      </c>
      <c r="V812" s="4" t="str">
        <f t="array" ref="V812">IF($E812="","", XLOOKUP(SUMIFS(Prod_Prop!$A:$A,Prod_Prop!$B:$B,$E812,Prod_Prop!$H:$H,V$1,Prod_Prop!$I:$I,"Exacto"),Prod_Prop!$A:$A,Prod_Prop!$J:$J,"",0,1))</f>
        <v/>
      </c>
      <c r="X812" s="3" t="str">
        <f>IFERROR(__xludf.DUMMYFUNCTION("IF(D812="""","""",IFERROR(TRANSPOSE(FILTER('Validaciones Cotizador'!U:U,'Validaciones Cotizador'!O:O=D812,'Validaciones Cotizador'!T:T=""x"")),""Finalizar""))"),"")</f>
        <v/>
      </c>
    </row>
    <row r="813">
      <c r="A813" s="2" t="str">
        <f t="array" ref="A813">IF(E813="","",XLOOKUP(D813,'Validaciones Cotizador'!C:C,'Validaciones Cotizador'!A:A,"",0,1))</f>
        <v/>
      </c>
      <c r="B813" s="2" t="str">
        <f t="array" ref="B813">IF(F813="","",XLOOKUP(F813,Productos!E:E,Productos!G:G,"",0,1))</f>
        <v/>
      </c>
      <c r="C813" s="2" t="str">
        <f>IF(A813="","",SUMIFS('Validaciones Cotizador'!B:B,'Validaciones Cotizador'!C:C,D813,'Validaciones Cotizador'!A:A,A813))</f>
        <v/>
      </c>
      <c r="D813" s="4" t="str">
        <f>IFERROR(__xludf.DUMMYFUNCTION("IF(OR(F812=""Finalizar"",F812="""",F812=""Selecciona..""),"""",IF(OR(F812=""-"",INDEX(filter(Familias!F:F,Familias!D:D=A812,Familias!E:E=C812),1)=""O""),D812+1,D812))"),"")</f>
        <v/>
      </c>
      <c r="E813" s="2" t="str">
        <f>IF(OR(F813="",F813="Selecciona.."),"",IF(D813="Implemento",SUMIF(Implementos!B:B,F813,Implementos!A:A),SUMIF(Productos!E:E,F813,Productos!A:A)))</f>
        <v/>
      </c>
      <c r="F813" s="2" t="str">
        <f t="shared" si="2"/>
        <v/>
      </c>
      <c r="G813" s="10" t="str">
        <f t="array" ref="G813">IF(OR(F813="",F813="-",F813="Selecciona..",F813="Finalizar"),"",IF(A813="Rodados",XLOOKUP(B813,'Validaciones Cotizador'!I:I,'Validaciones Cotizador'!J:J,0,0,1),1))</f>
        <v/>
      </c>
      <c r="H813" s="11" t="str">
        <f>IF(OR(F813="",F813="Selecciona.."),"",SUMIF(Precio_Productos!K:K,E813,Precio_Productos!J:J)*G813)</f>
        <v/>
      </c>
      <c r="I813" s="4" t="str">
        <f t="array" ref="I813">IF($E813="","", XLOOKUP(SUMIFS(Prod_Prop!$A:$A,Prod_Prop!$B:$B,$E813,Prod_Prop!$H:$H,I$1,Prod_Prop!$I:$I,"Exacto"),Prod_Prop!$A:$A,Prod_Prop!$J:$J,"",0,1))</f>
        <v/>
      </c>
      <c r="J813" s="4" t="str">
        <f t="array" ref="J813">IF($E813="","", XLOOKUP(SUMIFS(Prod_Prop!$A:$A,Prod_Prop!$B:$B,$E813,Prod_Prop!$H:$H,J$1,Prod_Prop!$I:$I,"Exacto"),Prod_Prop!$A:$A,Prod_Prop!$J:$J,"",0,1))</f>
        <v/>
      </c>
      <c r="K813" s="4" t="str">
        <f t="array" ref="K813">IF($E813="","", XLOOKUP(SUMIFS(Prod_Prop!$A:$A,Prod_Prop!$B:$B,$E813,Prod_Prop!$H:$H,K$1,Prod_Prop!$I:$I,"Exacto"),Prod_Prop!$A:$A,Prod_Prop!$J:$J,"",0,1))</f>
        <v/>
      </c>
      <c r="L813" s="4" t="str">
        <f t="array" ref="L813">IF($E813="","", XLOOKUP(SUMIFS(Prod_Prop!$A:$A,Prod_Prop!$B:$B,$E813,Prod_Prop!$H:$H,L$1,Prod_Prop!$I:$I,"Exacto"),Prod_Prop!$A:$A,Prod_Prop!$J:$J,"",0,1))</f>
        <v/>
      </c>
      <c r="M813" s="4" t="str">
        <f t="array" ref="M813">IF($E813="","", XLOOKUP(SUMIFS(Prod_Prop!$A:$A,Prod_Prop!$B:$B,$E813,Prod_Prop!$H:$H,M$1,Prod_Prop!$I:$I,"Exacto"),Prod_Prop!$A:$A,Prod_Prop!$J:$J,"",0,1))</f>
        <v/>
      </c>
      <c r="N813" s="4" t="str">
        <f t="array" ref="N813">IF($E813="","", XLOOKUP(SUMIFS(Prod_Prop!$A:$A,Prod_Prop!$B:$B,$E813,Prod_Prop!$H:$H,N$1,Prod_Prop!$I:$I,"Exacto"),Prod_Prop!$A:$A,Prod_Prop!$J:$J,"",0,1))</f>
        <v/>
      </c>
      <c r="O813" s="4" t="str">
        <f t="array" ref="O813">IF($E813="","", XLOOKUP(SUMIFS(Prod_Prop!$A:$A,Prod_Prop!$B:$B,$E813,Prod_Prop!$H:$H,O$1,Prod_Prop!$I:$I,"Exacto"),Prod_Prop!$A:$A,Prod_Prop!$J:$J,"",0,1))</f>
        <v/>
      </c>
      <c r="P813" s="4" t="str">
        <f t="array" ref="P813">IF($E813="","", XLOOKUP(SUMIFS(Prod_Prop!$A:$A,Prod_Prop!$B:$B,$E813,Prod_Prop!$H:$H,P$1,Prod_Prop!$I:$I,"Exacto"),Prod_Prop!$A:$A,Prod_Prop!$J:$J,"",0,1))</f>
        <v/>
      </c>
      <c r="Q813" s="4" t="str">
        <f t="array" ref="Q813">IF($E813="","", XLOOKUP(SUMIFS(Prod_Prop!$A:$A,Prod_Prop!$B:$B,$E813,Prod_Prop!$H:$H,Q$1,Prod_Prop!$I:$I,"Exacto"),Prod_Prop!$A:$A,Prod_Prop!$J:$J,"",0,1))</f>
        <v/>
      </c>
      <c r="R813" s="4" t="str">
        <f t="array" ref="R813">IF($E813="","", XLOOKUP(SUMIFS(Prod_Prop!$A:$A,Prod_Prop!$B:$B,$E813,Prod_Prop!$H:$H,R$1,Prod_Prop!$I:$I,"Exacto"),Prod_Prop!$A:$A,Prod_Prop!$J:$J,"",0,1))</f>
        <v/>
      </c>
      <c r="S813" s="4" t="str">
        <f t="array" ref="S813">IF($E813="","", XLOOKUP(SUMIFS(Prod_Prop!$A:$A,Prod_Prop!$B:$B,$E813,Prod_Prop!$H:$H,S$1,Prod_Prop!$I:$I,"Exacto"),Prod_Prop!$A:$A,Prod_Prop!$J:$J,"",0,1))</f>
        <v/>
      </c>
      <c r="T813" s="4" t="str">
        <f t="array" ref="T813">IF($E813="","", XLOOKUP(SUMIFS(Prod_Prop!$A:$A,Prod_Prop!$B:$B,$E813,Prod_Prop!$H:$H,T$1,Prod_Prop!$I:$I,"Exacto"),Prod_Prop!$A:$A,Prod_Prop!$J:$J,"",0,1))</f>
        <v/>
      </c>
      <c r="U813" s="4" t="str">
        <f t="array" ref="U813">IF($E813="","", XLOOKUP(SUMIFS(Prod_Prop!$A:$A,Prod_Prop!$B:$B,$E813,Prod_Prop!$H:$H,U$1,Prod_Prop!$I:$I,"Exacto"),Prod_Prop!$A:$A,Prod_Prop!$J:$J,"",0,1))</f>
        <v/>
      </c>
      <c r="V813" s="4" t="str">
        <f t="array" ref="V813">IF($E813="","", XLOOKUP(SUMIFS(Prod_Prop!$A:$A,Prod_Prop!$B:$B,$E813,Prod_Prop!$H:$H,V$1,Prod_Prop!$I:$I,"Exacto"),Prod_Prop!$A:$A,Prod_Prop!$J:$J,"",0,1))</f>
        <v/>
      </c>
      <c r="X813" s="3" t="str">
        <f>IFERROR(__xludf.DUMMYFUNCTION("IF(D813="""","""",IFERROR(TRANSPOSE(FILTER('Validaciones Cotizador'!U:U,'Validaciones Cotizador'!O:O=D813,'Validaciones Cotizador'!T:T=""x"")),""Finalizar""))"),"")</f>
        <v/>
      </c>
    </row>
    <row r="814">
      <c r="A814" s="2" t="str">
        <f t="array" ref="A814">IF(E814="","",XLOOKUP(D814,'Validaciones Cotizador'!C:C,'Validaciones Cotizador'!A:A,"",0,1))</f>
        <v/>
      </c>
      <c r="B814" s="2" t="str">
        <f t="array" ref="B814">IF(F814="","",XLOOKUP(F814,Productos!E:E,Productos!G:G,"",0,1))</f>
        <v/>
      </c>
      <c r="C814" s="2" t="str">
        <f>IF(A814="","",SUMIFS('Validaciones Cotizador'!B:B,'Validaciones Cotizador'!C:C,D814,'Validaciones Cotizador'!A:A,A814))</f>
        <v/>
      </c>
      <c r="D814" s="4" t="str">
        <f>IFERROR(__xludf.DUMMYFUNCTION("IF(OR(F813=""Finalizar"",F813="""",F813=""Selecciona..""),"""",IF(OR(F813=""-"",INDEX(filter(Familias!F:F,Familias!D:D=A813,Familias!E:E=C813),1)=""O""),D813+1,D813))"),"")</f>
        <v/>
      </c>
      <c r="E814" s="2" t="str">
        <f>IF(OR(F814="",F814="Selecciona.."),"",IF(D814="Implemento",SUMIF(Implementos!B:B,F814,Implementos!A:A),SUMIF(Productos!E:E,F814,Productos!A:A)))</f>
        <v/>
      </c>
      <c r="F814" s="2" t="str">
        <f t="shared" si="2"/>
        <v/>
      </c>
      <c r="G814" s="10" t="str">
        <f t="array" ref="G814">IF(OR(F814="",F814="-",F814="Selecciona..",F814="Finalizar"),"",IF(A814="Rodados",XLOOKUP(B814,'Validaciones Cotizador'!I:I,'Validaciones Cotizador'!J:J,0,0,1),1))</f>
        <v/>
      </c>
      <c r="H814" s="11" t="str">
        <f>IF(OR(F814="",F814="Selecciona.."),"",SUMIF(Precio_Productos!K:K,E814,Precio_Productos!J:J)*G814)</f>
        <v/>
      </c>
      <c r="I814" s="4" t="str">
        <f t="array" ref="I814">IF($E814="","", XLOOKUP(SUMIFS(Prod_Prop!$A:$A,Prod_Prop!$B:$B,$E814,Prod_Prop!$H:$H,I$1,Prod_Prop!$I:$I,"Exacto"),Prod_Prop!$A:$A,Prod_Prop!$J:$J,"",0,1))</f>
        <v/>
      </c>
      <c r="J814" s="4" t="str">
        <f t="array" ref="J814">IF($E814="","", XLOOKUP(SUMIFS(Prod_Prop!$A:$A,Prod_Prop!$B:$B,$E814,Prod_Prop!$H:$H,J$1,Prod_Prop!$I:$I,"Exacto"),Prod_Prop!$A:$A,Prod_Prop!$J:$J,"",0,1))</f>
        <v/>
      </c>
      <c r="K814" s="4" t="str">
        <f t="array" ref="K814">IF($E814="","", XLOOKUP(SUMIFS(Prod_Prop!$A:$A,Prod_Prop!$B:$B,$E814,Prod_Prop!$H:$H,K$1,Prod_Prop!$I:$I,"Exacto"),Prod_Prop!$A:$A,Prod_Prop!$J:$J,"",0,1))</f>
        <v/>
      </c>
      <c r="L814" s="4" t="str">
        <f t="array" ref="L814">IF($E814="","", XLOOKUP(SUMIFS(Prod_Prop!$A:$A,Prod_Prop!$B:$B,$E814,Prod_Prop!$H:$H,L$1,Prod_Prop!$I:$I,"Exacto"),Prod_Prop!$A:$A,Prod_Prop!$J:$J,"",0,1))</f>
        <v/>
      </c>
      <c r="M814" s="4" t="str">
        <f t="array" ref="M814">IF($E814="","", XLOOKUP(SUMIFS(Prod_Prop!$A:$A,Prod_Prop!$B:$B,$E814,Prod_Prop!$H:$H,M$1,Prod_Prop!$I:$I,"Exacto"),Prod_Prop!$A:$A,Prod_Prop!$J:$J,"",0,1))</f>
        <v/>
      </c>
      <c r="N814" s="4" t="str">
        <f t="array" ref="N814">IF($E814="","", XLOOKUP(SUMIFS(Prod_Prop!$A:$A,Prod_Prop!$B:$B,$E814,Prod_Prop!$H:$H,N$1,Prod_Prop!$I:$I,"Exacto"),Prod_Prop!$A:$A,Prod_Prop!$J:$J,"",0,1))</f>
        <v/>
      </c>
      <c r="O814" s="4" t="str">
        <f t="array" ref="O814">IF($E814="","", XLOOKUP(SUMIFS(Prod_Prop!$A:$A,Prod_Prop!$B:$B,$E814,Prod_Prop!$H:$H,O$1,Prod_Prop!$I:$I,"Exacto"),Prod_Prop!$A:$A,Prod_Prop!$J:$J,"",0,1))</f>
        <v/>
      </c>
      <c r="P814" s="4" t="str">
        <f t="array" ref="P814">IF($E814="","", XLOOKUP(SUMIFS(Prod_Prop!$A:$A,Prod_Prop!$B:$B,$E814,Prod_Prop!$H:$H,P$1,Prod_Prop!$I:$I,"Exacto"),Prod_Prop!$A:$A,Prod_Prop!$J:$J,"",0,1))</f>
        <v/>
      </c>
      <c r="Q814" s="4" t="str">
        <f t="array" ref="Q814">IF($E814="","", XLOOKUP(SUMIFS(Prod_Prop!$A:$A,Prod_Prop!$B:$B,$E814,Prod_Prop!$H:$H,Q$1,Prod_Prop!$I:$I,"Exacto"),Prod_Prop!$A:$A,Prod_Prop!$J:$J,"",0,1))</f>
        <v/>
      </c>
      <c r="R814" s="4" t="str">
        <f t="array" ref="R814">IF($E814="","", XLOOKUP(SUMIFS(Prod_Prop!$A:$A,Prod_Prop!$B:$B,$E814,Prod_Prop!$H:$H,R$1,Prod_Prop!$I:$I,"Exacto"),Prod_Prop!$A:$A,Prod_Prop!$J:$J,"",0,1))</f>
        <v/>
      </c>
      <c r="S814" s="4" t="str">
        <f t="array" ref="S814">IF($E814="","", XLOOKUP(SUMIFS(Prod_Prop!$A:$A,Prod_Prop!$B:$B,$E814,Prod_Prop!$H:$H,S$1,Prod_Prop!$I:$I,"Exacto"),Prod_Prop!$A:$A,Prod_Prop!$J:$J,"",0,1))</f>
        <v/>
      </c>
      <c r="T814" s="4" t="str">
        <f t="array" ref="T814">IF($E814="","", XLOOKUP(SUMIFS(Prod_Prop!$A:$A,Prod_Prop!$B:$B,$E814,Prod_Prop!$H:$H,T$1,Prod_Prop!$I:$I,"Exacto"),Prod_Prop!$A:$A,Prod_Prop!$J:$J,"",0,1))</f>
        <v/>
      </c>
      <c r="U814" s="4" t="str">
        <f t="array" ref="U814">IF($E814="","", XLOOKUP(SUMIFS(Prod_Prop!$A:$A,Prod_Prop!$B:$B,$E814,Prod_Prop!$H:$H,U$1,Prod_Prop!$I:$I,"Exacto"),Prod_Prop!$A:$A,Prod_Prop!$J:$J,"",0,1))</f>
        <v/>
      </c>
      <c r="V814" s="4" t="str">
        <f t="array" ref="V814">IF($E814="","", XLOOKUP(SUMIFS(Prod_Prop!$A:$A,Prod_Prop!$B:$B,$E814,Prod_Prop!$H:$H,V$1,Prod_Prop!$I:$I,"Exacto"),Prod_Prop!$A:$A,Prod_Prop!$J:$J,"",0,1))</f>
        <v/>
      </c>
      <c r="X814" s="3" t="str">
        <f>IFERROR(__xludf.DUMMYFUNCTION("IF(D814="""","""",IFERROR(TRANSPOSE(FILTER('Validaciones Cotizador'!U:U,'Validaciones Cotizador'!O:O=D814,'Validaciones Cotizador'!T:T=""x"")),""Finalizar""))"),"")</f>
        <v/>
      </c>
    </row>
    <row r="815">
      <c r="A815" s="2" t="str">
        <f t="array" ref="A815">IF(E815="","",XLOOKUP(D815,'Validaciones Cotizador'!C:C,'Validaciones Cotizador'!A:A,"",0,1))</f>
        <v/>
      </c>
      <c r="B815" s="2" t="str">
        <f t="array" ref="B815">IF(F815="","",XLOOKUP(F815,Productos!E:E,Productos!G:G,"",0,1))</f>
        <v/>
      </c>
      <c r="C815" s="2" t="str">
        <f>IF(A815="","",SUMIFS('Validaciones Cotizador'!B:B,'Validaciones Cotizador'!C:C,D815,'Validaciones Cotizador'!A:A,A815))</f>
        <v/>
      </c>
      <c r="D815" s="4" t="str">
        <f>IFERROR(__xludf.DUMMYFUNCTION("IF(OR(F814=""Finalizar"",F814="""",F814=""Selecciona..""),"""",IF(OR(F814=""-"",INDEX(filter(Familias!F:F,Familias!D:D=A814,Familias!E:E=C814),1)=""O""),D814+1,D814))"),"")</f>
        <v/>
      </c>
      <c r="E815" s="2" t="str">
        <f>IF(OR(F815="",F815="Selecciona.."),"",IF(D815="Implemento",SUMIF(Implementos!B:B,F815,Implementos!A:A),SUMIF(Productos!E:E,F815,Productos!A:A)))</f>
        <v/>
      </c>
      <c r="F815" s="2" t="str">
        <f t="shared" si="2"/>
        <v/>
      </c>
      <c r="G815" s="10" t="str">
        <f t="array" ref="G815">IF(OR(F815="",F815="-",F815="Selecciona..",F815="Finalizar"),"",IF(A815="Rodados",XLOOKUP(B815,'Validaciones Cotizador'!I:I,'Validaciones Cotizador'!J:J,0,0,1),1))</f>
        <v/>
      </c>
      <c r="H815" s="11" t="str">
        <f>IF(OR(F815="",F815="Selecciona.."),"",SUMIF(Precio_Productos!K:K,E815,Precio_Productos!J:J)*G815)</f>
        <v/>
      </c>
      <c r="I815" s="4" t="str">
        <f t="array" ref="I815">IF($E815="","", XLOOKUP(SUMIFS(Prod_Prop!$A:$A,Prod_Prop!$B:$B,$E815,Prod_Prop!$H:$H,I$1,Prod_Prop!$I:$I,"Exacto"),Prod_Prop!$A:$A,Prod_Prop!$J:$J,"",0,1))</f>
        <v/>
      </c>
      <c r="J815" s="4" t="str">
        <f t="array" ref="J815">IF($E815="","", XLOOKUP(SUMIFS(Prod_Prop!$A:$A,Prod_Prop!$B:$B,$E815,Prod_Prop!$H:$H,J$1,Prod_Prop!$I:$I,"Exacto"),Prod_Prop!$A:$A,Prod_Prop!$J:$J,"",0,1))</f>
        <v/>
      </c>
      <c r="K815" s="4" t="str">
        <f t="array" ref="K815">IF($E815="","", XLOOKUP(SUMIFS(Prod_Prop!$A:$A,Prod_Prop!$B:$B,$E815,Prod_Prop!$H:$H,K$1,Prod_Prop!$I:$I,"Exacto"),Prod_Prop!$A:$A,Prod_Prop!$J:$J,"",0,1))</f>
        <v/>
      </c>
      <c r="L815" s="4" t="str">
        <f t="array" ref="L815">IF($E815="","", XLOOKUP(SUMIFS(Prod_Prop!$A:$A,Prod_Prop!$B:$B,$E815,Prod_Prop!$H:$H,L$1,Prod_Prop!$I:$I,"Exacto"),Prod_Prop!$A:$A,Prod_Prop!$J:$J,"",0,1))</f>
        <v/>
      </c>
      <c r="M815" s="4" t="str">
        <f t="array" ref="M815">IF($E815="","", XLOOKUP(SUMIFS(Prod_Prop!$A:$A,Prod_Prop!$B:$B,$E815,Prod_Prop!$H:$H,M$1,Prod_Prop!$I:$I,"Exacto"),Prod_Prop!$A:$A,Prod_Prop!$J:$J,"",0,1))</f>
        <v/>
      </c>
      <c r="N815" s="4" t="str">
        <f t="array" ref="N815">IF($E815="","", XLOOKUP(SUMIFS(Prod_Prop!$A:$A,Prod_Prop!$B:$B,$E815,Prod_Prop!$H:$H,N$1,Prod_Prop!$I:$I,"Exacto"),Prod_Prop!$A:$A,Prod_Prop!$J:$J,"",0,1))</f>
        <v/>
      </c>
      <c r="O815" s="4" t="str">
        <f t="array" ref="O815">IF($E815="","", XLOOKUP(SUMIFS(Prod_Prop!$A:$A,Prod_Prop!$B:$B,$E815,Prod_Prop!$H:$H,O$1,Prod_Prop!$I:$I,"Exacto"),Prod_Prop!$A:$A,Prod_Prop!$J:$J,"",0,1))</f>
        <v/>
      </c>
      <c r="P815" s="4" t="str">
        <f t="array" ref="P815">IF($E815="","", XLOOKUP(SUMIFS(Prod_Prop!$A:$A,Prod_Prop!$B:$B,$E815,Prod_Prop!$H:$H,P$1,Prod_Prop!$I:$I,"Exacto"),Prod_Prop!$A:$A,Prod_Prop!$J:$J,"",0,1))</f>
        <v/>
      </c>
      <c r="Q815" s="4" t="str">
        <f t="array" ref="Q815">IF($E815="","", XLOOKUP(SUMIFS(Prod_Prop!$A:$A,Prod_Prop!$B:$B,$E815,Prod_Prop!$H:$H,Q$1,Prod_Prop!$I:$I,"Exacto"),Prod_Prop!$A:$A,Prod_Prop!$J:$J,"",0,1))</f>
        <v/>
      </c>
      <c r="R815" s="4" t="str">
        <f t="array" ref="R815">IF($E815="","", XLOOKUP(SUMIFS(Prod_Prop!$A:$A,Prod_Prop!$B:$B,$E815,Prod_Prop!$H:$H,R$1,Prod_Prop!$I:$I,"Exacto"),Prod_Prop!$A:$A,Prod_Prop!$J:$J,"",0,1))</f>
        <v/>
      </c>
      <c r="S815" s="4" t="str">
        <f t="array" ref="S815">IF($E815="","", XLOOKUP(SUMIFS(Prod_Prop!$A:$A,Prod_Prop!$B:$B,$E815,Prod_Prop!$H:$H,S$1,Prod_Prop!$I:$I,"Exacto"),Prod_Prop!$A:$A,Prod_Prop!$J:$J,"",0,1))</f>
        <v/>
      </c>
      <c r="T815" s="4" t="str">
        <f t="array" ref="T815">IF($E815="","", XLOOKUP(SUMIFS(Prod_Prop!$A:$A,Prod_Prop!$B:$B,$E815,Prod_Prop!$H:$H,T$1,Prod_Prop!$I:$I,"Exacto"),Prod_Prop!$A:$A,Prod_Prop!$J:$J,"",0,1))</f>
        <v/>
      </c>
      <c r="U815" s="4" t="str">
        <f t="array" ref="U815">IF($E815="","", XLOOKUP(SUMIFS(Prod_Prop!$A:$A,Prod_Prop!$B:$B,$E815,Prod_Prop!$H:$H,U$1,Prod_Prop!$I:$I,"Exacto"),Prod_Prop!$A:$A,Prod_Prop!$J:$J,"",0,1))</f>
        <v/>
      </c>
      <c r="V815" s="4" t="str">
        <f t="array" ref="V815">IF($E815="","", XLOOKUP(SUMIFS(Prod_Prop!$A:$A,Prod_Prop!$B:$B,$E815,Prod_Prop!$H:$H,V$1,Prod_Prop!$I:$I,"Exacto"),Prod_Prop!$A:$A,Prod_Prop!$J:$J,"",0,1))</f>
        <v/>
      </c>
      <c r="X815" s="3" t="str">
        <f>IFERROR(__xludf.DUMMYFUNCTION("IF(D815="""","""",IFERROR(TRANSPOSE(FILTER('Validaciones Cotizador'!U:U,'Validaciones Cotizador'!O:O=D815,'Validaciones Cotizador'!T:T=""x"")),""Finalizar""))"),"")</f>
        <v/>
      </c>
    </row>
    <row r="816">
      <c r="A816" s="2" t="str">
        <f t="array" ref="A816">IF(E816="","",XLOOKUP(D816,'Validaciones Cotizador'!C:C,'Validaciones Cotizador'!A:A,"",0,1))</f>
        <v/>
      </c>
      <c r="B816" s="2" t="str">
        <f t="array" ref="B816">IF(F816="","",XLOOKUP(F816,Productos!E:E,Productos!G:G,"",0,1))</f>
        <v/>
      </c>
      <c r="C816" s="2" t="str">
        <f>IF(A816="","",SUMIFS('Validaciones Cotizador'!B:B,'Validaciones Cotizador'!C:C,D816,'Validaciones Cotizador'!A:A,A816))</f>
        <v/>
      </c>
      <c r="D816" s="4" t="str">
        <f>IFERROR(__xludf.DUMMYFUNCTION("IF(OR(F815=""Finalizar"",F815="""",F815=""Selecciona..""),"""",IF(OR(F815=""-"",INDEX(filter(Familias!F:F,Familias!D:D=A815,Familias!E:E=C815),1)=""O""),D815+1,D815))"),"")</f>
        <v/>
      </c>
      <c r="E816" s="2" t="str">
        <f>IF(OR(F816="",F816="Selecciona.."),"",IF(D816="Implemento",SUMIF(Implementos!B:B,F816,Implementos!A:A),SUMIF(Productos!E:E,F816,Productos!A:A)))</f>
        <v/>
      </c>
      <c r="F816" s="2" t="str">
        <f t="shared" si="2"/>
        <v/>
      </c>
      <c r="G816" s="10" t="str">
        <f t="array" ref="G816">IF(OR(F816="",F816="-",F816="Selecciona..",F816="Finalizar"),"",IF(A816="Rodados",XLOOKUP(B816,'Validaciones Cotizador'!I:I,'Validaciones Cotizador'!J:J,0,0,1),1))</f>
        <v/>
      </c>
      <c r="H816" s="11" t="str">
        <f>IF(OR(F816="",F816="Selecciona.."),"",SUMIF(Precio_Productos!K:K,E816,Precio_Productos!J:J)*G816)</f>
        <v/>
      </c>
      <c r="I816" s="4" t="str">
        <f t="array" ref="I816">IF($E816="","", XLOOKUP(SUMIFS(Prod_Prop!$A:$A,Prod_Prop!$B:$B,$E816,Prod_Prop!$H:$H,I$1,Prod_Prop!$I:$I,"Exacto"),Prod_Prop!$A:$A,Prod_Prop!$J:$J,"",0,1))</f>
        <v/>
      </c>
      <c r="J816" s="4" t="str">
        <f t="array" ref="J816">IF($E816="","", XLOOKUP(SUMIFS(Prod_Prop!$A:$A,Prod_Prop!$B:$B,$E816,Prod_Prop!$H:$H,J$1,Prod_Prop!$I:$I,"Exacto"),Prod_Prop!$A:$A,Prod_Prop!$J:$J,"",0,1))</f>
        <v/>
      </c>
      <c r="K816" s="4" t="str">
        <f t="array" ref="K816">IF($E816="","", XLOOKUP(SUMIFS(Prod_Prop!$A:$A,Prod_Prop!$B:$B,$E816,Prod_Prop!$H:$H,K$1,Prod_Prop!$I:$I,"Exacto"),Prod_Prop!$A:$A,Prod_Prop!$J:$J,"",0,1))</f>
        <v/>
      </c>
      <c r="L816" s="4" t="str">
        <f t="array" ref="L816">IF($E816="","", XLOOKUP(SUMIFS(Prod_Prop!$A:$A,Prod_Prop!$B:$B,$E816,Prod_Prop!$H:$H,L$1,Prod_Prop!$I:$I,"Exacto"),Prod_Prop!$A:$A,Prod_Prop!$J:$J,"",0,1))</f>
        <v/>
      </c>
      <c r="M816" s="4" t="str">
        <f t="array" ref="M816">IF($E816="","", XLOOKUP(SUMIFS(Prod_Prop!$A:$A,Prod_Prop!$B:$B,$E816,Prod_Prop!$H:$H,M$1,Prod_Prop!$I:$I,"Exacto"),Prod_Prop!$A:$A,Prod_Prop!$J:$J,"",0,1))</f>
        <v/>
      </c>
      <c r="N816" s="4" t="str">
        <f t="array" ref="N816">IF($E816="","", XLOOKUP(SUMIFS(Prod_Prop!$A:$A,Prod_Prop!$B:$B,$E816,Prod_Prop!$H:$H,N$1,Prod_Prop!$I:$I,"Exacto"),Prod_Prop!$A:$A,Prod_Prop!$J:$J,"",0,1))</f>
        <v/>
      </c>
      <c r="O816" s="4" t="str">
        <f t="array" ref="O816">IF($E816="","", XLOOKUP(SUMIFS(Prod_Prop!$A:$A,Prod_Prop!$B:$B,$E816,Prod_Prop!$H:$H,O$1,Prod_Prop!$I:$I,"Exacto"),Prod_Prop!$A:$A,Prod_Prop!$J:$J,"",0,1))</f>
        <v/>
      </c>
      <c r="P816" s="4" t="str">
        <f t="array" ref="P816">IF($E816="","", XLOOKUP(SUMIFS(Prod_Prop!$A:$A,Prod_Prop!$B:$B,$E816,Prod_Prop!$H:$H,P$1,Prod_Prop!$I:$I,"Exacto"),Prod_Prop!$A:$A,Prod_Prop!$J:$J,"",0,1))</f>
        <v/>
      </c>
      <c r="Q816" s="4" t="str">
        <f t="array" ref="Q816">IF($E816="","", XLOOKUP(SUMIFS(Prod_Prop!$A:$A,Prod_Prop!$B:$B,$E816,Prod_Prop!$H:$H,Q$1,Prod_Prop!$I:$I,"Exacto"),Prod_Prop!$A:$A,Prod_Prop!$J:$J,"",0,1))</f>
        <v/>
      </c>
      <c r="R816" s="4" t="str">
        <f t="array" ref="R816">IF($E816="","", XLOOKUP(SUMIFS(Prod_Prop!$A:$A,Prod_Prop!$B:$B,$E816,Prod_Prop!$H:$H,R$1,Prod_Prop!$I:$I,"Exacto"),Prod_Prop!$A:$A,Prod_Prop!$J:$J,"",0,1))</f>
        <v/>
      </c>
      <c r="S816" s="4" t="str">
        <f t="array" ref="S816">IF($E816="","", XLOOKUP(SUMIFS(Prod_Prop!$A:$A,Prod_Prop!$B:$B,$E816,Prod_Prop!$H:$H,S$1,Prod_Prop!$I:$I,"Exacto"),Prod_Prop!$A:$A,Prod_Prop!$J:$J,"",0,1))</f>
        <v/>
      </c>
      <c r="T816" s="4" t="str">
        <f t="array" ref="T816">IF($E816="","", XLOOKUP(SUMIFS(Prod_Prop!$A:$A,Prod_Prop!$B:$B,$E816,Prod_Prop!$H:$H,T$1,Prod_Prop!$I:$I,"Exacto"),Prod_Prop!$A:$A,Prod_Prop!$J:$J,"",0,1))</f>
        <v/>
      </c>
      <c r="U816" s="4" t="str">
        <f t="array" ref="U816">IF($E816="","", XLOOKUP(SUMIFS(Prod_Prop!$A:$A,Prod_Prop!$B:$B,$E816,Prod_Prop!$H:$H,U$1,Prod_Prop!$I:$I,"Exacto"),Prod_Prop!$A:$A,Prod_Prop!$J:$J,"",0,1))</f>
        <v/>
      </c>
      <c r="V816" s="4" t="str">
        <f t="array" ref="V816">IF($E816="","", XLOOKUP(SUMIFS(Prod_Prop!$A:$A,Prod_Prop!$B:$B,$E816,Prod_Prop!$H:$H,V$1,Prod_Prop!$I:$I,"Exacto"),Prod_Prop!$A:$A,Prod_Prop!$J:$J,"",0,1))</f>
        <v/>
      </c>
      <c r="X816" s="3" t="str">
        <f>IFERROR(__xludf.DUMMYFUNCTION("IF(D816="""","""",IFERROR(TRANSPOSE(FILTER('Validaciones Cotizador'!U:U,'Validaciones Cotizador'!O:O=D816,'Validaciones Cotizador'!T:T=""x"")),""Finalizar""))"),"")</f>
        <v/>
      </c>
    </row>
    <row r="817">
      <c r="A817" s="2" t="str">
        <f t="array" ref="A817">IF(E817="","",XLOOKUP(D817,'Validaciones Cotizador'!C:C,'Validaciones Cotizador'!A:A,"",0,1))</f>
        <v/>
      </c>
      <c r="B817" s="2" t="str">
        <f t="array" ref="B817">IF(F817="","",XLOOKUP(F817,Productos!E:E,Productos!G:G,"",0,1))</f>
        <v/>
      </c>
      <c r="C817" s="2" t="str">
        <f>IF(A817="","",SUMIFS('Validaciones Cotizador'!B:B,'Validaciones Cotizador'!C:C,D817,'Validaciones Cotizador'!A:A,A817))</f>
        <v/>
      </c>
      <c r="D817" s="4" t="str">
        <f>IFERROR(__xludf.DUMMYFUNCTION("IF(OR(F816=""Finalizar"",F816="""",F816=""Selecciona..""),"""",IF(OR(F816=""-"",INDEX(filter(Familias!F:F,Familias!D:D=A816,Familias!E:E=C816),1)=""O""),D816+1,D816))"),"")</f>
        <v/>
      </c>
      <c r="E817" s="2" t="str">
        <f>IF(OR(F817="",F817="Selecciona.."),"",IF(D817="Implemento",SUMIF(Implementos!B:B,F817,Implementos!A:A),SUMIF(Productos!E:E,F817,Productos!A:A)))</f>
        <v/>
      </c>
      <c r="F817" s="2" t="str">
        <f t="shared" si="2"/>
        <v/>
      </c>
      <c r="G817" s="10" t="str">
        <f t="array" ref="G817">IF(OR(F817="",F817="-",F817="Selecciona..",F817="Finalizar"),"",IF(A817="Rodados",XLOOKUP(B817,'Validaciones Cotizador'!I:I,'Validaciones Cotizador'!J:J,0,0,1),1))</f>
        <v/>
      </c>
      <c r="H817" s="11" t="str">
        <f>IF(OR(F817="",F817="Selecciona.."),"",SUMIF(Precio_Productos!K:K,E817,Precio_Productos!J:J)*G817)</f>
        <v/>
      </c>
      <c r="I817" s="4" t="str">
        <f t="array" ref="I817">IF($E817="","", XLOOKUP(SUMIFS(Prod_Prop!$A:$A,Prod_Prop!$B:$B,$E817,Prod_Prop!$H:$H,I$1,Prod_Prop!$I:$I,"Exacto"),Prod_Prop!$A:$A,Prod_Prop!$J:$J,"",0,1))</f>
        <v/>
      </c>
      <c r="J817" s="4" t="str">
        <f t="array" ref="J817">IF($E817="","", XLOOKUP(SUMIFS(Prod_Prop!$A:$A,Prod_Prop!$B:$B,$E817,Prod_Prop!$H:$H,J$1,Prod_Prop!$I:$I,"Exacto"),Prod_Prop!$A:$A,Prod_Prop!$J:$J,"",0,1))</f>
        <v/>
      </c>
      <c r="K817" s="4" t="str">
        <f t="array" ref="K817">IF($E817="","", XLOOKUP(SUMIFS(Prod_Prop!$A:$A,Prod_Prop!$B:$B,$E817,Prod_Prop!$H:$H,K$1,Prod_Prop!$I:$I,"Exacto"),Prod_Prop!$A:$A,Prod_Prop!$J:$J,"",0,1))</f>
        <v/>
      </c>
      <c r="L817" s="4" t="str">
        <f t="array" ref="L817">IF($E817="","", XLOOKUP(SUMIFS(Prod_Prop!$A:$A,Prod_Prop!$B:$B,$E817,Prod_Prop!$H:$H,L$1,Prod_Prop!$I:$I,"Exacto"),Prod_Prop!$A:$A,Prod_Prop!$J:$J,"",0,1))</f>
        <v/>
      </c>
      <c r="M817" s="4" t="str">
        <f t="array" ref="M817">IF($E817="","", XLOOKUP(SUMIFS(Prod_Prop!$A:$A,Prod_Prop!$B:$B,$E817,Prod_Prop!$H:$H,M$1,Prod_Prop!$I:$I,"Exacto"),Prod_Prop!$A:$A,Prod_Prop!$J:$J,"",0,1))</f>
        <v/>
      </c>
      <c r="N817" s="4" t="str">
        <f t="array" ref="N817">IF($E817="","", XLOOKUP(SUMIFS(Prod_Prop!$A:$A,Prod_Prop!$B:$B,$E817,Prod_Prop!$H:$H,N$1,Prod_Prop!$I:$I,"Exacto"),Prod_Prop!$A:$A,Prod_Prop!$J:$J,"",0,1))</f>
        <v/>
      </c>
      <c r="O817" s="4" t="str">
        <f t="array" ref="O817">IF($E817="","", XLOOKUP(SUMIFS(Prod_Prop!$A:$A,Prod_Prop!$B:$B,$E817,Prod_Prop!$H:$H,O$1,Prod_Prop!$I:$I,"Exacto"),Prod_Prop!$A:$A,Prod_Prop!$J:$J,"",0,1))</f>
        <v/>
      </c>
      <c r="P817" s="4" t="str">
        <f t="array" ref="P817">IF($E817="","", XLOOKUP(SUMIFS(Prod_Prop!$A:$A,Prod_Prop!$B:$B,$E817,Prod_Prop!$H:$H,P$1,Prod_Prop!$I:$I,"Exacto"),Prod_Prop!$A:$A,Prod_Prop!$J:$J,"",0,1))</f>
        <v/>
      </c>
      <c r="Q817" s="4" t="str">
        <f t="array" ref="Q817">IF($E817="","", XLOOKUP(SUMIFS(Prod_Prop!$A:$A,Prod_Prop!$B:$B,$E817,Prod_Prop!$H:$H,Q$1,Prod_Prop!$I:$I,"Exacto"),Prod_Prop!$A:$A,Prod_Prop!$J:$J,"",0,1))</f>
        <v/>
      </c>
      <c r="R817" s="4" t="str">
        <f t="array" ref="R817">IF($E817="","", XLOOKUP(SUMIFS(Prod_Prop!$A:$A,Prod_Prop!$B:$B,$E817,Prod_Prop!$H:$H,R$1,Prod_Prop!$I:$I,"Exacto"),Prod_Prop!$A:$A,Prod_Prop!$J:$J,"",0,1))</f>
        <v/>
      </c>
      <c r="S817" s="4" t="str">
        <f t="array" ref="S817">IF($E817="","", XLOOKUP(SUMIFS(Prod_Prop!$A:$A,Prod_Prop!$B:$B,$E817,Prod_Prop!$H:$H,S$1,Prod_Prop!$I:$I,"Exacto"),Prod_Prop!$A:$A,Prod_Prop!$J:$J,"",0,1))</f>
        <v/>
      </c>
      <c r="T817" s="4" t="str">
        <f t="array" ref="T817">IF($E817="","", XLOOKUP(SUMIFS(Prod_Prop!$A:$A,Prod_Prop!$B:$B,$E817,Prod_Prop!$H:$H,T$1,Prod_Prop!$I:$I,"Exacto"),Prod_Prop!$A:$A,Prod_Prop!$J:$J,"",0,1))</f>
        <v/>
      </c>
      <c r="U817" s="4" t="str">
        <f t="array" ref="U817">IF($E817="","", XLOOKUP(SUMIFS(Prod_Prop!$A:$A,Prod_Prop!$B:$B,$E817,Prod_Prop!$H:$H,U$1,Prod_Prop!$I:$I,"Exacto"),Prod_Prop!$A:$A,Prod_Prop!$J:$J,"",0,1))</f>
        <v/>
      </c>
      <c r="V817" s="4" t="str">
        <f t="array" ref="V817">IF($E817="","", XLOOKUP(SUMIFS(Prod_Prop!$A:$A,Prod_Prop!$B:$B,$E817,Prod_Prop!$H:$H,V$1,Prod_Prop!$I:$I,"Exacto"),Prod_Prop!$A:$A,Prod_Prop!$J:$J,"",0,1))</f>
        <v/>
      </c>
      <c r="X817" s="3" t="str">
        <f>IFERROR(__xludf.DUMMYFUNCTION("IF(D817="""","""",IFERROR(TRANSPOSE(FILTER('Validaciones Cotizador'!U:U,'Validaciones Cotizador'!O:O=D817,'Validaciones Cotizador'!T:T=""x"")),""Finalizar""))"),"")</f>
        <v/>
      </c>
    </row>
    <row r="818">
      <c r="A818" s="2" t="str">
        <f t="array" ref="A818">IF(E818="","",XLOOKUP(D818,'Validaciones Cotizador'!C:C,'Validaciones Cotizador'!A:A,"",0,1))</f>
        <v/>
      </c>
      <c r="B818" s="2" t="str">
        <f t="array" ref="B818">IF(F818="","",XLOOKUP(F818,Productos!E:E,Productos!G:G,"",0,1))</f>
        <v/>
      </c>
      <c r="C818" s="2" t="str">
        <f>IF(A818="","",SUMIFS('Validaciones Cotizador'!B:B,'Validaciones Cotizador'!C:C,D818,'Validaciones Cotizador'!A:A,A818))</f>
        <v/>
      </c>
      <c r="D818" s="4" t="str">
        <f>IFERROR(__xludf.DUMMYFUNCTION("IF(OR(F817=""Finalizar"",F817="""",F817=""Selecciona..""),"""",IF(OR(F817=""-"",INDEX(filter(Familias!F:F,Familias!D:D=A817,Familias!E:E=C817),1)=""O""),D817+1,D817))"),"")</f>
        <v/>
      </c>
      <c r="E818" s="2" t="str">
        <f>IF(OR(F818="",F818="Selecciona.."),"",IF(D818="Implemento",SUMIF(Implementos!B:B,F818,Implementos!A:A),SUMIF(Productos!E:E,F818,Productos!A:A)))</f>
        <v/>
      </c>
      <c r="F818" s="2" t="str">
        <f t="shared" si="2"/>
        <v/>
      </c>
      <c r="G818" s="10" t="str">
        <f t="array" ref="G818">IF(OR(F818="",F818="-",F818="Selecciona..",F818="Finalizar"),"",IF(A818="Rodados",XLOOKUP(B818,'Validaciones Cotizador'!I:I,'Validaciones Cotizador'!J:J,0,0,1),1))</f>
        <v/>
      </c>
      <c r="H818" s="11" t="str">
        <f>IF(OR(F818="",F818="Selecciona.."),"",SUMIF(Precio_Productos!K:K,E818,Precio_Productos!J:J)*G818)</f>
        <v/>
      </c>
      <c r="I818" s="4" t="str">
        <f t="array" ref="I818">IF($E818="","", XLOOKUP(SUMIFS(Prod_Prop!$A:$A,Prod_Prop!$B:$B,$E818,Prod_Prop!$H:$H,I$1,Prod_Prop!$I:$I,"Exacto"),Prod_Prop!$A:$A,Prod_Prop!$J:$J,"",0,1))</f>
        <v/>
      </c>
      <c r="J818" s="4" t="str">
        <f t="array" ref="J818">IF($E818="","", XLOOKUP(SUMIFS(Prod_Prop!$A:$A,Prod_Prop!$B:$B,$E818,Prod_Prop!$H:$H,J$1,Prod_Prop!$I:$I,"Exacto"),Prod_Prop!$A:$A,Prod_Prop!$J:$J,"",0,1))</f>
        <v/>
      </c>
      <c r="K818" s="4" t="str">
        <f t="array" ref="K818">IF($E818="","", XLOOKUP(SUMIFS(Prod_Prop!$A:$A,Prod_Prop!$B:$B,$E818,Prod_Prop!$H:$H,K$1,Prod_Prop!$I:$I,"Exacto"),Prod_Prop!$A:$A,Prod_Prop!$J:$J,"",0,1))</f>
        <v/>
      </c>
      <c r="L818" s="4" t="str">
        <f t="array" ref="L818">IF($E818="","", XLOOKUP(SUMIFS(Prod_Prop!$A:$A,Prod_Prop!$B:$B,$E818,Prod_Prop!$H:$H,L$1,Prod_Prop!$I:$I,"Exacto"),Prod_Prop!$A:$A,Prod_Prop!$J:$J,"",0,1))</f>
        <v/>
      </c>
      <c r="M818" s="4" t="str">
        <f t="array" ref="M818">IF($E818="","", XLOOKUP(SUMIFS(Prod_Prop!$A:$A,Prod_Prop!$B:$B,$E818,Prod_Prop!$H:$H,M$1,Prod_Prop!$I:$I,"Exacto"),Prod_Prop!$A:$A,Prod_Prop!$J:$J,"",0,1))</f>
        <v/>
      </c>
      <c r="N818" s="4" t="str">
        <f t="array" ref="N818">IF($E818="","", XLOOKUP(SUMIFS(Prod_Prop!$A:$A,Prod_Prop!$B:$B,$E818,Prod_Prop!$H:$H,N$1,Prod_Prop!$I:$I,"Exacto"),Prod_Prop!$A:$A,Prod_Prop!$J:$J,"",0,1))</f>
        <v/>
      </c>
      <c r="O818" s="4" t="str">
        <f t="array" ref="O818">IF($E818="","", XLOOKUP(SUMIFS(Prod_Prop!$A:$A,Prod_Prop!$B:$B,$E818,Prod_Prop!$H:$H,O$1,Prod_Prop!$I:$I,"Exacto"),Prod_Prop!$A:$A,Prod_Prop!$J:$J,"",0,1))</f>
        <v/>
      </c>
      <c r="P818" s="4" t="str">
        <f t="array" ref="P818">IF($E818="","", XLOOKUP(SUMIFS(Prod_Prop!$A:$A,Prod_Prop!$B:$B,$E818,Prod_Prop!$H:$H,P$1,Prod_Prop!$I:$I,"Exacto"),Prod_Prop!$A:$A,Prod_Prop!$J:$J,"",0,1))</f>
        <v/>
      </c>
      <c r="Q818" s="4" t="str">
        <f t="array" ref="Q818">IF($E818="","", XLOOKUP(SUMIFS(Prod_Prop!$A:$A,Prod_Prop!$B:$B,$E818,Prod_Prop!$H:$H,Q$1,Prod_Prop!$I:$I,"Exacto"),Prod_Prop!$A:$A,Prod_Prop!$J:$J,"",0,1))</f>
        <v/>
      </c>
      <c r="R818" s="4" t="str">
        <f t="array" ref="R818">IF($E818="","", XLOOKUP(SUMIFS(Prod_Prop!$A:$A,Prod_Prop!$B:$B,$E818,Prod_Prop!$H:$H,R$1,Prod_Prop!$I:$I,"Exacto"),Prod_Prop!$A:$A,Prod_Prop!$J:$J,"",0,1))</f>
        <v/>
      </c>
      <c r="S818" s="4" t="str">
        <f t="array" ref="S818">IF($E818="","", XLOOKUP(SUMIFS(Prod_Prop!$A:$A,Prod_Prop!$B:$B,$E818,Prod_Prop!$H:$H,S$1,Prod_Prop!$I:$I,"Exacto"),Prod_Prop!$A:$A,Prod_Prop!$J:$J,"",0,1))</f>
        <v/>
      </c>
      <c r="T818" s="4" t="str">
        <f t="array" ref="T818">IF($E818="","", XLOOKUP(SUMIFS(Prod_Prop!$A:$A,Prod_Prop!$B:$B,$E818,Prod_Prop!$H:$H,T$1,Prod_Prop!$I:$I,"Exacto"),Prod_Prop!$A:$A,Prod_Prop!$J:$J,"",0,1))</f>
        <v/>
      </c>
      <c r="U818" s="4" t="str">
        <f t="array" ref="U818">IF($E818="","", XLOOKUP(SUMIFS(Prod_Prop!$A:$A,Prod_Prop!$B:$B,$E818,Prod_Prop!$H:$H,U$1,Prod_Prop!$I:$I,"Exacto"),Prod_Prop!$A:$A,Prod_Prop!$J:$J,"",0,1))</f>
        <v/>
      </c>
      <c r="V818" s="4" t="str">
        <f t="array" ref="V818">IF($E818="","", XLOOKUP(SUMIFS(Prod_Prop!$A:$A,Prod_Prop!$B:$B,$E818,Prod_Prop!$H:$H,V$1,Prod_Prop!$I:$I,"Exacto"),Prod_Prop!$A:$A,Prod_Prop!$J:$J,"",0,1))</f>
        <v/>
      </c>
      <c r="X818" s="3" t="str">
        <f>IFERROR(__xludf.DUMMYFUNCTION("IF(D818="""","""",IFERROR(TRANSPOSE(FILTER('Validaciones Cotizador'!U:U,'Validaciones Cotizador'!O:O=D818,'Validaciones Cotizador'!T:T=""x"")),""Finalizar""))"),"")</f>
        <v/>
      </c>
    </row>
    <row r="819">
      <c r="A819" s="2" t="str">
        <f t="array" ref="A819">IF(E819="","",XLOOKUP(D819,'Validaciones Cotizador'!C:C,'Validaciones Cotizador'!A:A,"",0,1))</f>
        <v/>
      </c>
      <c r="B819" s="2" t="str">
        <f t="array" ref="B819">IF(F819="","",XLOOKUP(F819,Productos!E:E,Productos!G:G,"",0,1))</f>
        <v/>
      </c>
      <c r="C819" s="2" t="str">
        <f>IF(A819="","",SUMIFS('Validaciones Cotizador'!B:B,'Validaciones Cotizador'!C:C,D819,'Validaciones Cotizador'!A:A,A819))</f>
        <v/>
      </c>
      <c r="D819" s="4" t="str">
        <f>IFERROR(__xludf.DUMMYFUNCTION("IF(OR(F818=""Finalizar"",F818="""",F818=""Selecciona..""),"""",IF(OR(F818=""-"",INDEX(filter(Familias!F:F,Familias!D:D=A818,Familias!E:E=C818),1)=""O""),D818+1,D818))"),"")</f>
        <v/>
      </c>
      <c r="E819" s="2" t="str">
        <f>IF(OR(F819="",F819="Selecciona.."),"",IF(D819="Implemento",SUMIF(Implementos!B:B,F819,Implementos!A:A),SUMIF(Productos!E:E,F819,Productos!A:A)))</f>
        <v/>
      </c>
      <c r="F819" s="2" t="str">
        <f t="shared" si="2"/>
        <v/>
      </c>
      <c r="G819" s="10" t="str">
        <f t="array" ref="G819">IF(OR(F819="",F819="-",F819="Selecciona..",F819="Finalizar"),"",IF(A819="Rodados",XLOOKUP(B819,'Validaciones Cotizador'!I:I,'Validaciones Cotizador'!J:J,0,0,1),1))</f>
        <v/>
      </c>
      <c r="H819" s="11" t="str">
        <f>IF(OR(F819="",F819="Selecciona.."),"",SUMIF(Precio_Productos!K:K,E819,Precio_Productos!J:J)*G819)</f>
        <v/>
      </c>
      <c r="I819" s="4" t="str">
        <f t="array" ref="I819">IF($E819="","", XLOOKUP(SUMIFS(Prod_Prop!$A:$A,Prod_Prop!$B:$B,$E819,Prod_Prop!$H:$H,I$1,Prod_Prop!$I:$I,"Exacto"),Prod_Prop!$A:$A,Prod_Prop!$J:$J,"",0,1))</f>
        <v/>
      </c>
      <c r="J819" s="4" t="str">
        <f t="array" ref="J819">IF($E819="","", XLOOKUP(SUMIFS(Prod_Prop!$A:$A,Prod_Prop!$B:$B,$E819,Prod_Prop!$H:$H,J$1,Prod_Prop!$I:$I,"Exacto"),Prod_Prop!$A:$A,Prod_Prop!$J:$J,"",0,1))</f>
        <v/>
      </c>
      <c r="K819" s="4" t="str">
        <f t="array" ref="K819">IF($E819="","", XLOOKUP(SUMIFS(Prod_Prop!$A:$A,Prod_Prop!$B:$B,$E819,Prod_Prop!$H:$H,K$1,Prod_Prop!$I:$I,"Exacto"),Prod_Prop!$A:$A,Prod_Prop!$J:$J,"",0,1))</f>
        <v/>
      </c>
      <c r="L819" s="4" t="str">
        <f t="array" ref="L819">IF($E819="","", XLOOKUP(SUMIFS(Prod_Prop!$A:$A,Prod_Prop!$B:$B,$E819,Prod_Prop!$H:$H,L$1,Prod_Prop!$I:$I,"Exacto"),Prod_Prop!$A:$A,Prod_Prop!$J:$J,"",0,1))</f>
        <v/>
      </c>
      <c r="M819" s="4" t="str">
        <f t="array" ref="M819">IF($E819="","", XLOOKUP(SUMIFS(Prod_Prop!$A:$A,Prod_Prop!$B:$B,$E819,Prod_Prop!$H:$H,M$1,Prod_Prop!$I:$I,"Exacto"),Prod_Prop!$A:$A,Prod_Prop!$J:$J,"",0,1))</f>
        <v/>
      </c>
      <c r="N819" s="4" t="str">
        <f t="array" ref="N819">IF($E819="","", XLOOKUP(SUMIFS(Prod_Prop!$A:$A,Prod_Prop!$B:$B,$E819,Prod_Prop!$H:$H,N$1,Prod_Prop!$I:$I,"Exacto"),Prod_Prop!$A:$A,Prod_Prop!$J:$J,"",0,1))</f>
        <v/>
      </c>
      <c r="O819" s="4" t="str">
        <f t="array" ref="O819">IF($E819="","", XLOOKUP(SUMIFS(Prod_Prop!$A:$A,Prod_Prop!$B:$B,$E819,Prod_Prop!$H:$H,O$1,Prod_Prop!$I:$I,"Exacto"),Prod_Prop!$A:$A,Prod_Prop!$J:$J,"",0,1))</f>
        <v/>
      </c>
      <c r="P819" s="4" t="str">
        <f t="array" ref="P819">IF($E819="","", XLOOKUP(SUMIFS(Prod_Prop!$A:$A,Prod_Prop!$B:$B,$E819,Prod_Prop!$H:$H,P$1,Prod_Prop!$I:$I,"Exacto"),Prod_Prop!$A:$A,Prod_Prop!$J:$J,"",0,1))</f>
        <v/>
      </c>
      <c r="Q819" s="4" t="str">
        <f t="array" ref="Q819">IF($E819="","", XLOOKUP(SUMIFS(Prod_Prop!$A:$A,Prod_Prop!$B:$B,$E819,Prod_Prop!$H:$H,Q$1,Prod_Prop!$I:$I,"Exacto"),Prod_Prop!$A:$A,Prod_Prop!$J:$J,"",0,1))</f>
        <v/>
      </c>
      <c r="R819" s="4" t="str">
        <f t="array" ref="R819">IF($E819="","", XLOOKUP(SUMIFS(Prod_Prop!$A:$A,Prod_Prop!$B:$B,$E819,Prod_Prop!$H:$H,R$1,Prod_Prop!$I:$I,"Exacto"),Prod_Prop!$A:$A,Prod_Prop!$J:$J,"",0,1))</f>
        <v/>
      </c>
      <c r="S819" s="4" t="str">
        <f t="array" ref="S819">IF($E819="","", XLOOKUP(SUMIFS(Prod_Prop!$A:$A,Prod_Prop!$B:$B,$E819,Prod_Prop!$H:$H,S$1,Prod_Prop!$I:$I,"Exacto"),Prod_Prop!$A:$A,Prod_Prop!$J:$J,"",0,1))</f>
        <v/>
      </c>
      <c r="T819" s="4" t="str">
        <f t="array" ref="T819">IF($E819="","", XLOOKUP(SUMIFS(Prod_Prop!$A:$A,Prod_Prop!$B:$B,$E819,Prod_Prop!$H:$H,T$1,Prod_Prop!$I:$I,"Exacto"),Prod_Prop!$A:$A,Prod_Prop!$J:$J,"",0,1))</f>
        <v/>
      </c>
      <c r="U819" s="4" t="str">
        <f t="array" ref="U819">IF($E819="","", XLOOKUP(SUMIFS(Prod_Prop!$A:$A,Prod_Prop!$B:$B,$E819,Prod_Prop!$H:$H,U$1,Prod_Prop!$I:$I,"Exacto"),Prod_Prop!$A:$A,Prod_Prop!$J:$J,"",0,1))</f>
        <v/>
      </c>
      <c r="V819" s="4" t="str">
        <f t="array" ref="V819">IF($E819="","", XLOOKUP(SUMIFS(Prod_Prop!$A:$A,Prod_Prop!$B:$B,$E819,Prod_Prop!$H:$H,V$1,Prod_Prop!$I:$I,"Exacto"),Prod_Prop!$A:$A,Prod_Prop!$J:$J,"",0,1))</f>
        <v/>
      </c>
      <c r="X819" s="3" t="str">
        <f>IFERROR(__xludf.DUMMYFUNCTION("IF(D819="""","""",IFERROR(TRANSPOSE(FILTER('Validaciones Cotizador'!U:U,'Validaciones Cotizador'!O:O=D819,'Validaciones Cotizador'!T:T=""x"")),""Finalizar""))"),"")</f>
        <v/>
      </c>
    </row>
    <row r="820">
      <c r="A820" s="2" t="str">
        <f t="array" ref="A820">IF(E820="","",XLOOKUP(D820,'Validaciones Cotizador'!C:C,'Validaciones Cotizador'!A:A,"",0,1))</f>
        <v/>
      </c>
      <c r="B820" s="2" t="str">
        <f t="array" ref="B820">IF(F820="","",XLOOKUP(F820,Productos!E:E,Productos!G:G,"",0,1))</f>
        <v/>
      </c>
      <c r="C820" s="2" t="str">
        <f>IF(A820="","",SUMIFS('Validaciones Cotizador'!B:B,'Validaciones Cotizador'!C:C,D820,'Validaciones Cotizador'!A:A,A820))</f>
        <v/>
      </c>
      <c r="D820" s="4" t="str">
        <f>IFERROR(__xludf.DUMMYFUNCTION("IF(OR(F819=""Finalizar"",F819="""",F819=""Selecciona..""),"""",IF(OR(F819=""-"",INDEX(filter(Familias!F:F,Familias!D:D=A819,Familias!E:E=C819),1)=""O""),D819+1,D819))"),"")</f>
        <v/>
      </c>
      <c r="E820" s="2" t="str">
        <f>IF(OR(F820="",F820="Selecciona.."),"",IF(D820="Implemento",SUMIF(Implementos!B:B,F820,Implementos!A:A),SUMIF(Productos!E:E,F820,Productos!A:A)))</f>
        <v/>
      </c>
      <c r="F820" s="2" t="str">
        <f t="shared" si="2"/>
        <v/>
      </c>
      <c r="G820" s="10" t="str">
        <f t="array" ref="G820">IF(OR(F820="",F820="-",F820="Selecciona..",F820="Finalizar"),"",IF(A820="Rodados",XLOOKUP(B820,'Validaciones Cotizador'!I:I,'Validaciones Cotizador'!J:J,0,0,1),1))</f>
        <v/>
      </c>
      <c r="H820" s="11" t="str">
        <f>IF(OR(F820="",F820="Selecciona.."),"",SUMIF(Precio_Productos!K:K,E820,Precio_Productos!J:J)*G820)</f>
        <v/>
      </c>
      <c r="I820" s="4" t="str">
        <f t="array" ref="I820">IF($E820="","", XLOOKUP(SUMIFS(Prod_Prop!$A:$A,Prod_Prop!$B:$B,$E820,Prod_Prop!$H:$H,I$1,Prod_Prop!$I:$I,"Exacto"),Prod_Prop!$A:$A,Prod_Prop!$J:$J,"",0,1))</f>
        <v/>
      </c>
      <c r="J820" s="4" t="str">
        <f t="array" ref="J820">IF($E820="","", XLOOKUP(SUMIFS(Prod_Prop!$A:$A,Prod_Prop!$B:$B,$E820,Prod_Prop!$H:$H,J$1,Prod_Prop!$I:$I,"Exacto"),Prod_Prop!$A:$A,Prod_Prop!$J:$J,"",0,1))</f>
        <v/>
      </c>
      <c r="K820" s="4" t="str">
        <f t="array" ref="K820">IF($E820="","", XLOOKUP(SUMIFS(Prod_Prop!$A:$A,Prod_Prop!$B:$B,$E820,Prod_Prop!$H:$H,K$1,Prod_Prop!$I:$I,"Exacto"),Prod_Prop!$A:$A,Prod_Prop!$J:$J,"",0,1))</f>
        <v/>
      </c>
      <c r="L820" s="4" t="str">
        <f t="array" ref="L820">IF($E820="","", XLOOKUP(SUMIFS(Prod_Prop!$A:$A,Prod_Prop!$B:$B,$E820,Prod_Prop!$H:$H,L$1,Prod_Prop!$I:$I,"Exacto"),Prod_Prop!$A:$A,Prod_Prop!$J:$J,"",0,1))</f>
        <v/>
      </c>
      <c r="M820" s="4" t="str">
        <f t="array" ref="M820">IF($E820="","", XLOOKUP(SUMIFS(Prod_Prop!$A:$A,Prod_Prop!$B:$B,$E820,Prod_Prop!$H:$H,M$1,Prod_Prop!$I:$I,"Exacto"),Prod_Prop!$A:$A,Prod_Prop!$J:$J,"",0,1))</f>
        <v/>
      </c>
      <c r="N820" s="4" t="str">
        <f t="array" ref="N820">IF($E820="","", XLOOKUP(SUMIFS(Prod_Prop!$A:$A,Prod_Prop!$B:$B,$E820,Prod_Prop!$H:$H,N$1,Prod_Prop!$I:$I,"Exacto"),Prod_Prop!$A:$A,Prod_Prop!$J:$J,"",0,1))</f>
        <v/>
      </c>
      <c r="O820" s="4" t="str">
        <f t="array" ref="O820">IF($E820="","", XLOOKUP(SUMIFS(Prod_Prop!$A:$A,Prod_Prop!$B:$B,$E820,Prod_Prop!$H:$H,O$1,Prod_Prop!$I:$I,"Exacto"),Prod_Prop!$A:$A,Prod_Prop!$J:$J,"",0,1))</f>
        <v/>
      </c>
      <c r="P820" s="4" t="str">
        <f t="array" ref="P820">IF($E820="","", XLOOKUP(SUMIFS(Prod_Prop!$A:$A,Prod_Prop!$B:$B,$E820,Prod_Prop!$H:$H,P$1,Prod_Prop!$I:$I,"Exacto"),Prod_Prop!$A:$A,Prod_Prop!$J:$J,"",0,1))</f>
        <v/>
      </c>
      <c r="Q820" s="4" t="str">
        <f t="array" ref="Q820">IF($E820="","", XLOOKUP(SUMIFS(Prod_Prop!$A:$A,Prod_Prop!$B:$B,$E820,Prod_Prop!$H:$H,Q$1,Prod_Prop!$I:$I,"Exacto"),Prod_Prop!$A:$A,Prod_Prop!$J:$J,"",0,1))</f>
        <v/>
      </c>
      <c r="R820" s="4" t="str">
        <f t="array" ref="R820">IF($E820="","", XLOOKUP(SUMIFS(Prod_Prop!$A:$A,Prod_Prop!$B:$B,$E820,Prod_Prop!$H:$H,R$1,Prod_Prop!$I:$I,"Exacto"),Prod_Prop!$A:$A,Prod_Prop!$J:$J,"",0,1))</f>
        <v/>
      </c>
      <c r="S820" s="4" t="str">
        <f t="array" ref="S820">IF($E820="","", XLOOKUP(SUMIFS(Prod_Prop!$A:$A,Prod_Prop!$B:$B,$E820,Prod_Prop!$H:$H,S$1,Prod_Prop!$I:$I,"Exacto"),Prod_Prop!$A:$A,Prod_Prop!$J:$J,"",0,1))</f>
        <v/>
      </c>
      <c r="T820" s="4" t="str">
        <f t="array" ref="T820">IF($E820="","", XLOOKUP(SUMIFS(Prod_Prop!$A:$A,Prod_Prop!$B:$B,$E820,Prod_Prop!$H:$H,T$1,Prod_Prop!$I:$I,"Exacto"),Prod_Prop!$A:$A,Prod_Prop!$J:$J,"",0,1))</f>
        <v/>
      </c>
      <c r="U820" s="4" t="str">
        <f t="array" ref="U820">IF($E820="","", XLOOKUP(SUMIFS(Prod_Prop!$A:$A,Prod_Prop!$B:$B,$E820,Prod_Prop!$H:$H,U$1,Prod_Prop!$I:$I,"Exacto"),Prod_Prop!$A:$A,Prod_Prop!$J:$J,"",0,1))</f>
        <v/>
      </c>
      <c r="V820" s="4" t="str">
        <f t="array" ref="V820">IF($E820="","", XLOOKUP(SUMIFS(Prod_Prop!$A:$A,Prod_Prop!$B:$B,$E820,Prod_Prop!$H:$H,V$1,Prod_Prop!$I:$I,"Exacto"),Prod_Prop!$A:$A,Prod_Prop!$J:$J,"",0,1))</f>
        <v/>
      </c>
      <c r="X820" s="3" t="str">
        <f>IFERROR(__xludf.DUMMYFUNCTION("IF(D820="""","""",IFERROR(TRANSPOSE(FILTER('Validaciones Cotizador'!U:U,'Validaciones Cotizador'!O:O=D820,'Validaciones Cotizador'!T:T=""x"")),""Finalizar""))"),"")</f>
        <v/>
      </c>
    </row>
    <row r="821">
      <c r="A821" s="2" t="str">
        <f t="array" ref="A821">IF(E821="","",XLOOKUP(D821,'Validaciones Cotizador'!C:C,'Validaciones Cotizador'!A:A,"",0,1))</f>
        <v/>
      </c>
      <c r="B821" s="2" t="str">
        <f t="array" ref="B821">IF(F821="","",XLOOKUP(F821,Productos!E:E,Productos!G:G,"",0,1))</f>
        <v/>
      </c>
      <c r="C821" s="2" t="str">
        <f>IF(A821="","",SUMIFS('Validaciones Cotizador'!B:B,'Validaciones Cotizador'!C:C,D821,'Validaciones Cotizador'!A:A,A821))</f>
        <v/>
      </c>
      <c r="D821" s="4" t="str">
        <f>IFERROR(__xludf.DUMMYFUNCTION("IF(OR(F820=""Finalizar"",F820="""",F820=""Selecciona..""),"""",IF(OR(F820=""-"",INDEX(filter(Familias!F:F,Familias!D:D=A820,Familias!E:E=C820),1)=""O""),D820+1,D820))"),"")</f>
        <v/>
      </c>
      <c r="E821" s="2" t="str">
        <f>IF(OR(F821="",F821="Selecciona.."),"",IF(D821="Implemento",SUMIF(Implementos!B:B,F821,Implementos!A:A),SUMIF(Productos!E:E,F821,Productos!A:A)))</f>
        <v/>
      </c>
      <c r="F821" s="2" t="str">
        <f t="shared" si="2"/>
        <v/>
      </c>
      <c r="G821" s="10" t="str">
        <f t="array" ref="G821">IF(OR(F821="",F821="-",F821="Selecciona..",F821="Finalizar"),"",IF(A821="Rodados",XLOOKUP(B821,'Validaciones Cotizador'!I:I,'Validaciones Cotizador'!J:J,0,0,1),1))</f>
        <v/>
      </c>
      <c r="H821" s="11" t="str">
        <f>IF(OR(F821="",F821="Selecciona.."),"",SUMIF(Precio_Productos!K:K,E821,Precio_Productos!J:J)*G821)</f>
        <v/>
      </c>
      <c r="I821" s="4" t="str">
        <f t="array" ref="I821">IF($E821="","", XLOOKUP(SUMIFS(Prod_Prop!$A:$A,Prod_Prop!$B:$B,$E821,Prod_Prop!$H:$H,I$1,Prod_Prop!$I:$I,"Exacto"),Prod_Prop!$A:$A,Prod_Prop!$J:$J,"",0,1))</f>
        <v/>
      </c>
      <c r="J821" s="4" t="str">
        <f t="array" ref="J821">IF($E821="","", XLOOKUP(SUMIFS(Prod_Prop!$A:$A,Prod_Prop!$B:$B,$E821,Prod_Prop!$H:$H,J$1,Prod_Prop!$I:$I,"Exacto"),Prod_Prop!$A:$A,Prod_Prop!$J:$J,"",0,1))</f>
        <v/>
      </c>
      <c r="K821" s="4" t="str">
        <f t="array" ref="K821">IF($E821="","", XLOOKUP(SUMIFS(Prod_Prop!$A:$A,Prod_Prop!$B:$B,$E821,Prod_Prop!$H:$H,K$1,Prod_Prop!$I:$I,"Exacto"),Prod_Prop!$A:$A,Prod_Prop!$J:$J,"",0,1))</f>
        <v/>
      </c>
      <c r="L821" s="4" t="str">
        <f t="array" ref="L821">IF($E821="","", XLOOKUP(SUMIFS(Prod_Prop!$A:$A,Prod_Prop!$B:$B,$E821,Prod_Prop!$H:$H,L$1,Prod_Prop!$I:$I,"Exacto"),Prod_Prop!$A:$A,Prod_Prop!$J:$J,"",0,1))</f>
        <v/>
      </c>
      <c r="M821" s="4" t="str">
        <f t="array" ref="M821">IF($E821="","", XLOOKUP(SUMIFS(Prod_Prop!$A:$A,Prod_Prop!$B:$B,$E821,Prod_Prop!$H:$H,M$1,Prod_Prop!$I:$I,"Exacto"),Prod_Prop!$A:$A,Prod_Prop!$J:$J,"",0,1))</f>
        <v/>
      </c>
      <c r="N821" s="4" t="str">
        <f t="array" ref="N821">IF($E821="","", XLOOKUP(SUMIFS(Prod_Prop!$A:$A,Prod_Prop!$B:$B,$E821,Prod_Prop!$H:$H,N$1,Prod_Prop!$I:$I,"Exacto"),Prod_Prop!$A:$A,Prod_Prop!$J:$J,"",0,1))</f>
        <v/>
      </c>
      <c r="O821" s="4" t="str">
        <f t="array" ref="O821">IF($E821="","", XLOOKUP(SUMIFS(Prod_Prop!$A:$A,Prod_Prop!$B:$B,$E821,Prod_Prop!$H:$H,O$1,Prod_Prop!$I:$I,"Exacto"),Prod_Prop!$A:$A,Prod_Prop!$J:$J,"",0,1))</f>
        <v/>
      </c>
      <c r="P821" s="4" t="str">
        <f t="array" ref="P821">IF($E821="","", XLOOKUP(SUMIFS(Prod_Prop!$A:$A,Prod_Prop!$B:$B,$E821,Prod_Prop!$H:$H,P$1,Prod_Prop!$I:$I,"Exacto"),Prod_Prop!$A:$A,Prod_Prop!$J:$J,"",0,1))</f>
        <v/>
      </c>
      <c r="Q821" s="4" t="str">
        <f t="array" ref="Q821">IF($E821="","", XLOOKUP(SUMIFS(Prod_Prop!$A:$A,Prod_Prop!$B:$B,$E821,Prod_Prop!$H:$H,Q$1,Prod_Prop!$I:$I,"Exacto"),Prod_Prop!$A:$A,Prod_Prop!$J:$J,"",0,1))</f>
        <v/>
      </c>
      <c r="R821" s="4" t="str">
        <f t="array" ref="R821">IF($E821="","", XLOOKUP(SUMIFS(Prod_Prop!$A:$A,Prod_Prop!$B:$B,$E821,Prod_Prop!$H:$H,R$1,Prod_Prop!$I:$I,"Exacto"),Prod_Prop!$A:$A,Prod_Prop!$J:$J,"",0,1))</f>
        <v/>
      </c>
      <c r="S821" s="4" t="str">
        <f t="array" ref="S821">IF($E821="","", XLOOKUP(SUMIFS(Prod_Prop!$A:$A,Prod_Prop!$B:$B,$E821,Prod_Prop!$H:$H,S$1,Prod_Prop!$I:$I,"Exacto"),Prod_Prop!$A:$A,Prod_Prop!$J:$J,"",0,1))</f>
        <v/>
      </c>
      <c r="T821" s="4" t="str">
        <f t="array" ref="T821">IF($E821="","", XLOOKUP(SUMIFS(Prod_Prop!$A:$A,Prod_Prop!$B:$B,$E821,Prod_Prop!$H:$H,T$1,Prod_Prop!$I:$I,"Exacto"),Prod_Prop!$A:$A,Prod_Prop!$J:$J,"",0,1))</f>
        <v/>
      </c>
      <c r="U821" s="4" t="str">
        <f t="array" ref="U821">IF($E821="","", XLOOKUP(SUMIFS(Prod_Prop!$A:$A,Prod_Prop!$B:$B,$E821,Prod_Prop!$H:$H,U$1,Prod_Prop!$I:$I,"Exacto"),Prod_Prop!$A:$A,Prod_Prop!$J:$J,"",0,1))</f>
        <v/>
      </c>
      <c r="V821" s="4" t="str">
        <f t="array" ref="V821">IF($E821="","", XLOOKUP(SUMIFS(Prod_Prop!$A:$A,Prod_Prop!$B:$B,$E821,Prod_Prop!$H:$H,V$1,Prod_Prop!$I:$I,"Exacto"),Prod_Prop!$A:$A,Prod_Prop!$J:$J,"",0,1))</f>
        <v/>
      </c>
      <c r="X821" s="3" t="str">
        <f>IFERROR(__xludf.DUMMYFUNCTION("IF(D821="""","""",IFERROR(TRANSPOSE(FILTER('Validaciones Cotizador'!U:U,'Validaciones Cotizador'!O:O=D821,'Validaciones Cotizador'!T:T=""x"")),""Finalizar""))"),"")</f>
        <v/>
      </c>
    </row>
    <row r="822">
      <c r="A822" s="2" t="str">
        <f t="array" ref="A822">IF(E822="","",XLOOKUP(D822,'Validaciones Cotizador'!C:C,'Validaciones Cotizador'!A:A,"",0,1))</f>
        <v/>
      </c>
      <c r="B822" s="2" t="str">
        <f t="array" ref="B822">IF(F822="","",XLOOKUP(F822,Productos!E:E,Productos!G:G,"",0,1))</f>
        <v/>
      </c>
      <c r="C822" s="2" t="str">
        <f>IF(A822="","",SUMIFS('Validaciones Cotizador'!B:B,'Validaciones Cotizador'!C:C,D822,'Validaciones Cotizador'!A:A,A822))</f>
        <v/>
      </c>
      <c r="D822" s="4" t="str">
        <f>IFERROR(__xludf.DUMMYFUNCTION("IF(OR(F821=""Finalizar"",F821="""",F821=""Selecciona..""),"""",IF(OR(F821=""-"",INDEX(filter(Familias!F:F,Familias!D:D=A821,Familias!E:E=C821),1)=""O""),D821+1,D821))"),"")</f>
        <v/>
      </c>
      <c r="E822" s="2" t="str">
        <f>IF(OR(F822="",F822="Selecciona.."),"",IF(D822="Implemento",SUMIF(Implementos!B:B,F822,Implementos!A:A),SUMIF(Productos!E:E,F822,Productos!A:A)))</f>
        <v/>
      </c>
      <c r="F822" s="2" t="str">
        <f t="shared" si="2"/>
        <v/>
      </c>
      <c r="G822" s="10" t="str">
        <f t="array" ref="G822">IF(OR(F822="",F822="-",F822="Selecciona..",F822="Finalizar"),"",IF(A822="Rodados",XLOOKUP(B822,'Validaciones Cotizador'!I:I,'Validaciones Cotizador'!J:J,0,0,1),1))</f>
        <v/>
      </c>
      <c r="H822" s="11" t="str">
        <f>IF(OR(F822="",F822="Selecciona.."),"",SUMIF(Precio_Productos!K:K,E822,Precio_Productos!J:J)*G822)</f>
        <v/>
      </c>
      <c r="I822" s="4" t="str">
        <f t="array" ref="I822">IF($E822="","", XLOOKUP(SUMIFS(Prod_Prop!$A:$A,Prod_Prop!$B:$B,$E822,Prod_Prop!$H:$H,I$1,Prod_Prop!$I:$I,"Exacto"),Prod_Prop!$A:$A,Prod_Prop!$J:$J,"",0,1))</f>
        <v/>
      </c>
      <c r="J822" s="4" t="str">
        <f t="array" ref="J822">IF($E822="","", XLOOKUP(SUMIFS(Prod_Prop!$A:$A,Prod_Prop!$B:$B,$E822,Prod_Prop!$H:$H,J$1,Prod_Prop!$I:$I,"Exacto"),Prod_Prop!$A:$A,Prod_Prop!$J:$J,"",0,1))</f>
        <v/>
      </c>
      <c r="K822" s="4" t="str">
        <f t="array" ref="K822">IF($E822="","", XLOOKUP(SUMIFS(Prod_Prop!$A:$A,Prod_Prop!$B:$B,$E822,Prod_Prop!$H:$H,K$1,Prod_Prop!$I:$I,"Exacto"),Prod_Prop!$A:$A,Prod_Prop!$J:$J,"",0,1))</f>
        <v/>
      </c>
      <c r="L822" s="4" t="str">
        <f t="array" ref="L822">IF($E822="","", XLOOKUP(SUMIFS(Prod_Prop!$A:$A,Prod_Prop!$B:$B,$E822,Prod_Prop!$H:$H,L$1,Prod_Prop!$I:$I,"Exacto"),Prod_Prop!$A:$A,Prod_Prop!$J:$J,"",0,1))</f>
        <v/>
      </c>
      <c r="M822" s="4" t="str">
        <f t="array" ref="M822">IF($E822="","", XLOOKUP(SUMIFS(Prod_Prop!$A:$A,Prod_Prop!$B:$B,$E822,Prod_Prop!$H:$H,M$1,Prod_Prop!$I:$I,"Exacto"),Prod_Prop!$A:$A,Prod_Prop!$J:$J,"",0,1))</f>
        <v/>
      </c>
      <c r="N822" s="4" t="str">
        <f t="array" ref="N822">IF($E822="","", XLOOKUP(SUMIFS(Prod_Prop!$A:$A,Prod_Prop!$B:$B,$E822,Prod_Prop!$H:$H,N$1,Prod_Prop!$I:$I,"Exacto"),Prod_Prop!$A:$A,Prod_Prop!$J:$J,"",0,1))</f>
        <v/>
      </c>
      <c r="O822" s="4" t="str">
        <f t="array" ref="O822">IF($E822="","", XLOOKUP(SUMIFS(Prod_Prop!$A:$A,Prod_Prop!$B:$B,$E822,Prod_Prop!$H:$H,O$1,Prod_Prop!$I:$I,"Exacto"),Prod_Prop!$A:$A,Prod_Prop!$J:$J,"",0,1))</f>
        <v/>
      </c>
      <c r="P822" s="4" t="str">
        <f t="array" ref="P822">IF($E822="","", XLOOKUP(SUMIFS(Prod_Prop!$A:$A,Prod_Prop!$B:$B,$E822,Prod_Prop!$H:$H,P$1,Prod_Prop!$I:$I,"Exacto"),Prod_Prop!$A:$A,Prod_Prop!$J:$J,"",0,1))</f>
        <v/>
      </c>
      <c r="Q822" s="4" t="str">
        <f t="array" ref="Q822">IF($E822="","", XLOOKUP(SUMIFS(Prod_Prop!$A:$A,Prod_Prop!$B:$B,$E822,Prod_Prop!$H:$H,Q$1,Prod_Prop!$I:$I,"Exacto"),Prod_Prop!$A:$A,Prod_Prop!$J:$J,"",0,1))</f>
        <v/>
      </c>
      <c r="R822" s="4" t="str">
        <f t="array" ref="R822">IF($E822="","", XLOOKUP(SUMIFS(Prod_Prop!$A:$A,Prod_Prop!$B:$B,$E822,Prod_Prop!$H:$H,R$1,Prod_Prop!$I:$I,"Exacto"),Prod_Prop!$A:$A,Prod_Prop!$J:$J,"",0,1))</f>
        <v/>
      </c>
      <c r="S822" s="4" t="str">
        <f t="array" ref="S822">IF($E822="","", XLOOKUP(SUMIFS(Prod_Prop!$A:$A,Prod_Prop!$B:$B,$E822,Prod_Prop!$H:$H,S$1,Prod_Prop!$I:$I,"Exacto"),Prod_Prop!$A:$A,Prod_Prop!$J:$J,"",0,1))</f>
        <v/>
      </c>
      <c r="T822" s="4" t="str">
        <f t="array" ref="T822">IF($E822="","", XLOOKUP(SUMIFS(Prod_Prop!$A:$A,Prod_Prop!$B:$B,$E822,Prod_Prop!$H:$H,T$1,Prod_Prop!$I:$I,"Exacto"),Prod_Prop!$A:$A,Prod_Prop!$J:$J,"",0,1))</f>
        <v/>
      </c>
      <c r="U822" s="4" t="str">
        <f t="array" ref="U822">IF($E822="","", XLOOKUP(SUMIFS(Prod_Prop!$A:$A,Prod_Prop!$B:$B,$E822,Prod_Prop!$H:$H,U$1,Prod_Prop!$I:$I,"Exacto"),Prod_Prop!$A:$A,Prod_Prop!$J:$J,"",0,1))</f>
        <v/>
      </c>
      <c r="V822" s="4" t="str">
        <f t="array" ref="V822">IF($E822="","", XLOOKUP(SUMIFS(Prod_Prop!$A:$A,Prod_Prop!$B:$B,$E822,Prod_Prop!$H:$H,V$1,Prod_Prop!$I:$I,"Exacto"),Prod_Prop!$A:$A,Prod_Prop!$J:$J,"",0,1))</f>
        <v/>
      </c>
      <c r="X822" s="3" t="str">
        <f>IFERROR(__xludf.DUMMYFUNCTION("IF(D822="""","""",IFERROR(TRANSPOSE(FILTER('Validaciones Cotizador'!U:U,'Validaciones Cotizador'!O:O=D822,'Validaciones Cotizador'!T:T=""x"")),""Finalizar""))"),"")</f>
        <v/>
      </c>
    </row>
    <row r="823">
      <c r="A823" s="2" t="str">
        <f t="array" ref="A823">IF(E823="","",XLOOKUP(D823,'Validaciones Cotizador'!C:C,'Validaciones Cotizador'!A:A,"",0,1))</f>
        <v/>
      </c>
      <c r="B823" s="2" t="str">
        <f t="array" ref="B823">IF(F823="","",XLOOKUP(F823,Productos!E:E,Productos!G:G,"",0,1))</f>
        <v/>
      </c>
      <c r="C823" s="2" t="str">
        <f>IF(A823="","",SUMIFS('Validaciones Cotizador'!B:B,'Validaciones Cotizador'!C:C,D823,'Validaciones Cotizador'!A:A,A823))</f>
        <v/>
      </c>
      <c r="D823" s="4" t="str">
        <f>IFERROR(__xludf.DUMMYFUNCTION("IF(OR(F822=""Finalizar"",F822="""",F822=""Selecciona..""),"""",IF(OR(F822=""-"",INDEX(filter(Familias!F:F,Familias!D:D=A822,Familias!E:E=C822),1)=""O""),D822+1,D822))"),"")</f>
        <v/>
      </c>
      <c r="E823" s="2" t="str">
        <f>IF(OR(F823="",F823="Selecciona.."),"",IF(D823="Implemento",SUMIF(Implementos!B:B,F823,Implementos!A:A),SUMIF(Productos!E:E,F823,Productos!A:A)))</f>
        <v/>
      </c>
      <c r="F823" s="2" t="str">
        <f t="shared" si="2"/>
        <v/>
      </c>
      <c r="G823" s="10" t="str">
        <f t="array" ref="G823">IF(OR(F823="",F823="-",F823="Selecciona..",F823="Finalizar"),"",IF(A823="Rodados",XLOOKUP(B823,'Validaciones Cotizador'!I:I,'Validaciones Cotizador'!J:J,0,0,1),1))</f>
        <v/>
      </c>
      <c r="H823" s="11" t="str">
        <f>IF(OR(F823="",F823="Selecciona.."),"",SUMIF(Precio_Productos!K:K,E823,Precio_Productos!J:J)*G823)</f>
        <v/>
      </c>
      <c r="I823" s="4" t="str">
        <f t="array" ref="I823">IF($E823="","", XLOOKUP(SUMIFS(Prod_Prop!$A:$A,Prod_Prop!$B:$B,$E823,Prod_Prop!$H:$H,I$1,Prod_Prop!$I:$I,"Exacto"),Prod_Prop!$A:$A,Prod_Prop!$J:$J,"",0,1))</f>
        <v/>
      </c>
      <c r="J823" s="4" t="str">
        <f t="array" ref="J823">IF($E823="","", XLOOKUP(SUMIFS(Prod_Prop!$A:$A,Prod_Prop!$B:$B,$E823,Prod_Prop!$H:$H,J$1,Prod_Prop!$I:$I,"Exacto"),Prod_Prop!$A:$A,Prod_Prop!$J:$J,"",0,1))</f>
        <v/>
      </c>
      <c r="K823" s="4" t="str">
        <f t="array" ref="K823">IF($E823="","", XLOOKUP(SUMIFS(Prod_Prop!$A:$A,Prod_Prop!$B:$B,$E823,Prod_Prop!$H:$H,K$1,Prod_Prop!$I:$I,"Exacto"),Prod_Prop!$A:$A,Prod_Prop!$J:$J,"",0,1))</f>
        <v/>
      </c>
      <c r="L823" s="4" t="str">
        <f t="array" ref="L823">IF($E823="","", XLOOKUP(SUMIFS(Prod_Prop!$A:$A,Prod_Prop!$B:$B,$E823,Prod_Prop!$H:$H,L$1,Prod_Prop!$I:$I,"Exacto"),Prod_Prop!$A:$A,Prod_Prop!$J:$J,"",0,1))</f>
        <v/>
      </c>
      <c r="M823" s="4" t="str">
        <f t="array" ref="M823">IF($E823="","", XLOOKUP(SUMIFS(Prod_Prop!$A:$A,Prod_Prop!$B:$B,$E823,Prod_Prop!$H:$H,M$1,Prod_Prop!$I:$I,"Exacto"),Prod_Prop!$A:$A,Prod_Prop!$J:$J,"",0,1))</f>
        <v/>
      </c>
      <c r="N823" s="4" t="str">
        <f t="array" ref="N823">IF($E823="","", XLOOKUP(SUMIFS(Prod_Prop!$A:$A,Prod_Prop!$B:$B,$E823,Prod_Prop!$H:$H,N$1,Prod_Prop!$I:$I,"Exacto"),Prod_Prop!$A:$A,Prod_Prop!$J:$J,"",0,1))</f>
        <v/>
      </c>
      <c r="O823" s="4" t="str">
        <f t="array" ref="O823">IF($E823="","", XLOOKUP(SUMIFS(Prod_Prop!$A:$A,Prod_Prop!$B:$B,$E823,Prod_Prop!$H:$H,O$1,Prod_Prop!$I:$I,"Exacto"),Prod_Prop!$A:$A,Prod_Prop!$J:$J,"",0,1))</f>
        <v/>
      </c>
      <c r="P823" s="4" t="str">
        <f t="array" ref="P823">IF($E823="","", XLOOKUP(SUMIFS(Prod_Prop!$A:$A,Prod_Prop!$B:$B,$E823,Prod_Prop!$H:$H,P$1,Prod_Prop!$I:$I,"Exacto"),Prod_Prop!$A:$A,Prod_Prop!$J:$J,"",0,1))</f>
        <v/>
      </c>
      <c r="Q823" s="4" t="str">
        <f t="array" ref="Q823">IF($E823="","", XLOOKUP(SUMIFS(Prod_Prop!$A:$A,Prod_Prop!$B:$B,$E823,Prod_Prop!$H:$H,Q$1,Prod_Prop!$I:$I,"Exacto"),Prod_Prop!$A:$A,Prod_Prop!$J:$J,"",0,1))</f>
        <v/>
      </c>
      <c r="R823" s="4" t="str">
        <f t="array" ref="R823">IF($E823="","", XLOOKUP(SUMIFS(Prod_Prop!$A:$A,Prod_Prop!$B:$B,$E823,Prod_Prop!$H:$H,R$1,Prod_Prop!$I:$I,"Exacto"),Prod_Prop!$A:$A,Prod_Prop!$J:$J,"",0,1))</f>
        <v/>
      </c>
      <c r="S823" s="4" t="str">
        <f t="array" ref="S823">IF($E823="","", XLOOKUP(SUMIFS(Prod_Prop!$A:$A,Prod_Prop!$B:$B,$E823,Prod_Prop!$H:$H,S$1,Prod_Prop!$I:$I,"Exacto"),Prod_Prop!$A:$A,Prod_Prop!$J:$J,"",0,1))</f>
        <v/>
      </c>
      <c r="T823" s="4" t="str">
        <f t="array" ref="T823">IF($E823="","", XLOOKUP(SUMIFS(Prod_Prop!$A:$A,Prod_Prop!$B:$B,$E823,Prod_Prop!$H:$H,T$1,Prod_Prop!$I:$I,"Exacto"),Prod_Prop!$A:$A,Prod_Prop!$J:$J,"",0,1))</f>
        <v/>
      </c>
      <c r="U823" s="4" t="str">
        <f t="array" ref="U823">IF($E823="","", XLOOKUP(SUMIFS(Prod_Prop!$A:$A,Prod_Prop!$B:$B,$E823,Prod_Prop!$H:$H,U$1,Prod_Prop!$I:$I,"Exacto"),Prod_Prop!$A:$A,Prod_Prop!$J:$J,"",0,1))</f>
        <v/>
      </c>
      <c r="V823" s="4" t="str">
        <f t="array" ref="V823">IF($E823="","", XLOOKUP(SUMIFS(Prod_Prop!$A:$A,Prod_Prop!$B:$B,$E823,Prod_Prop!$H:$H,V$1,Prod_Prop!$I:$I,"Exacto"),Prod_Prop!$A:$A,Prod_Prop!$J:$J,"",0,1))</f>
        <v/>
      </c>
      <c r="X823" s="3" t="str">
        <f>IFERROR(__xludf.DUMMYFUNCTION("IF(D823="""","""",IFERROR(TRANSPOSE(FILTER('Validaciones Cotizador'!U:U,'Validaciones Cotizador'!O:O=D823,'Validaciones Cotizador'!T:T=""x"")),""Finalizar""))"),"")</f>
        <v/>
      </c>
    </row>
    <row r="824">
      <c r="A824" s="2" t="str">
        <f t="array" ref="A824">IF(E824="","",XLOOKUP(D824,'Validaciones Cotizador'!C:C,'Validaciones Cotizador'!A:A,"",0,1))</f>
        <v/>
      </c>
      <c r="B824" s="2" t="str">
        <f t="array" ref="B824">IF(F824="","",XLOOKUP(F824,Productos!E:E,Productos!G:G,"",0,1))</f>
        <v/>
      </c>
      <c r="C824" s="2" t="str">
        <f>IF(A824="","",SUMIFS('Validaciones Cotizador'!B:B,'Validaciones Cotizador'!C:C,D824,'Validaciones Cotizador'!A:A,A824))</f>
        <v/>
      </c>
      <c r="D824" s="4" t="str">
        <f>IFERROR(__xludf.DUMMYFUNCTION("IF(OR(F823=""Finalizar"",F823="""",F823=""Selecciona..""),"""",IF(OR(F823=""-"",INDEX(filter(Familias!F:F,Familias!D:D=A823,Familias!E:E=C823),1)=""O""),D823+1,D823))"),"")</f>
        <v/>
      </c>
      <c r="E824" s="2" t="str">
        <f>IF(OR(F824="",F824="Selecciona.."),"",IF(D824="Implemento",SUMIF(Implementos!B:B,F824,Implementos!A:A),SUMIF(Productos!E:E,F824,Productos!A:A)))</f>
        <v/>
      </c>
      <c r="F824" s="2" t="str">
        <f t="shared" si="2"/>
        <v/>
      </c>
      <c r="G824" s="10" t="str">
        <f t="array" ref="G824">IF(OR(F824="",F824="-",F824="Selecciona..",F824="Finalizar"),"",IF(A824="Rodados",XLOOKUP(B824,'Validaciones Cotizador'!I:I,'Validaciones Cotizador'!J:J,0,0,1),1))</f>
        <v/>
      </c>
      <c r="H824" s="11" t="str">
        <f>IF(OR(F824="",F824="Selecciona.."),"",SUMIF(Precio_Productos!K:K,E824,Precio_Productos!J:J)*G824)</f>
        <v/>
      </c>
      <c r="I824" s="4" t="str">
        <f t="array" ref="I824">IF($E824="","", XLOOKUP(SUMIFS(Prod_Prop!$A:$A,Prod_Prop!$B:$B,$E824,Prod_Prop!$H:$H,I$1,Prod_Prop!$I:$I,"Exacto"),Prod_Prop!$A:$A,Prod_Prop!$J:$J,"",0,1))</f>
        <v/>
      </c>
      <c r="J824" s="4" t="str">
        <f t="array" ref="J824">IF($E824="","", XLOOKUP(SUMIFS(Prod_Prop!$A:$A,Prod_Prop!$B:$B,$E824,Prod_Prop!$H:$H,J$1,Prod_Prop!$I:$I,"Exacto"),Prod_Prop!$A:$A,Prod_Prop!$J:$J,"",0,1))</f>
        <v/>
      </c>
      <c r="K824" s="4" t="str">
        <f t="array" ref="K824">IF($E824="","", XLOOKUP(SUMIFS(Prod_Prop!$A:$A,Prod_Prop!$B:$B,$E824,Prod_Prop!$H:$H,K$1,Prod_Prop!$I:$I,"Exacto"),Prod_Prop!$A:$A,Prod_Prop!$J:$J,"",0,1))</f>
        <v/>
      </c>
      <c r="L824" s="4" t="str">
        <f t="array" ref="L824">IF($E824="","", XLOOKUP(SUMIFS(Prod_Prop!$A:$A,Prod_Prop!$B:$B,$E824,Prod_Prop!$H:$H,L$1,Prod_Prop!$I:$I,"Exacto"),Prod_Prop!$A:$A,Prod_Prop!$J:$J,"",0,1))</f>
        <v/>
      </c>
      <c r="M824" s="4" t="str">
        <f t="array" ref="M824">IF($E824="","", XLOOKUP(SUMIFS(Prod_Prop!$A:$A,Prod_Prop!$B:$B,$E824,Prod_Prop!$H:$H,M$1,Prod_Prop!$I:$I,"Exacto"),Prod_Prop!$A:$A,Prod_Prop!$J:$J,"",0,1))</f>
        <v/>
      </c>
      <c r="N824" s="4" t="str">
        <f t="array" ref="N824">IF($E824="","", XLOOKUP(SUMIFS(Prod_Prop!$A:$A,Prod_Prop!$B:$B,$E824,Prod_Prop!$H:$H,N$1,Prod_Prop!$I:$I,"Exacto"),Prod_Prop!$A:$A,Prod_Prop!$J:$J,"",0,1))</f>
        <v/>
      </c>
      <c r="O824" s="4" t="str">
        <f t="array" ref="O824">IF($E824="","", XLOOKUP(SUMIFS(Prod_Prop!$A:$A,Prod_Prop!$B:$B,$E824,Prod_Prop!$H:$H,O$1,Prod_Prop!$I:$I,"Exacto"),Prod_Prop!$A:$A,Prod_Prop!$J:$J,"",0,1))</f>
        <v/>
      </c>
      <c r="P824" s="4" t="str">
        <f t="array" ref="P824">IF($E824="","", XLOOKUP(SUMIFS(Prod_Prop!$A:$A,Prod_Prop!$B:$B,$E824,Prod_Prop!$H:$H,P$1,Prod_Prop!$I:$I,"Exacto"),Prod_Prop!$A:$A,Prod_Prop!$J:$J,"",0,1))</f>
        <v/>
      </c>
      <c r="Q824" s="4" t="str">
        <f t="array" ref="Q824">IF($E824="","", XLOOKUP(SUMIFS(Prod_Prop!$A:$A,Prod_Prop!$B:$B,$E824,Prod_Prop!$H:$H,Q$1,Prod_Prop!$I:$I,"Exacto"),Prod_Prop!$A:$A,Prod_Prop!$J:$J,"",0,1))</f>
        <v/>
      </c>
      <c r="R824" s="4" t="str">
        <f t="array" ref="R824">IF($E824="","", XLOOKUP(SUMIFS(Prod_Prop!$A:$A,Prod_Prop!$B:$B,$E824,Prod_Prop!$H:$H,R$1,Prod_Prop!$I:$I,"Exacto"),Prod_Prop!$A:$A,Prod_Prop!$J:$J,"",0,1))</f>
        <v/>
      </c>
      <c r="S824" s="4" t="str">
        <f t="array" ref="S824">IF($E824="","", XLOOKUP(SUMIFS(Prod_Prop!$A:$A,Prod_Prop!$B:$B,$E824,Prod_Prop!$H:$H,S$1,Prod_Prop!$I:$I,"Exacto"),Prod_Prop!$A:$A,Prod_Prop!$J:$J,"",0,1))</f>
        <v/>
      </c>
      <c r="T824" s="4" t="str">
        <f t="array" ref="T824">IF($E824="","", XLOOKUP(SUMIFS(Prod_Prop!$A:$A,Prod_Prop!$B:$B,$E824,Prod_Prop!$H:$H,T$1,Prod_Prop!$I:$I,"Exacto"),Prod_Prop!$A:$A,Prod_Prop!$J:$J,"",0,1))</f>
        <v/>
      </c>
      <c r="U824" s="4" t="str">
        <f t="array" ref="U824">IF($E824="","", XLOOKUP(SUMIFS(Prod_Prop!$A:$A,Prod_Prop!$B:$B,$E824,Prod_Prop!$H:$H,U$1,Prod_Prop!$I:$I,"Exacto"),Prod_Prop!$A:$A,Prod_Prop!$J:$J,"",0,1))</f>
        <v/>
      </c>
      <c r="V824" s="4" t="str">
        <f t="array" ref="V824">IF($E824="","", XLOOKUP(SUMIFS(Prod_Prop!$A:$A,Prod_Prop!$B:$B,$E824,Prod_Prop!$H:$H,V$1,Prod_Prop!$I:$I,"Exacto"),Prod_Prop!$A:$A,Prod_Prop!$J:$J,"",0,1))</f>
        <v/>
      </c>
      <c r="X824" s="3" t="str">
        <f>IFERROR(__xludf.DUMMYFUNCTION("IF(D824="""","""",IFERROR(TRANSPOSE(FILTER('Validaciones Cotizador'!U:U,'Validaciones Cotizador'!O:O=D824,'Validaciones Cotizador'!T:T=""x"")),""Finalizar""))"),"")</f>
        <v/>
      </c>
    </row>
    <row r="825">
      <c r="A825" s="2" t="str">
        <f t="array" ref="A825">IF(E825="","",XLOOKUP(D825,'Validaciones Cotizador'!C:C,'Validaciones Cotizador'!A:A,"",0,1))</f>
        <v/>
      </c>
      <c r="B825" s="2" t="str">
        <f t="array" ref="B825">IF(F825="","",XLOOKUP(F825,Productos!E:E,Productos!G:G,"",0,1))</f>
        <v/>
      </c>
      <c r="C825" s="2" t="str">
        <f>IF(A825="","",SUMIFS('Validaciones Cotizador'!B:B,'Validaciones Cotizador'!C:C,D825,'Validaciones Cotizador'!A:A,A825))</f>
        <v/>
      </c>
      <c r="D825" s="4" t="str">
        <f>IFERROR(__xludf.DUMMYFUNCTION("IF(OR(F824=""Finalizar"",F824="""",F824=""Selecciona..""),"""",IF(OR(F824=""-"",INDEX(filter(Familias!F:F,Familias!D:D=A824,Familias!E:E=C824),1)=""O""),D824+1,D824))"),"")</f>
        <v/>
      </c>
      <c r="E825" s="2" t="str">
        <f>IF(OR(F825="",F825="Selecciona.."),"",IF(D825="Implemento",SUMIF(Implementos!B:B,F825,Implementos!A:A),SUMIF(Productos!E:E,F825,Productos!A:A)))</f>
        <v/>
      </c>
      <c r="F825" s="2" t="str">
        <f t="shared" si="2"/>
        <v/>
      </c>
      <c r="G825" s="10" t="str">
        <f t="array" ref="G825">IF(OR(F825="",F825="-",F825="Selecciona..",F825="Finalizar"),"",IF(A825="Rodados",XLOOKUP(B825,'Validaciones Cotizador'!I:I,'Validaciones Cotizador'!J:J,0,0,1),1))</f>
        <v/>
      </c>
      <c r="H825" s="11" t="str">
        <f>IF(OR(F825="",F825="Selecciona.."),"",SUMIF(Precio_Productos!K:K,E825,Precio_Productos!J:J)*G825)</f>
        <v/>
      </c>
      <c r="I825" s="4" t="str">
        <f t="array" ref="I825">IF($E825="","", XLOOKUP(SUMIFS(Prod_Prop!$A:$A,Prod_Prop!$B:$B,$E825,Prod_Prop!$H:$H,I$1,Prod_Prop!$I:$I,"Exacto"),Prod_Prop!$A:$A,Prod_Prop!$J:$J,"",0,1))</f>
        <v/>
      </c>
      <c r="J825" s="4" t="str">
        <f t="array" ref="J825">IF($E825="","", XLOOKUP(SUMIFS(Prod_Prop!$A:$A,Prod_Prop!$B:$B,$E825,Prod_Prop!$H:$H,J$1,Prod_Prop!$I:$I,"Exacto"),Prod_Prop!$A:$A,Prod_Prop!$J:$J,"",0,1))</f>
        <v/>
      </c>
      <c r="K825" s="4" t="str">
        <f t="array" ref="K825">IF($E825="","", XLOOKUP(SUMIFS(Prod_Prop!$A:$A,Prod_Prop!$B:$B,$E825,Prod_Prop!$H:$H,K$1,Prod_Prop!$I:$I,"Exacto"),Prod_Prop!$A:$A,Prod_Prop!$J:$J,"",0,1))</f>
        <v/>
      </c>
      <c r="L825" s="4" t="str">
        <f t="array" ref="L825">IF($E825="","", XLOOKUP(SUMIFS(Prod_Prop!$A:$A,Prod_Prop!$B:$B,$E825,Prod_Prop!$H:$H,L$1,Prod_Prop!$I:$I,"Exacto"),Prod_Prop!$A:$A,Prod_Prop!$J:$J,"",0,1))</f>
        <v/>
      </c>
      <c r="M825" s="4" t="str">
        <f t="array" ref="M825">IF($E825="","", XLOOKUP(SUMIFS(Prod_Prop!$A:$A,Prod_Prop!$B:$B,$E825,Prod_Prop!$H:$H,M$1,Prod_Prop!$I:$I,"Exacto"),Prod_Prop!$A:$A,Prod_Prop!$J:$J,"",0,1))</f>
        <v/>
      </c>
      <c r="N825" s="4" t="str">
        <f t="array" ref="N825">IF($E825="","", XLOOKUP(SUMIFS(Prod_Prop!$A:$A,Prod_Prop!$B:$B,$E825,Prod_Prop!$H:$H,N$1,Prod_Prop!$I:$I,"Exacto"),Prod_Prop!$A:$A,Prod_Prop!$J:$J,"",0,1))</f>
        <v/>
      </c>
      <c r="O825" s="4" t="str">
        <f t="array" ref="O825">IF($E825="","", XLOOKUP(SUMIFS(Prod_Prop!$A:$A,Prod_Prop!$B:$B,$E825,Prod_Prop!$H:$H,O$1,Prod_Prop!$I:$I,"Exacto"),Prod_Prop!$A:$A,Prod_Prop!$J:$J,"",0,1))</f>
        <v/>
      </c>
      <c r="P825" s="4" t="str">
        <f t="array" ref="P825">IF($E825="","", XLOOKUP(SUMIFS(Prod_Prop!$A:$A,Prod_Prop!$B:$B,$E825,Prod_Prop!$H:$H,P$1,Prod_Prop!$I:$I,"Exacto"),Prod_Prop!$A:$A,Prod_Prop!$J:$J,"",0,1))</f>
        <v/>
      </c>
      <c r="Q825" s="4" t="str">
        <f t="array" ref="Q825">IF($E825="","", XLOOKUP(SUMIFS(Prod_Prop!$A:$A,Prod_Prop!$B:$B,$E825,Prod_Prop!$H:$H,Q$1,Prod_Prop!$I:$I,"Exacto"),Prod_Prop!$A:$A,Prod_Prop!$J:$J,"",0,1))</f>
        <v/>
      </c>
      <c r="R825" s="4" t="str">
        <f t="array" ref="R825">IF($E825="","", XLOOKUP(SUMIFS(Prod_Prop!$A:$A,Prod_Prop!$B:$B,$E825,Prod_Prop!$H:$H,R$1,Prod_Prop!$I:$I,"Exacto"),Prod_Prop!$A:$A,Prod_Prop!$J:$J,"",0,1))</f>
        <v/>
      </c>
      <c r="S825" s="4" t="str">
        <f t="array" ref="S825">IF($E825="","", XLOOKUP(SUMIFS(Prod_Prop!$A:$A,Prod_Prop!$B:$B,$E825,Prod_Prop!$H:$H,S$1,Prod_Prop!$I:$I,"Exacto"),Prod_Prop!$A:$A,Prod_Prop!$J:$J,"",0,1))</f>
        <v/>
      </c>
      <c r="T825" s="4" t="str">
        <f t="array" ref="T825">IF($E825="","", XLOOKUP(SUMIFS(Prod_Prop!$A:$A,Prod_Prop!$B:$B,$E825,Prod_Prop!$H:$H,T$1,Prod_Prop!$I:$I,"Exacto"),Prod_Prop!$A:$A,Prod_Prop!$J:$J,"",0,1))</f>
        <v/>
      </c>
      <c r="U825" s="4" t="str">
        <f t="array" ref="U825">IF($E825="","", XLOOKUP(SUMIFS(Prod_Prop!$A:$A,Prod_Prop!$B:$B,$E825,Prod_Prop!$H:$H,U$1,Prod_Prop!$I:$I,"Exacto"),Prod_Prop!$A:$A,Prod_Prop!$J:$J,"",0,1))</f>
        <v/>
      </c>
      <c r="V825" s="4" t="str">
        <f t="array" ref="V825">IF($E825="","", XLOOKUP(SUMIFS(Prod_Prop!$A:$A,Prod_Prop!$B:$B,$E825,Prod_Prop!$H:$H,V$1,Prod_Prop!$I:$I,"Exacto"),Prod_Prop!$A:$A,Prod_Prop!$J:$J,"",0,1))</f>
        <v/>
      </c>
      <c r="X825" s="3" t="str">
        <f>IFERROR(__xludf.DUMMYFUNCTION("IF(D825="""","""",IFERROR(TRANSPOSE(FILTER('Validaciones Cotizador'!U:U,'Validaciones Cotizador'!O:O=D825,'Validaciones Cotizador'!T:T=""x"")),""Finalizar""))"),"")</f>
        <v/>
      </c>
    </row>
    <row r="826">
      <c r="A826" s="2" t="str">
        <f t="array" ref="A826">IF(E826="","",XLOOKUP(D826,'Validaciones Cotizador'!C:C,'Validaciones Cotizador'!A:A,"",0,1))</f>
        <v/>
      </c>
      <c r="B826" s="2" t="str">
        <f t="array" ref="B826">IF(F826="","",XLOOKUP(F826,Productos!E:E,Productos!G:G,"",0,1))</f>
        <v/>
      </c>
      <c r="C826" s="2" t="str">
        <f>IF(A826="","",SUMIFS('Validaciones Cotizador'!B:B,'Validaciones Cotizador'!C:C,D826,'Validaciones Cotizador'!A:A,A826))</f>
        <v/>
      </c>
      <c r="D826" s="4" t="str">
        <f>IFERROR(__xludf.DUMMYFUNCTION("IF(OR(F825=""Finalizar"",F825="""",F825=""Selecciona..""),"""",IF(OR(F825=""-"",INDEX(filter(Familias!F:F,Familias!D:D=A825,Familias!E:E=C825),1)=""O""),D825+1,D825))"),"")</f>
        <v/>
      </c>
      <c r="E826" s="2" t="str">
        <f>IF(OR(F826="",F826="Selecciona.."),"",IF(D826="Implemento",SUMIF(Implementos!B:B,F826,Implementos!A:A),SUMIF(Productos!E:E,F826,Productos!A:A)))</f>
        <v/>
      </c>
      <c r="F826" s="2" t="str">
        <f t="shared" si="2"/>
        <v/>
      </c>
      <c r="G826" s="10" t="str">
        <f t="array" ref="G826">IF(OR(F826="",F826="-",F826="Selecciona..",F826="Finalizar"),"",IF(A826="Rodados",XLOOKUP(B826,'Validaciones Cotizador'!I:I,'Validaciones Cotizador'!J:J,0,0,1),1))</f>
        <v/>
      </c>
      <c r="H826" s="11" t="str">
        <f>IF(OR(F826="",F826="Selecciona.."),"",SUMIF(Precio_Productos!K:K,E826,Precio_Productos!J:J)*G826)</f>
        <v/>
      </c>
      <c r="I826" s="4" t="str">
        <f t="array" ref="I826">IF($E826="","", XLOOKUP(SUMIFS(Prod_Prop!$A:$A,Prod_Prop!$B:$B,$E826,Prod_Prop!$H:$H,I$1,Prod_Prop!$I:$I,"Exacto"),Prod_Prop!$A:$A,Prod_Prop!$J:$J,"",0,1))</f>
        <v/>
      </c>
      <c r="J826" s="4" t="str">
        <f t="array" ref="J826">IF($E826="","", XLOOKUP(SUMIFS(Prod_Prop!$A:$A,Prod_Prop!$B:$B,$E826,Prod_Prop!$H:$H,J$1,Prod_Prop!$I:$I,"Exacto"),Prod_Prop!$A:$A,Prod_Prop!$J:$J,"",0,1))</f>
        <v/>
      </c>
      <c r="K826" s="4" t="str">
        <f t="array" ref="K826">IF($E826="","", XLOOKUP(SUMIFS(Prod_Prop!$A:$A,Prod_Prop!$B:$B,$E826,Prod_Prop!$H:$H,K$1,Prod_Prop!$I:$I,"Exacto"),Prod_Prop!$A:$A,Prod_Prop!$J:$J,"",0,1))</f>
        <v/>
      </c>
      <c r="L826" s="4" t="str">
        <f t="array" ref="L826">IF($E826="","", XLOOKUP(SUMIFS(Prod_Prop!$A:$A,Prod_Prop!$B:$B,$E826,Prod_Prop!$H:$H,L$1,Prod_Prop!$I:$I,"Exacto"),Prod_Prop!$A:$A,Prod_Prop!$J:$J,"",0,1))</f>
        <v/>
      </c>
      <c r="M826" s="4" t="str">
        <f t="array" ref="M826">IF($E826="","", XLOOKUP(SUMIFS(Prod_Prop!$A:$A,Prod_Prop!$B:$B,$E826,Prod_Prop!$H:$H,M$1,Prod_Prop!$I:$I,"Exacto"),Prod_Prop!$A:$A,Prod_Prop!$J:$J,"",0,1))</f>
        <v/>
      </c>
      <c r="N826" s="4" t="str">
        <f t="array" ref="N826">IF($E826="","", XLOOKUP(SUMIFS(Prod_Prop!$A:$A,Prod_Prop!$B:$B,$E826,Prod_Prop!$H:$H,N$1,Prod_Prop!$I:$I,"Exacto"),Prod_Prop!$A:$A,Prod_Prop!$J:$J,"",0,1))</f>
        <v/>
      </c>
      <c r="O826" s="4" t="str">
        <f t="array" ref="O826">IF($E826="","", XLOOKUP(SUMIFS(Prod_Prop!$A:$A,Prod_Prop!$B:$B,$E826,Prod_Prop!$H:$H,O$1,Prod_Prop!$I:$I,"Exacto"),Prod_Prop!$A:$A,Prod_Prop!$J:$J,"",0,1))</f>
        <v/>
      </c>
      <c r="P826" s="4" t="str">
        <f t="array" ref="P826">IF($E826="","", XLOOKUP(SUMIFS(Prod_Prop!$A:$A,Prod_Prop!$B:$B,$E826,Prod_Prop!$H:$H,P$1,Prod_Prop!$I:$I,"Exacto"),Prod_Prop!$A:$A,Prod_Prop!$J:$J,"",0,1))</f>
        <v/>
      </c>
      <c r="Q826" s="4" t="str">
        <f t="array" ref="Q826">IF($E826="","", XLOOKUP(SUMIFS(Prod_Prop!$A:$A,Prod_Prop!$B:$B,$E826,Prod_Prop!$H:$H,Q$1,Prod_Prop!$I:$I,"Exacto"),Prod_Prop!$A:$A,Prod_Prop!$J:$J,"",0,1))</f>
        <v/>
      </c>
      <c r="R826" s="4" t="str">
        <f t="array" ref="R826">IF($E826="","", XLOOKUP(SUMIFS(Prod_Prop!$A:$A,Prod_Prop!$B:$B,$E826,Prod_Prop!$H:$H,R$1,Prod_Prop!$I:$I,"Exacto"),Prod_Prop!$A:$A,Prod_Prop!$J:$J,"",0,1))</f>
        <v/>
      </c>
      <c r="S826" s="4" t="str">
        <f t="array" ref="S826">IF($E826="","", XLOOKUP(SUMIFS(Prod_Prop!$A:$A,Prod_Prop!$B:$B,$E826,Prod_Prop!$H:$H,S$1,Prod_Prop!$I:$I,"Exacto"),Prod_Prop!$A:$A,Prod_Prop!$J:$J,"",0,1))</f>
        <v/>
      </c>
      <c r="T826" s="4" t="str">
        <f t="array" ref="T826">IF($E826="","", XLOOKUP(SUMIFS(Prod_Prop!$A:$A,Prod_Prop!$B:$B,$E826,Prod_Prop!$H:$H,T$1,Prod_Prop!$I:$I,"Exacto"),Prod_Prop!$A:$A,Prod_Prop!$J:$J,"",0,1))</f>
        <v/>
      </c>
      <c r="U826" s="4" t="str">
        <f t="array" ref="U826">IF($E826="","", XLOOKUP(SUMIFS(Prod_Prop!$A:$A,Prod_Prop!$B:$B,$E826,Prod_Prop!$H:$H,U$1,Prod_Prop!$I:$I,"Exacto"),Prod_Prop!$A:$A,Prod_Prop!$J:$J,"",0,1))</f>
        <v/>
      </c>
      <c r="V826" s="4" t="str">
        <f t="array" ref="V826">IF($E826="","", XLOOKUP(SUMIFS(Prod_Prop!$A:$A,Prod_Prop!$B:$B,$E826,Prod_Prop!$H:$H,V$1,Prod_Prop!$I:$I,"Exacto"),Prod_Prop!$A:$A,Prod_Prop!$J:$J,"",0,1))</f>
        <v/>
      </c>
      <c r="X826" s="3" t="str">
        <f>IFERROR(__xludf.DUMMYFUNCTION("IF(D826="""","""",IFERROR(TRANSPOSE(FILTER('Validaciones Cotizador'!U:U,'Validaciones Cotizador'!O:O=D826,'Validaciones Cotizador'!T:T=""x"")),""Finalizar""))"),"")</f>
        <v/>
      </c>
    </row>
    <row r="827">
      <c r="A827" s="2" t="str">
        <f t="array" ref="A827">IF(E827="","",XLOOKUP(D827,'Validaciones Cotizador'!C:C,'Validaciones Cotizador'!A:A,"",0,1))</f>
        <v/>
      </c>
      <c r="B827" s="2" t="str">
        <f t="array" ref="B827">IF(F827="","",XLOOKUP(F827,Productos!E:E,Productos!G:G,"",0,1))</f>
        <v/>
      </c>
      <c r="C827" s="2" t="str">
        <f>IF(A827="","",SUMIFS('Validaciones Cotizador'!B:B,'Validaciones Cotizador'!C:C,D827,'Validaciones Cotizador'!A:A,A827))</f>
        <v/>
      </c>
      <c r="D827" s="4" t="str">
        <f>IFERROR(__xludf.DUMMYFUNCTION("IF(OR(F826=""Finalizar"",F826="""",F826=""Selecciona..""),"""",IF(OR(F826=""-"",INDEX(filter(Familias!F:F,Familias!D:D=A826,Familias!E:E=C826),1)=""O""),D826+1,D826))"),"")</f>
        <v/>
      </c>
      <c r="E827" s="2" t="str">
        <f>IF(OR(F827="",F827="Selecciona.."),"",IF(D827="Implemento",SUMIF(Implementos!B:B,F827,Implementos!A:A),SUMIF(Productos!E:E,F827,Productos!A:A)))</f>
        <v/>
      </c>
      <c r="F827" s="2" t="str">
        <f t="shared" si="2"/>
        <v/>
      </c>
      <c r="G827" s="10" t="str">
        <f t="array" ref="G827">IF(OR(F827="",F827="-",F827="Selecciona..",F827="Finalizar"),"",IF(A827="Rodados",XLOOKUP(B827,'Validaciones Cotizador'!I:I,'Validaciones Cotizador'!J:J,0,0,1),1))</f>
        <v/>
      </c>
      <c r="H827" s="11" t="str">
        <f>IF(OR(F827="",F827="Selecciona.."),"",SUMIF(Precio_Productos!K:K,E827,Precio_Productos!J:J)*G827)</f>
        <v/>
      </c>
      <c r="I827" s="4" t="str">
        <f t="array" ref="I827">IF($E827="","", XLOOKUP(SUMIFS(Prod_Prop!$A:$A,Prod_Prop!$B:$B,$E827,Prod_Prop!$H:$H,I$1,Prod_Prop!$I:$I,"Exacto"),Prod_Prop!$A:$A,Prod_Prop!$J:$J,"",0,1))</f>
        <v/>
      </c>
      <c r="J827" s="4" t="str">
        <f t="array" ref="J827">IF($E827="","", XLOOKUP(SUMIFS(Prod_Prop!$A:$A,Prod_Prop!$B:$B,$E827,Prod_Prop!$H:$H,J$1,Prod_Prop!$I:$I,"Exacto"),Prod_Prop!$A:$A,Prod_Prop!$J:$J,"",0,1))</f>
        <v/>
      </c>
      <c r="K827" s="4" t="str">
        <f t="array" ref="K827">IF($E827="","", XLOOKUP(SUMIFS(Prod_Prop!$A:$A,Prod_Prop!$B:$B,$E827,Prod_Prop!$H:$H,K$1,Prod_Prop!$I:$I,"Exacto"),Prod_Prop!$A:$A,Prod_Prop!$J:$J,"",0,1))</f>
        <v/>
      </c>
      <c r="L827" s="4" t="str">
        <f t="array" ref="L827">IF($E827="","", XLOOKUP(SUMIFS(Prod_Prop!$A:$A,Prod_Prop!$B:$B,$E827,Prod_Prop!$H:$H,L$1,Prod_Prop!$I:$I,"Exacto"),Prod_Prop!$A:$A,Prod_Prop!$J:$J,"",0,1))</f>
        <v/>
      </c>
      <c r="M827" s="4" t="str">
        <f t="array" ref="M827">IF($E827="","", XLOOKUP(SUMIFS(Prod_Prop!$A:$A,Prod_Prop!$B:$B,$E827,Prod_Prop!$H:$H,M$1,Prod_Prop!$I:$I,"Exacto"),Prod_Prop!$A:$A,Prod_Prop!$J:$J,"",0,1))</f>
        <v/>
      </c>
      <c r="N827" s="4" t="str">
        <f t="array" ref="N827">IF($E827="","", XLOOKUP(SUMIFS(Prod_Prop!$A:$A,Prod_Prop!$B:$B,$E827,Prod_Prop!$H:$H,N$1,Prod_Prop!$I:$I,"Exacto"),Prod_Prop!$A:$A,Prod_Prop!$J:$J,"",0,1))</f>
        <v/>
      </c>
      <c r="O827" s="4" t="str">
        <f t="array" ref="O827">IF($E827="","", XLOOKUP(SUMIFS(Prod_Prop!$A:$A,Prod_Prop!$B:$B,$E827,Prod_Prop!$H:$H,O$1,Prod_Prop!$I:$I,"Exacto"),Prod_Prop!$A:$A,Prod_Prop!$J:$J,"",0,1))</f>
        <v/>
      </c>
      <c r="P827" s="4" t="str">
        <f t="array" ref="P827">IF($E827="","", XLOOKUP(SUMIFS(Prod_Prop!$A:$A,Prod_Prop!$B:$B,$E827,Prod_Prop!$H:$H,P$1,Prod_Prop!$I:$I,"Exacto"),Prod_Prop!$A:$A,Prod_Prop!$J:$J,"",0,1))</f>
        <v/>
      </c>
      <c r="Q827" s="4" t="str">
        <f t="array" ref="Q827">IF($E827="","", XLOOKUP(SUMIFS(Prod_Prop!$A:$A,Prod_Prop!$B:$B,$E827,Prod_Prop!$H:$H,Q$1,Prod_Prop!$I:$I,"Exacto"),Prod_Prop!$A:$A,Prod_Prop!$J:$J,"",0,1))</f>
        <v/>
      </c>
      <c r="R827" s="4" t="str">
        <f t="array" ref="R827">IF($E827="","", XLOOKUP(SUMIFS(Prod_Prop!$A:$A,Prod_Prop!$B:$B,$E827,Prod_Prop!$H:$H,R$1,Prod_Prop!$I:$I,"Exacto"),Prod_Prop!$A:$A,Prod_Prop!$J:$J,"",0,1))</f>
        <v/>
      </c>
      <c r="S827" s="4" t="str">
        <f t="array" ref="S827">IF($E827="","", XLOOKUP(SUMIFS(Prod_Prop!$A:$A,Prod_Prop!$B:$B,$E827,Prod_Prop!$H:$H,S$1,Prod_Prop!$I:$I,"Exacto"),Prod_Prop!$A:$A,Prod_Prop!$J:$J,"",0,1))</f>
        <v/>
      </c>
      <c r="T827" s="4" t="str">
        <f t="array" ref="T827">IF($E827="","", XLOOKUP(SUMIFS(Prod_Prop!$A:$A,Prod_Prop!$B:$B,$E827,Prod_Prop!$H:$H,T$1,Prod_Prop!$I:$I,"Exacto"),Prod_Prop!$A:$A,Prod_Prop!$J:$J,"",0,1))</f>
        <v/>
      </c>
      <c r="U827" s="4" t="str">
        <f t="array" ref="U827">IF($E827="","", XLOOKUP(SUMIFS(Prod_Prop!$A:$A,Prod_Prop!$B:$B,$E827,Prod_Prop!$H:$H,U$1,Prod_Prop!$I:$I,"Exacto"),Prod_Prop!$A:$A,Prod_Prop!$J:$J,"",0,1))</f>
        <v/>
      </c>
      <c r="V827" s="4" t="str">
        <f t="array" ref="V827">IF($E827="","", XLOOKUP(SUMIFS(Prod_Prop!$A:$A,Prod_Prop!$B:$B,$E827,Prod_Prop!$H:$H,V$1,Prod_Prop!$I:$I,"Exacto"),Prod_Prop!$A:$A,Prod_Prop!$J:$J,"",0,1))</f>
        <v/>
      </c>
      <c r="X827" s="3" t="str">
        <f>IFERROR(__xludf.DUMMYFUNCTION("IF(D827="""","""",IFERROR(TRANSPOSE(FILTER('Validaciones Cotizador'!U:U,'Validaciones Cotizador'!O:O=D827,'Validaciones Cotizador'!T:T=""x"")),""Finalizar""))"),"")</f>
        <v/>
      </c>
    </row>
    <row r="828">
      <c r="A828" s="2" t="str">
        <f t="array" ref="A828">IF(E828="","",XLOOKUP(D828,'Validaciones Cotizador'!C:C,'Validaciones Cotizador'!A:A,"",0,1))</f>
        <v/>
      </c>
      <c r="B828" s="2" t="str">
        <f t="array" ref="B828">IF(F828="","",XLOOKUP(F828,Productos!E:E,Productos!G:G,"",0,1))</f>
        <v/>
      </c>
      <c r="C828" s="2" t="str">
        <f>IF(A828="","",SUMIFS('Validaciones Cotizador'!B:B,'Validaciones Cotizador'!C:C,D828,'Validaciones Cotizador'!A:A,A828))</f>
        <v/>
      </c>
      <c r="D828" s="4" t="str">
        <f>IFERROR(__xludf.DUMMYFUNCTION("IF(OR(F827=""Finalizar"",F827="""",F827=""Selecciona..""),"""",IF(OR(F827=""-"",INDEX(filter(Familias!F:F,Familias!D:D=A827,Familias!E:E=C827),1)=""O""),D827+1,D827))"),"")</f>
        <v/>
      </c>
      <c r="E828" s="2" t="str">
        <f>IF(OR(F828="",F828="Selecciona.."),"",IF(D828="Implemento",SUMIF(Implementos!B:B,F828,Implementos!A:A),SUMIF(Productos!E:E,F828,Productos!A:A)))</f>
        <v/>
      </c>
      <c r="F828" s="2" t="str">
        <f t="shared" si="2"/>
        <v/>
      </c>
      <c r="G828" s="10" t="str">
        <f t="array" ref="G828">IF(OR(F828="",F828="-",F828="Selecciona..",F828="Finalizar"),"",IF(A828="Rodados",XLOOKUP(B828,'Validaciones Cotizador'!I:I,'Validaciones Cotizador'!J:J,0,0,1),1))</f>
        <v/>
      </c>
      <c r="H828" s="11" t="str">
        <f>IF(OR(F828="",F828="Selecciona.."),"",SUMIF(Precio_Productos!K:K,E828,Precio_Productos!J:J)*G828)</f>
        <v/>
      </c>
      <c r="I828" s="4" t="str">
        <f t="array" ref="I828">IF($E828="","", XLOOKUP(SUMIFS(Prod_Prop!$A:$A,Prod_Prop!$B:$B,$E828,Prod_Prop!$H:$H,I$1,Prod_Prop!$I:$I,"Exacto"),Prod_Prop!$A:$A,Prod_Prop!$J:$J,"",0,1))</f>
        <v/>
      </c>
      <c r="J828" s="4" t="str">
        <f t="array" ref="J828">IF($E828="","", XLOOKUP(SUMIFS(Prod_Prop!$A:$A,Prod_Prop!$B:$B,$E828,Prod_Prop!$H:$H,J$1,Prod_Prop!$I:$I,"Exacto"),Prod_Prop!$A:$A,Prod_Prop!$J:$J,"",0,1))</f>
        <v/>
      </c>
      <c r="K828" s="4" t="str">
        <f t="array" ref="K828">IF($E828="","", XLOOKUP(SUMIFS(Prod_Prop!$A:$A,Prod_Prop!$B:$B,$E828,Prod_Prop!$H:$H,K$1,Prod_Prop!$I:$I,"Exacto"),Prod_Prop!$A:$A,Prod_Prop!$J:$J,"",0,1))</f>
        <v/>
      </c>
      <c r="L828" s="4" t="str">
        <f t="array" ref="L828">IF($E828="","", XLOOKUP(SUMIFS(Prod_Prop!$A:$A,Prod_Prop!$B:$B,$E828,Prod_Prop!$H:$H,L$1,Prod_Prop!$I:$I,"Exacto"),Prod_Prop!$A:$A,Prod_Prop!$J:$J,"",0,1))</f>
        <v/>
      </c>
      <c r="M828" s="4" t="str">
        <f t="array" ref="M828">IF($E828="","", XLOOKUP(SUMIFS(Prod_Prop!$A:$A,Prod_Prop!$B:$B,$E828,Prod_Prop!$H:$H,M$1,Prod_Prop!$I:$I,"Exacto"),Prod_Prop!$A:$A,Prod_Prop!$J:$J,"",0,1))</f>
        <v/>
      </c>
      <c r="N828" s="4" t="str">
        <f t="array" ref="N828">IF($E828="","", XLOOKUP(SUMIFS(Prod_Prop!$A:$A,Prod_Prop!$B:$B,$E828,Prod_Prop!$H:$H,N$1,Prod_Prop!$I:$I,"Exacto"),Prod_Prop!$A:$A,Prod_Prop!$J:$J,"",0,1))</f>
        <v/>
      </c>
      <c r="O828" s="4" t="str">
        <f t="array" ref="O828">IF($E828="","", XLOOKUP(SUMIFS(Prod_Prop!$A:$A,Prod_Prop!$B:$B,$E828,Prod_Prop!$H:$H,O$1,Prod_Prop!$I:$I,"Exacto"),Prod_Prop!$A:$A,Prod_Prop!$J:$J,"",0,1))</f>
        <v/>
      </c>
      <c r="P828" s="4" t="str">
        <f t="array" ref="P828">IF($E828="","", XLOOKUP(SUMIFS(Prod_Prop!$A:$A,Prod_Prop!$B:$B,$E828,Prod_Prop!$H:$H,P$1,Prod_Prop!$I:$I,"Exacto"),Prod_Prop!$A:$A,Prod_Prop!$J:$J,"",0,1))</f>
        <v/>
      </c>
      <c r="Q828" s="4" t="str">
        <f t="array" ref="Q828">IF($E828="","", XLOOKUP(SUMIFS(Prod_Prop!$A:$A,Prod_Prop!$B:$B,$E828,Prod_Prop!$H:$H,Q$1,Prod_Prop!$I:$I,"Exacto"),Prod_Prop!$A:$A,Prod_Prop!$J:$J,"",0,1))</f>
        <v/>
      </c>
      <c r="R828" s="4" t="str">
        <f t="array" ref="R828">IF($E828="","", XLOOKUP(SUMIFS(Prod_Prop!$A:$A,Prod_Prop!$B:$B,$E828,Prod_Prop!$H:$H,R$1,Prod_Prop!$I:$I,"Exacto"),Prod_Prop!$A:$A,Prod_Prop!$J:$J,"",0,1))</f>
        <v/>
      </c>
      <c r="S828" s="4" t="str">
        <f t="array" ref="S828">IF($E828="","", XLOOKUP(SUMIFS(Prod_Prop!$A:$A,Prod_Prop!$B:$B,$E828,Prod_Prop!$H:$H,S$1,Prod_Prop!$I:$I,"Exacto"),Prod_Prop!$A:$A,Prod_Prop!$J:$J,"",0,1))</f>
        <v/>
      </c>
      <c r="T828" s="4" t="str">
        <f t="array" ref="T828">IF($E828="","", XLOOKUP(SUMIFS(Prod_Prop!$A:$A,Prod_Prop!$B:$B,$E828,Prod_Prop!$H:$H,T$1,Prod_Prop!$I:$I,"Exacto"),Prod_Prop!$A:$A,Prod_Prop!$J:$J,"",0,1))</f>
        <v/>
      </c>
      <c r="U828" s="4" t="str">
        <f t="array" ref="U828">IF($E828="","", XLOOKUP(SUMIFS(Prod_Prop!$A:$A,Prod_Prop!$B:$B,$E828,Prod_Prop!$H:$H,U$1,Prod_Prop!$I:$I,"Exacto"),Prod_Prop!$A:$A,Prod_Prop!$J:$J,"",0,1))</f>
        <v/>
      </c>
      <c r="V828" s="4" t="str">
        <f t="array" ref="V828">IF($E828="","", XLOOKUP(SUMIFS(Prod_Prop!$A:$A,Prod_Prop!$B:$B,$E828,Prod_Prop!$H:$H,V$1,Prod_Prop!$I:$I,"Exacto"),Prod_Prop!$A:$A,Prod_Prop!$J:$J,"",0,1))</f>
        <v/>
      </c>
      <c r="X828" s="3" t="str">
        <f>IFERROR(__xludf.DUMMYFUNCTION("IF(D828="""","""",IFERROR(TRANSPOSE(FILTER('Validaciones Cotizador'!U:U,'Validaciones Cotizador'!O:O=D828,'Validaciones Cotizador'!T:T=""x"")),""Finalizar""))"),"")</f>
        <v/>
      </c>
    </row>
    <row r="829">
      <c r="A829" s="2" t="str">
        <f t="array" ref="A829">IF(E829="","",XLOOKUP(D829,'Validaciones Cotizador'!C:C,'Validaciones Cotizador'!A:A,"",0,1))</f>
        <v/>
      </c>
      <c r="B829" s="2" t="str">
        <f t="array" ref="B829">IF(F829="","",XLOOKUP(F829,Productos!E:E,Productos!G:G,"",0,1))</f>
        <v/>
      </c>
      <c r="C829" s="2" t="str">
        <f>IF(A829="","",SUMIFS('Validaciones Cotizador'!B:B,'Validaciones Cotizador'!C:C,D829,'Validaciones Cotizador'!A:A,A829))</f>
        <v/>
      </c>
      <c r="D829" s="4" t="str">
        <f>IFERROR(__xludf.DUMMYFUNCTION("IF(OR(F828=""Finalizar"",F828="""",F828=""Selecciona..""),"""",IF(OR(F828=""-"",INDEX(filter(Familias!F:F,Familias!D:D=A828,Familias!E:E=C828),1)=""O""),D828+1,D828))"),"")</f>
        <v/>
      </c>
      <c r="E829" s="2" t="str">
        <f>IF(OR(F829="",F829="Selecciona.."),"",IF(D829="Implemento",SUMIF(Implementos!B:B,F829,Implementos!A:A),SUMIF(Productos!E:E,F829,Productos!A:A)))</f>
        <v/>
      </c>
      <c r="F829" s="2" t="str">
        <f t="shared" si="2"/>
        <v/>
      </c>
      <c r="G829" s="10" t="str">
        <f t="array" ref="G829">IF(OR(F829="",F829="-",F829="Selecciona..",F829="Finalizar"),"",IF(A829="Rodados",XLOOKUP(B829,'Validaciones Cotizador'!I:I,'Validaciones Cotizador'!J:J,0,0,1),1))</f>
        <v/>
      </c>
      <c r="H829" s="11" t="str">
        <f>IF(OR(F829="",F829="Selecciona.."),"",SUMIF(Precio_Productos!K:K,E829,Precio_Productos!J:J)*G829)</f>
        <v/>
      </c>
      <c r="I829" s="4" t="str">
        <f t="array" ref="I829">IF($E829="","", XLOOKUP(SUMIFS(Prod_Prop!$A:$A,Prod_Prop!$B:$B,$E829,Prod_Prop!$H:$H,I$1,Prod_Prop!$I:$I,"Exacto"),Prod_Prop!$A:$A,Prod_Prop!$J:$J,"",0,1))</f>
        <v/>
      </c>
      <c r="J829" s="4" t="str">
        <f t="array" ref="J829">IF($E829="","", XLOOKUP(SUMIFS(Prod_Prop!$A:$A,Prod_Prop!$B:$B,$E829,Prod_Prop!$H:$H,J$1,Prod_Prop!$I:$I,"Exacto"),Prod_Prop!$A:$A,Prod_Prop!$J:$J,"",0,1))</f>
        <v/>
      </c>
      <c r="K829" s="4" t="str">
        <f t="array" ref="K829">IF($E829="","", XLOOKUP(SUMIFS(Prod_Prop!$A:$A,Prod_Prop!$B:$B,$E829,Prod_Prop!$H:$H,K$1,Prod_Prop!$I:$I,"Exacto"),Prod_Prop!$A:$A,Prod_Prop!$J:$J,"",0,1))</f>
        <v/>
      </c>
      <c r="L829" s="4" t="str">
        <f t="array" ref="L829">IF($E829="","", XLOOKUP(SUMIFS(Prod_Prop!$A:$A,Prod_Prop!$B:$B,$E829,Prod_Prop!$H:$H,L$1,Prod_Prop!$I:$I,"Exacto"),Prod_Prop!$A:$A,Prod_Prop!$J:$J,"",0,1))</f>
        <v/>
      </c>
      <c r="M829" s="4" t="str">
        <f t="array" ref="M829">IF($E829="","", XLOOKUP(SUMIFS(Prod_Prop!$A:$A,Prod_Prop!$B:$B,$E829,Prod_Prop!$H:$H,M$1,Prod_Prop!$I:$I,"Exacto"),Prod_Prop!$A:$A,Prod_Prop!$J:$J,"",0,1))</f>
        <v/>
      </c>
      <c r="N829" s="4" t="str">
        <f t="array" ref="N829">IF($E829="","", XLOOKUP(SUMIFS(Prod_Prop!$A:$A,Prod_Prop!$B:$B,$E829,Prod_Prop!$H:$H,N$1,Prod_Prop!$I:$I,"Exacto"),Prod_Prop!$A:$A,Prod_Prop!$J:$J,"",0,1))</f>
        <v/>
      </c>
      <c r="O829" s="4" t="str">
        <f t="array" ref="O829">IF($E829="","", XLOOKUP(SUMIFS(Prod_Prop!$A:$A,Prod_Prop!$B:$B,$E829,Prod_Prop!$H:$H,O$1,Prod_Prop!$I:$I,"Exacto"),Prod_Prop!$A:$A,Prod_Prop!$J:$J,"",0,1))</f>
        <v/>
      </c>
      <c r="P829" s="4" t="str">
        <f t="array" ref="P829">IF($E829="","", XLOOKUP(SUMIFS(Prod_Prop!$A:$A,Prod_Prop!$B:$B,$E829,Prod_Prop!$H:$H,P$1,Prod_Prop!$I:$I,"Exacto"),Prod_Prop!$A:$A,Prod_Prop!$J:$J,"",0,1))</f>
        <v/>
      </c>
      <c r="Q829" s="4" t="str">
        <f t="array" ref="Q829">IF($E829="","", XLOOKUP(SUMIFS(Prod_Prop!$A:$A,Prod_Prop!$B:$B,$E829,Prod_Prop!$H:$H,Q$1,Prod_Prop!$I:$I,"Exacto"),Prod_Prop!$A:$A,Prod_Prop!$J:$J,"",0,1))</f>
        <v/>
      </c>
      <c r="R829" s="4" t="str">
        <f t="array" ref="R829">IF($E829="","", XLOOKUP(SUMIFS(Prod_Prop!$A:$A,Prod_Prop!$B:$B,$E829,Prod_Prop!$H:$H,R$1,Prod_Prop!$I:$I,"Exacto"),Prod_Prop!$A:$A,Prod_Prop!$J:$J,"",0,1))</f>
        <v/>
      </c>
      <c r="S829" s="4" t="str">
        <f t="array" ref="S829">IF($E829="","", XLOOKUP(SUMIFS(Prod_Prop!$A:$A,Prod_Prop!$B:$B,$E829,Prod_Prop!$H:$H,S$1,Prod_Prop!$I:$I,"Exacto"),Prod_Prop!$A:$A,Prod_Prop!$J:$J,"",0,1))</f>
        <v/>
      </c>
      <c r="T829" s="4" t="str">
        <f t="array" ref="T829">IF($E829="","", XLOOKUP(SUMIFS(Prod_Prop!$A:$A,Prod_Prop!$B:$B,$E829,Prod_Prop!$H:$H,T$1,Prod_Prop!$I:$I,"Exacto"),Prod_Prop!$A:$A,Prod_Prop!$J:$J,"",0,1))</f>
        <v/>
      </c>
      <c r="U829" s="4" t="str">
        <f t="array" ref="U829">IF($E829="","", XLOOKUP(SUMIFS(Prod_Prop!$A:$A,Prod_Prop!$B:$B,$E829,Prod_Prop!$H:$H,U$1,Prod_Prop!$I:$I,"Exacto"),Prod_Prop!$A:$A,Prod_Prop!$J:$J,"",0,1))</f>
        <v/>
      </c>
      <c r="V829" s="4" t="str">
        <f t="array" ref="V829">IF($E829="","", XLOOKUP(SUMIFS(Prod_Prop!$A:$A,Prod_Prop!$B:$B,$E829,Prod_Prop!$H:$H,V$1,Prod_Prop!$I:$I,"Exacto"),Prod_Prop!$A:$A,Prod_Prop!$J:$J,"",0,1))</f>
        <v/>
      </c>
      <c r="X829" s="3" t="str">
        <f>IFERROR(__xludf.DUMMYFUNCTION("IF(D829="""","""",IFERROR(TRANSPOSE(FILTER('Validaciones Cotizador'!U:U,'Validaciones Cotizador'!O:O=D829,'Validaciones Cotizador'!T:T=""x"")),""Finalizar""))"),"")</f>
        <v/>
      </c>
    </row>
    <row r="830">
      <c r="A830" s="2" t="str">
        <f t="array" ref="A830">IF(E830="","",XLOOKUP(D830,'Validaciones Cotizador'!C:C,'Validaciones Cotizador'!A:A,"",0,1))</f>
        <v/>
      </c>
      <c r="B830" s="2" t="str">
        <f t="array" ref="B830">IF(F830="","",XLOOKUP(F830,Productos!E:E,Productos!G:G,"",0,1))</f>
        <v/>
      </c>
      <c r="C830" s="2" t="str">
        <f>IF(A830="","",SUMIFS('Validaciones Cotizador'!B:B,'Validaciones Cotizador'!C:C,D830,'Validaciones Cotizador'!A:A,A830))</f>
        <v/>
      </c>
      <c r="D830" s="4" t="str">
        <f>IFERROR(__xludf.DUMMYFUNCTION("IF(OR(F829=""Finalizar"",F829="""",F829=""Selecciona..""),"""",IF(OR(F829=""-"",INDEX(filter(Familias!F:F,Familias!D:D=A829,Familias!E:E=C829),1)=""O""),D829+1,D829))"),"")</f>
        <v/>
      </c>
      <c r="E830" s="2" t="str">
        <f>IF(OR(F830="",F830="Selecciona.."),"",IF(D830="Implemento",SUMIF(Implementos!B:B,F830,Implementos!A:A),SUMIF(Productos!E:E,F830,Productos!A:A)))</f>
        <v/>
      </c>
      <c r="F830" s="2" t="str">
        <f t="shared" si="2"/>
        <v/>
      </c>
      <c r="G830" s="10" t="str">
        <f t="array" ref="G830">IF(OR(F830="",F830="-",F830="Selecciona..",F830="Finalizar"),"",IF(A830="Rodados",XLOOKUP(B830,'Validaciones Cotizador'!I:I,'Validaciones Cotizador'!J:J,0,0,1),1))</f>
        <v/>
      </c>
      <c r="H830" s="11" t="str">
        <f>IF(OR(F830="",F830="Selecciona.."),"",SUMIF(Precio_Productos!K:K,E830,Precio_Productos!J:J)*G830)</f>
        <v/>
      </c>
      <c r="I830" s="4" t="str">
        <f t="array" ref="I830">IF($E830="","", XLOOKUP(SUMIFS(Prod_Prop!$A:$A,Prod_Prop!$B:$B,$E830,Prod_Prop!$H:$H,I$1,Prod_Prop!$I:$I,"Exacto"),Prod_Prop!$A:$A,Prod_Prop!$J:$J,"",0,1))</f>
        <v/>
      </c>
      <c r="J830" s="4" t="str">
        <f t="array" ref="J830">IF($E830="","", XLOOKUP(SUMIFS(Prod_Prop!$A:$A,Prod_Prop!$B:$B,$E830,Prod_Prop!$H:$H,J$1,Prod_Prop!$I:$I,"Exacto"),Prod_Prop!$A:$A,Prod_Prop!$J:$J,"",0,1))</f>
        <v/>
      </c>
      <c r="K830" s="4" t="str">
        <f t="array" ref="K830">IF($E830="","", XLOOKUP(SUMIFS(Prod_Prop!$A:$A,Prod_Prop!$B:$B,$E830,Prod_Prop!$H:$H,K$1,Prod_Prop!$I:$I,"Exacto"),Prod_Prop!$A:$A,Prod_Prop!$J:$J,"",0,1))</f>
        <v/>
      </c>
      <c r="L830" s="4" t="str">
        <f t="array" ref="L830">IF($E830="","", XLOOKUP(SUMIFS(Prod_Prop!$A:$A,Prod_Prop!$B:$B,$E830,Prod_Prop!$H:$H,L$1,Prod_Prop!$I:$I,"Exacto"),Prod_Prop!$A:$A,Prod_Prop!$J:$J,"",0,1))</f>
        <v/>
      </c>
      <c r="M830" s="4" t="str">
        <f t="array" ref="M830">IF($E830="","", XLOOKUP(SUMIFS(Prod_Prop!$A:$A,Prod_Prop!$B:$B,$E830,Prod_Prop!$H:$H,M$1,Prod_Prop!$I:$I,"Exacto"),Prod_Prop!$A:$A,Prod_Prop!$J:$J,"",0,1))</f>
        <v/>
      </c>
      <c r="N830" s="4" t="str">
        <f t="array" ref="N830">IF($E830="","", XLOOKUP(SUMIFS(Prod_Prop!$A:$A,Prod_Prop!$B:$B,$E830,Prod_Prop!$H:$H,N$1,Prod_Prop!$I:$I,"Exacto"),Prod_Prop!$A:$A,Prod_Prop!$J:$J,"",0,1))</f>
        <v/>
      </c>
      <c r="O830" s="4" t="str">
        <f t="array" ref="O830">IF($E830="","", XLOOKUP(SUMIFS(Prod_Prop!$A:$A,Prod_Prop!$B:$B,$E830,Prod_Prop!$H:$H,O$1,Prod_Prop!$I:$I,"Exacto"),Prod_Prop!$A:$A,Prod_Prop!$J:$J,"",0,1))</f>
        <v/>
      </c>
      <c r="P830" s="4" t="str">
        <f t="array" ref="P830">IF($E830="","", XLOOKUP(SUMIFS(Prod_Prop!$A:$A,Prod_Prop!$B:$B,$E830,Prod_Prop!$H:$H,P$1,Prod_Prop!$I:$I,"Exacto"),Prod_Prop!$A:$A,Prod_Prop!$J:$J,"",0,1))</f>
        <v/>
      </c>
      <c r="Q830" s="4" t="str">
        <f t="array" ref="Q830">IF($E830="","", XLOOKUP(SUMIFS(Prod_Prop!$A:$A,Prod_Prop!$B:$B,$E830,Prod_Prop!$H:$H,Q$1,Prod_Prop!$I:$I,"Exacto"),Prod_Prop!$A:$A,Prod_Prop!$J:$J,"",0,1))</f>
        <v/>
      </c>
      <c r="R830" s="4" t="str">
        <f t="array" ref="R830">IF($E830="","", XLOOKUP(SUMIFS(Prod_Prop!$A:$A,Prod_Prop!$B:$B,$E830,Prod_Prop!$H:$H,R$1,Prod_Prop!$I:$I,"Exacto"),Prod_Prop!$A:$A,Prod_Prop!$J:$J,"",0,1))</f>
        <v/>
      </c>
      <c r="S830" s="4" t="str">
        <f t="array" ref="S830">IF($E830="","", XLOOKUP(SUMIFS(Prod_Prop!$A:$A,Prod_Prop!$B:$B,$E830,Prod_Prop!$H:$H,S$1,Prod_Prop!$I:$I,"Exacto"),Prod_Prop!$A:$A,Prod_Prop!$J:$J,"",0,1))</f>
        <v/>
      </c>
      <c r="T830" s="4" t="str">
        <f t="array" ref="T830">IF($E830="","", XLOOKUP(SUMIFS(Prod_Prop!$A:$A,Prod_Prop!$B:$B,$E830,Prod_Prop!$H:$H,T$1,Prod_Prop!$I:$I,"Exacto"),Prod_Prop!$A:$A,Prod_Prop!$J:$J,"",0,1))</f>
        <v/>
      </c>
      <c r="U830" s="4" t="str">
        <f t="array" ref="U830">IF($E830="","", XLOOKUP(SUMIFS(Prod_Prop!$A:$A,Prod_Prop!$B:$B,$E830,Prod_Prop!$H:$H,U$1,Prod_Prop!$I:$I,"Exacto"),Prod_Prop!$A:$A,Prod_Prop!$J:$J,"",0,1))</f>
        <v/>
      </c>
      <c r="V830" s="4" t="str">
        <f t="array" ref="V830">IF($E830="","", XLOOKUP(SUMIFS(Prod_Prop!$A:$A,Prod_Prop!$B:$B,$E830,Prod_Prop!$H:$H,V$1,Prod_Prop!$I:$I,"Exacto"),Prod_Prop!$A:$A,Prod_Prop!$J:$J,"",0,1))</f>
        <v/>
      </c>
      <c r="X830" s="3" t="str">
        <f>IFERROR(__xludf.DUMMYFUNCTION("IF(D830="""","""",IFERROR(TRANSPOSE(FILTER('Validaciones Cotizador'!U:U,'Validaciones Cotizador'!O:O=D830,'Validaciones Cotizador'!T:T=""x"")),""Finalizar""))"),"")</f>
        <v/>
      </c>
    </row>
    <row r="831">
      <c r="A831" s="2" t="str">
        <f t="array" ref="A831">IF(E831="","",XLOOKUP(D831,'Validaciones Cotizador'!C:C,'Validaciones Cotizador'!A:A,"",0,1))</f>
        <v/>
      </c>
      <c r="B831" s="2" t="str">
        <f t="array" ref="B831">IF(F831="","",XLOOKUP(F831,Productos!E:E,Productos!G:G,"",0,1))</f>
        <v/>
      </c>
      <c r="C831" s="2" t="str">
        <f>IF(A831="","",SUMIFS('Validaciones Cotizador'!B:B,'Validaciones Cotizador'!C:C,D831,'Validaciones Cotizador'!A:A,A831))</f>
        <v/>
      </c>
      <c r="D831" s="4" t="str">
        <f>IFERROR(__xludf.DUMMYFUNCTION("IF(OR(F830=""Finalizar"",F830="""",F830=""Selecciona..""),"""",IF(OR(F830=""-"",INDEX(filter(Familias!F:F,Familias!D:D=A830,Familias!E:E=C830),1)=""O""),D830+1,D830))"),"")</f>
        <v/>
      </c>
      <c r="E831" s="2" t="str">
        <f>IF(OR(F831="",F831="Selecciona.."),"",IF(D831="Implemento",SUMIF(Implementos!B:B,F831,Implementos!A:A),SUMIF(Productos!E:E,F831,Productos!A:A)))</f>
        <v/>
      </c>
      <c r="F831" s="2" t="str">
        <f t="shared" si="2"/>
        <v/>
      </c>
      <c r="G831" s="10" t="str">
        <f t="array" ref="G831">IF(OR(F831="",F831="-",F831="Selecciona..",F831="Finalizar"),"",IF(A831="Rodados",XLOOKUP(B831,'Validaciones Cotizador'!I:I,'Validaciones Cotizador'!J:J,0,0,1),1))</f>
        <v/>
      </c>
      <c r="H831" s="11" t="str">
        <f>IF(OR(F831="",F831="Selecciona.."),"",SUMIF(Precio_Productos!K:K,E831,Precio_Productos!J:J)*G831)</f>
        <v/>
      </c>
      <c r="I831" s="4" t="str">
        <f t="array" ref="I831">IF($E831="","", XLOOKUP(SUMIFS(Prod_Prop!$A:$A,Prod_Prop!$B:$B,$E831,Prod_Prop!$H:$H,I$1,Prod_Prop!$I:$I,"Exacto"),Prod_Prop!$A:$A,Prod_Prop!$J:$J,"",0,1))</f>
        <v/>
      </c>
      <c r="J831" s="4" t="str">
        <f t="array" ref="J831">IF($E831="","", XLOOKUP(SUMIFS(Prod_Prop!$A:$A,Prod_Prop!$B:$B,$E831,Prod_Prop!$H:$H,J$1,Prod_Prop!$I:$I,"Exacto"),Prod_Prop!$A:$A,Prod_Prop!$J:$J,"",0,1))</f>
        <v/>
      </c>
      <c r="K831" s="4" t="str">
        <f t="array" ref="K831">IF($E831="","", XLOOKUP(SUMIFS(Prod_Prop!$A:$A,Prod_Prop!$B:$B,$E831,Prod_Prop!$H:$H,K$1,Prod_Prop!$I:$I,"Exacto"),Prod_Prop!$A:$A,Prod_Prop!$J:$J,"",0,1))</f>
        <v/>
      </c>
      <c r="L831" s="4" t="str">
        <f t="array" ref="L831">IF($E831="","", XLOOKUP(SUMIFS(Prod_Prop!$A:$A,Prod_Prop!$B:$B,$E831,Prod_Prop!$H:$H,L$1,Prod_Prop!$I:$I,"Exacto"),Prod_Prop!$A:$A,Prod_Prop!$J:$J,"",0,1))</f>
        <v/>
      </c>
      <c r="M831" s="4" t="str">
        <f t="array" ref="M831">IF($E831="","", XLOOKUP(SUMIFS(Prod_Prop!$A:$A,Prod_Prop!$B:$B,$E831,Prod_Prop!$H:$H,M$1,Prod_Prop!$I:$I,"Exacto"),Prod_Prop!$A:$A,Prod_Prop!$J:$J,"",0,1))</f>
        <v/>
      </c>
      <c r="N831" s="4" t="str">
        <f t="array" ref="N831">IF($E831="","", XLOOKUP(SUMIFS(Prod_Prop!$A:$A,Prod_Prop!$B:$B,$E831,Prod_Prop!$H:$H,N$1,Prod_Prop!$I:$I,"Exacto"),Prod_Prop!$A:$A,Prod_Prop!$J:$J,"",0,1))</f>
        <v/>
      </c>
      <c r="O831" s="4" t="str">
        <f t="array" ref="O831">IF($E831="","", XLOOKUP(SUMIFS(Prod_Prop!$A:$A,Prod_Prop!$B:$B,$E831,Prod_Prop!$H:$H,O$1,Prod_Prop!$I:$I,"Exacto"),Prod_Prop!$A:$A,Prod_Prop!$J:$J,"",0,1))</f>
        <v/>
      </c>
      <c r="P831" s="4" t="str">
        <f t="array" ref="P831">IF($E831="","", XLOOKUP(SUMIFS(Prod_Prop!$A:$A,Prod_Prop!$B:$B,$E831,Prod_Prop!$H:$H,P$1,Prod_Prop!$I:$I,"Exacto"),Prod_Prop!$A:$A,Prod_Prop!$J:$J,"",0,1))</f>
        <v/>
      </c>
      <c r="Q831" s="4" t="str">
        <f t="array" ref="Q831">IF($E831="","", XLOOKUP(SUMIFS(Prod_Prop!$A:$A,Prod_Prop!$B:$B,$E831,Prod_Prop!$H:$H,Q$1,Prod_Prop!$I:$I,"Exacto"),Prod_Prop!$A:$A,Prod_Prop!$J:$J,"",0,1))</f>
        <v/>
      </c>
      <c r="R831" s="4" t="str">
        <f t="array" ref="R831">IF($E831="","", XLOOKUP(SUMIFS(Prod_Prop!$A:$A,Prod_Prop!$B:$B,$E831,Prod_Prop!$H:$H,R$1,Prod_Prop!$I:$I,"Exacto"),Prod_Prop!$A:$A,Prod_Prop!$J:$J,"",0,1))</f>
        <v/>
      </c>
      <c r="S831" s="4" t="str">
        <f t="array" ref="S831">IF($E831="","", XLOOKUP(SUMIFS(Prod_Prop!$A:$A,Prod_Prop!$B:$B,$E831,Prod_Prop!$H:$H,S$1,Prod_Prop!$I:$I,"Exacto"),Prod_Prop!$A:$A,Prod_Prop!$J:$J,"",0,1))</f>
        <v/>
      </c>
      <c r="T831" s="4" t="str">
        <f t="array" ref="T831">IF($E831="","", XLOOKUP(SUMIFS(Prod_Prop!$A:$A,Prod_Prop!$B:$B,$E831,Prod_Prop!$H:$H,T$1,Prod_Prop!$I:$I,"Exacto"),Prod_Prop!$A:$A,Prod_Prop!$J:$J,"",0,1))</f>
        <v/>
      </c>
      <c r="U831" s="4" t="str">
        <f t="array" ref="U831">IF($E831="","", XLOOKUP(SUMIFS(Prod_Prop!$A:$A,Prod_Prop!$B:$B,$E831,Prod_Prop!$H:$H,U$1,Prod_Prop!$I:$I,"Exacto"),Prod_Prop!$A:$A,Prod_Prop!$J:$J,"",0,1))</f>
        <v/>
      </c>
      <c r="V831" s="4" t="str">
        <f t="array" ref="V831">IF($E831="","", XLOOKUP(SUMIFS(Prod_Prop!$A:$A,Prod_Prop!$B:$B,$E831,Prod_Prop!$H:$H,V$1,Prod_Prop!$I:$I,"Exacto"),Prod_Prop!$A:$A,Prod_Prop!$J:$J,"",0,1))</f>
        <v/>
      </c>
      <c r="X831" s="3" t="str">
        <f>IFERROR(__xludf.DUMMYFUNCTION("IF(D831="""","""",IFERROR(TRANSPOSE(FILTER('Validaciones Cotizador'!U:U,'Validaciones Cotizador'!O:O=D831,'Validaciones Cotizador'!T:T=""x"")),""Finalizar""))"),"")</f>
        <v/>
      </c>
    </row>
    <row r="832">
      <c r="A832" s="2" t="str">
        <f t="array" ref="A832">IF(E832="","",XLOOKUP(D832,'Validaciones Cotizador'!C:C,'Validaciones Cotizador'!A:A,"",0,1))</f>
        <v/>
      </c>
      <c r="B832" s="2" t="str">
        <f t="array" ref="B832">IF(F832="","",XLOOKUP(F832,Productos!E:E,Productos!G:G,"",0,1))</f>
        <v/>
      </c>
      <c r="C832" s="2" t="str">
        <f>IF(A832="","",SUMIFS('Validaciones Cotizador'!B:B,'Validaciones Cotizador'!C:C,D832,'Validaciones Cotizador'!A:A,A832))</f>
        <v/>
      </c>
      <c r="D832" s="4" t="str">
        <f>IFERROR(__xludf.DUMMYFUNCTION("IF(OR(F831=""Finalizar"",F831="""",F831=""Selecciona..""),"""",IF(OR(F831=""-"",INDEX(filter(Familias!F:F,Familias!D:D=A831,Familias!E:E=C831),1)=""O""),D831+1,D831))"),"")</f>
        <v/>
      </c>
      <c r="E832" s="2" t="str">
        <f>IF(OR(F832="",F832="Selecciona.."),"",IF(D832="Implemento",SUMIF(Implementos!B:B,F832,Implementos!A:A),SUMIF(Productos!E:E,F832,Productos!A:A)))</f>
        <v/>
      </c>
      <c r="F832" s="2" t="str">
        <f t="shared" si="2"/>
        <v/>
      </c>
      <c r="G832" s="10" t="str">
        <f t="array" ref="G832">IF(OR(F832="",F832="-",F832="Selecciona..",F832="Finalizar"),"",IF(A832="Rodados",XLOOKUP(B832,'Validaciones Cotizador'!I:I,'Validaciones Cotizador'!J:J,0,0,1),1))</f>
        <v/>
      </c>
      <c r="H832" s="11" t="str">
        <f>IF(OR(F832="",F832="Selecciona.."),"",SUMIF(Precio_Productos!K:K,E832,Precio_Productos!J:J)*G832)</f>
        <v/>
      </c>
      <c r="I832" s="4" t="str">
        <f t="array" ref="I832">IF($E832="","", XLOOKUP(SUMIFS(Prod_Prop!$A:$A,Prod_Prop!$B:$B,$E832,Prod_Prop!$H:$H,I$1,Prod_Prop!$I:$I,"Exacto"),Prod_Prop!$A:$A,Prod_Prop!$J:$J,"",0,1))</f>
        <v/>
      </c>
      <c r="J832" s="4" t="str">
        <f t="array" ref="J832">IF($E832="","", XLOOKUP(SUMIFS(Prod_Prop!$A:$A,Prod_Prop!$B:$B,$E832,Prod_Prop!$H:$H,J$1,Prod_Prop!$I:$I,"Exacto"),Prod_Prop!$A:$A,Prod_Prop!$J:$J,"",0,1))</f>
        <v/>
      </c>
      <c r="K832" s="4" t="str">
        <f t="array" ref="K832">IF($E832="","", XLOOKUP(SUMIFS(Prod_Prop!$A:$A,Prod_Prop!$B:$B,$E832,Prod_Prop!$H:$H,K$1,Prod_Prop!$I:$I,"Exacto"),Prod_Prop!$A:$A,Prod_Prop!$J:$J,"",0,1))</f>
        <v/>
      </c>
      <c r="L832" s="4" t="str">
        <f t="array" ref="L832">IF($E832="","", XLOOKUP(SUMIFS(Prod_Prop!$A:$A,Prod_Prop!$B:$B,$E832,Prod_Prop!$H:$H,L$1,Prod_Prop!$I:$I,"Exacto"),Prod_Prop!$A:$A,Prod_Prop!$J:$J,"",0,1))</f>
        <v/>
      </c>
      <c r="M832" s="4" t="str">
        <f t="array" ref="M832">IF($E832="","", XLOOKUP(SUMIFS(Prod_Prop!$A:$A,Prod_Prop!$B:$B,$E832,Prod_Prop!$H:$H,M$1,Prod_Prop!$I:$I,"Exacto"),Prod_Prop!$A:$A,Prod_Prop!$J:$J,"",0,1))</f>
        <v/>
      </c>
      <c r="N832" s="4" t="str">
        <f t="array" ref="N832">IF($E832="","", XLOOKUP(SUMIFS(Prod_Prop!$A:$A,Prod_Prop!$B:$B,$E832,Prod_Prop!$H:$H,N$1,Prod_Prop!$I:$I,"Exacto"),Prod_Prop!$A:$A,Prod_Prop!$J:$J,"",0,1))</f>
        <v/>
      </c>
      <c r="O832" s="4" t="str">
        <f t="array" ref="O832">IF($E832="","", XLOOKUP(SUMIFS(Prod_Prop!$A:$A,Prod_Prop!$B:$B,$E832,Prod_Prop!$H:$H,O$1,Prod_Prop!$I:$I,"Exacto"),Prod_Prop!$A:$A,Prod_Prop!$J:$J,"",0,1))</f>
        <v/>
      </c>
      <c r="P832" s="4" t="str">
        <f t="array" ref="P832">IF($E832="","", XLOOKUP(SUMIFS(Prod_Prop!$A:$A,Prod_Prop!$B:$B,$E832,Prod_Prop!$H:$H,P$1,Prod_Prop!$I:$I,"Exacto"),Prod_Prop!$A:$A,Prod_Prop!$J:$J,"",0,1))</f>
        <v/>
      </c>
      <c r="Q832" s="4" t="str">
        <f t="array" ref="Q832">IF($E832="","", XLOOKUP(SUMIFS(Prod_Prop!$A:$A,Prod_Prop!$B:$B,$E832,Prod_Prop!$H:$H,Q$1,Prod_Prop!$I:$I,"Exacto"),Prod_Prop!$A:$A,Prod_Prop!$J:$J,"",0,1))</f>
        <v/>
      </c>
      <c r="R832" s="4" t="str">
        <f t="array" ref="R832">IF($E832="","", XLOOKUP(SUMIFS(Prod_Prop!$A:$A,Prod_Prop!$B:$B,$E832,Prod_Prop!$H:$H,R$1,Prod_Prop!$I:$I,"Exacto"),Prod_Prop!$A:$A,Prod_Prop!$J:$J,"",0,1))</f>
        <v/>
      </c>
      <c r="S832" s="4" t="str">
        <f t="array" ref="S832">IF($E832="","", XLOOKUP(SUMIFS(Prod_Prop!$A:$A,Prod_Prop!$B:$B,$E832,Prod_Prop!$H:$H,S$1,Prod_Prop!$I:$I,"Exacto"),Prod_Prop!$A:$A,Prod_Prop!$J:$J,"",0,1))</f>
        <v/>
      </c>
      <c r="T832" s="4" t="str">
        <f t="array" ref="T832">IF($E832="","", XLOOKUP(SUMIFS(Prod_Prop!$A:$A,Prod_Prop!$B:$B,$E832,Prod_Prop!$H:$H,T$1,Prod_Prop!$I:$I,"Exacto"),Prod_Prop!$A:$A,Prod_Prop!$J:$J,"",0,1))</f>
        <v/>
      </c>
      <c r="U832" s="4" t="str">
        <f t="array" ref="U832">IF($E832="","", XLOOKUP(SUMIFS(Prod_Prop!$A:$A,Prod_Prop!$B:$B,$E832,Prod_Prop!$H:$H,U$1,Prod_Prop!$I:$I,"Exacto"),Prod_Prop!$A:$A,Prod_Prop!$J:$J,"",0,1))</f>
        <v/>
      </c>
      <c r="V832" s="4" t="str">
        <f t="array" ref="V832">IF($E832="","", XLOOKUP(SUMIFS(Prod_Prop!$A:$A,Prod_Prop!$B:$B,$E832,Prod_Prop!$H:$H,V$1,Prod_Prop!$I:$I,"Exacto"),Prod_Prop!$A:$A,Prod_Prop!$J:$J,"",0,1))</f>
        <v/>
      </c>
      <c r="X832" s="3" t="str">
        <f>IFERROR(__xludf.DUMMYFUNCTION("IF(D832="""","""",IFERROR(TRANSPOSE(FILTER('Validaciones Cotizador'!U:U,'Validaciones Cotizador'!O:O=D832,'Validaciones Cotizador'!T:T=""x"")),""Finalizar""))"),"")</f>
        <v/>
      </c>
    </row>
    <row r="833">
      <c r="A833" s="2" t="str">
        <f t="array" ref="A833">IF(E833="","",XLOOKUP(D833,'Validaciones Cotizador'!C:C,'Validaciones Cotizador'!A:A,"",0,1))</f>
        <v/>
      </c>
      <c r="B833" s="2" t="str">
        <f t="array" ref="B833">IF(F833="","",XLOOKUP(F833,Productos!E:E,Productos!G:G,"",0,1))</f>
        <v/>
      </c>
      <c r="C833" s="2" t="str">
        <f>IF(A833="","",SUMIFS('Validaciones Cotizador'!B:B,'Validaciones Cotizador'!C:C,D833,'Validaciones Cotizador'!A:A,A833))</f>
        <v/>
      </c>
      <c r="D833" s="4" t="str">
        <f>IFERROR(__xludf.DUMMYFUNCTION("IF(OR(F832=""Finalizar"",F832="""",F832=""Selecciona..""),"""",IF(OR(F832=""-"",INDEX(filter(Familias!F:F,Familias!D:D=A832,Familias!E:E=C832),1)=""O""),D832+1,D832))"),"")</f>
        <v/>
      </c>
      <c r="E833" s="2" t="str">
        <f>IF(OR(F833="",F833="Selecciona.."),"",IF(D833="Implemento",SUMIF(Implementos!B:B,F833,Implementos!A:A),SUMIF(Productos!E:E,F833,Productos!A:A)))</f>
        <v/>
      </c>
      <c r="F833" s="2" t="str">
        <f t="shared" si="2"/>
        <v/>
      </c>
      <c r="G833" s="10" t="str">
        <f t="array" ref="G833">IF(OR(F833="",F833="-",F833="Selecciona..",F833="Finalizar"),"",IF(A833="Rodados",XLOOKUP(B833,'Validaciones Cotizador'!I:I,'Validaciones Cotizador'!J:J,0,0,1),1))</f>
        <v/>
      </c>
      <c r="H833" s="11" t="str">
        <f>IF(OR(F833="",F833="Selecciona.."),"",SUMIF(Precio_Productos!K:K,E833,Precio_Productos!J:J)*G833)</f>
        <v/>
      </c>
      <c r="I833" s="4" t="str">
        <f t="array" ref="I833">IF($E833="","", XLOOKUP(SUMIFS(Prod_Prop!$A:$A,Prod_Prop!$B:$B,$E833,Prod_Prop!$H:$H,I$1,Prod_Prop!$I:$I,"Exacto"),Prod_Prop!$A:$A,Prod_Prop!$J:$J,"",0,1))</f>
        <v/>
      </c>
      <c r="J833" s="4" t="str">
        <f t="array" ref="J833">IF($E833="","", XLOOKUP(SUMIFS(Prod_Prop!$A:$A,Prod_Prop!$B:$B,$E833,Prod_Prop!$H:$H,J$1,Prod_Prop!$I:$I,"Exacto"),Prod_Prop!$A:$A,Prod_Prop!$J:$J,"",0,1))</f>
        <v/>
      </c>
      <c r="K833" s="4" t="str">
        <f t="array" ref="K833">IF($E833="","", XLOOKUP(SUMIFS(Prod_Prop!$A:$A,Prod_Prop!$B:$B,$E833,Prod_Prop!$H:$H,K$1,Prod_Prop!$I:$I,"Exacto"),Prod_Prop!$A:$A,Prod_Prop!$J:$J,"",0,1))</f>
        <v/>
      </c>
      <c r="L833" s="4" t="str">
        <f t="array" ref="L833">IF($E833="","", XLOOKUP(SUMIFS(Prod_Prop!$A:$A,Prod_Prop!$B:$B,$E833,Prod_Prop!$H:$H,L$1,Prod_Prop!$I:$I,"Exacto"),Prod_Prop!$A:$A,Prod_Prop!$J:$J,"",0,1))</f>
        <v/>
      </c>
      <c r="M833" s="4" t="str">
        <f t="array" ref="M833">IF($E833="","", XLOOKUP(SUMIFS(Prod_Prop!$A:$A,Prod_Prop!$B:$B,$E833,Prod_Prop!$H:$H,M$1,Prod_Prop!$I:$I,"Exacto"),Prod_Prop!$A:$A,Prod_Prop!$J:$J,"",0,1))</f>
        <v/>
      </c>
      <c r="N833" s="4" t="str">
        <f t="array" ref="N833">IF($E833="","", XLOOKUP(SUMIFS(Prod_Prop!$A:$A,Prod_Prop!$B:$B,$E833,Prod_Prop!$H:$H,N$1,Prod_Prop!$I:$I,"Exacto"),Prod_Prop!$A:$A,Prod_Prop!$J:$J,"",0,1))</f>
        <v/>
      </c>
      <c r="O833" s="4" t="str">
        <f t="array" ref="O833">IF($E833="","", XLOOKUP(SUMIFS(Prod_Prop!$A:$A,Prod_Prop!$B:$B,$E833,Prod_Prop!$H:$H,O$1,Prod_Prop!$I:$I,"Exacto"),Prod_Prop!$A:$A,Prod_Prop!$J:$J,"",0,1))</f>
        <v/>
      </c>
      <c r="P833" s="4" t="str">
        <f t="array" ref="P833">IF($E833="","", XLOOKUP(SUMIFS(Prod_Prop!$A:$A,Prod_Prop!$B:$B,$E833,Prod_Prop!$H:$H,P$1,Prod_Prop!$I:$I,"Exacto"),Prod_Prop!$A:$A,Prod_Prop!$J:$J,"",0,1))</f>
        <v/>
      </c>
      <c r="Q833" s="4" t="str">
        <f t="array" ref="Q833">IF($E833="","", XLOOKUP(SUMIFS(Prod_Prop!$A:$A,Prod_Prop!$B:$B,$E833,Prod_Prop!$H:$H,Q$1,Prod_Prop!$I:$I,"Exacto"),Prod_Prop!$A:$A,Prod_Prop!$J:$J,"",0,1))</f>
        <v/>
      </c>
      <c r="R833" s="4" t="str">
        <f t="array" ref="R833">IF($E833="","", XLOOKUP(SUMIFS(Prod_Prop!$A:$A,Prod_Prop!$B:$B,$E833,Prod_Prop!$H:$H,R$1,Prod_Prop!$I:$I,"Exacto"),Prod_Prop!$A:$A,Prod_Prop!$J:$J,"",0,1))</f>
        <v/>
      </c>
      <c r="S833" s="4" t="str">
        <f t="array" ref="S833">IF($E833="","", XLOOKUP(SUMIFS(Prod_Prop!$A:$A,Prod_Prop!$B:$B,$E833,Prod_Prop!$H:$H,S$1,Prod_Prop!$I:$I,"Exacto"),Prod_Prop!$A:$A,Prod_Prop!$J:$J,"",0,1))</f>
        <v/>
      </c>
      <c r="T833" s="4" t="str">
        <f t="array" ref="T833">IF($E833="","", XLOOKUP(SUMIFS(Prod_Prop!$A:$A,Prod_Prop!$B:$B,$E833,Prod_Prop!$H:$H,T$1,Prod_Prop!$I:$I,"Exacto"),Prod_Prop!$A:$A,Prod_Prop!$J:$J,"",0,1))</f>
        <v/>
      </c>
      <c r="U833" s="4" t="str">
        <f t="array" ref="U833">IF($E833="","", XLOOKUP(SUMIFS(Prod_Prop!$A:$A,Prod_Prop!$B:$B,$E833,Prod_Prop!$H:$H,U$1,Prod_Prop!$I:$I,"Exacto"),Prod_Prop!$A:$A,Prod_Prop!$J:$J,"",0,1))</f>
        <v/>
      </c>
      <c r="V833" s="4" t="str">
        <f t="array" ref="V833">IF($E833="","", XLOOKUP(SUMIFS(Prod_Prop!$A:$A,Prod_Prop!$B:$B,$E833,Prod_Prop!$H:$H,V$1,Prod_Prop!$I:$I,"Exacto"),Prod_Prop!$A:$A,Prod_Prop!$J:$J,"",0,1))</f>
        <v/>
      </c>
      <c r="X833" s="3" t="str">
        <f>IFERROR(__xludf.DUMMYFUNCTION("IF(D833="""","""",IFERROR(TRANSPOSE(FILTER('Validaciones Cotizador'!U:U,'Validaciones Cotizador'!O:O=D833,'Validaciones Cotizador'!T:T=""x"")),""Finalizar""))"),"")</f>
        <v/>
      </c>
    </row>
    <row r="834">
      <c r="A834" s="2" t="str">
        <f t="array" ref="A834">IF(E834="","",XLOOKUP(D834,'Validaciones Cotizador'!C:C,'Validaciones Cotizador'!A:A,"",0,1))</f>
        <v/>
      </c>
      <c r="B834" s="2" t="str">
        <f t="array" ref="B834">IF(F834="","",XLOOKUP(F834,Productos!E:E,Productos!G:G,"",0,1))</f>
        <v/>
      </c>
      <c r="C834" s="2" t="str">
        <f>IF(A834="","",SUMIFS('Validaciones Cotizador'!B:B,'Validaciones Cotizador'!C:C,D834,'Validaciones Cotizador'!A:A,A834))</f>
        <v/>
      </c>
      <c r="D834" s="4" t="str">
        <f>IFERROR(__xludf.DUMMYFUNCTION("IF(OR(F833=""Finalizar"",F833="""",F833=""Selecciona..""),"""",IF(OR(F833=""-"",INDEX(filter(Familias!F:F,Familias!D:D=A833,Familias!E:E=C833),1)=""O""),D833+1,D833))"),"")</f>
        <v/>
      </c>
      <c r="E834" s="2" t="str">
        <f>IF(OR(F834="",F834="Selecciona.."),"",IF(D834="Implemento",SUMIF(Implementos!B:B,F834,Implementos!A:A),SUMIF(Productos!E:E,F834,Productos!A:A)))</f>
        <v/>
      </c>
      <c r="F834" s="2" t="str">
        <f t="shared" si="2"/>
        <v/>
      </c>
      <c r="G834" s="10" t="str">
        <f t="array" ref="G834">IF(OR(F834="",F834="-",F834="Selecciona..",F834="Finalizar"),"",IF(A834="Rodados",XLOOKUP(B834,'Validaciones Cotizador'!I:I,'Validaciones Cotizador'!J:J,0,0,1),1))</f>
        <v/>
      </c>
      <c r="H834" s="11" t="str">
        <f>IF(OR(F834="",F834="Selecciona.."),"",SUMIF(Precio_Productos!K:K,E834,Precio_Productos!J:J)*G834)</f>
        <v/>
      </c>
      <c r="I834" s="4" t="str">
        <f t="array" ref="I834">IF($E834="","", XLOOKUP(SUMIFS(Prod_Prop!$A:$A,Prod_Prop!$B:$B,$E834,Prod_Prop!$H:$H,I$1,Prod_Prop!$I:$I,"Exacto"),Prod_Prop!$A:$A,Prod_Prop!$J:$J,"",0,1))</f>
        <v/>
      </c>
      <c r="J834" s="4" t="str">
        <f t="array" ref="J834">IF($E834="","", XLOOKUP(SUMIFS(Prod_Prop!$A:$A,Prod_Prop!$B:$B,$E834,Prod_Prop!$H:$H,J$1,Prod_Prop!$I:$I,"Exacto"),Prod_Prop!$A:$A,Prod_Prop!$J:$J,"",0,1))</f>
        <v/>
      </c>
      <c r="K834" s="4" t="str">
        <f t="array" ref="K834">IF($E834="","", XLOOKUP(SUMIFS(Prod_Prop!$A:$A,Prod_Prop!$B:$B,$E834,Prod_Prop!$H:$H,K$1,Prod_Prop!$I:$I,"Exacto"),Prod_Prop!$A:$A,Prod_Prop!$J:$J,"",0,1))</f>
        <v/>
      </c>
      <c r="L834" s="4" t="str">
        <f t="array" ref="L834">IF($E834="","", XLOOKUP(SUMIFS(Prod_Prop!$A:$A,Prod_Prop!$B:$B,$E834,Prod_Prop!$H:$H,L$1,Prod_Prop!$I:$I,"Exacto"),Prod_Prop!$A:$A,Prod_Prop!$J:$J,"",0,1))</f>
        <v/>
      </c>
      <c r="M834" s="4" t="str">
        <f t="array" ref="M834">IF($E834="","", XLOOKUP(SUMIFS(Prod_Prop!$A:$A,Prod_Prop!$B:$B,$E834,Prod_Prop!$H:$H,M$1,Prod_Prop!$I:$I,"Exacto"),Prod_Prop!$A:$A,Prod_Prop!$J:$J,"",0,1))</f>
        <v/>
      </c>
      <c r="N834" s="4" t="str">
        <f t="array" ref="N834">IF($E834="","", XLOOKUP(SUMIFS(Prod_Prop!$A:$A,Prod_Prop!$B:$B,$E834,Prod_Prop!$H:$H,N$1,Prod_Prop!$I:$I,"Exacto"),Prod_Prop!$A:$A,Prod_Prop!$J:$J,"",0,1))</f>
        <v/>
      </c>
      <c r="O834" s="4" t="str">
        <f t="array" ref="O834">IF($E834="","", XLOOKUP(SUMIFS(Prod_Prop!$A:$A,Prod_Prop!$B:$B,$E834,Prod_Prop!$H:$H,O$1,Prod_Prop!$I:$I,"Exacto"),Prod_Prop!$A:$A,Prod_Prop!$J:$J,"",0,1))</f>
        <v/>
      </c>
      <c r="P834" s="4" t="str">
        <f t="array" ref="P834">IF($E834="","", XLOOKUP(SUMIFS(Prod_Prop!$A:$A,Prod_Prop!$B:$B,$E834,Prod_Prop!$H:$H,P$1,Prod_Prop!$I:$I,"Exacto"),Prod_Prop!$A:$A,Prod_Prop!$J:$J,"",0,1))</f>
        <v/>
      </c>
      <c r="Q834" s="4" t="str">
        <f t="array" ref="Q834">IF($E834="","", XLOOKUP(SUMIFS(Prod_Prop!$A:$A,Prod_Prop!$B:$B,$E834,Prod_Prop!$H:$H,Q$1,Prod_Prop!$I:$I,"Exacto"),Prod_Prop!$A:$A,Prod_Prop!$J:$J,"",0,1))</f>
        <v/>
      </c>
      <c r="R834" s="4" t="str">
        <f t="array" ref="R834">IF($E834="","", XLOOKUP(SUMIFS(Prod_Prop!$A:$A,Prod_Prop!$B:$B,$E834,Prod_Prop!$H:$H,R$1,Prod_Prop!$I:$I,"Exacto"),Prod_Prop!$A:$A,Prod_Prop!$J:$J,"",0,1))</f>
        <v/>
      </c>
      <c r="S834" s="4" t="str">
        <f t="array" ref="S834">IF($E834="","", XLOOKUP(SUMIFS(Prod_Prop!$A:$A,Prod_Prop!$B:$B,$E834,Prod_Prop!$H:$H,S$1,Prod_Prop!$I:$I,"Exacto"),Prod_Prop!$A:$A,Prod_Prop!$J:$J,"",0,1))</f>
        <v/>
      </c>
      <c r="T834" s="4" t="str">
        <f t="array" ref="T834">IF($E834="","", XLOOKUP(SUMIFS(Prod_Prop!$A:$A,Prod_Prop!$B:$B,$E834,Prod_Prop!$H:$H,T$1,Prod_Prop!$I:$I,"Exacto"),Prod_Prop!$A:$A,Prod_Prop!$J:$J,"",0,1))</f>
        <v/>
      </c>
      <c r="U834" s="4" t="str">
        <f t="array" ref="U834">IF($E834="","", XLOOKUP(SUMIFS(Prod_Prop!$A:$A,Prod_Prop!$B:$B,$E834,Prod_Prop!$H:$H,U$1,Prod_Prop!$I:$I,"Exacto"),Prod_Prop!$A:$A,Prod_Prop!$J:$J,"",0,1))</f>
        <v/>
      </c>
      <c r="V834" s="4" t="str">
        <f t="array" ref="V834">IF($E834="","", XLOOKUP(SUMIFS(Prod_Prop!$A:$A,Prod_Prop!$B:$B,$E834,Prod_Prop!$H:$H,V$1,Prod_Prop!$I:$I,"Exacto"),Prod_Prop!$A:$A,Prod_Prop!$J:$J,"",0,1))</f>
        <v/>
      </c>
      <c r="X834" s="3" t="str">
        <f>IFERROR(__xludf.DUMMYFUNCTION("IF(D834="""","""",IFERROR(TRANSPOSE(FILTER('Validaciones Cotizador'!U:U,'Validaciones Cotizador'!O:O=D834,'Validaciones Cotizador'!T:T=""x"")),""Finalizar""))"),"")</f>
        <v/>
      </c>
    </row>
    <row r="835">
      <c r="A835" s="2" t="str">
        <f t="array" ref="A835">IF(E835="","",XLOOKUP(D835,'Validaciones Cotizador'!C:C,'Validaciones Cotizador'!A:A,"",0,1))</f>
        <v/>
      </c>
      <c r="B835" s="2" t="str">
        <f t="array" ref="B835">IF(F835="","",XLOOKUP(F835,Productos!E:E,Productos!G:G,"",0,1))</f>
        <v/>
      </c>
      <c r="C835" s="2" t="str">
        <f>IF(A835="","",SUMIFS('Validaciones Cotizador'!B:B,'Validaciones Cotizador'!C:C,D835,'Validaciones Cotizador'!A:A,A835))</f>
        <v/>
      </c>
      <c r="D835" s="4" t="str">
        <f>IFERROR(__xludf.DUMMYFUNCTION("IF(OR(F834=""Finalizar"",F834="""",F834=""Selecciona..""),"""",IF(OR(F834=""-"",INDEX(filter(Familias!F:F,Familias!D:D=A834,Familias!E:E=C834),1)=""O""),D834+1,D834))"),"")</f>
        <v/>
      </c>
      <c r="E835" s="2" t="str">
        <f>IF(OR(F835="",F835="Selecciona.."),"",IF(D835="Implemento",SUMIF(Implementos!B:B,F835,Implementos!A:A),SUMIF(Productos!E:E,F835,Productos!A:A)))</f>
        <v/>
      </c>
      <c r="F835" s="2" t="str">
        <f t="shared" si="2"/>
        <v/>
      </c>
      <c r="G835" s="10" t="str">
        <f t="array" ref="G835">IF(OR(F835="",F835="-",F835="Selecciona..",F835="Finalizar"),"",IF(A835="Rodados",XLOOKUP(B835,'Validaciones Cotizador'!I:I,'Validaciones Cotizador'!J:J,0,0,1),1))</f>
        <v/>
      </c>
      <c r="H835" s="11" t="str">
        <f>IF(OR(F835="",F835="Selecciona.."),"",SUMIF(Precio_Productos!K:K,E835,Precio_Productos!J:J)*G835)</f>
        <v/>
      </c>
      <c r="I835" s="4" t="str">
        <f t="array" ref="I835">IF($E835="","", XLOOKUP(SUMIFS(Prod_Prop!$A:$A,Prod_Prop!$B:$B,$E835,Prod_Prop!$H:$H,I$1,Prod_Prop!$I:$I,"Exacto"),Prod_Prop!$A:$A,Prod_Prop!$J:$J,"",0,1))</f>
        <v/>
      </c>
      <c r="J835" s="4" t="str">
        <f t="array" ref="J835">IF($E835="","", XLOOKUP(SUMIFS(Prod_Prop!$A:$A,Prod_Prop!$B:$B,$E835,Prod_Prop!$H:$H,J$1,Prod_Prop!$I:$I,"Exacto"),Prod_Prop!$A:$A,Prod_Prop!$J:$J,"",0,1))</f>
        <v/>
      </c>
      <c r="K835" s="4" t="str">
        <f t="array" ref="K835">IF($E835="","", XLOOKUP(SUMIFS(Prod_Prop!$A:$A,Prod_Prop!$B:$B,$E835,Prod_Prop!$H:$H,K$1,Prod_Prop!$I:$I,"Exacto"),Prod_Prop!$A:$A,Prod_Prop!$J:$J,"",0,1))</f>
        <v/>
      </c>
      <c r="L835" s="4" t="str">
        <f t="array" ref="L835">IF($E835="","", XLOOKUP(SUMIFS(Prod_Prop!$A:$A,Prod_Prop!$B:$B,$E835,Prod_Prop!$H:$H,L$1,Prod_Prop!$I:$I,"Exacto"),Prod_Prop!$A:$A,Prod_Prop!$J:$J,"",0,1))</f>
        <v/>
      </c>
      <c r="M835" s="4" t="str">
        <f t="array" ref="M835">IF($E835="","", XLOOKUP(SUMIFS(Prod_Prop!$A:$A,Prod_Prop!$B:$B,$E835,Prod_Prop!$H:$H,M$1,Prod_Prop!$I:$I,"Exacto"),Prod_Prop!$A:$A,Prod_Prop!$J:$J,"",0,1))</f>
        <v/>
      </c>
      <c r="N835" s="4" t="str">
        <f t="array" ref="N835">IF($E835="","", XLOOKUP(SUMIFS(Prod_Prop!$A:$A,Prod_Prop!$B:$B,$E835,Prod_Prop!$H:$H,N$1,Prod_Prop!$I:$I,"Exacto"),Prod_Prop!$A:$A,Prod_Prop!$J:$J,"",0,1))</f>
        <v/>
      </c>
      <c r="O835" s="4" t="str">
        <f t="array" ref="O835">IF($E835="","", XLOOKUP(SUMIFS(Prod_Prop!$A:$A,Prod_Prop!$B:$B,$E835,Prod_Prop!$H:$H,O$1,Prod_Prop!$I:$I,"Exacto"),Prod_Prop!$A:$A,Prod_Prop!$J:$J,"",0,1))</f>
        <v/>
      </c>
      <c r="P835" s="4" t="str">
        <f t="array" ref="P835">IF($E835="","", XLOOKUP(SUMIFS(Prod_Prop!$A:$A,Prod_Prop!$B:$B,$E835,Prod_Prop!$H:$H,P$1,Prod_Prop!$I:$I,"Exacto"),Prod_Prop!$A:$A,Prod_Prop!$J:$J,"",0,1))</f>
        <v/>
      </c>
      <c r="Q835" s="4" t="str">
        <f t="array" ref="Q835">IF($E835="","", XLOOKUP(SUMIFS(Prod_Prop!$A:$A,Prod_Prop!$B:$B,$E835,Prod_Prop!$H:$H,Q$1,Prod_Prop!$I:$I,"Exacto"),Prod_Prop!$A:$A,Prod_Prop!$J:$J,"",0,1))</f>
        <v/>
      </c>
      <c r="R835" s="4" t="str">
        <f t="array" ref="R835">IF($E835="","", XLOOKUP(SUMIFS(Prod_Prop!$A:$A,Prod_Prop!$B:$B,$E835,Prod_Prop!$H:$H,R$1,Prod_Prop!$I:$I,"Exacto"),Prod_Prop!$A:$A,Prod_Prop!$J:$J,"",0,1))</f>
        <v/>
      </c>
      <c r="S835" s="4" t="str">
        <f t="array" ref="S835">IF($E835="","", XLOOKUP(SUMIFS(Prod_Prop!$A:$A,Prod_Prop!$B:$B,$E835,Prod_Prop!$H:$H,S$1,Prod_Prop!$I:$I,"Exacto"),Prod_Prop!$A:$A,Prod_Prop!$J:$J,"",0,1))</f>
        <v/>
      </c>
      <c r="T835" s="4" t="str">
        <f t="array" ref="T835">IF($E835="","", XLOOKUP(SUMIFS(Prod_Prop!$A:$A,Prod_Prop!$B:$B,$E835,Prod_Prop!$H:$H,T$1,Prod_Prop!$I:$I,"Exacto"),Prod_Prop!$A:$A,Prod_Prop!$J:$J,"",0,1))</f>
        <v/>
      </c>
      <c r="U835" s="4" t="str">
        <f t="array" ref="U835">IF($E835="","", XLOOKUP(SUMIFS(Prod_Prop!$A:$A,Prod_Prop!$B:$B,$E835,Prod_Prop!$H:$H,U$1,Prod_Prop!$I:$I,"Exacto"),Prod_Prop!$A:$A,Prod_Prop!$J:$J,"",0,1))</f>
        <v/>
      </c>
      <c r="V835" s="4" t="str">
        <f t="array" ref="V835">IF($E835="","", XLOOKUP(SUMIFS(Prod_Prop!$A:$A,Prod_Prop!$B:$B,$E835,Prod_Prop!$H:$H,V$1,Prod_Prop!$I:$I,"Exacto"),Prod_Prop!$A:$A,Prod_Prop!$J:$J,"",0,1))</f>
        <v/>
      </c>
      <c r="X835" s="3" t="str">
        <f>IFERROR(__xludf.DUMMYFUNCTION("IF(D835="""","""",IFERROR(TRANSPOSE(FILTER('Validaciones Cotizador'!U:U,'Validaciones Cotizador'!O:O=D835,'Validaciones Cotizador'!T:T=""x"")),""Finalizar""))"),"")</f>
        <v/>
      </c>
    </row>
    <row r="836">
      <c r="A836" s="2" t="str">
        <f t="array" ref="A836">IF(E836="","",XLOOKUP(D836,'Validaciones Cotizador'!C:C,'Validaciones Cotizador'!A:A,"",0,1))</f>
        <v/>
      </c>
      <c r="B836" s="2" t="str">
        <f t="array" ref="B836">IF(F836="","",XLOOKUP(F836,Productos!E:E,Productos!G:G,"",0,1))</f>
        <v/>
      </c>
      <c r="C836" s="2" t="str">
        <f>IF(A836="","",SUMIFS('Validaciones Cotizador'!B:B,'Validaciones Cotizador'!C:C,D836,'Validaciones Cotizador'!A:A,A836))</f>
        <v/>
      </c>
      <c r="D836" s="4" t="str">
        <f>IFERROR(__xludf.DUMMYFUNCTION("IF(OR(F835=""Finalizar"",F835="""",F835=""Selecciona..""),"""",IF(OR(F835=""-"",INDEX(filter(Familias!F:F,Familias!D:D=A835,Familias!E:E=C835),1)=""O""),D835+1,D835))"),"")</f>
        <v/>
      </c>
      <c r="E836" s="2" t="str">
        <f>IF(OR(F836="",F836="Selecciona.."),"",IF(D836="Implemento",SUMIF(Implementos!B:B,F836,Implementos!A:A),SUMIF(Productos!E:E,F836,Productos!A:A)))</f>
        <v/>
      </c>
      <c r="F836" s="2" t="str">
        <f t="shared" si="2"/>
        <v/>
      </c>
      <c r="G836" s="10" t="str">
        <f t="array" ref="G836">IF(OR(F836="",F836="-",F836="Selecciona..",F836="Finalizar"),"",IF(A836="Rodados",XLOOKUP(B836,'Validaciones Cotizador'!I:I,'Validaciones Cotizador'!J:J,0,0,1),1))</f>
        <v/>
      </c>
      <c r="H836" s="11" t="str">
        <f>IF(OR(F836="",F836="Selecciona.."),"",SUMIF(Precio_Productos!K:K,E836,Precio_Productos!J:J)*G836)</f>
        <v/>
      </c>
      <c r="I836" s="4" t="str">
        <f t="array" ref="I836">IF($E836="","", XLOOKUP(SUMIFS(Prod_Prop!$A:$A,Prod_Prop!$B:$B,$E836,Prod_Prop!$H:$H,I$1,Prod_Prop!$I:$I,"Exacto"),Prod_Prop!$A:$A,Prod_Prop!$J:$J,"",0,1))</f>
        <v/>
      </c>
      <c r="J836" s="4" t="str">
        <f t="array" ref="J836">IF($E836="","", XLOOKUP(SUMIFS(Prod_Prop!$A:$A,Prod_Prop!$B:$B,$E836,Prod_Prop!$H:$H,J$1,Prod_Prop!$I:$I,"Exacto"),Prod_Prop!$A:$A,Prod_Prop!$J:$J,"",0,1))</f>
        <v/>
      </c>
      <c r="K836" s="4" t="str">
        <f t="array" ref="K836">IF($E836="","", XLOOKUP(SUMIFS(Prod_Prop!$A:$A,Prod_Prop!$B:$B,$E836,Prod_Prop!$H:$H,K$1,Prod_Prop!$I:$I,"Exacto"),Prod_Prop!$A:$A,Prod_Prop!$J:$J,"",0,1))</f>
        <v/>
      </c>
      <c r="L836" s="4" t="str">
        <f t="array" ref="L836">IF($E836="","", XLOOKUP(SUMIFS(Prod_Prop!$A:$A,Prod_Prop!$B:$B,$E836,Prod_Prop!$H:$H,L$1,Prod_Prop!$I:$I,"Exacto"),Prod_Prop!$A:$A,Prod_Prop!$J:$J,"",0,1))</f>
        <v/>
      </c>
      <c r="M836" s="4" t="str">
        <f t="array" ref="M836">IF($E836="","", XLOOKUP(SUMIFS(Prod_Prop!$A:$A,Prod_Prop!$B:$B,$E836,Prod_Prop!$H:$H,M$1,Prod_Prop!$I:$I,"Exacto"),Prod_Prop!$A:$A,Prod_Prop!$J:$J,"",0,1))</f>
        <v/>
      </c>
      <c r="N836" s="4" t="str">
        <f t="array" ref="N836">IF($E836="","", XLOOKUP(SUMIFS(Prod_Prop!$A:$A,Prod_Prop!$B:$B,$E836,Prod_Prop!$H:$H,N$1,Prod_Prop!$I:$I,"Exacto"),Prod_Prop!$A:$A,Prod_Prop!$J:$J,"",0,1))</f>
        <v/>
      </c>
      <c r="O836" s="4" t="str">
        <f t="array" ref="O836">IF($E836="","", XLOOKUP(SUMIFS(Prod_Prop!$A:$A,Prod_Prop!$B:$B,$E836,Prod_Prop!$H:$H,O$1,Prod_Prop!$I:$I,"Exacto"),Prod_Prop!$A:$A,Prod_Prop!$J:$J,"",0,1))</f>
        <v/>
      </c>
      <c r="P836" s="4" t="str">
        <f t="array" ref="P836">IF($E836="","", XLOOKUP(SUMIFS(Prod_Prop!$A:$A,Prod_Prop!$B:$B,$E836,Prod_Prop!$H:$H,P$1,Prod_Prop!$I:$I,"Exacto"),Prod_Prop!$A:$A,Prod_Prop!$J:$J,"",0,1))</f>
        <v/>
      </c>
      <c r="Q836" s="4" t="str">
        <f t="array" ref="Q836">IF($E836="","", XLOOKUP(SUMIFS(Prod_Prop!$A:$A,Prod_Prop!$B:$B,$E836,Prod_Prop!$H:$H,Q$1,Prod_Prop!$I:$I,"Exacto"),Prod_Prop!$A:$A,Prod_Prop!$J:$J,"",0,1))</f>
        <v/>
      </c>
      <c r="R836" s="4" t="str">
        <f t="array" ref="R836">IF($E836="","", XLOOKUP(SUMIFS(Prod_Prop!$A:$A,Prod_Prop!$B:$B,$E836,Prod_Prop!$H:$H,R$1,Prod_Prop!$I:$I,"Exacto"),Prod_Prop!$A:$A,Prod_Prop!$J:$J,"",0,1))</f>
        <v/>
      </c>
      <c r="S836" s="4" t="str">
        <f t="array" ref="S836">IF($E836="","", XLOOKUP(SUMIFS(Prod_Prop!$A:$A,Prod_Prop!$B:$B,$E836,Prod_Prop!$H:$H,S$1,Prod_Prop!$I:$I,"Exacto"),Prod_Prop!$A:$A,Prod_Prop!$J:$J,"",0,1))</f>
        <v/>
      </c>
      <c r="T836" s="4" t="str">
        <f t="array" ref="T836">IF($E836="","", XLOOKUP(SUMIFS(Prod_Prop!$A:$A,Prod_Prop!$B:$B,$E836,Prod_Prop!$H:$H,T$1,Prod_Prop!$I:$I,"Exacto"),Prod_Prop!$A:$A,Prod_Prop!$J:$J,"",0,1))</f>
        <v/>
      </c>
      <c r="U836" s="4" t="str">
        <f t="array" ref="U836">IF($E836="","", XLOOKUP(SUMIFS(Prod_Prop!$A:$A,Prod_Prop!$B:$B,$E836,Prod_Prop!$H:$H,U$1,Prod_Prop!$I:$I,"Exacto"),Prod_Prop!$A:$A,Prod_Prop!$J:$J,"",0,1))</f>
        <v/>
      </c>
      <c r="V836" s="4" t="str">
        <f t="array" ref="V836">IF($E836="","", XLOOKUP(SUMIFS(Prod_Prop!$A:$A,Prod_Prop!$B:$B,$E836,Prod_Prop!$H:$H,V$1,Prod_Prop!$I:$I,"Exacto"),Prod_Prop!$A:$A,Prod_Prop!$J:$J,"",0,1))</f>
        <v/>
      </c>
      <c r="X836" s="3" t="str">
        <f>IFERROR(__xludf.DUMMYFUNCTION("IF(D836="""","""",IFERROR(TRANSPOSE(FILTER('Validaciones Cotizador'!U:U,'Validaciones Cotizador'!O:O=D836,'Validaciones Cotizador'!T:T=""x"")),""Finalizar""))"),"")</f>
        <v/>
      </c>
    </row>
    <row r="837">
      <c r="A837" s="2" t="str">
        <f t="array" ref="A837">IF(E837="","",XLOOKUP(D837,'Validaciones Cotizador'!C:C,'Validaciones Cotizador'!A:A,"",0,1))</f>
        <v/>
      </c>
      <c r="B837" s="2" t="str">
        <f t="array" ref="B837">IF(F837="","",XLOOKUP(F837,Productos!E:E,Productos!G:G,"",0,1))</f>
        <v/>
      </c>
      <c r="C837" s="2" t="str">
        <f>IF(A837="","",SUMIFS('Validaciones Cotizador'!B:B,'Validaciones Cotizador'!C:C,D837,'Validaciones Cotizador'!A:A,A837))</f>
        <v/>
      </c>
      <c r="D837" s="4" t="str">
        <f>IFERROR(__xludf.DUMMYFUNCTION("IF(OR(F836=""Finalizar"",F836="""",F836=""Selecciona..""),"""",IF(OR(F836=""-"",INDEX(filter(Familias!F:F,Familias!D:D=A836,Familias!E:E=C836),1)=""O""),D836+1,D836))"),"")</f>
        <v/>
      </c>
      <c r="E837" s="2" t="str">
        <f>IF(OR(F837="",F837="Selecciona.."),"",IF(D837="Implemento",SUMIF(Implementos!B:B,F837,Implementos!A:A),SUMIF(Productos!E:E,F837,Productos!A:A)))</f>
        <v/>
      </c>
      <c r="F837" s="2" t="str">
        <f t="shared" si="2"/>
        <v/>
      </c>
      <c r="G837" s="10" t="str">
        <f t="array" ref="G837">IF(OR(F837="",F837="-",F837="Selecciona..",F837="Finalizar"),"",IF(A837="Rodados",XLOOKUP(B837,'Validaciones Cotizador'!I:I,'Validaciones Cotizador'!J:J,0,0,1),1))</f>
        <v/>
      </c>
      <c r="H837" s="11" t="str">
        <f>IF(OR(F837="",F837="Selecciona.."),"",SUMIF(Precio_Productos!K:K,E837,Precio_Productos!J:J)*G837)</f>
        <v/>
      </c>
      <c r="I837" s="4" t="str">
        <f t="array" ref="I837">IF($E837="","", XLOOKUP(SUMIFS(Prod_Prop!$A:$A,Prod_Prop!$B:$B,$E837,Prod_Prop!$H:$H,I$1,Prod_Prop!$I:$I,"Exacto"),Prod_Prop!$A:$A,Prod_Prop!$J:$J,"",0,1))</f>
        <v/>
      </c>
      <c r="J837" s="4" t="str">
        <f t="array" ref="J837">IF($E837="","", XLOOKUP(SUMIFS(Prod_Prop!$A:$A,Prod_Prop!$B:$B,$E837,Prod_Prop!$H:$H,J$1,Prod_Prop!$I:$I,"Exacto"),Prod_Prop!$A:$A,Prod_Prop!$J:$J,"",0,1))</f>
        <v/>
      </c>
      <c r="K837" s="4" t="str">
        <f t="array" ref="K837">IF($E837="","", XLOOKUP(SUMIFS(Prod_Prop!$A:$A,Prod_Prop!$B:$B,$E837,Prod_Prop!$H:$H,K$1,Prod_Prop!$I:$I,"Exacto"),Prod_Prop!$A:$A,Prod_Prop!$J:$J,"",0,1))</f>
        <v/>
      </c>
      <c r="L837" s="4" t="str">
        <f t="array" ref="L837">IF($E837="","", XLOOKUP(SUMIFS(Prod_Prop!$A:$A,Prod_Prop!$B:$B,$E837,Prod_Prop!$H:$H,L$1,Prod_Prop!$I:$I,"Exacto"),Prod_Prop!$A:$A,Prod_Prop!$J:$J,"",0,1))</f>
        <v/>
      </c>
      <c r="M837" s="4" t="str">
        <f t="array" ref="M837">IF($E837="","", XLOOKUP(SUMIFS(Prod_Prop!$A:$A,Prod_Prop!$B:$B,$E837,Prod_Prop!$H:$H,M$1,Prod_Prop!$I:$I,"Exacto"),Prod_Prop!$A:$A,Prod_Prop!$J:$J,"",0,1))</f>
        <v/>
      </c>
      <c r="N837" s="4" t="str">
        <f t="array" ref="N837">IF($E837="","", XLOOKUP(SUMIFS(Prod_Prop!$A:$A,Prod_Prop!$B:$B,$E837,Prod_Prop!$H:$H,N$1,Prod_Prop!$I:$I,"Exacto"),Prod_Prop!$A:$A,Prod_Prop!$J:$J,"",0,1))</f>
        <v/>
      </c>
      <c r="O837" s="4" t="str">
        <f t="array" ref="O837">IF($E837="","", XLOOKUP(SUMIFS(Prod_Prop!$A:$A,Prod_Prop!$B:$B,$E837,Prod_Prop!$H:$H,O$1,Prod_Prop!$I:$I,"Exacto"),Prod_Prop!$A:$A,Prod_Prop!$J:$J,"",0,1))</f>
        <v/>
      </c>
      <c r="P837" s="4" t="str">
        <f t="array" ref="P837">IF($E837="","", XLOOKUP(SUMIFS(Prod_Prop!$A:$A,Prod_Prop!$B:$B,$E837,Prod_Prop!$H:$H,P$1,Prod_Prop!$I:$I,"Exacto"),Prod_Prop!$A:$A,Prod_Prop!$J:$J,"",0,1))</f>
        <v/>
      </c>
      <c r="Q837" s="4" t="str">
        <f t="array" ref="Q837">IF($E837="","", XLOOKUP(SUMIFS(Prod_Prop!$A:$A,Prod_Prop!$B:$B,$E837,Prod_Prop!$H:$H,Q$1,Prod_Prop!$I:$I,"Exacto"),Prod_Prop!$A:$A,Prod_Prop!$J:$J,"",0,1))</f>
        <v/>
      </c>
      <c r="R837" s="4" t="str">
        <f t="array" ref="R837">IF($E837="","", XLOOKUP(SUMIFS(Prod_Prop!$A:$A,Prod_Prop!$B:$B,$E837,Prod_Prop!$H:$H,R$1,Prod_Prop!$I:$I,"Exacto"),Prod_Prop!$A:$A,Prod_Prop!$J:$J,"",0,1))</f>
        <v/>
      </c>
      <c r="S837" s="4" t="str">
        <f t="array" ref="S837">IF($E837="","", XLOOKUP(SUMIFS(Prod_Prop!$A:$A,Prod_Prop!$B:$B,$E837,Prod_Prop!$H:$H,S$1,Prod_Prop!$I:$I,"Exacto"),Prod_Prop!$A:$A,Prod_Prop!$J:$J,"",0,1))</f>
        <v/>
      </c>
      <c r="T837" s="4" t="str">
        <f t="array" ref="T837">IF($E837="","", XLOOKUP(SUMIFS(Prod_Prop!$A:$A,Prod_Prop!$B:$B,$E837,Prod_Prop!$H:$H,T$1,Prod_Prop!$I:$I,"Exacto"),Prod_Prop!$A:$A,Prod_Prop!$J:$J,"",0,1))</f>
        <v/>
      </c>
      <c r="U837" s="4" t="str">
        <f t="array" ref="U837">IF($E837="","", XLOOKUP(SUMIFS(Prod_Prop!$A:$A,Prod_Prop!$B:$B,$E837,Prod_Prop!$H:$H,U$1,Prod_Prop!$I:$I,"Exacto"),Prod_Prop!$A:$A,Prod_Prop!$J:$J,"",0,1))</f>
        <v/>
      </c>
      <c r="V837" s="4" t="str">
        <f t="array" ref="V837">IF($E837="","", XLOOKUP(SUMIFS(Prod_Prop!$A:$A,Prod_Prop!$B:$B,$E837,Prod_Prop!$H:$H,V$1,Prod_Prop!$I:$I,"Exacto"),Prod_Prop!$A:$A,Prod_Prop!$J:$J,"",0,1))</f>
        <v/>
      </c>
      <c r="X837" s="3" t="str">
        <f>IFERROR(__xludf.DUMMYFUNCTION("IF(D837="""","""",IFERROR(TRANSPOSE(FILTER('Validaciones Cotizador'!U:U,'Validaciones Cotizador'!O:O=D837,'Validaciones Cotizador'!T:T=""x"")),""Finalizar""))"),"")</f>
        <v/>
      </c>
    </row>
    <row r="838">
      <c r="A838" s="2" t="str">
        <f t="array" ref="A838">IF(E838="","",XLOOKUP(D838,'Validaciones Cotizador'!C:C,'Validaciones Cotizador'!A:A,"",0,1))</f>
        <v/>
      </c>
      <c r="B838" s="2" t="str">
        <f t="array" ref="B838">IF(F838="","",XLOOKUP(F838,Productos!E:E,Productos!G:G,"",0,1))</f>
        <v/>
      </c>
      <c r="C838" s="2" t="str">
        <f>IF(A838="","",SUMIFS('Validaciones Cotizador'!B:B,'Validaciones Cotizador'!C:C,D838,'Validaciones Cotizador'!A:A,A838))</f>
        <v/>
      </c>
      <c r="D838" s="4" t="str">
        <f>IFERROR(__xludf.DUMMYFUNCTION("IF(OR(F837=""Finalizar"",F837="""",F837=""Selecciona..""),"""",IF(OR(F837=""-"",INDEX(filter(Familias!F:F,Familias!D:D=A837,Familias!E:E=C837),1)=""O""),D837+1,D837))"),"")</f>
        <v/>
      </c>
      <c r="E838" s="2" t="str">
        <f>IF(OR(F838="",F838="Selecciona.."),"",IF(D838="Implemento",SUMIF(Implementos!B:B,F838,Implementos!A:A),SUMIF(Productos!E:E,F838,Productos!A:A)))</f>
        <v/>
      </c>
      <c r="F838" s="2" t="str">
        <f t="shared" si="2"/>
        <v/>
      </c>
      <c r="G838" s="10" t="str">
        <f t="array" ref="G838">IF(OR(F838="",F838="-",F838="Selecciona..",F838="Finalizar"),"",IF(A838="Rodados",XLOOKUP(B838,'Validaciones Cotizador'!I:I,'Validaciones Cotizador'!J:J,0,0,1),1))</f>
        <v/>
      </c>
      <c r="H838" s="11" t="str">
        <f>IF(OR(F838="",F838="Selecciona.."),"",SUMIF(Precio_Productos!K:K,E838,Precio_Productos!J:J)*G838)</f>
        <v/>
      </c>
      <c r="I838" s="4" t="str">
        <f t="array" ref="I838">IF($E838="","", XLOOKUP(SUMIFS(Prod_Prop!$A:$A,Prod_Prop!$B:$B,$E838,Prod_Prop!$H:$H,I$1,Prod_Prop!$I:$I,"Exacto"),Prod_Prop!$A:$A,Prod_Prop!$J:$J,"",0,1))</f>
        <v/>
      </c>
      <c r="J838" s="4" t="str">
        <f t="array" ref="J838">IF($E838="","", XLOOKUP(SUMIFS(Prod_Prop!$A:$A,Prod_Prop!$B:$B,$E838,Prod_Prop!$H:$H,J$1,Prod_Prop!$I:$I,"Exacto"),Prod_Prop!$A:$A,Prod_Prop!$J:$J,"",0,1))</f>
        <v/>
      </c>
      <c r="K838" s="4" t="str">
        <f t="array" ref="K838">IF($E838="","", XLOOKUP(SUMIFS(Prod_Prop!$A:$A,Prod_Prop!$B:$B,$E838,Prod_Prop!$H:$H,K$1,Prod_Prop!$I:$I,"Exacto"),Prod_Prop!$A:$A,Prod_Prop!$J:$J,"",0,1))</f>
        <v/>
      </c>
      <c r="L838" s="4" t="str">
        <f t="array" ref="L838">IF($E838="","", XLOOKUP(SUMIFS(Prod_Prop!$A:$A,Prod_Prop!$B:$B,$E838,Prod_Prop!$H:$H,L$1,Prod_Prop!$I:$I,"Exacto"),Prod_Prop!$A:$A,Prod_Prop!$J:$J,"",0,1))</f>
        <v/>
      </c>
      <c r="M838" s="4" t="str">
        <f t="array" ref="M838">IF($E838="","", XLOOKUP(SUMIFS(Prod_Prop!$A:$A,Prod_Prop!$B:$B,$E838,Prod_Prop!$H:$H,M$1,Prod_Prop!$I:$I,"Exacto"),Prod_Prop!$A:$A,Prod_Prop!$J:$J,"",0,1))</f>
        <v/>
      </c>
      <c r="N838" s="4" t="str">
        <f t="array" ref="N838">IF($E838="","", XLOOKUP(SUMIFS(Prod_Prop!$A:$A,Prod_Prop!$B:$B,$E838,Prod_Prop!$H:$H,N$1,Prod_Prop!$I:$I,"Exacto"),Prod_Prop!$A:$A,Prod_Prop!$J:$J,"",0,1))</f>
        <v/>
      </c>
      <c r="O838" s="4" t="str">
        <f t="array" ref="O838">IF($E838="","", XLOOKUP(SUMIFS(Prod_Prop!$A:$A,Prod_Prop!$B:$B,$E838,Prod_Prop!$H:$H,O$1,Prod_Prop!$I:$I,"Exacto"),Prod_Prop!$A:$A,Prod_Prop!$J:$J,"",0,1))</f>
        <v/>
      </c>
      <c r="P838" s="4" t="str">
        <f t="array" ref="P838">IF($E838="","", XLOOKUP(SUMIFS(Prod_Prop!$A:$A,Prod_Prop!$B:$B,$E838,Prod_Prop!$H:$H,P$1,Prod_Prop!$I:$I,"Exacto"),Prod_Prop!$A:$A,Prod_Prop!$J:$J,"",0,1))</f>
        <v/>
      </c>
      <c r="Q838" s="4" t="str">
        <f t="array" ref="Q838">IF($E838="","", XLOOKUP(SUMIFS(Prod_Prop!$A:$A,Prod_Prop!$B:$B,$E838,Prod_Prop!$H:$H,Q$1,Prod_Prop!$I:$I,"Exacto"),Prod_Prop!$A:$A,Prod_Prop!$J:$J,"",0,1))</f>
        <v/>
      </c>
      <c r="R838" s="4" t="str">
        <f t="array" ref="R838">IF($E838="","", XLOOKUP(SUMIFS(Prod_Prop!$A:$A,Prod_Prop!$B:$B,$E838,Prod_Prop!$H:$H,R$1,Prod_Prop!$I:$I,"Exacto"),Prod_Prop!$A:$A,Prod_Prop!$J:$J,"",0,1))</f>
        <v/>
      </c>
      <c r="S838" s="4" t="str">
        <f t="array" ref="S838">IF($E838="","", XLOOKUP(SUMIFS(Prod_Prop!$A:$A,Prod_Prop!$B:$B,$E838,Prod_Prop!$H:$H,S$1,Prod_Prop!$I:$I,"Exacto"),Prod_Prop!$A:$A,Prod_Prop!$J:$J,"",0,1))</f>
        <v/>
      </c>
      <c r="T838" s="4" t="str">
        <f t="array" ref="T838">IF($E838="","", XLOOKUP(SUMIFS(Prod_Prop!$A:$A,Prod_Prop!$B:$B,$E838,Prod_Prop!$H:$H,T$1,Prod_Prop!$I:$I,"Exacto"),Prod_Prop!$A:$A,Prod_Prop!$J:$J,"",0,1))</f>
        <v/>
      </c>
      <c r="U838" s="4" t="str">
        <f t="array" ref="U838">IF($E838="","", XLOOKUP(SUMIFS(Prod_Prop!$A:$A,Prod_Prop!$B:$B,$E838,Prod_Prop!$H:$H,U$1,Prod_Prop!$I:$I,"Exacto"),Prod_Prop!$A:$A,Prod_Prop!$J:$J,"",0,1))</f>
        <v/>
      </c>
      <c r="V838" s="4" t="str">
        <f t="array" ref="V838">IF($E838="","", XLOOKUP(SUMIFS(Prod_Prop!$A:$A,Prod_Prop!$B:$B,$E838,Prod_Prop!$H:$H,V$1,Prod_Prop!$I:$I,"Exacto"),Prod_Prop!$A:$A,Prod_Prop!$J:$J,"",0,1))</f>
        <v/>
      </c>
      <c r="X838" s="3" t="str">
        <f>IFERROR(__xludf.DUMMYFUNCTION("IF(D838="""","""",IFERROR(TRANSPOSE(FILTER('Validaciones Cotizador'!U:U,'Validaciones Cotizador'!O:O=D838,'Validaciones Cotizador'!T:T=""x"")),""Finalizar""))"),"")</f>
        <v/>
      </c>
    </row>
    <row r="839">
      <c r="A839" s="2" t="str">
        <f t="array" ref="A839">IF(E839="","",XLOOKUP(D839,'Validaciones Cotizador'!C:C,'Validaciones Cotizador'!A:A,"",0,1))</f>
        <v/>
      </c>
      <c r="B839" s="2" t="str">
        <f t="array" ref="B839">IF(F839="","",XLOOKUP(F839,Productos!E:E,Productos!G:G,"",0,1))</f>
        <v/>
      </c>
      <c r="C839" s="2" t="str">
        <f>IF(A839="","",SUMIFS('Validaciones Cotizador'!B:B,'Validaciones Cotizador'!C:C,D839,'Validaciones Cotizador'!A:A,A839))</f>
        <v/>
      </c>
      <c r="D839" s="4" t="str">
        <f>IFERROR(__xludf.DUMMYFUNCTION("IF(OR(F838=""Finalizar"",F838="""",F838=""Selecciona..""),"""",IF(OR(F838=""-"",INDEX(filter(Familias!F:F,Familias!D:D=A838,Familias!E:E=C838),1)=""O""),D838+1,D838))"),"")</f>
        <v/>
      </c>
      <c r="E839" s="2" t="str">
        <f>IF(OR(F839="",F839="Selecciona.."),"",IF(D839="Implemento",SUMIF(Implementos!B:B,F839,Implementos!A:A),SUMIF(Productos!E:E,F839,Productos!A:A)))</f>
        <v/>
      </c>
      <c r="F839" s="2" t="str">
        <f t="shared" si="2"/>
        <v/>
      </c>
      <c r="G839" s="10" t="str">
        <f t="array" ref="G839">IF(OR(F839="",F839="-",F839="Selecciona..",F839="Finalizar"),"",IF(A839="Rodados",XLOOKUP(B839,'Validaciones Cotizador'!I:I,'Validaciones Cotizador'!J:J,0,0,1),1))</f>
        <v/>
      </c>
      <c r="H839" s="11" t="str">
        <f>IF(OR(F839="",F839="Selecciona.."),"",SUMIF(Precio_Productos!K:K,E839,Precio_Productos!J:J)*G839)</f>
        <v/>
      </c>
      <c r="I839" s="4" t="str">
        <f t="array" ref="I839">IF($E839="","", XLOOKUP(SUMIFS(Prod_Prop!$A:$A,Prod_Prop!$B:$B,$E839,Prod_Prop!$H:$H,I$1,Prod_Prop!$I:$I,"Exacto"),Prod_Prop!$A:$A,Prod_Prop!$J:$J,"",0,1))</f>
        <v/>
      </c>
      <c r="J839" s="4" t="str">
        <f t="array" ref="J839">IF($E839="","", XLOOKUP(SUMIFS(Prod_Prop!$A:$A,Prod_Prop!$B:$B,$E839,Prod_Prop!$H:$H,J$1,Prod_Prop!$I:$I,"Exacto"),Prod_Prop!$A:$A,Prod_Prop!$J:$J,"",0,1))</f>
        <v/>
      </c>
      <c r="K839" s="4" t="str">
        <f t="array" ref="K839">IF($E839="","", XLOOKUP(SUMIFS(Prod_Prop!$A:$A,Prod_Prop!$B:$B,$E839,Prod_Prop!$H:$H,K$1,Prod_Prop!$I:$I,"Exacto"),Prod_Prop!$A:$A,Prod_Prop!$J:$J,"",0,1))</f>
        <v/>
      </c>
      <c r="L839" s="4" t="str">
        <f t="array" ref="L839">IF($E839="","", XLOOKUP(SUMIFS(Prod_Prop!$A:$A,Prod_Prop!$B:$B,$E839,Prod_Prop!$H:$H,L$1,Prod_Prop!$I:$I,"Exacto"),Prod_Prop!$A:$A,Prod_Prop!$J:$J,"",0,1))</f>
        <v/>
      </c>
      <c r="M839" s="4" t="str">
        <f t="array" ref="M839">IF($E839="","", XLOOKUP(SUMIFS(Prod_Prop!$A:$A,Prod_Prop!$B:$B,$E839,Prod_Prop!$H:$H,M$1,Prod_Prop!$I:$I,"Exacto"),Prod_Prop!$A:$A,Prod_Prop!$J:$J,"",0,1))</f>
        <v/>
      </c>
      <c r="N839" s="4" t="str">
        <f t="array" ref="N839">IF($E839="","", XLOOKUP(SUMIFS(Prod_Prop!$A:$A,Prod_Prop!$B:$B,$E839,Prod_Prop!$H:$H,N$1,Prod_Prop!$I:$I,"Exacto"),Prod_Prop!$A:$A,Prod_Prop!$J:$J,"",0,1))</f>
        <v/>
      </c>
      <c r="O839" s="4" t="str">
        <f t="array" ref="O839">IF($E839="","", XLOOKUP(SUMIFS(Prod_Prop!$A:$A,Prod_Prop!$B:$B,$E839,Prod_Prop!$H:$H,O$1,Prod_Prop!$I:$I,"Exacto"),Prod_Prop!$A:$A,Prod_Prop!$J:$J,"",0,1))</f>
        <v/>
      </c>
      <c r="P839" s="4" t="str">
        <f t="array" ref="P839">IF($E839="","", XLOOKUP(SUMIFS(Prod_Prop!$A:$A,Prod_Prop!$B:$B,$E839,Prod_Prop!$H:$H,P$1,Prod_Prop!$I:$I,"Exacto"),Prod_Prop!$A:$A,Prod_Prop!$J:$J,"",0,1))</f>
        <v/>
      </c>
      <c r="Q839" s="4" t="str">
        <f t="array" ref="Q839">IF($E839="","", XLOOKUP(SUMIFS(Prod_Prop!$A:$A,Prod_Prop!$B:$B,$E839,Prod_Prop!$H:$H,Q$1,Prod_Prop!$I:$I,"Exacto"),Prod_Prop!$A:$A,Prod_Prop!$J:$J,"",0,1))</f>
        <v/>
      </c>
      <c r="R839" s="4" t="str">
        <f t="array" ref="R839">IF($E839="","", XLOOKUP(SUMIFS(Prod_Prop!$A:$A,Prod_Prop!$B:$B,$E839,Prod_Prop!$H:$H,R$1,Prod_Prop!$I:$I,"Exacto"),Prod_Prop!$A:$A,Prod_Prop!$J:$J,"",0,1))</f>
        <v/>
      </c>
      <c r="S839" s="4" t="str">
        <f t="array" ref="S839">IF($E839="","", XLOOKUP(SUMIFS(Prod_Prop!$A:$A,Prod_Prop!$B:$B,$E839,Prod_Prop!$H:$H,S$1,Prod_Prop!$I:$I,"Exacto"),Prod_Prop!$A:$A,Prod_Prop!$J:$J,"",0,1))</f>
        <v/>
      </c>
      <c r="T839" s="4" t="str">
        <f t="array" ref="T839">IF($E839="","", XLOOKUP(SUMIFS(Prod_Prop!$A:$A,Prod_Prop!$B:$B,$E839,Prod_Prop!$H:$H,T$1,Prod_Prop!$I:$I,"Exacto"),Prod_Prop!$A:$A,Prod_Prop!$J:$J,"",0,1))</f>
        <v/>
      </c>
      <c r="U839" s="4" t="str">
        <f t="array" ref="U839">IF($E839="","", XLOOKUP(SUMIFS(Prod_Prop!$A:$A,Prod_Prop!$B:$B,$E839,Prod_Prop!$H:$H,U$1,Prod_Prop!$I:$I,"Exacto"),Prod_Prop!$A:$A,Prod_Prop!$J:$J,"",0,1))</f>
        <v/>
      </c>
      <c r="V839" s="4" t="str">
        <f t="array" ref="V839">IF($E839="","", XLOOKUP(SUMIFS(Prod_Prop!$A:$A,Prod_Prop!$B:$B,$E839,Prod_Prop!$H:$H,V$1,Prod_Prop!$I:$I,"Exacto"),Prod_Prop!$A:$A,Prod_Prop!$J:$J,"",0,1))</f>
        <v/>
      </c>
      <c r="X839" s="3" t="str">
        <f>IFERROR(__xludf.DUMMYFUNCTION("IF(D839="""","""",IFERROR(TRANSPOSE(FILTER('Validaciones Cotizador'!U:U,'Validaciones Cotizador'!O:O=D839,'Validaciones Cotizador'!T:T=""x"")),""Finalizar""))"),"")</f>
        <v/>
      </c>
    </row>
    <row r="840">
      <c r="A840" s="2" t="str">
        <f t="array" ref="A840">IF(E840="","",XLOOKUP(D840,'Validaciones Cotizador'!C:C,'Validaciones Cotizador'!A:A,"",0,1))</f>
        <v/>
      </c>
      <c r="B840" s="2" t="str">
        <f t="array" ref="B840">IF(F840="","",XLOOKUP(F840,Productos!E:E,Productos!G:G,"",0,1))</f>
        <v/>
      </c>
      <c r="C840" s="2" t="str">
        <f>IF(A840="","",SUMIFS('Validaciones Cotizador'!B:B,'Validaciones Cotizador'!C:C,D840,'Validaciones Cotizador'!A:A,A840))</f>
        <v/>
      </c>
      <c r="D840" s="4" t="str">
        <f>IFERROR(__xludf.DUMMYFUNCTION("IF(OR(F839=""Finalizar"",F839="""",F839=""Selecciona..""),"""",IF(OR(F839=""-"",INDEX(filter(Familias!F:F,Familias!D:D=A839,Familias!E:E=C839),1)=""O""),D839+1,D839))"),"")</f>
        <v/>
      </c>
      <c r="E840" s="2" t="str">
        <f>IF(OR(F840="",F840="Selecciona.."),"",IF(D840="Implemento",SUMIF(Implementos!B:B,F840,Implementos!A:A),SUMIF(Productos!E:E,F840,Productos!A:A)))</f>
        <v/>
      </c>
      <c r="F840" s="2" t="str">
        <f t="shared" si="2"/>
        <v/>
      </c>
      <c r="G840" s="10" t="str">
        <f t="array" ref="G840">IF(OR(F840="",F840="-",F840="Selecciona..",F840="Finalizar"),"",IF(A840="Rodados",XLOOKUP(B840,'Validaciones Cotizador'!I:I,'Validaciones Cotizador'!J:J,0,0,1),1))</f>
        <v/>
      </c>
      <c r="H840" s="11" t="str">
        <f>IF(OR(F840="",F840="Selecciona.."),"",SUMIF(Precio_Productos!K:K,E840,Precio_Productos!J:J)*G840)</f>
        <v/>
      </c>
      <c r="I840" s="4" t="str">
        <f t="array" ref="I840">IF($E840="","", XLOOKUP(SUMIFS(Prod_Prop!$A:$A,Prod_Prop!$B:$B,$E840,Prod_Prop!$H:$H,I$1,Prod_Prop!$I:$I,"Exacto"),Prod_Prop!$A:$A,Prod_Prop!$J:$J,"",0,1))</f>
        <v/>
      </c>
      <c r="J840" s="4" t="str">
        <f t="array" ref="J840">IF($E840="","", XLOOKUP(SUMIFS(Prod_Prop!$A:$A,Prod_Prop!$B:$B,$E840,Prod_Prop!$H:$H,J$1,Prod_Prop!$I:$I,"Exacto"),Prod_Prop!$A:$A,Prod_Prop!$J:$J,"",0,1))</f>
        <v/>
      </c>
      <c r="K840" s="4" t="str">
        <f t="array" ref="K840">IF($E840="","", XLOOKUP(SUMIFS(Prod_Prop!$A:$A,Prod_Prop!$B:$B,$E840,Prod_Prop!$H:$H,K$1,Prod_Prop!$I:$I,"Exacto"),Prod_Prop!$A:$A,Prod_Prop!$J:$J,"",0,1))</f>
        <v/>
      </c>
      <c r="L840" s="4" t="str">
        <f t="array" ref="L840">IF($E840="","", XLOOKUP(SUMIFS(Prod_Prop!$A:$A,Prod_Prop!$B:$B,$E840,Prod_Prop!$H:$H,L$1,Prod_Prop!$I:$I,"Exacto"),Prod_Prop!$A:$A,Prod_Prop!$J:$J,"",0,1))</f>
        <v/>
      </c>
      <c r="M840" s="4" t="str">
        <f t="array" ref="M840">IF($E840="","", XLOOKUP(SUMIFS(Prod_Prop!$A:$A,Prod_Prop!$B:$B,$E840,Prod_Prop!$H:$H,M$1,Prod_Prop!$I:$I,"Exacto"),Prod_Prop!$A:$A,Prod_Prop!$J:$J,"",0,1))</f>
        <v/>
      </c>
      <c r="N840" s="4" t="str">
        <f t="array" ref="N840">IF($E840="","", XLOOKUP(SUMIFS(Prod_Prop!$A:$A,Prod_Prop!$B:$B,$E840,Prod_Prop!$H:$H,N$1,Prod_Prop!$I:$I,"Exacto"),Prod_Prop!$A:$A,Prod_Prop!$J:$J,"",0,1))</f>
        <v/>
      </c>
      <c r="O840" s="4" t="str">
        <f t="array" ref="O840">IF($E840="","", XLOOKUP(SUMIFS(Prod_Prop!$A:$A,Prod_Prop!$B:$B,$E840,Prod_Prop!$H:$H,O$1,Prod_Prop!$I:$I,"Exacto"),Prod_Prop!$A:$A,Prod_Prop!$J:$J,"",0,1))</f>
        <v/>
      </c>
      <c r="P840" s="4" t="str">
        <f t="array" ref="P840">IF($E840="","", XLOOKUP(SUMIFS(Prod_Prop!$A:$A,Prod_Prop!$B:$B,$E840,Prod_Prop!$H:$H,P$1,Prod_Prop!$I:$I,"Exacto"),Prod_Prop!$A:$A,Prod_Prop!$J:$J,"",0,1))</f>
        <v/>
      </c>
      <c r="Q840" s="4" t="str">
        <f t="array" ref="Q840">IF($E840="","", XLOOKUP(SUMIFS(Prod_Prop!$A:$A,Prod_Prop!$B:$B,$E840,Prod_Prop!$H:$H,Q$1,Prod_Prop!$I:$I,"Exacto"),Prod_Prop!$A:$A,Prod_Prop!$J:$J,"",0,1))</f>
        <v/>
      </c>
      <c r="R840" s="4" t="str">
        <f t="array" ref="R840">IF($E840="","", XLOOKUP(SUMIFS(Prod_Prop!$A:$A,Prod_Prop!$B:$B,$E840,Prod_Prop!$H:$H,R$1,Prod_Prop!$I:$I,"Exacto"),Prod_Prop!$A:$A,Prod_Prop!$J:$J,"",0,1))</f>
        <v/>
      </c>
      <c r="S840" s="4" t="str">
        <f t="array" ref="S840">IF($E840="","", XLOOKUP(SUMIFS(Prod_Prop!$A:$A,Prod_Prop!$B:$B,$E840,Prod_Prop!$H:$H,S$1,Prod_Prop!$I:$I,"Exacto"),Prod_Prop!$A:$A,Prod_Prop!$J:$J,"",0,1))</f>
        <v/>
      </c>
      <c r="T840" s="4" t="str">
        <f t="array" ref="T840">IF($E840="","", XLOOKUP(SUMIFS(Prod_Prop!$A:$A,Prod_Prop!$B:$B,$E840,Prod_Prop!$H:$H,T$1,Prod_Prop!$I:$I,"Exacto"),Prod_Prop!$A:$A,Prod_Prop!$J:$J,"",0,1))</f>
        <v/>
      </c>
      <c r="U840" s="4" t="str">
        <f t="array" ref="U840">IF($E840="","", XLOOKUP(SUMIFS(Prod_Prop!$A:$A,Prod_Prop!$B:$B,$E840,Prod_Prop!$H:$H,U$1,Prod_Prop!$I:$I,"Exacto"),Prod_Prop!$A:$A,Prod_Prop!$J:$J,"",0,1))</f>
        <v/>
      </c>
      <c r="V840" s="4" t="str">
        <f t="array" ref="V840">IF($E840="","", XLOOKUP(SUMIFS(Prod_Prop!$A:$A,Prod_Prop!$B:$B,$E840,Prod_Prop!$H:$H,V$1,Prod_Prop!$I:$I,"Exacto"),Prod_Prop!$A:$A,Prod_Prop!$J:$J,"",0,1))</f>
        <v/>
      </c>
      <c r="X840" s="3" t="str">
        <f>IFERROR(__xludf.DUMMYFUNCTION("IF(D840="""","""",IFERROR(TRANSPOSE(FILTER('Validaciones Cotizador'!U:U,'Validaciones Cotizador'!O:O=D840,'Validaciones Cotizador'!T:T=""x"")),""Finalizar""))"),"")</f>
        <v/>
      </c>
    </row>
    <row r="841">
      <c r="A841" s="2" t="str">
        <f t="array" ref="A841">IF(E841="","",XLOOKUP(D841,'Validaciones Cotizador'!C:C,'Validaciones Cotizador'!A:A,"",0,1))</f>
        <v/>
      </c>
      <c r="B841" s="2" t="str">
        <f t="array" ref="B841">IF(F841="","",XLOOKUP(F841,Productos!E:E,Productos!G:G,"",0,1))</f>
        <v/>
      </c>
      <c r="C841" s="2" t="str">
        <f>IF(A841="","",SUMIFS('Validaciones Cotizador'!B:B,'Validaciones Cotizador'!C:C,D841,'Validaciones Cotizador'!A:A,A841))</f>
        <v/>
      </c>
      <c r="D841" s="4" t="str">
        <f>IFERROR(__xludf.DUMMYFUNCTION("IF(OR(F840=""Finalizar"",F840="""",F840=""Selecciona..""),"""",IF(OR(F840=""-"",INDEX(filter(Familias!F:F,Familias!D:D=A840,Familias!E:E=C840),1)=""O""),D840+1,D840))"),"")</f>
        <v/>
      </c>
      <c r="E841" s="2" t="str">
        <f>IF(OR(F841="",F841="Selecciona.."),"",IF(D841="Implemento",SUMIF(Implementos!B:B,F841,Implementos!A:A),SUMIF(Productos!E:E,F841,Productos!A:A)))</f>
        <v/>
      </c>
      <c r="F841" s="2" t="str">
        <f t="shared" si="2"/>
        <v/>
      </c>
      <c r="G841" s="10" t="str">
        <f t="array" ref="G841">IF(OR(F841="",F841="-",F841="Selecciona..",F841="Finalizar"),"",IF(A841="Rodados",XLOOKUP(B841,'Validaciones Cotizador'!I:I,'Validaciones Cotizador'!J:J,0,0,1),1))</f>
        <v/>
      </c>
      <c r="H841" s="11" t="str">
        <f>IF(OR(F841="",F841="Selecciona.."),"",SUMIF(Precio_Productos!K:K,E841,Precio_Productos!J:J)*G841)</f>
        <v/>
      </c>
      <c r="I841" s="4" t="str">
        <f t="array" ref="I841">IF($E841="","", XLOOKUP(SUMIFS(Prod_Prop!$A:$A,Prod_Prop!$B:$B,$E841,Prod_Prop!$H:$H,I$1,Prod_Prop!$I:$I,"Exacto"),Prod_Prop!$A:$A,Prod_Prop!$J:$J,"",0,1))</f>
        <v/>
      </c>
      <c r="J841" s="4" t="str">
        <f t="array" ref="J841">IF($E841="","", XLOOKUP(SUMIFS(Prod_Prop!$A:$A,Prod_Prop!$B:$B,$E841,Prod_Prop!$H:$H,J$1,Prod_Prop!$I:$I,"Exacto"),Prod_Prop!$A:$A,Prod_Prop!$J:$J,"",0,1))</f>
        <v/>
      </c>
      <c r="K841" s="4" t="str">
        <f t="array" ref="K841">IF($E841="","", XLOOKUP(SUMIFS(Prod_Prop!$A:$A,Prod_Prop!$B:$B,$E841,Prod_Prop!$H:$H,K$1,Prod_Prop!$I:$I,"Exacto"),Prod_Prop!$A:$A,Prod_Prop!$J:$J,"",0,1))</f>
        <v/>
      </c>
      <c r="L841" s="4" t="str">
        <f t="array" ref="L841">IF($E841="","", XLOOKUP(SUMIFS(Prod_Prop!$A:$A,Prod_Prop!$B:$B,$E841,Prod_Prop!$H:$H,L$1,Prod_Prop!$I:$I,"Exacto"),Prod_Prop!$A:$A,Prod_Prop!$J:$J,"",0,1))</f>
        <v/>
      </c>
      <c r="M841" s="4" t="str">
        <f t="array" ref="M841">IF($E841="","", XLOOKUP(SUMIFS(Prod_Prop!$A:$A,Prod_Prop!$B:$B,$E841,Prod_Prop!$H:$H,M$1,Prod_Prop!$I:$I,"Exacto"),Prod_Prop!$A:$A,Prod_Prop!$J:$J,"",0,1))</f>
        <v/>
      </c>
      <c r="N841" s="4" t="str">
        <f t="array" ref="N841">IF($E841="","", XLOOKUP(SUMIFS(Prod_Prop!$A:$A,Prod_Prop!$B:$B,$E841,Prod_Prop!$H:$H,N$1,Prod_Prop!$I:$I,"Exacto"),Prod_Prop!$A:$A,Prod_Prop!$J:$J,"",0,1))</f>
        <v/>
      </c>
      <c r="O841" s="4" t="str">
        <f t="array" ref="O841">IF($E841="","", XLOOKUP(SUMIFS(Prod_Prop!$A:$A,Prod_Prop!$B:$B,$E841,Prod_Prop!$H:$H,O$1,Prod_Prop!$I:$I,"Exacto"),Prod_Prop!$A:$A,Prod_Prop!$J:$J,"",0,1))</f>
        <v/>
      </c>
      <c r="P841" s="4" t="str">
        <f t="array" ref="P841">IF($E841="","", XLOOKUP(SUMIFS(Prod_Prop!$A:$A,Prod_Prop!$B:$B,$E841,Prod_Prop!$H:$H,P$1,Prod_Prop!$I:$I,"Exacto"),Prod_Prop!$A:$A,Prod_Prop!$J:$J,"",0,1))</f>
        <v/>
      </c>
      <c r="Q841" s="4" t="str">
        <f t="array" ref="Q841">IF($E841="","", XLOOKUP(SUMIFS(Prod_Prop!$A:$A,Prod_Prop!$B:$B,$E841,Prod_Prop!$H:$H,Q$1,Prod_Prop!$I:$I,"Exacto"),Prod_Prop!$A:$A,Prod_Prop!$J:$J,"",0,1))</f>
        <v/>
      </c>
      <c r="R841" s="4" t="str">
        <f t="array" ref="R841">IF($E841="","", XLOOKUP(SUMIFS(Prod_Prop!$A:$A,Prod_Prop!$B:$B,$E841,Prod_Prop!$H:$H,R$1,Prod_Prop!$I:$I,"Exacto"),Prod_Prop!$A:$A,Prod_Prop!$J:$J,"",0,1))</f>
        <v/>
      </c>
      <c r="S841" s="4" t="str">
        <f t="array" ref="S841">IF($E841="","", XLOOKUP(SUMIFS(Prod_Prop!$A:$A,Prod_Prop!$B:$B,$E841,Prod_Prop!$H:$H,S$1,Prod_Prop!$I:$I,"Exacto"),Prod_Prop!$A:$A,Prod_Prop!$J:$J,"",0,1))</f>
        <v/>
      </c>
      <c r="T841" s="4" t="str">
        <f t="array" ref="T841">IF($E841="","", XLOOKUP(SUMIFS(Prod_Prop!$A:$A,Prod_Prop!$B:$B,$E841,Prod_Prop!$H:$H,T$1,Prod_Prop!$I:$I,"Exacto"),Prod_Prop!$A:$A,Prod_Prop!$J:$J,"",0,1))</f>
        <v/>
      </c>
      <c r="U841" s="4" t="str">
        <f t="array" ref="U841">IF($E841="","", XLOOKUP(SUMIFS(Prod_Prop!$A:$A,Prod_Prop!$B:$B,$E841,Prod_Prop!$H:$H,U$1,Prod_Prop!$I:$I,"Exacto"),Prod_Prop!$A:$A,Prod_Prop!$J:$J,"",0,1))</f>
        <v/>
      </c>
      <c r="V841" s="4" t="str">
        <f t="array" ref="V841">IF($E841="","", XLOOKUP(SUMIFS(Prod_Prop!$A:$A,Prod_Prop!$B:$B,$E841,Prod_Prop!$H:$H,V$1,Prod_Prop!$I:$I,"Exacto"),Prod_Prop!$A:$A,Prod_Prop!$J:$J,"",0,1))</f>
        <v/>
      </c>
      <c r="X841" s="3" t="str">
        <f>IFERROR(__xludf.DUMMYFUNCTION("IF(D841="""","""",IFERROR(TRANSPOSE(FILTER('Validaciones Cotizador'!U:U,'Validaciones Cotizador'!O:O=D841,'Validaciones Cotizador'!T:T=""x"")),""Finalizar""))"),"")</f>
        <v/>
      </c>
    </row>
    <row r="842">
      <c r="A842" s="2" t="str">
        <f t="array" ref="A842">IF(E842="","",XLOOKUP(D842,'Validaciones Cotizador'!C:C,'Validaciones Cotizador'!A:A,"",0,1))</f>
        <v/>
      </c>
      <c r="B842" s="2" t="str">
        <f t="array" ref="B842">IF(F842="","",XLOOKUP(F842,Productos!E:E,Productos!G:G,"",0,1))</f>
        <v/>
      </c>
      <c r="C842" s="2" t="str">
        <f>IF(A842="","",SUMIFS('Validaciones Cotizador'!B:B,'Validaciones Cotizador'!C:C,D842,'Validaciones Cotizador'!A:A,A842))</f>
        <v/>
      </c>
      <c r="D842" s="4" t="str">
        <f>IFERROR(__xludf.DUMMYFUNCTION("IF(OR(F841=""Finalizar"",F841="""",F841=""Selecciona..""),"""",IF(OR(F841=""-"",INDEX(filter(Familias!F:F,Familias!D:D=A841,Familias!E:E=C841),1)=""O""),D841+1,D841))"),"")</f>
        <v/>
      </c>
      <c r="E842" s="2" t="str">
        <f>IF(OR(F842="",F842="Selecciona.."),"",IF(D842="Implemento",SUMIF(Implementos!B:B,F842,Implementos!A:A),SUMIF(Productos!E:E,F842,Productos!A:A)))</f>
        <v/>
      </c>
      <c r="F842" s="2" t="str">
        <f t="shared" si="2"/>
        <v/>
      </c>
      <c r="G842" s="10" t="str">
        <f t="array" ref="G842">IF(OR(F842="",F842="-",F842="Selecciona..",F842="Finalizar"),"",IF(A842="Rodados",XLOOKUP(B842,'Validaciones Cotizador'!I:I,'Validaciones Cotizador'!J:J,0,0,1),1))</f>
        <v/>
      </c>
      <c r="H842" s="11" t="str">
        <f>IF(OR(F842="",F842="Selecciona.."),"",SUMIF(Precio_Productos!K:K,E842,Precio_Productos!J:J)*G842)</f>
        <v/>
      </c>
      <c r="I842" s="4" t="str">
        <f t="array" ref="I842">IF($E842="","", XLOOKUP(SUMIFS(Prod_Prop!$A:$A,Prod_Prop!$B:$B,$E842,Prod_Prop!$H:$H,I$1,Prod_Prop!$I:$I,"Exacto"),Prod_Prop!$A:$A,Prod_Prop!$J:$J,"",0,1))</f>
        <v/>
      </c>
      <c r="J842" s="4" t="str">
        <f t="array" ref="J842">IF($E842="","", XLOOKUP(SUMIFS(Prod_Prop!$A:$A,Prod_Prop!$B:$B,$E842,Prod_Prop!$H:$H,J$1,Prod_Prop!$I:$I,"Exacto"),Prod_Prop!$A:$A,Prod_Prop!$J:$J,"",0,1))</f>
        <v/>
      </c>
      <c r="K842" s="4" t="str">
        <f t="array" ref="K842">IF($E842="","", XLOOKUP(SUMIFS(Prod_Prop!$A:$A,Prod_Prop!$B:$B,$E842,Prod_Prop!$H:$H,K$1,Prod_Prop!$I:$I,"Exacto"),Prod_Prop!$A:$A,Prod_Prop!$J:$J,"",0,1))</f>
        <v/>
      </c>
      <c r="L842" s="4" t="str">
        <f t="array" ref="L842">IF($E842="","", XLOOKUP(SUMIFS(Prod_Prop!$A:$A,Prod_Prop!$B:$B,$E842,Prod_Prop!$H:$H,L$1,Prod_Prop!$I:$I,"Exacto"),Prod_Prop!$A:$A,Prod_Prop!$J:$J,"",0,1))</f>
        <v/>
      </c>
      <c r="M842" s="4" t="str">
        <f t="array" ref="M842">IF($E842="","", XLOOKUP(SUMIFS(Prod_Prop!$A:$A,Prod_Prop!$B:$B,$E842,Prod_Prop!$H:$H,M$1,Prod_Prop!$I:$I,"Exacto"),Prod_Prop!$A:$A,Prod_Prop!$J:$J,"",0,1))</f>
        <v/>
      </c>
      <c r="N842" s="4" t="str">
        <f t="array" ref="N842">IF($E842="","", XLOOKUP(SUMIFS(Prod_Prop!$A:$A,Prod_Prop!$B:$B,$E842,Prod_Prop!$H:$H,N$1,Prod_Prop!$I:$I,"Exacto"),Prod_Prop!$A:$A,Prod_Prop!$J:$J,"",0,1))</f>
        <v/>
      </c>
      <c r="O842" s="4" t="str">
        <f t="array" ref="O842">IF($E842="","", XLOOKUP(SUMIFS(Prod_Prop!$A:$A,Prod_Prop!$B:$B,$E842,Prod_Prop!$H:$H,O$1,Prod_Prop!$I:$I,"Exacto"),Prod_Prop!$A:$A,Prod_Prop!$J:$J,"",0,1))</f>
        <v/>
      </c>
      <c r="P842" s="4" t="str">
        <f t="array" ref="P842">IF($E842="","", XLOOKUP(SUMIFS(Prod_Prop!$A:$A,Prod_Prop!$B:$B,$E842,Prod_Prop!$H:$H,P$1,Prod_Prop!$I:$I,"Exacto"),Prod_Prop!$A:$A,Prod_Prop!$J:$J,"",0,1))</f>
        <v/>
      </c>
      <c r="Q842" s="4" t="str">
        <f t="array" ref="Q842">IF($E842="","", XLOOKUP(SUMIFS(Prod_Prop!$A:$A,Prod_Prop!$B:$B,$E842,Prod_Prop!$H:$H,Q$1,Prod_Prop!$I:$I,"Exacto"),Prod_Prop!$A:$A,Prod_Prop!$J:$J,"",0,1))</f>
        <v/>
      </c>
      <c r="R842" s="4" t="str">
        <f t="array" ref="R842">IF($E842="","", XLOOKUP(SUMIFS(Prod_Prop!$A:$A,Prod_Prop!$B:$B,$E842,Prod_Prop!$H:$H,R$1,Prod_Prop!$I:$I,"Exacto"),Prod_Prop!$A:$A,Prod_Prop!$J:$J,"",0,1))</f>
        <v/>
      </c>
      <c r="S842" s="4" t="str">
        <f t="array" ref="S842">IF($E842="","", XLOOKUP(SUMIFS(Prod_Prop!$A:$A,Prod_Prop!$B:$B,$E842,Prod_Prop!$H:$H,S$1,Prod_Prop!$I:$I,"Exacto"),Prod_Prop!$A:$A,Prod_Prop!$J:$J,"",0,1))</f>
        <v/>
      </c>
      <c r="T842" s="4" t="str">
        <f t="array" ref="T842">IF($E842="","", XLOOKUP(SUMIFS(Prod_Prop!$A:$A,Prod_Prop!$B:$B,$E842,Prod_Prop!$H:$H,T$1,Prod_Prop!$I:$I,"Exacto"),Prod_Prop!$A:$A,Prod_Prop!$J:$J,"",0,1))</f>
        <v/>
      </c>
      <c r="U842" s="4" t="str">
        <f t="array" ref="U842">IF($E842="","", XLOOKUP(SUMIFS(Prod_Prop!$A:$A,Prod_Prop!$B:$B,$E842,Prod_Prop!$H:$H,U$1,Prod_Prop!$I:$I,"Exacto"),Prod_Prop!$A:$A,Prod_Prop!$J:$J,"",0,1))</f>
        <v/>
      </c>
      <c r="V842" s="4" t="str">
        <f t="array" ref="V842">IF($E842="","", XLOOKUP(SUMIFS(Prod_Prop!$A:$A,Prod_Prop!$B:$B,$E842,Prod_Prop!$H:$H,V$1,Prod_Prop!$I:$I,"Exacto"),Prod_Prop!$A:$A,Prod_Prop!$J:$J,"",0,1))</f>
        <v/>
      </c>
      <c r="X842" s="3" t="str">
        <f>IFERROR(__xludf.DUMMYFUNCTION("IF(D842="""","""",IFERROR(TRANSPOSE(FILTER('Validaciones Cotizador'!U:U,'Validaciones Cotizador'!O:O=D842,'Validaciones Cotizador'!T:T=""x"")),""Finalizar""))"),"")</f>
        <v/>
      </c>
    </row>
    <row r="843">
      <c r="A843" s="2" t="str">
        <f t="array" ref="A843">IF(E843="","",XLOOKUP(D843,'Validaciones Cotizador'!C:C,'Validaciones Cotizador'!A:A,"",0,1))</f>
        <v/>
      </c>
      <c r="B843" s="2" t="str">
        <f t="array" ref="B843">IF(F843="","",XLOOKUP(F843,Productos!E:E,Productos!G:G,"",0,1))</f>
        <v/>
      </c>
      <c r="C843" s="2" t="str">
        <f>IF(A843="","",SUMIFS('Validaciones Cotizador'!B:B,'Validaciones Cotizador'!C:C,D843,'Validaciones Cotizador'!A:A,A843))</f>
        <v/>
      </c>
      <c r="D843" s="4" t="str">
        <f>IFERROR(__xludf.DUMMYFUNCTION("IF(OR(F842=""Finalizar"",F842="""",F842=""Selecciona..""),"""",IF(OR(F842=""-"",INDEX(filter(Familias!F:F,Familias!D:D=A842,Familias!E:E=C842),1)=""O""),D842+1,D842))"),"")</f>
        <v/>
      </c>
      <c r="E843" s="2" t="str">
        <f>IF(OR(F843="",F843="Selecciona.."),"",IF(D843="Implemento",SUMIF(Implementos!B:B,F843,Implementos!A:A),SUMIF(Productos!E:E,F843,Productos!A:A)))</f>
        <v/>
      </c>
      <c r="F843" s="2" t="str">
        <f t="shared" si="2"/>
        <v/>
      </c>
      <c r="G843" s="10" t="str">
        <f t="array" ref="G843">IF(OR(F843="",F843="-",F843="Selecciona..",F843="Finalizar"),"",IF(A843="Rodados",XLOOKUP(B843,'Validaciones Cotizador'!I:I,'Validaciones Cotizador'!J:J,0,0,1),1))</f>
        <v/>
      </c>
      <c r="H843" s="11" t="str">
        <f>IF(OR(F843="",F843="Selecciona.."),"",SUMIF(Precio_Productos!K:K,E843,Precio_Productos!J:J)*G843)</f>
        <v/>
      </c>
      <c r="I843" s="4" t="str">
        <f t="array" ref="I843">IF($E843="","", XLOOKUP(SUMIFS(Prod_Prop!$A:$A,Prod_Prop!$B:$B,$E843,Prod_Prop!$H:$H,I$1,Prod_Prop!$I:$I,"Exacto"),Prod_Prop!$A:$A,Prod_Prop!$J:$J,"",0,1))</f>
        <v/>
      </c>
      <c r="J843" s="4" t="str">
        <f t="array" ref="J843">IF($E843="","", XLOOKUP(SUMIFS(Prod_Prop!$A:$A,Prod_Prop!$B:$B,$E843,Prod_Prop!$H:$H,J$1,Prod_Prop!$I:$I,"Exacto"),Prod_Prop!$A:$A,Prod_Prop!$J:$J,"",0,1))</f>
        <v/>
      </c>
      <c r="K843" s="4" t="str">
        <f t="array" ref="K843">IF($E843="","", XLOOKUP(SUMIFS(Prod_Prop!$A:$A,Prod_Prop!$B:$B,$E843,Prod_Prop!$H:$H,K$1,Prod_Prop!$I:$I,"Exacto"),Prod_Prop!$A:$A,Prod_Prop!$J:$J,"",0,1))</f>
        <v/>
      </c>
      <c r="L843" s="4" t="str">
        <f t="array" ref="L843">IF($E843="","", XLOOKUP(SUMIFS(Prod_Prop!$A:$A,Prod_Prop!$B:$B,$E843,Prod_Prop!$H:$H,L$1,Prod_Prop!$I:$I,"Exacto"),Prod_Prop!$A:$A,Prod_Prop!$J:$J,"",0,1))</f>
        <v/>
      </c>
      <c r="M843" s="4" t="str">
        <f t="array" ref="M843">IF($E843="","", XLOOKUP(SUMIFS(Prod_Prop!$A:$A,Prod_Prop!$B:$B,$E843,Prod_Prop!$H:$H,M$1,Prod_Prop!$I:$I,"Exacto"),Prod_Prop!$A:$A,Prod_Prop!$J:$J,"",0,1))</f>
        <v/>
      </c>
      <c r="N843" s="4" t="str">
        <f t="array" ref="N843">IF($E843="","", XLOOKUP(SUMIFS(Prod_Prop!$A:$A,Prod_Prop!$B:$B,$E843,Prod_Prop!$H:$H,N$1,Prod_Prop!$I:$I,"Exacto"),Prod_Prop!$A:$A,Prod_Prop!$J:$J,"",0,1))</f>
        <v/>
      </c>
      <c r="O843" s="4" t="str">
        <f t="array" ref="O843">IF($E843="","", XLOOKUP(SUMIFS(Prod_Prop!$A:$A,Prod_Prop!$B:$B,$E843,Prod_Prop!$H:$H,O$1,Prod_Prop!$I:$I,"Exacto"),Prod_Prop!$A:$A,Prod_Prop!$J:$J,"",0,1))</f>
        <v/>
      </c>
      <c r="P843" s="4" t="str">
        <f t="array" ref="P843">IF($E843="","", XLOOKUP(SUMIFS(Prod_Prop!$A:$A,Prod_Prop!$B:$B,$E843,Prod_Prop!$H:$H,P$1,Prod_Prop!$I:$I,"Exacto"),Prod_Prop!$A:$A,Prod_Prop!$J:$J,"",0,1))</f>
        <v/>
      </c>
      <c r="Q843" s="4" t="str">
        <f t="array" ref="Q843">IF($E843="","", XLOOKUP(SUMIFS(Prod_Prop!$A:$A,Prod_Prop!$B:$B,$E843,Prod_Prop!$H:$H,Q$1,Prod_Prop!$I:$I,"Exacto"),Prod_Prop!$A:$A,Prod_Prop!$J:$J,"",0,1))</f>
        <v/>
      </c>
      <c r="R843" s="4" t="str">
        <f t="array" ref="R843">IF($E843="","", XLOOKUP(SUMIFS(Prod_Prop!$A:$A,Prod_Prop!$B:$B,$E843,Prod_Prop!$H:$H,R$1,Prod_Prop!$I:$I,"Exacto"),Prod_Prop!$A:$A,Prod_Prop!$J:$J,"",0,1))</f>
        <v/>
      </c>
      <c r="S843" s="4" t="str">
        <f t="array" ref="S843">IF($E843="","", XLOOKUP(SUMIFS(Prod_Prop!$A:$A,Prod_Prop!$B:$B,$E843,Prod_Prop!$H:$H,S$1,Prod_Prop!$I:$I,"Exacto"),Prod_Prop!$A:$A,Prod_Prop!$J:$J,"",0,1))</f>
        <v/>
      </c>
      <c r="T843" s="4" t="str">
        <f t="array" ref="T843">IF($E843="","", XLOOKUP(SUMIFS(Prod_Prop!$A:$A,Prod_Prop!$B:$B,$E843,Prod_Prop!$H:$H,T$1,Prod_Prop!$I:$I,"Exacto"),Prod_Prop!$A:$A,Prod_Prop!$J:$J,"",0,1))</f>
        <v/>
      </c>
      <c r="U843" s="4" t="str">
        <f t="array" ref="U843">IF($E843="","", XLOOKUP(SUMIFS(Prod_Prop!$A:$A,Prod_Prop!$B:$B,$E843,Prod_Prop!$H:$H,U$1,Prod_Prop!$I:$I,"Exacto"),Prod_Prop!$A:$A,Prod_Prop!$J:$J,"",0,1))</f>
        <v/>
      </c>
      <c r="V843" s="4" t="str">
        <f t="array" ref="V843">IF($E843="","", XLOOKUP(SUMIFS(Prod_Prop!$A:$A,Prod_Prop!$B:$B,$E843,Prod_Prop!$H:$H,V$1,Prod_Prop!$I:$I,"Exacto"),Prod_Prop!$A:$A,Prod_Prop!$J:$J,"",0,1))</f>
        <v/>
      </c>
      <c r="X843" s="3" t="str">
        <f>IFERROR(__xludf.DUMMYFUNCTION("IF(D843="""","""",IFERROR(TRANSPOSE(FILTER('Validaciones Cotizador'!U:U,'Validaciones Cotizador'!O:O=D843,'Validaciones Cotizador'!T:T=""x"")),""Finalizar""))"),"")</f>
        <v/>
      </c>
    </row>
    <row r="844">
      <c r="A844" s="2" t="str">
        <f t="array" ref="A844">IF(E844="","",XLOOKUP(D844,'Validaciones Cotizador'!C:C,'Validaciones Cotizador'!A:A,"",0,1))</f>
        <v/>
      </c>
      <c r="B844" s="2" t="str">
        <f t="array" ref="B844">IF(F844="","",XLOOKUP(F844,Productos!E:E,Productos!G:G,"",0,1))</f>
        <v/>
      </c>
      <c r="C844" s="2" t="str">
        <f>IF(A844="","",SUMIFS('Validaciones Cotizador'!B:B,'Validaciones Cotizador'!C:C,D844,'Validaciones Cotizador'!A:A,A844))</f>
        <v/>
      </c>
      <c r="D844" s="4" t="str">
        <f>IFERROR(__xludf.DUMMYFUNCTION("IF(OR(F843=""Finalizar"",F843="""",F843=""Selecciona..""),"""",IF(OR(F843=""-"",INDEX(filter(Familias!F:F,Familias!D:D=A843,Familias!E:E=C843),1)=""O""),D843+1,D843))"),"")</f>
        <v/>
      </c>
      <c r="E844" s="2" t="str">
        <f>IF(OR(F844="",F844="Selecciona.."),"",IF(D844="Implemento",SUMIF(Implementos!B:B,F844,Implementos!A:A),SUMIF(Productos!E:E,F844,Productos!A:A)))</f>
        <v/>
      </c>
      <c r="F844" s="2" t="str">
        <f t="shared" si="2"/>
        <v/>
      </c>
      <c r="G844" s="10" t="str">
        <f t="array" ref="G844">IF(OR(F844="",F844="-",F844="Selecciona..",F844="Finalizar"),"",IF(A844="Rodados",XLOOKUP(B844,'Validaciones Cotizador'!I:I,'Validaciones Cotizador'!J:J,0,0,1),1))</f>
        <v/>
      </c>
      <c r="H844" s="11" t="str">
        <f>IF(OR(F844="",F844="Selecciona.."),"",SUMIF(Precio_Productos!K:K,E844,Precio_Productos!J:J)*G844)</f>
        <v/>
      </c>
      <c r="I844" s="4" t="str">
        <f t="array" ref="I844">IF($E844="","", XLOOKUP(SUMIFS(Prod_Prop!$A:$A,Prod_Prop!$B:$B,$E844,Prod_Prop!$H:$H,I$1,Prod_Prop!$I:$I,"Exacto"),Prod_Prop!$A:$A,Prod_Prop!$J:$J,"",0,1))</f>
        <v/>
      </c>
      <c r="J844" s="4" t="str">
        <f t="array" ref="J844">IF($E844="","", XLOOKUP(SUMIFS(Prod_Prop!$A:$A,Prod_Prop!$B:$B,$E844,Prod_Prop!$H:$H,J$1,Prod_Prop!$I:$I,"Exacto"),Prod_Prop!$A:$A,Prod_Prop!$J:$J,"",0,1))</f>
        <v/>
      </c>
      <c r="K844" s="4" t="str">
        <f t="array" ref="K844">IF($E844="","", XLOOKUP(SUMIFS(Prod_Prop!$A:$A,Prod_Prop!$B:$B,$E844,Prod_Prop!$H:$H,K$1,Prod_Prop!$I:$I,"Exacto"),Prod_Prop!$A:$A,Prod_Prop!$J:$J,"",0,1))</f>
        <v/>
      </c>
      <c r="L844" s="4" t="str">
        <f t="array" ref="L844">IF($E844="","", XLOOKUP(SUMIFS(Prod_Prop!$A:$A,Prod_Prop!$B:$B,$E844,Prod_Prop!$H:$H,L$1,Prod_Prop!$I:$I,"Exacto"),Prod_Prop!$A:$A,Prod_Prop!$J:$J,"",0,1))</f>
        <v/>
      </c>
      <c r="M844" s="4" t="str">
        <f t="array" ref="M844">IF($E844="","", XLOOKUP(SUMIFS(Prod_Prop!$A:$A,Prod_Prop!$B:$B,$E844,Prod_Prop!$H:$H,M$1,Prod_Prop!$I:$I,"Exacto"),Prod_Prop!$A:$A,Prod_Prop!$J:$J,"",0,1))</f>
        <v/>
      </c>
      <c r="N844" s="4" t="str">
        <f t="array" ref="N844">IF($E844="","", XLOOKUP(SUMIFS(Prod_Prop!$A:$A,Prod_Prop!$B:$B,$E844,Prod_Prop!$H:$H,N$1,Prod_Prop!$I:$I,"Exacto"),Prod_Prop!$A:$A,Prod_Prop!$J:$J,"",0,1))</f>
        <v/>
      </c>
      <c r="O844" s="4" t="str">
        <f t="array" ref="O844">IF($E844="","", XLOOKUP(SUMIFS(Prod_Prop!$A:$A,Prod_Prop!$B:$B,$E844,Prod_Prop!$H:$H,O$1,Prod_Prop!$I:$I,"Exacto"),Prod_Prop!$A:$A,Prod_Prop!$J:$J,"",0,1))</f>
        <v/>
      </c>
      <c r="P844" s="4" t="str">
        <f t="array" ref="P844">IF($E844="","", XLOOKUP(SUMIFS(Prod_Prop!$A:$A,Prod_Prop!$B:$B,$E844,Prod_Prop!$H:$H,P$1,Prod_Prop!$I:$I,"Exacto"),Prod_Prop!$A:$A,Prod_Prop!$J:$J,"",0,1))</f>
        <v/>
      </c>
      <c r="Q844" s="4" t="str">
        <f t="array" ref="Q844">IF($E844="","", XLOOKUP(SUMIFS(Prod_Prop!$A:$A,Prod_Prop!$B:$B,$E844,Prod_Prop!$H:$H,Q$1,Prod_Prop!$I:$I,"Exacto"),Prod_Prop!$A:$A,Prod_Prop!$J:$J,"",0,1))</f>
        <v/>
      </c>
      <c r="R844" s="4" t="str">
        <f t="array" ref="R844">IF($E844="","", XLOOKUP(SUMIFS(Prod_Prop!$A:$A,Prod_Prop!$B:$B,$E844,Prod_Prop!$H:$H,R$1,Prod_Prop!$I:$I,"Exacto"),Prod_Prop!$A:$A,Prod_Prop!$J:$J,"",0,1))</f>
        <v/>
      </c>
      <c r="S844" s="4" t="str">
        <f t="array" ref="S844">IF($E844="","", XLOOKUP(SUMIFS(Prod_Prop!$A:$A,Prod_Prop!$B:$B,$E844,Prod_Prop!$H:$H,S$1,Prod_Prop!$I:$I,"Exacto"),Prod_Prop!$A:$A,Prod_Prop!$J:$J,"",0,1))</f>
        <v/>
      </c>
      <c r="T844" s="4" t="str">
        <f t="array" ref="T844">IF($E844="","", XLOOKUP(SUMIFS(Prod_Prop!$A:$A,Prod_Prop!$B:$B,$E844,Prod_Prop!$H:$H,T$1,Prod_Prop!$I:$I,"Exacto"),Prod_Prop!$A:$A,Prod_Prop!$J:$J,"",0,1))</f>
        <v/>
      </c>
      <c r="U844" s="4" t="str">
        <f t="array" ref="U844">IF($E844="","", XLOOKUP(SUMIFS(Prod_Prop!$A:$A,Prod_Prop!$B:$B,$E844,Prod_Prop!$H:$H,U$1,Prod_Prop!$I:$I,"Exacto"),Prod_Prop!$A:$A,Prod_Prop!$J:$J,"",0,1))</f>
        <v/>
      </c>
      <c r="V844" s="4" t="str">
        <f t="array" ref="V844">IF($E844="","", XLOOKUP(SUMIFS(Prod_Prop!$A:$A,Prod_Prop!$B:$B,$E844,Prod_Prop!$H:$H,V$1,Prod_Prop!$I:$I,"Exacto"),Prod_Prop!$A:$A,Prod_Prop!$J:$J,"",0,1))</f>
        <v/>
      </c>
      <c r="X844" s="3" t="str">
        <f>IFERROR(__xludf.DUMMYFUNCTION("IF(D844="""","""",IFERROR(TRANSPOSE(FILTER('Validaciones Cotizador'!U:U,'Validaciones Cotizador'!O:O=D844,'Validaciones Cotizador'!T:T=""x"")),""Finalizar""))"),"")</f>
        <v/>
      </c>
    </row>
    <row r="845">
      <c r="A845" s="2" t="str">
        <f t="array" ref="A845">IF(E845="","",XLOOKUP(D845,'Validaciones Cotizador'!C:C,'Validaciones Cotizador'!A:A,"",0,1))</f>
        <v/>
      </c>
      <c r="B845" s="2" t="str">
        <f t="array" ref="B845">IF(F845="","",XLOOKUP(F845,Productos!E:E,Productos!G:G,"",0,1))</f>
        <v/>
      </c>
      <c r="C845" s="2" t="str">
        <f>IF(A845="","",SUMIFS('Validaciones Cotizador'!B:B,'Validaciones Cotizador'!C:C,D845,'Validaciones Cotizador'!A:A,A845))</f>
        <v/>
      </c>
      <c r="D845" s="4" t="str">
        <f>IFERROR(__xludf.DUMMYFUNCTION("IF(OR(F844=""Finalizar"",F844="""",F844=""Selecciona..""),"""",IF(OR(F844=""-"",INDEX(filter(Familias!F:F,Familias!D:D=A844,Familias!E:E=C844),1)=""O""),D844+1,D844))"),"")</f>
        <v/>
      </c>
      <c r="E845" s="2" t="str">
        <f>IF(OR(F845="",F845="Selecciona.."),"",IF(D845="Implemento",SUMIF(Implementos!B:B,F845,Implementos!A:A),SUMIF(Productos!E:E,F845,Productos!A:A)))</f>
        <v/>
      </c>
      <c r="F845" s="2" t="str">
        <f t="shared" si="2"/>
        <v/>
      </c>
      <c r="G845" s="10" t="str">
        <f t="array" ref="G845">IF(OR(F845="",F845="-",F845="Selecciona..",F845="Finalizar"),"",IF(A845="Rodados",XLOOKUP(B845,'Validaciones Cotizador'!I:I,'Validaciones Cotizador'!J:J,0,0,1),1))</f>
        <v/>
      </c>
      <c r="H845" s="11" t="str">
        <f>IF(OR(F845="",F845="Selecciona.."),"",SUMIF(Precio_Productos!K:K,E845,Precio_Productos!J:J)*G845)</f>
        <v/>
      </c>
      <c r="I845" s="4" t="str">
        <f t="array" ref="I845">IF($E845="","", XLOOKUP(SUMIFS(Prod_Prop!$A:$A,Prod_Prop!$B:$B,$E845,Prod_Prop!$H:$H,I$1,Prod_Prop!$I:$I,"Exacto"),Prod_Prop!$A:$A,Prod_Prop!$J:$J,"",0,1))</f>
        <v/>
      </c>
      <c r="J845" s="4" t="str">
        <f t="array" ref="J845">IF($E845="","", XLOOKUP(SUMIFS(Prod_Prop!$A:$A,Prod_Prop!$B:$B,$E845,Prod_Prop!$H:$H,J$1,Prod_Prop!$I:$I,"Exacto"),Prod_Prop!$A:$A,Prod_Prop!$J:$J,"",0,1))</f>
        <v/>
      </c>
      <c r="K845" s="4" t="str">
        <f t="array" ref="K845">IF($E845="","", XLOOKUP(SUMIFS(Prod_Prop!$A:$A,Prod_Prop!$B:$B,$E845,Prod_Prop!$H:$H,K$1,Prod_Prop!$I:$I,"Exacto"),Prod_Prop!$A:$A,Prod_Prop!$J:$J,"",0,1))</f>
        <v/>
      </c>
      <c r="L845" s="4" t="str">
        <f t="array" ref="L845">IF($E845="","", XLOOKUP(SUMIFS(Prod_Prop!$A:$A,Prod_Prop!$B:$B,$E845,Prod_Prop!$H:$H,L$1,Prod_Prop!$I:$I,"Exacto"),Prod_Prop!$A:$A,Prod_Prop!$J:$J,"",0,1))</f>
        <v/>
      </c>
      <c r="M845" s="4" t="str">
        <f t="array" ref="M845">IF($E845="","", XLOOKUP(SUMIFS(Prod_Prop!$A:$A,Prod_Prop!$B:$B,$E845,Prod_Prop!$H:$H,M$1,Prod_Prop!$I:$I,"Exacto"),Prod_Prop!$A:$A,Prod_Prop!$J:$J,"",0,1))</f>
        <v/>
      </c>
      <c r="N845" s="4" t="str">
        <f t="array" ref="N845">IF($E845="","", XLOOKUP(SUMIFS(Prod_Prop!$A:$A,Prod_Prop!$B:$B,$E845,Prod_Prop!$H:$H,N$1,Prod_Prop!$I:$I,"Exacto"),Prod_Prop!$A:$A,Prod_Prop!$J:$J,"",0,1))</f>
        <v/>
      </c>
      <c r="O845" s="4" t="str">
        <f t="array" ref="O845">IF($E845="","", XLOOKUP(SUMIFS(Prod_Prop!$A:$A,Prod_Prop!$B:$B,$E845,Prod_Prop!$H:$H,O$1,Prod_Prop!$I:$I,"Exacto"),Prod_Prop!$A:$A,Prod_Prop!$J:$J,"",0,1))</f>
        <v/>
      </c>
      <c r="P845" s="4" t="str">
        <f t="array" ref="P845">IF($E845="","", XLOOKUP(SUMIFS(Prod_Prop!$A:$A,Prod_Prop!$B:$B,$E845,Prod_Prop!$H:$H,P$1,Prod_Prop!$I:$I,"Exacto"),Prod_Prop!$A:$A,Prod_Prop!$J:$J,"",0,1))</f>
        <v/>
      </c>
      <c r="Q845" s="4" t="str">
        <f t="array" ref="Q845">IF($E845="","", XLOOKUP(SUMIFS(Prod_Prop!$A:$A,Prod_Prop!$B:$B,$E845,Prod_Prop!$H:$H,Q$1,Prod_Prop!$I:$I,"Exacto"),Prod_Prop!$A:$A,Prod_Prop!$J:$J,"",0,1))</f>
        <v/>
      </c>
      <c r="R845" s="4" t="str">
        <f t="array" ref="R845">IF($E845="","", XLOOKUP(SUMIFS(Prod_Prop!$A:$A,Prod_Prop!$B:$B,$E845,Prod_Prop!$H:$H,R$1,Prod_Prop!$I:$I,"Exacto"),Prod_Prop!$A:$A,Prod_Prop!$J:$J,"",0,1))</f>
        <v/>
      </c>
      <c r="S845" s="4" t="str">
        <f t="array" ref="S845">IF($E845="","", XLOOKUP(SUMIFS(Prod_Prop!$A:$A,Prod_Prop!$B:$B,$E845,Prod_Prop!$H:$H,S$1,Prod_Prop!$I:$I,"Exacto"),Prod_Prop!$A:$A,Prod_Prop!$J:$J,"",0,1))</f>
        <v/>
      </c>
      <c r="T845" s="4" t="str">
        <f t="array" ref="T845">IF($E845="","", XLOOKUP(SUMIFS(Prod_Prop!$A:$A,Prod_Prop!$B:$B,$E845,Prod_Prop!$H:$H,T$1,Prod_Prop!$I:$I,"Exacto"),Prod_Prop!$A:$A,Prod_Prop!$J:$J,"",0,1))</f>
        <v/>
      </c>
      <c r="U845" s="4" t="str">
        <f t="array" ref="U845">IF($E845="","", XLOOKUP(SUMIFS(Prod_Prop!$A:$A,Prod_Prop!$B:$B,$E845,Prod_Prop!$H:$H,U$1,Prod_Prop!$I:$I,"Exacto"),Prod_Prop!$A:$A,Prod_Prop!$J:$J,"",0,1))</f>
        <v/>
      </c>
      <c r="V845" s="4" t="str">
        <f t="array" ref="V845">IF($E845="","", XLOOKUP(SUMIFS(Prod_Prop!$A:$A,Prod_Prop!$B:$B,$E845,Prod_Prop!$H:$H,V$1,Prod_Prop!$I:$I,"Exacto"),Prod_Prop!$A:$A,Prod_Prop!$J:$J,"",0,1))</f>
        <v/>
      </c>
      <c r="X845" s="3" t="str">
        <f>IFERROR(__xludf.DUMMYFUNCTION("IF(D845="""","""",IFERROR(TRANSPOSE(FILTER('Validaciones Cotizador'!U:U,'Validaciones Cotizador'!O:O=D845,'Validaciones Cotizador'!T:T=""x"")),""Finalizar""))"),"")</f>
        <v/>
      </c>
    </row>
    <row r="846">
      <c r="A846" s="2" t="str">
        <f t="array" ref="A846">IF(E846="","",XLOOKUP(D846,'Validaciones Cotizador'!C:C,'Validaciones Cotizador'!A:A,"",0,1))</f>
        <v/>
      </c>
      <c r="B846" s="2" t="str">
        <f t="array" ref="B846">IF(F846="","",XLOOKUP(F846,Productos!E:E,Productos!G:G,"",0,1))</f>
        <v/>
      </c>
      <c r="C846" s="2" t="str">
        <f>IF(A846="","",SUMIFS('Validaciones Cotizador'!B:B,'Validaciones Cotizador'!C:C,D846,'Validaciones Cotizador'!A:A,A846))</f>
        <v/>
      </c>
      <c r="D846" s="4" t="str">
        <f>IFERROR(__xludf.DUMMYFUNCTION("IF(OR(F845=""Finalizar"",F845="""",F845=""Selecciona..""),"""",IF(OR(F845=""-"",INDEX(filter(Familias!F:F,Familias!D:D=A845,Familias!E:E=C845),1)=""O""),D845+1,D845))"),"")</f>
        <v/>
      </c>
      <c r="E846" s="2" t="str">
        <f>IF(OR(F846="",F846="Selecciona.."),"",IF(D846="Implemento",SUMIF(Implementos!B:B,F846,Implementos!A:A),SUMIF(Productos!E:E,F846,Productos!A:A)))</f>
        <v/>
      </c>
      <c r="F846" s="2" t="str">
        <f t="shared" si="2"/>
        <v/>
      </c>
      <c r="G846" s="10" t="str">
        <f t="array" ref="G846">IF(OR(F846="",F846="-",F846="Selecciona..",F846="Finalizar"),"",IF(A846="Rodados",XLOOKUP(B846,'Validaciones Cotizador'!I:I,'Validaciones Cotizador'!J:J,0,0,1),1))</f>
        <v/>
      </c>
      <c r="H846" s="11" t="str">
        <f>IF(OR(F846="",F846="Selecciona.."),"",SUMIF(Precio_Productos!K:K,E846,Precio_Productos!J:J)*G846)</f>
        <v/>
      </c>
      <c r="I846" s="4" t="str">
        <f t="array" ref="I846">IF($E846="","", XLOOKUP(SUMIFS(Prod_Prop!$A:$A,Prod_Prop!$B:$B,$E846,Prod_Prop!$H:$H,I$1,Prod_Prop!$I:$I,"Exacto"),Prod_Prop!$A:$A,Prod_Prop!$J:$J,"",0,1))</f>
        <v/>
      </c>
      <c r="J846" s="4" t="str">
        <f t="array" ref="J846">IF($E846="","", XLOOKUP(SUMIFS(Prod_Prop!$A:$A,Prod_Prop!$B:$B,$E846,Prod_Prop!$H:$H,J$1,Prod_Prop!$I:$I,"Exacto"),Prod_Prop!$A:$A,Prod_Prop!$J:$J,"",0,1))</f>
        <v/>
      </c>
      <c r="K846" s="4" t="str">
        <f t="array" ref="K846">IF($E846="","", XLOOKUP(SUMIFS(Prod_Prop!$A:$A,Prod_Prop!$B:$B,$E846,Prod_Prop!$H:$H,K$1,Prod_Prop!$I:$I,"Exacto"),Prod_Prop!$A:$A,Prod_Prop!$J:$J,"",0,1))</f>
        <v/>
      </c>
      <c r="L846" s="4" t="str">
        <f t="array" ref="L846">IF($E846="","", XLOOKUP(SUMIFS(Prod_Prop!$A:$A,Prod_Prop!$B:$B,$E846,Prod_Prop!$H:$H,L$1,Prod_Prop!$I:$I,"Exacto"),Prod_Prop!$A:$A,Prod_Prop!$J:$J,"",0,1))</f>
        <v/>
      </c>
      <c r="M846" s="4" t="str">
        <f t="array" ref="M846">IF($E846="","", XLOOKUP(SUMIFS(Prod_Prop!$A:$A,Prod_Prop!$B:$B,$E846,Prod_Prop!$H:$H,M$1,Prod_Prop!$I:$I,"Exacto"),Prod_Prop!$A:$A,Prod_Prop!$J:$J,"",0,1))</f>
        <v/>
      </c>
      <c r="N846" s="4" t="str">
        <f t="array" ref="N846">IF($E846="","", XLOOKUP(SUMIFS(Prod_Prop!$A:$A,Prod_Prop!$B:$B,$E846,Prod_Prop!$H:$H,N$1,Prod_Prop!$I:$I,"Exacto"),Prod_Prop!$A:$A,Prod_Prop!$J:$J,"",0,1))</f>
        <v/>
      </c>
      <c r="O846" s="4" t="str">
        <f t="array" ref="O846">IF($E846="","", XLOOKUP(SUMIFS(Prod_Prop!$A:$A,Prod_Prop!$B:$B,$E846,Prod_Prop!$H:$H,O$1,Prod_Prop!$I:$I,"Exacto"),Prod_Prop!$A:$A,Prod_Prop!$J:$J,"",0,1))</f>
        <v/>
      </c>
      <c r="P846" s="4" t="str">
        <f t="array" ref="P846">IF($E846="","", XLOOKUP(SUMIFS(Prod_Prop!$A:$A,Prod_Prop!$B:$B,$E846,Prod_Prop!$H:$H,P$1,Prod_Prop!$I:$I,"Exacto"),Prod_Prop!$A:$A,Prod_Prop!$J:$J,"",0,1))</f>
        <v/>
      </c>
      <c r="Q846" s="4" t="str">
        <f t="array" ref="Q846">IF($E846="","", XLOOKUP(SUMIFS(Prod_Prop!$A:$A,Prod_Prop!$B:$B,$E846,Prod_Prop!$H:$H,Q$1,Prod_Prop!$I:$I,"Exacto"),Prod_Prop!$A:$A,Prod_Prop!$J:$J,"",0,1))</f>
        <v/>
      </c>
      <c r="R846" s="4" t="str">
        <f t="array" ref="R846">IF($E846="","", XLOOKUP(SUMIFS(Prod_Prop!$A:$A,Prod_Prop!$B:$B,$E846,Prod_Prop!$H:$H,R$1,Prod_Prop!$I:$I,"Exacto"),Prod_Prop!$A:$A,Prod_Prop!$J:$J,"",0,1))</f>
        <v/>
      </c>
      <c r="S846" s="4" t="str">
        <f t="array" ref="S846">IF($E846="","", XLOOKUP(SUMIFS(Prod_Prop!$A:$A,Prod_Prop!$B:$B,$E846,Prod_Prop!$H:$H,S$1,Prod_Prop!$I:$I,"Exacto"),Prod_Prop!$A:$A,Prod_Prop!$J:$J,"",0,1))</f>
        <v/>
      </c>
      <c r="T846" s="4" t="str">
        <f t="array" ref="T846">IF($E846="","", XLOOKUP(SUMIFS(Prod_Prop!$A:$A,Prod_Prop!$B:$B,$E846,Prod_Prop!$H:$H,T$1,Prod_Prop!$I:$I,"Exacto"),Prod_Prop!$A:$A,Prod_Prop!$J:$J,"",0,1))</f>
        <v/>
      </c>
      <c r="U846" s="4" t="str">
        <f t="array" ref="U846">IF($E846="","", XLOOKUP(SUMIFS(Prod_Prop!$A:$A,Prod_Prop!$B:$B,$E846,Prod_Prop!$H:$H,U$1,Prod_Prop!$I:$I,"Exacto"),Prod_Prop!$A:$A,Prod_Prop!$J:$J,"",0,1))</f>
        <v/>
      </c>
      <c r="V846" s="4" t="str">
        <f t="array" ref="V846">IF($E846="","", XLOOKUP(SUMIFS(Prod_Prop!$A:$A,Prod_Prop!$B:$B,$E846,Prod_Prop!$H:$H,V$1,Prod_Prop!$I:$I,"Exacto"),Prod_Prop!$A:$A,Prod_Prop!$J:$J,"",0,1))</f>
        <v/>
      </c>
      <c r="X846" s="3" t="str">
        <f>IFERROR(__xludf.DUMMYFUNCTION("IF(D846="""","""",IFERROR(TRANSPOSE(FILTER('Validaciones Cotizador'!U:U,'Validaciones Cotizador'!O:O=D846,'Validaciones Cotizador'!T:T=""x"")),""Finalizar""))"),"")</f>
        <v/>
      </c>
    </row>
    <row r="847">
      <c r="A847" s="2" t="str">
        <f t="array" ref="A847">IF(E847="","",XLOOKUP(D847,'Validaciones Cotizador'!C:C,'Validaciones Cotizador'!A:A,"",0,1))</f>
        <v/>
      </c>
      <c r="B847" s="2" t="str">
        <f t="array" ref="B847">IF(F847="","",XLOOKUP(F847,Productos!E:E,Productos!G:G,"",0,1))</f>
        <v/>
      </c>
      <c r="C847" s="2" t="str">
        <f>IF(A847="","",SUMIFS('Validaciones Cotizador'!B:B,'Validaciones Cotizador'!C:C,D847,'Validaciones Cotizador'!A:A,A847))</f>
        <v/>
      </c>
      <c r="D847" s="4" t="str">
        <f>IFERROR(__xludf.DUMMYFUNCTION("IF(OR(F846=""Finalizar"",F846="""",F846=""Selecciona..""),"""",IF(OR(F846=""-"",INDEX(filter(Familias!F:F,Familias!D:D=A846,Familias!E:E=C846),1)=""O""),D846+1,D846))"),"")</f>
        <v/>
      </c>
      <c r="E847" s="2" t="str">
        <f>IF(OR(F847="",F847="Selecciona.."),"",IF(D847="Implemento",SUMIF(Implementos!B:B,F847,Implementos!A:A),SUMIF(Productos!E:E,F847,Productos!A:A)))</f>
        <v/>
      </c>
      <c r="F847" s="2" t="str">
        <f t="shared" si="2"/>
        <v/>
      </c>
      <c r="G847" s="10" t="str">
        <f t="array" ref="G847">IF(OR(F847="",F847="-",F847="Selecciona..",F847="Finalizar"),"",IF(A847="Rodados",XLOOKUP(B847,'Validaciones Cotizador'!I:I,'Validaciones Cotizador'!J:J,0,0,1),1))</f>
        <v/>
      </c>
      <c r="H847" s="11" t="str">
        <f>IF(OR(F847="",F847="Selecciona.."),"",SUMIF(Precio_Productos!K:K,E847,Precio_Productos!J:J)*G847)</f>
        <v/>
      </c>
      <c r="I847" s="4" t="str">
        <f t="array" ref="I847">IF($E847="","", XLOOKUP(SUMIFS(Prod_Prop!$A:$A,Prod_Prop!$B:$B,$E847,Prod_Prop!$H:$H,I$1,Prod_Prop!$I:$I,"Exacto"),Prod_Prop!$A:$A,Prod_Prop!$J:$J,"",0,1))</f>
        <v/>
      </c>
      <c r="J847" s="4" t="str">
        <f t="array" ref="J847">IF($E847="","", XLOOKUP(SUMIFS(Prod_Prop!$A:$A,Prod_Prop!$B:$B,$E847,Prod_Prop!$H:$H,J$1,Prod_Prop!$I:$I,"Exacto"),Prod_Prop!$A:$A,Prod_Prop!$J:$J,"",0,1))</f>
        <v/>
      </c>
      <c r="K847" s="4" t="str">
        <f t="array" ref="K847">IF($E847="","", XLOOKUP(SUMIFS(Prod_Prop!$A:$A,Prod_Prop!$B:$B,$E847,Prod_Prop!$H:$H,K$1,Prod_Prop!$I:$I,"Exacto"),Prod_Prop!$A:$A,Prod_Prop!$J:$J,"",0,1))</f>
        <v/>
      </c>
      <c r="L847" s="4" t="str">
        <f t="array" ref="L847">IF($E847="","", XLOOKUP(SUMIFS(Prod_Prop!$A:$A,Prod_Prop!$B:$B,$E847,Prod_Prop!$H:$H,L$1,Prod_Prop!$I:$I,"Exacto"),Prod_Prop!$A:$A,Prod_Prop!$J:$J,"",0,1))</f>
        <v/>
      </c>
      <c r="M847" s="4" t="str">
        <f t="array" ref="M847">IF($E847="","", XLOOKUP(SUMIFS(Prod_Prop!$A:$A,Prod_Prop!$B:$B,$E847,Prod_Prop!$H:$H,M$1,Prod_Prop!$I:$I,"Exacto"),Prod_Prop!$A:$A,Prod_Prop!$J:$J,"",0,1))</f>
        <v/>
      </c>
      <c r="N847" s="4" t="str">
        <f t="array" ref="N847">IF($E847="","", XLOOKUP(SUMIFS(Prod_Prop!$A:$A,Prod_Prop!$B:$B,$E847,Prod_Prop!$H:$H,N$1,Prod_Prop!$I:$I,"Exacto"),Prod_Prop!$A:$A,Prod_Prop!$J:$J,"",0,1))</f>
        <v/>
      </c>
      <c r="O847" s="4" t="str">
        <f t="array" ref="O847">IF($E847="","", XLOOKUP(SUMIFS(Prod_Prop!$A:$A,Prod_Prop!$B:$B,$E847,Prod_Prop!$H:$H,O$1,Prod_Prop!$I:$I,"Exacto"),Prod_Prop!$A:$A,Prod_Prop!$J:$J,"",0,1))</f>
        <v/>
      </c>
      <c r="P847" s="4" t="str">
        <f t="array" ref="P847">IF($E847="","", XLOOKUP(SUMIFS(Prod_Prop!$A:$A,Prod_Prop!$B:$B,$E847,Prod_Prop!$H:$H,P$1,Prod_Prop!$I:$I,"Exacto"),Prod_Prop!$A:$A,Prod_Prop!$J:$J,"",0,1))</f>
        <v/>
      </c>
      <c r="Q847" s="4" t="str">
        <f t="array" ref="Q847">IF($E847="","", XLOOKUP(SUMIFS(Prod_Prop!$A:$A,Prod_Prop!$B:$B,$E847,Prod_Prop!$H:$H,Q$1,Prod_Prop!$I:$I,"Exacto"),Prod_Prop!$A:$A,Prod_Prop!$J:$J,"",0,1))</f>
        <v/>
      </c>
      <c r="R847" s="4" t="str">
        <f t="array" ref="R847">IF($E847="","", XLOOKUP(SUMIFS(Prod_Prop!$A:$A,Prod_Prop!$B:$B,$E847,Prod_Prop!$H:$H,R$1,Prod_Prop!$I:$I,"Exacto"),Prod_Prop!$A:$A,Prod_Prop!$J:$J,"",0,1))</f>
        <v/>
      </c>
      <c r="S847" s="4" t="str">
        <f t="array" ref="S847">IF($E847="","", XLOOKUP(SUMIFS(Prod_Prop!$A:$A,Prod_Prop!$B:$B,$E847,Prod_Prop!$H:$H,S$1,Prod_Prop!$I:$I,"Exacto"),Prod_Prop!$A:$A,Prod_Prop!$J:$J,"",0,1))</f>
        <v/>
      </c>
      <c r="T847" s="4" t="str">
        <f t="array" ref="T847">IF($E847="","", XLOOKUP(SUMIFS(Prod_Prop!$A:$A,Prod_Prop!$B:$B,$E847,Prod_Prop!$H:$H,T$1,Prod_Prop!$I:$I,"Exacto"),Prod_Prop!$A:$A,Prod_Prop!$J:$J,"",0,1))</f>
        <v/>
      </c>
      <c r="U847" s="4" t="str">
        <f t="array" ref="U847">IF($E847="","", XLOOKUP(SUMIFS(Prod_Prop!$A:$A,Prod_Prop!$B:$B,$E847,Prod_Prop!$H:$H,U$1,Prod_Prop!$I:$I,"Exacto"),Prod_Prop!$A:$A,Prod_Prop!$J:$J,"",0,1))</f>
        <v/>
      </c>
      <c r="V847" s="4" t="str">
        <f t="array" ref="V847">IF($E847="","", XLOOKUP(SUMIFS(Prod_Prop!$A:$A,Prod_Prop!$B:$B,$E847,Prod_Prop!$H:$H,V$1,Prod_Prop!$I:$I,"Exacto"),Prod_Prop!$A:$A,Prod_Prop!$J:$J,"",0,1))</f>
        <v/>
      </c>
      <c r="X847" s="3" t="str">
        <f>IFERROR(__xludf.DUMMYFUNCTION("IF(D847="""","""",IFERROR(TRANSPOSE(FILTER('Validaciones Cotizador'!U:U,'Validaciones Cotizador'!O:O=D847,'Validaciones Cotizador'!T:T=""x"")),""Finalizar""))"),"")</f>
        <v/>
      </c>
    </row>
    <row r="848">
      <c r="A848" s="2" t="str">
        <f t="array" ref="A848">IF(E848="","",XLOOKUP(D848,'Validaciones Cotizador'!C:C,'Validaciones Cotizador'!A:A,"",0,1))</f>
        <v/>
      </c>
      <c r="B848" s="2" t="str">
        <f t="array" ref="B848">IF(F848="","",XLOOKUP(F848,Productos!E:E,Productos!G:G,"",0,1))</f>
        <v/>
      </c>
      <c r="C848" s="2" t="str">
        <f>IF(A848="","",SUMIFS('Validaciones Cotizador'!B:B,'Validaciones Cotizador'!C:C,D848,'Validaciones Cotizador'!A:A,A848))</f>
        <v/>
      </c>
      <c r="D848" s="4" t="str">
        <f>IFERROR(__xludf.DUMMYFUNCTION("IF(OR(F847=""Finalizar"",F847="""",F847=""Selecciona..""),"""",IF(OR(F847=""-"",INDEX(filter(Familias!F:F,Familias!D:D=A847,Familias!E:E=C847),1)=""O""),D847+1,D847))"),"")</f>
        <v/>
      </c>
      <c r="E848" s="2" t="str">
        <f>IF(OR(F848="",F848="Selecciona.."),"",IF(D848="Implemento",SUMIF(Implementos!B:B,F848,Implementos!A:A),SUMIF(Productos!E:E,F848,Productos!A:A)))</f>
        <v/>
      </c>
      <c r="F848" s="2" t="str">
        <f t="shared" si="2"/>
        <v/>
      </c>
      <c r="G848" s="10" t="str">
        <f t="array" ref="G848">IF(OR(F848="",F848="-",F848="Selecciona..",F848="Finalizar"),"",IF(A848="Rodados",XLOOKUP(B848,'Validaciones Cotizador'!I:I,'Validaciones Cotizador'!J:J,0,0,1),1))</f>
        <v/>
      </c>
      <c r="H848" s="11" t="str">
        <f>IF(OR(F848="",F848="Selecciona.."),"",SUMIF(Precio_Productos!K:K,E848,Precio_Productos!J:J)*G848)</f>
        <v/>
      </c>
      <c r="I848" s="4" t="str">
        <f t="array" ref="I848">IF($E848="","", XLOOKUP(SUMIFS(Prod_Prop!$A:$A,Prod_Prop!$B:$B,$E848,Prod_Prop!$H:$H,I$1,Prod_Prop!$I:$I,"Exacto"),Prod_Prop!$A:$A,Prod_Prop!$J:$J,"",0,1))</f>
        <v/>
      </c>
      <c r="J848" s="4" t="str">
        <f t="array" ref="J848">IF($E848="","", XLOOKUP(SUMIFS(Prod_Prop!$A:$A,Prod_Prop!$B:$B,$E848,Prod_Prop!$H:$H,J$1,Prod_Prop!$I:$I,"Exacto"),Prod_Prop!$A:$A,Prod_Prop!$J:$J,"",0,1))</f>
        <v/>
      </c>
      <c r="K848" s="4" t="str">
        <f t="array" ref="K848">IF($E848="","", XLOOKUP(SUMIFS(Prod_Prop!$A:$A,Prod_Prop!$B:$B,$E848,Prod_Prop!$H:$H,K$1,Prod_Prop!$I:$I,"Exacto"),Prod_Prop!$A:$A,Prod_Prop!$J:$J,"",0,1))</f>
        <v/>
      </c>
      <c r="L848" s="4" t="str">
        <f t="array" ref="L848">IF($E848="","", XLOOKUP(SUMIFS(Prod_Prop!$A:$A,Prod_Prop!$B:$B,$E848,Prod_Prop!$H:$H,L$1,Prod_Prop!$I:$I,"Exacto"),Prod_Prop!$A:$A,Prod_Prop!$J:$J,"",0,1))</f>
        <v/>
      </c>
      <c r="M848" s="4" t="str">
        <f t="array" ref="M848">IF($E848="","", XLOOKUP(SUMIFS(Prod_Prop!$A:$A,Prod_Prop!$B:$B,$E848,Prod_Prop!$H:$H,M$1,Prod_Prop!$I:$I,"Exacto"),Prod_Prop!$A:$A,Prod_Prop!$J:$J,"",0,1))</f>
        <v/>
      </c>
      <c r="N848" s="4" t="str">
        <f t="array" ref="N848">IF($E848="","", XLOOKUP(SUMIFS(Prod_Prop!$A:$A,Prod_Prop!$B:$B,$E848,Prod_Prop!$H:$H,N$1,Prod_Prop!$I:$I,"Exacto"),Prod_Prop!$A:$A,Prod_Prop!$J:$J,"",0,1))</f>
        <v/>
      </c>
      <c r="O848" s="4" t="str">
        <f t="array" ref="O848">IF($E848="","", XLOOKUP(SUMIFS(Prod_Prop!$A:$A,Prod_Prop!$B:$B,$E848,Prod_Prop!$H:$H,O$1,Prod_Prop!$I:$I,"Exacto"),Prod_Prop!$A:$A,Prod_Prop!$J:$J,"",0,1))</f>
        <v/>
      </c>
      <c r="P848" s="4" t="str">
        <f t="array" ref="P848">IF($E848="","", XLOOKUP(SUMIFS(Prod_Prop!$A:$A,Prod_Prop!$B:$B,$E848,Prod_Prop!$H:$H,P$1,Prod_Prop!$I:$I,"Exacto"),Prod_Prop!$A:$A,Prod_Prop!$J:$J,"",0,1))</f>
        <v/>
      </c>
      <c r="Q848" s="4" t="str">
        <f t="array" ref="Q848">IF($E848="","", XLOOKUP(SUMIFS(Prod_Prop!$A:$A,Prod_Prop!$B:$B,$E848,Prod_Prop!$H:$H,Q$1,Prod_Prop!$I:$I,"Exacto"),Prod_Prop!$A:$A,Prod_Prop!$J:$J,"",0,1))</f>
        <v/>
      </c>
      <c r="R848" s="4" t="str">
        <f t="array" ref="R848">IF($E848="","", XLOOKUP(SUMIFS(Prod_Prop!$A:$A,Prod_Prop!$B:$B,$E848,Prod_Prop!$H:$H,R$1,Prod_Prop!$I:$I,"Exacto"),Prod_Prop!$A:$A,Prod_Prop!$J:$J,"",0,1))</f>
        <v/>
      </c>
      <c r="S848" s="4" t="str">
        <f t="array" ref="S848">IF($E848="","", XLOOKUP(SUMIFS(Prod_Prop!$A:$A,Prod_Prop!$B:$B,$E848,Prod_Prop!$H:$H,S$1,Prod_Prop!$I:$I,"Exacto"),Prod_Prop!$A:$A,Prod_Prop!$J:$J,"",0,1))</f>
        <v/>
      </c>
      <c r="T848" s="4" t="str">
        <f t="array" ref="T848">IF($E848="","", XLOOKUP(SUMIFS(Prod_Prop!$A:$A,Prod_Prop!$B:$B,$E848,Prod_Prop!$H:$H,T$1,Prod_Prop!$I:$I,"Exacto"),Prod_Prop!$A:$A,Prod_Prop!$J:$J,"",0,1))</f>
        <v/>
      </c>
      <c r="U848" s="4" t="str">
        <f t="array" ref="U848">IF($E848="","", XLOOKUP(SUMIFS(Prod_Prop!$A:$A,Prod_Prop!$B:$B,$E848,Prod_Prop!$H:$H,U$1,Prod_Prop!$I:$I,"Exacto"),Prod_Prop!$A:$A,Prod_Prop!$J:$J,"",0,1))</f>
        <v/>
      </c>
      <c r="V848" s="4" t="str">
        <f t="array" ref="V848">IF($E848="","", XLOOKUP(SUMIFS(Prod_Prop!$A:$A,Prod_Prop!$B:$B,$E848,Prod_Prop!$H:$H,V$1,Prod_Prop!$I:$I,"Exacto"),Prod_Prop!$A:$A,Prod_Prop!$J:$J,"",0,1))</f>
        <v/>
      </c>
      <c r="X848" s="3" t="str">
        <f>IFERROR(__xludf.DUMMYFUNCTION("IF(D848="""","""",IFERROR(TRANSPOSE(FILTER('Validaciones Cotizador'!U:U,'Validaciones Cotizador'!O:O=D848,'Validaciones Cotizador'!T:T=""x"")),""Finalizar""))"),"")</f>
        <v/>
      </c>
    </row>
    <row r="849">
      <c r="A849" s="2" t="str">
        <f t="array" ref="A849">IF(E849="","",XLOOKUP(D849,'Validaciones Cotizador'!C:C,'Validaciones Cotizador'!A:A,"",0,1))</f>
        <v/>
      </c>
      <c r="B849" s="2" t="str">
        <f t="array" ref="B849">IF(F849="","",XLOOKUP(F849,Productos!E:E,Productos!G:G,"",0,1))</f>
        <v/>
      </c>
      <c r="C849" s="2" t="str">
        <f>IF(A849="","",SUMIFS('Validaciones Cotizador'!B:B,'Validaciones Cotizador'!C:C,D849,'Validaciones Cotizador'!A:A,A849))</f>
        <v/>
      </c>
      <c r="D849" s="4" t="str">
        <f>IFERROR(__xludf.DUMMYFUNCTION("IF(OR(F848=""Finalizar"",F848="""",F848=""Selecciona..""),"""",IF(OR(F848=""-"",INDEX(filter(Familias!F:F,Familias!D:D=A848,Familias!E:E=C848),1)=""O""),D848+1,D848))"),"")</f>
        <v/>
      </c>
      <c r="E849" s="2" t="str">
        <f>IF(OR(F849="",F849="Selecciona.."),"",IF(D849="Implemento",SUMIF(Implementos!B:B,F849,Implementos!A:A),SUMIF(Productos!E:E,F849,Productos!A:A)))</f>
        <v/>
      </c>
      <c r="F849" s="2" t="str">
        <f t="shared" si="2"/>
        <v/>
      </c>
      <c r="G849" s="10" t="str">
        <f t="array" ref="G849">IF(OR(F849="",F849="-",F849="Selecciona..",F849="Finalizar"),"",IF(A849="Rodados",XLOOKUP(B849,'Validaciones Cotizador'!I:I,'Validaciones Cotizador'!J:J,0,0,1),1))</f>
        <v/>
      </c>
      <c r="H849" s="11" t="str">
        <f>IF(OR(F849="",F849="Selecciona.."),"",SUMIF(Precio_Productos!K:K,E849,Precio_Productos!J:J)*G849)</f>
        <v/>
      </c>
      <c r="I849" s="4" t="str">
        <f t="array" ref="I849">IF($E849="","", XLOOKUP(SUMIFS(Prod_Prop!$A:$A,Prod_Prop!$B:$B,$E849,Prod_Prop!$H:$H,I$1,Prod_Prop!$I:$I,"Exacto"),Prod_Prop!$A:$A,Prod_Prop!$J:$J,"",0,1))</f>
        <v/>
      </c>
      <c r="J849" s="4" t="str">
        <f t="array" ref="J849">IF($E849="","", XLOOKUP(SUMIFS(Prod_Prop!$A:$A,Prod_Prop!$B:$B,$E849,Prod_Prop!$H:$H,J$1,Prod_Prop!$I:$I,"Exacto"),Prod_Prop!$A:$A,Prod_Prop!$J:$J,"",0,1))</f>
        <v/>
      </c>
      <c r="K849" s="4" t="str">
        <f t="array" ref="K849">IF($E849="","", XLOOKUP(SUMIFS(Prod_Prop!$A:$A,Prod_Prop!$B:$B,$E849,Prod_Prop!$H:$H,K$1,Prod_Prop!$I:$I,"Exacto"),Prod_Prop!$A:$A,Prod_Prop!$J:$J,"",0,1))</f>
        <v/>
      </c>
      <c r="L849" s="4" t="str">
        <f t="array" ref="L849">IF($E849="","", XLOOKUP(SUMIFS(Prod_Prop!$A:$A,Prod_Prop!$B:$B,$E849,Prod_Prop!$H:$H,L$1,Prod_Prop!$I:$I,"Exacto"),Prod_Prop!$A:$A,Prod_Prop!$J:$J,"",0,1))</f>
        <v/>
      </c>
      <c r="M849" s="4" t="str">
        <f t="array" ref="M849">IF($E849="","", XLOOKUP(SUMIFS(Prod_Prop!$A:$A,Prod_Prop!$B:$B,$E849,Prod_Prop!$H:$H,M$1,Prod_Prop!$I:$I,"Exacto"),Prod_Prop!$A:$A,Prod_Prop!$J:$J,"",0,1))</f>
        <v/>
      </c>
      <c r="N849" s="4" t="str">
        <f t="array" ref="N849">IF($E849="","", XLOOKUP(SUMIFS(Prod_Prop!$A:$A,Prod_Prop!$B:$B,$E849,Prod_Prop!$H:$H,N$1,Prod_Prop!$I:$I,"Exacto"),Prod_Prop!$A:$A,Prod_Prop!$J:$J,"",0,1))</f>
        <v/>
      </c>
      <c r="O849" s="4" t="str">
        <f t="array" ref="O849">IF($E849="","", XLOOKUP(SUMIFS(Prod_Prop!$A:$A,Prod_Prop!$B:$B,$E849,Prod_Prop!$H:$H,O$1,Prod_Prop!$I:$I,"Exacto"),Prod_Prop!$A:$A,Prod_Prop!$J:$J,"",0,1))</f>
        <v/>
      </c>
      <c r="P849" s="4" t="str">
        <f t="array" ref="P849">IF($E849="","", XLOOKUP(SUMIFS(Prod_Prop!$A:$A,Prod_Prop!$B:$B,$E849,Prod_Prop!$H:$H,P$1,Prod_Prop!$I:$I,"Exacto"),Prod_Prop!$A:$A,Prod_Prop!$J:$J,"",0,1))</f>
        <v/>
      </c>
      <c r="Q849" s="4" t="str">
        <f t="array" ref="Q849">IF($E849="","", XLOOKUP(SUMIFS(Prod_Prop!$A:$A,Prod_Prop!$B:$B,$E849,Prod_Prop!$H:$H,Q$1,Prod_Prop!$I:$I,"Exacto"),Prod_Prop!$A:$A,Prod_Prop!$J:$J,"",0,1))</f>
        <v/>
      </c>
      <c r="R849" s="4" t="str">
        <f t="array" ref="R849">IF($E849="","", XLOOKUP(SUMIFS(Prod_Prop!$A:$A,Prod_Prop!$B:$B,$E849,Prod_Prop!$H:$H,R$1,Prod_Prop!$I:$I,"Exacto"),Prod_Prop!$A:$A,Prod_Prop!$J:$J,"",0,1))</f>
        <v/>
      </c>
      <c r="S849" s="4" t="str">
        <f t="array" ref="S849">IF($E849="","", XLOOKUP(SUMIFS(Prod_Prop!$A:$A,Prod_Prop!$B:$B,$E849,Prod_Prop!$H:$H,S$1,Prod_Prop!$I:$I,"Exacto"),Prod_Prop!$A:$A,Prod_Prop!$J:$J,"",0,1))</f>
        <v/>
      </c>
      <c r="T849" s="4" t="str">
        <f t="array" ref="T849">IF($E849="","", XLOOKUP(SUMIFS(Prod_Prop!$A:$A,Prod_Prop!$B:$B,$E849,Prod_Prop!$H:$H,T$1,Prod_Prop!$I:$I,"Exacto"),Prod_Prop!$A:$A,Prod_Prop!$J:$J,"",0,1))</f>
        <v/>
      </c>
      <c r="U849" s="4" t="str">
        <f t="array" ref="U849">IF($E849="","", XLOOKUP(SUMIFS(Prod_Prop!$A:$A,Prod_Prop!$B:$B,$E849,Prod_Prop!$H:$H,U$1,Prod_Prop!$I:$I,"Exacto"),Prod_Prop!$A:$A,Prod_Prop!$J:$J,"",0,1))</f>
        <v/>
      </c>
      <c r="V849" s="4" t="str">
        <f t="array" ref="V849">IF($E849="","", XLOOKUP(SUMIFS(Prod_Prop!$A:$A,Prod_Prop!$B:$B,$E849,Prod_Prop!$H:$H,V$1,Prod_Prop!$I:$I,"Exacto"),Prod_Prop!$A:$A,Prod_Prop!$J:$J,"",0,1))</f>
        <v/>
      </c>
      <c r="X849" s="3" t="str">
        <f>IFERROR(__xludf.DUMMYFUNCTION("IF(D849="""","""",IFERROR(TRANSPOSE(FILTER('Validaciones Cotizador'!U:U,'Validaciones Cotizador'!O:O=D849,'Validaciones Cotizador'!T:T=""x"")),""Finalizar""))"),"")</f>
        <v/>
      </c>
    </row>
    <row r="850">
      <c r="A850" s="2" t="str">
        <f t="array" ref="A850">IF(E850="","",XLOOKUP(D850,'Validaciones Cotizador'!C:C,'Validaciones Cotizador'!A:A,"",0,1))</f>
        <v/>
      </c>
      <c r="B850" s="2" t="str">
        <f t="array" ref="B850">IF(F850="","",XLOOKUP(F850,Productos!E:E,Productos!G:G,"",0,1))</f>
        <v/>
      </c>
      <c r="C850" s="2" t="str">
        <f>IF(A850="","",SUMIFS('Validaciones Cotizador'!B:B,'Validaciones Cotizador'!C:C,D850,'Validaciones Cotizador'!A:A,A850))</f>
        <v/>
      </c>
      <c r="D850" s="4" t="str">
        <f>IFERROR(__xludf.DUMMYFUNCTION("IF(OR(F849=""Finalizar"",F849="""",F849=""Selecciona..""),"""",IF(OR(F849=""-"",INDEX(filter(Familias!F:F,Familias!D:D=A849,Familias!E:E=C849),1)=""O""),D849+1,D849))"),"")</f>
        <v/>
      </c>
      <c r="E850" s="2" t="str">
        <f>IF(OR(F850="",F850="Selecciona.."),"",IF(D850="Implemento",SUMIF(Implementos!B:B,F850,Implementos!A:A),SUMIF(Productos!E:E,F850,Productos!A:A)))</f>
        <v/>
      </c>
      <c r="F850" s="2" t="str">
        <f t="shared" si="2"/>
        <v/>
      </c>
      <c r="G850" s="10" t="str">
        <f t="array" ref="G850">IF(OR(F850="",F850="-",F850="Selecciona..",F850="Finalizar"),"",IF(A850="Rodados",XLOOKUP(B850,'Validaciones Cotizador'!I:I,'Validaciones Cotizador'!J:J,0,0,1),1))</f>
        <v/>
      </c>
      <c r="H850" s="11" t="str">
        <f>IF(OR(F850="",F850="Selecciona.."),"",SUMIF(Precio_Productos!K:K,E850,Precio_Productos!J:J)*G850)</f>
        <v/>
      </c>
      <c r="I850" s="4" t="str">
        <f t="array" ref="I850">IF($E850="","", XLOOKUP(SUMIFS(Prod_Prop!$A:$A,Prod_Prop!$B:$B,$E850,Prod_Prop!$H:$H,I$1,Prod_Prop!$I:$I,"Exacto"),Prod_Prop!$A:$A,Prod_Prop!$J:$J,"",0,1))</f>
        <v/>
      </c>
      <c r="J850" s="4" t="str">
        <f t="array" ref="J850">IF($E850="","", XLOOKUP(SUMIFS(Prod_Prop!$A:$A,Prod_Prop!$B:$B,$E850,Prod_Prop!$H:$H,J$1,Prod_Prop!$I:$I,"Exacto"),Prod_Prop!$A:$A,Prod_Prop!$J:$J,"",0,1))</f>
        <v/>
      </c>
      <c r="K850" s="4" t="str">
        <f t="array" ref="K850">IF($E850="","", XLOOKUP(SUMIFS(Prod_Prop!$A:$A,Prod_Prop!$B:$B,$E850,Prod_Prop!$H:$H,K$1,Prod_Prop!$I:$I,"Exacto"),Prod_Prop!$A:$A,Prod_Prop!$J:$J,"",0,1))</f>
        <v/>
      </c>
      <c r="L850" s="4" t="str">
        <f t="array" ref="L850">IF($E850="","", XLOOKUP(SUMIFS(Prod_Prop!$A:$A,Prod_Prop!$B:$B,$E850,Prod_Prop!$H:$H,L$1,Prod_Prop!$I:$I,"Exacto"),Prod_Prop!$A:$A,Prod_Prop!$J:$J,"",0,1))</f>
        <v/>
      </c>
      <c r="M850" s="4" t="str">
        <f t="array" ref="M850">IF($E850="","", XLOOKUP(SUMIFS(Prod_Prop!$A:$A,Prod_Prop!$B:$B,$E850,Prod_Prop!$H:$H,M$1,Prod_Prop!$I:$I,"Exacto"),Prod_Prop!$A:$A,Prod_Prop!$J:$J,"",0,1))</f>
        <v/>
      </c>
      <c r="N850" s="4" t="str">
        <f t="array" ref="N850">IF($E850="","", XLOOKUP(SUMIFS(Prod_Prop!$A:$A,Prod_Prop!$B:$B,$E850,Prod_Prop!$H:$H,N$1,Prod_Prop!$I:$I,"Exacto"),Prod_Prop!$A:$A,Prod_Prop!$J:$J,"",0,1))</f>
        <v/>
      </c>
      <c r="O850" s="4" t="str">
        <f t="array" ref="O850">IF($E850="","", XLOOKUP(SUMIFS(Prod_Prop!$A:$A,Prod_Prop!$B:$B,$E850,Prod_Prop!$H:$H,O$1,Prod_Prop!$I:$I,"Exacto"),Prod_Prop!$A:$A,Prod_Prop!$J:$J,"",0,1))</f>
        <v/>
      </c>
      <c r="P850" s="4" t="str">
        <f t="array" ref="P850">IF($E850="","", XLOOKUP(SUMIFS(Prod_Prop!$A:$A,Prod_Prop!$B:$B,$E850,Prod_Prop!$H:$H,P$1,Prod_Prop!$I:$I,"Exacto"),Prod_Prop!$A:$A,Prod_Prop!$J:$J,"",0,1))</f>
        <v/>
      </c>
      <c r="Q850" s="4" t="str">
        <f t="array" ref="Q850">IF($E850="","", XLOOKUP(SUMIFS(Prod_Prop!$A:$A,Prod_Prop!$B:$B,$E850,Prod_Prop!$H:$H,Q$1,Prod_Prop!$I:$I,"Exacto"),Prod_Prop!$A:$A,Prod_Prop!$J:$J,"",0,1))</f>
        <v/>
      </c>
      <c r="R850" s="4" t="str">
        <f t="array" ref="R850">IF($E850="","", XLOOKUP(SUMIFS(Prod_Prop!$A:$A,Prod_Prop!$B:$B,$E850,Prod_Prop!$H:$H,R$1,Prod_Prop!$I:$I,"Exacto"),Prod_Prop!$A:$A,Prod_Prop!$J:$J,"",0,1))</f>
        <v/>
      </c>
      <c r="S850" s="4" t="str">
        <f t="array" ref="S850">IF($E850="","", XLOOKUP(SUMIFS(Prod_Prop!$A:$A,Prod_Prop!$B:$B,$E850,Prod_Prop!$H:$H,S$1,Prod_Prop!$I:$I,"Exacto"),Prod_Prop!$A:$A,Prod_Prop!$J:$J,"",0,1))</f>
        <v/>
      </c>
      <c r="T850" s="4" t="str">
        <f t="array" ref="T850">IF($E850="","", XLOOKUP(SUMIFS(Prod_Prop!$A:$A,Prod_Prop!$B:$B,$E850,Prod_Prop!$H:$H,T$1,Prod_Prop!$I:$I,"Exacto"),Prod_Prop!$A:$A,Prod_Prop!$J:$J,"",0,1))</f>
        <v/>
      </c>
      <c r="U850" s="4" t="str">
        <f t="array" ref="U850">IF($E850="","", XLOOKUP(SUMIFS(Prod_Prop!$A:$A,Prod_Prop!$B:$B,$E850,Prod_Prop!$H:$H,U$1,Prod_Prop!$I:$I,"Exacto"),Prod_Prop!$A:$A,Prod_Prop!$J:$J,"",0,1))</f>
        <v/>
      </c>
      <c r="V850" s="4" t="str">
        <f t="array" ref="V850">IF($E850="","", XLOOKUP(SUMIFS(Prod_Prop!$A:$A,Prod_Prop!$B:$B,$E850,Prod_Prop!$H:$H,V$1,Prod_Prop!$I:$I,"Exacto"),Prod_Prop!$A:$A,Prod_Prop!$J:$J,"",0,1))</f>
        <v/>
      </c>
      <c r="X850" s="3" t="str">
        <f>IFERROR(__xludf.DUMMYFUNCTION("IF(D850="""","""",IFERROR(TRANSPOSE(FILTER('Validaciones Cotizador'!U:U,'Validaciones Cotizador'!O:O=D850,'Validaciones Cotizador'!T:T=""x"")),""Finalizar""))"),"")</f>
        <v/>
      </c>
    </row>
    <row r="851">
      <c r="A851" s="2" t="str">
        <f t="array" ref="A851">IF(E851="","",XLOOKUP(D851,'Validaciones Cotizador'!C:C,'Validaciones Cotizador'!A:A,"",0,1))</f>
        <v/>
      </c>
      <c r="B851" s="2" t="str">
        <f t="array" ref="B851">IF(F851="","",XLOOKUP(F851,Productos!E:E,Productos!G:G,"",0,1))</f>
        <v/>
      </c>
      <c r="C851" s="2" t="str">
        <f>IF(A851="","",SUMIFS('Validaciones Cotizador'!B:B,'Validaciones Cotizador'!C:C,D851,'Validaciones Cotizador'!A:A,A851))</f>
        <v/>
      </c>
      <c r="D851" s="4" t="str">
        <f>IFERROR(__xludf.DUMMYFUNCTION("IF(OR(F850=""Finalizar"",F850="""",F850=""Selecciona..""),"""",IF(OR(F850=""-"",INDEX(filter(Familias!F:F,Familias!D:D=A850,Familias!E:E=C850),1)=""O""),D850+1,D850))"),"")</f>
        <v/>
      </c>
      <c r="E851" s="2" t="str">
        <f>IF(OR(F851="",F851="Selecciona.."),"",IF(D851="Implemento",SUMIF(Implementos!B:B,F851,Implementos!A:A),SUMIF(Productos!E:E,F851,Productos!A:A)))</f>
        <v/>
      </c>
      <c r="F851" s="2" t="str">
        <f t="shared" si="2"/>
        <v/>
      </c>
      <c r="G851" s="10" t="str">
        <f t="array" ref="G851">IF(OR(F851="",F851="-",F851="Selecciona..",F851="Finalizar"),"",IF(A851="Rodados",XLOOKUP(B851,'Validaciones Cotizador'!I:I,'Validaciones Cotizador'!J:J,0,0,1),1))</f>
        <v/>
      </c>
      <c r="H851" s="11" t="str">
        <f>IF(OR(F851="",F851="Selecciona.."),"",SUMIF(Precio_Productos!K:K,E851,Precio_Productos!J:J)*G851)</f>
        <v/>
      </c>
      <c r="I851" s="4" t="str">
        <f t="array" ref="I851">IF($E851="","", XLOOKUP(SUMIFS(Prod_Prop!$A:$A,Prod_Prop!$B:$B,$E851,Prod_Prop!$H:$H,I$1,Prod_Prop!$I:$I,"Exacto"),Prod_Prop!$A:$A,Prod_Prop!$J:$J,"",0,1))</f>
        <v/>
      </c>
      <c r="J851" s="4" t="str">
        <f t="array" ref="J851">IF($E851="","", XLOOKUP(SUMIFS(Prod_Prop!$A:$A,Prod_Prop!$B:$B,$E851,Prod_Prop!$H:$H,J$1,Prod_Prop!$I:$I,"Exacto"),Prod_Prop!$A:$A,Prod_Prop!$J:$J,"",0,1))</f>
        <v/>
      </c>
      <c r="K851" s="4" t="str">
        <f t="array" ref="K851">IF($E851="","", XLOOKUP(SUMIFS(Prod_Prop!$A:$A,Prod_Prop!$B:$B,$E851,Prod_Prop!$H:$H,K$1,Prod_Prop!$I:$I,"Exacto"),Prod_Prop!$A:$A,Prod_Prop!$J:$J,"",0,1))</f>
        <v/>
      </c>
      <c r="L851" s="4" t="str">
        <f t="array" ref="L851">IF($E851="","", XLOOKUP(SUMIFS(Prod_Prop!$A:$A,Prod_Prop!$B:$B,$E851,Prod_Prop!$H:$H,L$1,Prod_Prop!$I:$I,"Exacto"),Prod_Prop!$A:$A,Prod_Prop!$J:$J,"",0,1))</f>
        <v/>
      </c>
      <c r="M851" s="4" t="str">
        <f t="array" ref="M851">IF($E851="","", XLOOKUP(SUMIFS(Prod_Prop!$A:$A,Prod_Prop!$B:$B,$E851,Prod_Prop!$H:$H,M$1,Prod_Prop!$I:$I,"Exacto"),Prod_Prop!$A:$A,Prod_Prop!$J:$J,"",0,1))</f>
        <v/>
      </c>
      <c r="N851" s="4" t="str">
        <f t="array" ref="N851">IF($E851="","", XLOOKUP(SUMIFS(Prod_Prop!$A:$A,Prod_Prop!$B:$B,$E851,Prod_Prop!$H:$H,N$1,Prod_Prop!$I:$I,"Exacto"),Prod_Prop!$A:$A,Prod_Prop!$J:$J,"",0,1))</f>
        <v/>
      </c>
      <c r="O851" s="4" t="str">
        <f t="array" ref="O851">IF($E851="","", XLOOKUP(SUMIFS(Prod_Prop!$A:$A,Prod_Prop!$B:$B,$E851,Prod_Prop!$H:$H,O$1,Prod_Prop!$I:$I,"Exacto"),Prod_Prop!$A:$A,Prod_Prop!$J:$J,"",0,1))</f>
        <v/>
      </c>
      <c r="P851" s="4" t="str">
        <f t="array" ref="P851">IF($E851="","", XLOOKUP(SUMIFS(Prod_Prop!$A:$A,Prod_Prop!$B:$B,$E851,Prod_Prop!$H:$H,P$1,Prod_Prop!$I:$I,"Exacto"),Prod_Prop!$A:$A,Prod_Prop!$J:$J,"",0,1))</f>
        <v/>
      </c>
      <c r="Q851" s="4" t="str">
        <f t="array" ref="Q851">IF($E851="","", XLOOKUP(SUMIFS(Prod_Prop!$A:$A,Prod_Prop!$B:$B,$E851,Prod_Prop!$H:$H,Q$1,Prod_Prop!$I:$I,"Exacto"),Prod_Prop!$A:$A,Prod_Prop!$J:$J,"",0,1))</f>
        <v/>
      </c>
      <c r="R851" s="4" t="str">
        <f t="array" ref="R851">IF($E851="","", XLOOKUP(SUMIFS(Prod_Prop!$A:$A,Prod_Prop!$B:$B,$E851,Prod_Prop!$H:$H,R$1,Prod_Prop!$I:$I,"Exacto"),Prod_Prop!$A:$A,Prod_Prop!$J:$J,"",0,1))</f>
        <v/>
      </c>
      <c r="S851" s="4" t="str">
        <f t="array" ref="S851">IF($E851="","", XLOOKUP(SUMIFS(Prod_Prop!$A:$A,Prod_Prop!$B:$B,$E851,Prod_Prop!$H:$H,S$1,Prod_Prop!$I:$I,"Exacto"),Prod_Prop!$A:$A,Prod_Prop!$J:$J,"",0,1))</f>
        <v/>
      </c>
      <c r="T851" s="4" t="str">
        <f t="array" ref="T851">IF($E851="","", XLOOKUP(SUMIFS(Prod_Prop!$A:$A,Prod_Prop!$B:$B,$E851,Prod_Prop!$H:$H,T$1,Prod_Prop!$I:$I,"Exacto"),Prod_Prop!$A:$A,Prod_Prop!$J:$J,"",0,1))</f>
        <v/>
      </c>
      <c r="U851" s="4" t="str">
        <f t="array" ref="U851">IF($E851="","", XLOOKUP(SUMIFS(Prod_Prop!$A:$A,Prod_Prop!$B:$B,$E851,Prod_Prop!$H:$H,U$1,Prod_Prop!$I:$I,"Exacto"),Prod_Prop!$A:$A,Prod_Prop!$J:$J,"",0,1))</f>
        <v/>
      </c>
      <c r="V851" s="4" t="str">
        <f t="array" ref="V851">IF($E851="","", XLOOKUP(SUMIFS(Prod_Prop!$A:$A,Prod_Prop!$B:$B,$E851,Prod_Prop!$H:$H,V$1,Prod_Prop!$I:$I,"Exacto"),Prod_Prop!$A:$A,Prod_Prop!$J:$J,"",0,1))</f>
        <v/>
      </c>
      <c r="X851" s="3" t="str">
        <f>IFERROR(__xludf.DUMMYFUNCTION("IF(D851="""","""",IFERROR(TRANSPOSE(FILTER('Validaciones Cotizador'!U:U,'Validaciones Cotizador'!O:O=D851,'Validaciones Cotizador'!T:T=""x"")),""Finalizar""))"),"")</f>
        <v/>
      </c>
    </row>
    <row r="852">
      <c r="A852" s="2" t="str">
        <f t="array" ref="A852">IF(E852="","",XLOOKUP(D852,'Validaciones Cotizador'!C:C,'Validaciones Cotizador'!A:A,"",0,1))</f>
        <v/>
      </c>
      <c r="B852" s="2" t="str">
        <f t="array" ref="B852">IF(F852="","",XLOOKUP(F852,Productos!E:E,Productos!G:G,"",0,1))</f>
        <v/>
      </c>
      <c r="C852" s="2" t="str">
        <f>IF(A852="","",SUMIFS('Validaciones Cotizador'!B:B,'Validaciones Cotizador'!C:C,D852,'Validaciones Cotizador'!A:A,A852))</f>
        <v/>
      </c>
      <c r="D852" s="4" t="str">
        <f>IFERROR(__xludf.DUMMYFUNCTION("IF(OR(F851=""Finalizar"",F851="""",F851=""Selecciona..""),"""",IF(OR(F851=""-"",INDEX(filter(Familias!F:F,Familias!D:D=A851,Familias!E:E=C851),1)=""O""),D851+1,D851))"),"")</f>
        <v/>
      </c>
      <c r="E852" s="2" t="str">
        <f>IF(OR(F852="",F852="Selecciona.."),"",IF(D852="Implemento",SUMIF(Implementos!B:B,F852,Implementos!A:A),SUMIF(Productos!E:E,F852,Productos!A:A)))</f>
        <v/>
      </c>
      <c r="F852" s="2" t="str">
        <f t="shared" si="2"/>
        <v/>
      </c>
      <c r="G852" s="10" t="str">
        <f t="array" ref="G852">IF(OR(F852="",F852="-",F852="Selecciona..",F852="Finalizar"),"",IF(A852="Rodados",XLOOKUP(B852,'Validaciones Cotizador'!I:I,'Validaciones Cotizador'!J:J,0,0,1),1))</f>
        <v/>
      </c>
      <c r="H852" s="11" t="str">
        <f>IF(OR(F852="",F852="Selecciona.."),"",SUMIF(Precio_Productos!K:K,E852,Precio_Productos!J:J)*G852)</f>
        <v/>
      </c>
      <c r="I852" s="4" t="str">
        <f t="array" ref="I852">IF($E852="","", XLOOKUP(SUMIFS(Prod_Prop!$A:$A,Prod_Prop!$B:$B,$E852,Prod_Prop!$H:$H,I$1,Prod_Prop!$I:$I,"Exacto"),Prod_Prop!$A:$A,Prod_Prop!$J:$J,"",0,1))</f>
        <v/>
      </c>
      <c r="J852" s="4" t="str">
        <f t="array" ref="J852">IF($E852="","", XLOOKUP(SUMIFS(Prod_Prop!$A:$A,Prod_Prop!$B:$B,$E852,Prod_Prop!$H:$H,J$1,Prod_Prop!$I:$I,"Exacto"),Prod_Prop!$A:$A,Prod_Prop!$J:$J,"",0,1))</f>
        <v/>
      </c>
      <c r="K852" s="4" t="str">
        <f t="array" ref="K852">IF($E852="","", XLOOKUP(SUMIFS(Prod_Prop!$A:$A,Prod_Prop!$B:$B,$E852,Prod_Prop!$H:$H,K$1,Prod_Prop!$I:$I,"Exacto"),Prod_Prop!$A:$A,Prod_Prop!$J:$J,"",0,1))</f>
        <v/>
      </c>
      <c r="L852" s="4" t="str">
        <f t="array" ref="L852">IF($E852="","", XLOOKUP(SUMIFS(Prod_Prop!$A:$A,Prod_Prop!$B:$B,$E852,Prod_Prop!$H:$H,L$1,Prod_Prop!$I:$I,"Exacto"),Prod_Prop!$A:$A,Prod_Prop!$J:$J,"",0,1))</f>
        <v/>
      </c>
      <c r="M852" s="4" t="str">
        <f t="array" ref="M852">IF($E852="","", XLOOKUP(SUMIFS(Prod_Prop!$A:$A,Prod_Prop!$B:$B,$E852,Prod_Prop!$H:$H,M$1,Prod_Prop!$I:$I,"Exacto"),Prod_Prop!$A:$A,Prod_Prop!$J:$J,"",0,1))</f>
        <v/>
      </c>
      <c r="N852" s="4" t="str">
        <f t="array" ref="N852">IF($E852="","", XLOOKUP(SUMIFS(Prod_Prop!$A:$A,Prod_Prop!$B:$B,$E852,Prod_Prop!$H:$H,N$1,Prod_Prop!$I:$I,"Exacto"),Prod_Prop!$A:$A,Prod_Prop!$J:$J,"",0,1))</f>
        <v/>
      </c>
      <c r="O852" s="4" t="str">
        <f t="array" ref="O852">IF($E852="","", XLOOKUP(SUMIFS(Prod_Prop!$A:$A,Prod_Prop!$B:$B,$E852,Prod_Prop!$H:$H,O$1,Prod_Prop!$I:$I,"Exacto"),Prod_Prop!$A:$A,Prod_Prop!$J:$J,"",0,1))</f>
        <v/>
      </c>
      <c r="P852" s="4" t="str">
        <f t="array" ref="P852">IF($E852="","", XLOOKUP(SUMIFS(Prod_Prop!$A:$A,Prod_Prop!$B:$B,$E852,Prod_Prop!$H:$H,P$1,Prod_Prop!$I:$I,"Exacto"),Prod_Prop!$A:$A,Prod_Prop!$J:$J,"",0,1))</f>
        <v/>
      </c>
      <c r="Q852" s="4" t="str">
        <f t="array" ref="Q852">IF($E852="","", XLOOKUP(SUMIFS(Prod_Prop!$A:$A,Prod_Prop!$B:$B,$E852,Prod_Prop!$H:$H,Q$1,Prod_Prop!$I:$I,"Exacto"),Prod_Prop!$A:$A,Prod_Prop!$J:$J,"",0,1))</f>
        <v/>
      </c>
      <c r="R852" s="4" t="str">
        <f t="array" ref="R852">IF($E852="","", XLOOKUP(SUMIFS(Prod_Prop!$A:$A,Prod_Prop!$B:$B,$E852,Prod_Prop!$H:$H,R$1,Prod_Prop!$I:$I,"Exacto"),Prod_Prop!$A:$A,Prod_Prop!$J:$J,"",0,1))</f>
        <v/>
      </c>
      <c r="S852" s="4" t="str">
        <f t="array" ref="S852">IF($E852="","", XLOOKUP(SUMIFS(Prod_Prop!$A:$A,Prod_Prop!$B:$B,$E852,Prod_Prop!$H:$H,S$1,Prod_Prop!$I:$I,"Exacto"),Prod_Prop!$A:$A,Prod_Prop!$J:$J,"",0,1))</f>
        <v/>
      </c>
      <c r="T852" s="4" t="str">
        <f t="array" ref="T852">IF($E852="","", XLOOKUP(SUMIFS(Prod_Prop!$A:$A,Prod_Prop!$B:$B,$E852,Prod_Prop!$H:$H,T$1,Prod_Prop!$I:$I,"Exacto"),Prod_Prop!$A:$A,Prod_Prop!$J:$J,"",0,1))</f>
        <v/>
      </c>
      <c r="U852" s="4" t="str">
        <f t="array" ref="U852">IF($E852="","", XLOOKUP(SUMIFS(Prod_Prop!$A:$A,Prod_Prop!$B:$B,$E852,Prod_Prop!$H:$H,U$1,Prod_Prop!$I:$I,"Exacto"),Prod_Prop!$A:$A,Prod_Prop!$J:$J,"",0,1))</f>
        <v/>
      </c>
      <c r="V852" s="4" t="str">
        <f t="array" ref="V852">IF($E852="","", XLOOKUP(SUMIFS(Prod_Prop!$A:$A,Prod_Prop!$B:$B,$E852,Prod_Prop!$H:$H,V$1,Prod_Prop!$I:$I,"Exacto"),Prod_Prop!$A:$A,Prod_Prop!$J:$J,"",0,1))</f>
        <v/>
      </c>
      <c r="X852" s="3" t="str">
        <f>IFERROR(__xludf.DUMMYFUNCTION("IF(D852="""","""",IFERROR(TRANSPOSE(FILTER('Validaciones Cotizador'!U:U,'Validaciones Cotizador'!O:O=D852,'Validaciones Cotizador'!T:T=""x"")),""Finalizar""))"),"")</f>
        <v/>
      </c>
    </row>
    <row r="853">
      <c r="A853" s="2" t="str">
        <f t="array" ref="A853">IF(E853="","",XLOOKUP(D853,'Validaciones Cotizador'!C:C,'Validaciones Cotizador'!A:A,"",0,1))</f>
        <v/>
      </c>
      <c r="B853" s="2" t="str">
        <f t="array" ref="B853">IF(F853="","",XLOOKUP(F853,Productos!E:E,Productos!G:G,"",0,1))</f>
        <v/>
      </c>
      <c r="C853" s="2" t="str">
        <f>IF(A853="","",SUMIFS('Validaciones Cotizador'!B:B,'Validaciones Cotizador'!C:C,D853,'Validaciones Cotizador'!A:A,A853))</f>
        <v/>
      </c>
      <c r="D853" s="4" t="str">
        <f>IFERROR(__xludf.DUMMYFUNCTION("IF(OR(F852=""Finalizar"",F852="""",F852=""Selecciona..""),"""",IF(OR(F852=""-"",INDEX(filter(Familias!F:F,Familias!D:D=A852,Familias!E:E=C852),1)=""O""),D852+1,D852))"),"")</f>
        <v/>
      </c>
      <c r="E853" s="2" t="str">
        <f>IF(OR(F853="",F853="Selecciona.."),"",IF(D853="Implemento",SUMIF(Implementos!B:B,F853,Implementos!A:A),SUMIF(Productos!E:E,F853,Productos!A:A)))</f>
        <v/>
      </c>
      <c r="F853" s="2" t="str">
        <f t="shared" si="2"/>
        <v/>
      </c>
      <c r="G853" s="10" t="str">
        <f t="array" ref="G853">IF(OR(F853="",F853="-",F853="Selecciona..",F853="Finalizar"),"",IF(A853="Rodados",XLOOKUP(B853,'Validaciones Cotizador'!I:I,'Validaciones Cotizador'!J:J,0,0,1),1))</f>
        <v/>
      </c>
      <c r="H853" s="11" t="str">
        <f>IF(OR(F853="",F853="Selecciona.."),"",SUMIF(Precio_Productos!K:K,E853,Precio_Productos!J:J)*G853)</f>
        <v/>
      </c>
      <c r="I853" s="4" t="str">
        <f t="array" ref="I853">IF($E853="","", XLOOKUP(SUMIFS(Prod_Prop!$A:$A,Prod_Prop!$B:$B,$E853,Prod_Prop!$H:$H,I$1,Prod_Prop!$I:$I,"Exacto"),Prod_Prop!$A:$A,Prod_Prop!$J:$J,"",0,1))</f>
        <v/>
      </c>
      <c r="J853" s="4" t="str">
        <f t="array" ref="J853">IF($E853="","", XLOOKUP(SUMIFS(Prod_Prop!$A:$A,Prod_Prop!$B:$B,$E853,Prod_Prop!$H:$H,J$1,Prod_Prop!$I:$I,"Exacto"),Prod_Prop!$A:$A,Prod_Prop!$J:$J,"",0,1))</f>
        <v/>
      </c>
      <c r="K853" s="4" t="str">
        <f t="array" ref="K853">IF($E853="","", XLOOKUP(SUMIFS(Prod_Prop!$A:$A,Prod_Prop!$B:$B,$E853,Prod_Prop!$H:$H,K$1,Prod_Prop!$I:$I,"Exacto"),Prod_Prop!$A:$A,Prod_Prop!$J:$J,"",0,1))</f>
        <v/>
      </c>
      <c r="L853" s="4" t="str">
        <f t="array" ref="L853">IF($E853="","", XLOOKUP(SUMIFS(Prod_Prop!$A:$A,Prod_Prop!$B:$B,$E853,Prod_Prop!$H:$H,L$1,Prod_Prop!$I:$I,"Exacto"),Prod_Prop!$A:$A,Prod_Prop!$J:$J,"",0,1))</f>
        <v/>
      </c>
      <c r="M853" s="4" t="str">
        <f t="array" ref="M853">IF($E853="","", XLOOKUP(SUMIFS(Prod_Prop!$A:$A,Prod_Prop!$B:$B,$E853,Prod_Prop!$H:$H,M$1,Prod_Prop!$I:$I,"Exacto"),Prod_Prop!$A:$A,Prod_Prop!$J:$J,"",0,1))</f>
        <v/>
      </c>
      <c r="N853" s="4" t="str">
        <f t="array" ref="N853">IF($E853="","", XLOOKUP(SUMIFS(Prod_Prop!$A:$A,Prod_Prop!$B:$B,$E853,Prod_Prop!$H:$H,N$1,Prod_Prop!$I:$I,"Exacto"),Prod_Prop!$A:$A,Prod_Prop!$J:$J,"",0,1))</f>
        <v/>
      </c>
      <c r="O853" s="4" t="str">
        <f t="array" ref="O853">IF($E853="","", XLOOKUP(SUMIFS(Prod_Prop!$A:$A,Prod_Prop!$B:$B,$E853,Prod_Prop!$H:$H,O$1,Prod_Prop!$I:$I,"Exacto"),Prod_Prop!$A:$A,Prod_Prop!$J:$J,"",0,1))</f>
        <v/>
      </c>
      <c r="P853" s="4" t="str">
        <f t="array" ref="P853">IF($E853="","", XLOOKUP(SUMIFS(Prod_Prop!$A:$A,Prod_Prop!$B:$B,$E853,Prod_Prop!$H:$H,P$1,Prod_Prop!$I:$I,"Exacto"),Prod_Prop!$A:$A,Prod_Prop!$J:$J,"",0,1))</f>
        <v/>
      </c>
      <c r="Q853" s="4" t="str">
        <f t="array" ref="Q853">IF($E853="","", XLOOKUP(SUMIFS(Prod_Prop!$A:$A,Prod_Prop!$B:$B,$E853,Prod_Prop!$H:$H,Q$1,Prod_Prop!$I:$I,"Exacto"),Prod_Prop!$A:$A,Prod_Prop!$J:$J,"",0,1))</f>
        <v/>
      </c>
      <c r="R853" s="4" t="str">
        <f t="array" ref="R853">IF($E853="","", XLOOKUP(SUMIFS(Prod_Prop!$A:$A,Prod_Prop!$B:$B,$E853,Prod_Prop!$H:$H,R$1,Prod_Prop!$I:$I,"Exacto"),Prod_Prop!$A:$A,Prod_Prop!$J:$J,"",0,1))</f>
        <v/>
      </c>
      <c r="S853" s="4" t="str">
        <f t="array" ref="S853">IF($E853="","", XLOOKUP(SUMIFS(Prod_Prop!$A:$A,Prod_Prop!$B:$B,$E853,Prod_Prop!$H:$H,S$1,Prod_Prop!$I:$I,"Exacto"),Prod_Prop!$A:$A,Prod_Prop!$J:$J,"",0,1))</f>
        <v/>
      </c>
      <c r="T853" s="4" t="str">
        <f t="array" ref="T853">IF($E853="","", XLOOKUP(SUMIFS(Prod_Prop!$A:$A,Prod_Prop!$B:$B,$E853,Prod_Prop!$H:$H,T$1,Prod_Prop!$I:$I,"Exacto"),Prod_Prop!$A:$A,Prod_Prop!$J:$J,"",0,1))</f>
        <v/>
      </c>
      <c r="U853" s="4" t="str">
        <f t="array" ref="U853">IF($E853="","", XLOOKUP(SUMIFS(Prod_Prop!$A:$A,Prod_Prop!$B:$B,$E853,Prod_Prop!$H:$H,U$1,Prod_Prop!$I:$I,"Exacto"),Prod_Prop!$A:$A,Prod_Prop!$J:$J,"",0,1))</f>
        <v/>
      </c>
      <c r="V853" s="4" t="str">
        <f t="array" ref="V853">IF($E853="","", XLOOKUP(SUMIFS(Prod_Prop!$A:$A,Prod_Prop!$B:$B,$E853,Prod_Prop!$H:$H,V$1,Prod_Prop!$I:$I,"Exacto"),Prod_Prop!$A:$A,Prod_Prop!$J:$J,"",0,1))</f>
        <v/>
      </c>
      <c r="X853" s="3" t="str">
        <f>IFERROR(__xludf.DUMMYFUNCTION("IF(D853="""","""",IFERROR(TRANSPOSE(FILTER('Validaciones Cotizador'!U:U,'Validaciones Cotizador'!O:O=D853,'Validaciones Cotizador'!T:T=""x"")),""Finalizar""))"),"")</f>
        <v/>
      </c>
    </row>
    <row r="854">
      <c r="A854" s="2" t="str">
        <f t="array" ref="A854">IF(E854="","",XLOOKUP(D854,'Validaciones Cotizador'!C:C,'Validaciones Cotizador'!A:A,"",0,1))</f>
        <v/>
      </c>
      <c r="B854" s="2" t="str">
        <f t="array" ref="B854">IF(F854="","",XLOOKUP(F854,Productos!E:E,Productos!G:G,"",0,1))</f>
        <v/>
      </c>
      <c r="C854" s="2" t="str">
        <f>IF(A854="","",SUMIFS('Validaciones Cotizador'!B:B,'Validaciones Cotizador'!C:C,D854,'Validaciones Cotizador'!A:A,A854))</f>
        <v/>
      </c>
      <c r="D854" s="4" t="str">
        <f>IFERROR(__xludf.DUMMYFUNCTION("IF(OR(F853=""Finalizar"",F853="""",F853=""Selecciona..""),"""",IF(OR(F853=""-"",INDEX(filter(Familias!F:F,Familias!D:D=A853,Familias!E:E=C853),1)=""O""),D853+1,D853))"),"")</f>
        <v/>
      </c>
      <c r="E854" s="2" t="str">
        <f>IF(OR(F854="",F854="Selecciona.."),"",IF(D854="Implemento",SUMIF(Implementos!B:B,F854,Implementos!A:A),SUMIF(Productos!E:E,F854,Productos!A:A)))</f>
        <v/>
      </c>
      <c r="F854" s="2" t="str">
        <f t="shared" si="2"/>
        <v/>
      </c>
      <c r="G854" s="10" t="str">
        <f t="array" ref="G854">IF(OR(F854="",F854="-",F854="Selecciona..",F854="Finalizar"),"",IF(A854="Rodados",XLOOKUP(B854,'Validaciones Cotizador'!I:I,'Validaciones Cotizador'!J:J,0,0,1),1))</f>
        <v/>
      </c>
      <c r="H854" s="11" t="str">
        <f>IF(OR(F854="",F854="Selecciona.."),"",SUMIF(Precio_Productos!K:K,E854,Precio_Productos!J:J)*G854)</f>
        <v/>
      </c>
      <c r="I854" s="4" t="str">
        <f t="array" ref="I854">IF($E854="","", XLOOKUP(SUMIFS(Prod_Prop!$A:$A,Prod_Prop!$B:$B,$E854,Prod_Prop!$H:$H,I$1,Prod_Prop!$I:$I,"Exacto"),Prod_Prop!$A:$A,Prod_Prop!$J:$J,"",0,1))</f>
        <v/>
      </c>
      <c r="J854" s="4" t="str">
        <f t="array" ref="J854">IF($E854="","", XLOOKUP(SUMIFS(Prod_Prop!$A:$A,Prod_Prop!$B:$B,$E854,Prod_Prop!$H:$H,J$1,Prod_Prop!$I:$I,"Exacto"),Prod_Prop!$A:$A,Prod_Prop!$J:$J,"",0,1))</f>
        <v/>
      </c>
      <c r="K854" s="4" t="str">
        <f t="array" ref="K854">IF($E854="","", XLOOKUP(SUMIFS(Prod_Prop!$A:$A,Prod_Prop!$B:$B,$E854,Prod_Prop!$H:$H,K$1,Prod_Prop!$I:$I,"Exacto"),Prod_Prop!$A:$A,Prod_Prop!$J:$J,"",0,1))</f>
        <v/>
      </c>
      <c r="L854" s="4" t="str">
        <f t="array" ref="L854">IF($E854="","", XLOOKUP(SUMIFS(Prod_Prop!$A:$A,Prod_Prop!$B:$B,$E854,Prod_Prop!$H:$H,L$1,Prod_Prop!$I:$I,"Exacto"),Prod_Prop!$A:$A,Prod_Prop!$J:$J,"",0,1))</f>
        <v/>
      </c>
      <c r="M854" s="4" t="str">
        <f t="array" ref="M854">IF($E854="","", XLOOKUP(SUMIFS(Prod_Prop!$A:$A,Prod_Prop!$B:$B,$E854,Prod_Prop!$H:$H,M$1,Prod_Prop!$I:$I,"Exacto"),Prod_Prop!$A:$A,Prod_Prop!$J:$J,"",0,1))</f>
        <v/>
      </c>
      <c r="N854" s="4" t="str">
        <f t="array" ref="N854">IF($E854="","", XLOOKUP(SUMIFS(Prod_Prop!$A:$A,Prod_Prop!$B:$B,$E854,Prod_Prop!$H:$H,N$1,Prod_Prop!$I:$I,"Exacto"),Prod_Prop!$A:$A,Prod_Prop!$J:$J,"",0,1))</f>
        <v/>
      </c>
      <c r="O854" s="4" t="str">
        <f t="array" ref="O854">IF($E854="","", XLOOKUP(SUMIFS(Prod_Prop!$A:$A,Prod_Prop!$B:$B,$E854,Prod_Prop!$H:$H,O$1,Prod_Prop!$I:$I,"Exacto"),Prod_Prop!$A:$A,Prod_Prop!$J:$J,"",0,1))</f>
        <v/>
      </c>
      <c r="P854" s="4" t="str">
        <f t="array" ref="P854">IF($E854="","", XLOOKUP(SUMIFS(Prod_Prop!$A:$A,Prod_Prop!$B:$B,$E854,Prod_Prop!$H:$H,P$1,Prod_Prop!$I:$I,"Exacto"),Prod_Prop!$A:$A,Prod_Prop!$J:$J,"",0,1))</f>
        <v/>
      </c>
      <c r="Q854" s="4" t="str">
        <f t="array" ref="Q854">IF($E854="","", XLOOKUP(SUMIFS(Prod_Prop!$A:$A,Prod_Prop!$B:$B,$E854,Prod_Prop!$H:$H,Q$1,Prod_Prop!$I:$I,"Exacto"),Prod_Prop!$A:$A,Prod_Prop!$J:$J,"",0,1))</f>
        <v/>
      </c>
      <c r="R854" s="4" t="str">
        <f t="array" ref="R854">IF($E854="","", XLOOKUP(SUMIFS(Prod_Prop!$A:$A,Prod_Prop!$B:$B,$E854,Prod_Prop!$H:$H,R$1,Prod_Prop!$I:$I,"Exacto"),Prod_Prop!$A:$A,Prod_Prop!$J:$J,"",0,1))</f>
        <v/>
      </c>
      <c r="S854" s="4" t="str">
        <f t="array" ref="S854">IF($E854="","", XLOOKUP(SUMIFS(Prod_Prop!$A:$A,Prod_Prop!$B:$B,$E854,Prod_Prop!$H:$H,S$1,Prod_Prop!$I:$I,"Exacto"),Prod_Prop!$A:$A,Prod_Prop!$J:$J,"",0,1))</f>
        <v/>
      </c>
      <c r="T854" s="4" t="str">
        <f t="array" ref="T854">IF($E854="","", XLOOKUP(SUMIFS(Prod_Prop!$A:$A,Prod_Prop!$B:$B,$E854,Prod_Prop!$H:$H,T$1,Prod_Prop!$I:$I,"Exacto"),Prod_Prop!$A:$A,Prod_Prop!$J:$J,"",0,1))</f>
        <v/>
      </c>
      <c r="U854" s="4" t="str">
        <f t="array" ref="U854">IF($E854="","", XLOOKUP(SUMIFS(Prod_Prop!$A:$A,Prod_Prop!$B:$B,$E854,Prod_Prop!$H:$H,U$1,Prod_Prop!$I:$I,"Exacto"),Prod_Prop!$A:$A,Prod_Prop!$J:$J,"",0,1))</f>
        <v/>
      </c>
      <c r="V854" s="4" t="str">
        <f t="array" ref="V854">IF($E854="","", XLOOKUP(SUMIFS(Prod_Prop!$A:$A,Prod_Prop!$B:$B,$E854,Prod_Prop!$H:$H,V$1,Prod_Prop!$I:$I,"Exacto"),Prod_Prop!$A:$A,Prod_Prop!$J:$J,"",0,1))</f>
        <v/>
      </c>
      <c r="X854" s="3" t="str">
        <f>IFERROR(__xludf.DUMMYFUNCTION("IF(D854="""","""",IFERROR(TRANSPOSE(FILTER('Validaciones Cotizador'!U:U,'Validaciones Cotizador'!O:O=D854,'Validaciones Cotizador'!T:T=""x"")),""Finalizar""))"),"")</f>
        <v/>
      </c>
    </row>
    <row r="855">
      <c r="A855" s="2" t="str">
        <f t="array" ref="A855">IF(E855="","",XLOOKUP(D855,'Validaciones Cotizador'!C:C,'Validaciones Cotizador'!A:A,"",0,1))</f>
        <v/>
      </c>
      <c r="B855" s="2" t="str">
        <f t="array" ref="B855">IF(F855="","",XLOOKUP(F855,Productos!E:E,Productos!G:G,"",0,1))</f>
        <v/>
      </c>
      <c r="C855" s="2" t="str">
        <f>IF(A855="","",SUMIFS('Validaciones Cotizador'!B:B,'Validaciones Cotizador'!C:C,D855,'Validaciones Cotizador'!A:A,A855))</f>
        <v/>
      </c>
      <c r="D855" s="4" t="str">
        <f>IFERROR(__xludf.DUMMYFUNCTION("IF(OR(F854=""Finalizar"",F854="""",F854=""Selecciona..""),"""",IF(OR(F854=""-"",INDEX(filter(Familias!F:F,Familias!D:D=A854,Familias!E:E=C854),1)=""O""),D854+1,D854))"),"")</f>
        <v/>
      </c>
      <c r="E855" s="2" t="str">
        <f>IF(OR(F855="",F855="Selecciona.."),"",IF(D855="Implemento",SUMIF(Implementos!B:B,F855,Implementos!A:A),SUMIF(Productos!E:E,F855,Productos!A:A)))</f>
        <v/>
      </c>
      <c r="F855" s="2" t="str">
        <f t="shared" si="2"/>
        <v/>
      </c>
      <c r="G855" s="10" t="str">
        <f t="array" ref="G855">IF(OR(F855="",F855="-",F855="Selecciona..",F855="Finalizar"),"",IF(A855="Rodados",XLOOKUP(B855,'Validaciones Cotizador'!I:I,'Validaciones Cotizador'!J:J,0,0,1),1))</f>
        <v/>
      </c>
      <c r="H855" s="11" t="str">
        <f>IF(OR(F855="",F855="Selecciona.."),"",SUMIF(Precio_Productos!K:K,E855,Precio_Productos!J:J)*G855)</f>
        <v/>
      </c>
      <c r="I855" s="4" t="str">
        <f t="array" ref="I855">IF($E855="","", XLOOKUP(SUMIFS(Prod_Prop!$A:$A,Prod_Prop!$B:$B,$E855,Prod_Prop!$H:$H,I$1,Prod_Prop!$I:$I,"Exacto"),Prod_Prop!$A:$A,Prod_Prop!$J:$J,"",0,1))</f>
        <v/>
      </c>
      <c r="J855" s="4" t="str">
        <f t="array" ref="J855">IF($E855="","", XLOOKUP(SUMIFS(Prod_Prop!$A:$A,Prod_Prop!$B:$B,$E855,Prod_Prop!$H:$H,J$1,Prod_Prop!$I:$I,"Exacto"),Prod_Prop!$A:$A,Prod_Prop!$J:$J,"",0,1))</f>
        <v/>
      </c>
      <c r="K855" s="4" t="str">
        <f t="array" ref="K855">IF($E855="","", XLOOKUP(SUMIFS(Prod_Prop!$A:$A,Prod_Prop!$B:$B,$E855,Prod_Prop!$H:$H,K$1,Prod_Prop!$I:$I,"Exacto"),Prod_Prop!$A:$A,Prod_Prop!$J:$J,"",0,1))</f>
        <v/>
      </c>
      <c r="L855" s="4" t="str">
        <f t="array" ref="L855">IF($E855="","", XLOOKUP(SUMIFS(Prod_Prop!$A:$A,Prod_Prop!$B:$B,$E855,Prod_Prop!$H:$H,L$1,Prod_Prop!$I:$I,"Exacto"),Prod_Prop!$A:$A,Prod_Prop!$J:$J,"",0,1))</f>
        <v/>
      </c>
      <c r="M855" s="4" t="str">
        <f t="array" ref="M855">IF($E855="","", XLOOKUP(SUMIFS(Prod_Prop!$A:$A,Prod_Prop!$B:$B,$E855,Prod_Prop!$H:$H,M$1,Prod_Prop!$I:$I,"Exacto"),Prod_Prop!$A:$A,Prod_Prop!$J:$J,"",0,1))</f>
        <v/>
      </c>
      <c r="N855" s="4" t="str">
        <f t="array" ref="N855">IF($E855="","", XLOOKUP(SUMIFS(Prod_Prop!$A:$A,Prod_Prop!$B:$B,$E855,Prod_Prop!$H:$H,N$1,Prod_Prop!$I:$I,"Exacto"),Prod_Prop!$A:$A,Prod_Prop!$J:$J,"",0,1))</f>
        <v/>
      </c>
      <c r="O855" s="4" t="str">
        <f t="array" ref="O855">IF($E855="","", XLOOKUP(SUMIFS(Prod_Prop!$A:$A,Prod_Prop!$B:$B,$E855,Prod_Prop!$H:$H,O$1,Prod_Prop!$I:$I,"Exacto"),Prod_Prop!$A:$A,Prod_Prop!$J:$J,"",0,1))</f>
        <v/>
      </c>
      <c r="P855" s="4" t="str">
        <f t="array" ref="P855">IF($E855="","", XLOOKUP(SUMIFS(Prod_Prop!$A:$A,Prod_Prop!$B:$B,$E855,Prod_Prop!$H:$H,P$1,Prod_Prop!$I:$I,"Exacto"),Prod_Prop!$A:$A,Prod_Prop!$J:$J,"",0,1))</f>
        <v/>
      </c>
      <c r="Q855" s="4" t="str">
        <f t="array" ref="Q855">IF($E855="","", XLOOKUP(SUMIFS(Prod_Prop!$A:$A,Prod_Prop!$B:$B,$E855,Prod_Prop!$H:$H,Q$1,Prod_Prop!$I:$I,"Exacto"),Prod_Prop!$A:$A,Prod_Prop!$J:$J,"",0,1))</f>
        <v/>
      </c>
      <c r="R855" s="4" t="str">
        <f t="array" ref="R855">IF($E855="","", XLOOKUP(SUMIFS(Prod_Prop!$A:$A,Prod_Prop!$B:$B,$E855,Prod_Prop!$H:$H,R$1,Prod_Prop!$I:$I,"Exacto"),Prod_Prop!$A:$A,Prod_Prop!$J:$J,"",0,1))</f>
        <v/>
      </c>
      <c r="S855" s="4" t="str">
        <f t="array" ref="S855">IF($E855="","", XLOOKUP(SUMIFS(Prod_Prop!$A:$A,Prod_Prop!$B:$B,$E855,Prod_Prop!$H:$H,S$1,Prod_Prop!$I:$I,"Exacto"),Prod_Prop!$A:$A,Prod_Prop!$J:$J,"",0,1))</f>
        <v/>
      </c>
      <c r="T855" s="4" t="str">
        <f t="array" ref="T855">IF($E855="","", XLOOKUP(SUMIFS(Prod_Prop!$A:$A,Prod_Prop!$B:$B,$E855,Prod_Prop!$H:$H,T$1,Prod_Prop!$I:$I,"Exacto"),Prod_Prop!$A:$A,Prod_Prop!$J:$J,"",0,1))</f>
        <v/>
      </c>
      <c r="U855" s="4" t="str">
        <f t="array" ref="U855">IF($E855="","", XLOOKUP(SUMIFS(Prod_Prop!$A:$A,Prod_Prop!$B:$B,$E855,Prod_Prop!$H:$H,U$1,Prod_Prop!$I:$I,"Exacto"),Prod_Prop!$A:$A,Prod_Prop!$J:$J,"",0,1))</f>
        <v/>
      </c>
      <c r="V855" s="4" t="str">
        <f t="array" ref="V855">IF($E855="","", XLOOKUP(SUMIFS(Prod_Prop!$A:$A,Prod_Prop!$B:$B,$E855,Prod_Prop!$H:$H,V$1,Prod_Prop!$I:$I,"Exacto"),Prod_Prop!$A:$A,Prod_Prop!$J:$J,"",0,1))</f>
        <v/>
      </c>
      <c r="X855" s="3" t="str">
        <f>IFERROR(__xludf.DUMMYFUNCTION("IF(D855="""","""",IFERROR(TRANSPOSE(FILTER('Validaciones Cotizador'!U:U,'Validaciones Cotizador'!O:O=D855,'Validaciones Cotizador'!T:T=""x"")),""Finalizar""))"),"")</f>
        <v/>
      </c>
    </row>
    <row r="856">
      <c r="A856" s="2" t="str">
        <f t="array" ref="A856">IF(E856="","",XLOOKUP(D856,'Validaciones Cotizador'!C:C,'Validaciones Cotizador'!A:A,"",0,1))</f>
        <v/>
      </c>
      <c r="B856" s="2" t="str">
        <f t="array" ref="B856">IF(F856="","",XLOOKUP(F856,Productos!E:E,Productos!G:G,"",0,1))</f>
        <v/>
      </c>
      <c r="C856" s="2" t="str">
        <f>IF(A856="","",SUMIFS('Validaciones Cotizador'!B:B,'Validaciones Cotizador'!C:C,D856,'Validaciones Cotizador'!A:A,A856))</f>
        <v/>
      </c>
      <c r="D856" s="4" t="str">
        <f>IFERROR(__xludf.DUMMYFUNCTION("IF(OR(F855=""Finalizar"",F855="""",F855=""Selecciona..""),"""",IF(OR(F855=""-"",INDEX(filter(Familias!F:F,Familias!D:D=A855,Familias!E:E=C855),1)=""O""),D855+1,D855))"),"")</f>
        <v/>
      </c>
      <c r="E856" s="2" t="str">
        <f>IF(OR(F856="",F856="Selecciona.."),"",IF(D856="Implemento",SUMIF(Implementos!B:B,F856,Implementos!A:A),SUMIF(Productos!E:E,F856,Productos!A:A)))</f>
        <v/>
      </c>
      <c r="F856" s="2" t="str">
        <f t="shared" si="2"/>
        <v/>
      </c>
      <c r="G856" s="10" t="str">
        <f t="array" ref="G856">IF(OR(F856="",F856="-",F856="Selecciona..",F856="Finalizar"),"",IF(A856="Rodados",XLOOKUP(B856,'Validaciones Cotizador'!I:I,'Validaciones Cotizador'!J:J,0,0,1),1))</f>
        <v/>
      </c>
      <c r="H856" s="11" t="str">
        <f>IF(OR(F856="",F856="Selecciona.."),"",SUMIF(Precio_Productos!K:K,E856,Precio_Productos!J:J)*G856)</f>
        <v/>
      </c>
      <c r="I856" s="4" t="str">
        <f t="array" ref="I856">IF($E856="","", XLOOKUP(SUMIFS(Prod_Prop!$A:$A,Prod_Prop!$B:$B,$E856,Prod_Prop!$H:$H,I$1,Prod_Prop!$I:$I,"Exacto"),Prod_Prop!$A:$A,Prod_Prop!$J:$J,"",0,1))</f>
        <v/>
      </c>
      <c r="J856" s="4" t="str">
        <f t="array" ref="J856">IF($E856="","", XLOOKUP(SUMIFS(Prod_Prop!$A:$A,Prod_Prop!$B:$B,$E856,Prod_Prop!$H:$H,J$1,Prod_Prop!$I:$I,"Exacto"),Prod_Prop!$A:$A,Prod_Prop!$J:$J,"",0,1))</f>
        <v/>
      </c>
      <c r="K856" s="4" t="str">
        <f t="array" ref="K856">IF($E856="","", XLOOKUP(SUMIFS(Prod_Prop!$A:$A,Prod_Prop!$B:$B,$E856,Prod_Prop!$H:$H,K$1,Prod_Prop!$I:$I,"Exacto"),Prod_Prop!$A:$A,Prod_Prop!$J:$J,"",0,1))</f>
        <v/>
      </c>
      <c r="L856" s="4" t="str">
        <f t="array" ref="L856">IF($E856="","", XLOOKUP(SUMIFS(Prod_Prop!$A:$A,Prod_Prop!$B:$B,$E856,Prod_Prop!$H:$H,L$1,Prod_Prop!$I:$I,"Exacto"),Prod_Prop!$A:$A,Prod_Prop!$J:$J,"",0,1))</f>
        <v/>
      </c>
      <c r="M856" s="4" t="str">
        <f t="array" ref="M856">IF($E856="","", XLOOKUP(SUMIFS(Prod_Prop!$A:$A,Prod_Prop!$B:$B,$E856,Prod_Prop!$H:$H,M$1,Prod_Prop!$I:$I,"Exacto"),Prod_Prop!$A:$A,Prod_Prop!$J:$J,"",0,1))</f>
        <v/>
      </c>
      <c r="N856" s="4" t="str">
        <f t="array" ref="N856">IF($E856="","", XLOOKUP(SUMIFS(Prod_Prop!$A:$A,Prod_Prop!$B:$B,$E856,Prod_Prop!$H:$H,N$1,Prod_Prop!$I:$I,"Exacto"),Prod_Prop!$A:$A,Prod_Prop!$J:$J,"",0,1))</f>
        <v/>
      </c>
      <c r="O856" s="4" t="str">
        <f t="array" ref="O856">IF($E856="","", XLOOKUP(SUMIFS(Prod_Prop!$A:$A,Prod_Prop!$B:$B,$E856,Prod_Prop!$H:$H,O$1,Prod_Prop!$I:$I,"Exacto"),Prod_Prop!$A:$A,Prod_Prop!$J:$J,"",0,1))</f>
        <v/>
      </c>
      <c r="P856" s="4" t="str">
        <f t="array" ref="P856">IF($E856="","", XLOOKUP(SUMIFS(Prod_Prop!$A:$A,Prod_Prop!$B:$B,$E856,Prod_Prop!$H:$H,P$1,Prod_Prop!$I:$I,"Exacto"),Prod_Prop!$A:$A,Prod_Prop!$J:$J,"",0,1))</f>
        <v/>
      </c>
      <c r="Q856" s="4" t="str">
        <f t="array" ref="Q856">IF($E856="","", XLOOKUP(SUMIFS(Prod_Prop!$A:$A,Prod_Prop!$B:$B,$E856,Prod_Prop!$H:$H,Q$1,Prod_Prop!$I:$I,"Exacto"),Prod_Prop!$A:$A,Prod_Prop!$J:$J,"",0,1))</f>
        <v/>
      </c>
      <c r="R856" s="4" t="str">
        <f t="array" ref="R856">IF($E856="","", XLOOKUP(SUMIFS(Prod_Prop!$A:$A,Prod_Prop!$B:$B,$E856,Prod_Prop!$H:$H,R$1,Prod_Prop!$I:$I,"Exacto"),Prod_Prop!$A:$A,Prod_Prop!$J:$J,"",0,1))</f>
        <v/>
      </c>
      <c r="S856" s="4" t="str">
        <f t="array" ref="S856">IF($E856="","", XLOOKUP(SUMIFS(Prod_Prop!$A:$A,Prod_Prop!$B:$B,$E856,Prod_Prop!$H:$H,S$1,Prod_Prop!$I:$I,"Exacto"),Prod_Prop!$A:$A,Prod_Prop!$J:$J,"",0,1))</f>
        <v/>
      </c>
      <c r="T856" s="4" t="str">
        <f t="array" ref="T856">IF($E856="","", XLOOKUP(SUMIFS(Prod_Prop!$A:$A,Prod_Prop!$B:$B,$E856,Prod_Prop!$H:$H,T$1,Prod_Prop!$I:$I,"Exacto"),Prod_Prop!$A:$A,Prod_Prop!$J:$J,"",0,1))</f>
        <v/>
      </c>
      <c r="U856" s="4" t="str">
        <f t="array" ref="U856">IF($E856="","", XLOOKUP(SUMIFS(Prod_Prop!$A:$A,Prod_Prop!$B:$B,$E856,Prod_Prop!$H:$H,U$1,Prod_Prop!$I:$I,"Exacto"),Prod_Prop!$A:$A,Prod_Prop!$J:$J,"",0,1))</f>
        <v/>
      </c>
      <c r="V856" s="4" t="str">
        <f t="array" ref="V856">IF($E856="","", XLOOKUP(SUMIFS(Prod_Prop!$A:$A,Prod_Prop!$B:$B,$E856,Prod_Prop!$H:$H,V$1,Prod_Prop!$I:$I,"Exacto"),Prod_Prop!$A:$A,Prod_Prop!$J:$J,"",0,1))</f>
        <v/>
      </c>
      <c r="X856" s="3" t="str">
        <f>IFERROR(__xludf.DUMMYFUNCTION("IF(D856="""","""",IFERROR(TRANSPOSE(FILTER('Validaciones Cotizador'!U:U,'Validaciones Cotizador'!O:O=D856,'Validaciones Cotizador'!T:T=""x"")),""Finalizar""))"),"")</f>
        <v/>
      </c>
    </row>
    <row r="857">
      <c r="A857" s="2" t="str">
        <f t="array" ref="A857">IF(E857="","",XLOOKUP(D857,'Validaciones Cotizador'!C:C,'Validaciones Cotizador'!A:A,"",0,1))</f>
        <v/>
      </c>
      <c r="B857" s="2" t="str">
        <f t="array" ref="B857">IF(F857="","",XLOOKUP(F857,Productos!E:E,Productos!G:G,"",0,1))</f>
        <v/>
      </c>
      <c r="C857" s="2" t="str">
        <f>IF(A857="","",SUMIFS('Validaciones Cotizador'!B:B,'Validaciones Cotizador'!C:C,D857,'Validaciones Cotizador'!A:A,A857))</f>
        <v/>
      </c>
      <c r="D857" s="4" t="str">
        <f>IFERROR(__xludf.DUMMYFUNCTION("IF(OR(F856=""Finalizar"",F856="""",F856=""Selecciona..""),"""",IF(OR(F856=""-"",INDEX(filter(Familias!F:F,Familias!D:D=A856,Familias!E:E=C856),1)=""O""),D856+1,D856))"),"")</f>
        <v/>
      </c>
      <c r="E857" s="2" t="str">
        <f>IF(OR(F857="",F857="Selecciona.."),"",IF(D857="Implemento",SUMIF(Implementos!B:B,F857,Implementos!A:A),SUMIF(Productos!E:E,F857,Productos!A:A)))</f>
        <v/>
      </c>
      <c r="F857" s="2" t="str">
        <f t="shared" si="2"/>
        <v/>
      </c>
      <c r="G857" s="10" t="str">
        <f t="array" ref="G857">IF(OR(F857="",F857="-",F857="Selecciona..",F857="Finalizar"),"",IF(A857="Rodados",XLOOKUP(B857,'Validaciones Cotizador'!I:I,'Validaciones Cotizador'!J:J,0,0,1),1))</f>
        <v/>
      </c>
      <c r="H857" s="11" t="str">
        <f>IF(OR(F857="",F857="Selecciona.."),"",SUMIF(Precio_Productos!K:K,E857,Precio_Productos!J:J)*G857)</f>
        <v/>
      </c>
      <c r="I857" s="4" t="str">
        <f t="array" ref="I857">IF($E857="","", XLOOKUP(SUMIFS(Prod_Prop!$A:$A,Prod_Prop!$B:$B,$E857,Prod_Prop!$H:$H,I$1,Prod_Prop!$I:$I,"Exacto"),Prod_Prop!$A:$A,Prod_Prop!$J:$J,"",0,1))</f>
        <v/>
      </c>
      <c r="J857" s="4" t="str">
        <f t="array" ref="J857">IF($E857="","", XLOOKUP(SUMIFS(Prod_Prop!$A:$A,Prod_Prop!$B:$B,$E857,Prod_Prop!$H:$H,J$1,Prod_Prop!$I:$I,"Exacto"),Prod_Prop!$A:$A,Prod_Prop!$J:$J,"",0,1))</f>
        <v/>
      </c>
      <c r="K857" s="4" t="str">
        <f t="array" ref="K857">IF($E857="","", XLOOKUP(SUMIFS(Prod_Prop!$A:$A,Prod_Prop!$B:$B,$E857,Prod_Prop!$H:$H,K$1,Prod_Prop!$I:$I,"Exacto"),Prod_Prop!$A:$A,Prod_Prop!$J:$J,"",0,1))</f>
        <v/>
      </c>
      <c r="L857" s="4" t="str">
        <f t="array" ref="L857">IF($E857="","", XLOOKUP(SUMIFS(Prod_Prop!$A:$A,Prod_Prop!$B:$B,$E857,Prod_Prop!$H:$H,L$1,Prod_Prop!$I:$I,"Exacto"),Prod_Prop!$A:$A,Prod_Prop!$J:$J,"",0,1))</f>
        <v/>
      </c>
      <c r="M857" s="4" t="str">
        <f t="array" ref="M857">IF($E857="","", XLOOKUP(SUMIFS(Prod_Prop!$A:$A,Prod_Prop!$B:$B,$E857,Prod_Prop!$H:$H,M$1,Prod_Prop!$I:$I,"Exacto"),Prod_Prop!$A:$A,Prod_Prop!$J:$J,"",0,1))</f>
        <v/>
      </c>
      <c r="N857" s="4" t="str">
        <f t="array" ref="N857">IF($E857="","", XLOOKUP(SUMIFS(Prod_Prop!$A:$A,Prod_Prop!$B:$B,$E857,Prod_Prop!$H:$H,N$1,Prod_Prop!$I:$I,"Exacto"),Prod_Prop!$A:$A,Prod_Prop!$J:$J,"",0,1))</f>
        <v/>
      </c>
      <c r="O857" s="4" t="str">
        <f t="array" ref="O857">IF($E857="","", XLOOKUP(SUMIFS(Prod_Prop!$A:$A,Prod_Prop!$B:$B,$E857,Prod_Prop!$H:$H,O$1,Prod_Prop!$I:$I,"Exacto"),Prod_Prop!$A:$A,Prod_Prop!$J:$J,"",0,1))</f>
        <v/>
      </c>
      <c r="P857" s="4" t="str">
        <f t="array" ref="P857">IF($E857="","", XLOOKUP(SUMIFS(Prod_Prop!$A:$A,Prod_Prop!$B:$B,$E857,Prod_Prop!$H:$H,P$1,Prod_Prop!$I:$I,"Exacto"),Prod_Prop!$A:$A,Prod_Prop!$J:$J,"",0,1))</f>
        <v/>
      </c>
      <c r="Q857" s="4" t="str">
        <f t="array" ref="Q857">IF($E857="","", XLOOKUP(SUMIFS(Prod_Prop!$A:$A,Prod_Prop!$B:$B,$E857,Prod_Prop!$H:$H,Q$1,Prod_Prop!$I:$I,"Exacto"),Prod_Prop!$A:$A,Prod_Prop!$J:$J,"",0,1))</f>
        <v/>
      </c>
      <c r="R857" s="4" t="str">
        <f t="array" ref="R857">IF($E857="","", XLOOKUP(SUMIFS(Prod_Prop!$A:$A,Prod_Prop!$B:$B,$E857,Prod_Prop!$H:$H,R$1,Prod_Prop!$I:$I,"Exacto"),Prod_Prop!$A:$A,Prod_Prop!$J:$J,"",0,1))</f>
        <v/>
      </c>
      <c r="S857" s="4" t="str">
        <f t="array" ref="S857">IF($E857="","", XLOOKUP(SUMIFS(Prod_Prop!$A:$A,Prod_Prop!$B:$B,$E857,Prod_Prop!$H:$H,S$1,Prod_Prop!$I:$I,"Exacto"),Prod_Prop!$A:$A,Prod_Prop!$J:$J,"",0,1))</f>
        <v/>
      </c>
      <c r="T857" s="4" t="str">
        <f t="array" ref="T857">IF($E857="","", XLOOKUP(SUMIFS(Prod_Prop!$A:$A,Prod_Prop!$B:$B,$E857,Prod_Prop!$H:$H,T$1,Prod_Prop!$I:$I,"Exacto"),Prod_Prop!$A:$A,Prod_Prop!$J:$J,"",0,1))</f>
        <v/>
      </c>
      <c r="U857" s="4" t="str">
        <f t="array" ref="U857">IF($E857="","", XLOOKUP(SUMIFS(Prod_Prop!$A:$A,Prod_Prop!$B:$B,$E857,Prod_Prop!$H:$H,U$1,Prod_Prop!$I:$I,"Exacto"),Prod_Prop!$A:$A,Prod_Prop!$J:$J,"",0,1))</f>
        <v/>
      </c>
      <c r="V857" s="4" t="str">
        <f t="array" ref="V857">IF($E857="","", XLOOKUP(SUMIFS(Prod_Prop!$A:$A,Prod_Prop!$B:$B,$E857,Prod_Prop!$H:$H,V$1,Prod_Prop!$I:$I,"Exacto"),Prod_Prop!$A:$A,Prod_Prop!$J:$J,"",0,1))</f>
        <v/>
      </c>
      <c r="X857" s="3" t="str">
        <f>IFERROR(__xludf.DUMMYFUNCTION("IF(D857="""","""",IFERROR(TRANSPOSE(FILTER('Validaciones Cotizador'!U:U,'Validaciones Cotizador'!O:O=D857,'Validaciones Cotizador'!T:T=""x"")),""Finalizar""))"),"")</f>
        <v/>
      </c>
    </row>
    <row r="858">
      <c r="A858" s="2" t="str">
        <f t="array" ref="A858">IF(E858="","",XLOOKUP(D858,'Validaciones Cotizador'!C:C,'Validaciones Cotizador'!A:A,"",0,1))</f>
        <v/>
      </c>
      <c r="B858" s="2" t="str">
        <f t="array" ref="B858">IF(F858="","",XLOOKUP(F858,Productos!E:E,Productos!G:G,"",0,1))</f>
        <v/>
      </c>
      <c r="C858" s="2" t="str">
        <f>IF(A858="","",SUMIFS('Validaciones Cotizador'!B:B,'Validaciones Cotizador'!C:C,D858,'Validaciones Cotizador'!A:A,A858))</f>
        <v/>
      </c>
      <c r="D858" s="4" t="str">
        <f>IFERROR(__xludf.DUMMYFUNCTION("IF(OR(F857=""Finalizar"",F857="""",F857=""Selecciona..""),"""",IF(OR(F857=""-"",INDEX(filter(Familias!F:F,Familias!D:D=A857,Familias!E:E=C857),1)=""O""),D857+1,D857))"),"")</f>
        <v/>
      </c>
      <c r="E858" s="2" t="str">
        <f>IF(OR(F858="",F858="Selecciona.."),"",IF(D858="Implemento",SUMIF(Implementos!B:B,F858,Implementos!A:A),SUMIF(Productos!E:E,F858,Productos!A:A)))</f>
        <v/>
      </c>
      <c r="F858" s="2" t="str">
        <f t="shared" si="2"/>
        <v/>
      </c>
      <c r="G858" s="10" t="str">
        <f t="array" ref="G858">IF(OR(F858="",F858="-",F858="Selecciona..",F858="Finalizar"),"",IF(A858="Rodados",XLOOKUP(B858,'Validaciones Cotizador'!I:I,'Validaciones Cotizador'!J:J,0,0,1),1))</f>
        <v/>
      </c>
      <c r="H858" s="11" t="str">
        <f>IF(OR(F858="",F858="Selecciona.."),"",SUMIF(Precio_Productos!K:K,E858,Precio_Productos!J:J)*G858)</f>
        <v/>
      </c>
      <c r="I858" s="4" t="str">
        <f t="array" ref="I858">IF($E858="","", XLOOKUP(SUMIFS(Prod_Prop!$A:$A,Prod_Prop!$B:$B,$E858,Prod_Prop!$H:$H,I$1,Prod_Prop!$I:$I,"Exacto"),Prod_Prop!$A:$A,Prod_Prop!$J:$J,"",0,1))</f>
        <v/>
      </c>
      <c r="J858" s="4" t="str">
        <f t="array" ref="J858">IF($E858="","", XLOOKUP(SUMIFS(Prod_Prop!$A:$A,Prod_Prop!$B:$B,$E858,Prod_Prop!$H:$H,J$1,Prod_Prop!$I:$I,"Exacto"),Prod_Prop!$A:$A,Prod_Prop!$J:$J,"",0,1))</f>
        <v/>
      </c>
      <c r="K858" s="4" t="str">
        <f t="array" ref="K858">IF($E858="","", XLOOKUP(SUMIFS(Prod_Prop!$A:$A,Prod_Prop!$B:$B,$E858,Prod_Prop!$H:$H,K$1,Prod_Prop!$I:$I,"Exacto"),Prod_Prop!$A:$A,Prod_Prop!$J:$J,"",0,1))</f>
        <v/>
      </c>
      <c r="L858" s="4" t="str">
        <f t="array" ref="L858">IF($E858="","", XLOOKUP(SUMIFS(Prod_Prop!$A:$A,Prod_Prop!$B:$B,$E858,Prod_Prop!$H:$H,L$1,Prod_Prop!$I:$I,"Exacto"),Prod_Prop!$A:$A,Prod_Prop!$J:$J,"",0,1))</f>
        <v/>
      </c>
      <c r="M858" s="4" t="str">
        <f t="array" ref="M858">IF($E858="","", XLOOKUP(SUMIFS(Prod_Prop!$A:$A,Prod_Prop!$B:$B,$E858,Prod_Prop!$H:$H,M$1,Prod_Prop!$I:$I,"Exacto"),Prod_Prop!$A:$A,Prod_Prop!$J:$J,"",0,1))</f>
        <v/>
      </c>
      <c r="N858" s="4" t="str">
        <f t="array" ref="N858">IF($E858="","", XLOOKUP(SUMIFS(Prod_Prop!$A:$A,Prod_Prop!$B:$B,$E858,Prod_Prop!$H:$H,N$1,Prod_Prop!$I:$I,"Exacto"),Prod_Prop!$A:$A,Prod_Prop!$J:$J,"",0,1))</f>
        <v/>
      </c>
      <c r="O858" s="4" t="str">
        <f t="array" ref="O858">IF($E858="","", XLOOKUP(SUMIFS(Prod_Prop!$A:$A,Prod_Prop!$B:$B,$E858,Prod_Prop!$H:$H,O$1,Prod_Prop!$I:$I,"Exacto"),Prod_Prop!$A:$A,Prod_Prop!$J:$J,"",0,1))</f>
        <v/>
      </c>
      <c r="P858" s="4" t="str">
        <f t="array" ref="P858">IF($E858="","", XLOOKUP(SUMIFS(Prod_Prop!$A:$A,Prod_Prop!$B:$B,$E858,Prod_Prop!$H:$H,P$1,Prod_Prop!$I:$I,"Exacto"),Prod_Prop!$A:$A,Prod_Prop!$J:$J,"",0,1))</f>
        <v/>
      </c>
      <c r="Q858" s="4" t="str">
        <f t="array" ref="Q858">IF($E858="","", XLOOKUP(SUMIFS(Prod_Prop!$A:$A,Prod_Prop!$B:$B,$E858,Prod_Prop!$H:$H,Q$1,Prod_Prop!$I:$I,"Exacto"),Prod_Prop!$A:$A,Prod_Prop!$J:$J,"",0,1))</f>
        <v/>
      </c>
      <c r="R858" s="4" t="str">
        <f t="array" ref="R858">IF($E858="","", XLOOKUP(SUMIFS(Prod_Prop!$A:$A,Prod_Prop!$B:$B,$E858,Prod_Prop!$H:$H,R$1,Prod_Prop!$I:$I,"Exacto"),Prod_Prop!$A:$A,Prod_Prop!$J:$J,"",0,1))</f>
        <v/>
      </c>
      <c r="S858" s="4" t="str">
        <f t="array" ref="S858">IF($E858="","", XLOOKUP(SUMIFS(Prod_Prop!$A:$A,Prod_Prop!$B:$B,$E858,Prod_Prop!$H:$H,S$1,Prod_Prop!$I:$I,"Exacto"),Prod_Prop!$A:$A,Prod_Prop!$J:$J,"",0,1))</f>
        <v/>
      </c>
      <c r="T858" s="4" t="str">
        <f t="array" ref="T858">IF($E858="","", XLOOKUP(SUMIFS(Prod_Prop!$A:$A,Prod_Prop!$B:$B,$E858,Prod_Prop!$H:$H,T$1,Prod_Prop!$I:$I,"Exacto"),Prod_Prop!$A:$A,Prod_Prop!$J:$J,"",0,1))</f>
        <v/>
      </c>
      <c r="U858" s="4" t="str">
        <f t="array" ref="U858">IF($E858="","", XLOOKUP(SUMIFS(Prod_Prop!$A:$A,Prod_Prop!$B:$B,$E858,Prod_Prop!$H:$H,U$1,Prod_Prop!$I:$I,"Exacto"),Prod_Prop!$A:$A,Prod_Prop!$J:$J,"",0,1))</f>
        <v/>
      </c>
      <c r="V858" s="4" t="str">
        <f t="array" ref="V858">IF($E858="","", XLOOKUP(SUMIFS(Prod_Prop!$A:$A,Prod_Prop!$B:$B,$E858,Prod_Prop!$H:$H,V$1,Prod_Prop!$I:$I,"Exacto"),Prod_Prop!$A:$A,Prod_Prop!$J:$J,"",0,1))</f>
        <v/>
      </c>
      <c r="X858" s="3" t="str">
        <f>IFERROR(__xludf.DUMMYFUNCTION("IF(D858="""","""",IFERROR(TRANSPOSE(FILTER('Validaciones Cotizador'!U:U,'Validaciones Cotizador'!O:O=D858,'Validaciones Cotizador'!T:T=""x"")),""Finalizar""))"),"")</f>
        <v/>
      </c>
    </row>
    <row r="859">
      <c r="A859" s="2" t="str">
        <f t="array" ref="A859">IF(E859="","",XLOOKUP(D859,'Validaciones Cotizador'!C:C,'Validaciones Cotizador'!A:A,"",0,1))</f>
        <v/>
      </c>
      <c r="B859" s="2" t="str">
        <f t="array" ref="B859">IF(F859="","",XLOOKUP(F859,Productos!E:E,Productos!G:G,"",0,1))</f>
        <v/>
      </c>
      <c r="C859" s="2" t="str">
        <f>IF(A859="","",SUMIFS('Validaciones Cotizador'!B:B,'Validaciones Cotizador'!C:C,D859,'Validaciones Cotizador'!A:A,A859))</f>
        <v/>
      </c>
      <c r="D859" s="4" t="str">
        <f>IFERROR(__xludf.DUMMYFUNCTION("IF(OR(F858=""Finalizar"",F858="""",F858=""Selecciona..""),"""",IF(OR(F858=""-"",INDEX(filter(Familias!F:F,Familias!D:D=A858,Familias!E:E=C858),1)=""O""),D858+1,D858))"),"")</f>
        <v/>
      </c>
      <c r="E859" s="2" t="str">
        <f>IF(OR(F859="",F859="Selecciona.."),"",IF(D859="Implemento",SUMIF(Implementos!B:B,F859,Implementos!A:A),SUMIF(Productos!E:E,F859,Productos!A:A)))</f>
        <v/>
      </c>
      <c r="F859" s="2" t="str">
        <f t="shared" si="2"/>
        <v/>
      </c>
      <c r="G859" s="10" t="str">
        <f t="array" ref="G859">IF(OR(F859="",F859="-",F859="Selecciona..",F859="Finalizar"),"",IF(A859="Rodados",XLOOKUP(B859,'Validaciones Cotizador'!I:I,'Validaciones Cotizador'!J:J,0,0,1),1))</f>
        <v/>
      </c>
      <c r="H859" s="11" t="str">
        <f>IF(OR(F859="",F859="Selecciona.."),"",SUMIF(Precio_Productos!K:K,E859,Precio_Productos!J:J)*G859)</f>
        <v/>
      </c>
      <c r="I859" s="4" t="str">
        <f t="array" ref="I859">IF($E859="","", XLOOKUP(SUMIFS(Prod_Prop!$A:$A,Prod_Prop!$B:$B,$E859,Prod_Prop!$H:$H,I$1,Prod_Prop!$I:$I,"Exacto"),Prod_Prop!$A:$A,Prod_Prop!$J:$J,"",0,1))</f>
        <v/>
      </c>
      <c r="J859" s="4" t="str">
        <f t="array" ref="J859">IF($E859="","", XLOOKUP(SUMIFS(Prod_Prop!$A:$A,Prod_Prop!$B:$B,$E859,Prod_Prop!$H:$H,J$1,Prod_Prop!$I:$I,"Exacto"),Prod_Prop!$A:$A,Prod_Prop!$J:$J,"",0,1))</f>
        <v/>
      </c>
      <c r="K859" s="4" t="str">
        <f t="array" ref="K859">IF($E859="","", XLOOKUP(SUMIFS(Prod_Prop!$A:$A,Prod_Prop!$B:$B,$E859,Prod_Prop!$H:$H,K$1,Prod_Prop!$I:$I,"Exacto"),Prod_Prop!$A:$A,Prod_Prop!$J:$J,"",0,1))</f>
        <v/>
      </c>
      <c r="L859" s="4" t="str">
        <f t="array" ref="L859">IF($E859="","", XLOOKUP(SUMIFS(Prod_Prop!$A:$A,Prod_Prop!$B:$B,$E859,Prod_Prop!$H:$H,L$1,Prod_Prop!$I:$I,"Exacto"),Prod_Prop!$A:$A,Prod_Prop!$J:$J,"",0,1))</f>
        <v/>
      </c>
      <c r="M859" s="4" t="str">
        <f t="array" ref="M859">IF($E859="","", XLOOKUP(SUMIFS(Prod_Prop!$A:$A,Prod_Prop!$B:$B,$E859,Prod_Prop!$H:$H,M$1,Prod_Prop!$I:$I,"Exacto"),Prod_Prop!$A:$A,Prod_Prop!$J:$J,"",0,1))</f>
        <v/>
      </c>
      <c r="N859" s="4" t="str">
        <f t="array" ref="N859">IF($E859="","", XLOOKUP(SUMIFS(Prod_Prop!$A:$A,Prod_Prop!$B:$B,$E859,Prod_Prop!$H:$H,N$1,Prod_Prop!$I:$I,"Exacto"),Prod_Prop!$A:$A,Prod_Prop!$J:$J,"",0,1))</f>
        <v/>
      </c>
      <c r="O859" s="4" t="str">
        <f t="array" ref="O859">IF($E859="","", XLOOKUP(SUMIFS(Prod_Prop!$A:$A,Prod_Prop!$B:$B,$E859,Prod_Prop!$H:$H,O$1,Prod_Prop!$I:$I,"Exacto"),Prod_Prop!$A:$A,Prod_Prop!$J:$J,"",0,1))</f>
        <v/>
      </c>
      <c r="P859" s="4" t="str">
        <f t="array" ref="P859">IF($E859="","", XLOOKUP(SUMIFS(Prod_Prop!$A:$A,Prod_Prop!$B:$B,$E859,Prod_Prop!$H:$H,P$1,Prod_Prop!$I:$I,"Exacto"),Prod_Prop!$A:$A,Prod_Prop!$J:$J,"",0,1))</f>
        <v/>
      </c>
      <c r="Q859" s="4" t="str">
        <f t="array" ref="Q859">IF($E859="","", XLOOKUP(SUMIFS(Prod_Prop!$A:$A,Prod_Prop!$B:$B,$E859,Prod_Prop!$H:$H,Q$1,Prod_Prop!$I:$I,"Exacto"),Prod_Prop!$A:$A,Prod_Prop!$J:$J,"",0,1))</f>
        <v/>
      </c>
      <c r="R859" s="4" t="str">
        <f t="array" ref="R859">IF($E859="","", XLOOKUP(SUMIFS(Prod_Prop!$A:$A,Prod_Prop!$B:$B,$E859,Prod_Prop!$H:$H,R$1,Prod_Prop!$I:$I,"Exacto"),Prod_Prop!$A:$A,Prod_Prop!$J:$J,"",0,1))</f>
        <v/>
      </c>
      <c r="S859" s="4" t="str">
        <f t="array" ref="S859">IF($E859="","", XLOOKUP(SUMIFS(Prod_Prop!$A:$A,Prod_Prop!$B:$B,$E859,Prod_Prop!$H:$H,S$1,Prod_Prop!$I:$I,"Exacto"),Prod_Prop!$A:$A,Prod_Prop!$J:$J,"",0,1))</f>
        <v/>
      </c>
      <c r="T859" s="4" t="str">
        <f t="array" ref="T859">IF($E859="","", XLOOKUP(SUMIFS(Prod_Prop!$A:$A,Prod_Prop!$B:$B,$E859,Prod_Prop!$H:$H,T$1,Prod_Prop!$I:$I,"Exacto"),Prod_Prop!$A:$A,Prod_Prop!$J:$J,"",0,1))</f>
        <v/>
      </c>
      <c r="U859" s="4" t="str">
        <f t="array" ref="U859">IF($E859="","", XLOOKUP(SUMIFS(Prod_Prop!$A:$A,Prod_Prop!$B:$B,$E859,Prod_Prop!$H:$H,U$1,Prod_Prop!$I:$I,"Exacto"),Prod_Prop!$A:$A,Prod_Prop!$J:$J,"",0,1))</f>
        <v/>
      </c>
      <c r="V859" s="4" t="str">
        <f t="array" ref="V859">IF($E859="","", XLOOKUP(SUMIFS(Prod_Prop!$A:$A,Prod_Prop!$B:$B,$E859,Prod_Prop!$H:$H,V$1,Prod_Prop!$I:$I,"Exacto"),Prod_Prop!$A:$A,Prod_Prop!$J:$J,"",0,1))</f>
        <v/>
      </c>
      <c r="X859" s="3" t="str">
        <f>IFERROR(__xludf.DUMMYFUNCTION("IF(D859="""","""",IFERROR(TRANSPOSE(FILTER('Validaciones Cotizador'!U:U,'Validaciones Cotizador'!O:O=D859,'Validaciones Cotizador'!T:T=""x"")),""Finalizar""))"),"")</f>
        <v/>
      </c>
    </row>
    <row r="860">
      <c r="A860" s="2" t="str">
        <f t="array" ref="A860">IF(E860="","",XLOOKUP(D860,'Validaciones Cotizador'!C:C,'Validaciones Cotizador'!A:A,"",0,1))</f>
        <v/>
      </c>
      <c r="B860" s="2" t="str">
        <f t="array" ref="B860">IF(F860="","",XLOOKUP(F860,Productos!E:E,Productos!G:G,"",0,1))</f>
        <v/>
      </c>
      <c r="C860" s="2" t="str">
        <f>IF(A860="","",SUMIFS('Validaciones Cotizador'!B:B,'Validaciones Cotizador'!C:C,D860,'Validaciones Cotizador'!A:A,A860))</f>
        <v/>
      </c>
      <c r="D860" s="4" t="str">
        <f>IFERROR(__xludf.DUMMYFUNCTION("IF(OR(F859=""Finalizar"",F859="""",F859=""Selecciona..""),"""",IF(OR(F859=""-"",INDEX(filter(Familias!F:F,Familias!D:D=A859,Familias!E:E=C859),1)=""O""),D859+1,D859))"),"")</f>
        <v/>
      </c>
      <c r="E860" s="2" t="str">
        <f>IF(OR(F860="",F860="Selecciona.."),"",IF(D860="Implemento",SUMIF(Implementos!B:B,F860,Implementos!A:A),SUMIF(Productos!E:E,F860,Productos!A:A)))</f>
        <v/>
      </c>
      <c r="F860" s="2" t="str">
        <f t="shared" si="2"/>
        <v/>
      </c>
      <c r="G860" s="10" t="str">
        <f t="array" ref="G860">IF(OR(F860="",F860="-",F860="Selecciona..",F860="Finalizar"),"",IF(A860="Rodados",XLOOKUP(B860,'Validaciones Cotizador'!I:I,'Validaciones Cotizador'!J:J,0,0,1),1))</f>
        <v/>
      </c>
      <c r="H860" s="11" t="str">
        <f>IF(OR(F860="",F860="Selecciona.."),"",SUMIF(Precio_Productos!K:K,E860,Precio_Productos!J:J)*G860)</f>
        <v/>
      </c>
      <c r="I860" s="4" t="str">
        <f t="array" ref="I860">IF($E860="","", XLOOKUP(SUMIFS(Prod_Prop!$A:$A,Prod_Prop!$B:$B,$E860,Prod_Prop!$H:$H,I$1,Prod_Prop!$I:$I,"Exacto"),Prod_Prop!$A:$A,Prod_Prop!$J:$J,"",0,1))</f>
        <v/>
      </c>
      <c r="J860" s="4" t="str">
        <f t="array" ref="J860">IF($E860="","", XLOOKUP(SUMIFS(Prod_Prop!$A:$A,Prod_Prop!$B:$B,$E860,Prod_Prop!$H:$H,J$1,Prod_Prop!$I:$I,"Exacto"),Prod_Prop!$A:$A,Prod_Prop!$J:$J,"",0,1))</f>
        <v/>
      </c>
      <c r="K860" s="4" t="str">
        <f t="array" ref="K860">IF($E860="","", XLOOKUP(SUMIFS(Prod_Prop!$A:$A,Prod_Prop!$B:$B,$E860,Prod_Prop!$H:$H,K$1,Prod_Prop!$I:$I,"Exacto"),Prod_Prop!$A:$A,Prod_Prop!$J:$J,"",0,1))</f>
        <v/>
      </c>
      <c r="L860" s="4" t="str">
        <f t="array" ref="L860">IF($E860="","", XLOOKUP(SUMIFS(Prod_Prop!$A:$A,Prod_Prop!$B:$B,$E860,Prod_Prop!$H:$H,L$1,Prod_Prop!$I:$I,"Exacto"),Prod_Prop!$A:$A,Prod_Prop!$J:$J,"",0,1))</f>
        <v/>
      </c>
      <c r="M860" s="4" t="str">
        <f t="array" ref="M860">IF($E860="","", XLOOKUP(SUMIFS(Prod_Prop!$A:$A,Prod_Prop!$B:$B,$E860,Prod_Prop!$H:$H,M$1,Prod_Prop!$I:$I,"Exacto"),Prod_Prop!$A:$A,Prod_Prop!$J:$J,"",0,1))</f>
        <v/>
      </c>
      <c r="N860" s="4" t="str">
        <f t="array" ref="N860">IF($E860="","", XLOOKUP(SUMIFS(Prod_Prop!$A:$A,Prod_Prop!$B:$B,$E860,Prod_Prop!$H:$H,N$1,Prod_Prop!$I:$I,"Exacto"),Prod_Prop!$A:$A,Prod_Prop!$J:$J,"",0,1))</f>
        <v/>
      </c>
      <c r="O860" s="4" t="str">
        <f t="array" ref="O860">IF($E860="","", XLOOKUP(SUMIFS(Prod_Prop!$A:$A,Prod_Prop!$B:$B,$E860,Prod_Prop!$H:$H,O$1,Prod_Prop!$I:$I,"Exacto"),Prod_Prop!$A:$A,Prod_Prop!$J:$J,"",0,1))</f>
        <v/>
      </c>
      <c r="P860" s="4" t="str">
        <f t="array" ref="P860">IF($E860="","", XLOOKUP(SUMIFS(Prod_Prop!$A:$A,Prod_Prop!$B:$B,$E860,Prod_Prop!$H:$H,P$1,Prod_Prop!$I:$I,"Exacto"),Prod_Prop!$A:$A,Prod_Prop!$J:$J,"",0,1))</f>
        <v/>
      </c>
      <c r="Q860" s="4" t="str">
        <f t="array" ref="Q860">IF($E860="","", XLOOKUP(SUMIFS(Prod_Prop!$A:$A,Prod_Prop!$B:$B,$E860,Prod_Prop!$H:$H,Q$1,Prod_Prop!$I:$I,"Exacto"),Prod_Prop!$A:$A,Prod_Prop!$J:$J,"",0,1))</f>
        <v/>
      </c>
      <c r="R860" s="4" t="str">
        <f t="array" ref="R860">IF($E860="","", XLOOKUP(SUMIFS(Prod_Prop!$A:$A,Prod_Prop!$B:$B,$E860,Prod_Prop!$H:$H,R$1,Prod_Prop!$I:$I,"Exacto"),Prod_Prop!$A:$A,Prod_Prop!$J:$J,"",0,1))</f>
        <v/>
      </c>
      <c r="S860" s="4" t="str">
        <f t="array" ref="S860">IF($E860="","", XLOOKUP(SUMIFS(Prod_Prop!$A:$A,Prod_Prop!$B:$B,$E860,Prod_Prop!$H:$H,S$1,Prod_Prop!$I:$I,"Exacto"),Prod_Prop!$A:$A,Prod_Prop!$J:$J,"",0,1))</f>
        <v/>
      </c>
      <c r="T860" s="4" t="str">
        <f t="array" ref="T860">IF($E860="","", XLOOKUP(SUMIFS(Prod_Prop!$A:$A,Prod_Prop!$B:$B,$E860,Prod_Prop!$H:$H,T$1,Prod_Prop!$I:$I,"Exacto"),Prod_Prop!$A:$A,Prod_Prop!$J:$J,"",0,1))</f>
        <v/>
      </c>
      <c r="U860" s="4" t="str">
        <f t="array" ref="U860">IF($E860="","", XLOOKUP(SUMIFS(Prod_Prop!$A:$A,Prod_Prop!$B:$B,$E860,Prod_Prop!$H:$H,U$1,Prod_Prop!$I:$I,"Exacto"),Prod_Prop!$A:$A,Prod_Prop!$J:$J,"",0,1))</f>
        <v/>
      </c>
      <c r="V860" s="4" t="str">
        <f t="array" ref="V860">IF($E860="","", XLOOKUP(SUMIFS(Prod_Prop!$A:$A,Prod_Prop!$B:$B,$E860,Prod_Prop!$H:$H,V$1,Prod_Prop!$I:$I,"Exacto"),Prod_Prop!$A:$A,Prod_Prop!$J:$J,"",0,1))</f>
        <v/>
      </c>
      <c r="X860" s="3" t="str">
        <f>IFERROR(__xludf.DUMMYFUNCTION("IF(D860="""","""",IFERROR(TRANSPOSE(FILTER('Validaciones Cotizador'!U:U,'Validaciones Cotizador'!O:O=D860,'Validaciones Cotizador'!T:T=""x"")),""Finalizar""))"),"")</f>
        <v/>
      </c>
    </row>
    <row r="861">
      <c r="A861" s="2" t="str">
        <f t="array" ref="A861">IF(E861="","",XLOOKUP(D861,'Validaciones Cotizador'!C:C,'Validaciones Cotizador'!A:A,"",0,1))</f>
        <v/>
      </c>
      <c r="B861" s="2" t="str">
        <f t="array" ref="B861">IF(F861="","",XLOOKUP(F861,Productos!E:E,Productos!G:G,"",0,1))</f>
        <v/>
      </c>
      <c r="C861" s="2" t="str">
        <f>IF(A861="","",SUMIFS('Validaciones Cotizador'!B:B,'Validaciones Cotizador'!C:C,D861,'Validaciones Cotizador'!A:A,A861))</f>
        <v/>
      </c>
      <c r="D861" s="4" t="str">
        <f>IFERROR(__xludf.DUMMYFUNCTION("IF(OR(F860=""Finalizar"",F860="""",F860=""Selecciona..""),"""",IF(OR(F860=""-"",INDEX(filter(Familias!F:F,Familias!D:D=A860,Familias!E:E=C860),1)=""O""),D860+1,D860))"),"")</f>
        <v/>
      </c>
      <c r="E861" s="2" t="str">
        <f>IF(OR(F861="",F861="Selecciona.."),"",IF(D861="Implemento",SUMIF(Implementos!B:B,F861,Implementos!A:A),SUMIF(Productos!E:E,F861,Productos!A:A)))</f>
        <v/>
      </c>
      <c r="F861" s="2" t="str">
        <f t="shared" si="2"/>
        <v/>
      </c>
      <c r="G861" s="10" t="str">
        <f t="array" ref="G861">IF(OR(F861="",F861="-",F861="Selecciona..",F861="Finalizar"),"",IF(A861="Rodados",XLOOKUP(B861,'Validaciones Cotizador'!I:I,'Validaciones Cotizador'!J:J,0,0,1),1))</f>
        <v/>
      </c>
      <c r="H861" s="11" t="str">
        <f>IF(OR(F861="",F861="Selecciona.."),"",SUMIF(Precio_Productos!K:K,E861,Precio_Productos!J:J)*G861)</f>
        <v/>
      </c>
      <c r="I861" s="4" t="str">
        <f t="array" ref="I861">IF($E861="","", XLOOKUP(SUMIFS(Prod_Prop!$A:$A,Prod_Prop!$B:$B,$E861,Prod_Prop!$H:$H,I$1,Prod_Prop!$I:$I,"Exacto"),Prod_Prop!$A:$A,Prod_Prop!$J:$J,"",0,1))</f>
        <v/>
      </c>
      <c r="J861" s="4" t="str">
        <f t="array" ref="J861">IF($E861="","", XLOOKUP(SUMIFS(Prod_Prop!$A:$A,Prod_Prop!$B:$B,$E861,Prod_Prop!$H:$H,J$1,Prod_Prop!$I:$I,"Exacto"),Prod_Prop!$A:$A,Prod_Prop!$J:$J,"",0,1))</f>
        <v/>
      </c>
      <c r="K861" s="4" t="str">
        <f t="array" ref="K861">IF($E861="","", XLOOKUP(SUMIFS(Prod_Prop!$A:$A,Prod_Prop!$B:$B,$E861,Prod_Prop!$H:$H,K$1,Prod_Prop!$I:$I,"Exacto"),Prod_Prop!$A:$A,Prod_Prop!$J:$J,"",0,1))</f>
        <v/>
      </c>
      <c r="L861" s="4" t="str">
        <f t="array" ref="L861">IF($E861="","", XLOOKUP(SUMIFS(Prod_Prop!$A:$A,Prod_Prop!$B:$B,$E861,Prod_Prop!$H:$H,L$1,Prod_Prop!$I:$I,"Exacto"),Prod_Prop!$A:$A,Prod_Prop!$J:$J,"",0,1))</f>
        <v/>
      </c>
      <c r="M861" s="4" t="str">
        <f t="array" ref="M861">IF($E861="","", XLOOKUP(SUMIFS(Prod_Prop!$A:$A,Prod_Prop!$B:$B,$E861,Prod_Prop!$H:$H,M$1,Prod_Prop!$I:$I,"Exacto"),Prod_Prop!$A:$A,Prod_Prop!$J:$J,"",0,1))</f>
        <v/>
      </c>
      <c r="N861" s="4" t="str">
        <f t="array" ref="N861">IF($E861="","", XLOOKUP(SUMIFS(Prod_Prop!$A:$A,Prod_Prop!$B:$B,$E861,Prod_Prop!$H:$H,N$1,Prod_Prop!$I:$I,"Exacto"),Prod_Prop!$A:$A,Prod_Prop!$J:$J,"",0,1))</f>
        <v/>
      </c>
      <c r="O861" s="4" t="str">
        <f t="array" ref="O861">IF($E861="","", XLOOKUP(SUMIFS(Prod_Prop!$A:$A,Prod_Prop!$B:$B,$E861,Prod_Prop!$H:$H,O$1,Prod_Prop!$I:$I,"Exacto"),Prod_Prop!$A:$A,Prod_Prop!$J:$J,"",0,1))</f>
        <v/>
      </c>
      <c r="P861" s="4" t="str">
        <f t="array" ref="P861">IF($E861="","", XLOOKUP(SUMIFS(Prod_Prop!$A:$A,Prod_Prop!$B:$B,$E861,Prod_Prop!$H:$H,P$1,Prod_Prop!$I:$I,"Exacto"),Prod_Prop!$A:$A,Prod_Prop!$J:$J,"",0,1))</f>
        <v/>
      </c>
      <c r="Q861" s="4" t="str">
        <f t="array" ref="Q861">IF($E861="","", XLOOKUP(SUMIFS(Prod_Prop!$A:$A,Prod_Prop!$B:$B,$E861,Prod_Prop!$H:$H,Q$1,Prod_Prop!$I:$I,"Exacto"),Prod_Prop!$A:$A,Prod_Prop!$J:$J,"",0,1))</f>
        <v/>
      </c>
      <c r="R861" s="4" t="str">
        <f t="array" ref="R861">IF($E861="","", XLOOKUP(SUMIFS(Prod_Prop!$A:$A,Prod_Prop!$B:$B,$E861,Prod_Prop!$H:$H,R$1,Prod_Prop!$I:$I,"Exacto"),Prod_Prop!$A:$A,Prod_Prop!$J:$J,"",0,1))</f>
        <v/>
      </c>
      <c r="S861" s="4" t="str">
        <f t="array" ref="S861">IF($E861="","", XLOOKUP(SUMIFS(Prod_Prop!$A:$A,Prod_Prop!$B:$B,$E861,Prod_Prop!$H:$H,S$1,Prod_Prop!$I:$I,"Exacto"),Prod_Prop!$A:$A,Prod_Prop!$J:$J,"",0,1))</f>
        <v/>
      </c>
      <c r="T861" s="4" t="str">
        <f t="array" ref="T861">IF($E861="","", XLOOKUP(SUMIFS(Prod_Prop!$A:$A,Prod_Prop!$B:$B,$E861,Prod_Prop!$H:$H,T$1,Prod_Prop!$I:$I,"Exacto"),Prod_Prop!$A:$A,Prod_Prop!$J:$J,"",0,1))</f>
        <v/>
      </c>
      <c r="U861" s="4" t="str">
        <f t="array" ref="U861">IF($E861="","", XLOOKUP(SUMIFS(Prod_Prop!$A:$A,Prod_Prop!$B:$B,$E861,Prod_Prop!$H:$H,U$1,Prod_Prop!$I:$I,"Exacto"),Prod_Prop!$A:$A,Prod_Prop!$J:$J,"",0,1))</f>
        <v/>
      </c>
      <c r="V861" s="4" t="str">
        <f t="array" ref="V861">IF($E861="","", XLOOKUP(SUMIFS(Prod_Prop!$A:$A,Prod_Prop!$B:$B,$E861,Prod_Prop!$H:$H,V$1,Prod_Prop!$I:$I,"Exacto"),Prod_Prop!$A:$A,Prod_Prop!$J:$J,"",0,1))</f>
        <v/>
      </c>
      <c r="X861" s="3" t="str">
        <f>IFERROR(__xludf.DUMMYFUNCTION("IF(D861="""","""",IFERROR(TRANSPOSE(FILTER('Validaciones Cotizador'!U:U,'Validaciones Cotizador'!O:O=D861,'Validaciones Cotizador'!T:T=""x"")),""Finalizar""))"),"")</f>
        <v/>
      </c>
    </row>
    <row r="862">
      <c r="A862" s="2" t="str">
        <f t="array" ref="A862">IF(E862="","",XLOOKUP(D862,'Validaciones Cotizador'!C:C,'Validaciones Cotizador'!A:A,"",0,1))</f>
        <v/>
      </c>
      <c r="B862" s="2" t="str">
        <f t="array" ref="B862">IF(F862="","",XLOOKUP(F862,Productos!E:E,Productos!G:G,"",0,1))</f>
        <v/>
      </c>
      <c r="C862" s="2" t="str">
        <f>IF(A862="","",SUMIFS('Validaciones Cotizador'!B:B,'Validaciones Cotizador'!C:C,D862,'Validaciones Cotizador'!A:A,A862))</f>
        <v/>
      </c>
      <c r="D862" s="4" t="str">
        <f>IFERROR(__xludf.DUMMYFUNCTION("IF(OR(F861=""Finalizar"",F861="""",F861=""Selecciona..""),"""",IF(OR(F861=""-"",INDEX(filter(Familias!F:F,Familias!D:D=A861,Familias!E:E=C861),1)=""O""),D861+1,D861))"),"")</f>
        <v/>
      </c>
      <c r="E862" s="2" t="str">
        <f>IF(OR(F862="",F862="Selecciona.."),"",IF(D862="Implemento",SUMIF(Implementos!B:B,F862,Implementos!A:A),SUMIF(Productos!E:E,F862,Productos!A:A)))</f>
        <v/>
      </c>
      <c r="F862" s="2" t="str">
        <f t="shared" si="2"/>
        <v/>
      </c>
      <c r="G862" s="10" t="str">
        <f t="array" ref="G862">IF(OR(F862="",F862="-",F862="Selecciona..",F862="Finalizar"),"",IF(A862="Rodados",XLOOKUP(B862,'Validaciones Cotizador'!I:I,'Validaciones Cotizador'!J:J,0,0,1),1))</f>
        <v/>
      </c>
      <c r="H862" s="11" t="str">
        <f>IF(OR(F862="",F862="Selecciona.."),"",SUMIF(Precio_Productos!K:K,E862,Precio_Productos!J:J)*G862)</f>
        <v/>
      </c>
      <c r="I862" s="4" t="str">
        <f t="array" ref="I862">IF($E862="","", XLOOKUP(SUMIFS(Prod_Prop!$A:$A,Prod_Prop!$B:$B,$E862,Prod_Prop!$H:$H,I$1,Prod_Prop!$I:$I,"Exacto"),Prod_Prop!$A:$A,Prod_Prop!$J:$J,"",0,1))</f>
        <v/>
      </c>
      <c r="J862" s="4" t="str">
        <f t="array" ref="J862">IF($E862="","", XLOOKUP(SUMIFS(Prod_Prop!$A:$A,Prod_Prop!$B:$B,$E862,Prod_Prop!$H:$H,J$1,Prod_Prop!$I:$I,"Exacto"),Prod_Prop!$A:$A,Prod_Prop!$J:$J,"",0,1))</f>
        <v/>
      </c>
      <c r="K862" s="4" t="str">
        <f t="array" ref="K862">IF($E862="","", XLOOKUP(SUMIFS(Prod_Prop!$A:$A,Prod_Prop!$B:$B,$E862,Prod_Prop!$H:$H,K$1,Prod_Prop!$I:$I,"Exacto"),Prod_Prop!$A:$A,Prod_Prop!$J:$J,"",0,1))</f>
        <v/>
      </c>
      <c r="L862" s="4" t="str">
        <f t="array" ref="L862">IF($E862="","", XLOOKUP(SUMIFS(Prod_Prop!$A:$A,Prod_Prop!$B:$B,$E862,Prod_Prop!$H:$H,L$1,Prod_Prop!$I:$I,"Exacto"),Prod_Prop!$A:$A,Prod_Prop!$J:$J,"",0,1))</f>
        <v/>
      </c>
      <c r="M862" s="4" t="str">
        <f t="array" ref="M862">IF($E862="","", XLOOKUP(SUMIFS(Prod_Prop!$A:$A,Prod_Prop!$B:$B,$E862,Prod_Prop!$H:$H,M$1,Prod_Prop!$I:$I,"Exacto"),Prod_Prop!$A:$A,Prod_Prop!$J:$J,"",0,1))</f>
        <v/>
      </c>
      <c r="N862" s="4" t="str">
        <f t="array" ref="N862">IF($E862="","", XLOOKUP(SUMIFS(Prod_Prop!$A:$A,Prod_Prop!$B:$B,$E862,Prod_Prop!$H:$H,N$1,Prod_Prop!$I:$I,"Exacto"),Prod_Prop!$A:$A,Prod_Prop!$J:$J,"",0,1))</f>
        <v/>
      </c>
      <c r="O862" s="4" t="str">
        <f t="array" ref="O862">IF($E862="","", XLOOKUP(SUMIFS(Prod_Prop!$A:$A,Prod_Prop!$B:$B,$E862,Prod_Prop!$H:$H,O$1,Prod_Prop!$I:$I,"Exacto"),Prod_Prop!$A:$A,Prod_Prop!$J:$J,"",0,1))</f>
        <v/>
      </c>
      <c r="P862" s="4" t="str">
        <f t="array" ref="P862">IF($E862="","", XLOOKUP(SUMIFS(Prod_Prop!$A:$A,Prod_Prop!$B:$B,$E862,Prod_Prop!$H:$H,P$1,Prod_Prop!$I:$I,"Exacto"),Prod_Prop!$A:$A,Prod_Prop!$J:$J,"",0,1))</f>
        <v/>
      </c>
      <c r="Q862" s="4" t="str">
        <f t="array" ref="Q862">IF($E862="","", XLOOKUP(SUMIFS(Prod_Prop!$A:$A,Prod_Prop!$B:$B,$E862,Prod_Prop!$H:$H,Q$1,Prod_Prop!$I:$I,"Exacto"),Prod_Prop!$A:$A,Prod_Prop!$J:$J,"",0,1))</f>
        <v/>
      </c>
      <c r="R862" s="4" t="str">
        <f t="array" ref="R862">IF($E862="","", XLOOKUP(SUMIFS(Prod_Prop!$A:$A,Prod_Prop!$B:$B,$E862,Prod_Prop!$H:$H,R$1,Prod_Prop!$I:$I,"Exacto"),Prod_Prop!$A:$A,Prod_Prop!$J:$J,"",0,1))</f>
        <v/>
      </c>
      <c r="S862" s="4" t="str">
        <f t="array" ref="S862">IF($E862="","", XLOOKUP(SUMIFS(Prod_Prop!$A:$A,Prod_Prop!$B:$B,$E862,Prod_Prop!$H:$H,S$1,Prod_Prop!$I:$I,"Exacto"),Prod_Prop!$A:$A,Prod_Prop!$J:$J,"",0,1))</f>
        <v/>
      </c>
      <c r="T862" s="4" t="str">
        <f t="array" ref="T862">IF($E862="","", XLOOKUP(SUMIFS(Prod_Prop!$A:$A,Prod_Prop!$B:$B,$E862,Prod_Prop!$H:$H,T$1,Prod_Prop!$I:$I,"Exacto"),Prod_Prop!$A:$A,Prod_Prop!$J:$J,"",0,1))</f>
        <v/>
      </c>
      <c r="U862" s="4" t="str">
        <f t="array" ref="U862">IF($E862="","", XLOOKUP(SUMIFS(Prod_Prop!$A:$A,Prod_Prop!$B:$B,$E862,Prod_Prop!$H:$H,U$1,Prod_Prop!$I:$I,"Exacto"),Prod_Prop!$A:$A,Prod_Prop!$J:$J,"",0,1))</f>
        <v/>
      </c>
      <c r="V862" s="4" t="str">
        <f t="array" ref="V862">IF($E862="","", XLOOKUP(SUMIFS(Prod_Prop!$A:$A,Prod_Prop!$B:$B,$E862,Prod_Prop!$H:$H,V$1,Prod_Prop!$I:$I,"Exacto"),Prod_Prop!$A:$A,Prod_Prop!$J:$J,"",0,1))</f>
        <v/>
      </c>
      <c r="X862" s="3" t="str">
        <f>IFERROR(__xludf.DUMMYFUNCTION("IF(D862="""","""",IFERROR(TRANSPOSE(FILTER('Validaciones Cotizador'!U:U,'Validaciones Cotizador'!O:O=D862,'Validaciones Cotizador'!T:T=""x"")),""Finalizar""))"),"")</f>
        <v/>
      </c>
    </row>
    <row r="863">
      <c r="A863" s="2" t="str">
        <f t="array" ref="A863">IF(E863="","",XLOOKUP(D863,'Validaciones Cotizador'!C:C,'Validaciones Cotizador'!A:A,"",0,1))</f>
        <v/>
      </c>
      <c r="B863" s="2" t="str">
        <f t="array" ref="B863">IF(F863="","",XLOOKUP(F863,Productos!E:E,Productos!G:G,"",0,1))</f>
        <v/>
      </c>
      <c r="C863" s="2" t="str">
        <f>IF(A863="","",SUMIFS('Validaciones Cotizador'!B:B,'Validaciones Cotizador'!C:C,D863,'Validaciones Cotizador'!A:A,A863))</f>
        <v/>
      </c>
      <c r="D863" s="4" t="str">
        <f>IFERROR(__xludf.DUMMYFUNCTION("IF(OR(F862=""Finalizar"",F862="""",F862=""Selecciona..""),"""",IF(OR(F862=""-"",INDEX(filter(Familias!F:F,Familias!D:D=A862,Familias!E:E=C862),1)=""O""),D862+1,D862))"),"")</f>
        <v/>
      </c>
      <c r="E863" s="2" t="str">
        <f>IF(OR(F863="",F863="Selecciona.."),"",IF(D863="Implemento",SUMIF(Implementos!B:B,F863,Implementos!A:A),SUMIF(Productos!E:E,F863,Productos!A:A)))</f>
        <v/>
      </c>
      <c r="F863" s="2" t="str">
        <f t="shared" si="2"/>
        <v/>
      </c>
      <c r="G863" s="10" t="str">
        <f t="array" ref="G863">IF(OR(F863="",F863="-",F863="Selecciona..",F863="Finalizar"),"",IF(A863="Rodados",XLOOKUP(B863,'Validaciones Cotizador'!I:I,'Validaciones Cotizador'!J:J,0,0,1),1))</f>
        <v/>
      </c>
      <c r="H863" s="11" t="str">
        <f>IF(OR(F863="",F863="Selecciona.."),"",SUMIF(Precio_Productos!K:K,E863,Precio_Productos!J:J)*G863)</f>
        <v/>
      </c>
      <c r="I863" s="4" t="str">
        <f t="array" ref="I863">IF($E863="","", XLOOKUP(SUMIFS(Prod_Prop!$A:$A,Prod_Prop!$B:$B,$E863,Prod_Prop!$H:$H,I$1,Prod_Prop!$I:$I,"Exacto"),Prod_Prop!$A:$A,Prod_Prop!$J:$J,"",0,1))</f>
        <v/>
      </c>
      <c r="J863" s="4" t="str">
        <f t="array" ref="J863">IF($E863="","", XLOOKUP(SUMIFS(Prod_Prop!$A:$A,Prod_Prop!$B:$B,$E863,Prod_Prop!$H:$H,J$1,Prod_Prop!$I:$I,"Exacto"),Prod_Prop!$A:$A,Prod_Prop!$J:$J,"",0,1))</f>
        <v/>
      </c>
      <c r="K863" s="4" t="str">
        <f t="array" ref="K863">IF($E863="","", XLOOKUP(SUMIFS(Prod_Prop!$A:$A,Prod_Prop!$B:$B,$E863,Prod_Prop!$H:$H,K$1,Prod_Prop!$I:$I,"Exacto"),Prod_Prop!$A:$A,Prod_Prop!$J:$J,"",0,1))</f>
        <v/>
      </c>
      <c r="L863" s="4" t="str">
        <f t="array" ref="L863">IF($E863="","", XLOOKUP(SUMIFS(Prod_Prop!$A:$A,Prod_Prop!$B:$B,$E863,Prod_Prop!$H:$H,L$1,Prod_Prop!$I:$I,"Exacto"),Prod_Prop!$A:$A,Prod_Prop!$J:$J,"",0,1))</f>
        <v/>
      </c>
      <c r="M863" s="4" t="str">
        <f t="array" ref="M863">IF($E863="","", XLOOKUP(SUMIFS(Prod_Prop!$A:$A,Prod_Prop!$B:$B,$E863,Prod_Prop!$H:$H,M$1,Prod_Prop!$I:$I,"Exacto"),Prod_Prop!$A:$A,Prod_Prop!$J:$J,"",0,1))</f>
        <v/>
      </c>
      <c r="N863" s="4" t="str">
        <f t="array" ref="N863">IF($E863="","", XLOOKUP(SUMIFS(Prod_Prop!$A:$A,Prod_Prop!$B:$B,$E863,Prod_Prop!$H:$H,N$1,Prod_Prop!$I:$I,"Exacto"),Prod_Prop!$A:$A,Prod_Prop!$J:$J,"",0,1))</f>
        <v/>
      </c>
      <c r="O863" s="4" t="str">
        <f t="array" ref="O863">IF($E863="","", XLOOKUP(SUMIFS(Prod_Prop!$A:$A,Prod_Prop!$B:$B,$E863,Prod_Prop!$H:$H,O$1,Prod_Prop!$I:$I,"Exacto"),Prod_Prop!$A:$A,Prod_Prop!$J:$J,"",0,1))</f>
        <v/>
      </c>
      <c r="P863" s="4" t="str">
        <f t="array" ref="P863">IF($E863="","", XLOOKUP(SUMIFS(Prod_Prop!$A:$A,Prod_Prop!$B:$B,$E863,Prod_Prop!$H:$H,P$1,Prod_Prop!$I:$I,"Exacto"),Prod_Prop!$A:$A,Prod_Prop!$J:$J,"",0,1))</f>
        <v/>
      </c>
      <c r="Q863" s="4" t="str">
        <f t="array" ref="Q863">IF($E863="","", XLOOKUP(SUMIFS(Prod_Prop!$A:$A,Prod_Prop!$B:$B,$E863,Prod_Prop!$H:$H,Q$1,Prod_Prop!$I:$I,"Exacto"),Prod_Prop!$A:$A,Prod_Prop!$J:$J,"",0,1))</f>
        <v/>
      </c>
      <c r="R863" s="4" t="str">
        <f t="array" ref="R863">IF($E863="","", XLOOKUP(SUMIFS(Prod_Prop!$A:$A,Prod_Prop!$B:$B,$E863,Prod_Prop!$H:$H,R$1,Prod_Prop!$I:$I,"Exacto"),Prod_Prop!$A:$A,Prod_Prop!$J:$J,"",0,1))</f>
        <v/>
      </c>
      <c r="S863" s="4" t="str">
        <f t="array" ref="S863">IF($E863="","", XLOOKUP(SUMIFS(Prod_Prop!$A:$A,Prod_Prop!$B:$B,$E863,Prod_Prop!$H:$H,S$1,Prod_Prop!$I:$I,"Exacto"),Prod_Prop!$A:$A,Prod_Prop!$J:$J,"",0,1))</f>
        <v/>
      </c>
      <c r="T863" s="4" t="str">
        <f t="array" ref="T863">IF($E863="","", XLOOKUP(SUMIFS(Prod_Prop!$A:$A,Prod_Prop!$B:$B,$E863,Prod_Prop!$H:$H,T$1,Prod_Prop!$I:$I,"Exacto"),Prod_Prop!$A:$A,Prod_Prop!$J:$J,"",0,1))</f>
        <v/>
      </c>
      <c r="U863" s="4" t="str">
        <f t="array" ref="U863">IF($E863="","", XLOOKUP(SUMIFS(Prod_Prop!$A:$A,Prod_Prop!$B:$B,$E863,Prod_Prop!$H:$H,U$1,Prod_Prop!$I:$I,"Exacto"),Prod_Prop!$A:$A,Prod_Prop!$J:$J,"",0,1))</f>
        <v/>
      </c>
      <c r="V863" s="4" t="str">
        <f t="array" ref="V863">IF($E863="","", XLOOKUP(SUMIFS(Prod_Prop!$A:$A,Prod_Prop!$B:$B,$E863,Prod_Prop!$H:$H,V$1,Prod_Prop!$I:$I,"Exacto"),Prod_Prop!$A:$A,Prod_Prop!$J:$J,"",0,1))</f>
        <v/>
      </c>
      <c r="X863" s="3" t="str">
        <f>IFERROR(__xludf.DUMMYFUNCTION("IF(D863="""","""",IFERROR(TRANSPOSE(FILTER('Validaciones Cotizador'!U:U,'Validaciones Cotizador'!O:O=D863,'Validaciones Cotizador'!T:T=""x"")),""Finalizar""))"),"")</f>
        <v/>
      </c>
    </row>
    <row r="864">
      <c r="A864" s="2" t="str">
        <f t="array" ref="A864">IF(E864="","",XLOOKUP(D864,'Validaciones Cotizador'!C:C,'Validaciones Cotizador'!A:A,"",0,1))</f>
        <v/>
      </c>
      <c r="B864" s="2" t="str">
        <f t="array" ref="B864">IF(F864="","",XLOOKUP(F864,Productos!E:E,Productos!G:G,"",0,1))</f>
        <v/>
      </c>
      <c r="C864" s="2" t="str">
        <f>IF(A864="","",SUMIFS('Validaciones Cotizador'!B:B,'Validaciones Cotizador'!C:C,D864,'Validaciones Cotizador'!A:A,A864))</f>
        <v/>
      </c>
      <c r="D864" s="4" t="str">
        <f>IFERROR(__xludf.DUMMYFUNCTION("IF(OR(F863=""Finalizar"",F863="""",F863=""Selecciona..""),"""",IF(OR(F863=""-"",INDEX(filter(Familias!F:F,Familias!D:D=A863,Familias!E:E=C863),1)=""O""),D863+1,D863))"),"")</f>
        <v/>
      </c>
      <c r="E864" s="2" t="str">
        <f>IF(OR(F864="",F864="Selecciona.."),"",IF(D864="Implemento",SUMIF(Implementos!B:B,F864,Implementos!A:A),SUMIF(Productos!E:E,F864,Productos!A:A)))</f>
        <v/>
      </c>
      <c r="F864" s="2" t="str">
        <f t="shared" si="2"/>
        <v/>
      </c>
      <c r="G864" s="10" t="str">
        <f t="array" ref="G864">IF(OR(F864="",F864="-",F864="Selecciona..",F864="Finalizar"),"",IF(A864="Rodados",XLOOKUP(B864,'Validaciones Cotizador'!I:I,'Validaciones Cotizador'!J:J,0,0,1),1))</f>
        <v/>
      </c>
      <c r="H864" s="11" t="str">
        <f>IF(OR(F864="",F864="Selecciona.."),"",SUMIF(Precio_Productos!K:K,E864,Precio_Productos!J:J)*G864)</f>
        <v/>
      </c>
      <c r="I864" s="4" t="str">
        <f t="array" ref="I864">IF($E864="","", XLOOKUP(SUMIFS(Prod_Prop!$A:$A,Prod_Prop!$B:$B,$E864,Prod_Prop!$H:$H,I$1,Prod_Prop!$I:$I,"Exacto"),Prod_Prop!$A:$A,Prod_Prop!$J:$J,"",0,1))</f>
        <v/>
      </c>
      <c r="J864" s="4" t="str">
        <f t="array" ref="J864">IF($E864="","", XLOOKUP(SUMIFS(Prod_Prop!$A:$A,Prod_Prop!$B:$B,$E864,Prod_Prop!$H:$H,J$1,Prod_Prop!$I:$I,"Exacto"),Prod_Prop!$A:$A,Prod_Prop!$J:$J,"",0,1))</f>
        <v/>
      </c>
      <c r="K864" s="4" t="str">
        <f t="array" ref="K864">IF($E864="","", XLOOKUP(SUMIFS(Prod_Prop!$A:$A,Prod_Prop!$B:$B,$E864,Prod_Prop!$H:$H,K$1,Prod_Prop!$I:$I,"Exacto"),Prod_Prop!$A:$A,Prod_Prop!$J:$J,"",0,1))</f>
        <v/>
      </c>
      <c r="L864" s="4" t="str">
        <f t="array" ref="L864">IF($E864="","", XLOOKUP(SUMIFS(Prod_Prop!$A:$A,Prod_Prop!$B:$B,$E864,Prod_Prop!$H:$H,L$1,Prod_Prop!$I:$I,"Exacto"),Prod_Prop!$A:$A,Prod_Prop!$J:$J,"",0,1))</f>
        <v/>
      </c>
      <c r="M864" s="4" t="str">
        <f t="array" ref="M864">IF($E864="","", XLOOKUP(SUMIFS(Prod_Prop!$A:$A,Prod_Prop!$B:$B,$E864,Prod_Prop!$H:$H,M$1,Prod_Prop!$I:$I,"Exacto"),Prod_Prop!$A:$A,Prod_Prop!$J:$J,"",0,1))</f>
        <v/>
      </c>
      <c r="N864" s="4" t="str">
        <f t="array" ref="N864">IF($E864="","", XLOOKUP(SUMIFS(Prod_Prop!$A:$A,Prod_Prop!$B:$B,$E864,Prod_Prop!$H:$H,N$1,Prod_Prop!$I:$I,"Exacto"),Prod_Prop!$A:$A,Prod_Prop!$J:$J,"",0,1))</f>
        <v/>
      </c>
      <c r="O864" s="4" t="str">
        <f t="array" ref="O864">IF($E864="","", XLOOKUP(SUMIFS(Prod_Prop!$A:$A,Prod_Prop!$B:$B,$E864,Prod_Prop!$H:$H,O$1,Prod_Prop!$I:$I,"Exacto"),Prod_Prop!$A:$A,Prod_Prop!$J:$J,"",0,1))</f>
        <v/>
      </c>
      <c r="P864" s="4" t="str">
        <f t="array" ref="P864">IF($E864="","", XLOOKUP(SUMIFS(Prod_Prop!$A:$A,Prod_Prop!$B:$B,$E864,Prod_Prop!$H:$H,P$1,Prod_Prop!$I:$I,"Exacto"),Prod_Prop!$A:$A,Prod_Prop!$J:$J,"",0,1))</f>
        <v/>
      </c>
      <c r="Q864" s="4" t="str">
        <f t="array" ref="Q864">IF($E864="","", XLOOKUP(SUMIFS(Prod_Prop!$A:$A,Prod_Prop!$B:$B,$E864,Prod_Prop!$H:$H,Q$1,Prod_Prop!$I:$I,"Exacto"),Prod_Prop!$A:$A,Prod_Prop!$J:$J,"",0,1))</f>
        <v/>
      </c>
      <c r="R864" s="4" t="str">
        <f t="array" ref="R864">IF($E864="","", XLOOKUP(SUMIFS(Prod_Prop!$A:$A,Prod_Prop!$B:$B,$E864,Prod_Prop!$H:$H,R$1,Prod_Prop!$I:$I,"Exacto"),Prod_Prop!$A:$A,Prod_Prop!$J:$J,"",0,1))</f>
        <v/>
      </c>
      <c r="S864" s="4" t="str">
        <f t="array" ref="S864">IF($E864="","", XLOOKUP(SUMIFS(Prod_Prop!$A:$A,Prod_Prop!$B:$B,$E864,Prod_Prop!$H:$H,S$1,Prod_Prop!$I:$I,"Exacto"),Prod_Prop!$A:$A,Prod_Prop!$J:$J,"",0,1))</f>
        <v/>
      </c>
      <c r="T864" s="4" t="str">
        <f t="array" ref="T864">IF($E864="","", XLOOKUP(SUMIFS(Prod_Prop!$A:$A,Prod_Prop!$B:$B,$E864,Prod_Prop!$H:$H,T$1,Prod_Prop!$I:$I,"Exacto"),Prod_Prop!$A:$A,Prod_Prop!$J:$J,"",0,1))</f>
        <v/>
      </c>
      <c r="U864" s="4" t="str">
        <f t="array" ref="U864">IF($E864="","", XLOOKUP(SUMIFS(Prod_Prop!$A:$A,Prod_Prop!$B:$B,$E864,Prod_Prop!$H:$H,U$1,Prod_Prop!$I:$I,"Exacto"),Prod_Prop!$A:$A,Prod_Prop!$J:$J,"",0,1))</f>
        <v/>
      </c>
      <c r="V864" s="4" t="str">
        <f t="array" ref="V864">IF($E864="","", XLOOKUP(SUMIFS(Prod_Prop!$A:$A,Prod_Prop!$B:$B,$E864,Prod_Prop!$H:$H,V$1,Prod_Prop!$I:$I,"Exacto"),Prod_Prop!$A:$A,Prod_Prop!$J:$J,"",0,1))</f>
        <v/>
      </c>
      <c r="X864" s="3" t="str">
        <f>IFERROR(__xludf.DUMMYFUNCTION("IF(D864="""","""",IFERROR(TRANSPOSE(FILTER('Validaciones Cotizador'!U:U,'Validaciones Cotizador'!O:O=D864,'Validaciones Cotizador'!T:T=""x"")),""Finalizar""))"),"")</f>
        <v/>
      </c>
    </row>
    <row r="865">
      <c r="A865" s="2" t="str">
        <f t="array" ref="A865">IF(E865="","",XLOOKUP(D865,'Validaciones Cotizador'!C:C,'Validaciones Cotizador'!A:A,"",0,1))</f>
        <v/>
      </c>
      <c r="B865" s="2" t="str">
        <f t="array" ref="B865">IF(F865="","",XLOOKUP(F865,Productos!E:E,Productos!G:G,"",0,1))</f>
        <v/>
      </c>
      <c r="C865" s="2" t="str">
        <f>IF(A865="","",SUMIFS('Validaciones Cotizador'!B:B,'Validaciones Cotizador'!C:C,D865,'Validaciones Cotizador'!A:A,A865))</f>
        <v/>
      </c>
      <c r="D865" s="4" t="str">
        <f>IFERROR(__xludf.DUMMYFUNCTION("IF(OR(F864=""Finalizar"",F864="""",F864=""Selecciona..""),"""",IF(OR(F864=""-"",INDEX(filter(Familias!F:F,Familias!D:D=A864,Familias!E:E=C864),1)=""O""),D864+1,D864))"),"")</f>
        <v/>
      </c>
      <c r="E865" s="2" t="str">
        <f>IF(OR(F865="",F865="Selecciona.."),"",IF(D865="Implemento",SUMIF(Implementos!B:B,F865,Implementos!A:A),SUMIF(Productos!E:E,F865,Productos!A:A)))</f>
        <v/>
      </c>
      <c r="F865" s="2" t="str">
        <f t="shared" si="2"/>
        <v/>
      </c>
      <c r="G865" s="10" t="str">
        <f t="array" ref="G865">IF(OR(F865="",F865="-",F865="Selecciona..",F865="Finalizar"),"",IF(A865="Rodados",XLOOKUP(B865,'Validaciones Cotizador'!I:I,'Validaciones Cotizador'!J:J,0,0,1),1))</f>
        <v/>
      </c>
      <c r="H865" s="11" t="str">
        <f>IF(OR(F865="",F865="Selecciona.."),"",SUMIF(Precio_Productos!K:K,E865,Precio_Productos!J:J)*G865)</f>
        <v/>
      </c>
      <c r="I865" s="4" t="str">
        <f t="array" ref="I865">IF($E865="","", XLOOKUP(SUMIFS(Prod_Prop!$A:$A,Prod_Prop!$B:$B,$E865,Prod_Prop!$H:$H,I$1,Prod_Prop!$I:$I,"Exacto"),Prod_Prop!$A:$A,Prod_Prop!$J:$J,"",0,1))</f>
        <v/>
      </c>
      <c r="J865" s="4" t="str">
        <f t="array" ref="J865">IF($E865="","", XLOOKUP(SUMIFS(Prod_Prop!$A:$A,Prod_Prop!$B:$B,$E865,Prod_Prop!$H:$H,J$1,Prod_Prop!$I:$I,"Exacto"),Prod_Prop!$A:$A,Prod_Prop!$J:$J,"",0,1))</f>
        <v/>
      </c>
      <c r="K865" s="4" t="str">
        <f t="array" ref="K865">IF($E865="","", XLOOKUP(SUMIFS(Prod_Prop!$A:$A,Prod_Prop!$B:$B,$E865,Prod_Prop!$H:$H,K$1,Prod_Prop!$I:$I,"Exacto"),Prod_Prop!$A:$A,Prod_Prop!$J:$J,"",0,1))</f>
        <v/>
      </c>
      <c r="L865" s="4" t="str">
        <f t="array" ref="L865">IF($E865="","", XLOOKUP(SUMIFS(Prod_Prop!$A:$A,Prod_Prop!$B:$B,$E865,Prod_Prop!$H:$H,L$1,Prod_Prop!$I:$I,"Exacto"),Prod_Prop!$A:$A,Prod_Prop!$J:$J,"",0,1))</f>
        <v/>
      </c>
      <c r="M865" s="4" t="str">
        <f t="array" ref="M865">IF($E865="","", XLOOKUP(SUMIFS(Prod_Prop!$A:$A,Prod_Prop!$B:$B,$E865,Prod_Prop!$H:$H,M$1,Prod_Prop!$I:$I,"Exacto"),Prod_Prop!$A:$A,Prod_Prop!$J:$J,"",0,1))</f>
        <v/>
      </c>
      <c r="N865" s="4" t="str">
        <f t="array" ref="N865">IF($E865="","", XLOOKUP(SUMIFS(Prod_Prop!$A:$A,Prod_Prop!$B:$B,$E865,Prod_Prop!$H:$H,N$1,Prod_Prop!$I:$I,"Exacto"),Prod_Prop!$A:$A,Prod_Prop!$J:$J,"",0,1))</f>
        <v/>
      </c>
      <c r="O865" s="4" t="str">
        <f t="array" ref="O865">IF($E865="","", XLOOKUP(SUMIFS(Prod_Prop!$A:$A,Prod_Prop!$B:$B,$E865,Prod_Prop!$H:$H,O$1,Prod_Prop!$I:$I,"Exacto"),Prod_Prop!$A:$A,Prod_Prop!$J:$J,"",0,1))</f>
        <v/>
      </c>
      <c r="P865" s="4" t="str">
        <f t="array" ref="P865">IF($E865="","", XLOOKUP(SUMIFS(Prod_Prop!$A:$A,Prod_Prop!$B:$B,$E865,Prod_Prop!$H:$H,P$1,Prod_Prop!$I:$I,"Exacto"),Prod_Prop!$A:$A,Prod_Prop!$J:$J,"",0,1))</f>
        <v/>
      </c>
      <c r="Q865" s="4" t="str">
        <f t="array" ref="Q865">IF($E865="","", XLOOKUP(SUMIFS(Prod_Prop!$A:$A,Prod_Prop!$B:$B,$E865,Prod_Prop!$H:$H,Q$1,Prod_Prop!$I:$I,"Exacto"),Prod_Prop!$A:$A,Prod_Prop!$J:$J,"",0,1))</f>
        <v/>
      </c>
      <c r="R865" s="4" t="str">
        <f t="array" ref="R865">IF($E865="","", XLOOKUP(SUMIFS(Prod_Prop!$A:$A,Prod_Prop!$B:$B,$E865,Prod_Prop!$H:$H,R$1,Prod_Prop!$I:$I,"Exacto"),Prod_Prop!$A:$A,Prod_Prop!$J:$J,"",0,1))</f>
        <v/>
      </c>
      <c r="S865" s="4" t="str">
        <f t="array" ref="S865">IF($E865="","", XLOOKUP(SUMIFS(Prod_Prop!$A:$A,Prod_Prop!$B:$B,$E865,Prod_Prop!$H:$H,S$1,Prod_Prop!$I:$I,"Exacto"),Prod_Prop!$A:$A,Prod_Prop!$J:$J,"",0,1))</f>
        <v/>
      </c>
      <c r="T865" s="4" t="str">
        <f t="array" ref="T865">IF($E865="","", XLOOKUP(SUMIFS(Prod_Prop!$A:$A,Prod_Prop!$B:$B,$E865,Prod_Prop!$H:$H,T$1,Prod_Prop!$I:$I,"Exacto"),Prod_Prop!$A:$A,Prod_Prop!$J:$J,"",0,1))</f>
        <v/>
      </c>
      <c r="U865" s="4" t="str">
        <f t="array" ref="U865">IF($E865="","", XLOOKUP(SUMIFS(Prod_Prop!$A:$A,Prod_Prop!$B:$B,$E865,Prod_Prop!$H:$H,U$1,Prod_Prop!$I:$I,"Exacto"),Prod_Prop!$A:$A,Prod_Prop!$J:$J,"",0,1))</f>
        <v/>
      </c>
      <c r="V865" s="4" t="str">
        <f t="array" ref="V865">IF($E865="","", XLOOKUP(SUMIFS(Prod_Prop!$A:$A,Prod_Prop!$B:$B,$E865,Prod_Prop!$H:$H,V$1,Prod_Prop!$I:$I,"Exacto"),Prod_Prop!$A:$A,Prod_Prop!$J:$J,"",0,1))</f>
        <v/>
      </c>
      <c r="X865" s="3" t="str">
        <f>IFERROR(__xludf.DUMMYFUNCTION("IF(D865="""","""",IFERROR(TRANSPOSE(FILTER('Validaciones Cotizador'!U:U,'Validaciones Cotizador'!O:O=D865,'Validaciones Cotizador'!T:T=""x"")),""Finalizar""))"),"")</f>
        <v/>
      </c>
    </row>
    <row r="866">
      <c r="A866" s="2" t="str">
        <f t="array" ref="A866">IF(E866="","",XLOOKUP(D866,'Validaciones Cotizador'!C:C,'Validaciones Cotizador'!A:A,"",0,1))</f>
        <v/>
      </c>
      <c r="B866" s="2" t="str">
        <f t="array" ref="B866">IF(F866="","",XLOOKUP(F866,Productos!E:E,Productos!G:G,"",0,1))</f>
        <v/>
      </c>
      <c r="C866" s="2" t="str">
        <f>IF(A866="","",SUMIFS('Validaciones Cotizador'!B:B,'Validaciones Cotizador'!C:C,D866,'Validaciones Cotizador'!A:A,A866))</f>
        <v/>
      </c>
      <c r="D866" s="4" t="str">
        <f>IFERROR(__xludf.DUMMYFUNCTION("IF(OR(F865=""Finalizar"",F865="""",F865=""Selecciona..""),"""",IF(OR(F865=""-"",INDEX(filter(Familias!F:F,Familias!D:D=A865,Familias!E:E=C865),1)=""O""),D865+1,D865))"),"")</f>
        <v/>
      </c>
      <c r="E866" s="2" t="str">
        <f>IF(OR(F866="",F866="Selecciona.."),"",IF(D866="Implemento",SUMIF(Implementos!B:B,F866,Implementos!A:A),SUMIF(Productos!E:E,F866,Productos!A:A)))</f>
        <v/>
      </c>
      <c r="F866" s="2" t="str">
        <f t="shared" si="2"/>
        <v/>
      </c>
      <c r="G866" s="10" t="str">
        <f t="array" ref="G866">IF(OR(F866="",F866="-",F866="Selecciona..",F866="Finalizar"),"",IF(A866="Rodados",XLOOKUP(B866,'Validaciones Cotizador'!I:I,'Validaciones Cotizador'!J:J,0,0,1),1))</f>
        <v/>
      </c>
      <c r="H866" s="11" t="str">
        <f>IF(OR(F866="",F866="Selecciona.."),"",SUMIF(Precio_Productos!K:K,E866,Precio_Productos!J:J)*G866)</f>
        <v/>
      </c>
      <c r="I866" s="4" t="str">
        <f t="array" ref="I866">IF($E866="","", XLOOKUP(SUMIFS(Prod_Prop!$A:$A,Prod_Prop!$B:$B,$E866,Prod_Prop!$H:$H,I$1,Prod_Prop!$I:$I,"Exacto"),Prod_Prop!$A:$A,Prod_Prop!$J:$J,"",0,1))</f>
        <v/>
      </c>
      <c r="J866" s="4" t="str">
        <f t="array" ref="J866">IF($E866="","", XLOOKUP(SUMIFS(Prod_Prop!$A:$A,Prod_Prop!$B:$B,$E866,Prod_Prop!$H:$H,J$1,Prod_Prop!$I:$I,"Exacto"),Prod_Prop!$A:$A,Prod_Prop!$J:$J,"",0,1))</f>
        <v/>
      </c>
      <c r="K866" s="4" t="str">
        <f t="array" ref="K866">IF($E866="","", XLOOKUP(SUMIFS(Prod_Prop!$A:$A,Prod_Prop!$B:$B,$E866,Prod_Prop!$H:$H,K$1,Prod_Prop!$I:$I,"Exacto"),Prod_Prop!$A:$A,Prod_Prop!$J:$J,"",0,1))</f>
        <v/>
      </c>
      <c r="L866" s="4" t="str">
        <f t="array" ref="L866">IF($E866="","", XLOOKUP(SUMIFS(Prod_Prop!$A:$A,Prod_Prop!$B:$B,$E866,Prod_Prop!$H:$H,L$1,Prod_Prop!$I:$I,"Exacto"),Prod_Prop!$A:$A,Prod_Prop!$J:$J,"",0,1))</f>
        <v/>
      </c>
      <c r="M866" s="4" t="str">
        <f t="array" ref="M866">IF($E866="","", XLOOKUP(SUMIFS(Prod_Prop!$A:$A,Prod_Prop!$B:$B,$E866,Prod_Prop!$H:$H,M$1,Prod_Prop!$I:$I,"Exacto"),Prod_Prop!$A:$A,Prod_Prop!$J:$J,"",0,1))</f>
        <v/>
      </c>
      <c r="N866" s="4" t="str">
        <f t="array" ref="N866">IF($E866="","", XLOOKUP(SUMIFS(Prod_Prop!$A:$A,Prod_Prop!$B:$B,$E866,Prod_Prop!$H:$H,N$1,Prod_Prop!$I:$I,"Exacto"),Prod_Prop!$A:$A,Prod_Prop!$J:$J,"",0,1))</f>
        <v/>
      </c>
      <c r="O866" s="4" t="str">
        <f t="array" ref="O866">IF($E866="","", XLOOKUP(SUMIFS(Prod_Prop!$A:$A,Prod_Prop!$B:$B,$E866,Prod_Prop!$H:$H,O$1,Prod_Prop!$I:$I,"Exacto"),Prod_Prop!$A:$A,Prod_Prop!$J:$J,"",0,1))</f>
        <v/>
      </c>
      <c r="P866" s="4" t="str">
        <f t="array" ref="P866">IF($E866="","", XLOOKUP(SUMIFS(Prod_Prop!$A:$A,Prod_Prop!$B:$B,$E866,Prod_Prop!$H:$H,P$1,Prod_Prop!$I:$I,"Exacto"),Prod_Prop!$A:$A,Prod_Prop!$J:$J,"",0,1))</f>
        <v/>
      </c>
      <c r="Q866" s="4" t="str">
        <f t="array" ref="Q866">IF($E866="","", XLOOKUP(SUMIFS(Prod_Prop!$A:$A,Prod_Prop!$B:$B,$E866,Prod_Prop!$H:$H,Q$1,Prod_Prop!$I:$I,"Exacto"),Prod_Prop!$A:$A,Prod_Prop!$J:$J,"",0,1))</f>
        <v/>
      </c>
      <c r="R866" s="4" t="str">
        <f t="array" ref="R866">IF($E866="","", XLOOKUP(SUMIFS(Prod_Prop!$A:$A,Prod_Prop!$B:$B,$E866,Prod_Prop!$H:$H,R$1,Prod_Prop!$I:$I,"Exacto"),Prod_Prop!$A:$A,Prod_Prop!$J:$J,"",0,1))</f>
        <v/>
      </c>
      <c r="S866" s="4" t="str">
        <f t="array" ref="S866">IF($E866="","", XLOOKUP(SUMIFS(Prod_Prop!$A:$A,Prod_Prop!$B:$B,$E866,Prod_Prop!$H:$H,S$1,Prod_Prop!$I:$I,"Exacto"),Prod_Prop!$A:$A,Prod_Prop!$J:$J,"",0,1))</f>
        <v/>
      </c>
      <c r="T866" s="4" t="str">
        <f t="array" ref="T866">IF($E866="","", XLOOKUP(SUMIFS(Prod_Prop!$A:$A,Prod_Prop!$B:$B,$E866,Prod_Prop!$H:$H,T$1,Prod_Prop!$I:$I,"Exacto"),Prod_Prop!$A:$A,Prod_Prop!$J:$J,"",0,1))</f>
        <v/>
      </c>
      <c r="U866" s="4" t="str">
        <f t="array" ref="U866">IF($E866="","", XLOOKUP(SUMIFS(Prod_Prop!$A:$A,Prod_Prop!$B:$B,$E866,Prod_Prop!$H:$H,U$1,Prod_Prop!$I:$I,"Exacto"),Prod_Prop!$A:$A,Prod_Prop!$J:$J,"",0,1))</f>
        <v/>
      </c>
      <c r="V866" s="4" t="str">
        <f t="array" ref="V866">IF($E866="","", XLOOKUP(SUMIFS(Prod_Prop!$A:$A,Prod_Prop!$B:$B,$E866,Prod_Prop!$H:$H,V$1,Prod_Prop!$I:$I,"Exacto"),Prod_Prop!$A:$A,Prod_Prop!$J:$J,"",0,1))</f>
        <v/>
      </c>
      <c r="X866" s="3" t="str">
        <f>IFERROR(__xludf.DUMMYFUNCTION("IF(D866="""","""",IFERROR(TRANSPOSE(FILTER('Validaciones Cotizador'!U:U,'Validaciones Cotizador'!O:O=D866,'Validaciones Cotizador'!T:T=""x"")),""Finalizar""))"),"")</f>
        <v/>
      </c>
    </row>
    <row r="867">
      <c r="A867" s="2" t="str">
        <f t="array" ref="A867">IF(E867="","",XLOOKUP(D867,'Validaciones Cotizador'!C:C,'Validaciones Cotizador'!A:A,"",0,1))</f>
        <v/>
      </c>
      <c r="B867" s="2" t="str">
        <f t="array" ref="B867">IF(F867="","",XLOOKUP(F867,Productos!E:E,Productos!G:G,"",0,1))</f>
        <v/>
      </c>
      <c r="C867" s="2" t="str">
        <f>IF(A867="","",SUMIFS('Validaciones Cotizador'!B:B,'Validaciones Cotizador'!C:C,D867,'Validaciones Cotizador'!A:A,A867))</f>
        <v/>
      </c>
      <c r="D867" s="4" t="str">
        <f>IFERROR(__xludf.DUMMYFUNCTION("IF(OR(F866=""Finalizar"",F866="""",F866=""Selecciona..""),"""",IF(OR(F866=""-"",INDEX(filter(Familias!F:F,Familias!D:D=A866,Familias!E:E=C866),1)=""O""),D866+1,D866))"),"")</f>
        <v/>
      </c>
      <c r="E867" s="2" t="str">
        <f>IF(OR(F867="",F867="Selecciona.."),"",IF(D867="Implemento",SUMIF(Implementos!B:B,F867,Implementos!A:A),SUMIF(Productos!E:E,F867,Productos!A:A)))</f>
        <v/>
      </c>
      <c r="F867" s="2" t="str">
        <f t="shared" si="2"/>
        <v/>
      </c>
      <c r="G867" s="10" t="str">
        <f t="array" ref="G867">IF(OR(F867="",F867="-",F867="Selecciona..",F867="Finalizar"),"",IF(A867="Rodados",XLOOKUP(B867,'Validaciones Cotizador'!I:I,'Validaciones Cotizador'!J:J,0,0,1),1))</f>
        <v/>
      </c>
      <c r="H867" s="11" t="str">
        <f>IF(OR(F867="",F867="Selecciona.."),"",SUMIF(Precio_Productos!K:K,E867,Precio_Productos!J:J)*G867)</f>
        <v/>
      </c>
      <c r="I867" s="4" t="str">
        <f t="array" ref="I867">IF($E867="","", XLOOKUP(SUMIFS(Prod_Prop!$A:$A,Prod_Prop!$B:$B,$E867,Prod_Prop!$H:$H,I$1,Prod_Prop!$I:$I,"Exacto"),Prod_Prop!$A:$A,Prod_Prop!$J:$J,"",0,1))</f>
        <v/>
      </c>
      <c r="J867" s="4" t="str">
        <f t="array" ref="J867">IF($E867="","", XLOOKUP(SUMIFS(Prod_Prop!$A:$A,Prod_Prop!$B:$B,$E867,Prod_Prop!$H:$H,J$1,Prod_Prop!$I:$I,"Exacto"),Prod_Prop!$A:$A,Prod_Prop!$J:$J,"",0,1))</f>
        <v/>
      </c>
      <c r="K867" s="4" t="str">
        <f t="array" ref="K867">IF($E867="","", XLOOKUP(SUMIFS(Prod_Prop!$A:$A,Prod_Prop!$B:$B,$E867,Prod_Prop!$H:$H,K$1,Prod_Prop!$I:$I,"Exacto"),Prod_Prop!$A:$A,Prod_Prop!$J:$J,"",0,1))</f>
        <v/>
      </c>
      <c r="L867" s="4" t="str">
        <f t="array" ref="L867">IF($E867="","", XLOOKUP(SUMIFS(Prod_Prop!$A:$A,Prod_Prop!$B:$B,$E867,Prod_Prop!$H:$H,L$1,Prod_Prop!$I:$I,"Exacto"),Prod_Prop!$A:$A,Prod_Prop!$J:$J,"",0,1))</f>
        <v/>
      </c>
      <c r="M867" s="4" t="str">
        <f t="array" ref="M867">IF($E867="","", XLOOKUP(SUMIFS(Prod_Prop!$A:$A,Prod_Prop!$B:$B,$E867,Prod_Prop!$H:$H,M$1,Prod_Prop!$I:$I,"Exacto"),Prod_Prop!$A:$A,Prod_Prop!$J:$J,"",0,1))</f>
        <v/>
      </c>
      <c r="N867" s="4" t="str">
        <f t="array" ref="N867">IF($E867="","", XLOOKUP(SUMIFS(Prod_Prop!$A:$A,Prod_Prop!$B:$B,$E867,Prod_Prop!$H:$H,N$1,Prod_Prop!$I:$I,"Exacto"),Prod_Prop!$A:$A,Prod_Prop!$J:$J,"",0,1))</f>
        <v/>
      </c>
      <c r="O867" s="4" t="str">
        <f t="array" ref="O867">IF($E867="","", XLOOKUP(SUMIFS(Prod_Prop!$A:$A,Prod_Prop!$B:$B,$E867,Prod_Prop!$H:$H,O$1,Prod_Prop!$I:$I,"Exacto"),Prod_Prop!$A:$A,Prod_Prop!$J:$J,"",0,1))</f>
        <v/>
      </c>
      <c r="P867" s="4" t="str">
        <f t="array" ref="P867">IF($E867="","", XLOOKUP(SUMIFS(Prod_Prop!$A:$A,Prod_Prop!$B:$B,$E867,Prod_Prop!$H:$H,P$1,Prod_Prop!$I:$I,"Exacto"),Prod_Prop!$A:$A,Prod_Prop!$J:$J,"",0,1))</f>
        <v/>
      </c>
      <c r="Q867" s="4" t="str">
        <f t="array" ref="Q867">IF($E867="","", XLOOKUP(SUMIFS(Prod_Prop!$A:$A,Prod_Prop!$B:$B,$E867,Prod_Prop!$H:$H,Q$1,Prod_Prop!$I:$I,"Exacto"),Prod_Prop!$A:$A,Prod_Prop!$J:$J,"",0,1))</f>
        <v/>
      </c>
      <c r="R867" s="4" t="str">
        <f t="array" ref="R867">IF($E867="","", XLOOKUP(SUMIFS(Prod_Prop!$A:$A,Prod_Prop!$B:$B,$E867,Prod_Prop!$H:$H,R$1,Prod_Prop!$I:$I,"Exacto"),Prod_Prop!$A:$A,Prod_Prop!$J:$J,"",0,1))</f>
        <v/>
      </c>
      <c r="S867" s="4" t="str">
        <f t="array" ref="S867">IF($E867="","", XLOOKUP(SUMIFS(Prod_Prop!$A:$A,Prod_Prop!$B:$B,$E867,Prod_Prop!$H:$H,S$1,Prod_Prop!$I:$I,"Exacto"),Prod_Prop!$A:$A,Prod_Prop!$J:$J,"",0,1))</f>
        <v/>
      </c>
      <c r="T867" s="4" t="str">
        <f t="array" ref="T867">IF($E867="","", XLOOKUP(SUMIFS(Prod_Prop!$A:$A,Prod_Prop!$B:$B,$E867,Prod_Prop!$H:$H,T$1,Prod_Prop!$I:$I,"Exacto"),Prod_Prop!$A:$A,Prod_Prop!$J:$J,"",0,1))</f>
        <v/>
      </c>
      <c r="U867" s="4" t="str">
        <f t="array" ref="U867">IF($E867="","", XLOOKUP(SUMIFS(Prod_Prop!$A:$A,Prod_Prop!$B:$B,$E867,Prod_Prop!$H:$H,U$1,Prod_Prop!$I:$I,"Exacto"),Prod_Prop!$A:$A,Prod_Prop!$J:$J,"",0,1))</f>
        <v/>
      </c>
      <c r="V867" s="4" t="str">
        <f t="array" ref="V867">IF($E867="","", XLOOKUP(SUMIFS(Prod_Prop!$A:$A,Prod_Prop!$B:$B,$E867,Prod_Prop!$H:$H,V$1,Prod_Prop!$I:$I,"Exacto"),Prod_Prop!$A:$A,Prod_Prop!$J:$J,"",0,1))</f>
        <v/>
      </c>
      <c r="X867" s="3" t="str">
        <f>IFERROR(__xludf.DUMMYFUNCTION("IF(D867="""","""",IFERROR(TRANSPOSE(FILTER('Validaciones Cotizador'!U:U,'Validaciones Cotizador'!O:O=D867,'Validaciones Cotizador'!T:T=""x"")),""Finalizar""))"),"")</f>
        <v/>
      </c>
    </row>
    <row r="868">
      <c r="A868" s="2" t="str">
        <f t="array" ref="A868">IF(E868="","",XLOOKUP(D868,'Validaciones Cotizador'!C:C,'Validaciones Cotizador'!A:A,"",0,1))</f>
        <v/>
      </c>
      <c r="B868" s="2" t="str">
        <f t="array" ref="B868">IF(F868="","",XLOOKUP(F868,Productos!E:E,Productos!G:G,"",0,1))</f>
        <v/>
      </c>
      <c r="C868" s="2" t="str">
        <f>IF(A868="","",SUMIFS('Validaciones Cotizador'!B:B,'Validaciones Cotizador'!C:C,D868,'Validaciones Cotizador'!A:A,A868))</f>
        <v/>
      </c>
      <c r="D868" s="4" t="str">
        <f>IFERROR(__xludf.DUMMYFUNCTION("IF(OR(F867=""Finalizar"",F867="""",F867=""Selecciona..""),"""",IF(OR(F867=""-"",INDEX(filter(Familias!F:F,Familias!D:D=A867,Familias!E:E=C867),1)=""O""),D867+1,D867))"),"")</f>
        <v/>
      </c>
      <c r="E868" s="2" t="str">
        <f>IF(OR(F868="",F868="Selecciona.."),"",IF(D868="Implemento",SUMIF(Implementos!B:B,F868,Implementos!A:A),SUMIF(Productos!E:E,F868,Productos!A:A)))</f>
        <v/>
      </c>
      <c r="F868" s="2" t="str">
        <f t="shared" si="2"/>
        <v/>
      </c>
      <c r="G868" s="10" t="str">
        <f t="array" ref="G868">IF(OR(F868="",F868="-",F868="Selecciona..",F868="Finalizar"),"",IF(A868="Rodados",XLOOKUP(B868,'Validaciones Cotizador'!I:I,'Validaciones Cotizador'!J:J,0,0,1),1))</f>
        <v/>
      </c>
      <c r="H868" s="11" t="str">
        <f>IF(OR(F868="",F868="Selecciona.."),"",SUMIF(Precio_Productos!K:K,E868,Precio_Productos!J:J)*G868)</f>
        <v/>
      </c>
      <c r="I868" s="4" t="str">
        <f t="array" ref="I868">IF($E868="","", XLOOKUP(SUMIFS(Prod_Prop!$A:$A,Prod_Prop!$B:$B,$E868,Prod_Prop!$H:$H,I$1,Prod_Prop!$I:$I,"Exacto"),Prod_Prop!$A:$A,Prod_Prop!$J:$J,"",0,1))</f>
        <v/>
      </c>
      <c r="J868" s="4" t="str">
        <f t="array" ref="J868">IF($E868="","", XLOOKUP(SUMIFS(Prod_Prop!$A:$A,Prod_Prop!$B:$B,$E868,Prod_Prop!$H:$H,J$1,Prod_Prop!$I:$I,"Exacto"),Prod_Prop!$A:$A,Prod_Prop!$J:$J,"",0,1))</f>
        <v/>
      </c>
      <c r="K868" s="4" t="str">
        <f t="array" ref="K868">IF($E868="","", XLOOKUP(SUMIFS(Prod_Prop!$A:$A,Prod_Prop!$B:$B,$E868,Prod_Prop!$H:$H,K$1,Prod_Prop!$I:$I,"Exacto"),Prod_Prop!$A:$A,Prod_Prop!$J:$J,"",0,1))</f>
        <v/>
      </c>
      <c r="L868" s="4" t="str">
        <f t="array" ref="L868">IF($E868="","", XLOOKUP(SUMIFS(Prod_Prop!$A:$A,Prod_Prop!$B:$B,$E868,Prod_Prop!$H:$H,L$1,Prod_Prop!$I:$I,"Exacto"),Prod_Prop!$A:$A,Prod_Prop!$J:$J,"",0,1))</f>
        <v/>
      </c>
      <c r="M868" s="4" t="str">
        <f t="array" ref="M868">IF($E868="","", XLOOKUP(SUMIFS(Prod_Prop!$A:$A,Prod_Prop!$B:$B,$E868,Prod_Prop!$H:$H,M$1,Prod_Prop!$I:$I,"Exacto"),Prod_Prop!$A:$A,Prod_Prop!$J:$J,"",0,1))</f>
        <v/>
      </c>
      <c r="N868" s="4" t="str">
        <f t="array" ref="N868">IF($E868="","", XLOOKUP(SUMIFS(Prod_Prop!$A:$A,Prod_Prop!$B:$B,$E868,Prod_Prop!$H:$H,N$1,Prod_Prop!$I:$I,"Exacto"),Prod_Prop!$A:$A,Prod_Prop!$J:$J,"",0,1))</f>
        <v/>
      </c>
      <c r="O868" s="4" t="str">
        <f t="array" ref="O868">IF($E868="","", XLOOKUP(SUMIFS(Prod_Prop!$A:$A,Prod_Prop!$B:$B,$E868,Prod_Prop!$H:$H,O$1,Prod_Prop!$I:$I,"Exacto"),Prod_Prop!$A:$A,Prod_Prop!$J:$J,"",0,1))</f>
        <v/>
      </c>
      <c r="P868" s="4" t="str">
        <f t="array" ref="P868">IF($E868="","", XLOOKUP(SUMIFS(Prod_Prop!$A:$A,Prod_Prop!$B:$B,$E868,Prod_Prop!$H:$H,P$1,Prod_Prop!$I:$I,"Exacto"),Prod_Prop!$A:$A,Prod_Prop!$J:$J,"",0,1))</f>
        <v/>
      </c>
      <c r="Q868" s="4" t="str">
        <f t="array" ref="Q868">IF($E868="","", XLOOKUP(SUMIFS(Prod_Prop!$A:$A,Prod_Prop!$B:$B,$E868,Prod_Prop!$H:$H,Q$1,Prod_Prop!$I:$I,"Exacto"),Prod_Prop!$A:$A,Prod_Prop!$J:$J,"",0,1))</f>
        <v/>
      </c>
      <c r="R868" s="4" t="str">
        <f t="array" ref="R868">IF($E868="","", XLOOKUP(SUMIFS(Prod_Prop!$A:$A,Prod_Prop!$B:$B,$E868,Prod_Prop!$H:$H,R$1,Prod_Prop!$I:$I,"Exacto"),Prod_Prop!$A:$A,Prod_Prop!$J:$J,"",0,1))</f>
        <v/>
      </c>
      <c r="S868" s="4" t="str">
        <f t="array" ref="S868">IF($E868="","", XLOOKUP(SUMIFS(Prod_Prop!$A:$A,Prod_Prop!$B:$B,$E868,Prod_Prop!$H:$H,S$1,Prod_Prop!$I:$I,"Exacto"),Prod_Prop!$A:$A,Prod_Prop!$J:$J,"",0,1))</f>
        <v/>
      </c>
      <c r="T868" s="4" t="str">
        <f t="array" ref="T868">IF($E868="","", XLOOKUP(SUMIFS(Prod_Prop!$A:$A,Prod_Prop!$B:$B,$E868,Prod_Prop!$H:$H,T$1,Prod_Prop!$I:$I,"Exacto"),Prod_Prop!$A:$A,Prod_Prop!$J:$J,"",0,1))</f>
        <v/>
      </c>
      <c r="U868" s="4" t="str">
        <f t="array" ref="U868">IF($E868="","", XLOOKUP(SUMIFS(Prod_Prop!$A:$A,Prod_Prop!$B:$B,$E868,Prod_Prop!$H:$H,U$1,Prod_Prop!$I:$I,"Exacto"),Prod_Prop!$A:$A,Prod_Prop!$J:$J,"",0,1))</f>
        <v/>
      </c>
      <c r="V868" s="4" t="str">
        <f t="array" ref="V868">IF($E868="","", XLOOKUP(SUMIFS(Prod_Prop!$A:$A,Prod_Prop!$B:$B,$E868,Prod_Prop!$H:$H,V$1,Prod_Prop!$I:$I,"Exacto"),Prod_Prop!$A:$A,Prod_Prop!$J:$J,"",0,1))</f>
        <v/>
      </c>
      <c r="X868" s="3" t="str">
        <f>IFERROR(__xludf.DUMMYFUNCTION("IF(D868="""","""",IFERROR(TRANSPOSE(FILTER('Validaciones Cotizador'!U:U,'Validaciones Cotizador'!O:O=D868,'Validaciones Cotizador'!T:T=""x"")),""Finalizar""))"),"")</f>
        <v/>
      </c>
    </row>
    <row r="869">
      <c r="A869" s="2" t="str">
        <f t="array" ref="A869">IF(E869="","",XLOOKUP(D869,'Validaciones Cotizador'!C:C,'Validaciones Cotizador'!A:A,"",0,1))</f>
        <v/>
      </c>
      <c r="B869" s="2" t="str">
        <f t="array" ref="B869">IF(F869="","",XLOOKUP(F869,Productos!E:E,Productos!G:G,"",0,1))</f>
        <v/>
      </c>
      <c r="C869" s="2" t="str">
        <f>IF(A869="","",SUMIFS('Validaciones Cotizador'!B:B,'Validaciones Cotizador'!C:C,D869,'Validaciones Cotizador'!A:A,A869))</f>
        <v/>
      </c>
      <c r="D869" s="4" t="str">
        <f>IFERROR(__xludf.DUMMYFUNCTION("IF(OR(F868=""Finalizar"",F868="""",F868=""Selecciona..""),"""",IF(OR(F868=""-"",INDEX(filter(Familias!F:F,Familias!D:D=A868,Familias!E:E=C868),1)=""O""),D868+1,D868))"),"")</f>
        <v/>
      </c>
      <c r="E869" s="2" t="str">
        <f>IF(OR(F869="",F869="Selecciona.."),"",IF(D869="Implemento",SUMIF(Implementos!B:B,F869,Implementos!A:A),SUMIF(Productos!E:E,F869,Productos!A:A)))</f>
        <v/>
      </c>
      <c r="F869" s="2" t="str">
        <f t="shared" si="2"/>
        <v/>
      </c>
      <c r="G869" s="10" t="str">
        <f t="array" ref="G869">IF(OR(F869="",F869="-",F869="Selecciona..",F869="Finalizar"),"",IF(A869="Rodados",XLOOKUP(B869,'Validaciones Cotizador'!I:I,'Validaciones Cotizador'!J:J,0,0,1),1))</f>
        <v/>
      </c>
      <c r="H869" s="11" t="str">
        <f>IF(OR(F869="",F869="Selecciona.."),"",SUMIF(Precio_Productos!K:K,E869,Precio_Productos!J:J)*G869)</f>
        <v/>
      </c>
      <c r="I869" s="4" t="str">
        <f t="array" ref="I869">IF($E869="","", XLOOKUP(SUMIFS(Prod_Prop!$A:$A,Prod_Prop!$B:$B,$E869,Prod_Prop!$H:$H,I$1,Prod_Prop!$I:$I,"Exacto"),Prod_Prop!$A:$A,Prod_Prop!$J:$J,"",0,1))</f>
        <v/>
      </c>
      <c r="J869" s="4" t="str">
        <f t="array" ref="J869">IF($E869="","", XLOOKUP(SUMIFS(Prod_Prop!$A:$A,Prod_Prop!$B:$B,$E869,Prod_Prop!$H:$H,J$1,Prod_Prop!$I:$I,"Exacto"),Prod_Prop!$A:$A,Prod_Prop!$J:$J,"",0,1))</f>
        <v/>
      </c>
      <c r="K869" s="4" t="str">
        <f t="array" ref="K869">IF($E869="","", XLOOKUP(SUMIFS(Prod_Prop!$A:$A,Prod_Prop!$B:$B,$E869,Prod_Prop!$H:$H,K$1,Prod_Prop!$I:$I,"Exacto"),Prod_Prop!$A:$A,Prod_Prop!$J:$J,"",0,1))</f>
        <v/>
      </c>
      <c r="L869" s="4" t="str">
        <f t="array" ref="L869">IF($E869="","", XLOOKUP(SUMIFS(Prod_Prop!$A:$A,Prod_Prop!$B:$B,$E869,Prod_Prop!$H:$H,L$1,Prod_Prop!$I:$I,"Exacto"),Prod_Prop!$A:$A,Prod_Prop!$J:$J,"",0,1))</f>
        <v/>
      </c>
      <c r="M869" s="4" t="str">
        <f t="array" ref="M869">IF($E869="","", XLOOKUP(SUMIFS(Prod_Prop!$A:$A,Prod_Prop!$B:$B,$E869,Prod_Prop!$H:$H,M$1,Prod_Prop!$I:$I,"Exacto"),Prod_Prop!$A:$A,Prod_Prop!$J:$J,"",0,1))</f>
        <v/>
      </c>
      <c r="N869" s="4" t="str">
        <f t="array" ref="N869">IF($E869="","", XLOOKUP(SUMIFS(Prod_Prop!$A:$A,Prod_Prop!$B:$B,$E869,Prod_Prop!$H:$H,N$1,Prod_Prop!$I:$I,"Exacto"),Prod_Prop!$A:$A,Prod_Prop!$J:$J,"",0,1))</f>
        <v/>
      </c>
      <c r="O869" s="4" t="str">
        <f t="array" ref="O869">IF($E869="","", XLOOKUP(SUMIFS(Prod_Prop!$A:$A,Prod_Prop!$B:$B,$E869,Prod_Prop!$H:$H,O$1,Prod_Prop!$I:$I,"Exacto"),Prod_Prop!$A:$A,Prod_Prop!$J:$J,"",0,1))</f>
        <v/>
      </c>
      <c r="P869" s="4" t="str">
        <f t="array" ref="P869">IF($E869="","", XLOOKUP(SUMIFS(Prod_Prop!$A:$A,Prod_Prop!$B:$B,$E869,Prod_Prop!$H:$H,P$1,Prod_Prop!$I:$I,"Exacto"),Prod_Prop!$A:$A,Prod_Prop!$J:$J,"",0,1))</f>
        <v/>
      </c>
      <c r="Q869" s="4" t="str">
        <f t="array" ref="Q869">IF($E869="","", XLOOKUP(SUMIFS(Prod_Prop!$A:$A,Prod_Prop!$B:$B,$E869,Prod_Prop!$H:$H,Q$1,Prod_Prop!$I:$I,"Exacto"),Prod_Prop!$A:$A,Prod_Prop!$J:$J,"",0,1))</f>
        <v/>
      </c>
      <c r="R869" s="4" t="str">
        <f t="array" ref="R869">IF($E869="","", XLOOKUP(SUMIFS(Prod_Prop!$A:$A,Prod_Prop!$B:$B,$E869,Prod_Prop!$H:$H,R$1,Prod_Prop!$I:$I,"Exacto"),Prod_Prop!$A:$A,Prod_Prop!$J:$J,"",0,1))</f>
        <v/>
      </c>
      <c r="S869" s="4" t="str">
        <f t="array" ref="S869">IF($E869="","", XLOOKUP(SUMIFS(Prod_Prop!$A:$A,Prod_Prop!$B:$B,$E869,Prod_Prop!$H:$H,S$1,Prod_Prop!$I:$I,"Exacto"),Prod_Prop!$A:$A,Prod_Prop!$J:$J,"",0,1))</f>
        <v/>
      </c>
      <c r="T869" s="4" t="str">
        <f t="array" ref="T869">IF($E869="","", XLOOKUP(SUMIFS(Prod_Prop!$A:$A,Prod_Prop!$B:$B,$E869,Prod_Prop!$H:$H,T$1,Prod_Prop!$I:$I,"Exacto"),Prod_Prop!$A:$A,Prod_Prop!$J:$J,"",0,1))</f>
        <v/>
      </c>
      <c r="U869" s="4" t="str">
        <f t="array" ref="U869">IF($E869="","", XLOOKUP(SUMIFS(Prod_Prop!$A:$A,Prod_Prop!$B:$B,$E869,Prod_Prop!$H:$H,U$1,Prod_Prop!$I:$I,"Exacto"),Prod_Prop!$A:$A,Prod_Prop!$J:$J,"",0,1))</f>
        <v/>
      </c>
      <c r="V869" s="4" t="str">
        <f t="array" ref="V869">IF($E869="","", XLOOKUP(SUMIFS(Prod_Prop!$A:$A,Prod_Prop!$B:$B,$E869,Prod_Prop!$H:$H,V$1,Prod_Prop!$I:$I,"Exacto"),Prod_Prop!$A:$A,Prod_Prop!$J:$J,"",0,1))</f>
        <v/>
      </c>
      <c r="X869" s="3" t="str">
        <f>IFERROR(__xludf.DUMMYFUNCTION("IF(D869="""","""",IFERROR(TRANSPOSE(FILTER('Validaciones Cotizador'!U:U,'Validaciones Cotizador'!O:O=D869,'Validaciones Cotizador'!T:T=""x"")),""Finalizar""))"),"")</f>
        <v/>
      </c>
    </row>
    <row r="870">
      <c r="A870" s="2" t="str">
        <f t="array" ref="A870">IF(E870="","",XLOOKUP(D870,'Validaciones Cotizador'!C:C,'Validaciones Cotizador'!A:A,"",0,1))</f>
        <v/>
      </c>
      <c r="B870" s="2" t="str">
        <f t="array" ref="B870">IF(F870="","",XLOOKUP(F870,Productos!E:E,Productos!G:G,"",0,1))</f>
        <v/>
      </c>
      <c r="C870" s="2" t="str">
        <f>IF(A870="","",SUMIFS('Validaciones Cotizador'!B:B,'Validaciones Cotizador'!C:C,D870,'Validaciones Cotizador'!A:A,A870))</f>
        <v/>
      </c>
      <c r="D870" s="4" t="str">
        <f>IFERROR(__xludf.DUMMYFUNCTION("IF(OR(F869=""Finalizar"",F869="""",F869=""Selecciona..""),"""",IF(OR(F869=""-"",INDEX(filter(Familias!F:F,Familias!D:D=A869,Familias!E:E=C869),1)=""O""),D869+1,D869))"),"")</f>
        <v/>
      </c>
      <c r="E870" s="2" t="str">
        <f>IF(OR(F870="",F870="Selecciona.."),"",IF(D870="Implemento",SUMIF(Implementos!B:B,F870,Implementos!A:A),SUMIF(Productos!E:E,F870,Productos!A:A)))</f>
        <v/>
      </c>
      <c r="F870" s="2" t="str">
        <f t="shared" si="2"/>
        <v/>
      </c>
      <c r="G870" s="10" t="str">
        <f t="array" ref="G870">IF(OR(F870="",F870="-",F870="Selecciona..",F870="Finalizar"),"",IF(A870="Rodados",XLOOKUP(B870,'Validaciones Cotizador'!I:I,'Validaciones Cotizador'!J:J,0,0,1),1))</f>
        <v/>
      </c>
      <c r="H870" s="11" t="str">
        <f>IF(OR(F870="",F870="Selecciona.."),"",SUMIF(Precio_Productos!K:K,E870,Precio_Productos!J:J)*G870)</f>
        <v/>
      </c>
      <c r="I870" s="4" t="str">
        <f t="array" ref="I870">IF($E870="","", XLOOKUP(SUMIFS(Prod_Prop!$A:$A,Prod_Prop!$B:$B,$E870,Prod_Prop!$H:$H,I$1,Prod_Prop!$I:$I,"Exacto"),Prod_Prop!$A:$A,Prod_Prop!$J:$J,"",0,1))</f>
        <v/>
      </c>
      <c r="J870" s="4" t="str">
        <f t="array" ref="J870">IF($E870="","", XLOOKUP(SUMIFS(Prod_Prop!$A:$A,Prod_Prop!$B:$B,$E870,Prod_Prop!$H:$H,J$1,Prod_Prop!$I:$I,"Exacto"),Prod_Prop!$A:$A,Prod_Prop!$J:$J,"",0,1))</f>
        <v/>
      </c>
      <c r="K870" s="4" t="str">
        <f t="array" ref="K870">IF($E870="","", XLOOKUP(SUMIFS(Prod_Prop!$A:$A,Prod_Prop!$B:$B,$E870,Prod_Prop!$H:$H,K$1,Prod_Prop!$I:$I,"Exacto"),Prod_Prop!$A:$A,Prod_Prop!$J:$J,"",0,1))</f>
        <v/>
      </c>
      <c r="L870" s="4" t="str">
        <f t="array" ref="L870">IF($E870="","", XLOOKUP(SUMIFS(Prod_Prop!$A:$A,Prod_Prop!$B:$B,$E870,Prod_Prop!$H:$H,L$1,Prod_Prop!$I:$I,"Exacto"),Prod_Prop!$A:$A,Prod_Prop!$J:$J,"",0,1))</f>
        <v/>
      </c>
      <c r="M870" s="4" t="str">
        <f t="array" ref="M870">IF($E870="","", XLOOKUP(SUMIFS(Prod_Prop!$A:$A,Prod_Prop!$B:$B,$E870,Prod_Prop!$H:$H,M$1,Prod_Prop!$I:$I,"Exacto"),Prod_Prop!$A:$A,Prod_Prop!$J:$J,"",0,1))</f>
        <v/>
      </c>
      <c r="N870" s="4" t="str">
        <f t="array" ref="N870">IF($E870="","", XLOOKUP(SUMIFS(Prod_Prop!$A:$A,Prod_Prop!$B:$B,$E870,Prod_Prop!$H:$H,N$1,Prod_Prop!$I:$I,"Exacto"),Prod_Prop!$A:$A,Prod_Prop!$J:$J,"",0,1))</f>
        <v/>
      </c>
      <c r="O870" s="4" t="str">
        <f t="array" ref="O870">IF($E870="","", XLOOKUP(SUMIFS(Prod_Prop!$A:$A,Prod_Prop!$B:$B,$E870,Prod_Prop!$H:$H,O$1,Prod_Prop!$I:$I,"Exacto"),Prod_Prop!$A:$A,Prod_Prop!$J:$J,"",0,1))</f>
        <v/>
      </c>
      <c r="P870" s="4" t="str">
        <f t="array" ref="P870">IF($E870="","", XLOOKUP(SUMIFS(Prod_Prop!$A:$A,Prod_Prop!$B:$B,$E870,Prod_Prop!$H:$H,P$1,Prod_Prop!$I:$I,"Exacto"),Prod_Prop!$A:$A,Prod_Prop!$J:$J,"",0,1))</f>
        <v/>
      </c>
      <c r="Q870" s="4" t="str">
        <f t="array" ref="Q870">IF($E870="","", XLOOKUP(SUMIFS(Prod_Prop!$A:$A,Prod_Prop!$B:$B,$E870,Prod_Prop!$H:$H,Q$1,Prod_Prop!$I:$I,"Exacto"),Prod_Prop!$A:$A,Prod_Prop!$J:$J,"",0,1))</f>
        <v/>
      </c>
      <c r="R870" s="4" t="str">
        <f t="array" ref="R870">IF($E870="","", XLOOKUP(SUMIFS(Prod_Prop!$A:$A,Prod_Prop!$B:$B,$E870,Prod_Prop!$H:$H,R$1,Prod_Prop!$I:$I,"Exacto"),Prod_Prop!$A:$A,Prod_Prop!$J:$J,"",0,1))</f>
        <v/>
      </c>
      <c r="S870" s="4" t="str">
        <f t="array" ref="S870">IF($E870="","", XLOOKUP(SUMIFS(Prod_Prop!$A:$A,Prod_Prop!$B:$B,$E870,Prod_Prop!$H:$H,S$1,Prod_Prop!$I:$I,"Exacto"),Prod_Prop!$A:$A,Prod_Prop!$J:$J,"",0,1))</f>
        <v/>
      </c>
      <c r="T870" s="4" t="str">
        <f t="array" ref="T870">IF($E870="","", XLOOKUP(SUMIFS(Prod_Prop!$A:$A,Prod_Prop!$B:$B,$E870,Prod_Prop!$H:$H,T$1,Prod_Prop!$I:$I,"Exacto"),Prod_Prop!$A:$A,Prod_Prop!$J:$J,"",0,1))</f>
        <v/>
      </c>
      <c r="U870" s="4" t="str">
        <f t="array" ref="U870">IF($E870="","", XLOOKUP(SUMIFS(Prod_Prop!$A:$A,Prod_Prop!$B:$B,$E870,Prod_Prop!$H:$H,U$1,Prod_Prop!$I:$I,"Exacto"),Prod_Prop!$A:$A,Prod_Prop!$J:$J,"",0,1))</f>
        <v/>
      </c>
      <c r="V870" s="4" t="str">
        <f t="array" ref="V870">IF($E870="","", XLOOKUP(SUMIFS(Prod_Prop!$A:$A,Prod_Prop!$B:$B,$E870,Prod_Prop!$H:$H,V$1,Prod_Prop!$I:$I,"Exacto"),Prod_Prop!$A:$A,Prod_Prop!$J:$J,"",0,1))</f>
        <v/>
      </c>
      <c r="X870" s="3" t="str">
        <f>IFERROR(__xludf.DUMMYFUNCTION("IF(D870="""","""",IFERROR(TRANSPOSE(FILTER('Validaciones Cotizador'!U:U,'Validaciones Cotizador'!O:O=D870,'Validaciones Cotizador'!T:T=""x"")),""Finalizar""))"),"")</f>
        <v/>
      </c>
    </row>
    <row r="871">
      <c r="A871" s="2" t="str">
        <f t="array" ref="A871">IF(E871="","",XLOOKUP(D871,'Validaciones Cotizador'!C:C,'Validaciones Cotizador'!A:A,"",0,1))</f>
        <v/>
      </c>
      <c r="B871" s="2" t="str">
        <f t="array" ref="B871">IF(F871="","",XLOOKUP(F871,Productos!E:E,Productos!G:G,"",0,1))</f>
        <v/>
      </c>
      <c r="C871" s="2" t="str">
        <f>IF(A871="","",SUMIFS('Validaciones Cotizador'!B:B,'Validaciones Cotizador'!C:C,D871,'Validaciones Cotizador'!A:A,A871))</f>
        <v/>
      </c>
      <c r="D871" s="4" t="str">
        <f>IFERROR(__xludf.DUMMYFUNCTION("IF(OR(F870=""Finalizar"",F870="""",F870=""Selecciona..""),"""",IF(OR(F870=""-"",INDEX(filter(Familias!F:F,Familias!D:D=A870,Familias!E:E=C870),1)=""O""),D870+1,D870))"),"")</f>
        <v/>
      </c>
      <c r="E871" s="2" t="str">
        <f>IF(OR(F871="",F871="Selecciona.."),"",IF(D871="Implemento",SUMIF(Implementos!B:B,F871,Implementos!A:A),SUMIF(Productos!E:E,F871,Productos!A:A)))</f>
        <v/>
      </c>
      <c r="F871" s="2" t="str">
        <f t="shared" si="2"/>
        <v/>
      </c>
      <c r="G871" s="10" t="str">
        <f t="array" ref="G871">IF(OR(F871="",F871="-",F871="Selecciona..",F871="Finalizar"),"",IF(A871="Rodados",XLOOKUP(B871,'Validaciones Cotizador'!I:I,'Validaciones Cotizador'!J:J,0,0,1),1))</f>
        <v/>
      </c>
      <c r="H871" s="11" t="str">
        <f>IF(OR(F871="",F871="Selecciona.."),"",SUMIF(Precio_Productos!K:K,E871,Precio_Productos!J:J)*G871)</f>
        <v/>
      </c>
      <c r="I871" s="4" t="str">
        <f t="array" ref="I871">IF($E871="","", XLOOKUP(SUMIFS(Prod_Prop!$A:$A,Prod_Prop!$B:$B,$E871,Prod_Prop!$H:$H,I$1,Prod_Prop!$I:$I,"Exacto"),Prod_Prop!$A:$A,Prod_Prop!$J:$J,"",0,1))</f>
        <v/>
      </c>
      <c r="J871" s="4" t="str">
        <f t="array" ref="J871">IF($E871="","", XLOOKUP(SUMIFS(Prod_Prop!$A:$A,Prod_Prop!$B:$B,$E871,Prod_Prop!$H:$H,J$1,Prod_Prop!$I:$I,"Exacto"),Prod_Prop!$A:$A,Prod_Prop!$J:$J,"",0,1))</f>
        <v/>
      </c>
      <c r="K871" s="4" t="str">
        <f t="array" ref="K871">IF($E871="","", XLOOKUP(SUMIFS(Prod_Prop!$A:$A,Prod_Prop!$B:$B,$E871,Prod_Prop!$H:$H,K$1,Prod_Prop!$I:$I,"Exacto"),Prod_Prop!$A:$A,Prod_Prop!$J:$J,"",0,1))</f>
        <v/>
      </c>
      <c r="L871" s="4" t="str">
        <f t="array" ref="L871">IF($E871="","", XLOOKUP(SUMIFS(Prod_Prop!$A:$A,Prod_Prop!$B:$B,$E871,Prod_Prop!$H:$H,L$1,Prod_Prop!$I:$I,"Exacto"),Prod_Prop!$A:$A,Prod_Prop!$J:$J,"",0,1))</f>
        <v/>
      </c>
      <c r="M871" s="4" t="str">
        <f t="array" ref="M871">IF($E871="","", XLOOKUP(SUMIFS(Prod_Prop!$A:$A,Prod_Prop!$B:$B,$E871,Prod_Prop!$H:$H,M$1,Prod_Prop!$I:$I,"Exacto"),Prod_Prop!$A:$A,Prod_Prop!$J:$J,"",0,1))</f>
        <v/>
      </c>
      <c r="N871" s="4" t="str">
        <f t="array" ref="N871">IF($E871="","", XLOOKUP(SUMIFS(Prod_Prop!$A:$A,Prod_Prop!$B:$B,$E871,Prod_Prop!$H:$H,N$1,Prod_Prop!$I:$I,"Exacto"),Prod_Prop!$A:$A,Prod_Prop!$J:$J,"",0,1))</f>
        <v/>
      </c>
      <c r="O871" s="4" t="str">
        <f t="array" ref="O871">IF($E871="","", XLOOKUP(SUMIFS(Prod_Prop!$A:$A,Prod_Prop!$B:$B,$E871,Prod_Prop!$H:$H,O$1,Prod_Prop!$I:$I,"Exacto"),Prod_Prop!$A:$A,Prod_Prop!$J:$J,"",0,1))</f>
        <v/>
      </c>
      <c r="P871" s="4" t="str">
        <f t="array" ref="P871">IF($E871="","", XLOOKUP(SUMIFS(Prod_Prop!$A:$A,Prod_Prop!$B:$B,$E871,Prod_Prop!$H:$H,P$1,Prod_Prop!$I:$I,"Exacto"),Prod_Prop!$A:$A,Prod_Prop!$J:$J,"",0,1))</f>
        <v/>
      </c>
      <c r="Q871" s="4" t="str">
        <f t="array" ref="Q871">IF($E871="","", XLOOKUP(SUMIFS(Prod_Prop!$A:$A,Prod_Prop!$B:$B,$E871,Prod_Prop!$H:$H,Q$1,Prod_Prop!$I:$I,"Exacto"),Prod_Prop!$A:$A,Prod_Prop!$J:$J,"",0,1))</f>
        <v/>
      </c>
      <c r="R871" s="4" t="str">
        <f t="array" ref="R871">IF($E871="","", XLOOKUP(SUMIFS(Prod_Prop!$A:$A,Prod_Prop!$B:$B,$E871,Prod_Prop!$H:$H,R$1,Prod_Prop!$I:$I,"Exacto"),Prod_Prop!$A:$A,Prod_Prop!$J:$J,"",0,1))</f>
        <v/>
      </c>
      <c r="S871" s="4" t="str">
        <f t="array" ref="S871">IF($E871="","", XLOOKUP(SUMIFS(Prod_Prop!$A:$A,Prod_Prop!$B:$B,$E871,Prod_Prop!$H:$H,S$1,Prod_Prop!$I:$I,"Exacto"),Prod_Prop!$A:$A,Prod_Prop!$J:$J,"",0,1))</f>
        <v/>
      </c>
      <c r="T871" s="4" t="str">
        <f t="array" ref="T871">IF($E871="","", XLOOKUP(SUMIFS(Prod_Prop!$A:$A,Prod_Prop!$B:$B,$E871,Prod_Prop!$H:$H,T$1,Prod_Prop!$I:$I,"Exacto"),Prod_Prop!$A:$A,Prod_Prop!$J:$J,"",0,1))</f>
        <v/>
      </c>
      <c r="U871" s="4" t="str">
        <f t="array" ref="U871">IF($E871="","", XLOOKUP(SUMIFS(Prod_Prop!$A:$A,Prod_Prop!$B:$B,$E871,Prod_Prop!$H:$H,U$1,Prod_Prop!$I:$I,"Exacto"),Prod_Prop!$A:$A,Prod_Prop!$J:$J,"",0,1))</f>
        <v/>
      </c>
      <c r="V871" s="4" t="str">
        <f t="array" ref="V871">IF($E871="","", XLOOKUP(SUMIFS(Prod_Prop!$A:$A,Prod_Prop!$B:$B,$E871,Prod_Prop!$H:$H,V$1,Prod_Prop!$I:$I,"Exacto"),Prod_Prop!$A:$A,Prod_Prop!$J:$J,"",0,1))</f>
        <v/>
      </c>
      <c r="X871" s="3" t="str">
        <f>IFERROR(__xludf.DUMMYFUNCTION("IF(D871="""","""",IFERROR(TRANSPOSE(FILTER('Validaciones Cotizador'!U:U,'Validaciones Cotizador'!O:O=D871,'Validaciones Cotizador'!T:T=""x"")),""Finalizar""))"),"")</f>
        <v/>
      </c>
    </row>
    <row r="872">
      <c r="A872" s="2" t="str">
        <f t="array" ref="A872">IF(E872="","",XLOOKUP(D872,'Validaciones Cotizador'!C:C,'Validaciones Cotizador'!A:A,"",0,1))</f>
        <v/>
      </c>
      <c r="B872" s="2" t="str">
        <f t="array" ref="B872">IF(F872="","",XLOOKUP(F872,Productos!E:E,Productos!G:G,"",0,1))</f>
        <v/>
      </c>
      <c r="C872" s="2" t="str">
        <f>IF(A872="","",SUMIFS('Validaciones Cotizador'!B:B,'Validaciones Cotizador'!C:C,D872,'Validaciones Cotizador'!A:A,A872))</f>
        <v/>
      </c>
      <c r="D872" s="4" t="str">
        <f>IFERROR(__xludf.DUMMYFUNCTION("IF(OR(F871=""Finalizar"",F871="""",F871=""Selecciona..""),"""",IF(OR(F871=""-"",INDEX(filter(Familias!F:F,Familias!D:D=A871,Familias!E:E=C871),1)=""O""),D871+1,D871))"),"")</f>
        <v/>
      </c>
      <c r="E872" s="2" t="str">
        <f>IF(OR(F872="",F872="Selecciona.."),"",IF(D872="Implemento",SUMIF(Implementos!B:B,F872,Implementos!A:A),SUMIF(Productos!E:E,F872,Productos!A:A)))</f>
        <v/>
      </c>
      <c r="F872" s="2" t="str">
        <f t="shared" si="2"/>
        <v/>
      </c>
      <c r="G872" s="10" t="str">
        <f t="array" ref="G872">IF(OR(F872="",F872="-",F872="Selecciona..",F872="Finalizar"),"",IF(A872="Rodados",XLOOKUP(B872,'Validaciones Cotizador'!I:I,'Validaciones Cotizador'!J:J,0,0,1),1))</f>
        <v/>
      </c>
      <c r="H872" s="11" t="str">
        <f>IF(OR(F872="",F872="Selecciona.."),"",SUMIF(Precio_Productos!K:K,E872,Precio_Productos!J:J)*G872)</f>
        <v/>
      </c>
      <c r="I872" s="4" t="str">
        <f t="array" ref="I872">IF($E872="","", XLOOKUP(SUMIFS(Prod_Prop!$A:$A,Prod_Prop!$B:$B,$E872,Prod_Prop!$H:$H,I$1,Prod_Prop!$I:$I,"Exacto"),Prod_Prop!$A:$A,Prod_Prop!$J:$J,"",0,1))</f>
        <v/>
      </c>
      <c r="J872" s="4" t="str">
        <f t="array" ref="J872">IF($E872="","", XLOOKUP(SUMIFS(Prod_Prop!$A:$A,Prod_Prop!$B:$B,$E872,Prod_Prop!$H:$H,J$1,Prod_Prop!$I:$I,"Exacto"),Prod_Prop!$A:$A,Prod_Prop!$J:$J,"",0,1))</f>
        <v/>
      </c>
      <c r="K872" s="4" t="str">
        <f t="array" ref="K872">IF($E872="","", XLOOKUP(SUMIFS(Prod_Prop!$A:$A,Prod_Prop!$B:$B,$E872,Prod_Prop!$H:$H,K$1,Prod_Prop!$I:$I,"Exacto"),Prod_Prop!$A:$A,Prod_Prop!$J:$J,"",0,1))</f>
        <v/>
      </c>
      <c r="L872" s="4" t="str">
        <f t="array" ref="L872">IF($E872="","", XLOOKUP(SUMIFS(Prod_Prop!$A:$A,Prod_Prop!$B:$B,$E872,Prod_Prop!$H:$H,L$1,Prod_Prop!$I:$I,"Exacto"),Prod_Prop!$A:$A,Prod_Prop!$J:$J,"",0,1))</f>
        <v/>
      </c>
      <c r="M872" s="4" t="str">
        <f t="array" ref="M872">IF($E872="","", XLOOKUP(SUMIFS(Prod_Prop!$A:$A,Prod_Prop!$B:$B,$E872,Prod_Prop!$H:$H,M$1,Prod_Prop!$I:$I,"Exacto"),Prod_Prop!$A:$A,Prod_Prop!$J:$J,"",0,1))</f>
        <v/>
      </c>
      <c r="N872" s="4" t="str">
        <f t="array" ref="N872">IF($E872="","", XLOOKUP(SUMIFS(Prod_Prop!$A:$A,Prod_Prop!$B:$B,$E872,Prod_Prop!$H:$H,N$1,Prod_Prop!$I:$I,"Exacto"),Prod_Prop!$A:$A,Prod_Prop!$J:$J,"",0,1))</f>
        <v/>
      </c>
      <c r="O872" s="4" t="str">
        <f t="array" ref="O872">IF($E872="","", XLOOKUP(SUMIFS(Prod_Prop!$A:$A,Prod_Prop!$B:$B,$E872,Prod_Prop!$H:$H,O$1,Prod_Prop!$I:$I,"Exacto"),Prod_Prop!$A:$A,Prod_Prop!$J:$J,"",0,1))</f>
        <v/>
      </c>
      <c r="P872" s="4" t="str">
        <f t="array" ref="P872">IF($E872="","", XLOOKUP(SUMIFS(Prod_Prop!$A:$A,Prod_Prop!$B:$B,$E872,Prod_Prop!$H:$H,P$1,Prod_Prop!$I:$I,"Exacto"),Prod_Prop!$A:$A,Prod_Prop!$J:$J,"",0,1))</f>
        <v/>
      </c>
      <c r="Q872" s="4" t="str">
        <f t="array" ref="Q872">IF($E872="","", XLOOKUP(SUMIFS(Prod_Prop!$A:$A,Prod_Prop!$B:$B,$E872,Prod_Prop!$H:$H,Q$1,Prod_Prop!$I:$I,"Exacto"),Prod_Prop!$A:$A,Prod_Prop!$J:$J,"",0,1))</f>
        <v/>
      </c>
      <c r="R872" s="4" t="str">
        <f t="array" ref="R872">IF($E872="","", XLOOKUP(SUMIFS(Prod_Prop!$A:$A,Prod_Prop!$B:$B,$E872,Prod_Prop!$H:$H,R$1,Prod_Prop!$I:$I,"Exacto"),Prod_Prop!$A:$A,Prod_Prop!$J:$J,"",0,1))</f>
        <v/>
      </c>
      <c r="S872" s="4" t="str">
        <f t="array" ref="S872">IF($E872="","", XLOOKUP(SUMIFS(Prod_Prop!$A:$A,Prod_Prop!$B:$B,$E872,Prod_Prop!$H:$H,S$1,Prod_Prop!$I:$I,"Exacto"),Prod_Prop!$A:$A,Prod_Prop!$J:$J,"",0,1))</f>
        <v/>
      </c>
      <c r="T872" s="4" t="str">
        <f t="array" ref="T872">IF($E872="","", XLOOKUP(SUMIFS(Prod_Prop!$A:$A,Prod_Prop!$B:$B,$E872,Prod_Prop!$H:$H,T$1,Prod_Prop!$I:$I,"Exacto"),Prod_Prop!$A:$A,Prod_Prop!$J:$J,"",0,1))</f>
        <v/>
      </c>
      <c r="U872" s="4" t="str">
        <f t="array" ref="U872">IF($E872="","", XLOOKUP(SUMIFS(Prod_Prop!$A:$A,Prod_Prop!$B:$B,$E872,Prod_Prop!$H:$H,U$1,Prod_Prop!$I:$I,"Exacto"),Prod_Prop!$A:$A,Prod_Prop!$J:$J,"",0,1))</f>
        <v/>
      </c>
      <c r="V872" s="4" t="str">
        <f t="array" ref="V872">IF($E872="","", XLOOKUP(SUMIFS(Prod_Prop!$A:$A,Prod_Prop!$B:$B,$E872,Prod_Prop!$H:$H,V$1,Prod_Prop!$I:$I,"Exacto"),Prod_Prop!$A:$A,Prod_Prop!$J:$J,"",0,1))</f>
        <v/>
      </c>
      <c r="X872" s="3" t="str">
        <f>IFERROR(__xludf.DUMMYFUNCTION("IF(D872="""","""",IFERROR(TRANSPOSE(FILTER('Validaciones Cotizador'!U:U,'Validaciones Cotizador'!O:O=D872,'Validaciones Cotizador'!T:T=""x"")),""Finalizar""))"),"")</f>
        <v/>
      </c>
    </row>
    <row r="873">
      <c r="A873" s="2" t="str">
        <f t="array" ref="A873">IF(E873="","",XLOOKUP(D873,'Validaciones Cotizador'!C:C,'Validaciones Cotizador'!A:A,"",0,1))</f>
        <v/>
      </c>
      <c r="B873" s="2" t="str">
        <f t="array" ref="B873">IF(F873="","",XLOOKUP(F873,Productos!E:E,Productos!G:G,"",0,1))</f>
        <v/>
      </c>
      <c r="C873" s="2" t="str">
        <f>IF(A873="","",SUMIFS('Validaciones Cotizador'!B:B,'Validaciones Cotizador'!C:C,D873,'Validaciones Cotizador'!A:A,A873))</f>
        <v/>
      </c>
      <c r="D873" s="4" t="str">
        <f>IFERROR(__xludf.DUMMYFUNCTION("IF(OR(F872=""Finalizar"",F872="""",F872=""Selecciona..""),"""",IF(OR(F872=""-"",INDEX(filter(Familias!F:F,Familias!D:D=A872,Familias!E:E=C872),1)=""O""),D872+1,D872))"),"")</f>
        <v/>
      </c>
      <c r="E873" s="2" t="str">
        <f>IF(OR(F873="",F873="Selecciona.."),"",IF(D873="Implemento",SUMIF(Implementos!B:B,F873,Implementos!A:A),SUMIF(Productos!E:E,F873,Productos!A:A)))</f>
        <v/>
      </c>
      <c r="F873" s="2" t="str">
        <f t="shared" si="2"/>
        <v/>
      </c>
      <c r="G873" s="10" t="str">
        <f t="array" ref="G873">IF(OR(F873="",F873="-",F873="Selecciona..",F873="Finalizar"),"",IF(A873="Rodados",XLOOKUP(B873,'Validaciones Cotizador'!I:I,'Validaciones Cotizador'!J:J,0,0,1),1))</f>
        <v/>
      </c>
      <c r="H873" s="11" t="str">
        <f>IF(OR(F873="",F873="Selecciona.."),"",SUMIF(Precio_Productos!K:K,E873,Precio_Productos!J:J)*G873)</f>
        <v/>
      </c>
      <c r="I873" s="4" t="str">
        <f t="array" ref="I873">IF($E873="","", XLOOKUP(SUMIFS(Prod_Prop!$A:$A,Prod_Prop!$B:$B,$E873,Prod_Prop!$H:$H,I$1,Prod_Prop!$I:$I,"Exacto"),Prod_Prop!$A:$A,Prod_Prop!$J:$J,"",0,1))</f>
        <v/>
      </c>
      <c r="J873" s="4" t="str">
        <f t="array" ref="J873">IF($E873="","", XLOOKUP(SUMIFS(Prod_Prop!$A:$A,Prod_Prop!$B:$B,$E873,Prod_Prop!$H:$H,J$1,Prod_Prop!$I:$I,"Exacto"),Prod_Prop!$A:$A,Prod_Prop!$J:$J,"",0,1))</f>
        <v/>
      </c>
      <c r="K873" s="4" t="str">
        <f t="array" ref="K873">IF($E873="","", XLOOKUP(SUMIFS(Prod_Prop!$A:$A,Prod_Prop!$B:$B,$E873,Prod_Prop!$H:$H,K$1,Prod_Prop!$I:$I,"Exacto"),Prod_Prop!$A:$A,Prod_Prop!$J:$J,"",0,1))</f>
        <v/>
      </c>
      <c r="L873" s="4" t="str">
        <f t="array" ref="L873">IF($E873="","", XLOOKUP(SUMIFS(Prod_Prop!$A:$A,Prod_Prop!$B:$B,$E873,Prod_Prop!$H:$H,L$1,Prod_Prop!$I:$I,"Exacto"),Prod_Prop!$A:$A,Prod_Prop!$J:$J,"",0,1))</f>
        <v/>
      </c>
      <c r="M873" s="4" t="str">
        <f t="array" ref="M873">IF($E873="","", XLOOKUP(SUMIFS(Prod_Prop!$A:$A,Prod_Prop!$B:$B,$E873,Prod_Prop!$H:$H,M$1,Prod_Prop!$I:$I,"Exacto"),Prod_Prop!$A:$A,Prod_Prop!$J:$J,"",0,1))</f>
        <v/>
      </c>
      <c r="N873" s="4" t="str">
        <f t="array" ref="N873">IF($E873="","", XLOOKUP(SUMIFS(Prod_Prop!$A:$A,Prod_Prop!$B:$B,$E873,Prod_Prop!$H:$H,N$1,Prod_Prop!$I:$I,"Exacto"),Prod_Prop!$A:$A,Prod_Prop!$J:$J,"",0,1))</f>
        <v/>
      </c>
      <c r="O873" s="4" t="str">
        <f t="array" ref="O873">IF($E873="","", XLOOKUP(SUMIFS(Prod_Prop!$A:$A,Prod_Prop!$B:$B,$E873,Prod_Prop!$H:$H,O$1,Prod_Prop!$I:$I,"Exacto"),Prod_Prop!$A:$A,Prod_Prop!$J:$J,"",0,1))</f>
        <v/>
      </c>
      <c r="P873" s="4" t="str">
        <f t="array" ref="P873">IF($E873="","", XLOOKUP(SUMIFS(Prod_Prop!$A:$A,Prod_Prop!$B:$B,$E873,Prod_Prop!$H:$H,P$1,Prod_Prop!$I:$I,"Exacto"),Prod_Prop!$A:$A,Prod_Prop!$J:$J,"",0,1))</f>
        <v/>
      </c>
      <c r="Q873" s="4" t="str">
        <f t="array" ref="Q873">IF($E873="","", XLOOKUP(SUMIFS(Prod_Prop!$A:$A,Prod_Prop!$B:$B,$E873,Prod_Prop!$H:$H,Q$1,Prod_Prop!$I:$I,"Exacto"),Prod_Prop!$A:$A,Prod_Prop!$J:$J,"",0,1))</f>
        <v/>
      </c>
      <c r="R873" s="4" t="str">
        <f t="array" ref="R873">IF($E873="","", XLOOKUP(SUMIFS(Prod_Prop!$A:$A,Prod_Prop!$B:$B,$E873,Prod_Prop!$H:$H,R$1,Prod_Prop!$I:$I,"Exacto"),Prod_Prop!$A:$A,Prod_Prop!$J:$J,"",0,1))</f>
        <v/>
      </c>
      <c r="S873" s="4" t="str">
        <f t="array" ref="S873">IF($E873="","", XLOOKUP(SUMIFS(Prod_Prop!$A:$A,Prod_Prop!$B:$B,$E873,Prod_Prop!$H:$H,S$1,Prod_Prop!$I:$I,"Exacto"),Prod_Prop!$A:$A,Prod_Prop!$J:$J,"",0,1))</f>
        <v/>
      </c>
      <c r="T873" s="4" t="str">
        <f t="array" ref="T873">IF($E873="","", XLOOKUP(SUMIFS(Prod_Prop!$A:$A,Prod_Prop!$B:$B,$E873,Prod_Prop!$H:$H,T$1,Prod_Prop!$I:$I,"Exacto"),Prod_Prop!$A:$A,Prod_Prop!$J:$J,"",0,1))</f>
        <v/>
      </c>
      <c r="U873" s="4" t="str">
        <f t="array" ref="U873">IF($E873="","", XLOOKUP(SUMIFS(Prod_Prop!$A:$A,Prod_Prop!$B:$B,$E873,Prod_Prop!$H:$H,U$1,Prod_Prop!$I:$I,"Exacto"),Prod_Prop!$A:$A,Prod_Prop!$J:$J,"",0,1))</f>
        <v/>
      </c>
      <c r="V873" s="4" t="str">
        <f t="array" ref="V873">IF($E873="","", XLOOKUP(SUMIFS(Prod_Prop!$A:$A,Prod_Prop!$B:$B,$E873,Prod_Prop!$H:$H,V$1,Prod_Prop!$I:$I,"Exacto"),Prod_Prop!$A:$A,Prod_Prop!$J:$J,"",0,1))</f>
        <v/>
      </c>
      <c r="X873" s="3" t="str">
        <f>IFERROR(__xludf.DUMMYFUNCTION("IF(D873="""","""",IFERROR(TRANSPOSE(FILTER('Validaciones Cotizador'!U:U,'Validaciones Cotizador'!O:O=D873,'Validaciones Cotizador'!T:T=""x"")),""Finalizar""))"),"")</f>
        <v/>
      </c>
    </row>
    <row r="874">
      <c r="A874" s="2" t="str">
        <f t="array" ref="A874">IF(E874="","",XLOOKUP(D874,'Validaciones Cotizador'!C:C,'Validaciones Cotizador'!A:A,"",0,1))</f>
        <v/>
      </c>
      <c r="B874" s="2" t="str">
        <f t="array" ref="B874">IF(F874="","",XLOOKUP(F874,Productos!E:E,Productos!G:G,"",0,1))</f>
        <v/>
      </c>
      <c r="C874" s="2" t="str">
        <f>IF(A874="","",SUMIFS('Validaciones Cotizador'!B:B,'Validaciones Cotizador'!C:C,D874,'Validaciones Cotizador'!A:A,A874))</f>
        <v/>
      </c>
      <c r="D874" s="4" t="str">
        <f>IFERROR(__xludf.DUMMYFUNCTION("IF(OR(F873=""Finalizar"",F873="""",F873=""Selecciona..""),"""",IF(OR(F873=""-"",INDEX(filter(Familias!F:F,Familias!D:D=A873,Familias!E:E=C873),1)=""O""),D873+1,D873))"),"")</f>
        <v/>
      </c>
      <c r="E874" s="2" t="str">
        <f>IF(OR(F874="",F874="Selecciona.."),"",IF(D874="Implemento",SUMIF(Implementos!B:B,F874,Implementos!A:A),SUMIF(Productos!E:E,F874,Productos!A:A)))</f>
        <v/>
      </c>
      <c r="F874" s="2" t="str">
        <f t="shared" si="2"/>
        <v/>
      </c>
      <c r="G874" s="10" t="str">
        <f t="array" ref="G874">IF(OR(F874="",F874="-",F874="Selecciona..",F874="Finalizar"),"",IF(A874="Rodados",XLOOKUP(B874,'Validaciones Cotizador'!I:I,'Validaciones Cotizador'!J:J,0,0,1),1))</f>
        <v/>
      </c>
      <c r="H874" s="11" t="str">
        <f>IF(OR(F874="",F874="Selecciona.."),"",SUMIF(Precio_Productos!K:K,E874,Precio_Productos!J:J)*G874)</f>
        <v/>
      </c>
      <c r="I874" s="4" t="str">
        <f t="array" ref="I874">IF($E874="","", XLOOKUP(SUMIFS(Prod_Prop!$A:$A,Prod_Prop!$B:$B,$E874,Prod_Prop!$H:$H,I$1,Prod_Prop!$I:$I,"Exacto"),Prod_Prop!$A:$A,Prod_Prop!$J:$J,"",0,1))</f>
        <v/>
      </c>
      <c r="J874" s="4" t="str">
        <f t="array" ref="J874">IF($E874="","", XLOOKUP(SUMIFS(Prod_Prop!$A:$A,Prod_Prop!$B:$B,$E874,Prod_Prop!$H:$H,J$1,Prod_Prop!$I:$I,"Exacto"),Prod_Prop!$A:$A,Prod_Prop!$J:$J,"",0,1))</f>
        <v/>
      </c>
      <c r="K874" s="4" t="str">
        <f t="array" ref="K874">IF($E874="","", XLOOKUP(SUMIFS(Prod_Prop!$A:$A,Prod_Prop!$B:$B,$E874,Prod_Prop!$H:$H,K$1,Prod_Prop!$I:$I,"Exacto"),Prod_Prop!$A:$A,Prod_Prop!$J:$J,"",0,1))</f>
        <v/>
      </c>
      <c r="L874" s="4" t="str">
        <f t="array" ref="L874">IF($E874="","", XLOOKUP(SUMIFS(Prod_Prop!$A:$A,Prod_Prop!$B:$B,$E874,Prod_Prop!$H:$H,L$1,Prod_Prop!$I:$I,"Exacto"),Prod_Prop!$A:$A,Prod_Prop!$J:$J,"",0,1))</f>
        <v/>
      </c>
      <c r="M874" s="4" t="str">
        <f t="array" ref="M874">IF($E874="","", XLOOKUP(SUMIFS(Prod_Prop!$A:$A,Prod_Prop!$B:$B,$E874,Prod_Prop!$H:$H,M$1,Prod_Prop!$I:$I,"Exacto"),Prod_Prop!$A:$A,Prod_Prop!$J:$J,"",0,1))</f>
        <v/>
      </c>
      <c r="N874" s="4" t="str">
        <f t="array" ref="N874">IF($E874="","", XLOOKUP(SUMIFS(Prod_Prop!$A:$A,Prod_Prop!$B:$B,$E874,Prod_Prop!$H:$H,N$1,Prod_Prop!$I:$I,"Exacto"),Prod_Prop!$A:$A,Prod_Prop!$J:$J,"",0,1))</f>
        <v/>
      </c>
      <c r="O874" s="4" t="str">
        <f t="array" ref="O874">IF($E874="","", XLOOKUP(SUMIFS(Prod_Prop!$A:$A,Prod_Prop!$B:$B,$E874,Prod_Prop!$H:$H,O$1,Prod_Prop!$I:$I,"Exacto"),Prod_Prop!$A:$A,Prod_Prop!$J:$J,"",0,1))</f>
        <v/>
      </c>
      <c r="P874" s="4" t="str">
        <f t="array" ref="P874">IF($E874="","", XLOOKUP(SUMIFS(Prod_Prop!$A:$A,Prod_Prop!$B:$B,$E874,Prod_Prop!$H:$H,P$1,Prod_Prop!$I:$I,"Exacto"),Prod_Prop!$A:$A,Prod_Prop!$J:$J,"",0,1))</f>
        <v/>
      </c>
      <c r="Q874" s="4" t="str">
        <f t="array" ref="Q874">IF($E874="","", XLOOKUP(SUMIFS(Prod_Prop!$A:$A,Prod_Prop!$B:$B,$E874,Prod_Prop!$H:$H,Q$1,Prod_Prop!$I:$I,"Exacto"),Prod_Prop!$A:$A,Prod_Prop!$J:$J,"",0,1))</f>
        <v/>
      </c>
      <c r="R874" s="4" t="str">
        <f t="array" ref="R874">IF($E874="","", XLOOKUP(SUMIFS(Prod_Prop!$A:$A,Prod_Prop!$B:$B,$E874,Prod_Prop!$H:$H,R$1,Prod_Prop!$I:$I,"Exacto"),Prod_Prop!$A:$A,Prod_Prop!$J:$J,"",0,1))</f>
        <v/>
      </c>
      <c r="S874" s="4" t="str">
        <f t="array" ref="S874">IF($E874="","", XLOOKUP(SUMIFS(Prod_Prop!$A:$A,Prod_Prop!$B:$B,$E874,Prod_Prop!$H:$H,S$1,Prod_Prop!$I:$I,"Exacto"),Prod_Prop!$A:$A,Prod_Prop!$J:$J,"",0,1))</f>
        <v/>
      </c>
      <c r="T874" s="4" t="str">
        <f t="array" ref="T874">IF($E874="","", XLOOKUP(SUMIFS(Prod_Prop!$A:$A,Prod_Prop!$B:$B,$E874,Prod_Prop!$H:$H,T$1,Prod_Prop!$I:$I,"Exacto"),Prod_Prop!$A:$A,Prod_Prop!$J:$J,"",0,1))</f>
        <v/>
      </c>
      <c r="U874" s="4" t="str">
        <f t="array" ref="U874">IF($E874="","", XLOOKUP(SUMIFS(Prod_Prop!$A:$A,Prod_Prop!$B:$B,$E874,Prod_Prop!$H:$H,U$1,Prod_Prop!$I:$I,"Exacto"),Prod_Prop!$A:$A,Prod_Prop!$J:$J,"",0,1))</f>
        <v/>
      </c>
      <c r="V874" s="4" t="str">
        <f t="array" ref="V874">IF($E874="","", XLOOKUP(SUMIFS(Prod_Prop!$A:$A,Prod_Prop!$B:$B,$E874,Prod_Prop!$H:$H,V$1,Prod_Prop!$I:$I,"Exacto"),Prod_Prop!$A:$A,Prod_Prop!$J:$J,"",0,1))</f>
        <v/>
      </c>
      <c r="X874" s="3" t="str">
        <f>IFERROR(__xludf.DUMMYFUNCTION("IF(D874="""","""",IFERROR(TRANSPOSE(FILTER('Validaciones Cotizador'!U:U,'Validaciones Cotizador'!O:O=D874,'Validaciones Cotizador'!T:T=""x"")),""Finalizar""))"),"")</f>
        <v/>
      </c>
    </row>
    <row r="875">
      <c r="A875" s="2" t="str">
        <f t="array" ref="A875">IF(E875="","",XLOOKUP(D875,'Validaciones Cotizador'!C:C,'Validaciones Cotizador'!A:A,"",0,1))</f>
        <v/>
      </c>
      <c r="B875" s="2" t="str">
        <f t="array" ref="B875">IF(F875="","",XLOOKUP(F875,Productos!E:E,Productos!G:G,"",0,1))</f>
        <v/>
      </c>
      <c r="C875" s="2" t="str">
        <f>IF(A875="","",SUMIFS('Validaciones Cotizador'!B:B,'Validaciones Cotizador'!C:C,D875,'Validaciones Cotizador'!A:A,A875))</f>
        <v/>
      </c>
      <c r="D875" s="4" t="str">
        <f>IFERROR(__xludf.DUMMYFUNCTION("IF(OR(F874=""Finalizar"",F874="""",F874=""Selecciona..""),"""",IF(OR(F874=""-"",INDEX(filter(Familias!F:F,Familias!D:D=A874,Familias!E:E=C874),1)=""O""),D874+1,D874))"),"")</f>
        <v/>
      </c>
      <c r="E875" s="2" t="str">
        <f>IF(OR(F875="",F875="Selecciona.."),"",IF(D875="Implemento",SUMIF(Implementos!B:B,F875,Implementos!A:A),SUMIF(Productos!E:E,F875,Productos!A:A)))</f>
        <v/>
      </c>
      <c r="F875" s="2" t="str">
        <f t="shared" si="2"/>
        <v/>
      </c>
      <c r="G875" s="10" t="str">
        <f t="array" ref="G875">IF(OR(F875="",F875="-",F875="Selecciona..",F875="Finalizar"),"",IF(A875="Rodados",XLOOKUP(B875,'Validaciones Cotizador'!I:I,'Validaciones Cotizador'!J:J,0,0,1),1))</f>
        <v/>
      </c>
      <c r="H875" s="11" t="str">
        <f>IF(OR(F875="",F875="Selecciona.."),"",SUMIF(Precio_Productos!K:K,E875,Precio_Productos!J:J)*G875)</f>
        <v/>
      </c>
      <c r="I875" s="4" t="str">
        <f t="array" ref="I875">IF($E875="","", XLOOKUP(SUMIFS(Prod_Prop!$A:$A,Prod_Prop!$B:$B,$E875,Prod_Prop!$H:$H,I$1,Prod_Prop!$I:$I,"Exacto"),Prod_Prop!$A:$A,Prod_Prop!$J:$J,"",0,1))</f>
        <v/>
      </c>
      <c r="J875" s="4" t="str">
        <f t="array" ref="J875">IF($E875="","", XLOOKUP(SUMIFS(Prod_Prop!$A:$A,Prod_Prop!$B:$B,$E875,Prod_Prop!$H:$H,J$1,Prod_Prop!$I:$I,"Exacto"),Prod_Prop!$A:$A,Prod_Prop!$J:$J,"",0,1))</f>
        <v/>
      </c>
      <c r="K875" s="4" t="str">
        <f t="array" ref="K875">IF($E875="","", XLOOKUP(SUMIFS(Prod_Prop!$A:$A,Prod_Prop!$B:$B,$E875,Prod_Prop!$H:$H,K$1,Prod_Prop!$I:$I,"Exacto"),Prod_Prop!$A:$A,Prod_Prop!$J:$J,"",0,1))</f>
        <v/>
      </c>
      <c r="L875" s="4" t="str">
        <f t="array" ref="L875">IF($E875="","", XLOOKUP(SUMIFS(Prod_Prop!$A:$A,Prod_Prop!$B:$B,$E875,Prod_Prop!$H:$H,L$1,Prod_Prop!$I:$I,"Exacto"),Prod_Prop!$A:$A,Prod_Prop!$J:$J,"",0,1))</f>
        <v/>
      </c>
      <c r="M875" s="4" t="str">
        <f t="array" ref="M875">IF($E875="","", XLOOKUP(SUMIFS(Prod_Prop!$A:$A,Prod_Prop!$B:$B,$E875,Prod_Prop!$H:$H,M$1,Prod_Prop!$I:$I,"Exacto"),Prod_Prop!$A:$A,Prod_Prop!$J:$J,"",0,1))</f>
        <v/>
      </c>
      <c r="N875" s="4" t="str">
        <f t="array" ref="N875">IF($E875="","", XLOOKUP(SUMIFS(Prod_Prop!$A:$A,Prod_Prop!$B:$B,$E875,Prod_Prop!$H:$H,N$1,Prod_Prop!$I:$I,"Exacto"),Prod_Prop!$A:$A,Prod_Prop!$J:$J,"",0,1))</f>
        <v/>
      </c>
      <c r="O875" s="4" t="str">
        <f t="array" ref="O875">IF($E875="","", XLOOKUP(SUMIFS(Prod_Prop!$A:$A,Prod_Prop!$B:$B,$E875,Prod_Prop!$H:$H,O$1,Prod_Prop!$I:$I,"Exacto"),Prod_Prop!$A:$A,Prod_Prop!$J:$J,"",0,1))</f>
        <v/>
      </c>
      <c r="P875" s="4" t="str">
        <f t="array" ref="P875">IF($E875="","", XLOOKUP(SUMIFS(Prod_Prop!$A:$A,Prod_Prop!$B:$B,$E875,Prod_Prop!$H:$H,P$1,Prod_Prop!$I:$I,"Exacto"),Prod_Prop!$A:$A,Prod_Prop!$J:$J,"",0,1))</f>
        <v/>
      </c>
      <c r="Q875" s="4" t="str">
        <f t="array" ref="Q875">IF($E875="","", XLOOKUP(SUMIFS(Prod_Prop!$A:$A,Prod_Prop!$B:$B,$E875,Prod_Prop!$H:$H,Q$1,Prod_Prop!$I:$I,"Exacto"),Prod_Prop!$A:$A,Prod_Prop!$J:$J,"",0,1))</f>
        <v/>
      </c>
      <c r="R875" s="4" t="str">
        <f t="array" ref="R875">IF($E875="","", XLOOKUP(SUMIFS(Prod_Prop!$A:$A,Prod_Prop!$B:$B,$E875,Prod_Prop!$H:$H,R$1,Prod_Prop!$I:$I,"Exacto"),Prod_Prop!$A:$A,Prod_Prop!$J:$J,"",0,1))</f>
        <v/>
      </c>
      <c r="S875" s="4" t="str">
        <f t="array" ref="S875">IF($E875="","", XLOOKUP(SUMIFS(Prod_Prop!$A:$A,Prod_Prop!$B:$B,$E875,Prod_Prop!$H:$H,S$1,Prod_Prop!$I:$I,"Exacto"),Prod_Prop!$A:$A,Prod_Prop!$J:$J,"",0,1))</f>
        <v/>
      </c>
      <c r="T875" s="4" t="str">
        <f t="array" ref="T875">IF($E875="","", XLOOKUP(SUMIFS(Prod_Prop!$A:$A,Prod_Prop!$B:$B,$E875,Prod_Prop!$H:$H,T$1,Prod_Prop!$I:$I,"Exacto"),Prod_Prop!$A:$A,Prod_Prop!$J:$J,"",0,1))</f>
        <v/>
      </c>
      <c r="U875" s="4" t="str">
        <f t="array" ref="U875">IF($E875="","", XLOOKUP(SUMIFS(Prod_Prop!$A:$A,Prod_Prop!$B:$B,$E875,Prod_Prop!$H:$H,U$1,Prod_Prop!$I:$I,"Exacto"),Prod_Prop!$A:$A,Prod_Prop!$J:$J,"",0,1))</f>
        <v/>
      </c>
      <c r="V875" s="4" t="str">
        <f t="array" ref="V875">IF($E875="","", XLOOKUP(SUMIFS(Prod_Prop!$A:$A,Prod_Prop!$B:$B,$E875,Prod_Prop!$H:$H,V$1,Prod_Prop!$I:$I,"Exacto"),Prod_Prop!$A:$A,Prod_Prop!$J:$J,"",0,1))</f>
        <v/>
      </c>
      <c r="X875" s="3" t="str">
        <f>IFERROR(__xludf.DUMMYFUNCTION("IF(D875="""","""",IFERROR(TRANSPOSE(FILTER('Validaciones Cotizador'!U:U,'Validaciones Cotizador'!O:O=D875,'Validaciones Cotizador'!T:T=""x"")),""Finalizar""))"),"")</f>
        <v/>
      </c>
    </row>
    <row r="876">
      <c r="A876" s="2" t="str">
        <f t="array" ref="A876">IF(E876="","",XLOOKUP(D876,'Validaciones Cotizador'!C:C,'Validaciones Cotizador'!A:A,"",0,1))</f>
        <v/>
      </c>
      <c r="B876" s="2" t="str">
        <f t="array" ref="B876">IF(F876="","",XLOOKUP(F876,Productos!E:E,Productos!G:G,"",0,1))</f>
        <v/>
      </c>
      <c r="C876" s="2" t="str">
        <f>IF(A876="","",SUMIFS('Validaciones Cotizador'!B:B,'Validaciones Cotizador'!C:C,D876,'Validaciones Cotizador'!A:A,A876))</f>
        <v/>
      </c>
      <c r="D876" s="4" t="str">
        <f>IFERROR(__xludf.DUMMYFUNCTION("IF(OR(F875=""Finalizar"",F875="""",F875=""Selecciona..""),"""",IF(OR(F875=""-"",INDEX(filter(Familias!F:F,Familias!D:D=A875,Familias!E:E=C875),1)=""O""),D875+1,D875))"),"")</f>
        <v/>
      </c>
      <c r="E876" s="2" t="str">
        <f>IF(OR(F876="",F876="Selecciona.."),"",IF(D876="Implemento",SUMIF(Implementos!B:B,F876,Implementos!A:A),SUMIF(Productos!E:E,F876,Productos!A:A)))</f>
        <v/>
      </c>
      <c r="F876" s="2" t="str">
        <f t="shared" si="2"/>
        <v/>
      </c>
      <c r="G876" s="10" t="str">
        <f t="array" ref="G876">IF(OR(F876="",F876="-",F876="Selecciona..",F876="Finalizar"),"",IF(A876="Rodados",XLOOKUP(B876,'Validaciones Cotizador'!I:I,'Validaciones Cotizador'!J:J,0,0,1),1))</f>
        <v/>
      </c>
      <c r="H876" s="11" t="str">
        <f>IF(OR(F876="",F876="Selecciona.."),"",SUMIF(Precio_Productos!K:K,E876,Precio_Productos!J:J)*G876)</f>
        <v/>
      </c>
      <c r="I876" s="4" t="str">
        <f t="array" ref="I876">IF($E876="","", XLOOKUP(SUMIFS(Prod_Prop!$A:$A,Prod_Prop!$B:$B,$E876,Prod_Prop!$H:$H,I$1,Prod_Prop!$I:$I,"Exacto"),Prod_Prop!$A:$A,Prod_Prop!$J:$J,"",0,1))</f>
        <v/>
      </c>
      <c r="J876" s="4" t="str">
        <f t="array" ref="J876">IF($E876="","", XLOOKUP(SUMIFS(Prod_Prop!$A:$A,Prod_Prop!$B:$B,$E876,Prod_Prop!$H:$H,J$1,Prod_Prop!$I:$I,"Exacto"),Prod_Prop!$A:$A,Prod_Prop!$J:$J,"",0,1))</f>
        <v/>
      </c>
      <c r="K876" s="4" t="str">
        <f t="array" ref="K876">IF($E876="","", XLOOKUP(SUMIFS(Prod_Prop!$A:$A,Prod_Prop!$B:$B,$E876,Prod_Prop!$H:$H,K$1,Prod_Prop!$I:$I,"Exacto"),Prod_Prop!$A:$A,Prod_Prop!$J:$J,"",0,1))</f>
        <v/>
      </c>
      <c r="L876" s="4" t="str">
        <f t="array" ref="L876">IF($E876="","", XLOOKUP(SUMIFS(Prod_Prop!$A:$A,Prod_Prop!$B:$B,$E876,Prod_Prop!$H:$H,L$1,Prod_Prop!$I:$I,"Exacto"),Prod_Prop!$A:$A,Prod_Prop!$J:$J,"",0,1))</f>
        <v/>
      </c>
      <c r="M876" s="4" t="str">
        <f t="array" ref="M876">IF($E876="","", XLOOKUP(SUMIFS(Prod_Prop!$A:$A,Prod_Prop!$B:$B,$E876,Prod_Prop!$H:$H,M$1,Prod_Prop!$I:$I,"Exacto"),Prod_Prop!$A:$A,Prod_Prop!$J:$J,"",0,1))</f>
        <v/>
      </c>
      <c r="N876" s="4" t="str">
        <f t="array" ref="N876">IF($E876="","", XLOOKUP(SUMIFS(Prod_Prop!$A:$A,Prod_Prop!$B:$B,$E876,Prod_Prop!$H:$H,N$1,Prod_Prop!$I:$I,"Exacto"),Prod_Prop!$A:$A,Prod_Prop!$J:$J,"",0,1))</f>
        <v/>
      </c>
      <c r="O876" s="4" t="str">
        <f t="array" ref="O876">IF($E876="","", XLOOKUP(SUMIFS(Prod_Prop!$A:$A,Prod_Prop!$B:$B,$E876,Prod_Prop!$H:$H,O$1,Prod_Prop!$I:$I,"Exacto"),Prod_Prop!$A:$A,Prod_Prop!$J:$J,"",0,1))</f>
        <v/>
      </c>
      <c r="P876" s="4" t="str">
        <f t="array" ref="P876">IF($E876="","", XLOOKUP(SUMIFS(Prod_Prop!$A:$A,Prod_Prop!$B:$B,$E876,Prod_Prop!$H:$H,P$1,Prod_Prop!$I:$I,"Exacto"),Prod_Prop!$A:$A,Prod_Prop!$J:$J,"",0,1))</f>
        <v/>
      </c>
      <c r="Q876" s="4" t="str">
        <f t="array" ref="Q876">IF($E876="","", XLOOKUP(SUMIFS(Prod_Prop!$A:$A,Prod_Prop!$B:$B,$E876,Prod_Prop!$H:$H,Q$1,Prod_Prop!$I:$I,"Exacto"),Prod_Prop!$A:$A,Prod_Prop!$J:$J,"",0,1))</f>
        <v/>
      </c>
      <c r="R876" s="4" t="str">
        <f t="array" ref="R876">IF($E876="","", XLOOKUP(SUMIFS(Prod_Prop!$A:$A,Prod_Prop!$B:$B,$E876,Prod_Prop!$H:$H,R$1,Prod_Prop!$I:$I,"Exacto"),Prod_Prop!$A:$A,Prod_Prop!$J:$J,"",0,1))</f>
        <v/>
      </c>
      <c r="S876" s="4" t="str">
        <f t="array" ref="S876">IF($E876="","", XLOOKUP(SUMIFS(Prod_Prop!$A:$A,Prod_Prop!$B:$B,$E876,Prod_Prop!$H:$H,S$1,Prod_Prop!$I:$I,"Exacto"),Prod_Prop!$A:$A,Prod_Prop!$J:$J,"",0,1))</f>
        <v/>
      </c>
      <c r="T876" s="4" t="str">
        <f t="array" ref="T876">IF($E876="","", XLOOKUP(SUMIFS(Prod_Prop!$A:$A,Prod_Prop!$B:$B,$E876,Prod_Prop!$H:$H,T$1,Prod_Prop!$I:$I,"Exacto"),Prod_Prop!$A:$A,Prod_Prop!$J:$J,"",0,1))</f>
        <v/>
      </c>
      <c r="U876" s="4" t="str">
        <f t="array" ref="U876">IF($E876="","", XLOOKUP(SUMIFS(Prod_Prop!$A:$A,Prod_Prop!$B:$B,$E876,Prod_Prop!$H:$H,U$1,Prod_Prop!$I:$I,"Exacto"),Prod_Prop!$A:$A,Prod_Prop!$J:$J,"",0,1))</f>
        <v/>
      </c>
      <c r="V876" s="4" t="str">
        <f t="array" ref="V876">IF($E876="","", XLOOKUP(SUMIFS(Prod_Prop!$A:$A,Prod_Prop!$B:$B,$E876,Prod_Prop!$H:$H,V$1,Prod_Prop!$I:$I,"Exacto"),Prod_Prop!$A:$A,Prod_Prop!$J:$J,"",0,1))</f>
        <v/>
      </c>
      <c r="X876" s="3" t="str">
        <f>IFERROR(__xludf.DUMMYFUNCTION("IF(D876="""","""",IFERROR(TRANSPOSE(FILTER('Validaciones Cotizador'!U:U,'Validaciones Cotizador'!O:O=D876,'Validaciones Cotizador'!T:T=""x"")),""Finalizar""))"),"")</f>
        <v/>
      </c>
    </row>
    <row r="877">
      <c r="A877" s="2" t="str">
        <f t="array" ref="A877">IF(E877="","",XLOOKUP(D877,'Validaciones Cotizador'!C:C,'Validaciones Cotizador'!A:A,"",0,1))</f>
        <v/>
      </c>
      <c r="B877" s="2" t="str">
        <f t="array" ref="B877">IF(F877="","",XLOOKUP(F877,Productos!E:E,Productos!G:G,"",0,1))</f>
        <v/>
      </c>
      <c r="C877" s="2" t="str">
        <f>IF(A877="","",SUMIFS('Validaciones Cotizador'!B:B,'Validaciones Cotizador'!C:C,D877,'Validaciones Cotizador'!A:A,A877))</f>
        <v/>
      </c>
      <c r="D877" s="4" t="str">
        <f>IFERROR(__xludf.DUMMYFUNCTION("IF(OR(F876=""Finalizar"",F876="""",F876=""Selecciona..""),"""",IF(OR(F876=""-"",INDEX(filter(Familias!F:F,Familias!D:D=A876,Familias!E:E=C876),1)=""O""),D876+1,D876))"),"")</f>
        <v/>
      </c>
      <c r="E877" s="2" t="str">
        <f>IF(OR(F877="",F877="Selecciona.."),"",IF(D877="Implemento",SUMIF(Implementos!B:B,F877,Implementos!A:A),SUMIF(Productos!E:E,F877,Productos!A:A)))</f>
        <v/>
      </c>
      <c r="F877" s="2" t="str">
        <f t="shared" si="2"/>
        <v/>
      </c>
      <c r="G877" s="10" t="str">
        <f t="array" ref="G877">IF(OR(F877="",F877="-",F877="Selecciona..",F877="Finalizar"),"",IF(A877="Rodados",XLOOKUP(B877,'Validaciones Cotizador'!I:I,'Validaciones Cotizador'!J:J,0,0,1),1))</f>
        <v/>
      </c>
      <c r="H877" s="11" t="str">
        <f>IF(OR(F877="",F877="Selecciona.."),"",SUMIF(Precio_Productos!K:K,E877,Precio_Productos!J:J)*G877)</f>
        <v/>
      </c>
      <c r="I877" s="4" t="str">
        <f t="array" ref="I877">IF($E877="","", XLOOKUP(SUMIFS(Prod_Prop!$A:$A,Prod_Prop!$B:$B,$E877,Prod_Prop!$H:$H,I$1,Prod_Prop!$I:$I,"Exacto"),Prod_Prop!$A:$A,Prod_Prop!$J:$J,"",0,1))</f>
        <v/>
      </c>
      <c r="J877" s="4" t="str">
        <f t="array" ref="J877">IF($E877="","", XLOOKUP(SUMIFS(Prod_Prop!$A:$A,Prod_Prop!$B:$B,$E877,Prod_Prop!$H:$H,J$1,Prod_Prop!$I:$I,"Exacto"),Prod_Prop!$A:$A,Prod_Prop!$J:$J,"",0,1))</f>
        <v/>
      </c>
      <c r="K877" s="4" t="str">
        <f t="array" ref="K877">IF($E877="","", XLOOKUP(SUMIFS(Prod_Prop!$A:$A,Prod_Prop!$B:$B,$E877,Prod_Prop!$H:$H,K$1,Prod_Prop!$I:$I,"Exacto"),Prod_Prop!$A:$A,Prod_Prop!$J:$J,"",0,1))</f>
        <v/>
      </c>
      <c r="L877" s="4" t="str">
        <f t="array" ref="L877">IF($E877="","", XLOOKUP(SUMIFS(Prod_Prop!$A:$A,Prod_Prop!$B:$B,$E877,Prod_Prop!$H:$H,L$1,Prod_Prop!$I:$I,"Exacto"),Prod_Prop!$A:$A,Prod_Prop!$J:$J,"",0,1))</f>
        <v/>
      </c>
      <c r="M877" s="4" t="str">
        <f t="array" ref="M877">IF($E877="","", XLOOKUP(SUMIFS(Prod_Prop!$A:$A,Prod_Prop!$B:$B,$E877,Prod_Prop!$H:$H,M$1,Prod_Prop!$I:$I,"Exacto"),Prod_Prop!$A:$A,Prod_Prop!$J:$J,"",0,1))</f>
        <v/>
      </c>
      <c r="N877" s="4" t="str">
        <f t="array" ref="N877">IF($E877="","", XLOOKUP(SUMIFS(Prod_Prop!$A:$A,Prod_Prop!$B:$B,$E877,Prod_Prop!$H:$H,N$1,Prod_Prop!$I:$I,"Exacto"),Prod_Prop!$A:$A,Prod_Prop!$J:$J,"",0,1))</f>
        <v/>
      </c>
      <c r="O877" s="4" t="str">
        <f t="array" ref="O877">IF($E877="","", XLOOKUP(SUMIFS(Prod_Prop!$A:$A,Prod_Prop!$B:$B,$E877,Prod_Prop!$H:$H,O$1,Prod_Prop!$I:$I,"Exacto"),Prod_Prop!$A:$A,Prod_Prop!$J:$J,"",0,1))</f>
        <v/>
      </c>
      <c r="P877" s="4" t="str">
        <f t="array" ref="P877">IF($E877="","", XLOOKUP(SUMIFS(Prod_Prop!$A:$A,Prod_Prop!$B:$B,$E877,Prod_Prop!$H:$H,P$1,Prod_Prop!$I:$I,"Exacto"),Prod_Prop!$A:$A,Prod_Prop!$J:$J,"",0,1))</f>
        <v/>
      </c>
      <c r="Q877" s="4" t="str">
        <f t="array" ref="Q877">IF($E877="","", XLOOKUP(SUMIFS(Prod_Prop!$A:$A,Prod_Prop!$B:$B,$E877,Prod_Prop!$H:$H,Q$1,Prod_Prop!$I:$I,"Exacto"),Prod_Prop!$A:$A,Prod_Prop!$J:$J,"",0,1))</f>
        <v/>
      </c>
      <c r="R877" s="4" t="str">
        <f t="array" ref="R877">IF($E877="","", XLOOKUP(SUMIFS(Prod_Prop!$A:$A,Prod_Prop!$B:$B,$E877,Prod_Prop!$H:$H,R$1,Prod_Prop!$I:$I,"Exacto"),Prod_Prop!$A:$A,Prod_Prop!$J:$J,"",0,1))</f>
        <v/>
      </c>
      <c r="S877" s="4" t="str">
        <f t="array" ref="S877">IF($E877="","", XLOOKUP(SUMIFS(Prod_Prop!$A:$A,Prod_Prop!$B:$B,$E877,Prod_Prop!$H:$H,S$1,Prod_Prop!$I:$I,"Exacto"),Prod_Prop!$A:$A,Prod_Prop!$J:$J,"",0,1))</f>
        <v/>
      </c>
      <c r="T877" s="4" t="str">
        <f t="array" ref="T877">IF($E877="","", XLOOKUP(SUMIFS(Prod_Prop!$A:$A,Prod_Prop!$B:$B,$E877,Prod_Prop!$H:$H,T$1,Prod_Prop!$I:$I,"Exacto"),Prod_Prop!$A:$A,Prod_Prop!$J:$J,"",0,1))</f>
        <v/>
      </c>
      <c r="U877" s="4" t="str">
        <f t="array" ref="U877">IF($E877="","", XLOOKUP(SUMIFS(Prod_Prop!$A:$A,Prod_Prop!$B:$B,$E877,Prod_Prop!$H:$H,U$1,Prod_Prop!$I:$I,"Exacto"),Prod_Prop!$A:$A,Prod_Prop!$J:$J,"",0,1))</f>
        <v/>
      </c>
      <c r="V877" s="4" t="str">
        <f t="array" ref="V877">IF($E877="","", XLOOKUP(SUMIFS(Prod_Prop!$A:$A,Prod_Prop!$B:$B,$E877,Prod_Prop!$H:$H,V$1,Prod_Prop!$I:$I,"Exacto"),Prod_Prop!$A:$A,Prod_Prop!$J:$J,"",0,1))</f>
        <v/>
      </c>
      <c r="X877" s="3" t="str">
        <f>IFERROR(__xludf.DUMMYFUNCTION("IF(D877="""","""",IFERROR(TRANSPOSE(FILTER('Validaciones Cotizador'!U:U,'Validaciones Cotizador'!O:O=D877,'Validaciones Cotizador'!T:T=""x"")),""Finalizar""))"),"")</f>
        <v/>
      </c>
    </row>
    <row r="878">
      <c r="A878" s="2" t="str">
        <f t="array" ref="A878">IF(E878="","",XLOOKUP(D878,'Validaciones Cotizador'!C:C,'Validaciones Cotizador'!A:A,"",0,1))</f>
        <v/>
      </c>
      <c r="B878" s="2" t="str">
        <f t="array" ref="B878">IF(F878="","",XLOOKUP(F878,Productos!E:E,Productos!G:G,"",0,1))</f>
        <v/>
      </c>
      <c r="C878" s="2" t="str">
        <f>IF(A878="","",SUMIFS('Validaciones Cotizador'!B:B,'Validaciones Cotizador'!C:C,D878,'Validaciones Cotizador'!A:A,A878))</f>
        <v/>
      </c>
      <c r="D878" s="4" t="str">
        <f>IFERROR(__xludf.DUMMYFUNCTION("IF(OR(F877=""Finalizar"",F877="""",F877=""Selecciona..""),"""",IF(OR(F877=""-"",INDEX(filter(Familias!F:F,Familias!D:D=A877,Familias!E:E=C877),1)=""O""),D877+1,D877))"),"")</f>
        <v/>
      </c>
      <c r="E878" s="2" t="str">
        <f>IF(OR(F878="",F878="Selecciona.."),"",IF(D878="Implemento",SUMIF(Implementos!B:B,F878,Implementos!A:A),SUMIF(Productos!E:E,F878,Productos!A:A)))</f>
        <v/>
      </c>
      <c r="F878" s="2" t="str">
        <f t="shared" si="2"/>
        <v/>
      </c>
      <c r="G878" s="10" t="str">
        <f t="array" ref="G878">IF(OR(F878="",F878="-",F878="Selecciona..",F878="Finalizar"),"",IF(A878="Rodados",XLOOKUP(B878,'Validaciones Cotizador'!I:I,'Validaciones Cotizador'!J:J,0,0,1),1))</f>
        <v/>
      </c>
      <c r="H878" s="11" t="str">
        <f>IF(OR(F878="",F878="Selecciona.."),"",SUMIF(Precio_Productos!K:K,E878,Precio_Productos!J:J)*G878)</f>
        <v/>
      </c>
      <c r="I878" s="4" t="str">
        <f t="array" ref="I878">IF($E878="","", XLOOKUP(SUMIFS(Prod_Prop!$A:$A,Prod_Prop!$B:$B,$E878,Prod_Prop!$H:$H,I$1,Prod_Prop!$I:$I,"Exacto"),Prod_Prop!$A:$A,Prod_Prop!$J:$J,"",0,1))</f>
        <v/>
      </c>
      <c r="J878" s="4" t="str">
        <f t="array" ref="J878">IF($E878="","", XLOOKUP(SUMIFS(Prod_Prop!$A:$A,Prod_Prop!$B:$B,$E878,Prod_Prop!$H:$H,J$1,Prod_Prop!$I:$I,"Exacto"),Prod_Prop!$A:$A,Prod_Prop!$J:$J,"",0,1))</f>
        <v/>
      </c>
      <c r="K878" s="4" t="str">
        <f t="array" ref="K878">IF($E878="","", XLOOKUP(SUMIFS(Prod_Prop!$A:$A,Prod_Prop!$B:$B,$E878,Prod_Prop!$H:$H,K$1,Prod_Prop!$I:$I,"Exacto"),Prod_Prop!$A:$A,Prod_Prop!$J:$J,"",0,1))</f>
        <v/>
      </c>
      <c r="L878" s="4" t="str">
        <f t="array" ref="L878">IF($E878="","", XLOOKUP(SUMIFS(Prod_Prop!$A:$A,Prod_Prop!$B:$B,$E878,Prod_Prop!$H:$H,L$1,Prod_Prop!$I:$I,"Exacto"),Prod_Prop!$A:$A,Prod_Prop!$J:$J,"",0,1))</f>
        <v/>
      </c>
      <c r="M878" s="4" t="str">
        <f t="array" ref="M878">IF($E878="","", XLOOKUP(SUMIFS(Prod_Prop!$A:$A,Prod_Prop!$B:$B,$E878,Prod_Prop!$H:$H,M$1,Prod_Prop!$I:$I,"Exacto"),Prod_Prop!$A:$A,Prod_Prop!$J:$J,"",0,1))</f>
        <v/>
      </c>
      <c r="N878" s="4" t="str">
        <f t="array" ref="N878">IF($E878="","", XLOOKUP(SUMIFS(Prod_Prop!$A:$A,Prod_Prop!$B:$B,$E878,Prod_Prop!$H:$H,N$1,Prod_Prop!$I:$I,"Exacto"),Prod_Prop!$A:$A,Prod_Prop!$J:$J,"",0,1))</f>
        <v/>
      </c>
      <c r="O878" s="4" t="str">
        <f t="array" ref="O878">IF($E878="","", XLOOKUP(SUMIFS(Prod_Prop!$A:$A,Prod_Prop!$B:$B,$E878,Prod_Prop!$H:$H,O$1,Prod_Prop!$I:$I,"Exacto"),Prod_Prop!$A:$A,Prod_Prop!$J:$J,"",0,1))</f>
        <v/>
      </c>
      <c r="P878" s="4" t="str">
        <f t="array" ref="P878">IF($E878="","", XLOOKUP(SUMIFS(Prod_Prop!$A:$A,Prod_Prop!$B:$B,$E878,Prod_Prop!$H:$H,P$1,Prod_Prop!$I:$I,"Exacto"),Prod_Prop!$A:$A,Prod_Prop!$J:$J,"",0,1))</f>
        <v/>
      </c>
      <c r="Q878" s="4" t="str">
        <f t="array" ref="Q878">IF($E878="","", XLOOKUP(SUMIFS(Prod_Prop!$A:$A,Prod_Prop!$B:$B,$E878,Prod_Prop!$H:$H,Q$1,Prod_Prop!$I:$I,"Exacto"),Prod_Prop!$A:$A,Prod_Prop!$J:$J,"",0,1))</f>
        <v/>
      </c>
      <c r="R878" s="4" t="str">
        <f t="array" ref="R878">IF($E878="","", XLOOKUP(SUMIFS(Prod_Prop!$A:$A,Prod_Prop!$B:$B,$E878,Prod_Prop!$H:$H,R$1,Prod_Prop!$I:$I,"Exacto"),Prod_Prop!$A:$A,Prod_Prop!$J:$J,"",0,1))</f>
        <v/>
      </c>
      <c r="S878" s="4" t="str">
        <f t="array" ref="S878">IF($E878="","", XLOOKUP(SUMIFS(Prod_Prop!$A:$A,Prod_Prop!$B:$B,$E878,Prod_Prop!$H:$H,S$1,Prod_Prop!$I:$I,"Exacto"),Prod_Prop!$A:$A,Prod_Prop!$J:$J,"",0,1))</f>
        <v/>
      </c>
      <c r="T878" s="4" t="str">
        <f t="array" ref="T878">IF($E878="","", XLOOKUP(SUMIFS(Prod_Prop!$A:$A,Prod_Prop!$B:$B,$E878,Prod_Prop!$H:$H,T$1,Prod_Prop!$I:$I,"Exacto"),Prod_Prop!$A:$A,Prod_Prop!$J:$J,"",0,1))</f>
        <v/>
      </c>
      <c r="U878" s="4" t="str">
        <f t="array" ref="U878">IF($E878="","", XLOOKUP(SUMIFS(Prod_Prop!$A:$A,Prod_Prop!$B:$B,$E878,Prod_Prop!$H:$H,U$1,Prod_Prop!$I:$I,"Exacto"),Prod_Prop!$A:$A,Prod_Prop!$J:$J,"",0,1))</f>
        <v/>
      </c>
      <c r="V878" s="4" t="str">
        <f t="array" ref="V878">IF($E878="","", XLOOKUP(SUMIFS(Prod_Prop!$A:$A,Prod_Prop!$B:$B,$E878,Prod_Prop!$H:$H,V$1,Prod_Prop!$I:$I,"Exacto"),Prod_Prop!$A:$A,Prod_Prop!$J:$J,"",0,1))</f>
        <v/>
      </c>
      <c r="X878" s="3" t="str">
        <f>IFERROR(__xludf.DUMMYFUNCTION("IF(D878="""","""",IFERROR(TRANSPOSE(FILTER('Validaciones Cotizador'!U:U,'Validaciones Cotizador'!O:O=D878,'Validaciones Cotizador'!T:T=""x"")),""Finalizar""))"),"")</f>
        <v/>
      </c>
    </row>
    <row r="879">
      <c r="A879" s="2" t="str">
        <f t="array" ref="A879">IF(E879="","",XLOOKUP(D879,'Validaciones Cotizador'!C:C,'Validaciones Cotizador'!A:A,"",0,1))</f>
        <v/>
      </c>
      <c r="B879" s="2" t="str">
        <f t="array" ref="B879">IF(F879="","",XLOOKUP(F879,Productos!E:E,Productos!G:G,"",0,1))</f>
        <v/>
      </c>
      <c r="C879" s="2" t="str">
        <f>IF(A879="","",SUMIFS('Validaciones Cotizador'!B:B,'Validaciones Cotizador'!C:C,D879,'Validaciones Cotizador'!A:A,A879))</f>
        <v/>
      </c>
      <c r="D879" s="4" t="str">
        <f>IFERROR(__xludf.DUMMYFUNCTION("IF(OR(F878=""Finalizar"",F878="""",F878=""Selecciona..""),"""",IF(OR(F878=""-"",INDEX(filter(Familias!F:F,Familias!D:D=A878,Familias!E:E=C878),1)=""O""),D878+1,D878))"),"")</f>
        <v/>
      </c>
      <c r="E879" s="2" t="str">
        <f>IF(OR(F879="",F879="Selecciona.."),"",IF(D879="Implemento",SUMIF(Implementos!B:B,F879,Implementos!A:A),SUMIF(Productos!E:E,F879,Productos!A:A)))</f>
        <v/>
      </c>
      <c r="F879" s="2" t="str">
        <f t="shared" si="2"/>
        <v/>
      </c>
      <c r="G879" s="10" t="str">
        <f t="array" ref="G879">IF(OR(F879="",F879="-",F879="Selecciona..",F879="Finalizar"),"",IF(A879="Rodados",XLOOKUP(B879,'Validaciones Cotizador'!I:I,'Validaciones Cotizador'!J:J,0,0,1),1))</f>
        <v/>
      </c>
      <c r="H879" s="11" t="str">
        <f>IF(OR(F879="",F879="Selecciona.."),"",SUMIF(Precio_Productos!K:K,E879,Precio_Productos!J:J)*G879)</f>
        <v/>
      </c>
      <c r="I879" s="4" t="str">
        <f t="array" ref="I879">IF($E879="","", XLOOKUP(SUMIFS(Prod_Prop!$A:$A,Prod_Prop!$B:$B,$E879,Prod_Prop!$H:$H,I$1,Prod_Prop!$I:$I,"Exacto"),Prod_Prop!$A:$A,Prod_Prop!$J:$J,"",0,1))</f>
        <v/>
      </c>
      <c r="J879" s="4" t="str">
        <f t="array" ref="J879">IF($E879="","", XLOOKUP(SUMIFS(Prod_Prop!$A:$A,Prod_Prop!$B:$B,$E879,Prod_Prop!$H:$H,J$1,Prod_Prop!$I:$I,"Exacto"),Prod_Prop!$A:$A,Prod_Prop!$J:$J,"",0,1))</f>
        <v/>
      </c>
      <c r="K879" s="4" t="str">
        <f t="array" ref="K879">IF($E879="","", XLOOKUP(SUMIFS(Prod_Prop!$A:$A,Prod_Prop!$B:$B,$E879,Prod_Prop!$H:$H,K$1,Prod_Prop!$I:$I,"Exacto"),Prod_Prop!$A:$A,Prod_Prop!$J:$J,"",0,1))</f>
        <v/>
      </c>
      <c r="L879" s="4" t="str">
        <f t="array" ref="L879">IF($E879="","", XLOOKUP(SUMIFS(Prod_Prop!$A:$A,Prod_Prop!$B:$B,$E879,Prod_Prop!$H:$H,L$1,Prod_Prop!$I:$I,"Exacto"),Prod_Prop!$A:$A,Prod_Prop!$J:$J,"",0,1))</f>
        <v/>
      </c>
      <c r="M879" s="4" t="str">
        <f t="array" ref="M879">IF($E879="","", XLOOKUP(SUMIFS(Prod_Prop!$A:$A,Prod_Prop!$B:$B,$E879,Prod_Prop!$H:$H,M$1,Prod_Prop!$I:$I,"Exacto"),Prod_Prop!$A:$A,Prod_Prop!$J:$J,"",0,1))</f>
        <v/>
      </c>
      <c r="N879" s="4" t="str">
        <f t="array" ref="N879">IF($E879="","", XLOOKUP(SUMIFS(Prod_Prop!$A:$A,Prod_Prop!$B:$B,$E879,Prod_Prop!$H:$H,N$1,Prod_Prop!$I:$I,"Exacto"),Prod_Prop!$A:$A,Prod_Prop!$J:$J,"",0,1))</f>
        <v/>
      </c>
      <c r="O879" s="4" t="str">
        <f t="array" ref="O879">IF($E879="","", XLOOKUP(SUMIFS(Prod_Prop!$A:$A,Prod_Prop!$B:$B,$E879,Prod_Prop!$H:$H,O$1,Prod_Prop!$I:$I,"Exacto"),Prod_Prop!$A:$A,Prod_Prop!$J:$J,"",0,1))</f>
        <v/>
      </c>
      <c r="P879" s="4" t="str">
        <f t="array" ref="P879">IF($E879="","", XLOOKUP(SUMIFS(Prod_Prop!$A:$A,Prod_Prop!$B:$B,$E879,Prod_Prop!$H:$H,P$1,Prod_Prop!$I:$I,"Exacto"),Prod_Prop!$A:$A,Prod_Prop!$J:$J,"",0,1))</f>
        <v/>
      </c>
      <c r="Q879" s="4" t="str">
        <f t="array" ref="Q879">IF($E879="","", XLOOKUP(SUMIFS(Prod_Prop!$A:$A,Prod_Prop!$B:$B,$E879,Prod_Prop!$H:$H,Q$1,Prod_Prop!$I:$I,"Exacto"),Prod_Prop!$A:$A,Prod_Prop!$J:$J,"",0,1))</f>
        <v/>
      </c>
      <c r="R879" s="4" t="str">
        <f t="array" ref="R879">IF($E879="","", XLOOKUP(SUMIFS(Prod_Prop!$A:$A,Prod_Prop!$B:$B,$E879,Prod_Prop!$H:$H,R$1,Prod_Prop!$I:$I,"Exacto"),Prod_Prop!$A:$A,Prod_Prop!$J:$J,"",0,1))</f>
        <v/>
      </c>
      <c r="S879" s="4" t="str">
        <f t="array" ref="S879">IF($E879="","", XLOOKUP(SUMIFS(Prod_Prop!$A:$A,Prod_Prop!$B:$B,$E879,Prod_Prop!$H:$H,S$1,Prod_Prop!$I:$I,"Exacto"),Prod_Prop!$A:$A,Prod_Prop!$J:$J,"",0,1))</f>
        <v/>
      </c>
      <c r="T879" s="4" t="str">
        <f t="array" ref="T879">IF($E879="","", XLOOKUP(SUMIFS(Prod_Prop!$A:$A,Prod_Prop!$B:$B,$E879,Prod_Prop!$H:$H,T$1,Prod_Prop!$I:$I,"Exacto"),Prod_Prop!$A:$A,Prod_Prop!$J:$J,"",0,1))</f>
        <v/>
      </c>
      <c r="U879" s="4" t="str">
        <f t="array" ref="U879">IF($E879="","", XLOOKUP(SUMIFS(Prod_Prop!$A:$A,Prod_Prop!$B:$B,$E879,Prod_Prop!$H:$H,U$1,Prod_Prop!$I:$I,"Exacto"),Prod_Prop!$A:$A,Prod_Prop!$J:$J,"",0,1))</f>
        <v/>
      </c>
      <c r="V879" s="4" t="str">
        <f t="array" ref="V879">IF($E879="","", XLOOKUP(SUMIFS(Prod_Prop!$A:$A,Prod_Prop!$B:$B,$E879,Prod_Prop!$H:$H,V$1,Prod_Prop!$I:$I,"Exacto"),Prod_Prop!$A:$A,Prod_Prop!$J:$J,"",0,1))</f>
        <v/>
      </c>
      <c r="X879" s="3" t="str">
        <f>IFERROR(__xludf.DUMMYFUNCTION("IF(D879="""","""",IFERROR(TRANSPOSE(FILTER('Validaciones Cotizador'!U:U,'Validaciones Cotizador'!O:O=D879,'Validaciones Cotizador'!T:T=""x"")),""Finalizar""))"),"")</f>
        <v/>
      </c>
    </row>
    <row r="880">
      <c r="A880" s="2" t="str">
        <f t="array" ref="A880">IF(E880="","",XLOOKUP(D880,'Validaciones Cotizador'!C:C,'Validaciones Cotizador'!A:A,"",0,1))</f>
        <v/>
      </c>
      <c r="B880" s="2" t="str">
        <f t="array" ref="B880">IF(F880="","",XLOOKUP(F880,Productos!E:E,Productos!G:G,"",0,1))</f>
        <v/>
      </c>
      <c r="C880" s="2" t="str">
        <f>IF(A880="","",SUMIFS('Validaciones Cotizador'!B:B,'Validaciones Cotizador'!C:C,D880,'Validaciones Cotizador'!A:A,A880))</f>
        <v/>
      </c>
      <c r="D880" s="4" t="str">
        <f>IFERROR(__xludf.DUMMYFUNCTION("IF(OR(F879=""Finalizar"",F879="""",F879=""Selecciona..""),"""",IF(OR(F879=""-"",INDEX(filter(Familias!F:F,Familias!D:D=A879,Familias!E:E=C879),1)=""O""),D879+1,D879))"),"")</f>
        <v/>
      </c>
      <c r="E880" s="2" t="str">
        <f>IF(OR(F880="",F880="Selecciona.."),"",IF(D880="Implemento",SUMIF(Implementos!B:B,F880,Implementos!A:A),SUMIF(Productos!E:E,F880,Productos!A:A)))</f>
        <v/>
      </c>
      <c r="F880" s="2" t="str">
        <f t="shared" si="2"/>
        <v/>
      </c>
      <c r="G880" s="10" t="str">
        <f t="array" ref="G880">IF(OR(F880="",F880="-",F880="Selecciona..",F880="Finalizar"),"",IF(A880="Rodados",XLOOKUP(B880,'Validaciones Cotizador'!I:I,'Validaciones Cotizador'!J:J,0,0,1),1))</f>
        <v/>
      </c>
      <c r="H880" s="11" t="str">
        <f>IF(OR(F880="",F880="Selecciona.."),"",SUMIF(Precio_Productos!K:K,E880,Precio_Productos!J:J)*G880)</f>
        <v/>
      </c>
      <c r="I880" s="4" t="str">
        <f t="array" ref="I880">IF($E880="","", XLOOKUP(SUMIFS(Prod_Prop!$A:$A,Prod_Prop!$B:$B,$E880,Prod_Prop!$H:$H,I$1,Prod_Prop!$I:$I,"Exacto"),Prod_Prop!$A:$A,Prod_Prop!$J:$J,"",0,1))</f>
        <v/>
      </c>
      <c r="J880" s="4" t="str">
        <f t="array" ref="J880">IF($E880="","", XLOOKUP(SUMIFS(Prod_Prop!$A:$A,Prod_Prop!$B:$B,$E880,Prod_Prop!$H:$H,J$1,Prod_Prop!$I:$I,"Exacto"),Prod_Prop!$A:$A,Prod_Prop!$J:$J,"",0,1))</f>
        <v/>
      </c>
      <c r="K880" s="4" t="str">
        <f t="array" ref="K880">IF($E880="","", XLOOKUP(SUMIFS(Prod_Prop!$A:$A,Prod_Prop!$B:$B,$E880,Prod_Prop!$H:$H,K$1,Prod_Prop!$I:$I,"Exacto"),Prod_Prop!$A:$A,Prod_Prop!$J:$J,"",0,1))</f>
        <v/>
      </c>
      <c r="L880" s="4" t="str">
        <f t="array" ref="L880">IF($E880="","", XLOOKUP(SUMIFS(Prod_Prop!$A:$A,Prod_Prop!$B:$B,$E880,Prod_Prop!$H:$H,L$1,Prod_Prop!$I:$I,"Exacto"),Prod_Prop!$A:$A,Prod_Prop!$J:$J,"",0,1))</f>
        <v/>
      </c>
      <c r="M880" s="4" t="str">
        <f t="array" ref="M880">IF($E880="","", XLOOKUP(SUMIFS(Prod_Prop!$A:$A,Prod_Prop!$B:$B,$E880,Prod_Prop!$H:$H,M$1,Prod_Prop!$I:$I,"Exacto"),Prod_Prop!$A:$A,Prod_Prop!$J:$J,"",0,1))</f>
        <v/>
      </c>
      <c r="N880" s="4" t="str">
        <f t="array" ref="N880">IF($E880="","", XLOOKUP(SUMIFS(Prod_Prop!$A:$A,Prod_Prop!$B:$B,$E880,Prod_Prop!$H:$H,N$1,Prod_Prop!$I:$I,"Exacto"),Prod_Prop!$A:$A,Prod_Prop!$J:$J,"",0,1))</f>
        <v/>
      </c>
      <c r="O880" s="4" t="str">
        <f t="array" ref="O880">IF($E880="","", XLOOKUP(SUMIFS(Prod_Prop!$A:$A,Prod_Prop!$B:$B,$E880,Prod_Prop!$H:$H,O$1,Prod_Prop!$I:$I,"Exacto"),Prod_Prop!$A:$A,Prod_Prop!$J:$J,"",0,1))</f>
        <v/>
      </c>
      <c r="P880" s="4" t="str">
        <f t="array" ref="P880">IF($E880="","", XLOOKUP(SUMIFS(Prod_Prop!$A:$A,Prod_Prop!$B:$B,$E880,Prod_Prop!$H:$H,P$1,Prod_Prop!$I:$I,"Exacto"),Prod_Prop!$A:$A,Prod_Prop!$J:$J,"",0,1))</f>
        <v/>
      </c>
      <c r="Q880" s="4" t="str">
        <f t="array" ref="Q880">IF($E880="","", XLOOKUP(SUMIFS(Prod_Prop!$A:$A,Prod_Prop!$B:$B,$E880,Prod_Prop!$H:$H,Q$1,Prod_Prop!$I:$I,"Exacto"),Prod_Prop!$A:$A,Prod_Prop!$J:$J,"",0,1))</f>
        <v/>
      </c>
      <c r="R880" s="4" t="str">
        <f t="array" ref="R880">IF($E880="","", XLOOKUP(SUMIFS(Prod_Prop!$A:$A,Prod_Prop!$B:$B,$E880,Prod_Prop!$H:$H,R$1,Prod_Prop!$I:$I,"Exacto"),Prod_Prop!$A:$A,Prod_Prop!$J:$J,"",0,1))</f>
        <v/>
      </c>
      <c r="S880" s="4" t="str">
        <f t="array" ref="S880">IF($E880="","", XLOOKUP(SUMIFS(Prod_Prop!$A:$A,Prod_Prop!$B:$B,$E880,Prod_Prop!$H:$H,S$1,Prod_Prop!$I:$I,"Exacto"),Prod_Prop!$A:$A,Prod_Prop!$J:$J,"",0,1))</f>
        <v/>
      </c>
      <c r="T880" s="4" t="str">
        <f t="array" ref="T880">IF($E880="","", XLOOKUP(SUMIFS(Prod_Prop!$A:$A,Prod_Prop!$B:$B,$E880,Prod_Prop!$H:$H,T$1,Prod_Prop!$I:$I,"Exacto"),Prod_Prop!$A:$A,Prod_Prop!$J:$J,"",0,1))</f>
        <v/>
      </c>
      <c r="U880" s="4" t="str">
        <f t="array" ref="U880">IF($E880="","", XLOOKUP(SUMIFS(Prod_Prop!$A:$A,Prod_Prop!$B:$B,$E880,Prod_Prop!$H:$H,U$1,Prod_Prop!$I:$I,"Exacto"),Prod_Prop!$A:$A,Prod_Prop!$J:$J,"",0,1))</f>
        <v/>
      </c>
      <c r="V880" s="4" t="str">
        <f t="array" ref="V880">IF($E880="","", XLOOKUP(SUMIFS(Prod_Prop!$A:$A,Prod_Prop!$B:$B,$E880,Prod_Prop!$H:$H,V$1,Prod_Prop!$I:$I,"Exacto"),Prod_Prop!$A:$A,Prod_Prop!$J:$J,"",0,1))</f>
        <v/>
      </c>
      <c r="X880" s="3" t="str">
        <f>IFERROR(__xludf.DUMMYFUNCTION("IF(D880="""","""",IFERROR(TRANSPOSE(FILTER('Validaciones Cotizador'!U:U,'Validaciones Cotizador'!O:O=D880,'Validaciones Cotizador'!T:T=""x"")),""Finalizar""))"),"")</f>
        <v/>
      </c>
    </row>
    <row r="881">
      <c r="A881" s="2" t="str">
        <f t="array" ref="A881">IF(E881="","",XLOOKUP(D881,'Validaciones Cotizador'!C:C,'Validaciones Cotizador'!A:A,"",0,1))</f>
        <v/>
      </c>
      <c r="B881" s="2" t="str">
        <f t="array" ref="B881">IF(F881="","",XLOOKUP(F881,Productos!E:E,Productos!G:G,"",0,1))</f>
        <v/>
      </c>
      <c r="C881" s="2" t="str">
        <f>IF(A881="","",SUMIFS('Validaciones Cotizador'!B:B,'Validaciones Cotizador'!C:C,D881,'Validaciones Cotizador'!A:A,A881))</f>
        <v/>
      </c>
      <c r="D881" s="4" t="str">
        <f>IFERROR(__xludf.DUMMYFUNCTION("IF(OR(F880=""Finalizar"",F880="""",F880=""Selecciona..""),"""",IF(OR(F880=""-"",INDEX(filter(Familias!F:F,Familias!D:D=A880,Familias!E:E=C880),1)=""O""),D880+1,D880))"),"")</f>
        <v/>
      </c>
      <c r="E881" s="2" t="str">
        <f>IF(OR(F881="",F881="Selecciona.."),"",IF(D881="Implemento",SUMIF(Implementos!B:B,F881,Implementos!A:A),SUMIF(Productos!E:E,F881,Productos!A:A)))</f>
        <v/>
      </c>
      <c r="F881" s="2" t="str">
        <f t="shared" si="2"/>
        <v/>
      </c>
      <c r="G881" s="10" t="str">
        <f t="array" ref="G881">IF(OR(F881="",F881="-",F881="Selecciona..",F881="Finalizar"),"",IF(A881="Rodados",XLOOKUP(B881,'Validaciones Cotizador'!I:I,'Validaciones Cotizador'!J:J,0,0,1),1))</f>
        <v/>
      </c>
      <c r="H881" s="11" t="str">
        <f>IF(OR(F881="",F881="Selecciona.."),"",SUMIF(Precio_Productos!K:K,E881,Precio_Productos!J:J)*G881)</f>
        <v/>
      </c>
      <c r="I881" s="4" t="str">
        <f t="array" ref="I881">IF($E881="","", XLOOKUP(SUMIFS(Prod_Prop!$A:$A,Prod_Prop!$B:$B,$E881,Prod_Prop!$H:$H,I$1,Prod_Prop!$I:$I,"Exacto"),Prod_Prop!$A:$A,Prod_Prop!$J:$J,"",0,1))</f>
        <v/>
      </c>
      <c r="J881" s="4" t="str">
        <f t="array" ref="J881">IF($E881="","", XLOOKUP(SUMIFS(Prod_Prop!$A:$A,Prod_Prop!$B:$B,$E881,Prod_Prop!$H:$H,J$1,Prod_Prop!$I:$I,"Exacto"),Prod_Prop!$A:$A,Prod_Prop!$J:$J,"",0,1))</f>
        <v/>
      </c>
      <c r="K881" s="4" t="str">
        <f t="array" ref="K881">IF($E881="","", XLOOKUP(SUMIFS(Prod_Prop!$A:$A,Prod_Prop!$B:$B,$E881,Prod_Prop!$H:$H,K$1,Prod_Prop!$I:$I,"Exacto"),Prod_Prop!$A:$A,Prod_Prop!$J:$J,"",0,1))</f>
        <v/>
      </c>
      <c r="L881" s="4" t="str">
        <f t="array" ref="L881">IF($E881="","", XLOOKUP(SUMIFS(Prod_Prop!$A:$A,Prod_Prop!$B:$B,$E881,Prod_Prop!$H:$H,L$1,Prod_Prop!$I:$I,"Exacto"),Prod_Prop!$A:$A,Prod_Prop!$J:$J,"",0,1))</f>
        <v/>
      </c>
      <c r="M881" s="4" t="str">
        <f t="array" ref="M881">IF($E881="","", XLOOKUP(SUMIFS(Prod_Prop!$A:$A,Prod_Prop!$B:$B,$E881,Prod_Prop!$H:$H,M$1,Prod_Prop!$I:$I,"Exacto"),Prod_Prop!$A:$A,Prod_Prop!$J:$J,"",0,1))</f>
        <v/>
      </c>
      <c r="N881" s="4" t="str">
        <f t="array" ref="N881">IF($E881="","", XLOOKUP(SUMIFS(Prod_Prop!$A:$A,Prod_Prop!$B:$B,$E881,Prod_Prop!$H:$H,N$1,Prod_Prop!$I:$I,"Exacto"),Prod_Prop!$A:$A,Prod_Prop!$J:$J,"",0,1))</f>
        <v/>
      </c>
      <c r="O881" s="4" t="str">
        <f t="array" ref="O881">IF($E881="","", XLOOKUP(SUMIFS(Prod_Prop!$A:$A,Prod_Prop!$B:$B,$E881,Prod_Prop!$H:$H,O$1,Prod_Prop!$I:$I,"Exacto"),Prod_Prop!$A:$A,Prod_Prop!$J:$J,"",0,1))</f>
        <v/>
      </c>
      <c r="P881" s="4" t="str">
        <f t="array" ref="P881">IF($E881="","", XLOOKUP(SUMIFS(Prod_Prop!$A:$A,Prod_Prop!$B:$B,$E881,Prod_Prop!$H:$H,P$1,Prod_Prop!$I:$I,"Exacto"),Prod_Prop!$A:$A,Prod_Prop!$J:$J,"",0,1))</f>
        <v/>
      </c>
      <c r="Q881" s="4" t="str">
        <f t="array" ref="Q881">IF($E881="","", XLOOKUP(SUMIFS(Prod_Prop!$A:$A,Prod_Prop!$B:$B,$E881,Prod_Prop!$H:$H,Q$1,Prod_Prop!$I:$I,"Exacto"),Prod_Prop!$A:$A,Prod_Prop!$J:$J,"",0,1))</f>
        <v/>
      </c>
      <c r="R881" s="4" t="str">
        <f t="array" ref="R881">IF($E881="","", XLOOKUP(SUMIFS(Prod_Prop!$A:$A,Prod_Prop!$B:$B,$E881,Prod_Prop!$H:$H,R$1,Prod_Prop!$I:$I,"Exacto"),Prod_Prop!$A:$A,Prod_Prop!$J:$J,"",0,1))</f>
        <v/>
      </c>
      <c r="S881" s="4" t="str">
        <f t="array" ref="S881">IF($E881="","", XLOOKUP(SUMIFS(Prod_Prop!$A:$A,Prod_Prop!$B:$B,$E881,Prod_Prop!$H:$H,S$1,Prod_Prop!$I:$I,"Exacto"),Prod_Prop!$A:$A,Prod_Prop!$J:$J,"",0,1))</f>
        <v/>
      </c>
      <c r="T881" s="4" t="str">
        <f t="array" ref="T881">IF($E881="","", XLOOKUP(SUMIFS(Prod_Prop!$A:$A,Prod_Prop!$B:$B,$E881,Prod_Prop!$H:$H,T$1,Prod_Prop!$I:$I,"Exacto"),Prod_Prop!$A:$A,Prod_Prop!$J:$J,"",0,1))</f>
        <v/>
      </c>
      <c r="U881" s="4" t="str">
        <f t="array" ref="U881">IF($E881="","", XLOOKUP(SUMIFS(Prod_Prop!$A:$A,Prod_Prop!$B:$B,$E881,Prod_Prop!$H:$H,U$1,Prod_Prop!$I:$I,"Exacto"),Prod_Prop!$A:$A,Prod_Prop!$J:$J,"",0,1))</f>
        <v/>
      </c>
      <c r="V881" s="4" t="str">
        <f t="array" ref="V881">IF($E881="","", XLOOKUP(SUMIFS(Prod_Prop!$A:$A,Prod_Prop!$B:$B,$E881,Prod_Prop!$H:$H,V$1,Prod_Prop!$I:$I,"Exacto"),Prod_Prop!$A:$A,Prod_Prop!$J:$J,"",0,1))</f>
        <v/>
      </c>
      <c r="X881" s="3" t="str">
        <f>IFERROR(__xludf.DUMMYFUNCTION("IF(D881="""","""",IFERROR(TRANSPOSE(FILTER('Validaciones Cotizador'!U:U,'Validaciones Cotizador'!O:O=D881,'Validaciones Cotizador'!T:T=""x"")),""Finalizar""))"),"")</f>
        <v/>
      </c>
    </row>
    <row r="882">
      <c r="A882" s="2" t="str">
        <f t="array" ref="A882">IF(E882="","",XLOOKUP(D882,'Validaciones Cotizador'!C:C,'Validaciones Cotizador'!A:A,"",0,1))</f>
        <v/>
      </c>
      <c r="B882" s="2" t="str">
        <f t="array" ref="B882">IF(F882="","",XLOOKUP(F882,Productos!E:E,Productos!G:G,"",0,1))</f>
        <v/>
      </c>
      <c r="C882" s="2" t="str">
        <f>IF(A882="","",SUMIFS('Validaciones Cotizador'!B:B,'Validaciones Cotizador'!C:C,D882,'Validaciones Cotizador'!A:A,A882))</f>
        <v/>
      </c>
      <c r="D882" s="4" t="str">
        <f>IFERROR(__xludf.DUMMYFUNCTION("IF(OR(F881=""Finalizar"",F881="""",F881=""Selecciona..""),"""",IF(OR(F881=""-"",INDEX(filter(Familias!F:F,Familias!D:D=A881,Familias!E:E=C881),1)=""O""),D881+1,D881))"),"")</f>
        <v/>
      </c>
      <c r="E882" s="2" t="str">
        <f>IF(OR(F882="",F882="Selecciona.."),"",IF(D882="Implemento",SUMIF(Implementos!B:B,F882,Implementos!A:A),SUMIF(Productos!E:E,F882,Productos!A:A)))</f>
        <v/>
      </c>
      <c r="F882" s="2" t="str">
        <f t="shared" si="2"/>
        <v/>
      </c>
      <c r="G882" s="10" t="str">
        <f t="array" ref="G882">IF(OR(F882="",F882="-",F882="Selecciona..",F882="Finalizar"),"",IF(A882="Rodados",XLOOKUP(B882,'Validaciones Cotizador'!I:I,'Validaciones Cotizador'!J:J,0,0,1),1))</f>
        <v/>
      </c>
      <c r="H882" s="11" t="str">
        <f>IF(OR(F882="",F882="Selecciona.."),"",SUMIF(Precio_Productos!K:K,E882,Precio_Productos!J:J)*G882)</f>
        <v/>
      </c>
      <c r="I882" s="4" t="str">
        <f t="array" ref="I882">IF($E882="","", XLOOKUP(SUMIFS(Prod_Prop!$A:$A,Prod_Prop!$B:$B,$E882,Prod_Prop!$H:$H,I$1,Prod_Prop!$I:$I,"Exacto"),Prod_Prop!$A:$A,Prod_Prop!$J:$J,"",0,1))</f>
        <v/>
      </c>
      <c r="J882" s="4" t="str">
        <f t="array" ref="J882">IF($E882="","", XLOOKUP(SUMIFS(Prod_Prop!$A:$A,Prod_Prop!$B:$B,$E882,Prod_Prop!$H:$H,J$1,Prod_Prop!$I:$I,"Exacto"),Prod_Prop!$A:$A,Prod_Prop!$J:$J,"",0,1))</f>
        <v/>
      </c>
      <c r="K882" s="4" t="str">
        <f t="array" ref="K882">IF($E882="","", XLOOKUP(SUMIFS(Prod_Prop!$A:$A,Prod_Prop!$B:$B,$E882,Prod_Prop!$H:$H,K$1,Prod_Prop!$I:$I,"Exacto"),Prod_Prop!$A:$A,Prod_Prop!$J:$J,"",0,1))</f>
        <v/>
      </c>
      <c r="L882" s="4" t="str">
        <f t="array" ref="L882">IF($E882="","", XLOOKUP(SUMIFS(Prod_Prop!$A:$A,Prod_Prop!$B:$B,$E882,Prod_Prop!$H:$H,L$1,Prod_Prop!$I:$I,"Exacto"),Prod_Prop!$A:$A,Prod_Prop!$J:$J,"",0,1))</f>
        <v/>
      </c>
      <c r="M882" s="4" t="str">
        <f t="array" ref="M882">IF($E882="","", XLOOKUP(SUMIFS(Prod_Prop!$A:$A,Prod_Prop!$B:$B,$E882,Prod_Prop!$H:$H,M$1,Prod_Prop!$I:$I,"Exacto"),Prod_Prop!$A:$A,Prod_Prop!$J:$J,"",0,1))</f>
        <v/>
      </c>
      <c r="N882" s="4" t="str">
        <f t="array" ref="N882">IF($E882="","", XLOOKUP(SUMIFS(Prod_Prop!$A:$A,Prod_Prop!$B:$B,$E882,Prod_Prop!$H:$H,N$1,Prod_Prop!$I:$I,"Exacto"),Prod_Prop!$A:$A,Prod_Prop!$J:$J,"",0,1))</f>
        <v/>
      </c>
      <c r="O882" s="4" t="str">
        <f t="array" ref="O882">IF($E882="","", XLOOKUP(SUMIFS(Prod_Prop!$A:$A,Prod_Prop!$B:$B,$E882,Prod_Prop!$H:$H,O$1,Prod_Prop!$I:$I,"Exacto"),Prod_Prop!$A:$A,Prod_Prop!$J:$J,"",0,1))</f>
        <v/>
      </c>
      <c r="P882" s="4" t="str">
        <f t="array" ref="P882">IF($E882="","", XLOOKUP(SUMIFS(Prod_Prop!$A:$A,Prod_Prop!$B:$B,$E882,Prod_Prop!$H:$H,P$1,Prod_Prop!$I:$I,"Exacto"),Prod_Prop!$A:$A,Prod_Prop!$J:$J,"",0,1))</f>
        <v/>
      </c>
      <c r="Q882" s="4" t="str">
        <f t="array" ref="Q882">IF($E882="","", XLOOKUP(SUMIFS(Prod_Prop!$A:$A,Prod_Prop!$B:$B,$E882,Prod_Prop!$H:$H,Q$1,Prod_Prop!$I:$I,"Exacto"),Prod_Prop!$A:$A,Prod_Prop!$J:$J,"",0,1))</f>
        <v/>
      </c>
      <c r="R882" s="4" t="str">
        <f t="array" ref="R882">IF($E882="","", XLOOKUP(SUMIFS(Prod_Prop!$A:$A,Prod_Prop!$B:$B,$E882,Prod_Prop!$H:$H,R$1,Prod_Prop!$I:$I,"Exacto"),Prod_Prop!$A:$A,Prod_Prop!$J:$J,"",0,1))</f>
        <v/>
      </c>
      <c r="S882" s="4" t="str">
        <f t="array" ref="S882">IF($E882="","", XLOOKUP(SUMIFS(Prod_Prop!$A:$A,Prod_Prop!$B:$B,$E882,Prod_Prop!$H:$H,S$1,Prod_Prop!$I:$I,"Exacto"),Prod_Prop!$A:$A,Prod_Prop!$J:$J,"",0,1))</f>
        <v/>
      </c>
      <c r="T882" s="4" t="str">
        <f t="array" ref="T882">IF($E882="","", XLOOKUP(SUMIFS(Prod_Prop!$A:$A,Prod_Prop!$B:$B,$E882,Prod_Prop!$H:$H,T$1,Prod_Prop!$I:$I,"Exacto"),Prod_Prop!$A:$A,Prod_Prop!$J:$J,"",0,1))</f>
        <v/>
      </c>
      <c r="U882" s="4" t="str">
        <f t="array" ref="U882">IF($E882="","", XLOOKUP(SUMIFS(Prod_Prop!$A:$A,Prod_Prop!$B:$B,$E882,Prod_Prop!$H:$H,U$1,Prod_Prop!$I:$I,"Exacto"),Prod_Prop!$A:$A,Prod_Prop!$J:$J,"",0,1))</f>
        <v/>
      </c>
      <c r="V882" s="4" t="str">
        <f t="array" ref="V882">IF($E882="","", XLOOKUP(SUMIFS(Prod_Prop!$A:$A,Prod_Prop!$B:$B,$E882,Prod_Prop!$H:$H,V$1,Prod_Prop!$I:$I,"Exacto"),Prod_Prop!$A:$A,Prod_Prop!$J:$J,"",0,1))</f>
        <v/>
      </c>
      <c r="X882" s="3" t="str">
        <f>IFERROR(__xludf.DUMMYFUNCTION("IF(D882="""","""",IFERROR(TRANSPOSE(FILTER('Validaciones Cotizador'!U:U,'Validaciones Cotizador'!O:O=D882,'Validaciones Cotizador'!T:T=""x"")),""Finalizar""))"),"")</f>
        <v/>
      </c>
    </row>
    <row r="883">
      <c r="A883" s="2" t="str">
        <f t="array" ref="A883">IF(E883="","",XLOOKUP(D883,'Validaciones Cotizador'!C:C,'Validaciones Cotizador'!A:A,"",0,1))</f>
        <v/>
      </c>
      <c r="B883" s="2" t="str">
        <f t="array" ref="B883">IF(F883="","",XLOOKUP(F883,Productos!E:E,Productos!G:G,"",0,1))</f>
        <v/>
      </c>
      <c r="C883" s="2" t="str">
        <f>IF(A883="","",SUMIFS('Validaciones Cotizador'!B:B,'Validaciones Cotizador'!C:C,D883,'Validaciones Cotizador'!A:A,A883))</f>
        <v/>
      </c>
      <c r="D883" s="4" t="str">
        <f>IFERROR(__xludf.DUMMYFUNCTION("IF(OR(F882=""Finalizar"",F882="""",F882=""Selecciona..""),"""",IF(OR(F882=""-"",INDEX(filter(Familias!F:F,Familias!D:D=A882,Familias!E:E=C882),1)=""O""),D882+1,D882))"),"")</f>
        <v/>
      </c>
      <c r="E883" s="2" t="str">
        <f>IF(OR(F883="",F883="Selecciona.."),"",IF(D883="Implemento",SUMIF(Implementos!B:B,F883,Implementos!A:A),SUMIF(Productos!E:E,F883,Productos!A:A)))</f>
        <v/>
      </c>
      <c r="F883" s="2" t="str">
        <f t="shared" si="2"/>
        <v/>
      </c>
      <c r="G883" s="10" t="str">
        <f t="array" ref="G883">IF(OR(F883="",F883="-",F883="Selecciona..",F883="Finalizar"),"",IF(A883="Rodados",XLOOKUP(B883,'Validaciones Cotizador'!I:I,'Validaciones Cotizador'!J:J,0,0,1),1))</f>
        <v/>
      </c>
      <c r="H883" s="11" t="str">
        <f>IF(OR(F883="",F883="Selecciona.."),"",SUMIF(Precio_Productos!K:K,E883,Precio_Productos!J:J)*G883)</f>
        <v/>
      </c>
      <c r="I883" s="4" t="str">
        <f t="array" ref="I883">IF($E883="","", XLOOKUP(SUMIFS(Prod_Prop!$A:$A,Prod_Prop!$B:$B,$E883,Prod_Prop!$H:$H,I$1,Prod_Prop!$I:$I,"Exacto"),Prod_Prop!$A:$A,Prod_Prop!$J:$J,"",0,1))</f>
        <v/>
      </c>
      <c r="J883" s="4" t="str">
        <f t="array" ref="J883">IF($E883="","", XLOOKUP(SUMIFS(Prod_Prop!$A:$A,Prod_Prop!$B:$B,$E883,Prod_Prop!$H:$H,J$1,Prod_Prop!$I:$I,"Exacto"),Prod_Prop!$A:$A,Prod_Prop!$J:$J,"",0,1))</f>
        <v/>
      </c>
      <c r="K883" s="4" t="str">
        <f t="array" ref="K883">IF($E883="","", XLOOKUP(SUMIFS(Prod_Prop!$A:$A,Prod_Prop!$B:$B,$E883,Prod_Prop!$H:$H,K$1,Prod_Prop!$I:$I,"Exacto"),Prod_Prop!$A:$A,Prod_Prop!$J:$J,"",0,1))</f>
        <v/>
      </c>
      <c r="L883" s="4" t="str">
        <f t="array" ref="L883">IF($E883="","", XLOOKUP(SUMIFS(Prod_Prop!$A:$A,Prod_Prop!$B:$B,$E883,Prod_Prop!$H:$H,L$1,Prod_Prop!$I:$I,"Exacto"),Prod_Prop!$A:$A,Prod_Prop!$J:$J,"",0,1))</f>
        <v/>
      </c>
      <c r="M883" s="4" t="str">
        <f t="array" ref="M883">IF($E883="","", XLOOKUP(SUMIFS(Prod_Prop!$A:$A,Prod_Prop!$B:$B,$E883,Prod_Prop!$H:$H,M$1,Prod_Prop!$I:$I,"Exacto"),Prod_Prop!$A:$A,Prod_Prop!$J:$J,"",0,1))</f>
        <v/>
      </c>
      <c r="N883" s="4" t="str">
        <f t="array" ref="N883">IF($E883="","", XLOOKUP(SUMIFS(Prod_Prop!$A:$A,Prod_Prop!$B:$B,$E883,Prod_Prop!$H:$H,N$1,Prod_Prop!$I:$I,"Exacto"),Prod_Prop!$A:$A,Prod_Prop!$J:$J,"",0,1))</f>
        <v/>
      </c>
      <c r="O883" s="4" t="str">
        <f t="array" ref="O883">IF($E883="","", XLOOKUP(SUMIFS(Prod_Prop!$A:$A,Prod_Prop!$B:$B,$E883,Prod_Prop!$H:$H,O$1,Prod_Prop!$I:$I,"Exacto"),Prod_Prop!$A:$A,Prod_Prop!$J:$J,"",0,1))</f>
        <v/>
      </c>
      <c r="P883" s="4" t="str">
        <f t="array" ref="P883">IF($E883="","", XLOOKUP(SUMIFS(Prod_Prop!$A:$A,Prod_Prop!$B:$B,$E883,Prod_Prop!$H:$H,P$1,Prod_Prop!$I:$I,"Exacto"),Prod_Prop!$A:$A,Prod_Prop!$J:$J,"",0,1))</f>
        <v/>
      </c>
      <c r="Q883" s="4" t="str">
        <f t="array" ref="Q883">IF($E883="","", XLOOKUP(SUMIFS(Prod_Prop!$A:$A,Prod_Prop!$B:$B,$E883,Prod_Prop!$H:$H,Q$1,Prod_Prop!$I:$I,"Exacto"),Prod_Prop!$A:$A,Prod_Prop!$J:$J,"",0,1))</f>
        <v/>
      </c>
      <c r="R883" s="4" t="str">
        <f t="array" ref="R883">IF($E883="","", XLOOKUP(SUMIFS(Prod_Prop!$A:$A,Prod_Prop!$B:$B,$E883,Prod_Prop!$H:$H,R$1,Prod_Prop!$I:$I,"Exacto"),Prod_Prop!$A:$A,Prod_Prop!$J:$J,"",0,1))</f>
        <v/>
      </c>
      <c r="S883" s="4" t="str">
        <f t="array" ref="S883">IF($E883="","", XLOOKUP(SUMIFS(Prod_Prop!$A:$A,Prod_Prop!$B:$B,$E883,Prod_Prop!$H:$H,S$1,Prod_Prop!$I:$I,"Exacto"),Prod_Prop!$A:$A,Prod_Prop!$J:$J,"",0,1))</f>
        <v/>
      </c>
      <c r="T883" s="4" t="str">
        <f t="array" ref="T883">IF($E883="","", XLOOKUP(SUMIFS(Prod_Prop!$A:$A,Prod_Prop!$B:$B,$E883,Prod_Prop!$H:$H,T$1,Prod_Prop!$I:$I,"Exacto"),Prod_Prop!$A:$A,Prod_Prop!$J:$J,"",0,1))</f>
        <v/>
      </c>
      <c r="U883" s="4" t="str">
        <f t="array" ref="U883">IF($E883="","", XLOOKUP(SUMIFS(Prod_Prop!$A:$A,Prod_Prop!$B:$B,$E883,Prod_Prop!$H:$H,U$1,Prod_Prop!$I:$I,"Exacto"),Prod_Prop!$A:$A,Prod_Prop!$J:$J,"",0,1))</f>
        <v/>
      </c>
      <c r="V883" s="4" t="str">
        <f t="array" ref="V883">IF($E883="","", XLOOKUP(SUMIFS(Prod_Prop!$A:$A,Prod_Prop!$B:$B,$E883,Prod_Prop!$H:$H,V$1,Prod_Prop!$I:$I,"Exacto"),Prod_Prop!$A:$A,Prod_Prop!$J:$J,"",0,1))</f>
        <v/>
      </c>
      <c r="X883" s="3" t="str">
        <f>IFERROR(__xludf.DUMMYFUNCTION("IF(D883="""","""",IFERROR(TRANSPOSE(FILTER('Validaciones Cotizador'!U:U,'Validaciones Cotizador'!O:O=D883,'Validaciones Cotizador'!T:T=""x"")),""Finalizar""))"),"")</f>
        <v/>
      </c>
    </row>
    <row r="884">
      <c r="A884" s="2" t="str">
        <f t="array" ref="A884">IF(E884="","",XLOOKUP(D884,'Validaciones Cotizador'!C:C,'Validaciones Cotizador'!A:A,"",0,1))</f>
        <v/>
      </c>
      <c r="B884" s="2" t="str">
        <f t="array" ref="B884">IF(F884="","",XLOOKUP(F884,Productos!E:E,Productos!G:G,"",0,1))</f>
        <v/>
      </c>
      <c r="C884" s="2" t="str">
        <f>IF(A884="","",SUMIFS('Validaciones Cotizador'!B:B,'Validaciones Cotizador'!C:C,D884,'Validaciones Cotizador'!A:A,A884))</f>
        <v/>
      </c>
      <c r="D884" s="4" t="str">
        <f>IFERROR(__xludf.DUMMYFUNCTION("IF(OR(F883=""Finalizar"",F883="""",F883=""Selecciona..""),"""",IF(OR(F883=""-"",INDEX(filter(Familias!F:F,Familias!D:D=A883,Familias!E:E=C883),1)=""O""),D883+1,D883))"),"")</f>
        <v/>
      </c>
      <c r="E884" s="2" t="str">
        <f>IF(OR(F884="",F884="Selecciona.."),"",IF(D884="Implemento",SUMIF(Implementos!B:B,F884,Implementos!A:A),SUMIF(Productos!E:E,F884,Productos!A:A)))</f>
        <v/>
      </c>
      <c r="F884" s="2" t="str">
        <f t="shared" si="2"/>
        <v/>
      </c>
      <c r="G884" s="10" t="str">
        <f t="array" ref="G884">IF(OR(F884="",F884="-",F884="Selecciona..",F884="Finalizar"),"",IF(A884="Rodados",XLOOKUP(B884,'Validaciones Cotizador'!I:I,'Validaciones Cotizador'!J:J,0,0,1),1))</f>
        <v/>
      </c>
      <c r="H884" s="11" t="str">
        <f>IF(OR(F884="",F884="Selecciona.."),"",SUMIF(Precio_Productos!K:K,E884,Precio_Productos!J:J)*G884)</f>
        <v/>
      </c>
      <c r="I884" s="4" t="str">
        <f t="array" ref="I884">IF($E884="","", XLOOKUP(SUMIFS(Prod_Prop!$A:$A,Prod_Prop!$B:$B,$E884,Prod_Prop!$H:$H,I$1,Prod_Prop!$I:$I,"Exacto"),Prod_Prop!$A:$A,Prod_Prop!$J:$J,"",0,1))</f>
        <v/>
      </c>
      <c r="J884" s="4" t="str">
        <f t="array" ref="J884">IF($E884="","", XLOOKUP(SUMIFS(Prod_Prop!$A:$A,Prod_Prop!$B:$B,$E884,Prod_Prop!$H:$H,J$1,Prod_Prop!$I:$I,"Exacto"),Prod_Prop!$A:$A,Prod_Prop!$J:$J,"",0,1))</f>
        <v/>
      </c>
      <c r="K884" s="4" t="str">
        <f t="array" ref="K884">IF($E884="","", XLOOKUP(SUMIFS(Prod_Prop!$A:$A,Prod_Prop!$B:$B,$E884,Prod_Prop!$H:$H,K$1,Prod_Prop!$I:$I,"Exacto"),Prod_Prop!$A:$A,Prod_Prop!$J:$J,"",0,1))</f>
        <v/>
      </c>
      <c r="L884" s="4" t="str">
        <f t="array" ref="L884">IF($E884="","", XLOOKUP(SUMIFS(Prod_Prop!$A:$A,Prod_Prop!$B:$B,$E884,Prod_Prop!$H:$H,L$1,Prod_Prop!$I:$I,"Exacto"),Prod_Prop!$A:$A,Prod_Prop!$J:$J,"",0,1))</f>
        <v/>
      </c>
      <c r="M884" s="4" t="str">
        <f t="array" ref="M884">IF($E884="","", XLOOKUP(SUMIFS(Prod_Prop!$A:$A,Prod_Prop!$B:$B,$E884,Prod_Prop!$H:$H,M$1,Prod_Prop!$I:$I,"Exacto"),Prod_Prop!$A:$A,Prod_Prop!$J:$J,"",0,1))</f>
        <v/>
      </c>
      <c r="N884" s="4" t="str">
        <f t="array" ref="N884">IF($E884="","", XLOOKUP(SUMIFS(Prod_Prop!$A:$A,Prod_Prop!$B:$B,$E884,Prod_Prop!$H:$H,N$1,Prod_Prop!$I:$I,"Exacto"),Prod_Prop!$A:$A,Prod_Prop!$J:$J,"",0,1))</f>
        <v/>
      </c>
      <c r="O884" s="4" t="str">
        <f t="array" ref="O884">IF($E884="","", XLOOKUP(SUMIFS(Prod_Prop!$A:$A,Prod_Prop!$B:$B,$E884,Prod_Prop!$H:$H,O$1,Prod_Prop!$I:$I,"Exacto"),Prod_Prop!$A:$A,Prod_Prop!$J:$J,"",0,1))</f>
        <v/>
      </c>
      <c r="P884" s="4" t="str">
        <f t="array" ref="P884">IF($E884="","", XLOOKUP(SUMIFS(Prod_Prop!$A:$A,Prod_Prop!$B:$B,$E884,Prod_Prop!$H:$H,P$1,Prod_Prop!$I:$I,"Exacto"),Prod_Prop!$A:$A,Prod_Prop!$J:$J,"",0,1))</f>
        <v/>
      </c>
      <c r="Q884" s="4" t="str">
        <f t="array" ref="Q884">IF($E884="","", XLOOKUP(SUMIFS(Prod_Prop!$A:$A,Prod_Prop!$B:$B,$E884,Prod_Prop!$H:$H,Q$1,Prod_Prop!$I:$I,"Exacto"),Prod_Prop!$A:$A,Prod_Prop!$J:$J,"",0,1))</f>
        <v/>
      </c>
      <c r="R884" s="4" t="str">
        <f t="array" ref="R884">IF($E884="","", XLOOKUP(SUMIFS(Prod_Prop!$A:$A,Prod_Prop!$B:$B,$E884,Prod_Prop!$H:$H,R$1,Prod_Prop!$I:$I,"Exacto"),Prod_Prop!$A:$A,Prod_Prop!$J:$J,"",0,1))</f>
        <v/>
      </c>
      <c r="S884" s="4" t="str">
        <f t="array" ref="S884">IF($E884="","", XLOOKUP(SUMIFS(Prod_Prop!$A:$A,Prod_Prop!$B:$B,$E884,Prod_Prop!$H:$H,S$1,Prod_Prop!$I:$I,"Exacto"),Prod_Prop!$A:$A,Prod_Prop!$J:$J,"",0,1))</f>
        <v/>
      </c>
      <c r="T884" s="4" t="str">
        <f t="array" ref="T884">IF($E884="","", XLOOKUP(SUMIFS(Prod_Prop!$A:$A,Prod_Prop!$B:$B,$E884,Prod_Prop!$H:$H,T$1,Prod_Prop!$I:$I,"Exacto"),Prod_Prop!$A:$A,Prod_Prop!$J:$J,"",0,1))</f>
        <v/>
      </c>
      <c r="U884" s="4" t="str">
        <f t="array" ref="U884">IF($E884="","", XLOOKUP(SUMIFS(Prod_Prop!$A:$A,Prod_Prop!$B:$B,$E884,Prod_Prop!$H:$H,U$1,Prod_Prop!$I:$I,"Exacto"),Prod_Prop!$A:$A,Prod_Prop!$J:$J,"",0,1))</f>
        <v/>
      </c>
      <c r="V884" s="4" t="str">
        <f t="array" ref="V884">IF($E884="","", XLOOKUP(SUMIFS(Prod_Prop!$A:$A,Prod_Prop!$B:$B,$E884,Prod_Prop!$H:$H,V$1,Prod_Prop!$I:$I,"Exacto"),Prod_Prop!$A:$A,Prod_Prop!$J:$J,"",0,1))</f>
        <v/>
      </c>
      <c r="X884" s="3" t="str">
        <f>IFERROR(__xludf.DUMMYFUNCTION("IF(D884="""","""",IFERROR(TRANSPOSE(FILTER('Validaciones Cotizador'!U:U,'Validaciones Cotizador'!O:O=D884,'Validaciones Cotizador'!T:T=""x"")),""Finalizar""))"),"")</f>
        <v/>
      </c>
    </row>
    <row r="885">
      <c r="A885" s="2" t="str">
        <f t="array" ref="A885">IF(E885="","",XLOOKUP(D885,'Validaciones Cotizador'!C:C,'Validaciones Cotizador'!A:A,"",0,1))</f>
        <v/>
      </c>
      <c r="B885" s="2" t="str">
        <f t="array" ref="B885">IF(F885="","",XLOOKUP(F885,Productos!E:E,Productos!G:G,"",0,1))</f>
        <v/>
      </c>
      <c r="C885" s="2" t="str">
        <f>IF(A885="","",SUMIFS('Validaciones Cotizador'!B:B,'Validaciones Cotizador'!C:C,D885,'Validaciones Cotizador'!A:A,A885))</f>
        <v/>
      </c>
      <c r="D885" s="4" t="str">
        <f>IFERROR(__xludf.DUMMYFUNCTION("IF(OR(F884=""Finalizar"",F884="""",F884=""Selecciona..""),"""",IF(OR(F884=""-"",INDEX(filter(Familias!F:F,Familias!D:D=A884,Familias!E:E=C884),1)=""O""),D884+1,D884))"),"")</f>
        <v/>
      </c>
      <c r="E885" s="2" t="str">
        <f>IF(OR(F885="",F885="Selecciona.."),"",IF(D885="Implemento",SUMIF(Implementos!B:B,F885,Implementos!A:A),SUMIF(Productos!E:E,F885,Productos!A:A)))</f>
        <v/>
      </c>
      <c r="F885" s="2" t="str">
        <f t="shared" si="2"/>
        <v/>
      </c>
      <c r="G885" s="10" t="str">
        <f t="array" ref="G885">IF(OR(F885="",F885="-",F885="Selecciona..",F885="Finalizar"),"",IF(A885="Rodados",XLOOKUP(B885,'Validaciones Cotizador'!I:I,'Validaciones Cotizador'!J:J,0,0,1),1))</f>
        <v/>
      </c>
      <c r="H885" s="11" t="str">
        <f>IF(OR(F885="",F885="Selecciona.."),"",SUMIF(Precio_Productos!K:K,E885,Precio_Productos!J:J)*G885)</f>
        <v/>
      </c>
      <c r="I885" s="4" t="str">
        <f t="array" ref="I885">IF($E885="","", XLOOKUP(SUMIFS(Prod_Prop!$A:$A,Prod_Prop!$B:$B,$E885,Prod_Prop!$H:$H,I$1,Prod_Prop!$I:$I,"Exacto"),Prod_Prop!$A:$A,Prod_Prop!$J:$J,"",0,1))</f>
        <v/>
      </c>
      <c r="J885" s="4" t="str">
        <f t="array" ref="J885">IF($E885="","", XLOOKUP(SUMIFS(Prod_Prop!$A:$A,Prod_Prop!$B:$B,$E885,Prod_Prop!$H:$H,J$1,Prod_Prop!$I:$I,"Exacto"),Prod_Prop!$A:$A,Prod_Prop!$J:$J,"",0,1))</f>
        <v/>
      </c>
      <c r="K885" s="4" t="str">
        <f t="array" ref="K885">IF($E885="","", XLOOKUP(SUMIFS(Prod_Prop!$A:$A,Prod_Prop!$B:$B,$E885,Prod_Prop!$H:$H,K$1,Prod_Prop!$I:$I,"Exacto"),Prod_Prop!$A:$A,Prod_Prop!$J:$J,"",0,1))</f>
        <v/>
      </c>
      <c r="L885" s="4" t="str">
        <f t="array" ref="L885">IF($E885="","", XLOOKUP(SUMIFS(Prod_Prop!$A:$A,Prod_Prop!$B:$B,$E885,Prod_Prop!$H:$H,L$1,Prod_Prop!$I:$I,"Exacto"),Prod_Prop!$A:$A,Prod_Prop!$J:$J,"",0,1))</f>
        <v/>
      </c>
      <c r="M885" s="4" t="str">
        <f t="array" ref="M885">IF($E885="","", XLOOKUP(SUMIFS(Prod_Prop!$A:$A,Prod_Prop!$B:$B,$E885,Prod_Prop!$H:$H,M$1,Prod_Prop!$I:$I,"Exacto"),Prod_Prop!$A:$A,Prod_Prop!$J:$J,"",0,1))</f>
        <v/>
      </c>
      <c r="N885" s="4" t="str">
        <f t="array" ref="N885">IF($E885="","", XLOOKUP(SUMIFS(Prod_Prop!$A:$A,Prod_Prop!$B:$B,$E885,Prod_Prop!$H:$H,N$1,Prod_Prop!$I:$I,"Exacto"),Prod_Prop!$A:$A,Prod_Prop!$J:$J,"",0,1))</f>
        <v/>
      </c>
      <c r="O885" s="4" t="str">
        <f t="array" ref="O885">IF($E885="","", XLOOKUP(SUMIFS(Prod_Prop!$A:$A,Prod_Prop!$B:$B,$E885,Prod_Prop!$H:$H,O$1,Prod_Prop!$I:$I,"Exacto"),Prod_Prop!$A:$A,Prod_Prop!$J:$J,"",0,1))</f>
        <v/>
      </c>
      <c r="P885" s="4" t="str">
        <f t="array" ref="P885">IF($E885="","", XLOOKUP(SUMIFS(Prod_Prop!$A:$A,Prod_Prop!$B:$B,$E885,Prod_Prop!$H:$H,P$1,Prod_Prop!$I:$I,"Exacto"),Prod_Prop!$A:$A,Prod_Prop!$J:$J,"",0,1))</f>
        <v/>
      </c>
      <c r="Q885" s="4" t="str">
        <f t="array" ref="Q885">IF($E885="","", XLOOKUP(SUMIFS(Prod_Prop!$A:$A,Prod_Prop!$B:$B,$E885,Prod_Prop!$H:$H,Q$1,Prod_Prop!$I:$I,"Exacto"),Prod_Prop!$A:$A,Prod_Prop!$J:$J,"",0,1))</f>
        <v/>
      </c>
      <c r="R885" s="4" t="str">
        <f t="array" ref="R885">IF($E885="","", XLOOKUP(SUMIFS(Prod_Prop!$A:$A,Prod_Prop!$B:$B,$E885,Prod_Prop!$H:$H,R$1,Prod_Prop!$I:$I,"Exacto"),Prod_Prop!$A:$A,Prod_Prop!$J:$J,"",0,1))</f>
        <v/>
      </c>
      <c r="S885" s="4" t="str">
        <f t="array" ref="S885">IF($E885="","", XLOOKUP(SUMIFS(Prod_Prop!$A:$A,Prod_Prop!$B:$B,$E885,Prod_Prop!$H:$H,S$1,Prod_Prop!$I:$I,"Exacto"),Prod_Prop!$A:$A,Prod_Prop!$J:$J,"",0,1))</f>
        <v/>
      </c>
      <c r="T885" s="4" t="str">
        <f t="array" ref="T885">IF($E885="","", XLOOKUP(SUMIFS(Prod_Prop!$A:$A,Prod_Prop!$B:$B,$E885,Prod_Prop!$H:$H,T$1,Prod_Prop!$I:$I,"Exacto"),Prod_Prop!$A:$A,Prod_Prop!$J:$J,"",0,1))</f>
        <v/>
      </c>
      <c r="U885" s="4" t="str">
        <f t="array" ref="U885">IF($E885="","", XLOOKUP(SUMIFS(Prod_Prop!$A:$A,Prod_Prop!$B:$B,$E885,Prod_Prop!$H:$H,U$1,Prod_Prop!$I:$I,"Exacto"),Prod_Prop!$A:$A,Prod_Prop!$J:$J,"",0,1))</f>
        <v/>
      </c>
      <c r="V885" s="4" t="str">
        <f t="array" ref="V885">IF($E885="","", XLOOKUP(SUMIFS(Prod_Prop!$A:$A,Prod_Prop!$B:$B,$E885,Prod_Prop!$H:$H,V$1,Prod_Prop!$I:$I,"Exacto"),Prod_Prop!$A:$A,Prod_Prop!$J:$J,"",0,1))</f>
        <v/>
      </c>
      <c r="X885" s="3" t="str">
        <f>IFERROR(__xludf.DUMMYFUNCTION("IF(D885="""","""",IFERROR(TRANSPOSE(FILTER('Validaciones Cotizador'!U:U,'Validaciones Cotizador'!O:O=D885,'Validaciones Cotizador'!T:T=""x"")),""Finalizar""))"),"")</f>
        <v/>
      </c>
    </row>
    <row r="886">
      <c r="A886" s="2" t="str">
        <f t="array" ref="A886">IF(E886="","",XLOOKUP(D886,'Validaciones Cotizador'!C:C,'Validaciones Cotizador'!A:A,"",0,1))</f>
        <v/>
      </c>
      <c r="B886" s="2" t="str">
        <f t="array" ref="B886">IF(F886="","",XLOOKUP(F886,Productos!E:E,Productos!G:G,"",0,1))</f>
        <v/>
      </c>
      <c r="C886" s="2" t="str">
        <f>IF(A886="","",SUMIFS('Validaciones Cotizador'!B:B,'Validaciones Cotizador'!C:C,D886,'Validaciones Cotizador'!A:A,A886))</f>
        <v/>
      </c>
      <c r="D886" s="4" t="str">
        <f>IFERROR(__xludf.DUMMYFUNCTION("IF(OR(F885=""Finalizar"",F885="""",F885=""Selecciona..""),"""",IF(OR(F885=""-"",INDEX(filter(Familias!F:F,Familias!D:D=A885,Familias!E:E=C885),1)=""O""),D885+1,D885))"),"")</f>
        <v/>
      </c>
      <c r="E886" s="2" t="str">
        <f>IF(OR(F886="",F886="Selecciona.."),"",IF(D886="Implemento",SUMIF(Implementos!B:B,F886,Implementos!A:A),SUMIF(Productos!E:E,F886,Productos!A:A)))</f>
        <v/>
      </c>
      <c r="F886" s="2" t="str">
        <f t="shared" si="2"/>
        <v/>
      </c>
      <c r="G886" s="10" t="str">
        <f t="array" ref="G886">IF(OR(F886="",F886="-",F886="Selecciona..",F886="Finalizar"),"",IF(A886="Rodados",XLOOKUP(B886,'Validaciones Cotizador'!I:I,'Validaciones Cotizador'!J:J,0,0,1),1))</f>
        <v/>
      </c>
      <c r="H886" s="11" t="str">
        <f>IF(OR(F886="",F886="Selecciona.."),"",SUMIF(Precio_Productos!K:K,E886,Precio_Productos!J:J)*G886)</f>
        <v/>
      </c>
      <c r="I886" s="4" t="str">
        <f t="array" ref="I886">IF($E886="","", XLOOKUP(SUMIFS(Prod_Prop!$A:$A,Prod_Prop!$B:$B,$E886,Prod_Prop!$H:$H,I$1,Prod_Prop!$I:$I,"Exacto"),Prod_Prop!$A:$A,Prod_Prop!$J:$J,"",0,1))</f>
        <v/>
      </c>
      <c r="J886" s="4" t="str">
        <f t="array" ref="J886">IF($E886="","", XLOOKUP(SUMIFS(Prod_Prop!$A:$A,Prod_Prop!$B:$B,$E886,Prod_Prop!$H:$H,J$1,Prod_Prop!$I:$I,"Exacto"),Prod_Prop!$A:$A,Prod_Prop!$J:$J,"",0,1))</f>
        <v/>
      </c>
      <c r="K886" s="4" t="str">
        <f t="array" ref="K886">IF($E886="","", XLOOKUP(SUMIFS(Prod_Prop!$A:$A,Prod_Prop!$B:$B,$E886,Prod_Prop!$H:$H,K$1,Prod_Prop!$I:$I,"Exacto"),Prod_Prop!$A:$A,Prod_Prop!$J:$J,"",0,1))</f>
        <v/>
      </c>
      <c r="L886" s="4" t="str">
        <f t="array" ref="L886">IF($E886="","", XLOOKUP(SUMIFS(Prod_Prop!$A:$A,Prod_Prop!$B:$B,$E886,Prod_Prop!$H:$H,L$1,Prod_Prop!$I:$I,"Exacto"),Prod_Prop!$A:$A,Prod_Prop!$J:$J,"",0,1))</f>
        <v/>
      </c>
      <c r="M886" s="4" t="str">
        <f t="array" ref="M886">IF($E886="","", XLOOKUP(SUMIFS(Prod_Prop!$A:$A,Prod_Prop!$B:$B,$E886,Prod_Prop!$H:$H,M$1,Prod_Prop!$I:$I,"Exacto"),Prod_Prop!$A:$A,Prod_Prop!$J:$J,"",0,1))</f>
        <v/>
      </c>
      <c r="N886" s="4" t="str">
        <f t="array" ref="N886">IF($E886="","", XLOOKUP(SUMIFS(Prod_Prop!$A:$A,Prod_Prop!$B:$B,$E886,Prod_Prop!$H:$H,N$1,Prod_Prop!$I:$I,"Exacto"),Prod_Prop!$A:$A,Prod_Prop!$J:$J,"",0,1))</f>
        <v/>
      </c>
      <c r="O886" s="4" t="str">
        <f t="array" ref="O886">IF($E886="","", XLOOKUP(SUMIFS(Prod_Prop!$A:$A,Prod_Prop!$B:$B,$E886,Prod_Prop!$H:$H,O$1,Prod_Prop!$I:$I,"Exacto"),Prod_Prop!$A:$A,Prod_Prop!$J:$J,"",0,1))</f>
        <v/>
      </c>
      <c r="P886" s="4" t="str">
        <f t="array" ref="P886">IF($E886="","", XLOOKUP(SUMIFS(Prod_Prop!$A:$A,Prod_Prop!$B:$B,$E886,Prod_Prop!$H:$H,P$1,Prod_Prop!$I:$I,"Exacto"),Prod_Prop!$A:$A,Prod_Prop!$J:$J,"",0,1))</f>
        <v/>
      </c>
      <c r="Q886" s="4" t="str">
        <f t="array" ref="Q886">IF($E886="","", XLOOKUP(SUMIFS(Prod_Prop!$A:$A,Prod_Prop!$B:$B,$E886,Prod_Prop!$H:$H,Q$1,Prod_Prop!$I:$I,"Exacto"),Prod_Prop!$A:$A,Prod_Prop!$J:$J,"",0,1))</f>
        <v/>
      </c>
      <c r="R886" s="4" t="str">
        <f t="array" ref="R886">IF($E886="","", XLOOKUP(SUMIFS(Prod_Prop!$A:$A,Prod_Prop!$B:$B,$E886,Prod_Prop!$H:$H,R$1,Prod_Prop!$I:$I,"Exacto"),Prod_Prop!$A:$A,Prod_Prop!$J:$J,"",0,1))</f>
        <v/>
      </c>
      <c r="S886" s="4" t="str">
        <f t="array" ref="S886">IF($E886="","", XLOOKUP(SUMIFS(Prod_Prop!$A:$A,Prod_Prop!$B:$B,$E886,Prod_Prop!$H:$H,S$1,Prod_Prop!$I:$I,"Exacto"),Prod_Prop!$A:$A,Prod_Prop!$J:$J,"",0,1))</f>
        <v/>
      </c>
      <c r="T886" s="4" t="str">
        <f t="array" ref="T886">IF($E886="","", XLOOKUP(SUMIFS(Prod_Prop!$A:$A,Prod_Prop!$B:$B,$E886,Prod_Prop!$H:$H,T$1,Prod_Prop!$I:$I,"Exacto"),Prod_Prop!$A:$A,Prod_Prop!$J:$J,"",0,1))</f>
        <v/>
      </c>
      <c r="U886" s="4" t="str">
        <f t="array" ref="U886">IF($E886="","", XLOOKUP(SUMIFS(Prod_Prop!$A:$A,Prod_Prop!$B:$B,$E886,Prod_Prop!$H:$H,U$1,Prod_Prop!$I:$I,"Exacto"),Prod_Prop!$A:$A,Prod_Prop!$J:$J,"",0,1))</f>
        <v/>
      </c>
      <c r="V886" s="4" t="str">
        <f t="array" ref="V886">IF($E886="","", XLOOKUP(SUMIFS(Prod_Prop!$A:$A,Prod_Prop!$B:$B,$E886,Prod_Prop!$H:$H,V$1,Prod_Prop!$I:$I,"Exacto"),Prod_Prop!$A:$A,Prod_Prop!$J:$J,"",0,1))</f>
        <v/>
      </c>
      <c r="X886" s="3" t="str">
        <f>IFERROR(__xludf.DUMMYFUNCTION("IF(D886="""","""",IFERROR(TRANSPOSE(FILTER('Validaciones Cotizador'!U:U,'Validaciones Cotizador'!O:O=D886,'Validaciones Cotizador'!T:T=""x"")),""Finalizar""))"),"")</f>
        <v/>
      </c>
    </row>
    <row r="887">
      <c r="A887" s="2" t="str">
        <f t="array" ref="A887">IF(E887="","",XLOOKUP(D887,'Validaciones Cotizador'!C:C,'Validaciones Cotizador'!A:A,"",0,1))</f>
        <v/>
      </c>
      <c r="B887" s="2" t="str">
        <f t="array" ref="B887">IF(F887="","",XLOOKUP(F887,Productos!E:E,Productos!G:G,"",0,1))</f>
        <v/>
      </c>
      <c r="C887" s="2" t="str">
        <f>IF(A887="","",SUMIFS('Validaciones Cotizador'!B:B,'Validaciones Cotizador'!C:C,D887,'Validaciones Cotizador'!A:A,A887))</f>
        <v/>
      </c>
      <c r="D887" s="4" t="str">
        <f>IFERROR(__xludf.DUMMYFUNCTION("IF(OR(F886=""Finalizar"",F886="""",F886=""Selecciona..""),"""",IF(OR(F886=""-"",INDEX(filter(Familias!F:F,Familias!D:D=A886,Familias!E:E=C886),1)=""O""),D886+1,D886))"),"")</f>
        <v/>
      </c>
      <c r="E887" s="2" t="str">
        <f>IF(OR(F887="",F887="Selecciona.."),"",IF(D887="Implemento",SUMIF(Implementos!B:B,F887,Implementos!A:A),SUMIF(Productos!E:E,F887,Productos!A:A)))</f>
        <v/>
      </c>
      <c r="F887" s="2" t="str">
        <f t="shared" si="2"/>
        <v/>
      </c>
      <c r="G887" s="10" t="str">
        <f t="array" ref="G887">IF(OR(F887="",F887="-",F887="Selecciona..",F887="Finalizar"),"",IF(A887="Rodados",XLOOKUP(B887,'Validaciones Cotizador'!I:I,'Validaciones Cotizador'!J:J,0,0,1),1))</f>
        <v/>
      </c>
      <c r="H887" s="11" t="str">
        <f>IF(OR(F887="",F887="Selecciona.."),"",SUMIF(Precio_Productos!K:K,E887,Precio_Productos!J:J)*G887)</f>
        <v/>
      </c>
      <c r="I887" s="4" t="str">
        <f t="array" ref="I887">IF($E887="","", XLOOKUP(SUMIFS(Prod_Prop!$A:$A,Prod_Prop!$B:$B,$E887,Prod_Prop!$H:$H,I$1,Prod_Prop!$I:$I,"Exacto"),Prod_Prop!$A:$A,Prod_Prop!$J:$J,"",0,1))</f>
        <v/>
      </c>
      <c r="J887" s="4" t="str">
        <f t="array" ref="J887">IF($E887="","", XLOOKUP(SUMIFS(Prod_Prop!$A:$A,Prod_Prop!$B:$B,$E887,Prod_Prop!$H:$H,J$1,Prod_Prop!$I:$I,"Exacto"),Prod_Prop!$A:$A,Prod_Prop!$J:$J,"",0,1))</f>
        <v/>
      </c>
      <c r="K887" s="4" t="str">
        <f t="array" ref="K887">IF($E887="","", XLOOKUP(SUMIFS(Prod_Prop!$A:$A,Prod_Prop!$B:$B,$E887,Prod_Prop!$H:$H,K$1,Prod_Prop!$I:$I,"Exacto"),Prod_Prop!$A:$A,Prod_Prop!$J:$J,"",0,1))</f>
        <v/>
      </c>
      <c r="L887" s="4" t="str">
        <f t="array" ref="L887">IF($E887="","", XLOOKUP(SUMIFS(Prod_Prop!$A:$A,Prod_Prop!$B:$B,$E887,Prod_Prop!$H:$H,L$1,Prod_Prop!$I:$I,"Exacto"),Prod_Prop!$A:$A,Prod_Prop!$J:$J,"",0,1))</f>
        <v/>
      </c>
      <c r="M887" s="4" t="str">
        <f t="array" ref="M887">IF($E887="","", XLOOKUP(SUMIFS(Prod_Prop!$A:$A,Prod_Prop!$B:$B,$E887,Prod_Prop!$H:$H,M$1,Prod_Prop!$I:$I,"Exacto"),Prod_Prop!$A:$A,Prod_Prop!$J:$J,"",0,1))</f>
        <v/>
      </c>
      <c r="N887" s="4" t="str">
        <f t="array" ref="N887">IF($E887="","", XLOOKUP(SUMIFS(Prod_Prop!$A:$A,Prod_Prop!$B:$B,$E887,Prod_Prop!$H:$H,N$1,Prod_Prop!$I:$I,"Exacto"),Prod_Prop!$A:$A,Prod_Prop!$J:$J,"",0,1))</f>
        <v/>
      </c>
      <c r="O887" s="4" t="str">
        <f t="array" ref="O887">IF($E887="","", XLOOKUP(SUMIFS(Prod_Prop!$A:$A,Prod_Prop!$B:$B,$E887,Prod_Prop!$H:$H,O$1,Prod_Prop!$I:$I,"Exacto"),Prod_Prop!$A:$A,Prod_Prop!$J:$J,"",0,1))</f>
        <v/>
      </c>
      <c r="P887" s="4" t="str">
        <f t="array" ref="P887">IF($E887="","", XLOOKUP(SUMIFS(Prod_Prop!$A:$A,Prod_Prop!$B:$B,$E887,Prod_Prop!$H:$H,P$1,Prod_Prop!$I:$I,"Exacto"),Prod_Prop!$A:$A,Prod_Prop!$J:$J,"",0,1))</f>
        <v/>
      </c>
      <c r="Q887" s="4" t="str">
        <f t="array" ref="Q887">IF($E887="","", XLOOKUP(SUMIFS(Prod_Prop!$A:$A,Prod_Prop!$B:$B,$E887,Prod_Prop!$H:$H,Q$1,Prod_Prop!$I:$I,"Exacto"),Prod_Prop!$A:$A,Prod_Prop!$J:$J,"",0,1))</f>
        <v/>
      </c>
      <c r="R887" s="4" t="str">
        <f t="array" ref="R887">IF($E887="","", XLOOKUP(SUMIFS(Prod_Prop!$A:$A,Prod_Prop!$B:$B,$E887,Prod_Prop!$H:$H,R$1,Prod_Prop!$I:$I,"Exacto"),Prod_Prop!$A:$A,Prod_Prop!$J:$J,"",0,1))</f>
        <v/>
      </c>
      <c r="S887" s="4" t="str">
        <f t="array" ref="S887">IF($E887="","", XLOOKUP(SUMIFS(Prod_Prop!$A:$A,Prod_Prop!$B:$B,$E887,Prod_Prop!$H:$H,S$1,Prod_Prop!$I:$I,"Exacto"),Prod_Prop!$A:$A,Prod_Prop!$J:$J,"",0,1))</f>
        <v/>
      </c>
      <c r="T887" s="4" t="str">
        <f t="array" ref="T887">IF($E887="","", XLOOKUP(SUMIFS(Prod_Prop!$A:$A,Prod_Prop!$B:$B,$E887,Prod_Prop!$H:$H,T$1,Prod_Prop!$I:$I,"Exacto"),Prod_Prop!$A:$A,Prod_Prop!$J:$J,"",0,1))</f>
        <v/>
      </c>
      <c r="U887" s="4" t="str">
        <f t="array" ref="U887">IF($E887="","", XLOOKUP(SUMIFS(Prod_Prop!$A:$A,Prod_Prop!$B:$B,$E887,Prod_Prop!$H:$H,U$1,Prod_Prop!$I:$I,"Exacto"),Prod_Prop!$A:$A,Prod_Prop!$J:$J,"",0,1))</f>
        <v/>
      </c>
      <c r="V887" s="4" t="str">
        <f t="array" ref="V887">IF($E887="","", XLOOKUP(SUMIFS(Prod_Prop!$A:$A,Prod_Prop!$B:$B,$E887,Prod_Prop!$H:$H,V$1,Prod_Prop!$I:$I,"Exacto"),Prod_Prop!$A:$A,Prod_Prop!$J:$J,"",0,1))</f>
        <v/>
      </c>
      <c r="X887" s="3" t="str">
        <f>IFERROR(__xludf.DUMMYFUNCTION("IF(D887="""","""",IFERROR(TRANSPOSE(FILTER('Validaciones Cotizador'!U:U,'Validaciones Cotizador'!O:O=D887,'Validaciones Cotizador'!T:T=""x"")),""Finalizar""))"),"")</f>
        <v/>
      </c>
    </row>
    <row r="888">
      <c r="A888" s="2" t="str">
        <f t="array" ref="A888">IF(E888="","",XLOOKUP(D888,'Validaciones Cotizador'!C:C,'Validaciones Cotizador'!A:A,"",0,1))</f>
        <v/>
      </c>
      <c r="B888" s="2" t="str">
        <f t="array" ref="B888">IF(F888="","",XLOOKUP(F888,Productos!E:E,Productos!G:G,"",0,1))</f>
        <v/>
      </c>
      <c r="C888" s="2" t="str">
        <f>IF(A888="","",SUMIFS('Validaciones Cotizador'!B:B,'Validaciones Cotizador'!C:C,D888,'Validaciones Cotizador'!A:A,A888))</f>
        <v/>
      </c>
      <c r="D888" s="4" t="str">
        <f>IFERROR(__xludf.DUMMYFUNCTION("IF(OR(F887=""Finalizar"",F887="""",F887=""Selecciona..""),"""",IF(OR(F887=""-"",INDEX(filter(Familias!F:F,Familias!D:D=A887,Familias!E:E=C887),1)=""O""),D887+1,D887))"),"")</f>
        <v/>
      </c>
      <c r="E888" s="2" t="str">
        <f>IF(OR(F888="",F888="Selecciona.."),"",IF(D888="Implemento",SUMIF(Implementos!B:B,F888,Implementos!A:A),SUMIF(Productos!E:E,F888,Productos!A:A)))</f>
        <v/>
      </c>
      <c r="F888" s="2" t="str">
        <f t="shared" si="2"/>
        <v/>
      </c>
      <c r="G888" s="10" t="str">
        <f t="array" ref="G888">IF(OR(F888="",F888="-",F888="Selecciona..",F888="Finalizar"),"",IF(A888="Rodados",XLOOKUP(B888,'Validaciones Cotizador'!I:I,'Validaciones Cotizador'!J:J,0,0,1),1))</f>
        <v/>
      </c>
      <c r="H888" s="11" t="str">
        <f>IF(OR(F888="",F888="Selecciona.."),"",SUMIF(Precio_Productos!K:K,E888,Precio_Productos!J:J)*G888)</f>
        <v/>
      </c>
      <c r="I888" s="4" t="str">
        <f t="array" ref="I888">IF($E888="","", XLOOKUP(SUMIFS(Prod_Prop!$A:$A,Prod_Prop!$B:$B,$E888,Prod_Prop!$H:$H,I$1,Prod_Prop!$I:$I,"Exacto"),Prod_Prop!$A:$A,Prod_Prop!$J:$J,"",0,1))</f>
        <v/>
      </c>
      <c r="J888" s="4" t="str">
        <f t="array" ref="J888">IF($E888="","", XLOOKUP(SUMIFS(Prod_Prop!$A:$A,Prod_Prop!$B:$B,$E888,Prod_Prop!$H:$H,J$1,Prod_Prop!$I:$I,"Exacto"),Prod_Prop!$A:$A,Prod_Prop!$J:$J,"",0,1))</f>
        <v/>
      </c>
      <c r="K888" s="4" t="str">
        <f t="array" ref="K888">IF($E888="","", XLOOKUP(SUMIFS(Prod_Prop!$A:$A,Prod_Prop!$B:$B,$E888,Prod_Prop!$H:$H,K$1,Prod_Prop!$I:$I,"Exacto"),Prod_Prop!$A:$A,Prod_Prop!$J:$J,"",0,1))</f>
        <v/>
      </c>
      <c r="L888" s="4" t="str">
        <f t="array" ref="L888">IF($E888="","", XLOOKUP(SUMIFS(Prod_Prop!$A:$A,Prod_Prop!$B:$B,$E888,Prod_Prop!$H:$H,L$1,Prod_Prop!$I:$I,"Exacto"),Prod_Prop!$A:$A,Prod_Prop!$J:$J,"",0,1))</f>
        <v/>
      </c>
      <c r="M888" s="4" t="str">
        <f t="array" ref="M888">IF($E888="","", XLOOKUP(SUMIFS(Prod_Prop!$A:$A,Prod_Prop!$B:$B,$E888,Prod_Prop!$H:$H,M$1,Prod_Prop!$I:$I,"Exacto"),Prod_Prop!$A:$A,Prod_Prop!$J:$J,"",0,1))</f>
        <v/>
      </c>
      <c r="N888" s="4" t="str">
        <f t="array" ref="N888">IF($E888="","", XLOOKUP(SUMIFS(Prod_Prop!$A:$A,Prod_Prop!$B:$B,$E888,Prod_Prop!$H:$H,N$1,Prod_Prop!$I:$I,"Exacto"),Prod_Prop!$A:$A,Prod_Prop!$J:$J,"",0,1))</f>
        <v/>
      </c>
      <c r="O888" s="4" t="str">
        <f t="array" ref="O888">IF($E888="","", XLOOKUP(SUMIFS(Prod_Prop!$A:$A,Prod_Prop!$B:$B,$E888,Prod_Prop!$H:$H,O$1,Prod_Prop!$I:$I,"Exacto"),Prod_Prop!$A:$A,Prod_Prop!$J:$J,"",0,1))</f>
        <v/>
      </c>
      <c r="P888" s="4" t="str">
        <f t="array" ref="P888">IF($E888="","", XLOOKUP(SUMIFS(Prod_Prop!$A:$A,Prod_Prop!$B:$B,$E888,Prod_Prop!$H:$H,P$1,Prod_Prop!$I:$I,"Exacto"),Prod_Prop!$A:$A,Prod_Prop!$J:$J,"",0,1))</f>
        <v/>
      </c>
      <c r="Q888" s="4" t="str">
        <f t="array" ref="Q888">IF($E888="","", XLOOKUP(SUMIFS(Prod_Prop!$A:$A,Prod_Prop!$B:$B,$E888,Prod_Prop!$H:$H,Q$1,Prod_Prop!$I:$I,"Exacto"),Prod_Prop!$A:$A,Prod_Prop!$J:$J,"",0,1))</f>
        <v/>
      </c>
      <c r="R888" s="4" t="str">
        <f t="array" ref="R888">IF($E888="","", XLOOKUP(SUMIFS(Prod_Prop!$A:$A,Prod_Prop!$B:$B,$E888,Prod_Prop!$H:$H,R$1,Prod_Prop!$I:$I,"Exacto"),Prod_Prop!$A:$A,Prod_Prop!$J:$J,"",0,1))</f>
        <v/>
      </c>
      <c r="S888" s="4" t="str">
        <f t="array" ref="S888">IF($E888="","", XLOOKUP(SUMIFS(Prod_Prop!$A:$A,Prod_Prop!$B:$B,$E888,Prod_Prop!$H:$H,S$1,Prod_Prop!$I:$I,"Exacto"),Prod_Prop!$A:$A,Prod_Prop!$J:$J,"",0,1))</f>
        <v/>
      </c>
      <c r="T888" s="4" t="str">
        <f t="array" ref="T888">IF($E888="","", XLOOKUP(SUMIFS(Prod_Prop!$A:$A,Prod_Prop!$B:$B,$E888,Prod_Prop!$H:$H,T$1,Prod_Prop!$I:$I,"Exacto"),Prod_Prop!$A:$A,Prod_Prop!$J:$J,"",0,1))</f>
        <v/>
      </c>
      <c r="U888" s="4" t="str">
        <f t="array" ref="U888">IF($E888="","", XLOOKUP(SUMIFS(Prod_Prop!$A:$A,Prod_Prop!$B:$B,$E888,Prod_Prop!$H:$H,U$1,Prod_Prop!$I:$I,"Exacto"),Prod_Prop!$A:$A,Prod_Prop!$J:$J,"",0,1))</f>
        <v/>
      </c>
      <c r="V888" s="4" t="str">
        <f t="array" ref="V888">IF($E888="","", XLOOKUP(SUMIFS(Prod_Prop!$A:$A,Prod_Prop!$B:$B,$E888,Prod_Prop!$H:$H,V$1,Prod_Prop!$I:$I,"Exacto"),Prod_Prop!$A:$A,Prod_Prop!$J:$J,"",0,1))</f>
        <v/>
      </c>
      <c r="X888" s="3" t="str">
        <f>IFERROR(__xludf.DUMMYFUNCTION("IF(D888="""","""",IFERROR(TRANSPOSE(FILTER('Validaciones Cotizador'!U:U,'Validaciones Cotizador'!O:O=D888,'Validaciones Cotizador'!T:T=""x"")),""Finalizar""))"),"")</f>
        <v/>
      </c>
    </row>
    <row r="889">
      <c r="A889" s="2" t="str">
        <f t="array" ref="A889">IF(E889="","",XLOOKUP(D889,'Validaciones Cotizador'!C:C,'Validaciones Cotizador'!A:A,"",0,1))</f>
        <v/>
      </c>
      <c r="B889" s="2" t="str">
        <f t="array" ref="B889">IF(F889="","",XLOOKUP(F889,Productos!E:E,Productos!G:G,"",0,1))</f>
        <v/>
      </c>
      <c r="C889" s="2" t="str">
        <f>IF(A889="","",SUMIFS('Validaciones Cotizador'!B:B,'Validaciones Cotizador'!C:C,D889,'Validaciones Cotizador'!A:A,A889))</f>
        <v/>
      </c>
      <c r="D889" s="4" t="str">
        <f>IFERROR(__xludf.DUMMYFUNCTION("IF(OR(F888=""Finalizar"",F888="""",F888=""Selecciona..""),"""",IF(OR(F888=""-"",INDEX(filter(Familias!F:F,Familias!D:D=A888,Familias!E:E=C888),1)=""O""),D888+1,D888))"),"")</f>
        <v/>
      </c>
      <c r="E889" s="2" t="str">
        <f>IF(OR(F889="",F889="Selecciona.."),"",IF(D889="Implemento",SUMIF(Implementos!B:B,F889,Implementos!A:A),SUMIF(Productos!E:E,F889,Productos!A:A)))</f>
        <v/>
      </c>
      <c r="F889" s="2" t="str">
        <f t="shared" si="2"/>
        <v/>
      </c>
      <c r="G889" s="10" t="str">
        <f t="array" ref="G889">IF(OR(F889="",F889="-",F889="Selecciona..",F889="Finalizar"),"",IF(A889="Rodados",XLOOKUP(B889,'Validaciones Cotizador'!I:I,'Validaciones Cotizador'!J:J,0,0,1),1))</f>
        <v/>
      </c>
      <c r="H889" s="11" t="str">
        <f>IF(OR(F889="",F889="Selecciona.."),"",SUMIF(Precio_Productos!K:K,E889,Precio_Productos!J:J)*G889)</f>
        <v/>
      </c>
      <c r="I889" s="4" t="str">
        <f t="array" ref="I889">IF($E889="","", XLOOKUP(SUMIFS(Prod_Prop!$A:$A,Prod_Prop!$B:$B,$E889,Prod_Prop!$H:$H,I$1,Prod_Prop!$I:$I,"Exacto"),Prod_Prop!$A:$A,Prod_Prop!$J:$J,"",0,1))</f>
        <v/>
      </c>
      <c r="J889" s="4" t="str">
        <f t="array" ref="J889">IF($E889="","", XLOOKUP(SUMIFS(Prod_Prop!$A:$A,Prod_Prop!$B:$B,$E889,Prod_Prop!$H:$H,J$1,Prod_Prop!$I:$I,"Exacto"),Prod_Prop!$A:$A,Prod_Prop!$J:$J,"",0,1))</f>
        <v/>
      </c>
      <c r="K889" s="4" t="str">
        <f t="array" ref="K889">IF($E889="","", XLOOKUP(SUMIFS(Prod_Prop!$A:$A,Prod_Prop!$B:$B,$E889,Prod_Prop!$H:$H,K$1,Prod_Prop!$I:$I,"Exacto"),Prod_Prop!$A:$A,Prod_Prop!$J:$J,"",0,1))</f>
        <v/>
      </c>
      <c r="L889" s="4" t="str">
        <f t="array" ref="L889">IF($E889="","", XLOOKUP(SUMIFS(Prod_Prop!$A:$A,Prod_Prop!$B:$B,$E889,Prod_Prop!$H:$H,L$1,Prod_Prop!$I:$I,"Exacto"),Prod_Prop!$A:$A,Prod_Prop!$J:$J,"",0,1))</f>
        <v/>
      </c>
      <c r="M889" s="4" t="str">
        <f t="array" ref="M889">IF($E889="","", XLOOKUP(SUMIFS(Prod_Prop!$A:$A,Prod_Prop!$B:$B,$E889,Prod_Prop!$H:$H,M$1,Prod_Prop!$I:$I,"Exacto"),Prod_Prop!$A:$A,Prod_Prop!$J:$J,"",0,1))</f>
        <v/>
      </c>
      <c r="N889" s="4" t="str">
        <f t="array" ref="N889">IF($E889="","", XLOOKUP(SUMIFS(Prod_Prop!$A:$A,Prod_Prop!$B:$B,$E889,Prod_Prop!$H:$H,N$1,Prod_Prop!$I:$I,"Exacto"),Prod_Prop!$A:$A,Prod_Prop!$J:$J,"",0,1))</f>
        <v/>
      </c>
      <c r="O889" s="4" t="str">
        <f t="array" ref="O889">IF($E889="","", XLOOKUP(SUMIFS(Prod_Prop!$A:$A,Prod_Prop!$B:$B,$E889,Prod_Prop!$H:$H,O$1,Prod_Prop!$I:$I,"Exacto"),Prod_Prop!$A:$A,Prod_Prop!$J:$J,"",0,1))</f>
        <v/>
      </c>
      <c r="P889" s="4" t="str">
        <f t="array" ref="P889">IF($E889="","", XLOOKUP(SUMIFS(Prod_Prop!$A:$A,Prod_Prop!$B:$B,$E889,Prod_Prop!$H:$H,P$1,Prod_Prop!$I:$I,"Exacto"),Prod_Prop!$A:$A,Prod_Prop!$J:$J,"",0,1))</f>
        <v/>
      </c>
      <c r="Q889" s="4" t="str">
        <f t="array" ref="Q889">IF($E889="","", XLOOKUP(SUMIFS(Prod_Prop!$A:$A,Prod_Prop!$B:$B,$E889,Prod_Prop!$H:$H,Q$1,Prod_Prop!$I:$I,"Exacto"),Prod_Prop!$A:$A,Prod_Prop!$J:$J,"",0,1))</f>
        <v/>
      </c>
      <c r="R889" s="4" t="str">
        <f t="array" ref="R889">IF($E889="","", XLOOKUP(SUMIFS(Prod_Prop!$A:$A,Prod_Prop!$B:$B,$E889,Prod_Prop!$H:$H,R$1,Prod_Prop!$I:$I,"Exacto"),Prod_Prop!$A:$A,Prod_Prop!$J:$J,"",0,1))</f>
        <v/>
      </c>
      <c r="S889" s="4" t="str">
        <f t="array" ref="S889">IF($E889="","", XLOOKUP(SUMIFS(Prod_Prop!$A:$A,Prod_Prop!$B:$B,$E889,Prod_Prop!$H:$H,S$1,Prod_Prop!$I:$I,"Exacto"),Prod_Prop!$A:$A,Prod_Prop!$J:$J,"",0,1))</f>
        <v/>
      </c>
      <c r="T889" s="4" t="str">
        <f t="array" ref="T889">IF($E889="","", XLOOKUP(SUMIFS(Prod_Prop!$A:$A,Prod_Prop!$B:$B,$E889,Prod_Prop!$H:$H,T$1,Prod_Prop!$I:$I,"Exacto"),Prod_Prop!$A:$A,Prod_Prop!$J:$J,"",0,1))</f>
        <v/>
      </c>
      <c r="U889" s="4" t="str">
        <f t="array" ref="U889">IF($E889="","", XLOOKUP(SUMIFS(Prod_Prop!$A:$A,Prod_Prop!$B:$B,$E889,Prod_Prop!$H:$H,U$1,Prod_Prop!$I:$I,"Exacto"),Prod_Prop!$A:$A,Prod_Prop!$J:$J,"",0,1))</f>
        <v/>
      </c>
      <c r="V889" s="4" t="str">
        <f t="array" ref="V889">IF($E889="","", XLOOKUP(SUMIFS(Prod_Prop!$A:$A,Prod_Prop!$B:$B,$E889,Prod_Prop!$H:$H,V$1,Prod_Prop!$I:$I,"Exacto"),Prod_Prop!$A:$A,Prod_Prop!$J:$J,"",0,1))</f>
        <v/>
      </c>
      <c r="X889" s="3" t="str">
        <f>IFERROR(__xludf.DUMMYFUNCTION("IF(D889="""","""",IFERROR(TRANSPOSE(FILTER('Validaciones Cotizador'!U:U,'Validaciones Cotizador'!O:O=D889,'Validaciones Cotizador'!T:T=""x"")),""Finalizar""))"),"")</f>
        <v/>
      </c>
    </row>
    <row r="890">
      <c r="A890" s="2" t="str">
        <f t="array" ref="A890">IF(E890="","",XLOOKUP(D890,'Validaciones Cotizador'!C:C,'Validaciones Cotizador'!A:A,"",0,1))</f>
        <v/>
      </c>
      <c r="B890" s="2" t="str">
        <f t="array" ref="B890">IF(F890="","",XLOOKUP(F890,Productos!E:E,Productos!G:G,"",0,1))</f>
        <v/>
      </c>
      <c r="C890" s="2" t="str">
        <f>IF(A890="","",SUMIFS('Validaciones Cotizador'!B:B,'Validaciones Cotizador'!C:C,D890,'Validaciones Cotizador'!A:A,A890))</f>
        <v/>
      </c>
      <c r="D890" s="4" t="str">
        <f>IFERROR(__xludf.DUMMYFUNCTION("IF(OR(F889=""Finalizar"",F889="""",F889=""Selecciona..""),"""",IF(OR(F889=""-"",INDEX(filter(Familias!F:F,Familias!D:D=A889,Familias!E:E=C889),1)=""O""),D889+1,D889))"),"")</f>
        <v/>
      </c>
      <c r="E890" s="2" t="str">
        <f>IF(OR(F890="",F890="Selecciona.."),"",IF(D890="Implemento",SUMIF(Implementos!B:B,F890,Implementos!A:A),SUMIF(Productos!E:E,F890,Productos!A:A)))</f>
        <v/>
      </c>
      <c r="F890" s="2" t="str">
        <f t="shared" si="2"/>
        <v/>
      </c>
      <c r="G890" s="10" t="str">
        <f t="array" ref="G890">IF(OR(F890="",F890="-",F890="Selecciona..",F890="Finalizar"),"",IF(A890="Rodados",XLOOKUP(B890,'Validaciones Cotizador'!I:I,'Validaciones Cotizador'!J:J,0,0,1),1))</f>
        <v/>
      </c>
      <c r="H890" s="11" t="str">
        <f>IF(OR(F890="",F890="Selecciona.."),"",SUMIF(Precio_Productos!K:K,E890,Precio_Productos!J:J)*G890)</f>
        <v/>
      </c>
      <c r="I890" s="4" t="str">
        <f t="array" ref="I890">IF($E890="","", XLOOKUP(SUMIFS(Prod_Prop!$A:$A,Prod_Prop!$B:$B,$E890,Prod_Prop!$H:$H,I$1,Prod_Prop!$I:$I,"Exacto"),Prod_Prop!$A:$A,Prod_Prop!$J:$J,"",0,1))</f>
        <v/>
      </c>
      <c r="J890" s="4" t="str">
        <f t="array" ref="J890">IF($E890="","", XLOOKUP(SUMIFS(Prod_Prop!$A:$A,Prod_Prop!$B:$B,$E890,Prod_Prop!$H:$H,J$1,Prod_Prop!$I:$I,"Exacto"),Prod_Prop!$A:$A,Prod_Prop!$J:$J,"",0,1))</f>
        <v/>
      </c>
      <c r="K890" s="4" t="str">
        <f t="array" ref="K890">IF($E890="","", XLOOKUP(SUMIFS(Prod_Prop!$A:$A,Prod_Prop!$B:$B,$E890,Prod_Prop!$H:$H,K$1,Prod_Prop!$I:$I,"Exacto"),Prod_Prop!$A:$A,Prod_Prop!$J:$J,"",0,1))</f>
        <v/>
      </c>
      <c r="L890" s="4" t="str">
        <f t="array" ref="L890">IF($E890="","", XLOOKUP(SUMIFS(Prod_Prop!$A:$A,Prod_Prop!$B:$B,$E890,Prod_Prop!$H:$H,L$1,Prod_Prop!$I:$I,"Exacto"),Prod_Prop!$A:$A,Prod_Prop!$J:$J,"",0,1))</f>
        <v/>
      </c>
      <c r="M890" s="4" t="str">
        <f t="array" ref="M890">IF($E890="","", XLOOKUP(SUMIFS(Prod_Prop!$A:$A,Prod_Prop!$B:$B,$E890,Prod_Prop!$H:$H,M$1,Prod_Prop!$I:$I,"Exacto"),Prod_Prop!$A:$A,Prod_Prop!$J:$J,"",0,1))</f>
        <v/>
      </c>
      <c r="N890" s="4" t="str">
        <f t="array" ref="N890">IF($E890="","", XLOOKUP(SUMIFS(Prod_Prop!$A:$A,Prod_Prop!$B:$B,$E890,Prod_Prop!$H:$H,N$1,Prod_Prop!$I:$I,"Exacto"),Prod_Prop!$A:$A,Prod_Prop!$J:$J,"",0,1))</f>
        <v/>
      </c>
      <c r="O890" s="4" t="str">
        <f t="array" ref="O890">IF($E890="","", XLOOKUP(SUMIFS(Prod_Prop!$A:$A,Prod_Prop!$B:$B,$E890,Prod_Prop!$H:$H,O$1,Prod_Prop!$I:$I,"Exacto"),Prod_Prop!$A:$A,Prod_Prop!$J:$J,"",0,1))</f>
        <v/>
      </c>
      <c r="P890" s="4" t="str">
        <f t="array" ref="P890">IF($E890="","", XLOOKUP(SUMIFS(Prod_Prop!$A:$A,Prod_Prop!$B:$B,$E890,Prod_Prop!$H:$H,P$1,Prod_Prop!$I:$I,"Exacto"),Prod_Prop!$A:$A,Prod_Prop!$J:$J,"",0,1))</f>
        <v/>
      </c>
      <c r="Q890" s="4" t="str">
        <f t="array" ref="Q890">IF($E890="","", XLOOKUP(SUMIFS(Prod_Prop!$A:$A,Prod_Prop!$B:$B,$E890,Prod_Prop!$H:$H,Q$1,Prod_Prop!$I:$I,"Exacto"),Prod_Prop!$A:$A,Prod_Prop!$J:$J,"",0,1))</f>
        <v/>
      </c>
      <c r="R890" s="4" t="str">
        <f t="array" ref="R890">IF($E890="","", XLOOKUP(SUMIFS(Prod_Prop!$A:$A,Prod_Prop!$B:$B,$E890,Prod_Prop!$H:$H,R$1,Prod_Prop!$I:$I,"Exacto"),Prod_Prop!$A:$A,Prod_Prop!$J:$J,"",0,1))</f>
        <v/>
      </c>
      <c r="S890" s="4" t="str">
        <f t="array" ref="S890">IF($E890="","", XLOOKUP(SUMIFS(Prod_Prop!$A:$A,Prod_Prop!$B:$B,$E890,Prod_Prop!$H:$H,S$1,Prod_Prop!$I:$I,"Exacto"),Prod_Prop!$A:$A,Prod_Prop!$J:$J,"",0,1))</f>
        <v/>
      </c>
      <c r="T890" s="4" t="str">
        <f t="array" ref="T890">IF($E890="","", XLOOKUP(SUMIFS(Prod_Prop!$A:$A,Prod_Prop!$B:$B,$E890,Prod_Prop!$H:$H,T$1,Prod_Prop!$I:$I,"Exacto"),Prod_Prop!$A:$A,Prod_Prop!$J:$J,"",0,1))</f>
        <v/>
      </c>
      <c r="U890" s="4" t="str">
        <f t="array" ref="U890">IF($E890="","", XLOOKUP(SUMIFS(Prod_Prop!$A:$A,Prod_Prop!$B:$B,$E890,Prod_Prop!$H:$H,U$1,Prod_Prop!$I:$I,"Exacto"),Prod_Prop!$A:$A,Prod_Prop!$J:$J,"",0,1))</f>
        <v/>
      </c>
      <c r="V890" s="4" t="str">
        <f t="array" ref="V890">IF($E890="","", XLOOKUP(SUMIFS(Prod_Prop!$A:$A,Prod_Prop!$B:$B,$E890,Prod_Prop!$H:$H,V$1,Prod_Prop!$I:$I,"Exacto"),Prod_Prop!$A:$A,Prod_Prop!$J:$J,"",0,1))</f>
        <v/>
      </c>
      <c r="X890" s="3" t="str">
        <f>IFERROR(__xludf.DUMMYFUNCTION("IF(D890="""","""",IFERROR(TRANSPOSE(FILTER('Validaciones Cotizador'!U:U,'Validaciones Cotizador'!O:O=D890,'Validaciones Cotizador'!T:T=""x"")),""Finalizar""))"),"")</f>
        <v/>
      </c>
    </row>
    <row r="891">
      <c r="A891" s="2" t="str">
        <f t="array" ref="A891">IF(E891="","",XLOOKUP(D891,'Validaciones Cotizador'!C:C,'Validaciones Cotizador'!A:A,"",0,1))</f>
        <v/>
      </c>
      <c r="B891" s="2" t="str">
        <f t="array" ref="B891">IF(F891="","",XLOOKUP(F891,Productos!E:E,Productos!G:G,"",0,1))</f>
        <v/>
      </c>
      <c r="C891" s="2" t="str">
        <f>IF(A891="","",SUMIFS('Validaciones Cotizador'!B:B,'Validaciones Cotizador'!C:C,D891,'Validaciones Cotizador'!A:A,A891))</f>
        <v/>
      </c>
      <c r="D891" s="4" t="str">
        <f>IFERROR(__xludf.DUMMYFUNCTION("IF(OR(F890=""Finalizar"",F890="""",F890=""Selecciona..""),"""",IF(OR(F890=""-"",INDEX(filter(Familias!F:F,Familias!D:D=A890,Familias!E:E=C890),1)=""O""),D890+1,D890))"),"")</f>
        <v/>
      </c>
      <c r="E891" s="2" t="str">
        <f>IF(OR(F891="",F891="Selecciona.."),"",IF(D891="Implemento",SUMIF(Implementos!B:B,F891,Implementos!A:A),SUMIF(Productos!E:E,F891,Productos!A:A)))</f>
        <v/>
      </c>
      <c r="F891" s="2" t="str">
        <f t="shared" si="2"/>
        <v/>
      </c>
      <c r="G891" s="10" t="str">
        <f t="array" ref="G891">IF(OR(F891="",F891="-",F891="Selecciona..",F891="Finalizar"),"",IF(A891="Rodados",XLOOKUP(B891,'Validaciones Cotizador'!I:I,'Validaciones Cotizador'!J:J,0,0,1),1))</f>
        <v/>
      </c>
      <c r="H891" s="11" t="str">
        <f>IF(OR(F891="",F891="Selecciona.."),"",SUMIF(Precio_Productos!K:K,E891,Precio_Productos!J:J)*G891)</f>
        <v/>
      </c>
      <c r="I891" s="4" t="str">
        <f t="array" ref="I891">IF($E891="","", XLOOKUP(SUMIFS(Prod_Prop!$A:$A,Prod_Prop!$B:$B,$E891,Prod_Prop!$H:$H,I$1,Prod_Prop!$I:$I,"Exacto"),Prod_Prop!$A:$A,Prod_Prop!$J:$J,"",0,1))</f>
        <v/>
      </c>
      <c r="J891" s="4" t="str">
        <f t="array" ref="J891">IF($E891="","", XLOOKUP(SUMIFS(Prod_Prop!$A:$A,Prod_Prop!$B:$B,$E891,Prod_Prop!$H:$H,J$1,Prod_Prop!$I:$I,"Exacto"),Prod_Prop!$A:$A,Prod_Prop!$J:$J,"",0,1))</f>
        <v/>
      </c>
      <c r="K891" s="4" t="str">
        <f t="array" ref="K891">IF($E891="","", XLOOKUP(SUMIFS(Prod_Prop!$A:$A,Prod_Prop!$B:$B,$E891,Prod_Prop!$H:$H,K$1,Prod_Prop!$I:$I,"Exacto"),Prod_Prop!$A:$A,Prod_Prop!$J:$J,"",0,1))</f>
        <v/>
      </c>
      <c r="L891" s="4" t="str">
        <f t="array" ref="L891">IF($E891="","", XLOOKUP(SUMIFS(Prod_Prop!$A:$A,Prod_Prop!$B:$B,$E891,Prod_Prop!$H:$H,L$1,Prod_Prop!$I:$I,"Exacto"),Prod_Prop!$A:$A,Prod_Prop!$J:$J,"",0,1))</f>
        <v/>
      </c>
      <c r="M891" s="4" t="str">
        <f t="array" ref="M891">IF($E891="","", XLOOKUP(SUMIFS(Prod_Prop!$A:$A,Prod_Prop!$B:$B,$E891,Prod_Prop!$H:$H,M$1,Prod_Prop!$I:$I,"Exacto"),Prod_Prop!$A:$A,Prod_Prop!$J:$J,"",0,1))</f>
        <v/>
      </c>
      <c r="N891" s="4" t="str">
        <f t="array" ref="N891">IF($E891="","", XLOOKUP(SUMIFS(Prod_Prop!$A:$A,Prod_Prop!$B:$B,$E891,Prod_Prop!$H:$H,N$1,Prod_Prop!$I:$I,"Exacto"),Prod_Prop!$A:$A,Prod_Prop!$J:$J,"",0,1))</f>
        <v/>
      </c>
      <c r="O891" s="4" t="str">
        <f t="array" ref="O891">IF($E891="","", XLOOKUP(SUMIFS(Prod_Prop!$A:$A,Prod_Prop!$B:$B,$E891,Prod_Prop!$H:$H,O$1,Prod_Prop!$I:$I,"Exacto"),Prod_Prop!$A:$A,Prod_Prop!$J:$J,"",0,1))</f>
        <v/>
      </c>
      <c r="P891" s="4" t="str">
        <f t="array" ref="P891">IF($E891="","", XLOOKUP(SUMIFS(Prod_Prop!$A:$A,Prod_Prop!$B:$B,$E891,Prod_Prop!$H:$H,P$1,Prod_Prop!$I:$I,"Exacto"),Prod_Prop!$A:$A,Prod_Prop!$J:$J,"",0,1))</f>
        <v/>
      </c>
      <c r="Q891" s="4" t="str">
        <f t="array" ref="Q891">IF($E891="","", XLOOKUP(SUMIFS(Prod_Prop!$A:$A,Prod_Prop!$B:$B,$E891,Prod_Prop!$H:$H,Q$1,Prod_Prop!$I:$I,"Exacto"),Prod_Prop!$A:$A,Prod_Prop!$J:$J,"",0,1))</f>
        <v/>
      </c>
      <c r="R891" s="4" t="str">
        <f t="array" ref="R891">IF($E891="","", XLOOKUP(SUMIFS(Prod_Prop!$A:$A,Prod_Prop!$B:$B,$E891,Prod_Prop!$H:$H,R$1,Prod_Prop!$I:$I,"Exacto"),Prod_Prop!$A:$A,Prod_Prop!$J:$J,"",0,1))</f>
        <v/>
      </c>
      <c r="S891" s="4" t="str">
        <f t="array" ref="S891">IF($E891="","", XLOOKUP(SUMIFS(Prod_Prop!$A:$A,Prod_Prop!$B:$B,$E891,Prod_Prop!$H:$H,S$1,Prod_Prop!$I:$I,"Exacto"),Prod_Prop!$A:$A,Prod_Prop!$J:$J,"",0,1))</f>
        <v/>
      </c>
      <c r="T891" s="4" t="str">
        <f t="array" ref="T891">IF($E891="","", XLOOKUP(SUMIFS(Prod_Prop!$A:$A,Prod_Prop!$B:$B,$E891,Prod_Prop!$H:$H,T$1,Prod_Prop!$I:$I,"Exacto"),Prod_Prop!$A:$A,Prod_Prop!$J:$J,"",0,1))</f>
        <v/>
      </c>
      <c r="U891" s="4" t="str">
        <f t="array" ref="U891">IF($E891="","", XLOOKUP(SUMIFS(Prod_Prop!$A:$A,Prod_Prop!$B:$B,$E891,Prod_Prop!$H:$H,U$1,Prod_Prop!$I:$I,"Exacto"),Prod_Prop!$A:$A,Prod_Prop!$J:$J,"",0,1))</f>
        <v/>
      </c>
      <c r="V891" s="4" t="str">
        <f t="array" ref="V891">IF($E891="","", XLOOKUP(SUMIFS(Prod_Prop!$A:$A,Prod_Prop!$B:$B,$E891,Prod_Prop!$H:$H,V$1,Prod_Prop!$I:$I,"Exacto"),Prod_Prop!$A:$A,Prod_Prop!$J:$J,"",0,1))</f>
        <v/>
      </c>
      <c r="X891" s="3" t="str">
        <f>IFERROR(__xludf.DUMMYFUNCTION("IF(D891="""","""",IFERROR(TRANSPOSE(FILTER('Validaciones Cotizador'!U:U,'Validaciones Cotizador'!O:O=D891,'Validaciones Cotizador'!T:T=""x"")),""Finalizar""))"),"")</f>
        <v/>
      </c>
    </row>
    <row r="892">
      <c r="A892" s="2" t="str">
        <f t="array" ref="A892">IF(E892="","",XLOOKUP(D892,'Validaciones Cotizador'!C:C,'Validaciones Cotizador'!A:A,"",0,1))</f>
        <v/>
      </c>
      <c r="B892" s="2" t="str">
        <f t="array" ref="B892">IF(F892="","",XLOOKUP(F892,Productos!E:E,Productos!G:G,"",0,1))</f>
        <v/>
      </c>
      <c r="C892" s="2" t="str">
        <f>IF(A892="","",SUMIFS('Validaciones Cotizador'!B:B,'Validaciones Cotizador'!C:C,D892,'Validaciones Cotizador'!A:A,A892))</f>
        <v/>
      </c>
      <c r="D892" s="4" t="str">
        <f>IFERROR(__xludf.DUMMYFUNCTION("IF(OR(F891=""Finalizar"",F891="""",F891=""Selecciona..""),"""",IF(OR(F891=""-"",INDEX(filter(Familias!F:F,Familias!D:D=A891,Familias!E:E=C891),1)=""O""),D891+1,D891))"),"")</f>
        <v/>
      </c>
      <c r="E892" s="2" t="str">
        <f>IF(OR(F892="",F892="Selecciona.."),"",IF(D892="Implemento",SUMIF(Implementos!B:B,F892,Implementos!A:A),SUMIF(Productos!E:E,F892,Productos!A:A)))</f>
        <v/>
      </c>
      <c r="F892" s="2" t="str">
        <f t="shared" si="2"/>
        <v/>
      </c>
      <c r="G892" s="10" t="str">
        <f t="array" ref="G892">IF(OR(F892="",F892="-",F892="Selecciona..",F892="Finalizar"),"",IF(A892="Rodados",XLOOKUP(B892,'Validaciones Cotizador'!I:I,'Validaciones Cotizador'!J:J,0,0,1),1))</f>
        <v/>
      </c>
      <c r="H892" s="11" t="str">
        <f>IF(OR(F892="",F892="Selecciona.."),"",SUMIF(Precio_Productos!K:K,E892,Precio_Productos!J:J)*G892)</f>
        <v/>
      </c>
      <c r="I892" s="4" t="str">
        <f t="array" ref="I892">IF($E892="","", XLOOKUP(SUMIFS(Prod_Prop!$A:$A,Prod_Prop!$B:$B,$E892,Prod_Prop!$H:$H,I$1,Prod_Prop!$I:$I,"Exacto"),Prod_Prop!$A:$A,Prod_Prop!$J:$J,"",0,1))</f>
        <v/>
      </c>
      <c r="J892" s="4" t="str">
        <f t="array" ref="J892">IF($E892="","", XLOOKUP(SUMIFS(Prod_Prop!$A:$A,Prod_Prop!$B:$B,$E892,Prod_Prop!$H:$H,J$1,Prod_Prop!$I:$I,"Exacto"),Prod_Prop!$A:$A,Prod_Prop!$J:$J,"",0,1))</f>
        <v/>
      </c>
      <c r="K892" s="4" t="str">
        <f t="array" ref="K892">IF($E892="","", XLOOKUP(SUMIFS(Prod_Prop!$A:$A,Prod_Prop!$B:$B,$E892,Prod_Prop!$H:$H,K$1,Prod_Prop!$I:$I,"Exacto"),Prod_Prop!$A:$A,Prod_Prop!$J:$J,"",0,1))</f>
        <v/>
      </c>
      <c r="L892" s="4" t="str">
        <f t="array" ref="L892">IF($E892="","", XLOOKUP(SUMIFS(Prod_Prop!$A:$A,Prod_Prop!$B:$B,$E892,Prod_Prop!$H:$H,L$1,Prod_Prop!$I:$I,"Exacto"),Prod_Prop!$A:$A,Prod_Prop!$J:$J,"",0,1))</f>
        <v/>
      </c>
      <c r="M892" s="4" t="str">
        <f t="array" ref="M892">IF($E892="","", XLOOKUP(SUMIFS(Prod_Prop!$A:$A,Prod_Prop!$B:$B,$E892,Prod_Prop!$H:$H,M$1,Prod_Prop!$I:$I,"Exacto"),Prod_Prop!$A:$A,Prod_Prop!$J:$J,"",0,1))</f>
        <v/>
      </c>
      <c r="N892" s="4" t="str">
        <f t="array" ref="N892">IF($E892="","", XLOOKUP(SUMIFS(Prod_Prop!$A:$A,Prod_Prop!$B:$B,$E892,Prod_Prop!$H:$H,N$1,Prod_Prop!$I:$I,"Exacto"),Prod_Prop!$A:$A,Prod_Prop!$J:$J,"",0,1))</f>
        <v/>
      </c>
      <c r="O892" s="4" t="str">
        <f t="array" ref="O892">IF($E892="","", XLOOKUP(SUMIFS(Prod_Prop!$A:$A,Prod_Prop!$B:$B,$E892,Prod_Prop!$H:$H,O$1,Prod_Prop!$I:$I,"Exacto"),Prod_Prop!$A:$A,Prod_Prop!$J:$J,"",0,1))</f>
        <v/>
      </c>
      <c r="P892" s="4" t="str">
        <f t="array" ref="P892">IF($E892="","", XLOOKUP(SUMIFS(Prod_Prop!$A:$A,Prod_Prop!$B:$B,$E892,Prod_Prop!$H:$H,P$1,Prod_Prop!$I:$I,"Exacto"),Prod_Prop!$A:$A,Prod_Prop!$J:$J,"",0,1))</f>
        <v/>
      </c>
      <c r="Q892" s="4" t="str">
        <f t="array" ref="Q892">IF($E892="","", XLOOKUP(SUMIFS(Prod_Prop!$A:$A,Prod_Prop!$B:$B,$E892,Prod_Prop!$H:$H,Q$1,Prod_Prop!$I:$I,"Exacto"),Prod_Prop!$A:$A,Prod_Prop!$J:$J,"",0,1))</f>
        <v/>
      </c>
      <c r="R892" s="4" t="str">
        <f t="array" ref="R892">IF($E892="","", XLOOKUP(SUMIFS(Prod_Prop!$A:$A,Prod_Prop!$B:$B,$E892,Prod_Prop!$H:$H,R$1,Prod_Prop!$I:$I,"Exacto"),Prod_Prop!$A:$A,Prod_Prop!$J:$J,"",0,1))</f>
        <v/>
      </c>
      <c r="S892" s="4" t="str">
        <f t="array" ref="S892">IF($E892="","", XLOOKUP(SUMIFS(Prod_Prop!$A:$A,Prod_Prop!$B:$B,$E892,Prod_Prop!$H:$H,S$1,Prod_Prop!$I:$I,"Exacto"),Prod_Prop!$A:$A,Prod_Prop!$J:$J,"",0,1))</f>
        <v/>
      </c>
      <c r="T892" s="4" t="str">
        <f t="array" ref="T892">IF($E892="","", XLOOKUP(SUMIFS(Prod_Prop!$A:$A,Prod_Prop!$B:$B,$E892,Prod_Prop!$H:$H,T$1,Prod_Prop!$I:$I,"Exacto"),Prod_Prop!$A:$A,Prod_Prop!$J:$J,"",0,1))</f>
        <v/>
      </c>
      <c r="U892" s="4" t="str">
        <f t="array" ref="U892">IF($E892="","", XLOOKUP(SUMIFS(Prod_Prop!$A:$A,Prod_Prop!$B:$B,$E892,Prod_Prop!$H:$H,U$1,Prod_Prop!$I:$I,"Exacto"),Prod_Prop!$A:$A,Prod_Prop!$J:$J,"",0,1))</f>
        <v/>
      </c>
      <c r="V892" s="4" t="str">
        <f t="array" ref="V892">IF($E892="","", XLOOKUP(SUMIFS(Prod_Prop!$A:$A,Prod_Prop!$B:$B,$E892,Prod_Prop!$H:$H,V$1,Prod_Prop!$I:$I,"Exacto"),Prod_Prop!$A:$A,Prod_Prop!$J:$J,"",0,1))</f>
        <v/>
      </c>
      <c r="X892" s="3" t="str">
        <f>IFERROR(__xludf.DUMMYFUNCTION("IF(D892="""","""",IFERROR(TRANSPOSE(FILTER('Validaciones Cotizador'!U:U,'Validaciones Cotizador'!O:O=D892,'Validaciones Cotizador'!T:T=""x"")),""Finalizar""))"),"")</f>
        <v/>
      </c>
    </row>
    <row r="893">
      <c r="A893" s="2" t="str">
        <f t="array" ref="A893">IF(E893="","",XLOOKUP(D893,'Validaciones Cotizador'!C:C,'Validaciones Cotizador'!A:A,"",0,1))</f>
        <v/>
      </c>
      <c r="B893" s="2" t="str">
        <f t="array" ref="B893">IF(F893="","",XLOOKUP(F893,Productos!E:E,Productos!G:G,"",0,1))</f>
        <v/>
      </c>
      <c r="C893" s="2" t="str">
        <f>IF(A893="","",SUMIFS('Validaciones Cotizador'!B:B,'Validaciones Cotizador'!C:C,D893,'Validaciones Cotizador'!A:A,A893))</f>
        <v/>
      </c>
      <c r="D893" s="4" t="str">
        <f>IFERROR(__xludf.DUMMYFUNCTION("IF(OR(F892=""Finalizar"",F892="""",F892=""Selecciona..""),"""",IF(OR(F892=""-"",INDEX(filter(Familias!F:F,Familias!D:D=A892,Familias!E:E=C892),1)=""O""),D892+1,D892))"),"")</f>
        <v/>
      </c>
      <c r="E893" s="2" t="str">
        <f>IF(OR(F893="",F893="Selecciona.."),"",IF(D893="Implemento",SUMIF(Implementos!B:B,F893,Implementos!A:A),SUMIF(Productos!E:E,F893,Productos!A:A)))</f>
        <v/>
      </c>
      <c r="F893" s="2" t="str">
        <f t="shared" si="2"/>
        <v/>
      </c>
      <c r="G893" s="10" t="str">
        <f t="array" ref="G893">IF(OR(F893="",F893="-",F893="Selecciona..",F893="Finalizar"),"",IF(A893="Rodados",XLOOKUP(B893,'Validaciones Cotizador'!I:I,'Validaciones Cotizador'!J:J,0,0,1),1))</f>
        <v/>
      </c>
      <c r="H893" s="11" t="str">
        <f>IF(OR(F893="",F893="Selecciona.."),"",SUMIF(Precio_Productos!K:K,E893,Precio_Productos!J:J)*G893)</f>
        <v/>
      </c>
      <c r="I893" s="4" t="str">
        <f t="array" ref="I893">IF($E893="","", XLOOKUP(SUMIFS(Prod_Prop!$A:$A,Prod_Prop!$B:$B,$E893,Prod_Prop!$H:$H,I$1,Prod_Prop!$I:$I,"Exacto"),Prod_Prop!$A:$A,Prod_Prop!$J:$J,"",0,1))</f>
        <v/>
      </c>
      <c r="J893" s="4" t="str">
        <f t="array" ref="J893">IF($E893="","", XLOOKUP(SUMIFS(Prod_Prop!$A:$A,Prod_Prop!$B:$B,$E893,Prod_Prop!$H:$H,J$1,Prod_Prop!$I:$I,"Exacto"),Prod_Prop!$A:$A,Prod_Prop!$J:$J,"",0,1))</f>
        <v/>
      </c>
      <c r="K893" s="4" t="str">
        <f t="array" ref="K893">IF($E893="","", XLOOKUP(SUMIFS(Prod_Prop!$A:$A,Prod_Prop!$B:$B,$E893,Prod_Prop!$H:$H,K$1,Prod_Prop!$I:$I,"Exacto"),Prod_Prop!$A:$A,Prod_Prop!$J:$J,"",0,1))</f>
        <v/>
      </c>
      <c r="L893" s="4" t="str">
        <f t="array" ref="L893">IF($E893="","", XLOOKUP(SUMIFS(Prod_Prop!$A:$A,Prod_Prop!$B:$B,$E893,Prod_Prop!$H:$H,L$1,Prod_Prop!$I:$I,"Exacto"),Prod_Prop!$A:$A,Prod_Prop!$J:$J,"",0,1))</f>
        <v/>
      </c>
      <c r="M893" s="4" t="str">
        <f t="array" ref="M893">IF($E893="","", XLOOKUP(SUMIFS(Prod_Prop!$A:$A,Prod_Prop!$B:$B,$E893,Prod_Prop!$H:$H,M$1,Prod_Prop!$I:$I,"Exacto"),Prod_Prop!$A:$A,Prod_Prop!$J:$J,"",0,1))</f>
        <v/>
      </c>
      <c r="N893" s="4" t="str">
        <f t="array" ref="N893">IF($E893="","", XLOOKUP(SUMIFS(Prod_Prop!$A:$A,Prod_Prop!$B:$B,$E893,Prod_Prop!$H:$H,N$1,Prod_Prop!$I:$I,"Exacto"),Prod_Prop!$A:$A,Prod_Prop!$J:$J,"",0,1))</f>
        <v/>
      </c>
      <c r="O893" s="4" t="str">
        <f t="array" ref="O893">IF($E893="","", XLOOKUP(SUMIFS(Prod_Prop!$A:$A,Prod_Prop!$B:$B,$E893,Prod_Prop!$H:$H,O$1,Prod_Prop!$I:$I,"Exacto"),Prod_Prop!$A:$A,Prod_Prop!$J:$J,"",0,1))</f>
        <v/>
      </c>
      <c r="P893" s="4" t="str">
        <f t="array" ref="P893">IF($E893="","", XLOOKUP(SUMIFS(Prod_Prop!$A:$A,Prod_Prop!$B:$B,$E893,Prod_Prop!$H:$H,P$1,Prod_Prop!$I:$I,"Exacto"),Prod_Prop!$A:$A,Prod_Prop!$J:$J,"",0,1))</f>
        <v/>
      </c>
      <c r="Q893" s="4" t="str">
        <f t="array" ref="Q893">IF($E893="","", XLOOKUP(SUMIFS(Prod_Prop!$A:$A,Prod_Prop!$B:$B,$E893,Prod_Prop!$H:$H,Q$1,Prod_Prop!$I:$I,"Exacto"),Prod_Prop!$A:$A,Prod_Prop!$J:$J,"",0,1))</f>
        <v/>
      </c>
      <c r="R893" s="4" t="str">
        <f t="array" ref="R893">IF($E893="","", XLOOKUP(SUMIFS(Prod_Prop!$A:$A,Prod_Prop!$B:$B,$E893,Prod_Prop!$H:$H,R$1,Prod_Prop!$I:$I,"Exacto"),Prod_Prop!$A:$A,Prod_Prop!$J:$J,"",0,1))</f>
        <v/>
      </c>
      <c r="S893" s="4" t="str">
        <f t="array" ref="S893">IF($E893="","", XLOOKUP(SUMIFS(Prod_Prop!$A:$A,Prod_Prop!$B:$B,$E893,Prod_Prop!$H:$H,S$1,Prod_Prop!$I:$I,"Exacto"),Prod_Prop!$A:$A,Prod_Prop!$J:$J,"",0,1))</f>
        <v/>
      </c>
      <c r="T893" s="4" t="str">
        <f t="array" ref="T893">IF($E893="","", XLOOKUP(SUMIFS(Prod_Prop!$A:$A,Prod_Prop!$B:$B,$E893,Prod_Prop!$H:$H,T$1,Prod_Prop!$I:$I,"Exacto"),Prod_Prop!$A:$A,Prod_Prop!$J:$J,"",0,1))</f>
        <v/>
      </c>
      <c r="U893" s="4" t="str">
        <f t="array" ref="U893">IF($E893="","", XLOOKUP(SUMIFS(Prod_Prop!$A:$A,Prod_Prop!$B:$B,$E893,Prod_Prop!$H:$H,U$1,Prod_Prop!$I:$I,"Exacto"),Prod_Prop!$A:$A,Prod_Prop!$J:$J,"",0,1))</f>
        <v/>
      </c>
      <c r="V893" s="4" t="str">
        <f t="array" ref="V893">IF($E893="","", XLOOKUP(SUMIFS(Prod_Prop!$A:$A,Prod_Prop!$B:$B,$E893,Prod_Prop!$H:$H,V$1,Prod_Prop!$I:$I,"Exacto"),Prod_Prop!$A:$A,Prod_Prop!$J:$J,"",0,1))</f>
        <v/>
      </c>
      <c r="X893" s="3" t="str">
        <f>IFERROR(__xludf.DUMMYFUNCTION("IF(D893="""","""",IFERROR(TRANSPOSE(FILTER('Validaciones Cotizador'!U:U,'Validaciones Cotizador'!O:O=D893,'Validaciones Cotizador'!T:T=""x"")),""Finalizar""))"),"")</f>
        <v/>
      </c>
    </row>
    <row r="894">
      <c r="A894" s="2" t="str">
        <f t="array" ref="A894">IF(E894="","",XLOOKUP(D894,'Validaciones Cotizador'!C:C,'Validaciones Cotizador'!A:A,"",0,1))</f>
        <v/>
      </c>
      <c r="B894" s="2" t="str">
        <f t="array" ref="B894">IF(F894="","",XLOOKUP(F894,Productos!E:E,Productos!G:G,"",0,1))</f>
        <v/>
      </c>
      <c r="C894" s="2" t="str">
        <f>IF(A894="","",SUMIFS('Validaciones Cotizador'!B:B,'Validaciones Cotizador'!C:C,D894,'Validaciones Cotizador'!A:A,A894))</f>
        <v/>
      </c>
      <c r="D894" s="4" t="str">
        <f>IFERROR(__xludf.DUMMYFUNCTION("IF(OR(F893=""Finalizar"",F893="""",F893=""Selecciona..""),"""",IF(OR(F893=""-"",INDEX(filter(Familias!F:F,Familias!D:D=A893,Familias!E:E=C893),1)=""O""),D893+1,D893))"),"")</f>
        <v/>
      </c>
      <c r="E894" s="2" t="str">
        <f>IF(OR(F894="",F894="Selecciona.."),"",IF(D894="Implemento",SUMIF(Implementos!B:B,F894,Implementos!A:A),SUMIF(Productos!E:E,F894,Productos!A:A)))</f>
        <v/>
      </c>
      <c r="F894" s="2" t="str">
        <f t="shared" si="2"/>
        <v/>
      </c>
      <c r="G894" s="10" t="str">
        <f t="array" ref="G894">IF(OR(F894="",F894="-",F894="Selecciona..",F894="Finalizar"),"",IF(A894="Rodados",XLOOKUP(B894,'Validaciones Cotizador'!I:I,'Validaciones Cotizador'!J:J,0,0,1),1))</f>
        <v/>
      </c>
      <c r="H894" s="11" t="str">
        <f>IF(OR(F894="",F894="Selecciona.."),"",SUMIF(Precio_Productos!K:K,E894,Precio_Productos!J:J)*G894)</f>
        <v/>
      </c>
      <c r="I894" s="4" t="str">
        <f t="array" ref="I894">IF($E894="","", XLOOKUP(SUMIFS(Prod_Prop!$A:$A,Prod_Prop!$B:$B,$E894,Prod_Prop!$H:$H,I$1,Prod_Prop!$I:$I,"Exacto"),Prod_Prop!$A:$A,Prod_Prop!$J:$J,"",0,1))</f>
        <v/>
      </c>
      <c r="J894" s="4" t="str">
        <f t="array" ref="J894">IF($E894="","", XLOOKUP(SUMIFS(Prod_Prop!$A:$A,Prod_Prop!$B:$B,$E894,Prod_Prop!$H:$H,J$1,Prod_Prop!$I:$I,"Exacto"),Prod_Prop!$A:$A,Prod_Prop!$J:$J,"",0,1))</f>
        <v/>
      </c>
      <c r="K894" s="4" t="str">
        <f t="array" ref="K894">IF($E894="","", XLOOKUP(SUMIFS(Prod_Prop!$A:$A,Prod_Prop!$B:$B,$E894,Prod_Prop!$H:$H,K$1,Prod_Prop!$I:$I,"Exacto"),Prod_Prop!$A:$A,Prod_Prop!$J:$J,"",0,1))</f>
        <v/>
      </c>
      <c r="L894" s="4" t="str">
        <f t="array" ref="L894">IF($E894="","", XLOOKUP(SUMIFS(Prod_Prop!$A:$A,Prod_Prop!$B:$B,$E894,Prod_Prop!$H:$H,L$1,Prod_Prop!$I:$I,"Exacto"),Prod_Prop!$A:$A,Prod_Prop!$J:$J,"",0,1))</f>
        <v/>
      </c>
      <c r="M894" s="4" t="str">
        <f t="array" ref="M894">IF($E894="","", XLOOKUP(SUMIFS(Prod_Prop!$A:$A,Prod_Prop!$B:$B,$E894,Prod_Prop!$H:$H,M$1,Prod_Prop!$I:$I,"Exacto"),Prod_Prop!$A:$A,Prod_Prop!$J:$J,"",0,1))</f>
        <v/>
      </c>
      <c r="N894" s="4" t="str">
        <f t="array" ref="N894">IF($E894="","", XLOOKUP(SUMIFS(Prod_Prop!$A:$A,Prod_Prop!$B:$B,$E894,Prod_Prop!$H:$H,N$1,Prod_Prop!$I:$I,"Exacto"),Prod_Prop!$A:$A,Prod_Prop!$J:$J,"",0,1))</f>
        <v/>
      </c>
      <c r="O894" s="4" t="str">
        <f t="array" ref="O894">IF($E894="","", XLOOKUP(SUMIFS(Prod_Prop!$A:$A,Prod_Prop!$B:$B,$E894,Prod_Prop!$H:$H,O$1,Prod_Prop!$I:$I,"Exacto"),Prod_Prop!$A:$A,Prod_Prop!$J:$J,"",0,1))</f>
        <v/>
      </c>
      <c r="P894" s="4" t="str">
        <f t="array" ref="P894">IF($E894="","", XLOOKUP(SUMIFS(Prod_Prop!$A:$A,Prod_Prop!$B:$B,$E894,Prod_Prop!$H:$H,P$1,Prod_Prop!$I:$I,"Exacto"),Prod_Prop!$A:$A,Prod_Prop!$J:$J,"",0,1))</f>
        <v/>
      </c>
      <c r="Q894" s="4" t="str">
        <f t="array" ref="Q894">IF($E894="","", XLOOKUP(SUMIFS(Prod_Prop!$A:$A,Prod_Prop!$B:$B,$E894,Prod_Prop!$H:$H,Q$1,Prod_Prop!$I:$I,"Exacto"),Prod_Prop!$A:$A,Prod_Prop!$J:$J,"",0,1))</f>
        <v/>
      </c>
      <c r="R894" s="4" t="str">
        <f t="array" ref="R894">IF($E894="","", XLOOKUP(SUMIFS(Prod_Prop!$A:$A,Prod_Prop!$B:$B,$E894,Prod_Prop!$H:$H,R$1,Prod_Prop!$I:$I,"Exacto"),Prod_Prop!$A:$A,Prod_Prop!$J:$J,"",0,1))</f>
        <v/>
      </c>
      <c r="S894" s="4" t="str">
        <f t="array" ref="S894">IF($E894="","", XLOOKUP(SUMIFS(Prod_Prop!$A:$A,Prod_Prop!$B:$B,$E894,Prod_Prop!$H:$H,S$1,Prod_Prop!$I:$I,"Exacto"),Prod_Prop!$A:$A,Prod_Prop!$J:$J,"",0,1))</f>
        <v/>
      </c>
      <c r="T894" s="4" t="str">
        <f t="array" ref="T894">IF($E894="","", XLOOKUP(SUMIFS(Prod_Prop!$A:$A,Prod_Prop!$B:$B,$E894,Prod_Prop!$H:$H,T$1,Prod_Prop!$I:$I,"Exacto"),Prod_Prop!$A:$A,Prod_Prop!$J:$J,"",0,1))</f>
        <v/>
      </c>
      <c r="U894" s="4" t="str">
        <f t="array" ref="U894">IF($E894="","", XLOOKUP(SUMIFS(Prod_Prop!$A:$A,Prod_Prop!$B:$B,$E894,Prod_Prop!$H:$H,U$1,Prod_Prop!$I:$I,"Exacto"),Prod_Prop!$A:$A,Prod_Prop!$J:$J,"",0,1))</f>
        <v/>
      </c>
      <c r="V894" s="4" t="str">
        <f t="array" ref="V894">IF($E894="","", XLOOKUP(SUMIFS(Prod_Prop!$A:$A,Prod_Prop!$B:$B,$E894,Prod_Prop!$H:$H,V$1,Prod_Prop!$I:$I,"Exacto"),Prod_Prop!$A:$A,Prod_Prop!$J:$J,"",0,1))</f>
        <v/>
      </c>
      <c r="X894" s="3" t="str">
        <f>IFERROR(__xludf.DUMMYFUNCTION("IF(D894="""","""",IFERROR(TRANSPOSE(FILTER('Validaciones Cotizador'!U:U,'Validaciones Cotizador'!O:O=D894,'Validaciones Cotizador'!T:T=""x"")),""Finalizar""))"),"")</f>
        <v/>
      </c>
    </row>
    <row r="895">
      <c r="A895" s="2" t="str">
        <f t="array" ref="A895">IF(E895="","",XLOOKUP(D895,'Validaciones Cotizador'!C:C,'Validaciones Cotizador'!A:A,"",0,1))</f>
        <v/>
      </c>
      <c r="B895" s="2" t="str">
        <f t="array" ref="B895">IF(F895="","",XLOOKUP(F895,Productos!E:E,Productos!G:G,"",0,1))</f>
        <v/>
      </c>
      <c r="C895" s="2" t="str">
        <f>IF(A895="","",SUMIFS('Validaciones Cotizador'!B:B,'Validaciones Cotizador'!C:C,D895,'Validaciones Cotizador'!A:A,A895))</f>
        <v/>
      </c>
      <c r="D895" s="4" t="str">
        <f>IFERROR(__xludf.DUMMYFUNCTION("IF(OR(F894=""Finalizar"",F894="""",F894=""Selecciona..""),"""",IF(OR(F894=""-"",INDEX(filter(Familias!F:F,Familias!D:D=A894,Familias!E:E=C894),1)=""O""),D894+1,D894))"),"")</f>
        <v/>
      </c>
      <c r="E895" s="2" t="str">
        <f>IF(OR(F895="",F895="Selecciona.."),"",IF(D895="Implemento",SUMIF(Implementos!B:B,F895,Implementos!A:A),SUMIF(Productos!E:E,F895,Productos!A:A)))</f>
        <v/>
      </c>
      <c r="F895" s="2" t="str">
        <f t="shared" si="2"/>
        <v/>
      </c>
      <c r="G895" s="10" t="str">
        <f t="array" ref="G895">IF(OR(F895="",F895="-",F895="Selecciona..",F895="Finalizar"),"",IF(A895="Rodados",XLOOKUP(B895,'Validaciones Cotizador'!I:I,'Validaciones Cotizador'!J:J,0,0,1),1))</f>
        <v/>
      </c>
      <c r="H895" s="11" t="str">
        <f>IF(OR(F895="",F895="Selecciona.."),"",SUMIF(Precio_Productos!K:K,E895,Precio_Productos!J:J)*G895)</f>
        <v/>
      </c>
      <c r="I895" s="4" t="str">
        <f t="array" ref="I895">IF($E895="","", XLOOKUP(SUMIFS(Prod_Prop!$A:$A,Prod_Prop!$B:$B,$E895,Prod_Prop!$H:$H,I$1,Prod_Prop!$I:$I,"Exacto"),Prod_Prop!$A:$A,Prod_Prop!$J:$J,"",0,1))</f>
        <v/>
      </c>
      <c r="J895" s="4" t="str">
        <f t="array" ref="J895">IF($E895="","", XLOOKUP(SUMIFS(Prod_Prop!$A:$A,Prod_Prop!$B:$B,$E895,Prod_Prop!$H:$H,J$1,Prod_Prop!$I:$I,"Exacto"),Prod_Prop!$A:$A,Prod_Prop!$J:$J,"",0,1))</f>
        <v/>
      </c>
      <c r="K895" s="4" t="str">
        <f t="array" ref="K895">IF($E895="","", XLOOKUP(SUMIFS(Prod_Prop!$A:$A,Prod_Prop!$B:$B,$E895,Prod_Prop!$H:$H,K$1,Prod_Prop!$I:$I,"Exacto"),Prod_Prop!$A:$A,Prod_Prop!$J:$J,"",0,1))</f>
        <v/>
      </c>
      <c r="L895" s="4" t="str">
        <f t="array" ref="L895">IF($E895="","", XLOOKUP(SUMIFS(Prod_Prop!$A:$A,Prod_Prop!$B:$B,$E895,Prod_Prop!$H:$H,L$1,Prod_Prop!$I:$I,"Exacto"),Prod_Prop!$A:$A,Prod_Prop!$J:$J,"",0,1))</f>
        <v/>
      </c>
      <c r="M895" s="4" t="str">
        <f t="array" ref="M895">IF($E895="","", XLOOKUP(SUMIFS(Prod_Prop!$A:$A,Prod_Prop!$B:$B,$E895,Prod_Prop!$H:$H,M$1,Prod_Prop!$I:$I,"Exacto"),Prod_Prop!$A:$A,Prod_Prop!$J:$J,"",0,1))</f>
        <v/>
      </c>
      <c r="N895" s="4" t="str">
        <f t="array" ref="N895">IF($E895="","", XLOOKUP(SUMIFS(Prod_Prop!$A:$A,Prod_Prop!$B:$B,$E895,Prod_Prop!$H:$H,N$1,Prod_Prop!$I:$I,"Exacto"),Prod_Prop!$A:$A,Prod_Prop!$J:$J,"",0,1))</f>
        <v/>
      </c>
      <c r="O895" s="4" t="str">
        <f t="array" ref="O895">IF($E895="","", XLOOKUP(SUMIFS(Prod_Prop!$A:$A,Prod_Prop!$B:$B,$E895,Prod_Prop!$H:$H,O$1,Prod_Prop!$I:$I,"Exacto"),Prod_Prop!$A:$A,Prod_Prop!$J:$J,"",0,1))</f>
        <v/>
      </c>
      <c r="P895" s="4" t="str">
        <f t="array" ref="P895">IF($E895="","", XLOOKUP(SUMIFS(Prod_Prop!$A:$A,Prod_Prop!$B:$B,$E895,Prod_Prop!$H:$H,P$1,Prod_Prop!$I:$I,"Exacto"),Prod_Prop!$A:$A,Prod_Prop!$J:$J,"",0,1))</f>
        <v/>
      </c>
      <c r="Q895" s="4" t="str">
        <f t="array" ref="Q895">IF($E895="","", XLOOKUP(SUMIFS(Prod_Prop!$A:$A,Prod_Prop!$B:$B,$E895,Prod_Prop!$H:$H,Q$1,Prod_Prop!$I:$I,"Exacto"),Prod_Prop!$A:$A,Prod_Prop!$J:$J,"",0,1))</f>
        <v/>
      </c>
      <c r="R895" s="4" t="str">
        <f t="array" ref="R895">IF($E895="","", XLOOKUP(SUMIFS(Prod_Prop!$A:$A,Prod_Prop!$B:$B,$E895,Prod_Prop!$H:$H,R$1,Prod_Prop!$I:$I,"Exacto"),Prod_Prop!$A:$A,Prod_Prop!$J:$J,"",0,1))</f>
        <v/>
      </c>
      <c r="S895" s="4" t="str">
        <f t="array" ref="S895">IF($E895="","", XLOOKUP(SUMIFS(Prod_Prop!$A:$A,Prod_Prop!$B:$B,$E895,Prod_Prop!$H:$H,S$1,Prod_Prop!$I:$I,"Exacto"),Prod_Prop!$A:$A,Prod_Prop!$J:$J,"",0,1))</f>
        <v/>
      </c>
      <c r="T895" s="4" t="str">
        <f t="array" ref="T895">IF($E895="","", XLOOKUP(SUMIFS(Prod_Prop!$A:$A,Prod_Prop!$B:$B,$E895,Prod_Prop!$H:$H,T$1,Prod_Prop!$I:$I,"Exacto"),Prod_Prop!$A:$A,Prod_Prop!$J:$J,"",0,1))</f>
        <v/>
      </c>
      <c r="U895" s="4" t="str">
        <f t="array" ref="U895">IF($E895="","", XLOOKUP(SUMIFS(Prod_Prop!$A:$A,Prod_Prop!$B:$B,$E895,Prod_Prop!$H:$H,U$1,Prod_Prop!$I:$I,"Exacto"),Prod_Prop!$A:$A,Prod_Prop!$J:$J,"",0,1))</f>
        <v/>
      </c>
      <c r="V895" s="4" t="str">
        <f t="array" ref="V895">IF($E895="","", XLOOKUP(SUMIFS(Prod_Prop!$A:$A,Prod_Prop!$B:$B,$E895,Prod_Prop!$H:$H,V$1,Prod_Prop!$I:$I,"Exacto"),Prod_Prop!$A:$A,Prod_Prop!$J:$J,"",0,1))</f>
        <v/>
      </c>
      <c r="X895" s="3" t="str">
        <f>IFERROR(__xludf.DUMMYFUNCTION("IF(D895="""","""",IFERROR(TRANSPOSE(FILTER('Validaciones Cotizador'!U:U,'Validaciones Cotizador'!O:O=D895,'Validaciones Cotizador'!T:T=""x"")),""Finalizar""))"),"")</f>
        <v/>
      </c>
    </row>
    <row r="896">
      <c r="A896" s="2" t="str">
        <f t="array" ref="A896">IF(E896="","",XLOOKUP(D896,'Validaciones Cotizador'!C:C,'Validaciones Cotizador'!A:A,"",0,1))</f>
        <v/>
      </c>
      <c r="B896" s="2" t="str">
        <f t="array" ref="B896">IF(F896="","",XLOOKUP(F896,Productos!E:E,Productos!G:G,"",0,1))</f>
        <v/>
      </c>
      <c r="C896" s="2" t="str">
        <f>IF(A896="","",SUMIFS('Validaciones Cotizador'!B:B,'Validaciones Cotizador'!C:C,D896,'Validaciones Cotizador'!A:A,A896))</f>
        <v/>
      </c>
      <c r="D896" s="4" t="str">
        <f>IFERROR(__xludf.DUMMYFUNCTION("IF(OR(F895=""Finalizar"",F895="""",F895=""Selecciona..""),"""",IF(OR(F895=""-"",INDEX(filter(Familias!F:F,Familias!D:D=A895,Familias!E:E=C895),1)=""O""),D895+1,D895))"),"")</f>
        <v/>
      </c>
      <c r="E896" s="2" t="str">
        <f>IF(OR(F896="",F896="Selecciona.."),"",IF(D896="Implemento",SUMIF(Implementos!B:B,F896,Implementos!A:A),SUMIF(Productos!E:E,F896,Productos!A:A)))</f>
        <v/>
      </c>
      <c r="F896" s="2" t="str">
        <f t="shared" si="2"/>
        <v/>
      </c>
      <c r="G896" s="10" t="str">
        <f t="array" ref="G896">IF(OR(F896="",F896="-",F896="Selecciona..",F896="Finalizar"),"",IF(A896="Rodados",XLOOKUP(B896,'Validaciones Cotizador'!I:I,'Validaciones Cotizador'!J:J,0,0,1),1))</f>
        <v/>
      </c>
      <c r="H896" s="11" t="str">
        <f>IF(OR(F896="",F896="Selecciona.."),"",SUMIF(Precio_Productos!K:K,E896,Precio_Productos!J:J)*G896)</f>
        <v/>
      </c>
      <c r="I896" s="4" t="str">
        <f t="array" ref="I896">IF($E896="","", XLOOKUP(SUMIFS(Prod_Prop!$A:$A,Prod_Prop!$B:$B,$E896,Prod_Prop!$H:$H,I$1,Prod_Prop!$I:$I,"Exacto"),Prod_Prop!$A:$A,Prod_Prop!$J:$J,"",0,1))</f>
        <v/>
      </c>
      <c r="J896" s="4" t="str">
        <f t="array" ref="J896">IF($E896="","", XLOOKUP(SUMIFS(Prod_Prop!$A:$A,Prod_Prop!$B:$B,$E896,Prod_Prop!$H:$H,J$1,Prod_Prop!$I:$I,"Exacto"),Prod_Prop!$A:$A,Prod_Prop!$J:$J,"",0,1))</f>
        <v/>
      </c>
      <c r="K896" s="4" t="str">
        <f t="array" ref="K896">IF($E896="","", XLOOKUP(SUMIFS(Prod_Prop!$A:$A,Prod_Prop!$B:$B,$E896,Prod_Prop!$H:$H,K$1,Prod_Prop!$I:$I,"Exacto"),Prod_Prop!$A:$A,Prod_Prop!$J:$J,"",0,1))</f>
        <v/>
      </c>
      <c r="L896" s="4" t="str">
        <f t="array" ref="L896">IF($E896="","", XLOOKUP(SUMIFS(Prod_Prop!$A:$A,Prod_Prop!$B:$B,$E896,Prod_Prop!$H:$H,L$1,Prod_Prop!$I:$I,"Exacto"),Prod_Prop!$A:$A,Prod_Prop!$J:$J,"",0,1))</f>
        <v/>
      </c>
      <c r="M896" s="4" t="str">
        <f t="array" ref="M896">IF($E896="","", XLOOKUP(SUMIFS(Prod_Prop!$A:$A,Prod_Prop!$B:$B,$E896,Prod_Prop!$H:$H,M$1,Prod_Prop!$I:$I,"Exacto"),Prod_Prop!$A:$A,Prod_Prop!$J:$J,"",0,1))</f>
        <v/>
      </c>
      <c r="N896" s="4" t="str">
        <f t="array" ref="N896">IF($E896="","", XLOOKUP(SUMIFS(Prod_Prop!$A:$A,Prod_Prop!$B:$B,$E896,Prod_Prop!$H:$H,N$1,Prod_Prop!$I:$I,"Exacto"),Prod_Prop!$A:$A,Prod_Prop!$J:$J,"",0,1))</f>
        <v/>
      </c>
      <c r="O896" s="4" t="str">
        <f t="array" ref="O896">IF($E896="","", XLOOKUP(SUMIFS(Prod_Prop!$A:$A,Prod_Prop!$B:$B,$E896,Prod_Prop!$H:$H,O$1,Prod_Prop!$I:$I,"Exacto"),Prod_Prop!$A:$A,Prod_Prop!$J:$J,"",0,1))</f>
        <v/>
      </c>
      <c r="P896" s="4" t="str">
        <f t="array" ref="P896">IF($E896="","", XLOOKUP(SUMIFS(Prod_Prop!$A:$A,Prod_Prop!$B:$B,$E896,Prod_Prop!$H:$H,P$1,Prod_Prop!$I:$I,"Exacto"),Prod_Prop!$A:$A,Prod_Prop!$J:$J,"",0,1))</f>
        <v/>
      </c>
      <c r="Q896" s="4" t="str">
        <f t="array" ref="Q896">IF($E896="","", XLOOKUP(SUMIFS(Prod_Prop!$A:$A,Prod_Prop!$B:$B,$E896,Prod_Prop!$H:$H,Q$1,Prod_Prop!$I:$I,"Exacto"),Prod_Prop!$A:$A,Prod_Prop!$J:$J,"",0,1))</f>
        <v/>
      </c>
      <c r="R896" s="4" t="str">
        <f t="array" ref="R896">IF($E896="","", XLOOKUP(SUMIFS(Prod_Prop!$A:$A,Prod_Prop!$B:$B,$E896,Prod_Prop!$H:$H,R$1,Prod_Prop!$I:$I,"Exacto"),Prod_Prop!$A:$A,Prod_Prop!$J:$J,"",0,1))</f>
        <v/>
      </c>
      <c r="S896" s="4" t="str">
        <f t="array" ref="S896">IF($E896="","", XLOOKUP(SUMIFS(Prod_Prop!$A:$A,Prod_Prop!$B:$B,$E896,Prod_Prop!$H:$H,S$1,Prod_Prop!$I:$I,"Exacto"),Prod_Prop!$A:$A,Prod_Prop!$J:$J,"",0,1))</f>
        <v/>
      </c>
      <c r="T896" s="4" t="str">
        <f t="array" ref="T896">IF($E896="","", XLOOKUP(SUMIFS(Prod_Prop!$A:$A,Prod_Prop!$B:$B,$E896,Prod_Prop!$H:$H,T$1,Prod_Prop!$I:$I,"Exacto"),Prod_Prop!$A:$A,Prod_Prop!$J:$J,"",0,1))</f>
        <v/>
      </c>
      <c r="U896" s="4" t="str">
        <f t="array" ref="U896">IF($E896="","", XLOOKUP(SUMIFS(Prod_Prop!$A:$A,Prod_Prop!$B:$B,$E896,Prod_Prop!$H:$H,U$1,Prod_Prop!$I:$I,"Exacto"),Prod_Prop!$A:$A,Prod_Prop!$J:$J,"",0,1))</f>
        <v/>
      </c>
      <c r="V896" s="4" t="str">
        <f t="array" ref="V896">IF($E896="","", XLOOKUP(SUMIFS(Prod_Prop!$A:$A,Prod_Prop!$B:$B,$E896,Prod_Prop!$H:$H,V$1,Prod_Prop!$I:$I,"Exacto"),Prod_Prop!$A:$A,Prod_Prop!$J:$J,"",0,1))</f>
        <v/>
      </c>
      <c r="X896" s="3" t="str">
        <f>IFERROR(__xludf.DUMMYFUNCTION("IF(D896="""","""",IFERROR(TRANSPOSE(FILTER('Validaciones Cotizador'!U:U,'Validaciones Cotizador'!O:O=D896,'Validaciones Cotizador'!T:T=""x"")),""Finalizar""))"),"")</f>
        <v/>
      </c>
    </row>
    <row r="897">
      <c r="A897" s="2" t="str">
        <f t="array" ref="A897">IF(E897="","",XLOOKUP(D897,'Validaciones Cotizador'!C:C,'Validaciones Cotizador'!A:A,"",0,1))</f>
        <v/>
      </c>
      <c r="B897" s="2" t="str">
        <f t="array" ref="B897">IF(F897="","",XLOOKUP(F897,Productos!E:E,Productos!G:G,"",0,1))</f>
        <v/>
      </c>
      <c r="C897" s="2" t="str">
        <f>IF(A897="","",SUMIFS('Validaciones Cotizador'!B:B,'Validaciones Cotizador'!C:C,D897,'Validaciones Cotizador'!A:A,A897))</f>
        <v/>
      </c>
      <c r="D897" s="4" t="str">
        <f>IFERROR(__xludf.DUMMYFUNCTION("IF(OR(F896=""Finalizar"",F896="""",F896=""Selecciona..""),"""",IF(OR(F896=""-"",INDEX(filter(Familias!F:F,Familias!D:D=A896,Familias!E:E=C896),1)=""O""),D896+1,D896))"),"")</f>
        <v/>
      </c>
      <c r="E897" s="2" t="str">
        <f>IF(OR(F897="",F897="Selecciona.."),"",IF(D897="Implemento",SUMIF(Implementos!B:B,F897,Implementos!A:A),SUMIF(Productos!E:E,F897,Productos!A:A)))</f>
        <v/>
      </c>
      <c r="F897" s="2" t="str">
        <f t="shared" si="2"/>
        <v/>
      </c>
      <c r="G897" s="10" t="str">
        <f t="array" ref="G897">IF(OR(F897="",F897="-",F897="Selecciona..",F897="Finalizar"),"",IF(A897="Rodados",XLOOKUP(B897,'Validaciones Cotizador'!I:I,'Validaciones Cotizador'!J:J,0,0,1),1))</f>
        <v/>
      </c>
      <c r="H897" s="11" t="str">
        <f>IF(OR(F897="",F897="Selecciona.."),"",SUMIF(Precio_Productos!K:K,E897,Precio_Productos!J:J)*G897)</f>
        <v/>
      </c>
      <c r="I897" s="4" t="str">
        <f t="array" ref="I897">IF($E897="","", XLOOKUP(SUMIFS(Prod_Prop!$A:$A,Prod_Prop!$B:$B,$E897,Prod_Prop!$H:$H,I$1,Prod_Prop!$I:$I,"Exacto"),Prod_Prop!$A:$A,Prod_Prop!$J:$J,"",0,1))</f>
        <v/>
      </c>
      <c r="J897" s="4" t="str">
        <f t="array" ref="J897">IF($E897="","", XLOOKUP(SUMIFS(Prod_Prop!$A:$A,Prod_Prop!$B:$B,$E897,Prod_Prop!$H:$H,J$1,Prod_Prop!$I:$I,"Exacto"),Prod_Prop!$A:$A,Prod_Prop!$J:$J,"",0,1))</f>
        <v/>
      </c>
      <c r="K897" s="4" t="str">
        <f t="array" ref="K897">IF($E897="","", XLOOKUP(SUMIFS(Prod_Prop!$A:$A,Prod_Prop!$B:$B,$E897,Prod_Prop!$H:$H,K$1,Prod_Prop!$I:$I,"Exacto"),Prod_Prop!$A:$A,Prod_Prop!$J:$J,"",0,1))</f>
        <v/>
      </c>
      <c r="L897" s="4" t="str">
        <f t="array" ref="L897">IF($E897="","", XLOOKUP(SUMIFS(Prod_Prop!$A:$A,Prod_Prop!$B:$B,$E897,Prod_Prop!$H:$H,L$1,Prod_Prop!$I:$I,"Exacto"),Prod_Prop!$A:$A,Prod_Prop!$J:$J,"",0,1))</f>
        <v/>
      </c>
      <c r="M897" s="4" t="str">
        <f t="array" ref="M897">IF($E897="","", XLOOKUP(SUMIFS(Prod_Prop!$A:$A,Prod_Prop!$B:$B,$E897,Prod_Prop!$H:$H,M$1,Prod_Prop!$I:$I,"Exacto"),Prod_Prop!$A:$A,Prod_Prop!$J:$J,"",0,1))</f>
        <v/>
      </c>
      <c r="N897" s="4" t="str">
        <f t="array" ref="N897">IF($E897="","", XLOOKUP(SUMIFS(Prod_Prop!$A:$A,Prod_Prop!$B:$B,$E897,Prod_Prop!$H:$H,N$1,Prod_Prop!$I:$I,"Exacto"),Prod_Prop!$A:$A,Prod_Prop!$J:$J,"",0,1))</f>
        <v/>
      </c>
      <c r="O897" s="4" t="str">
        <f t="array" ref="O897">IF($E897="","", XLOOKUP(SUMIFS(Prod_Prop!$A:$A,Prod_Prop!$B:$B,$E897,Prod_Prop!$H:$H,O$1,Prod_Prop!$I:$I,"Exacto"),Prod_Prop!$A:$A,Prod_Prop!$J:$J,"",0,1))</f>
        <v/>
      </c>
      <c r="P897" s="4" t="str">
        <f t="array" ref="P897">IF($E897="","", XLOOKUP(SUMIFS(Prod_Prop!$A:$A,Prod_Prop!$B:$B,$E897,Prod_Prop!$H:$H,P$1,Prod_Prop!$I:$I,"Exacto"),Prod_Prop!$A:$A,Prod_Prop!$J:$J,"",0,1))</f>
        <v/>
      </c>
      <c r="Q897" s="4" t="str">
        <f t="array" ref="Q897">IF($E897="","", XLOOKUP(SUMIFS(Prod_Prop!$A:$A,Prod_Prop!$B:$B,$E897,Prod_Prop!$H:$H,Q$1,Prod_Prop!$I:$I,"Exacto"),Prod_Prop!$A:$A,Prod_Prop!$J:$J,"",0,1))</f>
        <v/>
      </c>
      <c r="R897" s="4" t="str">
        <f t="array" ref="R897">IF($E897="","", XLOOKUP(SUMIFS(Prod_Prop!$A:$A,Prod_Prop!$B:$B,$E897,Prod_Prop!$H:$H,R$1,Prod_Prop!$I:$I,"Exacto"),Prod_Prop!$A:$A,Prod_Prop!$J:$J,"",0,1))</f>
        <v/>
      </c>
      <c r="S897" s="4" t="str">
        <f t="array" ref="S897">IF($E897="","", XLOOKUP(SUMIFS(Prod_Prop!$A:$A,Prod_Prop!$B:$B,$E897,Prod_Prop!$H:$H,S$1,Prod_Prop!$I:$I,"Exacto"),Prod_Prop!$A:$A,Prod_Prop!$J:$J,"",0,1))</f>
        <v/>
      </c>
      <c r="T897" s="4" t="str">
        <f t="array" ref="T897">IF($E897="","", XLOOKUP(SUMIFS(Prod_Prop!$A:$A,Prod_Prop!$B:$B,$E897,Prod_Prop!$H:$H,T$1,Prod_Prop!$I:$I,"Exacto"),Prod_Prop!$A:$A,Prod_Prop!$J:$J,"",0,1))</f>
        <v/>
      </c>
      <c r="U897" s="4" t="str">
        <f t="array" ref="U897">IF($E897="","", XLOOKUP(SUMIFS(Prod_Prop!$A:$A,Prod_Prop!$B:$B,$E897,Prod_Prop!$H:$H,U$1,Prod_Prop!$I:$I,"Exacto"),Prod_Prop!$A:$A,Prod_Prop!$J:$J,"",0,1))</f>
        <v/>
      </c>
      <c r="V897" s="4" t="str">
        <f t="array" ref="V897">IF($E897="","", XLOOKUP(SUMIFS(Prod_Prop!$A:$A,Prod_Prop!$B:$B,$E897,Prod_Prop!$H:$H,V$1,Prod_Prop!$I:$I,"Exacto"),Prod_Prop!$A:$A,Prod_Prop!$J:$J,"",0,1))</f>
        <v/>
      </c>
      <c r="X897" s="3" t="str">
        <f>IFERROR(__xludf.DUMMYFUNCTION("IF(D897="""","""",IFERROR(TRANSPOSE(FILTER('Validaciones Cotizador'!U:U,'Validaciones Cotizador'!O:O=D897,'Validaciones Cotizador'!T:T=""x"")),""Finalizar""))"),"")</f>
        <v/>
      </c>
    </row>
    <row r="898">
      <c r="A898" s="2" t="str">
        <f t="array" ref="A898">IF(E898="","",XLOOKUP(D898,'Validaciones Cotizador'!C:C,'Validaciones Cotizador'!A:A,"",0,1))</f>
        <v/>
      </c>
      <c r="B898" s="2" t="str">
        <f t="array" ref="B898">IF(F898="","",XLOOKUP(F898,Productos!E:E,Productos!G:G,"",0,1))</f>
        <v/>
      </c>
      <c r="C898" s="2" t="str">
        <f>IF(A898="","",SUMIFS('Validaciones Cotizador'!B:B,'Validaciones Cotizador'!C:C,D898,'Validaciones Cotizador'!A:A,A898))</f>
        <v/>
      </c>
      <c r="D898" s="4" t="str">
        <f>IFERROR(__xludf.DUMMYFUNCTION("IF(OR(F897=""Finalizar"",F897="""",F897=""Selecciona..""),"""",IF(OR(F897=""-"",INDEX(filter(Familias!F:F,Familias!D:D=A897,Familias!E:E=C897),1)=""O""),D897+1,D897))"),"")</f>
        <v/>
      </c>
      <c r="E898" s="2" t="str">
        <f>IF(OR(F898="",F898="Selecciona.."),"",IF(D898="Implemento",SUMIF(Implementos!B:B,F898,Implementos!A:A),SUMIF(Productos!E:E,F898,Productos!A:A)))</f>
        <v/>
      </c>
      <c r="F898" s="2" t="str">
        <f t="shared" si="2"/>
        <v/>
      </c>
      <c r="G898" s="10" t="str">
        <f t="array" ref="G898">IF(OR(F898="",F898="-",F898="Selecciona..",F898="Finalizar"),"",IF(A898="Rodados",XLOOKUP(B898,'Validaciones Cotizador'!I:I,'Validaciones Cotizador'!J:J,0,0,1),1))</f>
        <v/>
      </c>
      <c r="H898" s="11" t="str">
        <f>IF(OR(F898="",F898="Selecciona.."),"",SUMIF(Precio_Productos!K:K,E898,Precio_Productos!J:J)*G898)</f>
        <v/>
      </c>
      <c r="I898" s="4" t="str">
        <f t="array" ref="I898">IF($E898="","", XLOOKUP(SUMIFS(Prod_Prop!$A:$A,Prod_Prop!$B:$B,$E898,Prod_Prop!$H:$H,I$1,Prod_Prop!$I:$I,"Exacto"),Prod_Prop!$A:$A,Prod_Prop!$J:$J,"",0,1))</f>
        <v/>
      </c>
      <c r="J898" s="4" t="str">
        <f t="array" ref="J898">IF($E898="","", XLOOKUP(SUMIFS(Prod_Prop!$A:$A,Prod_Prop!$B:$B,$E898,Prod_Prop!$H:$H,J$1,Prod_Prop!$I:$I,"Exacto"),Prod_Prop!$A:$A,Prod_Prop!$J:$J,"",0,1))</f>
        <v/>
      </c>
      <c r="K898" s="4" t="str">
        <f t="array" ref="K898">IF($E898="","", XLOOKUP(SUMIFS(Prod_Prop!$A:$A,Prod_Prop!$B:$B,$E898,Prod_Prop!$H:$H,K$1,Prod_Prop!$I:$I,"Exacto"),Prod_Prop!$A:$A,Prod_Prop!$J:$J,"",0,1))</f>
        <v/>
      </c>
      <c r="L898" s="4" t="str">
        <f t="array" ref="L898">IF($E898="","", XLOOKUP(SUMIFS(Prod_Prop!$A:$A,Prod_Prop!$B:$B,$E898,Prod_Prop!$H:$H,L$1,Prod_Prop!$I:$I,"Exacto"),Prod_Prop!$A:$A,Prod_Prop!$J:$J,"",0,1))</f>
        <v/>
      </c>
      <c r="M898" s="4" t="str">
        <f t="array" ref="M898">IF($E898="","", XLOOKUP(SUMIFS(Prod_Prop!$A:$A,Prod_Prop!$B:$B,$E898,Prod_Prop!$H:$H,M$1,Prod_Prop!$I:$I,"Exacto"),Prod_Prop!$A:$A,Prod_Prop!$J:$J,"",0,1))</f>
        <v/>
      </c>
      <c r="N898" s="4" t="str">
        <f t="array" ref="N898">IF($E898="","", XLOOKUP(SUMIFS(Prod_Prop!$A:$A,Prod_Prop!$B:$B,$E898,Prod_Prop!$H:$H,N$1,Prod_Prop!$I:$I,"Exacto"),Prod_Prop!$A:$A,Prod_Prop!$J:$J,"",0,1))</f>
        <v/>
      </c>
      <c r="O898" s="4" t="str">
        <f t="array" ref="O898">IF($E898="","", XLOOKUP(SUMIFS(Prod_Prop!$A:$A,Prod_Prop!$B:$B,$E898,Prod_Prop!$H:$H,O$1,Prod_Prop!$I:$I,"Exacto"),Prod_Prop!$A:$A,Prod_Prop!$J:$J,"",0,1))</f>
        <v/>
      </c>
      <c r="P898" s="4" t="str">
        <f t="array" ref="P898">IF($E898="","", XLOOKUP(SUMIFS(Prod_Prop!$A:$A,Prod_Prop!$B:$B,$E898,Prod_Prop!$H:$H,P$1,Prod_Prop!$I:$I,"Exacto"),Prod_Prop!$A:$A,Prod_Prop!$J:$J,"",0,1))</f>
        <v/>
      </c>
      <c r="Q898" s="4" t="str">
        <f t="array" ref="Q898">IF($E898="","", XLOOKUP(SUMIFS(Prod_Prop!$A:$A,Prod_Prop!$B:$B,$E898,Prod_Prop!$H:$H,Q$1,Prod_Prop!$I:$I,"Exacto"),Prod_Prop!$A:$A,Prod_Prop!$J:$J,"",0,1))</f>
        <v/>
      </c>
      <c r="R898" s="4" t="str">
        <f t="array" ref="R898">IF($E898="","", XLOOKUP(SUMIFS(Prod_Prop!$A:$A,Prod_Prop!$B:$B,$E898,Prod_Prop!$H:$H,R$1,Prod_Prop!$I:$I,"Exacto"),Prod_Prop!$A:$A,Prod_Prop!$J:$J,"",0,1))</f>
        <v/>
      </c>
      <c r="S898" s="4" t="str">
        <f t="array" ref="S898">IF($E898="","", XLOOKUP(SUMIFS(Prod_Prop!$A:$A,Prod_Prop!$B:$B,$E898,Prod_Prop!$H:$H,S$1,Prod_Prop!$I:$I,"Exacto"),Prod_Prop!$A:$A,Prod_Prop!$J:$J,"",0,1))</f>
        <v/>
      </c>
      <c r="T898" s="4" t="str">
        <f t="array" ref="T898">IF($E898="","", XLOOKUP(SUMIFS(Prod_Prop!$A:$A,Prod_Prop!$B:$B,$E898,Prod_Prop!$H:$H,T$1,Prod_Prop!$I:$I,"Exacto"),Prod_Prop!$A:$A,Prod_Prop!$J:$J,"",0,1))</f>
        <v/>
      </c>
      <c r="U898" s="4" t="str">
        <f t="array" ref="U898">IF($E898="","", XLOOKUP(SUMIFS(Prod_Prop!$A:$A,Prod_Prop!$B:$B,$E898,Prod_Prop!$H:$H,U$1,Prod_Prop!$I:$I,"Exacto"),Prod_Prop!$A:$A,Prod_Prop!$J:$J,"",0,1))</f>
        <v/>
      </c>
      <c r="V898" s="4" t="str">
        <f t="array" ref="V898">IF($E898="","", XLOOKUP(SUMIFS(Prod_Prop!$A:$A,Prod_Prop!$B:$B,$E898,Prod_Prop!$H:$H,V$1,Prod_Prop!$I:$I,"Exacto"),Prod_Prop!$A:$A,Prod_Prop!$J:$J,"",0,1))</f>
        <v/>
      </c>
      <c r="X898" s="3" t="str">
        <f>IFERROR(__xludf.DUMMYFUNCTION("IF(D898="""","""",IFERROR(TRANSPOSE(FILTER('Validaciones Cotizador'!U:U,'Validaciones Cotizador'!O:O=D898,'Validaciones Cotizador'!T:T=""x"")),""Finalizar""))"),"")</f>
        <v/>
      </c>
    </row>
    <row r="899">
      <c r="A899" s="2" t="str">
        <f t="array" ref="A899">IF(E899="","",XLOOKUP(D899,'Validaciones Cotizador'!C:C,'Validaciones Cotizador'!A:A,"",0,1))</f>
        <v/>
      </c>
      <c r="B899" s="2" t="str">
        <f t="array" ref="B899">IF(F899="","",XLOOKUP(F899,Productos!E:E,Productos!G:G,"",0,1))</f>
        <v/>
      </c>
      <c r="C899" s="2" t="str">
        <f>IF(A899="","",SUMIFS('Validaciones Cotizador'!B:B,'Validaciones Cotizador'!C:C,D899,'Validaciones Cotizador'!A:A,A899))</f>
        <v/>
      </c>
      <c r="D899" s="4" t="str">
        <f>IFERROR(__xludf.DUMMYFUNCTION("IF(OR(F898=""Finalizar"",F898="""",F898=""Selecciona..""),"""",IF(OR(F898=""-"",INDEX(filter(Familias!F:F,Familias!D:D=A898,Familias!E:E=C898),1)=""O""),D898+1,D898))"),"")</f>
        <v/>
      </c>
      <c r="E899" s="2" t="str">
        <f>IF(OR(F899="",F899="Selecciona.."),"",IF(D899="Implemento",SUMIF(Implementos!B:B,F899,Implementos!A:A),SUMIF(Productos!E:E,F899,Productos!A:A)))</f>
        <v/>
      </c>
      <c r="F899" s="2" t="str">
        <f t="shared" si="2"/>
        <v/>
      </c>
      <c r="G899" s="10" t="str">
        <f t="array" ref="G899">IF(OR(F899="",F899="-",F899="Selecciona..",F899="Finalizar"),"",IF(A899="Rodados",XLOOKUP(B899,'Validaciones Cotizador'!I:I,'Validaciones Cotizador'!J:J,0,0,1),1))</f>
        <v/>
      </c>
      <c r="H899" s="11" t="str">
        <f>IF(OR(F899="",F899="Selecciona.."),"",SUMIF(Precio_Productos!K:K,E899,Precio_Productos!J:J)*G899)</f>
        <v/>
      </c>
      <c r="I899" s="4" t="str">
        <f t="array" ref="I899">IF($E899="","", XLOOKUP(SUMIFS(Prod_Prop!$A:$A,Prod_Prop!$B:$B,$E899,Prod_Prop!$H:$H,I$1,Prod_Prop!$I:$I,"Exacto"),Prod_Prop!$A:$A,Prod_Prop!$J:$J,"",0,1))</f>
        <v/>
      </c>
      <c r="J899" s="4" t="str">
        <f t="array" ref="J899">IF($E899="","", XLOOKUP(SUMIFS(Prod_Prop!$A:$A,Prod_Prop!$B:$B,$E899,Prod_Prop!$H:$H,J$1,Prod_Prop!$I:$I,"Exacto"),Prod_Prop!$A:$A,Prod_Prop!$J:$J,"",0,1))</f>
        <v/>
      </c>
      <c r="K899" s="4" t="str">
        <f t="array" ref="K899">IF($E899="","", XLOOKUP(SUMIFS(Prod_Prop!$A:$A,Prod_Prop!$B:$B,$E899,Prod_Prop!$H:$H,K$1,Prod_Prop!$I:$I,"Exacto"),Prod_Prop!$A:$A,Prod_Prop!$J:$J,"",0,1))</f>
        <v/>
      </c>
      <c r="L899" s="4" t="str">
        <f t="array" ref="L899">IF($E899="","", XLOOKUP(SUMIFS(Prod_Prop!$A:$A,Prod_Prop!$B:$B,$E899,Prod_Prop!$H:$H,L$1,Prod_Prop!$I:$I,"Exacto"),Prod_Prop!$A:$A,Prod_Prop!$J:$J,"",0,1))</f>
        <v/>
      </c>
      <c r="M899" s="4" t="str">
        <f t="array" ref="M899">IF($E899="","", XLOOKUP(SUMIFS(Prod_Prop!$A:$A,Prod_Prop!$B:$B,$E899,Prod_Prop!$H:$H,M$1,Prod_Prop!$I:$I,"Exacto"),Prod_Prop!$A:$A,Prod_Prop!$J:$J,"",0,1))</f>
        <v/>
      </c>
      <c r="N899" s="4" t="str">
        <f t="array" ref="N899">IF($E899="","", XLOOKUP(SUMIFS(Prod_Prop!$A:$A,Prod_Prop!$B:$B,$E899,Prod_Prop!$H:$H,N$1,Prod_Prop!$I:$I,"Exacto"),Prod_Prop!$A:$A,Prod_Prop!$J:$J,"",0,1))</f>
        <v/>
      </c>
      <c r="O899" s="4" t="str">
        <f t="array" ref="O899">IF($E899="","", XLOOKUP(SUMIFS(Prod_Prop!$A:$A,Prod_Prop!$B:$B,$E899,Prod_Prop!$H:$H,O$1,Prod_Prop!$I:$I,"Exacto"),Prod_Prop!$A:$A,Prod_Prop!$J:$J,"",0,1))</f>
        <v/>
      </c>
      <c r="P899" s="4" t="str">
        <f t="array" ref="P899">IF($E899="","", XLOOKUP(SUMIFS(Prod_Prop!$A:$A,Prod_Prop!$B:$B,$E899,Prod_Prop!$H:$H,P$1,Prod_Prop!$I:$I,"Exacto"),Prod_Prop!$A:$A,Prod_Prop!$J:$J,"",0,1))</f>
        <v/>
      </c>
      <c r="Q899" s="4" t="str">
        <f t="array" ref="Q899">IF($E899="","", XLOOKUP(SUMIFS(Prod_Prop!$A:$A,Prod_Prop!$B:$B,$E899,Prod_Prop!$H:$H,Q$1,Prod_Prop!$I:$I,"Exacto"),Prod_Prop!$A:$A,Prod_Prop!$J:$J,"",0,1))</f>
        <v/>
      </c>
      <c r="R899" s="4" t="str">
        <f t="array" ref="R899">IF($E899="","", XLOOKUP(SUMIFS(Prod_Prop!$A:$A,Prod_Prop!$B:$B,$E899,Prod_Prop!$H:$H,R$1,Prod_Prop!$I:$I,"Exacto"),Prod_Prop!$A:$A,Prod_Prop!$J:$J,"",0,1))</f>
        <v/>
      </c>
      <c r="S899" s="4" t="str">
        <f t="array" ref="S899">IF($E899="","", XLOOKUP(SUMIFS(Prod_Prop!$A:$A,Prod_Prop!$B:$B,$E899,Prod_Prop!$H:$H,S$1,Prod_Prop!$I:$I,"Exacto"),Prod_Prop!$A:$A,Prod_Prop!$J:$J,"",0,1))</f>
        <v/>
      </c>
      <c r="T899" s="4" t="str">
        <f t="array" ref="T899">IF($E899="","", XLOOKUP(SUMIFS(Prod_Prop!$A:$A,Prod_Prop!$B:$B,$E899,Prod_Prop!$H:$H,T$1,Prod_Prop!$I:$I,"Exacto"),Prod_Prop!$A:$A,Prod_Prop!$J:$J,"",0,1))</f>
        <v/>
      </c>
      <c r="U899" s="4" t="str">
        <f t="array" ref="U899">IF($E899="","", XLOOKUP(SUMIFS(Prod_Prop!$A:$A,Prod_Prop!$B:$B,$E899,Prod_Prop!$H:$H,U$1,Prod_Prop!$I:$I,"Exacto"),Prod_Prop!$A:$A,Prod_Prop!$J:$J,"",0,1))</f>
        <v/>
      </c>
      <c r="V899" s="4" t="str">
        <f t="array" ref="V899">IF($E899="","", XLOOKUP(SUMIFS(Prod_Prop!$A:$A,Prod_Prop!$B:$B,$E899,Prod_Prop!$H:$H,V$1,Prod_Prop!$I:$I,"Exacto"),Prod_Prop!$A:$A,Prod_Prop!$J:$J,"",0,1))</f>
        <v/>
      </c>
      <c r="X899" s="3" t="str">
        <f>IFERROR(__xludf.DUMMYFUNCTION("IF(D899="""","""",IFERROR(TRANSPOSE(FILTER('Validaciones Cotizador'!U:U,'Validaciones Cotizador'!O:O=D899,'Validaciones Cotizador'!T:T=""x"")),""Finalizar""))"),"")</f>
        <v/>
      </c>
    </row>
    <row r="900">
      <c r="A900" s="2" t="str">
        <f t="array" ref="A900">IF(E900="","",XLOOKUP(D900,'Validaciones Cotizador'!C:C,'Validaciones Cotizador'!A:A,"",0,1))</f>
        <v/>
      </c>
      <c r="B900" s="2" t="str">
        <f t="array" ref="B900">IF(F900="","",XLOOKUP(F900,Productos!E:E,Productos!G:G,"",0,1))</f>
        <v/>
      </c>
      <c r="C900" s="2" t="str">
        <f>IF(A900="","",SUMIFS('Validaciones Cotizador'!B:B,'Validaciones Cotizador'!C:C,D900,'Validaciones Cotizador'!A:A,A900))</f>
        <v/>
      </c>
      <c r="D900" s="4" t="str">
        <f>IFERROR(__xludf.DUMMYFUNCTION("IF(OR(F899=""Finalizar"",F899="""",F899=""Selecciona..""),"""",IF(OR(F899=""-"",INDEX(filter(Familias!F:F,Familias!D:D=A899,Familias!E:E=C899),1)=""O""),D899+1,D899))"),"")</f>
        <v/>
      </c>
      <c r="E900" s="2" t="str">
        <f>IF(OR(F900="",F900="Selecciona.."),"",IF(D900="Implemento",SUMIF(Implementos!B:B,F900,Implementos!A:A),SUMIF(Productos!E:E,F900,Productos!A:A)))</f>
        <v/>
      </c>
      <c r="F900" s="2" t="str">
        <f t="shared" si="2"/>
        <v/>
      </c>
      <c r="G900" s="10" t="str">
        <f t="array" ref="G900">IF(OR(F900="",F900="-",F900="Selecciona..",F900="Finalizar"),"",IF(A900="Rodados",XLOOKUP(B900,'Validaciones Cotizador'!I:I,'Validaciones Cotizador'!J:J,0,0,1),1))</f>
        <v/>
      </c>
      <c r="H900" s="11" t="str">
        <f>IF(OR(F900="",F900="Selecciona.."),"",SUMIF(Precio_Productos!K:K,E900,Precio_Productos!J:J)*G900)</f>
        <v/>
      </c>
      <c r="I900" s="4" t="str">
        <f t="array" ref="I900">IF($E900="","", XLOOKUP(SUMIFS(Prod_Prop!$A:$A,Prod_Prop!$B:$B,$E900,Prod_Prop!$H:$H,I$1,Prod_Prop!$I:$I,"Exacto"),Prod_Prop!$A:$A,Prod_Prop!$J:$J,"",0,1))</f>
        <v/>
      </c>
      <c r="J900" s="4" t="str">
        <f t="array" ref="J900">IF($E900="","", XLOOKUP(SUMIFS(Prod_Prop!$A:$A,Prod_Prop!$B:$B,$E900,Prod_Prop!$H:$H,J$1,Prod_Prop!$I:$I,"Exacto"),Prod_Prop!$A:$A,Prod_Prop!$J:$J,"",0,1))</f>
        <v/>
      </c>
      <c r="K900" s="4" t="str">
        <f t="array" ref="K900">IF($E900="","", XLOOKUP(SUMIFS(Prod_Prop!$A:$A,Prod_Prop!$B:$B,$E900,Prod_Prop!$H:$H,K$1,Prod_Prop!$I:$I,"Exacto"),Prod_Prop!$A:$A,Prod_Prop!$J:$J,"",0,1))</f>
        <v/>
      </c>
      <c r="L900" s="4" t="str">
        <f t="array" ref="L900">IF($E900="","", XLOOKUP(SUMIFS(Prod_Prop!$A:$A,Prod_Prop!$B:$B,$E900,Prod_Prop!$H:$H,L$1,Prod_Prop!$I:$I,"Exacto"),Prod_Prop!$A:$A,Prod_Prop!$J:$J,"",0,1))</f>
        <v/>
      </c>
      <c r="M900" s="4" t="str">
        <f t="array" ref="M900">IF($E900="","", XLOOKUP(SUMIFS(Prod_Prop!$A:$A,Prod_Prop!$B:$B,$E900,Prod_Prop!$H:$H,M$1,Prod_Prop!$I:$I,"Exacto"),Prod_Prop!$A:$A,Prod_Prop!$J:$J,"",0,1))</f>
        <v/>
      </c>
      <c r="N900" s="4" t="str">
        <f t="array" ref="N900">IF($E900="","", XLOOKUP(SUMIFS(Prod_Prop!$A:$A,Prod_Prop!$B:$B,$E900,Prod_Prop!$H:$H,N$1,Prod_Prop!$I:$I,"Exacto"),Prod_Prop!$A:$A,Prod_Prop!$J:$J,"",0,1))</f>
        <v/>
      </c>
      <c r="O900" s="4" t="str">
        <f t="array" ref="O900">IF($E900="","", XLOOKUP(SUMIFS(Prod_Prop!$A:$A,Prod_Prop!$B:$B,$E900,Prod_Prop!$H:$H,O$1,Prod_Prop!$I:$I,"Exacto"),Prod_Prop!$A:$A,Prod_Prop!$J:$J,"",0,1))</f>
        <v/>
      </c>
      <c r="P900" s="4" t="str">
        <f t="array" ref="P900">IF($E900="","", XLOOKUP(SUMIFS(Prod_Prop!$A:$A,Prod_Prop!$B:$B,$E900,Prod_Prop!$H:$H,P$1,Prod_Prop!$I:$I,"Exacto"),Prod_Prop!$A:$A,Prod_Prop!$J:$J,"",0,1))</f>
        <v/>
      </c>
      <c r="Q900" s="4" t="str">
        <f t="array" ref="Q900">IF($E900="","", XLOOKUP(SUMIFS(Prod_Prop!$A:$A,Prod_Prop!$B:$B,$E900,Prod_Prop!$H:$H,Q$1,Prod_Prop!$I:$I,"Exacto"),Prod_Prop!$A:$A,Prod_Prop!$J:$J,"",0,1))</f>
        <v/>
      </c>
      <c r="R900" s="4" t="str">
        <f t="array" ref="R900">IF($E900="","", XLOOKUP(SUMIFS(Prod_Prop!$A:$A,Prod_Prop!$B:$B,$E900,Prod_Prop!$H:$H,R$1,Prod_Prop!$I:$I,"Exacto"),Prod_Prop!$A:$A,Prod_Prop!$J:$J,"",0,1))</f>
        <v/>
      </c>
      <c r="S900" s="4" t="str">
        <f t="array" ref="S900">IF($E900="","", XLOOKUP(SUMIFS(Prod_Prop!$A:$A,Prod_Prop!$B:$B,$E900,Prod_Prop!$H:$H,S$1,Prod_Prop!$I:$I,"Exacto"),Prod_Prop!$A:$A,Prod_Prop!$J:$J,"",0,1))</f>
        <v/>
      </c>
      <c r="T900" s="4" t="str">
        <f t="array" ref="T900">IF($E900="","", XLOOKUP(SUMIFS(Prod_Prop!$A:$A,Prod_Prop!$B:$B,$E900,Prod_Prop!$H:$H,T$1,Prod_Prop!$I:$I,"Exacto"),Prod_Prop!$A:$A,Prod_Prop!$J:$J,"",0,1))</f>
        <v/>
      </c>
      <c r="U900" s="4" t="str">
        <f t="array" ref="U900">IF($E900="","", XLOOKUP(SUMIFS(Prod_Prop!$A:$A,Prod_Prop!$B:$B,$E900,Prod_Prop!$H:$H,U$1,Prod_Prop!$I:$I,"Exacto"),Prod_Prop!$A:$A,Prod_Prop!$J:$J,"",0,1))</f>
        <v/>
      </c>
      <c r="V900" s="4" t="str">
        <f t="array" ref="V900">IF($E900="","", XLOOKUP(SUMIFS(Prod_Prop!$A:$A,Prod_Prop!$B:$B,$E900,Prod_Prop!$H:$H,V$1,Prod_Prop!$I:$I,"Exacto"),Prod_Prop!$A:$A,Prod_Prop!$J:$J,"",0,1))</f>
        <v/>
      </c>
      <c r="X900" s="3" t="str">
        <f>IFERROR(__xludf.DUMMYFUNCTION("IF(D900="""","""",IFERROR(TRANSPOSE(FILTER('Validaciones Cotizador'!U:U,'Validaciones Cotizador'!O:O=D900,'Validaciones Cotizador'!T:T=""x"")),""Finalizar""))"),"")</f>
        <v/>
      </c>
    </row>
    <row r="901">
      <c r="A901" s="2" t="str">
        <f t="array" ref="A901">IF(E901="","",XLOOKUP(D901,'Validaciones Cotizador'!C:C,'Validaciones Cotizador'!A:A,"",0,1))</f>
        <v/>
      </c>
      <c r="B901" s="2" t="str">
        <f t="array" ref="B901">IF(F901="","",XLOOKUP(F901,Productos!E:E,Productos!G:G,"",0,1))</f>
        <v/>
      </c>
      <c r="C901" s="2" t="str">
        <f>IF(A901="","",SUMIFS('Validaciones Cotizador'!B:B,'Validaciones Cotizador'!C:C,D901,'Validaciones Cotizador'!A:A,A901))</f>
        <v/>
      </c>
      <c r="D901" s="4" t="str">
        <f>IFERROR(__xludf.DUMMYFUNCTION("IF(OR(F900=""Finalizar"",F900="""",F900=""Selecciona..""),"""",IF(OR(F900=""-"",INDEX(filter(Familias!F:F,Familias!D:D=A900,Familias!E:E=C900),1)=""O""),D900+1,D900))"),"")</f>
        <v/>
      </c>
      <c r="E901" s="2" t="str">
        <f>IF(OR(F901="",F901="Selecciona.."),"",IF(D901="Implemento",SUMIF(Implementos!B:B,F901,Implementos!A:A),SUMIF(Productos!E:E,F901,Productos!A:A)))</f>
        <v/>
      </c>
      <c r="F901" s="2" t="str">
        <f t="shared" si="2"/>
        <v/>
      </c>
      <c r="G901" s="10" t="str">
        <f t="array" ref="G901">IF(OR(F901="",F901="-",F901="Selecciona..",F901="Finalizar"),"",IF(A901="Rodados",XLOOKUP(B901,'Validaciones Cotizador'!I:I,'Validaciones Cotizador'!J:J,0,0,1),1))</f>
        <v/>
      </c>
      <c r="H901" s="11" t="str">
        <f>IF(OR(F901="",F901="Selecciona.."),"",SUMIF(Precio_Productos!K:K,E901,Precio_Productos!J:J)*G901)</f>
        <v/>
      </c>
      <c r="I901" s="4" t="str">
        <f t="array" ref="I901">IF($E901="","", XLOOKUP(SUMIFS(Prod_Prop!$A:$A,Prod_Prop!$B:$B,$E901,Prod_Prop!$H:$H,I$1,Prod_Prop!$I:$I,"Exacto"),Prod_Prop!$A:$A,Prod_Prop!$J:$J,"",0,1))</f>
        <v/>
      </c>
      <c r="J901" s="4" t="str">
        <f t="array" ref="J901">IF($E901="","", XLOOKUP(SUMIFS(Prod_Prop!$A:$A,Prod_Prop!$B:$B,$E901,Prod_Prop!$H:$H,J$1,Prod_Prop!$I:$I,"Exacto"),Prod_Prop!$A:$A,Prod_Prop!$J:$J,"",0,1))</f>
        <v/>
      </c>
      <c r="K901" s="4" t="str">
        <f t="array" ref="K901">IF($E901="","", XLOOKUP(SUMIFS(Prod_Prop!$A:$A,Prod_Prop!$B:$B,$E901,Prod_Prop!$H:$H,K$1,Prod_Prop!$I:$I,"Exacto"),Prod_Prop!$A:$A,Prod_Prop!$J:$J,"",0,1))</f>
        <v/>
      </c>
      <c r="L901" s="4" t="str">
        <f t="array" ref="L901">IF($E901="","", XLOOKUP(SUMIFS(Prod_Prop!$A:$A,Prod_Prop!$B:$B,$E901,Prod_Prop!$H:$H,L$1,Prod_Prop!$I:$I,"Exacto"),Prod_Prop!$A:$A,Prod_Prop!$J:$J,"",0,1))</f>
        <v/>
      </c>
      <c r="M901" s="4" t="str">
        <f t="array" ref="M901">IF($E901="","", XLOOKUP(SUMIFS(Prod_Prop!$A:$A,Prod_Prop!$B:$B,$E901,Prod_Prop!$H:$H,M$1,Prod_Prop!$I:$I,"Exacto"),Prod_Prop!$A:$A,Prod_Prop!$J:$J,"",0,1))</f>
        <v/>
      </c>
      <c r="N901" s="4" t="str">
        <f t="array" ref="N901">IF($E901="","", XLOOKUP(SUMIFS(Prod_Prop!$A:$A,Prod_Prop!$B:$B,$E901,Prod_Prop!$H:$H,N$1,Prod_Prop!$I:$I,"Exacto"),Prod_Prop!$A:$A,Prod_Prop!$J:$J,"",0,1))</f>
        <v/>
      </c>
      <c r="O901" s="4" t="str">
        <f t="array" ref="O901">IF($E901="","", XLOOKUP(SUMIFS(Prod_Prop!$A:$A,Prod_Prop!$B:$B,$E901,Prod_Prop!$H:$H,O$1,Prod_Prop!$I:$I,"Exacto"),Prod_Prop!$A:$A,Prod_Prop!$J:$J,"",0,1))</f>
        <v/>
      </c>
      <c r="P901" s="4" t="str">
        <f t="array" ref="P901">IF($E901="","", XLOOKUP(SUMIFS(Prod_Prop!$A:$A,Prod_Prop!$B:$B,$E901,Prod_Prop!$H:$H,P$1,Prod_Prop!$I:$I,"Exacto"),Prod_Prop!$A:$A,Prod_Prop!$J:$J,"",0,1))</f>
        <v/>
      </c>
      <c r="Q901" s="4" t="str">
        <f t="array" ref="Q901">IF($E901="","", XLOOKUP(SUMIFS(Prod_Prop!$A:$A,Prod_Prop!$B:$B,$E901,Prod_Prop!$H:$H,Q$1,Prod_Prop!$I:$I,"Exacto"),Prod_Prop!$A:$A,Prod_Prop!$J:$J,"",0,1))</f>
        <v/>
      </c>
      <c r="R901" s="4" t="str">
        <f t="array" ref="R901">IF($E901="","", XLOOKUP(SUMIFS(Prod_Prop!$A:$A,Prod_Prop!$B:$B,$E901,Prod_Prop!$H:$H,R$1,Prod_Prop!$I:$I,"Exacto"),Prod_Prop!$A:$A,Prod_Prop!$J:$J,"",0,1))</f>
        <v/>
      </c>
      <c r="S901" s="4" t="str">
        <f t="array" ref="S901">IF($E901="","", XLOOKUP(SUMIFS(Prod_Prop!$A:$A,Prod_Prop!$B:$B,$E901,Prod_Prop!$H:$H,S$1,Prod_Prop!$I:$I,"Exacto"),Prod_Prop!$A:$A,Prod_Prop!$J:$J,"",0,1))</f>
        <v/>
      </c>
      <c r="T901" s="4" t="str">
        <f t="array" ref="T901">IF($E901="","", XLOOKUP(SUMIFS(Prod_Prop!$A:$A,Prod_Prop!$B:$B,$E901,Prod_Prop!$H:$H,T$1,Prod_Prop!$I:$I,"Exacto"),Prod_Prop!$A:$A,Prod_Prop!$J:$J,"",0,1))</f>
        <v/>
      </c>
      <c r="U901" s="4" t="str">
        <f t="array" ref="U901">IF($E901="","", XLOOKUP(SUMIFS(Prod_Prop!$A:$A,Prod_Prop!$B:$B,$E901,Prod_Prop!$H:$H,U$1,Prod_Prop!$I:$I,"Exacto"),Prod_Prop!$A:$A,Prod_Prop!$J:$J,"",0,1))</f>
        <v/>
      </c>
      <c r="V901" s="4" t="str">
        <f t="array" ref="V901">IF($E901="","", XLOOKUP(SUMIFS(Prod_Prop!$A:$A,Prod_Prop!$B:$B,$E901,Prod_Prop!$H:$H,V$1,Prod_Prop!$I:$I,"Exacto"),Prod_Prop!$A:$A,Prod_Prop!$J:$J,"",0,1))</f>
        <v/>
      </c>
      <c r="X901" s="3" t="str">
        <f>IFERROR(__xludf.DUMMYFUNCTION("IF(D901="""","""",IFERROR(TRANSPOSE(FILTER('Validaciones Cotizador'!U:U,'Validaciones Cotizador'!O:O=D901,'Validaciones Cotizador'!T:T=""x"")),""Finalizar""))"),"")</f>
        <v/>
      </c>
    </row>
    <row r="902">
      <c r="A902" s="2" t="str">
        <f t="array" ref="A902">IF(E902="","",XLOOKUP(D902,'Validaciones Cotizador'!C:C,'Validaciones Cotizador'!A:A,"",0,1))</f>
        <v/>
      </c>
      <c r="B902" s="2" t="str">
        <f t="array" ref="B902">IF(F902="","",XLOOKUP(F902,Productos!E:E,Productos!G:G,"",0,1))</f>
        <v/>
      </c>
      <c r="C902" s="2" t="str">
        <f>IF(A902="","",SUMIFS('Validaciones Cotizador'!B:B,'Validaciones Cotizador'!C:C,D902,'Validaciones Cotizador'!A:A,A902))</f>
        <v/>
      </c>
      <c r="D902" s="4" t="str">
        <f>IFERROR(__xludf.DUMMYFUNCTION("IF(OR(F901=""Finalizar"",F901="""",F901=""Selecciona..""),"""",IF(OR(F901=""-"",INDEX(filter(Familias!F:F,Familias!D:D=A901,Familias!E:E=C901),1)=""O""),D901+1,D901))"),"")</f>
        <v/>
      </c>
      <c r="E902" s="2" t="str">
        <f>IF(OR(F902="",F902="Selecciona.."),"",IF(D902="Implemento",SUMIF(Implementos!B:B,F902,Implementos!A:A),SUMIF(Productos!E:E,F902,Productos!A:A)))</f>
        <v/>
      </c>
      <c r="F902" s="2" t="str">
        <f t="shared" si="2"/>
        <v/>
      </c>
      <c r="G902" s="10" t="str">
        <f t="array" ref="G902">IF(OR(F902="",F902="-",F902="Selecciona..",F902="Finalizar"),"",IF(A902="Rodados",XLOOKUP(B902,'Validaciones Cotizador'!I:I,'Validaciones Cotizador'!J:J,0,0,1),1))</f>
        <v/>
      </c>
      <c r="H902" s="11" t="str">
        <f>IF(OR(F902="",F902="Selecciona.."),"",SUMIF(Precio_Productos!K:K,E902,Precio_Productos!J:J)*G902)</f>
        <v/>
      </c>
      <c r="I902" s="4" t="str">
        <f t="array" ref="I902">IF($E902="","", XLOOKUP(SUMIFS(Prod_Prop!$A:$A,Prod_Prop!$B:$B,$E902,Prod_Prop!$H:$H,I$1,Prod_Prop!$I:$I,"Exacto"),Prod_Prop!$A:$A,Prod_Prop!$J:$J,"",0,1))</f>
        <v/>
      </c>
      <c r="J902" s="4" t="str">
        <f t="array" ref="J902">IF($E902="","", XLOOKUP(SUMIFS(Prod_Prop!$A:$A,Prod_Prop!$B:$B,$E902,Prod_Prop!$H:$H,J$1,Prod_Prop!$I:$I,"Exacto"),Prod_Prop!$A:$A,Prod_Prop!$J:$J,"",0,1))</f>
        <v/>
      </c>
      <c r="K902" s="4" t="str">
        <f t="array" ref="K902">IF($E902="","", XLOOKUP(SUMIFS(Prod_Prop!$A:$A,Prod_Prop!$B:$B,$E902,Prod_Prop!$H:$H,K$1,Prod_Prop!$I:$I,"Exacto"),Prod_Prop!$A:$A,Prod_Prop!$J:$J,"",0,1))</f>
        <v/>
      </c>
      <c r="L902" s="4" t="str">
        <f t="array" ref="L902">IF($E902="","", XLOOKUP(SUMIFS(Prod_Prop!$A:$A,Prod_Prop!$B:$B,$E902,Prod_Prop!$H:$H,L$1,Prod_Prop!$I:$I,"Exacto"),Prod_Prop!$A:$A,Prod_Prop!$J:$J,"",0,1))</f>
        <v/>
      </c>
      <c r="M902" s="4" t="str">
        <f t="array" ref="M902">IF($E902="","", XLOOKUP(SUMIFS(Prod_Prop!$A:$A,Prod_Prop!$B:$B,$E902,Prod_Prop!$H:$H,M$1,Prod_Prop!$I:$I,"Exacto"),Prod_Prop!$A:$A,Prod_Prop!$J:$J,"",0,1))</f>
        <v/>
      </c>
      <c r="N902" s="4" t="str">
        <f t="array" ref="N902">IF($E902="","", XLOOKUP(SUMIFS(Prod_Prop!$A:$A,Prod_Prop!$B:$B,$E902,Prod_Prop!$H:$H,N$1,Prod_Prop!$I:$I,"Exacto"),Prod_Prop!$A:$A,Prod_Prop!$J:$J,"",0,1))</f>
        <v/>
      </c>
      <c r="O902" s="4" t="str">
        <f t="array" ref="O902">IF($E902="","", XLOOKUP(SUMIFS(Prod_Prop!$A:$A,Prod_Prop!$B:$B,$E902,Prod_Prop!$H:$H,O$1,Prod_Prop!$I:$I,"Exacto"),Prod_Prop!$A:$A,Prod_Prop!$J:$J,"",0,1))</f>
        <v/>
      </c>
      <c r="P902" s="4" t="str">
        <f t="array" ref="P902">IF($E902="","", XLOOKUP(SUMIFS(Prod_Prop!$A:$A,Prod_Prop!$B:$B,$E902,Prod_Prop!$H:$H,P$1,Prod_Prop!$I:$I,"Exacto"),Prod_Prop!$A:$A,Prod_Prop!$J:$J,"",0,1))</f>
        <v/>
      </c>
      <c r="Q902" s="4" t="str">
        <f t="array" ref="Q902">IF($E902="","", XLOOKUP(SUMIFS(Prod_Prop!$A:$A,Prod_Prop!$B:$B,$E902,Prod_Prop!$H:$H,Q$1,Prod_Prop!$I:$I,"Exacto"),Prod_Prop!$A:$A,Prod_Prop!$J:$J,"",0,1))</f>
        <v/>
      </c>
      <c r="R902" s="4" t="str">
        <f t="array" ref="R902">IF($E902="","", XLOOKUP(SUMIFS(Prod_Prop!$A:$A,Prod_Prop!$B:$B,$E902,Prod_Prop!$H:$H,R$1,Prod_Prop!$I:$I,"Exacto"),Prod_Prop!$A:$A,Prod_Prop!$J:$J,"",0,1))</f>
        <v/>
      </c>
      <c r="S902" s="4" t="str">
        <f t="array" ref="S902">IF($E902="","", XLOOKUP(SUMIFS(Prod_Prop!$A:$A,Prod_Prop!$B:$B,$E902,Prod_Prop!$H:$H,S$1,Prod_Prop!$I:$I,"Exacto"),Prod_Prop!$A:$A,Prod_Prop!$J:$J,"",0,1))</f>
        <v/>
      </c>
      <c r="T902" s="4" t="str">
        <f t="array" ref="T902">IF($E902="","", XLOOKUP(SUMIFS(Prod_Prop!$A:$A,Prod_Prop!$B:$B,$E902,Prod_Prop!$H:$H,T$1,Prod_Prop!$I:$I,"Exacto"),Prod_Prop!$A:$A,Prod_Prop!$J:$J,"",0,1))</f>
        <v/>
      </c>
      <c r="U902" s="4" t="str">
        <f t="array" ref="U902">IF($E902="","", XLOOKUP(SUMIFS(Prod_Prop!$A:$A,Prod_Prop!$B:$B,$E902,Prod_Prop!$H:$H,U$1,Prod_Prop!$I:$I,"Exacto"),Prod_Prop!$A:$A,Prod_Prop!$J:$J,"",0,1))</f>
        <v/>
      </c>
      <c r="V902" s="4" t="str">
        <f t="array" ref="V902">IF($E902="","", XLOOKUP(SUMIFS(Prod_Prop!$A:$A,Prod_Prop!$B:$B,$E902,Prod_Prop!$H:$H,V$1,Prod_Prop!$I:$I,"Exacto"),Prod_Prop!$A:$A,Prod_Prop!$J:$J,"",0,1))</f>
        <v/>
      </c>
      <c r="X902" s="3" t="str">
        <f>IFERROR(__xludf.DUMMYFUNCTION("IF(D902="""","""",IFERROR(TRANSPOSE(FILTER('Validaciones Cotizador'!U:U,'Validaciones Cotizador'!O:O=D902,'Validaciones Cotizador'!T:T=""x"")),""Finalizar""))"),"")</f>
        <v/>
      </c>
    </row>
    <row r="903">
      <c r="A903" s="2" t="str">
        <f t="array" ref="A903">IF(E903="","",XLOOKUP(D903,'Validaciones Cotizador'!C:C,'Validaciones Cotizador'!A:A,"",0,1))</f>
        <v/>
      </c>
      <c r="B903" s="2" t="str">
        <f t="array" ref="B903">IF(F903="","",XLOOKUP(F903,Productos!E:E,Productos!G:G,"",0,1))</f>
        <v/>
      </c>
      <c r="C903" s="2" t="str">
        <f>IF(A903="","",SUMIFS('Validaciones Cotizador'!B:B,'Validaciones Cotizador'!C:C,D903,'Validaciones Cotizador'!A:A,A903))</f>
        <v/>
      </c>
      <c r="D903" s="4" t="str">
        <f>IFERROR(__xludf.DUMMYFUNCTION("IF(OR(F902=""Finalizar"",F902="""",F902=""Selecciona..""),"""",IF(OR(F902=""-"",INDEX(filter(Familias!F:F,Familias!D:D=A902,Familias!E:E=C902),1)=""O""),D902+1,D902))"),"")</f>
        <v/>
      </c>
      <c r="E903" s="2" t="str">
        <f>IF(OR(F903="",F903="Selecciona.."),"",IF(D903="Implemento",SUMIF(Implementos!B:B,F903,Implementos!A:A),SUMIF(Productos!E:E,F903,Productos!A:A)))</f>
        <v/>
      </c>
      <c r="F903" s="2" t="str">
        <f t="shared" si="2"/>
        <v/>
      </c>
      <c r="G903" s="10" t="str">
        <f t="array" ref="G903">IF(OR(F903="",F903="-",F903="Selecciona..",F903="Finalizar"),"",IF(A903="Rodados",XLOOKUP(B903,'Validaciones Cotizador'!I:I,'Validaciones Cotizador'!J:J,0,0,1),1))</f>
        <v/>
      </c>
      <c r="H903" s="11" t="str">
        <f>IF(OR(F903="",F903="Selecciona.."),"",SUMIF(Precio_Productos!K:K,E903,Precio_Productos!J:J)*G903)</f>
        <v/>
      </c>
      <c r="I903" s="4" t="str">
        <f t="array" ref="I903">IF($E903="","", XLOOKUP(SUMIFS(Prod_Prop!$A:$A,Prod_Prop!$B:$B,$E903,Prod_Prop!$H:$H,I$1,Prod_Prop!$I:$I,"Exacto"),Prod_Prop!$A:$A,Prod_Prop!$J:$J,"",0,1))</f>
        <v/>
      </c>
      <c r="J903" s="4" t="str">
        <f t="array" ref="J903">IF($E903="","", XLOOKUP(SUMIFS(Prod_Prop!$A:$A,Prod_Prop!$B:$B,$E903,Prod_Prop!$H:$H,J$1,Prod_Prop!$I:$I,"Exacto"),Prod_Prop!$A:$A,Prod_Prop!$J:$J,"",0,1))</f>
        <v/>
      </c>
      <c r="K903" s="4" t="str">
        <f t="array" ref="K903">IF($E903="","", XLOOKUP(SUMIFS(Prod_Prop!$A:$A,Prod_Prop!$B:$B,$E903,Prod_Prop!$H:$H,K$1,Prod_Prop!$I:$I,"Exacto"),Prod_Prop!$A:$A,Prod_Prop!$J:$J,"",0,1))</f>
        <v/>
      </c>
      <c r="L903" s="4" t="str">
        <f t="array" ref="L903">IF($E903="","", XLOOKUP(SUMIFS(Prod_Prop!$A:$A,Prod_Prop!$B:$B,$E903,Prod_Prop!$H:$H,L$1,Prod_Prop!$I:$I,"Exacto"),Prod_Prop!$A:$A,Prod_Prop!$J:$J,"",0,1))</f>
        <v/>
      </c>
      <c r="M903" s="4" t="str">
        <f t="array" ref="M903">IF($E903="","", XLOOKUP(SUMIFS(Prod_Prop!$A:$A,Prod_Prop!$B:$B,$E903,Prod_Prop!$H:$H,M$1,Prod_Prop!$I:$I,"Exacto"),Prod_Prop!$A:$A,Prod_Prop!$J:$J,"",0,1))</f>
        <v/>
      </c>
      <c r="N903" s="4" t="str">
        <f t="array" ref="N903">IF($E903="","", XLOOKUP(SUMIFS(Prod_Prop!$A:$A,Prod_Prop!$B:$B,$E903,Prod_Prop!$H:$H,N$1,Prod_Prop!$I:$I,"Exacto"),Prod_Prop!$A:$A,Prod_Prop!$J:$J,"",0,1))</f>
        <v/>
      </c>
      <c r="O903" s="4" t="str">
        <f t="array" ref="O903">IF($E903="","", XLOOKUP(SUMIFS(Prod_Prop!$A:$A,Prod_Prop!$B:$B,$E903,Prod_Prop!$H:$H,O$1,Prod_Prop!$I:$I,"Exacto"),Prod_Prop!$A:$A,Prod_Prop!$J:$J,"",0,1))</f>
        <v/>
      </c>
      <c r="P903" s="4" t="str">
        <f t="array" ref="P903">IF($E903="","", XLOOKUP(SUMIFS(Prod_Prop!$A:$A,Prod_Prop!$B:$B,$E903,Prod_Prop!$H:$H,P$1,Prod_Prop!$I:$I,"Exacto"),Prod_Prop!$A:$A,Prod_Prop!$J:$J,"",0,1))</f>
        <v/>
      </c>
      <c r="Q903" s="4" t="str">
        <f t="array" ref="Q903">IF($E903="","", XLOOKUP(SUMIFS(Prod_Prop!$A:$A,Prod_Prop!$B:$B,$E903,Prod_Prop!$H:$H,Q$1,Prod_Prop!$I:$I,"Exacto"),Prod_Prop!$A:$A,Prod_Prop!$J:$J,"",0,1))</f>
        <v/>
      </c>
      <c r="R903" s="4" t="str">
        <f t="array" ref="R903">IF($E903="","", XLOOKUP(SUMIFS(Prod_Prop!$A:$A,Prod_Prop!$B:$B,$E903,Prod_Prop!$H:$H,R$1,Prod_Prop!$I:$I,"Exacto"),Prod_Prop!$A:$A,Prod_Prop!$J:$J,"",0,1))</f>
        <v/>
      </c>
      <c r="S903" s="4" t="str">
        <f t="array" ref="S903">IF($E903="","", XLOOKUP(SUMIFS(Prod_Prop!$A:$A,Prod_Prop!$B:$B,$E903,Prod_Prop!$H:$H,S$1,Prod_Prop!$I:$I,"Exacto"),Prod_Prop!$A:$A,Prod_Prop!$J:$J,"",0,1))</f>
        <v/>
      </c>
      <c r="T903" s="4" t="str">
        <f t="array" ref="T903">IF($E903="","", XLOOKUP(SUMIFS(Prod_Prop!$A:$A,Prod_Prop!$B:$B,$E903,Prod_Prop!$H:$H,T$1,Prod_Prop!$I:$I,"Exacto"),Prod_Prop!$A:$A,Prod_Prop!$J:$J,"",0,1))</f>
        <v/>
      </c>
      <c r="U903" s="4" t="str">
        <f t="array" ref="U903">IF($E903="","", XLOOKUP(SUMIFS(Prod_Prop!$A:$A,Prod_Prop!$B:$B,$E903,Prod_Prop!$H:$H,U$1,Prod_Prop!$I:$I,"Exacto"),Prod_Prop!$A:$A,Prod_Prop!$J:$J,"",0,1))</f>
        <v/>
      </c>
      <c r="V903" s="4" t="str">
        <f t="array" ref="V903">IF($E903="","", XLOOKUP(SUMIFS(Prod_Prop!$A:$A,Prod_Prop!$B:$B,$E903,Prod_Prop!$H:$H,V$1,Prod_Prop!$I:$I,"Exacto"),Prod_Prop!$A:$A,Prod_Prop!$J:$J,"",0,1))</f>
        <v/>
      </c>
      <c r="X903" s="3" t="str">
        <f>IFERROR(__xludf.DUMMYFUNCTION("IF(D903="""","""",IFERROR(TRANSPOSE(FILTER('Validaciones Cotizador'!U:U,'Validaciones Cotizador'!O:O=D903,'Validaciones Cotizador'!T:T=""x"")),""Finalizar""))"),"")</f>
        <v/>
      </c>
    </row>
    <row r="904">
      <c r="A904" s="2" t="str">
        <f t="array" ref="A904">IF(E904="","",XLOOKUP(D904,'Validaciones Cotizador'!C:C,'Validaciones Cotizador'!A:A,"",0,1))</f>
        <v/>
      </c>
      <c r="B904" s="2" t="str">
        <f t="array" ref="B904">IF(F904="","",XLOOKUP(F904,Productos!E:E,Productos!G:G,"",0,1))</f>
        <v/>
      </c>
      <c r="C904" s="2" t="str">
        <f>IF(A904="","",SUMIFS('Validaciones Cotizador'!B:B,'Validaciones Cotizador'!C:C,D904,'Validaciones Cotizador'!A:A,A904))</f>
        <v/>
      </c>
      <c r="D904" s="4" t="str">
        <f>IFERROR(__xludf.DUMMYFUNCTION("IF(OR(F903=""Finalizar"",F903="""",F903=""Selecciona..""),"""",IF(OR(F903=""-"",INDEX(filter(Familias!F:F,Familias!D:D=A903,Familias!E:E=C903),1)=""O""),D903+1,D903))"),"")</f>
        <v/>
      </c>
      <c r="E904" s="2" t="str">
        <f>IF(OR(F904="",F904="Selecciona.."),"",IF(D904="Implemento",SUMIF(Implementos!B:B,F904,Implementos!A:A),SUMIF(Productos!E:E,F904,Productos!A:A)))</f>
        <v/>
      </c>
      <c r="F904" s="2" t="str">
        <f t="shared" si="2"/>
        <v/>
      </c>
      <c r="G904" s="10" t="str">
        <f t="array" ref="G904">IF(OR(F904="",F904="-",F904="Selecciona..",F904="Finalizar"),"",IF(A904="Rodados",XLOOKUP(B904,'Validaciones Cotizador'!I:I,'Validaciones Cotizador'!J:J,0,0,1),1))</f>
        <v/>
      </c>
      <c r="H904" s="11" t="str">
        <f>IF(OR(F904="",F904="Selecciona.."),"",SUMIF(Precio_Productos!K:K,E904,Precio_Productos!J:J)*G904)</f>
        <v/>
      </c>
      <c r="I904" s="4" t="str">
        <f t="array" ref="I904">IF($E904="","", XLOOKUP(SUMIFS(Prod_Prop!$A:$A,Prod_Prop!$B:$B,$E904,Prod_Prop!$H:$H,I$1,Prod_Prop!$I:$I,"Exacto"),Prod_Prop!$A:$A,Prod_Prop!$J:$J,"",0,1))</f>
        <v/>
      </c>
      <c r="J904" s="4" t="str">
        <f t="array" ref="J904">IF($E904="","", XLOOKUP(SUMIFS(Prod_Prop!$A:$A,Prod_Prop!$B:$B,$E904,Prod_Prop!$H:$H,J$1,Prod_Prop!$I:$I,"Exacto"),Prod_Prop!$A:$A,Prod_Prop!$J:$J,"",0,1))</f>
        <v/>
      </c>
      <c r="K904" s="4" t="str">
        <f t="array" ref="K904">IF($E904="","", XLOOKUP(SUMIFS(Prod_Prop!$A:$A,Prod_Prop!$B:$B,$E904,Prod_Prop!$H:$H,K$1,Prod_Prop!$I:$I,"Exacto"),Prod_Prop!$A:$A,Prod_Prop!$J:$J,"",0,1))</f>
        <v/>
      </c>
      <c r="L904" s="4" t="str">
        <f t="array" ref="L904">IF($E904="","", XLOOKUP(SUMIFS(Prod_Prop!$A:$A,Prod_Prop!$B:$B,$E904,Prod_Prop!$H:$H,L$1,Prod_Prop!$I:$I,"Exacto"),Prod_Prop!$A:$A,Prod_Prop!$J:$J,"",0,1))</f>
        <v/>
      </c>
      <c r="M904" s="4" t="str">
        <f t="array" ref="M904">IF($E904="","", XLOOKUP(SUMIFS(Prod_Prop!$A:$A,Prod_Prop!$B:$B,$E904,Prod_Prop!$H:$H,M$1,Prod_Prop!$I:$I,"Exacto"),Prod_Prop!$A:$A,Prod_Prop!$J:$J,"",0,1))</f>
        <v/>
      </c>
      <c r="N904" s="4" t="str">
        <f t="array" ref="N904">IF($E904="","", XLOOKUP(SUMIFS(Prod_Prop!$A:$A,Prod_Prop!$B:$B,$E904,Prod_Prop!$H:$H,N$1,Prod_Prop!$I:$I,"Exacto"),Prod_Prop!$A:$A,Prod_Prop!$J:$J,"",0,1))</f>
        <v/>
      </c>
      <c r="O904" s="4" t="str">
        <f t="array" ref="O904">IF($E904="","", XLOOKUP(SUMIFS(Prod_Prop!$A:$A,Prod_Prop!$B:$B,$E904,Prod_Prop!$H:$H,O$1,Prod_Prop!$I:$I,"Exacto"),Prod_Prop!$A:$A,Prod_Prop!$J:$J,"",0,1))</f>
        <v/>
      </c>
      <c r="P904" s="4" t="str">
        <f t="array" ref="P904">IF($E904="","", XLOOKUP(SUMIFS(Prod_Prop!$A:$A,Prod_Prop!$B:$B,$E904,Prod_Prop!$H:$H,P$1,Prod_Prop!$I:$I,"Exacto"),Prod_Prop!$A:$A,Prod_Prop!$J:$J,"",0,1))</f>
        <v/>
      </c>
      <c r="Q904" s="4" t="str">
        <f t="array" ref="Q904">IF($E904="","", XLOOKUP(SUMIFS(Prod_Prop!$A:$A,Prod_Prop!$B:$B,$E904,Prod_Prop!$H:$H,Q$1,Prod_Prop!$I:$I,"Exacto"),Prod_Prop!$A:$A,Prod_Prop!$J:$J,"",0,1))</f>
        <v/>
      </c>
      <c r="R904" s="4" t="str">
        <f t="array" ref="R904">IF($E904="","", XLOOKUP(SUMIFS(Prod_Prop!$A:$A,Prod_Prop!$B:$B,$E904,Prod_Prop!$H:$H,R$1,Prod_Prop!$I:$I,"Exacto"),Prod_Prop!$A:$A,Prod_Prop!$J:$J,"",0,1))</f>
        <v/>
      </c>
      <c r="S904" s="4" t="str">
        <f t="array" ref="S904">IF($E904="","", XLOOKUP(SUMIFS(Prod_Prop!$A:$A,Prod_Prop!$B:$B,$E904,Prod_Prop!$H:$H,S$1,Prod_Prop!$I:$I,"Exacto"),Prod_Prop!$A:$A,Prod_Prop!$J:$J,"",0,1))</f>
        <v/>
      </c>
      <c r="T904" s="4" t="str">
        <f t="array" ref="T904">IF($E904="","", XLOOKUP(SUMIFS(Prod_Prop!$A:$A,Prod_Prop!$B:$B,$E904,Prod_Prop!$H:$H,T$1,Prod_Prop!$I:$I,"Exacto"),Prod_Prop!$A:$A,Prod_Prop!$J:$J,"",0,1))</f>
        <v/>
      </c>
      <c r="U904" s="4" t="str">
        <f t="array" ref="U904">IF($E904="","", XLOOKUP(SUMIFS(Prod_Prop!$A:$A,Prod_Prop!$B:$B,$E904,Prod_Prop!$H:$H,U$1,Prod_Prop!$I:$I,"Exacto"),Prod_Prop!$A:$A,Prod_Prop!$J:$J,"",0,1))</f>
        <v/>
      </c>
      <c r="V904" s="4" t="str">
        <f t="array" ref="V904">IF($E904="","", XLOOKUP(SUMIFS(Prod_Prop!$A:$A,Prod_Prop!$B:$B,$E904,Prod_Prop!$H:$H,V$1,Prod_Prop!$I:$I,"Exacto"),Prod_Prop!$A:$A,Prod_Prop!$J:$J,"",0,1))</f>
        <v/>
      </c>
      <c r="X904" s="3" t="str">
        <f>IFERROR(__xludf.DUMMYFUNCTION("IF(D904="""","""",IFERROR(TRANSPOSE(FILTER('Validaciones Cotizador'!U:U,'Validaciones Cotizador'!O:O=D904,'Validaciones Cotizador'!T:T=""x"")),""Finalizar""))"),"")</f>
        <v/>
      </c>
    </row>
    <row r="905">
      <c r="A905" s="2" t="str">
        <f t="array" ref="A905">IF(E905="","",XLOOKUP(D905,'Validaciones Cotizador'!C:C,'Validaciones Cotizador'!A:A,"",0,1))</f>
        <v/>
      </c>
      <c r="B905" s="2" t="str">
        <f t="array" ref="B905">IF(F905="","",XLOOKUP(F905,Productos!E:E,Productos!G:G,"",0,1))</f>
        <v/>
      </c>
      <c r="C905" s="2" t="str">
        <f>IF(A905="","",SUMIFS('Validaciones Cotizador'!B:B,'Validaciones Cotizador'!C:C,D905,'Validaciones Cotizador'!A:A,A905))</f>
        <v/>
      </c>
      <c r="D905" s="4" t="str">
        <f>IFERROR(__xludf.DUMMYFUNCTION("IF(OR(F904=""Finalizar"",F904="""",F904=""Selecciona..""),"""",IF(OR(F904=""-"",INDEX(filter(Familias!F:F,Familias!D:D=A904,Familias!E:E=C904),1)=""O""),D904+1,D904))"),"")</f>
        <v/>
      </c>
      <c r="E905" s="2" t="str">
        <f>IF(OR(F905="",F905="Selecciona.."),"",IF(D905="Implemento",SUMIF(Implementos!B:B,F905,Implementos!A:A),SUMIF(Productos!E:E,F905,Productos!A:A)))</f>
        <v/>
      </c>
      <c r="F905" s="2" t="str">
        <f t="shared" si="2"/>
        <v/>
      </c>
      <c r="G905" s="10" t="str">
        <f t="array" ref="G905">IF(OR(F905="",F905="-",F905="Selecciona..",F905="Finalizar"),"",IF(A905="Rodados",XLOOKUP(B905,'Validaciones Cotizador'!I:I,'Validaciones Cotizador'!J:J,0,0,1),1))</f>
        <v/>
      </c>
      <c r="H905" s="11" t="str">
        <f>IF(OR(F905="",F905="Selecciona.."),"",SUMIF(Precio_Productos!K:K,E905,Precio_Productos!J:J)*G905)</f>
        <v/>
      </c>
      <c r="I905" s="4" t="str">
        <f t="array" ref="I905">IF($E905="","", XLOOKUP(SUMIFS(Prod_Prop!$A:$A,Prod_Prop!$B:$B,$E905,Prod_Prop!$H:$H,I$1,Prod_Prop!$I:$I,"Exacto"),Prod_Prop!$A:$A,Prod_Prop!$J:$J,"",0,1))</f>
        <v/>
      </c>
      <c r="J905" s="4" t="str">
        <f t="array" ref="J905">IF($E905="","", XLOOKUP(SUMIFS(Prod_Prop!$A:$A,Prod_Prop!$B:$B,$E905,Prod_Prop!$H:$H,J$1,Prod_Prop!$I:$I,"Exacto"),Prod_Prop!$A:$A,Prod_Prop!$J:$J,"",0,1))</f>
        <v/>
      </c>
      <c r="K905" s="4" t="str">
        <f t="array" ref="K905">IF($E905="","", XLOOKUP(SUMIFS(Prod_Prop!$A:$A,Prod_Prop!$B:$B,$E905,Prod_Prop!$H:$H,K$1,Prod_Prop!$I:$I,"Exacto"),Prod_Prop!$A:$A,Prod_Prop!$J:$J,"",0,1))</f>
        <v/>
      </c>
      <c r="L905" s="4" t="str">
        <f t="array" ref="L905">IF($E905="","", XLOOKUP(SUMIFS(Prod_Prop!$A:$A,Prod_Prop!$B:$B,$E905,Prod_Prop!$H:$H,L$1,Prod_Prop!$I:$I,"Exacto"),Prod_Prop!$A:$A,Prod_Prop!$J:$J,"",0,1))</f>
        <v/>
      </c>
      <c r="M905" s="4" t="str">
        <f t="array" ref="M905">IF($E905="","", XLOOKUP(SUMIFS(Prod_Prop!$A:$A,Prod_Prop!$B:$B,$E905,Prod_Prop!$H:$H,M$1,Prod_Prop!$I:$I,"Exacto"),Prod_Prop!$A:$A,Prod_Prop!$J:$J,"",0,1))</f>
        <v/>
      </c>
      <c r="N905" s="4" t="str">
        <f t="array" ref="N905">IF($E905="","", XLOOKUP(SUMIFS(Prod_Prop!$A:$A,Prod_Prop!$B:$B,$E905,Prod_Prop!$H:$H,N$1,Prod_Prop!$I:$I,"Exacto"),Prod_Prop!$A:$A,Prod_Prop!$J:$J,"",0,1))</f>
        <v/>
      </c>
      <c r="O905" s="4" t="str">
        <f t="array" ref="O905">IF($E905="","", XLOOKUP(SUMIFS(Prod_Prop!$A:$A,Prod_Prop!$B:$B,$E905,Prod_Prop!$H:$H,O$1,Prod_Prop!$I:$I,"Exacto"),Prod_Prop!$A:$A,Prod_Prop!$J:$J,"",0,1))</f>
        <v/>
      </c>
      <c r="P905" s="4" t="str">
        <f t="array" ref="P905">IF($E905="","", XLOOKUP(SUMIFS(Prod_Prop!$A:$A,Prod_Prop!$B:$B,$E905,Prod_Prop!$H:$H,P$1,Prod_Prop!$I:$I,"Exacto"),Prod_Prop!$A:$A,Prod_Prop!$J:$J,"",0,1))</f>
        <v/>
      </c>
      <c r="Q905" s="4" t="str">
        <f t="array" ref="Q905">IF($E905="","", XLOOKUP(SUMIFS(Prod_Prop!$A:$A,Prod_Prop!$B:$B,$E905,Prod_Prop!$H:$H,Q$1,Prod_Prop!$I:$I,"Exacto"),Prod_Prop!$A:$A,Prod_Prop!$J:$J,"",0,1))</f>
        <v/>
      </c>
      <c r="R905" s="4" t="str">
        <f t="array" ref="R905">IF($E905="","", XLOOKUP(SUMIFS(Prod_Prop!$A:$A,Prod_Prop!$B:$B,$E905,Prod_Prop!$H:$H,R$1,Prod_Prop!$I:$I,"Exacto"),Prod_Prop!$A:$A,Prod_Prop!$J:$J,"",0,1))</f>
        <v/>
      </c>
      <c r="S905" s="4" t="str">
        <f t="array" ref="S905">IF($E905="","", XLOOKUP(SUMIFS(Prod_Prop!$A:$A,Prod_Prop!$B:$B,$E905,Prod_Prop!$H:$H,S$1,Prod_Prop!$I:$I,"Exacto"),Prod_Prop!$A:$A,Prod_Prop!$J:$J,"",0,1))</f>
        <v/>
      </c>
      <c r="T905" s="4" t="str">
        <f t="array" ref="T905">IF($E905="","", XLOOKUP(SUMIFS(Prod_Prop!$A:$A,Prod_Prop!$B:$B,$E905,Prod_Prop!$H:$H,T$1,Prod_Prop!$I:$I,"Exacto"),Prod_Prop!$A:$A,Prod_Prop!$J:$J,"",0,1))</f>
        <v/>
      </c>
      <c r="U905" s="4" t="str">
        <f t="array" ref="U905">IF($E905="","", XLOOKUP(SUMIFS(Prod_Prop!$A:$A,Prod_Prop!$B:$B,$E905,Prod_Prop!$H:$H,U$1,Prod_Prop!$I:$I,"Exacto"),Prod_Prop!$A:$A,Prod_Prop!$J:$J,"",0,1))</f>
        <v/>
      </c>
      <c r="V905" s="4" t="str">
        <f t="array" ref="V905">IF($E905="","", XLOOKUP(SUMIFS(Prod_Prop!$A:$A,Prod_Prop!$B:$B,$E905,Prod_Prop!$H:$H,V$1,Prod_Prop!$I:$I,"Exacto"),Prod_Prop!$A:$A,Prod_Prop!$J:$J,"",0,1))</f>
        <v/>
      </c>
      <c r="X905" s="3" t="str">
        <f>IFERROR(__xludf.DUMMYFUNCTION("IF(D905="""","""",IFERROR(TRANSPOSE(FILTER('Validaciones Cotizador'!U:U,'Validaciones Cotizador'!O:O=D905,'Validaciones Cotizador'!T:T=""x"")),""Finalizar""))"),"")</f>
        <v/>
      </c>
    </row>
    <row r="906">
      <c r="A906" s="2" t="str">
        <f t="array" ref="A906">IF(E906="","",XLOOKUP(D906,'Validaciones Cotizador'!C:C,'Validaciones Cotizador'!A:A,"",0,1))</f>
        <v/>
      </c>
      <c r="B906" s="2" t="str">
        <f t="array" ref="B906">IF(F906="","",XLOOKUP(F906,Productos!E:E,Productos!G:G,"",0,1))</f>
        <v/>
      </c>
      <c r="C906" s="2" t="str">
        <f>IF(A906="","",SUMIFS('Validaciones Cotizador'!B:B,'Validaciones Cotizador'!C:C,D906,'Validaciones Cotizador'!A:A,A906))</f>
        <v/>
      </c>
      <c r="D906" s="4" t="str">
        <f>IFERROR(__xludf.DUMMYFUNCTION("IF(OR(F905=""Finalizar"",F905="""",F905=""Selecciona..""),"""",IF(OR(F905=""-"",INDEX(filter(Familias!F:F,Familias!D:D=A905,Familias!E:E=C905),1)=""O""),D905+1,D905))"),"")</f>
        <v/>
      </c>
      <c r="E906" s="2" t="str">
        <f>IF(OR(F906="",F906="Selecciona.."),"",IF(D906="Implemento",SUMIF(Implementos!B:B,F906,Implementos!A:A),SUMIF(Productos!E:E,F906,Productos!A:A)))</f>
        <v/>
      </c>
      <c r="F906" s="2" t="str">
        <f t="shared" si="2"/>
        <v/>
      </c>
      <c r="G906" s="10" t="str">
        <f t="array" ref="G906">IF(OR(F906="",F906="-",F906="Selecciona..",F906="Finalizar"),"",IF(A906="Rodados",XLOOKUP(B906,'Validaciones Cotizador'!I:I,'Validaciones Cotizador'!J:J,0,0,1),1))</f>
        <v/>
      </c>
      <c r="H906" s="11" t="str">
        <f>IF(OR(F906="",F906="Selecciona.."),"",SUMIF(Precio_Productos!K:K,E906,Precio_Productos!J:J)*G906)</f>
        <v/>
      </c>
      <c r="I906" s="4" t="str">
        <f t="array" ref="I906">IF($E906="","", XLOOKUP(SUMIFS(Prod_Prop!$A:$A,Prod_Prop!$B:$B,$E906,Prod_Prop!$H:$H,I$1,Prod_Prop!$I:$I,"Exacto"),Prod_Prop!$A:$A,Prod_Prop!$J:$J,"",0,1))</f>
        <v/>
      </c>
      <c r="J906" s="4" t="str">
        <f t="array" ref="J906">IF($E906="","", XLOOKUP(SUMIFS(Prod_Prop!$A:$A,Prod_Prop!$B:$B,$E906,Prod_Prop!$H:$H,J$1,Prod_Prop!$I:$I,"Exacto"),Prod_Prop!$A:$A,Prod_Prop!$J:$J,"",0,1))</f>
        <v/>
      </c>
      <c r="K906" s="4" t="str">
        <f t="array" ref="K906">IF($E906="","", XLOOKUP(SUMIFS(Prod_Prop!$A:$A,Prod_Prop!$B:$B,$E906,Prod_Prop!$H:$H,K$1,Prod_Prop!$I:$I,"Exacto"),Prod_Prop!$A:$A,Prod_Prop!$J:$J,"",0,1))</f>
        <v/>
      </c>
      <c r="L906" s="4" t="str">
        <f t="array" ref="L906">IF($E906="","", XLOOKUP(SUMIFS(Prod_Prop!$A:$A,Prod_Prop!$B:$B,$E906,Prod_Prop!$H:$H,L$1,Prod_Prop!$I:$I,"Exacto"),Prod_Prop!$A:$A,Prod_Prop!$J:$J,"",0,1))</f>
        <v/>
      </c>
      <c r="M906" s="4" t="str">
        <f t="array" ref="M906">IF($E906="","", XLOOKUP(SUMIFS(Prod_Prop!$A:$A,Prod_Prop!$B:$B,$E906,Prod_Prop!$H:$H,M$1,Prod_Prop!$I:$I,"Exacto"),Prod_Prop!$A:$A,Prod_Prop!$J:$J,"",0,1))</f>
        <v/>
      </c>
      <c r="N906" s="4" t="str">
        <f t="array" ref="N906">IF($E906="","", XLOOKUP(SUMIFS(Prod_Prop!$A:$A,Prod_Prop!$B:$B,$E906,Prod_Prop!$H:$H,N$1,Prod_Prop!$I:$I,"Exacto"),Prod_Prop!$A:$A,Prod_Prop!$J:$J,"",0,1))</f>
        <v/>
      </c>
      <c r="O906" s="4" t="str">
        <f t="array" ref="O906">IF($E906="","", XLOOKUP(SUMIFS(Prod_Prop!$A:$A,Prod_Prop!$B:$B,$E906,Prod_Prop!$H:$H,O$1,Prod_Prop!$I:$I,"Exacto"),Prod_Prop!$A:$A,Prod_Prop!$J:$J,"",0,1))</f>
        <v/>
      </c>
      <c r="P906" s="4" t="str">
        <f t="array" ref="P906">IF($E906="","", XLOOKUP(SUMIFS(Prod_Prop!$A:$A,Prod_Prop!$B:$B,$E906,Prod_Prop!$H:$H,P$1,Prod_Prop!$I:$I,"Exacto"),Prod_Prop!$A:$A,Prod_Prop!$J:$J,"",0,1))</f>
        <v/>
      </c>
      <c r="Q906" s="4" t="str">
        <f t="array" ref="Q906">IF($E906="","", XLOOKUP(SUMIFS(Prod_Prop!$A:$A,Prod_Prop!$B:$B,$E906,Prod_Prop!$H:$H,Q$1,Prod_Prop!$I:$I,"Exacto"),Prod_Prop!$A:$A,Prod_Prop!$J:$J,"",0,1))</f>
        <v/>
      </c>
      <c r="R906" s="4" t="str">
        <f t="array" ref="R906">IF($E906="","", XLOOKUP(SUMIFS(Prod_Prop!$A:$A,Prod_Prop!$B:$B,$E906,Prod_Prop!$H:$H,R$1,Prod_Prop!$I:$I,"Exacto"),Prod_Prop!$A:$A,Prod_Prop!$J:$J,"",0,1))</f>
        <v/>
      </c>
      <c r="S906" s="4" t="str">
        <f t="array" ref="S906">IF($E906="","", XLOOKUP(SUMIFS(Prod_Prop!$A:$A,Prod_Prop!$B:$B,$E906,Prod_Prop!$H:$H,S$1,Prod_Prop!$I:$I,"Exacto"),Prod_Prop!$A:$A,Prod_Prop!$J:$J,"",0,1))</f>
        <v/>
      </c>
      <c r="T906" s="4" t="str">
        <f t="array" ref="T906">IF($E906="","", XLOOKUP(SUMIFS(Prod_Prop!$A:$A,Prod_Prop!$B:$B,$E906,Prod_Prop!$H:$H,T$1,Prod_Prop!$I:$I,"Exacto"),Prod_Prop!$A:$A,Prod_Prop!$J:$J,"",0,1))</f>
        <v/>
      </c>
      <c r="U906" s="4" t="str">
        <f t="array" ref="U906">IF($E906="","", XLOOKUP(SUMIFS(Prod_Prop!$A:$A,Prod_Prop!$B:$B,$E906,Prod_Prop!$H:$H,U$1,Prod_Prop!$I:$I,"Exacto"),Prod_Prop!$A:$A,Prod_Prop!$J:$J,"",0,1))</f>
        <v/>
      </c>
      <c r="V906" s="4" t="str">
        <f t="array" ref="V906">IF($E906="","", XLOOKUP(SUMIFS(Prod_Prop!$A:$A,Prod_Prop!$B:$B,$E906,Prod_Prop!$H:$H,V$1,Prod_Prop!$I:$I,"Exacto"),Prod_Prop!$A:$A,Prod_Prop!$J:$J,"",0,1))</f>
        <v/>
      </c>
      <c r="X906" s="3" t="str">
        <f>IFERROR(__xludf.DUMMYFUNCTION("IF(D906="""","""",IFERROR(TRANSPOSE(FILTER('Validaciones Cotizador'!U:U,'Validaciones Cotizador'!O:O=D906,'Validaciones Cotizador'!T:T=""x"")),""Finalizar""))"),"")</f>
        <v/>
      </c>
    </row>
    <row r="907">
      <c r="A907" s="2" t="str">
        <f t="array" ref="A907">IF(E907="","",XLOOKUP(D907,'Validaciones Cotizador'!C:C,'Validaciones Cotizador'!A:A,"",0,1))</f>
        <v/>
      </c>
      <c r="B907" s="2" t="str">
        <f t="array" ref="B907">IF(F907="","",XLOOKUP(F907,Productos!E:E,Productos!G:G,"",0,1))</f>
        <v/>
      </c>
      <c r="C907" s="2" t="str">
        <f>IF(A907="","",SUMIFS('Validaciones Cotizador'!B:B,'Validaciones Cotizador'!C:C,D907,'Validaciones Cotizador'!A:A,A907))</f>
        <v/>
      </c>
      <c r="D907" s="4" t="str">
        <f>IFERROR(__xludf.DUMMYFUNCTION("IF(OR(F906=""Finalizar"",F906="""",F906=""Selecciona..""),"""",IF(OR(F906=""-"",INDEX(filter(Familias!F:F,Familias!D:D=A906,Familias!E:E=C906),1)=""O""),D906+1,D906))"),"")</f>
        <v/>
      </c>
      <c r="E907" s="2" t="str">
        <f>IF(OR(F907="",F907="Selecciona.."),"",IF(D907="Implemento",SUMIF(Implementos!B:B,F907,Implementos!A:A),SUMIF(Productos!E:E,F907,Productos!A:A)))</f>
        <v/>
      </c>
      <c r="F907" s="2" t="str">
        <f t="shared" si="2"/>
        <v/>
      </c>
      <c r="G907" s="10" t="str">
        <f t="array" ref="G907">IF(OR(F907="",F907="-",F907="Selecciona..",F907="Finalizar"),"",IF(A907="Rodados",XLOOKUP(B907,'Validaciones Cotizador'!I:I,'Validaciones Cotizador'!J:J,0,0,1),1))</f>
        <v/>
      </c>
      <c r="H907" s="11" t="str">
        <f>IF(OR(F907="",F907="Selecciona.."),"",SUMIF(Precio_Productos!K:K,E907,Precio_Productos!J:J)*G907)</f>
        <v/>
      </c>
      <c r="I907" s="4" t="str">
        <f t="array" ref="I907">IF($E907="","", XLOOKUP(SUMIFS(Prod_Prop!$A:$A,Prod_Prop!$B:$B,$E907,Prod_Prop!$H:$H,I$1,Prod_Prop!$I:$I,"Exacto"),Prod_Prop!$A:$A,Prod_Prop!$J:$J,"",0,1))</f>
        <v/>
      </c>
      <c r="J907" s="4" t="str">
        <f t="array" ref="J907">IF($E907="","", XLOOKUP(SUMIFS(Prod_Prop!$A:$A,Prod_Prop!$B:$B,$E907,Prod_Prop!$H:$H,J$1,Prod_Prop!$I:$I,"Exacto"),Prod_Prop!$A:$A,Prod_Prop!$J:$J,"",0,1))</f>
        <v/>
      </c>
      <c r="K907" s="4" t="str">
        <f t="array" ref="K907">IF($E907="","", XLOOKUP(SUMIFS(Prod_Prop!$A:$A,Prod_Prop!$B:$B,$E907,Prod_Prop!$H:$H,K$1,Prod_Prop!$I:$I,"Exacto"),Prod_Prop!$A:$A,Prod_Prop!$J:$J,"",0,1))</f>
        <v/>
      </c>
      <c r="L907" s="4" t="str">
        <f t="array" ref="L907">IF($E907="","", XLOOKUP(SUMIFS(Prod_Prop!$A:$A,Prod_Prop!$B:$B,$E907,Prod_Prop!$H:$H,L$1,Prod_Prop!$I:$I,"Exacto"),Prod_Prop!$A:$A,Prod_Prop!$J:$J,"",0,1))</f>
        <v/>
      </c>
      <c r="M907" s="4" t="str">
        <f t="array" ref="M907">IF($E907="","", XLOOKUP(SUMIFS(Prod_Prop!$A:$A,Prod_Prop!$B:$B,$E907,Prod_Prop!$H:$H,M$1,Prod_Prop!$I:$I,"Exacto"),Prod_Prop!$A:$A,Prod_Prop!$J:$J,"",0,1))</f>
        <v/>
      </c>
      <c r="N907" s="4" t="str">
        <f t="array" ref="N907">IF($E907="","", XLOOKUP(SUMIFS(Prod_Prop!$A:$A,Prod_Prop!$B:$B,$E907,Prod_Prop!$H:$H,N$1,Prod_Prop!$I:$I,"Exacto"),Prod_Prop!$A:$A,Prod_Prop!$J:$J,"",0,1))</f>
        <v/>
      </c>
      <c r="O907" s="4" t="str">
        <f t="array" ref="O907">IF($E907="","", XLOOKUP(SUMIFS(Prod_Prop!$A:$A,Prod_Prop!$B:$B,$E907,Prod_Prop!$H:$H,O$1,Prod_Prop!$I:$I,"Exacto"),Prod_Prop!$A:$A,Prod_Prop!$J:$J,"",0,1))</f>
        <v/>
      </c>
      <c r="P907" s="4" t="str">
        <f t="array" ref="P907">IF($E907="","", XLOOKUP(SUMIFS(Prod_Prop!$A:$A,Prod_Prop!$B:$B,$E907,Prod_Prop!$H:$H,P$1,Prod_Prop!$I:$I,"Exacto"),Prod_Prop!$A:$A,Prod_Prop!$J:$J,"",0,1))</f>
        <v/>
      </c>
      <c r="Q907" s="4" t="str">
        <f t="array" ref="Q907">IF($E907="","", XLOOKUP(SUMIFS(Prod_Prop!$A:$A,Prod_Prop!$B:$B,$E907,Prod_Prop!$H:$H,Q$1,Prod_Prop!$I:$I,"Exacto"),Prod_Prop!$A:$A,Prod_Prop!$J:$J,"",0,1))</f>
        <v/>
      </c>
      <c r="R907" s="4" t="str">
        <f t="array" ref="R907">IF($E907="","", XLOOKUP(SUMIFS(Prod_Prop!$A:$A,Prod_Prop!$B:$B,$E907,Prod_Prop!$H:$H,R$1,Prod_Prop!$I:$I,"Exacto"),Prod_Prop!$A:$A,Prod_Prop!$J:$J,"",0,1))</f>
        <v/>
      </c>
      <c r="S907" s="4" t="str">
        <f t="array" ref="S907">IF($E907="","", XLOOKUP(SUMIFS(Prod_Prop!$A:$A,Prod_Prop!$B:$B,$E907,Prod_Prop!$H:$H,S$1,Prod_Prop!$I:$I,"Exacto"),Prod_Prop!$A:$A,Prod_Prop!$J:$J,"",0,1))</f>
        <v/>
      </c>
      <c r="T907" s="4" t="str">
        <f t="array" ref="T907">IF($E907="","", XLOOKUP(SUMIFS(Prod_Prop!$A:$A,Prod_Prop!$B:$B,$E907,Prod_Prop!$H:$H,T$1,Prod_Prop!$I:$I,"Exacto"),Prod_Prop!$A:$A,Prod_Prop!$J:$J,"",0,1))</f>
        <v/>
      </c>
      <c r="U907" s="4" t="str">
        <f t="array" ref="U907">IF($E907="","", XLOOKUP(SUMIFS(Prod_Prop!$A:$A,Prod_Prop!$B:$B,$E907,Prod_Prop!$H:$H,U$1,Prod_Prop!$I:$I,"Exacto"),Prod_Prop!$A:$A,Prod_Prop!$J:$J,"",0,1))</f>
        <v/>
      </c>
      <c r="V907" s="4" t="str">
        <f t="array" ref="V907">IF($E907="","", XLOOKUP(SUMIFS(Prod_Prop!$A:$A,Prod_Prop!$B:$B,$E907,Prod_Prop!$H:$H,V$1,Prod_Prop!$I:$I,"Exacto"),Prod_Prop!$A:$A,Prod_Prop!$J:$J,"",0,1))</f>
        <v/>
      </c>
      <c r="X907" s="3" t="str">
        <f>IFERROR(__xludf.DUMMYFUNCTION("IF(D907="""","""",IFERROR(TRANSPOSE(FILTER('Validaciones Cotizador'!U:U,'Validaciones Cotizador'!O:O=D907,'Validaciones Cotizador'!T:T=""x"")),""Finalizar""))"),"")</f>
        <v/>
      </c>
    </row>
    <row r="908">
      <c r="A908" s="2" t="str">
        <f t="array" ref="A908">IF(E908="","",XLOOKUP(D908,'Validaciones Cotizador'!C:C,'Validaciones Cotizador'!A:A,"",0,1))</f>
        <v/>
      </c>
      <c r="B908" s="2" t="str">
        <f t="array" ref="B908">IF(F908="","",XLOOKUP(F908,Productos!E:E,Productos!G:G,"",0,1))</f>
        <v/>
      </c>
      <c r="C908" s="2" t="str">
        <f>IF(A908="","",SUMIFS('Validaciones Cotizador'!B:B,'Validaciones Cotizador'!C:C,D908,'Validaciones Cotizador'!A:A,A908))</f>
        <v/>
      </c>
      <c r="D908" s="4" t="str">
        <f>IFERROR(__xludf.DUMMYFUNCTION("IF(OR(F907=""Finalizar"",F907="""",F907=""Selecciona..""),"""",IF(OR(F907=""-"",INDEX(filter(Familias!F:F,Familias!D:D=A907,Familias!E:E=C907),1)=""O""),D907+1,D907))"),"")</f>
        <v/>
      </c>
      <c r="E908" s="2" t="str">
        <f>IF(OR(F908="",F908="Selecciona.."),"",IF(D908="Implemento",SUMIF(Implementos!B:B,F908,Implementos!A:A),SUMIF(Productos!E:E,F908,Productos!A:A)))</f>
        <v/>
      </c>
      <c r="F908" s="2" t="str">
        <f t="shared" si="2"/>
        <v/>
      </c>
      <c r="G908" s="10" t="str">
        <f t="array" ref="G908">IF(OR(F908="",F908="-",F908="Selecciona..",F908="Finalizar"),"",IF(A908="Rodados",XLOOKUP(B908,'Validaciones Cotizador'!I:I,'Validaciones Cotizador'!J:J,0,0,1),1))</f>
        <v/>
      </c>
      <c r="H908" s="11" t="str">
        <f>IF(OR(F908="",F908="Selecciona.."),"",SUMIF(Precio_Productos!K:K,E908,Precio_Productos!J:J)*G908)</f>
        <v/>
      </c>
      <c r="I908" s="4" t="str">
        <f t="array" ref="I908">IF($E908="","", XLOOKUP(SUMIFS(Prod_Prop!$A:$A,Prod_Prop!$B:$B,$E908,Prod_Prop!$H:$H,I$1,Prod_Prop!$I:$I,"Exacto"),Prod_Prop!$A:$A,Prod_Prop!$J:$J,"",0,1))</f>
        <v/>
      </c>
      <c r="J908" s="4" t="str">
        <f t="array" ref="J908">IF($E908="","", XLOOKUP(SUMIFS(Prod_Prop!$A:$A,Prod_Prop!$B:$B,$E908,Prod_Prop!$H:$H,J$1,Prod_Prop!$I:$I,"Exacto"),Prod_Prop!$A:$A,Prod_Prop!$J:$J,"",0,1))</f>
        <v/>
      </c>
      <c r="K908" s="4" t="str">
        <f t="array" ref="K908">IF($E908="","", XLOOKUP(SUMIFS(Prod_Prop!$A:$A,Prod_Prop!$B:$B,$E908,Prod_Prop!$H:$H,K$1,Prod_Prop!$I:$I,"Exacto"),Prod_Prop!$A:$A,Prod_Prop!$J:$J,"",0,1))</f>
        <v/>
      </c>
      <c r="L908" s="4" t="str">
        <f t="array" ref="L908">IF($E908="","", XLOOKUP(SUMIFS(Prod_Prop!$A:$A,Prod_Prop!$B:$B,$E908,Prod_Prop!$H:$H,L$1,Prod_Prop!$I:$I,"Exacto"),Prod_Prop!$A:$A,Prod_Prop!$J:$J,"",0,1))</f>
        <v/>
      </c>
      <c r="M908" s="4" t="str">
        <f t="array" ref="M908">IF($E908="","", XLOOKUP(SUMIFS(Prod_Prop!$A:$A,Prod_Prop!$B:$B,$E908,Prod_Prop!$H:$H,M$1,Prod_Prop!$I:$I,"Exacto"),Prod_Prop!$A:$A,Prod_Prop!$J:$J,"",0,1))</f>
        <v/>
      </c>
      <c r="N908" s="4" t="str">
        <f t="array" ref="N908">IF($E908="","", XLOOKUP(SUMIFS(Prod_Prop!$A:$A,Prod_Prop!$B:$B,$E908,Prod_Prop!$H:$H,N$1,Prod_Prop!$I:$I,"Exacto"),Prod_Prop!$A:$A,Prod_Prop!$J:$J,"",0,1))</f>
        <v/>
      </c>
      <c r="O908" s="4" t="str">
        <f t="array" ref="O908">IF($E908="","", XLOOKUP(SUMIFS(Prod_Prop!$A:$A,Prod_Prop!$B:$B,$E908,Prod_Prop!$H:$H,O$1,Prod_Prop!$I:$I,"Exacto"),Prod_Prop!$A:$A,Prod_Prop!$J:$J,"",0,1))</f>
        <v/>
      </c>
      <c r="P908" s="4" t="str">
        <f t="array" ref="P908">IF($E908="","", XLOOKUP(SUMIFS(Prod_Prop!$A:$A,Prod_Prop!$B:$B,$E908,Prod_Prop!$H:$H,P$1,Prod_Prop!$I:$I,"Exacto"),Prod_Prop!$A:$A,Prod_Prop!$J:$J,"",0,1))</f>
        <v/>
      </c>
      <c r="Q908" s="4" t="str">
        <f t="array" ref="Q908">IF($E908="","", XLOOKUP(SUMIFS(Prod_Prop!$A:$A,Prod_Prop!$B:$B,$E908,Prod_Prop!$H:$H,Q$1,Prod_Prop!$I:$I,"Exacto"),Prod_Prop!$A:$A,Prod_Prop!$J:$J,"",0,1))</f>
        <v/>
      </c>
      <c r="R908" s="4" t="str">
        <f t="array" ref="R908">IF($E908="","", XLOOKUP(SUMIFS(Prod_Prop!$A:$A,Prod_Prop!$B:$B,$E908,Prod_Prop!$H:$H,R$1,Prod_Prop!$I:$I,"Exacto"),Prod_Prop!$A:$A,Prod_Prop!$J:$J,"",0,1))</f>
        <v/>
      </c>
      <c r="S908" s="4" t="str">
        <f t="array" ref="S908">IF($E908="","", XLOOKUP(SUMIFS(Prod_Prop!$A:$A,Prod_Prop!$B:$B,$E908,Prod_Prop!$H:$H,S$1,Prod_Prop!$I:$I,"Exacto"),Prod_Prop!$A:$A,Prod_Prop!$J:$J,"",0,1))</f>
        <v/>
      </c>
      <c r="T908" s="4" t="str">
        <f t="array" ref="T908">IF($E908="","", XLOOKUP(SUMIFS(Prod_Prop!$A:$A,Prod_Prop!$B:$B,$E908,Prod_Prop!$H:$H,T$1,Prod_Prop!$I:$I,"Exacto"),Prod_Prop!$A:$A,Prod_Prop!$J:$J,"",0,1))</f>
        <v/>
      </c>
      <c r="U908" s="4" t="str">
        <f t="array" ref="U908">IF($E908="","", XLOOKUP(SUMIFS(Prod_Prop!$A:$A,Prod_Prop!$B:$B,$E908,Prod_Prop!$H:$H,U$1,Prod_Prop!$I:$I,"Exacto"),Prod_Prop!$A:$A,Prod_Prop!$J:$J,"",0,1))</f>
        <v/>
      </c>
      <c r="V908" s="4" t="str">
        <f t="array" ref="V908">IF($E908="","", XLOOKUP(SUMIFS(Prod_Prop!$A:$A,Prod_Prop!$B:$B,$E908,Prod_Prop!$H:$H,V$1,Prod_Prop!$I:$I,"Exacto"),Prod_Prop!$A:$A,Prod_Prop!$J:$J,"",0,1))</f>
        <v/>
      </c>
      <c r="X908" s="3" t="str">
        <f>IFERROR(__xludf.DUMMYFUNCTION("IF(D908="""","""",IFERROR(TRANSPOSE(FILTER('Validaciones Cotizador'!U:U,'Validaciones Cotizador'!O:O=D908,'Validaciones Cotizador'!T:T=""x"")),""Finalizar""))"),"")</f>
        <v/>
      </c>
    </row>
    <row r="909">
      <c r="A909" s="2" t="str">
        <f t="array" ref="A909">IF(E909="","",XLOOKUP(D909,'Validaciones Cotizador'!C:C,'Validaciones Cotizador'!A:A,"",0,1))</f>
        <v/>
      </c>
      <c r="B909" s="2" t="str">
        <f t="array" ref="B909">IF(F909="","",XLOOKUP(F909,Productos!E:E,Productos!G:G,"",0,1))</f>
        <v/>
      </c>
      <c r="C909" s="2" t="str">
        <f>IF(A909="","",SUMIFS('Validaciones Cotizador'!B:B,'Validaciones Cotizador'!C:C,D909,'Validaciones Cotizador'!A:A,A909))</f>
        <v/>
      </c>
      <c r="D909" s="4" t="str">
        <f>IFERROR(__xludf.DUMMYFUNCTION("IF(OR(F908=""Finalizar"",F908="""",F908=""Selecciona..""),"""",IF(OR(F908=""-"",INDEX(filter(Familias!F:F,Familias!D:D=A908,Familias!E:E=C908),1)=""O""),D908+1,D908))"),"")</f>
        <v/>
      </c>
      <c r="E909" s="2" t="str">
        <f>IF(OR(F909="",F909="Selecciona.."),"",IF(D909="Implemento",SUMIF(Implementos!B:B,F909,Implementos!A:A),SUMIF(Productos!E:E,F909,Productos!A:A)))</f>
        <v/>
      </c>
      <c r="F909" s="2" t="str">
        <f t="shared" si="2"/>
        <v/>
      </c>
      <c r="G909" s="10" t="str">
        <f t="array" ref="G909">IF(OR(F909="",F909="-",F909="Selecciona..",F909="Finalizar"),"",IF(A909="Rodados",XLOOKUP(B909,'Validaciones Cotizador'!I:I,'Validaciones Cotizador'!J:J,0,0,1),1))</f>
        <v/>
      </c>
      <c r="H909" s="11" t="str">
        <f>IF(OR(F909="",F909="Selecciona.."),"",SUMIF(Precio_Productos!K:K,E909,Precio_Productos!J:J)*G909)</f>
        <v/>
      </c>
      <c r="I909" s="4" t="str">
        <f t="array" ref="I909">IF($E909="","", XLOOKUP(SUMIFS(Prod_Prop!$A:$A,Prod_Prop!$B:$B,$E909,Prod_Prop!$H:$H,I$1,Prod_Prop!$I:$I,"Exacto"),Prod_Prop!$A:$A,Prod_Prop!$J:$J,"",0,1))</f>
        <v/>
      </c>
      <c r="J909" s="4" t="str">
        <f t="array" ref="J909">IF($E909="","", XLOOKUP(SUMIFS(Prod_Prop!$A:$A,Prod_Prop!$B:$B,$E909,Prod_Prop!$H:$H,J$1,Prod_Prop!$I:$I,"Exacto"),Prod_Prop!$A:$A,Prod_Prop!$J:$J,"",0,1))</f>
        <v/>
      </c>
      <c r="K909" s="4" t="str">
        <f t="array" ref="K909">IF($E909="","", XLOOKUP(SUMIFS(Prod_Prop!$A:$A,Prod_Prop!$B:$B,$E909,Prod_Prop!$H:$H,K$1,Prod_Prop!$I:$I,"Exacto"),Prod_Prop!$A:$A,Prod_Prop!$J:$J,"",0,1))</f>
        <v/>
      </c>
      <c r="L909" s="4" t="str">
        <f t="array" ref="L909">IF($E909="","", XLOOKUP(SUMIFS(Prod_Prop!$A:$A,Prod_Prop!$B:$B,$E909,Prod_Prop!$H:$H,L$1,Prod_Prop!$I:$I,"Exacto"),Prod_Prop!$A:$A,Prod_Prop!$J:$J,"",0,1))</f>
        <v/>
      </c>
      <c r="M909" s="4" t="str">
        <f t="array" ref="M909">IF($E909="","", XLOOKUP(SUMIFS(Prod_Prop!$A:$A,Prod_Prop!$B:$B,$E909,Prod_Prop!$H:$H,M$1,Prod_Prop!$I:$I,"Exacto"),Prod_Prop!$A:$A,Prod_Prop!$J:$J,"",0,1))</f>
        <v/>
      </c>
      <c r="N909" s="4" t="str">
        <f t="array" ref="N909">IF($E909="","", XLOOKUP(SUMIFS(Prod_Prop!$A:$A,Prod_Prop!$B:$B,$E909,Prod_Prop!$H:$H,N$1,Prod_Prop!$I:$I,"Exacto"),Prod_Prop!$A:$A,Prod_Prop!$J:$J,"",0,1))</f>
        <v/>
      </c>
      <c r="O909" s="4" t="str">
        <f t="array" ref="O909">IF($E909="","", XLOOKUP(SUMIFS(Prod_Prop!$A:$A,Prod_Prop!$B:$B,$E909,Prod_Prop!$H:$H,O$1,Prod_Prop!$I:$I,"Exacto"),Prod_Prop!$A:$A,Prod_Prop!$J:$J,"",0,1))</f>
        <v/>
      </c>
      <c r="P909" s="4" t="str">
        <f t="array" ref="P909">IF($E909="","", XLOOKUP(SUMIFS(Prod_Prop!$A:$A,Prod_Prop!$B:$B,$E909,Prod_Prop!$H:$H,P$1,Prod_Prop!$I:$I,"Exacto"),Prod_Prop!$A:$A,Prod_Prop!$J:$J,"",0,1))</f>
        <v/>
      </c>
      <c r="Q909" s="4" t="str">
        <f t="array" ref="Q909">IF($E909="","", XLOOKUP(SUMIFS(Prod_Prop!$A:$A,Prod_Prop!$B:$B,$E909,Prod_Prop!$H:$H,Q$1,Prod_Prop!$I:$I,"Exacto"),Prod_Prop!$A:$A,Prod_Prop!$J:$J,"",0,1))</f>
        <v/>
      </c>
      <c r="R909" s="4" t="str">
        <f t="array" ref="R909">IF($E909="","", XLOOKUP(SUMIFS(Prod_Prop!$A:$A,Prod_Prop!$B:$B,$E909,Prod_Prop!$H:$H,R$1,Prod_Prop!$I:$I,"Exacto"),Prod_Prop!$A:$A,Prod_Prop!$J:$J,"",0,1))</f>
        <v/>
      </c>
      <c r="S909" s="4" t="str">
        <f t="array" ref="S909">IF($E909="","", XLOOKUP(SUMIFS(Prod_Prop!$A:$A,Prod_Prop!$B:$B,$E909,Prod_Prop!$H:$H,S$1,Prod_Prop!$I:$I,"Exacto"),Prod_Prop!$A:$A,Prod_Prop!$J:$J,"",0,1))</f>
        <v/>
      </c>
      <c r="T909" s="4" t="str">
        <f t="array" ref="T909">IF($E909="","", XLOOKUP(SUMIFS(Prod_Prop!$A:$A,Prod_Prop!$B:$B,$E909,Prod_Prop!$H:$H,T$1,Prod_Prop!$I:$I,"Exacto"),Prod_Prop!$A:$A,Prod_Prop!$J:$J,"",0,1))</f>
        <v/>
      </c>
      <c r="U909" s="4" t="str">
        <f t="array" ref="U909">IF($E909="","", XLOOKUP(SUMIFS(Prod_Prop!$A:$A,Prod_Prop!$B:$B,$E909,Prod_Prop!$H:$H,U$1,Prod_Prop!$I:$I,"Exacto"),Prod_Prop!$A:$A,Prod_Prop!$J:$J,"",0,1))</f>
        <v/>
      </c>
      <c r="V909" s="4" t="str">
        <f t="array" ref="V909">IF($E909="","", XLOOKUP(SUMIFS(Prod_Prop!$A:$A,Prod_Prop!$B:$B,$E909,Prod_Prop!$H:$H,V$1,Prod_Prop!$I:$I,"Exacto"),Prod_Prop!$A:$A,Prod_Prop!$J:$J,"",0,1))</f>
        <v/>
      </c>
      <c r="X909" s="3" t="str">
        <f>IFERROR(__xludf.DUMMYFUNCTION("IF(D909="""","""",IFERROR(TRANSPOSE(FILTER('Validaciones Cotizador'!U:U,'Validaciones Cotizador'!O:O=D909,'Validaciones Cotizador'!T:T=""x"")),""Finalizar""))"),"")</f>
        <v/>
      </c>
    </row>
    <row r="910">
      <c r="A910" s="2" t="str">
        <f t="array" ref="A910">IF(E910="","",XLOOKUP(D910,'Validaciones Cotizador'!C:C,'Validaciones Cotizador'!A:A,"",0,1))</f>
        <v/>
      </c>
      <c r="B910" s="2" t="str">
        <f t="array" ref="B910">IF(F910="","",XLOOKUP(F910,Productos!E:E,Productos!G:G,"",0,1))</f>
        <v/>
      </c>
      <c r="C910" s="2" t="str">
        <f>IF(A910="","",SUMIFS('Validaciones Cotizador'!B:B,'Validaciones Cotizador'!C:C,D910,'Validaciones Cotizador'!A:A,A910))</f>
        <v/>
      </c>
      <c r="D910" s="4" t="str">
        <f>IFERROR(__xludf.DUMMYFUNCTION("IF(OR(F909=""Finalizar"",F909="""",F909=""Selecciona..""),"""",IF(OR(F909=""-"",INDEX(filter(Familias!F:F,Familias!D:D=A909,Familias!E:E=C909),1)=""O""),D909+1,D909))"),"")</f>
        <v/>
      </c>
      <c r="E910" s="2" t="str">
        <f>IF(OR(F910="",F910="Selecciona.."),"",IF(D910="Implemento",SUMIF(Implementos!B:B,F910,Implementos!A:A),SUMIF(Productos!E:E,F910,Productos!A:A)))</f>
        <v/>
      </c>
      <c r="F910" s="2" t="str">
        <f t="shared" si="2"/>
        <v/>
      </c>
      <c r="G910" s="10" t="str">
        <f t="array" ref="G910">IF(OR(F910="",F910="-",F910="Selecciona..",F910="Finalizar"),"",IF(A910="Rodados",XLOOKUP(B910,'Validaciones Cotizador'!I:I,'Validaciones Cotizador'!J:J,0,0,1),1))</f>
        <v/>
      </c>
      <c r="H910" s="11" t="str">
        <f>IF(OR(F910="",F910="Selecciona.."),"",SUMIF(Precio_Productos!K:K,E910,Precio_Productos!J:J)*G910)</f>
        <v/>
      </c>
      <c r="I910" s="4" t="str">
        <f t="array" ref="I910">IF($E910="","", XLOOKUP(SUMIFS(Prod_Prop!$A:$A,Prod_Prop!$B:$B,$E910,Prod_Prop!$H:$H,I$1,Prod_Prop!$I:$I,"Exacto"),Prod_Prop!$A:$A,Prod_Prop!$J:$J,"",0,1))</f>
        <v/>
      </c>
      <c r="J910" s="4" t="str">
        <f t="array" ref="J910">IF($E910="","", XLOOKUP(SUMIFS(Prod_Prop!$A:$A,Prod_Prop!$B:$B,$E910,Prod_Prop!$H:$H,J$1,Prod_Prop!$I:$I,"Exacto"),Prod_Prop!$A:$A,Prod_Prop!$J:$J,"",0,1))</f>
        <v/>
      </c>
      <c r="K910" s="4" t="str">
        <f t="array" ref="K910">IF($E910="","", XLOOKUP(SUMIFS(Prod_Prop!$A:$A,Prod_Prop!$B:$B,$E910,Prod_Prop!$H:$H,K$1,Prod_Prop!$I:$I,"Exacto"),Prod_Prop!$A:$A,Prod_Prop!$J:$J,"",0,1))</f>
        <v/>
      </c>
      <c r="L910" s="4" t="str">
        <f t="array" ref="L910">IF($E910="","", XLOOKUP(SUMIFS(Prod_Prop!$A:$A,Prod_Prop!$B:$B,$E910,Prod_Prop!$H:$H,L$1,Prod_Prop!$I:$I,"Exacto"),Prod_Prop!$A:$A,Prod_Prop!$J:$J,"",0,1))</f>
        <v/>
      </c>
      <c r="M910" s="4" t="str">
        <f t="array" ref="M910">IF($E910="","", XLOOKUP(SUMIFS(Prod_Prop!$A:$A,Prod_Prop!$B:$B,$E910,Prod_Prop!$H:$H,M$1,Prod_Prop!$I:$I,"Exacto"),Prod_Prop!$A:$A,Prod_Prop!$J:$J,"",0,1))</f>
        <v/>
      </c>
      <c r="N910" s="4" t="str">
        <f t="array" ref="N910">IF($E910="","", XLOOKUP(SUMIFS(Prod_Prop!$A:$A,Prod_Prop!$B:$B,$E910,Prod_Prop!$H:$H,N$1,Prod_Prop!$I:$I,"Exacto"),Prod_Prop!$A:$A,Prod_Prop!$J:$J,"",0,1))</f>
        <v/>
      </c>
      <c r="O910" s="4" t="str">
        <f t="array" ref="O910">IF($E910="","", XLOOKUP(SUMIFS(Prod_Prop!$A:$A,Prod_Prop!$B:$B,$E910,Prod_Prop!$H:$H,O$1,Prod_Prop!$I:$I,"Exacto"),Prod_Prop!$A:$A,Prod_Prop!$J:$J,"",0,1))</f>
        <v/>
      </c>
      <c r="P910" s="4" t="str">
        <f t="array" ref="P910">IF($E910="","", XLOOKUP(SUMIFS(Prod_Prop!$A:$A,Prod_Prop!$B:$B,$E910,Prod_Prop!$H:$H,P$1,Prod_Prop!$I:$I,"Exacto"),Prod_Prop!$A:$A,Prod_Prop!$J:$J,"",0,1))</f>
        <v/>
      </c>
      <c r="Q910" s="4" t="str">
        <f t="array" ref="Q910">IF($E910="","", XLOOKUP(SUMIFS(Prod_Prop!$A:$A,Prod_Prop!$B:$B,$E910,Prod_Prop!$H:$H,Q$1,Prod_Prop!$I:$I,"Exacto"),Prod_Prop!$A:$A,Prod_Prop!$J:$J,"",0,1))</f>
        <v/>
      </c>
      <c r="R910" s="4" t="str">
        <f t="array" ref="R910">IF($E910="","", XLOOKUP(SUMIFS(Prod_Prop!$A:$A,Prod_Prop!$B:$B,$E910,Prod_Prop!$H:$H,R$1,Prod_Prop!$I:$I,"Exacto"),Prod_Prop!$A:$A,Prod_Prop!$J:$J,"",0,1))</f>
        <v/>
      </c>
      <c r="S910" s="4" t="str">
        <f t="array" ref="S910">IF($E910="","", XLOOKUP(SUMIFS(Prod_Prop!$A:$A,Prod_Prop!$B:$B,$E910,Prod_Prop!$H:$H,S$1,Prod_Prop!$I:$I,"Exacto"),Prod_Prop!$A:$A,Prod_Prop!$J:$J,"",0,1))</f>
        <v/>
      </c>
      <c r="T910" s="4" t="str">
        <f t="array" ref="T910">IF($E910="","", XLOOKUP(SUMIFS(Prod_Prop!$A:$A,Prod_Prop!$B:$B,$E910,Prod_Prop!$H:$H,T$1,Prod_Prop!$I:$I,"Exacto"),Prod_Prop!$A:$A,Prod_Prop!$J:$J,"",0,1))</f>
        <v/>
      </c>
      <c r="U910" s="4" t="str">
        <f t="array" ref="U910">IF($E910="","", XLOOKUP(SUMIFS(Prod_Prop!$A:$A,Prod_Prop!$B:$B,$E910,Prod_Prop!$H:$H,U$1,Prod_Prop!$I:$I,"Exacto"),Prod_Prop!$A:$A,Prod_Prop!$J:$J,"",0,1))</f>
        <v/>
      </c>
      <c r="V910" s="4" t="str">
        <f t="array" ref="V910">IF($E910="","", XLOOKUP(SUMIFS(Prod_Prop!$A:$A,Prod_Prop!$B:$B,$E910,Prod_Prop!$H:$H,V$1,Prod_Prop!$I:$I,"Exacto"),Prod_Prop!$A:$A,Prod_Prop!$J:$J,"",0,1))</f>
        <v/>
      </c>
      <c r="X910" s="3" t="str">
        <f>IFERROR(__xludf.DUMMYFUNCTION("IF(D910="""","""",IFERROR(TRANSPOSE(FILTER('Validaciones Cotizador'!U:U,'Validaciones Cotizador'!O:O=D910,'Validaciones Cotizador'!T:T=""x"")),""Finalizar""))"),"")</f>
        <v/>
      </c>
    </row>
    <row r="911">
      <c r="A911" s="2" t="str">
        <f t="array" ref="A911">IF(E911="","",XLOOKUP(D911,'Validaciones Cotizador'!C:C,'Validaciones Cotizador'!A:A,"",0,1))</f>
        <v/>
      </c>
      <c r="B911" s="2" t="str">
        <f t="array" ref="B911">IF(F911="","",XLOOKUP(F911,Productos!E:E,Productos!G:G,"",0,1))</f>
        <v/>
      </c>
      <c r="C911" s="2" t="str">
        <f>IF(A911="","",SUMIFS('Validaciones Cotizador'!B:B,'Validaciones Cotizador'!C:C,D911,'Validaciones Cotizador'!A:A,A911))</f>
        <v/>
      </c>
      <c r="D911" s="4" t="str">
        <f>IFERROR(__xludf.DUMMYFUNCTION("IF(OR(F910=""Finalizar"",F910="""",F910=""Selecciona..""),"""",IF(OR(F910=""-"",INDEX(filter(Familias!F:F,Familias!D:D=A910,Familias!E:E=C910),1)=""O""),D910+1,D910))"),"")</f>
        <v/>
      </c>
      <c r="E911" s="2" t="str">
        <f>IF(OR(F911="",F911="Selecciona.."),"",IF(D911="Implemento",SUMIF(Implementos!B:B,F911,Implementos!A:A),SUMIF(Productos!E:E,F911,Productos!A:A)))</f>
        <v/>
      </c>
      <c r="F911" s="2" t="str">
        <f t="shared" si="2"/>
        <v/>
      </c>
      <c r="G911" s="10" t="str">
        <f t="array" ref="G911">IF(OR(F911="",F911="-",F911="Selecciona..",F911="Finalizar"),"",IF(A911="Rodados",XLOOKUP(B911,'Validaciones Cotizador'!I:I,'Validaciones Cotizador'!J:J,0,0,1),1))</f>
        <v/>
      </c>
      <c r="H911" s="11" t="str">
        <f>IF(OR(F911="",F911="Selecciona.."),"",SUMIF(Precio_Productos!K:K,E911,Precio_Productos!J:J)*G911)</f>
        <v/>
      </c>
      <c r="I911" s="4" t="str">
        <f t="array" ref="I911">IF($E911="","", XLOOKUP(SUMIFS(Prod_Prop!$A:$A,Prod_Prop!$B:$B,$E911,Prod_Prop!$H:$H,I$1,Prod_Prop!$I:$I,"Exacto"),Prod_Prop!$A:$A,Prod_Prop!$J:$J,"",0,1))</f>
        <v/>
      </c>
      <c r="J911" s="4" t="str">
        <f t="array" ref="J911">IF($E911="","", XLOOKUP(SUMIFS(Prod_Prop!$A:$A,Prod_Prop!$B:$B,$E911,Prod_Prop!$H:$H,J$1,Prod_Prop!$I:$I,"Exacto"),Prod_Prop!$A:$A,Prod_Prop!$J:$J,"",0,1))</f>
        <v/>
      </c>
      <c r="K911" s="4" t="str">
        <f t="array" ref="K911">IF($E911="","", XLOOKUP(SUMIFS(Prod_Prop!$A:$A,Prod_Prop!$B:$B,$E911,Prod_Prop!$H:$H,K$1,Prod_Prop!$I:$I,"Exacto"),Prod_Prop!$A:$A,Prod_Prop!$J:$J,"",0,1))</f>
        <v/>
      </c>
      <c r="L911" s="4" t="str">
        <f t="array" ref="L911">IF($E911="","", XLOOKUP(SUMIFS(Prod_Prop!$A:$A,Prod_Prop!$B:$B,$E911,Prod_Prop!$H:$H,L$1,Prod_Prop!$I:$I,"Exacto"),Prod_Prop!$A:$A,Prod_Prop!$J:$J,"",0,1))</f>
        <v/>
      </c>
      <c r="M911" s="4" t="str">
        <f t="array" ref="M911">IF($E911="","", XLOOKUP(SUMIFS(Prod_Prop!$A:$A,Prod_Prop!$B:$B,$E911,Prod_Prop!$H:$H,M$1,Prod_Prop!$I:$I,"Exacto"),Prod_Prop!$A:$A,Prod_Prop!$J:$J,"",0,1))</f>
        <v/>
      </c>
      <c r="N911" s="4" t="str">
        <f t="array" ref="N911">IF($E911="","", XLOOKUP(SUMIFS(Prod_Prop!$A:$A,Prod_Prop!$B:$B,$E911,Prod_Prop!$H:$H,N$1,Prod_Prop!$I:$I,"Exacto"),Prod_Prop!$A:$A,Prod_Prop!$J:$J,"",0,1))</f>
        <v/>
      </c>
      <c r="O911" s="4" t="str">
        <f t="array" ref="O911">IF($E911="","", XLOOKUP(SUMIFS(Prod_Prop!$A:$A,Prod_Prop!$B:$B,$E911,Prod_Prop!$H:$H,O$1,Prod_Prop!$I:$I,"Exacto"),Prod_Prop!$A:$A,Prod_Prop!$J:$J,"",0,1))</f>
        <v/>
      </c>
      <c r="P911" s="4" t="str">
        <f t="array" ref="P911">IF($E911="","", XLOOKUP(SUMIFS(Prod_Prop!$A:$A,Prod_Prop!$B:$B,$E911,Prod_Prop!$H:$H,P$1,Prod_Prop!$I:$I,"Exacto"),Prod_Prop!$A:$A,Prod_Prop!$J:$J,"",0,1))</f>
        <v/>
      </c>
      <c r="Q911" s="4" t="str">
        <f t="array" ref="Q911">IF($E911="","", XLOOKUP(SUMIFS(Prod_Prop!$A:$A,Prod_Prop!$B:$B,$E911,Prod_Prop!$H:$H,Q$1,Prod_Prop!$I:$I,"Exacto"),Prod_Prop!$A:$A,Prod_Prop!$J:$J,"",0,1))</f>
        <v/>
      </c>
      <c r="R911" s="4" t="str">
        <f t="array" ref="R911">IF($E911="","", XLOOKUP(SUMIFS(Prod_Prop!$A:$A,Prod_Prop!$B:$B,$E911,Prod_Prop!$H:$H,R$1,Prod_Prop!$I:$I,"Exacto"),Prod_Prop!$A:$A,Prod_Prop!$J:$J,"",0,1))</f>
        <v/>
      </c>
      <c r="S911" s="4" t="str">
        <f t="array" ref="S911">IF($E911="","", XLOOKUP(SUMIFS(Prod_Prop!$A:$A,Prod_Prop!$B:$B,$E911,Prod_Prop!$H:$H,S$1,Prod_Prop!$I:$I,"Exacto"),Prod_Prop!$A:$A,Prod_Prop!$J:$J,"",0,1))</f>
        <v/>
      </c>
      <c r="T911" s="4" t="str">
        <f t="array" ref="T911">IF($E911="","", XLOOKUP(SUMIFS(Prod_Prop!$A:$A,Prod_Prop!$B:$B,$E911,Prod_Prop!$H:$H,T$1,Prod_Prop!$I:$I,"Exacto"),Prod_Prop!$A:$A,Prod_Prop!$J:$J,"",0,1))</f>
        <v/>
      </c>
      <c r="U911" s="4" t="str">
        <f t="array" ref="U911">IF($E911="","", XLOOKUP(SUMIFS(Prod_Prop!$A:$A,Prod_Prop!$B:$B,$E911,Prod_Prop!$H:$H,U$1,Prod_Prop!$I:$I,"Exacto"),Prod_Prop!$A:$A,Prod_Prop!$J:$J,"",0,1))</f>
        <v/>
      </c>
      <c r="V911" s="4" t="str">
        <f t="array" ref="V911">IF($E911="","", XLOOKUP(SUMIFS(Prod_Prop!$A:$A,Prod_Prop!$B:$B,$E911,Prod_Prop!$H:$H,V$1,Prod_Prop!$I:$I,"Exacto"),Prod_Prop!$A:$A,Prod_Prop!$J:$J,"",0,1))</f>
        <v/>
      </c>
      <c r="X911" s="3" t="str">
        <f>IFERROR(__xludf.DUMMYFUNCTION("IF(D911="""","""",IFERROR(TRANSPOSE(FILTER('Validaciones Cotizador'!U:U,'Validaciones Cotizador'!O:O=D911,'Validaciones Cotizador'!T:T=""x"")),""Finalizar""))"),"")</f>
        <v/>
      </c>
    </row>
    <row r="912">
      <c r="A912" s="2" t="str">
        <f t="array" ref="A912">IF(E912="","",XLOOKUP(D912,'Validaciones Cotizador'!C:C,'Validaciones Cotizador'!A:A,"",0,1))</f>
        <v/>
      </c>
      <c r="B912" s="2" t="str">
        <f t="array" ref="B912">IF(F912="","",XLOOKUP(F912,Productos!E:E,Productos!G:G,"",0,1))</f>
        <v/>
      </c>
      <c r="C912" s="2" t="str">
        <f>IF(A912="","",SUMIFS('Validaciones Cotizador'!B:B,'Validaciones Cotizador'!C:C,D912,'Validaciones Cotizador'!A:A,A912))</f>
        <v/>
      </c>
      <c r="D912" s="4" t="str">
        <f>IFERROR(__xludf.DUMMYFUNCTION("IF(OR(F911=""Finalizar"",F911="""",F911=""Selecciona..""),"""",IF(OR(F911=""-"",INDEX(filter(Familias!F:F,Familias!D:D=A911,Familias!E:E=C911),1)=""O""),D911+1,D911))"),"")</f>
        <v/>
      </c>
      <c r="E912" s="2" t="str">
        <f>IF(OR(F912="",F912="Selecciona.."),"",IF(D912="Implemento",SUMIF(Implementos!B:B,F912,Implementos!A:A),SUMIF(Productos!E:E,F912,Productos!A:A)))</f>
        <v/>
      </c>
      <c r="F912" s="2" t="str">
        <f t="shared" si="2"/>
        <v/>
      </c>
      <c r="G912" s="10" t="str">
        <f t="array" ref="G912">IF(OR(F912="",F912="-",F912="Selecciona..",F912="Finalizar"),"",IF(A912="Rodados",XLOOKUP(B912,'Validaciones Cotizador'!I:I,'Validaciones Cotizador'!J:J,0,0,1),1))</f>
        <v/>
      </c>
      <c r="H912" s="11" t="str">
        <f>IF(OR(F912="",F912="Selecciona.."),"",SUMIF(Precio_Productos!K:K,E912,Precio_Productos!J:J)*G912)</f>
        <v/>
      </c>
      <c r="I912" s="4" t="str">
        <f t="array" ref="I912">IF($E912="","", XLOOKUP(SUMIFS(Prod_Prop!$A:$A,Prod_Prop!$B:$B,$E912,Prod_Prop!$H:$H,I$1,Prod_Prop!$I:$I,"Exacto"),Prod_Prop!$A:$A,Prod_Prop!$J:$J,"",0,1))</f>
        <v/>
      </c>
      <c r="J912" s="4" t="str">
        <f t="array" ref="J912">IF($E912="","", XLOOKUP(SUMIFS(Prod_Prop!$A:$A,Prod_Prop!$B:$B,$E912,Prod_Prop!$H:$H,J$1,Prod_Prop!$I:$I,"Exacto"),Prod_Prop!$A:$A,Prod_Prop!$J:$J,"",0,1))</f>
        <v/>
      </c>
      <c r="K912" s="4" t="str">
        <f t="array" ref="K912">IF($E912="","", XLOOKUP(SUMIFS(Prod_Prop!$A:$A,Prod_Prop!$B:$B,$E912,Prod_Prop!$H:$H,K$1,Prod_Prop!$I:$I,"Exacto"),Prod_Prop!$A:$A,Prod_Prop!$J:$J,"",0,1))</f>
        <v/>
      </c>
      <c r="L912" s="4" t="str">
        <f t="array" ref="L912">IF($E912="","", XLOOKUP(SUMIFS(Prod_Prop!$A:$A,Prod_Prop!$B:$B,$E912,Prod_Prop!$H:$H,L$1,Prod_Prop!$I:$I,"Exacto"),Prod_Prop!$A:$A,Prod_Prop!$J:$J,"",0,1))</f>
        <v/>
      </c>
      <c r="M912" s="4" t="str">
        <f t="array" ref="M912">IF($E912="","", XLOOKUP(SUMIFS(Prod_Prop!$A:$A,Prod_Prop!$B:$B,$E912,Prod_Prop!$H:$H,M$1,Prod_Prop!$I:$I,"Exacto"),Prod_Prop!$A:$A,Prod_Prop!$J:$J,"",0,1))</f>
        <v/>
      </c>
      <c r="N912" s="4" t="str">
        <f t="array" ref="N912">IF($E912="","", XLOOKUP(SUMIFS(Prod_Prop!$A:$A,Prod_Prop!$B:$B,$E912,Prod_Prop!$H:$H,N$1,Prod_Prop!$I:$I,"Exacto"),Prod_Prop!$A:$A,Prod_Prop!$J:$J,"",0,1))</f>
        <v/>
      </c>
      <c r="O912" s="4" t="str">
        <f t="array" ref="O912">IF($E912="","", XLOOKUP(SUMIFS(Prod_Prop!$A:$A,Prod_Prop!$B:$B,$E912,Prod_Prop!$H:$H,O$1,Prod_Prop!$I:$I,"Exacto"),Prod_Prop!$A:$A,Prod_Prop!$J:$J,"",0,1))</f>
        <v/>
      </c>
      <c r="P912" s="4" t="str">
        <f t="array" ref="P912">IF($E912="","", XLOOKUP(SUMIFS(Prod_Prop!$A:$A,Prod_Prop!$B:$B,$E912,Prod_Prop!$H:$H,P$1,Prod_Prop!$I:$I,"Exacto"),Prod_Prop!$A:$A,Prod_Prop!$J:$J,"",0,1))</f>
        <v/>
      </c>
      <c r="Q912" s="4" t="str">
        <f t="array" ref="Q912">IF($E912="","", XLOOKUP(SUMIFS(Prod_Prop!$A:$A,Prod_Prop!$B:$B,$E912,Prod_Prop!$H:$H,Q$1,Prod_Prop!$I:$I,"Exacto"),Prod_Prop!$A:$A,Prod_Prop!$J:$J,"",0,1))</f>
        <v/>
      </c>
      <c r="R912" s="4" t="str">
        <f t="array" ref="R912">IF($E912="","", XLOOKUP(SUMIFS(Prod_Prop!$A:$A,Prod_Prop!$B:$B,$E912,Prod_Prop!$H:$H,R$1,Prod_Prop!$I:$I,"Exacto"),Prod_Prop!$A:$A,Prod_Prop!$J:$J,"",0,1))</f>
        <v/>
      </c>
      <c r="S912" s="4" t="str">
        <f t="array" ref="S912">IF($E912="","", XLOOKUP(SUMIFS(Prod_Prop!$A:$A,Prod_Prop!$B:$B,$E912,Prod_Prop!$H:$H,S$1,Prod_Prop!$I:$I,"Exacto"),Prod_Prop!$A:$A,Prod_Prop!$J:$J,"",0,1))</f>
        <v/>
      </c>
      <c r="T912" s="4" t="str">
        <f t="array" ref="T912">IF($E912="","", XLOOKUP(SUMIFS(Prod_Prop!$A:$A,Prod_Prop!$B:$B,$E912,Prod_Prop!$H:$H,T$1,Prod_Prop!$I:$I,"Exacto"),Prod_Prop!$A:$A,Prod_Prop!$J:$J,"",0,1))</f>
        <v/>
      </c>
      <c r="U912" s="4" t="str">
        <f t="array" ref="U912">IF($E912="","", XLOOKUP(SUMIFS(Prod_Prop!$A:$A,Prod_Prop!$B:$B,$E912,Prod_Prop!$H:$H,U$1,Prod_Prop!$I:$I,"Exacto"),Prod_Prop!$A:$A,Prod_Prop!$J:$J,"",0,1))</f>
        <v/>
      </c>
      <c r="V912" s="4" t="str">
        <f t="array" ref="V912">IF($E912="","", XLOOKUP(SUMIFS(Prod_Prop!$A:$A,Prod_Prop!$B:$B,$E912,Prod_Prop!$H:$H,V$1,Prod_Prop!$I:$I,"Exacto"),Prod_Prop!$A:$A,Prod_Prop!$J:$J,"",0,1))</f>
        <v/>
      </c>
      <c r="X912" s="3" t="str">
        <f>IFERROR(__xludf.DUMMYFUNCTION("IF(D912="""","""",IFERROR(TRANSPOSE(FILTER('Validaciones Cotizador'!U:U,'Validaciones Cotizador'!O:O=D912,'Validaciones Cotizador'!T:T=""x"")),""Finalizar""))"),"")</f>
        <v/>
      </c>
    </row>
    <row r="913">
      <c r="A913" s="2" t="str">
        <f t="array" ref="A913">IF(E913="","",XLOOKUP(D913,'Validaciones Cotizador'!C:C,'Validaciones Cotizador'!A:A,"",0,1))</f>
        <v/>
      </c>
      <c r="B913" s="2" t="str">
        <f t="array" ref="B913">IF(F913="","",XLOOKUP(F913,Productos!E:E,Productos!G:G,"",0,1))</f>
        <v/>
      </c>
      <c r="C913" s="2" t="str">
        <f>IF(A913="","",SUMIFS('Validaciones Cotizador'!B:B,'Validaciones Cotizador'!C:C,D913,'Validaciones Cotizador'!A:A,A913))</f>
        <v/>
      </c>
      <c r="D913" s="4" t="str">
        <f>IFERROR(__xludf.DUMMYFUNCTION("IF(OR(F912=""Finalizar"",F912="""",F912=""Selecciona..""),"""",IF(OR(F912=""-"",INDEX(filter(Familias!F:F,Familias!D:D=A912,Familias!E:E=C912),1)=""O""),D912+1,D912))"),"")</f>
        <v/>
      </c>
      <c r="E913" s="2" t="str">
        <f>IF(OR(F913="",F913="Selecciona.."),"",IF(D913="Implemento",SUMIF(Implementos!B:B,F913,Implementos!A:A),SUMIF(Productos!E:E,F913,Productos!A:A)))</f>
        <v/>
      </c>
      <c r="F913" s="2" t="str">
        <f t="shared" si="2"/>
        <v/>
      </c>
      <c r="G913" s="10" t="str">
        <f t="array" ref="G913">IF(OR(F913="",F913="-",F913="Selecciona..",F913="Finalizar"),"",IF(A913="Rodados",XLOOKUP(B913,'Validaciones Cotizador'!I:I,'Validaciones Cotizador'!J:J,0,0,1),1))</f>
        <v/>
      </c>
      <c r="H913" s="11" t="str">
        <f>IF(OR(F913="",F913="Selecciona.."),"",SUMIF(Precio_Productos!K:K,E913,Precio_Productos!J:J)*G913)</f>
        <v/>
      </c>
      <c r="I913" s="4" t="str">
        <f t="array" ref="I913">IF($E913="","", XLOOKUP(SUMIFS(Prod_Prop!$A:$A,Prod_Prop!$B:$B,$E913,Prod_Prop!$H:$H,I$1,Prod_Prop!$I:$I,"Exacto"),Prod_Prop!$A:$A,Prod_Prop!$J:$J,"",0,1))</f>
        <v/>
      </c>
      <c r="J913" s="4" t="str">
        <f t="array" ref="J913">IF($E913="","", XLOOKUP(SUMIFS(Prod_Prop!$A:$A,Prod_Prop!$B:$B,$E913,Prod_Prop!$H:$H,J$1,Prod_Prop!$I:$I,"Exacto"),Prod_Prop!$A:$A,Prod_Prop!$J:$J,"",0,1))</f>
        <v/>
      </c>
      <c r="K913" s="4" t="str">
        <f t="array" ref="K913">IF($E913="","", XLOOKUP(SUMIFS(Prod_Prop!$A:$A,Prod_Prop!$B:$B,$E913,Prod_Prop!$H:$H,K$1,Prod_Prop!$I:$I,"Exacto"),Prod_Prop!$A:$A,Prod_Prop!$J:$J,"",0,1))</f>
        <v/>
      </c>
      <c r="L913" s="4" t="str">
        <f t="array" ref="L913">IF($E913="","", XLOOKUP(SUMIFS(Prod_Prop!$A:$A,Prod_Prop!$B:$B,$E913,Prod_Prop!$H:$H,L$1,Prod_Prop!$I:$I,"Exacto"),Prod_Prop!$A:$A,Prod_Prop!$J:$J,"",0,1))</f>
        <v/>
      </c>
      <c r="M913" s="4" t="str">
        <f t="array" ref="M913">IF($E913="","", XLOOKUP(SUMIFS(Prod_Prop!$A:$A,Prod_Prop!$B:$B,$E913,Prod_Prop!$H:$H,M$1,Prod_Prop!$I:$I,"Exacto"),Prod_Prop!$A:$A,Prod_Prop!$J:$J,"",0,1))</f>
        <v/>
      </c>
      <c r="N913" s="4" t="str">
        <f t="array" ref="N913">IF($E913="","", XLOOKUP(SUMIFS(Prod_Prop!$A:$A,Prod_Prop!$B:$B,$E913,Prod_Prop!$H:$H,N$1,Prod_Prop!$I:$I,"Exacto"),Prod_Prop!$A:$A,Prod_Prop!$J:$J,"",0,1))</f>
        <v/>
      </c>
      <c r="O913" s="4" t="str">
        <f t="array" ref="O913">IF($E913="","", XLOOKUP(SUMIFS(Prod_Prop!$A:$A,Prod_Prop!$B:$B,$E913,Prod_Prop!$H:$H,O$1,Prod_Prop!$I:$I,"Exacto"),Prod_Prop!$A:$A,Prod_Prop!$J:$J,"",0,1))</f>
        <v/>
      </c>
      <c r="P913" s="4" t="str">
        <f t="array" ref="P913">IF($E913="","", XLOOKUP(SUMIFS(Prod_Prop!$A:$A,Prod_Prop!$B:$B,$E913,Prod_Prop!$H:$H,P$1,Prod_Prop!$I:$I,"Exacto"),Prod_Prop!$A:$A,Prod_Prop!$J:$J,"",0,1))</f>
        <v/>
      </c>
      <c r="Q913" s="4" t="str">
        <f t="array" ref="Q913">IF($E913="","", XLOOKUP(SUMIFS(Prod_Prop!$A:$A,Prod_Prop!$B:$B,$E913,Prod_Prop!$H:$H,Q$1,Prod_Prop!$I:$I,"Exacto"),Prod_Prop!$A:$A,Prod_Prop!$J:$J,"",0,1))</f>
        <v/>
      </c>
      <c r="R913" s="4" t="str">
        <f t="array" ref="R913">IF($E913="","", XLOOKUP(SUMIFS(Prod_Prop!$A:$A,Prod_Prop!$B:$B,$E913,Prod_Prop!$H:$H,R$1,Prod_Prop!$I:$I,"Exacto"),Prod_Prop!$A:$A,Prod_Prop!$J:$J,"",0,1))</f>
        <v/>
      </c>
      <c r="S913" s="4" t="str">
        <f t="array" ref="S913">IF($E913="","", XLOOKUP(SUMIFS(Prod_Prop!$A:$A,Prod_Prop!$B:$B,$E913,Prod_Prop!$H:$H,S$1,Prod_Prop!$I:$I,"Exacto"),Prod_Prop!$A:$A,Prod_Prop!$J:$J,"",0,1))</f>
        <v/>
      </c>
      <c r="T913" s="4" t="str">
        <f t="array" ref="T913">IF($E913="","", XLOOKUP(SUMIFS(Prod_Prop!$A:$A,Prod_Prop!$B:$B,$E913,Prod_Prop!$H:$H,T$1,Prod_Prop!$I:$I,"Exacto"),Prod_Prop!$A:$A,Prod_Prop!$J:$J,"",0,1))</f>
        <v/>
      </c>
      <c r="U913" s="4" t="str">
        <f t="array" ref="U913">IF($E913="","", XLOOKUP(SUMIFS(Prod_Prop!$A:$A,Prod_Prop!$B:$B,$E913,Prod_Prop!$H:$H,U$1,Prod_Prop!$I:$I,"Exacto"),Prod_Prop!$A:$A,Prod_Prop!$J:$J,"",0,1))</f>
        <v/>
      </c>
      <c r="V913" s="4" t="str">
        <f t="array" ref="V913">IF($E913="","", XLOOKUP(SUMIFS(Prod_Prop!$A:$A,Prod_Prop!$B:$B,$E913,Prod_Prop!$H:$H,V$1,Prod_Prop!$I:$I,"Exacto"),Prod_Prop!$A:$A,Prod_Prop!$J:$J,"",0,1))</f>
        <v/>
      </c>
      <c r="X913" s="3" t="str">
        <f>IFERROR(__xludf.DUMMYFUNCTION("IF(D913="""","""",IFERROR(TRANSPOSE(FILTER('Validaciones Cotizador'!U:U,'Validaciones Cotizador'!O:O=D913,'Validaciones Cotizador'!T:T=""x"")),""Finalizar""))"),"")</f>
        <v/>
      </c>
    </row>
    <row r="914">
      <c r="A914" s="2" t="str">
        <f t="array" ref="A914">IF(E914="","",XLOOKUP(D914,'Validaciones Cotizador'!C:C,'Validaciones Cotizador'!A:A,"",0,1))</f>
        <v/>
      </c>
      <c r="B914" s="2" t="str">
        <f t="array" ref="B914">IF(F914="","",XLOOKUP(F914,Productos!E:E,Productos!G:G,"",0,1))</f>
        <v/>
      </c>
      <c r="C914" s="2" t="str">
        <f>IF(A914="","",SUMIFS('Validaciones Cotizador'!B:B,'Validaciones Cotizador'!C:C,D914,'Validaciones Cotizador'!A:A,A914))</f>
        <v/>
      </c>
      <c r="D914" s="4" t="str">
        <f>IFERROR(__xludf.DUMMYFUNCTION("IF(OR(F913=""Finalizar"",F913="""",F913=""Selecciona..""),"""",IF(OR(F913=""-"",INDEX(filter(Familias!F:F,Familias!D:D=A913,Familias!E:E=C913),1)=""O""),D913+1,D913))"),"")</f>
        <v/>
      </c>
      <c r="E914" s="2" t="str">
        <f>IF(OR(F914="",F914="Selecciona.."),"",IF(D914="Implemento",SUMIF(Implementos!B:B,F914,Implementos!A:A),SUMIF(Productos!E:E,F914,Productos!A:A)))</f>
        <v/>
      </c>
      <c r="F914" s="2" t="str">
        <f t="shared" si="2"/>
        <v/>
      </c>
      <c r="G914" s="10" t="str">
        <f t="array" ref="G914">IF(OR(F914="",F914="-",F914="Selecciona..",F914="Finalizar"),"",IF(A914="Rodados",XLOOKUP(B914,'Validaciones Cotizador'!I:I,'Validaciones Cotizador'!J:J,0,0,1),1))</f>
        <v/>
      </c>
      <c r="H914" s="11" t="str">
        <f>IF(OR(F914="",F914="Selecciona.."),"",SUMIF(Precio_Productos!K:K,E914,Precio_Productos!J:J)*G914)</f>
        <v/>
      </c>
      <c r="I914" s="4" t="str">
        <f t="array" ref="I914">IF($E914="","", XLOOKUP(SUMIFS(Prod_Prop!$A:$A,Prod_Prop!$B:$B,$E914,Prod_Prop!$H:$H,I$1,Prod_Prop!$I:$I,"Exacto"),Prod_Prop!$A:$A,Prod_Prop!$J:$J,"",0,1))</f>
        <v/>
      </c>
      <c r="J914" s="4" t="str">
        <f t="array" ref="J914">IF($E914="","", XLOOKUP(SUMIFS(Prod_Prop!$A:$A,Prod_Prop!$B:$B,$E914,Prod_Prop!$H:$H,J$1,Prod_Prop!$I:$I,"Exacto"),Prod_Prop!$A:$A,Prod_Prop!$J:$J,"",0,1))</f>
        <v/>
      </c>
      <c r="K914" s="4" t="str">
        <f t="array" ref="K914">IF($E914="","", XLOOKUP(SUMIFS(Prod_Prop!$A:$A,Prod_Prop!$B:$B,$E914,Prod_Prop!$H:$H,K$1,Prod_Prop!$I:$I,"Exacto"),Prod_Prop!$A:$A,Prod_Prop!$J:$J,"",0,1))</f>
        <v/>
      </c>
      <c r="L914" s="4" t="str">
        <f t="array" ref="L914">IF($E914="","", XLOOKUP(SUMIFS(Prod_Prop!$A:$A,Prod_Prop!$B:$B,$E914,Prod_Prop!$H:$H,L$1,Prod_Prop!$I:$I,"Exacto"),Prod_Prop!$A:$A,Prod_Prop!$J:$J,"",0,1))</f>
        <v/>
      </c>
      <c r="M914" s="4" t="str">
        <f t="array" ref="M914">IF($E914="","", XLOOKUP(SUMIFS(Prod_Prop!$A:$A,Prod_Prop!$B:$B,$E914,Prod_Prop!$H:$H,M$1,Prod_Prop!$I:$I,"Exacto"),Prod_Prop!$A:$A,Prod_Prop!$J:$J,"",0,1))</f>
        <v/>
      </c>
      <c r="N914" s="4" t="str">
        <f t="array" ref="N914">IF($E914="","", XLOOKUP(SUMIFS(Prod_Prop!$A:$A,Prod_Prop!$B:$B,$E914,Prod_Prop!$H:$H,N$1,Prod_Prop!$I:$I,"Exacto"),Prod_Prop!$A:$A,Prod_Prop!$J:$J,"",0,1))</f>
        <v/>
      </c>
      <c r="O914" s="4" t="str">
        <f t="array" ref="O914">IF($E914="","", XLOOKUP(SUMIFS(Prod_Prop!$A:$A,Prod_Prop!$B:$B,$E914,Prod_Prop!$H:$H,O$1,Prod_Prop!$I:$I,"Exacto"),Prod_Prop!$A:$A,Prod_Prop!$J:$J,"",0,1))</f>
        <v/>
      </c>
      <c r="P914" s="4" t="str">
        <f t="array" ref="P914">IF($E914="","", XLOOKUP(SUMIFS(Prod_Prop!$A:$A,Prod_Prop!$B:$B,$E914,Prod_Prop!$H:$H,P$1,Prod_Prop!$I:$I,"Exacto"),Prod_Prop!$A:$A,Prod_Prop!$J:$J,"",0,1))</f>
        <v/>
      </c>
      <c r="Q914" s="4" t="str">
        <f t="array" ref="Q914">IF($E914="","", XLOOKUP(SUMIFS(Prod_Prop!$A:$A,Prod_Prop!$B:$B,$E914,Prod_Prop!$H:$H,Q$1,Prod_Prop!$I:$I,"Exacto"),Prod_Prop!$A:$A,Prod_Prop!$J:$J,"",0,1))</f>
        <v/>
      </c>
      <c r="R914" s="4" t="str">
        <f t="array" ref="R914">IF($E914="","", XLOOKUP(SUMIFS(Prod_Prop!$A:$A,Prod_Prop!$B:$B,$E914,Prod_Prop!$H:$H,R$1,Prod_Prop!$I:$I,"Exacto"),Prod_Prop!$A:$A,Prod_Prop!$J:$J,"",0,1))</f>
        <v/>
      </c>
      <c r="S914" s="4" t="str">
        <f t="array" ref="S914">IF($E914="","", XLOOKUP(SUMIFS(Prod_Prop!$A:$A,Prod_Prop!$B:$B,$E914,Prod_Prop!$H:$H,S$1,Prod_Prop!$I:$I,"Exacto"),Prod_Prop!$A:$A,Prod_Prop!$J:$J,"",0,1))</f>
        <v/>
      </c>
      <c r="T914" s="4" t="str">
        <f t="array" ref="T914">IF($E914="","", XLOOKUP(SUMIFS(Prod_Prop!$A:$A,Prod_Prop!$B:$B,$E914,Prod_Prop!$H:$H,T$1,Prod_Prop!$I:$I,"Exacto"),Prod_Prop!$A:$A,Prod_Prop!$J:$J,"",0,1))</f>
        <v/>
      </c>
      <c r="U914" s="4" t="str">
        <f t="array" ref="U914">IF($E914="","", XLOOKUP(SUMIFS(Prod_Prop!$A:$A,Prod_Prop!$B:$B,$E914,Prod_Prop!$H:$H,U$1,Prod_Prop!$I:$I,"Exacto"),Prod_Prop!$A:$A,Prod_Prop!$J:$J,"",0,1))</f>
        <v/>
      </c>
      <c r="V914" s="4" t="str">
        <f t="array" ref="V914">IF($E914="","", XLOOKUP(SUMIFS(Prod_Prop!$A:$A,Prod_Prop!$B:$B,$E914,Prod_Prop!$H:$H,V$1,Prod_Prop!$I:$I,"Exacto"),Prod_Prop!$A:$A,Prod_Prop!$J:$J,"",0,1))</f>
        <v/>
      </c>
      <c r="X914" s="3" t="str">
        <f>IFERROR(__xludf.DUMMYFUNCTION("IF(D914="""","""",IFERROR(TRANSPOSE(FILTER('Validaciones Cotizador'!U:U,'Validaciones Cotizador'!O:O=D914,'Validaciones Cotizador'!T:T=""x"")),""Finalizar""))"),"")</f>
        <v/>
      </c>
    </row>
    <row r="915">
      <c r="A915" s="2" t="str">
        <f t="array" ref="A915">IF(E915="","",XLOOKUP(D915,'Validaciones Cotizador'!C:C,'Validaciones Cotizador'!A:A,"",0,1))</f>
        <v/>
      </c>
      <c r="B915" s="2" t="str">
        <f t="array" ref="B915">IF(F915="","",XLOOKUP(F915,Productos!E:E,Productos!G:G,"",0,1))</f>
        <v/>
      </c>
      <c r="C915" s="2" t="str">
        <f>IF(A915="","",SUMIFS('Validaciones Cotizador'!B:B,'Validaciones Cotizador'!C:C,D915,'Validaciones Cotizador'!A:A,A915))</f>
        <v/>
      </c>
      <c r="D915" s="4" t="str">
        <f>IFERROR(__xludf.DUMMYFUNCTION("IF(OR(F914=""Finalizar"",F914="""",F914=""Selecciona..""),"""",IF(OR(F914=""-"",INDEX(filter(Familias!F:F,Familias!D:D=A914,Familias!E:E=C914),1)=""O""),D914+1,D914))"),"")</f>
        <v/>
      </c>
      <c r="E915" s="2" t="str">
        <f>IF(OR(F915="",F915="Selecciona.."),"",IF(D915="Implemento",SUMIF(Implementos!B:B,F915,Implementos!A:A),SUMIF(Productos!E:E,F915,Productos!A:A)))</f>
        <v/>
      </c>
      <c r="F915" s="2" t="str">
        <f t="shared" si="2"/>
        <v/>
      </c>
      <c r="G915" s="10" t="str">
        <f t="array" ref="G915">IF(OR(F915="",F915="-",F915="Selecciona..",F915="Finalizar"),"",IF(A915="Rodados",XLOOKUP(B915,'Validaciones Cotizador'!I:I,'Validaciones Cotizador'!J:J,0,0,1),1))</f>
        <v/>
      </c>
      <c r="H915" s="11" t="str">
        <f>IF(OR(F915="",F915="Selecciona.."),"",SUMIF(Precio_Productos!K:K,E915,Precio_Productos!J:J)*G915)</f>
        <v/>
      </c>
      <c r="I915" s="4" t="str">
        <f t="array" ref="I915">IF($E915="","", XLOOKUP(SUMIFS(Prod_Prop!$A:$A,Prod_Prop!$B:$B,$E915,Prod_Prop!$H:$H,I$1,Prod_Prop!$I:$I,"Exacto"),Prod_Prop!$A:$A,Prod_Prop!$J:$J,"",0,1))</f>
        <v/>
      </c>
      <c r="J915" s="4" t="str">
        <f t="array" ref="J915">IF($E915="","", XLOOKUP(SUMIFS(Prod_Prop!$A:$A,Prod_Prop!$B:$B,$E915,Prod_Prop!$H:$H,J$1,Prod_Prop!$I:$I,"Exacto"),Prod_Prop!$A:$A,Prod_Prop!$J:$J,"",0,1))</f>
        <v/>
      </c>
      <c r="K915" s="4" t="str">
        <f t="array" ref="K915">IF($E915="","", XLOOKUP(SUMIFS(Prod_Prop!$A:$A,Prod_Prop!$B:$B,$E915,Prod_Prop!$H:$H,K$1,Prod_Prop!$I:$I,"Exacto"),Prod_Prop!$A:$A,Prod_Prop!$J:$J,"",0,1))</f>
        <v/>
      </c>
      <c r="L915" s="4" t="str">
        <f t="array" ref="L915">IF($E915="","", XLOOKUP(SUMIFS(Prod_Prop!$A:$A,Prod_Prop!$B:$B,$E915,Prod_Prop!$H:$H,L$1,Prod_Prop!$I:$I,"Exacto"),Prod_Prop!$A:$A,Prod_Prop!$J:$J,"",0,1))</f>
        <v/>
      </c>
      <c r="M915" s="4" t="str">
        <f t="array" ref="M915">IF($E915="","", XLOOKUP(SUMIFS(Prod_Prop!$A:$A,Prod_Prop!$B:$B,$E915,Prod_Prop!$H:$H,M$1,Prod_Prop!$I:$I,"Exacto"),Prod_Prop!$A:$A,Prod_Prop!$J:$J,"",0,1))</f>
        <v/>
      </c>
      <c r="N915" s="4" t="str">
        <f t="array" ref="N915">IF($E915="","", XLOOKUP(SUMIFS(Prod_Prop!$A:$A,Prod_Prop!$B:$B,$E915,Prod_Prop!$H:$H,N$1,Prod_Prop!$I:$I,"Exacto"),Prod_Prop!$A:$A,Prod_Prop!$J:$J,"",0,1))</f>
        <v/>
      </c>
      <c r="O915" s="4" t="str">
        <f t="array" ref="O915">IF($E915="","", XLOOKUP(SUMIFS(Prod_Prop!$A:$A,Prod_Prop!$B:$B,$E915,Prod_Prop!$H:$H,O$1,Prod_Prop!$I:$I,"Exacto"),Prod_Prop!$A:$A,Prod_Prop!$J:$J,"",0,1))</f>
        <v/>
      </c>
      <c r="P915" s="4" t="str">
        <f t="array" ref="P915">IF($E915="","", XLOOKUP(SUMIFS(Prod_Prop!$A:$A,Prod_Prop!$B:$B,$E915,Prod_Prop!$H:$H,P$1,Prod_Prop!$I:$I,"Exacto"),Prod_Prop!$A:$A,Prod_Prop!$J:$J,"",0,1))</f>
        <v/>
      </c>
      <c r="Q915" s="4" t="str">
        <f t="array" ref="Q915">IF($E915="","", XLOOKUP(SUMIFS(Prod_Prop!$A:$A,Prod_Prop!$B:$B,$E915,Prod_Prop!$H:$H,Q$1,Prod_Prop!$I:$I,"Exacto"),Prod_Prop!$A:$A,Prod_Prop!$J:$J,"",0,1))</f>
        <v/>
      </c>
      <c r="R915" s="4" t="str">
        <f t="array" ref="R915">IF($E915="","", XLOOKUP(SUMIFS(Prod_Prop!$A:$A,Prod_Prop!$B:$B,$E915,Prod_Prop!$H:$H,R$1,Prod_Prop!$I:$I,"Exacto"),Prod_Prop!$A:$A,Prod_Prop!$J:$J,"",0,1))</f>
        <v/>
      </c>
      <c r="S915" s="4" t="str">
        <f t="array" ref="S915">IF($E915="","", XLOOKUP(SUMIFS(Prod_Prop!$A:$A,Prod_Prop!$B:$B,$E915,Prod_Prop!$H:$H,S$1,Prod_Prop!$I:$I,"Exacto"),Prod_Prop!$A:$A,Prod_Prop!$J:$J,"",0,1))</f>
        <v/>
      </c>
      <c r="T915" s="4" t="str">
        <f t="array" ref="T915">IF($E915="","", XLOOKUP(SUMIFS(Prod_Prop!$A:$A,Prod_Prop!$B:$B,$E915,Prod_Prop!$H:$H,T$1,Prod_Prop!$I:$I,"Exacto"),Prod_Prop!$A:$A,Prod_Prop!$J:$J,"",0,1))</f>
        <v/>
      </c>
      <c r="U915" s="4" t="str">
        <f t="array" ref="U915">IF($E915="","", XLOOKUP(SUMIFS(Prod_Prop!$A:$A,Prod_Prop!$B:$B,$E915,Prod_Prop!$H:$H,U$1,Prod_Prop!$I:$I,"Exacto"),Prod_Prop!$A:$A,Prod_Prop!$J:$J,"",0,1))</f>
        <v/>
      </c>
      <c r="V915" s="4" t="str">
        <f t="array" ref="V915">IF($E915="","", XLOOKUP(SUMIFS(Prod_Prop!$A:$A,Prod_Prop!$B:$B,$E915,Prod_Prop!$H:$H,V$1,Prod_Prop!$I:$I,"Exacto"),Prod_Prop!$A:$A,Prod_Prop!$J:$J,"",0,1))</f>
        <v/>
      </c>
      <c r="X915" s="3" t="str">
        <f>IFERROR(__xludf.DUMMYFUNCTION("IF(D915="""","""",IFERROR(TRANSPOSE(FILTER('Validaciones Cotizador'!U:U,'Validaciones Cotizador'!O:O=D915,'Validaciones Cotizador'!T:T=""x"")),""Finalizar""))"),"")</f>
        <v/>
      </c>
    </row>
    <row r="916">
      <c r="A916" s="2" t="str">
        <f t="array" ref="A916">IF(E916="","",XLOOKUP(D916,'Validaciones Cotizador'!C:C,'Validaciones Cotizador'!A:A,"",0,1))</f>
        <v/>
      </c>
      <c r="B916" s="2" t="str">
        <f t="array" ref="B916">IF(F916="","",XLOOKUP(F916,Productos!E:E,Productos!G:G,"",0,1))</f>
        <v/>
      </c>
      <c r="C916" s="2" t="str">
        <f>IF(A916="","",SUMIFS('Validaciones Cotizador'!B:B,'Validaciones Cotizador'!C:C,D916,'Validaciones Cotizador'!A:A,A916))</f>
        <v/>
      </c>
      <c r="D916" s="4" t="str">
        <f>IFERROR(__xludf.DUMMYFUNCTION("IF(OR(F915=""Finalizar"",F915="""",F915=""Selecciona..""),"""",IF(OR(F915=""-"",INDEX(filter(Familias!F:F,Familias!D:D=A915,Familias!E:E=C915),1)=""O""),D915+1,D915))"),"")</f>
        <v/>
      </c>
      <c r="E916" s="2" t="str">
        <f>IF(OR(F916="",F916="Selecciona.."),"",IF(D916="Implemento",SUMIF(Implementos!B:B,F916,Implementos!A:A),SUMIF(Productos!E:E,F916,Productos!A:A)))</f>
        <v/>
      </c>
      <c r="F916" s="2" t="str">
        <f t="shared" si="2"/>
        <v/>
      </c>
      <c r="G916" s="10" t="str">
        <f t="array" ref="G916">IF(OR(F916="",F916="-",F916="Selecciona..",F916="Finalizar"),"",IF(A916="Rodados",XLOOKUP(B916,'Validaciones Cotizador'!I:I,'Validaciones Cotizador'!J:J,0,0,1),1))</f>
        <v/>
      </c>
      <c r="H916" s="11" t="str">
        <f>IF(OR(F916="",F916="Selecciona.."),"",SUMIF(Precio_Productos!K:K,E916,Precio_Productos!J:J)*G916)</f>
        <v/>
      </c>
      <c r="I916" s="4" t="str">
        <f t="array" ref="I916">IF($E916="","", XLOOKUP(SUMIFS(Prod_Prop!$A:$A,Prod_Prop!$B:$B,$E916,Prod_Prop!$H:$H,I$1,Prod_Prop!$I:$I,"Exacto"),Prod_Prop!$A:$A,Prod_Prop!$J:$J,"",0,1))</f>
        <v/>
      </c>
      <c r="J916" s="4" t="str">
        <f t="array" ref="J916">IF($E916="","", XLOOKUP(SUMIFS(Prod_Prop!$A:$A,Prod_Prop!$B:$B,$E916,Prod_Prop!$H:$H,J$1,Prod_Prop!$I:$I,"Exacto"),Prod_Prop!$A:$A,Prod_Prop!$J:$J,"",0,1))</f>
        <v/>
      </c>
      <c r="K916" s="4" t="str">
        <f t="array" ref="K916">IF($E916="","", XLOOKUP(SUMIFS(Prod_Prop!$A:$A,Prod_Prop!$B:$B,$E916,Prod_Prop!$H:$H,K$1,Prod_Prop!$I:$I,"Exacto"),Prod_Prop!$A:$A,Prod_Prop!$J:$J,"",0,1))</f>
        <v/>
      </c>
      <c r="L916" s="4" t="str">
        <f t="array" ref="L916">IF($E916="","", XLOOKUP(SUMIFS(Prod_Prop!$A:$A,Prod_Prop!$B:$B,$E916,Prod_Prop!$H:$H,L$1,Prod_Prop!$I:$I,"Exacto"),Prod_Prop!$A:$A,Prod_Prop!$J:$J,"",0,1))</f>
        <v/>
      </c>
      <c r="M916" s="4" t="str">
        <f t="array" ref="M916">IF($E916="","", XLOOKUP(SUMIFS(Prod_Prop!$A:$A,Prod_Prop!$B:$B,$E916,Prod_Prop!$H:$H,M$1,Prod_Prop!$I:$I,"Exacto"),Prod_Prop!$A:$A,Prod_Prop!$J:$J,"",0,1))</f>
        <v/>
      </c>
      <c r="N916" s="4" t="str">
        <f t="array" ref="N916">IF($E916="","", XLOOKUP(SUMIFS(Prod_Prop!$A:$A,Prod_Prop!$B:$B,$E916,Prod_Prop!$H:$H,N$1,Prod_Prop!$I:$I,"Exacto"),Prod_Prop!$A:$A,Prod_Prop!$J:$J,"",0,1))</f>
        <v/>
      </c>
      <c r="O916" s="4" t="str">
        <f t="array" ref="O916">IF($E916="","", XLOOKUP(SUMIFS(Prod_Prop!$A:$A,Prod_Prop!$B:$B,$E916,Prod_Prop!$H:$H,O$1,Prod_Prop!$I:$I,"Exacto"),Prod_Prop!$A:$A,Prod_Prop!$J:$J,"",0,1))</f>
        <v/>
      </c>
      <c r="P916" s="4" t="str">
        <f t="array" ref="P916">IF($E916="","", XLOOKUP(SUMIFS(Prod_Prop!$A:$A,Prod_Prop!$B:$B,$E916,Prod_Prop!$H:$H,P$1,Prod_Prop!$I:$I,"Exacto"),Prod_Prop!$A:$A,Prod_Prop!$J:$J,"",0,1))</f>
        <v/>
      </c>
      <c r="Q916" s="4" t="str">
        <f t="array" ref="Q916">IF($E916="","", XLOOKUP(SUMIFS(Prod_Prop!$A:$A,Prod_Prop!$B:$B,$E916,Prod_Prop!$H:$H,Q$1,Prod_Prop!$I:$I,"Exacto"),Prod_Prop!$A:$A,Prod_Prop!$J:$J,"",0,1))</f>
        <v/>
      </c>
      <c r="R916" s="4" t="str">
        <f t="array" ref="R916">IF($E916="","", XLOOKUP(SUMIFS(Prod_Prop!$A:$A,Prod_Prop!$B:$B,$E916,Prod_Prop!$H:$H,R$1,Prod_Prop!$I:$I,"Exacto"),Prod_Prop!$A:$A,Prod_Prop!$J:$J,"",0,1))</f>
        <v/>
      </c>
      <c r="S916" s="4" t="str">
        <f t="array" ref="S916">IF($E916="","", XLOOKUP(SUMIFS(Prod_Prop!$A:$A,Prod_Prop!$B:$B,$E916,Prod_Prop!$H:$H,S$1,Prod_Prop!$I:$I,"Exacto"),Prod_Prop!$A:$A,Prod_Prop!$J:$J,"",0,1))</f>
        <v/>
      </c>
      <c r="T916" s="4" t="str">
        <f t="array" ref="T916">IF($E916="","", XLOOKUP(SUMIFS(Prod_Prop!$A:$A,Prod_Prop!$B:$B,$E916,Prod_Prop!$H:$H,T$1,Prod_Prop!$I:$I,"Exacto"),Prod_Prop!$A:$A,Prod_Prop!$J:$J,"",0,1))</f>
        <v/>
      </c>
      <c r="U916" s="4" t="str">
        <f t="array" ref="U916">IF($E916="","", XLOOKUP(SUMIFS(Prod_Prop!$A:$A,Prod_Prop!$B:$B,$E916,Prod_Prop!$H:$H,U$1,Prod_Prop!$I:$I,"Exacto"),Prod_Prop!$A:$A,Prod_Prop!$J:$J,"",0,1))</f>
        <v/>
      </c>
      <c r="V916" s="4" t="str">
        <f t="array" ref="V916">IF($E916="","", XLOOKUP(SUMIFS(Prod_Prop!$A:$A,Prod_Prop!$B:$B,$E916,Prod_Prop!$H:$H,V$1,Prod_Prop!$I:$I,"Exacto"),Prod_Prop!$A:$A,Prod_Prop!$J:$J,"",0,1))</f>
        <v/>
      </c>
      <c r="X916" s="3" t="str">
        <f>IFERROR(__xludf.DUMMYFUNCTION("IF(D916="""","""",IFERROR(TRANSPOSE(FILTER('Validaciones Cotizador'!U:U,'Validaciones Cotizador'!O:O=D916,'Validaciones Cotizador'!T:T=""x"")),""Finalizar""))"),"")</f>
        <v/>
      </c>
    </row>
    <row r="917">
      <c r="A917" s="2" t="str">
        <f t="array" ref="A917">IF(E917="","",XLOOKUP(D917,'Validaciones Cotizador'!C:C,'Validaciones Cotizador'!A:A,"",0,1))</f>
        <v/>
      </c>
      <c r="B917" s="2" t="str">
        <f t="array" ref="B917">IF(F917="","",XLOOKUP(F917,Productos!E:E,Productos!G:G,"",0,1))</f>
        <v/>
      </c>
      <c r="C917" s="2" t="str">
        <f>IF(A917="","",SUMIFS('Validaciones Cotizador'!B:B,'Validaciones Cotizador'!C:C,D917,'Validaciones Cotizador'!A:A,A917))</f>
        <v/>
      </c>
      <c r="D917" s="4" t="str">
        <f>IFERROR(__xludf.DUMMYFUNCTION("IF(OR(F916=""Finalizar"",F916="""",F916=""Selecciona..""),"""",IF(OR(F916=""-"",INDEX(filter(Familias!F:F,Familias!D:D=A916,Familias!E:E=C916),1)=""O""),D916+1,D916))"),"")</f>
        <v/>
      </c>
      <c r="E917" s="2" t="str">
        <f>IF(OR(F917="",F917="Selecciona.."),"",IF(D917="Implemento",SUMIF(Implementos!B:B,F917,Implementos!A:A),SUMIF(Productos!E:E,F917,Productos!A:A)))</f>
        <v/>
      </c>
      <c r="F917" s="2" t="str">
        <f t="shared" si="2"/>
        <v/>
      </c>
      <c r="G917" s="10" t="str">
        <f t="array" ref="G917">IF(OR(F917="",F917="-",F917="Selecciona..",F917="Finalizar"),"",IF(A917="Rodados",XLOOKUP(B917,'Validaciones Cotizador'!I:I,'Validaciones Cotizador'!J:J,0,0,1),1))</f>
        <v/>
      </c>
      <c r="H917" s="11" t="str">
        <f>IF(OR(F917="",F917="Selecciona.."),"",SUMIF(Precio_Productos!K:K,E917,Precio_Productos!J:J)*G917)</f>
        <v/>
      </c>
      <c r="I917" s="4" t="str">
        <f t="array" ref="I917">IF($E917="","", XLOOKUP(SUMIFS(Prod_Prop!$A:$A,Prod_Prop!$B:$B,$E917,Prod_Prop!$H:$H,I$1,Prod_Prop!$I:$I,"Exacto"),Prod_Prop!$A:$A,Prod_Prop!$J:$J,"",0,1))</f>
        <v/>
      </c>
      <c r="J917" s="4" t="str">
        <f t="array" ref="J917">IF($E917="","", XLOOKUP(SUMIFS(Prod_Prop!$A:$A,Prod_Prop!$B:$B,$E917,Prod_Prop!$H:$H,J$1,Prod_Prop!$I:$I,"Exacto"),Prod_Prop!$A:$A,Prod_Prop!$J:$J,"",0,1))</f>
        <v/>
      </c>
      <c r="K917" s="4" t="str">
        <f t="array" ref="K917">IF($E917="","", XLOOKUP(SUMIFS(Prod_Prop!$A:$A,Prod_Prop!$B:$B,$E917,Prod_Prop!$H:$H,K$1,Prod_Prop!$I:$I,"Exacto"),Prod_Prop!$A:$A,Prod_Prop!$J:$J,"",0,1))</f>
        <v/>
      </c>
      <c r="L917" s="4" t="str">
        <f t="array" ref="L917">IF($E917="","", XLOOKUP(SUMIFS(Prod_Prop!$A:$A,Prod_Prop!$B:$B,$E917,Prod_Prop!$H:$H,L$1,Prod_Prop!$I:$I,"Exacto"),Prod_Prop!$A:$A,Prod_Prop!$J:$J,"",0,1))</f>
        <v/>
      </c>
      <c r="M917" s="4" t="str">
        <f t="array" ref="M917">IF($E917="","", XLOOKUP(SUMIFS(Prod_Prop!$A:$A,Prod_Prop!$B:$B,$E917,Prod_Prop!$H:$H,M$1,Prod_Prop!$I:$I,"Exacto"),Prod_Prop!$A:$A,Prod_Prop!$J:$J,"",0,1))</f>
        <v/>
      </c>
      <c r="N917" s="4" t="str">
        <f t="array" ref="N917">IF($E917="","", XLOOKUP(SUMIFS(Prod_Prop!$A:$A,Prod_Prop!$B:$B,$E917,Prod_Prop!$H:$H,N$1,Prod_Prop!$I:$I,"Exacto"),Prod_Prop!$A:$A,Prod_Prop!$J:$J,"",0,1))</f>
        <v/>
      </c>
      <c r="O917" s="4" t="str">
        <f t="array" ref="O917">IF($E917="","", XLOOKUP(SUMIFS(Prod_Prop!$A:$A,Prod_Prop!$B:$B,$E917,Prod_Prop!$H:$H,O$1,Prod_Prop!$I:$I,"Exacto"),Prod_Prop!$A:$A,Prod_Prop!$J:$J,"",0,1))</f>
        <v/>
      </c>
      <c r="P917" s="4" t="str">
        <f t="array" ref="P917">IF($E917="","", XLOOKUP(SUMIFS(Prod_Prop!$A:$A,Prod_Prop!$B:$B,$E917,Prod_Prop!$H:$H,P$1,Prod_Prop!$I:$I,"Exacto"),Prod_Prop!$A:$A,Prod_Prop!$J:$J,"",0,1))</f>
        <v/>
      </c>
      <c r="Q917" s="4" t="str">
        <f t="array" ref="Q917">IF($E917="","", XLOOKUP(SUMIFS(Prod_Prop!$A:$A,Prod_Prop!$B:$B,$E917,Prod_Prop!$H:$H,Q$1,Prod_Prop!$I:$I,"Exacto"),Prod_Prop!$A:$A,Prod_Prop!$J:$J,"",0,1))</f>
        <v/>
      </c>
      <c r="R917" s="4" t="str">
        <f t="array" ref="R917">IF($E917="","", XLOOKUP(SUMIFS(Prod_Prop!$A:$A,Prod_Prop!$B:$B,$E917,Prod_Prop!$H:$H,R$1,Prod_Prop!$I:$I,"Exacto"),Prod_Prop!$A:$A,Prod_Prop!$J:$J,"",0,1))</f>
        <v/>
      </c>
      <c r="S917" s="4" t="str">
        <f t="array" ref="S917">IF($E917="","", XLOOKUP(SUMIFS(Prod_Prop!$A:$A,Prod_Prop!$B:$B,$E917,Prod_Prop!$H:$H,S$1,Prod_Prop!$I:$I,"Exacto"),Prod_Prop!$A:$A,Prod_Prop!$J:$J,"",0,1))</f>
        <v/>
      </c>
      <c r="T917" s="4" t="str">
        <f t="array" ref="T917">IF($E917="","", XLOOKUP(SUMIFS(Prod_Prop!$A:$A,Prod_Prop!$B:$B,$E917,Prod_Prop!$H:$H,T$1,Prod_Prop!$I:$I,"Exacto"),Prod_Prop!$A:$A,Prod_Prop!$J:$J,"",0,1))</f>
        <v/>
      </c>
      <c r="U917" s="4" t="str">
        <f t="array" ref="U917">IF($E917="","", XLOOKUP(SUMIFS(Prod_Prop!$A:$A,Prod_Prop!$B:$B,$E917,Prod_Prop!$H:$H,U$1,Prod_Prop!$I:$I,"Exacto"),Prod_Prop!$A:$A,Prod_Prop!$J:$J,"",0,1))</f>
        <v/>
      </c>
      <c r="V917" s="4" t="str">
        <f t="array" ref="V917">IF($E917="","", XLOOKUP(SUMIFS(Prod_Prop!$A:$A,Prod_Prop!$B:$B,$E917,Prod_Prop!$H:$H,V$1,Prod_Prop!$I:$I,"Exacto"),Prod_Prop!$A:$A,Prod_Prop!$J:$J,"",0,1))</f>
        <v/>
      </c>
      <c r="X917" s="3" t="str">
        <f>IFERROR(__xludf.DUMMYFUNCTION("IF(D917="""","""",IFERROR(TRANSPOSE(FILTER('Validaciones Cotizador'!U:U,'Validaciones Cotizador'!O:O=D917,'Validaciones Cotizador'!T:T=""x"")),""Finalizar""))"),"")</f>
        <v/>
      </c>
    </row>
    <row r="918">
      <c r="A918" s="2" t="str">
        <f t="array" ref="A918">IF(E918="","",XLOOKUP(D918,'Validaciones Cotizador'!C:C,'Validaciones Cotizador'!A:A,"",0,1))</f>
        <v/>
      </c>
      <c r="B918" s="2" t="str">
        <f t="array" ref="B918">IF(F918="","",XLOOKUP(F918,Productos!E:E,Productos!G:G,"",0,1))</f>
        <v/>
      </c>
      <c r="C918" s="2" t="str">
        <f>IF(A918="","",SUMIFS('Validaciones Cotizador'!B:B,'Validaciones Cotizador'!C:C,D918,'Validaciones Cotizador'!A:A,A918))</f>
        <v/>
      </c>
      <c r="D918" s="4" t="str">
        <f>IFERROR(__xludf.DUMMYFUNCTION("IF(OR(F917=""Finalizar"",F917="""",F917=""Selecciona..""),"""",IF(OR(F917=""-"",INDEX(filter(Familias!F:F,Familias!D:D=A917,Familias!E:E=C917),1)=""O""),D917+1,D917))"),"")</f>
        <v/>
      </c>
      <c r="E918" s="2" t="str">
        <f>IF(OR(F918="",F918="Selecciona.."),"",IF(D918="Implemento",SUMIF(Implementos!B:B,F918,Implementos!A:A),SUMIF(Productos!E:E,F918,Productos!A:A)))</f>
        <v/>
      </c>
      <c r="F918" s="2" t="str">
        <f t="shared" si="2"/>
        <v/>
      </c>
      <c r="G918" s="10" t="str">
        <f t="array" ref="G918">IF(OR(F918="",F918="-",F918="Selecciona..",F918="Finalizar"),"",IF(A918="Rodados",XLOOKUP(B918,'Validaciones Cotizador'!I:I,'Validaciones Cotizador'!J:J,0,0,1),1))</f>
        <v/>
      </c>
      <c r="H918" s="11" t="str">
        <f>IF(OR(F918="",F918="Selecciona.."),"",SUMIF(Precio_Productos!K:K,E918,Precio_Productos!J:J)*G918)</f>
        <v/>
      </c>
      <c r="I918" s="4" t="str">
        <f t="array" ref="I918">IF($E918="","", XLOOKUP(SUMIFS(Prod_Prop!$A:$A,Prod_Prop!$B:$B,$E918,Prod_Prop!$H:$H,I$1,Prod_Prop!$I:$I,"Exacto"),Prod_Prop!$A:$A,Prod_Prop!$J:$J,"",0,1))</f>
        <v/>
      </c>
      <c r="J918" s="4" t="str">
        <f t="array" ref="J918">IF($E918="","", XLOOKUP(SUMIFS(Prod_Prop!$A:$A,Prod_Prop!$B:$B,$E918,Prod_Prop!$H:$H,J$1,Prod_Prop!$I:$I,"Exacto"),Prod_Prop!$A:$A,Prod_Prop!$J:$J,"",0,1))</f>
        <v/>
      </c>
      <c r="K918" s="4" t="str">
        <f t="array" ref="K918">IF($E918="","", XLOOKUP(SUMIFS(Prod_Prop!$A:$A,Prod_Prop!$B:$B,$E918,Prod_Prop!$H:$H,K$1,Prod_Prop!$I:$I,"Exacto"),Prod_Prop!$A:$A,Prod_Prop!$J:$J,"",0,1))</f>
        <v/>
      </c>
      <c r="L918" s="4" t="str">
        <f t="array" ref="L918">IF($E918="","", XLOOKUP(SUMIFS(Prod_Prop!$A:$A,Prod_Prop!$B:$B,$E918,Prod_Prop!$H:$H,L$1,Prod_Prop!$I:$I,"Exacto"),Prod_Prop!$A:$A,Prod_Prop!$J:$J,"",0,1))</f>
        <v/>
      </c>
      <c r="M918" s="4" t="str">
        <f t="array" ref="M918">IF($E918="","", XLOOKUP(SUMIFS(Prod_Prop!$A:$A,Prod_Prop!$B:$B,$E918,Prod_Prop!$H:$H,M$1,Prod_Prop!$I:$I,"Exacto"),Prod_Prop!$A:$A,Prod_Prop!$J:$J,"",0,1))</f>
        <v/>
      </c>
      <c r="N918" s="4" t="str">
        <f t="array" ref="N918">IF($E918="","", XLOOKUP(SUMIFS(Prod_Prop!$A:$A,Prod_Prop!$B:$B,$E918,Prod_Prop!$H:$H,N$1,Prod_Prop!$I:$I,"Exacto"),Prod_Prop!$A:$A,Prod_Prop!$J:$J,"",0,1))</f>
        <v/>
      </c>
      <c r="O918" s="4" t="str">
        <f t="array" ref="O918">IF($E918="","", XLOOKUP(SUMIFS(Prod_Prop!$A:$A,Prod_Prop!$B:$B,$E918,Prod_Prop!$H:$H,O$1,Prod_Prop!$I:$I,"Exacto"),Prod_Prop!$A:$A,Prod_Prop!$J:$J,"",0,1))</f>
        <v/>
      </c>
      <c r="P918" s="4" t="str">
        <f t="array" ref="P918">IF($E918="","", XLOOKUP(SUMIFS(Prod_Prop!$A:$A,Prod_Prop!$B:$B,$E918,Prod_Prop!$H:$H,P$1,Prod_Prop!$I:$I,"Exacto"),Prod_Prop!$A:$A,Prod_Prop!$J:$J,"",0,1))</f>
        <v/>
      </c>
      <c r="Q918" s="4" t="str">
        <f t="array" ref="Q918">IF($E918="","", XLOOKUP(SUMIFS(Prod_Prop!$A:$A,Prod_Prop!$B:$B,$E918,Prod_Prop!$H:$H,Q$1,Prod_Prop!$I:$I,"Exacto"),Prod_Prop!$A:$A,Prod_Prop!$J:$J,"",0,1))</f>
        <v/>
      </c>
      <c r="R918" s="4" t="str">
        <f t="array" ref="R918">IF($E918="","", XLOOKUP(SUMIFS(Prod_Prop!$A:$A,Prod_Prop!$B:$B,$E918,Prod_Prop!$H:$H,R$1,Prod_Prop!$I:$I,"Exacto"),Prod_Prop!$A:$A,Prod_Prop!$J:$J,"",0,1))</f>
        <v/>
      </c>
      <c r="S918" s="4" t="str">
        <f t="array" ref="S918">IF($E918="","", XLOOKUP(SUMIFS(Prod_Prop!$A:$A,Prod_Prop!$B:$B,$E918,Prod_Prop!$H:$H,S$1,Prod_Prop!$I:$I,"Exacto"),Prod_Prop!$A:$A,Prod_Prop!$J:$J,"",0,1))</f>
        <v/>
      </c>
      <c r="T918" s="4" t="str">
        <f t="array" ref="T918">IF($E918="","", XLOOKUP(SUMIFS(Prod_Prop!$A:$A,Prod_Prop!$B:$B,$E918,Prod_Prop!$H:$H,T$1,Prod_Prop!$I:$I,"Exacto"),Prod_Prop!$A:$A,Prod_Prop!$J:$J,"",0,1))</f>
        <v/>
      </c>
      <c r="U918" s="4" t="str">
        <f t="array" ref="U918">IF($E918="","", XLOOKUP(SUMIFS(Prod_Prop!$A:$A,Prod_Prop!$B:$B,$E918,Prod_Prop!$H:$H,U$1,Prod_Prop!$I:$I,"Exacto"),Prod_Prop!$A:$A,Prod_Prop!$J:$J,"",0,1))</f>
        <v/>
      </c>
      <c r="V918" s="4" t="str">
        <f t="array" ref="V918">IF($E918="","", XLOOKUP(SUMIFS(Prod_Prop!$A:$A,Prod_Prop!$B:$B,$E918,Prod_Prop!$H:$H,V$1,Prod_Prop!$I:$I,"Exacto"),Prod_Prop!$A:$A,Prod_Prop!$J:$J,"",0,1))</f>
        <v/>
      </c>
      <c r="X918" s="3" t="str">
        <f>IFERROR(__xludf.DUMMYFUNCTION("IF(D918="""","""",IFERROR(TRANSPOSE(FILTER('Validaciones Cotizador'!U:U,'Validaciones Cotizador'!O:O=D918,'Validaciones Cotizador'!T:T=""x"")),""Finalizar""))"),"")</f>
        <v/>
      </c>
    </row>
    <row r="919">
      <c r="A919" s="2" t="str">
        <f t="array" ref="A919">IF(E919="","",XLOOKUP(D919,'Validaciones Cotizador'!C:C,'Validaciones Cotizador'!A:A,"",0,1))</f>
        <v/>
      </c>
      <c r="B919" s="2" t="str">
        <f t="array" ref="B919">IF(F919="","",XLOOKUP(F919,Productos!E:E,Productos!G:G,"",0,1))</f>
        <v/>
      </c>
      <c r="C919" s="2" t="str">
        <f>IF(A919="","",SUMIFS('Validaciones Cotizador'!B:B,'Validaciones Cotizador'!C:C,D919,'Validaciones Cotizador'!A:A,A919))</f>
        <v/>
      </c>
      <c r="D919" s="4" t="str">
        <f>IFERROR(__xludf.DUMMYFUNCTION("IF(OR(F918=""Finalizar"",F918="""",F918=""Selecciona..""),"""",IF(OR(F918=""-"",INDEX(filter(Familias!F:F,Familias!D:D=A918,Familias!E:E=C918),1)=""O""),D918+1,D918))"),"")</f>
        <v/>
      </c>
      <c r="E919" s="2" t="str">
        <f>IF(OR(F919="",F919="Selecciona.."),"",IF(D919="Implemento",SUMIF(Implementos!B:B,F919,Implementos!A:A),SUMIF(Productos!E:E,F919,Productos!A:A)))</f>
        <v/>
      </c>
      <c r="F919" s="2" t="str">
        <f t="shared" si="2"/>
        <v/>
      </c>
      <c r="G919" s="10" t="str">
        <f t="array" ref="G919">IF(OR(F919="",F919="-",F919="Selecciona..",F919="Finalizar"),"",IF(A919="Rodados",XLOOKUP(B919,'Validaciones Cotizador'!I:I,'Validaciones Cotizador'!J:J,0,0,1),1))</f>
        <v/>
      </c>
      <c r="H919" s="11" t="str">
        <f>IF(OR(F919="",F919="Selecciona.."),"",SUMIF(Precio_Productos!K:K,E919,Precio_Productos!J:J)*G919)</f>
        <v/>
      </c>
      <c r="I919" s="4" t="str">
        <f t="array" ref="I919">IF($E919="","", XLOOKUP(SUMIFS(Prod_Prop!$A:$A,Prod_Prop!$B:$B,$E919,Prod_Prop!$H:$H,I$1,Prod_Prop!$I:$I,"Exacto"),Prod_Prop!$A:$A,Prod_Prop!$J:$J,"",0,1))</f>
        <v/>
      </c>
      <c r="J919" s="4" t="str">
        <f t="array" ref="J919">IF($E919="","", XLOOKUP(SUMIFS(Prod_Prop!$A:$A,Prod_Prop!$B:$B,$E919,Prod_Prop!$H:$H,J$1,Prod_Prop!$I:$I,"Exacto"),Prod_Prop!$A:$A,Prod_Prop!$J:$J,"",0,1))</f>
        <v/>
      </c>
      <c r="K919" s="4" t="str">
        <f t="array" ref="K919">IF($E919="","", XLOOKUP(SUMIFS(Prod_Prop!$A:$A,Prod_Prop!$B:$B,$E919,Prod_Prop!$H:$H,K$1,Prod_Prop!$I:$I,"Exacto"),Prod_Prop!$A:$A,Prod_Prop!$J:$J,"",0,1))</f>
        <v/>
      </c>
      <c r="L919" s="4" t="str">
        <f t="array" ref="L919">IF($E919="","", XLOOKUP(SUMIFS(Prod_Prop!$A:$A,Prod_Prop!$B:$B,$E919,Prod_Prop!$H:$H,L$1,Prod_Prop!$I:$I,"Exacto"),Prod_Prop!$A:$A,Prod_Prop!$J:$J,"",0,1))</f>
        <v/>
      </c>
      <c r="M919" s="4" t="str">
        <f t="array" ref="M919">IF($E919="","", XLOOKUP(SUMIFS(Prod_Prop!$A:$A,Prod_Prop!$B:$B,$E919,Prod_Prop!$H:$H,M$1,Prod_Prop!$I:$I,"Exacto"),Prod_Prop!$A:$A,Prod_Prop!$J:$J,"",0,1))</f>
        <v/>
      </c>
      <c r="N919" s="4" t="str">
        <f t="array" ref="N919">IF($E919="","", XLOOKUP(SUMIFS(Prod_Prop!$A:$A,Prod_Prop!$B:$B,$E919,Prod_Prop!$H:$H,N$1,Prod_Prop!$I:$I,"Exacto"),Prod_Prop!$A:$A,Prod_Prop!$J:$J,"",0,1))</f>
        <v/>
      </c>
      <c r="O919" s="4" t="str">
        <f t="array" ref="O919">IF($E919="","", XLOOKUP(SUMIFS(Prod_Prop!$A:$A,Prod_Prop!$B:$B,$E919,Prod_Prop!$H:$H,O$1,Prod_Prop!$I:$I,"Exacto"),Prod_Prop!$A:$A,Prod_Prop!$J:$J,"",0,1))</f>
        <v/>
      </c>
      <c r="P919" s="4" t="str">
        <f t="array" ref="P919">IF($E919="","", XLOOKUP(SUMIFS(Prod_Prop!$A:$A,Prod_Prop!$B:$B,$E919,Prod_Prop!$H:$H,P$1,Prod_Prop!$I:$I,"Exacto"),Prod_Prop!$A:$A,Prod_Prop!$J:$J,"",0,1))</f>
        <v/>
      </c>
      <c r="Q919" s="4" t="str">
        <f t="array" ref="Q919">IF($E919="","", XLOOKUP(SUMIFS(Prod_Prop!$A:$A,Prod_Prop!$B:$B,$E919,Prod_Prop!$H:$H,Q$1,Prod_Prop!$I:$I,"Exacto"),Prod_Prop!$A:$A,Prod_Prop!$J:$J,"",0,1))</f>
        <v/>
      </c>
      <c r="R919" s="4" t="str">
        <f t="array" ref="R919">IF($E919="","", XLOOKUP(SUMIFS(Prod_Prop!$A:$A,Prod_Prop!$B:$B,$E919,Prod_Prop!$H:$H,R$1,Prod_Prop!$I:$I,"Exacto"),Prod_Prop!$A:$A,Prod_Prop!$J:$J,"",0,1))</f>
        <v/>
      </c>
      <c r="S919" s="4" t="str">
        <f t="array" ref="S919">IF($E919="","", XLOOKUP(SUMIFS(Prod_Prop!$A:$A,Prod_Prop!$B:$B,$E919,Prod_Prop!$H:$H,S$1,Prod_Prop!$I:$I,"Exacto"),Prod_Prop!$A:$A,Prod_Prop!$J:$J,"",0,1))</f>
        <v/>
      </c>
      <c r="T919" s="4" t="str">
        <f t="array" ref="T919">IF($E919="","", XLOOKUP(SUMIFS(Prod_Prop!$A:$A,Prod_Prop!$B:$B,$E919,Prod_Prop!$H:$H,T$1,Prod_Prop!$I:$I,"Exacto"),Prod_Prop!$A:$A,Prod_Prop!$J:$J,"",0,1))</f>
        <v/>
      </c>
      <c r="U919" s="4" t="str">
        <f t="array" ref="U919">IF($E919="","", XLOOKUP(SUMIFS(Prod_Prop!$A:$A,Prod_Prop!$B:$B,$E919,Prod_Prop!$H:$H,U$1,Prod_Prop!$I:$I,"Exacto"),Prod_Prop!$A:$A,Prod_Prop!$J:$J,"",0,1))</f>
        <v/>
      </c>
      <c r="V919" s="4" t="str">
        <f t="array" ref="V919">IF($E919="","", XLOOKUP(SUMIFS(Prod_Prop!$A:$A,Prod_Prop!$B:$B,$E919,Prod_Prop!$H:$H,V$1,Prod_Prop!$I:$I,"Exacto"),Prod_Prop!$A:$A,Prod_Prop!$J:$J,"",0,1))</f>
        <v/>
      </c>
      <c r="X919" s="3" t="str">
        <f>IFERROR(__xludf.DUMMYFUNCTION("IF(D919="""","""",IFERROR(TRANSPOSE(FILTER('Validaciones Cotizador'!U:U,'Validaciones Cotizador'!O:O=D919,'Validaciones Cotizador'!T:T=""x"")),""Finalizar""))"),"")</f>
        <v/>
      </c>
    </row>
    <row r="920">
      <c r="A920" s="2" t="str">
        <f t="array" ref="A920">IF(E920="","",XLOOKUP(D920,'Validaciones Cotizador'!C:C,'Validaciones Cotizador'!A:A,"",0,1))</f>
        <v/>
      </c>
      <c r="B920" s="2" t="str">
        <f t="array" ref="B920">IF(F920="","",XLOOKUP(F920,Productos!E:E,Productos!G:G,"",0,1))</f>
        <v/>
      </c>
      <c r="C920" s="2" t="str">
        <f>IF(A920="","",SUMIFS('Validaciones Cotizador'!B:B,'Validaciones Cotizador'!C:C,D920,'Validaciones Cotizador'!A:A,A920))</f>
        <v/>
      </c>
      <c r="D920" s="4" t="str">
        <f>IFERROR(__xludf.DUMMYFUNCTION("IF(OR(F919=""Finalizar"",F919="""",F919=""Selecciona..""),"""",IF(OR(F919=""-"",INDEX(filter(Familias!F:F,Familias!D:D=A919,Familias!E:E=C919),1)=""O""),D919+1,D919))"),"")</f>
        <v/>
      </c>
      <c r="E920" s="2" t="str">
        <f>IF(OR(F920="",F920="Selecciona.."),"",IF(D920="Implemento",SUMIF(Implementos!B:B,F920,Implementos!A:A),SUMIF(Productos!E:E,F920,Productos!A:A)))</f>
        <v/>
      </c>
      <c r="F920" s="2" t="str">
        <f t="shared" si="2"/>
        <v/>
      </c>
      <c r="G920" s="10" t="str">
        <f t="array" ref="G920">IF(OR(F920="",F920="-",F920="Selecciona..",F920="Finalizar"),"",IF(A920="Rodados",XLOOKUP(B920,'Validaciones Cotizador'!I:I,'Validaciones Cotizador'!J:J,0,0,1),1))</f>
        <v/>
      </c>
      <c r="H920" s="11" t="str">
        <f>IF(OR(F920="",F920="Selecciona.."),"",SUMIF(Precio_Productos!K:K,E920,Precio_Productos!J:J)*G920)</f>
        <v/>
      </c>
      <c r="I920" s="4" t="str">
        <f t="array" ref="I920">IF($E920="","", XLOOKUP(SUMIFS(Prod_Prop!$A:$A,Prod_Prop!$B:$B,$E920,Prod_Prop!$H:$H,I$1,Prod_Prop!$I:$I,"Exacto"),Prod_Prop!$A:$A,Prod_Prop!$J:$J,"",0,1))</f>
        <v/>
      </c>
      <c r="J920" s="4" t="str">
        <f t="array" ref="J920">IF($E920="","", XLOOKUP(SUMIFS(Prod_Prop!$A:$A,Prod_Prop!$B:$B,$E920,Prod_Prop!$H:$H,J$1,Prod_Prop!$I:$I,"Exacto"),Prod_Prop!$A:$A,Prod_Prop!$J:$J,"",0,1))</f>
        <v/>
      </c>
      <c r="K920" s="4" t="str">
        <f t="array" ref="K920">IF($E920="","", XLOOKUP(SUMIFS(Prod_Prop!$A:$A,Prod_Prop!$B:$B,$E920,Prod_Prop!$H:$H,K$1,Prod_Prop!$I:$I,"Exacto"),Prod_Prop!$A:$A,Prod_Prop!$J:$J,"",0,1))</f>
        <v/>
      </c>
      <c r="L920" s="4" t="str">
        <f t="array" ref="L920">IF($E920="","", XLOOKUP(SUMIFS(Prod_Prop!$A:$A,Prod_Prop!$B:$B,$E920,Prod_Prop!$H:$H,L$1,Prod_Prop!$I:$I,"Exacto"),Prod_Prop!$A:$A,Prod_Prop!$J:$J,"",0,1))</f>
        <v/>
      </c>
      <c r="M920" s="4" t="str">
        <f t="array" ref="M920">IF($E920="","", XLOOKUP(SUMIFS(Prod_Prop!$A:$A,Prod_Prop!$B:$B,$E920,Prod_Prop!$H:$H,M$1,Prod_Prop!$I:$I,"Exacto"),Prod_Prop!$A:$A,Prod_Prop!$J:$J,"",0,1))</f>
        <v/>
      </c>
      <c r="N920" s="4" t="str">
        <f t="array" ref="N920">IF($E920="","", XLOOKUP(SUMIFS(Prod_Prop!$A:$A,Prod_Prop!$B:$B,$E920,Prod_Prop!$H:$H,N$1,Prod_Prop!$I:$I,"Exacto"),Prod_Prop!$A:$A,Prod_Prop!$J:$J,"",0,1))</f>
        <v/>
      </c>
      <c r="O920" s="4" t="str">
        <f t="array" ref="O920">IF($E920="","", XLOOKUP(SUMIFS(Prod_Prop!$A:$A,Prod_Prop!$B:$B,$E920,Prod_Prop!$H:$H,O$1,Prod_Prop!$I:$I,"Exacto"),Prod_Prop!$A:$A,Prod_Prop!$J:$J,"",0,1))</f>
        <v/>
      </c>
      <c r="P920" s="4" t="str">
        <f t="array" ref="P920">IF($E920="","", XLOOKUP(SUMIFS(Prod_Prop!$A:$A,Prod_Prop!$B:$B,$E920,Prod_Prop!$H:$H,P$1,Prod_Prop!$I:$I,"Exacto"),Prod_Prop!$A:$A,Prod_Prop!$J:$J,"",0,1))</f>
        <v/>
      </c>
      <c r="Q920" s="4" t="str">
        <f t="array" ref="Q920">IF($E920="","", XLOOKUP(SUMIFS(Prod_Prop!$A:$A,Prod_Prop!$B:$B,$E920,Prod_Prop!$H:$H,Q$1,Prod_Prop!$I:$I,"Exacto"),Prod_Prop!$A:$A,Prod_Prop!$J:$J,"",0,1))</f>
        <v/>
      </c>
      <c r="R920" s="4" t="str">
        <f t="array" ref="R920">IF($E920="","", XLOOKUP(SUMIFS(Prod_Prop!$A:$A,Prod_Prop!$B:$B,$E920,Prod_Prop!$H:$H,R$1,Prod_Prop!$I:$I,"Exacto"),Prod_Prop!$A:$A,Prod_Prop!$J:$J,"",0,1))</f>
        <v/>
      </c>
      <c r="S920" s="4" t="str">
        <f t="array" ref="S920">IF($E920="","", XLOOKUP(SUMIFS(Prod_Prop!$A:$A,Prod_Prop!$B:$B,$E920,Prod_Prop!$H:$H,S$1,Prod_Prop!$I:$I,"Exacto"),Prod_Prop!$A:$A,Prod_Prop!$J:$J,"",0,1))</f>
        <v/>
      </c>
      <c r="T920" s="4" t="str">
        <f t="array" ref="T920">IF($E920="","", XLOOKUP(SUMIFS(Prod_Prop!$A:$A,Prod_Prop!$B:$B,$E920,Prod_Prop!$H:$H,T$1,Prod_Prop!$I:$I,"Exacto"),Prod_Prop!$A:$A,Prod_Prop!$J:$J,"",0,1))</f>
        <v/>
      </c>
      <c r="U920" s="4" t="str">
        <f t="array" ref="U920">IF($E920="","", XLOOKUP(SUMIFS(Prod_Prop!$A:$A,Prod_Prop!$B:$B,$E920,Prod_Prop!$H:$H,U$1,Prod_Prop!$I:$I,"Exacto"),Prod_Prop!$A:$A,Prod_Prop!$J:$J,"",0,1))</f>
        <v/>
      </c>
      <c r="V920" s="4" t="str">
        <f t="array" ref="V920">IF($E920="","", XLOOKUP(SUMIFS(Prod_Prop!$A:$A,Prod_Prop!$B:$B,$E920,Prod_Prop!$H:$H,V$1,Prod_Prop!$I:$I,"Exacto"),Prod_Prop!$A:$A,Prod_Prop!$J:$J,"",0,1))</f>
        <v/>
      </c>
      <c r="X920" s="3" t="str">
        <f>IFERROR(__xludf.DUMMYFUNCTION("IF(D920="""","""",IFERROR(TRANSPOSE(FILTER('Validaciones Cotizador'!U:U,'Validaciones Cotizador'!O:O=D920,'Validaciones Cotizador'!T:T=""x"")),""Finalizar""))"),"")</f>
        <v/>
      </c>
    </row>
    <row r="921">
      <c r="A921" s="2" t="str">
        <f t="array" ref="A921">IF(E921="","",XLOOKUP(D921,'Validaciones Cotizador'!C:C,'Validaciones Cotizador'!A:A,"",0,1))</f>
        <v/>
      </c>
      <c r="B921" s="2" t="str">
        <f t="array" ref="B921">IF(F921="","",XLOOKUP(F921,Productos!E:E,Productos!G:G,"",0,1))</f>
        <v/>
      </c>
      <c r="C921" s="2" t="str">
        <f>IF(A921="","",SUMIFS('Validaciones Cotizador'!B:B,'Validaciones Cotizador'!C:C,D921,'Validaciones Cotizador'!A:A,A921))</f>
        <v/>
      </c>
      <c r="D921" s="4" t="str">
        <f>IFERROR(__xludf.DUMMYFUNCTION("IF(OR(F920=""Finalizar"",F920="""",F920=""Selecciona..""),"""",IF(OR(F920=""-"",INDEX(filter(Familias!F:F,Familias!D:D=A920,Familias!E:E=C920),1)=""O""),D920+1,D920))"),"")</f>
        <v/>
      </c>
      <c r="E921" s="2" t="str">
        <f>IF(OR(F921="",F921="Selecciona.."),"",IF(D921="Implemento",SUMIF(Implementos!B:B,F921,Implementos!A:A),SUMIF(Productos!E:E,F921,Productos!A:A)))</f>
        <v/>
      </c>
      <c r="F921" s="2" t="str">
        <f t="shared" si="2"/>
        <v/>
      </c>
      <c r="G921" s="10" t="str">
        <f t="array" ref="G921">IF(OR(F921="",F921="-",F921="Selecciona..",F921="Finalizar"),"",IF(A921="Rodados",XLOOKUP(B921,'Validaciones Cotizador'!I:I,'Validaciones Cotizador'!J:J,0,0,1),1))</f>
        <v/>
      </c>
      <c r="H921" s="11" t="str">
        <f>IF(OR(F921="",F921="Selecciona.."),"",SUMIF(Precio_Productos!K:K,E921,Precio_Productos!J:J)*G921)</f>
        <v/>
      </c>
      <c r="I921" s="4" t="str">
        <f t="array" ref="I921">IF($E921="","", XLOOKUP(SUMIFS(Prod_Prop!$A:$A,Prod_Prop!$B:$B,$E921,Prod_Prop!$H:$H,I$1,Prod_Prop!$I:$I,"Exacto"),Prod_Prop!$A:$A,Prod_Prop!$J:$J,"",0,1))</f>
        <v/>
      </c>
      <c r="J921" s="4" t="str">
        <f t="array" ref="J921">IF($E921="","", XLOOKUP(SUMIFS(Prod_Prop!$A:$A,Prod_Prop!$B:$B,$E921,Prod_Prop!$H:$H,J$1,Prod_Prop!$I:$I,"Exacto"),Prod_Prop!$A:$A,Prod_Prop!$J:$J,"",0,1))</f>
        <v/>
      </c>
      <c r="K921" s="4" t="str">
        <f t="array" ref="K921">IF($E921="","", XLOOKUP(SUMIFS(Prod_Prop!$A:$A,Prod_Prop!$B:$B,$E921,Prod_Prop!$H:$H,K$1,Prod_Prop!$I:$I,"Exacto"),Prod_Prop!$A:$A,Prod_Prop!$J:$J,"",0,1))</f>
        <v/>
      </c>
      <c r="L921" s="4" t="str">
        <f t="array" ref="L921">IF($E921="","", XLOOKUP(SUMIFS(Prod_Prop!$A:$A,Prod_Prop!$B:$B,$E921,Prod_Prop!$H:$H,L$1,Prod_Prop!$I:$I,"Exacto"),Prod_Prop!$A:$A,Prod_Prop!$J:$J,"",0,1))</f>
        <v/>
      </c>
      <c r="M921" s="4" t="str">
        <f t="array" ref="M921">IF($E921="","", XLOOKUP(SUMIFS(Prod_Prop!$A:$A,Prod_Prop!$B:$B,$E921,Prod_Prop!$H:$H,M$1,Prod_Prop!$I:$I,"Exacto"),Prod_Prop!$A:$A,Prod_Prop!$J:$J,"",0,1))</f>
        <v/>
      </c>
      <c r="N921" s="4" t="str">
        <f t="array" ref="N921">IF($E921="","", XLOOKUP(SUMIFS(Prod_Prop!$A:$A,Prod_Prop!$B:$B,$E921,Prod_Prop!$H:$H,N$1,Prod_Prop!$I:$I,"Exacto"),Prod_Prop!$A:$A,Prod_Prop!$J:$J,"",0,1))</f>
        <v/>
      </c>
      <c r="O921" s="4" t="str">
        <f t="array" ref="O921">IF($E921="","", XLOOKUP(SUMIFS(Prod_Prop!$A:$A,Prod_Prop!$B:$B,$E921,Prod_Prop!$H:$H,O$1,Prod_Prop!$I:$I,"Exacto"),Prod_Prop!$A:$A,Prod_Prop!$J:$J,"",0,1))</f>
        <v/>
      </c>
      <c r="P921" s="4" t="str">
        <f t="array" ref="P921">IF($E921="","", XLOOKUP(SUMIFS(Prod_Prop!$A:$A,Prod_Prop!$B:$B,$E921,Prod_Prop!$H:$H,P$1,Prod_Prop!$I:$I,"Exacto"),Prod_Prop!$A:$A,Prod_Prop!$J:$J,"",0,1))</f>
        <v/>
      </c>
      <c r="Q921" s="4" t="str">
        <f t="array" ref="Q921">IF($E921="","", XLOOKUP(SUMIFS(Prod_Prop!$A:$A,Prod_Prop!$B:$B,$E921,Prod_Prop!$H:$H,Q$1,Prod_Prop!$I:$I,"Exacto"),Prod_Prop!$A:$A,Prod_Prop!$J:$J,"",0,1))</f>
        <v/>
      </c>
      <c r="R921" s="4" t="str">
        <f t="array" ref="R921">IF($E921="","", XLOOKUP(SUMIFS(Prod_Prop!$A:$A,Prod_Prop!$B:$B,$E921,Prod_Prop!$H:$H,R$1,Prod_Prop!$I:$I,"Exacto"),Prod_Prop!$A:$A,Prod_Prop!$J:$J,"",0,1))</f>
        <v/>
      </c>
      <c r="S921" s="4" t="str">
        <f t="array" ref="S921">IF($E921="","", XLOOKUP(SUMIFS(Prod_Prop!$A:$A,Prod_Prop!$B:$B,$E921,Prod_Prop!$H:$H,S$1,Prod_Prop!$I:$I,"Exacto"),Prod_Prop!$A:$A,Prod_Prop!$J:$J,"",0,1))</f>
        <v/>
      </c>
      <c r="T921" s="4" t="str">
        <f t="array" ref="T921">IF($E921="","", XLOOKUP(SUMIFS(Prod_Prop!$A:$A,Prod_Prop!$B:$B,$E921,Prod_Prop!$H:$H,T$1,Prod_Prop!$I:$I,"Exacto"),Prod_Prop!$A:$A,Prod_Prop!$J:$J,"",0,1))</f>
        <v/>
      </c>
      <c r="U921" s="4" t="str">
        <f t="array" ref="U921">IF($E921="","", XLOOKUP(SUMIFS(Prod_Prop!$A:$A,Prod_Prop!$B:$B,$E921,Prod_Prop!$H:$H,U$1,Prod_Prop!$I:$I,"Exacto"),Prod_Prop!$A:$A,Prod_Prop!$J:$J,"",0,1))</f>
        <v/>
      </c>
      <c r="V921" s="4" t="str">
        <f t="array" ref="V921">IF($E921="","", XLOOKUP(SUMIFS(Prod_Prop!$A:$A,Prod_Prop!$B:$B,$E921,Prod_Prop!$H:$H,V$1,Prod_Prop!$I:$I,"Exacto"),Prod_Prop!$A:$A,Prod_Prop!$J:$J,"",0,1))</f>
        <v/>
      </c>
      <c r="X921" s="3" t="str">
        <f>IFERROR(__xludf.DUMMYFUNCTION("IF(D921="""","""",IFERROR(TRANSPOSE(FILTER('Validaciones Cotizador'!U:U,'Validaciones Cotizador'!O:O=D921,'Validaciones Cotizador'!T:T=""x"")),""Finalizar""))"),"")</f>
        <v/>
      </c>
    </row>
    <row r="922">
      <c r="A922" s="2" t="str">
        <f t="array" ref="A922">IF(E922="","",XLOOKUP(D922,'Validaciones Cotizador'!C:C,'Validaciones Cotizador'!A:A,"",0,1))</f>
        <v/>
      </c>
      <c r="B922" s="2" t="str">
        <f t="array" ref="B922">IF(F922="","",XLOOKUP(F922,Productos!E:E,Productos!G:G,"",0,1))</f>
        <v/>
      </c>
      <c r="C922" s="2" t="str">
        <f>IF(A922="","",SUMIFS('Validaciones Cotizador'!B:B,'Validaciones Cotizador'!C:C,D922,'Validaciones Cotizador'!A:A,A922))</f>
        <v/>
      </c>
      <c r="D922" s="4" t="str">
        <f>IFERROR(__xludf.DUMMYFUNCTION("IF(OR(F921=""Finalizar"",F921="""",F921=""Selecciona..""),"""",IF(OR(F921=""-"",INDEX(filter(Familias!F:F,Familias!D:D=A921,Familias!E:E=C921),1)=""O""),D921+1,D921))"),"")</f>
        <v/>
      </c>
      <c r="E922" s="2" t="str">
        <f>IF(OR(F922="",F922="Selecciona.."),"",IF(D922="Implemento",SUMIF(Implementos!B:B,F922,Implementos!A:A),SUMIF(Productos!E:E,F922,Productos!A:A)))</f>
        <v/>
      </c>
      <c r="F922" s="2" t="str">
        <f t="shared" si="2"/>
        <v/>
      </c>
      <c r="G922" s="10" t="str">
        <f t="array" ref="G922">IF(OR(F922="",F922="-",F922="Selecciona..",F922="Finalizar"),"",IF(A922="Rodados",XLOOKUP(B922,'Validaciones Cotizador'!I:I,'Validaciones Cotizador'!J:J,0,0,1),1))</f>
        <v/>
      </c>
      <c r="H922" s="11" t="str">
        <f>IF(OR(F922="",F922="Selecciona.."),"",SUMIF(Precio_Productos!K:K,E922,Precio_Productos!J:J)*G922)</f>
        <v/>
      </c>
      <c r="I922" s="4" t="str">
        <f t="array" ref="I922">IF($E922="","", XLOOKUP(SUMIFS(Prod_Prop!$A:$A,Prod_Prop!$B:$B,$E922,Prod_Prop!$H:$H,I$1,Prod_Prop!$I:$I,"Exacto"),Prod_Prop!$A:$A,Prod_Prop!$J:$J,"",0,1))</f>
        <v/>
      </c>
      <c r="J922" s="4" t="str">
        <f t="array" ref="J922">IF($E922="","", XLOOKUP(SUMIFS(Prod_Prop!$A:$A,Prod_Prop!$B:$B,$E922,Prod_Prop!$H:$H,J$1,Prod_Prop!$I:$I,"Exacto"),Prod_Prop!$A:$A,Prod_Prop!$J:$J,"",0,1))</f>
        <v/>
      </c>
      <c r="K922" s="4" t="str">
        <f t="array" ref="K922">IF($E922="","", XLOOKUP(SUMIFS(Prod_Prop!$A:$A,Prod_Prop!$B:$B,$E922,Prod_Prop!$H:$H,K$1,Prod_Prop!$I:$I,"Exacto"),Prod_Prop!$A:$A,Prod_Prop!$J:$J,"",0,1))</f>
        <v/>
      </c>
      <c r="L922" s="4" t="str">
        <f t="array" ref="L922">IF($E922="","", XLOOKUP(SUMIFS(Prod_Prop!$A:$A,Prod_Prop!$B:$B,$E922,Prod_Prop!$H:$H,L$1,Prod_Prop!$I:$I,"Exacto"),Prod_Prop!$A:$A,Prod_Prop!$J:$J,"",0,1))</f>
        <v/>
      </c>
      <c r="M922" s="4" t="str">
        <f t="array" ref="M922">IF($E922="","", XLOOKUP(SUMIFS(Prod_Prop!$A:$A,Prod_Prop!$B:$B,$E922,Prod_Prop!$H:$H,M$1,Prod_Prop!$I:$I,"Exacto"),Prod_Prop!$A:$A,Prod_Prop!$J:$J,"",0,1))</f>
        <v/>
      </c>
      <c r="N922" s="4" t="str">
        <f t="array" ref="N922">IF($E922="","", XLOOKUP(SUMIFS(Prod_Prop!$A:$A,Prod_Prop!$B:$B,$E922,Prod_Prop!$H:$H,N$1,Prod_Prop!$I:$I,"Exacto"),Prod_Prop!$A:$A,Prod_Prop!$J:$J,"",0,1))</f>
        <v/>
      </c>
      <c r="O922" s="4" t="str">
        <f t="array" ref="O922">IF($E922="","", XLOOKUP(SUMIFS(Prod_Prop!$A:$A,Prod_Prop!$B:$B,$E922,Prod_Prop!$H:$H,O$1,Prod_Prop!$I:$I,"Exacto"),Prod_Prop!$A:$A,Prod_Prop!$J:$J,"",0,1))</f>
        <v/>
      </c>
      <c r="P922" s="4" t="str">
        <f t="array" ref="P922">IF($E922="","", XLOOKUP(SUMIFS(Prod_Prop!$A:$A,Prod_Prop!$B:$B,$E922,Prod_Prop!$H:$H,P$1,Prod_Prop!$I:$I,"Exacto"),Prod_Prop!$A:$A,Prod_Prop!$J:$J,"",0,1))</f>
        <v/>
      </c>
      <c r="Q922" s="4" t="str">
        <f t="array" ref="Q922">IF($E922="","", XLOOKUP(SUMIFS(Prod_Prop!$A:$A,Prod_Prop!$B:$B,$E922,Prod_Prop!$H:$H,Q$1,Prod_Prop!$I:$I,"Exacto"),Prod_Prop!$A:$A,Prod_Prop!$J:$J,"",0,1))</f>
        <v/>
      </c>
      <c r="R922" s="4" t="str">
        <f t="array" ref="R922">IF($E922="","", XLOOKUP(SUMIFS(Prod_Prop!$A:$A,Prod_Prop!$B:$B,$E922,Prod_Prop!$H:$H,R$1,Prod_Prop!$I:$I,"Exacto"),Prod_Prop!$A:$A,Prod_Prop!$J:$J,"",0,1))</f>
        <v/>
      </c>
      <c r="S922" s="4" t="str">
        <f t="array" ref="S922">IF($E922="","", XLOOKUP(SUMIFS(Prod_Prop!$A:$A,Prod_Prop!$B:$B,$E922,Prod_Prop!$H:$H,S$1,Prod_Prop!$I:$I,"Exacto"),Prod_Prop!$A:$A,Prod_Prop!$J:$J,"",0,1))</f>
        <v/>
      </c>
      <c r="T922" s="4" t="str">
        <f t="array" ref="T922">IF($E922="","", XLOOKUP(SUMIFS(Prod_Prop!$A:$A,Prod_Prop!$B:$B,$E922,Prod_Prop!$H:$H,T$1,Prod_Prop!$I:$I,"Exacto"),Prod_Prop!$A:$A,Prod_Prop!$J:$J,"",0,1))</f>
        <v/>
      </c>
      <c r="U922" s="4" t="str">
        <f t="array" ref="U922">IF($E922="","", XLOOKUP(SUMIFS(Prod_Prop!$A:$A,Prod_Prop!$B:$B,$E922,Prod_Prop!$H:$H,U$1,Prod_Prop!$I:$I,"Exacto"),Prod_Prop!$A:$A,Prod_Prop!$J:$J,"",0,1))</f>
        <v/>
      </c>
      <c r="V922" s="4" t="str">
        <f t="array" ref="V922">IF($E922="","", XLOOKUP(SUMIFS(Prod_Prop!$A:$A,Prod_Prop!$B:$B,$E922,Prod_Prop!$H:$H,V$1,Prod_Prop!$I:$I,"Exacto"),Prod_Prop!$A:$A,Prod_Prop!$J:$J,"",0,1))</f>
        <v/>
      </c>
      <c r="X922" s="3" t="str">
        <f>IFERROR(__xludf.DUMMYFUNCTION("IF(D922="""","""",IFERROR(TRANSPOSE(FILTER('Validaciones Cotizador'!U:U,'Validaciones Cotizador'!O:O=D922,'Validaciones Cotizador'!T:T=""x"")),""Finalizar""))"),"")</f>
        <v/>
      </c>
    </row>
    <row r="923">
      <c r="A923" s="2" t="str">
        <f t="array" ref="A923">IF(E923="","",XLOOKUP(D923,'Validaciones Cotizador'!C:C,'Validaciones Cotizador'!A:A,"",0,1))</f>
        <v/>
      </c>
      <c r="B923" s="2" t="str">
        <f t="array" ref="B923">IF(F923="","",XLOOKUP(F923,Productos!E:E,Productos!G:G,"",0,1))</f>
        <v/>
      </c>
      <c r="C923" s="2" t="str">
        <f>IF(A923="","",SUMIFS('Validaciones Cotizador'!B:B,'Validaciones Cotizador'!C:C,D923,'Validaciones Cotizador'!A:A,A923))</f>
        <v/>
      </c>
      <c r="D923" s="4" t="str">
        <f>IFERROR(__xludf.DUMMYFUNCTION("IF(OR(F922=""Finalizar"",F922="""",F922=""Selecciona..""),"""",IF(OR(F922=""-"",INDEX(filter(Familias!F:F,Familias!D:D=A922,Familias!E:E=C922),1)=""O""),D922+1,D922))"),"")</f>
        <v/>
      </c>
      <c r="E923" s="2" t="str">
        <f>IF(OR(F923="",F923="Selecciona.."),"",IF(D923="Implemento",SUMIF(Implementos!B:B,F923,Implementos!A:A),SUMIF(Productos!E:E,F923,Productos!A:A)))</f>
        <v/>
      </c>
      <c r="F923" s="2" t="str">
        <f t="shared" si="2"/>
        <v/>
      </c>
      <c r="G923" s="10" t="str">
        <f t="array" ref="G923">IF(OR(F923="",F923="-",F923="Selecciona..",F923="Finalizar"),"",IF(A923="Rodados",XLOOKUP(B923,'Validaciones Cotizador'!I:I,'Validaciones Cotizador'!J:J,0,0,1),1))</f>
        <v/>
      </c>
      <c r="H923" s="11" t="str">
        <f>IF(OR(F923="",F923="Selecciona.."),"",SUMIF(Precio_Productos!K:K,E923,Precio_Productos!J:J)*G923)</f>
        <v/>
      </c>
      <c r="I923" s="4" t="str">
        <f t="array" ref="I923">IF($E923="","", XLOOKUP(SUMIFS(Prod_Prop!$A:$A,Prod_Prop!$B:$B,$E923,Prod_Prop!$H:$H,I$1,Prod_Prop!$I:$I,"Exacto"),Prod_Prop!$A:$A,Prod_Prop!$J:$J,"",0,1))</f>
        <v/>
      </c>
      <c r="J923" s="4" t="str">
        <f t="array" ref="J923">IF($E923="","", XLOOKUP(SUMIFS(Prod_Prop!$A:$A,Prod_Prop!$B:$B,$E923,Prod_Prop!$H:$H,J$1,Prod_Prop!$I:$I,"Exacto"),Prod_Prop!$A:$A,Prod_Prop!$J:$J,"",0,1))</f>
        <v/>
      </c>
      <c r="K923" s="4" t="str">
        <f t="array" ref="K923">IF($E923="","", XLOOKUP(SUMIFS(Prod_Prop!$A:$A,Prod_Prop!$B:$B,$E923,Prod_Prop!$H:$H,K$1,Prod_Prop!$I:$I,"Exacto"),Prod_Prop!$A:$A,Prod_Prop!$J:$J,"",0,1))</f>
        <v/>
      </c>
      <c r="L923" s="4" t="str">
        <f t="array" ref="L923">IF($E923="","", XLOOKUP(SUMIFS(Prod_Prop!$A:$A,Prod_Prop!$B:$B,$E923,Prod_Prop!$H:$H,L$1,Prod_Prop!$I:$I,"Exacto"),Prod_Prop!$A:$A,Prod_Prop!$J:$J,"",0,1))</f>
        <v/>
      </c>
      <c r="M923" s="4" t="str">
        <f t="array" ref="M923">IF($E923="","", XLOOKUP(SUMIFS(Prod_Prop!$A:$A,Prod_Prop!$B:$B,$E923,Prod_Prop!$H:$H,M$1,Prod_Prop!$I:$I,"Exacto"),Prod_Prop!$A:$A,Prod_Prop!$J:$J,"",0,1))</f>
        <v/>
      </c>
      <c r="N923" s="4" t="str">
        <f t="array" ref="N923">IF($E923="","", XLOOKUP(SUMIFS(Prod_Prop!$A:$A,Prod_Prop!$B:$B,$E923,Prod_Prop!$H:$H,N$1,Prod_Prop!$I:$I,"Exacto"),Prod_Prop!$A:$A,Prod_Prop!$J:$J,"",0,1))</f>
        <v/>
      </c>
      <c r="O923" s="4" t="str">
        <f t="array" ref="O923">IF($E923="","", XLOOKUP(SUMIFS(Prod_Prop!$A:$A,Prod_Prop!$B:$B,$E923,Prod_Prop!$H:$H,O$1,Prod_Prop!$I:$I,"Exacto"),Prod_Prop!$A:$A,Prod_Prop!$J:$J,"",0,1))</f>
        <v/>
      </c>
      <c r="P923" s="4" t="str">
        <f t="array" ref="P923">IF($E923="","", XLOOKUP(SUMIFS(Prod_Prop!$A:$A,Prod_Prop!$B:$B,$E923,Prod_Prop!$H:$H,P$1,Prod_Prop!$I:$I,"Exacto"),Prod_Prop!$A:$A,Prod_Prop!$J:$J,"",0,1))</f>
        <v/>
      </c>
      <c r="Q923" s="4" t="str">
        <f t="array" ref="Q923">IF($E923="","", XLOOKUP(SUMIFS(Prod_Prop!$A:$A,Prod_Prop!$B:$B,$E923,Prod_Prop!$H:$H,Q$1,Prod_Prop!$I:$I,"Exacto"),Prod_Prop!$A:$A,Prod_Prop!$J:$J,"",0,1))</f>
        <v/>
      </c>
      <c r="R923" s="4" t="str">
        <f t="array" ref="R923">IF($E923="","", XLOOKUP(SUMIFS(Prod_Prop!$A:$A,Prod_Prop!$B:$B,$E923,Prod_Prop!$H:$H,R$1,Prod_Prop!$I:$I,"Exacto"),Prod_Prop!$A:$A,Prod_Prop!$J:$J,"",0,1))</f>
        <v/>
      </c>
      <c r="S923" s="4" t="str">
        <f t="array" ref="S923">IF($E923="","", XLOOKUP(SUMIFS(Prod_Prop!$A:$A,Prod_Prop!$B:$B,$E923,Prod_Prop!$H:$H,S$1,Prod_Prop!$I:$I,"Exacto"),Prod_Prop!$A:$A,Prod_Prop!$J:$J,"",0,1))</f>
        <v/>
      </c>
      <c r="T923" s="4" t="str">
        <f t="array" ref="T923">IF($E923="","", XLOOKUP(SUMIFS(Prod_Prop!$A:$A,Prod_Prop!$B:$B,$E923,Prod_Prop!$H:$H,T$1,Prod_Prop!$I:$I,"Exacto"),Prod_Prop!$A:$A,Prod_Prop!$J:$J,"",0,1))</f>
        <v/>
      </c>
      <c r="U923" s="4" t="str">
        <f t="array" ref="U923">IF($E923="","", XLOOKUP(SUMIFS(Prod_Prop!$A:$A,Prod_Prop!$B:$B,$E923,Prod_Prop!$H:$H,U$1,Prod_Prop!$I:$I,"Exacto"),Prod_Prop!$A:$A,Prod_Prop!$J:$J,"",0,1))</f>
        <v/>
      </c>
      <c r="V923" s="4" t="str">
        <f t="array" ref="V923">IF($E923="","", XLOOKUP(SUMIFS(Prod_Prop!$A:$A,Prod_Prop!$B:$B,$E923,Prod_Prop!$H:$H,V$1,Prod_Prop!$I:$I,"Exacto"),Prod_Prop!$A:$A,Prod_Prop!$J:$J,"",0,1))</f>
        <v/>
      </c>
      <c r="X923" s="3" t="str">
        <f>IFERROR(__xludf.DUMMYFUNCTION("IF(D923="""","""",IFERROR(TRANSPOSE(FILTER('Validaciones Cotizador'!U:U,'Validaciones Cotizador'!O:O=D923,'Validaciones Cotizador'!T:T=""x"")),""Finalizar""))"),"")</f>
        <v/>
      </c>
    </row>
    <row r="924">
      <c r="A924" s="2" t="str">
        <f t="array" ref="A924">IF(E924="","",XLOOKUP(D924,'Validaciones Cotizador'!C:C,'Validaciones Cotizador'!A:A,"",0,1))</f>
        <v/>
      </c>
      <c r="B924" s="2" t="str">
        <f t="array" ref="B924">IF(F924="","",XLOOKUP(F924,Productos!E:E,Productos!G:G,"",0,1))</f>
        <v/>
      </c>
      <c r="C924" s="2" t="str">
        <f>IF(A924="","",SUMIFS('Validaciones Cotizador'!B:B,'Validaciones Cotizador'!C:C,D924,'Validaciones Cotizador'!A:A,A924))</f>
        <v/>
      </c>
      <c r="D924" s="4" t="str">
        <f>IFERROR(__xludf.DUMMYFUNCTION("IF(OR(F923=""Finalizar"",F923="""",F923=""Selecciona..""),"""",IF(OR(F923=""-"",INDEX(filter(Familias!F:F,Familias!D:D=A923,Familias!E:E=C923),1)=""O""),D923+1,D923))"),"")</f>
        <v/>
      </c>
      <c r="E924" s="2" t="str">
        <f>IF(OR(F924="",F924="Selecciona.."),"",IF(D924="Implemento",SUMIF(Implementos!B:B,F924,Implementos!A:A),SUMIF(Productos!E:E,F924,Productos!A:A)))</f>
        <v/>
      </c>
      <c r="F924" s="2" t="str">
        <f t="shared" si="2"/>
        <v/>
      </c>
      <c r="G924" s="10" t="str">
        <f t="array" ref="G924">IF(OR(F924="",F924="-",F924="Selecciona..",F924="Finalizar"),"",IF(A924="Rodados",XLOOKUP(B924,'Validaciones Cotizador'!I:I,'Validaciones Cotizador'!J:J,0,0,1),1))</f>
        <v/>
      </c>
      <c r="H924" s="11" t="str">
        <f>IF(OR(F924="",F924="Selecciona.."),"",SUMIF(Precio_Productos!K:K,E924,Precio_Productos!J:J)*G924)</f>
        <v/>
      </c>
      <c r="I924" s="4" t="str">
        <f t="array" ref="I924">IF($E924="","", XLOOKUP(SUMIFS(Prod_Prop!$A:$A,Prod_Prop!$B:$B,$E924,Prod_Prop!$H:$H,I$1,Prod_Prop!$I:$I,"Exacto"),Prod_Prop!$A:$A,Prod_Prop!$J:$J,"",0,1))</f>
        <v/>
      </c>
      <c r="J924" s="4" t="str">
        <f t="array" ref="J924">IF($E924="","", XLOOKUP(SUMIFS(Prod_Prop!$A:$A,Prod_Prop!$B:$B,$E924,Prod_Prop!$H:$H,J$1,Prod_Prop!$I:$I,"Exacto"),Prod_Prop!$A:$A,Prod_Prop!$J:$J,"",0,1))</f>
        <v/>
      </c>
      <c r="K924" s="4" t="str">
        <f t="array" ref="K924">IF($E924="","", XLOOKUP(SUMIFS(Prod_Prop!$A:$A,Prod_Prop!$B:$B,$E924,Prod_Prop!$H:$H,K$1,Prod_Prop!$I:$I,"Exacto"),Prod_Prop!$A:$A,Prod_Prop!$J:$J,"",0,1))</f>
        <v/>
      </c>
      <c r="L924" s="4" t="str">
        <f t="array" ref="L924">IF($E924="","", XLOOKUP(SUMIFS(Prod_Prop!$A:$A,Prod_Prop!$B:$B,$E924,Prod_Prop!$H:$H,L$1,Prod_Prop!$I:$I,"Exacto"),Prod_Prop!$A:$A,Prod_Prop!$J:$J,"",0,1))</f>
        <v/>
      </c>
      <c r="M924" s="4" t="str">
        <f t="array" ref="M924">IF($E924="","", XLOOKUP(SUMIFS(Prod_Prop!$A:$A,Prod_Prop!$B:$B,$E924,Prod_Prop!$H:$H,M$1,Prod_Prop!$I:$I,"Exacto"),Prod_Prop!$A:$A,Prod_Prop!$J:$J,"",0,1))</f>
        <v/>
      </c>
      <c r="N924" s="4" t="str">
        <f t="array" ref="N924">IF($E924="","", XLOOKUP(SUMIFS(Prod_Prop!$A:$A,Prod_Prop!$B:$B,$E924,Prod_Prop!$H:$H,N$1,Prod_Prop!$I:$I,"Exacto"),Prod_Prop!$A:$A,Prod_Prop!$J:$J,"",0,1))</f>
        <v/>
      </c>
      <c r="O924" s="4" t="str">
        <f t="array" ref="O924">IF($E924="","", XLOOKUP(SUMIFS(Prod_Prop!$A:$A,Prod_Prop!$B:$B,$E924,Prod_Prop!$H:$H,O$1,Prod_Prop!$I:$I,"Exacto"),Prod_Prop!$A:$A,Prod_Prop!$J:$J,"",0,1))</f>
        <v/>
      </c>
      <c r="P924" s="4" t="str">
        <f t="array" ref="P924">IF($E924="","", XLOOKUP(SUMIFS(Prod_Prop!$A:$A,Prod_Prop!$B:$B,$E924,Prod_Prop!$H:$H,P$1,Prod_Prop!$I:$I,"Exacto"),Prod_Prop!$A:$A,Prod_Prop!$J:$J,"",0,1))</f>
        <v/>
      </c>
      <c r="Q924" s="4" t="str">
        <f t="array" ref="Q924">IF($E924="","", XLOOKUP(SUMIFS(Prod_Prop!$A:$A,Prod_Prop!$B:$B,$E924,Prod_Prop!$H:$H,Q$1,Prod_Prop!$I:$I,"Exacto"),Prod_Prop!$A:$A,Prod_Prop!$J:$J,"",0,1))</f>
        <v/>
      </c>
      <c r="R924" s="4" t="str">
        <f t="array" ref="R924">IF($E924="","", XLOOKUP(SUMIFS(Prod_Prop!$A:$A,Prod_Prop!$B:$B,$E924,Prod_Prop!$H:$H,R$1,Prod_Prop!$I:$I,"Exacto"),Prod_Prop!$A:$A,Prod_Prop!$J:$J,"",0,1))</f>
        <v/>
      </c>
      <c r="S924" s="4" t="str">
        <f t="array" ref="S924">IF($E924="","", XLOOKUP(SUMIFS(Prod_Prop!$A:$A,Prod_Prop!$B:$B,$E924,Prod_Prop!$H:$H,S$1,Prod_Prop!$I:$I,"Exacto"),Prod_Prop!$A:$A,Prod_Prop!$J:$J,"",0,1))</f>
        <v/>
      </c>
      <c r="T924" s="4" t="str">
        <f t="array" ref="T924">IF($E924="","", XLOOKUP(SUMIFS(Prod_Prop!$A:$A,Prod_Prop!$B:$B,$E924,Prod_Prop!$H:$H,T$1,Prod_Prop!$I:$I,"Exacto"),Prod_Prop!$A:$A,Prod_Prop!$J:$J,"",0,1))</f>
        <v/>
      </c>
      <c r="U924" s="4" t="str">
        <f t="array" ref="U924">IF($E924="","", XLOOKUP(SUMIFS(Prod_Prop!$A:$A,Prod_Prop!$B:$B,$E924,Prod_Prop!$H:$H,U$1,Prod_Prop!$I:$I,"Exacto"),Prod_Prop!$A:$A,Prod_Prop!$J:$J,"",0,1))</f>
        <v/>
      </c>
      <c r="V924" s="4" t="str">
        <f t="array" ref="V924">IF($E924="","", XLOOKUP(SUMIFS(Prod_Prop!$A:$A,Prod_Prop!$B:$B,$E924,Prod_Prop!$H:$H,V$1,Prod_Prop!$I:$I,"Exacto"),Prod_Prop!$A:$A,Prod_Prop!$J:$J,"",0,1))</f>
        <v/>
      </c>
      <c r="X924" s="3" t="str">
        <f>IFERROR(__xludf.DUMMYFUNCTION("IF(D924="""","""",IFERROR(TRANSPOSE(FILTER('Validaciones Cotizador'!U:U,'Validaciones Cotizador'!O:O=D924,'Validaciones Cotizador'!T:T=""x"")),""Finalizar""))"),"")</f>
        <v/>
      </c>
    </row>
    <row r="925">
      <c r="A925" s="2" t="str">
        <f t="array" ref="A925">IF(E925="","",XLOOKUP(D925,'Validaciones Cotizador'!C:C,'Validaciones Cotizador'!A:A,"",0,1))</f>
        <v/>
      </c>
      <c r="B925" s="2" t="str">
        <f t="array" ref="B925">IF(F925="","",XLOOKUP(F925,Productos!E:E,Productos!G:G,"",0,1))</f>
        <v/>
      </c>
      <c r="C925" s="2" t="str">
        <f>IF(A925="","",SUMIFS('Validaciones Cotizador'!B:B,'Validaciones Cotizador'!C:C,D925,'Validaciones Cotizador'!A:A,A925))</f>
        <v/>
      </c>
      <c r="D925" s="4" t="str">
        <f>IFERROR(__xludf.DUMMYFUNCTION("IF(OR(F924=""Finalizar"",F924="""",F924=""Selecciona..""),"""",IF(OR(F924=""-"",INDEX(filter(Familias!F:F,Familias!D:D=A924,Familias!E:E=C924),1)=""O""),D924+1,D924))"),"")</f>
        <v/>
      </c>
      <c r="E925" s="2" t="str">
        <f>IF(OR(F925="",F925="Selecciona.."),"",IF(D925="Implemento",SUMIF(Implementos!B:B,F925,Implementos!A:A),SUMIF(Productos!E:E,F925,Productos!A:A)))</f>
        <v/>
      </c>
      <c r="F925" s="2" t="str">
        <f t="shared" si="2"/>
        <v/>
      </c>
      <c r="G925" s="10" t="str">
        <f t="array" ref="G925">IF(OR(F925="",F925="-",F925="Selecciona..",F925="Finalizar"),"",IF(A925="Rodados",XLOOKUP(B925,'Validaciones Cotizador'!I:I,'Validaciones Cotizador'!J:J,0,0,1),1))</f>
        <v/>
      </c>
      <c r="H925" s="11" t="str">
        <f>IF(OR(F925="",F925="Selecciona.."),"",SUMIF(Precio_Productos!K:K,E925,Precio_Productos!J:J)*G925)</f>
        <v/>
      </c>
      <c r="I925" s="4" t="str">
        <f t="array" ref="I925">IF($E925="","", XLOOKUP(SUMIFS(Prod_Prop!$A:$A,Prod_Prop!$B:$B,$E925,Prod_Prop!$H:$H,I$1,Prod_Prop!$I:$I,"Exacto"),Prod_Prop!$A:$A,Prod_Prop!$J:$J,"",0,1))</f>
        <v/>
      </c>
      <c r="J925" s="4" t="str">
        <f t="array" ref="J925">IF($E925="","", XLOOKUP(SUMIFS(Prod_Prop!$A:$A,Prod_Prop!$B:$B,$E925,Prod_Prop!$H:$H,J$1,Prod_Prop!$I:$I,"Exacto"),Prod_Prop!$A:$A,Prod_Prop!$J:$J,"",0,1))</f>
        <v/>
      </c>
      <c r="K925" s="4" t="str">
        <f t="array" ref="K925">IF($E925="","", XLOOKUP(SUMIFS(Prod_Prop!$A:$A,Prod_Prop!$B:$B,$E925,Prod_Prop!$H:$H,K$1,Prod_Prop!$I:$I,"Exacto"),Prod_Prop!$A:$A,Prod_Prop!$J:$J,"",0,1))</f>
        <v/>
      </c>
      <c r="L925" s="4" t="str">
        <f t="array" ref="L925">IF($E925="","", XLOOKUP(SUMIFS(Prod_Prop!$A:$A,Prod_Prop!$B:$B,$E925,Prod_Prop!$H:$H,L$1,Prod_Prop!$I:$I,"Exacto"),Prod_Prop!$A:$A,Prod_Prop!$J:$J,"",0,1))</f>
        <v/>
      </c>
      <c r="M925" s="4" t="str">
        <f t="array" ref="M925">IF($E925="","", XLOOKUP(SUMIFS(Prod_Prop!$A:$A,Prod_Prop!$B:$B,$E925,Prod_Prop!$H:$H,M$1,Prod_Prop!$I:$I,"Exacto"),Prod_Prop!$A:$A,Prod_Prop!$J:$J,"",0,1))</f>
        <v/>
      </c>
      <c r="N925" s="4" t="str">
        <f t="array" ref="N925">IF($E925="","", XLOOKUP(SUMIFS(Prod_Prop!$A:$A,Prod_Prop!$B:$B,$E925,Prod_Prop!$H:$H,N$1,Prod_Prop!$I:$I,"Exacto"),Prod_Prop!$A:$A,Prod_Prop!$J:$J,"",0,1))</f>
        <v/>
      </c>
      <c r="O925" s="4" t="str">
        <f t="array" ref="O925">IF($E925="","", XLOOKUP(SUMIFS(Prod_Prop!$A:$A,Prod_Prop!$B:$B,$E925,Prod_Prop!$H:$H,O$1,Prod_Prop!$I:$I,"Exacto"),Prod_Prop!$A:$A,Prod_Prop!$J:$J,"",0,1))</f>
        <v/>
      </c>
      <c r="P925" s="4" t="str">
        <f t="array" ref="P925">IF($E925="","", XLOOKUP(SUMIFS(Prod_Prop!$A:$A,Prod_Prop!$B:$B,$E925,Prod_Prop!$H:$H,P$1,Prod_Prop!$I:$I,"Exacto"),Prod_Prop!$A:$A,Prod_Prop!$J:$J,"",0,1))</f>
        <v/>
      </c>
      <c r="Q925" s="4" t="str">
        <f t="array" ref="Q925">IF($E925="","", XLOOKUP(SUMIFS(Prod_Prop!$A:$A,Prod_Prop!$B:$B,$E925,Prod_Prop!$H:$H,Q$1,Prod_Prop!$I:$I,"Exacto"),Prod_Prop!$A:$A,Prod_Prop!$J:$J,"",0,1))</f>
        <v/>
      </c>
      <c r="R925" s="4" t="str">
        <f t="array" ref="R925">IF($E925="","", XLOOKUP(SUMIFS(Prod_Prop!$A:$A,Prod_Prop!$B:$B,$E925,Prod_Prop!$H:$H,R$1,Prod_Prop!$I:$I,"Exacto"),Prod_Prop!$A:$A,Prod_Prop!$J:$J,"",0,1))</f>
        <v/>
      </c>
      <c r="S925" s="4" t="str">
        <f t="array" ref="S925">IF($E925="","", XLOOKUP(SUMIFS(Prod_Prop!$A:$A,Prod_Prop!$B:$B,$E925,Prod_Prop!$H:$H,S$1,Prod_Prop!$I:$I,"Exacto"),Prod_Prop!$A:$A,Prod_Prop!$J:$J,"",0,1))</f>
        <v/>
      </c>
      <c r="T925" s="4" t="str">
        <f t="array" ref="T925">IF($E925="","", XLOOKUP(SUMIFS(Prod_Prop!$A:$A,Prod_Prop!$B:$B,$E925,Prod_Prop!$H:$H,T$1,Prod_Prop!$I:$I,"Exacto"),Prod_Prop!$A:$A,Prod_Prop!$J:$J,"",0,1))</f>
        <v/>
      </c>
      <c r="U925" s="4" t="str">
        <f t="array" ref="U925">IF($E925="","", XLOOKUP(SUMIFS(Prod_Prop!$A:$A,Prod_Prop!$B:$B,$E925,Prod_Prop!$H:$H,U$1,Prod_Prop!$I:$I,"Exacto"),Prod_Prop!$A:$A,Prod_Prop!$J:$J,"",0,1))</f>
        <v/>
      </c>
      <c r="V925" s="4" t="str">
        <f t="array" ref="V925">IF($E925="","", XLOOKUP(SUMIFS(Prod_Prop!$A:$A,Prod_Prop!$B:$B,$E925,Prod_Prop!$H:$H,V$1,Prod_Prop!$I:$I,"Exacto"),Prod_Prop!$A:$A,Prod_Prop!$J:$J,"",0,1))</f>
        <v/>
      </c>
      <c r="X925" s="3" t="str">
        <f>IFERROR(__xludf.DUMMYFUNCTION("IF(D925="""","""",IFERROR(TRANSPOSE(FILTER('Validaciones Cotizador'!U:U,'Validaciones Cotizador'!O:O=D925,'Validaciones Cotizador'!T:T=""x"")),""Finalizar""))"),"")</f>
        <v/>
      </c>
    </row>
    <row r="926">
      <c r="A926" s="2" t="str">
        <f t="array" ref="A926">IF(E926="","",XLOOKUP(D926,'Validaciones Cotizador'!C:C,'Validaciones Cotizador'!A:A,"",0,1))</f>
        <v/>
      </c>
      <c r="B926" s="2" t="str">
        <f t="array" ref="B926">IF(F926="","",XLOOKUP(F926,Productos!E:E,Productos!G:G,"",0,1))</f>
        <v/>
      </c>
      <c r="C926" s="2" t="str">
        <f>IF(A926="","",SUMIFS('Validaciones Cotizador'!B:B,'Validaciones Cotizador'!C:C,D926,'Validaciones Cotizador'!A:A,A926))</f>
        <v/>
      </c>
      <c r="D926" s="4" t="str">
        <f>IFERROR(__xludf.DUMMYFUNCTION("IF(OR(F925=""Finalizar"",F925="""",F925=""Selecciona..""),"""",IF(OR(F925=""-"",INDEX(filter(Familias!F:F,Familias!D:D=A925,Familias!E:E=C925),1)=""O""),D925+1,D925))"),"")</f>
        <v/>
      </c>
      <c r="E926" s="2" t="str">
        <f>IF(OR(F926="",F926="Selecciona.."),"",IF(D926="Implemento",SUMIF(Implementos!B:B,F926,Implementos!A:A),SUMIF(Productos!E:E,F926,Productos!A:A)))</f>
        <v/>
      </c>
      <c r="F926" s="2" t="str">
        <f t="shared" si="2"/>
        <v/>
      </c>
      <c r="G926" s="10" t="str">
        <f t="array" ref="G926">IF(OR(F926="",F926="-",F926="Selecciona..",F926="Finalizar"),"",IF(A926="Rodados",XLOOKUP(B926,'Validaciones Cotizador'!I:I,'Validaciones Cotizador'!J:J,0,0,1),1))</f>
        <v/>
      </c>
      <c r="H926" s="11" t="str">
        <f>IF(OR(F926="",F926="Selecciona.."),"",SUMIF(Precio_Productos!K:K,E926,Precio_Productos!J:J)*G926)</f>
        <v/>
      </c>
      <c r="I926" s="4" t="str">
        <f t="array" ref="I926">IF($E926="","", XLOOKUP(SUMIFS(Prod_Prop!$A:$A,Prod_Prop!$B:$B,$E926,Prod_Prop!$H:$H,I$1,Prod_Prop!$I:$I,"Exacto"),Prod_Prop!$A:$A,Prod_Prop!$J:$J,"",0,1))</f>
        <v/>
      </c>
      <c r="J926" s="4" t="str">
        <f t="array" ref="J926">IF($E926="","", XLOOKUP(SUMIFS(Prod_Prop!$A:$A,Prod_Prop!$B:$B,$E926,Prod_Prop!$H:$H,J$1,Prod_Prop!$I:$I,"Exacto"),Prod_Prop!$A:$A,Prod_Prop!$J:$J,"",0,1))</f>
        <v/>
      </c>
      <c r="K926" s="4" t="str">
        <f t="array" ref="K926">IF($E926="","", XLOOKUP(SUMIFS(Prod_Prop!$A:$A,Prod_Prop!$B:$B,$E926,Prod_Prop!$H:$H,K$1,Prod_Prop!$I:$I,"Exacto"),Prod_Prop!$A:$A,Prod_Prop!$J:$J,"",0,1))</f>
        <v/>
      </c>
      <c r="L926" s="4" t="str">
        <f t="array" ref="L926">IF($E926="","", XLOOKUP(SUMIFS(Prod_Prop!$A:$A,Prod_Prop!$B:$B,$E926,Prod_Prop!$H:$H,L$1,Prod_Prop!$I:$I,"Exacto"),Prod_Prop!$A:$A,Prod_Prop!$J:$J,"",0,1))</f>
        <v/>
      </c>
      <c r="M926" s="4" t="str">
        <f t="array" ref="M926">IF($E926="","", XLOOKUP(SUMIFS(Prod_Prop!$A:$A,Prod_Prop!$B:$B,$E926,Prod_Prop!$H:$H,M$1,Prod_Prop!$I:$I,"Exacto"),Prod_Prop!$A:$A,Prod_Prop!$J:$J,"",0,1))</f>
        <v/>
      </c>
      <c r="N926" s="4" t="str">
        <f t="array" ref="N926">IF($E926="","", XLOOKUP(SUMIFS(Prod_Prop!$A:$A,Prod_Prop!$B:$B,$E926,Prod_Prop!$H:$H,N$1,Prod_Prop!$I:$I,"Exacto"),Prod_Prop!$A:$A,Prod_Prop!$J:$J,"",0,1))</f>
        <v/>
      </c>
      <c r="O926" s="4" t="str">
        <f t="array" ref="O926">IF($E926="","", XLOOKUP(SUMIFS(Prod_Prop!$A:$A,Prod_Prop!$B:$B,$E926,Prod_Prop!$H:$H,O$1,Prod_Prop!$I:$I,"Exacto"),Prod_Prop!$A:$A,Prod_Prop!$J:$J,"",0,1))</f>
        <v/>
      </c>
      <c r="P926" s="4" t="str">
        <f t="array" ref="P926">IF($E926="","", XLOOKUP(SUMIFS(Prod_Prop!$A:$A,Prod_Prop!$B:$B,$E926,Prod_Prop!$H:$H,P$1,Prod_Prop!$I:$I,"Exacto"),Prod_Prop!$A:$A,Prod_Prop!$J:$J,"",0,1))</f>
        <v/>
      </c>
      <c r="Q926" s="4" t="str">
        <f t="array" ref="Q926">IF($E926="","", XLOOKUP(SUMIFS(Prod_Prop!$A:$A,Prod_Prop!$B:$B,$E926,Prod_Prop!$H:$H,Q$1,Prod_Prop!$I:$I,"Exacto"),Prod_Prop!$A:$A,Prod_Prop!$J:$J,"",0,1))</f>
        <v/>
      </c>
      <c r="R926" s="4" t="str">
        <f t="array" ref="R926">IF($E926="","", XLOOKUP(SUMIFS(Prod_Prop!$A:$A,Prod_Prop!$B:$B,$E926,Prod_Prop!$H:$H,R$1,Prod_Prop!$I:$I,"Exacto"),Prod_Prop!$A:$A,Prod_Prop!$J:$J,"",0,1))</f>
        <v/>
      </c>
      <c r="S926" s="4" t="str">
        <f t="array" ref="S926">IF($E926="","", XLOOKUP(SUMIFS(Prod_Prop!$A:$A,Prod_Prop!$B:$B,$E926,Prod_Prop!$H:$H,S$1,Prod_Prop!$I:$I,"Exacto"),Prod_Prop!$A:$A,Prod_Prop!$J:$J,"",0,1))</f>
        <v/>
      </c>
      <c r="T926" s="4" t="str">
        <f t="array" ref="T926">IF($E926="","", XLOOKUP(SUMIFS(Prod_Prop!$A:$A,Prod_Prop!$B:$B,$E926,Prod_Prop!$H:$H,T$1,Prod_Prop!$I:$I,"Exacto"),Prod_Prop!$A:$A,Prod_Prop!$J:$J,"",0,1))</f>
        <v/>
      </c>
      <c r="U926" s="4" t="str">
        <f t="array" ref="U926">IF($E926="","", XLOOKUP(SUMIFS(Prod_Prop!$A:$A,Prod_Prop!$B:$B,$E926,Prod_Prop!$H:$H,U$1,Prod_Prop!$I:$I,"Exacto"),Prod_Prop!$A:$A,Prod_Prop!$J:$J,"",0,1))</f>
        <v/>
      </c>
      <c r="V926" s="4" t="str">
        <f t="array" ref="V926">IF($E926="","", XLOOKUP(SUMIFS(Prod_Prop!$A:$A,Prod_Prop!$B:$B,$E926,Prod_Prop!$H:$H,V$1,Prod_Prop!$I:$I,"Exacto"),Prod_Prop!$A:$A,Prod_Prop!$J:$J,"",0,1))</f>
        <v/>
      </c>
      <c r="X926" s="3" t="str">
        <f>IFERROR(__xludf.DUMMYFUNCTION("IF(D926="""","""",IFERROR(TRANSPOSE(FILTER('Validaciones Cotizador'!U:U,'Validaciones Cotizador'!O:O=D926,'Validaciones Cotizador'!T:T=""x"")),""Finalizar""))"),"")</f>
        <v/>
      </c>
    </row>
    <row r="927">
      <c r="A927" s="2" t="str">
        <f t="array" ref="A927">IF(E927="","",XLOOKUP(D927,'Validaciones Cotizador'!C:C,'Validaciones Cotizador'!A:A,"",0,1))</f>
        <v/>
      </c>
      <c r="B927" s="2" t="str">
        <f t="array" ref="B927">IF(F927="","",XLOOKUP(F927,Productos!E:E,Productos!G:G,"",0,1))</f>
        <v/>
      </c>
      <c r="C927" s="2" t="str">
        <f>IF(A927="","",SUMIFS('Validaciones Cotizador'!B:B,'Validaciones Cotizador'!C:C,D927,'Validaciones Cotizador'!A:A,A927))</f>
        <v/>
      </c>
      <c r="D927" s="4" t="str">
        <f>IFERROR(__xludf.DUMMYFUNCTION("IF(OR(F926=""Finalizar"",F926="""",F926=""Selecciona..""),"""",IF(OR(F926=""-"",INDEX(filter(Familias!F:F,Familias!D:D=A926,Familias!E:E=C926),1)=""O""),D926+1,D926))"),"")</f>
        <v/>
      </c>
      <c r="E927" s="2" t="str">
        <f>IF(OR(F927="",F927="Selecciona.."),"",IF(D927="Implemento",SUMIF(Implementos!B:B,F927,Implementos!A:A),SUMIF(Productos!E:E,F927,Productos!A:A)))</f>
        <v/>
      </c>
      <c r="F927" s="2" t="str">
        <f t="shared" si="2"/>
        <v/>
      </c>
      <c r="G927" s="10" t="str">
        <f t="array" ref="G927">IF(OR(F927="",F927="-",F927="Selecciona..",F927="Finalizar"),"",IF(A927="Rodados",XLOOKUP(B927,'Validaciones Cotizador'!I:I,'Validaciones Cotizador'!J:J,0,0,1),1))</f>
        <v/>
      </c>
      <c r="H927" s="11" t="str">
        <f>IF(OR(F927="",F927="Selecciona.."),"",SUMIF(Precio_Productos!K:K,E927,Precio_Productos!J:J)*G927)</f>
        <v/>
      </c>
      <c r="I927" s="4" t="str">
        <f t="array" ref="I927">IF($E927="","", XLOOKUP(SUMIFS(Prod_Prop!$A:$A,Prod_Prop!$B:$B,$E927,Prod_Prop!$H:$H,I$1,Prod_Prop!$I:$I,"Exacto"),Prod_Prop!$A:$A,Prod_Prop!$J:$J,"",0,1))</f>
        <v/>
      </c>
      <c r="J927" s="4" t="str">
        <f t="array" ref="J927">IF($E927="","", XLOOKUP(SUMIFS(Prod_Prop!$A:$A,Prod_Prop!$B:$B,$E927,Prod_Prop!$H:$H,J$1,Prod_Prop!$I:$I,"Exacto"),Prod_Prop!$A:$A,Prod_Prop!$J:$J,"",0,1))</f>
        <v/>
      </c>
      <c r="K927" s="4" t="str">
        <f t="array" ref="K927">IF($E927="","", XLOOKUP(SUMIFS(Prod_Prop!$A:$A,Prod_Prop!$B:$B,$E927,Prod_Prop!$H:$H,K$1,Prod_Prop!$I:$I,"Exacto"),Prod_Prop!$A:$A,Prod_Prop!$J:$J,"",0,1))</f>
        <v/>
      </c>
      <c r="L927" s="4" t="str">
        <f t="array" ref="L927">IF($E927="","", XLOOKUP(SUMIFS(Prod_Prop!$A:$A,Prod_Prop!$B:$B,$E927,Prod_Prop!$H:$H,L$1,Prod_Prop!$I:$I,"Exacto"),Prod_Prop!$A:$A,Prod_Prop!$J:$J,"",0,1))</f>
        <v/>
      </c>
      <c r="M927" s="4" t="str">
        <f t="array" ref="M927">IF($E927="","", XLOOKUP(SUMIFS(Prod_Prop!$A:$A,Prod_Prop!$B:$B,$E927,Prod_Prop!$H:$H,M$1,Prod_Prop!$I:$I,"Exacto"),Prod_Prop!$A:$A,Prod_Prop!$J:$J,"",0,1))</f>
        <v/>
      </c>
      <c r="N927" s="4" t="str">
        <f t="array" ref="N927">IF($E927="","", XLOOKUP(SUMIFS(Prod_Prop!$A:$A,Prod_Prop!$B:$B,$E927,Prod_Prop!$H:$H,N$1,Prod_Prop!$I:$I,"Exacto"),Prod_Prop!$A:$A,Prod_Prop!$J:$J,"",0,1))</f>
        <v/>
      </c>
      <c r="O927" s="4" t="str">
        <f t="array" ref="O927">IF($E927="","", XLOOKUP(SUMIFS(Prod_Prop!$A:$A,Prod_Prop!$B:$B,$E927,Prod_Prop!$H:$H,O$1,Prod_Prop!$I:$I,"Exacto"),Prod_Prop!$A:$A,Prod_Prop!$J:$J,"",0,1))</f>
        <v/>
      </c>
      <c r="P927" s="4" t="str">
        <f t="array" ref="P927">IF($E927="","", XLOOKUP(SUMIFS(Prod_Prop!$A:$A,Prod_Prop!$B:$B,$E927,Prod_Prop!$H:$H,P$1,Prod_Prop!$I:$I,"Exacto"),Prod_Prop!$A:$A,Prod_Prop!$J:$J,"",0,1))</f>
        <v/>
      </c>
      <c r="Q927" s="4" t="str">
        <f t="array" ref="Q927">IF($E927="","", XLOOKUP(SUMIFS(Prod_Prop!$A:$A,Prod_Prop!$B:$B,$E927,Prod_Prop!$H:$H,Q$1,Prod_Prop!$I:$I,"Exacto"),Prod_Prop!$A:$A,Prod_Prop!$J:$J,"",0,1))</f>
        <v/>
      </c>
      <c r="R927" s="4" t="str">
        <f t="array" ref="R927">IF($E927="","", XLOOKUP(SUMIFS(Prod_Prop!$A:$A,Prod_Prop!$B:$B,$E927,Prod_Prop!$H:$H,R$1,Prod_Prop!$I:$I,"Exacto"),Prod_Prop!$A:$A,Prod_Prop!$J:$J,"",0,1))</f>
        <v/>
      </c>
      <c r="S927" s="4" t="str">
        <f t="array" ref="S927">IF($E927="","", XLOOKUP(SUMIFS(Prod_Prop!$A:$A,Prod_Prop!$B:$B,$E927,Prod_Prop!$H:$H,S$1,Prod_Prop!$I:$I,"Exacto"),Prod_Prop!$A:$A,Prod_Prop!$J:$J,"",0,1))</f>
        <v/>
      </c>
      <c r="T927" s="4" t="str">
        <f t="array" ref="T927">IF($E927="","", XLOOKUP(SUMIFS(Prod_Prop!$A:$A,Prod_Prop!$B:$B,$E927,Prod_Prop!$H:$H,T$1,Prod_Prop!$I:$I,"Exacto"),Prod_Prop!$A:$A,Prod_Prop!$J:$J,"",0,1))</f>
        <v/>
      </c>
      <c r="U927" s="4" t="str">
        <f t="array" ref="U927">IF($E927="","", XLOOKUP(SUMIFS(Prod_Prop!$A:$A,Prod_Prop!$B:$B,$E927,Prod_Prop!$H:$H,U$1,Prod_Prop!$I:$I,"Exacto"),Prod_Prop!$A:$A,Prod_Prop!$J:$J,"",0,1))</f>
        <v/>
      </c>
      <c r="V927" s="4" t="str">
        <f t="array" ref="V927">IF($E927="","", XLOOKUP(SUMIFS(Prod_Prop!$A:$A,Prod_Prop!$B:$B,$E927,Prod_Prop!$H:$H,V$1,Prod_Prop!$I:$I,"Exacto"),Prod_Prop!$A:$A,Prod_Prop!$J:$J,"",0,1))</f>
        <v/>
      </c>
      <c r="X927" s="3" t="str">
        <f>IFERROR(__xludf.DUMMYFUNCTION("IF(D927="""","""",IFERROR(TRANSPOSE(FILTER('Validaciones Cotizador'!U:U,'Validaciones Cotizador'!O:O=D927,'Validaciones Cotizador'!T:T=""x"")),""Finalizar""))"),"")</f>
        <v/>
      </c>
    </row>
    <row r="928">
      <c r="A928" s="2" t="str">
        <f t="array" ref="A928">IF(E928="","",XLOOKUP(D928,'Validaciones Cotizador'!C:C,'Validaciones Cotizador'!A:A,"",0,1))</f>
        <v/>
      </c>
      <c r="B928" s="2" t="str">
        <f t="array" ref="B928">IF(F928="","",XLOOKUP(F928,Productos!E:E,Productos!G:G,"",0,1))</f>
        <v/>
      </c>
      <c r="C928" s="2" t="str">
        <f>IF(A928="","",SUMIFS('Validaciones Cotizador'!B:B,'Validaciones Cotizador'!C:C,D928,'Validaciones Cotizador'!A:A,A928))</f>
        <v/>
      </c>
      <c r="D928" s="4" t="str">
        <f>IFERROR(__xludf.DUMMYFUNCTION("IF(OR(F927=""Finalizar"",F927="""",F927=""Selecciona..""),"""",IF(OR(F927=""-"",INDEX(filter(Familias!F:F,Familias!D:D=A927,Familias!E:E=C927),1)=""O""),D927+1,D927))"),"")</f>
        <v/>
      </c>
      <c r="E928" s="2" t="str">
        <f>IF(OR(F928="",F928="Selecciona.."),"",IF(D928="Implemento",SUMIF(Implementos!B:B,F928,Implementos!A:A),SUMIF(Productos!E:E,F928,Productos!A:A)))</f>
        <v/>
      </c>
      <c r="F928" s="2" t="str">
        <f t="shared" si="2"/>
        <v/>
      </c>
      <c r="G928" s="10" t="str">
        <f t="array" ref="G928">IF(OR(F928="",F928="-",F928="Selecciona..",F928="Finalizar"),"",IF(A928="Rodados",XLOOKUP(B928,'Validaciones Cotizador'!I:I,'Validaciones Cotizador'!J:J,0,0,1),1))</f>
        <v/>
      </c>
      <c r="H928" s="11" t="str">
        <f>IF(OR(F928="",F928="Selecciona.."),"",SUMIF(Precio_Productos!K:K,E928,Precio_Productos!J:J)*G928)</f>
        <v/>
      </c>
      <c r="I928" s="4" t="str">
        <f t="array" ref="I928">IF($E928="","", XLOOKUP(SUMIFS(Prod_Prop!$A:$A,Prod_Prop!$B:$B,$E928,Prod_Prop!$H:$H,I$1,Prod_Prop!$I:$I,"Exacto"),Prod_Prop!$A:$A,Prod_Prop!$J:$J,"",0,1))</f>
        <v/>
      </c>
      <c r="J928" s="4" t="str">
        <f t="array" ref="J928">IF($E928="","", XLOOKUP(SUMIFS(Prod_Prop!$A:$A,Prod_Prop!$B:$B,$E928,Prod_Prop!$H:$H,J$1,Prod_Prop!$I:$I,"Exacto"),Prod_Prop!$A:$A,Prod_Prop!$J:$J,"",0,1))</f>
        <v/>
      </c>
      <c r="K928" s="4" t="str">
        <f t="array" ref="K928">IF($E928="","", XLOOKUP(SUMIFS(Prod_Prop!$A:$A,Prod_Prop!$B:$B,$E928,Prod_Prop!$H:$H,K$1,Prod_Prop!$I:$I,"Exacto"),Prod_Prop!$A:$A,Prod_Prop!$J:$J,"",0,1))</f>
        <v/>
      </c>
      <c r="L928" s="4" t="str">
        <f t="array" ref="L928">IF($E928="","", XLOOKUP(SUMIFS(Prod_Prop!$A:$A,Prod_Prop!$B:$B,$E928,Prod_Prop!$H:$H,L$1,Prod_Prop!$I:$I,"Exacto"),Prod_Prop!$A:$A,Prod_Prop!$J:$J,"",0,1))</f>
        <v/>
      </c>
      <c r="M928" s="4" t="str">
        <f t="array" ref="M928">IF($E928="","", XLOOKUP(SUMIFS(Prod_Prop!$A:$A,Prod_Prop!$B:$B,$E928,Prod_Prop!$H:$H,M$1,Prod_Prop!$I:$I,"Exacto"),Prod_Prop!$A:$A,Prod_Prop!$J:$J,"",0,1))</f>
        <v/>
      </c>
      <c r="N928" s="4" t="str">
        <f t="array" ref="N928">IF($E928="","", XLOOKUP(SUMIFS(Prod_Prop!$A:$A,Prod_Prop!$B:$B,$E928,Prod_Prop!$H:$H,N$1,Prod_Prop!$I:$I,"Exacto"),Prod_Prop!$A:$A,Prod_Prop!$J:$J,"",0,1))</f>
        <v/>
      </c>
      <c r="O928" s="4" t="str">
        <f t="array" ref="O928">IF($E928="","", XLOOKUP(SUMIFS(Prod_Prop!$A:$A,Prod_Prop!$B:$B,$E928,Prod_Prop!$H:$H,O$1,Prod_Prop!$I:$I,"Exacto"),Prod_Prop!$A:$A,Prod_Prop!$J:$J,"",0,1))</f>
        <v/>
      </c>
      <c r="P928" s="4" t="str">
        <f t="array" ref="P928">IF($E928="","", XLOOKUP(SUMIFS(Prod_Prop!$A:$A,Prod_Prop!$B:$B,$E928,Prod_Prop!$H:$H,P$1,Prod_Prop!$I:$I,"Exacto"),Prod_Prop!$A:$A,Prod_Prop!$J:$J,"",0,1))</f>
        <v/>
      </c>
      <c r="Q928" s="4" t="str">
        <f t="array" ref="Q928">IF($E928="","", XLOOKUP(SUMIFS(Prod_Prop!$A:$A,Prod_Prop!$B:$B,$E928,Prod_Prop!$H:$H,Q$1,Prod_Prop!$I:$I,"Exacto"),Prod_Prop!$A:$A,Prod_Prop!$J:$J,"",0,1))</f>
        <v/>
      </c>
      <c r="R928" s="4" t="str">
        <f t="array" ref="R928">IF($E928="","", XLOOKUP(SUMIFS(Prod_Prop!$A:$A,Prod_Prop!$B:$B,$E928,Prod_Prop!$H:$H,R$1,Prod_Prop!$I:$I,"Exacto"),Prod_Prop!$A:$A,Prod_Prop!$J:$J,"",0,1))</f>
        <v/>
      </c>
      <c r="S928" s="4" t="str">
        <f t="array" ref="S928">IF($E928="","", XLOOKUP(SUMIFS(Prod_Prop!$A:$A,Prod_Prop!$B:$B,$E928,Prod_Prop!$H:$H,S$1,Prod_Prop!$I:$I,"Exacto"),Prod_Prop!$A:$A,Prod_Prop!$J:$J,"",0,1))</f>
        <v/>
      </c>
      <c r="T928" s="4" t="str">
        <f t="array" ref="T928">IF($E928="","", XLOOKUP(SUMIFS(Prod_Prop!$A:$A,Prod_Prop!$B:$B,$E928,Prod_Prop!$H:$H,T$1,Prod_Prop!$I:$I,"Exacto"),Prod_Prop!$A:$A,Prod_Prop!$J:$J,"",0,1))</f>
        <v/>
      </c>
      <c r="U928" s="4" t="str">
        <f t="array" ref="U928">IF($E928="","", XLOOKUP(SUMIFS(Prod_Prop!$A:$A,Prod_Prop!$B:$B,$E928,Prod_Prop!$H:$H,U$1,Prod_Prop!$I:$I,"Exacto"),Prod_Prop!$A:$A,Prod_Prop!$J:$J,"",0,1))</f>
        <v/>
      </c>
      <c r="V928" s="4" t="str">
        <f t="array" ref="V928">IF($E928="","", XLOOKUP(SUMIFS(Prod_Prop!$A:$A,Prod_Prop!$B:$B,$E928,Prod_Prop!$H:$H,V$1,Prod_Prop!$I:$I,"Exacto"),Prod_Prop!$A:$A,Prod_Prop!$J:$J,"",0,1))</f>
        <v/>
      </c>
      <c r="X928" s="3" t="str">
        <f>IFERROR(__xludf.DUMMYFUNCTION("IF(D928="""","""",IFERROR(TRANSPOSE(FILTER('Validaciones Cotizador'!U:U,'Validaciones Cotizador'!O:O=D928,'Validaciones Cotizador'!T:T=""x"")),""Finalizar""))"),"")</f>
        <v/>
      </c>
    </row>
    <row r="929">
      <c r="A929" s="2" t="str">
        <f t="array" ref="A929">IF(E929="","",XLOOKUP(D929,'Validaciones Cotizador'!C:C,'Validaciones Cotizador'!A:A,"",0,1))</f>
        <v/>
      </c>
      <c r="B929" s="2" t="str">
        <f t="array" ref="B929">IF(F929="","",XLOOKUP(F929,Productos!E:E,Productos!G:G,"",0,1))</f>
        <v/>
      </c>
      <c r="C929" s="2" t="str">
        <f>IF(A929="","",SUMIFS('Validaciones Cotizador'!B:B,'Validaciones Cotizador'!C:C,D929,'Validaciones Cotizador'!A:A,A929))</f>
        <v/>
      </c>
      <c r="D929" s="4" t="str">
        <f>IFERROR(__xludf.DUMMYFUNCTION("IF(OR(F928=""Finalizar"",F928="""",F928=""Selecciona..""),"""",IF(OR(F928=""-"",INDEX(filter(Familias!F:F,Familias!D:D=A928,Familias!E:E=C928),1)=""O""),D928+1,D928))"),"")</f>
        <v/>
      </c>
      <c r="E929" s="2" t="str">
        <f>IF(OR(F929="",F929="Selecciona.."),"",IF(D929="Implemento",SUMIF(Implementos!B:B,F929,Implementos!A:A),SUMIF(Productos!E:E,F929,Productos!A:A)))</f>
        <v/>
      </c>
      <c r="F929" s="2" t="str">
        <f t="shared" si="2"/>
        <v/>
      </c>
      <c r="G929" s="10" t="str">
        <f t="array" ref="G929">IF(OR(F929="",F929="-",F929="Selecciona..",F929="Finalizar"),"",IF(A929="Rodados",XLOOKUP(B929,'Validaciones Cotizador'!I:I,'Validaciones Cotizador'!J:J,0,0,1),1))</f>
        <v/>
      </c>
      <c r="H929" s="11" t="str">
        <f>IF(OR(F929="",F929="Selecciona.."),"",SUMIF(Precio_Productos!K:K,E929,Precio_Productos!J:J)*G929)</f>
        <v/>
      </c>
      <c r="I929" s="4" t="str">
        <f t="array" ref="I929">IF($E929="","", XLOOKUP(SUMIFS(Prod_Prop!$A:$A,Prod_Prop!$B:$B,$E929,Prod_Prop!$H:$H,I$1,Prod_Prop!$I:$I,"Exacto"),Prod_Prop!$A:$A,Prod_Prop!$J:$J,"",0,1))</f>
        <v/>
      </c>
      <c r="J929" s="4" t="str">
        <f t="array" ref="J929">IF($E929="","", XLOOKUP(SUMIFS(Prod_Prop!$A:$A,Prod_Prop!$B:$B,$E929,Prod_Prop!$H:$H,J$1,Prod_Prop!$I:$I,"Exacto"),Prod_Prop!$A:$A,Prod_Prop!$J:$J,"",0,1))</f>
        <v/>
      </c>
      <c r="K929" s="4" t="str">
        <f t="array" ref="K929">IF($E929="","", XLOOKUP(SUMIFS(Prod_Prop!$A:$A,Prod_Prop!$B:$B,$E929,Prod_Prop!$H:$H,K$1,Prod_Prop!$I:$I,"Exacto"),Prod_Prop!$A:$A,Prod_Prop!$J:$J,"",0,1))</f>
        <v/>
      </c>
      <c r="L929" s="4" t="str">
        <f t="array" ref="L929">IF($E929="","", XLOOKUP(SUMIFS(Prod_Prop!$A:$A,Prod_Prop!$B:$B,$E929,Prod_Prop!$H:$H,L$1,Prod_Prop!$I:$I,"Exacto"),Prod_Prop!$A:$A,Prod_Prop!$J:$J,"",0,1))</f>
        <v/>
      </c>
      <c r="M929" s="4" t="str">
        <f t="array" ref="M929">IF($E929="","", XLOOKUP(SUMIFS(Prod_Prop!$A:$A,Prod_Prop!$B:$B,$E929,Prod_Prop!$H:$H,M$1,Prod_Prop!$I:$I,"Exacto"),Prod_Prop!$A:$A,Prod_Prop!$J:$J,"",0,1))</f>
        <v/>
      </c>
      <c r="N929" s="4" t="str">
        <f t="array" ref="N929">IF($E929="","", XLOOKUP(SUMIFS(Prod_Prop!$A:$A,Prod_Prop!$B:$B,$E929,Prod_Prop!$H:$H,N$1,Prod_Prop!$I:$I,"Exacto"),Prod_Prop!$A:$A,Prod_Prop!$J:$J,"",0,1))</f>
        <v/>
      </c>
      <c r="O929" s="4" t="str">
        <f t="array" ref="O929">IF($E929="","", XLOOKUP(SUMIFS(Prod_Prop!$A:$A,Prod_Prop!$B:$B,$E929,Prod_Prop!$H:$H,O$1,Prod_Prop!$I:$I,"Exacto"),Prod_Prop!$A:$A,Prod_Prop!$J:$J,"",0,1))</f>
        <v/>
      </c>
      <c r="P929" s="4" t="str">
        <f t="array" ref="P929">IF($E929="","", XLOOKUP(SUMIFS(Prod_Prop!$A:$A,Prod_Prop!$B:$B,$E929,Prod_Prop!$H:$H,P$1,Prod_Prop!$I:$I,"Exacto"),Prod_Prop!$A:$A,Prod_Prop!$J:$J,"",0,1))</f>
        <v/>
      </c>
      <c r="Q929" s="4" t="str">
        <f t="array" ref="Q929">IF($E929="","", XLOOKUP(SUMIFS(Prod_Prop!$A:$A,Prod_Prop!$B:$B,$E929,Prod_Prop!$H:$H,Q$1,Prod_Prop!$I:$I,"Exacto"),Prod_Prop!$A:$A,Prod_Prop!$J:$J,"",0,1))</f>
        <v/>
      </c>
      <c r="R929" s="4" t="str">
        <f t="array" ref="R929">IF($E929="","", XLOOKUP(SUMIFS(Prod_Prop!$A:$A,Prod_Prop!$B:$B,$E929,Prod_Prop!$H:$H,R$1,Prod_Prop!$I:$I,"Exacto"),Prod_Prop!$A:$A,Prod_Prop!$J:$J,"",0,1))</f>
        <v/>
      </c>
      <c r="S929" s="4" t="str">
        <f t="array" ref="S929">IF($E929="","", XLOOKUP(SUMIFS(Prod_Prop!$A:$A,Prod_Prop!$B:$B,$E929,Prod_Prop!$H:$H,S$1,Prod_Prop!$I:$I,"Exacto"),Prod_Prop!$A:$A,Prod_Prop!$J:$J,"",0,1))</f>
        <v/>
      </c>
      <c r="T929" s="4" t="str">
        <f t="array" ref="T929">IF($E929="","", XLOOKUP(SUMIFS(Prod_Prop!$A:$A,Prod_Prop!$B:$B,$E929,Prod_Prop!$H:$H,T$1,Prod_Prop!$I:$I,"Exacto"),Prod_Prop!$A:$A,Prod_Prop!$J:$J,"",0,1))</f>
        <v/>
      </c>
      <c r="U929" s="4" t="str">
        <f t="array" ref="U929">IF($E929="","", XLOOKUP(SUMIFS(Prod_Prop!$A:$A,Prod_Prop!$B:$B,$E929,Prod_Prop!$H:$H,U$1,Prod_Prop!$I:$I,"Exacto"),Prod_Prop!$A:$A,Prod_Prop!$J:$J,"",0,1))</f>
        <v/>
      </c>
      <c r="V929" s="4" t="str">
        <f t="array" ref="V929">IF($E929="","", XLOOKUP(SUMIFS(Prod_Prop!$A:$A,Prod_Prop!$B:$B,$E929,Prod_Prop!$H:$H,V$1,Prod_Prop!$I:$I,"Exacto"),Prod_Prop!$A:$A,Prod_Prop!$J:$J,"",0,1))</f>
        <v/>
      </c>
      <c r="X929" s="3" t="str">
        <f>IFERROR(__xludf.DUMMYFUNCTION("IF(D929="""","""",IFERROR(TRANSPOSE(FILTER('Validaciones Cotizador'!U:U,'Validaciones Cotizador'!O:O=D929,'Validaciones Cotizador'!T:T=""x"")),""Finalizar""))"),"")</f>
        <v/>
      </c>
    </row>
    <row r="930">
      <c r="A930" s="2" t="str">
        <f t="array" ref="A930">IF(E930="","",XLOOKUP(D930,'Validaciones Cotizador'!C:C,'Validaciones Cotizador'!A:A,"",0,1))</f>
        <v/>
      </c>
      <c r="B930" s="2" t="str">
        <f t="array" ref="B930">IF(F930="","",XLOOKUP(F930,Productos!E:E,Productos!G:G,"",0,1))</f>
        <v/>
      </c>
      <c r="C930" s="2" t="str">
        <f>IF(A930="","",SUMIFS('Validaciones Cotizador'!B:B,'Validaciones Cotizador'!C:C,D930,'Validaciones Cotizador'!A:A,A930))</f>
        <v/>
      </c>
      <c r="D930" s="4" t="str">
        <f>IFERROR(__xludf.DUMMYFUNCTION("IF(OR(F929=""Finalizar"",F929="""",F929=""Selecciona..""),"""",IF(OR(F929=""-"",INDEX(filter(Familias!F:F,Familias!D:D=A929,Familias!E:E=C929),1)=""O""),D929+1,D929))"),"")</f>
        <v/>
      </c>
      <c r="E930" s="2" t="str">
        <f>IF(OR(F930="",F930="Selecciona.."),"",IF(D930="Implemento",SUMIF(Implementos!B:B,F930,Implementos!A:A),SUMIF(Productos!E:E,F930,Productos!A:A)))</f>
        <v/>
      </c>
      <c r="F930" s="2" t="str">
        <f t="shared" si="2"/>
        <v/>
      </c>
      <c r="G930" s="10" t="str">
        <f t="array" ref="G930">IF(OR(F930="",F930="-",F930="Selecciona..",F930="Finalizar"),"",IF(A930="Rodados",XLOOKUP(B930,'Validaciones Cotizador'!I:I,'Validaciones Cotizador'!J:J,0,0,1),1))</f>
        <v/>
      </c>
      <c r="H930" s="11" t="str">
        <f>IF(OR(F930="",F930="Selecciona.."),"",SUMIF(Precio_Productos!K:K,E930,Precio_Productos!J:J)*G930)</f>
        <v/>
      </c>
      <c r="I930" s="4" t="str">
        <f t="array" ref="I930">IF($E930="","", XLOOKUP(SUMIFS(Prod_Prop!$A:$A,Prod_Prop!$B:$B,$E930,Prod_Prop!$H:$H,I$1,Prod_Prop!$I:$I,"Exacto"),Prod_Prop!$A:$A,Prod_Prop!$J:$J,"",0,1))</f>
        <v/>
      </c>
      <c r="J930" s="4" t="str">
        <f t="array" ref="J930">IF($E930="","", XLOOKUP(SUMIFS(Prod_Prop!$A:$A,Prod_Prop!$B:$B,$E930,Prod_Prop!$H:$H,J$1,Prod_Prop!$I:$I,"Exacto"),Prod_Prop!$A:$A,Prod_Prop!$J:$J,"",0,1))</f>
        <v/>
      </c>
      <c r="K930" s="4" t="str">
        <f t="array" ref="K930">IF($E930="","", XLOOKUP(SUMIFS(Prod_Prop!$A:$A,Prod_Prop!$B:$B,$E930,Prod_Prop!$H:$H,K$1,Prod_Prop!$I:$I,"Exacto"),Prod_Prop!$A:$A,Prod_Prop!$J:$J,"",0,1))</f>
        <v/>
      </c>
      <c r="L930" s="4" t="str">
        <f t="array" ref="L930">IF($E930="","", XLOOKUP(SUMIFS(Prod_Prop!$A:$A,Prod_Prop!$B:$B,$E930,Prod_Prop!$H:$H,L$1,Prod_Prop!$I:$I,"Exacto"),Prod_Prop!$A:$A,Prod_Prop!$J:$J,"",0,1))</f>
        <v/>
      </c>
      <c r="M930" s="4" t="str">
        <f t="array" ref="M930">IF($E930="","", XLOOKUP(SUMIFS(Prod_Prop!$A:$A,Prod_Prop!$B:$B,$E930,Prod_Prop!$H:$H,M$1,Prod_Prop!$I:$I,"Exacto"),Prod_Prop!$A:$A,Prod_Prop!$J:$J,"",0,1))</f>
        <v/>
      </c>
      <c r="N930" s="4" t="str">
        <f t="array" ref="N930">IF($E930="","", XLOOKUP(SUMIFS(Prod_Prop!$A:$A,Prod_Prop!$B:$B,$E930,Prod_Prop!$H:$H,N$1,Prod_Prop!$I:$I,"Exacto"),Prod_Prop!$A:$A,Prod_Prop!$J:$J,"",0,1))</f>
        <v/>
      </c>
      <c r="O930" s="4" t="str">
        <f t="array" ref="O930">IF($E930="","", XLOOKUP(SUMIFS(Prod_Prop!$A:$A,Prod_Prop!$B:$B,$E930,Prod_Prop!$H:$H,O$1,Prod_Prop!$I:$I,"Exacto"),Prod_Prop!$A:$A,Prod_Prop!$J:$J,"",0,1))</f>
        <v/>
      </c>
      <c r="P930" s="4" t="str">
        <f t="array" ref="P930">IF($E930="","", XLOOKUP(SUMIFS(Prod_Prop!$A:$A,Prod_Prop!$B:$B,$E930,Prod_Prop!$H:$H,P$1,Prod_Prop!$I:$I,"Exacto"),Prod_Prop!$A:$A,Prod_Prop!$J:$J,"",0,1))</f>
        <v/>
      </c>
      <c r="Q930" s="4" t="str">
        <f t="array" ref="Q930">IF($E930="","", XLOOKUP(SUMIFS(Prod_Prop!$A:$A,Prod_Prop!$B:$B,$E930,Prod_Prop!$H:$H,Q$1,Prod_Prop!$I:$I,"Exacto"),Prod_Prop!$A:$A,Prod_Prop!$J:$J,"",0,1))</f>
        <v/>
      </c>
      <c r="R930" s="4" t="str">
        <f t="array" ref="R930">IF($E930="","", XLOOKUP(SUMIFS(Prod_Prop!$A:$A,Prod_Prop!$B:$B,$E930,Prod_Prop!$H:$H,R$1,Prod_Prop!$I:$I,"Exacto"),Prod_Prop!$A:$A,Prod_Prop!$J:$J,"",0,1))</f>
        <v/>
      </c>
      <c r="S930" s="4" t="str">
        <f t="array" ref="S930">IF($E930="","", XLOOKUP(SUMIFS(Prod_Prop!$A:$A,Prod_Prop!$B:$B,$E930,Prod_Prop!$H:$H,S$1,Prod_Prop!$I:$I,"Exacto"),Prod_Prop!$A:$A,Prod_Prop!$J:$J,"",0,1))</f>
        <v/>
      </c>
      <c r="T930" s="4" t="str">
        <f t="array" ref="T930">IF($E930="","", XLOOKUP(SUMIFS(Prod_Prop!$A:$A,Prod_Prop!$B:$B,$E930,Prod_Prop!$H:$H,T$1,Prod_Prop!$I:$I,"Exacto"),Prod_Prop!$A:$A,Prod_Prop!$J:$J,"",0,1))</f>
        <v/>
      </c>
      <c r="U930" s="4" t="str">
        <f t="array" ref="U930">IF($E930="","", XLOOKUP(SUMIFS(Prod_Prop!$A:$A,Prod_Prop!$B:$B,$E930,Prod_Prop!$H:$H,U$1,Prod_Prop!$I:$I,"Exacto"),Prod_Prop!$A:$A,Prod_Prop!$J:$J,"",0,1))</f>
        <v/>
      </c>
      <c r="V930" s="4" t="str">
        <f t="array" ref="V930">IF($E930="","", XLOOKUP(SUMIFS(Prod_Prop!$A:$A,Prod_Prop!$B:$B,$E930,Prod_Prop!$H:$H,V$1,Prod_Prop!$I:$I,"Exacto"),Prod_Prop!$A:$A,Prod_Prop!$J:$J,"",0,1))</f>
        <v/>
      </c>
      <c r="X930" s="3" t="str">
        <f>IFERROR(__xludf.DUMMYFUNCTION("IF(D930="""","""",IFERROR(TRANSPOSE(FILTER('Validaciones Cotizador'!U:U,'Validaciones Cotizador'!O:O=D930,'Validaciones Cotizador'!T:T=""x"")),""Finalizar""))"),"")</f>
        <v/>
      </c>
    </row>
    <row r="931">
      <c r="A931" s="2" t="str">
        <f t="array" ref="A931">IF(E931="","",XLOOKUP(D931,'Validaciones Cotizador'!C:C,'Validaciones Cotizador'!A:A,"",0,1))</f>
        <v/>
      </c>
      <c r="B931" s="2" t="str">
        <f t="array" ref="B931">IF(F931="","",XLOOKUP(F931,Productos!E:E,Productos!G:G,"",0,1))</f>
        <v/>
      </c>
      <c r="C931" s="2" t="str">
        <f>IF(A931="","",SUMIFS('Validaciones Cotizador'!B:B,'Validaciones Cotizador'!C:C,D931,'Validaciones Cotizador'!A:A,A931))</f>
        <v/>
      </c>
      <c r="D931" s="4" t="str">
        <f>IFERROR(__xludf.DUMMYFUNCTION("IF(OR(F930=""Finalizar"",F930="""",F930=""Selecciona..""),"""",IF(OR(F930=""-"",INDEX(filter(Familias!F:F,Familias!D:D=A930,Familias!E:E=C930),1)=""O""),D930+1,D930))"),"")</f>
        <v/>
      </c>
      <c r="E931" s="2" t="str">
        <f>IF(OR(F931="",F931="Selecciona.."),"",IF(D931="Implemento",SUMIF(Implementos!B:B,F931,Implementos!A:A),SUMIF(Productos!E:E,F931,Productos!A:A)))</f>
        <v/>
      </c>
      <c r="F931" s="2" t="str">
        <f t="shared" si="2"/>
        <v/>
      </c>
      <c r="G931" s="10" t="str">
        <f t="array" ref="G931">IF(OR(F931="",F931="-",F931="Selecciona..",F931="Finalizar"),"",IF(A931="Rodados",XLOOKUP(B931,'Validaciones Cotizador'!I:I,'Validaciones Cotizador'!J:J,0,0,1),1))</f>
        <v/>
      </c>
      <c r="H931" s="11" t="str">
        <f>IF(OR(F931="",F931="Selecciona.."),"",SUMIF(Precio_Productos!K:K,E931,Precio_Productos!J:J)*G931)</f>
        <v/>
      </c>
      <c r="I931" s="4" t="str">
        <f t="array" ref="I931">IF($E931="","", XLOOKUP(SUMIFS(Prod_Prop!$A:$A,Prod_Prop!$B:$B,$E931,Prod_Prop!$H:$H,I$1,Prod_Prop!$I:$I,"Exacto"),Prod_Prop!$A:$A,Prod_Prop!$J:$J,"",0,1))</f>
        <v/>
      </c>
      <c r="J931" s="4" t="str">
        <f t="array" ref="J931">IF($E931="","", XLOOKUP(SUMIFS(Prod_Prop!$A:$A,Prod_Prop!$B:$B,$E931,Prod_Prop!$H:$H,J$1,Prod_Prop!$I:$I,"Exacto"),Prod_Prop!$A:$A,Prod_Prop!$J:$J,"",0,1))</f>
        <v/>
      </c>
      <c r="K931" s="4" t="str">
        <f t="array" ref="K931">IF($E931="","", XLOOKUP(SUMIFS(Prod_Prop!$A:$A,Prod_Prop!$B:$B,$E931,Prod_Prop!$H:$H,K$1,Prod_Prop!$I:$I,"Exacto"),Prod_Prop!$A:$A,Prod_Prop!$J:$J,"",0,1))</f>
        <v/>
      </c>
      <c r="L931" s="4" t="str">
        <f t="array" ref="L931">IF($E931="","", XLOOKUP(SUMIFS(Prod_Prop!$A:$A,Prod_Prop!$B:$B,$E931,Prod_Prop!$H:$H,L$1,Prod_Prop!$I:$I,"Exacto"),Prod_Prop!$A:$A,Prod_Prop!$J:$J,"",0,1))</f>
        <v/>
      </c>
      <c r="M931" s="4" t="str">
        <f t="array" ref="M931">IF($E931="","", XLOOKUP(SUMIFS(Prod_Prop!$A:$A,Prod_Prop!$B:$B,$E931,Prod_Prop!$H:$H,M$1,Prod_Prop!$I:$I,"Exacto"),Prod_Prop!$A:$A,Prod_Prop!$J:$J,"",0,1))</f>
        <v/>
      </c>
      <c r="N931" s="4" t="str">
        <f t="array" ref="N931">IF($E931="","", XLOOKUP(SUMIFS(Prod_Prop!$A:$A,Prod_Prop!$B:$B,$E931,Prod_Prop!$H:$H,N$1,Prod_Prop!$I:$I,"Exacto"),Prod_Prop!$A:$A,Prod_Prop!$J:$J,"",0,1))</f>
        <v/>
      </c>
      <c r="O931" s="4" t="str">
        <f t="array" ref="O931">IF($E931="","", XLOOKUP(SUMIFS(Prod_Prop!$A:$A,Prod_Prop!$B:$B,$E931,Prod_Prop!$H:$H,O$1,Prod_Prop!$I:$I,"Exacto"),Prod_Prop!$A:$A,Prod_Prop!$J:$J,"",0,1))</f>
        <v/>
      </c>
      <c r="P931" s="4" t="str">
        <f t="array" ref="P931">IF($E931="","", XLOOKUP(SUMIFS(Prod_Prop!$A:$A,Prod_Prop!$B:$B,$E931,Prod_Prop!$H:$H,P$1,Prod_Prop!$I:$I,"Exacto"),Prod_Prop!$A:$A,Prod_Prop!$J:$J,"",0,1))</f>
        <v/>
      </c>
      <c r="Q931" s="4" t="str">
        <f t="array" ref="Q931">IF($E931="","", XLOOKUP(SUMIFS(Prod_Prop!$A:$A,Prod_Prop!$B:$B,$E931,Prod_Prop!$H:$H,Q$1,Prod_Prop!$I:$I,"Exacto"),Prod_Prop!$A:$A,Prod_Prop!$J:$J,"",0,1))</f>
        <v/>
      </c>
      <c r="R931" s="4" t="str">
        <f t="array" ref="R931">IF($E931="","", XLOOKUP(SUMIFS(Prod_Prop!$A:$A,Prod_Prop!$B:$B,$E931,Prod_Prop!$H:$H,R$1,Prod_Prop!$I:$I,"Exacto"),Prod_Prop!$A:$A,Prod_Prop!$J:$J,"",0,1))</f>
        <v/>
      </c>
      <c r="S931" s="4" t="str">
        <f t="array" ref="S931">IF($E931="","", XLOOKUP(SUMIFS(Prod_Prop!$A:$A,Prod_Prop!$B:$B,$E931,Prod_Prop!$H:$H,S$1,Prod_Prop!$I:$I,"Exacto"),Prod_Prop!$A:$A,Prod_Prop!$J:$J,"",0,1))</f>
        <v/>
      </c>
      <c r="T931" s="4" t="str">
        <f t="array" ref="T931">IF($E931="","", XLOOKUP(SUMIFS(Prod_Prop!$A:$A,Prod_Prop!$B:$B,$E931,Prod_Prop!$H:$H,T$1,Prod_Prop!$I:$I,"Exacto"),Prod_Prop!$A:$A,Prod_Prop!$J:$J,"",0,1))</f>
        <v/>
      </c>
      <c r="U931" s="4" t="str">
        <f t="array" ref="U931">IF($E931="","", XLOOKUP(SUMIFS(Prod_Prop!$A:$A,Prod_Prop!$B:$B,$E931,Prod_Prop!$H:$H,U$1,Prod_Prop!$I:$I,"Exacto"),Prod_Prop!$A:$A,Prod_Prop!$J:$J,"",0,1))</f>
        <v/>
      </c>
      <c r="V931" s="4" t="str">
        <f t="array" ref="V931">IF($E931="","", XLOOKUP(SUMIFS(Prod_Prop!$A:$A,Prod_Prop!$B:$B,$E931,Prod_Prop!$H:$H,V$1,Prod_Prop!$I:$I,"Exacto"),Prod_Prop!$A:$A,Prod_Prop!$J:$J,"",0,1))</f>
        <v/>
      </c>
      <c r="X931" s="3" t="str">
        <f>IFERROR(__xludf.DUMMYFUNCTION("IF(D931="""","""",IFERROR(TRANSPOSE(FILTER('Validaciones Cotizador'!U:U,'Validaciones Cotizador'!O:O=D931,'Validaciones Cotizador'!T:T=""x"")),""Finalizar""))"),"")</f>
        <v/>
      </c>
    </row>
    <row r="932">
      <c r="A932" s="2" t="str">
        <f t="array" ref="A932">IF(E932="","",XLOOKUP(D932,'Validaciones Cotizador'!C:C,'Validaciones Cotizador'!A:A,"",0,1))</f>
        <v/>
      </c>
      <c r="B932" s="2" t="str">
        <f t="array" ref="B932">IF(F932="","",XLOOKUP(F932,Productos!E:E,Productos!G:G,"",0,1))</f>
        <v/>
      </c>
      <c r="C932" s="2" t="str">
        <f>IF(A932="","",SUMIFS('Validaciones Cotizador'!B:B,'Validaciones Cotizador'!C:C,D932,'Validaciones Cotizador'!A:A,A932))</f>
        <v/>
      </c>
      <c r="D932" s="4" t="str">
        <f>IFERROR(__xludf.DUMMYFUNCTION("IF(OR(F931=""Finalizar"",F931="""",F931=""Selecciona..""),"""",IF(OR(F931=""-"",INDEX(filter(Familias!F:F,Familias!D:D=A931,Familias!E:E=C931),1)=""O""),D931+1,D931))"),"")</f>
        <v/>
      </c>
      <c r="E932" s="2" t="str">
        <f>IF(OR(F932="",F932="Selecciona.."),"",IF(D932="Implemento",SUMIF(Implementos!B:B,F932,Implementos!A:A),SUMIF(Productos!E:E,F932,Productos!A:A)))</f>
        <v/>
      </c>
      <c r="F932" s="2" t="str">
        <f t="shared" si="2"/>
        <v/>
      </c>
      <c r="G932" s="10" t="str">
        <f t="array" ref="G932">IF(OR(F932="",F932="-",F932="Selecciona..",F932="Finalizar"),"",IF(A932="Rodados",XLOOKUP(B932,'Validaciones Cotizador'!I:I,'Validaciones Cotizador'!J:J,0,0,1),1))</f>
        <v/>
      </c>
      <c r="H932" s="11" t="str">
        <f>IF(OR(F932="",F932="Selecciona.."),"",SUMIF(Precio_Productos!K:K,E932,Precio_Productos!J:J)*G932)</f>
        <v/>
      </c>
      <c r="I932" s="4" t="str">
        <f t="array" ref="I932">IF($E932="","", XLOOKUP(SUMIFS(Prod_Prop!$A:$A,Prod_Prop!$B:$B,$E932,Prod_Prop!$H:$H,I$1,Prod_Prop!$I:$I,"Exacto"),Prod_Prop!$A:$A,Prod_Prop!$J:$J,"",0,1))</f>
        <v/>
      </c>
      <c r="J932" s="4" t="str">
        <f t="array" ref="J932">IF($E932="","", XLOOKUP(SUMIFS(Prod_Prop!$A:$A,Prod_Prop!$B:$B,$E932,Prod_Prop!$H:$H,J$1,Prod_Prop!$I:$I,"Exacto"),Prod_Prop!$A:$A,Prod_Prop!$J:$J,"",0,1))</f>
        <v/>
      </c>
      <c r="K932" s="4" t="str">
        <f t="array" ref="K932">IF($E932="","", XLOOKUP(SUMIFS(Prod_Prop!$A:$A,Prod_Prop!$B:$B,$E932,Prod_Prop!$H:$H,K$1,Prod_Prop!$I:$I,"Exacto"),Prod_Prop!$A:$A,Prod_Prop!$J:$J,"",0,1))</f>
        <v/>
      </c>
      <c r="L932" s="4" t="str">
        <f t="array" ref="L932">IF($E932="","", XLOOKUP(SUMIFS(Prod_Prop!$A:$A,Prod_Prop!$B:$B,$E932,Prod_Prop!$H:$H,L$1,Prod_Prop!$I:$I,"Exacto"),Prod_Prop!$A:$A,Prod_Prop!$J:$J,"",0,1))</f>
        <v/>
      </c>
      <c r="M932" s="4" t="str">
        <f t="array" ref="M932">IF($E932="","", XLOOKUP(SUMIFS(Prod_Prop!$A:$A,Prod_Prop!$B:$B,$E932,Prod_Prop!$H:$H,M$1,Prod_Prop!$I:$I,"Exacto"),Prod_Prop!$A:$A,Prod_Prop!$J:$J,"",0,1))</f>
        <v/>
      </c>
      <c r="N932" s="4" t="str">
        <f t="array" ref="N932">IF($E932="","", XLOOKUP(SUMIFS(Prod_Prop!$A:$A,Prod_Prop!$B:$B,$E932,Prod_Prop!$H:$H,N$1,Prod_Prop!$I:$I,"Exacto"),Prod_Prop!$A:$A,Prod_Prop!$J:$J,"",0,1))</f>
        <v/>
      </c>
      <c r="O932" s="4" t="str">
        <f t="array" ref="O932">IF($E932="","", XLOOKUP(SUMIFS(Prod_Prop!$A:$A,Prod_Prop!$B:$B,$E932,Prod_Prop!$H:$H,O$1,Prod_Prop!$I:$I,"Exacto"),Prod_Prop!$A:$A,Prod_Prop!$J:$J,"",0,1))</f>
        <v/>
      </c>
      <c r="P932" s="4" t="str">
        <f t="array" ref="P932">IF($E932="","", XLOOKUP(SUMIFS(Prod_Prop!$A:$A,Prod_Prop!$B:$B,$E932,Prod_Prop!$H:$H,P$1,Prod_Prop!$I:$I,"Exacto"),Prod_Prop!$A:$A,Prod_Prop!$J:$J,"",0,1))</f>
        <v/>
      </c>
      <c r="Q932" s="4" t="str">
        <f t="array" ref="Q932">IF($E932="","", XLOOKUP(SUMIFS(Prod_Prop!$A:$A,Prod_Prop!$B:$B,$E932,Prod_Prop!$H:$H,Q$1,Prod_Prop!$I:$I,"Exacto"),Prod_Prop!$A:$A,Prod_Prop!$J:$J,"",0,1))</f>
        <v/>
      </c>
      <c r="R932" s="4" t="str">
        <f t="array" ref="R932">IF($E932="","", XLOOKUP(SUMIFS(Prod_Prop!$A:$A,Prod_Prop!$B:$B,$E932,Prod_Prop!$H:$H,R$1,Prod_Prop!$I:$I,"Exacto"),Prod_Prop!$A:$A,Prod_Prop!$J:$J,"",0,1))</f>
        <v/>
      </c>
      <c r="S932" s="4" t="str">
        <f t="array" ref="S932">IF($E932="","", XLOOKUP(SUMIFS(Prod_Prop!$A:$A,Prod_Prop!$B:$B,$E932,Prod_Prop!$H:$H,S$1,Prod_Prop!$I:$I,"Exacto"),Prod_Prop!$A:$A,Prod_Prop!$J:$J,"",0,1))</f>
        <v/>
      </c>
      <c r="T932" s="4" t="str">
        <f t="array" ref="T932">IF($E932="","", XLOOKUP(SUMIFS(Prod_Prop!$A:$A,Prod_Prop!$B:$B,$E932,Prod_Prop!$H:$H,T$1,Prod_Prop!$I:$I,"Exacto"),Prod_Prop!$A:$A,Prod_Prop!$J:$J,"",0,1))</f>
        <v/>
      </c>
      <c r="U932" s="4" t="str">
        <f t="array" ref="U932">IF($E932="","", XLOOKUP(SUMIFS(Prod_Prop!$A:$A,Prod_Prop!$B:$B,$E932,Prod_Prop!$H:$H,U$1,Prod_Prop!$I:$I,"Exacto"),Prod_Prop!$A:$A,Prod_Prop!$J:$J,"",0,1))</f>
        <v/>
      </c>
      <c r="V932" s="4" t="str">
        <f t="array" ref="V932">IF($E932="","", XLOOKUP(SUMIFS(Prod_Prop!$A:$A,Prod_Prop!$B:$B,$E932,Prod_Prop!$H:$H,V$1,Prod_Prop!$I:$I,"Exacto"),Prod_Prop!$A:$A,Prod_Prop!$J:$J,"",0,1))</f>
        <v/>
      </c>
      <c r="X932" s="3" t="str">
        <f>IFERROR(__xludf.DUMMYFUNCTION("IF(D932="""","""",IFERROR(TRANSPOSE(FILTER('Validaciones Cotizador'!U:U,'Validaciones Cotizador'!O:O=D932,'Validaciones Cotizador'!T:T=""x"")),""Finalizar""))"),"")</f>
        <v/>
      </c>
    </row>
    <row r="933">
      <c r="A933" s="2" t="str">
        <f t="array" ref="A933">IF(E933="","",XLOOKUP(D933,'Validaciones Cotizador'!C:C,'Validaciones Cotizador'!A:A,"",0,1))</f>
        <v/>
      </c>
      <c r="B933" s="2" t="str">
        <f t="array" ref="B933">IF(F933="","",XLOOKUP(F933,Productos!E:E,Productos!G:G,"",0,1))</f>
        <v/>
      </c>
      <c r="C933" s="2" t="str">
        <f>IF(A933="","",SUMIFS('Validaciones Cotizador'!B:B,'Validaciones Cotizador'!C:C,D933,'Validaciones Cotizador'!A:A,A933))</f>
        <v/>
      </c>
      <c r="D933" s="4" t="str">
        <f>IFERROR(__xludf.DUMMYFUNCTION("IF(OR(F932=""Finalizar"",F932="""",F932=""Selecciona..""),"""",IF(OR(F932=""-"",INDEX(filter(Familias!F:F,Familias!D:D=A932,Familias!E:E=C932),1)=""O""),D932+1,D932))"),"")</f>
        <v/>
      </c>
      <c r="E933" s="2" t="str">
        <f>IF(OR(F933="",F933="Selecciona.."),"",IF(D933="Implemento",SUMIF(Implementos!B:B,F933,Implementos!A:A),SUMIF(Productos!E:E,F933,Productos!A:A)))</f>
        <v/>
      </c>
      <c r="F933" s="2" t="str">
        <f t="shared" si="2"/>
        <v/>
      </c>
      <c r="G933" s="10" t="str">
        <f t="array" ref="G933">IF(OR(F933="",F933="-",F933="Selecciona..",F933="Finalizar"),"",IF(A933="Rodados",XLOOKUP(B933,'Validaciones Cotizador'!I:I,'Validaciones Cotizador'!J:J,0,0,1),1))</f>
        <v/>
      </c>
      <c r="H933" s="11" t="str">
        <f>IF(OR(F933="",F933="Selecciona.."),"",SUMIF(Precio_Productos!K:K,E933,Precio_Productos!J:J)*G933)</f>
        <v/>
      </c>
      <c r="I933" s="4" t="str">
        <f t="array" ref="I933">IF($E933="","", XLOOKUP(SUMIFS(Prod_Prop!$A:$A,Prod_Prop!$B:$B,$E933,Prod_Prop!$H:$H,I$1,Prod_Prop!$I:$I,"Exacto"),Prod_Prop!$A:$A,Prod_Prop!$J:$J,"",0,1))</f>
        <v/>
      </c>
      <c r="J933" s="4" t="str">
        <f t="array" ref="J933">IF($E933="","", XLOOKUP(SUMIFS(Prod_Prop!$A:$A,Prod_Prop!$B:$B,$E933,Prod_Prop!$H:$H,J$1,Prod_Prop!$I:$I,"Exacto"),Prod_Prop!$A:$A,Prod_Prop!$J:$J,"",0,1))</f>
        <v/>
      </c>
      <c r="K933" s="4" t="str">
        <f t="array" ref="K933">IF($E933="","", XLOOKUP(SUMIFS(Prod_Prop!$A:$A,Prod_Prop!$B:$B,$E933,Prod_Prop!$H:$H,K$1,Prod_Prop!$I:$I,"Exacto"),Prod_Prop!$A:$A,Prod_Prop!$J:$J,"",0,1))</f>
        <v/>
      </c>
      <c r="L933" s="4" t="str">
        <f t="array" ref="L933">IF($E933="","", XLOOKUP(SUMIFS(Prod_Prop!$A:$A,Prod_Prop!$B:$B,$E933,Prod_Prop!$H:$H,L$1,Prod_Prop!$I:$I,"Exacto"),Prod_Prop!$A:$A,Prod_Prop!$J:$J,"",0,1))</f>
        <v/>
      </c>
      <c r="M933" s="4" t="str">
        <f t="array" ref="M933">IF($E933="","", XLOOKUP(SUMIFS(Prod_Prop!$A:$A,Prod_Prop!$B:$B,$E933,Prod_Prop!$H:$H,M$1,Prod_Prop!$I:$I,"Exacto"),Prod_Prop!$A:$A,Prod_Prop!$J:$J,"",0,1))</f>
        <v/>
      </c>
      <c r="N933" s="4" t="str">
        <f t="array" ref="N933">IF($E933="","", XLOOKUP(SUMIFS(Prod_Prop!$A:$A,Prod_Prop!$B:$B,$E933,Prod_Prop!$H:$H,N$1,Prod_Prop!$I:$I,"Exacto"),Prod_Prop!$A:$A,Prod_Prop!$J:$J,"",0,1))</f>
        <v/>
      </c>
      <c r="O933" s="4" t="str">
        <f t="array" ref="O933">IF($E933="","", XLOOKUP(SUMIFS(Prod_Prop!$A:$A,Prod_Prop!$B:$B,$E933,Prod_Prop!$H:$H,O$1,Prod_Prop!$I:$I,"Exacto"),Prod_Prop!$A:$A,Prod_Prop!$J:$J,"",0,1))</f>
        <v/>
      </c>
      <c r="P933" s="4" t="str">
        <f t="array" ref="P933">IF($E933="","", XLOOKUP(SUMIFS(Prod_Prop!$A:$A,Prod_Prop!$B:$B,$E933,Prod_Prop!$H:$H,P$1,Prod_Prop!$I:$I,"Exacto"),Prod_Prop!$A:$A,Prod_Prop!$J:$J,"",0,1))</f>
        <v/>
      </c>
      <c r="Q933" s="4" t="str">
        <f t="array" ref="Q933">IF($E933="","", XLOOKUP(SUMIFS(Prod_Prop!$A:$A,Prod_Prop!$B:$B,$E933,Prod_Prop!$H:$H,Q$1,Prod_Prop!$I:$I,"Exacto"),Prod_Prop!$A:$A,Prod_Prop!$J:$J,"",0,1))</f>
        <v/>
      </c>
      <c r="R933" s="4" t="str">
        <f t="array" ref="R933">IF($E933="","", XLOOKUP(SUMIFS(Prod_Prop!$A:$A,Prod_Prop!$B:$B,$E933,Prod_Prop!$H:$H,R$1,Prod_Prop!$I:$I,"Exacto"),Prod_Prop!$A:$A,Prod_Prop!$J:$J,"",0,1))</f>
        <v/>
      </c>
      <c r="S933" s="4" t="str">
        <f t="array" ref="S933">IF($E933="","", XLOOKUP(SUMIFS(Prod_Prop!$A:$A,Prod_Prop!$B:$B,$E933,Prod_Prop!$H:$H,S$1,Prod_Prop!$I:$I,"Exacto"),Prod_Prop!$A:$A,Prod_Prop!$J:$J,"",0,1))</f>
        <v/>
      </c>
      <c r="T933" s="4" t="str">
        <f t="array" ref="T933">IF($E933="","", XLOOKUP(SUMIFS(Prod_Prop!$A:$A,Prod_Prop!$B:$B,$E933,Prod_Prop!$H:$H,T$1,Prod_Prop!$I:$I,"Exacto"),Prod_Prop!$A:$A,Prod_Prop!$J:$J,"",0,1))</f>
        <v/>
      </c>
      <c r="U933" s="4" t="str">
        <f t="array" ref="U933">IF($E933="","", XLOOKUP(SUMIFS(Prod_Prop!$A:$A,Prod_Prop!$B:$B,$E933,Prod_Prop!$H:$H,U$1,Prod_Prop!$I:$I,"Exacto"),Prod_Prop!$A:$A,Prod_Prop!$J:$J,"",0,1))</f>
        <v/>
      </c>
      <c r="V933" s="4" t="str">
        <f t="array" ref="V933">IF($E933="","", XLOOKUP(SUMIFS(Prod_Prop!$A:$A,Prod_Prop!$B:$B,$E933,Prod_Prop!$H:$H,V$1,Prod_Prop!$I:$I,"Exacto"),Prod_Prop!$A:$A,Prod_Prop!$J:$J,"",0,1))</f>
        <v/>
      </c>
      <c r="X933" s="3" t="str">
        <f>IFERROR(__xludf.DUMMYFUNCTION("IF(D933="""","""",IFERROR(TRANSPOSE(FILTER('Validaciones Cotizador'!U:U,'Validaciones Cotizador'!O:O=D933,'Validaciones Cotizador'!T:T=""x"")),""Finalizar""))"),"")</f>
        <v/>
      </c>
    </row>
    <row r="934">
      <c r="A934" s="2" t="str">
        <f t="array" ref="A934">IF(E934="","",XLOOKUP(D934,'Validaciones Cotizador'!C:C,'Validaciones Cotizador'!A:A,"",0,1))</f>
        <v/>
      </c>
      <c r="B934" s="2" t="str">
        <f t="array" ref="B934">IF(F934="","",XLOOKUP(F934,Productos!E:E,Productos!G:G,"",0,1))</f>
        <v/>
      </c>
      <c r="C934" s="2" t="str">
        <f>IF(A934="","",SUMIFS('Validaciones Cotizador'!B:B,'Validaciones Cotizador'!C:C,D934,'Validaciones Cotizador'!A:A,A934))</f>
        <v/>
      </c>
      <c r="D934" s="4" t="str">
        <f>IFERROR(__xludf.DUMMYFUNCTION("IF(OR(F933=""Finalizar"",F933="""",F933=""Selecciona..""),"""",IF(OR(F933=""-"",INDEX(filter(Familias!F:F,Familias!D:D=A933,Familias!E:E=C933),1)=""O""),D933+1,D933))"),"")</f>
        <v/>
      </c>
      <c r="E934" s="2" t="str">
        <f>IF(OR(F934="",F934="Selecciona.."),"",IF(D934="Implemento",SUMIF(Implementos!B:B,F934,Implementos!A:A),SUMIF(Productos!E:E,F934,Productos!A:A)))</f>
        <v/>
      </c>
      <c r="F934" s="2" t="str">
        <f t="shared" si="2"/>
        <v/>
      </c>
      <c r="G934" s="10" t="str">
        <f t="array" ref="G934">IF(OR(F934="",F934="-",F934="Selecciona..",F934="Finalizar"),"",IF(A934="Rodados",XLOOKUP(B934,'Validaciones Cotizador'!I:I,'Validaciones Cotizador'!J:J,0,0,1),1))</f>
        <v/>
      </c>
      <c r="H934" s="11" t="str">
        <f>IF(OR(F934="",F934="Selecciona.."),"",SUMIF(Precio_Productos!K:K,E934,Precio_Productos!J:J)*G934)</f>
        <v/>
      </c>
      <c r="I934" s="4" t="str">
        <f t="array" ref="I934">IF($E934="","", XLOOKUP(SUMIFS(Prod_Prop!$A:$A,Prod_Prop!$B:$B,$E934,Prod_Prop!$H:$H,I$1,Prod_Prop!$I:$I,"Exacto"),Prod_Prop!$A:$A,Prod_Prop!$J:$J,"",0,1))</f>
        <v/>
      </c>
      <c r="J934" s="4" t="str">
        <f t="array" ref="J934">IF($E934="","", XLOOKUP(SUMIFS(Prod_Prop!$A:$A,Prod_Prop!$B:$B,$E934,Prod_Prop!$H:$H,J$1,Prod_Prop!$I:$I,"Exacto"),Prod_Prop!$A:$A,Prod_Prop!$J:$J,"",0,1))</f>
        <v/>
      </c>
      <c r="K934" s="4" t="str">
        <f t="array" ref="K934">IF($E934="","", XLOOKUP(SUMIFS(Prod_Prop!$A:$A,Prod_Prop!$B:$B,$E934,Prod_Prop!$H:$H,K$1,Prod_Prop!$I:$I,"Exacto"),Prod_Prop!$A:$A,Prod_Prop!$J:$J,"",0,1))</f>
        <v/>
      </c>
      <c r="L934" s="4" t="str">
        <f t="array" ref="L934">IF($E934="","", XLOOKUP(SUMIFS(Prod_Prop!$A:$A,Prod_Prop!$B:$B,$E934,Prod_Prop!$H:$H,L$1,Prod_Prop!$I:$I,"Exacto"),Prod_Prop!$A:$A,Prod_Prop!$J:$J,"",0,1))</f>
        <v/>
      </c>
      <c r="M934" s="4" t="str">
        <f t="array" ref="M934">IF($E934="","", XLOOKUP(SUMIFS(Prod_Prop!$A:$A,Prod_Prop!$B:$B,$E934,Prod_Prop!$H:$H,M$1,Prod_Prop!$I:$I,"Exacto"),Prod_Prop!$A:$A,Prod_Prop!$J:$J,"",0,1))</f>
        <v/>
      </c>
      <c r="N934" s="4" t="str">
        <f t="array" ref="N934">IF($E934="","", XLOOKUP(SUMIFS(Prod_Prop!$A:$A,Prod_Prop!$B:$B,$E934,Prod_Prop!$H:$H,N$1,Prod_Prop!$I:$I,"Exacto"),Prod_Prop!$A:$A,Prod_Prop!$J:$J,"",0,1))</f>
        <v/>
      </c>
      <c r="O934" s="4" t="str">
        <f t="array" ref="O934">IF($E934="","", XLOOKUP(SUMIFS(Prod_Prop!$A:$A,Prod_Prop!$B:$B,$E934,Prod_Prop!$H:$H,O$1,Prod_Prop!$I:$I,"Exacto"),Prod_Prop!$A:$A,Prod_Prop!$J:$J,"",0,1))</f>
        <v/>
      </c>
      <c r="P934" s="4" t="str">
        <f t="array" ref="P934">IF($E934="","", XLOOKUP(SUMIFS(Prod_Prop!$A:$A,Prod_Prop!$B:$B,$E934,Prod_Prop!$H:$H,P$1,Prod_Prop!$I:$I,"Exacto"),Prod_Prop!$A:$A,Prod_Prop!$J:$J,"",0,1))</f>
        <v/>
      </c>
      <c r="Q934" s="4" t="str">
        <f t="array" ref="Q934">IF($E934="","", XLOOKUP(SUMIFS(Prod_Prop!$A:$A,Prod_Prop!$B:$B,$E934,Prod_Prop!$H:$H,Q$1,Prod_Prop!$I:$I,"Exacto"),Prod_Prop!$A:$A,Prod_Prop!$J:$J,"",0,1))</f>
        <v/>
      </c>
      <c r="R934" s="4" t="str">
        <f t="array" ref="R934">IF($E934="","", XLOOKUP(SUMIFS(Prod_Prop!$A:$A,Prod_Prop!$B:$B,$E934,Prod_Prop!$H:$H,R$1,Prod_Prop!$I:$I,"Exacto"),Prod_Prop!$A:$A,Prod_Prop!$J:$J,"",0,1))</f>
        <v/>
      </c>
      <c r="S934" s="4" t="str">
        <f t="array" ref="S934">IF($E934="","", XLOOKUP(SUMIFS(Prod_Prop!$A:$A,Prod_Prop!$B:$B,$E934,Prod_Prop!$H:$H,S$1,Prod_Prop!$I:$I,"Exacto"),Prod_Prop!$A:$A,Prod_Prop!$J:$J,"",0,1))</f>
        <v/>
      </c>
      <c r="T934" s="4" t="str">
        <f t="array" ref="T934">IF($E934="","", XLOOKUP(SUMIFS(Prod_Prop!$A:$A,Prod_Prop!$B:$B,$E934,Prod_Prop!$H:$H,T$1,Prod_Prop!$I:$I,"Exacto"),Prod_Prop!$A:$A,Prod_Prop!$J:$J,"",0,1))</f>
        <v/>
      </c>
      <c r="U934" s="4" t="str">
        <f t="array" ref="U934">IF($E934="","", XLOOKUP(SUMIFS(Prod_Prop!$A:$A,Prod_Prop!$B:$B,$E934,Prod_Prop!$H:$H,U$1,Prod_Prop!$I:$I,"Exacto"),Prod_Prop!$A:$A,Prod_Prop!$J:$J,"",0,1))</f>
        <v/>
      </c>
      <c r="V934" s="4" t="str">
        <f t="array" ref="V934">IF($E934="","", XLOOKUP(SUMIFS(Prod_Prop!$A:$A,Prod_Prop!$B:$B,$E934,Prod_Prop!$H:$H,V$1,Prod_Prop!$I:$I,"Exacto"),Prod_Prop!$A:$A,Prod_Prop!$J:$J,"",0,1))</f>
        <v/>
      </c>
      <c r="X934" s="3" t="str">
        <f>IFERROR(__xludf.DUMMYFUNCTION("IF(D934="""","""",IFERROR(TRANSPOSE(FILTER('Validaciones Cotizador'!U:U,'Validaciones Cotizador'!O:O=D934,'Validaciones Cotizador'!T:T=""x"")),""Finalizar""))"),"")</f>
        <v/>
      </c>
    </row>
    <row r="935">
      <c r="A935" s="2" t="str">
        <f t="array" ref="A935">IF(E935="","",XLOOKUP(D935,'Validaciones Cotizador'!C:C,'Validaciones Cotizador'!A:A,"",0,1))</f>
        <v/>
      </c>
      <c r="B935" s="2" t="str">
        <f t="array" ref="B935">IF(F935="","",XLOOKUP(F935,Productos!E:E,Productos!G:G,"",0,1))</f>
        <v/>
      </c>
      <c r="C935" s="2" t="str">
        <f>IF(A935="","",SUMIFS('Validaciones Cotizador'!B:B,'Validaciones Cotizador'!C:C,D935,'Validaciones Cotizador'!A:A,A935))</f>
        <v/>
      </c>
      <c r="D935" s="4" t="str">
        <f>IFERROR(__xludf.DUMMYFUNCTION("IF(OR(F934=""Finalizar"",F934="""",F934=""Selecciona..""),"""",IF(OR(F934=""-"",INDEX(filter(Familias!F:F,Familias!D:D=A934,Familias!E:E=C934),1)=""O""),D934+1,D934))"),"")</f>
        <v/>
      </c>
      <c r="E935" s="2" t="str">
        <f>IF(OR(F935="",F935="Selecciona.."),"",IF(D935="Implemento",SUMIF(Implementos!B:B,F935,Implementos!A:A),SUMIF(Productos!E:E,F935,Productos!A:A)))</f>
        <v/>
      </c>
      <c r="F935" s="2" t="str">
        <f t="shared" si="2"/>
        <v/>
      </c>
      <c r="G935" s="10" t="str">
        <f t="array" ref="G935">IF(OR(F935="",F935="-",F935="Selecciona..",F935="Finalizar"),"",IF(A935="Rodados",XLOOKUP(B935,'Validaciones Cotizador'!I:I,'Validaciones Cotizador'!J:J,0,0,1),1))</f>
        <v/>
      </c>
      <c r="H935" s="11" t="str">
        <f>IF(OR(F935="",F935="Selecciona.."),"",SUMIF(Precio_Productos!K:K,E935,Precio_Productos!J:J)*G935)</f>
        <v/>
      </c>
      <c r="I935" s="4" t="str">
        <f t="array" ref="I935">IF($E935="","", XLOOKUP(SUMIFS(Prod_Prop!$A:$A,Prod_Prop!$B:$B,$E935,Prod_Prop!$H:$H,I$1,Prod_Prop!$I:$I,"Exacto"),Prod_Prop!$A:$A,Prod_Prop!$J:$J,"",0,1))</f>
        <v/>
      </c>
      <c r="J935" s="4" t="str">
        <f t="array" ref="J935">IF($E935="","", XLOOKUP(SUMIFS(Prod_Prop!$A:$A,Prod_Prop!$B:$B,$E935,Prod_Prop!$H:$H,J$1,Prod_Prop!$I:$I,"Exacto"),Prod_Prop!$A:$A,Prod_Prop!$J:$J,"",0,1))</f>
        <v/>
      </c>
      <c r="K935" s="4" t="str">
        <f t="array" ref="K935">IF($E935="","", XLOOKUP(SUMIFS(Prod_Prop!$A:$A,Prod_Prop!$B:$B,$E935,Prod_Prop!$H:$H,K$1,Prod_Prop!$I:$I,"Exacto"),Prod_Prop!$A:$A,Prod_Prop!$J:$J,"",0,1))</f>
        <v/>
      </c>
      <c r="L935" s="4" t="str">
        <f t="array" ref="L935">IF($E935="","", XLOOKUP(SUMIFS(Prod_Prop!$A:$A,Prod_Prop!$B:$B,$E935,Prod_Prop!$H:$H,L$1,Prod_Prop!$I:$I,"Exacto"),Prod_Prop!$A:$A,Prod_Prop!$J:$J,"",0,1))</f>
        <v/>
      </c>
      <c r="M935" s="4" t="str">
        <f t="array" ref="M935">IF($E935="","", XLOOKUP(SUMIFS(Prod_Prop!$A:$A,Prod_Prop!$B:$B,$E935,Prod_Prop!$H:$H,M$1,Prod_Prop!$I:$I,"Exacto"),Prod_Prop!$A:$A,Prod_Prop!$J:$J,"",0,1))</f>
        <v/>
      </c>
      <c r="N935" s="4" t="str">
        <f t="array" ref="N935">IF($E935="","", XLOOKUP(SUMIFS(Prod_Prop!$A:$A,Prod_Prop!$B:$B,$E935,Prod_Prop!$H:$H,N$1,Prod_Prop!$I:$I,"Exacto"),Prod_Prop!$A:$A,Prod_Prop!$J:$J,"",0,1))</f>
        <v/>
      </c>
      <c r="O935" s="4" t="str">
        <f t="array" ref="O935">IF($E935="","", XLOOKUP(SUMIFS(Prod_Prop!$A:$A,Prod_Prop!$B:$B,$E935,Prod_Prop!$H:$H,O$1,Prod_Prop!$I:$I,"Exacto"),Prod_Prop!$A:$A,Prod_Prop!$J:$J,"",0,1))</f>
        <v/>
      </c>
      <c r="P935" s="4" t="str">
        <f t="array" ref="P935">IF($E935="","", XLOOKUP(SUMIFS(Prod_Prop!$A:$A,Prod_Prop!$B:$B,$E935,Prod_Prop!$H:$H,P$1,Prod_Prop!$I:$I,"Exacto"),Prod_Prop!$A:$A,Prod_Prop!$J:$J,"",0,1))</f>
        <v/>
      </c>
      <c r="Q935" s="4" t="str">
        <f t="array" ref="Q935">IF($E935="","", XLOOKUP(SUMIFS(Prod_Prop!$A:$A,Prod_Prop!$B:$B,$E935,Prod_Prop!$H:$H,Q$1,Prod_Prop!$I:$I,"Exacto"),Prod_Prop!$A:$A,Prod_Prop!$J:$J,"",0,1))</f>
        <v/>
      </c>
      <c r="R935" s="4" t="str">
        <f t="array" ref="R935">IF($E935="","", XLOOKUP(SUMIFS(Prod_Prop!$A:$A,Prod_Prop!$B:$B,$E935,Prod_Prop!$H:$H,R$1,Prod_Prop!$I:$I,"Exacto"),Prod_Prop!$A:$A,Prod_Prop!$J:$J,"",0,1))</f>
        <v/>
      </c>
      <c r="S935" s="4" t="str">
        <f t="array" ref="S935">IF($E935="","", XLOOKUP(SUMIFS(Prod_Prop!$A:$A,Prod_Prop!$B:$B,$E935,Prod_Prop!$H:$H,S$1,Prod_Prop!$I:$I,"Exacto"),Prod_Prop!$A:$A,Prod_Prop!$J:$J,"",0,1))</f>
        <v/>
      </c>
      <c r="T935" s="4" t="str">
        <f t="array" ref="T935">IF($E935="","", XLOOKUP(SUMIFS(Prod_Prop!$A:$A,Prod_Prop!$B:$B,$E935,Prod_Prop!$H:$H,T$1,Prod_Prop!$I:$I,"Exacto"),Prod_Prop!$A:$A,Prod_Prop!$J:$J,"",0,1))</f>
        <v/>
      </c>
      <c r="U935" s="4" t="str">
        <f t="array" ref="U935">IF($E935="","", XLOOKUP(SUMIFS(Prod_Prop!$A:$A,Prod_Prop!$B:$B,$E935,Prod_Prop!$H:$H,U$1,Prod_Prop!$I:$I,"Exacto"),Prod_Prop!$A:$A,Prod_Prop!$J:$J,"",0,1))</f>
        <v/>
      </c>
      <c r="V935" s="4" t="str">
        <f t="array" ref="V935">IF($E935="","", XLOOKUP(SUMIFS(Prod_Prop!$A:$A,Prod_Prop!$B:$B,$E935,Prod_Prop!$H:$H,V$1,Prod_Prop!$I:$I,"Exacto"),Prod_Prop!$A:$A,Prod_Prop!$J:$J,"",0,1))</f>
        <v/>
      </c>
      <c r="X935" s="3" t="str">
        <f>IFERROR(__xludf.DUMMYFUNCTION("IF(D935="""","""",IFERROR(TRANSPOSE(FILTER('Validaciones Cotizador'!U:U,'Validaciones Cotizador'!O:O=D935,'Validaciones Cotizador'!T:T=""x"")),""Finalizar""))"),"")</f>
        <v/>
      </c>
    </row>
    <row r="936">
      <c r="A936" s="2" t="str">
        <f t="array" ref="A936">IF(E936="","",XLOOKUP(D936,'Validaciones Cotizador'!C:C,'Validaciones Cotizador'!A:A,"",0,1))</f>
        <v/>
      </c>
      <c r="B936" s="2" t="str">
        <f t="array" ref="B936">IF(F936="","",XLOOKUP(F936,Productos!E:E,Productos!G:G,"",0,1))</f>
        <v/>
      </c>
      <c r="C936" s="2" t="str">
        <f>IF(A936="","",SUMIFS('Validaciones Cotizador'!B:B,'Validaciones Cotizador'!C:C,D936,'Validaciones Cotizador'!A:A,A936))</f>
        <v/>
      </c>
      <c r="D936" s="4" t="str">
        <f>IFERROR(__xludf.DUMMYFUNCTION("IF(OR(F935=""Finalizar"",F935="""",F935=""Selecciona..""),"""",IF(OR(F935=""-"",INDEX(filter(Familias!F:F,Familias!D:D=A935,Familias!E:E=C935),1)=""O""),D935+1,D935))"),"")</f>
        <v/>
      </c>
      <c r="E936" s="2" t="str">
        <f>IF(OR(F936="",F936="Selecciona.."),"",IF(D936="Implemento",SUMIF(Implementos!B:B,F936,Implementos!A:A),SUMIF(Productos!E:E,F936,Productos!A:A)))</f>
        <v/>
      </c>
      <c r="F936" s="2" t="str">
        <f t="shared" si="2"/>
        <v/>
      </c>
      <c r="G936" s="10" t="str">
        <f t="array" ref="G936">IF(OR(F936="",F936="-",F936="Selecciona..",F936="Finalizar"),"",IF(A936="Rodados",XLOOKUP(B936,'Validaciones Cotizador'!I:I,'Validaciones Cotizador'!J:J,0,0,1),1))</f>
        <v/>
      </c>
      <c r="H936" s="11" t="str">
        <f>IF(OR(F936="",F936="Selecciona.."),"",SUMIF(Precio_Productos!K:K,E936,Precio_Productos!J:J)*G936)</f>
        <v/>
      </c>
      <c r="I936" s="4" t="str">
        <f t="array" ref="I936">IF($E936="","", XLOOKUP(SUMIFS(Prod_Prop!$A:$A,Prod_Prop!$B:$B,$E936,Prod_Prop!$H:$H,I$1,Prod_Prop!$I:$I,"Exacto"),Prod_Prop!$A:$A,Prod_Prop!$J:$J,"",0,1))</f>
        <v/>
      </c>
      <c r="J936" s="4" t="str">
        <f t="array" ref="J936">IF($E936="","", XLOOKUP(SUMIFS(Prod_Prop!$A:$A,Prod_Prop!$B:$B,$E936,Prod_Prop!$H:$H,J$1,Prod_Prop!$I:$I,"Exacto"),Prod_Prop!$A:$A,Prod_Prop!$J:$J,"",0,1))</f>
        <v/>
      </c>
      <c r="K936" s="4" t="str">
        <f t="array" ref="K936">IF($E936="","", XLOOKUP(SUMIFS(Prod_Prop!$A:$A,Prod_Prop!$B:$B,$E936,Prod_Prop!$H:$H,K$1,Prod_Prop!$I:$I,"Exacto"),Prod_Prop!$A:$A,Prod_Prop!$J:$J,"",0,1))</f>
        <v/>
      </c>
      <c r="L936" s="4" t="str">
        <f t="array" ref="L936">IF($E936="","", XLOOKUP(SUMIFS(Prod_Prop!$A:$A,Prod_Prop!$B:$B,$E936,Prod_Prop!$H:$H,L$1,Prod_Prop!$I:$I,"Exacto"),Prod_Prop!$A:$A,Prod_Prop!$J:$J,"",0,1))</f>
        <v/>
      </c>
      <c r="M936" s="4" t="str">
        <f t="array" ref="M936">IF($E936="","", XLOOKUP(SUMIFS(Prod_Prop!$A:$A,Prod_Prop!$B:$B,$E936,Prod_Prop!$H:$H,M$1,Prod_Prop!$I:$I,"Exacto"),Prod_Prop!$A:$A,Prod_Prop!$J:$J,"",0,1))</f>
        <v/>
      </c>
      <c r="N936" s="4" t="str">
        <f t="array" ref="N936">IF($E936="","", XLOOKUP(SUMIFS(Prod_Prop!$A:$A,Prod_Prop!$B:$B,$E936,Prod_Prop!$H:$H,N$1,Prod_Prop!$I:$I,"Exacto"),Prod_Prop!$A:$A,Prod_Prop!$J:$J,"",0,1))</f>
        <v/>
      </c>
      <c r="O936" s="4" t="str">
        <f t="array" ref="O936">IF($E936="","", XLOOKUP(SUMIFS(Prod_Prop!$A:$A,Prod_Prop!$B:$B,$E936,Prod_Prop!$H:$H,O$1,Prod_Prop!$I:$I,"Exacto"),Prod_Prop!$A:$A,Prod_Prop!$J:$J,"",0,1))</f>
        <v/>
      </c>
      <c r="P936" s="4" t="str">
        <f t="array" ref="P936">IF($E936="","", XLOOKUP(SUMIFS(Prod_Prop!$A:$A,Prod_Prop!$B:$B,$E936,Prod_Prop!$H:$H,P$1,Prod_Prop!$I:$I,"Exacto"),Prod_Prop!$A:$A,Prod_Prop!$J:$J,"",0,1))</f>
        <v/>
      </c>
      <c r="Q936" s="4" t="str">
        <f t="array" ref="Q936">IF($E936="","", XLOOKUP(SUMIFS(Prod_Prop!$A:$A,Prod_Prop!$B:$B,$E936,Prod_Prop!$H:$H,Q$1,Prod_Prop!$I:$I,"Exacto"),Prod_Prop!$A:$A,Prod_Prop!$J:$J,"",0,1))</f>
        <v/>
      </c>
      <c r="R936" s="4" t="str">
        <f t="array" ref="R936">IF($E936="","", XLOOKUP(SUMIFS(Prod_Prop!$A:$A,Prod_Prop!$B:$B,$E936,Prod_Prop!$H:$H,R$1,Prod_Prop!$I:$I,"Exacto"),Prod_Prop!$A:$A,Prod_Prop!$J:$J,"",0,1))</f>
        <v/>
      </c>
      <c r="S936" s="4" t="str">
        <f t="array" ref="S936">IF($E936="","", XLOOKUP(SUMIFS(Prod_Prop!$A:$A,Prod_Prop!$B:$B,$E936,Prod_Prop!$H:$H,S$1,Prod_Prop!$I:$I,"Exacto"),Prod_Prop!$A:$A,Prod_Prop!$J:$J,"",0,1))</f>
        <v/>
      </c>
      <c r="T936" s="4" t="str">
        <f t="array" ref="T936">IF($E936="","", XLOOKUP(SUMIFS(Prod_Prop!$A:$A,Prod_Prop!$B:$B,$E936,Prod_Prop!$H:$H,T$1,Prod_Prop!$I:$I,"Exacto"),Prod_Prop!$A:$A,Prod_Prop!$J:$J,"",0,1))</f>
        <v/>
      </c>
      <c r="U936" s="4" t="str">
        <f t="array" ref="U936">IF($E936="","", XLOOKUP(SUMIFS(Prod_Prop!$A:$A,Prod_Prop!$B:$B,$E936,Prod_Prop!$H:$H,U$1,Prod_Prop!$I:$I,"Exacto"),Prod_Prop!$A:$A,Prod_Prop!$J:$J,"",0,1))</f>
        <v/>
      </c>
      <c r="V936" s="4" t="str">
        <f t="array" ref="V936">IF($E936="","", XLOOKUP(SUMIFS(Prod_Prop!$A:$A,Prod_Prop!$B:$B,$E936,Prod_Prop!$H:$H,V$1,Prod_Prop!$I:$I,"Exacto"),Prod_Prop!$A:$A,Prod_Prop!$J:$J,"",0,1))</f>
        <v/>
      </c>
      <c r="X936" s="3" t="str">
        <f>IFERROR(__xludf.DUMMYFUNCTION("IF(D936="""","""",IFERROR(TRANSPOSE(FILTER('Validaciones Cotizador'!U:U,'Validaciones Cotizador'!O:O=D936,'Validaciones Cotizador'!T:T=""x"")),""Finalizar""))"),"")</f>
        <v/>
      </c>
    </row>
    <row r="937">
      <c r="A937" s="2" t="str">
        <f t="array" ref="A937">IF(E937="","",XLOOKUP(D937,'Validaciones Cotizador'!C:C,'Validaciones Cotizador'!A:A,"",0,1))</f>
        <v/>
      </c>
      <c r="B937" s="2" t="str">
        <f t="array" ref="B937">IF(F937="","",XLOOKUP(F937,Productos!E:E,Productos!G:G,"",0,1))</f>
        <v/>
      </c>
      <c r="C937" s="2" t="str">
        <f>IF(A937="","",SUMIFS('Validaciones Cotizador'!B:B,'Validaciones Cotizador'!C:C,D937,'Validaciones Cotizador'!A:A,A937))</f>
        <v/>
      </c>
      <c r="D937" s="4" t="str">
        <f>IFERROR(__xludf.DUMMYFUNCTION("IF(OR(F936=""Finalizar"",F936="""",F936=""Selecciona..""),"""",IF(OR(F936=""-"",INDEX(filter(Familias!F:F,Familias!D:D=A936,Familias!E:E=C936),1)=""O""),D936+1,D936))"),"")</f>
        <v/>
      </c>
      <c r="E937" s="2" t="str">
        <f>IF(OR(F937="",F937="Selecciona.."),"",IF(D937="Implemento",SUMIF(Implementos!B:B,F937,Implementos!A:A),SUMIF(Productos!E:E,F937,Productos!A:A)))</f>
        <v/>
      </c>
      <c r="F937" s="2" t="str">
        <f t="shared" si="2"/>
        <v/>
      </c>
      <c r="G937" s="10" t="str">
        <f t="array" ref="G937">IF(OR(F937="",F937="-",F937="Selecciona..",F937="Finalizar"),"",IF(A937="Rodados",XLOOKUP(B937,'Validaciones Cotizador'!I:I,'Validaciones Cotizador'!J:J,0,0,1),1))</f>
        <v/>
      </c>
      <c r="H937" s="11" t="str">
        <f>IF(OR(F937="",F937="Selecciona.."),"",SUMIF(Precio_Productos!K:K,E937,Precio_Productos!J:J)*G937)</f>
        <v/>
      </c>
      <c r="I937" s="4" t="str">
        <f t="array" ref="I937">IF($E937="","", XLOOKUP(SUMIFS(Prod_Prop!$A:$A,Prod_Prop!$B:$B,$E937,Prod_Prop!$H:$H,I$1,Prod_Prop!$I:$I,"Exacto"),Prod_Prop!$A:$A,Prod_Prop!$J:$J,"",0,1))</f>
        <v/>
      </c>
      <c r="J937" s="4" t="str">
        <f t="array" ref="J937">IF($E937="","", XLOOKUP(SUMIFS(Prod_Prop!$A:$A,Prod_Prop!$B:$B,$E937,Prod_Prop!$H:$H,J$1,Prod_Prop!$I:$I,"Exacto"),Prod_Prop!$A:$A,Prod_Prop!$J:$J,"",0,1))</f>
        <v/>
      </c>
      <c r="K937" s="4" t="str">
        <f t="array" ref="K937">IF($E937="","", XLOOKUP(SUMIFS(Prod_Prop!$A:$A,Prod_Prop!$B:$B,$E937,Prod_Prop!$H:$H,K$1,Prod_Prop!$I:$I,"Exacto"),Prod_Prop!$A:$A,Prod_Prop!$J:$J,"",0,1))</f>
        <v/>
      </c>
      <c r="L937" s="4" t="str">
        <f t="array" ref="L937">IF($E937="","", XLOOKUP(SUMIFS(Prod_Prop!$A:$A,Prod_Prop!$B:$B,$E937,Prod_Prop!$H:$H,L$1,Prod_Prop!$I:$I,"Exacto"),Prod_Prop!$A:$A,Prod_Prop!$J:$J,"",0,1))</f>
        <v/>
      </c>
      <c r="M937" s="4" t="str">
        <f t="array" ref="M937">IF($E937="","", XLOOKUP(SUMIFS(Prod_Prop!$A:$A,Prod_Prop!$B:$B,$E937,Prod_Prop!$H:$H,M$1,Prod_Prop!$I:$I,"Exacto"),Prod_Prop!$A:$A,Prod_Prop!$J:$J,"",0,1))</f>
        <v/>
      </c>
      <c r="N937" s="4" t="str">
        <f t="array" ref="N937">IF($E937="","", XLOOKUP(SUMIFS(Prod_Prop!$A:$A,Prod_Prop!$B:$B,$E937,Prod_Prop!$H:$H,N$1,Prod_Prop!$I:$I,"Exacto"),Prod_Prop!$A:$A,Prod_Prop!$J:$J,"",0,1))</f>
        <v/>
      </c>
      <c r="O937" s="4" t="str">
        <f t="array" ref="O937">IF($E937="","", XLOOKUP(SUMIFS(Prod_Prop!$A:$A,Prod_Prop!$B:$B,$E937,Prod_Prop!$H:$H,O$1,Prod_Prop!$I:$I,"Exacto"),Prod_Prop!$A:$A,Prod_Prop!$J:$J,"",0,1))</f>
        <v/>
      </c>
      <c r="P937" s="4" t="str">
        <f t="array" ref="P937">IF($E937="","", XLOOKUP(SUMIFS(Prod_Prop!$A:$A,Prod_Prop!$B:$B,$E937,Prod_Prop!$H:$H,P$1,Prod_Prop!$I:$I,"Exacto"),Prod_Prop!$A:$A,Prod_Prop!$J:$J,"",0,1))</f>
        <v/>
      </c>
      <c r="Q937" s="4" t="str">
        <f t="array" ref="Q937">IF($E937="","", XLOOKUP(SUMIFS(Prod_Prop!$A:$A,Prod_Prop!$B:$B,$E937,Prod_Prop!$H:$H,Q$1,Prod_Prop!$I:$I,"Exacto"),Prod_Prop!$A:$A,Prod_Prop!$J:$J,"",0,1))</f>
        <v/>
      </c>
      <c r="R937" s="4" t="str">
        <f t="array" ref="R937">IF($E937="","", XLOOKUP(SUMIFS(Prod_Prop!$A:$A,Prod_Prop!$B:$B,$E937,Prod_Prop!$H:$H,R$1,Prod_Prop!$I:$I,"Exacto"),Prod_Prop!$A:$A,Prod_Prop!$J:$J,"",0,1))</f>
        <v/>
      </c>
      <c r="S937" s="4" t="str">
        <f t="array" ref="S937">IF($E937="","", XLOOKUP(SUMIFS(Prod_Prop!$A:$A,Prod_Prop!$B:$B,$E937,Prod_Prop!$H:$H,S$1,Prod_Prop!$I:$I,"Exacto"),Prod_Prop!$A:$A,Prod_Prop!$J:$J,"",0,1))</f>
        <v/>
      </c>
      <c r="T937" s="4" t="str">
        <f t="array" ref="T937">IF($E937="","", XLOOKUP(SUMIFS(Prod_Prop!$A:$A,Prod_Prop!$B:$B,$E937,Prod_Prop!$H:$H,T$1,Prod_Prop!$I:$I,"Exacto"),Prod_Prop!$A:$A,Prod_Prop!$J:$J,"",0,1))</f>
        <v/>
      </c>
      <c r="U937" s="4" t="str">
        <f t="array" ref="U937">IF($E937="","", XLOOKUP(SUMIFS(Prod_Prop!$A:$A,Prod_Prop!$B:$B,$E937,Prod_Prop!$H:$H,U$1,Prod_Prop!$I:$I,"Exacto"),Prod_Prop!$A:$A,Prod_Prop!$J:$J,"",0,1))</f>
        <v/>
      </c>
      <c r="V937" s="4" t="str">
        <f t="array" ref="V937">IF($E937="","", XLOOKUP(SUMIFS(Prod_Prop!$A:$A,Prod_Prop!$B:$B,$E937,Prod_Prop!$H:$H,V$1,Prod_Prop!$I:$I,"Exacto"),Prod_Prop!$A:$A,Prod_Prop!$J:$J,"",0,1))</f>
        <v/>
      </c>
      <c r="X937" s="3" t="str">
        <f>IFERROR(__xludf.DUMMYFUNCTION("IF(D937="""","""",IFERROR(TRANSPOSE(FILTER('Validaciones Cotizador'!U:U,'Validaciones Cotizador'!O:O=D937,'Validaciones Cotizador'!T:T=""x"")),""Finalizar""))"),"")</f>
        <v/>
      </c>
    </row>
    <row r="938">
      <c r="A938" s="2" t="str">
        <f t="array" ref="A938">IF(E938="","",XLOOKUP(D938,'Validaciones Cotizador'!C:C,'Validaciones Cotizador'!A:A,"",0,1))</f>
        <v/>
      </c>
      <c r="B938" s="2" t="str">
        <f t="array" ref="B938">IF(F938="","",XLOOKUP(F938,Productos!E:E,Productos!G:G,"",0,1))</f>
        <v/>
      </c>
      <c r="C938" s="2" t="str">
        <f>IF(A938="","",SUMIFS('Validaciones Cotizador'!B:B,'Validaciones Cotizador'!C:C,D938,'Validaciones Cotizador'!A:A,A938))</f>
        <v/>
      </c>
      <c r="D938" s="4" t="str">
        <f>IFERROR(__xludf.DUMMYFUNCTION("IF(OR(F937=""Finalizar"",F937="""",F937=""Selecciona..""),"""",IF(OR(F937=""-"",INDEX(filter(Familias!F:F,Familias!D:D=A937,Familias!E:E=C937),1)=""O""),D937+1,D937))"),"")</f>
        <v/>
      </c>
      <c r="E938" s="2" t="str">
        <f>IF(OR(F938="",F938="Selecciona.."),"",IF(D938="Implemento",SUMIF(Implementos!B:B,F938,Implementos!A:A),SUMIF(Productos!E:E,F938,Productos!A:A)))</f>
        <v/>
      </c>
      <c r="F938" s="2" t="str">
        <f t="shared" si="2"/>
        <v/>
      </c>
      <c r="G938" s="10" t="str">
        <f t="array" ref="G938">IF(OR(F938="",F938="-",F938="Selecciona..",F938="Finalizar"),"",IF(A938="Rodados",XLOOKUP(B938,'Validaciones Cotizador'!I:I,'Validaciones Cotizador'!J:J,0,0,1),1))</f>
        <v/>
      </c>
      <c r="H938" s="11" t="str">
        <f>IF(OR(F938="",F938="Selecciona.."),"",SUMIF(Precio_Productos!K:K,E938,Precio_Productos!J:J)*G938)</f>
        <v/>
      </c>
      <c r="I938" s="4" t="str">
        <f t="array" ref="I938">IF($E938="","", XLOOKUP(SUMIFS(Prod_Prop!$A:$A,Prod_Prop!$B:$B,$E938,Prod_Prop!$H:$H,I$1,Prod_Prop!$I:$I,"Exacto"),Prod_Prop!$A:$A,Prod_Prop!$J:$J,"",0,1))</f>
        <v/>
      </c>
      <c r="J938" s="4" t="str">
        <f t="array" ref="J938">IF($E938="","", XLOOKUP(SUMIFS(Prod_Prop!$A:$A,Prod_Prop!$B:$B,$E938,Prod_Prop!$H:$H,J$1,Prod_Prop!$I:$I,"Exacto"),Prod_Prop!$A:$A,Prod_Prop!$J:$J,"",0,1))</f>
        <v/>
      </c>
      <c r="K938" s="4" t="str">
        <f t="array" ref="K938">IF($E938="","", XLOOKUP(SUMIFS(Prod_Prop!$A:$A,Prod_Prop!$B:$B,$E938,Prod_Prop!$H:$H,K$1,Prod_Prop!$I:$I,"Exacto"),Prod_Prop!$A:$A,Prod_Prop!$J:$J,"",0,1))</f>
        <v/>
      </c>
      <c r="L938" s="4" t="str">
        <f t="array" ref="L938">IF($E938="","", XLOOKUP(SUMIFS(Prod_Prop!$A:$A,Prod_Prop!$B:$B,$E938,Prod_Prop!$H:$H,L$1,Prod_Prop!$I:$I,"Exacto"),Prod_Prop!$A:$A,Prod_Prop!$J:$J,"",0,1))</f>
        <v/>
      </c>
      <c r="M938" s="4" t="str">
        <f t="array" ref="M938">IF($E938="","", XLOOKUP(SUMIFS(Prod_Prop!$A:$A,Prod_Prop!$B:$B,$E938,Prod_Prop!$H:$H,M$1,Prod_Prop!$I:$I,"Exacto"),Prod_Prop!$A:$A,Prod_Prop!$J:$J,"",0,1))</f>
        <v/>
      </c>
      <c r="N938" s="4" t="str">
        <f t="array" ref="N938">IF($E938="","", XLOOKUP(SUMIFS(Prod_Prop!$A:$A,Prod_Prop!$B:$B,$E938,Prod_Prop!$H:$H,N$1,Prod_Prop!$I:$I,"Exacto"),Prod_Prop!$A:$A,Prod_Prop!$J:$J,"",0,1))</f>
        <v/>
      </c>
      <c r="O938" s="4" t="str">
        <f t="array" ref="O938">IF($E938="","", XLOOKUP(SUMIFS(Prod_Prop!$A:$A,Prod_Prop!$B:$B,$E938,Prod_Prop!$H:$H,O$1,Prod_Prop!$I:$I,"Exacto"),Prod_Prop!$A:$A,Prod_Prop!$J:$J,"",0,1))</f>
        <v/>
      </c>
      <c r="P938" s="4" t="str">
        <f t="array" ref="P938">IF($E938="","", XLOOKUP(SUMIFS(Prod_Prop!$A:$A,Prod_Prop!$B:$B,$E938,Prod_Prop!$H:$H,P$1,Prod_Prop!$I:$I,"Exacto"),Prod_Prop!$A:$A,Prod_Prop!$J:$J,"",0,1))</f>
        <v/>
      </c>
      <c r="Q938" s="4" t="str">
        <f t="array" ref="Q938">IF($E938="","", XLOOKUP(SUMIFS(Prod_Prop!$A:$A,Prod_Prop!$B:$B,$E938,Prod_Prop!$H:$H,Q$1,Prod_Prop!$I:$I,"Exacto"),Prod_Prop!$A:$A,Prod_Prop!$J:$J,"",0,1))</f>
        <v/>
      </c>
      <c r="R938" s="4" t="str">
        <f t="array" ref="R938">IF($E938="","", XLOOKUP(SUMIFS(Prod_Prop!$A:$A,Prod_Prop!$B:$B,$E938,Prod_Prop!$H:$H,R$1,Prod_Prop!$I:$I,"Exacto"),Prod_Prop!$A:$A,Prod_Prop!$J:$J,"",0,1))</f>
        <v/>
      </c>
      <c r="S938" s="4" t="str">
        <f t="array" ref="S938">IF($E938="","", XLOOKUP(SUMIFS(Prod_Prop!$A:$A,Prod_Prop!$B:$B,$E938,Prod_Prop!$H:$H,S$1,Prod_Prop!$I:$I,"Exacto"),Prod_Prop!$A:$A,Prod_Prop!$J:$J,"",0,1))</f>
        <v/>
      </c>
      <c r="T938" s="4" t="str">
        <f t="array" ref="T938">IF($E938="","", XLOOKUP(SUMIFS(Prod_Prop!$A:$A,Prod_Prop!$B:$B,$E938,Prod_Prop!$H:$H,T$1,Prod_Prop!$I:$I,"Exacto"),Prod_Prop!$A:$A,Prod_Prop!$J:$J,"",0,1))</f>
        <v/>
      </c>
      <c r="U938" s="4" t="str">
        <f t="array" ref="U938">IF($E938="","", XLOOKUP(SUMIFS(Prod_Prop!$A:$A,Prod_Prop!$B:$B,$E938,Prod_Prop!$H:$H,U$1,Prod_Prop!$I:$I,"Exacto"),Prod_Prop!$A:$A,Prod_Prop!$J:$J,"",0,1))</f>
        <v/>
      </c>
      <c r="V938" s="4" t="str">
        <f t="array" ref="V938">IF($E938="","", XLOOKUP(SUMIFS(Prod_Prop!$A:$A,Prod_Prop!$B:$B,$E938,Prod_Prop!$H:$H,V$1,Prod_Prop!$I:$I,"Exacto"),Prod_Prop!$A:$A,Prod_Prop!$J:$J,"",0,1))</f>
        <v/>
      </c>
      <c r="X938" s="3" t="str">
        <f>IFERROR(__xludf.DUMMYFUNCTION("IF(D938="""","""",IFERROR(TRANSPOSE(FILTER('Validaciones Cotizador'!U:U,'Validaciones Cotizador'!O:O=D938,'Validaciones Cotizador'!T:T=""x"")),""Finalizar""))"),"")</f>
        <v/>
      </c>
    </row>
    <row r="939">
      <c r="A939" s="2" t="str">
        <f t="array" ref="A939">IF(E939="","",XLOOKUP(D939,'Validaciones Cotizador'!C:C,'Validaciones Cotizador'!A:A,"",0,1))</f>
        <v/>
      </c>
      <c r="B939" s="2" t="str">
        <f t="array" ref="B939">IF(F939="","",XLOOKUP(F939,Productos!E:E,Productos!G:G,"",0,1))</f>
        <v/>
      </c>
      <c r="C939" s="2" t="str">
        <f>IF(A939="","",SUMIFS('Validaciones Cotizador'!B:B,'Validaciones Cotizador'!C:C,D939,'Validaciones Cotizador'!A:A,A939))</f>
        <v/>
      </c>
      <c r="D939" s="4" t="str">
        <f>IFERROR(__xludf.DUMMYFUNCTION("IF(OR(F938=""Finalizar"",F938="""",F938=""Selecciona..""),"""",IF(OR(F938=""-"",INDEX(filter(Familias!F:F,Familias!D:D=A938,Familias!E:E=C938),1)=""O""),D938+1,D938))"),"")</f>
        <v/>
      </c>
      <c r="E939" s="2" t="str">
        <f>IF(OR(F939="",F939="Selecciona.."),"",IF(D939="Implemento",SUMIF(Implementos!B:B,F939,Implementos!A:A),SUMIF(Productos!E:E,F939,Productos!A:A)))</f>
        <v/>
      </c>
      <c r="F939" s="2" t="str">
        <f t="shared" si="2"/>
        <v/>
      </c>
      <c r="G939" s="10" t="str">
        <f t="array" ref="G939">IF(OR(F939="",F939="-",F939="Selecciona..",F939="Finalizar"),"",IF(A939="Rodados",XLOOKUP(B939,'Validaciones Cotizador'!I:I,'Validaciones Cotizador'!J:J,0,0,1),1))</f>
        <v/>
      </c>
      <c r="H939" s="11" t="str">
        <f>IF(OR(F939="",F939="Selecciona.."),"",SUMIF(Precio_Productos!K:K,E939,Precio_Productos!J:J)*G939)</f>
        <v/>
      </c>
      <c r="I939" s="4" t="str">
        <f t="array" ref="I939">IF($E939="","", XLOOKUP(SUMIFS(Prod_Prop!$A:$A,Prod_Prop!$B:$B,$E939,Prod_Prop!$H:$H,I$1,Prod_Prop!$I:$I,"Exacto"),Prod_Prop!$A:$A,Prod_Prop!$J:$J,"",0,1))</f>
        <v/>
      </c>
      <c r="J939" s="4" t="str">
        <f t="array" ref="J939">IF($E939="","", XLOOKUP(SUMIFS(Prod_Prop!$A:$A,Prod_Prop!$B:$B,$E939,Prod_Prop!$H:$H,J$1,Prod_Prop!$I:$I,"Exacto"),Prod_Prop!$A:$A,Prod_Prop!$J:$J,"",0,1))</f>
        <v/>
      </c>
      <c r="K939" s="4" t="str">
        <f t="array" ref="K939">IF($E939="","", XLOOKUP(SUMIFS(Prod_Prop!$A:$A,Prod_Prop!$B:$B,$E939,Prod_Prop!$H:$H,K$1,Prod_Prop!$I:$I,"Exacto"),Prod_Prop!$A:$A,Prod_Prop!$J:$J,"",0,1))</f>
        <v/>
      </c>
      <c r="L939" s="4" t="str">
        <f t="array" ref="L939">IF($E939="","", XLOOKUP(SUMIFS(Prod_Prop!$A:$A,Prod_Prop!$B:$B,$E939,Prod_Prop!$H:$H,L$1,Prod_Prop!$I:$I,"Exacto"),Prod_Prop!$A:$A,Prod_Prop!$J:$J,"",0,1))</f>
        <v/>
      </c>
      <c r="M939" s="4" t="str">
        <f t="array" ref="M939">IF($E939="","", XLOOKUP(SUMIFS(Prod_Prop!$A:$A,Prod_Prop!$B:$B,$E939,Prod_Prop!$H:$H,M$1,Prod_Prop!$I:$I,"Exacto"),Prod_Prop!$A:$A,Prod_Prop!$J:$J,"",0,1))</f>
        <v/>
      </c>
      <c r="N939" s="4" t="str">
        <f t="array" ref="N939">IF($E939="","", XLOOKUP(SUMIFS(Prod_Prop!$A:$A,Prod_Prop!$B:$B,$E939,Prod_Prop!$H:$H,N$1,Prod_Prop!$I:$I,"Exacto"),Prod_Prop!$A:$A,Prod_Prop!$J:$J,"",0,1))</f>
        <v/>
      </c>
      <c r="O939" s="4" t="str">
        <f t="array" ref="O939">IF($E939="","", XLOOKUP(SUMIFS(Prod_Prop!$A:$A,Prod_Prop!$B:$B,$E939,Prod_Prop!$H:$H,O$1,Prod_Prop!$I:$I,"Exacto"),Prod_Prop!$A:$A,Prod_Prop!$J:$J,"",0,1))</f>
        <v/>
      </c>
      <c r="P939" s="4" t="str">
        <f t="array" ref="P939">IF($E939="","", XLOOKUP(SUMIFS(Prod_Prop!$A:$A,Prod_Prop!$B:$B,$E939,Prod_Prop!$H:$H,P$1,Prod_Prop!$I:$I,"Exacto"),Prod_Prop!$A:$A,Prod_Prop!$J:$J,"",0,1))</f>
        <v/>
      </c>
      <c r="Q939" s="4" t="str">
        <f t="array" ref="Q939">IF($E939="","", XLOOKUP(SUMIFS(Prod_Prop!$A:$A,Prod_Prop!$B:$B,$E939,Prod_Prop!$H:$H,Q$1,Prod_Prop!$I:$I,"Exacto"),Prod_Prop!$A:$A,Prod_Prop!$J:$J,"",0,1))</f>
        <v/>
      </c>
      <c r="R939" s="4" t="str">
        <f t="array" ref="R939">IF($E939="","", XLOOKUP(SUMIFS(Prod_Prop!$A:$A,Prod_Prop!$B:$B,$E939,Prod_Prop!$H:$H,R$1,Prod_Prop!$I:$I,"Exacto"),Prod_Prop!$A:$A,Prod_Prop!$J:$J,"",0,1))</f>
        <v/>
      </c>
      <c r="S939" s="4" t="str">
        <f t="array" ref="S939">IF($E939="","", XLOOKUP(SUMIFS(Prod_Prop!$A:$A,Prod_Prop!$B:$B,$E939,Prod_Prop!$H:$H,S$1,Prod_Prop!$I:$I,"Exacto"),Prod_Prop!$A:$A,Prod_Prop!$J:$J,"",0,1))</f>
        <v/>
      </c>
      <c r="T939" s="4" t="str">
        <f t="array" ref="T939">IF($E939="","", XLOOKUP(SUMIFS(Prod_Prop!$A:$A,Prod_Prop!$B:$B,$E939,Prod_Prop!$H:$H,T$1,Prod_Prop!$I:$I,"Exacto"),Prod_Prop!$A:$A,Prod_Prop!$J:$J,"",0,1))</f>
        <v/>
      </c>
      <c r="U939" s="4" t="str">
        <f t="array" ref="U939">IF($E939="","", XLOOKUP(SUMIFS(Prod_Prop!$A:$A,Prod_Prop!$B:$B,$E939,Prod_Prop!$H:$H,U$1,Prod_Prop!$I:$I,"Exacto"),Prod_Prop!$A:$A,Prod_Prop!$J:$J,"",0,1))</f>
        <v/>
      </c>
      <c r="V939" s="4" t="str">
        <f t="array" ref="V939">IF($E939="","", XLOOKUP(SUMIFS(Prod_Prop!$A:$A,Prod_Prop!$B:$B,$E939,Prod_Prop!$H:$H,V$1,Prod_Prop!$I:$I,"Exacto"),Prod_Prop!$A:$A,Prod_Prop!$J:$J,"",0,1))</f>
        <v/>
      </c>
      <c r="X939" s="3" t="str">
        <f>IFERROR(__xludf.DUMMYFUNCTION("IF(D939="""","""",IFERROR(TRANSPOSE(FILTER('Validaciones Cotizador'!U:U,'Validaciones Cotizador'!O:O=D939,'Validaciones Cotizador'!T:T=""x"")),""Finalizar""))"),"")</f>
        <v/>
      </c>
    </row>
    <row r="940">
      <c r="A940" s="2" t="str">
        <f t="array" ref="A940">IF(E940="","",XLOOKUP(D940,'Validaciones Cotizador'!C:C,'Validaciones Cotizador'!A:A,"",0,1))</f>
        <v/>
      </c>
      <c r="B940" s="2" t="str">
        <f t="array" ref="B940">IF(F940="","",XLOOKUP(F940,Productos!E:E,Productos!G:G,"",0,1))</f>
        <v/>
      </c>
      <c r="C940" s="2" t="str">
        <f>IF(A940="","",SUMIFS('Validaciones Cotizador'!B:B,'Validaciones Cotizador'!C:C,D940,'Validaciones Cotizador'!A:A,A940))</f>
        <v/>
      </c>
      <c r="D940" s="4" t="str">
        <f>IFERROR(__xludf.DUMMYFUNCTION("IF(OR(F939=""Finalizar"",F939="""",F939=""Selecciona..""),"""",IF(OR(F939=""-"",INDEX(filter(Familias!F:F,Familias!D:D=A939,Familias!E:E=C939),1)=""O""),D939+1,D939))"),"")</f>
        <v/>
      </c>
      <c r="E940" s="2" t="str">
        <f>IF(OR(F940="",F940="Selecciona.."),"",IF(D940="Implemento",SUMIF(Implementos!B:B,F940,Implementos!A:A),SUMIF(Productos!E:E,F940,Productos!A:A)))</f>
        <v/>
      </c>
      <c r="F940" s="2" t="str">
        <f t="shared" si="2"/>
        <v/>
      </c>
      <c r="G940" s="10" t="str">
        <f t="array" ref="G940">IF(OR(F940="",F940="-",F940="Selecciona..",F940="Finalizar"),"",IF(A940="Rodados",XLOOKUP(B940,'Validaciones Cotizador'!I:I,'Validaciones Cotizador'!J:J,0,0,1),1))</f>
        <v/>
      </c>
      <c r="H940" s="11" t="str">
        <f>IF(OR(F940="",F940="Selecciona.."),"",SUMIF(Precio_Productos!K:K,E940,Precio_Productos!J:J)*G940)</f>
        <v/>
      </c>
      <c r="I940" s="4" t="str">
        <f t="array" ref="I940">IF($E940="","", XLOOKUP(SUMIFS(Prod_Prop!$A:$A,Prod_Prop!$B:$B,$E940,Prod_Prop!$H:$H,I$1,Prod_Prop!$I:$I,"Exacto"),Prod_Prop!$A:$A,Prod_Prop!$J:$J,"",0,1))</f>
        <v/>
      </c>
      <c r="J940" s="4" t="str">
        <f t="array" ref="J940">IF($E940="","", XLOOKUP(SUMIFS(Prod_Prop!$A:$A,Prod_Prop!$B:$B,$E940,Prod_Prop!$H:$H,J$1,Prod_Prop!$I:$I,"Exacto"),Prod_Prop!$A:$A,Prod_Prop!$J:$J,"",0,1))</f>
        <v/>
      </c>
      <c r="K940" s="4" t="str">
        <f t="array" ref="K940">IF($E940="","", XLOOKUP(SUMIFS(Prod_Prop!$A:$A,Prod_Prop!$B:$B,$E940,Prod_Prop!$H:$H,K$1,Prod_Prop!$I:$I,"Exacto"),Prod_Prop!$A:$A,Prod_Prop!$J:$J,"",0,1))</f>
        <v/>
      </c>
      <c r="L940" s="4" t="str">
        <f t="array" ref="L940">IF($E940="","", XLOOKUP(SUMIFS(Prod_Prop!$A:$A,Prod_Prop!$B:$B,$E940,Prod_Prop!$H:$H,L$1,Prod_Prop!$I:$I,"Exacto"),Prod_Prop!$A:$A,Prod_Prop!$J:$J,"",0,1))</f>
        <v/>
      </c>
      <c r="M940" s="4" t="str">
        <f t="array" ref="M940">IF($E940="","", XLOOKUP(SUMIFS(Prod_Prop!$A:$A,Prod_Prop!$B:$B,$E940,Prod_Prop!$H:$H,M$1,Prod_Prop!$I:$I,"Exacto"),Prod_Prop!$A:$A,Prod_Prop!$J:$J,"",0,1))</f>
        <v/>
      </c>
      <c r="N940" s="4" t="str">
        <f t="array" ref="N940">IF($E940="","", XLOOKUP(SUMIFS(Prod_Prop!$A:$A,Prod_Prop!$B:$B,$E940,Prod_Prop!$H:$H,N$1,Prod_Prop!$I:$I,"Exacto"),Prod_Prop!$A:$A,Prod_Prop!$J:$J,"",0,1))</f>
        <v/>
      </c>
      <c r="O940" s="4" t="str">
        <f t="array" ref="O940">IF($E940="","", XLOOKUP(SUMIFS(Prod_Prop!$A:$A,Prod_Prop!$B:$B,$E940,Prod_Prop!$H:$H,O$1,Prod_Prop!$I:$I,"Exacto"),Prod_Prop!$A:$A,Prod_Prop!$J:$J,"",0,1))</f>
        <v/>
      </c>
      <c r="P940" s="4" t="str">
        <f t="array" ref="P940">IF($E940="","", XLOOKUP(SUMIFS(Prod_Prop!$A:$A,Prod_Prop!$B:$B,$E940,Prod_Prop!$H:$H,P$1,Prod_Prop!$I:$I,"Exacto"),Prod_Prop!$A:$A,Prod_Prop!$J:$J,"",0,1))</f>
        <v/>
      </c>
      <c r="Q940" s="4" t="str">
        <f t="array" ref="Q940">IF($E940="","", XLOOKUP(SUMIFS(Prod_Prop!$A:$A,Prod_Prop!$B:$B,$E940,Prod_Prop!$H:$H,Q$1,Prod_Prop!$I:$I,"Exacto"),Prod_Prop!$A:$A,Prod_Prop!$J:$J,"",0,1))</f>
        <v/>
      </c>
      <c r="R940" s="4" t="str">
        <f t="array" ref="R940">IF($E940="","", XLOOKUP(SUMIFS(Prod_Prop!$A:$A,Prod_Prop!$B:$B,$E940,Prod_Prop!$H:$H,R$1,Prod_Prop!$I:$I,"Exacto"),Prod_Prop!$A:$A,Prod_Prop!$J:$J,"",0,1))</f>
        <v/>
      </c>
      <c r="S940" s="4" t="str">
        <f t="array" ref="S940">IF($E940="","", XLOOKUP(SUMIFS(Prod_Prop!$A:$A,Prod_Prop!$B:$B,$E940,Prod_Prop!$H:$H,S$1,Prod_Prop!$I:$I,"Exacto"),Prod_Prop!$A:$A,Prod_Prop!$J:$J,"",0,1))</f>
        <v/>
      </c>
      <c r="T940" s="4" t="str">
        <f t="array" ref="T940">IF($E940="","", XLOOKUP(SUMIFS(Prod_Prop!$A:$A,Prod_Prop!$B:$B,$E940,Prod_Prop!$H:$H,T$1,Prod_Prop!$I:$I,"Exacto"),Prod_Prop!$A:$A,Prod_Prop!$J:$J,"",0,1))</f>
        <v/>
      </c>
      <c r="U940" s="4" t="str">
        <f t="array" ref="U940">IF($E940="","", XLOOKUP(SUMIFS(Prod_Prop!$A:$A,Prod_Prop!$B:$B,$E940,Prod_Prop!$H:$H,U$1,Prod_Prop!$I:$I,"Exacto"),Prod_Prop!$A:$A,Prod_Prop!$J:$J,"",0,1))</f>
        <v/>
      </c>
      <c r="V940" s="4" t="str">
        <f t="array" ref="V940">IF($E940="","", XLOOKUP(SUMIFS(Prod_Prop!$A:$A,Prod_Prop!$B:$B,$E940,Prod_Prop!$H:$H,V$1,Prod_Prop!$I:$I,"Exacto"),Prod_Prop!$A:$A,Prod_Prop!$J:$J,"",0,1))</f>
        <v/>
      </c>
      <c r="X940" s="3" t="str">
        <f>IFERROR(__xludf.DUMMYFUNCTION("IF(D940="""","""",IFERROR(TRANSPOSE(FILTER('Validaciones Cotizador'!U:U,'Validaciones Cotizador'!O:O=D940,'Validaciones Cotizador'!T:T=""x"")),""Finalizar""))"),"")</f>
        <v/>
      </c>
    </row>
    <row r="941">
      <c r="A941" s="2" t="str">
        <f t="array" ref="A941">IF(E941="","",XLOOKUP(D941,'Validaciones Cotizador'!C:C,'Validaciones Cotizador'!A:A,"",0,1))</f>
        <v/>
      </c>
      <c r="B941" s="2" t="str">
        <f t="array" ref="B941">IF(F941="","",XLOOKUP(F941,Productos!E:E,Productos!G:G,"",0,1))</f>
        <v/>
      </c>
      <c r="C941" s="2" t="str">
        <f>IF(A941="","",SUMIFS('Validaciones Cotizador'!B:B,'Validaciones Cotizador'!C:C,D941,'Validaciones Cotizador'!A:A,A941))</f>
        <v/>
      </c>
      <c r="D941" s="4" t="str">
        <f>IFERROR(__xludf.DUMMYFUNCTION("IF(OR(F940=""Finalizar"",F940="""",F940=""Selecciona..""),"""",IF(OR(F940=""-"",INDEX(filter(Familias!F:F,Familias!D:D=A940,Familias!E:E=C940),1)=""O""),D940+1,D940))"),"")</f>
        <v/>
      </c>
      <c r="E941" s="2" t="str">
        <f>IF(OR(F941="",F941="Selecciona.."),"",IF(D941="Implemento",SUMIF(Implementos!B:B,F941,Implementos!A:A),SUMIF(Productos!E:E,F941,Productos!A:A)))</f>
        <v/>
      </c>
      <c r="F941" s="2" t="str">
        <f t="shared" si="2"/>
        <v/>
      </c>
      <c r="G941" s="10" t="str">
        <f t="array" ref="G941">IF(OR(F941="",F941="-",F941="Selecciona..",F941="Finalizar"),"",IF(A941="Rodados",XLOOKUP(B941,'Validaciones Cotizador'!I:I,'Validaciones Cotizador'!J:J,0,0,1),1))</f>
        <v/>
      </c>
      <c r="H941" s="11" t="str">
        <f>IF(OR(F941="",F941="Selecciona.."),"",SUMIF(Precio_Productos!K:K,E941,Precio_Productos!J:J)*G941)</f>
        <v/>
      </c>
      <c r="I941" s="4" t="str">
        <f t="array" ref="I941">IF($E941="","", XLOOKUP(SUMIFS(Prod_Prop!$A:$A,Prod_Prop!$B:$B,$E941,Prod_Prop!$H:$H,I$1,Prod_Prop!$I:$I,"Exacto"),Prod_Prop!$A:$A,Prod_Prop!$J:$J,"",0,1))</f>
        <v/>
      </c>
      <c r="J941" s="4" t="str">
        <f t="array" ref="J941">IF($E941="","", XLOOKUP(SUMIFS(Prod_Prop!$A:$A,Prod_Prop!$B:$B,$E941,Prod_Prop!$H:$H,J$1,Prod_Prop!$I:$I,"Exacto"),Prod_Prop!$A:$A,Prod_Prop!$J:$J,"",0,1))</f>
        <v/>
      </c>
      <c r="K941" s="4" t="str">
        <f t="array" ref="K941">IF($E941="","", XLOOKUP(SUMIFS(Prod_Prop!$A:$A,Prod_Prop!$B:$B,$E941,Prod_Prop!$H:$H,K$1,Prod_Prop!$I:$I,"Exacto"),Prod_Prop!$A:$A,Prod_Prop!$J:$J,"",0,1))</f>
        <v/>
      </c>
      <c r="L941" s="4" t="str">
        <f t="array" ref="L941">IF($E941="","", XLOOKUP(SUMIFS(Prod_Prop!$A:$A,Prod_Prop!$B:$B,$E941,Prod_Prop!$H:$H,L$1,Prod_Prop!$I:$I,"Exacto"),Prod_Prop!$A:$A,Prod_Prop!$J:$J,"",0,1))</f>
        <v/>
      </c>
      <c r="M941" s="4" t="str">
        <f t="array" ref="M941">IF($E941="","", XLOOKUP(SUMIFS(Prod_Prop!$A:$A,Prod_Prop!$B:$B,$E941,Prod_Prop!$H:$H,M$1,Prod_Prop!$I:$I,"Exacto"),Prod_Prop!$A:$A,Prod_Prop!$J:$J,"",0,1))</f>
        <v/>
      </c>
      <c r="N941" s="4" t="str">
        <f t="array" ref="N941">IF($E941="","", XLOOKUP(SUMIFS(Prod_Prop!$A:$A,Prod_Prop!$B:$B,$E941,Prod_Prop!$H:$H,N$1,Prod_Prop!$I:$I,"Exacto"),Prod_Prop!$A:$A,Prod_Prop!$J:$J,"",0,1))</f>
        <v/>
      </c>
      <c r="O941" s="4" t="str">
        <f t="array" ref="O941">IF($E941="","", XLOOKUP(SUMIFS(Prod_Prop!$A:$A,Prod_Prop!$B:$B,$E941,Prod_Prop!$H:$H,O$1,Prod_Prop!$I:$I,"Exacto"),Prod_Prop!$A:$A,Prod_Prop!$J:$J,"",0,1))</f>
        <v/>
      </c>
      <c r="P941" s="4" t="str">
        <f t="array" ref="P941">IF($E941="","", XLOOKUP(SUMIFS(Prod_Prop!$A:$A,Prod_Prop!$B:$B,$E941,Prod_Prop!$H:$H,P$1,Prod_Prop!$I:$I,"Exacto"),Prod_Prop!$A:$A,Prod_Prop!$J:$J,"",0,1))</f>
        <v/>
      </c>
      <c r="Q941" s="4" t="str">
        <f t="array" ref="Q941">IF($E941="","", XLOOKUP(SUMIFS(Prod_Prop!$A:$A,Prod_Prop!$B:$B,$E941,Prod_Prop!$H:$H,Q$1,Prod_Prop!$I:$I,"Exacto"),Prod_Prop!$A:$A,Prod_Prop!$J:$J,"",0,1))</f>
        <v/>
      </c>
      <c r="R941" s="4" t="str">
        <f t="array" ref="R941">IF($E941="","", XLOOKUP(SUMIFS(Prod_Prop!$A:$A,Prod_Prop!$B:$B,$E941,Prod_Prop!$H:$H,R$1,Prod_Prop!$I:$I,"Exacto"),Prod_Prop!$A:$A,Prod_Prop!$J:$J,"",0,1))</f>
        <v/>
      </c>
      <c r="S941" s="4" t="str">
        <f t="array" ref="S941">IF($E941="","", XLOOKUP(SUMIFS(Prod_Prop!$A:$A,Prod_Prop!$B:$B,$E941,Prod_Prop!$H:$H,S$1,Prod_Prop!$I:$I,"Exacto"),Prod_Prop!$A:$A,Prod_Prop!$J:$J,"",0,1))</f>
        <v/>
      </c>
      <c r="T941" s="4" t="str">
        <f t="array" ref="T941">IF($E941="","", XLOOKUP(SUMIFS(Prod_Prop!$A:$A,Prod_Prop!$B:$B,$E941,Prod_Prop!$H:$H,T$1,Prod_Prop!$I:$I,"Exacto"),Prod_Prop!$A:$A,Prod_Prop!$J:$J,"",0,1))</f>
        <v/>
      </c>
      <c r="U941" s="4" t="str">
        <f t="array" ref="U941">IF($E941="","", XLOOKUP(SUMIFS(Prod_Prop!$A:$A,Prod_Prop!$B:$B,$E941,Prod_Prop!$H:$H,U$1,Prod_Prop!$I:$I,"Exacto"),Prod_Prop!$A:$A,Prod_Prop!$J:$J,"",0,1))</f>
        <v/>
      </c>
      <c r="V941" s="4" t="str">
        <f t="array" ref="V941">IF($E941="","", XLOOKUP(SUMIFS(Prod_Prop!$A:$A,Prod_Prop!$B:$B,$E941,Prod_Prop!$H:$H,V$1,Prod_Prop!$I:$I,"Exacto"),Prod_Prop!$A:$A,Prod_Prop!$J:$J,"",0,1))</f>
        <v/>
      </c>
      <c r="X941" s="3" t="str">
        <f>IFERROR(__xludf.DUMMYFUNCTION("IF(D941="""","""",IFERROR(TRANSPOSE(FILTER('Validaciones Cotizador'!U:U,'Validaciones Cotizador'!O:O=D941,'Validaciones Cotizador'!T:T=""x"")),""Finalizar""))"),"")</f>
        <v/>
      </c>
    </row>
    <row r="942">
      <c r="A942" s="2" t="str">
        <f t="array" ref="A942">IF(E942="","",XLOOKUP(D942,'Validaciones Cotizador'!C:C,'Validaciones Cotizador'!A:A,"",0,1))</f>
        <v/>
      </c>
      <c r="B942" s="2" t="str">
        <f t="array" ref="B942">IF(F942="","",XLOOKUP(F942,Productos!E:E,Productos!G:G,"",0,1))</f>
        <v/>
      </c>
      <c r="C942" s="2" t="str">
        <f>IF(A942="","",SUMIFS('Validaciones Cotizador'!B:B,'Validaciones Cotizador'!C:C,D942,'Validaciones Cotizador'!A:A,A942))</f>
        <v/>
      </c>
      <c r="D942" s="4" t="str">
        <f>IFERROR(__xludf.DUMMYFUNCTION("IF(OR(F941=""Finalizar"",F941="""",F941=""Selecciona..""),"""",IF(OR(F941=""-"",INDEX(filter(Familias!F:F,Familias!D:D=A941,Familias!E:E=C941),1)=""O""),D941+1,D941))"),"")</f>
        <v/>
      </c>
      <c r="E942" s="2" t="str">
        <f>IF(OR(F942="",F942="Selecciona.."),"",IF(D942="Implemento",SUMIF(Implementos!B:B,F942,Implementos!A:A),SUMIF(Productos!E:E,F942,Productos!A:A)))</f>
        <v/>
      </c>
      <c r="F942" s="2" t="str">
        <f t="shared" si="2"/>
        <v/>
      </c>
      <c r="G942" s="10" t="str">
        <f t="array" ref="G942">IF(OR(F942="",F942="-",F942="Selecciona..",F942="Finalizar"),"",IF(A942="Rodados",XLOOKUP(B942,'Validaciones Cotizador'!I:I,'Validaciones Cotizador'!J:J,0,0,1),1))</f>
        <v/>
      </c>
      <c r="H942" s="11" t="str">
        <f>IF(OR(F942="",F942="Selecciona.."),"",SUMIF(Precio_Productos!K:K,E942,Precio_Productos!J:J)*G942)</f>
        <v/>
      </c>
      <c r="I942" s="4" t="str">
        <f t="array" ref="I942">IF($E942="","", XLOOKUP(SUMIFS(Prod_Prop!$A:$A,Prod_Prop!$B:$B,$E942,Prod_Prop!$H:$H,I$1,Prod_Prop!$I:$I,"Exacto"),Prod_Prop!$A:$A,Prod_Prop!$J:$J,"",0,1))</f>
        <v/>
      </c>
      <c r="J942" s="4" t="str">
        <f t="array" ref="J942">IF($E942="","", XLOOKUP(SUMIFS(Prod_Prop!$A:$A,Prod_Prop!$B:$B,$E942,Prod_Prop!$H:$H,J$1,Prod_Prop!$I:$I,"Exacto"),Prod_Prop!$A:$A,Prod_Prop!$J:$J,"",0,1))</f>
        <v/>
      </c>
      <c r="K942" s="4" t="str">
        <f t="array" ref="K942">IF($E942="","", XLOOKUP(SUMIFS(Prod_Prop!$A:$A,Prod_Prop!$B:$B,$E942,Prod_Prop!$H:$H,K$1,Prod_Prop!$I:$I,"Exacto"),Prod_Prop!$A:$A,Prod_Prop!$J:$J,"",0,1))</f>
        <v/>
      </c>
      <c r="L942" s="4" t="str">
        <f t="array" ref="L942">IF($E942="","", XLOOKUP(SUMIFS(Prod_Prop!$A:$A,Prod_Prop!$B:$B,$E942,Prod_Prop!$H:$H,L$1,Prod_Prop!$I:$I,"Exacto"),Prod_Prop!$A:$A,Prod_Prop!$J:$J,"",0,1))</f>
        <v/>
      </c>
      <c r="M942" s="4" t="str">
        <f t="array" ref="M942">IF($E942="","", XLOOKUP(SUMIFS(Prod_Prop!$A:$A,Prod_Prop!$B:$B,$E942,Prod_Prop!$H:$H,M$1,Prod_Prop!$I:$I,"Exacto"),Prod_Prop!$A:$A,Prod_Prop!$J:$J,"",0,1))</f>
        <v/>
      </c>
      <c r="N942" s="4" t="str">
        <f t="array" ref="N942">IF($E942="","", XLOOKUP(SUMIFS(Prod_Prop!$A:$A,Prod_Prop!$B:$B,$E942,Prod_Prop!$H:$H,N$1,Prod_Prop!$I:$I,"Exacto"),Prod_Prop!$A:$A,Prod_Prop!$J:$J,"",0,1))</f>
        <v/>
      </c>
      <c r="O942" s="4" t="str">
        <f t="array" ref="O942">IF($E942="","", XLOOKUP(SUMIFS(Prod_Prop!$A:$A,Prod_Prop!$B:$B,$E942,Prod_Prop!$H:$H,O$1,Prod_Prop!$I:$I,"Exacto"),Prod_Prop!$A:$A,Prod_Prop!$J:$J,"",0,1))</f>
        <v/>
      </c>
      <c r="P942" s="4" t="str">
        <f t="array" ref="P942">IF($E942="","", XLOOKUP(SUMIFS(Prod_Prop!$A:$A,Prod_Prop!$B:$B,$E942,Prod_Prop!$H:$H,P$1,Prod_Prop!$I:$I,"Exacto"),Prod_Prop!$A:$A,Prod_Prop!$J:$J,"",0,1))</f>
        <v/>
      </c>
      <c r="Q942" s="4" t="str">
        <f t="array" ref="Q942">IF($E942="","", XLOOKUP(SUMIFS(Prod_Prop!$A:$A,Prod_Prop!$B:$B,$E942,Prod_Prop!$H:$H,Q$1,Prod_Prop!$I:$I,"Exacto"),Prod_Prop!$A:$A,Prod_Prop!$J:$J,"",0,1))</f>
        <v/>
      </c>
      <c r="R942" s="4" t="str">
        <f t="array" ref="R942">IF($E942="","", XLOOKUP(SUMIFS(Prod_Prop!$A:$A,Prod_Prop!$B:$B,$E942,Prod_Prop!$H:$H,R$1,Prod_Prop!$I:$I,"Exacto"),Prod_Prop!$A:$A,Prod_Prop!$J:$J,"",0,1))</f>
        <v/>
      </c>
      <c r="S942" s="4" t="str">
        <f t="array" ref="S942">IF($E942="","", XLOOKUP(SUMIFS(Prod_Prop!$A:$A,Prod_Prop!$B:$B,$E942,Prod_Prop!$H:$H,S$1,Prod_Prop!$I:$I,"Exacto"),Prod_Prop!$A:$A,Prod_Prop!$J:$J,"",0,1))</f>
        <v/>
      </c>
      <c r="T942" s="4" t="str">
        <f t="array" ref="T942">IF($E942="","", XLOOKUP(SUMIFS(Prod_Prop!$A:$A,Prod_Prop!$B:$B,$E942,Prod_Prop!$H:$H,T$1,Prod_Prop!$I:$I,"Exacto"),Prod_Prop!$A:$A,Prod_Prop!$J:$J,"",0,1))</f>
        <v/>
      </c>
      <c r="U942" s="4" t="str">
        <f t="array" ref="U942">IF($E942="","", XLOOKUP(SUMIFS(Prod_Prop!$A:$A,Prod_Prop!$B:$B,$E942,Prod_Prop!$H:$H,U$1,Prod_Prop!$I:$I,"Exacto"),Prod_Prop!$A:$A,Prod_Prop!$J:$J,"",0,1))</f>
        <v/>
      </c>
      <c r="V942" s="4" t="str">
        <f t="array" ref="V942">IF($E942="","", XLOOKUP(SUMIFS(Prod_Prop!$A:$A,Prod_Prop!$B:$B,$E942,Prod_Prop!$H:$H,V$1,Prod_Prop!$I:$I,"Exacto"),Prod_Prop!$A:$A,Prod_Prop!$J:$J,"",0,1))</f>
        <v/>
      </c>
      <c r="X942" s="3" t="str">
        <f>IFERROR(__xludf.DUMMYFUNCTION("IF(D942="""","""",IFERROR(TRANSPOSE(FILTER('Validaciones Cotizador'!U:U,'Validaciones Cotizador'!O:O=D942,'Validaciones Cotizador'!T:T=""x"")),""Finalizar""))"),"")</f>
        <v/>
      </c>
    </row>
    <row r="943">
      <c r="A943" s="2" t="str">
        <f t="array" ref="A943">IF(E943="","",XLOOKUP(D943,'Validaciones Cotizador'!C:C,'Validaciones Cotizador'!A:A,"",0,1))</f>
        <v/>
      </c>
      <c r="B943" s="2" t="str">
        <f t="array" ref="B943">IF(F943="","",XLOOKUP(F943,Productos!E:E,Productos!G:G,"",0,1))</f>
        <v/>
      </c>
      <c r="C943" s="2" t="str">
        <f>IF(A943="","",SUMIFS('Validaciones Cotizador'!B:B,'Validaciones Cotizador'!C:C,D943,'Validaciones Cotizador'!A:A,A943))</f>
        <v/>
      </c>
      <c r="D943" s="4" t="str">
        <f>IFERROR(__xludf.DUMMYFUNCTION("IF(OR(F942=""Finalizar"",F942="""",F942=""Selecciona..""),"""",IF(OR(F942=""-"",INDEX(filter(Familias!F:F,Familias!D:D=A942,Familias!E:E=C942),1)=""O""),D942+1,D942))"),"")</f>
        <v/>
      </c>
      <c r="E943" s="2" t="str">
        <f>IF(OR(F943="",F943="Selecciona.."),"",IF(D943="Implemento",SUMIF(Implementos!B:B,F943,Implementos!A:A),SUMIF(Productos!E:E,F943,Productos!A:A)))</f>
        <v/>
      </c>
      <c r="F943" s="2" t="str">
        <f t="shared" si="2"/>
        <v/>
      </c>
      <c r="G943" s="10" t="str">
        <f t="array" ref="G943">IF(OR(F943="",F943="-",F943="Selecciona..",F943="Finalizar"),"",IF(A943="Rodados",XLOOKUP(B943,'Validaciones Cotizador'!I:I,'Validaciones Cotizador'!J:J,0,0,1),1))</f>
        <v/>
      </c>
      <c r="H943" s="11" t="str">
        <f>IF(OR(F943="",F943="Selecciona.."),"",SUMIF(Precio_Productos!K:K,E943,Precio_Productos!J:J)*G943)</f>
        <v/>
      </c>
      <c r="I943" s="4" t="str">
        <f t="array" ref="I943">IF($E943="","", XLOOKUP(SUMIFS(Prod_Prop!$A:$A,Prod_Prop!$B:$B,$E943,Prod_Prop!$H:$H,I$1,Prod_Prop!$I:$I,"Exacto"),Prod_Prop!$A:$A,Prod_Prop!$J:$J,"",0,1))</f>
        <v/>
      </c>
      <c r="J943" s="4" t="str">
        <f t="array" ref="J943">IF($E943="","", XLOOKUP(SUMIFS(Prod_Prop!$A:$A,Prod_Prop!$B:$B,$E943,Prod_Prop!$H:$H,J$1,Prod_Prop!$I:$I,"Exacto"),Prod_Prop!$A:$A,Prod_Prop!$J:$J,"",0,1))</f>
        <v/>
      </c>
      <c r="K943" s="4" t="str">
        <f t="array" ref="K943">IF($E943="","", XLOOKUP(SUMIFS(Prod_Prop!$A:$A,Prod_Prop!$B:$B,$E943,Prod_Prop!$H:$H,K$1,Prod_Prop!$I:$I,"Exacto"),Prod_Prop!$A:$A,Prod_Prop!$J:$J,"",0,1))</f>
        <v/>
      </c>
      <c r="L943" s="4" t="str">
        <f t="array" ref="L943">IF($E943="","", XLOOKUP(SUMIFS(Prod_Prop!$A:$A,Prod_Prop!$B:$B,$E943,Prod_Prop!$H:$H,L$1,Prod_Prop!$I:$I,"Exacto"),Prod_Prop!$A:$A,Prod_Prop!$J:$J,"",0,1))</f>
        <v/>
      </c>
      <c r="M943" s="4" t="str">
        <f t="array" ref="M943">IF($E943="","", XLOOKUP(SUMIFS(Prod_Prop!$A:$A,Prod_Prop!$B:$B,$E943,Prod_Prop!$H:$H,M$1,Prod_Prop!$I:$I,"Exacto"),Prod_Prop!$A:$A,Prod_Prop!$J:$J,"",0,1))</f>
        <v/>
      </c>
      <c r="N943" s="4" t="str">
        <f t="array" ref="N943">IF($E943="","", XLOOKUP(SUMIFS(Prod_Prop!$A:$A,Prod_Prop!$B:$B,$E943,Prod_Prop!$H:$H,N$1,Prod_Prop!$I:$I,"Exacto"),Prod_Prop!$A:$A,Prod_Prop!$J:$J,"",0,1))</f>
        <v/>
      </c>
      <c r="O943" s="4" t="str">
        <f t="array" ref="O943">IF($E943="","", XLOOKUP(SUMIFS(Prod_Prop!$A:$A,Prod_Prop!$B:$B,$E943,Prod_Prop!$H:$H,O$1,Prod_Prop!$I:$I,"Exacto"),Prod_Prop!$A:$A,Prod_Prop!$J:$J,"",0,1))</f>
        <v/>
      </c>
      <c r="P943" s="4" t="str">
        <f t="array" ref="P943">IF($E943="","", XLOOKUP(SUMIFS(Prod_Prop!$A:$A,Prod_Prop!$B:$B,$E943,Prod_Prop!$H:$H,P$1,Prod_Prop!$I:$I,"Exacto"),Prod_Prop!$A:$A,Prod_Prop!$J:$J,"",0,1))</f>
        <v/>
      </c>
      <c r="Q943" s="4" t="str">
        <f t="array" ref="Q943">IF($E943="","", XLOOKUP(SUMIFS(Prod_Prop!$A:$A,Prod_Prop!$B:$B,$E943,Prod_Prop!$H:$H,Q$1,Prod_Prop!$I:$I,"Exacto"),Prod_Prop!$A:$A,Prod_Prop!$J:$J,"",0,1))</f>
        <v/>
      </c>
      <c r="R943" s="4" t="str">
        <f t="array" ref="R943">IF($E943="","", XLOOKUP(SUMIFS(Prod_Prop!$A:$A,Prod_Prop!$B:$B,$E943,Prod_Prop!$H:$H,R$1,Prod_Prop!$I:$I,"Exacto"),Prod_Prop!$A:$A,Prod_Prop!$J:$J,"",0,1))</f>
        <v/>
      </c>
      <c r="S943" s="4" t="str">
        <f t="array" ref="S943">IF($E943="","", XLOOKUP(SUMIFS(Prod_Prop!$A:$A,Prod_Prop!$B:$B,$E943,Prod_Prop!$H:$H,S$1,Prod_Prop!$I:$I,"Exacto"),Prod_Prop!$A:$A,Prod_Prop!$J:$J,"",0,1))</f>
        <v/>
      </c>
      <c r="T943" s="4" t="str">
        <f t="array" ref="T943">IF($E943="","", XLOOKUP(SUMIFS(Prod_Prop!$A:$A,Prod_Prop!$B:$B,$E943,Prod_Prop!$H:$H,T$1,Prod_Prop!$I:$I,"Exacto"),Prod_Prop!$A:$A,Prod_Prop!$J:$J,"",0,1))</f>
        <v/>
      </c>
      <c r="U943" s="4" t="str">
        <f t="array" ref="U943">IF($E943="","", XLOOKUP(SUMIFS(Prod_Prop!$A:$A,Prod_Prop!$B:$B,$E943,Prod_Prop!$H:$H,U$1,Prod_Prop!$I:$I,"Exacto"),Prod_Prop!$A:$A,Prod_Prop!$J:$J,"",0,1))</f>
        <v/>
      </c>
      <c r="V943" s="4" t="str">
        <f t="array" ref="V943">IF($E943="","", XLOOKUP(SUMIFS(Prod_Prop!$A:$A,Prod_Prop!$B:$B,$E943,Prod_Prop!$H:$H,V$1,Prod_Prop!$I:$I,"Exacto"),Prod_Prop!$A:$A,Prod_Prop!$J:$J,"",0,1))</f>
        <v/>
      </c>
      <c r="X943" s="3" t="str">
        <f>IFERROR(__xludf.DUMMYFUNCTION("IF(D943="""","""",IFERROR(TRANSPOSE(FILTER('Validaciones Cotizador'!U:U,'Validaciones Cotizador'!O:O=D943,'Validaciones Cotizador'!T:T=""x"")),""Finalizar""))"),"")</f>
        <v/>
      </c>
    </row>
    <row r="944">
      <c r="A944" s="2" t="str">
        <f t="array" ref="A944">IF(E944="","",XLOOKUP(D944,'Validaciones Cotizador'!C:C,'Validaciones Cotizador'!A:A,"",0,1))</f>
        <v/>
      </c>
      <c r="B944" s="2" t="str">
        <f t="array" ref="B944">IF(F944="","",XLOOKUP(F944,Productos!E:E,Productos!G:G,"",0,1))</f>
        <v/>
      </c>
      <c r="C944" s="2" t="str">
        <f>IF(A944="","",SUMIFS('Validaciones Cotizador'!B:B,'Validaciones Cotizador'!C:C,D944,'Validaciones Cotizador'!A:A,A944))</f>
        <v/>
      </c>
      <c r="D944" s="4" t="str">
        <f>IFERROR(__xludf.DUMMYFUNCTION("IF(OR(F943=""Finalizar"",F943="""",F943=""Selecciona..""),"""",IF(OR(F943=""-"",INDEX(filter(Familias!F:F,Familias!D:D=A943,Familias!E:E=C943),1)=""O""),D943+1,D943))"),"")</f>
        <v/>
      </c>
      <c r="E944" s="2" t="str">
        <f>IF(OR(F944="",F944="Selecciona.."),"",IF(D944="Implemento",SUMIF(Implementos!B:B,F944,Implementos!A:A),SUMIF(Productos!E:E,F944,Productos!A:A)))</f>
        <v/>
      </c>
      <c r="F944" s="2" t="str">
        <f t="shared" si="2"/>
        <v/>
      </c>
      <c r="G944" s="10" t="str">
        <f t="array" ref="G944">IF(OR(F944="",F944="-",F944="Selecciona..",F944="Finalizar"),"",IF(A944="Rodados",XLOOKUP(B944,'Validaciones Cotizador'!I:I,'Validaciones Cotizador'!J:J,0,0,1),1))</f>
        <v/>
      </c>
      <c r="H944" s="11" t="str">
        <f>IF(OR(F944="",F944="Selecciona.."),"",SUMIF(Precio_Productos!K:K,E944,Precio_Productos!J:J)*G944)</f>
        <v/>
      </c>
      <c r="I944" s="4" t="str">
        <f t="array" ref="I944">IF($E944="","", XLOOKUP(SUMIFS(Prod_Prop!$A:$A,Prod_Prop!$B:$B,$E944,Prod_Prop!$H:$H,I$1,Prod_Prop!$I:$I,"Exacto"),Prod_Prop!$A:$A,Prod_Prop!$J:$J,"",0,1))</f>
        <v/>
      </c>
      <c r="J944" s="4" t="str">
        <f t="array" ref="J944">IF($E944="","", XLOOKUP(SUMIFS(Prod_Prop!$A:$A,Prod_Prop!$B:$B,$E944,Prod_Prop!$H:$H,J$1,Prod_Prop!$I:$I,"Exacto"),Prod_Prop!$A:$A,Prod_Prop!$J:$J,"",0,1))</f>
        <v/>
      </c>
      <c r="K944" s="4" t="str">
        <f t="array" ref="K944">IF($E944="","", XLOOKUP(SUMIFS(Prod_Prop!$A:$A,Prod_Prop!$B:$B,$E944,Prod_Prop!$H:$H,K$1,Prod_Prop!$I:$I,"Exacto"),Prod_Prop!$A:$A,Prod_Prop!$J:$J,"",0,1))</f>
        <v/>
      </c>
      <c r="L944" s="4" t="str">
        <f t="array" ref="L944">IF($E944="","", XLOOKUP(SUMIFS(Prod_Prop!$A:$A,Prod_Prop!$B:$B,$E944,Prod_Prop!$H:$H,L$1,Prod_Prop!$I:$I,"Exacto"),Prod_Prop!$A:$A,Prod_Prop!$J:$J,"",0,1))</f>
        <v/>
      </c>
      <c r="M944" s="4" t="str">
        <f t="array" ref="M944">IF($E944="","", XLOOKUP(SUMIFS(Prod_Prop!$A:$A,Prod_Prop!$B:$B,$E944,Prod_Prop!$H:$H,M$1,Prod_Prop!$I:$I,"Exacto"),Prod_Prop!$A:$A,Prod_Prop!$J:$J,"",0,1))</f>
        <v/>
      </c>
      <c r="N944" s="4" t="str">
        <f t="array" ref="N944">IF($E944="","", XLOOKUP(SUMIFS(Prod_Prop!$A:$A,Prod_Prop!$B:$B,$E944,Prod_Prop!$H:$H,N$1,Prod_Prop!$I:$I,"Exacto"),Prod_Prop!$A:$A,Prod_Prop!$J:$J,"",0,1))</f>
        <v/>
      </c>
      <c r="O944" s="4" t="str">
        <f t="array" ref="O944">IF($E944="","", XLOOKUP(SUMIFS(Prod_Prop!$A:$A,Prod_Prop!$B:$B,$E944,Prod_Prop!$H:$H,O$1,Prod_Prop!$I:$I,"Exacto"),Prod_Prop!$A:$A,Prod_Prop!$J:$J,"",0,1))</f>
        <v/>
      </c>
      <c r="P944" s="4" t="str">
        <f t="array" ref="P944">IF($E944="","", XLOOKUP(SUMIFS(Prod_Prop!$A:$A,Prod_Prop!$B:$B,$E944,Prod_Prop!$H:$H,P$1,Prod_Prop!$I:$I,"Exacto"),Prod_Prop!$A:$A,Prod_Prop!$J:$J,"",0,1))</f>
        <v/>
      </c>
      <c r="Q944" s="4" t="str">
        <f t="array" ref="Q944">IF($E944="","", XLOOKUP(SUMIFS(Prod_Prop!$A:$A,Prod_Prop!$B:$B,$E944,Prod_Prop!$H:$H,Q$1,Prod_Prop!$I:$I,"Exacto"),Prod_Prop!$A:$A,Prod_Prop!$J:$J,"",0,1))</f>
        <v/>
      </c>
      <c r="R944" s="4" t="str">
        <f t="array" ref="R944">IF($E944="","", XLOOKUP(SUMIFS(Prod_Prop!$A:$A,Prod_Prop!$B:$B,$E944,Prod_Prop!$H:$H,R$1,Prod_Prop!$I:$I,"Exacto"),Prod_Prop!$A:$A,Prod_Prop!$J:$J,"",0,1))</f>
        <v/>
      </c>
      <c r="S944" s="4" t="str">
        <f t="array" ref="S944">IF($E944="","", XLOOKUP(SUMIFS(Prod_Prop!$A:$A,Prod_Prop!$B:$B,$E944,Prod_Prop!$H:$H,S$1,Prod_Prop!$I:$I,"Exacto"),Prod_Prop!$A:$A,Prod_Prop!$J:$J,"",0,1))</f>
        <v/>
      </c>
      <c r="T944" s="4" t="str">
        <f t="array" ref="T944">IF($E944="","", XLOOKUP(SUMIFS(Prod_Prop!$A:$A,Prod_Prop!$B:$B,$E944,Prod_Prop!$H:$H,T$1,Prod_Prop!$I:$I,"Exacto"),Prod_Prop!$A:$A,Prod_Prop!$J:$J,"",0,1))</f>
        <v/>
      </c>
      <c r="U944" s="4" t="str">
        <f t="array" ref="U944">IF($E944="","", XLOOKUP(SUMIFS(Prod_Prop!$A:$A,Prod_Prop!$B:$B,$E944,Prod_Prop!$H:$H,U$1,Prod_Prop!$I:$I,"Exacto"),Prod_Prop!$A:$A,Prod_Prop!$J:$J,"",0,1))</f>
        <v/>
      </c>
      <c r="V944" s="4" t="str">
        <f t="array" ref="V944">IF($E944="","", XLOOKUP(SUMIFS(Prod_Prop!$A:$A,Prod_Prop!$B:$B,$E944,Prod_Prop!$H:$H,V$1,Prod_Prop!$I:$I,"Exacto"),Prod_Prop!$A:$A,Prod_Prop!$J:$J,"",0,1))</f>
        <v/>
      </c>
      <c r="X944" s="3" t="str">
        <f>IFERROR(__xludf.DUMMYFUNCTION("IF(D944="""","""",IFERROR(TRANSPOSE(FILTER('Validaciones Cotizador'!U:U,'Validaciones Cotizador'!O:O=D944,'Validaciones Cotizador'!T:T=""x"")),""Finalizar""))"),"")</f>
        <v/>
      </c>
    </row>
    <row r="945">
      <c r="A945" s="2" t="str">
        <f t="array" ref="A945">IF(E945="","",XLOOKUP(D945,'Validaciones Cotizador'!C:C,'Validaciones Cotizador'!A:A,"",0,1))</f>
        <v/>
      </c>
      <c r="B945" s="2" t="str">
        <f t="array" ref="B945">IF(F945="","",XLOOKUP(F945,Productos!E:E,Productos!G:G,"",0,1))</f>
        <v/>
      </c>
      <c r="C945" s="2" t="str">
        <f>IF(A945="","",SUMIFS('Validaciones Cotizador'!B:B,'Validaciones Cotizador'!C:C,D945,'Validaciones Cotizador'!A:A,A945))</f>
        <v/>
      </c>
      <c r="D945" s="4" t="str">
        <f>IFERROR(__xludf.DUMMYFUNCTION("IF(OR(F944=""Finalizar"",F944="""",F944=""Selecciona..""),"""",IF(OR(F944=""-"",INDEX(filter(Familias!F:F,Familias!D:D=A944,Familias!E:E=C944),1)=""O""),D944+1,D944))"),"")</f>
        <v/>
      </c>
      <c r="E945" s="2" t="str">
        <f>IF(OR(F945="",F945="Selecciona.."),"",IF(D945="Implemento",SUMIF(Implementos!B:B,F945,Implementos!A:A),SUMIF(Productos!E:E,F945,Productos!A:A)))</f>
        <v/>
      </c>
      <c r="F945" s="2" t="str">
        <f t="shared" si="2"/>
        <v/>
      </c>
      <c r="G945" s="10" t="str">
        <f t="array" ref="G945">IF(OR(F945="",F945="-",F945="Selecciona..",F945="Finalizar"),"",IF(A945="Rodados",XLOOKUP(B945,'Validaciones Cotizador'!I:I,'Validaciones Cotizador'!J:J,0,0,1),1))</f>
        <v/>
      </c>
      <c r="H945" s="11" t="str">
        <f>IF(OR(F945="",F945="Selecciona.."),"",SUMIF(Precio_Productos!K:K,E945,Precio_Productos!J:J)*G945)</f>
        <v/>
      </c>
      <c r="I945" s="4" t="str">
        <f t="array" ref="I945">IF($E945="","", XLOOKUP(SUMIFS(Prod_Prop!$A:$A,Prod_Prop!$B:$B,$E945,Prod_Prop!$H:$H,I$1,Prod_Prop!$I:$I,"Exacto"),Prod_Prop!$A:$A,Prod_Prop!$J:$J,"",0,1))</f>
        <v/>
      </c>
      <c r="J945" s="4" t="str">
        <f t="array" ref="J945">IF($E945="","", XLOOKUP(SUMIFS(Prod_Prop!$A:$A,Prod_Prop!$B:$B,$E945,Prod_Prop!$H:$H,J$1,Prod_Prop!$I:$I,"Exacto"),Prod_Prop!$A:$A,Prod_Prop!$J:$J,"",0,1))</f>
        <v/>
      </c>
      <c r="K945" s="4" t="str">
        <f t="array" ref="K945">IF($E945="","", XLOOKUP(SUMIFS(Prod_Prop!$A:$A,Prod_Prop!$B:$B,$E945,Prod_Prop!$H:$H,K$1,Prod_Prop!$I:$I,"Exacto"),Prod_Prop!$A:$A,Prod_Prop!$J:$J,"",0,1))</f>
        <v/>
      </c>
      <c r="L945" s="4" t="str">
        <f t="array" ref="L945">IF($E945="","", XLOOKUP(SUMIFS(Prod_Prop!$A:$A,Prod_Prop!$B:$B,$E945,Prod_Prop!$H:$H,L$1,Prod_Prop!$I:$I,"Exacto"),Prod_Prop!$A:$A,Prod_Prop!$J:$J,"",0,1))</f>
        <v/>
      </c>
      <c r="M945" s="4" t="str">
        <f t="array" ref="M945">IF($E945="","", XLOOKUP(SUMIFS(Prod_Prop!$A:$A,Prod_Prop!$B:$B,$E945,Prod_Prop!$H:$H,M$1,Prod_Prop!$I:$I,"Exacto"),Prod_Prop!$A:$A,Prod_Prop!$J:$J,"",0,1))</f>
        <v/>
      </c>
      <c r="N945" s="4" t="str">
        <f t="array" ref="N945">IF($E945="","", XLOOKUP(SUMIFS(Prod_Prop!$A:$A,Prod_Prop!$B:$B,$E945,Prod_Prop!$H:$H,N$1,Prod_Prop!$I:$I,"Exacto"),Prod_Prop!$A:$A,Prod_Prop!$J:$J,"",0,1))</f>
        <v/>
      </c>
      <c r="O945" s="4" t="str">
        <f t="array" ref="O945">IF($E945="","", XLOOKUP(SUMIFS(Prod_Prop!$A:$A,Prod_Prop!$B:$B,$E945,Prod_Prop!$H:$H,O$1,Prod_Prop!$I:$I,"Exacto"),Prod_Prop!$A:$A,Prod_Prop!$J:$J,"",0,1))</f>
        <v/>
      </c>
      <c r="P945" s="4" t="str">
        <f t="array" ref="P945">IF($E945="","", XLOOKUP(SUMIFS(Prod_Prop!$A:$A,Prod_Prop!$B:$B,$E945,Prod_Prop!$H:$H,P$1,Prod_Prop!$I:$I,"Exacto"),Prod_Prop!$A:$A,Prod_Prop!$J:$J,"",0,1))</f>
        <v/>
      </c>
      <c r="Q945" s="4" t="str">
        <f t="array" ref="Q945">IF($E945="","", XLOOKUP(SUMIFS(Prod_Prop!$A:$A,Prod_Prop!$B:$B,$E945,Prod_Prop!$H:$H,Q$1,Prod_Prop!$I:$I,"Exacto"),Prod_Prop!$A:$A,Prod_Prop!$J:$J,"",0,1))</f>
        <v/>
      </c>
      <c r="R945" s="4" t="str">
        <f t="array" ref="R945">IF($E945="","", XLOOKUP(SUMIFS(Prod_Prop!$A:$A,Prod_Prop!$B:$B,$E945,Prod_Prop!$H:$H,R$1,Prod_Prop!$I:$I,"Exacto"),Prod_Prop!$A:$A,Prod_Prop!$J:$J,"",0,1))</f>
        <v/>
      </c>
      <c r="S945" s="4" t="str">
        <f t="array" ref="S945">IF($E945="","", XLOOKUP(SUMIFS(Prod_Prop!$A:$A,Prod_Prop!$B:$B,$E945,Prod_Prop!$H:$H,S$1,Prod_Prop!$I:$I,"Exacto"),Prod_Prop!$A:$A,Prod_Prop!$J:$J,"",0,1))</f>
        <v/>
      </c>
      <c r="T945" s="4" t="str">
        <f t="array" ref="T945">IF($E945="","", XLOOKUP(SUMIFS(Prod_Prop!$A:$A,Prod_Prop!$B:$B,$E945,Prod_Prop!$H:$H,T$1,Prod_Prop!$I:$I,"Exacto"),Prod_Prop!$A:$A,Prod_Prop!$J:$J,"",0,1))</f>
        <v/>
      </c>
      <c r="U945" s="4" t="str">
        <f t="array" ref="U945">IF($E945="","", XLOOKUP(SUMIFS(Prod_Prop!$A:$A,Prod_Prop!$B:$B,$E945,Prod_Prop!$H:$H,U$1,Prod_Prop!$I:$I,"Exacto"),Prod_Prop!$A:$A,Prod_Prop!$J:$J,"",0,1))</f>
        <v/>
      </c>
      <c r="V945" s="4" t="str">
        <f t="array" ref="V945">IF($E945="","", XLOOKUP(SUMIFS(Prod_Prop!$A:$A,Prod_Prop!$B:$B,$E945,Prod_Prop!$H:$H,V$1,Prod_Prop!$I:$I,"Exacto"),Prod_Prop!$A:$A,Prod_Prop!$J:$J,"",0,1))</f>
        <v/>
      </c>
      <c r="X945" s="3" t="str">
        <f>IFERROR(__xludf.DUMMYFUNCTION("IF(D945="""","""",IFERROR(TRANSPOSE(FILTER('Validaciones Cotizador'!U:U,'Validaciones Cotizador'!O:O=D945,'Validaciones Cotizador'!T:T=""x"")),""Finalizar""))"),"")</f>
        <v/>
      </c>
    </row>
    <row r="946">
      <c r="A946" s="2" t="str">
        <f t="array" ref="A946">IF(E946="","",XLOOKUP(D946,'Validaciones Cotizador'!C:C,'Validaciones Cotizador'!A:A,"",0,1))</f>
        <v/>
      </c>
      <c r="B946" s="2" t="str">
        <f t="array" ref="B946">IF(F946="","",XLOOKUP(F946,Productos!E:E,Productos!G:G,"",0,1))</f>
        <v/>
      </c>
      <c r="C946" s="2" t="str">
        <f>IF(A946="","",SUMIFS('Validaciones Cotizador'!B:B,'Validaciones Cotizador'!C:C,D946,'Validaciones Cotizador'!A:A,A946))</f>
        <v/>
      </c>
      <c r="D946" s="4" t="str">
        <f>IFERROR(__xludf.DUMMYFUNCTION("IF(OR(F945=""Finalizar"",F945="""",F945=""Selecciona..""),"""",IF(OR(F945=""-"",INDEX(filter(Familias!F:F,Familias!D:D=A945,Familias!E:E=C945),1)=""O""),D945+1,D945))"),"")</f>
        <v/>
      </c>
      <c r="E946" s="2" t="str">
        <f>IF(OR(F946="",F946="Selecciona.."),"",IF(D946="Implemento",SUMIF(Implementos!B:B,F946,Implementos!A:A),SUMIF(Productos!E:E,F946,Productos!A:A)))</f>
        <v/>
      </c>
      <c r="F946" s="2" t="str">
        <f t="shared" si="2"/>
        <v/>
      </c>
      <c r="G946" s="10" t="str">
        <f t="array" ref="G946">IF(OR(F946="",F946="-",F946="Selecciona..",F946="Finalizar"),"",IF(A946="Rodados",XLOOKUP(B946,'Validaciones Cotizador'!I:I,'Validaciones Cotizador'!J:J,0,0,1),1))</f>
        <v/>
      </c>
      <c r="H946" s="11" t="str">
        <f>IF(OR(F946="",F946="Selecciona.."),"",SUMIF(Precio_Productos!K:K,E946,Precio_Productos!J:J)*G946)</f>
        <v/>
      </c>
      <c r="I946" s="4" t="str">
        <f t="array" ref="I946">IF($E946="","", XLOOKUP(SUMIFS(Prod_Prop!$A:$A,Prod_Prop!$B:$B,$E946,Prod_Prop!$H:$H,I$1,Prod_Prop!$I:$I,"Exacto"),Prod_Prop!$A:$A,Prod_Prop!$J:$J,"",0,1))</f>
        <v/>
      </c>
      <c r="J946" s="4" t="str">
        <f t="array" ref="J946">IF($E946="","", XLOOKUP(SUMIFS(Prod_Prop!$A:$A,Prod_Prop!$B:$B,$E946,Prod_Prop!$H:$H,J$1,Prod_Prop!$I:$I,"Exacto"),Prod_Prop!$A:$A,Prod_Prop!$J:$J,"",0,1))</f>
        <v/>
      </c>
      <c r="K946" s="4" t="str">
        <f t="array" ref="K946">IF($E946="","", XLOOKUP(SUMIFS(Prod_Prop!$A:$A,Prod_Prop!$B:$B,$E946,Prod_Prop!$H:$H,K$1,Prod_Prop!$I:$I,"Exacto"),Prod_Prop!$A:$A,Prod_Prop!$J:$J,"",0,1))</f>
        <v/>
      </c>
      <c r="L946" s="4" t="str">
        <f t="array" ref="L946">IF($E946="","", XLOOKUP(SUMIFS(Prod_Prop!$A:$A,Prod_Prop!$B:$B,$E946,Prod_Prop!$H:$H,L$1,Prod_Prop!$I:$I,"Exacto"),Prod_Prop!$A:$A,Prod_Prop!$J:$J,"",0,1))</f>
        <v/>
      </c>
      <c r="M946" s="4" t="str">
        <f t="array" ref="M946">IF($E946="","", XLOOKUP(SUMIFS(Prod_Prop!$A:$A,Prod_Prop!$B:$B,$E946,Prod_Prop!$H:$H,M$1,Prod_Prop!$I:$I,"Exacto"),Prod_Prop!$A:$A,Prod_Prop!$J:$J,"",0,1))</f>
        <v/>
      </c>
      <c r="N946" s="4" t="str">
        <f t="array" ref="N946">IF($E946="","", XLOOKUP(SUMIFS(Prod_Prop!$A:$A,Prod_Prop!$B:$B,$E946,Prod_Prop!$H:$H,N$1,Prod_Prop!$I:$I,"Exacto"),Prod_Prop!$A:$A,Prod_Prop!$J:$J,"",0,1))</f>
        <v/>
      </c>
      <c r="O946" s="4" t="str">
        <f t="array" ref="O946">IF($E946="","", XLOOKUP(SUMIFS(Prod_Prop!$A:$A,Prod_Prop!$B:$B,$E946,Prod_Prop!$H:$H,O$1,Prod_Prop!$I:$I,"Exacto"),Prod_Prop!$A:$A,Prod_Prop!$J:$J,"",0,1))</f>
        <v/>
      </c>
      <c r="P946" s="4" t="str">
        <f t="array" ref="P946">IF($E946="","", XLOOKUP(SUMIFS(Prod_Prop!$A:$A,Prod_Prop!$B:$B,$E946,Prod_Prop!$H:$H,P$1,Prod_Prop!$I:$I,"Exacto"),Prod_Prop!$A:$A,Prod_Prop!$J:$J,"",0,1))</f>
        <v/>
      </c>
      <c r="Q946" s="4" t="str">
        <f t="array" ref="Q946">IF($E946="","", XLOOKUP(SUMIFS(Prod_Prop!$A:$A,Prod_Prop!$B:$B,$E946,Prod_Prop!$H:$H,Q$1,Prod_Prop!$I:$I,"Exacto"),Prod_Prop!$A:$A,Prod_Prop!$J:$J,"",0,1))</f>
        <v/>
      </c>
      <c r="R946" s="4" t="str">
        <f t="array" ref="R946">IF($E946="","", XLOOKUP(SUMIFS(Prod_Prop!$A:$A,Prod_Prop!$B:$B,$E946,Prod_Prop!$H:$H,R$1,Prod_Prop!$I:$I,"Exacto"),Prod_Prop!$A:$A,Prod_Prop!$J:$J,"",0,1))</f>
        <v/>
      </c>
      <c r="S946" s="4" t="str">
        <f t="array" ref="S946">IF($E946="","", XLOOKUP(SUMIFS(Prod_Prop!$A:$A,Prod_Prop!$B:$B,$E946,Prod_Prop!$H:$H,S$1,Prod_Prop!$I:$I,"Exacto"),Prod_Prop!$A:$A,Prod_Prop!$J:$J,"",0,1))</f>
        <v/>
      </c>
      <c r="T946" s="4" t="str">
        <f t="array" ref="T946">IF($E946="","", XLOOKUP(SUMIFS(Prod_Prop!$A:$A,Prod_Prop!$B:$B,$E946,Prod_Prop!$H:$H,T$1,Prod_Prop!$I:$I,"Exacto"),Prod_Prop!$A:$A,Prod_Prop!$J:$J,"",0,1))</f>
        <v/>
      </c>
      <c r="U946" s="4" t="str">
        <f t="array" ref="U946">IF($E946="","", XLOOKUP(SUMIFS(Prod_Prop!$A:$A,Prod_Prop!$B:$B,$E946,Prod_Prop!$H:$H,U$1,Prod_Prop!$I:$I,"Exacto"),Prod_Prop!$A:$A,Prod_Prop!$J:$J,"",0,1))</f>
        <v/>
      </c>
      <c r="V946" s="4" t="str">
        <f t="array" ref="V946">IF($E946="","", XLOOKUP(SUMIFS(Prod_Prop!$A:$A,Prod_Prop!$B:$B,$E946,Prod_Prop!$H:$H,V$1,Prod_Prop!$I:$I,"Exacto"),Prod_Prop!$A:$A,Prod_Prop!$J:$J,"",0,1))</f>
        <v/>
      </c>
      <c r="X946" s="3" t="str">
        <f>IFERROR(__xludf.DUMMYFUNCTION("IF(D946="""","""",IFERROR(TRANSPOSE(FILTER('Validaciones Cotizador'!U:U,'Validaciones Cotizador'!O:O=D946,'Validaciones Cotizador'!T:T=""x"")),""Finalizar""))"),"")</f>
        <v/>
      </c>
    </row>
    <row r="947">
      <c r="A947" s="2" t="str">
        <f t="array" ref="A947">IF(E947="","",XLOOKUP(D947,'Validaciones Cotizador'!C:C,'Validaciones Cotizador'!A:A,"",0,1))</f>
        <v/>
      </c>
      <c r="B947" s="2" t="str">
        <f t="array" ref="B947">IF(F947="","",XLOOKUP(F947,Productos!E:E,Productos!G:G,"",0,1))</f>
        <v/>
      </c>
      <c r="C947" s="2" t="str">
        <f>IF(A947="","",SUMIFS('Validaciones Cotizador'!B:B,'Validaciones Cotizador'!C:C,D947,'Validaciones Cotizador'!A:A,A947))</f>
        <v/>
      </c>
      <c r="D947" s="4" t="str">
        <f>IFERROR(__xludf.DUMMYFUNCTION("IF(OR(F946=""Finalizar"",F946="""",F946=""Selecciona..""),"""",IF(OR(F946=""-"",INDEX(filter(Familias!F:F,Familias!D:D=A946,Familias!E:E=C946),1)=""O""),D946+1,D946))"),"")</f>
        <v/>
      </c>
      <c r="E947" s="2" t="str">
        <f>IF(OR(F947="",F947="Selecciona.."),"",IF(D947="Implemento",SUMIF(Implementos!B:B,F947,Implementos!A:A),SUMIF(Productos!E:E,F947,Productos!A:A)))</f>
        <v/>
      </c>
      <c r="F947" s="2" t="str">
        <f t="shared" si="2"/>
        <v/>
      </c>
      <c r="G947" s="10" t="str">
        <f t="array" ref="G947">IF(OR(F947="",F947="-",F947="Selecciona..",F947="Finalizar"),"",IF(A947="Rodados",XLOOKUP(B947,'Validaciones Cotizador'!I:I,'Validaciones Cotizador'!J:J,0,0,1),1))</f>
        <v/>
      </c>
      <c r="H947" s="11" t="str">
        <f>IF(OR(F947="",F947="Selecciona.."),"",SUMIF(Precio_Productos!K:K,E947,Precio_Productos!J:J)*G947)</f>
        <v/>
      </c>
      <c r="I947" s="4" t="str">
        <f t="array" ref="I947">IF($E947="","", XLOOKUP(SUMIFS(Prod_Prop!$A:$A,Prod_Prop!$B:$B,$E947,Prod_Prop!$H:$H,I$1,Prod_Prop!$I:$I,"Exacto"),Prod_Prop!$A:$A,Prod_Prop!$J:$J,"",0,1))</f>
        <v/>
      </c>
      <c r="J947" s="4" t="str">
        <f t="array" ref="J947">IF($E947="","", XLOOKUP(SUMIFS(Prod_Prop!$A:$A,Prod_Prop!$B:$B,$E947,Prod_Prop!$H:$H,J$1,Prod_Prop!$I:$I,"Exacto"),Prod_Prop!$A:$A,Prod_Prop!$J:$J,"",0,1))</f>
        <v/>
      </c>
      <c r="K947" s="4" t="str">
        <f t="array" ref="K947">IF($E947="","", XLOOKUP(SUMIFS(Prod_Prop!$A:$A,Prod_Prop!$B:$B,$E947,Prod_Prop!$H:$H,K$1,Prod_Prop!$I:$I,"Exacto"),Prod_Prop!$A:$A,Prod_Prop!$J:$J,"",0,1))</f>
        <v/>
      </c>
      <c r="L947" s="4" t="str">
        <f t="array" ref="L947">IF($E947="","", XLOOKUP(SUMIFS(Prod_Prop!$A:$A,Prod_Prop!$B:$B,$E947,Prod_Prop!$H:$H,L$1,Prod_Prop!$I:$I,"Exacto"),Prod_Prop!$A:$A,Prod_Prop!$J:$J,"",0,1))</f>
        <v/>
      </c>
      <c r="M947" s="4" t="str">
        <f t="array" ref="M947">IF($E947="","", XLOOKUP(SUMIFS(Prod_Prop!$A:$A,Prod_Prop!$B:$B,$E947,Prod_Prop!$H:$H,M$1,Prod_Prop!$I:$I,"Exacto"),Prod_Prop!$A:$A,Prod_Prop!$J:$J,"",0,1))</f>
        <v/>
      </c>
      <c r="N947" s="4" t="str">
        <f t="array" ref="N947">IF($E947="","", XLOOKUP(SUMIFS(Prod_Prop!$A:$A,Prod_Prop!$B:$B,$E947,Prod_Prop!$H:$H,N$1,Prod_Prop!$I:$I,"Exacto"),Prod_Prop!$A:$A,Prod_Prop!$J:$J,"",0,1))</f>
        <v/>
      </c>
      <c r="O947" s="4" t="str">
        <f t="array" ref="O947">IF($E947="","", XLOOKUP(SUMIFS(Prod_Prop!$A:$A,Prod_Prop!$B:$B,$E947,Prod_Prop!$H:$H,O$1,Prod_Prop!$I:$I,"Exacto"),Prod_Prop!$A:$A,Prod_Prop!$J:$J,"",0,1))</f>
        <v/>
      </c>
      <c r="P947" s="4" t="str">
        <f t="array" ref="P947">IF($E947="","", XLOOKUP(SUMIFS(Prod_Prop!$A:$A,Prod_Prop!$B:$B,$E947,Prod_Prop!$H:$H,P$1,Prod_Prop!$I:$I,"Exacto"),Prod_Prop!$A:$A,Prod_Prop!$J:$J,"",0,1))</f>
        <v/>
      </c>
      <c r="Q947" s="4" t="str">
        <f t="array" ref="Q947">IF($E947="","", XLOOKUP(SUMIFS(Prod_Prop!$A:$A,Prod_Prop!$B:$B,$E947,Prod_Prop!$H:$H,Q$1,Prod_Prop!$I:$I,"Exacto"),Prod_Prop!$A:$A,Prod_Prop!$J:$J,"",0,1))</f>
        <v/>
      </c>
      <c r="R947" s="4" t="str">
        <f t="array" ref="R947">IF($E947="","", XLOOKUP(SUMIFS(Prod_Prop!$A:$A,Prod_Prop!$B:$B,$E947,Prod_Prop!$H:$H,R$1,Prod_Prop!$I:$I,"Exacto"),Prod_Prop!$A:$A,Prod_Prop!$J:$J,"",0,1))</f>
        <v/>
      </c>
      <c r="S947" s="4" t="str">
        <f t="array" ref="S947">IF($E947="","", XLOOKUP(SUMIFS(Prod_Prop!$A:$A,Prod_Prop!$B:$B,$E947,Prod_Prop!$H:$H,S$1,Prod_Prop!$I:$I,"Exacto"),Prod_Prop!$A:$A,Prod_Prop!$J:$J,"",0,1))</f>
        <v/>
      </c>
      <c r="T947" s="4" t="str">
        <f t="array" ref="T947">IF($E947="","", XLOOKUP(SUMIFS(Prod_Prop!$A:$A,Prod_Prop!$B:$B,$E947,Prod_Prop!$H:$H,T$1,Prod_Prop!$I:$I,"Exacto"),Prod_Prop!$A:$A,Prod_Prop!$J:$J,"",0,1))</f>
        <v/>
      </c>
      <c r="U947" s="4" t="str">
        <f t="array" ref="U947">IF($E947="","", XLOOKUP(SUMIFS(Prod_Prop!$A:$A,Prod_Prop!$B:$B,$E947,Prod_Prop!$H:$H,U$1,Prod_Prop!$I:$I,"Exacto"),Prod_Prop!$A:$A,Prod_Prop!$J:$J,"",0,1))</f>
        <v/>
      </c>
      <c r="V947" s="4" t="str">
        <f t="array" ref="V947">IF($E947="","", XLOOKUP(SUMIFS(Prod_Prop!$A:$A,Prod_Prop!$B:$B,$E947,Prod_Prop!$H:$H,V$1,Prod_Prop!$I:$I,"Exacto"),Prod_Prop!$A:$A,Prod_Prop!$J:$J,"",0,1))</f>
        <v/>
      </c>
      <c r="X947" s="3" t="str">
        <f>IFERROR(__xludf.DUMMYFUNCTION("IF(D947="""","""",IFERROR(TRANSPOSE(FILTER('Validaciones Cotizador'!U:U,'Validaciones Cotizador'!O:O=D947,'Validaciones Cotizador'!T:T=""x"")),""Finalizar""))"),"")</f>
        <v/>
      </c>
    </row>
    <row r="948">
      <c r="A948" s="2" t="str">
        <f t="array" ref="A948">IF(E948="","",XLOOKUP(D948,'Validaciones Cotizador'!C:C,'Validaciones Cotizador'!A:A,"",0,1))</f>
        <v/>
      </c>
      <c r="B948" s="2" t="str">
        <f t="array" ref="B948">IF(F948="","",XLOOKUP(F948,Productos!E:E,Productos!G:G,"",0,1))</f>
        <v/>
      </c>
      <c r="C948" s="2" t="str">
        <f>IF(A948="","",SUMIFS('Validaciones Cotizador'!B:B,'Validaciones Cotizador'!C:C,D948,'Validaciones Cotizador'!A:A,A948))</f>
        <v/>
      </c>
      <c r="D948" s="4" t="str">
        <f>IFERROR(__xludf.DUMMYFUNCTION("IF(OR(F947=""Finalizar"",F947="""",F947=""Selecciona..""),"""",IF(OR(F947=""-"",INDEX(filter(Familias!F:F,Familias!D:D=A947,Familias!E:E=C947),1)=""O""),D947+1,D947))"),"")</f>
        <v/>
      </c>
      <c r="E948" s="2" t="str">
        <f>IF(OR(F948="",F948="Selecciona.."),"",IF(D948="Implemento",SUMIF(Implementos!B:B,F948,Implementos!A:A),SUMIF(Productos!E:E,F948,Productos!A:A)))</f>
        <v/>
      </c>
      <c r="F948" s="2" t="str">
        <f t="shared" si="2"/>
        <v/>
      </c>
      <c r="G948" s="10" t="str">
        <f t="array" ref="G948">IF(OR(F948="",F948="-",F948="Selecciona..",F948="Finalizar"),"",IF(A948="Rodados",XLOOKUP(B948,'Validaciones Cotizador'!I:I,'Validaciones Cotizador'!J:J,0,0,1),1))</f>
        <v/>
      </c>
      <c r="H948" s="11" t="str">
        <f>IF(OR(F948="",F948="Selecciona.."),"",SUMIF(Precio_Productos!K:K,E948,Precio_Productos!J:J)*G948)</f>
        <v/>
      </c>
      <c r="I948" s="4" t="str">
        <f t="array" ref="I948">IF($E948="","", XLOOKUP(SUMIFS(Prod_Prop!$A:$A,Prod_Prop!$B:$B,$E948,Prod_Prop!$H:$H,I$1,Prod_Prop!$I:$I,"Exacto"),Prod_Prop!$A:$A,Prod_Prop!$J:$J,"",0,1))</f>
        <v/>
      </c>
      <c r="J948" s="4" t="str">
        <f t="array" ref="J948">IF($E948="","", XLOOKUP(SUMIFS(Prod_Prop!$A:$A,Prod_Prop!$B:$B,$E948,Prod_Prop!$H:$H,J$1,Prod_Prop!$I:$I,"Exacto"),Prod_Prop!$A:$A,Prod_Prop!$J:$J,"",0,1))</f>
        <v/>
      </c>
      <c r="K948" s="4" t="str">
        <f t="array" ref="K948">IF($E948="","", XLOOKUP(SUMIFS(Prod_Prop!$A:$A,Prod_Prop!$B:$B,$E948,Prod_Prop!$H:$H,K$1,Prod_Prop!$I:$I,"Exacto"),Prod_Prop!$A:$A,Prod_Prop!$J:$J,"",0,1))</f>
        <v/>
      </c>
      <c r="L948" s="4" t="str">
        <f t="array" ref="L948">IF($E948="","", XLOOKUP(SUMIFS(Prod_Prop!$A:$A,Prod_Prop!$B:$B,$E948,Prod_Prop!$H:$H,L$1,Prod_Prop!$I:$I,"Exacto"),Prod_Prop!$A:$A,Prod_Prop!$J:$J,"",0,1))</f>
        <v/>
      </c>
      <c r="M948" s="4" t="str">
        <f t="array" ref="M948">IF($E948="","", XLOOKUP(SUMIFS(Prod_Prop!$A:$A,Prod_Prop!$B:$B,$E948,Prod_Prop!$H:$H,M$1,Prod_Prop!$I:$I,"Exacto"),Prod_Prop!$A:$A,Prod_Prop!$J:$J,"",0,1))</f>
        <v/>
      </c>
      <c r="N948" s="4" t="str">
        <f t="array" ref="N948">IF($E948="","", XLOOKUP(SUMIFS(Prod_Prop!$A:$A,Prod_Prop!$B:$B,$E948,Prod_Prop!$H:$H,N$1,Prod_Prop!$I:$I,"Exacto"),Prod_Prop!$A:$A,Prod_Prop!$J:$J,"",0,1))</f>
        <v/>
      </c>
      <c r="O948" s="4" t="str">
        <f t="array" ref="O948">IF($E948="","", XLOOKUP(SUMIFS(Prod_Prop!$A:$A,Prod_Prop!$B:$B,$E948,Prod_Prop!$H:$H,O$1,Prod_Prop!$I:$I,"Exacto"),Prod_Prop!$A:$A,Prod_Prop!$J:$J,"",0,1))</f>
        <v/>
      </c>
      <c r="P948" s="4" t="str">
        <f t="array" ref="P948">IF($E948="","", XLOOKUP(SUMIFS(Prod_Prop!$A:$A,Prod_Prop!$B:$B,$E948,Prod_Prop!$H:$H,P$1,Prod_Prop!$I:$I,"Exacto"),Prod_Prop!$A:$A,Prod_Prop!$J:$J,"",0,1))</f>
        <v/>
      </c>
      <c r="Q948" s="4" t="str">
        <f t="array" ref="Q948">IF($E948="","", XLOOKUP(SUMIFS(Prod_Prop!$A:$A,Prod_Prop!$B:$B,$E948,Prod_Prop!$H:$H,Q$1,Prod_Prop!$I:$I,"Exacto"),Prod_Prop!$A:$A,Prod_Prop!$J:$J,"",0,1))</f>
        <v/>
      </c>
      <c r="R948" s="4" t="str">
        <f t="array" ref="R948">IF($E948="","", XLOOKUP(SUMIFS(Prod_Prop!$A:$A,Prod_Prop!$B:$B,$E948,Prod_Prop!$H:$H,R$1,Prod_Prop!$I:$I,"Exacto"),Prod_Prop!$A:$A,Prod_Prop!$J:$J,"",0,1))</f>
        <v/>
      </c>
      <c r="S948" s="4" t="str">
        <f t="array" ref="S948">IF($E948="","", XLOOKUP(SUMIFS(Prod_Prop!$A:$A,Prod_Prop!$B:$B,$E948,Prod_Prop!$H:$H,S$1,Prod_Prop!$I:$I,"Exacto"),Prod_Prop!$A:$A,Prod_Prop!$J:$J,"",0,1))</f>
        <v/>
      </c>
      <c r="T948" s="4" t="str">
        <f t="array" ref="T948">IF($E948="","", XLOOKUP(SUMIFS(Prod_Prop!$A:$A,Prod_Prop!$B:$B,$E948,Prod_Prop!$H:$H,T$1,Prod_Prop!$I:$I,"Exacto"),Prod_Prop!$A:$A,Prod_Prop!$J:$J,"",0,1))</f>
        <v/>
      </c>
      <c r="U948" s="4" t="str">
        <f t="array" ref="U948">IF($E948="","", XLOOKUP(SUMIFS(Prod_Prop!$A:$A,Prod_Prop!$B:$B,$E948,Prod_Prop!$H:$H,U$1,Prod_Prop!$I:$I,"Exacto"),Prod_Prop!$A:$A,Prod_Prop!$J:$J,"",0,1))</f>
        <v/>
      </c>
      <c r="V948" s="4" t="str">
        <f t="array" ref="V948">IF($E948="","", XLOOKUP(SUMIFS(Prod_Prop!$A:$A,Prod_Prop!$B:$B,$E948,Prod_Prop!$H:$H,V$1,Prod_Prop!$I:$I,"Exacto"),Prod_Prop!$A:$A,Prod_Prop!$J:$J,"",0,1))</f>
        <v/>
      </c>
      <c r="X948" s="3" t="str">
        <f>IFERROR(__xludf.DUMMYFUNCTION("IF(D948="""","""",IFERROR(TRANSPOSE(FILTER('Validaciones Cotizador'!U:U,'Validaciones Cotizador'!O:O=D948,'Validaciones Cotizador'!T:T=""x"")),""Finalizar""))"),"")</f>
        <v/>
      </c>
    </row>
    <row r="949">
      <c r="A949" s="2" t="str">
        <f t="array" ref="A949">IF(E949="","",XLOOKUP(D949,'Validaciones Cotizador'!C:C,'Validaciones Cotizador'!A:A,"",0,1))</f>
        <v/>
      </c>
      <c r="B949" s="2" t="str">
        <f t="array" ref="B949">IF(F949="","",XLOOKUP(F949,Productos!E:E,Productos!G:G,"",0,1))</f>
        <v/>
      </c>
      <c r="C949" s="2" t="str">
        <f>IF(A949="","",SUMIFS('Validaciones Cotizador'!B:B,'Validaciones Cotizador'!C:C,D949,'Validaciones Cotizador'!A:A,A949))</f>
        <v/>
      </c>
      <c r="D949" s="4" t="str">
        <f>IFERROR(__xludf.DUMMYFUNCTION("IF(OR(F948=""Finalizar"",F948="""",F948=""Selecciona..""),"""",IF(OR(F948=""-"",INDEX(filter(Familias!F:F,Familias!D:D=A948,Familias!E:E=C948),1)=""O""),D948+1,D948))"),"")</f>
        <v/>
      </c>
      <c r="E949" s="2" t="str">
        <f>IF(OR(F949="",F949="Selecciona.."),"",IF(D949="Implemento",SUMIF(Implementos!B:B,F949,Implementos!A:A),SUMIF(Productos!E:E,F949,Productos!A:A)))</f>
        <v/>
      </c>
      <c r="F949" s="2" t="str">
        <f t="shared" si="2"/>
        <v/>
      </c>
      <c r="G949" s="10" t="str">
        <f t="array" ref="G949">IF(OR(F949="",F949="-",F949="Selecciona..",F949="Finalizar"),"",IF(A949="Rodados",XLOOKUP(B949,'Validaciones Cotizador'!I:I,'Validaciones Cotizador'!J:J,0,0,1),1))</f>
        <v/>
      </c>
      <c r="H949" s="11" t="str">
        <f>IF(OR(F949="",F949="Selecciona.."),"",SUMIF(Precio_Productos!K:K,E949,Precio_Productos!J:J)*G949)</f>
        <v/>
      </c>
      <c r="I949" s="4" t="str">
        <f t="array" ref="I949">IF($E949="","", XLOOKUP(SUMIFS(Prod_Prop!$A:$A,Prod_Prop!$B:$B,$E949,Prod_Prop!$H:$H,I$1,Prod_Prop!$I:$I,"Exacto"),Prod_Prop!$A:$A,Prod_Prop!$J:$J,"",0,1))</f>
        <v/>
      </c>
      <c r="J949" s="4" t="str">
        <f t="array" ref="J949">IF($E949="","", XLOOKUP(SUMIFS(Prod_Prop!$A:$A,Prod_Prop!$B:$B,$E949,Prod_Prop!$H:$H,J$1,Prod_Prop!$I:$I,"Exacto"),Prod_Prop!$A:$A,Prod_Prop!$J:$J,"",0,1))</f>
        <v/>
      </c>
      <c r="K949" s="4" t="str">
        <f t="array" ref="K949">IF($E949="","", XLOOKUP(SUMIFS(Prod_Prop!$A:$A,Prod_Prop!$B:$B,$E949,Prod_Prop!$H:$H,K$1,Prod_Prop!$I:$I,"Exacto"),Prod_Prop!$A:$A,Prod_Prop!$J:$J,"",0,1))</f>
        <v/>
      </c>
      <c r="L949" s="4" t="str">
        <f t="array" ref="L949">IF($E949="","", XLOOKUP(SUMIFS(Prod_Prop!$A:$A,Prod_Prop!$B:$B,$E949,Prod_Prop!$H:$H,L$1,Prod_Prop!$I:$I,"Exacto"),Prod_Prop!$A:$A,Prod_Prop!$J:$J,"",0,1))</f>
        <v/>
      </c>
      <c r="M949" s="4" t="str">
        <f t="array" ref="M949">IF($E949="","", XLOOKUP(SUMIFS(Prod_Prop!$A:$A,Prod_Prop!$B:$B,$E949,Prod_Prop!$H:$H,M$1,Prod_Prop!$I:$I,"Exacto"),Prod_Prop!$A:$A,Prod_Prop!$J:$J,"",0,1))</f>
        <v/>
      </c>
      <c r="N949" s="4" t="str">
        <f t="array" ref="N949">IF($E949="","", XLOOKUP(SUMIFS(Prod_Prop!$A:$A,Prod_Prop!$B:$B,$E949,Prod_Prop!$H:$H,N$1,Prod_Prop!$I:$I,"Exacto"),Prod_Prop!$A:$A,Prod_Prop!$J:$J,"",0,1))</f>
        <v/>
      </c>
      <c r="O949" s="4" t="str">
        <f t="array" ref="O949">IF($E949="","", XLOOKUP(SUMIFS(Prod_Prop!$A:$A,Prod_Prop!$B:$B,$E949,Prod_Prop!$H:$H,O$1,Prod_Prop!$I:$I,"Exacto"),Prod_Prop!$A:$A,Prod_Prop!$J:$J,"",0,1))</f>
        <v/>
      </c>
      <c r="P949" s="4" t="str">
        <f t="array" ref="P949">IF($E949="","", XLOOKUP(SUMIFS(Prod_Prop!$A:$A,Prod_Prop!$B:$B,$E949,Prod_Prop!$H:$H,P$1,Prod_Prop!$I:$I,"Exacto"),Prod_Prop!$A:$A,Prod_Prop!$J:$J,"",0,1))</f>
        <v/>
      </c>
      <c r="Q949" s="4" t="str">
        <f t="array" ref="Q949">IF($E949="","", XLOOKUP(SUMIFS(Prod_Prop!$A:$A,Prod_Prop!$B:$B,$E949,Prod_Prop!$H:$H,Q$1,Prod_Prop!$I:$I,"Exacto"),Prod_Prop!$A:$A,Prod_Prop!$J:$J,"",0,1))</f>
        <v/>
      </c>
      <c r="R949" s="4" t="str">
        <f t="array" ref="R949">IF($E949="","", XLOOKUP(SUMIFS(Prod_Prop!$A:$A,Prod_Prop!$B:$B,$E949,Prod_Prop!$H:$H,R$1,Prod_Prop!$I:$I,"Exacto"),Prod_Prop!$A:$A,Prod_Prop!$J:$J,"",0,1))</f>
        <v/>
      </c>
      <c r="S949" s="4" t="str">
        <f t="array" ref="S949">IF($E949="","", XLOOKUP(SUMIFS(Prod_Prop!$A:$A,Prod_Prop!$B:$B,$E949,Prod_Prop!$H:$H,S$1,Prod_Prop!$I:$I,"Exacto"),Prod_Prop!$A:$A,Prod_Prop!$J:$J,"",0,1))</f>
        <v/>
      </c>
      <c r="T949" s="4" t="str">
        <f t="array" ref="T949">IF($E949="","", XLOOKUP(SUMIFS(Prod_Prop!$A:$A,Prod_Prop!$B:$B,$E949,Prod_Prop!$H:$H,T$1,Prod_Prop!$I:$I,"Exacto"),Prod_Prop!$A:$A,Prod_Prop!$J:$J,"",0,1))</f>
        <v/>
      </c>
      <c r="U949" s="4" t="str">
        <f t="array" ref="U949">IF($E949="","", XLOOKUP(SUMIFS(Prod_Prop!$A:$A,Prod_Prop!$B:$B,$E949,Prod_Prop!$H:$H,U$1,Prod_Prop!$I:$I,"Exacto"),Prod_Prop!$A:$A,Prod_Prop!$J:$J,"",0,1))</f>
        <v/>
      </c>
      <c r="V949" s="4" t="str">
        <f t="array" ref="V949">IF($E949="","", XLOOKUP(SUMIFS(Prod_Prop!$A:$A,Prod_Prop!$B:$B,$E949,Prod_Prop!$H:$H,V$1,Prod_Prop!$I:$I,"Exacto"),Prod_Prop!$A:$A,Prod_Prop!$J:$J,"",0,1))</f>
        <v/>
      </c>
      <c r="X949" s="3" t="str">
        <f>IFERROR(__xludf.DUMMYFUNCTION("IF(D949="""","""",IFERROR(TRANSPOSE(FILTER('Validaciones Cotizador'!U:U,'Validaciones Cotizador'!O:O=D949,'Validaciones Cotizador'!T:T=""x"")),""Finalizar""))"),"")</f>
        <v/>
      </c>
    </row>
    <row r="950">
      <c r="A950" s="2" t="str">
        <f t="array" ref="A950">IF(E950="","",XLOOKUP(D950,'Validaciones Cotizador'!C:C,'Validaciones Cotizador'!A:A,"",0,1))</f>
        <v/>
      </c>
      <c r="B950" s="2" t="str">
        <f t="array" ref="B950">IF(F950="","",XLOOKUP(F950,Productos!E:E,Productos!G:G,"",0,1))</f>
        <v/>
      </c>
      <c r="C950" s="2" t="str">
        <f>IF(A950="","",SUMIFS('Validaciones Cotizador'!B:B,'Validaciones Cotizador'!C:C,D950,'Validaciones Cotizador'!A:A,A950))</f>
        <v/>
      </c>
      <c r="D950" s="4" t="str">
        <f>IFERROR(__xludf.DUMMYFUNCTION("IF(OR(F949=""Finalizar"",F949="""",F949=""Selecciona..""),"""",IF(OR(F949=""-"",INDEX(filter(Familias!F:F,Familias!D:D=A949,Familias!E:E=C949),1)=""O""),D949+1,D949))"),"")</f>
        <v/>
      </c>
      <c r="E950" s="2" t="str">
        <f>IF(OR(F950="",F950="Selecciona.."),"",IF(D950="Implemento",SUMIF(Implementos!B:B,F950,Implementos!A:A),SUMIF(Productos!E:E,F950,Productos!A:A)))</f>
        <v/>
      </c>
      <c r="F950" s="2" t="str">
        <f t="shared" si="2"/>
        <v/>
      </c>
      <c r="G950" s="10" t="str">
        <f t="array" ref="G950">IF(OR(F950="",F950="-",F950="Selecciona..",F950="Finalizar"),"",IF(A950="Rodados",XLOOKUP(B950,'Validaciones Cotizador'!I:I,'Validaciones Cotizador'!J:J,0,0,1),1))</f>
        <v/>
      </c>
      <c r="H950" s="11" t="str">
        <f>IF(OR(F950="",F950="Selecciona.."),"",SUMIF(Precio_Productos!K:K,E950,Precio_Productos!J:J)*G950)</f>
        <v/>
      </c>
      <c r="I950" s="4" t="str">
        <f t="array" ref="I950">IF($E950="","", XLOOKUP(SUMIFS(Prod_Prop!$A:$A,Prod_Prop!$B:$B,$E950,Prod_Prop!$H:$H,I$1,Prod_Prop!$I:$I,"Exacto"),Prod_Prop!$A:$A,Prod_Prop!$J:$J,"",0,1))</f>
        <v/>
      </c>
      <c r="J950" s="4" t="str">
        <f t="array" ref="J950">IF($E950="","", XLOOKUP(SUMIFS(Prod_Prop!$A:$A,Prod_Prop!$B:$B,$E950,Prod_Prop!$H:$H,J$1,Prod_Prop!$I:$I,"Exacto"),Prod_Prop!$A:$A,Prod_Prop!$J:$J,"",0,1))</f>
        <v/>
      </c>
      <c r="K950" s="4" t="str">
        <f t="array" ref="K950">IF($E950="","", XLOOKUP(SUMIFS(Prod_Prop!$A:$A,Prod_Prop!$B:$B,$E950,Prod_Prop!$H:$H,K$1,Prod_Prop!$I:$I,"Exacto"),Prod_Prop!$A:$A,Prod_Prop!$J:$J,"",0,1))</f>
        <v/>
      </c>
      <c r="L950" s="4" t="str">
        <f t="array" ref="L950">IF($E950="","", XLOOKUP(SUMIFS(Prod_Prop!$A:$A,Prod_Prop!$B:$B,$E950,Prod_Prop!$H:$H,L$1,Prod_Prop!$I:$I,"Exacto"),Prod_Prop!$A:$A,Prod_Prop!$J:$J,"",0,1))</f>
        <v/>
      </c>
      <c r="M950" s="4" t="str">
        <f t="array" ref="M950">IF($E950="","", XLOOKUP(SUMIFS(Prod_Prop!$A:$A,Prod_Prop!$B:$B,$E950,Prod_Prop!$H:$H,M$1,Prod_Prop!$I:$I,"Exacto"),Prod_Prop!$A:$A,Prod_Prop!$J:$J,"",0,1))</f>
        <v/>
      </c>
      <c r="N950" s="4" t="str">
        <f t="array" ref="N950">IF($E950="","", XLOOKUP(SUMIFS(Prod_Prop!$A:$A,Prod_Prop!$B:$B,$E950,Prod_Prop!$H:$H,N$1,Prod_Prop!$I:$I,"Exacto"),Prod_Prop!$A:$A,Prod_Prop!$J:$J,"",0,1))</f>
        <v/>
      </c>
      <c r="O950" s="4" t="str">
        <f t="array" ref="O950">IF($E950="","", XLOOKUP(SUMIFS(Prod_Prop!$A:$A,Prod_Prop!$B:$B,$E950,Prod_Prop!$H:$H,O$1,Prod_Prop!$I:$I,"Exacto"),Prod_Prop!$A:$A,Prod_Prop!$J:$J,"",0,1))</f>
        <v/>
      </c>
      <c r="P950" s="4" t="str">
        <f t="array" ref="P950">IF($E950="","", XLOOKUP(SUMIFS(Prod_Prop!$A:$A,Prod_Prop!$B:$B,$E950,Prod_Prop!$H:$H,P$1,Prod_Prop!$I:$I,"Exacto"),Prod_Prop!$A:$A,Prod_Prop!$J:$J,"",0,1))</f>
        <v/>
      </c>
      <c r="Q950" s="4" t="str">
        <f t="array" ref="Q950">IF($E950="","", XLOOKUP(SUMIFS(Prod_Prop!$A:$A,Prod_Prop!$B:$B,$E950,Prod_Prop!$H:$H,Q$1,Prod_Prop!$I:$I,"Exacto"),Prod_Prop!$A:$A,Prod_Prop!$J:$J,"",0,1))</f>
        <v/>
      </c>
      <c r="R950" s="4" t="str">
        <f t="array" ref="R950">IF($E950="","", XLOOKUP(SUMIFS(Prod_Prop!$A:$A,Prod_Prop!$B:$B,$E950,Prod_Prop!$H:$H,R$1,Prod_Prop!$I:$I,"Exacto"),Prod_Prop!$A:$A,Prod_Prop!$J:$J,"",0,1))</f>
        <v/>
      </c>
      <c r="S950" s="4" t="str">
        <f t="array" ref="S950">IF($E950="","", XLOOKUP(SUMIFS(Prod_Prop!$A:$A,Prod_Prop!$B:$B,$E950,Prod_Prop!$H:$H,S$1,Prod_Prop!$I:$I,"Exacto"),Prod_Prop!$A:$A,Prod_Prop!$J:$J,"",0,1))</f>
        <v/>
      </c>
      <c r="T950" s="4" t="str">
        <f t="array" ref="T950">IF($E950="","", XLOOKUP(SUMIFS(Prod_Prop!$A:$A,Prod_Prop!$B:$B,$E950,Prod_Prop!$H:$H,T$1,Prod_Prop!$I:$I,"Exacto"),Prod_Prop!$A:$A,Prod_Prop!$J:$J,"",0,1))</f>
        <v/>
      </c>
      <c r="U950" s="4" t="str">
        <f t="array" ref="U950">IF($E950="","", XLOOKUP(SUMIFS(Prod_Prop!$A:$A,Prod_Prop!$B:$B,$E950,Prod_Prop!$H:$H,U$1,Prod_Prop!$I:$I,"Exacto"),Prod_Prop!$A:$A,Prod_Prop!$J:$J,"",0,1))</f>
        <v/>
      </c>
      <c r="V950" s="4" t="str">
        <f t="array" ref="V950">IF($E950="","", XLOOKUP(SUMIFS(Prod_Prop!$A:$A,Prod_Prop!$B:$B,$E950,Prod_Prop!$H:$H,V$1,Prod_Prop!$I:$I,"Exacto"),Prod_Prop!$A:$A,Prod_Prop!$J:$J,"",0,1))</f>
        <v/>
      </c>
      <c r="X950" s="3" t="str">
        <f>IFERROR(__xludf.DUMMYFUNCTION("IF(D950="""","""",IFERROR(TRANSPOSE(FILTER('Validaciones Cotizador'!U:U,'Validaciones Cotizador'!O:O=D950,'Validaciones Cotizador'!T:T=""x"")),""Finalizar""))"),"")</f>
        <v/>
      </c>
    </row>
    <row r="951">
      <c r="A951" s="2" t="str">
        <f t="array" ref="A951">IF(E951="","",XLOOKUP(D951,'Validaciones Cotizador'!C:C,'Validaciones Cotizador'!A:A,"",0,1))</f>
        <v/>
      </c>
      <c r="B951" s="2" t="str">
        <f t="array" ref="B951">IF(F951="","",XLOOKUP(F951,Productos!E:E,Productos!G:G,"",0,1))</f>
        <v/>
      </c>
      <c r="C951" s="2" t="str">
        <f>IF(A951="","",SUMIFS('Validaciones Cotizador'!B:B,'Validaciones Cotizador'!C:C,D951,'Validaciones Cotizador'!A:A,A951))</f>
        <v/>
      </c>
      <c r="D951" s="4" t="str">
        <f>IFERROR(__xludf.DUMMYFUNCTION("IF(OR(F950=""Finalizar"",F950="""",F950=""Selecciona..""),"""",IF(OR(F950=""-"",INDEX(filter(Familias!F:F,Familias!D:D=A950,Familias!E:E=C950),1)=""O""),D950+1,D950))"),"")</f>
        <v/>
      </c>
      <c r="E951" s="2" t="str">
        <f>IF(OR(F951="",F951="Selecciona.."),"",IF(D951="Implemento",SUMIF(Implementos!B:B,F951,Implementos!A:A),SUMIF(Productos!E:E,F951,Productos!A:A)))</f>
        <v/>
      </c>
      <c r="F951" s="2" t="str">
        <f t="shared" si="2"/>
        <v/>
      </c>
      <c r="G951" s="10" t="str">
        <f t="array" ref="G951">IF(OR(F951="",F951="-",F951="Selecciona..",F951="Finalizar"),"",IF(A951="Rodados",XLOOKUP(B951,'Validaciones Cotizador'!I:I,'Validaciones Cotizador'!J:J,0,0,1),1))</f>
        <v/>
      </c>
      <c r="H951" s="11" t="str">
        <f>IF(OR(F951="",F951="Selecciona.."),"",SUMIF(Precio_Productos!K:K,E951,Precio_Productos!J:J)*G951)</f>
        <v/>
      </c>
      <c r="I951" s="4" t="str">
        <f t="array" ref="I951">IF($E951="","", XLOOKUP(SUMIFS(Prod_Prop!$A:$A,Prod_Prop!$B:$B,$E951,Prod_Prop!$H:$H,I$1,Prod_Prop!$I:$I,"Exacto"),Prod_Prop!$A:$A,Prod_Prop!$J:$J,"",0,1))</f>
        <v/>
      </c>
      <c r="J951" s="4" t="str">
        <f t="array" ref="J951">IF($E951="","", XLOOKUP(SUMIFS(Prod_Prop!$A:$A,Prod_Prop!$B:$B,$E951,Prod_Prop!$H:$H,J$1,Prod_Prop!$I:$I,"Exacto"),Prod_Prop!$A:$A,Prod_Prop!$J:$J,"",0,1))</f>
        <v/>
      </c>
      <c r="K951" s="4" t="str">
        <f t="array" ref="K951">IF($E951="","", XLOOKUP(SUMIFS(Prod_Prop!$A:$A,Prod_Prop!$B:$B,$E951,Prod_Prop!$H:$H,K$1,Prod_Prop!$I:$I,"Exacto"),Prod_Prop!$A:$A,Prod_Prop!$J:$J,"",0,1))</f>
        <v/>
      </c>
      <c r="L951" s="4" t="str">
        <f t="array" ref="L951">IF($E951="","", XLOOKUP(SUMIFS(Prod_Prop!$A:$A,Prod_Prop!$B:$B,$E951,Prod_Prop!$H:$H,L$1,Prod_Prop!$I:$I,"Exacto"),Prod_Prop!$A:$A,Prod_Prop!$J:$J,"",0,1))</f>
        <v/>
      </c>
      <c r="M951" s="4" t="str">
        <f t="array" ref="M951">IF($E951="","", XLOOKUP(SUMIFS(Prod_Prop!$A:$A,Prod_Prop!$B:$B,$E951,Prod_Prop!$H:$H,M$1,Prod_Prop!$I:$I,"Exacto"),Prod_Prop!$A:$A,Prod_Prop!$J:$J,"",0,1))</f>
        <v/>
      </c>
      <c r="N951" s="4" t="str">
        <f t="array" ref="N951">IF($E951="","", XLOOKUP(SUMIFS(Prod_Prop!$A:$A,Prod_Prop!$B:$B,$E951,Prod_Prop!$H:$H,N$1,Prod_Prop!$I:$I,"Exacto"),Prod_Prop!$A:$A,Prod_Prop!$J:$J,"",0,1))</f>
        <v/>
      </c>
      <c r="O951" s="4" t="str">
        <f t="array" ref="O951">IF($E951="","", XLOOKUP(SUMIFS(Prod_Prop!$A:$A,Prod_Prop!$B:$B,$E951,Prod_Prop!$H:$H,O$1,Prod_Prop!$I:$I,"Exacto"),Prod_Prop!$A:$A,Prod_Prop!$J:$J,"",0,1))</f>
        <v/>
      </c>
      <c r="P951" s="4" t="str">
        <f t="array" ref="P951">IF($E951="","", XLOOKUP(SUMIFS(Prod_Prop!$A:$A,Prod_Prop!$B:$B,$E951,Prod_Prop!$H:$H,P$1,Prod_Prop!$I:$I,"Exacto"),Prod_Prop!$A:$A,Prod_Prop!$J:$J,"",0,1))</f>
        <v/>
      </c>
      <c r="Q951" s="4" t="str">
        <f t="array" ref="Q951">IF($E951="","", XLOOKUP(SUMIFS(Prod_Prop!$A:$A,Prod_Prop!$B:$B,$E951,Prod_Prop!$H:$H,Q$1,Prod_Prop!$I:$I,"Exacto"),Prod_Prop!$A:$A,Prod_Prop!$J:$J,"",0,1))</f>
        <v/>
      </c>
      <c r="R951" s="4" t="str">
        <f t="array" ref="R951">IF($E951="","", XLOOKUP(SUMIFS(Prod_Prop!$A:$A,Prod_Prop!$B:$B,$E951,Prod_Prop!$H:$H,R$1,Prod_Prop!$I:$I,"Exacto"),Prod_Prop!$A:$A,Prod_Prop!$J:$J,"",0,1))</f>
        <v/>
      </c>
      <c r="S951" s="4" t="str">
        <f t="array" ref="S951">IF($E951="","", XLOOKUP(SUMIFS(Prod_Prop!$A:$A,Prod_Prop!$B:$B,$E951,Prod_Prop!$H:$H,S$1,Prod_Prop!$I:$I,"Exacto"),Prod_Prop!$A:$A,Prod_Prop!$J:$J,"",0,1))</f>
        <v/>
      </c>
      <c r="T951" s="4" t="str">
        <f t="array" ref="T951">IF($E951="","", XLOOKUP(SUMIFS(Prod_Prop!$A:$A,Prod_Prop!$B:$B,$E951,Prod_Prop!$H:$H,T$1,Prod_Prop!$I:$I,"Exacto"),Prod_Prop!$A:$A,Prod_Prop!$J:$J,"",0,1))</f>
        <v/>
      </c>
      <c r="U951" s="4" t="str">
        <f t="array" ref="U951">IF($E951="","", XLOOKUP(SUMIFS(Prod_Prop!$A:$A,Prod_Prop!$B:$B,$E951,Prod_Prop!$H:$H,U$1,Prod_Prop!$I:$I,"Exacto"),Prod_Prop!$A:$A,Prod_Prop!$J:$J,"",0,1))</f>
        <v/>
      </c>
      <c r="V951" s="4" t="str">
        <f t="array" ref="V951">IF($E951="","", XLOOKUP(SUMIFS(Prod_Prop!$A:$A,Prod_Prop!$B:$B,$E951,Prod_Prop!$H:$H,V$1,Prod_Prop!$I:$I,"Exacto"),Prod_Prop!$A:$A,Prod_Prop!$J:$J,"",0,1))</f>
        <v/>
      </c>
      <c r="X951" s="3" t="str">
        <f>IFERROR(__xludf.DUMMYFUNCTION("IF(D951="""","""",IFERROR(TRANSPOSE(FILTER('Validaciones Cotizador'!U:U,'Validaciones Cotizador'!O:O=D951,'Validaciones Cotizador'!T:T=""x"")),""Finalizar""))"),"")</f>
        <v/>
      </c>
    </row>
    <row r="952">
      <c r="A952" s="2" t="str">
        <f t="array" ref="A952">IF(E952="","",XLOOKUP(D952,'Validaciones Cotizador'!C:C,'Validaciones Cotizador'!A:A,"",0,1))</f>
        <v/>
      </c>
      <c r="B952" s="2" t="str">
        <f t="array" ref="B952">IF(F952="","",XLOOKUP(F952,Productos!E:E,Productos!G:G,"",0,1))</f>
        <v/>
      </c>
      <c r="C952" s="2" t="str">
        <f>IF(A952="","",SUMIFS('Validaciones Cotizador'!B:B,'Validaciones Cotizador'!C:C,D952,'Validaciones Cotizador'!A:A,A952))</f>
        <v/>
      </c>
      <c r="D952" s="4" t="str">
        <f>IFERROR(__xludf.DUMMYFUNCTION("IF(OR(F951=""Finalizar"",F951="""",F951=""Selecciona..""),"""",IF(OR(F951=""-"",INDEX(filter(Familias!F:F,Familias!D:D=A951,Familias!E:E=C951),1)=""O""),D951+1,D951))"),"")</f>
        <v/>
      </c>
      <c r="E952" s="2" t="str">
        <f>IF(OR(F952="",F952="Selecciona.."),"",IF(D952="Implemento",SUMIF(Implementos!B:B,F952,Implementos!A:A),SUMIF(Productos!E:E,F952,Productos!A:A)))</f>
        <v/>
      </c>
      <c r="F952" s="2" t="str">
        <f t="shared" si="2"/>
        <v/>
      </c>
      <c r="G952" s="10" t="str">
        <f t="array" ref="G952">IF(OR(F952="",F952="-",F952="Selecciona..",F952="Finalizar"),"",IF(A952="Rodados",XLOOKUP(B952,'Validaciones Cotizador'!I:I,'Validaciones Cotizador'!J:J,0,0,1),1))</f>
        <v/>
      </c>
      <c r="H952" s="11" t="str">
        <f>IF(OR(F952="",F952="Selecciona.."),"",SUMIF(Precio_Productos!K:K,E952,Precio_Productos!J:J)*G952)</f>
        <v/>
      </c>
      <c r="I952" s="4" t="str">
        <f t="array" ref="I952">IF($E952="","", XLOOKUP(SUMIFS(Prod_Prop!$A:$A,Prod_Prop!$B:$B,$E952,Prod_Prop!$H:$H,I$1,Prod_Prop!$I:$I,"Exacto"),Prod_Prop!$A:$A,Prod_Prop!$J:$J,"",0,1))</f>
        <v/>
      </c>
      <c r="J952" s="4" t="str">
        <f t="array" ref="J952">IF($E952="","", XLOOKUP(SUMIFS(Prod_Prop!$A:$A,Prod_Prop!$B:$B,$E952,Prod_Prop!$H:$H,J$1,Prod_Prop!$I:$I,"Exacto"),Prod_Prop!$A:$A,Prod_Prop!$J:$J,"",0,1))</f>
        <v/>
      </c>
      <c r="K952" s="4" t="str">
        <f t="array" ref="K952">IF($E952="","", XLOOKUP(SUMIFS(Prod_Prop!$A:$A,Prod_Prop!$B:$B,$E952,Prod_Prop!$H:$H,K$1,Prod_Prop!$I:$I,"Exacto"),Prod_Prop!$A:$A,Prod_Prop!$J:$J,"",0,1))</f>
        <v/>
      </c>
      <c r="L952" s="4" t="str">
        <f t="array" ref="L952">IF($E952="","", XLOOKUP(SUMIFS(Prod_Prop!$A:$A,Prod_Prop!$B:$B,$E952,Prod_Prop!$H:$H,L$1,Prod_Prop!$I:$I,"Exacto"),Prod_Prop!$A:$A,Prod_Prop!$J:$J,"",0,1))</f>
        <v/>
      </c>
      <c r="M952" s="4" t="str">
        <f t="array" ref="M952">IF($E952="","", XLOOKUP(SUMIFS(Prod_Prop!$A:$A,Prod_Prop!$B:$B,$E952,Prod_Prop!$H:$H,M$1,Prod_Prop!$I:$I,"Exacto"),Prod_Prop!$A:$A,Prod_Prop!$J:$J,"",0,1))</f>
        <v/>
      </c>
      <c r="N952" s="4" t="str">
        <f t="array" ref="N952">IF($E952="","", XLOOKUP(SUMIFS(Prod_Prop!$A:$A,Prod_Prop!$B:$B,$E952,Prod_Prop!$H:$H,N$1,Prod_Prop!$I:$I,"Exacto"),Prod_Prop!$A:$A,Prod_Prop!$J:$J,"",0,1))</f>
        <v/>
      </c>
      <c r="O952" s="4" t="str">
        <f t="array" ref="O952">IF($E952="","", XLOOKUP(SUMIFS(Prod_Prop!$A:$A,Prod_Prop!$B:$B,$E952,Prod_Prop!$H:$H,O$1,Prod_Prop!$I:$I,"Exacto"),Prod_Prop!$A:$A,Prod_Prop!$J:$J,"",0,1))</f>
        <v/>
      </c>
      <c r="P952" s="4" t="str">
        <f t="array" ref="P952">IF($E952="","", XLOOKUP(SUMIFS(Prod_Prop!$A:$A,Prod_Prop!$B:$B,$E952,Prod_Prop!$H:$H,P$1,Prod_Prop!$I:$I,"Exacto"),Prod_Prop!$A:$A,Prod_Prop!$J:$J,"",0,1))</f>
        <v/>
      </c>
      <c r="Q952" s="4" t="str">
        <f t="array" ref="Q952">IF($E952="","", XLOOKUP(SUMIFS(Prod_Prop!$A:$A,Prod_Prop!$B:$B,$E952,Prod_Prop!$H:$H,Q$1,Prod_Prop!$I:$I,"Exacto"),Prod_Prop!$A:$A,Prod_Prop!$J:$J,"",0,1))</f>
        <v/>
      </c>
      <c r="R952" s="4" t="str">
        <f t="array" ref="R952">IF($E952="","", XLOOKUP(SUMIFS(Prod_Prop!$A:$A,Prod_Prop!$B:$B,$E952,Prod_Prop!$H:$H,R$1,Prod_Prop!$I:$I,"Exacto"),Prod_Prop!$A:$A,Prod_Prop!$J:$J,"",0,1))</f>
        <v/>
      </c>
      <c r="S952" s="4" t="str">
        <f t="array" ref="S952">IF($E952="","", XLOOKUP(SUMIFS(Prod_Prop!$A:$A,Prod_Prop!$B:$B,$E952,Prod_Prop!$H:$H,S$1,Prod_Prop!$I:$I,"Exacto"),Prod_Prop!$A:$A,Prod_Prop!$J:$J,"",0,1))</f>
        <v/>
      </c>
      <c r="T952" s="4" t="str">
        <f t="array" ref="T952">IF($E952="","", XLOOKUP(SUMIFS(Prod_Prop!$A:$A,Prod_Prop!$B:$B,$E952,Prod_Prop!$H:$H,T$1,Prod_Prop!$I:$I,"Exacto"),Prod_Prop!$A:$A,Prod_Prop!$J:$J,"",0,1))</f>
        <v/>
      </c>
      <c r="U952" s="4" t="str">
        <f t="array" ref="U952">IF($E952="","", XLOOKUP(SUMIFS(Prod_Prop!$A:$A,Prod_Prop!$B:$B,$E952,Prod_Prop!$H:$H,U$1,Prod_Prop!$I:$I,"Exacto"),Prod_Prop!$A:$A,Prod_Prop!$J:$J,"",0,1))</f>
        <v/>
      </c>
      <c r="V952" s="4" t="str">
        <f t="array" ref="V952">IF($E952="","", XLOOKUP(SUMIFS(Prod_Prop!$A:$A,Prod_Prop!$B:$B,$E952,Prod_Prop!$H:$H,V$1,Prod_Prop!$I:$I,"Exacto"),Prod_Prop!$A:$A,Prod_Prop!$J:$J,"",0,1))</f>
        <v/>
      </c>
      <c r="X952" s="3" t="str">
        <f>IFERROR(__xludf.DUMMYFUNCTION("IF(D952="""","""",IFERROR(TRANSPOSE(FILTER('Validaciones Cotizador'!U:U,'Validaciones Cotizador'!O:O=D952,'Validaciones Cotizador'!T:T=""x"")),""Finalizar""))"),"")</f>
        <v/>
      </c>
    </row>
    <row r="953">
      <c r="A953" s="2" t="str">
        <f t="array" ref="A953">IF(E953="","",XLOOKUP(D953,'Validaciones Cotizador'!C:C,'Validaciones Cotizador'!A:A,"",0,1))</f>
        <v/>
      </c>
      <c r="B953" s="2" t="str">
        <f t="array" ref="B953">IF(F953="","",XLOOKUP(F953,Productos!E:E,Productos!G:G,"",0,1))</f>
        <v/>
      </c>
      <c r="C953" s="2" t="str">
        <f>IF(A953="","",SUMIFS('Validaciones Cotizador'!B:B,'Validaciones Cotizador'!C:C,D953,'Validaciones Cotizador'!A:A,A953))</f>
        <v/>
      </c>
      <c r="D953" s="4" t="str">
        <f>IFERROR(__xludf.DUMMYFUNCTION("IF(OR(F952=""Finalizar"",F952="""",F952=""Selecciona..""),"""",IF(OR(F952=""-"",INDEX(filter(Familias!F:F,Familias!D:D=A952,Familias!E:E=C952),1)=""O""),D952+1,D952))"),"")</f>
        <v/>
      </c>
      <c r="E953" s="2" t="str">
        <f>IF(OR(F953="",F953="Selecciona.."),"",IF(D953="Implemento",SUMIF(Implementos!B:B,F953,Implementos!A:A),SUMIF(Productos!E:E,F953,Productos!A:A)))</f>
        <v/>
      </c>
      <c r="F953" s="2" t="str">
        <f t="shared" si="2"/>
        <v/>
      </c>
      <c r="G953" s="10" t="str">
        <f t="array" ref="G953">IF(OR(F953="",F953="-",F953="Selecciona..",F953="Finalizar"),"",IF(A953="Rodados",XLOOKUP(B953,'Validaciones Cotizador'!I:I,'Validaciones Cotizador'!J:J,0,0,1),1))</f>
        <v/>
      </c>
      <c r="H953" s="11" t="str">
        <f>IF(OR(F953="",F953="Selecciona.."),"",SUMIF(Precio_Productos!K:K,E953,Precio_Productos!J:J)*G953)</f>
        <v/>
      </c>
      <c r="I953" s="4" t="str">
        <f t="array" ref="I953">IF($E953="","", XLOOKUP(SUMIFS(Prod_Prop!$A:$A,Prod_Prop!$B:$B,$E953,Prod_Prop!$H:$H,I$1,Prod_Prop!$I:$I,"Exacto"),Prod_Prop!$A:$A,Prod_Prop!$J:$J,"",0,1))</f>
        <v/>
      </c>
      <c r="J953" s="4" t="str">
        <f t="array" ref="J953">IF($E953="","", XLOOKUP(SUMIFS(Prod_Prop!$A:$A,Prod_Prop!$B:$B,$E953,Prod_Prop!$H:$H,J$1,Prod_Prop!$I:$I,"Exacto"),Prod_Prop!$A:$A,Prod_Prop!$J:$J,"",0,1))</f>
        <v/>
      </c>
      <c r="K953" s="4" t="str">
        <f t="array" ref="K953">IF($E953="","", XLOOKUP(SUMIFS(Prod_Prop!$A:$A,Prod_Prop!$B:$B,$E953,Prod_Prop!$H:$H,K$1,Prod_Prop!$I:$I,"Exacto"),Prod_Prop!$A:$A,Prod_Prop!$J:$J,"",0,1))</f>
        <v/>
      </c>
      <c r="L953" s="4" t="str">
        <f t="array" ref="L953">IF($E953="","", XLOOKUP(SUMIFS(Prod_Prop!$A:$A,Prod_Prop!$B:$B,$E953,Prod_Prop!$H:$H,L$1,Prod_Prop!$I:$I,"Exacto"),Prod_Prop!$A:$A,Prod_Prop!$J:$J,"",0,1))</f>
        <v/>
      </c>
      <c r="M953" s="4" t="str">
        <f t="array" ref="M953">IF($E953="","", XLOOKUP(SUMIFS(Prod_Prop!$A:$A,Prod_Prop!$B:$B,$E953,Prod_Prop!$H:$H,M$1,Prod_Prop!$I:$I,"Exacto"),Prod_Prop!$A:$A,Prod_Prop!$J:$J,"",0,1))</f>
        <v/>
      </c>
      <c r="N953" s="4" t="str">
        <f t="array" ref="N953">IF($E953="","", XLOOKUP(SUMIFS(Prod_Prop!$A:$A,Prod_Prop!$B:$B,$E953,Prod_Prop!$H:$H,N$1,Prod_Prop!$I:$I,"Exacto"),Prod_Prop!$A:$A,Prod_Prop!$J:$J,"",0,1))</f>
        <v/>
      </c>
      <c r="O953" s="4" t="str">
        <f t="array" ref="O953">IF($E953="","", XLOOKUP(SUMIFS(Prod_Prop!$A:$A,Prod_Prop!$B:$B,$E953,Prod_Prop!$H:$H,O$1,Prod_Prop!$I:$I,"Exacto"),Prod_Prop!$A:$A,Prod_Prop!$J:$J,"",0,1))</f>
        <v/>
      </c>
      <c r="P953" s="4" t="str">
        <f t="array" ref="P953">IF($E953="","", XLOOKUP(SUMIFS(Prod_Prop!$A:$A,Prod_Prop!$B:$B,$E953,Prod_Prop!$H:$H,P$1,Prod_Prop!$I:$I,"Exacto"),Prod_Prop!$A:$A,Prod_Prop!$J:$J,"",0,1))</f>
        <v/>
      </c>
      <c r="Q953" s="4" t="str">
        <f t="array" ref="Q953">IF($E953="","", XLOOKUP(SUMIFS(Prod_Prop!$A:$A,Prod_Prop!$B:$B,$E953,Prod_Prop!$H:$H,Q$1,Prod_Prop!$I:$I,"Exacto"),Prod_Prop!$A:$A,Prod_Prop!$J:$J,"",0,1))</f>
        <v/>
      </c>
      <c r="R953" s="4" t="str">
        <f t="array" ref="R953">IF($E953="","", XLOOKUP(SUMIFS(Prod_Prop!$A:$A,Prod_Prop!$B:$B,$E953,Prod_Prop!$H:$H,R$1,Prod_Prop!$I:$I,"Exacto"),Prod_Prop!$A:$A,Prod_Prop!$J:$J,"",0,1))</f>
        <v/>
      </c>
      <c r="S953" s="4" t="str">
        <f t="array" ref="S953">IF($E953="","", XLOOKUP(SUMIFS(Prod_Prop!$A:$A,Prod_Prop!$B:$B,$E953,Prod_Prop!$H:$H,S$1,Prod_Prop!$I:$I,"Exacto"),Prod_Prop!$A:$A,Prod_Prop!$J:$J,"",0,1))</f>
        <v/>
      </c>
      <c r="T953" s="4" t="str">
        <f t="array" ref="T953">IF($E953="","", XLOOKUP(SUMIFS(Prod_Prop!$A:$A,Prod_Prop!$B:$B,$E953,Prod_Prop!$H:$H,T$1,Prod_Prop!$I:$I,"Exacto"),Prod_Prop!$A:$A,Prod_Prop!$J:$J,"",0,1))</f>
        <v/>
      </c>
      <c r="U953" s="4" t="str">
        <f t="array" ref="U953">IF($E953="","", XLOOKUP(SUMIFS(Prod_Prop!$A:$A,Prod_Prop!$B:$B,$E953,Prod_Prop!$H:$H,U$1,Prod_Prop!$I:$I,"Exacto"),Prod_Prop!$A:$A,Prod_Prop!$J:$J,"",0,1))</f>
        <v/>
      </c>
      <c r="V953" s="4" t="str">
        <f t="array" ref="V953">IF($E953="","", XLOOKUP(SUMIFS(Prod_Prop!$A:$A,Prod_Prop!$B:$B,$E953,Prod_Prop!$H:$H,V$1,Prod_Prop!$I:$I,"Exacto"),Prod_Prop!$A:$A,Prod_Prop!$J:$J,"",0,1))</f>
        <v/>
      </c>
      <c r="X953" s="3" t="str">
        <f>IFERROR(__xludf.DUMMYFUNCTION("IF(D953="""","""",IFERROR(TRANSPOSE(FILTER('Validaciones Cotizador'!U:U,'Validaciones Cotizador'!O:O=D953,'Validaciones Cotizador'!T:T=""x"")),""Finalizar""))"),"")</f>
        <v/>
      </c>
    </row>
    <row r="954">
      <c r="A954" s="2" t="str">
        <f t="array" ref="A954">IF(E954="","",XLOOKUP(D954,'Validaciones Cotizador'!C:C,'Validaciones Cotizador'!A:A,"",0,1))</f>
        <v/>
      </c>
      <c r="B954" s="2" t="str">
        <f t="array" ref="B954">IF(F954="","",XLOOKUP(F954,Productos!E:E,Productos!G:G,"",0,1))</f>
        <v/>
      </c>
      <c r="C954" s="2" t="str">
        <f>IF(A954="","",SUMIFS('Validaciones Cotizador'!B:B,'Validaciones Cotizador'!C:C,D954,'Validaciones Cotizador'!A:A,A954))</f>
        <v/>
      </c>
      <c r="D954" s="4" t="str">
        <f>IFERROR(__xludf.DUMMYFUNCTION("IF(OR(F953=""Finalizar"",F953="""",F953=""Selecciona..""),"""",IF(OR(F953=""-"",INDEX(filter(Familias!F:F,Familias!D:D=A953,Familias!E:E=C953),1)=""O""),D953+1,D953))"),"")</f>
        <v/>
      </c>
      <c r="E954" s="2" t="str">
        <f>IF(OR(F954="",F954="Selecciona.."),"",IF(D954="Implemento",SUMIF(Implementos!B:B,F954,Implementos!A:A),SUMIF(Productos!E:E,F954,Productos!A:A)))</f>
        <v/>
      </c>
      <c r="F954" s="2" t="str">
        <f t="shared" si="2"/>
        <v/>
      </c>
      <c r="G954" s="10" t="str">
        <f t="array" ref="G954">IF(OR(F954="",F954="-",F954="Selecciona..",F954="Finalizar"),"",IF(A954="Rodados",XLOOKUP(B954,'Validaciones Cotizador'!I:I,'Validaciones Cotizador'!J:J,0,0,1),1))</f>
        <v/>
      </c>
      <c r="H954" s="11" t="str">
        <f>IF(OR(F954="",F954="Selecciona.."),"",SUMIF(Precio_Productos!K:K,E954,Precio_Productos!J:J)*G954)</f>
        <v/>
      </c>
      <c r="I954" s="4" t="str">
        <f t="array" ref="I954">IF($E954="","", XLOOKUP(SUMIFS(Prod_Prop!$A:$A,Prod_Prop!$B:$B,$E954,Prod_Prop!$H:$H,I$1,Prod_Prop!$I:$I,"Exacto"),Prod_Prop!$A:$A,Prod_Prop!$J:$J,"",0,1))</f>
        <v/>
      </c>
      <c r="J954" s="4" t="str">
        <f t="array" ref="J954">IF($E954="","", XLOOKUP(SUMIFS(Prod_Prop!$A:$A,Prod_Prop!$B:$B,$E954,Prod_Prop!$H:$H,J$1,Prod_Prop!$I:$I,"Exacto"),Prod_Prop!$A:$A,Prod_Prop!$J:$J,"",0,1))</f>
        <v/>
      </c>
      <c r="K954" s="4" t="str">
        <f t="array" ref="K954">IF($E954="","", XLOOKUP(SUMIFS(Prod_Prop!$A:$A,Prod_Prop!$B:$B,$E954,Prod_Prop!$H:$H,K$1,Prod_Prop!$I:$I,"Exacto"),Prod_Prop!$A:$A,Prod_Prop!$J:$J,"",0,1))</f>
        <v/>
      </c>
      <c r="L954" s="4" t="str">
        <f t="array" ref="L954">IF($E954="","", XLOOKUP(SUMIFS(Prod_Prop!$A:$A,Prod_Prop!$B:$B,$E954,Prod_Prop!$H:$H,L$1,Prod_Prop!$I:$I,"Exacto"),Prod_Prop!$A:$A,Prod_Prop!$J:$J,"",0,1))</f>
        <v/>
      </c>
      <c r="M954" s="4" t="str">
        <f t="array" ref="M954">IF($E954="","", XLOOKUP(SUMIFS(Prod_Prop!$A:$A,Prod_Prop!$B:$B,$E954,Prod_Prop!$H:$H,M$1,Prod_Prop!$I:$I,"Exacto"),Prod_Prop!$A:$A,Prod_Prop!$J:$J,"",0,1))</f>
        <v/>
      </c>
      <c r="N954" s="4" t="str">
        <f t="array" ref="N954">IF($E954="","", XLOOKUP(SUMIFS(Prod_Prop!$A:$A,Prod_Prop!$B:$B,$E954,Prod_Prop!$H:$H,N$1,Prod_Prop!$I:$I,"Exacto"),Prod_Prop!$A:$A,Prod_Prop!$J:$J,"",0,1))</f>
        <v/>
      </c>
      <c r="O954" s="4" t="str">
        <f t="array" ref="O954">IF($E954="","", XLOOKUP(SUMIFS(Prod_Prop!$A:$A,Prod_Prop!$B:$B,$E954,Prod_Prop!$H:$H,O$1,Prod_Prop!$I:$I,"Exacto"),Prod_Prop!$A:$A,Prod_Prop!$J:$J,"",0,1))</f>
        <v/>
      </c>
      <c r="P954" s="4" t="str">
        <f t="array" ref="P954">IF($E954="","", XLOOKUP(SUMIFS(Prod_Prop!$A:$A,Prod_Prop!$B:$B,$E954,Prod_Prop!$H:$H,P$1,Prod_Prop!$I:$I,"Exacto"),Prod_Prop!$A:$A,Prod_Prop!$J:$J,"",0,1))</f>
        <v/>
      </c>
      <c r="Q954" s="4" t="str">
        <f t="array" ref="Q954">IF($E954="","", XLOOKUP(SUMIFS(Prod_Prop!$A:$A,Prod_Prop!$B:$B,$E954,Prod_Prop!$H:$H,Q$1,Prod_Prop!$I:$I,"Exacto"),Prod_Prop!$A:$A,Prod_Prop!$J:$J,"",0,1))</f>
        <v/>
      </c>
      <c r="R954" s="4" t="str">
        <f t="array" ref="R954">IF($E954="","", XLOOKUP(SUMIFS(Prod_Prop!$A:$A,Prod_Prop!$B:$B,$E954,Prod_Prop!$H:$H,R$1,Prod_Prop!$I:$I,"Exacto"),Prod_Prop!$A:$A,Prod_Prop!$J:$J,"",0,1))</f>
        <v/>
      </c>
      <c r="S954" s="4" t="str">
        <f t="array" ref="S954">IF($E954="","", XLOOKUP(SUMIFS(Prod_Prop!$A:$A,Prod_Prop!$B:$B,$E954,Prod_Prop!$H:$H,S$1,Prod_Prop!$I:$I,"Exacto"),Prod_Prop!$A:$A,Prod_Prop!$J:$J,"",0,1))</f>
        <v/>
      </c>
      <c r="T954" s="4" t="str">
        <f t="array" ref="T954">IF($E954="","", XLOOKUP(SUMIFS(Prod_Prop!$A:$A,Prod_Prop!$B:$B,$E954,Prod_Prop!$H:$H,T$1,Prod_Prop!$I:$I,"Exacto"),Prod_Prop!$A:$A,Prod_Prop!$J:$J,"",0,1))</f>
        <v/>
      </c>
      <c r="U954" s="4" t="str">
        <f t="array" ref="U954">IF($E954="","", XLOOKUP(SUMIFS(Prod_Prop!$A:$A,Prod_Prop!$B:$B,$E954,Prod_Prop!$H:$H,U$1,Prod_Prop!$I:$I,"Exacto"),Prod_Prop!$A:$A,Prod_Prop!$J:$J,"",0,1))</f>
        <v/>
      </c>
      <c r="V954" s="4" t="str">
        <f t="array" ref="V954">IF($E954="","", XLOOKUP(SUMIFS(Prod_Prop!$A:$A,Prod_Prop!$B:$B,$E954,Prod_Prop!$H:$H,V$1,Prod_Prop!$I:$I,"Exacto"),Prod_Prop!$A:$A,Prod_Prop!$J:$J,"",0,1))</f>
        <v/>
      </c>
      <c r="X954" s="3" t="str">
        <f>IFERROR(__xludf.DUMMYFUNCTION("IF(D954="""","""",IFERROR(TRANSPOSE(FILTER('Validaciones Cotizador'!U:U,'Validaciones Cotizador'!O:O=D954,'Validaciones Cotizador'!T:T=""x"")),""Finalizar""))"),"")</f>
        <v/>
      </c>
    </row>
    <row r="955">
      <c r="A955" s="2" t="str">
        <f t="array" ref="A955">IF(E955="","",XLOOKUP(D955,'Validaciones Cotizador'!C:C,'Validaciones Cotizador'!A:A,"",0,1))</f>
        <v/>
      </c>
      <c r="B955" s="2" t="str">
        <f t="array" ref="B955">IF(F955="","",XLOOKUP(F955,Productos!E:E,Productos!G:G,"",0,1))</f>
        <v/>
      </c>
      <c r="C955" s="2" t="str">
        <f>IF(A955="","",SUMIFS('Validaciones Cotizador'!B:B,'Validaciones Cotizador'!C:C,D955,'Validaciones Cotizador'!A:A,A955))</f>
        <v/>
      </c>
      <c r="D955" s="4" t="str">
        <f>IFERROR(__xludf.DUMMYFUNCTION("IF(OR(F954=""Finalizar"",F954="""",F954=""Selecciona..""),"""",IF(OR(F954=""-"",INDEX(filter(Familias!F:F,Familias!D:D=A954,Familias!E:E=C954),1)=""O""),D954+1,D954))"),"")</f>
        <v/>
      </c>
      <c r="E955" s="2" t="str">
        <f>IF(OR(F955="",F955="Selecciona.."),"",IF(D955="Implemento",SUMIF(Implementos!B:B,F955,Implementos!A:A),SUMIF(Productos!E:E,F955,Productos!A:A)))</f>
        <v/>
      </c>
      <c r="F955" s="2" t="str">
        <f t="shared" si="2"/>
        <v/>
      </c>
      <c r="G955" s="10" t="str">
        <f t="array" ref="G955">IF(OR(F955="",F955="-",F955="Selecciona..",F955="Finalizar"),"",IF(A955="Rodados",XLOOKUP(B955,'Validaciones Cotizador'!I:I,'Validaciones Cotizador'!J:J,0,0,1),1))</f>
        <v/>
      </c>
      <c r="H955" s="11" t="str">
        <f>IF(OR(F955="",F955="Selecciona.."),"",SUMIF(Precio_Productos!K:K,E955,Precio_Productos!J:J)*G955)</f>
        <v/>
      </c>
      <c r="I955" s="4" t="str">
        <f t="array" ref="I955">IF($E955="","", XLOOKUP(SUMIFS(Prod_Prop!$A:$A,Prod_Prop!$B:$B,$E955,Prod_Prop!$H:$H,I$1,Prod_Prop!$I:$I,"Exacto"),Prod_Prop!$A:$A,Prod_Prop!$J:$J,"",0,1))</f>
        <v/>
      </c>
      <c r="J955" s="4" t="str">
        <f t="array" ref="J955">IF($E955="","", XLOOKUP(SUMIFS(Prod_Prop!$A:$A,Prod_Prop!$B:$B,$E955,Prod_Prop!$H:$H,J$1,Prod_Prop!$I:$I,"Exacto"),Prod_Prop!$A:$A,Prod_Prop!$J:$J,"",0,1))</f>
        <v/>
      </c>
      <c r="K955" s="4" t="str">
        <f t="array" ref="K955">IF($E955="","", XLOOKUP(SUMIFS(Prod_Prop!$A:$A,Prod_Prop!$B:$B,$E955,Prod_Prop!$H:$H,K$1,Prod_Prop!$I:$I,"Exacto"),Prod_Prop!$A:$A,Prod_Prop!$J:$J,"",0,1))</f>
        <v/>
      </c>
      <c r="L955" s="4" t="str">
        <f t="array" ref="L955">IF($E955="","", XLOOKUP(SUMIFS(Prod_Prop!$A:$A,Prod_Prop!$B:$B,$E955,Prod_Prop!$H:$H,L$1,Prod_Prop!$I:$I,"Exacto"),Prod_Prop!$A:$A,Prod_Prop!$J:$J,"",0,1))</f>
        <v/>
      </c>
      <c r="M955" s="4" t="str">
        <f t="array" ref="M955">IF($E955="","", XLOOKUP(SUMIFS(Prod_Prop!$A:$A,Prod_Prop!$B:$B,$E955,Prod_Prop!$H:$H,M$1,Prod_Prop!$I:$I,"Exacto"),Prod_Prop!$A:$A,Prod_Prop!$J:$J,"",0,1))</f>
        <v/>
      </c>
      <c r="N955" s="4" t="str">
        <f t="array" ref="N955">IF($E955="","", XLOOKUP(SUMIFS(Prod_Prop!$A:$A,Prod_Prop!$B:$B,$E955,Prod_Prop!$H:$H,N$1,Prod_Prop!$I:$I,"Exacto"),Prod_Prop!$A:$A,Prod_Prop!$J:$J,"",0,1))</f>
        <v/>
      </c>
      <c r="O955" s="4" t="str">
        <f t="array" ref="O955">IF($E955="","", XLOOKUP(SUMIFS(Prod_Prop!$A:$A,Prod_Prop!$B:$B,$E955,Prod_Prop!$H:$H,O$1,Prod_Prop!$I:$I,"Exacto"),Prod_Prop!$A:$A,Prod_Prop!$J:$J,"",0,1))</f>
        <v/>
      </c>
      <c r="P955" s="4" t="str">
        <f t="array" ref="P955">IF($E955="","", XLOOKUP(SUMIFS(Prod_Prop!$A:$A,Prod_Prop!$B:$B,$E955,Prod_Prop!$H:$H,P$1,Prod_Prop!$I:$I,"Exacto"),Prod_Prop!$A:$A,Prod_Prop!$J:$J,"",0,1))</f>
        <v/>
      </c>
      <c r="Q955" s="4" t="str">
        <f t="array" ref="Q955">IF($E955="","", XLOOKUP(SUMIFS(Prod_Prop!$A:$A,Prod_Prop!$B:$B,$E955,Prod_Prop!$H:$H,Q$1,Prod_Prop!$I:$I,"Exacto"),Prod_Prop!$A:$A,Prod_Prop!$J:$J,"",0,1))</f>
        <v/>
      </c>
      <c r="R955" s="4" t="str">
        <f t="array" ref="R955">IF($E955="","", XLOOKUP(SUMIFS(Prod_Prop!$A:$A,Prod_Prop!$B:$B,$E955,Prod_Prop!$H:$H,R$1,Prod_Prop!$I:$I,"Exacto"),Prod_Prop!$A:$A,Prod_Prop!$J:$J,"",0,1))</f>
        <v/>
      </c>
      <c r="S955" s="4" t="str">
        <f t="array" ref="S955">IF($E955="","", XLOOKUP(SUMIFS(Prod_Prop!$A:$A,Prod_Prop!$B:$B,$E955,Prod_Prop!$H:$H,S$1,Prod_Prop!$I:$I,"Exacto"),Prod_Prop!$A:$A,Prod_Prop!$J:$J,"",0,1))</f>
        <v/>
      </c>
      <c r="T955" s="4" t="str">
        <f t="array" ref="T955">IF($E955="","", XLOOKUP(SUMIFS(Prod_Prop!$A:$A,Prod_Prop!$B:$B,$E955,Prod_Prop!$H:$H,T$1,Prod_Prop!$I:$I,"Exacto"),Prod_Prop!$A:$A,Prod_Prop!$J:$J,"",0,1))</f>
        <v/>
      </c>
      <c r="U955" s="4" t="str">
        <f t="array" ref="U955">IF($E955="","", XLOOKUP(SUMIFS(Prod_Prop!$A:$A,Prod_Prop!$B:$B,$E955,Prod_Prop!$H:$H,U$1,Prod_Prop!$I:$I,"Exacto"),Prod_Prop!$A:$A,Prod_Prop!$J:$J,"",0,1))</f>
        <v/>
      </c>
      <c r="V955" s="4" t="str">
        <f t="array" ref="V955">IF($E955="","", XLOOKUP(SUMIFS(Prod_Prop!$A:$A,Prod_Prop!$B:$B,$E955,Prod_Prop!$H:$H,V$1,Prod_Prop!$I:$I,"Exacto"),Prod_Prop!$A:$A,Prod_Prop!$J:$J,"",0,1))</f>
        <v/>
      </c>
      <c r="X955" s="3" t="str">
        <f>IFERROR(__xludf.DUMMYFUNCTION("IF(D955="""","""",IFERROR(TRANSPOSE(FILTER('Validaciones Cotizador'!U:U,'Validaciones Cotizador'!O:O=D955,'Validaciones Cotizador'!T:T=""x"")),""Finalizar""))"),"")</f>
        <v/>
      </c>
    </row>
    <row r="956">
      <c r="A956" s="2" t="str">
        <f t="array" ref="A956">IF(E956="","",XLOOKUP(D956,'Validaciones Cotizador'!C:C,'Validaciones Cotizador'!A:A,"",0,1))</f>
        <v/>
      </c>
      <c r="B956" s="2" t="str">
        <f t="array" ref="B956">IF(F956="","",XLOOKUP(F956,Productos!E:E,Productos!G:G,"",0,1))</f>
        <v/>
      </c>
      <c r="C956" s="2" t="str">
        <f>IF(A956="","",SUMIFS('Validaciones Cotizador'!B:B,'Validaciones Cotizador'!C:C,D956,'Validaciones Cotizador'!A:A,A956))</f>
        <v/>
      </c>
      <c r="D956" s="4" t="str">
        <f>IFERROR(__xludf.DUMMYFUNCTION("IF(OR(F955=""Finalizar"",F955="""",F955=""Selecciona..""),"""",IF(OR(F955=""-"",INDEX(filter(Familias!F:F,Familias!D:D=A955,Familias!E:E=C955),1)=""O""),D955+1,D955))"),"")</f>
        <v/>
      </c>
      <c r="E956" s="2" t="str">
        <f>IF(OR(F956="",F956="Selecciona.."),"",IF(D956="Implemento",SUMIF(Implementos!B:B,F956,Implementos!A:A),SUMIF(Productos!E:E,F956,Productos!A:A)))</f>
        <v/>
      </c>
      <c r="F956" s="2" t="str">
        <f t="shared" si="2"/>
        <v/>
      </c>
      <c r="G956" s="10" t="str">
        <f t="array" ref="G956">IF(OR(F956="",F956="-",F956="Selecciona..",F956="Finalizar"),"",IF(A956="Rodados",XLOOKUP(B956,'Validaciones Cotizador'!I:I,'Validaciones Cotizador'!J:J,0,0,1),1))</f>
        <v/>
      </c>
      <c r="H956" s="11" t="str">
        <f>IF(OR(F956="",F956="Selecciona.."),"",SUMIF(Precio_Productos!K:K,E956,Precio_Productos!J:J)*G956)</f>
        <v/>
      </c>
      <c r="I956" s="4" t="str">
        <f t="array" ref="I956">IF($E956="","", XLOOKUP(SUMIFS(Prod_Prop!$A:$A,Prod_Prop!$B:$B,$E956,Prod_Prop!$H:$H,I$1,Prod_Prop!$I:$I,"Exacto"),Prod_Prop!$A:$A,Prod_Prop!$J:$J,"",0,1))</f>
        <v/>
      </c>
      <c r="J956" s="4" t="str">
        <f t="array" ref="J956">IF($E956="","", XLOOKUP(SUMIFS(Prod_Prop!$A:$A,Prod_Prop!$B:$B,$E956,Prod_Prop!$H:$H,J$1,Prod_Prop!$I:$I,"Exacto"),Prod_Prop!$A:$A,Prod_Prop!$J:$J,"",0,1))</f>
        <v/>
      </c>
      <c r="K956" s="4" t="str">
        <f t="array" ref="K956">IF($E956="","", XLOOKUP(SUMIFS(Prod_Prop!$A:$A,Prod_Prop!$B:$B,$E956,Prod_Prop!$H:$H,K$1,Prod_Prop!$I:$I,"Exacto"),Prod_Prop!$A:$A,Prod_Prop!$J:$J,"",0,1))</f>
        <v/>
      </c>
      <c r="L956" s="4" t="str">
        <f t="array" ref="L956">IF($E956="","", XLOOKUP(SUMIFS(Prod_Prop!$A:$A,Prod_Prop!$B:$B,$E956,Prod_Prop!$H:$H,L$1,Prod_Prop!$I:$I,"Exacto"),Prod_Prop!$A:$A,Prod_Prop!$J:$J,"",0,1))</f>
        <v/>
      </c>
      <c r="M956" s="4" t="str">
        <f t="array" ref="M956">IF($E956="","", XLOOKUP(SUMIFS(Prod_Prop!$A:$A,Prod_Prop!$B:$B,$E956,Prod_Prop!$H:$H,M$1,Prod_Prop!$I:$I,"Exacto"),Prod_Prop!$A:$A,Prod_Prop!$J:$J,"",0,1))</f>
        <v/>
      </c>
      <c r="N956" s="4" t="str">
        <f t="array" ref="N956">IF($E956="","", XLOOKUP(SUMIFS(Prod_Prop!$A:$A,Prod_Prop!$B:$B,$E956,Prod_Prop!$H:$H,N$1,Prod_Prop!$I:$I,"Exacto"),Prod_Prop!$A:$A,Prod_Prop!$J:$J,"",0,1))</f>
        <v/>
      </c>
      <c r="O956" s="4" t="str">
        <f t="array" ref="O956">IF($E956="","", XLOOKUP(SUMIFS(Prod_Prop!$A:$A,Prod_Prop!$B:$B,$E956,Prod_Prop!$H:$H,O$1,Prod_Prop!$I:$I,"Exacto"),Prod_Prop!$A:$A,Prod_Prop!$J:$J,"",0,1))</f>
        <v/>
      </c>
      <c r="P956" s="4" t="str">
        <f t="array" ref="P956">IF($E956="","", XLOOKUP(SUMIFS(Prod_Prop!$A:$A,Prod_Prop!$B:$B,$E956,Prod_Prop!$H:$H,P$1,Prod_Prop!$I:$I,"Exacto"),Prod_Prop!$A:$A,Prod_Prop!$J:$J,"",0,1))</f>
        <v/>
      </c>
      <c r="Q956" s="4" t="str">
        <f t="array" ref="Q956">IF($E956="","", XLOOKUP(SUMIFS(Prod_Prop!$A:$A,Prod_Prop!$B:$B,$E956,Prod_Prop!$H:$H,Q$1,Prod_Prop!$I:$I,"Exacto"),Prod_Prop!$A:$A,Prod_Prop!$J:$J,"",0,1))</f>
        <v/>
      </c>
      <c r="R956" s="4" t="str">
        <f t="array" ref="R956">IF($E956="","", XLOOKUP(SUMIFS(Prod_Prop!$A:$A,Prod_Prop!$B:$B,$E956,Prod_Prop!$H:$H,R$1,Prod_Prop!$I:$I,"Exacto"),Prod_Prop!$A:$A,Prod_Prop!$J:$J,"",0,1))</f>
        <v/>
      </c>
      <c r="S956" s="4" t="str">
        <f t="array" ref="S956">IF($E956="","", XLOOKUP(SUMIFS(Prod_Prop!$A:$A,Prod_Prop!$B:$B,$E956,Prod_Prop!$H:$H,S$1,Prod_Prop!$I:$I,"Exacto"),Prod_Prop!$A:$A,Prod_Prop!$J:$J,"",0,1))</f>
        <v/>
      </c>
      <c r="T956" s="4" t="str">
        <f t="array" ref="T956">IF($E956="","", XLOOKUP(SUMIFS(Prod_Prop!$A:$A,Prod_Prop!$B:$B,$E956,Prod_Prop!$H:$H,T$1,Prod_Prop!$I:$I,"Exacto"),Prod_Prop!$A:$A,Prod_Prop!$J:$J,"",0,1))</f>
        <v/>
      </c>
      <c r="U956" s="4" t="str">
        <f t="array" ref="U956">IF($E956="","", XLOOKUP(SUMIFS(Prod_Prop!$A:$A,Prod_Prop!$B:$B,$E956,Prod_Prop!$H:$H,U$1,Prod_Prop!$I:$I,"Exacto"),Prod_Prop!$A:$A,Prod_Prop!$J:$J,"",0,1))</f>
        <v/>
      </c>
      <c r="V956" s="4" t="str">
        <f t="array" ref="V956">IF($E956="","", XLOOKUP(SUMIFS(Prod_Prop!$A:$A,Prod_Prop!$B:$B,$E956,Prod_Prop!$H:$H,V$1,Prod_Prop!$I:$I,"Exacto"),Prod_Prop!$A:$A,Prod_Prop!$J:$J,"",0,1))</f>
        <v/>
      </c>
      <c r="X956" s="3" t="str">
        <f>IFERROR(__xludf.DUMMYFUNCTION("IF(D956="""","""",IFERROR(TRANSPOSE(FILTER('Validaciones Cotizador'!U:U,'Validaciones Cotizador'!O:O=D956,'Validaciones Cotizador'!T:T=""x"")),""Finalizar""))"),"")</f>
        <v/>
      </c>
    </row>
    <row r="957">
      <c r="A957" s="2" t="str">
        <f t="array" ref="A957">IF(E957="","",XLOOKUP(D957,'Validaciones Cotizador'!C:C,'Validaciones Cotizador'!A:A,"",0,1))</f>
        <v/>
      </c>
      <c r="B957" s="2" t="str">
        <f t="array" ref="B957">IF(F957="","",XLOOKUP(F957,Productos!E:E,Productos!G:G,"",0,1))</f>
        <v/>
      </c>
      <c r="C957" s="2" t="str">
        <f>IF(A957="","",SUMIFS('Validaciones Cotizador'!B:B,'Validaciones Cotizador'!C:C,D957,'Validaciones Cotizador'!A:A,A957))</f>
        <v/>
      </c>
      <c r="D957" s="4" t="str">
        <f>IFERROR(__xludf.DUMMYFUNCTION("IF(OR(F956=""Finalizar"",F956="""",F956=""Selecciona..""),"""",IF(OR(F956=""-"",INDEX(filter(Familias!F:F,Familias!D:D=A956,Familias!E:E=C956),1)=""O""),D956+1,D956))"),"")</f>
        <v/>
      </c>
      <c r="E957" s="2" t="str">
        <f>IF(OR(F957="",F957="Selecciona.."),"",IF(D957="Implemento",SUMIF(Implementos!B:B,F957,Implementos!A:A),SUMIF(Productos!E:E,F957,Productos!A:A)))</f>
        <v/>
      </c>
      <c r="F957" s="2" t="str">
        <f t="shared" si="2"/>
        <v/>
      </c>
      <c r="G957" s="10" t="str">
        <f t="array" ref="G957">IF(OR(F957="",F957="-",F957="Selecciona..",F957="Finalizar"),"",IF(A957="Rodados",XLOOKUP(B957,'Validaciones Cotizador'!I:I,'Validaciones Cotizador'!J:J,0,0,1),1))</f>
        <v/>
      </c>
      <c r="H957" s="11" t="str">
        <f>IF(OR(F957="",F957="Selecciona.."),"",SUMIF(Precio_Productos!K:K,E957,Precio_Productos!J:J)*G957)</f>
        <v/>
      </c>
      <c r="I957" s="4" t="str">
        <f t="array" ref="I957">IF($E957="","", XLOOKUP(SUMIFS(Prod_Prop!$A:$A,Prod_Prop!$B:$B,$E957,Prod_Prop!$H:$H,I$1,Prod_Prop!$I:$I,"Exacto"),Prod_Prop!$A:$A,Prod_Prop!$J:$J,"",0,1))</f>
        <v/>
      </c>
      <c r="J957" s="4" t="str">
        <f t="array" ref="J957">IF($E957="","", XLOOKUP(SUMIFS(Prod_Prop!$A:$A,Prod_Prop!$B:$B,$E957,Prod_Prop!$H:$H,J$1,Prod_Prop!$I:$I,"Exacto"),Prod_Prop!$A:$A,Prod_Prop!$J:$J,"",0,1))</f>
        <v/>
      </c>
      <c r="K957" s="4" t="str">
        <f t="array" ref="K957">IF($E957="","", XLOOKUP(SUMIFS(Prod_Prop!$A:$A,Prod_Prop!$B:$B,$E957,Prod_Prop!$H:$H,K$1,Prod_Prop!$I:$I,"Exacto"),Prod_Prop!$A:$A,Prod_Prop!$J:$J,"",0,1))</f>
        <v/>
      </c>
      <c r="L957" s="4" t="str">
        <f t="array" ref="L957">IF($E957="","", XLOOKUP(SUMIFS(Prod_Prop!$A:$A,Prod_Prop!$B:$B,$E957,Prod_Prop!$H:$H,L$1,Prod_Prop!$I:$I,"Exacto"),Prod_Prop!$A:$A,Prod_Prop!$J:$J,"",0,1))</f>
        <v/>
      </c>
      <c r="M957" s="4" t="str">
        <f t="array" ref="M957">IF($E957="","", XLOOKUP(SUMIFS(Prod_Prop!$A:$A,Prod_Prop!$B:$B,$E957,Prod_Prop!$H:$H,M$1,Prod_Prop!$I:$I,"Exacto"),Prod_Prop!$A:$A,Prod_Prop!$J:$J,"",0,1))</f>
        <v/>
      </c>
      <c r="N957" s="4" t="str">
        <f t="array" ref="N957">IF($E957="","", XLOOKUP(SUMIFS(Prod_Prop!$A:$A,Prod_Prop!$B:$B,$E957,Prod_Prop!$H:$H,N$1,Prod_Prop!$I:$I,"Exacto"),Prod_Prop!$A:$A,Prod_Prop!$J:$J,"",0,1))</f>
        <v/>
      </c>
      <c r="O957" s="4" t="str">
        <f t="array" ref="O957">IF($E957="","", XLOOKUP(SUMIFS(Prod_Prop!$A:$A,Prod_Prop!$B:$B,$E957,Prod_Prop!$H:$H,O$1,Prod_Prop!$I:$I,"Exacto"),Prod_Prop!$A:$A,Prod_Prop!$J:$J,"",0,1))</f>
        <v/>
      </c>
      <c r="P957" s="4" t="str">
        <f t="array" ref="P957">IF($E957="","", XLOOKUP(SUMIFS(Prod_Prop!$A:$A,Prod_Prop!$B:$B,$E957,Prod_Prop!$H:$H,P$1,Prod_Prop!$I:$I,"Exacto"),Prod_Prop!$A:$A,Prod_Prop!$J:$J,"",0,1))</f>
        <v/>
      </c>
      <c r="Q957" s="4" t="str">
        <f t="array" ref="Q957">IF($E957="","", XLOOKUP(SUMIFS(Prod_Prop!$A:$A,Prod_Prop!$B:$B,$E957,Prod_Prop!$H:$H,Q$1,Prod_Prop!$I:$I,"Exacto"),Prod_Prop!$A:$A,Prod_Prop!$J:$J,"",0,1))</f>
        <v/>
      </c>
      <c r="R957" s="4" t="str">
        <f t="array" ref="R957">IF($E957="","", XLOOKUP(SUMIFS(Prod_Prop!$A:$A,Prod_Prop!$B:$B,$E957,Prod_Prop!$H:$H,R$1,Prod_Prop!$I:$I,"Exacto"),Prod_Prop!$A:$A,Prod_Prop!$J:$J,"",0,1))</f>
        <v/>
      </c>
      <c r="S957" s="4" t="str">
        <f t="array" ref="S957">IF($E957="","", XLOOKUP(SUMIFS(Prod_Prop!$A:$A,Prod_Prop!$B:$B,$E957,Prod_Prop!$H:$H,S$1,Prod_Prop!$I:$I,"Exacto"),Prod_Prop!$A:$A,Prod_Prop!$J:$J,"",0,1))</f>
        <v/>
      </c>
      <c r="T957" s="4" t="str">
        <f t="array" ref="T957">IF($E957="","", XLOOKUP(SUMIFS(Prod_Prop!$A:$A,Prod_Prop!$B:$B,$E957,Prod_Prop!$H:$H,T$1,Prod_Prop!$I:$I,"Exacto"),Prod_Prop!$A:$A,Prod_Prop!$J:$J,"",0,1))</f>
        <v/>
      </c>
      <c r="U957" s="4" t="str">
        <f t="array" ref="U957">IF($E957="","", XLOOKUP(SUMIFS(Prod_Prop!$A:$A,Prod_Prop!$B:$B,$E957,Prod_Prop!$H:$H,U$1,Prod_Prop!$I:$I,"Exacto"),Prod_Prop!$A:$A,Prod_Prop!$J:$J,"",0,1))</f>
        <v/>
      </c>
      <c r="V957" s="4" t="str">
        <f t="array" ref="V957">IF($E957="","", XLOOKUP(SUMIFS(Prod_Prop!$A:$A,Prod_Prop!$B:$B,$E957,Prod_Prop!$H:$H,V$1,Prod_Prop!$I:$I,"Exacto"),Prod_Prop!$A:$A,Prod_Prop!$J:$J,"",0,1))</f>
        <v/>
      </c>
      <c r="X957" s="3" t="str">
        <f>IFERROR(__xludf.DUMMYFUNCTION("IF(D957="""","""",IFERROR(TRANSPOSE(FILTER('Validaciones Cotizador'!U:U,'Validaciones Cotizador'!O:O=D957,'Validaciones Cotizador'!T:T=""x"")),""Finalizar""))"),"")</f>
        <v/>
      </c>
    </row>
    <row r="958">
      <c r="A958" s="2" t="str">
        <f t="array" ref="A958">IF(E958="","",XLOOKUP(D958,'Validaciones Cotizador'!C:C,'Validaciones Cotizador'!A:A,"",0,1))</f>
        <v/>
      </c>
      <c r="B958" s="2" t="str">
        <f t="array" ref="B958">IF(F958="","",XLOOKUP(F958,Productos!E:E,Productos!G:G,"",0,1))</f>
        <v/>
      </c>
      <c r="C958" s="2" t="str">
        <f>IF(A958="","",SUMIFS('Validaciones Cotizador'!B:B,'Validaciones Cotizador'!C:C,D958,'Validaciones Cotizador'!A:A,A958))</f>
        <v/>
      </c>
      <c r="D958" s="4" t="str">
        <f>IFERROR(__xludf.DUMMYFUNCTION("IF(OR(F957=""Finalizar"",F957="""",F957=""Selecciona..""),"""",IF(OR(F957=""-"",INDEX(filter(Familias!F:F,Familias!D:D=A957,Familias!E:E=C957),1)=""O""),D957+1,D957))"),"")</f>
        <v/>
      </c>
      <c r="E958" s="2" t="str">
        <f>IF(OR(F958="",F958="Selecciona.."),"",IF(D958="Implemento",SUMIF(Implementos!B:B,F958,Implementos!A:A),SUMIF(Productos!E:E,F958,Productos!A:A)))</f>
        <v/>
      </c>
      <c r="F958" s="2" t="str">
        <f t="shared" si="2"/>
        <v/>
      </c>
      <c r="G958" s="10" t="str">
        <f t="array" ref="G958">IF(OR(F958="",F958="-",F958="Selecciona..",F958="Finalizar"),"",IF(A958="Rodados",XLOOKUP(B958,'Validaciones Cotizador'!I:I,'Validaciones Cotizador'!J:J,0,0,1),1))</f>
        <v/>
      </c>
      <c r="H958" s="11" t="str">
        <f>IF(OR(F958="",F958="Selecciona.."),"",SUMIF(Precio_Productos!K:K,E958,Precio_Productos!J:J)*G958)</f>
        <v/>
      </c>
      <c r="I958" s="4" t="str">
        <f t="array" ref="I958">IF($E958="","", XLOOKUP(SUMIFS(Prod_Prop!$A:$A,Prod_Prop!$B:$B,$E958,Prod_Prop!$H:$H,I$1,Prod_Prop!$I:$I,"Exacto"),Prod_Prop!$A:$A,Prod_Prop!$J:$J,"",0,1))</f>
        <v/>
      </c>
      <c r="J958" s="4" t="str">
        <f t="array" ref="J958">IF($E958="","", XLOOKUP(SUMIFS(Prod_Prop!$A:$A,Prod_Prop!$B:$B,$E958,Prod_Prop!$H:$H,J$1,Prod_Prop!$I:$I,"Exacto"),Prod_Prop!$A:$A,Prod_Prop!$J:$J,"",0,1))</f>
        <v/>
      </c>
      <c r="K958" s="4" t="str">
        <f t="array" ref="K958">IF($E958="","", XLOOKUP(SUMIFS(Prod_Prop!$A:$A,Prod_Prop!$B:$B,$E958,Prod_Prop!$H:$H,K$1,Prod_Prop!$I:$I,"Exacto"),Prod_Prop!$A:$A,Prod_Prop!$J:$J,"",0,1))</f>
        <v/>
      </c>
      <c r="L958" s="4" t="str">
        <f t="array" ref="L958">IF($E958="","", XLOOKUP(SUMIFS(Prod_Prop!$A:$A,Prod_Prop!$B:$B,$E958,Prod_Prop!$H:$H,L$1,Prod_Prop!$I:$I,"Exacto"),Prod_Prop!$A:$A,Prod_Prop!$J:$J,"",0,1))</f>
        <v/>
      </c>
      <c r="M958" s="4" t="str">
        <f t="array" ref="M958">IF($E958="","", XLOOKUP(SUMIFS(Prod_Prop!$A:$A,Prod_Prop!$B:$B,$E958,Prod_Prop!$H:$H,M$1,Prod_Prop!$I:$I,"Exacto"),Prod_Prop!$A:$A,Prod_Prop!$J:$J,"",0,1))</f>
        <v/>
      </c>
      <c r="N958" s="4" t="str">
        <f t="array" ref="N958">IF($E958="","", XLOOKUP(SUMIFS(Prod_Prop!$A:$A,Prod_Prop!$B:$B,$E958,Prod_Prop!$H:$H,N$1,Prod_Prop!$I:$I,"Exacto"),Prod_Prop!$A:$A,Prod_Prop!$J:$J,"",0,1))</f>
        <v/>
      </c>
      <c r="O958" s="4" t="str">
        <f t="array" ref="O958">IF($E958="","", XLOOKUP(SUMIFS(Prod_Prop!$A:$A,Prod_Prop!$B:$B,$E958,Prod_Prop!$H:$H,O$1,Prod_Prop!$I:$I,"Exacto"),Prod_Prop!$A:$A,Prod_Prop!$J:$J,"",0,1))</f>
        <v/>
      </c>
      <c r="P958" s="4" t="str">
        <f t="array" ref="P958">IF($E958="","", XLOOKUP(SUMIFS(Prod_Prop!$A:$A,Prod_Prop!$B:$B,$E958,Prod_Prop!$H:$H,P$1,Prod_Prop!$I:$I,"Exacto"),Prod_Prop!$A:$A,Prod_Prop!$J:$J,"",0,1))</f>
        <v/>
      </c>
      <c r="Q958" s="4" t="str">
        <f t="array" ref="Q958">IF($E958="","", XLOOKUP(SUMIFS(Prod_Prop!$A:$A,Prod_Prop!$B:$B,$E958,Prod_Prop!$H:$H,Q$1,Prod_Prop!$I:$I,"Exacto"),Prod_Prop!$A:$A,Prod_Prop!$J:$J,"",0,1))</f>
        <v/>
      </c>
      <c r="R958" s="4" t="str">
        <f t="array" ref="R958">IF($E958="","", XLOOKUP(SUMIFS(Prod_Prop!$A:$A,Prod_Prop!$B:$B,$E958,Prod_Prop!$H:$H,R$1,Prod_Prop!$I:$I,"Exacto"),Prod_Prop!$A:$A,Prod_Prop!$J:$J,"",0,1))</f>
        <v/>
      </c>
      <c r="S958" s="4" t="str">
        <f t="array" ref="S958">IF($E958="","", XLOOKUP(SUMIFS(Prod_Prop!$A:$A,Prod_Prop!$B:$B,$E958,Prod_Prop!$H:$H,S$1,Prod_Prop!$I:$I,"Exacto"),Prod_Prop!$A:$A,Prod_Prop!$J:$J,"",0,1))</f>
        <v/>
      </c>
      <c r="T958" s="4" t="str">
        <f t="array" ref="T958">IF($E958="","", XLOOKUP(SUMIFS(Prod_Prop!$A:$A,Prod_Prop!$B:$B,$E958,Prod_Prop!$H:$H,T$1,Prod_Prop!$I:$I,"Exacto"),Prod_Prop!$A:$A,Prod_Prop!$J:$J,"",0,1))</f>
        <v/>
      </c>
      <c r="U958" s="4" t="str">
        <f t="array" ref="U958">IF($E958="","", XLOOKUP(SUMIFS(Prod_Prop!$A:$A,Prod_Prop!$B:$B,$E958,Prod_Prop!$H:$H,U$1,Prod_Prop!$I:$I,"Exacto"),Prod_Prop!$A:$A,Prod_Prop!$J:$J,"",0,1))</f>
        <v/>
      </c>
      <c r="V958" s="4" t="str">
        <f t="array" ref="V958">IF($E958="","", XLOOKUP(SUMIFS(Prod_Prop!$A:$A,Prod_Prop!$B:$B,$E958,Prod_Prop!$H:$H,V$1,Prod_Prop!$I:$I,"Exacto"),Prod_Prop!$A:$A,Prod_Prop!$J:$J,"",0,1))</f>
        <v/>
      </c>
      <c r="X958" s="3" t="str">
        <f>IFERROR(__xludf.DUMMYFUNCTION("IF(D958="""","""",IFERROR(TRANSPOSE(FILTER('Validaciones Cotizador'!U:U,'Validaciones Cotizador'!O:O=D958,'Validaciones Cotizador'!T:T=""x"")),""Finalizar""))"),"")</f>
        <v/>
      </c>
    </row>
    <row r="959">
      <c r="A959" s="2" t="str">
        <f t="array" ref="A959">IF(E959="","",XLOOKUP(D959,'Validaciones Cotizador'!C:C,'Validaciones Cotizador'!A:A,"",0,1))</f>
        <v/>
      </c>
      <c r="B959" s="2" t="str">
        <f t="array" ref="B959">IF(F959="","",XLOOKUP(F959,Productos!E:E,Productos!G:G,"",0,1))</f>
        <v/>
      </c>
      <c r="C959" s="2" t="str">
        <f>IF(A959="","",SUMIFS('Validaciones Cotizador'!B:B,'Validaciones Cotizador'!C:C,D959,'Validaciones Cotizador'!A:A,A959))</f>
        <v/>
      </c>
      <c r="D959" s="4" t="str">
        <f>IFERROR(__xludf.DUMMYFUNCTION("IF(OR(F958=""Finalizar"",F958="""",F958=""Selecciona..""),"""",IF(OR(F958=""-"",INDEX(filter(Familias!F:F,Familias!D:D=A958,Familias!E:E=C958),1)=""O""),D958+1,D958))"),"")</f>
        <v/>
      </c>
      <c r="E959" s="2" t="str">
        <f>IF(OR(F959="",F959="Selecciona.."),"",IF(D959="Implemento",SUMIF(Implementos!B:B,F959,Implementos!A:A),SUMIF(Productos!E:E,F959,Productos!A:A)))</f>
        <v/>
      </c>
      <c r="F959" s="2" t="str">
        <f t="shared" si="2"/>
        <v/>
      </c>
      <c r="G959" s="10" t="str">
        <f t="array" ref="G959">IF(OR(F959="",F959="-",F959="Selecciona..",F959="Finalizar"),"",IF(A959="Rodados",XLOOKUP(B959,'Validaciones Cotizador'!I:I,'Validaciones Cotizador'!J:J,0,0,1),1))</f>
        <v/>
      </c>
      <c r="H959" s="11" t="str">
        <f>IF(OR(F959="",F959="Selecciona.."),"",SUMIF(Precio_Productos!K:K,E959,Precio_Productos!J:J)*G959)</f>
        <v/>
      </c>
      <c r="I959" s="4" t="str">
        <f t="array" ref="I959">IF($E959="","", XLOOKUP(SUMIFS(Prod_Prop!$A:$A,Prod_Prop!$B:$B,$E959,Prod_Prop!$H:$H,I$1,Prod_Prop!$I:$I,"Exacto"),Prod_Prop!$A:$A,Prod_Prop!$J:$J,"",0,1))</f>
        <v/>
      </c>
      <c r="J959" s="4" t="str">
        <f t="array" ref="J959">IF($E959="","", XLOOKUP(SUMIFS(Prod_Prop!$A:$A,Prod_Prop!$B:$B,$E959,Prod_Prop!$H:$H,J$1,Prod_Prop!$I:$I,"Exacto"),Prod_Prop!$A:$A,Prod_Prop!$J:$J,"",0,1))</f>
        <v/>
      </c>
      <c r="K959" s="4" t="str">
        <f t="array" ref="K959">IF($E959="","", XLOOKUP(SUMIFS(Prod_Prop!$A:$A,Prod_Prop!$B:$B,$E959,Prod_Prop!$H:$H,K$1,Prod_Prop!$I:$I,"Exacto"),Prod_Prop!$A:$A,Prod_Prop!$J:$J,"",0,1))</f>
        <v/>
      </c>
      <c r="L959" s="4" t="str">
        <f t="array" ref="L959">IF($E959="","", XLOOKUP(SUMIFS(Prod_Prop!$A:$A,Prod_Prop!$B:$B,$E959,Prod_Prop!$H:$H,L$1,Prod_Prop!$I:$I,"Exacto"),Prod_Prop!$A:$A,Prod_Prop!$J:$J,"",0,1))</f>
        <v/>
      </c>
      <c r="M959" s="4" t="str">
        <f t="array" ref="M959">IF($E959="","", XLOOKUP(SUMIFS(Prod_Prop!$A:$A,Prod_Prop!$B:$B,$E959,Prod_Prop!$H:$H,M$1,Prod_Prop!$I:$I,"Exacto"),Prod_Prop!$A:$A,Prod_Prop!$J:$J,"",0,1))</f>
        <v/>
      </c>
      <c r="N959" s="4" t="str">
        <f t="array" ref="N959">IF($E959="","", XLOOKUP(SUMIFS(Prod_Prop!$A:$A,Prod_Prop!$B:$B,$E959,Prod_Prop!$H:$H,N$1,Prod_Prop!$I:$I,"Exacto"),Prod_Prop!$A:$A,Prod_Prop!$J:$J,"",0,1))</f>
        <v/>
      </c>
      <c r="O959" s="4" t="str">
        <f t="array" ref="O959">IF($E959="","", XLOOKUP(SUMIFS(Prod_Prop!$A:$A,Prod_Prop!$B:$B,$E959,Prod_Prop!$H:$H,O$1,Prod_Prop!$I:$I,"Exacto"),Prod_Prop!$A:$A,Prod_Prop!$J:$J,"",0,1))</f>
        <v/>
      </c>
      <c r="P959" s="4" t="str">
        <f t="array" ref="P959">IF($E959="","", XLOOKUP(SUMIFS(Prod_Prop!$A:$A,Prod_Prop!$B:$B,$E959,Prod_Prop!$H:$H,P$1,Prod_Prop!$I:$I,"Exacto"),Prod_Prop!$A:$A,Prod_Prop!$J:$J,"",0,1))</f>
        <v/>
      </c>
      <c r="Q959" s="4" t="str">
        <f t="array" ref="Q959">IF($E959="","", XLOOKUP(SUMIFS(Prod_Prop!$A:$A,Prod_Prop!$B:$B,$E959,Prod_Prop!$H:$H,Q$1,Prod_Prop!$I:$I,"Exacto"),Prod_Prop!$A:$A,Prod_Prop!$J:$J,"",0,1))</f>
        <v/>
      </c>
      <c r="R959" s="4" t="str">
        <f t="array" ref="R959">IF($E959="","", XLOOKUP(SUMIFS(Prod_Prop!$A:$A,Prod_Prop!$B:$B,$E959,Prod_Prop!$H:$H,R$1,Prod_Prop!$I:$I,"Exacto"),Prod_Prop!$A:$A,Prod_Prop!$J:$J,"",0,1))</f>
        <v/>
      </c>
      <c r="S959" s="4" t="str">
        <f t="array" ref="S959">IF($E959="","", XLOOKUP(SUMIFS(Prod_Prop!$A:$A,Prod_Prop!$B:$B,$E959,Prod_Prop!$H:$H,S$1,Prod_Prop!$I:$I,"Exacto"),Prod_Prop!$A:$A,Prod_Prop!$J:$J,"",0,1))</f>
        <v/>
      </c>
      <c r="T959" s="4" t="str">
        <f t="array" ref="T959">IF($E959="","", XLOOKUP(SUMIFS(Prod_Prop!$A:$A,Prod_Prop!$B:$B,$E959,Prod_Prop!$H:$H,T$1,Prod_Prop!$I:$I,"Exacto"),Prod_Prop!$A:$A,Prod_Prop!$J:$J,"",0,1))</f>
        <v/>
      </c>
      <c r="U959" s="4" t="str">
        <f t="array" ref="U959">IF($E959="","", XLOOKUP(SUMIFS(Prod_Prop!$A:$A,Prod_Prop!$B:$B,$E959,Prod_Prop!$H:$H,U$1,Prod_Prop!$I:$I,"Exacto"),Prod_Prop!$A:$A,Prod_Prop!$J:$J,"",0,1))</f>
        <v/>
      </c>
      <c r="V959" s="4" t="str">
        <f t="array" ref="V959">IF($E959="","", XLOOKUP(SUMIFS(Prod_Prop!$A:$A,Prod_Prop!$B:$B,$E959,Prod_Prop!$H:$H,V$1,Prod_Prop!$I:$I,"Exacto"),Prod_Prop!$A:$A,Prod_Prop!$J:$J,"",0,1))</f>
        <v/>
      </c>
      <c r="X959" s="3" t="str">
        <f>IFERROR(__xludf.DUMMYFUNCTION("IF(D959="""","""",IFERROR(TRANSPOSE(FILTER('Validaciones Cotizador'!U:U,'Validaciones Cotizador'!O:O=D959,'Validaciones Cotizador'!T:T=""x"")),""Finalizar""))"),"")</f>
        <v/>
      </c>
    </row>
    <row r="960">
      <c r="A960" s="2" t="str">
        <f t="array" ref="A960">IF(E960="","",XLOOKUP(D960,'Validaciones Cotizador'!C:C,'Validaciones Cotizador'!A:A,"",0,1))</f>
        <v/>
      </c>
      <c r="B960" s="2" t="str">
        <f t="array" ref="B960">IF(F960="","",XLOOKUP(F960,Productos!E:E,Productos!G:G,"",0,1))</f>
        <v/>
      </c>
      <c r="C960" s="2" t="str">
        <f>IF(A960="","",SUMIFS('Validaciones Cotizador'!B:B,'Validaciones Cotizador'!C:C,D960,'Validaciones Cotizador'!A:A,A960))</f>
        <v/>
      </c>
      <c r="D960" s="4" t="str">
        <f>IFERROR(__xludf.DUMMYFUNCTION("IF(OR(F959=""Finalizar"",F959="""",F959=""Selecciona..""),"""",IF(OR(F959=""-"",INDEX(filter(Familias!F:F,Familias!D:D=A959,Familias!E:E=C959),1)=""O""),D959+1,D959))"),"")</f>
        <v/>
      </c>
      <c r="E960" s="2" t="str">
        <f>IF(OR(F960="",F960="Selecciona.."),"",IF(D960="Implemento",SUMIF(Implementos!B:B,F960,Implementos!A:A),SUMIF(Productos!E:E,F960,Productos!A:A)))</f>
        <v/>
      </c>
      <c r="F960" s="2" t="str">
        <f t="shared" si="2"/>
        <v/>
      </c>
      <c r="G960" s="10" t="str">
        <f t="array" ref="G960">IF(OR(F960="",F960="-",F960="Selecciona..",F960="Finalizar"),"",IF(A960="Rodados",XLOOKUP(B960,'Validaciones Cotizador'!I:I,'Validaciones Cotizador'!J:J,0,0,1),1))</f>
        <v/>
      </c>
      <c r="H960" s="11" t="str">
        <f>IF(OR(F960="",F960="Selecciona.."),"",SUMIF(Precio_Productos!K:K,E960,Precio_Productos!J:J)*G960)</f>
        <v/>
      </c>
      <c r="I960" s="4" t="str">
        <f t="array" ref="I960">IF($E960="","", XLOOKUP(SUMIFS(Prod_Prop!$A:$A,Prod_Prop!$B:$B,$E960,Prod_Prop!$H:$H,I$1,Prod_Prop!$I:$I,"Exacto"),Prod_Prop!$A:$A,Prod_Prop!$J:$J,"",0,1))</f>
        <v/>
      </c>
      <c r="J960" s="4" t="str">
        <f t="array" ref="J960">IF($E960="","", XLOOKUP(SUMIFS(Prod_Prop!$A:$A,Prod_Prop!$B:$B,$E960,Prod_Prop!$H:$H,J$1,Prod_Prop!$I:$I,"Exacto"),Prod_Prop!$A:$A,Prod_Prop!$J:$J,"",0,1))</f>
        <v/>
      </c>
      <c r="K960" s="4" t="str">
        <f t="array" ref="K960">IF($E960="","", XLOOKUP(SUMIFS(Prod_Prop!$A:$A,Prod_Prop!$B:$B,$E960,Prod_Prop!$H:$H,K$1,Prod_Prop!$I:$I,"Exacto"),Prod_Prop!$A:$A,Prod_Prop!$J:$J,"",0,1))</f>
        <v/>
      </c>
      <c r="L960" s="4" t="str">
        <f t="array" ref="L960">IF($E960="","", XLOOKUP(SUMIFS(Prod_Prop!$A:$A,Prod_Prop!$B:$B,$E960,Prod_Prop!$H:$H,L$1,Prod_Prop!$I:$I,"Exacto"),Prod_Prop!$A:$A,Prod_Prop!$J:$J,"",0,1))</f>
        <v/>
      </c>
      <c r="M960" s="4" t="str">
        <f t="array" ref="M960">IF($E960="","", XLOOKUP(SUMIFS(Prod_Prop!$A:$A,Prod_Prop!$B:$B,$E960,Prod_Prop!$H:$H,M$1,Prod_Prop!$I:$I,"Exacto"),Prod_Prop!$A:$A,Prod_Prop!$J:$J,"",0,1))</f>
        <v/>
      </c>
      <c r="N960" s="4" t="str">
        <f t="array" ref="N960">IF($E960="","", XLOOKUP(SUMIFS(Prod_Prop!$A:$A,Prod_Prop!$B:$B,$E960,Prod_Prop!$H:$H,N$1,Prod_Prop!$I:$I,"Exacto"),Prod_Prop!$A:$A,Prod_Prop!$J:$J,"",0,1))</f>
        <v/>
      </c>
      <c r="O960" s="4" t="str">
        <f t="array" ref="O960">IF($E960="","", XLOOKUP(SUMIFS(Prod_Prop!$A:$A,Prod_Prop!$B:$B,$E960,Prod_Prop!$H:$H,O$1,Prod_Prop!$I:$I,"Exacto"),Prod_Prop!$A:$A,Prod_Prop!$J:$J,"",0,1))</f>
        <v/>
      </c>
      <c r="P960" s="4" t="str">
        <f t="array" ref="P960">IF($E960="","", XLOOKUP(SUMIFS(Prod_Prop!$A:$A,Prod_Prop!$B:$B,$E960,Prod_Prop!$H:$H,P$1,Prod_Prop!$I:$I,"Exacto"),Prod_Prop!$A:$A,Prod_Prop!$J:$J,"",0,1))</f>
        <v/>
      </c>
      <c r="Q960" s="4" t="str">
        <f t="array" ref="Q960">IF($E960="","", XLOOKUP(SUMIFS(Prod_Prop!$A:$A,Prod_Prop!$B:$B,$E960,Prod_Prop!$H:$H,Q$1,Prod_Prop!$I:$I,"Exacto"),Prod_Prop!$A:$A,Prod_Prop!$J:$J,"",0,1))</f>
        <v/>
      </c>
      <c r="R960" s="4" t="str">
        <f t="array" ref="R960">IF($E960="","", XLOOKUP(SUMIFS(Prod_Prop!$A:$A,Prod_Prop!$B:$B,$E960,Prod_Prop!$H:$H,R$1,Prod_Prop!$I:$I,"Exacto"),Prod_Prop!$A:$A,Prod_Prop!$J:$J,"",0,1))</f>
        <v/>
      </c>
      <c r="S960" s="4" t="str">
        <f t="array" ref="S960">IF($E960="","", XLOOKUP(SUMIFS(Prod_Prop!$A:$A,Prod_Prop!$B:$B,$E960,Prod_Prop!$H:$H,S$1,Prod_Prop!$I:$I,"Exacto"),Prod_Prop!$A:$A,Prod_Prop!$J:$J,"",0,1))</f>
        <v/>
      </c>
      <c r="T960" s="4" t="str">
        <f t="array" ref="T960">IF($E960="","", XLOOKUP(SUMIFS(Prod_Prop!$A:$A,Prod_Prop!$B:$B,$E960,Prod_Prop!$H:$H,T$1,Prod_Prop!$I:$I,"Exacto"),Prod_Prop!$A:$A,Prod_Prop!$J:$J,"",0,1))</f>
        <v/>
      </c>
      <c r="U960" s="4" t="str">
        <f t="array" ref="U960">IF($E960="","", XLOOKUP(SUMIFS(Prod_Prop!$A:$A,Prod_Prop!$B:$B,$E960,Prod_Prop!$H:$H,U$1,Prod_Prop!$I:$I,"Exacto"),Prod_Prop!$A:$A,Prod_Prop!$J:$J,"",0,1))</f>
        <v/>
      </c>
      <c r="V960" s="4" t="str">
        <f t="array" ref="V960">IF($E960="","", XLOOKUP(SUMIFS(Prod_Prop!$A:$A,Prod_Prop!$B:$B,$E960,Prod_Prop!$H:$H,V$1,Prod_Prop!$I:$I,"Exacto"),Prod_Prop!$A:$A,Prod_Prop!$J:$J,"",0,1))</f>
        <v/>
      </c>
      <c r="X960" s="3" t="str">
        <f>IFERROR(__xludf.DUMMYFUNCTION("IF(D960="""","""",IFERROR(TRANSPOSE(FILTER('Validaciones Cotizador'!U:U,'Validaciones Cotizador'!O:O=D960,'Validaciones Cotizador'!T:T=""x"")),""Finalizar""))"),"")</f>
        <v/>
      </c>
    </row>
    <row r="961">
      <c r="A961" s="2" t="str">
        <f t="array" ref="A961">IF(E961="","",XLOOKUP(D961,'Validaciones Cotizador'!C:C,'Validaciones Cotizador'!A:A,"",0,1))</f>
        <v/>
      </c>
      <c r="B961" s="2" t="str">
        <f t="array" ref="B961">IF(F961="","",XLOOKUP(F961,Productos!E:E,Productos!G:G,"",0,1))</f>
        <v/>
      </c>
      <c r="C961" s="2" t="str">
        <f>IF(A961="","",SUMIFS('Validaciones Cotizador'!B:B,'Validaciones Cotizador'!C:C,D961,'Validaciones Cotizador'!A:A,A961))</f>
        <v/>
      </c>
      <c r="D961" s="4" t="str">
        <f>IFERROR(__xludf.DUMMYFUNCTION("IF(OR(F960=""Finalizar"",F960="""",F960=""Selecciona..""),"""",IF(OR(F960=""-"",INDEX(filter(Familias!F:F,Familias!D:D=A960,Familias!E:E=C960),1)=""O""),D960+1,D960))"),"")</f>
        <v/>
      </c>
      <c r="E961" s="2" t="str">
        <f>IF(OR(F961="",F961="Selecciona.."),"",IF(D961="Implemento",SUMIF(Implementos!B:B,F961,Implementos!A:A),SUMIF(Productos!E:E,F961,Productos!A:A)))</f>
        <v/>
      </c>
      <c r="F961" s="2" t="str">
        <f t="shared" si="2"/>
        <v/>
      </c>
      <c r="G961" s="10" t="str">
        <f t="array" ref="G961">IF(OR(F961="",F961="-",F961="Selecciona..",F961="Finalizar"),"",IF(A961="Rodados",XLOOKUP(B961,'Validaciones Cotizador'!I:I,'Validaciones Cotizador'!J:J,0,0,1),1))</f>
        <v/>
      </c>
      <c r="H961" s="11" t="str">
        <f>IF(OR(F961="",F961="Selecciona.."),"",SUMIF(Precio_Productos!K:K,E961,Precio_Productos!J:J)*G961)</f>
        <v/>
      </c>
      <c r="I961" s="4" t="str">
        <f t="array" ref="I961">IF($E961="","", XLOOKUP(SUMIFS(Prod_Prop!$A:$A,Prod_Prop!$B:$B,$E961,Prod_Prop!$H:$H,I$1,Prod_Prop!$I:$I,"Exacto"),Prod_Prop!$A:$A,Prod_Prop!$J:$J,"",0,1))</f>
        <v/>
      </c>
      <c r="J961" s="4" t="str">
        <f t="array" ref="J961">IF($E961="","", XLOOKUP(SUMIFS(Prod_Prop!$A:$A,Prod_Prop!$B:$B,$E961,Prod_Prop!$H:$H,J$1,Prod_Prop!$I:$I,"Exacto"),Prod_Prop!$A:$A,Prod_Prop!$J:$J,"",0,1))</f>
        <v/>
      </c>
      <c r="K961" s="4" t="str">
        <f t="array" ref="K961">IF($E961="","", XLOOKUP(SUMIFS(Prod_Prop!$A:$A,Prod_Prop!$B:$B,$E961,Prod_Prop!$H:$H,K$1,Prod_Prop!$I:$I,"Exacto"),Prod_Prop!$A:$A,Prod_Prop!$J:$J,"",0,1))</f>
        <v/>
      </c>
      <c r="L961" s="4" t="str">
        <f t="array" ref="L961">IF($E961="","", XLOOKUP(SUMIFS(Prod_Prop!$A:$A,Prod_Prop!$B:$B,$E961,Prod_Prop!$H:$H,L$1,Prod_Prop!$I:$I,"Exacto"),Prod_Prop!$A:$A,Prod_Prop!$J:$J,"",0,1))</f>
        <v/>
      </c>
      <c r="M961" s="4" t="str">
        <f t="array" ref="M961">IF($E961="","", XLOOKUP(SUMIFS(Prod_Prop!$A:$A,Prod_Prop!$B:$B,$E961,Prod_Prop!$H:$H,M$1,Prod_Prop!$I:$I,"Exacto"),Prod_Prop!$A:$A,Prod_Prop!$J:$J,"",0,1))</f>
        <v/>
      </c>
      <c r="N961" s="4" t="str">
        <f t="array" ref="N961">IF($E961="","", XLOOKUP(SUMIFS(Prod_Prop!$A:$A,Prod_Prop!$B:$B,$E961,Prod_Prop!$H:$H,N$1,Prod_Prop!$I:$I,"Exacto"),Prod_Prop!$A:$A,Prod_Prop!$J:$J,"",0,1))</f>
        <v/>
      </c>
      <c r="O961" s="4" t="str">
        <f t="array" ref="O961">IF($E961="","", XLOOKUP(SUMIFS(Prod_Prop!$A:$A,Prod_Prop!$B:$B,$E961,Prod_Prop!$H:$H,O$1,Prod_Prop!$I:$I,"Exacto"),Prod_Prop!$A:$A,Prod_Prop!$J:$J,"",0,1))</f>
        <v/>
      </c>
      <c r="P961" s="4" t="str">
        <f t="array" ref="P961">IF($E961="","", XLOOKUP(SUMIFS(Prod_Prop!$A:$A,Prod_Prop!$B:$B,$E961,Prod_Prop!$H:$H,P$1,Prod_Prop!$I:$I,"Exacto"),Prod_Prop!$A:$A,Prod_Prop!$J:$J,"",0,1))</f>
        <v/>
      </c>
      <c r="Q961" s="4" t="str">
        <f t="array" ref="Q961">IF($E961="","", XLOOKUP(SUMIFS(Prod_Prop!$A:$A,Prod_Prop!$B:$B,$E961,Prod_Prop!$H:$H,Q$1,Prod_Prop!$I:$I,"Exacto"),Prod_Prop!$A:$A,Prod_Prop!$J:$J,"",0,1))</f>
        <v/>
      </c>
      <c r="R961" s="4" t="str">
        <f t="array" ref="R961">IF($E961="","", XLOOKUP(SUMIFS(Prod_Prop!$A:$A,Prod_Prop!$B:$B,$E961,Prod_Prop!$H:$H,R$1,Prod_Prop!$I:$I,"Exacto"),Prod_Prop!$A:$A,Prod_Prop!$J:$J,"",0,1))</f>
        <v/>
      </c>
      <c r="S961" s="4" t="str">
        <f t="array" ref="S961">IF($E961="","", XLOOKUP(SUMIFS(Prod_Prop!$A:$A,Prod_Prop!$B:$B,$E961,Prod_Prop!$H:$H,S$1,Prod_Prop!$I:$I,"Exacto"),Prod_Prop!$A:$A,Prod_Prop!$J:$J,"",0,1))</f>
        <v/>
      </c>
      <c r="T961" s="4" t="str">
        <f t="array" ref="T961">IF($E961="","", XLOOKUP(SUMIFS(Prod_Prop!$A:$A,Prod_Prop!$B:$B,$E961,Prod_Prop!$H:$H,T$1,Prod_Prop!$I:$I,"Exacto"),Prod_Prop!$A:$A,Prod_Prop!$J:$J,"",0,1))</f>
        <v/>
      </c>
      <c r="U961" s="4" t="str">
        <f t="array" ref="U961">IF($E961="","", XLOOKUP(SUMIFS(Prod_Prop!$A:$A,Prod_Prop!$B:$B,$E961,Prod_Prop!$H:$H,U$1,Prod_Prop!$I:$I,"Exacto"),Prod_Prop!$A:$A,Prod_Prop!$J:$J,"",0,1))</f>
        <v/>
      </c>
      <c r="V961" s="4" t="str">
        <f t="array" ref="V961">IF($E961="","", XLOOKUP(SUMIFS(Prod_Prop!$A:$A,Prod_Prop!$B:$B,$E961,Prod_Prop!$H:$H,V$1,Prod_Prop!$I:$I,"Exacto"),Prod_Prop!$A:$A,Prod_Prop!$J:$J,"",0,1))</f>
        <v/>
      </c>
      <c r="X961" s="3" t="str">
        <f>IFERROR(__xludf.DUMMYFUNCTION("IF(D961="""","""",IFERROR(TRANSPOSE(FILTER('Validaciones Cotizador'!U:U,'Validaciones Cotizador'!O:O=D961,'Validaciones Cotizador'!T:T=""x"")),""Finalizar""))"),"")</f>
        <v/>
      </c>
    </row>
    <row r="962">
      <c r="A962" s="2" t="str">
        <f t="array" ref="A962">IF(E962="","",XLOOKUP(D962,'Validaciones Cotizador'!C:C,'Validaciones Cotizador'!A:A,"",0,1))</f>
        <v/>
      </c>
      <c r="B962" s="2" t="str">
        <f t="array" ref="B962">IF(F962="","",XLOOKUP(F962,Productos!E:E,Productos!G:G,"",0,1))</f>
        <v/>
      </c>
      <c r="C962" s="2" t="str">
        <f>IF(A962="","",SUMIFS('Validaciones Cotizador'!B:B,'Validaciones Cotizador'!C:C,D962,'Validaciones Cotizador'!A:A,A962))</f>
        <v/>
      </c>
      <c r="D962" s="4" t="str">
        <f>IFERROR(__xludf.DUMMYFUNCTION("IF(OR(F961=""Finalizar"",F961="""",F961=""Selecciona..""),"""",IF(OR(F961=""-"",INDEX(filter(Familias!F:F,Familias!D:D=A961,Familias!E:E=C961),1)=""O""),D961+1,D961))"),"")</f>
        <v/>
      </c>
      <c r="E962" s="2" t="str">
        <f>IF(OR(F962="",F962="Selecciona.."),"",IF(D962="Implemento",SUMIF(Implementos!B:B,F962,Implementos!A:A),SUMIF(Productos!E:E,F962,Productos!A:A)))</f>
        <v/>
      </c>
      <c r="F962" s="2" t="str">
        <f t="shared" si="2"/>
        <v/>
      </c>
      <c r="G962" s="10" t="str">
        <f t="array" ref="G962">IF(OR(F962="",F962="-",F962="Selecciona..",F962="Finalizar"),"",IF(A962="Rodados",XLOOKUP(B962,'Validaciones Cotizador'!I:I,'Validaciones Cotizador'!J:J,0,0,1),1))</f>
        <v/>
      </c>
      <c r="H962" s="11" t="str">
        <f>IF(OR(F962="",F962="Selecciona.."),"",SUMIF(Precio_Productos!K:K,E962,Precio_Productos!J:J)*G962)</f>
        <v/>
      </c>
      <c r="I962" s="4" t="str">
        <f t="array" ref="I962">IF($E962="","", XLOOKUP(SUMIFS(Prod_Prop!$A:$A,Prod_Prop!$B:$B,$E962,Prod_Prop!$H:$H,I$1,Prod_Prop!$I:$I,"Exacto"),Prod_Prop!$A:$A,Prod_Prop!$J:$J,"",0,1))</f>
        <v/>
      </c>
      <c r="J962" s="4" t="str">
        <f t="array" ref="J962">IF($E962="","", XLOOKUP(SUMIFS(Prod_Prop!$A:$A,Prod_Prop!$B:$B,$E962,Prod_Prop!$H:$H,J$1,Prod_Prop!$I:$I,"Exacto"),Prod_Prop!$A:$A,Prod_Prop!$J:$J,"",0,1))</f>
        <v/>
      </c>
      <c r="K962" s="4" t="str">
        <f t="array" ref="K962">IF($E962="","", XLOOKUP(SUMIFS(Prod_Prop!$A:$A,Prod_Prop!$B:$B,$E962,Prod_Prop!$H:$H,K$1,Prod_Prop!$I:$I,"Exacto"),Prod_Prop!$A:$A,Prod_Prop!$J:$J,"",0,1))</f>
        <v/>
      </c>
      <c r="L962" s="4" t="str">
        <f t="array" ref="L962">IF($E962="","", XLOOKUP(SUMIFS(Prod_Prop!$A:$A,Prod_Prop!$B:$B,$E962,Prod_Prop!$H:$H,L$1,Prod_Prop!$I:$I,"Exacto"),Prod_Prop!$A:$A,Prod_Prop!$J:$J,"",0,1))</f>
        <v/>
      </c>
      <c r="M962" s="4" t="str">
        <f t="array" ref="M962">IF($E962="","", XLOOKUP(SUMIFS(Prod_Prop!$A:$A,Prod_Prop!$B:$B,$E962,Prod_Prop!$H:$H,M$1,Prod_Prop!$I:$I,"Exacto"),Prod_Prop!$A:$A,Prod_Prop!$J:$J,"",0,1))</f>
        <v/>
      </c>
      <c r="N962" s="4" t="str">
        <f t="array" ref="N962">IF($E962="","", XLOOKUP(SUMIFS(Prod_Prop!$A:$A,Prod_Prop!$B:$B,$E962,Prod_Prop!$H:$H,N$1,Prod_Prop!$I:$I,"Exacto"),Prod_Prop!$A:$A,Prod_Prop!$J:$J,"",0,1))</f>
        <v/>
      </c>
      <c r="O962" s="4" t="str">
        <f t="array" ref="O962">IF($E962="","", XLOOKUP(SUMIFS(Prod_Prop!$A:$A,Prod_Prop!$B:$B,$E962,Prod_Prop!$H:$H,O$1,Prod_Prop!$I:$I,"Exacto"),Prod_Prop!$A:$A,Prod_Prop!$J:$J,"",0,1))</f>
        <v/>
      </c>
      <c r="P962" s="4" t="str">
        <f t="array" ref="P962">IF($E962="","", XLOOKUP(SUMIFS(Prod_Prop!$A:$A,Prod_Prop!$B:$B,$E962,Prod_Prop!$H:$H,P$1,Prod_Prop!$I:$I,"Exacto"),Prod_Prop!$A:$A,Prod_Prop!$J:$J,"",0,1))</f>
        <v/>
      </c>
      <c r="Q962" s="4" t="str">
        <f t="array" ref="Q962">IF($E962="","", XLOOKUP(SUMIFS(Prod_Prop!$A:$A,Prod_Prop!$B:$B,$E962,Prod_Prop!$H:$H,Q$1,Prod_Prop!$I:$I,"Exacto"),Prod_Prop!$A:$A,Prod_Prop!$J:$J,"",0,1))</f>
        <v/>
      </c>
      <c r="R962" s="4" t="str">
        <f t="array" ref="R962">IF($E962="","", XLOOKUP(SUMIFS(Prod_Prop!$A:$A,Prod_Prop!$B:$B,$E962,Prod_Prop!$H:$H,R$1,Prod_Prop!$I:$I,"Exacto"),Prod_Prop!$A:$A,Prod_Prop!$J:$J,"",0,1))</f>
        <v/>
      </c>
      <c r="S962" s="4" t="str">
        <f t="array" ref="S962">IF($E962="","", XLOOKUP(SUMIFS(Prod_Prop!$A:$A,Prod_Prop!$B:$B,$E962,Prod_Prop!$H:$H,S$1,Prod_Prop!$I:$I,"Exacto"),Prod_Prop!$A:$A,Prod_Prop!$J:$J,"",0,1))</f>
        <v/>
      </c>
      <c r="T962" s="4" t="str">
        <f t="array" ref="T962">IF($E962="","", XLOOKUP(SUMIFS(Prod_Prop!$A:$A,Prod_Prop!$B:$B,$E962,Prod_Prop!$H:$H,T$1,Prod_Prop!$I:$I,"Exacto"),Prod_Prop!$A:$A,Prod_Prop!$J:$J,"",0,1))</f>
        <v/>
      </c>
      <c r="U962" s="4" t="str">
        <f t="array" ref="U962">IF($E962="","", XLOOKUP(SUMIFS(Prod_Prop!$A:$A,Prod_Prop!$B:$B,$E962,Prod_Prop!$H:$H,U$1,Prod_Prop!$I:$I,"Exacto"),Prod_Prop!$A:$A,Prod_Prop!$J:$J,"",0,1))</f>
        <v/>
      </c>
      <c r="V962" s="4" t="str">
        <f t="array" ref="V962">IF($E962="","", XLOOKUP(SUMIFS(Prod_Prop!$A:$A,Prod_Prop!$B:$B,$E962,Prod_Prop!$H:$H,V$1,Prod_Prop!$I:$I,"Exacto"),Prod_Prop!$A:$A,Prod_Prop!$J:$J,"",0,1))</f>
        <v/>
      </c>
      <c r="X962" s="3" t="str">
        <f>IFERROR(__xludf.DUMMYFUNCTION("IF(D962="""","""",IFERROR(TRANSPOSE(FILTER('Validaciones Cotizador'!U:U,'Validaciones Cotizador'!O:O=D962,'Validaciones Cotizador'!T:T=""x"")),""Finalizar""))"),"")</f>
        <v/>
      </c>
    </row>
    <row r="963">
      <c r="A963" s="2" t="str">
        <f t="array" ref="A963">IF(E963="","",XLOOKUP(D963,'Validaciones Cotizador'!C:C,'Validaciones Cotizador'!A:A,"",0,1))</f>
        <v/>
      </c>
      <c r="B963" s="2" t="str">
        <f t="array" ref="B963">IF(F963="","",XLOOKUP(F963,Productos!E:E,Productos!G:G,"",0,1))</f>
        <v/>
      </c>
      <c r="C963" s="2" t="str">
        <f>IF(A963="","",SUMIFS('Validaciones Cotizador'!B:B,'Validaciones Cotizador'!C:C,D963,'Validaciones Cotizador'!A:A,A963))</f>
        <v/>
      </c>
      <c r="D963" s="4" t="str">
        <f>IFERROR(__xludf.DUMMYFUNCTION("IF(OR(F962=""Finalizar"",F962="""",F962=""Selecciona..""),"""",IF(OR(F962=""-"",INDEX(filter(Familias!F:F,Familias!D:D=A962,Familias!E:E=C962),1)=""O""),D962+1,D962))"),"")</f>
        <v/>
      </c>
      <c r="E963" s="2" t="str">
        <f>IF(OR(F963="",F963="Selecciona.."),"",IF(D963="Implemento",SUMIF(Implementos!B:B,F963,Implementos!A:A),SUMIF(Productos!E:E,F963,Productos!A:A)))</f>
        <v/>
      </c>
      <c r="F963" s="2" t="str">
        <f t="shared" si="2"/>
        <v/>
      </c>
      <c r="G963" s="10" t="str">
        <f t="array" ref="G963">IF(OR(F963="",F963="-",F963="Selecciona..",F963="Finalizar"),"",IF(A963="Rodados",XLOOKUP(B963,'Validaciones Cotizador'!I:I,'Validaciones Cotizador'!J:J,0,0,1),1))</f>
        <v/>
      </c>
      <c r="H963" s="11" t="str">
        <f>IF(OR(F963="",F963="Selecciona.."),"",SUMIF(Precio_Productos!K:K,E963,Precio_Productos!J:J)*G963)</f>
        <v/>
      </c>
      <c r="I963" s="4" t="str">
        <f t="array" ref="I963">IF($E963="","", XLOOKUP(SUMIFS(Prod_Prop!$A:$A,Prod_Prop!$B:$B,$E963,Prod_Prop!$H:$H,I$1,Prod_Prop!$I:$I,"Exacto"),Prod_Prop!$A:$A,Prod_Prop!$J:$J,"",0,1))</f>
        <v/>
      </c>
      <c r="J963" s="4" t="str">
        <f t="array" ref="J963">IF($E963="","", XLOOKUP(SUMIFS(Prod_Prop!$A:$A,Prod_Prop!$B:$B,$E963,Prod_Prop!$H:$H,J$1,Prod_Prop!$I:$I,"Exacto"),Prod_Prop!$A:$A,Prod_Prop!$J:$J,"",0,1))</f>
        <v/>
      </c>
      <c r="K963" s="4" t="str">
        <f t="array" ref="K963">IF($E963="","", XLOOKUP(SUMIFS(Prod_Prop!$A:$A,Prod_Prop!$B:$B,$E963,Prod_Prop!$H:$H,K$1,Prod_Prop!$I:$I,"Exacto"),Prod_Prop!$A:$A,Prod_Prop!$J:$J,"",0,1))</f>
        <v/>
      </c>
      <c r="L963" s="4" t="str">
        <f t="array" ref="L963">IF($E963="","", XLOOKUP(SUMIFS(Prod_Prop!$A:$A,Prod_Prop!$B:$B,$E963,Prod_Prop!$H:$H,L$1,Prod_Prop!$I:$I,"Exacto"),Prod_Prop!$A:$A,Prod_Prop!$J:$J,"",0,1))</f>
        <v/>
      </c>
      <c r="M963" s="4" t="str">
        <f t="array" ref="M963">IF($E963="","", XLOOKUP(SUMIFS(Prod_Prop!$A:$A,Prod_Prop!$B:$B,$E963,Prod_Prop!$H:$H,M$1,Prod_Prop!$I:$I,"Exacto"),Prod_Prop!$A:$A,Prod_Prop!$J:$J,"",0,1))</f>
        <v/>
      </c>
      <c r="N963" s="4" t="str">
        <f t="array" ref="N963">IF($E963="","", XLOOKUP(SUMIFS(Prod_Prop!$A:$A,Prod_Prop!$B:$B,$E963,Prod_Prop!$H:$H,N$1,Prod_Prop!$I:$I,"Exacto"),Prod_Prop!$A:$A,Prod_Prop!$J:$J,"",0,1))</f>
        <v/>
      </c>
      <c r="O963" s="4" t="str">
        <f t="array" ref="O963">IF($E963="","", XLOOKUP(SUMIFS(Prod_Prop!$A:$A,Prod_Prop!$B:$B,$E963,Prod_Prop!$H:$H,O$1,Prod_Prop!$I:$I,"Exacto"),Prod_Prop!$A:$A,Prod_Prop!$J:$J,"",0,1))</f>
        <v/>
      </c>
      <c r="P963" s="4" t="str">
        <f t="array" ref="P963">IF($E963="","", XLOOKUP(SUMIFS(Prod_Prop!$A:$A,Prod_Prop!$B:$B,$E963,Prod_Prop!$H:$H,P$1,Prod_Prop!$I:$I,"Exacto"),Prod_Prop!$A:$A,Prod_Prop!$J:$J,"",0,1))</f>
        <v/>
      </c>
      <c r="Q963" s="4" t="str">
        <f t="array" ref="Q963">IF($E963="","", XLOOKUP(SUMIFS(Prod_Prop!$A:$A,Prod_Prop!$B:$B,$E963,Prod_Prop!$H:$H,Q$1,Prod_Prop!$I:$I,"Exacto"),Prod_Prop!$A:$A,Prod_Prop!$J:$J,"",0,1))</f>
        <v/>
      </c>
      <c r="R963" s="4" t="str">
        <f t="array" ref="R963">IF($E963="","", XLOOKUP(SUMIFS(Prod_Prop!$A:$A,Prod_Prop!$B:$B,$E963,Prod_Prop!$H:$H,R$1,Prod_Prop!$I:$I,"Exacto"),Prod_Prop!$A:$A,Prod_Prop!$J:$J,"",0,1))</f>
        <v/>
      </c>
      <c r="S963" s="4" t="str">
        <f t="array" ref="S963">IF($E963="","", XLOOKUP(SUMIFS(Prod_Prop!$A:$A,Prod_Prop!$B:$B,$E963,Prod_Prop!$H:$H,S$1,Prod_Prop!$I:$I,"Exacto"),Prod_Prop!$A:$A,Prod_Prop!$J:$J,"",0,1))</f>
        <v/>
      </c>
      <c r="T963" s="4" t="str">
        <f t="array" ref="T963">IF($E963="","", XLOOKUP(SUMIFS(Prod_Prop!$A:$A,Prod_Prop!$B:$B,$E963,Prod_Prop!$H:$H,T$1,Prod_Prop!$I:$I,"Exacto"),Prod_Prop!$A:$A,Prod_Prop!$J:$J,"",0,1))</f>
        <v/>
      </c>
      <c r="U963" s="4" t="str">
        <f t="array" ref="U963">IF($E963="","", XLOOKUP(SUMIFS(Prod_Prop!$A:$A,Prod_Prop!$B:$B,$E963,Prod_Prop!$H:$H,U$1,Prod_Prop!$I:$I,"Exacto"),Prod_Prop!$A:$A,Prod_Prop!$J:$J,"",0,1))</f>
        <v/>
      </c>
      <c r="V963" s="4" t="str">
        <f t="array" ref="V963">IF($E963="","", XLOOKUP(SUMIFS(Prod_Prop!$A:$A,Prod_Prop!$B:$B,$E963,Prod_Prop!$H:$H,V$1,Prod_Prop!$I:$I,"Exacto"),Prod_Prop!$A:$A,Prod_Prop!$J:$J,"",0,1))</f>
        <v/>
      </c>
      <c r="X963" s="3" t="str">
        <f>IFERROR(__xludf.DUMMYFUNCTION("IF(D963="""","""",IFERROR(TRANSPOSE(FILTER('Validaciones Cotizador'!U:U,'Validaciones Cotizador'!O:O=D963,'Validaciones Cotizador'!T:T=""x"")),""Finalizar""))"),"")</f>
        <v/>
      </c>
    </row>
    <row r="964">
      <c r="A964" s="2" t="str">
        <f t="array" ref="A964">IF(E964="","",XLOOKUP(D964,'Validaciones Cotizador'!C:C,'Validaciones Cotizador'!A:A,"",0,1))</f>
        <v/>
      </c>
      <c r="B964" s="2" t="str">
        <f t="array" ref="B964">IF(F964="","",XLOOKUP(F964,Productos!E:E,Productos!G:G,"",0,1))</f>
        <v/>
      </c>
      <c r="C964" s="2" t="str">
        <f>IF(A964="","",SUMIFS('Validaciones Cotizador'!B:B,'Validaciones Cotizador'!C:C,D964,'Validaciones Cotizador'!A:A,A964))</f>
        <v/>
      </c>
      <c r="D964" s="4" t="str">
        <f>IFERROR(__xludf.DUMMYFUNCTION("IF(OR(F963=""Finalizar"",F963="""",F963=""Selecciona..""),"""",IF(OR(F963=""-"",INDEX(filter(Familias!F:F,Familias!D:D=A963,Familias!E:E=C963),1)=""O""),D963+1,D963))"),"")</f>
        <v/>
      </c>
      <c r="E964" s="2" t="str">
        <f>IF(OR(F964="",F964="Selecciona.."),"",IF(D964="Implemento",SUMIF(Implementos!B:B,F964,Implementos!A:A),SUMIF(Productos!E:E,F964,Productos!A:A)))</f>
        <v/>
      </c>
      <c r="F964" s="2" t="str">
        <f t="shared" si="2"/>
        <v/>
      </c>
      <c r="G964" s="10" t="str">
        <f t="array" ref="G964">IF(OR(F964="",F964="-",F964="Selecciona..",F964="Finalizar"),"",IF(A964="Rodados",XLOOKUP(B964,'Validaciones Cotizador'!I:I,'Validaciones Cotizador'!J:J,0,0,1),1))</f>
        <v/>
      </c>
      <c r="H964" s="11" t="str">
        <f>IF(OR(F964="",F964="Selecciona.."),"",SUMIF(Precio_Productos!K:K,E964,Precio_Productos!J:J)*G964)</f>
        <v/>
      </c>
      <c r="I964" s="4" t="str">
        <f t="array" ref="I964">IF($E964="","", XLOOKUP(SUMIFS(Prod_Prop!$A:$A,Prod_Prop!$B:$B,$E964,Prod_Prop!$H:$H,I$1,Prod_Prop!$I:$I,"Exacto"),Prod_Prop!$A:$A,Prod_Prop!$J:$J,"",0,1))</f>
        <v/>
      </c>
      <c r="J964" s="4" t="str">
        <f t="array" ref="J964">IF($E964="","", XLOOKUP(SUMIFS(Prod_Prop!$A:$A,Prod_Prop!$B:$B,$E964,Prod_Prop!$H:$H,J$1,Prod_Prop!$I:$I,"Exacto"),Prod_Prop!$A:$A,Prod_Prop!$J:$J,"",0,1))</f>
        <v/>
      </c>
      <c r="K964" s="4" t="str">
        <f t="array" ref="K964">IF($E964="","", XLOOKUP(SUMIFS(Prod_Prop!$A:$A,Prod_Prop!$B:$B,$E964,Prod_Prop!$H:$H,K$1,Prod_Prop!$I:$I,"Exacto"),Prod_Prop!$A:$A,Prod_Prop!$J:$J,"",0,1))</f>
        <v/>
      </c>
      <c r="L964" s="4" t="str">
        <f t="array" ref="L964">IF($E964="","", XLOOKUP(SUMIFS(Prod_Prop!$A:$A,Prod_Prop!$B:$B,$E964,Prod_Prop!$H:$H,L$1,Prod_Prop!$I:$I,"Exacto"),Prod_Prop!$A:$A,Prod_Prop!$J:$J,"",0,1))</f>
        <v/>
      </c>
      <c r="M964" s="4" t="str">
        <f t="array" ref="M964">IF($E964="","", XLOOKUP(SUMIFS(Prod_Prop!$A:$A,Prod_Prop!$B:$B,$E964,Prod_Prop!$H:$H,M$1,Prod_Prop!$I:$I,"Exacto"),Prod_Prop!$A:$A,Prod_Prop!$J:$J,"",0,1))</f>
        <v/>
      </c>
      <c r="N964" s="4" t="str">
        <f t="array" ref="N964">IF($E964="","", XLOOKUP(SUMIFS(Prod_Prop!$A:$A,Prod_Prop!$B:$B,$E964,Prod_Prop!$H:$H,N$1,Prod_Prop!$I:$I,"Exacto"),Prod_Prop!$A:$A,Prod_Prop!$J:$J,"",0,1))</f>
        <v/>
      </c>
      <c r="O964" s="4" t="str">
        <f t="array" ref="O964">IF($E964="","", XLOOKUP(SUMIFS(Prod_Prop!$A:$A,Prod_Prop!$B:$B,$E964,Prod_Prop!$H:$H,O$1,Prod_Prop!$I:$I,"Exacto"),Prod_Prop!$A:$A,Prod_Prop!$J:$J,"",0,1))</f>
        <v/>
      </c>
      <c r="P964" s="4" t="str">
        <f t="array" ref="P964">IF($E964="","", XLOOKUP(SUMIFS(Prod_Prop!$A:$A,Prod_Prop!$B:$B,$E964,Prod_Prop!$H:$H,P$1,Prod_Prop!$I:$I,"Exacto"),Prod_Prop!$A:$A,Prod_Prop!$J:$J,"",0,1))</f>
        <v/>
      </c>
      <c r="Q964" s="4" t="str">
        <f t="array" ref="Q964">IF($E964="","", XLOOKUP(SUMIFS(Prod_Prop!$A:$A,Prod_Prop!$B:$B,$E964,Prod_Prop!$H:$H,Q$1,Prod_Prop!$I:$I,"Exacto"),Prod_Prop!$A:$A,Prod_Prop!$J:$J,"",0,1))</f>
        <v/>
      </c>
      <c r="R964" s="4" t="str">
        <f t="array" ref="R964">IF($E964="","", XLOOKUP(SUMIFS(Prod_Prop!$A:$A,Prod_Prop!$B:$B,$E964,Prod_Prop!$H:$H,R$1,Prod_Prop!$I:$I,"Exacto"),Prod_Prop!$A:$A,Prod_Prop!$J:$J,"",0,1))</f>
        <v/>
      </c>
      <c r="S964" s="4" t="str">
        <f t="array" ref="S964">IF($E964="","", XLOOKUP(SUMIFS(Prod_Prop!$A:$A,Prod_Prop!$B:$B,$E964,Prod_Prop!$H:$H,S$1,Prod_Prop!$I:$I,"Exacto"),Prod_Prop!$A:$A,Prod_Prop!$J:$J,"",0,1))</f>
        <v/>
      </c>
      <c r="T964" s="4" t="str">
        <f t="array" ref="T964">IF($E964="","", XLOOKUP(SUMIFS(Prod_Prop!$A:$A,Prod_Prop!$B:$B,$E964,Prod_Prop!$H:$H,T$1,Prod_Prop!$I:$I,"Exacto"),Prod_Prop!$A:$A,Prod_Prop!$J:$J,"",0,1))</f>
        <v/>
      </c>
      <c r="U964" s="4" t="str">
        <f t="array" ref="U964">IF($E964="","", XLOOKUP(SUMIFS(Prod_Prop!$A:$A,Prod_Prop!$B:$B,$E964,Prod_Prop!$H:$H,U$1,Prod_Prop!$I:$I,"Exacto"),Prod_Prop!$A:$A,Prod_Prop!$J:$J,"",0,1))</f>
        <v/>
      </c>
      <c r="V964" s="4" t="str">
        <f t="array" ref="V964">IF($E964="","", XLOOKUP(SUMIFS(Prod_Prop!$A:$A,Prod_Prop!$B:$B,$E964,Prod_Prop!$H:$H,V$1,Prod_Prop!$I:$I,"Exacto"),Prod_Prop!$A:$A,Prod_Prop!$J:$J,"",0,1))</f>
        <v/>
      </c>
      <c r="X964" s="3" t="str">
        <f>IFERROR(__xludf.DUMMYFUNCTION("IF(D964="""","""",IFERROR(TRANSPOSE(FILTER('Validaciones Cotizador'!U:U,'Validaciones Cotizador'!O:O=D964,'Validaciones Cotizador'!T:T=""x"")),""Finalizar""))"),"")</f>
        <v/>
      </c>
    </row>
    <row r="965">
      <c r="A965" s="2" t="str">
        <f t="array" ref="A965">IF(E965="","",XLOOKUP(D965,'Validaciones Cotizador'!C:C,'Validaciones Cotizador'!A:A,"",0,1))</f>
        <v/>
      </c>
      <c r="B965" s="2" t="str">
        <f t="array" ref="B965">IF(F965="","",XLOOKUP(F965,Productos!E:E,Productos!G:G,"",0,1))</f>
        <v/>
      </c>
      <c r="C965" s="2" t="str">
        <f>IF(A965="","",SUMIFS('Validaciones Cotizador'!B:B,'Validaciones Cotizador'!C:C,D965,'Validaciones Cotizador'!A:A,A965))</f>
        <v/>
      </c>
      <c r="D965" s="4" t="str">
        <f>IFERROR(__xludf.DUMMYFUNCTION("IF(OR(F964=""Finalizar"",F964="""",F964=""Selecciona..""),"""",IF(OR(F964=""-"",INDEX(filter(Familias!F:F,Familias!D:D=A964,Familias!E:E=C964),1)=""O""),D964+1,D964))"),"")</f>
        <v/>
      </c>
      <c r="E965" s="2" t="str">
        <f>IF(OR(F965="",F965="Selecciona.."),"",IF(D965="Implemento",SUMIF(Implementos!B:B,F965,Implementos!A:A),SUMIF(Productos!E:E,F965,Productos!A:A)))</f>
        <v/>
      </c>
      <c r="F965" s="2" t="str">
        <f t="shared" si="2"/>
        <v/>
      </c>
      <c r="G965" s="10" t="str">
        <f t="array" ref="G965">IF(OR(F965="",F965="-",F965="Selecciona..",F965="Finalizar"),"",IF(A965="Rodados",XLOOKUP(B965,'Validaciones Cotizador'!I:I,'Validaciones Cotizador'!J:J,0,0,1),1))</f>
        <v/>
      </c>
      <c r="H965" s="11" t="str">
        <f>IF(OR(F965="",F965="Selecciona.."),"",SUMIF(Precio_Productos!K:K,E965,Precio_Productos!J:J)*G965)</f>
        <v/>
      </c>
      <c r="I965" s="4" t="str">
        <f t="array" ref="I965">IF($E965="","", XLOOKUP(SUMIFS(Prod_Prop!$A:$A,Prod_Prop!$B:$B,$E965,Prod_Prop!$H:$H,I$1,Prod_Prop!$I:$I,"Exacto"),Prod_Prop!$A:$A,Prod_Prop!$J:$J,"",0,1))</f>
        <v/>
      </c>
      <c r="J965" s="4" t="str">
        <f t="array" ref="J965">IF($E965="","", XLOOKUP(SUMIFS(Prod_Prop!$A:$A,Prod_Prop!$B:$B,$E965,Prod_Prop!$H:$H,J$1,Prod_Prop!$I:$I,"Exacto"),Prod_Prop!$A:$A,Prod_Prop!$J:$J,"",0,1))</f>
        <v/>
      </c>
      <c r="K965" s="4" t="str">
        <f t="array" ref="K965">IF($E965="","", XLOOKUP(SUMIFS(Prod_Prop!$A:$A,Prod_Prop!$B:$B,$E965,Prod_Prop!$H:$H,K$1,Prod_Prop!$I:$I,"Exacto"),Prod_Prop!$A:$A,Prod_Prop!$J:$J,"",0,1))</f>
        <v/>
      </c>
      <c r="L965" s="4" t="str">
        <f t="array" ref="L965">IF($E965="","", XLOOKUP(SUMIFS(Prod_Prop!$A:$A,Prod_Prop!$B:$B,$E965,Prod_Prop!$H:$H,L$1,Prod_Prop!$I:$I,"Exacto"),Prod_Prop!$A:$A,Prod_Prop!$J:$J,"",0,1))</f>
        <v/>
      </c>
      <c r="M965" s="4" t="str">
        <f t="array" ref="M965">IF($E965="","", XLOOKUP(SUMIFS(Prod_Prop!$A:$A,Prod_Prop!$B:$B,$E965,Prod_Prop!$H:$H,M$1,Prod_Prop!$I:$I,"Exacto"),Prod_Prop!$A:$A,Prod_Prop!$J:$J,"",0,1))</f>
        <v/>
      </c>
      <c r="N965" s="4" t="str">
        <f t="array" ref="N965">IF($E965="","", XLOOKUP(SUMIFS(Prod_Prop!$A:$A,Prod_Prop!$B:$B,$E965,Prod_Prop!$H:$H,N$1,Prod_Prop!$I:$I,"Exacto"),Prod_Prop!$A:$A,Prod_Prop!$J:$J,"",0,1))</f>
        <v/>
      </c>
      <c r="O965" s="4" t="str">
        <f t="array" ref="O965">IF($E965="","", XLOOKUP(SUMIFS(Prod_Prop!$A:$A,Prod_Prop!$B:$B,$E965,Prod_Prop!$H:$H,O$1,Prod_Prop!$I:$I,"Exacto"),Prod_Prop!$A:$A,Prod_Prop!$J:$J,"",0,1))</f>
        <v/>
      </c>
      <c r="P965" s="4" t="str">
        <f t="array" ref="P965">IF($E965="","", XLOOKUP(SUMIFS(Prod_Prop!$A:$A,Prod_Prop!$B:$B,$E965,Prod_Prop!$H:$H,P$1,Prod_Prop!$I:$I,"Exacto"),Prod_Prop!$A:$A,Prod_Prop!$J:$J,"",0,1))</f>
        <v/>
      </c>
      <c r="Q965" s="4" t="str">
        <f t="array" ref="Q965">IF($E965="","", XLOOKUP(SUMIFS(Prod_Prop!$A:$A,Prod_Prop!$B:$B,$E965,Prod_Prop!$H:$H,Q$1,Prod_Prop!$I:$I,"Exacto"),Prod_Prop!$A:$A,Prod_Prop!$J:$J,"",0,1))</f>
        <v/>
      </c>
      <c r="R965" s="4" t="str">
        <f t="array" ref="R965">IF($E965="","", XLOOKUP(SUMIFS(Prod_Prop!$A:$A,Prod_Prop!$B:$B,$E965,Prod_Prop!$H:$H,R$1,Prod_Prop!$I:$I,"Exacto"),Prod_Prop!$A:$A,Prod_Prop!$J:$J,"",0,1))</f>
        <v/>
      </c>
      <c r="S965" s="4" t="str">
        <f t="array" ref="S965">IF($E965="","", XLOOKUP(SUMIFS(Prod_Prop!$A:$A,Prod_Prop!$B:$B,$E965,Prod_Prop!$H:$H,S$1,Prod_Prop!$I:$I,"Exacto"),Prod_Prop!$A:$A,Prod_Prop!$J:$J,"",0,1))</f>
        <v/>
      </c>
      <c r="T965" s="4" t="str">
        <f t="array" ref="T965">IF($E965="","", XLOOKUP(SUMIFS(Prod_Prop!$A:$A,Prod_Prop!$B:$B,$E965,Prod_Prop!$H:$H,T$1,Prod_Prop!$I:$I,"Exacto"),Prod_Prop!$A:$A,Prod_Prop!$J:$J,"",0,1))</f>
        <v/>
      </c>
      <c r="U965" s="4" t="str">
        <f t="array" ref="U965">IF($E965="","", XLOOKUP(SUMIFS(Prod_Prop!$A:$A,Prod_Prop!$B:$B,$E965,Prod_Prop!$H:$H,U$1,Prod_Prop!$I:$I,"Exacto"),Prod_Prop!$A:$A,Prod_Prop!$J:$J,"",0,1))</f>
        <v/>
      </c>
      <c r="V965" s="4" t="str">
        <f t="array" ref="V965">IF($E965="","", XLOOKUP(SUMIFS(Prod_Prop!$A:$A,Prod_Prop!$B:$B,$E965,Prod_Prop!$H:$H,V$1,Prod_Prop!$I:$I,"Exacto"),Prod_Prop!$A:$A,Prod_Prop!$J:$J,"",0,1))</f>
        <v/>
      </c>
      <c r="X965" s="3" t="str">
        <f>IFERROR(__xludf.DUMMYFUNCTION("IF(D965="""","""",IFERROR(TRANSPOSE(FILTER('Validaciones Cotizador'!U:U,'Validaciones Cotizador'!O:O=D965,'Validaciones Cotizador'!T:T=""x"")),""Finalizar""))"),"")</f>
        <v/>
      </c>
    </row>
    <row r="966">
      <c r="A966" s="2" t="str">
        <f t="array" ref="A966">IF(E966="","",XLOOKUP(D966,'Validaciones Cotizador'!C:C,'Validaciones Cotizador'!A:A,"",0,1))</f>
        <v/>
      </c>
      <c r="B966" s="2" t="str">
        <f t="array" ref="B966">IF(F966="","",XLOOKUP(F966,Productos!E:E,Productos!G:G,"",0,1))</f>
        <v/>
      </c>
      <c r="C966" s="2" t="str">
        <f>IF(A966="","",SUMIFS('Validaciones Cotizador'!B:B,'Validaciones Cotizador'!C:C,D966,'Validaciones Cotizador'!A:A,A966))</f>
        <v/>
      </c>
      <c r="D966" s="4" t="str">
        <f>IFERROR(__xludf.DUMMYFUNCTION("IF(OR(F965=""Finalizar"",F965="""",F965=""Selecciona..""),"""",IF(OR(F965=""-"",INDEX(filter(Familias!F:F,Familias!D:D=A965,Familias!E:E=C965),1)=""O""),D965+1,D965))"),"")</f>
        <v/>
      </c>
      <c r="E966" s="2" t="str">
        <f>IF(OR(F966="",F966="Selecciona.."),"",IF(D966="Implemento",SUMIF(Implementos!B:B,F966,Implementos!A:A),SUMIF(Productos!E:E,F966,Productos!A:A)))</f>
        <v/>
      </c>
      <c r="F966" s="2" t="str">
        <f t="shared" si="2"/>
        <v/>
      </c>
      <c r="G966" s="10" t="str">
        <f t="array" ref="G966">IF(OR(F966="",F966="-",F966="Selecciona..",F966="Finalizar"),"",IF(A966="Rodados",XLOOKUP(B966,'Validaciones Cotizador'!I:I,'Validaciones Cotizador'!J:J,0,0,1),1))</f>
        <v/>
      </c>
      <c r="H966" s="11" t="str">
        <f>IF(OR(F966="",F966="Selecciona.."),"",SUMIF(Precio_Productos!K:K,E966,Precio_Productos!J:J)*G966)</f>
        <v/>
      </c>
      <c r="I966" s="4" t="str">
        <f t="array" ref="I966">IF($E966="","", XLOOKUP(SUMIFS(Prod_Prop!$A:$A,Prod_Prop!$B:$B,$E966,Prod_Prop!$H:$H,I$1,Prod_Prop!$I:$I,"Exacto"),Prod_Prop!$A:$A,Prod_Prop!$J:$J,"",0,1))</f>
        <v/>
      </c>
      <c r="J966" s="4" t="str">
        <f t="array" ref="J966">IF($E966="","", XLOOKUP(SUMIFS(Prod_Prop!$A:$A,Prod_Prop!$B:$B,$E966,Prod_Prop!$H:$H,J$1,Prod_Prop!$I:$I,"Exacto"),Prod_Prop!$A:$A,Prod_Prop!$J:$J,"",0,1))</f>
        <v/>
      </c>
      <c r="K966" s="4" t="str">
        <f t="array" ref="K966">IF($E966="","", XLOOKUP(SUMIFS(Prod_Prop!$A:$A,Prod_Prop!$B:$B,$E966,Prod_Prop!$H:$H,K$1,Prod_Prop!$I:$I,"Exacto"),Prod_Prop!$A:$A,Prod_Prop!$J:$J,"",0,1))</f>
        <v/>
      </c>
      <c r="L966" s="4" t="str">
        <f t="array" ref="L966">IF($E966="","", XLOOKUP(SUMIFS(Prod_Prop!$A:$A,Prod_Prop!$B:$B,$E966,Prod_Prop!$H:$H,L$1,Prod_Prop!$I:$I,"Exacto"),Prod_Prop!$A:$A,Prod_Prop!$J:$J,"",0,1))</f>
        <v/>
      </c>
      <c r="M966" s="4" t="str">
        <f t="array" ref="M966">IF($E966="","", XLOOKUP(SUMIFS(Prod_Prop!$A:$A,Prod_Prop!$B:$B,$E966,Prod_Prop!$H:$H,M$1,Prod_Prop!$I:$I,"Exacto"),Prod_Prop!$A:$A,Prod_Prop!$J:$J,"",0,1))</f>
        <v/>
      </c>
      <c r="N966" s="4" t="str">
        <f t="array" ref="N966">IF($E966="","", XLOOKUP(SUMIFS(Prod_Prop!$A:$A,Prod_Prop!$B:$B,$E966,Prod_Prop!$H:$H,N$1,Prod_Prop!$I:$I,"Exacto"),Prod_Prop!$A:$A,Prod_Prop!$J:$J,"",0,1))</f>
        <v/>
      </c>
      <c r="O966" s="4" t="str">
        <f t="array" ref="O966">IF($E966="","", XLOOKUP(SUMIFS(Prod_Prop!$A:$A,Prod_Prop!$B:$B,$E966,Prod_Prop!$H:$H,O$1,Prod_Prop!$I:$I,"Exacto"),Prod_Prop!$A:$A,Prod_Prop!$J:$J,"",0,1))</f>
        <v/>
      </c>
      <c r="P966" s="4" t="str">
        <f t="array" ref="P966">IF($E966="","", XLOOKUP(SUMIFS(Prod_Prop!$A:$A,Prod_Prop!$B:$B,$E966,Prod_Prop!$H:$H,P$1,Prod_Prop!$I:$I,"Exacto"),Prod_Prop!$A:$A,Prod_Prop!$J:$J,"",0,1))</f>
        <v/>
      </c>
      <c r="Q966" s="4" t="str">
        <f t="array" ref="Q966">IF($E966="","", XLOOKUP(SUMIFS(Prod_Prop!$A:$A,Prod_Prop!$B:$B,$E966,Prod_Prop!$H:$H,Q$1,Prod_Prop!$I:$I,"Exacto"),Prod_Prop!$A:$A,Prod_Prop!$J:$J,"",0,1))</f>
        <v/>
      </c>
      <c r="R966" s="4" t="str">
        <f t="array" ref="R966">IF($E966="","", XLOOKUP(SUMIFS(Prod_Prop!$A:$A,Prod_Prop!$B:$B,$E966,Prod_Prop!$H:$H,R$1,Prod_Prop!$I:$I,"Exacto"),Prod_Prop!$A:$A,Prod_Prop!$J:$J,"",0,1))</f>
        <v/>
      </c>
      <c r="S966" s="4" t="str">
        <f t="array" ref="S966">IF($E966="","", XLOOKUP(SUMIFS(Prod_Prop!$A:$A,Prod_Prop!$B:$B,$E966,Prod_Prop!$H:$H,S$1,Prod_Prop!$I:$I,"Exacto"),Prod_Prop!$A:$A,Prod_Prop!$J:$J,"",0,1))</f>
        <v/>
      </c>
      <c r="T966" s="4" t="str">
        <f t="array" ref="T966">IF($E966="","", XLOOKUP(SUMIFS(Prod_Prop!$A:$A,Prod_Prop!$B:$B,$E966,Prod_Prop!$H:$H,T$1,Prod_Prop!$I:$I,"Exacto"),Prod_Prop!$A:$A,Prod_Prop!$J:$J,"",0,1))</f>
        <v/>
      </c>
      <c r="U966" s="4" t="str">
        <f t="array" ref="U966">IF($E966="","", XLOOKUP(SUMIFS(Prod_Prop!$A:$A,Prod_Prop!$B:$B,$E966,Prod_Prop!$H:$H,U$1,Prod_Prop!$I:$I,"Exacto"),Prod_Prop!$A:$A,Prod_Prop!$J:$J,"",0,1))</f>
        <v/>
      </c>
      <c r="V966" s="4" t="str">
        <f t="array" ref="V966">IF($E966="","", XLOOKUP(SUMIFS(Prod_Prop!$A:$A,Prod_Prop!$B:$B,$E966,Prod_Prop!$H:$H,V$1,Prod_Prop!$I:$I,"Exacto"),Prod_Prop!$A:$A,Prod_Prop!$J:$J,"",0,1))</f>
        <v/>
      </c>
      <c r="X966" s="3" t="str">
        <f>IFERROR(__xludf.DUMMYFUNCTION("IF(D966="""","""",IFERROR(TRANSPOSE(FILTER('Validaciones Cotizador'!U:U,'Validaciones Cotizador'!O:O=D966,'Validaciones Cotizador'!T:T=""x"")),""Finalizar""))"),"")</f>
        <v/>
      </c>
    </row>
    <row r="967">
      <c r="A967" s="2" t="str">
        <f t="array" ref="A967">IF(E967="","",XLOOKUP(D967,'Validaciones Cotizador'!C:C,'Validaciones Cotizador'!A:A,"",0,1))</f>
        <v/>
      </c>
      <c r="B967" s="2" t="str">
        <f t="array" ref="B967">IF(F967="","",XLOOKUP(F967,Productos!E:E,Productos!G:G,"",0,1))</f>
        <v/>
      </c>
      <c r="C967" s="2" t="str">
        <f>IF(A967="","",SUMIFS('Validaciones Cotizador'!B:B,'Validaciones Cotizador'!C:C,D967,'Validaciones Cotizador'!A:A,A967))</f>
        <v/>
      </c>
      <c r="D967" s="4" t="str">
        <f>IFERROR(__xludf.DUMMYFUNCTION("IF(OR(F966=""Finalizar"",F966="""",F966=""Selecciona..""),"""",IF(OR(F966=""-"",INDEX(filter(Familias!F:F,Familias!D:D=A966,Familias!E:E=C966),1)=""O""),D966+1,D966))"),"")</f>
        <v/>
      </c>
      <c r="E967" s="2" t="str">
        <f>IF(OR(F967="",F967="Selecciona.."),"",IF(D967="Implemento",SUMIF(Implementos!B:B,F967,Implementos!A:A),SUMIF(Productos!E:E,F967,Productos!A:A)))</f>
        <v/>
      </c>
      <c r="F967" s="2" t="str">
        <f t="shared" si="2"/>
        <v/>
      </c>
      <c r="G967" s="10" t="str">
        <f t="array" ref="G967">IF(OR(F967="",F967="-",F967="Selecciona..",F967="Finalizar"),"",IF(A967="Rodados",XLOOKUP(B967,'Validaciones Cotizador'!I:I,'Validaciones Cotizador'!J:J,0,0,1),1))</f>
        <v/>
      </c>
      <c r="H967" s="11" t="str">
        <f>IF(OR(F967="",F967="Selecciona.."),"",SUMIF(Precio_Productos!K:K,E967,Precio_Productos!J:J)*G967)</f>
        <v/>
      </c>
      <c r="I967" s="4" t="str">
        <f t="array" ref="I967">IF($E967="","", XLOOKUP(SUMIFS(Prod_Prop!$A:$A,Prod_Prop!$B:$B,$E967,Prod_Prop!$H:$H,I$1,Prod_Prop!$I:$I,"Exacto"),Prod_Prop!$A:$A,Prod_Prop!$J:$J,"",0,1))</f>
        <v/>
      </c>
      <c r="J967" s="4" t="str">
        <f t="array" ref="J967">IF($E967="","", XLOOKUP(SUMIFS(Prod_Prop!$A:$A,Prod_Prop!$B:$B,$E967,Prod_Prop!$H:$H,J$1,Prod_Prop!$I:$I,"Exacto"),Prod_Prop!$A:$A,Prod_Prop!$J:$J,"",0,1))</f>
        <v/>
      </c>
      <c r="K967" s="4" t="str">
        <f t="array" ref="K967">IF($E967="","", XLOOKUP(SUMIFS(Prod_Prop!$A:$A,Prod_Prop!$B:$B,$E967,Prod_Prop!$H:$H,K$1,Prod_Prop!$I:$I,"Exacto"),Prod_Prop!$A:$A,Prod_Prop!$J:$J,"",0,1))</f>
        <v/>
      </c>
      <c r="L967" s="4" t="str">
        <f t="array" ref="L967">IF($E967="","", XLOOKUP(SUMIFS(Prod_Prop!$A:$A,Prod_Prop!$B:$B,$E967,Prod_Prop!$H:$H,L$1,Prod_Prop!$I:$I,"Exacto"),Prod_Prop!$A:$A,Prod_Prop!$J:$J,"",0,1))</f>
        <v/>
      </c>
      <c r="M967" s="4" t="str">
        <f t="array" ref="M967">IF($E967="","", XLOOKUP(SUMIFS(Prod_Prop!$A:$A,Prod_Prop!$B:$B,$E967,Prod_Prop!$H:$H,M$1,Prod_Prop!$I:$I,"Exacto"),Prod_Prop!$A:$A,Prod_Prop!$J:$J,"",0,1))</f>
        <v/>
      </c>
      <c r="N967" s="4" t="str">
        <f t="array" ref="N967">IF($E967="","", XLOOKUP(SUMIFS(Prod_Prop!$A:$A,Prod_Prop!$B:$B,$E967,Prod_Prop!$H:$H,N$1,Prod_Prop!$I:$I,"Exacto"),Prod_Prop!$A:$A,Prod_Prop!$J:$J,"",0,1))</f>
        <v/>
      </c>
      <c r="O967" s="4" t="str">
        <f t="array" ref="O967">IF($E967="","", XLOOKUP(SUMIFS(Prod_Prop!$A:$A,Prod_Prop!$B:$B,$E967,Prod_Prop!$H:$H,O$1,Prod_Prop!$I:$I,"Exacto"),Prod_Prop!$A:$A,Prod_Prop!$J:$J,"",0,1))</f>
        <v/>
      </c>
      <c r="P967" s="4" t="str">
        <f t="array" ref="P967">IF($E967="","", XLOOKUP(SUMIFS(Prod_Prop!$A:$A,Prod_Prop!$B:$B,$E967,Prod_Prop!$H:$H,P$1,Prod_Prop!$I:$I,"Exacto"),Prod_Prop!$A:$A,Prod_Prop!$J:$J,"",0,1))</f>
        <v/>
      </c>
      <c r="Q967" s="4" t="str">
        <f t="array" ref="Q967">IF($E967="","", XLOOKUP(SUMIFS(Prod_Prop!$A:$A,Prod_Prop!$B:$B,$E967,Prod_Prop!$H:$H,Q$1,Prod_Prop!$I:$I,"Exacto"),Prod_Prop!$A:$A,Prod_Prop!$J:$J,"",0,1))</f>
        <v/>
      </c>
      <c r="R967" s="4" t="str">
        <f t="array" ref="R967">IF($E967="","", XLOOKUP(SUMIFS(Prod_Prop!$A:$A,Prod_Prop!$B:$B,$E967,Prod_Prop!$H:$H,R$1,Prod_Prop!$I:$I,"Exacto"),Prod_Prop!$A:$A,Prod_Prop!$J:$J,"",0,1))</f>
        <v/>
      </c>
      <c r="S967" s="4" t="str">
        <f t="array" ref="S967">IF($E967="","", XLOOKUP(SUMIFS(Prod_Prop!$A:$A,Prod_Prop!$B:$B,$E967,Prod_Prop!$H:$H,S$1,Prod_Prop!$I:$I,"Exacto"),Prod_Prop!$A:$A,Prod_Prop!$J:$J,"",0,1))</f>
        <v/>
      </c>
      <c r="T967" s="4" t="str">
        <f t="array" ref="T967">IF($E967="","", XLOOKUP(SUMIFS(Prod_Prop!$A:$A,Prod_Prop!$B:$B,$E967,Prod_Prop!$H:$H,T$1,Prod_Prop!$I:$I,"Exacto"),Prod_Prop!$A:$A,Prod_Prop!$J:$J,"",0,1))</f>
        <v/>
      </c>
      <c r="U967" s="4" t="str">
        <f t="array" ref="U967">IF($E967="","", XLOOKUP(SUMIFS(Prod_Prop!$A:$A,Prod_Prop!$B:$B,$E967,Prod_Prop!$H:$H,U$1,Prod_Prop!$I:$I,"Exacto"),Prod_Prop!$A:$A,Prod_Prop!$J:$J,"",0,1))</f>
        <v/>
      </c>
      <c r="V967" s="4" t="str">
        <f t="array" ref="V967">IF($E967="","", XLOOKUP(SUMIFS(Prod_Prop!$A:$A,Prod_Prop!$B:$B,$E967,Prod_Prop!$H:$H,V$1,Prod_Prop!$I:$I,"Exacto"),Prod_Prop!$A:$A,Prod_Prop!$J:$J,"",0,1))</f>
        <v/>
      </c>
      <c r="X967" s="3" t="str">
        <f>IFERROR(__xludf.DUMMYFUNCTION("IF(D967="""","""",IFERROR(TRANSPOSE(FILTER('Validaciones Cotizador'!U:U,'Validaciones Cotizador'!O:O=D967,'Validaciones Cotizador'!T:T=""x"")),""Finalizar""))"),"")</f>
        <v/>
      </c>
    </row>
    <row r="968">
      <c r="A968" s="2" t="str">
        <f t="array" ref="A968">IF(E968="","",XLOOKUP(D968,'Validaciones Cotizador'!C:C,'Validaciones Cotizador'!A:A,"",0,1))</f>
        <v/>
      </c>
      <c r="B968" s="2" t="str">
        <f t="array" ref="B968">IF(F968="","",XLOOKUP(F968,Productos!E:E,Productos!G:G,"",0,1))</f>
        <v/>
      </c>
      <c r="C968" s="2" t="str">
        <f>IF(A968="","",SUMIFS('Validaciones Cotizador'!B:B,'Validaciones Cotizador'!C:C,D968,'Validaciones Cotizador'!A:A,A968))</f>
        <v/>
      </c>
      <c r="D968" s="4" t="str">
        <f>IFERROR(__xludf.DUMMYFUNCTION("IF(OR(F967=""Finalizar"",F967="""",F967=""Selecciona..""),"""",IF(OR(F967=""-"",INDEX(filter(Familias!F:F,Familias!D:D=A967,Familias!E:E=C967),1)=""O""),D967+1,D967))"),"")</f>
        <v/>
      </c>
      <c r="E968" s="2" t="str">
        <f>IF(OR(F968="",F968="Selecciona.."),"",IF(D968="Implemento",SUMIF(Implementos!B:B,F968,Implementos!A:A),SUMIF(Productos!E:E,F968,Productos!A:A)))</f>
        <v/>
      </c>
      <c r="F968" s="2" t="str">
        <f t="shared" si="2"/>
        <v/>
      </c>
      <c r="G968" s="10" t="str">
        <f t="array" ref="G968">IF(OR(F968="",F968="-",F968="Selecciona..",F968="Finalizar"),"",IF(A968="Rodados",XLOOKUP(B968,'Validaciones Cotizador'!I:I,'Validaciones Cotizador'!J:J,0,0,1),1))</f>
        <v/>
      </c>
      <c r="H968" s="11" t="str">
        <f>IF(OR(F968="",F968="Selecciona.."),"",SUMIF(Precio_Productos!K:K,E968,Precio_Productos!J:J)*G968)</f>
        <v/>
      </c>
      <c r="I968" s="4" t="str">
        <f t="array" ref="I968">IF($E968="","", XLOOKUP(SUMIFS(Prod_Prop!$A:$A,Prod_Prop!$B:$B,$E968,Prod_Prop!$H:$H,I$1,Prod_Prop!$I:$I,"Exacto"),Prod_Prop!$A:$A,Prod_Prop!$J:$J,"",0,1))</f>
        <v/>
      </c>
      <c r="J968" s="4" t="str">
        <f t="array" ref="J968">IF($E968="","", XLOOKUP(SUMIFS(Prod_Prop!$A:$A,Prod_Prop!$B:$B,$E968,Prod_Prop!$H:$H,J$1,Prod_Prop!$I:$I,"Exacto"),Prod_Prop!$A:$A,Prod_Prop!$J:$J,"",0,1))</f>
        <v/>
      </c>
      <c r="K968" s="4" t="str">
        <f t="array" ref="K968">IF($E968="","", XLOOKUP(SUMIFS(Prod_Prop!$A:$A,Prod_Prop!$B:$B,$E968,Prod_Prop!$H:$H,K$1,Prod_Prop!$I:$I,"Exacto"),Prod_Prop!$A:$A,Prod_Prop!$J:$J,"",0,1))</f>
        <v/>
      </c>
      <c r="L968" s="4" t="str">
        <f t="array" ref="L968">IF($E968="","", XLOOKUP(SUMIFS(Prod_Prop!$A:$A,Prod_Prop!$B:$B,$E968,Prod_Prop!$H:$H,L$1,Prod_Prop!$I:$I,"Exacto"),Prod_Prop!$A:$A,Prod_Prop!$J:$J,"",0,1))</f>
        <v/>
      </c>
      <c r="M968" s="4" t="str">
        <f t="array" ref="M968">IF($E968="","", XLOOKUP(SUMIFS(Prod_Prop!$A:$A,Prod_Prop!$B:$B,$E968,Prod_Prop!$H:$H,M$1,Prod_Prop!$I:$I,"Exacto"),Prod_Prop!$A:$A,Prod_Prop!$J:$J,"",0,1))</f>
        <v/>
      </c>
      <c r="N968" s="4" t="str">
        <f t="array" ref="N968">IF($E968="","", XLOOKUP(SUMIFS(Prod_Prop!$A:$A,Prod_Prop!$B:$B,$E968,Prod_Prop!$H:$H,N$1,Prod_Prop!$I:$I,"Exacto"),Prod_Prop!$A:$A,Prod_Prop!$J:$J,"",0,1))</f>
        <v/>
      </c>
      <c r="O968" s="4" t="str">
        <f t="array" ref="O968">IF($E968="","", XLOOKUP(SUMIFS(Prod_Prop!$A:$A,Prod_Prop!$B:$B,$E968,Prod_Prop!$H:$H,O$1,Prod_Prop!$I:$I,"Exacto"),Prod_Prop!$A:$A,Prod_Prop!$J:$J,"",0,1))</f>
        <v/>
      </c>
      <c r="P968" s="4" t="str">
        <f t="array" ref="P968">IF($E968="","", XLOOKUP(SUMIFS(Prod_Prop!$A:$A,Prod_Prop!$B:$B,$E968,Prod_Prop!$H:$H,P$1,Prod_Prop!$I:$I,"Exacto"),Prod_Prop!$A:$A,Prod_Prop!$J:$J,"",0,1))</f>
        <v/>
      </c>
      <c r="Q968" s="4" t="str">
        <f t="array" ref="Q968">IF($E968="","", XLOOKUP(SUMIFS(Prod_Prop!$A:$A,Prod_Prop!$B:$B,$E968,Prod_Prop!$H:$H,Q$1,Prod_Prop!$I:$I,"Exacto"),Prod_Prop!$A:$A,Prod_Prop!$J:$J,"",0,1))</f>
        <v/>
      </c>
      <c r="R968" s="4" t="str">
        <f t="array" ref="R968">IF($E968="","", XLOOKUP(SUMIFS(Prod_Prop!$A:$A,Prod_Prop!$B:$B,$E968,Prod_Prop!$H:$H,R$1,Prod_Prop!$I:$I,"Exacto"),Prod_Prop!$A:$A,Prod_Prop!$J:$J,"",0,1))</f>
        <v/>
      </c>
      <c r="S968" s="4" t="str">
        <f t="array" ref="S968">IF($E968="","", XLOOKUP(SUMIFS(Prod_Prop!$A:$A,Prod_Prop!$B:$B,$E968,Prod_Prop!$H:$H,S$1,Prod_Prop!$I:$I,"Exacto"),Prod_Prop!$A:$A,Prod_Prop!$J:$J,"",0,1))</f>
        <v/>
      </c>
      <c r="T968" s="4" t="str">
        <f t="array" ref="T968">IF($E968="","", XLOOKUP(SUMIFS(Prod_Prop!$A:$A,Prod_Prop!$B:$B,$E968,Prod_Prop!$H:$H,T$1,Prod_Prop!$I:$I,"Exacto"),Prod_Prop!$A:$A,Prod_Prop!$J:$J,"",0,1))</f>
        <v/>
      </c>
      <c r="U968" s="4" t="str">
        <f t="array" ref="U968">IF($E968="","", XLOOKUP(SUMIFS(Prod_Prop!$A:$A,Prod_Prop!$B:$B,$E968,Prod_Prop!$H:$H,U$1,Prod_Prop!$I:$I,"Exacto"),Prod_Prop!$A:$A,Prod_Prop!$J:$J,"",0,1))</f>
        <v/>
      </c>
      <c r="V968" s="4" t="str">
        <f t="array" ref="V968">IF($E968="","", XLOOKUP(SUMIFS(Prod_Prop!$A:$A,Prod_Prop!$B:$B,$E968,Prod_Prop!$H:$H,V$1,Prod_Prop!$I:$I,"Exacto"),Prod_Prop!$A:$A,Prod_Prop!$J:$J,"",0,1))</f>
        <v/>
      </c>
      <c r="X968" s="3" t="str">
        <f>IFERROR(__xludf.DUMMYFUNCTION("IF(D968="""","""",IFERROR(TRANSPOSE(FILTER('Validaciones Cotizador'!U:U,'Validaciones Cotizador'!O:O=D968,'Validaciones Cotizador'!T:T=""x"")),""Finalizar""))"),"")</f>
        <v/>
      </c>
    </row>
    <row r="969">
      <c r="A969" s="2" t="str">
        <f t="array" ref="A969">IF(E969="","",XLOOKUP(D969,'Validaciones Cotizador'!C:C,'Validaciones Cotizador'!A:A,"",0,1))</f>
        <v/>
      </c>
      <c r="B969" s="2" t="str">
        <f t="array" ref="B969">IF(F969="","",XLOOKUP(F969,Productos!E:E,Productos!G:G,"",0,1))</f>
        <v/>
      </c>
      <c r="C969" s="2" t="str">
        <f>IF(A969="","",SUMIFS('Validaciones Cotizador'!B:B,'Validaciones Cotizador'!C:C,D969,'Validaciones Cotizador'!A:A,A969))</f>
        <v/>
      </c>
      <c r="D969" s="4" t="str">
        <f>IFERROR(__xludf.DUMMYFUNCTION("IF(OR(F968=""Finalizar"",F968="""",F968=""Selecciona..""),"""",IF(OR(F968=""-"",INDEX(filter(Familias!F:F,Familias!D:D=A968,Familias!E:E=C968),1)=""O""),D968+1,D968))"),"")</f>
        <v/>
      </c>
      <c r="E969" s="2" t="str">
        <f>IF(OR(F969="",F969="Selecciona.."),"",IF(D969="Implemento",SUMIF(Implementos!B:B,F969,Implementos!A:A),SUMIF(Productos!E:E,F969,Productos!A:A)))</f>
        <v/>
      </c>
      <c r="F969" s="2" t="str">
        <f t="shared" si="2"/>
        <v/>
      </c>
      <c r="G969" s="10" t="str">
        <f t="array" ref="G969">IF(OR(F969="",F969="-",F969="Selecciona..",F969="Finalizar"),"",IF(A969="Rodados",XLOOKUP(B969,'Validaciones Cotizador'!I:I,'Validaciones Cotizador'!J:J,0,0,1),1))</f>
        <v/>
      </c>
      <c r="H969" s="11" t="str">
        <f>IF(OR(F969="",F969="Selecciona.."),"",SUMIF(Precio_Productos!K:K,E969,Precio_Productos!J:J)*G969)</f>
        <v/>
      </c>
      <c r="I969" s="4" t="str">
        <f t="array" ref="I969">IF($E969="","", XLOOKUP(SUMIFS(Prod_Prop!$A:$A,Prod_Prop!$B:$B,$E969,Prod_Prop!$H:$H,I$1,Prod_Prop!$I:$I,"Exacto"),Prod_Prop!$A:$A,Prod_Prop!$J:$J,"",0,1))</f>
        <v/>
      </c>
      <c r="J969" s="4" t="str">
        <f t="array" ref="J969">IF($E969="","", XLOOKUP(SUMIFS(Prod_Prop!$A:$A,Prod_Prop!$B:$B,$E969,Prod_Prop!$H:$H,J$1,Prod_Prop!$I:$I,"Exacto"),Prod_Prop!$A:$A,Prod_Prop!$J:$J,"",0,1))</f>
        <v/>
      </c>
      <c r="K969" s="4" t="str">
        <f t="array" ref="K969">IF($E969="","", XLOOKUP(SUMIFS(Prod_Prop!$A:$A,Prod_Prop!$B:$B,$E969,Prod_Prop!$H:$H,K$1,Prod_Prop!$I:$I,"Exacto"),Prod_Prop!$A:$A,Prod_Prop!$J:$J,"",0,1))</f>
        <v/>
      </c>
      <c r="L969" s="4" t="str">
        <f t="array" ref="L969">IF($E969="","", XLOOKUP(SUMIFS(Prod_Prop!$A:$A,Prod_Prop!$B:$B,$E969,Prod_Prop!$H:$H,L$1,Prod_Prop!$I:$I,"Exacto"),Prod_Prop!$A:$A,Prod_Prop!$J:$J,"",0,1))</f>
        <v/>
      </c>
      <c r="M969" s="4" t="str">
        <f t="array" ref="M969">IF($E969="","", XLOOKUP(SUMIFS(Prod_Prop!$A:$A,Prod_Prop!$B:$B,$E969,Prod_Prop!$H:$H,M$1,Prod_Prop!$I:$I,"Exacto"),Prod_Prop!$A:$A,Prod_Prop!$J:$J,"",0,1))</f>
        <v/>
      </c>
      <c r="N969" s="4" t="str">
        <f t="array" ref="N969">IF($E969="","", XLOOKUP(SUMIFS(Prod_Prop!$A:$A,Prod_Prop!$B:$B,$E969,Prod_Prop!$H:$H,N$1,Prod_Prop!$I:$I,"Exacto"),Prod_Prop!$A:$A,Prod_Prop!$J:$J,"",0,1))</f>
        <v/>
      </c>
      <c r="O969" s="4" t="str">
        <f t="array" ref="O969">IF($E969="","", XLOOKUP(SUMIFS(Prod_Prop!$A:$A,Prod_Prop!$B:$B,$E969,Prod_Prop!$H:$H,O$1,Prod_Prop!$I:$I,"Exacto"),Prod_Prop!$A:$A,Prod_Prop!$J:$J,"",0,1))</f>
        <v/>
      </c>
      <c r="P969" s="4" t="str">
        <f t="array" ref="P969">IF($E969="","", XLOOKUP(SUMIFS(Prod_Prop!$A:$A,Prod_Prop!$B:$B,$E969,Prod_Prop!$H:$H,P$1,Prod_Prop!$I:$I,"Exacto"),Prod_Prop!$A:$A,Prod_Prop!$J:$J,"",0,1))</f>
        <v/>
      </c>
      <c r="Q969" s="4" t="str">
        <f t="array" ref="Q969">IF($E969="","", XLOOKUP(SUMIFS(Prod_Prop!$A:$A,Prod_Prop!$B:$B,$E969,Prod_Prop!$H:$H,Q$1,Prod_Prop!$I:$I,"Exacto"),Prod_Prop!$A:$A,Prod_Prop!$J:$J,"",0,1))</f>
        <v/>
      </c>
      <c r="R969" s="4" t="str">
        <f t="array" ref="R969">IF($E969="","", XLOOKUP(SUMIFS(Prod_Prop!$A:$A,Prod_Prop!$B:$B,$E969,Prod_Prop!$H:$H,R$1,Prod_Prop!$I:$I,"Exacto"),Prod_Prop!$A:$A,Prod_Prop!$J:$J,"",0,1))</f>
        <v/>
      </c>
      <c r="S969" s="4" t="str">
        <f t="array" ref="S969">IF($E969="","", XLOOKUP(SUMIFS(Prod_Prop!$A:$A,Prod_Prop!$B:$B,$E969,Prod_Prop!$H:$H,S$1,Prod_Prop!$I:$I,"Exacto"),Prod_Prop!$A:$A,Prod_Prop!$J:$J,"",0,1))</f>
        <v/>
      </c>
      <c r="T969" s="4" t="str">
        <f t="array" ref="T969">IF($E969="","", XLOOKUP(SUMIFS(Prod_Prop!$A:$A,Prod_Prop!$B:$B,$E969,Prod_Prop!$H:$H,T$1,Prod_Prop!$I:$I,"Exacto"),Prod_Prop!$A:$A,Prod_Prop!$J:$J,"",0,1))</f>
        <v/>
      </c>
      <c r="U969" s="4" t="str">
        <f t="array" ref="U969">IF($E969="","", XLOOKUP(SUMIFS(Prod_Prop!$A:$A,Prod_Prop!$B:$B,$E969,Prod_Prop!$H:$H,U$1,Prod_Prop!$I:$I,"Exacto"),Prod_Prop!$A:$A,Prod_Prop!$J:$J,"",0,1))</f>
        <v/>
      </c>
      <c r="V969" s="4" t="str">
        <f t="array" ref="V969">IF($E969="","", XLOOKUP(SUMIFS(Prod_Prop!$A:$A,Prod_Prop!$B:$B,$E969,Prod_Prop!$H:$H,V$1,Prod_Prop!$I:$I,"Exacto"),Prod_Prop!$A:$A,Prod_Prop!$J:$J,"",0,1))</f>
        <v/>
      </c>
      <c r="X969" s="3" t="str">
        <f>IFERROR(__xludf.DUMMYFUNCTION("IF(D969="""","""",IFERROR(TRANSPOSE(FILTER('Validaciones Cotizador'!U:U,'Validaciones Cotizador'!O:O=D969,'Validaciones Cotizador'!T:T=""x"")),""Finalizar""))"),"")</f>
        <v/>
      </c>
    </row>
    <row r="970">
      <c r="A970" s="2" t="str">
        <f t="array" ref="A970">IF(E970="","",XLOOKUP(D970,'Validaciones Cotizador'!C:C,'Validaciones Cotizador'!A:A,"",0,1))</f>
        <v/>
      </c>
      <c r="B970" s="2" t="str">
        <f t="array" ref="B970">IF(F970="","",XLOOKUP(F970,Productos!E:E,Productos!G:G,"",0,1))</f>
        <v/>
      </c>
      <c r="C970" s="2" t="str">
        <f>IF(A970="","",SUMIFS('Validaciones Cotizador'!B:B,'Validaciones Cotizador'!C:C,D970,'Validaciones Cotizador'!A:A,A970))</f>
        <v/>
      </c>
      <c r="D970" s="4" t="str">
        <f>IFERROR(__xludf.DUMMYFUNCTION("IF(OR(F969=""Finalizar"",F969="""",F969=""Selecciona..""),"""",IF(OR(F969=""-"",INDEX(filter(Familias!F:F,Familias!D:D=A969,Familias!E:E=C969),1)=""O""),D969+1,D969))"),"")</f>
        <v/>
      </c>
      <c r="E970" s="2" t="str">
        <f>IF(OR(F970="",F970="Selecciona.."),"",IF(D970="Implemento",SUMIF(Implementos!B:B,F970,Implementos!A:A),SUMIF(Productos!E:E,F970,Productos!A:A)))</f>
        <v/>
      </c>
      <c r="F970" s="2" t="str">
        <f t="shared" si="2"/>
        <v/>
      </c>
      <c r="G970" s="10" t="str">
        <f t="array" ref="G970">IF(OR(F970="",F970="-",F970="Selecciona..",F970="Finalizar"),"",IF(A970="Rodados",XLOOKUP(B970,'Validaciones Cotizador'!I:I,'Validaciones Cotizador'!J:J,0,0,1),1))</f>
        <v/>
      </c>
      <c r="H970" s="11" t="str">
        <f>IF(OR(F970="",F970="Selecciona.."),"",SUMIF(Precio_Productos!K:K,E970,Precio_Productos!J:J)*G970)</f>
        <v/>
      </c>
      <c r="I970" s="4" t="str">
        <f t="array" ref="I970">IF($E970="","", XLOOKUP(SUMIFS(Prod_Prop!$A:$A,Prod_Prop!$B:$B,$E970,Prod_Prop!$H:$H,I$1,Prod_Prop!$I:$I,"Exacto"),Prod_Prop!$A:$A,Prod_Prop!$J:$J,"",0,1))</f>
        <v/>
      </c>
      <c r="J970" s="4" t="str">
        <f t="array" ref="J970">IF($E970="","", XLOOKUP(SUMIFS(Prod_Prop!$A:$A,Prod_Prop!$B:$B,$E970,Prod_Prop!$H:$H,J$1,Prod_Prop!$I:$I,"Exacto"),Prod_Prop!$A:$A,Prod_Prop!$J:$J,"",0,1))</f>
        <v/>
      </c>
      <c r="K970" s="4" t="str">
        <f t="array" ref="K970">IF($E970="","", XLOOKUP(SUMIFS(Prod_Prop!$A:$A,Prod_Prop!$B:$B,$E970,Prod_Prop!$H:$H,K$1,Prod_Prop!$I:$I,"Exacto"),Prod_Prop!$A:$A,Prod_Prop!$J:$J,"",0,1))</f>
        <v/>
      </c>
      <c r="L970" s="4" t="str">
        <f t="array" ref="L970">IF($E970="","", XLOOKUP(SUMIFS(Prod_Prop!$A:$A,Prod_Prop!$B:$B,$E970,Prod_Prop!$H:$H,L$1,Prod_Prop!$I:$I,"Exacto"),Prod_Prop!$A:$A,Prod_Prop!$J:$J,"",0,1))</f>
        <v/>
      </c>
      <c r="M970" s="4" t="str">
        <f t="array" ref="M970">IF($E970="","", XLOOKUP(SUMIFS(Prod_Prop!$A:$A,Prod_Prop!$B:$B,$E970,Prod_Prop!$H:$H,M$1,Prod_Prop!$I:$I,"Exacto"),Prod_Prop!$A:$A,Prod_Prop!$J:$J,"",0,1))</f>
        <v/>
      </c>
      <c r="N970" s="4" t="str">
        <f t="array" ref="N970">IF($E970="","", XLOOKUP(SUMIFS(Prod_Prop!$A:$A,Prod_Prop!$B:$B,$E970,Prod_Prop!$H:$H,N$1,Prod_Prop!$I:$I,"Exacto"),Prod_Prop!$A:$A,Prod_Prop!$J:$J,"",0,1))</f>
        <v/>
      </c>
      <c r="O970" s="4" t="str">
        <f t="array" ref="O970">IF($E970="","", XLOOKUP(SUMIFS(Prod_Prop!$A:$A,Prod_Prop!$B:$B,$E970,Prod_Prop!$H:$H,O$1,Prod_Prop!$I:$I,"Exacto"),Prod_Prop!$A:$A,Prod_Prop!$J:$J,"",0,1))</f>
        <v/>
      </c>
      <c r="P970" s="4" t="str">
        <f t="array" ref="P970">IF($E970="","", XLOOKUP(SUMIFS(Prod_Prop!$A:$A,Prod_Prop!$B:$B,$E970,Prod_Prop!$H:$H,P$1,Prod_Prop!$I:$I,"Exacto"),Prod_Prop!$A:$A,Prod_Prop!$J:$J,"",0,1))</f>
        <v/>
      </c>
      <c r="Q970" s="4" t="str">
        <f t="array" ref="Q970">IF($E970="","", XLOOKUP(SUMIFS(Prod_Prop!$A:$A,Prod_Prop!$B:$B,$E970,Prod_Prop!$H:$H,Q$1,Prod_Prop!$I:$I,"Exacto"),Prod_Prop!$A:$A,Prod_Prop!$J:$J,"",0,1))</f>
        <v/>
      </c>
      <c r="R970" s="4" t="str">
        <f t="array" ref="R970">IF($E970="","", XLOOKUP(SUMIFS(Prod_Prop!$A:$A,Prod_Prop!$B:$B,$E970,Prod_Prop!$H:$H,R$1,Prod_Prop!$I:$I,"Exacto"),Prod_Prop!$A:$A,Prod_Prop!$J:$J,"",0,1))</f>
        <v/>
      </c>
      <c r="S970" s="4" t="str">
        <f t="array" ref="S970">IF($E970="","", XLOOKUP(SUMIFS(Prod_Prop!$A:$A,Prod_Prop!$B:$B,$E970,Prod_Prop!$H:$H,S$1,Prod_Prop!$I:$I,"Exacto"),Prod_Prop!$A:$A,Prod_Prop!$J:$J,"",0,1))</f>
        <v/>
      </c>
      <c r="T970" s="4" t="str">
        <f t="array" ref="T970">IF($E970="","", XLOOKUP(SUMIFS(Prod_Prop!$A:$A,Prod_Prop!$B:$B,$E970,Prod_Prop!$H:$H,T$1,Prod_Prop!$I:$I,"Exacto"),Prod_Prop!$A:$A,Prod_Prop!$J:$J,"",0,1))</f>
        <v/>
      </c>
      <c r="U970" s="4" t="str">
        <f t="array" ref="U970">IF($E970="","", XLOOKUP(SUMIFS(Prod_Prop!$A:$A,Prod_Prop!$B:$B,$E970,Prod_Prop!$H:$H,U$1,Prod_Prop!$I:$I,"Exacto"),Prod_Prop!$A:$A,Prod_Prop!$J:$J,"",0,1))</f>
        <v/>
      </c>
      <c r="V970" s="4" t="str">
        <f t="array" ref="V970">IF($E970="","", XLOOKUP(SUMIFS(Prod_Prop!$A:$A,Prod_Prop!$B:$B,$E970,Prod_Prop!$H:$H,V$1,Prod_Prop!$I:$I,"Exacto"),Prod_Prop!$A:$A,Prod_Prop!$J:$J,"",0,1))</f>
        <v/>
      </c>
      <c r="X970" s="3" t="str">
        <f>IFERROR(__xludf.DUMMYFUNCTION("IF(D970="""","""",IFERROR(TRANSPOSE(FILTER('Validaciones Cotizador'!U:U,'Validaciones Cotizador'!O:O=D970,'Validaciones Cotizador'!T:T=""x"")),""Finalizar""))"),"")</f>
        <v/>
      </c>
    </row>
    <row r="971">
      <c r="A971" s="2" t="str">
        <f t="array" ref="A971">IF(E971="","",XLOOKUP(D971,'Validaciones Cotizador'!C:C,'Validaciones Cotizador'!A:A,"",0,1))</f>
        <v/>
      </c>
      <c r="B971" s="2" t="str">
        <f t="array" ref="B971">IF(F971="","",XLOOKUP(F971,Productos!E:E,Productos!G:G,"",0,1))</f>
        <v/>
      </c>
      <c r="C971" s="2" t="str">
        <f>IF(A971="","",SUMIFS('Validaciones Cotizador'!B:B,'Validaciones Cotizador'!C:C,D971,'Validaciones Cotizador'!A:A,A971))</f>
        <v/>
      </c>
      <c r="D971" s="4" t="str">
        <f>IFERROR(__xludf.DUMMYFUNCTION("IF(OR(F970=""Finalizar"",F970="""",F970=""Selecciona..""),"""",IF(OR(F970=""-"",INDEX(filter(Familias!F:F,Familias!D:D=A970,Familias!E:E=C970),1)=""O""),D970+1,D970))"),"")</f>
        <v/>
      </c>
      <c r="E971" s="2" t="str">
        <f>IF(OR(F971="",F971="Selecciona.."),"",IF(D971="Implemento",SUMIF(Implementos!B:B,F971,Implementos!A:A),SUMIF(Productos!E:E,F971,Productos!A:A)))</f>
        <v/>
      </c>
      <c r="F971" s="2" t="str">
        <f t="shared" si="2"/>
        <v/>
      </c>
      <c r="G971" s="10" t="str">
        <f t="array" ref="G971">IF(OR(F971="",F971="-",F971="Selecciona..",F971="Finalizar"),"",IF(A971="Rodados",XLOOKUP(B971,'Validaciones Cotizador'!I:I,'Validaciones Cotizador'!J:J,0,0,1),1))</f>
        <v/>
      </c>
      <c r="H971" s="11" t="str">
        <f>IF(OR(F971="",F971="Selecciona.."),"",SUMIF(Precio_Productos!K:K,E971,Precio_Productos!J:J)*G971)</f>
        <v/>
      </c>
      <c r="I971" s="4" t="str">
        <f t="array" ref="I971">IF($E971="","", XLOOKUP(SUMIFS(Prod_Prop!$A:$A,Prod_Prop!$B:$B,$E971,Prod_Prop!$H:$H,I$1,Prod_Prop!$I:$I,"Exacto"),Prod_Prop!$A:$A,Prod_Prop!$J:$J,"",0,1))</f>
        <v/>
      </c>
      <c r="J971" s="4" t="str">
        <f t="array" ref="J971">IF($E971="","", XLOOKUP(SUMIFS(Prod_Prop!$A:$A,Prod_Prop!$B:$B,$E971,Prod_Prop!$H:$H,J$1,Prod_Prop!$I:$I,"Exacto"),Prod_Prop!$A:$A,Prod_Prop!$J:$J,"",0,1))</f>
        <v/>
      </c>
      <c r="K971" s="4" t="str">
        <f t="array" ref="K971">IF($E971="","", XLOOKUP(SUMIFS(Prod_Prop!$A:$A,Prod_Prop!$B:$B,$E971,Prod_Prop!$H:$H,K$1,Prod_Prop!$I:$I,"Exacto"),Prod_Prop!$A:$A,Prod_Prop!$J:$J,"",0,1))</f>
        <v/>
      </c>
      <c r="L971" s="4" t="str">
        <f t="array" ref="L971">IF($E971="","", XLOOKUP(SUMIFS(Prod_Prop!$A:$A,Prod_Prop!$B:$B,$E971,Prod_Prop!$H:$H,L$1,Prod_Prop!$I:$I,"Exacto"),Prod_Prop!$A:$A,Prod_Prop!$J:$J,"",0,1))</f>
        <v/>
      </c>
      <c r="M971" s="4" t="str">
        <f t="array" ref="M971">IF($E971="","", XLOOKUP(SUMIFS(Prod_Prop!$A:$A,Prod_Prop!$B:$B,$E971,Prod_Prop!$H:$H,M$1,Prod_Prop!$I:$I,"Exacto"),Prod_Prop!$A:$A,Prod_Prop!$J:$J,"",0,1))</f>
        <v/>
      </c>
      <c r="N971" s="4" t="str">
        <f t="array" ref="N971">IF($E971="","", XLOOKUP(SUMIFS(Prod_Prop!$A:$A,Prod_Prop!$B:$B,$E971,Prod_Prop!$H:$H,N$1,Prod_Prop!$I:$I,"Exacto"),Prod_Prop!$A:$A,Prod_Prop!$J:$J,"",0,1))</f>
        <v/>
      </c>
      <c r="O971" s="4" t="str">
        <f t="array" ref="O971">IF($E971="","", XLOOKUP(SUMIFS(Prod_Prop!$A:$A,Prod_Prop!$B:$B,$E971,Prod_Prop!$H:$H,O$1,Prod_Prop!$I:$I,"Exacto"),Prod_Prop!$A:$A,Prod_Prop!$J:$J,"",0,1))</f>
        <v/>
      </c>
      <c r="P971" s="4" t="str">
        <f t="array" ref="P971">IF($E971="","", XLOOKUP(SUMIFS(Prod_Prop!$A:$A,Prod_Prop!$B:$B,$E971,Prod_Prop!$H:$H,P$1,Prod_Prop!$I:$I,"Exacto"),Prod_Prop!$A:$A,Prod_Prop!$J:$J,"",0,1))</f>
        <v/>
      </c>
      <c r="Q971" s="4" t="str">
        <f t="array" ref="Q971">IF($E971="","", XLOOKUP(SUMIFS(Prod_Prop!$A:$A,Prod_Prop!$B:$B,$E971,Prod_Prop!$H:$H,Q$1,Prod_Prop!$I:$I,"Exacto"),Prod_Prop!$A:$A,Prod_Prop!$J:$J,"",0,1))</f>
        <v/>
      </c>
      <c r="R971" s="4" t="str">
        <f t="array" ref="R971">IF($E971="","", XLOOKUP(SUMIFS(Prod_Prop!$A:$A,Prod_Prop!$B:$B,$E971,Prod_Prop!$H:$H,R$1,Prod_Prop!$I:$I,"Exacto"),Prod_Prop!$A:$A,Prod_Prop!$J:$J,"",0,1))</f>
        <v/>
      </c>
      <c r="S971" s="4" t="str">
        <f t="array" ref="S971">IF($E971="","", XLOOKUP(SUMIFS(Prod_Prop!$A:$A,Prod_Prop!$B:$B,$E971,Prod_Prop!$H:$H,S$1,Prod_Prop!$I:$I,"Exacto"),Prod_Prop!$A:$A,Prod_Prop!$J:$J,"",0,1))</f>
        <v/>
      </c>
      <c r="T971" s="4" t="str">
        <f t="array" ref="T971">IF($E971="","", XLOOKUP(SUMIFS(Prod_Prop!$A:$A,Prod_Prop!$B:$B,$E971,Prod_Prop!$H:$H,T$1,Prod_Prop!$I:$I,"Exacto"),Prod_Prop!$A:$A,Prod_Prop!$J:$J,"",0,1))</f>
        <v/>
      </c>
      <c r="U971" s="4" t="str">
        <f t="array" ref="U971">IF($E971="","", XLOOKUP(SUMIFS(Prod_Prop!$A:$A,Prod_Prop!$B:$B,$E971,Prod_Prop!$H:$H,U$1,Prod_Prop!$I:$I,"Exacto"),Prod_Prop!$A:$A,Prod_Prop!$J:$J,"",0,1))</f>
        <v/>
      </c>
      <c r="V971" s="4" t="str">
        <f t="array" ref="V971">IF($E971="","", XLOOKUP(SUMIFS(Prod_Prop!$A:$A,Prod_Prop!$B:$B,$E971,Prod_Prop!$H:$H,V$1,Prod_Prop!$I:$I,"Exacto"),Prod_Prop!$A:$A,Prod_Prop!$J:$J,"",0,1))</f>
        <v/>
      </c>
      <c r="X971" s="3" t="str">
        <f>IFERROR(__xludf.DUMMYFUNCTION("IF(D971="""","""",IFERROR(TRANSPOSE(FILTER('Validaciones Cotizador'!U:U,'Validaciones Cotizador'!O:O=D971,'Validaciones Cotizador'!T:T=""x"")),""Finalizar""))"),"")</f>
        <v/>
      </c>
    </row>
    <row r="972">
      <c r="A972" s="2" t="str">
        <f t="array" ref="A972">IF(E972="","",XLOOKUP(D972,'Validaciones Cotizador'!C:C,'Validaciones Cotizador'!A:A,"",0,1))</f>
        <v/>
      </c>
      <c r="B972" s="2" t="str">
        <f t="array" ref="B972">IF(F972="","",XLOOKUP(F972,Productos!E:E,Productos!G:G,"",0,1))</f>
        <v/>
      </c>
      <c r="C972" s="2" t="str">
        <f>IF(A972="","",SUMIFS('Validaciones Cotizador'!B:B,'Validaciones Cotizador'!C:C,D972,'Validaciones Cotizador'!A:A,A972))</f>
        <v/>
      </c>
      <c r="D972" s="4" t="str">
        <f>IFERROR(__xludf.DUMMYFUNCTION("IF(OR(F971=""Finalizar"",F971="""",F971=""Selecciona..""),"""",IF(OR(F971=""-"",INDEX(filter(Familias!F:F,Familias!D:D=A971,Familias!E:E=C971),1)=""O""),D971+1,D971))"),"")</f>
        <v/>
      </c>
      <c r="E972" s="2" t="str">
        <f>IF(OR(F972="",F972="Selecciona.."),"",IF(D972="Implemento",SUMIF(Implementos!B:B,F972,Implementos!A:A),SUMIF(Productos!E:E,F972,Productos!A:A)))</f>
        <v/>
      </c>
      <c r="F972" s="2" t="str">
        <f t="shared" si="2"/>
        <v/>
      </c>
      <c r="G972" s="10" t="str">
        <f t="array" ref="G972">IF(OR(F972="",F972="-",F972="Selecciona..",F972="Finalizar"),"",IF(A972="Rodados",XLOOKUP(B972,'Validaciones Cotizador'!I:I,'Validaciones Cotizador'!J:J,0,0,1),1))</f>
        <v/>
      </c>
      <c r="H972" s="11" t="str">
        <f>IF(OR(F972="",F972="Selecciona.."),"",SUMIF(Precio_Productos!K:K,E972,Precio_Productos!J:J)*G972)</f>
        <v/>
      </c>
      <c r="I972" s="4" t="str">
        <f t="array" ref="I972">IF($E972="","", XLOOKUP(SUMIFS(Prod_Prop!$A:$A,Prod_Prop!$B:$B,$E972,Prod_Prop!$H:$H,I$1,Prod_Prop!$I:$I,"Exacto"),Prod_Prop!$A:$A,Prod_Prop!$J:$J,"",0,1))</f>
        <v/>
      </c>
      <c r="J972" s="4" t="str">
        <f t="array" ref="J972">IF($E972="","", XLOOKUP(SUMIFS(Prod_Prop!$A:$A,Prod_Prop!$B:$B,$E972,Prod_Prop!$H:$H,J$1,Prod_Prop!$I:$I,"Exacto"),Prod_Prop!$A:$A,Prod_Prop!$J:$J,"",0,1))</f>
        <v/>
      </c>
      <c r="K972" s="4" t="str">
        <f t="array" ref="K972">IF($E972="","", XLOOKUP(SUMIFS(Prod_Prop!$A:$A,Prod_Prop!$B:$B,$E972,Prod_Prop!$H:$H,K$1,Prod_Prop!$I:$I,"Exacto"),Prod_Prop!$A:$A,Prod_Prop!$J:$J,"",0,1))</f>
        <v/>
      </c>
      <c r="L972" s="4" t="str">
        <f t="array" ref="L972">IF($E972="","", XLOOKUP(SUMIFS(Prod_Prop!$A:$A,Prod_Prop!$B:$B,$E972,Prod_Prop!$H:$H,L$1,Prod_Prop!$I:$I,"Exacto"),Prod_Prop!$A:$A,Prod_Prop!$J:$J,"",0,1))</f>
        <v/>
      </c>
      <c r="M972" s="4" t="str">
        <f t="array" ref="M972">IF($E972="","", XLOOKUP(SUMIFS(Prod_Prop!$A:$A,Prod_Prop!$B:$B,$E972,Prod_Prop!$H:$H,M$1,Prod_Prop!$I:$I,"Exacto"),Prod_Prop!$A:$A,Prod_Prop!$J:$J,"",0,1))</f>
        <v/>
      </c>
      <c r="N972" s="4" t="str">
        <f t="array" ref="N972">IF($E972="","", XLOOKUP(SUMIFS(Prod_Prop!$A:$A,Prod_Prop!$B:$B,$E972,Prod_Prop!$H:$H,N$1,Prod_Prop!$I:$I,"Exacto"),Prod_Prop!$A:$A,Prod_Prop!$J:$J,"",0,1))</f>
        <v/>
      </c>
      <c r="O972" s="4" t="str">
        <f t="array" ref="O972">IF($E972="","", XLOOKUP(SUMIFS(Prod_Prop!$A:$A,Prod_Prop!$B:$B,$E972,Prod_Prop!$H:$H,O$1,Prod_Prop!$I:$I,"Exacto"),Prod_Prop!$A:$A,Prod_Prop!$J:$J,"",0,1))</f>
        <v/>
      </c>
      <c r="P972" s="4" t="str">
        <f t="array" ref="P972">IF($E972="","", XLOOKUP(SUMIFS(Prod_Prop!$A:$A,Prod_Prop!$B:$B,$E972,Prod_Prop!$H:$H,P$1,Prod_Prop!$I:$I,"Exacto"),Prod_Prop!$A:$A,Prod_Prop!$J:$J,"",0,1))</f>
        <v/>
      </c>
      <c r="Q972" s="4" t="str">
        <f t="array" ref="Q972">IF($E972="","", XLOOKUP(SUMIFS(Prod_Prop!$A:$A,Prod_Prop!$B:$B,$E972,Prod_Prop!$H:$H,Q$1,Prod_Prop!$I:$I,"Exacto"),Prod_Prop!$A:$A,Prod_Prop!$J:$J,"",0,1))</f>
        <v/>
      </c>
      <c r="R972" s="4" t="str">
        <f t="array" ref="R972">IF($E972="","", XLOOKUP(SUMIFS(Prod_Prop!$A:$A,Prod_Prop!$B:$B,$E972,Prod_Prop!$H:$H,R$1,Prod_Prop!$I:$I,"Exacto"),Prod_Prop!$A:$A,Prod_Prop!$J:$J,"",0,1))</f>
        <v/>
      </c>
      <c r="S972" s="4" t="str">
        <f t="array" ref="S972">IF($E972="","", XLOOKUP(SUMIFS(Prod_Prop!$A:$A,Prod_Prop!$B:$B,$E972,Prod_Prop!$H:$H,S$1,Prod_Prop!$I:$I,"Exacto"),Prod_Prop!$A:$A,Prod_Prop!$J:$J,"",0,1))</f>
        <v/>
      </c>
      <c r="T972" s="4" t="str">
        <f t="array" ref="T972">IF($E972="","", XLOOKUP(SUMIFS(Prod_Prop!$A:$A,Prod_Prop!$B:$B,$E972,Prod_Prop!$H:$H,T$1,Prod_Prop!$I:$I,"Exacto"),Prod_Prop!$A:$A,Prod_Prop!$J:$J,"",0,1))</f>
        <v/>
      </c>
      <c r="U972" s="4" t="str">
        <f t="array" ref="U972">IF($E972="","", XLOOKUP(SUMIFS(Prod_Prop!$A:$A,Prod_Prop!$B:$B,$E972,Prod_Prop!$H:$H,U$1,Prod_Prop!$I:$I,"Exacto"),Prod_Prop!$A:$A,Prod_Prop!$J:$J,"",0,1))</f>
        <v/>
      </c>
      <c r="V972" s="4" t="str">
        <f t="array" ref="V972">IF($E972="","", XLOOKUP(SUMIFS(Prod_Prop!$A:$A,Prod_Prop!$B:$B,$E972,Prod_Prop!$H:$H,V$1,Prod_Prop!$I:$I,"Exacto"),Prod_Prop!$A:$A,Prod_Prop!$J:$J,"",0,1))</f>
        <v/>
      </c>
      <c r="X972" s="3" t="str">
        <f>IFERROR(__xludf.DUMMYFUNCTION("IF(D972="""","""",IFERROR(TRANSPOSE(FILTER('Validaciones Cotizador'!U:U,'Validaciones Cotizador'!O:O=D972,'Validaciones Cotizador'!T:T=""x"")),""Finalizar""))"),"")</f>
        <v/>
      </c>
    </row>
    <row r="973">
      <c r="A973" s="2" t="str">
        <f t="array" ref="A973">IF(E973="","",XLOOKUP(D973,'Validaciones Cotizador'!C:C,'Validaciones Cotizador'!A:A,"",0,1))</f>
        <v/>
      </c>
      <c r="B973" s="2" t="str">
        <f t="array" ref="B973">IF(F973="","",XLOOKUP(F973,Productos!E:E,Productos!G:G,"",0,1))</f>
        <v/>
      </c>
      <c r="C973" s="2" t="str">
        <f>IF(A973="","",SUMIFS('Validaciones Cotizador'!B:B,'Validaciones Cotizador'!C:C,D973,'Validaciones Cotizador'!A:A,A973))</f>
        <v/>
      </c>
      <c r="D973" s="4" t="str">
        <f>IFERROR(__xludf.DUMMYFUNCTION("IF(OR(F972=""Finalizar"",F972="""",F972=""Selecciona..""),"""",IF(OR(F972=""-"",INDEX(filter(Familias!F:F,Familias!D:D=A972,Familias!E:E=C972),1)=""O""),D972+1,D972))"),"")</f>
        <v/>
      </c>
      <c r="E973" s="2" t="str">
        <f>IF(OR(F973="",F973="Selecciona.."),"",IF(D973="Implemento",SUMIF(Implementos!B:B,F973,Implementos!A:A),SUMIF(Productos!E:E,F973,Productos!A:A)))</f>
        <v/>
      </c>
      <c r="F973" s="2" t="str">
        <f t="shared" si="2"/>
        <v/>
      </c>
      <c r="G973" s="10" t="str">
        <f t="array" ref="G973">IF(OR(F973="",F973="-",F973="Selecciona..",F973="Finalizar"),"",IF(A973="Rodados",XLOOKUP(B973,'Validaciones Cotizador'!I:I,'Validaciones Cotizador'!J:J,0,0,1),1))</f>
        <v/>
      </c>
      <c r="H973" s="11" t="str">
        <f>IF(OR(F973="",F973="Selecciona.."),"",SUMIF(Precio_Productos!K:K,E973,Precio_Productos!J:J)*G973)</f>
        <v/>
      </c>
      <c r="I973" s="4" t="str">
        <f t="array" ref="I973">IF($E973="","", XLOOKUP(SUMIFS(Prod_Prop!$A:$A,Prod_Prop!$B:$B,$E973,Prod_Prop!$H:$H,I$1,Prod_Prop!$I:$I,"Exacto"),Prod_Prop!$A:$A,Prod_Prop!$J:$J,"",0,1))</f>
        <v/>
      </c>
      <c r="J973" s="4" t="str">
        <f t="array" ref="J973">IF($E973="","", XLOOKUP(SUMIFS(Prod_Prop!$A:$A,Prod_Prop!$B:$B,$E973,Prod_Prop!$H:$H,J$1,Prod_Prop!$I:$I,"Exacto"),Prod_Prop!$A:$A,Prod_Prop!$J:$J,"",0,1))</f>
        <v/>
      </c>
      <c r="K973" s="4" t="str">
        <f t="array" ref="K973">IF($E973="","", XLOOKUP(SUMIFS(Prod_Prop!$A:$A,Prod_Prop!$B:$B,$E973,Prod_Prop!$H:$H,K$1,Prod_Prop!$I:$I,"Exacto"),Prod_Prop!$A:$A,Prod_Prop!$J:$J,"",0,1))</f>
        <v/>
      </c>
      <c r="L973" s="4" t="str">
        <f t="array" ref="L973">IF($E973="","", XLOOKUP(SUMIFS(Prod_Prop!$A:$A,Prod_Prop!$B:$B,$E973,Prod_Prop!$H:$H,L$1,Prod_Prop!$I:$I,"Exacto"),Prod_Prop!$A:$A,Prod_Prop!$J:$J,"",0,1))</f>
        <v/>
      </c>
      <c r="M973" s="4" t="str">
        <f t="array" ref="M973">IF($E973="","", XLOOKUP(SUMIFS(Prod_Prop!$A:$A,Prod_Prop!$B:$B,$E973,Prod_Prop!$H:$H,M$1,Prod_Prop!$I:$I,"Exacto"),Prod_Prop!$A:$A,Prod_Prop!$J:$J,"",0,1))</f>
        <v/>
      </c>
      <c r="N973" s="4" t="str">
        <f t="array" ref="N973">IF($E973="","", XLOOKUP(SUMIFS(Prod_Prop!$A:$A,Prod_Prop!$B:$B,$E973,Prod_Prop!$H:$H,N$1,Prod_Prop!$I:$I,"Exacto"),Prod_Prop!$A:$A,Prod_Prop!$J:$J,"",0,1))</f>
        <v/>
      </c>
      <c r="O973" s="4" t="str">
        <f t="array" ref="O973">IF($E973="","", XLOOKUP(SUMIFS(Prod_Prop!$A:$A,Prod_Prop!$B:$B,$E973,Prod_Prop!$H:$H,O$1,Prod_Prop!$I:$I,"Exacto"),Prod_Prop!$A:$A,Prod_Prop!$J:$J,"",0,1))</f>
        <v/>
      </c>
      <c r="P973" s="4" t="str">
        <f t="array" ref="P973">IF($E973="","", XLOOKUP(SUMIFS(Prod_Prop!$A:$A,Prod_Prop!$B:$B,$E973,Prod_Prop!$H:$H,P$1,Prod_Prop!$I:$I,"Exacto"),Prod_Prop!$A:$A,Prod_Prop!$J:$J,"",0,1))</f>
        <v/>
      </c>
      <c r="Q973" s="4" t="str">
        <f t="array" ref="Q973">IF($E973="","", XLOOKUP(SUMIFS(Prod_Prop!$A:$A,Prod_Prop!$B:$B,$E973,Prod_Prop!$H:$H,Q$1,Prod_Prop!$I:$I,"Exacto"),Prod_Prop!$A:$A,Prod_Prop!$J:$J,"",0,1))</f>
        <v/>
      </c>
      <c r="R973" s="4" t="str">
        <f t="array" ref="R973">IF($E973="","", XLOOKUP(SUMIFS(Prod_Prop!$A:$A,Prod_Prop!$B:$B,$E973,Prod_Prop!$H:$H,R$1,Prod_Prop!$I:$I,"Exacto"),Prod_Prop!$A:$A,Prod_Prop!$J:$J,"",0,1))</f>
        <v/>
      </c>
      <c r="S973" s="4" t="str">
        <f t="array" ref="S973">IF($E973="","", XLOOKUP(SUMIFS(Prod_Prop!$A:$A,Prod_Prop!$B:$B,$E973,Prod_Prop!$H:$H,S$1,Prod_Prop!$I:$I,"Exacto"),Prod_Prop!$A:$A,Prod_Prop!$J:$J,"",0,1))</f>
        <v/>
      </c>
      <c r="T973" s="4" t="str">
        <f t="array" ref="T973">IF($E973="","", XLOOKUP(SUMIFS(Prod_Prop!$A:$A,Prod_Prop!$B:$B,$E973,Prod_Prop!$H:$H,T$1,Prod_Prop!$I:$I,"Exacto"),Prod_Prop!$A:$A,Prod_Prop!$J:$J,"",0,1))</f>
        <v/>
      </c>
      <c r="U973" s="4" t="str">
        <f t="array" ref="U973">IF($E973="","", XLOOKUP(SUMIFS(Prod_Prop!$A:$A,Prod_Prop!$B:$B,$E973,Prod_Prop!$H:$H,U$1,Prod_Prop!$I:$I,"Exacto"),Prod_Prop!$A:$A,Prod_Prop!$J:$J,"",0,1))</f>
        <v/>
      </c>
      <c r="V973" s="4" t="str">
        <f t="array" ref="V973">IF($E973="","", XLOOKUP(SUMIFS(Prod_Prop!$A:$A,Prod_Prop!$B:$B,$E973,Prod_Prop!$H:$H,V$1,Prod_Prop!$I:$I,"Exacto"),Prod_Prop!$A:$A,Prod_Prop!$J:$J,"",0,1))</f>
        <v/>
      </c>
      <c r="X973" s="3" t="str">
        <f>IFERROR(__xludf.DUMMYFUNCTION("IF(D973="""","""",IFERROR(TRANSPOSE(FILTER('Validaciones Cotizador'!U:U,'Validaciones Cotizador'!O:O=D973,'Validaciones Cotizador'!T:T=""x"")),""Finalizar""))"),"")</f>
        <v/>
      </c>
    </row>
    <row r="974">
      <c r="A974" s="2" t="str">
        <f t="array" ref="A974">IF(E974="","",XLOOKUP(D974,'Validaciones Cotizador'!C:C,'Validaciones Cotizador'!A:A,"",0,1))</f>
        <v/>
      </c>
      <c r="B974" s="2" t="str">
        <f t="array" ref="B974">IF(F974="","",XLOOKUP(F974,Productos!E:E,Productos!G:G,"",0,1))</f>
        <v/>
      </c>
      <c r="C974" s="2" t="str">
        <f>IF(A974="","",SUMIFS('Validaciones Cotizador'!B:B,'Validaciones Cotizador'!C:C,D974,'Validaciones Cotizador'!A:A,A974))</f>
        <v/>
      </c>
      <c r="D974" s="4" t="str">
        <f>IFERROR(__xludf.DUMMYFUNCTION("IF(OR(F973=""Finalizar"",F973="""",F973=""Selecciona..""),"""",IF(OR(F973=""-"",INDEX(filter(Familias!F:F,Familias!D:D=A973,Familias!E:E=C973),1)=""O""),D973+1,D973))"),"")</f>
        <v/>
      </c>
      <c r="E974" s="2" t="str">
        <f>IF(OR(F974="",F974="Selecciona.."),"",IF(D974="Implemento",SUMIF(Implementos!B:B,F974,Implementos!A:A),SUMIF(Productos!E:E,F974,Productos!A:A)))</f>
        <v/>
      </c>
      <c r="F974" s="2" t="str">
        <f t="shared" si="2"/>
        <v/>
      </c>
      <c r="G974" s="10" t="str">
        <f t="array" ref="G974">IF(OR(F974="",F974="-",F974="Selecciona..",F974="Finalizar"),"",IF(A974="Rodados",XLOOKUP(B974,'Validaciones Cotizador'!I:I,'Validaciones Cotizador'!J:J,0,0,1),1))</f>
        <v/>
      </c>
      <c r="H974" s="11" t="str">
        <f>IF(OR(F974="",F974="Selecciona.."),"",SUMIF(Precio_Productos!K:K,E974,Precio_Productos!J:J)*G974)</f>
        <v/>
      </c>
      <c r="I974" s="4" t="str">
        <f t="array" ref="I974">IF($E974="","", XLOOKUP(SUMIFS(Prod_Prop!$A:$A,Prod_Prop!$B:$B,$E974,Prod_Prop!$H:$H,I$1,Prod_Prop!$I:$I,"Exacto"),Prod_Prop!$A:$A,Prod_Prop!$J:$J,"",0,1))</f>
        <v/>
      </c>
      <c r="J974" s="4" t="str">
        <f t="array" ref="J974">IF($E974="","", XLOOKUP(SUMIFS(Prod_Prop!$A:$A,Prod_Prop!$B:$B,$E974,Prod_Prop!$H:$H,J$1,Prod_Prop!$I:$I,"Exacto"),Prod_Prop!$A:$A,Prod_Prop!$J:$J,"",0,1))</f>
        <v/>
      </c>
      <c r="K974" s="4" t="str">
        <f t="array" ref="K974">IF($E974="","", XLOOKUP(SUMIFS(Prod_Prop!$A:$A,Prod_Prop!$B:$B,$E974,Prod_Prop!$H:$H,K$1,Prod_Prop!$I:$I,"Exacto"),Prod_Prop!$A:$A,Prod_Prop!$J:$J,"",0,1))</f>
        <v/>
      </c>
      <c r="L974" s="4" t="str">
        <f t="array" ref="L974">IF($E974="","", XLOOKUP(SUMIFS(Prod_Prop!$A:$A,Prod_Prop!$B:$B,$E974,Prod_Prop!$H:$H,L$1,Prod_Prop!$I:$I,"Exacto"),Prod_Prop!$A:$A,Prod_Prop!$J:$J,"",0,1))</f>
        <v/>
      </c>
      <c r="M974" s="4" t="str">
        <f t="array" ref="M974">IF($E974="","", XLOOKUP(SUMIFS(Prod_Prop!$A:$A,Prod_Prop!$B:$B,$E974,Prod_Prop!$H:$H,M$1,Prod_Prop!$I:$I,"Exacto"),Prod_Prop!$A:$A,Prod_Prop!$J:$J,"",0,1))</f>
        <v/>
      </c>
      <c r="N974" s="4" t="str">
        <f t="array" ref="N974">IF($E974="","", XLOOKUP(SUMIFS(Prod_Prop!$A:$A,Prod_Prop!$B:$B,$E974,Prod_Prop!$H:$H,N$1,Prod_Prop!$I:$I,"Exacto"),Prod_Prop!$A:$A,Prod_Prop!$J:$J,"",0,1))</f>
        <v/>
      </c>
      <c r="O974" s="4" t="str">
        <f t="array" ref="O974">IF($E974="","", XLOOKUP(SUMIFS(Prod_Prop!$A:$A,Prod_Prop!$B:$B,$E974,Prod_Prop!$H:$H,O$1,Prod_Prop!$I:$I,"Exacto"),Prod_Prop!$A:$A,Prod_Prop!$J:$J,"",0,1))</f>
        <v/>
      </c>
      <c r="P974" s="4" t="str">
        <f t="array" ref="P974">IF($E974="","", XLOOKUP(SUMIFS(Prod_Prop!$A:$A,Prod_Prop!$B:$B,$E974,Prod_Prop!$H:$H,P$1,Prod_Prop!$I:$I,"Exacto"),Prod_Prop!$A:$A,Prod_Prop!$J:$J,"",0,1))</f>
        <v/>
      </c>
      <c r="Q974" s="4" t="str">
        <f t="array" ref="Q974">IF($E974="","", XLOOKUP(SUMIFS(Prod_Prop!$A:$A,Prod_Prop!$B:$B,$E974,Prod_Prop!$H:$H,Q$1,Prod_Prop!$I:$I,"Exacto"),Prod_Prop!$A:$A,Prod_Prop!$J:$J,"",0,1))</f>
        <v/>
      </c>
      <c r="R974" s="4" t="str">
        <f t="array" ref="R974">IF($E974="","", XLOOKUP(SUMIFS(Prod_Prop!$A:$A,Prod_Prop!$B:$B,$E974,Prod_Prop!$H:$H,R$1,Prod_Prop!$I:$I,"Exacto"),Prod_Prop!$A:$A,Prod_Prop!$J:$J,"",0,1))</f>
        <v/>
      </c>
      <c r="S974" s="4" t="str">
        <f t="array" ref="S974">IF($E974="","", XLOOKUP(SUMIFS(Prod_Prop!$A:$A,Prod_Prop!$B:$B,$E974,Prod_Prop!$H:$H,S$1,Prod_Prop!$I:$I,"Exacto"),Prod_Prop!$A:$A,Prod_Prop!$J:$J,"",0,1))</f>
        <v/>
      </c>
      <c r="T974" s="4" t="str">
        <f t="array" ref="T974">IF($E974="","", XLOOKUP(SUMIFS(Prod_Prop!$A:$A,Prod_Prop!$B:$B,$E974,Prod_Prop!$H:$H,T$1,Prod_Prop!$I:$I,"Exacto"),Prod_Prop!$A:$A,Prod_Prop!$J:$J,"",0,1))</f>
        <v/>
      </c>
      <c r="U974" s="4" t="str">
        <f t="array" ref="U974">IF($E974="","", XLOOKUP(SUMIFS(Prod_Prop!$A:$A,Prod_Prop!$B:$B,$E974,Prod_Prop!$H:$H,U$1,Prod_Prop!$I:$I,"Exacto"),Prod_Prop!$A:$A,Prod_Prop!$J:$J,"",0,1))</f>
        <v/>
      </c>
      <c r="V974" s="4" t="str">
        <f t="array" ref="V974">IF($E974="","", XLOOKUP(SUMIFS(Prod_Prop!$A:$A,Prod_Prop!$B:$B,$E974,Prod_Prop!$H:$H,V$1,Prod_Prop!$I:$I,"Exacto"),Prod_Prop!$A:$A,Prod_Prop!$J:$J,"",0,1))</f>
        <v/>
      </c>
      <c r="X974" s="3" t="str">
        <f>IFERROR(__xludf.DUMMYFUNCTION("IF(D974="""","""",IFERROR(TRANSPOSE(FILTER('Validaciones Cotizador'!U:U,'Validaciones Cotizador'!O:O=D974,'Validaciones Cotizador'!T:T=""x"")),""Finalizar""))"),"")</f>
        <v/>
      </c>
    </row>
    <row r="975">
      <c r="A975" s="2" t="str">
        <f t="array" ref="A975">IF(E975="","",XLOOKUP(D975,'Validaciones Cotizador'!C:C,'Validaciones Cotizador'!A:A,"",0,1))</f>
        <v/>
      </c>
      <c r="B975" s="2" t="str">
        <f t="array" ref="B975">IF(F975="","",XLOOKUP(F975,Productos!E:E,Productos!G:G,"",0,1))</f>
        <v/>
      </c>
      <c r="C975" s="2" t="str">
        <f>IF(A975="","",SUMIFS('Validaciones Cotizador'!B:B,'Validaciones Cotizador'!C:C,D975,'Validaciones Cotizador'!A:A,A975))</f>
        <v/>
      </c>
      <c r="D975" s="4" t="str">
        <f>IFERROR(__xludf.DUMMYFUNCTION("IF(OR(F974=""Finalizar"",F974="""",F974=""Selecciona..""),"""",IF(OR(F974=""-"",INDEX(filter(Familias!F:F,Familias!D:D=A974,Familias!E:E=C974),1)=""O""),D974+1,D974))"),"")</f>
        <v/>
      </c>
      <c r="E975" s="2" t="str">
        <f>IF(OR(F975="",F975="Selecciona.."),"",IF(D975="Implemento",SUMIF(Implementos!B:B,F975,Implementos!A:A),SUMIF(Productos!E:E,F975,Productos!A:A)))</f>
        <v/>
      </c>
      <c r="F975" s="2" t="str">
        <f t="shared" si="2"/>
        <v/>
      </c>
      <c r="G975" s="10" t="str">
        <f t="array" ref="G975">IF(OR(F975="",F975="-",F975="Selecciona..",F975="Finalizar"),"",IF(A975="Rodados",XLOOKUP(B975,'Validaciones Cotizador'!I:I,'Validaciones Cotizador'!J:J,0,0,1),1))</f>
        <v/>
      </c>
      <c r="H975" s="11" t="str">
        <f>IF(OR(F975="",F975="Selecciona.."),"",SUMIF(Precio_Productos!K:K,E975,Precio_Productos!J:J)*G975)</f>
        <v/>
      </c>
      <c r="I975" s="4" t="str">
        <f t="array" ref="I975">IF($E975="","", XLOOKUP(SUMIFS(Prod_Prop!$A:$A,Prod_Prop!$B:$B,$E975,Prod_Prop!$H:$H,I$1,Prod_Prop!$I:$I,"Exacto"),Prod_Prop!$A:$A,Prod_Prop!$J:$J,"",0,1))</f>
        <v/>
      </c>
      <c r="J975" s="4" t="str">
        <f t="array" ref="J975">IF($E975="","", XLOOKUP(SUMIFS(Prod_Prop!$A:$A,Prod_Prop!$B:$B,$E975,Prod_Prop!$H:$H,J$1,Prod_Prop!$I:$I,"Exacto"),Prod_Prop!$A:$A,Prod_Prop!$J:$J,"",0,1))</f>
        <v/>
      </c>
      <c r="K975" s="4" t="str">
        <f t="array" ref="K975">IF($E975="","", XLOOKUP(SUMIFS(Prod_Prop!$A:$A,Prod_Prop!$B:$B,$E975,Prod_Prop!$H:$H,K$1,Prod_Prop!$I:$I,"Exacto"),Prod_Prop!$A:$A,Prod_Prop!$J:$J,"",0,1))</f>
        <v/>
      </c>
      <c r="L975" s="4" t="str">
        <f t="array" ref="L975">IF($E975="","", XLOOKUP(SUMIFS(Prod_Prop!$A:$A,Prod_Prop!$B:$B,$E975,Prod_Prop!$H:$H,L$1,Prod_Prop!$I:$I,"Exacto"),Prod_Prop!$A:$A,Prod_Prop!$J:$J,"",0,1))</f>
        <v/>
      </c>
      <c r="M975" s="4" t="str">
        <f t="array" ref="M975">IF($E975="","", XLOOKUP(SUMIFS(Prod_Prop!$A:$A,Prod_Prop!$B:$B,$E975,Prod_Prop!$H:$H,M$1,Prod_Prop!$I:$I,"Exacto"),Prod_Prop!$A:$A,Prod_Prop!$J:$J,"",0,1))</f>
        <v/>
      </c>
      <c r="N975" s="4" t="str">
        <f t="array" ref="N975">IF($E975="","", XLOOKUP(SUMIFS(Prod_Prop!$A:$A,Prod_Prop!$B:$B,$E975,Prod_Prop!$H:$H,N$1,Prod_Prop!$I:$I,"Exacto"),Prod_Prop!$A:$A,Prod_Prop!$J:$J,"",0,1))</f>
        <v/>
      </c>
      <c r="O975" s="4" t="str">
        <f t="array" ref="O975">IF($E975="","", XLOOKUP(SUMIFS(Prod_Prop!$A:$A,Prod_Prop!$B:$B,$E975,Prod_Prop!$H:$H,O$1,Prod_Prop!$I:$I,"Exacto"),Prod_Prop!$A:$A,Prod_Prop!$J:$J,"",0,1))</f>
        <v/>
      </c>
      <c r="P975" s="4" t="str">
        <f t="array" ref="P975">IF($E975="","", XLOOKUP(SUMIFS(Prod_Prop!$A:$A,Prod_Prop!$B:$B,$E975,Prod_Prop!$H:$H,P$1,Prod_Prop!$I:$I,"Exacto"),Prod_Prop!$A:$A,Prod_Prop!$J:$J,"",0,1))</f>
        <v/>
      </c>
      <c r="Q975" s="4" t="str">
        <f t="array" ref="Q975">IF($E975="","", XLOOKUP(SUMIFS(Prod_Prop!$A:$A,Prod_Prop!$B:$B,$E975,Prod_Prop!$H:$H,Q$1,Prod_Prop!$I:$I,"Exacto"),Prod_Prop!$A:$A,Prod_Prop!$J:$J,"",0,1))</f>
        <v/>
      </c>
      <c r="R975" s="4" t="str">
        <f t="array" ref="R975">IF($E975="","", XLOOKUP(SUMIFS(Prod_Prop!$A:$A,Prod_Prop!$B:$B,$E975,Prod_Prop!$H:$H,R$1,Prod_Prop!$I:$I,"Exacto"),Prod_Prop!$A:$A,Prod_Prop!$J:$J,"",0,1))</f>
        <v/>
      </c>
      <c r="S975" s="4" t="str">
        <f t="array" ref="S975">IF($E975="","", XLOOKUP(SUMIFS(Prod_Prop!$A:$A,Prod_Prop!$B:$B,$E975,Prod_Prop!$H:$H,S$1,Prod_Prop!$I:$I,"Exacto"),Prod_Prop!$A:$A,Prod_Prop!$J:$J,"",0,1))</f>
        <v/>
      </c>
      <c r="T975" s="4" t="str">
        <f t="array" ref="T975">IF($E975="","", XLOOKUP(SUMIFS(Prod_Prop!$A:$A,Prod_Prop!$B:$B,$E975,Prod_Prop!$H:$H,T$1,Prod_Prop!$I:$I,"Exacto"),Prod_Prop!$A:$A,Prod_Prop!$J:$J,"",0,1))</f>
        <v/>
      </c>
      <c r="U975" s="4" t="str">
        <f t="array" ref="U975">IF($E975="","", XLOOKUP(SUMIFS(Prod_Prop!$A:$A,Prod_Prop!$B:$B,$E975,Prod_Prop!$H:$H,U$1,Prod_Prop!$I:$I,"Exacto"),Prod_Prop!$A:$A,Prod_Prop!$J:$J,"",0,1))</f>
        <v/>
      </c>
      <c r="V975" s="4" t="str">
        <f t="array" ref="V975">IF($E975="","", XLOOKUP(SUMIFS(Prod_Prop!$A:$A,Prod_Prop!$B:$B,$E975,Prod_Prop!$H:$H,V$1,Prod_Prop!$I:$I,"Exacto"),Prod_Prop!$A:$A,Prod_Prop!$J:$J,"",0,1))</f>
        <v/>
      </c>
      <c r="X975" s="3" t="str">
        <f>IFERROR(__xludf.DUMMYFUNCTION("IF(D975="""","""",IFERROR(TRANSPOSE(FILTER('Validaciones Cotizador'!U:U,'Validaciones Cotizador'!O:O=D975,'Validaciones Cotizador'!T:T=""x"")),""Finalizar""))"),"")</f>
        <v/>
      </c>
    </row>
    <row r="976">
      <c r="A976" s="2" t="str">
        <f t="array" ref="A976">IF(E976="","",XLOOKUP(D976,'Validaciones Cotizador'!C:C,'Validaciones Cotizador'!A:A,"",0,1))</f>
        <v/>
      </c>
      <c r="B976" s="2" t="str">
        <f t="array" ref="B976">IF(F976="","",XLOOKUP(F976,Productos!E:E,Productos!G:G,"",0,1))</f>
        <v/>
      </c>
      <c r="C976" s="2" t="str">
        <f>IF(A976="","",SUMIFS('Validaciones Cotizador'!B:B,'Validaciones Cotizador'!C:C,D976,'Validaciones Cotizador'!A:A,A976))</f>
        <v/>
      </c>
      <c r="D976" s="4" t="str">
        <f>IFERROR(__xludf.DUMMYFUNCTION("IF(OR(F975=""Finalizar"",F975="""",F975=""Selecciona..""),"""",IF(OR(F975=""-"",INDEX(filter(Familias!F:F,Familias!D:D=A975,Familias!E:E=C975),1)=""O""),D975+1,D975))"),"")</f>
        <v/>
      </c>
      <c r="E976" s="2" t="str">
        <f>IF(OR(F976="",F976="Selecciona.."),"",IF(D976="Implemento",SUMIF(Implementos!B:B,F976,Implementos!A:A),SUMIF(Productos!E:E,F976,Productos!A:A)))</f>
        <v/>
      </c>
      <c r="F976" s="2" t="str">
        <f t="shared" si="2"/>
        <v/>
      </c>
      <c r="G976" s="10" t="str">
        <f t="array" ref="G976">IF(OR(F976="",F976="-",F976="Selecciona..",F976="Finalizar"),"",IF(A976="Rodados",XLOOKUP(B976,'Validaciones Cotizador'!I:I,'Validaciones Cotizador'!J:J,0,0,1),1))</f>
        <v/>
      </c>
      <c r="H976" s="11" t="str">
        <f>IF(OR(F976="",F976="Selecciona.."),"",SUMIF(Precio_Productos!K:K,E976,Precio_Productos!J:J)*G976)</f>
        <v/>
      </c>
      <c r="I976" s="4" t="str">
        <f t="array" ref="I976">IF($E976="","", XLOOKUP(SUMIFS(Prod_Prop!$A:$A,Prod_Prop!$B:$B,$E976,Prod_Prop!$H:$H,I$1,Prod_Prop!$I:$I,"Exacto"),Prod_Prop!$A:$A,Prod_Prop!$J:$J,"",0,1))</f>
        <v/>
      </c>
      <c r="J976" s="4" t="str">
        <f t="array" ref="J976">IF($E976="","", XLOOKUP(SUMIFS(Prod_Prop!$A:$A,Prod_Prop!$B:$B,$E976,Prod_Prop!$H:$H,J$1,Prod_Prop!$I:$I,"Exacto"),Prod_Prop!$A:$A,Prod_Prop!$J:$J,"",0,1))</f>
        <v/>
      </c>
      <c r="K976" s="4" t="str">
        <f t="array" ref="K976">IF($E976="","", XLOOKUP(SUMIFS(Prod_Prop!$A:$A,Prod_Prop!$B:$B,$E976,Prod_Prop!$H:$H,K$1,Prod_Prop!$I:$I,"Exacto"),Prod_Prop!$A:$A,Prod_Prop!$J:$J,"",0,1))</f>
        <v/>
      </c>
      <c r="L976" s="4" t="str">
        <f t="array" ref="L976">IF($E976="","", XLOOKUP(SUMIFS(Prod_Prop!$A:$A,Prod_Prop!$B:$B,$E976,Prod_Prop!$H:$H,L$1,Prod_Prop!$I:$I,"Exacto"),Prod_Prop!$A:$A,Prod_Prop!$J:$J,"",0,1))</f>
        <v/>
      </c>
      <c r="M976" s="4" t="str">
        <f t="array" ref="M976">IF($E976="","", XLOOKUP(SUMIFS(Prod_Prop!$A:$A,Prod_Prop!$B:$B,$E976,Prod_Prop!$H:$H,M$1,Prod_Prop!$I:$I,"Exacto"),Prod_Prop!$A:$A,Prod_Prop!$J:$J,"",0,1))</f>
        <v/>
      </c>
      <c r="N976" s="4" t="str">
        <f t="array" ref="N976">IF($E976="","", XLOOKUP(SUMIFS(Prod_Prop!$A:$A,Prod_Prop!$B:$B,$E976,Prod_Prop!$H:$H,N$1,Prod_Prop!$I:$I,"Exacto"),Prod_Prop!$A:$A,Prod_Prop!$J:$J,"",0,1))</f>
        <v/>
      </c>
      <c r="O976" s="4" t="str">
        <f t="array" ref="O976">IF($E976="","", XLOOKUP(SUMIFS(Prod_Prop!$A:$A,Prod_Prop!$B:$B,$E976,Prod_Prop!$H:$H,O$1,Prod_Prop!$I:$I,"Exacto"),Prod_Prop!$A:$A,Prod_Prop!$J:$J,"",0,1))</f>
        <v/>
      </c>
      <c r="P976" s="4" t="str">
        <f t="array" ref="P976">IF($E976="","", XLOOKUP(SUMIFS(Prod_Prop!$A:$A,Prod_Prop!$B:$B,$E976,Prod_Prop!$H:$H,P$1,Prod_Prop!$I:$I,"Exacto"),Prod_Prop!$A:$A,Prod_Prop!$J:$J,"",0,1))</f>
        <v/>
      </c>
      <c r="Q976" s="4" t="str">
        <f t="array" ref="Q976">IF($E976="","", XLOOKUP(SUMIFS(Prod_Prop!$A:$A,Prod_Prop!$B:$B,$E976,Prod_Prop!$H:$H,Q$1,Prod_Prop!$I:$I,"Exacto"),Prod_Prop!$A:$A,Prod_Prop!$J:$J,"",0,1))</f>
        <v/>
      </c>
      <c r="R976" s="4" t="str">
        <f t="array" ref="R976">IF($E976="","", XLOOKUP(SUMIFS(Prod_Prop!$A:$A,Prod_Prop!$B:$B,$E976,Prod_Prop!$H:$H,R$1,Prod_Prop!$I:$I,"Exacto"),Prod_Prop!$A:$A,Prod_Prop!$J:$J,"",0,1))</f>
        <v/>
      </c>
      <c r="S976" s="4" t="str">
        <f t="array" ref="S976">IF($E976="","", XLOOKUP(SUMIFS(Prod_Prop!$A:$A,Prod_Prop!$B:$B,$E976,Prod_Prop!$H:$H,S$1,Prod_Prop!$I:$I,"Exacto"),Prod_Prop!$A:$A,Prod_Prop!$J:$J,"",0,1))</f>
        <v/>
      </c>
      <c r="T976" s="4" t="str">
        <f t="array" ref="T976">IF($E976="","", XLOOKUP(SUMIFS(Prod_Prop!$A:$A,Prod_Prop!$B:$B,$E976,Prod_Prop!$H:$H,T$1,Prod_Prop!$I:$I,"Exacto"),Prod_Prop!$A:$A,Prod_Prop!$J:$J,"",0,1))</f>
        <v/>
      </c>
      <c r="U976" s="4" t="str">
        <f t="array" ref="U976">IF($E976="","", XLOOKUP(SUMIFS(Prod_Prop!$A:$A,Prod_Prop!$B:$B,$E976,Prod_Prop!$H:$H,U$1,Prod_Prop!$I:$I,"Exacto"),Prod_Prop!$A:$A,Prod_Prop!$J:$J,"",0,1))</f>
        <v/>
      </c>
      <c r="V976" s="4" t="str">
        <f t="array" ref="V976">IF($E976="","", XLOOKUP(SUMIFS(Prod_Prop!$A:$A,Prod_Prop!$B:$B,$E976,Prod_Prop!$H:$H,V$1,Prod_Prop!$I:$I,"Exacto"),Prod_Prop!$A:$A,Prod_Prop!$J:$J,"",0,1))</f>
        <v/>
      </c>
      <c r="X976" s="3" t="str">
        <f>IFERROR(__xludf.DUMMYFUNCTION("IF(D976="""","""",IFERROR(TRANSPOSE(FILTER('Validaciones Cotizador'!U:U,'Validaciones Cotizador'!O:O=D976,'Validaciones Cotizador'!T:T=""x"")),""Finalizar""))"),"")</f>
        <v/>
      </c>
    </row>
    <row r="977">
      <c r="A977" s="2" t="str">
        <f t="array" ref="A977">IF(E977="","",XLOOKUP(D977,'Validaciones Cotizador'!C:C,'Validaciones Cotizador'!A:A,"",0,1))</f>
        <v/>
      </c>
      <c r="B977" s="2" t="str">
        <f t="array" ref="B977">IF(F977="","",XLOOKUP(F977,Productos!E:E,Productos!G:G,"",0,1))</f>
        <v/>
      </c>
      <c r="C977" s="2" t="str">
        <f>IF(A977="","",SUMIFS('Validaciones Cotizador'!B:B,'Validaciones Cotizador'!C:C,D977,'Validaciones Cotizador'!A:A,A977))</f>
        <v/>
      </c>
      <c r="D977" s="4" t="str">
        <f>IFERROR(__xludf.DUMMYFUNCTION("IF(OR(F976=""Finalizar"",F976="""",F976=""Selecciona..""),"""",IF(OR(F976=""-"",INDEX(filter(Familias!F:F,Familias!D:D=A976,Familias!E:E=C976),1)=""O""),D976+1,D976))"),"")</f>
        <v/>
      </c>
      <c r="E977" s="2" t="str">
        <f>IF(OR(F977="",F977="Selecciona.."),"",IF(D977="Implemento",SUMIF(Implementos!B:B,F977,Implementos!A:A),SUMIF(Productos!E:E,F977,Productos!A:A)))</f>
        <v/>
      </c>
      <c r="F977" s="2" t="str">
        <f t="shared" si="2"/>
        <v/>
      </c>
      <c r="G977" s="10" t="str">
        <f t="array" ref="G977">IF(OR(F977="",F977="-",F977="Selecciona..",F977="Finalizar"),"",IF(A977="Rodados",XLOOKUP(B977,'Validaciones Cotizador'!I:I,'Validaciones Cotizador'!J:J,0,0,1),1))</f>
        <v/>
      </c>
      <c r="H977" s="11" t="str">
        <f>IF(OR(F977="",F977="Selecciona.."),"",SUMIF(Precio_Productos!K:K,E977,Precio_Productos!J:J)*G977)</f>
        <v/>
      </c>
      <c r="I977" s="4" t="str">
        <f t="array" ref="I977">IF($E977="","", XLOOKUP(SUMIFS(Prod_Prop!$A:$A,Prod_Prop!$B:$B,$E977,Prod_Prop!$H:$H,I$1,Prod_Prop!$I:$I,"Exacto"),Prod_Prop!$A:$A,Prod_Prop!$J:$J,"",0,1))</f>
        <v/>
      </c>
      <c r="J977" s="4" t="str">
        <f t="array" ref="J977">IF($E977="","", XLOOKUP(SUMIFS(Prod_Prop!$A:$A,Prod_Prop!$B:$B,$E977,Prod_Prop!$H:$H,J$1,Prod_Prop!$I:$I,"Exacto"),Prod_Prop!$A:$A,Prod_Prop!$J:$J,"",0,1))</f>
        <v/>
      </c>
      <c r="K977" s="4" t="str">
        <f t="array" ref="K977">IF($E977="","", XLOOKUP(SUMIFS(Prod_Prop!$A:$A,Prod_Prop!$B:$B,$E977,Prod_Prop!$H:$H,K$1,Prod_Prop!$I:$I,"Exacto"),Prod_Prop!$A:$A,Prod_Prop!$J:$J,"",0,1))</f>
        <v/>
      </c>
      <c r="L977" s="4" t="str">
        <f t="array" ref="L977">IF($E977="","", XLOOKUP(SUMIFS(Prod_Prop!$A:$A,Prod_Prop!$B:$B,$E977,Prod_Prop!$H:$H,L$1,Prod_Prop!$I:$I,"Exacto"),Prod_Prop!$A:$A,Prod_Prop!$J:$J,"",0,1))</f>
        <v/>
      </c>
      <c r="M977" s="4" t="str">
        <f t="array" ref="M977">IF($E977="","", XLOOKUP(SUMIFS(Prod_Prop!$A:$A,Prod_Prop!$B:$B,$E977,Prod_Prop!$H:$H,M$1,Prod_Prop!$I:$I,"Exacto"),Prod_Prop!$A:$A,Prod_Prop!$J:$J,"",0,1))</f>
        <v/>
      </c>
      <c r="N977" s="4" t="str">
        <f t="array" ref="N977">IF($E977="","", XLOOKUP(SUMIFS(Prod_Prop!$A:$A,Prod_Prop!$B:$B,$E977,Prod_Prop!$H:$H,N$1,Prod_Prop!$I:$I,"Exacto"),Prod_Prop!$A:$A,Prod_Prop!$J:$J,"",0,1))</f>
        <v/>
      </c>
      <c r="O977" s="4" t="str">
        <f t="array" ref="O977">IF($E977="","", XLOOKUP(SUMIFS(Prod_Prop!$A:$A,Prod_Prop!$B:$B,$E977,Prod_Prop!$H:$H,O$1,Prod_Prop!$I:$I,"Exacto"),Prod_Prop!$A:$A,Prod_Prop!$J:$J,"",0,1))</f>
        <v/>
      </c>
      <c r="P977" s="4" t="str">
        <f t="array" ref="P977">IF($E977="","", XLOOKUP(SUMIFS(Prod_Prop!$A:$A,Prod_Prop!$B:$B,$E977,Prod_Prop!$H:$H,P$1,Prod_Prop!$I:$I,"Exacto"),Prod_Prop!$A:$A,Prod_Prop!$J:$J,"",0,1))</f>
        <v/>
      </c>
      <c r="Q977" s="4" t="str">
        <f t="array" ref="Q977">IF($E977="","", XLOOKUP(SUMIFS(Prod_Prop!$A:$A,Prod_Prop!$B:$B,$E977,Prod_Prop!$H:$H,Q$1,Prod_Prop!$I:$I,"Exacto"),Prod_Prop!$A:$A,Prod_Prop!$J:$J,"",0,1))</f>
        <v/>
      </c>
      <c r="R977" s="4" t="str">
        <f t="array" ref="R977">IF($E977="","", XLOOKUP(SUMIFS(Prod_Prop!$A:$A,Prod_Prop!$B:$B,$E977,Prod_Prop!$H:$H,R$1,Prod_Prop!$I:$I,"Exacto"),Prod_Prop!$A:$A,Prod_Prop!$J:$J,"",0,1))</f>
        <v/>
      </c>
      <c r="S977" s="4" t="str">
        <f t="array" ref="S977">IF($E977="","", XLOOKUP(SUMIFS(Prod_Prop!$A:$A,Prod_Prop!$B:$B,$E977,Prod_Prop!$H:$H,S$1,Prod_Prop!$I:$I,"Exacto"),Prod_Prop!$A:$A,Prod_Prop!$J:$J,"",0,1))</f>
        <v/>
      </c>
      <c r="T977" s="4" t="str">
        <f t="array" ref="T977">IF($E977="","", XLOOKUP(SUMIFS(Prod_Prop!$A:$A,Prod_Prop!$B:$B,$E977,Prod_Prop!$H:$H,T$1,Prod_Prop!$I:$I,"Exacto"),Prod_Prop!$A:$A,Prod_Prop!$J:$J,"",0,1))</f>
        <v/>
      </c>
      <c r="U977" s="4" t="str">
        <f t="array" ref="U977">IF($E977="","", XLOOKUP(SUMIFS(Prod_Prop!$A:$A,Prod_Prop!$B:$B,$E977,Prod_Prop!$H:$H,U$1,Prod_Prop!$I:$I,"Exacto"),Prod_Prop!$A:$A,Prod_Prop!$J:$J,"",0,1))</f>
        <v/>
      </c>
      <c r="V977" s="4" t="str">
        <f t="array" ref="V977">IF($E977="","", XLOOKUP(SUMIFS(Prod_Prop!$A:$A,Prod_Prop!$B:$B,$E977,Prod_Prop!$H:$H,V$1,Prod_Prop!$I:$I,"Exacto"),Prod_Prop!$A:$A,Prod_Prop!$J:$J,"",0,1))</f>
        <v/>
      </c>
      <c r="X977" s="3" t="str">
        <f>IFERROR(__xludf.DUMMYFUNCTION("IF(D977="""","""",IFERROR(TRANSPOSE(FILTER('Validaciones Cotizador'!U:U,'Validaciones Cotizador'!O:O=D977,'Validaciones Cotizador'!T:T=""x"")),""Finalizar""))"),"")</f>
        <v/>
      </c>
    </row>
    <row r="978">
      <c r="A978" s="2" t="str">
        <f t="array" ref="A978">IF(E978="","",XLOOKUP(D978,'Validaciones Cotizador'!C:C,'Validaciones Cotizador'!A:A,"",0,1))</f>
        <v/>
      </c>
      <c r="B978" s="2" t="str">
        <f t="array" ref="B978">IF(F978="","",XLOOKUP(F978,Productos!E:E,Productos!G:G,"",0,1))</f>
        <v/>
      </c>
      <c r="C978" s="2" t="str">
        <f>IF(A978="","",SUMIFS('Validaciones Cotizador'!B:B,'Validaciones Cotizador'!C:C,D978,'Validaciones Cotizador'!A:A,A978))</f>
        <v/>
      </c>
      <c r="D978" s="4" t="str">
        <f>IFERROR(__xludf.DUMMYFUNCTION("IF(OR(F977=""Finalizar"",F977="""",F977=""Selecciona..""),"""",IF(OR(F977=""-"",INDEX(filter(Familias!F:F,Familias!D:D=A977,Familias!E:E=C977),1)=""O""),D977+1,D977))"),"")</f>
        <v/>
      </c>
      <c r="E978" s="2" t="str">
        <f>IF(OR(F978="",F978="Selecciona.."),"",IF(D978="Implemento",SUMIF(Implementos!B:B,F978,Implementos!A:A),SUMIF(Productos!E:E,F978,Productos!A:A)))</f>
        <v/>
      </c>
      <c r="F978" s="2" t="str">
        <f t="shared" si="2"/>
        <v/>
      </c>
      <c r="G978" s="10" t="str">
        <f t="array" ref="G978">IF(OR(F978="",F978="-",F978="Selecciona..",F978="Finalizar"),"",IF(A978="Rodados",XLOOKUP(B978,'Validaciones Cotizador'!I:I,'Validaciones Cotizador'!J:J,0,0,1),1))</f>
        <v/>
      </c>
      <c r="H978" s="11" t="str">
        <f>IF(OR(F978="",F978="Selecciona.."),"",SUMIF(Precio_Productos!K:K,E978,Precio_Productos!J:J)*G978)</f>
        <v/>
      </c>
      <c r="I978" s="4" t="str">
        <f t="array" ref="I978">IF($E978="","", XLOOKUP(SUMIFS(Prod_Prop!$A:$A,Prod_Prop!$B:$B,$E978,Prod_Prop!$H:$H,I$1,Prod_Prop!$I:$I,"Exacto"),Prod_Prop!$A:$A,Prod_Prop!$J:$J,"",0,1))</f>
        <v/>
      </c>
      <c r="J978" s="4" t="str">
        <f t="array" ref="J978">IF($E978="","", XLOOKUP(SUMIFS(Prod_Prop!$A:$A,Prod_Prop!$B:$B,$E978,Prod_Prop!$H:$H,J$1,Prod_Prop!$I:$I,"Exacto"),Prod_Prop!$A:$A,Prod_Prop!$J:$J,"",0,1))</f>
        <v/>
      </c>
      <c r="K978" s="4" t="str">
        <f t="array" ref="K978">IF($E978="","", XLOOKUP(SUMIFS(Prod_Prop!$A:$A,Prod_Prop!$B:$B,$E978,Prod_Prop!$H:$H,K$1,Prod_Prop!$I:$I,"Exacto"),Prod_Prop!$A:$A,Prod_Prop!$J:$J,"",0,1))</f>
        <v/>
      </c>
      <c r="L978" s="4" t="str">
        <f t="array" ref="L978">IF($E978="","", XLOOKUP(SUMIFS(Prod_Prop!$A:$A,Prod_Prop!$B:$B,$E978,Prod_Prop!$H:$H,L$1,Prod_Prop!$I:$I,"Exacto"),Prod_Prop!$A:$A,Prod_Prop!$J:$J,"",0,1))</f>
        <v/>
      </c>
      <c r="M978" s="4" t="str">
        <f t="array" ref="M978">IF($E978="","", XLOOKUP(SUMIFS(Prod_Prop!$A:$A,Prod_Prop!$B:$B,$E978,Prod_Prop!$H:$H,M$1,Prod_Prop!$I:$I,"Exacto"),Prod_Prop!$A:$A,Prod_Prop!$J:$J,"",0,1))</f>
        <v/>
      </c>
      <c r="N978" s="4" t="str">
        <f t="array" ref="N978">IF($E978="","", XLOOKUP(SUMIFS(Prod_Prop!$A:$A,Prod_Prop!$B:$B,$E978,Prod_Prop!$H:$H,N$1,Prod_Prop!$I:$I,"Exacto"),Prod_Prop!$A:$A,Prod_Prop!$J:$J,"",0,1))</f>
        <v/>
      </c>
      <c r="O978" s="4" t="str">
        <f t="array" ref="O978">IF($E978="","", XLOOKUP(SUMIFS(Prod_Prop!$A:$A,Prod_Prop!$B:$B,$E978,Prod_Prop!$H:$H,O$1,Prod_Prop!$I:$I,"Exacto"),Prod_Prop!$A:$A,Prod_Prop!$J:$J,"",0,1))</f>
        <v/>
      </c>
      <c r="P978" s="4" t="str">
        <f t="array" ref="P978">IF($E978="","", XLOOKUP(SUMIFS(Prod_Prop!$A:$A,Prod_Prop!$B:$B,$E978,Prod_Prop!$H:$H,P$1,Prod_Prop!$I:$I,"Exacto"),Prod_Prop!$A:$A,Prod_Prop!$J:$J,"",0,1))</f>
        <v/>
      </c>
      <c r="Q978" s="4" t="str">
        <f t="array" ref="Q978">IF($E978="","", XLOOKUP(SUMIFS(Prod_Prop!$A:$A,Prod_Prop!$B:$B,$E978,Prod_Prop!$H:$H,Q$1,Prod_Prop!$I:$I,"Exacto"),Prod_Prop!$A:$A,Prod_Prop!$J:$J,"",0,1))</f>
        <v/>
      </c>
      <c r="R978" s="4" t="str">
        <f t="array" ref="R978">IF($E978="","", XLOOKUP(SUMIFS(Prod_Prop!$A:$A,Prod_Prop!$B:$B,$E978,Prod_Prop!$H:$H,R$1,Prod_Prop!$I:$I,"Exacto"),Prod_Prop!$A:$A,Prod_Prop!$J:$J,"",0,1))</f>
        <v/>
      </c>
      <c r="S978" s="4" t="str">
        <f t="array" ref="S978">IF($E978="","", XLOOKUP(SUMIFS(Prod_Prop!$A:$A,Prod_Prop!$B:$B,$E978,Prod_Prop!$H:$H,S$1,Prod_Prop!$I:$I,"Exacto"),Prod_Prop!$A:$A,Prod_Prop!$J:$J,"",0,1))</f>
        <v/>
      </c>
      <c r="T978" s="4" t="str">
        <f t="array" ref="T978">IF($E978="","", XLOOKUP(SUMIFS(Prod_Prop!$A:$A,Prod_Prop!$B:$B,$E978,Prod_Prop!$H:$H,T$1,Prod_Prop!$I:$I,"Exacto"),Prod_Prop!$A:$A,Prod_Prop!$J:$J,"",0,1))</f>
        <v/>
      </c>
      <c r="U978" s="4" t="str">
        <f t="array" ref="U978">IF($E978="","", XLOOKUP(SUMIFS(Prod_Prop!$A:$A,Prod_Prop!$B:$B,$E978,Prod_Prop!$H:$H,U$1,Prod_Prop!$I:$I,"Exacto"),Prod_Prop!$A:$A,Prod_Prop!$J:$J,"",0,1))</f>
        <v/>
      </c>
      <c r="V978" s="4" t="str">
        <f t="array" ref="V978">IF($E978="","", XLOOKUP(SUMIFS(Prod_Prop!$A:$A,Prod_Prop!$B:$B,$E978,Prod_Prop!$H:$H,V$1,Prod_Prop!$I:$I,"Exacto"),Prod_Prop!$A:$A,Prod_Prop!$J:$J,"",0,1))</f>
        <v/>
      </c>
      <c r="X978" s="3" t="str">
        <f>IFERROR(__xludf.DUMMYFUNCTION("IF(D978="""","""",IFERROR(TRANSPOSE(FILTER('Validaciones Cotizador'!U:U,'Validaciones Cotizador'!O:O=D978,'Validaciones Cotizador'!T:T=""x"")),""Finalizar""))"),"")</f>
        <v/>
      </c>
    </row>
    <row r="979">
      <c r="A979" s="2" t="str">
        <f t="array" ref="A979">IF(E979="","",XLOOKUP(D979,'Validaciones Cotizador'!C:C,'Validaciones Cotizador'!A:A,"",0,1))</f>
        <v/>
      </c>
      <c r="B979" s="2" t="str">
        <f t="array" ref="B979">IF(F979="","",XLOOKUP(F979,Productos!E:E,Productos!G:G,"",0,1))</f>
        <v/>
      </c>
      <c r="C979" s="2" t="str">
        <f>IF(A979="","",SUMIFS('Validaciones Cotizador'!B:B,'Validaciones Cotizador'!C:C,D979,'Validaciones Cotizador'!A:A,A979))</f>
        <v/>
      </c>
      <c r="D979" s="4" t="str">
        <f>IFERROR(__xludf.DUMMYFUNCTION("IF(OR(F978=""Finalizar"",F978="""",F978=""Selecciona..""),"""",IF(OR(F978=""-"",INDEX(filter(Familias!F:F,Familias!D:D=A978,Familias!E:E=C978),1)=""O""),D978+1,D978))"),"")</f>
        <v/>
      </c>
      <c r="E979" s="2" t="str">
        <f>IF(OR(F979="",F979="Selecciona.."),"",IF(D979="Implemento",SUMIF(Implementos!B:B,F979,Implementos!A:A),SUMIF(Productos!E:E,F979,Productos!A:A)))</f>
        <v/>
      </c>
      <c r="F979" s="2" t="str">
        <f t="shared" si="2"/>
        <v/>
      </c>
      <c r="G979" s="10" t="str">
        <f t="array" ref="G979">IF(OR(F979="",F979="-",F979="Selecciona..",F979="Finalizar"),"",IF(A979="Rodados",XLOOKUP(B979,'Validaciones Cotizador'!I:I,'Validaciones Cotizador'!J:J,0,0,1),1))</f>
        <v/>
      </c>
      <c r="H979" s="11" t="str">
        <f>IF(OR(F979="",F979="Selecciona.."),"",SUMIF(Precio_Productos!K:K,E979,Precio_Productos!J:J)*G979)</f>
        <v/>
      </c>
      <c r="I979" s="4" t="str">
        <f t="array" ref="I979">IF($E979="","", XLOOKUP(SUMIFS(Prod_Prop!$A:$A,Prod_Prop!$B:$B,$E979,Prod_Prop!$H:$H,I$1,Prod_Prop!$I:$I,"Exacto"),Prod_Prop!$A:$A,Prod_Prop!$J:$J,"",0,1))</f>
        <v/>
      </c>
      <c r="J979" s="4" t="str">
        <f t="array" ref="J979">IF($E979="","", XLOOKUP(SUMIFS(Prod_Prop!$A:$A,Prod_Prop!$B:$B,$E979,Prod_Prop!$H:$H,J$1,Prod_Prop!$I:$I,"Exacto"),Prod_Prop!$A:$A,Prod_Prop!$J:$J,"",0,1))</f>
        <v/>
      </c>
      <c r="K979" s="4" t="str">
        <f t="array" ref="K979">IF($E979="","", XLOOKUP(SUMIFS(Prod_Prop!$A:$A,Prod_Prop!$B:$B,$E979,Prod_Prop!$H:$H,K$1,Prod_Prop!$I:$I,"Exacto"),Prod_Prop!$A:$A,Prod_Prop!$J:$J,"",0,1))</f>
        <v/>
      </c>
      <c r="L979" s="4" t="str">
        <f t="array" ref="L979">IF($E979="","", XLOOKUP(SUMIFS(Prod_Prop!$A:$A,Prod_Prop!$B:$B,$E979,Prod_Prop!$H:$H,L$1,Prod_Prop!$I:$I,"Exacto"),Prod_Prop!$A:$A,Prod_Prop!$J:$J,"",0,1))</f>
        <v/>
      </c>
      <c r="M979" s="4" t="str">
        <f t="array" ref="M979">IF($E979="","", XLOOKUP(SUMIFS(Prod_Prop!$A:$A,Prod_Prop!$B:$B,$E979,Prod_Prop!$H:$H,M$1,Prod_Prop!$I:$I,"Exacto"),Prod_Prop!$A:$A,Prod_Prop!$J:$J,"",0,1))</f>
        <v/>
      </c>
      <c r="N979" s="4" t="str">
        <f t="array" ref="N979">IF($E979="","", XLOOKUP(SUMIFS(Prod_Prop!$A:$A,Prod_Prop!$B:$B,$E979,Prod_Prop!$H:$H,N$1,Prod_Prop!$I:$I,"Exacto"),Prod_Prop!$A:$A,Prod_Prop!$J:$J,"",0,1))</f>
        <v/>
      </c>
      <c r="O979" s="4" t="str">
        <f t="array" ref="O979">IF($E979="","", XLOOKUP(SUMIFS(Prod_Prop!$A:$A,Prod_Prop!$B:$B,$E979,Prod_Prop!$H:$H,O$1,Prod_Prop!$I:$I,"Exacto"),Prod_Prop!$A:$A,Prod_Prop!$J:$J,"",0,1))</f>
        <v/>
      </c>
      <c r="P979" s="4" t="str">
        <f t="array" ref="P979">IF($E979="","", XLOOKUP(SUMIFS(Prod_Prop!$A:$A,Prod_Prop!$B:$B,$E979,Prod_Prop!$H:$H,P$1,Prod_Prop!$I:$I,"Exacto"),Prod_Prop!$A:$A,Prod_Prop!$J:$J,"",0,1))</f>
        <v/>
      </c>
      <c r="Q979" s="4" t="str">
        <f t="array" ref="Q979">IF($E979="","", XLOOKUP(SUMIFS(Prod_Prop!$A:$A,Prod_Prop!$B:$B,$E979,Prod_Prop!$H:$H,Q$1,Prod_Prop!$I:$I,"Exacto"),Prod_Prop!$A:$A,Prod_Prop!$J:$J,"",0,1))</f>
        <v/>
      </c>
      <c r="R979" s="4" t="str">
        <f t="array" ref="R979">IF($E979="","", XLOOKUP(SUMIFS(Prod_Prop!$A:$A,Prod_Prop!$B:$B,$E979,Prod_Prop!$H:$H,R$1,Prod_Prop!$I:$I,"Exacto"),Prod_Prop!$A:$A,Prod_Prop!$J:$J,"",0,1))</f>
        <v/>
      </c>
      <c r="S979" s="4" t="str">
        <f t="array" ref="S979">IF($E979="","", XLOOKUP(SUMIFS(Prod_Prop!$A:$A,Prod_Prop!$B:$B,$E979,Prod_Prop!$H:$H,S$1,Prod_Prop!$I:$I,"Exacto"),Prod_Prop!$A:$A,Prod_Prop!$J:$J,"",0,1))</f>
        <v/>
      </c>
      <c r="T979" s="4" t="str">
        <f t="array" ref="T979">IF($E979="","", XLOOKUP(SUMIFS(Prod_Prop!$A:$A,Prod_Prop!$B:$B,$E979,Prod_Prop!$H:$H,T$1,Prod_Prop!$I:$I,"Exacto"),Prod_Prop!$A:$A,Prod_Prop!$J:$J,"",0,1))</f>
        <v/>
      </c>
      <c r="U979" s="4" t="str">
        <f t="array" ref="U979">IF($E979="","", XLOOKUP(SUMIFS(Prod_Prop!$A:$A,Prod_Prop!$B:$B,$E979,Prod_Prop!$H:$H,U$1,Prod_Prop!$I:$I,"Exacto"),Prod_Prop!$A:$A,Prod_Prop!$J:$J,"",0,1))</f>
        <v/>
      </c>
      <c r="V979" s="4" t="str">
        <f t="array" ref="V979">IF($E979="","", XLOOKUP(SUMIFS(Prod_Prop!$A:$A,Prod_Prop!$B:$B,$E979,Prod_Prop!$H:$H,V$1,Prod_Prop!$I:$I,"Exacto"),Prod_Prop!$A:$A,Prod_Prop!$J:$J,"",0,1))</f>
        <v/>
      </c>
      <c r="X979" s="3" t="str">
        <f>IFERROR(__xludf.DUMMYFUNCTION("IF(D979="""","""",IFERROR(TRANSPOSE(FILTER('Validaciones Cotizador'!U:U,'Validaciones Cotizador'!O:O=D979,'Validaciones Cotizador'!T:T=""x"")),""Finalizar""))"),"")</f>
        <v/>
      </c>
    </row>
    <row r="980">
      <c r="A980" s="2" t="str">
        <f t="array" ref="A980">IF(E980="","",XLOOKUP(D980,'Validaciones Cotizador'!C:C,'Validaciones Cotizador'!A:A,"",0,1))</f>
        <v/>
      </c>
      <c r="B980" s="2" t="str">
        <f t="array" ref="B980">IF(F980="","",XLOOKUP(F980,Productos!E:E,Productos!G:G,"",0,1))</f>
        <v/>
      </c>
      <c r="C980" s="2" t="str">
        <f>IF(A980="","",SUMIFS('Validaciones Cotizador'!B:B,'Validaciones Cotizador'!C:C,D980,'Validaciones Cotizador'!A:A,A980))</f>
        <v/>
      </c>
      <c r="D980" s="4" t="str">
        <f>IFERROR(__xludf.DUMMYFUNCTION("IF(OR(F979=""Finalizar"",F979="""",F979=""Selecciona..""),"""",IF(OR(F979=""-"",INDEX(filter(Familias!F:F,Familias!D:D=A979,Familias!E:E=C979),1)=""O""),D979+1,D979))"),"")</f>
        <v/>
      </c>
      <c r="E980" s="2" t="str">
        <f>IF(OR(F980="",F980="Selecciona.."),"",IF(D980="Implemento",SUMIF(Implementos!B:B,F980,Implementos!A:A),SUMIF(Productos!E:E,F980,Productos!A:A)))</f>
        <v/>
      </c>
      <c r="F980" s="2" t="str">
        <f t="shared" si="2"/>
        <v/>
      </c>
      <c r="G980" s="10" t="str">
        <f t="array" ref="G980">IF(OR(F980="",F980="-",F980="Selecciona..",F980="Finalizar"),"",IF(A980="Rodados",XLOOKUP(B980,'Validaciones Cotizador'!I:I,'Validaciones Cotizador'!J:J,0,0,1),1))</f>
        <v/>
      </c>
      <c r="H980" s="11" t="str">
        <f>IF(OR(F980="",F980="Selecciona.."),"",SUMIF(Precio_Productos!K:K,E980,Precio_Productos!J:J)*G980)</f>
        <v/>
      </c>
      <c r="I980" s="4" t="str">
        <f t="array" ref="I980">IF($E980="","", XLOOKUP(SUMIFS(Prod_Prop!$A:$A,Prod_Prop!$B:$B,$E980,Prod_Prop!$H:$H,I$1,Prod_Prop!$I:$I,"Exacto"),Prod_Prop!$A:$A,Prod_Prop!$J:$J,"",0,1))</f>
        <v/>
      </c>
      <c r="J980" s="4" t="str">
        <f t="array" ref="J980">IF($E980="","", XLOOKUP(SUMIFS(Prod_Prop!$A:$A,Prod_Prop!$B:$B,$E980,Prod_Prop!$H:$H,J$1,Prod_Prop!$I:$I,"Exacto"),Prod_Prop!$A:$A,Prod_Prop!$J:$J,"",0,1))</f>
        <v/>
      </c>
      <c r="K980" s="4" t="str">
        <f t="array" ref="K980">IF($E980="","", XLOOKUP(SUMIFS(Prod_Prop!$A:$A,Prod_Prop!$B:$B,$E980,Prod_Prop!$H:$H,K$1,Prod_Prop!$I:$I,"Exacto"),Prod_Prop!$A:$A,Prod_Prop!$J:$J,"",0,1))</f>
        <v/>
      </c>
      <c r="L980" s="4" t="str">
        <f t="array" ref="L980">IF($E980="","", XLOOKUP(SUMIFS(Prod_Prop!$A:$A,Prod_Prop!$B:$B,$E980,Prod_Prop!$H:$H,L$1,Prod_Prop!$I:$I,"Exacto"),Prod_Prop!$A:$A,Prod_Prop!$J:$J,"",0,1))</f>
        <v/>
      </c>
      <c r="M980" s="4" t="str">
        <f t="array" ref="M980">IF($E980="","", XLOOKUP(SUMIFS(Prod_Prop!$A:$A,Prod_Prop!$B:$B,$E980,Prod_Prop!$H:$H,M$1,Prod_Prop!$I:$I,"Exacto"),Prod_Prop!$A:$A,Prod_Prop!$J:$J,"",0,1))</f>
        <v/>
      </c>
      <c r="N980" s="4" t="str">
        <f t="array" ref="N980">IF($E980="","", XLOOKUP(SUMIFS(Prod_Prop!$A:$A,Prod_Prop!$B:$B,$E980,Prod_Prop!$H:$H,N$1,Prod_Prop!$I:$I,"Exacto"),Prod_Prop!$A:$A,Prod_Prop!$J:$J,"",0,1))</f>
        <v/>
      </c>
      <c r="O980" s="4" t="str">
        <f t="array" ref="O980">IF($E980="","", XLOOKUP(SUMIFS(Prod_Prop!$A:$A,Prod_Prop!$B:$B,$E980,Prod_Prop!$H:$H,O$1,Prod_Prop!$I:$I,"Exacto"),Prod_Prop!$A:$A,Prod_Prop!$J:$J,"",0,1))</f>
        <v/>
      </c>
      <c r="P980" s="4" t="str">
        <f t="array" ref="P980">IF($E980="","", XLOOKUP(SUMIFS(Prod_Prop!$A:$A,Prod_Prop!$B:$B,$E980,Prod_Prop!$H:$H,P$1,Prod_Prop!$I:$I,"Exacto"),Prod_Prop!$A:$A,Prod_Prop!$J:$J,"",0,1))</f>
        <v/>
      </c>
      <c r="Q980" s="4" t="str">
        <f t="array" ref="Q980">IF($E980="","", XLOOKUP(SUMIFS(Prod_Prop!$A:$A,Prod_Prop!$B:$B,$E980,Prod_Prop!$H:$H,Q$1,Prod_Prop!$I:$I,"Exacto"),Prod_Prop!$A:$A,Prod_Prop!$J:$J,"",0,1))</f>
        <v/>
      </c>
      <c r="R980" s="4" t="str">
        <f t="array" ref="R980">IF($E980="","", XLOOKUP(SUMIFS(Prod_Prop!$A:$A,Prod_Prop!$B:$B,$E980,Prod_Prop!$H:$H,R$1,Prod_Prop!$I:$I,"Exacto"),Prod_Prop!$A:$A,Prod_Prop!$J:$J,"",0,1))</f>
        <v/>
      </c>
      <c r="S980" s="4" t="str">
        <f t="array" ref="S980">IF($E980="","", XLOOKUP(SUMIFS(Prod_Prop!$A:$A,Prod_Prop!$B:$B,$E980,Prod_Prop!$H:$H,S$1,Prod_Prop!$I:$I,"Exacto"),Prod_Prop!$A:$A,Prod_Prop!$J:$J,"",0,1))</f>
        <v/>
      </c>
      <c r="T980" s="4" t="str">
        <f t="array" ref="T980">IF($E980="","", XLOOKUP(SUMIFS(Prod_Prop!$A:$A,Prod_Prop!$B:$B,$E980,Prod_Prop!$H:$H,T$1,Prod_Prop!$I:$I,"Exacto"),Prod_Prop!$A:$A,Prod_Prop!$J:$J,"",0,1))</f>
        <v/>
      </c>
      <c r="U980" s="4" t="str">
        <f t="array" ref="U980">IF($E980="","", XLOOKUP(SUMIFS(Prod_Prop!$A:$A,Prod_Prop!$B:$B,$E980,Prod_Prop!$H:$H,U$1,Prod_Prop!$I:$I,"Exacto"),Prod_Prop!$A:$A,Prod_Prop!$J:$J,"",0,1))</f>
        <v/>
      </c>
      <c r="V980" s="4" t="str">
        <f t="array" ref="V980">IF($E980="","", XLOOKUP(SUMIFS(Prod_Prop!$A:$A,Prod_Prop!$B:$B,$E980,Prod_Prop!$H:$H,V$1,Prod_Prop!$I:$I,"Exacto"),Prod_Prop!$A:$A,Prod_Prop!$J:$J,"",0,1))</f>
        <v/>
      </c>
      <c r="X980" s="3" t="str">
        <f>IFERROR(__xludf.DUMMYFUNCTION("IF(D980="""","""",IFERROR(TRANSPOSE(FILTER('Validaciones Cotizador'!U:U,'Validaciones Cotizador'!O:O=D980,'Validaciones Cotizador'!T:T=""x"")),""Finalizar""))"),"")</f>
        <v/>
      </c>
    </row>
    <row r="981">
      <c r="A981" s="2" t="str">
        <f t="array" ref="A981">IF(E981="","",XLOOKUP(D981,'Validaciones Cotizador'!C:C,'Validaciones Cotizador'!A:A,"",0,1))</f>
        <v/>
      </c>
      <c r="B981" s="2" t="str">
        <f t="array" ref="B981">IF(F981="","",XLOOKUP(F981,Productos!E:E,Productos!G:G,"",0,1))</f>
        <v/>
      </c>
      <c r="C981" s="2" t="str">
        <f>IF(A981="","",SUMIFS('Validaciones Cotizador'!B:B,'Validaciones Cotizador'!C:C,D981,'Validaciones Cotizador'!A:A,A981))</f>
        <v/>
      </c>
      <c r="D981" s="4" t="str">
        <f>IFERROR(__xludf.DUMMYFUNCTION("IF(OR(F980=""Finalizar"",F980="""",F980=""Selecciona..""),"""",IF(OR(F980=""-"",INDEX(filter(Familias!F:F,Familias!D:D=A980,Familias!E:E=C980),1)=""O""),D980+1,D980))"),"")</f>
        <v/>
      </c>
      <c r="E981" s="2" t="str">
        <f>IF(OR(F981="",F981="Selecciona.."),"",IF(D981="Implemento",SUMIF(Implementos!B:B,F981,Implementos!A:A),SUMIF(Productos!E:E,F981,Productos!A:A)))</f>
        <v/>
      </c>
      <c r="F981" s="2" t="str">
        <f t="shared" si="2"/>
        <v/>
      </c>
      <c r="G981" s="10" t="str">
        <f t="array" ref="G981">IF(OR(F981="",F981="-",F981="Selecciona..",F981="Finalizar"),"",IF(A981="Rodados",XLOOKUP(B981,'Validaciones Cotizador'!I:I,'Validaciones Cotizador'!J:J,0,0,1),1))</f>
        <v/>
      </c>
      <c r="H981" s="11" t="str">
        <f>IF(OR(F981="",F981="Selecciona.."),"",SUMIF(Precio_Productos!K:K,E981,Precio_Productos!J:J)*G981)</f>
        <v/>
      </c>
      <c r="I981" s="4" t="str">
        <f t="array" ref="I981">IF($E981="","", XLOOKUP(SUMIFS(Prod_Prop!$A:$A,Prod_Prop!$B:$B,$E981,Prod_Prop!$H:$H,I$1,Prod_Prop!$I:$I,"Exacto"),Prod_Prop!$A:$A,Prod_Prop!$J:$J,"",0,1))</f>
        <v/>
      </c>
      <c r="J981" s="4" t="str">
        <f t="array" ref="J981">IF($E981="","", XLOOKUP(SUMIFS(Prod_Prop!$A:$A,Prod_Prop!$B:$B,$E981,Prod_Prop!$H:$H,J$1,Prod_Prop!$I:$I,"Exacto"),Prod_Prop!$A:$A,Prod_Prop!$J:$J,"",0,1))</f>
        <v/>
      </c>
      <c r="K981" s="4" t="str">
        <f t="array" ref="K981">IF($E981="","", XLOOKUP(SUMIFS(Prod_Prop!$A:$A,Prod_Prop!$B:$B,$E981,Prod_Prop!$H:$H,K$1,Prod_Prop!$I:$I,"Exacto"),Prod_Prop!$A:$A,Prod_Prop!$J:$J,"",0,1))</f>
        <v/>
      </c>
      <c r="L981" s="4" t="str">
        <f t="array" ref="L981">IF($E981="","", XLOOKUP(SUMIFS(Prod_Prop!$A:$A,Prod_Prop!$B:$B,$E981,Prod_Prop!$H:$H,L$1,Prod_Prop!$I:$I,"Exacto"),Prod_Prop!$A:$A,Prod_Prop!$J:$J,"",0,1))</f>
        <v/>
      </c>
      <c r="M981" s="4" t="str">
        <f t="array" ref="M981">IF($E981="","", XLOOKUP(SUMIFS(Prod_Prop!$A:$A,Prod_Prop!$B:$B,$E981,Prod_Prop!$H:$H,M$1,Prod_Prop!$I:$I,"Exacto"),Prod_Prop!$A:$A,Prod_Prop!$J:$J,"",0,1))</f>
        <v/>
      </c>
      <c r="N981" s="4" t="str">
        <f t="array" ref="N981">IF($E981="","", XLOOKUP(SUMIFS(Prod_Prop!$A:$A,Prod_Prop!$B:$B,$E981,Prod_Prop!$H:$H,N$1,Prod_Prop!$I:$I,"Exacto"),Prod_Prop!$A:$A,Prod_Prop!$J:$J,"",0,1))</f>
        <v/>
      </c>
      <c r="O981" s="4" t="str">
        <f t="array" ref="O981">IF($E981="","", XLOOKUP(SUMIFS(Prod_Prop!$A:$A,Prod_Prop!$B:$B,$E981,Prod_Prop!$H:$H,O$1,Prod_Prop!$I:$I,"Exacto"),Prod_Prop!$A:$A,Prod_Prop!$J:$J,"",0,1))</f>
        <v/>
      </c>
      <c r="P981" s="4" t="str">
        <f t="array" ref="P981">IF($E981="","", XLOOKUP(SUMIFS(Prod_Prop!$A:$A,Prod_Prop!$B:$B,$E981,Prod_Prop!$H:$H,P$1,Prod_Prop!$I:$I,"Exacto"),Prod_Prop!$A:$A,Prod_Prop!$J:$J,"",0,1))</f>
        <v/>
      </c>
      <c r="Q981" s="4" t="str">
        <f t="array" ref="Q981">IF($E981="","", XLOOKUP(SUMIFS(Prod_Prop!$A:$A,Prod_Prop!$B:$B,$E981,Prod_Prop!$H:$H,Q$1,Prod_Prop!$I:$I,"Exacto"),Prod_Prop!$A:$A,Prod_Prop!$J:$J,"",0,1))</f>
        <v/>
      </c>
      <c r="R981" s="4" t="str">
        <f t="array" ref="R981">IF($E981="","", XLOOKUP(SUMIFS(Prod_Prop!$A:$A,Prod_Prop!$B:$B,$E981,Prod_Prop!$H:$H,R$1,Prod_Prop!$I:$I,"Exacto"),Prod_Prop!$A:$A,Prod_Prop!$J:$J,"",0,1))</f>
        <v/>
      </c>
      <c r="S981" s="4" t="str">
        <f t="array" ref="S981">IF($E981="","", XLOOKUP(SUMIFS(Prod_Prop!$A:$A,Prod_Prop!$B:$B,$E981,Prod_Prop!$H:$H,S$1,Prod_Prop!$I:$I,"Exacto"),Prod_Prop!$A:$A,Prod_Prop!$J:$J,"",0,1))</f>
        <v/>
      </c>
      <c r="T981" s="4" t="str">
        <f t="array" ref="T981">IF($E981="","", XLOOKUP(SUMIFS(Prod_Prop!$A:$A,Prod_Prop!$B:$B,$E981,Prod_Prop!$H:$H,T$1,Prod_Prop!$I:$I,"Exacto"),Prod_Prop!$A:$A,Prod_Prop!$J:$J,"",0,1))</f>
        <v/>
      </c>
      <c r="U981" s="4" t="str">
        <f t="array" ref="U981">IF($E981="","", XLOOKUP(SUMIFS(Prod_Prop!$A:$A,Prod_Prop!$B:$B,$E981,Prod_Prop!$H:$H,U$1,Prod_Prop!$I:$I,"Exacto"),Prod_Prop!$A:$A,Prod_Prop!$J:$J,"",0,1))</f>
        <v/>
      </c>
      <c r="V981" s="4" t="str">
        <f t="array" ref="V981">IF($E981="","", XLOOKUP(SUMIFS(Prod_Prop!$A:$A,Prod_Prop!$B:$B,$E981,Prod_Prop!$H:$H,V$1,Prod_Prop!$I:$I,"Exacto"),Prod_Prop!$A:$A,Prod_Prop!$J:$J,"",0,1))</f>
        <v/>
      </c>
      <c r="X981" s="3" t="str">
        <f>IFERROR(__xludf.DUMMYFUNCTION("IF(D981="""","""",IFERROR(TRANSPOSE(FILTER('Validaciones Cotizador'!U:U,'Validaciones Cotizador'!O:O=D981,'Validaciones Cotizador'!T:T=""x"")),""Finalizar""))"),"")</f>
        <v/>
      </c>
    </row>
    <row r="982">
      <c r="A982" s="2" t="str">
        <f t="array" ref="A982">IF(E982="","",XLOOKUP(D982,'Validaciones Cotizador'!C:C,'Validaciones Cotizador'!A:A,"",0,1))</f>
        <v/>
      </c>
      <c r="B982" s="2" t="str">
        <f t="array" ref="B982">IF(F982="","",XLOOKUP(F982,Productos!E:E,Productos!G:G,"",0,1))</f>
        <v/>
      </c>
      <c r="C982" s="2" t="str">
        <f>IF(A982="","",SUMIFS('Validaciones Cotizador'!B:B,'Validaciones Cotizador'!C:C,D982,'Validaciones Cotizador'!A:A,A982))</f>
        <v/>
      </c>
      <c r="D982" s="4" t="str">
        <f>IFERROR(__xludf.DUMMYFUNCTION("IF(OR(F981=""Finalizar"",F981="""",F981=""Selecciona..""),"""",IF(OR(F981=""-"",INDEX(filter(Familias!F:F,Familias!D:D=A981,Familias!E:E=C981),1)=""O""),D981+1,D981))"),"")</f>
        <v/>
      </c>
      <c r="E982" s="2" t="str">
        <f>IF(OR(F982="",F982="Selecciona.."),"",IF(D982="Implemento",SUMIF(Implementos!B:B,F982,Implementos!A:A),SUMIF(Productos!E:E,F982,Productos!A:A)))</f>
        <v/>
      </c>
      <c r="F982" s="2" t="str">
        <f t="shared" si="2"/>
        <v/>
      </c>
      <c r="G982" s="10" t="str">
        <f t="array" ref="G982">IF(OR(F982="",F982="-",F982="Selecciona..",F982="Finalizar"),"",IF(A982="Rodados",XLOOKUP(B982,'Validaciones Cotizador'!I:I,'Validaciones Cotizador'!J:J,0,0,1),1))</f>
        <v/>
      </c>
      <c r="H982" s="11" t="str">
        <f>IF(OR(F982="",F982="Selecciona.."),"",SUMIF(Precio_Productos!K:K,E982,Precio_Productos!J:J)*G982)</f>
        <v/>
      </c>
      <c r="I982" s="4" t="str">
        <f t="array" ref="I982">IF($E982="","", XLOOKUP(SUMIFS(Prod_Prop!$A:$A,Prod_Prop!$B:$B,$E982,Prod_Prop!$H:$H,I$1,Prod_Prop!$I:$I,"Exacto"),Prod_Prop!$A:$A,Prod_Prop!$J:$J,"",0,1))</f>
        <v/>
      </c>
      <c r="J982" s="4" t="str">
        <f t="array" ref="J982">IF($E982="","", XLOOKUP(SUMIFS(Prod_Prop!$A:$A,Prod_Prop!$B:$B,$E982,Prod_Prop!$H:$H,J$1,Prod_Prop!$I:$I,"Exacto"),Prod_Prop!$A:$A,Prod_Prop!$J:$J,"",0,1))</f>
        <v/>
      </c>
      <c r="K982" s="4" t="str">
        <f t="array" ref="K982">IF($E982="","", XLOOKUP(SUMIFS(Prod_Prop!$A:$A,Prod_Prop!$B:$B,$E982,Prod_Prop!$H:$H,K$1,Prod_Prop!$I:$I,"Exacto"),Prod_Prop!$A:$A,Prod_Prop!$J:$J,"",0,1))</f>
        <v/>
      </c>
      <c r="L982" s="4" t="str">
        <f t="array" ref="L982">IF($E982="","", XLOOKUP(SUMIFS(Prod_Prop!$A:$A,Prod_Prop!$B:$B,$E982,Prod_Prop!$H:$H,L$1,Prod_Prop!$I:$I,"Exacto"),Prod_Prop!$A:$A,Prod_Prop!$J:$J,"",0,1))</f>
        <v/>
      </c>
      <c r="M982" s="4" t="str">
        <f t="array" ref="M982">IF($E982="","", XLOOKUP(SUMIFS(Prod_Prop!$A:$A,Prod_Prop!$B:$B,$E982,Prod_Prop!$H:$H,M$1,Prod_Prop!$I:$I,"Exacto"),Prod_Prop!$A:$A,Prod_Prop!$J:$J,"",0,1))</f>
        <v/>
      </c>
      <c r="N982" s="4" t="str">
        <f t="array" ref="N982">IF($E982="","", XLOOKUP(SUMIFS(Prod_Prop!$A:$A,Prod_Prop!$B:$B,$E982,Prod_Prop!$H:$H,N$1,Prod_Prop!$I:$I,"Exacto"),Prod_Prop!$A:$A,Prod_Prop!$J:$J,"",0,1))</f>
        <v/>
      </c>
      <c r="O982" s="4" t="str">
        <f t="array" ref="O982">IF($E982="","", XLOOKUP(SUMIFS(Prod_Prop!$A:$A,Prod_Prop!$B:$B,$E982,Prod_Prop!$H:$H,O$1,Prod_Prop!$I:$I,"Exacto"),Prod_Prop!$A:$A,Prod_Prop!$J:$J,"",0,1))</f>
        <v/>
      </c>
      <c r="P982" s="4" t="str">
        <f t="array" ref="P982">IF($E982="","", XLOOKUP(SUMIFS(Prod_Prop!$A:$A,Prod_Prop!$B:$B,$E982,Prod_Prop!$H:$H,P$1,Prod_Prop!$I:$I,"Exacto"),Prod_Prop!$A:$A,Prod_Prop!$J:$J,"",0,1))</f>
        <v/>
      </c>
      <c r="Q982" s="4" t="str">
        <f t="array" ref="Q982">IF($E982="","", XLOOKUP(SUMIFS(Prod_Prop!$A:$A,Prod_Prop!$B:$B,$E982,Prod_Prop!$H:$H,Q$1,Prod_Prop!$I:$I,"Exacto"),Prod_Prop!$A:$A,Prod_Prop!$J:$J,"",0,1))</f>
        <v/>
      </c>
      <c r="R982" s="4" t="str">
        <f t="array" ref="R982">IF($E982="","", XLOOKUP(SUMIFS(Prod_Prop!$A:$A,Prod_Prop!$B:$B,$E982,Prod_Prop!$H:$H,R$1,Prod_Prop!$I:$I,"Exacto"),Prod_Prop!$A:$A,Prod_Prop!$J:$J,"",0,1))</f>
        <v/>
      </c>
      <c r="S982" s="4" t="str">
        <f t="array" ref="S982">IF($E982="","", XLOOKUP(SUMIFS(Prod_Prop!$A:$A,Prod_Prop!$B:$B,$E982,Prod_Prop!$H:$H,S$1,Prod_Prop!$I:$I,"Exacto"),Prod_Prop!$A:$A,Prod_Prop!$J:$J,"",0,1))</f>
        <v/>
      </c>
      <c r="T982" s="4" t="str">
        <f t="array" ref="T982">IF($E982="","", XLOOKUP(SUMIFS(Prod_Prop!$A:$A,Prod_Prop!$B:$B,$E982,Prod_Prop!$H:$H,T$1,Prod_Prop!$I:$I,"Exacto"),Prod_Prop!$A:$A,Prod_Prop!$J:$J,"",0,1))</f>
        <v/>
      </c>
      <c r="U982" s="4" t="str">
        <f t="array" ref="U982">IF($E982="","", XLOOKUP(SUMIFS(Prod_Prop!$A:$A,Prod_Prop!$B:$B,$E982,Prod_Prop!$H:$H,U$1,Prod_Prop!$I:$I,"Exacto"),Prod_Prop!$A:$A,Prod_Prop!$J:$J,"",0,1))</f>
        <v/>
      </c>
      <c r="V982" s="4" t="str">
        <f t="array" ref="V982">IF($E982="","", XLOOKUP(SUMIFS(Prod_Prop!$A:$A,Prod_Prop!$B:$B,$E982,Prod_Prop!$H:$H,V$1,Prod_Prop!$I:$I,"Exacto"),Prod_Prop!$A:$A,Prod_Prop!$J:$J,"",0,1))</f>
        <v/>
      </c>
      <c r="X982" s="3" t="str">
        <f>IFERROR(__xludf.DUMMYFUNCTION("IF(D982="""","""",IFERROR(TRANSPOSE(FILTER('Validaciones Cotizador'!U:U,'Validaciones Cotizador'!O:O=D982,'Validaciones Cotizador'!T:T=""x"")),""Finalizar""))"),"")</f>
        <v/>
      </c>
    </row>
    <row r="983">
      <c r="A983" s="2" t="str">
        <f t="array" ref="A983">IF(E983="","",XLOOKUP(D983,'Validaciones Cotizador'!C:C,'Validaciones Cotizador'!A:A,"",0,1))</f>
        <v/>
      </c>
      <c r="B983" s="2" t="str">
        <f t="array" ref="B983">IF(F983="","",XLOOKUP(F983,Productos!E:E,Productos!G:G,"",0,1))</f>
        <v/>
      </c>
      <c r="C983" s="2" t="str">
        <f>IF(A983="","",SUMIFS('Validaciones Cotizador'!B:B,'Validaciones Cotizador'!C:C,D983,'Validaciones Cotizador'!A:A,A983))</f>
        <v/>
      </c>
      <c r="D983" s="4" t="str">
        <f>IFERROR(__xludf.DUMMYFUNCTION("IF(OR(F982=""Finalizar"",F982="""",F982=""Selecciona..""),"""",IF(OR(F982=""-"",INDEX(filter(Familias!F:F,Familias!D:D=A982,Familias!E:E=C982),1)=""O""),D982+1,D982))"),"")</f>
        <v/>
      </c>
      <c r="E983" s="2" t="str">
        <f>IF(OR(F983="",F983="Selecciona.."),"",IF(D983="Implemento",SUMIF(Implementos!B:B,F983,Implementos!A:A),SUMIF(Productos!E:E,F983,Productos!A:A)))</f>
        <v/>
      </c>
      <c r="F983" s="2" t="str">
        <f t="shared" si="2"/>
        <v/>
      </c>
      <c r="G983" s="10" t="str">
        <f t="array" ref="G983">IF(OR(F983="",F983="-",F983="Selecciona..",F983="Finalizar"),"",IF(A983="Rodados",XLOOKUP(B983,'Validaciones Cotizador'!I:I,'Validaciones Cotizador'!J:J,0,0,1),1))</f>
        <v/>
      </c>
      <c r="H983" s="11" t="str">
        <f>IF(OR(F983="",F983="Selecciona.."),"",SUMIF(Precio_Productos!K:K,E983,Precio_Productos!J:J)*G983)</f>
        <v/>
      </c>
      <c r="I983" s="4" t="str">
        <f t="array" ref="I983">IF($E983="","", XLOOKUP(SUMIFS(Prod_Prop!$A:$A,Prod_Prop!$B:$B,$E983,Prod_Prop!$H:$H,I$1,Prod_Prop!$I:$I,"Exacto"),Prod_Prop!$A:$A,Prod_Prop!$J:$J,"",0,1))</f>
        <v/>
      </c>
      <c r="J983" s="4" t="str">
        <f t="array" ref="J983">IF($E983="","", XLOOKUP(SUMIFS(Prod_Prop!$A:$A,Prod_Prop!$B:$B,$E983,Prod_Prop!$H:$H,J$1,Prod_Prop!$I:$I,"Exacto"),Prod_Prop!$A:$A,Prod_Prop!$J:$J,"",0,1))</f>
        <v/>
      </c>
      <c r="K983" s="4" t="str">
        <f t="array" ref="K983">IF($E983="","", XLOOKUP(SUMIFS(Prod_Prop!$A:$A,Prod_Prop!$B:$B,$E983,Prod_Prop!$H:$H,K$1,Prod_Prop!$I:$I,"Exacto"),Prod_Prop!$A:$A,Prod_Prop!$J:$J,"",0,1))</f>
        <v/>
      </c>
      <c r="L983" s="4" t="str">
        <f t="array" ref="L983">IF($E983="","", XLOOKUP(SUMIFS(Prod_Prop!$A:$A,Prod_Prop!$B:$B,$E983,Prod_Prop!$H:$H,L$1,Prod_Prop!$I:$I,"Exacto"),Prod_Prop!$A:$A,Prod_Prop!$J:$J,"",0,1))</f>
        <v/>
      </c>
      <c r="M983" s="4" t="str">
        <f t="array" ref="M983">IF($E983="","", XLOOKUP(SUMIFS(Prod_Prop!$A:$A,Prod_Prop!$B:$B,$E983,Prod_Prop!$H:$H,M$1,Prod_Prop!$I:$I,"Exacto"),Prod_Prop!$A:$A,Prod_Prop!$J:$J,"",0,1))</f>
        <v/>
      </c>
      <c r="N983" s="4" t="str">
        <f t="array" ref="N983">IF($E983="","", XLOOKUP(SUMIFS(Prod_Prop!$A:$A,Prod_Prop!$B:$B,$E983,Prod_Prop!$H:$H,N$1,Prod_Prop!$I:$I,"Exacto"),Prod_Prop!$A:$A,Prod_Prop!$J:$J,"",0,1))</f>
        <v/>
      </c>
      <c r="O983" s="4" t="str">
        <f t="array" ref="O983">IF($E983="","", XLOOKUP(SUMIFS(Prod_Prop!$A:$A,Prod_Prop!$B:$B,$E983,Prod_Prop!$H:$H,O$1,Prod_Prop!$I:$I,"Exacto"),Prod_Prop!$A:$A,Prod_Prop!$J:$J,"",0,1))</f>
        <v/>
      </c>
      <c r="P983" s="4" t="str">
        <f t="array" ref="P983">IF($E983="","", XLOOKUP(SUMIFS(Prod_Prop!$A:$A,Prod_Prop!$B:$B,$E983,Prod_Prop!$H:$H,P$1,Prod_Prop!$I:$I,"Exacto"),Prod_Prop!$A:$A,Prod_Prop!$J:$J,"",0,1))</f>
        <v/>
      </c>
      <c r="Q983" s="4" t="str">
        <f t="array" ref="Q983">IF($E983="","", XLOOKUP(SUMIFS(Prod_Prop!$A:$A,Prod_Prop!$B:$B,$E983,Prod_Prop!$H:$H,Q$1,Prod_Prop!$I:$I,"Exacto"),Prod_Prop!$A:$A,Prod_Prop!$J:$J,"",0,1))</f>
        <v/>
      </c>
      <c r="R983" s="4" t="str">
        <f t="array" ref="R983">IF($E983="","", XLOOKUP(SUMIFS(Prod_Prop!$A:$A,Prod_Prop!$B:$B,$E983,Prod_Prop!$H:$H,R$1,Prod_Prop!$I:$I,"Exacto"),Prod_Prop!$A:$A,Prod_Prop!$J:$J,"",0,1))</f>
        <v/>
      </c>
      <c r="S983" s="4" t="str">
        <f t="array" ref="S983">IF($E983="","", XLOOKUP(SUMIFS(Prod_Prop!$A:$A,Prod_Prop!$B:$B,$E983,Prod_Prop!$H:$H,S$1,Prod_Prop!$I:$I,"Exacto"),Prod_Prop!$A:$A,Prod_Prop!$J:$J,"",0,1))</f>
        <v/>
      </c>
      <c r="T983" s="4" t="str">
        <f t="array" ref="T983">IF($E983="","", XLOOKUP(SUMIFS(Prod_Prop!$A:$A,Prod_Prop!$B:$B,$E983,Prod_Prop!$H:$H,T$1,Prod_Prop!$I:$I,"Exacto"),Prod_Prop!$A:$A,Prod_Prop!$J:$J,"",0,1))</f>
        <v/>
      </c>
      <c r="U983" s="4" t="str">
        <f t="array" ref="U983">IF($E983="","", XLOOKUP(SUMIFS(Prod_Prop!$A:$A,Prod_Prop!$B:$B,$E983,Prod_Prop!$H:$H,U$1,Prod_Prop!$I:$I,"Exacto"),Prod_Prop!$A:$A,Prod_Prop!$J:$J,"",0,1))</f>
        <v/>
      </c>
      <c r="V983" s="4" t="str">
        <f t="array" ref="V983">IF($E983="","", XLOOKUP(SUMIFS(Prod_Prop!$A:$A,Prod_Prop!$B:$B,$E983,Prod_Prop!$H:$H,V$1,Prod_Prop!$I:$I,"Exacto"),Prod_Prop!$A:$A,Prod_Prop!$J:$J,"",0,1))</f>
        <v/>
      </c>
      <c r="X983" s="3" t="str">
        <f>IFERROR(__xludf.DUMMYFUNCTION("IF(D983="""","""",IFERROR(TRANSPOSE(FILTER('Validaciones Cotizador'!U:U,'Validaciones Cotizador'!O:O=D983,'Validaciones Cotizador'!T:T=""x"")),""Finalizar""))"),"")</f>
        <v/>
      </c>
    </row>
    <row r="984">
      <c r="A984" s="2" t="str">
        <f t="array" ref="A984">IF(E984="","",XLOOKUP(D984,'Validaciones Cotizador'!C:C,'Validaciones Cotizador'!A:A,"",0,1))</f>
        <v/>
      </c>
      <c r="B984" s="2" t="str">
        <f t="array" ref="B984">IF(F984="","",XLOOKUP(F984,Productos!E:E,Productos!G:G,"",0,1))</f>
        <v/>
      </c>
      <c r="C984" s="2" t="str">
        <f>IF(A984="","",SUMIFS('Validaciones Cotizador'!B:B,'Validaciones Cotizador'!C:C,D984,'Validaciones Cotizador'!A:A,A984))</f>
        <v/>
      </c>
      <c r="D984" s="4" t="str">
        <f>IFERROR(__xludf.DUMMYFUNCTION("IF(OR(F983=""Finalizar"",F983="""",F983=""Selecciona..""),"""",IF(OR(F983=""-"",INDEX(filter(Familias!F:F,Familias!D:D=A983,Familias!E:E=C983),1)=""O""),D983+1,D983))"),"")</f>
        <v/>
      </c>
      <c r="E984" s="2" t="str">
        <f>IF(OR(F984="",F984="Selecciona.."),"",IF(D984="Implemento",SUMIF(Implementos!B:B,F984,Implementos!A:A),SUMIF(Productos!E:E,F984,Productos!A:A)))</f>
        <v/>
      </c>
      <c r="F984" s="2" t="str">
        <f t="shared" si="2"/>
        <v/>
      </c>
      <c r="G984" s="10" t="str">
        <f t="array" ref="G984">IF(OR(F984="",F984="-",F984="Selecciona..",F984="Finalizar"),"",IF(A984="Rodados",XLOOKUP(B984,'Validaciones Cotizador'!I:I,'Validaciones Cotizador'!J:J,0,0,1),1))</f>
        <v/>
      </c>
      <c r="H984" s="11" t="str">
        <f>IF(OR(F984="",F984="Selecciona.."),"",SUMIF(Precio_Productos!K:K,E984,Precio_Productos!J:J)*G984)</f>
        <v/>
      </c>
      <c r="I984" s="4" t="str">
        <f t="array" ref="I984">IF($E984="","", XLOOKUP(SUMIFS(Prod_Prop!$A:$A,Prod_Prop!$B:$B,$E984,Prod_Prop!$H:$H,I$1,Prod_Prop!$I:$I,"Exacto"),Prod_Prop!$A:$A,Prod_Prop!$J:$J,"",0,1))</f>
        <v/>
      </c>
      <c r="J984" s="4" t="str">
        <f t="array" ref="J984">IF($E984="","", XLOOKUP(SUMIFS(Prod_Prop!$A:$A,Prod_Prop!$B:$B,$E984,Prod_Prop!$H:$H,J$1,Prod_Prop!$I:$I,"Exacto"),Prod_Prop!$A:$A,Prod_Prop!$J:$J,"",0,1))</f>
        <v/>
      </c>
      <c r="K984" s="4" t="str">
        <f t="array" ref="K984">IF($E984="","", XLOOKUP(SUMIFS(Prod_Prop!$A:$A,Prod_Prop!$B:$B,$E984,Prod_Prop!$H:$H,K$1,Prod_Prop!$I:$I,"Exacto"),Prod_Prop!$A:$A,Prod_Prop!$J:$J,"",0,1))</f>
        <v/>
      </c>
      <c r="L984" s="4" t="str">
        <f t="array" ref="L984">IF($E984="","", XLOOKUP(SUMIFS(Prod_Prop!$A:$A,Prod_Prop!$B:$B,$E984,Prod_Prop!$H:$H,L$1,Prod_Prop!$I:$I,"Exacto"),Prod_Prop!$A:$A,Prod_Prop!$J:$J,"",0,1))</f>
        <v/>
      </c>
      <c r="M984" s="4" t="str">
        <f t="array" ref="M984">IF($E984="","", XLOOKUP(SUMIFS(Prod_Prop!$A:$A,Prod_Prop!$B:$B,$E984,Prod_Prop!$H:$H,M$1,Prod_Prop!$I:$I,"Exacto"),Prod_Prop!$A:$A,Prod_Prop!$J:$J,"",0,1))</f>
        <v/>
      </c>
      <c r="N984" s="4" t="str">
        <f t="array" ref="N984">IF($E984="","", XLOOKUP(SUMIFS(Prod_Prop!$A:$A,Prod_Prop!$B:$B,$E984,Prod_Prop!$H:$H,N$1,Prod_Prop!$I:$I,"Exacto"),Prod_Prop!$A:$A,Prod_Prop!$J:$J,"",0,1))</f>
        <v/>
      </c>
      <c r="O984" s="4" t="str">
        <f t="array" ref="O984">IF($E984="","", XLOOKUP(SUMIFS(Prod_Prop!$A:$A,Prod_Prop!$B:$B,$E984,Prod_Prop!$H:$H,O$1,Prod_Prop!$I:$I,"Exacto"),Prod_Prop!$A:$A,Prod_Prop!$J:$J,"",0,1))</f>
        <v/>
      </c>
      <c r="P984" s="4" t="str">
        <f t="array" ref="P984">IF($E984="","", XLOOKUP(SUMIFS(Prod_Prop!$A:$A,Prod_Prop!$B:$B,$E984,Prod_Prop!$H:$H,P$1,Prod_Prop!$I:$I,"Exacto"),Prod_Prop!$A:$A,Prod_Prop!$J:$J,"",0,1))</f>
        <v/>
      </c>
      <c r="Q984" s="4" t="str">
        <f t="array" ref="Q984">IF($E984="","", XLOOKUP(SUMIFS(Prod_Prop!$A:$A,Prod_Prop!$B:$B,$E984,Prod_Prop!$H:$H,Q$1,Prod_Prop!$I:$I,"Exacto"),Prod_Prop!$A:$A,Prod_Prop!$J:$J,"",0,1))</f>
        <v/>
      </c>
      <c r="R984" s="4" t="str">
        <f t="array" ref="R984">IF($E984="","", XLOOKUP(SUMIFS(Prod_Prop!$A:$A,Prod_Prop!$B:$B,$E984,Prod_Prop!$H:$H,R$1,Prod_Prop!$I:$I,"Exacto"),Prod_Prop!$A:$A,Prod_Prop!$J:$J,"",0,1))</f>
        <v/>
      </c>
      <c r="S984" s="4" t="str">
        <f t="array" ref="S984">IF($E984="","", XLOOKUP(SUMIFS(Prod_Prop!$A:$A,Prod_Prop!$B:$B,$E984,Prod_Prop!$H:$H,S$1,Prod_Prop!$I:$I,"Exacto"),Prod_Prop!$A:$A,Prod_Prop!$J:$J,"",0,1))</f>
        <v/>
      </c>
      <c r="T984" s="4" t="str">
        <f t="array" ref="T984">IF($E984="","", XLOOKUP(SUMIFS(Prod_Prop!$A:$A,Prod_Prop!$B:$B,$E984,Prod_Prop!$H:$H,T$1,Prod_Prop!$I:$I,"Exacto"),Prod_Prop!$A:$A,Prod_Prop!$J:$J,"",0,1))</f>
        <v/>
      </c>
      <c r="U984" s="4" t="str">
        <f t="array" ref="U984">IF($E984="","", XLOOKUP(SUMIFS(Prod_Prop!$A:$A,Prod_Prop!$B:$B,$E984,Prod_Prop!$H:$H,U$1,Prod_Prop!$I:$I,"Exacto"),Prod_Prop!$A:$A,Prod_Prop!$J:$J,"",0,1))</f>
        <v/>
      </c>
      <c r="V984" s="4" t="str">
        <f t="array" ref="V984">IF($E984="","", XLOOKUP(SUMIFS(Prod_Prop!$A:$A,Prod_Prop!$B:$B,$E984,Prod_Prop!$H:$H,V$1,Prod_Prop!$I:$I,"Exacto"),Prod_Prop!$A:$A,Prod_Prop!$J:$J,"",0,1))</f>
        <v/>
      </c>
      <c r="X984" s="3" t="str">
        <f>IFERROR(__xludf.DUMMYFUNCTION("IF(D984="""","""",IFERROR(TRANSPOSE(FILTER('Validaciones Cotizador'!U:U,'Validaciones Cotizador'!O:O=D984,'Validaciones Cotizador'!T:T=""x"")),""Finalizar""))"),"")</f>
        <v/>
      </c>
    </row>
    <row r="985">
      <c r="A985" s="2" t="str">
        <f t="array" ref="A985">IF(E985="","",XLOOKUP(D985,'Validaciones Cotizador'!C:C,'Validaciones Cotizador'!A:A,"",0,1))</f>
        <v/>
      </c>
      <c r="B985" s="2" t="str">
        <f t="array" ref="B985">IF(F985="","",XLOOKUP(F985,Productos!E:E,Productos!G:G,"",0,1))</f>
        <v/>
      </c>
      <c r="C985" s="2" t="str">
        <f>IF(A985="","",SUMIFS('Validaciones Cotizador'!B:B,'Validaciones Cotizador'!C:C,D985,'Validaciones Cotizador'!A:A,A985))</f>
        <v/>
      </c>
      <c r="D985" s="4" t="str">
        <f>IFERROR(__xludf.DUMMYFUNCTION("IF(OR(F984=""Finalizar"",F984="""",F984=""Selecciona..""),"""",IF(OR(F984=""-"",INDEX(filter(Familias!F:F,Familias!D:D=A984,Familias!E:E=C984),1)=""O""),D984+1,D984))"),"")</f>
        <v/>
      </c>
      <c r="E985" s="2" t="str">
        <f>IF(OR(F985="",F985="Selecciona.."),"",IF(D985="Implemento",SUMIF(Implementos!B:B,F985,Implementos!A:A),SUMIF(Productos!E:E,F985,Productos!A:A)))</f>
        <v/>
      </c>
      <c r="F985" s="2" t="str">
        <f t="shared" si="2"/>
        <v/>
      </c>
      <c r="G985" s="10" t="str">
        <f t="array" ref="G985">IF(OR(F985="",F985="-",F985="Selecciona..",F985="Finalizar"),"",IF(A985="Rodados",XLOOKUP(B985,'Validaciones Cotizador'!I:I,'Validaciones Cotizador'!J:J,0,0,1),1))</f>
        <v/>
      </c>
      <c r="H985" s="11" t="str">
        <f>IF(OR(F985="",F985="Selecciona.."),"",SUMIF(Precio_Productos!K:K,E985,Precio_Productos!J:J)*G985)</f>
        <v/>
      </c>
      <c r="I985" s="4" t="str">
        <f t="array" ref="I985">IF($E985="","", XLOOKUP(SUMIFS(Prod_Prop!$A:$A,Prod_Prop!$B:$B,$E985,Prod_Prop!$H:$H,I$1,Prod_Prop!$I:$I,"Exacto"),Prod_Prop!$A:$A,Prod_Prop!$J:$J,"",0,1))</f>
        <v/>
      </c>
      <c r="J985" s="4" t="str">
        <f t="array" ref="J985">IF($E985="","", XLOOKUP(SUMIFS(Prod_Prop!$A:$A,Prod_Prop!$B:$B,$E985,Prod_Prop!$H:$H,J$1,Prod_Prop!$I:$I,"Exacto"),Prod_Prop!$A:$A,Prod_Prop!$J:$J,"",0,1))</f>
        <v/>
      </c>
      <c r="K985" s="4" t="str">
        <f t="array" ref="K985">IF($E985="","", XLOOKUP(SUMIFS(Prod_Prop!$A:$A,Prod_Prop!$B:$B,$E985,Prod_Prop!$H:$H,K$1,Prod_Prop!$I:$I,"Exacto"),Prod_Prop!$A:$A,Prod_Prop!$J:$J,"",0,1))</f>
        <v/>
      </c>
      <c r="L985" s="4" t="str">
        <f t="array" ref="L985">IF($E985="","", XLOOKUP(SUMIFS(Prod_Prop!$A:$A,Prod_Prop!$B:$B,$E985,Prod_Prop!$H:$H,L$1,Prod_Prop!$I:$I,"Exacto"),Prod_Prop!$A:$A,Prod_Prop!$J:$J,"",0,1))</f>
        <v/>
      </c>
      <c r="M985" s="4" t="str">
        <f t="array" ref="M985">IF($E985="","", XLOOKUP(SUMIFS(Prod_Prop!$A:$A,Prod_Prop!$B:$B,$E985,Prod_Prop!$H:$H,M$1,Prod_Prop!$I:$I,"Exacto"),Prod_Prop!$A:$A,Prod_Prop!$J:$J,"",0,1))</f>
        <v/>
      </c>
      <c r="N985" s="4" t="str">
        <f t="array" ref="N985">IF($E985="","", XLOOKUP(SUMIFS(Prod_Prop!$A:$A,Prod_Prop!$B:$B,$E985,Prod_Prop!$H:$H,N$1,Prod_Prop!$I:$I,"Exacto"),Prod_Prop!$A:$A,Prod_Prop!$J:$J,"",0,1))</f>
        <v/>
      </c>
      <c r="O985" s="4" t="str">
        <f t="array" ref="O985">IF($E985="","", XLOOKUP(SUMIFS(Prod_Prop!$A:$A,Prod_Prop!$B:$B,$E985,Prod_Prop!$H:$H,O$1,Prod_Prop!$I:$I,"Exacto"),Prod_Prop!$A:$A,Prod_Prop!$J:$J,"",0,1))</f>
        <v/>
      </c>
      <c r="P985" s="4" t="str">
        <f t="array" ref="P985">IF($E985="","", XLOOKUP(SUMIFS(Prod_Prop!$A:$A,Prod_Prop!$B:$B,$E985,Prod_Prop!$H:$H,P$1,Prod_Prop!$I:$I,"Exacto"),Prod_Prop!$A:$A,Prod_Prop!$J:$J,"",0,1))</f>
        <v/>
      </c>
      <c r="Q985" s="4" t="str">
        <f t="array" ref="Q985">IF($E985="","", XLOOKUP(SUMIFS(Prod_Prop!$A:$A,Prod_Prop!$B:$B,$E985,Prod_Prop!$H:$H,Q$1,Prod_Prop!$I:$I,"Exacto"),Prod_Prop!$A:$A,Prod_Prop!$J:$J,"",0,1))</f>
        <v/>
      </c>
      <c r="R985" s="4" t="str">
        <f t="array" ref="R985">IF($E985="","", XLOOKUP(SUMIFS(Prod_Prop!$A:$A,Prod_Prop!$B:$B,$E985,Prod_Prop!$H:$H,R$1,Prod_Prop!$I:$I,"Exacto"),Prod_Prop!$A:$A,Prod_Prop!$J:$J,"",0,1))</f>
        <v/>
      </c>
      <c r="S985" s="4" t="str">
        <f t="array" ref="S985">IF($E985="","", XLOOKUP(SUMIFS(Prod_Prop!$A:$A,Prod_Prop!$B:$B,$E985,Prod_Prop!$H:$H,S$1,Prod_Prop!$I:$I,"Exacto"),Prod_Prop!$A:$A,Prod_Prop!$J:$J,"",0,1))</f>
        <v/>
      </c>
      <c r="T985" s="4" t="str">
        <f t="array" ref="T985">IF($E985="","", XLOOKUP(SUMIFS(Prod_Prop!$A:$A,Prod_Prop!$B:$B,$E985,Prod_Prop!$H:$H,T$1,Prod_Prop!$I:$I,"Exacto"),Prod_Prop!$A:$A,Prod_Prop!$J:$J,"",0,1))</f>
        <v/>
      </c>
      <c r="U985" s="4" t="str">
        <f t="array" ref="U985">IF($E985="","", XLOOKUP(SUMIFS(Prod_Prop!$A:$A,Prod_Prop!$B:$B,$E985,Prod_Prop!$H:$H,U$1,Prod_Prop!$I:$I,"Exacto"),Prod_Prop!$A:$A,Prod_Prop!$J:$J,"",0,1))</f>
        <v/>
      </c>
      <c r="V985" s="4" t="str">
        <f t="array" ref="V985">IF($E985="","", XLOOKUP(SUMIFS(Prod_Prop!$A:$A,Prod_Prop!$B:$B,$E985,Prod_Prop!$H:$H,V$1,Prod_Prop!$I:$I,"Exacto"),Prod_Prop!$A:$A,Prod_Prop!$J:$J,"",0,1))</f>
        <v/>
      </c>
      <c r="X985" s="3" t="str">
        <f>IFERROR(__xludf.DUMMYFUNCTION("IF(D985="""","""",IFERROR(TRANSPOSE(FILTER('Validaciones Cotizador'!U:U,'Validaciones Cotizador'!O:O=D985,'Validaciones Cotizador'!T:T=""x"")),""Finalizar""))"),"")</f>
        <v/>
      </c>
    </row>
    <row r="986">
      <c r="A986" s="2" t="str">
        <f t="array" ref="A986">IF(E986="","",XLOOKUP(D986,'Validaciones Cotizador'!C:C,'Validaciones Cotizador'!A:A,"",0,1))</f>
        <v/>
      </c>
      <c r="B986" s="2" t="str">
        <f t="array" ref="B986">IF(F986="","",XLOOKUP(F986,Productos!E:E,Productos!G:G,"",0,1))</f>
        <v/>
      </c>
      <c r="C986" s="2" t="str">
        <f>IF(A986="","",SUMIFS('Validaciones Cotizador'!B:B,'Validaciones Cotizador'!C:C,D986,'Validaciones Cotizador'!A:A,A986))</f>
        <v/>
      </c>
      <c r="D986" s="4" t="str">
        <f>IFERROR(__xludf.DUMMYFUNCTION("IF(OR(F985=""Finalizar"",F985="""",F985=""Selecciona..""),"""",IF(OR(F985=""-"",INDEX(filter(Familias!F:F,Familias!D:D=A985,Familias!E:E=C985),1)=""O""),D985+1,D985))"),"")</f>
        <v/>
      </c>
      <c r="E986" s="2" t="str">
        <f>IF(OR(F986="",F986="Selecciona.."),"",IF(D986="Implemento",SUMIF(Implementos!B:B,F986,Implementos!A:A),SUMIF(Productos!E:E,F986,Productos!A:A)))</f>
        <v/>
      </c>
      <c r="F986" s="2" t="str">
        <f t="shared" si="2"/>
        <v/>
      </c>
      <c r="G986" s="10" t="str">
        <f t="array" ref="G986">IF(OR(F986="",F986="-",F986="Selecciona..",F986="Finalizar"),"",IF(A986="Rodados",XLOOKUP(B986,'Validaciones Cotizador'!I:I,'Validaciones Cotizador'!J:J,0,0,1),1))</f>
        <v/>
      </c>
      <c r="H986" s="11" t="str">
        <f>IF(OR(F986="",F986="Selecciona.."),"",SUMIF(Precio_Productos!K:K,E986,Precio_Productos!J:J)*G986)</f>
        <v/>
      </c>
      <c r="I986" s="4" t="str">
        <f t="array" ref="I986">IF($E986="","", XLOOKUP(SUMIFS(Prod_Prop!$A:$A,Prod_Prop!$B:$B,$E986,Prod_Prop!$H:$H,I$1,Prod_Prop!$I:$I,"Exacto"),Prod_Prop!$A:$A,Prod_Prop!$J:$J,"",0,1))</f>
        <v/>
      </c>
      <c r="J986" s="4" t="str">
        <f t="array" ref="J986">IF($E986="","", XLOOKUP(SUMIFS(Prod_Prop!$A:$A,Prod_Prop!$B:$B,$E986,Prod_Prop!$H:$H,J$1,Prod_Prop!$I:$I,"Exacto"),Prod_Prop!$A:$A,Prod_Prop!$J:$J,"",0,1))</f>
        <v/>
      </c>
      <c r="K986" s="4" t="str">
        <f t="array" ref="K986">IF($E986="","", XLOOKUP(SUMIFS(Prod_Prop!$A:$A,Prod_Prop!$B:$B,$E986,Prod_Prop!$H:$H,K$1,Prod_Prop!$I:$I,"Exacto"),Prod_Prop!$A:$A,Prod_Prop!$J:$J,"",0,1))</f>
        <v/>
      </c>
      <c r="L986" s="4" t="str">
        <f t="array" ref="L986">IF($E986="","", XLOOKUP(SUMIFS(Prod_Prop!$A:$A,Prod_Prop!$B:$B,$E986,Prod_Prop!$H:$H,L$1,Prod_Prop!$I:$I,"Exacto"),Prod_Prop!$A:$A,Prod_Prop!$J:$J,"",0,1))</f>
        <v/>
      </c>
      <c r="M986" s="4" t="str">
        <f t="array" ref="M986">IF($E986="","", XLOOKUP(SUMIFS(Prod_Prop!$A:$A,Prod_Prop!$B:$B,$E986,Prod_Prop!$H:$H,M$1,Prod_Prop!$I:$I,"Exacto"),Prod_Prop!$A:$A,Prod_Prop!$J:$J,"",0,1))</f>
        <v/>
      </c>
      <c r="N986" s="4" t="str">
        <f t="array" ref="N986">IF($E986="","", XLOOKUP(SUMIFS(Prod_Prop!$A:$A,Prod_Prop!$B:$B,$E986,Prod_Prop!$H:$H,N$1,Prod_Prop!$I:$I,"Exacto"),Prod_Prop!$A:$A,Prod_Prop!$J:$J,"",0,1))</f>
        <v/>
      </c>
      <c r="O986" s="4" t="str">
        <f t="array" ref="O986">IF($E986="","", XLOOKUP(SUMIFS(Prod_Prop!$A:$A,Prod_Prop!$B:$B,$E986,Prod_Prop!$H:$H,O$1,Prod_Prop!$I:$I,"Exacto"),Prod_Prop!$A:$A,Prod_Prop!$J:$J,"",0,1))</f>
        <v/>
      </c>
      <c r="P986" s="4" t="str">
        <f t="array" ref="P986">IF($E986="","", XLOOKUP(SUMIFS(Prod_Prop!$A:$A,Prod_Prop!$B:$B,$E986,Prod_Prop!$H:$H,P$1,Prod_Prop!$I:$I,"Exacto"),Prod_Prop!$A:$A,Prod_Prop!$J:$J,"",0,1))</f>
        <v/>
      </c>
      <c r="Q986" s="4" t="str">
        <f t="array" ref="Q986">IF($E986="","", XLOOKUP(SUMIFS(Prod_Prop!$A:$A,Prod_Prop!$B:$B,$E986,Prod_Prop!$H:$H,Q$1,Prod_Prop!$I:$I,"Exacto"),Prod_Prop!$A:$A,Prod_Prop!$J:$J,"",0,1))</f>
        <v/>
      </c>
      <c r="R986" s="4" t="str">
        <f t="array" ref="R986">IF($E986="","", XLOOKUP(SUMIFS(Prod_Prop!$A:$A,Prod_Prop!$B:$B,$E986,Prod_Prop!$H:$H,R$1,Prod_Prop!$I:$I,"Exacto"),Prod_Prop!$A:$A,Prod_Prop!$J:$J,"",0,1))</f>
        <v/>
      </c>
      <c r="S986" s="4" t="str">
        <f t="array" ref="S986">IF($E986="","", XLOOKUP(SUMIFS(Prod_Prop!$A:$A,Prod_Prop!$B:$B,$E986,Prod_Prop!$H:$H,S$1,Prod_Prop!$I:$I,"Exacto"),Prod_Prop!$A:$A,Prod_Prop!$J:$J,"",0,1))</f>
        <v/>
      </c>
      <c r="T986" s="4" t="str">
        <f t="array" ref="T986">IF($E986="","", XLOOKUP(SUMIFS(Prod_Prop!$A:$A,Prod_Prop!$B:$B,$E986,Prod_Prop!$H:$H,T$1,Prod_Prop!$I:$I,"Exacto"),Prod_Prop!$A:$A,Prod_Prop!$J:$J,"",0,1))</f>
        <v/>
      </c>
      <c r="U986" s="4" t="str">
        <f t="array" ref="U986">IF($E986="","", XLOOKUP(SUMIFS(Prod_Prop!$A:$A,Prod_Prop!$B:$B,$E986,Prod_Prop!$H:$H,U$1,Prod_Prop!$I:$I,"Exacto"),Prod_Prop!$A:$A,Prod_Prop!$J:$J,"",0,1))</f>
        <v/>
      </c>
      <c r="V986" s="4" t="str">
        <f t="array" ref="V986">IF($E986="","", XLOOKUP(SUMIFS(Prod_Prop!$A:$A,Prod_Prop!$B:$B,$E986,Prod_Prop!$H:$H,V$1,Prod_Prop!$I:$I,"Exacto"),Prod_Prop!$A:$A,Prod_Prop!$J:$J,"",0,1))</f>
        <v/>
      </c>
      <c r="X986" s="3" t="str">
        <f>IFERROR(__xludf.DUMMYFUNCTION("IF(D986="""","""",IFERROR(TRANSPOSE(FILTER('Validaciones Cotizador'!U:U,'Validaciones Cotizador'!O:O=D986,'Validaciones Cotizador'!T:T=""x"")),""Finalizar""))"),"")</f>
        <v/>
      </c>
    </row>
    <row r="987">
      <c r="A987" s="2" t="str">
        <f t="array" ref="A987">IF(E987="","",XLOOKUP(D987,'Validaciones Cotizador'!C:C,'Validaciones Cotizador'!A:A,"",0,1))</f>
        <v/>
      </c>
      <c r="B987" s="2" t="str">
        <f t="array" ref="B987">IF(F987="","",XLOOKUP(F987,Productos!E:E,Productos!G:G,"",0,1))</f>
        <v/>
      </c>
      <c r="C987" s="2" t="str">
        <f>IF(A987="","",SUMIFS('Validaciones Cotizador'!B:B,'Validaciones Cotizador'!C:C,D987,'Validaciones Cotizador'!A:A,A987))</f>
        <v/>
      </c>
      <c r="D987" s="4" t="str">
        <f>IFERROR(__xludf.DUMMYFUNCTION("IF(OR(F986=""Finalizar"",F986="""",F986=""Selecciona..""),"""",IF(OR(F986=""-"",INDEX(filter(Familias!F:F,Familias!D:D=A986,Familias!E:E=C986),1)=""O""),D986+1,D986))"),"")</f>
        <v/>
      </c>
      <c r="E987" s="2" t="str">
        <f>IF(OR(F987="",F987="Selecciona.."),"",IF(D987="Implemento",SUMIF(Implementos!B:B,F987,Implementos!A:A),SUMIF(Productos!E:E,F987,Productos!A:A)))</f>
        <v/>
      </c>
      <c r="F987" s="2" t="str">
        <f t="shared" si="2"/>
        <v/>
      </c>
      <c r="G987" s="10" t="str">
        <f t="array" ref="G987">IF(OR(F987="",F987="-",F987="Selecciona..",F987="Finalizar"),"",IF(A987="Rodados",XLOOKUP(B987,'Validaciones Cotizador'!I:I,'Validaciones Cotizador'!J:J,0,0,1),1))</f>
        <v/>
      </c>
      <c r="H987" s="11" t="str">
        <f>IF(OR(F987="",F987="Selecciona.."),"",SUMIF(Precio_Productos!K:K,E987,Precio_Productos!J:J)*G987)</f>
        <v/>
      </c>
      <c r="I987" s="4" t="str">
        <f t="array" ref="I987">IF($E987="","", XLOOKUP(SUMIFS(Prod_Prop!$A:$A,Prod_Prop!$B:$B,$E987,Prod_Prop!$H:$H,I$1,Prod_Prop!$I:$I,"Exacto"),Prod_Prop!$A:$A,Prod_Prop!$J:$J,"",0,1))</f>
        <v/>
      </c>
      <c r="J987" s="4" t="str">
        <f t="array" ref="J987">IF($E987="","", XLOOKUP(SUMIFS(Prod_Prop!$A:$A,Prod_Prop!$B:$B,$E987,Prod_Prop!$H:$H,J$1,Prod_Prop!$I:$I,"Exacto"),Prod_Prop!$A:$A,Prod_Prop!$J:$J,"",0,1))</f>
        <v/>
      </c>
      <c r="K987" s="4" t="str">
        <f t="array" ref="K987">IF($E987="","", XLOOKUP(SUMIFS(Prod_Prop!$A:$A,Prod_Prop!$B:$B,$E987,Prod_Prop!$H:$H,K$1,Prod_Prop!$I:$I,"Exacto"),Prod_Prop!$A:$A,Prod_Prop!$J:$J,"",0,1))</f>
        <v/>
      </c>
      <c r="L987" s="4" t="str">
        <f t="array" ref="L987">IF($E987="","", XLOOKUP(SUMIFS(Prod_Prop!$A:$A,Prod_Prop!$B:$B,$E987,Prod_Prop!$H:$H,L$1,Prod_Prop!$I:$I,"Exacto"),Prod_Prop!$A:$A,Prod_Prop!$J:$J,"",0,1))</f>
        <v/>
      </c>
      <c r="M987" s="4" t="str">
        <f t="array" ref="M987">IF($E987="","", XLOOKUP(SUMIFS(Prod_Prop!$A:$A,Prod_Prop!$B:$B,$E987,Prod_Prop!$H:$H,M$1,Prod_Prop!$I:$I,"Exacto"),Prod_Prop!$A:$A,Prod_Prop!$J:$J,"",0,1))</f>
        <v/>
      </c>
      <c r="N987" s="4" t="str">
        <f t="array" ref="N987">IF($E987="","", XLOOKUP(SUMIFS(Prod_Prop!$A:$A,Prod_Prop!$B:$B,$E987,Prod_Prop!$H:$H,N$1,Prod_Prop!$I:$I,"Exacto"),Prod_Prop!$A:$A,Prod_Prop!$J:$J,"",0,1))</f>
        <v/>
      </c>
      <c r="O987" s="4" t="str">
        <f t="array" ref="O987">IF($E987="","", XLOOKUP(SUMIFS(Prod_Prop!$A:$A,Prod_Prop!$B:$B,$E987,Prod_Prop!$H:$H,O$1,Prod_Prop!$I:$I,"Exacto"),Prod_Prop!$A:$A,Prod_Prop!$J:$J,"",0,1))</f>
        <v/>
      </c>
      <c r="P987" s="4" t="str">
        <f t="array" ref="P987">IF($E987="","", XLOOKUP(SUMIFS(Prod_Prop!$A:$A,Prod_Prop!$B:$B,$E987,Prod_Prop!$H:$H,P$1,Prod_Prop!$I:$I,"Exacto"),Prod_Prop!$A:$A,Prod_Prop!$J:$J,"",0,1))</f>
        <v/>
      </c>
      <c r="Q987" s="4" t="str">
        <f t="array" ref="Q987">IF($E987="","", XLOOKUP(SUMIFS(Prod_Prop!$A:$A,Prod_Prop!$B:$B,$E987,Prod_Prop!$H:$H,Q$1,Prod_Prop!$I:$I,"Exacto"),Prod_Prop!$A:$A,Prod_Prop!$J:$J,"",0,1))</f>
        <v/>
      </c>
      <c r="R987" s="4" t="str">
        <f t="array" ref="R987">IF($E987="","", XLOOKUP(SUMIFS(Prod_Prop!$A:$A,Prod_Prop!$B:$B,$E987,Prod_Prop!$H:$H,R$1,Prod_Prop!$I:$I,"Exacto"),Prod_Prop!$A:$A,Prod_Prop!$J:$J,"",0,1))</f>
        <v/>
      </c>
      <c r="S987" s="4" t="str">
        <f t="array" ref="S987">IF($E987="","", XLOOKUP(SUMIFS(Prod_Prop!$A:$A,Prod_Prop!$B:$B,$E987,Prod_Prop!$H:$H,S$1,Prod_Prop!$I:$I,"Exacto"),Prod_Prop!$A:$A,Prod_Prop!$J:$J,"",0,1))</f>
        <v/>
      </c>
      <c r="T987" s="4" t="str">
        <f t="array" ref="T987">IF($E987="","", XLOOKUP(SUMIFS(Prod_Prop!$A:$A,Prod_Prop!$B:$B,$E987,Prod_Prop!$H:$H,T$1,Prod_Prop!$I:$I,"Exacto"),Prod_Prop!$A:$A,Prod_Prop!$J:$J,"",0,1))</f>
        <v/>
      </c>
      <c r="U987" s="4" t="str">
        <f t="array" ref="U987">IF($E987="","", XLOOKUP(SUMIFS(Prod_Prop!$A:$A,Prod_Prop!$B:$B,$E987,Prod_Prop!$H:$H,U$1,Prod_Prop!$I:$I,"Exacto"),Prod_Prop!$A:$A,Prod_Prop!$J:$J,"",0,1))</f>
        <v/>
      </c>
      <c r="V987" s="4" t="str">
        <f t="array" ref="V987">IF($E987="","", XLOOKUP(SUMIFS(Prod_Prop!$A:$A,Prod_Prop!$B:$B,$E987,Prod_Prop!$H:$H,V$1,Prod_Prop!$I:$I,"Exacto"),Prod_Prop!$A:$A,Prod_Prop!$J:$J,"",0,1))</f>
        <v/>
      </c>
      <c r="X987" s="3" t="str">
        <f>IFERROR(__xludf.DUMMYFUNCTION("IF(D987="""","""",IFERROR(TRANSPOSE(FILTER('Validaciones Cotizador'!U:U,'Validaciones Cotizador'!O:O=D987,'Validaciones Cotizador'!T:T=""x"")),""Finalizar""))"),"")</f>
        <v/>
      </c>
    </row>
    <row r="988">
      <c r="A988" s="2" t="str">
        <f t="array" ref="A988">IF(E988="","",XLOOKUP(D988,'Validaciones Cotizador'!C:C,'Validaciones Cotizador'!A:A,"",0,1))</f>
        <v/>
      </c>
      <c r="B988" s="2" t="str">
        <f t="array" ref="B988">IF(F988="","",XLOOKUP(F988,Productos!E:E,Productos!G:G,"",0,1))</f>
        <v/>
      </c>
      <c r="C988" s="2" t="str">
        <f>IF(A988="","",SUMIFS('Validaciones Cotizador'!B:B,'Validaciones Cotizador'!C:C,D988,'Validaciones Cotizador'!A:A,A988))</f>
        <v/>
      </c>
      <c r="D988" s="4" t="str">
        <f>IFERROR(__xludf.DUMMYFUNCTION("IF(OR(F987=""Finalizar"",F987="""",F987=""Selecciona..""),"""",IF(OR(F987=""-"",INDEX(filter(Familias!F:F,Familias!D:D=A987,Familias!E:E=C987),1)=""O""),D987+1,D987))"),"")</f>
        <v/>
      </c>
      <c r="E988" s="2" t="str">
        <f>IF(OR(F988="",F988="Selecciona.."),"",IF(D988="Implemento",SUMIF(Implementos!B:B,F988,Implementos!A:A),SUMIF(Productos!E:E,F988,Productos!A:A)))</f>
        <v/>
      </c>
      <c r="F988" s="2" t="str">
        <f t="shared" si="2"/>
        <v/>
      </c>
      <c r="G988" s="10" t="str">
        <f t="array" ref="G988">IF(OR(F988="",F988="-",F988="Selecciona..",F988="Finalizar"),"",IF(A988="Rodados",XLOOKUP(B988,'Validaciones Cotizador'!I:I,'Validaciones Cotizador'!J:J,0,0,1),1))</f>
        <v/>
      </c>
      <c r="H988" s="11" t="str">
        <f>IF(OR(F988="",F988="Selecciona.."),"",SUMIF(Precio_Productos!K:K,E988,Precio_Productos!J:J)*G988)</f>
        <v/>
      </c>
      <c r="I988" s="4" t="str">
        <f t="array" ref="I988">IF($E988="","", XLOOKUP(SUMIFS(Prod_Prop!$A:$A,Prod_Prop!$B:$B,$E988,Prod_Prop!$H:$H,I$1,Prod_Prop!$I:$I,"Exacto"),Prod_Prop!$A:$A,Prod_Prop!$J:$J,"",0,1))</f>
        <v/>
      </c>
      <c r="J988" s="4" t="str">
        <f t="array" ref="J988">IF($E988="","", XLOOKUP(SUMIFS(Prod_Prop!$A:$A,Prod_Prop!$B:$B,$E988,Prod_Prop!$H:$H,J$1,Prod_Prop!$I:$I,"Exacto"),Prod_Prop!$A:$A,Prod_Prop!$J:$J,"",0,1))</f>
        <v/>
      </c>
      <c r="K988" s="4" t="str">
        <f t="array" ref="K988">IF($E988="","", XLOOKUP(SUMIFS(Prod_Prop!$A:$A,Prod_Prop!$B:$B,$E988,Prod_Prop!$H:$H,K$1,Prod_Prop!$I:$I,"Exacto"),Prod_Prop!$A:$A,Prod_Prop!$J:$J,"",0,1))</f>
        <v/>
      </c>
      <c r="L988" s="4" t="str">
        <f t="array" ref="L988">IF($E988="","", XLOOKUP(SUMIFS(Prod_Prop!$A:$A,Prod_Prop!$B:$B,$E988,Prod_Prop!$H:$H,L$1,Prod_Prop!$I:$I,"Exacto"),Prod_Prop!$A:$A,Prod_Prop!$J:$J,"",0,1))</f>
        <v/>
      </c>
      <c r="M988" s="4" t="str">
        <f t="array" ref="M988">IF($E988="","", XLOOKUP(SUMIFS(Prod_Prop!$A:$A,Prod_Prop!$B:$B,$E988,Prod_Prop!$H:$H,M$1,Prod_Prop!$I:$I,"Exacto"),Prod_Prop!$A:$A,Prod_Prop!$J:$J,"",0,1))</f>
        <v/>
      </c>
      <c r="N988" s="4" t="str">
        <f t="array" ref="N988">IF($E988="","", XLOOKUP(SUMIFS(Prod_Prop!$A:$A,Prod_Prop!$B:$B,$E988,Prod_Prop!$H:$H,N$1,Prod_Prop!$I:$I,"Exacto"),Prod_Prop!$A:$A,Prod_Prop!$J:$J,"",0,1))</f>
        <v/>
      </c>
      <c r="O988" s="4" t="str">
        <f t="array" ref="O988">IF($E988="","", XLOOKUP(SUMIFS(Prod_Prop!$A:$A,Prod_Prop!$B:$B,$E988,Prod_Prop!$H:$H,O$1,Prod_Prop!$I:$I,"Exacto"),Prod_Prop!$A:$A,Prod_Prop!$J:$J,"",0,1))</f>
        <v/>
      </c>
      <c r="P988" s="4" t="str">
        <f t="array" ref="P988">IF($E988="","", XLOOKUP(SUMIFS(Prod_Prop!$A:$A,Prod_Prop!$B:$B,$E988,Prod_Prop!$H:$H,P$1,Prod_Prop!$I:$I,"Exacto"),Prod_Prop!$A:$A,Prod_Prop!$J:$J,"",0,1))</f>
        <v/>
      </c>
      <c r="Q988" s="4" t="str">
        <f t="array" ref="Q988">IF($E988="","", XLOOKUP(SUMIFS(Prod_Prop!$A:$A,Prod_Prop!$B:$B,$E988,Prod_Prop!$H:$H,Q$1,Prod_Prop!$I:$I,"Exacto"),Prod_Prop!$A:$A,Prod_Prop!$J:$J,"",0,1))</f>
        <v/>
      </c>
      <c r="R988" s="4" t="str">
        <f t="array" ref="R988">IF($E988="","", XLOOKUP(SUMIFS(Prod_Prop!$A:$A,Prod_Prop!$B:$B,$E988,Prod_Prop!$H:$H,R$1,Prod_Prop!$I:$I,"Exacto"),Prod_Prop!$A:$A,Prod_Prop!$J:$J,"",0,1))</f>
        <v/>
      </c>
      <c r="S988" s="4" t="str">
        <f t="array" ref="S988">IF($E988="","", XLOOKUP(SUMIFS(Prod_Prop!$A:$A,Prod_Prop!$B:$B,$E988,Prod_Prop!$H:$H,S$1,Prod_Prop!$I:$I,"Exacto"),Prod_Prop!$A:$A,Prod_Prop!$J:$J,"",0,1))</f>
        <v/>
      </c>
      <c r="T988" s="4" t="str">
        <f t="array" ref="T988">IF($E988="","", XLOOKUP(SUMIFS(Prod_Prop!$A:$A,Prod_Prop!$B:$B,$E988,Prod_Prop!$H:$H,T$1,Prod_Prop!$I:$I,"Exacto"),Prod_Prop!$A:$A,Prod_Prop!$J:$J,"",0,1))</f>
        <v/>
      </c>
      <c r="U988" s="4" t="str">
        <f t="array" ref="U988">IF($E988="","", XLOOKUP(SUMIFS(Prod_Prop!$A:$A,Prod_Prop!$B:$B,$E988,Prod_Prop!$H:$H,U$1,Prod_Prop!$I:$I,"Exacto"),Prod_Prop!$A:$A,Prod_Prop!$J:$J,"",0,1))</f>
        <v/>
      </c>
      <c r="V988" s="4" t="str">
        <f t="array" ref="V988">IF($E988="","", XLOOKUP(SUMIFS(Prod_Prop!$A:$A,Prod_Prop!$B:$B,$E988,Prod_Prop!$H:$H,V$1,Prod_Prop!$I:$I,"Exacto"),Prod_Prop!$A:$A,Prod_Prop!$J:$J,"",0,1))</f>
        <v/>
      </c>
      <c r="X988" s="3" t="str">
        <f>IFERROR(__xludf.DUMMYFUNCTION("IF(D988="""","""",IFERROR(TRANSPOSE(FILTER('Validaciones Cotizador'!U:U,'Validaciones Cotizador'!O:O=D988,'Validaciones Cotizador'!T:T=""x"")),""Finalizar""))"),"")</f>
        <v/>
      </c>
    </row>
    <row r="989">
      <c r="A989" s="2" t="str">
        <f t="array" ref="A989">IF(E989="","",XLOOKUP(D989,'Validaciones Cotizador'!C:C,'Validaciones Cotizador'!A:A,"",0,1))</f>
        <v/>
      </c>
      <c r="B989" s="2" t="str">
        <f t="array" ref="B989">IF(F989="","",XLOOKUP(F989,Productos!E:E,Productos!G:G,"",0,1))</f>
        <v/>
      </c>
      <c r="C989" s="2" t="str">
        <f>IF(A989="","",SUMIFS('Validaciones Cotizador'!B:B,'Validaciones Cotizador'!C:C,D989,'Validaciones Cotizador'!A:A,A989))</f>
        <v/>
      </c>
      <c r="D989" s="4" t="str">
        <f>IFERROR(__xludf.DUMMYFUNCTION("IF(OR(F988=""Finalizar"",F988="""",F988=""Selecciona..""),"""",IF(OR(F988=""-"",INDEX(filter(Familias!F:F,Familias!D:D=A988,Familias!E:E=C988),1)=""O""),D988+1,D988))"),"")</f>
        <v/>
      </c>
      <c r="E989" s="2" t="str">
        <f>IF(OR(F989="",F989="Selecciona.."),"",IF(D989="Implemento",SUMIF(Implementos!B:B,F989,Implementos!A:A),SUMIF(Productos!E:E,F989,Productos!A:A)))</f>
        <v/>
      </c>
      <c r="F989" s="2" t="str">
        <f t="shared" si="2"/>
        <v/>
      </c>
      <c r="G989" s="10" t="str">
        <f t="array" ref="G989">IF(OR(F989="",F989="-",F989="Selecciona..",F989="Finalizar"),"",IF(A989="Rodados",XLOOKUP(B989,'Validaciones Cotizador'!I:I,'Validaciones Cotizador'!J:J,0,0,1),1))</f>
        <v/>
      </c>
      <c r="H989" s="11" t="str">
        <f>IF(OR(F989="",F989="Selecciona.."),"",SUMIF(Precio_Productos!K:K,E989,Precio_Productos!J:J)*G989)</f>
        <v/>
      </c>
      <c r="I989" s="4" t="str">
        <f t="array" ref="I989">IF($E989="","", XLOOKUP(SUMIFS(Prod_Prop!$A:$A,Prod_Prop!$B:$B,$E989,Prod_Prop!$H:$H,I$1,Prod_Prop!$I:$I,"Exacto"),Prod_Prop!$A:$A,Prod_Prop!$J:$J,"",0,1))</f>
        <v/>
      </c>
      <c r="J989" s="4" t="str">
        <f t="array" ref="J989">IF($E989="","", XLOOKUP(SUMIFS(Prod_Prop!$A:$A,Prod_Prop!$B:$B,$E989,Prod_Prop!$H:$H,J$1,Prod_Prop!$I:$I,"Exacto"),Prod_Prop!$A:$A,Prod_Prop!$J:$J,"",0,1))</f>
        <v/>
      </c>
      <c r="K989" s="4" t="str">
        <f t="array" ref="K989">IF($E989="","", XLOOKUP(SUMIFS(Prod_Prop!$A:$A,Prod_Prop!$B:$B,$E989,Prod_Prop!$H:$H,K$1,Prod_Prop!$I:$I,"Exacto"),Prod_Prop!$A:$A,Prod_Prop!$J:$J,"",0,1))</f>
        <v/>
      </c>
      <c r="L989" s="4" t="str">
        <f t="array" ref="L989">IF($E989="","", XLOOKUP(SUMIFS(Prod_Prop!$A:$A,Prod_Prop!$B:$B,$E989,Prod_Prop!$H:$H,L$1,Prod_Prop!$I:$I,"Exacto"),Prod_Prop!$A:$A,Prod_Prop!$J:$J,"",0,1))</f>
        <v/>
      </c>
      <c r="M989" s="4" t="str">
        <f t="array" ref="M989">IF($E989="","", XLOOKUP(SUMIFS(Prod_Prop!$A:$A,Prod_Prop!$B:$B,$E989,Prod_Prop!$H:$H,M$1,Prod_Prop!$I:$I,"Exacto"),Prod_Prop!$A:$A,Prod_Prop!$J:$J,"",0,1))</f>
        <v/>
      </c>
      <c r="N989" s="4" t="str">
        <f t="array" ref="N989">IF($E989="","", XLOOKUP(SUMIFS(Prod_Prop!$A:$A,Prod_Prop!$B:$B,$E989,Prod_Prop!$H:$H,N$1,Prod_Prop!$I:$I,"Exacto"),Prod_Prop!$A:$A,Prod_Prop!$J:$J,"",0,1))</f>
        <v/>
      </c>
      <c r="O989" s="4" t="str">
        <f t="array" ref="O989">IF($E989="","", XLOOKUP(SUMIFS(Prod_Prop!$A:$A,Prod_Prop!$B:$B,$E989,Prod_Prop!$H:$H,O$1,Prod_Prop!$I:$I,"Exacto"),Prod_Prop!$A:$A,Prod_Prop!$J:$J,"",0,1))</f>
        <v/>
      </c>
      <c r="P989" s="4" t="str">
        <f t="array" ref="P989">IF($E989="","", XLOOKUP(SUMIFS(Prod_Prop!$A:$A,Prod_Prop!$B:$B,$E989,Prod_Prop!$H:$H,P$1,Prod_Prop!$I:$I,"Exacto"),Prod_Prop!$A:$A,Prod_Prop!$J:$J,"",0,1))</f>
        <v/>
      </c>
      <c r="Q989" s="4" t="str">
        <f t="array" ref="Q989">IF($E989="","", XLOOKUP(SUMIFS(Prod_Prop!$A:$A,Prod_Prop!$B:$B,$E989,Prod_Prop!$H:$H,Q$1,Prod_Prop!$I:$I,"Exacto"),Prod_Prop!$A:$A,Prod_Prop!$J:$J,"",0,1))</f>
        <v/>
      </c>
      <c r="R989" s="4" t="str">
        <f t="array" ref="R989">IF($E989="","", XLOOKUP(SUMIFS(Prod_Prop!$A:$A,Prod_Prop!$B:$B,$E989,Prod_Prop!$H:$H,R$1,Prod_Prop!$I:$I,"Exacto"),Prod_Prop!$A:$A,Prod_Prop!$J:$J,"",0,1))</f>
        <v/>
      </c>
      <c r="S989" s="4" t="str">
        <f t="array" ref="S989">IF($E989="","", XLOOKUP(SUMIFS(Prod_Prop!$A:$A,Prod_Prop!$B:$B,$E989,Prod_Prop!$H:$H,S$1,Prod_Prop!$I:$I,"Exacto"),Prod_Prop!$A:$A,Prod_Prop!$J:$J,"",0,1))</f>
        <v/>
      </c>
      <c r="T989" s="4" t="str">
        <f t="array" ref="T989">IF($E989="","", XLOOKUP(SUMIFS(Prod_Prop!$A:$A,Prod_Prop!$B:$B,$E989,Prod_Prop!$H:$H,T$1,Prod_Prop!$I:$I,"Exacto"),Prod_Prop!$A:$A,Prod_Prop!$J:$J,"",0,1))</f>
        <v/>
      </c>
      <c r="U989" s="4" t="str">
        <f t="array" ref="U989">IF($E989="","", XLOOKUP(SUMIFS(Prod_Prop!$A:$A,Prod_Prop!$B:$B,$E989,Prod_Prop!$H:$H,U$1,Prod_Prop!$I:$I,"Exacto"),Prod_Prop!$A:$A,Prod_Prop!$J:$J,"",0,1))</f>
        <v/>
      </c>
      <c r="V989" s="4" t="str">
        <f t="array" ref="V989">IF($E989="","", XLOOKUP(SUMIFS(Prod_Prop!$A:$A,Prod_Prop!$B:$B,$E989,Prod_Prop!$H:$H,V$1,Prod_Prop!$I:$I,"Exacto"),Prod_Prop!$A:$A,Prod_Prop!$J:$J,"",0,1))</f>
        <v/>
      </c>
      <c r="X989" s="3" t="str">
        <f>IFERROR(__xludf.DUMMYFUNCTION("IF(D989="""","""",IFERROR(TRANSPOSE(FILTER('Validaciones Cotizador'!U:U,'Validaciones Cotizador'!O:O=D989,'Validaciones Cotizador'!T:T=""x"")),""Finalizar""))"),"")</f>
        <v/>
      </c>
    </row>
    <row r="990">
      <c r="A990" s="2" t="str">
        <f t="array" ref="A990">IF(E990="","",XLOOKUP(D990,'Validaciones Cotizador'!C:C,'Validaciones Cotizador'!A:A,"",0,1))</f>
        <v/>
      </c>
      <c r="B990" s="2" t="str">
        <f t="array" ref="B990">IF(F990="","",XLOOKUP(F990,Productos!E:E,Productos!G:G,"",0,1))</f>
        <v/>
      </c>
      <c r="C990" s="2" t="str">
        <f>IF(A990="","",SUMIFS('Validaciones Cotizador'!B:B,'Validaciones Cotizador'!C:C,D990,'Validaciones Cotizador'!A:A,A990))</f>
        <v/>
      </c>
      <c r="D990" s="4" t="str">
        <f>IFERROR(__xludf.DUMMYFUNCTION("IF(OR(F989=""Finalizar"",F989="""",F989=""Selecciona..""),"""",IF(OR(F989=""-"",INDEX(filter(Familias!F:F,Familias!D:D=A989,Familias!E:E=C989),1)=""O""),D989+1,D989))"),"")</f>
        <v/>
      </c>
      <c r="E990" s="2" t="str">
        <f>IF(OR(F990="",F990="Selecciona.."),"",IF(D990="Implemento",SUMIF(Implementos!B:B,F990,Implementos!A:A),SUMIF(Productos!E:E,F990,Productos!A:A)))</f>
        <v/>
      </c>
      <c r="F990" s="2" t="str">
        <f t="shared" si="2"/>
        <v/>
      </c>
      <c r="G990" s="10" t="str">
        <f t="array" ref="G990">IF(OR(F990="",F990="-",F990="Selecciona..",F990="Finalizar"),"",IF(A990="Rodados",XLOOKUP(B990,'Validaciones Cotizador'!I:I,'Validaciones Cotizador'!J:J,0,0,1),1))</f>
        <v/>
      </c>
      <c r="H990" s="11" t="str">
        <f>IF(OR(F990="",F990="Selecciona.."),"",SUMIF(Precio_Productos!K:K,E990,Precio_Productos!J:J)*G990)</f>
        <v/>
      </c>
      <c r="I990" s="4" t="str">
        <f t="array" ref="I990">IF($E990="","", XLOOKUP(SUMIFS(Prod_Prop!$A:$A,Prod_Prop!$B:$B,$E990,Prod_Prop!$H:$H,I$1,Prod_Prop!$I:$I,"Exacto"),Prod_Prop!$A:$A,Prod_Prop!$J:$J,"",0,1))</f>
        <v/>
      </c>
      <c r="J990" s="4" t="str">
        <f t="array" ref="J990">IF($E990="","", XLOOKUP(SUMIFS(Prod_Prop!$A:$A,Prod_Prop!$B:$B,$E990,Prod_Prop!$H:$H,J$1,Prod_Prop!$I:$I,"Exacto"),Prod_Prop!$A:$A,Prod_Prop!$J:$J,"",0,1))</f>
        <v/>
      </c>
      <c r="K990" s="4" t="str">
        <f t="array" ref="K990">IF($E990="","", XLOOKUP(SUMIFS(Prod_Prop!$A:$A,Prod_Prop!$B:$B,$E990,Prod_Prop!$H:$H,K$1,Prod_Prop!$I:$I,"Exacto"),Prod_Prop!$A:$A,Prod_Prop!$J:$J,"",0,1))</f>
        <v/>
      </c>
      <c r="L990" s="4" t="str">
        <f t="array" ref="L990">IF($E990="","", XLOOKUP(SUMIFS(Prod_Prop!$A:$A,Prod_Prop!$B:$B,$E990,Prod_Prop!$H:$H,L$1,Prod_Prop!$I:$I,"Exacto"),Prod_Prop!$A:$A,Prod_Prop!$J:$J,"",0,1))</f>
        <v/>
      </c>
      <c r="M990" s="4" t="str">
        <f t="array" ref="M990">IF($E990="","", XLOOKUP(SUMIFS(Prod_Prop!$A:$A,Prod_Prop!$B:$B,$E990,Prod_Prop!$H:$H,M$1,Prod_Prop!$I:$I,"Exacto"),Prod_Prop!$A:$A,Prod_Prop!$J:$J,"",0,1))</f>
        <v/>
      </c>
      <c r="N990" s="4" t="str">
        <f t="array" ref="N990">IF($E990="","", XLOOKUP(SUMIFS(Prod_Prop!$A:$A,Prod_Prop!$B:$B,$E990,Prod_Prop!$H:$H,N$1,Prod_Prop!$I:$I,"Exacto"),Prod_Prop!$A:$A,Prod_Prop!$J:$J,"",0,1))</f>
        <v/>
      </c>
      <c r="O990" s="4" t="str">
        <f t="array" ref="O990">IF($E990="","", XLOOKUP(SUMIFS(Prod_Prop!$A:$A,Prod_Prop!$B:$B,$E990,Prod_Prop!$H:$H,O$1,Prod_Prop!$I:$I,"Exacto"),Prod_Prop!$A:$A,Prod_Prop!$J:$J,"",0,1))</f>
        <v/>
      </c>
      <c r="P990" s="4" t="str">
        <f t="array" ref="P990">IF($E990="","", XLOOKUP(SUMIFS(Prod_Prop!$A:$A,Prod_Prop!$B:$B,$E990,Prod_Prop!$H:$H,P$1,Prod_Prop!$I:$I,"Exacto"),Prod_Prop!$A:$A,Prod_Prop!$J:$J,"",0,1))</f>
        <v/>
      </c>
      <c r="Q990" s="4" t="str">
        <f t="array" ref="Q990">IF($E990="","", XLOOKUP(SUMIFS(Prod_Prop!$A:$A,Prod_Prop!$B:$B,$E990,Prod_Prop!$H:$H,Q$1,Prod_Prop!$I:$I,"Exacto"),Prod_Prop!$A:$A,Prod_Prop!$J:$J,"",0,1))</f>
        <v/>
      </c>
      <c r="R990" s="4" t="str">
        <f t="array" ref="R990">IF($E990="","", XLOOKUP(SUMIFS(Prod_Prop!$A:$A,Prod_Prop!$B:$B,$E990,Prod_Prop!$H:$H,R$1,Prod_Prop!$I:$I,"Exacto"),Prod_Prop!$A:$A,Prod_Prop!$J:$J,"",0,1))</f>
        <v/>
      </c>
      <c r="S990" s="4" t="str">
        <f t="array" ref="S990">IF($E990="","", XLOOKUP(SUMIFS(Prod_Prop!$A:$A,Prod_Prop!$B:$B,$E990,Prod_Prop!$H:$H,S$1,Prod_Prop!$I:$I,"Exacto"),Prod_Prop!$A:$A,Prod_Prop!$J:$J,"",0,1))</f>
        <v/>
      </c>
      <c r="T990" s="4" t="str">
        <f t="array" ref="T990">IF($E990="","", XLOOKUP(SUMIFS(Prod_Prop!$A:$A,Prod_Prop!$B:$B,$E990,Prod_Prop!$H:$H,T$1,Prod_Prop!$I:$I,"Exacto"),Prod_Prop!$A:$A,Prod_Prop!$J:$J,"",0,1))</f>
        <v/>
      </c>
      <c r="U990" s="4" t="str">
        <f t="array" ref="U990">IF($E990="","", XLOOKUP(SUMIFS(Prod_Prop!$A:$A,Prod_Prop!$B:$B,$E990,Prod_Prop!$H:$H,U$1,Prod_Prop!$I:$I,"Exacto"),Prod_Prop!$A:$A,Prod_Prop!$J:$J,"",0,1))</f>
        <v/>
      </c>
      <c r="V990" s="4" t="str">
        <f t="array" ref="V990">IF($E990="","", XLOOKUP(SUMIFS(Prod_Prop!$A:$A,Prod_Prop!$B:$B,$E990,Prod_Prop!$H:$H,V$1,Prod_Prop!$I:$I,"Exacto"),Prod_Prop!$A:$A,Prod_Prop!$J:$J,"",0,1))</f>
        <v/>
      </c>
      <c r="X990" s="3" t="str">
        <f>IFERROR(__xludf.DUMMYFUNCTION("IF(D990="""","""",IFERROR(TRANSPOSE(FILTER('Validaciones Cotizador'!U:U,'Validaciones Cotizador'!O:O=D990,'Validaciones Cotizador'!T:T=""x"")),""Finalizar""))"),"")</f>
        <v/>
      </c>
    </row>
    <row r="991">
      <c r="A991" s="2" t="str">
        <f t="array" ref="A991">IF(E991="","",XLOOKUP(D991,'Validaciones Cotizador'!C:C,'Validaciones Cotizador'!A:A,"",0,1))</f>
        <v/>
      </c>
      <c r="B991" s="2" t="str">
        <f t="array" ref="B991">IF(F991="","",XLOOKUP(F991,Productos!E:E,Productos!G:G,"",0,1))</f>
        <v/>
      </c>
      <c r="C991" s="2" t="str">
        <f>IF(A991="","",SUMIFS('Validaciones Cotizador'!B:B,'Validaciones Cotizador'!C:C,D991,'Validaciones Cotizador'!A:A,A991))</f>
        <v/>
      </c>
      <c r="D991" s="4" t="str">
        <f>IFERROR(__xludf.DUMMYFUNCTION("IF(OR(F990=""Finalizar"",F990="""",F990=""Selecciona..""),"""",IF(OR(F990=""-"",INDEX(filter(Familias!F:F,Familias!D:D=A990,Familias!E:E=C990),1)=""O""),D990+1,D990))"),"")</f>
        <v/>
      </c>
      <c r="E991" s="2" t="str">
        <f>IF(OR(F991="",F991="Selecciona.."),"",IF(D991="Implemento",SUMIF(Implementos!B:B,F991,Implementos!A:A),SUMIF(Productos!E:E,F991,Productos!A:A)))</f>
        <v/>
      </c>
      <c r="F991" s="2" t="str">
        <f t="shared" si="2"/>
        <v/>
      </c>
      <c r="G991" s="10" t="str">
        <f t="array" ref="G991">IF(OR(F991="",F991="-",F991="Selecciona..",F991="Finalizar"),"",IF(A991="Rodados",XLOOKUP(B991,'Validaciones Cotizador'!I:I,'Validaciones Cotizador'!J:J,0,0,1),1))</f>
        <v/>
      </c>
      <c r="H991" s="11" t="str">
        <f>IF(OR(F991="",F991="Selecciona.."),"",SUMIF(Precio_Productos!K:K,E991,Precio_Productos!J:J)*G991)</f>
        <v/>
      </c>
      <c r="I991" s="4" t="str">
        <f t="array" ref="I991">IF($E991="","", XLOOKUP(SUMIFS(Prod_Prop!$A:$A,Prod_Prop!$B:$B,$E991,Prod_Prop!$H:$H,I$1,Prod_Prop!$I:$I,"Exacto"),Prod_Prop!$A:$A,Prod_Prop!$J:$J,"",0,1))</f>
        <v/>
      </c>
      <c r="J991" s="4" t="str">
        <f t="array" ref="J991">IF($E991="","", XLOOKUP(SUMIFS(Prod_Prop!$A:$A,Prod_Prop!$B:$B,$E991,Prod_Prop!$H:$H,J$1,Prod_Prop!$I:$I,"Exacto"),Prod_Prop!$A:$A,Prod_Prop!$J:$J,"",0,1))</f>
        <v/>
      </c>
      <c r="K991" s="4" t="str">
        <f t="array" ref="K991">IF($E991="","", XLOOKUP(SUMIFS(Prod_Prop!$A:$A,Prod_Prop!$B:$B,$E991,Prod_Prop!$H:$H,K$1,Prod_Prop!$I:$I,"Exacto"),Prod_Prop!$A:$A,Prod_Prop!$J:$J,"",0,1))</f>
        <v/>
      </c>
      <c r="L991" s="4" t="str">
        <f t="array" ref="L991">IF($E991="","", XLOOKUP(SUMIFS(Prod_Prop!$A:$A,Prod_Prop!$B:$B,$E991,Prod_Prop!$H:$H,L$1,Prod_Prop!$I:$I,"Exacto"),Prod_Prop!$A:$A,Prod_Prop!$J:$J,"",0,1))</f>
        <v/>
      </c>
      <c r="M991" s="4" t="str">
        <f t="array" ref="M991">IF($E991="","", XLOOKUP(SUMIFS(Prod_Prop!$A:$A,Prod_Prop!$B:$B,$E991,Prod_Prop!$H:$H,M$1,Prod_Prop!$I:$I,"Exacto"),Prod_Prop!$A:$A,Prod_Prop!$J:$J,"",0,1))</f>
        <v/>
      </c>
      <c r="N991" s="4" t="str">
        <f t="array" ref="N991">IF($E991="","", XLOOKUP(SUMIFS(Prod_Prop!$A:$A,Prod_Prop!$B:$B,$E991,Prod_Prop!$H:$H,N$1,Prod_Prop!$I:$I,"Exacto"),Prod_Prop!$A:$A,Prod_Prop!$J:$J,"",0,1))</f>
        <v/>
      </c>
      <c r="O991" s="4" t="str">
        <f t="array" ref="O991">IF($E991="","", XLOOKUP(SUMIFS(Prod_Prop!$A:$A,Prod_Prop!$B:$B,$E991,Prod_Prop!$H:$H,O$1,Prod_Prop!$I:$I,"Exacto"),Prod_Prop!$A:$A,Prod_Prop!$J:$J,"",0,1))</f>
        <v/>
      </c>
      <c r="P991" s="4" t="str">
        <f t="array" ref="P991">IF($E991="","", XLOOKUP(SUMIFS(Prod_Prop!$A:$A,Prod_Prop!$B:$B,$E991,Prod_Prop!$H:$H,P$1,Prod_Prop!$I:$I,"Exacto"),Prod_Prop!$A:$A,Prod_Prop!$J:$J,"",0,1))</f>
        <v/>
      </c>
      <c r="Q991" s="4" t="str">
        <f t="array" ref="Q991">IF($E991="","", XLOOKUP(SUMIFS(Prod_Prop!$A:$A,Prod_Prop!$B:$B,$E991,Prod_Prop!$H:$H,Q$1,Prod_Prop!$I:$I,"Exacto"),Prod_Prop!$A:$A,Prod_Prop!$J:$J,"",0,1))</f>
        <v/>
      </c>
      <c r="R991" s="4" t="str">
        <f t="array" ref="R991">IF($E991="","", XLOOKUP(SUMIFS(Prod_Prop!$A:$A,Prod_Prop!$B:$B,$E991,Prod_Prop!$H:$H,R$1,Prod_Prop!$I:$I,"Exacto"),Prod_Prop!$A:$A,Prod_Prop!$J:$J,"",0,1))</f>
        <v/>
      </c>
      <c r="S991" s="4" t="str">
        <f t="array" ref="S991">IF($E991="","", XLOOKUP(SUMIFS(Prod_Prop!$A:$A,Prod_Prop!$B:$B,$E991,Prod_Prop!$H:$H,S$1,Prod_Prop!$I:$I,"Exacto"),Prod_Prop!$A:$A,Prod_Prop!$J:$J,"",0,1))</f>
        <v/>
      </c>
      <c r="T991" s="4" t="str">
        <f t="array" ref="T991">IF($E991="","", XLOOKUP(SUMIFS(Prod_Prop!$A:$A,Prod_Prop!$B:$B,$E991,Prod_Prop!$H:$H,T$1,Prod_Prop!$I:$I,"Exacto"),Prod_Prop!$A:$A,Prod_Prop!$J:$J,"",0,1))</f>
        <v/>
      </c>
      <c r="U991" s="4" t="str">
        <f t="array" ref="U991">IF($E991="","", XLOOKUP(SUMIFS(Prod_Prop!$A:$A,Prod_Prop!$B:$B,$E991,Prod_Prop!$H:$H,U$1,Prod_Prop!$I:$I,"Exacto"),Prod_Prop!$A:$A,Prod_Prop!$J:$J,"",0,1))</f>
        <v/>
      </c>
      <c r="V991" s="4" t="str">
        <f t="array" ref="V991">IF($E991="","", XLOOKUP(SUMIFS(Prod_Prop!$A:$A,Prod_Prop!$B:$B,$E991,Prod_Prop!$H:$H,V$1,Prod_Prop!$I:$I,"Exacto"),Prod_Prop!$A:$A,Prod_Prop!$J:$J,"",0,1))</f>
        <v/>
      </c>
      <c r="X991" s="3" t="str">
        <f>IFERROR(__xludf.DUMMYFUNCTION("IF(D991="""","""",IFERROR(TRANSPOSE(FILTER('Validaciones Cotizador'!U:U,'Validaciones Cotizador'!O:O=D991,'Validaciones Cotizador'!T:T=""x"")),""Finalizar""))"),"")</f>
        <v/>
      </c>
    </row>
    <row r="992">
      <c r="A992" s="2" t="str">
        <f t="array" ref="A992">IF(E992="","",XLOOKUP(D992,'Validaciones Cotizador'!C:C,'Validaciones Cotizador'!A:A,"",0,1))</f>
        <v/>
      </c>
      <c r="B992" s="2" t="str">
        <f t="array" ref="B992">IF(F992="","",XLOOKUP(F992,Productos!E:E,Productos!G:G,"",0,1))</f>
        <v/>
      </c>
      <c r="C992" s="2" t="str">
        <f>IF(A992="","",SUMIFS('Validaciones Cotizador'!B:B,'Validaciones Cotizador'!C:C,D992,'Validaciones Cotizador'!A:A,A992))</f>
        <v/>
      </c>
      <c r="D992" s="4" t="str">
        <f>IFERROR(__xludf.DUMMYFUNCTION("IF(OR(F991=""Finalizar"",F991="""",F991=""Selecciona..""),"""",IF(OR(F991=""-"",INDEX(filter(Familias!F:F,Familias!D:D=A991,Familias!E:E=C991),1)=""O""),D991+1,D991))"),"")</f>
        <v/>
      </c>
      <c r="E992" s="2" t="str">
        <f>IF(OR(F992="",F992="Selecciona.."),"",IF(D992="Implemento",SUMIF(Implementos!B:B,F992,Implementos!A:A),SUMIF(Productos!E:E,F992,Productos!A:A)))</f>
        <v/>
      </c>
      <c r="F992" s="2" t="str">
        <f t="shared" si="2"/>
        <v/>
      </c>
      <c r="G992" s="10" t="str">
        <f t="array" ref="G992">IF(OR(F992="",F992="-",F992="Selecciona..",F992="Finalizar"),"",IF(A992="Rodados",XLOOKUP(B992,'Validaciones Cotizador'!I:I,'Validaciones Cotizador'!J:J,0,0,1),1))</f>
        <v/>
      </c>
      <c r="H992" s="11" t="str">
        <f>IF(OR(F992="",F992="Selecciona.."),"",SUMIF(Precio_Productos!K:K,E992,Precio_Productos!J:J)*G992)</f>
        <v/>
      </c>
      <c r="I992" s="4" t="str">
        <f t="array" ref="I992">IF($E992="","", XLOOKUP(SUMIFS(Prod_Prop!$A:$A,Prod_Prop!$B:$B,$E992,Prod_Prop!$H:$H,I$1,Prod_Prop!$I:$I,"Exacto"),Prod_Prop!$A:$A,Prod_Prop!$J:$J,"",0,1))</f>
        <v/>
      </c>
      <c r="J992" s="4" t="str">
        <f t="array" ref="J992">IF($E992="","", XLOOKUP(SUMIFS(Prod_Prop!$A:$A,Prod_Prop!$B:$B,$E992,Prod_Prop!$H:$H,J$1,Prod_Prop!$I:$I,"Exacto"),Prod_Prop!$A:$A,Prod_Prop!$J:$J,"",0,1))</f>
        <v/>
      </c>
      <c r="K992" s="4" t="str">
        <f t="array" ref="K992">IF($E992="","", XLOOKUP(SUMIFS(Prod_Prop!$A:$A,Prod_Prop!$B:$B,$E992,Prod_Prop!$H:$H,K$1,Prod_Prop!$I:$I,"Exacto"),Prod_Prop!$A:$A,Prod_Prop!$J:$J,"",0,1))</f>
        <v/>
      </c>
      <c r="L992" s="4" t="str">
        <f t="array" ref="L992">IF($E992="","", XLOOKUP(SUMIFS(Prod_Prop!$A:$A,Prod_Prop!$B:$B,$E992,Prod_Prop!$H:$H,L$1,Prod_Prop!$I:$I,"Exacto"),Prod_Prop!$A:$A,Prod_Prop!$J:$J,"",0,1))</f>
        <v/>
      </c>
      <c r="M992" s="4" t="str">
        <f t="array" ref="M992">IF($E992="","", XLOOKUP(SUMIFS(Prod_Prop!$A:$A,Prod_Prop!$B:$B,$E992,Prod_Prop!$H:$H,M$1,Prod_Prop!$I:$I,"Exacto"),Prod_Prop!$A:$A,Prod_Prop!$J:$J,"",0,1))</f>
        <v/>
      </c>
      <c r="N992" s="4" t="str">
        <f t="array" ref="N992">IF($E992="","", XLOOKUP(SUMIFS(Prod_Prop!$A:$A,Prod_Prop!$B:$B,$E992,Prod_Prop!$H:$H,N$1,Prod_Prop!$I:$I,"Exacto"),Prod_Prop!$A:$A,Prod_Prop!$J:$J,"",0,1))</f>
        <v/>
      </c>
      <c r="O992" s="4" t="str">
        <f t="array" ref="O992">IF($E992="","", XLOOKUP(SUMIFS(Prod_Prop!$A:$A,Prod_Prop!$B:$B,$E992,Prod_Prop!$H:$H,O$1,Prod_Prop!$I:$I,"Exacto"),Prod_Prop!$A:$A,Prod_Prop!$J:$J,"",0,1))</f>
        <v/>
      </c>
      <c r="P992" s="4" t="str">
        <f t="array" ref="P992">IF($E992="","", XLOOKUP(SUMIFS(Prod_Prop!$A:$A,Prod_Prop!$B:$B,$E992,Prod_Prop!$H:$H,P$1,Prod_Prop!$I:$I,"Exacto"),Prod_Prop!$A:$A,Prod_Prop!$J:$J,"",0,1))</f>
        <v/>
      </c>
      <c r="Q992" s="4" t="str">
        <f t="array" ref="Q992">IF($E992="","", XLOOKUP(SUMIFS(Prod_Prop!$A:$A,Prod_Prop!$B:$B,$E992,Prod_Prop!$H:$H,Q$1,Prod_Prop!$I:$I,"Exacto"),Prod_Prop!$A:$A,Prod_Prop!$J:$J,"",0,1))</f>
        <v/>
      </c>
      <c r="R992" s="4" t="str">
        <f t="array" ref="R992">IF($E992="","", XLOOKUP(SUMIFS(Prod_Prop!$A:$A,Prod_Prop!$B:$B,$E992,Prod_Prop!$H:$H,R$1,Prod_Prop!$I:$I,"Exacto"),Prod_Prop!$A:$A,Prod_Prop!$J:$J,"",0,1))</f>
        <v/>
      </c>
      <c r="S992" s="4" t="str">
        <f t="array" ref="S992">IF($E992="","", XLOOKUP(SUMIFS(Prod_Prop!$A:$A,Prod_Prop!$B:$B,$E992,Prod_Prop!$H:$H,S$1,Prod_Prop!$I:$I,"Exacto"),Prod_Prop!$A:$A,Prod_Prop!$J:$J,"",0,1))</f>
        <v/>
      </c>
      <c r="T992" s="4" t="str">
        <f t="array" ref="T992">IF($E992="","", XLOOKUP(SUMIFS(Prod_Prop!$A:$A,Prod_Prop!$B:$B,$E992,Prod_Prop!$H:$H,T$1,Prod_Prop!$I:$I,"Exacto"),Prod_Prop!$A:$A,Prod_Prop!$J:$J,"",0,1))</f>
        <v/>
      </c>
      <c r="U992" s="4" t="str">
        <f t="array" ref="U992">IF($E992="","", XLOOKUP(SUMIFS(Prod_Prop!$A:$A,Prod_Prop!$B:$B,$E992,Prod_Prop!$H:$H,U$1,Prod_Prop!$I:$I,"Exacto"),Prod_Prop!$A:$A,Prod_Prop!$J:$J,"",0,1))</f>
        <v/>
      </c>
      <c r="V992" s="4" t="str">
        <f t="array" ref="V992">IF($E992="","", XLOOKUP(SUMIFS(Prod_Prop!$A:$A,Prod_Prop!$B:$B,$E992,Prod_Prop!$H:$H,V$1,Prod_Prop!$I:$I,"Exacto"),Prod_Prop!$A:$A,Prod_Prop!$J:$J,"",0,1))</f>
        <v/>
      </c>
      <c r="X992" s="3" t="str">
        <f>IFERROR(__xludf.DUMMYFUNCTION("IF(D992="""","""",IFERROR(TRANSPOSE(FILTER('Validaciones Cotizador'!U:U,'Validaciones Cotizador'!O:O=D992,'Validaciones Cotizador'!T:T=""x"")),""Finalizar""))"),"")</f>
        <v/>
      </c>
    </row>
    <row r="993">
      <c r="A993" s="2" t="str">
        <f t="array" ref="A993">IF(E993="","",XLOOKUP(D993,'Validaciones Cotizador'!C:C,'Validaciones Cotizador'!A:A,"",0,1))</f>
        <v/>
      </c>
      <c r="B993" s="2" t="str">
        <f t="array" ref="B993">IF(F993="","",XLOOKUP(F993,Productos!E:E,Productos!G:G,"",0,1))</f>
        <v/>
      </c>
      <c r="C993" s="2" t="str">
        <f>IF(A993="","",SUMIFS('Validaciones Cotizador'!B:B,'Validaciones Cotizador'!C:C,D993,'Validaciones Cotizador'!A:A,A993))</f>
        <v/>
      </c>
      <c r="D993" s="4" t="str">
        <f>IFERROR(__xludf.DUMMYFUNCTION("IF(OR(F992=""Finalizar"",F992="""",F992=""Selecciona..""),"""",IF(OR(F992=""-"",INDEX(filter(Familias!F:F,Familias!D:D=A992,Familias!E:E=C992),1)=""O""),D992+1,D992))"),"")</f>
        <v/>
      </c>
      <c r="E993" s="2" t="str">
        <f>IF(OR(F993="",F993="Selecciona.."),"",IF(D993="Implemento",SUMIF(Implementos!B:B,F993,Implementos!A:A),SUMIF(Productos!E:E,F993,Productos!A:A)))</f>
        <v/>
      </c>
      <c r="F993" s="2" t="str">
        <f t="shared" si="2"/>
        <v/>
      </c>
      <c r="G993" s="10" t="str">
        <f t="array" ref="G993">IF(OR(F993="",F993="-",F993="Selecciona..",F993="Finalizar"),"",IF(A993="Rodados",XLOOKUP(B993,'Validaciones Cotizador'!I:I,'Validaciones Cotizador'!J:J,0,0,1),1))</f>
        <v/>
      </c>
      <c r="H993" s="11" t="str">
        <f>IF(OR(F993="",F993="Selecciona.."),"",SUMIF(Precio_Productos!K:K,E993,Precio_Productos!J:J)*G993)</f>
        <v/>
      </c>
      <c r="I993" s="4" t="str">
        <f t="array" ref="I993">IF($E993="","", XLOOKUP(SUMIFS(Prod_Prop!$A:$A,Prod_Prop!$B:$B,$E993,Prod_Prop!$H:$H,I$1,Prod_Prop!$I:$I,"Exacto"),Prod_Prop!$A:$A,Prod_Prop!$J:$J,"",0,1))</f>
        <v/>
      </c>
      <c r="J993" s="4" t="str">
        <f t="array" ref="J993">IF($E993="","", XLOOKUP(SUMIFS(Prod_Prop!$A:$A,Prod_Prop!$B:$B,$E993,Prod_Prop!$H:$H,J$1,Prod_Prop!$I:$I,"Exacto"),Prod_Prop!$A:$A,Prod_Prop!$J:$J,"",0,1))</f>
        <v/>
      </c>
      <c r="K993" s="4" t="str">
        <f t="array" ref="K993">IF($E993="","", XLOOKUP(SUMIFS(Prod_Prop!$A:$A,Prod_Prop!$B:$B,$E993,Prod_Prop!$H:$H,K$1,Prod_Prop!$I:$I,"Exacto"),Prod_Prop!$A:$A,Prod_Prop!$J:$J,"",0,1))</f>
        <v/>
      </c>
      <c r="L993" s="4" t="str">
        <f t="array" ref="L993">IF($E993="","", XLOOKUP(SUMIFS(Prod_Prop!$A:$A,Prod_Prop!$B:$B,$E993,Prod_Prop!$H:$H,L$1,Prod_Prop!$I:$I,"Exacto"),Prod_Prop!$A:$A,Prod_Prop!$J:$J,"",0,1))</f>
        <v/>
      </c>
      <c r="M993" s="4" t="str">
        <f t="array" ref="M993">IF($E993="","", XLOOKUP(SUMIFS(Prod_Prop!$A:$A,Prod_Prop!$B:$B,$E993,Prod_Prop!$H:$H,M$1,Prod_Prop!$I:$I,"Exacto"),Prod_Prop!$A:$A,Prod_Prop!$J:$J,"",0,1))</f>
        <v/>
      </c>
      <c r="N993" s="4" t="str">
        <f t="array" ref="N993">IF($E993="","", XLOOKUP(SUMIFS(Prod_Prop!$A:$A,Prod_Prop!$B:$B,$E993,Prod_Prop!$H:$H,N$1,Prod_Prop!$I:$I,"Exacto"),Prod_Prop!$A:$A,Prod_Prop!$J:$J,"",0,1))</f>
        <v/>
      </c>
      <c r="O993" s="4" t="str">
        <f t="array" ref="O993">IF($E993="","", XLOOKUP(SUMIFS(Prod_Prop!$A:$A,Prod_Prop!$B:$B,$E993,Prod_Prop!$H:$H,O$1,Prod_Prop!$I:$I,"Exacto"),Prod_Prop!$A:$A,Prod_Prop!$J:$J,"",0,1))</f>
        <v/>
      </c>
      <c r="P993" s="4" t="str">
        <f t="array" ref="P993">IF($E993="","", XLOOKUP(SUMIFS(Prod_Prop!$A:$A,Prod_Prop!$B:$B,$E993,Prod_Prop!$H:$H,P$1,Prod_Prop!$I:$I,"Exacto"),Prod_Prop!$A:$A,Prod_Prop!$J:$J,"",0,1))</f>
        <v/>
      </c>
      <c r="Q993" s="4" t="str">
        <f t="array" ref="Q993">IF($E993="","", XLOOKUP(SUMIFS(Prod_Prop!$A:$A,Prod_Prop!$B:$B,$E993,Prod_Prop!$H:$H,Q$1,Prod_Prop!$I:$I,"Exacto"),Prod_Prop!$A:$A,Prod_Prop!$J:$J,"",0,1))</f>
        <v/>
      </c>
      <c r="R993" s="4" t="str">
        <f t="array" ref="R993">IF($E993="","", XLOOKUP(SUMIFS(Prod_Prop!$A:$A,Prod_Prop!$B:$B,$E993,Prod_Prop!$H:$H,R$1,Prod_Prop!$I:$I,"Exacto"),Prod_Prop!$A:$A,Prod_Prop!$J:$J,"",0,1))</f>
        <v/>
      </c>
      <c r="S993" s="4" t="str">
        <f t="array" ref="S993">IF($E993="","", XLOOKUP(SUMIFS(Prod_Prop!$A:$A,Prod_Prop!$B:$B,$E993,Prod_Prop!$H:$H,S$1,Prod_Prop!$I:$I,"Exacto"),Prod_Prop!$A:$A,Prod_Prop!$J:$J,"",0,1))</f>
        <v/>
      </c>
      <c r="T993" s="4" t="str">
        <f t="array" ref="T993">IF($E993="","", XLOOKUP(SUMIFS(Prod_Prop!$A:$A,Prod_Prop!$B:$B,$E993,Prod_Prop!$H:$H,T$1,Prod_Prop!$I:$I,"Exacto"),Prod_Prop!$A:$A,Prod_Prop!$J:$J,"",0,1))</f>
        <v/>
      </c>
      <c r="U993" s="4" t="str">
        <f t="array" ref="U993">IF($E993="","", XLOOKUP(SUMIFS(Prod_Prop!$A:$A,Prod_Prop!$B:$B,$E993,Prod_Prop!$H:$H,U$1,Prod_Prop!$I:$I,"Exacto"),Prod_Prop!$A:$A,Prod_Prop!$J:$J,"",0,1))</f>
        <v/>
      </c>
      <c r="V993" s="4" t="str">
        <f t="array" ref="V993">IF($E993="","", XLOOKUP(SUMIFS(Prod_Prop!$A:$A,Prod_Prop!$B:$B,$E993,Prod_Prop!$H:$H,V$1,Prod_Prop!$I:$I,"Exacto"),Prod_Prop!$A:$A,Prod_Prop!$J:$J,"",0,1))</f>
        <v/>
      </c>
      <c r="X993" s="3" t="str">
        <f>IFERROR(__xludf.DUMMYFUNCTION("IF(D993="""","""",IFERROR(TRANSPOSE(FILTER('Validaciones Cotizador'!U:U,'Validaciones Cotizador'!O:O=D993,'Validaciones Cotizador'!T:T=""x"")),""Finalizar""))"),"")</f>
        <v/>
      </c>
    </row>
    <row r="994">
      <c r="A994" s="2" t="str">
        <f t="array" ref="A994">IF(E994="","",XLOOKUP(D994,'Validaciones Cotizador'!C:C,'Validaciones Cotizador'!A:A,"",0,1))</f>
        <v/>
      </c>
      <c r="B994" s="2" t="str">
        <f t="array" ref="B994">IF(F994="","",XLOOKUP(F994,Productos!E:E,Productos!G:G,"",0,1))</f>
        <v/>
      </c>
      <c r="C994" s="2" t="str">
        <f>IF(A994="","",SUMIFS('Validaciones Cotizador'!B:B,'Validaciones Cotizador'!C:C,D994,'Validaciones Cotizador'!A:A,A994))</f>
        <v/>
      </c>
      <c r="D994" s="4" t="str">
        <f>IFERROR(__xludf.DUMMYFUNCTION("IF(OR(F993=""Finalizar"",F993="""",F993=""Selecciona..""),"""",IF(OR(F993=""-"",INDEX(filter(Familias!F:F,Familias!D:D=A993,Familias!E:E=C993),1)=""O""),D993+1,D993))"),"")</f>
        <v/>
      </c>
      <c r="E994" s="2" t="str">
        <f>IF(OR(F994="",F994="Selecciona.."),"",IF(D994="Implemento",SUMIF(Implementos!B:B,F994,Implementos!A:A),SUMIF(Productos!E:E,F994,Productos!A:A)))</f>
        <v/>
      </c>
      <c r="F994" s="2" t="str">
        <f t="shared" si="2"/>
        <v/>
      </c>
      <c r="G994" s="10" t="str">
        <f t="array" ref="G994">IF(OR(F994="",F994="-",F994="Selecciona..",F994="Finalizar"),"",IF(A994="Rodados",XLOOKUP(B994,'Validaciones Cotizador'!I:I,'Validaciones Cotizador'!J:J,0,0,1),1))</f>
        <v/>
      </c>
      <c r="H994" s="11" t="str">
        <f>IF(OR(F994="",F994="Selecciona.."),"",SUMIF(Precio_Productos!K:K,E994,Precio_Productos!J:J)*G994)</f>
        <v/>
      </c>
      <c r="I994" s="4" t="str">
        <f t="array" ref="I994">IF($E994="","", XLOOKUP(SUMIFS(Prod_Prop!$A:$A,Prod_Prop!$B:$B,$E994,Prod_Prop!$H:$H,I$1,Prod_Prop!$I:$I,"Exacto"),Prod_Prop!$A:$A,Prod_Prop!$J:$J,"",0,1))</f>
        <v/>
      </c>
      <c r="J994" s="4" t="str">
        <f t="array" ref="J994">IF($E994="","", XLOOKUP(SUMIFS(Prod_Prop!$A:$A,Prod_Prop!$B:$B,$E994,Prod_Prop!$H:$H,J$1,Prod_Prop!$I:$I,"Exacto"),Prod_Prop!$A:$A,Prod_Prop!$J:$J,"",0,1))</f>
        <v/>
      </c>
      <c r="K994" s="4" t="str">
        <f t="array" ref="K994">IF($E994="","", XLOOKUP(SUMIFS(Prod_Prop!$A:$A,Prod_Prop!$B:$B,$E994,Prod_Prop!$H:$H,K$1,Prod_Prop!$I:$I,"Exacto"),Prod_Prop!$A:$A,Prod_Prop!$J:$J,"",0,1))</f>
        <v/>
      </c>
      <c r="L994" s="4" t="str">
        <f t="array" ref="L994">IF($E994="","", XLOOKUP(SUMIFS(Prod_Prop!$A:$A,Prod_Prop!$B:$B,$E994,Prod_Prop!$H:$H,L$1,Prod_Prop!$I:$I,"Exacto"),Prod_Prop!$A:$A,Prod_Prop!$J:$J,"",0,1))</f>
        <v/>
      </c>
      <c r="M994" s="4" t="str">
        <f t="array" ref="M994">IF($E994="","", XLOOKUP(SUMIFS(Prod_Prop!$A:$A,Prod_Prop!$B:$B,$E994,Prod_Prop!$H:$H,M$1,Prod_Prop!$I:$I,"Exacto"),Prod_Prop!$A:$A,Prod_Prop!$J:$J,"",0,1))</f>
        <v/>
      </c>
      <c r="N994" s="4" t="str">
        <f t="array" ref="N994">IF($E994="","", XLOOKUP(SUMIFS(Prod_Prop!$A:$A,Prod_Prop!$B:$B,$E994,Prod_Prop!$H:$H,N$1,Prod_Prop!$I:$I,"Exacto"),Prod_Prop!$A:$A,Prod_Prop!$J:$J,"",0,1))</f>
        <v/>
      </c>
      <c r="O994" s="4" t="str">
        <f t="array" ref="O994">IF($E994="","", XLOOKUP(SUMIFS(Prod_Prop!$A:$A,Prod_Prop!$B:$B,$E994,Prod_Prop!$H:$H,O$1,Prod_Prop!$I:$I,"Exacto"),Prod_Prop!$A:$A,Prod_Prop!$J:$J,"",0,1))</f>
        <v/>
      </c>
      <c r="P994" s="4" t="str">
        <f t="array" ref="P994">IF($E994="","", XLOOKUP(SUMIFS(Prod_Prop!$A:$A,Prod_Prop!$B:$B,$E994,Prod_Prop!$H:$H,P$1,Prod_Prop!$I:$I,"Exacto"),Prod_Prop!$A:$A,Prod_Prop!$J:$J,"",0,1))</f>
        <v/>
      </c>
      <c r="Q994" s="4" t="str">
        <f t="array" ref="Q994">IF($E994="","", XLOOKUP(SUMIFS(Prod_Prop!$A:$A,Prod_Prop!$B:$B,$E994,Prod_Prop!$H:$H,Q$1,Prod_Prop!$I:$I,"Exacto"),Prod_Prop!$A:$A,Prod_Prop!$J:$J,"",0,1))</f>
        <v/>
      </c>
      <c r="R994" s="4" t="str">
        <f t="array" ref="R994">IF($E994="","", XLOOKUP(SUMIFS(Prod_Prop!$A:$A,Prod_Prop!$B:$B,$E994,Prod_Prop!$H:$H,R$1,Prod_Prop!$I:$I,"Exacto"),Prod_Prop!$A:$A,Prod_Prop!$J:$J,"",0,1))</f>
        <v/>
      </c>
      <c r="S994" s="4" t="str">
        <f t="array" ref="S994">IF($E994="","", XLOOKUP(SUMIFS(Prod_Prop!$A:$A,Prod_Prop!$B:$B,$E994,Prod_Prop!$H:$H,S$1,Prod_Prop!$I:$I,"Exacto"),Prod_Prop!$A:$A,Prod_Prop!$J:$J,"",0,1))</f>
        <v/>
      </c>
      <c r="T994" s="4" t="str">
        <f t="array" ref="T994">IF($E994="","", XLOOKUP(SUMIFS(Prod_Prop!$A:$A,Prod_Prop!$B:$B,$E994,Prod_Prop!$H:$H,T$1,Prod_Prop!$I:$I,"Exacto"),Prod_Prop!$A:$A,Prod_Prop!$J:$J,"",0,1))</f>
        <v/>
      </c>
      <c r="U994" s="4" t="str">
        <f t="array" ref="U994">IF($E994="","", XLOOKUP(SUMIFS(Prod_Prop!$A:$A,Prod_Prop!$B:$B,$E994,Prod_Prop!$H:$H,U$1,Prod_Prop!$I:$I,"Exacto"),Prod_Prop!$A:$A,Prod_Prop!$J:$J,"",0,1))</f>
        <v/>
      </c>
      <c r="V994" s="4" t="str">
        <f t="array" ref="V994">IF($E994="","", XLOOKUP(SUMIFS(Prod_Prop!$A:$A,Prod_Prop!$B:$B,$E994,Prod_Prop!$H:$H,V$1,Prod_Prop!$I:$I,"Exacto"),Prod_Prop!$A:$A,Prod_Prop!$J:$J,"",0,1))</f>
        <v/>
      </c>
      <c r="X994" s="3" t="str">
        <f>IFERROR(__xludf.DUMMYFUNCTION("IF(D994="""","""",IFERROR(TRANSPOSE(FILTER('Validaciones Cotizador'!U:U,'Validaciones Cotizador'!O:O=D994,'Validaciones Cotizador'!T:T=""x"")),""Finalizar""))"),"")</f>
        <v/>
      </c>
    </row>
    <row r="995">
      <c r="A995" s="2" t="str">
        <f t="array" ref="A995">IF(E995="","",XLOOKUP(D995,'Validaciones Cotizador'!C:C,'Validaciones Cotizador'!A:A,"",0,1))</f>
        <v/>
      </c>
      <c r="B995" s="2" t="str">
        <f t="array" ref="B995">IF(F995="","",XLOOKUP(F995,Productos!E:E,Productos!G:G,"",0,1))</f>
        <v/>
      </c>
      <c r="C995" s="2" t="str">
        <f>IF(A995="","",SUMIFS('Validaciones Cotizador'!B:B,'Validaciones Cotizador'!C:C,D995,'Validaciones Cotizador'!A:A,A995))</f>
        <v/>
      </c>
      <c r="D995" s="4" t="str">
        <f>IFERROR(__xludf.DUMMYFUNCTION("IF(OR(F994=""Finalizar"",F994="""",F994=""Selecciona..""),"""",IF(OR(F994=""-"",INDEX(filter(Familias!F:F,Familias!D:D=A994,Familias!E:E=C994),1)=""O""),D994+1,D994))"),"")</f>
        <v/>
      </c>
      <c r="E995" s="2" t="str">
        <f>IF(OR(F995="",F995="Selecciona.."),"",IF(D995="Implemento",SUMIF(Implementos!B:B,F995,Implementos!A:A),SUMIF(Productos!E:E,F995,Productos!A:A)))</f>
        <v/>
      </c>
      <c r="F995" s="2" t="str">
        <f t="shared" si="2"/>
        <v/>
      </c>
      <c r="G995" s="10" t="str">
        <f t="array" ref="G995">IF(OR(F995="",F995="-",F995="Selecciona..",F995="Finalizar"),"",IF(A995="Rodados",XLOOKUP(B995,'Validaciones Cotizador'!I:I,'Validaciones Cotizador'!J:J,0,0,1),1))</f>
        <v/>
      </c>
      <c r="H995" s="11" t="str">
        <f>IF(OR(F995="",F995="Selecciona.."),"",SUMIF(Precio_Productos!K:K,E995,Precio_Productos!J:J)*G995)</f>
        <v/>
      </c>
      <c r="I995" s="4" t="str">
        <f t="array" ref="I995">IF($E995="","", XLOOKUP(SUMIFS(Prod_Prop!$A:$A,Prod_Prop!$B:$B,$E995,Prod_Prop!$H:$H,I$1,Prod_Prop!$I:$I,"Exacto"),Prod_Prop!$A:$A,Prod_Prop!$J:$J,"",0,1))</f>
        <v/>
      </c>
      <c r="J995" s="4" t="str">
        <f t="array" ref="J995">IF($E995="","", XLOOKUP(SUMIFS(Prod_Prop!$A:$A,Prod_Prop!$B:$B,$E995,Prod_Prop!$H:$H,J$1,Prod_Prop!$I:$I,"Exacto"),Prod_Prop!$A:$A,Prod_Prop!$J:$J,"",0,1))</f>
        <v/>
      </c>
      <c r="K995" s="4" t="str">
        <f t="array" ref="K995">IF($E995="","", XLOOKUP(SUMIFS(Prod_Prop!$A:$A,Prod_Prop!$B:$B,$E995,Prod_Prop!$H:$H,K$1,Prod_Prop!$I:$I,"Exacto"),Prod_Prop!$A:$A,Prod_Prop!$J:$J,"",0,1))</f>
        <v/>
      </c>
      <c r="L995" s="4" t="str">
        <f t="array" ref="L995">IF($E995="","", XLOOKUP(SUMIFS(Prod_Prop!$A:$A,Prod_Prop!$B:$B,$E995,Prod_Prop!$H:$H,L$1,Prod_Prop!$I:$I,"Exacto"),Prod_Prop!$A:$A,Prod_Prop!$J:$J,"",0,1))</f>
        <v/>
      </c>
      <c r="M995" s="4" t="str">
        <f t="array" ref="M995">IF($E995="","", XLOOKUP(SUMIFS(Prod_Prop!$A:$A,Prod_Prop!$B:$B,$E995,Prod_Prop!$H:$H,M$1,Prod_Prop!$I:$I,"Exacto"),Prod_Prop!$A:$A,Prod_Prop!$J:$J,"",0,1))</f>
        <v/>
      </c>
      <c r="N995" s="4" t="str">
        <f t="array" ref="N995">IF($E995="","", XLOOKUP(SUMIFS(Prod_Prop!$A:$A,Prod_Prop!$B:$B,$E995,Prod_Prop!$H:$H,N$1,Prod_Prop!$I:$I,"Exacto"),Prod_Prop!$A:$A,Prod_Prop!$J:$J,"",0,1))</f>
        <v/>
      </c>
      <c r="O995" s="4" t="str">
        <f t="array" ref="O995">IF($E995="","", XLOOKUP(SUMIFS(Prod_Prop!$A:$A,Prod_Prop!$B:$B,$E995,Prod_Prop!$H:$H,O$1,Prod_Prop!$I:$I,"Exacto"),Prod_Prop!$A:$A,Prod_Prop!$J:$J,"",0,1))</f>
        <v/>
      </c>
      <c r="P995" s="4" t="str">
        <f t="array" ref="P995">IF($E995="","", XLOOKUP(SUMIFS(Prod_Prop!$A:$A,Prod_Prop!$B:$B,$E995,Prod_Prop!$H:$H,P$1,Prod_Prop!$I:$I,"Exacto"),Prod_Prop!$A:$A,Prod_Prop!$J:$J,"",0,1))</f>
        <v/>
      </c>
      <c r="Q995" s="4" t="str">
        <f t="array" ref="Q995">IF($E995="","", XLOOKUP(SUMIFS(Prod_Prop!$A:$A,Prod_Prop!$B:$B,$E995,Prod_Prop!$H:$H,Q$1,Prod_Prop!$I:$I,"Exacto"),Prod_Prop!$A:$A,Prod_Prop!$J:$J,"",0,1))</f>
        <v/>
      </c>
      <c r="R995" s="4" t="str">
        <f t="array" ref="R995">IF($E995="","", XLOOKUP(SUMIFS(Prod_Prop!$A:$A,Prod_Prop!$B:$B,$E995,Prod_Prop!$H:$H,R$1,Prod_Prop!$I:$I,"Exacto"),Prod_Prop!$A:$A,Prod_Prop!$J:$J,"",0,1))</f>
        <v/>
      </c>
      <c r="S995" s="4" t="str">
        <f t="array" ref="S995">IF($E995="","", XLOOKUP(SUMIFS(Prod_Prop!$A:$A,Prod_Prop!$B:$B,$E995,Prod_Prop!$H:$H,S$1,Prod_Prop!$I:$I,"Exacto"),Prod_Prop!$A:$A,Prod_Prop!$J:$J,"",0,1))</f>
        <v/>
      </c>
      <c r="T995" s="4" t="str">
        <f t="array" ref="T995">IF($E995="","", XLOOKUP(SUMIFS(Prod_Prop!$A:$A,Prod_Prop!$B:$B,$E995,Prod_Prop!$H:$H,T$1,Prod_Prop!$I:$I,"Exacto"),Prod_Prop!$A:$A,Prod_Prop!$J:$J,"",0,1))</f>
        <v/>
      </c>
      <c r="U995" s="4" t="str">
        <f t="array" ref="U995">IF($E995="","", XLOOKUP(SUMIFS(Prod_Prop!$A:$A,Prod_Prop!$B:$B,$E995,Prod_Prop!$H:$H,U$1,Prod_Prop!$I:$I,"Exacto"),Prod_Prop!$A:$A,Prod_Prop!$J:$J,"",0,1))</f>
        <v/>
      </c>
      <c r="V995" s="4" t="str">
        <f t="array" ref="V995">IF($E995="","", XLOOKUP(SUMIFS(Prod_Prop!$A:$A,Prod_Prop!$B:$B,$E995,Prod_Prop!$H:$H,V$1,Prod_Prop!$I:$I,"Exacto"),Prod_Prop!$A:$A,Prod_Prop!$J:$J,"",0,1))</f>
        <v/>
      </c>
      <c r="X995" s="3" t="str">
        <f>IFERROR(__xludf.DUMMYFUNCTION("IF(D995="""","""",IFERROR(TRANSPOSE(FILTER('Validaciones Cotizador'!U:U,'Validaciones Cotizador'!O:O=D995,'Validaciones Cotizador'!T:T=""x"")),""Finalizar""))"),"")</f>
        <v/>
      </c>
    </row>
    <row r="996">
      <c r="A996" s="2" t="str">
        <f t="array" ref="A996">IF(E996="","",XLOOKUP(D996,'Validaciones Cotizador'!C:C,'Validaciones Cotizador'!A:A,"",0,1))</f>
        <v/>
      </c>
      <c r="B996" s="2" t="str">
        <f t="array" ref="B996">IF(F996="","",XLOOKUP(F996,Productos!E:E,Productos!G:G,"",0,1))</f>
        <v/>
      </c>
      <c r="C996" s="2" t="str">
        <f>IF(A996="","",SUMIFS('Validaciones Cotizador'!B:B,'Validaciones Cotizador'!C:C,D996,'Validaciones Cotizador'!A:A,A996))</f>
        <v/>
      </c>
      <c r="D996" s="4" t="str">
        <f>IFERROR(__xludf.DUMMYFUNCTION("IF(OR(F995=""Finalizar"",F995="""",F995=""Selecciona..""),"""",IF(OR(F995=""-"",INDEX(filter(Familias!F:F,Familias!D:D=A995,Familias!E:E=C995),1)=""O""),D995+1,D995))"),"")</f>
        <v/>
      </c>
      <c r="E996" s="2" t="str">
        <f>IF(OR(F996="",F996="Selecciona.."),"",IF(D996="Implemento",SUMIF(Implementos!B:B,F996,Implementos!A:A),SUMIF(Productos!E:E,F996,Productos!A:A)))</f>
        <v/>
      </c>
      <c r="F996" s="2" t="str">
        <f t="shared" si="2"/>
        <v/>
      </c>
      <c r="G996" s="10" t="str">
        <f t="array" ref="G996">IF(OR(F996="",F996="-",F996="Selecciona..",F996="Finalizar"),"",IF(A996="Rodados",XLOOKUP(B996,'Validaciones Cotizador'!I:I,'Validaciones Cotizador'!J:J,0,0,1),1))</f>
        <v/>
      </c>
      <c r="H996" s="11" t="str">
        <f>IF(OR(F996="",F996="Selecciona.."),"",SUMIF(Precio_Productos!K:K,E996,Precio_Productos!J:J)*G996)</f>
        <v/>
      </c>
      <c r="I996" s="4" t="str">
        <f t="array" ref="I996">IF($E996="","", XLOOKUP(SUMIFS(Prod_Prop!$A:$A,Prod_Prop!$B:$B,$E996,Prod_Prop!$H:$H,I$1,Prod_Prop!$I:$I,"Exacto"),Prod_Prop!$A:$A,Prod_Prop!$J:$J,"",0,1))</f>
        <v/>
      </c>
      <c r="J996" s="4" t="str">
        <f t="array" ref="J996">IF($E996="","", XLOOKUP(SUMIFS(Prod_Prop!$A:$A,Prod_Prop!$B:$B,$E996,Prod_Prop!$H:$H,J$1,Prod_Prop!$I:$I,"Exacto"),Prod_Prop!$A:$A,Prod_Prop!$J:$J,"",0,1))</f>
        <v/>
      </c>
      <c r="K996" s="4" t="str">
        <f t="array" ref="K996">IF($E996="","", XLOOKUP(SUMIFS(Prod_Prop!$A:$A,Prod_Prop!$B:$B,$E996,Prod_Prop!$H:$H,K$1,Prod_Prop!$I:$I,"Exacto"),Prod_Prop!$A:$A,Prod_Prop!$J:$J,"",0,1))</f>
        <v/>
      </c>
      <c r="L996" s="4" t="str">
        <f t="array" ref="L996">IF($E996="","", XLOOKUP(SUMIFS(Prod_Prop!$A:$A,Prod_Prop!$B:$B,$E996,Prod_Prop!$H:$H,L$1,Prod_Prop!$I:$I,"Exacto"),Prod_Prop!$A:$A,Prod_Prop!$J:$J,"",0,1))</f>
        <v/>
      </c>
      <c r="M996" s="4" t="str">
        <f t="array" ref="M996">IF($E996="","", XLOOKUP(SUMIFS(Prod_Prop!$A:$A,Prod_Prop!$B:$B,$E996,Prod_Prop!$H:$H,M$1,Prod_Prop!$I:$I,"Exacto"),Prod_Prop!$A:$A,Prod_Prop!$J:$J,"",0,1))</f>
        <v/>
      </c>
      <c r="N996" s="4" t="str">
        <f t="array" ref="N996">IF($E996="","", XLOOKUP(SUMIFS(Prod_Prop!$A:$A,Prod_Prop!$B:$B,$E996,Prod_Prop!$H:$H,N$1,Prod_Prop!$I:$I,"Exacto"),Prod_Prop!$A:$A,Prod_Prop!$J:$J,"",0,1))</f>
        <v/>
      </c>
      <c r="O996" s="4" t="str">
        <f t="array" ref="O996">IF($E996="","", XLOOKUP(SUMIFS(Prod_Prop!$A:$A,Prod_Prop!$B:$B,$E996,Prod_Prop!$H:$H,O$1,Prod_Prop!$I:$I,"Exacto"),Prod_Prop!$A:$A,Prod_Prop!$J:$J,"",0,1))</f>
        <v/>
      </c>
      <c r="P996" s="4" t="str">
        <f t="array" ref="P996">IF($E996="","", XLOOKUP(SUMIFS(Prod_Prop!$A:$A,Prod_Prop!$B:$B,$E996,Prod_Prop!$H:$H,P$1,Prod_Prop!$I:$I,"Exacto"),Prod_Prop!$A:$A,Prod_Prop!$J:$J,"",0,1))</f>
        <v/>
      </c>
      <c r="Q996" s="4" t="str">
        <f t="array" ref="Q996">IF($E996="","", XLOOKUP(SUMIFS(Prod_Prop!$A:$A,Prod_Prop!$B:$B,$E996,Prod_Prop!$H:$H,Q$1,Prod_Prop!$I:$I,"Exacto"),Prod_Prop!$A:$A,Prod_Prop!$J:$J,"",0,1))</f>
        <v/>
      </c>
      <c r="R996" s="4" t="str">
        <f t="array" ref="R996">IF($E996="","", XLOOKUP(SUMIFS(Prod_Prop!$A:$A,Prod_Prop!$B:$B,$E996,Prod_Prop!$H:$H,R$1,Prod_Prop!$I:$I,"Exacto"),Prod_Prop!$A:$A,Prod_Prop!$J:$J,"",0,1))</f>
        <v/>
      </c>
      <c r="S996" s="4" t="str">
        <f t="array" ref="S996">IF($E996="","", XLOOKUP(SUMIFS(Prod_Prop!$A:$A,Prod_Prop!$B:$B,$E996,Prod_Prop!$H:$H,S$1,Prod_Prop!$I:$I,"Exacto"),Prod_Prop!$A:$A,Prod_Prop!$J:$J,"",0,1))</f>
        <v/>
      </c>
      <c r="T996" s="4" t="str">
        <f t="array" ref="T996">IF($E996="","", XLOOKUP(SUMIFS(Prod_Prop!$A:$A,Prod_Prop!$B:$B,$E996,Prod_Prop!$H:$H,T$1,Prod_Prop!$I:$I,"Exacto"),Prod_Prop!$A:$A,Prod_Prop!$J:$J,"",0,1))</f>
        <v/>
      </c>
      <c r="U996" s="4" t="str">
        <f t="array" ref="U996">IF($E996="","", XLOOKUP(SUMIFS(Prod_Prop!$A:$A,Prod_Prop!$B:$B,$E996,Prod_Prop!$H:$H,U$1,Prod_Prop!$I:$I,"Exacto"),Prod_Prop!$A:$A,Prod_Prop!$J:$J,"",0,1))</f>
        <v/>
      </c>
      <c r="V996" s="4" t="str">
        <f t="array" ref="V996">IF($E996="","", XLOOKUP(SUMIFS(Prod_Prop!$A:$A,Prod_Prop!$B:$B,$E996,Prod_Prop!$H:$H,V$1,Prod_Prop!$I:$I,"Exacto"),Prod_Prop!$A:$A,Prod_Prop!$J:$J,"",0,1))</f>
        <v/>
      </c>
      <c r="X996" s="3" t="str">
        <f>IFERROR(__xludf.DUMMYFUNCTION("IF(D996="""","""",IFERROR(TRANSPOSE(FILTER('Validaciones Cotizador'!U:U,'Validaciones Cotizador'!O:O=D996,'Validaciones Cotizador'!T:T=""x"")),""Finalizar""))"),"")</f>
        <v/>
      </c>
    </row>
    <row r="997">
      <c r="A997" s="2" t="str">
        <f t="array" ref="A997">IF(E997="","",XLOOKUP(D997,'Validaciones Cotizador'!C:C,'Validaciones Cotizador'!A:A,"",0,1))</f>
        <v/>
      </c>
      <c r="B997" s="2" t="str">
        <f t="array" ref="B997">IF(F997="","",XLOOKUP(F997,Productos!E:E,Productos!G:G,"",0,1))</f>
        <v/>
      </c>
      <c r="C997" s="2" t="str">
        <f>IF(A997="","",SUMIFS('Validaciones Cotizador'!B:B,'Validaciones Cotizador'!C:C,D997,'Validaciones Cotizador'!A:A,A997))</f>
        <v/>
      </c>
      <c r="D997" s="4" t="str">
        <f>IFERROR(__xludf.DUMMYFUNCTION("IF(OR(F996=""Finalizar"",F996="""",F996=""Selecciona..""),"""",IF(OR(F996=""-"",INDEX(filter(Familias!F:F,Familias!D:D=A996,Familias!E:E=C996),1)=""O""),D996+1,D996))"),"")</f>
        <v/>
      </c>
      <c r="E997" s="2" t="str">
        <f>IF(OR(F997="",F997="Selecciona.."),"",IF(D997="Implemento",SUMIF(Implementos!B:B,F997,Implementos!A:A),SUMIF(Productos!E:E,F997,Productos!A:A)))</f>
        <v/>
      </c>
      <c r="F997" s="2" t="str">
        <f t="shared" si="2"/>
        <v/>
      </c>
      <c r="G997" s="10" t="str">
        <f t="array" ref="G997">IF(OR(F997="",F997="-",F997="Selecciona..",F997="Finalizar"),"",IF(A997="Rodados",XLOOKUP(B997,'Validaciones Cotizador'!I:I,'Validaciones Cotizador'!J:J,0,0,1),1))</f>
        <v/>
      </c>
      <c r="H997" s="11" t="str">
        <f>IF(OR(F997="",F997="Selecciona.."),"",SUMIF(Precio_Productos!K:K,E997,Precio_Productos!J:J)*G997)</f>
        <v/>
      </c>
      <c r="I997" s="4" t="str">
        <f t="array" ref="I997">IF($E997="","", XLOOKUP(SUMIFS(Prod_Prop!$A:$A,Prod_Prop!$B:$B,$E997,Prod_Prop!$H:$H,I$1,Prod_Prop!$I:$I,"Exacto"),Prod_Prop!$A:$A,Prod_Prop!$J:$J,"",0,1))</f>
        <v/>
      </c>
      <c r="J997" s="4" t="str">
        <f t="array" ref="J997">IF($E997="","", XLOOKUP(SUMIFS(Prod_Prop!$A:$A,Prod_Prop!$B:$B,$E997,Prod_Prop!$H:$H,J$1,Prod_Prop!$I:$I,"Exacto"),Prod_Prop!$A:$A,Prod_Prop!$J:$J,"",0,1))</f>
        <v/>
      </c>
      <c r="K997" s="4" t="str">
        <f t="array" ref="K997">IF($E997="","", XLOOKUP(SUMIFS(Prod_Prop!$A:$A,Prod_Prop!$B:$B,$E997,Prod_Prop!$H:$H,K$1,Prod_Prop!$I:$I,"Exacto"),Prod_Prop!$A:$A,Prod_Prop!$J:$J,"",0,1))</f>
        <v/>
      </c>
      <c r="L997" s="4" t="str">
        <f t="array" ref="L997">IF($E997="","", XLOOKUP(SUMIFS(Prod_Prop!$A:$A,Prod_Prop!$B:$B,$E997,Prod_Prop!$H:$H,L$1,Prod_Prop!$I:$I,"Exacto"),Prod_Prop!$A:$A,Prod_Prop!$J:$J,"",0,1))</f>
        <v/>
      </c>
      <c r="M997" s="4" t="str">
        <f t="array" ref="M997">IF($E997="","", XLOOKUP(SUMIFS(Prod_Prop!$A:$A,Prod_Prop!$B:$B,$E997,Prod_Prop!$H:$H,M$1,Prod_Prop!$I:$I,"Exacto"),Prod_Prop!$A:$A,Prod_Prop!$J:$J,"",0,1))</f>
        <v/>
      </c>
      <c r="N997" s="4" t="str">
        <f t="array" ref="N997">IF($E997="","", XLOOKUP(SUMIFS(Prod_Prop!$A:$A,Prod_Prop!$B:$B,$E997,Prod_Prop!$H:$H,N$1,Prod_Prop!$I:$I,"Exacto"),Prod_Prop!$A:$A,Prod_Prop!$J:$J,"",0,1))</f>
        <v/>
      </c>
      <c r="O997" s="4" t="str">
        <f t="array" ref="O997">IF($E997="","", XLOOKUP(SUMIFS(Prod_Prop!$A:$A,Prod_Prop!$B:$B,$E997,Prod_Prop!$H:$H,O$1,Prod_Prop!$I:$I,"Exacto"),Prod_Prop!$A:$A,Prod_Prop!$J:$J,"",0,1))</f>
        <v/>
      </c>
      <c r="P997" s="4" t="str">
        <f t="array" ref="P997">IF($E997="","", XLOOKUP(SUMIFS(Prod_Prop!$A:$A,Prod_Prop!$B:$B,$E997,Prod_Prop!$H:$H,P$1,Prod_Prop!$I:$I,"Exacto"),Prod_Prop!$A:$A,Prod_Prop!$J:$J,"",0,1))</f>
        <v/>
      </c>
      <c r="Q997" s="4" t="str">
        <f t="array" ref="Q997">IF($E997="","", XLOOKUP(SUMIFS(Prod_Prop!$A:$A,Prod_Prop!$B:$B,$E997,Prod_Prop!$H:$H,Q$1,Prod_Prop!$I:$I,"Exacto"),Prod_Prop!$A:$A,Prod_Prop!$J:$J,"",0,1))</f>
        <v/>
      </c>
      <c r="R997" s="4" t="str">
        <f t="array" ref="R997">IF($E997="","", XLOOKUP(SUMIFS(Prod_Prop!$A:$A,Prod_Prop!$B:$B,$E997,Prod_Prop!$H:$H,R$1,Prod_Prop!$I:$I,"Exacto"),Prod_Prop!$A:$A,Prod_Prop!$J:$J,"",0,1))</f>
        <v/>
      </c>
      <c r="S997" s="4" t="str">
        <f t="array" ref="S997">IF($E997="","", XLOOKUP(SUMIFS(Prod_Prop!$A:$A,Prod_Prop!$B:$B,$E997,Prod_Prop!$H:$H,S$1,Prod_Prop!$I:$I,"Exacto"),Prod_Prop!$A:$A,Prod_Prop!$J:$J,"",0,1))</f>
        <v/>
      </c>
      <c r="T997" s="4" t="str">
        <f t="array" ref="T997">IF($E997="","", XLOOKUP(SUMIFS(Prod_Prop!$A:$A,Prod_Prop!$B:$B,$E997,Prod_Prop!$H:$H,T$1,Prod_Prop!$I:$I,"Exacto"),Prod_Prop!$A:$A,Prod_Prop!$J:$J,"",0,1))</f>
        <v/>
      </c>
      <c r="U997" s="4" t="str">
        <f t="array" ref="U997">IF($E997="","", XLOOKUP(SUMIFS(Prod_Prop!$A:$A,Prod_Prop!$B:$B,$E997,Prod_Prop!$H:$H,U$1,Prod_Prop!$I:$I,"Exacto"),Prod_Prop!$A:$A,Prod_Prop!$J:$J,"",0,1))</f>
        <v/>
      </c>
      <c r="V997" s="4" t="str">
        <f t="array" ref="V997">IF($E997="","", XLOOKUP(SUMIFS(Prod_Prop!$A:$A,Prod_Prop!$B:$B,$E997,Prod_Prop!$H:$H,V$1,Prod_Prop!$I:$I,"Exacto"),Prod_Prop!$A:$A,Prod_Prop!$J:$J,"",0,1))</f>
        <v/>
      </c>
      <c r="X997" s="3" t="str">
        <f>IFERROR(__xludf.DUMMYFUNCTION("IF(D997="""","""",IFERROR(TRANSPOSE(FILTER('Validaciones Cotizador'!U:U,'Validaciones Cotizador'!O:O=D997,'Validaciones Cotizador'!T:T=""x"")),""Finalizar""))"),"")</f>
        <v/>
      </c>
    </row>
    <row r="998">
      <c r="A998" s="2" t="str">
        <f t="array" ref="A998">IF(E998="","",XLOOKUP(D998,'Validaciones Cotizador'!C:C,'Validaciones Cotizador'!A:A,"",0,1))</f>
        <v/>
      </c>
      <c r="B998" s="2" t="str">
        <f t="array" ref="B998">IF(F998="","",XLOOKUP(F998,Productos!E:E,Productos!G:G,"",0,1))</f>
        <v/>
      </c>
      <c r="C998" s="2" t="str">
        <f>IF(A998="","",SUMIFS('Validaciones Cotizador'!B:B,'Validaciones Cotizador'!C:C,D998,'Validaciones Cotizador'!A:A,A998))</f>
        <v/>
      </c>
      <c r="D998" s="4" t="str">
        <f>IFERROR(__xludf.DUMMYFUNCTION("IF(OR(F997=""Finalizar"",F997="""",F997=""Selecciona..""),"""",IF(OR(F997=""-"",INDEX(filter(Familias!F:F,Familias!D:D=A997,Familias!E:E=C997),1)=""O""),D997+1,D997))"),"")</f>
        <v/>
      </c>
      <c r="E998" s="2" t="str">
        <f>IF(OR(F998="",F998="Selecciona.."),"",IF(D998="Implemento",SUMIF(Implementos!B:B,F998,Implementos!A:A),SUMIF(Productos!E:E,F998,Productos!A:A)))</f>
        <v/>
      </c>
      <c r="F998" s="2" t="str">
        <f t="shared" si="2"/>
        <v/>
      </c>
      <c r="G998" s="10" t="str">
        <f t="array" ref="G998">IF(OR(F998="",F998="-",F998="Selecciona..",F998="Finalizar"),"",IF(A998="Rodados",XLOOKUP(B998,'Validaciones Cotizador'!I:I,'Validaciones Cotizador'!J:J,0,0,1),1))</f>
        <v/>
      </c>
      <c r="H998" s="11" t="str">
        <f>IF(OR(F998="",F998="Selecciona.."),"",SUMIF(Precio_Productos!K:K,E998,Precio_Productos!J:J)*G998)</f>
        <v/>
      </c>
      <c r="I998" s="4" t="str">
        <f t="array" ref="I998">IF($E998="","", XLOOKUP(SUMIFS(Prod_Prop!$A:$A,Prod_Prop!$B:$B,$E998,Prod_Prop!$H:$H,I$1,Prod_Prop!$I:$I,"Exacto"),Prod_Prop!$A:$A,Prod_Prop!$J:$J,"",0,1))</f>
        <v/>
      </c>
      <c r="J998" s="4" t="str">
        <f t="array" ref="J998">IF($E998="","", XLOOKUP(SUMIFS(Prod_Prop!$A:$A,Prod_Prop!$B:$B,$E998,Prod_Prop!$H:$H,J$1,Prod_Prop!$I:$I,"Exacto"),Prod_Prop!$A:$A,Prod_Prop!$J:$J,"",0,1))</f>
        <v/>
      </c>
      <c r="K998" s="4" t="str">
        <f t="array" ref="K998">IF($E998="","", XLOOKUP(SUMIFS(Prod_Prop!$A:$A,Prod_Prop!$B:$B,$E998,Prod_Prop!$H:$H,K$1,Prod_Prop!$I:$I,"Exacto"),Prod_Prop!$A:$A,Prod_Prop!$J:$J,"",0,1))</f>
        <v/>
      </c>
      <c r="L998" s="4" t="str">
        <f t="array" ref="L998">IF($E998="","", XLOOKUP(SUMIFS(Prod_Prop!$A:$A,Prod_Prop!$B:$B,$E998,Prod_Prop!$H:$H,L$1,Prod_Prop!$I:$I,"Exacto"),Prod_Prop!$A:$A,Prod_Prop!$J:$J,"",0,1))</f>
        <v/>
      </c>
      <c r="M998" s="4" t="str">
        <f t="array" ref="M998">IF($E998="","", XLOOKUP(SUMIFS(Prod_Prop!$A:$A,Prod_Prop!$B:$B,$E998,Prod_Prop!$H:$H,M$1,Prod_Prop!$I:$I,"Exacto"),Prod_Prop!$A:$A,Prod_Prop!$J:$J,"",0,1))</f>
        <v/>
      </c>
      <c r="N998" s="4" t="str">
        <f t="array" ref="N998">IF($E998="","", XLOOKUP(SUMIFS(Prod_Prop!$A:$A,Prod_Prop!$B:$B,$E998,Prod_Prop!$H:$H,N$1,Prod_Prop!$I:$I,"Exacto"),Prod_Prop!$A:$A,Prod_Prop!$J:$J,"",0,1))</f>
        <v/>
      </c>
      <c r="O998" s="4" t="str">
        <f t="array" ref="O998">IF($E998="","", XLOOKUP(SUMIFS(Prod_Prop!$A:$A,Prod_Prop!$B:$B,$E998,Prod_Prop!$H:$H,O$1,Prod_Prop!$I:$I,"Exacto"),Prod_Prop!$A:$A,Prod_Prop!$J:$J,"",0,1))</f>
        <v/>
      </c>
      <c r="P998" s="4" t="str">
        <f t="array" ref="P998">IF($E998="","", XLOOKUP(SUMIFS(Prod_Prop!$A:$A,Prod_Prop!$B:$B,$E998,Prod_Prop!$H:$H,P$1,Prod_Prop!$I:$I,"Exacto"),Prod_Prop!$A:$A,Prod_Prop!$J:$J,"",0,1))</f>
        <v/>
      </c>
      <c r="Q998" s="4" t="str">
        <f t="array" ref="Q998">IF($E998="","", XLOOKUP(SUMIFS(Prod_Prop!$A:$A,Prod_Prop!$B:$B,$E998,Prod_Prop!$H:$H,Q$1,Prod_Prop!$I:$I,"Exacto"),Prod_Prop!$A:$A,Prod_Prop!$J:$J,"",0,1))</f>
        <v/>
      </c>
      <c r="R998" s="4" t="str">
        <f t="array" ref="R998">IF($E998="","", XLOOKUP(SUMIFS(Prod_Prop!$A:$A,Prod_Prop!$B:$B,$E998,Prod_Prop!$H:$H,R$1,Prod_Prop!$I:$I,"Exacto"),Prod_Prop!$A:$A,Prod_Prop!$J:$J,"",0,1))</f>
        <v/>
      </c>
      <c r="S998" s="4" t="str">
        <f t="array" ref="S998">IF($E998="","", XLOOKUP(SUMIFS(Prod_Prop!$A:$A,Prod_Prop!$B:$B,$E998,Prod_Prop!$H:$H,S$1,Prod_Prop!$I:$I,"Exacto"),Prod_Prop!$A:$A,Prod_Prop!$J:$J,"",0,1))</f>
        <v/>
      </c>
      <c r="T998" s="4" t="str">
        <f t="array" ref="T998">IF($E998="","", XLOOKUP(SUMIFS(Prod_Prop!$A:$A,Prod_Prop!$B:$B,$E998,Prod_Prop!$H:$H,T$1,Prod_Prop!$I:$I,"Exacto"),Prod_Prop!$A:$A,Prod_Prop!$J:$J,"",0,1))</f>
        <v/>
      </c>
      <c r="U998" s="4" t="str">
        <f t="array" ref="U998">IF($E998="","", XLOOKUP(SUMIFS(Prod_Prop!$A:$A,Prod_Prop!$B:$B,$E998,Prod_Prop!$H:$H,U$1,Prod_Prop!$I:$I,"Exacto"),Prod_Prop!$A:$A,Prod_Prop!$J:$J,"",0,1))</f>
        <v/>
      </c>
      <c r="V998" s="4" t="str">
        <f t="array" ref="V998">IF($E998="","", XLOOKUP(SUMIFS(Prod_Prop!$A:$A,Prod_Prop!$B:$B,$E998,Prod_Prop!$H:$H,V$1,Prod_Prop!$I:$I,"Exacto"),Prod_Prop!$A:$A,Prod_Prop!$J:$J,"",0,1))</f>
        <v/>
      </c>
      <c r="X998" s="3" t="str">
        <f>IFERROR(__xludf.DUMMYFUNCTION("IF(D998="""","""",IFERROR(TRANSPOSE(FILTER('Validaciones Cotizador'!U:U,'Validaciones Cotizador'!O:O=D998,'Validaciones Cotizador'!T:T=""x"")),""Finalizar""))"),"")</f>
        <v/>
      </c>
    </row>
    <row r="999">
      <c r="A999" s="2" t="str">
        <f t="array" ref="A999">IF(E999="","",XLOOKUP(D999,'Validaciones Cotizador'!C:C,'Validaciones Cotizador'!A:A,"",0,1))</f>
        <v/>
      </c>
      <c r="B999" s="2" t="str">
        <f t="array" ref="B999">IF(F999="","",XLOOKUP(F999,Productos!E:E,Productos!G:G,"",0,1))</f>
        <v/>
      </c>
      <c r="C999" s="2" t="str">
        <f>IF(A999="","",SUMIFS('Validaciones Cotizador'!B:B,'Validaciones Cotizador'!C:C,D999,'Validaciones Cotizador'!A:A,A999))</f>
        <v/>
      </c>
      <c r="D999" s="4" t="str">
        <f>IFERROR(__xludf.DUMMYFUNCTION("IF(OR(F998=""Finalizar"",F998="""",F998=""Selecciona..""),"""",IF(OR(F998=""-"",INDEX(filter(Familias!F:F,Familias!D:D=A998,Familias!E:E=C998),1)=""O""),D998+1,D998))"),"")</f>
        <v/>
      </c>
      <c r="E999" s="2" t="str">
        <f>IF(OR(F999="",F999="Selecciona.."),"",IF(D999="Implemento",SUMIF(Implementos!B:B,F999,Implementos!A:A),SUMIF(Productos!E:E,F999,Productos!A:A)))</f>
        <v/>
      </c>
      <c r="F999" s="2" t="str">
        <f t="shared" si="2"/>
        <v/>
      </c>
      <c r="G999" s="10" t="str">
        <f t="array" ref="G999">IF(OR(F999="",F999="-",F999="Selecciona..",F999="Finalizar"),"",IF(A999="Rodados",XLOOKUP(B999,'Validaciones Cotizador'!I:I,'Validaciones Cotizador'!J:J,0,0,1),1))</f>
        <v/>
      </c>
      <c r="H999" s="11" t="str">
        <f>IF(OR(F999="",F999="Selecciona.."),"",SUMIF(Precio_Productos!K:K,E999,Precio_Productos!J:J)*G999)</f>
        <v/>
      </c>
      <c r="I999" s="4" t="str">
        <f t="array" ref="I999">IF($E999="","", XLOOKUP(SUMIFS(Prod_Prop!$A:$A,Prod_Prop!$B:$B,$E999,Prod_Prop!$H:$H,I$1,Prod_Prop!$I:$I,"Exacto"),Prod_Prop!$A:$A,Prod_Prop!$J:$J,"",0,1))</f>
        <v/>
      </c>
      <c r="J999" s="4" t="str">
        <f t="array" ref="J999">IF($E999="","", XLOOKUP(SUMIFS(Prod_Prop!$A:$A,Prod_Prop!$B:$B,$E999,Prod_Prop!$H:$H,J$1,Prod_Prop!$I:$I,"Exacto"),Prod_Prop!$A:$A,Prod_Prop!$J:$J,"",0,1))</f>
        <v/>
      </c>
      <c r="K999" s="4" t="str">
        <f t="array" ref="K999">IF($E999="","", XLOOKUP(SUMIFS(Prod_Prop!$A:$A,Prod_Prop!$B:$B,$E999,Prod_Prop!$H:$H,K$1,Prod_Prop!$I:$I,"Exacto"),Prod_Prop!$A:$A,Prod_Prop!$J:$J,"",0,1))</f>
        <v/>
      </c>
      <c r="L999" s="4" t="str">
        <f t="array" ref="L999">IF($E999="","", XLOOKUP(SUMIFS(Prod_Prop!$A:$A,Prod_Prop!$B:$B,$E999,Prod_Prop!$H:$H,L$1,Prod_Prop!$I:$I,"Exacto"),Prod_Prop!$A:$A,Prod_Prop!$J:$J,"",0,1))</f>
        <v/>
      </c>
      <c r="M999" s="4" t="str">
        <f t="array" ref="M999">IF($E999="","", XLOOKUP(SUMIFS(Prod_Prop!$A:$A,Prod_Prop!$B:$B,$E999,Prod_Prop!$H:$H,M$1,Prod_Prop!$I:$I,"Exacto"),Prod_Prop!$A:$A,Prod_Prop!$J:$J,"",0,1))</f>
        <v/>
      </c>
      <c r="N999" s="4" t="str">
        <f t="array" ref="N999">IF($E999="","", XLOOKUP(SUMIFS(Prod_Prop!$A:$A,Prod_Prop!$B:$B,$E999,Prod_Prop!$H:$H,N$1,Prod_Prop!$I:$I,"Exacto"),Prod_Prop!$A:$A,Prod_Prop!$J:$J,"",0,1))</f>
        <v/>
      </c>
      <c r="O999" s="4" t="str">
        <f t="array" ref="O999">IF($E999="","", XLOOKUP(SUMIFS(Prod_Prop!$A:$A,Prod_Prop!$B:$B,$E999,Prod_Prop!$H:$H,O$1,Prod_Prop!$I:$I,"Exacto"),Prod_Prop!$A:$A,Prod_Prop!$J:$J,"",0,1))</f>
        <v/>
      </c>
      <c r="P999" s="4" t="str">
        <f t="array" ref="P999">IF($E999="","", XLOOKUP(SUMIFS(Prod_Prop!$A:$A,Prod_Prop!$B:$B,$E999,Prod_Prop!$H:$H,P$1,Prod_Prop!$I:$I,"Exacto"),Prod_Prop!$A:$A,Prod_Prop!$J:$J,"",0,1))</f>
        <v/>
      </c>
      <c r="Q999" s="4" t="str">
        <f t="array" ref="Q999">IF($E999="","", XLOOKUP(SUMIFS(Prod_Prop!$A:$A,Prod_Prop!$B:$B,$E999,Prod_Prop!$H:$H,Q$1,Prod_Prop!$I:$I,"Exacto"),Prod_Prop!$A:$A,Prod_Prop!$J:$J,"",0,1))</f>
        <v/>
      </c>
      <c r="R999" s="4" t="str">
        <f t="array" ref="R999">IF($E999="","", XLOOKUP(SUMIFS(Prod_Prop!$A:$A,Prod_Prop!$B:$B,$E999,Prod_Prop!$H:$H,R$1,Prod_Prop!$I:$I,"Exacto"),Prod_Prop!$A:$A,Prod_Prop!$J:$J,"",0,1))</f>
        <v/>
      </c>
      <c r="S999" s="4" t="str">
        <f t="array" ref="S999">IF($E999="","", XLOOKUP(SUMIFS(Prod_Prop!$A:$A,Prod_Prop!$B:$B,$E999,Prod_Prop!$H:$H,S$1,Prod_Prop!$I:$I,"Exacto"),Prod_Prop!$A:$A,Prod_Prop!$J:$J,"",0,1))</f>
        <v/>
      </c>
      <c r="T999" s="4" t="str">
        <f t="array" ref="T999">IF($E999="","", XLOOKUP(SUMIFS(Prod_Prop!$A:$A,Prod_Prop!$B:$B,$E999,Prod_Prop!$H:$H,T$1,Prod_Prop!$I:$I,"Exacto"),Prod_Prop!$A:$A,Prod_Prop!$J:$J,"",0,1))</f>
        <v/>
      </c>
      <c r="U999" s="4" t="str">
        <f t="array" ref="U999">IF($E999="","", XLOOKUP(SUMIFS(Prod_Prop!$A:$A,Prod_Prop!$B:$B,$E999,Prod_Prop!$H:$H,U$1,Prod_Prop!$I:$I,"Exacto"),Prod_Prop!$A:$A,Prod_Prop!$J:$J,"",0,1))</f>
        <v/>
      </c>
      <c r="V999" s="4" t="str">
        <f t="array" ref="V999">IF($E999="","", XLOOKUP(SUMIFS(Prod_Prop!$A:$A,Prod_Prop!$B:$B,$E999,Prod_Prop!$H:$H,V$1,Prod_Prop!$I:$I,"Exacto"),Prod_Prop!$A:$A,Prod_Prop!$J:$J,"",0,1))</f>
        <v/>
      </c>
      <c r="X999" s="3" t="str">
        <f>IFERROR(__xludf.DUMMYFUNCTION("IF(D999="""","""",IFERROR(TRANSPOSE(FILTER('Validaciones Cotizador'!U:U,'Validaciones Cotizador'!O:O=D999,'Validaciones Cotizador'!T:T=""x"")),""Finalizar""))"),"")</f>
        <v/>
      </c>
    </row>
    <row r="1000">
      <c r="A1000" s="2" t="str">
        <f t="array" ref="A1000">IF(E1000="","",XLOOKUP(D1000,'Validaciones Cotizador'!C:C,'Validaciones Cotizador'!A:A,"",0,1))</f>
        <v/>
      </c>
      <c r="B1000" s="2" t="str">
        <f t="array" ref="B1000">IF(F1000="","",XLOOKUP(F1000,Productos!E:E,Productos!G:G,"",0,1))</f>
        <v/>
      </c>
      <c r="C1000" s="2" t="str">
        <f>IF(A1000="","",SUMIFS('Validaciones Cotizador'!B:B,'Validaciones Cotizador'!C:C,D1000,'Validaciones Cotizador'!A:A,A1000))</f>
        <v/>
      </c>
      <c r="D1000" s="4" t="str">
        <f>IFERROR(__xludf.DUMMYFUNCTION("IF(OR(F999=""Finalizar"",F999="""",F999=""Selecciona..""),"""",IF(OR(F999=""-"",INDEX(filter(Familias!F:F,Familias!D:D=A999,Familias!E:E=C999),1)=""O""),D999+1,D999))"),"")</f>
        <v/>
      </c>
      <c r="E1000" s="2" t="str">
        <f>IF(OR(F1000="",F1000="Selecciona.."),"",IF(D1000="Implemento",SUMIF(Implementos!B:B,F1000,Implementos!A:A),SUMIF(Productos!E:E,F1000,Productos!A:A)))</f>
        <v/>
      </c>
      <c r="F1000" s="2" t="str">
        <f t="shared" si="2"/>
        <v/>
      </c>
      <c r="G1000" s="10" t="str">
        <f t="array" ref="G1000">IF(OR(F1000="",F1000="-",F1000="Selecciona..",F1000="Finalizar"),"",IF(A1000="Rodados",XLOOKUP(B1000,'Validaciones Cotizador'!I:I,'Validaciones Cotizador'!J:J,0,0,1),1))</f>
        <v/>
      </c>
      <c r="H1000" s="11" t="str">
        <f>IF(OR(F1000="",F1000="Selecciona.."),"",SUMIF(Precio_Productos!K:K,E1000,Precio_Productos!J:J)*G1000)</f>
        <v/>
      </c>
      <c r="I1000" s="4" t="str">
        <f t="array" ref="I1000">IF($E1000="","", XLOOKUP(SUMIFS(Prod_Prop!$A:$A,Prod_Prop!$B:$B,$E1000,Prod_Prop!$H:$H,I$1,Prod_Prop!$I:$I,"Exacto"),Prod_Prop!$A:$A,Prod_Prop!$J:$J,"",0,1))</f>
        <v/>
      </c>
      <c r="J1000" s="4" t="str">
        <f t="array" ref="J1000">IF($E1000="","", XLOOKUP(SUMIFS(Prod_Prop!$A:$A,Prod_Prop!$B:$B,$E1000,Prod_Prop!$H:$H,J$1,Prod_Prop!$I:$I,"Exacto"),Prod_Prop!$A:$A,Prod_Prop!$J:$J,"",0,1))</f>
        <v/>
      </c>
      <c r="K1000" s="4" t="str">
        <f t="array" ref="K1000">IF($E1000="","", XLOOKUP(SUMIFS(Prod_Prop!$A:$A,Prod_Prop!$B:$B,$E1000,Prod_Prop!$H:$H,K$1,Prod_Prop!$I:$I,"Exacto"),Prod_Prop!$A:$A,Prod_Prop!$J:$J,"",0,1))</f>
        <v/>
      </c>
      <c r="L1000" s="4" t="str">
        <f t="array" ref="L1000">IF($E1000="","", XLOOKUP(SUMIFS(Prod_Prop!$A:$A,Prod_Prop!$B:$B,$E1000,Prod_Prop!$H:$H,L$1,Prod_Prop!$I:$I,"Exacto"),Prod_Prop!$A:$A,Prod_Prop!$J:$J,"",0,1))</f>
        <v/>
      </c>
      <c r="M1000" s="4" t="str">
        <f t="array" ref="M1000">IF($E1000="","", XLOOKUP(SUMIFS(Prod_Prop!$A:$A,Prod_Prop!$B:$B,$E1000,Prod_Prop!$H:$H,M$1,Prod_Prop!$I:$I,"Exacto"),Prod_Prop!$A:$A,Prod_Prop!$J:$J,"",0,1))</f>
        <v/>
      </c>
      <c r="N1000" s="4" t="str">
        <f t="array" ref="N1000">IF($E1000="","", XLOOKUP(SUMIFS(Prod_Prop!$A:$A,Prod_Prop!$B:$B,$E1000,Prod_Prop!$H:$H,N$1,Prod_Prop!$I:$I,"Exacto"),Prod_Prop!$A:$A,Prod_Prop!$J:$J,"",0,1))</f>
        <v/>
      </c>
      <c r="O1000" s="4" t="str">
        <f t="array" ref="O1000">IF($E1000="","", XLOOKUP(SUMIFS(Prod_Prop!$A:$A,Prod_Prop!$B:$B,$E1000,Prod_Prop!$H:$H,O$1,Prod_Prop!$I:$I,"Exacto"),Prod_Prop!$A:$A,Prod_Prop!$J:$J,"",0,1))</f>
        <v/>
      </c>
      <c r="P1000" s="4" t="str">
        <f t="array" ref="P1000">IF($E1000="","", XLOOKUP(SUMIFS(Prod_Prop!$A:$A,Prod_Prop!$B:$B,$E1000,Prod_Prop!$H:$H,P$1,Prod_Prop!$I:$I,"Exacto"),Prod_Prop!$A:$A,Prod_Prop!$J:$J,"",0,1))</f>
        <v/>
      </c>
      <c r="Q1000" s="4" t="str">
        <f t="array" ref="Q1000">IF($E1000="","", XLOOKUP(SUMIFS(Prod_Prop!$A:$A,Prod_Prop!$B:$B,$E1000,Prod_Prop!$H:$H,Q$1,Prod_Prop!$I:$I,"Exacto"),Prod_Prop!$A:$A,Prod_Prop!$J:$J,"",0,1))</f>
        <v/>
      </c>
      <c r="R1000" s="4" t="str">
        <f t="array" ref="R1000">IF($E1000="","", XLOOKUP(SUMIFS(Prod_Prop!$A:$A,Prod_Prop!$B:$B,$E1000,Prod_Prop!$H:$H,R$1,Prod_Prop!$I:$I,"Exacto"),Prod_Prop!$A:$A,Prod_Prop!$J:$J,"",0,1))</f>
        <v/>
      </c>
      <c r="S1000" s="4" t="str">
        <f t="array" ref="S1000">IF($E1000="","", XLOOKUP(SUMIFS(Prod_Prop!$A:$A,Prod_Prop!$B:$B,$E1000,Prod_Prop!$H:$H,S$1,Prod_Prop!$I:$I,"Exacto"),Prod_Prop!$A:$A,Prod_Prop!$J:$J,"",0,1))</f>
        <v/>
      </c>
      <c r="T1000" s="4" t="str">
        <f t="array" ref="T1000">IF($E1000="","", XLOOKUP(SUMIFS(Prod_Prop!$A:$A,Prod_Prop!$B:$B,$E1000,Prod_Prop!$H:$H,T$1,Prod_Prop!$I:$I,"Exacto"),Prod_Prop!$A:$A,Prod_Prop!$J:$J,"",0,1))</f>
        <v/>
      </c>
      <c r="U1000" s="4" t="str">
        <f t="array" ref="U1000">IF($E1000="","", XLOOKUP(SUMIFS(Prod_Prop!$A:$A,Prod_Prop!$B:$B,$E1000,Prod_Prop!$H:$H,U$1,Prod_Prop!$I:$I,"Exacto"),Prod_Prop!$A:$A,Prod_Prop!$J:$J,"",0,1))</f>
        <v/>
      </c>
      <c r="V1000" s="4" t="str">
        <f t="array" ref="V1000">IF($E1000="","", XLOOKUP(SUMIFS(Prod_Prop!$A:$A,Prod_Prop!$B:$B,$E1000,Prod_Prop!$H:$H,V$1,Prod_Prop!$I:$I,"Exacto"),Prod_Prop!$A:$A,Prod_Prop!$J:$J,"",0,1))</f>
        <v/>
      </c>
      <c r="X1000" s="3" t="str">
        <f>IFERROR(__xludf.DUMMYFUNCTION("IF(D1000="""","""",IFERROR(TRANSPOSE(FILTER('Validaciones Cotizador'!U:U,'Validaciones Cotizador'!O:O=D1000,'Validaciones Cotizador'!T:T=""x"")),""Finalizar""))"),"")</f>
        <v/>
      </c>
    </row>
    <row r="1001">
      <c r="A1001" s="2" t="str">
        <f t="array" ref="A1001">IF(E1001="","",XLOOKUP(D1001,'Validaciones Cotizador'!C:C,'Validaciones Cotizador'!A:A,"",0,1))</f>
        <v/>
      </c>
      <c r="B1001" s="2" t="str">
        <f t="array" ref="B1001">IF(F1001="","",XLOOKUP(F1001,Productos!E:E,Productos!G:G,"",0,1))</f>
        <v/>
      </c>
      <c r="C1001" s="2" t="str">
        <f>IF(A1001="","",SUMIFS('Validaciones Cotizador'!B:B,'Validaciones Cotizador'!C:C,D1001,'Validaciones Cotizador'!A:A,A1001))</f>
        <v/>
      </c>
      <c r="D1001" s="4" t="str">
        <f>IFERROR(__xludf.DUMMYFUNCTION("IF(OR(F1000=""Finalizar"",F1000="""",F1000=""Selecciona..""),"""",IF(OR(F1000=""-"",INDEX(filter(Familias!F:F,Familias!D:D=A1000,Familias!E:E=C1000),1)=""O""),D1000+1,D1000))"),"")</f>
        <v/>
      </c>
      <c r="E1001" s="2" t="str">
        <f>IF(OR(F1001="",F1001="Selecciona.."),"",IF(D1001="Implemento",SUMIF(Implementos!B:B,F1001,Implementos!A:A),SUMIF(Productos!E:E,F1001,Productos!A:A)))</f>
        <v/>
      </c>
      <c r="F1001" s="2" t="str">
        <f t="shared" si="2"/>
        <v/>
      </c>
      <c r="G1001" s="10" t="str">
        <f t="array" ref="G1001">IF(OR(F1001="",F1001="-",F1001="Selecciona..",F1001="Finalizar"),"",IF(A1001="Rodados",XLOOKUP(B1001,'Validaciones Cotizador'!I:I,'Validaciones Cotizador'!J:J,0,0,1),1))</f>
        <v/>
      </c>
      <c r="H1001" s="11" t="str">
        <f>IF(OR(F1001="",F1001="Selecciona.."),"",SUMIF(Precio_Productos!K:K,E1001,Precio_Productos!J:J)*G1001)</f>
        <v/>
      </c>
      <c r="I1001" s="4" t="str">
        <f t="array" ref="I1001">IF($E1001="","", XLOOKUP(SUMIFS(Prod_Prop!$A:$A,Prod_Prop!$B:$B,$E1001,Prod_Prop!$H:$H,I$1,Prod_Prop!$I:$I,"Exacto"),Prod_Prop!$A:$A,Prod_Prop!$J:$J,"",0,1))</f>
        <v/>
      </c>
      <c r="J1001" s="4" t="str">
        <f t="array" ref="J1001">IF($E1001="","", XLOOKUP(SUMIFS(Prod_Prop!$A:$A,Prod_Prop!$B:$B,$E1001,Prod_Prop!$H:$H,J$1,Prod_Prop!$I:$I,"Exacto"),Prod_Prop!$A:$A,Prod_Prop!$J:$J,"",0,1))</f>
        <v/>
      </c>
      <c r="K1001" s="4" t="str">
        <f t="array" ref="K1001">IF($E1001="","", XLOOKUP(SUMIFS(Prod_Prop!$A:$A,Prod_Prop!$B:$B,$E1001,Prod_Prop!$H:$H,K$1,Prod_Prop!$I:$I,"Exacto"),Prod_Prop!$A:$A,Prod_Prop!$J:$J,"",0,1))</f>
        <v/>
      </c>
      <c r="L1001" s="4" t="str">
        <f t="array" ref="L1001">IF($E1001="","", XLOOKUP(SUMIFS(Prod_Prop!$A:$A,Prod_Prop!$B:$B,$E1001,Prod_Prop!$H:$H,L$1,Prod_Prop!$I:$I,"Exacto"),Prod_Prop!$A:$A,Prod_Prop!$J:$J,"",0,1))</f>
        <v/>
      </c>
      <c r="M1001" s="4" t="str">
        <f t="array" ref="M1001">IF($E1001="","", XLOOKUP(SUMIFS(Prod_Prop!$A:$A,Prod_Prop!$B:$B,$E1001,Prod_Prop!$H:$H,M$1,Prod_Prop!$I:$I,"Exacto"),Prod_Prop!$A:$A,Prod_Prop!$J:$J,"",0,1))</f>
        <v/>
      </c>
      <c r="N1001" s="4" t="str">
        <f t="array" ref="N1001">IF($E1001="","", XLOOKUP(SUMIFS(Prod_Prop!$A:$A,Prod_Prop!$B:$B,$E1001,Prod_Prop!$H:$H,N$1,Prod_Prop!$I:$I,"Exacto"),Prod_Prop!$A:$A,Prod_Prop!$J:$J,"",0,1))</f>
        <v/>
      </c>
      <c r="O1001" s="4" t="str">
        <f t="array" ref="O1001">IF($E1001="","", XLOOKUP(SUMIFS(Prod_Prop!$A:$A,Prod_Prop!$B:$B,$E1001,Prod_Prop!$H:$H,O$1,Prod_Prop!$I:$I,"Exacto"),Prod_Prop!$A:$A,Prod_Prop!$J:$J,"",0,1))</f>
        <v/>
      </c>
      <c r="P1001" s="4" t="str">
        <f t="array" ref="P1001">IF($E1001="","", XLOOKUP(SUMIFS(Prod_Prop!$A:$A,Prod_Prop!$B:$B,$E1001,Prod_Prop!$H:$H,P$1,Prod_Prop!$I:$I,"Exacto"),Prod_Prop!$A:$A,Prod_Prop!$J:$J,"",0,1))</f>
        <v/>
      </c>
      <c r="Q1001" s="4" t="str">
        <f t="array" ref="Q1001">IF($E1001="","", XLOOKUP(SUMIFS(Prod_Prop!$A:$A,Prod_Prop!$B:$B,$E1001,Prod_Prop!$H:$H,Q$1,Prod_Prop!$I:$I,"Exacto"),Prod_Prop!$A:$A,Prod_Prop!$J:$J,"",0,1))</f>
        <v/>
      </c>
      <c r="R1001" s="4" t="str">
        <f t="array" ref="R1001">IF($E1001="","", XLOOKUP(SUMIFS(Prod_Prop!$A:$A,Prod_Prop!$B:$B,$E1001,Prod_Prop!$H:$H,R$1,Prod_Prop!$I:$I,"Exacto"),Prod_Prop!$A:$A,Prod_Prop!$J:$J,"",0,1))</f>
        <v/>
      </c>
      <c r="S1001" s="4" t="str">
        <f t="array" ref="S1001">IF($E1001="","", XLOOKUP(SUMIFS(Prod_Prop!$A:$A,Prod_Prop!$B:$B,$E1001,Prod_Prop!$H:$H,S$1,Prod_Prop!$I:$I,"Exacto"),Prod_Prop!$A:$A,Prod_Prop!$J:$J,"",0,1))</f>
        <v/>
      </c>
      <c r="T1001" s="4" t="str">
        <f t="array" ref="T1001">IF($E1001="","", XLOOKUP(SUMIFS(Prod_Prop!$A:$A,Prod_Prop!$B:$B,$E1001,Prod_Prop!$H:$H,T$1,Prod_Prop!$I:$I,"Exacto"),Prod_Prop!$A:$A,Prod_Prop!$J:$J,"",0,1))</f>
        <v/>
      </c>
      <c r="U1001" s="4" t="str">
        <f t="array" ref="U1001">IF($E1001="","", XLOOKUP(SUMIFS(Prod_Prop!$A:$A,Prod_Prop!$B:$B,$E1001,Prod_Prop!$H:$H,U$1,Prod_Prop!$I:$I,"Exacto"),Prod_Prop!$A:$A,Prod_Prop!$J:$J,"",0,1))</f>
        <v/>
      </c>
      <c r="V1001" s="4" t="str">
        <f t="array" ref="V1001">IF($E1001="","", XLOOKUP(SUMIFS(Prod_Prop!$A:$A,Prod_Prop!$B:$B,$E1001,Prod_Prop!$H:$H,V$1,Prod_Prop!$I:$I,"Exacto"),Prod_Prop!$A:$A,Prod_Prop!$J:$J,"",0,1))</f>
        <v/>
      </c>
      <c r="X1001" s="3" t="str">
        <f>IFERROR(__xludf.DUMMYFUNCTION("IF(D1001="""","""",IFERROR(TRANSPOSE(FILTER('Validaciones Cotizador'!U:U,'Validaciones Cotizador'!O:O=D1001,'Validaciones Cotizador'!T:T=""x"")),""Finalizar""))"),"")</f>
        <v/>
      </c>
    </row>
    <row r="1002">
      <c r="A1002" s="2" t="str">
        <f t="array" ref="A1002">IF(E1002="","",XLOOKUP(D1002,'Validaciones Cotizador'!C:C,'Validaciones Cotizador'!A:A,"",0,1))</f>
        <v/>
      </c>
      <c r="B1002" s="2" t="str">
        <f t="array" ref="B1002">IF(F1002="","",XLOOKUP(F1002,Productos!E:E,Productos!G:G,"",0,1))</f>
        <v/>
      </c>
      <c r="C1002" s="2" t="str">
        <f>IF(A1002="","",SUMIFS('Validaciones Cotizador'!B:B,'Validaciones Cotizador'!C:C,D1002,'Validaciones Cotizador'!A:A,A1002))</f>
        <v/>
      </c>
      <c r="D1002" s="4" t="str">
        <f>IFERROR(__xludf.DUMMYFUNCTION("IF(OR(F1001=""Finalizar"",F1001="""",F1001=""Selecciona..""),"""",IF(OR(F1001=""-"",INDEX(filter(Familias!F:F,Familias!D:D=A1001,Familias!E:E=C1001),1)=""O""),D1001+1,D1001))"),"")</f>
        <v/>
      </c>
      <c r="E1002" s="2" t="str">
        <f>IF(OR(F1002="",F1002="Selecciona.."),"",IF(D1002="Implemento",SUMIF(Implementos!B:B,F1002,Implementos!A:A),SUMIF(Productos!E:E,F1002,Productos!A:A)))</f>
        <v/>
      </c>
      <c r="F1002" s="2" t="str">
        <f t="shared" si="2"/>
        <v/>
      </c>
      <c r="G1002" s="10" t="str">
        <f t="array" ref="G1002">IF(OR(F1002="",F1002="-",F1002="Selecciona..",F1002="Finalizar"),"",IF(A1002="Rodados",XLOOKUP(B1002,'Validaciones Cotizador'!I:I,'Validaciones Cotizador'!J:J,0,0,1),1))</f>
        <v/>
      </c>
      <c r="H1002" s="11" t="str">
        <f>IF(OR(F1002="",F1002="Selecciona.."),"",SUMIF(Precio_Productos!K:K,E1002,Precio_Productos!J:J)*G1002)</f>
        <v/>
      </c>
      <c r="I1002" s="4" t="str">
        <f t="array" ref="I1002">IF($E1002="","", XLOOKUP(SUMIFS(Prod_Prop!$A:$A,Prod_Prop!$B:$B,$E1002,Prod_Prop!$H:$H,I$1,Prod_Prop!$I:$I,"Exacto"),Prod_Prop!$A:$A,Prod_Prop!$J:$J,"",0,1))</f>
        <v/>
      </c>
      <c r="J1002" s="4" t="str">
        <f t="array" ref="J1002">IF($E1002="","", XLOOKUP(SUMIFS(Prod_Prop!$A:$A,Prod_Prop!$B:$B,$E1002,Prod_Prop!$H:$H,J$1,Prod_Prop!$I:$I,"Exacto"),Prod_Prop!$A:$A,Prod_Prop!$J:$J,"",0,1))</f>
        <v/>
      </c>
      <c r="K1002" s="4" t="str">
        <f t="array" ref="K1002">IF($E1002="","", XLOOKUP(SUMIFS(Prod_Prop!$A:$A,Prod_Prop!$B:$B,$E1002,Prod_Prop!$H:$H,K$1,Prod_Prop!$I:$I,"Exacto"),Prod_Prop!$A:$A,Prod_Prop!$J:$J,"",0,1))</f>
        <v/>
      </c>
      <c r="L1002" s="4" t="str">
        <f t="array" ref="L1002">IF($E1002="","", XLOOKUP(SUMIFS(Prod_Prop!$A:$A,Prod_Prop!$B:$B,$E1002,Prod_Prop!$H:$H,L$1,Prod_Prop!$I:$I,"Exacto"),Prod_Prop!$A:$A,Prod_Prop!$J:$J,"",0,1))</f>
        <v/>
      </c>
      <c r="M1002" s="4" t="str">
        <f t="array" ref="M1002">IF($E1002="","", XLOOKUP(SUMIFS(Prod_Prop!$A:$A,Prod_Prop!$B:$B,$E1002,Prod_Prop!$H:$H,M$1,Prod_Prop!$I:$I,"Exacto"),Prod_Prop!$A:$A,Prod_Prop!$J:$J,"",0,1))</f>
        <v/>
      </c>
      <c r="N1002" s="4" t="str">
        <f t="array" ref="N1002">IF($E1002="","", XLOOKUP(SUMIFS(Prod_Prop!$A:$A,Prod_Prop!$B:$B,$E1002,Prod_Prop!$H:$H,N$1,Prod_Prop!$I:$I,"Exacto"),Prod_Prop!$A:$A,Prod_Prop!$J:$J,"",0,1))</f>
        <v/>
      </c>
      <c r="O1002" s="4" t="str">
        <f t="array" ref="O1002">IF($E1002="","", XLOOKUP(SUMIFS(Prod_Prop!$A:$A,Prod_Prop!$B:$B,$E1002,Prod_Prop!$H:$H,O$1,Prod_Prop!$I:$I,"Exacto"),Prod_Prop!$A:$A,Prod_Prop!$J:$J,"",0,1))</f>
        <v/>
      </c>
      <c r="P1002" s="4" t="str">
        <f t="array" ref="P1002">IF($E1002="","", XLOOKUP(SUMIFS(Prod_Prop!$A:$A,Prod_Prop!$B:$B,$E1002,Prod_Prop!$H:$H,P$1,Prod_Prop!$I:$I,"Exacto"),Prod_Prop!$A:$A,Prod_Prop!$J:$J,"",0,1))</f>
        <v/>
      </c>
      <c r="Q1002" s="4" t="str">
        <f t="array" ref="Q1002">IF($E1002="","", XLOOKUP(SUMIFS(Prod_Prop!$A:$A,Prod_Prop!$B:$B,$E1002,Prod_Prop!$H:$H,Q$1,Prod_Prop!$I:$I,"Exacto"),Prod_Prop!$A:$A,Prod_Prop!$J:$J,"",0,1))</f>
        <v/>
      </c>
      <c r="R1002" s="4" t="str">
        <f t="array" ref="R1002">IF($E1002="","", XLOOKUP(SUMIFS(Prod_Prop!$A:$A,Prod_Prop!$B:$B,$E1002,Prod_Prop!$H:$H,R$1,Prod_Prop!$I:$I,"Exacto"),Prod_Prop!$A:$A,Prod_Prop!$J:$J,"",0,1))</f>
        <v/>
      </c>
      <c r="S1002" s="4" t="str">
        <f t="array" ref="S1002">IF($E1002="","", XLOOKUP(SUMIFS(Prod_Prop!$A:$A,Prod_Prop!$B:$B,$E1002,Prod_Prop!$H:$H,S$1,Prod_Prop!$I:$I,"Exacto"),Prod_Prop!$A:$A,Prod_Prop!$J:$J,"",0,1))</f>
        <v/>
      </c>
      <c r="T1002" s="4" t="str">
        <f t="array" ref="T1002">IF($E1002="","", XLOOKUP(SUMIFS(Prod_Prop!$A:$A,Prod_Prop!$B:$B,$E1002,Prod_Prop!$H:$H,T$1,Prod_Prop!$I:$I,"Exacto"),Prod_Prop!$A:$A,Prod_Prop!$J:$J,"",0,1))</f>
        <v/>
      </c>
      <c r="U1002" s="4" t="str">
        <f t="array" ref="U1002">IF($E1002="","", XLOOKUP(SUMIFS(Prod_Prop!$A:$A,Prod_Prop!$B:$B,$E1002,Prod_Prop!$H:$H,U$1,Prod_Prop!$I:$I,"Exacto"),Prod_Prop!$A:$A,Prod_Prop!$J:$J,"",0,1))</f>
        <v/>
      </c>
      <c r="V1002" s="4" t="str">
        <f t="array" ref="V1002">IF($E1002="","", XLOOKUP(SUMIFS(Prod_Prop!$A:$A,Prod_Prop!$B:$B,$E1002,Prod_Prop!$H:$H,V$1,Prod_Prop!$I:$I,"Exacto"),Prod_Prop!$A:$A,Prod_Prop!$J:$J,"",0,1))</f>
        <v/>
      </c>
      <c r="X1002" s="3" t="str">
        <f>IFERROR(__xludf.DUMMYFUNCTION("IF(D1002="""","""",IFERROR(TRANSPOSE(FILTER('Validaciones Cotizador'!U:U,'Validaciones Cotizador'!O:O=D1002,'Validaciones Cotizador'!T:T=""x"")),""Finalizar""))"),"")</f>
        <v/>
      </c>
    </row>
  </sheetData>
  <dataValidations>
    <dataValidation type="list" allowBlank="1" sqref="F4:F1002">
      <formula1>Cotizador!$L4:$AKX4</formula1>
    </dataValidation>
    <dataValidation type="list" allowBlank="1" sqref="F2">
      <formula1>Implementos!$B$2:$B$1000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5.25"/>
    <col customWidth="1" min="3" max="3" width="14.5"/>
    <col customWidth="1" min="4" max="5" width="9.88"/>
    <col customWidth="1" min="6" max="7" width="47.0"/>
    <col customWidth="1" min="8" max="8" width="15.0"/>
  </cols>
  <sheetData>
    <row r="1">
      <c r="A1" s="12" t="s">
        <v>33</v>
      </c>
      <c r="B1" s="12" t="s">
        <v>34</v>
      </c>
      <c r="C1" s="12" t="s">
        <v>35</v>
      </c>
      <c r="D1" s="12" t="s">
        <v>36</v>
      </c>
      <c r="E1" s="12"/>
      <c r="F1" s="13" t="s">
        <v>37</v>
      </c>
      <c r="G1" s="13" t="s">
        <v>38</v>
      </c>
      <c r="H1" s="13" t="s">
        <v>39</v>
      </c>
    </row>
    <row r="2">
      <c r="A2" s="14">
        <f t="shared" ref="A2:A998" si="1">IF(B2="","",max(A$1:A1)+1)</f>
        <v>1</v>
      </c>
      <c r="B2" s="14">
        <f t="array" ref="B2">IF(OR(F2="",F2="Selecciona.."),"",XLOOKUP(F2,Productos!$E:$E,Productos!$A:$A,"",0,1))</f>
        <v>132</v>
      </c>
      <c r="C2" s="14">
        <f t="array" ref="C2">IF(OR(G2="",G2="Selecciona.."),"",XLOOKUP(G2,Productos!$E:$E,Productos!$A:$A,"",0,1))</f>
        <v>114</v>
      </c>
      <c r="D2" s="14">
        <f t="shared" ref="D2:D998" si="2">IF(OR(H2="",H2="Selecciona.."),"",IF(COUNTIFS(B$1:B1,B2,C$1:C1,C2)&gt;0,"Repetido", IF(H2="Vetado",-1,1)))</f>
        <v>-1</v>
      </c>
      <c r="E2" s="14"/>
      <c r="F2" s="13" t="s">
        <v>40</v>
      </c>
      <c r="G2" s="15" t="s">
        <v>41</v>
      </c>
      <c r="H2" s="13" t="s">
        <v>42</v>
      </c>
    </row>
    <row r="3">
      <c r="A3" s="14">
        <f t="shared" si="1"/>
        <v>2</v>
      </c>
      <c r="B3" s="14">
        <f t="array" ref="B3">IF(OR(F3="",F3="Selecciona.."),"",XLOOKUP(F3,Productos!E:E,Productos!A:A,"",0,1))</f>
        <v>132</v>
      </c>
      <c r="C3" s="14">
        <f t="array" ref="C3">IF(OR(G3="",G3="Selecciona.."),"",XLOOKUP(G3,Productos!$E:$E,Productos!$A:$A,"",0,1))</f>
        <v>115</v>
      </c>
      <c r="D3" s="14">
        <f t="shared" si="2"/>
        <v>-1</v>
      </c>
      <c r="E3" s="14"/>
      <c r="F3" s="13" t="s">
        <v>40</v>
      </c>
      <c r="G3" s="15" t="s">
        <v>43</v>
      </c>
      <c r="H3" s="13" t="s">
        <v>42</v>
      </c>
    </row>
    <row r="4">
      <c r="A4" s="14">
        <f t="shared" si="1"/>
        <v>3</v>
      </c>
      <c r="B4" s="14">
        <f t="array" ref="B4">IF(OR(F4="",F4="Selecciona.."),"",XLOOKUP(F4,Productos!E:E,Productos!A:A,"",0,1))</f>
        <v>133</v>
      </c>
      <c r="C4" s="14">
        <f t="array" ref="C4">IF(OR(G4="",G4="Selecciona.."),"",XLOOKUP(G4,Productos!$E:$E,Productos!$A:$A,"",0,1))</f>
        <v>114</v>
      </c>
      <c r="D4" s="14">
        <f t="shared" si="2"/>
        <v>-1</v>
      </c>
      <c r="E4" s="14"/>
      <c r="F4" s="13" t="s">
        <v>44</v>
      </c>
      <c r="G4" s="15" t="s">
        <v>41</v>
      </c>
      <c r="H4" s="13" t="s">
        <v>42</v>
      </c>
    </row>
    <row r="5">
      <c r="A5" s="14">
        <f t="shared" si="1"/>
        <v>4</v>
      </c>
      <c r="B5" s="14">
        <f t="array" ref="B5">IF(OR(F5="",F5="Selecciona.."),"",XLOOKUP(F5,Productos!E:E,Productos!A:A,"",0,1))</f>
        <v>133</v>
      </c>
      <c r="C5" s="14">
        <f t="array" ref="C5">IF(OR(G5="",G5="Selecciona.."),"",XLOOKUP(G5,Productos!$E:$E,Productos!$A:$A,"",0,1))</f>
        <v>115</v>
      </c>
      <c r="D5" s="14">
        <f t="shared" si="2"/>
        <v>-1</v>
      </c>
      <c r="E5" s="14"/>
      <c r="F5" s="13" t="s">
        <v>44</v>
      </c>
      <c r="G5" s="15" t="s">
        <v>43</v>
      </c>
      <c r="H5" s="13" t="s">
        <v>42</v>
      </c>
    </row>
    <row r="6">
      <c r="A6" s="14">
        <f t="shared" si="1"/>
        <v>5</v>
      </c>
      <c r="B6" s="14">
        <f t="array" ref="B6">IF(OR(F6="",F6="Selecciona.."),"",XLOOKUP(F6,Productos!E:E,Productos!A:A,"",0,1))</f>
        <v>133</v>
      </c>
      <c r="C6" s="14">
        <f t="array" ref="C6">IF(OR(G6="",G6="Selecciona.."),"",XLOOKUP(G6,Productos!$E:$E,Productos!$A:$A,"",0,1))</f>
        <v>112</v>
      </c>
      <c r="D6" s="14">
        <f t="shared" si="2"/>
        <v>-1</v>
      </c>
      <c r="E6" s="14"/>
      <c r="F6" s="13" t="s">
        <v>44</v>
      </c>
      <c r="G6" s="15" t="s">
        <v>45</v>
      </c>
      <c r="H6" s="13" t="s">
        <v>42</v>
      </c>
    </row>
    <row r="7">
      <c r="A7" s="14" t="str">
        <f t="shared" si="1"/>
        <v/>
      </c>
      <c r="B7" s="14" t="str">
        <f t="array" ref="B7">IF(OR(F7="",F7="Selecciona.."),"",XLOOKUP(F7,Productos!E:E,Productos!A:A,"",0,1))</f>
        <v/>
      </c>
      <c r="C7" s="14" t="str">
        <f t="array" ref="C7">IF(OR(G7="",G7="Selecciona.."),"",XLOOKUP(G7,Productos!$E:$E,Productos!$A:$A,"",0,1))</f>
        <v/>
      </c>
      <c r="D7" s="14" t="str">
        <f t="shared" si="2"/>
        <v/>
      </c>
      <c r="E7" s="14"/>
      <c r="F7" s="15" t="str">
        <f t="shared" ref="F7:F998" si="4">IF(OR(F6="",F6="Selecciona.."),"","Selecciona..")</f>
        <v>Selecciona..</v>
      </c>
      <c r="G7" s="15" t="str">
        <f t="shared" ref="G7:H7" si="3">IF(OR(F7="",F7="Selecciona.."),"","Selecciona..")</f>
        <v/>
      </c>
      <c r="H7" s="13" t="str">
        <f t="shared" si="3"/>
        <v/>
      </c>
    </row>
    <row r="8">
      <c r="A8" s="14" t="str">
        <f t="shared" si="1"/>
        <v/>
      </c>
      <c r="B8" s="14" t="str">
        <f t="array" ref="B8">IF(OR(F8="",F8="Selecciona.."),"",XLOOKUP(F8,Productos!E:E,Productos!A:A,"",0,1))</f>
        <v/>
      </c>
      <c r="C8" s="14" t="str">
        <f t="array" ref="C8">IF(OR(G8="",G8="Selecciona.."),"",XLOOKUP(G8,Productos!$E:$E,Productos!$A:$A,"",0,1))</f>
        <v/>
      </c>
      <c r="D8" s="14" t="str">
        <f t="shared" si="2"/>
        <v/>
      </c>
      <c r="E8" s="14"/>
      <c r="F8" s="15" t="str">
        <f t="shared" si="4"/>
        <v/>
      </c>
      <c r="G8" s="15" t="str">
        <f t="shared" ref="G8:H8" si="5">IF(OR(F8="",F8="Selecciona.."),"","Selecciona..")</f>
        <v/>
      </c>
      <c r="H8" s="13" t="str">
        <f t="shared" si="5"/>
        <v/>
      </c>
    </row>
    <row r="9">
      <c r="A9" s="14" t="str">
        <f t="shared" si="1"/>
        <v/>
      </c>
      <c r="B9" s="14" t="str">
        <f t="array" ref="B9">IF(OR(F9="",F9="Selecciona.."),"",XLOOKUP(F9,Productos!E:E,Productos!A:A,"",0,1))</f>
        <v/>
      </c>
      <c r="C9" s="14" t="str">
        <f t="array" ref="C9">IF(OR(G9="",G9="Selecciona.."),"",XLOOKUP(G9,Productos!$E:$E,Productos!$A:$A,"",0,1))</f>
        <v/>
      </c>
      <c r="D9" s="14" t="str">
        <f t="shared" si="2"/>
        <v/>
      </c>
      <c r="E9" s="14"/>
      <c r="F9" s="15" t="str">
        <f t="shared" si="4"/>
        <v/>
      </c>
      <c r="G9" s="15" t="str">
        <f t="shared" ref="G9:H9" si="6">IF(OR(F9="",F9="Selecciona.."),"","Selecciona..")</f>
        <v/>
      </c>
      <c r="H9" s="13" t="str">
        <f t="shared" si="6"/>
        <v/>
      </c>
    </row>
    <row r="10">
      <c r="A10" s="14" t="str">
        <f t="shared" si="1"/>
        <v/>
      </c>
      <c r="B10" s="14" t="str">
        <f t="array" ref="B10">IF(OR(F10="",F10="Selecciona.."),"",XLOOKUP(F10,Productos!E:E,Productos!A:A,"",0,1))</f>
        <v/>
      </c>
      <c r="C10" s="14" t="str">
        <f t="array" ref="C10">IF(OR(G10="",G10="Selecciona.."),"",XLOOKUP(G10,Productos!$E:$E,Productos!$A:$A,"",0,1))</f>
        <v/>
      </c>
      <c r="D10" s="14" t="str">
        <f t="shared" si="2"/>
        <v/>
      </c>
      <c r="E10" s="14"/>
      <c r="F10" s="15" t="str">
        <f t="shared" si="4"/>
        <v/>
      </c>
      <c r="G10" s="15" t="str">
        <f t="shared" ref="G10:H10" si="7">IF(OR(F10="",F10="Selecciona.."),"","Selecciona..")</f>
        <v/>
      </c>
      <c r="H10" s="13" t="str">
        <f t="shared" si="7"/>
        <v/>
      </c>
    </row>
    <row r="11">
      <c r="A11" s="14" t="str">
        <f t="shared" si="1"/>
        <v/>
      </c>
      <c r="B11" s="14" t="str">
        <f t="array" ref="B11">IF(OR(F11="",F11="Selecciona.."),"",XLOOKUP(F11,Productos!E:E,Productos!A:A,"",0,1))</f>
        <v/>
      </c>
      <c r="C11" s="14" t="str">
        <f t="array" ref="C11">IF(OR(G11="",G11="Selecciona.."),"",XLOOKUP(G11,Productos!$E:$E,Productos!$A:$A,"",0,1))</f>
        <v/>
      </c>
      <c r="D11" s="14" t="str">
        <f t="shared" si="2"/>
        <v/>
      </c>
      <c r="E11" s="14"/>
      <c r="F11" s="15" t="str">
        <f t="shared" si="4"/>
        <v/>
      </c>
      <c r="G11" s="15" t="str">
        <f t="shared" ref="G11:H11" si="8">IF(OR(F11="",F11="Selecciona.."),"","Selecciona..")</f>
        <v/>
      </c>
      <c r="H11" s="13" t="str">
        <f t="shared" si="8"/>
        <v/>
      </c>
    </row>
    <row r="12">
      <c r="A12" s="14" t="str">
        <f t="shared" si="1"/>
        <v/>
      </c>
      <c r="B12" s="14" t="str">
        <f t="array" ref="B12">IF(OR(F12="",F12="Selecciona.."),"",XLOOKUP(F12,Productos!E:E,Productos!A:A,"",0,1))</f>
        <v/>
      </c>
      <c r="C12" s="14" t="str">
        <f t="array" ref="C12">IF(OR(G12="",G12="Selecciona.."),"",XLOOKUP(G12,Productos!$E:$E,Productos!$A:$A,"",0,1))</f>
        <v/>
      </c>
      <c r="D12" s="14" t="str">
        <f t="shared" si="2"/>
        <v/>
      </c>
      <c r="E12" s="14"/>
      <c r="F12" s="15" t="str">
        <f t="shared" si="4"/>
        <v/>
      </c>
      <c r="G12" s="15" t="str">
        <f t="shared" ref="G12:H12" si="9">IF(OR(F12="",F12="Selecciona.."),"","Selecciona..")</f>
        <v/>
      </c>
      <c r="H12" s="13" t="str">
        <f t="shared" si="9"/>
        <v/>
      </c>
    </row>
    <row r="13">
      <c r="A13" s="14" t="str">
        <f t="shared" si="1"/>
        <v/>
      </c>
      <c r="B13" s="14" t="str">
        <f t="array" ref="B13">IF(OR(F13="",F13="Selecciona.."),"",XLOOKUP(F13,Productos!E:E,Productos!A:A,"",0,1))</f>
        <v/>
      </c>
      <c r="C13" s="14" t="str">
        <f t="array" ref="C13">IF(OR(G13="",G13="Selecciona.."),"",XLOOKUP(G13,Productos!$E:$E,Productos!$A:$A,"",0,1))</f>
        <v/>
      </c>
      <c r="D13" s="14" t="str">
        <f t="shared" si="2"/>
        <v/>
      </c>
      <c r="E13" s="14"/>
      <c r="F13" s="15" t="str">
        <f t="shared" si="4"/>
        <v/>
      </c>
      <c r="G13" s="15" t="str">
        <f t="shared" ref="G13:H13" si="10">IF(OR(F13="",F13="Selecciona.."),"","Selecciona..")</f>
        <v/>
      </c>
      <c r="H13" s="13" t="str">
        <f t="shared" si="10"/>
        <v/>
      </c>
    </row>
    <row r="14">
      <c r="A14" s="14" t="str">
        <f t="shared" si="1"/>
        <v/>
      </c>
      <c r="B14" s="14" t="str">
        <f t="array" ref="B14">IF(OR(F14="",F14="Selecciona.."),"",XLOOKUP(F14,Productos!E:E,Productos!A:A,"",0,1))</f>
        <v/>
      </c>
      <c r="C14" s="14" t="str">
        <f t="array" ref="C14">IF(OR(G14="",G14="Selecciona.."),"",XLOOKUP(G14,Productos!$E:$E,Productos!$A:$A,"",0,1))</f>
        <v/>
      </c>
      <c r="D14" s="14" t="str">
        <f t="shared" si="2"/>
        <v/>
      </c>
      <c r="E14" s="14"/>
      <c r="F14" s="15" t="str">
        <f t="shared" si="4"/>
        <v/>
      </c>
      <c r="G14" s="15" t="str">
        <f t="shared" ref="G14:H14" si="11">IF(OR(F14="",F14="Selecciona.."),"","Selecciona..")</f>
        <v/>
      </c>
      <c r="H14" s="13" t="str">
        <f t="shared" si="11"/>
        <v/>
      </c>
    </row>
    <row r="15">
      <c r="A15" s="14" t="str">
        <f t="shared" si="1"/>
        <v/>
      </c>
      <c r="B15" s="14" t="str">
        <f t="array" ref="B15">IF(OR(F15="",F15="Selecciona.."),"",XLOOKUP(F15,Productos!E:E,Productos!A:A,"",0,1))</f>
        <v/>
      </c>
      <c r="C15" s="14" t="str">
        <f t="array" ref="C15">IF(OR(G15="",G15="Selecciona.."),"",XLOOKUP(G15,Productos!$E:$E,Productos!$A:$A,"",0,1))</f>
        <v/>
      </c>
      <c r="D15" s="14" t="str">
        <f t="shared" si="2"/>
        <v/>
      </c>
      <c r="E15" s="14"/>
      <c r="F15" s="15" t="str">
        <f t="shared" si="4"/>
        <v/>
      </c>
      <c r="G15" s="15" t="str">
        <f t="shared" ref="G15:H15" si="12">IF(OR(F15="",F15="Selecciona.."),"","Selecciona..")</f>
        <v/>
      </c>
      <c r="H15" s="13" t="str">
        <f t="shared" si="12"/>
        <v/>
      </c>
    </row>
    <row r="16">
      <c r="A16" s="14" t="str">
        <f t="shared" si="1"/>
        <v/>
      </c>
      <c r="B16" s="14" t="str">
        <f t="array" ref="B16">IF(OR(F16="",F16="Selecciona.."),"",XLOOKUP(F16,Productos!E:E,Productos!A:A,"",0,1))</f>
        <v/>
      </c>
      <c r="C16" s="14" t="str">
        <f t="array" ref="C16">IF(OR(G16="",G16="Selecciona.."),"",XLOOKUP(G16,Productos!$E:$E,Productos!$A:$A,"",0,1))</f>
        <v/>
      </c>
      <c r="D16" s="14" t="str">
        <f t="shared" si="2"/>
        <v/>
      </c>
      <c r="E16" s="14"/>
      <c r="F16" s="15" t="str">
        <f t="shared" si="4"/>
        <v/>
      </c>
      <c r="G16" s="15" t="str">
        <f t="shared" ref="G16:H16" si="13">IF(OR(F16="",F16="Selecciona.."),"","Selecciona..")</f>
        <v/>
      </c>
      <c r="H16" s="13" t="str">
        <f t="shared" si="13"/>
        <v/>
      </c>
    </row>
    <row r="17">
      <c r="A17" s="14" t="str">
        <f t="shared" si="1"/>
        <v/>
      </c>
      <c r="B17" s="14" t="str">
        <f t="array" ref="B17">IF(OR(F17="",F17="Selecciona.."),"",XLOOKUP(F17,Productos!E:E,Productos!A:A,"",0,1))</f>
        <v/>
      </c>
      <c r="C17" s="14" t="str">
        <f t="array" ref="C17">IF(OR(G17="",G17="Selecciona.."),"",XLOOKUP(G17,Productos!$E:$E,Productos!$A:$A,"",0,1))</f>
        <v/>
      </c>
      <c r="D17" s="14" t="str">
        <f t="shared" si="2"/>
        <v/>
      </c>
      <c r="E17" s="14"/>
      <c r="F17" s="15" t="str">
        <f t="shared" si="4"/>
        <v/>
      </c>
      <c r="G17" s="15" t="str">
        <f t="shared" ref="G17:H17" si="14">IF(OR(F17="",F17="Selecciona.."),"","Selecciona..")</f>
        <v/>
      </c>
      <c r="H17" s="13" t="str">
        <f t="shared" si="14"/>
        <v/>
      </c>
    </row>
    <row r="18">
      <c r="A18" s="14" t="str">
        <f t="shared" si="1"/>
        <v/>
      </c>
      <c r="B18" s="14" t="str">
        <f t="array" ref="B18">IF(OR(F18="",F18="Selecciona.."),"",XLOOKUP(F18,Productos!E:E,Productos!A:A,"",0,1))</f>
        <v/>
      </c>
      <c r="C18" s="14" t="str">
        <f t="array" ref="C18">IF(OR(G18="",G18="Selecciona.."),"",XLOOKUP(G18,Productos!$E:$E,Productos!$A:$A,"",0,1))</f>
        <v/>
      </c>
      <c r="D18" s="14" t="str">
        <f t="shared" si="2"/>
        <v/>
      </c>
      <c r="E18" s="14"/>
      <c r="F18" s="15" t="str">
        <f t="shared" si="4"/>
        <v/>
      </c>
      <c r="G18" s="15" t="str">
        <f t="shared" ref="G18:H18" si="15">IF(OR(F18="",F18="Selecciona.."),"","Selecciona..")</f>
        <v/>
      </c>
      <c r="H18" s="13" t="str">
        <f t="shared" si="15"/>
        <v/>
      </c>
    </row>
    <row r="19">
      <c r="A19" s="14" t="str">
        <f t="shared" si="1"/>
        <v/>
      </c>
      <c r="B19" s="14" t="str">
        <f t="array" ref="B19">IF(OR(F19="",F19="Selecciona.."),"",XLOOKUP(F19,Productos!E:E,Productos!A:A,"",0,1))</f>
        <v/>
      </c>
      <c r="C19" s="14" t="str">
        <f t="array" ref="C19">IF(OR(G19="",G19="Selecciona.."),"",XLOOKUP(G19,Productos!$E:$E,Productos!$A:$A,"",0,1))</f>
        <v/>
      </c>
      <c r="D19" s="14" t="str">
        <f t="shared" si="2"/>
        <v/>
      </c>
      <c r="E19" s="14"/>
      <c r="F19" s="15" t="str">
        <f t="shared" si="4"/>
        <v/>
      </c>
      <c r="G19" s="15" t="str">
        <f t="shared" ref="G19:H19" si="16">IF(OR(F19="",F19="Selecciona.."),"","Selecciona..")</f>
        <v/>
      </c>
      <c r="H19" s="13" t="str">
        <f t="shared" si="16"/>
        <v/>
      </c>
    </row>
    <row r="20">
      <c r="A20" s="14" t="str">
        <f t="shared" si="1"/>
        <v/>
      </c>
      <c r="B20" s="14" t="str">
        <f t="array" ref="B20">IF(OR(F20="",F20="Selecciona.."),"",XLOOKUP(F20,Productos!E:E,Productos!A:A,"",0,1))</f>
        <v/>
      </c>
      <c r="C20" s="14" t="str">
        <f t="array" ref="C20">IF(OR(G20="",G20="Selecciona.."),"",XLOOKUP(G20,Productos!$E:$E,Productos!$A:$A,"",0,1))</f>
        <v/>
      </c>
      <c r="D20" s="14" t="str">
        <f t="shared" si="2"/>
        <v/>
      </c>
      <c r="E20" s="14"/>
      <c r="F20" s="15" t="str">
        <f t="shared" si="4"/>
        <v/>
      </c>
      <c r="G20" s="15" t="str">
        <f t="shared" ref="G20:H20" si="17">IF(OR(F20="",F20="Selecciona.."),"","Selecciona..")</f>
        <v/>
      </c>
      <c r="H20" s="13" t="str">
        <f t="shared" si="17"/>
        <v/>
      </c>
    </row>
    <row r="21">
      <c r="A21" s="14" t="str">
        <f t="shared" si="1"/>
        <v/>
      </c>
      <c r="B21" s="14" t="str">
        <f t="array" ref="B21">IF(OR(F21="",F21="Selecciona.."),"",XLOOKUP(F21,Productos!E:E,Productos!A:A,"",0,1))</f>
        <v/>
      </c>
      <c r="C21" s="14" t="str">
        <f t="array" ref="C21">IF(OR(G21="",G21="Selecciona.."),"",XLOOKUP(G21,Productos!$E:$E,Productos!$A:$A,"",0,1))</f>
        <v/>
      </c>
      <c r="D21" s="14" t="str">
        <f t="shared" si="2"/>
        <v/>
      </c>
      <c r="E21" s="14"/>
      <c r="F21" s="15" t="str">
        <f t="shared" si="4"/>
        <v/>
      </c>
      <c r="G21" s="15" t="str">
        <f t="shared" ref="G21:H21" si="18">IF(OR(F21="",F21="Selecciona.."),"","Selecciona..")</f>
        <v/>
      </c>
      <c r="H21" s="13" t="str">
        <f t="shared" si="18"/>
        <v/>
      </c>
    </row>
    <row r="22">
      <c r="A22" s="14" t="str">
        <f t="shared" si="1"/>
        <v/>
      </c>
      <c r="B22" s="14" t="str">
        <f t="array" ref="B22">IF(OR(F22="",F22="Selecciona.."),"",XLOOKUP(F22,Productos!E:E,Productos!A:A,"",0,1))</f>
        <v/>
      </c>
      <c r="C22" s="14" t="str">
        <f t="array" ref="C22">IF(OR(G22="",G22="Selecciona.."),"",XLOOKUP(G22,Productos!$E:$E,Productos!$A:$A,"",0,1))</f>
        <v/>
      </c>
      <c r="D22" s="14" t="str">
        <f t="shared" si="2"/>
        <v/>
      </c>
      <c r="E22" s="14"/>
      <c r="F22" s="15" t="str">
        <f t="shared" si="4"/>
        <v/>
      </c>
      <c r="G22" s="15" t="str">
        <f t="shared" ref="G22:H22" si="19">IF(OR(F22="",F22="Selecciona.."),"","Selecciona..")</f>
        <v/>
      </c>
      <c r="H22" s="13" t="str">
        <f t="shared" si="19"/>
        <v/>
      </c>
    </row>
    <row r="23">
      <c r="A23" s="14" t="str">
        <f t="shared" si="1"/>
        <v/>
      </c>
      <c r="B23" s="14" t="str">
        <f t="array" ref="B23">IF(OR(F23="",F23="Selecciona.."),"",XLOOKUP(F23,Productos!E:E,Productos!A:A,"",0,1))</f>
        <v/>
      </c>
      <c r="C23" s="14" t="str">
        <f t="array" ref="C23">IF(OR(G23="",G23="Selecciona.."),"",XLOOKUP(G23,Productos!$E:$E,Productos!$A:$A,"",0,1))</f>
        <v/>
      </c>
      <c r="D23" s="14" t="str">
        <f t="shared" si="2"/>
        <v/>
      </c>
      <c r="E23" s="14"/>
      <c r="F23" s="15" t="str">
        <f t="shared" si="4"/>
        <v/>
      </c>
      <c r="G23" s="15" t="str">
        <f t="shared" ref="G23:H23" si="20">IF(OR(F23="",F23="Selecciona.."),"","Selecciona..")</f>
        <v/>
      </c>
      <c r="H23" s="13" t="str">
        <f t="shared" si="20"/>
        <v/>
      </c>
    </row>
    <row r="24">
      <c r="A24" s="14" t="str">
        <f t="shared" si="1"/>
        <v/>
      </c>
      <c r="B24" s="14" t="str">
        <f t="array" ref="B24">IF(OR(F24="",F24="Selecciona.."),"",XLOOKUP(F24,Productos!E:E,Productos!A:A,"",0,1))</f>
        <v/>
      </c>
      <c r="C24" s="14" t="str">
        <f t="array" ref="C24">IF(OR(G24="",G24="Selecciona.."),"",XLOOKUP(G24,Productos!$E:$E,Productos!$A:$A,"",0,1))</f>
        <v/>
      </c>
      <c r="D24" s="14" t="str">
        <f t="shared" si="2"/>
        <v/>
      </c>
      <c r="E24" s="14"/>
      <c r="F24" s="15" t="str">
        <f t="shared" si="4"/>
        <v/>
      </c>
      <c r="G24" s="15" t="str">
        <f t="shared" ref="G24:H24" si="21">IF(OR(F24="",F24="Selecciona.."),"","Selecciona..")</f>
        <v/>
      </c>
      <c r="H24" s="13" t="str">
        <f t="shared" si="21"/>
        <v/>
      </c>
    </row>
    <row r="25">
      <c r="A25" s="14" t="str">
        <f t="shared" si="1"/>
        <v/>
      </c>
      <c r="B25" s="14" t="str">
        <f t="array" ref="B25">IF(OR(F25="",F25="Selecciona.."),"",XLOOKUP(F25,Productos!E:E,Productos!A:A,"",0,1))</f>
        <v/>
      </c>
      <c r="C25" s="14" t="str">
        <f t="array" ref="C25">IF(OR(G25="",G25="Selecciona.."),"",XLOOKUP(G25,Productos!$E:$E,Productos!$A:$A,"",0,1))</f>
        <v/>
      </c>
      <c r="D25" s="14" t="str">
        <f t="shared" si="2"/>
        <v/>
      </c>
      <c r="E25" s="14"/>
      <c r="F25" s="15" t="str">
        <f t="shared" si="4"/>
        <v/>
      </c>
      <c r="G25" s="15" t="str">
        <f t="shared" ref="G25:H25" si="22">IF(OR(F25="",F25="Selecciona.."),"","Selecciona..")</f>
        <v/>
      </c>
      <c r="H25" s="13" t="str">
        <f t="shared" si="22"/>
        <v/>
      </c>
    </row>
    <row r="26">
      <c r="A26" s="14" t="str">
        <f t="shared" si="1"/>
        <v/>
      </c>
      <c r="B26" s="14" t="str">
        <f t="array" ref="B26">IF(OR(F26="",F26="Selecciona.."),"",XLOOKUP(F26,Productos!E:E,Productos!A:A,"",0,1))</f>
        <v/>
      </c>
      <c r="C26" s="14" t="str">
        <f t="array" ref="C26">IF(OR(G26="",G26="Selecciona.."),"",XLOOKUP(G26,Productos!$E:$E,Productos!$A:$A,"",0,1))</f>
        <v/>
      </c>
      <c r="D26" s="14" t="str">
        <f t="shared" si="2"/>
        <v/>
      </c>
      <c r="E26" s="14"/>
      <c r="F26" s="15" t="str">
        <f t="shared" si="4"/>
        <v/>
      </c>
      <c r="G26" s="15" t="str">
        <f t="shared" ref="G26:H26" si="23">IF(OR(F26="",F26="Selecciona.."),"","Selecciona..")</f>
        <v/>
      </c>
      <c r="H26" s="13" t="str">
        <f t="shared" si="23"/>
        <v/>
      </c>
    </row>
    <row r="27">
      <c r="A27" s="14" t="str">
        <f t="shared" si="1"/>
        <v/>
      </c>
      <c r="B27" s="14" t="str">
        <f t="array" ref="B27">IF(OR(F27="",F27="Selecciona.."),"",XLOOKUP(F27,Productos!E:E,Productos!A:A,"",0,1))</f>
        <v/>
      </c>
      <c r="C27" s="14" t="str">
        <f t="array" ref="C27">IF(OR(G27="",G27="Selecciona.."),"",XLOOKUP(G27,Productos!$E:$E,Productos!$A:$A,"",0,1))</f>
        <v/>
      </c>
      <c r="D27" s="14" t="str">
        <f t="shared" si="2"/>
        <v/>
      </c>
      <c r="E27" s="14"/>
      <c r="F27" s="15" t="str">
        <f t="shared" si="4"/>
        <v/>
      </c>
      <c r="G27" s="15" t="str">
        <f t="shared" ref="G27:H27" si="24">IF(OR(F27="",F27="Selecciona.."),"","Selecciona..")</f>
        <v/>
      </c>
      <c r="H27" s="13" t="str">
        <f t="shared" si="24"/>
        <v/>
      </c>
    </row>
    <row r="28">
      <c r="A28" s="14" t="str">
        <f t="shared" si="1"/>
        <v/>
      </c>
      <c r="B28" s="14" t="str">
        <f t="array" ref="B28">IF(OR(F28="",F28="Selecciona.."),"",XLOOKUP(F28,Productos!E:E,Productos!A:A,"",0,1))</f>
        <v/>
      </c>
      <c r="C28" s="14" t="str">
        <f t="array" ref="C28">IF(OR(G28="",G28="Selecciona.."),"",XLOOKUP(G28,Productos!$E:$E,Productos!$A:$A,"",0,1))</f>
        <v/>
      </c>
      <c r="D28" s="14" t="str">
        <f t="shared" si="2"/>
        <v/>
      </c>
      <c r="E28" s="14"/>
      <c r="F28" s="15" t="str">
        <f t="shared" si="4"/>
        <v/>
      </c>
      <c r="G28" s="15" t="str">
        <f t="shared" ref="G28:H28" si="25">IF(OR(F28="",F28="Selecciona.."),"","Selecciona..")</f>
        <v/>
      </c>
      <c r="H28" s="13" t="str">
        <f t="shared" si="25"/>
        <v/>
      </c>
    </row>
    <row r="29">
      <c r="A29" s="14" t="str">
        <f t="shared" si="1"/>
        <v/>
      </c>
      <c r="B29" s="14" t="str">
        <f t="array" ref="B29">IF(OR(F29="",F29="Selecciona.."),"",XLOOKUP(F29,Productos!E:E,Productos!A:A,"",0,1))</f>
        <v/>
      </c>
      <c r="C29" s="14" t="str">
        <f t="array" ref="C29">IF(OR(G29="",G29="Selecciona.."),"",XLOOKUP(G29,Productos!$E:$E,Productos!$A:$A,"",0,1))</f>
        <v/>
      </c>
      <c r="D29" s="14" t="str">
        <f t="shared" si="2"/>
        <v/>
      </c>
      <c r="E29" s="14"/>
      <c r="F29" s="15" t="str">
        <f t="shared" si="4"/>
        <v/>
      </c>
      <c r="G29" s="15" t="str">
        <f t="shared" ref="G29:H29" si="26">IF(OR(F29="",F29="Selecciona.."),"","Selecciona..")</f>
        <v/>
      </c>
      <c r="H29" s="13" t="str">
        <f t="shared" si="26"/>
        <v/>
      </c>
    </row>
    <row r="30">
      <c r="A30" s="14" t="str">
        <f t="shared" si="1"/>
        <v/>
      </c>
      <c r="B30" s="14" t="str">
        <f t="array" ref="B30">IF(OR(F30="",F30="Selecciona.."),"",XLOOKUP(F30,Productos!E:E,Productos!A:A,"",0,1))</f>
        <v/>
      </c>
      <c r="C30" s="14" t="str">
        <f t="array" ref="C30">IF(OR(G30="",G30="Selecciona.."),"",XLOOKUP(G30,Productos!$E:$E,Productos!$A:$A,"",0,1))</f>
        <v/>
      </c>
      <c r="D30" s="14" t="str">
        <f t="shared" si="2"/>
        <v/>
      </c>
      <c r="E30" s="14"/>
      <c r="F30" s="15" t="str">
        <f t="shared" si="4"/>
        <v/>
      </c>
      <c r="G30" s="15" t="str">
        <f t="shared" ref="G30:H30" si="27">IF(OR(F30="",F30="Selecciona.."),"","Selecciona..")</f>
        <v/>
      </c>
      <c r="H30" s="13" t="str">
        <f t="shared" si="27"/>
        <v/>
      </c>
    </row>
    <row r="31">
      <c r="A31" s="14" t="str">
        <f t="shared" si="1"/>
        <v/>
      </c>
      <c r="B31" s="14" t="str">
        <f t="array" ref="B31">IF(OR(F31="",F31="Selecciona.."),"",XLOOKUP(F31,Productos!E:E,Productos!A:A,"",0,1))</f>
        <v/>
      </c>
      <c r="C31" s="14" t="str">
        <f t="array" ref="C31">IF(OR(G31="",G31="Selecciona.."),"",XLOOKUP(G31,Productos!$E:$E,Productos!$A:$A,"",0,1))</f>
        <v/>
      </c>
      <c r="D31" s="14" t="str">
        <f t="shared" si="2"/>
        <v/>
      </c>
      <c r="E31" s="14"/>
      <c r="F31" s="15" t="str">
        <f t="shared" si="4"/>
        <v/>
      </c>
      <c r="G31" s="15" t="str">
        <f t="shared" ref="G31:H31" si="28">IF(OR(F31="",F31="Selecciona.."),"","Selecciona..")</f>
        <v/>
      </c>
      <c r="H31" s="13" t="str">
        <f t="shared" si="28"/>
        <v/>
      </c>
    </row>
    <row r="32">
      <c r="A32" s="14" t="str">
        <f t="shared" si="1"/>
        <v/>
      </c>
      <c r="B32" s="14" t="str">
        <f t="array" ref="B32">IF(OR(F32="",F32="Selecciona.."),"",XLOOKUP(F32,Productos!E:E,Productos!A:A,"",0,1))</f>
        <v/>
      </c>
      <c r="C32" s="14" t="str">
        <f t="array" ref="C32">IF(OR(G32="",G32="Selecciona.."),"",XLOOKUP(G32,Productos!$E:$E,Productos!$A:$A,"",0,1))</f>
        <v/>
      </c>
      <c r="D32" s="14" t="str">
        <f t="shared" si="2"/>
        <v/>
      </c>
      <c r="E32" s="14"/>
      <c r="F32" s="15" t="str">
        <f t="shared" si="4"/>
        <v/>
      </c>
      <c r="G32" s="15" t="str">
        <f t="shared" ref="G32:H32" si="29">IF(OR(F32="",F32="Selecciona.."),"","Selecciona..")</f>
        <v/>
      </c>
      <c r="H32" s="13" t="str">
        <f t="shared" si="29"/>
        <v/>
      </c>
    </row>
    <row r="33">
      <c r="A33" s="14" t="str">
        <f t="shared" si="1"/>
        <v/>
      </c>
      <c r="B33" s="14" t="str">
        <f t="array" ref="B33">IF(OR(F33="",F33="Selecciona.."),"",XLOOKUP(F33,Productos!E:E,Productos!A:A,"",0,1))</f>
        <v/>
      </c>
      <c r="C33" s="14" t="str">
        <f t="array" ref="C33">IF(OR(G33="",G33="Selecciona.."),"",XLOOKUP(G33,Productos!$E:$E,Productos!$A:$A,"",0,1))</f>
        <v/>
      </c>
      <c r="D33" s="14" t="str">
        <f t="shared" si="2"/>
        <v/>
      </c>
      <c r="E33" s="14"/>
      <c r="F33" s="15" t="str">
        <f t="shared" si="4"/>
        <v/>
      </c>
      <c r="G33" s="15" t="str">
        <f t="shared" ref="G33:H33" si="30">IF(OR(F33="",F33="Selecciona.."),"","Selecciona..")</f>
        <v/>
      </c>
      <c r="H33" s="13" t="str">
        <f t="shared" si="30"/>
        <v/>
      </c>
    </row>
    <row r="34">
      <c r="A34" s="14" t="str">
        <f t="shared" si="1"/>
        <v/>
      </c>
      <c r="B34" s="14" t="str">
        <f t="array" ref="B34">IF(OR(F34="",F34="Selecciona.."),"",XLOOKUP(F34,Productos!E:E,Productos!A:A,"",0,1))</f>
        <v/>
      </c>
      <c r="C34" s="14" t="str">
        <f t="array" ref="C34">IF(OR(G34="",G34="Selecciona.."),"",XLOOKUP(G34,Productos!$E:$E,Productos!$A:$A,"",0,1))</f>
        <v/>
      </c>
      <c r="D34" s="14" t="str">
        <f t="shared" si="2"/>
        <v/>
      </c>
      <c r="E34" s="14"/>
      <c r="F34" s="15" t="str">
        <f t="shared" si="4"/>
        <v/>
      </c>
      <c r="G34" s="15" t="str">
        <f t="shared" ref="G34:H34" si="31">IF(OR(F34="",F34="Selecciona.."),"","Selecciona..")</f>
        <v/>
      </c>
      <c r="H34" s="13" t="str">
        <f t="shared" si="31"/>
        <v/>
      </c>
    </row>
    <row r="35">
      <c r="A35" s="14" t="str">
        <f t="shared" si="1"/>
        <v/>
      </c>
      <c r="B35" s="14" t="str">
        <f t="array" ref="B35">IF(OR(F35="",F35="Selecciona.."),"",XLOOKUP(F35,Productos!E:E,Productos!A:A,"",0,1))</f>
        <v/>
      </c>
      <c r="C35" s="14" t="str">
        <f t="array" ref="C35">IF(OR(G35="",G35="Selecciona.."),"",XLOOKUP(G35,Productos!$E:$E,Productos!$A:$A,"",0,1))</f>
        <v/>
      </c>
      <c r="D35" s="14" t="str">
        <f t="shared" si="2"/>
        <v/>
      </c>
      <c r="E35" s="14"/>
      <c r="F35" s="15" t="str">
        <f t="shared" si="4"/>
        <v/>
      </c>
      <c r="G35" s="15" t="str">
        <f t="shared" ref="G35:H35" si="32">IF(OR(F35="",F35="Selecciona.."),"","Selecciona..")</f>
        <v/>
      </c>
      <c r="H35" s="13" t="str">
        <f t="shared" si="32"/>
        <v/>
      </c>
    </row>
    <row r="36">
      <c r="A36" s="14" t="str">
        <f t="shared" si="1"/>
        <v/>
      </c>
      <c r="B36" s="14" t="str">
        <f t="array" ref="B36">IF(OR(F36="",F36="Selecciona.."),"",XLOOKUP(F36,Productos!E:E,Productos!A:A,"",0,1))</f>
        <v/>
      </c>
      <c r="C36" s="14" t="str">
        <f t="array" ref="C36">IF(OR(G36="",G36="Selecciona.."),"",XLOOKUP(G36,Productos!$E:$E,Productos!$A:$A,"",0,1))</f>
        <v/>
      </c>
      <c r="D36" s="14" t="str">
        <f t="shared" si="2"/>
        <v/>
      </c>
      <c r="E36" s="14"/>
      <c r="F36" s="15" t="str">
        <f t="shared" si="4"/>
        <v/>
      </c>
      <c r="G36" s="15" t="str">
        <f t="shared" ref="G36:H36" si="33">IF(OR(F36="",F36="Selecciona.."),"","Selecciona..")</f>
        <v/>
      </c>
      <c r="H36" s="13" t="str">
        <f t="shared" si="33"/>
        <v/>
      </c>
    </row>
    <row r="37">
      <c r="A37" s="14" t="str">
        <f t="shared" si="1"/>
        <v/>
      </c>
      <c r="B37" s="14" t="str">
        <f t="array" ref="B37">IF(OR(F37="",F37="Selecciona.."),"",XLOOKUP(F37,Productos!E:E,Productos!A:A,"",0,1))</f>
        <v/>
      </c>
      <c r="C37" s="14" t="str">
        <f t="array" ref="C37">IF(OR(G37="",G37="Selecciona.."),"",XLOOKUP(G37,Productos!$E:$E,Productos!$A:$A,"",0,1))</f>
        <v/>
      </c>
      <c r="D37" s="14" t="str">
        <f t="shared" si="2"/>
        <v/>
      </c>
      <c r="E37" s="14"/>
      <c r="F37" s="15" t="str">
        <f t="shared" si="4"/>
        <v/>
      </c>
      <c r="G37" s="15" t="str">
        <f t="shared" ref="G37:H37" si="34">IF(OR(F37="",F37="Selecciona.."),"","Selecciona..")</f>
        <v/>
      </c>
      <c r="H37" s="13" t="str">
        <f t="shared" si="34"/>
        <v/>
      </c>
    </row>
    <row r="38">
      <c r="A38" s="14" t="str">
        <f t="shared" si="1"/>
        <v/>
      </c>
      <c r="B38" s="14" t="str">
        <f t="array" ref="B38">IF(OR(F38="",F38="Selecciona.."),"",XLOOKUP(F38,Productos!E:E,Productos!A:A,"",0,1))</f>
        <v/>
      </c>
      <c r="C38" s="14" t="str">
        <f t="array" ref="C38">IF(OR(G38="",G38="Selecciona.."),"",XLOOKUP(G38,Productos!$E:$E,Productos!$A:$A,"",0,1))</f>
        <v/>
      </c>
      <c r="D38" s="14" t="str">
        <f t="shared" si="2"/>
        <v/>
      </c>
      <c r="E38" s="14"/>
      <c r="F38" s="15" t="str">
        <f t="shared" si="4"/>
        <v/>
      </c>
      <c r="G38" s="15" t="str">
        <f t="shared" ref="G38:H38" si="35">IF(OR(F38="",F38="Selecciona.."),"","Selecciona..")</f>
        <v/>
      </c>
      <c r="H38" s="13" t="str">
        <f t="shared" si="35"/>
        <v/>
      </c>
    </row>
    <row r="39">
      <c r="A39" s="14" t="str">
        <f t="shared" si="1"/>
        <v/>
      </c>
      <c r="B39" s="14" t="str">
        <f t="array" ref="B39">IF(OR(F39="",F39="Selecciona.."),"",XLOOKUP(F39,Productos!E:E,Productos!A:A,"",0,1))</f>
        <v/>
      </c>
      <c r="C39" s="14" t="str">
        <f t="array" ref="C39">IF(OR(G39="",G39="Selecciona.."),"",XLOOKUP(G39,Productos!$E:$E,Productos!$A:$A,"",0,1))</f>
        <v/>
      </c>
      <c r="D39" s="14" t="str">
        <f t="shared" si="2"/>
        <v/>
      </c>
      <c r="E39" s="14"/>
      <c r="F39" s="15" t="str">
        <f t="shared" si="4"/>
        <v/>
      </c>
      <c r="G39" s="15" t="str">
        <f t="shared" ref="G39:H39" si="36">IF(OR(F39="",F39="Selecciona.."),"","Selecciona..")</f>
        <v/>
      </c>
      <c r="H39" s="13" t="str">
        <f t="shared" si="36"/>
        <v/>
      </c>
    </row>
    <row r="40">
      <c r="A40" s="14" t="str">
        <f t="shared" si="1"/>
        <v/>
      </c>
      <c r="B40" s="14" t="str">
        <f t="array" ref="B40">IF(OR(F40="",F40="Selecciona.."),"",XLOOKUP(F40,Productos!E:E,Productos!A:A,"",0,1))</f>
        <v/>
      </c>
      <c r="C40" s="14" t="str">
        <f t="array" ref="C40">IF(OR(G40="",G40="Selecciona.."),"",XLOOKUP(G40,Productos!$E:$E,Productos!$A:$A,"",0,1))</f>
        <v/>
      </c>
      <c r="D40" s="14" t="str">
        <f t="shared" si="2"/>
        <v/>
      </c>
      <c r="E40" s="14"/>
      <c r="F40" s="15" t="str">
        <f t="shared" si="4"/>
        <v/>
      </c>
      <c r="G40" s="15" t="str">
        <f t="shared" ref="G40:H40" si="37">IF(OR(F40="",F40="Selecciona.."),"","Selecciona..")</f>
        <v/>
      </c>
      <c r="H40" s="13" t="str">
        <f t="shared" si="37"/>
        <v/>
      </c>
    </row>
    <row r="41">
      <c r="A41" s="14" t="str">
        <f t="shared" si="1"/>
        <v/>
      </c>
      <c r="B41" s="14" t="str">
        <f t="array" ref="B41">IF(OR(F41="",F41="Selecciona.."),"",XLOOKUP(F41,Productos!E:E,Productos!A:A,"",0,1))</f>
        <v/>
      </c>
      <c r="C41" s="14" t="str">
        <f t="array" ref="C41">IF(OR(G41="",G41="Selecciona.."),"",XLOOKUP(G41,Productos!$E:$E,Productos!$A:$A,"",0,1))</f>
        <v/>
      </c>
      <c r="D41" s="14" t="str">
        <f t="shared" si="2"/>
        <v/>
      </c>
      <c r="E41" s="14"/>
      <c r="F41" s="15" t="str">
        <f t="shared" si="4"/>
        <v/>
      </c>
      <c r="G41" s="15" t="str">
        <f t="shared" ref="G41:H41" si="38">IF(OR(F41="",F41="Selecciona.."),"","Selecciona..")</f>
        <v/>
      </c>
      <c r="H41" s="13" t="str">
        <f t="shared" si="38"/>
        <v/>
      </c>
    </row>
    <row r="42">
      <c r="A42" s="14" t="str">
        <f t="shared" si="1"/>
        <v/>
      </c>
      <c r="B42" s="14" t="str">
        <f t="array" ref="B42">IF(OR(F42="",F42="Selecciona.."),"",XLOOKUP(F42,Productos!E:E,Productos!A:A,"",0,1))</f>
        <v/>
      </c>
      <c r="C42" s="14" t="str">
        <f t="array" ref="C42">IF(OR(G42="",G42="Selecciona.."),"",XLOOKUP(G42,Productos!$E:$E,Productos!$A:$A,"",0,1))</f>
        <v/>
      </c>
      <c r="D42" s="14" t="str">
        <f t="shared" si="2"/>
        <v/>
      </c>
      <c r="E42" s="14"/>
      <c r="F42" s="15" t="str">
        <f t="shared" si="4"/>
        <v/>
      </c>
      <c r="G42" s="15" t="str">
        <f t="shared" ref="G42:H42" si="39">IF(OR(F42="",F42="Selecciona.."),"","Selecciona..")</f>
        <v/>
      </c>
      <c r="H42" s="13" t="str">
        <f t="shared" si="39"/>
        <v/>
      </c>
    </row>
    <row r="43">
      <c r="A43" s="14" t="str">
        <f t="shared" si="1"/>
        <v/>
      </c>
      <c r="B43" s="14" t="str">
        <f t="array" ref="B43">IF(OR(F43="",F43="Selecciona.."),"",XLOOKUP(F43,Productos!E:E,Productos!A:A,"",0,1))</f>
        <v/>
      </c>
      <c r="C43" s="14" t="str">
        <f t="array" ref="C43">IF(OR(G43="",G43="Selecciona.."),"",XLOOKUP(G43,Productos!$E:$E,Productos!$A:$A,"",0,1))</f>
        <v/>
      </c>
      <c r="D43" s="14" t="str">
        <f t="shared" si="2"/>
        <v/>
      </c>
      <c r="E43" s="14"/>
      <c r="F43" s="15" t="str">
        <f t="shared" si="4"/>
        <v/>
      </c>
      <c r="G43" s="15" t="str">
        <f t="shared" ref="G43:H43" si="40">IF(OR(F43="",F43="Selecciona.."),"","Selecciona..")</f>
        <v/>
      </c>
      <c r="H43" s="13" t="str">
        <f t="shared" si="40"/>
        <v/>
      </c>
    </row>
    <row r="44">
      <c r="A44" s="14" t="str">
        <f t="shared" si="1"/>
        <v/>
      </c>
      <c r="B44" s="14" t="str">
        <f t="array" ref="B44">IF(OR(F44="",F44="Selecciona.."),"",XLOOKUP(F44,Productos!E:E,Productos!A:A,"",0,1))</f>
        <v/>
      </c>
      <c r="C44" s="14" t="str">
        <f t="array" ref="C44">IF(OR(G44="",G44="Selecciona.."),"",XLOOKUP(G44,Productos!$E:$E,Productos!$A:$A,"",0,1))</f>
        <v/>
      </c>
      <c r="D44" s="14" t="str">
        <f t="shared" si="2"/>
        <v/>
      </c>
      <c r="E44" s="14"/>
      <c r="F44" s="15" t="str">
        <f t="shared" si="4"/>
        <v/>
      </c>
      <c r="G44" s="15" t="str">
        <f t="shared" ref="G44:H44" si="41">IF(OR(F44="",F44="Selecciona.."),"","Selecciona..")</f>
        <v/>
      </c>
      <c r="H44" s="13" t="str">
        <f t="shared" si="41"/>
        <v/>
      </c>
    </row>
    <row r="45">
      <c r="A45" s="14" t="str">
        <f t="shared" si="1"/>
        <v/>
      </c>
      <c r="B45" s="14" t="str">
        <f t="array" ref="B45">IF(OR(F45="",F45="Selecciona.."),"",XLOOKUP(F45,Productos!E:E,Productos!A:A,"",0,1))</f>
        <v/>
      </c>
      <c r="C45" s="14" t="str">
        <f t="array" ref="C45">IF(OR(G45="",G45="Selecciona.."),"",XLOOKUP(G45,Productos!$E:$E,Productos!$A:$A,"",0,1))</f>
        <v/>
      </c>
      <c r="D45" s="14" t="str">
        <f t="shared" si="2"/>
        <v/>
      </c>
      <c r="E45" s="14"/>
      <c r="F45" s="15" t="str">
        <f t="shared" si="4"/>
        <v/>
      </c>
      <c r="G45" s="15" t="str">
        <f t="shared" ref="G45:H45" si="42">IF(OR(F45="",F45="Selecciona.."),"","Selecciona..")</f>
        <v/>
      </c>
      <c r="H45" s="13" t="str">
        <f t="shared" si="42"/>
        <v/>
      </c>
    </row>
    <row r="46">
      <c r="A46" s="14" t="str">
        <f t="shared" si="1"/>
        <v/>
      </c>
      <c r="B46" s="14" t="str">
        <f t="array" ref="B46">IF(OR(F46="",F46="Selecciona.."),"",XLOOKUP(F46,Productos!E:E,Productos!A:A,"",0,1))</f>
        <v/>
      </c>
      <c r="C46" s="14" t="str">
        <f t="array" ref="C46">IF(OR(G46="",G46="Selecciona.."),"",XLOOKUP(G46,Productos!$E:$E,Productos!$A:$A,"",0,1))</f>
        <v/>
      </c>
      <c r="D46" s="14" t="str">
        <f t="shared" si="2"/>
        <v/>
      </c>
      <c r="E46" s="14"/>
      <c r="F46" s="15" t="str">
        <f t="shared" si="4"/>
        <v/>
      </c>
      <c r="G46" s="15" t="str">
        <f t="shared" ref="G46:H46" si="43">IF(OR(F46="",F46="Selecciona.."),"","Selecciona..")</f>
        <v/>
      </c>
      <c r="H46" s="13" t="str">
        <f t="shared" si="43"/>
        <v/>
      </c>
    </row>
    <row r="47">
      <c r="A47" s="14" t="str">
        <f t="shared" si="1"/>
        <v/>
      </c>
      <c r="B47" s="14" t="str">
        <f t="array" ref="B47">IF(OR(F47="",F47="Selecciona.."),"",XLOOKUP(F47,Productos!E:E,Productos!A:A,"",0,1))</f>
        <v/>
      </c>
      <c r="C47" s="14" t="str">
        <f t="array" ref="C47">IF(OR(G47="",G47="Selecciona.."),"",XLOOKUP(G47,Productos!$E:$E,Productos!$A:$A,"",0,1))</f>
        <v/>
      </c>
      <c r="D47" s="14" t="str">
        <f t="shared" si="2"/>
        <v/>
      </c>
      <c r="E47" s="14"/>
      <c r="F47" s="15" t="str">
        <f t="shared" si="4"/>
        <v/>
      </c>
      <c r="G47" s="15" t="str">
        <f t="shared" ref="G47:H47" si="44">IF(OR(F47="",F47="Selecciona.."),"","Selecciona..")</f>
        <v/>
      </c>
      <c r="H47" s="13" t="str">
        <f t="shared" si="44"/>
        <v/>
      </c>
    </row>
    <row r="48">
      <c r="A48" s="14" t="str">
        <f t="shared" si="1"/>
        <v/>
      </c>
      <c r="B48" s="14" t="str">
        <f t="array" ref="B48">IF(OR(F48="",F48="Selecciona.."),"",XLOOKUP(F48,Productos!E:E,Productos!A:A,"",0,1))</f>
        <v/>
      </c>
      <c r="C48" s="14" t="str">
        <f t="array" ref="C48">IF(OR(G48="",G48="Selecciona.."),"",XLOOKUP(G48,Productos!$E:$E,Productos!$A:$A,"",0,1))</f>
        <v/>
      </c>
      <c r="D48" s="14" t="str">
        <f t="shared" si="2"/>
        <v/>
      </c>
      <c r="E48" s="14"/>
      <c r="F48" s="15" t="str">
        <f t="shared" si="4"/>
        <v/>
      </c>
      <c r="G48" s="15" t="str">
        <f t="shared" ref="G48:H48" si="45">IF(OR(F48="",F48="Selecciona.."),"","Selecciona..")</f>
        <v/>
      </c>
      <c r="H48" s="13" t="str">
        <f t="shared" si="45"/>
        <v/>
      </c>
    </row>
    <row r="49">
      <c r="A49" s="14" t="str">
        <f t="shared" si="1"/>
        <v/>
      </c>
      <c r="B49" s="14" t="str">
        <f t="array" ref="B49">IF(OR(F49="",F49="Selecciona.."),"",XLOOKUP(F49,Productos!E:E,Productos!A:A,"",0,1))</f>
        <v/>
      </c>
      <c r="C49" s="14" t="str">
        <f t="array" ref="C49">IF(OR(G49="",G49="Selecciona.."),"",XLOOKUP(G49,Productos!$E:$E,Productos!$A:$A,"",0,1))</f>
        <v/>
      </c>
      <c r="D49" s="14" t="str">
        <f t="shared" si="2"/>
        <v/>
      </c>
      <c r="E49" s="14"/>
      <c r="F49" s="15" t="str">
        <f t="shared" si="4"/>
        <v/>
      </c>
      <c r="G49" s="15" t="str">
        <f t="shared" ref="G49:H49" si="46">IF(OR(F49="",F49="Selecciona.."),"","Selecciona..")</f>
        <v/>
      </c>
      <c r="H49" s="13" t="str">
        <f t="shared" si="46"/>
        <v/>
      </c>
    </row>
    <row r="50">
      <c r="A50" s="14" t="str">
        <f t="shared" si="1"/>
        <v/>
      </c>
      <c r="B50" s="14" t="str">
        <f t="array" ref="B50">IF(OR(F50="",F50="Selecciona.."),"",XLOOKUP(F50,Productos!E:E,Productos!A:A,"",0,1))</f>
        <v/>
      </c>
      <c r="C50" s="14" t="str">
        <f t="array" ref="C50">IF(OR(G50="",G50="Selecciona.."),"",XLOOKUP(G50,Productos!$E:$E,Productos!$A:$A,"",0,1))</f>
        <v/>
      </c>
      <c r="D50" s="14" t="str">
        <f t="shared" si="2"/>
        <v/>
      </c>
      <c r="E50" s="14"/>
      <c r="F50" s="15" t="str">
        <f t="shared" si="4"/>
        <v/>
      </c>
      <c r="G50" s="15" t="str">
        <f t="shared" ref="G50:H50" si="47">IF(OR(F50="",F50="Selecciona.."),"","Selecciona..")</f>
        <v/>
      </c>
      <c r="H50" s="13" t="str">
        <f t="shared" si="47"/>
        <v/>
      </c>
    </row>
    <row r="51">
      <c r="A51" s="14" t="str">
        <f t="shared" si="1"/>
        <v/>
      </c>
      <c r="B51" s="14" t="str">
        <f t="array" ref="B51">IF(OR(F51="",F51="Selecciona.."),"",XLOOKUP(F51,Productos!E:E,Productos!A:A,"",0,1))</f>
        <v/>
      </c>
      <c r="C51" s="14" t="str">
        <f t="array" ref="C51">IF(OR(G51="",G51="Selecciona.."),"",XLOOKUP(G51,Productos!$E:$E,Productos!$A:$A,"",0,1))</f>
        <v/>
      </c>
      <c r="D51" s="14" t="str">
        <f t="shared" si="2"/>
        <v/>
      </c>
      <c r="E51" s="14"/>
      <c r="F51" s="15" t="str">
        <f t="shared" si="4"/>
        <v/>
      </c>
      <c r="G51" s="15" t="str">
        <f t="shared" ref="G51:H51" si="48">IF(OR(F51="",F51="Selecciona.."),"","Selecciona..")</f>
        <v/>
      </c>
      <c r="H51" s="13" t="str">
        <f t="shared" si="48"/>
        <v/>
      </c>
    </row>
    <row r="52">
      <c r="A52" s="14" t="str">
        <f t="shared" si="1"/>
        <v/>
      </c>
      <c r="B52" s="14" t="str">
        <f t="array" ref="B52">IF(OR(F52="",F52="Selecciona.."),"",XLOOKUP(F52,Productos!E:E,Productos!A:A,"",0,1))</f>
        <v/>
      </c>
      <c r="C52" s="14" t="str">
        <f t="array" ref="C52">IF(OR(G52="",G52="Selecciona.."),"",XLOOKUP(G52,Productos!$E:$E,Productos!$A:$A,"",0,1))</f>
        <v/>
      </c>
      <c r="D52" s="14" t="str">
        <f t="shared" si="2"/>
        <v/>
      </c>
      <c r="E52" s="14"/>
      <c r="F52" s="15" t="str">
        <f t="shared" si="4"/>
        <v/>
      </c>
      <c r="G52" s="15" t="str">
        <f t="shared" ref="G52:H52" si="49">IF(OR(F52="",F52="Selecciona.."),"","Selecciona..")</f>
        <v/>
      </c>
      <c r="H52" s="13" t="str">
        <f t="shared" si="49"/>
        <v/>
      </c>
    </row>
    <row r="53">
      <c r="A53" s="14" t="str">
        <f t="shared" si="1"/>
        <v/>
      </c>
      <c r="B53" s="14" t="str">
        <f t="array" ref="B53">IF(OR(F53="",F53="Selecciona.."),"",XLOOKUP(F53,Productos!E:E,Productos!A:A,"",0,1))</f>
        <v/>
      </c>
      <c r="C53" s="14" t="str">
        <f t="array" ref="C53">IF(OR(G53="",G53="Selecciona.."),"",XLOOKUP(G53,Productos!$E:$E,Productos!$A:$A,"",0,1))</f>
        <v/>
      </c>
      <c r="D53" s="14" t="str">
        <f t="shared" si="2"/>
        <v/>
      </c>
      <c r="E53" s="14"/>
      <c r="F53" s="15" t="str">
        <f t="shared" si="4"/>
        <v/>
      </c>
      <c r="G53" s="15" t="str">
        <f t="shared" ref="G53:H53" si="50">IF(OR(F53="",F53="Selecciona.."),"","Selecciona..")</f>
        <v/>
      </c>
      <c r="H53" s="13" t="str">
        <f t="shared" si="50"/>
        <v/>
      </c>
    </row>
    <row r="54">
      <c r="A54" s="14" t="str">
        <f t="shared" si="1"/>
        <v/>
      </c>
      <c r="B54" s="14" t="str">
        <f t="array" ref="B54">IF(OR(F54="",F54="Selecciona.."),"",XLOOKUP(F54,Productos!E:E,Productos!A:A,"",0,1))</f>
        <v/>
      </c>
      <c r="C54" s="14" t="str">
        <f t="array" ref="C54">IF(OR(G54="",G54="Selecciona.."),"",XLOOKUP(G54,Productos!$E:$E,Productos!$A:$A,"",0,1))</f>
        <v/>
      </c>
      <c r="D54" s="14" t="str">
        <f t="shared" si="2"/>
        <v/>
      </c>
      <c r="E54" s="14"/>
      <c r="F54" s="15" t="str">
        <f t="shared" si="4"/>
        <v/>
      </c>
      <c r="G54" s="15" t="str">
        <f t="shared" ref="G54:H54" si="51">IF(OR(F54="",F54="Selecciona.."),"","Selecciona..")</f>
        <v/>
      </c>
      <c r="H54" s="13" t="str">
        <f t="shared" si="51"/>
        <v/>
      </c>
    </row>
    <row r="55">
      <c r="A55" s="14" t="str">
        <f t="shared" si="1"/>
        <v/>
      </c>
      <c r="B55" s="14" t="str">
        <f t="array" ref="B55">IF(OR(F55="",F55="Selecciona.."),"",XLOOKUP(F55,Productos!E:E,Productos!A:A,"",0,1))</f>
        <v/>
      </c>
      <c r="C55" s="14" t="str">
        <f t="array" ref="C55">IF(OR(G55="",G55="Selecciona.."),"",XLOOKUP(G55,Productos!$E:$E,Productos!$A:$A,"",0,1))</f>
        <v/>
      </c>
      <c r="D55" s="14" t="str">
        <f t="shared" si="2"/>
        <v/>
      </c>
      <c r="E55" s="14"/>
      <c r="F55" s="15" t="str">
        <f t="shared" si="4"/>
        <v/>
      </c>
      <c r="G55" s="15" t="str">
        <f t="shared" ref="G55:H55" si="52">IF(OR(F55="",F55="Selecciona.."),"","Selecciona..")</f>
        <v/>
      </c>
      <c r="H55" s="13" t="str">
        <f t="shared" si="52"/>
        <v/>
      </c>
    </row>
    <row r="56">
      <c r="A56" s="14" t="str">
        <f t="shared" si="1"/>
        <v/>
      </c>
      <c r="B56" s="14" t="str">
        <f t="array" ref="B56">IF(OR(F56="",F56="Selecciona.."),"",XLOOKUP(F56,Productos!E:E,Productos!A:A,"",0,1))</f>
        <v/>
      </c>
      <c r="C56" s="14" t="str">
        <f t="array" ref="C56">IF(OR(G56="",G56="Selecciona.."),"",XLOOKUP(G56,Productos!$E:$E,Productos!$A:$A,"",0,1))</f>
        <v/>
      </c>
      <c r="D56" s="14" t="str">
        <f t="shared" si="2"/>
        <v/>
      </c>
      <c r="E56" s="14"/>
      <c r="F56" s="15" t="str">
        <f t="shared" si="4"/>
        <v/>
      </c>
      <c r="G56" s="15" t="str">
        <f t="shared" ref="G56:H56" si="53">IF(OR(F56="",F56="Selecciona.."),"","Selecciona..")</f>
        <v/>
      </c>
      <c r="H56" s="13" t="str">
        <f t="shared" si="53"/>
        <v/>
      </c>
    </row>
    <row r="57">
      <c r="A57" s="14" t="str">
        <f t="shared" si="1"/>
        <v/>
      </c>
      <c r="B57" s="14" t="str">
        <f t="array" ref="B57">IF(OR(F57="",F57="Selecciona.."),"",XLOOKUP(F57,Productos!E:E,Productos!A:A,"",0,1))</f>
        <v/>
      </c>
      <c r="C57" s="14" t="str">
        <f t="array" ref="C57">IF(OR(G57="",G57="Selecciona.."),"",XLOOKUP(G57,Productos!$E:$E,Productos!$A:$A,"",0,1))</f>
        <v/>
      </c>
      <c r="D57" s="14" t="str">
        <f t="shared" si="2"/>
        <v/>
      </c>
      <c r="E57" s="14"/>
      <c r="F57" s="15" t="str">
        <f t="shared" si="4"/>
        <v/>
      </c>
      <c r="G57" s="15" t="str">
        <f t="shared" ref="G57:H57" si="54">IF(OR(F57="",F57="Selecciona.."),"","Selecciona..")</f>
        <v/>
      </c>
      <c r="H57" s="13" t="str">
        <f t="shared" si="54"/>
        <v/>
      </c>
    </row>
    <row r="58">
      <c r="A58" s="14" t="str">
        <f t="shared" si="1"/>
        <v/>
      </c>
      <c r="B58" s="14" t="str">
        <f t="array" ref="B58">IF(OR(F58="",F58="Selecciona.."),"",XLOOKUP(F58,Productos!E:E,Productos!A:A,"",0,1))</f>
        <v/>
      </c>
      <c r="C58" s="14" t="str">
        <f t="array" ref="C58">IF(OR(G58="",G58="Selecciona.."),"",XLOOKUP(G58,Productos!$E:$E,Productos!$A:$A,"",0,1))</f>
        <v/>
      </c>
      <c r="D58" s="14" t="str">
        <f t="shared" si="2"/>
        <v/>
      </c>
      <c r="E58" s="14"/>
      <c r="F58" s="15" t="str">
        <f t="shared" si="4"/>
        <v/>
      </c>
      <c r="G58" s="15" t="str">
        <f t="shared" ref="G58:H58" si="55">IF(OR(F58="",F58="Selecciona.."),"","Selecciona..")</f>
        <v/>
      </c>
      <c r="H58" s="13" t="str">
        <f t="shared" si="55"/>
        <v/>
      </c>
    </row>
    <row r="59">
      <c r="A59" s="14" t="str">
        <f t="shared" si="1"/>
        <v/>
      </c>
      <c r="B59" s="14" t="str">
        <f t="array" ref="B59">IF(OR(F59="",F59="Selecciona.."),"",XLOOKUP(F59,Productos!E:E,Productos!A:A,"",0,1))</f>
        <v/>
      </c>
      <c r="C59" s="14" t="str">
        <f t="array" ref="C59">IF(OR(G59="",G59="Selecciona.."),"",XLOOKUP(G59,Productos!$E:$E,Productos!$A:$A,"",0,1))</f>
        <v/>
      </c>
      <c r="D59" s="14" t="str">
        <f t="shared" si="2"/>
        <v/>
      </c>
      <c r="E59" s="14"/>
      <c r="F59" s="15" t="str">
        <f t="shared" si="4"/>
        <v/>
      </c>
      <c r="G59" s="15" t="str">
        <f t="shared" ref="G59:H59" si="56">IF(OR(F59="",F59="Selecciona.."),"","Selecciona..")</f>
        <v/>
      </c>
      <c r="H59" s="13" t="str">
        <f t="shared" si="56"/>
        <v/>
      </c>
    </row>
    <row r="60">
      <c r="A60" s="14" t="str">
        <f t="shared" si="1"/>
        <v/>
      </c>
      <c r="B60" s="14" t="str">
        <f t="array" ref="B60">IF(OR(F60="",F60="Selecciona.."),"",XLOOKUP(F60,Productos!E:E,Productos!A:A,"",0,1))</f>
        <v/>
      </c>
      <c r="C60" s="14" t="str">
        <f t="array" ref="C60">IF(OR(G60="",G60="Selecciona.."),"",XLOOKUP(G60,Productos!$E:$E,Productos!$A:$A,"",0,1))</f>
        <v/>
      </c>
      <c r="D60" s="14" t="str">
        <f t="shared" si="2"/>
        <v/>
      </c>
      <c r="E60" s="14"/>
      <c r="F60" s="15" t="str">
        <f t="shared" si="4"/>
        <v/>
      </c>
      <c r="G60" s="15" t="str">
        <f t="shared" ref="G60:H60" si="57">IF(OR(F60="",F60="Selecciona.."),"","Selecciona..")</f>
        <v/>
      </c>
      <c r="H60" s="13" t="str">
        <f t="shared" si="57"/>
        <v/>
      </c>
    </row>
    <row r="61">
      <c r="A61" s="14" t="str">
        <f t="shared" si="1"/>
        <v/>
      </c>
      <c r="B61" s="14" t="str">
        <f t="array" ref="B61">IF(OR(F61="",F61="Selecciona.."),"",XLOOKUP(F61,Productos!E:E,Productos!A:A,"",0,1))</f>
        <v/>
      </c>
      <c r="C61" s="14" t="str">
        <f t="array" ref="C61">IF(OR(G61="",G61="Selecciona.."),"",XLOOKUP(G61,Productos!$E:$E,Productos!$A:$A,"",0,1))</f>
        <v/>
      </c>
      <c r="D61" s="14" t="str">
        <f t="shared" si="2"/>
        <v/>
      </c>
      <c r="E61" s="14"/>
      <c r="F61" s="15" t="str">
        <f t="shared" si="4"/>
        <v/>
      </c>
      <c r="G61" s="15" t="str">
        <f t="shared" ref="G61:H61" si="58">IF(OR(F61="",F61="Selecciona.."),"","Selecciona..")</f>
        <v/>
      </c>
      <c r="H61" s="13" t="str">
        <f t="shared" si="58"/>
        <v/>
      </c>
    </row>
    <row r="62">
      <c r="A62" s="14" t="str">
        <f t="shared" si="1"/>
        <v/>
      </c>
      <c r="B62" s="14" t="str">
        <f t="array" ref="B62">IF(OR(F62="",F62="Selecciona.."),"",XLOOKUP(F62,Productos!E:E,Productos!A:A,"",0,1))</f>
        <v/>
      </c>
      <c r="C62" s="14" t="str">
        <f t="array" ref="C62">IF(OR(G62="",G62="Selecciona.."),"",XLOOKUP(G62,Productos!$E:$E,Productos!$A:$A,"",0,1))</f>
        <v/>
      </c>
      <c r="D62" s="14" t="str">
        <f t="shared" si="2"/>
        <v/>
      </c>
      <c r="E62" s="14"/>
      <c r="F62" s="15" t="str">
        <f t="shared" si="4"/>
        <v/>
      </c>
      <c r="G62" s="15" t="str">
        <f t="shared" ref="G62:H62" si="59">IF(OR(F62="",F62="Selecciona.."),"","Selecciona..")</f>
        <v/>
      </c>
      <c r="H62" s="13" t="str">
        <f t="shared" si="59"/>
        <v/>
      </c>
    </row>
    <row r="63">
      <c r="A63" s="14" t="str">
        <f t="shared" si="1"/>
        <v/>
      </c>
      <c r="B63" s="14" t="str">
        <f t="array" ref="B63">IF(OR(F63="",F63="Selecciona.."),"",XLOOKUP(F63,Productos!E:E,Productos!A:A,"",0,1))</f>
        <v/>
      </c>
      <c r="C63" s="14" t="str">
        <f t="array" ref="C63">IF(OR(G63="",G63="Selecciona.."),"",XLOOKUP(G63,Productos!$E:$E,Productos!$A:$A,"",0,1))</f>
        <v/>
      </c>
      <c r="D63" s="14" t="str">
        <f t="shared" si="2"/>
        <v/>
      </c>
      <c r="E63" s="14"/>
      <c r="F63" s="15" t="str">
        <f t="shared" si="4"/>
        <v/>
      </c>
      <c r="G63" s="15" t="str">
        <f t="shared" ref="G63:H63" si="60">IF(OR(F63="",F63="Selecciona.."),"","Selecciona..")</f>
        <v/>
      </c>
      <c r="H63" s="13" t="str">
        <f t="shared" si="60"/>
        <v/>
      </c>
    </row>
    <row r="64">
      <c r="A64" s="14" t="str">
        <f t="shared" si="1"/>
        <v/>
      </c>
      <c r="B64" s="14" t="str">
        <f t="array" ref="B64">IF(OR(F64="",F64="Selecciona.."),"",XLOOKUP(F64,Productos!E:E,Productos!A:A,"",0,1))</f>
        <v/>
      </c>
      <c r="C64" s="14" t="str">
        <f t="array" ref="C64">IF(OR(G64="",G64="Selecciona.."),"",XLOOKUP(G64,Productos!$E:$E,Productos!$A:$A,"",0,1))</f>
        <v/>
      </c>
      <c r="D64" s="14" t="str">
        <f t="shared" si="2"/>
        <v/>
      </c>
      <c r="E64" s="14"/>
      <c r="F64" s="15" t="str">
        <f t="shared" si="4"/>
        <v/>
      </c>
      <c r="G64" s="15" t="str">
        <f t="shared" ref="G64:H64" si="61">IF(OR(F64="",F64="Selecciona.."),"","Selecciona..")</f>
        <v/>
      </c>
      <c r="H64" s="13" t="str">
        <f t="shared" si="61"/>
        <v/>
      </c>
    </row>
    <row r="65">
      <c r="A65" s="14" t="str">
        <f t="shared" si="1"/>
        <v/>
      </c>
      <c r="B65" s="14" t="str">
        <f t="array" ref="B65">IF(OR(F65="",F65="Selecciona.."),"",XLOOKUP(F65,Productos!E:E,Productos!A:A,"",0,1))</f>
        <v/>
      </c>
      <c r="C65" s="14" t="str">
        <f t="array" ref="C65">IF(OR(G65="",G65="Selecciona.."),"",XLOOKUP(G65,Productos!$E:$E,Productos!$A:$A,"",0,1))</f>
        <v/>
      </c>
      <c r="D65" s="14" t="str">
        <f t="shared" si="2"/>
        <v/>
      </c>
      <c r="E65" s="14"/>
      <c r="F65" s="15" t="str">
        <f t="shared" si="4"/>
        <v/>
      </c>
      <c r="G65" s="15" t="str">
        <f t="shared" ref="G65:H65" si="62">IF(OR(F65="",F65="Selecciona.."),"","Selecciona..")</f>
        <v/>
      </c>
      <c r="H65" s="13" t="str">
        <f t="shared" si="62"/>
        <v/>
      </c>
    </row>
    <row r="66">
      <c r="A66" s="14" t="str">
        <f t="shared" si="1"/>
        <v/>
      </c>
      <c r="B66" s="14" t="str">
        <f t="array" ref="B66">IF(OR(F66="",F66="Selecciona.."),"",XLOOKUP(F66,Productos!E:E,Productos!A:A,"",0,1))</f>
        <v/>
      </c>
      <c r="C66" s="14" t="str">
        <f t="array" ref="C66">IF(OR(G66="",G66="Selecciona.."),"",XLOOKUP(G66,Productos!$E:$E,Productos!$A:$A,"",0,1))</f>
        <v/>
      </c>
      <c r="D66" s="14" t="str">
        <f t="shared" si="2"/>
        <v/>
      </c>
      <c r="E66" s="14"/>
      <c r="F66" s="15" t="str">
        <f t="shared" si="4"/>
        <v/>
      </c>
      <c r="G66" s="15" t="str">
        <f t="shared" ref="G66:H66" si="63">IF(OR(F66="",F66="Selecciona.."),"","Selecciona..")</f>
        <v/>
      </c>
      <c r="H66" s="13" t="str">
        <f t="shared" si="63"/>
        <v/>
      </c>
    </row>
    <row r="67">
      <c r="A67" s="14" t="str">
        <f t="shared" si="1"/>
        <v/>
      </c>
      <c r="B67" s="14" t="str">
        <f t="array" ref="B67">IF(OR(F67="",F67="Selecciona.."),"",XLOOKUP(F67,Productos!E:E,Productos!A:A,"",0,1))</f>
        <v/>
      </c>
      <c r="C67" s="14" t="str">
        <f t="array" ref="C67">IF(OR(G67="",G67="Selecciona.."),"",XLOOKUP(G67,Productos!$E:$E,Productos!$A:$A,"",0,1))</f>
        <v/>
      </c>
      <c r="D67" s="14" t="str">
        <f t="shared" si="2"/>
        <v/>
      </c>
      <c r="E67" s="14"/>
      <c r="F67" s="15" t="str">
        <f t="shared" si="4"/>
        <v/>
      </c>
      <c r="G67" s="15" t="str">
        <f t="shared" ref="G67:H67" si="64">IF(OR(F67="",F67="Selecciona.."),"","Selecciona..")</f>
        <v/>
      </c>
      <c r="H67" s="13" t="str">
        <f t="shared" si="64"/>
        <v/>
      </c>
    </row>
    <row r="68">
      <c r="A68" s="14" t="str">
        <f t="shared" si="1"/>
        <v/>
      </c>
      <c r="B68" s="14" t="str">
        <f t="array" ref="B68">IF(OR(F68="",F68="Selecciona.."),"",XLOOKUP(F68,Productos!E:E,Productos!A:A,"",0,1))</f>
        <v/>
      </c>
      <c r="C68" s="14" t="str">
        <f t="array" ref="C68">IF(OR(G68="",G68="Selecciona.."),"",XLOOKUP(G68,Productos!$E:$E,Productos!$A:$A,"",0,1))</f>
        <v/>
      </c>
      <c r="D68" s="14" t="str">
        <f t="shared" si="2"/>
        <v/>
      </c>
      <c r="E68" s="14"/>
      <c r="F68" s="15" t="str">
        <f t="shared" si="4"/>
        <v/>
      </c>
      <c r="G68" s="15" t="str">
        <f t="shared" ref="G68:H68" si="65">IF(OR(F68="",F68="Selecciona.."),"","Selecciona..")</f>
        <v/>
      </c>
      <c r="H68" s="13" t="str">
        <f t="shared" si="65"/>
        <v/>
      </c>
    </row>
    <row r="69">
      <c r="A69" s="14" t="str">
        <f t="shared" si="1"/>
        <v/>
      </c>
      <c r="B69" s="14" t="str">
        <f t="array" ref="B69">IF(OR(F69="",F69="Selecciona.."),"",XLOOKUP(F69,Productos!E:E,Productos!A:A,"",0,1))</f>
        <v/>
      </c>
      <c r="C69" s="14" t="str">
        <f t="array" ref="C69">IF(OR(G69="",G69="Selecciona.."),"",XLOOKUP(G69,Productos!$E:$E,Productos!$A:$A,"",0,1))</f>
        <v/>
      </c>
      <c r="D69" s="14" t="str">
        <f t="shared" si="2"/>
        <v/>
      </c>
      <c r="E69" s="14"/>
      <c r="F69" s="15" t="str">
        <f t="shared" si="4"/>
        <v/>
      </c>
      <c r="G69" s="15" t="str">
        <f t="shared" ref="G69:H69" si="66">IF(OR(F69="",F69="Selecciona.."),"","Selecciona..")</f>
        <v/>
      </c>
      <c r="H69" s="13" t="str">
        <f t="shared" si="66"/>
        <v/>
      </c>
    </row>
    <row r="70">
      <c r="A70" s="14" t="str">
        <f t="shared" si="1"/>
        <v/>
      </c>
      <c r="B70" s="14" t="str">
        <f t="array" ref="B70">IF(OR(F70="",F70="Selecciona.."),"",XLOOKUP(F70,Productos!E:E,Productos!A:A,"",0,1))</f>
        <v/>
      </c>
      <c r="C70" s="14" t="str">
        <f t="array" ref="C70">IF(OR(G70="",G70="Selecciona.."),"",XLOOKUP(G70,Productos!$E:$E,Productos!$A:$A,"",0,1))</f>
        <v/>
      </c>
      <c r="D70" s="14" t="str">
        <f t="shared" si="2"/>
        <v/>
      </c>
      <c r="E70" s="14"/>
      <c r="F70" s="15" t="str">
        <f t="shared" si="4"/>
        <v/>
      </c>
      <c r="G70" s="15" t="str">
        <f t="shared" ref="G70:H70" si="67">IF(OR(F70="",F70="Selecciona.."),"","Selecciona..")</f>
        <v/>
      </c>
      <c r="H70" s="13" t="str">
        <f t="shared" si="67"/>
        <v/>
      </c>
    </row>
    <row r="71">
      <c r="A71" s="14" t="str">
        <f t="shared" si="1"/>
        <v/>
      </c>
      <c r="B71" s="14" t="str">
        <f t="array" ref="B71">IF(OR(F71="",F71="Selecciona.."),"",XLOOKUP(F71,Productos!E:E,Productos!A:A,"",0,1))</f>
        <v/>
      </c>
      <c r="C71" s="14" t="str">
        <f t="array" ref="C71">IF(OR(G71="",G71="Selecciona.."),"",XLOOKUP(G71,Productos!$E:$E,Productos!$A:$A,"",0,1))</f>
        <v/>
      </c>
      <c r="D71" s="14" t="str">
        <f t="shared" si="2"/>
        <v/>
      </c>
      <c r="E71" s="14"/>
      <c r="F71" s="15" t="str">
        <f t="shared" si="4"/>
        <v/>
      </c>
      <c r="G71" s="15" t="str">
        <f t="shared" ref="G71:H71" si="68">IF(OR(F71="",F71="Selecciona.."),"","Selecciona..")</f>
        <v/>
      </c>
      <c r="H71" s="13" t="str">
        <f t="shared" si="68"/>
        <v/>
      </c>
    </row>
    <row r="72">
      <c r="A72" s="14" t="str">
        <f t="shared" si="1"/>
        <v/>
      </c>
      <c r="B72" s="14" t="str">
        <f t="array" ref="B72">IF(OR(F72="",F72="Selecciona.."),"",XLOOKUP(F72,Productos!E:E,Productos!A:A,"",0,1))</f>
        <v/>
      </c>
      <c r="C72" s="14" t="str">
        <f t="array" ref="C72">IF(OR(G72="",G72="Selecciona.."),"",XLOOKUP(G72,Productos!$E:$E,Productos!$A:$A,"",0,1))</f>
        <v/>
      </c>
      <c r="D72" s="14" t="str">
        <f t="shared" si="2"/>
        <v/>
      </c>
      <c r="E72" s="14"/>
      <c r="F72" s="15" t="str">
        <f t="shared" si="4"/>
        <v/>
      </c>
      <c r="G72" s="15" t="str">
        <f t="shared" ref="G72:H72" si="69">IF(OR(F72="",F72="Selecciona.."),"","Selecciona..")</f>
        <v/>
      </c>
      <c r="H72" s="13" t="str">
        <f t="shared" si="69"/>
        <v/>
      </c>
    </row>
    <row r="73">
      <c r="A73" s="14" t="str">
        <f t="shared" si="1"/>
        <v/>
      </c>
      <c r="B73" s="14" t="str">
        <f t="array" ref="B73">IF(OR(F73="",F73="Selecciona.."),"",XLOOKUP(F73,Productos!E:E,Productos!A:A,"",0,1))</f>
        <v/>
      </c>
      <c r="C73" s="14" t="str">
        <f t="array" ref="C73">IF(OR(G73="",G73="Selecciona.."),"",XLOOKUP(G73,Productos!$E:$E,Productos!$A:$A,"",0,1))</f>
        <v/>
      </c>
      <c r="D73" s="14" t="str">
        <f t="shared" si="2"/>
        <v/>
      </c>
      <c r="E73" s="14"/>
      <c r="F73" s="15" t="str">
        <f t="shared" si="4"/>
        <v/>
      </c>
      <c r="G73" s="15" t="str">
        <f t="shared" ref="G73:H73" si="70">IF(OR(F73="",F73="Selecciona.."),"","Selecciona..")</f>
        <v/>
      </c>
      <c r="H73" s="13" t="str">
        <f t="shared" si="70"/>
        <v/>
      </c>
    </row>
    <row r="74">
      <c r="A74" s="14" t="str">
        <f t="shared" si="1"/>
        <v/>
      </c>
      <c r="B74" s="14" t="str">
        <f t="array" ref="B74">IF(OR(F74="",F74="Selecciona.."),"",XLOOKUP(F74,Productos!E:E,Productos!A:A,"",0,1))</f>
        <v/>
      </c>
      <c r="C74" s="14" t="str">
        <f t="array" ref="C74">IF(OR(G74="",G74="Selecciona.."),"",XLOOKUP(G74,Productos!$E:$E,Productos!$A:$A,"",0,1))</f>
        <v/>
      </c>
      <c r="D74" s="14" t="str">
        <f t="shared" si="2"/>
        <v/>
      </c>
      <c r="E74" s="14"/>
      <c r="F74" s="15" t="str">
        <f t="shared" si="4"/>
        <v/>
      </c>
      <c r="G74" s="15" t="str">
        <f t="shared" ref="G74:H74" si="71">IF(OR(F74="",F74="Selecciona.."),"","Selecciona..")</f>
        <v/>
      </c>
      <c r="H74" s="13" t="str">
        <f t="shared" si="71"/>
        <v/>
      </c>
    </row>
    <row r="75">
      <c r="A75" s="14" t="str">
        <f t="shared" si="1"/>
        <v/>
      </c>
      <c r="B75" s="14" t="str">
        <f t="array" ref="B75">IF(OR(F75="",F75="Selecciona.."),"",XLOOKUP(F75,Productos!E:E,Productos!A:A,"",0,1))</f>
        <v/>
      </c>
      <c r="C75" s="14" t="str">
        <f t="array" ref="C75">IF(OR(G75="",G75="Selecciona.."),"",XLOOKUP(G75,Productos!$E:$E,Productos!$A:$A,"",0,1))</f>
        <v/>
      </c>
      <c r="D75" s="14" t="str">
        <f t="shared" si="2"/>
        <v/>
      </c>
      <c r="E75" s="14"/>
      <c r="F75" s="15" t="str">
        <f t="shared" si="4"/>
        <v/>
      </c>
      <c r="G75" s="15" t="str">
        <f t="shared" ref="G75:H75" si="72">IF(OR(F75="",F75="Selecciona.."),"","Selecciona..")</f>
        <v/>
      </c>
      <c r="H75" s="13" t="str">
        <f t="shared" si="72"/>
        <v/>
      </c>
    </row>
    <row r="76">
      <c r="A76" s="14" t="str">
        <f t="shared" si="1"/>
        <v/>
      </c>
      <c r="B76" s="14" t="str">
        <f t="array" ref="B76">IF(OR(F76="",F76="Selecciona.."),"",XLOOKUP(F76,Productos!E:E,Productos!A:A,"",0,1))</f>
        <v/>
      </c>
      <c r="C76" s="14" t="str">
        <f t="array" ref="C76">IF(OR(G76="",G76="Selecciona.."),"",XLOOKUP(G76,Productos!$E:$E,Productos!$A:$A,"",0,1))</f>
        <v/>
      </c>
      <c r="D76" s="14" t="str">
        <f t="shared" si="2"/>
        <v/>
      </c>
      <c r="E76" s="14"/>
      <c r="F76" s="15" t="str">
        <f t="shared" si="4"/>
        <v/>
      </c>
      <c r="G76" s="15" t="str">
        <f t="shared" ref="G76:H76" si="73">IF(OR(F76="",F76="Selecciona.."),"","Selecciona..")</f>
        <v/>
      </c>
      <c r="H76" s="13" t="str">
        <f t="shared" si="73"/>
        <v/>
      </c>
    </row>
    <row r="77">
      <c r="A77" s="14" t="str">
        <f t="shared" si="1"/>
        <v/>
      </c>
      <c r="B77" s="14" t="str">
        <f t="array" ref="B77">IF(OR(F77="",F77="Selecciona.."),"",XLOOKUP(F77,Productos!E:E,Productos!A:A,"",0,1))</f>
        <v/>
      </c>
      <c r="C77" s="14" t="str">
        <f t="array" ref="C77">IF(OR(G77="",G77="Selecciona.."),"",XLOOKUP(G77,Productos!$E:$E,Productos!$A:$A,"",0,1))</f>
        <v/>
      </c>
      <c r="D77" s="14" t="str">
        <f t="shared" si="2"/>
        <v/>
      </c>
      <c r="E77" s="14"/>
      <c r="F77" s="15" t="str">
        <f t="shared" si="4"/>
        <v/>
      </c>
      <c r="G77" s="15" t="str">
        <f t="shared" ref="G77:H77" si="74">IF(OR(F77="",F77="Selecciona.."),"","Selecciona..")</f>
        <v/>
      </c>
      <c r="H77" s="13" t="str">
        <f t="shared" si="74"/>
        <v/>
      </c>
    </row>
    <row r="78">
      <c r="A78" s="14" t="str">
        <f t="shared" si="1"/>
        <v/>
      </c>
      <c r="B78" s="14" t="str">
        <f t="array" ref="B78">IF(OR(F78="",F78="Selecciona.."),"",XLOOKUP(F78,Productos!E:E,Productos!A:A,"",0,1))</f>
        <v/>
      </c>
      <c r="C78" s="14" t="str">
        <f t="array" ref="C78">IF(OR(G78="",G78="Selecciona.."),"",XLOOKUP(G78,Productos!$E:$E,Productos!$A:$A,"",0,1))</f>
        <v/>
      </c>
      <c r="D78" s="14" t="str">
        <f t="shared" si="2"/>
        <v/>
      </c>
      <c r="E78" s="14"/>
      <c r="F78" s="15" t="str">
        <f t="shared" si="4"/>
        <v/>
      </c>
      <c r="G78" s="15" t="str">
        <f t="shared" ref="G78:H78" si="75">IF(OR(F78="",F78="Selecciona.."),"","Selecciona..")</f>
        <v/>
      </c>
      <c r="H78" s="13" t="str">
        <f t="shared" si="75"/>
        <v/>
      </c>
    </row>
    <row r="79">
      <c r="A79" s="14" t="str">
        <f t="shared" si="1"/>
        <v/>
      </c>
      <c r="B79" s="14" t="str">
        <f t="array" ref="B79">IF(OR(F79="",F79="Selecciona.."),"",XLOOKUP(F79,Productos!E:E,Productos!A:A,"",0,1))</f>
        <v/>
      </c>
      <c r="C79" s="14" t="str">
        <f t="array" ref="C79">IF(OR(G79="",G79="Selecciona.."),"",XLOOKUP(G79,Productos!$E:$E,Productos!$A:$A,"",0,1))</f>
        <v/>
      </c>
      <c r="D79" s="14" t="str">
        <f t="shared" si="2"/>
        <v/>
      </c>
      <c r="E79" s="14"/>
      <c r="F79" s="15" t="str">
        <f t="shared" si="4"/>
        <v/>
      </c>
      <c r="G79" s="15" t="str">
        <f t="shared" ref="G79:H79" si="76">IF(OR(F79="",F79="Selecciona.."),"","Selecciona..")</f>
        <v/>
      </c>
      <c r="H79" s="13" t="str">
        <f t="shared" si="76"/>
        <v/>
      </c>
    </row>
    <row r="80">
      <c r="A80" s="14" t="str">
        <f t="shared" si="1"/>
        <v/>
      </c>
      <c r="B80" s="14" t="str">
        <f t="array" ref="B80">IF(OR(F80="",F80="Selecciona.."),"",XLOOKUP(F80,Productos!E:E,Productos!A:A,"",0,1))</f>
        <v/>
      </c>
      <c r="C80" s="14" t="str">
        <f t="array" ref="C80">IF(OR(G80="",G80="Selecciona.."),"",XLOOKUP(G80,Productos!$E:$E,Productos!$A:$A,"",0,1))</f>
        <v/>
      </c>
      <c r="D80" s="14" t="str">
        <f t="shared" si="2"/>
        <v/>
      </c>
      <c r="E80" s="14"/>
      <c r="F80" s="15" t="str">
        <f t="shared" si="4"/>
        <v/>
      </c>
      <c r="G80" s="15" t="str">
        <f t="shared" ref="G80:H80" si="77">IF(OR(F80="",F80="Selecciona.."),"","Selecciona..")</f>
        <v/>
      </c>
      <c r="H80" s="13" t="str">
        <f t="shared" si="77"/>
        <v/>
      </c>
    </row>
    <row r="81">
      <c r="A81" s="14" t="str">
        <f t="shared" si="1"/>
        <v/>
      </c>
      <c r="B81" s="14" t="str">
        <f t="array" ref="B81">IF(OR(F81="",F81="Selecciona.."),"",XLOOKUP(F81,Productos!E:E,Productos!A:A,"",0,1))</f>
        <v/>
      </c>
      <c r="C81" s="14" t="str">
        <f t="array" ref="C81">IF(OR(G81="",G81="Selecciona.."),"",XLOOKUP(G81,Productos!$E:$E,Productos!$A:$A,"",0,1))</f>
        <v/>
      </c>
      <c r="D81" s="14" t="str">
        <f t="shared" si="2"/>
        <v/>
      </c>
      <c r="E81" s="14"/>
      <c r="F81" s="15" t="str">
        <f t="shared" si="4"/>
        <v/>
      </c>
      <c r="G81" s="15" t="str">
        <f t="shared" ref="G81:H81" si="78">IF(OR(F81="",F81="Selecciona.."),"","Selecciona..")</f>
        <v/>
      </c>
      <c r="H81" s="13" t="str">
        <f t="shared" si="78"/>
        <v/>
      </c>
    </row>
    <row r="82">
      <c r="A82" s="14" t="str">
        <f t="shared" si="1"/>
        <v/>
      </c>
      <c r="B82" s="14" t="str">
        <f t="array" ref="B82">IF(OR(F82="",F82="Selecciona.."),"",XLOOKUP(F82,Productos!E:E,Productos!A:A,"",0,1))</f>
        <v/>
      </c>
      <c r="C82" s="14" t="str">
        <f t="array" ref="C82">IF(OR(G82="",G82="Selecciona.."),"",XLOOKUP(G82,Productos!$E:$E,Productos!$A:$A,"",0,1))</f>
        <v/>
      </c>
      <c r="D82" s="14" t="str">
        <f t="shared" si="2"/>
        <v/>
      </c>
      <c r="E82" s="14"/>
      <c r="F82" s="15" t="str">
        <f t="shared" si="4"/>
        <v/>
      </c>
      <c r="G82" s="15" t="str">
        <f t="shared" ref="G82:H82" si="79">IF(OR(F82="",F82="Selecciona.."),"","Selecciona..")</f>
        <v/>
      </c>
      <c r="H82" s="13" t="str">
        <f t="shared" si="79"/>
        <v/>
      </c>
    </row>
    <row r="83">
      <c r="A83" s="14" t="str">
        <f t="shared" si="1"/>
        <v/>
      </c>
      <c r="B83" s="14" t="str">
        <f t="array" ref="B83">IF(OR(F83="",F83="Selecciona.."),"",XLOOKUP(F83,Productos!E:E,Productos!A:A,"",0,1))</f>
        <v/>
      </c>
      <c r="C83" s="14" t="str">
        <f t="array" ref="C83">IF(OR(G83="",G83="Selecciona.."),"",XLOOKUP(G83,Productos!$E:$E,Productos!$A:$A,"",0,1))</f>
        <v/>
      </c>
      <c r="D83" s="14" t="str">
        <f t="shared" si="2"/>
        <v/>
      </c>
      <c r="E83" s="14"/>
      <c r="F83" s="15" t="str">
        <f t="shared" si="4"/>
        <v/>
      </c>
      <c r="G83" s="15" t="str">
        <f t="shared" ref="G83:H83" si="80">IF(OR(F83="",F83="Selecciona.."),"","Selecciona..")</f>
        <v/>
      </c>
      <c r="H83" s="13" t="str">
        <f t="shared" si="80"/>
        <v/>
      </c>
    </row>
    <row r="84">
      <c r="A84" s="14" t="str">
        <f t="shared" si="1"/>
        <v/>
      </c>
      <c r="B84" s="14" t="str">
        <f t="array" ref="B84">IF(OR(F84="",F84="Selecciona.."),"",XLOOKUP(F84,Productos!E:E,Productos!A:A,"",0,1))</f>
        <v/>
      </c>
      <c r="C84" s="14" t="str">
        <f t="array" ref="C84">IF(OR(G84="",G84="Selecciona.."),"",XLOOKUP(G84,Productos!$E:$E,Productos!$A:$A,"",0,1))</f>
        <v/>
      </c>
      <c r="D84" s="14" t="str">
        <f t="shared" si="2"/>
        <v/>
      </c>
      <c r="E84" s="14"/>
      <c r="F84" s="15" t="str">
        <f t="shared" si="4"/>
        <v/>
      </c>
      <c r="G84" s="15" t="str">
        <f t="shared" ref="G84:H84" si="81">IF(OR(F84="",F84="Selecciona.."),"","Selecciona..")</f>
        <v/>
      </c>
      <c r="H84" s="13" t="str">
        <f t="shared" si="81"/>
        <v/>
      </c>
    </row>
    <row r="85">
      <c r="A85" s="14" t="str">
        <f t="shared" si="1"/>
        <v/>
      </c>
      <c r="B85" s="14" t="str">
        <f t="array" ref="B85">IF(OR(F85="",F85="Selecciona.."),"",XLOOKUP(F85,Productos!E:E,Productos!A:A,"",0,1))</f>
        <v/>
      </c>
      <c r="C85" s="14" t="str">
        <f t="array" ref="C85">IF(OR(G85="",G85="Selecciona.."),"",XLOOKUP(G85,Productos!$E:$E,Productos!$A:$A,"",0,1))</f>
        <v/>
      </c>
      <c r="D85" s="14" t="str">
        <f t="shared" si="2"/>
        <v/>
      </c>
      <c r="E85" s="14"/>
      <c r="F85" s="15" t="str">
        <f t="shared" si="4"/>
        <v/>
      </c>
      <c r="G85" s="15" t="str">
        <f t="shared" ref="G85:H85" si="82">IF(OR(F85="",F85="Selecciona.."),"","Selecciona..")</f>
        <v/>
      </c>
      <c r="H85" s="13" t="str">
        <f t="shared" si="82"/>
        <v/>
      </c>
    </row>
    <row r="86">
      <c r="A86" s="14" t="str">
        <f t="shared" si="1"/>
        <v/>
      </c>
      <c r="B86" s="14" t="str">
        <f t="array" ref="B86">IF(OR(F86="",F86="Selecciona.."),"",XLOOKUP(F86,Productos!E:E,Productos!A:A,"",0,1))</f>
        <v/>
      </c>
      <c r="C86" s="14" t="str">
        <f t="array" ref="C86">IF(OR(G86="",G86="Selecciona.."),"",XLOOKUP(G86,Productos!$E:$E,Productos!$A:$A,"",0,1))</f>
        <v/>
      </c>
      <c r="D86" s="14" t="str">
        <f t="shared" si="2"/>
        <v/>
      </c>
      <c r="E86" s="14"/>
      <c r="F86" s="15" t="str">
        <f t="shared" si="4"/>
        <v/>
      </c>
      <c r="G86" s="15" t="str">
        <f t="shared" ref="G86:H86" si="83">IF(OR(F86="",F86="Selecciona.."),"","Selecciona..")</f>
        <v/>
      </c>
      <c r="H86" s="13" t="str">
        <f t="shared" si="83"/>
        <v/>
      </c>
    </row>
    <row r="87">
      <c r="A87" s="14" t="str">
        <f t="shared" si="1"/>
        <v/>
      </c>
      <c r="B87" s="14" t="str">
        <f t="array" ref="B87">IF(OR(F87="",F87="Selecciona.."),"",XLOOKUP(F87,Productos!E:E,Productos!A:A,"",0,1))</f>
        <v/>
      </c>
      <c r="C87" s="14" t="str">
        <f t="array" ref="C87">IF(OR(G87="",G87="Selecciona.."),"",XLOOKUP(G87,Productos!$E:$E,Productos!$A:$A,"",0,1))</f>
        <v/>
      </c>
      <c r="D87" s="14" t="str">
        <f t="shared" si="2"/>
        <v/>
      </c>
      <c r="E87" s="14"/>
      <c r="F87" s="15" t="str">
        <f t="shared" si="4"/>
        <v/>
      </c>
      <c r="G87" s="15" t="str">
        <f t="shared" ref="G87:H87" si="84">IF(OR(F87="",F87="Selecciona.."),"","Selecciona..")</f>
        <v/>
      </c>
      <c r="H87" s="13" t="str">
        <f t="shared" si="84"/>
        <v/>
      </c>
    </row>
    <row r="88">
      <c r="A88" s="14" t="str">
        <f t="shared" si="1"/>
        <v/>
      </c>
      <c r="B88" s="14" t="str">
        <f t="array" ref="B88">IF(OR(F88="",F88="Selecciona.."),"",XLOOKUP(F88,Productos!E:E,Productos!A:A,"",0,1))</f>
        <v/>
      </c>
      <c r="C88" s="14" t="str">
        <f t="array" ref="C88">IF(OR(G88="",G88="Selecciona.."),"",XLOOKUP(G88,Productos!$E:$E,Productos!$A:$A,"",0,1))</f>
        <v/>
      </c>
      <c r="D88" s="14" t="str">
        <f t="shared" si="2"/>
        <v/>
      </c>
      <c r="E88" s="14"/>
      <c r="F88" s="15" t="str">
        <f t="shared" si="4"/>
        <v/>
      </c>
      <c r="G88" s="15" t="str">
        <f t="shared" ref="G88:H88" si="85">IF(OR(F88="",F88="Selecciona.."),"","Selecciona..")</f>
        <v/>
      </c>
      <c r="H88" s="13" t="str">
        <f t="shared" si="85"/>
        <v/>
      </c>
    </row>
    <row r="89">
      <c r="A89" s="14" t="str">
        <f t="shared" si="1"/>
        <v/>
      </c>
      <c r="B89" s="14" t="str">
        <f t="array" ref="B89">IF(OR(F89="",F89="Selecciona.."),"",XLOOKUP(F89,Productos!E:E,Productos!A:A,"",0,1))</f>
        <v/>
      </c>
      <c r="C89" s="14" t="str">
        <f t="array" ref="C89">IF(OR(G89="",G89="Selecciona.."),"",XLOOKUP(G89,Productos!$E:$E,Productos!$A:$A,"",0,1))</f>
        <v/>
      </c>
      <c r="D89" s="14" t="str">
        <f t="shared" si="2"/>
        <v/>
      </c>
      <c r="E89" s="14"/>
      <c r="F89" s="15" t="str">
        <f t="shared" si="4"/>
        <v/>
      </c>
      <c r="G89" s="15" t="str">
        <f t="shared" ref="G89:H89" si="86">IF(OR(F89="",F89="Selecciona.."),"","Selecciona..")</f>
        <v/>
      </c>
      <c r="H89" s="13" t="str">
        <f t="shared" si="86"/>
        <v/>
      </c>
    </row>
    <row r="90">
      <c r="A90" s="14" t="str">
        <f t="shared" si="1"/>
        <v/>
      </c>
      <c r="B90" s="14" t="str">
        <f t="array" ref="B90">IF(OR(F90="",F90="Selecciona.."),"",XLOOKUP(F90,Productos!E:E,Productos!A:A,"",0,1))</f>
        <v/>
      </c>
      <c r="C90" s="14" t="str">
        <f t="array" ref="C90">IF(OR(G90="",G90="Selecciona.."),"",XLOOKUP(G90,Productos!$E:$E,Productos!$A:$A,"",0,1))</f>
        <v/>
      </c>
      <c r="D90" s="14" t="str">
        <f t="shared" si="2"/>
        <v/>
      </c>
      <c r="E90" s="14"/>
      <c r="F90" s="15" t="str">
        <f t="shared" si="4"/>
        <v/>
      </c>
      <c r="G90" s="15" t="str">
        <f t="shared" ref="G90:H90" si="87">IF(OR(F90="",F90="Selecciona.."),"","Selecciona..")</f>
        <v/>
      </c>
      <c r="H90" s="13" t="str">
        <f t="shared" si="87"/>
        <v/>
      </c>
    </row>
    <row r="91">
      <c r="A91" s="14" t="str">
        <f t="shared" si="1"/>
        <v/>
      </c>
      <c r="B91" s="14" t="str">
        <f t="array" ref="B91">IF(OR(F91="",F91="Selecciona.."),"",XLOOKUP(F91,Productos!E:E,Productos!A:A,"",0,1))</f>
        <v/>
      </c>
      <c r="C91" s="14" t="str">
        <f t="array" ref="C91">IF(OR(G91="",G91="Selecciona.."),"",XLOOKUP(G91,Productos!$E:$E,Productos!$A:$A,"",0,1))</f>
        <v/>
      </c>
      <c r="D91" s="14" t="str">
        <f t="shared" si="2"/>
        <v/>
      </c>
      <c r="E91" s="14"/>
      <c r="F91" s="15" t="str">
        <f t="shared" si="4"/>
        <v/>
      </c>
      <c r="G91" s="15" t="str">
        <f t="shared" ref="G91:H91" si="88">IF(OR(F91="",F91="Selecciona.."),"","Selecciona..")</f>
        <v/>
      </c>
      <c r="H91" s="13" t="str">
        <f t="shared" si="88"/>
        <v/>
      </c>
    </row>
    <row r="92">
      <c r="A92" s="14" t="str">
        <f t="shared" si="1"/>
        <v/>
      </c>
      <c r="B92" s="14" t="str">
        <f t="array" ref="B92">IF(OR(F92="",F92="Selecciona.."),"",XLOOKUP(F92,Productos!E:E,Productos!A:A,"",0,1))</f>
        <v/>
      </c>
      <c r="C92" s="14" t="str">
        <f t="array" ref="C92">IF(OR(G92="",G92="Selecciona.."),"",XLOOKUP(G92,Productos!$E:$E,Productos!$A:$A,"",0,1))</f>
        <v/>
      </c>
      <c r="D92" s="14" t="str">
        <f t="shared" si="2"/>
        <v/>
      </c>
      <c r="E92" s="14"/>
      <c r="F92" s="15" t="str">
        <f t="shared" si="4"/>
        <v/>
      </c>
      <c r="G92" s="15" t="str">
        <f t="shared" ref="G92:H92" si="89">IF(OR(F92="",F92="Selecciona.."),"","Selecciona..")</f>
        <v/>
      </c>
      <c r="H92" s="13" t="str">
        <f t="shared" si="89"/>
        <v/>
      </c>
    </row>
    <row r="93">
      <c r="A93" s="14" t="str">
        <f t="shared" si="1"/>
        <v/>
      </c>
      <c r="B93" s="14" t="str">
        <f t="array" ref="B93">IF(OR(F93="",F93="Selecciona.."),"",XLOOKUP(F93,Productos!E:E,Productos!A:A,"",0,1))</f>
        <v/>
      </c>
      <c r="C93" s="14" t="str">
        <f t="array" ref="C93">IF(OR(G93="",G93="Selecciona.."),"",XLOOKUP(G93,Productos!$E:$E,Productos!$A:$A,"",0,1))</f>
        <v/>
      </c>
      <c r="D93" s="14" t="str">
        <f t="shared" si="2"/>
        <v/>
      </c>
      <c r="E93" s="14"/>
      <c r="F93" s="15" t="str">
        <f t="shared" si="4"/>
        <v/>
      </c>
      <c r="G93" s="15" t="str">
        <f t="shared" ref="G93:H93" si="90">IF(OR(F93="",F93="Selecciona.."),"","Selecciona..")</f>
        <v/>
      </c>
      <c r="H93" s="13" t="str">
        <f t="shared" si="90"/>
        <v/>
      </c>
    </row>
    <row r="94">
      <c r="A94" s="14" t="str">
        <f t="shared" si="1"/>
        <v/>
      </c>
      <c r="B94" s="14" t="str">
        <f t="array" ref="B94">IF(OR(F94="",F94="Selecciona.."),"",XLOOKUP(F94,Productos!E:E,Productos!A:A,"",0,1))</f>
        <v/>
      </c>
      <c r="C94" s="14" t="str">
        <f t="array" ref="C94">IF(OR(G94="",G94="Selecciona.."),"",XLOOKUP(G94,Productos!$E:$E,Productos!$A:$A,"",0,1))</f>
        <v/>
      </c>
      <c r="D94" s="14" t="str">
        <f t="shared" si="2"/>
        <v/>
      </c>
      <c r="E94" s="14"/>
      <c r="F94" s="15" t="str">
        <f t="shared" si="4"/>
        <v/>
      </c>
      <c r="G94" s="15" t="str">
        <f t="shared" ref="G94:H94" si="91">IF(OR(F94="",F94="Selecciona.."),"","Selecciona..")</f>
        <v/>
      </c>
      <c r="H94" s="13" t="str">
        <f t="shared" si="91"/>
        <v/>
      </c>
    </row>
    <row r="95">
      <c r="A95" s="14" t="str">
        <f t="shared" si="1"/>
        <v/>
      </c>
      <c r="B95" s="14" t="str">
        <f t="array" ref="B95">IF(OR(F95="",F95="Selecciona.."),"",XLOOKUP(F95,Productos!E:E,Productos!A:A,"",0,1))</f>
        <v/>
      </c>
      <c r="C95" s="14" t="str">
        <f t="array" ref="C95">IF(OR(G95="",G95="Selecciona.."),"",XLOOKUP(G95,Productos!$E:$E,Productos!$A:$A,"",0,1))</f>
        <v/>
      </c>
      <c r="D95" s="14" t="str">
        <f t="shared" si="2"/>
        <v/>
      </c>
      <c r="E95" s="14"/>
      <c r="F95" s="15" t="str">
        <f t="shared" si="4"/>
        <v/>
      </c>
      <c r="G95" s="15" t="str">
        <f t="shared" ref="G95:H95" si="92">IF(OR(F95="",F95="Selecciona.."),"","Selecciona..")</f>
        <v/>
      </c>
      <c r="H95" s="13" t="str">
        <f t="shared" si="92"/>
        <v/>
      </c>
    </row>
    <row r="96">
      <c r="A96" s="14" t="str">
        <f t="shared" si="1"/>
        <v/>
      </c>
      <c r="B96" s="14" t="str">
        <f t="array" ref="B96">IF(OR(F96="",F96="Selecciona.."),"",XLOOKUP(F96,Productos!E:E,Productos!A:A,"",0,1))</f>
        <v/>
      </c>
      <c r="C96" s="14" t="str">
        <f t="array" ref="C96">IF(OR(G96="",G96="Selecciona.."),"",XLOOKUP(G96,Productos!$E:$E,Productos!$A:$A,"",0,1))</f>
        <v/>
      </c>
      <c r="D96" s="14" t="str">
        <f t="shared" si="2"/>
        <v/>
      </c>
      <c r="E96" s="14"/>
      <c r="F96" s="15" t="str">
        <f t="shared" si="4"/>
        <v/>
      </c>
      <c r="G96" s="15" t="str">
        <f t="shared" ref="G96:H96" si="93">IF(OR(F96="",F96="Selecciona.."),"","Selecciona..")</f>
        <v/>
      </c>
      <c r="H96" s="13" t="str">
        <f t="shared" si="93"/>
        <v/>
      </c>
    </row>
    <row r="97">
      <c r="A97" s="14" t="str">
        <f t="shared" si="1"/>
        <v/>
      </c>
      <c r="B97" s="14" t="str">
        <f t="array" ref="B97">IF(OR(F97="",F97="Selecciona.."),"",XLOOKUP(F97,Productos!E:E,Productos!A:A,"",0,1))</f>
        <v/>
      </c>
      <c r="C97" s="14" t="str">
        <f t="array" ref="C97">IF(OR(G97="",G97="Selecciona.."),"",XLOOKUP(G97,Productos!$E:$E,Productos!$A:$A,"",0,1))</f>
        <v/>
      </c>
      <c r="D97" s="14" t="str">
        <f t="shared" si="2"/>
        <v/>
      </c>
      <c r="E97" s="14"/>
      <c r="F97" s="15" t="str">
        <f t="shared" si="4"/>
        <v/>
      </c>
      <c r="G97" s="15" t="str">
        <f t="shared" ref="G97:H97" si="94">IF(OR(F97="",F97="Selecciona.."),"","Selecciona..")</f>
        <v/>
      </c>
      <c r="H97" s="13" t="str">
        <f t="shared" si="94"/>
        <v/>
      </c>
    </row>
    <row r="98">
      <c r="A98" s="14" t="str">
        <f t="shared" si="1"/>
        <v/>
      </c>
      <c r="B98" s="14" t="str">
        <f t="array" ref="B98">IF(OR(F98="",F98="Selecciona.."),"",XLOOKUP(F98,Productos!E:E,Productos!A:A,"",0,1))</f>
        <v/>
      </c>
      <c r="C98" s="14" t="str">
        <f t="array" ref="C98">IF(OR(G98="",G98="Selecciona.."),"",XLOOKUP(G98,Productos!$E:$E,Productos!$A:$A,"",0,1))</f>
        <v/>
      </c>
      <c r="D98" s="14" t="str">
        <f t="shared" si="2"/>
        <v/>
      </c>
      <c r="E98" s="14"/>
      <c r="F98" s="15" t="str">
        <f t="shared" si="4"/>
        <v/>
      </c>
      <c r="G98" s="15" t="str">
        <f t="shared" ref="G98:H98" si="95">IF(OR(F98="",F98="Selecciona.."),"","Selecciona..")</f>
        <v/>
      </c>
      <c r="H98" s="13" t="str">
        <f t="shared" si="95"/>
        <v/>
      </c>
    </row>
    <row r="99">
      <c r="A99" s="14" t="str">
        <f t="shared" si="1"/>
        <v/>
      </c>
      <c r="B99" s="14" t="str">
        <f t="array" ref="B99">IF(OR(F99="",F99="Selecciona.."),"",XLOOKUP(F99,Productos!E:E,Productos!A:A,"",0,1))</f>
        <v/>
      </c>
      <c r="C99" s="14" t="str">
        <f t="array" ref="C99">IF(OR(G99="",G99="Selecciona.."),"",XLOOKUP(G99,Productos!$E:$E,Productos!$A:$A,"",0,1))</f>
        <v/>
      </c>
      <c r="D99" s="14" t="str">
        <f t="shared" si="2"/>
        <v/>
      </c>
      <c r="E99" s="14"/>
      <c r="F99" s="15" t="str">
        <f t="shared" si="4"/>
        <v/>
      </c>
      <c r="G99" s="15" t="str">
        <f t="shared" ref="G99:H99" si="96">IF(OR(F99="",F99="Selecciona.."),"","Selecciona..")</f>
        <v/>
      </c>
      <c r="H99" s="13" t="str">
        <f t="shared" si="96"/>
        <v/>
      </c>
    </row>
    <row r="100">
      <c r="A100" s="14" t="str">
        <f t="shared" si="1"/>
        <v/>
      </c>
      <c r="B100" s="14" t="str">
        <f t="array" ref="B100">IF(OR(F100="",F100="Selecciona.."),"",XLOOKUP(F100,Productos!E:E,Productos!A:A,"",0,1))</f>
        <v/>
      </c>
      <c r="C100" s="14" t="str">
        <f t="array" ref="C100">IF(OR(G100="",G100="Selecciona.."),"",XLOOKUP(G100,Productos!$E:$E,Productos!$A:$A,"",0,1))</f>
        <v/>
      </c>
      <c r="D100" s="14" t="str">
        <f t="shared" si="2"/>
        <v/>
      </c>
      <c r="E100" s="14"/>
      <c r="F100" s="15" t="str">
        <f t="shared" si="4"/>
        <v/>
      </c>
      <c r="G100" s="15" t="str">
        <f t="shared" ref="G100:H100" si="97">IF(OR(F100="",F100="Selecciona.."),"","Selecciona..")</f>
        <v/>
      </c>
      <c r="H100" s="13" t="str">
        <f t="shared" si="97"/>
        <v/>
      </c>
    </row>
    <row r="101">
      <c r="A101" s="14" t="str">
        <f t="shared" si="1"/>
        <v/>
      </c>
      <c r="B101" s="14" t="str">
        <f t="array" ref="B101">IF(OR(F101="",F101="Selecciona.."),"",XLOOKUP(F101,Productos!E:E,Productos!A:A,"",0,1))</f>
        <v/>
      </c>
      <c r="C101" s="14" t="str">
        <f t="array" ref="C101">IF(OR(G101="",G101="Selecciona.."),"",XLOOKUP(G101,Productos!$E:$E,Productos!$A:$A,"",0,1))</f>
        <v/>
      </c>
      <c r="D101" s="14" t="str">
        <f t="shared" si="2"/>
        <v/>
      </c>
      <c r="E101" s="14"/>
      <c r="F101" s="15" t="str">
        <f t="shared" si="4"/>
        <v/>
      </c>
      <c r="G101" s="15" t="str">
        <f t="shared" ref="G101:H101" si="98">IF(OR(F101="",F101="Selecciona.."),"","Selecciona..")</f>
        <v/>
      </c>
      <c r="H101" s="13" t="str">
        <f t="shared" si="98"/>
        <v/>
      </c>
    </row>
    <row r="102">
      <c r="A102" s="14" t="str">
        <f t="shared" si="1"/>
        <v/>
      </c>
      <c r="B102" s="14" t="str">
        <f t="array" ref="B102">IF(OR(F102="",F102="Selecciona.."),"",XLOOKUP(F102,Productos!E:E,Productos!A:A,"",0,1))</f>
        <v/>
      </c>
      <c r="C102" s="14" t="str">
        <f t="array" ref="C102">IF(OR(G102="",G102="Selecciona.."),"",XLOOKUP(G102,Productos!$E:$E,Productos!$A:$A,"",0,1))</f>
        <v/>
      </c>
      <c r="D102" s="14" t="str">
        <f t="shared" si="2"/>
        <v/>
      </c>
      <c r="E102" s="14"/>
      <c r="F102" s="15" t="str">
        <f t="shared" si="4"/>
        <v/>
      </c>
      <c r="G102" s="15" t="str">
        <f t="shared" ref="G102:H102" si="99">IF(OR(F102="",F102="Selecciona.."),"","Selecciona..")</f>
        <v/>
      </c>
      <c r="H102" s="13" t="str">
        <f t="shared" si="99"/>
        <v/>
      </c>
    </row>
    <row r="103">
      <c r="A103" s="14" t="str">
        <f t="shared" si="1"/>
        <v/>
      </c>
      <c r="B103" s="14" t="str">
        <f t="array" ref="B103">IF(OR(F103="",F103="Selecciona.."),"",XLOOKUP(F103,Productos!E:E,Productos!A:A,"",0,1))</f>
        <v/>
      </c>
      <c r="C103" s="14" t="str">
        <f t="array" ref="C103">IF(OR(G103="",G103="Selecciona.."),"",XLOOKUP(G103,Productos!$E:$E,Productos!$A:$A,"",0,1))</f>
        <v/>
      </c>
      <c r="D103" s="14" t="str">
        <f t="shared" si="2"/>
        <v/>
      </c>
      <c r="E103" s="14"/>
      <c r="F103" s="15" t="str">
        <f t="shared" si="4"/>
        <v/>
      </c>
      <c r="G103" s="15" t="str">
        <f t="shared" ref="G103:H103" si="100">IF(OR(F103="",F103="Selecciona.."),"","Selecciona..")</f>
        <v/>
      </c>
      <c r="H103" s="13" t="str">
        <f t="shared" si="100"/>
        <v/>
      </c>
    </row>
    <row r="104">
      <c r="A104" s="14" t="str">
        <f t="shared" si="1"/>
        <v/>
      </c>
      <c r="B104" s="14" t="str">
        <f t="array" ref="B104">IF(OR(F104="",F104="Selecciona.."),"",XLOOKUP(F104,Productos!E:E,Productos!A:A,"",0,1))</f>
        <v/>
      </c>
      <c r="C104" s="14" t="str">
        <f t="array" ref="C104">IF(OR(G104="",G104="Selecciona.."),"",XLOOKUP(G104,Productos!$E:$E,Productos!$A:$A,"",0,1))</f>
        <v/>
      </c>
      <c r="D104" s="14" t="str">
        <f t="shared" si="2"/>
        <v/>
      </c>
      <c r="E104" s="14"/>
      <c r="F104" s="15" t="str">
        <f t="shared" si="4"/>
        <v/>
      </c>
      <c r="G104" s="15" t="str">
        <f t="shared" ref="G104:H104" si="101">IF(OR(F104="",F104="Selecciona.."),"","Selecciona..")</f>
        <v/>
      </c>
      <c r="H104" s="13" t="str">
        <f t="shared" si="101"/>
        <v/>
      </c>
    </row>
    <row r="105">
      <c r="A105" s="14" t="str">
        <f t="shared" si="1"/>
        <v/>
      </c>
      <c r="B105" s="14" t="str">
        <f t="array" ref="B105">IF(OR(F105="",F105="Selecciona.."),"",XLOOKUP(F105,Productos!E:E,Productos!A:A,"",0,1))</f>
        <v/>
      </c>
      <c r="C105" s="14" t="str">
        <f t="array" ref="C105">IF(OR(G105="",G105="Selecciona.."),"",XLOOKUP(G105,Productos!$E:$E,Productos!$A:$A,"",0,1))</f>
        <v/>
      </c>
      <c r="D105" s="14" t="str">
        <f t="shared" si="2"/>
        <v/>
      </c>
      <c r="E105" s="14"/>
      <c r="F105" s="15" t="str">
        <f t="shared" si="4"/>
        <v/>
      </c>
      <c r="G105" s="15" t="str">
        <f t="shared" ref="G105:H105" si="102">IF(OR(F105="",F105="Selecciona.."),"","Selecciona..")</f>
        <v/>
      </c>
      <c r="H105" s="13" t="str">
        <f t="shared" si="102"/>
        <v/>
      </c>
    </row>
    <row r="106">
      <c r="A106" s="14" t="str">
        <f t="shared" si="1"/>
        <v/>
      </c>
      <c r="B106" s="14" t="str">
        <f t="array" ref="B106">IF(OR(F106="",F106="Selecciona.."),"",XLOOKUP(F106,Productos!E:E,Productos!A:A,"",0,1))</f>
        <v/>
      </c>
      <c r="C106" s="14" t="str">
        <f t="array" ref="C106">IF(OR(G106="",G106="Selecciona.."),"",XLOOKUP(G106,Productos!$E:$E,Productos!$A:$A,"",0,1))</f>
        <v/>
      </c>
      <c r="D106" s="14" t="str">
        <f t="shared" si="2"/>
        <v/>
      </c>
      <c r="E106" s="14"/>
      <c r="F106" s="15" t="str">
        <f t="shared" si="4"/>
        <v/>
      </c>
      <c r="G106" s="15" t="str">
        <f t="shared" ref="G106:H106" si="103">IF(OR(F106="",F106="Selecciona.."),"","Selecciona..")</f>
        <v/>
      </c>
      <c r="H106" s="13" t="str">
        <f t="shared" si="103"/>
        <v/>
      </c>
    </row>
    <row r="107">
      <c r="A107" s="14" t="str">
        <f t="shared" si="1"/>
        <v/>
      </c>
      <c r="B107" s="14" t="str">
        <f t="array" ref="B107">IF(OR(F107="",F107="Selecciona.."),"",XLOOKUP(F107,Productos!E:E,Productos!A:A,"",0,1))</f>
        <v/>
      </c>
      <c r="C107" s="14" t="str">
        <f t="array" ref="C107">IF(OR(G107="",G107="Selecciona.."),"",XLOOKUP(G107,Productos!$E:$E,Productos!$A:$A,"",0,1))</f>
        <v/>
      </c>
      <c r="D107" s="14" t="str">
        <f t="shared" si="2"/>
        <v/>
      </c>
      <c r="E107" s="14"/>
      <c r="F107" s="15" t="str">
        <f t="shared" si="4"/>
        <v/>
      </c>
      <c r="G107" s="15" t="str">
        <f t="shared" ref="G107:H107" si="104">IF(OR(F107="",F107="Selecciona.."),"","Selecciona..")</f>
        <v/>
      </c>
      <c r="H107" s="13" t="str">
        <f t="shared" si="104"/>
        <v/>
      </c>
    </row>
    <row r="108">
      <c r="A108" s="14" t="str">
        <f t="shared" si="1"/>
        <v/>
      </c>
      <c r="B108" s="14" t="str">
        <f t="array" ref="B108">IF(OR(F108="",F108="Selecciona.."),"",XLOOKUP(F108,Productos!E:E,Productos!A:A,"",0,1))</f>
        <v/>
      </c>
      <c r="C108" s="14" t="str">
        <f t="array" ref="C108">IF(OR(G108="",G108="Selecciona.."),"",XLOOKUP(G108,Productos!$E:$E,Productos!$A:$A,"",0,1))</f>
        <v/>
      </c>
      <c r="D108" s="14" t="str">
        <f t="shared" si="2"/>
        <v/>
      </c>
      <c r="E108" s="14"/>
      <c r="F108" s="15" t="str">
        <f t="shared" si="4"/>
        <v/>
      </c>
      <c r="G108" s="15" t="str">
        <f t="shared" ref="G108:H108" si="105">IF(OR(F108="",F108="Selecciona.."),"","Selecciona..")</f>
        <v/>
      </c>
      <c r="H108" s="13" t="str">
        <f t="shared" si="105"/>
        <v/>
      </c>
    </row>
    <row r="109">
      <c r="A109" s="14" t="str">
        <f t="shared" si="1"/>
        <v/>
      </c>
      <c r="B109" s="14" t="str">
        <f t="array" ref="B109">IF(OR(F109="",F109="Selecciona.."),"",XLOOKUP(F109,Productos!E:E,Productos!A:A,"",0,1))</f>
        <v/>
      </c>
      <c r="C109" s="14" t="str">
        <f t="array" ref="C109">IF(OR(G109="",G109="Selecciona.."),"",XLOOKUP(G109,Productos!$E:$E,Productos!$A:$A,"",0,1))</f>
        <v/>
      </c>
      <c r="D109" s="14" t="str">
        <f t="shared" si="2"/>
        <v/>
      </c>
      <c r="E109" s="14"/>
      <c r="F109" s="15" t="str">
        <f t="shared" si="4"/>
        <v/>
      </c>
      <c r="G109" s="15" t="str">
        <f t="shared" ref="G109:H109" si="106">IF(OR(F109="",F109="Selecciona.."),"","Selecciona..")</f>
        <v/>
      </c>
      <c r="H109" s="13" t="str">
        <f t="shared" si="106"/>
        <v/>
      </c>
    </row>
    <row r="110">
      <c r="A110" s="14" t="str">
        <f t="shared" si="1"/>
        <v/>
      </c>
      <c r="B110" s="14" t="str">
        <f t="array" ref="B110">IF(OR(F110="",F110="Selecciona.."),"",XLOOKUP(F110,Productos!E:E,Productos!A:A,"",0,1))</f>
        <v/>
      </c>
      <c r="C110" s="14" t="str">
        <f t="array" ref="C110">IF(OR(G110="",G110="Selecciona.."),"",XLOOKUP(G110,Productos!$E:$E,Productos!$A:$A,"",0,1))</f>
        <v/>
      </c>
      <c r="D110" s="14" t="str">
        <f t="shared" si="2"/>
        <v/>
      </c>
      <c r="E110" s="14"/>
      <c r="F110" s="15" t="str">
        <f t="shared" si="4"/>
        <v/>
      </c>
      <c r="G110" s="15" t="str">
        <f t="shared" ref="G110:H110" si="107">IF(OR(F110="",F110="Selecciona.."),"","Selecciona..")</f>
        <v/>
      </c>
      <c r="H110" s="13" t="str">
        <f t="shared" si="107"/>
        <v/>
      </c>
    </row>
    <row r="111">
      <c r="A111" s="14" t="str">
        <f t="shared" si="1"/>
        <v/>
      </c>
      <c r="B111" s="14" t="str">
        <f t="array" ref="B111">IF(OR(F111="",F111="Selecciona.."),"",XLOOKUP(F111,Productos!E:E,Productos!A:A,"",0,1))</f>
        <v/>
      </c>
      <c r="C111" s="14" t="str">
        <f t="array" ref="C111">IF(OR(G111="",G111="Selecciona.."),"",XLOOKUP(G111,Productos!$E:$E,Productos!$A:$A,"",0,1))</f>
        <v/>
      </c>
      <c r="D111" s="14" t="str">
        <f t="shared" si="2"/>
        <v/>
      </c>
      <c r="E111" s="14"/>
      <c r="F111" s="15" t="str">
        <f t="shared" si="4"/>
        <v/>
      </c>
      <c r="G111" s="15" t="str">
        <f t="shared" ref="G111:H111" si="108">IF(OR(F111="",F111="Selecciona.."),"","Selecciona..")</f>
        <v/>
      </c>
      <c r="H111" s="13" t="str">
        <f t="shared" si="108"/>
        <v/>
      </c>
    </row>
    <row r="112">
      <c r="A112" s="14" t="str">
        <f t="shared" si="1"/>
        <v/>
      </c>
      <c r="B112" s="14" t="str">
        <f t="array" ref="B112">IF(OR(F112="",F112="Selecciona.."),"",XLOOKUP(F112,Productos!E:E,Productos!A:A,"",0,1))</f>
        <v/>
      </c>
      <c r="C112" s="14" t="str">
        <f t="array" ref="C112">IF(OR(G112="",G112="Selecciona.."),"",XLOOKUP(G112,Productos!$E:$E,Productos!$A:$A,"",0,1))</f>
        <v/>
      </c>
      <c r="D112" s="14" t="str">
        <f t="shared" si="2"/>
        <v/>
      </c>
      <c r="E112" s="14"/>
      <c r="F112" s="15" t="str">
        <f t="shared" si="4"/>
        <v/>
      </c>
      <c r="G112" s="15" t="str">
        <f t="shared" ref="G112:H112" si="109">IF(OR(F112="",F112="Selecciona.."),"","Selecciona..")</f>
        <v/>
      </c>
      <c r="H112" s="13" t="str">
        <f t="shared" si="109"/>
        <v/>
      </c>
    </row>
    <row r="113">
      <c r="A113" s="14" t="str">
        <f t="shared" si="1"/>
        <v/>
      </c>
      <c r="B113" s="14" t="str">
        <f t="array" ref="B113">IF(OR(F113="",F113="Selecciona.."),"",XLOOKUP(F113,Productos!E:E,Productos!A:A,"",0,1))</f>
        <v/>
      </c>
      <c r="C113" s="14" t="str">
        <f t="array" ref="C113">IF(OR(G113="",G113="Selecciona.."),"",XLOOKUP(G113,Productos!$E:$E,Productos!$A:$A,"",0,1))</f>
        <v/>
      </c>
      <c r="D113" s="14" t="str">
        <f t="shared" si="2"/>
        <v/>
      </c>
      <c r="E113" s="14"/>
      <c r="F113" s="15" t="str">
        <f t="shared" si="4"/>
        <v/>
      </c>
      <c r="G113" s="15" t="str">
        <f t="shared" ref="G113:H113" si="110">IF(OR(F113="",F113="Selecciona.."),"","Selecciona..")</f>
        <v/>
      </c>
      <c r="H113" s="13" t="str">
        <f t="shared" si="110"/>
        <v/>
      </c>
    </row>
    <row r="114">
      <c r="A114" s="14" t="str">
        <f t="shared" si="1"/>
        <v/>
      </c>
      <c r="B114" s="14" t="str">
        <f t="array" ref="B114">IF(OR(F114="",F114="Selecciona.."),"",XLOOKUP(F114,Productos!E:E,Productos!A:A,"",0,1))</f>
        <v/>
      </c>
      <c r="C114" s="14" t="str">
        <f t="array" ref="C114">IF(OR(G114="",G114="Selecciona.."),"",XLOOKUP(G114,Productos!$E:$E,Productos!$A:$A,"",0,1))</f>
        <v/>
      </c>
      <c r="D114" s="14" t="str">
        <f t="shared" si="2"/>
        <v/>
      </c>
      <c r="E114" s="14"/>
      <c r="F114" s="15" t="str">
        <f t="shared" si="4"/>
        <v/>
      </c>
      <c r="G114" s="15" t="str">
        <f t="shared" ref="G114:H114" si="111">IF(OR(F114="",F114="Selecciona.."),"","Selecciona..")</f>
        <v/>
      </c>
      <c r="H114" s="13" t="str">
        <f t="shared" si="111"/>
        <v/>
      </c>
    </row>
    <row r="115">
      <c r="A115" s="14" t="str">
        <f t="shared" si="1"/>
        <v/>
      </c>
      <c r="B115" s="14" t="str">
        <f t="array" ref="B115">IF(OR(F115="",F115="Selecciona.."),"",XLOOKUP(F115,Productos!E:E,Productos!A:A,"",0,1))</f>
        <v/>
      </c>
      <c r="C115" s="14" t="str">
        <f t="array" ref="C115">IF(OR(G115="",G115="Selecciona.."),"",XLOOKUP(G115,Productos!$E:$E,Productos!$A:$A,"",0,1))</f>
        <v/>
      </c>
      <c r="D115" s="14" t="str">
        <f t="shared" si="2"/>
        <v/>
      </c>
      <c r="E115" s="14"/>
      <c r="F115" s="15" t="str">
        <f t="shared" si="4"/>
        <v/>
      </c>
      <c r="G115" s="15" t="str">
        <f t="shared" ref="G115:H115" si="112">IF(OR(F115="",F115="Selecciona.."),"","Selecciona..")</f>
        <v/>
      </c>
      <c r="H115" s="13" t="str">
        <f t="shared" si="112"/>
        <v/>
      </c>
    </row>
    <row r="116">
      <c r="A116" s="14" t="str">
        <f t="shared" si="1"/>
        <v/>
      </c>
      <c r="B116" s="14" t="str">
        <f t="array" ref="B116">IF(OR(F116="",F116="Selecciona.."),"",XLOOKUP(F116,Productos!E:E,Productos!A:A,"",0,1))</f>
        <v/>
      </c>
      <c r="C116" s="14" t="str">
        <f t="array" ref="C116">IF(OR(G116="",G116="Selecciona.."),"",XLOOKUP(G116,Productos!$E:$E,Productos!$A:$A,"",0,1))</f>
        <v/>
      </c>
      <c r="D116" s="14" t="str">
        <f t="shared" si="2"/>
        <v/>
      </c>
      <c r="E116" s="14"/>
      <c r="F116" s="15" t="str">
        <f t="shared" si="4"/>
        <v/>
      </c>
      <c r="G116" s="15" t="str">
        <f t="shared" ref="G116:H116" si="113">IF(OR(F116="",F116="Selecciona.."),"","Selecciona..")</f>
        <v/>
      </c>
      <c r="H116" s="13" t="str">
        <f t="shared" si="113"/>
        <v/>
      </c>
    </row>
    <row r="117">
      <c r="A117" s="14" t="str">
        <f t="shared" si="1"/>
        <v/>
      </c>
      <c r="B117" s="14" t="str">
        <f t="array" ref="B117">IF(OR(F117="",F117="Selecciona.."),"",XLOOKUP(F117,Productos!E:E,Productos!A:A,"",0,1))</f>
        <v/>
      </c>
      <c r="C117" s="14" t="str">
        <f t="array" ref="C117">IF(OR(G117="",G117="Selecciona.."),"",XLOOKUP(G117,Productos!$E:$E,Productos!$A:$A,"",0,1))</f>
        <v/>
      </c>
      <c r="D117" s="14" t="str">
        <f t="shared" si="2"/>
        <v/>
      </c>
      <c r="E117" s="14"/>
      <c r="F117" s="15" t="str">
        <f t="shared" si="4"/>
        <v/>
      </c>
      <c r="G117" s="15" t="str">
        <f t="shared" ref="G117:H117" si="114">IF(OR(F117="",F117="Selecciona.."),"","Selecciona..")</f>
        <v/>
      </c>
      <c r="H117" s="13" t="str">
        <f t="shared" si="114"/>
        <v/>
      </c>
    </row>
    <row r="118">
      <c r="A118" s="14" t="str">
        <f t="shared" si="1"/>
        <v/>
      </c>
      <c r="B118" s="14" t="str">
        <f t="array" ref="B118">IF(OR(F118="",F118="Selecciona.."),"",XLOOKUP(F118,Productos!E:E,Productos!A:A,"",0,1))</f>
        <v/>
      </c>
      <c r="C118" s="14" t="str">
        <f t="array" ref="C118">IF(OR(G118="",G118="Selecciona.."),"",XLOOKUP(G118,Productos!$E:$E,Productos!$A:$A,"",0,1))</f>
        <v/>
      </c>
      <c r="D118" s="14" t="str">
        <f t="shared" si="2"/>
        <v/>
      </c>
      <c r="E118" s="14"/>
      <c r="F118" s="15" t="str">
        <f t="shared" si="4"/>
        <v/>
      </c>
      <c r="G118" s="15" t="str">
        <f t="shared" ref="G118:H118" si="115">IF(OR(F118="",F118="Selecciona.."),"","Selecciona..")</f>
        <v/>
      </c>
      <c r="H118" s="13" t="str">
        <f t="shared" si="115"/>
        <v/>
      </c>
    </row>
    <row r="119">
      <c r="A119" s="14" t="str">
        <f t="shared" si="1"/>
        <v/>
      </c>
      <c r="B119" s="14" t="str">
        <f t="array" ref="B119">IF(OR(F119="",F119="Selecciona.."),"",XLOOKUP(F119,Productos!E:E,Productos!A:A,"",0,1))</f>
        <v/>
      </c>
      <c r="C119" s="14" t="str">
        <f t="array" ref="C119">IF(OR(G119="",G119="Selecciona.."),"",XLOOKUP(G119,Productos!$E:$E,Productos!$A:$A,"",0,1))</f>
        <v/>
      </c>
      <c r="D119" s="14" t="str">
        <f t="shared" si="2"/>
        <v/>
      </c>
      <c r="E119" s="14"/>
      <c r="F119" s="15" t="str">
        <f t="shared" si="4"/>
        <v/>
      </c>
      <c r="G119" s="15" t="str">
        <f t="shared" ref="G119:H119" si="116">IF(OR(F119="",F119="Selecciona.."),"","Selecciona..")</f>
        <v/>
      </c>
      <c r="H119" s="13" t="str">
        <f t="shared" si="116"/>
        <v/>
      </c>
    </row>
    <row r="120">
      <c r="A120" s="14" t="str">
        <f t="shared" si="1"/>
        <v/>
      </c>
      <c r="B120" s="14" t="str">
        <f t="array" ref="B120">IF(OR(F120="",F120="Selecciona.."),"",XLOOKUP(F120,Productos!E:E,Productos!A:A,"",0,1))</f>
        <v/>
      </c>
      <c r="C120" s="14" t="str">
        <f t="array" ref="C120">IF(OR(G120="",G120="Selecciona.."),"",XLOOKUP(G120,Productos!$E:$E,Productos!$A:$A,"",0,1))</f>
        <v/>
      </c>
      <c r="D120" s="14" t="str">
        <f t="shared" si="2"/>
        <v/>
      </c>
      <c r="E120" s="14"/>
      <c r="F120" s="15" t="str">
        <f t="shared" si="4"/>
        <v/>
      </c>
      <c r="G120" s="15" t="str">
        <f t="shared" ref="G120:H120" si="117">IF(OR(F120="",F120="Selecciona.."),"","Selecciona..")</f>
        <v/>
      </c>
      <c r="H120" s="13" t="str">
        <f t="shared" si="117"/>
        <v/>
      </c>
    </row>
    <row r="121">
      <c r="A121" s="14" t="str">
        <f t="shared" si="1"/>
        <v/>
      </c>
      <c r="B121" s="14" t="str">
        <f t="array" ref="B121">IF(OR(F121="",F121="Selecciona.."),"",XLOOKUP(F121,Productos!E:E,Productos!A:A,"",0,1))</f>
        <v/>
      </c>
      <c r="C121" s="14" t="str">
        <f t="array" ref="C121">IF(OR(G121="",G121="Selecciona.."),"",XLOOKUP(G121,Productos!$E:$E,Productos!$A:$A,"",0,1))</f>
        <v/>
      </c>
      <c r="D121" s="14" t="str">
        <f t="shared" si="2"/>
        <v/>
      </c>
      <c r="E121" s="14"/>
      <c r="F121" s="15" t="str">
        <f t="shared" si="4"/>
        <v/>
      </c>
      <c r="G121" s="15" t="str">
        <f t="shared" ref="G121:H121" si="118">IF(OR(F121="",F121="Selecciona.."),"","Selecciona..")</f>
        <v/>
      </c>
      <c r="H121" s="13" t="str">
        <f t="shared" si="118"/>
        <v/>
      </c>
    </row>
    <row r="122">
      <c r="A122" s="14" t="str">
        <f t="shared" si="1"/>
        <v/>
      </c>
      <c r="B122" s="14" t="str">
        <f t="array" ref="B122">IF(OR(F122="",F122="Selecciona.."),"",XLOOKUP(F122,Productos!E:E,Productos!A:A,"",0,1))</f>
        <v/>
      </c>
      <c r="C122" s="14" t="str">
        <f t="array" ref="C122">IF(OR(G122="",G122="Selecciona.."),"",XLOOKUP(G122,Productos!$E:$E,Productos!$A:$A,"",0,1))</f>
        <v/>
      </c>
      <c r="D122" s="14" t="str">
        <f t="shared" si="2"/>
        <v/>
      </c>
      <c r="E122" s="14"/>
      <c r="F122" s="15" t="str">
        <f t="shared" si="4"/>
        <v/>
      </c>
      <c r="G122" s="15" t="str">
        <f t="shared" ref="G122:H122" si="119">IF(OR(F122="",F122="Selecciona.."),"","Selecciona..")</f>
        <v/>
      </c>
      <c r="H122" s="13" t="str">
        <f t="shared" si="119"/>
        <v/>
      </c>
    </row>
    <row r="123">
      <c r="A123" s="14" t="str">
        <f t="shared" si="1"/>
        <v/>
      </c>
      <c r="B123" s="14" t="str">
        <f t="array" ref="B123">IF(OR(F123="",F123="Selecciona.."),"",XLOOKUP(F123,Productos!E:E,Productos!A:A,"",0,1))</f>
        <v/>
      </c>
      <c r="C123" s="14" t="str">
        <f t="array" ref="C123">IF(OR(G123="",G123="Selecciona.."),"",XLOOKUP(G123,Productos!$E:$E,Productos!$A:$A,"",0,1))</f>
        <v/>
      </c>
      <c r="D123" s="14" t="str">
        <f t="shared" si="2"/>
        <v/>
      </c>
      <c r="E123" s="14"/>
      <c r="F123" s="15" t="str">
        <f t="shared" si="4"/>
        <v/>
      </c>
      <c r="G123" s="15" t="str">
        <f t="shared" ref="G123:H123" si="120">IF(OR(F123="",F123="Selecciona.."),"","Selecciona..")</f>
        <v/>
      </c>
      <c r="H123" s="13" t="str">
        <f t="shared" si="120"/>
        <v/>
      </c>
    </row>
    <row r="124">
      <c r="A124" s="14" t="str">
        <f t="shared" si="1"/>
        <v/>
      </c>
      <c r="B124" s="14" t="str">
        <f t="array" ref="B124">IF(OR(F124="",F124="Selecciona.."),"",XLOOKUP(F124,Productos!E:E,Productos!A:A,"",0,1))</f>
        <v/>
      </c>
      <c r="C124" s="14" t="str">
        <f t="array" ref="C124">IF(OR(G124="",G124="Selecciona.."),"",XLOOKUP(G124,Productos!$E:$E,Productos!$A:$A,"",0,1))</f>
        <v/>
      </c>
      <c r="D124" s="14" t="str">
        <f t="shared" si="2"/>
        <v/>
      </c>
      <c r="E124" s="14"/>
      <c r="F124" s="15" t="str">
        <f t="shared" si="4"/>
        <v/>
      </c>
      <c r="G124" s="15" t="str">
        <f t="shared" ref="G124:H124" si="121">IF(OR(F124="",F124="Selecciona.."),"","Selecciona..")</f>
        <v/>
      </c>
      <c r="H124" s="13" t="str">
        <f t="shared" si="121"/>
        <v/>
      </c>
    </row>
    <row r="125">
      <c r="A125" s="14" t="str">
        <f t="shared" si="1"/>
        <v/>
      </c>
      <c r="B125" s="14" t="str">
        <f t="array" ref="B125">IF(OR(F125="",F125="Selecciona.."),"",XLOOKUP(F125,Productos!E:E,Productos!A:A,"",0,1))</f>
        <v/>
      </c>
      <c r="C125" s="14" t="str">
        <f t="array" ref="C125">IF(OR(G125="",G125="Selecciona.."),"",XLOOKUP(G125,Productos!$E:$E,Productos!$A:$A,"",0,1))</f>
        <v/>
      </c>
      <c r="D125" s="14" t="str">
        <f t="shared" si="2"/>
        <v/>
      </c>
      <c r="E125" s="14"/>
      <c r="F125" s="15" t="str">
        <f t="shared" si="4"/>
        <v/>
      </c>
      <c r="G125" s="15" t="str">
        <f t="shared" ref="G125:H125" si="122">IF(OR(F125="",F125="Selecciona.."),"","Selecciona..")</f>
        <v/>
      </c>
      <c r="H125" s="13" t="str">
        <f t="shared" si="122"/>
        <v/>
      </c>
    </row>
    <row r="126">
      <c r="A126" s="14" t="str">
        <f t="shared" si="1"/>
        <v/>
      </c>
      <c r="B126" s="14" t="str">
        <f t="array" ref="B126">IF(OR(F126="",F126="Selecciona.."),"",XLOOKUP(F126,Productos!E:E,Productos!A:A,"",0,1))</f>
        <v/>
      </c>
      <c r="C126" s="14" t="str">
        <f t="array" ref="C126">IF(OR(G126="",G126="Selecciona.."),"",XLOOKUP(G126,Productos!$E:$E,Productos!$A:$A,"",0,1))</f>
        <v/>
      </c>
      <c r="D126" s="14" t="str">
        <f t="shared" si="2"/>
        <v/>
      </c>
      <c r="E126" s="14"/>
      <c r="F126" s="15" t="str">
        <f t="shared" si="4"/>
        <v/>
      </c>
      <c r="G126" s="15" t="str">
        <f t="shared" ref="G126:H126" si="123">IF(OR(F126="",F126="Selecciona.."),"","Selecciona..")</f>
        <v/>
      </c>
      <c r="H126" s="13" t="str">
        <f t="shared" si="123"/>
        <v/>
      </c>
    </row>
    <row r="127">
      <c r="A127" s="14" t="str">
        <f t="shared" si="1"/>
        <v/>
      </c>
      <c r="B127" s="14" t="str">
        <f t="array" ref="B127">IF(OR(F127="",F127="Selecciona.."),"",XLOOKUP(F127,Productos!E:E,Productos!A:A,"",0,1))</f>
        <v/>
      </c>
      <c r="C127" s="14" t="str">
        <f t="array" ref="C127">IF(OR(G127="",G127="Selecciona.."),"",XLOOKUP(G127,Productos!$E:$E,Productos!$A:$A,"",0,1))</f>
        <v/>
      </c>
      <c r="D127" s="14" t="str">
        <f t="shared" si="2"/>
        <v/>
      </c>
      <c r="E127" s="14"/>
      <c r="F127" s="15" t="str">
        <f t="shared" si="4"/>
        <v/>
      </c>
      <c r="G127" s="15" t="str">
        <f t="shared" ref="G127:H127" si="124">IF(OR(F127="",F127="Selecciona.."),"","Selecciona..")</f>
        <v/>
      </c>
      <c r="H127" s="13" t="str">
        <f t="shared" si="124"/>
        <v/>
      </c>
    </row>
    <row r="128">
      <c r="A128" s="14" t="str">
        <f t="shared" si="1"/>
        <v/>
      </c>
      <c r="B128" s="14" t="str">
        <f t="array" ref="B128">IF(OR(F128="",F128="Selecciona.."),"",XLOOKUP(F128,Productos!E:E,Productos!A:A,"",0,1))</f>
        <v/>
      </c>
      <c r="C128" s="14" t="str">
        <f t="array" ref="C128">IF(OR(G128="",G128="Selecciona.."),"",XLOOKUP(G128,Productos!$E:$E,Productos!$A:$A,"",0,1))</f>
        <v/>
      </c>
      <c r="D128" s="14" t="str">
        <f t="shared" si="2"/>
        <v/>
      </c>
      <c r="E128" s="14"/>
      <c r="F128" s="15" t="str">
        <f t="shared" si="4"/>
        <v/>
      </c>
      <c r="G128" s="15" t="str">
        <f t="shared" ref="G128:H128" si="125">IF(OR(F128="",F128="Selecciona.."),"","Selecciona..")</f>
        <v/>
      </c>
      <c r="H128" s="13" t="str">
        <f t="shared" si="125"/>
        <v/>
      </c>
    </row>
    <row r="129">
      <c r="A129" s="14" t="str">
        <f t="shared" si="1"/>
        <v/>
      </c>
      <c r="B129" s="14" t="str">
        <f t="array" ref="B129">IF(OR(F129="",F129="Selecciona.."),"",XLOOKUP(F129,Productos!E:E,Productos!A:A,"",0,1))</f>
        <v/>
      </c>
      <c r="C129" s="14" t="str">
        <f t="array" ref="C129">IF(OR(G129="",G129="Selecciona.."),"",XLOOKUP(G129,Productos!$E:$E,Productos!$A:$A,"",0,1))</f>
        <v/>
      </c>
      <c r="D129" s="14" t="str">
        <f t="shared" si="2"/>
        <v/>
      </c>
      <c r="E129" s="14"/>
      <c r="F129" s="15" t="str">
        <f t="shared" si="4"/>
        <v/>
      </c>
      <c r="G129" s="15" t="str">
        <f t="shared" ref="G129:H129" si="126">IF(OR(F129="",F129="Selecciona.."),"","Selecciona..")</f>
        <v/>
      </c>
      <c r="H129" s="13" t="str">
        <f t="shared" si="126"/>
        <v/>
      </c>
    </row>
    <row r="130">
      <c r="A130" s="14" t="str">
        <f t="shared" si="1"/>
        <v/>
      </c>
      <c r="B130" s="14" t="str">
        <f t="array" ref="B130">IF(OR(F130="",F130="Selecciona.."),"",XLOOKUP(F130,Productos!E:E,Productos!A:A,"",0,1))</f>
        <v/>
      </c>
      <c r="C130" s="14" t="str">
        <f t="array" ref="C130">IF(OR(G130="",G130="Selecciona.."),"",XLOOKUP(G130,Productos!$E:$E,Productos!$A:$A,"",0,1))</f>
        <v/>
      </c>
      <c r="D130" s="14" t="str">
        <f t="shared" si="2"/>
        <v/>
      </c>
      <c r="E130" s="14"/>
      <c r="F130" s="15" t="str">
        <f t="shared" si="4"/>
        <v/>
      </c>
      <c r="G130" s="15" t="str">
        <f t="shared" ref="G130:H130" si="127">IF(OR(F130="",F130="Selecciona.."),"","Selecciona..")</f>
        <v/>
      </c>
      <c r="H130" s="13" t="str">
        <f t="shared" si="127"/>
        <v/>
      </c>
    </row>
    <row r="131">
      <c r="A131" s="14" t="str">
        <f t="shared" si="1"/>
        <v/>
      </c>
      <c r="B131" s="14" t="str">
        <f t="array" ref="B131">IF(OR(F131="",F131="Selecciona.."),"",XLOOKUP(F131,Productos!E:E,Productos!A:A,"",0,1))</f>
        <v/>
      </c>
      <c r="C131" s="14" t="str">
        <f t="array" ref="C131">IF(OR(G131="",G131="Selecciona.."),"",XLOOKUP(G131,Productos!$E:$E,Productos!$A:$A,"",0,1))</f>
        <v/>
      </c>
      <c r="D131" s="14" t="str">
        <f t="shared" si="2"/>
        <v/>
      </c>
      <c r="E131" s="14"/>
      <c r="F131" s="15" t="str">
        <f t="shared" si="4"/>
        <v/>
      </c>
      <c r="G131" s="15" t="str">
        <f t="shared" ref="G131:H131" si="128">IF(OR(F131="",F131="Selecciona.."),"","Selecciona..")</f>
        <v/>
      </c>
      <c r="H131" s="13" t="str">
        <f t="shared" si="128"/>
        <v/>
      </c>
    </row>
    <row r="132">
      <c r="A132" s="14" t="str">
        <f t="shared" si="1"/>
        <v/>
      </c>
      <c r="B132" s="14" t="str">
        <f t="array" ref="B132">IF(OR(F132="",F132="Selecciona.."),"",XLOOKUP(F132,Productos!E:E,Productos!A:A,"",0,1))</f>
        <v/>
      </c>
      <c r="C132" s="14" t="str">
        <f t="array" ref="C132">IF(OR(G132="",G132="Selecciona.."),"",XLOOKUP(G132,Productos!$E:$E,Productos!$A:$A,"",0,1))</f>
        <v/>
      </c>
      <c r="D132" s="14" t="str">
        <f t="shared" si="2"/>
        <v/>
      </c>
      <c r="E132" s="14"/>
      <c r="F132" s="15" t="str">
        <f t="shared" si="4"/>
        <v/>
      </c>
      <c r="G132" s="15" t="str">
        <f t="shared" ref="G132:H132" si="129">IF(OR(F132="",F132="Selecciona.."),"","Selecciona..")</f>
        <v/>
      </c>
      <c r="H132" s="13" t="str">
        <f t="shared" si="129"/>
        <v/>
      </c>
    </row>
    <row r="133">
      <c r="A133" s="14" t="str">
        <f t="shared" si="1"/>
        <v/>
      </c>
      <c r="B133" s="14" t="str">
        <f t="array" ref="B133">IF(OR(F133="",F133="Selecciona.."),"",XLOOKUP(F133,Productos!E:E,Productos!A:A,"",0,1))</f>
        <v/>
      </c>
      <c r="C133" s="14" t="str">
        <f t="array" ref="C133">IF(OR(G133="",G133="Selecciona.."),"",XLOOKUP(G133,Productos!$E:$E,Productos!$A:$A,"",0,1))</f>
        <v/>
      </c>
      <c r="D133" s="14" t="str">
        <f t="shared" si="2"/>
        <v/>
      </c>
      <c r="E133" s="14"/>
      <c r="F133" s="15" t="str">
        <f t="shared" si="4"/>
        <v/>
      </c>
      <c r="G133" s="15" t="str">
        <f t="shared" ref="G133:H133" si="130">IF(OR(F133="",F133="Selecciona.."),"","Selecciona..")</f>
        <v/>
      </c>
      <c r="H133" s="13" t="str">
        <f t="shared" si="130"/>
        <v/>
      </c>
    </row>
    <row r="134">
      <c r="A134" s="14" t="str">
        <f t="shared" si="1"/>
        <v/>
      </c>
      <c r="B134" s="14" t="str">
        <f t="array" ref="B134">IF(OR(F134="",F134="Selecciona.."),"",XLOOKUP(F134,Productos!E:E,Productos!A:A,"",0,1))</f>
        <v/>
      </c>
      <c r="C134" s="14" t="str">
        <f t="array" ref="C134">IF(OR(G134="",G134="Selecciona.."),"",XLOOKUP(G134,Productos!$E:$E,Productos!$A:$A,"",0,1))</f>
        <v/>
      </c>
      <c r="D134" s="14" t="str">
        <f t="shared" si="2"/>
        <v/>
      </c>
      <c r="E134" s="14"/>
      <c r="F134" s="15" t="str">
        <f t="shared" si="4"/>
        <v/>
      </c>
      <c r="G134" s="15" t="str">
        <f t="shared" ref="G134:H134" si="131">IF(OR(F134="",F134="Selecciona.."),"","Selecciona..")</f>
        <v/>
      </c>
      <c r="H134" s="13" t="str">
        <f t="shared" si="131"/>
        <v/>
      </c>
    </row>
    <row r="135">
      <c r="A135" s="14" t="str">
        <f t="shared" si="1"/>
        <v/>
      </c>
      <c r="B135" s="14" t="str">
        <f t="array" ref="B135">IF(OR(F135="",F135="Selecciona.."),"",XLOOKUP(F135,Productos!E:E,Productos!A:A,"",0,1))</f>
        <v/>
      </c>
      <c r="C135" s="14" t="str">
        <f t="array" ref="C135">IF(OR(G135="",G135="Selecciona.."),"",XLOOKUP(G135,Productos!$E:$E,Productos!$A:$A,"",0,1))</f>
        <v/>
      </c>
      <c r="D135" s="14" t="str">
        <f t="shared" si="2"/>
        <v/>
      </c>
      <c r="E135" s="14"/>
      <c r="F135" s="15" t="str">
        <f t="shared" si="4"/>
        <v/>
      </c>
      <c r="G135" s="15" t="str">
        <f t="shared" ref="G135:H135" si="132">IF(OR(F135="",F135="Selecciona.."),"","Selecciona..")</f>
        <v/>
      </c>
      <c r="H135" s="13" t="str">
        <f t="shared" si="132"/>
        <v/>
      </c>
    </row>
    <row r="136">
      <c r="A136" s="14" t="str">
        <f t="shared" si="1"/>
        <v/>
      </c>
      <c r="B136" s="14" t="str">
        <f t="array" ref="B136">IF(OR(F136="",F136="Selecciona.."),"",XLOOKUP(F136,Productos!E:E,Productos!A:A,"",0,1))</f>
        <v/>
      </c>
      <c r="C136" s="14" t="str">
        <f t="array" ref="C136">IF(OR(G136="",G136="Selecciona.."),"",XLOOKUP(G136,Productos!$E:$E,Productos!$A:$A,"",0,1))</f>
        <v/>
      </c>
      <c r="D136" s="14" t="str">
        <f t="shared" si="2"/>
        <v/>
      </c>
      <c r="E136" s="14"/>
      <c r="F136" s="15" t="str">
        <f t="shared" si="4"/>
        <v/>
      </c>
      <c r="G136" s="15" t="str">
        <f t="shared" ref="G136:H136" si="133">IF(OR(F136="",F136="Selecciona.."),"","Selecciona..")</f>
        <v/>
      </c>
      <c r="H136" s="13" t="str">
        <f t="shared" si="133"/>
        <v/>
      </c>
    </row>
    <row r="137">
      <c r="A137" s="14" t="str">
        <f t="shared" si="1"/>
        <v/>
      </c>
      <c r="B137" s="14" t="str">
        <f t="array" ref="B137">IF(OR(F137="",F137="Selecciona.."),"",XLOOKUP(F137,Productos!E:E,Productos!A:A,"",0,1))</f>
        <v/>
      </c>
      <c r="C137" s="14" t="str">
        <f t="array" ref="C137">IF(OR(G137="",G137="Selecciona.."),"",XLOOKUP(G137,Productos!$E:$E,Productos!$A:$A,"",0,1))</f>
        <v/>
      </c>
      <c r="D137" s="14" t="str">
        <f t="shared" si="2"/>
        <v/>
      </c>
      <c r="E137" s="14"/>
      <c r="F137" s="15" t="str">
        <f t="shared" si="4"/>
        <v/>
      </c>
      <c r="G137" s="15" t="str">
        <f t="shared" ref="G137:H137" si="134">IF(OR(F137="",F137="Selecciona.."),"","Selecciona..")</f>
        <v/>
      </c>
      <c r="H137" s="13" t="str">
        <f t="shared" si="134"/>
        <v/>
      </c>
    </row>
    <row r="138">
      <c r="A138" s="14" t="str">
        <f t="shared" si="1"/>
        <v/>
      </c>
      <c r="B138" s="14" t="str">
        <f t="array" ref="B138">IF(OR(F138="",F138="Selecciona.."),"",XLOOKUP(F138,Productos!E:E,Productos!A:A,"",0,1))</f>
        <v/>
      </c>
      <c r="C138" s="14" t="str">
        <f t="array" ref="C138">IF(OR(G138="",G138="Selecciona.."),"",XLOOKUP(G138,Productos!$E:$E,Productos!$A:$A,"",0,1))</f>
        <v/>
      </c>
      <c r="D138" s="14" t="str">
        <f t="shared" si="2"/>
        <v/>
      </c>
      <c r="E138" s="14"/>
      <c r="F138" s="15" t="str">
        <f t="shared" si="4"/>
        <v/>
      </c>
      <c r="G138" s="15" t="str">
        <f t="shared" ref="G138:H138" si="135">IF(OR(F138="",F138="Selecciona.."),"","Selecciona..")</f>
        <v/>
      </c>
      <c r="H138" s="13" t="str">
        <f t="shared" si="135"/>
        <v/>
      </c>
    </row>
    <row r="139">
      <c r="A139" s="14" t="str">
        <f t="shared" si="1"/>
        <v/>
      </c>
      <c r="B139" s="14" t="str">
        <f t="array" ref="B139">IF(OR(F139="",F139="Selecciona.."),"",XLOOKUP(F139,Productos!E:E,Productos!A:A,"",0,1))</f>
        <v/>
      </c>
      <c r="C139" s="14" t="str">
        <f t="array" ref="C139">IF(OR(G139="",G139="Selecciona.."),"",XLOOKUP(G139,Productos!$E:$E,Productos!$A:$A,"",0,1))</f>
        <v/>
      </c>
      <c r="D139" s="14" t="str">
        <f t="shared" si="2"/>
        <v/>
      </c>
      <c r="E139" s="14"/>
      <c r="F139" s="15" t="str">
        <f t="shared" si="4"/>
        <v/>
      </c>
      <c r="G139" s="15" t="str">
        <f t="shared" ref="G139:H139" si="136">IF(OR(F139="",F139="Selecciona.."),"","Selecciona..")</f>
        <v/>
      </c>
      <c r="H139" s="13" t="str">
        <f t="shared" si="136"/>
        <v/>
      </c>
    </row>
    <row r="140">
      <c r="A140" s="14" t="str">
        <f t="shared" si="1"/>
        <v/>
      </c>
      <c r="B140" s="14" t="str">
        <f t="array" ref="B140">IF(OR(F140="",F140="Selecciona.."),"",XLOOKUP(F140,Productos!E:E,Productos!A:A,"",0,1))</f>
        <v/>
      </c>
      <c r="C140" s="14" t="str">
        <f t="array" ref="C140">IF(OR(G140="",G140="Selecciona.."),"",XLOOKUP(G140,Productos!$E:$E,Productos!$A:$A,"",0,1))</f>
        <v/>
      </c>
      <c r="D140" s="14" t="str">
        <f t="shared" si="2"/>
        <v/>
      </c>
      <c r="E140" s="14"/>
      <c r="F140" s="15" t="str">
        <f t="shared" si="4"/>
        <v/>
      </c>
      <c r="G140" s="15" t="str">
        <f t="shared" ref="G140:H140" si="137">IF(OR(F140="",F140="Selecciona.."),"","Selecciona..")</f>
        <v/>
      </c>
      <c r="H140" s="13" t="str">
        <f t="shared" si="137"/>
        <v/>
      </c>
    </row>
    <row r="141">
      <c r="A141" s="14" t="str">
        <f t="shared" si="1"/>
        <v/>
      </c>
      <c r="B141" s="14" t="str">
        <f t="array" ref="B141">IF(OR(F141="",F141="Selecciona.."),"",XLOOKUP(F141,Productos!E:E,Productos!A:A,"",0,1))</f>
        <v/>
      </c>
      <c r="C141" s="14" t="str">
        <f t="array" ref="C141">IF(OR(G141="",G141="Selecciona.."),"",XLOOKUP(G141,Productos!$E:$E,Productos!$A:$A,"",0,1))</f>
        <v/>
      </c>
      <c r="D141" s="14" t="str">
        <f t="shared" si="2"/>
        <v/>
      </c>
      <c r="E141" s="14"/>
      <c r="F141" s="15" t="str">
        <f t="shared" si="4"/>
        <v/>
      </c>
      <c r="G141" s="15" t="str">
        <f t="shared" ref="G141:H141" si="138">IF(OR(F141="",F141="Selecciona.."),"","Selecciona..")</f>
        <v/>
      </c>
      <c r="H141" s="13" t="str">
        <f t="shared" si="138"/>
        <v/>
      </c>
    </row>
    <row r="142">
      <c r="A142" s="14" t="str">
        <f t="shared" si="1"/>
        <v/>
      </c>
      <c r="B142" s="14" t="str">
        <f t="array" ref="B142">IF(OR(F142="",F142="Selecciona.."),"",XLOOKUP(F142,Productos!E:E,Productos!A:A,"",0,1))</f>
        <v/>
      </c>
      <c r="C142" s="14" t="str">
        <f t="array" ref="C142">IF(OR(G142="",G142="Selecciona.."),"",XLOOKUP(G142,Productos!$E:$E,Productos!$A:$A,"",0,1))</f>
        <v/>
      </c>
      <c r="D142" s="14" t="str">
        <f t="shared" si="2"/>
        <v/>
      </c>
      <c r="E142" s="14"/>
      <c r="F142" s="15" t="str">
        <f t="shared" si="4"/>
        <v/>
      </c>
      <c r="G142" s="15" t="str">
        <f t="shared" ref="G142:H142" si="139">IF(OR(F142="",F142="Selecciona.."),"","Selecciona..")</f>
        <v/>
      </c>
      <c r="H142" s="13" t="str">
        <f t="shared" si="139"/>
        <v/>
      </c>
    </row>
    <row r="143">
      <c r="A143" s="14" t="str">
        <f t="shared" si="1"/>
        <v/>
      </c>
      <c r="B143" s="14" t="str">
        <f t="array" ref="B143">IF(OR(F143="",F143="Selecciona.."),"",XLOOKUP(F143,Productos!E:E,Productos!A:A,"",0,1))</f>
        <v/>
      </c>
      <c r="C143" s="14" t="str">
        <f t="array" ref="C143">IF(OR(G143="",G143="Selecciona.."),"",XLOOKUP(G143,Productos!$E:$E,Productos!$A:$A,"",0,1))</f>
        <v/>
      </c>
      <c r="D143" s="14" t="str">
        <f t="shared" si="2"/>
        <v/>
      </c>
      <c r="E143" s="14"/>
      <c r="F143" s="15" t="str">
        <f t="shared" si="4"/>
        <v/>
      </c>
      <c r="G143" s="15" t="str">
        <f t="shared" ref="G143:H143" si="140">IF(OR(F143="",F143="Selecciona.."),"","Selecciona..")</f>
        <v/>
      </c>
      <c r="H143" s="13" t="str">
        <f t="shared" si="140"/>
        <v/>
      </c>
    </row>
    <row r="144">
      <c r="A144" s="14" t="str">
        <f t="shared" si="1"/>
        <v/>
      </c>
      <c r="B144" s="14" t="str">
        <f t="array" ref="B144">IF(OR(F144="",F144="Selecciona.."),"",XLOOKUP(F144,Productos!E:E,Productos!A:A,"",0,1))</f>
        <v/>
      </c>
      <c r="C144" s="14" t="str">
        <f t="array" ref="C144">IF(OR(G144="",G144="Selecciona.."),"",XLOOKUP(G144,Productos!$E:$E,Productos!$A:$A,"",0,1))</f>
        <v/>
      </c>
      <c r="D144" s="14" t="str">
        <f t="shared" si="2"/>
        <v/>
      </c>
      <c r="E144" s="14"/>
      <c r="F144" s="15" t="str">
        <f t="shared" si="4"/>
        <v/>
      </c>
      <c r="G144" s="15" t="str">
        <f t="shared" ref="G144:H144" si="141">IF(OR(F144="",F144="Selecciona.."),"","Selecciona..")</f>
        <v/>
      </c>
      <c r="H144" s="13" t="str">
        <f t="shared" si="141"/>
        <v/>
      </c>
    </row>
    <row r="145">
      <c r="A145" s="14" t="str">
        <f t="shared" si="1"/>
        <v/>
      </c>
      <c r="B145" s="14" t="str">
        <f t="array" ref="B145">IF(OR(F145="",F145="Selecciona.."),"",XLOOKUP(F145,Productos!E:E,Productos!A:A,"",0,1))</f>
        <v/>
      </c>
      <c r="C145" s="14" t="str">
        <f t="array" ref="C145">IF(OR(G145="",G145="Selecciona.."),"",XLOOKUP(G145,Productos!$E:$E,Productos!$A:$A,"",0,1))</f>
        <v/>
      </c>
      <c r="D145" s="14" t="str">
        <f t="shared" si="2"/>
        <v/>
      </c>
      <c r="E145" s="14"/>
      <c r="F145" s="15" t="str">
        <f t="shared" si="4"/>
        <v/>
      </c>
      <c r="G145" s="15" t="str">
        <f t="shared" ref="G145:H145" si="142">IF(OR(F145="",F145="Selecciona.."),"","Selecciona..")</f>
        <v/>
      </c>
      <c r="H145" s="13" t="str">
        <f t="shared" si="142"/>
        <v/>
      </c>
    </row>
    <row r="146">
      <c r="A146" s="14" t="str">
        <f t="shared" si="1"/>
        <v/>
      </c>
      <c r="B146" s="14" t="str">
        <f t="array" ref="B146">IF(OR(F146="",F146="Selecciona.."),"",XLOOKUP(F146,Productos!E:E,Productos!A:A,"",0,1))</f>
        <v/>
      </c>
      <c r="C146" s="14" t="str">
        <f t="array" ref="C146">IF(OR(G146="",G146="Selecciona.."),"",XLOOKUP(G146,Productos!$E:$E,Productos!$A:$A,"",0,1))</f>
        <v/>
      </c>
      <c r="D146" s="14" t="str">
        <f t="shared" si="2"/>
        <v/>
      </c>
      <c r="E146" s="14"/>
      <c r="F146" s="15" t="str">
        <f t="shared" si="4"/>
        <v/>
      </c>
      <c r="G146" s="15" t="str">
        <f t="shared" ref="G146:H146" si="143">IF(OR(F146="",F146="Selecciona.."),"","Selecciona..")</f>
        <v/>
      </c>
      <c r="H146" s="13" t="str">
        <f t="shared" si="143"/>
        <v/>
      </c>
    </row>
    <row r="147">
      <c r="A147" s="14" t="str">
        <f t="shared" si="1"/>
        <v/>
      </c>
      <c r="B147" s="14" t="str">
        <f t="array" ref="B147">IF(OR(F147="",F147="Selecciona.."),"",XLOOKUP(F147,Productos!E:E,Productos!A:A,"",0,1))</f>
        <v/>
      </c>
      <c r="C147" s="14" t="str">
        <f t="array" ref="C147">IF(OR(G147="",G147="Selecciona.."),"",XLOOKUP(G147,Productos!$E:$E,Productos!$A:$A,"",0,1))</f>
        <v/>
      </c>
      <c r="D147" s="14" t="str">
        <f t="shared" si="2"/>
        <v/>
      </c>
      <c r="E147" s="14"/>
      <c r="F147" s="15" t="str">
        <f t="shared" si="4"/>
        <v/>
      </c>
      <c r="G147" s="15" t="str">
        <f t="shared" ref="G147:H147" si="144">IF(OR(F147="",F147="Selecciona.."),"","Selecciona..")</f>
        <v/>
      </c>
      <c r="H147" s="13" t="str">
        <f t="shared" si="144"/>
        <v/>
      </c>
    </row>
    <row r="148">
      <c r="A148" s="14" t="str">
        <f t="shared" si="1"/>
        <v/>
      </c>
      <c r="B148" s="14" t="str">
        <f t="array" ref="B148">IF(OR(F148="",F148="Selecciona.."),"",XLOOKUP(F148,Productos!E:E,Productos!A:A,"",0,1))</f>
        <v/>
      </c>
      <c r="C148" s="14" t="str">
        <f t="array" ref="C148">IF(OR(G148="",G148="Selecciona.."),"",XLOOKUP(G148,Productos!$E:$E,Productos!$A:$A,"",0,1))</f>
        <v/>
      </c>
      <c r="D148" s="14" t="str">
        <f t="shared" si="2"/>
        <v/>
      </c>
      <c r="E148" s="14"/>
      <c r="F148" s="15" t="str">
        <f t="shared" si="4"/>
        <v/>
      </c>
      <c r="G148" s="15" t="str">
        <f t="shared" ref="G148:H148" si="145">IF(OR(F148="",F148="Selecciona.."),"","Selecciona..")</f>
        <v/>
      </c>
      <c r="H148" s="13" t="str">
        <f t="shared" si="145"/>
        <v/>
      </c>
    </row>
    <row r="149">
      <c r="A149" s="14" t="str">
        <f t="shared" si="1"/>
        <v/>
      </c>
      <c r="B149" s="14" t="str">
        <f t="array" ref="B149">IF(OR(F149="",F149="Selecciona.."),"",XLOOKUP(F149,Productos!E:E,Productos!A:A,"",0,1))</f>
        <v/>
      </c>
      <c r="C149" s="14" t="str">
        <f t="array" ref="C149">IF(OR(G149="",G149="Selecciona.."),"",XLOOKUP(G149,Productos!$E:$E,Productos!$A:$A,"",0,1))</f>
        <v/>
      </c>
      <c r="D149" s="14" t="str">
        <f t="shared" si="2"/>
        <v/>
      </c>
      <c r="E149" s="14"/>
      <c r="F149" s="15" t="str">
        <f t="shared" si="4"/>
        <v/>
      </c>
      <c r="G149" s="15" t="str">
        <f t="shared" ref="G149:H149" si="146">IF(OR(F149="",F149="Selecciona.."),"","Selecciona..")</f>
        <v/>
      </c>
      <c r="H149" s="13" t="str">
        <f t="shared" si="146"/>
        <v/>
      </c>
    </row>
    <row r="150">
      <c r="A150" s="14" t="str">
        <f t="shared" si="1"/>
        <v/>
      </c>
      <c r="B150" s="14" t="str">
        <f t="array" ref="B150">IF(OR(F150="",F150="Selecciona.."),"",XLOOKUP(F150,Productos!E:E,Productos!A:A,"",0,1))</f>
        <v/>
      </c>
      <c r="C150" s="14" t="str">
        <f t="array" ref="C150">IF(OR(G150="",G150="Selecciona.."),"",XLOOKUP(G150,Productos!$E:$E,Productos!$A:$A,"",0,1))</f>
        <v/>
      </c>
      <c r="D150" s="14" t="str">
        <f t="shared" si="2"/>
        <v/>
      </c>
      <c r="E150" s="14"/>
      <c r="F150" s="15" t="str">
        <f t="shared" si="4"/>
        <v/>
      </c>
      <c r="G150" s="15" t="str">
        <f t="shared" ref="G150:H150" si="147">IF(OR(F150="",F150="Selecciona.."),"","Selecciona..")</f>
        <v/>
      </c>
      <c r="H150" s="13" t="str">
        <f t="shared" si="147"/>
        <v/>
      </c>
    </row>
    <row r="151">
      <c r="A151" s="14" t="str">
        <f t="shared" si="1"/>
        <v/>
      </c>
      <c r="B151" s="14" t="str">
        <f t="array" ref="B151">IF(OR(F151="",F151="Selecciona.."),"",XLOOKUP(F151,Productos!E:E,Productos!A:A,"",0,1))</f>
        <v/>
      </c>
      <c r="C151" s="14" t="str">
        <f t="array" ref="C151">IF(OR(G151="",G151="Selecciona.."),"",XLOOKUP(G151,Productos!$E:$E,Productos!$A:$A,"",0,1))</f>
        <v/>
      </c>
      <c r="D151" s="14" t="str">
        <f t="shared" si="2"/>
        <v/>
      </c>
      <c r="E151" s="14"/>
      <c r="F151" s="15" t="str">
        <f t="shared" si="4"/>
        <v/>
      </c>
      <c r="G151" s="15" t="str">
        <f t="shared" ref="G151:H151" si="148">IF(OR(F151="",F151="Selecciona.."),"","Selecciona..")</f>
        <v/>
      </c>
      <c r="H151" s="13" t="str">
        <f t="shared" si="148"/>
        <v/>
      </c>
    </row>
    <row r="152">
      <c r="A152" s="14" t="str">
        <f t="shared" si="1"/>
        <v/>
      </c>
      <c r="B152" s="14" t="str">
        <f t="array" ref="B152">IF(OR(F152="",F152="Selecciona.."),"",XLOOKUP(F152,Productos!E:E,Productos!A:A,"",0,1))</f>
        <v/>
      </c>
      <c r="C152" s="14" t="str">
        <f t="array" ref="C152">IF(OR(G152="",G152="Selecciona.."),"",XLOOKUP(G152,Productos!$E:$E,Productos!$A:$A,"",0,1))</f>
        <v/>
      </c>
      <c r="D152" s="14" t="str">
        <f t="shared" si="2"/>
        <v/>
      </c>
      <c r="E152" s="14"/>
      <c r="F152" s="15" t="str">
        <f t="shared" si="4"/>
        <v/>
      </c>
      <c r="G152" s="15" t="str">
        <f t="shared" ref="G152:H152" si="149">IF(OR(F152="",F152="Selecciona.."),"","Selecciona..")</f>
        <v/>
      </c>
      <c r="H152" s="13" t="str">
        <f t="shared" si="149"/>
        <v/>
      </c>
    </row>
    <row r="153">
      <c r="A153" s="14" t="str">
        <f t="shared" si="1"/>
        <v/>
      </c>
      <c r="B153" s="14" t="str">
        <f t="array" ref="B153">IF(OR(F153="",F153="Selecciona.."),"",XLOOKUP(F153,Productos!E:E,Productos!A:A,"",0,1))</f>
        <v/>
      </c>
      <c r="C153" s="14" t="str">
        <f t="array" ref="C153">IF(OR(G153="",G153="Selecciona.."),"",XLOOKUP(G153,Productos!$E:$E,Productos!$A:$A,"",0,1))</f>
        <v/>
      </c>
      <c r="D153" s="14" t="str">
        <f t="shared" si="2"/>
        <v/>
      </c>
      <c r="E153" s="14"/>
      <c r="F153" s="15" t="str">
        <f t="shared" si="4"/>
        <v/>
      </c>
      <c r="G153" s="15" t="str">
        <f t="shared" ref="G153:H153" si="150">IF(OR(F153="",F153="Selecciona.."),"","Selecciona..")</f>
        <v/>
      </c>
      <c r="H153" s="13" t="str">
        <f t="shared" si="150"/>
        <v/>
      </c>
    </row>
    <row r="154">
      <c r="A154" s="14" t="str">
        <f t="shared" si="1"/>
        <v/>
      </c>
      <c r="B154" s="14" t="str">
        <f t="array" ref="B154">IF(OR(F154="",F154="Selecciona.."),"",XLOOKUP(F154,Productos!E:E,Productos!A:A,"",0,1))</f>
        <v/>
      </c>
      <c r="C154" s="14" t="str">
        <f t="array" ref="C154">IF(OR(G154="",G154="Selecciona.."),"",XLOOKUP(G154,Productos!$E:$E,Productos!$A:$A,"",0,1))</f>
        <v/>
      </c>
      <c r="D154" s="14" t="str">
        <f t="shared" si="2"/>
        <v/>
      </c>
      <c r="E154" s="14"/>
      <c r="F154" s="15" t="str">
        <f t="shared" si="4"/>
        <v/>
      </c>
      <c r="G154" s="15" t="str">
        <f t="shared" ref="G154:H154" si="151">IF(OR(F154="",F154="Selecciona.."),"","Selecciona..")</f>
        <v/>
      </c>
      <c r="H154" s="13" t="str">
        <f t="shared" si="151"/>
        <v/>
      </c>
    </row>
    <row r="155">
      <c r="A155" s="14" t="str">
        <f t="shared" si="1"/>
        <v/>
      </c>
      <c r="B155" s="14" t="str">
        <f t="array" ref="B155">IF(OR(F155="",F155="Selecciona.."),"",XLOOKUP(F155,Productos!E:E,Productos!A:A,"",0,1))</f>
        <v/>
      </c>
      <c r="C155" s="14" t="str">
        <f t="array" ref="C155">IF(OR(G155="",G155="Selecciona.."),"",XLOOKUP(G155,Productos!$E:$E,Productos!$A:$A,"",0,1))</f>
        <v/>
      </c>
      <c r="D155" s="14" t="str">
        <f t="shared" si="2"/>
        <v/>
      </c>
      <c r="E155" s="14"/>
      <c r="F155" s="15" t="str">
        <f t="shared" si="4"/>
        <v/>
      </c>
      <c r="G155" s="15" t="str">
        <f t="shared" ref="G155:H155" si="152">IF(OR(F155="",F155="Selecciona.."),"","Selecciona..")</f>
        <v/>
      </c>
      <c r="H155" s="13" t="str">
        <f t="shared" si="152"/>
        <v/>
      </c>
    </row>
    <row r="156">
      <c r="A156" s="14" t="str">
        <f t="shared" si="1"/>
        <v/>
      </c>
      <c r="B156" s="14" t="str">
        <f t="array" ref="B156">IF(OR(F156="",F156="Selecciona.."),"",XLOOKUP(F156,Productos!E:E,Productos!A:A,"",0,1))</f>
        <v/>
      </c>
      <c r="C156" s="14" t="str">
        <f t="array" ref="C156">IF(OR(G156="",G156="Selecciona.."),"",XLOOKUP(G156,Productos!$E:$E,Productos!$A:$A,"",0,1))</f>
        <v/>
      </c>
      <c r="D156" s="14" t="str">
        <f t="shared" si="2"/>
        <v/>
      </c>
      <c r="E156" s="14"/>
      <c r="F156" s="15" t="str">
        <f t="shared" si="4"/>
        <v/>
      </c>
      <c r="G156" s="15" t="str">
        <f t="shared" ref="G156:H156" si="153">IF(OR(F156="",F156="Selecciona.."),"","Selecciona..")</f>
        <v/>
      </c>
      <c r="H156" s="13" t="str">
        <f t="shared" si="153"/>
        <v/>
      </c>
    </row>
    <row r="157">
      <c r="A157" s="14" t="str">
        <f t="shared" si="1"/>
        <v/>
      </c>
      <c r="B157" s="14" t="str">
        <f t="array" ref="B157">IF(OR(F157="",F157="Selecciona.."),"",XLOOKUP(F157,Productos!E:E,Productos!A:A,"",0,1))</f>
        <v/>
      </c>
      <c r="C157" s="14" t="str">
        <f t="array" ref="C157">IF(OR(G157="",G157="Selecciona.."),"",XLOOKUP(G157,Productos!$E:$E,Productos!$A:$A,"",0,1))</f>
        <v/>
      </c>
      <c r="D157" s="14" t="str">
        <f t="shared" si="2"/>
        <v/>
      </c>
      <c r="E157" s="14"/>
      <c r="F157" s="15" t="str">
        <f t="shared" si="4"/>
        <v/>
      </c>
      <c r="G157" s="15" t="str">
        <f t="shared" ref="G157:H157" si="154">IF(OR(F157="",F157="Selecciona.."),"","Selecciona..")</f>
        <v/>
      </c>
      <c r="H157" s="13" t="str">
        <f t="shared" si="154"/>
        <v/>
      </c>
    </row>
    <row r="158">
      <c r="A158" s="14" t="str">
        <f t="shared" si="1"/>
        <v/>
      </c>
      <c r="B158" s="14" t="str">
        <f t="array" ref="B158">IF(OR(F158="",F158="Selecciona.."),"",XLOOKUP(F158,Productos!E:E,Productos!A:A,"",0,1))</f>
        <v/>
      </c>
      <c r="C158" s="14" t="str">
        <f t="array" ref="C158">IF(OR(G158="",G158="Selecciona.."),"",XLOOKUP(G158,Productos!$E:$E,Productos!$A:$A,"",0,1))</f>
        <v/>
      </c>
      <c r="D158" s="14" t="str">
        <f t="shared" si="2"/>
        <v/>
      </c>
      <c r="E158" s="14"/>
      <c r="F158" s="15" t="str">
        <f t="shared" si="4"/>
        <v/>
      </c>
      <c r="G158" s="15" t="str">
        <f t="shared" ref="G158:H158" si="155">IF(OR(F158="",F158="Selecciona.."),"","Selecciona..")</f>
        <v/>
      </c>
      <c r="H158" s="13" t="str">
        <f t="shared" si="155"/>
        <v/>
      </c>
    </row>
    <row r="159">
      <c r="A159" s="14" t="str">
        <f t="shared" si="1"/>
        <v/>
      </c>
      <c r="B159" s="14" t="str">
        <f t="array" ref="B159">IF(OR(F159="",F159="Selecciona.."),"",XLOOKUP(F159,Productos!E:E,Productos!A:A,"",0,1))</f>
        <v/>
      </c>
      <c r="C159" s="14" t="str">
        <f t="array" ref="C159">IF(OR(G159="",G159="Selecciona.."),"",XLOOKUP(G159,Productos!$E:$E,Productos!$A:$A,"",0,1))</f>
        <v/>
      </c>
      <c r="D159" s="14" t="str">
        <f t="shared" si="2"/>
        <v/>
      </c>
      <c r="E159" s="14"/>
      <c r="F159" s="15" t="str">
        <f t="shared" si="4"/>
        <v/>
      </c>
      <c r="G159" s="15" t="str">
        <f t="shared" ref="G159:H159" si="156">IF(OR(F159="",F159="Selecciona.."),"","Selecciona..")</f>
        <v/>
      </c>
      <c r="H159" s="13" t="str">
        <f t="shared" si="156"/>
        <v/>
      </c>
    </row>
    <row r="160">
      <c r="A160" s="14" t="str">
        <f t="shared" si="1"/>
        <v/>
      </c>
      <c r="B160" s="14" t="str">
        <f t="array" ref="B160">IF(OR(F160="",F160="Selecciona.."),"",XLOOKUP(F160,Productos!E:E,Productos!A:A,"",0,1))</f>
        <v/>
      </c>
      <c r="C160" s="14" t="str">
        <f t="array" ref="C160">IF(OR(G160="",G160="Selecciona.."),"",XLOOKUP(G160,Productos!$E:$E,Productos!$A:$A,"",0,1))</f>
        <v/>
      </c>
      <c r="D160" s="14" t="str">
        <f t="shared" si="2"/>
        <v/>
      </c>
      <c r="E160" s="14"/>
      <c r="F160" s="15" t="str">
        <f t="shared" si="4"/>
        <v/>
      </c>
      <c r="G160" s="15" t="str">
        <f t="shared" ref="G160:H160" si="157">IF(OR(F160="",F160="Selecciona.."),"","Selecciona..")</f>
        <v/>
      </c>
      <c r="H160" s="13" t="str">
        <f t="shared" si="157"/>
        <v/>
      </c>
    </row>
    <row r="161">
      <c r="A161" s="14" t="str">
        <f t="shared" si="1"/>
        <v/>
      </c>
      <c r="B161" s="14" t="str">
        <f t="array" ref="B161">IF(OR(F161="",F161="Selecciona.."),"",XLOOKUP(F161,Productos!E:E,Productos!A:A,"",0,1))</f>
        <v/>
      </c>
      <c r="C161" s="14" t="str">
        <f t="array" ref="C161">IF(OR(G161="",G161="Selecciona.."),"",XLOOKUP(G161,Productos!$E:$E,Productos!$A:$A,"",0,1))</f>
        <v/>
      </c>
      <c r="D161" s="14" t="str">
        <f t="shared" si="2"/>
        <v/>
      </c>
      <c r="E161" s="14"/>
      <c r="F161" s="15" t="str">
        <f t="shared" si="4"/>
        <v/>
      </c>
      <c r="G161" s="15" t="str">
        <f t="shared" ref="G161:H161" si="158">IF(OR(F161="",F161="Selecciona.."),"","Selecciona..")</f>
        <v/>
      </c>
      <c r="H161" s="13" t="str">
        <f t="shared" si="158"/>
        <v/>
      </c>
    </row>
    <row r="162">
      <c r="A162" s="14" t="str">
        <f t="shared" si="1"/>
        <v/>
      </c>
      <c r="B162" s="14" t="str">
        <f t="array" ref="B162">IF(OR(F162="",F162="Selecciona.."),"",XLOOKUP(F162,Productos!E:E,Productos!A:A,"",0,1))</f>
        <v/>
      </c>
      <c r="C162" s="14" t="str">
        <f t="array" ref="C162">IF(OR(G162="",G162="Selecciona.."),"",XLOOKUP(G162,Productos!$E:$E,Productos!$A:$A,"",0,1))</f>
        <v/>
      </c>
      <c r="D162" s="14" t="str">
        <f t="shared" si="2"/>
        <v/>
      </c>
      <c r="E162" s="14"/>
      <c r="F162" s="15" t="str">
        <f t="shared" si="4"/>
        <v/>
      </c>
      <c r="G162" s="15" t="str">
        <f t="shared" ref="G162:H162" si="159">IF(OR(F162="",F162="Selecciona.."),"","Selecciona..")</f>
        <v/>
      </c>
      <c r="H162" s="13" t="str">
        <f t="shared" si="159"/>
        <v/>
      </c>
    </row>
    <row r="163">
      <c r="A163" s="14" t="str">
        <f t="shared" si="1"/>
        <v/>
      </c>
      <c r="B163" s="14" t="str">
        <f t="array" ref="B163">IF(OR(F163="",F163="Selecciona.."),"",XLOOKUP(F163,Productos!E:E,Productos!A:A,"",0,1))</f>
        <v/>
      </c>
      <c r="C163" s="14" t="str">
        <f t="array" ref="C163">IF(OR(G163="",G163="Selecciona.."),"",XLOOKUP(G163,Productos!$E:$E,Productos!$A:$A,"",0,1))</f>
        <v/>
      </c>
      <c r="D163" s="14" t="str">
        <f t="shared" si="2"/>
        <v/>
      </c>
      <c r="E163" s="14"/>
      <c r="F163" s="15" t="str">
        <f t="shared" si="4"/>
        <v/>
      </c>
      <c r="G163" s="15" t="str">
        <f t="shared" ref="G163:H163" si="160">IF(OR(F163="",F163="Selecciona.."),"","Selecciona..")</f>
        <v/>
      </c>
      <c r="H163" s="13" t="str">
        <f t="shared" si="160"/>
        <v/>
      </c>
    </row>
    <row r="164">
      <c r="A164" s="14" t="str">
        <f t="shared" si="1"/>
        <v/>
      </c>
      <c r="B164" s="14" t="str">
        <f t="array" ref="B164">IF(OR(F164="",F164="Selecciona.."),"",XLOOKUP(F164,Productos!E:E,Productos!A:A,"",0,1))</f>
        <v/>
      </c>
      <c r="C164" s="14" t="str">
        <f t="array" ref="C164">IF(OR(G164="",G164="Selecciona.."),"",XLOOKUP(G164,Productos!$E:$E,Productos!$A:$A,"",0,1))</f>
        <v/>
      </c>
      <c r="D164" s="14" t="str">
        <f t="shared" si="2"/>
        <v/>
      </c>
      <c r="E164" s="14"/>
      <c r="F164" s="15" t="str">
        <f t="shared" si="4"/>
        <v/>
      </c>
      <c r="G164" s="15" t="str">
        <f t="shared" ref="G164:H164" si="161">IF(OR(F164="",F164="Selecciona.."),"","Selecciona..")</f>
        <v/>
      </c>
      <c r="H164" s="13" t="str">
        <f t="shared" si="161"/>
        <v/>
      </c>
    </row>
    <row r="165">
      <c r="A165" s="14" t="str">
        <f t="shared" si="1"/>
        <v/>
      </c>
      <c r="B165" s="14" t="str">
        <f t="array" ref="B165">IF(OR(F165="",F165="Selecciona.."),"",XLOOKUP(F165,Productos!E:E,Productos!A:A,"",0,1))</f>
        <v/>
      </c>
      <c r="C165" s="14" t="str">
        <f t="array" ref="C165">IF(OR(G165="",G165="Selecciona.."),"",XLOOKUP(G165,Productos!$E:$E,Productos!$A:$A,"",0,1))</f>
        <v/>
      </c>
      <c r="D165" s="14" t="str">
        <f t="shared" si="2"/>
        <v/>
      </c>
      <c r="E165" s="14"/>
      <c r="F165" s="15" t="str">
        <f t="shared" si="4"/>
        <v/>
      </c>
      <c r="G165" s="15" t="str">
        <f t="shared" ref="G165:H165" si="162">IF(OR(F165="",F165="Selecciona.."),"","Selecciona..")</f>
        <v/>
      </c>
      <c r="H165" s="13" t="str">
        <f t="shared" si="162"/>
        <v/>
      </c>
    </row>
    <row r="166">
      <c r="A166" s="14" t="str">
        <f t="shared" si="1"/>
        <v/>
      </c>
      <c r="B166" s="14" t="str">
        <f t="array" ref="B166">IF(OR(F166="",F166="Selecciona.."),"",XLOOKUP(F166,Productos!E:E,Productos!A:A,"",0,1))</f>
        <v/>
      </c>
      <c r="C166" s="14" t="str">
        <f t="array" ref="C166">IF(OR(G166="",G166="Selecciona.."),"",XLOOKUP(G166,Productos!$E:$E,Productos!$A:$A,"",0,1))</f>
        <v/>
      </c>
      <c r="D166" s="14" t="str">
        <f t="shared" si="2"/>
        <v/>
      </c>
      <c r="E166" s="14"/>
      <c r="F166" s="15" t="str">
        <f t="shared" si="4"/>
        <v/>
      </c>
      <c r="G166" s="15" t="str">
        <f t="shared" ref="G166:H166" si="163">IF(OR(F166="",F166="Selecciona.."),"","Selecciona..")</f>
        <v/>
      </c>
      <c r="H166" s="13" t="str">
        <f t="shared" si="163"/>
        <v/>
      </c>
    </row>
    <row r="167">
      <c r="A167" s="14" t="str">
        <f t="shared" si="1"/>
        <v/>
      </c>
      <c r="B167" s="14" t="str">
        <f t="array" ref="B167">IF(OR(F167="",F167="Selecciona.."),"",XLOOKUP(F167,Productos!E:E,Productos!A:A,"",0,1))</f>
        <v/>
      </c>
      <c r="C167" s="14" t="str">
        <f t="array" ref="C167">IF(OR(G167="",G167="Selecciona.."),"",XLOOKUP(G167,Productos!$E:$E,Productos!$A:$A,"",0,1))</f>
        <v/>
      </c>
      <c r="D167" s="14" t="str">
        <f t="shared" si="2"/>
        <v/>
      </c>
      <c r="E167" s="14"/>
      <c r="F167" s="15" t="str">
        <f t="shared" si="4"/>
        <v/>
      </c>
      <c r="G167" s="15" t="str">
        <f t="shared" ref="G167:H167" si="164">IF(OR(F167="",F167="Selecciona.."),"","Selecciona..")</f>
        <v/>
      </c>
      <c r="H167" s="13" t="str">
        <f t="shared" si="164"/>
        <v/>
      </c>
    </row>
    <row r="168">
      <c r="A168" s="14" t="str">
        <f t="shared" si="1"/>
        <v/>
      </c>
      <c r="B168" s="14" t="str">
        <f t="array" ref="B168">IF(OR(F168="",F168="Selecciona.."),"",XLOOKUP(F168,Productos!E:E,Productos!A:A,"",0,1))</f>
        <v/>
      </c>
      <c r="C168" s="14" t="str">
        <f t="array" ref="C168">IF(OR(G168="",G168="Selecciona.."),"",XLOOKUP(G168,Productos!$E:$E,Productos!$A:$A,"",0,1))</f>
        <v/>
      </c>
      <c r="D168" s="14" t="str">
        <f t="shared" si="2"/>
        <v/>
      </c>
      <c r="E168" s="14"/>
      <c r="F168" s="15" t="str">
        <f t="shared" si="4"/>
        <v/>
      </c>
      <c r="G168" s="15" t="str">
        <f t="shared" ref="G168:H168" si="165">IF(OR(F168="",F168="Selecciona.."),"","Selecciona..")</f>
        <v/>
      </c>
      <c r="H168" s="13" t="str">
        <f t="shared" si="165"/>
        <v/>
      </c>
    </row>
    <row r="169">
      <c r="A169" s="14" t="str">
        <f t="shared" si="1"/>
        <v/>
      </c>
      <c r="B169" s="14" t="str">
        <f t="array" ref="B169">IF(OR(F169="",F169="Selecciona.."),"",XLOOKUP(F169,Productos!E:E,Productos!A:A,"",0,1))</f>
        <v/>
      </c>
      <c r="C169" s="14" t="str">
        <f t="array" ref="C169">IF(OR(G169="",G169="Selecciona.."),"",XLOOKUP(G169,Productos!$E:$E,Productos!$A:$A,"",0,1))</f>
        <v/>
      </c>
      <c r="D169" s="14" t="str">
        <f t="shared" si="2"/>
        <v/>
      </c>
      <c r="E169" s="14"/>
      <c r="F169" s="15" t="str">
        <f t="shared" si="4"/>
        <v/>
      </c>
      <c r="G169" s="15" t="str">
        <f t="shared" ref="G169:H169" si="166">IF(OR(F169="",F169="Selecciona.."),"","Selecciona..")</f>
        <v/>
      </c>
      <c r="H169" s="13" t="str">
        <f t="shared" si="166"/>
        <v/>
      </c>
    </row>
    <row r="170">
      <c r="A170" s="14" t="str">
        <f t="shared" si="1"/>
        <v/>
      </c>
      <c r="B170" s="14" t="str">
        <f t="array" ref="B170">IF(OR(F170="",F170="Selecciona.."),"",XLOOKUP(F170,Productos!E:E,Productos!A:A,"",0,1))</f>
        <v/>
      </c>
      <c r="C170" s="14" t="str">
        <f t="array" ref="C170">IF(OR(G170="",G170="Selecciona.."),"",XLOOKUP(G170,Productos!$E:$E,Productos!$A:$A,"",0,1))</f>
        <v/>
      </c>
      <c r="D170" s="14" t="str">
        <f t="shared" si="2"/>
        <v/>
      </c>
      <c r="E170" s="14"/>
      <c r="F170" s="15" t="str">
        <f t="shared" si="4"/>
        <v/>
      </c>
      <c r="G170" s="15" t="str">
        <f t="shared" ref="G170:H170" si="167">IF(OR(F170="",F170="Selecciona.."),"","Selecciona..")</f>
        <v/>
      </c>
      <c r="H170" s="13" t="str">
        <f t="shared" si="167"/>
        <v/>
      </c>
    </row>
    <row r="171">
      <c r="A171" s="14" t="str">
        <f t="shared" si="1"/>
        <v/>
      </c>
      <c r="B171" s="14" t="str">
        <f t="array" ref="B171">IF(OR(F171="",F171="Selecciona.."),"",XLOOKUP(F171,Productos!E:E,Productos!A:A,"",0,1))</f>
        <v/>
      </c>
      <c r="C171" s="14" t="str">
        <f t="array" ref="C171">IF(OR(G171="",G171="Selecciona.."),"",XLOOKUP(G171,Productos!$E:$E,Productos!$A:$A,"",0,1))</f>
        <v/>
      </c>
      <c r="D171" s="14" t="str">
        <f t="shared" si="2"/>
        <v/>
      </c>
      <c r="E171" s="14"/>
      <c r="F171" s="15" t="str">
        <f t="shared" si="4"/>
        <v/>
      </c>
      <c r="G171" s="15" t="str">
        <f t="shared" ref="G171:H171" si="168">IF(OR(F171="",F171="Selecciona.."),"","Selecciona..")</f>
        <v/>
      </c>
      <c r="H171" s="13" t="str">
        <f t="shared" si="168"/>
        <v/>
      </c>
    </row>
    <row r="172">
      <c r="A172" s="14" t="str">
        <f t="shared" si="1"/>
        <v/>
      </c>
      <c r="B172" s="14" t="str">
        <f t="array" ref="B172">IF(OR(F172="",F172="Selecciona.."),"",XLOOKUP(F172,Productos!E:E,Productos!A:A,"",0,1))</f>
        <v/>
      </c>
      <c r="C172" s="14" t="str">
        <f t="array" ref="C172">IF(OR(G172="",G172="Selecciona.."),"",XLOOKUP(G172,Productos!$E:$E,Productos!$A:$A,"",0,1))</f>
        <v/>
      </c>
      <c r="D172" s="14" t="str">
        <f t="shared" si="2"/>
        <v/>
      </c>
      <c r="E172" s="14"/>
      <c r="F172" s="15" t="str">
        <f t="shared" si="4"/>
        <v/>
      </c>
      <c r="G172" s="15" t="str">
        <f t="shared" ref="G172:H172" si="169">IF(OR(F172="",F172="Selecciona.."),"","Selecciona..")</f>
        <v/>
      </c>
      <c r="H172" s="13" t="str">
        <f t="shared" si="169"/>
        <v/>
      </c>
    </row>
    <row r="173">
      <c r="A173" s="14" t="str">
        <f t="shared" si="1"/>
        <v/>
      </c>
      <c r="B173" s="14" t="str">
        <f t="array" ref="B173">IF(OR(F173="",F173="Selecciona.."),"",XLOOKUP(F173,Productos!E:E,Productos!A:A,"",0,1))</f>
        <v/>
      </c>
      <c r="C173" s="14" t="str">
        <f t="array" ref="C173">IF(OR(G173="",G173="Selecciona.."),"",XLOOKUP(G173,Productos!$E:$E,Productos!$A:$A,"",0,1))</f>
        <v/>
      </c>
      <c r="D173" s="14" t="str">
        <f t="shared" si="2"/>
        <v/>
      </c>
      <c r="E173" s="14"/>
      <c r="F173" s="15" t="str">
        <f t="shared" si="4"/>
        <v/>
      </c>
      <c r="G173" s="15" t="str">
        <f t="shared" ref="G173:H173" si="170">IF(OR(F173="",F173="Selecciona.."),"","Selecciona..")</f>
        <v/>
      </c>
      <c r="H173" s="13" t="str">
        <f t="shared" si="170"/>
        <v/>
      </c>
    </row>
    <row r="174">
      <c r="A174" s="14" t="str">
        <f t="shared" si="1"/>
        <v/>
      </c>
      <c r="B174" s="14" t="str">
        <f t="array" ref="B174">IF(OR(F174="",F174="Selecciona.."),"",XLOOKUP(F174,Productos!E:E,Productos!A:A,"",0,1))</f>
        <v/>
      </c>
      <c r="C174" s="14" t="str">
        <f t="array" ref="C174">IF(OR(G174="",G174="Selecciona.."),"",XLOOKUP(G174,Productos!$E:$E,Productos!$A:$A,"",0,1))</f>
        <v/>
      </c>
      <c r="D174" s="14" t="str">
        <f t="shared" si="2"/>
        <v/>
      </c>
      <c r="E174" s="14"/>
      <c r="F174" s="15" t="str">
        <f t="shared" si="4"/>
        <v/>
      </c>
      <c r="G174" s="15" t="str">
        <f t="shared" ref="G174:H174" si="171">IF(OR(F174="",F174="Selecciona.."),"","Selecciona..")</f>
        <v/>
      </c>
      <c r="H174" s="13" t="str">
        <f t="shared" si="171"/>
        <v/>
      </c>
    </row>
    <row r="175">
      <c r="A175" s="14" t="str">
        <f t="shared" si="1"/>
        <v/>
      </c>
      <c r="B175" s="14" t="str">
        <f t="array" ref="B175">IF(OR(F175="",F175="Selecciona.."),"",XLOOKUP(F175,Productos!E:E,Productos!A:A,"",0,1))</f>
        <v/>
      </c>
      <c r="C175" s="14" t="str">
        <f t="array" ref="C175">IF(OR(G175="",G175="Selecciona.."),"",XLOOKUP(G175,Productos!$E:$E,Productos!$A:$A,"",0,1))</f>
        <v/>
      </c>
      <c r="D175" s="14" t="str">
        <f t="shared" si="2"/>
        <v/>
      </c>
      <c r="E175" s="14"/>
      <c r="F175" s="15" t="str">
        <f t="shared" si="4"/>
        <v/>
      </c>
      <c r="G175" s="15" t="str">
        <f t="shared" ref="G175:H175" si="172">IF(OR(F175="",F175="Selecciona.."),"","Selecciona..")</f>
        <v/>
      </c>
      <c r="H175" s="13" t="str">
        <f t="shared" si="172"/>
        <v/>
      </c>
    </row>
    <row r="176">
      <c r="A176" s="14" t="str">
        <f t="shared" si="1"/>
        <v/>
      </c>
      <c r="B176" s="14" t="str">
        <f t="array" ref="B176">IF(OR(F176="",F176="Selecciona.."),"",XLOOKUP(F176,Productos!E:E,Productos!A:A,"",0,1))</f>
        <v/>
      </c>
      <c r="C176" s="14" t="str">
        <f t="array" ref="C176">IF(OR(G176="",G176="Selecciona.."),"",XLOOKUP(G176,Productos!$E:$E,Productos!$A:$A,"",0,1))</f>
        <v/>
      </c>
      <c r="D176" s="14" t="str">
        <f t="shared" si="2"/>
        <v/>
      </c>
      <c r="E176" s="14"/>
      <c r="F176" s="15" t="str">
        <f t="shared" si="4"/>
        <v/>
      </c>
      <c r="G176" s="15" t="str">
        <f t="shared" ref="G176:H176" si="173">IF(OR(F176="",F176="Selecciona.."),"","Selecciona..")</f>
        <v/>
      </c>
      <c r="H176" s="13" t="str">
        <f t="shared" si="173"/>
        <v/>
      </c>
    </row>
    <row r="177">
      <c r="A177" s="14" t="str">
        <f t="shared" si="1"/>
        <v/>
      </c>
      <c r="B177" s="14" t="str">
        <f t="array" ref="B177">IF(OR(F177="",F177="Selecciona.."),"",XLOOKUP(F177,Productos!E:E,Productos!A:A,"",0,1))</f>
        <v/>
      </c>
      <c r="C177" s="14" t="str">
        <f t="array" ref="C177">IF(OR(G177="",G177="Selecciona.."),"",XLOOKUP(G177,Productos!$E:$E,Productos!$A:$A,"",0,1))</f>
        <v/>
      </c>
      <c r="D177" s="14" t="str">
        <f t="shared" si="2"/>
        <v/>
      </c>
      <c r="E177" s="14"/>
      <c r="F177" s="15" t="str">
        <f t="shared" si="4"/>
        <v/>
      </c>
      <c r="G177" s="15" t="str">
        <f t="shared" ref="G177:H177" si="174">IF(OR(F177="",F177="Selecciona.."),"","Selecciona..")</f>
        <v/>
      </c>
      <c r="H177" s="13" t="str">
        <f t="shared" si="174"/>
        <v/>
      </c>
    </row>
    <row r="178">
      <c r="A178" s="14" t="str">
        <f t="shared" si="1"/>
        <v/>
      </c>
      <c r="B178" s="14" t="str">
        <f t="array" ref="B178">IF(OR(F178="",F178="Selecciona.."),"",XLOOKUP(F178,Productos!E:E,Productos!A:A,"",0,1))</f>
        <v/>
      </c>
      <c r="C178" s="14" t="str">
        <f t="array" ref="C178">IF(OR(G178="",G178="Selecciona.."),"",XLOOKUP(G178,Productos!$E:$E,Productos!$A:$A,"",0,1))</f>
        <v/>
      </c>
      <c r="D178" s="14" t="str">
        <f t="shared" si="2"/>
        <v/>
      </c>
      <c r="E178" s="14"/>
      <c r="F178" s="15" t="str">
        <f t="shared" si="4"/>
        <v/>
      </c>
      <c r="G178" s="15" t="str">
        <f t="shared" ref="G178:H178" si="175">IF(OR(F178="",F178="Selecciona.."),"","Selecciona..")</f>
        <v/>
      </c>
      <c r="H178" s="13" t="str">
        <f t="shared" si="175"/>
        <v/>
      </c>
    </row>
    <row r="179">
      <c r="A179" s="14" t="str">
        <f t="shared" si="1"/>
        <v/>
      </c>
      <c r="B179" s="14" t="str">
        <f t="array" ref="B179">IF(OR(F179="",F179="Selecciona.."),"",XLOOKUP(F179,Productos!E:E,Productos!A:A,"",0,1))</f>
        <v/>
      </c>
      <c r="C179" s="14" t="str">
        <f t="array" ref="C179">IF(OR(G179="",G179="Selecciona.."),"",XLOOKUP(G179,Productos!$E:$E,Productos!$A:$A,"",0,1))</f>
        <v/>
      </c>
      <c r="D179" s="14" t="str">
        <f t="shared" si="2"/>
        <v/>
      </c>
      <c r="E179" s="14"/>
      <c r="F179" s="15" t="str">
        <f t="shared" si="4"/>
        <v/>
      </c>
      <c r="G179" s="15" t="str">
        <f t="shared" ref="G179:H179" si="176">IF(OR(F179="",F179="Selecciona.."),"","Selecciona..")</f>
        <v/>
      </c>
      <c r="H179" s="13" t="str">
        <f t="shared" si="176"/>
        <v/>
      </c>
    </row>
    <row r="180">
      <c r="A180" s="14" t="str">
        <f t="shared" si="1"/>
        <v/>
      </c>
      <c r="B180" s="14" t="str">
        <f t="array" ref="B180">IF(OR(F180="",F180="Selecciona.."),"",XLOOKUP(F180,Productos!E:E,Productos!A:A,"",0,1))</f>
        <v/>
      </c>
      <c r="C180" s="14" t="str">
        <f t="array" ref="C180">IF(OR(G180="",G180="Selecciona.."),"",XLOOKUP(G180,Productos!$E:$E,Productos!$A:$A,"",0,1))</f>
        <v/>
      </c>
      <c r="D180" s="14" t="str">
        <f t="shared" si="2"/>
        <v/>
      </c>
      <c r="E180" s="14"/>
      <c r="F180" s="15" t="str">
        <f t="shared" si="4"/>
        <v/>
      </c>
      <c r="G180" s="15" t="str">
        <f t="shared" ref="G180:H180" si="177">IF(OR(F180="",F180="Selecciona.."),"","Selecciona..")</f>
        <v/>
      </c>
      <c r="H180" s="13" t="str">
        <f t="shared" si="177"/>
        <v/>
      </c>
    </row>
    <row r="181">
      <c r="A181" s="14" t="str">
        <f t="shared" si="1"/>
        <v/>
      </c>
      <c r="B181" s="14" t="str">
        <f t="array" ref="B181">IF(OR(F181="",F181="Selecciona.."),"",XLOOKUP(F181,Productos!E:E,Productos!A:A,"",0,1))</f>
        <v/>
      </c>
      <c r="C181" s="14" t="str">
        <f t="array" ref="C181">IF(OR(G181="",G181="Selecciona.."),"",XLOOKUP(G181,Productos!$E:$E,Productos!$A:$A,"",0,1))</f>
        <v/>
      </c>
      <c r="D181" s="14" t="str">
        <f t="shared" si="2"/>
        <v/>
      </c>
      <c r="E181" s="14"/>
      <c r="F181" s="15" t="str">
        <f t="shared" si="4"/>
        <v/>
      </c>
      <c r="G181" s="15" t="str">
        <f t="shared" ref="G181:H181" si="178">IF(OR(F181="",F181="Selecciona.."),"","Selecciona..")</f>
        <v/>
      </c>
      <c r="H181" s="13" t="str">
        <f t="shared" si="178"/>
        <v/>
      </c>
    </row>
    <row r="182">
      <c r="A182" s="14" t="str">
        <f t="shared" si="1"/>
        <v/>
      </c>
      <c r="B182" s="14" t="str">
        <f t="array" ref="B182">IF(OR(F182="",F182="Selecciona.."),"",XLOOKUP(F182,Productos!E:E,Productos!A:A,"",0,1))</f>
        <v/>
      </c>
      <c r="C182" s="14" t="str">
        <f t="array" ref="C182">IF(OR(G182="",G182="Selecciona.."),"",XLOOKUP(G182,Productos!$E:$E,Productos!$A:$A,"",0,1))</f>
        <v/>
      </c>
      <c r="D182" s="14" t="str">
        <f t="shared" si="2"/>
        <v/>
      </c>
      <c r="E182" s="14"/>
      <c r="F182" s="15" t="str">
        <f t="shared" si="4"/>
        <v/>
      </c>
      <c r="G182" s="15" t="str">
        <f t="shared" ref="G182:H182" si="179">IF(OR(F182="",F182="Selecciona.."),"","Selecciona..")</f>
        <v/>
      </c>
      <c r="H182" s="13" t="str">
        <f t="shared" si="179"/>
        <v/>
      </c>
    </row>
    <row r="183">
      <c r="A183" s="14" t="str">
        <f t="shared" si="1"/>
        <v/>
      </c>
      <c r="B183" s="14" t="str">
        <f t="array" ref="B183">IF(OR(F183="",F183="Selecciona.."),"",XLOOKUP(F183,Productos!E:E,Productos!A:A,"",0,1))</f>
        <v/>
      </c>
      <c r="C183" s="14" t="str">
        <f t="array" ref="C183">IF(OR(G183="",G183="Selecciona.."),"",XLOOKUP(G183,Productos!$E:$E,Productos!$A:$A,"",0,1))</f>
        <v/>
      </c>
      <c r="D183" s="14" t="str">
        <f t="shared" si="2"/>
        <v/>
      </c>
      <c r="E183" s="14"/>
      <c r="F183" s="15" t="str">
        <f t="shared" si="4"/>
        <v/>
      </c>
      <c r="G183" s="15" t="str">
        <f t="shared" ref="G183:H183" si="180">IF(OR(F183="",F183="Selecciona.."),"","Selecciona..")</f>
        <v/>
      </c>
      <c r="H183" s="13" t="str">
        <f t="shared" si="180"/>
        <v/>
      </c>
    </row>
    <row r="184">
      <c r="A184" s="14" t="str">
        <f t="shared" si="1"/>
        <v/>
      </c>
      <c r="B184" s="14" t="str">
        <f t="array" ref="B184">IF(OR(F184="",F184="Selecciona.."),"",XLOOKUP(F184,Productos!E:E,Productos!A:A,"",0,1))</f>
        <v/>
      </c>
      <c r="C184" s="14" t="str">
        <f t="array" ref="C184">IF(OR(G184="",G184="Selecciona.."),"",XLOOKUP(G184,Productos!$E:$E,Productos!$A:$A,"",0,1))</f>
        <v/>
      </c>
      <c r="D184" s="14" t="str">
        <f t="shared" si="2"/>
        <v/>
      </c>
      <c r="E184" s="14"/>
      <c r="F184" s="15" t="str">
        <f t="shared" si="4"/>
        <v/>
      </c>
      <c r="G184" s="15" t="str">
        <f t="shared" ref="G184:H184" si="181">IF(OR(F184="",F184="Selecciona.."),"","Selecciona..")</f>
        <v/>
      </c>
      <c r="H184" s="13" t="str">
        <f t="shared" si="181"/>
        <v/>
      </c>
    </row>
    <row r="185">
      <c r="A185" s="14" t="str">
        <f t="shared" si="1"/>
        <v/>
      </c>
      <c r="B185" s="14" t="str">
        <f t="array" ref="B185">IF(OR(F185="",F185="Selecciona.."),"",XLOOKUP(F185,Productos!E:E,Productos!A:A,"",0,1))</f>
        <v/>
      </c>
      <c r="C185" s="14" t="str">
        <f t="array" ref="C185">IF(OR(G185="",G185="Selecciona.."),"",XLOOKUP(G185,Productos!$E:$E,Productos!$A:$A,"",0,1))</f>
        <v/>
      </c>
      <c r="D185" s="14" t="str">
        <f t="shared" si="2"/>
        <v/>
      </c>
      <c r="E185" s="14"/>
      <c r="F185" s="15" t="str">
        <f t="shared" si="4"/>
        <v/>
      </c>
      <c r="G185" s="15" t="str">
        <f t="shared" ref="G185:H185" si="182">IF(OR(F185="",F185="Selecciona.."),"","Selecciona..")</f>
        <v/>
      </c>
      <c r="H185" s="13" t="str">
        <f t="shared" si="182"/>
        <v/>
      </c>
    </row>
    <row r="186">
      <c r="A186" s="14" t="str">
        <f t="shared" si="1"/>
        <v/>
      </c>
      <c r="B186" s="14" t="str">
        <f t="array" ref="B186">IF(OR(F186="",F186="Selecciona.."),"",XLOOKUP(F186,Productos!E:E,Productos!A:A,"",0,1))</f>
        <v/>
      </c>
      <c r="C186" s="14" t="str">
        <f t="array" ref="C186">IF(OR(G186="",G186="Selecciona.."),"",XLOOKUP(G186,Productos!$E:$E,Productos!$A:$A,"",0,1))</f>
        <v/>
      </c>
      <c r="D186" s="14" t="str">
        <f t="shared" si="2"/>
        <v/>
      </c>
      <c r="E186" s="14"/>
      <c r="F186" s="15" t="str">
        <f t="shared" si="4"/>
        <v/>
      </c>
      <c r="G186" s="15" t="str">
        <f t="shared" ref="G186:H186" si="183">IF(OR(F186="",F186="Selecciona.."),"","Selecciona..")</f>
        <v/>
      </c>
      <c r="H186" s="13" t="str">
        <f t="shared" si="183"/>
        <v/>
      </c>
    </row>
    <row r="187">
      <c r="A187" s="14" t="str">
        <f t="shared" si="1"/>
        <v/>
      </c>
      <c r="B187" s="14" t="str">
        <f t="array" ref="B187">IF(OR(F187="",F187="Selecciona.."),"",XLOOKUP(F187,Productos!E:E,Productos!A:A,"",0,1))</f>
        <v/>
      </c>
      <c r="C187" s="14" t="str">
        <f t="array" ref="C187">IF(OR(G187="",G187="Selecciona.."),"",XLOOKUP(G187,Productos!$E:$E,Productos!$A:$A,"",0,1))</f>
        <v/>
      </c>
      <c r="D187" s="14" t="str">
        <f t="shared" si="2"/>
        <v/>
      </c>
      <c r="E187" s="14"/>
      <c r="F187" s="15" t="str">
        <f t="shared" si="4"/>
        <v/>
      </c>
      <c r="G187" s="15" t="str">
        <f t="shared" ref="G187:H187" si="184">IF(OR(F187="",F187="Selecciona.."),"","Selecciona..")</f>
        <v/>
      </c>
      <c r="H187" s="13" t="str">
        <f t="shared" si="184"/>
        <v/>
      </c>
    </row>
    <row r="188">
      <c r="A188" s="14" t="str">
        <f t="shared" si="1"/>
        <v/>
      </c>
      <c r="B188" s="14" t="str">
        <f t="array" ref="B188">IF(OR(F188="",F188="Selecciona.."),"",XLOOKUP(F188,Productos!E:E,Productos!A:A,"",0,1))</f>
        <v/>
      </c>
      <c r="C188" s="14" t="str">
        <f t="array" ref="C188">IF(OR(G188="",G188="Selecciona.."),"",XLOOKUP(G188,Productos!$E:$E,Productos!$A:$A,"",0,1))</f>
        <v/>
      </c>
      <c r="D188" s="14" t="str">
        <f t="shared" si="2"/>
        <v/>
      </c>
      <c r="E188" s="14"/>
      <c r="F188" s="15" t="str">
        <f t="shared" si="4"/>
        <v/>
      </c>
      <c r="G188" s="15" t="str">
        <f t="shared" ref="G188:H188" si="185">IF(OR(F188="",F188="Selecciona.."),"","Selecciona..")</f>
        <v/>
      </c>
      <c r="H188" s="13" t="str">
        <f t="shared" si="185"/>
        <v/>
      </c>
    </row>
    <row r="189">
      <c r="A189" s="14" t="str">
        <f t="shared" si="1"/>
        <v/>
      </c>
      <c r="B189" s="14" t="str">
        <f t="array" ref="B189">IF(OR(F189="",F189="Selecciona.."),"",XLOOKUP(F189,Productos!E:E,Productos!A:A,"",0,1))</f>
        <v/>
      </c>
      <c r="C189" s="14" t="str">
        <f t="array" ref="C189">IF(OR(G189="",G189="Selecciona.."),"",XLOOKUP(G189,Productos!$E:$E,Productos!$A:$A,"",0,1))</f>
        <v/>
      </c>
      <c r="D189" s="14" t="str">
        <f t="shared" si="2"/>
        <v/>
      </c>
      <c r="E189" s="14"/>
      <c r="F189" s="15" t="str">
        <f t="shared" si="4"/>
        <v/>
      </c>
      <c r="G189" s="15" t="str">
        <f t="shared" ref="G189:H189" si="186">IF(OR(F189="",F189="Selecciona.."),"","Selecciona..")</f>
        <v/>
      </c>
      <c r="H189" s="13" t="str">
        <f t="shared" si="186"/>
        <v/>
      </c>
    </row>
    <row r="190">
      <c r="A190" s="14" t="str">
        <f t="shared" si="1"/>
        <v/>
      </c>
      <c r="B190" s="14" t="str">
        <f t="array" ref="B190">IF(OR(F190="",F190="Selecciona.."),"",XLOOKUP(F190,Productos!E:E,Productos!A:A,"",0,1))</f>
        <v/>
      </c>
      <c r="C190" s="14" t="str">
        <f t="array" ref="C190">IF(OR(G190="",G190="Selecciona.."),"",XLOOKUP(G190,Productos!$E:$E,Productos!$A:$A,"",0,1))</f>
        <v/>
      </c>
      <c r="D190" s="14" t="str">
        <f t="shared" si="2"/>
        <v/>
      </c>
      <c r="E190" s="14"/>
      <c r="F190" s="15" t="str">
        <f t="shared" si="4"/>
        <v/>
      </c>
      <c r="G190" s="15" t="str">
        <f t="shared" ref="G190:H190" si="187">IF(OR(F190="",F190="Selecciona.."),"","Selecciona..")</f>
        <v/>
      </c>
      <c r="H190" s="13" t="str">
        <f t="shared" si="187"/>
        <v/>
      </c>
    </row>
    <row r="191">
      <c r="A191" s="14" t="str">
        <f t="shared" si="1"/>
        <v/>
      </c>
      <c r="B191" s="14" t="str">
        <f t="array" ref="B191">IF(OR(F191="",F191="Selecciona.."),"",XLOOKUP(F191,Productos!E:E,Productos!A:A,"",0,1))</f>
        <v/>
      </c>
      <c r="C191" s="14" t="str">
        <f t="array" ref="C191">IF(OR(G191="",G191="Selecciona.."),"",XLOOKUP(G191,Productos!$E:$E,Productos!$A:$A,"",0,1))</f>
        <v/>
      </c>
      <c r="D191" s="14" t="str">
        <f t="shared" si="2"/>
        <v/>
      </c>
      <c r="E191" s="14"/>
      <c r="F191" s="15" t="str">
        <f t="shared" si="4"/>
        <v/>
      </c>
      <c r="G191" s="15" t="str">
        <f t="shared" ref="G191:H191" si="188">IF(OR(F191="",F191="Selecciona.."),"","Selecciona..")</f>
        <v/>
      </c>
      <c r="H191" s="13" t="str">
        <f t="shared" si="188"/>
        <v/>
      </c>
    </row>
    <row r="192">
      <c r="A192" s="14" t="str">
        <f t="shared" si="1"/>
        <v/>
      </c>
      <c r="B192" s="14" t="str">
        <f t="array" ref="B192">IF(OR(F192="",F192="Selecciona.."),"",XLOOKUP(F192,Productos!E:E,Productos!A:A,"",0,1))</f>
        <v/>
      </c>
      <c r="C192" s="14" t="str">
        <f t="array" ref="C192">IF(OR(G192="",G192="Selecciona.."),"",XLOOKUP(G192,Productos!$E:$E,Productos!$A:$A,"",0,1))</f>
        <v/>
      </c>
      <c r="D192" s="14" t="str">
        <f t="shared" si="2"/>
        <v/>
      </c>
      <c r="E192" s="14"/>
      <c r="F192" s="15" t="str">
        <f t="shared" si="4"/>
        <v/>
      </c>
      <c r="G192" s="15" t="str">
        <f t="shared" ref="G192:H192" si="189">IF(OR(F192="",F192="Selecciona.."),"","Selecciona..")</f>
        <v/>
      </c>
      <c r="H192" s="13" t="str">
        <f t="shared" si="189"/>
        <v/>
      </c>
    </row>
    <row r="193">
      <c r="A193" s="14" t="str">
        <f t="shared" si="1"/>
        <v/>
      </c>
      <c r="B193" s="14" t="str">
        <f t="array" ref="B193">IF(OR(F193="",F193="Selecciona.."),"",XLOOKUP(F193,Productos!E:E,Productos!A:A,"",0,1))</f>
        <v/>
      </c>
      <c r="C193" s="14" t="str">
        <f t="array" ref="C193">IF(OR(G193="",G193="Selecciona.."),"",XLOOKUP(G193,Productos!$E:$E,Productos!$A:$A,"",0,1))</f>
        <v/>
      </c>
      <c r="D193" s="14" t="str">
        <f t="shared" si="2"/>
        <v/>
      </c>
      <c r="E193" s="14"/>
      <c r="F193" s="15" t="str">
        <f t="shared" si="4"/>
        <v/>
      </c>
      <c r="G193" s="15" t="str">
        <f t="shared" ref="G193:H193" si="190">IF(OR(F193="",F193="Selecciona.."),"","Selecciona..")</f>
        <v/>
      </c>
      <c r="H193" s="13" t="str">
        <f t="shared" si="190"/>
        <v/>
      </c>
    </row>
    <row r="194">
      <c r="A194" s="14" t="str">
        <f t="shared" si="1"/>
        <v/>
      </c>
      <c r="B194" s="14" t="str">
        <f t="array" ref="B194">IF(OR(F194="",F194="Selecciona.."),"",XLOOKUP(F194,Productos!E:E,Productos!A:A,"",0,1))</f>
        <v/>
      </c>
      <c r="C194" s="14" t="str">
        <f t="array" ref="C194">IF(OR(G194="",G194="Selecciona.."),"",XLOOKUP(G194,Productos!$E:$E,Productos!$A:$A,"",0,1))</f>
        <v/>
      </c>
      <c r="D194" s="14" t="str">
        <f t="shared" si="2"/>
        <v/>
      </c>
      <c r="E194" s="14"/>
      <c r="F194" s="15" t="str">
        <f t="shared" si="4"/>
        <v/>
      </c>
      <c r="G194" s="15" t="str">
        <f t="shared" ref="G194:H194" si="191">IF(OR(F194="",F194="Selecciona.."),"","Selecciona..")</f>
        <v/>
      </c>
      <c r="H194" s="13" t="str">
        <f t="shared" si="191"/>
        <v/>
      </c>
    </row>
    <row r="195">
      <c r="A195" s="14" t="str">
        <f t="shared" si="1"/>
        <v/>
      </c>
      <c r="B195" s="14" t="str">
        <f t="array" ref="B195">IF(OR(F195="",F195="Selecciona.."),"",XLOOKUP(F195,Productos!E:E,Productos!A:A,"",0,1))</f>
        <v/>
      </c>
      <c r="C195" s="14" t="str">
        <f t="array" ref="C195">IF(OR(G195="",G195="Selecciona.."),"",XLOOKUP(G195,Productos!$E:$E,Productos!$A:$A,"",0,1))</f>
        <v/>
      </c>
      <c r="D195" s="14" t="str">
        <f t="shared" si="2"/>
        <v/>
      </c>
      <c r="E195" s="14"/>
      <c r="F195" s="15" t="str">
        <f t="shared" si="4"/>
        <v/>
      </c>
      <c r="G195" s="15" t="str">
        <f t="shared" ref="G195:H195" si="192">IF(OR(F195="",F195="Selecciona.."),"","Selecciona..")</f>
        <v/>
      </c>
      <c r="H195" s="13" t="str">
        <f t="shared" si="192"/>
        <v/>
      </c>
    </row>
    <row r="196">
      <c r="A196" s="14" t="str">
        <f t="shared" si="1"/>
        <v/>
      </c>
      <c r="B196" s="14" t="str">
        <f t="array" ref="B196">IF(OR(F196="",F196="Selecciona.."),"",XLOOKUP(F196,Productos!E:E,Productos!A:A,"",0,1))</f>
        <v/>
      </c>
      <c r="C196" s="14" t="str">
        <f t="array" ref="C196">IF(OR(G196="",G196="Selecciona.."),"",XLOOKUP(G196,Productos!$E:$E,Productos!$A:$A,"",0,1))</f>
        <v/>
      </c>
      <c r="D196" s="14" t="str">
        <f t="shared" si="2"/>
        <v/>
      </c>
      <c r="E196" s="14"/>
      <c r="F196" s="15" t="str">
        <f t="shared" si="4"/>
        <v/>
      </c>
      <c r="G196" s="15" t="str">
        <f t="shared" ref="G196:H196" si="193">IF(OR(F196="",F196="Selecciona.."),"","Selecciona..")</f>
        <v/>
      </c>
      <c r="H196" s="13" t="str">
        <f t="shared" si="193"/>
        <v/>
      </c>
    </row>
    <row r="197">
      <c r="A197" s="14" t="str">
        <f t="shared" si="1"/>
        <v/>
      </c>
      <c r="B197" s="14" t="str">
        <f t="array" ref="B197">IF(OR(F197="",F197="Selecciona.."),"",XLOOKUP(F197,Productos!E:E,Productos!A:A,"",0,1))</f>
        <v/>
      </c>
      <c r="C197" s="14" t="str">
        <f t="array" ref="C197">IF(OR(G197="",G197="Selecciona.."),"",XLOOKUP(G197,Productos!$E:$E,Productos!$A:$A,"",0,1))</f>
        <v/>
      </c>
      <c r="D197" s="14" t="str">
        <f t="shared" si="2"/>
        <v/>
      </c>
      <c r="E197" s="14"/>
      <c r="F197" s="15" t="str">
        <f t="shared" si="4"/>
        <v/>
      </c>
      <c r="G197" s="15" t="str">
        <f t="shared" ref="G197:H197" si="194">IF(OR(F197="",F197="Selecciona.."),"","Selecciona..")</f>
        <v/>
      </c>
      <c r="H197" s="13" t="str">
        <f t="shared" si="194"/>
        <v/>
      </c>
    </row>
    <row r="198">
      <c r="A198" s="14" t="str">
        <f t="shared" si="1"/>
        <v/>
      </c>
      <c r="B198" s="14" t="str">
        <f t="array" ref="B198">IF(OR(F198="",F198="Selecciona.."),"",XLOOKUP(F198,Productos!E:E,Productos!A:A,"",0,1))</f>
        <v/>
      </c>
      <c r="C198" s="14" t="str">
        <f t="array" ref="C198">IF(OR(G198="",G198="Selecciona.."),"",XLOOKUP(G198,Productos!$E:$E,Productos!$A:$A,"",0,1))</f>
        <v/>
      </c>
      <c r="D198" s="14" t="str">
        <f t="shared" si="2"/>
        <v/>
      </c>
      <c r="E198" s="14"/>
      <c r="F198" s="15" t="str">
        <f t="shared" si="4"/>
        <v/>
      </c>
      <c r="G198" s="15" t="str">
        <f t="shared" ref="G198:H198" si="195">IF(OR(F198="",F198="Selecciona.."),"","Selecciona..")</f>
        <v/>
      </c>
      <c r="H198" s="13" t="str">
        <f t="shared" si="195"/>
        <v/>
      </c>
    </row>
    <row r="199">
      <c r="A199" s="14" t="str">
        <f t="shared" si="1"/>
        <v/>
      </c>
      <c r="B199" s="14" t="str">
        <f t="array" ref="B199">IF(OR(F199="",F199="Selecciona.."),"",XLOOKUP(F199,Productos!E:E,Productos!A:A,"",0,1))</f>
        <v/>
      </c>
      <c r="C199" s="14" t="str">
        <f t="array" ref="C199">IF(OR(G199="",G199="Selecciona.."),"",XLOOKUP(G199,Productos!$E:$E,Productos!$A:$A,"",0,1))</f>
        <v/>
      </c>
      <c r="D199" s="14" t="str">
        <f t="shared" si="2"/>
        <v/>
      </c>
      <c r="E199" s="14"/>
      <c r="F199" s="15" t="str">
        <f t="shared" si="4"/>
        <v/>
      </c>
      <c r="G199" s="15" t="str">
        <f t="shared" ref="G199:H199" si="196">IF(OR(F199="",F199="Selecciona.."),"","Selecciona..")</f>
        <v/>
      </c>
      <c r="H199" s="13" t="str">
        <f t="shared" si="196"/>
        <v/>
      </c>
    </row>
    <row r="200">
      <c r="A200" s="14" t="str">
        <f t="shared" si="1"/>
        <v/>
      </c>
      <c r="B200" s="14" t="str">
        <f t="array" ref="B200">IF(OR(F200="",F200="Selecciona.."),"",XLOOKUP(F200,Productos!E:E,Productos!A:A,"",0,1))</f>
        <v/>
      </c>
      <c r="C200" s="14" t="str">
        <f t="array" ref="C200">IF(OR(G200="",G200="Selecciona.."),"",XLOOKUP(G200,Productos!$E:$E,Productos!$A:$A,"",0,1))</f>
        <v/>
      </c>
      <c r="D200" s="14" t="str">
        <f t="shared" si="2"/>
        <v/>
      </c>
      <c r="E200" s="14"/>
      <c r="F200" s="15" t="str">
        <f t="shared" si="4"/>
        <v/>
      </c>
      <c r="G200" s="15" t="str">
        <f t="shared" ref="G200:H200" si="197">IF(OR(F200="",F200="Selecciona.."),"","Selecciona..")</f>
        <v/>
      </c>
      <c r="H200" s="13" t="str">
        <f t="shared" si="197"/>
        <v/>
      </c>
    </row>
    <row r="201">
      <c r="A201" s="14" t="str">
        <f t="shared" si="1"/>
        <v/>
      </c>
      <c r="B201" s="14" t="str">
        <f t="array" ref="B201">IF(OR(F201="",F201="Selecciona.."),"",XLOOKUP(F201,Productos!E:E,Productos!A:A,"",0,1))</f>
        <v/>
      </c>
      <c r="C201" s="14" t="str">
        <f t="array" ref="C201">IF(OR(G201="",G201="Selecciona.."),"",XLOOKUP(G201,Productos!$E:$E,Productos!$A:$A,"",0,1))</f>
        <v/>
      </c>
      <c r="D201" s="14" t="str">
        <f t="shared" si="2"/>
        <v/>
      </c>
      <c r="E201" s="14"/>
      <c r="F201" s="15" t="str">
        <f t="shared" si="4"/>
        <v/>
      </c>
      <c r="G201" s="15" t="str">
        <f t="shared" ref="G201:H201" si="198">IF(OR(F201="",F201="Selecciona.."),"","Selecciona..")</f>
        <v/>
      </c>
      <c r="H201" s="13" t="str">
        <f t="shared" si="198"/>
        <v/>
      </c>
    </row>
    <row r="202">
      <c r="A202" s="14" t="str">
        <f t="shared" si="1"/>
        <v/>
      </c>
      <c r="B202" s="14" t="str">
        <f t="array" ref="B202">IF(OR(F202="",F202="Selecciona.."),"",XLOOKUP(F202,Productos!E:E,Productos!A:A,"",0,1))</f>
        <v/>
      </c>
      <c r="C202" s="14" t="str">
        <f t="array" ref="C202">IF(OR(G202="",G202="Selecciona.."),"",XLOOKUP(G202,Productos!$E:$E,Productos!$A:$A,"",0,1))</f>
        <v/>
      </c>
      <c r="D202" s="14" t="str">
        <f t="shared" si="2"/>
        <v/>
      </c>
      <c r="E202" s="14"/>
      <c r="F202" s="15" t="str">
        <f t="shared" si="4"/>
        <v/>
      </c>
      <c r="G202" s="15" t="str">
        <f t="shared" ref="G202:H202" si="199">IF(OR(F202="",F202="Selecciona.."),"","Selecciona..")</f>
        <v/>
      </c>
      <c r="H202" s="13" t="str">
        <f t="shared" si="199"/>
        <v/>
      </c>
    </row>
    <row r="203">
      <c r="A203" s="14" t="str">
        <f t="shared" si="1"/>
        <v/>
      </c>
      <c r="B203" s="14" t="str">
        <f t="array" ref="B203">IF(OR(F203="",F203="Selecciona.."),"",XLOOKUP(F203,Productos!E:E,Productos!A:A,"",0,1))</f>
        <v/>
      </c>
      <c r="C203" s="14" t="str">
        <f t="array" ref="C203">IF(OR(G203="",G203="Selecciona.."),"",XLOOKUP(G203,Productos!$E:$E,Productos!$A:$A,"",0,1))</f>
        <v/>
      </c>
      <c r="D203" s="14" t="str">
        <f t="shared" si="2"/>
        <v/>
      </c>
      <c r="E203" s="14"/>
      <c r="F203" s="15" t="str">
        <f t="shared" si="4"/>
        <v/>
      </c>
      <c r="G203" s="15" t="str">
        <f t="shared" ref="G203:H203" si="200">IF(OR(F203="",F203="Selecciona.."),"","Selecciona..")</f>
        <v/>
      </c>
      <c r="H203" s="13" t="str">
        <f t="shared" si="200"/>
        <v/>
      </c>
    </row>
    <row r="204">
      <c r="A204" s="14" t="str">
        <f t="shared" si="1"/>
        <v/>
      </c>
      <c r="B204" s="14" t="str">
        <f t="array" ref="B204">IF(OR(F204="",F204="Selecciona.."),"",XLOOKUP(F204,Productos!E:E,Productos!A:A,"",0,1))</f>
        <v/>
      </c>
      <c r="C204" s="14" t="str">
        <f t="array" ref="C204">IF(OR(G204="",G204="Selecciona.."),"",XLOOKUP(G204,Productos!$E:$E,Productos!$A:$A,"",0,1))</f>
        <v/>
      </c>
      <c r="D204" s="14" t="str">
        <f t="shared" si="2"/>
        <v/>
      </c>
      <c r="E204" s="14"/>
      <c r="F204" s="15" t="str">
        <f t="shared" si="4"/>
        <v/>
      </c>
      <c r="G204" s="15" t="str">
        <f t="shared" ref="G204:H204" si="201">IF(OR(F204="",F204="Selecciona.."),"","Selecciona..")</f>
        <v/>
      </c>
      <c r="H204" s="13" t="str">
        <f t="shared" si="201"/>
        <v/>
      </c>
    </row>
    <row r="205">
      <c r="A205" s="14" t="str">
        <f t="shared" si="1"/>
        <v/>
      </c>
      <c r="B205" s="14" t="str">
        <f t="array" ref="B205">IF(OR(F205="",F205="Selecciona.."),"",XLOOKUP(F205,Productos!E:E,Productos!A:A,"",0,1))</f>
        <v/>
      </c>
      <c r="C205" s="14" t="str">
        <f t="array" ref="C205">IF(OR(G205="",G205="Selecciona.."),"",XLOOKUP(G205,Productos!$E:$E,Productos!$A:$A,"",0,1))</f>
        <v/>
      </c>
      <c r="D205" s="14" t="str">
        <f t="shared" si="2"/>
        <v/>
      </c>
      <c r="E205" s="14"/>
      <c r="F205" s="15" t="str">
        <f t="shared" si="4"/>
        <v/>
      </c>
      <c r="G205" s="15" t="str">
        <f t="shared" ref="G205:H205" si="202">IF(OR(F205="",F205="Selecciona.."),"","Selecciona..")</f>
        <v/>
      </c>
      <c r="H205" s="13" t="str">
        <f t="shared" si="202"/>
        <v/>
      </c>
    </row>
    <row r="206">
      <c r="A206" s="14" t="str">
        <f t="shared" si="1"/>
        <v/>
      </c>
      <c r="B206" s="14" t="str">
        <f t="array" ref="B206">IF(OR(F206="",F206="Selecciona.."),"",XLOOKUP(F206,Productos!E:E,Productos!A:A,"",0,1))</f>
        <v/>
      </c>
      <c r="C206" s="14" t="str">
        <f t="array" ref="C206">IF(OR(G206="",G206="Selecciona.."),"",XLOOKUP(G206,Productos!$E:$E,Productos!$A:$A,"",0,1))</f>
        <v/>
      </c>
      <c r="D206" s="14" t="str">
        <f t="shared" si="2"/>
        <v/>
      </c>
      <c r="E206" s="14"/>
      <c r="F206" s="15" t="str">
        <f t="shared" si="4"/>
        <v/>
      </c>
      <c r="G206" s="15" t="str">
        <f t="shared" ref="G206:H206" si="203">IF(OR(F206="",F206="Selecciona.."),"","Selecciona..")</f>
        <v/>
      </c>
      <c r="H206" s="13" t="str">
        <f t="shared" si="203"/>
        <v/>
      </c>
    </row>
    <row r="207">
      <c r="A207" s="14" t="str">
        <f t="shared" si="1"/>
        <v/>
      </c>
      <c r="B207" s="14" t="str">
        <f t="array" ref="B207">IF(OR(F207="",F207="Selecciona.."),"",XLOOKUP(F207,Productos!E:E,Productos!A:A,"",0,1))</f>
        <v/>
      </c>
      <c r="C207" s="14" t="str">
        <f t="array" ref="C207">IF(OR(G207="",G207="Selecciona.."),"",XLOOKUP(G207,Productos!$E:$E,Productos!$A:$A,"",0,1))</f>
        <v/>
      </c>
      <c r="D207" s="14" t="str">
        <f t="shared" si="2"/>
        <v/>
      </c>
      <c r="E207" s="14"/>
      <c r="F207" s="15" t="str">
        <f t="shared" si="4"/>
        <v/>
      </c>
      <c r="G207" s="15" t="str">
        <f t="shared" ref="G207:H207" si="204">IF(OR(F207="",F207="Selecciona.."),"","Selecciona..")</f>
        <v/>
      </c>
      <c r="H207" s="13" t="str">
        <f t="shared" si="204"/>
        <v/>
      </c>
    </row>
    <row r="208">
      <c r="A208" s="14" t="str">
        <f t="shared" si="1"/>
        <v/>
      </c>
      <c r="B208" s="14" t="str">
        <f t="array" ref="B208">IF(OR(F208="",F208="Selecciona.."),"",XLOOKUP(F208,Productos!E:E,Productos!A:A,"",0,1))</f>
        <v/>
      </c>
      <c r="C208" s="14" t="str">
        <f t="array" ref="C208">IF(OR(G208="",G208="Selecciona.."),"",XLOOKUP(G208,Productos!$E:$E,Productos!$A:$A,"",0,1))</f>
        <v/>
      </c>
      <c r="D208" s="14" t="str">
        <f t="shared" si="2"/>
        <v/>
      </c>
      <c r="E208" s="14"/>
      <c r="F208" s="15" t="str">
        <f t="shared" si="4"/>
        <v/>
      </c>
      <c r="G208" s="15" t="str">
        <f t="shared" ref="G208:H208" si="205">IF(OR(F208="",F208="Selecciona.."),"","Selecciona..")</f>
        <v/>
      </c>
      <c r="H208" s="13" t="str">
        <f t="shared" si="205"/>
        <v/>
      </c>
    </row>
    <row r="209">
      <c r="A209" s="14" t="str">
        <f t="shared" si="1"/>
        <v/>
      </c>
      <c r="B209" s="14" t="str">
        <f t="array" ref="B209">IF(OR(F209="",F209="Selecciona.."),"",XLOOKUP(F209,Productos!E:E,Productos!A:A,"",0,1))</f>
        <v/>
      </c>
      <c r="C209" s="14" t="str">
        <f t="array" ref="C209">IF(OR(G209="",G209="Selecciona.."),"",XLOOKUP(G209,Productos!$E:$E,Productos!$A:$A,"",0,1))</f>
        <v/>
      </c>
      <c r="D209" s="14" t="str">
        <f t="shared" si="2"/>
        <v/>
      </c>
      <c r="E209" s="14"/>
      <c r="F209" s="15" t="str">
        <f t="shared" si="4"/>
        <v/>
      </c>
      <c r="G209" s="15" t="str">
        <f t="shared" ref="G209:H209" si="206">IF(OR(F209="",F209="Selecciona.."),"","Selecciona..")</f>
        <v/>
      </c>
      <c r="H209" s="13" t="str">
        <f t="shared" si="206"/>
        <v/>
      </c>
    </row>
    <row r="210">
      <c r="A210" s="14" t="str">
        <f t="shared" si="1"/>
        <v/>
      </c>
      <c r="B210" s="14" t="str">
        <f t="array" ref="B210">IF(OR(F210="",F210="Selecciona.."),"",XLOOKUP(F210,Productos!E:E,Productos!A:A,"",0,1))</f>
        <v/>
      </c>
      <c r="C210" s="14" t="str">
        <f t="array" ref="C210">IF(OR(G210="",G210="Selecciona.."),"",XLOOKUP(G210,Productos!$E:$E,Productos!$A:$A,"",0,1))</f>
        <v/>
      </c>
      <c r="D210" s="14" t="str">
        <f t="shared" si="2"/>
        <v/>
      </c>
      <c r="E210" s="14"/>
      <c r="F210" s="15" t="str">
        <f t="shared" si="4"/>
        <v/>
      </c>
      <c r="G210" s="15" t="str">
        <f t="shared" ref="G210:H210" si="207">IF(OR(F210="",F210="Selecciona.."),"","Selecciona..")</f>
        <v/>
      </c>
      <c r="H210" s="13" t="str">
        <f t="shared" si="207"/>
        <v/>
      </c>
    </row>
    <row r="211">
      <c r="A211" s="14" t="str">
        <f t="shared" si="1"/>
        <v/>
      </c>
      <c r="B211" s="14" t="str">
        <f t="array" ref="B211">IF(OR(F211="",F211="Selecciona.."),"",XLOOKUP(F211,Productos!E:E,Productos!A:A,"",0,1))</f>
        <v/>
      </c>
      <c r="C211" s="14" t="str">
        <f t="array" ref="C211">IF(OR(G211="",G211="Selecciona.."),"",XLOOKUP(G211,Productos!$E:$E,Productos!$A:$A,"",0,1))</f>
        <v/>
      </c>
      <c r="D211" s="14" t="str">
        <f t="shared" si="2"/>
        <v/>
      </c>
      <c r="E211" s="14"/>
      <c r="F211" s="15" t="str">
        <f t="shared" si="4"/>
        <v/>
      </c>
      <c r="G211" s="15" t="str">
        <f t="shared" ref="G211:H211" si="208">IF(OR(F211="",F211="Selecciona.."),"","Selecciona..")</f>
        <v/>
      </c>
      <c r="H211" s="13" t="str">
        <f t="shared" si="208"/>
        <v/>
      </c>
    </row>
    <row r="212">
      <c r="A212" s="14" t="str">
        <f t="shared" si="1"/>
        <v/>
      </c>
      <c r="B212" s="14" t="str">
        <f t="array" ref="B212">IF(OR(F212="",F212="Selecciona.."),"",XLOOKUP(F212,Productos!E:E,Productos!A:A,"",0,1))</f>
        <v/>
      </c>
      <c r="C212" s="14" t="str">
        <f t="array" ref="C212">IF(OR(G212="",G212="Selecciona.."),"",XLOOKUP(G212,Productos!$E:$E,Productos!$A:$A,"",0,1))</f>
        <v/>
      </c>
      <c r="D212" s="14" t="str">
        <f t="shared" si="2"/>
        <v/>
      </c>
      <c r="E212" s="14"/>
      <c r="F212" s="15" t="str">
        <f t="shared" si="4"/>
        <v/>
      </c>
      <c r="G212" s="15" t="str">
        <f t="shared" ref="G212:H212" si="209">IF(OR(F212="",F212="Selecciona.."),"","Selecciona..")</f>
        <v/>
      </c>
      <c r="H212" s="13" t="str">
        <f t="shared" si="209"/>
        <v/>
      </c>
    </row>
    <row r="213">
      <c r="A213" s="14" t="str">
        <f t="shared" si="1"/>
        <v/>
      </c>
      <c r="B213" s="14" t="str">
        <f t="array" ref="B213">IF(OR(F213="",F213="Selecciona.."),"",XLOOKUP(F213,Productos!E:E,Productos!A:A,"",0,1))</f>
        <v/>
      </c>
      <c r="C213" s="14" t="str">
        <f t="array" ref="C213">IF(OR(G213="",G213="Selecciona.."),"",XLOOKUP(G213,Productos!$E:$E,Productos!$A:$A,"",0,1))</f>
        <v/>
      </c>
      <c r="D213" s="14" t="str">
        <f t="shared" si="2"/>
        <v/>
      </c>
      <c r="E213" s="14"/>
      <c r="F213" s="15" t="str">
        <f t="shared" si="4"/>
        <v/>
      </c>
      <c r="G213" s="15" t="str">
        <f t="shared" ref="G213:H213" si="210">IF(OR(F213="",F213="Selecciona.."),"","Selecciona..")</f>
        <v/>
      </c>
      <c r="H213" s="13" t="str">
        <f t="shared" si="210"/>
        <v/>
      </c>
    </row>
    <row r="214">
      <c r="A214" s="14" t="str">
        <f t="shared" si="1"/>
        <v/>
      </c>
      <c r="B214" s="14" t="str">
        <f t="array" ref="B214">IF(OR(F214="",F214="Selecciona.."),"",XLOOKUP(F214,Productos!E:E,Productos!A:A,"",0,1))</f>
        <v/>
      </c>
      <c r="C214" s="14" t="str">
        <f t="array" ref="C214">IF(OR(G214="",G214="Selecciona.."),"",XLOOKUP(G214,Productos!$E:$E,Productos!$A:$A,"",0,1))</f>
        <v/>
      </c>
      <c r="D214" s="14" t="str">
        <f t="shared" si="2"/>
        <v/>
      </c>
      <c r="E214" s="14"/>
      <c r="F214" s="15" t="str">
        <f t="shared" si="4"/>
        <v/>
      </c>
      <c r="G214" s="15" t="str">
        <f t="shared" ref="G214:H214" si="211">IF(OR(F214="",F214="Selecciona.."),"","Selecciona..")</f>
        <v/>
      </c>
      <c r="H214" s="13" t="str">
        <f t="shared" si="211"/>
        <v/>
      </c>
    </row>
    <row r="215">
      <c r="A215" s="14" t="str">
        <f t="shared" si="1"/>
        <v/>
      </c>
      <c r="B215" s="14" t="str">
        <f t="array" ref="B215">IF(OR(F215="",F215="Selecciona.."),"",XLOOKUP(F215,Productos!E:E,Productos!A:A,"",0,1))</f>
        <v/>
      </c>
      <c r="C215" s="14" t="str">
        <f t="array" ref="C215">IF(OR(G215="",G215="Selecciona.."),"",XLOOKUP(G215,Productos!$E:$E,Productos!$A:$A,"",0,1))</f>
        <v/>
      </c>
      <c r="D215" s="14" t="str">
        <f t="shared" si="2"/>
        <v/>
      </c>
      <c r="E215" s="14"/>
      <c r="F215" s="15" t="str">
        <f t="shared" si="4"/>
        <v/>
      </c>
      <c r="G215" s="15" t="str">
        <f t="shared" ref="G215:H215" si="212">IF(OR(F215="",F215="Selecciona.."),"","Selecciona..")</f>
        <v/>
      </c>
      <c r="H215" s="13" t="str">
        <f t="shared" si="212"/>
        <v/>
      </c>
    </row>
    <row r="216">
      <c r="A216" s="14" t="str">
        <f t="shared" si="1"/>
        <v/>
      </c>
      <c r="B216" s="14" t="str">
        <f t="array" ref="B216">IF(OR(F216="",F216="Selecciona.."),"",XLOOKUP(F216,Productos!E:E,Productos!A:A,"",0,1))</f>
        <v/>
      </c>
      <c r="C216" s="14" t="str">
        <f t="array" ref="C216">IF(OR(G216="",G216="Selecciona.."),"",XLOOKUP(G216,Productos!$E:$E,Productos!$A:$A,"",0,1))</f>
        <v/>
      </c>
      <c r="D216" s="14" t="str">
        <f t="shared" si="2"/>
        <v/>
      </c>
      <c r="E216" s="14"/>
      <c r="F216" s="15" t="str">
        <f t="shared" si="4"/>
        <v/>
      </c>
      <c r="G216" s="15" t="str">
        <f t="shared" ref="G216:H216" si="213">IF(OR(F216="",F216="Selecciona.."),"","Selecciona..")</f>
        <v/>
      </c>
      <c r="H216" s="13" t="str">
        <f t="shared" si="213"/>
        <v/>
      </c>
    </row>
    <row r="217">
      <c r="A217" s="14" t="str">
        <f t="shared" si="1"/>
        <v/>
      </c>
      <c r="B217" s="14" t="str">
        <f t="array" ref="B217">IF(OR(F217="",F217="Selecciona.."),"",XLOOKUP(F217,Productos!E:E,Productos!A:A,"",0,1))</f>
        <v/>
      </c>
      <c r="C217" s="14" t="str">
        <f t="array" ref="C217">IF(OR(G217="",G217="Selecciona.."),"",XLOOKUP(G217,Productos!$E:$E,Productos!$A:$A,"",0,1))</f>
        <v/>
      </c>
      <c r="D217" s="14" t="str">
        <f t="shared" si="2"/>
        <v/>
      </c>
      <c r="E217" s="14"/>
      <c r="F217" s="15" t="str">
        <f t="shared" si="4"/>
        <v/>
      </c>
      <c r="G217" s="15" t="str">
        <f t="shared" ref="G217:H217" si="214">IF(OR(F217="",F217="Selecciona.."),"","Selecciona..")</f>
        <v/>
      </c>
      <c r="H217" s="13" t="str">
        <f t="shared" si="214"/>
        <v/>
      </c>
    </row>
    <row r="218">
      <c r="A218" s="14" t="str">
        <f t="shared" si="1"/>
        <v/>
      </c>
      <c r="B218" s="14" t="str">
        <f t="array" ref="B218">IF(OR(F218="",F218="Selecciona.."),"",XLOOKUP(F218,Productos!E:E,Productos!A:A,"",0,1))</f>
        <v/>
      </c>
      <c r="C218" s="14" t="str">
        <f t="array" ref="C218">IF(OR(G218="",G218="Selecciona.."),"",XLOOKUP(G218,Productos!$E:$E,Productos!$A:$A,"",0,1))</f>
        <v/>
      </c>
      <c r="D218" s="14" t="str">
        <f t="shared" si="2"/>
        <v/>
      </c>
      <c r="E218" s="14"/>
      <c r="F218" s="15" t="str">
        <f t="shared" si="4"/>
        <v/>
      </c>
      <c r="G218" s="15" t="str">
        <f t="shared" ref="G218:H218" si="215">IF(OR(F218="",F218="Selecciona.."),"","Selecciona..")</f>
        <v/>
      </c>
      <c r="H218" s="13" t="str">
        <f t="shared" si="215"/>
        <v/>
      </c>
    </row>
    <row r="219">
      <c r="A219" s="14" t="str">
        <f t="shared" si="1"/>
        <v/>
      </c>
      <c r="B219" s="14" t="str">
        <f t="array" ref="B219">IF(OR(F219="",F219="Selecciona.."),"",XLOOKUP(F219,Productos!E:E,Productos!A:A,"",0,1))</f>
        <v/>
      </c>
      <c r="C219" s="14" t="str">
        <f t="array" ref="C219">IF(OR(G219="",G219="Selecciona.."),"",XLOOKUP(G219,Productos!$E:$E,Productos!$A:$A,"",0,1))</f>
        <v/>
      </c>
      <c r="D219" s="14" t="str">
        <f t="shared" si="2"/>
        <v/>
      </c>
      <c r="E219" s="14"/>
      <c r="F219" s="15" t="str">
        <f t="shared" si="4"/>
        <v/>
      </c>
      <c r="G219" s="15" t="str">
        <f t="shared" ref="G219:H219" si="216">IF(OR(F219="",F219="Selecciona.."),"","Selecciona..")</f>
        <v/>
      </c>
      <c r="H219" s="13" t="str">
        <f t="shared" si="216"/>
        <v/>
      </c>
    </row>
    <row r="220">
      <c r="A220" s="14" t="str">
        <f t="shared" si="1"/>
        <v/>
      </c>
      <c r="B220" s="14" t="str">
        <f t="array" ref="B220">IF(OR(F220="",F220="Selecciona.."),"",XLOOKUP(F220,Productos!E:E,Productos!A:A,"",0,1))</f>
        <v/>
      </c>
      <c r="C220" s="14" t="str">
        <f t="array" ref="C220">IF(OR(G220="",G220="Selecciona.."),"",XLOOKUP(G220,Productos!$E:$E,Productos!$A:$A,"",0,1))</f>
        <v/>
      </c>
      <c r="D220" s="14" t="str">
        <f t="shared" si="2"/>
        <v/>
      </c>
      <c r="E220" s="14"/>
      <c r="F220" s="15" t="str">
        <f t="shared" si="4"/>
        <v/>
      </c>
      <c r="G220" s="15" t="str">
        <f t="shared" ref="G220:H220" si="217">IF(OR(F220="",F220="Selecciona.."),"","Selecciona..")</f>
        <v/>
      </c>
      <c r="H220" s="13" t="str">
        <f t="shared" si="217"/>
        <v/>
      </c>
    </row>
    <row r="221">
      <c r="A221" s="14" t="str">
        <f t="shared" si="1"/>
        <v/>
      </c>
      <c r="B221" s="14" t="str">
        <f t="array" ref="B221">IF(OR(F221="",F221="Selecciona.."),"",XLOOKUP(F221,Productos!E:E,Productos!A:A,"",0,1))</f>
        <v/>
      </c>
      <c r="C221" s="14" t="str">
        <f t="array" ref="C221">IF(OR(G221="",G221="Selecciona.."),"",XLOOKUP(G221,Productos!$E:$E,Productos!$A:$A,"",0,1))</f>
        <v/>
      </c>
      <c r="D221" s="14" t="str">
        <f t="shared" si="2"/>
        <v/>
      </c>
      <c r="E221" s="14"/>
      <c r="F221" s="15" t="str">
        <f t="shared" si="4"/>
        <v/>
      </c>
      <c r="G221" s="15" t="str">
        <f t="shared" ref="G221:H221" si="218">IF(OR(F221="",F221="Selecciona.."),"","Selecciona..")</f>
        <v/>
      </c>
      <c r="H221" s="13" t="str">
        <f t="shared" si="218"/>
        <v/>
      </c>
    </row>
    <row r="222">
      <c r="A222" s="14" t="str">
        <f t="shared" si="1"/>
        <v/>
      </c>
      <c r="B222" s="14" t="str">
        <f t="array" ref="B222">IF(OR(F222="",F222="Selecciona.."),"",XLOOKUP(F222,Productos!E:E,Productos!A:A,"",0,1))</f>
        <v/>
      </c>
      <c r="C222" s="14" t="str">
        <f t="array" ref="C222">IF(OR(G222="",G222="Selecciona.."),"",XLOOKUP(G222,Productos!$E:$E,Productos!$A:$A,"",0,1))</f>
        <v/>
      </c>
      <c r="D222" s="14" t="str">
        <f t="shared" si="2"/>
        <v/>
      </c>
      <c r="E222" s="14"/>
      <c r="F222" s="15" t="str">
        <f t="shared" si="4"/>
        <v/>
      </c>
      <c r="G222" s="15" t="str">
        <f t="shared" ref="G222:H222" si="219">IF(OR(F222="",F222="Selecciona.."),"","Selecciona..")</f>
        <v/>
      </c>
      <c r="H222" s="13" t="str">
        <f t="shared" si="219"/>
        <v/>
      </c>
    </row>
    <row r="223">
      <c r="A223" s="14" t="str">
        <f t="shared" si="1"/>
        <v/>
      </c>
      <c r="B223" s="14" t="str">
        <f t="array" ref="B223">IF(OR(F223="",F223="Selecciona.."),"",XLOOKUP(F223,Productos!E:E,Productos!A:A,"",0,1))</f>
        <v/>
      </c>
      <c r="C223" s="14" t="str">
        <f t="array" ref="C223">IF(OR(G223="",G223="Selecciona.."),"",XLOOKUP(G223,Productos!$E:$E,Productos!$A:$A,"",0,1))</f>
        <v/>
      </c>
      <c r="D223" s="14" t="str">
        <f t="shared" si="2"/>
        <v/>
      </c>
      <c r="E223" s="14"/>
      <c r="F223" s="15" t="str">
        <f t="shared" si="4"/>
        <v/>
      </c>
      <c r="G223" s="15" t="str">
        <f t="shared" ref="G223:H223" si="220">IF(OR(F223="",F223="Selecciona.."),"","Selecciona..")</f>
        <v/>
      </c>
      <c r="H223" s="13" t="str">
        <f t="shared" si="220"/>
        <v/>
      </c>
    </row>
    <row r="224">
      <c r="A224" s="14" t="str">
        <f t="shared" si="1"/>
        <v/>
      </c>
      <c r="B224" s="14" t="str">
        <f t="array" ref="B224">IF(OR(F224="",F224="Selecciona.."),"",XLOOKUP(F224,Productos!E:E,Productos!A:A,"",0,1))</f>
        <v/>
      </c>
      <c r="C224" s="14" t="str">
        <f t="array" ref="C224">IF(OR(G224="",G224="Selecciona.."),"",XLOOKUP(G224,Productos!$E:$E,Productos!$A:$A,"",0,1))</f>
        <v/>
      </c>
      <c r="D224" s="14" t="str">
        <f t="shared" si="2"/>
        <v/>
      </c>
      <c r="E224" s="14"/>
      <c r="F224" s="15" t="str">
        <f t="shared" si="4"/>
        <v/>
      </c>
      <c r="G224" s="15" t="str">
        <f t="shared" ref="G224:H224" si="221">IF(OR(F224="",F224="Selecciona.."),"","Selecciona..")</f>
        <v/>
      </c>
      <c r="H224" s="13" t="str">
        <f t="shared" si="221"/>
        <v/>
      </c>
    </row>
    <row r="225">
      <c r="A225" s="14" t="str">
        <f t="shared" si="1"/>
        <v/>
      </c>
      <c r="B225" s="14" t="str">
        <f t="array" ref="B225">IF(OR(F225="",F225="Selecciona.."),"",XLOOKUP(F225,Productos!E:E,Productos!A:A,"",0,1))</f>
        <v/>
      </c>
      <c r="C225" s="14" t="str">
        <f t="array" ref="C225">IF(OR(G225="",G225="Selecciona.."),"",XLOOKUP(G225,Productos!$E:$E,Productos!$A:$A,"",0,1))</f>
        <v/>
      </c>
      <c r="D225" s="14" t="str">
        <f t="shared" si="2"/>
        <v/>
      </c>
      <c r="E225" s="14"/>
      <c r="F225" s="15" t="str">
        <f t="shared" si="4"/>
        <v/>
      </c>
      <c r="G225" s="15" t="str">
        <f t="shared" ref="G225:H225" si="222">IF(OR(F225="",F225="Selecciona.."),"","Selecciona..")</f>
        <v/>
      </c>
      <c r="H225" s="13" t="str">
        <f t="shared" si="222"/>
        <v/>
      </c>
    </row>
    <row r="226">
      <c r="A226" s="14" t="str">
        <f t="shared" si="1"/>
        <v/>
      </c>
      <c r="B226" s="14" t="str">
        <f t="array" ref="B226">IF(OR(F226="",F226="Selecciona.."),"",XLOOKUP(F226,Productos!E:E,Productos!A:A,"",0,1))</f>
        <v/>
      </c>
      <c r="C226" s="14" t="str">
        <f t="array" ref="C226">IF(OR(G226="",G226="Selecciona.."),"",XLOOKUP(G226,Productos!$E:$E,Productos!$A:$A,"",0,1))</f>
        <v/>
      </c>
      <c r="D226" s="14" t="str">
        <f t="shared" si="2"/>
        <v/>
      </c>
      <c r="E226" s="14"/>
      <c r="F226" s="15" t="str">
        <f t="shared" si="4"/>
        <v/>
      </c>
      <c r="G226" s="15" t="str">
        <f t="shared" ref="G226:H226" si="223">IF(OR(F226="",F226="Selecciona.."),"","Selecciona..")</f>
        <v/>
      </c>
      <c r="H226" s="13" t="str">
        <f t="shared" si="223"/>
        <v/>
      </c>
    </row>
    <row r="227">
      <c r="A227" s="14" t="str">
        <f t="shared" si="1"/>
        <v/>
      </c>
      <c r="B227" s="14" t="str">
        <f t="array" ref="B227">IF(OR(F227="",F227="Selecciona.."),"",XLOOKUP(F227,Productos!E:E,Productos!A:A,"",0,1))</f>
        <v/>
      </c>
      <c r="C227" s="14" t="str">
        <f t="array" ref="C227">IF(OR(G227="",G227="Selecciona.."),"",XLOOKUP(G227,Productos!$E:$E,Productos!$A:$A,"",0,1))</f>
        <v/>
      </c>
      <c r="D227" s="14" t="str">
        <f t="shared" si="2"/>
        <v/>
      </c>
      <c r="E227" s="14"/>
      <c r="F227" s="15" t="str">
        <f t="shared" si="4"/>
        <v/>
      </c>
      <c r="G227" s="15" t="str">
        <f t="shared" ref="G227:H227" si="224">IF(OR(F227="",F227="Selecciona.."),"","Selecciona..")</f>
        <v/>
      </c>
      <c r="H227" s="13" t="str">
        <f t="shared" si="224"/>
        <v/>
      </c>
    </row>
    <row r="228">
      <c r="A228" s="14" t="str">
        <f t="shared" si="1"/>
        <v/>
      </c>
      <c r="B228" s="14" t="str">
        <f t="array" ref="B228">IF(OR(F228="",F228="Selecciona.."),"",XLOOKUP(F228,Productos!E:E,Productos!A:A,"",0,1))</f>
        <v/>
      </c>
      <c r="C228" s="14" t="str">
        <f t="array" ref="C228">IF(OR(G228="",G228="Selecciona.."),"",XLOOKUP(G228,Productos!$E:$E,Productos!$A:$A,"",0,1))</f>
        <v/>
      </c>
      <c r="D228" s="14" t="str">
        <f t="shared" si="2"/>
        <v/>
      </c>
      <c r="E228" s="14"/>
      <c r="F228" s="15" t="str">
        <f t="shared" si="4"/>
        <v/>
      </c>
      <c r="G228" s="15" t="str">
        <f t="shared" ref="G228:H228" si="225">IF(OR(F228="",F228="Selecciona.."),"","Selecciona..")</f>
        <v/>
      </c>
      <c r="H228" s="13" t="str">
        <f t="shared" si="225"/>
        <v/>
      </c>
    </row>
    <row r="229">
      <c r="A229" s="14" t="str">
        <f t="shared" si="1"/>
        <v/>
      </c>
      <c r="B229" s="14" t="str">
        <f t="array" ref="B229">IF(OR(F229="",F229="Selecciona.."),"",XLOOKUP(F229,Productos!E:E,Productos!A:A,"",0,1))</f>
        <v/>
      </c>
      <c r="C229" s="14" t="str">
        <f t="array" ref="C229">IF(OR(G229="",G229="Selecciona.."),"",XLOOKUP(G229,Productos!$E:$E,Productos!$A:$A,"",0,1))</f>
        <v/>
      </c>
      <c r="D229" s="14" t="str">
        <f t="shared" si="2"/>
        <v/>
      </c>
      <c r="E229" s="14"/>
      <c r="F229" s="15" t="str">
        <f t="shared" si="4"/>
        <v/>
      </c>
      <c r="G229" s="15" t="str">
        <f t="shared" ref="G229:H229" si="226">IF(OR(F229="",F229="Selecciona.."),"","Selecciona..")</f>
        <v/>
      </c>
      <c r="H229" s="13" t="str">
        <f t="shared" si="226"/>
        <v/>
      </c>
    </row>
    <row r="230">
      <c r="A230" s="14" t="str">
        <f t="shared" si="1"/>
        <v/>
      </c>
      <c r="B230" s="14" t="str">
        <f t="array" ref="B230">IF(OR(F230="",F230="Selecciona.."),"",XLOOKUP(F230,Productos!E:E,Productos!A:A,"",0,1))</f>
        <v/>
      </c>
      <c r="C230" s="14" t="str">
        <f t="array" ref="C230">IF(OR(G230="",G230="Selecciona.."),"",XLOOKUP(G230,Productos!$E:$E,Productos!$A:$A,"",0,1))</f>
        <v/>
      </c>
      <c r="D230" s="14" t="str">
        <f t="shared" si="2"/>
        <v/>
      </c>
      <c r="E230" s="14"/>
      <c r="F230" s="15" t="str">
        <f t="shared" si="4"/>
        <v/>
      </c>
      <c r="G230" s="15" t="str">
        <f t="shared" ref="G230:H230" si="227">IF(OR(F230="",F230="Selecciona.."),"","Selecciona..")</f>
        <v/>
      </c>
      <c r="H230" s="13" t="str">
        <f t="shared" si="227"/>
        <v/>
      </c>
    </row>
    <row r="231">
      <c r="A231" s="14" t="str">
        <f t="shared" si="1"/>
        <v/>
      </c>
      <c r="B231" s="14" t="str">
        <f t="array" ref="B231">IF(OR(F231="",F231="Selecciona.."),"",XLOOKUP(F231,Productos!E:E,Productos!A:A,"",0,1))</f>
        <v/>
      </c>
      <c r="C231" s="14" t="str">
        <f t="array" ref="C231">IF(OR(G231="",G231="Selecciona.."),"",XLOOKUP(G231,Productos!$E:$E,Productos!$A:$A,"",0,1))</f>
        <v/>
      </c>
      <c r="D231" s="14" t="str">
        <f t="shared" si="2"/>
        <v/>
      </c>
      <c r="E231" s="14"/>
      <c r="F231" s="15" t="str">
        <f t="shared" si="4"/>
        <v/>
      </c>
      <c r="G231" s="15" t="str">
        <f t="shared" ref="G231:H231" si="228">IF(OR(F231="",F231="Selecciona.."),"","Selecciona..")</f>
        <v/>
      </c>
      <c r="H231" s="13" t="str">
        <f t="shared" si="228"/>
        <v/>
      </c>
    </row>
    <row r="232">
      <c r="A232" s="14" t="str">
        <f t="shared" si="1"/>
        <v/>
      </c>
      <c r="B232" s="14" t="str">
        <f t="array" ref="B232">IF(OR(F232="",F232="Selecciona.."),"",XLOOKUP(F232,Productos!E:E,Productos!A:A,"",0,1))</f>
        <v/>
      </c>
      <c r="C232" s="14" t="str">
        <f t="array" ref="C232">IF(OR(G232="",G232="Selecciona.."),"",XLOOKUP(G232,Productos!$E:$E,Productos!$A:$A,"",0,1))</f>
        <v/>
      </c>
      <c r="D232" s="14" t="str">
        <f t="shared" si="2"/>
        <v/>
      </c>
      <c r="E232" s="14"/>
      <c r="F232" s="15" t="str">
        <f t="shared" si="4"/>
        <v/>
      </c>
      <c r="G232" s="15" t="str">
        <f t="shared" ref="G232:H232" si="229">IF(OR(F232="",F232="Selecciona.."),"","Selecciona..")</f>
        <v/>
      </c>
      <c r="H232" s="13" t="str">
        <f t="shared" si="229"/>
        <v/>
      </c>
    </row>
    <row r="233">
      <c r="A233" s="14" t="str">
        <f t="shared" si="1"/>
        <v/>
      </c>
      <c r="B233" s="14" t="str">
        <f t="array" ref="B233">IF(OR(F233="",F233="Selecciona.."),"",XLOOKUP(F233,Productos!E:E,Productos!A:A,"",0,1))</f>
        <v/>
      </c>
      <c r="C233" s="14" t="str">
        <f t="array" ref="C233">IF(OR(G233="",G233="Selecciona.."),"",XLOOKUP(G233,Productos!$E:$E,Productos!$A:$A,"",0,1))</f>
        <v/>
      </c>
      <c r="D233" s="14" t="str">
        <f t="shared" si="2"/>
        <v/>
      </c>
      <c r="E233" s="14"/>
      <c r="F233" s="15" t="str">
        <f t="shared" si="4"/>
        <v/>
      </c>
      <c r="G233" s="15" t="str">
        <f t="shared" ref="G233:H233" si="230">IF(OR(F233="",F233="Selecciona.."),"","Selecciona..")</f>
        <v/>
      </c>
      <c r="H233" s="13" t="str">
        <f t="shared" si="230"/>
        <v/>
      </c>
    </row>
    <row r="234">
      <c r="A234" s="14" t="str">
        <f t="shared" si="1"/>
        <v/>
      </c>
      <c r="B234" s="14" t="str">
        <f t="array" ref="B234">IF(OR(F234="",F234="Selecciona.."),"",XLOOKUP(F234,Productos!E:E,Productos!A:A,"",0,1))</f>
        <v/>
      </c>
      <c r="C234" s="14" t="str">
        <f t="array" ref="C234">IF(OR(G234="",G234="Selecciona.."),"",XLOOKUP(G234,Productos!$E:$E,Productos!$A:$A,"",0,1))</f>
        <v/>
      </c>
      <c r="D234" s="14" t="str">
        <f t="shared" si="2"/>
        <v/>
      </c>
      <c r="E234" s="14"/>
      <c r="F234" s="15" t="str">
        <f t="shared" si="4"/>
        <v/>
      </c>
      <c r="G234" s="15" t="str">
        <f t="shared" ref="G234:H234" si="231">IF(OR(F234="",F234="Selecciona.."),"","Selecciona..")</f>
        <v/>
      </c>
      <c r="H234" s="13" t="str">
        <f t="shared" si="231"/>
        <v/>
      </c>
    </row>
    <row r="235">
      <c r="A235" s="14" t="str">
        <f t="shared" si="1"/>
        <v/>
      </c>
      <c r="B235" s="14" t="str">
        <f t="array" ref="B235">IF(OR(F235="",F235="Selecciona.."),"",XLOOKUP(F235,Productos!E:E,Productos!A:A,"",0,1))</f>
        <v/>
      </c>
      <c r="C235" s="14" t="str">
        <f t="array" ref="C235">IF(OR(G235="",G235="Selecciona.."),"",XLOOKUP(G235,Productos!$E:$E,Productos!$A:$A,"",0,1))</f>
        <v/>
      </c>
      <c r="D235" s="14" t="str">
        <f t="shared" si="2"/>
        <v/>
      </c>
      <c r="E235" s="14"/>
      <c r="F235" s="15" t="str">
        <f t="shared" si="4"/>
        <v/>
      </c>
      <c r="G235" s="15" t="str">
        <f t="shared" ref="G235:H235" si="232">IF(OR(F235="",F235="Selecciona.."),"","Selecciona..")</f>
        <v/>
      </c>
      <c r="H235" s="13" t="str">
        <f t="shared" si="232"/>
        <v/>
      </c>
    </row>
    <row r="236">
      <c r="A236" s="14" t="str">
        <f t="shared" si="1"/>
        <v/>
      </c>
      <c r="B236" s="14" t="str">
        <f t="array" ref="B236">IF(OR(F236="",F236="Selecciona.."),"",XLOOKUP(F236,Productos!E:E,Productos!A:A,"",0,1))</f>
        <v/>
      </c>
      <c r="C236" s="14" t="str">
        <f t="array" ref="C236">IF(OR(G236="",G236="Selecciona.."),"",XLOOKUP(G236,Productos!$E:$E,Productos!$A:$A,"",0,1))</f>
        <v/>
      </c>
      <c r="D236" s="14" t="str">
        <f t="shared" si="2"/>
        <v/>
      </c>
      <c r="E236" s="14"/>
      <c r="F236" s="15" t="str">
        <f t="shared" si="4"/>
        <v/>
      </c>
      <c r="G236" s="15" t="str">
        <f t="shared" ref="G236:H236" si="233">IF(OR(F236="",F236="Selecciona.."),"","Selecciona..")</f>
        <v/>
      </c>
      <c r="H236" s="13" t="str">
        <f t="shared" si="233"/>
        <v/>
      </c>
    </row>
    <row r="237">
      <c r="A237" s="14" t="str">
        <f t="shared" si="1"/>
        <v/>
      </c>
      <c r="B237" s="14" t="str">
        <f t="array" ref="B237">IF(OR(F237="",F237="Selecciona.."),"",XLOOKUP(F237,Productos!E:E,Productos!A:A,"",0,1))</f>
        <v/>
      </c>
      <c r="C237" s="14" t="str">
        <f t="array" ref="C237">IF(OR(G237="",G237="Selecciona.."),"",XLOOKUP(G237,Productos!$E:$E,Productos!$A:$A,"",0,1))</f>
        <v/>
      </c>
      <c r="D237" s="14" t="str">
        <f t="shared" si="2"/>
        <v/>
      </c>
      <c r="E237" s="14"/>
      <c r="F237" s="15" t="str">
        <f t="shared" si="4"/>
        <v/>
      </c>
      <c r="G237" s="15" t="str">
        <f t="shared" ref="G237:H237" si="234">IF(OR(F237="",F237="Selecciona.."),"","Selecciona..")</f>
        <v/>
      </c>
      <c r="H237" s="13" t="str">
        <f t="shared" si="234"/>
        <v/>
      </c>
    </row>
    <row r="238">
      <c r="A238" s="14" t="str">
        <f t="shared" si="1"/>
        <v/>
      </c>
      <c r="B238" s="14" t="str">
        <f t="array" ref="B238">IF(OR(F238="",F238="Selecciona.."),"",XLOOKUP(F238,Productos!E:E,Productos!A:A,"",0,1))</f>
        <v/>
      </c>
      <c r="C238" s="14" t="str">
        <f t="array" ref="C238">IF(OR(G238="",G238="Selecciona.."),"",XLOOKUP(G238,Productos!$E:$E,Productos!$A:$A,"",0,1))</f>
        <v/>
      </c>
      <c r="D238" s="14" t="str">
        <f t="shared" si="2"/>
        <v/>
      </c>
      <c r="E238" s="14"/>
      <c r="F238" s="15" t="str">
        <f t="shared" si="4"/>
        <v/>
      </c>
      <c r="G238" s="15" t="str">
        <f t="shared" ref="G238:H238" si="235">IF(OR(F238="",F238="Selecciona.."),"","Selecciona..")</f>
        <v/>
      </c>
      <c r="H238" s="13" t="str">
        <f t="shared" si="235"/>
        <v/>
      </c>
    </row>
    <row r="239">
      <c r="A239" s="14" t="str">
        <f t="shared" si="1"/>
        <v/>
      </c>
      <c r="B239" s="14" t="str">
        <f t="array" ref="B239">IF(OR(F239="",F239="Selecciona.."),"",XLOOKUP(F239,Productos!E:E,Productos!A:A,"",0,1))</f>
        <v/>
      </c>
      <c r="C239" s="14" t="str">
        <f t="array" ref="C239">IF(OR(G239="",G239="Selecciona.."),"",XLOOKUP(G239,Productos!$E:$E,Productos!$A:$A,"",0,1))</f>
        <v/>
      </c>
      <c r="D239" s="14" t="str">
        <f t="shared" si="2"/>
        <v/>
      </c>
      <c r="E239" s="14"/>
      <c r="F239" s="15" t="str">
        <f t="shared" si="4"/>
        <v/>
      </c>
      <c r="G239" s="15" t="str">
        <f t="shared" ref="G239:H239" si="236">IF(OR(F239="",F239="Selecciona.."),"","Selecciona..")</f>
        <v/>
      </c>
      <c r="H239" s="13" t="str">
        <f t="shared" si="236"/>
        <v/>
      </c>
    </row>
    <row r="240">
      <c r="A240" s="14" t="str">
        <f t="shared" si="1"/>
        <v/>
      </c>
      <c r="B240" s="14" t="str">
        <f t="array" ref="B240">IF(OR(F240="",F240="Selecciona.."),"",XLOOKUP(F240,Productos!E:E,Productos!A:A,"",0,1))</f>
        <v/>
      </c>
      <c r="C240" s="14" t="str">
        <f t="array" ref="C240">IF(OR(G240="",G240="Selecciona.."),"",XLOOKUP(G240,Productos!$E:$E,Productos!$A:$A,"",0,1))</f>
        <v/>
      </c>
      <c r="D240" s="14" t="str">
        <f t="shared" si="2"/>
        <v/>
      </c>
      <c r="E240" s="14"/>
      <c r="F240" s="15" t="str">
        <f t="shared" si="4"/>
        <v/>
      </c>
      <c r="G240" s="15" t="str">
        <f t="shared" ref="G240:H240" si="237">IF(OR(F240="",F240="Selecciona.."),"","Selecciona..")</f>
        <v/>
      </c>
      <c r="H240" s="13" t="str">
        <f t="shared" si="237"/>
        <v/>
      </c>
    </row>
    <row r="241">
      <c r="A241" s="14" t="str">
        <f t="shared" si="1"/>
        <v/>
      </c>
      <c r="B241" s="14" t="str">
        <f t="array" ref="B241">IF(OR(F241="",F241="Selecciona.."),"",XLOOKUP(F241,Productos!E:E,Productos!A:A,"",0,1))</f>
        <v/>
      </c>
      <c r="C241" s="14" t="str">
        <f t="array" ref="C241">IF(OR(G241="",G241="Selecciona.."),"",XLOOKUP(G241,Productos!$E:$E,Productos!$A:$A,"",0,1))</f>
        <v/>
      </c>
      <c r="D241" s="14" t="str">
        <f t="shared" si="2"/>
        <v/>
      </c>
      <c r="E241" s="14"/>
      <c r="F241" s="15" t="str">
        <f t="shared" si="4"/>
        <v/>
      </c>
      <c r="G241" s="15" t="str">
        <f t="shared" ref="G241:H241" si="238">IF(OR(F241="",F241="Selecciona.."),"","Selecciona..")</f>
        <v/>
      </c>
      <c r="H241" s="13" t="str">
        <f t="shared" si="238"/>
        <v/>
      </c>
    </row>
    <row r="242">
      <c r="A242" s="14" t="str">
        <f t="shared" si="1"/>
        <v/>
      </c>
      <c r="B242" s="14" t="str">
        <f t="array" ref="B242">IF(OR(F242="",F242="Selecciona.."),"",XLOOKUP(F242,Productos!E:E,Productos!A:A,"",0,1))</f>
        <v/>
      </c>
      <c r="C242" s="14" t="str">
        <f t="array" ref="C242">IF(OR(G242="",G242="Selecciona.."),"",XLOOKUP(G242,Productos!$E:$E,Productos!$A:$A,"",0,1))</f>
        <v/>
      </c>
      <c r="D242" s="14" t="str">
        <f t="shared" si="2"/>
        <v/>
      </c>
      <c r="E242" s="14"/>
      <c r="F242" s="15" t="str">
        <f t="shared" si="4"/>
        <v/>
      </c>
      <c r="G242" s="15" t="str">
        <f t="shared" ref="G242:H242" si="239">IF(OR(F242="",F242="Selecciona.."),"","Selecciona..")</f>
        <v/>
      </c>
      <c r="H242" s="13" t="str">
        <f t="shared" si="239"/>
        <v/>
      </c>
    </row>
    <row r="243">
      <c r="A243" s="14" t="str">
        <f t="shared" si="1"/>
        <v/>
      </c>
      <c r="B243" s="14" t="str">
        <f t="array" ref="B243">IF(OR(F243="",F243="Selecciona.."),"",XLOOKUP(F243,Productos!E:E,Productos!A:A,"",0,1))</f>
        <v/>
      </c>
      <c r="C243" s="14" t="str">
        <f t="array" ref="C243">IF(OR(G243="",G243="Selecciona.."),"",XLOOKUP(G243,Productos!$E:$E,Productos!$A:$A,"",0,1))</f>
        <v/>
      </c>
      <c r="D243" s="14" t="str">
        <f t="shared" si="2"/>
        <v/>
      </c>
      <c r="E243" s="14"/>
      <c r="F243" s="15" t="str">
        <f t="shared" si="4"/>
        <v/>
      </c>
      <c r="G243" s="15" t="str">
        <f t="shared" ref="G243:H243" si="240">IF(OR(F243="",F243="Selecciona.."),"","Selecciona..")</f>
        <v/>
      </c>
      <c r="H243" s="13" t="str">
        <f t="shared" si="240"/>
        <v/>
      </c>
    </row>
    <row r="244">
      <c r="A244" s="14" t="str">
        <f t="shared" si="1"/>
        <v/>
      </c>
      <c r="B244" s="14" t="str">
        <f t="array" ref="B244">IF(OR(F244="",F244="Selecciona.."),"",XLOOKUP(F244,Productos!E:E,Productos!A:A,"",0,1))</f>
        <v/>
      </c>
      <c r="C244" s="14" t="str">
        <f t="array" ref="C244">IF(OR(G244="",G244="Selecciona.."),"",XLOOKUP(G244,Productos!$E:$E,Productos!$A:$A,"",0,1))</f>
        <v/>
      </c>
      <c r="D244" s="14" t="str">
        <f t="shared" si="2"/>
        <v/>
      </c>
      <c r="E244" s="14"/>
      <c r="F244" s="15" t="str">
        <f t="shared" si="4"/>
        <v/>
      </c>
      <c r="G244" s="15" t="str">
        <f t="shared" ref="G244:H244" si="241">IF(OR(F244="",F244="Selecciona.."),"","Selecciona..")</f>
        <v/>
      </c>
      <c r="H244" s="13" t="str">
        <f t="shared" si="241"/>
        <v/>
      </c>
    </row>
    <row r="245">
      <c r="A245" s="14" t="str">
        <f t="shared" si="1"/>
        <v/>
      </c>
      <c r="B245" s="14" t="str">
        <f t="array" ref="B245">IF(OR(F245="",F245="Selecciona.."),"",XLOOKUP(F245,Productos!E:E,Productos!A:A,"",0,1))</f>
        <v/>
      </c>
      <c r="C245" s="14" t="str">
        <f t="array" ref="C245">IF(OR(G245="",G245="Selecciona.."),"",XLOOKUP(G245,Productos!$E:$E,Productos!$A:$A,"",0,1))</f>
        <v/>
      </c>
      <c r="D245" s="14" t="str">
        <f t="shared" si="2"/>
        <v/>
      </c>
      <c r="E245" s="14"/>
      <c r="F245" s="15" t="str">
        <f t="shared" si="4"/>
        <v/>
      </c>
      <c r="G245" s="15" t="str">
        <f t="shared" ref="G245:H245" si="242">IF(OR(F245="",F245="Selecciona.."),"","Selecciona..")</f>
        <v/>
      </c>
      <c r="H245" s="13" t="str">
        <f t="shared" si="242"/>
        <v/>
      </c>
    </row>
    <row r="246">
      <c r="A246" s="14" t="str">
        <f t="shared" si="1"/>
        <v/>
      </c>
      <c r="B246" s="14" t="str">
        <f t="array" ref="B246">IF(OR(F246="",F246="Selecciona.."),"",XLOOKUP(F246,Productos!E:E,Productos!A:A,"",0,1))</f>
        <v/>
      </c>
      <c r="C246" s="14" t="str">
        <f t="array" ref="C246">IF(OR(G246="",G246="Selecciona.."),"",XLOOKUP(G246,Productos!$E:$E,Productos!$A:$A,"",0,1))</f>
        <v/>
      </c>
      <c r="D246" s="14" t="str">
        <f t="shared" si="2"/>
        <v/>
      </c>
      <c r="E246" s="14"/>
      <c r="F246" s="15" t="str">
        <f t="shared" si="4"/>
        <v/>
      </c>
      <c r="G246" s="15" t="str">
        <f t="shared" ref="G246:H246" si="243">IF(OR(F246="",F246="Selecciona.."),"","Selecciona..")</f>
        <v/>
      </c>
      <c r="H246" s="13" t="str">
        <f t="shared" si="243"/>
        <v/>
      </c>
    </row>
    <row r="247">
      <c r="A247" s="14" t="str">
        <f t="shared" si="1"/>
        <v/>
      </c>
      <c r="B247" s="14" t="str">
        <f t="array" ref="B247">IF(OR(F247="",F247="Selecciona.."),"",XLOOKUP(F247,Productos!E:E,Productos!A:A,"",0,1))</f>
        <v/>
      </c>
      <c r="C247" s="14" t="str">
        <f t="array" ref="C247">IF(OR(G247="",G247="Selecciona.."),"",XLOOKUP(G247,Productos!$E:$E,Productos!$A:$A,"",0,1))</f>
        <v/>
      </c>
      <c r="D247" s="14" t="str">
        <f t="shared" si="2"/>
        <v/>
      </c>
      <c r="E247" s="14"/>
      <c r="F247" s="15" t="str">
        <f t="shared" si="4"/>
        <v/>
      </c>
      <c r="G247" s="15" t="str">
        <f t="shared" ref="G247:H247" si="244">IF(OR(F247="",F247="Selecciona.."),"","Selecciona..")</f>
        <v/>
      </c>
      <c r="H247" s="13" t="str">
        <f t="shared" si="244"/>
        <v/>
      </c>
    </row>
    <row r="248">
      <c r="A248" s="14" t="str">
        <f t="shared" si="1"/>
        <v/>
      </c>
      <c r="B248" s="14" t="str">
        <f t="array" ref="B248">IF(OR(F248="",F248="Selecciona.."),"",XLOOKUP(F248,Productos!E:E,Productos!A:A,"",0,1))</f>
        <v/>
      </c>
      <c r="C248" s="14" t="str">
        <f t="array" ref="C248">IF(OR(G248="",G248="Selecciona.."),"",XLOOKUP(G248,Productos!$E:$E,Productos!$A:$A,"",0,1))</f>
        <v/>
      </c>
      <c r="D248" s="14" t="str">
        <f t="shared" si="2"/>
        <v/>
      </c>
      <c r="E248" s="14"/>
      <c r="F248" s="15" t="str">
        <f t="shared" si="4"/>
        <v/>
      </c>
      <c r="G248" s="15" t="str">
        <f t="shared" ref="G248:H248" si="245">IF(OR(F248="",F248="Selecciona.."),"","Selecciona..")</f>
        <v/>
      </c>
      <c r="H248" s="13" t="str">
        <f t="shared" si="245"/>
        <v/>
      </c>
    </row>
    <row r="249">
      <c r="A249" s="14" t="str">
        <f t="shared" si="1"/>
        <v/>
      </c>
      <c r="B249" s="14" t="str">
        <f t="array" ref="B249">IF(OR(F249="",F249="Selecciona.."),"",XLOOKUP(F249,Productos!E:E,Productos!A:A,"",0,1))</f>
        <v/>
      </c>
      <c r="C249" s="14" t="str">
        <f t="array" ref="C249">IF(OR(G249="",G249="Selecciona.."),"",XLOOKUP(G249,Productos!$E:$E,Productos!$A:$A,"",0,1))</f>
        <v/>
      </c>
      <c r="D249" s="14" t="str">
        <f t="shared" si="2"/>
        <v/>
      </c>
      <c r="E249" s="14"/>
      <c r="F249" s="15" t="str">
        <f t="shared" si="4"/>
        <v/>
      </c>
      <c r="G249" s="15" t="str">
        <f t="shared" ref="G249:H249" si="246">IF(OR(F249="",F249="Selecciona.."),"","Selecciona..")</f>
        <v/>
      </c>
      <c r="H249" s="13" t="str">
        <f t="shared" si="246"/>
        <v/>
      </c>
    </row>
    <row r="250">
      <c r="A250" s="14" t="str">
        <f t="shared" si="1"/>
        <v/>
      </c>
      <c r="B250" s="14" t="str">
        <f t="array" ref="B250">IF(OR(F250="",F250="Selecciona.."),"",XLOOKUP(F250,Productos!E:E,Productos!A:A,"",0,1))</f>
        <v/>
      </c>
      <c r="C250" s="14" t="str">
        <f t="array" ref="C250">IF(OR(G250="",G250="Selecciona.."),"",XLOOKUP(G250,Productos!$E:$E,Productos!$A:$A,"",0,1))</f>
        <v/>
      </c>
      <c r="D250" s="14" t="str">
        <f t="shared" si="2"/>
        <v/>
      </c>
      <c r="E250" s="14"/>
      <c r="F250" s="15" t="str">
        <f t="shared" si="4"/>
        <v/>
      </c>
      <c r="G250" s="15" t="str">
        <f t="shared" ref="G250:H250" si="247">IF(OR(F250="",F250="Selecciona.."),"","Selecciona..")</f>
        <v/>
      </c>
      <c r="H250" s="13" t="str">
        <f t="shared" si="247"/>
        <v/>
      </c>
    </row>
    <row r="251">
      <c r="A251" s="14" t="str">
        <f t="shared" si="1"/>
        <v/>
      </c>
      <c r="B251" s="14" t="str">
        <f t="array" ref="B251">IF(OR(F251="",F251="Selecciona.."),"",XLOOKUP(F251,Productos!E:E,Productos!A:A,"",0,1))</f>
        <v/>
      </c>
      <c r="C251" s="14" t="str">
        <f t="array" ref="C251">IF(OR(G251="",G251="Selecciona.."),"",XLOOKUP(G251,Productos!$E:$E,Productos!$A:$A,"",0,1))</f>
        <v/>
      </c>
      <c r="D251" s="14" t="str">
        <f t="shared" si="2"/>
        <v/>
      </c>
      <c r="E251" s="14"/>
      <c r="F251" s="15" t="str">
        <f t="shared" si="4"/>
        <v/>
      </c>
      <c r="G251" s="15" t="str">
        <f t="shared" ref="G251:H251" si="248">IF(OR(F251="",F251="Selecciona.."),"","Selecciona..")</f>
        <v/>
      </c>
      <c r="H251" s="13" t="str">
        <f t="shared" si="248"/>
        <v/>
      </c>
    </row>
    <row r="252">
      <c r="A252" s="14" t="str">
        <f t="shared" si="1"/>
        <v/>
      </c>
      <c r="B252" s="14" t="str">
        <f t="array" ref="B252">IF(OR(F252="",F252="Selecciona.."),"",XLOOKUP(F252,Productos!E:E,Productos!A:A,"",0,1))</f>
        <v/>
      </c>
      <c r="C252" s="14" t="str">
        <f t="array" ref="C252">IF(OR(G252="",G252="Selecciona.."),"",XLOOKUP(G252,Productos!$E:$E,Productos!$A:$A,"",0,1))</f>
        <v/>
      </c>
      <c r="D252" s="14" t="str">
        <f t="shared" si="2"/>
        <v/>
      </c>
      <c r="E252" s="14"/>
      <c r="F252" s="15" t="str">
        <f t="shared" si="4"/>
        <v/>
      </c>
      <c r="G252" s="15" t="str">
        <f t="shared" ref="G252:H252" si="249">IF(OR(F252="",F252="Selecciona.."),"","Selecciona..")</f>
        <v/>
      </c>
      <c r="H252" s="13" t="str">
        <f t="shared" si="249"/>
        <v/>
      </c>
    </row>
    <row r="253">
      <c r="A253" s="14" t="str">
        <f t="shared" si="1"/>
        <v/>
      </c>
      <c r="B253" s="14" t="str">
        <f t="array" ref="B253">IF(OR(F253="",F253="Selecciona.."),"",XLOOKUP(F253,Productos!E:E,Productos!A:A,"",0,1))</f>
        <v/>
      </c>
      <c r="C253" s="14" t="str">
        <f t="array" ref="C253">IF(OR(G253="",G253="Selecciona.."),"",XLOOKUP(G253,Productos!$E:$E,Productos!$A:$A,"",0,1))</f>
        <v/>
      </c>
      <c r="D253" s="14" t="str">
        <f t="shared" si="2"/>
        <v/>
      </c>
      <c r="E253" s="14"/>
      <c r="F253" s="15" t="str">
        <f t="shared" si="4"/>
        <v/>
      </c>
      <c r="G253" s="15" t="str">
        <f t="shared" ref="G253:H253" si="250">IF(OR(F253="",F253="Selecciona.."),"","Selecciona..")</f>
        <v/>
      </c>
      <c r="H253" s="13" t="str">
        <f t="shared" si="250"/>
        <v/>
      </c>
    </row>
    <row r="254">
      <c r="A254" s="14" t="str">
        <f t="shared" si="1"/>
        <v/>
      </c>
      <c r="B254" s="14" t="str">
        <f t="array" ref="B254">IF(OR(F254="",F254="Selecciona.."),"",XLOOKUP(F254,Productos!E:E,Productos!A:A,"",0,1))</f>
        <v/>
      </c>
      <c r="C254" s="14" t="str">
        <f t="array" ref="C254">IF(OR(G254="",G254="Selecciona.."),"",XLOOKUP(G254,Productos!$E:$E,Productos!$A:$A,"",0,1))</f>
        <v/>
      </c>
      <c r="D254" s="14" t="str">
        <f t="shared" si="2"/>
        <v/>
      </c>
      <c r="E254" s="14"/>
      <c r="F254" s="15" t="str">
        <f t="shared" si="4"/>
        <v/>
      </c>
      <c r="G254" s="15" t="str">
        <f t="shared" ref="G254:H254" si="251">IF(OR(F254="",F254="Selecciona.."),"","Selecciona..")</f>
        <v/>
      </c>
      <c r="H254" s="13" t="str">
        <f t="shared" si="251"/>
        <v/>
      </c>
    </row>
    <row r="255">
      <c r="A255" s="14" t="str">
        <f t="shared" si="1"/>
        <v/>
      </c>
      <c r="B255" s="14" t="str">
        <f t="array" ref="B255">IF(OR(F255="",F255="Selecciona.."),"",XLOOKUP(F255,Productos!E:E,Productos!A:A,"",0,1))</f>
        <v/>
      </c>
      <c r="C255" s="14" t="str">
        <f t="array" ref="C255">IF(OR(G255="",G255="Selecciona.."),"",XLOOKUP(G255,Productos!$E:$E,Productos!$A:$A,"",0,1))</f>
        <v/>
      </c>
      <c r="D255" s="14" t="str">
        <f t="shared" si="2"/>
        <v/>
      </c>
      <c r="E255" s="14"/>
      <c r="F255" s="15" t="str">
        <f t="shared" si="4"/>
        <v/>
      </c>
      <c r="G255" s="15" t="str">
        <f t="shared" ref="G255:H255" si="252">IF(OR(F255="",F255="Selecciona.."),"","Selecciona..")</f>
        <v/>
      </c>
      <c r="H255" s="13" t="str">
        <f t="shared" si="252"/>
        <v/>
      </c>
    </row>
    <row r="256">
      <c r="A256" s="14" t="str">
        <f t="shared" si="1"/>
        <v/>
      </c>
      <c r="B256" s="14" t="str">
        <f t="array" ref="B256">IF(OR(F256="",F256="Selecciona.."),"",XLOOKUP(F256,Productos!E:E,Productos!A:A,"",0,1))</f>
        <v/>
      </c>
      <c r="C256" s="14" t="str">
        <f t="array" ref="C256">IF(OR(G256="",G256="Selecciona.."),"",XLOOKUP(G256,Productos!$E:$E,Productos!$A:$A,"",0,1))</f>
        <v/>
      </c>
      <c r="D256" s="14" t="str">
        <f t="shared" si="2"/>
        <v/>
      </c>
      <c r="E256" s="14"/>
      <c r="F256" s="15" t="str">
        <f t="shared" si="4"/>
        <v/>
      </c>
      <c r="G256" s="15" t="str">
        <f t="shared" ref="G256:H256" si="253">IF(OR(F256="",F256="Selecciona.."),"","Selecciona..")</f>
        <v/>
      </c>
      <c r="H256" s="13" t="str">
        <f t="shared" si="253"/>
        <v/>
      </c>
    </row>
    <row r="257">
      <c r="A257" s="14" t="str">
        <f t="shared" si="1"/>
        <v/>
      </c>
      <c r="B257" s="14" t="str">
        <f t="array" ref="B257">IF(OR(F257="",F257="Selecciona.."),"",XLOOKUP(F257,Productos!E:E,Productos!A:A,"",0,1))</f>
        <v/>
      </c>
      <c r="C257" s="14" t="str">
        <f t="array" ref="C257">IF(OR(G257="",G257="Selecciona.."),"",XLOOKUP(G257,Productos!$E:$E,Productos!$A:$A,"",0,1))</f>
        <v/>
      </c>
      <c r="D257" s="14" t="str">
        <f t="shared" si="2"/>
        <v/>
      </c>
      <c r="E257" s="14"/>
      <c r="F257" s="15" t="str">
        <f t="shared" si="4"/>
        <v/>
      </c>
      <c r="G257" s="15" t="str">
        <f t="shared" ref="G257:H257" si="254">IF(OR(F257="",F257="Selecciona.."),"","Selecciona..")</f>
        <v/>
      </c>
      <c r="H257" s="13" t="str">
        <f t="shared" si="254"/>
        <v/>
      </c>
    </row>
    <row r="258">
      <c r="A258" s="14" t="str">
        <f t="shared" si="1"/>
        <v/>
      </c>
      <c r="B258" s="14" t="str">
        <f t="array" ref="B258">IF(OR(F258="",F258="Selecciona.."),"",XLOOKUP(F258,Productos!E:E,Productos!A:A,"",0,1))</f>
        <v/>
      </c>
      <c r="C258" s="14" t="str">
        <f t="array" ref="C258">IF(OR(G258="",G258="Selecciona.."),"",XLOOKUP(G258,Productos!$E:$E,Productos!$A:$A,"",0,1))</f>
        <v/>
      </c>
      <c r="D258" s="14" t="str">
        <f t="shared" si="2"/>
        <v/>
      </c>
      <c r="E258" s="14"/>
      <c r="F258" s="15" t="str">
        <f t="shared" si="4"/>
        <v/>
      </c>
      <c r="G258" s="15" t="str">
        <f t="shared" ref="G258:H258" si="255">IF(OR(F258="",F258="Selecciona.."),"","Selecciona..")</f>
        <v/>
      </c>
      <c r="H258" s="13" t="str">
        <f t="shared" si="255"/>
        <v/>
      </c>
    </row>
    <row r="259">
      <c r="A259" s="14" t="str">
        <f t="shared" si="1"/>
        <v/>
      </c>
      <c r="B259" s="14" t="str">
        <f t="array" ref="B259">IF(OR(F259="",F259="Selecciona.."),"",XLOOKUP(F259,Productos!E:E,Productos!A:A,"",0,1))</f>
        <v/>
      </c>
      <c r="C259" s="14" t="str">
        <f t="array" ref="C259">IF(OR(G259="",G259="Selecciona.."),"",XLOOKUP(G259,Productos!$E:$E,Productos!$A:$A,"",0,1))</f>
        <v/>
      </c>
      <c r="D259" s="14" t="str">
        <f t="shared" si="2"/>
        <v/>
      </c>
      <c r="E259" s="14"/>
      <c r="F259" s="15" t="str">
        <f t="shared" si="4"/>
        <v/>
      </c>
      <c r="G259" s="15" t="str">
        <f t="shared" ref="G259:H259" si="256">IF(OR(F259="",F259="Selecciona.."),"","Selecciona..")</f>
        <v/>
      </c>
      <c r="H259" s="13" t="str">
        <f t="shared" si="256"/>
        <v/>
      </c>
    </row>
    <row r="260">
      <c r="A260" s="14" t="str">
        <f t="shared" si="1"/>
        <v/>
      </c>
      <c r="B260" s="14" t="str">
        <f t="array" ref="B260">IF(OR(F260="",F260="Selecciona.."),"",XLOOKUP(F260,Productos!E:E,Productos!A:A,"",0,1))</f>
        <v/>
      </c>
      <c r="C260" s="14" t="str">
        <f t="array" ref="C260">IF(OR(G260="",G260="Selecciona.."),"",XLOOKUP(G260,Productos!$E:$E,Productos!$A:$A,"",0,1))</f>
        <v/>
      </c>
      <c r="D260" s="14" t="str">
        <f t="shared" si="2"/>
        <v/>
      </c>
      <c r="E260" s="14"/>
      <c r="F260" s="15" t="str">
        <f t="shared" si="4"/>
        <v/>
      </c>
      <c r="G260" s="15" t="str">
        <f t="shared" ref="G260:H260" si="257">IF(OR(F260="",F260="Selecciona.."),"","Selecciona..")</f>
        <v/>
      </c>
      <c r="H260" s="13" t="str">
        <f t="shared" si="257"/>
        <v/>
      </c>
    </row>
    <row r="261">
      <c r="A261" s="14" t="str">
        <f t="shared" si="1"/>
        <v/>
      </c>
      <c r="B261" s="14" t="str">
        <f t="array" ref="B261">IF(OR(F261="",F261="Selecciona.."),"",XLOOKUP(F261,Productos!E:E,Productos!A:A,"",0,1))</f>
        <v/>
      </c>
      <c r="C261" s="14" t="str">
        <f t="array" ref="C261">IF(OR(G261="",G261="Selecciona.."),"",XLOOKUP(G261,Productos!$E:$E,Productos!$A:$A,"",0,1))</f>
        <v/>
      </c>
      <c r="D261" s="14" t="str">
        <f t="shared" si="2"/>
        <v/>
      </c>
      <c r="E261" s="14"/>
      <c r="F261" s="15" t="str">
        <f t="shared" si="4"/>
        <v/>
      </c>
      <c r="G261" s="15" t="str">
        <f t="shared" ref="G261:H261" si="258">IF(OR(F261="",F261="Selecciona.."),"","Selecciona..")</f>
        <v/>
      </c>
      <c r="H261" s="13" t="str">
        <f t="shared" si="258"/>
        <v/>
      </c>
    </row>
    <row r="262">
      <c r="A262" s="14" t="str">
        <f t="shared" si="1"/>
        <v/>
      </c>
      <c r="B262" s="14" t="str">
        <f t="array" ref="B262">IF(OR(F262="",F262="Selecciona.."),"",XLOOKUP(F262,Productos!E:E,Productos!A:A,"",0,1))</f>
        <v/>
      </c>
      <c r="C262" s="14" t="str">
        <f t="array" ref="C262">IF(OR(G262="",G262="Selecciona.."),"",XLOOKUP(G262,Productos!$E:$E,Productos!$A:$A,"",0,1))</f>
        <v/>
      </c>
      <c r="D262" s="14" t="str">
        <f t="shared" si="2"/>
        <v/>
      </c>
      <c r="E262" s="14"/>
      <c r="F262" s="15" t="str">
        <f t="shared" si="4"/>
        <v/>
      </c>
      <c r="G262" s="15" t="str">
        <f t="shared" ref="G262:H262" si="259">IF(OR(F262="",F262="Selecciona.."),"","Selecciona..")</f>
        <v/>
      </c>
      <c r="H262" s="13" t="str">
        <f t="shared" si="259"/>
        <v/>
      </c>
    </row>
    <row r="263">
      <c r="A263" s="14" t="str">
        <f t="shared" si="1"/>
        <v/>
      </c>
      <c r="B263" s="14" t="str">
        <f t="array" ref="B263">IF(OR(F263="",F263="Selecciona.."),"",XLOOKUP(F263,Productos!E:E,Productos!A:A,"",0,1))</f>
        <v/>
      </c>
      <c r="C263" s="14" t="str">
        <f t="array" ref="C263">IF(OR(G263="",G263="Selecciona.."),"",XLOOKUP(G263,Productos!$E:$E,Productos!$A:$A,"",0,1))</f>
        <v/>
      </c>
      <c r="D263" s="14" t="str">
        <f t="shared" si="2"/>
        <v/>
      </c>
      <c r="E263" s="14"/>
      <c r="F263" s="15" t="str">
        <f t="shared" si="4"/>
        <v/>
      </c>
      <c r="G263" s="15" t="str">
        <f t="shared" ref="G263:H263" si="260">IF(OR(F263="",F263="Selecciona.."),"","Selecciona..")</f>
        <v/>
      </c>
      <c r="H263" s="13" t="str">
        <f t="shared" si="260"/>
        <v/>
      </c>
    </row>
    <row r="264">
      <c r="A264" s="14" t="str">
        <f t="shared" si="1"/>
        <v/>
      </c>
      <c r="B264" s="14" t="str">
        <f t="array" ref="B264">IF(OR(F264="",F264="Selecciona.."),"",XLOOKUP(F264,Productos!E:E,Productos!A:A,"",0,1))</f>
        <v/>
      </c>
      <c r="C264" s="14" t="str">
        <f t="array" ref="C264">IF(OR(G264="",G264="Selecciona.."),"",XLOOKUP(G264,Productos!$E:$E,Productos!$A:$A,"",0,1))</f>
        <v/>
      </c>
      <c r="D264" s="14" t="str">
        <f t="shared" si="2"/>
        <v/>
      </c>
      <c r="E264" s="14"/>
      <c r="F264" s="15" t="str">
        <f t="shared" si="4"/>
        <v/>
      </c>
      <c r="G264" s="15" t="str">
        <f t="shared" ref="G264:H264" si="261">IF(OR(F264="",F264="Selecciona.."),"","Selecciona..")</f>
        <v/>
      </c>
      <c r="H264" s="13" t="str">
        <f t="shared" si="261"/>
        <v/>
      </c>
    </row>
    <row r="265">
      <c r="A265" s="14" t="str">
        <f t="shared" si="1"/>
        <v/>
      </c>
      <c r="B265" s="14" t="str">
        <f t="array" ref="B265">IF(OR(F265="",F265="Selecciona.."),"",XLOOKUP(F265,Productos!E:E,Productos!A:A,"",0,1))</f>
        <v/>
      </c>
      <c r="C265" s="14" t="str">
        <f t="array" ref="C265">IF(OR(G265="",G265="Selecciona.."),"",XLOOKUP(G265,Productos!$E:$E,Productos!$A:$A,"",0,1))</f>
        <v/>
      </c>
      <c r="D265" s="14" t="str">
        <f t="shared" si="2"/>
        <v/>
      </c>
      <c r="E265" s="14"/>
      <c r="F265" s="15" t="str">
        <f t="shared" si="4"/>
        <v/>
      </c>
      <c r="G265" s="15" t="str">
        <f t="shared" ref="G265:H265" si="262">IF(OR(F265="",F265="Selecciona.."),"","Selecciona..")</f>
        <v/>
      </c>
      <c r="H265" s="13" t="str">
        <f t="shared" si="262"/>
        <v/>
      </c>
    </row>
    <row r="266">
      <c r="A266" s="14" t="str">
        <f t="shared" si="1"/>
        <v/>
      </c>
      <c r="B266" s="14" t="str">
        <f t="array" ref="B266">IF(OR(F266="",F266="Selecciona.."),"",XLOOKUP(F266,Productos!E:E,Productos!A:A,"",0,1))</f>
        <v/>
      </c>
      <c r="C266" s="14" t="str">
        <f t="array" ref="C266">IF(OR(G266="",G266="Selecciona.."),"",XLOOKUP(G266,Productos!$E:$E,Productos!$A:$A,"",0,1))</f>
        <v/>
      </c>
      <c r="D266" s="14" t="str">
        <f t="shared" si="2"/>
        <v/>
      </c>
      <c r="E266" s="14"/>
      <c r="F266" s="15" t="str">
        <f t="shared" si="4"/>
        <v/>
      </c>
      <c r="G266" s="15" t="str">
        <f t="shared" ref="G266:H266" si="263">IF(OR(F266="",F266="Selecciona.."),"","Selecciona..")</f>
        <v/>
      </c>
      <c r="H266" s="13" t="str">
        <f t="shared" si="263"/>
        <v/>
      </c>
    </row>
    <row r="267">
      <c r="A267" s="14" t="str">
        <f t="shared" si="1"/>
        <v/>
      </c>
      <c r="B267" s="14" t="str">
        <f t="array" ref="B267">IF(OR(F267="",F267="Selecciona.."),"",XLOOKUP(F267,Productos!E:E,Productos!A:A,"",0,1))</f>
        <v/>
      </c>
      <c r="C267" s="14" t="str">
        <f t="array" ref="C267">IF(OR(G267="",G267="Selecciona.."),"",XLOOKUP(G267,Productos!$E:$E,Productos!$A:$A,"",0,1))</f>
        <v/>
      </c>
      <c r="D267" s="14" t="str">
        <f t="shared" si="2"/>
        <v/>
      </c>
      <c r="E267" s="14"/>
      <c r="F267" s="15" t="str">
        <f t="shared" si="4"/>
        <v/>
      </c>
      <c r="G267" s="15" t="str">
        <f t="shared" ref="G267:H267" si="264">IF(OR(F267="",F267="Selecciona.."),"","Selecciona..")</f>
        <v/>
      </c>
      <c r="H267" s="13" t="str">
        <f t="shared" si="264"/>
        <v/>
      </c>
    </row>
    <row r="268">
      <c r="A268" s="14" t="str">
        <f t="shared" si="1"/>
        <v/>
      </c>
      <c r="B268" s="14" t="str">
        <f t="array" ref="B268">IF(OR(F268="",F268="Selecciona.."),"",XLOOKUP(F268,Productos!E:E,Productos!A:A,"",0,1))</f>
        <v/>
      </c>
      <c r="C268" s="14" t="str">
        <f t="array" ref="C268">IF(OR(G268="",G268="Selecciona.."),"",XLOOKUP(G268,Productos!$E:$E,Productos!$A:$A,"",0,1))</f>
        <v/>
      </c>
      <c r="D268" s="14" t="str">
        <f t="shared" si="2"/>
        <v/>
      </c>
      <c r="E268" s="14"/>
      <c r="F268" s="15" t="str">
        <f t="shared" si="4"/>
        <v/>
      </c>
      <c r="G268" s="15" t="str">
        <f t="shared" ref="G268:H268" si="265">IF(OR(F268="",F268="Selecciona.."),"","Selecciona..")</f>
        <v/>
      </c>
      <c r="H268" s="13" t="str">
        <f t="shared" si="265"/>
        <v/>
      </c>
    </row>
    <row r="269">
      <c r="A269" s="14" t="str">
        <f t="shared" si="1"/>
        <v/>
      </c>
      <c r="B269" s="14" t="str">
        <f t="array" ref="B269">IF(OR(F269="",F269="Selecciona.."),"",XLOOKUP(F269,Productos!E:E,Productos!A:A,"",0,1))</f>
        <v/>
      </c>
      <c r="C269" s="14" t="str">
        <f t="array" ref="C269">IF(OR(G269="",G269="Selecciona.."),"",XLOOKUP(G269,Productos!$E:$E,Productos!$A:$A,"",0,1))</f>
        <v/>
      </c>
      <c r="D269" s="14" t="str">
        <f t="shared" si="2"/>
        <v/>
      </c>
      <c r="E269" s="14"/>
      <c r="F269" s="15" t="str">
        <f t="shared" si="4"/>
        <v/>
      </c>
      <c r="G269" s="15" t="str">
        <f t="shared" ref="G269:H269" si="266">IF(OR(F269="",F269="Selecciona.."),"","Selecciona..")</f>
        <v/>
      </c>
      <c r="H269" s="13" t="str">
        <f t="shared" si="266"/>
        <v/>
      </c>
    </row>
    <row r="270">
      <c r="A270" s="14" t="str">
        <f t="shared" si="1"/>
        <v/>
      </c>
      <c r="B270" s="14" t="str">
        <f t="array" ref="B270">IF(OR(F270="",F270="Selecciona.."),"",XLOOKUP(F270,Productos!E:E,Productos!A:A,"",0,1))</f>
        <v/>
      </c>
      <c r="C270" s="14" t="str">
        <f t="array" ref="C270">IF(OR(G270="",G270="Selecciona.."),"",XLOOKUP(G270,Productos!$E:$E,Productos!$A:$A,"",0,1))</f>
        <v/>
      </c>
      <c r="D270" s="14" t="str">
        <f t="shared" si="2"/>
        <v/>
      </c>
      <c r="E270" s="14"/>
      <c r="F270" s="15" t="str">
        <f t="shared" si="4"/>
        <v/>
      </c>
      <c r="G270" s="15" t="str">
        <f t="shared" ref="G270:H270" si="267">IF(OR(F270="",F270="Selecciona.."),"","Selecciona..")</f>
        <v/>
      </c>
      <c r="H270" s="13" t="str">
        <f t="shared" si="267"/>
        <v/>
      </c>
    </row>
    <row r="271">
      <c r="A271" s="14" t="str">
        <f t="shared" si="1"/>
        <v/>
      </c>
      <c r="B271" s="14" t="str">
        <f t="array" ref="B271">IF(OR(F271="",F271="Selecciona.."),"",XLOOKUP(F271,Productos!E:E,Productos!A:A,"",0,1))</f>
        <v/>
      </c>
      <c r="C271" s="14" t="str">
        <f t="array" ref="C271">IF(OR(G271="",G271="Selecciona.."),"",XLOOKUP(G271,Productos!$E:$E,Productos!$A:$A,"",0,1))</f>
        <v/>
      </c>
      <c r="D271" s="14" t="str">
        <f t="shared" si="2"/>
        <v/>
      </c>
      <c r="E271" s="14"/>
      <c r="F271" s="15" t="str">
        <f t="shared" si="4"/>
        <v/>
      </c>
      <c r="G271" s="15" t="str">
        <f t="shared" ref="G271:H271" si="268">IF(OR(F271="",F271="Selecciona.."),"","Selecciona..")</f>
        <v/>
      </c>
      <c r="H271" s="13" t="str">
        <f t="shared" si="268"/>
        <v/>
      </c>
    </row>
    <row r="272">
      <c r="A272" s="14" t="str">
        <f t="shared" si="1"/>
        <v/>
      </c>
      <c r="B272" s="14" t="str">
        <f t="array" ref="B272">IF(OR(F272="",F272="Selecciona.."),"",XLOOKUP(F272,Productos!E:E,Productos!A:A,"",0,1))</f>
        <v/>
      </c>
      <c r="C272" s="14" t="str">
        <f t="array" ref="C272">IF(OR(G272="",G272="Selecciona.."),"",XLOOKUP(G272,Productos!$E:$E,Productos!$A:$A,"",0,1))</f>
        <v/>
      </c>
      <c r="D272" s="14" t="str">
        <f t="shared" si="2"/>
        <v/>
      </c>
      <c r="E272" s="14"/>
      <c r="F272" s="15" t="str">
        <f t="shared" si="4"/>
        <v/>
      </c>
      <c r="G272" s="15" t="str">
        <f t="shared" ref="G272:H272" si="269">IF(OR(F272="",F272="Selecciona.."),"","Selecciona..")</f>
        <v/>
      </c>
      <c r="H272" s="13" t="str">
        <f t="shared" si="269"/>
        <v/>
      </c>
    </row>
    <row r="273">
      <c r="A273" s="14" t="str">
        <f t="shared" si="1"/>
        <v/>
      </c>
      <c r="B273" s="14" t="str">
        <f t="array" ref="B273">IF(OR(F273="",F273="Selecciona.."),"",XLOOKUP(F273,Productos!E:E,Productos!A:A,"",0,1))</f>
        <v/>
      </c>
      <c r="C273" s="14" t="str">
        <f t="array" ref="C273">IF(OR(G273="",G273="Selecciona.."),"",XLOOKUP(G273,Productos!$E:$E,Productos!$A:$A,"",0,1))</f>
        <v/>
      </c>
      <c r="D273" s="14" t="str">
        <f t="shared" si="2"/>
        <v/>
      </c>
      <c r="E273" s="14"/>
      <c r="F273" s="15" t="str">
        <f t="shared" si="4"/>
        <v/>
      </c>
      <c r="G273" s="15" t="str">
        <f t="shared" ref="G273:H273" si="270">IF(OR(F273="",F273="Selecciona.."),"","Selecciona..")</f>
        <v/>
      </c>
      <c r="H273" s="13" t="str">
        <f t="shared" si="270"/>
        <v/>
      </c>
    </row>
    <row r="274">
      <c r="A274" s="14" t="str">
        <f t="shared" si="1"/>
        <v/>
      </c>
      <c r="B274" s="14" t="str">
        <f t="array" ref="B274">IF(OR(F274="",F274="Selecciona.."),"",XLOOKUP(F274,Productos!E:E,Productos!A:A,"",0,1))</f>
        <v/>
      </c>
      <c r="C274" s="14" t="str">
        <f t="array" ref="C274">IF(OR(G274="",G274="Selecciona.."),"",XLOOKUP(G274,Productos!$E:$E,Productos!$A:$A,"",0,1))</f>
        <v/>
      </c>
      <c r="D274" s="14" t="str">
        <f t="shared" si="2"/>
        <v/>
      </c>
      <c r="E274" s="14"/>
      <c r="F274" s="15" t="str">
        <f t="shared" si="4"/>
        <v/>
      </c>
      <c r="G274" s="15" t="str">
        <f t="shared" ref="G274:H274" si="271">IF(OR(F274="",F274="Selecciona.."),"","Selecciona..")</f>
        <v/>
      </c>
      <c r="H274" s="13" t="str">
        <f t="shared" si="271"/>
        <v/>
      </c>
    </row>
    <row r="275">
      <c r="A275" s="14" t="str">
        <f t="shared" si="1"/>
        <v/>
      </c>
      <c r="B275" s="14" t="str">
        <f t="array" ref="B275">IF(OR(F275="",F275="Selecciona.."),"",XLOOKUP(F275,Productos!E:E,Productos!A:A,"",0,1))</f>
        <v/>
      </c>
      <c r="C275" s="14" t="str">
        <f t="array" ref="C275">IF(OR(G275="",G275="Selecciona.."),"",XLOOKUP(G275,Productos!$E:$E,Productos!$A:$A,"",0,1))</f>
        <v/>
      </c>
      <c r="D275" s="14" t="str">
        <f t="shared" si="2"/>
        <v/>
      </c>
      <c r="E275" s="14"/>
      <c r="F275" s="15" t="str">
        <f t="shared" si="4"/>
        <v/>
      </c>
      <c r="G275" s="15" t="str">
        <f t="shared" ref="G275:H275" si="272">IF(OR(F275="",F275="Selecciona.."),"","Selecciona..")</f>
        <v/>
      </c>
      <c r="H275" s="13" t="str">
        <f t="shared" si="272"/>
        <v/>
      </c>
    </row>
    <row r="276">
      <c r="A276" s="14" t="str">
        <f t="shared" si="1"/>
        <v/>
      </c>
      <c r="B276" s="14" t="str">
        <f t="array" ref="B276">IF(OR(F276="",F276="Selecciona.."),"",XLOOKUP(F276,Productos!E:E,Productos!A:A,"",0,1))</f>
        <v/>
      </c>
      <c r="C276" s="14" t="str">
        <f t="array" ref="C276">IF(OR(G276="",G276="Selecciona.."),"",XLOOKUP(G276,Productos!$E:$E,Productos!$A:$A,"",0,1))</f>
        <v/>
      </c>
      <c r="D276" s="14" t="str">
        <f t="shared" si="2"/>
        <v/>
      </c>
      <c r="E276" s="14"/>
      <c r="F276" s="15" t="str">
        <f t="shared" si="4"/>
        <v/>
      </c>
      <c r="G276" s="15" t="str">
        <f t="shared" ref="G276:H276" si="273">IF(OR(F276="",F276="Selecciona.."),"","Selecciona..")</f>
        <v/>
      </c>
      <c r="H276" s="13" t="str">
        <f t="shared" si="273"/>
        <v/>
      </c>
    </row>
    <row r="277">
      <c r="A277" s="14" t="str">
        <f t="shared" si="1"/>
        <v/>
      </c>
      <c r="B277" s="14" t="str">
        <f t="array" ref="B277">IF(OR(F277="",F277="Selecciona.."),"",XLOOKUP(F277,Productos!E:E,Productos!A:A,"",0,1))</f>
        <v/>
      </c>
      <c r="C277" s="14" t="str">
        <f t="array" ref="C277">IF(OR(G277="",G277="Selecciona.."),"",XLOOKUP(G277,Productos!$E:$E,Productos!$A:$A,"",0,1))</f>
        <v/>
      </c>
      <c r="D277" s="14" t="str">
        <f t="shared" si="2"/>
        <v/>
      </c>
      <c r="E277" s="14"/>
      <c r="F277" s="15" t="str">
        <f t="shared" si="4"/>
        <v/>
      </c>
      <c r="G277" s="15" t="str">
        <f t="shared" ref="G277:H277" si="274">IF(OR(F277="",F277="Selecciona.."),"","Selecciona..")</f>
        <v/>
      </c>
      <c r="H277" s="13" t="str">
        <f t="shared" si="274"/>
        <v/>
      </c>
    </row>
    <row r="278">
      <c r="A278" s="14" t="str">
        <f t="shared" si="1"/>
        <v/>
      </c>
      <c r="B278" s="14" t="str">
        <f t="array" ref="B278">IF(OR(F278="",F278="Selecciona.."),"",XLOOKUP(F278,Productos!E:E,Productos!A:A,"",0,1))</f>
        <v/>
      </c>
      <c r="C278" s="14" t="str">
        <f t="array" ref="C278">IF(OR(G278="",G278="Selecciona.."),"",XLOOKUP(G278,Productos!$E:$E,Productos!$A:$A,"",0,1))</f>
        <v/>
      </c>
      <c r="D278" s="14" t="str">
        <f t="shared" si="2"/>
        <v/>
      </c>
      <c r="E278" s="14"/>
      <c r="F278" s="15" t="str">
        <f t="shared" si="4"/>
        <v/>
      </c>
      <c r="G278" s="15" t="str">
        <f t="shared" ref="G278:H278" si="275">IF(OR(F278="",F278="Selecciona.."),"","Selecciona..")</f>
        <v/>
      </c>
      <c r="H278" s="13" t="str">
        <f t="shared" si="275"/>
        <v/>
      </c>
    </row>
    <row r="279">
      <c r="A279" s="14" t="str">
        <f t="shared" si="1"/>
        <v/>
      </c>
      <c r="B279" s="14" t="str">
        <f t="array" ref="B279">IF(OR(F279="",F279="Selecciona.."),"",XLOOKUP(F279,Productos!E:E,Productos!A:A,"",0,1))</f>
        <v/>
      </c>
      <c r="C279" s="14" t="str">
        <f t="array" ref="C279">IF(OR(G279="",G279="Selecciona.."),"",XLOOKUP(G279,Productos!$E:$E,Productos!$A:$A,"",0,1))</f>
        <v/>
      </c>
      <c r="D279" s="14" t="str">
        <f t="shared" si="2"/>
        <v/>
      </c>
      <c r="E279" s="14"/>
      <c r="F279" s="15" t="str">
        <f t="shared" si="4"/>
        <v/>
      </c>
      <c r="G279" s="15" t="str">
        <f t="shared" ref="G279:H279" si="276">IF(OR(F279="",F279="Selecciona.."),"","Selecciona..")</f>
        <v/>
      </c>
      <c r="H279" s="13" t="str">
        <f t="shared" si="276"/>
        <v/>
      </c>
    </row>
    <row r="280">
      <c r="A280" s="14" t="str">
        <f t="shared" si="1"/>
        <v/>
      </c>
      <c r="B280" s="14" t="str">
        <f t="array" ref="B280">IF(OR(F280="",F280="Selecciona.."),"",XLOOKUP(F280,Productos!E:E,Productos!A:A,"",0,1))</f>
        <v/>
      </c>
      <c r="C280" s="14" t="str">
        <f t="array" ref="C280">IF(OR(G280="",G280="Selecciona.."),"",XLOOKUP(G280,Productos!$E:$E,Productos!$A:$A,"",0,1))</f>
        <v/>
      </c>
      <c r="D280" s="14" t="str">
        <f t="shared" si="2"/>
        <v/>
      </c>
      <c r="E280" s="14"/>
      <c r="F280" s="15" t="str">
        <f t="shared" si="4"/>
        <v/>
      </c>
      <c r="G280" s="15" t="str">
        <f t="shared" ref="G280:H280" si="277">IF(OR(F280="",F280="Selecciona.."),"","Selecciona..")</f>
        <v/>
      </c>
      <c r="H280" s="13" t="str">
        <f t="shared" si="277"/>
        <v/>
      </c>
    </row>
    <row r="281">
      <c r="A281" s="14" t="str">
        <f t="shared" si="1"/>
        <v/>
      </c>
      <c r="B281" s="14" t="str">
        <f t="array" ref="B281">IF(OR(F281="",F281="Selecciona.."),"",XLOOKUP(F281,Productos!E:E,Productos!A:A,"",0,1))</f>
        <v/>
      </c>
      <c r="C281" s="14" t="str">
        <f t="array" ref="C281">IF(OR(G281="",G281="Selecciona.."),"",XLOOKUP(G281,Productos!$E:$E,Productos!$A:$A,"",0,1))</f>
        <v/>
      </c>
      <c r="D281" s="14" t="str">
        <f t="shared" si="2"/>
        <v/>
      </c>
      <c r="E281" s="14"/>
      <c r="F281" s="15" t="str">
        <f t="shared" si="4"/>
        <v/>
      </c>
      <c r="G281" s="15" t="str">
        <f t="shared" ref="G281:H281" si="278">IF(OR(F281="",F281="Selecciona.."),"","Selecciona..")</f>
        <v/>
      </c>
      <c r="H281" s="13" t="str">
        <f t="shared" si="278"/>
        <v/>
      </c>
    </row>
    <row r="282">
      <c r="A282" s="14" t="str">
        <f t="shared" si="1"/>
        <v/>
      </c>
      <c r="B282" s="14" t="str">
        <f t="array" ref="B282">IF(OR(F282="",F282="Selecciona.."),"",XLOOKUP(F282,Productos!E:E,Productos!A:A,"",0,1))</f>
        <v/>
      </c>
      <c r="C282" s="14" t="str">
        <f t="array" ref="C282">IF(OR(G282="",G282="Selecciona.."),"",XLOOKUP(G282,Productos!$E:$E,Productos!$A:$A,"",0,1))</f>
        <v/>
      </c>
      <c r="D282" s="14" t="str">
        <f t="shared" si="2"/>
        <v/>
      </c>
      <c r="E282" s="14"/>
      <c r="F282" s="15" t="str">
        <f t="shared" si="4"/>
        <v/>
      </c>
      <c r="G282" s="15" t="str">
        <f t="shared" ref="G282:H282" si="279">IF(OR(F282="",F282="Selecciona.."),"","Selecciona..")</f>
        <v/>
      </c>
      <c r="H282" s="13" t="str">
        <f t="shared" si="279"/>
        <v/>
      </c>
    </row>
    <row r="283">
      <c r="A283" s="14" t="str">
        <f t="shared" si="1"/>
        <v/>
      </c>
      <c r="B283" s="14" t="str">
        <f t="array" ref="B283">IF(OR(F283="",F283="Selecciona.."),"",XLOOKUP(F283,Productos!E:E,Productos!A:A,"",0,1))</f>
        <v/>
      </c>
      <c r="C283" s="14" t="str">
        <f t="array" ref="C283">IF(OR(G283="",G283="Selecciona.."),"",XLOOKUP(G283,Productos!$E:$E,Productos!$A:$A,"",0,1))</f>
        <v/>
      </c>
      <c r="D283" s="14" t="str">
        <f t="shared" si="2"/>
        <v/>
      </c>
      <c r="E283" s="14"/>
      <c r="F283" s="15" t="str">
        <f t="shared" si="4"/>
        <v/>
      </c>
      <c r="G283" s="15" t="str">
        <f t="shared" ref="G283:H283" si="280">IF(OR(F283="",F283="Selecciona.."),"","Selecciona..")</f>
        <v/>
      </c>
      <c r="H283" s="13" t="str">
        <f t="shared" si="280"/>
        <v/>
      </c>
    </row>
    <row r="284">
      <c r="A284" s="14" t="str">
        <f t="shared" si="1"/>
        <v/>
      </c>
      <c r="B284" s="14" t="str">
        <f t="array" ref="B284">IF(OR(F284="",F284="Selecciona.."),"",XLOOKUP(F284,Productos!E:E,Productos!A:A,"",0,1))</f>
        <v/>
      </c>
      <c r="C284" s="14" t="str">
        <f t="array" ref="C284">IF(OR(G284="",G284="Selecciona.."),"",XLOOKUP(G284,Productos!$E:$E,Productos!$A:$A,"",0,1))</f>
        <v/>
      </c>
      <c r="D284" s="14" t="str">
        <f t="shared" si="2"/>
        <v/>
      </c>
      <c r="E284" s="14"/>
      <c r="F284" s="15" t="str">
        <f t="shared" si="4"/>
        <v/>
      </c>
      <c r="G284" s="15" t="str">
        <f t="shared" ref="G284:H284" si="281">IF(OR(F284="",F284="Selecciona.."),"","Selecciona..")</f>
        <v/>
      </c>
      <c r="H284" s="13" t="str">
        <f t="shared" si="281"/>
        <v/>
      </c>
    </row>
    <row r="285">
      <c r="A285" s="14" t="str">
        <f t="shared" si="1"/>
        <v/>
      </c>
      <c r="B285" s="14" t="str">
        <f t="array" ref="B285">IF(OR(F285="",F285="Selecciona.."),"",XLOOKUP(F285,Productos!E:E,Productos!A:A,"",0,1))</f>
        <v/>
      </c>
      <c r="C285" s="14" t="str">
        <f t="array" ref="C285">IF(OR(G285="",G285="Selecciona.."),"",XLOOKUP(G285,Productos!$E:$E,Productos!$A:$A,"",0,1))</f>
        <v/>
      </c>
      <c r="D285" s="14" t="str">
        <f t="shared" si="2"/>
        <v/>
      </c>
      <c r="E285" s="14"/>
      <c r="F285" s="15" t="str">
        <f t="shared" si="4"/>
        <v/>
      </c>
      <c r="G285" s="15" t="str">
        <f t="shared" ref="G285:H285" si="282">IF(OR(F285="",F285="Selecciona.."),"","Selecciona..")</f>
        <v/>
      </c>
      <c r="H285" s="13" t="str">
        <f t="shared" si="282"/>
        <v/>
      </c>
    </row>
    <row r="286">
      <c r="A286" s="14" t="str">
        <f t="shared" si="1"/>
        <v/>
      </c>
      <c r="B286" s="14" t="str">
        <f t="array" ref="B286">IF(OR(F286="",F286="Selecciona.."),"",XLOOKUP(F286,Productos!E:E,Productos!A:A,"",0,1))</f>
        <v/>
      </c>
      <c r="C286" s="14" t="str">
        <f t="array" ref="C286">IF(OR(G286="",G286="Selecciona.."),"",XLOOKUP(G286,Productos!$E:$E,Productos!$A:$A,"",0,1))</f>
        <v/>
      </c>
      <c r="D286" s="14" t="str">
        <f t="shared" si="2"/>
        <v/>
      </c>
      <c r="E286" s="14"/>
      <c r="F286" s="15" t="str">
        <f t="shared" si="4"/>
        <v/>
      </c>
      <c r="G286" s="15" t="str">
        <f t="shared" ref="G286:H286" si="283">IF(OR(F286="",F286="Selecciona.."),"","Selecciona..")</f>
        <v/>
      </c>
      <c r="H286" s="13" t="str">
        <f t="shared" si="283"/>
        <v/>
      </c>
    </row>
    <row r="287">
      <c r="A287" s="14" t="str">
        <f t="shared" si="1"/>
        <v/>
      </c>
      <c r="B287" s="14" t="str">
        <f t="array" ref="B287">IF(OR(F287="",F287="Selecciona.."),"",XLOOKUP(F287,Productos!E:E,Productos!A:A,"",0,1))</f>
        <v/>
      </c>
      <c r="C287" s="14" t="str">
        <f t="array" ref="C287">IF(OR(G287="",G287="Selecciona.."),"",XLOOKUP(G287,Productos!$E:$E,Productos!$A:$A,"",0,1))</f>
        <v/>
      </c>
      <c r="D287" s="14" t="str">
        <f t="shared" si="2"/>
        <v/>
      </c>
      <c r="E287" s="14"/>
      <c r="F287" s="15" t="str">
        <f t="shared" si="4"/>
        <v/>
      </c>
      <c r="G287" s="15" t="str">
        <f t="shared" ref="G287:H287" si="284">IF(OR(F287="",F287="Selecciona.."),"","Selecciona..")</f>
        <v/>
      </c>
      <c r="H287" s="13" t="str">
        <f t="shared" si="284"/>
        <v/>
      </c>
    </row>
    <row r="288">
      <c r="A288" s="14" t="str">
        <f t="shared" si="1"/>
        <v/>
      </c>
      <c r="B288" s="14" t="str">
        <f t="array" ref="B288">IF(OR(F288="",F288="Selecciona.."),"",XLOOKUP(F288,Productos!E:E,Productos!A:A,"",0,1))</f>
        <v/>
      </c>
      <c r="C288" s="14" t="str">
        <f t="array" ref="C288">IF(OR(G288="",G288="Selecciona.."),"",XLOOKUP(G288,Productos!$E:$E,Productos!$A:$A,"",0,1))</f>
        <v/>
      </c>
      <c r="D288" s="14" t="str">
        <f t="shared" si="2"/>
        <v/>
      </c>
      <c r="E288" s="14"/>
      <c r="F288" s="15" t="str">
        <f t="shared" si="4"/>
        <v/>
      </c>
      <c r="G288" s="15" t="str">
        <f t="shared" ref="G288:H288" si="285">IF(OR(F288="",F288="Selecciona.."),"","Selecciona..")</f>
        <v/>
      </c>
      <c r="H288" s="13" t="str">
        <f t="shared" si="285"/>
        <v/>
      </c>
    </row>
    <row r="289">
      <c r="A289" s="14" t="str">
        <f t="shared" si="1"/>
        <v/>
      </c>
      <c r="B289" s="14" t="str">
        <f t="array" ref="B289">IF(OR(F289="",F289="Selecciona.."),"",XLOOKUP(F289,Productos!E:E,Productos!A:A,"",0,1))</f>
        <v/>
      </c>
      <c r="C289" s="14" t="str">
        <f t="array" ref="C289">IF(OR(G289="",G289="Selecciona.."),"",XLOOKUP(G289,Productos!$E:$E,Productos!$A:$A,"",0,1))</f>
        <v/>
      </c>
      <c r="D289" s="14" t="str">
        <f t="shared" si="2"/>
        <v/>
      </c>
      <c r="E289" s="14"/>
      <c r="F289" s="15" t="str">
        <f t="shared" si="4"/>
        <v/>
      </c>
      <c r="G289" s="15" t="str">
        <f t="shared" ref="G289:H289" si="286">IF(OR(F289="",F289="Selecciona.."),"","Selecciona..")</f>
        <v/>
      </c>
      <c r="H289" s="13" t="str">
        <f t="shared" si="286"/>
        <v/>
      </c>
    </row>
    <row r="290">
      <c r="A290" s="14" t="str">
        <f t="shared" si="1"/>
        <v/>
      </c>
      <c r="B290" s="14" t="str">
        <f t="array" ref="B290">IF(OR(F290="",F290="Selecciona.."),"",XLOOKUP(F290,Productos!E:E,Productos!A:A,"",0,1))</f>
        <v/>
      </c>
      <c r="C290" s="14" t="str">
        <f t="array" ref="C290">IF(OR(G290="",G290="Selecciona.."),"",XLOOKUP(G290,Productos!$E:$E,Productos!$A:$A,"",0,1))</f>
        <v/>
      </c>
      <c r="D290" s="14" t="str">
        <f t="shared" si="2"/>
        <v/>
      </c>
      <c r="E290" s="14"/>
      <c r="F290" s="15" t="str">
        <f t="shared" si="4"/>
        <v/>
      </c>
      <c r="G290" s="15" t="str">
        <f t="shared" ref="G290:H290" si="287">IF(OR(F290="",F290="Selecciona.."),"","Selecciona..")</f>
        <v/>
      </c>
      <c r="H290" s="13" t="str">
        <f t="shared" si="287"/>
        <v/>
      </c>
    </row>
    <row r="291">
      <c r="A291" s="14" t="str">
        <f t="shared" si="1"/>
        <v/>
      </c>
      <c r="B291" s="14" t="str">
        <f t="array" ref="B291">IF(OR(F291="",F291="Selecciona.."),"",XLOOKUP(F291,Productos!E:E,Productos!A:A,"",0,1))</f>
        <v/>
      </c>
      <c r="C291" s="14" t="str">
        <f t="array" ref="C291">IF(OR(G291="",G291="Selecciona.."),"",XLOOKUP(G291,Productos!$E:$E,Productos!$A:$A,"",0,1))</f>
        <v/>
      </c>
      <c r="D291" s="14" t="str">
        <f t="shared" si="2"/>
        <v/>
      </c>
      <c r="E291" s="14"/>
      <c r="F291" s="15" t="str">
        <f t="shared" si="4"/>
        <v/>
      </c>
      <c r="G291" s="15" t="str">
        <f t="shared" ref="G291:H291" si="288">IF(OR(F291="",F291="Selecciona.."),"","Selecciona..")</f>
        <v/>
      </c>
      <c r="H291" s="13" t="str">
        <f t="shared" si="288"/>
        <v/>
      </c>
    </row>
    <row r="292">
      <c r="A292" s="14" t="str">
        <f t="shared" si="1"/>
        <v/>
      </c>
      <c r="B292" s="14" t="str">
        <f t="array" ref="B292">IF(OR(F292="",F292="Selecciona.."),"",XLOOKUP(F292,Productos!E:E,Productos!A:A,"",0,1))</f>
        <v/>
      </c>
      <c r="C292" s="14" t="str">
        <f t="array" ref="C292">IF(OR(G292="",G292="Selecciona.."),"",XLOOKUP(G292,Productos!$E:$E,Productos!$A:$A,"",0,1))</f>
        <v/>
      </c>
      <c r="D292" s="14" t="str">
        <f t="shared" si="2"/>
        <v/>
      </c>
      <c r="E292" s="14"/>
      <c r="F292" s="15" t="str">
        <f t="shared" si="4"/>
        <v/>
      </c>
      <c r="G292" s="15" t="str">
        <f t="shared" ref="G292:H292" si="289">IF(OR(F292="",F292="Selecciona.."),"","Selecciona..")</f>
        <v/>
      </c>
      <c r="H292" s="13" t="str">
        <f t="shared" si="289"/>
        <v/>
      </c>
    </row>
    <row r="293">
      <c r="A293" s="14" t="str">
        <f t="shared" si="1"/>
        <v/>
      </c>
      <c r="B293" s="14" t="str">
        <f t="array" ref="B293">IF(OR(F293="",F293="Selecciona.."),"",XLOOKUP(F293,Productos!E:E,Productos!A:A,"",0,1))</f>
        <v/>
      </c>
      <c r="C293" s="14" t="str">
        <f t="array" ref="C293">IF(OR(G293="",G293="Selecciona.."),"",XLOOKUP(G293,Productos!$E:$E,Productos!$A:$A,"",0,1))</f>
        <v/>
      </c>
      <c r="D293" s="14" t="str">
        <f t="shared" si="2"/>
        <v/>
      </c>
      <c r="E293" s="14"/>
      <c r="F293" s="15" t="str">
        <f t="shared" si="4"/>
        <v/>
      </c>
      <c r="G293" s="15" t="str">
        <f t="shared" ref="G293:H293" si="290">IF(OR(F293="",F293="Selecciona.."),"","Selecciona..")</f>
        <v/>
      </c>
      <c r="H293" s="13" t="str">
        <f t="shared" si="290"/>
        <v/>
      </c>
    </row>
    <row r="294">
      <c r="A294" s="14" t="str">
        <f t="shared" si="1"/>
        <v/>
      </c>
      <c r="B294" s="14" t="str">
        <f t="array" ref="B294">IF(OR(F294="",F294="Selecciona.."),"",XLOOKUP(F294,Productos!E:E,Productos!A:A,"",0,1))</f>
        <v/>
      </c>
      <c r="C294" s="14" t="str">
        <f t="array" ref="C294">IF(OR(G294="",G294="Selecciona.."),"",XLOOKUP(G294,Productos!$E:$E,Productos!$A:$A,"",0,1))</f>
        <v/>
      </c>
      <c r="D294" s="14" t="str">
        <f t="shared" si="2"/>
        <v/>
      </c>
      <c r="E294" s="14"/>
      <c r="F294" s="15" t="str">
        <f t="shared" si="4"/>
        <v/>
      </c>
      <c r="G294" s="15" t="str">
        <f t="shared" ref="G294:H294" si="291">IF(OR(F294="",F294="Selecciona.."),"","Selecciona..")</f>
        <v/>
      </c>
      <c r="H294" s="13" t="str">
        <f t="shared" si="291"/>
        <v/>
      </c>
    </row>
    <row r="295">
      <c r="A295" s="14" t="str">
        <f t="shared" si="1"/>
        <v/>
      </c>
      <c r="B295" s="14" t="str">
        <f t="array" ref="B295">IF(OR(F295="",F295="Selecciona.."),"",XLOOKUP(F295,Productos!E:E,Productos!A:A,"",0,1))</f>
        <v/>
      </c>
      <c r="C295" s="14" t="str">
        <f t="array" ref="C295">IF(OR(G295="",G295="Selecciona.."),"",XLOOKUP(G295,Productos!$E:$E,Productos!$A:$A,"",0,1))</f>
        <v/>
      </c>
      <c r="D295" s="14" t="str">
        <f t="shared" si="2"/>
        <v/>
      </c>
      <c r="E295" s="14"/>
      <c r="F295" s="15" t="str">
        <f t="shared" si="4"/>
        <v/>
      </c>
      <c r="G295" s="15" t="str">
        <f t="shared" ref="G295:H295" si="292">IF(OR(F295="",F295="Selecciona.."),"","Selecciona..")</f>
        <v/>
      </c>
      <c r="H295" s="13" t="str">
        <f t="shared" si="292"/>
        <v/>
      </c>
    </row>
    <row r="296">
      <c r="A296" s="14" t="str">
        <f t="shared" si="1"/>
        <v/>
      </c>
      <c r="B296" s="14" t="str">
        <f t="array" ref="B296">IF(OR(F296="",F296="Selecciona.."),"",XLOOKUP(F296,Productos!E:E,Productos!A:A,"",0,1))</f>
        <v/>
      </c>
      <c r="C296" s="14" t="str">
        <f t="array" ref="C296">IF(OR(G296="",G296="Selecciona.."),"",XLOOKUP(G296,Productos!$E:$E,Productos!$A:$A,"",0,1))</f>
        <v/>
      </c>
      <c r="D296" s="14" t="str">
        <f t="shared" si="2"/>
        <v/>
      </c>
      <c r="E296" s="14"/>
      <c r="F296" s="15" t="str">
        <f t="shared" si="4"/>
        <v/>
      </c>
      <c r="G296" s="15" t="str">
        <f t="shared" ref="G296:H296" si="293">IF(OR(F296="",F296="Selecciona.."),"","Selecciona..")</f>
        <v/>
      </c>
      <c r="H296" s="13" t="str">
        <f t="shared" si="293"/>
        <v/>
      </c>
    </row>
    <row r="297">
      <c r="A297" s="14" t="str">
        <f t="shared" si="1"/>
        <v/>
      </c>
      <c r="B297" s="14" t="str">
        <f t="array" ref="B297">IF(OR(F297="",F297="Selecciona.."),"",XLOOKUP(F297,Productos!E:E,Productos!A:A,"",0,1))</f>
        <v/>
      </c>
      <c r="C297" s="14" t="str">
        <f t="array" ref="C297">IF(OR(G297="",G297="Selecciona.."),"",XLOOKUP(G297,Productos!$E:$E,Productos!$A:$A,"",0,1))</f>
        <v/>
      </c>
      <c r="D297" s="14" t="str">
        <f t="shared" si="2"/>
        <v/>
      </c>
      <c r="E297" s="14"/>
      <c r="F297" s="15" t="str">
        <f t="shared" si="4"/>
        <v/>
      </c>
      <c r="G297" s="15" t="str">
        <f t="shared" ref="G297:H297" si="294">IF(OR(F297="",F297="Selecciona.."),"","Selecciona..")</f>
        <v/>
      </c>
      <c r="H297" s="13" t="str">
        <f t="shared" si="294"/>
        <v/>
      </c>
    </row>
    <row r="298">
      <c r="A298" s="14" t="str">
        <f t="shared" si="1"/>
        <v/>
      </c>
      <c r="B298" s="14" t="str">
        <f t="array" ref="B298">IF(OR(F298="",F298="Selecciona.."),"",XLOOKUP(F298,Productos!E:E,Productos!A:A,"",0,1))</f>
        <v/>
      </c>
      <c r="C298" s="14" t="str">
        <f t="array" ref="C298">IF(OR(G298="",G298="Selecciona.."),"",XLOOKUP(G298,Productos!$E:$E,Productos!$A:$A,"",0,1))</f>
        <v/>
      </c>
      <c r="D298" s="14" t="str">
        <f t="shared" si="2"/>
        <v/>
      </c>
      <c r="E298" s="14"/>
      <c r="F298" s="15" t="str">
        <f t="shared" si="4"/>
        <v/>
      </c>
      <c r="G298" s="15" t="str">
        <f t="shared" ref="G298:H298" si="295">IF(OR(F298="",F298="Selecciona.."),"","Selecciona..")</f>
        <v/>
      </c>
      <c r="H298" s="13" t="str">
        <f t="shared" si="295"/>
        <v/>
      </c>
    </row>
    <row r="299">
      <c r="A299" s="14" t="str">
        <f t="shared" si="1"/>
        <v/>
      </c>
      <c r="B299" s="14" t="str">
        <f t="array" ref="B299">IF(OR(F299="",F299="Selecciona.."),"",XLOOKUP(F299,Productos!E:E,Productos!A:A,"",0,1))</f>
        <v/>
      </c>
      <c r="C299" s="14" t="str">
        <f t="array" ref="C299">IF(OR(G299="",G299="Selecciona.."),"",XLOOKUP(G299,Productos!$E:$E,Productos!$A:$A,"",0,1))</f>
        <v/>
      </c>
      <c r="D299" s="14" t="str">
        <f t="shared" si="2"/>
        <v/>
      </c>
      <c r="E299" s="14"/>
      <c r="F299" s="15" t="str">
        <f t="shared" si="4"/>
        <v/>
      </c>
      <c r="G299" s="15" t="str">
        <f t="shared" ref="G299:H299" si="296">IF(OR(F299="",F299="Selecciona.."),"","Selecciona..")</f>
        <v/>
      </c>
      <c r="H299" s="13" t="str">
        <f t="shared" si="296"/>
        <v/>
      </c>
    </row>
    <row r="300">
      <c r="A300" s="14" t="str">
        <f t="shared" si="1"/>
        <v/>
      </c>
      <c r="B300" s="14" t="str">
        <f t="array" ref="B300">IF(OR(F300="",F300="Selecciona.."),"",XLOOKUP(F300,Productos!E:E,Productos!A:A,"",0,1))</f>
        <v/>
      </c>
      <c r="C300" s="14" t="str">
        <f t="array" ref="C300">IF(OR(G300="",G300="Selecciona.."),"",XLOOKUP(G300,Productos!$E:$E,Productos!$A:$A,"",0,1))</f>
        <v/>
      </c>
      <c r="D300" s="14" t="str">
        <f t="shared" si="2"/>
        <v/>
      </c>
      <c r="E300" s="14"/>
      <c r="F300" s="15" t="str">
        <f t="shared" si="4"/>
        <v/>
      </c>
      <c r="G300" s="15" t="str">
        <f t="shared" ref="G300:H300" si="297">IF(OR(F300="",F300="Selecciona.."),"","Selecciona..")</f>
        <v/>
      </c>
      <c r="H300" s="13" t="str">
        <f t="shared" si="297"/>
        <v/>
      </c>
    </row>
    <row r="301">
      <c r="A301" s="14" t="str">
        <f t="shared" si="1"/>
        <v/>
      </c>
      <c r="B301" s="14" t="str">
        <f t="array" ref="B301">IF(OR(F301="",F301="Selecciona.."),"",XLOOKUP(F301,Productos!E:E,Productos!A:A,"",0,1))</f>
        <v/>
      </c>
      <c r="C301" s="14" t="str">
        <f t="array" ref="C301">IF(OR(G301="",G301="Selecciona.."),"",XLOOKUP(G301,Productos!$E:$E,Productos!$A:$A,"",0,1))</f>
        <v/>
      </c>
      <c r="D301" s="14" t="str">
        <f t="shared" si="2"/>
        <v/>
      </c>
      <c r="E301" s="14"/>
      <c r="F301" s="15" t="str">
        <f t="shared" si="4"/>
        <v/>
      </c>
      <c r="G301" s="15" t="str">
        <f t="shared" ref="G301:H301" si="298">IF(OR(F301="",F301="Selecciona.."),"","Selecciona..")</f>
        <v/>
      </c>
      <c r="H301" s="13" t="str">
        <f t="shared" si="298"/>
        <v/>
      </c>
    </row>
    <row r="302">
      <c r="A302" s="14" t="str">
        <f t="shared" si="1"/>
        <v/>
      </c>
      <c r="B302" s="14" t="str">
        <f t="array" ref="B302">IF(OR(F302="",F302="Selecciona.."),"",XLOOKUP(F302,Productos!E:E,Productos!A:A,"",0,1))</f>
        <v/>
      </c>
      <c r="C302" s="14" t="str">
        <f t="array" ref="C302">IF(OR(G302="",G302="Selecciona.."),"",XLOOKUP(G302,Productos!$E:$E,Productos!$A:$A,"",0,1))</f>
        <v/>
      </c>
      <c r="D302" s="14" t="str">
        <f t="shared" si="2"/>
        <v/>
      </c>
      <c r="E302" s="14"/>
      <c r="F302" s="15" t="str">
        <f t="shared" si="4"/>
        <v/>
      </c>
      <c r="G302" s="15" t="str">
        <f t="shared" ref="G302:H302" si="299">IF(OR(F302="",F302="Selecciona.."),"","Selecciona..")</f>
        <v/>
      </c>
      <c r="H302" s="13" t="str">
        <f t="shared" si="299"/>
        <v/>
      </c>
    </row>
    <row r="303">
      <c r="A303" s="14" t="str">
        <f t="shared" si="1"/>
        <v/>
      </c>
      <c r="B303" s="14" t="str">
        <f t="array" ref="B303">IF(OR(F303="",F303="Selecciona.."),"",XLOOKUP(F303,Productos!E:E,Productos!A:A,"",0,1))</f>
        <v/>
      </c>
      <c r="C303" s="14" t="str">
        <f t="array" ref="C303">IF(OR(G303="",G303="Selecciona.."),"",XLOOKUP(G303,Productos!$E:$E,Productos!$A:$A,"",0,1))</f>
        <v/>
      </c>
      <c r="D303" s="14" t="str">
        <f t="shared" si="2"/>
        <v/>
      </c>
      <c r="E303" s="14"/>
      <c r="F303" s="15" t="str">
        <f t="shared" si="4"/>
        <v/>
      </c>
      <c r="G303" s="15" t="str">
        <f t="shared" ref="G303:H303" si="300">IF(OR(F303="",F303="Selecciona.."),"","Selecciona..")</f>
        <v/>
      </c>
      <c r="H303" s="13" t="str">
        <f t="shared" si="300"/>
        <v/>
      </c>
    </row>
    <row r="304">
      <c r="A304" s="14" t="str">
        <f t="shared" si="1"/>
        <v/>
      </c>
      <c r="B304" s="14" t="str">
        <f t="array" ref="B304">IF(OR(F304="",F304="Selecciona.."),"",XLOOKUP(F304,Productos!E:E,Productos!A:A,"",0,1))</f>
        <v/>
      </c>
      <c r="C304" s="14" t="str">
        <f t="array" ref="C304">IF(OR(G304="",G304="Selecciona.."),"",XLOOKUP(G304,Productos!$E:$E,Productos!$A:$A,"",0,1))</f>
        <v/>
      </c>
      <c r="D304" s="14" t="str">
        <f t="shared" si="2"/>
        <v/>
      </c>
      <c r="E304" s="14"/>
      <c r="F304" s="15" t="str">
        <f t="shared" si="4"/>
        <v/>
      </c>
      <c r="G304" s="15" t="str">
        <f t="shared" ref="G304:H304" si="301">IF(OR(F304="",F304="Selecciona.."),"","Selecciona..")</f>
        <v/>
      </c>
      <c r="H304" s="13" t="str">
        <f t="shared" si="301"/>
        <v/>
      </c>
    </row>
    <row r="305">
      <c r="A305" s="14" t="str">
        <f t="shared" si="1"/>
        <v/>
      </c>
      <c r="B305" s="14" t="str">
        <f t="array" ref="B305">IF(OR(F305="",F305="Selecciona.."),"",XLOOKUP(F305,Productos!E:E,Productos!A:A,"",0,1))</f>
        <v/>
      </c>
      <c r="C305" s="14" t="str">
        <f t="array" ref="C305">IF(OR(G305="",G305="Selecciona.."),"",XLOOKUP(G305,Productos!$E:$E,Productos!$A:$A,"",0,1))</f>
        <v/>
      </c>
      <c r="D305" s="14" t="str">
        <f t="shared" si="2"/>
        <v/>
      </c>
      <c r="E305" s="14"/>
      <c r="F305" s="15" t="str">
        <f t="shared" si="4"/>
        <v/>
      </c>
      <c r="G305" s="15" t="str">
        <f t="shared" ref="G305:H305" si="302">IF(OR(F305="",F305="Selecciona.."),"","Selecciona..")</f>
        <v/>
      </c>
      <c r="H305" s="13" t="str">
        <f t="shared" si="302"/>
        <v/>
      </c>
    </row>
    <row r="306">
      <c r="A306" s="14" t="str">
        <f t="shared" si="1"/>
        <v/>
      </c>
      <c r="B306" s="14" t="str">
        <f t="array" ref="B306">IF(OR(F306="",F306="Selecciona.."),"",XLOOKUP(F306,Productos!E:E,Productos!A:A,"",0,1))</f>
        <v/>
      </c>
      <c r="C306" s="14" t="str">
        <f t="array" ref="C306">IF(OR(G306="",G306="Selecciona.."),"",XLOOKUP(G306,Productos!$E:$E,Productos!$A:$A,"",0,1))</f>
        <v/>
      </c>
      <c r="D306" s="14" t="str">
        <f t="shared" si="2"/>
        <v/>
      </c>
      <c r="E306" s="14"/>
      <c r="F306" s="15" t="str">
        <f t="shared" si="4"/>
        <v/>
      </c>
      <c r="G306" s="15" t="str">
        <f t="shared" ref="G306:H306" si="303">IF(OR(F306="",F306="Selecciona.."),"","Selecciona..")</f>
        <v/>
      </c>
      <c r="H306" s="13" t="str">
        <f t="shared" si="303"/>
        <v/>
      </c>
    </row>
    <row r="307">
      <c r="A307" s="14" t="str">
        <f t="shared" si="1"/>
        <v/>
      </c>
      <c r="B307" s="14" t="str">
        <f t="array" ref="B307">IF(OR(F307="",F307="Selecciona.."),"",XLOOKUP(F307,Productos!E:E,Productos!A:A,"",0,1))</f>
        <v/>
      </c>
      <c r="C307" s="14" t="str">
        <f t="array" ref="C307">IF(OR(G307="",G307="Selecciona.."),"",XLOOKUP(G307,Productos!$E:$E,Productos!$A:$A,"",0,1))</f>
        <v/>
      </c>
      <c r="D307" s="14" t="str">
        <f t="shared" si="2"/>
        <v/>
      </c>
      <c r="E307" s="14"/>
      <c r="F307" s="15" t="str">
        <f t="shared" si="4"/>
        <v/>
      </c>
      <c r="G307" s="15" t="str">
        <f t="shared" ref="G307:H307" si="304">IF(OR(F307="",F307="Selecciona.."),"","Selecciona..")</f>
        <v/>
      </c>
      <c r="H307" s="13" t="str">
        <f t="shared" si="304"/>
        <v/>
      </c>
    </row>
    <row r="308">
      <c r="A308" s="14" t="str">
        <f t="shared" si="1"/>
        <v/>
      </c>
      <c r="B308" s="14" t="str">
        <f t="array" ref="B308">IF(OR(F308="",F308="Selecciona.."),"",XLOOKUP(F308,Productos!E:E,Productos!A:A,"",0,1))</f>
        <v/>
      </c>
      <c r="C308" s="14" t="str">
        <f t="array" ref="C308">IF(OR(G308="",G308="Selecciona.."),"",XLOOKUP(G308,Productos!$E:$E,Productos!$A:$A,"",0,1))</f>
        <v/>
      </c>
      <c r="D308" s="14" t="str">
        <f t="shared" si="2"/>
        <v/>
      </c>
      <c r="E308" s="14"/>
      <c r="F308" s="15" t="str">
        <f t="shared" si="4"/>
        <v/>
      </c>
      <c r="G308" s="15" t="str">
        <f t="shared" ref="G308:H308" si="305">IF(OR(F308="",F308="Selecciona.."),"","Selecciona..")</f>
        <v/>
      </c>
      <c r="H308" s="13" t="str">
        <f t="shared" si="305"/>
        <v/>
      </c>
    </row>
    <row r="309">
      <c r="A309" s="14" t="str">
        <f t="shared" si="1"/>
        <v/>
      </c>
      <c r="B309" s="14" t="str">
        <f t="array" ref="B309">IF(OR(F309="",F309="Selecciona.."),"",XLOOKUP(F309,Productos!E:E,Productos!A:A,"",0,1))</f>
        <v/>
      </c>
      <c r="C309" s="14" t="str">
        <f t="array" ref="C309">IF(OR(G309="",G309="Selecciona.."),"",XLOOKUP(G309,Productos!$E:$E,Productos!$A:$A,"",0,1))</f>
        <v/>
      </c>
      <c r="D309" s="14" t="str">
        <f t="shared" si="2"/>
        <v/>
      </c>
      <c r="E309" s="14"/>
      <c r="F309" s="15" t="str">
        <f t="shared" si="4"/>
        <v/>
      </c>
      <c r="G309" s="15" t="str">
        <f t="shared" ref="G309:H309" si="306">IF(OR(F309="",F309="Selecciona.."),"","Selecciona..")</f>
        <v/>
      </c>
      <c r="H309" s="13" t="str">
        <f t="shared" si="306"/>
        <v/>
      </c>
    </row>
    <row r="310">
      <c r="A310" s="14" t="str">
        <f t="shared" si="1"/>
        <v/>
      </c>
      <c r="B310" s="14" t="str">
        <f t="array" ref="B310">IF(OR(F310="",F310="Selecciona.."),"",XLOOKUP(F310,Productos!E:E,Productos!A:A,"",0,1))</f>
        <v/>
      </c>
      <c r="C310" s="14" t="str">
        <f t="array" ref="C310">IF(OR(G310="",G310="Selecciona.."),"",XLOOKUP(G310,Productos!$E:$E,Productos!$A:$A,"",0,1))</f>
        <v/>
      </c>
      <c r="D310" s="14" t="str">
        <f t="shared" si="2"/>
        <v/>
      </c>
      <c r="E310" s="14"/>
      <c r="F310" s="15" t="str">
        <f t="shared" si="4"/>
        <v/>
      </c>
      <c r="G310" s="15" t="str">
        <f t="shared" ref="G310:H310" si="307">IF(OR(F310="",F310="Selecciona.."),"","Selecciona..")</f>
        <v/>
      </c>
      <c r="H310" s="13" t="str">
        <f t="shared" si="307"/>
        <v/>
      </c>
    </row>
    <row r="311">
      <c r="A311" s="14" t="str">
        <f t="shared" si="1"/>
        <v/>
      </c>
      <c r="B311" s="14" t="str">
        <f t="array" ref="B311">IF(OR(F311="",F311="Selecciona.."),"",XLOOKUP(F311,Productos!E:E,Productos!A:A,"",0,1))</f>
        <v/>
      </c>
      <c r="C311" s="14" t="str">
        <f t="array" ref="C311">IF(OR(G311="",G311="Selecciona.."),"",XLOOKUP(G311,Productos!$E:$E,Productos!$A:$A,"",0,1))</f>
        <v/>
      </c>
      <c r="D311" s="14" t="str">
        <f t="shared" si="2"/>
        <v/>
      </c>
      <c r="E311" s="14"/>
      <c r="F311" s="15" t="str">
        <f t="shared" si="4"/>
        <v/>
      </c>
      <c r="G311" s="15" t="str">
        <f t="shared" ref="G311:H311" si="308">IF(OR(F311="",F311="Selecciona.."),"","Selecciona..")</f>
        <v/>
      </c>
      <c r="H311" s="13" t="str">
        <f t="shared" si="308"/>
        <v/>
      </c>
    </row>
    <row r="312">
      <c r="A312" s="14" t="str">
        <f t="shared" si="1"/>
        <v/>
      </c>
      <c r="B312" s="14" t="str">
        <f t="array" ref="B312">IF(OR(F312="",F312="Selecciona.."),"",XLOOKUP(F312,Productos!E:E,Productos!A:A,"",0,1))</f>
        <v/>
      </c>
      <c r="C312" s="14" t="str">
        <f t="array" ref="C312">IF(OR(G312="",G312="Selecciona.."),"",XLOOKUP(G312,Productos!$E:$E,Productos!$A:$A,"",0,1))</f>
        <v/>
      </c>
      <c r="D312" s="14" t="str">
        <f t="shared" si="2"/>
        <v/>
      </c>
      <c r="E312" s="14"/>
      <c r="F312" s="15" t="str">
        <f t="shared" si="4"/>
        <v/>
      </c>
      <c r="G312" s="15" t="str">
        <f t="shared" ref="G312:H312" si="309">IF(OR(F312="",F312="Selecciona.."),"","Selecciona..")</f>
        <v/>
      </c>
      <c r="H312" s="13" t="str">
        <f t="shared" si="309"/>
        <v/>
      </c>
    </row>
    <row r="313">
      <c r="A313" s="14" t="str">
        <f t="shared" si="1"/>
        <v/>
      </c>
      <c r="B313" s="14" t="str">
        <f t="array" ref="B313">IF(OR(F313="",F313="Selecciona.."),"",XLOOKUP(F313,Productos!E:E,Productos!A:A,"",0,1))</f>
        <v/>
      </c>
      <c r="C313" s="14" t="str">
        <f t="array" ref="C313">IF(OR(G313="",G313="Selecciona.."),"",XLOOKUP(G313,Productos!$E:$E,Productos!$A:$A,"",0,1))</f>
        <v/>
      </c>
      <c r="D313" s="14" t="str">
        <f t="shared" si="2"/>
        <v/>
      </c>
      <c r="E313" s="14"/>
      <c r="F313" s="15" t="str">
        <f t="shared" si="4"/>
        <v/>
      </c>
      <c r="G313" s="15" t="str">
        <f t="shared" ref="G313:H313" si="310">IF(OR(F313="",F313="Selecciona.."),"","Selecciona..")</f>
        <v/>
      </c>
      <c r="H313" s="13" t="str">
        <f t="shared" si="310"/>
        <v/>
      </c>
    </row>
    <row r="314">
      <c r="A314" s="14" t="str">
        <f t="shared" si="1"/>
        <v/>
      </c>
      <c r="B314" s="14" t="str">
        <f t="array" ref="B314">IF(OR(F314="",F314="Selecciona.."),"",XLOOKUP(F314,Productos!E:E,Productos!A:A,"",0,1))</f>
        <v/>
      </c>
      <c r="C314" s="14" t="str">
        <f t="array" ref="C314">IF(OR(G314="",G314="Selecciona.."),"",XLOOKUP(G314,Productos!$E:$E,Productos!$A:$A,"",0,1))</f>
        <v/>
      </c>
      <c r="D314" s="14" t="str">
        <f t="shared" si="2"/>
        <v/>
      </c>
      <c r="E314" s="14"/>
      <c r="F314" s="15" t="str">
        <f t="shared" si="4"/>
        <v/>
      </c>
      <c r="G314" s="15" t="str">
        <f t="shared" ref="G314:H314" si="311">IF(OR(F314="",F314="Selecciona.."),"","Selecciona..")</f>
        <v/>
      </c>
      <c r="H314" s="13" t="str">
        <f t="shared" si="311"/>
        <v/>
      </c>
    </row>
    <row r="315">
      <c r="A315" s="14" t="str">
        <f t="shared" si="1"/>
        <v/>
      </c>
      <c r="B315" s="14" t="str">
        <f t="array" ref="B315">IF(OR(F315="",F315="Selecciona.."),"",XLOOKUP(F315,Productos!E:E,Productos!A:A,"",0,1))</f>
        <v/>
      </c>
      <c r="C315" s="14" t="str">
        <f t="array" ref="C315">IF(OR(G315="",G315="Selecciona.."),"",XLOOKUP(G315,Productos!$E:$E,Productos!$A:$A,"",0,1))</f>
        <v/>
      </c>
      <c r="D315" s="14" t="str">
        <f t="shared" si="2"/>
        <v/>
      </c>
      <c r="E315" s="14"/>
      <c r="F315" s="15" t="str">
        <f t="shared" si="4"/>
        <v/>
      </c>
      <c r="G315" s="15" t="str">
        <f t="shared" ref="G315:H315" si="312">IF(OR(F315="",F315="Selecciona.."),"","Selecciona..")</f>
        <v/>
      </c>
      <c r="H315" s="13" t="str">
        <f t="shared" si="312"/>
        <v/>
      </c>
    </row>
    <row r="316">
      <c r="A316" s="14" t="str">
        <f t="shared" si="1"/>
        <v/>
      </c>
      <c r="B316" s="14" t="str">
        <f t="array" ref="B316">IF(OR(F316="",F316="Selecciona.."),"",XLOOKUP(F316,Productos!E:E,Productos!A:A,"",0,1))</f>
        <v/>
      </c>
      <c r="C316" s="14" t="str">
        <f t="array" ref="C316">IF(OR(G316="",G316="Selecciona.."),"",XLOOKUP(G316,Productos!$E:$E,Productos!$A:$A,"",0,1))</f>
        <v/>
      </c>
      <c r="D316" s="14" t="str">
        <f t="shared" si="2"/>
        <v/>
      </c>
      <c r="E316" s="14"/>
      <c r="F316" s="15" t="str">
        <f t="shared" si="4"/>
        <v/>
      </c>
      <c r="G316" s="15" t="str">
        <f t="shared" ref="G316:H316" si="313">IF(OR(F316="",F316="Selecciona.."),"","Selecciona..")</f>
        <v/>
      </c>
      <c r="H316" s="13" t="str">
        <f t="shared" si="313"/>
        <v/>
      </c>
    </row>
    <row r="317">
      <c r="A317" s="14" t="str">
        <f t="shared" si="1"/>
        <v/>
      </c>
      <c r="B317" s="14" t="str">
        <f t="array" ref="B317">IF(OR(F317="",F317="Selecciona.."),"",XLOOKUP(F317,Productos!E:E,Productos!A:A,"",0,1))</f>
        <v/>
      </c>
      <c r="C317" s="14" t="str">
        <f t="array" ref="C317">IF(OR(G317="",G317="Selecciona.."),"",XLOOKUP(G317,Productos!$E:$E,Productos!$A:$A,"",0,1))</f>
        <v/>
      </c>
      <c r="D317" s="14" t="str">
        <f t="shared" si="2"/>
        <v/>
      </c>
      <c r="E317" s="14"/>
      <c r="F317" s="15" t="str">
        <f t="shared" si="4"/>
        <v/>
      </c>
      <c r="G317" s="15" t="str">
        <f t="shared" ref="G317:H317" si="314">IF(OR(F317="",F317="Selecciona.."),"","Selecciona..")</f>
        <v/>
      </c>
      <c r="H317" s="13" t="str">
        <f t="shared" si="314"/>
        <v/>
      </c>
    </row>
    <row r="318">
      <c r="A318" s="14" t="str">
        <f t="shared" si="1"/>
        <v/>
      </c>
      <c r="B318" s="14" t="str">
        <f t="array" ref="B318">IF(OR(F318="",F318="Selecciona.."),"",XLOOKUP(F318,Productos!E:E,Productos!A:A,"",0,1))</f>
        <v/>
      </c>
      <c r="C318" s="14" t="str">
        <f t="array" ref="C318">IF(OR(G318="",G318="Selecciona.."),"",XLOOKUP(G318,Productos!$E:$E,Productos!$A:$A,"",0,1))</f>
        <v/>
      </c>
      <c r="D318" s="14" t="str">
        <f t="shared" si="2"/>
        <v/>
      </c>
      <c r="E318" s="14"/>
      <c r="F318" s="15" t="str">
        <f t="shared" si="4"/>
        <v/>
      </c>
      <c r="G318" s="15" t="str">
        <f t="shared" ref="G318:H318" si="315">IF(OR(F318="",F318="Selecciona.."),"","Selecciona..")</f>
        <v/>
      </c>
      <c r="H318" s="13" t="str">
        <f t="shared" si="315"/>
        <v/>
      </c>
    </row>
    <row r="319">
      <c r="A319" s="14" t="str">
        <f t="shared" si="1"/>
        <v/>
      </c>
      <c r="B319" s="14" t="str">
        <f t="array" ref="B319">IF(OR(F319="",F319="Selecciona.."),"",XLOOKUP(F319,Productos!E:E,Productos!A:A,"",0,1))</f>
        <v/>
      </c>
      <c r="C319" s="14" t="str">
        <f t="array" ref="C319">IF(OR(G319="",G319="Selecciona.."),"",XLOOKUP(G319,Productos!$E:$E,Productos!$A:$A,"",0,1))</f>
        <v/>
      </c>
      <c r="D319" s="14" t="str">
        <f t="shared" si="2"/>
        <v/>
      </c>
      <c r="E319" s="14"/>
      <c r="F319" s="15" t="str">
        <f t="shared" si="4"/>
        <v/>
      </c>
      <c r="G319" s="15" t="str">
        <f t="shared" ref="G319:H319" si="316">IF(OR(F319="",F319="Selecciona.."),"","Selecciona..")</f>
        <v/>
      </c>
      <c r="H319" s="13" t="str">
        <f t="shared" si="316"/>
        <v/>
      </c>
    </row>
    <row r="320">
      <c r="A320" s="14" t="str">
        <f t="shared" si="1"/>
        <v/>
      </c>
      <c r="B320" s="14" t="str">
        <f t="array" ref="B320">IF(OR(F320="",F320="Selecciona.."),"",XLOOKUP(F320,Productos!E:E,Productos!A:A,"",0,1))</f>
        <v/>
      </c>
      <c r="C320" s="14" t="str">
        <f t="array" ref="C320">IF(OR(G320="",G320="Selecciona.."),"",XLOOKUP(G320,Productos!$E:$E,Productos!$A:$A,"",0,1))</f>
        <v/>
      </c>
      <c r="D320" s="14" t="str">
        <f t="shared" si="2"/>
        <v/>
      </c>
      <c r="E320" s="14"/>
      <c r="F320" s="15" t="str">
        <f t="shared" si="4"/>
        <v/>
      </c>
      <c r="G320" s="15" t="str">
        <f t="shared" ref="G320:H320" si="317">IF(OR(F320="",F320="Selecciona.."),"","Selecciona..")</f>
        <v/>
      </c>
      <c r="H320" s="13" t="str">
        <f t="shared" si="317"/>
        <v/>
      </c>
    </row>
    <row r="321">
      <c r="A321" s="14" t="str">
        <f t="shared" si="1"/>
        <v/>
      </c>
      <c r="B321" s="14" t="str">
        <f t="array" ref="B321">IF(OR(F321="",F321="Selecciona.."),"",XLOOKUP(F321,Productos!E:E,Productos!A:A,"",0,1))</f>
        <v/>
      </c>
      <c r="C321" s="14" t="str">
        <f t="array" ref="C321">IF(OR(G321="",G321="Selecciona.."),"",XLOOKUP(G321,Productos!$E:$E,Productos!$A:$A,"",0,1))</f>
        <v/>
      </c>
      <c r="D321" s="14" t="str">
        <f t="shared" si="2"/>
        <v/>
      </c>
      <c r="E321" s="14"/>
      <c r="F321" s="15" t="str">
        <f t="shared" si="4"/>
        <v/>
      </c>
      <c r="G321" s="15" t="str">
        <f t="shared" ref="G321:H321" si="318">IF(OR(F321="",F321="Selecciona.."),"","Selecciona..")</f>
        <v/>
      </c>
      <c r="H321" s="13" t="str">
        <f t="shared" si="318"/>
        <v/>
      </c>
    </row>
    <row r="322">
      <c r="A322" s="14" t="str">
        <f t="shared" si="1"/>
        <v/>
      </c>
      <c r="B322" s="14" t="str">
        <f t="array" ref="B322">IF(OR(F322="",F322="Selecciona.."),"",XLOOKUP(F322,Productos!E:E,Productos!A:A,"",0,1))</f>
        <v/>
      </c>
      <c r="C322" s="14" t="str">
        <f t="array" ref="C322">IF(OR(G322="",G322="Selecciona.."),"",XLOOKUP(G322,Productos!$E:$E,Productos!$A:$A,"",0,1))</f>
        <v/>
      </c>
      <c r="D322" s="14" t="str">
        <f t="shared" si="2"/>
        <v/>
      </c>
      <c r="E322" s="14"/>
      <c r="F322" s="15" t="str">
        <f t="shared" si="4"/>
        <v/>
      </c>
      <c r="G322" s="15" t="str">
        <f t="shared" ref="G322:H322" si="319">IF(OR(F322="",F322="Selecciona.."),"","Selecciona..")</f>
        <v/>
      </c>
      <c r="H322" s="13" t="str">
        <f t="shared" si="319"/>
        <v/>
      </c>
    </row>
    <row r="323">
      <c r="A323" s="14" t="str">
        <f t="shared" si="1"/>
        <v/>
      </c>
      <c r="B323" s="14" t="str">
        <f t="array" ref="B323">IF(OR(F323="",F323="Selecciona.."),"",XLOOKUP(F323,Productos!E:E,Productos!A:A,"",0,1))</f>
        <v/>
      </c>
      <c r="C323" s="14" t="str">
        <f t="array" ref="C323">IF(OR(G323="",G323="Selecciona.."),"",XLOOKUP(G323,Productos!$E:$E,Productos!$A:$A,"",0,1))</f>
        <v/>
      </c>
      <c r="D323" s="14" t="str">
        <f t="shared" si="2"/>
        <v/>
      </c>
      <c r="E323" s="14"/>
      <c r="F323" s="15" t="str">
        <f t="shared" si="4"/>
        <v/>
      </c>
      <c r="G323" s="15" t="str">
        <f t="shared" ref="G323:H323" si="320">IF(OR(F323="",F323="Selecciona.."),"","Selecciona..")</f>
        <v/>
      </c>
      <c r="H323" s="13" t="str">
        <f t="shared" si="320"/>
        <v/>
      </c>
    </row>
    <row r="324">
      <c r="A324" s="14" t="str">
        <f t="shared" si="1"/>
        <v/>
      </c>
      <c r="B324" s="14" t="str">
        <f t="array" ref="B324">IF(OR(F324="",F324="Selecciona.."),"",XLOOKUP(F324,Productos!E:E,Productos!A:A,"",0,1))</f>
        <v/>
      </c>
      <c r="C324" s="14" t="str">
        <f t="array" ref="C324">IF(OR(G324="",G324="Selecciona.."),"",XLOOKUP(G324,Productos!$E:$E,Productos!$A:$A,"",0,1))</f>
        <v/>
      </c>
      <c r="D324" s="14" t="str">
        <f t="shared" si="2"/>
        <v/>
      </c>
      <c r="E324" s="14"/>
      <c r="F324" s="15" t="str">
        <f t="shared" si="4"/>
        <v/>
      </c>
      <c r="G324" s="15" t="str">
        <f t="shared" ref="G324:H324" si="321">IF(OR(F324="",F324="Selecciona.."),"","Selecciona..")</f>
        <v/>
      </c>
      <c r="H324" s="13" t="str">
        <f t="shared" si="321"/>
        <v/>
      </c>
    </row>
    <row r="325">
      <c r="A325" s="14" t="str">
        <f t="shared" si="1"/>
        <v/>
      </c>
      <c r="B325" s="14" t="str">
        <f t="array" ref="B325">IF(OR(F325="",F325="Selecciona.."),"",XLOOKUP(F325,Productos!E:E,Productos!A:A,"",0,1))</f>
        <v/>
      </c>
      <c r="C325" s="14" t="str">
        <f t="array" ref="C325">IF(OR(G325="",G325="Selecciona.."),"",XLOOKUP(G325,Productos!$E:$E,Productos!$A:$A,"",0,1))</f>
        <v/>
      </c>
      <c r="D325" s="14" t="str">
        <f t="shared" si="2"/>
        <v/>
      </c>
      <c r="E325" s="14"/>
      <c r="F325" s="15" t="str">
        <f t="shared" si="4"/>
        <v/>
      </c>
      <c r="G325" s="15" t="str">
        <f t="shared" ref="G325:H325" si="322">IF(OR(F325="",F325="Selecciona.."),"","Selecciona..")</f>
        <v/>
      </c>
      <c r="H325" s="13" t="str">
        <f t="shared" si="322"/>
        <v/>
      </c>
    </row>
    <row r="326">
      <c r="A326" s="14" t="str">
        <f t="shared" si="1"/>
        <v/>
      </c>
      <c r="B326" s="14" t="str">
        <f t="array" ref="B326">IF(OR(F326="",F326="Selecciona.."),"",XLOOKUP(F326,Productos!E:E,Productos!A:A,"",0,1))</f>
        <v/>
      </c>
      <c r="C326" s="14" t="str">
        <f t="array" ref="C326">IF(OR(G326="",G326="Selecciona.."),"",XLOOKUP(G326,Productos!$E:$E,Productos!$A:$A,"",0,1))</f>
        <v/>
      </c>
      <c r="D326" s="14" t="str">
        <f t="shared" si="2"/>
        <v/>
      </c>
      <c r="E326" s="14"/>
      <c r="F326" s="15" t="str">
        <f t="shared" si="4"/>
        <v/>
      </c>
      <c r="G326" s="15" t="str">
        <f t="shared" ref="G326:H326" si="323">IF(OR(F326="",F326="Selecciona.."),"","Selecciona..")</f>
        <v/>
      </c>
      <c r="H326" s="13" t="str">
        <f t="shared" si="323"/>
        <v/>
      </c>
    </row>
    <row r="327">
      <c r="A327" s="14" t="str">
        <f t="shared" si="1"/>
        <v/>
      </c>
      <c r="B327" s="14" t="str">
        <f t="array" ref="B327">IF(OR(F327="",F327="Selecciona.."),"",XLOOKUP(F327,Productos!E:E,Productos!A:A,"",0,1))</f>
        <v/>
      </c>
      <c r="C327" s="14" t="str">
        <f t="array" ref="C327">IF(OR(G327="",G327="Selecciona.."),"",XLOOKUP(G327,Productos!$E:$E,Productos!$A:$A,"",0,1))</f>
        <v/>
      </c>
      <c r="D327" s="14" t="str">
        <f t="shared" si="2"/>
        <v/>
      </c>
      <c r="E327" s="14"/>
      <c r="F327" s="15" t="str">
        <f t="shared" si="4"/>
        <v/>
      </c>
      <c r="G327" s="15" t="str">
        <f t="shared" ref="G327:H327" si="324">IF(OR(F327="",F327="Selecciona.."),"","Selecciona..")</f>
        <v/>
      </c>
      <c r="H327" s="13" t="str">
        <f t="shared" si="324"/>
        <v/>
      </c>
    </row>
    <row r="328">
      <c r="A328" s="14" t="str">
        <f t="shared" si="1"/>
        <v/>
      </c>
      <c r="B328" s="14" t="str">
        <f t="array" ref="B328">IF(OR(F328="",F328="Selecciona.."),"",XLOOKUP(F328,Productos!E:E,Productos!A:A,"",0,1))</f>
        <v/>
      </c>
      <c r="C328" s="14" t="str">
        <f t="array" ref="C328">IF(OR(G328="",G328="Selecciona.."),"",XLOOKUP(G328,Productos!$E:$E,Productos!$A:$A,"",0,1))</f>
        <v/>
      </c>
      <c r="D328" s="14" t="str">
        <f t="shared" si="2"/>
        <v/>
      </c>
      <c r="E328" s="14"/>
      <c r="F328" s="15" t="str">
        <f t="shared" si="4"/>
        <v/>
      </c>
      <c r="G328" s="15" t="str">
        <f t="shared" ref="G328:H328" si="325">IF(OR(F328="",F328="Selecciona.."),"","Selecciona..")</f>
        <v/>
      </c>
      <c r="H328" s="13" t="str">
        <f t="shared" si="325"/>
        <v/>
      </c>
    </row>
    <row r="329">
      <c r="A329" s="14" t="str">
        <f t="shared" si="1"/>
        <v/>
      </c>
      <c r="B329" s="14" t="str">
        <f t="array" ref="B329">IF(OR(F329="",F329="Selecciona.."),"",XLOOKUP(F329,Productos!E:E,Productos!A:A,"",0,1))</f>
        <v/>
      </c>
      <c r="C329" s="14" t="str">
        <f t="array" ref="C329">IF(OR(G329="",G329="Selecciona.."),"",XLOOKUP(G329,Productos!$E:$E,Productos!$A:$A,"",0,1))</f>
        <v/>
      </c>
      <c r="D329" s="14" t="str">
        <f t="shared" si="2"/>
        <v/>
      </c>
      <c r="E329" s="14"/>
      <c r="F329" s="15" t="str">
        <f t="shared" si="4"/>
        <v/>
      </c>
      <c r="G329" s="15" t="str">
        <f t="shared" ref="G329:H329" si="326">IF(OR(F329="",F329="Selecciona.."),"","Selecciona..")</f>
        <v/>
      </c>
      <c r="H329" s="13" t="str">
        <f t="shared" si="326"/>
        <v/>
      </c>
    </row>
    <row r="330">
      <c r="A330" s="14" t="str">
        <f t="shared" si="1"/>
        <v/>
      </c>
      <c r="B330" s="14" t="str">
        <f t="array" ref="B330">IF(OR(F330="",F330="Selecciona.."),"",XLOOKUP(F330,Productos!E:E,Productos!A:A,"",0,1))</f>
        <v/>
      </c>
      <c r="C330" s="14" t="str">
        <f t="array" ref="C330">IF(OR(G330="",G330="Selecciona.."),"",XLOOKUP(G330,Productos!$E:$E,Productos!$A:$A,"",0,1))</f>
        <v/>
      </c>
      <c r="D330" s="14" t="str">
        <f t="shared" si="2"/>
        <v/>
      </c>
      <c r="E330" s="14"/>
      <c r="F330" s="15" t="str">
        <f t="shared" si="4"/>
        <v/>
      </c>
      <c r="G330" s="15" t="str">
        <f t="shared" ref="G330:H330" si="327">IF(OR(F330="",F330="Selecciona.."),"","Selecciona..")</f>
        <v/>
      </c>
      <c r="H330" s="13" t="str">
        <f t="shared" si="327"/>
        <v/>
      </c>
    </row>
    <row r="331">
      <c r="A331" s="14" t="str">
        <f t="shared" si="1"/>
        <v/>
      </c>
      <c r="B331" s="14" t="str">
        <f t="array" ref="B331">IF(OR(F331="",F331="Selecciona.."),"",XLOOKUP(F331,Productos!E:E,Productos!A:A,"",0,1))</f>
        <v/>
      </c>
      <c r="C331" s="14" t="str">
        <f t="array" ref="C331">IF(OR(G331="",G331="Selecciona.."),"",XLOOKUP(G331,Productos!$E:$E,Productos!$A:$A,"",0,1))</f>
        <v/>
      </c>
      <c r="D331" s="14" t="str">
        <f t="shared" si="2"/>
        <v/>
      </c>
      <c r="E331" s="14"/>
      <c r="F331" s="15" t="str">
        <f t="shared" si="4"/>
        <v/>
      </c>
      <c r="G331" s="15" t="str">
        <f t="shared" ref="G331:H331" si="328">IF(OR(F331="",F331="Selecciona.."),"","Selecciona..")</f>
        <v/>
      </c>
      <c r="H331" s="13" t="str">
        <f t="shared" si="328"/>
        <v/>
      </c>
    </row>
    <row r="332">
      <c r="A332" s="14" t="str">
        <f t="shared" si="1"/>
        <v/>
      </c>
      <c r="B332" s="14" t="str">
        <f t="array" ref="B332">IF(OR(F332="",F332="Selecciona.."),"",XLOOKUP(F332,Productos!E:E,Productos!A:A,"",0,1))</f>
        <v/>
      </c>
      <c r="C332" s="14" t="str">
        <f t="array" ref="C332">IF(OR(G332="",G332="Selecciona.."),"",XLOOKUP(G332,Productos!$E:$E,Productos!$A:$A,"",0,1))</f>
        <v/>
      </c>
      <c r="D332" s="14" t="str">
        <f t="shared" si="2"/>
        <v/>
      </c>
      <c r="E332" s="14"/>
      <c r="F332" s="15" t="str">
        <f t="shared" si="4"/>
        <v/>
      </c>
      <c r="G332" s="15" t="str">
        <f t="shared" ref="G332:H332" si="329">IF(OR(F332="",F332="Selecciona.."),"","Selecciona..")</f>
        <v/>
      </c>
      <c r="H332" s="13" t="str">
        <f t="shared" si="329"/>
        <v/>
      </c>
    </row>
    <row r="333">
      <c r="A333" s="14" t="str">
        <f t="shared" si="1"/>
        <v/>
      </c>
      <c r="B333" s="14" t="str">
        <f t="array" ref="B333">IF(OR(F333="",F333="Selecciona.."),"",XLOOKUP(F333,Productos!E:E,Productos!A:A,"",0,1))</f>
        <v/>
      </c>
      <c r="C333" s="14" t="str">
        <f t="array" ref="C333">IF(OR(G333="",G333="Selecciona.."),"",XLOOKUP(G333,Productos!$E:$E,Productos!$A:$A,"",0,1))</f>
        <v/>
      </c>
      <c r="D333" s="14" t="str">
        <f t="shared" si="2"/>
        <v/>
      </c>
      <c r="E333" s="14"/>
      <c r="F333" s="15" t="str">
        <f t="shared" si="4"/>
        <v/>
      </c>
      <c r="G333" s="15" t="str">
        <f t="shared" ref="G333:H333" si="330">IF(OR(F333="",F333="Selecciona.."),"","Selecciona..")</f>
        <v/>
      </c>
      <c r="H333" s="13" t="str">
        <f t="shared" si="330"/>
        <v/>
      </c>
    </row>
    <row r="334">
      <c r="A334" s="14" t="str">
        <f t="shared" si="1"/>
        <v/>
      </c>
      <c r="B334" s="14" t="str">
        <f t="array" ref="B334">IF(OR(F334="",F334="Selecciona.."),"",XLOOKUP(F334,Productos!E:E,Productos!A:A,"",0,1))</f>
        <v/>
      </c>
      <c r="C334" s="14" t="str">
        <f t="array" ref="C334">IF(OR(G334="",G334="Selecciona.."),"",XLOOKUP(G334,Productos!$E:$E,Productos!$A:$A,"",0,1))</f>
        <v/>
      </c>
      <c r="D334" s="14" t="str">
        <f t="shared" si="2"/>
        <v/>
      </c>
      <c r="E334" s="14"/>
      <c r="F334" s="15" t="str">
        <f t="shared" si="4"/>
        <v/>
      </c>
      <c r="G334" s="15" t="str">
        <f t="shared" ref="G334:H334" si="331">IF(OR(F334="",F334="Selecciona.."),"","Selecciona..")</f>
        <v/>
      </c>
      <c r="H334" s="13" t="str">
        <f t="shared" si="331"/>
        <v/>
      </c>
    </row>
    <row r="335">
      <c r="A335" s="14" t="str">
        <f t="shared" si="1"/>
        <v/>
      </c>
      <c r="B335" s="14" t="str">
        <f t="array" ref="B335">IF(OR(F335="",F335="Selecciona.."),"",XLOOKUP(F335,Productos!E:E,Productos!A:A,"",0,1))</f>
        <v/>
      </c>
      <c r="C335" s="14" t="str">
        <f t="array" ref="C335">IF(OR(G335="",G335="Selecciona.."),"",XLOOKUP(G335,Productos!$E:$E,Productos!$A:$A,"",0,1))</f>
        <v/>
      </c>
      <c r="D335" s="14" t="str">
        <f t="shared" si="2"/>
        <v/>
      </c>
      <c r="E335" s="14"/>
      <c r="F335" s="15" t="str">
        <f t="shared" si="4"/>
        <v/>
      </c>
      <c r="G335" s="15" t="str">
        <f t="shared" ref="G335:H335" si="332">IF(OR(F335="",F335="Selecciona.."),"","Selecciona..")</f>
        <v/>
      </c>
      <c r="H335" s="13" t="str">
        <f t="shared" si="332"/>
        <v/>
      </c>
    </row>
    <row r="336">
      <c r="A336" s="14" t="str">
        <f t="shared" si="1"/>
        <v/>
      </c>
      <c r="B336" s="14" t="str">
        <f t="array" ref="B336">IF(OR(F336="",F336="Selecciona.."),"",XLOOKUP(F336,Productos!E:E,Productos!A:A,"",0,1))</f>
        <v/>
      </c>
      <c r="C336" s="14" t="str">
        <f t="array" ref="C336">IF(OR(G336="",G336="Selecciona.."),"",XLOOKUP(G336,Productos!$E:$E,Productos!$A:$A,"",0,1))</f>
        <v/>
      </c>
      <c r="D336" s="14" t="str">
        <f t="shared" si="2"/>
        <v/>
      </c>
      <c r="E336" s="14"/>
      <c r="F336" s="15" t="str">
        <f t="shared" si="4"/>
        <v/>
      </c>
      <c r="G336" s="15" t="str">
        <f t="shared" ref="G336:H336" si="333">IF(OR(F336="",F336="Selecciona.."),"","Selecciona..")</f>
        <v/>
      </c>
      <c r="H336" s="13" t="str">
        <f t="shared" si="333"/>
        <v/>
      </c>
    </row>
    <row r="337">
      <c r="A337" s="14" t="str">
        <f t="shared" si="1"/>
        <v/>
      </c>
      <c r="B337" s="14" t="str">
        <f t="array" ref="B337">IF(OR(F337="",F337="Selecciona.."),"",XLOOKUP(F337,Productos!E:E,Productos!A:A,"",0,1))</f>
        <v/>
      </c>
      <c r="C337" s="14" t="str">
        <f t="array" ref="C337">IF(OR(G337="",G337="Selecciona.."),"",XLOOKUP(G337,Productos!$E:$E,Productos!$A:$A,"",0,1))</f>
        <v/>
      </c>
      <c r="D337" s="14" t="str">
        <f t="shared" si="2"/>
        <v/>
      </c>
      <c r="E337" s="14"/>
      <c r="F337" s="15" t="str">
        <f t="shared" si="4"/>
        <v/>
      </c>
      <c r="G337" s="15" t="str">
        <f t="shared" ref="G337:H337" si="334">IF(OR(F337="",F337="Selecciona.."),"","Selecciona..")</f>
        <v/>
      </c>
      <c r="H337" s="13" t="str">
        <f t="shared" si="334"/>
        <v/>
      </c>
    </row>
    <row r="338">
      <c r="A338" s="14" t="str">
        <f t="shared" si="1"/>
        <v/>
      </c>
      <c r="B338" s="14" t="str">
        <f t="array" ref="B338">IF(OR(F338="",F338="Selecciona.."),"",XLOOKUP(F338,Productos!E:E,Productos!A:A,"",0,1))</f>
        <v/>
      </c>
      <c r="C338" s="14" t="str">
        <f t="array" ref="C338">IF(OR(G338="",G338="Selecciona.."),"",XLOOKUP(G338,Productos!$E:$E,Productos!$A:$A,"",0,1))</f>
        <v/>
      </c>
      <c r="D338" s="14" t="str">
        <f t="shared" si="2"/>
        <v/>
      </c>
      <c r="E338" s="14"/>
      <c r="F338" s="15" t="str">
        <f t="shared" si="4"/>
        <v/>
      </c>
      <c r="G338" s="15" t="str">
        <f t="shared" ref="G338:H338" si="335">IF(OR(F338="",F338="Selecciona.."),"","Selecciona..")</f>
        <v/>
      </c>
      <c r="H338" s="13" t="str">
        <f t="shared" si="335"/>
        <v/>
      </c>
    </row>
    <row r="339">
      <c r="A339" s="14" t="str">
        <f t="shared" si="1"/>
        <v/>
      </c>
      <c r="B339" s="14" t="str">
        <f t="array" ref="B339">IF(OR(F339="",F339="Selecciona.."),"",XLOOKUP(F339,Productos!E:E,Productos!A:A,"",0,1))</f>
        <v/>
      </c>
      <c r="C339" s="14" t="str">
        <f t="array" ref="C339">IF(OR(G339="",G339="Selecciona.."),"",XLOOKUP(G339,Productos!$E:$E,Productos!$A:$A,"",0,1))</f>
        <v/>
      </c>
      <c r="D339" s="14" t="str">
        <f t="shared" si="2"/>
        <v/>
      </c>
      <c r="E339" s="14"/>
      <c r="F339" s="15" t="str">
        <f t="shared" si="4"/>
        <v/>
      </c>
      <c r="G339" s="15" t="str">
        <f t="shared" ref="G339:H339" si="336">IF(OR(F339="",F339="Selecciona.."),"","Selecciona..")</f>
        <v/>
      </c>
      <c r="H339" s="13" t="str">
        <f t="shared" si="336"/>
        <v/>
      </c>
    </row>
    <row r="340">
      <c r="A340" s="14" t="str">
        <f t="shared" si="1"/>
        <v/>
      </c>
      <c r="B340" s="14" t="str">
        <f t="array" ref="B340">IF(OR(F340="",F340="Selecciona.."),"",XLOOKUP(F340,Productos!E:E,Productos!A:A,"",0,1))</f>
        <v/>
      </c>
      <c r="C340" s="14" t="str">
        <f t="array" ref="C340">IF(OR(G340="",G340="Selecciona.."),"",XLOOKUP(G340,Productos!$E:$E,Productos!$A:$A,"",0,1))</f>
        <v/>
      </c>
      <c r="D340" s="14" t="str">
        <f t="shared" si="2"/>
        <v/>
      </c>
      <c r="E340" s="14"/>
      <c r="F340" s="15" t="str">
        <f t="shared" si="4"/>
        <v/>
      </c>
      <c r="G340" s="15" t="str">
        <f t="shared" ref="G340:H340" si="337">IF(OR(F340="",F340="Selecciona.."),"","Selecciona..")</f>
        <v/>
      </c>
      <c r="H340" s="13" t="str">
        <f t="shared" si="337"/>
        <v/>
      </c>
    </row>
    <row r="341">
      <c r="A341" s="14" t="str">
        <f t="shared" si="1"/>
        <v/>
      </c>
      <c r="B341" s="14" t="str">
        <f t="array" ref="B341">IF(OR(F341="",F341="Selecciona.."),"",XLOOKUP(F341,Productos!E:E,Productos!A:A,"",0,1))</f>
        <v/>
      </c>
      <c r="C341" s="14" t="str">
        <f t="array" ref="C341">IF(OR(G341="",G341="Selecciona.."),"",XLOOKUP(G341,Productos!$E:$E,Productos!$A:$A,"",0,1))</f>
        <v/>
      </c>
      <c r="D341" s="14" t="str">
        <f t="shared" si="2"/>
        <v/>
      </c>
      <c r="E341" s="14"/>
      <c r="F341" s="15" t="str">
        <f t="shared" si="4"/>
        <v/>
      </c>
      <c r="G341" s="15" t="str">
        <f t="shared" ref="G341:H341" si="338">IF(OR(F341="",F341="Selecciona.."),"","Selecciona..")</f>
        <v/>
      </c>
      <c r="H341" s="13" t="str">
        <f t="shared" si="338"/>
        <v/>
      </c>
    </row>
    <row r="342">
      <c r="A342" s="14" t="str">
        <f t="shared" si="1"/>
        <v/>
      </c>
      <c r="B342" s="14" t="str">
        <f t="array" ref="B342">IF(OR(F342="",F342="Selecciona.."),"",XLOOKUP(F342,Productos!E:E,Productos!A:A,"",0,1))</f>
        <v/>
      </c>
      <c r="C342" s="14" t="str">
        <f t="array" ref="C342">IF(OR(G342="",G342="Selecciona.."),"",XLOOKUP(G342,Productos!$E:$E,Productos!$A:$A,"",0,1))</f>
        <v/>
      </c>
      <c r="D342" s="14" t="str">
        <f t="shared" si="2"/>
        <v/>
      </c>
      <c r="E342" s="14"/>
      <c r="F342" s="15" t="str">
        <f t="shared" si="4"/>
        <v/>
      </c>
      <c r="G342" s="15" t="str">
        <f t="shared" ref="G342:H342" si="339">IF(OR(F342="",F342="Selecciona.."),"","Selecciona..")</f>
        <v/>
      </c>
      <c r="H342" s="13" t="str">
        <f t="shared" si="339"/>
        <v/>
      </c>
    </row>
    <row r="343">
      <c r="A343" s="14" t="str">
        <f t="shared" si="1"/>
        <v/>
      </c>
      <c r="B343" s="14" t="str">
        <f t="array" ref="B343">IF(OR(F343="",F343="Selecciona.."),"",XLOOKUP(F343,Productos!E:E,Productos!A:A,"",0,1))</f>
        <v/>
      </c>
      <c r="C343" s="14" t="str">
        <f t="array" ref="C343">IF(OR(G343="",G343="Selecciona.."),"",XLOOKUP(G343,Productos!$E:$E,Productos!$A:$A,"",0,1))</f>
        <v/>
      </c>
      <c r="D343" s="14" t="str">
        <f t="shared" si="2"/>
        <v/>
      </c>
      <c r="E343" s="14"/>
      <c r="F343" s="15" t="str">
        <f t="shared" si="4"/>
        <v/>
      </c>
      <c r="G343" s="15" t="str">
        <f t="shared" ref="G343:H343" si="340">IF(OR(F343="",F343="Selecciona.."),"","Selecciona..")</f>
        <v/>
      </c>
      <c r="H343" s="13" t="str">
        <f t="shared" si="340"/>
        <v/>
      </c>
    </row>
    <row r="344">
      <c r="A344" s="14" t="str">
        <f t="shared" si="1"/>
        <v/>
      </c>
      <c r="B344" s="14" t="str">
        <f t="array" ref="B344">IF(OR(F344="",F344="Selecciona.."),"",XLOOKUP(F344,Productos!E:E,Productos!A:A,"",0,1))</f>
        <v/>
      </c>
      <c r="C344" s="14" t="str">
        <f t="array" ref="C344">IF(OR(G344="",G344="Selecciona.."),"",XLOOKUP(G344,Productos!$E:$E,Productos!$A:$A,"",0,1))</f>
        <v/>
      </c>
      <c r="D344" s="14" t="str">
        <f t="shared" si="2"/>
        <v/>
      </c>
      <c r="E344" s="14"/>
      <c r="F344" s="15" t="str">
        <f t="shared" si="4"/>
        <v/>
      </c>
      <c r="G344" s="15" t="str">
        <f t="shared" ref="G344:H344" si="341">IF(OR(F344="",F344="Selecciona.."),"","Selecciona..")</f>
        <v/>
      </c>
      <c r="H344" s="13" t="str">
        <f t="shared" si="341"/>
        <v/>
      </c>
    </row>
    <row r="345">
      <c r="A345" s="14" t="str">
        <f t="shared" si="1"/>
        <v/>
      </c>
      <c r="B345" s="14" t="str">
        <f t="array" ref="B345">IF(OR(F345="",F345="Selecciona.."),"",XLOOKUP(F345,Productos!E:E,Productos!A:A,"",0,1))</f>
        <v/>
      </c>
      <c r="C345" s="14" t="str">
        <f t="array" ref="C345">IF(OR(G345="",G345="Selecciona.."),"",XLOOKUP(G345,Productos!$E:$E,Productos!$A:$A,"",0,1))</f>
        <v/>
      </c>
      <c r="D345" s="14" t="str">
        <f t="shared" si="2"/>
        <v/>
      </c>
      <c r="E345" s="14"/>
      <c r="F345" s="15" t="str">
        <f t="shared" si="4"/>
        <v/>
      </c>
      <c r="G345" s="15" t="str">
        <f t="shared" ref="G345:H345" si="342">IF(OR(F345="",F345="Selecciona.."),"","Selecciona..")</f>
        <v/>
      </c>
      <c r="H345" s="13" t="str">
        <f t="shared" si="342"/>
        <v/>
      </c>
    </row>
    <row r="346">
      <c r="A346" s="14" t="str">
        <f t="shared" si="1"/>
        <v/>
      </c>
      <c r="B346" s="14" t="str">
        <f t="array" ref="B346">IF(OR(F346="",F346="Selecciona.."),"",XLOOKUP(F346,Productos!E:E,Productos!A:A,"",0,1))</f>
        <v/>
      </c>
      <c r="C346" s="14" t="str">
        <f t="array" ref="C346">IF(OR(G346="",G346="Selecciona.."),"",XLOOKUP(G346,Productos!$E:$E,Productos!$A:$A,"",0,1))</f>
        <v/>
      </c>
      <c r="D346" s="14" t="str">
        <f t="shared" si="2"/>
        <v/>
      </c>
      <c r="E346" s="14"/>
      <c r="F346" s="15" t="str">
        <f t="shared" si="4"/>
        <v/>
      </c>
      <c r="G346" s="15" t="str">
        <f t="shared" ref="G346:H346" si="343">IF(OR(F346="",F346="Selecciona.."),"","Selecciona..")</f>
        <v/>
      </c>
      <c r="H346" s="13" t="str">
        <f t="shared" si="343"/>
        <v/>
      </c>
    </row>
    <row r="347">
      <c r="A347" s="14" t="str">
        <f t="shared" si="1"/>
        <v/>
      </c>
      <c r="B347" s="14" t="str">
        <f t="array" ref="B347">IF(OR(F347="",F347="Selecciona.."),"",XLOOKUP(F347,Productos!E:E,Productos!A:A,"",0,1))</f>
        <v/>
      </c>
      <c r="C347" s="14" t="str">
        <f t="array" ref="C347">IF(OR(G347="",G347="Selecciona.."),"",XLOOKUP(G347,Productos!$E:$E,Productos!$A:$A,"",0,1))</f>
        <v/>
      </c>
      <c r="D347" s="14" t="str">
        <f t="shared" si="2"/>
        <v/>
      </c>
      <c r="E347" s="14"/>
      <c r="F347" s="15" t="str">
        <f t="shared" si="4"/>
        <v/>
      </c>
      <c r="G347" s="15" t="str">
        <f t="shared" ref="G347:H347" si="344">IF(OR(F347="",F347="Selecciona.."),"","Selecciona..")</f>
        <v/>
      </c>
      <c r="H347" s="13" t="str">
        <f t="shared" si="344"/>
        <v/>
      </c>
    </row>
    <row r="348">
      <c r="A348" s="14" t="str">
        <f t="shared" si="1"/>
        <v/>
      </c>
      <c r="B348" s="14" t="str">
        <f t="array" ref="B348">IF(OR(F348="",F348="Selecciona.."),"",XLOOKUP(F348,Productos!E:E,Productos!A:A,"",0,1))</f>
        <v/>
      </c>
      <c r="C348" s="14" t="str">
        <f t="array" ref="C348">IF(OR(G348="",G348="Selecciona.."),"",XLOOKUP(G348,Productos!$E:$E,Productos!$A:$A,"",0,1))</f>
        <v/>
      </c>
      <c r="D348" s="14" t="str">
        <f t="shared" si="2"/>
        <v/>
      </c>
      <c r="E348" s="14"/>
      <c r="F348" s="15" t="str">
        <f t="shared" si="4"/>
        <v/>
      </c>
      <c r="G348" s="15" t="str">
        <f t="shared" ref="G348:H348" si="345">IF(OR(F348="",F348="Selecciona.."),"","Selecciona..")</f>
        <v/>
      </c>
      <c r="H348" s="13" t="str">
        <f t="shared" si="345"/>
        <v/>
      </c>
    </row>
    <row r="349">
      <c r="A349" s="14" t="str">
        <f t="shared" si="1"/>
        <v/>
      </c>
      <c r="B349" s="14" t="str">
        <f t="array" ref="B349">IF(OR(F349="",F349="Selecciona.."),"",XLOOKUP(F349,Productos!E:E,Productos!A:A,"",0,1))</f>
        <v/>
      </c>
      <c r="C349" s="14" t="str">
        <f t="array" ref="C349">IF(OR(G349="",G349="Selecciona.."),"",XLOOKUP(G349,Productos!$E:$E,Productos!$A:$A,"",0,1))</f>
        <v/>
      </c>
      <c r="D349" s="14" t="str">
        <f t="shared" si="2"/>
        <v/>
      </c>
      <c r="E349" s="14"/>
      <c r="F349" s="15" t="str">
        <f t="shared" si="4"/>
        <v/>
      </c>
      <c r="G349" s="15" t="str">
        <f t="shared" ref="G349:H349" si="346">IF(OR(F349="",F349="Selecciona.."),"","Selecciona..")</f>
        <v/>
      </c>
      <c r="H349" s="13" t="str">
        <f t="shared" si="346"/>
        <v/>
      </c>
    </row>
    <row r="350">
      <c r="A350" s="14" t="str">
        <f t="shared" si="1"/>
        <v/>
      </c>
      <c r="B350" s="14" t="str">
        <f t="array" ref="B350">IF(OR(F350="",F350="Selecciona.."),"",XLOOKUP(F350,Productos!E:E,Productos!A:A,"",0,1))</f>
        <v/>
      </c>
      <c r="C350" s="14" t="str">
        <f t="array" ref="C350">IF(OR(G350="",G350="Selecciona.."),"",XLOOKUP(G350,Productos!$E:$E,Productos!$A:$A,"",0,1))</f>
        <v/>
      </c>
      <c r="D350" s="14" t="str">
        <f t="shared" si="2"/>
        <v/>
      </c>
      <c r="E350" s="14"/>
      <c r="F350" s="15" t="str">
        <f t="shared" si="4"/>
        <v/>
      </c>
      <c r="G350" s="15" t="str">
        <f t="shared" ref="G350:H350" si="347">IF(OR(F350="",F350="Selecciona.."),"","Selecciona..")</f>
        <v/>
      </c>
      <c r="H350" s="13" t="str">
        <f t="shared" si="347"/>
        <v/>
      </c>
    </row>
    <row r="351">
      <c r="A351" s="14" t="str">
        <f t="shared" si="1"/>
        <v/>
      </c>
      <c r="B351" s="14" t="str">
        <f t="array" ref="B351">IF(OR(F351="",F351="Selecciona.."),"",XLOOKUP(F351,Productos!E:E,Productos!A:A,"",0,1))</f>
        <v/>
      </c>
      <c r="C351" s="14" t="str">
        <f t="array" ref="C351">IF(OR(G351="",G351="Selecciona.."),"",XLOOKUP(G351,Productos!$E:$E,Productos!$A:$A,"",0,1))</f>
        <v/>
      </c>
      <c r="D351" s="14" t="str">
        <f t="shared" si="2"/>
        <v/>
      </c>
      <c r="E351" s="14"/>
      <c r="F351" s="15" t="str">
        <f t="shared" si="4"/>
        <v/>
      </c>
      <c r="G351" s="15" t="str">
        <f t="shared" ref="G351:H351" si="348">IF(OR(F351="",F351="Selecciona.."),"","Selecciona..")</f>
        <v/>
      </c>
      <c r="H351" s="13" t="str">
        <f t="shared" si="348"/>
        <v/>
      </c>
    </row>
    <row r="352">
      <c r="A352" s="14" t="str">
        <f t="shared" si="1"/>
        <v/>
      </c>
      <c r="B352" s="14" t="str">
        <f t="array" ref="B352">IF(OR(F352="",F352="Selecciona.."),"",XLOOKUP(F352,Productos!E:E,Productos!A:A,"",0,1))</f>
        <v/>
      </c>
      <c r="C352" s="14" t="str">
        <f t="array" ref="C352">IF(OR(G352="",G352="Selecciona.."),"",XLOOKUP(G352,Productos!$E:$E,Productos!$A:$A,"",0,1))</f>
        <v/>
      </c>
      <c r="D352" s="14" t="str">
        <f t="shared" si="2"/>
        <v/>
      </c>
      <c r="E352" s="14"/>
      <c r="F352" s="15" t="str">
        <f t="shared" si="4"/>
        <v/>
      </c>
      <c r="G352" s="15" t="str">
        <f t="shared" ref="G352:H352" si="349">IF(OR(F352="",F352="Selecciona.."),"","Selecciona..")</f>
        <v/>
      </c>
      <c r="H352" s="13" t="str">
        <f t="shared" si="349"/>
        <v/>
      </c>
    </row>
    <row r="353">
      <c r="A353" s="14" t="str">
        <f t="shared" si="1"/>
        <v/>
      </c>
      <c r="B353" s="14" t="str">
        <f t="array" ref="B353">IF(OR(F353="",F353="Selecciona.."),"",XLOOKUP(F353,Productos!E:E,Productos!A:A,"",0,1))</f>
        <v/>
      </c>
      <c r="C353" s="14" t="str">
        <f t="array" ref="C353">IF(OR(G353="",G353="Selecciona.."),"",XLOOKUP(G353,Productos!$E:$E,Productos!$A:$A,"",0,1))</f>
        <v/>
      </c>
      <c r="D353" s="14" t="str">
        <f t="shared" si="2"/>
        <v/>
      </c>
      <c r="E353" s="14"/>
      <c r="F353" s="15" t="str">
        <f t="shared" si="4"/>
        <v/>
      </c>
      <c r="G353" s="15" t="str">
        <f t="shared" ref="G353:H353" si="350">IF(OR(F353="",F353="Selecciona.."),"","Selecciona..")</f>
        <v/>
      </c>
      <c r="H353" s="13" t="str">
        <f t="shared" si="350"/>
        <v/>
      </c>
    </row>
    <row r="354">
      <c r="A354" s="14" t="str">
        <f t="shared" si="1"/>
        <v/>
      </c>
      <c r="B354" s="14" t="str">
        <f t="array" ref="B354">IF(OR(F354="",F354="Selecciona.."),"",XLOOKUP(F354,Productos!E:E,Productos!A:A,"",0,1))</f>
        <v/>
      </c>
      <c r="C354" s="14" t="str">
        <f t="array" ref="C354">IF(OR(G354="",G354="Selecciona.."),"",XLOOKUP(G354,Productos!$E:$E,Productos!$A:$A,"",0,1))</f>
        <v/>
      </c>
      <c r="D354" s="14" t="str">
        <f t="shared" si="2"/>
        <v/>
      </c>
      <c r="E354" s="14"/>
      <c r="F354" s="15" t="str">
        <f t="shared" si="4"/>
        <v/>
      </c>
      <c r="G354" s="15" t="str">
        <f t="shared" ref="G354:H354" si="351">IF(OR(F354="",F354="Selecciona.."),"","Selecciona..")</f>
        <v/>
      </c>
      <c r="H354" s="13" t="str">
        <f t="shared" si="351"/>
        <v/>
      </c>
    </row>
    <row r="355">
      <c r="A355" s="14" t="str">
        <f t="shared" si="1"/>
        <v/>
      </c>
      <c r="B355" s="14" t="str">
        <f t="array" ref="B355">IF(OR(F355="",F355="Selecciona.."),"",XLOOKUP(F355,Productos!E:E,Productos!A:A,"",0,1))</f>
        <v/>
      </c>
      <c r="C355" s="14" t="str">
        <f t="array" ref="C355">IF(OR(G355="",G355="Selecciona.."),"",XLOOKUP(G355,Productos!$E:$E,Productos!$A:$A,"",0,1))</f>
        <v/>
      </c>
      <c r="D355" s="14" t="str">
        <f t="shared" si="2"/>
        <v/>
      </c>
      <c r="E355" s="14"/>
      <c r="F355" s="15" t="str">
        <f t="shared" si="4"/>
        <v/>
      </c>
      <c r="G355" s="15" t="str">
        <f t="shared" ref="G355:H355" si="352">IF(OR(F355="",F355="Selecciona.."),"","Selecciona..")</f>
        <v/>
      </c>
      <c r="H355" s="13" t="str">
        <f t="shared" si="352"/>
        <v/>
      </c>
    </row>
    <row r="356">
      <c r="A356" s="14" t="str">
        <f t="shared" si="1"/>
        <v/>
      </c>
      <c r="B356" s="14" t="str">
        <f t="array" ref="B356">IF(OR(F356="",F356="Selecciona.."),"",XLOOKUP(F356,Productos!E:E,Productos!A:A,"",0,1))</f>
        <v/>
      </c>
      <c r="C356" s="14" t="str">
        <f t="array" ref="C356">IF(OR(G356="",G356="Selecciona.."),"",XLOOKUP(G356,Productos!$E:$E,Productos!$A:$A,"",0,1))</f>
        <v/>
      </c>
      <c r="D356" s="14" t="str">
        <f t="shared" si="2"/>
        <v/>
      </c>
      <c r="E356" s="14"/>
      <c r="F356" s="15" t="str">
        <f t="shared" si="4"/>
        <v/>
      </c>
      <c r="G356" s="15" t="str">
        <f t="shared" ref="G356:H356" si="353">IF(OR(F356="",F356="Selecciona.."),"","Selecciona..")</f>
        <v/>
      </c>
      <c r="H356" s="13" t="str">
        <f t="shared" si="353"/>
        <v/>
      </c>
    </row>
    <row r="357">
      <c r="A357" s="14" t="str">
        <f t="shared" si="1"/>
        <v/>
      </c>
      <c r="B357" s="14" t="str">
        <f t="array" ref="B357">IF(OR(F357="",F357="Selecciona.."),"",XLOOKUP(F357,Productos!E:E,Productos!A:A,"",0,1))</f>
        <v/>
      </c>
      <c r="C357" s="14" t="str">
        <f t="array" ref="C357">IF(OR(G357="",G357="Selecciona.."),"",XLOOKUP(G357,Productos!$E:$E,Productos!$A:$A,"",0,1))</f>
        <v/>
      </c>
      <c r="D357" s="14" t="str">
        <f t="shared" si="2"/>
        <v/>
      </c>
      <c r="E357" s="14"/>
      <c r="F357" s="15" t="str">
        <f t="shared" si="4"/>
        <v/>
      </c>
      <c r="G357" s="15" t="str">
        <f t="shared" ref="G357:H357" si="354">IF(OR(F357="",F357="Selecciona.."),"","Selecciona..")</f>
        <v/>
      </c>
      <c r="H357" s="13" t="str">
        <f t="shared" si="354"/>
        <v/>
      </c>
    </row>
    <row r="358">
      <c r="A358" s="14" t="str">
        <f t="shared" si="1"/>
        <v/>
      </c>
      <c r="B358" s="14" t="str">
        <f t="array" ref="B358">IF(OR(F358="",F358="Selecciona.."),"",XLOOKUP(F358,Productos!E:E,Productos!A:A,"",0,1))</f>
        <v/>
      </c>
      <c r="C358" s="14" t="str">
        <f t="array" ref="C358">IF(OR(G358="",G358="Selecciona.."),"",XLOOKUP(G358,Productos!$E:$E,Productos!$A:$A,"",0,1))</f>
        <v/>
      </c>
      <c r="D358" s="14" t="str">
        <f t="shared" si="2"/>
        <v/>
      </c>
      <c r="E358" s="14"/>
      <c r="F358" s="15" t="str">
        <f t="shared" si="4"/>
        <v/>
      </c>
      <c r="G358" s="15" t="str">
        <f t="shared" ref="G358:H358" si="355">IF(OR(F358="",F358="Selecciona.."),"","Selecciona..")</f>
        <v/>
      </c>
      <c r="H358" s="13" t="str">
        <f t="shared" si="355"/>
        <v/>
      </c>
    </row>
    <row r="359">
      <c r="A359" s="14" t="str">
        <f t="shared" si="1"/>
        <v/>
      </c>
      <c r="B359" s="14" t="str">
        <f t="array" ref="B359">IF(OR(F359="",F359="Selecciona.."),"",XLOOKUP(F359,Productos!E:E,Productos!A:A,"",0,1))</f>
        <v/>
      </c>
      <c r="C359" s="14" t="str">
        <f t="array" ref="C359">IF(OR(G359="",G359="Selecciona.."),"",XLOOKUP(G359,Productos!$E:$E,Productos!$A:$A,"",0,1))</f>
        <v/>
      </c>
      <c r="D359" s="14" t="str">
        <f t="shared" si="2"/>
        <v/>
      </c>
      <c r="E359" s="14"/>
      <c r="F359" s="15" t="str">
        <f t="shared" si="4"/>
        <v/>
      </c>
      <c r="G359" s="15" t="str">
        <f t="shared" ref="G359:H359" si="356">IF(OR(F359="",F359="Selecciona.."),"","Selecciona..")</f>
        <v/>
      </c>
      <c r="H359" s="13" t="str">
        <f t="shared" si="356"/>
        <v/>
      </c>
    </row>
    <row r="360">
      <c r="A360" s="14" t="str">
        <f t="shared" si="1"/>
        <v/>
      </c>
      <c r="B360" s="14" t="str">
        <f t="array" ref="B360">IF(OR(F360="",F360="Selecciona.."),"",XLOOKUP(F360,Productos!E:E,Productos!A:A,"",0,1))</f>
        <v/>
      </c>
      <c r="C360" s="14" t="str">
        <f t="array" ref="C360">IF(OR(G360="",G360="Selecciona.."),"",XLOOKUP(G360,Productos!$E:$E,Productos!$A:$A,"",0,1))</f>
        <v/>
      </c>
      <c r="D360" s="14" t="str">
        <f t="shared" si="2"/>
        <v/>
      </c>
      <c r="E360" s="14"/>
      <c r="F360" s="15" t="str">
        <f t="shared" si="4"/>
        <v/>
      </c>
      <c r="G360" s="15" t="str">
        <f t="shared" ref="G360:H360" si="357">IF(OR(F360="",F360="Selecciona.."),"","Selecciona..")</f>
        <v/>
      </c>
      <c r="H360" s="13" t="str">
        <f t="shared" si="357"/>
        <v/>
      </c>
    </row>
    <row r="361">
      <c r="A361" s="14" t="str">
        <f t="shared" si="1"/>
        <v/>
      </c>
      <c r="B361" s="14" t="str">
        <f t="array" ref="B361">IF(OR(F361="",F361="Selecciona.."),"",XLOOKUP(F361,Productos!E:E,Productos!A:A,"",0,1))</f>
        <v/>
      </c>
      <c r="C361" s="14" t="str">
        <f t="array" ref="C361">IF(OR(G361="",G361="Selecciona.."),"",XLOOKUP(G361,Productos!$E:$E,Productos!$A:$A,"",0,1))</f>
        <v/>
      </c>
      <c r="D361" s="14" t="str">
        <f t="shared" si="2"/>
        <v/>
      </c>
      <c r="E361" s="14"/>
      <c r="F361" s="15" t="str">
        <f t="shared" si="4"/>
        <v/>
      </c>
      <c r="G361" s="15" t="str">
        <f t="shared" ref="G361:H361" si="358">IF(OR(F361="",F361="Selecciona.."),"","Selecciona..")</f>
        <v/>
      </c>
      <c r="H361" s="13" t="str">
        <f t="shared" si="358"/>
        <v/>
      </c>
    </row>
    <row r="362">
      <c r="A362" s="14" t="str">
        <f t="shared" si="1"/>
        <v/>
      </c>
      <c r="B362" s="14" t="str">
        <f t="array" ref="B362">IF(OR(F362="",F362="Selecciona.."),"",XLOOKUP(F362,Productos!E:E,Productos!A:A,"",0,1))</f>
        <v/>
      </c>
      <c r="C362" s="14" t="str">
        <f t="array" ref="C362">IF(OR(G362="",G362="Selecciona.."),"",XLOOKUP(G362,Productos!$E:$E,Productos!$A:$A,"",0,1))</f>
        <v/>
      </c>
      <c r="D362" s="14" t="str">
        <f t="shared" si="2"/>
        <v/>
      </c>
      <c r="E362" s="14"/>
      <c r="F362" s="15" t="str">
        <f t="shared" si="4"/>
        <v/>
      </c>
      <c r="G362" s="15" t="str">
        <f t="shared" ref="G362:H362" si="359">IF(OR(F362="",F362="Selecciona.."),"","Selecciona..")</f>
        <v/>
      </c>
      <c r="H362" s="13" t="str">
        <f t="shared" si="359"/>
        <v/>
      </c>
    </row>
    <row r="363">
      <c r="A363" s="14" t="str">
        <f t="shared" si="1"/>
        <v/>
      </c>
      <c r="B363" s="14" t="str">
        <f t="array" ref="B363">IF(OR(F363="",F363="Selecciona.."),"",XLOOKUP(F363,Productos!E:E,Productos!A:A,"",0,1))</f>
        <v/>
      </c>
      <c r="C363" s="14" t="str">
        <f t="array" ref="C363">IF(OR(G363="",G363="Selecciona.."),"",XLOOKUP(G363,Productos!$E:$E,Productos!$A:$A,"",0,1))</f>
        <v/>
      </c>
      <c r="D363" s="14" t="str">
        <f t="shared" si="2"/>
        <v/>
      </c>
      <c r="E363" s="14"/>
      <c r="F363" s="15" t="str">
        <f t="shared" si="4"/>
        <v/>
      </c>
      <c r="G363" s="15" t="str">
        <f t="shared" ref="G363:H363" si="360">IF(OR(F363="",F363="Selecciona.."),"","Selecciona..")</f>
        <v/>
      </c>
      <c r="H363" s="13" t="str">
        <f t="shared" si="360"/>
        <v/>
      </c>
    </row>
    <row r="364">
      <c r="A364" s="14" t="str">
        <f t="shared" si="1"/>
        <v/>
      </c>
      <c r="B364" s="14" t="str">
        <f t="array" ref="B364">IF(OR(F364="",F364="Selecciona.."),"",XLOOKUP(F364,Productos!E:E,Productos!A:A,"",0,1))</f>
        <v/>
      </c>
      <c r="C364" s="14" t="str">
        <f t="array" ref="C364">IF(OR(G364="",G364="Selecciona.."),"",XLOOKUP(G364,Productos!$E:$E,Productos!$A:$A,"",0,1))</f>
        <v/>
      </c>
      <c r="D364" s="14" t="str">
        <f t="shared" si="2"/>
        <v/>
      </c>
      <c r="E364" s="14"/>
      <c r="F364" s="15" t="str">
        <f t="shared" si="4"/>
        <v/>
      </c>
      <c r="G364" s="15" t="str">
        <f t="shared" ref="G364:H364" si="361">IF(OR(F364="",F364="Selecciona.."),"","Selecciona..")</f>
        <v/>
      </c>
      <c r="H364" s="13" t="str">
        <f t="shared" si="361"/>
        <v/>
      </c>
    </row>
    <row r="365">
      <c r="A365" s="14" t="str">
        <f t="shared" si="1"/>
        <v/>
      </c>
      <c r="B365" s="14" t="str">
        <f t="array" ref="B365">IF(OR(F365="",F365="Selecciona.."),"",XLOOKUP(F365,Productos!E:E,Productos!A:A,"",0,1))</f>
        <v/>
      </c>
      <c r="C365" s="14" t="str">
        <f t="array" ref="C365">IF(OR(G365="",G365="Selecciona.."),"",XLOOKUP(G365,Productos!$E:$E,Productos!$A:$A,"",0,1))</f>
        <v/>
      </c>
      <c r="D365" s="14" t="str">
        <f t="shared" si="2"/>
        <v/>
      </c>
      <c r="E365" s="14"/>
      <c r="F365" s="15" t="str">
        <f t="shared" si="4"/>
        <v/>
      </c>
      <c r="G365" s="15" t="str">
        <f t="shared" ref="G365:H365" si="362">IF(OR(F365="",F365="Selecciona.."),"","Selecciona..")</f>
        <v/>
      </c>
      <c r="H365" s="13" t="str">
        <f t="shared" si="362"/>
        <v/>
      </c>
    </row>
    <row r="366">
      <c r="A366" s="14" t="str">
        <f t="shared" si="1"/>
        <v/>
      </c>
      <c r="B366" s="14" t="str">
        <f t="array" ref="B366">IF(OR(F366="",F366="Selecciona.."),"",XLOOKUP(F366,Productos!E:E,Productos!A:A,"",0,1))</f>
        <v/>
      </c>
      <c r="C366" s="14" t="str">
        <f t="array" ref="C366">IF(OR(G366="",G366="Selecciona.."),"",XLOOKUP(G366,Productos!$E:$E,Productos!$A:$A,"",0,1))</f>
        <v/>
      </c>
      <c r="D366" s="14" t="str">
        <f t="shared" si="2"/>
        <v/>
      </c>
      <c r="E366" s="14"/>
      <c r="F366" s="15" t="str">
        <f t="shared" si="4"/>
        <v/>
      </c>
      <c r="G366" s="15" t="str">
        <f t="shared" ref="G366:H366" si="363">IF(OR(F366="",F366="Selecciona.."),"","Selecciona..")</f>
        <v/>
      </c>
      <c r="H366" s="13" t="str">
        <f t="shared" si="363"/>
        <v/>
      </c>
    </row>
    <row r="367">
      <c r="A367" s="14" t="str">
        <f t="shared" si="1"/>
        <v/>
      </c>
      <c r="B367" s="14" t="str">
        <f t="array" ref="B367">IF(OR(F367="",F367="Selecciona.."),"",XLOOKUP(F367,Productos!E:E,Productos!A:A,"",0,1))</f>
        <v/>
      </c>
      <c r="C367" s="14" t="str">
        <f t="array" ref="C367">IF(OR(G367="",G367="Selecciona.."),"",XLOOKUP(G367,Productos!$E:$E,Productos!$A:$A,"",0,1))</f>
        <v/>
      </c>
      <c r="D367" s="14" t="str">
        <f t="shared" si="2"/>
        <v/>
      </c>
      <c r="E367" s="14"/>
      <c r="F367" s="15" t="str">
        <f t="shared" si="4"/>
        <v/>
      </c>
      <c r="G367" s="15" t="str">
        <f t="shared" ref="G367:H367" si="364">IF(OR(F367="",F367="Selecciona.."),"","Selecciona..")</f>
        <v/>
      </c>
      <c r="H367" s="13" t="str">
        <f t="shared" si="364"/>
        <v/>
      </c>
    </row>
    <row r="368">
      <c r="A368" s="14" t="str">
        <f t="shared" si="1"/>
        <v/>
      </c>
      <c r="B368" s="14" t="str">
        <f t="array" ref="B368">IF(OR(F368="",F368="Selecciona.."),"",XLOOKUP(F368,Productos!E:E,Productos!A:A,"",0,1))</f>
        <v/>
      </c>
      <c r="C368" s="14" t="str">
        <f t="array" ref="C368">IF(OR(G368="",G368="Selecciona.."),"",XLOOKUP(G368,Productos!$E:$E,Productos!$A:$A,"",0,1))</f>
        <v/>
      </c>
      <c r="D368" s="14" t="str">
        <f t="shared" si="2"/>
        <v/>
      </c>
      <c r="E368" s="14"/>
      <c r="F368" s="15" t="str">
        <f t="shared" si="4"/>
        <v/>
      </c>
      <c r="G368" s="15" t="str">
        <f t="shared" ref="G368:H368" si="365">IF(OR(F368="",F368="Selecciona.."),"","Selecciona..")</f>
        <v/>
      </c>
      <c r="H368" s="13" t="str">
        <f t="shared" si="365"/>
        <v/>
      </c>
    </row>
    <row r="369">
      <c r="A369" s="14" t="str">
        <f t="shared" si="1"/>
        <v/>
      </c>
      <c r="B369" s="14" t="str">
        <f t="array" ref="B369">IF(OR(F369="",F369="Selecciona.."),"",XLOOKUP(F369,Productos!E:E,Productos!A:A,"",0,1))</f>
        <v/>
      </c>
      <c r="C369" s="14" t="str">
        <f t="array" ref="C369">IF(OR(G369="",G369="Selecciona.."),"",XLOOKUP(G369,Productos!$E:$E,Productos!$A:$A,"",0,1))</f>
        <v/>
      </c>
      <c r="D369" s="14" t="str">
        <f t="shared" si="2"/>
        <v/>
      </c>
      <c r="E369" s="14"/>
      <c r="F369" s="15" t="str">
        <f t="shared" si="4"/>
        <v/>
      </c>
      <c r="G369" s="15" t="str">
        <f t="shared" ref="G369:H369" si="366">IF(OR(F369="",F369="Selecciona.."),"","Selecciona..")</f>
        <v/>
      </c>
      <c r="H369" s="13" t="str">
        <f t="shared" si="366"/>
        <v/>
      </c>
    </row>
    <row r="370">
      <c r="A370" s="14" t="str">
        <f t="shared" si="1"/>
        <v/>
      </c>
      <c r="B370" s="14" t="str">
        <f t="array" ref="B370">IF(OR(F370="",F370="Selecciona.."),"",XLOOKUP(F370,Productos!E:E,Productos!A:A,"",0,1))</f>
        <v/>
      </c>
      <c r="C370" s="14" t="str">
        <f t="array" ref="C370">IF(OR(G370="",G370="Selecciona.."),"",XLOOKUP(G370,Productos!$E:$E,Productos!$A:$A,"",0,1))</f>
        <v/>
      </c>
      <c r="D370" s="14" t="str">
        <f t="shared" si="2"/>
        <v/>
      </c>
      <c r="E370" s="14"/>
      <c r="F370" s="15" t="str">
        <f t="shared" si="4"/>
        <v/>
      </c>
      <c r="G370" s="15" t="str">
        <f t="shared" ref="G370:H370" si="367">IF(OR(F370="",F370="Selecciona.."),"","Selecciona..")</f>
        <v/>
      </c>
      <c r="H370" s="13" t="str">
        <f t="shared" si="367"/>
        <v/>
      </c>
    </row>
    <row r="371">
      <c r="A371" s="14" t="str">
        <f t="shared" si="1"/>
        <v/>
      </c>
      <c r="B371" s="14" t="str">
        <f t="array" ref="B371">IF(OR(F371="",F371="Selecciona.."),"",XLOOKUP(F371,Productos!E:E,Productos!A:A,"",0,1))</f>
        <v/>
      </c>
      <c r="C371" s="14" t="str">
        <f t="array" ref="C371">IF(OR(G371="",G371="Selecciona.."),"",XLOOKUP(G371,Productos!$E:$E,Productos!$A:$A,"",0,1))</f>
        <v/>
      </c>
      <c r="D371" s="14" t="str">
        <f t="shared" si="2"/>
        <v/>
      </c>
      <c r="E371" s="14"/>
      <c r="F371" s="15" t="str">
        <f t="shared" si="4"/>
        <v/>
      </c>
      <c r="G371" s="15" t="str">
        <f t="shared" ref="G371:H371" si="368">IF(OR(F371="",F371="Selecciona.."),"","Selecciona..")</f>
        <v/>
      </c>
      <c r="H371" s="13" t="str">
        <f t="shared" si="368"/>
        <v/>
      </c>
    </row>
    <row r="372">
      <c r="A372" s="14" t="str">
        <f t="shared" si="1"/>
        <v/>
      </c>
      <c r="B372" s="14" t="str">
        <f t="array" ref="B372">IF(OR(F372="",F372="Selecciona.."),"",XLOOKUP(F372,Productos!E:E,Productos!A:A,"",0,1))</f>
        <v/>
      </c>
      <c r="C372" s="14" t="str">
        <f t="array" ref="C372">IF(OR(G372="",G372="Selecciona.."),"",XLOOKUP(G372,Productos!$E:$E,Productos!$A:$A,"",0,1))</f>
        <v/>
      </c>
      <c r="D372" s="14" t="str">
        <f t="shared" si="2"/>
        <v/>
      </c>
      <c r="E372" s="14"/>
      <c r="F372" s="15" t="str">
        <f t="shared" si="4"/>
        <v/>
      </c>
      <c r="G372" s="15" t="str">
        <f t="shared" ref="G372:H372" si="369">IF(OR(F372="",F372="Selecciona.."),"","Selecciona..")</f>
        <v/>
      </c>
      <c r="H372" s="13" t="str">
        <f t="shared" si="369"/>
        <v/>
      </c>
    </row>
    <row r="373">
      <c r="A373" s="14" t="str">
        <f t="shared" si="1"/>
        <v/>
      </c>
      <c r="B373" s="14" t="str">
        <f t="array" ref="B373">IF(OR(F373="",F373="Selecciona.."),"",XLOOKUP(F373,Productos!E:E,Productos!A:A,"",0,1))</f>
        <v/>
      </c>
      <c r="C373" s="14" t="str">
        <f t="array" ref="C373">IF(OR(G373="",G373="Selecciona.."),"",XLOOKUP(G373,Productos!$E:$E,Productos!$A:$A,"",0,1))</f>
        <v/>
      </c>
      <c r="D373" s="14" t="str">
        <f t="shared" si="2"/>
        <v/>
      </c>
      <c r="E373" s="14"/>
      <c r="F373" s="15" t="str">
        <f t="shared" si="4"/>
        <v/>
      </c>
      <c r="G373" s="15" t="str">
        <f t="shared" ref="G373:H373" si="370">IF(OR(F373="",F373="Selecciona.."),"","Selecciona..")</f>
        <v/>
      </c>
      <c r="H373" s="13" t="str">
        <f t="shared" si="370"/>
        <v/>
      </c>
    </row>
    <row r="374">
      <c r="A374" s="14" t="str">
        <f t="shared" si="1"/>
        <v/>
      </c>
      <c r="B374" s="14" t="str">
        <f t="array" ref="B374">IF(OR(F374="",F374="Selecciona.."),"",XLOOKUP(F374,Productos!E:E,Productos!A:A,"",0,1))</f>
        <v/>
      </c>
      <c r="C374" s="14" t="str">
        <f t="array" ref="C374">IF(OR(G374="",G374="Selecciona.."),"",XLOOKUP(G374,Productos!$E:$E,Productos!$A:$A,"",0,1))</f>
        <v/>
      </c>
      <c r="D374" s="14" t="str">
        <f t="shared" si="2"/>
        <v/>
      </c>
      <c r="E374" s="14"/>
      <c r="F374" s="15" t="str">
        <f t="shared" si="4"/>
        <v/>
      </c>
      <c r="G374" s="15" t="str">
        <f t="shared" ref="G374:H374" si="371">IF(OR(F374="",F374="Selecciona.."),"","Selecciona..")</f>
        <v/>
      </c>
      <c r="H374" s="13" t="str">
        <f t="shared" si="371"/>
        <v/>
      </c>
    </row>
    <row r="375">
      <c r="A375" s="14" t="str">
        <f t="shared" si="1"/>
        <v/>
      </c>
      <c r="B375" s="14" t="str">
        <f t="array" ref="B375">IF(OR(F375="",F375="Selecciona.."),"",XLOOKUP(F375,Productos!E:E,Productos!A:A,"",0,1))</f>
        <v/>
      </c>
      <c r="C375" s="14" t="str">
        <f t="array" ref="C375">IF(OR(G375="",G375="Selecciona.."),"",XLOOKUP(G375,Productos!$E:$E,Productos!$A:$A,"",0,1))</f>
        <v/>
      </c>
      <c r="D375" s="14" t="str">
        <f t="shared" si="2"/>
        <v/>
      </c>
      <c r="E375" s="14"/>
      <c r="F375" s="15" t="str">
        <f t="shared" si="4"/>
        <v/>
      </c>
      <c r="G375" s="15" t="str">
        <f t="shared" ref="G375:H375" si="372">IF(OR(F375="",F375="Selecciona.."),"","Selecciona..")</f>
        <v/>
      </c>
      <c r="H375" s="13" t="str">
        <f t="shared" si="372"/>
        <v/>
      </c>
    </row>
    <row r="376">
      <c r="A376" s="14" t="str">
        <f t="shared" si="1"/>
        <v/>
      </c>
      <c r="B376" s="14" t="str">
        <f t="array" ref="B376">IF(OR(F376="",F376="Selecciona.."),"",XLOOKUP(F376,Productos!E:E,Productos!A:A,"",0,1))</f>
        <v/>
      </c>
      <c r="C376" s="14" t="str">
        <f t="array" ref="C376">IF(OR(G376="",G376="Selecciona.."),"",XLOOKUP(G376,Productos!$E:$E,Productos!$A:$A,"",0,1))</f>
        <v/>
      </c>
      <c r="D376" s="14" t="str">
        <f t="shared" si="2"/>
        <v/>
      </c>
      <c r="E376" s="14"/>
      <c r="F376" s="15" t="str">
        <f t="shared" si="4"/>
        <v/>
      </c>
      <c r="G376" s="15" t="str">
        <f t="shared" ref="G376:H376" si="373">IF(OR(F376="",F376="Selecciona.."),"","Selecciona..")</f>
        <v/>
      </c>
      <c r="H376" s="13" t="str">
        <f t="shared" si="373"/>
        <v/>
      </c>
    </row>
    <row r="377">
      <c r="A377" s="14" t="str">
        <f t="shared" si="1"/>
        <v/>
      </c>
      <c r="B377" s="14" t="str">
        <f t="array" ref="B377">IF(OR(F377="",F377="Selecciona.."),"",XLOOKUP(F377,Productos!E:E,Productos!A:A,"",0,1))</f>
        <v/>
      </c>
      <c r="C377" s="14" t="str">
        <f t="array" ref="C377">IF(OR(G377="",G377="Selecciona.."),"",XLOOKUP(G377,Productos!$E:$E,Productos!$A:$A,"",0,1))</f>
        <v/>
      </c>
      <c r="D377" s="14" t="str">
        <f t="shared" si="2"/>
        <v/>
      </c>
      <c r="E377" s="14"/>
      <c r="F377" s="15" t="str">
        <f t="shared" si="4"/>
        <v/>
      </c>
      <c r="G377" s="15" t="str">
        <f t="shared" ref="G377:H377" si="374">IF(OR(F377="",F377="Selecciona.."),"","Selecciona..")</f>
        <v/>
      </c>
      <c r="H377" s="13" t="str">
        <f t="shared" si="374"/>
        <v/>
      </c>
    </row>
    <row r="378">
      <c r="A378" s="14" t="str">
        <f t="shared" si="1"/>
        <v/>
      </c>
      <c r="B378" s="14" t="str">
        <f t="array" ref="B378">IF(OR(F378="",F378="Selecciona.."),"",XLOOKUP(F378,Productos!E:E,Productos!A:A,"",0,1))</f>
        <v/>
      </c>
      <c r="C378" s="14" t="str">
        <f t="array" ref="C378">IF(OR(G378="",G378="Selecciona.."),"",XLOOKUP(G378,Productos!$E:$E,Productos!$A:$A,"",0,1))</f>
        <v/>
      </c>
      <c r="D378" s="14" t="str">
        <f t="shared" si="2"/>
        <v/>
      </c>
      <c r="E378" s="14"/>
      <c r="F378" s="15" t="str">
        <f t="shared" si="4"/>
        <v/>
      </c>
      <c r="G378" s="15" t="str">
        <f t="shared" ref="G378:H378" si="375">IF(OR(F378="",F378="Selecciona.."),"","Selecciona..")</f>
        <v/>
      </c>
      <c r="H378" s="13" t="str">
        <f t="shared" si="375"/>
        <v/>
      </c>
    </row>
    <row r="379">
      <c r="A379" s="14" t="str">
        <f t="shared" si="1"/>
        <v/>
      </c>
      <c r="B379" s="14" t="str">
        <f t="array" ref="B379">IF(OR(F379="",F379="Selecciona.."),"",XLOOKUP(F379,Productos!E:E,Productos!A:A,"",0,1))</f>
        <v/>
      </c>
      <c r="C379" s="14" t="str">
        <f t="array" ref="C379">IF(OR(G379="",G379="Selecciona.."),"",XLOOKUP(G379,Productos!$E:$E,Productos!$A:$A,"",0,1))</f>
        <v/>
      </c>
      <c r="D379" s="14" t="str">
        <f t="shared" si="2"/>
        <v/>
      </c>
      <c r="E379" s="14"/>
      <c r="F379" s="15" t="str">
        <f t="shared" si="4"/>
        <v/>
      </c>
      <c r="G379" s="15" t="str">
        <f t="shared" ref="G379:H379" si="376">IF(OR(F379="",F379="Selecciona.."),"","Selecciona..")</f>
        <v/>
      </c>
      <c r="H379" s="13" t="str">
        <f t="shared" si="376"/>
        <v/>
      </c>
    </row>
    <row r="380">
      <c r="A380" s="14" t="str">
        <f t="shared" si="1"/>
        <v/>
      </c>
      <c r="B380" s="14" t="str">
        <f t="array" ref="B380">IF(OR(F380="",F380="Selecciona.."),"",XLOOKUP(F380,Productos!E:E,Productos!A:A,"",0,1))</f>
        <v/>
      </c>
      <c r="C380" s="14" t="str">
        <f t="array" ref="C380">IF(OR(G380="",G380="Selecciona.."),"",XLOOKUP(G380,Productos!$E:$E,Productos!$A:$A,"",0,1))</f>
        <v/>
      </c>
      <c r="D380" s="14" t="str">
        <f t="shared" si="2"/>
        <v/>
      </c>
      <c r="E380" s="14"/>
      <c r="F380" s="15" t="str">
        <f t="shared" si="4"/>
        <v/>
      </c>
      <c r="G380" s="15" t="str">
        <f t="shared" ref="G380:H380" si="377">IF(OR(F380="",F380="Selecciona.."),"","Selecciona..")</f>
        <v/>
      </c>
      <c r="H380" s="13" t="str">
        <f t="shared" si="377"/>
        <v/>
      </c>
    </row>
    <row r="381">
      <c r="A381" s="14" t="str">
        <f t="shared" si="1"/>
        <v/>
      </c>
      <c r="B381" s="14" t="str">
        <f t="array" ref="B381">IF(OR(F381="",F381="Selecciona.."),"",XLOOKUP(F381,Productos!E:E,Productos!A:A,"",0,1))</f>
        <v/>
      </c>
      <c r="C381" s="14" t="str">
        <f t="array" ref="C381">IF(OR(G381="",G381="Selecciona.."),"",XLOOKUP(G381,Productos!$E:$E,Productos!$A:$A,"",0,1))</f>
        <v/>
      </c>
      <c r="D381" s="14" t="str">
        <f t="shared" si="2"/>
        <v/>
      </c>
      <c r="E381" s="14"/>
      <c r="F381" s="15" t="str">
        <f t="shared" si="4"/>
        <v/>
      </c>
      <c r="G381" s="15" t="str">
        <f t="shared" ref="G381:H381" si="378">IF(OR(F381="",F381="Selecciona.."),"","Selecciona..")</f>
        <v/>
      </c>
      <c r="H381" s="13" t="str">
        <f t="shared" si="378"/>
        <v/>
      </c>
    </row>
    <row r="382">
      <c r="A382" s="14" t="str">
        <f t="shared" si="1"/>
        <v/>
      </c>
      <c r="B382" s="14" t="str">
        <f t="array" ref="B382">IF(OR(F382="",F382="Selecciona.."),"",XLOOKUP(F382,Productos!E:E,Productos!A:A,"",0,1))</f>
        <v/>
      </c>
      <c r="C382" s="14" t="str">
        <f t="array" ref="C382">IF(OR(G382="",G382="Selecciona.."),"",XLOOKUP(G382,Productos!$E:$E,Productos!$A:$A,"",0,1))</f>
        <v/>
      </c>
      <c r="D382" s="14" t="str">
        <f t="shared" si="2"/>
        <v/>
      </c>
      <c r="E382" s="14"/>
      <c r="F382" s="15" t="str">
        <f t="shared" si="4"/>
        <v/>
      </c>
      <c r="G382" s="15" t="str">
        <f t="shared" ref="G382:H382" si="379">IF(OR(F382="",F382="Selecciona.."),"","Selecciona..")</f>
        <v/>
      </c>
      <c r="H382" s="13" t="str">
        <f t="shared" si="379"/>
        <v/>
      </c>
    </row>
    <row r="383">
      <c r="A383" s="14" t="str">
        <f t="shared" si="1"/>
        <v/>
      </c>
      <c r="B383" s="14" t="str">
        <f t="array" ref="B383">IF(OR(F383="",F383="Selecciona.."),"",XLOOKUP(F383,Productos!E:E,Productos!A:A,"",0,1))</f>
        <v/>
      </c>
      <c r="C383" s="14" t="str">
        <f t="array" ref="C383">IF(OR(G383="",G383="Selecciona.."),"",XLOOKUP(G383,Productos!$E:$E,Productos!$A:$A,"",0,1))</f>
        <v/>
      </c>
      <c r="D383" s="14" t="str">
        <f t="shared" si="2"/>
        <v/>
      </c>
      <c r="E383" s="14"/>
      <c r="F383" s="15" t="str">
        <f t="shared" si="4"/>
        <v/>
      </c>
      <c r="G383" s="15" t="str">
        <f t="shared" ref="G383:H383" si="380">IF(OR(F383="",F383="Selecciona.."),"","Selecciona..")</f>
        <v/>
      </c>
      <c r="H383" s="13" t="str">
        <f t="shared" si="380"/>
        <v/>
      </c>
    </row>
    <row r="384">
      <c r="A384" s="14" t="str">
        <f t="shared" si="1"/>
        <v/>
      </c>
      <c r="B384" s="14" t="str">
        <f t="array" ref="B384">IF(OR(F384="",F384="Selecciona.."),"",XLOOKUP(F384,Productos!E:E,Productos!A:A,"",0,1))</f>
        <v/>
      </c>
      <c r="C384" s="14" t="str">
        <f t="array" ref="C384">IF(OR(G384="",G384="Selecciona.."),"",XLOOKUP(G384,Productos!$E:$E,Productos!$A:$A,"",0,1))</f>
        <v/>
      </c>
      <c r="D384" s="14" t="str">
        <f t="shared" si="2"/>
        <v/>
      </c>
      <c r="E384" s="14"/>
      <c r="F384" s="15" t="str">
        <f t="shared" si="4"/>
        <v/>
      </c>
      <c r="G384" s="15" t="str">
        <f t="shared" ref="G384:H384" si="381">IF(OR(F384="",F384="Selecciona.."),"","Selecciona..")</f>
        <v/>
      </c>
      <c r="H384" s="13" t="str">
        <f t="shared" si="381"/>
        <v/>
      </c>
    </row>
    <row r="385">
      <c r="A385" s="14" t="str">
        <f t="shared" si="1"/>
        <v/>
      </c>
      <c r="B385" s="14" t="str">
        <f t="array" ref="B385">IF(OR(F385="",F385="Selecciona.."),"",XLOOKUP(F385,Productos!E:E,Productos!A:A,"",0,1))</f>
        <v/>
      </c>
      <c r="C385" s="14" t="str">
        <f t="array" ref="C385">IF(OR(G385="",G385="Selecciona.."),"",XLOOKUP(G385,Productos!$E:$E,Productos!$A:$A,"",0,1))</f>
        <v/>
      </c>
      <c r="D385" s="14" t="str">
        <f t="shared" si="2"/>
        <v/>
      </c>
      <c r="E385" s="14"/>
      <c r="F385" s="15" t="str">
        <f t="shared" si="4"/>
        <v/>
      </c>
      <c r="G385" s="15" t="str">
        <f t="shared" ref="G385:H385" si="382">IF(OR(F385="",F385="Selecciona.."),"","Selecciona..")</f>
        <v/>
      </c>
      <c r="H385" s="13" t="str">
        <f t="shared" si="382"/>
        <v/>
      </c>
    </row>
    <row r="386">
      <c r="A386" s="14" t="str">
        <f t="shared" si="1"/>
        <v/>
      </c>
      <c r="B386" s="14" t="str">
        <f t="array" ref="B386">IF(OR(F386="",F386="Selecciona.."),"",XLOOKUP(F386,Productos!E:E,Productos!A:A,"",0,1))</f>
        <v/>
      </c>
      <c r="C386" s="14" t="str">
        <f t="array" ref="C386">IF(OR(G386="",G386="Selecciona.."),"",XLOOKUP(G386,Productos!$E:$E,Productos!$A:$A,"",0,1))</f>
        <v/>
      </c>
      <c r="D386" s="14" t="str">
        <f t="shared" si="2"/>
        <v/>
      </c>
      <c r="E386" s="14"/>
      <c r="F386" s="15" t="str">
        <f t="shared" si="4"/>
        <v/>
      </c>
      <c r="G386" s="15" t="str">
        <f t="shared" ref="G386:H386" si="383">IF(OR(F386="",F386="Selecciona.."),"","Selecciona..")</f>
        <v/>
      </c>
      <c r="H386" s="13" t="str">
        <f t="shared" si="383"/>
        <v/>
      </c>
    </row>
    <row r="387">
      <c r="A387" s="14" t="str">
        <f t="shared" si="1"/>
        <v/>
      </c>
      <c r="B387" s="14" t="str">
        <f t="array" ref="B387">IF(OR(F387="",F387="Selecciona.."),"",XLOOKUP(F387,Productos!E:E,Productos!A:A,"",0,1))</f>
        <v/>
      </c>
      <c r="C387" s="14" t="str">
        <f t="array" ref="C387">IF(OR(G387="",G387="Selecciona.."),"",XLOOKUP(G387,Productos!$E:$E,Productos!$A:$A,"",0,1))</f>
        <v/>
      </c>
      <c r="D387" s="14" t="str">
        <f t="shared" si="2"/>
        <v/>
      </c>
      <c r="E387" s="14"/>
      <c r="F387" s="15" t="str">
        <f t="shared" si="4"/>
        <v/>
      </c>
      <c r="G387" s="15" t="str">
        <f t="shared" ref="G387:H387" si="384">IF(OR(F387="",F387="Selecciona.."),"","Selecciona..")</f>
        <v/>
      </c>
      <c r="H387" s="13" t="str">
        <f t="shared" si="384"/>
        <v/>
      </c>
    </row>
    <row r="388">
      <c r="A388" s="14" t="str">
        <f t="shared" si="1"/>
        <v/>
      </c>
      <c r="B388" s="14" t="str">
        <f t="array" ref="B388">IF(OR(F388="",F388="Selecciona.."),"",XLOOKUP(F388,Productos!E:E,Productos!A:A,"",0,1))</f>
        <v/>
      </c>
      <c r="C388" s="14" t="str">
        <f t="array" ref="C388">IF(OR(G388="",G388="Selecciona.."),"",XLOOKUP(G388,Productos!$E:$E,Productos!$A:$A,"",0,1))</f>
        <v/>
      </c>
      <c r="D388" s="14" t="str">
        <f t="shared" si="2"/>
        <v/>
      </c>
      <c r="E388" s="14"/>
      <c r="F388" s="15" t="str">
        <f t="shared" si="4"/>
        <v/>
      </c>
      <c r="G388" s="15" t="str">
        <f t="shared" ref="G388:H388" si="385">IF(OR(F388="",F388="Selecciona.."),"","Selecciona..")</f>
        <v/>
      </c>
      <c r="H388" s="13" t="str">
        <f t="shared" si="385"/>
        <v/>
      </c>
    </row>
    <row r="389">
      <c r="A389" s="14" t="str">
        <f t="shared" si="1"/>
        <v/>
      </c>
      <c r="B389" s="14" t="str">
        <f t="array" ref="B389">IF(OR(F389="",F389="Selecciona.."),"",XLOOKUP(F389,Productos!E:E,Productos!A:A,"",0,1))</f>
        <v/>
      </c>
      <c r="C389" s="14" t="str">
        <f t="array" ref="C389">IF(OR(G389="",G389="Selecciona.."),"",XLOOKUP(G389,Productos!$E:$E,Productos!$A:$A,"",0,1))</f>
        <v/>
      </c>
      <c r="D389" s="14" t="str">
        <f t="shared" si="2"/>
        <v/>
      </c>
      <c r="E389" s="14"/>
      <c r="F389" s="15" t="str">
        <f t="shared" si="4"/>
        <v/>
      </c>
      <c r="G389" s="15" t="str">
        <f t="shared" ref="G389:H389" si="386">IF(OR(F389="",F389="Selecciona.."),"","Selecciona..")</f>
        <v/>
      </c>
      <c r="H389" s="13" t="str">
        <f t="shared" si="386"/>
        <v/>
      </c>
    </row>
    <row r="390">
      <c r="A390" s="14" t="str">
        <f t="shared" si="1"/>
        <v/>
      </c>
      <c r="B390" s="14" t="str">
        <f t="array" ref="B390">IF(OR(F390="",F390="Selecciona.."),"",XLOOKUP(F390,Productos!E:E,Productos!A:A,"",0,1))</f>
        <v/>
      </c>
      <c r="C390" s="14" t="str">
        <f t="array" ref="C390">IF(OR(G390="",G390="Selecciona.."),"",XLOOKUP(G390,Productos!$E:$E,Productos!$A:$A,"",0,1))</f>
        <v/>
      </c>
      <c r="D390" s="14" t="str">
        <f t="shared" si="2"/>
        <v/>
      </c>
      <c r="E390" s="14"/>
      <c r="F390" s="15" t="str">
        <f t="shared" si="4"/>
        <v/>
      </c>
      <c r="G390" s="15" t="str">
        <f t="shared" ref="G390:H390" si="387">IF(OR(F390="",F390="Selecciona.."),"","Selecciona..")</f>
        <v/>
      </c>
      <c r="H390" s="13" t="str">
        <f t="shared" si="387"/>
        <v/>
      </c>
    </row>
    <row r="391">
      <c r="A391" s="14" t="str">
        <f t="shared" si="1"/>
        <v/>
      </c>
      <c r="B391" s="14" t="str">
        <f t="array" ref="B391">IF(OR(F391="",F391="Selecciona.."),"",XLOOKUP(F391,Productos!E:E,Productos!A:A,"",0,1))</f>
        <v/>
      </c>
      <c r="C391" s="14" t="str">
        <f t="array" ref="C391">IF(OR(G391="",G391="Selecciona.."),"",XLOOKUP(G391,Productos!$E:$E,Productos!$A:$A,"",0,1))</f>
        <v/>
      </c>
      <c r="D391" s="14" t="str">
        <f t="shared" si="2"/>
        <v/>
      </c>
      <c r="E391" s="14"/>
      <c r="F391" s="15" t="str">
        <f t="shared" si="4"/>
        <v/>
      </c>
      <c r="G391" s="15" t="str">
        <f t="shared" ref="G391:H391" si="388">IF(OR(F391="",F391="Selecciona.."),"","Selecciona..")</f>
        <v/>
      </c>
      <c r="H391" s="13" t="str">
        <f t="shared" si="388"/>
        <v/>
      </c>
    </row>
    <row r="392">
      <c r="A392" s="14" t="str">
        <f t="shared" si="1"/>
        <v/>
      </c>
      <c r="B392" s="14" t="str">
        <f t="array" ref="B392">IF(OR(F392="",F392="Selecciona.."),"",XLOOKUP(F392,Productos!E:E,Productos!A:A,"",0,1))</f>
        <v/>
      </c>
      <c r="C392" s="14" t="str">
        <f t="array" ref="C392">IF(OR(G392="",G392="Selecciona.."),"",XLOOKUP(G392,Productos!$E:$E,Productos!$A:$A,"",0,1))</f>
        <v/>
      </c>
      <c r="D392" s="14" t="str">
        <f t="shared" si="2"/>
        <v/>
      </c>
      <c r="E392" s="14"/>
      <c r="F392" s="15" t="str">
        <f t="shared" si="4"/>
        <v/>
      </c>
      <c r="G392" s="15" t="str">
        <f t="shared" ref="G392:H392" si="389">IF(OR(F392="",F392="Selecciona.."),"","Selecciona..")</f>
        <v/>
      </c>
      <c r="H392" s="13" t="str">
        <f t="shared" si="389"/>
        <v/>
      </c>
    </row>
    <row r="393">
      <c r="A393" s="14" t="str">
        <f t="shared" si="1"/>
        <v/>
      </c>
      <c r="B393" s="14" t="str">
        <f t="array" ref="B393">IF(OR(F393="",F393="Selecciona.."),"",XLOOKUP(F393,Productos!E:E,Productos!A:A,"",0,1))</f>
        <v/>
      </c>
      <c r="C393" s="14" t="str">
        <f t="array" ref="C393">IF(OR(G393="",G393="Selecciona.."),"",XLOOKUP(G393,Productos!$E:$E,Productos!$A:$A,"",0,1))</f>
        <v/>
      </c>
      <c r="D393" s="14" t="str">
        <f t="shared" si="2"/>
        <v/>
      </c>
      <c r="E393" s="14"/>
      <c r="F393" s="15" t="str">
        <f t="shared" si="4"/>
        <v/>
      </c>
      <c r="G393" s="15" t="str">
        <f t="shared" ref="G393:H393" si="390">IF(OR(F393="",F393="Selecciona.."),"","Selecciona..")</f>
        <v/>
      </c>
      <c r="H393" s="13" t="str">
        <f t="shared" si="390"/>
        <v/>
      </c>
    </row>
    <row r="394">
      <c r="A394" s="14" t="str">
        <f t="shared" si="1"/>
        <v/>
      </c>
      <c r="B394" s="14" t="str">
        <f t="array" ref="B394">IF(OR(F394="",F394="Selecciona.."),"",XLOOKUP(F394,Productos!E:E,Productos!A:A,"",0,1))</f>
        <v/>
      </c>
      <c r="C394" s="14" t="str">
        <f t="array" ref="C394">IF(OR(G394="",G394="Selecciona.."),"",XLOOKUP(G394,Productos!$E:$E,Productos!$A:$A,"",0,1))</f>
        <v/>
      </c>
      <c r="D394" s="14" t="str">
        <f t="shared" si="2"/>
        <v/>
      </c>
      <c r="E394" s="14"/>
      <c r="F394" s="15" t="str">
        <f t="shared" si="4"/>
        <v/>
      </c>
      <c r="G394" s="15" t="str">
        <f t="shared" ref="G394:H394" si="391">IF(OR(F394="",F394="Selecciona.."),"","Selecciona..")</f>
        <v/>
      </c>
      <c r="H394" s="13" t="str">
        <f t="shared" si="391"/>
        <v/>
      </c>
    </row>
    <row r="395">
      <c r="A395" s="14" t="str">
        <f t="shared" si="1"/>
        <v/>
      </c>
      <c r="B395" s="14" t="str">
        <f t="array" ref="B395">IF(OR(F395="",F395="Selecciona.."),"",XLOOKUP(F395,Productos!E:E,Productos!A:A,"",0,1))</f>
        <v/>
      </c>
      <c r="C395" s="14" t="str">
        <f t="array" ref="C395">IF(OR(G395="",G395="Selecciona.."),"",XLOOKUP(G395,Productos!$E:$E,Productos!$A:$A,"",0,1))</f>
        <v/>
      </c>
      <c r="D395" s="14" t="str">
        <f t="shared" si="2"/>
        <v/>
      </c>
      <c r="E395" s="14"/>
      <c r="F395" s="15" t="str">
        <f t="shared" si="4"/>
        <v/>
      </c>
      <c r="G395" s="15" t="str">
        <f t="shared" ref="G395:H395" si="392">IF(OR(F395="",F395="Selecciona.."),"","Selecciona..")</f>
        <v/>
      </c>
      <c r="H395" s="13" t="str">
        <f t="shared" si="392"/>
        <v/>
      </c>
    </row>
    <row r="396">
      <c r="A396" s="14" t="str">
        <f t="shared" si="1"/>
        <v/>
      </c>
      <c r="B396" s="14" t="str">
        <f t="array" ref="B396">IF(OR(F396="",F396="Selecciona.."),"",XLOOKUP(F396,Productos!E:E,Productos!A:A,"",0,1))</f>
        <v/>
      </c>
      <c r="C396" s="14" t="str">
        <f t="array" ref="C396">IF(OR(G396="",G396="Selecciona.."),"",XLOOKUP(G396,Productos!$E:$E,Productos!$A:$A,"",0,1))</f>
        <v/>
      </c>
      <c r="D396" s="14" t="str">
        <f t="shared" si="2"/>
        <v/>
      </c>
      <c r="E396" s="14"/>
      <c r="F396" s="15" t="str">
        <f t="shared" si="4"/>
        <v/>
      </c>
      <c r="G396" s="15" t="str">
        <f t="shared" ref="G396:H396" si="393">IF(OR(F396="",F396="Selecciona.."),"","Selecciona..")</f>
        <v/>
      </c>
      <c r="H396" s="13" t="str">
        <f t="shared" si="393"/>
        <v/>
      </c>
    </row>
    <row r="397">
      <c r="A397" s="14" t="str">
        <f t="shared" si="1"/>
        <v/>
      </c>
      <c r="B397" s="14" t="str">
        <f t="array" ref="B397">IF(OR(F397="",F397="Selecciona.."),"",XLOOKUP(F397,Productos!E:E,Productos!A:A,"",0,1))</f>
        <v/>
      </c>
      <c r="C397" s="14" t="str">
        <f t="array" ref="C397">IF(OR(G397="",G397="Selecciona.."),"",XLOOKUP(G397,Productos!$E:$E,Productos!$A:$A,"",0,1))</f>
        <v/>
      </c>
      <c r="D397" s="14" t="str">
        <f t="shared" si="2"/>
        <v/>
      </c>
      <c r="E397" s="14"/>
      <c r="F397" s="15" t="str">
        <f t="shared" si="4"/>
        <v/>
      </c>
      <c r="G397" s="15" t="str">
        <f t="shared" ref="G397:H397" si="394">IF(OR(F397="",F397="Selecciona.."),"","Selecciona..")</f>
        <v/>
      </c>
      <c r="H397" s="13" t="str">
        <f t="shared" si="394"/>
        <v/>
      </c>
    </row>
    <row r="398">
      <c r="A398" s="14" t="str">
        <f t="shared" si="1"/>
        <v/>
      </c>
      <c r="B398" s="14" t="str">
        <f t="array" ref="B398">IF(OR(F398="",F398="Selecciona.."),"",XLOOKUP(F398,Productos!E:E,Productos!A:A,"",0,1))</f>
        <v/>
      </c>
      <c r="C398" s="14" t="str">
        <f t="array" ref="C398">IF(OR(G398="",G398="Selecciona.."),"",XLOOKUP(G398,Productos!$E:$E,Productos!$A:$A,"",0,1))</f>
        <v/>
      </c>
      <c r="D398" s="14" t="str">
        <f t="shared" si="2"/>
        <v/>
      </c>
      <c r="E398" s="14"/>
      <c r="F398" s="15" t="str">
        <f t="shared" si="4"/>
        <v/>
      </c>
      <c r="G398" s="15" t="str">
        <f t="shared" ref="G398:H398" si="395">IF(OR(F398="",F398="Selecciona.."),"","Selecciona..")</f>
        <v/>
      </c>
      <c r="H398" s="13" t="str">
        <f t="shared" si="395"/>
        <v/>
      </c>
    </row>
    <row r="399">
      <c r="A399" s="14" t="str">
        <f t="shared" si="1"/>
        <v/>
      </c>
      <c r="B399" s="14" t="str">
        <f t="array" ref="B399">IF(OR(F399="",F399="Selecciona.."),"",XLOOKUP(F399,Productos!E:E,Productos!A:A,"",0,1))</f>
        <v/>
      </c>
      <c r="C399" s="14" t="str">
        <f t="array" ref="C399">IF(OR(G399="",G399="Selecciona.."),"",XLOOKUP(G399,Productos!$E:$E,Productos!$A:$A,"",0,1))</f>
        <v/>
      </c>
      <c r="D399" s="14" t="str">
        <f t="shared" si="2"/>
        <v/>
      </c>
      <c r="E399" s="14"/>
      <c r="F399" s="15" t="str">
        <f t="shared" si="4"/>
        <v/>
      </c>
      <c r="G399" s="15" t="str">
        <f t="shared" ref="G399:H399" si="396">IF(OR(F399="",F399="Selecciona.."),"","Selecciona..")</f>
        <v/>
      </c>
      <c r="H399" s="13" t="str">
        <f t="shared" si="396"/>
        <v/>
      </c>
    </row>
    <row r="400">
      <c r="A400" s="14" t="str">
        <f t="shared" si="1"/>
        <v/>
      </c>
      <c r="B400" s="14" t="str">
        <f t="array" ref="B400">IF(OR(F400="",F400="Selecciona.."),"",XLOOKUP(F400,Productos!E:E,Productos!A:A,"",0,1))</f>
        <v/>
      </c>
      <c r="C400" s="14" t="str">
        <f t="array" ref="C400">IF(OR(G400="",G400="Selecciona.."),"",XLOOKUP(G400,Productos!$E:$E,Productos!$A:$A,"",0,1))</f>
        <v/>
      </c>
      <c r="D400" s="14" t="str">
        <f t="shared" si="2"/>
        <v/>
      </c>
      <c r="E400" s="14"/>
      <c r="F400" s="15" t="str">
        <f t="shared" si="4"/>
        <v/>
      </c>
      <c r="G400" s="15" t="str">
        <f t="shared" ref="G400:H400" si="397">IF(OR(F400="",F400="Selecciona.."),"","Selecciona..")</f>
        <v/>
      </c>
      <c r="H400" s="13" t="str">
        <f t="shared" si="397"/>
        <v/>
      </c>
    </row>
    <row r="401">
      <c r="A401" s="14" t="str">
        <f t="shared" si="1"/>
        <v/>
      </c>
      <c r="B401" s="14" t="str">
        <f t="array" ref="B401">IF(OR(F401="",F401="Selecciona.."),"",XLOOKUP(F401,Productos!E:E,Productos!A:A,"",0,1))</f>
        <v/>
      </c>
      <c r="C401" s="14" t="str">
        <f t="array" ref="C401">IF(OR(G401="",G401="Selecciona.."),"",XLOOKUP(G401,Productos!$E:$E,Productos!$A:$A,"",0,1))</f>
        <v/>
      </c>
      <c r="D401" s="14" t="str">
        <f t="shared" si="2"/>
        <v/>
      </c>
      <c r="E401" s="14"/>
      <c r="F401" s="15" t="str">
        <f t="shared" si="4"/>
        <v/>
      </c>
      <c r="G401" s="15" t="str">
        <f t="shared" ref="G401:H401" si="398">IF(OR(F401="",F401="Selecciona.."),"","Selecciona..")</f>
        <v/>
      </c>
      <c r="H401" s="13" t="str">
        <f t="shared" si="398"/>
        <v/>
      </c>
    </row>
    <row r="402">
      <c r="A402" s="14" t="str">
        <f t="shared" si="1"/>
        <v/>
      </c>
      <c r="B402" s="14" t="str">
        <f t="array" ref="B402">IF(OR(F402="",F402="Selecciona.."),"",XLOOKUP(F402,Productos!E:E,Productos!A:A,"",0,1))</f>
        <v/>
      </c>
      <c r="C402" s="14" t="str">
        <f t="array" ref="C402">IF(OR(G402="",G402="Selecciona.."),"",XLOOKUP(G402,Productos!$E:$E,Productos!$A:$A,"",0,1))</f>
        <v/>
      </c>
      <c r="D402" s="14" t="str">
        <f t="shared" si="2"/>
        <v/>
      </c>
      <c r="E402" s="14"/>
      <c r="F402" s="15" t="str">
        <f t="shared" si="4"/>
        <v/>
      </c>
      <c r="G402" s="15" t="str">
        <f t="shared" ref="G402:H402" si="399">IF(OR(F402="",F402="Selecciona.."),"","Selecciona..")</f>
        <v/>
      </c>
      <c r="H402" s="13" t="str">
        <f t="shared" si="399"/>
        <v/>
      </c>
    </row>
    <row r="403">
      <c r="A403" s="14" t="str">
        <f t="shared" si="1"/>
        <v/>
      </c>
      <c r="B403" s="14" t="str">
        <f t="array" ref="B403">IF(OR(F403="",F403="Selecciona.."),"",XLOOKUP(F403,Productos!E:E,Productos!A:A,"",0,1))</f>
        <v/>
      </c>
      <c r="C403" s="14" t="str">
        <f t="array" ref="C403">IF(OR(G403="",G403="Selecciona.."),"",XLOOKUP(G403,Productos!$E:$E,Productos!$A:$A,"",0,1))</f>
        <v/>
      </c>
      <c r="D403" s="14" t="str">
        <f t="shared" si="2"/>
        <v/>
      </c>
      <c r="E403" s="14"/>
      <c r="F403" s="15" t="str">
        <f t="shared" si="4"/>
        <v/>
      </c>
      <c r="G403" s="15" t="str">
        <f t="shared" ref="G403:H403" si="400">IF(OR(F403="",F403="Selecciona.."),"","Selecciona..")</f>
        <v/>
      </c>
      <c r="H403" s="13" t="str">
        <f t="shared" si="400"/>
        <v/>
      </c>
    </row>
    <row r="404">
      <c r="A404" s="14" t="str">
        <f t="shared" si="1"/>
        <v/>
      </c>
      <c r="B404" s="14" t="str">
        <f t="array" ref="B404">IF(OR(F404="",F404="Selecciona.."),"",XLOOKUP(F404,Productos!E:E,Productos!A:A,"",0,1))</f>
        <v/>
      </c>
      <c r="C404" s="14" t="str">
        <f t="array" ref="C404">IF(OR(G404="",G404="Selecciona.."),"",XLOOKUP(G404,Productos!$E:$E,Productos!$A:$A,"",0,1))</f>
        <v/>
      </c>
      <c r="D404" s="14" t="str">
        <f t="shared" si="2"/>
        <v/>
      </c>
      <c r="E404" s="14"/>
      <c r="F404" s="15" t="str">
        <f t="shared" si="4"/>
        <v/>
      </c>
      <c r="G404" s="15" t="str">
        <f t="shared" ref="G404:H404" si="401">IF(OR(F404="",F404="Selecciona.."),"","Selecciona..")</f>
        <v/>
      </c>
      <c r="H404" s="13" t="str">
        <f t="shared" si="401"/>
        <v/>
      </c>
    </row>
    <row r="405">
      <c r="A405" s="14" t="str">
        <f t="shared" si="1"/>
        <v/>
      </c>
      <c r="B405" s="14" t="str">
        <f t="array" ref="B405">IF(OR(F405="",F405="Selecciona.."),"",XLOOKUP(F405,Productos!E:E,Productos!A:A,"",0,1))</f>
        <v/>
      </c>
      <c r="C405" s="14" t="str">
        <f t="array" ref="C405">IF(OR(G405="",G405="Selecciona.."),"",XLOOKUP(G405,Productos!$E:$E,Productos!$A:$A,"",0,1))</f>
        <v/>
      </c>
      <c r="D405" s="14" t="str">
        <f t="shared" si="2"/>
        <v/>
      </c>
      <c r="E405" s="14"/>
      <c r="F405" s="15" t="str">
        <f t="shared" si="4"/>
        <v/>
      </c>
      <c r="G405" s="15" t="str">
        <f t="shared" ref="G405:H405" si="402">IF(OR(F405="",F405="Selecciona.."),"","Selecciona..")</f>
        <v/>
      </c>
      <c r="H405" s="13" t="str">
        <f t="shared" si="402"/>
        <v/>
      </c>
    </row>
    <row r="406">
      <c r="A406" s="14" t="str">
        <f t="shared" si="1"/>
        <v/>
      </c>
      <c r="B406" s="14" t="str">
        <f t="array" ref="B406">IF(OR(F406="",F406="Selecciona.."),"",XLOOKUP(F406,Productos!E:E,Productos!A:A,"",0,1))</f>
        <v/>
      </c>
      <c r="C406" s="14" t="str">
        <f t="array" ref="C406">IF(OR(G406="",G406="Selecciona.."),"",XLOOKUP(G406,Productos!$E:$E,Productos!$A:$A,"",0,1))</f>
        <v/>
      </c>
      <c r="D406" s="14" t="str">
        <f t="shared" si="2"/>
        <v/>
      </c>
      <c r="E406" s="14"/>
      <c r="F406" s="15" t="str">
        <f t="shared" si="4"/>
        <v/>
      </c>
      <c r="G406" s="15" t="str">
        <f t="shared" ref="G406:H406" si="403">IF(OR(F406="",F406="Selecciona.."),"","Selecciona..")</f>
        <v/>
      </c>
      <c r="H406" s="13" t="str">
        <f t="shared" si="403"/>
        <v/>
      </c>
    </row>
    <row r="407">
      <c r="A407" s="14" t="str">
        <f t="shared" si="1"/>
        <v/>
      </c>
      <c r="B407" s="14" t="str">
        <f t="array" ref="B407">IF(OR(F407="",F407="Selecciona.."),"",XLOOKUP(F407,Productos!E:E,Productos!A:A,"",0,1))</f>
        <v/>
      </c>
      <c r="C407" s="14" t="str">
        <f t="array" ref="C407">IF(OR(G407="",G407="Selecciona.."),"",XLOOKUP(G407,Productos!$E:$E,Productos!$A:$A,"",0,1))</f>
        <v/>
      </c>
      <c r="D407" s="14" t="str">
        <f t="shared" si="2"/>
        <v/>
      </c>
      <c r="E407" s="14"/>
      <c r="F407" s="15" t="str">
        <f t="shared" si="4"/>
        <v/>
      </c>
      <c r="G407" s="15" t="str">
        <f t="shared" ref="G407:H407" si="404">IF(OR(F407="",F407="Selecciona.."),"","Selecciona..")</f>
        <v/>
      </c>
      <c r="H407" s="13" t="str">
        <f t="shared" si="404"/>
        <v/>
      </c>
    </row>
    <row r="408">
      <c r="A408" s="14" t="str">
        <f t="shared" si="1"/>
        <v/>
      </c>
      <c r="B408" s="14" t="str">
        <f t="array" ref="B408">IF(OR(F408="",F408="Selecciona.."),"",XLOOKUP(F408,Productos!E:E,Productos!A:A,"",0,1))</f>
        <v/>
      </c>
      <c r="C408" s="14" t="str">
        <f t="array" ref="C408">IF(OR(G408="",G408="Selecciona.."),"",XLOOKUP(G408,Productos!$E:$E,Productos!$A:$A,"",0,1))</f>
        <v/>
      </c>
      <c r="D408" s="14" t="str">
        <f t="shared" si="2"/>
        <v/>
      </c>
      <c r="E408" s="14"/>
      <c r="F408" s="15" t="str">
        <f t="shared" si="4"/>
        <v/>
      </c>
      <c r="G408" s="15" t="str">
        <f t="shared" ref="G408:H408" si="405">IF(OR(F408="",F408="Selecciona.."),"","Selecciona..")</f>
        <v/>
      </c>
      <c r="H408" s="13" t="str">
        <f t="shared" si="405"/>
        <v/>
      </c>
    </row>
    <row r="409">
      <c r="A409" s="14" t="str">
        <f t="shared" si="1"/>
        <v/>
      </c>
      <c r="B409" s="14" t="str">
        <f t="array" ref="B409">IF(OR(F409="",F409="Selecciona.."),"",XLOOKUP(F409,Productos!E:E,Productos!A:A,"",0,1))</f>
        <v/>
      </c>
      <c r="C409" s="14" t="str">
        <f t="array" ref="C409">IF(OR(G409="",G409="Selecciona.."),"",XLOOKUP(G409,Productos!$E:$E,Productos!$A:$A,"",0,1))</f>
        <v/>
      </c>
      <c r="D409" s="14" t="str">
        <f t="shared" si="2"/>
        <v/>
      </c>
      <c r="E409" s="14"/>
      <c r="F409" s="15" t="str">
        <f t="shared" si="4"/>
        <v/>
      </c>
      <c r="G409" s="15" t="str">
        <f t="shared" ref="G409:H409" si="406">IF(OR(F409="",F409="Selecciona.."),"","Selecciona..")</f>
        <v/>
      </c>
      <c r="H409" s="13" t="str">
        <f t="shared" si="406"/>
        <v/>
      </c>
    </row>
    <row r="410">
      <c r="A410" s="14" t="str">
        <f t="shared" si="1"/>
        <v/>
      </c>
      <c r="B410" s="14" t="str">
        <f t="array" ref="B410">IF(OR(F410="",F410="Selecciona.."),"",XLOOKUP(F410,Productos!E:E,Productos!A:A,"",0,1))</f>
        <v/>
      </c>
      <c r="C410" s="14" t="str">
        <f t="array" ref="C410">IF(OR(G410="",G410="Selecciona.."),"",XLOOKUP(G410,Productos!$E:$E,Productos!$A:$A,"",0,1))</f>
        <v/>
      </c>
      <c r="D410" s="14" t="str">
        <f t="shared" si="2"/>
        <v/>
      </c>
      <c r="E410" s="14"/>
      <c r="F410" s="15" t="str">
        <f t="shared" si="4"/>
        <v/>
      </c>
      <c r="G410" s="15" t="str">
        <f t="shared" ref="G410:H410" si="407">IF(OR(F410="",F410="Selecciona.."),"","Selecciona..")</f>
        <v/>
      </c>
      <c r="H410" s="13" t="str">
        <f t="shared" si="407"/>
        <v/>
      </c>
    </row>
    <row r="411">
      <c r="A411" s="14" t="str">
        <f t="shared" si="1"/>
        <v/>
      </c>
      <c r="B411" s="14" t="str">
        <f t="array" ref="B411">IF(OR(F411="",F411="Selecciona.."),"",XLOOKUP(F411,Productos!E:E,Productos!A:A,"",0,1))</f>
        <v/>
      </c>
      <c r="C411" s="14" t="str">
        <f t="array" ref="C411">IF(OR(G411="",G411="Selecciona.."),"",XLOOKUP(G411,Productos!$E:$E,Productos!$A:$A,"",0,1))</f>
        <v/>
      </c>
      <c r="D411" s="14" t="str">
        <f t="shared" si="2"/>
        <v/>
      </c>
      <c r="E411" s="14"/>
      <c r="F411" s="15" t="str">
        <f t="shared" si="4"/>
        <v/>
      </c>
      <c r="G411" s="15" t="str">
        <f t="shared" ref="G411:H411" si="408">IF(OR(F411="",F411="Selecciona.."),"","Selecciona..")</f>
        <v/>
      </c>
      <c r="H411" s="13" t="str">
        <f t="shared" si="408"/>
        <v/>
      </c>
    </row>
    <row r="412">
      <c r="A412" s="14" t="str">
        <f t="shared" si="1"/>
        <v/>
      </c>
      <c r="B412" s="14" t="str">
        <f t="array" ref="B412">IF(OR(F412="",F412="Selecciona.."),"",XLOOKUP(F412,Productos!E:E,Productos!A:A,"",0,1))</f>
        <v/>
      </c>
      <c r="C412" s="14" t="str">
        <f t="array" ref="C412">IF(OR(G412="",G412="Selecciona.."),"",XLOOKUP(G412,Productos!$E:$E,Productos!$A:$A,"",0,1))</f>
        <v/>
      </c>
      <c r="D412" s="14" t="str">
        <f t="shared" si="2"/>
        <v/>
      </c>
      <c r="E412" s="14"/>
      <c r="F412" s="15" t="str">
        <f t="shared" si="4"/>
        <v/>
      </c>
      <c r="G412" s="15" t="str">
        <f t="shared" ref="G412:H412" si="409">IF(OR(F412="",F412="Selecciona.."),"","Selecciona..")</f>
        <v/>
      </c>
      <c r="H412" s="13" t="str">
        <f t="shared" si="409"/>
        <v/>
      </c>
    </row>
    <row r="413">
      <c r="A413" s="14" t="str">
        <f t="shared" si="1"/>
        <v/>
      </c>
      <c r="B413" s="14" t="str">
        <f t="array" ref="B413">IF(OR(F413="",F413="Selecciona.."),"",XLOOKUP(F413,Productos!E:E,Productos!A:A,"",0,1))</f>
        <v/>
      </c>
      <c r="C413" s="14" t="str">
        <f t="array" ref="C413">IF(OR(G413="",G413="Selecciona.."),"",XLOOKUP(G413,Productos!$E:$E,Productos!$A:$A,"",0,1))</f>
        <v/>
      </c>
      <c r="D413" s="14" t="str">
        <f t="shared" si="2"/>
        <v/>
      </c>
      <c r="E413" s="14"/>
      <c r="F413" s="15" t="str">
        <f t="shared" si="4"/>
        <v/>
      </c>
      <c r="G413" s="15" t="str">
        <f t="shared" ref="G413:H413" si="410">IF(OR(F413="",F413="Selecciona.."),"","Selecciona..")</f>
        <v/>
      </c>
      <c r="H413" s="13" t="str">
        <f t="shared" si="410"/>
        <v/>
      </c>
    </row>
    <row r="414">
      <c r="A414" s="14" t="str">
        <f t="shared" si="1"/>
        <v/>
      </c>
      <c r="B414" s="14" t="str">
        <f t="array" ref="B414">IF(OR(F414="",F414="Selecciona.."),"",XLOOKUP(F414,Productos!E:E,Productos!A:A,"",0,1))</f>
        <v/>
      </c>
      <c r="C414" s="14" t="str">
        <f t="array" ref="C414">IF(OR(G414="",G414="Selecciona.."),"",XLOOKUP(G414,Productos!$E:$E,Productos!$A:$A,"",0,1))</f>
        <v/>
      </c>
      <c r="D414" s="14" t="str">
        <f t="shared" si="2"/>
        <v/>
      </c>
      <c r="E414" s="14"/>
      <c r="F414" s="15" t="str">
        <f t="shared" si="4"/>
        <v/>
      </c>
      <c r="G414" s="15" t="str">
        <f t="shared" ref="G414:H414" si="411">IF(OR(F414="",F414="Selecciona.."),"","Selecciona..")</f>
        <v/>
      </c>
      <c r="H414" s="13" t="str">
        <f t="shared" si="411"/>
        <v/>
      </c>
    </row>
    <row r="415">
      <c r="A415" s="14" t="str">
        <f t="shared" si="1"/>
        <v/>
      </c>
      <c r="B415" s="14" t="str">
        <f t="array" ref="B415">IF(OR(F415="",F415="Selecciona.."),"",XLOOKUP(F415,Productos!E:E,Productos!A:A,"",0,1))</f>
        <v/>
      </c>
      <c r="C415" s="14" t="str">
        <f t="array" ref="C415">IF(OR(G415="",G415="Selecciona.."),"",XLOOKUP(G415,Productos!$E:$E,Productos!$A:$A,"",0,1))</f>
        <v/>
      </c>
      <c r="D415" s="14" t="str">
        <f t="shared" si="2"/>
        <v/>
      </c>
      <c r="E415" s="14"/>
      <c r="F415" s="15" t="str">
        <f t="shared" si="4"/>
        <v/>
      </c>
      <c r="G415" s="15" t="str">
        <f t="shared" ref="G415:H415" si="412">IF(OR(F415="",F415="Selecciona.."),"","Selecciona..")</f>
        <v/>
      </c>
      <c r="H415" s="13" t="str">
        <f t="shared" si="412"/>
        <v/>
      </c>
    </row>
    <row r="416">
      <c r="A416" s="14" t="str">
        <f t="shared" si="1"/>
        <v/>
      </c>
      <c r="B416" s="14" t="str">
        <f t="array" ref="B416">IF(OR(F416="",F416="Selecciona.."),"",XLOOKUP(F416,Productos!E:E,Productos!A:A,"",0,1))</f>
        <v/>
      </c>
      <c r="C416" s="14" t="str">
        <f t="array" ref="C416">IF(OR(G416="",G416="Selecciona.."),"",XLOOKUP(G416,Productos!$E:$E,Productos!$A:$A,"",0,1))</f>
        <v/>
      </c>
      <c r="D416" s="14" t="str">
        <f t="shared" si="2"/>
        <v/>
      </c>
      <c r="E416" s="14"/>
      <c r="F416" s="15" t="str">
        <f t="shared" si="4"/>
        <v/>
      </c>
      <c r="G416" s="15" t="str">
        <f t="shared" ref="G416:H416" si="413">IF(OR(F416="",F416="Selecciona.."),"","Selecciona..")</f>
        <v/>
      </c>
      <c r="H416" s="13" t="str">
        <f t="shared" si="413"/>
        <v/>
      </c>
    </row>
    <row r="417">
      <c r="A417" s="14" t="str">
        <f t="shared" si="1"/>
        <v/>
      </c>
      <c r="B417" s="14" t="str">
        <f t="array" ref="B417">IF(OR(F417="",F417="Selecciona.."),"",XLOOKUP(F417,Productos!E:E,Productos!A:A,"",0,1))</f>
        <v/>
      </c>
      <c r="C417" s="14" t="str">
        <f t="array" ref="C417">IF(OR(G417="",G417="Selecciona.."),"",XLOOKUP(G417,Productos!$E:$E,Productos!$A:$A,"",0,1))</f>
        <v/>
      </c>
      <c r="D417" s="14" t="str">
        <f t="shared" si="2"/>
        <v/>
      </c>
      <c r="E417" s="14"/>
      <c r="F417" s="15" t="str">
        <f t="shared" si="4"/>
        <v/>
      </c>
      <c r="G417" s="15" t="str">
        <f t="shared" ref="G417:H417" si="414">IF(OR(F417="",F417="Selecciona.."),"","Selecciona..")</f>
        <v/>
      </c>
      <c r="H417" s="13" t="str">
        <f t="shared" si="414"/>
        <v/>
      </c>
    </row>
    <row r="418">
      <c r="A418" s="14" t="str">
        <f t="shared" si="1"/>
        <v/>
      </c>
      <c r="B418" s="14" t="str">
        <f t="array" ref="B418">IF(OR(F418="",F418="Selecciona.."),"",XLOOKUP(F418,Productos!E:E,Productos!A:A,"",0,1))</f>
        <v/>
      </c>
      <c r="C418" s="14" t="str">
        <f t="array" ref="C418">IF(OR(G418="",G418="Selecciona.."),"",XLOOKUP(G418,Productos!$E:$E,Productos!$A:$A,"",0,1))</f>
        <v/>
      </c>
      <c r="D418" s="14" t="str">
        <f t="shared" si="2"/>
        <v/>
      </c>
      <c r="E418" s="14"/>
      <c r="F418" s="15" t="str">
        <f t="shared" si="4"/>
        <v/>
      </c>
      <c r="G418" s="15" t="str">
        <f t="shared" ref="G418:H418" si="415">IF(OR(F418="",F418="Selecciona.."),"","Selecciona..")</f>
        <v/>
      </c>
      <c r="H418" s="13" t="str">
        <f t="shared" si="415"/>
        <v/>
      </c>
    </row>
    <row r="419">
      <c r="A419" s="14" t="str">
        <f t="shared" si="1"/>
        <v/>
      </c>
      <c r="B419" s="14" t="str">
        <f t="array" ref="B419">IF(OR(F419="",F419="Selecciona.."),"",XLOOKUP(F419,Productos!E:E,Productos!A:A,"",0,1))</f>
        <v/>
      </c>
      <c r="C419" s="14" t="str">
        <f t="array" ref="C419">IF(OR(G419="",G419="Selecciona.."),"",XLOOKUP(G419,Productos!$E:$E,Productos!$A:$A,"",0,1))</f>
        <v/>
      </c>
      <c r="D419" s="14" t="str">
        <f t="shared" si="2"/>
        <v/>
      </c>
      <c r="E419" s="14"/>
      <c r="F419" s="15" t="str">
        <f t="shared" si="4"/>
        <v/>
      </c>
      <c r="G419" s="15" t="str">
        <f t="shared" ref="G419:H419" si="416">IF(OR(F419="",F419="Selecciona.."),"","Selecciona..")</f>
        <v/>
      </c>
      <c r="H419" s="13" t="str">
        <f t="shared" si="416"/>
        <v/>
      </c>
    </row>
    <row r="420">
      <c r="A420" s="14" t="str">
        <f t="shared" si="1"/>
        <v/>
      </c>
      <c r="B420" s="14" t="str">
        <f t="array" ref="B420">IF(OR(F420="",F420="Selecciona.."),"",XLOOKUP(F420,Productos!E:E,Productos!A:A,"",0,1))</f>
        <v/>
      </c>
      <c r="C420" s="14" t="str">
        <f t="array" ref="C420">IF(OR(G420="",G420="Selecciona.."),"",XLOOKUP(G420,Productos!$E:$E,Productos!$A:$A,"",0,1))</f>
        <v/>
      </c>
      <c r="D420" s="14" t="str">
        <f t="shared" si="2"/>
        <v/>
      </c>
      <c r="E420" s="14"/>
      <c r="F420" s="15" t="str">
        <f t="shared" si="4"/>
        <v/>
      </c>
      <c r="G420" s="15" t="str">
        <f t="shared" ref="G420:H420" si="417">IF(OR(F420="",F420="Selecciona.."),"","Selecciona..")</f>
        <v/>
      </c>
      <c r="H420" s="13" t="str">
        <f t="shared" si="417"/>
        <v/>
      </c>
    </row>
    <row r="421">
      <c r="A421" s="14" t="str">
        <f t="shared" si="1"/>
        <v/>
      </c>
      <c r="B421" s="14" t="str">
        <f t="array" ref="B421">IF(OR(F421="",F421="Selecciona.."),"",XLOOKUP(F421,Productos!E:E,Productos!A:A,"",0,1))</f>
        <v/>
      </c>
      <c r="C421" s="14" t="str">
        <f t="array" ref="C421">IF(OR(G421="",G421="Selecciona.."),"",XLOOKUP(G421,Productos!$E:$E,Productos!$A:$A,"",0,1))</f>
        <v/>
      </c>
      <c r="D421" s="14" t="str">
        <f t="shared" si="2"/>
        <v/>
      </c>
      <c r="E421" s="14"/>
      <c r="F421" s="15" t="str">
        <f t="shared" si="4"/>
        <v/>
      </c>
      <c r="G421" s="15" t="str">
        <f t="shared" ref="G421:H421" si="418">IF(OR(F421="",F421="Selecciona.."),"","Selecciona..")</f>
        <v/>
      </c>
      <c r="H421" s="13" t="str">
        <f t="shared" si="418"/>
        <v/>
      </c>
    </row>
    <row r="422">
      <c r="A422" s="14" t="str">
        <f t="shared" si="1"/>
        <v/>
      </c>
      <c r="B422" s="14" t="str">
        <f t="array" ref="B422">IF(OR(F422="",F422="Selecciona.."),"",XLOOKUP(F422,Productos!E:E,Productos!A:A,"",0,1))</f>
        <v/>
      </c>
      <c r="C422" s="14" t="str">
        <f t="array" ref="C422">IF(OR(G422="",G422="Selecciona.."),"",XLOOKUP(G422,Productos!$E:$E,Productos!$A:$A,"",0,1))</f>
        <v/>
      </c>
      <c r="D422" s="14" t="str">
        <f t="shared" si="2"/>
        <v/>
      </c>
      <c r="E422" s="14"/>
      <c r="F422" s="15" t="str">
        <f t="shared" si="4"/>
        <v/>
      </c>
      <c r="G422" s="15" t="str">
        <f t="shared" ref="G422:H422" si="419">IF(OR(F422="",F422="Selecciona.."),"","Selecciona..")</f>
        <v/>
      </c>
      <c r="H422" s="13" t="str">
        <f t="shared" si="419"/>
        <v/>
      </c>
    </row>
    <row r="423">
      <c r="A423" s="14" t="str">
        <f t="shared" si="1"/>
        <v/>
      </c>
      <c r="B423" s="14" t="str">
        <f t="array" ref="B423">IF(OR(F423="",F423="Selecciona.."),"",XLOOKUP(F423,Productos!E:E,Productos!A:A,"",0,1))</f>
        <v/>
      </c>
      <c r="C423" s="14" t="str">
        <f t="array" ref="C423">IF(OR(G423="",G423="Selecciona.."),"",XLOOKUP(G423,Productos!$E:$E,Productos!$A:$A,"",0,1))</f>
        <v/>
      </c>
      <c r="D423" s="14" t="str">
        <f t="shared" si="2"/>
        <v/>
      </c>
      <c r="E423" s="14"/>
      <c r="F423" s="15" t="str">
        <f t="shared" si="4"/>
        <v/>
      </c>
      <c r="G423" s="15" t="str">
        <f t="shared" ref="G423:H423" si="420">IF(OR(F423="",F423="Selecciona.."),"","Selecciona..")</f>
        <v/>
      </c>
      <c r="H423" s="13" t="str">
        <f t="shared" si="420"/>
        <v/>
      </c>
    </row>
    <row r="424">
      <c r="A424" s="14" t="str">
        <f t="shared" si="1"/>
        <v/>
      </c>
      <c r="B424" s="14" t="str">
        <f t="array" ref="B424">IF(OR(F424="",F424="Selecciona.."),"",XLOOKUP(F424,Productos!E:E,Productos!A:A,"",0,1))</f>
        <v/>
      </c>
      <c r="C424" s="14" t="str">
        <f t="array" ref="C424">IF(OR(G424="",G424="Selecciona.."),"",XLOOKUP(G424,Productos!$E:$E,Productos!$A:$A,"",0,1))</f>
        <v/>
      </c>
      <c r="D424" s="14" t="str">
        <f t="shared" si="2"/>
        <v/>
      </c>
      <c r="E424" s="14"/>
      <c r="F424" s="15" t="str">
        <f t="shared" si="4"/>
        <v/>
      </c>
      <c r="G424" s="15" t="str">
        <f t="shared" ref="G424:H424" si="421">IF(OR(F424="",F424="Selecciona.."),"","Selecciona..")</f>
        <v/>
      </c>
      <c r="H424" s="13" t="str">
        <f t="shared" si="421"/>
        <v/>
      </c>
    </row>
    <row r="425">
      <c r="A425" s="14" t="str">
        <f t="shared" si="1"/>
        <v/>
      </c>
      <c r="B425" s="14" t="str">
        <f t="array" ref="B425">IF(OR(F425="",F425="Selecciona.."),"",XLOOKUP(F425,Productos!E:E,Productos!A:A,"",0,1))</f>
        <v/>
      </c>
      <c r="C425" s="14" t="str">
        <f t="array" ref="C425">IF(OR(G425="",G425="Selecciona.."),"",XLOOKUP(G425,Productos!$E:$E,Productos!$A:$A,"",0,1))</f>
        <v/>
      </c>
      <c r="D425" s="14" t="str">
        <f t="shared" si="2"/>
        <v/>
      </c>
      <c r="E425" s="14"/>
      <c r="F425" s="15" t="str">
        <f t="shared" si="4"/>
        <v/>
      </c>
      <c r="G425" s="15" t="str">
        <f t="shared" ref="G425:H425" si="422">IF(OR(F425="",F425="Selecciona.."),"","Selecciona..")</f>
        <v/>
      </c>
      <c r="H425" s="13" t="str">
        <f t="shared" si="422"/>
        <v/>
      </c>
    </row>
    <row r="426">
      <c r="A426" s="14" t="str">
        <f t="shared" si="1"/>
        <v/>
      </c>
      <c r="B426" s="14" t="str">
        <f t="array" ref="B426">IF(OR(F426="",F426="Selecciona.."),"",XLOOKUP(F426,Productos!E:E,Productos!A:A,"",0,1))</f>
        <v/>
      </c>
      <c r="C426" s="14" t="str">
        <f t="array" ref="C426">IF(OR(G426="",G426="Selecciona.."),"",XLOOKUP(G426,Productos!$E:$E,Productos!$A:$A,"",0,1))</f>
        <v/>
      </c>
      <c r="D426" s="14" t="str">
        <f t="shared" si="2"/>
        <v/>
      </c>
      <c r="E426" s="14"/>
      <c r="F426" s="15" t="str">
        <f t="shared" si="4"/>
        <v/>
      </c>
      <c r="G426" s="15" t="str">
        <f t="shared" ref="G426:H426" si="423">IF(OR(F426="",F426="Selecciona.."),"","Selecciona..")</f>
        <v/>
      </c>
      <c r="H426" s="13" t="str">
        <f t="shared" si="423"/>
        <v/>
      </c>
    </row>
    <row r="427">
      <c r="A427" s="14" t="str">
        <f t="shared" si="1"/>
        <v/>
      </c>
      <c r="B427" s="14" t="str">
        <f t="array" ref="B427">IF(OR(F427="",F427="Selecciona.."),"",XLOOKUP(F427,Productos!E:E,Productos!A:A,"",0,1))</f>
        <v/>
      </c>
      <c r="C427" s="14" t="str">
        <f t="array" ref="C427">IF(OR(G427="",G427="Selecciona.."),"",XLOOKUP(G427,Productos!$E:$E,Productos!$A:$A,"",0,1))</f>
        <v/>
      </c>
      <c r="D427" s="14" t="str">
        <f t="shared" si="2"/>
        <v/>
      </c>
      <c r="E427" s="14"/>
      <c r="F427" s="15" t="str">
        <f t="shared" si="4"/>
        <v/>
      </c>
      <c r="G427" s="15" t="str">
        <f t="shared" ref="G427:H427" si="424">IF(OR(F427="",F427="Selecciona.."),"","Selecciona..")</f>
        <v/>
      </c>
      <c r="H427" s="13" t="str">
        <f t="shared" si="424"/>
        <v/>
      </c>
    </row>
    <row r="428">
      <c r="A428" s="14" t="str">
        <f t="shared" si="1"/>
        <v/>
      </c>
      <c r="B428" s="14" t="str">
        <f t="array" ref="B428">IF(OR(F428="",F428="Selecciona.."),"",XLOOKUP(F428,Productos!E:E,Productos!A:A,"",0,1))</f>
        <v/>
      </c>
      <c r="C428" s="14" t="str">
        <f t="array" ref="C428">IF(OR(G428="",G428="Selecciona.."),"",XLOOKUP(G428,Productos!$E:$E,Productos!$A:$A,"",0,1))</f>
        <v/>
      </c>
      <c r="D428" s="14" t="str">
        <f t="shared" si="2"/>
        <v/>
      </c>
      <c r="E428" s="14"/>
      <c r="F428" s="15" t="str">
        <f t="shared" si="4"/>
        <v/>
      </c>
      <c r="G428" s="15" t="str">
        <f t="shared" ref="G428:H428" si="425">IF(OR(F428="",F428="Selecciona.."),"","Selecciona..")</f>
        <v/>
      </c>
      <c r="H428" s="13" t="str">
        <f t="shared" si="425"/>
        <v/>
      </c>
    </row>
    <row r="429">
      <c r="A429" s="14" t="str">
        <f t="shared" si="1"/>
        <v/>
      </c>
      <c r="B429" s="14" t="str">
        <f t="array" ref="B429">IF(OR(F429="",F429="Selecciona.."),"",XLOOKUP(F429,Productos!E:E,Productos!A:A,"",0,1))</f>
        <v/>
      </c>
      <c r="C429" s="14" t="str">
        <f t="array" ref="C429">IF(OR(G429="",G429="Selecciona.."),"",XLOOKUP(G429,Productos!$E:$E,Productos!$A:$A,"",0,1))</f>
        <v/>
      </c>
      <c r="D429" s="14" t="str">
        <f t="shared" si="2"/>
        <v/>
      </c>
      <c r="E429" s="14"/>
      <c r="F429" s="15" t="str">
        <f t="shared" si="4"/>
        <v/>
      </c>
      <c r="G429" s="15" t="str">
        <f t="shared" ref="G429:H429" si="426">IF(OR(F429="",F429="Selecciona.."),"","Selecciona..")</f>
        <v/>
      </c>
      <c r="H429" s="13" t="str">
        <f t="shared" si="426"/>
        <v/>
      </c>
    </row>
    <row r="430">
      <c r="A430" s="14" t="str">
        <f t="shared" si="1"/>
        <v/>
      </c>
      <c r="B430" s="14" t="str">
        <f t="array" ref="B430">IF(OR(F430="",F430="Selecciona.."),"",XLOOKUP(F430,Productos!E:E,Productos!A:A,"",0,1))</f>
        <v/>
      </c>
      <c r="C430" s="14" t="str">
        <f t="array" ref="C430">IF(OR(G430="",G430="Selecciona.."),"",XLOOKUP(G430,Productos!$E:$E,Productos!$A:$A,"",0,1))</f>
        <v/>
      </c>
      <c r="D430" s="14" t="str">
        <f t="shared" si="2"/>
        <v/>
      </c>
      <c r="E430" s="14"/>
      <c r="F430" s="15" t="str">
        <f t="shared" si="4"/>
        <v/>
      </c>
      <c r="G430" s="15" t="str">
        <f t="shared" ref="G430:H430" si="427">IF(OR(F430="",F430="Selecciona.."),"","Selecciona..")</f>
        <v/>
      </c>
      <c r="H430" s="13" t="str">
        <f t="shared" si="427"/>
        <v/>
      </c>
    </row>
    <row r="431">
      <c r="A431" s="14" t="str">
        <f t="shared" si="1"/>
        <v/>
      </c>
      <c r="B431" s="14" t="str">
        <f t="array" ref="B431">IF(OR(F431="",F431="Selecciona.."),"",XLOOKUP(F431,Productos!E:E,Productos!A:A,"",0,1))</f>
        <v/>
      </c>
      <c r="C431" s="14" t="str">
        <f t="array" ref="C431">IF(OR(G431="",G431="Selecciona.."),"",XLOOKUP(G431,Productos!$E:$E,Productos!$A:$A,"",0,1))</f>
        <v/>
      </c>
      <c r="D431" s="14" t="str">
        <f t="shared" si="2"/>
        <v/>
      </c>
      <c r="E431" s="14"/>
      <c r="F431" s="15" t="str">
        <f t="shared" si="4"/>
        <v/>
      </c>
      <c r="G431" s="15" t="str">
        <f t="shared" ref="G431:H431" si="428">IF(OR(F431="",F431="Selecciona.."),"","Selecciona..")</f>
        <v/>
      </c>
      <c r="H431" s="13" t="str">
        <f t="shared" si="428"/>
        <v/>
      </c>
    </row>
    <row r="432">
      <c r="A432" s="14" t="str">
        <f t="shared" si="1"/>
        <v/>
      </c>
      <c r="B432" s="14" t="str">
        <f t="array" ref="B432">IF(OR(F432="",F432="Selecciona.."),"",XLOOKUP(F432,Productos!E:E,Productos!A:A,"",0,1))</f>
        <v/>
      </c>
      <c r="C432" s="14" t="str">
        <f t="array" ref="C432">IF(OR(G432="",G432="Selecciona.."),"",XLOOKUP(G432,Productos!$E:$E,Productos!$A:$A,"",0,1))</f>
        <v/>
      </c>
      <c r="D432" s="14" t="str">
        <f t="shared" si="2"/>
        <v/>
      </c>
      <c r="E432" s="14"/>
      <c r="F432" s="15" t="str">
        <f t="shared" si="4"/>
        <v/>
      </c>
      <c r="G432" s="15" t="str">
        <f t="shared" ref="G432:H432" si="429">IF(OR(F432="",F432="Selecciona.."),"","Selecciona..")</f>
        <v/>
      </c>
      <c r="H432" s="13" t="str">
        <f t="shared" si="429"/>
        <v/>
      </c>
    </row>
    <row r="433">
      <c r="A433" s="14" t="str">
        <f t="shared" si="1"/>
        <v/>
      </c>
      <c r="B433" s="14" t="str">
        <f t="array" ref="B433">IF(OR(F433="",F433="Selecciona.."),"",XLOOKUP(F433,Productos!E:E,Productos!A:A,"",0,1))</f>
        <v/>
      </c>
      <c r="C433" s="14" t="str">
        <f t="array" ref="C433">IF(OR(G433="",G433="Selecciona.."),"",XLOOKUP(G433,Productos!$E:$E,Productos!$A:$A,"",0,1))</f>
        <v/>
      </c>
      <c r="D433" s="14" t="str">
        <f t="shared" si="2"/>
        <v/>
      </c>
      <c r="E433" s="14"/>
      <c r="F433" s="15" t="str">
        <f t="shared" si="4"/>
        <v/>
      </c>
      <c r="G433" s="15" t="str">
        <f t="shared" ref="G433:H433" si="430">IF(OR(F433="",F433="Selecciona.."),"","Selecciona..")</f>
        <v/>
      </c>
      <c r="H433" s="13" t="str">
        <f t="shared" si="430"/>
        <v/>
      </c>
    </row>
    <row r="434">
      <c r="A434" s="14" t="str">
        <f t="shared" si="1"/>
        <v/>
      </c>
      <c r="B434" s="14" t="str">
        <f t="array" ref="B434">IF(OR(F434="",F434="Selecciona.."),"",XLOOKUP(F434,Productos!E:E,Productos!A:A,"",0,1))</f>
        <v/>
      </c>
      <c r="C434" s="14" t="str">
        <f t="array" ref="C434">IF(OR(G434="",G434="Selecciona.."),"",XLOOKUP(G434,Productos!$E:$E,Productos!$A:$A,"",0,1))</f>
        <v/>
      </c>
      <c r="D434" s="14" t="str">
        <f t="shared" si="2"/>
        <v/>
      </c>
      <c r="E434" s="14"/>
      <c r="F434" s="15" t="str">
        <f t="shared" si="4"/>
        <v/>
      </c>
      <c r="G434" s="15" t="str">
        <f t="shared" ref="G434:H434" si="431">IF(OR(F434="",F434="Selecciona.."),"","Selecciona..")</f>
        <v/>
      </c>
      <c r="H434" s="13" t="str">
        <f t="shared" si="431"/>
        <v/>
      </c>
    </row>
    <row r="435">
      <c r="A435" s="14" t="str">
        <f t="shared" si="1"/>
        <v/>
      </c>
      <c r="B435" s="14" t="str">
        <f t="array" ref="B435">IF(OR(F435="",F435="Selecciona.."),"",XLOOKUP(F435,Productos!E:E,Productos!A:A,"",0,1))</f>
        <v/>
      </c>
      <c r="C435" s="14" t="str">
        <f t="array" ref="C435">IF(OR(G435="",G435="Selecciona.."),"",XLOOKUP(G435,Productos!$E:$E,Productos!$A:$A,"",0,1))</f>
        <v/>
      </c>
      <c r="D435" s="14" t="str">
        <f t="shared" si="2"/>
        <v/>
      </c>
      <c r="E435" s="14"/>
      <c r="F435" s="15" t="str">
        <f t="shared" si="4"/>
        <v/>
      </c>
      <c r="G435" s="15" t="str">
        <f t="shared" ref="G435:H435" si="432">IF(OR(F435="",F435="Selecciona.."),"","Selecciona..")</f>
        <v/>
      </c>
      <c r="H435" s="13" t="str">
        <f t="shared" si="432"/>
        <v/>
      </c>
    </row>
    <row r="436">
      <c r="A436" s="14" t="str">
        <f t="shared" si="1"/>
        <v/>
      </c>
      <c r="B436" s="14" t="str">
        <f t="array" ref="B436">IF(OR(F436="",F436="Selecciona.."),"",XLOOKUP(F436,Productos!E:E,Productos!A:A,"",0,1))</f>
        <v/>
      </c>
      <c r="C436" s="14" t="str">
        <f t="array" ref="C436">IF(OR(G436="",G436="Selecciona.."),"",XLOOKUP(G436,Productos!$E:$E,Productos!$A:$A,"",0,1))</f>
        <v/>
      </c>
      <c r="D436" s="14" t="str">
        <f t="shared" si="2"/>
        <v/>
      </c>
      <c r="E436" s="14"/>
      <c r="F436" s="15" t="str">
        <f t="shared" si="4"/>
        <v/>
      </c>
      <c r="G436" s="15" t="str">
        <f t="shared" ref="G436:H436" si="433">IF(OR(F436="",F436="Selecciona.."),"","Selecciona..")</f>
        <v/>
      </c>
      <c r="H436" s="13" t="str">
        <f t="shared" si="433"/>
        <v/>
      </c>
    </row>
    <row r="437">
      <c r="A437" s="14" t="str">
        <f t="shared" si="1"/>
        <v/>
      </c>
      <c r="B437" s="14" t="str">
        <f t="array" ref="B437">IF(OR(F437="",F437="Selecciona.."),"",XLOOKUP(F437,Productos!E:E,Productos!A:A,"",0,1))</f>
        <v/>
      </c>
      <c r="C437" s="14" t="str">
        <f t="array" ref="C437">IF(OR(G437="",G437="Selecciona.."),"",XLOOKUP(G437,Productos!$E:$E,Productos!$A:$A,"",0,1))</f>
        <v/>
      </c>
      <c r="D437" s="14" t="str">
        <f t="shared" si="2"/>
        <v/>
      </c>
      <c r="E437" s="14"/>
      <c r="F437" s="15" t="str">
        <f t="shared" si="4"/>
        <v/>
      </c>
      <c r="G437" s="15" t="str">
        <f t="shared" ref="G437:H437" si="434">IF(OR(F437="",F437="Selecciona.."),"","Selecciona..")</f>
        <v/>
      </c>
      <c r="H437" s="13" t="str">
        <f t="shared" si="434"/>
        <v/>
      </c>
    </row>
    <row r="438">
      <c r="A438" s="14" t="str">
        <f t="shared" si="1"/>
        <v/>
      </c>
      <c r="B438" s="14" t="str">
        <f t="array" ref="B438">IF(OR(F438="",F438="Selecciona.."),"",XLOOKUP(F438,Productos!E:E,Productos!A:A,"",0,1))</f>
        <v/>
      </c>
      <c r="C438" s="14" t="str">
        <f t="array" ref="C438">IF(OR(G438="",G438="Selecciona.."),"",XLOOKUP(G438,Productos!$E:$E,Productos!$A:$A,"",0,1))</f>
        <v/>
      </c>
      <c r="D438" s="14" t="str">
        <f t="shared" si="2"/>
        <v/>
      </c>
      <c r="E438" s="14"/>
      <c r="F438" s="15" t="str">
        <f t="shared" si="4"/>
        <v/>
      </c>
      <c r="G438" s="15" t="str">
        <f t="shared" ref="G438:H438" si="435">IF(OR(F438="",F438="Selecciona.."),"","Selecciona..")</f>
        <v/>
      </c>
      <c r="H438" s="13" t="str">
        <f t="shared" si="435"/>
        <v/>
      </c>
    </row>
    <row r="439">
      <c r="A439" s="14" t="str">
        <f t="shared" si="1"/>
        <v/>
      </c>
      <c r="B439" s="14" t="str">
        <f t="array" ref="B439">IF(OR(F439="",F439="Selecciona.."),"",XLOOKUP(F439,Productos!E:E,Productos!A:A,"",0,1))</f>
        <v/>
      </c>
      <c r="C439" s="14" t="str">
        <f t="array" ref="C439">IF(OR(G439="",G439="Selecciona.."),"",XLOOKUP(G439,Productos!$E:$E,Productos!$A:$A,"",0,1))</f>
        <v/>
      </c>
      <c r="D439" s="14" t="str">
        <f t="shared" si="2"/>
        <v/>
      </c>
      <c r="E439" s="14"/>
      <c r="F439" s="15" t="str">
        <f t="shared" si="4"/>
        <v/>
      </c>
      <c r="G439" s="15" t="str">
        <f t="shared" ref="G439:H439" si="436">IF(OR(F439="",F439="Selecciona.."),"","Selecciona..")</f>
        <v/>
      </c>
      <c r="H439" s="13" t="str">
        <f t="shared" si="436"/>
        <v/>
      </c>
    </row>
    <row r="440">
      <c r="A440" s="14" t="str">
        <f t="shared" si="1"/>
        <v/>
      </c>
      <c r="B440" s="14" t="str">
        <f t="array" ref="B440">IF(OR(F440="",F440="Selecciona.."),"",XLOOKUP(F440,Productos!E:E,Productos!A:A,"",0,1))</f>
        <v/>
      </c>
      <c r="C440" s="14" t="str">
        <f t="array" ref="C440">IF(OR(G440="",G440="Selecciona.."),"",XLOOKUP(G440,Productos!$E:$E,Productos!$A:$A,"",0,1))</f>
        <v/>
      </c>
      <c r="D440" s="14" t="str">
        <f t="shared" si="2"/>
        <v/>
      </c>
      <c r="E440" s="14"/>
      <c r="F440" s="15" t="str">
        <f t="shared" si="4"/>
        <v/>
      </c>
      <c r="G440" s="15" t="str">
        <f t="shared" ref="G440:H440" si="437">IF(OR(F440="",F440="Selecciona.."),"","Selecciona..")</f>
        <v/>
      </c>
      <c r="H440" s="13" t="str">
        <f t="shared" si="437"/>
        <v/>
      </c>
    </row>
    <row r="441">
      <c r="A441" s="14" t="str">
        <f t="shared" si="1"/>
        <v/>
      </c>
      <c r="B441" s="14" t="str">
        <f t="array" ref="B441">IF(OR(F441="",F441="Selecciona.."),"",XLOOKUP(F441,Productos!E:E,Productos!A:A,"",0,1))</f>
        <v/>
      </c>
      <c r="C441" s="14" t="str">
        <f t="array" ref="C441">IF(OR(G441="",G441="Selecciona.."),"",XLOOKUP(G441,Productos!$E:$E,Productos!$A:$A,"",0,1))</f>
        <v/>
      </c>
      <c r="D441" s="14" t="str">
        <f t="shared" si="2"/>
        <v/>
      </c>
      <c r="E441" s="14"/>
      <c r="F441" s="15" t="str">
        <f t="shared" si="4"/>
        <v/>
      </c>
      <c r="G441" s="15" t="str">
        <f t="shared" ref="G441:H441" si="438">IF(OR(F441="",F441="Selecciona.."),"","Selecciona..")</f>
        <v/>
      </c>
      <c r="H441" s="13" t="str">
        <f t="shared" si="438"/>
        <v/>
      </c>
    </row>
    <row r="442">
      <c r="A442" s="14" t="str">
        <f t="shared" si="1"/>
        <v/>
      </c>
      <c r="B442" s="14" t="str">
        <f t="array" ref="B442">IF(OR(F442="",F442="Selecciona.."),"",XLOOKUP(F442,Productos!E:E,Productos!A:A,"",0,1))</f>
        <v/>
      </c>
      <c r="C442" s="14" t="str">
        <f t="array" ref="C442">IF(OR(G442="",G442="Selecciona.."),"",XLOOKUP(G442,Productos!$E:$E,Productos!$A:$A,"",0,1))</f>
        <v/>
      </c>
      <c r="D442" s="14" t="str">
        <f t="shared" si="2"/>
        <v/>
      </c>
      <c r="E442" s="14"/>
      <c r="F442" s="15" t="str">
        <f t="shared" si="4"/>
        <v/>
      </c>
      <c r="G442" s="15" t="str">
        <f t="shared" ref="G442:H442" si="439">IF(OR(F442="",F442="Selecciona.."),"","Selecciona..")</f>
        <v/>
      </c>
      <c r="H442" s="13" t="str">
        <f t="shared" si="439"/>
        <v/>
      </c>
    </row>
    <row r="443">
      <c r="A443" s="14" t="str">
        <f t="shared" si="1"/>
        <v/>
      </c>
      <c r="B443" s="14" t="str">
        <f t="array" ref="B443">IF(OR(F443="",F443="Selecciona.."),"",XLOOKUP(F443,Productos!E:E,Productos!A:A,"",0,1))</f>
        <v/>
      </c>
      <c r="C443" s="14" t="str">
        <f t="array" ref="C443">IF(OR(G443="",G443="Selecciona.."),"",XLOOKUP(G443,Productos!$E:$E,Productos!$A:$A,"",0,1))</f>
        <v/>
      </c>
      <c r="D443" s="14" t="str">
        <f t="shared" si="2"/>
        <v/>
      </c>
      <c r="E443" s="14"/>
      <c r="F443" s="15" t="str">
        <f t="shared" si="4"/>
        <v/>
      </c>
      <c r="G443" s="15" t="str">
        <f t="shared" ref="G443:H443" si="440">IF(OR(F443="",F443="Selecciona.."),"","Selecciona..")</f>
        <v/>
      </c>
      <c r="H443" s="13" t="str">
        <f t="shared" si="440"/>
        <v/>
      </c>
    </row>
    <row r="444">
      <c r="A444" s="14" t="str">
        <f t="shared" si="1"/>
        <v/>
      </c>
      <c r="B444" s="14" t="str">
        <f t="array" ref="B444">IF(OR(F444="",F444="Selecciona.."),"",XLOOKUP(F444,Productos!E:E,Productos!A:A,"",0,1))</f>
        <v/>
      </c>
      <c r="C444" s="14" t="str">
        <f t="array" ref="C444">IF(OR(G444="",G444="Selecciona.."),"",XLOOKUP(G444,Productos!$E:$E,Productos!$A:$A,"",0,1))</f>
        <v/>
      </c>
      <c r="D444" s="14" t="str">
        <f t="shared" si="2"/>
        <v/>
      </c>
      <c r="E444" s="14"/>
      <c r="F444" s="15" t="str">
        <f t="shared" si="4"/>
        <v/>
      </c>
      <c r="G444" s="15" t="str">
        <f t="shared" ref="G444:H444" si="441">IF(OR(F444="",F444="Selecciona.."),"","Selecciona..")</f>
        <v/>
      </c>
      <c r="H444" s="13" t="str">
        <f t="shared" si="441"/>
        <v/>
      </c>
    </row>
    <row r="445">
      <c r="A445" s="14" t="str">
        <f t="shared" si="1"/>
        <v/>
      </c>
      <c r="B445" s="14" t="str">
        <f t="array" ref="B445">IF(OR(F445="",F445="Selecciona.."),"",XLOOKUP(F445,Productos!E:E,Productos!A:A,"",0,1))</f>
        <v/>
      </c>
      <c r="C445" s="14" t="str">
        <f t="array" ref="C445">IF(OR(G445="",G445="Selecciona.."),"",XLOOKUP(G445,Productos!$E:$E,Productos!$A:$A,"",0,1))</f>
        <v/>
      </c>
      <c r="D445" s="14" t="str">
        <f t="shared" si="2"/>
        <v/>
      </c>
      <c r="E445" s="14"/>
      <c r="F445" s="15" t="str">
        <f t="shared" si="4"/>
        <v/>
      </c>
      <c r="G445" s="15" t="str">
        <f t="shared" ref="G445:H445" si="442">IF(OR(F445="",F445="Selecciona.."),"","Selecciona..")</f>
        <v/>
      </c>
      <c r="H445" s="13" t="str">
        <f t="shared" si="442"/>
        <v/>
      </c>
    </row>
    <row r="446">
      <c r="A446" s="14" t="str">
        <f t="shared" si="1"/>
        <v/>
      </c>
      <c r="B446" s="14" t="str">
        <f t="array" ref="B446">IF(OR(F446="",F446="Selecciona.."),"",XLOOKUP(F446,Productos!E:E,Productos!A:A,"",0,1))</f>
        <v/>
      </c>
      <c r="C446" s="14" t="str">
        <f t="array" ref="C446">IF(OR(G446="",G446="Selecciona.."),"",XLOOKUP(G446,Productos!$E:$E,Productos!$A:$A,"",0,1))</f>
        <v/>
      </c>
      <c r="D446" s="14" t="str">
        <f t="shared" si="2"/>
        <v/>
      </c>
      <c r="E446" s="14"/>
      <c r="F446" s="15" t="str">
        <f t="shared" si="4"/>
        <v/>
      </c>
      <c r="G446" s="15" t="str">
        <f t="shared" ref="G446:H446" si="443">IF(OR(F446="",F446="Selecciona.."),"","Selecciona..")</f>
        <v/>
      </c>
      <c r="H446" s="13" t="str">
        <f t="shared" si="443"/>
        <v/>
      </c>
    </row>
    <row r="447">
      <c r="A447" s="14" t="str">
        <f t="shared" si="1"/>
        <v/>
      </c>
      <c r="B447" s="14" t="str">
        <f t="array" ref="B447">IF(OR(F447="",F447="Selecciona.."),"",XLOOKUP(F447,Productos!E:E,Productos!A:A,"",0,1))</f>
        <v/>
      </c>
      <c r="C447" s="14" t="str">
        <f t="array" ref="C447">IF(OR(G447="",G447="Selecciona.."),"",XLOOKUP(G447,Productos!$E:$E,Productos!$A:$A,"",0,1))</f>
        <v/>
      </c>
      <c r="D447" s="14" t="str">
        <f t="shared" si="2"/>
        <v/>
      </c>
      <c r="E447" s="14"/>
      <c r="F447" s="15" t="str">
        <f t="shared" si="4"/>
        <v/>
      </c>
      <c r="G447" s="15" t="str">
        <f t="shared" ref="G447:H447" si="444">IF(OR(F447="",F447="Selecciona.."),"","Selecciona..")</f>
        <v/>
      </c>
      <c r="H447" s="13" t="str">
        <f t="shared" si="444"/>
        <v/>
      </c>
    </row>
    <row r="448">
      <c r="A448" s="14" t="str">
        <f t="shared" si="1"/>
        <v/>
      </c>
      <c r="B448" s="14" t="str">
        <f t="array" ref="B448">IF(OR(F448="",F448="Selecciona.."),"",XLOOKUP(F448,Productos!E:E,Productos!A:A,"",0,1))</f>
        <v/>
      </c>
      <c r="C448" s="14" t="str">
        <f t="array" ref="C448">IF(OR(G448="",G448="Selecciona.."),"",XLOOKUP(G448,Productos!$E:$E,Productos!$A:$A,"",0,1))</f>
        <v/>
      </c>
      <c r="D448" s="14" t="str">
        <f t="shared" si="2"/>
        <v/>
      </c>
      <c r="E448" s="14"/>
      <c r="F448" s="15" t="str">
        <f t="shared" si="4"/>
        <v/>
      </c>
      <c r="G448" s="15" t="str">
        <f t="shared" ref="G448:H448" si="445">IF(OR(F448="",F448="Selecciona.."),"","Selecciona..")</f>
        <v/>
      </c>
      <c r="H448" s="13" t="str">
        <f t="shared" si="445"/>
        <v/>
      </c>
    </row>
    <row r="449">
      <c r="A449" s="14" t="str">
        <f t="shared" si="1"/>
        <v/>
      </c>
      <c r="B449" s="14" t="str">
        <f t="array" ref="B449">IF(OR(F449="",F449="Selecciona.."),"",XLOOKUP(F449,Productos!E:E,Productos!A:A,"",0,1))</f>
        <v/>
      </c>
      <c r="C449" s="14" t="str">
        <f t="array" ref="C449">IF(OR(G449="",G449="Selecciona.."),"",XLOOKUP(G449,Productos!$E:$E,Productos!$A:$A,"",0,1))</f>
        <v/>
      </c>
      <c r="D449" s="14" t="str">
        <f t="shared" si="2"/>
        <v/>
      </c>
      <c r="E449" s="14"/>
      <c r="F449" s="15" t="str">
        <f t="shared" si="4"/>
        <v/>
      </c>
      <c r="G449" s="15" t="str">
        <f t="shared" ref="G449:H449" si="446">IF(OR(F449="",F449="Selecciona.."),"","Selecciona..")</f>
        <v/>
      </c>
      <c r="H449" s="13" t="str">
        <f t="shared" si="446"/>
        <v/>
      </c>
    </row>
    <row r="450">
      <c r="A450" s="14" t="str">
        <f t="shared" si="1"/>
        <v/>
      </c>
      <c r="B450" s="14" t="str">
        <f t="array" ref="B450">IF(OR(F450="",F450="Selecciona.."),"",XLOOKUP(F450,Productos!E:E,Productos!A:A,"",0,1))</f>
        <v/>
      </c>
      <c r="C450" s="14" t="str">
        <f t="array" ref="C450">IF(OR(G450="",G450="Selecciona.."),"",XLOOKUP(G450,Productos!$E:$E,Productos!$A:$A,"",0,1))</f>
        <v/>
      </c>
      <c r="D450" s="14" t="str">
        <f t="shared" si="2"/>
        <v/>
      </c>
      <c r="E450" s="14"/>
      <c r="F450" s="15" t="str">
        <f t="shared" si="4"/>
        <v/>
      </c>
      <c r="G450" s="15" t="str">
        <f t="shared" ref="G450:H450" si="447">IF(OR(F450="",F450="Selecciona.."),"","Selecciona..")</f>
        <v/>
      </c>
      <c r="H450" s="13" t="str">
        <f t="shared" si="447"/>
        <v/>
      </c>
    </row>
    <row r="451">
      <c r="A451" s="14" t="str">
        <f t="shared" si="1"/>
        <v/>
      </c>
      <c r="B451" s="14" t="str">
        <f t="array" ref="B451">IF(OR(F451="",F451="Selecciona.."),"",XLOOKUP(F451,Productos!E:E,Productos!A:A,"",0,1))</f>
        <v/>
      </c>
      <c r="C451" s="14" t="str">
        <f t="array" ref="C451">IF(OR(G451="",G451="Selecciona.."),"",XLOOKUP(G451,Productos!$E:$E,Productos!$A:$A,"",0,1))</f>
        <v/>
      </c>
      <c r="D451" s="14" t="str">
        <f t="shared" si="2"/>
        <v/>
      </c>
      <c r="E451" s="14"/>
      <c r="F451" s="15" t="str">
        <f t="shared" si="4"/>
        <v/>
      </c>
      <c r="G451" s="15" t="str">
        <f t="shared" ref="G451:H451" si="448">IF(OR(F451="",F451="Selecciona.."),"","Selecciona..")</f>
        <v/>
      </c>
      <c r="H451" s="13" t="str">
        <f t="shared" si="448"/>
        <v/>
      </c>
    </row>
    <row r="452">
      <c r="A452" s="14" t="str">
        <f t="shared" si="1"/>
        <v/>
      </c>
      <c r="B452" s="14" t="str">
        <f t="array" ref="B452">IF(OR(F452="",F452="Selecciona.."),"",XLOOKUP(F452,Productos!E:E,Productos!A:A,"",0,1))</f>
        <v/>
      </c>
      <c r="C452" s="14" t="str">
        <f t="array" ref="C452">IF(OR(G452="",G452="Selecciona.."),"",XLOOKUP(G452,Productos!$E:$E,Productos!$A:$A,"",0,1))</f>
        <v/>
      </c>
      <c r="D452" s="14" t="str">
        <f t="shared" si="2"/>
        <v/>
      </c>
      <c r="E452" s="14"/>
      <c r="F452" s="15" t="str">
        <f t="shared" si="4"/>
        <v/>
      </c>
      <c r="G452" s="15" t="str">
        <f t="shared" ref="G452:H452" si="449">IF(OR(F452="",F452="Selecciona.."),"","Selecciona..")</f>
        <v/>
      </c>
      <c r="H452" s="13" t="str">
        <f t="shared" si="449"/>
        <v/>
      </c>
    </row>
    <row r="453">
      <c r="A453" s="14" t="str">
        <f t="shared" si="1"/>
        <v/>
      </c>
      <c r="B453" s="14" t="str">
        <f t="array" ref="B453">IF(OR(F453="",F453="Selecciona.."),"",XLOOKUP(F453,Productos!E:E,Productos!A:A,"",0,1))</f>
        <v/>
      </c>
      <c r="C453" s="14" t="str">
        <f t="array" ref="C453">IF(OR(G453="",G453="Selecciona.."),"",XLOOKUP(G453,Productos!$E:$E,Productos!$A:$A,"",0,1))</f>
        <v/>
      </c>
      <c r="D453" s="14" t="str">
        <f t="shared" si="2"/>
        <v/>
      </c>
      <c r="E453" s="14"/>
      <c r="F453" s="15" t="str">
        <f t="shared" si="4"/>
        <v/>
      </c>
      <c r="G453" s="15" t="str">
        <f t="shared" ref="G453:H453" si="450">IF(OR(F453="",F453="Selecciona.."),"","Selecciona..")</f>
        <v/>
      </c>
      <c r="H453" s="13" t="str">
        <f t="shared" si="450"/>
        <v/>
      </c>
    </row>
    <row r="454">
      <c r="A454" s="14" t="str">
        <f t="shared" si="1"/>
        <v/>
      </c>
      <c r="B454" s="14" t="str">
        <f t="array" ref="B454">IF(OR(F454="",F454="Selecciona.."),"",XLOOKUP(F454,Productos!E:E,Productos!A:A,"",0,1))</f>
        <v/>
      </c>
      <c r="C454" s="14" t="str">
        <f t="array" ref="C454">IF(OR(G454="",G454="Selecciona.."),"",XLOOKUP(G454,Productos!$E:$E,Productos!$A:$A,"",0,1))</f>
        <v/>
      </c>
      <c r="D454" s="14" t="str">
        <f t="shared" si="2"/>
        <v/>
      </c>
      <c r="E454" s="14"/>
      <c r="F454" s="15" t="str">
        <f t="shared" si="4"/>
        <v/>
      </c>
      <c r="G454" s="15" t="str">
        <f t="shared" ref="G454:H454" si="451">IF(OR(F454="",F454="Selecciona.."),"","Selecciona..")</f>
        <v/>
      </c>
      <c r="H454" s="13" t="str">
        <f t="shared" si="451"/>
        <v/>
      </c>
    </row>
    <row r="455">
      <c r="A455" s="14" t="str">
        <f t="shared" si="1"/>
        <v/>
      </c>
      <c r="B455" s="14" t="str">
        <f t="array" ref="B455">IF(OR(F455="",F455="Selecciona.."),"",XLOOKUP(F455,Productos!E:E,Productos!A:A,"",0,1))</f>
        <v/>
      </c>
      <c r="C455" s="14" t="str">
        <f t="array" ref="C455">IF(OR(G455="",G455="Selecciona.."),"",XLOOKUP(G455,Productos!$E:$E,Productos!$A:$A,"",0,1))</f>
        <v/>
      </c>
      <c r="D455" s="14" t="str">
        <f t="shared" si="2"/>
        <v/>
      </c>
      <c r="E455" s="14"/>
      <c r="F455" s="15" t="str">
        <f t="shared" si="4"/>
        <v/>
      </c>
      <c r="G455" s="15" t="str">
        <f t="shared" ref="G455:H455" si="452">IF(OR(F455="",F455="Selecciona.."),"","Selecciona..")</f>
        <v/>
      </c>
      <c r="H455" s="13" t="str">
        <f t="shared" si="452"/>
        <v/>
      </c>
    </row>
    <row r="456">
      <c r="A456" s="14" t="str">
        <f t="shared" si="1"/>
        <v/>
      </c>
      <c r="B456" s="14" t="str">
        <f t="array" ref="B456">IF(OR(F456="",F456="Selecciona.."),"",XLOOKUP(F456,Productos!E:E,Productos!A:A,"",0,1))</f>
        <v/>
      </c>
      <c r="C456" s="14" t="str">
        <f t="array" ref="C456">IF(OR(G456="",G456="Selecciona.."),"",XLOOKUP(G456,Productos!$E:$E,Productos!$A:$A,"",0,1))</f>
        <v/>
      </c>
      <c r="D456" s="14" t="str">
        <f t="shared" si="2"/>
        <v/>
      </c>
      <c r="E456" s="14"/>
      <c r="F456" s="15" t="str">
        <f t="shared" si="4"/>
        <v/>
      </c>
      <c r="G456" s="15" t="str">
        <f t="shared" ref="G456:H456" si="453">IF(OR(F456="",F456="Selecciona.."),"","Selecciona..")</f>
        <v/>
      </c>
      <c r="H456" s="13" t="str">
        <f t="shared" si="453"/>
        <v/>
      </c>
    </row>
    <row r="457">
      <c r="A457" s="14" t="str">
        <f t="shared" si="1"/>
        <v/>
      </c>
      <c r="B457" s="14" t="str">
        <f t="array" ref="B457">IF(OR(F457="",F457="Selecciona.."),"",XLOOKUP(F457,Productos!E:E,Productos!A:A,"",0,1))</f>
        <v/>
      </c>
      <c r="C457" s="14" t="str">
        <f t="array" ref="C457">IF(OR(G457="",G457="Selecciona.."),"",XLOOKUP(G457,Productos!$E:$E,Productos!$A:$A,"",0,1))</f>
        <v/>
      </c>
      <c r="D457" s="14" t="str">
        <f t="shared" si="2"/>
        <v/>
      </c>
      <c r="E457" s="14"/>
      <c r="F457" s="15" t="str">
        <f t="shared" si="4"/>
        <v/>
      </c>
      <c r="G457" s="15" t="str">
        <f t="shared" ref="G457:H457" si="454">IF(OR(F457="",F457="Selecciona.."),"","Selecciona..")</f>
        <v/>
      </c>
      <c r="H457" s="13" t="str">
        <f t="shared" si="454"/>
        <v/>
      </c>
    </row>
    <row r="458">
      <c r="A458" s="14" t="str">
        <f t="shared" si="1"/>
        <v/>
      </c>
      <c r="B458" s="14" t="str">
        <f t="array" ref="B458">IF(OR(F458="",F458="Selecciona.."),"",XLOOKUP(F458,Productos!E:E,Productos!A:A,"",0,1))</f>
        <v/>
      </c>
      <c r="C458" s="14" t="str">
        <f t="array" ref="C458">IF(OR(G458="",G458="Selecciona.."),"",XLOOKUP(G458,Productos!$E:$E,Productos!$A:$A,"",0,1))</f>
        <v/>
      </c>
      <c r="D458" s="14" t="str">
        <f t="shared" si="2"/>
        <v/>
      </c>
      <c r="E458" s="14"/>
      <c r="F458" s="15" t="str">
        <f t="shared" si="4"/>
        <v/>
      </c>
      <c r="G458" s="15" t="str">
        <f t="shared" ref="G458:H458" si="455">IF(OR(F458="",F458="Selecciona.."),"","Selecciona..")</f>
        <v/>
      </c>
      <c r="H458" s="13" t="str">
        <f t="shared" si="455"/>
        <v/>
      </c>
    </row>
    <row r="459">
      <c r="A459" s="14" t="str">
        <f t="shared" si="1"/>
        <v/>
      </c>
      <c r="B459" s="14" t="str">
        <f t="array" ref="B459">IF(OR(F459="",F459="Selecciona.."),"",XLOOKUP(F459,Productos!E:E,Productos!A:A,"",0,1))</f>
        <v/>
      </c>
      <c r="C459" s="14" t="str">
        <f t="array" ref="C459">IF(OR(G459="",G459="Selecciona.."),"",XLOOKUP(G459,Productos!$E:$E,Productos!$A:$A,"",0,1))</f>
        <v/>
      </c>
      <c r="D459" s="14" t="str">
        <f t="shared" si="2"/>
        <v/>
      </c>
      <c r="E459" s="14"/>
      <c r="F459" s="15" t="str">
        <f t="shared" si="4"/>
        <v/>
      </c>
      <c r="G459" s="15" t="str">
        <f t="shared" ref="G459:H459" si="456">IF(OR(F459="",F459="Selecciona.."),"","Selecciona..")</f>
        <v/>
      </c>
      <c r="H459" s="13" t="str">
        <f t="shared" si="456"/>
        <v/>
      </c>
    </row>
    <row r="460">
      <c r="A460" s="14" t="str">
        <f t="shared" si="1"/>
        <v/>
      </c>
      <c r="B460" s="14" t="str">
        <f t="array" ref="B460">IF(OR(F460="",F460="Selecciona.."),"",XLOOKUP(F460,Productos!E:E,Productos!A:A,"",0,1))</f>
        <v/>
      </c>
      <c r="C460" s="14" t="str">
        <f t="array" ref="C460">IF(OR(G460="",G460="Selecciona.."),"",XLOOKUP(G460,Productos!$E:$E,Productos!$A:$A,"",0,1))</f>
        <v/>
      </c>
      <c r="D460" s="14" t="str">
        <f t="shared" si="2"/>
        <v/>
      </c>
      <c r="E460" s="14"/>
      <c r="F460" s="15" t="str">
        <f t="shared" si="4"/>
        <v/>
      </c>
      <c r="G460" s="15" t="str">
        <f t="shared" ref="G460:H460" si="457">IF(OR(F460="",F460="Selecciona.."),"","Selecciona..")</f>
        <v/>
      </c>
      <c r="H460" s="13" t="str">
        <f t="shared" si="457"/>
        <v/>
      </c>
    </row>
    <row r="461">
      <c r="A461" s="14" t="str">
        <f t="shared" si="1"/>
        <v/>
      </c>
      <c r="B461" s="14" t="str">
        <f t="array" ref="B461">IF(OR(F461="",F461="Selecciona.."),"",XLOOKUP(F461,Productos!E:E,Productos!A:A,"",0,1))</f>
        <v/>
      </c>
      <c r="C461" s="14" t="str">
        <f t="array" ref="C461">IF(OR(G461="",G461="Selecciona.."),"",XLOOKUP(G461,Productos!$E:$E,Productos!$A:$A,"",0,1))</f>
        <v/>
      </c>
      <c r="D461" s="14" t="str">
        <f t="shared" si="2"/>
        <v/>
      </c>
      <c r="E461" s="14"/>
      <c r="F461" s="15" t="str">
        <f t="shared" si="4"/>
        <v/>
      </c>
      <c r="G461" s="15" t="str">
        <f t="shared" ref="G461:H461" si="458">IF(OR(F461="",F461="Selecciona.."),"","Selecciona..")</f>
        <v/>
      </c>
      <c r="H461" s="13" t="str">
        <f t="shared" si="458"/>
        <v/>
      </c>
    </row>
    <row r="462">
      <c r="A462" s="14" t="str">
        <f t="shared" si="1"/>
        <v/>
      </c>
      <c r="B462" s="14" t="str">
        <f t="array" ref="B462">IF(OR(F462="",F462="Selecciona.."),"",XLOOKUP(F462,Productos!E:E,Productos!A:A,"",0,1))</f>
        <v/>
      </c>
      <c r="C462" s="14" t="str">
        <f t="array" ref="C462">IF(OR(G462="",G462="Selecciona.."),"",XLOOKUP(G462,Productos!$E:$E,Productos!$A:$A,"",0,1))</f>
        <v/>
      </c>
      <c r="D462" s="14" t="str">
        <f t="shared" si="2"/>
        <v/>
      </c>
      <c r="E462" s="14"/>
      <c r="F462" s="15" t="str">
        <f t="shared" si="4"/>
        <v/>
      </c>
      <c r="G462" s="15" t="str">
        <f t="shared" ref="G462:H462" si="459">IF(OR(F462="",F462="Selecciona.."),"","Selecciona..")</f>
        <v/>
      </c>
      <c r="H462" s="13" t="str">
        <f t="shared" si="459"/>
        <v/>
      </c>
    </row>
    <row r="463">
      <c r="A463" s="14" t="str">
        <f t="shared" si="1"/>
        <v/>
      </c>
      <c r="B463" s="14" t="str">
        <f t="array" ref="B463">IF(OR(F463="",F463="Selecciona.."),"",XLOOKUP(F463,Productos!E:E,Productos!A:A,"",0,1))</f>
        <v/>
      </c>
      <c r="C463" s="14" t="str">
        <f t="array" ref="C463">IF(OR(G463="",G463="Selecciona.."),"",XLOOKUP(G463,Productos!$E:$E,Productos!$A:$A,"",0,1))</f>
        <v/>
      </c>
      <c r="D463" s="14" t="str">
        <f t="shared" si="2"/>
        <v/>
      </c>
      <c r="E463" s="14"/>
      <c r="F463" s="15" t="str">
        <f t="shared" si="4"/>
        <v/>
      </c>
      <c r="G463" s="15" t="str">
        <f t="shared" ref="G463:H463" si="460">IF(OR(F463="",F463="Selecciona.."),"","Selecciona..")</f>
        <v/>
      </c>
      <c r="H463" s="13" t="str">
        <f t="shared" si="460"/>
        <v/>
      </c>
    </row>
    <row r="464">
      <c r="A464" s="14" t="str">
        <f t="shared" si="1"/>
        <v/>
      </c>
      <c r="B464" s="14" t="str">
        <f t="array" ref="B464">IF(OR(F464="",F464="Selecciona.."),"",XLOOKUP(F464,Productos!E:E,Productos!A:A,"",0,1))</f>
        <v/>
      </c>
      <c r="C464" s="14" t="str">
        <f t="array" ref="C464">IF(OR(G464="",G464="Selecciona.."),"",XLOOKUP(G464,Productos!$E:$E,Productos!$A:$A,"",0,1))</f>
        <v/>
      </c>
      <c r="D464" s="14" t="str">
        <f t="shared" si="2"/>
        <v/>
      </c>
      <c r="E464" s="14"/>
      <c r="F464" s="15" t="str">
        <f t="shared" si="4"/>
        <v/>
      </c>
      <c r="G464" s="15" t="str">
        <f t="shared" ref="G464:H464" si="461">IF(OR(F464="",F464="Selecciona.."),"","Selecciona..")</f>
        <v/>
      </c>
      <c r="H464" s="13" t="str">
        <f t="shared" si="461"/>
        <v/>
      </c>
    </row>
    <row r="465">
      <c r="A465" s="14" t="str">
        <f t="shared" si="1"/>
        <v/>
      </c>
      <c r="B465" s="14" t="str">
        <f t="array" ref="B465">IF(OR(F465="",F465="Selecciona.."),"",XLOOKUP(F465,Productos!E:E,Productos!A:A,"",0,1))</f>
        <v/>
      </c>
      <c r="C465" s="14" t="str">
        <f t="array" ref="C465">IF(OR(G465="",G465="Selecciona.."),"",XLOOKUP(G465,Productos!$E:$E,Productos!$A:$A,"",0,1))</f>
        <v/>
      </c>
      <c r="D465" s="14" t="str">
        <f t="shared" si="2"/>
        <v/>
      </c>
      <c r="E465" s="14"/>
      <c r="F465" s="15" t="str">
        <f t="shared" si="4"/>
        <v/>
      </c>
      <c r="G465" s="15" t="str">
        <f t="shared" ref="G465:H465" si="462">IF(OR(F465="",F465="Selecciona.."),"","Selecciona..")</f>
        <v/>
      </c>
      <c r="H465" s="13" t="str">
        <f t="shared" si="462"/>
        <v/>
      </c>
    </row>
    <row r="466">
      <c r="A466" s="14" t="str">
        <f t="shared" si="1"/>
        <v/>
      </c>
      <c r="B466" s="14" t="str">
        <f t="array" ref="B466">IF(OR(F466="",F466="Selecciona.."),"",XLOOKUP(F466,Productos!E:E,Productos!A:A,"",0,1))</f>
        <v/>
      </c>
      <c r="C466" s="14" t="str">
        <f t="array" ref="C466">IF(OR(G466="",G466="Selecciona.."),"",XLOOKUP(G466,Productos!$E:$E,Productos!$A:$A,"",0,1))</f>
        <v/>
      </c>
      <c r="D466" s="14" t="str">
        <f t="shared" si="2"/>
        <v/>
      </c>
      <c r="E466" s="14"/>
      <c r="F466" s="15" t="str">
        <f t="shared" si="4"/>
        <v/>
      </c>
      <c r="G466" s="15" t="str">
        <f t="shared" ref="G466:H466" si="463">IF(OR(F466="",F466="Selecciona.."),"","Selecciona..")</f>
        <v/>
      </c>
      <c r="H466" s="13" t="str">
        <f t="shared" si="463"/>
        <v/>
      </c>
    </row>
    <row r="467">
      <c r="A467" s="14" t="str">
        <f t="shared" si="1"/>
        <v/>
      </c>
      <c r="B467" s="14" t="str">
        <f t="array" ref="B467">IF(OR(F467="",F467="Selecciona.."),"",XLOOKUP(F467,Productos!E:E,Productos!A:A,"",0,1))</f>
        <v/>
      </c>
      <c r="C467" s="14" t="str">
        <f t="array" ref="C467">IF(OR(G467="",G467="Selecciona.."),"",XLOOKUP(G467,Productos!$E:$E,Productos!$A:$A,"",0,1))</f>
        <v/>
      </c>
      <c r="D467" s="14" t="str">
        <f t="shared" si="2"/>
        <v/>
      </c>
      <c r="E467" s="14"/>
      <c r="F467" s="15" t="str">
        <f t="shared" si="4"/>
        <v/>
      </c>
      <c r="G467" s="15" t="str">
        <f t="shared" ref="G467:H467" si="464">IF(OR(F467="",F467="Selecciona.."),"","Selecciona..")</f>
        <v/>
      </c>
      <c r="H467" s="13" t="str">
        <f t="shared" si="464"/>
        <v/>
      </c>
    </row>
    <row r="468">
      <c r="A468" s="14" t="str">
        <f t="shared" si="1"/>
        <v/>
      </c>
      <c r="B468" s="14" t="str">
        <f t="array" ref="B468">IF(OR(F468="",F468="Selecciona.."),"",XLOOKUP(F468,Productos!E:E,Productos!A:A,"",0,1))</f>
        <v/>
      </c>
      <c r="C468" s="14" t="str">
        <f t="array" ref="C468">IF(OR(G468="",G468="Selecciona.."),"",XLOOKUP(G468,Productos!$E:$E,Productos!$A:$A,"",0,1))</f>
        <v/>
      </c>
      <c r="D468" s="14" t="str">
        <f t="shared" si="2"/>
        <v/>
      </c>
      <c r="E468" s="14"/>
      <c r="F468" s="15" t="str">
        <f t="shared" si="4"/>
        <v/>
      </c>
      <c r="G468" s="15" t="str">
        <f t="shared" ref="G468:H468" si="465">IF(OR(F468="",F468="Selecciona.."),"","Selecciona..")</f>
        <v/>
      </c>
      <c r="H468" s="13" t="str">
        <f t="shared" si="465"/>
        <v/>
      </c>
    </row>
    <row r="469">
      <c r="A469" s="14" t="str">
        <f t="shared" si="1"/>
        <v/>
      </c>
      <c r="B469" s="14" t="str">
        <f t="array" ref="B469">IF(OR(F469="",F469="Selecciona.."),"",XLOOKUP(F469,Productos!E:E,Productos!A:A,"",0,1))</f>
        <v/>
      </c>
      <c r="C469" s="14" t="str">
        <f t="array" ref="C469">IF(OR(G469="",G469="Selecciona.."),"",XLOOKUP(G469,Productos!$E:$E,Productos!$A:$A,"",0,1))</f>
        <v/>
      </c>
      <c r="D469" s="14" t="str">
        <f t="shared" si="2"/>
        <v/>
      </c>
      <c r="E469" s="14"/>
      <c r="F469" s="15" t="str">
        <f t="shared" si="4"/>
        <v/>
      </c>
      <c r="G469" s="15" t="str">
        <f t="shared" ref="G469:H469" si="466">IF(OR(F469="",F469="Selecciona.."),"","Selecciona..")</f>
        <v/>
      </c>
      <c r="H469" s="13" t="str">
        <f t="shared" si="466"/>
        <v/>
      </c>
    </row>
    <row r="470">
      <c r="A470" s="14" t="str">
        <f t="shared" si="1"/>
        <v/>
      </c>
      <c r="B470" s="14" t="str">
        <f t="array" ref="B470">IF(OR(F470="",F470="Selecciona.."),"",XLOOKUP(F470,Productos!E:E,Productos!A:A,"",0,1))</f>
        <v/>
      </c>
      <c r="C470" s="14" t="str">
        <f t="array" ref="C470">IF(OR(G470="",G470="Selecciona.."),"",XLOOKUP(G470,Productos!$E:$E,Productos!$A:$A,"",0,1))</f>
        <v/>
      </c>
      <c r="D470" s="14" t="str">
        <f t="shared" si="2"/>
        <v/>
      </c>
      <c r="E470" s="14"/>
      <c r="F470" s="15" t="str">
        <f t="shared" si="4"/>
        <v/>
      </c>
      <c r="G470" s="15" t="str">
        <f t="shared" ref="G470:H470" si="467">IF(OR(F470="",F470="Selecciona.."),"","Selecciona..")</f>
        <v/>
      </c>
      <c r="H470" s="13" t="str">
        <f t="shared" si="467"/>
        <v/>
      </c>
    </row>
    <row r="471">
      <c r="A471" s="14" t="str">
        <f t="shared" si="1"/>
        <v/>
      </c>
      <c r="B471" s="14" t="str">
        <f t="array" ref="B471">IF(OR(F471="",F471="Selecciona.."),"",XLOOKUP(F471,Productos!E:E,Productos!A:A,"",0,1))</f>
        <v/>
      </c>
      <c r="C471" s="14" t="str">
        <f t="array" ref="C471">IF(OR(G471="",G471="Selecciona.."),"",XLOOKUP(G471,Productos!$E:$E,Productos!$A:$A,"",0,1))</f>
        <v/>
      </c>
      <c r="D471" s="14" t="str">
        <f t="shared" si="2"/>
        <v/>
      </c>
      <c r="E471" s="14"/>
      <c r="F471" s="15" t="str">
        <f t="shared" si="4"/>
        <v/>
      </c>
      <c r="G471" s="15" t="str">
        <f t="shared" ref="G471:H471" si="468">IF(OR(F471="",F471="Selecciona.."),"","Selecciona..")</f>
        <v/>
      </c>
      <c r="H471" s="13" t="str">
        <f t="shared" si="468"/>
        <v/>
      </c>
    </row>
    <row r="472">
      <c r="A472" s="14" t="str">
        <f t="shared" si="1"/>
        <v/>
      </c>
      <c r="B472" s="14" t="str">
        <f t="array" ref="B472">IF(OR(F472="",F472="Selecciona.."),"",XLOOKUP(F472,Productos!E:E,Productos!A:A,"",0,1))</f>
        <v/>
      </c>
      <c r="C472" s="14" t="str">
        <f t="array" ref="C472">IF(OR(G472="",G472="Selecciona.."),"",XLOOKUP(G472,Productos!$E:$E,Productos!$A:$A,"",0,1))</f>
        <v/>
      </c>
      <c r="D472" s="14" t="str">
        <f t="shared" si="2"/>
        <v/>
      </c>
      <c r="E472" s="14"/>
      <c r="F472" s="15" t="str">
        <f t="shared" si="4"/>
        <v/>
      </c>
      <c r="G472" s="15" t="str">
        <f t="shared" ref="G472:H472" si="469">IF(OR(F472="",F472="Selecciona.."),"","Selecciona..")</f>
        <v/>
      </c>
      <c r="H472" s="13" t="str">
        <f t="shared" si="469"/>
        <v/>
      </c>
    </row>
    <row r="473">
      <c r="A473" s="14" t="str">
        <f t="shared" si="1"/>
        <v/>
      </c>
      <c r="B473" s="14" t="str">
        <f t="array" ref="B473">IF(OR(F473="",F473="Selecciona.."),"",XLOOKUP(F473,Productos!E:E,Productos!A:A,"",0,1))</f>
        <v/>
      </c>
      <c r="C473" s="14" t="str">
        <f t="array" ref="C473">IF(OR(G473="",G473="Selecciona.."),"",XLOOKUP(G473,Productos!$E:$E,Productos!$A:$A,"",0,1))</f>
        <v/>
      </c>
      <c r="D473" s="14" t="str">
        <f t="shared" si="2"/>
        <v/>
      </c>
      <c r="E473" s="14"/>
      <c r="F473" s="15" t="str">
        <f t="shared" si="4"/>
        <v/>
      </c>
      <c r="G473" s="15" t="str">
        <f t="shared" ref="G473:H473" si="470">IF(OR(F473="",F473="Selecciona.."),"","Selecciona..")</f>
        <v/>
      </c>
      <c r="H473" s="13" t="str">
        <f t="shared" si="470"/>
        <v/>
      </c>
    </row>
    <row r="474">
      <c r="A474" s="14" t="str">
        <f t="shared" si="1"/>
        <v/>
      </c>
      <c r="B474" s="14" t="str">
        <f t="array" ref="B474">IF(OR(F474="",F474="Selecciona.."),"",XLOOKUP(F474,Productos!E:E,Productos!A:A,"",0,1))</f>
        <v/>
      </c>
      <c r="C474" s="14" t="str">
        <f t="array" ref="C474">IF(OR(G474="",G474="Selecciona.."),"",XLOOKUP(G474,Productos!$E:$E,Productos!$A:$A,"",0,1))</f>
        <v/>
      </c>
      <c r="D474" s="14" t="str">
        <f t="shared" si="2"/>
        <v/>
      </c>
      <c r="E474" s="14"/>
      <c r="F474" s="15" t="str">
        <f t="shared" si="4"/>
        <v/>
      </c>
      <c r="G474" s="15" t="str">
        <f t="shared" ref="G474:H474" si="471">IF(OR(F474="",F474="Selecciona.."),"","Selecciona..")</f>
        <v/>
      </c>
      <c r="H474" s="13" t="str">
        <f t="shared" si="471"/>
        <v/>
      </c>
    </row>
    <row r="475">
      <c r="A475" s="14" t="str">
        <f t="shared" si="1"/>
        <v/>
      </c>
      <c r="B475" s="14" t="str">
        <f t="array" ref="B475">IF(OR(F475="",F475="Selecciona.."),"",XLOOKUP(F475,Productos!E:E,Productos!A:A,"",0,1))</f>
        <v/>
      </c>
      <c r="C475" s="14" t="str">
        <f t="array" ref="C475">IF(OR(G475="",G475="Selecciona.."),"",XLOOKUP(G475,Productos!$E:$E,Productos!$A:$A,"",0,1))</f>
        <v/>
      </c>
      <c r="D475" s="14" t="str">
        <f t="shared" si="2"/>
        <v/>
      </c>
      <c r="E475" s="14"/>
      <c r="F475" s="15" t="str">
        <f t="shared" si="4"/>
        <v/>
      </c>
      <c r="G475" s="15" t="str">
        <f t="shared" ref="G475:H475" si="472">IF(OR(F475="",F475="Selecciona.."),"","Selecciona..")</f>
        <v/>
      </c>
      <c r="H475" s="13" t="str">
        <f t="shared" si="472"/>
        <v/>
      </c>
    </row>
    <row r="476">
      <c r="A476" s="14" t="str">
        <f t="shared" si="1"/>
        <v/>
      </c>
      <c r="B476" s="14" t="str">
        <f t="array" ref="B476">IF(OR(F476="",F476="Selecciona.."),"",XLOOKUP(F476,Productos!E:E,Productos!A:A,"",0,1))</f>
        <v/>
      </c>
      <c r="C476" s="14" t="str">
        <f t="array" ref="C476">IF(OR(G476="",G476="Selecciona.."),"",XLOOKUP(G476,Productos!$E:$E,Productos!$A:$A,"",0,1))</f>
        <v/>
      </c>
      <c r="D476" s="14" t="str">
        <f t="shared" si="2"/>
        <v/>
      </c>
      <c r="E476" s="14"/>
      <c r="F476" s="15" t="str">
        <f t="shared" si="4"/>
        <v/>
      </c>
      <c r="G476" s="15" t="str">
        <f t="shared" ref="G476:H476" si="473">IF(OR(F476="",F476="Selecciona.."),"","Selecciona..")</f>
        <v/>
      </c>
      <c r="H476" s="13" t="str">
        <f t="shared" si="473"/>
        <v/>
      </c>
    </row>
    <row r="477">
      <c r="A477" s="14" t="str">
        <f t="shared" si="1"/>
        <v/>
      </c>
      <c r="B477" s="14" t="str">
        <f t="array" ref="B477">IF(OR(F477="",F477="Selecciona.."),"",XLOOKUP(F477,Productos!E:E,Productos!A:A,"",0,1))</f>
        <v/>
      </c>
      <c r="C477" s="14" t="str">
        <f t="array" ref="C477">IF(OR(G477="",G477="Selecciona.."),"",XLOOKUP(G477,Productos!$E:$E,Productos!$A:$A,"",0,1))</f>
        <v/>
      </c>
      <c r="D477" s="14" t="str">
        <f t="shared" si="2"/>
        <v/>
      </c>
      <c r="E477" s="14"/>
      <c r="F477" s="15" t="str">
        <f t="shared" si="4"/>
        <v/>
      </c>
      <c r="G477" s="15" t="str">
        <f t="shared" ref="G477:H477" si="474">IF(OR(F477="",F477="Selecciona.."),"","Selecciona..")</f>
        <v/>
      </c>
      <c r="H477" s="13" t="str">
        <f t="shared" si="474"/>
        <v/>
      </c>
    </row>
    <row r="478">
      <c r="A478" s="14" t="str">
        <f t="shared" si="1"/>
        <v/>
      </c>
      <c r="B478" s="14" t="str">
        <f t="array" ref="B478">IF(OR(F478="",F478="Selecciona.."),"",XLOOKUP(F478,Productos!E:E,Productos!A:A,"",0,1))</f>
        <v/>
      </c>
      <c r="C478" s="14" t="str">
        <f t="array" ref="C478">IF(OR(G478="",G478="Selecciona.."),"",XLOOKUP(G478,Productos!$E:$E,Productos!$A:$A,"",0,1))</f>
        <v/>
      </c>
      <c r="D478" s="14" t="str">
        <f t="shared" si="2"/>
        <v/>
      </c>
      <c r="E478" s="14"/>
      <c r="F478" s="15" t="str">
        <f t="shared" si="4"/>
        <v/>
      </c>
      <c r="G478" s="15" t="str">
        <f t="shared" ref="G478:H478" si="475">IF(OR(F478="",F478="Selecciona.."),"","Selecciona..")</f>
        <v/>
      </c>
      <c r="H478" s="13" t="str">
        <f t="shared" si="475"/>
        <v/>
      </c>
    </row>
    <row r="479">
      <c r="A479" s="14" t="str">
        <f t="shared" si="1"/>
        <v/>
      </c>
      <c r="B479" s="14" t="str">
        <f t="array" ref="B479">IF(OR(F479="",F479="Selecciona.."),"",XLOOKUP(F479,Productos!E:E,Productos!A:A,"",0,1))</f>
        <v/>
      </c>
      <c r="C479" s="14" t="str">
        <f t="array" ref="C479">IF(OR(G479="",G479="Selecciona.."),"",XLOOKUP(G479,Productos!$E:$E,Productos!$A:$A,"",0,1))</f>
        <v/>
      </c>
      <c r="D479" s="14" t="str">
        <f t="shared" si="2"/>
        <v/>
      </c>
      <c r="E479" s="14"/>
      <c r="F479" s="15" t="str">
        <f t="shared" si="4"/>
        <v/>
      </c>
      <c r="G479" s="15" t="str">
        <f t="shared" ref="G479:H479" si="476">IF(OR(F479="",F479="Selecciona.."),"","Selecciona..")</f>
        <v/>
      </c>
      <c r="H479" s="13" t="str">
        <f t="shared" si="476"/>
        <v/>
      </c>
    </row>
    <row r="480">
      <c r="A480" s="14" t="str">
        <f t="shared" si="1"/>
        <v/>
      </c>
      <c r="B480" s="14" t="str">
        <f t="array" ref="B480">IF(OR(F480="",F480="Selecciona.."),"",XLOOKUP(F480,Productos!E:E,Productos!A:A,"",0,1))</f>
        <v/>
      </c>
      <c r="C480" s="14" t="str">
        <f t="array" ref="C480">IF(OR(G480="",G480="Selecciona.."),"",XLOOKUP(G480,Productos!$E:$E,Productos!$A:$A,"",0,1))</f>
        <v/>
      </c>
      <c r="D480" s="14" t="str">
        <f t="shared" si="2"/>
        <v/>
      </c>
      <c r="E480" s="14"/>
      <c r="F480" s="15" t="str">
        <f t="shared" si="4"/>
        <v/>
      </c>
      <c r="G480" s="15" t="str">
        <f t="shared" ref="G480:H480" si="477">IF(OR(F480="",F480="Selecciona.."),"","Selecciona..")</f>
        <v/>
      </c>
      <c r="H480" s="13" t="str">
        <f t="shared" si="477"/>
        <v/>
      </c>
    </row>
    <row r="481">
      <c r="A481" s="14" t="str">
        <f t="shared" si="1"/>
        <v/>
      </c>
      <c r="B481" s="14" t="str">
        <f t="array" ref="B481">IF(OR(F481="",F481="Selecciona.."),"",XLOOKUP(F481,Productos!E:E,Productos!A:A,"",0,1))</f>
        <v/>
      </c>
      <c r="C481" s="14" t="str">
        <f t="array" ref="C481">IF(OR(G481="",G481="Selecciona.."),"",XLOOKUP(G481,Productos!$E:$E,Productos!$A:$A,"",0,1))</f>
        <v/>
      </c>
      <c r="D481" s="14" t="str">
        <f t="shared" si="2"/>
        <v/>
      </c>
      <c r="E481" s="14"/>
      <c r="F481" s="15" t="str">
        <f t="shared" si="4"/>
        <v/>
      </c>
      <c r="G481" s="15" t="str">
        <f t="shared" ref="G481:H481" si="478">IF(OR(F481="",F481="Selecciona.."),"","Selecciona..")</f>
        <v/>
      </c>
      <c r="H481" s="13" t="str">
        <f t="shared" si="478"/>
        <v/>
      </c>
    </row>
    <row r="482">
      <c r="A482" s="14" t="str">
        <f t="shared" si="1"/>
        <v/>
      </c>
      <c r="B482" s="14" t="str">
        <f t="array" ref="B482">IF(OR(F482="",F482="Selecciona.."),"",XLOOKUP(F482,Productos!E:E,Productos!A:A,"",0,1))</f>
        <v/>
      </c>
      <c r="C482" s="14" t="str">
        <f t="array" ref="C482">IF(OR(G482="",G482="Selecciona.."),"",XLOOKUP(G482,Productos!$E:$E,Productos!$A:$A,"",0,1))</f>
        <v/>
      </c>
      <c r="D482" s="14" t="str">
        <f t="shared" si="2"/>
        <v/>
      </c>
      <c r="E482" s="14"/>
      <c r="F482" s="15" t="str">
        <f t="shared" si="4"/>
        <v/>
      </c>
      <c r="G482" s="15" t="str">
        <f t="shared" ref="G482:H482" si="479">IF(OR(F482="",F482="Selecciona.."),"","Selecciona..")</f>
        <v/>
      </c>
      <c r="H482" s="13" t="str">
        <f t="shared" si="479"/>
        <v/>
      </c>
    </row>
    <row r="483">
      <c r="A483" s="14" t="str">
        <f t="shared" si="1"/>
        <v/>
      </c>
      <c r="B483" s="14" t="str">
        <f t="array" ref="B483">IF(OR(F483="",F483="Selecciona.."),"",XLOOKUP(F483,Productos!E:E,Productos!A:A,"",0,1))</f>
        <v/>
      </c>
      <c r="C483" s="14" t="str">
        <f t="array" ref="C483">IF(OR(G483="",G483="Selecciona.."),"",XLOOKUP(G483,Productos!$E:$E,Productos!$A:$A,"",0,1))</f>
        <v/>
      </c>
      <c r="D483" s="14" t="str">
        <f t="shared" si="2"/>
        <v/>
      </c>
      <c r="E483" s="14"/>
      <c r="F483" s="15" t="str">
        <f t="shared" si="4"/>
        <v/>
      </c>
      <c r="G483" s="15" t="str">
        <f t="shared" ref="G483:H483" si="480">IF(OR(F483="",F483="Selecciona.."),"","Selecciona..")</f>
        <v/>
      </c>
      <c r="H483" s="13" t="str">
        <f t="shared" si="480"/>
        <v/>
      </c>
    </row>
    <row r="484">
      <c r="A484" s="14" t="str">
        <f t="shared" si="1"/>
        <v/>
      </c>
      <c r="B484" s="14" t="str">
        <f t="array" ref="B484">IF(OR(F484="",F484="Selecciona.."),"",XLOOKUP(F484,Productos!E:E,Productos!A:A,"",0,1))</f>
        <v/>
      </c>
      <c r="C484" s="14" t="str">
        <f t="array" ref="C484">IF(OR(G484="",G484="Selecciona.."),"",XLOOKUP(G484,Productos!$E:$E,Productos!$A:$A,"",0,1))</f>
        <v/>
      </c>
      <c r="D484" s="14" t="str">
        <f t="shared" si="2"/>
        <v/>
      </c>
      <c r="E484" s="14"/>
      <c r="F484" s="15" t="str">
        <f t="shared" si="4"/>
        <v/>
      </c>
      <c r="G484" s="15" t="str">
        <f t="shared" ref="G484:H484" si="481">IF(OR(F484="",F484="Selecciona.."),"","Selecciona..")</f>
        <v/>
      </c>
      <c r="H484" s="13" t="str">
        <f t="shared" si="481"/>
        <v/>
      </c>
    </row>
    <row r="485">
      <c r="A485" s="14" t="str">
        <f t="shared" si="1"/>
        <v/>
      </c>
      <c r="B485" s="14" t="str">
        <f t="array" ref="B485">IF(OR(F485="",F485="Selecciona.."),"",XLOOKUP(F485,Productos!E:E,Productos!A:A,"",0,1))</f>
        <v/>
      </c>
      <c r="C485" s="14" t="str">
        <f t="array" ref="C485">IF(OR(G485="",G485="Selecciona.."),"",XLOOKUP(G485,Productos!$E:$E,Productos!$A:$A,"",0,1))</f>
        <v/>
      </c>
      <c r="D485" s="14" t="str">
        <f t="shared" si="2"/>
        <v/>
      </c>
      <c r="E485" s="14"/>
      <c r="F485" s="15" t="str">
        <f t="shared" si="4"/>
        <v/>
      </c>
      <c r="G485" s="15" t="str">
        <f t="shared" ref="G485:H485" si="482">IF(OR(F485="",F485="Selecciona.."),"","Selecciona..")</f>
        <v/>
      </c>
      <c r="H485" s="13" t="str">
        <f t="shared" si="482"/>
        <v/>
      </c>
    </row>
    <row r="486">
      <c r="A486" s="14" t="str">
        <f t="shared" si="1"/>
        <v/>
      </c>
      <c r="B486" s="14" t="str">
        <f t="array" ref="B486">IF(OR(F486="",F486="Selecciona.."),"",XLOOKUP(F486,Productos!E:E,Productos!A:A,"",0,1))</f>
        <v/>
      </c>
      <c r="C486" s="14" t="str">
        <f t="array" ref="C486">IF(OR(G486="",G486="Selecciona.."),"",XLOOKUP(G486,Productos!$E:$E,Productos!$A:$A,"",0,1))</f>
        <v/>
      </c>
      <c r="D486" s="14" t="str">
        <f t="shared" si="2"/>
        <v/>
      </c>
      <c r="E486" s="14"/>
      <c r="F486" s="15" t="str">
        <f t="shared" si="4"/>
        <v/>
      </c>
      <c r="G486" s="15" t="str">
        <f t="shared" ref="G486:H486" si="483">IF(OR(F486="",F486="Selecciona.."),"","Selecciona..")</f>
        <v/>
      </c>
      <c r="H486" s="13" t="str">
        <f t="shared" si="483"/>
        <v/>
      </c>
    </row>
    <row r="487">
      <c r="A487" s="14" t="str">
        <f t="shared" si="1"/>
        <v/>
      </c>
      <c r="B487" s="14" t="str">
        <f t="array" ref="B487">IF(OR(F487="",F487="Selecciona.."),"",XLOOKUP(F487,Productos!E:E,Productos!A:A,"",0,1))</f>
        <v/>
      </c>
      <c r="C487" s="14" t="str">
        <f t="array" ref="C487">IF(OR(G487="",G487="Selecciona.."),"",XLOOKUP(G487,Productos!$E:$E,Productos!$A:$A,"",0,1))</f>
        <v/>
      </c>
      <c r="D487" s="14" t="str">
        <f t="shared" si="2"/>
        <v/>
      </c>
      <c r="E487" s="14"/>
      <c r="F487" s="15" t="str">
        <f t="shared" si="4"/>
        <v/>
      </c>
      <c r="G487" s="15" t="str">
        <f t="shared" ref="G487:H487" si="484">IF(OR(F487="",F487="Selecciona.."),"","Selecciona..")</f>
        <v/>
      </c>
      <c r="H487" s="13" t="str">
        <f t="shared" si="484"/>
        <v/>
      </c>
    </row>
    <row r="488">
      <c r="A488" s="14" t="str">
        <f t="shared" si="1"/>
        <v/>
      </c>
      <c r="B488" s="14" t="str">
        <f t="array" ref="B488">IF(OR(F488="",F488="Selecciona.."),"",XLOOKUP(F488,Productos!E:E,Productos!A:A,"",0,1))</f>
        <v/>
      </c>
      <c r="C488" s="14" t="str">
        <f t="array" ref="C488">IF(OR(G488="",G488="Selecciona.."),"",XLOOKUP(G488,Productos!$E:$E,Productos!$A:$A,"",0,1))</f>
        <v/>
      </c>
      <c r="D488" s="14" t="str">
        <f t="shared" si="2"/>
        <v/>
      </c>
      <c r="E488" s="14"/>
      <c r="F488" s="15" t="str">
        <f t="shared" si="4"/>
        <v/>
      </c>
      <c r="G488" s="15" t="str">
        <f t="shared" ref="G488:H488" si="485">IF(OR(F488="",F488="Selecciona.."),"","Selecciona..")</f>
        <v/>
      </c>
      <c r="H488" s="13" t="str">
        <f t="shared" si="485"/>
        <v/>
      </c>
    </row>
    <row r="489">
      <c r="A489" s="14" t="str">
        <f t="shared" si="1"/>
        <v/>
      </c>
      <c r="B489" s="14" t="str">
        <f t="array" ref="B489">IF(OR(F489="",F489="Selecciona.."),"",XLOOKUP(F489,Productos!E:E,Productos!A:A,"",0,1))</f>
        <v/>
      </c>
      <c r="C489" s="14" t="str">
        <f t="array" ref="C489">IF(OR(G489="",G489="Selecciona.."),"",XLOOKUP(G489,Productos!$E:$E,Productos!$A:$A,"",0,1))</f>
        <v/>
      </c>
      <c r="D489" s="14" t="str">
        <f t="shared" si="2"/>
        <v/>
      </c>
      <c r="E489" s="14"/>
      <c r="F489" s="15" t="str">
        <f t="shared" si="4"/>
        <v/>
      </c>
      <c r="G489" s="15" t="str">
        <f t="shared" ref="G489:H489" si="486">IF(OR(F489="",F489="Selecciona.."),"","Selecciona..")</f>
        <v/>
      </c>
      <c r="H489" s="13" t="str">
        <f t="shared" si="486"/>
        <v/>
      </c>
    </row>
    <row r="490">
      <c r="A490" s="14" t="str">
        <f t="shared" si="1"/>
        <v/>
      </c>
      <c r="B490" s="14" t="str">
        <f t="array" ref="B490">IF(OR(F490="",F490="Selecciona.."),"",XLOOKUP(F490,Productos!E:E,Productos!A:A,"",0,1))</f>
        <v/>
      </c>
      <c r="C490" s="14" t="str">
        <f t="array" ref="C490">IF(OR(G490="",G490="Selecciona.."),"",XLOOKUP(G490,Productos!$E:$E,Productos!$A:$A,"",0,1))</f>
        <v/>
      </c>
      <c r="D490" s="14" t="str">
        <f t="shared" si="2"/>
        <v/>
      </c>
      <c r="E490" s="14"/>
      <c r="F490" s="15" t="str">
        <f t="shared" si="4"/>
        <v/>
      </c>
      <c r="G490" s="15" t="str">
        <f t="shared" ref="G490:H490" si="487">IF(OR(F490="",F490="Selecciona.."),"","Selecciona..")</f>
        <v/>
      </c>
      <c r="H490" s="13" t="str">
        <f t="shared" si="487"/>
        <v/>
      </c>
    </row>
    <row r="491">
      <c r="A491" s="14" t="str">
        <f t="shared" si="1"/>
        <v/>
      </c>
      <c r="B491" s="14" t="str">
        <f t="array" ref="B491">IF(OR(F491="",F491="Selecciona.."),"",XLOOKUP(F491,Productos!E:E,Productos!A:A,"",0,1))</f>
        <v/>
      </c>
      <c r="C491" s="14" t="str">
        <f t="array" ref="C491">IF(OR(G491="",G491="Selecciona.."),"",XLOOKUP(G491,Productos!$E:$E,Productos!$A:$A,"",0,1))</f>
        <v/>
      </c>
      <c r="D491" s="14" t="str">
        <f t="shared" si="2"/>
        <v/>
      </c>
      <c r="E491" s="14"/>
      <c r="F491" s="15" t="str">
        <f t="shared" si="4"/>
        <v/>
      </c>
      <c r="G491" s="15" t="str">
        <f t="shared" ref="G491:H491" si="488">IF(OR(F491="",F491="Selecciona.."),"","Selecciona..")</f>
        <v/>
      </c>
      <c r="H491" s="13" t="str">
        <f t="shared" si="488"/>
        <v/>
      </c>
    </row>
    <row r="492">
      <c r="A492" s="14" t="str">
        <f t="shared" si="1"/>
        <v/>
      </c>
      <c r="B492" s="14" t="str">
        <f t="array" ref="B492">IF(OR(F492="",F492="Selecciona.."),"",XLOOKUP(F492,Productos!E:E,Productos!A:A,"",0,1))</f>
        <v/>
      </c>
      <c r="C492" s="14" t="str">
        <f t="array" ref="C492">IF(OR(G492="",G492="Selecciona.."),"",XLOOKUP(G492,Productos!$E:$E,Productos!$A:$A,"",0,1))</f>
        <v/>
      </c>
      <c r="D492" s="14" t="str">
        <f t="shared" si="2"/>
        <v/>
      </c>
      <c r="E492" s="14"/>
      <c r="F492" s="15" t="str">
        <f t="shared" si="4"/>
        <v/>
      </c>
      <c r="G492" s="15" t="str">
        <f t="shared" ref="G492:H492" si="489">IF(OR(F492="",F492="Selecciona.."),"","Selecciona..")</f>
        <v/>
      </c>
      <c r="H492" s="13" t="str">
        <f t="shared" si="489"/>
        <v/>
      </c>
    </row>
    <row r="493">
      <c r="A493" s="14" t="str">
        <f t="shared" si="1"/>
        <v/>
      </c>
      <c r="B493" s="14" t="str">
        <f t="array" ref="B493">IF(OR(F493="",F493="Selecciona.."),"",XLOOKUP(F493,Productos!E:E,Productos!A:A,"",0,1))</f>
        <v/>
      </c>
      <c r="C493" s="14" t="str">
        <f t="array" ref="C493">IF(OR(G493="",G493="Selecciona.."),"",XLOOKUP(G493,Productos!$E:$E,Productos!$A:$A,"",0,1))</f>
        <v/>
      </c>
      <c r="D493" s="14" t="str">
        <f t="shared" si="2"/>
        <v/>
      </c>
      <c r="E493" s="14"/>
      <c r="F493" s="15" t="str">
        <f t="shared" si="4"/>
        <v/>
      </c>
      <c r="G493" s="15" t="str">
        <f t="shared" ref="G493:H493" si="490">IF(OR(F493="",F493="Selecciona.."),"","Selecciona..")</f>
        <v/>
      </c>
      <c r="H493" s="13" t="str">
        <f t="shared" si="490"/>
        <v/>
      </c>
    </row>
    <row r="494">
      <c r="A494" s="14" t="str">
        <f t="shared" si="1"/>
        <v/>
      </c>
      <c r="B494" s="14" t="str">
        <f t="array" ref="B494">IF(OR(F494="",F494="Selecciona.."),"",XLOOKUP(F494,Productos!E:E,Productos!A:A,"",0,1))</f>
        <v/>
      </c>
      <c r="C494" s="14" t="str">
        <f t="array" ref="C494">IF(OR(G494="",G494="Selecciona.."),"",XLOOKUP(G494,Productos!$E:$E,Productos!$A:$A,"",0,1))</f>
        <v/>
      </c>
      <c r="D494" s="14" t="str">
        <f t="shared" si="2"/>
        <v/>
      </c>
      <c r="E494" s="14"/>
      <c r="F494" s="15" t="str">
        <f t="shared" si="4"/>
        <v/>
      </c>
      <c r="G494" s="15" t="str">
        <f t="shared" ref="G494:H494" si="491">IF(OR(F494="",F494="Selecciona.."),"","Selecciona..")</f>
        <v/>
      </c>
      <c r="H494" s="13" t="str">
        <f t="shared" si="491"/>
        <v/>
      </c>
    </row>
    <row r="495">
      <c r="A495" s="14" t="str">
        <f t="shared" si="1"/>
        <v/>
      </c>
      <c r="B495" s="14" t="str">
        <f t="array" ref="B495">IF(OR(F495="",F495="Selecciona.."),"",XLOOKUP(F495,Productos!E:E,Productos!A:A,"",0,1))</f>
        <v/>
      </c>
      <c r="C495" s="14" t="str">
        <f t="array" ref="C495">IF(OR(G495="",G495="Selecciona.."),"",XLOOKUP(G495,Productos!$E:$E,Productos!$A:$A,"",0,1))</f>
        <v/>
      </c>
      <c r="D495" s="14" t="str">
        <f t="shared" si="2"/>
        <v/>
      </c>
      <c r="E495" s="14"/>
      <c r="F495" s="15" t="str">
        <f t="shared" si="4"/>
        <v/>
      </c>
      <c r="G495" s="15" t="str">
        <f t="shared" ref="G495:H495" si="492">IF(OR(F495="",F495="Selecciona.."),"","Selecciona..")</f>
        <v/>
      </c>
      <c r="H495" s="13" t="str">
        <f t="shared" si="492"/>
        <v/>
      </c>
    </row>
    <row r="496">
      <c r="A496" s="14" t="str">
        <f t="shared" si="1"/>
        <v/>
      </c>
      <c r="B496" s="14" t="str">
        <f t="array" ref="B496">IF(OR(F496="",F496="Selecciona.."),"",XLOOKUP(F496,Productos!E:E,Productos!A:A,"",0,1))</f>
        <v/>
      </c>
      <c r="C496" s="14" t="str">
        <f t="array" ref="C496">IF(OR(G496="",G496="Selecciona.."),"",XLOOKUP(G496,Productos!$E:$E,Productos!$A:$A,"",0,1))</f>
        <v/>
      </c>
      <c r="D496" s="14" t="str">
        <f t="shared" si="2"/>
        <v/>
      </c>
      <c r="E496" s="14"/>
      <c r="F496" s="15" t="str">
        <f t="shared" si="4"/>
        <v/>
      </c>
      <c r="G496" s="15" t="str">
        <f t="shared" ref="G496:H496" si="493">IF(OR(F496="",F496="Selecciona.."),"","Selecciona..")</f>
        <v/>
      </c>
      <c r="H496" s="13" t="str">
        <f t="shared" si="493"/>
        <v/>
      </c>
    </row>
    <row r="497">
      <c r="A497" s="14" t="str">
        <f t="shared" si="1"/>
        <v/>
      </c>
      <c r="B497" s="14" t="str">
        <f t="array" ref="B497">IF(OR(F497="",F497="Selecciona.."),"",XLOOKUP(F497,Productos!E:E,Productos!A:A,"",0,1))</f>
        <v/>
      </c>
      <c r="C497" s="14" t="str">
        <f t="array" ref="C497">IF(OR(G497="",G497="Selecciona.."),"",XLOOKUP(G497,Productos!$E:$E,Productos!$A:$A,"",0,1))</f>
        <v/>
      </c>
      <c r="D497" s="14" t="str">
        <f t="shared" si="2"/>
        <v/>
      </c>
      <c r="E497" s="14"/>
      <c r="F497" s="15" t="str">
        <f t="shared" si="4"/>
        <v/>
      </c>
      <c r="G497" s="15" t="str">
        <f t="shared" ref="G497:H497" si="494">IF(OR(F497="",F497="Selecciona.."),"","Selecciona..")</f>
        <v/>
      </c>
      <c r="H497" s="13" t="str">
        <f t="shared" si="494"/>
        <v/>
      </c>
    </row>
    <row r="498">
      <c r="A498" s="14" t="str">
        <f t="shared" si="1"/>
        <v/>
      </c>
      <c r="B498" s="14" t="str">
        <f t="array" ref="B498">IF(OR(F498="",F498="Selecciona.."),"",XLOOKUP(F498,Productos!E:E,Productos!A:A,"",0,1))</f>
        <v/>
      </c>
      <c r="C498" s="14" t="str">
        <f t="array" ref="C498">IF(OR(G498="",G498="Selecciona.."),"",XLOOKUP(G498,Productos!$E:$E,Productos!$A:$A,"",0,1))</f>
        <v/>
      </c>
      <c r="D498" s="14" t="str">
        <f t="shared" si="2"/>
        <v/>
      </c>
      <c r="E498" s="14"/>
      <c r="F498" s="15" t="str">
        <f t="shared" si="4"/>
        <v/>
      </c>
      <c r="G498" s="15" t="str">
        <f t="shared" ref="G498:H498" si="495">IF(OR(F498="",F498="Selecciona.."),"","Selecciona..")</f>
        <v/>
      </c>
      <c r="H498" s="13" t="str">
        <f t="shared" si="495"/>
        <v/>
      </c>
    </row>
    <row r="499">
      <c r="A499" s="14" t="str">
        <f t="shared" si="1"/>
        <v/>
      </c>
      <c r="B499" s="14" t="str">
        <f t="array" ref="B499">IF(OR(F499="",F499="Selecciona.."),"",XLOOKUP(F499,Productos!E:E,Productos!A:A,"",0,1))</f>
        <v/>
      </c>
      <c r="C499" s="14" t="str">
        <f t="array" ref="C499">IF(OR(G499="",G499="Selecciona.."),"",XLOOKUP(G499,Productos!$E:$E,Productos!$A:$A,"",0,1))</f>
        <v/>
      </c>
      <c r="D499" s="14" t="str">
        <f t="shared" si="2"/>
        <v/>
      </c>
      <c r="E499" s="14"/>
      <c r="F499" s="15" t="str">
        <f t="shared" si="4"/>
        <v/>
      </c>
      <c r="G499" s="15" t="str">
        <f t="shared" ref="G499:H499" si="496">IF(OR(F499="",F499="Selecciona.."),"","Selecciona..")</f>
        <v/>
      </c>
      <c r="H499" s="13" t="str">
        <f t="shared" si="496"/>
        <v/>
      </c>
    </row>
    <row r="500">
      <c r="A500" s="14" t="str">
        <f t="shared" si="1"/>
        <v/>
      </c>
      <c r="B500" s="14" t="str">
        <f t="array" ref="B500">IF(OR(F500="",F500="Selecciona.."),"",XLOOKUP(F500,Productos!E:E,Productos!A:A,"",0,1))</f>
        <v/>
      </c>
      <c r="C500" s="14" t="str">
        <f t="array" ref="C500">IF(OR(G500="",G500="Selecciona.."),"",XLOOKUP(G500,Productos!$E:$E,Productos!$A:$A,"",0,1))</f>
        <v/>
      </c>
      <c r="D500" s="14" t="str">
        <f t="shared" si="2"/>
        <v/>
      </c>
      <c r="E500" s="14"/>
      <c r="F500" s="15" t="str">
        <f t="shared" si="4"/>
        <v/>
      </c>
      <c r="G500" s="15" t="str">
        <f t="shared" ref="G500:H500" si="497">IF(OR(F500="",F500="Selecciona.."),"","Selecciona..")</f>
        <v/>
      </c>
      <c r="H500" s="13" t="str">
        <f t="shared" si="497"/>
        <v/>
      </c>
    </row>
    <row r="501">
      <c r="A501" s="14" t="str">
        <f t="shared" si="1"/>
        <v/>
      </c>
      <c r="B501" s="14" t="str">
        <f t="array" ref="B501">IF(OR(F501="",F501="Selecciona.."),"",XLOOKUP(F501,Productos!E:E,Productos!A:A,"",0,1))</f>
        <v/>
      </c>
      <c r="C501" s="14" t="str">
        <f t="array" ref="C501">IF(OR(G501="",G501="Selecciona.."),"",XLOOKUP(G501,Productos!$E:$E,Productos!$A:$A,"",0,1))</f>
        <v/>
      </c>
      <c r="D501" s="14" t="str">
        <f t="shared" si="2"/>
        <v/>
      </c>
      <c r="E501" s="14"/>
      <c r="F501" s="15" t="str">
        <f t="shared" si="4"/>
        <v/>
      </c>
      <c r="G501" s="15" t="str">
        <f t="shared" ref="G501:H501" si="498">IF(OR(F501="",F501="Selecciona.."),"","Selecciona..")</f>
        <v/>
      </c>
      <c r="H501" s="13" t="str">
        <f t="shared" si="498"/>
        <v/>
      </c>
    </row>
    <row r="502">
      <c r="A502" s="14" t="str">
        <f t="shared" si="1"/>
        <v/>
      </c>
      <c r="B502" s="14" t="str">
        <f t="array" ref="B502">IF(OR(F502="",F502="Selecciona.."),"",XLOOKUP(F502,Productos!E:E,Productos!A:A,"",0,1))</f>
        <v/>
      </c>
      <c r="C502" s="14" t="str">
        <f t="array" ref="C502">IF(OR(G502="",G502="Selecciona.."),"",XLOOKUP(G502,Productos!$E:$E,Productos!$A:$A,"",0,1))</f>
        <v/>
      </c>
      <c r="D502" s="14" t="str">
        <f t="shared" si="2"/>
        <v/>
      </c>
      <c r="E502" s="14"/>
      <c r="F502" s="15" t="str">
        <f t="shared" si="4"/>
        <v/>
      </c>
      <c r="G502" s="15" t="str">
        <f t="shared" ref="G502:H502" si="499">IF(OR(F502="",F502="Selecciona.."),"","Selecciona..")</f>
        <v/>
      </c>
      <c r="H502" s="13" t="str">
        <f t="shared" si="499"/>
        <v/>
      </c>
    </row>
    <row r="503">
      <c r="A503" s="14" t="str">
        <f t="shared" si="1"/>
        <v/>
      </c>
      <c r="B503" s="14" t="str">
        <f t="array" ref="B503">IF(OR(F503="",F503="Selecciona.."),"",XLOOKUP(F503,Productos!E:E,Productos!A:A,"",0,1))</f>
        <v/>
      </c>
      <c r="C503" s="14" t="str">
        <f t="array" ref="C503">IF(OR(G503="",G503="Selecciona.."),"",XLOOKUP(G503,Productos!$E:$E,Productos!$A:$A,"",0,1))</f>
        <v/>
      </c>
      <c r="D503" s="14" t="str">
        <f t="shared" si="2"/>
        <v/>
      </c>
      <c r="E503" s="14"/>
      <c r="F503" s="15" t="str">
        <f t="shared" si="4"/>
        <v/>
      </c>
      <c r="G503" s="15" t="str">
        <f t="shared" ref="G503:H503" si="500">IF(OR(F503="",F503="Selecciona.."),"","Selecciona..")</f>
        <v/>
      </c>
      <c r="H503" s="13" t="str">
        <f t="shared" si="500"/>
        <v/>
      </c>
    </row>
    <row r="504">
      <c r="A504" s="14" t="str">
        <f t="shared" si="1"/>
        <v/>
      </c>
      <c r="B504" s="14" t="str">
        <f t="array" ref="B504">IF(OR(F504="",F504="Selecciona.."),"",XLOOKUP(F504,Productos!E:E,Productos!A:A,"",0,1))</f>
        <v/>
      </c>
      <c r="C504" s="14" t="str">
        <f t="array" ref="C504">IF(OR(G504="",G504="Selecciona.."),"",XLOOKUP(G504,Productos!$E:$E,Productos!$A:$A,"",0,1))</f>
        <v/>
      </c>
      <c r="D504" s="14" t="str">
        <f t="shared" si="2"/>
        <v/>
      </c>
      <c r="E504" s="14"/>
      <c r="F504" s="15" t="str">
        <f t="shared" si="4"/>
        <v/>
      </c>
      <c r="G504" s="15" t="str">
        <f t="shared" ref="G504:H504" si="501">IF(OR(F504="",F504="Selecciona.."),"","Selecciona..")</f>
        <v/>
      </c>
      <c r="H504" s="13" t="str">
        <f t="shared" si="501"/>
        <v/>
      </c>
    </row>
    <row r="505">
      <c r="A505" s="14" t="str">
        <f t="shared" si="1"/>
        <v/>
      </c>
      <c r="B505" s="14" t="str">
        <f t="array" ref="B505">IF(OR(F505="",F505="Selecciona.."),"",XLOOKUP(F505,Productos!E:E,Productos!A:A,"",0,1))</f>
        <v/>
      </c>
      <c r="C505" s="14" t="str">
        <f t="array" ref="C505">IF(OR(G505="",G505="Selecciona.."),"",XLOOKUP(G505,Productos!$E:$E,Productos!$A:$A,"",0,1))</f>
        <v/>
      </c>
      <c r="D505" s="14" t="str">
        <f t="shared" si="2"/>
        <v/>
      </c>
      <c r="E505" s="14"/>
      <c r="F505" s="15" t="str">
        <f t="shared" si="4"/>
        <v/>
      </c>
      <c r="G505" s="15" t="str">
        <f t="shared" ref="G505:H505" si="502">IF(OR(F505="",F505="Selecciona.."),"","Selecciona..")</f>
        <v/>
      </c>
      <c r="H505" s="13" t="str">
        <f t="shared" si="502"/>
        <v/>
      </c>
    </row>
    <row r="506">
      <c r="A506" s="14" t="str">
        <f t="shared" si="1"/>
        <v/>
      </c>
      <c r="B506" s="14" t="str">
        <f t="array" ref="B506">IF(OR(F506="",F506="Selecciona.."),"",XLOOKUP(F506,Productos!E:E,Productos!A:A,"",0,1))</f>
        <v/>
      </c>
      <c r="C506" s="14" t="str">
        <f t="array" ref="C506">IF(OR(G506="",G506="Selecciona.."),"",XLOOKUP(G506,Productos!$E:$E,Productos!$A:$A,"",0,1))</f>
        <v/>
      </c>
      <c r="D506" s="14" t="str">
        <f t="shared" si="2"/>
        <v/>
      </c>
      <c r="E506" s="14"/>
      <c r="F506" s="15" t="str">
        <f t="shared" si="4"/>
        <v/>
      </c>
      <c r="G506" s="15" t="str">
        <f t="shared" ref="G506:H506" si="503">IF(OR(F506="",F506="Selecciona.."),"","Selecciona..")</f>
        <v/>
      </c>
      <c r="H506" s="13" t="str">
        <f t="shared" si="503"/>
        <v/>
      </c>
    </row>
    <row r="507">
      <c r="A507" s="14" t="str">
        <f t="shared" si="1"/>
        <v/>
      </c>
      <c r="B507" s="14" t="str">
        <f t="array" ref="B507">IF(OR(F507="",F507="Selecciona.."),"",XLOOKUP(F507,Productos!E:E,Productos!A:A,"",0,1))</f>
        <v/>
      </c>
      <c r="C507" s="14" t="str">
        <f t="array" ref="C507">IF(OR(G507="",G507="Selecciona.."),"",XLOOKUP(G507,Productos!$E:$E,Productos!$A:$A,"",0,1))</f>
        <v/>
      </c>
      <c r="D507" s="14" t="str">
        <f t="shared" si="2"/>
        <v/>
      </c>
      <c r="E507" s="14"/>
      <c r="F507" s="15" t="str">
        <f t="shared" si="4"/>
        <v/>
      </c>
      <c r="G507" s="15" t="str">
        <f t="shared" ref="G507:H507" si="504">IF(OR(F507="",F507="Selecciona.."),"","Selecciona..")</f>
        <v/>
      </c>
      <c r="H507" s="13" t="str">
        <f t="shared" si="504"/>
        <v/>
      </c>
    </row>
    <row r="508">
      <c r="A508" s="14" t="str">
        <f t="shared" si="1"/>
        <v/>
      </c>
      <c r="B508" s="14" t="str">
        <f t="array" ref="B508">IF(OR(F508="",F508="Selecciona.."),"",XLOOKUP(F508,Productos!E:E,Productos!A:A,"",0,1))</f>
        <v/>
      </c>
      <c r="C508" s="14" t="str">
        <f t="array" ref="C508">IF(OR(G508="",G508="Selecciona.."),"",XLOOKUP(G508,Productos!$E:$E,Productos!$A:$A,"",0,1))</f>
        <v/>
      </c>
      <c r="D508" s="14" t="str">
        <f t="shared" si="2"/>
        <v/>
      </c>
      <c r="E508" s="14"/>
      <c r="F508" s="15" t="str">
        <f t="shared" si="4"/>
        <v/>
      </c>
      <c r="G508" s="15" t="str">
        <f t="shared" ref="G508:H508" si="505">IF(OR(F508="",F508="Selecciona.."),"","Selecciona..")</f>
        <v/>
      </c>
      <c r="H508" s="13" t="str">
        <f t="shared" si="505"/>
        <v/>
      </c>
    </row>
    <row r="509">
      <c r="A509" s="14" t="str">
        <f t="shared" si="1"/>
        <v/>
      </c>
      <c r="B509" s="14" t="str">
        <f t="array" ref="B509">IF(OR(F509="",F509="Selecciona.."),"",XLOOKUP(F509,Productos!E:E,Productos!A:A,"",0,1))</f>
        <v/>
      </c>
      <c r="C509" s="14" t="str">
        <f t="array" ref="C509">IF(OR(G509="",G509="Selecciona.."),"",XLOOKUP(G509,Productos!$E:$E,Productos!$A:$A,"",0,1))</f>
        <v/>
      </c>
      <c r="D509" s="14" t="str">
        <f t="shared" si="2"/>
        <v/>
      </c>
      <c r="E509" s="14"/>
      <c r="F509" s="15" t="str">
        <f t="shared" si="4"/>
        <v/>
      </c>
      <c r="G509" s="15" t="str">
        <f t="shared" ref="G509:H509" si="506">IF(OR(F509="",F509="Selecciona.."),"","Selecciona..")</f>
        <v/>
      </c>
      <c r="H509" s="13" t="str">
        <f t="shared" si="506"/>
        <v/>
      </c>
    </row>
    <row r="510">
      <c r="A510" s="14" t="str">
        <f t="shared" si="1"/>
        <v/>
      </c>
      <c r="B510" s="14" t="str">
        <f t="array" ref="B510">IF(OR(F510="",F510="Selecciona.."),"",XLOOKUP(F510,Productos!E:E,Productos!A:A,"",0,1))</f>
        <v/>
      </c>
      <c r="C510" s="14" t="str">
        <f t="array" ref="C510">IF(OR(G510="",G510="Selecciona.."),"",XLOOKUP(G510,Productos!$E:$E,Productos!$A:$A,"",0,1))</f>
        <v/>
      </c>
      <c r="D510" s="14" t="str">
        <f t="shared" si="2"/>
        <v/>
      </c>
      <c r="E510" s="14"/>
      <c r="F510" s="15" t="str">
        <f t="shared" si="4"/>
        <v/>
      </c>
      <c r="G510" s="15" t="str">
        <f t="shared" ref="G510:H510" si="507">IF(OR(F510="",F510="Selecciona.."),"","Selecciona..")</f>
        <v/>
      </c>
      <c r="H510" s="13" t="str">
        <f t="shared" si="507"/>
        <v/>
      </c>
    </row>
    <row r="511">
      <c r="A511" s="14" t="str">
        <f t="shared" si="1"/>
        <v/>
      </c>
      <c r="B511" s="14" t="str">
        <f t="array" ref="B511">IF(OR(F511="",F511="Selecciona.."),"",XLOOKUP(F511,Productos!E:E,Productos!A:A,"",0,1))</f>
        <v/>
      </c>
      <c r="C511" s="14" t="str">
        <f t="array" ref="C511">IF(OR(G511="",G511="Selecciona.."),"",XLOOKUP(G511,Productos!$E:$E,Productos!$A:$A,"",0,1))</f>
        <v/>
      </c>
      <c r="D511" s="14" t="str">
        <f t="shared" si="2"/>
        <v/>
      </c>
      <c r="E511" s="14"/>
      <c r="F511" s="15" t="str">
        <f t="shared" si="4"/>
        <v/>
      </c>
      <c r="G511" s="15" t="str">
        <f t="shared" ref="G511:H511" si="508">IF(OR(F511="",F511="Selecciona.."),"","Selecciona..")</f>
        <v/>
      </c>
      <c r="H511" s="13" t="str">
        <f t="shared" si="508"/>
        <v/>
      </c>
    </row>
    <row r="512">
      <c r="A512" s="14" t="str">
        <f t="shared" si="1"/>
        <v/>
      </c>
      <c r="B512" s="14" t="str">
        <f t="array" ref="B512">IF(OR(F512="",F512="Selecciona.."),"",XLOOKUP(F512,Productos!E:E,Productos!A:A,"",0,1))</f>
        <v/>
      </c>
      <c r="C512" s="14" t="str">
        <f t="array" ref="C512">IF(OR(G512="",G512="Selecciona.."),"",XLOOKUP(G512,Productos!$E:$E,Productos!$A:$A,"",0,1))</f>
        <v/>
      </c>
      <c r="D512" s="14" t="str">
        <f t="shared" si="2"/>
        <v/>
      </c>
      <c r="E512" s="14"/>
      <c r="F512" s="15" t="str">
        <f t="shared" si="4"/>
        <v/>
      </c>
      <c r="G512" s="15" t="str">
        <f t="shared" ref="G512:H512" si="509">IF(OR(F512="",F512="Selecciona.."),"","Selecciona..")</f>
        <v/>
      </c>
      <c r="H512" s="13" t="str">
        <f t="shared" si="509"/>
        <v/>
      </c>
    </row>
    <row r="513">
      <c r="A513" s="14" t="str">
        <f t="shared" si="1"/>
        <v/>
      </c>
      <c r="B513" s="14" t="str">
        <f t="array" ref="B513">IF(OR(F513="",F513="Selecciona.."),"",XLOOKUP(F513,Productos!E:E,Productos!A:A,"",0,1))</f>
        <v/>
      </c>
      <c r="C513" s="14" t="str">
        <f t="array" ref="C513">IF(OR(G513="",G513="Selecciona.."),"",XLOOKUP(G513,Productos!$E:$E,Productos!$A:$A,"",0,1))</f>
        <v/>
      </c>
      <c r="D513" s="14" t="str">
        <f t="shared" si="2"/>
        <v/>
      </c>
      <c r="E513" s="14"/>
      <c r="F513" s="15" t="str">
        <f t="shared" si="4"/>
        <v/>
      </c>
      <c r="G513" s="15" t="str">
        <f t="shared" ref="G513:H513" si="510">IF(OR(F513="",F513="Selecciona.."),"","Selecciona..")</f>
        <v/>
      </c>
      <c r="H513" s="13" t="str">
        <f t="shared" si="510"/>
        <v/>
      </c>
    </row>
    <row r="514">
      <c r="A514" s="14" t="str">
        <f t="shared" si="1"/>
        <v/>
      </c>
      <c r="B514" s="14" t="str">
        <f t="array" ref="B514">IF(OR(F514="",F514="Selecciona.."),"",XLOOKUP(F514,Productos!E:E,Productos!A:A,"",0,1))</f>
        <v/>
      </c>
      <c r="C514" s="14" t="str">
        <f t="array" ref="C514">IF(OR(G514="",G514="Selecciona.."),"",XLOOKUP(G514,Productos!$E:$E,Productos!$A:$A,"",0,1))</f>
        <v/>
      </c>
      <c r="D514" s="14" t="str">
        <f t="shared" si="2"/>
        <v/>
      </c>
      <c r="E514" s="14"/>
      <c r="F514" s="15" t="str">
        <f t="shared" si="4"/>
        <v/>
      </c>
      <c r="G514" s="15" t="str">
        <f t="shared" ref="G514:H514" si="511">IF(OR(F514="",F514="Selecciona.."),"","Selecciona..")</f>
        <v/>
      </c>
      <c r="H514" s="13" t="str">
        <f t="shared" si="511"/>
        <v/>
      </c>
    </row>
    <row r="515">
      <c r="A515" s="14" t="str">
        <f t="shared" si="1"/>
        <v/>
      </c>
      <c r="B515" s="14" t="str">
        <f t="array" ref="B515">IF(OR(F515="",F515="Selecciona.."),"",XLOOKUP(F515,Productos!E:E,Productos!A:A,"",0,1))</f>
        <v/>
      </c>
      <c r="C515" s="14" t="str">
        <f t="array" ref="C515">IF(OR(G515="",G515="Selecciona.."),"",XLOOKUP(G515,Productos!$E:$E,Productos!$A:$A,"",0,1))</f>
        <v/>
      </c>
      <c r="D515" s="14" t="str">
        <f t="shared" si="2"/>
        <v/>
      </c>
      <c r="E515" s="14"/>
      <c r="F515" s="15" t="str">
        <f t="shared" si="4"/>
        <v/>
      </c>
      <c r="G515" s="15" t="str">
        <f t="shared" ref="G515:H515" si="512">IF(OR(F515="",F515="Selecciona.."),"","Selecciona..")</f>
        <v/>
      </c>
      <c r="H515" s="13" t="str">
        <f t="shared" si="512"/>
        <v/>
      </c>
    </row>
    <row r="516">
      <c r="A516" s="14" t="str">
        <f t="shared" si="1"/>
        <v/>
      </c>
      <c r="B516" s="14" t="str">
        <f t="array" ref="B516">IF(OR(F516="",F516="Selecciona.."),"",XLOOKUP(F516,Productos!E:E,Productos!A:A,"",0,1))</f>
        <v/>
      </c>
      <c r="C516" s="14" t="str">
        <f t="array" ref="C516">IF(OR(G516="",G516="Selecciona.."),"",XLOOKUP(G516,Productos!$E:$E,Productos!$A:$A,"",0,1))</f>
        <v/>
      </c>
      <c r="D516" s="14" t="str">
        <f t="shared" si="2"/>
        <v/>
      </c>
      <c r="E516" s="14"/>
      <c r="F516" s="15" t="str">
        <f t="shared" si="4"/>
        <v/>
      </c>
      <c r="G516" s="15" t="str">
        <f t="shared" ref="G516:H516" si="513">IF(OR(F516="",F516="Selecciona.."),"","Selecciona..")</f>
        <v/>
      </c>
      <c r="H516" s="13" t="str">
        <f t="shared" si="513"/>
        <v/>
      </c>
    </row>
    <row r="517">
      <c r="A517" s="14" t="str">
        <f t="shared" si="1"/>
        <v/>
      </c>
      <c r="B517" s="14" t="str">
        <f t="array" ref="B517">IF(OR(F517="",F517="Selecciona.."),"",XLOOKUP(F517,Productos!E:E,Productos!A:A,"",0,1))</f>
        <v/>
      </c>
      <c r="C517" s="14" t="str">
        <f t="array" ref="C517">IF(OR(G517="",G517="Selecciona.."),"",XLOOKUP(G517,Productos!$E:$E,Productos!$A:$A,"",0,1))</f>
        <v/>
      </c>
      <c r="D517" s="14" t="str">
        <f t="shared" si="2"/>
        <v/>
      </c>
      <c r="E517" s="14"/>
      <c r="F517" s="15" t="str">
        <f t="shared" si="4"/>
        <v/>
      </c>
      <c r="G517" s="15" t="str">
        <f t="shared" ref="G517:H517" si="514">IF(OR(F517="",F517="Selecciona.."),"","Selecciona..")</f>
        <v/>
      </c>
      <c r="H517" s="13" t="str">
        <f t="shared" si="514"/>
        <v/>
      </c>
    </row>
    <row r="518">
      <c r="A518" s="14" t="str">
        <f t="shared" si="1"/>
        <v/>
      </c>
      <c r="B518" s="14" t="str">
        <f t="array" ref="B518">IF(OR(F518="",F518="Selecciona.."),"",XLOOKUP(F518,Productos!E:E,Productos!A:A,"",0,1))</f>
        <v/>
      </c>
      <c r="C518" s="14" t="str">
        <f t="array" ref="C518">IF(OR(G518="",G518="Selecciona.."),"",XLOOKUP(G518,Productos!$E:$E,Productos!$A:$A,"",0,1))</f>
        <v/>
      </c>
      <c r="D518" s="14" t="str">
        <f t="shared" si="2"/>
        <v/>
      </c>
      <c r="E518" s="14"/>
      <c r="F518" s="15" t="str">
        <f t="shared" si="4"/>
        <v/>
      </c>
      <c r="G518" s="15" t="str">
        <f t="shared" ref="G518:H518" si="515">IF(OR(F518="",F518="Selecciona.."),"","Selecciona..")</f>
        <v/>
      </c>
      <c r="H518" s="13" t="str">
        <f t="shared" si="515"/>
        <v/>
      </c>
    </row>
    <row r="519">
      <c r="A519" s="14" t="str">
        <f t="shared" si="1"/>
        <v/>
      </c>
      <c r="B519" s="14" t="str">
        <f t="array" ref="B519">IF(OR(F519="",F519="Selecciona.."),"",XLOOKUP(F519,Productos!E:E,Productos!A:A,"",0,1))</f>
        <v/>
      </c>
      <c r="C519" s="14" t="str">
        <f t="array" ref="C519">IF(OR(G519="",G519="Selecciona.."),"",XLOOKUP(G519,Productos!$E:$E,Productos!$A:$A,"",0,1))</f>
        <v/>
      </c>
      <c r="D519" s="14" t="str">
        <f t="shared" si="2"/>
        <v/>
      </c>
      <c r="E519" s="14"/>
      <c r="F519" s="15" t="str">
        <f t="shared" si="4"/>
        <v/>
      </c>
      <c r="G519" s="15" t="str">
        <f t="shared" ref="G519:H519" si="516">IF(OR(F519="",F519="Selecciona.."),"","Selecciona..")</f>
        <v/>
      </c>
      <c r="H519" s="13" t="str">
        <f t="shared" si="516"/>
        <v/>
      </c>
    </row>
    <row r="520">
      <c r="A520" s="14" t="str">
        <f t="shared" si="1"/>
        <v/>
      </c>
      <c r="B520" s="14" t="str">
        <f t="array" ref="B520">IF(OR(F520="",F520="Selecciona.."),"",XLOOKUP(F520,Productos!E:E,Productos!A:A,"",0,1))</f>
        <v/>
      </c>
      <c r="C520" s="14" t="str">
        <f t="array" ref="C520">IF(OR(G520="",G520="Selecciona.."),"",XLOOKUP(G520,Productos!$E:$E,Productos!$A:$A,"",0,1))</f>
        <v/>
      </c>
      <c r="D520" s="14" t="str">
        <f t="shared" si="2"/>
        <v/>
      </c>
      <c r="E520" s="14"/>
      <c r="F520" s="15" t="str">
        <f t="shared" si="4"/>
        <v/>
      </c>
      <c r="G520" s="15" t="str">
        <f t="shared" ref="G520:H520" si="517">IF(OR(F520="",F520="Selecciona.."),"","Selecciona..")</f>
        <v/>
      </c>
      <c r="H520" s="13" t="str">
        <f t="shared" si="517"/>
        <v/>
      </c>
    </row>
    <row r="521">
      <c r="A521" s="14" t="str">
        <f t="shared" si="1"/>
        <v/>
      </c>
      <c r="B521" s="14" t="str">
        <f t="array" ref="B521">IF(OR(F521="",F521="Selecciona.."),"",XLOOKUP(F521,Productos!E:E,Productos!A:A,"",0,1))</f>
        <v/>
      </c>
      <c r="C521" s="14" t="str">
        <f t="array" ref="C521">IF(OR(G521="",G521="Selecciona.."),"",XLOOKUP(G521,Productos!$E:$E,Productos!$A:$A,"",0,1))</f>
        <v/>
      </c>
      <c r="D521" s="14" t="str">
        <f t="shared" si="2"/>
        <v/>
      </c>
      <c r="E521" s="14"/>
      <c r="F521" s="15" t="str">
        <f t="shared" si="4"/>
        <v/>
      </c>
      <c r="G521" s="15" t="str">
        <f t="shared" ref="G521:H521" si="518">IF(OR(F521="",F521="Selecciona.."),"","Selecciona..")</f>
        <v/>
      </c>
      <c r="H521" s="13" t="str">
        <f t="shared" si="518"/>
        <v/>
      </c>
    </row>
    <row r="522">
      <c r="A522" s="14" t="str">
        <f t="shared" si="1"/>
        <v/>
      </c>
      <c r="B522" s="14" t="str">
        <f t="array" ref="B522">IF(OR(F522="",F522="Selecciona.."),"",XLOOKUP(F522,Productos!E:E,Productos!A:A,"",0,1))</f>
        <v/>
      </c>
      <c r="C522" s="14" t="str">
        <f t="array" ref="C522">IF(OR(G522="",G522="Selecciona.."),"",XLOOKUP(G522,Productos!$E:$E,Productos!$A:$A,"",0,1))</f>
        <v/>
      </c>
      <c r="D522" s="14" t="str">
        <f t="shared" si="2"/>
        <v/>
      </c>
      <c r="E522" s="14"/>
      <c r="F522" s="15" t="str">
        <f t="shared" si="4"/>
        <v/>
      </c>
      <c r="G522" s="15" t="str">
        <f t="shared" ref="G522:H522" si="519">IF(OR(F522="",F522="Selecciona.."),"","Selecciona..")</f>
        <v/>
      </c>
      <c r="H522" s="13" t="str">
        <f t="shared" si="519"/>
        <v/>
      </c>
    </row>
    <row r="523">
      <c r="A523" s="14" t="str">
        <f t="shared" si="1"/>
        <v/>
      </c>
      <c r="B523" s="14" t="str">
        <f t="array" ref="B523">IF(OR(F523="",F523="Selecciona.."),"",XLOOKUP(F523,Productos!E:E,Productos!A:A,"",0,1))</f>
        <v/>
      </c>
      <c r="C523" s="14" t="str">
        <f t="array" ref="C523">IF(OR(G523="",G523="Selecciona.."),"",XLOOKUP(G523,Productos!$E:$E,Productos!$A:$A,"",0,1))</f>
        <v/>
      </c>
      <c r="D523" s="14" t="str">
        <f t="shared" si="2"/>
        <v/>
      </c>
      <c r="E523" s="14"/>
      <c r="F523" s="15" t="str">
        <f t="shared" si="4"/>
        <v/>
      </c>
      <c r="G523" s="15" t="str">
        <f t="shared" ref="G523:H523" si="520">IF(OR(F523="",F523="Selecciona.."),"","Selecciona..")</f>
        <v/>
      </c>
      <c r="H523" s="13" t="str">
        <f t="shared" si="520"/>
        <v/>
      </c>
    </row>
    <row r="524">
      <c r="A524" s="14" t="str">
        <f t="shared" si="1"/>
        <v/>
      </c>
      <c r="B524" s="14" t="str">
        <f t="array" ref="B524">IF(OR(F524="",F524="Selecciona.."),"",XLOOKUP(F524,Productos!E:E,Productos!A:A,"",0,1))</f>
        <v/>
      </c>
      <c r="C524" s="14" t="str">
        <f t="array" ref="C524">IF(OR(G524="",G524="Selecciona.."),"",XLOOKUP(G524,Productos!$E:$E,Productos!$A:$A,"",0,1))</f>
        <v/>
      </c>
      <c r="D524" s="14" t="str">
        <f t="shared" si="2"/>
        <v/>
      </c>
      <c r="E524" s="14"/>
      <c r="F524" s="15" t="str">
        <f t="shared" si="4"/>
        <v/>
      </c>
      <c r="G524" s="15" t="str">
        <f t="shared" ref="G524:H524" si="521">IF(OR(F524="",F524="Selecciona.."),"","Selecciona..")</f>
        <v/>
      </c>
      <c r="H524" s="13" t="str">
        <f t="shared" si="521"/>
        <v/>
      </c>
    </row>
    <row r="525">
      <c r="A525" s="14" t="str">
        <f t="shared" si="1"/>
        <v/>
      </c>
      <c r="B525" s="14" t="str">
        <f t="array" ref="B525">IF(OR(F525="",F525="Selecciona.."),"",XLOOKUP(F525,Productos!E:E,Productos!A:A,"",0,1))</f>
        <v/>
      </c>
      <c r="C525" s="14" t="str">
        <f t="array" ref="C525">IF(OR(G525="",G525="Selecciona.."),"",XLOOKUP(G525,Productos!$E:$E,Productos!$A:$A,"",0,1))</f>
        <v/>
      </c>
      <c r="D525" s="14" t="str">
        <f t="shared" si="2"/>
        <v/>
      </c>
      <c r="E525" s="14"/>
      <c r="F525" s="15" t="str">
        <f t="shared" si="4"/>
        <v/>
      </c>
      <c r="G525" s="15" t="str">
        <f t="shared" ref="G525:H525" si="522">IF(OR(F525="",F525="Selecciona.."),"","Selecciona..")</f>
        <v/>
      </c>
      <c r="H525" s="13" t="str">
        <f t="shared" si="522"/>
        <v/>
      </c>
    </row>
    <row r="526">
      <c r="A526" s="14" t="str">
        <f t="shared" si="1"/>
        <v/>
      </c>
      <c r="B526" s="14" t="str">
        <f t="array" ref="B526">IF(OR(F526="",F526="Selecciona.."),"",XLOOKUP(F526,Productos!E:E,Productos!A:A,"",0,1))</f>
        <v/>
      </c>
      <c r="C526" s="14" t="str">
        <f t="array" ref="C526">IF(OR(G526="",G526="Selecciona.."),"",XLOOKUP(G526,Productos!$E:$E,Productos!$A:$A,"",0,1))</f>
        <v/>
      </c>
      <c r="D526" s="14" t="str">
        <f t="shared" si="2"/>
        <v/>
      </c>
      <c r="E526" s="14"/>
      <c r="F526" s="15" t="str">
        <f t="shared" si="4"/>
        <v/>
      </c>
      <c r="G526" s="15" t="str">
        <f t="shared" ref="G526:H526" si="523">IF(OR(F526="",F526="Selecciona.."),"","Selecciona..")</f>
        <v/>
      </c>
      <c r="H526" s="13" t="str">
        <f t="shared" si="523"/>
        <v/>
      </c>
    </row>
    <row r="527">
      <c r="A527" s="14" t="str">
        <f t="shared" si="1"/>
        <v/>
      </c>
      <c r="B527" s="14" t="str">
        <f t="array" ref="B527">IF(OR(F527="",F527="Selecciona.."),"",XLOOKUP(F527,Productos!E:E,Productos!A:A,"",0,1))</f>
        <v/>
      </c>
      <c r="C527" s="14" t="str">
        <f t="array" ref="C527">IF(OR(G527="",G527="Selecciona.."),"",XLOOKUP(G527,Productos!$E:$E,Productos!$A:$A,"",0,1))</f>
        <v/>
      </c>
      <c r="D527" s="14" t="str">
        <f t="shared" si="2"/>
        <v/>
      </c>
      <c r="E527" s="14"/>
      <c r="F527" s="15" t="str">
        <f t="shared" si="4"/>
        <v/>
      </c>
      <c r="G527" s="15" t="str">
        <f t="shared" ref="G527:H527" si="524">IF(OR(F527="",F527="Selecciona.."),"","Selecciona..")</f>
        <v/>
      </c>
      <c r="H527" s="13" t="str">
        <f t="shared" si="524"/>
        <v/>
      </c>
    </row>
    <row r="528">
      <c r="A528" s="14" t="str">
        <f t="shared" si="1"/>
        <v/>
      </c>
      <c r="B528" s="14" t="str">
        <f t="array" ref="B528">IF(OR(F528="",F528="Selecciona.."),"",XLOOKUP(F528,Productos!E:E,Productos!A:A,"",0,1))</f>
        <v/>
      </c>
      <c r="C528" s="14" t="str">
        <f t="array" ref="C528">IF(OR(G528="",G528="Selecciona.."),"",XLOOKUP(G528,Productos!$E:$E,Productos!$A:$A,"",0,1))</f>
        <v/>
      </c>
      <c r="D528" s="14" t="str">
        <f t="shared" si="2"/>
        <v/>
      </c>
      <c r="E528" s="14"/>
      <c r="F528" s="15" t="str">
        <f t="shared" si="4"/>
        <v/>
      </c>
      <c r="G528" s="15" t="str">
        <f t="shared" ref="G528:H528" si="525">IF(OR(F528="",F528="Selecciona.."),"","Selecciona..")</f>
        <v/>
      </c>
      <c r="H528" s="13" t="str">
        <f t="shared" si="525"/>
        <v/>
      </c>
    </row>
    <row r="529">
      <c r="A529" s="14" t="str">
        <f t="shared" si="1"/>
        <v/>
      </c>
      <c r="B529" s="14" t="str">
        <f t="array" ref="B529">IF(OR(F529="",F529="Selecciona.."),"",XLOOKUP(F529,Productos!E:E,Productos!A:A,"",0,1))</f>
        <v/>
      </c>
      <c r="C529" s="14" t="str">
        <f t="array" ref="C529">IF(OR(G529="",G529="Selecciona.."),"",XLOOKUP(G529,Productos!$E:$E,Productos!$A:$A,"",0,1))</f>
        <v/>
      </c>
      <c r="D529" s="14" t="str">
        <f t="shared" si="2"/>
        <v/>
      </c>
      <c r="E529" s="14"/>
      <c r="F529" s="15" t="str">
        <f t="shared" si="4"/>
        <v/>
      </c>
      <c r="G529" s="15" t="str">
        <f t="shared" ref="G529:H529" si="526">IF(OR(F529="",F529="Selecciona.."),"","Selecciona..")</f>
        <v/>
      </c>
      <c r="H529" s="13" t="str">
        <f t="shared" si="526"/>
        <v/>
      </c>
    </row>
    <row r="530">
      <c r="A530" s="14" t="str">
        <f t="shared" si="1"/>
        <v/>
      </c>
      <c r="B530" s="14" t="str">
        <f t="array" ref="B530">IF(OR(F530="",F530="Selecciona.."),"",XLOOKUP(F530,Productos!E:E,Productos!A:A,"",0,1))</f>
        <v/>
      </c>
      <c r="C530" s="14" t="str">
        <f t="array" ref="C530">IF(OR(G530="",G530="Selecciona.."),"",XLOOKUP(G530,Productos!$E:$E,Productos!$A:$A,"",0,1))</f>
        <v/>
      </c>
      <c r="D530" s="14" t="str">
        <f t="shared" si="2"/>
        <v/>
      </c>
      <c r="E530" s="14"/>
      <c r="F530" s="15" t="str">
        <f t="shared" si="4"/>
        <v/>
      </c>
      <c r="G530" s="15" t="str">
        <f t="shared" ref="G530:H530" si="527">IF(OR(F530="",F530="Selecciona.."),"","Selecciona..")</f>
        <v/>
      </c>
      <c r="H530" s="13" t="str">
        <f t="shared" si="527"/>
        <v/>
      </c>
    </row>
    <row r="531">
      <c r="A531" s="14" t="str">
        <f t="shared" si="1"/>
        <v/>
      </c>
      <c r="B531" s="14" t="str">
        <f t="array" ref="B531">IF(OR(F531="",F531="Selecciona.."),"",XLOOKUP(F531,Productos!E:E,Productos!A:A,"",0,1))</f>
        <v/>
      </c>
      <c r="C531" s="14" t="str">
        <f t="array" ref="C531">IF(OR(G531="",G531="Selecciona.."),"",XLOOKUP(G531,Productos!$E:$E,Productos!$A:$A,"",0,1))</f>
        <v/>
      </c>
      <c r="D531" s="14" t="str">
        <f t="shared" si="2"/>
        <v/>
      </c>
      <c r="E531" s="14"/>
      <c r="F531" s="15" t="str">
        <f t="shared" si="4"/>
        <v/>
      </c>
      <c r="G531" s="15" t="str">
        <f t="shared" ref="G531:H531" si="528">IF(OR(F531="",F531="Selecciona.."),"","Selecciona..")</f>
        <v/>
      </c>
      <c r="H531" s="13" t="str">
        <f t="shared" si="528"/>
        <v/>
      </c>
    </row>
    <row r="532">
      <c r="A532" s="14" t="str">
        <f t="shared" si="1"/>
        <v/>
      </c>
      <c r="B532" s="14" t="str">
        <f t="array" ref="B532">IF(OR(F532="",F532="Selecciona.."),"",XLOOKUP(F532,Productos!E:E,Productos!A:A,"",0,1))</f>
        <v/>
      </c>
      <c r="C532" s="14" t="str">
        <f t="array" ref="C532">IF(OR(G532="",G532="Selecciona.."),"",XLOOKUP(G532,Productos!$E:$E,Productos!$A:$A,"",0,1))</f>
        <v/>
      </c>
      <c r="D532" s="14" t="str">
        <f t="shared" si="2"/>
        <v/>
      </c>
      <c r="E532" s="14"/>
      <c r="F532" s="15" t="str">
        <f t="shared" si="4"/>
        <v/>
      </c>
      <c r="G532" s="15" t="str">
        <f t="shared" ref="G532:H532" si="529">IF(OR(F532="",F532="Selecciona.."),"","Selecciona..")</f>
        <v/>
      </c>
      <c r="H532" s="13" t="str">
        <f t="shared" si="529"/>
        <v/>
      </c>
    </row>
    <row r="533">
      <c r="A533" s="14" t="str">
        <f t="shared" si="1"/>
        <v/>
      </c>
      <c r="B533" s="14" t="str">
        <f t="array" ref="B533">IF(OR(F533="",F533="Selecciona.."),"",XLOOKUP(F533,Productos!E:E,Productos!A:A,"",0,1))</f>
        <v/>
      </c>
      <c r="C533" s="14" t="str">
        <f t="array" ref="C533">IF(OR(G533="",G533="Selecciona.."),"",XLOOKUP(G533,Productos!$E:$E,Productos!$A:$A,"",0,1))</f>
        <v/>
      </c>
      <c r="D533" s="14" t="str">
        <f t="shared" si="2"/>
        <v/>
      </c>
      <c r="E533" s="14"/>
      <c r="F533" s="15" t="str">
        <f t="shared" si="4"/>
        <v/>
      </c>
      <c r="G533" s="15" t="str">
        <f t="shared" ref="G533:H533" si="530">IF(OR(F533="",F533="Selecciona.."),"","Selecciona..")</f>
        <v/>
      </c>
      <c r="H533" s="13" t="str">
        <f t="shared" si="530"/>
        <v/>
      </c>
    </row>
    <row r="534">
      <c r="A534" s="14" t="str">
        <f t="shared" si="1"/>
        <v/>
      </c>
      <c r="B534" s="14" t="str">
        <f t="array" ref="B534">IF(OR(F534="",F534="Selecciona.."),"",XLOOKUP(F534,Productos!E:E,Productos!A:A,"",0,1))</f>
        <v/>
      </c>
      <c r="C534" s="14" t="str">
        <f t="array" ref="C534">IF(OR(G534="",G534="Selecciona.."),"",XLOOKUP(G534,Productos!$E:$E,Productos!$A:$A,"",0,1))</f>
        <v/>
      </c>
      <c r="D534" s="14" t="str">
        <f t="shared" si="2"/>
        <v/>
      </c>
      <c r="E534" s="14"/>
      <c r="F534" s="15" t="str">
        <f t="shared" si="4"/>
        <v/>
      </c>
      <c r="G534" s="15" t="str">
        <f t="shared" ref="G534:H534" si="531">IF(OR(F534="",F534="Selecciona.."),"","Selecciona..")</f>
        <v/>
      </c>
      <c r="H534" s="13" t="str">
        <f t="shared" si="531"/>
        <v/>
      </c>
    </row>
    <row r="535">
      <c r="A535" s="14" t="str">
        <f t="shared" si="1"/>
        <v/>
      </c>
      <c r="B535" s="14" t="str">
        <f t="array" ref="B535">IF(OR(F535="",F535="Selecciona.."),"",XLOOKUP(F535,Productos!E:E,Productos!A:A,"",0,1))</f>
        <v/>
      </c>
      <c r="C535" s="14" t="str">
        <f t="array" ref="C535">IF(OR(G535="",G535="Selecciona.."),"",XLOOKUP(G535,Productos!$E:$E,Productos!$A:$A,"",0,1))</f>
        <v/>
      </c>
      <c r="D535" s="14" t="str">
        <f t="shared" si="2"/>
        <v/>
      </c>
      <c r="E535" s="14"/>
      <c r="F535" s="15" t="str">
        <f t="shared" si="4"/>
        <v/>
      </c>
      <c r="G535" s="15" t="str">
        <f t="shared" ref="G535:H535" si="532">IF(OR(F535="",F535="Selecciona.."),"","Selecciona..")</f>
        <v/>
      </c>
      <c r="H535" s="13" t="str">
        <f t="shared" si="532"/>
        <v/>
      </c>
    </row>
    <row r="536">
      <c r="A536" s="14" t="str">
        <f t="shared" si="1"/>
        <v/>
      </c>
      <c r="B536" s="14" t="str">
        <f t="array" ref="B536">IF(OR(F536="",F536="Selecciona.."),"",XLOOKUP(F536,Productos!E:E,Productos!A:A,"",0,1))</f>
        <v/>
      </c>
      <c r="C536" s="14" t="str">
        <f t="array" ref="C536">IF(OR(G536="",G536="Selecciona.."),"",XLOOKUP(G536,Productos!$E:$E,Productos!$A:$A,"",0,1))</f>
        <v/>
      </c>
      <c r="D536" s="14" t="str">
        <f t="shared" si="2"/>
        <v/>
      </c>
      <c r="E536" s="14"/>
      <c r="F536" s="15" t="str">
        <f t="shared" si="4"/>
        <v/>
      </c>
      <c r="G536" s="15" t="str">
        <f t="shared" ref="G536:H536" si="533">IF(OR(F536="",F536="Selecciona.."),"","Selecciona..")</f>
        <v/>
      </c>
      <c r="H536" s="13" t="str">
        <f t="shared" si="533"/>
        <v/>
      </c>
    </row>
    <row r="537">
      <c r="A537" s="14" t="str">
        <f t="shared" si="1"/>
        <v/>
      </c>
      <c r="B537" s="14" t="str">
        <f t="array" ref="B537">IF(OR(F537="",F537="Selecciona.."),"",XLOOKUP(F537,Productos!E:E,Productos!A:A,"",0,1))</f>
        <v/>
      </c>
      <c r="C537" s="14" t="str">
        <f t="array" ref="C537">IF(OR(G537="",G537="Selecciona.."),"",XLOOKUP(G537,Productos!$E:$E,Productos!$A:$A,"",0,1))</f>
        <v/>
      </c>
      <c r="D537" s="14" t="str">
        <f t="shared" si="2"/>
        <v/>
      </c>
      <c r="E537" s="14"/>
      <c r="F537" s="15" t="str">
        <f t="shared" si="4"/>
        <v/>
      </c>
      <c r="G537" s="15" t="str">
        <f t="shared" ref="G537:H537" si="534">IF(OR(F537="",F537="Selecciona.."),"","Selecciona..")</f>
        <v/>
      </c>
      <c r="H537" s="13" t="str">
        <f t="shared" si="534"/>
        <v/>
      </c>
    </row>
    <row r="538">
      <c r="A538" s="14" t="str">
        <f t="shared" si="1"/>
        <v/>
      </c>
      <c r="B538" s="14" t="str">
        <f t="array" ref="B538">IF(OR(F538="",F538="Selecciona.."),"",XLOOKUP(F538,Productos!E:E,Productos!A:A,"",0,1))</f>
        <v/>
      </c>
      <c r="C538" s="14" t="str">
        <f t="array" ref="C538">IF(OR(G538="",G538="Selecciona.."),"",XLOOKUP(G538,Productos!$E:$E,Productos!$A:$A,"",0,1))</f>
        <v/>
      </c>
      <c r="D538" s="14" t="str">
        <f t="shared" si="2"/>
        <v/>
      </c>
      <c r="E538" s="14"/>
      <c r="F538" s="15" t="str">
        <f t="shared" si="4"/>
        <v/>
      </c>
      <c r="G538" s="15" t="str">
        <f t="shared" ref="G538:H538" si="535">IF(OR(F538="",F538="Selecciona.."),"","Selecciona..")</f>
        <v/>
      </c>
      <c r="H538" s="13" t="str">
        <f t="shared" si="535"/>
        <v/>
      </c>
    </row>
    <row r="539">
      <c r="A539" s="14" t="str">
        <f t="shared" si="1"/>
        <v/>
      </c>
      <c r="B539" s="14" t="str">
        <f t="array" ref="B539">IF(OR(F539="",F539="Selecciona.."),"",XLOOKUP(F539,Productos!E:E,Productos!A:A,"",0,1))</f>
        <v/>
      </c>
      <c r="C539" s="14" t="str">
        <f t="array" ref="C539">IF(OR(G539="",G539="Selecciona.."),"",XLOOKUP(G539,Productos!$E:$E,Productos!$A:$A,"",0,1))</f>
        <v/>
      </c>
      <c r="D539" s="14" t="str">
        <f t="shared" si="2"/>
        <v/>
      </c>
      <c r="E539" s="14"/>
      <c r="F539" s="15" t="str">
        <f t="shared" si="4"/>
        <v/>
      </c>
      <c r="G539" s="15" t="str">
        <f t="shared" ref="G539:H539" si="536">IF(OR(F539="",F539="Selecciona.."),"","Selecciona..")</f>
        <v/>
      </c>
      <c r="H539" s="13" t="str">
        <f t="shared" si="536"/>
        <v/>
      </c>
    </row>
    <row r="540">
      <c r="A540" s="14" t="str">
        <f t="shared" si="1"/>
        <v/>
      </c>
      <c r="B540" s="14" t="str">
        <f t="array" ref="B540">IF(OR(F540="",F540="Selecciona.."),"",XLOOKUP(F540,Productos!E:E,Productos!A:A,"",0,1))</f>
        <v/>
      </c>
      <c r="C540" s="14" t="str">
        <f t="array" ref="C540">IF(OR(G540="",G540="Selecciona.."),"",XLOOKUP(G540,Productos!$E:$E,Productos!$A:$A,"",0,1))</f>
        <v/>
      </c>
      <c r="D540" s="14" t="str">
        <f t="shared" si="2"/>
        <v/>
      </c>
      <c r="E540" s="14"/>
      <c r="F540" s="15" t="str">
        <f t="shared" si="4"/>
        <v/>
      </c>
      <c r="G540" s="15" t="str">
        <f t="shared" ref="G540:H540" si="537">IF(OR(F540="",F540="Selecciona.."),"","Selecciona..")</f>
        <v/>
      </c>
      <c r="H540" s="13" t="str">
        <f t="shared" si="537"/>
        <v/>
      </c>
    </row>
    <row r="541">
      <c r="A541" s="14" t="str">
        <f t="shared" si="1"/>
        <v/>
      </c>
      <c r="B541" s="14" t="str">
        <f t="array" ref="B541">IF(OR(F541="",F541="Selecciona.."),"",XLOOKUP(F541,Productos!E:E,Productos!A:A,"",0,1))</f>
        <v/>
      </c>
      <c r="C541" s="14" t="str">
        <f t="array" ref="C541">IF(OR(G541="",G541="Selecciona.."),"",XLOOKUP(G541,Productos!$E:$E,Productos!$A:$A,"",0,1))</f>
        <v/>
      </c>
      <c r="D541" s="14" t="str">
        <f t="shared" si="2"/>
        <v/>
      </c>
      <c r="E541" s="14"/>
      <c r="F541" s="15" t="str">
        <f t="shared" si="4"/>
        <v/>
      </c>
      <c r="G541" s="15" t="str">
        <f t="shared" ref="G541:H541" si="538">IF(OR(F541="",F541="Selecciona.."),"","Selecciona..")</f>
        <v/>
      </c>
      <c r="H541" s="13" t="str">
        <f t="shared" si="538"/>
        <v/>
      </c>
    </row>
    <row r="542">
      <c r="A542" s="14" t="str">
        <f t="shared" si="1"/>
        <v/>
      </c>
      <c r="B542" s="14" t="str">
        <f t="array" ref="B542">IF(OR(F542="",F542="Selecciona.."),"",XLOOKUP(F542,Productos!E:E,Productos!A:A,"",0,1))</f>
        <v/>
      </c>
      <c r="C542" s="14" t="str">
        <f t="array" ref="C542">IF(OR(G542="",G542="Selecciona.."),"",XLOOKUP(G542,Productos!$E:$E,Productos!$A:$A,"",0,1))</f>
        <v/>
      </c>
      <c r="D542" s="14" t="str">
        <f t="shared" si="2"/>
        <v/>
      </c>
      <c r="E542" s="14"/>
      <c r="F542" s="15" t="str">
        <f t="shared" si="4"/>
        <v/>
      </c>
      <c r="G542" s="15" t="str">
        <f t="shared" ref="G542:H542" si="539">IF(OR(F542="",F542="Selecciona.."),"","Selecciona..")</f>
        <v/>
      </c>
      <c r="H542" s="13" t="str">
        <f t="shared" si="539"/>
        <v/>
      </c>
    </row>
    <row r="543">
      <c r="A543" s="14" t="str">
        <f t="shared" si="1"/>
        <v/>
      </c>
      <c r="B543" s="14" t="str">
        <f t="array" ref="B543">IF(OR(F543="",F543="Selecciona.."),"",XLOOKUP(F543,Productos!E:E,Productos!A:A,"",0,1))</f>
        <v/>
      </c>
      <c r="C543" s="14" t="str">
        <f t="array" ref="C543">IF(OR(G543="",G543="Selecciona.."),"",XLOOKUP(G543,Productos!$E:$E,Productos!$A:$A,"",0,1))</f>
        <v/>
      </c>
      <c r="D543" s="14" t="str">
        <f t="shared" si="2"/>
        <v/>
      </c>
      <c r="E543" s="14"/>
      <c r="F543" s="15" t="str">
        <f t="shared" si="4"/>
        <v/>
      </c>
      <c r="G543" s="15" t="str">
        <f t="shared" ref="G543:H543" si="540">IF(OR(F543="",F543="Selecciona.."),"","Selecciona..")</f>
        <v/>
      </c>
      <c r="H543" s="13" t="str">
        <f t="shared" si="540"/>
        <v/>
      </c>
    </row>
    <row r="544">
      <c r="A544" s="14" t="str">
        <f t="shared" si="1"/>
        <v/>
      </c>
      <c r="B544" s="14" t="str">
        <f t="array" ref="B544">IF(OR(F544="",F544="Selecciona.."),"",XLOOKUP(F544,Productos!E:E,Productos!A:A,"",0,1))</f>
        <v/>
      </c>
      <c r="C544" s="14" t="str">
        <f t="array" ref="C544">IF(OR(G544="",G544="Selecciona.."),"",XLOOKUP(G544,Productos!$E:$E,Productos!$A:$A,"",0,1))</f>
        <v/>
      </c>
      <c r="D544" s="14" t="str">
        <f t="shared" si="2"/>
        <v/>
      </c>
      <c r="E544" s="14"/>
      <c r="F544" s="15" t="str">
        <f t="shared" si="4"/>
        <v/>
      </c>
      <c r="G544" s="15" t="str">
        <f t="shared" ref="G544:H544" si="541">IF(OR(F544="",F544="Selecciona.."),"","Selecciona..")</f>
        <v/>
      </c>
      <c r="H544" s="13" t="str">
        <f t="shared" si="541"/>
        <v/>
      </c>
    </row>
    <row r="545">
      <c r="A545" s="14" t="str">
        <f t="shared" si="1"/>
        <v/>
      </c>
      <c r="B545" s="14" t="str">
        <f t="array" ref="B545">IF(OR(F545="",F545="Selecciona.."),"",XLOOKUP(F545,Productos!E:E,Productos!A:A,"",0,1))</f>
        <v/>
      </c>
      <c r="C545" s="14" t="str">
        <f t="array" ref="C545">IF(OR(G545="",G545="Selecciona.."),"",XLOOKUP(G545,Productos!$E:$E,Productos!$A:$A,"",0,1))</f>
        <v/>
      </c>
      <c r="D545" s="14" t="str">
        <f t="shared" si="2"/>
        <v/>
      </c>
      <c r="E545" s="14"/>
      <c r="F545" s="15" t="str">
        <f t="shared" si="4"/>
        <v/>
      </c>
      <c r="G545" s="15" t="str">
        <f t="shared" ref="G545:H545" si="542">IF(OR(F545="",F545="Selecciona.."),"","Selecciona..")</f>
        <v/>
      </c>
      <c r="H545" s="13" t="str">
        <f t="shared" si="542"/>
        <v/>
      </c>
    </row>
    <row r="546">
      <c r="A546" s="14" t="str">
        <f t="shared" si="1"/>
        <v/>
      </c>
      <c r="B546" s="14" t="str">
        <f t="array" ref="B546">IF(OR(F546="",F546="Selecciona.."),"",XLOOKUP(F546,Productos!E:E,Productos!A:A,"",0,1))</f>
        <v/>
      </c>
      <c r="C546" s="14" t="str">
        <f t="array" ref="C546">IF(OR(G546="",G546="Selecciona.."),"",XLOOKUP(G546,Productos!$E:$E,Productos!$A:$A,"",0,1))</f>
        <v/>
      </c>
      <c r="D546" s="14" t="str">
        <f t="shared" si="2"/>
        <v/>
      </c>
      <c r="E546" s="14"/>
      <c r="F546" s="15" t="str">
        <f t="shared" si="4"/>
        <v/>
      </c>
      <c r="G546" s="15" t="str">
        <f t="shared" ref="G546:H546" si="543">IF(OR(F546="",F546="Selecciona.."),"","Selecciona..")</f>
        <v/>
      </c>
      <c r="H546" s="13" t="str">
        <f t="shared" si="543"/>
        <v/>
      </c>
    </row>
    <row r="547">
      <c r="A547" s="14" t="str">
        <f t="shared" si="1"/>
        <v/>
      </c>
      <c r="B547" s="14" t="str">
        <f t="array" ref="B547">IF(OR(F547="",F547="Selecciona.."),"",XLOOKUP(F547,Productos!E:E,Productos!A:A,"",0,1))</f>
        <v/>
      </c>
      <c r="C547" s="14" t="str">
        <f t="array" ref="C547">IF(OR(G547="",G547="Selecciona.."),"",XLOOKUP(G547,Productos!$E:$E,Productos!$A:$A,"",0,1))</f>
        <v/>
      </c>
      <c r="D547" s="14" t="str">
        <f t="shared" si="2"/>
        <v/>
      </c>
      <c r="E547" s="14"/>
      <c r="F547" s="15" t="str">
        <f t="shared" si="4"/>
        <v/>
      </c>
      <c r="G547" s="15" t="str">
        <f t="shared" ref="G547:H547" si="544">IF(OR(F547="",F547="Selecciona.."),"","Selecciona..")</f>
        <v/>
      </c>
      <c r="H547" s="13" t="str">
        <f t="shared" si="544"/>
        <v/>
      </c>
    </row>
    <row r="548">
      <c r="A548" s="14" t="str">
        <f t="shared" si="1"/>
        <v/>
      </c>
      <c r="B548" s="14" t="str">
        <f t="array" ref="B548">IF(OR(F548="",F548="Selecciona.."),"",XLOOKUP(F548,Productos!E:E,Productos!A:A,"",0,1))</f>
        <v/>
      </c>
      <c r="C548" s="14" t="str">
        <f t="array" ref="C548">IF(OR(G548="",G548="Selecciona.."),"",XLOOKUP(G548,Productos!$E:$E,Productos!$A:$A,"",0,1))</f>
        <v/>
      </c>
      <c r="D548" s="14" t="str">
        <f t="shared" si="2"/>
        <v/>
      </c>
      <c r="E548" s="14"/>
      <c r="F548" s="15" t="str">
        <f t="shared" si="4"/>
        <v/>
      </c>
      <c r="G548" s="15" t="str">
        <f t="shared" ref="G548:H548" si="545">IF(OR(F548="",F548="Selecciona.."),"","Selecciona..")</f>
        <v/>
      </c>
      <c r="H548" s="13" t="str">
        <f t="shared" si="545"/>
        <v/>
      </c>
    </row>
    <row r="549">
      <c r="A549" s="14" t="str">
        <f t="shared" si="1"/>
        <v/>
      </c>
      <c r="B549" s="14" t="str">
        <f t="array" ref="B549">IF(OR(F549="",F549="Selecciona.."),"",XLOOKUP(F549,Productos!E:E,Productos!A:A,"",0,1))</f>
        <v/>
      </c>
      <c r="C549" s="14" t="str">
        <f t="array" ref="C549">IF(OR(G549="",G549="Selecciona.."),"",XLOOKUP(G549,Productos!$E:$E,Productos!$A:$A,"",0,1))</f>
        <v/>
      </c>
      <c r="D549" s="14" t="str">
        <f t="shared" si="2"/>
        <v/>
      </c>
      <c r="E549" s="14"/>
      <c r="F549" s="15" t="str">
        <f t="shared" si="4"/>
        <v/>
      </c>
      <c r="G549" s="15" t="str">
        <f t="shared" ref="G549:H549" si="546">IF(OR(F549="",F549="Selecciona.."),"","Selecciona..")</f>
        <v/>
      </c>
      <c r="H549" s="13" t="str">
        <f t="shared" si="546"/>
        <v/>
      </c>
    </row>
    <row r="550">
      <c r="A550" s="14" t="str">
        <f t="shared" si="1"/>
        <v/>
      </c>
      <c r="B550" s="14" t="str">
        <f t="array" ref="B550">IF(OR(F550="",F550="Selecciona.."),"",XLOOKUP(F550,Productos!E:E,Productos!A:A,"",0,1))</f>
        <v/>
      </c>
      <c r="C550" s="14" t="str">
        <f t="array" ref="C550">IF(OR(G550="",G550="Selecciona.."),"",XLOOKUP(G550,Productos!$E:$E,Productos!$A:$A,"",0,1))</f>
        <v/>
      </c>
      <c r="D550" s="14" t="str">
        <f t="shared" si="2"/>
        <v/>
      </c>
      <c r="E550" s="14"/>
      <c r="F550" s="15" t="str">
        <f t="shared" si="4"/>
        <v/>
      </c>
      <c r="G550" s="15" t="str">
        <f t="shared" ref="G550:H550" si="547">IF(OR(F550="",F550="Selecciona.."),"","Selecciona..")</f>
        <v/>
      </c>
      <c r="H550" s="13" t="str">
        <f t="shared" si="547"/>
        <v/>
      </c>
    </row>
    <row r="551">
      <c r="A551" s="14" t="str">
        <f t="shared" si="1"/>
        <v/>
      </c>
      <c r="B551" s="14" t="str">
        <f t="array" ref="B551">IF(OR(F551="",F551="Selecciona.."),"",XLOOKUP(F551,Productos!E:E,Productos!A:A,"",0,1))</f>
        <v/>
      </c>
      <c r="C551" s="14" t="str">
        <f t="array" ref="C551">IF(OR(G551="",G551="Selecciona.."),"",XLOOKUP(G551,Productos!$E:$E,Productos!$A:$A,"",0,1))</f>
        <v/>
      </c>
      <c r="D551" s="14" t="str">
        <f t="shared" si="2"/>
        <v/>
      </c>
      <c r="E551" s="14"/>
      <c r="F551" s="15" t="str">
        <f t="shared" si="4"/>
        <v/>
      </c>
      <c r="G551" s="15" t="str">
        <f t="shared" ref="G551:H551" si="548">IF(OR(F551="",F551="Selecciona.."),"","Selecciona..")</f>
        <v/>
      </c>
      <c r="H551" s="13" t="str">
        <f t="shared" si="548"/>
        <v/>
      </c>
    </row>
    <row r="552">
      <c r="A552" s="14" t="str">
        <f t="shared" si="1"/>
        <v/>
      </c>
      <c r="B552" s="14" t="str">
        <f t="array" ref="B552">IF(OR(F552="",F552="Selecciona.."),"",XLOOKUP(F552,Productos!E:E,Productos!A:A,"",0,1))</f>
        <v/>
      </c>
      <c r="C552" s="14" t="str">
        <f t="array" ref="C552">IF(OR(G552="",G552="Selecciona.."),"",XLOOKUP(G552,Productos!$E:$E,Productos!$A:$A,"",0,1))</f>
        <v/>
      </c>
      <c r="D552" s="14" t="str">
        <f t="shared" si="2"/>
        <v/>
      </c>
      <c r="E552" s="14"/>
      <c r="F552" s="15" t="str">
        <f t="shared" si="4"/>
        <v/>
      </c>
      <c r="G552" s="15" t="str">
        <f t="shared" ref="G552:H552" si="549">IF(OR(F552="",F552="Selecciona.."),"","Selecciona..")</f>
        <v/>
      </c>
      <c r="H552" s="13" t="str">
        <f t="shared" si="549"/>
        <v/>
      </c>
    </row>
    <row r="553">
      <c r="A553" s="14" t="str">
        <f t="shared" si="1"/>
        <v/>
      </c>
      <c r="B553" s="14" t="str">
        <f t="array" ref="B553">IF(OR(F553="",F553="Selecciona.."),"",XLOOKUP(F553,Productos!E:E,Productos!A:A,"",0,1))</f>
        <v/>
      </c>
      <c r="C553" s="14" t="str">
        <f t="array" ref="C553">IF(OR(G553="",G553="Selecciona.."),"",XLOOKUP(G553,Productos!$E:$E,Productos!$A:$A,"",0,1))</f>
        <v/>
      </c>
      <c r="D553" s="14" t="str">
        <f t="shared" si="2"/>
        <v/>
      </c>
      <c r="E553" s="14"/>
      <c r="F553" s="15" t="str">
        <f t="shared" si="4"/>
        <v/>
      </c>
      <c r="G553" s="15" t="str">
        <f t="shared" ref="G553:H553" si="550">IF(OR(F553="",F553="Selecciona.."),"","Selecciona..")</f>
        <v/>
      </c>
      <c r="H553" s="13" t="str">
        <f t="shared" si="550"/>
        <v/>
      </c>
    </row>
    <row r="554">
      <c r="A554" s="14" t="str">
        <f t="shared" si="1"/>
        <v/>
      </c>
      <c r="B554" s="14" t="str">
        <f t="array" ref="B554">IF(OR(F554="",F554="Selecciona.."),"",XLOOKUP(F554,Productos!E:E,Productos!A:A,"",0,1))</f>
        <v/>
      </c>
      <c r="C554" s="14" t="str">
        <f t="array" ref="C554">IF(OR(G554="",G554="Selecciona.."),"",XLOOKUP(G554,Productos!$E:$E,Productos!$A:$A,"",0,1))</f>
        <v/>
      </c>
      <c r="D554" s="14" t="str">
        <f t="shared" si="2"/>
        <v/>
      </c>
      <c r="E554" s="14"/>
      <c r="F554" s="15" t="str">
        <f t="shared" si="4"/>
        <v/>
      </c>
      <c r="G554" s="15" t="str">
        <f t="shared" ref="G554:H554" si="551">IF(OR(F554="",F554="Selecciona.."),"","Selecciona..")</f>
        <v/>
      </c>
      <c r="H554" s="13" t="str">
        <f t="shared" si="551"/>
        <v/>
      </c>
    </row>
    <row r="555">
      <c r="A555" s="14" t="str">
        <f t="shared" si="1"/>
        <v/>
      </c>
      <c r="B555" s="14" t="str">
        <f t="array" ref="B555">IF(OR(F555="",F555="Selecciona.."),"",XLOOKUP(F555,Productos!E:E,Productos!A:A,"",0,1))</f>
        <v/>
      </c>
      <c r="C555" s="14" t="str">
        <f t="array" ref="C555">IF(OR(G555="",G555="Selecciona.."),"",XLOOKUP(G555,Productos!$E:$E,Productos!$A:$A,"",0,1))</f>
        <v/>
      </c>
      <c r="D555" s="14" t="str">
        <f t="shared" si="2"/>
        <v/>
      </c>
      <c r="E555" s="14"/>
      <c r="F555" s="15" t="str">
        <f t="shared" si="4"/>
        <v/>
      </c>
      <c r="G555" s="15" t="str">
        <f t="shared" ref="G555:H555" si="552">IF(OR(F555="",F555="Selecciona.."),"","Selecciona..")</f>
        <v/>
      </c>
      <c r="H555" s="13" t="str">
        <f t="shared" si="552"/>
        <v/>
      </c>
    </row>
    <row r="556">
      <c r="A556" s="14" t="str">
        <f t="shared" si="1"/>
        <v/>
      </c>
      <c r="B556" s="14" t="str">
        <f t="array" ref="B556">IF(OR(F556="",F556="Selecciona.."),"",XLOOKUP(F556,Productos!E:E,Productos!A:A,"",0,1))</f>
        <v/>
      </c>
      <c r="C556" s="14" t="str">
        <f t="array" ref="C556">IF(OR(G556="",G556="Selecciona.."),"",XLOOKUP(G556,Productos!$E:$E,Productos!$A:$A,"",0,1))</f>
        <v/>
      </c>
      <c r="D556" s="14" t="str">
        <f t="shared" si="2"/>
        <v/>
      </c>
      <c r="E556" s="14"/>
      <c r="F556" s="15" t="str">
        <f t="shared" si="4"/>
        <v/>
      </c>
      <c r="G556" s="15" t="str">
        <f t="shared" ref="G556:H556" si="553">IF(OR(F556="",F556="Selecciona.."),"","Selecciona..")</f>
        <v/>
      </c>
      <c r="H556" s="13" t="str">
        <f t="shared" si="553"/>
        <v/>
      </c>
    </row>
    <row r="557">
      <c r="A557" s="14" t="str">
        <f t="shared" si="1"/>
        <v/>
      </c>
      <c r="B557" s="14" t="str">
        <f t="array" ref="B557">IF(OR(F557="",F557="Selecciona.."),"",XLOOKUP(F557,Productos!E:E,Productos!A:A,"",0,1))</f>
        <v/>
      </c>
      <c r="C557" s="14" t="str">
        <f t="array" ref="C557">IF(OR(G557="",G557="Selecciona.."),"",XLOOKUP(G557,Productos!$E:$E,Productos!$A:$A,"",0,1))</f>
        <v/>
      </c>
      <c r="D557" s="14" t="str">
        <f t="shared" si="2"/>
        <v/>
      </c>
      <c r="E557" s="14"/>
      <c r="F557" s="15" t="str">
        <f t="shared" si="4"/>
        <v/>
      </c>
      <c r="G557" s="15" t="str">
        <f t="shared" ref="G557:H557" si="554">IF(OR(F557="",F557="Selecciona.."),"","Selecciona..")</f>
        <v/>
      </c>
      <c r="H557" s="13" t="str">
        <f t="shared" si="554"/>
        <v/>
      </c>
    </row>
    <row r="558">
      <c r="A558" s="14" t="str">
        <f t="shared" si="1"/>
        <v/>
      </c>
      <c r="B558" s="14" t="str">
        <f t="array" ref="B558">IF(OR(F558="",F558="Selecciona.."),"",XLOOKUP(F558,Productos!E:E,Productos!A:A,"",0,1))</f>
        <v/>
      </c>
      <c r="C558" s="14" t="str">
        <f t="array" ref="C558">IF(OR(G558="",G558="Selecciona.."),"",XLOOKUP(G558,Productos!$E:$E,Productos!$A:$A,"",0,1))</f>
        <v/>
      </c>
      <c r="D558" s="14" t="str">
        <f t="shared" si="2"/>
        <v/>
      </c>
      <c r="E558" s="14"/>
      <c r="F558" s="15" t="str">
        <f t="shared" si="4"/>
        <v/>
      </c>
      <c r="G558" s="15" t="str">
        <f t="shared" ref="G558:H558" si="555">IF(OR(F558="",F558="Selecciona.."),"","Selecciona..")</f>
        <v/>
      </c>
      <c r="H558" s="13" t="str">
        <f t="shared" si="555"/>
        <v/>
      </c>
    </row>
    <row r="559">
      <c r="A559" s="14" t="str">
        <f t="shared" si="1"/>
        <v/>
      </c>
      <c r="B559" s="14" t="str">
        <f t="array" ref="B559">IF(OR(F559="",F559="Selecciona.."),"",XLOOKUP(F559,Productos!E:E,Productos!A:A,"",0,1))</f>
        <v/>
      </c>
      <c r="C559" s="14" t="str">
        <f t="array" ref="C559">IF(OR(G559="",G559="Selecciona.."),"",XLOOKUP(G559,Productos!$E:$E,Productos!$A:$A,"",0,1))</f>
        <v/>
      </c>
      <c r="D559" s="14" t="str">
        <f t="shared" si="2"/>
        <v/>
      </c>
      <c r="E559" s="14"/>
      <c r="F559" s="15" t="str">
        <f t="shared" si="4"/>
        <v/>
      </c>
      <c r="G559" s="15" t="str">
        <f t="shared" ref="G559:H559" si="556">IF(OR(F559="",F559="Selecciona.."),"","Selecciona..")</f>
        <v/>
      </c>
      <c r="H559" s="13" t="str">
        <f t="shared" si="556"/>
        <v/>
      </c>
    </row>
    <row r="560">
      <c r="A560" s="14" t="str">
        <f t="shared" si="1"/>
        <v/>
      </c>
      <c r="B560" s="14" t="str">
        <f t="array" ref="B560">IF(OR(F560="",F560="Selecciona.."),"",XLOOKUP(F560,Productos!E:E,Productos!A:A,"",0,1))</f>
        <v/>
      </c>
      <c r="C560" s="14" t="str">
        <f t="array" ref="C560">IF(OR(G560="",G560="Selecciona.."),"",XLOOKUP(G560,Productos!$E:$E,Productos!$A:$A,"",0,1))</f>
        <v/>
      </c>
      <c r="D560" s="14" t="str">
        <f t="shared" si="2"/>
        <v/>
      </c>
      <c r="E560" s="14"/>
      <c r="F560" s="15" t="str">
        <f t="shared" si="4"/>
        <v/>
      </c>
      <c r="G560" s="15" t="str">
        <f t="shared" ref="G560:H560" si="557">IF(OR(F560="",F560="Selecciona.."),"","Selecciona..")</f>
        <v/>
      </c>
      <c r="H560" s="13" t="str">
        <f t="shared" si="557"/>
        <v/>
      </c>
    </row>
    <row r="561">
      <c r="A561" s="14" t="str">
        <f t="shared" si="1"/>
        <v/>
      </c>
      <c r="B561" s="14" t="str">
        <f t="array" ref="B561">IF(OR(F561="",F561="Selecciona.."),"",XLOOKUP(F561,Productos!E:E,Productos!A:A,"",0,1))</f>
        <v/>
      </c>
      <c r="C561" s="14" t="str">
        <f t="array" ref="C561">IF(OR(G561="",G561="Selecciona.."),"",XLOOKUP(G561,Productos!$E:$E,Productos!$A:$A,"",0,1))</f>
        <v/>
      </c>
      <c r="D561" s="14" t="str">
        <f t="shared" si="2"/>
        <v/>
      </c>
      <c r="E561" s="14"/>
      <c r="F561" s="15" t="str">
        <f t="shared" si="4"/>
        <v/>
      </c>
      <c r="G561" s="15" t="str">
        <f t="shared" ref="G561:H561" si="558">IF(OR(F561="",F561="Selecciona.."),"","Selecciona..")</f>
        <v/>
      </c>
      <c r="H561" s="13" t="str">
        <f t="shared" si="558"/>
        <v/>
      </c>
    </row>
    <row r="562">
      <c r="A562" s="14" t="str">
        <f t="shared" si="1"/>
        <v/>
      </c>
      <c r="B562" s="14" t="str">
        <f t="array" ref="B562">IF(OR(F562="",F562="Selecciona.."),"",XLOOKUP(F562,Productos!E:E,Productos!A:A,"",0,1))</f>
        <v/>
      </c>
      <c r="C562" s="14" t="str">
        <f t="array" ref="C562">IF(OR(G562="",G562="Selecciona.."),"",XLOOKUP(G562,Productos!$E:$E,Productos!$A:$A,"",0,1))</f>
        <v/>
      </c>
      <c r="D562" s="14" t="str">
        <f t="shared" si="2"/>
        <v/>
      </c>
      <c r="E562" s="14"/>
      <c r="F562" s="15" t="str">
        <f t="shared" si="4"/>
        <v/>
      </c>
      <c r="G562" s="15" t="str">
        <f t="shared" ref="G562:H562" si="559">IF(OR(F562="",F562="Selecciona.."),"","Selecciona..")</f>
        <v/>
      </c>
      <c r="H562" s="13" t="str">
        <f t="shared" si="559"/>
        <v/>
      </c>
    </row>
    <row r="563">
      <c r="A563" s="14" t="str">
        <f t="shared" si="1"/>
        <v/>
      </c>
      <c r="B563" s="14" t="str">
        <f t="array" ref="B563">IF(OR(F563="",F563="Selecciona.."),"",XLOOKUP(F563,Productos!E:E,Productos!A:A,"",0,1))</f>
        <v/>
      </c>
      <c r="C563" s="14" t="str">
        <f t="array" ref="C563">IF(OR(G563="",G563="Selecciona.."),"",XLOOKUP(G563,Productos!$E:$E,Productos!$A:$A,"",0,1))</f>
        <v/>
      </c>
      <c r="D563" s="14" t="str">
        <f t="shared" si="2"/>
        <v/>
      </c>
      <c r="E563" s="14"/>
      <c r="F563" s="15" t="str">
        <f t="shared" si="4"/>
        <v/>
      </c>
      <c r="G563" s="15" t="str">
        <f t="shared" ref="G563:H563" si="560">IF(OR(F563="",F563="Selecciona.."),"","Selecciona..")</f>
        <v/>
      </c>
      <c r="H563" s="13" t="str">
        <f t="shared" si="560"/>
        <v/>
      </c>
    </row>
    <row r="564">
      <c r="A564" s="14" t="str">
        <f t="shared" si="1"/>
        <v/>
      </c>
      <c r="B564" s="14" t="str">
        <f t="array" ref="B564">IF(OR(F564="",F564="Selecciona.."),"",XLOOKUP(F564,Productos!E:E,Productos!A:A,"",0,1))</f>
        <v/>
      </c>
      <c r="C564" s="14" t="str">
        <f t="array" ref="C564">IF(OR(G564="",G564="Selecciona.."),"",XLOOKUP(G564,Productos!$E:$E,Productos!$A:$A,"",0,1))</f>
        <v/>
      </c>
      <c r="D564" s="14" t="str">
        <f t="shared" si="2"/>
        <v/>
      </c>
      <c r="E564" s="14"/>
      <c r="F564" s="15" t="str">
        <f t="shared" si="4"/>
        <v/>
      </c>
      <c r="G564" s="15" t="str">
        <f t="shared" ref="G564:H564" si="561">IF(OR(F564="",F564="Selecciona.."),"","Selecciona..")</f>
        <v/>
      </c>
      <c r="H564" s="13" t="str">
        <f t="shared" si="561"/>
        <v/>
      </c>
    </row>
    <row r="565">
      <c r="A565" s="14" t="str">
        <f t="shared" si="1"/>
        <v/>
      </c>
      <c r="B565" s="14" t="str">
        <f t="array" ref="B565">IF(OR(F565="",F565="Selecciona.."),"",XLOOKUP(F565,Productos!E:E,Productos!A:A,"",0,1))</f>
        <v/>
      </c>
      <c r="C565" s="14" t="str">
        <f t="array" ref="C565">IF(OR(G565="",G565="Selecciona.."),"",XLOOKUP(G565,Productos!$E:$E,Productos!$A:$A,"",0,1))</f>
        <v/>
      </c>
      <c r="D565" s="14" t="str">
        <f t="shared" si="2"/>
        <v/>
      </c>
      <c r="E565" s="14"/>
      <c r="F565" s="15" t="str">
        <f t="shared" si="4"/>
        <v/>
      </c>
      <c r="G565" s="15" t="str">
        <f t="shared" ref="G565:H565" si="562">IF(OR(F565="",F565="Selecciona.."),"","Selecciona..")</f>
        <v/>
      </c>
      <c r="H565" s="13" t="str">
        <f t="shared" si="562"/>
        <v/>
      </c>
    </row>
    <row r="566">
      <c r="A566" s="14" t="str">
        <f t="shared" si="1"/>
        <v/>
      </c>
      <c r="B566" s="14" t="str">
        <f t="array" ref="B566">IF(OR(F566="",F566="Selecciona.."),"",XLOOKUP(F566,Productos!E:E,Productos!A:A,"",0,1))</f>
        <v/>
      </c>
      <c r="C566" s="14" t="str">
        <f t="array" ref="C566">IF(OR(G566="",G566="Selecciona.."),"",XLOOKUP(G566,Productos!$E:$E,Productos!$A:$A,"",0,1))</f>
        <v/>
      </c>
      <c r="D566" s="14" t="str">
        <f t="shared" si="2"/>
        <v/>
      </c>
      <c r="E566" s="14"/>
      <c r="F566" s="15" t="str">
        <f t="shared" si="4"/>
        <v/>
      </c>
      <c r="G566" s="15" t="str">
        <f t="shared" ref="G566:H566" si="563">IF(OR(F566="",F566="Selecciona.."),"","Selecciona..")</f>
        <v/>
      </c>
      <c r="H566" s="13" t="str">
        <f t="shared" si="563"/>
        <v/>
      </c>
    </row>
    <row r="567">
      <c r="A567" s="14" t="str">
        <f t="shared" si="1"/>
        <v/>
      </c>
      <c r="B567" s="14" t="str">
        <f t="array" ref="B567">IF(OR(F567="",F567="Selecciona.."),"",XLOOKUP(F567,Productos!E:E,Productos!A:A,"",0,1))</f>
        <v/>
      </c>
      <c r="C567" s="14" t="str">
        <f t="array" ref="C567">IF(OR(G567="",G567="Selecciona.."),"",XLOOKUP(G567,Productos!$E:$E,Productos!$A:$A,"",0,1))</f>
        <v/>
      </c>
      <c r="D567" s="14" t="str">
        <f t="shared" si="2"/>
        <v/>
      </c>
      <c r="E567" s="14"/>
      <c r="F567" s="15" t="str">
        <f t="shared" si="4"/>
        <v/>
      </c>
      <c r="G567" s="15" t="str">
        <f t="shared" ref="G567:H567" si="564">IF(OR(F567="",F567="Selecciona.."),"","Selecciona..")</f>
        <v/>
      </c>
      <c r="H567" s="13" t="str">
        <f t="shared" si="564"/>
        <v/>
      </c>
    </row>
    <row r="568">
      <c r="A568" s="14" t="str">
        <f t="shared" si="1"/>
        <v/>
      </c>
      <c r="B568" s="14" t="str">
        <f t="array" ref="B568">IF(OR(F568="",F568="Selecciona.."),"",XLOOKUP(F568,Productos!E:E,Productos!A:A,"",0,1))</f>
        <v/>
      </c>
      <c r="C568" s="14" t="str">
        <f t="array" ref="C568">IF(OR(G568="",G568="Selecciona.."),"",XLOOKUP(G568,Productos!$E:$E,Productos!$A:$A,"",0,1))</f>
        <v/>
      </c>
      <c r="D568" s="14" t="str">
        <f t="shared" si="2"/>
        <v/>
      </c>
      <c r="E568" s="14"/>
      <c r="F568" s="15" t="str">
        <f t="shared" si="4"/>
        <v/>
      </c>
      <c r="G568" s="15" t="str">
        <f t="shared" ref="G568:H568" si="565">IF(OR(F568="",F568="Selecciona.."),"","Selecciona..")</f>
        <v/>
      </c>
      <c r="H568" s="13" t="str">
        <f t="shared" si="565"/>
        <v/>
      </c>
    </row>
    <row r="569">
      <c r="A569" s="14" t="str">
        <f t="shared" si="1"/>
        <v/>
      </c>
      <c r="B569" s="14" t="str">
        <f t="array" ref="B569">IF(OR(F569="",F569="Selecciona.."),"",XLOOKUP(F569,Productos!E:E,Productos!A:A,"",0,1))</f>
        <v/>
      </c>
      <c r="C569" s="14" t="str">
        <f t="array" ref="C569">IF(OR(G569="",G569="Selecciona.."),"",XLOOKUP(G569,Productos!$E:$E,Productos!$A:$A,"",0,1))</f>
        <v/>
      </c>
      <c r="D569" s="14" t="str">
        <f t="shared" si="2"/>
        <v/>
      </c>
      <c r="E569" s="14"/>
      <c r="F569" s="15" t="str">
        <f t="shared" si="4"/>
        <v/>
      </c>
      <c r="G569" s="15" t="str">
        <f t="shared" ref="G569:H569" si="566">IF(OR(F569="",F569="Selecciona.."),"","Selecciona..")</f>
        <v/>
      </c>
      <c r="H569" s="13" t="str">
        <f t="shared" si="566"/>
        <v/>
      </c>
    </row>
    <row r="570">
      <c r="A570" s="14" t="str">
        <f t="shared" si="1"/>
        <v/>
      </c>
      <c r="B570" s="14" t="str">
        <f t="array" ref="B570">IF(OR(F570="",F570="Selecciona.."),"",XLOOKUP(F570,Productos!E:E,Productos!A:A,"",0,1))</f>
        <v/>
      </c>
      <c r="C570" s="14" t="str">
        <f t="array" ref="C570">IF(OR(G570="",G570="Selecciona.."),"",XLOOKUP(G570,Productos!$E:$E,Productos!$A:$A,"",0,1))</f>
        <v/>
      </c>
      <c r="D570" s="14" t="str">
        <f t="shared" si="2"/>
        <v/>
      </c>
      <c r="E570" s="14"/>
      <c r="F570" s="15" t="str">
        <f t="shared" si="4"/>
        <v/>
      </c>
      <c r="G570" s="15" t="str">
        <f t="shared" ref="G570:H570" si="567">IF(OR(F570="",F570="Selecciona.."),"","Selecciona..")</f>
        <v/>
      </c>
      <c r="H570" s="13" t="str">
        <f t="shared" si="567"/>
        <v/>
      </c>
    </row>
    <row r="571">
      <c r="A571" s="14" t="str">
        <f t="shared" si="1"/>
        <v/>
      </c>
      <c r="B571" s="14" t="str">
        <f t="array" ref="B571">IF(OR(F571="",F571="Selecciona.."),"",XLOOKUP(F571,Productos!E:E,Productos!A:A,"",0,1))</f>
        <v/>
      </c>
      <c r="C571" s="14" t="str">
        <f t="array" ref="C571">IF(OR(G571="",G571="Selecciona.."),"",XLOOKUP(G571,Productos!$E:$E,Productos!$A:$A,"",0,1))</f>
        <v/>
      </c>
      <c r="D571" s="14" t="str">
        <f t="shared" si="2"/>
        <v/>
      </c>
      <c r="E571" s="14"/>
      <c r="F571" s="15" t="str">
        <f t="shared" si="4"/>
        <v/>
      </c>
      <c r="G571" s="15" t="str">
        <f t="shared" ref="G571:H571" si="568">IF(OR(F571="",F571="Selecciona.."),"","Selecciona..")</f>
        <v/>
      </c>
      <c r="H571" s="13" t="str">
        <f t="shared" si="568"/>
        <v/>
      </c>
    </row>
    <row r="572">
      <c r="A572" s="14" t="str">
        <f t="shared" si="1"/>
        <v/>
      </c>
      <c r="B572" s="14" t="str">
        <f t="array" ref="B572">IF(OR(F572="",F572="Selecciona.."),"",XLOOKUP(F572,Productos!E:E,Productos!A:A,"",0,1))</f>
        <v/>
      </c>
      <c r="C572" s="14" t="str">
        <f t="array" ref="C572">IF(OR(G572="",G572="Selecciona.."),"",XLOOKUP(G572,Productos!$E:$E,Productos!$A:$A,"",0,1))</f>
        <v/>
      </c>
      <c r="D572" s="14" t="str">
        <f t="shared" si="2"/>
        <v/>
      </c>
      <c r="E572" s="14"/>
      <c r="F572" s="15" t="str">
        <f t="shared" si="4"/>
        <v/>
      </c>
      <c r="G572" s="15" t="str">
        <f t="shared" ref="G572:H572" si="569">IF(OR(F572="",F572="Selecciona.."),"","Selecciona..")</f>
        <v/>
      </c>
      <c r="H572" s="13" t="str">
        <f t="shared" si="569"/>
        <v/>
      </c>
    </row>
    <row r="573">
      <c r="A573" s="14" t="str">
        <f t="shared" si="1"/>
        <v/>
      </c>
      <c r="B573" s="14" t="str">
        <f t="array" ref="B573">IF(OR(F573="",F573="Selecciona.."),"",XLOOKUP(F573,Productos!E:E,Productos!A:A,"",0,1))</f>
        <v/>
      </c>
      <c r="C573" s="14" t="str">
        <f t="array" ref="C573">IF(OR(G573="",G573="Selecciona.."),"",XLOOKUP(G573,Productos!$E:$E,Productos!$A:$A,"",0,1))</f>
        <v/>
      </c>
      <c r="D573" s="14" t="str">
        <f t="shared" si="2"/>
        <v/>
      </c>
      <c r="E573" s="14"/>
      <c r="F573" s="15" t="str">
        <f t="shared" si="4"/>
        <v/>
      </c>
      <c r="G573" s="15" t="str">
        <f t="shared" ref="G573:H573" si="570">IF(OR(F573="",F573="Selecciona.."),"","Selecciona..")</f>
        <v/>
      </c>
      <c r="H573" s="13" t="str">
        <f t="shared" si="570"/>
        <v/>
      </c>
    </row>
    <row r="574">
      <c r="A574" s="14" t="str">
        <f t="shared" si="1"/>
        <v/>
      </c>
      <c r="B574" s="14" t="str">
        <f t="array" ref="B574">IF(OR(F574="",F574="Selecciona.."),"",XLOOKUP(F574,Productos!E:E,Productos!A:A,"",0,1))</f>
        <v/>
      </c>
      <c r="C574" s="14" t="str">
        <f t="array" ref="C574">IF(OR(G574="",G574="Selecciona.."),"",XLOOKUP(G574,Productos!$E:$E,Productos!$A:$A,"",0,1))</f>
        <v/>
      </c>
      <c r="D574" s="14" t="str">
        <f t="shared" si="2"/>
        <v/>
      </c>
      <c r="E574" s="14"/>
      <c r="F574" s="15" t="str">
        <f t="shared" si="4"/>
        <v/>
      </c>
      <c r="G574" s="15" t="str">
        <f t="shared" ref="G574:H574" si="571">IF(OR(F574="",F574="Selecciona.."),"","Selecciona..")</f>
        <v/>
      </c>
      <c r="H574" s="13" t="str">
        <f t="shared" si="571"/>
        <v/>
      </c>
    </row>
    <row r="575">
      <c r="A575" s="14" t="str">
        <f t="shared" si="1"/>
        <v/>
      </c>
      <c r="B575" s="14" t="str">
        <f t="array" ref="B575">IF(OR(F575="",F575="Selecciona.."),"",XLOOKUP(F575,Productos!E:E,Productos!A:A,"",0,1))</f>
        <v/>
      </c>
      <c r="C575" s="14" t="str">
        <f t="array" ref="C575">IF(OR(G575="",G575="Selecciona.."),"",XLOOKUP(G575,Productos!$E:$E,Productos!$A:$A,"",0,1))</f>
        <v/>
      </c>
      <c r="D575" s="14" t="str">
        <f t="shared" si="2"/>
        <v/>
      </c>
      <c r="E575" s="14"/>
      <c r="F575" s="15" t="str">
        <f t="shared" si="4"/>
        <v/>
      </c>
      <c r="G575" s="15" t="str">
        <f t="shared" ref="G575:H575" si="572">IF(OR(F575="",F575="Selecciona.."),"","Selecciona..")</f>
        <v/>
      </c>
      <c r="H575" s="13" t="str">
        <f t="shared" si="572"/>
        <v/>
      </c>
    </row>
    <row r="576">
      <c r="A576" s="14" t="str">
        <f t="shared" si="1"/>
        <v/>
      </c>
      <c r="B576" s="14" t="str">
        <f t="array" ref="B576">IF(OR(F576="",F576="Selecciona.."),"",XLOOKUP(F576,Productos!E:E,Productos!A:A,"",0,1))</f>
        <v/>
      </c>
      <c r="C576" s="14" t="str">
        <f t="array" ref="C576">IF(OR(G576="",G576="Selecciona.."),"",XLOOKUP(G576,Productos!$E:$E,Productos!$A:$A,"",0,1))</f>
        <v/>
      </c>
      <c r="D576" s="14" t="str">
        <f t="shared" si="2"/>
        <v/>
      </c>
      <c r="E576" s="14"/>
      <c r="F576" s="15" t="str">
        <f t="shared" si="4"/>
        <v/>
      </c>
      <c r="G576" s="15" t="str">
        <f t="shared" ref="G576:H576" si="573">IF(OR(F576="",F576="Selecciona.."),"","Selecciona..")</f>
        <v/>
      </c>
      <c r="H576" s="13" t="str">
        <f t="shared" si="573"/>
        <v/>
      </c>
    </row>
    <row r="577">
      <c r="A577" s="14" t="str">
        <f t="shared" si="1"/>
        <v/>
      </c>
      <c r="B577" s="14" t="str">
        <f t="array" ref="B577">IF(OR(F577="",F577="Selecciona.."),"",XLOOKUP(F577,Productos!E:E,Productos!A:A,"",0,1))</f>
        <v/>
      </c>
      <c r="C577" s="14" t="str">
        <f t="array" ref="C577">IF(OR(G577="",G577="Selecciona.."),"",XLOOKUP(G577,Productos!$E:$E,Productos!$A:$A,"",0,1))</f>
        <v/>
      </c>
      <c r="D577" s="14" t="str">
        <f t="shared" si="2"/>
        <v/>
      </c>
      <c r="E577" s="14"/>
      <c r="F577" s="15" t="str">
        <f t="shared" si="4"/>
        <v/>
      </c>
      <c r="G577" s="15" t="str">
        <f t="shared" ref="G577:H577" si="574">IF(OR(F577="",F577="Selecciona.."),"","Selecciona..")</f>
        <v/>
      </c>
      <c r="H577" s="13" t="str">
        <f t="shared" si="574"/>
        <v/>
      </c>
    </row>
    <row r="578">
      <c r="A578" s="14" t="str">
        <f t="shared" si="1"/>
        <v/>
      </c>
      <c r="B578" s="14" t="str">
        <f t="array" ref="B578">IF(OR(F578="",F578="Selecciona.."),"",XLOOKUP(F578,Productos!E:E,Productos!A:A,"",0,1))</f>
        <v/>
      </c>
      <c r="C578" s="14" t="str">
        <f t="array" ref="C578">IF(OR(G578="",G578="Selecciona.."),"",XLOOKUP(G578,Productos!$E:$E,Productos!$A:$A,"",0,1))</f>
        <v/>
      </c>
      <c r="D578" s="14" t="str">
        <f t="shared" si="2"/>
        <v/>
      </c>
      <c r="E578" s="14"/>
      <c r="F578" s="15" t="str">
        <f t="shared" si="4"/>
        <v/>
      </c>
      <c r="G578" s="15" t="str">
        <f t="shared" ref="G578:H578" si="575">IF(OR(F578="",F578="Selecciona.."),"","Selecciona..")</f>
        <v/>
      </c>
      <c r="H578" s="13" t="str">
        <f t="shared" si="575"/>
        <v/>
      </c>
    </row>
    <row r="579">
      <c r="A579" s="14" t="str">
        <f t="shared" si="1"/>
        <v/>
      </c>
      <c r="B579" s="14" t="str">
        <f t="array" ref="B579">IF(OR(F579="",F579="Selecciona.."),"",XLOOKUP(F579,Productos!E:E,Productos!A:A,"",0,1))</f>
        <v/>
      </c>
      <c r="C579" s="14" t="str">
        <f t="array" ref="C579">IF(OR(G579="",G579="Selecciona.."),"",XLOOKUP(G579,Productos!$E:$E,Productos!$A:$A,"",0,1))</f>
        <v/>
      </c>
      <c r="D579" s="14" t="str">
        <f t="shared" si="2"/>
        <v/>
      </c>
      <c r="E579" s="14"/>
      <c r="F579" s="15" t="str">
        <f t="shared" si="4"/>
        <v/>
      </c>
      <c r="G579" s="15" t="str">
        <f t="shared" ref="G579:H579" si="576">IF(OR(F579="",F579="Selecciona.."),"","Selecciona..")</f>
        <v/>
      </c>
      <c r="H579" s="13" t="str">
        <f t="shared" si="576"/>
        <v/>
      </c>
    </row>
    <row r="580">
      <c r="A580" s="14" t="str">
        <f t="shared" si="1"/>
        <v/>
      </c>
      <c r="B580" s="14" t="str">
        <f t="array" ref="B580">IF(OR(F580="",F580="Selecciona.."),"",XLOOKUP(F580,Productos!E:E,Productos!A:A,"",0,1))</f>
        <v/>
      </c>
      <c r="C580" s="14" t="str">
        <f t="array" ref="C580">IF(OR(G580="",G580="Selecciona.."),"",XLOOKUP(G580,Productos!$E:$E,Productos!$A:$A,"",0,1))</f>
        <v/>
      </c>
      <c r="D580" s="14" t="str">
        <f t="shared" si="2"/>
        <v/>
      </c>
      <c r="E580" s="14"/>
      <c r="F580" s="15" t="str">
        <f t="shared" si="4"/>
        <v/>
      </c>
      <c r="G580" s="15" t="str">
        <f t="shared" ref="G580:H580" si="577">IF(OR(F580="",F580="Selecciona.."),"","Selecciona..")</f>
        <v/>
      </c>
      <c r="H580" s="13" t="str">
        <f t="shared" si="577"/>
        <v/>
      </c>
    </row>
    <row r="581">
      <c r="A581" s="14" t="str">
        <f t="shared" si="1"/>
        <v/>
      </c>
      <c r="B581" s="14" t="str">
        <f t="array" ref="B581">IF(OR(F581="",F581="Selecciona.."),"",XLOOKUP(F581,Productos!E:E,Productos!A:A,"",0,1))</f>
        <v/>
      </c>
      <c r="C581" s="14" t="str">
        <f t="array" ref="C581">IF(OR(G581="",G581="Selecciona.."),"",XLOOKUP(G581,Productos!$E:$E,Productos!$A:$A,"",0,1))</f>
        <v/>
      </c>
      <c r="D581" s="14" t="str">
        <f t="shared" si="2"/>
        <v/>
      </c>
      <c r="E581" s="14"/>
      <c r="F581" s="15" t="str">
        <f t="shared" si="4"/>
        <v/>
      </c>
      <c r="G581" s="15" t="str">
        <f t="shared" ref="G581:H581" si="578">IF(OR(F581="",F581="Selecciona.."),"","Selecciona..")</f>
        <v/>
      </c>
      <c r="H581" s="13" t="str">
        <f t="shared" si="578"/>
        <v/>
      </c>
    </row>
    <row r="582">
      <c r="A582" s="14" t="str">
        <f t="shared" si="1"/>
        <v/>
      </c>
      <c r="B582" s="14" t="str">
        <f t="array" ref="B582">IF(OR(F582="",F582="Selecciona.."),"",XLOOKUP(F582,Productos!E:E,Productos!A:A,"",0,1))</f>
        <v/>
      </c>
      <c r="C582" s="14" t="str">
        <f t="array" ref="C582">IF(OR(G582="",G582="Selecciona.."),"",XLOOKUP(G582,Productos!$E:$E,Productos!$A:$A,"",0,1))</f>
        <v/>
      </c>
      <c r="D582" s="14" t="str">
        <f t="shared" si="2"/>
        <v/>
      </c>
      <c r="E582" s="14"/>
      <c r="F582" s="15" t="str">
        <f t="shared" si="4"/>
        <v/>
      </c>
      <c r="G582" s="15" t="str">
        <f t="shared" ref="G582:H582" si="579">IF(OR(F582="",F582="Selecciona.."),"","Selecciona..")</f>
        <v/>
      </c>
      <c r="H582" s="13" t="str">
        <f t="shared" si="579"/>
        <v/>
      </c>
    </row>
    <row r="583">
      <c r="A583" s="14" t="str">
        <f t="shared" si="1"/>
        <v/>
      </c>
      <c r="B583" s="14" t="str">
        <f t="array" ref="B583">IF(OR(F583="",F583="Selecciona.."),"",XLOOKUP(F583,Productos!E:E,Productos!A:A,"",0,1))</f>
        <v/>
      </c>
      <c r="C583" s="14" t="str">
        <f t="array" ref="C583">IF(OR(G583="",G583="Selecciona.."),"",XLOOKUP(G583,Productos!$E:$E,Productos!$A:$A,"",0,1))</f>
        <v/>
      </c>
      <c r="D583" s="14" t="str">
        <f t="shared" si="2"/>
        <v/>
      </c>
      <c r="E583" s="14"/>
      <c r="F583" s="15" t="str">
        <f t="shared" si="4"/>
        <v/>
      </c>
      <c r="G583" s="15" t="str">
        <f t="shared" ref="G583:H583" si="580">IF(OR(F583="",F583="Selecciona.."),"","Selecciona..")</f>
        <v/>
      </c>
      <c r="H583" s="13" t="str">
        <f t="shared" si="580"/>
        <v/>
      </c>
    </row>
    <row r="584">
      <c r="A584" s="14" t="str">
        <f t="shared" si="1"/>
        <v/>
      </c>
      <c r="B584" s="14" t="str">
        <f t="array" ref="B584">IF(OR(F584="",F584="Selecciona.."),"",XLOOKUP(F584,Productos!E:E,Productos!A:A,"",0,1))</f>
        <v/>
      </c>
      <c r="C584" s="14" t="str">
        <f t="array" ref="C584">IF(OR(G584="",G584="Selecciona.."),"",XLOOKUP(G584,Productos!$E:$E,Productos!$A:$A,"",0,1))</f>
        <v/>
      </c>
      <c r="D584" s="14" t="str">
        <f t="shared" si="2"/>
        <v/>
      </c>
      <c r="E584" s="14"/>
      <c r="F584" s="15" t="str">
        <f t="shared" si="4"/>
        <v/>
      </c>
      <c r="G584" s="15" t="str">
        <f t="shared" ref="G584:H584" si="581">IF(OR(F584="",F584="Selecciona.."),"","Selecciona..")</f>
        <v/>
      </c>
      <c r="H584" s="13" t="str">
        <f t="shared" si="581"/>
        <v/>
      </c>
    </row>
    <row r="585">
      <c r="A585" s="14" t="str">
        <f t="shared" si="1"/>
        <v/>
      </c>
      <c r="B585" s="14" t="str">
        <f t="array" ref="B585">IF(OR(F585="",F585="Selecciona.."),"",XLOOKUP(F585,Productos!E:E,Productos!A:A,"",0,1))</f>
        <v/>
      </c>
      <c r="C585" s="14" t="str">
        <f t="array" ref="C585">IF(OR(G585="",G585="Selecciona.."),"",XLOOKUP(G585,Productos!$E:$E,Productos!$A:$A,"",0,1))</f>
        <v/>
      </c>
      <c r="D585" s="14" t="str">
        <f t="shared" si="2"/>
        <v/>
      </c>
      <c r="E585" s="14"/>
      <c r="F585" s="15" t="str">
        <f t="shared" si="4"/>
        <v/>
      </c>
      <c r="G585" s="15" t="str">
        <f t="shared" ref="G585:H585" si="582">IF(OR(F585="",F585="Selecciona.."),"","Selecciona..")</f>
        <v/>
      </c>
      <c r="H585" s="13" t="str">
        <f t="shared" si="582"/>
        <v/>
      </c>
    </row>
    <row r="586">
      <c r="A586" s="14" t="str">
        <f t="shared" si="1"/>
        <v/>
      </c>
      <c r="B586" s="14" t="str">
        <f t="array" ref="B586">IF(OR(F586="",F586="Selecciona.."),"",XLOOKUP(F586,Productos!E:E,Productos!A:A,"",0,1))</f>
        <v/>
      </c>
      <c r="C586" s="14" t="str">
        <f t="array" ref="C586">IF(OR(G586="",G586="Selecciona.."),"",XLOOKUP(G586,Productos!$E:$E,Productos!$A:$A,"",0,1))</f>
        <v/>
      </c>
      <c r="D586" s="14" t="str">
        <f t="shared" si="2"/>
        <v/>
      </c>
      <c r="E586" s="14"/>
      <c r="F586" s="15" t="str">
        <f t="shared" si="4"/>
        <v/>
      </c>
      <c r="G586" s="15" t="str">
        <f t="shared" ref="G586:H586" si="583">IF(OR(F586="",F586="Selecciona.."),"","Selecciona..")</f>
        <v/>
      </c>
      <c r="H586" s="13" t="str">
        <f t="shared" si="583"/>
        <v/>
      </c>
    </row>
    <row r="587">
      <c r="A587" s="14" t="str">
        <f t="shared" si="1"/>
        <v/>
      </c>
      <c r="B587" s="14" t="str">
        <f t="array" ref="B587">IF(OR(F587="",F587="Selecciona.."),"",XLOOKUP(F587,Productos!E:E,Productos!A:A,"",0,1))</f>
        <v/>
      </c>
      <c r="C587" s="14" t="str">
        <f t="array" ref="C587">IF(OR(G587="",G587="Selecciona.."),"",XLOOKUP(G587,Productos!$E:$E,Productos!$A:$A,"",0,1))</f>
        <v/>
      </c>
      <c r="D587" s="14" t="str">
        <f t="shared" si="2"/>
        <v/>
      </c>
      <c r="E587" s="14"/>
      <c r="F587" s="15" t="str">
        <f t="shared" si="4"/>
        <v/>
      </c>
      <c r="G587" s="15" t="str">
        <f t="shared" ref="G587:H587" si="584">IF(OR(F587="",F587="Selecciona.."),"","Selecciona..")</f>
        <v/>
      </c>
      <c r="H587" s="13" t="str">
        <f t="shared" si="584"/>
        <v/>
      </c>
    </row>
    <row r="588">
      <c r="A588" s="14" t="str">
        <f t="shared" si="1"/>
        <v/>
      </c>
      <c r="B588" s="14" t="str">
        <f t="array" ref="B588">IF(OR(F588="",F588="Selecciona.."),"",XLOOKUP(F588,Productos!E:E,Productos!A:A,"",0,1))</f>
        <v/>
      </c>
      <c r="C588" s="14" t="str">
        <f t="array" ref="C588">IF(OR(G588="",G588="Selecciona.."),"",XLOOKUP(G588,Productos!$E:$E,Productos!$A:$A,"",0,1))</f>
        <v/>
      </c>
      <c r="D588" s="14" t="str">
        <f t="shared" si="2"/>
        <v/>
      </c>
      <c r="E588" s="14"/>
      <c r="F588" s="15" t="str">
        <f t="shared" si="4"/>
        <v/>
      </c>
      <c r="G588" s="15" t="str">
        <f t="shared" ref="G588:H588" si="585">IF(OR(F588="",F588="Selecciona.."),"","Selecciona..")</f>
        <v/>
      </c>
      <c r="H588" s="13" t="str">
        <f t="shared" si="585"/>
        <v/>
      </c>
    </row>
    <row r="589">
      <c r="A589" s="14" t="str">
        <f t="shared" si="1"/>
        <v/>
      </c>
      <c r="B589" s="14" t="str">
        <f t="array" ref="B589">IF(OR(F589="",F589="Selecciona.."),"",XLOOKUP(F589,Productos!E:E,Productos!A:A,"",0,1))</f>
        <v/>
      </c>
      <c r="C589" s="14" t="str">
        <f t="array" ref="C589">IF(OR(G589="",G589="Selecciona.."),"",XLOOKUP(G589,Productos!$E:$E,Productos!$A:$A,"",0,1))</f>
        <v/>
      </c>
      <c r="D589" s="14" t="str">
        <f t="shared" si="2"/>
        <v/>
      </c>
      <c r="E589" s="14"/>
      <c r="F589" s="15" t="str">
        <f t="shared" si="4"/>
        <v/>
      </c>
      <c r="G589" s="15" t="str">
        <f t="shared" ref="G589:H589" si="586">IF(OR(F589="",F589="Selecciona.."),"","Selecciona..")</f>
        <v/>
      </c>
      <c r="H589" s="13" t="str">
        <f t="shared" si="586"/>
        <v/>
      </c>
    </row>
    <row r="590">
      <c r="A590" s="14" t="str">
        <f t="shared" si="1"/>
        <v/>
      </c>
      <c r="B590" s="14" t="str">
        <f t="array" ref="B590">IF(OR(F590="",F590="Selecciona.."),"",XLOOKUP(F590,Productos!E:E,Productos!A:A,"",0,1))</f>
        <v/>
      </c>
      <c r="C590" s="14" t="str">
        <f t="array" ref="C590">IF(OR(G590="",G590="Selecciona.."),"",XLOOKUP(G590,Productos!$E:$E,Productos!$A:$A,"",0,1))</f>
        <v/>
      </c>
      <c r="D590" s="14" t="str">
        <f t="shared" si="2"/>
        <v/>
      </c>
      <c r="E590" s="14"/>
      <c r="F590" s="15" t="str">
        <f t="shared" si="4"/>
        <v/>
      </c>
      <c r="G590" s="15" t="str">
        <f t="shared" ref="G590:H590" si="587">IF(OR(F590="",F590="Selecciona.."),"","Selecciona..")</f>
        <v/>
      </c>
      <c r="H590" s="13" t="str">
        <f t="shared" si="587"/>
        <v/>
      </c>
    </row>
    <row r="591">
      <c r="A591" s="14" t="str">
        <f t="shared" si="1"/>
        <v/>
      </c>
      <c r="B591" s="14" t="str">
        <f t="array" ref="B591">IF(OR(F591="",F591="Selecciona.."),"",XLOOKUP(F591,Productos!E:E,Productos!A:A,"",0,1))</f>
        <v/>
      </c>
      <c r="C591" s="14" t="str">
        <f t="array" ref="C591">IF(OR(G591="",G591="Selecciona.."),"",XLOOKUP(G591,Productos!$E:$E,Productos!$A:$A,"",0,1))</f>
        <v/>
      </c>
      <c r="D591" s="14" t="str">
        <f t="shared" si="2"/>
        <v/>
      </c>
      <c r="E591" s="14"/>
      <c r="F591" s="15" t="str">
        <f t="shared" si="4"/>
        <v/>
      </c>
      <c r="G591" s="15" t="str">
        <f t="shared" ref="G591:H591" si="588">IF(OR(F591="",F591="Selecciona.."),"","Selecciona..")</f>
        <v/>
      </c>
      <c r="H591" s="13" t="str">
        <f t="shared" si="588"/>
        <v/>
      </c>
    </row>
    <row r="592">
      <c r="A592" s="14" t="str">
        <f t="shared" si="1"/>
        <v/>
      </c>
      <c r="B592" s="14" t="str">
        <f t="array" ref="B592">IF(OR(F592="",F592="Selecciona.."),"",XLOOKUP(F592,Productos!E:E,Productos!A:A,"",0,1))</f>
        <v/>
      </c>
      <c r="C592" s="14" t="str">
        <f t="array" ref="C592">IF(OR(G592="",G592="Selecciona.."),"",XLOOKUP(G592,Productos!$E:$E,Productos!$A:$A,"",0,1))</f>
        <v/>
      </c>
      <c r="D592" s="14" t="str">
        <f t="shared" si="2"/>
        <v/>
      </c>
      <c r="E592" s="14"/>
      <c r="F592" s="15" t="str">
        <f t="shared" si="4"/>
        <v/>
      </c>
      <c r="G592" s="15" t="str">
        <f t="shared" ref="G592:H592" si="589">IF(OR(F592="",F592="Selecciona.."),"","Selecciona..")</f>
        <v/>
      </c>
      <c r="H592" s="13" t="str">
        <f t="shared" si="589"/>
        <v/>
      </c>
    </row>
    <row r="593">
      <c r="A593" s="14" t="str">
        <f t="shared" si="1"/>
        <v/>
      </c>
      <c r="B593" s="14" t="str">
        <f t="array" ref="B593">IF(OR(F593="",F593="Selecciona.."),"",XLOOKUP(F593,Productos!E:E,Productos!A:A,"",0,1))</f>
        <v/>
      </c>
      <c r="C593" s="14" t="str">
        <f t="array" ref="C593">IF(OR(G593="",G593="Selecciona.."),"",XLOOKUP(G593,Productos!$E:$E,Productos!$A:$A,"",0,1))</f>
        <v/>
      </c>
      <c r="D593" s="14" t="str">
        <f t="shared" si="2"/>
        <v/>
      </c>
      <c r="E593" s="14"/>
      <c r="F593" s="15" t="str">
        <f t="shared" si="4"/>
        <v/>
      </c>
      <c r="G593" s="15" t="str">
        <f t="shared" ref="G593:H593" si="590">IF(OR(F593="",F593="Selecciona.."),"","Selecciona..")</f>
        <v/>
      </c>
      <c r="H593" s="13" t="str">
        <f t="shared" si="590"/>
        <v/>
      </c>
    </row>
    <row r="594">
      <c r="A594" s="14" t="str">
        <f t="shared" si="1"/>
        <v/>
      </c>
      <c r="B594" s="14" t="str">
        <f t="array" ref="B594">IF(OR(F594="",F594="Selecciona.."),"",XLOOKUP(F594,Productos!E:E,Productos!A:A,"",0,1))</f>
        <v/>
      </c>
      <c r="C594" s="14" t="str">
        <f t="array" ref="C594">IF(OR(G594="",G594="Selecciona.."),"",XLOOKUP(G594,Productos!$E:$E,Productos!$A:$A,"",0,1))</f>
        <v/>
      </c>
      <c r="D594" s="14" t="str">
        <f t="shared" si="2"/>
        <v/>
      </c>
      <c r="E594" s="14"/>
      <c r="F594" s="15" t="str">
        <f t="shared" si="4"/>
        <v/>
      </c>
      <c r="G594" s="15" t="str">
        <f t="shared" ref="G594:H594" si="591">IF(OR(F594="",F594="Selecciona.."),"","Selecciona..")</f>
        <v/>
      </c>
      <c r="H594" s="13" t="str">
        <f t="shared" si="591"/>
        <v/>
      </c>
    </row>
    <row r="595">
      <c r="A595" s="14" t="str">
        <f t="shared" si="1"/>
        <v/>
      </c>
      <c r="B595" s="14" t="str">
        <f t="array" ref="B595">IF(OR(F595="",F595="Selecciona.."),"",XLOOKUP(F595,Productos!E:E,Productos!A:A,"",0,1))</f>
        <v/>
      </c>
      <c r="C595" s="14" t="str">
        <f t="array" ref="C595">IF(OR(G595="",G595="Selecciona.."),"",XLOOKUP(G595,Productos!$E:$E,Productos!$A:$A,"",0,1))</f>
        <v/>
      </c>
      <c r="D595" s="14" t="str">
        <f t="shared" si="2"/>
        <v/>
      </c>
      <c r="E595" s="14"/>
      <c r="F595" s="15" t="str">
        <f t="shared" si="4"/>
        <v/>
      </c>
      <c r="G595" s="15" t="str">
        <f t="shared" ref="G595:H595" si="592">IF(OR(F595="",F595="Selecciona.."),"","Selecciona..")</f>
        <v/>
      </c>
      <c r="H595" s="13" t="str">
        <f t="shared" si="592"/>
        <v/>
      </c>
    </row>
    <row r="596">
      <c r="A596" s="14" t="str">
        <f t="shared" si="1"/>
        <v/>
      </c>
      <c r="B596" s="14" t="str">
        <f t="array" ref="B596">IF(OR(F596="",F596="Selecciona.."),"",XLOOKUP(F596,Productos!E:E,Productos!A:A,"",0,1))</f>
        <v/>
      </c>
      <c r="C596" s="14" t="str">
        <f t="array" ref="C596">IF(OR(G596="",G596="Selecciona.."),"",XLOOKUP(G596,Productos!$E:$E,Productos!$A:$A,"",0,1))</f>
        <v/>
      </c>
      <c r="D596" s="14" t="str">
        <f t="shared" si="2"/>
        <v/>
      </c>
      <c r="E596" s="14"/>
      <c r="F596" s="15" t="str">
        <f t="shared" si="4"/>
        <v/>
      </c>
      <c r="G596" s="15" t="str">
        <f t="shared" ref="G596:H596" si="593">IF(OR(F596="",F596="Selecciona.."),"","Selecciona..")</f>
        <v/>
      </c>
      <c r="H596" s="13" t="str">
        <f t="shared" si="593"/>
        <v/>
      </c>
    </row>
    <row r="597">
      <c r="A597" s="14" t="str">
        <f t="shared" si="1"/>
        <v/>
      </c>
      <c r="B597" s="14" t="str">
        <f t="array" ref="B597">IF(OR(F597="",F597="Selecciona.."),"",XLOOKUP(F597,Productos!E:E,Productos!A:A,"",0,1))</f>
        <v/>
      </c>
      <c r="C597" s="14" t="str">
        <f t="array" ref="C597">IF(OR(G597="",G597="Selecciona.."),"",XLOOKUP(G597,Productos!$E:$E,Productos!$A:$A,"",0,1))</f>
        <v/>
      </c>
      <c r="D597" s="14" t="str">
        <f t="shared" si="2"/>
        <v/>
      </c>
      <c r="E597" s="14"/>
      <c r="F597" s="15" t="str">
        <f t="shared" si="4"/>
        <v/>
      </c>
      <c r="G597" s="15" t="str">
        <f t="shared" ref="G597:H597" si="594">IF(OR(F597="",F597="Selecciona.."),"","Selecciona..")</f>
        <v/>
      </c>
      <c r="H597" s="13" t="str">
        <f t="shared" si="594"/>
        <v/>
      </c>
    </row>
    <row r="598">
      <c r="A598" s="14" t="str">
        <f t="shared" si="1"/>
        <v/>
      </c>
      <c r="B598" s="14" t="str">
        <f t="array" ref="B598">IF(OR(F598="",F598="Selecciona.."),"",XLOOKUP(F598,Productos!E:E,Productos!A:A,"",0,1))</f>
        <v/>
      </c>
      <c r="C598" s="14" t="str">
        <f t="array" ref="C598">IF(OR(G598="",G598="Selecciona.."),"",XLOOKUP(G598,Productos!$E:$E,Productos!$A:$A,"",0,1))</f>
        <v/>
      </c>
      <c r="D598" s="14" t="str">
        <f t="shared" si="2"/>
        <v/>
      </c>
      <c r="E598" s="14"/>
      <c r="F598" s="15" t="str">
        <f t="shared" si="4"/>
        <v/>
      </c>
      <c r="G598" s="15" t="str">
        <f t="shared" ref="G598:H598" si="595">IF(OR(F598="",F598="Selecciona.."),"","Selecciona..")</f>
        <v/>
      </c>
      <c r="H598" s="13" t="str">
        <f t="shared" si="595"/>
        <v/>
      </c>
    </row>
    <row r="599">
      <c r="A599" s="14" t="str">
        <f t="shared" si="1"/>
        <v/>
      </c>
      <c r="B599" s="14" t="str">
        <f t="array" ref="B599">IF(OR(F599="",F599="Selecciona.."),"",XLOOKUP(F599,Productos!E:E,Productos!A:A,"",0,1))</f>
        <v/>
      </c>
      <c r="C599" s="14" t="str">
        <f t="array" ref="C599">IF(OR(G599="",G599="Selecciona.."),"",XLOOKUP(G599,Productos!$E:$E,Productos!$A:$A,"",0,1))</f>
        <v/>
      </c>
      <c r="D599" s="14" t="str">
        <f t="shared" si="2"/>
        <v/>
      </c>
      <c r="E599" s="14"/>
      <c r="F599" s="15" t="str">
        <f t="shared" si="4"/>
        <v/>
      </c>
      <c r="G599" s="15" t="str">
        <f t="shared" ref="G599:H599" si="596">IF(OR(F599="",F599="Selecciona.."),"","Selecciona..")</f>
        <v/>
      </c>
      <c r="H599" s="13" t="str">
        <f t="shared" si="596"/>
        <v/>
      </c>
    </row>
    <row r="600">
      <c r="A600" s="14" t="str">
        <f t="shared" si="1"/>
        <v/>
      </c>
      <c r="B600" s="14" t="str">
        <f t="array" ref="B600">IF(OR(F600="",F600="Selecciona.."),"",XLOOKUP(F600,Productos!E:E,Productos!A:A,"",0,1))</f>
        <v/>
      </c>
      <c r="C600" s="14" t="str">
        <f t="array" ref="C600">IF(OR(G600="",G600="Selecciona.."),"",XLOOKUP(G600,Productos!$E:$E,Productos!$A:$A,"",0,1))</f>
        <v/>
      </c>
      <c r="D600" s="14" t="str">
        <f t="shared" si="2"/>
        <v/>
      </c>
      <c r="E600" s="14"/>
      <c r="F600" s="15" t="str">
        <f t="shared" si="4"/>
        <v/>
      </c>
      <c r="G600" s="15" t="str">
        <f t="shared" ref="G600:H600" si="597">IF(OR(F600="",F600="Selecciona.."),"","Selecciona..")</f>
        <v/>
      </c>
      <c r="H600" s="13" t="str">
        <f t="shared" si="597"/>
        <v/>
      </c>
    </row>
    <row r="601">
      <c r="A601" s="14" t="str">
        <f t="shared" si="1"/>
        <v/>
      </c>
      <c r="B601" s="14" t="str">
        <f t="array" ref="B601">IF(OR(F601="",F601="Selecciona.."),"",XLOOKUP(F601,Productos!E:E,Productos!A:A,"",0,1))</f>
        <v/>
      </c>
      <c r="C601" s="14" t="str">
        <f t="array" ref="C601">IF(OR(G601="",G601="Selecciona.."),"",XLOOKUP(G601,Productos!$E:$E,Productos!$A:$A,"",0,1))</f>
        <v/>
      </c>
      <c r="D601" s="14" t="str">
        <f t="shared" si="2"/>
        <v/>
      </c>
      <c r="E601" s="14"/>
      <c r="F601" s="15" t="str">
        <f t="shared" si="4"/>
        <v/>
      </c>
      <c r="G601" s="15" t="str">
        <f t="shared" ref="G601:H601" si="598">IF(OR(F601="",F601="Selecciona.."),"","Selecciona..")</f>
        <v/>
      </c>
      <c r="H601" s="13" t="str">
        <f t="shared" si="598"/>
        <v/>
      </c>
    </row>
    <row r="602">
      <c r="A602" s="14" t="str">
        <f t="shared" si="1"/>
        <v/>
      </c>
      <c r="B602" s="14" t="str">
        <f t="array" ref="B602">IF(OR(F602="",F602="Selecciona.."),"",XLOOKUP(F602,Productos!E:E,Productos!A:A,"",0,1))</f>
        <v/>
      </c>
      <c r="C602" s="14" t="str">
        <f t="array" ref="C602">IF(OR(G602="",G602="Selecciona.."),"",XLOOKUP(G602,Productos!$E:$E,Productos!$A:$A,"",0,1))</f>
        <v/>
      </c>
      <c r="D602" s="14" t="str">
        <f t="shared" si="2"/>
        <v/>
      </c>
      <c r="E602" s="14"/>
      <c r="F602" s="15" t="str">
        <f t="shared" si="4"/>
        <v/>
      </c>
      <c r="G602" s="15" t="str">
        <f t="shared" ref="G602:H602" si="599">IF(OR(F602="",F602="Selecciona.."),"","Selecciona..")</f>
        <v/>
      </c>
      <c r="H602" s="13" t="str">
        <f t="shared" si="599"/>
        <v/>
      </c>
    </row>
    <row r="603">
      <c r="A603" s="14" t="str">
        <f t="shared" si="1"/>
        <v/>
      </c>
      <c r="B603" s="14" t="str">
        <f t="array" ref="B603">IF(OR(F603="",F603="Selecciona.."),"",XLOOKUP(F603,Productos!E:E,Productos!A:A,"",0,1))</f>
        <v/>
      </c>
      <c r="C603" s="14" t="str">
        <f t="array" ref="C603">IF(OR(G603="",G603="Selecciona.."),"",XLOOKUP(G603,Productos!$E:$E,Productos!$A:$A,"",0,1))</f>
        <v/>
      </c>
      <c r="D603" s="14" t="str">
        <f t="shared" si="2"/>
        <v/>
      </c>
      <c r="E603" s="14"/>
      <c r="F603" s="15" t="str">
        <f t="shared" si="4"/>
        <v/>
      </c>
      <c r="G603" s="15" t="str">
        <f t="shared" ref="G603:H603" si="600">IF(OR(F603="",F603="Selecciona.."),"","Selecciona..")</f>
        <v/>
      </c>
      <c r="H603" s="13" t="str">
        <f t="shared" si="600"/>
        <v/>
      </c>
    </row>
    <row r="604">
      <c r="A604" s="14" t="str">
        <f t="shared" si="1"/>
        <v/>
      </c>
      <c r="B604" s="14" t="str">
        <f t="array" ref="B604">IF(OR(F604="",F604="Selecciona.."),"",XLOOKUP(F604,Productos!E:E,Productos!A:A,"",0,1))</f>
        <v/>
      </c>
      <c r="C604" s="14" t="str">
        <f t="array" ref="C604">IF(OR(G604="",G604="Selecciona.."),"",XLOOKUP(G604,Productos!$E:$E,Productos!$A:$A,"",0,1))</f>
        <v/>
      </c>
      <c r="D604" s="14" t="str">
        <f t="shared" si="2"/>
        <v/>
      </c>
      <c r="E604" s="14"/>
      <c r="F604" s="15" t="str">
        <f t="shared" si="4"/>
        <v/>
      </c>
      <c r="G604" s="15" t="str">
        <f t="shared" ref="G604:H604" si="601">IF(OR(F604="",F604="Selecciona.."),"","Selecciona..")</f>
        <v/>
      </c>
      <c r="H604" s="13" t="str">
        <f t="shared" si="601"/>
        <v/>
      </c>
    </row>
    <row r="605">
      <c r="A605" s="14" t="str">
        <f t="shared" si="1"/>
        <v/>
      </c>
      <c r="B605" s="14" t="str">
        <f t="array" ref="B605">IF(OR(F605="",F605="Selecciona.."),"",XLOOKUP(F605,Productos!E:E,Productos!A:A,"",0,1))</f>
        <v/>
      </c>
      <c r="C605" s="14" t="str">
        <f t="array" ref="C605">IF(OR(G605="",G605="Selecciona.."),"",XLOOKUP(G605,Productos!$E:$E,Productos!$A:$A,"",0,1))</f>
        <v/>
      </c>
      <c r="D605" s="14" t="str">
        <f t="shared" si="2"/>
        <v/>
      </c>
      <c r="E605" s="14"/>
      <c r="F605" s="15" t="str">
        <f t="shared" si="4"/>
        <v/>
      </c>
      <c r="G605" s="15" t="str">
        <f t="shared" ref="G605:H605" si="602">IF(OR(F605="",F605="Selecciona.."),"","Selecciona..")</f>
        <v/>
      </c>
      <c r="H605" s="13" t="str">
        <f t="shared" si="602"/>
        <v/>
      </c>
    </row>
    <row r="606">
      <c r="A606" s="14" t="str">
        <f t="shared" si="1"/>
        <v/>
      </c>
      <c r="B606" s="14" t="str">
        <f t="array" ref="B606">IF(OR(F606="",F606="Selecciona.."),"",XLOOKUP(F606,Productos!E:E,Productos!A:A,"",0,1))</f>
        <v/>
      </c>
      <c r="C606" s="14" t="str">
        <f t="array" ref="C606">IF(OR(G606="",G606="Selecciona.."),"",XLOOKUP(G606,Productos!$E:$E,Productos!$A:$A,"",0,1))</f>
        <v/>
      </c>
      <c r="D606" s="14" t="str">
        <f t="shared" si="2"/>
        <v/>
      </c>
      <c r="E606" s="14"/>
      <c r="F606" s="15" t="str">
        <f t="shared" si="4"/>
        <v/>
      </c>
      <c r="G606" s="15" t="str">
        <f t="shared" ref="G606:H606" si="603">IF(OR(F606="",F606="Selecciona.."),"","Selecciona..")</f>
        <v/>
      </c>
      <c r="H606" s="13" t="str">
        <f t="shared" si="603"/>
        <v/>
      </c>
    </row>
    <row r="607">
      <c r="A607" s="14" t="str">
        <f t="shared" si="1"/>
        <v/>
      </c>
      <c r="B607" s="14" t="str">
        <f t="array" ref="B607">IF(OR(F607="",F607="Selecciona.."),"",XLOOKUP(F607,Productos!E:E,Productos!A:A,"",0,1))</f>
        <v/>
      </c>
      <c r="C607" s="14" t="str">
        <f t="array" ref="C607">IF(OR(G607="",G607="Selecciona.."),"",XLOOKUP(G607,Productos!$E:$E,Productos!$A:$A,"",0,1))</f>
        <v/>
      </c>
      <c r="D607" s="14" t="str">
        <f t="shared" si="2"/>
        <v/>
      </c>
      <c r="E607" s="14"/>
      <c r="F607" s="15" t="str">
        <f t="shared" si="4"/>
        <v/>
      </c>
      <c r="G607" s="15" t="str">
        <f t="shared" ref="G607:H607" si="604">IF(OR(F607="",F607="Selecciona.."),"","Selecciona..")</f>
        <v/>
      </c>
      <c r="H607" s="13" t="str">
        <f t="shared" si="604"/>
        <v/>
      </c>
    </row>
    <row r="608">
      <c r="A608" s="14" t="str">
        <f t="shared" si="1"/>
        <v/>
      </c>
      <c r="B608" s="14" t="str">
        <f t="array" ref="B608">IF(OR(F608="",F608="Selecciona.."),"",XLOOKUP(F608,Productos!E:E,Productos!A:A,"",0,1))</f>
        <v/>
      </c>
      <c r="C608" s="14" t="str">
        <f t="array" ref="C608">IF(OR(G608="",G608="Selecciona.."),"",XLOOKUP(G608,Productos!$E:$E,Productos!$A:$A,"",0,1))</f>
        <v/>
      </c>
      <c r="D608" s="14" t="str">
        <f t="shared" si="2"/>
        <v/>
      </c>
      <c r="E608" s="14"/>
      <c r="F608" s="15" t="str">
        <f t="shared" si="4"/>
        <v/>
      </c>
      <c r="G608" s="15" t="str">
        <f t="shared" ref="G608:H608" si="605">IF(OR(F608="",F608="Selecciona.."),"","Selecciona..")</f>
        <v/>
      </c>
      <c r="H608" s="13" t="str">
        <f t="shared" si="605"/>
        <v/>
      </c>
    </row>
    <row r="609">
      <c r="A609" s="14" t="str">
        <f t="shared" si="1"/>
        <v/>
      </c>
      <c r="B609" s="14" t="str">
        <f t="array" ref="B609">IF(OR(F609="",F609="Selecciona.."),"",XLOOKUP(F609,Productos!E:E,Productos!A:A,"",0,1))</f>
        <v/>
      </c>
      <c r="C609" s="14" t="str">
        <f t="array" ref="C609">IF(OR(G609="",G609="Selecciona.."),"",XLOOKUP(G609,Productos!$E:$E,Productos!$A:$A,"",0,1))</f>
        <v/>
      </c>
      <c r="D609" s="14" t="str">
        <f t="shared" si="2"/>
        <v/>
      </c>
      <c r="E609" s="14"/>
      <c r="F609" s="15" t="str">
        <f t="shared" si="4"/>
        <v/>
      </c>
      <c r="G609" s="15" t="str">
        <f t="shared" ref="G609:H609" si="606">IF(OR(F609="",F609="Selecciona.."),"","Selecciona..")</f>
        <v/>
      </c>
      <c r="H609" s="13" t="str">
        <f t="shared" si="606"/>
        <v/>
      </c>
    </row>
    <row r="610">
      <c r="A610" s="14" t="str">
        <f t="shared" si="1"/>
        <v/>
      </c>
      <c r="B610" s="14" t="str">
        <f t="array" ref="B610">IF(OR(F610="",F610="Selecciona.."),"",XLOOKUP(F610,Productos!E:E,Productos!A:A,"",0,1))</f>
        <v/>
      </c>
      <c r="C610" s="14" t="str">
        <f t="array" ref="C610">IF(OR(G610="",G610="Selecciona.."),"",XLOOKUP(G610,Productos!$E:$E,Productos!$A:$A,"",0,1))</f>
        <v/>
      </c>
      <c r="D610" s="14" t="str">
        <f t="shared" si="2"/>
        <v/>
      </c>
      <c r="E610" s="14"/>
      <c r="F610" s="15" t="str">
        <f t="shared" si="4"/>
        <v/>
      </c>
      <c r="G610" s="15" t="str">
        <f t="shared" ref="G610:H610" si="607">IF(OR(F610="",F610="Selecciona.."),"","Selecciona..")</f>
        <v/>
      </c>
      <c r="H610" s="13" t="str">
        <f t="shared" si="607"/>
        <v/>
      </c>
    </row>
    <row r="611">
      <c r="A611" s="14" t="str">
        <f t="shared" si="1"/>
        <v/>
      </c>
      <c r="B611" s="14" t="str">
        <f t="array" ref="B611">IF(OR(F611="",F611="Selecciona.."),"",XLOOKUP(F611,Productos!E:E,Productos!A:A,"",0,1))</f>
        <v/>
      </c>
      <c r="C611" s="14" t="str">
        <f t="array" ref="C611">IF(OR(G611="",G611="Selecciona.."),"",XLOOKUP(G611,Productos!$E:$E,Productos!$A:$A,"",0,1))</f>
        <v/>
      </c>
      <c r="D611" s="14" t="str">
        <f t="shared" si="2"/>
        <v/>
      </c>
      <c r="E611" s="14"/>
      <c r="F611" s="15" t="str">
        <f t="shared" si="4"/>
        <v/>
      </c>
      <c r="G611" s="15" t="str">
        <f t="shared" ref="G611:H611" si="608">IF(OR(F611="",F611="Selecciona.."),"","Selecciona..")</f>
        <v/>
      </c>
      <c r="H611" s="13" t="str">
        <f t="shared" si="608"/>
        <v/>
      </c>
    </row>
    <row r="612">
      <c r="A612" s="14" t="str">
        <f t="shared" si="1"/>
        <v/>
      </c>
      <c r="B612" s="14" t="str">
        <f t="array" ref="B612">IF(OR(F612="",F612="Selecciona.."),"",XLOOKUP(F612,Productos!E:E,Productos!A:A,"",0,1))</f>
        <v/>
      </c>
      <c r="C612" s="14" t="str">
        <f t="array" ref="C612">IF(OR(G612="",G612="Selecciona.."),"",XLOOKUP(G612,Productos!$E:$E,Productos!$A:$A,"",0,1))</f>
        <v/>
      </c>
      <c r="D612" s="14" t="str">
        <f t="shared" si="2"/>
        <v/>
      </c>
      <c r="E612" s="14"/>
      <c r="F612" s="15" t="str">
        <f t="shared" si="4"/>
        <v/>
      </c>
      <c r="G612" s="15" t="str">
        <f t="shared" ref="G612:H612" si="609">IF(OR(F612="",F612="Selecciona.."),"","Selecciona..")</f>
        <v/>
      </c>
      <c r="H612" s="13" t="str">
        <f t="shared" si="609"/>
        <v/>
      </c>
    </row>
    <row r="613">
      <c r="A613" s="14" t="str">
        <f t="shared" si="1"/>
        <v/>
      </c>
      <c r="B613" s="14" t="str">
        <f t="array" ref="B613">IF(OR(F613="",F613="Selecciona.."),"",XLOOKUP(F613,Productos!E:E,Productos!A:A,"",0,1))</f>
        <v/>
      </c>
      <c r="C613" s="14" t="str">
        <f t="array" ref="C613">IF(OR(G613="",G613="Selecciona.."),"",XLOOKUP(G613,Productos!$E:$E,Productos!$A:$A,"",0,1))</f>
        <v/>
      </c>
      <c r="D613" s="14" t="str">
        <f t="shared" si="2"/>
        <v/>
      </c>
      <c r="E613" s="14"/>
      <c r="F613" s="15" t="str">
        <f t="shared" si="4"/>
        <v/>
      </c>
      <c r="G613" s="15" t="str">
        <f t="shared" ref="G613:H613" si="610">IF(OR(F613="",F613="Selecciona.."),"","Selecciona..")</f>
        <v/>
      </c>
      <c r="H613" s="13" t="str">
        <f t="shared" si="610"/>
        <v/>
      </c>
    </row>
    <row r="614">
      <c r="A614" s="14" t="str">
        <f t="shared" si="1"/>
        <v/>
      </c>
      <c r="B614" s="14" t="str">
        <f t="array" ref="B614">IF(OR(F614="",F614="Selecciona.."),"",XLOOKUP(F614,Productos!E:E,Productos!A:A,"",0,1))</f>
        <v/>
      </c>
      <c r="C614" s="14" t="str">
        <f t="array" ref="C614">IF(OR(G614="",G614="Selecciona.."),"",XLOOKUP(G614,Productos!$E:$E,Productos!$A:$A,"",0,1))</f>
        <v/>
      </c>
      <c r="D614" s="14" t="str">
        <f t="shared" si="2"/>
        <v/>
      </c>
      <c r="E614" s="14"/>
      <c r="F614" s="15" t="str">
        <f t="shared" si="4"/>
        <v/>
      </c>
      <c r="G614" s="15" t="str">
        <f t="shared" ref="G614:H614" si="611">IF(OR(F614="",F614="Selecciona.."),"","Selecciona..")</f>
        <v/>
      </c>
      <c r="H614" s="13" t="str">
        <f t="shared" si="611"/>
        <v/>
      </c>
    </row>
    <row r="615">
      <c r="A615" s="14" t="str">
        <f t="shared" si="1"/>
        <v/>
      </c>
      <c r="B615" s="14" t="str">
        <f t="array" ref="B615">IF(OR(F615="",F615="Selecciona.."),"",XLOOKUP(F615,Productos!E:E,Productos!A:A,"",0,1))</f>
        <v/>
      </c>
      <c r="C615" s="14" t="str">
        <f t="array" ref="C615">IF(OR(G615="",G615="Selecciona.."),"",XLOOKUP(G615,Productos!$E:$E,Productos!$A:$A,"",0,1))</f>
        <v/>
      </c>
      <c r="D615" s="14" t="str">
        <f t="shared" si="2"/>
        <v/>
      </c>
      <c r="E615" s="14"/>
      <c r="F615" s="15" t="str">
        <f t="shared" si="4"/>
        <v/>
      </c>
      <c r="G615" s="15" t="str">
        <f t="shared" ref="G615:H615" si="612">IF(OR(F615="",F615="Selecciona.."),"","Selecciona..")</f>
        <v/>
      </c>
      <c r="H615" s="13" t="str">
        <f t="shared" si="612"/>
        <v/>
      </c>
    </row>
    <row r="616">
      <c r="A616" s="14" t="str">
        <f t="shared" si="1"/>
        <v/>
      </c>
      <c r="B616" s="14" t="str">
        <f t="array" ref="B616">IF(OR(F616="",F616="Selecciona.."),"",XLOOKUP(F616,Productos!E:E,Productos!A:A,"",0,1))</f>
        <v/>
      </c>
      <c r="C616" s="14" t="str">
        <f t="array" ref="C616">IF(OR(G616="",G616="Selecciona.."),"",XLOOKUP(G616,Productos!$E:$E,Productos!$A:$A,"",0,1))</f>
        <v/>
      </c>
      <c r="D616" s="14" t="str">
        <f t="shared" si="2"/>
        <v/>
      </c>
      <c r="E616" s="14"/>
      <c r="F616" s="15" t="str">
        <f t="shared" si="4"/>
        <v/>
      </c>
      <c r="G616" s="15" t="str">
        <f t="shared" ref="G616:H616" si="613">IF(OR(F616="",F616="Selecciona.."),"","Selecciona..")</f>
        <v/>
      </c>
      <c r="H616" s="13" t="str">
        <f t="shared" si="613"/>
        <v/>
      </c>
    </row>
    <row r="617">
      <c r="A617" s="14" t="str">
        <f t="shared" si="1"/>
        <v/>
      </c>
      <c r="B617" s="14" t="str">
        <f t="array" ref="B617">IF(OR(F617="",F617="Selecciona.."),"",XLOOKUP(F617,Productos!E:E,Productos!A:A,"",0,1))</f>
        <v/>
      </c>
      <c r="C617" s="14" t="str">
        <f t="array" ref="C617">IF(OR(G617="",G617="Selecciona.."),"",XLOOKUP(G617,Productos!$E:$E,Productos!$A:$A,"",0,1))</f>
        <v/>
      </c>
      <c r="D617" s="14" t="str">
        <f t="shared" si="2"/>
        <v/>
      </c>
      <c r="E617" s="14"/>
      <c r="F617" s="15" t="str">
        <f t="shared" si="4"/>
        <v/>
      </c>
      <c r="G617" s="15" t="str">
        <f t="shared" ref="G617:H617" si="614">IF(OR(F617="",F617="Selecciona.."),"","Selecciona..")</f>
        <v/>
      </c>
      <c r="H617" s="13" t="str">
        <f t="shared" si="614"/>
        <v/>
      </c>
    </row>
    <row r="618">
      <c r="A618" s="14" t="str">
        <f t="shared" si="1"/>
        <v/>
      </c>
      <c r="B618" s="14" t="str">
        <f t="array" ref="B618">IF(OR(F618="",F618="Selecciona.."),"",XLOOKUP(F618,Productos!E:E,Productos!A:A,"",0,1))</f>
        <v/>
      </c>
      <c r="C618" s="14" t="str">
        <f t="array" ref="C618">IF(OR(G618="",G618="Selecciona.."),"",XLOOKUP(G618,Productos!$E:$E,Productos!$A:$A,"",0,1))</f>
        <v/>
      </c>
      <c r="D618" s="14" t="str">
        <f t="shared" si="2"/>
        <v/>
      </c>
      <c r="E618" s="14"/>
      <c r="F618" s="15" t="str">
        <f t="shared" si="4"/>
        <v/>
      </c>
      <c r="G618" s="15" t="str">
        <f t="shared" ref="G618:H618" si="615">IF(OR(F618="",F618="Selecciona.."),"","Selecciona..")</f>
        <v/>
      </c>
      <c r="H618" s="13" t="str">
        <f t="shared" si="615"/>
        <v/>
      </c>
    </row>
    <row r="619">
      <c r="A619" s="14" t="str">
        <f t="shared" si="1"/>
        <v/>
      </c>
      <c r="B619" s="14" t="str">
        <f t="array" ref="B619">IF(OR(F619="",F619="Selecciona.."),"",XLOOKUP(F619,Productos!E:E,Productos!A:A,"",0,1))</f>
        <v/>
      </c>
      <c r="C619" s="14" t="str">
        <f t="array" ref="C619">IF(OR(G619="",G619="Selecciona.."),"",XLOOKUP(G619,Productos!$E:$E,Productos!$A:$A,"",0,1))</f>
        <v/>
      </c>
      <c r="D619" s="14" t="str">
        <f t="shared" si="2"/>
        <v/>
      </c>
      <c r="E619" s="14"/>
      <c r="F619" s="15" t="str">
        <f t="shared" si="4"/>
        <v/>
      </c>
      <c r="G619" s="15" t="str">
        <f t="shared" ref="G619:H619" si="616">IF(OR(F619="",F619="Selecciona.."),"","Selecciona..")</f>
        <v/>
      </c>
      <c r="H619" s="13" t="str">
        <f t="shared" si="616"/>
        <v/>
      </c>
    </row>
    <row r="620">
      <c r="A620" s="14" t="str">
        <f t="shared" si="1"/>
        <v/>
      </c>
      <c r="B620" s="14" t="str">
        <f t="array" ref="B620">IF(OR(F620="",F620="Selecciona.."),"",XLOOKUP(F620,Productos!E:E,Productos!A:A,"",0,1))</f>
        <v/>
      </c>
      <c r="C620" s="14" t="str">
        <f t="array" ref="C620">IF(OR(G620="",G620="Selecciona.."),"",XLOOKUP(G620,Productos!$E:$E,Productos!$A:$A,"",0,1))</f>
        <v/>
      </c>
      <c r="D620" s="14" t="str">
        <f t="shared" si="2"/>
        <v/>
      </c>
      <c r="E620" s="14"/>
      <c r="F620" s="15" t="str">
        <f t="shared" si="4"/>
        <v/>
      </c>
      <c r="G620" s="15" t="str">
        <f t="shared" ref="G620:H620" si="617">IF(OR(F620="",F620="Selecciona.."),"","Selecciona..")</f>
        <v/>
      </c>
      <c r="H620" s="13" t="str">
        <f t="shared" si="617"/>
        <v/>
      </c>
    </row>
    <row r="621">
      <c r="A621" s="14" t="str">
        <f t="shared" si="1"/>
        <v/>
      </c>
      <c r="B621" s="14" t="str">
        <f t="array" ref="B621">IF(OR(F621="",F621="Selecciona.."),"",XLOOKUP(F621,Productos!E:E,Productos!A:A,"",0,1))</f>
        <v/>
      </c>
      <c r="C621" s="14" t="str">
        <f t="array" ref="C621">IF(OR(G621="",G621="Selecciona.."),"",XLOOKUP(G621,Productos!$E:$E,Productos!$A:$A,"",0,1))</f>
        <v/>
      </c>
      <c r="D621" s="14" t="str">
        <f t="shared" si="2"/>
        <v/>
      </c>
      <c r="E621" s="14"/>
      <c r="F621" s="15" t="str">
        <f t="shared" si="4"/>
        <v/>
      </c>
      <c r="G621" s="15" t="str">
        <f t="shared" ref="G621:H621" si="618">IF(OR(F621="",F621="Selecciona.."),"","Selecciona..")</f>
        <v/>
      </c>
      <c r="H621" s="13" t="str">
        <f t="shared" si="618"/>
        <v/>
      </c>
    </row>
    <row r="622">
      <c r="A622" s="14" t="str">
        <f t="shared" si="1"/>
        <v/>
      </c>
      <c r="B622" s="14" t="str">
        <f t="array" ref="B622">IF(OR(F622="",F622="Selecciona.."),"",XLOOKUP(F622,Productos!E:E,Productos!A:A,"",0,1))</f>
        <v/>
      </c>
      <c r="C622" s="14" t="str">
        <f t="array" ref="C622">IF(OR(G622="",G622="Selecciona.."),"",XLOOKUP(G622,Productos!$E:$E,Productos!$A:$A,"",0,1))</f>
        <v/>
      </c>
      <c r="D622" s="14" t="str">
        <f t="shared" si="2"/>
        <v/>
      </c>
      <c r="E622" s="14"/>
      <c r="F622" s="15" t="str">
        <f t="shared" si="4"/>
        <v/>
      </c>
      <c r="G622" s="15" t="str">
        <f t="shared" ref="G622:H622" si="619">IF(OR(F622="",F622="Selecciona.."),"","Selecciona..")</f>
        <v/>
      </c>
      <c r="H622" s="13" t="str">
        <f t="shared" si="619"/>
        <v/>
      </c>
    </row>
    <row r="623">
      <c r="A623" s="14" t="str">
        <f t="shared" si="1"/>
        <v/>
      </c>
      <c r="B623" s="14" t="str">
        <f t="array" ref="B623">IF(OR(F623="",F623="Selecciona.."),"",XLOOKUP(F623,Productos!E:E,Productos!A:A,"",0,1))</f>
        <v/>
      </c>
      <c r="C623" s="14" t="str">
        <f t="array" ref="C623">IF(OR(G623="",G623="Selecciona.."),"",XLOOKUP(G623,Productos!$E:$E,Productos!$A:$A,"",0,1))</f>
        <v/>
      </c>
      <c r="D623" s="14" t="str">
        <f t="shared" si="2"/>
        <v/>
      </c>
      <c r="E623" s="14"/>
      <c r="F623" s="15" t="str">
        <f t="shared" si="4"/>
        <v/>
      </c>
      <c r="G623" s="15" t="str">
        <f t="shared" ref="G623:H623" si="620">IF(OR(F623="",F623="Selecciona.."),"","Selecciona..")</f>
        <v/>
      </c>
      <c r="H623" s="13" t="str">
        <f t="shared" si="620"/>
        <v/>
      </c>
    </row>
    <row r="624">
      <c r="A624" s="14" t="str">
        <f t="shared" si="1"/>
        <v/>
      </c>
      <c r="B624" s="14" t="str">
        <f t="array" ref="B624">IF(OR(F624="",F624="Selecciona.."),"",XLOOKUP(F624,Productos!E:E,Productos!A:A,"",0,1))</f>
        <v/>
      </c>
      <c r="C624" s="14" t="str">
        <f t="array" ref="C624">IF(OR(G624="",G624="Selecciona.."),"",XLOOKUP(G624,Productos!$E:$E,Productos!$A:$A,"",0,1))</f>
        <v/>
      </c>
      <c r="D624" s="14" t="str">
        <f t="shared" si="2"/>
        <v/>
      </c>
      <c r="E624" s="14"/>
      <c r="F624" s="15" t="str">
        <f t="shared" si="4"/>
        <v/>
      </c>
      <c r="G624" s="15" t="str">
        <f t="shared" ref="G624:H624" si="621">IF(OR(F624="",F624="Selecciona.."),"","Selecciona..")</f>
        <v/>
      </c>
      <c r="H624" s="13" t="str">
        <f t="shared" si="621"/>
        <v/>
      </c>
    </row>
    <row r="625">
      <c r="A625" s="14" t="str">
        <f t="shared" si="1"/>
        <v/>
      </c>
      <c r="B625" s="14" t="str">
        <f t="array" ref="B625">IF(OR(F625="",F625="Selecciona.."),"",XLOOKUP(F625,Productos!E:E,Productos!A:A,"",0,1))</f>
        <v/>
      </c>
      <c r="C625" s="14" t="str">
        <f t="array" ref="C625">IF(OR(G625="",G625="Selecciona.."),"",XLOOKUP(G625,Productos!$E:$E,Productos!$A:$A,"",0,1))</f>
        <v/>
      </c>
      <c r="D625" s="14" t="str">
        <f t="shared" si="2"/>
        <v/>
      </c>
      <c r="E625" s="14"/>
      <c r="F625" s="15" t="str">
        <f t="shared" si="4"/>
        <v/>
      </c>
      <c r="G625" s="15" t="str">
        <f t="shared" ref="G625:H625" si="622">IF(OR(F625="",F625="Selecciona.."),"","Selecciona..")</f>
        <v/>
      </c>
      <c r="H625" s="13" t="str">
        <f t="shared" si="622"/>
        <v/>
      </c>
    </row>
    <row r="626">
      <c r="A626" s="14" t="str">
        <f t="shared" si="1"/>
        <v/>
      </c>
      <c r="B626" s="14" t="str">
        <f t="array" ref="B626">IF(OR(F626="",F626="Selecciona.."),"",XLOOKUP(F626,Productos!E:E,Productos!A:A,"",0,1))</f>
        <v/>
      </c>
      <c r="C626" s="14" t="str">
        <f t="array" ref="C626">IF(OR(G626="",G626="Selecciona.."),"",XLOOKUP(G626,Productos!$E:$E,Productos!$A:$A,"",0,1))</f>
        <v/>
      </c>
      <c r="D626" s="14" t="str">
        <f t="shared" si="2"/>
        <v/>
      </c>
      <c r="E626" s="14"/>
      <c r="F626" s="15" t="str">
        <f t="shared" si="4"/>
        <v/>
      </c>
      <c r="G626" s="15" t="str">
        <f t="shared" ref="G626:H626" si="623">IF(OR(F626="",F626="Selecciona.."),"","Selecciona..")</f>
        <v/>
      </c>
      <c r="H626" s="13" t="str">
        <f t="shared" si="623"/>
        <v/>
      </c>
    </row>
    <row r="627">
      <c r="A627" s="14" t="str">
        <f t="shared" si="1"/>
        <v/>
      </c>
      <c r="B627" s="14" t="str">
        <f t="array" ref="B627">IF(OR(F627="",F627="Selecciona.."),"",XLOOKUP(F627,Productos!E:E,Productos!A:A,"",0,1))</f>
        <v/>
      </c>
      <c r="C627" s="14" t="str">
        <f t="array" ref="C627">IF(OR(G627="",G627="Selecciona.."),"",XLOOKUP(G627,Productos!$E:$E,Productos!$A:$A,"",0,1))</f>
        <v/>
      </c>
      <c r="D627" s="14" t="str">
        <f t="shared" si="2"/>
        <v/>
      </c>
      <c r="E627" s="14"/>
      <c r="F627" s="15" t="str">
        <f t="shared" si="4"/>
        <v/>
      </c>
      <c r="G627" s="15" t="str">
        <f t="shared" ref="G627:H627" si="624">IF(OR(F627="",F627="Selecciona.."),"","Selecciona..")</f>
        <v/>
      </c>
      <c r="H627" s="13" t="str">
        <f t="shared" si="624"/>
        <v/>
      </c>
    </row>
    <row r="628">
      <c r="A628" s="14" t="str">
        <f t="shared" si="1"/>
        <v/>
      </c>
      <c r="B628" s="14" t="str">
        <f t="array" ref="B628">IF(OR(F628="",F628="Selecciona.."),"",XLOOKUP(F628,Productos!E:E,Productos!A:A,"",0,1))</f>
        <v/>
      </c>
      <c r="C628" s="14" t="str">
        <f t="array" ref="C628">IF(OR(G628="",G628="Selecciona.."),"",XLOOKUP(G628,Productos!$E:$E,Productos!$A:$A,"",0,1))</f>
        <v/>
      </c>
      <c r="D628" s="14" t="str">
        <f t="shared" si="2"/>
        <v/>
      </c>
      <c r="E628" s="14"/>
      <c r="F628" s="15" t="str">
        <f t="shared" si="4"/>
        <v/>
      </c>
      <c r="G628" s="15" t="str">
        <f t="shared" ref="G628:H628" si="625">IF(OR(F628="",F628="Selecciona.."),"","Selecciona..")</f>
        <v/>
      </c>
      <c r="H628" s="13" t="str">
        <f t="shared" si="625"/>
        <v/>
      </c>
    </row>
    <row r="629">
      <c r="A629" s="14" t="str">
        <f t="shared" si="1"/>
        <v/>
      </c>
      <c r="B629" s="14" t="str">
        <f t="array" ref="B629">IF(OR(F629="",F629="Selecciona.."),"",XLOOKUP(F629,Productos!E:E,Productos!A:A,"",0,1))</f>
        <v/>
      </c>
      <c r="C629" s="14" t="str">
        <f t="array" ref="C629">IF(OR(G629="",G629="Selecciona.."),"",XLOOKUP(G629,Productos!$E:$E,Productos!$A:$A,"",0,1))</f>
        <v/>
      </c>
      <c r="D629" s="14" t="str">
        <f t="shared" si="2"/>
        <v/>
      </c>
      <c r="E629" s="14"/>
      <c r="F629" s="15" t="str">
        <f t="shared" si="4"/>
        <v/>
      </c>
      <c r="G629" s="15" t="str">
        <f t="shared" ref="G629:H629" si="626">IF(OR(F629="",F629="Selecciona.."),"","Selecciona..")</f>
        <v/>
      </c>
      <c r="H629" s="13" t="str">
        <f t="shared" si="626"/>
        <v/>
      </c>
    </row>
    <row r="630">
      <c r="A630" s="14" t="str">
        <f t="shared" si="1"/>
        <v/>
      </c>
      <c r="B630" s="14" t="str">
        <f t="array" ref="B630">IF(OR(F630="",F630="Selecciona.."),"",XLOOKUP(F630,Productos!E:E,Productos!A:A,"",0,1))</f>
        <v/>
      </c>
      <c r="C630" s="14" t="str">
        <f t="array" ref="C630">IF(OR(G630="",G630="Selecciona.."),"",XLOOKUP(G630,Productos!$E:$E,Productos!$A:$A,"",0,1))</f>
        <v/>
      </c>
      <c r="D630" s="14" t="str">
        <f t="shared" si="2"/>
        <v/>
      </c>
      <c r="E630" s="14"/>
      <c r="F630" s="15" t="str">
        <f t="shared" si="4"/>
        <v/>
      </c>
      <c r="G630" s="15" t="str">
        <f t="shared" ref="G630:H630" si="627">IF(OR(F630="",F630="Selecciona.."),"","Selecciona..")</f>
        <v/>
      </c>
      <c r="H630" s="13" t="str">
        <f t="shared" si="627"/>
        <v/>
      </c>
    </row>
    <row r="631">
      <c r="A631" s="14" t="str">
        <f t="shared" si="1"/>
        <v/>
      </c>
      <c r="B631" s="14" t="str">
        <f t="array" ref="B631">IF(OR(F631="",F631="Selecciona.."),"",XLOOKUP(F631,Productos!E:E,Productos!A:A,"",0,1))</f>
        <v/>
      </c>
      <c r="C631" s="14" t="str">
        <f t="array" ref="C631">IF(OR(G631="",G631="Selecciona.."),"",XLOOKUP(G631,Productos!$E:$E,Productos!$A:$A,"",0,1))</f>
        <v/>
      </c>
      <c r="D631" s="14" t="str">
        <f t="shared" si="2"/>
        <v/>
      </c>
      <c r="E631" s="14"/>
      <c r="F631" s="15" t="str">
        <f t="shared" si="4"/>
        <v/>
      </c>
      <c r="G631" s="15" t="str">
        <f t="shared" ref="G631:H631" si="628">IF(OR(F631="",F631="Selecciona.."),"","Selecciona..")</f>
        <v/>
      </c>
      <c r="H631" s="13" t="str">
        <f t="shared" si="628"/>
        <v/>
      </c>
    </row>
    <row r="632">
      <c r="A632" s="14" t="str">
        <f t="shared" si="1"/>
        <v/>
      </c>
      <c r="B632" s="14" t="str">
        <f t="array" ref="B632">IF(OR(F632="",F632="Selecciona.."),"",XLOOKUP(F632,Productos!E:E,Productos!A:A,"",0,1))</f>
        <v/>
      </c>
      <c r="C632" s="14" t="str">
        <f t="array" ref="C632">IF(OR(G632="",G632="Selecciona.."),"",XLOOKUP(G632,Productos!$E:$E,Productos!$A:$A,"",0,1))</f>
        <v/>
      </c>
      <c r="D632" s="14" t="str">
        <f t="shared" si="2"/>
        <v/>
      </c>
      <c r="E632" s="14"/>
      <c r="F632" s="15" t="str">
        <f t="shared" si="4"/>
        <v/>
      </c>
      <c r="G632" s="15" t="str">
        <f t="shared" ref="G632:H632" si="629">IF(OR(F632="",F632="Selecciona.."),"","Selecciona..")</f>
        <v/>
      </c>
      <c r="H632" s="13" t="str">
        <f t="shared" si="629"/>
        <v/>
      </c>
    </row>
    <row r="633">
      <c r="A633" s="14" t="str">
        <f t="shared" si="1"/>
        <v/>
      </c>
      <c r="B633" s="14" t="str">
        <f t="array" ref="B633">IF(OR(F633="",F633="Selecciona.."),"",XLOOKUP(F633,Productos!E:E,Productos!A:A,"",0,1))</f>
        <v/>
      </c>
      <c r="C633" s="14" t="str">
        <f t="array" ref="C633">IF(OR(G633="",G633="Selecciona.."),"",XLOOKUP(G633,Productos!$E:$E,Productos!$A:$A,"",0,1))</f>
        <v/>
      </c>
      <c r="D633" s="14" t="str">
        <f t="shared" si="2"/>
        <v/>
      </c>
      <c r="E633" s="14"/>
      <c r="F633" s="15" t="str">
        <f t="shared" si="4"/>
        <v/>
      </c>
      <c r="G633" s="15" t="str">
        <f t="shared" ref="G633:H633" si="630">IF(OR(F633="",F633="Selecciona.."),"","Selecciona..")</f>
        <v/>
      </c>
      <c r="H633" s="13" t="str">
        <f t="shared" si="630"/>
        <v/>
      </c>
    </row>
    <row r="634">
      <c r="A634" s="14" t="str">
        <f t="shared" si="1"/>
        <v/>
      </c>
      <c r="B634" s="14" t="str">
        <f t="array" ref="B634">IF(OR(F634="",F634="Selecciona.."),"",XLOOKUP(F634,Productos!E:E,Productos!A:A,"",0,1))</f>
        <v/>
      </c>
      <c r="C634" s="14" t="str">
        <f t="array" ref="C634">IF(OR(G634="",G634="Selecciona.."),"",XLOOKUP(G634,Productos!$E:$E,Productos!$A:$A,"",0,1))</f>
        <v/>
      </c>
      <c r="D634" s="14" t="str">
        <f t="shared" si="2"/>
        <v/>
      </c>
      <c r="E634" s="14"/>
      <c r="F634" s="15" t="str">
        <f t="shared" si="4"/>
        <v/>
      </c>
      <c r="G634" s="15" t="str">
        <f t="shared" ref="G634:H634" si="631">IF(OR(F634="",F634="Selecciona.."),"","Selecciona..")</f>
        <v/>
      </c>
      <c r="H634" s="13" t="str">
        <f t="shared" si="631"/>
        <v/>
      </c>
    </row>
    <row r="635">
      <c r="A635" s="14" t="str">
        <f t="shared" si="1"/>
        <v/>
      </c>
      <c r="B635" s="14" t="str">
        <f t="array" ref="B635">IF(OR(F635="",F635="Selecciona.."),"",XLOOKUP(F635,Productos!E:E,Productos!A:A,"",0,1))</f>
        <v/>
      </c>
      <c r="C635" s="14" t="str">
        <f t="array" ref="C635">IF(OR(G635="",G635="Selecciona.."),"",XLOOKUP(G635,Productos!$E:$E,Productos!$A:$A,"",0,1))</f>
        <v/>
      </c>
      <c r="D635" s="14" t="str">
        <f t="shared" si="2"/>
        <v/>
      </c>
      <c r="E635" s="14"/>
      <c r="F635" s="15" t="str">
        <f t="shared" si="4"/>
        <v/>
      </c>
      <c r="G635" s="15" t="str">
        <f t="shared" ref="G635:H635" si="632">IF(OR(F635="",F635="Selecciona.."),"","Selecciona..")</f>
        <v/>
      </c>
      <c r="H635" s="13" t="str">
        <f t="shared" si="632"/>
        <v/>
      </c>
    </row>
    <row r="636">
      <c r="A636" s="14" t="str">
        <f t="shared" si="1"/>
        <v/>
      </c>
      <c r="B636" s="14" t="str">
        <f t="array" ref="B636">IF(OR(F636="",F636="Selecciona.."),"",XLOOKUP(F636,Productos!E:E,Productos!A:A,"",0,1))</f>
        <v/>
      </c>
      <c r="C636" s="14" t="str">
        <f t="array" ref="C636">IF(OR(G636="",G636="Selecciona.."),"",XLOOKUP(G636,Productos!$E:$E,Productos!$A:$A,"",0,1))</f>
        <v/>
      </c>
      <c r="D636" s="14" t="str">
        <f t="shared" si="2"/>
        <v/>
      </c>
      <c r="E636" s="14"/>
      <c r="F636" s="15" t="str">
        <f t="shared" si="4"/>
        <v/>
      </c>
      <c r="G636" s="15" t="str">
        <f t="shared" ref="G636:H636" si="633">IF(OR(F636="",F636="Selecciona.."),"","Selecciona..")</f>
        <v/>
      </c>
      <c r="H636" s="13" t="str">
        <f t="shared" si="633"/>
        <v/>
      </c>
    </row>
    <row r="637">
      <c r="A637" s="14" t="str">
        <f t="shared" si="1"/>
        <v/>
      </c>
      <c r="B637" s="14" t="str">
        <f t="array" ref="B637">IF(OR(F637="",F637="Selecciona.."),"",XLOOKUP(F637,Productos!E:E,Productos!A:A,"",0,1))</f>
        <v/>
      </c>
      <c r="C637" s="14" t="str">
        <f t="array" ref="C637">IF(OR(G637="",G637="Selecciona.."),"",XLOOKUP(G637,Productos!$E:$E,Productos!$A:$A,"",0,1))</f>
        <v/>
      </c>
      <c r="D637" s="14" t="str">
        <f t="shared" si="2"/>
        <v/>
      </c>
      <c r="E637" s="14"/>
      <c r="F637" s="15" t="str">
        <f t="shared" si="4"/>
        <v/>
      </c>
      <c r="G637" s="15" t="str">
        <f t="shared" ref="G637:H637" si="634">IF(OR(F637="",F637="Selecciona.."),"","Selecciona..")</f>
        <v/>
      </c>
      <c r="H637" s="13" t="str">
        <f t="shared" si="634"/>
        <v/>
      </c>
    </row>
    <row r="638">
      <c r="A638" s="14" t="str">
        <f t="shared" si="1"/>
        <v/>
      </c>
      <c r="B638" s="14" t="str">
        <f t="array" ref="B638">IF(OR(F638="",F638="Selecciona.."),"",XLOOKUP(F638,Productos!E:E,Productos!A:A,"",0,1))</f>
        <v/>
      </c>
      <c r="C638" s="14" t="str">
        <f t="array" ref="C638">IF(OR(G638="",G638="Selecciona.."),"",XLOOKUP(G638,Productos!$E:$E,Productos!$A:$A,"",0,1))</f>
        <v/>
      </c>
      <c r="D638" s="14" t="str">
        <f t="shared" si="2"/>
        <v/>
      </c>
      <c r="E638" s="14"/>
      <c r="F638" s="15" t="str">
        <f t="shared" si="4"/>
        <v/>
      </c>
      <c r="G638" s="15" t="str">
        <f t="shared" ref="G638:H638" si="635">IF(OR(F638="",F638="Selecciona.."),"","Selecciona..")</f>
        <v/>
      </c>
      <c r="H638" s="13" t="str">
        <f t="shared" si="635"/>
        <v/>
      </c>
    </row>
    <row r="639">
      <c r="A639" s="14" t="str">
        <f t="shared" si="1"/>
        <v/>
      </c>
      <c r="B639" s="14" t="str">
        <f t="array" ref="B639">IF(OR(F639="",F639="Selecciona.."),"",XLOOKUP(F639,Productos!E:E,Productos!A:A,"",0,1))</f>
        <v/>
      </c>
      <c r="C639" s="14" t="str">
        <f t="array" ref="C639">IF(OR(G639="",G639="Selecciona.."),"",XLOOKUP(G639,Productos!$E:$E,Productos!$A:$A,"",0,1))</f>
        <v/>
      </c>
      <c r="D639" s="14" t="str">
        <f t="shared" si="2"/>
        <v/>
      </c>
      <c r="E639" s="14"/>
      <c r="F639" s="15" t="str">
        <f t="shared" si="4"/>
        <v/>
      </c>
      <c r="G639" s="15" t="str">
        <f t="shared" ref="G639:H639" si="636">IF(OR(F639="",F639="Selecciona.."),"","Selecciona..")</f>
        <v/>
      </c>
      <c r="H639" s="13" t="str">
        <f t="shared" si="636"/>
        <v/>
      </c>
    </row>
    <row r="640">
      <c r="A640" s="14" t="str">
        <f t="shared" si="1"/>
        <v/>
      </c>
      <c r="B640" s="14" t="str">
        <f t="array" ref="B640">IF(OR(F640="",F640="Selecciona.."),"",XLOOKUP(F640,Productos!E:E,Productos!A:A,"",0,1))</f>
        <v/>
      </c>
      <c r="C640" s="14" t="str">
        <f t="array" ref="C640">IF(OR(G640="",G640="Selecciona.."),"",XLOOKUP(G640,Productos!$E:$E,Productos!$A:$A,"",0,1))</f>
        <v/>
      </c>
      <c r="D640" s="14" t="str">
        <f t="shared" si="2"/>
        <v/>
      </c>
      <c r="E640" s="14"/>
      <c r="F640" s="15" t="str">
        <f t="shared" si="4"/>
        <v/>
      </c>
      <c r="G640" s="15" t="str">
        <f t="shared" ref="G640:H640" si="637">IF(OR(F640="",F640="Selecciona.."),"","Selecciona..")</f>
        <v/>
      </c>
      <c r="H640" s="13" t="str">
        <f t="shared" si="637"/>
        <v/>
      </c>
    </row>
    <row r="641">
      <c r="A641" s="14" t="str">
        <f t="shared" si="1"/>
        <v/>
      </c>
      <c r="B641" s="14" t="str">
        <f t="array" ref="B641">IF(OR(F641="",F641="Selecciona.."),"",XLOOKUP(F641,Productos!E:E,Productos!A:A,"",0,1))</f>
        <v/>
      </c>
      <c r="C641" s="14" t="str">
        <f t="array" ref="C641">IF(OR(G641="",G641="Selecciona.."),"",XLOOKUP(G641,Productos!$E:$E,Productos!$A:$A,"",0,1))</f>
        <v/>
      </c>
      <c r="D641" s="14" t="str">
        <f t="shared" si="2"/>
        <v/>
      </c>
      <c r="E641" s="14"/>
      <c r="F641" s="15" t="str">
        <f t="shared" si="4"/>
        <v/>
      </c>
      <c r="G641" s="15" t="str">
        <f t="shared" ref="G641:H641" si="638">IF(OR(F641="",F641="Selecciona.."),"","Selecciona..")</f>
        <v/>
      </c>
      <c r="H641" s="13" t="str">
        <f t="shared" si="638"/>
        <v/>
      </c>
    </row>
    <row r="642">
      <c r="A642" s="14" t="str">
        <f t="shared" si="1"/>
        <v/>
      </c>
      <c r="B642" s="14" t="str">
        <f t="array" ref="B642">IF(OR(F642="",F642="Selecciona.."),"",XLOOKUP(F642,Productos!E:E,Productos!A:A,"",0,1))</f>
        <v/>
      </c>
      <c r="C642" s="14" t="str">
        <f t="array" ref="C642">IF(OR(G642="",G642="Selecciona.."),"",XLOOKUP(G642,Productos!$E:$E,Productos!$A:$A,"",0,1))</f>
        <v/>
      </c>
      <c r="D642" s="14" t="str">
        <f t="shared" si="2"/>
        <v/>
      </c>
      <c r="E642" s="14"/>
      <c r="F642" s="15" t="str">
        <f t="shared" si="4"/>
        <v/>
      </c>
      <c r="G642" s="15" t="str">
        <f t="shared" ref="G642:H642" si="639">IF(OR(F642="",F642="Selecciona.."),"","Selecciona..")</f>
        <v/>
      </c>
      <c r="H642" s="13" t="str">
        <f t="shared" si="639"/>
        <v/>
      </c>
    </row>
    <row r="643">
      <c r="A643" s="14" t="str">
        <f t="shared" si="1"/>
        <v/>
      </c>
      <c r="B643" s="14" t="str">
        <f t="array" ref="B643">IF(OR(F643="",F643="Selecciona.."),"",XLOOKUP(F643,Productos!E:E,Productos!A:A,"",0,1))</f>
        <v/>
      </c>
      <c r="C643" s="14" t="str">
        <f t="array" ref="C643">IF(OR(G643="",G643="Selecciona.."),"",XLOOKUP(G643,Productos!$E:$E,Productos!$A:$A,"",0,1))</f>
        <v/>
      </c>
      <c r="D643" s="14" t="str">
        <f t="shared" si="2"/>
        <v/>
      </c>
      <c r="E643" s="14"/>
      <c r="F643" s="15" t="str">
        <f t="shared" si="4"/>
        <v/>
      </c>
      <c r="G643" s="15" t="str">
        <f t="shared" ref="G643:H643" si="640">IF(OR(F643="",F643="Selecciona.."),"","Selecciona..")</f>
        <v/>
      </c>
      <c r="H643" s="13" t="str">
        <f t="shared" si="640"/>
        <v/>
      </c>
    </row>
    <row r="644">
      <c r="A644" s="14" t="str">
        <f t="shared" si="1"/>
        <v/>
      </c>
      <c r="B644" s="14" t="str">
        <f t="array" ref="B644">IF(OR(F644="",F644="Selecciona.."),"",XLOOKUP(F644,Productos!E:E,Productos!A:A,"",0,1))</f>
        <v/>
      </c>
      <c r="C644" s="14" t="str">
        <f t="array" ref="C644">IF(OR(G644="",G644="Selecciona.."),"",XLOOKUP(G644,Productos!$E:$E,Productos!$A:$A,"",0,1))</f>
        <v/>
      </c>
      <c r="D644" s="14" t="str">
        <f t="shared" si="2"/>
        <v/>
      </c>
      <c r="E644" s="14"/>
      <c r="F644" s="15" t="str">
        <f t="shared" si="4"/>
        <v/>
      </c>
      <c r="G644" s="15" t="str">
        <f t="shared" ref="G644:H644" si="641">IF(OR(F644="",F644="Selecciona.."),"","Selecciona..")</f>
        <v/>
      </c>
      <c r="H644" s="13" t="str">
        <f t="shared" si="641"/>
        <v/>
      </c>
    </row>
    <row r="645">
      <c r="A645" s="14" t="str">
        <f t="shared" si="1"/>
        <v/>
      </c>
      <c r="B645" s="14" t="str">
        <f t="array" ref="B645">IF(OR(F645="",F645="Selecciona.."),"",XLOOKUP(F645,Productos!E:E,Productos!A:A,"",0,1))</f>
        <v/>
      </c>
      <c r="C645" s="14" t="str">
        <f t="array" ref="C645">IF(OR(G645="",G645="Selecciona.."),"",XLOOKUP(G645,Productos!$E:$E,Productos!$A:$A,"",0,1))</f>
        <v/>
      </c>
      <c r="D645" s="14" t="str">
        <f t="shared" si="2"/>
        <v/>
      </c>
      <c r="E645" s="14"/>
      <c r="F645" s="15" t="str">
        <f t="shared" si="4"/>
        <v/>
      </c>
      <c r="G645" s="15" t="str">
        <f t="shared" ref="G645:H645" si="642">IF(OR(F645="",F645="Selecciona.."),"","Selecciona..")</f>
        <v/>
      </c>
      <c r="H645" s="13" t="str">
        <f t="shared" si="642"/>
        <v/>
      </c>
    </row>
    <row r="646">
      <c r="A646" s="14" t="str">
        <f t="shared" si="1"/>
        <v/>
      </c>
      <c r="B646" s="14" t="str">
        <f t="array" ref="B646">IF(OR(F646="",F646="Selecciona.."),"",XLOOKUP(F646,Productos!E:E,Productos!A:A,"",0,1))</f>
        <v/>
      </c>
      <c r="C646" s="14" t="str">
        <f t="array" ref="C646">IF(OR(G646="",G646="Selecciona.."),"",XLOOKUP(G646,Productos!$E:$E,Productos!$A:$A,"",0,1))</f>
        <v/>
      </c>
      <c r="D646" s="14" t="str">
        <f t="shared" si="2"/>
        <v/>
      </c>
      <c r="E646" s="14"/>
      <c r="F646" s="15" t="str">
        <f t="shared" si="4"/>
        <v/>
      </c>
      <c r="G646" s="15" t="str">
        <f t="shared" ref="G646:H646" si="643">IF(OR(F646="",F646="Selecciona.."),"","Selecciona..")</f>
        <v/>
      </c>
      <c r="H646" s="13" t="str">
        <f t="shared" si="643"/>
        <v/>
      </c>
    </row>
    <row r="647">
      <c r="A647" s="14" t="str">
        <f t="shared" si="1"/>
        <v/>
      </c>
      <c r="B647" s="14" t="str">
        <f t="array" ref="B647">IF(OR(F647="",F647="Selecciona.."),"",XLOOKUP(F647,Productos!E:E,Productos!A:A,"",0,1))</f>
        <v/>
      </c>
      <c r="C647" s="14" t="str">
        <f t="array" ref="C647">IF(OR(G647="",G647="Selecciona.."),"",XLOOKUP(G647,Productos!$E:$E,Productos!$A:$A,"",0,1))</f>
        <v/>
      </c>
      <c r="D647" s="14" t="str">
        <f t="shared" si="2"/>
        <v/>
      </c>
      <c r="E647" s="14"/>
      <c r="F647" s="15" t="str">
        <f t="shared" si="4"/>
        <v/>
      </c>
      <c r="G647" s="15" t="str">
        <f t="shared" ref="G647:H647" si="644">IF(OR(F647="",F647="Selecciona.."),"","Selecciona..")</f>
        <v/>
      </c>
      <c r="H647" s="13" t="str">
        <f t="shared" si="644"/>
        <v/>
      </c>
    </row>
    <row r="648">
      <c r="A648" s="14" t="str">
        <f t="shared" si="1"/>
        <v/>
      </c>
      <c r="B648" s="14" t="str">
        <f t="array" ref="B648">IF(OR(F648="",F648="Selecciona.."),"",XLOOKUP(F648,Productos!E:E,Productos!A:A,"",0,1))</f>
        <v/>
      </c>
      <c r="C648" s="14" t="str">
        <f t="array" ref="C648">IF(OR(G648="",G648="Selecciona.."),"",XLOOKUP(G648,Productos!$E:$E,Productos!$A:$A,"",0,1))</f>
        <v/>
      </c>
      <c r="D648" s="14" t="str">
        <f t="shared" si="2"/>
        <v/>
      </c>
      <c r="E648" s="14"/>
      <c r="F648" s="15" t="str">
        <f t="shared" si="4"/>
        <v/>
      </c>
      <c r="G648" s="15" t="str">
        <f t="shared" ref="G648:H648" si="645">IF(OR(F648="",F648="Selecciona.."),"","Selecciona..")</f>
        <v/>
      </c>
      <c r="H648" s="13" t="str">
        <f t="shared" si="645"/>
        <v/>
      </c>
    </row>
    <row r="649">
      <c r="A649" s="14" t="str">
        <f t="shared" si="1"/>
        <v/>
      </c>
      <c r="B649" s="14" t="str">
        <f t="array" ref="B649">IF(OR(F649="",F649="Selecciona.."),"",XLOOKUP(F649,Productos!E:E,Productos!A:A,"",0,1))</f>
        <v/>
      </c>
      <c r="C649" s="14" t="str">
        <f t="array" ref="C649">IF(OR(G649="",G649="Selecciona.."),"",XLOOKUP(G649,Productos!$E:$E,Productos!$A:$A,"",0,1))</f>
        <v/>
      </c>
      <c r="D649" s="14" t="str">
        <f t="shared" si="2"/>
        <v/>
      </c>
      <c r="E649" s="14"/>
      <c r="F649" s="15" t="str">
        <f t="shared" si="4"/>
        <v/>
      </c>
      <c r="G649" s="15" t="str">
        <f t="shared" ref="G649:H649" si="646">IF(OR(F649="",F649="Selecciona.."),"","Selecciona..")</f>
        <v/>
      </c>
      <c r="H649" s="13" t="str">
        <f t="shared" si="646"/>
        <v/>
      </c>
    </row>
    <row r="650">
      <c r="A650" s="14" t="str">
        <f t="shared" si="1"/>
        <v/>
      </c>
      <c r="B650" s="14" t="str">
        <f t="array" ref="B650">IF(OR(F650="",F650="Selecciona.."),"",XLOOKUP(F650,Productos!E:E,Productos!A:A,"",0,1))</f>
        <v/>
      </c>
      <c r="C650" s="14" t="str">
        <f t="array" ref="C650">IF(OR(G650="",G650="Selecciona.."),"",XLOOKUP(G650,Productos!$E:$E,Productos!$A:$A,"",0,1))</f>
        <v/>
      </c>
      <c r="D650" s="14" t="str">
        <f t="shared" si="2"/>
        <v/>
      </c>
      <c r="E650" s="14"/>
      <c r="F650" s="15" t="str">
        <f t="shared" si="4"/>
        <v/>
      </c>
      <c r="G650" s="15" t="str">
        <f t="shared" ref="G650:H650" si="647">IF(OR(F650="",F650="Selecciona.."),"","Selecciona..")</f>
        <v/>
      </c>
      <c r="H650" s="13" t="str">
        <f t="shared" si="647"/>
        <v/>
      </c>
    </row>
    <row r="651">
      <c r="A651" s="14" t="str">
        <f t="shared" si="1"/>
        <v/>
      </c>
      <c r="B651" s="14" t="str">
        <f t="array" ref="B651">IF(OR(F651="",F651="Selecciona.."),"",XLOOKUP(F651,Productos!E:E,Productos!A:A,"",0,1))</f>
        <v/>
      </c>
      <c r="C651" s="14" t="str">
        <f t="array" ref="C651">IF(OR(G651="",G651="Selecciona.."),"",XLOOKUP(G651,Productos!$E:$E,Productos!$A:$A,"",0,1))</f>
        <v/>
      </c>
      <c r="D651" s="14" t="str">
        <f t="shared" si="2"/>
        <v/>
      </c>
      <c r="E651" s="14"/>
      <c r="F651" s="15" t="str">
        <f t="shared" si="4"/>
        <v/>
      </c>
      <c r="G651" s="15" t="str">
        <f t="shared" ref="G651:H651" si="648">IF(OR(F651="",F651="Selecciona.."),"","Selecciona..")</f>
        <v/>
      </c>
      <c r="H651" s="13" t="str">
        <f t="shared" si="648"/>
        <v/>
      </c>
    </row>
    <row r="652">
      <c r="A652" s="14" t="str">
        <f t="shared" si="1"/>
        <v/>
      </c>
      <c r="B652" s="14" t="str">
        <f t="array" ref="B652">IF(OR(F652="",F652="Selecciona.."),"",XLOOKUP(F652,Productos!E:E,Productos!A:A,"",0,1))</f>
        <v/>
      </c>
      <c r="C652" s="14" t="str">
        <f t="array" ref="C652">IF(OR(G652="",G652="Selecciona.."),"",XLOOKUP(G652,Productos!$E:$E,Productos!$A:$A,"",0,1))</f>
        <v/>
      </c>
      <c r="D652" s="14" t="str">
        <f t="shared" si="2"/>
        <v/>
      </c>
      <c r="E652" s="14"/>
      <c r="F652" s="15" t="str">
        <f t="shared" si="4"/>
        <v/>
      </c>
      <c r="G652" s="15" t="str">
        <f t="shared" ref="G652:H652" si="649">IF(OR(F652="",F652="Selecciona.."),"","Selecciona..")</f>
        <v/>
      </c>
      <c r="H652" s="13" t="str">
        <f t="shared" si="649"/>
        <v/>
      </c>
    </row>
    <row r="653">
      <c r="A653" s="14" t="str">
        <f t="shared" si="1"/>
        <v/>
      </c>
      <c r="B653" s="14" t="str">
        <f t="array" ref="B653">IF(OR(F653="",F653="Selecciona.."),"",XLOOKUP(F653,Productos!E:E,Productos!A:A,"",0,1))</f>
        <v/>
      </c>
      <c r="C653" s="14" t="str">
        <f t="array" ref="C653">IF(OR(G653="",G653="Selecciona.."),"",XLOOKUP(G653,Productos!$E:$E,Productos!$A:$A,"",0,1))</f>
        <v/>
      </c>
      <c r="D653" s="14" t="str">
        <f t="shared" si="2"/>
        <v/>
      </c>
      <c r="E653" s="14"/>
      <c r="F653" s="15" t="str">
        <f t="shared" si="4"/>
        <v/>
      </c>
      <c r="G653" s="15" t="str">
        <f t="shared" ref="G653:H653" si="650">IF(OR(F653="",F653="Selecciona.."),"","Selecciona..")</f>
        <v/>
      </c>
      <c r="H653" s="13" t="str">
        <f t="shared" si="650"/>
        <v/>
      </c>
    </row>
    <row r="654">
      <c r="A654" s="14" t="str">
        <f t="shared" si="1"/>
        <v/>
      </c>
      <c r="B654" s="14" t="str">
        <f t="array" ref="B654">IF(OR(F654="",F654="Selecciona.."),"",XLOOKUP(F654,Productos!E:E,Productos!A:A,"",0,1))</f>
        <v/>
      </c>
      <c r="C654" s="14" t="str">
        <f t="array" ref="C654">IF(OR(G654="",G654="Selecciona.."),"",XLOOKUP(G654,Productos!$E:$E,Productos!$A:$A,"",0,1))</f>
        <v/>
      </c>
      <c r="D654" s="14" t="str">
        <f t="shared" si="2"/>
        <v/>
      </c>
      <c r="E654" s="14"/>
      <c r="F654" s="15" t="str">
        <f t="shared" si="4"/>
        <v/>
      </c>
      <c r="G654" s="15" t="str">
        <f t="shared" ref="G654:H654" si="651">IF(OR(F654="",F654="Selecciona.."),"","Selecciona..")</f>
        <v/>
      </c>
      <c r="H654" s="13" t="str">
        <f t="shared" si="651"/>
        <v/>
      </c>
    </row>
    <row r="655">
      <c r="A655" s="14" t="str">
        <f t="shared" si="1"/>
        <v/>
      </c>
      <c r="B655" s="14" t="str">
        <f t="array" ref="B655">IF(OR(F655="",F655="Selecciona.."),"",XLOOKUP(F655,Productos!E:E,Productos!A:A,"",0,1))</f>
        <v/>
      </c>
      <c r="C655" s="14" t="str">
        <f t="array" ref="C655">IF(OR(G655="",G655="Selecciona.."),"",XLOOKUP(G655,Productos!$E:$E,Productos!$A:$A,"",0,1))</f>
        <v/>
      </c>
      <c r="D655" s="14" t="str">
        <f t="shared" si="2"/>
        <v/>
      </c>
      <c r="E655" s="14"/>
      <c r="F655" s="15" t="str">
        <f t="shared" si="4"/>
        <v/>
      </c>
      <c r="G655" s="15" t="str">
        <f t="shared" ref="G655:H655" si="652">IF(OR(F655="",F655="Selecciona.."),"","Selecciona..")</f>
        <v/>
      </c>
      <c r="H655" s="13" t="str">
        <f t="shared" si="652"/>
        <v/>
      </c>
    </row>
    <row r="656">
      <c r="A656" s="14" t="str">
        <f t="shared" si="1"/>
        <v/>
      </c>
      <c r="B656" s="14" t="str">
        <f t="array" ref="B656">IF(OR(F656="",F656="Selecciona.."),"",XLOOKUP(F656,Productos!E:E,Productos!A:A,"",0,1))</f>
        <v/>
      </c>
      <c r="C656" s="14" t="str">
        <f t="array" ref="C656">IF(OR(G656="",G656="Selecciona.."),"",XLOOKUP(G656,Productos!$E:$E,Productos!$A:$A,"",0,1))</f>
        <v/>
      </c>
      <c r="D656" s="14" t="str">
        <f t="shared" si="2"/>
        <v/>
      </c>
      <c r="E656" s="14"/>
      <c r="F656" s="15" t="str">
        <f t="shared" si="4"/>
        <v/>
      </c>
      <c r="G656" s="15" t="str">
        <f t="shared" ref="G656:H656" si="653">IF(OR(F656="",F656="Selecciona.."),"","Selecciona..")</f>
        <v/>
      </c>
      <c r="H656" s="13" t="str">
        <f t="shared" si="653"/>
        <v/>
      </c>
    </row>
    <row r="657">
      <c r="A657" s="14" t="str">
        <f t="shared" si="1"/>
        <v/>
      </c>
      <c r="B657" s="14" t="str">
        <f t="array" ref="B657">IF(OR(F657="",F657="Selecciona.."),"",XLOOKUP(F657,Productos!E:E,Productos!A:A,"",0,1))</f>
        <v/>
      </c>
      <c r="C657" s="14" t="str">
        <f t="array" ref="C657">IF(OR(G657="",G657="Selecciona.."),"",XLOOKUP(G657,Productos!$E:$E,Productos!$A:$A,"",0,1))</f>
        <v/>
      </c>
      <c r="D657" s="14" t="str">
        <f t="shared" si="2"/>
        <v/>
      </c>
      <c r="E657" s="14"/>
      <c r="F657" s="15" t="str">
        <f t="shared" si="4"/>
        <v/>
      </c>
      <c r="G657" s="15" t="str">
        <f t="shared" ref="G657:H657" si="654">IF(OR(F657="",F657="Selecciona.."),"","Selecciona..")</f>
        <v/>
      </c>
      <c r="H657" s="13" t="str">
        <f t="shared" si="654"/>
        <v/>
      </c>
    </row>
    <row r="658">
      <c r="A658" s="14" t="str">
        <f t="shared" si="1"/>
        <v/>
      </c>
      <c r="B658" s="14" t="str">
        <f t="array" ref="B658">IF(OR(F658="",F658="Selecciona.."),"",XLOOKUP(F658,Productos!E:E,Productos!A:A,"",0,1))</f>
        <v/>
      </c>
      <c r="C658" s="14" t="str">
        <f t="array" ref="C658">IF(OR(G658="",G658="Selecciona.."),"",XLOOKUP(G658,Productos!$E:$E,Productos!$A:$A,"",0,1))</f>
        <v/>
      </c>
      <c r="D658" s="14" t="str">
        <f t="shared" si="2"/>
        <v/>
      </c>
      <c r="E658" s="14"/>
      <c r="F658" s="15" t="str">
        <f t="shared" si="4"/>
        <v/>
      </c>
      <c r="G658" s="15" t="str">
        <f t="shared" ref="G658:H658" si="655">IF(OR(F658="",F658="Selecciona.."),"","Selecciona..")</f>
        <v/>
      </c>
      <c r="H658" s="13" t="str">
        <f t="shared" si="655"/>
        <v/>
      </c>
    </row>
    <row r="659">
      <c r="A659" s="14" t="str">
        <f t="shared" si="1"/>
        <v/>
      </c>
      <c r="B659" s="14" t="str">
        <f t="array" ref="B659">IF(OR(F659="",F659="Selecciona.."),"",XLOOKUP(F659,Productos!E:E,Productos!A:A,"",0,1))</f>
        <v/>
      </c>
      <c r="C659" s="14" t="str">
        <f t="array" ref="C659">IF(OR(G659="",G659="Selecciona.."),"",XLOOKUP(G659,Productos!$E:$E,Productos!$A:$A,"",0,1))</f>
        <v/>
      </c>
      <c r="D659" s="14" t="str">
        <f t="shared" si="2"/>
        <v/>
      </c>
      <c r="E659" s="14"/>
      <c r="F659" s="15" t="str">
        <f t="shared" si="4"/>
        <v/>
      </c>
      <c r="G659" s="15" t="str">
        <f t="shared" ref="G659:H659" si="656">IF(OR(F659="",F659="Selecciona.."),"","Selecciona..")</f>
        <v/>
      </c>
      <c r="H659" s="13" t="str">
        <f t="shared" si="656"/>
        <v/>
      </c>
    </row>
    <row r="660">
      <c r="A660" s="14" t="str">
        <f t="shared" si="1"/>
        <v/>
      </c>
      <c r="B660" s="14" t="str">
        <f t="array" ref="B660">IF(OR(F660="",F660="Selecciona.."),"",XLOOKUP(F660,Productos!E:E,Productos!A:A,"",0,1))</f>
        <v/>
      </c>
      <c r="C660" s="14" t="str">
        <f t="array" ref="C660">IF(OR(G660="",G660="Selecciona.."),"",XLOOKUP(G660,Productos!$E:$E,Productos!$A:$A,"",0,1))</f>
        <v/>
      </c>
      <c r="D660" s="14" t="str">
        <f t="shared" si="2"/>
        <v/>
      </c>
      <c r="E660" s="14"/>
      <c r="F660" s="15" t="str">
        <f t="shared" si="4"/>
        <v/>
      </c>
      <c r="G660" s="15" t="str">
        <f t="shared" ref="G660:H660" si="657">IF(OR(F660="",F660="Selecciona.."),"","Selecciona..")</f>
        <v/>
      </c>
      <c r="H660" s="13" t="str">
        <f t="shared" si="657"/>
        <v/>
      </c>
    </row>
    <row r="661">
      <c r="A661" s="14" t="str">
        <f t="shared" si="1"/>
        <v/>
      </c>
      <c r="B661" s="14" t="str">
        <f t="array" ref="B661">IF(OR(F661="",F661="Selecciona.."),"",XLOOKUP(F661,Productos!E:E,Productos!A:A,"",0,1))</f>
        <v/>
      </c>
      <c r="C661" s="14" t="str">
        <f t="array" ref="C661">IF(OR(G661="",G661="Selecciona.."),"",XLOOKUP(G661,Productos!$E:$E,Productos!$A:$A,"",0,1))</f>
        <v/>
      </c>
      <c r="D661" s="14" t="str">
        <f t="shared" si="2"/>
        <v/>
      </c>
      <c r="E661" s="14"/>
      <c r="F661" s="15" t="str">
        <f t="shared" si="4"/>
        <v/>
      </c>
      <c r="G661" s="15" t="str">
        <f t="shared" ref="G661:H661" si="658">IF(OR(F661="",F661="Selecciona.."),"","Selecciona..")</f>
        <v/>
      </c>
      <c r="H661" s="13" t="str">
        <f t="shared" si="658"/>
        <v/>
      </c>
    </row>
    <row r="662">
      <c r="A662" s="14" t="str">
        <f t="shared" si="1"/>
        <v/>
      </c>
      <c r="B662" s="14" t="str">
        <f t="array" ref="B662">IF(OR(F662="",F662="Selecciona.."),"",XLOOKUP(F662,Productos!E:E,Productos!A:A,"",0,1))</f>
        <v/>
      </c>
      <c r="C662" s="14" t="str">
        <f t="array" ref="C662">IF(OR(G662="",G662="Selecciona.."),"",XLOOKUP(G662,Productos!$E:$E,Productos!$A:$A,"",0,1))</f>
        <v/>
      </c>
      <c r="D662" s="14" t="str">
        <f t="shared" si="2"/>
        <v/>
      </c>
      <c r="E662" s="14"/>
      <c r="F662" s="15" t="str">
        <f t="shared" si="4"/>
        <v/>
      </c>
      <c r="G662" s="15" t="str">
        <f t="shared" ref="G662:H662" si="659">IF(OR(F662="",F662="Selecciona.."),"","Selecciona..")</f>
        <v/>
      </c>
      <c r="H662" s="13" t="str">
        <f t="shared" si="659"/>
        <v/>
      </c>
    </row>
    <row r="663">
      <c r="A663" s="14" t="str">
        <f t="shared" si="1"/>
        <v/>
      </c>
      <c r="B663" s="14" t="str">
        <f t="array" ref="B663">IF(OR(F663="",F663="Selecciona.."),"",XLOOKUP(F663,Productos!E:E,Productos!A:A,"",0,1))</f>
        <v/>
      </c>
      <c r="C663" s="14" t="str">
        <f t="array" ref="C663">IF(OR(G663="",G663="Selecciona.."),"",XLOOKUP(G663,Productos!$E:$E,Productos!$A:$A,"",0,1))</f>
        <v/>
      </c>
      <c r="D663" s="14" t="str">
        <f t="shared" si="2"/>
        <v/>
      </c>
      <c r="E663" s="14"/>
      <c r="F663" s="15" t="str">
        <f t="shared" si="4"/>
        <v/>
      </c>
      <c r="G663" s="15" t="str">
        <f t="shared" ref="G663:H663" si="660">IF(OR(F663="",F663="Selecciona.."),"","Selecciona..")</f>
        <v/>
      </c>
      <c r="H663" s="13" t="str">
        <f t="shared" si="660"/>
        <v/>
      </c>
    </row>
    <row r="664">
      <c r="A664" s="14" t="str">
        <f t="shared" si="1"/>
        <v/>
      </c>
      <c r="B664" s="14" t="str">
        <f t="array" ref="B664">IF(OR(F664="",F664="Selecciona.."),"",XLOOKUP(F664,Productos!E:E,Productos!A:A,"",0,1))</f>
        <v/>
      </c>
      <c r="C664" s="14" t="str">
        <f t="array" ref="C664">IF(OR(G664="",G664="Selecciona.."),"",XLOOKUP(G664,Productos!$E:$E,Productos!$A:$A,"",0,1))</f>
        <v/>
      </c>
      <c r="D664" s="14" t="str">
        <f t="shared" si="2"/>
        <v/>
      </c>
      <c r="E664" s="14"/>
      <c r="F664" s="15" t="str">
        <f t="shared" si="4"/>
        <v/>
      </c>
      <c r="G664" s="15" t="str">
        <f t="shared" ref="G664:H664" si="661">IF(OR(F664="",F664="Selecciona.."),"","Selecciona..")</f>
        <v/>
      </c>
      <c r="H664" s="13" t="str">
        <f t="shared" si="661"/>
        <v/>
      </c>
    </row>
    <row r="665">
      <c r="A665" s="14" t="str">
        <f t="shared" si="1"/>
        <v/>
      </c>
      <c r="B665" s="14" t="str">
        <f t="array" ref="B665">IF(OR(F665="",F665="Selecciona.."),"",XLOOKUP(F665,Productos!E:E,Productos!A:A,"",0,1))</f>
        <v/>
      </c>
      <c r="C665" s="14" t="str">
        <f t="array" ref="C665">IF(OR(G665="",G665="Selecciona.."),"",XLOOKUP(G665,Productos!$E:$E,Productos!$A:$A,"",0,1))</f>
        <v/>
      </c>
      <c r="D665" s="14" t="str">
        <f t="shared" si="2"/>
        <v/>
      </c>
      <c r="E665" s="14"/>
      <c r="F665" s="15" t="str">
        <f t="shared" si="4"/>
        <v/>
      </c>
      <c r="G665" s="15" t="str">
        <f t="shared" ref="G665:H665" si="662">IF(OR(F665="",F665="Selecciona.."),"","Selecciona..")</f>
        <v/>
      </c>
      <c r="H665" s="13" t="str">
        <f t="shared" si="662"/>
        <v/>
      </c>
    </row>
    <row r="666">
      <c r="A666" s="14" t="str">
        <f t="shared" si="1"/>
        <v/>
      </c>
      <c r="B666" s="14" t="str">
        <f t="array" ref="B666">IF(OR(F666="",F666="Selecciona.."),"",XLOOKUP(F666,Productos!E:E,Productos!A:A,"",0,1))</f>
        <v/>
      </c>
      <c r="C666" s="14" t="str">
        <f t="array" ref="C666">IF(OR(G666="",G666="Selecciona.."),"",XLOOKUP(G666,Productos!$E:$E,Productos!$A:$A,"",0,1))</f>
        <v/>
      </c>
      <c r="D666" s="14" t="str">
        <f t="shared" si="2"/>
        <v/>
      </c>
      <c r="E666" s="14"/>
      <c r="F666" s="15" t="str">
        <f t="shared" si="4"/>
        <v/>
      </c>
      <c r="G666" s="15" t="str">
        <f t="shared" ref="G666:H666" si="663">IF(OR(F666="",F666="Selecciona.."),"","Selecciona..")</f>
        <v/>
      </c>
      <c r="H666" s="13" t="str">
        <f t="shared" si="663"/>
        <v/>
      </c>
    </row>
    <row r="667">
      <c r="A667" s="14" t="str">
        <f t="shared" si="1"/>
        <v/>
      </c>
      <c r="B667" s="14" t="str">
        <f t="array" ref="B667">IF(OR(F667="",F667="Selecciona.."),"",XLOOKUP(F667,Productos!E:E,Productos!A:A,"",0,1))</f>
        <v/>
      </c>
      <c r="C667" s="14" t="str">
        <f t="array" ref="C667">IF(OR(G667="",G667="Selecciona.."),"",XLOOKUP(G667,Productos!$E:$E,Productos!$A:$A,"",0,1))</f>
        <v/>
      </c>
      <c r="D667" s="14" t="str">
        <f t="shared" si="2"/>
        <v/>
      </c>
      <c r="E667" s="14"/>
      <c r="F667" s="15" t="str">
        <f t="shared" si="4"/>
        <v/>
      </c>
      <c r="G667" s="15" t="str">
        <f t="shared" ref="G667:H667" si="664">IF(OR(F667="",F667="Selecciona.."),"","Selecciona..")</f>
        <v/>
      </c>
      <c r="H667" s="13" t="str">
        <f t="shared" si="664"/>
        <v/>
      </c>
    </row>
    <row r="668">
      <c r="A668" s="14" t="str">
        <f t="shared" si="1"/>
        <v/>
      </c>
      <c r="B668" s="14" t="str">
        <f t="array" ref="B668">IF(OR(F668="",F668="Selecciona.."),"",XLOOKUP(F668,Productos!E:E,Productos!A:A,"",0,1))</f>
        <v/>
      </c>
      <c r="C668" s="14" t="str">
        <f t="array" ref="C668">IF(OR(G668="",G668="Selecciona.."),"",XLOOKUP(G668,Productos!$E:$E,Productos!$A:$A,"",0,1))</f>
        <v/>
      </c>
      <c r="D668" s="14" t="str">
        <f t="shared" si="2"/>
        <v/>
      </c>
      <c r="E668" s="14"/>
      <c r="F668" s="15" t="str">
        <f t="shared" si="4"/>
        <v/>
      </c>
      <c r="G668" s="15" t="str">
        <f t="shared" ref="G668:H668" si="665">IF(OR(F668="",F668="Selecciona.."),"","Selecciona..")</f>
        <v/>
      </c>
      <c r="H668" s="13" t="str">
        <f t="shared" si="665"/>
        <v/>
      </c>
    </row>
    <row r="669">
      <c r="A669" s="14" t="str">
        <f t="shared" si="1"/>
        <v/>
      </c>
      <c r="B669" s="14" t="str">
        <f t="array" ref="B669">IF(OR(F669="",F669="Selecciona.."),"",XLOOKUP(F669,Productos!E:E,Productos!A:A,"",0,1))</f>
        <v/>
      </c>
      <c r="C669" s="14" t="str">
        <f t="array" ref="C669">IF(OR(G669="",G669="Selecciona.."),"",XLOOKUP(G669,Productos!$E:$E,Productos!$A:$A,"",0,1))</f>
        <v/>
      </c>
      <c r="D669" s="14" t="str">
        <f t="shared" si="2"/>
        <v/>
      </c>
      <c r="E669" s="14"/>
      <c r="F669" s="15" t="str">
        <f t="shared" si="4"/>
        <v/>
      </c>
      <c r="G669" s="15" t="str">
        <f t="shared" ref="G669:H669" si="666">IF(OR(F669="",F669="Selecciona.."),"","Selecciona..")</f>
        <v/>
      </c>
      <c r="H669" s="13" t="str">
        <f t="shared" si="666"/>
        <v/>
      </c>
    </row>
    <row r="670">
      <c r="A670" s="14" t="str">
        <f t="shared" si="1"/>
        <v/>
      </c>
      <c r="B670" s="14" t="str">
        <f t="array" ref="B670">IF(OR(F670="",F670="Selecciona.."),"",XLOOKUP(F670,Productos!E:E,Productos!A:A,"",0,1))</f>
        <v/>
      </c>
      <c r="C670" s="14" t="str">
        <f t="array" ref="C670">IF(OR(G670="",G670="Selecciona.."),"",XLOOKUP(G670,Productos!$E:$E,Productos!$A:$A,"",0,1))</f>
        <v/>
      </c>
      <c r="D670" s="14" t="str">
        <f t="shared" si="2"/>
        <v/>
      </c>
      <c r="E670" s="14"/>
      <c r="F670" s="15" t="str">
        <f t="shared" si="4"/>
        <v/>
      </c>
      <c r="G670" s="15" t="str">
        <f t="shared" ref="G670:H670" si="667">IF(OR(F670="",F670="Selecciona.."),"","Selecciona..")</f>
        <v/>
      </c>
      <c r="H670" s="13" t="str">
        <f t="shared" si="667"/>
        <v/>
      </c>
    </row>
    <row r="671">
      <c r="A671" s="14" t="str">
        <f t="shared" si="1"/>
        <v/>
      </c>
      <c r="B671" s="14" t="str">
        <f t="array" ref="B671">IF(OR(F671="",F671="Selecciona.."),"",XLOOKUP(F671,Productos!E:E,Productos!A:A,"",0,1))</f>
        <v/>
      </c>
      <c r="C671" s="14" t="str">
        <f t="array" ref="C671">IF(OR(G671="",G671="Selecciona.."),"",XLOOKUP(G671,Productos!$E:$E,Productos!$A:$A,"",0,1))</f>
        <v/>
      </c>
      <c r="D671" s="14" t="str">
        <f t="shared" si="2"/>
        <v/>
      </c>
      <c r="E671" s="14"/>
      <c r="F671" s="15" t="str">
        <f t="shared" si="4"/>
        <v/>
      </c>
      <c r="G671" s="15" t="str">
        <f t="shared" ref="G671:H671" si="668">IF(OR(F671="",F671="Selecciona.."),"","Selecciona..")</f>
        <v/>
      </c>
      <c r="H671" s="13" t="str">
        <f t="shared" si="668"/>
        <v/>
      </c>
    </row>
    <row r="672">
      <c r="A672" s="14" t="str">
        <f t="shared" si="1"/>
        <v/>
      </c>
      <c r="B672" s="14" t="str">
        <f t="array" ref="B672">IF(OR(F672="",F672="Selecciona.."),"",XLOOKUP(F672,Productos!E:E,Productos!A:A,"",0,1))</f>
        <v/>
      </c>
      <c r="C672" s="14" t="str">
        <f t="array" ref="C672">IF(OR(G672="",G672="Selecciona.."),"",XLOOKUP(G672,Productos!$E:$E,Productos!$A:$A,"",0,1))</f>
        <v/>
      </c>
      <c r="D672" s="14" t="str">
        <f t="shared" si="2"/>
        <v/>
      </c>
      <c r="E672" s="14"/>
      <c r="F672" s="15" t="str">
        <f t="shared" si="4"/>
        <v/>
      </c>
      <c r="G672" s="15" t="str">
        <f t="shared" ref="G672:H672" si="669">IF(OR(F672="",F672="Selecciona.."),"","Selecciona..")</f>
        <v/>
      </c>
      <c r="H672" s="13" t="str">
        <f t="shared" si="669"/>
        <v/>
      </c>
    </row>
    <row r="673">
      <c r="A673" s="14" t="str">
        <f t="shared" si="1"/>
        <v/>
      </c>
      <c r="B673" s="14" t="str">
        <f t="array" ref="B673">IF(OR(F673="",F673="Selecciona.."),"",XLOOKUP(F673,Productos!E:E,Productos!A:A,"",0,1))</f>
        <v/>
      </c>
      <c r="C673" s="14" t="str">
        <f t="array" ref="C673">IF(OR(G673="",G673="Selecciona.."),"",XLOOKUP(G673,Productos!$E:$E,Productos!$A:$A,"",0,1))</f>
        <v/>
      </c>
      <c r="D673" s="14" t="str">
        <f t="shared" si="2"/>
        <v/>
      </c>
      <c r="E673" s="14"/>
      <c r="F673" s="15" t="str">
        <f t="shared" si="4"/>
        <v/>
      </c>
      <c r="G673" s="15" t="str">
        <f t="shared" ref="G673:H673" si="670">IF(OR(F673="",F673="Selecciona.."),"","Selecciona..")</f>
        <v/>
      </c>
      <c r="H673" s="13" t="str">
        <f t="shared" si="670"/>
        <v/>
      </c>
    </row>
    <row r="674">
      <c r="A674" s="14" t="str">
        <f t="shared" si="1"/>
        <v/>
      </c>
      <c r="B674" s="14" t="str">
        <f t="array" ref="B674">IF(OR(F674="",F674="Selecciona.."),"",XLOOKUP(F674,Productos!E:E,Productos!A:A,"",0,1))</f>
        <v/>
      </c>
      <c r="C674" s="14" t="str">
        <f t="array" ref="C674">IF(OR(G674="",G674="Selecciona.."),"",XLOOKUP(G674,Productos!$E:$E,Productos!$A:$A,"",0,1))</f>
        <v/>
      </c>
      <c r="D674" s="14" t="str">
        <f t="shared" si="2"/>
        <v/>
      </c>
      <c r="E674" s="14"/>
      <c r="F674" s="15" t="str">
        <f t="shared" si="4"/>
        <v/>
      </c>
      <c r="G674" s="15" t="str">
        <f t="shared" ref="G674:H674" si="671">IF(OR(F674="",F674="Selecciona.."),"","Selecciona..")</f>
        <v/>
      </c>
      <c r="H674" s="13" t="str">
        <f t="shared" si="671"/>
        <v/>
      </c>
    </row>
    <row r="675">
      <c r="A675" s="14" t="str">
        <f t="shared" si="1"/>
        <v/>
      </c>
      <c r="B675" s="14" t="str">
        <f t="array" ref="B675">IF(OR(F675="",F675="Selecciona.."),"",XLOOKUP(F675,Productos!E:E,Productos!A:A,"",0,1))</f>
        <v/>
      </c>
      <c r="C675" s="14" t="str">
        <f t="array" ref="C675">IF(OR(G675="",G675="Selecciona.."),"",XLOOKUP(G675,Productos!$E:$E,Productos!$A:$A,"",0,1))</f>
        <v/>
      </c>
      <c r="D675" s="14" t="str">
        <f t="shared" si="2"/>
        <v/>
      </c>
      <c r="E675" s="14"/>
      <c r="F675" s="15" t="str">
        <f t="shared" si="4"/>
        <v/>
      </c>
      <c r="G675" s="15" t="str">
        <f t="shared" ref="G675:H675" si="672">IF(OR(F675="",F675="Selecciona.."),"","Selecciona..")</f>
        <v/>
      </c>
      <c r="H675" s="13" t="str">
        <f t="shared" si="672"/>
        <v/>
      </c>
    </row>
    <row r="676">
      <c r="A676" s="14" t="str">
        <f t="shared" si="1"/>
        <v/>
      </c>
      <c r="B676" s="14" t="str">
        <f t="array" ref="B676">IF(OR(F676="",F676="Selecciona.."),"",XLOOKUP(F676,Productos!E:E,Productos!A:A,"",0,1))</f>
        <v/>
      </c>
      <c r="C676" s="14" t="str">
        <f t="array" ref="C676">IF(OR(G676="",G676="Selecciona.."),"",XLOOKUP(G676,Productos!$E:$E,Productos!$A:$A,"",0,1))</f>
        <v/>
      </c>
      <c r="D676" s="14" t="str">
        <f t="shared" si="2"/>
        <v/>
      </c>
      <c r="E676" s="14"/>
      <c r="F676" s="15" t="str">
        <f t="shared" si="4"/>
        <v/>
      </c>
      <c r="G676" s="15" t="str">
        <f t="shared" ref="G676:H676" si="673">IF(OR(F676="",F676="Selecciona.."),"","Selecciona..")</f>
        <v/>
      </c>
      <c r="H676" s="13" t="str">
        <f t="shared" si="673"/>
        <v/>
      </c>
    </row>
    <row r="677">
      <c r="A677" s="14" t="str">
        <f t="shared" si="1"/>
        <v/>
      </c>
      <c r="B677" s="14" t="str">
        <f t="array" ref="B677">IF(OR(F677="",F677="Selecciona.."),"",XLOOKUP(F677,Productos!E:E,Productos!A:A,"",0,1))</f>
        <v/>
      </c>
      <c r="C677" s="14" t="str">
        <f t="array" ref="C677">IF(OR(G677="",G677="Selecciona.."),"",XLOOKUP(G677,Productos!$E:$E,Productos!$A:$A,"",0,1))</f>
        <v/>
      </c>
      <c r="D677" s="14" t="str">
        <f t="shared" si="2"/>
        <v/>
      </c>
      <c r="E677" s="14"/>
      <c r="F677" s="15" t="str">
        <f t="shared" si="4"/>
        <v/>
      </c>
      <c r="G677" s="15" t="str">
        <f t="shared" ref="G677:H677" si="674">IF(OR(F677="",F677="Selecciona.."),"","Selecciona..")</f>
        <v/>
      </c>
      <c r="H677" s="13" t="str">
        <f t="shared" si="674"/>
        <v/>
      </c>
    </row>
    <row r="678">
      <c r="A678" s="14" t="str">
        <f t="shared" si="1"/>
        <v/>
      </c>
      <c r="B678" s="14" t="str">
        <f t="array" ref="B678">IF(OR(F678="",F678="Selecciona.."),"",XLOOKUP(F678,Productos!E:E,Productos!A:A,"",0,1))</f>
        <v/>
      </c>
      <c r="C678" s="14" t="str">
        <f t="array" ref="C678">IF(OR(G678="",G678="Selecciona.."),"",XLOOKUP(G678,Productos!$E:$E,Productos!$A:$A,"",0,1))</f>
        <v/>
      </c>
      <c r="D678" s="14" t="str">
        <f t="shared" si="2"/>
        <v/>
      </c>
      <c r="E678" s="14"/>
      <c r="F678" s="15" t="str">
        <f t="shared" si="4"/>
        <v/>
      </c>
      <c r="G678" s="15" t="str">
        <f t="shared" ref="G678:H678" si="675">IF(OR(F678="",F678="Selecciona.."),"","Selecciona..")</f>
        <v/>
      </c>
      <c r="H678" s="13" t="str">
        <f t="shared" si="675"/>
        <v/>
      </c>
    </row>
    <row r="679">
      <c r="A679" s="14" t="str">
        <f t="shared" si="1"/>
        <v/>
      </c>
      <c r="B679" s="14" t="str">
        <f t="array" ref="B679">IF(OR(F679="",F679="Selecciona.."),"",XLOOKUP(F679,Productos!E:E,Productos!A:A,"",0,1))</f>
        <v/>
      </c>
      <c r="C679" s="14" t="str">
        <f t="array" ref="C679">IF(OR(G679="",G679="Selecciona.."),"",XLOOKUP(G679,Productos!$E:$E,Productos!$A:$A,"",0,1))</f>
        <v/>
      </c>
      <c r="D679" s="14" t="str">
        <f t="shared" si="2"/>
        <v/>
      </c>
      <c r="E679" s="14"/>
      <c r="F679" s="15" t="str">
        <f t="shared" si="4"/>
        <v/>
      </c>
      <c r="G679" s="15" t="str">
        <f t="shared" ref="G679:H679" si="676">IF(OR(F679="",F679="Selecciona.."),"","Selecciona..")</f>
        <v/>
      </c>
      <c r="H679" s="13" t="str">
        <f t="shared" si="676"/>
        <v/>
      </c>
    </row>
    <row r="680">
      <c r="A680" s="14" t="str">
        <f t="shared" si="1"/>
        <v/>
      </c>
      <c r="B680" s="14" t="str">
        <f t="array" ref="B680">IF(OR(F680="",F680="Selecciona.."),"",XLOOKUP(F680,Productos!E:E,Productos!A:A,"",0,1))</f>
        <v/>
      </c>
      <c r="C680" s="14" t="str">
        <f t="array" ref="C680">IF(OR(G680="",G680="Selecciona.."),"",XLOOKUP(G680,Productos!$E:$E,Productos!$A:$A,"",0,1))</f>
        <v/>
      </c>
      <c r="D680" s="14" t="str">
        <f t="shared" si="2"/>
        <v/>
      </c>
      <c r="E680" s="14"/>
      <c r="F680" s="15" t="str">
        <f t="shared" si="4"/>
        <v/>
      </c>
      <c r="G680" s="15" t="str">
        <f t="shared" ref="G680:H680" si="677">IF(OR(F680="",F680="Selecciona.."),"","Selecciona..")</f>
        <v/>
      </c>
      <c r="H680" s="13" t="str">
        <f t="shared" si="677"/>
        <v/>
      </c>
    </row>
    <row r="681">
      <c r="A681" s="14" t="str">
        <f t="shared" si="1"/>
        <v/>
      </c>
      <c r="B681" s="14" t="str">
        <f t="array" ref="B681">IF(OR(F681="",F681="Selecciona.."),"",XLOOKUP(F681,Productos!E:E,Productos!A:A,"",0,1))</f>
        <v/>
      </c>
      <c r="C681" s="14" t="str">
        <f t="array" ref="C681">IF(OR(G681="",G681="Selecciona.."),"",XLOOKUP(G681,Productos!$E:$E,Productos!$A:$A,"",0,1))</f>
        <v/>
      </c>
      <c r="D681" s="14" t="str">
        <f t="shared" si="2"/>
        <v/>
      </c>
      <c r="E681" s="14"/>
      <c r="F681" s="15" t="str">
        <f t="shared" si="4"/>
        <v/>
      </c>
      <c r="G681" s="15" t="str">
        <f t="shared" ref="G681:H681" si="678">IF(OR(F681="",F681="Selecciona.."),"","Selecciona..")</f>
        <v/>
      </c>
      <c r="H681" s="13" t="str">
        <f t="shared" si="678"/>
        <v/>
      </c>
    </row>
    <row r="682">
      <c r="A682" s="14" t="str">
        <f t="shared" si="1"/>
        <v/>
      </c>
      <c r="B682" s="14" t="str">
        <f t="array" ref="B682">IF(OR(F682="",F682="Selecciona.."),"",XLOOKUP(F682,Productos!E:E,Productos!A:A,"",0,1))</f>
        <v/>
      </c>
      <c r="C682" s="14" t="str">
        <f t="array" ref="C682">IF(OR(G682="",G682="Selecciona.."),"",XLOOKUP(G682,Productos!$E:$E,Productos!$A:$A,"",0,1))</f>
        <v/>
      </c>
      <c r="D682" s="14" t="str">
        <f t="shared" si="2"/>
        <v/>
      </c>
      <c r="E682" s="14"/>
      <c r="F682" s="15" t="str">
        <f t="shared" si="4"/>
        <v/>
      </c>
      <c r="G682" s="15" t="str">
        <f t="shared" ref="G682:H682" si="679">IF(OR(F682="",F682="Selecciona.."),"","Selecciona..")</f>
        <v/>
      </c>
      <c r="H682" s="13" t="str">
        <f t="shared" si="679"/>
        <v/>
      </c>
    </row>
    <row r="683">
      <c r="A683" s="14" t="str">
        <f t="shared" si="1"/>
        <v/>
      </c>
      <c r="B683" s="14" t="str">
        <f t="array" ref="B683">IF(OR(F683="",F683="Selecciona.."),"",XLOOKUP(F683,Productos!E:E,Productos!A:A,"",0,1))</f>
        <v/>
      </c>
      <c r="C683" s="14" t="str">
        <f t="array" ref="C683">IF(OR(G683="",G683="Selecciona.."),"",XLOOKUP(G683,Productos!$E:$E,Productos!$A:$A,"",0,1))</f>
        <v/>
      </c>
      <c r="D683" s="14" t="str">
        <f t="shared" si="2"/>
        <v/>
      </c>
      <c r="E683" s="14"/>
      <c r="F683" s="15" t="str">
        <f t="shared" si="4"/>
        <v/>
      </c>
      <c r="G683" s="15" t="str">
        <f t="shared" ref="G683:H683" si="680">IF(OR(F683="",F683="Selecciona.."),"","Selecciona..")</f>
        <v/>
      </c>
      <c r="H683" s="13" t="str">
        <f t="shared" si="680"/>
        <v/>
      </c>
    </row>
    <row r="684">
      <c r="A684" s="14" t="str">
        <f t="shared" si="1"/>
        <v/>
      </c>
      <c r="B684" s="14" t="str">
        <f t="array" ref="B684">IF(OR(F684="",F684="Selecciona.."),"",XLOOKUP(F684,Productos!E:E,Productos!A:A,"",0,1))</f>
        <v/>
      </c>
      <c r="C684" s="14" t="str">
        <f t="array" ref="C684">IF(OR(G684="",G684="Selecciona.."),"",XLOOKUP(G684,Productos!$E:$E,Productos!$A:$A,"",0,1))</f>
        <v/>
      </c>
      <c r="D684" s="14" t="str">
        <f t="shared" si="2"/>
        <v/>
      </c>
      <c r="E684" s="14"/>
      <c r="F684" s="15" t="str">
        <f t="shared" si="4"/>
        <v/>
      </c>
      <c r="G684" s="15" t="str">
        <f t="shared" ref="G684:H684" si="681">IF(OR(F684="",F684="Selecciona.."),"","Selecciona..")</f>
        <v/>
      </c>
      <c r="H684" s="13" t="str">
        <f t="shared" si="681"/>
        <v/>
      </c>
    </row>
    <row r="685">
      <c r="A685" s="14" t="str">
        <f t="shared" si="1"/>
        <v/>
      </c>
      <c r="B685" s="14" t="str">
        <f t="array" ref="B685">IF(OR(F685="",F685="Selecciona.."),"",XLOOKUP(F685,Productos!E:E,Productos!A:A,"",0,1))</f>
        <v/>
      </c>
      <c r="C685" s="14" t="str">
        <f t="array" ref="C685">IF(OR(G685="",G685="Selecciona.."),"",XLOOKUP(G685,Productos!$E:$E,Productos!$A:$A,"",0,1))</f>
        <v/>
      </c>
      <c r="D685" s="14" t="str">
        <f t="shared" si="2"/>
        <v/>
      </c>
      <c r="E685" s="14"/>
      <c r="F685" s="15" t="str">
        <f t="shared" si="4"/>
        <v/>
      </c>
      <c r="G685" s="15" t="str">
        <f t="shared" ref="G685:H685" si="682">IF(OR(F685="",F685="Selecciona.."),"","Selecciona..")</f>
        <v/>
      </c>
      <c r="H685" s="13" t="str">
        <f t="shared" si="682"/>
        <v/>
      </c>
    </row>
    <row r="686">
      <c r="A686" s="14" t="str">
        <f t="shared" si="1"/>
        <v/>
      </c>
      <c r="B686" s="14" t="str">
        <f t="array" ref="B686">IF(OR(F686="",F686="Selecciona.."),"",XLOOKUP(F686,Productos!E:E,Productos!A:A,"",0,1))</f>
        <v/>
      </c>
      <c r="C686" s="14" t="str">
        <f t="array" ref="C686">IF(OR(G686="",G686="Selecciona.."),"",XLOOKUP(G686,Productos!$E:$E,Productos!$A:$A,"",0,1))</f>
        <v/>
      </c>
      <c r="D686" s="14" t="str">
        <f t="shared" si="2"/>
        <v/>
      </c>
      <c r="E686" s="14"/>
      <c r="F686" s="15" t="str">
        <f t="shared" si="4"/>
        <v/>
      </c>
      <c r="G686" s="15" t="str">
        <f t="shared" ref="G686:H686" si="683">IF(OR(F686="",F686="Selecciona.."),"","Selecciona..")</f>
        <v/>
      </c>
      <c r="H686" s="13" t="str">
        <f t="shared" si="683"/>
        <v/>
      </c>
    </row>
    <row r="687">
      <c r="A687" s="14" t="str">
        <f t="shared" si="1"/>
        <v/>
      </c>
      <c r="B687" s="14" t="str">
        <f t="array" ref="B687">IF(OR(F687="",F687="Selecciona.."),"",XLOOKUP(F687,Productos!E:E,Productos!A:A,"",0,1))</f>
        <v/>
      </c>
      <c r="C687" s="14" t="str">
        <f t="array" ref="C687">IF(OR(G687="",G687="Selecciona.."),"",XLOOKUP(G687,Productos!$E:$E,Productos!$A:$A,"",0,1))</f>
        <v/>
      </c>
      <c r="D687" s="14" t="str">
        <f t="shared" si="2"/>
        <v/>
      </c>
      <c r="E687" s="14"/>
      <c r="F687" s="15" t="str">
        <f t="shared" si="4"/>
        <v/>
      </c>
      <c r="G687" s="15" t="str">
        <f t="shared" ref="G687:H687" si="684">IF(OR(F687="",F687="Selecciona.."),"","Selecciona..")</f>
        <v/>
      </c>
      <c r="H687" s="13" t="str">
        <f t="shared" si="684"/>
        <v/>
      </c>
    </row>
    <row r="688">
      <c r="A688" s="14" t="str">
        <f t="shared" si="1"/>
        <v/>
      </c>
      <c r="B688" s="14" t="str">
        <f t="array" ref="B688">IF(OR(F688="",F688="Selecciona.."),"",XLOOKUP(F688,Productos!E:E,Productos!A:A,"",0,1))</f>
        <v/>
      </c>
      <c r="C688" s="14" t="str">
        <f t="array" ref="C688">IF(OR(G688="",G688="Selecciona.."),"",XLOOKUP(G688,Productos!$E:$E,Productos!$A:$A,"",0,1))</f>
        <v/>
      </c>
      <c r="D688" s="14" t="str">
        <f t="shared" si="2"/>
        <v/>
      </c>
      <c r="E688" s="14"/>
      <c r="F688" s="15" t="str">
        <f t="shared" si="4"/>
        <v/>
      </c>
      <c r="G688" s="15" t="str">
        <f t="shared" ref="G688:H688" si="685">IF(OR(F688="",F688="Selecciona.."),"","Selecciona..")</f>
        <v/>
      </c>
      <c r="H688" s="13" t="str">
        <f t="shared" si="685"/>
        <v/>
      </c>
    </row>
    <row r="689">
      <c r="A689" s="14" t="str">
        <f t="shared" si="1"/>
        <v/>
      </c>
      <c r="B689" s="14" t="str">
        <f t="array" ref="B689">IF(OR(F689="",F689="Selecciona.."),"",XLOOKUP(F689,Productos!E:E,Productos!A:A,"",0,1))</f>
        <v/>
      </c>
      <c r="C689" s="14" t="str">
        <f t="array" ref="C689">IF(OR(G689="",G689="Selecciona.."),"",XLOOKUP(G689,Productos!$E:$E,Productos!$A:$A,"",0,1))</f>
        <v/>
      </c>
      <c r="D689" s="14" t="str">
        <f t="shared" si="2"/>
        <v/>
      </c>
      <c r="E689" s="14"/>
      <c r="F689" s="15" t="str">
        <f t="shared" si="4"/>
        <v/>
      </c>
      <c r="G689" s="15" t="str">
        <f t="shared" ref="G689:H689" si="686">IF(OR(F689="",F689="Selecciona.."),"","Selecciona..")</f>
        <v/>
      </c>
      <c r="H689" s="13" t="str">
        <f t="shared" si="686"/>
        <v/>
      </c>
    </row>
    <row r="690">
      <c r="A690" s="14" t="str">
        <f t="shared" si="1"/>
        <v/>
      </c>
      <c r="B690" s="14" t="str">
        <f t="array" ref="B690">IF(OR(F690="",F690="Selecciona.."),"",XLOOKUP(F690,Productos!E:E,Productos!A:A,"",0,1))</f>
        <v/>
      </c>
      <c r="C690" s="14" t="str">
        <f t="array" ref="C690">IF(OR(G690="",G690="Selecciona.."),"",XLOOKUP(G690,Productos!$E:$E,Productos!$A:$A,"",0,1))</f>
        <v/>
      </c>
      <c r="D690" s="14" t="str">
        <f t="shared" si="2"/>
        <v/>
      </c>
      <c r="E690" s="14"/>
      <c r="F690" s="15" t="str">
        <f t="shared" si="4"/>
        <v/>
      </c>
      <c r="G690" s="15" t="str">
        <f t="shared" ref="G690:H690" si="687">IF(OR(F690="",F690="Selecciona.."),"","Selecciona..")</f>
        <v/>
      </c>
      <c r="H690" s="13" t="str">
        <f t="shared" si="687"/>
        <v/>
      </c>
    </row>
    <row r="691">
      <c r="A691" s="14" t="str">
        <f t="shared" si="1"/>
        <v/>
      </c>
      <c r="B691" s="14" t="str">
        <f t="array" ref="B691">IF(OR(F691="",F691="Selecciona.."),"",XLOOKUP(F691,Productos!E:E,Productos!A:A,"",0,1))</f>
        <v/>
      </c>
      <c r="C691" s="14" t="str">
        <f t="array" ref="C691">IF(OR(G691="",G691="Selecciona.."),"",XLOOKUP(G691,Productos!$E:$E,Productos!$A:$A,"",0,1))</f>
        <v/>
      </c>
      <c r="D691" s="14" t="str">
        <f t="shared" si="2"/>
        <v/>
      </c>
      <c r="E691" s="14"/>
      <c r="F691" s="15" t="str">
        <f t="shared" si="4"/>
        <v/>
      </c>
      <c r="G691" s="15" t="str">
        <f t="shared" ref="G691:H691" si="688">IF(OR(F691="",F691="Selecciona.."),"","Selecciona..")</f>
        <v/>
      </c>
      <c r="H691" s="13" t="str">
        <f t="shared" si="688"/>
        <v/>
      </c>
    </row>
    <row r="692">
      <c r="A692" s="14" t="str">
        <f t="shared" si="1"/>
        <v/>
      </c>
      <c r="B692" s="14" t="str">
        <f t="array" ref="B692">IF(OR(F692="",F692="Selecciona.."),"",XLOOKUP(F692,Productos!E:E,Productos!A:A,"",0,1))</f>
        <v/>
      </c>
      <c r="C692" s="14" t="str">
        <f t="array" ref="C692">IF(OR(G692="",G692="Selecciona.."),"",XLOOKUP(G692,Productos!$E:$E,Productos!$A:$A,"",0,1))</f>
        <v/>
      </c>
      <c r="D692" s="14" t="str">
        <f t="shared" si="2"/>
        <v/>
      </c>
      <c r="E692" s="14"/>
      <c r="F692" s="15" t="str">
        <f t="shared" si="4"/>
        <v/>
      </c>
      <c r="G692" s="15" t="str">
        <f t="shared" ref="G692:H692" si="689">IF(OR(F692="",F692="Selecciona.."),"","Selecciona..")</f>
        <v/>
      </c>
      <c r="H692" s="13" t="str">
        <f t="shared" si="689"/>
        <v/>
      </c>
    </row>
    <row r="693">
      <c r="A693" s="14" t="str">
        <f t="shared" si="1"/>
        <v/>
      </c>
      <c r="B693" s="14" t="str">
        <f t="array" ref="B693">IF(OR(F693="",F693="Selecciona.."),"",XLOOKUP(F693,Productos!E:E,Productos!A:A,"",0,1))</f>
        <v/>
      </c>
      <c r="C693" s="14" t="str">
        <f t="array" ref="C693">IF(OR(G693="",G693="Selecciona.."),"",XLOOKUP(G693,Productos!$E:$E,Productos!$A:$A,"",0,1))</f>
        <v/>
      </c>
      <c r="D693" s="14" t="str">
        <f t="shared" si="2"/>
        <v/>
      </c>
      <c r="E693" s="14"/>
      <c r="F693" s="15" t="str">
        <f t="shared" si="4"/>
        <v/>
      </c>
      <c r="G693" s="15" t="str">
        <f t="shared" ref="G693:H693" si="690">IF(OR(F693="",F693="Selecciona.."),"","Selecciona..")</f>
        <v/>
      </c>
      <c r="H693" s="13" t="str">
        <f t="shared" si="690"/>
        <v/>
      </c>
    </row>
    <row r="694">
      <c r="A694" s="14" t="str">
        <f t="shared" si="1"/>
        <v/>
      </c>
      <c r="B694" s="14" t="str">
        <f t="array" ref="B694">IF(OR(F694="",F694="Selecciona.."),"",XLOOKUP(F694,Productos!E:E,Productos!A:A,"",0,1))</f>
        <v/>
      </c>
      <c r="C694" s="14" t="str">
        <f t="array" ref="C694">IF(OR(G694="",G694="Selecciona.."),"",XLOOKUP(G694,Productos!$E:$E,Productos!$A:$A,"",0,1))</f>
        <v/>
      </c>
      <c r="D694" s="14" t="str">
        <f t="shared" si="2"/>
        <v/>
      </c>
      <c r="E694" s="14"/>
      <c r="F694" s="15" t="str">
        <f t="shared" si="4"/>
        <v/>
      </c>
      <c r="G694" s="15" t="str">
        <f t="shared" ref="G694:H694" si="691">IF(OR(F694="",F694="Selecciona.."),"","Selecciona..")</f>
        <v/>
      </c>
      <c r="H694" s="13" t="str">
        <f t="shared" si="691"/>
        <v/>
      </c>
    </row>
    <row r="695">
      <c r="A695" s="14" t="str">
        <f t="shared" si="1"/>
        <v/>
      </c>
      <c r="B695" s="14" t="str">
        <f t="array" ref="B695">IF(OR(F695="",F695="Selecciona.."),"",XLOOKUP(F695,Productos!E:E,Productos!A:A,"",0,1))</f>
        <v/>
      </c>
      <c r="C695" s="14" t="str">
        <f t="array" ref="C695">IF(OR(G695="",G695="Selecciona.."),"",XLOOKUP(G695,Productos!$E:$E,Productos!$A:$A,"",0,1))</f>
        <v/>
      </c>
      <c r="D695" s="14" t="str">
        <f t="shared" si="2"/>
        <v/>
      </c>
      <c r="E695" s="14"/>
      <c r="F695" s="15" t="str">
        <f t="shared" si="4"/>
        <v/>
      </c>
      <c r="G695" s="15" t="str">
        <f t="shared" ref="G695:H695" si="692">IF(OR(F695="",F695="Selecciona.."),"","Selecciona..")</f>
        <v/>
      </c>
      <c r="H695" s="13" t="str">
        <f t="shared" si="692"/>
        <v/>
      </c>
    </row>
    <row r="696">
      <c r="A696" s="14" t="str">
        <f t="shared" si="1"/>
        <v/>
      </c>
      <c r="B696" s="14" t="str">
        <f t="array" ref="B696">IF(OR(F696="",F696="Selecciona.."),"",XLOOKUP(F696,Productos!E:E,Productos!A:A,"",0,1))</f>
        <v/>
      </c>
      <c r="C696" s="14" t="str">
        <f t="array" ref="C696">IF(OR(G696="",G696="Selecciona.."),"",XLOOKUP(G696,Productos!$E:$E,Productos!$A:$A,"",0,1))</f>
        <v/>
      </c>
      <c r="D696" s="14" t="str">
        <f t="shared" si="2"/>
        <v/>
      </c>
      <c r="E696" s="14"/>
      <c r="F696" s="15" t="str">
        <f t="shared" si="4"/>
        <v/>
      </c>
      <c r="G696" s="15" t="str">
        <f t="shared" ref="G696:H696" si="693">IF(OR(F696="",F696="Selecciona.."),"","Selecciona..")</f>
        <v/>
      </c>
      <c r="H696" s="13" t="str">
        <f t="shared" si="693"/>
        <v/>
      </c>
    </row>
    <row r="697">
      <c r="A697" s="14" t="str">
        <f t="shared" si="1"/>
        <v/>
      </c>
      <c r="B697" s="14" t="str">
        <f t="array" ref="B697">IF(OR(F697="",F697="Selecciona.."),"",XLOOKUP(F697,Productos!E:E,Productos!A:A,"",0,1))</f>
        <v/>
      </c>
      <c r="C697" s="14" t="str">
        <f t="array" ref="C697">IF(OR(G697="",G697="Selecciona.."),"",XLOOKUP(G697,Productos!$E:$E,Productos!$A:$A,"",0,1))</f>
        <v/>
      </c>
      <c r="D697" s="14" t="str">
        <f t="shared" si="2"/>
        <v/>
      </c>
      <c r="E697" s="14"/>
      <c r="F697" s="15" t="str">
        <f t="shared" si="4"/>
        <v/>
      </c>
      <c r="G697" s="15" t="str">
        <f t="shared" ref="G697:H697" si="694">IF(OR(F697="",F697="Selecciona.."),"","Selecciona..")</f>
        <v/>
      </c>
      <c r="H697" s="13" t="str">
        <f t="shared" si="694"/>
        <v/>
      </c>
    </row>
    <row r="698">
      <c r="A698" s="14" t="str">
        <f t="shared" si="1"/>
        <v/>
      </c>
      <c r="B698" s="14" t="str">
        <f t="array" ref="B698">IF(OR(F698="",F698="Selecciona.."),"",XLOOKUP(F698,Productos!E:E,Productos!A:A,"",0,1))</f>
        <v/>
      </c>
      <c r="C698" s="14" t="str">
        <f t="array" ref="C698">IF(OR(G698="",G698="Selecciona.."),"",XLOOKUP(G698,Productos!$E:$E,Productos!$A:$A,"",0,1))</f>
        <v/>
      </c>
      <c r="D698" s="14" t="str">
        <f t="shared" si="2"/>
        <v/>
      </c>
      <c r="E698" s="14"/>
      <c r="F698" s="15" t="str">
        <f t="shared" si="4"/>
        <v/>
      </c>
      <c r="G698" s="15" t="str">
        <f t="shared" ref="G698:H698" si="695">IF(OR(F698="",F698="Selecciona.."),"","Selecciona..")</f>
        <v/>
      </c>
      <c r="H698" s="13" t="str">
        <f t="shared" si="695"/>
        <v/>
      </c>
    </row>
    <row r="699">
      <c r="A699" s="14" t="str">
        <f t="shared" si="1"/>
        <v/>
      </c>
      <c r="B699" s="14" t="str">
        <f t="array" ref="B699">IF(OR(F699="",F699="Selecciona.."),"",XLOOKUP(F699,Productos!E:E,Productos!A:A,"",0,1))</f>
        <v/>
      </c>
      <c r="C699" s="14" t="str">
        <f t="array" ref="C699">IF(OR(G699="",G699="Selecciona.."),"",XLOOKUP(G699,Productos!$E:$E,Productos!$A:$A,"",0,1))</f>
        <v/>
      </c>
      <c r="D699" s="14" t="str">
        <f t="shared" si="2"/>
        <v/>
      </c>
      <c r="E699" s="14"/>
      <c r="F699" s="15" t="str">
        <f t="shared" si="4"/>
        <v/>
      </c>
      <c r="G699" s="15" t="str">
        <f t="shared" ref="G699:H699" si="696">IF(OR(F699="",F699="Selecciona.."),"","Selecciona..")</f>
        <v/>
      </c>
      <c r="H699" s="13" t="str">
        <f t="shared" si="696"/>
        <v/>
      </c>
    </row>
    <row r="700">
      <c r="A700" s="14" t="str">
        <f t="shared" si="1"/>
        <v/>
      </c>
      <c r="B700" s="14" t="str">
        <f t="array" ref="B700">IF(OR(F700="",F700="Selecciona.."),"",XLOOKUP(F700,Productos!E:E,Productos!A:A,"",0,1))</f>
        <v/>
      </c>
      <c r="C700" s="14" t="str">
        <f t="array" ref="C700">IF(OR(G700="",G700="Selecciona.."),"",XLOOKUP(G700,Productos!$E:$E,Productos!$A:$A,"",0,1))</f>
        <v/>
      </c>
      <c r="D700" s="14" t="str">
        <f t="shared" si="2"/>
        <v/>
      </c>
      <c r="E700" s="14"/>
      <c r="F700" s="15" t="str">
        <f t="shared" si="4"/>
        <v/>
      </c>
      <c r="G700" s="15" t="str">
        <f t="shared" ref="G700:H700" si="697">IF(OR(F700="",F700="Selecciona.."),"","Selecciona..")</f>
        <v/>
      </c>
      <c r="H700" s="13" t="str">
        <f t="shared" si="697"/>
        <v/>
      </c>
    </row>
    <row r="701">
      <c r="A701" s="14" t="str">
        <f t="shared" si="1"/>
        <v/>
      </c>
      <c r="B701" s="14" t="str">
        <f t="array" ref="B701">IF(OR(F701="",F701="Selecciona.."),"",XLOOKUP(F701,Productos!E:E,Productos!A:A,"",0,1))</f>
        <v/>
      </c>
      <c r="C701" s="14" t="str">
        <f t="array" ref="C701">IF(OR(G701="",G701="Selecciona.."),"",XLOOKUP(G701,Productos!$E:$E,Productos!$A:$A,"",0,1))</f>
        <v/>
      </c>
      <c r="D701" s="14" t="str">
        <f t="shared" si="2"/>
        <v/>
      </c>
      <c r="E701" s="14"/>
      <c r="F701" s="15" t="str">
        <f t="shared" si="4"/>
        <v/>
      </c>
      <c r="G701" s="15" t="str">
        <f t="shared" ref="G701:H701" si="698">IF(OR(F701="",F701="Selecciona.."),"","Selecciona..")</f>
        <v/>
      </c>
      <c r="H701" s="13" t="str">
        <f t="shared" si="698"/>
        <v/>
      </c>
    </row>
    <row r="702">
      <c r="A702" s="14" t="str">
        <f t="shared" si="1"/>
        <v/>
      </c>
      <c r="B702" s="14" t="str">
        <f t="array" ref="B702">IF(OR(F702="",F702="Selecciona.."),"",XLOOKUP(F702,Productos!E:E,Productos!A:A,"",0,1))</f>
        <v/>
      </c>
      <c r="C702" s="14" t="str">
        <f t="array" ref="C702">IF(OR(G702="",G702="Selecciona.."),"",XLOOKUP(G702,Productos!$E:$E,Productos!$A:$A,"",0,1))</f>
        <v/>
      </c>
      <c r="D702" s="14" t="str">
        <f t="shared" si="2"/>
        <v/>
      </c>
      <c r="E702" s="14"/>
      <c r="F702" s="15" t="str">
        <f t="shared" si="4"/>
        <v/>
      </c>
      <c r="G702" s="15" t="str">
        <f t="shared" ref="G702:H702" si="699">IF(OR(F702="",F702="Selecciona.."),"","Selecciona..")</f>
        <v/>
      </c>
      <c r="H702" s="13" t="str">
        <f t="shared" si="699"/>
        <v/>
      </c>
    </row>
    <row r="703">
      <c r="A703" s="14" t="str">
        <f t="shared" si="1"/>
        <v/>
      </c>
      <c r="B703" s="14" t="str">
        <f t="array" ref="B703">IF(OR(F703="",F703="Selecciona.."),"",XLOOKUP(F703,Productos!E:E,Productos!A:A,"",0,1))</f>
        <v/>
      </c>
      <c r="C703" s="14" t="str">
        <f t="array" ref="C703">IF(OR(G703="",G703="Selecciona.."),"",XLOOKUP(G703,Productos!$E:$E,Productos!$A:$A,"",0,1))</f>
        <v/>
      </c>
      <c r="D703" s="14" t="str">
        <f t="shared" si="2"/>
        <v/>
      </c>
      <c r="E703" s="14"/>
      <c r="F703" s="15" t="str">
        <f t="shared" si="4"/>
        <v/>
      </c>
      <c r="G703" s="15" t="str">
        <f t="shared" ref="G703:H703" si="700">IF(OR(F703="",F703="Selecciona.."),"","Selecciona..")</f>
        <v/>
      </c>
      <c r="H703" s="13" t="str">
        <f t="shared" si="700"/>
        <v/>
      </c>
    </row>
    <row r="704">
      <c r="A704" s="14" t="str">
        <f t="shared" si="1"/>
        <v/>
      </c>
      <c r="B704" s="14" t="str">
        <f t="array" ref="B704">IF(OR(F704="",F704="Selecciona.."),"",XLOOKUP(F704,Productos!E:E,Productos!A:A,"",0,1))</f>
        <v/>
      </c>
      <c r="C704" s="14" t="str">
        <f t="array" ref="C704">IF(OR(G704="",G704="Selecciona.."),"",XLOOKUP(G704,Productos!$E:$E,Productos!$A:$A,"",0,1))</f>
        <v/>
      </c>
      <c r="D704" s="14" t="str">
        <f t="shared" si="2"/>
        <v/>
      </c>
      <c r="E704" s="14"/>
      <c r="F704" s="15" t="str">
        <f t="shared" si="4"/>
        <v/>
      </c>
      <c r="G704" s="15" t="str">
        <f t="shared" ref="G704:H704" si="701">IF(OR(F704="",F704="Selecciona.."),"","Selecciona..")</f>
        <v/>
      </c>
      <c r="H704" s="13" t="str">
        <f t="shared" si="701"/>
        <v/>
      </c>
    </row>
    <row r="705">
      <c r="A705" s="14" t="str">
        <f t="shared" si="1"/>
        <v/>
      </c>
      <c r="B705" s="14" t="str">
        <f t="array" ref="B705">IF(OR(F705="",F705="Selecciona.."),"",XLOOKUP(F705,Productos!E:E,Productos!A:A,"",0,1))</f>
        <v/>
      </c>
      <c r="C705" s="14" t="str">
        <f t="array" ref="C705">IF(OR(G705="",G705="Selecciona.."),"",XLOOKUP(G705,Productos!$E:$E,Productos!$A:$A,"",0,1))</f>
        <v/>
      </c>
      <c r="D705" s="14" t="str">
        <f t="shared" si="2"/>
        <v/>
      </c>
      <c r="E705" s="14"/>
      <c r="F705" s="15" t="str">
        <f t="shared" si="4"/>
        <v/>
      </c>
      <c r="G705" s="15" t="str">
        <f t="shared" ref="G705:H705" si="702">IF(OR(F705="",F705="Selecciona.."),"","Selecciona..")</f>
        <v/>
      </c>
      <c r="H705" s="13" t="str">
        <f t="shared" si="702"/>
        <v/>
      </c>
    </row>
    <row r="706">
      <c r="A706" s="14" t="str">
        <f t="shared" si="1"/>
        <v/>
      </c>
      <c r="B706" s="14" t="str">
        <f t="array" ref="B706">IF(OR(F706="",F706="Selecciona.."),"",XLOOKUP(F706,Productos!E:E,Productos!A:A,"",0,1))</f>
        <v/>
      </c>
      <c r="C706" s="14" t="str">
        <f t="array" ref="C706">IF(OR(G706="",G706="Selecciona.."),"",XLOOKUP(G706,Productos!$E:$E,Productos!$A:$A,"",0,1))</f>
        <v/>
      </c>
      <c r="D706" s="14" t="str">
        <f t="shared" si="2"/>
        <v/>
      </c>
      <c r="E706" s="14"/>
      <c r="F706" s="15" t="str">
        <f t="shared" si="4"/>
        <v/>
      </c>
      <c r="G706" s="15" t="str">
        <f t="shared" ref="G706:H706" si="703">IF(OR(F706="",F706="Selecciona.."),"","Selecciona..")</f>
        <v/>
      </c>
      <c r="H706" s="13" t="str">
        <f t="shared" si="703"/>
        <v/>
      </c>
    </row>
    <row r="707">
      <c r="A707" s="14" t="str">
        <f t="shared" si="1"/>
        <v/>
      </c>
      <c r="B707" s="14" t="str">
        <f t="array" ref="B707">IF(OR(F707="",F707="Selecciona.."),"",XLOOKUP(F707,Productos!E:E,Productos!A:A,"",0,1))</f>
        <v/>
      </c>
      <c r="C707" s="14" t="str">
        <f t="array" ref="C707">IF(OR(G707="",G707="Selecciona.."),"",XLOOKUP(G707,Productos!$E:$E,Productos!$A:$A,"",0,1))</f>
        <v/>
      </c>
      <c r="D707" s="14" t="str">
        <f t="shared" si="2"/>
        <v/>
      </c>
      <c r="E707" s="14"/>
      <c r="F707" s="15" t="str">
        <f t="shared" si="4"/>
        <v/>
      </c>
      <c r="G707" s="15" t="str">
        <f t="shared" ref="G707:H707" si="704">IF(OR(F707="",F707="Selecciona.."),"","Selecciona..")</f>
        <v/>
      </c>
      <c r="H707" s="13" t="str">
        <f t="shared" si="704"/>
        <v/>
      </c>
    </row>
    <row r="708">
      <c r="A708" s="14" t="str">
        <f t="shared" si="1"/>
        <v/>
      </c>
      <c r="B708" s="14" t="str">
        <f t="array" ref="B708">IF(OR(F708="",F708="Selecciona.."),"",XLOOKUP(F708,Productos!E:E,Productos!A:A,"",0,1))</f>
        <v/>
      </c>
      <c r="C708" s="14" t="str">
        <f t="array" ref="C708">IF(OR(G708="",G708="Selecciona.."),"",XLOOKUP(G708,Productos!$E:$E,Productos!$A:$A,"",0,1))</f>
        <v/>
      </c>
      <c r="D708" s="14" t="str">
        <f t="shared" si="2"/>
        <v/>
      </c>
      <c r="E708" s="14"/>
      <c r="F708" s="15" t="str">
        <f t="shared" si="4"/>
        <v/>
      </c>
      <c r="G708" s="15" t="str">
        <f t="shared" ref="G708:H708" si="705">IF(OR(F708="",F708="Selecciona.."),"","Selecciona..")</f>
        <v/>
      </c>
      <c r="H708" s="13" t="str">
        <f t="shared" si="705"/>
        <v/>
      </c>
    </row>
    <row r="709">
      <c r="A709" s="14" t="str">
        <f t="shared" si="1"/>
        <v/>
      </c>
      <c r="B709" s="14" t="str">
        <f t="array" ref="B709">IF(OR(F709="",F709="Selecciona.."),"",XLOOKUP(F709,Productos!E:E,Productos!A:A,"",0,1))</f>
        <v/>
      </c>
      <c r="C709" s="14" t="str">
        <f t="array" ref="C709">IF(OR(G709="",G709="Selecciona.."),"",XLOOKUP(G709,Productos!$E:$E,Productos!$A:$A,"",0,1))</f>
        <v/>
      </c>
      <c r="D709" s="14" t="str">
        <f t="shared" si="2"/>
        <v/>
      </c>
      <c r="E709" s="14"/>
      <c r="F709" s="15" t="str">
        <f t="shared" si="4"/>
        <v/>
      </c>
      <c r="G709" s="15" t="str">
        <f t="shared" ref="G709:H709" si="706">IF(OR(F709="",F709="Selecciona.."),"","Selecciona..")</f>
        <v/>
      </c>
      <c r="H709" s="13" t="str">
        <f t="shared" si="706"/>
        <v/>
      </c>
    </row>
    <row r="710">
      <c r="A710" s="14" t="str">
        <f t="shared" si="1"/>
        <v/>
      </c>
      <c r="B710" s="14" t="str">
        <f t="array" ref="B710">IF(OR(F710="",F710="Selecciona.."),"",XLOOKUP(F710,Productos!E:E,Productos!A:A,"",0,1))</f>
        <v/>
      </c>
      <c r="C710" s="14" t="str">
        <f t="array" ref="C710">IF(OR(G710="",G710="Selecciona.."),"",XLOOKUP(G710,Productos!$E:$E,Productos!$A:$A,"",0,1))</f>
        <v/>
      </c>
      <c r="D710" s="14" t="str">
        <f t="shared" si="2"/>
        <v/>
      </c>
      <c r="E710" s="14"/>
      <c r="F710" s="15" t="str">
        <f t="shared" si="4"/>
        <v/>
      </c>
      <c r="G710" s="15" t="str">
        <f t="shared" ref="G710:H710" si="707">IF(OR(F710="",F710="Selecciona.."),"","Selecciona..")</f>
        <v/>
      </c>
      <c r="H710" s="13" t="str">
        <f t="shared" si="707"/>
        <v/>
      </c>
    </row>
    <row r="711">
      <c r="A711" s="14" t="str">
        <f t="shared" si="1"/>
        <v/>
      </c>
      <c r="B711" s="14" t="str">
        <f t="array" ref="B711">IF(OR(F711="",F711="Selecciona.."),"",XLOOKUP(F711,Productos!E:E,Productos!A:A,"",0,1))</f>
        <v/>
      </c>
      <c r="C711" s="14" t="str">
        <f t="array" ref="C711">IF(OR(G711="",G711="Selecciona.."),"",XLOOKUP(G711,Productos!$E:$E,Productos!$A:$A,"",0,1))</f>
        <v/>
      </c>
      <c r="D711" s="14" t="str">
        <f t="shared" si="2"/>
        <v/>
      </c>
      <c r="E711" s="14"/>
      <c r="F711" s="15" t="str">
        <f t="shared" si="4"/>
        <v/>
      </c>
      <c r="G711" s="15" t="str">
        <f t="shared" ref="G711:H711" si="708">IF(OR(F711="",F711="Selecciona.."),"","Selecciona..")</f>
        <v/>
      </c>
      <c r="H711" s="13" t="str">
        <f t="shared" si="708"/>
        <v/>
      </c>
    </row>
    <row r="712">
      <c r="A712" s="14" t="str">
        <f t="shared" si="1"/>
        <v/>
      </c>
      <c r="B712" s="14" t="str">
        <f t="array" ref="B712">IF(OR(F712="",F712="Selecciona.."),"",XLOOKUP(F712,Productos!E:E,Productos!A:A,"",0,1))</f>
        <v/>
      </c>
      <c r="C712" s="14" t="str">
        <f t="array" ref="C712">IF(OR(G712="",G712="Selecciona.."),"",XLOOKUP(G712,Productos!$E:$E,Productos!$A:$A,"",0,1))</f>
        <v/>
      </c>
      <c r="D712" s="14" t="str">
        <f t="shared" si="2"/>
        <v/>
      </c>
      <c r="E712" s="14"/>
      <c r="F712" s="15" t="str">
        <f t="shared" si="4"/>
        <v/>
      </c>
      <c r="G712" s="15" t="str">
        <f t="shared" ref="G712:H712" si="709">IF(OR(F712="",F712="Selecciona.."),"","Selecciona..")</f>
        <v/>
      </c>
      <c r="H712" s="13" t="str">
        <f t="shared" si="709"/>
        <v/>
      </c>
    </row>
    <row r="713">
      <c r="A713" s="14" t="str">
        <f t="shared" si="1"/>
        <v/>
      </c>
      <c r="B713" s="14" t="str">
        <f t="array" ref="B713">IF(OR(F713="",F713="Selecciona.."),"",XLOOKUP(F713,Productos!E:E,Productos!A:A,"",0,1))</f>
        <v/>
      </c>
      <c r="C713" s="14" t="str">
        <f t="array" ref="C713">IF(OR(G713="",G713="Selecciona.."),"",XLOOKUP(G713,Productos!$E:$E,Productos!$A:$A,"",0,1))</f>
        <v/>
      </c>
      <c r="D713" s="14" t="str">
        <f t="shared" si="2"/>
        <v/>
      </c>
      <c r="E713" s="14"/>
      <c r="F713" s="15" t="str">
        <f t="shared" si="4"/>
        <v/>
      </c>
      <c r="G713" s="15" t="str">
        <f t="shared" ref="G713:H713" si="710">IF(OR(F713="",F713="Selecciona.."),"","Selecciona..")</f>
        <v/>
      </c>
      <c r="H713" s="13" t="str">
        <f t="shared" si="710"/>
        <v/>
      </c>
    </row>
    <row r="714">
      <c r="A714" s="14" t="str">
        <f t="shared" si="1"/>
        <v/>
      </c>
      <c r="B714" s="14" t="str">
        <f t="array" ref="B714">IF(OR(F714="",F714="Selecciona.."),"",XLOOKUP(F714,Productos!E:E,Productos!A:A,"",0,1))</f>
        <v/>
      </c>
      <c r="C714" s="14" t="str">
        <f t="array" ref="C714">IF(OR(G714="",G714="Selecciona.."),"",XLOOKUP(G714,Productos!$E:$E,Productos!$A:$A,"",0,1))</f>
        <v/>
      </c>
      <c r="D714" s="14" t="str">
        <f t="shared" si="2"/>
        <v/>
      </c>
      <c r="E714" s="14"/>
      <c r="F714" s="15" t="str">
        <f t="shared" si="4"/>
        <v/>
      </c>
      <c r="G714" s="15" t="str">
        <f t="shared" ref="G714:H714" si="711">IF(OR(F714="",F714="Selecciona.."),"","Selecciona..")</f>
        <v/>
      </c>
      <c r="H714" s="13" t="str">
        <f t="shared" si="711"/>
        <v/>
      </c>
    </row>
    <row r="715">
      <c r="A715" s="14" t="str">
        <f t="shared" si="1"/>
        <v/>
      </c>
      <c r="B715" s="14" t="str">
        <f t="array" ref="B715">IF(OR(F715="",F715="Selecciona.."),"",XLOOKUP(F715,Productos!E:E,Productos!A:A,"",0,1))</f>
        <v/>
      </c>
      <c r="C715" s="14" t="str">
        <f t="array" ref="C715">IF(OR(G715="",G715="Selecciona.."),"",XLOOKUP(G715,Productos!$E:$E,Productos!$A:$A,"",0,1))</f>
        <v/>
      </c>
      <c r="D715" s="14" t="str">
        <f t="shared" si="2"/>
        <v/>
      </c>
      <c r="E715" s="14"/>
      <c r="F715" s="15" t="str">
        <f t="shared" si="4"/>
        <v/>
      </c>
      <c r="G715" s="15" t="str">
        <f t="shared" ref="G715:H715" si="712">IF(OR(F715="",F715="Selecciona.."),"","Selecciona..")</f>
        <v/>
      </c>
      <c r="H715" s="13" t="str">
        <f t="shared" si="712"/>
        <v/>
      </c>
    </row>
    <row r="716">
      <c r="A716" s="14" t="str">
        <f t="shared" si="1"/>
        <v/>
      </c>
      <c r="B716" s="14" t="str">
        <f t="array" ref="B716">IF(OR(F716="",F716="Selecciona.."),"",XLOOKUP(F716,Productos!E:E,Productos!A:A,"",0,1))</f>
        <v/>
      </c>
      <c r="C716" s="14" t="str">
        <f t="array" ref="C716">IF(OR(G716="",G716="Selecciona.."),"",XLOOKUP(G716,Productos!$E:$E,Productos!$A:$A,"",0,1))</f>
        <v/>
      </c>
      <c r="D716" s="14" t="str">
        <f t="shared" si="2"/>
        <v/>
      </c>
      <c r="E716" s="14"/>
      <c r="F716" s="15" t="str">
        <f t="shared" si="4"/>
        <v/>
      </c>
      <c r="G716" s="15" t="str">
        <f t="shared" ref="G716:H716" si="713">IF(OR(F716="",F716="Selecciona.."),"","Selecciona..")</f>
        <v/>
      </c>
      <c r="H716" s="13" t="str">
        <f t="shared" si="713"/>
        <v/>
      </c>
    </row>
    <row r="717">
      <c r="A717" s="14" t="str">
        <f t="shared" si="1"/>
        <v/>
      </c>
      <c r="B717" s="14" t="str">
        <f t="array" ref="B717">IF(OR(F717="",F717="Selecciona.."),"",XLOOKUP(F717,Productos!E:E,Productos!A:A,"",0,1))</f>
        <v/>
      </c>
      <c r="C717" s="14" t="str">
        <f t="array" ref="C717">IF(OR(G717="",G717="Selecciona.."),"",XLOOKUP(G717,Productos!$E:$E,Productos!$A:$A,"",0,1))</f>
        <v/>
      </c>
      <c r="D717" s="14" t="str">
        <f t="shared" si="2"/>
        <v/>
      </c>
      <c r="E717" s="14"/>
      <c r="F717" s="15" t="str">
        <f t="shared" si="4"/>
        <v/>
      </c>
      <c r="G717" s="15" t="str">
        <f t="shared" ref="G717:H717" si="714">IF(OR(F717="",F717="Selecciona.."),"","Selecciona..")</f>
        <v/>
      </c>
      <c r="H717" s="13" t="str">
        <f t="shared" si="714"/>
        <v/>
      </c>
    </row>
    <row r="718">
      <c r="A718" s="14" t="str">
        <f t="shared" si="1"/>
        <v/>
      </c>
      <c r="B718" s="14" t="str">
        <f t="array" ref="B718">IF(OR(F718="",F718="Selecciona.."),"",XLOOKUP(F718,Productos!E:E,Productos!A:A,"",0,1))</f>
        <v/>
      </c>
      <c r="C718" s="14" t="str">
        <f t="array" ref="C718">IF(OR(G718="",G718="Selecciona.."),"",XLOOKUP(G718,Productos!$E:$E,Productos!$A:$A,"",0,1))</f>
        <v/>
      </c>
      <c r="D718" s="14" t="str">
        <f t="shared" si="2"/>
        <v/>
      </c>
      <c r="E718" s="14"/>
      <c r="F718" s="15" t="str">
        <f t="shared" si="4"/>
        <v/>
      </c>
      <c r="G718" s="15" t="str">
        <f t="shared" ref="G718:H718" si="715">IF(OR(F718="",F718="Selecciona.."),"","Selecciona..")</f>
        <v/>
      </c>
      <c r="H718" s="13" t="str">
        <f t="shared" si="715"/>
        <v/>
      </c>
    </row>
    <row r="719">
      <c r="A719" s="14" t="str">
        <f t="shared" si="1"/>
        <v/>
      </c>
      <c r="B719" s="14" t="str">
        <f t="array" ref="B719">IF(OR(F719="",F719="Selecciona.."),"",XLOOKUP(F719,Productos!E:E,Productos!A:A,"",0,1))</f>
        <v/>
      </c>
      <c r="C719" s="14" t="str">
        <f t="array" ref="C719">IF(OR(G719="",G719="Selecciona.."),"",XLOOKUP(G719,Productos!$E:$E,Productos!$A:$A,"",0,1))</f>
        <v/>
      </c>
      <c r="D719" s="14" t="str">
        <f t="shared" si="2"/>
        <v/>
      </c>
      <c r="E719" s="14"/>
      <c r="F719" s="15" t="str">
        <f t="shared" si="4"/>
        <v/>
      </c>
      <c r="G719" s="15" t="str">
        <f t="shared" ref="G719:H719" si="716">IF(OR(F719="",F719="Selecciona.."),"","Selecciona..")</f>
        <v/>
      </c>
      <c r="H719" s="13" t="str">
        <f t="shared" si="716"/>
        <v/>
      </c>
    </row>
    <row r="720">
      <c r="A720" s="14" t="str">
        <f t="shared" si="1"/>
        <v/>
      </c>
      <c r="B720" s="14" t="str">
        <f t="array" ref="B720">IF(OR(F720="",F720="Selecciona.."),"",XLOOKUP(F720,Productos!E:E,Productos!A:A,"",0,1))</f>
        <v/>
      </c>
      <c r="C720" s="14" t="str">
        <f t="array" ref="C720">IF(OR(G720="",G720="Selecciona.."),"",XLOOKUP(G720,Productos!$E:$E,Productos!$A:$A,"",0,1))</f>
        <v/>
      </c>
      <c r="D720" s="14" t="str">
        <f t="shared" si="2"/>
        <v/>
      </c>
      <c r="E720" s="14"/>
      <c r="F720" s="15" t="str">
        <f t="shared" si="4"/>
        <v/>
      </c>
      <c r="G720" s="15" t="str">
        <f t="shared" ref="G720:H720" si="717">IF(OR(F720="",F720="Selecciona.."),"","Selecciona..")</f>
        <v/>
      </c>
      <c r="H720" s="13" t="str">
        <f t="shared" si="717"/>
        <v/>
      </c>
    </row>
    <row r="721">
      <c r="A721" s="14" t="str">
        <f t="shared" si="1"/>
        <v/>
      </c>
      <c r="B721" s="14" t="str">
        <f t="array" ref="B721">IF(OR(F721="",F721="Selecciona.."),"",XLOOKUP(F721,Productos!E:E,Productos!A:A,"",0,1))</f>
        <v/>
      </c>
      <c r="C721" s="14" t="str">
        <f t="array" ref="C721">IF(OR(G721="",G721="Selecciona.."),"",XLOOKUP(G721,Productos!$E:$E,Productos!$A:$A,"",0,1))</f>
        <v/>
      </c>
      <c r="D721" s="14" t="str">
        <f t="shared" si="2"/>
        <v/>
      </c>
      <c r="E721" s="14"/>
      <c r="F721" s="15" t="str">
        <f t="shared" si="4"/>
        <v/>
      </c>
      <c r="G721" s="15" t="str">
        <f t="shared" ref="G721:H721" si="718">IF(OR(F721="",F721="Selecciona.."),"","Selecciona..")</f>
        <v/>
      </c>
      <c r="H721" s="13" t="str">
        <f t="shared" si="718"/>
        <v/>
      </c>
    </row>
    <row r="722">
      <c r="A722" s="14" t="str">
        <f t="shared" si="1"/>
        <v/>
      </c>
      <c r="B722" s="14" t="str">
        <f t="array" ref="B722">IF(OR(F722="",F722="Selecciona.."),"",XLOOKUP(F722,Productos!E:E,Productos!A:A,"",0,1))</f>
        <v/>
      </c>
      <c r="C722" s="14" t="str">
        <f t="array" ref="C722">IF(OR(G722="",G722="Selecciona.."),"",XLOOKUP(G722,Productos!$E:$E,Productos!$A:$A,"",0,1))</f>
        <v/>
      </c>
      <c r="D722" s="14" t="str">
        <f t="shared" si="2"/>
        <v/>
      </c>
      <c r="E722" s="14"/>
      <c r="F722" s="15" t="str">
        <f t="shared" si="4"/>
        <v/>
      </c>
      <c r="G722" s="15" t="str">
        <f t="shared" ref="G722:H722" si="719">IF(OR(F722="",F722="Selecciona.."),"","Selecciona..")</f>
        <v/>
      </c>
      <c r="H722" s="13" t="str">
        <f t="shared" si="719"/>
        <v/>
      </c>
    </row>
    <row r="723">
      <c r="A723" s="14" t="str">
        <f t="shared" si="1"/>
        <v/>
      </c>
      <c r="B723" s="14" t="str">
        <f t="array" ref="B723">IF(OR(F723="",F723="Selecciona.."),"",XLOOKUP(F723,Productos!E:E,Productos!A:A,"",0,1))</f>
        <v/>
      </c>
      <c r="C723" s="14" t="str">
        <f t="array" ref="C723">IF(OR(G723="",G723="Selecciona.."),"",XLOOKUP(G723,Productos!$E:$E,Productos!$A:$A,"",0,1))</f>
        <v/>
      </c>
      <c r="D723" s="14" t="str">
        <f t="shared" si="2"/>
        <v/>
      </c>
      <c r="E723" s="14"/>
      <c r="F723" s="15" t="str">
        <f t="shared" si="4"/>
        <v/>
      </c>
      <c r="G723" s="15" t="str">
        <f t="shared" ref="G723:H723" si="720">IF(OR(F723="",F723="Selecciona.."),"","Selecciona..")</f>
        <v/>
      </c>
      <c r="H723" s="13" t="str">
        <f t="shared" si="720"/>
        <v/>
      </c>
    </row>
    <row r="724">
      <c r="A724" s="14" t="str">
        <f t="shared" si="1"/>
        <v/>
      </c>
      <c r="B724" s="14" t="str">
        <f t="array" ref="B724">IF(OR(F724="",F724="Selecciona.."),"",XLOOKUP(F724,Productos!E:E,Productos!A:A,"",0,1))</f>
        <v/>
      </c>
      <c r="C724" s="14" t="str">
        <f t="array" ref="C724">IF(OR(G724="",G724="Selecciona.."),"",XLOOKUP(G724,Productos!$E:$E,Productos!$A:$A,"",0,1))</f>
        <v/>
      </c>
      <c r="D724" s="14" t="str">
        <f t="shared" si="2"/>
        <v/>
      </c>
      <c r="E724" s="14"/>
      <c r="F724" s="15" t="str">
        <f t="shared" si="4"/>
        <v/>
      </c>
      <c r="G724" s="15" t="str">
        <f t="shared" ref="G724:H724" si="721">IF(OR(F724="",F724="Selecciona.."),"","Selecciona..")</f>
        <v/>
      </c>
      <c r="H724" s="13" t="str">
        <f t="shared" si="721"/>
        <v/>
      </c>
    </row>
    <row r="725">
      <c r="A725" s="14" t="str">
        <f t="shared" si="1"/>
        <v/>
      </c>
      <c r="B725" s="14" t="str">
        <f t="array" ref="B725">IF(OR(F725="",F725="Selecciona.."),"",XLOOKUP(F725,Productos!E:E,Productos!A:A,"",0,1))</f>
        <v/>
      </c>
      <c r="C725" s="14" t="str">
        <f t="array" ref="C725">IF(OR(G725="",G725="Selecciona.."),"",XLOOKUP(G725,Productos!$E:$E,Productos!$A:$A,"",0,1))</f>
        <v/>
      </c>
      <c r="D725" s="14" t="str">
        <f t="shared" si="2"/>
        <v/>
      </c>
      <c r="E725" s="14"/>
      <c r="F725" s="15" t="str">
        <f t="shared" si="4"/>
        <v/>
      </c>
      <c r="G725" s="15" t="str">
        <f t="shared" ref="G725:H725" si="722">IF(OR(F725="",F725="Selecciona.."),"","Selecciona..")</f>
        <v/>
      </c>
      <c r="H725" s="13" t="str">
        <f t="shared" si="722"/>
        <v/>
      </c>
    </row>
    <row r="726">
      <c r="A726" s="14" t="str">
        <f t="shared" si="1"/>
        <v/>
      </c>
      <c r="B726" s="14" t="str">
        <f t="array" ref="B726">IF(OR(F726="",F726="Selecciona.."),"",XLOOKUP(F726,Productos!E:E,Productos!A:A,"",0,1))</f>
        <v/>
      </c>
      <c r="C726" s="14" t="str">
        <f t="array" ref="C726">IF(OR(G726="",G726="Selecciona.."),"",XLOOKUP(G726,Productos!$E:$E,Productos!$A:$A,"",0,1))</f>
        <v/>
      </c>
      <c r="D726" s="14" t="str">
        <f t="shared" si="2"/>
        <v/>
      </c>
      <c r="E726" s="14"/>
      <c r="F726" s="15" t="str">
        <f t="shared" si="4"/>
        <v/>
      </c>
      <c r="G726" s="15" t="str">
        <f t="shared" ref="G726:H726" si="723">IF(OR(F726="",F726="Selecciona.."),"","Selecciona..")</f>
        <v/>
      </c>
      <c r="H726" s="13" t="str">
        <f t="shared" si="723"/>
        <v/>
      </c>
    </row>
    <row r="727">
      <c r="A727" s="14" t="str">
        <f t="shared" si="1"/>
        <v/>
      </c>
      <c r="B727" s="14" t="str">
        <f t="array" ref="B727">IF(OR(F727="",F727="Selecciona.."),"",XLOOKUP(F727,Productos!E:E,Productos!A:A,"",0,1))</f>
        <v/>
      </c>
      <c r="C727" s="14" t="str">
        <f t="array" ref="C727">IF(OR(G727="",G727="Selecciona.."),"",XLOOKUP(G727,Productos!$E:$E,Productos!$A:$A,"",0,1))</f>
        <v/>
      </c>
      <c r="D727" s="14" t="str">
        <f t="shared" si="2"/>
        <v/>
      </c>
      <c r="E727" s="14"/>
      <c r="F727" s="15" t="str">
        <f t="shared" si="4"/>
        <v/>
      </c>
      <c r="G727" s="15" t="str">
        <f t="shared" ref="G727:H727" si="724">IF(OR(F727="",F727="Selecciona.."),"","Selecciona..")</f>
        <v/>
      </c>
      <c r="H727" s="13" t="str">
        <f t="shared" si="724"/>
        <v/>
      </c>
    </row>
    <row r="728">
      <c r="A728" s="14" t="str">
        <f t="shared" si="1"/>
        <v/>
      </c>
      <c r="B728" s="14" t="str">
        <f t="array" ref="B728">IF(OR(F728="",F728="Selecciona.."),"",XLOOKUP(F728,Productos!E:E,Productos!A:A,"",0,1))</f>
        <v/>
      </c>
      <c r="C728" s="14" t="str">
        <f t="array" ref="C728">IF(OR(G728="",G728="Selecciona.."),"",XLOOKUP(G728,Productos!$E:$E,Productos!$A:$A,"",0,1))</f>
        <v/>
      </c>
      <c r="D728" s="14" t="str">
        <f t="shared" si="2"/>
        <v/>
      </c>
      <c r="E728" s="14"/>
      <c r="F728" s="15" t="str">
        <f t="shared" si="4"/>
        <v/>
      </c>
      <c r="G728" s="15" t="str">
        <f t="shared" ref="G728:H728" si="725">IF(OR(F728="",F728="Selecciona.."),"","Selecciona..")</f>
        <v/>
      </c>
      <c r="H728" s="13" t="str">
        <f t="shared" si="725"/>
        <v/>
      </c>
    </row>
    <row r="729">
      <c r="A729" s="14" t="str">
        <f t="shared" si="1"/>
        <v/>
      </c>
      <c r="B729" s="14" t="str">
        <f t="array" ref="B729">IF(OR(F729="",F729="Selecciona.."),"",XLOOKUP(F729,Productos!E:E,Productos!A:A,"",0,1))</f>
        <v/>
      </c>
      <c r="C729" s="14" t="str">
        <f t="array" ref="C729">IF(OR(G729="",G729="Selecciona.."),"",XLOOKUP(G729,Productos!$E:$E,Productos!$A:$A,"",0,1))</f>
        <v/>
      </c>
      <c r="D729" s="14" t="str">
        <f t="shared" si="2"/>
        <v/>
      </c>
      <c r="E729" s="14"/>
      <c r="F729" s="15" t="str">
        <f t="shared" si="4"/>
        <v/>
      </c>
      <c r="G729" s="15" t="str">
        <f t="shared" ref="G729:H729" si="726">IF(OR(F729="",F729="Selecciona.."),"","Selecciona..")</f>
        <v/>
      </c>
      <c r="H729" s="13" t="str">
        <f t="shared" si="726"/>
        <v/>
      </c>
    </row>
    <row r="730">
      <c r="A730" s="14" t="str">
        <f t="shared" si="1"/>
        <v/>
      </c>
      <c r="B730" s="14" t="str">
        <f t="array" ref="B730">IF(OR(F730="",F730="Selecciona.."),"",XLOOKUP(F730,Productos!E:E,Productos!A:A,"",0,1))</f>
        <v/>
      </c>
      <c r="C730" s="14" t="str">
        <f t="array" ref="C730">IF(OR(G730="",G730="Selecciona.."),"",XLOOKUP(G730,Productos!$E:$E,Productos!$A:$A,"",0,1))</f>
        <v/>
      </c>
      <c r="D730" s="14" t="str">
        <f t="shared" si="2"/>
        <v/>
      </c>
      <c r="E730" s="14"/>
      <c r="F730" s="15" t="str">
        <f t="shared" si="4"/>
        <v/>
      </c>
      <c r="G730" s="15" t="str">
        <f t="shared" ref="G730:H730" si="727">IF(OR(F730="",F730="Selecciona.."),"","Selecciona..")</f>
        <v/>
      </c>
      <c r="H730" s="13" t="str">
        <f t="shared" si="727"/>
        <v/>
      </c>
    </row>
    <row r="731">
      <c r="A731" s="14" t="str">
        <f t="shared" si="1"/>
        <v/>
      </c>
      <c r="B731" s="14" t="str">
        <f t="array" ref="B731">IF(OR(F731="",F731="Selecciona.."),"",XLOOKUP(F731,Productos!E:E,Productos!A:A,"",0,1))</f>
        <v/>
      </c>
      <c r="C731" s="14" t="str">
        <f t="array" ref="C731">IF(OR(G731="",G731="Selecciona.."),"",XLOOKUP(G731,Productos!$E:$E,Productos!$A:$A,"",0,1))</f>
        <v/>
      </c>
      <c r="D731" s="14" t="str">
        <f t="shared" si="2"/>
        <v/>
      </c>
      <c r="E731" s="14"/>
      <c r="F731" s="15" t="str">
        <f t="shared" si="4"/>
        <v/>
      </c>
      <c r="G731" s="15" t="str">
        <f t="shared" ref="G731:H731" si="728">IF(OR(F731="",F731="Selecciona.."),"","Selecciona..")</f>
        <v/>
      </c>
      <c r="H731" s="13" t="str">
        <f t="shared" si="728"/>
        <v/>
      </c>
    </row>
    <row r="732">
      <c r="A732" s="14" t="str">
        <f t="shared" si="1"/>
        <v/>
      </c>
      <c r="B732" s="14" t="str">
        <f t="array" ref="B732">IF(OR(F732="",F732="Selecciona.."),"",XLOOKUP(F732,Productos!E:E,Productos!A:A,"",0,1))</f>
        <v/>
      </c>
      <c r="C732" s="14" t="str">
        <f t="array" ref="C732">IF(OR(G732="",G732="Selecciona.."),"",XLOOKUP(G732,Productos!$E:$E,Productos!$A:$A,"",0,1))</f>
        <v/>
      </c>
      <c r="D732" s="14" t="str">
        <f t="shared" si="2"/>
        <v/>
      </c>
      <c r="E732" s="14"/>
      <c r="F732" s="15" t="str">
        <f t="shared" si="4"/>
        <v/>
      </c>
      <c r="G732" s="15" t="str">
        <f t="shared" ref="G732:H732" si="729">IF(OR(F732="",F732="Selecciona.."),"","Selecciona..")</f>
        <v/>
      </c>
      <c r="H732" s="13" t="str">
        <f t="shared" si="729"/>
        <v/>
      </c>
    </row>
    <row r="733">
      <c r="A733" s="14" t="str">
        <f t="shared" si="1"/>
        <v/>
      </c>
      <c r="B733" s="14" t="str">
        <f t="array" ref="B733">IF(OR(F733="",F733="Selecciona.."),"",XLOOKUP(F733,Productos!E:E,Productos!A:A,"",0,1))</f>
        <v/>
      </c>
      <c r="C733" s="14" t="str">
        <f t="array" ref="C733">IF(OR(G733="",G733="Selecciona.."),"",XLOOKUP(G733,Productos!$E:$E,Productos!$A:$A,"",0,1))</f>
        <v/>
      </c>
      <c r="D733" s="14" t="str">
        <f t="shared" si="2"/>
        <v/>
      </c>
      <c r="E733" s="14"/>
      <c r="F733" s="15" t="str">
        <f t="shared" si="4"/>
        <v/>
      </c>
      <c r="G733" s="15" t="str">
        <f t="shared" ref="G733:H733" si="730">IF(OR(F733="",F733="Selecciona.."),"","Selecciona..")</f>
        <v/>
      </c>
      <c r="H733" s="13" t="str">
        <f t="shared" si="730"/>
        <v/>
      </c>
    </row>
    <row r="734">
      <c r="A734" s="14" t="str">
        <f t="shared" si="1"/>
        <v/>
      </c>
      <c r="B734" s="14" t="str">
        <f t="array" ref="B734">IF(OR(F734="",F734="Selecciona.."),"",XLOOKUP(F734,Productos!E:E,Productos!A:A,"",0,1))</f>
        <v/>
      </c>
      <c r="C734" s="14" t="str">
        <f t="array" ref="C734">IF(OR(G734="",G734="Selecciona.."),"",XLOOKUP(G734,Productos!$E:$E,Productos!$A:$A,"",0,1))</f>
        <v/>
      </c>
      <c r="D734" s="14" t="str">
        <f t="shared" si="2"/>
        <v/>
      </c>
      <c r="E734" s="14"/>
      <c r="F734" s="15" t="str">
        <f t="shared" si="4"/>
        <v/>
      </c>
      <c r="G734" s="15" t="str">
        <f t="shared" ref="G734:H734" si="731">IF(OR(F734="",F734="Selecciona.."),"","Selecciona..")</f>
        <v/>
      </c>
      <c r="H734" s="13" t="str">
        <f t="shared" si="731"/>
        <v/>
      </c>
    </row>
    <row r="735">
      <c r="A735" s="14" t="str">
        <f t="shared" si="1"/>
        <v/>
      </c>
      <c r="B735" s="14" t="str">
        <f t="array" ref="B735">IF(OR(F735="",F735="Selecciona.."),"",XLOOKUP(F735,Productos!E:E,Productos!A:A,"",0,1))</f>
        <v/>
      </c>
      <c r="C735" s="14" t="str">
        <f t="array" ref="C735">IF(OR(G735="",G735="Selecciona.."),"",XLOOKUP(G735,Productos!$E:$E,Productos!$A:$A,"",0,1))</f>
        <v/>
      </c>
      <c r="D735" s="14" t="str">
        <f t="shared" si="2"/>
        <v/>
      </c>
      <c r="E735" s="14"/>
      <c r="F735" s="15" t="str">
        <f t="shared" si="4"/>
        <v/>
      </c>
      <c r="G735" s="15" t="str">
        <f t="shared" ref="G735:H735" si="732">IF(OR(F735="",F735="Selecciona.."),"","Selecciona..")</f>
        <v/>
      </c>
      <c r="H735" s="13" t="str">
        <f t="shared" si="732"/>
        <v/>
      </c>
    </row>
    <row r="736">
      <c r="A736" s="14" t="str">
        <f t="shared" si="1"/>
        <v/>
      </c>
      <c r="B736" s="14" t="str">
        <f t="array" ref="B736">IF(OR(F736="",F736="Selecciona.."),"",XLOOKUP(F736,Productos!E:E,Productos!A:A,"",0,1))</f>
        <v/>
      </c>
      <c r="C736" s="14" t="str">
        <f t="array" ref="C736">IF(OR(G736="",G736="Selecciona.."),"",XLOOKUP(G736,Productos!$E:$E,Productos!$A:$A,"",0,1))</f>
        <v/>
      </c>
      <c r="D736" s="14" t="str">
        <f t="shared" si="2"/>
        <v/>
      </c>
      <c r="E736" s="14"/>
      <c r="F736" s="15" t="str">
        <f t="shared" si="4"/>
        <v/>
      </c>
      <c r="G736" s="15" t="str">
        <f t="shared" ref="G736:H736" si="733">IF(OR(F736="",F736="Selecciona.."),"","Selecciona..")</f>
        <v/>
      </c>
      <c r="H736" s="13" t="str">
        <f t="shared" si="733"/>
        <v/>
      </c>
    </row>
    <row r="737">
      <c r="A737" s="14" t="str">
        <f t="shared" si="1"/>
        <v/>
      </c>
      <c r="B737" s="14" t="str">
        <f t="array" ref="B737">IF(OR(F737="",F737="Selecciona.."),"",XLOOKUP(F737,Productos!E:E,Productos!A:A,"",0,1))</f>
        <v/>
      </c>
      <c r="C737" s="14" t="str">
        <f t="array" ref="C737">IF(OR(G737="",G737="Selecciona.."),"",XLOOKUP(G737,Productos!$E:$E,Productos!$A:$A,"",0,1))</f>
        <v/>
      </c>
      <c r="D737" s="14" t="str">
        <f t="shared" si="2"/>
        <v/>
      </c>
      <c r="E737" s="14"/>
      <c r="F737" s="15" t="str">
        <f t="shared" si="4"/>
        <v/>
      </c>
      <c r="G737" s="15" t="str">
        <f t="shared" ref="G737:H737" si="734">IF(OR(F737="",F737="Selecciona.."),"","Selecciona..")</f>
        <v/>
      </c>
      <c r="H737" s="13" t="str">
        <f t="shared" si="734"/>
        <v/>
      </c>
    </row>
    <row r="738">
      <c r="A738" s="14" t="str">
        <f t="shared" si="1"/>
        <v/>
      </c>
      <c r="B738" s="14" t="str">
        <f t="array" ref="B738">IF(OR(F738="",F738="Selecciona.."),"",XLOOKUP(F738,Productos!E:E,Productos!A:A,"",0,1))</f>
        <v/>
      </c>
      <c r="C738" s="14" t="str">
        <f t="array" ref="C738">IF(OR(G738="",G738="Selecciona.."),"",XLOOKUP(G738,Productos!$E:$E,Productos!$A:$A,"",0,1))</f>
        <v/>
      </c>
      <c r="D738" s="14" t="str">
        <f t="shared" si="2"/>
        <v/>
      </c>
      <c r="E738" s="14"/>
      <c r="F738" s="15" t="str">
        <f t="shared" si="4"/>
        <v/>
      </c>
      <c r="G738" s="15" t="str">
        <f t="shared" ref="G738:H738" si="735">IF(OR(F738="",F738="Selecciona.."),"","Selecciona..")</f>
        <v/>
      </c>
      <c r="H738" s="13" t="str">
        <f t="shared" si="735"/>
        <v/>
      </c>
    </row>
    <row r="739">
      <c r="A739" s="14" t="str">
        <f t="shared" si="1"/>
        <v/>
      </c>
      <c r="B739" s="14" t="str">
        <f t="array" ref="B739">IF(OR(F739="",F739="Selecciona.."),"",XLOOKUP(F739,Productos!E:E,Productos!A:A,"",0,1))</f>
        <v/>
      </c>
      <c r="C739" s="14" t="str">
        <f t="array" ref="C739">IF(OR(G739="",G739="Selecciona.."),"",XLOOKUP(G739,Productos!$E:$E,Productos!$A:$A,"",0,1))</f>
        <v/>
      </c>
      <c r="D739" s="14" t="str">
        <f t="shared" si="2"/>
        <v/>
      </c>
      <c r="E739" s="14"/>
      <c r="F739" s="15" t="str">
        <f t="shared" si="4"/>
        <v/>
      </c>
      <c r="G739" s="15" t="str">
        <f t="shared" ref="G739:H739" si="736">IF(OR(F739="",F739="Selecciona.."),"","Selecciona..")</f>
        <v/>
      </c>
      <c r="H739" s="13" t="str">
        <f t="shared" si="736"/>
        <v/>
      </c>
    </row>
    <row r="740">
      <c r="A740" s="14" t="str">
        <f t="shared" si="1"/>
        <v/>
      </c>
      <c r="B740" s="14" t="str">
        <f t="array" ref="B740">IF(OR(F740="",F740="Selecciona.."),"",XLOOKUP(F740,Productos!E:E,Productos!A:A,"",0,1))</f>
        <v/>
      </c>
      <c r="C740" s="14" t="str">
        <f t="array" ref="C740">IF(OR(G740="",G740="Selecciona.."),"",XLOOKUP(G740,Productos!$E:$E,Productos!$A:$A,"",0,1))</f>
        <v/>
      </c>
      <c r="D740" s="14" t="str">
        <f t="shared" si="2"/>
        <v/>
      </c>
      <c r="E740" s="14"/>
      <c r="F740" s="15" t="str">
        <f t="shared" si="4"/>
        <v/>
      </c>
      <c r="G740" s="15" t="str">
        <f t="shared" ref="G740:H740" si="737">IF(OR(F740="",F740="Selecciona.."),"","Selecciona..")</f>
        <v/>
      </c>
      <c r="H740" s="13" t="str">
        <f t="shared" si="737"/>
        <v/>
      </c>
    </row>
    <row r="741">
      <c r="A741" s="14" t="str">
        <f t="shared" si="1"/>
        <v/>
      </c>
      <c r="B741" s="14" t="str">
        <f t="array" ref="B741">IF(OR(F741="",F741="Selecciona.."),"",XLOOKUP(F741,Productos!E:E,Productos!A:A,"",0,1))</f>
        <v/>
      </c>
      <c r="C741" s="14" t="str">
        <f t="array" ref="C741">IF(OR(G741="",G741="Selecciona.."),"",XLOOKUP(G741,Productos!$E:$E,Productos!$A:$A,"",0,1))</f>
        <v/>
      </c>
      <c r="D741" s="14" t="str">
        <f t="shared" si="2"/>
        <v/>
      </c>
      <c r="E741" s="14"/>
      <c r="F741" s="15" t="str">
        <f t="shared" si="4"/>
        <v/>
      </c>
      <c r="G741" s="15" t="str">
        <f t="shared" ref="G741:H741" si="738">IF(OR(F741="",F741="Selecciona.."),"","Selecciona..")</f>
        <v/>
      </c>
      <c r="H741" s="13" t="str">
        <f t="shared" si="738"/>
        <v/>
      </c>
    </row>
    <row r="742">
      <c r="A742" s="14" t="str">
        <f t="shared" si="1"/>
        <v/>
      </c>
      <c r="B742" s="14" t="str">
        <f t="array" ref="B742">IF(OR(F742="",F742="Selecciona.."),"",XLOOKUP(F742,Productos!E:E,Productos!A:A,"",0,1))</f>
        <v/>
      </c>
      <c r="C742" s="14" t="str">
        <f t="array" ref="C742">IF(OR(G742="",G742="Selecciona.."),"",XLOOKUP(G742,Productos!$E:$E,Productos!$A:$A,"",0,1))</f>
        <v/>
      </c>
      <c r="D742" s="14" t="str">
        <f t="shared" si="2"/>
        <v/>
      </c>
      <c r="E742" s="14"/>
      <c r="F742" s="15" t="str">
        <f t="shared" si="4"/>
        <v/>
      </c>
      <c r="G742" s="15" t="str">
        <f t="shared" ref="G742:H742" si="739">IF(OR(F742="",F742="Selecciona.."),"","Selecciona..")</f>
        <v/>
      </c>
      <c r="H742" s="13" t="str">
        <f t="shared" si="739"/>
        <v/>
      </c>
    </row>
    <row r="743">
      <c r="A743" s="14" t="str">
        <f t="shared" si="1"/>
        <v/>
      </c>
      <c r="B743" s="14" t="str">
        <f t="array" ref="B743">IF(OR(F743="",F743="Selecciona.."),"",XLOOKUP(F743,Productos!E:E,Productos!A:A,"",0,1))</f>
        <v/>
      </c>
      <c r="C743" s="14" t="str">
        <f t="array" ref="C743">IF(OR(G743="",G743="Selecciona.."),"",XLOOKUP(G743,Productos!$E:$E,Productos!$A:$A,"",0,1))</f>
        <v/>
      </c>
      <c r="D743" s="14" t="str">
        <f t="shared" si="2"/>
        <v/>
      </c>
      <c r="E743" s="14"/>
      <c r="F743" s="15" t="str">
        <f t="shared" si="4"/>
        <v/>
      </c>
      <c r="G743" s="15" t="str">
        <f t="shared" ref="G743:H743" si="740">IF(OR(F743="",F743="Selecciona.."),"","Selecciona..")</f>
        <v/>
      </c>
      <c r="H743" s="13" t="str">
        <f t="shared" si="740"/>
        <v/>
      </c>
    </row>
    <row r="744">
      <c r="A744" s="14" t="str">
        <f t="shared" si="1"/>
        <v/>
      </c>
      <c r="B744" s="14" t="str">
        <f t="array" ref="B744">IF(OR(F744="",F744="Selecciona.."),"",XLOOKUP(F744,Productos!E:E,Productos!A:A,"",0,1))</f>
        <v/>
      </c>
      <c r="C744" s="14" t="str">
        <f t="array" ref="C744">IF(OR(G744="",G744="Selecciona.."),"",XLOOKUP(G744,Productos!$E:$E,Productos!$A:$A,"",0,1))</f>
        <v/>
      </c>
      <c r="D744" s="14" t="str">
        <f t="shared" si="2"/>
        <v/>
      </c>
      <c r="E744" s="14"/>
      <c r="F744" s="15" t="str">
        <f t="shared" si="4"/>
        <v/>
      </c>
      <c r="G744" s="15" t="str">
        <f t="shared" ref="G744:H744" si="741">IF(OR(F744="",F744="Selecciona.."),"","Selecciona..")</f>
        <v/>
      </c>
      <c r="H744" s="13" t="str">
        <f t="shared" si="741"/>
        <v/>
      </c>
    </row>
    <row r="745">
      <c r="A745" s="14" t="str">
        <f t="shared" si="1"/>
        <v/>
      </c>
      <c r="B745" s="14" t="str">
        <f t="array" ref="B745">IF(OR(F745="",F745="Selecciona.."),"",XLOOKUP(F745,Productos!E:E,Productos!A:A,"",0,1))</f>
        <v/>
      </c>
      <c r="C745" s="14" t="str">
        <f t="array" ref="C745">IF(OR(G745="",G745="Selecciona.."),"",XLOOKUP(G745,Productos!$E:$E,Productos!$A:$A,"",0,1))</f>
        <v/>
      </c>
      <c r="D745" s="14" t="str">
        <f t="shared" si="2"/>
        <v/>
      </c>
      <c r="E745" s="14"/>
      <c r="F745" s="15" t="str">
        <f t="shared" si="4"/>
        <v/>
      </c>
      <c r="G745" s="15" t="str">
        <f t="shared" ref="G745:H745" si="742">IF(OR(F745="",F745="Selecciona.."),"","Selecciona..")</f>
        <v/>
      </c>
      <c r="H745" s="13" t="str">
        <f t="shared" si="742"/>
        <v/>
      </c>
    </row>
    <row r="746">
      <c r="A746" s="14" t="str">
        <f t="shared" si="1"/>
        <v/>
      </c>
      <c r="B746" s="14" t="str">
        <f t="array" ref="B746">IF(OR(F746="",F746="Selecciona.."),"",XLOOKUP(F746,Productos!E:E,Productos!A:A,"",0,1))</f>
        <v/>
      </c>
      <c r="C746" s="14" t="str">
        <f t="array" ref="C746">IF(OR(G746="",G746="Selecciona.."),"",XLOOKUP(G746,Productos!$E:$E,Productos!$A:$A,"",0,1))</f>
        <v/>
      </c>
      <c r="D746" s="14" t="str">
        <f t="shared" si="2"/>
        <v/>
      </c>
      <c r="E746" s="14"/>
      <c r="F746" s="15" t="str">
        <f t="shared" si="4"/>
        <v/>
      </c>
      <c r="G746" s="15" t="str">
        <f t="shared" ref="G746:H746" si="743">IF(OR(F746="",F746="Selecciona.."),"","Selecciona..")</f>
        <v/>
      </c>
      <c r="H746" s="13" t="str">
        <f t="shared" si="743"/>
        <v/>
      </c>
    </row>
    <row r="747">
      <c r="A747" s="14" t="str">
        <f t="shared" si="1"/>
        <v/>
      </c>
      <c r="B747" s="14" t="str">
        <f t="array" ref="B747">IF(OR(F747="",F747="Selecciona.."),"",XLOOKUP(F747,Productos!E:E,Productos!A:A,"",0,1))</f>
        <v/>
      </c>
      <c r="C747" s="14" t="str">
        <f t="array" ref="C747">IF(OR(G747="",G747="Selecciona.."),"",XLOOKUP(G747,Productos!$E:$E,Productos!$A:$A,"",0,1))</f>
        <v/>
      </c>
      <c r="D747" s="14" t="str">
        <f t="shared" si="2"/>
        <v/>
      </c>
      <c r="E747" s="14"/>
      <c r="F747" s="15" t="str">
        <f t="shared" si="4"/>
        <v/>
      </c>
      <c r="G747" s="15" t="str">
        <f t="shared" ref="G747:H747" si="744">IF(OR(F747="",F747="Selecciona.."),"","Selecciona..")</f>
        <v/>
      </c>
      <c r="H747" s="13" t="str">
        <f t="shared" si="744"/>
        <v/>
      </c>
    </row>
    <row r="748">
      <c r="A748" s="14" t="str">
        <f t="shared" si="1"/>
        <v/>
      </c>
      <c r="B748" s="14" t="str">
        <f t="array" ref="B748">IF(OR(F748="",F748="Selecciona.."),"",XLOOKUP(F748,Productos!E:E,Productos!A:A,"",0,1))</f>
        <v/>
      </c>
      <c r="C748" s="14" t="str">
        <f t="array" ref="C748">IF(OR(G748="",G748="Selecciona.."),"",XLOOKUP(G748,Productos!$E:$E,Productos!$A:$A,"",0,1))</f>
        <v/>
      </c>
      <c r="D748" s="14" t="str">
        <f t="shared" si="2"/>
        <v/>
      </c>
      <c r="E748" s="14"/>
      <c r="F748" s="15" t="str">
        <f t="shared" si="4"/>
        <v/>
      </c>
      <c r="G748" s="15" t="str">
        <f t="shared" ref="G748:H748" si="745">IF(OR(F748="",F748="Selecciona.."),"","Selecciona..")</f>
        <v/>
      </c>
      <c r="H748" s="13" t="str">
        <f t="shared" si="745"/>
        <v/>
      </c>
    </row>
    <row r="749">
      <c r="A749" s="14" t="str">
        <f t="shared" si="1"/>
        <v/>
      </c>
      <c r="B749" s="14" t="str">
        <f t="array" ref="B749">IF(OR(F749="",F749="Selecciona.."),"",XLOOKUP(F749,Productos!E:E,Productos!A:A,"",0,1))</f>
        <v/>
      </c>
      <c r="C749" s="14" t="str">
        <f t="array" ref="C749">IF(OR(G749="",G749="Selecciona.."),"",XLOOKUP(G749,Productos!$E:$E,Productos!$A:$A,"",0,1))</f>
        <v/>
      </c>
      <c r="D749" s="14" t="str">
        <f t="shared" si="2"/>
        <v/>
      </c>
      <c r="E749" s="14"/>
      <c r="F749" s="15" t="str">
        <f t="shared" si="4"/>
        <v/>
      </c>
      <c r="G749" s="15" t="str">
        <f t="shared" ref="G749:H749" si="746">IF(OR(F749="",F749="Selecciona.."),"","Selecciona..")</f>
        <v/>
      </c>
      <c r="H749" s="13" t="str">
        <f t="shared" si="746"/>
        <v/>
      </c>
    </row>
    <row r="750">
      <c r="A750" s="14" t="str">
        <f t="shared" si="1"/>
        <v/>
      </c>
      <c r="B750" s="14" t="str">
        <f t="array" ref="B750">IF(OR(F750="",F750="Selecciona.."),"",XLOOKUP(F750,Productos!E:E,Productos!A:A,"",0,1))</f>
        <v/>
      </c>
      <c r="C750" s="14" t="str">
        <f t="array" ref="C750">IF(OR(G750="",G750="Selecciona.."),"",XLOOKUP(G750,Productos!$E:$E,Productos!$A:$A,"",0,1))</f>
        <v/>
      </c>
      <c r="D750" s="14" t="str">
        <f t="shared" si="2"/>
        <v/>
      </c>
      <c r="E750" s="14"/>
      <c r="F750" s="15" t="str">
        <f t="shared" si="4"/>
        <v/>
      </c>
      <c r="G750" s="15" t="str">
        <f t="shared" ref="G750:H750" si="747">IF(OR(F750="",F750="Selecciona.."),"","Selecciona..")</f>
        <v/>
      </c>
      <c r="H750" s="13" t="str">
        <f t="shared" si="747"/>
        <v/>
      </c>
    </row>
    <row r="751">
      <c r="A751" s="14" t="str">
        <f t="shared" si="1"/>
        <v/>
      </c>
      <c r="B751" s="14" t="str">
        <f t="array" ref="B751">IF(OR(F751="",F751="Selecciona.."),"",XLOOKUP(F751,Productos!E:E,Productos!A:A,"",0,1))</f>
        <v/>
      </c>
      <c r="C751" s="14" t="str">
        <f t="array" ref="C751">IF(OR(G751="",G751="Selecciona.."),"",XLOOKUP(G751,Productos!$E:$E,Productos!$A:$A,"",0,1))</f>
        <v/>
      </c>
      <c r="D751" s="14" t="str">
        <f t="shared" si="2"/>
        <v/>
      </c>
      <c r="E751" s="14"/>
      <c r="F751" s="15" t="str">
        <f t="shared" si="4"/>
        <v/>
      </c>
      <c r="G751" s="15" t="str">
        <f t="shared" ref="G751:H751" si="748">IF(OR(F751="",F751="Selecciona.."),"","Selecciona..")</f>
        <v/>
      </c>
      <c r="H751" s="13" t="str">
        <f t="shared" si="748"/>
        <v/>
      </c>
    </row>
    <row r="752">
      <c r="A752" s="14" t="str">
        <f t="shared" si="1"/>
        <v/>
      </c>
      <c r="B752" s="14" t="str">
        <f t="array" ref="B752">IF(OR(F752="",F752="Selecciona.."),"",XLOOKUP(F752,Productos!E:E,Productos!A:A,"",0,1))</f>
        <v/>
      </c>
      <c r="C752" s="14" t="str">
        <f t="array" ref="C752">IF(OR(G752="",G752="Selecciona.."),"",XLOOKUP(G752,Productos!$E:$E,Productos!$A:$A,"",0,1))</f>
        <v/>
      </c>
      <c r="D752" s="14" t="str">
        <f t="shared" si="2"/>
        <v/>
      </c>
      <c r="E752" s="14"/>
      <c r="F752" s="15" t="str">
        <f t="shared" si="4"/>
        <v/>
      </c>
      <c r="G752" s="15" t="str">
        <f t="shared" ref="G752:H752" si="749">IF(OR(F752="",F752="Selecciona.."),"","Selecciona..")</f>
        <v/>
      </c>
      <c r="H752" s="13" t="str">
        <f t="shared" si="749"/>
        <v/>
      </c>
    </row>
    <row r="753">
      <c r="A753" s="14" t="str">
        <f t="shared" si="1"/>
        <v/>
      </c>
      <c r="B753" s="14" t="str">
        <f t="array" ref="B753">IF(OR(F753="",F753="Selecciona.."),"",XLOOKUP(F753,Productos!E:E,Productos!A:A,"",0,1))</f>
        <v/>
      </c>
      <c r="C753" s="14" t="str">
        <f t="array" ref="C753">IF(OR(G753="",G753="Selecciona.."),"",XLOOKUP(G753,Productos!$E:$E,Productos!$A:$A,"",0,1))</f>
        <v/>
      </c>
      <c r="D753" s="14" t="str">
        <f t="shared" si="2"/>
        <v/>
      </c>
      <c r="E753" s="14"/>
      <c r="F753" s="15" t="str">
        <f t="shared" si="4"/>
        <v/>
      </c>
      <c r="G753" s="15" t="str">
        <f t="shared" ref="G753:H753" si="750">IF(OR(F753="",F753="Selecciona.."),"","Selecciona..")</f>
        <v/>
      </c>
      <c r="H753" s="13" t="str">
        <f t="shared" si="750"/>
        <v/>
      </c>
    </row>
    <row r="754">
      <c r="A754" s="14" t="str">
        <f t="shared" si="1"/>
        <v/>
      </c>
      <c r="B754" s="14" t="str">
        <f t="array" ref="B754">IF(OR(F754="",F754="Selecciona.."),"",XLOOKUP(F754,Productos!E:E,Productos!A:A,"",0,1))</f>
        <v/>
      </c>
      <c r="C754" s="14" t="str">
        <f t="array" ref="C754">IF(OR(G754="",G754="Selecciona.."),"",XLOOKUP(G754,Productos!$E:$E,Productos!$A:$A,"",0,1))</f>
        <v/>
      </c>
      <c r="D754" s="14" t="str">
        <f t="shared" si="2"/>
        <v/>
      </c>
      <c r="E754" s="14"/>
      <c r="F754" s="15" t="str">
        <f t="shared" si="4"/>
        <v/>
      </c>
      <c r="G754" s="15" t="str">
        <f t="shared" ref="G754:H754" si="751">IF(OR(F754="",F754="Selecciona.."),"","Selecciona..")</f>
        <v/>
      </c>
      <c r="H754" s="13" t="str">
        <f t="shared" si="751"/>
        <v/>
      </c>
    </row>
    <row r="755">
      <c r="A755" s="14" t="str">
        <f t="shared" si="1"/>
        <v/>
      </c>
      <c r="B755" s="14" t="str">
        <f t="array" ref="B755">IF(OR(F755="",F755="Selecciona.."),"",XLOOKUP(F755,Productos!E:E,Productos!A:A,"",0,1))</f>
        <v/>
      </c>
      <c r="C755" s="14" t="str">
        <f t="array" ref="C755">IF(OR(G755="",G755="Selecciona.."),"",XLOOKUP(G755,Productos!$E:$E,Productos!$A:$A,"",0,1))</f>
        <v/>
      </c>
      <c r="D755" s="14" t="str">
        <f t="shared" si="2"/>
        <v/>
      </c>
      <c r="E755" s="14"/>
      <c r="F755" s="15" t="str">
        <f t="shared" si="4"/>
        <v/>
      </c>
      <c r="G755" s="15" t="str">
        <f t="shared" ref="G755:H755" si="752">IF(OR(F755="",F755="Selecciona.."),"","Selecciona..")</f>
        <v/>
      </c>
      <c r="H755" s="13" t="str">
        <f t="shared" si="752"/>
        <v/>
      </c>
    </row>
    <row r="756">
      <c r="A756" s="14" t="str">
        <f t="shared" si="1"/>
        <v/>
      </c>
      <c r="B756" s="14" t="str">
        <f t="array" ref="B756">IF(OR(F756="",F756="Selecciona.."),"",XLOOKUP(F756,Productos!E:E,Productos!A:A,"",0,1))</f>
        <v/>
      </c>
      <c r="C756" s="14" t="str">
        <f t="array" ref="C756">IF(OR(G756="",G756="Selecciona.."),"",XLOOKUP(G756,Productos!$E:$E,Productos!$A:$A,"",0,1))</f>
        <v/>
      </c>
      <c r="D756" s="14" t="str">
        <f t="shared" si="2"/>
        <v/>
      </c>
      <c r="E756" s="14"/>
      <c r="F756" s="15" t="str">
        <f t="shared" si="4"/>
        <v/>
      </c>
      <c r="G756" s="15" t="str">
        <f t="shared" ref="G756:H756" si="753">IF(OR(F756="",F756="Selecciona.."),"","Selecciona..")</f>
        <v/>
      </c>
      <c r="H756" s="13" t="str">
        <f t="shared" si="753"/>
        <v/>
      </c>
    </row>
    <row r="757">
      <c r="A757" s="14" t="str">
        <f t="shared" si="1"/>
        <v/>
      </c>
      <c r="B757" s="14" t="str">
        <f t="array" ref="B757">IF(OR(F757="",F757="Selecciona.."),"",XLOOKUP(F757,Productos!E:E,Productos!A:A,"",0,1))</f>
        <v/>
      </c>
      <c r="C757" s="14" t="str">
        <f t="array" ref="C757">IF(OR(G757="",G757="Selecciona.."),"",XLOOKUP(G757,Productos!$E:$E,Productos!$A:$A,"",0,1))</f>
        <v/>
      </c>
      <c r="D757" s="14" t="str">
        <f t="shared" si="2"/>
        <v/>
      </c>
      <c r="E757" s="14"/>
      <c r="F757" s="15" t="str">
        <f t="shared" si="4"/>
        <v/>
      </c>
      <c r="G757" s="15" t="str">
        <f t="shared" ref="G757:H757" si="754">IF(OR(F757="",F757="Selecciona.."),"","Selecciona..")</f>
        <v/>
      </c>
      <c r="H757" s="13" t="str">
        <f t="shared" si="754"/>
        <v/>
      </c>
    </row>
    <row r="758">
      <c r="A758" s="14" t="str">
        <f t="shared" si="1"/>
        <v/>
      </c>
      <c r="B758" s="14" t="str">
        <f t="array" ref="B758">IF(OR(F758="",F758="Selecciona.."),"",XLOOKUP(F758,Productos!E:E,Productos!A:A,"",0,1))</f>
        <v/>
      </c>
      <c r="C758" s="14" t="str">
        <f t="array" ref="C758">IF(OR(G758="",G758="Selecciona.."),"",XLOOKUP(G758,Productos!$E:$E,Productos!$A:$A,"",0,1))</f>
        <v/>
      </c>
      <c r="D758" s="14" t="str">
        <f t="shared" si="2"/>
        <v/>
      </c>
      <c r="E758" s="14"/>
      <c r="F758" s="15" t="str">
        <f t="shared" si="4"/>
        <v/>
      </c>
      <c r="G758" s="15" t="str">
        <f t="shared" ref="G758:H758" si="755">IF(OR(F758="",F758="Selecciona.."),"","Selecciona..")</f>
        <v/>
      </c>
      <c r="H758" s="13" t="str">
        <f t="shared" si="755"/>
        <v/>
      </c>
    </row>
    <row r="759">
      <c r="A759" s="14" t="str">
        <f t="shared" si="1"/>
        <v/>
      </c>
      <c r="B759" s="14" t="str">
        <f t="array" ref="B759">IF(OR(F759="",F759="Selecciona.."),"",XLOOKUP(F759,Productos!E:E,Productos!A:A,"",0,1))</f>
        <v/>
      </c>
      <c r="C759" s="14" t="str">
        <f t="array" ref="C759">IF(OR(G759="",G759="Selecciona.."),"",XLOOKUP(G759,Productos!$E:$E,Productos!$A:$A,"",0,1))</f>
        <v/>
      </c>
      <c r="D759" s="14" t="str">
        <f t="shared" si="2"/>
        <v/>
      </c>
      <c r="E759" s="14"/>
      <c r="F759" s="15" t="str">
        <f t="shared" si="4"/>
        <v/>
      </c>
      <c r="G759" s="15" t="str">
        <f t="shared" ref="G759:H759" si="756">IF(OR(F759="",F759="Selecciona.."),"","Selecciona..")</f>
        <v/>
      </c>
      <c r="H759" s="13" t="str">
        <f t="shared" si="756"/>
        <v/>
      </c>
    </row>
    <row r="760">
      <c r="A760" s="14" t="str">
        <f t="shared" si="1"/>
        <v/>
      </c>
      <c r="B760" s="14" t="str">
        <f t="array" ref="B760">IF(OR(F760="",F760="Selecciona.."),"",XLOOKUP(F760,Productos!E:E,Productos!A:A,"",0,1))</f>
        <v/>
      </c>
      <c r="C760" s="14" t="str">
        <f t="array" ref="C760">IF(OR(G760="",G760="Selecciona.."),"",XLOOKUP(G760,Productos!$E:$E,Productos!$A:$A,"",0,1))</f>
        <v/>
      </c>
      <c r="D760" s="14" t="str">
        <f t="shared" si="2"/>
        <v/>
      </c>
      <c r="E760" s="14"/>
      <c r="F760" s="15" t="str">
        <f t="shared" si="4"/>
        <v/>
      </c>
      <c r="G760" s="15" t="str">
        <f t="shared" ref="G760:H760" si="757">IF(OR(F760="",F760="Selecciona.."),"","Selecciona..")</f>
        <v/>
      </c>
      <c r="H760" s="13" t="str">
        <f t="shared" si="757"/>
        <v/>
      </c>
    </row>
    <row r="761">
      <c r="A761" s="14" t="str">
        <f t="shared" si="1"/>
        <v/>
      </c>
      <c r="B761" s="14" t="str">
        <f t="array" ref="B761">IF(OR(F761="",F761="Selecciona.."),"",XLOOKUP(F761,Productos!E:E,Productos!A:A,"",0,1))</f>
        <v/>
      </c>
      <c r="C761" s="14" t="str">
        <f t="array" ref="C761">IF(OR(G761="",G761="Selecciona.."),"",XLOOKUP(G761,Productos!$E:$E,Productos!$A:$A,"",0,1))</f>
        <v/>
      </c>
      <c r="D761" s="14" t="str">
        <f t="shared" si="2"/>
        <v/>
      </c>
      <c r="E761" s="14"/>
      <c r="F761" s="15" t="str">
        <f t="shared" si="4"/>
        <v/>
      </c>
      <c r="G761" s="15" t="str">
        <f t="shared" ref="G761:H761" si="758">IF(OR(F761="",F761="Selecciona.."),"","Selecciona..")</f>
        <v/>
      </c>
      <c r="H761" s="13" t="str">
        <f t="shared" si="758"/>
        <v/>
      </c>
    </row>
    <row r="762">
      <c r="A762" s="14" t="str">
        <f t="shared" si="1"/>
        <v/>
      </c>
      <c r="B762" s="14" t="str">
        <f t="array" ref="B762">IF(OR(F762="",F762="Selecciona.."),"",XLOOKUP(F762,Productos!E:E,Productos!A:A,"",0,1))</f>
        <v/>
      </c>
      <c r="C762" s="14" t="str">
        <f t="array" ref="C762">IF(OR(G762="",G762="Selecciona.."),"",XLOOKUP(G762,Productos!$E:$E,Productos!$A:$A,"",0,1))</f>
        <v/>
      </c>
      <c r="D762" s="14" t="str">
        <f t="shared" si="2"/>
        <v/>
      </c>
      <c r="E762" s="14"/>
      <c r="F762" s="15" t="str">
        <f t="shared" si="4"/>
        <v/>
      </c>
      <c r="G762" s="15" t="str">
        <f t="shared" ref="G762:H762" si="759">IF(OR(F762="",F762="Selecciona.."),"","Selecciona..")</f>
        <v/>
      </c>
      <c r="H762" s="13" t="str">
        <f t="shared" si="759"/>
        <v/>
      </c>
    </row>
    <row r="763">
      <c r="A763" s="14" t="str">
        <f t="shared" si="1"/>
        <v/>
      </c>
      <c r="B763" s="14" t="str">
        <f t="array" ref="B763">IF(OR(F763="",F763="Selecciona.."),"",XLOOKUP(F763,Productos!E:E,Productos!A:A,"",0,1))</f>
        <v/>
      </c>
      <c r="C763" s="14" t="str">
        <f t="array" ref="C763">IF(OR(G763="",G763="Selecciona.."),"",XLOOKUP(G763,Productos!$E:$E,Productos!$A:$A,"",0,1))</f>
        <v/>
      </c>
      <c r="D763" s="14" t="str">
        <f t="shared" si="2"/>
        <v/>
      </c>
      <c r="E763" s="14"/>
      <c r="F763" s="15" t="str">
        <f t="shared" si="4"/>
        <v/>
      </c>
      <c r="G763" s="15" t="str">
        <f t="shared" ref="G763:H763" si="760">IF(OR(F763="",F763="Selecciona.."),"","Selecciona..")</f>
        <v/>
      </c>
      <c r="H763" s="13" t="str">
        <f t="shared" si="760"/>
        <v/>
      </c>
    </row>
    <row r="764">
      <c r="A764" s="14" t="str">
        <f t="shared" si="1"/>
        <v/>
      </c>
      <c r="B764" s="14" t="str">
        <f t="array" ref="B764">IF(OR(F764="",F764="Selecciona.."),"",XLOOKUP(F764,Productos!E:E,Productos!A:A,"",0,1))</f>
        <v/>
      </c>
      <c r="C764" s="14" t="str">
        <f t="array" ref="C764">IF(OR(G764="",G764="Selecciona.."),"",XLOOKUP(G764,Productos!$E:$E,Productos!$A:$A,"",0,1))</f>
        <v/>
      </c>
      <c r="D764" s="14" t="str">
        <f t="shared" si="2"/>
        <v/>
      </c>
      <c r="E764" s="14"/>
      <c r="F764" s="15" t="str">
        <f t="shared" si="4"/>
        <v/>
      </c>
      <c r="G764" s="15" t="str">
        <f t="shared" ref="G764:H764" si="761">IF(OR(F764="",F764="Selecciona.."),"","Selecciona..")</f>
        <v/>
      </c>
      <c r="H764" s="13" t="str">
        <f t="shared" si="761"/>
        <v/>
      </c>
    </row>
    <row r="765">
      <c r="A765" s="14" t="str">
        <f t="shared" si="1"/>
        <v/>
      </c>
      <c r="B765" s="14" t="str">
        <f t="array" ref="B765">IF(OR(F765="",F765="Selecciona.."),"",XLOOKUP(F765,Productos!E:E,Productos!A:A,"",0,1))</f>
        <v/>
      </c>
      <c r="C765" s="14" t="str">
        <f t="array" ref="C765">IF(OR(G765="",G765="Selecciona.."),"",XLOOKUP(G765,Productos!$E:$E,Productos!$A:$A,"",0,1))</f>
        <v/>
      </c>
      <c r="D765" s="14" t="str">
        <f t="shared" si="2"/>
        <v/>
      </c>
      <c r="E765" s="14"/>
      <c r="F765" s="15" t="str">
        <f t="shared" si="4"/>
        <v/>
      </c>
      <c r="G765" s="15" t="str">
        <f t="shared" ref="G765:H765" si="762">IF(OR(F765="",F765="Selecciona.."),"","Selecciona..")</f>
        <v/>
      </c>
      <c r="H765" s="13" t="str">
        <f t="shared" si="762"/>
        <v/>
      </c>
    </row>
    <row r="766">
      <c r="A766" s="14" t="str">
        <f t="shared" si="1"/>
        <v/>
      </c>
      <c r="B766" s="14" t="str">
        <f t="array" ref="B766">IF(OR(F766="",F766="Selecciona.."),"",XLOOKUP(F766,Productos!E:E,Productos!A:A,"",0,1))</f>
        <v/>
      </c>
      <c r="C766" s="14" t="str">
        <f t="array" ref="C766">IF(OR(G766="",G766="Selecciona.."),"",XLOOKUP(G766,Productos!$E:$E,Productos!$A:$A,"",0,1))</f>
        <v/>
      </c>
      <c r="D766" s="14" t="str">
        <f t="shared" si="2"/>
        <v/>
      </c>
      <c r="E766" s="14"/>
      <c r="F766" s="15" t="str">
        <f t="shared" si="4"/>
        <v/>
      </c>
      <c r="G766" s="15" t="str">
        <f t="shared" ref="G766:H766" si="763">IF(OR(F766="",F766="Selecciona.."),"","Selecciona..")</f>
        <v/>
      </c>
      <c r="H766" s="13" t="str">
        <f t="shared" si="763"/>
        <v/>
      </c>
    </row>
    <row r="767">
      <c r="A767" s="14" t="str">
        <f t="shared" si="1"/>
        <v/>
      </c>
      <c r="B767" s="14" t="str">
        <f t="array" ref="B767">IF(OR(F767="",F767="Selecciona.."),"",XLOOKUP(F767,Productos!E:E,Productos!A:A,"",0,1))</f>
        <v/>
      </c>
      <c r="C767" s="14" t="str">
        <f t="array" ref="C767">IF(OR(G767="",G767="Selecciona.."),"",XLOOKUP(G767,Productos!$E:$E,Productos!$A:$A,"",0,1))</f>
        <v/>
      </c>
      <c r="D767" s="14" t="str">
        <f t="shared" si="2"/>
        <v/>
      </c>
      <c r="E767" s="14"/>
      <c r="F767" s="15" t="str">
        <f t="shared" si="4"/>
        <v/>
      </c>
      <c r="G767" s="15" t="str">
        <f t="shared" ref="G767:H767" si="764">IF(OR(F767="",F767="Selecciona.."),"","Selecciona..")</f>
        <v/>
      </c>
      <c r="H767" s="13" t="str">
        <f t="shared" si="764"/>
        <v/>
      </c>
    </row>
    <row r="768">
      <c r="A768" s="14" t="str">
        <f t="shared" si="1"/>
        <v/>
      </c>
      <c r="B768" s="14" t="str">
        <f t="array" ref="B768">IF(OR(F768="",F768="Selecciona.."),"",XLOOKUP(F768,Productos!E:E,Productos!A:A,"",0,1))</f>
        <v/>
      </c>
      <c r="C768" s="14" t="str">
        <f t="array" ref="C768">IF(OR(G768="",G768="Selecciona.."),"",XLOOKUP(G768,Productos!$E:$E,Productos!$A:$A,"",0,1))</f>
        <v/>
      </c>
      <c r="D768" s="14" t="str">
        <f t="shared" si="2"/>
        <v/>
      </c>
      <c r="E768" s="14"/>
      <c r="F768" s="15" t="str">
        <f t="shared" si="4"/>
        <v/>
      </c>
      <c r="G768" s="15" t="str">
        <f t="shared" ref="G768:H768" si="765">IF(OR(F768="",F768="Selecciona.."),"","Selecciona..")</f>
        <v/>
      </c>
      <c r="H768" s="13" t="str">
        <f t="shared" si="765"/>
        <v/>
      </c>
    </row>
    <row r="769">
      <c r="A769" s="14" t="str">
        <f t="shared" si="1"/>
        <v/>
      </c>
      <c r="B769" s="14" t="str">
        <f t="array" ref="B769">IF(OR(F769="",F769="Selecciona.."),"",XLOOKUP(F769,Productos!E:E,Productos!A:A,"",0,1))</f>
        <v/>
      </c>
      <c r="C769" s="14" t="str">
        <f t="array" ref="C769">IF(OR(G769="",G769="Selecciona.."),"",XLOOKUP(G769,Productos!$E:$E,Productos!$A:$A,"",0,1))</f>
        <v/>
      </c>
      <c r="D769" s="14" t="str">
        <f t="shared" si="2"/>
        <v/>
      </c>
      <c r="E769" s="14"/>
      <c r="F769" s="15" t="str">
        <f t="shared" si="4"/>
        <v/>
      </c>
      <c r="G769" s="15" t="str">
        <f t="shared" ref="G769:H769" si="766">IF(OR(F769="",F769="Selecciona.."),"","Selecciona..")</f>
        <v/>
      </c>
      <c r="H769" s="13" t="str">
        <f t="shared" si="766"/>
        <v/>
      </c>
    </row>
    <row r="770">
      <c r="A770" s="14" t="str">
        <f t="shared" si="1"/>
        <v/>
      </c>
      <c r="B770" s="14" t="str">
        <f t="array" ref="B770">IF(OR(F770="",F770="Selecciona.."),"",XLOOKUP(F770,Productos!E:E,Productos!A:A,"",0,1))</f>
        <v/>
      </c>
      <c r="C770" s="14" t="str">
        <f t="array" ref="C770">IF(OR(G770="",G770="Selecciona.."),"",XLOOKUP(G770,Productos!$E:$E,Productos!$A:$A,"",0,1))</f>
        <v/>
      </c>
      <c r="D770" s="14" t="str">
        <f t="shared" si="2"/>
        <v/>
      </c>
      <c r="E770" s="14"/>
      <c r="F770" s="15" t="str">
        <f t="shared" si="4"/>
        <v/>
      </c>
      <c r="G770" s="15" t="str">
        <f t="shared" ref="G770:H770" si="767">IF(OR(F770="",F770="Selecciona.."),"","Selecciona..")</f>
        <v/>
      </c>
      <c r="H770" s="13" t="str">
        <f t="shared" si="767"/>
        <v/>
      </c>
    </row>
    <row r="771">
      <c r="A771" s="14" t="str">
        <f t="shared" si="1"/>
        <v/>
      </c>
      <c r="B771" s="14" t="str">
        <f t="array" ref="B771">IF(OR(F771="",F771="Selecciona.."),"",XLOOKUP(F771,Productos!E:E,Productos!A:A,"",0,1))</f>
        <v/>
      </c>
      <c r="C771" s="14" t="str">
        <f t="array" ref="C771">IF(OR(G771="",G771="Selecciona.."),"",XLOOKUP(G771,Productos!$E:$E,Productos!$A:$A,"",0,1))</f>
        <v/>
      </c>
      <c r="D771" s="14" t="str">
        <f t="shared" si="2"/>
        <v/>
      </c>
      <c r="E771" s="14"/>
      <c r="F771" s="15" t="str">
        <f t="shared" si="4"/>
        <v/>
      </c>
      <c r="G771" s="15" t="str">
        <f t="shared" ref="G771:H771" si="768">IF(OR(F771="",F771="Selecciona.."),"","Selecciona..")</f>
        <v/>
      </c>
      <c r="H771" s="13" t="str">
        <f t="shared" si="768"/>
        <v/>
      </c>
    </row>
    <row r="772">
      <c r="A772" s="14" t="str">
        <f t="shared" si="1"/>
        <v/>
      </c>
      <c r="B772" s="14" t="str">
        <f t="array" ref="B772">IF(OR(F772="",F772="Selecciona.."),"",XLOOKUP(F772,Productos!E:E,Productos!A:A,"",0,1))</f>
        <v/>
      </c>
      <c r="C772" s="14" t="str">
        <f t="array" ref="C772">IF(OR(G772="",G772="Selecciona.."),"",XLOOKUP(G772,Productos!$E:$E,Productos!$A:$A,"",0,1))</f>
        <v/>
      </c>
      <c r="D772" s="14" t="str">
        <f t="shared" si="2"/>
        <v/>
      </c>
      <c r="E772" s="14"/>
      <c r="F772" s="15" t="str">
        <f t="shared" si="4"/>
        <v/>
      </c>
      <c r="G772" s="15" t="str">
        <f t="shared" ref="G772:H772" si="769">IF(OR(F772="",F772="Selecciona.."),"","Selecciona..")</f>
        <v/>
      </c>
      <c r="H772" s="13" t="str">
        <f t="shared" si="769"/>
        <v/>
      </c>
    </row>
    <row r="773">
      <c r="A773" s="14" t="str">
        <f t="shared" si="1"/>
        <v/>
      </c>
      <c r="B773" s="14" t="str">
        <f t="array" ref="B773">IF(OR(F773="",F773="Selecciona.."),"",XLOOKUP(F773,Productos!E:E,Productos!A:A,"",0,1))</f>
        <v/>
      </c>
      <c r="C773" s="14" t="str">
        <f t="array" ref="C773">IF(OR(G773="",G773="Selecciona.."),"",XLOOKUP(G773,Productos!$E:$E,Productos!$A:$A,"",0,1))</f>
        <v/>
      </c>
      <c r="D773" s="14" t="str">
        <f t="shared" si="2"/>
        <v/>
      </c>
      <c r="E773" s="14"/>
      <c r="F773" s="15" t="str">
        <f t="shared" si="4"/>
        <v/>
      </c>
      <c r="G773" s="15" t="str">
        <f t="shared" ref="G773:H773" si="770">IF(OR(F773="",F773="Selecciona.."),"","Selecciona..")</f>
        <v/>
      </c>
      <c r="H773" s="13" t="str">
        <f t="shared" si="770"/>
        <v/>
      </c>
    </row>
    <row r="774">
      <c r="A774" s="14" t="str">
        <f t="shared" si="1"/>
        <v/>
      </c>
      <c r="B774" s="14" t="str">
        <f t="array" ref="B774">IF(OR(F774="",F774="Selecciona.."),"",XLOOKUP(F774,Productos!E:E,Productos!A:A,"",0,1))</f>
        <v/>
      </c>
      <c r="C774" s="14" t="str">
        <f t="array" ref="C774">IF(OR(G774="",G774="Selecciona.."),"",XLOOKUP(G774,Productos!$E:$E,Productos!$A:$A,"",0,1))</f>
        <v/>
      </c>
      <c r="D774" s="14" t="str">
        <f t="shared" si="2"/>
        <v/>
      </c>
      <c r="E774" s="14"/>
      <c r="F774" s="15" t="str">
        <f t="shared" si="4"/>
        <v/>
      </c>
      <c r="G774" s="15" t="str">
        <f t="shared" ref="G774:H774" si="771">IF(OR(F774="",F774="Selecciona.."),"","Selecciona..")</f>
        <v/>
      </c>
      <c r="H774" s="13" t="str">
        <f t="shared" si="771"/>
        <v/>
      </c>
    </row>
    <row r="775">
      <c r="A775" s="14" t="str">
        <f t="shared" si="1"/>
        <v/>
      </c>
      <c r="B775" s="14" t="str">
        <f t="array" ref="B775">IF(OR(F775="",F775="Selecciona.."),"",XLOOKUP(F775,Productos!E:E,Productos!A:A,"",0,1))</f>
        <v/>
      </c>
      <c r="C775" s="14" t="str">
        <f t="array" ref="C775">IF(OR(G775="",G775="Selecciona.."),"",XLOOKUP(G775,Productos!$E:$E,Productos!$A:$A,"",0,1))</f>
        <v/>
      </c>
      <c r="D775" s="14" t="str">
        <f t="shared" si="2"/>
        <v/>
      </c>
      <c r="E775" s="14"/>
      <c r="F775" s="15" t="str">
        <f t="shared" si="4"/>
        <v/>
      </c>
      <c r="G775" s="15" t="str">
        <f t="shared" ref="G775:H775" si="772">IF(OR(F775="",F775="Selecciona.."),"","Selecciona..")</f>
        <v/>
      </c>
      <c r="H775" s="13" t="str">
        <f t="shared" si="772"/>
        <v/>
      </c>
    </row>
    <row r="776">
      <c r="A776" s="14" t="str">
        <f t="shared" si="1"/>
        <v/>
      </c>
      <c r="B776" s="14" t="str">
        <f t="array" ref="B776">IF(OR(F776="",F776="Selecciona.."),"",XLOOKUP(F776,Productos!E:E,Productos!A:A,"",0,1))</f>
        <v/>
      </c>
      <c r="C776" s="14" t="str">
        <f t="array" ref="C776">IF(OR(G776="",G776="Selecciona.."),"",XLOOKUP(G776,Productos!$E:$E,Productos!$A:$A,"",0,1))</f>
        <v/>
      </c>
      <c r="D776" s="14" t="str">
        <f t="shared" si="2"/>
        <v/>
      </c>
      <c r="E776" s="14"/>
      <c r="F776" s="15" t="str">
        <f t="shared" si="4"/>
        <v/>
      </c>
      <c r="G776" s="15" t="str">
        <f t="shared" ref="G776:H776" si="773">IF(OR(F776="",F776="Selecciona.."),"","Selecciona..")</f>
        <v/>
      </c>
      <c r="H776" s="13" t="str">
        <f t="shared" si="773"/>
        <v/>
      </c>
    </row>
    <row r="777">
      <c r="A777" s="14" t="str">
        <f t="shared" si="1"/>
        <v/>
      </c>
      <c r="B777" s="14" t="str">
        <f t="array" ref="B777">IF(OR(F777="",F777="Selecciona.."),"",XLOOKUP(F777,Productos!E:E,Productos!A:A,"",0,1))</f>
        <v/>
      </c>
      <c r="C777" s="14" t="str">
        <f t="array" ref="C777">IF(OR(G777="",G777="Selecciona.."),"",XLOOKUP(G777,Productos!$E:$E,Productos!$A:$A,"",0,1))</f>
        <v/>
      </c>
      <c r="D777" s="14" t="str">
        <f t="shared" si="2"/>
        <v/>
      </c>
      <c r="E777" s="14"/>
      <c r="F777" s="15" t="str">
        <f t="shared" si="4"/>
        <v/>
      </c>
      <c r="G777" s="15" t="str">
        <f t="shared" ref="G777:H777" si="774">IF(OR(F777="",F777="Selecciona.."),"","Selecciona..")</f>
        <v/>
      </c>
      <c r="H777" s="13" t="str">
        <f t="shared" si="774"/>
        <v/>
      </c>
    </row>
    <row r="778">
      <c r="A778" s="14" t="str">
        <f t="shared" si="1"/>
        <v/>
      </c>
      <c r="B778" s="14" t="str">
        <f t="array" ref="B778">IF(OR(F778="",F778="Selecciona.."),"",XLOOKUP(F778,Productos!E:E,Productos!A:A,"",0,1))</f>
        <v/>
      </c>
      <c r="C778" s="14" t="str">
        <f t="array" ref="C778">IF(OR(G778="",G778="Selecciona.."),"",XLOOKUP(G778,Productos!$E:$E,Productos!$A:$A,"",0,1))</f>
        <v/>
      </c>
      <c r="D778" s="14" t="str">
        <f t="shared" si="2"/>
        <v/>
      </c>
      <c r="E778" s="14"/>
      <c r="F778" s="15" t="str">
        <f t="shared" si="4"/>
        <v/>
      </c>
      <c r="G778" s="15" t="str">
        <f t="shared" ref="G778:H778" si="775">IF(OR(F778="",F778="Selecciona.."),"","Selecciona..")</f>
        <v/>
      </c>
      <c r="H778" s="13" t="str">
        <f t="shared" si="775"/>
        <v/>
      </c>
    </row>
    <row r="779">
      <c r="A779" s="14" t="str">
        <f t="shared" si="1"/>
        <v/>
      </c>
      <c r="B779" s="14" t="str">
        <f t="array" ref="B779">IF(OR(F779="",F779="Selecciona.."),"",XLOOKUP(F779,Productos!E:E,Productos!A:A,"",0,1))</f>
        <v/>
      </c>
      <c r="C779" s="14" t="str">
        <f t="array" ref="C779">IF(OR(G779="",G779="Selecciona.."),"",XLOOKUP(G779,Productos!$E:$E,Productos!$A:$A,"",0,1))</f>
        <v/>
      </c>
      <c r="D779" s="14" t="str">
        <f t="shared" si="2"/>
        <v/>
      </c>
      <c r="E779" s="14"/>
      <c r="F779" s="15" t="str">
        <f t="shared" si="4"/>
        <v/>
      </c>
      <c r="G779" s="15" t="str">
        <f t="shared" ref="G779:H779" si="776">IF(OR(F779="",F779="Selecciona.."),"","Selecciona..")</f>
        <v/>
      </c>
      <c r="H779" s="13" t="str">
        <f t="shared" si="776"/>
        <v/>
      </c>
    </row>
    <row r="780">
      <c r="A780" s="14" t="str">
        <f t="shared" si="1"/>
        <v/>
      </c>
      <c r="B780" s="14" t="str">
        <f t="array" ref="B780">IF(OR(F780="",F780="Selecciona.."),"",XLOOKUP(F780,Productos!E:E,Productos!A:A,"",0,1))</f>
        <v/>
      </c>
      <c r="C780" s="14" t="str">
        <f t="array" ref="C780">IF(OR(G780="",G780="Selecciona.."),"",XLOOKUP(G780,Productos!$E:$E,Productos!$A:$A,"",0,1))</f>
        <v/>
      </c>
      <c r="D780" s="14" t="str">
        <f t="shared" si="2"/>
        <v/>
      </c>
      <c r="E780" s="14"/>
      <c r="F780" s="15" t="str">
        <f t="shared" si="4"/>
        <v/>
      </c>
      <c r="G780" s="15" t="str">
        <f t="shared" ref="G780:H780" si="777">IF(OR(F780="",F780="Selecciona.."),"","Selecciona..")</f>
        <v/>
      </c>
      <c r="H780" s="13" t="str">
        <f t="shared" si="777"/>
        <v/>
      </c>
    </row>
    <row r="781">
      <c r="A781" s="14" t="str">
        <f t="shared" si="1"/>
        <v/>
      </c>
      <c r="B781" s="14" t="str">
        <f t="array" ref="B781">IF(OR(F781="",F781="Selecciona.."),"",XLOOKUP(F781,Productos!E:E,Productos!A:A,"",0,1))</f>
        <v/>
      </c>
      <c r="C781" s="14" t="str">
        <f t="array" ref="C781">IF(OR(G781="",G781="Selecciona.."),"",XLOOKUP(G781,Productos!$E:$E,Productos!$A:$A,"",0,1))</f>
        <v/>
      </c>
      <c r="D781" s="14" t="str">
        <f t="shared" si="2"/>
        <v/>
      </c>
      <c r="E781" s="14"/>
      <c r="F781" s="15" t="str">
        <f t="shared" si="4"/>
        <v/>
      </c>
      <c r="G781" s="15" t="str">
        <f t="shared" ref="G781:H781" si="778">IF(OR(F781="",F781="Selecciona.."),"","Selecciona..")</f>
        <v/>
      </c>
      <c r="H781" s="13" t="str">
        <f t="shared" si="778"/>
        <v/>
      </c>
    </row>
    <row r="782">
      <c r="A782" s="14" t="str">
        <f t="shared" si="1"/>
        <v/>
      </c>
      <c r="B782" s="14" t="str">
        <f t="array" ref="B782">IF(OR(F782="",F782="Selecciona.."),"",XLOOKUP(F782,Productos!E:E,Productos!A:A,"",0,1))</f>
        <v/>
      </c>
      <c r="C782" s="14" t="str">
        <f t="array" ref="C782">IF(OR(G782="",G782="Selecciona.."),"",XLOOKUP(G782,Productos!$E:$E,Productos!$A:$A,"",0,1))</f>
        <v/>
      </c>
      <c r="D782" s="14" t="str">
        <f t="shared" si="2"/>
        <v/>
      </c>
      <c r="E782" s="14"/>
      <c r="F782" s="15" t="str">
        <f t="shared" si="4"/>
        <v/>
      </c>
      <c r="G782" s="15" t="str">
        <f t="shared" ref="G782:H782" si="779">IF(OR(F782="",F782="Selecciona.."),"","Selecciona..")</f>
        <v/>
      </c>
      <c r="H782" s="13" t="str">
        <f t="shared" si="779"/>
        <v/>
      </c>
    </row>
    <row r="783">
      <c r="A783" s="14" t="str">
        <f t="shared" si="1"/>
        <v/>
      </c>
      <c r="B783" s="14" t="str">
        <f t="array" ref="B783">IF(OR(F783="",F783="Selecciona.."),"",XLOOKUP(F783,Productos!E:E,Productos!A:A,"",0,1))</f>
        <v/>
      </c>
      <c r="C783" s="14" t="str">
        <f t="array" ref="C783">IF(OR(G783="",G783="Selecciona.."),"",XLOOKUP(G783,Productos!$E:$E,Productos!$A:$A,"",0,1))</f>
        <v/>
      </c>
      <c r="D783" s="14" t="str">
        <f t="shared" si="2"/>
        <v/>
      </c>
      <c r="E783" s="14"/>
      <c r="F783" s="15" t="str">
        <f t="shared" si="4"/>
        <v/>
      </c>
      <c r="G783" s="15" t="str">
        <f t="shared" ref="G783:H783" si="780">IF(OR(F783="",F783="Selecciona.."),"","Selecciona..")</f>
        <v/>
      </c>
      <c r="H783" s="13" t="str">
        <f t="shared" si="780"/>
        <v/>
      </c>
    </row>
    <row r="784">
      <c r="A784" s="14" t="str">
        <f t="shared" si="1"/>
        <v/>
      </c>
      <c r="B784" s="14" t="str">
        <f t="array" ref="B784">IF(OR(F784="",F784="Selecciona.."),"",XLOOKUP(F784,Productos!E:E,Productos!A:A,"",0,1))</f>
        <v/>
      </c>
      <c r="C784" s="14" t="str">
        <f t="array" ref="C784">IF(OR(G784="",G784="Selecciona.."),"",XLOOKUP(G784,Productos!$E:$E,Productos!$A:$A,"",0,1))</f>
        <v/>
      </c>
      <c r="D784" s="14" t="str">
        <f t="shared" si="2"/>
        <v/>
      </c>
      <c r="E784" s="14"/>
      <c r="F784" s="15" t="str">
        <f t="shared" si="4"/>
        <v/>
      </c>
      <c r="G784" s="15" t="str">
        <f t="shared" ref="G784:H784" si="781">IF(OR(F784="",F784="Selecciona.."),"","Selecciona..")</f>
        <v/>
      </c>
      <c r="H784" s="13" t="str">
        <f t="shared" si="781"/>
        <v/>
      </c>
    </row>
    <row r="785">
      <c r="A785" s="14" t="str">
        <f t="shared" si="1"/>
        <v/>
      </c>
      <c r="B785" s="14" t="str">
        <f t="array" ref="B785">IF(OR(F785="",F785="Selecciona.."),"",XLOOKUP(F785,Productos!E:E,Productos!A:A,"",0,1))</f>
        <v/>
      </c>
      <c r="C785" s="14" t="str">
        <f t="array" ref="C785">IF(OR(G785="",G785="Selecciona.."),"",XLOOKUP(G785,Productos!$E:$E,Productos!$A:$A,"",0,1))</f>
        <v/>
      </c>
      <c r="D785" s="14" t="str">
        <f t="shared" si="2"/>
        <v/>
      </c>
      <c r="E785" s="14"/>
      <c r="F785" s="15" t="str">
        <f t="shared" si="4"/>
        <v/>
      </c>
      <c r="G785" s="15" t="str">
        <f t="shared" ref="G785:H785" si="782">IF(OR(F785="",F785="Selecciona.."),"","Selecciona..")</f>
        <v/>
      </c>
      <c r="H785" s="13" t="str">
        <f t="shared" si="782"/>
        <v/>
      </c>
    </row>
    <row r="786">
      <c r="A786" s="14" t="str">
        <f t="shared" si="1"/>
        <v/>
      </c>
      <c r="B786" s="14" t="str">
        <f t="array" ref="B786">IF(OR(F786="",F786="Selecciona.."),"",XLOOKUP(F786,Productos!E:E,Productos!A:A,"",0,1))</f>
        <v/>
      </c>
      <c r="C786" s="14" t="str">
        <f t="array" ref="C786">IF(OR(G786="",G786="Selecciona.."),"",XLOOKUP(G786,Productos!$E:$E,Productos!$A:$A,"",0,1))</f>
        <v/>
      </c>
      <c r="D786" s="14" t="str">
        <f t="shared" si="2"/>
        <v/>
      </c>
      <c r="E786" s="14"/>
      <c r="F786" s="15" t="str">
        <f t="shared" si="4"/>
        <v/>
      </c>
      <c r="G786" s="15" t="str">
        <f t="shared" ref="G786:H786" si="783">IF(OR(F786="",F786="Selecciona.."),"","Selecciona..")</f>
        <v/>
      </c>
      <c r="H786" s="13" t="str">
        <f t="shared" si="783"/>
        <v/>
      </c>
    </row>
    <row r="787">
      <c r="A787" s="14" t="str">
        <f t="shared" si="1"/>
        <v/>
      </c>
      <c r="B787" s="14" t="str">
        <f t="array" ref="B787">IF(OR(F787="",F787="Selecciona.."),"",XLOOKUP(F787,Productos!E:E,Productos!A:A,"",0,1))</f>
        <v/>
      </c>
      <c r="C787" s="14" t="str">
        <f t="array" ref="C787">IF(OR(G787="",G787="Selecciona.."),"",XLOOKUP(G787,Productos!$E:$E,Productos!$A:$A,"",0,1))</f>
        <v/>
      </c>
      <c r="D787" s="14" t="str">
        <f t="shared" si="2"/>
        <v/>
      </c>
      <c r="E787" s="14"/>
      <c r="F787" s="15" t="str">
        <f t="shared" si="4"/>
        <v/>
      </c>
      <c r="G787" s="15" t="str">
        <f t="shared" ref="G787:H787" si="784">IF(OR(F787="",F787="Selecciona.."),"","Selecciona..")</f>
        <v/>
      </c>
      <c r="H787" s="13" t="str">
        <f t="shared" si="784"/>
        <v/>
      </c>
    </row>
    <row r="788">
      <c r="A788" s="14" t="str">
        <f t="shared" si="1"/>
        <v/>
      </c>
      <c r="B788" s="14" t="str">
        <f t="array" ref="B788">IF(OR(F788="",F788="Selecciona.."),"",XLOOKUP(F788,Productos!E:E,Productos!A:A,"",0,1))</f>
        <v/>
      </c>
      <c r="C788" s="14" t="str">
        <f t="array" ref="C788">IF(OR(G788="",G788="Selecciona.."),"",XLOOKUP(G788,Productos!$E:$E,Productos!$A:$A,"",0,1))</f>
        <v/>
      </c>
      <c r="D788" s="14" t="str">
        <f t="shared" si="2"/>
        <v/>
      </c>
      <c r="E788" s="14"/>
      <c r="F788" s="15" t="str">
        <f t="shared" si="4"/>
        <v/>
      </c>
      <c r="G788" s="15" t="str">
        <f t="shared" ref="G788:H788" si="785">IF(OR(F788="",F788="Selecciona.."),"","Selecciona..")</f>
        <v/>
      </c>
      <c r="H788" s="13" t="str">
        <f t="shared" si="785"/>
        <v/>
      </c>
    </row>
    <row r="789">
      <c r="A789" s="14" t="str">
        <f t="shared" si="1"/>
        <v/>
      </c>
      <c r="B789" s="14" t="str">
        <f t="array" ref="B789">IF(OR(F789="",F789="Selecciona.."),"",XLOOKUP(F789,Productos!E:E,Productos!A:A,"",0,1))</f>
        <v/>
      </c>
      <c r="C789" s="14" t="str">
        <f t="array" ref="C789">IF(OR(G789="",G789="Selecciona.."),"",XLOOKUP(G789,Productos!$E:$E,Productos!$A:$A,"",0,1))</f>
        <v/>
      </c>
      <c r="D789" s="14" t="str">
        <f t="shared" si="2"/>
        <v/>
      </c>
      <c r="E789" s="14"/>
      <c r="F789" s="15" t="str">
        <f t="shared" si="4"/>
        <v/>
      </c>
      <c r="G789" s="15" t="str">
        <f t="shared" ref="G789:H789" si="786">IF(OR(F789="",F789="Selecciona.."),"","Selecciona..")</f>
        <v/>
      </c>
      <c r="H789" s="13" t="str">
        <f t="shared" si="786"/>
        <v/>
      </c>
    </row>
    <row r="790">
      <c r="A790" s="14" t="str">
        <f t="shared" si="1"/>
        <v/>
      </c>
      <c r="B790" s="14" t="str">
        <f t="array" ref="B790">IF(OR(F790="",F790="Selecciona.."),"",XLOOKUP(F790,Productos!E:E,Productos!A:A,"",0,1))</f>
        <v/>
      </c>
      <c r="C790" s="14" t="str">
        <f t="array" ref="C790">IF(OR(G790="",G790="Selecciona.."),"",XLOOKUP(G790,Productos!$E:$E,Productos!$A:$A,"",0,1))</f>
        <v/>
      </c>
      <c r="D790" s="14" t="str">
        <f t="shared" si="2"/>
        <v/>
      </c>
      <c r="E790" s="14"/>
      <c r="F790" s="15" t="str">
        <f t="shared" si="4"/>
        <v/>
      </c>
      <c r="G790" s="15" t="str">
        <f t="shared" ref="G790:H790" si="787">IF(OR(F790="",F790="Selecciona.."),"","Selecciona..")</f>
        <v/>
      </c>
      <c r="H790" s="13" t="str">
        <f t="shared" si="787"/>
        <v/>
      </c>
    </row>
    <row r="791">
      <c r="A791" s="14" t="str">
        <f t="shared" si="1"/>
        <v/>
      </c>
      <c r="B791" s="14" t="str">
        <f t="array" ref="B791">IF(OR(F791="",F791="Selecciona.."),"",XLOOKUP(F791,Productos!E:E,Productos!A:A,"",0,1))</f>
        <v/>
      </c>
      <c r="C791" s="14" t="str">
        <f t="array" ref="C791">IF(OR(G791="",G791="Selecciona.."),"",XLOOKUP(G791,Productos!$E:$E,Productos!$A:$A,"",0,1))</f>
        <v/>
      </c>
      <c r="D791" s="14" t="str">
        <f t="shared" si="2"/>
        <v/>
      </c>
      <c r="E791" s="14"/>
      <c r="F791" s="15" t="str">
        <f t="shared" si="4"/>
        <v/>
      </c>
      <c r="G791" s="15" t="str">
        <f t="shared" ref="G791:H791" si="788">IF(OR(F791="",F791="Selecciona.."),"","Selecciona..")</f>
        <v/>
      </c>
      <c r="H791" s="13" t="str">
        <f t="shared" si="788"/>
        <v/>
      </c>
    </row>
    <row r="792">
      <c r="A792" s="14" t="str">
        <f t="shared" si="1"/>
        <v/>
      </c>
      <c r="B792" s="14" t="str">
        <f t="array" ref="B792">IF(OR(F792="",F792="Selecciona.."),"",XLOOKUP(F792,Productos!E:E,Productos!A:A,"",0,1))</f>
        <v/>
      </c>
      <c r="C792" s="14" t="str">
        <f t="array" ref="C792">IF(OR(G792="",G792="Selecciona.."),"",XLOOKUP(G792,Productos!$E:$E,Productos!$A:$A,"",0,1))</f>
        <v/>
      </c>
      <c r="D792" s="14" t="str">
        <f t="shared" si="2"/>
        <v/>
      </c>
      <c r="E792" s="14"/>
      <c r="F792" s="15" t="str">
        <f t="shared" si="4"/>
        <v/>
      </c>
      <c r="G792" s="15" t="str">
        <f t="shared" ref="G792:H792" si="789">IF(OR(F792="",F792="Selecciona.."),"","Selecciona..")</f>
        <v/>
      </c>
      <c r="H792" s="13" t="str">
        <f t="shared" si="789"/>
        <v/>
      </c>
    </row>
    <row r="793">
      <c r="A793" s="14" t="str">
        <f t="shared" si="1"/>
        <v/>
      </c>
      <c r="B793" s="14" t="str">
        <f t="array" ref="B793">IF(OR(F793="",F793="Selecciona.."),"",XLOOKUP(F793,Productos!E:E,Productos!A:A,"",0,1))</f>
        <v/>
      </c>
      <c r="C793" s="14" t="str">
        <f t="array" ref="C793">IF(OR(G793="",G793="Selecciona.."),"",XLOOKUP(G793,Productos!$E:$E,Productos!$A:$A,"",0,1))</f>
        <v/>
      </c>
      <c r="D793" s="14" t="str">
        <f t="shared" si="2"/>
        <v/>
      </c>
      <c r="E793" s="14"/>
      <c r="F793" s="15" t="str">
        <f t="shared" si="4"/>
        <v/>
      </c>
      <c r="G793" s="15" t="str">
        <f t="shared" ref="G793:H793" si="790">IF(OR(F793="",F793="Selecciona.."),"","Selecciona..")</f>
        <v/>
      </c>
      <c r="H793" s="13" t="str">
        <f t="shared" si="790"/>
        <v/>
      </c>
    </row>
    <row r="794">
      <c r="A794" s="14" t="str">
        <f t="shared" si="1"/>
        <v/>
      </c>
      <c r="B794" s="14" t="str">
        <f t="array" ref="B794">IF(OR(F794="",F794="Selecciona.."),"",XLOOKUP(F794,Productos!E:E,Productos!A:A,"",0,1))</f>
        <v/>
      </c>
      <c r="C794" s="14" t="str">
        <f t="array" ref="C794">IF(OR(G794="",G794="Selecciona.."),"",XLOOKUP(G794,Productos!$E:$E,Productos!$A:$A,"",0,1))</f>
        <v/>
      </c>
      <c r="D794" s="14" t="str">
        <f t="shared" si="2"/>
        <v/>
      </c>
      <c r="E794" s="14"/>
      <c r="F794" s="15" t="str">
        <f t="shared" si="4"/>
        <v/>
      </c>
      <c r="G794" s="15" t="str">
        <f t="shared" ref="G794:H794" si="791">IF(OR(F794="",F794="Selecciona.."),"","Selecciona..")</f>
        <v/>
      </c>
      <c r="H794" s="13" t="str">
        <f t="shared" si="791"/>
        <v/>
      </c>
    </row>
    <row r="795">
      <c r="A795" s="14" t="str">
        <f t="shared" si="1"/>
        <v/>
      </c>
      <c r="B795" s="14" t="str">
        <f t="array" ref="B795">IF(OR(F795="",F795="Selecciona.."),"",XLOOKUP(F795,Productos!E:E,Productos!A:A,"",0,1))</f>
        <v/>
      </c>
      <c r="C795" s="14" t="str">
        <f t="array" ref="C795">IF(OR(G795="",G795="Selecciona.."),"",XLOOKUP(G795,Productos!$E:$E,Productos!$A:$A,"",0,1))</f>
        <v/>
      </c>
      <c r="D795" s="14" t="str">
        <f t="shared" si="2"/>
        <v/>
      </c>
      <c r="E795" s="14"/>
      <c r="F795" s="15" t="str">
        <f t="shared" si="4"/>
        <v/>
      </c>
      <c r="G795" s="15" t="str">
        <f t="shared" ref="G795:H795" si="792">IF(OR(F795="",F795="Selecciona.."),"","Selecciona..")</f>
        <v/>
      </c>
      <c r="H795" s="13" t="str">
        <f t="shared" si="792"/>
        <v/>
      </c>
    </row>
    <row r="796">
      <c r="A796" s="14" t="str">
        <f t="shared" si="1"/>
        <v/>
      </c>
      <c r="B796" s="14" t="str">
        <f t="array" ref="B796">IF(OR(F796="",F796="Selecciona.."),"",XLOOKUP(F796,Productos!E:E,Productos!A:A,"",0,1))</f>
        <v/>
      </c>
      <c r="C796" s="14" t="str">
        <f t="array" ref="C796">IF(OR(G796="",G796="Selecciona.."),"",XLOOKUP(G796,Productos!$E:$E,Productos!$A:$A,"",0,1))</f>
        <v/>
      </c>
      <c r="D796" s="14" t="str">
        <f t="shared" si="2"/>
        <v/>
      </c>
      <c r="E796" s="14"/>
      <c r="F796" s="15" t="str">
        <f t="shared" si="4"/>
        <v/>
      </c>
      <c r="G796" s="15" t="str">
        <f t="shared" ref="G796:H796" si="793">IF(OR(F796="",F796="Selecciona.."),"","Selecciona..")</f>
        <v/>
      </c>
      <c r="H796" s="13" t="str">
        <f t="shared" si="793"/>
        <v/>
      </c>
    </row>
    <row r="797">
      <c r="A797" s="14" t="str">
        <f t="shared" si="1"/>
        <v/>
      </c>
      <c r="B797" s="14" t="str">
        <f t="array" ref="B797">IF(OR(F797="",F797="Selecciona.."),"",XLOOKUP(F797,Productos!E:E,Productos!A:A,"",0,1))</f>
        <v/>
      </c>
      <c r="C797" s="14" t="str">
        <f t="array" ref="C797">IF(OR(G797="",G797="Selecciona.."),"",XLOOKUP(G797,Productos!$E:$E,Productos!$A:$A,"",0,1))</f>
        <v/>
      </c>
      <c r="D797" s="14" t="str">
        <f t="shared" si="2"/>
        <v/>
      </c>
      <c r="E797" s="14"/>
      <c r="F797" s="15" t="str">
        <f t="shared" si="4"/>
        <v/>
      </c>
      <c r="G797" s="15" t="str">
        <f t="shared" ref="G797:H797" si="794">IF(OR(F797="",F797="Selecciona.."),"","Selecciona..")</f>
        <v/>
      </c>
      <c r="H797" s="13" t="str">
        <f t="shared" si="794"/>
        <v/>
      </c>
    </row>
    <row r="798">
      <c r="A798" s="14" t="str">
        <f t="shared" si="1"/>
        <v/>
      </c>
      <c r="B798" s="14" t="str">
        <f t="array" ref="B798">IF(OR(F798="",F798="Selecciona.."),"",XLOOKUP(F798,Productos!E:E,Productos!A:A,"",0,1))</f>
        <v/>
      </c>
      <c r="C798" s="14" t="str">
        <f t="array" ref="C798">IF(OR(G798="",G798="Selecciona.."),"",XLOOKUP(G798,Productos!$E:$E,Productos!$A:$A,"",0,1))</f>
        <v/>
      </c>
      <c r="D798" s="14" t="str">
        <f t="shared" si="2"/>
        <v/>
      </c>
      <c r="E798" s="14"/>
      <c r="F798" s="15" t="str">
        <f t="shared" si="4"/>
        <v/>
      </c>
      <c r="G798" s="15" t="str">
        <f t="shared" ref="G798:H798" si="795">IF(OR(F798="",F798="Selecciona.."),"","Selecciona..")</f>
        <v/>
      </c>
      <c r="H798" s="13" t="str">
        <f t="shared" si="795"/>
        <v/>
      </c>
    </row>
    <row r="799">
      <c r="A799" s="14" t="str">
        <f t="shared" si="1"/>
        <v/>
      </c>
      <c r="B799" s="14" t="str">
        <f t="array" ref="B799">IF(OR(F799="",F799="Selecciona.."),"",XLOOKUP(F799,Productos!E:E,Productos!A:A,"",0,1))</f>
        <v/>
      </c>
      <c r="C799" s="14" t="str">
        <f t="array" ref="C799">IF(OR(G799="",G799="Selecciona.."),"",XLOOKUP(G799,Productos!$E:$E,Productos!$A:$A,"",0,1))</f>
        <v/>
      </c>
      <c r="D799" s="14" t="str">
        <f t="shared" si="2"/>
        <v/>
      </c>
      <c r="E799" s="14"/>
      <c r="F799" s="15" t="str">
        <f t="shared" si="4"/>
        <v/>
      </c>
      <c r="G799" s="15" t="str">
        <f t="shared" ref="G799:H799" si="796">IF(OR(F799="",F799="Selecciona.."),"","Selecciona..")</f>
        <v/>
      </c>
      <c r="H799" s="13" t="str">
        <f t="shared" si="796"/>
        <v/>
      </c>
    </row>
    <row r="800">
      <c r="A800" s="14" t="str">
        <f t="shared" si="1"/>
        <v/>
      </c>
      <c r="B800" s="14" t="str">
        <f t="array" ref="B800">IF(OR(F800="",F800="Selecciona.."),"",XLOOKUP(F800,Productos!E:E,Productos!A:A,"",0,1))</f>
        <v/>
      </c>
      <c r="C800" s="14" t="str">
        <f t="array" ref="C800">IF(OR(G800="",G800="Selecciona.."),"",XLOOKUP(G800,Productos!$E:$E,Productos!$A:$A,"",0,1))</f>
        <v/>
      </c>
      <c r="D800" s="14" t="str">
        <f t="shared" si="2"/>
        <v/>
      </c>
      <c r="E800" s="14"/>
      <c r="F800" s="15" t="str">
        <f t="shared" si="4"/>
        <v/>
      </c>
      <c r="G800" s="15" t="str">
        <f t="shared" ref="G800:H800" si="797">IF(OR(F800="",F800="Selecciona.."),"","Selecciona..")</f>
        <v/>
      </c>
      <c r="H800" s="13" t="str">
        <f t="shared" si="797"/>
        <v/>
      </c>
    </row>
    <row r="801">
      <c r="A801" s="14" t="str">
        <f t="shared" si="1"/>
        <v/>
      </c>
      <c r="B801" s="14" t="str">
        <f t="array" ref="B801">IF(OR(F801="",F801="Selecciona.."),"",XLOOKUP(F801,Productos!E:E,Productos!A:A,"",0,1))</f>
        <v/>
      </c>
      <c r="C801" s="14" t="str">
        <f t="array" ref="C801">IF(OR(G801="",G801="Selecciona.."),"",XLOOKUP(G801,Productos!$E:$E,Productos!$A:$A,"",0,1))</f>
        <v/>
      </c>
      <c r="D801" s="14" t="str">
        <f t="shared" si="2"/>
        <v/>
      </c>
      <c r="E801" s="14"/>
      <c r="F801" s="15" t="str">
        <f t="shared" si="4"/>
        <v/>
      </c>
      <c r="G801" s="15" t="str">
        <f t="shared" ref="G801:H801" si="798">IF(OR(F801="",F801="Selecciona.."),"","Selecciona..")</f>
        <v/>
      </c>
      <c r="H801" s="13" t="str">
        <f t="shared" si="798"/>
        <v/>
      </c>
    </row>
    <row r="802">
      <c r="A802" s="14" t="str">
        <f t="shared" si="1"/>
        <v/>
      </c>
      <c r="B802" s="14" t="str">
        <f t="array" ref="B802">IF(OR(F802="",F802="Selecciona.."),"",XLOOKUP(F802,Productos!E:E,Productos!A:A,"",0,1))</f>
        <v/>
      </c>
      <c r="C802" s="14" t="str">
        <f t="array" ref="C802">IF(OR(G802="",G802="Selecciona.."),"",XLOOKUP(G802,Productos!$E:$E,Productos!$A:$A,"",0,1))</f>
        <v/>
      </c>
      <c r="D802" s="14" t="str">
        <f t="shared" si="2"/>
        <v/>
      </c>
      <c r="E802" s="14"/>
      <c r="F802" s="15" t="str">
        <f t="shared" si="4"/>
        <v/>
      </c>
      <c r="G802" s="15" t="str">
        <f t="shared" ref="G802:H802" si="799">IF(OR(F802="",F802="Selecciona.."),"","Selecciona..")</f>
        <v/>
      </c>
      <c r="H802" s="13" t="str">
        <f t="shared" si="799"/>
        <v/>
      </c>
    </row>
    <row r="803">
      <c r="A803" s="14" t="str">
        <f t="shared" si="1"/>
        <v/>
      </c>
      <c r="B803" s="14" t="str">
        <f t="array" ref="B803">IF(OR(F803="",F803="Selecciona.."),"",XLOOKUP(F803,Productos!E:E,Productos!A:A,"",0,1))</f>
        <v/>
      </c>
      <c r="C803" s="14" t="str">
        <f t="array" ref="C803">IF(OR(G803="",G803="Selecciona.."),"",XLOOKUP(G803,Productos!$E:$E,Productos!$A:$A,"",0,1))</f>
        <v/>
      </c>
      <c r="D803" s="14" t="str">
        <f t="shared" si="2"/>
        <v/>
      </c>
      <c r="E803" s="14"/>
      <c r="F803" s="15" t="str">
        <f t="shared" si="4"/>
        <v/>
      </c>
      <c r="G803" s="15" t="str">
        <f t="shared" ref="G803:H803" si="800">IF(OR(F803="",F803="Selecciona.."),"","Selecciona..")</f>
        <v/>
      </c>
      <c r="H803" s="13" t="str">
        <f t="shared" si="800"/>
        <v/>
      </c>
    </row>
    <row r="804">
      <c r="A804" s="14" t="str">
        <f t="shared" si="1"/>
        <v/>
      </c>
      <c r="B804" s="14" t="str">
        <f t="array" ref="B804">IF(OR(F804="",F804="Selecciona.."),"",XLOOKUP(F804,Productos!E:E,Productos!A:A,"",0,1))</f>
        <v/>
      </c>
      <c r="C804" s="14" t="str">
        <f t="array" ref="C804">IF(OR(G804="",G804="Selecciona.."),"",XLOOKUP(G804,Productos!$E:$E,Productos!$A:$A,"",0,1))</f>
        <v/>
      </c>
      <c r="D804" s="14" t="str">
        <f t="shared" si="2"/>
        <v/>
      </c>
      <c r="E804" s="14"/>
      <c r="F804" s="15" t="str">
        <f t="shared" si="4"/>
        <v/>
      </c>
      <c r="G804" s="15" t="str">
        <f t="shared" ref="G804:H804" si="801">IF(OR(F804="",F804="Selecciona.."),"","Selecciona..")</f>
        <v/>
      </c>
      <c r="H804" s="13" t="str">
        <f t="shared" si="801"/>
        <v/>
      </c>
    </row>
    <row r="805">
      <c r="A805" s="14" t="str">
        <f t="shared" si="1"/>
        <v/>
      </c>
      <c r="B805" s="14" t="str">
        <f t="array" ref="B805">IF(OR(F805="",F805="Selecciona.."),"",XLOOKUP(F805,Productos!E:E,Productos!A:A,"",0,1))</f>
        <v/>
      </c>
      <c r="C805" s="14" t="str">
        <f t="array" ref="C805">IF(OR(G805="",G805="Selecciona.."),"",XLOOKUP(G805,Productos!$E:$E,Productos!$A:$A,"",0,1))</f>
        <v/>
      </c>
      <c r="D805" s="14" t="str">
        <f t="shared" si="2"/>
        <v/>
      </c>
      <c r="E805" s="14"/>
      <c r="F805" s="15" t="str">
        <f t="shared" si="4"/>
        <v/>
      </c>
      <c r="G805" s="15" t="str">
        <f t="shared" ref="G805:H805" si="802">IF(OR(F805="",F805="Selecciona.."),"","Selecciona..")</f>
        <v/>
      </c>
      <c r="H805" s="13" t="str">
        <f t="shared" si="802"/>
        <v/>
      </c>
    </row>
    <row r="806">
      <c r="A806" s="14" t="str">
        <f t="shared" si="1"/>
        <v/>
      </c>
      <c r="B806" s="14" t="str">
        <f t="array" ref="B806">IF(OR(F806="",F806="Selecciona.."),"",XLOOKUP(F806,Productos!E:E,Productos!A:A,"",0,1))</f>
        <v/>
      </c>
      <c r="C806" s="14" t="str">
        <f t="array" ref="C806">IF(OR(G806="",G806="Selecciona.."),"",XLOOKUP(G806,Productos!$E:$E,Productos!$A:$A,"",0,1))</f>
        <v/>
      </c>
      <c r="D806" s="14" t="str">
        <f t="shared" si="2"/>
        <v/>
      </c>
      <c r="E806" s="14"/>
      <c r="F806" s="15" t="str">
        <f t="shared" si="4"/>
        <v/>
      </c>
      <c r="G806" s="15" t="str">
        <f t="shared" ref="G806:H806" si="803">IF(OR(F806="",F806="Selecciona.."),"","Selecciona..")</f>
        <v/>
      </c>
      <c r="H806" s="13" t="str">
        <f t="shared" si="803"/>
        <v/>
      </c>
    </row>
    <row r="807">
      <c r="A807" s="14" t="str">
        <f t="shared" si="1"/>
        <v/>
      </c>
      <c r="B807" s="14" t="str">
        <f t="array" ref="B807">IF(OR(F807="",F807="Selecciona.."),"",XLOOKUP(F807,Productos!E:E,Productos!A:A,"",0,1))</f>
        <v/>
      </c>
      <c r="C807" s="14" t="str">
        <f t="array" ref="C807">IF(OR(G807="",G807="Selecciona.."),"",XLOOKUP(G807,Productos!$E:$E,Productos!$A:$A,"",0,1))</f>
        <v/>
      </c>
      <c r="D807" s="14" t="str">
        <f t="shared" si="2"/>
        <v/>
      </c>
      <c r="E807" s="14"/>
      <c r="F807" s="15" t="str">
        <f t="shared" si="4"/>
        <v/>
      </c>
      <c r="G807" s="15" t="str">
        <f t="shared" ref="G807:H807" si="804">IF(OR(F807="",F807="Selecciona.."),"","Selecciona..")</f>
        <v/>
      </c>
      <c r="H807" s="13" t="str">
        <f t="shared" si="804"/>
        <v/>
      </c>
    </row>
    <row r="808">
      <c r="A808" s="14" t="str">
        <f t="shared" si="1"/>
        <v/>
      </c>
      <c r="B808" s="14" t="str">
        <f t="array" ref="B808">IF(OR(F808="",F808="Selecciona.."),"",XLOOKUP(F808,Productos!E:E,Productos!A:A,"",0,1))</f>
        <v/>
      </c>
      <c r="C808" s="14" t="str">
        <f t="array" ref="C808">IF(OR(G808="",G808="Selecciona.."),"",XLOOKUP(G808,Productos!$E:$E,Productos!$A:$A,"",0,1))</f>
        <v/>
      </c>
      <c r="D808" s="14" t="str">
        <f t="shared" si="2"/>
        <v/>
      </c>
      <c r="E808" s="14"/>
      <c r="F808" s="15" t="str">
        <f t="shared" si="4"/>
        <v/>
      </c>
      <c r="G808" s="15" t="str">
        <f t="shared" ref="G808:H808" si="805">IF(OR(F808="",F808="Selecciona.."),"","Selecciona..")</f>
        <v/>
      </c>
      <c r="H808" s="13" t="str">
        <f t="shared" si="805"/>
        <v/>
      </c>
    </row>
    <row r="809">
      <c r="A809" s="14" t="str">
        <f t="shared" si="1"/>
        <v/>
      </c>
      <c r="B809" s="14" t="str">
        <f t="array" ref="B809">IF(OR(F809="",F809="Selecciona.."),"",XLOOKUP(F809,Productos!E:E,Productos!A:A,"",0,1))</f>
        <v/>
      </c>
      <c r="C809" s="14" t="str">
        <f t="array" ref="C809">IF(OR(G809="",G809="Selecciona.."),"",XLOOKUP(G809,Productos!$E:$E,Productos!$A:$A,"",0,1))</f>
        <v/>
      </c>
      <c r="D809" s="14" t="str">
        <f t="shared" si="2"/>
        <v/>
      </c>
      <c r="E809" s="14"/>
      <c r="F809" s="15" t="str">
        <f t="shared" si="4"/>
        <v/>
      </c>
      <c r="G809" s="15" t="str">
        <f t="shared" ref="G809:H809" si="806">IF(OR(F809="",F809="Selecciona.."),"","Selecciona..")</f>
        <v/>
      </c>
      <c r="H809" s="13" t="str">
        <f t="shared" si="806"/>
        <v/>
      </c>
    </row>
    <row r="810">
      <c r="A810" s="14" t="str">
        <f t="shared" si="1"/>
        <v/>
      </c>
      <c r="B810" s="14" t="str">
        <f t="array" ref="B810">IF(OR(F810="",F810="Selecciona.."),"",XLOOKUP(F810,Productos!E:E,Productos!A:A,"",0,1))</f>
        <v/>
      </c>
      <c r="C810" s="14" t="str">
        <f t="array" ref="C810">IF(OR(G810="",G810="Selecciona.."),"",XLOOKUP(G810,Productos!$E:$E,Productos!$A:$A,"",0,1))</f>
        <v/>
      </c>
      <c r="D810" s="14" t="str">
        <f t="shared" si="2"/>
        <v/>
      </c>
      <c r="E810" s="14"/>
      <c r="F810" s="15" t="str">
        <f t="shared" si="4"/>
        <v/>
      </c>
      <c r="G810" s="15" t="str">
        <f t="shared" ref="G810:H810" si="807">IF(OR(F810="",F810="Selecciona.."),"","Selecciona..")</f>
        <v/>
      </c>
      <c r="H810" s="13" t="str">
        <f t="shared" si="807"/>
        <v/>
      </c>
    </row>
    <row r="811">
      <c r="A811" s="14" t="str">
        <f t="shared" si="1"/>
        <v/>
      </c>
      <c r="B811" s="14" t="str">
        <f t="array" ref="B811">IF(OR(F811="",F811="Selecciona.."),"",XLOOKUP(F811,Productos!E:E,Productos!A:A,"",0,1))</f>
        <v/>
      </c>
      <c r="C811" s="14" t="str">
        <f t="array" ref="C811">IF(OR(G811="",G811="Selecciona.."),"",XLOOKUP(G811,Productos!$E:$E,Productos!$A:$A,"",0,1))</f>
        <v/>
      </c>
      <c r="D811" s="14" t="str">
        <f t="shared" si="2"/>
        <v/>
      </c>
      <c r="E811" s="14"/>
      <c r="F811" s="15" t="str">
        <f t="shared" si="4"/>
        <v/>
      </c>
      <c r="G811" s="15" t="str">
        <f t="shared" ref="G811:H811" si="808">IF(OR(F811="",F811="Selecciona.."),"","Selecciona..")</f>
        <v/>
      </c>
      <c r="H811" s="13" t="str">
        <f t="shared" si="808"/>
        <v/>
      </c>
    </row>
    <row r="812">
      <c r="A812" s="14" t="str">
        <f t="shared" si="1"/>
        <v/>
      </c>
      <c r="B812" s="14" t="str">
        <f t="array" ref="B812">IF(OR(F812="",F812="Selecciona.."),"",XLOOKUP(F812,Productos!E:E,Productos!A:A,"",0,1))</f>
        <v/>
      </c>
      <c r="C812" s="14" t="str">
        <f t="array" ref="C812">IF(OR(G812="",G812="Selecciona.."),"",XLOOKUP(G812,Productos!$E:$E,Productos!$A:$A,"",0,1))</f>
        <v/>
      </c>
      <c r="D812" s="14" t="str">
        <f t="shared" si="2"/>
        <v/>
      </c>
      <c r="E812" s="14"/>
      <c r="F812" s="15" t="str">
        <f t="shared" si="4"/>
        <v/>
      </c>
      <c r="G812" s="15" t="str">
        <f t="shared" ref="G812:H812" si="809">IF(OR(F812="",F812="Selecciona.."),"","Selecciona..")</f>
        <v/>
      </c>
      <c r="H812" s="13" t="str">
        <f t="shared" si="809"/>
        <v/>
      </c>
    </row>
    <row r="813">
      <c r="A813" s="14" t="str">
        <f t="shared" si="1"/>
        <v/>
      </c>
      <c r="B813" s="14" t="str">
        <f t="array" ref="B813">IF(OR(F813="",F813="Selecciona.."),"",XLOOKUP(F813,Productos!E:E,Productos!A:A,"",0,1))</f>
        <v/>
      </c>
      <c r="C813" s="14" t="str">
        <f t="array" ref="C813">IF(OR(G813="",G813="Selecciona.."),"",XLOOKUP(G813,Productos!$E:$E,Productos!$A:$A,"",0,1))</f>
        <v/>
      </c>
      <c r="D813" s="14" t="str">
        <f t="shared" si="2"/>
        <v/>
      </c>
      <c r="E813" s="14"/>
      <c r="F813" s="15" t="str">
        <f t="shared" si="4"/>
        <v/>
      </c>
      <c r="G813" s="15" t="str">
        <f t="shared" ref="G813:H813" si="810">IF(OR(F813="",F813="Selecciona.."),"","Selecciona..")</f>
        <v/>
      </c>
      <c r="H813" s="13" t="str">
        <f t="shared" si="810"/>
        <v/>
      </c>
    </row>
    <row r="814">
      <c r="A814" s="14" t="str">
        <f t="shared" si="1"/>
        <v/>
      </c>
      <c r="B814" s="14" t="str">
        <f t="array" ref="B814">IF(OR(F814="",F814="Selecciona.."),"",XLOOKUP(F814,Productos!E:E,Productos!A:A,"",0,1))</f>
        <v/>
      </c>
      <c r="C814" s="14" t="str">
        <f t="array" ref="C814">IF(OR(G814="",G814="Selecciona.."),"",XLOOKUP(G814,Productos!$E:$E,Productos!$A:$A,"",0,1))</f>
        <v/>
      </c>
      <c r="D814" s="14" t="str">
        <f t="shared" si="2"/>
        <v/>
      </c>
      <c r="E814" s="14"/>
      <c r="F814" s="15" t="str">
        <f t="shared" si="4"/>
        <v/>
      </c>
      <c r="G814" s="15" t="str">
        <f t="shared" ref="G814:H814" si="811">IF(OR(F814="",F814="Selecciona.."),"","Selecciona..")</f>
        <v/>
      </c>
      <c r="H814" s="13" t="str">
        <f t="shared" si="811"/>
        <v/>
      </c>
    </row>
    <row r="815">
      <c r="A815" s="14" t="str">
        <f t="shared" si="1"/>
        <v/>
      </c>
      <c r="B815" s="14" t="str">
        <f t="array" ref="B815">IF(OR(F815="",F815="Selecciona.."),"",XLOOKUP(F815,Productos!E:E,Productos!A:A,"",0,1))</f>
        <v/>
      </c>
      <c r="C815" s="14" t="str">
        <f t="array" ref="C815">IF(OR(G815="",G815="Selecciona.."),"",XLOOKUP(G815,Productos!$E:$E,Productos!$A:$A,"",0,1))</f>
        <v/>
      </c>
      <c r="D815" s="14" t="str">
        <f t="shared" si="2"/>
        <v/>
      </c>
      <c r="E815" s="14"/>
      <c r="F815" s="15" t="str">
        <f t="shared" si="4"/>
        <v/>
      </c>
      <c r="G815" s="15" t="str">
        <f t="shared" ref="G815:H815" si="812">IF(OR(F815="",F815="Selecciona.."),"","Selecciona..")</f>
        <v/>
      </c>
      <c r="H815" s="13" t="str">
        <f t="shared" si="812"/>
        <v/>
      </c>
    </row>
    <row r="816">
      <c r="A816" s="14" t="str">
        <f t="shared" si="1"/>
        <v/>
      </c>
      <c r="B816" s="14" t="str">
        <f t="array" ref="B816">IF(OR(F816="",F816="Selecciona.."),"",XLOOKUP(F816,Productos!E:E,Productos!A:A,"",0,1))</f>
        <v/>
      </c>
      <c r="C816" s="14" t="str">
        <f t="array" ref="C816">IF(OR(G816="",G816="Selecciona.."),"",XLOOKUP(G816,Productos!$E:$E,Productos!$A:$A,"",0,1))</f>
        <v/>
      </c>
      <c r="D816" s="14" t="str">
        <f t="shared" si="2"/>
        <v/>
      </c>
      <c r="E816" s="14"/>
      <c r="F816" s="15" t="str">
        <f t="shared" si="4"/>
        <v/>
      </c>
      <c r="G816" s="15" t="str">
        <f t="shared" ref="G816:H816" si="813">IF(OR(F816="",F816="Selecciona.."),"","Selecciona..")</f>
        <v/>
      </c>
      <c r="H816" s="13" t="str">
        <f t="shared" si="813"/>
        <v/>
      </c>
    </row>
    <row r="817">
      <c r="A817" s="14" t="str">
        <f t="shared" si="1"/>
        <v/>
      </c>
      <c r="B817" s="14" t="str">
        <f t="array" ref="B817">IF(OR(F817="",F817="Selecciona.."),"",XLOOKUP(F817,Productos!E:E,Productos!A:A,"",0,1))</f>
        <v/>
      </c>
      <c r="C817" s="14" t="str">
        <f t="array" ref="C817">IF(OR(G817="",G817="Selecciona.."),"",XLOOKUP(G817,Productos!$E:$E,Productos!$A:$A,"",0,1))</f>
        <v/>
      </c>
      <c r="D817" s="14" t="str">
        <f t="shared" si="2"/>
        <v/>
      </c>
      <c r="E817" s="14"/>
      <c r="F817" s="15" t="str">
        <f t="shared" si="4"/>
        <v/>
      </c>
      <c r="G817" s="15" t="str">
        <f t="shared" ref="G817:H817" si="814">IF(OR(F817="",F817="Selecciona.."),"","Selecciona..")</f>
        <v/>
      </c>
      <c r="H817" s="13" t="str">
        <f t="shared" si="814"/>
        <v/>
      </c>
    </row>
    <row r="818">
      <c r="A818" s="14" t="str">
        <f t="shared" si="1"/>
        <v/>
      </c>
      <c r="B818" s="14" t="str">
        <f t="array" ref="B818">IF(OR(F818="",F818="Selecciona.."),"",XLOOKUP(F818,Productos!E:E,Productos!A:A,"",0,1))</f>
        <v/>
      </c>
      <c r="C818" s="14" t="str">
        <f t="array" ref="C818">IF(OR(G818="",G818="Selecciona.."),"",XLOOKUP(G818,Productos!$E:$E,Productos!$A:$A,"",0,1))</f>
        <v/>
      </c>
      <c r="D818" s="14" t="str">
        <f t="shared" si="2"/>
        <v/>
      </c>
      <c r="E818" s="14"/>
      <c r="F818" s="15" t="str">
        <f t="shared" si="4"/>
        <v/>
      </c>
      <c r="G818" s="15" t="str">
        <f t="shared" ref="G818:H818" si="815">IF(OR(F818="",F818="Selecciona.."),"","Selecciona..")</f>
        <v/>
      </c>
      <c r="H818" s="13" t="str">
        <f t="shared" si="815"/>
        <v/>
      </c>
    </row>
    <row r="819">
      <c r="A819" s="14" t="str">
        <f t="shared" si="1"/>
        <v/>
      </c>
      <c r="B819" s="14" t="str">
        <f t="array" ref="B819">IF(OR(F819="",F819="Selecciona.."),"",XLOOKUP(F819,Productos!E:E,Productos!A:A,"",0,1))</f>
        <v/>
      </c>
      <c r="C819" s="14" t="str">
        <f t="array" ref="C819">IF(OR(G819="",G819="Selecciona.."),"",XLOOKUP(G819,Productos!$E:$E,Productos!$A:$A,"",0,1))</f>
        <v/>
      </c>
      <c r="D819" s="14" t="str">
        <f t="shared" si="2"/>
        <v/>
      </c>
      <c r="E819" s="14"/>
      <c r="F819" s="15" t="str">
        <f t="shared" si="4"/>
        <v/>
      </c>
      <c r="G819" s="15" t="str">
        <f t="shared" ref="G819:H819" si="816">IF(OR(F819="",F819="Selecciona.."),"","Selecciona..")</f>
        <v/>
      </c>
      <c r="H819" s="13" t="str">
        <f t="shared" si="816"/>
        <v/>
      </c>
    </row>
    <row r="820">
      <c r="A820" s="14" t="str">
        <f t="shared" si="1"/>
        <v/>
      </c>
      <c r="B820" s="14" t="str">
        <f t="array" ref="B820">IF(OR(F820="",F820="Selecciona.."),"",XLOOKUP(F820,Productos!E:E,Productos!A:A,"",0,1))</f>
        <v/>
      </c>
      <c r="C820" s="14" t="str">
        <f t="array" ref="C820">IF(OR(G820="",G820="Selecciona.."),"",XLOOKUP(G820,Productos!$E:$E,Productos!$A:$A,"",0,1))</f>
        <v/>
      </c>
      <c r="D820" s="14" t="str">
        <f t="shared" si="2"/>
        <v/>
      </c>
      <c r="E820" s="14"/>
      <c r="F820" s="15" t="str">
        <f t="shared" si="4"/>
        <v/>
      </c>
      <c r="G820" s="15" t="str">
        <f t="shared" ref="G820:H820" si="817">IF(OR(F820="",F820="Selecciona.."),"","Selecciona..")</f>
        <v/>
      </c>
      <c r="H820" s="13" t="str">
        <f t="shared" si="817"/>
        <v/>
      </c>
    </row>
    <row r="821">
      <c r="A821" s="14" t="str">
        <f t="shared" si="1"/>
        <v/>
      </c>
      <c r="B821" s="14" t="str">
        <f t="array" ref="B821">IF(OR(F821="",F821="Selecciona.."),"",XLOOKUP(F821,Productos!E:E,Productos!A:A,"",0,1))</f>
        <v/>
      </c>
      <c r="C821" s="14" t="str">
        <f t="array" ref="C821">IF(OR(G821="",G821="Selecciona.."),"",XLOOKUP(G821,Productos!$E:$E,Productos!$A:$A,"",0,1))</f>
        <v/>
      </c>
      <c r="D821" s="14" t="str">
        <f t="shared" si="2"/>
        <v/>
      </c>
      <c r="E821" s="14"/>
      <c r="F821" s="15" t="str">
        <f t="shared" si="4"/>
        <v/>
      </c>
      <c r="G821" s="15" t="str">
        <f t="shared" ref="G821:H821" si="818">IF(OR(F821="",F821="Selecciona.."),"","Selecciona..")</f>
        <v/>
      </c>
      <c r="H821" s="13" t="str">
        <f t="shared" si="818"/>
        <v/>
      </c>
    </row>
    <row r="822">
      <c r="A822" s="14" t="str">
        <f t="shared" si="1"/>
        <v/>
      </c>
      <c r="B822" s="14" t="str">
        <f t="array" ref="B822">IF(OR(F822="",F822="Selecciona.."),"",XLOOKUP(F822,Productos!E:E,Productos!A:A,"",0,1))</f>
        <v/>
      </c>
      <c r="C822" s="14" t="str">
        <f t="array" ref="C822">IF(OR(G822="",G822="Selecciona.."),"",XLOOKUP(G822,Productos!$E:$E,Productos!$A:$A,"",0,1))</f>
        <v/>
      </c>
      <c r="D822" s="14" t="str">
        <f t="shared" si="2"/>
        <v/>
      </c>
      <c r="E822" s="14"/>
      <c r="F822" s="15" t="str">
        <f t="shared" si="4"/>
        <v/>
      </c>
      <c r="G822" s="15" t="str">
        <f t="shared" ref="G822:H822" si="819">IF(OR(F822="",F822="Selecciona.."),"","Selecciona..")</f>
        <v/>
      </c>
      <c r="H822" s="13" t="str">
        <f t="shared" si="819"/>
        <v/>
      </c>
    </row>
    <row r="823">
      <c r="A823" s="14" t="str">
        <f t="shared" si="1"/>
        <v/>
      </c>
      <c r="B823" s="14" t="str">
        <f t="array" ref="B823">IF(OR(F823="",F823="Selecciona.."),"",XLOOKUP(F823,Productos!E:E,Productos!A:A,"",0,1))</f>
        <v/>
      </c>
      <c r="C823" s="14" t="str">
        <f t="array" ref="C823">IF(OR(G823="",G823="Selecciona.."),"",XLOOKUP(G823,Productos!$E:$E,Productos!$A:$A,"",0,1))</f>
        <v/>
      </c>
      <c r="D823" s="14" t="str">
        <f t="shared" si="2"/>
        <v/>
      </c>
      <c r="E823" s="14"/>
      <c r="F823" s="15" t="str">
        <f t="shared" si="4"/>
        <v/>
      </c>
      <c r="G823" s="15" t="str">
        <f t="shared" ref="G823:H823" si="820">IF(OR(F823="",F823="Selecciona.."),"","Selecciona..")</f>
        <v/>
      </c>
      <c r="H823" s="13" t="str">
        <f t="shared" si="820"/>
        <v/>
      </c>
    </row>
    <row r="824">
      <c r="A824" s="14" t="str">
        <f t="shared" si="1"/>
        <v/>
      </c>
      <c r="B824" s="14" t="str">
        <f t="array" ref="B824">IF(OR(F824="",F824="Selecciona.."),"",XLOOKUP(F824,Productos!E:E,Productos!A:A,"",0,1))</f>
        <v/>
      </c>
      <c r="C824" s="14" t="str">
        <f t="array" ref="C824">IF(OR(G824="",G824="Selecciona.."),"",XLOOKUP(G824,Productos!$E:$E,Productos!$A:$A,"",0,1))</f>
        <v/>
      </c>
      <c r="D824" s="14" t="str">
        <f t="shared" si="2"/>
        <v/>
      </c>
      <c r="E824" s="14"/>
      <c r="F824" s="15" t="str">
        <f t="shared" si="4"/>
        <v/>
      </c>
      <c r="G824" s="15" t="str">
        <f t="shared" ref="G824:H824" si="821">IF(OR(F824="",F824="Selecciona.."),"","Selecciona..")</f>
        <v/>
      </c>
      <c r="H824" s="13" t="str">
        <f t="shared" si="821"/>
        <v/>
      </c>
    </row>
    <row r="825">
      <c r="A825" s="14" t="str">
        <f t="shared" si="1"/>
        <v/>
      </c>
      <c r="B825" s="14" t="str">
        <f t="array" ref="B825">IF(OR(F825="",F825="Selecciona.."),"",XLOOKUP(F825,Productos!E:E,Productos!A:A,"",0,1))</f>
        <v/>
      </c>
      <c r="C825" s="14" t="str">
        <f t="array" ref="C825">IF(OR(G825="",G825="Selecciona.."),"",XLOOKUP(G825,Productos!$E:$E,Productos!$A:$A,"",0,1))</f>
        <v/>
      </c>
      <c r="D825" s="14" t="str">
        <f t="shared" si="2"/>
        <v/>
      </c>
      <c r="E825" s="14"/>
      <c r="F825" s="15" t="str">
        <f t="shared" si="4"/>
        <v/>
      </c>
      <c r="G825" s="15" t="str">
        <f t="shared" ref="G825:H825" si="822">IF(OR(F825="",F825="Selecciona.."),"","Selecciona..")</f>
        <v/>
      </c>
      <c r="H825" s="13" t="str">
        <f t="shared" si="822"/>
        <v/>
      </c>
    </row>
    <row r="826">
      <c r="A826" s="14" t="str">
        <f t="shared" si="1"/>
        <v/>
      </c>
      <c r="B826" s="14" t="str">
        <f t="array" ref="B826">IF(OR(F826="",F826="Selecciona.."),"",XLOOKUP(F826,Productos!E:E,Productos!A:A,"",0,1))</f>
        <v/>
      </c>
      <c r="C826" s="14" t="str">
        <f t="array" ref="C826">IF(OR(G826="",G826="Selecciona.."),"",XLOOKUP(G826,Productos!$E:$E,Productos!$A:$A,"",0,1))</f>
        <v/>
      </c>
      <c r="D826" s="14" t="str">
        <f t="shared" si="2"/>
        <v/>
      </c>
      <c r="E826" s="14"/>
      <c r="F826" s="15" t="str">
        <f t="shared" si="4"/>
        <v/>
      </c>
      <c r="G826" s="15" t="str">
        <f t="shared" ref="G826:H826" si="823">IF(OR(F826="",F826="Selecciona.."),"","Selecciona..")</f>
        <v/>
      </c>
      <c r="H826" s="13" t="str">
        <f t="shared" si="823"/>
        <v/>
      </c>
    </row>
    <row r="827">
      <c r="A827" s="14" t="str">
        <f t="shared" si="1"/>
        <v/>
      </c>
      <c r="B827" s="14" t="str">
        <f t="array" ref="B827">IF(OR(F827="",F827="Selecciona.."),"",XLOOKUP(F827,Productos!E:E,Productos!A:A,"",0,1))</f>
        <v/>
      </c>
      <c r="C827" s="14" t="str">
        <f t="array" ref="C827">IF(OR(G827="",G827="Selecciona.."),"",XLOOKUP(G827,Productos!$E:$E,Productos!$A:$A,"",0,1))</f>
        <v/>
      </c>
      <c r="D827" s="14" t="str">
        <f t="shared" si="2"/>
        <v/>
      </c>
      <c r="E827" s="14"/>
      <c r="F827" s="15" t="str">
        <f t="shared" si="4"/>
        <v/>
      </c>
      <c r="G827" s="15" t="str">
        <f t="shared" ref="G827:H827" si="824">IF(OR(F827="",F827="Selecciona.."),"","Selecciona..")</f>
        <v/>
      </c>
      <c r="H827" s="13" t="str">
        <f t="shared" si="824"/>
        <v/>
      </c>
    </row>
    <row r="828">
      <c r="A828" s="14" t="str">
        <f t="shared" si="1"/>
        <v/>
      </c>
      <c r="B828" s="14" t="str">
        <f t="array" ref="B828">IF(OR(F828="",F828="Selecciona.."),"",XLOOKUP(F828,Productos!E:E,Productos!A:A,"",0,1))</f>
        <v/>
      </c>
      <c r="C828" s="14" t="str">
        <f t="array" ref="C828">IF(OR(G828="",G828="Selecciona.."),"",XLOOKUP(G828,Productos!$E:$E,Productos!$A:$A,"",0,1))</f>
        <v/>
      </c>
      <c r="D828" s="14" t="str">
        <f t="shared" si="2"/>
        <v/>
      </c>
      <c r="E828" s="14"/>
      <c r="F828" s="15" t="str">
        <f t="shared" si="4"/>
        <v/>
      </c>
      <c r="G828" s="15" t="str">
        <f t="shared" ref="G828:H828" si="825">IF(OR(F828="",F828="Selecciona.."),"","Selecciona..")</f>
        <v/>
      </c>
      <c r="H828" s="13" t="str">
        <f t="shared" si="825"/>
        <v/>
      </c>
    </row>
    <row r="829">
      <c r="A829" s="14" t="str">
        <f t="shared" si="1"/>
        <v/>
      </c>
      <c r="B829" s="14" t="str">
        <f t="array" ref="B829">IF(OR(F829="",F829="Selecciona.."),"",XLOOKUP(F829,Productos!E:E,Productos!A:A,"",0,1))</f>
        <v/>
      </c>
      <c r="C829" s="14" t="str">
        <f t="array" ref="C829">IF(OR(G829="",G829="Selecciona.."),"",XLOOKUP(G829,Productos!$E:$E,Productos!$A:$A,"",0,1))</f>
        <v/>
      </c>
      <c r="D829" s="14" t="str">
        <f t="shared" si="2"/>
        <v/>
      </c>
      <c r="E829" s="14"/>
      <c r="F829" s="15" t="str">
        <f t="shared" si="4"/>
        <v/>
      </c>
      <c r="G829" s="15" t="str">
        <f t="shared" ref="G829:H829" si="826">IF(OR(F829="",F829="Selecciona.."),"","Selecciona..")</f>
        <v/>
      </c>
      <c r="H829" s="13" t="str">
        <f t="shared" si="826"/>
        <v/>
      </c>
    </row>
    <row r="830">
      <c r="A830" s="14" t="str">
        <f t="shared" si="1"/>
        <v/>
      </c>
      <c r="B830" s="14" t="str">
        <f t="array" ref="B830">IF(OR(F830="",F830="Selecciona.."),"",XLOOKUP(F830,Productos!E:E,Productos!A:A,"",0,1))</f>
        <v/>
      </c>
      <c r="C830" s="14" t="str">
        <f t="array" ref="C830">IF(OR(G830="",G830="Selecciona.."),"",XLOOKUP(G830,Productos!$E:$E,Productos!$A:$A,"",0,1))</f>
        <v/>
      </c>
      <c r="D830" s="14" t="str">
        <f t="shared" si="2"/>
        <v/>
      </c>
      <c r="E830" s="14"/>
      <c r="F830" s="15" t="str">
        <f t="shared" si="4"/>
        <v/>
      </c>
      <c r="G830" s="15" t="str">
        <f t="shared" ref="G830:H830" si="827">IF(OR(F830="",F830="Selecciona.."),"","Selecciona..")</f>
        <v/>
      </c>
      <c r="H830" s="13" t="str">
        <f t="shared" si="827"/>
        <v/>
      </c>
    </row>
    <row r="831">
      <c r="A831" s="14" t="str">
        <f t="shared" si="1"/>
        <v/>
      </c>
      <c r="B831" s="14" t="str">
        <f t="array" ref="B831">IF(OR(F831="",F831="Selecciona.."),"",XLOOKUP(F831,Productos!E:E,Productos!A:A,"",0,1))</f>
        <v/>
      </c>
      <c r="C831" s="14" t="str">
        <f t="array" ref="C831">IF(OR(G831="",G831="Selecciona.."),"",XLOOKUP(G831,Productos!$E:$E,Productos!$A:$A,"",0,1))</f>
        <v/>
      </c>
      <c r="D831" s="14" t="str">
        <f t="shared" si="2"/>
        <v/>
      </c>
      <c r="E831" s="14"/>
      <c r="F831" s="15" t="str">
        <f t="shared" si="4"/>
        <v/>
      </c>
      <c r="G831" s="15" t="str">
        <f t="shared" ref="G831:H831" si="828">IF(OR(F831="",F831="Selecciona.."),"","Selecciona..")</f>
        <v/>
      </c>
      <c r="H831" s="13" t="str">
        <f t="shared" si="828"/>
        <v/>
      </c>
    </row>
    <row r="832">
      <c r="A832" s="14" t="str">
        <f t="shared" si="1"/>
        <v/>
      </c>
      <c r="B832" s="14" t="str">
        <f t="array" ref="B832">IF(OR(F832="",F832="Selecciona.."),"",XLOOKUP(F832,Productos!E:E,Productos!A:A,"",0,1))</f>
        <v/>
      </c>
      <c r="C832" s="14" t="str">
        <f t="array" ref="C832">IF(OR(G832="",G832="Selecciona.."),"",XLOOKUP(G832,Productos!$E:$E,Productos!$A:$A,"",0,1))</f>
        <v/>
      </c>
      <c r="D832" s="14" t="str">
        <f t="shared" si="2"/>
        <v/>
      </c>
      <c r="E832" s="14"/>
      <c r="F832" s="15" t="str">
        <f t="shared" si="4"/>
        <v/>
      </c>
      <c r="G832" s="15" t="str">
        <f t="shared" ref="G832:H832" si="829">IF(OR(F832="",F832="Selecciona.."),"","Selecciona..")</f>
        <v/>
      </c>
      <c r="H832" s="13" t="str">
        <f t="shared" si="829"/>
        <v/>
      </c>
    </row>
    <row r="833">
      <c r="A833" s="14" t="str">
        <f t="shared" si="1"/>
        <v/>
      </c>
      <c r="B833" s="14" t="str">
        <f t="array" ref="B833">IF(OR(F833="",F833="Selecciona.."),"",XLOOKUP(F833,Productos!E:E,Productos!A:A,"",0,1))</f>
        <v/>
      </c>
      <c r="C833" s="14" t="str">
        <f t="array" ref="C833">IF(OR(G833="",G833="Selecciona.."),"",XLOOKUP(G833,Productos!$E:$E,Productos!$A:$A,"",0,1))</f>
        <v/>
      </c>
      <c r="D833" s="14" t="str">
        <f t="shared" si="2"/>
        <v/>
      </c>
      <c r="E833" s="14"/>
      <c r="F833" s="15" t="str">
        <f t="shared" si="4"/>
        <v/>
      </c>
      <c r="G833" s="15" t="str">
        <f t="shared" ref="G833:H833" si="830">IF(OR(F833="",F833="Selecciona.."),"","Selecciona..")</f>
        <v/>
      </c>
      <c r="H833" s="13" t="str">
        <f t="shared" si="830"/>
        <v/>
      </c>
    </row>
    <row r="834">
      <c r="A834" s="14" t="str">
        <f t="shared" si="1"/>
        <v/>
      </c>
      <c r="B834" s="14" t="str">
        <f t="array" ref="B834">IF(OR(F834="",F834="Selecciona.."),"",XLOOKUP(F834,Productos!E:E,Productos!A:A,"",0,1))</f>
        <v/>
      </c>
      <c r="C834" s="14" t="str">
        <f t="array" ref="C834">IF(OR(G834="",G834="Selecciona.."),"",XLOOKUP(G834,Productos!$E:$E,Productos!$A:$A,"",0,1))</f>
        <v/>
      </c>
      <c r="D834" s="14" t="str">
        <f t="shared" si="2"/>
        <v/>
      </c>
      <c r="E834" s="14"/>
      <c r="F834" s="15" t="str">
        <f t="shared" si="4"/>
        <v/>
      </c>
      <c r="G834" s="15" t="str">
        <f t="shared" ref="G834:H834" si="831">IF(OR(F834="",F834="Selecciona.."),"","Selecciona..")</f>
        <v/>
      </c>
      <c r="H834" s="13" t="str">
        <f t="shared" si="831"/>
        <v/>
      </c>
    </row>
    <row r="835">
      <c r="A835" s="14" t="str">
        <f t="shared" si="1"/>
        <v/>
      </c>
      <c r="B835" s="14" t="str">
        <f t="array" ref="B835">IF(OR(F835="",F835="Selecciona.."),"",XLOOKUP(F835,Productos!E:E,Productos!A:A,"",0,1))</f>
        <v/>
      </c>
      <c r="C835" s="14" t="str">
        <f t="array" ref="C835">IF(OR(G835="",G835="Selecciona.."),"",XLOOKUP(G835,Productos!$E:$E,Productos!$A:$A,"",0,1))</f>
        <v/>
      </c>
      <c r="D835" s="14" t="str">
        <f t="shared" si="2"/>
        <v/>
      </c>
      <c r="E835" s="14"/>
      <c r="F835" s="15" t="str">
        <f t="shared" si="4"/>
        <v/>
      </c>
      <c r="G835" s="15" t="str">
        <f t="shared" ref="G835:H835" si="832">IF(OR(F835="",F835="Selecciona.."),"","Selecciona..")</f>
        <v/>
      </c>
      <c r="H835" s="13" t="str">
        <f t="shared" si="832"/>
        <v/>
      </c>
    </row>
    <row r="836">
      <c r="A836" s="14" t="str">
        <f t="shared" si="1"/>
        <v/>
      </c>
      <c r="B836" s="14" t="str">
        <f t="array" ref="B836">IF(OR(F836="",F836="Selecciona.."),"",XLOOKUP(F836,Productos!E:E,Productos!A:A,"",0,1))</f>
        <v/>
      </c>
      <c r="C836" s="14" t="str">
        <f t="array" ref="C836">IF(OR(G836="",G836="Selecciona.."),"",XLOOKUP(G836,Productos!$E:$E,Productos!$A:$A,"",0,1))</f>
        <v/>
      </c>
      <c r="D836" s="14" t="str">
        <f t="shared" si="2"/>
        <v/>
      </c>
      <c r="E836" s="14"/>
      <c r="F836" s="15" t="str">
        <f t="shared" si="4"/>
        <v/>
      </c>
      <c r="G836" s="15" t="str">
        <f t="shared" ref="G836:H836" si="833">IF(OR(F836="",F836="Selecciona.."),"","Selecciona..")</f>
        <v/>
      </c>
      <c r="H836" s="13" t="str">
        <f t="shared" si="833"/>
        <v/>
      </c>
    </row>
    <row r="837">
      <c r="A837" s="14" t="str">
        <f t="shared" si="1"/>
        <v/>
      </c>
      <c r="B837" s="14" t="str">
        <f t="array" ref="B837">IF(OR(F837="",F837="Selecciona.."),"",XLOOKUP(F837,Productos!E:E,Productos!A:A,"",0,1))</f>
        <v/>
      </c>
      <c r="C837" s="14" t="str">
        <f t="array" ref="C837">IF(OR(G837="",G837="Selecciona.."),"",XLOOKUP(G837,Productos!$E:$E,Productos!$A:$A,"",0,1))</f>
        <v/>
      </c>
      <c r="D837" s="14" t="str">
        <f t="shared" si="2"/>
        <v/>
      </c>
      <c r="E837" s="14"/>
      <c r="F837" s="15" t="str">
        <f t="shared" si="4"/>
        <v/>
      </c>
      <c r="G837" s="15" t="str">
        <f t="shared" ref="G837:H837" si="834">IF(OR(F837="",F837="Selecciona.."),"","Selecciona..")</f>
        <v/>
      </c>
      <c r="H837" s="13" t="str">
        <f t="shared" si="834"/>
        <v/>
      </c>
    </row>
    <row r="838">
      <c r="A838" s="14" t="str">
        <f t="shared" si="1"/>
        <v/>
      </c>
      <c r="B838" s="14" t="str">
        <f t="array" ref="B838">IF(OR(F838="",F838="Selecciona.."),"",XLOOKUP(F838,Productos!E:E,Productos!A:A,"",0,1))</f>
        <v/>
      </c>
      <c r="C838" s="14" t="str">
        <f t="array" ref="C838">IF(OR(G838="",G838="Selecciona.."),"",XLOOKUP(G838,Productos!$E:$E,Productos!$A:$A,"",0,1))</f>
        <v/>
      </c>
      <c r="D838" s="14" t="str">
        <f t="shared" si="2"/>
        <v/>
      </c>
      <c r="E838" s="14"/>
      <c r="F838" s="15" t="str">
        <f t="shared" si="4"/>
        <v/>
      </c>
      <c r="G838" s="15" t="str">
        <f t="shared" ref="G838:H838" si="835">IF(OR(F838="",F838="Selecciona.."),"","Selecciona..")</f>
        <v/>
      </c>
      <c r="H838" s="13" t="str">
        <f t="shared" si="835"/>
        <v/>
      </c>
    </row>
    <row r="839">
      <c r="A839" s="14" t="str">
        <f t="shared" si="1"/>
        <v/>
      </c>
      <c r="B839" s="14" t="str">
        <f t="array" ref="B839">IF(OR(F839="",F839="Selecciona.."),"",XLOOKUP(F839,Productos!E:E,Productos!A:A,"",0,1))</f>
        <v/>
      </c>
      <c r="C839" s="14" t="str">
        <f t="array" ref="C839">IF(OR(G839="",G839="Selecciona.."),"",XLOOKUP(G839,Productos!$E:$E,Productos!$A:$A,"",0,1))</f>
        <v/>
      </c>
      <c r="D839" s="14" t="str">
        <f t="shared" si="2"/>
        <v/>
      </c>
      <c r="E839" s="14"/>
      <c r="F839" s="15" t="str">
        <f t="shared" si="4"/>
        <v/>
      </c>
      <c r="G839" s="15" t="str">
        <f t="shared" ref="G839:H839" si="836">IF(OR(F839="",F839="Selecciona.."),"","Selecciona..")</f>
        <v/>
      </c>
      <c r="H839" s="13" t="str">
        <f t="shared" si="836"/>
        <v/>
      </c>
    </row>
    <row r="840">
      <c r="A840" s="14" t="str">
        <f t="shared" si="1"/>
        <v/>
      </c>
      <c r="B840" s="14" t="str">
        <f t="array" ref="B840">IF(OR(F840="",F840="Selecciona.."),"",XLOOKUP(F840,Productos!E:E,Productos!A:A,"",0,1))</f>
        <v/>
      </c>
      <c r="C840" s="14" t="str">
        <f t="array" ref="C840">IF(OR(G840="",G840="Selecciona.."),"",XLOOKUP(G840,Productos!$E:$E,Productos!$A:$A,"",0,1))</f>
        <v/>
      </c>
      <c r="D840" s="14" t="str">
        <f t="shared" si="2"/>
        <v/>
      </c>
      <c r="E840" s="14"/>
      <c r="F840" s="15" t="str">
        <f t="shared" si="4"/>
        <v/>
      </c>
      <c r="G840" s="15" t="str">
        <f t="shared" ref="G840:H840" si="837">IF(OR(F840="",F840="Selecciona.."),"","Selecciona..")</f>
        <v/>
      </c>
      <c r="H840" s="13" t="str">
        <f t="shared" si="837"/>
        <v/>
      </c>
    </row>
    <row r="841">
      <c r="A841" s="14" t="str">
        <f t="shared" si="1"/>
        <v/>
      </c>
      <c r="B841" s="14" t="str">
        <f t="array" ref="B841">IF(OR(F841="",F841="Selecciona.."),"",XLOOKUP(F841,Productos!E:E,Productos!A:A,"",0,1))</f>
        <v/>
      </c>
      <c r="C841" s="14" t="str">
        <f t="array" ref="C841">IF(OR(G841="",G841="Selecciona.."),"",XLOOKUP(G841,Productos!$E:$E,Productos!$A:$A,"",0,1))</f>
        <v/>
      </c>
      <c r="D841" s="14" t="str">
        <f t="shared" si="2"/>
        <v/>
      </c>
      <c r="E841" s="14"/>
      <c r="F841" s="15" t="str">
        <f t="shared" si="4"/>
        <v/>
      </c>
      <c r="G841" s="15" t="str">
        <f t="shared" ref="G841:H841" si="838">IF(OR(F841="",F841="Selecciona.."),"","Selecciona..")</f>
        <v/>
      </c>
      <c r="H841" s="13" t="str">
        <f t="shared" si="838"/>
        <v/>
      </c>
    </row>
    <row r="842">
      <c r="A842" s="14" t="str">
        <f t="shared" si="1"/>
        <v/>
      </c>
      <c r="B842" s="14" t="str">
        <f t="array" ref="B842">IF(OR(F842="",F842="Selecciona.."),"",XLOOKUP(F842,Productos!E:E,Productos!A:A,"",0,1))</f>
        <v/>
      </c>
      <c r="C842" s="14" t="str">
        <f t="array" ref="C842">IF(OR(G842="",G842="Selecciona.."),"",XLOOKUP(G842,Productos!$E:$E,Productos!$A:$A,"",0,1))</f>
        <v/>
      </c>
      <c r="D842" s="14" t="str">
        <f t="shared" si="2"/>
        <v/>
      </c>
      <c r="E842" s="14"/>
      <c r="F842" s="15" t="str">
        <f t="shared" si="4"/>
        <v/>
      </c>
      <c r="G842" s="15" t="str">
        <f t="shared" ref="G842:H842" si="839">IF(OR(F842="",F842="Selecciona.."),"","Selecciona..")</f>
        <v/>
      </c>
      <c r="H842" s="13" t="str">
        <f t="shared" si="839"/>
        <v/>
      </c>
    </row>
    <row r="843">
      <c r="A843" s="14" t="str">
        <f t="shared" si="1"/>
        <v/>
      </c>
      <c r="B843" s="14" t="str">
        <f t="array" ref="B843">IF(OR(F843="",F843="Selecciona.."),"",XLOOKUP(F843,Productos!E:E,Productos!A:A,"",0,1))</f>
        <v/>
      </c>
      <c r="C843" s="14" t="str">
        <f t="array" ref="C843">IF(OR(G843="",G843="Selecciona.."),"",XLOOKUP(G843,Productos!$E:$E,Productos!$A:$A,"",0,1))</f>
        <v/>
      </c>
      <c r="D843" s="14" t="str">
        <f t="shared" si="2"/>
        <v/>
      </c>
      <c r="E843" s="14"/>
      <c r="F843" s="15" t="str">
        <f t="shared" si="4"/>
        <v/>
      </c>
      <c r="G843" s="15" t="str">
        <f t="shared" ref="G843:H843" si="840">IF(OR(F843="",F843="Selecciona.."),"","Selecciona..")</f>
        <v/>
      </c>
      <c r="H843" s="13" t="str">
        <f t="shared" si="840"/>
        <v/>
      </c>
    </row>
    <row r="844">
      <c r="A844" s="14" t="str">
        <f t="shared" si="1"/>
        <v/>
      </c>
      <c r="B844" s="14" t="str">
        <f t="array" ref="B844">IF(OR(F844="",F844="Selecciona.."),"",XLOOKUP(F844,Productos!E:E,Productos!A:A,"",0,1))</f>
        <v/>
      </c>
      <c r="C844" s="14" t="str">
        <f t="array" ref="C844">IF(OR(G844="",G844="Selecciona.."),"",XLOOKUP(G844,Productos!$E:$E,Productos!$A:$A,"",0,1))</f>
        <v/>
      </c>
      <c r="D844" s="14" t="str">
        <f t="shared" si="2"/>
        <v/>
      </c>
      <c r="E844" s="14"/>
      <c r="F844" s="15" t="str">
        <f t="shared" si="4"/>
        <v/>
      </c>
      <c r="G844" s="15" t="str">
        <f t="shared" ref="G844:H844" si="841">IF(OR(F844="",F844="Selecciona.."),"","Selecciona..")</f>
        <v/>
      </c>
      <c r="H844" s="13" t="str">
        <f t="shared" si="841"/>
        <v/>
      </c>
    </row>
    <row r="845">
      <c r="A845" s="14" t="str">
        <f t="shared" si="1"/>
        <v/>
      </c>
      <c r="B845" s="14" t="str">
        <f t="array" ref="B845">IF(OR(F845="",F845="Selecciona.."),"",XLOOKUP(F845,Productos!E:E,Productos!A:A,"",0,1))</f>
        <v/>
      </c>
      <c r="C845" s="14" t="str">
        <f t="array" ref="C845">IF(OR(G845="",G845="Selecciona.."),"",XLOOKUP(G845,Productos!$E:$E,Productos!$A:$A,"",0,1))</f>
        <v/>
      </c>
      <c r="D845" s="14" t="str">
        <f t="shared" si="2"/>
        <v/>
      </c>
      <c r="E845" s="14"/>
      <c r="F845" s="15" t="str">
        <f t="shared" si="4"/>
        <v/>
      </c>
      <c r="G845" s="15" t="str">
        <f t="shared" ref="G845:H845" si="842">IF(OR(F845="",F845="Selecciona.."),"","Selecciona..")</f>
        <v/>
      </c>
      <c r="H845" s="13" t="str">
        <f t="shared" si="842"/>
        <v/>
      </c>
    </row>
    <row r="846">
      <c r="A846" s="14" t="str">
        <f t="shared" si="1"/>
        <v/>
      </c>
      <c r="B846" s="14" t="str">
        <f t="array" ref="B846">IF(OR(F846="",F846="Selecciona.."),"",XLOOKUP(F846,Productos!E:E,Productos!A:A,"",0,1))</f>
        <v/>
      </c>
      <c r="C846" s="14" t="str">
        <f t="array" ref="C846">IF(OR(G846="",G846="Selecciona.."),"",XLOOKUP(G846,Productos!$E:$E,Productos!$A:$A,"",0,1))</f>
        <v/>
      </c>
      <c r="D846" s="14" t="str">
        <f t="shared" si="2"/>
        <v/>
      </c>
      <c r="E846" s="14"/>
      <c r="F846" s="15" t="str">
        <f t="shared" si="4"/>
        <v/>
      </c>
      <c r="G846" s="15" t="str">
        <f t="shared" ref="G846:H846" si="843">IF(OR(F846="",F846="Selecciona.."),"","Selecciona..")</f>
        <v/>
      </c>
      <c r="H846" s="13" t="str">
        <f t="shared" si="843"/>
        <v/>
      </c>
    </row>
    <row r="847">
      <c r="A847" s="14" t="str">
        <f t="shared" si="1"/>
        <v/>
      </c>
      <c r="B847" s="14" t="str">
        <f t="array" ref="B847">IF(OR(F847="",F847="Selecciona.."),"",XLOOKUP(F847,Productos!E:E,Productos!A:A,"",0,1))</f>
        <v/>
      </c>
      <c r="C847" s="14" t="str">
        <f t="array" ref="C847">IF(OR(G847="",G847="Selecciona.."),"",XLOOKUP(G847,Productos!$E:$E,Productos!$A:$A,"",0,1))</f>
        <v/>
      </c>
      <c r="D847" s="14" t="str">
        <f t="shared" si="2"/>
        <v/>
      </c>
      <c r="E847" s="14"/>
      <c r="F847" s="15" t="str">
        <f t="shared" si="4"/>
        <v/>
      </c>
      <c r="G847" s="15" t="str">
        <f t="shared" ref="G847:H847" si="844">IF(OR(F847="",F847="Selecciona.."),"","Selecciona..")</f>
        <v/>
      </c>
      <c r="H847" s="13" t="str">
        <f t="shared" si="844"/>
        <v/>
      </c>
    </row>
    <row r="848">
      <c r="A848" s="14" t="str">
        <f t="shared" si="1"/>
        <v/>
      </c>
      <c r="B848" s="14" t="str">
        <f t="array" ref="B848">IF(OR(F848="",F848="Selecciona.."),"",XLOOKUP(F848,Productos!E:E,Productos!A:A,"",0,1))</f>
        <v/>
      </c>
      <c r="C848" s="14" t="str">
        <f t="array" ref="C848">IF(OR(G848="",G848="Selecciona.."),"",XLOOKUP(G848,Productos!$E:$E,Productos!$A:$A,"",0,1))</f>
        <v/>
      </c>
      <c r="D848" s="14" t="str">
        <f t="shared" si="2"/>
        <v/>
      </c>
      <c r="E848" s="14"/>
      <c r="F848" s="15" t="str">
        <f t="shared" si="4"/>
        <v/>
      </c>
      <c r="G848" s="15" t="str">
        <f t="shared" ref="G848:H848" si="845">IF(OR(F848="",F848="Selecciona.."),"","Selecciona..")</f>
        <v/>
      </c>
      <c r="H848" s="13" t="str">
        <f t="shared" si="845"/>
        <v/>
      </c>
    </row>
    <row r="849">
      <c r="A849" s="14" t="str">
        <f t="shared" si="1"/>
        <v/>
      </c>
      <c r="B849" s="14" t="str">
        <f t="array" ref="B849">IF(OR(F849="",F849="Selecciona.."),"",XLOOKUP(F849,Productos!E:E,Productos!A:A,"",0,1))</f>
        <v/>
      </c>
      <c r="C849" s="14" t="str">
        <f t="array" ref="C849">IF(OR(G849="",G849="Selecciona.."),"",XLOOKUP(G849,Productos!$E:$E,Productos!$A:$A,"",0,1))</f>
        <v/>
      </c>
      <c r="D849" s="14" t="str">
        <f t="shared" si="2"/>
        <v/>
      </c>
      <c r="E849" s="14"/>
      <c r="F849" s="15" t="str">
        <f t="shared" si="4"/>
        <v/>
      </c>
      <c r="G849" s="15" t="str">
        <f t="shared" ref="G849:H849" si="846">IF(OR(F849="",F849="Selecciona.."),"","Selecciona..")</f>
        <v/>
      </c>
      <c r="H849" s="13" t="str">
        <f t="shared" si="846"/>
        <v/>
      </c>
    </row>
    <row r="850">
      <c r="A850" s="14" t="str">
        <f t="shared" si="1"/>
        <v/>
      </c>
      <c r="B850" s="14" t="str">
        <f t="array" ref="B850">IF(OR(F850="",F850="Selecciona.."),"",XLOOKUP(F850,Productos!E:E,Productos!A:A,"",0,1))</f>
        <v/>
      </c>
      <c r="C850" s="14" t="str">
        <f t="array" ref="C850">IF(OR(G850="",G850="Selecciona.."),"",XLOOKUP(G850,Productos!$E:$E,Productos!$A:$A,"",0,1))</f>
        <v/>
      </c>
      <c r="D850" s="14" t="str">
        <f t="shared" si="2"/>
        <v/>
      </c>
      <c r="E850" s="14"/>
      <c r="F850" s="15" t="str">
        <f t="shared" si="4"/>
        <v/>
      </c>
      <c r="G850" s="15" t="str">
        <f t="shared" ref="G850:H850" si="847">IF(OR(F850="",F850="Selecciona.."),"","Selecciona..")</f>
        <v/>
      </c>
      <c r="H850" s="13" t="str">
        <f t="shared" si="847"/>
        <v/>
      </c>
    </row>
    <row r="851">
      <c r="A851" s="14" t="str">
        <f t="shared" si="1"/>
        <v/>
      </c>
      <c r="B851" s="14" t="str">
        <f t="array" ref="B851">IF(OR(F851="",F851="Selecciona.."),"",XLOOKUP(F851,Productos!E:E,Productos!A:A,"",0,1))</f>
        <v/>
      </c>
      <c r="C851" s="14" t="str">
        <f t="array" ref="C851">IF(OR(G851="",G851="Selecciona.."),"",XLOOKUP(G851,Productos!$E:$E,Productos!$A:$A,"",0,1))</f>
        <v/>
      </c>
      <c r="D851" s="14" t="str">
        <f t="shared" si="2"/>
        <v/>
      </c>
      <c r="E851" s="14"/>
      <c r="F851" s="15" t="str">
        <f t="shared" si="4"/>
        <v/>
      </c>
      <c r="G851" s="15" t="str">
        <f t="shared" ref="G851:H851" si="848">IF(OR(F851="",F851="Selecciona.."),"","Selecciona..")</f>
        <v/>
      </c>
      <c r="H851" s="13" t="str">
        <f t="shared" si="848"/>
        <v/>
      </c>
    </row>
    <row r="852">
      <c r="A852" s="14" t="str">
        <f t="shared" si="1"/>
        <v/>
      </c>
      <c r="B852" s="14" t="str">
        <f t="array" ref="B852">IF(OR(F852="",F852="Selecciona.."),"",XLOOKUP(F852,Productos!E:E,Productos!A:A,"",0,1))</f>
        <v/>
      </c>
      <c r="C852" s="14" t="str">
        <f t="array" ref="C852">IF(OR(G852="",G852="Selecciona.."),"",XLOOKUP(G852,Productos!$E:$E,Productos!$A:$A,"",0,1))</f>
        <v/>
      </c>
      <c r="D852" s="14" t="str">
        <f t="shared" si="2"/>
        <v/>
      </c>
      <c r="E852" s="14"/>
      <c r="F852" s="15" t="str">
        <f t="shared" si="4"/>
        <v/>
      </c>
      <c r="G852" s="15" t="str">
        <f t="shared" ref="G852:H852" si="849">IF(OR(F852="",F852="Selecciona.."),"","Selecciona..")</f>
        <v/>
      </c>
      <c r="H852" s="13" t="str">
        <f t="shared" si="849"/>
        <v/>
      </c>
    </row>
    <row r="853">
      <c r="A853" s="14" t="str">
        <f t="shared" si="1"/>
        <v/>
      </c>
      <c r="B853" s="14" t="str">
        <f t="array" ref="B853">IF(OR(F853="",F853="Selecciona.."),"",XLOOKUP(F853,Productos!E:E,Productos!A:A,"",0,1))</f>
        <v/>
      </c>
      <c r="C853" s="14" t="str">
        <f t="array" ref="C853">IF(OR(G853="",G853="Selecciona.."),"",XLOOKUP(G853,Productos!$E:$E,Productos!$A:$A,"",0,1))</f>
        <v/>
      </c>
      <c r="D853" s="14" t="str">
        <f t="shared" si="2"/>
        <v/>
      </c>
      <c r="E853" s="14"/>
      <c r="F853" s="15" t="str">
        <f t="shared" si="4"/>
        <v/>
      </c>
      <c r="G853" s="15" t="str">
        <f t="shared" ref="G853:H853" si="850">IF(OR(F853="",F853="Selecciona.."),"","Selecciona..")</f>
        <v/>
      </c>
      <c r="H853" s="13" t="str">
        <f t="shared" si="850"/>
        <v/>
      </c>
    </row>
    <row r="854">
      <c r="A854" s="14" t="str">
        <f t="shared" si="1"/>
        <v/>
      </c>
      <c r="B854" s="14" t="str">
        <f t="array" ref="B854">IF(OR(F854="",F854="Selecciona.."),"",XLOOKUP(F854,Productos!E:E,Productos!A:A,"",0,1))</f>
        <v/>
      </c>
      <c r="C854" s="14" t="str">
        <f t="array" ref="C854">IF(OR(G854="",G854="Selecciona.."),"",XLOOKUP(G854,Productos!$E:$E,Productos!$A:$A,"",0,1))</f>
        <v/>
      </c>
      <c r="D854" s="14" t="str">
        <f t="shared" si="2"/>
        <v/>
      </c>
      <c r="E854" s="14"/>
      <c r="F854" s="15" t="str">
        <f t="shared" si="4"/>
        <v/>
      </c>
      <c r="G854" s="15" t="str">
        <f t="shared" ref="G854:H854" si="851">IF(OR(F854="",F854="Selecciona.."),"","Selecciona..")</f>
        <v/>
      </c>
      <c r="H854" s="13" t="str">
        <f t="shared" si="851"/>
        <v/>
      </c>
    </row>
    <row r="855">
      <c r="A855" s="14" t="str">
        <f t="shared" si="1"/>
        <v/>
      </c>
      <c r="B855" s="14" t="str">
        <f t="array" ref="B855">IF(OR(F855="",F855="Selecciona.."),"",XLOOKUP(F855,Productos!E:E,Productos!A:A,"",0,1))</f>
        <v/>
      </c>
      <c r="C855" s="14" t="str">
        <f t="array" ref="C855">IF(OR(G855="",G855="Selecciona.."),"",XLOOKUP(G855,Productos!$E:$E,Productos!$A:$A,"",0,1))</f>
        <v/>
      </c>
      <c r="D855" s="14" t="str">
        <f t="shared" si="2"/>
        <v/>
      </c>
      <c r="E855" s="14"/>
      <c r="F855" s="15" t="str">
        <f t="shared" si="4"/>
        <v/>
      </c>
      <c r="G855" s="15" t="str">
        <f t="shared" ref="G855:H855" si="852">IF(OR(F855="",F855="Selecciona.."),"","Selecciona..")</f>
        <v/>
      </c>
      <c r="H855" s="13" t="str">
        <f t="shared" si="852"/>
        <v/>
      </c>
    </row>
    <row r="856">
      <c r="A856" s="14" t="str">
        <f t="shared" si="1"/>
        <v/>
      </c>
      <c r="B856" s="14" t="str">
        <f t="array" ref="B856">IF(OR(F856="",F856="Selecciona.."),"",XLOOKUP(F856,Productos!E:E,Productos!A:A,"",0,1))</f>
        <v/>
      </c>
      <c r="C856" s="14" t="str">
        <f t="array" ref="C856">IF(OR(G856="",G856="Selecciona.."),"",XLOOKUP(G856,Productos!$E:$E,Productos!$A:$A,"",0,1))</f>
        <v/>
      </c>
      <c r="D856" s="14" t="str">
        <f t="shared" si="2"/>
        <v/>
      </c>
      <c r="E856" s="14"/>
      <c r="F856" s="15" t="str">
        <f t="shared" si="4"/>
        <v/>
      </c>
      <c r="G856" s="15" t="str">
        <f t="shared" ref="G856:H856" si="853">IF(OR(F856="",F856="Selecciona.."),"","Selecciona..")</f>
        <v/>
      </c>
      <c r="H856" s="13" t="str">
        <f t="shared" si="853"/>
        <v/>
      </c>
    </row>
    <row r="857">
      <c r="A857" s="14" t="str">
        <f t="shared" si="1"/>
        <v/>
      </c>
      <c r="B857" s="14" t="str">
        <f t="array" ref="B857">IF(OR(F857="",F857="Selecciona.."),"",XLOOKUP(F857,Productos!E:E,Productos!A:A,"",0,1))</f>
        <v/>
      </c>
      <c r="C857" s="14" t="str">
        <f t="array" ref="C857">IF(OR(G857="",G857="Selecciona.."),"",XLOOKUP(G857,Productos!$E:$E,Productos!$A:$A,"",0,1))</f>
        <v/>
      </c>
      <c r="D857" s="14" t="str">
        <f t="shared" si="2"/>
        <v/>
      </c>
      <c r="E857" s="14"/>
      <c r="F857" s="15" t="str">
        <f t="shared" si="4"/>
        <v/>
      </c>
      <c r="G857" s="15" t="str">
        <f t="shared" ref="G857:H857" si="854">IF(OR(F857="",F857="Selecciona.."),"","Selecciona..")</f>
        <v/>
      </c>
      <c r="H857" s="13" t="str">
        <f t="shared" si="854"/>
        <v/>
      </c>
    </row>
    <row r="858">
      <c r="A858" s="14" t="str">
        <f t="shared" si="1"/>
        <v/>
      </c>
      <c r="B858" s="14" t="str">
        <f t="array" ref="B858">IF(OR(F858="",F858="Selecciona.."),"",XLOOKUP(F858,Productos!E:E,Productos!A:A,"",0,1))</f>
        <v/>
      </c>
      <c r="C858" s="14" t="str">
        <f t="array" ref="C858">IF(OR(G858="",G858="Selecciona.."),"",XLOOKUP(G858,Productos!$E:$E,Productos!$A:$A,"",0,1))</f>
        <v/>
      </c>
      <c r="D858" s="14" t="str">
        <f t="shared" si="2"/>
        <v/>
      </c>
      <c r="E858" s="14"/>
      <c r="F858" s="15" t="str">
        <f t="shared" si="4"/>
        <v/>
      </c>
      <c r="G858" s="15" t="str">
        <f t="shared" ref="G858:H858" si="855">IF(OR(F858="",F858="Selecciona.."),"","Selecciona..")</f>
        <v/>
      </c>
      <c r="H858" s="13" t="str">
        <f t="shared" si="855"/>
        <v/>
      </c>
    </row>
    <row r="859">
      <c r="A859" s="14" t="str">
        <f t="shared" si="1"/>
        <v/>
      </c>
      <c r="B859" s="14" t="str">
        <f t="array" ref="B859">IF(OR(F859="",F859="Selecciona.."),"",XLOOKUP(F859,Productos!E:E,Productos!A:A,"",0,1))</f>
        <v/>
      </c>
      <c r="C859" s="14" t="str">
        <f t="array" ref="C859">IF(OR(G859="",G859="Selecciona.."),"",XLOOKUP(G859,Productos!$E:$E,Productos!$A:$A,"",0,1))</f>
        <v/>
      </c>
      <c r="D859" s="14" t="str">
        <f t="shared" si="2"/>
        <v/>
      </c>
      <c r="E859" s="14"/>
      <c r="F859" s="15" t="str">
        <f t="shared" si="4"/>
        <v/>
      </c>
      <c r="G859" s="15" t="str">
        <f t="shared" ref="G859:H859" si="856">IF(OR(F859="",F859="Selecciona.."),"","Selecciona..")</f>
        <v/>
      </c>
      <c r="H859" s="13" t="str">
        <f t="shared" si="856"/>
        <v/>
      </c>
    </row>
    <row r="860">
      <c r="A860" s="14" t="str">
        <f t="shared" si="1"/>
        <v/>
      </c>
      <c r="B860" s="14" t="str">
        <f t="array" ref="B860">IF(OR(F860="",F860="Selecciona.."),"",XLOOKUP(F860,Productos!E:E,Productos!A:A,"",0,1))</f>
        <v/>
      </c>
      <c r="C860" s="14" t="str">
        <f t="array" ref="C860">IF(OR(G860="",G860="Selecciona.."),"",XLOOKUP(G860,Productos!$E:$E,Productos!$A:$A,"",0,1))</f>
        <v/>
      </c>
      <c r="D860" s="14" t="str">
        <f t="shared" si="2"/>
        <v/>
      </c>
      <c r="E860" s="14"/>
      <c r="F860" s="15" t="str">
        <f t="shared" si="4"/>
        <v/>
      </c>
      <c r="G860" s="15" t="str">
        <f t="shared" ref="G860:H860" si="857">IF(OR(F860="",F860="Selecciona.."),"","Selecciona..")</f>
        <v/>
      </c>
      <c r="H860" s="13" t="str">
        <f t="shared" si="857"/>
        <v/>
      </c>
    </row>
    <row r="861">
      <c r="A861" s="14" t="str">
        <f t="shared" si="1"/>
        <v/>
      </c>
      <c r="B861" s="14" t="str">
        <f t="array" ref="B861">IF(OR(F861="",F861="Selecciona.."),"",XLOOKUP(F861,Productos!E:E,Productos!A:A,"",0,1))</f>
        <v/>
      </c>
      <c r="C861" s="14" t="str">
        <f t="array" ref="C861">IF(OR(G861="",G861="Selecciona.."),"",XLOOKUP(G861,Productos!$E:$E,Productos!$A:$A,"",0,1))</f>
        <v/>
      </c>
      <c r="D861" s="14" t="str">
        <f t="shared" si="2"/>
        <v/>
      </c>
      <c r="E861" s="14"/>
      <c r="F861" s="15" t="str">
        <f t="shared" si="4"/>
        <v/>
      </c>
      <c r="G861" s="15" t="str">
        <f t="shared" ref="G861:H861" si="858">IF(OR(F861="",F861="Selecciona.."),"","Selecciona..")</f>
        <v/>
      </c>
      <c r="H861" s="13" t="str">
        <f t="shared" si="858"/>
        <v/>
      </c>
    </row>
    <row r="862">
      <c r="A862" s="14" t="str">
        <f t="shared" si="1"/>
        <v/>
      </c>
      <c r="B862" s="14" t="str">
        <f t="array" ref="B862">IF(OR(F862="",F862="Selecciona.."),"",XLOOKUP(F862,Productos!E:E,Productos!A:A,"",0,1))</f>
        <v/>
      </c>
      <c r="C862" s="14" t="str">
        <f t="array" ref="C862">IF(OR(G862="",G862="Selecciona.."),"",XLOOKUP(G862,Productos!$E:$E,Productos!$A:$A,"",0,1))</f>
        <v/>
      </c>
      <c r="D862" s="14" t="str">
        <f t="shared" si="2"/>
        <v/>
      </c>
      <c r="E862" s="14"/>
      <c r="F862" s="15" t="str">
        <f t="shared" si="4"/>
        <v/>
      </c>
      <c r="G862" s="15" t="str">
        <f t="shared" ref="G862:H862" si="859">IF(OR(F862="",F862="Selecciona.."),"","Selecciona..")</f>
        <v/>
      </c>
      <c r="H862" s="13" t="str">
        <f t="shared" si="859"/>
        <v/>
      </c>
    </row>
    <row r="863">
      <c r="A863" s="14" t="str">
        <f t="shared" si="1"/>
        <v/>
      </c>
      <c r="B863" s="14" t="str">
        <f t="array" ref="B863">IF(OR(F863="",F863="Selecciona.."),"",XLOOKUP(F863,Productos!E:E,Productos!A:A,"",0,1))</f>
        <v/>
      </c>
      <c r="C863" s="14" t="str">
        <f t="array" ref="C863">IF(OR(G863="",G863="Selecciona.."),"",XLOOKUP(G863,Productos!$E:$E,Productos!$A:$A,"",0,1))</f>
        <v/>
      </c>
      <c r="D863" s="14" t="str">
        <f t="shared" si="2"/>
        <v/>
      </c>
      <c r="E863" s="14"/>
      <c r="F863" s="15" t="str">
        <f t="shared" si="4"/>
        <v/>
      </c>
      <c r="G863" s="15" t="str">
        <f t="shared" ref="G863:H863" si="860">IF(OR(F863="",F863="Selecciona.."),"","Selecciona..")</f>
        <v/>
      </c>
      <c r="H863" s="13" t="str">
        <f t="shared" si="860"/>
        <v/>
      </c>
    </row>
    <row r="864">
      <c r="A864" s="14" t="str">
        <f t="shared" si="1"/>
        <v/>
      </c>
      <c r="B864" s="14" t="str">
        <f t="array" ref="B864">IF(OR(F864="",F864="Selecciona.."),"",XLOOKUP(F864,Productos!E:E,Productos!A:A,"",0,1))</f>
        <v/>
      </c>
      <c r="C864" s="14" t="str">
        <f t="array" ref="C864">IF(OR(G864="",G864="Selecciona.."),"",XLOOKUP(G864,Productos!$E:$E,Productos!$A:$A,"",0,1))</f>
        <v/>
      </c>
      <c r="D864" s="14" t="str">
        <f t="shared" si="2"/>
        <v/>
      </c>
      <c r="E864" s="14"/>
      <c r="F864" s="15" t="str">
        <f t="shared" si="4"/>
        <v/>
      </c>
      <c r="G864" s="15" t="str">
        <f t="shared" ref="G864:H864" si="861">IF(OR(F864="",F864="Selecciona.."),"","Selecciona..")</f>
        <v/>
      </c>
      <c r="H864" s="13" t="str">
        <f t="shared" si="861"/>
        <v/>
      </c>
    </row>
    <row r="865">
      <c r="A865" s="14" t="str">
        <f t="shared" si="1"/>
        <v/>
      </c>
      <c r="B865" s="14" t="str">
        <f t="array" ref="B865">IF(OR(F865="",F865="Selecciona.."),"",XLOOKUP(F865,Productos!E:E,Productos!A:A,"",0,1))</f>
        <v/>
      </c>
      <c r="C865" s="14" t="str">
        <f t="array" ref="C865">IF(OR(G865="",G865="Selecciona.."),"",XLOOKUP(G865,Productos!$E:$E,Productos!$A:$A,"",0,1))</f>
        <v/>
      </c>
      <c r="D865" s="14" t="str">
        <f t="shared" si="2"/>
        <v/>
      </c>
      <c r="E865" s="14"/>
      <c r="F865" s="15" t="str">
        <f t="shared" si="4"/>
        <v/>
      </c>
      <c r="G865" s="15" t="str">
        <f t="shared" ref="G865:H865" si="862">IF(OR(F865="",F865="Selecciona.."),"","Selecciona..")</f>
        <v/>
      </c>
      <c r="H865" s="13" t="str">
        <f t="shared" si="862"/>
        <v/>
      </c>
    </row>
    <row r="866">
      <c r="A866" s="14" t="str">
        <f t="shared" si="1"/>
        <v/>
      </c>
      <c r="B866" s="14" t="str">
        <f t="array" ref="B866">IF(OR(F866="",F866="Selecciona.."),"",XLOOKUP(F866,Productos!E:E,Productos!A:A,"",0,1))</f>
        <v/>
      </c>
      <c r="C866" s="14" t="str">
        <f t="array" ref="C866">IF(OR(G866="",G866="Selecciona.."),"",XLOOKUP(G866,Productos!$E:$E,Productos!$A:$A,"",0,1))</f>
        <v/>
      </c>
      <c r="D866" s="14" t="str">
        <f t="shared" si="2"/>
        <v/>
      </c>
      <c r="E866" s="14"/>
      <c r="F866" s="15" t="str">
        <f t="shared" si="4"/>
        <v/>
      </c>
      <c r="G866" s="15" t="str">
        <f t="shared" ref="G866:H866" si="863">IF(OR(F866="",F866="Selecciona.."),"","Selecciona..")</f>
        <v/>
      </c>
      <c r="H866" s="13" t="str">
        <f t="shared" si="863"/>
        <v/>
      </c>
    </row>
    <row r="867">
      <c r="A867" s="14" t="str">
        <f t="shared" si="1"/>
        <v/>
      </c>
      <c r="B867" s="14" t="str">
        <f t="array" ref="B867">IF(OR(F867="",F867="Selecciona.."),"",XLOOKUP(F867,Productos!E:E,Productos!A:A,"",0,1))</f>
        <v/>
      </c>
      <c r="C867" s="14" t="str">
        <f t="array" ref="C867">IF(OR(G867="",G867="Selecciona.."),"",XLOOKUP(G867,Productos!$E:$E,Productos!$A:$A,"",0,1))</f>
        <v/>
      </c>
      <c r="D867" s="14" t="str">
        <f t="shared" si="2"/>
        <v/>
      </c>
      <c r="E867" s="14"/>
      <c r="F867" s="15" t="str">
        <f t="shared" si="4"/>
        <v/>
      </c>
      <c r="G867" s="15" t="str">
        <f t="shared" ref="G867:H867" si="864">IF(OR(F867="",F867="Selecciona.."),"","Selecciona..")</f>
        <v/>
      </c>
      <c r="H867" s="13" t="str">
        <f t="shared" si="864"/>
        <v/>
      </c>
    </row>
    <row r="868">
      <c r="A868" s="14" t="str">
        <f t="shared" si="1"/>
        <v/>
      </c>
      <c r="B868" s="14" t="str">
        <f t="array" ref="B868">IF(OR(F868="",F868="Selecciona.."),"",XLOOKUP(F868,Productos!E:E,Productos!A:A,"",0,1))</f>
        <v/>
      </c>
      <c r="C868" s="14" t="str">
        <f t="array" ref="C868">IF(OR(G868="",G868="Selecciona.."),"",XLOOKUP(G868,Productos!$E:$E,Productos!$A:$A,"",0,1))</f>
        <v/>
      </c>
      <c r="D868" s="14" t="str">
        <f t="shared" si="2"/>
        <v/>
      </c>
      <c r="E868" s="14"/>
      <c r="F868" s="15" t="str">
        <f t="shared" si="4"/>
        <v/>
      </c>
      <c r="G868" s="15" t="str">
        <f t="shared" ref="G868:H868" si="865">IF(OR(F868="",F868="Selecciona.."),"","Selecciona..")</f>
        <v/>
      </c>
      <c r="H868" s="13" t="str">
        <f t="shared" si="865"/>
        <v/>
      </c>
    </row>
    <row r="869">
      <c r="A869" s="14" t="str">
        <f t="shared" si="1"/>
        <v/>
      </c>
      <c r="B869" s="14" t="str">
        <f t="array" ref="B869">IF(OR(F869="",F869="Selecciona.."),"",XLOOKUP(F869,Productos!E:E,Productos!A:A,"",0,1))</f>
        <v/>
      </c>
      <c r="C869" s="14" t="str">
        <f t="array" ref="C869">IF(OR(G869="",G869="Selecciona.."),"",XLOOKUP(G869,Productos!$E:$E,Productos!$A:$A,"",0,1))</f>
        <v/>
      </c>
      <c r="D869" s="14" t="str">
        <f t="shared" si="2"/>
        <v/>
      </c>
      <c r="E869" s="14"/>
      <c r="F869" s="15" t="str">
        <f t="shared" si="4"/>
        <v/>
      </c>
      <c r="G869" s="15" t="str">
        <f t="shared" ref="G869:H869" si="866">IF(OR(F869="",F869="Selecciona.."),"","Selecciona..")</f>
        <v/>
      </c>
      <c r="H869" s="13" t="str">
        <f t="shared" si="866"/>
        <v/>
      </c>
    </row>
    <row r="870">
      <c r="A870" s="14" t="str">
        <f t="shared" si="1"/>
        <v/>
      </c>
      <c r="B870" s="14" t="str">
        <f t="array" ref="B870">IF(OR(F870="",F870="Selecciona.."),"",XLOOKUP(F870,Productos!E:E,Productos!A:A,"",0,1))</f>
        <v/>
      </c>
      <c r="C870" s="14" t="str">
        <f t="array" ref="C870">IF(OR(G870="",G870="Selecciona.."),"",XLOOKUP(G870,Productos!$E:$E,Productos!$A:$A,"",0,1))</f>
        <v/>
      </c>
      <c r="D870" s="14" t="str">
        <f t="shared" si="2"/>
        <v/>
      </c>
      <c r="E870" s="14"/>
      <c r="F870" s="15" t="str">
        <f t="shared" si="4"/>
        <v/>
      </c>
      <c r="G870" s="15" t="str">
        <f t="shared" ref="G870:H870" si="867">IF(OR(F870="",F870="Selecciona.."),"","Selecciona..")</f>
        <v/>
      </c>
      <c r="H870" s="13" t="str">
        <f t="shared" si="867"/>
        <v/>
      </c>
    </row>
    <row r="871">
      <c r="A871" s="14" t="str">
        <f t="shared" si="1"/>
        <v/>
      </c>
      <c r="B871" s="14" t="str">
        <f t="array" ref="B871">IF(OR(F871="",F871="Selecciona.."),"",XLOOKUP(F871,Productos!E:E,Productos!A:A,"",0,1))</f>
        <v/>
      </c>
      <c r="C871" s="14" t="str">
        <f t="array" ref="C871">IF(OR(G871="",G871="Selecciona.."),"",XLOOKUP(G871,Productos!$E:$E,Productos!$A:$A,"",0,1))</f>
        <v/>
      </c>
      <c r="D871" s="14" t="str">
        <f t="shared" si="2"/>
        <v/>
      </c>
      <c r="E871" s="14"/>
      <c r="F871" s="15" t="str">
        <f t="shared" si="4"/>
        <v/>
      </c>
      <c r="G871" s="15" t="str">
        <f t="shared" ref="G871:H871" si="868">IF(OR(F871="",F871="Selecciona.."),"","Selecciona..")</f>
        <v/>
      </c>
      <c r="H871" s="13" t="str">
        <f t="shared" si="868"/>
        <v/>
      </c>
    </row>
    <row r="872">
      <c r="A872" s="14" t="str">
        <f t="shared" si="1"/>
        <v/>
      </c>
      <c r="B872" s="14" t="str">
        <f t="array" ref="B872">IF(OR(F872="",F872="Selecciona.."),"",XLOOKUP(F872,Productos!E:E,Productos!A:A,"",0,1))</f>
        <v/>
      </c>
      <c r="C872" s="14" t="str">
        <f t="array" ref="C872">IF(OR(G872="",G872="Selecciona.."),"",XLOOKUP(G872,Productos!$E:$E,Productos!$A:$A,"",0,1))</f>
        <v/>
      </c>
      <c r="D872" s="14" t="str">
        <f t="shared" si="2"/>
        <v/>
      </c>
      <c r="E872" s="14"/>
      <c r="F872" s="15" t="str">
        <f t="shared" si="4"/>
        <v/>
      </c>
      <c r="G872" s="15" t="str">
        <f t="shared" ref="G872:H872" si="869">IF(OR(F872="",F872="Selecciona.."),"","Selecciona..")</f>
        <v/>
      </c>
      <c r="H872" s="13" t="str">
        <f t="shared" si="869"/>
        <v/>
      </c>
    </row>
    <row r="873">
      <c r="A873" s="14" t="str">
        <f t="shared" si="1"/>
        <v/>
      </c>
      <c r="B873" s="14" t="str">
        <f t="array" ref="B873">IF(OR(F873="",F873="Selecciona.."),"",XLOOKUP(F873,Productos!E:E,Productos!A:A,"",0,1))</f>
        <v/>
      </c>
      <c r="C873" s="14" t="str">
        <f t="array" ref="C873">IF(OR(G873="",G873="Selecciona.."),"",XLOOKUP(G873,Productos!$E:$E,Productos!$A:$A,"",0,1))</f>
        <v/>
      </c>
      <c r="D873" s="14" t="str">
        <f t="shared" si="2"/>
        <v/>
      </c>
      <c r="E873" s="14"/>
      <c r="F873" s="15" t="str">
        <f t="shared" si="4"/>
        <v/>
      </c>
      <c r="G873" s="15" t="str">
        <f t="shared" ref="G873:H873" si="870">IF(OR(F873="",F873="Selecciona.."),"","Selecciona..")</f>
        <v/>
      </c>
      <c r="H873" s="13" t="str">
        <f t="shared" si="870"/>
        <v/>
      </c>
    </row>
    <row r="874">
      <c r="A874" s="14" t="str">
        <f t="shared" si="1"/>
        <v/>
      </c>
      <c r="B874" s="14" t="str">
        <f t="array" ref="B874">IF(OR(F874="",F874="Selecciona.."),"",XLOOKUP(F874,Productos!E:E,Productos!A:A,"",0,1))</f>
        <v/>
      </c>
      <c r="C874" s="14" t="str">
        <f t="array" ref="C874">IF(OR(G874="",G874="Selecciona.."),"",XLOOKUP(G874,Productos!$E:$E,Productos!$A:$A,"",0,1))</f>
        <v/>
      </c>
      <c r="D874" s="14" t="str">
        <f t="shared" si="2"/>
        <v/>
      </c>
      <c r="E874" s="14"/>
      <c r="F874" s="15" t="str">
        <f t="shared" si="4"/>
        <v/>
      </c>
      <c r="G874" s="15" t="str">
        <f t="shared" ref="G874:H874" si="871">IF(OR(F874="",F874="Selecciona.."),"","Selecciona..")</f>
        <v/>
      </c>
      <c r="H874" s="13" t="str">
        <f t="shared" si="871"/>
        <v/>
      </c>
    </row>
    <row r="875">
      <c r="A875" s="14" t="str">
        <f t="shared" si="1"/>
        <v/>
      </c>
      <c r="B875" s="14" t="str">
        <f t="array" ref="B875">IF(OR(F875="",F875="Selecciona.."),"",XLOOKUP(F875,Productos!E:E,Productos!A:A,"",0,1))</f>
        <v/>
      </c>
      <c r="C875" s="14" t="str">
        <f t="array" ref="C875">IF(OR(G875="",G875="Selecciona.."),"",XLOOKUP(G875,Productos!$E:$E,Productos!$A:$A,"",0,1))</f>
        <v/>
      </c>
      <c r="D875" s="14" t="str">
        <f t="shared" si="2"/>
        <v/>
      </c>
      <c r="E875" s="14"/>
      <c r="F875" s="15" t="str">
        <f t="shared" si="4"/>
        <v/>
      </c>
      <c r="G875" s="15" t="str">
        <f t="shared" ref="G875:H875" si="872">IF(OR(F875="",F875="Selecciona.."),"","Selecciona..")</f>
        <v/>
      </c>
      <c r="H875" s="13" t="str">
        <f t="shared" si="872"/>
        <v/>
      </c>
    </row>
    <row r="876">
      <c r="A876" s="14" t="str">
        <f t="shared" si="1"/>
        <v/>
      </c>
      <c r="B876" s="14" t="str">
        <f t="array" ref="B876">IF(OR(F876="",F876="Selecciona.."),"",XLOOKUP(F876,Productos!E:E,Productos!A:A,"",0,1))</f>
        <v/>
      </c>
      <c r="C876" s="14" t="str">
        <f t="array" ref="C876">IF(OR(G876="",G876="Selecciona.."),"",XLOOKUP(G876,Productos!$E:$E,Productos!$A:$A,"",0,1))</f>
        <v/>
      </c>
      <c r="D876" s="14" t="str">
        <f t="shared" si="2"/>
        <v/>
      </c>
      <c r="E876" s="14"/>
      <c r="F876" s="15" t="str">
        <f t="shared" si="4"/>
        <v/>
      </c>
      <c r="G876" s="15" t="str">
        <f t="shared" ref="G876:H876" si="873">IF(OR(F876="",F876="Selecciona.."),"","Selecciona..")</f>
        <v/>
      </c>
      <c r="H876" s="13" t="str">
        <f t="shared" si="873"/>
        <v/>
      </c>
    </row>
    <row r="877">
      <c r="A877" s="14" t="str">
        <f t="shared" si="1"/>
        <v/>
      </c>
      <c r="B877" s="14" t="str">
        <f t="array" ref="B877">IF(OR(F877="",F877="Selecciona.."),"",XLOOKUP(F877,Productos!E:E,Productos!A:A,"",0,1))</f>
        <v/>
      </c>
      <c r="C877" s="14" t="str">
        <f t="array" ref="C877">IF(OR(G877="",G877="Selecciona.."),"",XLOOKUP(G877,Productos!$E:$E,Productos!$A:$A,"",0,1))</f>
        <v/>
      </c>
      <c r="D877" s="14" t="str">
        <f t="shared" si="2"/>
        <v/>
      </c>
      <c r="E877" s="14"/>
      <c r="F877" s="15" t="str">
        <f t="shared" si="4"/>
        <v/>
      </c>
      <c r="G877" s="15" t="str">
        <f t="shared" ref="G877:H877" si="874">IF(OR(F877="",F877="Selecciona.."),"","Selecciona..")</f>
        <v/>
      </c>
      <c r="H877" s="13" t="str">
        <f t="shared" si="874"/>
        <v/>
      </c>
    </row>
    <row r="878">
      <c r="A878" s="14" t="str">
        <f t="shared" si="1"/>
        <v/>
      </c>
      <c r="B878" s="14" t="str">
        <f t="array" ref="B878">IF(OR(F878="",F878="Selecciona.."),"",XLOOKUP(F878,Productos!E:E,Productos!A:A,"",0,1))</f>
        <v/>
      </c>
      <c r="C878" s="14" t="str">
        <f t="array" ref="C878">IF(OR(G878="",G878="Selecciona.."),"",XLOOKUP(G878,Productos!$E:$E,Productos!$A:$A,"",0,1))</f>
        <v/>
      </c>
      <c r="D878" s="14" t="str">
        <f t="shared" si="2"/>
        <v/>
      </c>
      <c r="E878" s="14"/>
      <c r="F878" s="15" t="str">
        <f t="shared" si="4"/>
        <v/>
      </c>
      <c r="G878" s="15" t="str">
        <f t="shared" ref="G878:H878" si="875">IF(OR(F878="",F878="Selecciona.."),"","Selecciona..")</f>
        <v/>
      </c>
      <c r="H878" s="13" t="str">
        <f t="shared" si="875"/>
        <v/>
      </c>
    </row>
    <row r="879">
      <c r="A879" s="14" t="str">
        <f t="shared" si="1"/>
        <v/>
      </c>
      <c r="B879" s="14" t="str">
        <f t="array" ref="B879">IF(OR(F879="",F879="Selecciona.."),"",XLOOKUP(F879,Productos!E:E,Productos!A:A,"",0,1))</f>
        <v/>
      </c>
      <c r="C879" s="14" t="str">
        <f t="array" ref="C879">IF(OR(G879="",G879="Selecciona.."),"",XLOOKUP(G879,Productos!$E:$E,Productos!$A:$A,"",0,1))</f>
        <v/>
      </c>
      <c r="D879" s="14" t="str">
        <f t="shared" si="2"/>
        <v/>
      </c>
      <c r="E879" s="14"/>
      <c r="F879" s="15" t="str">
        <f t="shared" si="4"/>
        <v/>
      </c>
      <c r="G879" s="15" t="str">
        <f t="shared" ref="G879:H879" si="876">IF(OR(F879="",F879="Selecciona.."),"","Selecciona..")</f>
        <v/>
      </c>
      <c r="H879" s="13" t="str">
        <f t="shared" si="876"/>
        <v/>
      </c>
    </row>
    <row r="880">
      <c r="A880" s="14" t="str">
        <f t="shared" si="1"/>
        <v/>
      </c>
      <c r="B880" s="14" t="str">
        <f t="array" ref="B880">IF(OR(F880="",F880="Selecciona.."),"",XLOOKUP(F880,Productos!E:E,Productos!A:A,"",0,1))</f>
        <v/>
      </c>
      <c r="C880" s="14" t="str">
        <f t="array" ref="C880">IF(OR(G880="",G880="Selecciona.."),"",XLOOKUP(G880,Productos!$E:$E,Productos!$A:$A,"",0,1))</f>
        <v/>
      </c>
      <c r="D880" s="14" t="str">
        <f t="shared" si="2"/>
        <v/>
      </c>
      <c r="E880" s="14"/>
      <c r="F880" s="15" t="str">
        <f t="shared" si="4"/>
        <v/>
      </c>
      <c r="G880" s="15" t="str">
        <f t="shared" ref="G880:H880" si="877">IF(OR(F880="",F880="Selecciona.."),"","Selecciona..")</f>
        <v/>
      </c>
      <c r="H880" s="13" t="str">
        <f t="shared" si="877"/>
        <v/>
      </c>
    </row>
    <row r="881">
      <c r="A881" s="14" t="str">
        <f t="shared" si="1"/>
        <v/>
      </c>
      <c r="B881" s="14" t="str">
        <f t="array" ref="B881">IF(OR(F881="",F881="Selecciona.."),"",XLOOKUP(F881,Productos!E:E,Productos!A:A,"",0,1))</f>
        <v/>
      </c>
      <c r="C881" s="14" t="str">
        <f t="array" ref="C881">IF(OR(G881="",G881="Selecciona.."),"",XLOOKUP(G881,Productos!$E:$E,Productos!$A:$A,"",0,1))</f>
        <v/>
      </c>
      <c r="D881" s="14" t="str">
        <f t="shared" si="2"/>
        <v/>
      </c>
      <c r="E881" s="14"/>
      <c r="F881" s="15" t="str">
        <f t="shared" si="4"/>
        <v/>
      </c>
      <c r="G881" s="15" t="str">
        <f t="shared" ref="G881:H881" si="878">IF(OR(F881="",F881="Selecciona.."),"","Selecciona..")</f>
        <v/>
      </c>
      <c r="H881" s="13" t="str">
        <f t="shared" si="878"/>
        <v/>
      </c>
    </row>
    <row r="882">
      <c r="A882" s="14" t="str">
        <f t="shared" si="1"/>
        <v/>
      </c>
      <c r="B882" s="14" t="str">
        <f t="array" ref="B882">IF(OR(F882="",F882="Selecciona.."),"",XLOOKUP(F882,Productos!E:E,Productos!A:A,"",0,1))</f>
        <v/>
      </c>
      <c r="C882" s="14" t="str">
        <f t="array" ref="C882">IF(OR(G882="",G882="Selecciona.."),"",XLOOKUP(G882,Productos!$E:$E,Productos!$A:$A,"",0,1))</f>
        <v/>
      </c>
      <c r="D882" s="14" t="str">
        <f t="shared" si="2"/>
        <v/>
      </c>
      <c r="E882" s="14"/>
      <c r="F882" s="15" t="str">
        <f t="shared" si="4"/>
        <v/>
      </c>
      <c r="G882" s="15" t="str">
        <f t="shared" ref="G882:H882" si="879">IF(OR(F882="",F882="Selecciona.."),"","Selecciona..")</f>
        <v/>
      </c>
      <c r="H882" s="13" t="str">
        <f t="shared" si="879"/>
        <v/>
      </c>
    </row>
    <row r="883">
      <c r="A883" s="14" t="str">
        <f t="shared" si="1"/>
        <v/>
      </c>
      <c r="B883" s="14" t="str">
        <f t="array" ref="B883">IF(OR(F883="",F883="Selecciona.."),"",XLOOKUP(F883,Productos!E:E,Productos!A:A,"",0,1))</f>
        <v/>
      </c>
      <c r="C883" s="14" t="str">
        <f t="array" ref="C883">IF(OR(G883="",G883="Selecciona.."),"",XLOOKUP(G883,Productos!$E:$E,Productos!$A:$A,"",0,1))</f>
        <v/>
      </c>
      <c r="D883" s="14" t="str">
        <f t="shared" si="2"/>
        <v/>
      </c>
      <c r="E883" s="14"/>
      <c r="F883" s="15" t="str">
        <f t="shared" si="4"/>
        <v/>
      </c>
      <c r="G883" s="15" t="str">
        <f t="shared" ref="G883:H883" si="880">IF(OR(F883="",F883="Selecciona.."),"","Selecciona..")</f>
        <v/>
      </c>
      <c r="H883" s="13" t="str">
        <f t="shared" si="880"/>
        <v/>
      </c>
    </row>
    <row r="884">
      <c r="A884" s="14" t="str">
        <f t="shared" si="1"/>
        <v/>
      </c>
      <c r="B884" s="14" t="str">
        <f t="array" ref="B884">IF(OR(F884="",F884="Selecciona.."),"",XLOOKUP(F884,Productos!E:E,Productos!A:A,"",0,1))</f>
        <v/>
      </c>
      <c r="C884" s="14" t="str">
        <f t="array" ref="C884">IF(OR(G884="",G884="Selecciona.."),"",XLOOKUP(G884,Productos!$E:$E,Productos!$A:$A,"",0,1))</f>
        <v/>
      </c>
      <c r="D884" s="14" t="str">
        <f t="shared" si="2"/>
        <v/>
      </c>
      <c r="E884" s="14"/>
      <c r="F884" s="15" t="str">
        <f t="shared" si="4"/>
        <v/>
      </c>
      <c r="G884" s="15" t="str">
        <f t="shared" ref="G884:H884" si="881">IF(OR(F884="",F884="Selecciona.."),"","Selecciona..")</f>
        <v/>
      </c>
      <c r="H884" s="13" t="str">
        <f t="shared" si="881"/>
        <v/>
      </c>
    </row>
    <row r="885">
      <c r="A885" s="14" t="str">
        <f t="shared" si="1"/>
        <v/>
      </c>
      <c r="B885" s="14" t="str">
        <f t="array" ref="B885">IF(OR(F885="",F885="Selecciona.."),"",XLOOKUP(F885,Productos!E:E,Productos!A:A,"",0,1))</f>
        <v/>
      </c>
      <c r="C885" s="14" t="str">
        <f t="array" ref="C885">IF(OR(G885="",G885="Selecciona.."),"",XLOOKUP(G885,Productos!$E:$E,Productos!$A:$A,"",0,1))</f>
        <v/>
      </c>
      <c r="D885" s="14" t="str">
        <f t="shared" si="2"/>
        <v/>
      </c>
      <c r="E885" s="14"/>
      <c r="F885" s="15" t="str">
        <f t="shared" si="4"/>
        <v/>
      </c>
      <c r="G885" s="15" t="str">
        <f t="shared" ref="G885:H885" si="882">IF(OR(F885="",F885="Selecciona.."),"","Selecciona..")</f>
        <v/>
      </c>
      <c r="H885" s="13" t="str">
        <f t="shared" si="882"/>
        <v/>
      </c>
    </row>
    <row r="886">
      <c r="A886" s="14" t="str">
        <f t="shared" si="1"/>
        <v/>
      </c>
      <c r="B886" s="14" t="str">
        <f t="array" ref="B886">IF(OR(F886="",F886="Selecciona.."),"",XLOOKUP(F886,Productos!E:E,Productos!A:A,"",0,1))</f>
        <v/>
      </c>
      <c r="C886" s="14" t="str">
        <f t="array" ref="C886">IF(OR(G886="",G886="Selecciona.."),"",XLOOKUP(G886,Productos!$E:$E,Productos!$A:$A,"",0,1))</f>
        <v/>
      </c>
      <c r="D886" s="14" t="str">
        <f t="shared" si="2"/>
        <v/>
      </c>
      <c r="E886" s="14"/>
      <c r="F886" s="15" t="str">
        <f t="shared" si="4"/>
        <v/>
      </c>
      <c r="G886" s="15" t="str">
        <f t="shared" ref="G886:H886" si="883">IF(OR(F886="",F886="Selecciona.."),"","Selecciona..")</f>
        <v/>
      </c>
      <c r="H886" s="13" t="str">
        <f t="shared" si="883"/>
        <v/>
      </c>
    </row>
    <row r="887">
      <c r="A887" s="14" t="str">
        <f t="shared" si="1"/>
        <v/>
      </c>
      <c r="B887" s="14" t="str">
        <f t="array" ref="B887">IF(OR(F887="",F887="Selecciona.."),"",XLOOKUP(F887,Productos!E:E,Productos!A:A,"",0,1))</f>
        <v/>
      </c>
      <c r="C887" s="14" t="str">
        <f t="array" ref="C887">IF(OR(G887="",G887="Selecciona.."),"",XLOOKUP(G887,Productos!$E:$E,Productos!$A:$A,"",0,1))</f>
        <v/>
      </c>
      <c r="D887" s="14" t="str">
        <f t="shared" si="2"/>
        <v/>
      </c>
      <c r="E887" s="14"/>
      <c r="F887" s="15" t="str">
        <f t="shared" si="4"/>
        <v/>
      </c>
      <c r="G887" s="15" t="str">
        <f t="shared" ref="G887:H887" si="884">IF(OR(F887="",F887="Selecciona.."),"","Selecciona..")</f>
        <v/>
      </c>
      <c r="H887" s="13" t="str">
        <f t="shared" si="884"/>
        <v/>
      </c>
    </row>
    <row r="888">
      <c r="A888" s="14" t="str">
        <f t="shared" si="1"/>
        <v/>
      </c>
      <c r="B888" s="14" t="str">
        <f t="array" ref="B888">IF(OR(F888="",F888="Selecciona.."),"",XLOOKUP(F888,Productos!E:E,Productos!A:A,"",0,1))</f>
        <v/>
      </c>
      <c r="C888" s="14" t="str">
        <f t="array" ref="C888">IF(OR(G888="",G888="Selecciona.."),"",XLOOKUP(G888,Productos!$E:$E,Productos!$A:$A,"",0,1))</f>
        <v/>
      </c>
      <c r="D888" s="14" t="str">
        <f t="shared" si="2"/>
        <v/>
      </c>
      <c r="E888" s="14"/>
      <c r="F888" s="15" t="str">
        <f t="shared" si="4"/>
        <v/>
      </c>
      <c r="G888" s="15" t="str">
        <f t="shared" ref="G888:H888" si="885">IF(OR(F888="",F888="Selecciona.."),"","Selecciona..")</f>
        <v/>
      </c>
      <c r="H888" s="13" t="str">
        <f t="shared" si="885"/>
        <v/>
      </c>
    </row>
    <row r="889">
      <c r="A889" s="14" t="str">
        <f t="shared" si="1"/>
        <v/>
      </c>
      <c r="B889" s="14" t="str">
        <f t="array" ref="B889">IF(OR(F889="",F889="Selecciona.."),"",XLOOKUP(F889,Productos!E:E,Productos!A:A,"",0,1))</f>
        <v/>
      </c>
      <c r="C889" s="14" t="str">
        <f t="array" ref="C889">IF(OR(G889="",G889="Selecciona.."),"",XLOOKUP(G889,Productos!$E:$E,Productos!$A:$A,"",0,1))</f>
        <v/>
      </c>
      <c r="D889" s="14" t="str">
        <f t="shared" si="2"/>
        <v/>
      </c>
      <c r="E889" s="14"/>
      <c r="F889" s="15" t="str">
        <f t="shared" si="4"/>
        <v/>
      </c>
      <c r="G889" s="15" t="str">
        <f t="shared" ref="G889:H889" si="886">IF(OR(F889="",F889="Selecciona.."),"","Selecciona..")</f>
        <v/>
      </c>
      <c r="H889" s="13" t="str">
        <f t="shared" si="886"/>
        <v/>
      </c>
    </row>
    <row r="890">
      <c r="A890" s="14" t="str">
        <f t="shared" si="1"/>
        <v/>
      </c>
      <c r="B890" s="14" t="str">
        <f t="array" ref="B890">IF(OR(F890="",F890="Selecciona.."),"",XLOOKUP(F890,Productos!E:E,Productos!A:A,"",0,1))</f>
        <v/>
      </c>
      <c r="C890" s="14" t="str">
        <f t="array" ref="C890">IF(OR(G890="",G890="Selecciona.."),"",XLOOKUP(G890,Productos!$E:$E,Productos!$A:$A,"",0,1))</f>
        <v/>
      </c>
      <c r="D890" s="14" t="str">
        <f t="shared" si="2"/>
        <v/>
      </c>
      <c r="E890" s="14"/>
      <c r="F890" s="15" t="str">
        <f t="shared" si="4"/>
        <v/>
      </c>
      <c r="G890" s="15" t="str">
        <f t="shared" ref="G890:H890" si="887">IF(OR(F890="",F890="Selecciona.."),"","Selecciona..")</f>
        <v/>
      </c>
      <c r="H890" s="13" t="str">
        <f t="shared" si="887"/>
        <v/>
      </c>
    </row>
    <row r="891">
      <c r="A891" s="14" t="str">
        <f t="shared" si="1"/>
        <v/>
      </c>
      <c r="B891" s="14" t="str">
        <f t="array" ref="B891">IF(OR(F891="",F891="Selecciona.."),"",XLOOKUP(F891,Productos!E:E,Productos!A:A,"",0,1))</f>
        <v/>
      </c>
      <c r="C891" s="14" t="str">
        <f t="array" ref="C891">IF(OR(G891="",G891="Selecciona.."),"",XLOOKUP(G891,Productos!$E:$E,Productos!$A:$A,"",0,1))</f>
        <v/>
      </c>
      <c r="D891" s="14" t="str">
        <f t="shared" si="2"/>
        <v/>
      </c>
      <c r="E891" s="14"/>
      <c r="F891" s="15" t="str">
        <f t="shared" si="4"/>
        <v/>
      </c>
      <c r="G891" s="15" t="str">
        <f t="shared" ref="G891:H891" si="888">IF(OR(F891="",F891="Selecciona.."),"","Selecciona..")</f>
        <v/>
      </c>
      <c r="H891" s="13" t="str">
        <f t="shared" si="888"/>
        <v/>
      </c>
    </row>
    <row r="892">
      <c r="A892" s="14" t="str">
        <f t="shared" si="1"/>
        <v/>
      </c>
      <c r="B892" s="14" t="str">
        <f t="array" ref="B892">IF(OR(F892="",F892="Selecciona.."),"",XLOOKUP(F892,Productos!E:E,Productos!A:A,"",0,1))</f>
        <v/>
      </c>
      <c r="C892" s="14" t="str">
        <f t="array" ref="C892">IF(OR(G892="",G892="Selecciona.."),"",XLOOKUP(G892,Productos!$E:$E,Productos!$A:$A,"",0,1))</f>
        <v/>
      </c>
      <c r="D892" s="14" t="str">
        <f t="shared" si="2"/>
        <v/>
      </c>
      <c r="E892" s="14"/>
      <c r="F892" s="15" t="str">
        <f t="shared" si="4"/>
        <v/>
      </c>
      <c r="G892" s="15" t="str">
        <f t="shared" ref="G892:H892" si="889">IF(OR(F892="",F892="Selecciona.."),"","Selecciona..")</f>
        <v/>
      </c>
      <c r="H892" s="13" t="str">
        <f t="shared" si="889"/>
        <v/>
      </c>
    </row>
    <row r="893">
      <c r="A893" s="14" t="str">
        <f t="shared" si="1"/>
        <v/>
      </c>
      <c r="B893" s="14" t="str">
        <f t="array" ref="B893">IF(OR(F893="",F893="Selecciona.."),"",XLOOKUP(F893,Productos!E:E,Productos!A:A,"",0,1))</f>
        <v/>
      </c>
      <c r="C893" s="14" t="str">
        <f t="array" ref="C893">IF(OR(G893="",G893="Selecciona.."),"",XLOOKUP(G893,Productos!$E:$E,Productos!$A:$A,"",0,1))</f>
        <v/>
      </c>
      <c r="D893" s="14" t="str">
        <f t="shared" si="2"/>
        <v/>
      </c>
      <c r="E893" s="14"/>
      <c r="F893" s="15" t="str">
        <f t="shared" si="4"/>
        <v/>
      </c>
      <c r="G893" s="15" t="str">
        <f t="shared" ref="G893:H893" si="890">IF(OR(F893="",F893="Selecciona.."),"","Selecciona..")</f>
        <v/>
      </c>
      <c r="H893" s="13" t="str">
        <f t="shared" si="890"/>
        <v/>
      </c>
    </row>
    <row r="894">
      <c r="A894" s="14" t="str">
        <f t="shared" si="1"/>
        <v/>
      </c>
      <c r="B894" s="14" t="str">
        <f t="array" ref="B894">IF(OR(F894="",F894="Selecciona.."),"",XLOOKUP(F894,Productos!E:E,Productos!A:A,"",0,1))</f>
        <v/>
      </c>
      <c r="C894" s="14" t="str">
        <f t="array" ref="C894">IF(OR(G894="",G894="Selecciona.."),"",XLOOKUP(G894,Productos!$E:$E,Productos!$A:$A,"",0,1))</f>
        <v/>
      </c>
      <c r="D894" s="14" t="str">
        <f t="shared" si="2"/>
        <v/>
      </c>
      <c r="E894" s="14"/>
      <c r="F894" s="15" t="str">
        <f t="shared" si="4"/>
        <v/>
      </c>
      <c r="G894" s="15" t="str">
        <f t="shared" ref="G894:H894" si="891">IF(OR(F894="",F894="Selecciona.."),"","Selecciona..")</f>
        <v/>
      </c>
      <c r="H894" s="13" t="str">
        <f t="shared" si="891"/>
        <v/>
      </c>
    </row>
    <row r="895">
      <c r="A895" s="14" t="str">
        <f t="shared" si="1"/>
        <v/>
      </c>
      <c r="B895" s="14" t="str">
        <f t="array" ref="B895">IF(OR(F895="",F895="Selecciona.."),"",XLOOKUP(F895,Productos!E:E,Productos!A:A,"",0,1))</f>
        <v/>
      </c>
      <c r="C895" s="14" t="str">
        <f t="array" ref="C895">IF(OR(G895="",G895="Selecciona.."),"",XLOOKUP(G895,Productos!$E:$E,Productos!$A:$A,"",0,1))</f>
        <v/>
      </c>
      <c r="D895" s="14" t="str">
        <f t="shared" si="2"/>
        <v/>
      </c>
      <c r="E895" s="14"/>
      <c r="F895" s="15" t="str">
        <f t="shared" si="4"/>
        <v/>
      </c>
      <c r="G895" s="15" t="str">
        <f t="shared" ref="G895:H895" si="892">IF(OR(F895="",F895="Selecciona.."),"","Selecciona..")</f>
        <v/>
      </c>
      <c r="H895" s="13" t="str">
        <f t="shared" si="892"/>
        <v/>
      </c>
    </row>
    <row r="896">
      <c r="A896" s="14" t="str">
        <f t="shared" si="1"/>
        <v/>
      </c>
      <c r="B896" s="14" t="str">
        <f t="array" ref="B896">IF(OR(F896="",F896="Selecciona.."),"",XLOOKUP(F896,Productos!E:E,Productos!A:A,"",0,1))</f>
        <v/>
      </c>
      <c r="C896" s="14" t="str">
        <f t="array" ref="C896">IF(OR(G896="",G896="Selecciona.."),"",XLOOKUP(G896,Productos!$E:$E,Productos!$A:$A,"",0,1))</f>
        <v/>
      </c>
      <c r="D896" s="14" t="str">
        <f t="shared" si="2"/>
        <v/>
      </c>
      <c r="E896" s="14"/>
      <c r="F896" s="15" t="str">
        <f t="shared" si="4"/>
        <v/>
      </c>
      <c r="G896" s="15" t="str">
        <f t="shared" ref="G896:H896" si="893">IF(OR(F896="",F896="Selecciona.."),"","Selecciona..")</f>
        <v/>
      </c>
      <c r="H896" s="13" t="str">
        <f t="shared" si="893"/>
        <v/>
      </c>
    </row>
    <row r="897">
      <c r="A897" s="14" t="str">
        <f t="shared" si="1"/>
        <v/>
      </c>
      <c r="B897" s="14" t="str">
        <f t="array" ref="B897">IF(OR(F897="",F897="Selecciona.."),"",XLOOKUP(F897,Productos!E:E,Productos!A:A,"",0,1))</f>
        <v/>
      </c>
      <c r="C897" s="14" t="str">
        <f t="array" ref="C897">IF(OR(G897="",G897="Selecciona.."),"",XLOOKUP(G897,Productos!$E:$E,Productos!$A:$A,"",0,1))</f>
        <v/>
      </c>
      <c r="D897" s="14" t="str">
        <f t="shared" si="2"/>
        <v/>
      </c>
      <c r="E897" s="14"/>
      <c r="F897" s="15" t="str">
        <f t="shared" si="4"/>
        <v/>
      </c>
      <c r="G897" s="15" t="str">
        <f t="shared" ref="G897:H897" si="894">IF(OR(F897="",F897="Selecciona.."),"","Selecciona..")</f>
        <v/>
      </c>
      <c r="H897" s="13" t="str">
        <f t="shared" si="894"/>
        <v/>
      </c>
    </row>
    <row r="898">
      <c r="A898" s="14" t="str">
        <f t="shared" si="1"/>
        <v/>
      </c>
      <c r="B898" s="14" t="str">
        <f t="array" ref="B898">IF(OR(F898="",F898="Selecciona.."),"",XLOOKUP(F898,Productos!E:E,Productos!A:A,"",0,1))</f>
        <v/>
      </c>
      <c r="C898" s="14" t="str">
        <f t="array" ref="C898">IF(OR(G898="",G898="Selecciona.."),"",XLOOKUP(G898,Productos!$E:$E,Productos!$A:$A,"",0,1))</f>
        <v/>
      </c>
      <c r="D898" s="14" t="str">
        <f t="shared" si="2"/>
        <v/>
      </c>
      <c r="E898" s="14"/>
      <c r="F898" s="15" t="str">
        <f t="shared" si="4"/>
        <v/>
      </c>
      <c r="G898" s="15" t="str">
        <f t="shared" ref="G898:H898" si="895">IF(OR(F898="",F898="Selecciona.."),"","Selecciona..")</f>
        <v/>
      </c>
      <c r="H898" s="13" t="str">
        <f t="shared" si="895"/>
        <v/>
      </c>
    </row>
    <row r="899">
      <c r="A899" s="14" t="str">
        <f t="shared" si="1"/>
        <v/>
      </c>
      <c r="B899" s="14" t="str">
        <f t="array" ref="B899">IF(OR(F899="",F899="Selecciona.."),"",XLOOKUP(F899,Productos!E:E,Productos!A:A,"",0,1))</f>
        <v/>
      </c>
      <c r="C899" s="14" t="str">
        <f t="array" ref="C899">IF(OR(G899="",G899="Selecciona.."),"",XLOOKUP(G899,Productos!$E:$E,Productos!$A:$A,"",0,1))</f>
        <v/>
      </c>
      <c r="D899" s="14" t="str">
        <f t="shared" si="2"/>
        <v/>
      </c>
      <c r="E899" s="14"/>
      <c r="F899" s="15" t="str">
        <f t="shared" si="4"/>
        <v/>
      </c>
      <c r="G899" s="15" t="str">
        <f t="shared" ref="G899:H899" si="896">IF(OR(F899="",F899="Selecciona.."),"","Selecciona..")</f>
        <v/>
      </c>
      <c r="H899" s="13" t="str">
        <f t="shared" si="896"/>
        <v/>
      </c>
    </row>
    <row r="900">
      <c r="A900" s="14" t="str">
        <f t="shared" si="1"/>
        <v/>
      </c>
      <c r="B900" s="14" t="str">
        <f t="array" ref="B900">IF(OR(F900="",F900="Selecciona.."),"",XLOOKUP(F900,Productos!E:E,Productos!A:A,"",0,1))</f>
        <v/>
      </c>
      <c r="C900" s="14" t="str">
        <f t="array" ref="C900">IF(OR(G900="",G900="Selecciona.."),"",XLOOKUP(G900,Productos!$E:$E,Productos!$A:$A,"",0,1))</f>
        <v/>
      </c>
      <c r="D900" s="14" t="str">
        <f t="shared" si="2"/>
        <v/>
      </c>
      <c r="E900" s="14"/>
      <c r="F900" s="15" t="str">
        <f t="shared" si="4"/>
        <v/>
      </c>
      <c r="G900" s="15" t="str">
        <f t="shared" ref="G900:H900" si="897">IF(OR(F900="",F900="Selecciona.."),"","Selecciona..")</f>
        <v/>
      </c>
      <c r="H900" s="13" t="str">
        <f t="shared" si="897"/>
        <v/>
      </c>
    </row>
    <row r="901">
      <c r="A901" s="14" t="str">
        <f t="shared" si="1"/>
        <v/>
      </c>
      <c r="B901" s="14" t="str">
        <f t="array" ref="B901">IF(OR(F901="",F901="Selecciona.."),"",XLOOKUP(F901,Productos!E:E,Productos!A:A,"",0,1))</f>
        <v/>
      </c>
      <c r="C901" s="14" t="str">
        <f t="array" ref="C901">IF(OR(G901="",G901="Selecciona.."),"",XLOOKUP(G901,Productos!$E:$E,Productos!$A:$A,"",0,1))</f>
        <v/>
      </c>
      <c r="D901" s="14" t="str">
        <f t="shared" si="2"/>
        <v/>
      </c>
      <c r="E901" s="14"/>
      <c r="F901" s="15" t="str">
        <f t="shared" si="4"/>
        <v/>
      </c>
      <c r="G901" s="15" t="str">
        <f t="shared" ref="G901:H901" si="898">IF(OR(F901="",F901="Selecciona.."),"","Selecciona..")</f>
        <v/>
      </c>
      <c r="H901" s="13" t="str">
        <f t="shared" si="898"/>
        <v/>
      </c>
    </row>
    <row r="902">
      <c r="A902" s="14" t="str">
        <f t="shared" si="1"/>
        <v/>
      </c>
      <c r="B902" s="14" t="str">
        <f t="array" ref="B902">IF(OR(F902="",F902="Selecciona.."),"",XLOOKUP(F902,Productos!E:E,Productos!A:A,"",0,1))</f>
        <v/>
      </c>
      <c r="C902" s="14" t="str">
        <f t="array" ref="C902">IF(OR(G902="",G902="Selecciona.."),"",XLOOKUP(G902,Productos!$E:$E,Productos!$A:$A,"",0,1))</f>
        <v/>
      </c>
      <c r="D902" s="14" t="str">
        <f t="shared" si="2"/>
        <v/>
      </c>
      <c r="E902" s="14"/>
      <c r="F902" s="15" t="str">
        <f t="shared" si="4"/>
        <v/>
      </c>
      <c r="G902" s="15" t="str">
        <f t="shared" ref="G902:H902" si="899">IF(OR(F902="",F902="Selecciona.."),"","Selecciona..")</f>
        <v/>
      </c>
      <c r="H902" s="13" t="str">
        <f t="shared" si="899"/>
        <v/>
      </c>
    </row>
    <row r="903">
      <c r="A903" s="14" t="str">
        <f t="shared" si="1"/>
        <v/>
      </c>
      <c r="B903" s="14" t="str">
        <f t="array" ref="B903">IF(OR(F903="",F903="Selecciona.."),"",XLOOKUP(F903,Productos!E:E,Productos!A:A,"",0,1))</f>
        <v/>
      </c>
      <c r="C903" s="14" t="str">
        <f t="array" ref="C903">IF(OR(G903="",G903="Selecciona.."),"",XLOOKUP(G903,Productos!$E:$E,Productos!$A:$A,"",0,1))</f>
        <v/>
      </c>
      <c r="D903" s="14" t="str">
        <f t="shared" si="2"/>
        <v/>
      </c>
      <c r="E903" s="14"/>
      <c r="F903" s="15" t="str">
        <f t="shared" si="4"/>
        <v/>
      </c>
      <c r="G903" s="15" t="str">
        <f t="shared" ref="G903:H903" si="900">IF(OR(F903="",F903="Selecciona.."),"","Selecciona..")</f>
        <v/>
      </c>
      <c r="H903" s="13" t="str">
        <f t="shared" si="900"/>
        <v/>
      </c>
    </row>
    <row r="904">
      <c r="A904" s="14" t="str">
        <f t="shared" si="1"/>
        <v/>
      </c>
      <c r="B904" s="14" t="str">
        <f t="array" ref="B904">IF(OR(F904="",F904="Selecciona.."),"",XLOOKUP(F904,Productos!E:E,Productos!A:A,"",0,1))</f>
        <v/>
      </c>
      <c r="C904" s="14" t="str">
        <f t="array" ref="C904">IF(OR(G904="",G904="Selecciona.."),"",XLOOKUP(G904,Productos!$E:$E,Productos!$A:$A,"",0,1))</f>
        <v/>
      </c>
      <c r="D904" s="14" t="str">
        <f t="shared" si="2"/>
        <v/>
      </c>
      <c r="E904" s="14"/>
      <c r="F904" s="15" t="str">
        <f t="shared" si="4"/>
        <v/>
      </c>
      <c r="G904" s="15" t="str">
        <f t="shared" ref="G904:H904" si="901">IF(OR(F904="",F904="Selecciona.."),"","Selecciona..")</f>
        <v/>
      </c>
      <c r="H904" s="13" t="str">
        <f t="shared" si="901"/>
        <v/>
      </c>
    </row>
    <row r="905">
      <c r="A905" s="14" t="str">
        <f t="shared" si="1"/>
        <v/>
      </c>
      <c r="B905" s="14" t="str">
        <f t="array" ref="B905">IF(OR(F905="",F905="Selecciona.."),"",XLOOKUP(F905,Productos!E:E,Productos!A:A,"",0,1))</f>
        <v/>
      </c>
      <c r="C905" s="14" t="str">
        <f t="array" ref="C905">IF(OR(G905="",G905="Selecciona.."),"",XLOOKUP(G905,Productos!$E:$E,Productos!$A:$A,"",0,1))</f>
        <v/>
      </c>
      <c r="D905" s="14" t="str">
        <f t="shared" si="2"/>
        <v/>
      </c>
      <c r="E905" s="14"/>
      <c r="F905" s="15" t="str">
        <f t="shared" si="4"/>
        <v/>
      </c>
      <c r="G905" s="15" t="str">
        <f t="shared" ref="G905:H905" si="902">IF(OR(F905="",F905="Selecciona.."),"","Selecciona..")</f>
        <v/>
      </c>
      <c r="H905" s="13" t="str">
        <f t="shared" si="902"/>
        <v/>
      </c>
    </row>
    <row r="906">
      <c r="A906" s="14" t="str">
        <f t="shared" si="1"/>
        <v/>
      </c>
      <c r="B906" s="14" t="str">
        <f t="array" ref="B906">IF(OR(F906="",F906="Selecciona.."),"",XLOOKUP(F906,Productos!E:E,Productos!A:A,"",0,1))</f>
        <v/>
      </c>
      <c r="C906" s="14" t="str">
        <f t="array" ref="C906">IF(OR(G906="",G906="Selecciona.."),"",XLOOKUP(G906,Productos!$E:$E,Productos!$A:$A,"",0,1))</f>
        <v/>
      </c>
      <c r="D906" s="14" t="str">
        <f t="shared" si="2"/>
        <v/>
      </c>
      <c r="E906" s="14"/>
      <c r="F906" s="15" t="str">
        <f t="shared" si="4"/>
        <v/>
      </c>
      <c r="G906" s="15" t="str">
        <f t="shared" ref="G906:H906" si="903">IF(OR(F906="",F906="Selecciona.."),"","Selecciona..")</f>
        <v/>
      </c>
      <c r="H906" s="13" t="str">
        <f t="shared" si="903"/>
        <v/>
      </c>
    </row>
    <row r="907">
      <c r="A907" s="14" t="str">
        <f t="shared" si="1"/>
        <v/>
      </c>
      <c r="B907" s="14" t="str">
        <f t="array" ref="B907">IF(OR(F907="",F907="Selecciona.."),"",XLOOKUP(F907,Productos!E:E,Productos!A:A,"",0,1))</f>
        <v/>
      </c>
      <c r="C907" s="14" t="str">
        <f t="array" ref="C907">IF(OR(G907="",G907="Selecciona.."),"",XLOOKUP(G907,Productos!$E:$E,Productos!$A:$A,"",0,1))</f>
        <v/>
      </c>
      <c r="D907" s="14" t="str">
        <f t="shared" si="2"/>
        <v/>
      </c>
      <c r="E907" s="14"/>
      <c r="F907" s="15" t="str">
        <f t="shared" si="4"/>
        <v/>
      </c>
      <c r="G907" s="15" t="str">
        <f t="shared" ref="G907:H907" si="904">IF(OR(F907="",F907="Selecciona.."),"","Selecciona..")</f>
        <v/>
      </c>
      <c r="H907" s="13" t="str">
        <f t="shared" si="904"/>
        <v/>
      </c>
    </row>
    <row r="908">
      <c r="A908" s="14" t="str">
        <f t="shared" si="1"/>
        <v/>
      </c>
      <c r="B908" s="14" t="str">
        <f t="array" ref="B908">IF(OR(F908="",F908="Selecciona.."),"",XLOOKUP(F908,Productos!E:E,Productos!A:A,"",0,1))</f>
        <v/>
      </c>
      <c r="C908" s="14" t="str">
        <f t="array" ref="C908">IF(OR(G908="",G908="Selecciona.."),"",XLOOKUP(G908,Productos!$E:$E,Productos!$A:$A,"",0,1))</f>
        <v/>
      </c>
      <c r="D908" s="14" t="str">
        <f t="shared" si="2"/>
        <v/>
      </c>
      <c r="E908" s="14"/>
      <c r="F908" s="15" t="str">
        <f t="shared" si="4"/>
        <v/>
      </c>
      <c r="G908" s="15" t="str">
        <f t="shared" ref="G908:H908" si="905">IF(OR(F908="",F908="Selecciona.."),"","Selecciona..")</f>
        <v/>
      </c>
      <c r="H908" s="13" t="str">
        <f t="shared" si="905"/>
        <v/>
      </c>
    </row>
    <row r="909">
      <c r="A909" s="14" t="str">
        <f t="shared" si="1"/>
        <v/>
      </c>
      <c r="B909" s="14" t="str">
        <f t="array" ref="B909">IF(OR(F909="",F909="Selecciona.."),"",XLOOKUP(F909,Productos!E:E,Productos!A:A,"",0,1))</f>
        <v/>
      </c>
      <c r="C909" s="14" t="str">
        <f t="array" ref="C909">IF(OR(G909="",G909="Selecciona.."),"",XLOOKUP(G909,Productos!$E:$E,Productos!$A:$A,"",0,1))</f>
        <v/>
      </c>
      <c r="D909" s="14" t="str">
        <f t="shared" si="2"/>
        <v/>
      </c>
      <c r="E909" s="14"/>
      <c r="F909" s="15" t="str">
        <f t="shared" si="4"/>
        <v/>
      </c>
      <c r="G909" s="15" t="str">
        <f t="shared" ref="G909:H909" si="906">IF(OR(F909="",F909="Selecciona.."),"","Selecciona..")</f>
        <v/>
      </c>
      <c r="H909" s="13" t="str">
        <f t="shared" si="906"/>
        <v/>
      </c>
    </row>
    <row r="910">
      <c r="A910" s="14" t="str">
        <f t="shared" si="1"/>
        <v/>
      </c>
      <c r="B910" s="14" t="str">
        <f t="array" ref="B910">IF(OR(F910="",F910="Selecciona.."),"",XLOOKUP(F910,Productos!E:E,Productos!A:A,"",0,1))</f>
        <v/>
      </c>
      <c r="C910" s="14" t="str">
        <f t="array" ref="C910">IF(OR(G910="",G910="Selecciona.."),"",XLOOKUP(G910,Productos!$E:$E,Productos!$A:$A,"",0,1))</f>
        <v/>
      </c>
      <c r="D910" s="14" t="str">
        <f t="shared" si="2"/>
        <v/>
      </c>
      <c r="E910" s="14"/>
      <c r="F910" s="15" t="str">
        <f t="shared" si="4"/>
        <v/>
      </c>
      <c r="G910" s="15" t="str">
        <f t="shared" ref="G910:H910" si="907">IF(OR(F910="",F910="Selecciona.."),"","Selecciona..")</f>
        <v/>
      </c>
      <c r="H910" s="13" t="str">
        <f t="shared" si="907"/>
        <v/>
      </c>
    </row>
    <row r="911">
      <c r="A911" s="14" t="str">
        <f t="shared" si="1"/>
        <v/>
      </c>
      <c r="B911" s="14" t="str">
        <f t="array" ref="B911">IF(OR(F911="",F911="Selecciona.."),"",XLOOKUP(F911,Productos!E:E,Productos!A:A,"",0,1))</f>
        <v/>
      </c>
      <c r="C911" s="14" t="str">
        <f t="array" ref="C911">IF(OR(G911="",G911="Selecciona.."),"",XLOOKUP(G911,Productos!$E:$E,Productos!$A:$A,"",0,1))</f>
        <v/>
      </c>
      <c r="D911" s="14" t="str">
        <f t="shared" si="2"/>
        <v/>
      </c>
      <c r="E911" s="14"/>
      <c r="F911" s="15" t="str">
        <f t="shared" si="4"/>
        <v/>
      </c>
      <c r="G911" s="15" t="str">
        <f t="shared" ref="G911:H911" si="908">IF(OR(F911="",F911="Selecciona.."),"","Selecciona..")</f>
        <v/>
      </c>
      <c r="H911" s="13" t="str">
        <f t="shared" si="908"/>
        <v/>
      </c>
    </row>
    <row r="912">
      <c r="A912" s="14" t="str">
        <f t="shared" si="1"/>
        <v/>
      </c>
      <c r="B912" s="14" t="str">
        <f t="array" ref="B912">IF(OR(F912="",F912="Selecciona.."),"",XLOOKUP(F912,Productos!E:E,Productos!A:A,"",0,1))</f>
        <v/>
      </c>
      <c r="C912" s="14" t="str">
        <f t="array" ref="C912">IF(OR(G912="",G912="Selecciona.."),"",XLOOKUP(G912,Productos!$E:$E,Productos!$A:$A,"",0,1))</f>
        <v/>
      </c>
      <c r="D912" s="14" t="str">
        <f t="shared" si="2"/>
        <v/>
      </c>
      <c r="E912" s="14"/>
      <c r="F912" s="15" t="str">
        <f t="shared" si="4"/>
        <v/>
      </c>
      <c r="G912" s="15" t="str">
        <f t="shared" ref="G912:H912" si="909">IF(OR(F912="",F912="Selecciona.."),"","Selecciona..")</f>
        <v/>
      </c>
      <c r="H912" s="13" t="str">
        <f t="shared" si="909"/>
        <v/>
      </c>
    </row>
    <row r="913">
      <c r="A913" s="14" t="str">
        <f t="shared" si="1"/>
        <v/>
      </c>
      <c r="B913" s="14" t="str">
        <f t="array" ref="B913">IF(OR(F913="",F913="Selecciona.."),"",XLOOKUP(F913,Productos!E:E,Productos!A:A,"",0,1))</f>
        <v/>
      </c>
      <c r="C913" s="14" t="str">
        <f t="array" ref="C913">IF(OR(G913="",G913="Selecciona.."),"",XLOOKUP(G913,Productos!$E:$E,Productos!$A:$A,"",0,1))</f>
        <v/>
      </c>
      <c r="D913" s="14" t="str">
        <f t="shared" si="2"/>
        <v/>
      </c>
      <c r="E913" s="14"/>
      <c r="F913" s="15" t="str">
        <f t="shared" si="4"/>
        <v/>
      </c>
      <c r="G913" s="15" t="str">
        <f t="shared" ref="G913:H913" si="910">IF(OR(F913="",F913="Selecciona.."),"","Selecciona..")</f>
        <v/>
      </c>
      <c r="H913" s="13" t="str">
        <f t="shared" si="910"/>
        <v/>
      </c>
    </row>
    <row r="914">
      <c r="A914" s="14" t="str">
        <f t="shared" si="1"/>
        <v/>
      </c>
      <c r="B914" s="14" t="str">
        <f t="array" ref="B914">IF(OR(F914="",F914="Selecciona.."),"",XLOOKUP(F914,Productos!E:E,Productos!A:A,"",0,1))</f>
        <v/>
      </c>
      <c r="C914" s="14" t="str">
        <f t="array" ref="C914">IF(OR(G914="",G914="Selecciona.."),"",XLOOKUP(G914,Productos!$E:$E,Productos!$A:$A,"",0,1))</f>
        <v/>
      </c>
      <c r="D914" s="14" t="str">
        <f t="shared" si="2"/>
        <v/>
      </c>
      <c r="E914" s="14"/>
      <c r="F914" s="15" t="str">
        <f t="shared" si="4"/>
        <v/>
      </c>
      <c r="G914" s="15" t="str">
        <f t="shared" ref="G914:H914" si="911">IF(OR(F914="",F914="Selecciona.."),"","Selecciona..")</f>
        <v/>
      </c>
      <c r="H914" s="13" t="str">
        <f t="shared" si="911"/>
        <v/>
      </c>
    </row>
    <row r="915">
      <c r="A915" s="14" t="str">
        <f t="shared" si="1"/>
        <v/>
      </c>
      <c r="B915" s="14" t="str">
        <f t="array" ref="B915">IF(OR(F915="",F915="Selecciona.."),"",XLOOKUP(F915,Productos!E:E,Productos!A:A,"",0,1))</f>
        <v/>
      </c>
      <c r="C915" s="14" t="str">
        <f t="array" ref="C915">IF(OR(G915="",G915="Selecciona.."),"",XLOOKUP(G915,Productos!$E:$E,Productos!$A:$A,"",0,1))</f>
        <v/>
      </c>
      <c r="D915" s="14" t="str">
        <f t="shared" si="2"/>
        <v/>
      </c>
      <c r="E915" s="14"/>
      <c r="F915" s="15" t="str">
        <f t="shared" si="4"/>
        <v/>
      </c>
      <c r="G915" s="15" t="str">
        <f t="shared" ref="G915:H915" si="912">IF(OR(F915="",F915="Selecciona.."),"","Selecciona..")</f>
        <v/>
      </c>
      <c r="H915" s="13" t="str">
        <f t="shared" si="912"/>
        <v/>
      </c>
    </row>
    <row r="916">
      <c r="A916" s="14" t="str">
        <f t="shared" si="1"/>
        <v/>
      </c>
      <c r="B916" s="14" t="str">
        <f t="array" ref="B916">IF(OR(F916="",F916="Selecciona.."),"",XLOOKUP(F916,Productos!E:E,Productos!A:A,"",0,1))</f>
        <v/>
      </c>
      <c r="C916" s="14" t="str">
        <f t="array" ref="C916">IF(OR(G916="",G916="Selecciona.."),"",XLOOKUP(G916,Productos!$E:$E,Productos!$A:$A,"",0,1))</f>
        <v/>
      </c>
      <c r="D916" s="14" t="str">
        <f t="shared" si="2"/>
        <v/>
      </c>
      <c r="E916" s="14"/>
      <c r="F916" s="15" t="str">
        <f t="shared" si="4"/>
        <v/>
      </c>
      <c r="G916" s="15" t="str">
        <f t="shared" ref="G916:H916" si="913">IF(OR(F916="",F916="Selecciona.."),"","Selecciona..")</f>
        <v/>
      </c>
      <c r="H916" s="13" t="str">
        <f t="shared" si="913"/>
        <v/>
      </c>
    </row>
    <row r="917">
      <c r="A917" s="14" t="str">
        <f t="shared" si="1"/>
        <v/>
      </c>
      <c r="B917" s="14" t="str">
        <f t="array" ref="B917">IF(OR(F917="",F917="Selecciona.."),"",XLOOKUP(F917,Productos!E:E,Productos!A:A,"",0,1))</f>
        <v/>
      </c>
      <c r="C917" s="14" t="str">
        <f t="array" ref="C917">IF(OR(G917="",G917="Selecciona.."),"",XLOOKUP(G917,Productos!$E:$E,Productos!$A:$A,"",0,1))</f>
        <v/>
      </c>
      <c r="D917" s="14" t="str">
        <f t="shared" si="2"/>
        <v/>
      </c>
      <c r="E917" s="14"/>
      <c r="F917" s="15" t="str">
        <f t="shared" si="4"/>
        <v/>
      </c>
      <c r="G917" s="15" t="str">
        <f t="shared" ref="G917:H917" si="914">IF(OR(F917="",F917="Selecciona.."),"","Selecciona..")</f>
        <v/>
      </c>
      <c r="H917" s="13" t="str">
        <f t="shared" si="914"/>
        <v/>
      </c>
    </row>
    <row r="918">
      <c r="A918" s="14" t="str">
        <f t="shared" si="1"/>
        <v/>
      </c>
      <c r="B918" s="14" t="str">
        <f t="array" ref="B918">IF(OR(F918="",F918="Selecciona.."),"",XLOOKUP(F918,Productos!E:E,Productos!A:A,"",0,1))</f>
        <v/>
      </c>
      <c r="C918" s="14" t="str">
        <f t="array" ref="C918">IF(OR(G918="",G918="Selecciona.."),"",XLOOKUP(G918,Productos!$E:$E,Productos!$A:$A,"",0,1))</f>
        <v/>
      </c>
      <c r="D918" s="14" t="str">
        <f t="shared" si="2"/>
        <v/>
      </c>
      <c r="E918" s="14"/>
      <c r="F918" s="15" t="str">
        <f t="shared" si="4"/>
        <v/>
      </c>
      <c r="G918" s="15" t="str">
        <f t="shared" ref="G918:H918" si="915">IF(OR(F918="",F918="Selecciona.."),"","Selecciona..")</f>
        <v/>
      </c>
      <c r="H918" s="13" t="str">
        <f t="shared" si="915"/>
        <v/>
      </c>
    </row>
    <row r="919">
      <c r="A919" s="14" t="str">
        <f t="shared" si="1"/>
        <v/>
      </c>
      <c r="B919" s="14" t="str">
        <f t="array" ref="B919">IF(OR(F919="",F919="Selecciona.."),"",XLOOKUP(F919,Productos!E:E,Productos!A:A,"",0,1))</f>
        <v/>
      </c>
      <c r="C919" s="14" t="str">
        <f t="array" ref="C919">IF(OR(G919="",G919="Selecciona.."),"",XLOOKUP(G919,Productos!$E:$E,Productos!$A:$A,"",0,1))</f>
        <v/>
      </c>
      <c r="D919" s="14" t="str">
        <f t="shared" si="2"/>
        <v/>
      </c>
      <c r="E919" s="14"/>
      <c r="F919" s="15" t="str">
        <f t="shared" si="4"/>
        <v/>
      </c>
      <c r="G919" s="15" t="str">
        <f t="shared" ref="G919:H919" si="916">IF(OR(F919="",F919="Selecciona.."),"","Selecciona..")</f>
        <v/>
      </c>
      <c r="H919" s="13" t="str">
        <f t="shared" si="916"/>
        <v/>
      </c>
    </row>
    <row r="920">
      <c r="A920" s="14" t="str">
        <f t="shared" si="1"/>
        <v/>
      </c>
      <c r="B920" s="14" t="str">
        <f t="array" ref="B920">IF(OR(F920="",F920="Selecciona.."),"",XLOOKUP(F920,Productos!E:E,Productos!A:A,"",0,1))</f>
        <v/>
      </c>
      <c r="C920" s="14" t="str">
        <f t="array" ref="C920">IF(OR(G920="",G920="Selecciona.."),"",XLOOKUP(G920,Productos!$E:$E,Productos!$A:$A,"",0,1))</f>
        <v/>
      </c>
      <c r="D920" s="14" t="str">
        <f t="shared" si="2"/>
        <v/>
      </c>
      <c r="E920" s="14"/>
      <c r="F920" s="15" t="str">
        <f t="shared" si="4"/>
        <v/>
      </c>
      <c r="G920" s="15" t="str">
        <f t="shared" ref="G920:H920" si="917">IF(OR(F920="",F920="Selecciona.."),"","Selecciona..")</f>
        <v/>
      </c>
      <c r="H920" s="13" t="str">
        <f t="shared" si="917"/>
        <v/>
      </c>
    </row>
    <row r="921">
      <c r="A921" s="14" t="str">
        <f t="shared" si="1"/>
        <v/>
      </c>
      <c r="B921" s="14" t="str">
        <f t="array" ref="B921">IF(OR(F921="",F921="Selecciona.."),"",XLOOKUP(F921,Productos!E:E,Productos!A:A,"",0,1))</f>
        <v/>
      </c>
      <c r="C921" s="14" t="str">
        <f t="array" ref="C921">IF(OR(G921="",G921="Selecciona.."),"",XLOOKUP(G921,Productos!$E:$E,Productos!$A:$A,"",0,1))</f>
        <v/>
      </c>
      <c r="D921" s="14" t="str">
        <f t="shared" si="2"/>
        <v/>
      </c>
      <c r="E921" s="14"/>
      <c r="F921" s="15" t="str">
        <f t="shared" si="4"/>
        <v/>
      </c>
      <c r="G921" s="15" t="str">
        <f t="shared" ref="G921:H921" si="918">IF(OR(F921="",F921="Selecciona.."),"","Selecciona..")</f>
        <v/>
      </c>
      <c r="H921" s="13" t="str">
        <f t="shared" si="918"/>
        <v/>
      </c>
    </row>
    <row r="922">
      <c r="A922" s="14" t="str">
        <f t="shared" si="1"/>
        <v/>
      </c>
      <c r="B922" s="14" t="str">
        <f t="array" ref="B922">IF(OR(F922="",F922="Selecciona.."),"",XLOOKUP(F922,Productos!E:E,Productos!A:A,"",0,1))</f>
        <v/>
      </c>
      <c r="C922" s="14" t="str">
        <f t="array" ref="C922">IF(OR(G922="",G922="Selecciona.."),"",XLOOKUP(G922,Productos!$E:$E,Productos!$A:$A,"",0,1))</f>
        <v/>
      </c>
      <c r="D922" s="14" t="str">
        <f t="shared" si="2"/>
        <v/>
      </c>
      <c r="E922" s="14"/>
      <c r="F922" s="15" t="str">
        <f t="shared" si="4"/>
        <v/>
      </c>
      <c r="G922" s="15" t="str">
        <f t="shared" ref="G922:H922" si="919">IF(OR(F922="",F922="Selecciona.."),"","Selecciona..")</f>
        <v/>
      </c>
      <c r="H922" s="13" t="str">
        <f t="shared" si="919"/>
        <v/>
      </c>
    </row>
    <row r="923">
      <c r="A923" s="14" t="str">
        <f t="shared" si="1"/>
        <v/>
      </c>
      <c r="B923" s="14" t="str">
        <f t="array" ref="B923">IF(OR(F923="",F923="Selecciona.."),"",XLOOKUP(F923,Productos!E:E,Productos!A:A,"",0,1))</f>
        <v/>
      </c>
      <c r="C923" s="14" t="str">
        <f t="array" ref="C923">IF(OR(G923="",G923="Selecciona.."),"",XLOOKUP(G923,Productos!$E:$E,Productos!$A:$A,"",0,1))</f>
        <v/>
      </c>
      <c r="D923" s="14" t="str">
        <f t="shared" si="2"/>
        <v/>
      </c>
      <c r="E923" s="14"/>
      <c r="F923" s="15" t="str">
        <f t="shared" si="4"/>
        <v/>
      </c>
      <c r="G923" s="15" t="str">
        <f t="shared" ref="G923:H923" si="920">IF(OR(F923="",F923="Selecciona.."),"","Selecciona..")</f>
        <v/>
      </c>
      <c r="H923" s="13" t="str">
        <f t="shared" si="920"/>
        <v/>
      </c>
    </row>
    <row r="924">
      <c r="A924" s="14" t="str">
        <f t="shared" si="1"/>
        <v/>
      </c>
      <c r="B924" s="14" t="str">
        <f t="array" ref="B924">IF(OR(F924="",F924="Selecciona.."),"",XLOOKUP(F924,Productos!E:E,Productos!A:A,"",0,1))</f>
        <v/>
      </c>
      <c r="C924" s="14" t="str">
        <f t="array" ref="C924">IF(OR(G924="",G924="Selecciona.."),"",XLOOKUP(G924,Productos!$E:$E,Productos!$A:$A,"",0,1))</f>
        <v/>
      </c>
      <c r="D924" s="14" t="str">
        <f t="shared" si="2"/>
        <v/>
      </c>
      <c r="E924" s="14"/>
      <c r="F924" s="15" t="str">
        <f t="shared" si="4"/>
        <v/>
      </c>
      <c r="G924" s="15" t="str">
        <f t="shared" ref="G924:H924" si="921">IF(OR(F924="",F924="Selecciona.."),"","Selecciona..")</f>
        <v/>
      </c>
      <c r="H924" s="13" t="str">
        <f t="shared" si="921"/>
        <v/>
      </c>
    </row>
    <row r="925">
      <c r="A925" s="14" t="str">
        <f t="shared" si="1"/>
        <v/>
      </c>
      <c r="B925" s="14" t="str">
        <f t="array" ref="B925">IF(OR(F925="",F925="Selecciona.."),"",XLOOKUP(F925,Productos!E:E,Productos!A:A,"",0,1))</f>
        <v/>
      </c>
      <c r="C925" s="14" t="str">
        <f t="array" ref="C925">IF(OR(G925="",G925="Selecciona.."),"",XLOOKUP(G925,Productos!$E:$E,Productos!$A:$A,"",0,1))</f>
        <v/>
      </c>
      <c r="D925" s="14" t="str">
        <f t="shared" si="2"/>
        <v/>
      </c>
      <c r="E925" s="14"/>
      <c r="F925" s="15" t="str">
        <f t="shared" si="4"/>
        <v/>
      </c>
      <c r="G925" s="15" t="str">
        <f t="shared" ref="G925:H925" si="922">IF(OR(F925="",F925="Selecciona.."),"","Selecciona..")</f>
        <v/>
      </c>
      <c r="H925" s="13" t="str">
        <f t="shared" si="922"/>
        <v/>
      </c>
    </row>
    <row r="926">
      <c r="A926" s="14" t="str">
        <f t="shared" si="1"/>
        <v/>
      </c>
      <c r="B926" s="14" t="str">
        <f t="array" ref="B926">IF(OR(F926="",F926="Selecciona.."),"",XLOOKUP(F926,Productos!E:E,Productos!A:A,"",0,1))</f>
        <v/>
      </c>
      <c r="C926" s="14" t="str">
        <f t="array" ref="C926">IF(OR(G926="",G926="Selecciona.."),"",XLOOKUP(G926,Productos!$E:$E,Productos!$A:$A,"",0,1))</f>
        <v/>
      </c>
      <c r="D926" s="14" t="str">
        <f t="shared" si="2"/>
        <v/>
      </c>
      <c r="E926" s="14"/>
      <c r="F926" s="15" t="str">
        <f t="shared" si="4"/>
        <v/>
      </c>
      <c r="G926" s="15" t="str">
        <f t="shared" ref="G926:H926" si="923">IF(OR(F926="",F926="Selecciona.."),"","Selecciona..")</f>
        <v/>
      </c>
      <c r="H926" s="13" t="str">
        <f t="shared" si="923"/>
        <v/>
      </c>
    </row>
    <row r="927">
      <c r="A927" s="14" t="str">
        <f t="shared" si="1"/>
        <v/>
      </c>
      <c r="B927" s="14" t="str">
        <f t="array" ref="B927">IF(OR(F927="",F927="Selecciona.."),"",XLOOKUP(F927,Productos!E:E,Productos!A:A,"",0,1))</f>
        <v/>
      </c>
      <c r="C927" s="14" t="str">
        <f t="array" ref="C927">IF(OR(G927="",G927="Selecciona.."),"",XLOOKUP(G927,Productos!$E:$E,Productos!$A:$A,"",0,1))</f>
        <v/>
      </c>
      <c r="D927" s="14" t="str">
        <f t="shared" si="2"/>
        <v/>
      </c>
      <c r="E927" s="14"/>
      <c r="F927" s="15" t="str">
        <f t="shared" si="4"/>
        <v/>
      </c>
      <c r="G927" s="15" t="str">
        <f t="shared" ref="G927:H927" si="924">IF(OR(F927="",F927="Selecciona.."),"","Selecciona..")</f>
        <v/>
      </c>
      <c r="H927" s="13" t="str">
        <f t="shared" si="924"/>
        <v/>
      </c>
    </row>
    <row r="928">
      <c r="A928" s="14" t="str">
        <f t="shared" si="1"/>
        <v/>
      </c>
      <c r="B928" s="14" t="str">
        <f t="array" ref="B928">IF(OR(F928="",F928="Selecciona.."),"",XLOOKUP(F928,Productos!E:E,Productos!A:A,"",0,1))</f>
        <v/>
      </c>
      <c r="C928" s="14" t="str">
        <f t="array" ref="C928">IF(OR(G928="",G928="Selecciona.."),"",XLOOKUP(G928,Productos!$E:$E,Productos!$A:$A,"",0,1))</f>
        <v/>
      </c>
      <c r="D928" s="14" t="str">
        <f t="shared" si="2"/>
        <v/>
      </c>
      <c r="E928" s="14"/>
      <c r="F928" s="15" t="str">
        <f t="shared" si="4"/>
        <v/>
      </c>
      <c r="G928" s="15" t="str">
        <f t="shared" ref="G928:H928" si="925">IF(OR(F928="",F928="Selecciona.."),"","Selecciona..")</f>
        <v/>
      </c>
      <c r="H928" s="13" t="str">
        <f t="shared" si="925"/>
        <v/>
      </c>
    </row>
    <row r="929">
      <c r="A929" s="14" t="str">
        <f t="shared" si="1"/>
        <v/>
      </c>
      <c r="B929" s="14" t="str">
        <f t="array" ref="B929">IF(OR(F929="",F929="Selecciona.."),"",XLOOKUP(F929,Productos!E:E,Productos!A:A,"",0,1))</f>
        <v/>
      </c>
      <c r="C929" s="14" t="str">
        <f t="array" ref="C929">IF(OR(G929="",G929="Selecciona.."),"",XLOOKUP(G929,Productos!$E:$E,Productos!$A:$A,"",0,1))</f>
        <v/>
      </c>
      <c r="D929" s="14" t="str">
        <f t="shared" si="2"/>
        <v/>
      </c>
      <c r="E929" s="14"/>
      <c r="F929" s="15" t="str">
        <f t="shared" si="4"/>
        <v/>
      </c>
      <c r="G929" s="15" t="str">
        <f t="shared" ref="G929:H929" si="926">IF(OR(F929="",F929="Selecciona.."),"","Selecciona..")</f>
        <v/>
      </c>
      <c r="H929" s="13" t="str">
        <f t="shared" si="926"/>
        <v/>
      </c>
    </row>
    <row r="930">
      <c r="A930" s="14" t="str">
        <f t="shared" si="1"/>
        <v/>
      </c>
      <c r="B930" s="14" t="str">
        <f t="array" ref="B930">IF(OR(F930="",F930="Selecciona.."),"",XLOOKUP(F930,Productos!E:E,Productos!A:A,"",0,1))</f>
        <v/>
      </c>
      <c r="C930" s="14" t="str">
        <f t="array" ref="C930">IF(OR(G930="",G930="Selecciona.."),"",XLOOKUP(G930,Productos!$E:$E,Productos!$A:$A,"",0,1))</f>
        <v/>
      </c>
      <c r="D930" s="14" t="str">
        <f t="shared" si="2"/>
        <v/>
      </c>
      <c r="E930" s="14"/>
      <c r="F930" s="15" t="str">
        <f t="shared" si="4"/>
        <v/>
      </c>
      <c r="G930" s="15" t="str">
        <f t="shared" ref="G930:H930" si="927">IF(OR(F930="",F930="Selecciona.."),"","Selecciona..")</f>
        <v/>
      </c>
      <c r="H930" s="13" t="str">
        <f t="shared" si="927"/>
        <v/>
      </c>
    </row>
    <row r="931">
      <c r="A931" s="14" t="str">
        <f t="shared" si="1"/>
        <v/>
      </c>
      <c r="B931" s="14" t="str">
        <f t="array" ref="B931">IF(OR(F931="",F931="Selecciona.."),"",XLOOKUP(F931,Productos!E:E,Productos!A:A,"",0,1))</f>
        <v/>
      </c>
      <c r="C931" s="14" t="str">
        <f t="array" ref="C931">IF(OR(G931="",G931="Selecciona.."),"",XLOOKUP(G931,Productos!$E:$E,Productos!$A:$A,"",0,1))</f>
        <v/>
      </c>
      <c r="D931" s="14" t="str">
        <f t="shared" si="2"/>
        <v/>
      </c>
      <c r="E931" s="14"/>
      <c r="F931" s="15" t="str">
        <f t="shared" si="4"/>
        <v/>
      </c>
      <c r="G931" s="15" t="str">
        <f t="shared" ref="G931:H931" si="928">IF(OR(F931="",F931="Selecciona.."),"","Selecciona..")</f>
        <v/>
      </c>
      <c r="H931" s="13" t="str">
        <f t="shared" si="928"/>
        <v/>
      </c>
    </row>
    <row r="932">
      <c r="A932" s="14" t="str">
        <f t="shared" si="1"/>
        <v/>
      </c>
      <c r="B932" s="14" t="str">
        <f t="array" ref="B932">IF(OR(F932="",F932="Selecciona.."),"",XLOOKUP(F932,Productos!E:E,Productos!A:A,"",0,1))</f>
        <v/>
      </c>
      <c r="C932" s="14" t="str">
        <f t="array" ref="C932">IF(OR(G932="",G932="Selecciona.."),"",XLOOKUP(G932,Productos!$E:$E,Productos!$A:$A,"",0,1))</f>
        <v/>
      </c>
      <c r="D932" s="14" t="str">
        <f t="shared" si="2"/>
        <v/>
      </c>
      <c r="E932" s="14"/>
      <c r="F932" s="15" t="str">
        <f t="shared" si="4"/>
        <v/>
      </c>
      <c r="G932" s="15" t="str">
        <f t="shared" ref="G932:H932" si="929">IF(OR(F932="",F932="Selecciona.."),"","Selecciona..")</f>
        <v/>
      </c>
      <c r="H932" s="13" t="str">
        <f t="shared" si="929"/>
        <v/>
      </c>
    </row>
    <row r="933">
      <c r="A933" s="14" t="str">
        <f t="shared" si="1"/>
        <v/>
      </c>
      <c r="B933" s="14" t="str">
        <f t="array" ref="B933">IF(OR(F933="",F933="Selecciona.."),"",XLOOKUP(F933,Productos!E:E,Productos!A:A,"",0,1))</f>
        <v/>
      </c>
      <c r="C933" s="14" t="str">
        <f t="array" ref="C933">IF(OR(G933="",G933="Selecciona.."),"",XLOOKUP(G933,Productos!$E:$E,Productos!$A:$A,"",0,1))</f>
        <v/>
      </c>
      <c r="D933" s="14" t="str">
        <f t="shared" si="2"/>
        <v/>
      </c>
      <c r="E933" s="14"/>
      <c r="F933" s="15" t="str">
        <f t="shared" si="4"/>
        <v/>
      </c>
      <c r="G933" s="15" t="str">
        <f t="shared" ref="G933:H933" si="930">IF(OR(F933="",F933="Selecciona.."),"","Selecciona..")</f>
        <v/>
      </c>
      <c r="H933" s="13" t="str">
        <f t="shared" si="930"/>
        <v/>
      </c>
    </row>
    <row r="934">
      <c r="A934" s="14" t="str">
        <f t="shared" si="1"/>
        <v/>
      </c>
      <c r="B934" s="14" t="str">
        <f t="array" ref="B934">IF(OR(F934="",F934="Selecciona.."),"",XLOOKUP(F934,Productos!E:E,Productos!A:A,"",0,1))</f>
        <v/>
      </c>
      <c r="C934" s="14" t="str">
        <f t="array" ref="C934">IF(OR(G934="",G934="Selecciona.."),"",XLOOKUP(G934,Productos!$E:$E,Productos!$A:$A,"",0,1))</f>
        <v/>
      </c>
      <c r="D934" s="14" t="str">
        <f t="shared" si="2"/>
        <v/>
      </c>
      <c r="E934" s="14"/>
      <c r="F934" s="15" t="str">
        <f t="shared" si="4"/>
        <v/>
      </c>
      <c r="G934" s="15" t="str">
        <f t="shared" ref="G934:H934" si="931">IF(OR(F934="",F934="Selecciona.."),"","Selecciona..")</f>
        <v/>
      </c>
      <c r="H934" s="13" t="str">
        <f t="shared" si="931"/>
        <v/>
      </c>
    </row>
    <row r="935">
      <c r="A935" s="14" t="str">
        <f t="shared" si="1"/>
        <v/>
      </c>
      <c r="B935" s="14" t="str">
        <f t="array" ref="B935">IF(OR(F935="",F935="Selecciona.."),"",XLOOKUP(F935,Productos!E:E,Productos!A:A,"",0,1))</f>
        <v/>
      </c>
      <c r="C935" s="14" t="str">
        <f t="array" ref="C935">IF(OR(G935="",G935="Selecciona.."),"",XLOOKUP(G935,Productos!$E:$E,Productos!$A:$A,"",0,1))</f>
        <v/>
      </c>
      <c r="D935" s="14" t="str">
        <f t="shared" si="2"/>
        <v/>
      </c>
      <c r="E935" s="14"/>
      <c r="F935" s="15" t="str">
        <f t="shared" si="4"/>
        <v/>
      </c>
      <c r="G935" s="15" t="str">
        <f t="shared" ref="G935:H935" si="932">IF(OR(F935="",F935="Selecciona.."),"","Selecciona..")</f>
        <v/>
      </c>
      <c r="H935" s="13" t="str">
        <f t="shared" si="932"/>
        <v/>
      </c>
    </row>
    <row r="936">
      <c r="A936" s="14" t="str">
        <f t="shared" si="1"/>
        <v/>
      </c>
      <c r="B936" s="14" t="str">
        <f t="array" ref="B936">IF(OR(F936="",F936="Selecciona.."),"",XLOOKUP(F936,Productos!E:E,Productos!A:A,"",0,1))</f>
        <v/>
      </c>
      <c r="C936" s="14" t="str">
        <f t="array" ref="C936">IF(OR(G936="",G936="Selecciona.."),"",XLOOKUP(G936,Productos!$E:$E,Productos!$A:$A,"",0,1))</f>
        <v/>
      </c>
      <c r="D936" s="14" t="str">
        <f t="shared" si="2"/>
        <v/>
      </c>
      <c r="E936" s="14"/>
      <c r="F936" s="15" t="str">
        <f t="shared" si="4"/>
        <v/>
      </c>
      <c r="G936" s="15" t="str">
        <f t="shared" ref="G936:H936" si="933">IF(OR(F936="",F936="Selecciona.."),"","Selecciona..")</f>
        <v/>
      </c>
      <c r="H936" s="13" t="str">
        <f t="shared" si="933"/>
        <v/>
      </c>
    </row>
    <row r="937">
      <c r="A937" s="14" t="str">
        <f t="shared" si="1"/>
        <v/>
      </c>
      <c r="B937" s="14" t="str">
        <f t="array" ref="B937">IF(OR(F937="",F937="Selecciona.."),"",XLOOKUP(F937,Productos!E:E,Productos!A:A,"",0,1))</f>
        <v/>
      </c>
      <c r="C937" s="14" t="str">
        <f t="array" ref="C937">IF(OR(G937="",G937="Selecciona.."),"",XLOOKUP(G937,Productos!$E:$E,Productos!$A:$A,"",0,1))</f>
        <v/>
      </c>
      <c r="D937" s="14" t="str">
        <f t="shared" si="2"/>
        <v/>
      </c>
      <c r="E937" s="14"/>
      <c r="F937" s="15" t="str">
        <f t="shared" si="4"/>
        <v/>
      </c>
      <c r="G937" s="15" t="str">
        <f t="shared" ref="G937:H937" si="934">IF(OR(F937="",F937="Selecciona.."),"","Selecciona..")</f>
        <v/>
      </c>
      <c r="H937" s="13" t="str">
        <f t="shared" si="934"/>
        <v/>
      </c>
    </row>
    <row r="938">
      <c r="A938" s="14" t="str">
        <f t="shared" si="1"/>
        <v/>
      </c>
      <c r="B938" s="14" t="str">
        <f t="array" ref="B938">IF(OR(F938="",F938="Selecciona.."),"",XLOOKUP(F938,Productos!E:E,Productos!A:A,"",0,1))</f>
        <v/>
      </c>
      <c r="C938" s="14" t="str">
        <f t="array" ref="C938">IF(OR(G938="",G938="Selecciona.."),"",XLOOKUP(G938,Productos!$E:$E,Productos!$A:$A,"",0,1))</f>
        <v/>
      </c>
      <c r="D938" s="14" t="str">
        <f t="shared" si="2"/>
        <v/>
      </c>
      <c r="E938" s="14"/>
      <c r="F938" s="15" t="str">
        <f t="shared" si="4"/>
        <v/>
      </c>
      <c r="G938" s="15" t="str">
        <f t="shared" ref="G938:H938" si="935">IF(OR(F938="",F938="Selecciona.."),"","Selecciona..")</f>
        <v/>
      </c>
      <c r="H938" s="13" t="str">
        <f t="shared" si="935"/>
        <v/>
      </c>
    </row>
    <row r="939">
      <c r="A939" s="14" t="str">
        <f t="shared" si="1"/>
        <v/>
      </c>
      <c r="B939" s="14" t="str">
        <f t="array" ref="B939">IF(OR(F939="",F939="Selecciona.."),"",XLOOKUP(F939,Productos!E:E,Productos!A:A,"",0,1))</f>
        <v/>
      </c>
      <c r="C939" s="14" t="str">
        <f t="array" ref="C939">IF(OR(G939="",G939="Selecciona.."),"",XLOOKUP(G939,Productos!$E:$E,Productos!$A:$A,"",0,1))</f>
        <v/>
      </c>
      <c r="D939" s="14" t="str">
        <f t="shared" si="2"/>
        <v/>
      </c>
      <c r="E939" s="14"/>
      <c r="F939" s="15" t="str">
        <f t="shared" si="4"/>
        <v/>
      </c>
      <c r="G939" s="15" t="str">
        <f t="shared" ref="G939:H939" si="936">IF(OR(F939="",F939="Selecciona.."),"","Selecciona..")</f>
        <v/>
      </c>
      <c r="H939" s="13" t="str">
        <f t="shared" si="936"/>
        <v/>
      </c>
    </row>
    <row r="940">
      <c r="A940" s="14" t="str">
        <f t="shared" si="1"/>
        <v/>
      </c>
      <c r="B940" s="14" t="str">
        <f t="array" ref="B940">IF(OR(F940="",F940="Selecciona.."),"",XLOOKUP(F940,Productos!E:E,Productos!A:A,"",0,1))</f>
        <v/>
      </c>
      <c r="C940" s="14" t="str">
        <f t="array" ref="C940">IF(OR(G940="",G940="Selecciona.."),"",XLOOKUP(G940,Productos!$E:$E,Productos!$A:$A,"",0,1))</f>
        <v/>
      </c>
      <c r="D940" s="14" t="str">
        <f t="shared" si="2"/>
        <v/>
      </c>
      <c r="E940" s="14"/>
      <c r="F940" s="15" t="str">
        <f t="shared" si="4"/>
        <v/>
      </c>
      <c r="G940" s="15" t="str">
        <f t="shared" ref="G940:H940" si="937">IF(OR(F940="",F940="Selecciona.."),"","Selecciona..")</f>
        <v/>
      </c>
      <c r="H940" s="13" t="str">
        <f t="shared" si="937"/>
        <v/>
      </c>
    </row>
    <row r="941">
      <c r="A941" s="14" t="str">
        <f t="shared" si="1"/>
        <v/>
      </c>
      <c r="B941" s="14" t="str">
        <f t="array" ref="B941">IF(OR(F941="",F941="Selecciona.."),"",XLOOKUP(F941,Productos!E:E,Productos!A:A,"",0,1))</f>
        <v/>
      </c>
      <c r="C941" s="14" t="str">
        <f t="array" ref="C941">IF(OR(G941="",G941="Selecciona.."),"",XLOOKUP(G941,Productos!$E:$E,Productos!$A:$A,"",0,1))</f>
        <v/>
      </c>
      <c r="D941" s="14" t="str">
        <f t="shared" si="2"/>
        <v/>
      </c>
      <c r="E941" s="14"/>
      <c r="F941" s="15" t="str">
        <f t="shared" si="4"/>
        <v/>
      </c>
      <c r="G941" s="15" t="str">
        <f t="shared" ref="G941:H941" si="938">IF(OR(F941="",F941="Selecciona.."),"","Selecciona..")</f>
        <v/>
      </c>
      <c r="H941" s="13" t="str">
        <f t="shared" si="938"/>
        <v/>
      </c>
    </row>
    <row r="942">
      <c r="A942" s="14" t="str">
        <f t="shared" si="1"/>
        <v/>
      </c>
      <c r="B942" s="14" t="str">
        <f t="array" ref="B942">IF(OR(F942="",F942="Selecciona.."),"",XLOOKUP(F942,Productos!E:E,Productos!A:A,"",0,1))</f>
        <v/>
      </c>
      <c r="C942" s="14" t="str">
        <f t="array" ref="C942">IF(OR(G942="",G942="Selecciona.."),"",XLOOKUP(G942,Productos!$E:$E,Productos!$A:$A,"",0,1))</f>
        <v/>
      </c>
      <c r="D942" s="14" t="str">
        <f t="shared" si="2"/>
        <v/>
      </c>
      <c r="E942" s="14"/>
      <c r="F942" s="15" t="str">
        <f t="shared" si="4"/>
        <v/>
      </c>
      <c r="G942" s="15" t="str">
        <f t="shared" ref="G942:H942" si="939">IF(OR(F942="",F942="Selecciona.."),"","Selecciona..")</f>
        <v/>
      </c>
      <c r="H942" s="13" t="str">
        <f t="shared" si="939"/>
        <v/>
      </c>
    </row>
    <row r="943">
      <c r="A943" s="14" t="str">
        <f t="shared" si="1"/>
        <v/>
      </c>
      <c r="B943" s="14" t="str">
        <f t="array" ref="B943">IF(OR(F943="",F943="Selecciona.."),"",XLOOKUP(F943,Productos!E:E,Productos!A:A,"",0,1))</f>
        <v/>
      </c>
      <c r="C943" s="14" t="str">
        <f t="array" ref="C943">IF(OR(G943="",G943="Selecciona.."),"",XLOOKUP(G943,Productos!$E:$E,Productos!$A:$A,"",0,1))</f>
        <v/>
      </c>
      <c r="D943" s="14" t="str">
        <f t="shared" si="2"/>
        <v/>
      </c>
      <c r="E943" s="14"/>
      <c r="F943" s="15" t="str">
        <f t="shared" si="4"/>
        <v/>
      </c>
      <c r="G943" s="15" t="str">
        <f t="shared" ref="G943:H943" si="940">IF(OR(F943="",F943="Selecciona.."),"","Selecciona..")</f>
        <v/>
      </c>
      <c r="H943" s="13" t="str">
        <f t="shared" si="940"/>
        <v/>
      </c>
    </row>
    <row r="944">
      <c r="A944" s="14" t="str">
        <f t="shared" si="1"/>
        <v/>
      </c>
      <c r="B944" s="14" t="str">
        <f t="array" ref="B944">IF(OR(F944="",F944="Selecciona.."),"",XLOOKUP(F944,Productos!E:E,Productos!A:A,"",0,1))</f>
        <v/>
      </c>
      <c r="C944" s="14" t="str">
        <f t="array" ref="C944">IF(OR(G944="",G944="Selecciona.."),"",XLOOKUP(G944,Productos!$E:$E,Productos!$A:$A,"",0,1))</f>
        <v/>
      </c>
      <c r="D944" s="14" t="str">
        <f t="shared" si="2"/>
        <v/>
      </c>
      <c r="E944" s="14"/>
      <c r="F944" s="15" t="str">
        <f t="shared" si="4"/>
        <v/>
      </c>
      <c r="G944" s="15" t="str">
        <f t="shared" ref="G944:H944" si="941">IF(OR(F944="",F944="Selecciona.."),"","Selecciona..")</f>
        <v/>
      </c>
      <c r="H944" s="13" t="str">
        <f t="shared" si="941"/>
        <v/>
      </c>
    </row>
    <row r="945">
      <c r="A945" s="14" t="str">
        <f t="shared" si="1"/>
        <v/>
      </c>
      <c r="B945" s="14" t="str">
        <f t="array" ref="B945">IF(OR(F945="",F945="Selecciona.."),"",XLOOKUP(F945,Productos!E:E,Productos!A:A,"",0,1))</f>
        <v/>
      </c>
      <c r="C945" s="14" t="str">
        <f t="array" ref="C945">IF(OR(G945="",G945="Selecciona.."),"",XLOOKUP(G945,Productos!$E:$E,Productos!$A:$A,"",0,1))</f>
        <v/>
      </c>
      <c r="D945" s="14" t="str">
        <f t="shared" si="2"/>
        <v/>
      </c>
      <c r="E945" s="14"/>
      <c r="F945" s="15" t="str">
        <f t="shared" si="4"/>
        <v/>
      </c>
      <c r="G945" s="15" t="str">
        <f t="shared" ref="G945:H945" si="942">IF(OR(F945="",F945="Selecciona.."),"","Selecciona..")</f>
        <v/>
      </c>
      <c r="H945" s="13" t="str">
        <f t="shared" si="942"/>
        <v/>
      </c>
    </row>
    <row r="946">
      <c r="A946" s="14" t="str">
        <f t="shared" si="1"/>
        <v/>
      </c>
      <c r="B946" s="14" t="str">
        <f t="array" ref="B946">IF(OR(F946="",F946="Selecciona.."),"",XLOOKUP(F946,Productos!E:E,Productos!A:A,"",0,1))</f>
        <v/>
      </c>
      <c r="C946" s="14" t="str">
        <f t="array" ref="C946">IF(OR(G946="",G946="Selecciona.."),"",XLOOKUP(G946,Productos!$E:$E,Productos!$A:$A,"",0,1))</f>
        <v/>
      </c>
      <c r="D946" s="14" t="str">
        <f t="shared" si="2"/>
        <v/>
      </c>
      <c r="E946" s="14"/>
      <c r="F946" s="15" t="str">
        <f t="shared" si="4"/>
        <v/>
      </c>
      <c r="G946" s="15" t="str">
        <f t="shared" ref="G946:H946" si="943">IF(OR(F946="",F946="Selecciona.."),"","Selecciona..")</f>
        <v/>
      </c>
      <c r="H946" s="13" t="str">
        <f t="shared" si="943"/>
        <v/>
      </c>
    </row>
    <row r="947">
      <c r="A947" s="14" t="str">
        <f t="shared" si="1"/>
        <v/>
      </c>
      <c r="B947" s="14" t="str">
        <f t="array" ref="B947">IF(OR(F947="",F947="Selecciona.."),"",XLOOKUP(F947,Productos!E:E,Productos!A:A,"",0,1))</f>
        <v/>
      </c>
      <c r="C947" s="14" t="str">
        <f t="array" ref="C947">IF(OR(G947="",G947="Selecciona.."),"",XLOOKUP(G947,Productos!$E:$E,Productos!$A:$A,"",0,1))</f>
        <v/>
      </c>
      <c r="D947" s="14" t="str">
        <f t="shared" si="2"/>
        <v/>
      </c>
      <c r="E947" s="14"/>
      <c r="F947" s="15" t="str">
        <f t="shared" si="4"/>
        <v/>
      </c>
      <c r="G947" s="15" t="str">
        <f t="shared" ref="G947:H947" si="944">IF(OR(F947="",F947="Selecciona.."),"","Selecciona..")</f>
        <v/>
      </c>
      <c r="H947" s="13" t="str">
        <f t="shared" si="944"/>
        <v/>
      </c>
    </row>
    <row r="948">
      <c r="A948" s="14" t="str">
        <f t="shared" si="1"/>
        <v/>
      </c>
      <c r="B948" s="14" t="str">
        <f t="array" ref="B948">IF(OR(F948="",F948="Selecciona.."),"",XLOOKUP(F948,Productos!E:E,Productos!A:A,"",0,1))</f>
        <v/>
      </c>
      <c r="C948" s="14" t="str">
        <f t="array" ref="C948">IF(OR(G948="",G948="Selecciona.."),"",XLOOKUP(G948,Productos!$E:$E,Productos!$A:$A,"",0,1))</f>
        <v/>
      </c>
      <c r="D948" s="14" t="str">
        <f t="shared" si="2"/>
        <v/>
      </c>
      <c r="E948" s="14"/>
      <c r="F948" s="15" t="str">
        <f t="shared" si="4"/>
        <v/>
      </c>
      <c r="G948" s="15" t="str">
        <f t="shared" ref="G948:H948" si="945">IF(OR(F948="",F948="Selecciona.."),"","Selecciona..")</f>
        <v/>
      </c>
      <c r="H948" s="13" t="str">
        <f t="shared" si="945"/>
        <v/>
      </c>
    </row>
    <row r="949">
      <c r="A949" s="14" t="str">
        <f t="shared" si="1"/>
        <v/>
      </c>
      <c r="B949" s="14" t="str">
        <f t="array" ref="B949">IF(OR(F949="",F949="Selecciona.."),"",XLOOKUP(F949,Productos!E:E,Productos!A:A,"",0,1))</f>
        <v/>
      </c>
      <c r="C949" s="14" t="str">
        <f t="array" ref="C949">IF(OR(G949="",G949="Selecciona.."),"",XLOOKUP(G949,Productos!$E:$E,Productos!$A:$A,"",0,1))</f>
        <v/>
      </c>
      <c r="D949" s="14" t="str">
        <f t="shared" si="2"/>
        <v/>
      </c>
      <c r="E949" s="14"/>
      <c r="F949" s="15" t="str">
        <f t="shared" si="4"/>
        <v/>
      </c>
      <c r="G949" s="15" t="str">
        <f t="shared" ref="G949:H949" si="946">IF(OR(F949="",F949="Selecciona.."),"","Selecciona..")</f>
        <v/>
      </c>
      <c r="H949" s="13" t="str">
        <f t="shared" si="946"/>
        <v/>
      </c>
    </row>
    <row r="950">
      <c r="A950" s="14" t="str">
        <f t="shared" si="1"/>
        <v/>
      </c>
      <c r="B950" s="14" t="str">
        <f t="array" ref="B950">IF(OR(F950="",F950="Selecciona.."),"",XLOOKUP(F950,Productos!E:E,Productos!A:A,"",0,1))</f>
        <v/>
      </c>
      <c r="C950" s="14" t="str">
        <f t="array" ref="C950">IF(OR(G950="",G950="Selecciona.."),"",XLOOKUP(G950,Productos!$E:$E,Productos!$A:$A,"",0,1))</f>
        <v/>
      </c>
      <c r="D950" s="14" t="str">
        <f t="shared" si="2"/>
        <v/>
      </c>
      <c r="E950" s="14"/>
      <c r="F950" s="15" t="str">
        <f t="shared" si="4"/>
        <v/>
      </c>
      <c r="G950" s="15" t="str">
        <f t="shared" ref="G950:H950" si="947">IF(OR(F950="",F950="Selecciona.."),"","Selecciona..")</f>
        <v/>
      </c>
      <c r="H950" s="13" t="str">
        <f t="shared" si="947"/>
        <v/>
      </c>
    </row>
    <row r="951">
      <c r="A951" s="14" t="str">
        <f t="shared" si="1"/>
        <v/>
      </c>
      <c r="B951" s="14" t="str">
        <f t="array" ref="B951">IF(OR(F951="",F951="Selecciona.."),"",XLOOKUP(F951,Productos!E:E,Productos!A:A,"",0,1))</f>
        <v/>
      </c>
      <c r="C951" s="14" t="str">
        <f t="array" ref="C951">IF(OR(G951="",G951="Selecciona.."),"",XLOOKUP(G951,Productos!$E:$E,Productos!$A:$A,"",0,1))</f>
        <v/>
      </c>
      <c r="D951" s="14" t="str">
        <f t="shared" si="2"/>
        <v/>
      </c>
      <c r="E951" s="14"/>
      <c r="F951" s="15" t="str">
        <f t="shared" si="4"/>
        <v/>
      </c>
      <c r="G951" s="15" t="str">
        <f t="shared" ref="G951:H951" si="948">IF(OR(F951="",F951="Selecciona.."),"","Selecciona..")</f>
        <v/>
      </c>
      <c r="H951" s="13" t="str">
        <f t="shared" si="948"/>
        <v/>
      </c>
    </row>
    <row r="952">
      <c r="A952" s="14" t="str">
        <f t="shared" si="1"/>
        <v/>
      </c>
      <c r="B952" s="14" t="str">
        <f t="array" ref="B952">IF(OR(F952="",F952="Selecciona.."),"",XLOOKUP(F952,Productos!E:E,Productos!A:A,"",0,1))</f>
        <v/>
      </c>
      <c r="C952" s="14" t="str">
        <f t="array" ref="C952">IF(OR(G952="",G952="Selecciona.."),"",XLOOKUP(G952,Productos!$E:$E,Productos!$A:$A,"",0,1))</f>
        <v/>
      </c>
      <c r="D952" s="14" t="str">
        <f t="shared" si="2"/>
        <v/>
      </c>
      <c r="E952" s="14"/>
      <c r="F952" s="15" t="str">
        <f t="shared" si="4"/>
        <v/>
      </c>
      <c r="G952" s="15" t="str">
        <f t="shared" ref="G952:H952" si="949">IF(OR(F952="",F952="Selecciona.."),"","Selecciona..")</f>
        <v/>
      </c>
      <c r="H952" s="13" t="str">
        <f t="shared" si="949"/>
        <v/>
      </c>
    </row>
    <row r="953">
      <c r="A953" s="14" t="str">
        <f t="shared" si="1"/>
        <v/>
      </c>
      <c r="B953" s="14" t="str">
        <f t="array" ref="B953">IF(OR(F953="",F953="Selecciona.."),"",XLOOKUP(F953,Productos!E:E,Productos!A:A,"",0,1))</f>
        <v/>
      </c>
      <c r="C953" s="14" t="str">
        <f t="array" ref="C953">IF(OR(G953="",G953="Selecciona.."),"",XLOOKUP(G953,Productos!$E:$E,Productos!$A:$A,"",0,1))</f>
        <v/>
      </c>
      <c r="D953" s="14" t="str">
        <f t="shared" si="2"/>
        <v/>
      </c>
      <c r="E953" s="14"/>
      <c r="F953" s="15" t="str">
        <f t="shared" si="4"/>
        <v/>
      </c>
      <c r="G953" s="15" t="str">
        <f t="shared" ref="G953:H953" si="950">IF(OR(F953="",F953="Selecciona.."),"","Selecciona..")</f>
        <v/>
      </c>
      <c r="H953" s="13" t="str">
        <f t="shared" si="950"/>
        <v/>
      </c>
    </row>
    <row r="954">
      <c r="A954" s="14" t="str">
        <f t="shared" si="1"/>
        <v/>
      </c>
      <c r="B954" s="14" t="str">
        <f t="array" ref="B954">IF(OR(F954="",F954="Selecciona.."),"",XLOOKUP(F954,Productos!E:E,Productos!A:A,"",0,1))</f>
        <v/>
      </c>
      <c r="C954" s="14" t="str">
        <f t="array" ref="C954">IF(OR(G954="",G954="Selecciona.."),"",XLOOKUP(G954,Productos!$E:$E,Productos!$A:$A,"",0,1))</f>
        <v/>
      </c>
      <c r="D954" s="14" t="str">
        <f t="shared" si="2"/>
        <v/>
      </c>
      <c r="E954" s="14"/>
      <c r="F954" s="15" t="str">
        <f t="shared" si="4"/>
        <v/>
      </c>
      <c r="G954" s="15" t="str">
        <f t="shared" ref="G954:H954" si="951">IF(OR(F954="",F954="Selecciona.."),"","Selecciona..")</f>
        <v/>
      </c>
      <c r="H954" s="13" t="str">
        <f t="shared" si="951"/>
        <v/>
      </c>
    </row>
    <row r="955">
      <c r="A955" s="14" t="str">
        <f t="shared" si="1"/>
        <v/>
      </c>
      <c r="B955" s="14" t="str">
        <f t="array" ref="B955">IF(OR(F955="",F955="Selecciona.."),"",XLOOKUP(F955,Productos!E:E,Productos!A:A,"",0,1))</f>
        <v/>
      </c>
      <c r="C955" s="14" t="str">
        <f t="array" ref="C955">IF(OR(G955="",G955="Selecciona.."),"",XLOOKUP(G955,Productos!$E:$E,Productos!$A:$A,"",0,1))</f>
        <v/>
      </c>
      <c r="D955" s="14" t="str">
        <f t="shared" si="2"/>
        <v/>
      </c>
      <c r="E955" s="14"/>
      <c r="F955" s="15" t="str">
        <f t="shared" si="4"/>
        <v/>
      </c>
      <c r="G955" s="15" t="str">
        <f t="shared" ref="G955:H955" si="952">IF(OR(F955="",F955="Selecciona.."),"","Selecciona..")</f>
        <v/>
      </c>
      <c r="H955" s="13" t="str">
        <f t="shared" si="952"/>
        <v/>
      </c>
    </row>
    <row r="956">
      <c r="A956" s="14" t="str">
        <f t="shared" si="1"/>
        <v/>
      </c>
      <c r="B956" s="14" t="str">
        <f t="array" ref="B956">IF(OR(F956="",F956="Selecciona.."),"",XLOOKUP(F956,Productos!E:E,Productos!A:A,"",0,1))</f>
        <v/>
      </c>
      <c r="C956" s="14" t="str">
        <f t="array" ref="C956">IF(OR(G956="",G956="Selecciona.."),"",XLOOKUP(G956,Productos!$E:$E,Productos!$A:$A,"",0,1))</f>
        <v/>
      </c>
      <c r="D956" s="14" t="str">
        <f t="shared" si="2"/>
        <v/>
      </c>
      <c r="E956" s="14"/>
      <c r="F956" s="15" t="str">
        <f t="shared" si="4"/>
        <v/>
      </c>
      <c r="G956" s="15" t="str">
        <f t="shared" ref="G956:H956" si="953">IF(OR(F956="",F956="Selecciona.."),"","Selecciona..")</f>
        <v/>
      </c>
      <c r="H956" s="13" t="str">
        <f t="shared" si="953"/>
        <v/>
      </c>
    </row>
    <row r="957">
      <c r="A957" s="14" t="str">
        <f t="shared" si="1"/>
        <v/>
      </c>
      <c r="B957" s="14" t="str">
        <f t="array" ref="B957">IF(OR(F957="",F957="Selecciona.."),"",XLOOKUP(F957,Productos!E:E,Productos!A:A,"",0,1))</f>
        <v/>
      </c>
      <c r="C957" s="14" t="str">
        <f t="array" ref="C957">IF(OR(G957="",G957="Selecciona.."),"",XLOOKUP(G957,Productos!$E:$E,Productos!$A:$A,"",0,1))</f>
        <v/>
      </c>
      <c r="D957" s="14" t="str">
        <f t="shared" si="2"/>
        <v/>
      </c>
      <c r="E957" s="14"/>
      <c r="F957" s="15" t="str">
        <f t="shared" si="4"/>
        <v/>
      </c>
      <c r="G957" s="15" t="str">
        <f t="shared" ref="G957:H957" si="954">IF(OR(F957="",F957="Selecciona.."),"","Selecciona..")</f>
        <v/>
      </c>
      <c r="H957" s="13" t="str">
        <f t="shared" si="954"/>
        <v/>
      </c>
    </row>
    <row r="958">
      <c r="A958" s="14" t="str">
        <f t="shared" si="1"/>
        <v/>
      </c>
      <c r="B958" s="14" t="str">
        <f t="array" ref="B958">IF(OR(F958="",F958="Selecciona.."),"",XLOOKUP(F958,Productos!E:E,Productos!A:A,"",0,1))</f>
        <v/>
      </c>
      <c r="C958" s="14" t="str">
        <f t="array" ref="C958">IF(OR(G958="",G958="Selecciona.."),"",XLOOKUP(G958,Productos!$E:$E,Productos!$A:$A,"",0,1))</f>
        <v/>
      </c>
      <c r="D958" s="14" t="str">
        <f t="shared" si="2"/>
        <v/>
      </c>
      <c r="E958" s="14"/>
      <c r="F958" s="15" t="str">
        <f t="shared" si="4"/>
        <v/>
      </c>
      <c r="G958" s="15" t="str">
        <f t="shared" ref="G958:H958" si="955">IF(OR(F958="",F958="Selecciona.."),"","Selecciona..")</f>
        <v/>
      </c>
      <c r="H958" s="13" t="str">
        <f t="shared" si="955"/>
        <v/>
      </c>
    </row>
    <row r="959">
      <c r="A959" s="14" t="str">
        <f t="shared" si="1"/>
        <v/>
      </c>
      <c r="B959" s="14" t="str">
        <f t="array" ref="B959">IF(OR(F959="",F959="Selecciona.."),"",XLOOKUP(F959,Productos!E:E,Productos!A:A,"",0,1))</f>
        <v/>
      </c>
      <c r="C959" s="14" t="str">
        <f t="array" ref="C959">IF(OR(G959="",G959="Selecciona.."),"",XLOOKUP(G959,Productos!$E:$E,Productos!$A:$A,"",0,1))</f>
        <v/>
      </c>
      <c r="D959" s="14" t="str">
        <f t="shared" si="2"/>
        <v/>
      </c>
      <c r="E959" s="14"/>
      <c r="F959" s="15" t="str">
        <f t="shared" si="4"/>
        <v/>
      </c>
      <c r="G959" s="15" t="str">
        <f t="shared" ref="G959:H959" si="956">IF(OR(F959="",F959="Selecciona.."),"","Selecciona..")</f>
        <v/>
      </c>
      <c r="H959" s="13" t="str">
        <f t="shared" si="956"/>
        <v/>
      </c>
    </row>
    <row r="960">
      <c r="A960" s="14" t="str">
        <f t="shared" si="1"/>
        <v/>
      </c>
      <c r="B960" s="14" t="str">
        <f t="array" ref="B960">IF(OR(F960="",F960="Selecciona.."),"",XLOOKUP(F960,Productos!E:E,Productos!A:A,"",0,1))</f>
        <v/>
      </c>
      <c r="C960" s="14" t="str">
        <f t="array" ref="C960">IF(OR(G960="",G960="Selecciona.."),"",XLOOKUP(G960,Productos!$E:$E,Productos!$A:$A,"",0,1))</f>
        <v/>
      </c>
      <c r="D960" s="14" t="str">
        <f t="shared" si="2"/>
        <v/>
      </c>
      <c r="E960" s="14"/>
      <c r="F960" s="15" t="str">
        <f t="shared" si="4"/>
        <v/>
      </c>
      <c r="G960" s="15" t="str">
        <f t="shared" ref="G960:H960" si="957">IF(OR(F960="",F960="Selecciona.."),"","Selecciona..")</f>
        <v/>
      </c>
      <c r="H960" s="13" t="str">
        <f t="shared" si="957"/>
        <v/>
      </c>
    </row>
    <row r="961">
      <c r="A961" s="14" t="str">
        <f t="shared" si="1"/>
        <v/>
      </c>
      <c r="B961" s="14" t="str">
        <f t="array" ref="B961">IF(OR(F961="",F961="Selecciona.."),"",XLOOKUP(F961,Productos!E:E,Productos!A:A,"",0,1))</f>
        <v/>
      </c>
      <c r="C961" s="14" t="str">
        <f t="array" ref="C961">IF(OR(G961="",G961="Selecciona.."),"",XLOOKUP(G961,Productos!$E:$E,Productos!$A:$A,"",0,1))</f>
        <v/>
      </c>
      <c r="D961" s="14" t="str">
        <f t="shared" si="2"/>
        <v/>
      </c>
      <c r="E961" s="14"/>
      <c r="F961" s="15" t="str">
        <f t="shared" si="4"/>
        <v/>
      </c>
      <c r="G961" s="15" t="str">
        <f t="shared" ref="G961:H961" si="958">IF(OR(F961="",F961="Selecciona.."),"","Selecciona..")</f>
        <v/>
      </c>
      <c r="H961" s="13" t="str">
        <f t="shared" si="958"/>
        <v/>
      </c>
    </row>
    <row r="962">
      <c r="A962" s="14" t="str">
        <f t="shared" si="1"/>
        <v/>
      </c>
      <c r="B962" s="14" t="str">
        <f t="array" ref="B962">IF(OR(F962="",F962="Selecciona.."),"",XLOOKUP(F962,Productos!E:E,Productos!A:A,"",0,1))</f>
        <v/>
      </c>
      <c r="C962" s="14" t="str">
        <f t="array" ref="C962">IF(OR(G962="",G962="Selecciona.."),"",XLOOKUP(G962,Productos!$E:$E,Productos!$A:$A,"",0,1))</f>
        <v/>
      </c>
      <c r="D962" s="14" t="str">
        <f t="shared" si="2"/>
        <v/>
      </c>
      <c r="E962" s="14"/>
      <c r="F962" s="15" t="str">
        <f t="shared" si="4"/>
        <v/>
      </c>
      <c r="G962" s="15" t="str">
        <f t="shared" ref="G962:H962" si="959">IF(OR(F962="",F962="Selecciona.."),"","Selecciona..")</f>
        <v/>
      </c>
      <c r="H962" s="13" t="str">
        <f t="shared" si="959"/>
        <v/>
      </c>
    </row>
    <row r="963">
      <c r="A963" s="14" t="str">
        <f t="shared" si="1"/>
        <v/>
      </c>
      <c r="B963" s="14" t="str">
        <f t="array" ref="B963">IF(OR(F963="",F963="Selecciona.."),"",XLOOKUP(F963,Productos!E:E,Productos!A:A,"",0,1))</f>
        <v/>
      </c>
      <c r="C963" s="14" t="str">
        <f t="array" ref="C963">IF(OR(G963="",G963="Selecciona.."),"",XLOOKUP(G963,Productos!$E:$E,Productos!$A:$A,"",0,1))</f>
        <v/>
      </c>
      <c r="D963" s="14" t="str">
        <f t="shared" si="2"/>
        <v/>
      </c>
      <c r="E963" s="14"/>
      <c r="F963" s="15" t="str">
        <f t="shared" si="4"/>
        <v/>
      </c>
      <c r="G963" s="15" t="str">
        <f t="shared" ref="G963:H963" si="960">IF(OR(F963="",F963="Selecciona.."),"","Selecciona..")</f>
        <v/>
      </c>
      <c r="H963" s="13" t="str">
        <f t="shared" si="960"/>
        <v/>
      </c>
    </row>
    <row r="964">
      <c r="A964" s="14" t="str">
        <f t="shared" si="1"/>
        <v/>
      </c>
      <c r="B964" s="14" t="str">
        <f t="array" ref="B964">IF(OR(F964="",F964="Selecciona.."),"",XLOOKUP(F964,Productos!E:E,Productos!A:A,"",0,1))</f>
        <v/>
      </c>
      <c r="C964" s="14" t="str">
        <f t="array" ref="C964">IF(OR(G964="",G964="Selecciona.."),"",XLOOKUP(G964,Productos!$E:$E,Productos!$A:$A,"",0,1))</f>
        <v/>
      </c>
      <c r="D964" s="14" t="str">
        <f t="shared" si="2"/>
        <v/>
      </c>
      <c r="E964" s="14"/>
      <c r="F964" s="15" t="str">
        <f t="shared" si="4"/>
        <v/>
      </c>
      <c r="G964" s="15" t="str">
        <f t="shared" ref="G964:H964" si="961">IF(OR(F964="",F964="Selecciona.."),"","Selecciona..")</f>
        <v/>
      </c>
      <c r="H964" s="13" t="str">
        <f t="shared" si="961"/>
        <v/>
      </c>
    </row>
    <row r="965">
      <c r="A965" s="14" t="str">
        <f t="shared" si="1"/>
        <v/>
      </c>
      <c r="B965" s="14" t="str">
        <f t="array" ref="B965">IF(OR(F965="",F965="Selecciona.."),"",XLOOKUP(F965,Productos!E:E,Productos!A:A,"",0,1))</f>
        <v/>
      </c>
      <c r="C965" s="14" t="str">
        <f t="array" ref="C965">IF(OR(G965="",G965="Selecciona.."),"",XLOOKUP(G965,Productos!$E:$E,Productos!$A:$A,"",0,1))</f>
        <v/>
      </c>
      <c r="D965" s="14" t="str">
        <f t="shared" si="2"/>
        <v/>
      </c>
      <c r="E965" s="14"/>
      <c r="F965" s="15" t="str">
        <f t="shared" si="4"/>
        <v/>
      </c>
      <c r="G965" s="15" t="str">
        <f t="shared" ref="G965:H965" si="962">IF(OR(F965="",F965="Selecciona.."),"","Selecciona..")</f>
        <v/>
      </c>
      <c r="H965" s="13" t="str">
        <f t="shared" si="962"/>
        <v/>
      </c>
    </row>
    <row r="966">
      <c r="A966" s="14" t="str">
        <f t="shared" si="1"/>
        <v/>
      </c>
      <c r="B966" s="14" t="str">
        <f t="array" ref="B966">IF(OR(F966="",F966="Selecciona.."),"",XLOOKUP(F966,Productos!E:E,Productos!A:A,"",0,1))</f>
        <v/>
      </c>
      <c r="C966" s="14" t="str">
        <f t="array" ref="C966">IF(OR(G966="",G966="Selecciona.."),"",XLOOKUP(G966,Productos!$E:$E,Productos!$A:$A,"",0,1))</f>
        <v/>
      </c>
      <c r="D966" s="14" t="str">
        <f t="shared" si="2"/>
        <v/>
      </c>
      <c r="E966" s="14"/>
      <c r="F966" s="15" t="str">
        <f t="shared" si="4"/>
        <v/>
      </c>
      <c r="G966" s="15" t="str">
        <f t="shared" ref="G966:H966" si="963">IF(OR(F966="",F966="Selecciona.."),"","Selecciona..")</f>
        <v/>
      </c>
      <c r="H966" s="13" t="str">
        <f t="shared" si="963"/>
        <v/>
      </c>
    </row>
    <row r="967">
      <c r="A967" s="14" t="str">
        <f t="shared" si="1"/>
        <v/>
      </c>
      <c r="B967" s="14" t="str">
        <f t="array" ref="B967">IF(OR(F967="",F967="Selecciona.."),"",XLOOKUP(F967,Productos!E:E,Productos!A:A,"",0,1))</f>
        <v/>
      </c>
      <c r="C967" s="14" t="str">
        <f t="array" ref="C967">IF(OR(G967="",G967="Selecciona.."),"",XLOOKUP(G967,Productos!$E:$E,Productos!$A:$A,"",0,1))</f>
        <v/>
      </c>
      <c r="D967" s="14" t="str">
        <f t="shared" si="2"/>
        <v/>
      </c>
      <c r="E967" s="14"/>
      <c r="F967" s="15" t="str">
        <f t="shared" si="4"/>
        <v/>
      </c>
      <c r="G967" s="15" t="str">
        <f t="shared" ref="G967:H967" si="964">IF(OR(F967="",F967="Selecciona.."),"","Selecciona..")</f>
        <v/>
      </c>
      <c r="H967" s="13" t="str">
        <f t="shared" si="964"/>
        <v/>
      </c>
    </row>
    <row r="968">
      <c r="A968" s="14" t="str">
        <f t="shared" si="1"/>
        <v/>
      </c>
      <c r="B968" s="14" t="str">
        <f t="array" ref="B968">IF(OR(F968="",F968="Selecciona.."),"",XLOOKUP(F968,Productos!E:E,Productos!A:A,"",0,1))</f>
        <v/>
      </c>
      <c r="C968" s="14" t="str">
        <f t="array" ref="C968">IF(OR(G968="",G968="Selecciona.."),"",XLOOKUP(G968,Productos!$E:$E,Productos!$A:$A,"",0,1))</f>
        <v/>
      </c>
      <c r="D968" s="14" t="str">
        <f t="shared" si="2"/>
        <v/>
      </c>
      <c r="E968" s="14"/>
      <c r="F968" s="15" t="str">
        <f t="shared" si="4"/>
        <v/>
      </c>
      <c r="G968" s="15" t="str">
        <f t="shared" ref="G968:H968" si="965">IF(OR(F968="",F968="Selecciona.."),"","Selecciona..")</f>
        <v/>
      </c>
      <c r="H968" s="13" t="str">
        <f t="shared" si="965"/>
        <v/>
      </c>
    </row>
    <row r="969">
      <c r="A969" s="14" t="str">
        <f t="shared" si="1"/>
        <v/>
      </c>
      <c r="B969" s="14" t="str">
        <f t="array" ref="B969">IF(OR(F969="",F969="Selecciona.."),"",XLOOKUP(F969,Productos!E:E,Productos!A:A,"",0,1))</f>
        <v/>
      </c>
      <c r="C969" s="14" t="str">
        <f t="array" ref="C969">IF(OR(G969="",G969="Selecciona.."),"",XLOOKUP(G969,Productos!$E:$E,Productos!$A:$A,"",0,1))</f>
        <v/>
      </c>
      <c r="D969" s="14" t="str">
        <f t="shared" si="2"/>
        <v/>
      </c>
      <c r="E969" s="14"/>
      <c r="F969" s="15" t="str">
        <f t="shared" si="4"/>
        <v/>
      </c>
      <c r="G969" s="15" t="str">
        <f t="shared" ref="G969:H969" si="966">IF(OR(F969="",F969="Selecciona.."),"","Selecciona..")</f>
        <v/>
      </c>
      <c r="H969" s="13" t="str">
        <f t="shared" si="966"/>
        <v/>
      </c>
    </row>
    <row r="970">
      <c r="A970" s="14" t="str">
        <f t="shared" si="1"/>
        <v/>
      </c>
      <c r="B970" s="14" t="str">
        <f t="array" ref="B970">IF(OR(F970="",F970="Selecciona.."),"",XLOOKUP(F970,Productos!E:E,Productos!A:A,"",0,1))</f>
        <v/>
      </c>
      <c r="C970" s="14" t="str">
        <f t="array" ref="C970">IF(OR(G970="",G970="Selecciona.."),"",XLOOKUP(G970,Productos!$E:$E,Productos!$A:$A,"",0,1))</f>
        <v/>
      </c>
      <c r="D970" s="14" t="str">
        <f t="shared" si="2"/>
        <v/>
      </c>
      <c r="E970" s="14"/>
      <c r="F970" s="15" t="str">
        <f t="shared" si="4"/>
        <v/>
      </c>
      <c r="G970" s="15" t="str">
        <f t="shared" ref="G970:H970" si="967">IF(OR(F970="",F970="Selecciona.."),"","Selecciona..")</f>
        <v/>
      </c>
      <c r="H970" s="13" t="str">
        <f t="shared" si="967"/>
        <v/>
      </c>
    </row>
    <row r="971">
      <c r="A971" s="14" t="str">
        <f t="shared" si="1"/>
        <v/>
      </c>
      <c r="B971" s="14" t="str">
        <f t="array" ref="B971">IF(OR(F971="",F971="Selecciona.."),"",XLOOKUP(F971,Productos!E:E,Productos!A:A,"",0,1))</f>
        <v/>
      </c>
      <c r="C971" s="14" t="str">
        <f t="array" ref="C971">IF(OR(G971="",G971="Selecciona.."),"",XLOOKUP(G971,Productos!$E:$E,Productos!$A:$A,"",0,1))</f>
        <v/>
      </c>
      <c r="D971" s="14" t="str">
        <f t="shared" si="2"/>
        <v/>
      </c>
      <c r="E971" s="14"/>
      <c r="F971" s="15" t="str">
        <f t="shared" si="4"/>
        <v/>
      </c>
      <c r="G971" s="15" t="str">
        <f t="shared" ref="G971:H971" si="968">IF(OR(F971="",F971="Selecciona.."),"","Selecciona..")</f>
        <v/>
      </c>
      <c r="H971" s="13" t="str">
        <f t="shared" si="968"/>
        <v/>
      </c>
    </row>
    <row r="972">
      <c r="A972" s="14" t="str">
        <f t="shared" si="1"/>
        <v/>
      </c>
      <c r="B972" s="14" t="str">
        <f t="array" ref="B972">IF(OR(F972="",F972="Selecciona.."),"",XLOOKUP(F972,Productos!E:E,Productos!A:A,"",0,1))</f>
        <v/>
      </c>
      <c r="C972" s="14" t="str">
        <f t="array" ref="C972">IF(OR(G972="",G972="Selecciona.."),"",XLOOKUP(G972,Productos!$E:$E,Productos!$A:$A,"",0,1))</f>
        <v/>
      </c>
      <c r="D972" s="14" t="str">
        <f t="shared" si="2"/>
        <v/>
      </c>
      <c r="E972" s="14"/>
      <c r="F972" s="15" t="str">
        <f t="shared" si="4"/>
        <v/>
      </c>
      <c r="G972" s="15" t="str">
        <f t="shared" ref="G972:H972" si="969">IF(OR(F972="",F972="Selecciona.."),"","Selecciona..")</f>
        <v/>
      </c>
      <c r="H972" s="13" t="str">
        <f t="shared" si="969"/>
        <v/>
      </c>
    </row>
    <row r="973">
      <c r="A973" s="14" t="str">
        <f t="shared" si="1"/>
        <v/>
      </c>
      <c r="B973" s="14" t="str">
        <f t="array" ref="B973">IF(OR(F973="",F973="Selecciona.."),"",XLOOKUP(F973,Productos!E:E,Productos!A:A,"",0,1))</f>
        <v/>
      </c>
      <c r="C973" s="14" t="str">
        <f t="array" ref="C973">IF(OR(G973="",G973="Selecciona.."),"",XLOOKUP(G973,Productos!$E:$E,Productos!$A:$A,"",0,1))</f>
        <v/>
      </c>
      <c r="D973" s="14" t="str">
        <f t="shared" si="2"/>
        <v/>
      </c>
      <c r="E973" s="14"/>
      <c r="F973" s="15" t="str">
        <f t="shared" si="4"/>
        <v/>
      </c>
      <c r="G973" s="15" t="str">
        <f t="shared" ref="G973:H973" si="970">IF(OR(F973="",F973="Selecciona.."),"","Selecciona..")</f>
        <v/>
      </c>
      <c r="H973" s="13" t="str">
        <f t="shared" si="970"/>
        <v/>
      </c>
    </row>
    <row r="974">
      <c r="A974" s="14" t="str">
        <f t="shared" si="1"/>
        <v/>
      </c>
      <c r="B974" s="14" t="str">
        <f t="array" ref="B974">IF(OR(F974="",F974="Selecciona.."),"",XLOOKUP(F974,Productos!E:E,Productos!A:A,"",0,1))</f>
        <v/>
      </c>
      <c r="C974" s="14" t="str">
        <f t="array" ref="C974">IF(OR(G974="",G974="Selecciona.."),"",XLOOKUP(G974,Productos!$E:$E,Productos!$A:$A,"",0,1))</f>
        <v/>
      </c>
      <c r="D974" s="14" t="str">
        <f t="shared" si="2"/>
        <v/>
      </c>
      <c r="E974" s="14"/>
      <c r="F974" s="15" t="str">
        <f t="shared" si="4"/>
        <v/>
      </c>
      <c r="G974" s="15" t="str">
        <f t="shared" ref="G974:H974" si="971">IF(OR(F974="",F974="Selecciona.."),"","Selecciona..")</f>
        <v/>
      </c>
      <c r="H974" s="13" t="str">
        <f t="shared" si="971"/>
        <v/>
      </c>
    </row>
    <row r="975">
      <c r="A975" s="14" t="str">
        <f t="shared" si="1"/>
        <v/>
      </c>
      <c r="B975" s="14" t="str">
        <f t="array" ref="B975">IF(OR(F975="",F975="Selecciona.."),"",XLOOKUP(F975,Productos!E:E,Productos!A:A,"",0,1))</f>
        <v/>
      </c>
      <c r="C975" s="14" t="str">
        <f t="array" ref="C975">IF(OR(G975="",G975="Selecciona.."),"",XLOOKUP(G975,Productos!$E:$E,Productos!$A:$A,"",0,1))</f>
        <v/>
      </c>
      <c r="D975" s="14" t="str">
        <f t="shared" si="2"/>
        <v/>
      </c>
      <c r="E975" s="14"/>
      <c r="F975" s="15" t="str">
        <f t="shared" si="4"/>
        <v/>
      </c>
      <c r="G975" s="15" t="str">
        <f t="shared" ref="G975:H975" si="972">IF(OR(F975="",F975="Selecciona.."),"","Selecciona..")</f>
        <v/>
      </c>
      <c r="H975" s="13" t="str">
        <f t="shared" si="972"/>
        <v/>
      </c>
    </row>
    <row r="976">
      <c r="A976" s="14" t="str">
        <f t="shared" si="1"/>
        <v/>
      </c>
      <c r="B976" s="14" t="str">
        <f t="array" ref="B976">IF(OR(F976="",F976="Selecciona.."),"",XLOOKUP(F976,Productos!E:E,Productos!A:A,"",0,1))</f>
        <v/>
      </c>
      <c r="C976" s="14" t="str">
        <f t="array" ref="C976">IF(OR(G976="",G976="Selecciona.."),"",XLOOKUP(G976,Productos!$E:$E,Productos!$A:$A,"",0,1))</f>
        <v/>
      </c>
      <c r="D976" s="14" t="str">
        <f t="shared" si="2"/>
        <v/>
      </c>
      <c r="E976" s="14"/>
      <c r="F976" s="15" t="str">
        <f t="shared" si="4"/>
        <v/>
      </c>
      <c r="G976" s="15" t="str">
        <f t="shared" ref="G976:H976" si="973">IF(OR(F976="",F976="Selecciona.."),"","Selecciona..")</f>
        <v/>
      </c>
      <c r="H976" s="13" t="str">
        <f t="shared" si="973"/>
        <v/>
      </c>
    </row>
    <row r="977">
      <c r="A977" s="14" t="str">
        <f t="shared" si="1"/>
        <v/>
      </c>
      <c r="B977" s="14" t="str">
        <f t="array" ref="B977">IF(OR(F977="",F977="Selecciona.."),"",XLOOKUP(F977,Productos!E:E,Productos!A:A,"",0,1))</f>
        <v/>
      </c>
      <c r="C977" s="14" t="str">
        <f t="array" ref="C977">IF(OR(G977="",G977="Selecciona.."),"",XLOOKUP(G977,Productos!$E:$E,Productos!$A:$A,"",0,1))</f>
        <v/>
      </c>
      <c r="D977" s="14" t="str">
        <f t="shared" si="2"/>
        <v/>
      </c>
      <c r="E977" s="14"/>
      <c r="F977" s="15" t="str">
        <f t="shared" si="4"/>
        <v/>
      </c>
      <c r="G977" s="15" t="str">
        <f t="shared" ref="G977:H977" si="974">IF(OR(F977="",F977="Selecciona.."),"","Selecciona..")</f>
        <v/>
      </c>
      <c r="H977" s="13" t="str">
        <f t="shared" si="974"/>
        <v/>
      </c>
    </row>
    <row r="978">
      <c r="A978" s="14" t="str">
        <f t="shared" si="1"/>
        <v/>
      </c>
      <c r="B978" s="14" t="str">
        <f t="array" ref="B978">IF(OR(F978="",F978="Selecciona.."),"",XLOOKUP(F978,Productos!E:E,Productos!A:A,"",0,1))</f>
        <v/>
      </c>
      <c r="C978" s="14" t="str">
        <f t="array" ref="C978">IF(OR(G978="",G978="Selecciona.."),"",XLOOKUP(G978,Productos!$E:$E,Productos!$A:$A,"",0,1))</f>
        <v/>
      </c>
      <c r="D978" s="14" t="str">
        <f t="shared" si="2"/>
        <v/>
      </c>
      <c r="E978" s="14"/>
      <c r="F978" s="15" t="str">
        <f t="shared" si="4"/>
        <v/>
      </c>
      <c r="G978" s="15" t="str">
        <f t="shared" ref="G978:H978" si="975">IF(OR(F978="",F978="Selecciona.."),"","Selecciona..")</f>
        <v/>
      </c>
      <c r="H978" s="13" t="str">
        <f t="shared" si="975"/>
        <v/>
      </c>
    </row>
    <row r="979">
      <c r="A979" s="14" t="str">
        <f t="shared" si="1"/>
        <v/>
      </c>
      <c r="B979" s="14" t="str">
        <f t="array" ref="B979">IF(OR(F979="",F979="Selecciona.."),"",XLOOKUP(F979,Productos!E:E,Productos!A:A,"",0,1))</f>
        <v/>
      </c>
      <c r="C979" s="14" t="str">
        <f t="array" ref="C979">IF(OR(G979="",G979="Selecciona.."),"",XLOOKUP(G979,Productos!$E:$E,Productos!$A:$A,"",0,1))</f>
        <v/>
      </c>
      <c r="D979" s="14" t="str">
        <f t="shared" si="2"/>
        <v/>
      </c>
      <c r="E979" s="14"/>
      <c r="F979" s="15" t="str">
        <f t="shared" si="4"/>
        <v/>
      </c>
      <c r="G979" s="15" t="str">
        <f t="shared" ref="G979:H979" si="976">IF(OR(F979="",F979="Selecciona.."),"","Selecciona..")</f>
        <v/>
      </c>
      <c r="H979" s="13" t="str">
        <f t="shared" si="976"/>
        <v/>
      </c>
    </row>
    <row r="980">
      <c r="A980" s="14" t="str">
        <f t="shared" si="1"/>
        <v/>
      </c>
      <c r="B980" s="14" t="str">
        <f t="array" ref="B980">IF(OR(F980="",F980="Selecciona.."),"",XLOOKUP(F980,Productos!E:E,Productos!A:A,"",0,1))</f>
        <v/>
      </c>
      <c r="C980" s="14" t="str">
        <f t="array" ref="C980">IF(OR(G980="",G980="Selecciona.."),"",XLOOKUP(G980,Productos!$E:$E,Productos!$A:$A,"",0,1))</f>
        <v/>
      </c>
      <c r="D980" s="14" t="str">
        <f t="shared" si="2"/>
        <v/>
      </c>
      <c r="E980" s="14"/>
      <c r="F980" s="15" t="str">
        <f t="shared" si="4"/>
        <v/>
      </c>
      <c r="G980" s="15" t="str">
        <f t="shared" ref="G980:H980" si="977">IF(OR(F980="",F980="Selecciona.."),"","Selecciona..")</f>
        <v/>
      </c>
      <c r="H980" s="13" t="str">
        <f t="shared" si="977"/>
        <v/>
      </c>
    </row>
    <row r="981">
      <c r="A981" s="14" t="str">
        <f t="shared" si="1"/>
        <v/>
      </c>
      <c r="B981" s="14" t="str">
        <f t="array" ref="B981">IF(OR(F981="",F981="Selecciona.."),"",XLOOKUP(F981,Productos!E:E,Productos!A:A,"",0,1))</f>
        <v/>
      </c>
      <c r="C981" s="14" t="str">
        <f t="array" ref="C981">IF(OR(G981="",G981="Selecciona.."),"",XLOOKUP(G981,Productos!$E:$E,Productos!$A:$A,"",0,1))</f>
        <v/>
      </c>
      <c r="D981" s="14" t="str">
        <f t="shared" si="2"/>
        <v/>
      </c>
      <c r="E981" s="14"/>
      <c r="F981" s="15" t="str">
        <f t="shared" si="4"/>
        <v/>
      </c>
      <c r="G981" s="15" t="str">
        <f t="shared" ref="G981:H981" si="978">IF(OR(F981="",F981="Selecciona.."),"","Selecciona..")</f>
        <v/>
      </c>
      <c r="H981" s="13" t="str">
        <f t="shared" si="978"/>
        <v/>
      </c>
    </row>
    <row r="982">
      <c r="A982" s="14" t="str">
        <f t="shared" si="1"/>
        <v/>
      </c>
      <c r="B982" s="14" t="str">
        <f t="array" ref="B982">IF(OR(F982="",F982="Selecciona.."),"",XLOOKUP(F982,Productos!E:E,Productos!A:A,"",0,1))</f>
        <v/>
      </c>
      <c r="C982" s="14" t="str">
        <f t="array" ref="C982">IF(OR(G982="",G982="Selecciona.."),"",XLOOKUP(G982,Productos!$E:$E,Productos!$A:$A,"",0,1))</f>
        <v/>
      </c>
      <c r="D982" s="14" t="str">
        <f t="shared" si="2"/>
        <v/>
      </c>
      <c r="E982" s="14"/>
      <c r="F982" s="15" t="str">
        <f t="shared" si="4"/>
        <v/>
      </c>
      <c r="G982" s="15" t="str">
        <f t="shared" ref="G982:H982" si="979">IF(OR(F982="",F982="Selecciona.."),"","Selecciona..")</f>
        <v/>
      </c>
      <c r="H982" s="13" t="str">
        <f t="shared" si="979"/>
        <v/>
      </c>
    </row>
    <row r="983">
      <c r="A983" s="14" t="str">
        <f t="shared" si="1"/>
        <v/>
      </c>
      <c r="B983" s="14" t="str">
        <f t="array" ref="B983">IF(OR(F983="",F983="Selecciona.."),"",XLOOKUP(F983,Productos!E:E,Productos!A:A,"",0,1))</f>
        <v/>
      </c>
      <c r="C983" s="14" t="str">
        <f t="array" ref="C983">IF(OR(G983="",G983="Selecciona.."),"",XLOOKUP(G983,Productos!$E:$E,Productos!$A:$A,"",0,1))</f>
        <v/>
      </c>
      <c r="D983" s="14" t="str">
        <f t="shared" si="2"/>
        <v/>
      </c>
      <c r="E983" s="14"/>
      <c r="F983" s="15" t="str">
        <f t="shared" si="4"/>
        <v/>
      </c>
      <c r="G983" s="15" t="str">
        <f t="shared" ref="G983:H983" si="980">IF(OR(F983="",F983="Selecciona.."),"","Selecciona..")</f>
        <v/>
      </c>
      <c r="H983" s="13" t="str">
        <f t="shared" si="980"/>
        <v/>
      </c>
    </row>
    <row r="984">
      <c r="A984" s="14" t="str">
        <f t="shared" si="1"/>
        <v/>
      </c>
      <c r="B984" s="14" t="str">
        <f t="array" ref="B984">IF(OR(F984="",F984="Selecciona.."),"",XLOOKUP(F984,Productos!E:E,Productos!A:A,"",0,1))</f>
        <v/>
      </c>
      <c r="C984" s="14" t="str">
        <f t="array" ref="C984">IF(OR(G984="",G984="Selecciona.."),"",XLOOKUP(G984,Productos!$E:$E,Productos!$A:$A,"",0,1))</f>
        <v/>
      </c>
      <c r="D984" s="14" t="str">
        <f t="shared" si="2"/>
        <v/>
      </c>
      <c r="E984" s="14"/>
      <c r="F984" s="15" t="str">
        <f t="shared" si="4"/>
        <v/>
      </c>
      <c r="G984" s="15" t="str">
        <f t="shared" ref="G984:H984" si="981">IF(OR(F984="",F984="Selecciona.."),"","Selecciona..")</f>
        <v/>
      </c>
      <c r="H984" s="13" t="str">
        <f t="shared" si="981"/>
        <v/>
      </c>
    </row>
    <row r="985">
      <c r="A985" s="14" t="str">
        <f t="shared" si="1"/>
        <v/>
      </c>
      <c r="B985" s="14" t="str">
        <f t="array" ref="B985">IF(OR(F985="",F985="Selecciona.."),"",XLOOKUP(F985,Productos!E:E,Productos!A:A,"",0,1))</f>
        <v/>
      </c>
      <c r="C985" s="14" t="str">
        <f t="array" ref="C985">IF(OR(G985="",G985="Selecciona.."),"",XLOOKUP(G985,Productos!$E:$E,Productos!$A:$A,"",0,1))</f>
        <v/>
      </c>
      <c r="D985" s="14" t="str">
        <f t="shared" si="2"/>
        <v/>
      </c>
      <c r="E985" s="14"/>
      <c r="F985" s="15" t="str">
        <f t="shared" si="4"/>
        <v/>
      </c>
      <c r="G985" s="15" t="str">
        <f t="shared" ref="G985:H985" si="982">IF(OR(F985="",F985="Selecciona.."),"","Selecciona..")</f>
        <v/>
      </c>
      <c r="H985" s="13" t="str">
        <f t="shared" si="982"/>
        <v/>
      </c>
    </row>
    <row r="986">
      <c r="A986" s="14" t="str">
        <f t="shared" si="1"/>
        <v/>
      </c>
      <c r="B986" s="14" t="str">
        <f t="array" ref="B986">IF(OR(F986="",F986="Selecciona.."),"",XLOOKUP(F986,Productos!E:E,Productos!A:A,"",0,1))</f>
        <v/>
      </c>
      <c r="C986" s="14" t="str">
        <f t="array" ref="C986">IF(OR(G986="",G986="Selecciona.."),"",XLOOKUP(G986,Productos!$E:$E,Productos!$A:$A,"",0,1))</f>
        <v/>
      </c>
      <c r="D986" s="14" t="str">
        <f t="shared" si="2"/>
        <v/>
      </c>
      <c r="E986" s="14"/>
      <c r="F986" s="15" t="str">
        <f t="shared" si="4"/>
        <v/>
      </c>
      <c r="G986" s="15" t="str">
        <f t="shared" ref="G986:H986" si="983">IF(OR(F986="",F986="Selecciona.."),"","Selecciona..")</f>
        <v/>
      </c>
      <c r="H986" s="13" t="str">
        <f t="shared" si="983"/>
        <v/>
      </c>
    </row>
    <row r="987">
      <c r="A987" s="14" t="str">
        <f t="shared" si="1"/>
        <v/>
      </c>
      <c r="B987" s="14" t="str">
        <f t="array" ref="B987">IF(OR(F987="",F987="Selecciona.."),"",XLOOKUP(F987,Productos!E:E,Productos!A:A,"",0,1))</f>
        <v/>
      </c>
      <c r="C987" s="14" t="str">
        <f t="array" ref="C987">IF(OR(G987="",G987="Selecciona.."),"",XLOOKUP(G987,Productos!$E:$E,Productos!$A:$A,"",0,1))</f>
        <v/>
      </c>
      <c r="D987" s="14" t="str">
        <f t="shared" si="2"/>
        <v/>
      </c>
      <c r="E987" s="14"/>
      <c r="F987" s="15" t="str">
        <f t="shared" si="4"/>
        <v/>
      </c>
      <c r="G987" s="15" t="str">
        <f t="shared" ref="G987:H987" si="984">IF(OR(F987="",F987="Selecciona.."),"","Selecciona..")</f>
        <v/>
      </c>
      <c r="H987" s="13" t="str">
        <f t="shared" si="984"/>
        <v/>
      </c>
    </row>
    <row r="988">
      <c r="A988" s="14" t="str">
        <f t="shared" si="1"/>
        <v/>
      </c>
      <c r="B988" s="14" t="str">
        <f t="array" ref="B988">IF(OR(F988="",F988="Selecciona.."),"",XLOOKUP(F988,Productos!E:E,Productos!A:A,"",0,1))</f>
        <v/>
      </c>
      <c r="C988" s="14" t="str">
        <f t="array" ref="C988">IF(OR(G988="",G988="Selecciona.."),"",XLOOKUP(G988,Productos!$E:$E,Productos!$A:$A,"",0,1))</f>
        <v/>
      </c>
      <c r="D988" s="14" t="str">
        <f t="shared" si="2"/>
        <v/>
      </c>
      <c r="E988" s="14"/>
      <c r="F988" s="15" t="str">
        <f t="shared" si="4"/>
        <v/>
      </c>
      <c r="G988" s="15" t="str">
        <f t="shared" ref="G988:H988" si="985">IF(OR(F988="",F988="Selecciona.."),"","Selecciona..")</f>
        <v/>
      </c>
      <c r="H988" s="13" t="str">
        <f t="shared" si="985"/>
        <v/>
      </c>
    </row>
    <row r="989">
      <c r="A989" s="14" t="str">
        <f t="shared" si="1"/>
        <v/>
      </c>
      <c r="B989" s="14" t="str">
        <f t="array" ref="B989">IF(OR(F989="",F989="Selecciona.."),"",XLOOKUP(F989,Productos!E:E,Productos!A:A,"",0,1))</f>
        <v/>
      </c>
      <c r="C989" s="14" t="str">
        <f t="array" ref="C989">IF(OR(G989="",G989="Selecciona.."),"",XLOOKUP(G989,Productos!$E:$E,Productos!$A:$A,"",0,1))</f>
        <v/>
      </c>
      <c r="D989" s="14" t="str">
        <f t="shared" si="2"/>
        <v/>
      </c>
      <c r="E989" s="14"/>
      <c r="F989" s="15" t="str">
        <f t="shared" si="4"/>
        <v/>
      </c>
      <c r="G989" s="15" t="str">
        <f t="shared" ref="G989:H989" si="986">IF(OR(F989="",F989="Selecciona.."),"","Selecciona..")</f>
        <v/>
      </c>
      <c r="H989" s="13" t="str">
        <f t="shared" si="986"/>
        <v/>
      </c>
    </row>
    <row r="990">
      <c r="A990" s="14" t="str">
        <f t="shared" si="1"/>
        <v/>
      </c>
      <c r="B990" s="14" t="str">
        <f t="array" ref="B990">IF(OR(F990="",F990="Selecciona.."),"",XLOOKUP(F990,Productos!E:E,Productos!A:A,"",0,1))</f>
        <v/>
      </c>
      <c r="C990" s="14" t="str">
        <f t="array" ref="C990">IF(OR(G990="",G990="Selecciona.."),"",XLOOKUP(G990,Productos!$E:$E,Productos!$A:$A,"",0,1))</f>
        <v/>
      </c>
      <c r="D990" s="14" t="str">
        <f t="shared" si="2"/>
        <v/>
      </c>
      <c r="E990" s="14"/>
      <c r="F990" s="15" t="str">
        <f t="shared" si="4"/>
        <v/>
      </c>
      <c r="G990" s="15" t="str">
        <f t="shared" ref="G990:H990" si="987">IF(OR(F990="",F990="Selecciona.."),"","Selecciona..")</f>
        <v/>
      </c>
      <c r="H990" s="13" t="str">
        <f t="shared" si="987"/>
        <v/>
      </c>
    </row>
    <row r="991">
      <c r="A991" s="14" t="str">
        <f t="shared" si="1"/>
        <v/>
      </c>
      <c r="B991" s="14" t="str">
        <f t="array" ref="B991">IF(OR(F991="",F991="Selecciona.."),"",XLOOKUP(F991,Productos!E:E,Productos!A:A,"",0,1))</f>
        <v/>
      </c>
      <c r="C991" s="14" t="str">
        <f t="array" ref="C991">IF(OR(G991="",G991="Selecciona.."),"",XLOOKUP(G991,Productos!$E:$E,Productos!$A:$A,"",0,1))</f>
        <v/>
      </c>
      <c r="D991" s="14" t="str">
        <f t="shared" si="2"/>
        <v/>
      </c>
      <c r="E991" s="14"/>
      <c r="F991" s="15" t="str">
        <f t="shared" si="4"/>
        <v/>
      </c>
      <c r="G991" s="15" t="str">
        <f t="shared" ref="G991:H991" si="988">IF(OR(F991="",F991="Selecciona.."),"","Selecciona..")</f>
        <v/>
      </c>
      <c r="H991" s="13" t="str">
        <f t="shared" si="988"/>
        <v/>
      </c>
    </row>
    <row r="992">
      <c r="A992" s="14" t="str">
        <f t="shared" si="1"/>
        <v/>
      </c>
      <c r="B992" s="14" t="str">
        <f t="array" ref="B992">IF(OR(F992="",F992="Selecciona.."),"",XLOOKUP(F992,Productos!E:E,Productos!A:A,"",0,1))</f>
        <v/>
      </c>
      <c r="C992" s="14" t="str">
        <f t="array" ref="C992">IF(OR(G992="",G992="Selecciona.."),"",XLOOKUP(G992,Productos!$E:$E,Productos!$A:$A,"",0,1))</f>
        <v/>
      </c>
      <c r="D992" s="14" t="str">
        <f t="shared" si="2"/>
        <v/>
      </c>
      <c r="E992" s="14"/>
      <c r="F992" s="15" t="str">
        <f t="shared" si="4"/>
        <v/>
      </c>
      <c r="G992" s="15" t="str">
        <f t="shared" ref="G992:H992" si="989">IF(OR(F992="",F992="Selecciona.."),"","Selecciona..")</f>
        <v/>
      </c>
      <c r="H992" s="13" t="str">
        <f t="shared" si="989"/>
        <v/>
      </c>
    </row>
    <row r="993">
      <c r="A993" s="14" t="str">
        <f t="shared" si="1"/>
        <v/>
      </c>
      <c r="B993" s="14" t="str">
        <f t="array" ref="B993">IF(OR(F993="",F993="Selecciona.."),"",XLOOKUP(F993,Productos!E:E,Productos!A:A,"",0,1))</f>
        <v/>
      </c>
      <c r="C993" s="14" t="str">
        <f t="array" ref="C993">IF(OR(G993="",G993="Selecciona.."),"",XLOOKUP(G993,Productos!$E:$E,Productos!$A:$A,"",0,1))</f>
        <v/>
      </c>
      <c r="D993" s="14" t="str">
        <f t="shared" si="2"/>
        <v/>
      </c>
      <c r="E993" s="14"/>
      <c r="F993" s="15" t="str">
        <f t="shared" si="4"/>
        <v/>
      </c>
      <c r="G993" s="15" t="str">
        <f t="shared" ref="G993:H993" si="990">IF(OR(F993="",F993="Selecciona.."),"","Selecciona..")</f>
        <v/>
      </c>
      <c r="H993" s="13" t="str">
        <f t="shared" si="990"/>
        <v/>
      </c>
    </row>
    <row r="994">
      <c r="A994" s="14" t="str">
        <f t="shared" si="1"/>
        <v/>
      </c>
      <c r="B994" s="14" t="str">
        <f t="array" ref="B994">IF(OR(F994="",F994="Selecciona.."),"",XLOOKUP(F994,Productos!E:E,Productos!A:A,"",0,1))</f>
        <v/>
      </c>
      <c r="C994" s="14" t="str">
        <f t="array" ref="C994">IF(OR(G994="",G994="Selecciona.."),"",XLOOKUP(G994,Productos!$E:$E,Productos!$A:$A,"",0,1))</f>
        <v/>
      </c>
      <c r="D994" s="14" t="str">
        <f t="shared" si="2"/>
        <v/>
      </c>
      <c r="E994" s="14"/>
      <c r="F994" s="15" t="str">
        <f t="shared" si="4"/>
        <v/>
      </c>
      <c r="G994" s="15" t="str">
        <f t="shared" ref="G994:H994" si="991">IF(OR(F994="",F994="Selecciona.."),"","Selecciona..")</f>
        <v/>
      </c>
      <c r="H994" s="13" t="str">
        <f t="shared" si="991"/>
        <v/>
      </c>
    </row>
    <row r="995">
      <c r="A995" s="14" t="str">
        <f t="shared" si="1"/>
        <v/>
      </c>
      <c r="B995" s="14" t="str">
        <f t="array" ref="B995">IF(OR(F995="",F995="Selecciona.."),"",XLOOKUP(F995,Productos!E:E,Productos!A:A,"",0,1))</f>
        <v/>
      </c>
      <c r="C995" s="14" t="str">
        <f t="array" ref="C995">IF(OR(G995="",G995="Selecciona.."),"",XLOOKUP(G995,Productos!$E:$E,Productos!$A:$A,"",0,1))</f>
        <v/>
      </c>
      <c r="D995" s="14" t="str">
        <f t="shared" si="2"/>
        <v/>
      </c>
      <c r="E995" s="14"/>
      <c r="F995" s="15" t="str">
        <f t="shared" si="4"/>
        <v/>
      </c>
      <c r="G995" s="15" t="str">
        <f t="shared" ref="G995:H995" si="992">IF(OR(F995="",F995="Selecciona.."),"","Selecciona..")</f>
        <v/>
      </c>
      <c r="H995" s="13" t="str">
        <f t="shared" si="992"/>
        <v/>
      </c>
    </row>
    <row r="996">
      <c r="A996" s="14" t="str">
        <f t="shared" si="1"/>
        <v/>
      </c>
      <c r="B996" s="14" t="str">
        <f t="array" ref="B996">IF(OR(F996="",F996="Selecciona.."),"",XLOOKUP(F996,Productos!E:E,Productos!A:A,"",0,1))</f>
        <v/>
      </c>
      <c r="C996" s="14" t="str">
        <f t="array" ref="C996">IF(OR(G996="",G996="Selecciona.."),"",XLOOKUP(G996,Productos!$E:$E,Productos!$A:$A,"",0,1))</f>
        <v/>
      </c>
      <c r="D996" s="14" t="str">
        <f t="shared" si="2"/>
        <v/>
      </c>
      <c r="E996" s="14"/>
      <c r="F996" s="15" t="str">
        <f t="shared" si="4"/>
        <v/>
      </c>
      <c r="G996" s="15" t="str">
        <f t="shared" ref="G996:H996" si="993">IF(OR(F996="",F996="Selecciona.."),"","Selecciona..")</f>
        <v/>
      </c>
      <c r="H996" s="13" t="str">
        <f t="shared" si="993"/>
        <v/>
      </c>
    </row>
    <row r="997">
      <c r="A997" s="14" t="str">
        <f t="shared" si="1"/>
        <v/>
      </c>
      <c r="B997" s="14" t="str">
        <f t="array" ref="B997">IF(OR(F997="",F997="Selecciona.."),"",XLOOKUP(F997,Productos!E:E,Productos!A:A,"",0,1))</f>
        <v/>
      </c>
      <c r="C997" s="14" t="str">
        <f t="array" ref="C997">IF(OR(G997="",G997="Selecciona.."),"",XLOOKUP(G997,Productos!$E:$E,Productos!$A:$A,"",0,1))</f>
        <v/>
      </c>
      <c r="D997" s="14" t="str">
        <f t="shared" si="2"/>
        <v/>
      </c>
      <c r="E997" s="14"/>
      <c r="F997" s="15" t="str">
        <f t="shared" si="4"/>
        <v/>
      </c>
      <c r="G997" s="15" t="str">
        <f t="shared" ref="G997:H997" si="994">IF(OR(F997="",F997="Selecciona.."),"","Selecciona..")</f>
        <v/>
      </c>
      <c r="H997" s="13" t="str">
        <f t="shared" si="994"/>
        <v/>
      </c>
    </row>
    <row r="998">
      <c r="A998" s="14" t="str">
        <f t="shared" si="1"/>
        <v/>
      </c>
      <c r="B998" s="14" t="str">
        <f t="array" ref="B998">IF(OR(F998="",F998="Selecciona.."),"",XLOOKUP(F998,Productos!E:E,Productos!A:A,"",0,1))</f>
        <v/>
      </c>
      <c r="C998" s="14" t="str">
        <f t="array" ref="C998">IF(OR(G998="",G998="Selecciona.."),"",XLOOKUP(G998,Productos!$E:$E,Productos!$A:$A,"",0,1))</f>
        <v/>
      </c>
      <c r="D998" s="14" t="str">
        <f t="shared" si="2"/>
        <v/>
      </c>
      <c r="E998" s="14"/>
      <c r="F998" s="15" t="str">
        <f t="shared" si="4"/>
        <v/>
      </c>
      <c r="G998" s="15" t="str">
        <f t="shared" ref="G998:H998" si="995">IF(OR(F998="",F998="Selecciona.."),"","Selecciona..")</f>
        <v/>
      </c>
      <c r="H998" s="13" t="str">
        <f t="shared" si="995"/>
        <v/>
      </c>
    </row>
  </sheetData>
  <autoFilter ref="$A$1:$H$998"/>
  <dataValidations>
    <dataValidation type="list" allowBlank="1" showErrorMessage="1" sqref="F2:G998">
      <formula1>Productos!$E$2:$E$998</formula1>
    </dataValidation>
    <dataValidation type="list" allowBlank="1" sqref="H2:H998">
      <formula1>"Compatible,Vetado"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0"/>
    <col customWidth="1" min="3" max="4" width="7.13"/>
    <col customWidth="1" min="5" max="5" width="8.5"/>
    <col customWidth="1" min="6" max="6" width="11.75"/>
    <col customWidth="1" min="7" max="7" width="47.0"/>
    <col customWidth="1" min="8" max="8" width="15.0"/>
    <col customWidth="1" min="9" max="9" width="14.13"/>
    <col customWidth="1" min="10" max="10" width="9.5"/>
    <col customWidth="1" min="11" max="11" width="14.88"/>
    <col customWidth="1" min="12" max="12" width="4.5"/>
  </cols>
  <sheetData>
    <row r="1">
      <c r="A1" s="12" t="s">
        <v>33</v>
      </c>
      <c r="B1" s="12" t="s">
        <v>46</v>
      </c>
      <c r="C1" s="12" t="s">
        <v>47</v>
      </c>
      <c r="D1" s="12" t="s">
        <v>36</v>
      </c>
      <c r="E1" s="12" t="s">
        <v>48</v>
      </c>
      <c r="F1" s="12" t="s">
        <v>49</v>
      </c>
      <c r="G1" s="13" t="s">
        <v>26</v>
      </c>
      <c r="H1" s="13" t="s">
        <v>39</v>
      </c>
      <c r="I1" s="16" t="s">
        <v>50</v>
      </c>
      <c r="J1" s="16" t="s">
        <v>8</v>
      </c>
      <c r="K1" s="12" t="s">
        <v>51</v>
      </c>
      <c r="L1" s="1" t="s">
        <v>52</v>
      </c>
    </row>
    <row r="2">
      <c r="A2" s="14">
        <f t="shared" ref="A2:A996" si="1">IF(B2="","",max(A$1:A1)+1)</f>
        <v>1</v>
      </c>
      <c r="B2" s="14">
        <f t="array" ref="B2">IF(OR(G2="",G2="Selecciona.."),"",XLOOKUP(G2,Productos!E:E,Productos!A:A,"",0,1))</f>
        <v>46</v>
      </c>
      <c r="C2" s="14">
        <f t="array" ref="C2">IF(B2="","",SUMIF(Implementos!B:B,XLOOKUP(B2,Productos!A:A,Productos!F:F,"",0,1),Implementos!A:A))</f>
        <v>6</v>
      </c>
      <c r="D2" s="14">
        <f t="array" ref="D2">IF(OR(H2="",H2="Selecciona.."),"",XLOOKUP(H2,Propiedades!B:B,Propiedades!A:A,"",0,1))</f>
        <v>3</v>
      </c>
      <c r="E2" s="14">
        <f t="shared" ref="E2:E996" si="2">IF(A2="","",IF(I2="Exacto",0,IF(COUNTIFS(B$1:B1,B2,D$1:D1,D2)&gt;0,SUMIFS(E$1:E1,B$1:B1,B2,D$1:D1,D2),COUNTIFS(B$1:B2,B2,I$1:I2,I2))))</f>
        <v>0</v>
      </c>
      <c r="F2" s="14" t="str">
        <f t="shared" ref="F2:F996" si="3">IF(D2="","",IF(COUNTIF(F$1:F1,B2&amp;"-"&amp;D2&amp;"-"&amp;MID(I2,1,3))&gt;0,"Repetido",B2&amp;"-"&amp;D2&amp;"-"&amp;MID(I2,1,3)))</f>
        <v>46-3-Exa</v>
      </c>
      <c r="G2" s="13" t="s">
        <v>53</v>
      </c>
      <c r="H2" s="13" t="s">
        <v>54</v>
      </c>
      <c r="I2" s="16" t="s">
        <v>55</v>
      </c>
      <c r="J2" s="16">
        <v>1500.0</v>
      </c>
      <c r="K2" s="14" t="str">
        <f t="array" ref="K2">IF(OR(H2="",H2="Selecciona.."),"",XLOOKUP(H2,Propiedades!B:B,Propiedades!C:C,"",0,1))</f>
        <v>lts</v>
      </c>
    </row>
    <row r="3">
      <c r="A3" s="14">
        <f t="shared" si="1"/>
        <v>2</v>
      </c>
      <c r="B3" s="14">
        <f t="array" ref="B3">IF(OR(G3="",G3="Selecciona.."),"",XLOOKUP(G3,Productos!E:E,Productos!A:A,"",0,1))</f>
        <v>46</v>
      </c>
      <c r="C3" s="14">
        <f t="array" ref="C3">IF(B3="","",SUMIF(Implementos!B:B,XLOOKUP(B3,Productos!A:A,Productos!F:F,"",0,1),Implementos!A:A))</f>
        <v>6</v>
      </c>
      <c r="D3" s="14">
        <f t="array" ref="D3">IF(OR(H3="",H3="Selecciona.."),"",XLOOKUP(H3,Propiedades!B:B,Propiedades!A:A,"",0,1))</f>
        <v>2</v>
      </c>
      <c r="E3" s="14">
        <f t="shared" si="2"/>
        <v>0</v>
      </c>
      <c r="F3" s="14" t="str">
        <f t="shared" si="3"/>
        <v>46-2-Exa</v>
      </c>
      <c r="G3" s="13" t="s">
        <v>53</v>
      </c>
      <c r="H3" s="13" t="s">
        <v>56</v>
      </c>
      <c r="I3" s="16" t="s">
        <v>55</v>
      </c>
      <c r="J3" s="17">
        <f>(J2*0.75)+L3</f>
        <v>1385</v>
      </c>
      <c r="K3" s="14" t="str">
        <f t="array" ref="K3">IF(OR(H3="",H3="Selecciona.."),"",XLOOKUP(H3,Propiedades!B:B,Propiedades!C:C,"",0,1))</f>
        <v>kg</v>
      </c>
      <c r="L3" s="1">
        <v>260.0</v>
      </c>
    </row>
    <row r="4">
      <c r="A4" s="14">
        <f t="shared" si="1"/>
        <v>3</v>
      </c>
      <c r="B4" s="14">
        <f t="array" ref="B4">IF(OR(G4="",G4="Selecciona.."),"",XLOOKUP(G4,Productos!E:E,Productos!A:A,"",0,1))</f>
        <v>46</v>
      </c>
      <c r="C4" s="14">
        <f t="array" ref="C4">IF(B4="","",SUMIF(Implementos!B:B,XLOOKUP(B4,Productos!A:A,Productos!F:F,"",0,1),Implementos!A:A))</f>
        <v>6</v>
      </c>
      <c r="D4" s="14">
        <f t="array" ref="D4">IF(OR(H4="",H4="Selecciona.."),"",XLOOKUP(H4,Propiedades!B:B,Propiedades!A:A,"",0,1))</f>
        <v>1</v>
      </c>
      <c r="E4" s="14">
        <f t="shared" si="2"/>
        <v>0</v>
      </c>
      <c r="F4" s="14" t="str">
        <f t="shared" si="3"/>
        <v>46-1-Exa</v>
      </c>
      <c r="G4" s="13" t="s">
        <v>53</v>
      </c>
      <c r="H4" s="13" t="s">
        <v>57</v>
      </c>
      <c r="I4" s="16" t="s">
        <v>55</v>
      </c>
      <c r="J4" s="16">
        <v>1.5</v>
      </c>
      <c r="K4" s="14" t="str">
        <f t="array" ref="K4">IF(OR(H4="",H4="Selecciona.."),"",XLOOKUP(H4,Propiedades!B:B,Propiedades!C:C,"",0,1))</f>
        <v>mts</v>
      </c>
    </row>
    <row r="5">
      <c r="A5" s="14">
        <f t="shared" si="1"/>
        <v>4</v>
      </c>
      <c r="B5" s="14">
        <f t="array" ref="B5">IF(OR(G5="",G5="Selecciona.."),"",XLOOKUP(G5,Productos!E:E,Productos!A:A,"",0,1))</f>
        <v>46</v>
      </c>
      <c r="C5" s="14">
        <f t="array" ref="C5">IF(B5="","",SUMIF(Implementos!B:B,XLOOKUP(B5,Productos!A:A,Productos!F:F,"",0,1),Implementos!A:A))</f>
        <v>6</v>
      </c>
      <c r="D5" s="14">
        <f t="array" ref="D5">IF(OR(H5="",H5="Selecciona.."),"",XLOOKUP(H5,Propiedades!B:B,Propiedades!A:A,"",0,1))</f>
        <v>4</v>
      </c>
      <c r="E5" s="14">
        <f t="shared" si="2"/>
        <v>0</v>
      </c>
      <c r="F5" s="14" t="str">
        <f t="shared" si="3"/>
        <v>46-4-Exa</v>
      </c>
      <c r="G5" s="13" t="s">
        <v>53</v>
      </c>
      <c r="H5" s="13" t="s">
        <v>58</v>
      </c>
      <c r="I5" s="16" t="s">
        <v>55</v>
      </c>
      <c r="J5" s="16">
        <v>770.0</v>
      </c>
      <c r="K5" s="14" t="str">
        <f t="array" ref="K5">IF(OR(H5="",H5="Selecciona.."),"",XLOOKUP(H5,Propiedades!B:B,Propiedades!C:C,"",0,1))</f>
        <v>mm</v>
      </c>
    </row>
    <row r="6">
      <c r="A6" s="14">
        <f t="shared" si="1"/>
        <v>5</v>
      </c>
      <c r="B6" s="14">
        <f t="array" ref="B6">IF(OR(G6="",G6="Selecciona.."),"",XLOOKUP(G6,Productos!E:E,Productos!A:A,"",0,1))</f>
        <v>49</v>
      </c>
      <c r="C6" s="14">
        <f t="array" ref="C6">IF(B6="","",SUMIF(Implementos!B:B,XLOOKUP(B6,Productos!A:A,Productos!F:F,"",0,1),Implementos!A:A))</f>
        <v>6</v>
      </c>
      <c r="D6" s="14">
        <f t="array" ref="D6">IF(OR(H6="",H6="Selecciona.."),"",XLOOKUP(H6,Propiedades!B:B,Propiedades!A:A,"",0,1))</f>
        <v>3</v>
      </c>
      <c r="E6" s="14">
        <f t="shared" si="2"/>
        <v>0</v>
      </c>
      <c r="F6" s="14" t="str">
        <f t="shared" si="3"/>
        <v>49-3-Exa</v>
      </c>
      <c r="G6" s="13" t="s">
        <v>59</v>
      </c>
      <c r="H6" s="13" t="s">
        <v>54</v>
      </c>
      <c r="I6" s="16" t="s">
        <v>55</v>
      </c>
      <c r="J6" s="16">
        <v>2000.0</v>
      </c>
      <c r="K6" s="14" t="str">
        <f t="array" ref="K6">IF(OR(H6="",H6="Selecciona.."),"",XLOOKUP(H6,Propiedades!B:B,Propiedades!C:C,"",0,1))</f>
        <v>lts</v>
      </c>
    </row>
    <row r="7">
      <c r="A7" s="14">
        <f t="shared" si="1"/>
        <v>6</v>
      </c>
      <c r="B7" s="14">
        <f t="array" ref="B7">IF(OR(G7="",G7="Selecciona.."),"",XLOOKUP(G7,Productos!E:E,Productos!A:A,"",0,1))</f>
        <v>49</v>
      </c>
      <c r="C7" s="14">
        <f t="array" ref="C7">IF(B7="","",SUMIF(Implementos!B:B,XLOOKUP(B7,Productos!A:A,Productos!F:F,"",0,1),Implementos!A:A))</f>
        <v>6</v>
      </c>
      <c r="D7" s="14">
        <f t="array" ref="D7">IF(OR(H7="",H7="Selecciona.."),"",XLOOKUP(H7,Propiedades!B:B,Propiedades!A:A,"",0,1))</f>
        <v>2</v>
      </c>
      <c r="E7" s="14">
        <f t="shared" si="2"/>
        <v>0</v>
      </c>
      <c r="F7" s="14" t="str">
        <f t="shared" si="3"/>
        <v>49-2-Exa</v>
      </c>
      <c r="G7" s="13" t="s">
        <v>59</v>
      </c>
      <c r="H7" s="13" t="s">
        <v>56</v>
      </c>
      <c r="I7" s="16" t="s">
        <v>55</v>
      </c>
      <c r="J7" s="17">
        <f>(J6*0.75)+L7</f>
        <v>1820</v>
      </c>
      <c r="K7" s="14" t="str">
        <f t="array" ref="K7">IF(OR(H7="",H7="Selecciona.."),"",XLOOKUP(H7,Propiedades!B:B,Propiedades!C:C,"",0,1))</f>
        <v>kg</v>
      </c>
      <c r="L7" s="1">
        <v>320.0</v>
      </c>
    </row>
    <row r="8">
      <c r="A8" s="14">
        <f t="shared" si="1"/>
        <v>7</v>
      </c>
      <c r="B8" s="14">
        <f t="array" ref="B8">IF(OR(G8="",G8="Selecciona.."),"",XLOOKUP(G8,Productos!E:E,Productos!A:A,"",0,1))</f>
        <v>49</v>
      </c>
      <c r="C8" s="14">
        <f t="array" ref="C8">IF(B8="","",SUMIF(Implementos!B:B,XLOOKUP(B8,Productos!A:A,Productos!F:F,"",0,1),Implementos!A:A))</f>
        <v>6</v>
      </c>
      <c r="D8" s="14">
        <f t="array" ref="D8">IF(OR(H8="",H8="Selecciona.."),"",XLOOKUP(H8,Propiedades!B:B,Propiedades!A:A,"",0,1))</f>
        <v>1</v>
      </c>
      <c r="E8" s="14">
        <f t="shared" si="2"/>
        <v>0</v>
      </c>
      <c r="F8" s="14" t="str">
        <f t="shared" si="3"/>
        <v>49-1-Exa</v>
      </c>
      <c r="G8" s="13" t="s">
        <v>59</v>
      </c>
      <c r="H8" s="13" t="s">
        <v>57</v>
      </c>
      <c r="I8" s="16" t="s">
        <v>55</v>
      </c>
      <c r="J8" s="16">
        <v>2.0</v>
      </c>
      <c r="K8" s="14" t="str">
        <f t="array" ref="K8">IF(OR(H8="",H8="Selecciona.."),"",XLOOKUP(H8,Propiedades!B:B,Propiedades!C:C,"",0,1))</f>
        <v>mts</v>
      </c>
    </row>
    <row r="9">
      <c r="A9" s="14">
        <f t="shared" si="1"/>
        <v>8</v>
      </c>
      <c r="B9" s="14">
        <f t="array" ref="B9">IF(OR(G9="",G9="Selecciona.."),"",XLOOKUP(G9,Productos!E:E,Productos!A:A,"",0,1))</f>
        <v>49</v>
      </c>
      <c r="C9" s="14">
        <f t="array" ref="C9">IF(B9="","",SUMIF(Implementos!B:B,XLOOKUP(B9,Productos!A:A,Productos!F:F,"",0,1),Implementos!A:A))</f>
        <v>6</v>
      </c>
      <c r="D9" s="14">
        <f t="array" ref="D9">IF(OR(H9="",H9="Selecciona.."),"",XLOOKUP(H9,Propiedades!B:B,Propiedades!A:A,"",0,1))</f>
        <v>4</v>
      </c>
      <c r="E9" s="14">
        <f t="shared" si="2"/>
        <v>0</v>
      </c>
      <c r="F9" s="14" t="str">
        <f t="shared" si="3"/>
        <v>49-4-Exa</v>
      </c>
      <c r="G9" s="13" t="s">
        <v>59</v>
      </c>
      <c r="H9" s="13" t="s">
        <v>58</v>
      </c>
      <c r="I9" s="16" t="s">
        <v>55</v>
      </c>
      <c r="J9" s="16">
        <v>770.0</v>
      </c>
      <c r="K9" s="14" t="str">
        <f t="array" ref="K9">IF(OR(H9="",H9="Selecciona.."),"",XLOOKUP(H9,Propiedades!B:B,Propiedades!C:C,"",0,1))</f>
        <v>mm</v>
      </c>
      <c r="L9" s="1">
        <v>420.0</v>
      </c>
    </row>
    <row r="10">
      <c r="A10" s="14">
        <f t="shared" si="1"/>
        <v>9</v>
      </c>
      <c r="B10" s="14">
        <f t="array" ref="B10">IF(OR(G10="",G10="Selecciona.."),"",XLOOKUP(G10,Productos!E:E,Productos!A:A,"",0,1))</f>
        <v>48</v>
      </c>
      <c r="C10" s="14">
        <f t="array" ref="C10">IF(B10="","",SUMIF(Implementos!B:B,XLOOKUP(B10,Productos!A:A,Productos!F:F,"",0,1),Implementos!A:A))</f>
        <v>6</v>
      </c>
      <c r="D10" s="14">
        <f t="array" ref="D10">IF(OR(H10="",H10="Selecciona.."),"",XLOOKUP(H10,Propiedades!B:B,Propiedades!A:A,"",0,1))</f>
        <v>3</v>
      </c>
      <c r="E10" s="14">
        <f t="shared" si="2"/>
        <v>0</v>
      </c>
      <c r="F10" s="14" t="str">
        <f t="shared" si="3"/>
        <v>48-3-Exa</v>
      </c>
      <c r="G10" s="13" t="s">
        <v>60</v>
      </c>
      <c r="H10" s="13" t="s">
        <v>54</v>
      </c>
      <c r="I10" s="16" t="s">
        <v>55</v>
      </c>
      <c r="J10" s="16">
        <v>2000.0</v>
      </c>
      <c r="K10" s="14" t="str">
        <f t="array" ref="K10">IF(OR(H10="",H10="Selecciona.."),"",XLOOKUP(H10,Propiedades!B:B,Propiedades!C:C,"",0,1))</f>
        <v>lts</v>
      </c>
    </row>
    <row r="11">
      <c r="A11" s="14">
        <f t="shared" si="1"/>
        <v>10</v>
      </c>
      <c r="B11" s="14">
        <f t="array" ref="B11">IF(OR(G11="",G11="Selecciona.."),"",XLOOKUP(G11,Productos!E:E,Productos!A:A,"",0,1))</f>
        <v>48</v>
      </c>
      <c r="C11" s="14">
        <f t="array" ref="C11">IF(B11="","",SUMIF(Implementos!B:B,XLOOKUP(B11,Productos!A:A,Productos!F:F,"",0,1),Implementos!A:A))</f>
        <v>6</v>
      </c>
      <c r="D11" s="14">
        <f t="array" ref="D11">IF(OR(H11="",H11="Selecciona.."),"",XLOOKUP(H11,Propiedades!B:B,Propiedades!A:A,"",0,1))</f>
        <v>2</v>
      </c>
      <c r="E11" s="14">
        <f t="shared" si="2"/>
        <v>0</v>
      </c>
      <c r="F11" s="14" t="str">
        <f t="shared" si="3"/>
        <v>48-2-Exa</v>
      </c>
      <c r="G11" s="13" t="s">
        <v>60</v>
      </c>
      <c r="H11" s="13" t="s">
        <v>56</v>
      </c>
      <c r="I11" s="16" t="s">
        <v>55</v>
      </c>
      <c r="J11" s="17">
        <f>(J10*0.75)+L11</f>
        <v>1920</v>
      </c>
      <c r="K11" s="14" t="str">
        <f t="array" ref="K11">IF(OR(H11="",H11="Selecciona.."),"",XLOOKUP(H11,Propiedades!B:B,Propiedades!C:C,"",0,1))</f>
        <v>kg</v>
      </c>
      <c r="L11" s="1">
        <v>420.0</v>
      </c>
    </row>
    <row r="12">
      <c r="A12" s="14">
        <f t="shared" si="1"/>
        <v>11</v>
      </c>
      <c r="B12" s="14">
        <f t="array" ref="B12">IF(OR(G12="",G12="Selecciona.."),"",XLOOKUP(G12,Productos!E:E,Productos!A:A,"",0,1))</f>
        <v>48</v>
      </c>
      <c r="C12" s="14">
        <f t="array" ref="C12">IF(B12="","",SUMIF(Implementos!B:B,XLOOKUP(B12,Productos!A:A,Productos!F:F,"",0,1),Implementos!A:A))</f>
        <v>6</v>
      </c>
      <c r="D12" s="14">
        <f t="array" ref="D12">IF(OR(H12="",H12="Selecciona.."),"",XLOOKUP(H12,Propiedades!B:B,Propiedades!A:A,"",0,1))</f>
        <v>1</v>
      </c>
      <c r="E12" s="14">
        <f t="shared" si="2"/>
        <v>0</v>
      </c>
      <c r="F12" s="14" t="str">
        <f t="shared" si="3"/>
        <v>48-1-Exa</v>
      </c>
      <c r="G12" s="13" t="s">
        <v>60</v>
      </c>
      <c r="H12" s="13" t="s">
        <v>57</v>
      </c>
      <c r="I12" s="16" t="s">
        <v>55</v>
      </c>
      <c r="J12" s="16">
        <v>3.0</v>
      </c>
      <c r="K12" s="14" t="str">
        <f t="array" ref="K12">IF(OR(H12="",H12="Selecciona.."),"",XLOOKUP(H12,Propiedades!B:B,Propiedades!C:C,"",0,1))</f>
        <v>mts</v>
      </c>
    </row>
    <row r="13">
      <c r="A13" s="14">
        <f t="shared" si="1"/>
        <v>12</v>
      </c>
      <c r="B13" s="14">
        <f t="array" ref="B13">IF(OR(G13="",G13="Selecciona.."),"",XLOOKUP(G13,Productos!E:E,Productos!A:A,"",0,1))</f>
        <v>48</v>
      </c>
      <c r="C13" s="14">
        <f t="array" ref="C13">IF(B13="","",SUMIF(Implementos!B:B,XLOOKUP(B13,Productos!A:A,Productos!F:F,"",0,1),Implementos!A:A))</f>
        <v>6</v>
      </c>
      <c r="D13" s="14">
        <f t="array" ref="D13">IF(OR(H13="",H13="Selecciona.."),"",XLOOKUP(H13,Propiedades!B:B,Propiedades!A:A,"",0,1))</f>
        <v>4</v>
      </c>
      <c r="E13" s="14">
        <f t="shared" si="2"/>
        <v>0</v>
      </c>
      <c r="F13" s="14" t="str">
        <f t="shared" si="3"/>
        <v>48-4-Exa</v>
      </c>
      <c r="G13" s="13" t="s">
        <v>60</v>
      </c>
      <c r="H13" s="13" t="s">
        <v>58</v>
      </c>
      <c r="I13" s="16" t="s">
        <v>55</v>
      </c>
      <c r="J13" s="16">
        <v>650.0</v>
      </c>
      <c r="K13" s="14" t="str">
        <f t="array" ref="K13">IF(OR(H13="",H13="Selecciona.."),"",XLOOKUP(H13,Propiedades!B:B,Propiedades!C:C,"",0,1))</f>
        <v>mm</v>
      </c>
    </row>
    <row r="14">
      <c r="A14" s="14">
        <f t="shared" si="1"/>
        <v>13</v>
      </c>
      <c r="B14" s="14">
        <f t="array" ref="B14">IF(OR(G14="",G14="Selecciona.."),"",XLOOKUP(G14,Productos!E:E,Productos!A:A,"",0,1))</f>
        <v>50</v>
      </c>
      <c r="C14" s="14">
        <f t="array" ref="C14">IF(B14="","",SUMIF(Implementos!B:B,XLOOKUP(B14,Productos!A:A,Productos!F:F,"",0,1),Implementos!A:A))</f>
        <v>6</v>
      </c>
      <c r="D14" s="14">
        <f t="array" ref="D14">IF(OR(H14="",H14="Selecciona.."),"",XLOOKUP(H14,Propiedades!B:B,Propiedades!A:A,"",0,1))</f>
        <v>3</v>
      </c>
      <c r="E14" s="14">
        <f t="shared" si="2"/>
        <v>0</v>
      </c>
      <c r="F14" s="14" t="str">
        <f t="shared" si="3"/>
        <v>50-3-Exa</v>
      </c>
      <c r="G14" s="13" t="s">
        <v>61</v>
      </c>
      <c r="H14" s="13" t="s">
        <v>54</v>
      </c>
      <c r="I14" s="16" t="s">
        <v>55</v>
      </c>
      <c r="J14" s="16">
        <v>3000.0</v>
      </c>
      <c r="K14" s="14" t="s">
        <v>62</v>
      </c>
    </row>
    <row r="15">
      <c r="A15" s="14">
        <f t="shared" si="1"/>
        <v>14</v>
      </c>
      <c r="B15" s="14">
        <f t="array" ref="B15">IF(OR(G15="",G15="Selecciona.."),"",XLOOKUP(G15,Productos!E:E,Productos!A:A,"",0,1))</f>
        <v>50</v>
      </c>
      <c r="C15" s="14">
        <f t="array" ref="C15">IF(B15="","",SUMIF(Implementos!B:B,XLOOKUP(B15,Productos!A:A,Productos!F:F,"",0,1),Implementos!A:A))</f>
        <v>6</v>
      </c>
      <c r="D15" s="14">
        <f t="array" ref="D15">IF(OR(H15="",H15="Selecciona.."),"",XLOOKUP(H15,Propiedades!B:B,Propiedades!A:A,"",0,1))</f>
        <v>2</v>
      </c>
      <c r="E15" s="14">
        <f t="shared" si="2"/>
        <v>0</v>
      </c>
      <c r="F15" s="14" t="str">
        <f t="shared" si="3"/>
        <v>50-2-Exa</v>
      </c>
      <c r="G15" s="13" t="s">
        <v>61</v>
      </c>
      <c r="H15" s="13" t="s">
        <v>56</v>
      </c>
      <c r="I15" s="16" t="s">
        <v>55</v>
      </c>
      <c r="J15" s="17">
        <f>(J14*0.75)+L15</f>
        <v>2700</v>
      </c>
      <c r="K15" s="14" t="s">
        <v>63</v>
      </c>
      <c r="L15" s="1">
        <v>450.0</v>
      </c>
    </row>
    <row r="16">
      <c r="A16" s="14">
        <f t="shared" si="1"/>
        <v>15</v>
      </c>
      <c r="B16" s="14">
        <f t="array" ref="B16">IF(OR(G16="",G16="Selecciona.."),"",XLOOKUP(G16,Productos!E:E,Productos!A:A,"",0,1))</f>
        <v>50</v>
      </c>
      <c r="C16" s="14">
        <f t="array" ref="C16">IF(B16="","",SUMIF(Implementos!B:B,XLOOKUP(B16,Productos!A:A,Productos!F:F,"",0,1),Implementos!A:A))</f>
        <v>6</v>
      </c>
      <c r="D16" s="14">
        <f t="array" ref="D16">IF(OR(H16="",H16="Selecciona.."),"",XLOOKUP(H16,Propiedades!B:B,Propiedades!A:A,"",0,1))</f>
        <v>1</v>
      </c>
      <c r="E16" s="14">
        <f t="shared" si="2"/>
        <v>0</v>
      </c>
      <c r="F16" s="14" t="str">
        <f t="shared" si="3"/>
        <v>50-1-Exa</v>
      </c>
      <c r="G16" s="13" t="s">
        <v>61</v>
      </c>
      <c r="H16" s="13" t="s">
        <v>57</v>
      </c>
      <c r="I16" s="16" t="s">
        <v>55</v>
      </c>
      <c r="J16" s="16">
        <v>3.0</v>
      </c>
      <c r="K16" s="14" t="s">
        <v>64</v>
      </c>
    </row>
    <row r="17">
      <c r="A17" s="14">
        <f t="shared" si="1"/>
        <v>16</v>
      </c>
      <c r="B17" s="14">
        <f t="array" ref="B17">IF(OR(G17="",G17="Selecciona.."),"",XLOOKUP(G17,Productos!E:E,Productos!A:A,"",0,1))</f>
        <v>50</v>
      </c>
      <c r="C17" s="14">
        <f t="array" ref="C17">IF(B17="","",SUMIF(Implementos!B:B,XLOOKUP(B17,Productos!A:A,Productos!F:F,"",0,1),Implementos!A:A))</f>
        <v>6</v>
      </c>
      <c r="D17" s="14">
        <f t="array" ref="D17">IF(OR(H17="",H17="Selecciona.."),"",XLOOKUP(H17,Propiedades!B:B,Propiedades!A:A,"",0,1))</f>
        <v>4</v>
      </c>
      <c r="E17" s="14">
        <f t="shared" si="2"/>
        <v>0</v>
      </c>
      <c r="F17" s="14" t="str">
        <f t="shared" si="3"/>
        <v>50-4-Exa</v>
      </c>
      <c r="G17" s="13" t="s">
        <v>61</v>
      </c>
      <c r="H17" s="13" t="s">
        <v>58</v>
      </c>
      <c r="I17" s="16" t="s">
        <v>55</v>
      </c>
      <c r="J17" s="16">
        <v>770.0</v>
      </c>
      <c r="K17" s="14" t="str">
        <f t="array" ref="K17">IF(OR(H17="",H17="Selecciona.."),"",XLOOKUP(H17,Propiedades!B:B,Propiedades!C:C,"",0,1))</f>
        <v>mm</v>
      </c>
    </row>
    <row r="18">
      <c r="A18" s="14">
        <f t="shared" si="1"/>
        <v>17</v>
      </c>
      <c r="B18" s="14">
        <f t="array" ref="B18">IF(OR(G18="",G18="Selecciona.."),"",XLOOKUP(G18,Productos!E:E,Productos!A:A,"",0,1))</f>
        <v>52</v>
      </c>
      <c r="C18" s="14">
        <f t="array" ref="C18">IF(B18="","",SUMIF(Implementos!B:B,XLOOKUP(B18,Productos!A:A,Productos!F:F,"",0,1),Implementos!A:A))</f>
        <v>6</v>
      </c>
      <c r="D18" s="14">
        <f t="array" ref="D18">IF(OR(H18="",H18="Selecciona.."),"",XLOOKUP(H18,Propiedades!B:B,Propiedades!A:A,"",0,1))</f>
        <v>3</v>
      </c>
      <c r="E18" s="14">
        <f t="shared" si="2"/>
        <v>0</v>
      </c>
      <c r="F18" s="14" t="str">
        <f t="shared" si="3"/>
        <v>52-3-Exa</v>
      </c>
      <c r="G18" s="13" t="s">
        <v>65</v>
      </c>
      <c r="H18" s="13" t="s">
        <v>54</v>
      </c>
      <c r="I18" s="16" t="s">
        <v>55</v>
      </c>
      <c r="J18" s="16">
        <v>4000.0</v>
      </c>
      <c r="K18" s="14" t="str">
        <f t="array" ref="K18">IF(OR(H18="",H18="Selecciona.."),"",XLOOKUP(H18,Propiedades!B:B,Propiedades!C:C,"",0,1))</f>
        <v>lts</v>
      </c>
    </row>
    <row r="19">
      <c r="A19" s="14">
        <f t="shared" si="1"/>
        <v>18</v>
      </c>
      <c r="B19" s="14">
        <f t="array" ref="B19">IF(OR(G19="",G19="Selecciona.."),"",XLOOKUP(G19,Productos!E:E,Productos!A:A,"",0,1))</f>
        <v>52</v>
      </c>
      <c r="C19" s="14">
        <f t="array" ref="C19">IF(B19="","",SUMIF(Implementos!B:B,XLOOKUP(B19,Productos!A:A,Productos!F:F,"",0,1),Implementos!A:A))</f>
        <v>6</v>
      </c>
      <c r="D19" s="14">
        <f t="array" ref="D19">IF(OR(H19="",H19="Selecciona.."),"",XLOOKUP(H19,Propiedades!B:B,Propiedades!A:A,"",0,1))</f>
        <v>2</v>
      </c>
      <c r="E19" s="14">
        <f t="shared" si="2"/>
        <v>0</v>
      </c>
      <c r="F19" s="14" t="str">
        <f t="shared" si="3"/>
        <v>52-2-Exa</v>
      </c>
      <c r="G19" s="13" t="s">
        <v>65</v>
      </c>
      <c r="H19" s="13" t="s">
        <v>56</v>
      </c>
      <c r="I19" s="16" t="s">
        <v>55</v>
      </c>
      <c r="J19" s="17">
        <f>(J18*0.75)+L19</f>
        <v>3620</v>
      </c>
      <c r="K19" s="14" t="str">
        <f t="array" ref="K19">IF(OR(H19="",H19="Selecciona.."),"",XLOOKUP(H19,Propiedades!B:B,Propiedades!C:C,"",0,1))</f>
        <v>kg</v>
      </c>
      <c r="L19" s="1">
        <v>620.0</v>
      </c>
    </row>
    <row r="20">
      <c r="A20" s="14">
        <f t="shared" si="1"/>
        <v>19</v>
      </c>
      <c r="B20" s="14">
        <f t="array" ref="B20">IF(OR(G20="",G20="Selecciona.."),"",XLOOKUP(G20,Productos!E:E,Productos!A:A,"",0,1))</f>
        <v>52</v>
      </c>
      <c r="C20" s="14">
        <f t="array" ref="C20">IF(B20="","",SUMIF(Implementos!B:B,XLOOKUP(B20,Productos!A:A,Productos!F:F,"",0,1),Implementos!A:A))</f>
        <v>6</v>
      </c>
      <c r="D20" s="14">
        <f t="array" ref="D20">IF(OR(H20="",H20="Selecciona.."),"",XLOOKUP(H20,Propiedades!B:B,Propiedades!A:A,"",0,1))</f>
        <v>1</v>
      </c>
      <c r="E20" s="14">
        <f t="shared" si="2"/>
        <v>0</v>
      </c>
      <c r="F20" s="14" t="str">
        <f t="shared" si="3"/>
        <v>52-1-Exa</v>
      </c>
      <c r="G20" s="13" t="s">
        <v>65</v>
      </c>
      <c r="H20" s="13" t="s">
        <v>57</v>
      </c>
      <c r="I20" s="16" t="s">
        <v>55</v>
      </c>
      <c r="J20" s="16">
        <v>4.0</v>
      </c>
      <c r="K20" s="14" t="str">
        <f t="array" ref="K20">IF(OR(H20="",H20="Selecciona.."),"",XLOOKUP(H20,Propiedades!B:B,Propiedades!C:C,"",0,1))</f>
        <v>mts</v>
      </c>
    </row>
    <row r="21">
      <c r="A21" s="14">
        <f t="shared" si="1"/>
        <v>20</v>
      </c>
      <c r="B21" s="14">
        <f t="array" ref="B21">IF(OR(G21="",G21="Selecciona.."),"",XLOOKUP(G21,Productos!E:E,Productos!A:A,"",0,1))</f>
        <v>52</v>
      </c>
      <c r="C21" s="14">
        <f t="array" ref="C21">IF(B21="","",SUMIF(Implementos!B:B,XLOOKUP(B21,Productos!A:A,Productos!F:F,"",0,1),Implementos!A:A))</f>
        <v>6</v>
      </c>
      <c r="D21" s="14">
        <f t="array" ref="D21">IF(OR(H21="",H21="Selecciona.."),"",XLOOKUP(H21,Propiedades!B:B,Propiedades!A:A,"",0,1))</f>
        <v>4</v>
      </c>
      <c r="E21" s="14">
        <f t="shared" si="2"/>
        <v>0</v>
      </c>
      <c r="F21" s="14" t="str">
        <f t="shared" si="3"/>
        <v>52-4-Exa</v>
      </c>
      <c r="G21" s="13" t="s">
        <v>65</v>
      </c>
      <c r="H21" s="13" t="s">
        <v>58</v>
      </c>
      <c r="I21" s="16" t="s">
        <v>55</v>
      </c>
      <c r="J21" s="16">
        <v>770.0</v>
      </c>
      <c r="K21" s="14" t="str">
        <f t="array" ref="K21">IF(OR(H21="",H21="Selecciona.."),"",XLOOKUP(H21,Propiedades!B:B,Propiedades!C:C,"",0,1))</f>
        <v>mm</v>
      </c>
    </row>
    <row r="22">
      <c r="A22" s="14">
        <f t="shared" si="1"/>
        <v>21</v>
      </c>
      <c r="B22" s="14">
        <f t="array" ref="B22">IF(OR(G22="",G22="Selecciona.."),"",XLOOKUP(G22,Productos!E:E,Productos!A:A,"",0,1))</f>
        <v>53</v>
      </c>
      <c r="C22" s="14">
        <f t="array" ref="C22">IF(B22="","",SUMIF(Implementos!B:B,XLOOKUP(B22,Productos!A:A,Productos!F:F,"",0,1),Implementos!A:A))</f>
        <v>6</v>
      </c>
      <c r="D22" s="14">
        <f t="array" ref="D22">IF(OR(H22="",H22="Selecciona.."),"",XLOOKUP(H22,Propiedades!B:B,Propiedades!A:A,"",0,1))</f>
        <v>3</v>
      </c>
      <c r="E22" s="14">
        <f t="shared" si="2"/>
        <v>0</v>
      </c>
      <c r="F22" s="14" t="str">
        <f t="shared" si="3"/>
        <v>53-3-Exa</v>
      </c>
      <c r="G22" s="13" t="s">
        <v>66</v>
      </c>
      <c r="H22" s="13" t="s">
        <v>54</v>
      </c>
      <c r="I22" s="16" t="s">
        <v>55</v>
      </c>
      <c r="J22" s="16">
        <v>5000.0</v>
      </c>
      <c r="K22" s="14" t="str">
        <f t="array" ref="K22">IF(OR(H22="",H22="Selecciona.."),"",XLOOKUP(H22,Propiedades!B:B,Propiedades!C:C,"",0,1))</f>
        <v>lts</v>
      </c>
    </row>
    <row r="23">
      <c r="A23" s="14">
        <f t="shared" si="1"/>
        <v>22</v>
      </c>
      <c r="B23" s="14">
        <f t="array" ref="B23">IF(OR(G23="",G23="Selecciona.."),"",XLOOKUP(G23,Productos!E:E,Productos!A:A,"",0,1))</f>
        <v>53</v>
      </c>
      <c r="C23" s="14">
        <f t="array" ref="C23">IF(B23="","",SUMIF(Implementos!B:B,XLOOKUP(B23,Productos!A:A,Productos!F:F,"",0,1),Implementos!A:A))</f>
        <v>6</v>
      </c>
      <c r="D23" s="14">
        <f t="array" ref="D23">IF(OR(H23="",H23="Selecciona.."),"",XLOOKUP(H23,Propiedades!B:B,Propiedades!A:A,"",0,1))</f>
        <v>2</v>
      </c>
      <c r="E23" s="14">
        <f t="shared" si="2"/>
        <v>0</v>
      </c>
      <c r="F23" s="14" t="str">
        <f t="shared" si="3"/>
        <v>53-2-Exa</v>
      </c>
      <c r="G23" s="13" t="s">
        <v>66</v>
      </c>
      <c r="H23" s="13" t="s">
        <v>56</v>
      </c>
      <c r="I23" s="16" t="s">
        <v>55</v>
      </c>
      <c r="J23" s="17">
        <f>(J22*0.75)+L23</f>
        <v>4500</v>
      </c>
      <c r="K23" s="14" t="str">
        <f t="array" ref="K23">IF(OR(H23="",H23="Selecciona.."),"",XLOOKUP(H23,Propiedades!B:B,Propiedades!C:C,"",0,1))</f>
        <v>kg</v>
      </c>
      <c r="L23" s="1">
        <v>750.0</v>
      </c>
    </row>
    <row r="24">
      <c r="A24" s="14">
        <f t="shared" si="1"/>
        <v>23</v>
      </c>
      <c r="B24" s="14">
        <f t="array" ref="B24">IF(OR(G24="",G24="Selecciona.."),"",XLOOKUP(G24,Productos!E:E,Productos!A:A,"",0,1))</f>
        <v>53</v>
      </c>
      <c r="C24" s="14">
        <f t="array" ref="C24">IF(B24="","",SUMIF(Implementos!B:B,XLOOKUP(B24,Productos!A:A,Productos!F:F,"",0,1),Implementos!A:A))</f>
        <v>6</v>
      </c>
      <c r="D24" s="14">
        <f t="array" ref="D24">IF(OR(H24="",H24="Selecciona.."),"",XLOOKUP(H24,Propiedades!B:B,Propiedades!A:A,"",0,1))</f>
        <v>1</v>
      </c>
      <c r="E24" s="14">
        <f t="shared" si="2"/>
        <v>0</v>
      </c>
      <c r="F24" s="14" t="str">
        <f t="shared" si="3"/>
        <v>53-1-Exa</v>
      </c>
      <c r="G24" s="13" t="s">
        <v>66</v>
      </c>
      <c r="H24" s="13" t="s">
        <v>57</v>
      </c>
      <c r="I24" s="16" t="s">
        <v>55</v>
      </c>
      <c r="J24" s="16">
        <v>5.0</v>
      </c>
      <c r="K24" s="14" t="str">
        <f t="array" ref="K24">IF(OR(H24="",H24="Selecciona.."),"",XLOOKUP(H24,Propiedades!B:B,Propiedades!C:C,"",0,1))</f>
        <v>mts</v>
      </c>
    </row>
    <row r="25">
      <c r="A25" s="14">
        <f t="shared" si="1"/>
        <v>24</v>
      </c>
      <c r="B25" s="14">
        <f t="array" ref="B25">IF(OR(G25="",G25="Selecciona.."),"",XLOOKUP(G25,Productos!E:E,Productos!A:A,"",0,1))</f>
        <v>53</v>
      </c>
      <c r="C25" s="14">
        <f t="array" ref="C25">IF(B25="","",SUMIF(Implementos!B:B,XLOOKUP(B25,Productos!A:A,Productos!F:F,"",0,1),Implementos!A:A))</f>
        <v>6</v>
      </c>
      <c r="D25" s="14">
        <f t="array" ref="D25">IF(OR(H25="",H25="Selecciona.."),"",XLOOKUP(H25,Propiedades!B:B,Propiedades!A:A,"",0,1))</f>
        <v>4</v>
      </c>
      <c r="E25" s="14">
        <f t="shared" si="2"/>
        <v>0</v>
      </c>
      <c r="F25" s="14" t="str">
        <f t="shared" si="3"/>
        <v>53-4-Exa</v>
      </c>
      <c r="G25" s="13" t="s">
        <v>66</v>
      </c>
      <c r="H25" s="13" t="s">
        <v>58</v>
      </c>
      <c r="I25" s="16" t="s">
        <v>55</v>
      </c>
      <c r="J25" s="16">
        <v>770.0</v>
      </c>
      <c r="K25" s="14" t="str">
        <f t="array" ref="K25">IF(OR(H25="",H25="Selecciona.."),"",XLOOKUP(H25,Propiedades!B:B,Propiedades!C:C,"",0,1))</f>
        <v>mm</v>
      </c>
    </row>
    <row r="26">
      <c r="A26" s="14">
        <f t="shared" si="1"/>
        <v>25</v>
      </c>
      <c r="B26" s="14">
        <f t="array" ref="B26">IF(OR(G26="",G26="Selecciona.."),"",XLOOKUP(G26,Productos!E:E,Productos!A:A,"",0,1))</f>
        <v>54</v>
      </c>
      <c r="C26" s="14">
        <f t="array" ref="C26">IF(B26="","",SUMIF(Implementos!B:B,XLOOKUP(B26,Productos!A:A,Productos!F:F,"",0,1),Implementos!A:A))</f>
        <v>6</v>
      </c>
      <c r="D26" s="14">
        <f t="array" ref="D26">IF(OR(H26="",H26="Selecciona.."),"",XLOOKUP(H26,Propiedades!B:B,Propiedades!A:A,"",0,1))</f>
        <v>3</v>
      </c>
      <c r="E26" s="14">
        <f t="shared" si="2"/>
        <v>0</v>
      </c>
      <c r="F26" s="14" t="str">
        <f t="shared" si="3"/>
        <v>54-3-Exa</v>
      </c>
      <c r="G26" s="13" t="s">
        <v>67</v>
      </c>
      <c r="H26" s="13" t="s">
        <v>54</v>
      </c>
      <c r="I26" s="16" t="s">
        <v>55</v>
      </c>
      <c r="J26" s="16">
        <v>5000.0</v>
      </c>
      <c r="K26" s="14" t="str">
        <f t="array" ref="K26">IF(OR(H26="",H26="Selecciona.."),"",XLOOKUP(H26,Propiedades!B:B,Propiedades!C:C,"",0,1))</f>
        <v>lts</v>
      </c>
    </row>
    <row r="27">
      <c r="A27" s="14">
        <f t="shared" si="1"/>
        <v>26</v>
      </c>
      <c r="B27" s="14">
        <f t="array" ref="B27">IF(OR(G27="",G27="Selecciona.."),"",XLOOKUP(G27,Productos!E:E,Productos!A:A,"",0,1))</f>
        <v>54</v>
      </c>
      <c r="C27" s="14">
        <f t="array" ref="C27">IF(B27="","",SUMIF(Implementos!B:B,XLOOKUP(B27,Productos!A:A,Productos!F:F,"",0,1),Implementos!A:A))</f>
        <v>6</v>
      </c>
      <c r="D27" s="14">
        <f t="array" ref="D27">IF(OR(H27="",H27="Selecciona.."),"",XLOOKUP(H27,Propiedades!B:B,Propiedades!A:A,"",0,1))</f>
        <v>2</v>
      </c>
      <c r="E27" s="14">
        <f t="shared" si="2"/>
        <v>0</v>
      </c>
      <c r="F27" s="14" t="str">
        <f t="shared" si="3"/>
        <v>54-2-Exa</v>
      </c>
      <c r="G27" s="13" t="s">
        <v>67</v>
      </c>
      <c r="H27" s="13" t="s">
        <v>56</v>
      </c>
      <c r="I27" s="16" t="s">
        <v>55</v>
      </c>
      <c r="J27" s="17">
        <f>(J26*0.75)+L27</f>
        <v>4430</v>
      </c>
      <c r="K27" s="14" t="str">
        <f t="array" ref="K27">IF(OR(H27="",H27="Selecciona.."),"",XLOOKUP(H27,Propiedades!B:B,Propiedades!C:C,"",0,1))</f>
        <v>kg</v>
      </c>
      <c r="L27" s="1">
        <v>680.0</v>
      </c>
    </row>
    <row r="28">
      <c r="A28" s="14">
        <f t="shared" si="1"/>
        <v>27</v>
      </c>
      <c r="B28" s="14">
        <f t="array" ref="B28">IF(OR(G28="",G28="Selecciona.."),"",XLOOKUP(G28,Productos!E:E,Productos!A:A,"",0,1))</f>
        <v>54</v>
      </c>
      <c r="C28" s="14">
        <f t="array" ref="C28">IF(B28="","",SUMIF(Implementos!B:B,XLOOKUP(B28,Productos!A:A,Productos!F:F,"",0,1),Implementos!A:A))</f>
        <v>6</v>
      </c>
      <c r="D28" s="14">
        <f t="array" ref="D28">IF(OR(H28="",H28="Selecciona.."),"",XLOOKUP(H28,Propiedades!B:B,Propiedades!A:A,"",0,1))</f>
        <v>1</v>
      </c>
      <c r="E28" s="14">
        <f t="shared" si="2"/>
        <v>0</v>
      </c>
      <c r="F28" s="14" t="str">
        <f t="shared" si="3"/>
        <v>54-1-Exa</v>
      </c>
      <c r="G28" s="13" t="s">
        <v>67</v>
      </c>
      <c r="H28" s="13" t="s">
        <v>57</v>
      </c>
      <c r="I28" s="16" t="s">
        <v>55</v>
      </c>
      <c r="J28" s="16">
        <v>4.0</v>
      </c>
      <c r="K28" s="14" t="str">
        <f t="array" ref="K28">IF(OR(H28="",H28="Selecciona.."),"",XLOOKUP(H28,Propiedades!B:B,Propiedades!C:C,"",0,1))</f>
        <v>mts</v>
      </c>
    </row>
    <row r="29">
      <c r="A29" s="14">
        <f t="shared" si="1"/>
        <v>28</v>
      </c>
      <c r="B29" s="14">
        <f t="array" ref="B29">IF(OR(G29="",G29="Selecciona.."),"",XLOOKUP(G29,Productos!E:E,Productos!A:A,"",0,1))</f>
        <v>54</v>
      </c>
      <c r="C29" s="14">
        <f t="array" ref="C29">IF(B29="","",SUMIF(Implementos!B:B,XLOOKUP(B29,Productos!A:A,Productos!F:F,"",0,1),Implementos!A:A))</f>
        <v>6</v>
      </c>
      <c r="D29" s="14">
        <f t="array" ref="D29">IF(OR(H29="",H29="Selecciona.."),"",XLOOKUP(H29,Propiedades!B:B,Propiedades!A:A,"",0,1))</f>
        <v>4</v>
      </c>
      <c r="E29" s="14">
        <f t="shared" si="2"/>
        <v>0</v>
      </c>
      <c r="F29" s="14" t="str">
        <f t="shared" si="3"/>
        <v>54-4-Exa</v>
      </c>
      <c r="G29" s="13" t="s">
        <v>67</v>
      </c>
      <c r="H29" s="13" t="s">
        <v>58</v>
      </c>
      <c r="I29" s="16" t="s">
        <v>55</v>
      </c>
      <c r="J29" s="16">
        <v>870.0</v>
      </c>
      <c r="K29" s="14" t="str">
        <f t="array" ref="K29">IF(OR(H29="",H29="Selecciona.."),"",XLOOKUP(H29,Propiedades!B:B,Propiedades!C:C,"",0,1))</f>
        <v>mm</v>
      </c>
    </row>
    <row r="30">
      <c r="A30" s="14">
        <f t="shared" si="1"/>
        <v>29</v>
      </c>
      <c r="B30" s="14">
        <f t="array" ref="B30">IF(OR(G30="",G30="Selecciona.."),"",XLOOKUP(G30,Productos!E:E,Productos!A:A,"",0,1))</f>
        <v>55</v>
      </c>
      <c r="C30" s="14">
        <f t="array" ref="C30">IF(B30="","",SUMIF(Implementos!B:B,XLOOKUP(B30,Productos!A:A,Productos!F:F,"",0,1),Implementos!A:A))</f>
        <v>6</v>
      </c>
      <c r="D30" s="14">
        <f t="array" ref="D30">IF(OR(H30="",H30="Selecciona.."),"",XLOOKUP(H30,Propiedades!B:B,Propiedades!A:A,"",0,1))</f>
        <v>3</v>
      </c>
      <c r="E30" s="14">
        <f t="shared" si="2"/>
        <v>0</v>
      </c>
      <c r="F30" s="14" t="str">
        <f t="shared" si="3"/>
        <v>55-3-Exa</v>
      </c>
      <c r="G30" s="13" t="s">
        <v>68</v>
      </c>
      <c r="H30" s="13" t="s">
        <v>54</v>
      </c>
      <c r="I30" s="16" t="s">
        <v>55</v>
      </c>
      <c r="J30" s="16">
        <v>2000.0</v>
      </c>
      <c r="K30" s="14" t="str">
        <f t="array" ref="K30">IF(OR(H30="",H30="Selecciona.."),"",XLOOKUP(H30,Propiedades!B:B,Propiedades!C:C,"",0,1))</f>
        <v>lts</v>
      </c>
    </row>
    <row r="31">
      <c r="A31" s="14">
        <f t="shared" si="1"/>
        <v>30</v>
      </c>
      <c r="B31" s="14">
        <f t="array" ref="B31">IF(OR(G31="",G31="Selecciona.."),"",XLOOKUP(G31,Productos!E:E,Productos!A:A,"",0,1))</f>
        <v>55</v>
      </c>
      <c r="C31" s="14">
        <f t="array" ref="C31">IF(B31="","",SUMIF(Implementos!B:B,XLOOKUP(B31,Productos!A:A,Productos!F:F,"",0,1),Implementos!A:A))</f>
        <v>6</v>
      </c>
      <c r="D31" s="14">
        <f t="array" ref="D31">IF(OR(H31="",H31="Selecciona.."),"",XLOOKUP(H31,Propiedades!B:B,Propiedades!A:A,"",0,1))</f>
        <v>2</v>
      </c>
      <c r="E31" s="14">
        <f t="shared" si="2"/>
        <v>0</v>
      </c>
      <c r="F31" s="14" t="str">
        <f t="shared" si="3"/>
        <v>55-2-Exa</v>
      </c>
      <c r="G31" s="13" t="s">
        <v>68</v>
      </c>
      <c r="H31" s="13" t="s">
        <v>56</v>
      </c>
      <c r="I31" s="16" t="s">
        <v>55</v>
      </c>
      <c r="J31" s="17">
        <f>(J30*0.75)+L31</f>
        <v>1810</v>
      </c>
      <c r="K31" s="14" t="str">
        <f t="array" ref="K31">IF(OR(H31="",H31="Selecciona.."),"",XLOOKUP(H31,Propiedades!B:B,Propiedades!C:C,"",0,1))</f>
        <v>kg</v>
      </c>
      <c r="L31" s="1">
        <v>310.0</v>
      </c>
    </row>
    <row r="32">
      <c r="A32" s="14">
        <f t="shared" si="1"/>
        <v>31</v>
      </c>
      <c r="B32" s="14">
        <f t="array" ref="B32">IF(OR(G32="",G32="Selecciona.."),"",XLOOKUP(G32,Productos!E:E,Productos!A:A,"",0,1))</f>
        <v>55</v>
      </c>
      <c r="C32" s="14">
        <f t="array" ref="C32">IF(B32="","",SUMIF(Implementos!B:B,XLOOKUP(B32,Productos!A:A,Productos!F:F,"",0,1),Implementos!A:A))</f>
        <v>6</v>
      </c>
      <c r="D32" s="14">
        <f t="array" ref="D32">IF(OR(H32="",H32="Selecciona.."),"",XLOOKUP(H32,Propiedades!B:B,Propiedades!A:A,"",0,1))</f>
        <v>1</v>
      </c>
      <c r="E32" s="14">
        <f t="shared" si="2"/>
        <v>0</v>
      </c>
      <c r="F32" s="14" t="str">
        <f t="shared" si="3"/>
        <v>55-1-Exa</v>
      </c>
      <c r="G32" s="13" t="s">
        <v>68</v>
      </c>
      <c r="H32" s="13" t="s">
        <v>57</v>
      </c>
      <c r="I32" s="16" t="s">
        <v>55</v>
      </c>
      <c r="J32" s="16">
        <v>1.6</v>
      </c>
      <c r="K32" s="14" t="str">
        <f t="array" ref="K32">IF(OR(H32="",H32="Selecciona.."),"",XLOOKUP(H32,Propiedades!B:B,Propiedades!C:C,"",0,1))</f>
        <v>mts</v>
      </c>
    </row>
    <row r="33">
      <c r="A33" s="14">
        <f t="shared" si="1"/>
        <v>32</v>
      </c>
      <c r="B33" s="14">
        <f t="array" ref="B33">IF(OR(G33="",G33="Selecciona.."),"",XLOOKUP(G33,Productos!E:E,Productos!A:A,"",0,1))</f>
        <v>55</v>
      </c>
      <c r="C33" s="14">
        <f t="array" ref="C33">IF(B33="","",SUMIF(Implementos!B:B,XLOOKUP(B33,Productos!A:A,Productos!F:F,"",0,1),Implementos!A:A))</f>
        <v>6</v>
      </c>
      <c r="D33" s="14">
        <f t="array" ref="D33">IF(OR(H33="",H33="Selecciona.."),"",XLOOKUP(H33,Propiedades!B:B,Propiedades!A:A,"",0,1))</f>
        <v>4</v>
      </c>
      <c r="E33" s="14">
        <f t="shared" si="2"/>
        <v>0</v>
      </c>
      <c r="F33" s="14" t="str">
        <f t="shared" si="3"/>
        <v>55-4-Exa</v>
      </c>
      <c r="G33" s="13" t="s">
        <v>68</v>
      </c>
      <c r="H33" s="13" t="s">
        <v>58</v>
      </c>
      <c r="I33" s="16" t="s">
        <v>55</v>
      </c>
      <c r="J33" s="16">
        <v>870.0</v>
      </c>
      <c r="K33" s="14" t="str">
        <f t="array" ref="K33">IF(OR(H33="",H33="Selecciona.."),"",XLOOKUP(H33,Propiedades!B:B,Propiedades!C:C,"",0,1))</f>
        <v>mm</v>
      </c>
    </row>
    <row r="34">
      <c r="A34" s="14">
        <f t="shared" si="1"/>
        <v>33</v>
      </c>
      <c r="B34" s="14">
        <f t="array" ref="B34">IF(OR(G34="",G34="Selecciona.."),"",XLOOKUP(G34,Productos!E:E,Productos!A:A,"",0,1))</f>
        <v>51</v>
      </c>
      <c r="C34" s="14">
        <f t="array" ref="C34">IF(B34="","",SUMIF(Implementos!B:B,XLOOKUP(B34,Productos!A:A,Productos!F:F,"",0,1),Implementos!A:A))</f>
        <v>6</v>
      </c>
      <c r="D34" s="14">
        <f t="array" ref="D34">IF(OR(H34="",H34="Selecciona.."),"",XLOOKUP(H34,Propiedades!B:B,Propiedades!A:A,"",0,1))</f>
        <v>3</v>
      </c>
      <c r="E34" s="14">
        <f t="shared" si="2"/>
        <v>0</v>
      </c>
      <c r="F34" s="14" t="str">
        <f t="shared" si="3"/>
        <v>51-3-Exa</v>
      </c>
      <c r="G34" s="13" t="s">
        <v>69</v>
      </c>
      <c r="H34" s="13" t="s">
        <v>54</v>
      </c>
      <c r="I34" s="16" t="s">
        <v>55</v>
      </c>
      <c r="J34" s="16">
        <v>3000.0</v>
      </c>
      <c r="K34" s="14" t="str">
        <f t="array" ref="K34">IF(OR(H34="",H34="Selecciona.."),"",XLOOKUP(H34,Propiedades!B:B,Propiedades!C:C,"",0,1))</f>
        <v>lts</v>
      </c>
    </row>
    <row r="35">
      <c r="A35" s="14">
        <f t="shared" si="1"/>
        <v>34</v>
      </c>
      <c r="B35" s="14">
        <f t="array" ref="B35">IF(OR(G35="",G35="Selecciona.."),"",XLOOKUP(G35,Productos!E:E,Productos!A:A,"",0,1))</f>
        <v>51</v>
      </c>
      <c r="C35" s="14">
        <f t="array" ref="C35">IF(B35="","",SUMIF(Implementos!B:B,XLOOKUP(B35,Productos!A:A,Productos!F:F,"",0,1),Implementos!A:A))</f>
        <v>6</v>
      </c>
      <c r="D35" s="14">
        <f t="array" ref="D35">IF(OR(H35="",H35="Selecciona.."),"",XLOOKUP(H35,Propiedades!B:B,Propiedades!A:A,"",0,1))</f>
        <v>2</v>
      </c>
      <c r="E35" s="14">
        <f t="shared" si="2"/>
        <v>0</v>
      </c>
      <c r="F35" s="14" t="str">
        <f t="shared" si="3"/>
        <v>51-2-Exa</v>
      </c>
      <c r="G35" s="13" t="s">
        <v>69</v>
      </c>
      <c r="H35" s="13" t="s">
        <v>56</v>
      </c>
      <c r="I35" s="16" t="s">
        <v>55</v>
      </c>
      <c r="J35" s="17">
        <f>(J34*0.75)+L35</f>
        <v>2660</v>
      </c>
      <c r="K35" s="14" t="str">
        <f t="array" ref="K35">IF(OR(H35="",H35="Selecciona.."),"",XLOOKUP(H35,Propiedades!B:B,Propiedades!C:C,"",0,1))</f>
        <v>kg</v>
      </c>
      <c r="L35" s="1">
        <v>410.0</v>
      </c>
    </row>
    <row r="36">
      <c r="A36" s="14">
        <f t="shared" si="1"/>
        <v>35</v>
      </c>
      <c r="B36" s="14">
        <f t="array" ref="B36">IF(OR(G36="",G36="Selecciona.."),"",XLOOKUP(G36,Productos!E:E,Productos!A:A,"",0,1))</f>
        <v>51</v>
      </c>
      <c r="C36" s="14">
        <f t="array" ref="C36">IF(B36="","",SUMIF(Implementos!B:B,XLOOKUP(B36,Productos!A:A,Productos!F:F,"",0,1),Implementos!A:A))</f>
        <v>6</v>
      </c>
      <c r="D36" s="14">
        <f t="array" ref="D36">IF(OR(H36="",H36="Selecciona.."),"",XLOOKUP(H36,Propiedades!B:B,Propiedades!A:A,"",0,1))</f>
        <v>1</v>
      </c>
      <c r="E36" s="14">
        <f t="shared" si="2"/>
        <v>0</v>
      </c>
      <c r="F36" s="14" t="str">
        <f t="shared" si="3"/>
        <v>51-1-Exa</v>
      </c>
      <c r="G36" s="13" t="s">
        <v>69</v>
      </c>
      <c r="H36" s="13" t="s">
        <v>57</v>
      </c>
      <c r="I36" s="16" t="s">
        <v>55</v>
      </c>
      <c r="J36" s="16">
        <v>2.4</v>
      </c>
      <c r="K36" s="14" t="str">
        <f t="array" ref="K36">IF(OR(H36="",H36="Selecciona.."),"",XLOOKUP(H36,Propiedades!B:B,Propiedades!C:C,"",0,1))</f>
        <v>mts</v>
      </c>
    </row>
    <row r="37">
      <c r="A37" s="14">
        <f t="shared" si="1"/>
        <v>36</v>
      </c>
      <c r="B37" s="14">
        <f t="array" ref="B37">IF(OR(G37="",G37="Selecciona.."),"",XLOOKUP(G37,Productos!E:E,Productos!A:A,"",0,1))</f>
        <v>51</v>
      </c>
      <c r="C37" s="14">
        <f t="array" ref="C37">IF(B37="","",SUMIF(Implementos!B:B,XLOOKUP(B37,Productos!A:A,Productos!F:F,"",0,1),Implementos!A:A))</f>
        <v>6</v>
      </c>
      <c r="D37" s="14">
        <f t="array" ref="D37">IF(OR(H37="",H37="Selecciona.."),"",XLOOKUP(H37,Propiedades!B:B,Propiedades!A:A,"",0,1))</f>
        <v>4</v>
      </c>
      <c r="E37" s="14">
        <f t="shared" si="2"/>
        <v>0</v>
      </c>
      <c r="F37" s="14" t="str">
        <f t="shared" si="3"/>
        <v>51-4-Exa</v>
      </c>
      <c r="G37" s="13" t="s">
        <v>69</v>
      </c>
      <c r="H37" s="13" t="s">
        <v>58</v>
      </c>
      <c r="I37" s="16" t="s">
        <v>55</v>
      </c>
      <c r="J37" s="16">
        <v>870.0</v>
      </c>
      <c r="K37" s="14" t="str">
        <f t="array" ref="K37">IF(OR(H37="",H37="Selecciona.."),"",XLOOKUP(H37,Propiedades!B:B,Propiedades!C:C,"",0,1))</f>
        <v>mm</v>
      </c>
    </row>
    <row r="38">
      <c r="A38" s="14">
        <f t="shared" si="1"/>
        <v>37</v>
      </c>
      <c r="B38" s="14">
        <f t="array" ref="B38">IF(OR(G38="",G38="Selecciona.."),"",XLOOKUP(G38,Productos!E:E,Productos!A:A,"",0,1))</f>
        <v>47</v>
      </c>
      <c r="C38" s="14">
        <f t="array" ref="C38">IF(B38="","",SUMIF(Implementos!B:B,XLOOKUP(B38,Productos!A:A,Productos!F:F,"",0,1),Implementos!A:A))</f>
        <v>6</v>
      </c>
      <c r="D38" s="14">
        <f t="array" ref="D38">IF(OR(H38="",H38="Selecciona.."),"",XLOOKUP(H38,Propiedades!B:B,Propiedades!A:A,"",0,1))</f>
        <v>3</v>
      </c>
      <c r="E38" s="14">
        <f t="shared" si="2"/>
        <v>0</v>
      </c>
      <c r="F38" s="14" t="str">
        <f t="shared" si="3"/>
        <v>47-3-Exa</v>
      </c>
      <c r="G38" s="13" t="s">
        <v>70</v>
      </c>
      <c r="H38" s="13" t="s">
        <v>54</v>
      </c>
      <c r="I38" s="16" t="s">
        <v>55</v>
      </c>
      <c r="J38" s="16">
        <v>1800.0</v>
      </c>
      <c r="K38" s="14" t="str">
        <f t="array" ref="K38">IF(OR(H38="",H38="Selecciona.."),"",XLOOKUP(H38,Propiedades!B:B,Propiedades!C:C,"",0,1))</f>
        <v>lts</v>
      </c>
    </row>
    <row r="39">
      <c r="A39" s="14">
        <f t="shared" si="1"/>
        <v>38</v>
      </c>
      <c r="B39" s="14">
        <f t="array" ref="B39">IF(OR(G39="",G39="Selecciona.."),"",XLOOKUP(G39,Productos!E:E,Productos!A:A,"",0,1))</f>
        <v>47</v>
      </c>
      <c r="C39" s="14">
        <f t="array" ref="C39">IF(B39="","",SUMIF(Implementos!B:B,XLOOKUP(B39,Productos!A:A,Productos!F:F,"",0,1),Implementos!A:A))</f>
        <v>6</v>
      </c>
      <c r="D39" s="14">
        <f t="array" ref="D39">IF(OR(H39="",H39="Selecciona.."),"",XLOOKUP(H39,Propiedades!B:B,Propiedades!A:A,"",0,1))</f>
        <v>2</v>
      </c>
      <c r="E39" s="14">
        <f t="shared" si="2"/>
        <v>0</v>
      </c>
      <c r="F39" s="14" t="str">
        <f t="shared" si="3"/>
        <v>47-2-Exa</v>
      </c>
      <c r="G39" s="13" t="s">
        <v>70</v>
      </c>
      <c r="H39" s="13" t="s">
        <v>56</v>
      </c>
      <c r="I39" s="16" t="s">
        <v>55</v>
      </c>
      <c r="J39" s="17">
        <f>(J38*0.75)+L39</f>
        <v>1650</v>
      </c>
      <c r="K39" s="14" t="str">
        <f t="array" ref="K39">IF(OR(H39="",H39="Selecciona.."),"",XLOOKUP(H39,Propiedades!B:B,Propiedades!C:C,"",0,1))</f>
        <v>kg</v>
      </c>
      <c r="L39" s="1">
        <v>300.0</v>
      </c>
    </row>
    <row r="40">
      <c r="A40" s="14">
        <f t="shared" si="1"/>
        <v>39</v>
      </c>
      <c r="B40" s="14">
        <f t="array" ref="B40">IF(OR(G40="",G40="Selecciona.."),"",XLOOKUP(G40,Productos!E:E,Productos!A:A,"",0,1))</f>
        <v>47</v>
      </c>
      <c r="C40" s="14">
        <f t="array" ref="C40">IF(B40="","",SUMIF(Implementos!B:B,XLOOKUP(B40,Productos!A:A,Productos!F:F,"",0,1),Implementos!A:A))</f>
        <v>6</v>
      </c>
      <c r="D40" s="14">
        <f t="array" ref="D40">IF(OR(H40="",H40="Selecciona.."),"",XLOOKUP(H40,Propiedades!B:B,Propiedades!A:A,"",0,1))</f>
        <v>1</v>
      </c>
      <c r="E40" s="14">
        <f t="shared" si="2"/>
        <v>0</v>
      </c>
      <c r="F40" s="14" t="str">
        <f t="shared" si="3"/>
        <v>47-1-Exa</v>
      </c>
      <c r="G40" s="13" t="s">
        <v>70</v>
      </c>
      <c r="H40" s="13" t="s">
        <v>57</v>
      </c>
      <c r="I40" s="16" t="s">
        <v>55</v>
      </c>
      <c r="J40" s="16">
        <v>1.8</v>
      </c>
      <c r="K40" s="14" t="str">
        <f t="array" ref="K40">IF(OR(H40="",H40="Selecciona.."),"",XLOOKUP(H40,Propiedades!B:B,Propiedades!C:C,"",0,1))</f>
        <v>mts</v>
      </c>
    </row>
    <row r="41">
      <c r="A41" s="14">
        <f t="shared" si="1"/>
        <v>40</v>
      </c>
      <c r="B41" s="14">
        <f t="array" ref="B41">IF(OR(G41="",G41="Selecciona.."),"",XLOOKUP(G41,Productos!E:E,Productos!A:A,"",0,1))</f>
        <v>47</v>
      </c>
      <c r="C41" s="14">
        <f t="array" ref="C41">IF(B41="","",SUMIF(Implementos!B:B,XLOOKUP(B41,Productos!A:A,Productos!F:F,"",0,1),Implementos!A:A))</f>
        <v>6</v>
      </c>
      <c r="D41" s="14">
        <f t="array" ref="D41">IF(OR(H41="",H41="Selecciona.."),"",XLOOKUP(H41,Propiedades!B:B,Propiedades!A:A,"",0,1))</f>
        <v>4</v>
      </c>
      <c r="E41" s="14">
        <f t="shared" si="2"/>
        <v>0</v>
      </c>
      <c r="F41" s="14" t="str">
        <f t="shared" si="3"/>
        <v>47-4-Exa</v>
      </c>
      <c r="G41" s="13" t="s">
        <v>70</v>
      </c>
      <c r="H41" s="13" t="s">
        <v>58</v>
      </c>
      <c r="I41" s="16" t="s">
        <v>55</v>
      </c>
      <c r="J41" s="16">
        <v>770.0</v>
      </c>
      <c r="K41" s="14" t="str">
        <f t="array" ref="K41">IF(OR(H41="",H41="Selecciona.."),"",XLOOKUP(H41,Propiedades!B:B,Propiedades!C:C,"",0,1))</f>
        <v>mm</v>
      </c>
    </row>
    <row r="42">
      <c r="A42" s="14">
        <f t="shared" si="1"/>
        <v>41</v>
      </c>
      <c r="B42" s="14">
        <f t="array" ref="B42">IF(OR(G42="",G42="Selecciona.."),"",XLOOKUP(G42,Productos!E:E,Productos!A:A,"",0,1))</f>
        <v>45</v>
      </c>
      <c r="C42" s="14">
        <f t="array" ref="C42">IF(B42="","",SUMIF(Implementos!B:B,XLOOKUP(B42,Productos!A:A,Productos!F:F,"",0,1),Implementos!A:A))</f>
        <v>6</v>
      </c>
      <c r="D42" s="14">
        <f t="array" ref="D42">IF(OR(H42="",H42="Selecciona.."),"",XLOOKUP(H42,Propiedades!B:B,Propiedades!A:A,"",0,1))</f>
        <v>3</v>
      </c>
      <c r="E42" s="14">
        <f t="shared" si="2"/>
        <v>0</v>
      </c>
      <c r="F42" s="14" t="str">
        <f t="shared" si="3"/>
        <v>45-3-Exa</v>
      </c>
      <c r="G42" s="13" t="s">
        <v>71</v>
      </c>
      <c r="H42" s="13" t="s">
        <v>54</v>
      </c>
      <c r="I42" s="16" t="s">
        <v>55</v>
      </c>
      <c r="J42" s="16">
        <v>1100.0</v>
      </c>
      <c r="K42" s="14" t="str">
        <f t="array" ref="K42">IF(OR(H42="",H42="Selecciona.."),"",XLOOKUP(H42,Propiedades!B:B,Propiedades!C:C,"",0,1))</f>
        <v>lts</v>
      </c>
    </row>
    <row r="43">
      <c r="A43" s="14">
        <f t="shared" si="1"/>
        <v>42</v>
      </c>
      <c r="B43" s="14">
        <f t="array" ref="B43">IF(OR(G43="",G43="Selecciona.."),"",XLOOKUP(G43,Productos!E:E,Productos!A:A,"",0,1))</f>
        <v>45</v>
      </c>
      <c r="C43" s="14">
        <f t="array" ref="C43">IF(B43="","",SUMIF(Implementos!B:B,XLOOKUP(B43,Productos!A:A,Productos!F:F,"",0,1),Implementos!A:A))</f>
        <v>6</v>
      </c>
      <c r="D43" s="14">
        <f t="array" ref="D43">IF(OR(H43="",H43="Selecciona.."),"",XLOOKUP(H43,Propiedades!B:B,Propiedades!A:A,"",0,1))</f>
        <v>2</v>
      </c>
      <c r="E43" s="14">
        <f t="shared" si="2"/>
        <v>0</v>
      </c>
      <c r="F43" s="14" t="str">
        <f t="shared" si="3"/>
        <v>45-2-Exa</v>
      </c>
      <c r="G43" s="13" t="s">
        <v>71</v>
      </c>
      <c r="H43" s="13" t="s">
        <v>56</v>
      </c>
      <c r="I43" s="16" t="s">
        <v>55</v>
      </c>
      <c r="J43" s="17">
        <f>(J42*0.75)+L43</f>
        <v>1055</v>
      </c>
      <c r="K43" s="14" t="str">
        <f t="array" ref="K43">IF(OR(H43="",H43="Selecciona.."),"",XLOOKUP(H43,Propiedades!B:B,Propiedades!C:C,"",0,1))</f>
        <v>kg</v>
      </c>
      <c r="L43" s="1">
        <v>230.0</v>
      </c>
    </row>
    <row r="44">
      <c r="A44" s="14">
        <f t="shared" si="1"/>
        <v>43</v>
      </c>
      <c r="B44" s="14">
        <f t="array" ref="B44">IF(OR(G44="",G44="Selecciona.."),"",XLOOKUP(G44,Productos!E:E,Productos!A:A,"",0,1))</f>
        <v>45</v>
      </c>
      <c r="C44" s="14">
        <f t="array" ref="C44">IF(B44="","",SUMIF(Implementos!B:B,XLOOKUP(B44,Productos!A:A,Productos!F:F,"",0,1),Implementos!A:A))</f>
        <v>6</v>
      </c>
      <c r="D44" s="14">
        <f t="array" ref="D44">IF(OR(H44="",H44="Selecciona.."),"",XLOOKUP(H44,Propiedades!B:B,Propiedades!A:A,"",0,1))</f>
        <v>1</v>
      </c>
      <c r="E44" s="14">
        <f t="shared" si="2"/>
        <v>0</v>
      </c>
      <c r="F44" s="14" t="str">
        <f t="shared" si="3"/>
        <v>45-1-Exa</v>
      </c>
      <c r="G44" s="13" t="s">
        <v>71</v>
      </c>
      <c r="H44" s="13" t="s">
        <v>57</v>
      </c>
      <c r="I44" s="16" t="s">
        <v>55</v>
      </c>
      <c r="J44" s="16">
        <v>1.4</v>
      </c>
      <c r="K44" s="14" t="str">
        <f t="array" ref="K44">IF(OR(H44="",H44="Selecciona.."),"",XLOOKUP(H44,Propiedades!B:B,Propiedades!C:C,"",0,1))</f>
        <v>mts</v>
      </c>
    </row>
    <row r="45">
      <c r="A45" s="14">
        <f t="shared" si="1"/>
        <v>44</v>
      </c>
      <c r="B45" s="14">
        <f t="array" ref="B45">IF(OR(G45="",G45="Selecciona.."),"",XLOOKUP(G45,Productos!E:E,Productos!A:A,"",0,1))</f>
        <v>45</v>
      </c>
      <c r="C45" s="14">
        <f t="array" ref="C45">IF(B45="","",SUMIF(Implementos!B:B,XLOOKUP(B45,Productos!A:A,Productos!F:F,"",0,1),Implementos!A:A))</f>
        <v>6</v>
      </c>
      <c r="D45" s="14">
        <f t="array" ref="D45">IF(OR(H45="",H45="Selecciona.."),"",XLOOKUP(H45,Propiedades!B:B,Propiedades!A:A,"",0,1))</f>
        <v>4</v>
      </c>
      <c r="E45" s="14">
        <f t="shared" si="2"/>
        <v>0</v>
      </c>
      <c r="F45" s="14" t="str">
        <f t="shared" si="3"/>
        <v>45-4-Exa</v>
      </c>
      <c r="G45" s="13" t="s">
        <v>71</v>
      </c>
      <c r="H45" s="13" t="s">
        <v>58</v>
      </c>
      <c r="I45" s="16" t="s">
        <v>55</v>
      </c>
      <c r="J45" s="16">
        <v>650.0</v>
      </c>
      <c r="K45" s="14" t="str">
        <f t="array" ref="K45">IF(OR(H45="",H45="Selecciona.."),"",XLOOKUP(H45,Propiedades!B:B,Propiedades!C:C,"",0,1))</f>
        <v>mm</v>
      </c>
    </row>
    <row r="46">
      <c r="A46" s="14">
        <f t="shared" si="1"/>
        <v>45</v>
      </c>
      <c r="B46" s="14">
        <f t="array" ref="B46">IF(OR(G46="",G46="Selecciona.."),"",XLOOKUP(G46,Productos!E:E,Productos!A:A,"",0,1))</f>
        <v>56</v>
      </c>
      <c r="C46" s="14">
        <f t="array" ref="C46">IF(B46="","",SUMIF(Implementos!B:B,XLOOKUP(B46,Productos!A:A,Productos!F:F,"",0,1),Implementos!A:A))</f>
        <v>6</v>
      </c>
      <c r="D46" s="14">
        <f t="array" ref="D46">IF(OR(H46="",H46="Selecciona.."),"",XLOOKUP(H46,Propiedades!B:B,Propiedades!A:A,"",0,1))</f>
        <v>3</v>
      </c>
      <c r="E46" s="14">
        <f t="shared" si="2"/>
        <v>0</v>
      </c>
      <c r="F46" s="14" t="str">
        <f t="shared" si="3"/>
        <v>56-3-Exa</v>
      </c>
      <c r="G46" s="13" t="s">
        <v>29</v>
      </c>
      <c r="H46" s="13" t="s">
        <v>54</v>
      </c>
      <c r="I46" s="16" t="s">
        <v>55</v>
      </c>
      <c r="J46" s="16">
        <v>4000.0</v>
      </c>
      <c r="K46" s="14" t="str">
        <f t="array" ref="K46">IF(OR(H46="",H46="Selecciona.."),"",XLOOKUP(H46,Propiedades!B:B,Propiedades!C:C,"",0,1))</f>
        <v>lts</v>
      </c>
    </row>
    <row r="47">
      <c r="A47" s="14">
        <f t="shared" si="1"/>
        <v>46</v>
      </c>
      <c r="B47" s="14">
        <f t="array" ref="B47">IF(OR(G47="",G47="Selecciona.."),"",XLOOKUP(G47,Productos!E:E,Productos!A:A,"",0,1))</f>
        <v>56</v>
      </c>
      <c r="C47" s="14">
        <f t="array" ref="C47">IF(B47="","",SUMIF(Implementos!B:B,XLOOKUP(B47,Productos!A:A,Productos!F:F,"",0,1),Implementos!A:A))</f>
        <v>6</v>
      </c>
      <c r="D47" s="14">
        <f t="array" ref="D47">IF(OR(H47="",H47="Selecciona.."),"",XLOOKUP(H47,Propiedades!B:B,Propiedades!A:A,"",0,1))</f>
        <v>2</v>
      </c>
      <c r="E47" s="14">
        <f t="shared" si="2"/>
        <v>0</v>
      </c>
      <c r="F47" s="14" t="str">
        <f t="shared" si="3"/>
        <v>56-2-Exa</v>
      </c>
      <c r="G47" s="13" t="s">
        <v>29</v>
      </c>
      <c r="H47" s="13" t="s">
        <v>56</v>
      </c>
      <c r="I47" s="16" t="s">
        <v>55</v>
      </c>
      <c r="J47" s="17">
        <f>(J46*0.75)+L47</f>
        <v>3560</v>
      </c>
      <c r="K47" s="14" t="str">
        <f t="array" ref="K47">IF(OR(H47="",H47="Selecciona.."),"",XLOOKUP(H47,Propiedades!B:B,Propiedades!C:C,"",0,1))</f>
        <v>kg</v>
      </c>
      <c r="L47" s="1">
        <v>560.0</v>
      </c>
    </row>
    <row r="48">
      <c r="A48" s="14">
        <f t="shared" si="1"/>
        <v>47</v>
      </c>
      <c r="B48" s="14">
        <f t="array" ref="B48">IF(OR(G48="",G48="Selecciona.."),"",XLOOKUP(G48,Productos!E:E,Productos!A:A,"",0,1))</f>
        <v>56</v>
      </c>
      <c r="C48" s="14">
        <f t="array" ref="C48">IF(B48="","",SUMIF(Implementos!B:B,XLOOKUP(B48,Productos!A:A,Productos!F:F,"",0,1),Implementos!A:A))</f>
        <v>6</v>
      </c>
      <c r="D48" s="14">
        <f t="array" ref="D48">IF(OR(H48="",H48="Selecciona.."),"",XLOOKUP(H48,Propiedades!B:B,Propiedades!A:A,"",0,1))</f>
        <v>1</v>
      </c>
      <c r="E48" s="14">
        <f t="shared" si="2"/>
        <v>0</v>
      </c>
      <c r="F48" s="14" t="str">
        <f t="shared" si="3"/>
        <v>56-1-Exa</v>
      </c>
      <c r="G48" s="13" t="s">
        <v>29</v>
      </c>
      <c r="H48" s="13" t="s">
        <v>57</v>
      </c>
      <c r="I48" s="16" t="s">
        <v>55</v>
      </c>
      <c r="J48" s="16">
        <v>3.2</v>
      </c>
      <c r="K48" s="14" t="str">
        <f t="array" ref="K48">IF(OR(H48="",H48="Selecciona.."),"",XLOOKUP(H48,Propiedades!B:B,Propiedades!C:C,"",0,1))</f>
        <v>mts</v>
      </c>
    </row>
    <row r="49">
      <c r="A49" s="14">
        <f t="shared" si="1"/>
        <v>48</v>
      </c>
      <c r="B49" s="14">
        <f t="array" ref="B49">IF(OR(G49="",G49="Selecciona.."),"",XLOOKUP(G49,Productos!E:E,Productos!A:A,"",0,1))</f>
        <v>56</v>
      </c>
      <c r="C49" s="14">
        <f t="array" ref="C49">IF(B49="","",SUMIF(Implementos!B:B,XLOOKUP(B49,Productos!A:A,Productos!F:F,"",0,1),Implementos!A:A))</f>
        <v>6</v>
      </c>
      <c r="D49" s="14">
        <f t="array" ref="D49">IF(OR(H49="",H49="Selecciona.."),"",XLOOKUP(H49,Propiedades!B:B,Propiedades!A:A,"",0,1))</f>
        <v>4</v>
      </c>
      <c r="E49" s="14">
        <f t="shared" si="2"/>
        <v>0</v>
      </c>
      <c r="F49" s="14" t="str">
        <f t="shared" si="3"/>
        <v>56-4-Exa</v>
      </c>
      <c r="G49" s="13" t="s">
        <v>29</v>
      </c>
      <c r="H49" s="13" t="s">
        <v>58</v>
      </c>
      <c r="I49" s="16" t="s">
        <v>55</v>
      </c>
      <c r="J49" s="16">
        <v>870.0</v>
      </c>
      <c r="K49" s="14" t="str">
        <f t="array" ref="K49">IF(OR(H49="",H49="Selecciona.."),"",XLOOKUP(H49,Propiedades!B:B,Propiedades!C:C,"",0,1))</f>
        <v>mm</v>
      </c>
    </row>
    <row r="50">
      <c r="A50" s="14">
        <f t="shared" si="1"/>
        <v>49</v>
      </c>
      <c r="B50" s="14">
        <f t="array" ref="B50">IF(OR(G50="",G50="Selecciona.."),"",XLOOKUP(G50,Productos!E:E,Productos!A:A,"",0,1))</f>
        <v>57</v>
      </c>
      <c r="C50" s="14">
        <f t="array" ref="C50">IF(B50="","",SUMIF(Implementos!B:B,XLOOKUP(B50,Productos!A:A,Productos!F:F,"",0,1),Implementos!A:A))</f>
        <v>6</v>
      </c>
      <c r="D50" s="14">
        <f t="array" ref="D50">IF(OR(H50="",H50="Selecciona.."),"",XLOOKUP(H50,Propiedades!B:B,Propiedades!A:A,"",0,1))</f>
        <v>3</v>
      </c>
      <c r="E50" s="14">
        <f t="shared" si="2"/>
        <v>0</v>
      </c>
      <c r="F50" s="14" t="str">
        <f t="shared" si="3"/>
        <v>57-3-Exa</v>
      </c>
      <c r="G50" s="13" t="s">
        <v>32</v>
      </c>
      <c r="H50" s="13" t="s">
        <v>54</v>
      </c>
      <c r="I50" s="16" t="s">
        <v>55</v>
      </c>
      <c r="J50" s="16">
        <f>SUMIFS('Metricas Útiles'!C:C,'Metricas Útiles'!A:A,"Capacidad Baulera",'Metricas Útiles'!B:B,J53)*J52</f>
        <v>825</v>
      </c>
      <c r="K50" s="14" t="str">
        <f t="array" ref="K50">IF(OR(H50="",H50="Selecciona.."),"",XLOOKUP(H50,Propiedades!B:B,Propiedades!C:C,"",0,1))</f>
        <v>lts</v>
      </c>
    </row>
    <row r="51">
      <c r="A51" s="14">
        <f t="shared" si="1"/>
        <v>50</v>
      </c>
      <c r="B51" s="14">
        <f t="array" ref="B51">IF(OR(G51="",G51="Selecciona.."),"",XLOOKUP(G51,Productos!E:E,Productos!A:A,"",0,1))</f>
        <v>57</v>
      </c>
      <c r="C51" s="14">
        <f t="array" ref="C51">IF(B51="","",SUMIF(Implementos!B:B,XLOOKUP(B51,Productos!A:A,Productos!F:F,"",0,1),Implementos!A:A))</f>
        <v>6</v>
      </c>
      <c r="D51" s="14">
        <f t="array" ref="D51">IF(OR(H51="",H51="Selecciona.."),"",XLOOKUP(H51,Propiedades!B:B,Propiedades!A:A,"",0,1))</f>
        <v>2</v>
      </c>
      <c r="E51" s="14">
        <f t="shared" si="2"/>
        <v>0</v>
      </c>
      <c r="F51" s="14" t="str">
        <f t="shared" si="3"/>
        <v>57-2-Exa</v>
      </c>
      <c r="G51" s="13" t="s">
        <v>32</v>
      </c>
      <c r="H51" s="13" t="s">
        <v>56</v>
      </c>
      <c r="I51" s="16" t="s">
        <v>55</v>
      </c>
      <c r="J51" s="16">
        <f>J50*SUMIFS('Metricas Útiles'!C:C,'Metricas Útiles'!A:A,"Peso Especifico",'Metricas Útiles'!B:B,"Baulera")+L51</f>
        <v>481.25</v>
      </c>
      <c r="K51" s="14" t="str">
        <f t="array" ref="K51">IF(OR(H51="",H51="Selecciona.."),"",XLOOKUP(H51,Propiedades!B:B,Propiedades!C:C,"",0,1))</f>
        <v>kg</v>
      </c>
      <c r="L51" s="1">
        <v>110.0</v>
      </c>
    </row>
    <row r="52">
      <c r="A52" s="14">
        <f t="shared" si="1"/>
        <v>51</v>
      </c>
      <c r="B52" s="14">
        <f t="array" ref="B52">IF(OR(G52="",G52="Selecciona.."),"",XLOOKUP(G52,Productos!E:E,Productos!A:A,"",0,1))</f>
        <v>57</v>
      </c>
      <c r="C52" s="14">
        <f t="array" ref="C52">IF(B52="","",SUMIF(Implementos!B:B,XLOOKUP(B52,Productos!A:A,Productos!F:F,"",0,1),Implementos!A:A))</f>
        <v>6</v>
      </c>
      <c r="D52" s="14">
        <f t="array" ref="D52">IF(OR(H52="",H52="Selecciona.."),"",XLOOKUP(H52,Propiedades!B:B,Propiedades!A:A,"",0,1))</f>
        <v>1</v>
      </c>
      <c r="E52" s="14">
        <f t="shared" si="2"/>
        <v>0</v>
      </c>
      <c r="F52" s="14" t="str">
        <f t="shared" si="3"/>
        <v>57-1-Exa</v>
      </c>
      <c r="G52" s="13" t="s">
        <v>32</v>
      </c>
      <c r="H52" s="13" t="s">
        <v>57</v>
      </c>
      <c r="I52" s="16" t="s">
        <v>55</v>
      </c>
      <c r="J52" s="16">
        <v>0.75</v>
      </c>
      <c r="K52" s="14" t="str">
        <f t="array" ref="K52">IF(OR(H52="",H52="Selecciona.."),"",XLOOKUP(H52,Propiedades!B:B,Propiedades!C:C,"",0,1))</f>
        <v>mts</v>
      </c>
    </row>
    <row r="53">
      <c r="A53" s="14">
        <f t="shared" si="1"/>
        <v>52</v>
      </c>
      <c r="B53" s="14">
        <f t="array" ref="B53">IF(OR(G53="",G53="Selecciona.."),"",XLOOKUP(G53,Productos!E:E,Productos!A:A,"",0,1))</f>
        <v>57</v>
      </c>
      <c r="C53" s="14">
        <f t="array" ref="C53">IF(B53="","",SUMIF(Implementos!B:B,XLOOKUP(B53,Productos!A:A,Productos!F:F,"",0,1),Implementos!A:A))</f>
        <v>6</v>
      </c>
      <c r="D53" s="14">
        <f t="array" ref="D53">IF(OR(H53="",H53="Selecciona.."),"",XLOOKUP(H53,Propiedades!B:B,Propiedades!A:A,"",0,1))</f>
        <v>4</v>
      </c>
      <c r="E53" s="14">
        <f t="shared" si="2"/>
        <v>0</v>
      </c>
      <c r="F53" s="14" t="str">
        <f t="shared" si="3"/>
        <v>57-4-Exa</v>
      </c>
      <c r="G53" s="13" t="s">
        <v>32</v>
      </c>
      <c r="H53" s="13" t="s">
        <v>58</v>
      </c>
      <c r="I53" s="16" t="s">
        <v>55</v>
      </c>
      <c r="J53" s="16">
        <v>770.0</v>
      </c>
      <c r="K53" s="14" t="str">
        <f t="array" ref="K53">IF(OR(H53="",H53="Selecciona.."),"",XLOOKUP(H53,Propiedades!B:B,Propiedades!C:C,"",0,1))</f>
        <v>mm</v>
      </c>
    </row>
    <row r="54">
      <c r="A54" s="14">
        <f t="shared" si="1"/>
        <v>53</v>
      </c>
      <c r="B54" s="14">
        <f t="array" ref="B54">IF(OR(G54="",G54="Selecciona.."),"",XLOOKUP(G54,Productos!E:E,Productos!A:A,"",0,1))</f>
        <v>58</v>
      </c>
      <c r="C54" s="14">
        <f t="array" ref="C54">IF(B54="","",SUMIF(Implementos!B:B,XLOOKUP(B54,Productos!A:A,Productos!F:F,"",0,1),Implementos!A:A))</f>
        <v>6</v>
      </c>
      <c r="D54" s="14">
        <f t="array" ref="D54">IF(OR(H54="",H54="Selecciona.."),"",XLOOKUP(H54,Propiedades!B:B,Propiedades!A:A,"",0,1))</f>
        <v>3</v>
      </c>
      <c r="E54" s="14">
        <f t="shared" si="2"/>
        <v>0</v>
      </c>
      <c r="F54" s="14" t="str">
        <f t="shared" si="3"/>
        <v>58-3-Exa</v>
      </c>
      <c r="G54" s="13" t="s">
        <v>72</v>
      </c>
      <c r="H54" s="13" t="s">
        <v>54</v>
      </c>
      <c r="I54" s="16" t="s">
        <v>55</v>
      </c>
      <c r="J54" s="16">
        <f>SUMIFS('Metricas Útiles'!C:C,'Metricas Útiles'!A:A,"Capacidad Baulera",'Metricas Útiles'!B:B,J57)*J56</f>
        <v>1870</v>
      </c>
      <c r="K54" s="14" t="str">
        <f t="array" ref="K54">IF(OR(H54="",H54="Selecciona.."),"",XLOOKUP(H54,Propiedades!B:B,Propiedades!C:C,"",0,1))</f>
        <v>lts</v>
      </c>
    </row>
    <row r="55">
      <c r="A55" s="14">
        <f t="shared" si="1"/>
        <v>54</v>
      </c>
      <c r="B55" s="14">
        <f t="array" ref="B55">IF(OR(G55="",G55="Selecciona.."),"",XLOOKUP(G55,Productos!E:E,Productos!A:A,"",0,1))</f>
        <v>58</v>
      </c>
      <c r="C55" s="14">
        <f t="array" ref="C55">IF(B55="","",SUMIF(Implementos!B:B,XLOOKUP(B55,Productos!A:A,Productos!F:F,"",0,1),Implementos!A:A))</f>
        <v>6</v>
      </c>
      <c r="D55" s="14">
        <f t="array" ref="D55">IF(OR(H55="",H55="Selecciona.."),"",XLOOKUP(H55,Propiedades!B:B,Propiedades!A:A,"",0,1))</f>
        <v>2</v>
      </c>
      <c r="E55" s="14">
        <f t="shared" si="2"/>
        <v>0</v>
      </c>
      <c r="F55" s="14" t="str">
        <f t="shared" si="3"/>
        <v>58-2-Exa</v>
      </c>
      <c r="G55" s="13" t="s">
        <v>72</v>
      </c>
      <c r="H55" s="13" t="s">
        <v>56</v>
      </c>
      <c r="I55" s="16" t="s">
        <v>55</v>
      </c>
      <c r="J55" s="16">
        <f>J54*SUMIFS('Metricas Útiles'!C:C,'Metricas Útiles'!A:A,"Peso Especifico",'Metricas Útiles'!B:B,"Baulera")+L55</f>
        <v>1091.5</v>
      </c>
      <c r="K55" s="14" t="str">
        <f t="array" ref="K55">IF(OR(H55="",H55="Selecciona.."),"",XLOOKUP(H55,Propiedades!B:B,Propiedades!C:C,"",0,1))</f>
        <v>kg</v>
      </c>
      <c r="L55" s="1">
        <v>250.0</v>
      </c>
    </row>
    <row r="56">
      <c r="A56" s="14">
        <f t="shared" si="1"/>
        <v>55</v>
      </c>
      <c r="B56" s="14">
        <f t="array" ref="B56">IF(OR(G56="",G56="Selecciona.."),"",XLOOKUP(G56,Productos!E:E,Productos!A:A,"",0,1))</f>
        <v>58</v>
      </c>
      <c r="C56" s="14">
        <f t="array" ref="C56">IF(B56="","",SUMIF(Implementos!B:B,XLOOKUP(B56,Productos!A:A,Productos!F:F,"",0,1),Implementos!A:A))</f>
        <v>6</v>
      </c>
      <c r="D56" s="14">
        <f t="array" ref="D56">IF(OR(H56="",H56="Selecciona.."),"",XLOOKUP(H56,Propiedades!B:B,Propiedades!A:A,"",0,1))</f>
        <v>1</v>
      </c>
      <c r="E56" s="14">
        <f t="shared" si="2"/>
        <v>0</v>
      </c>
      <c r="F56" s="14" t="str">
        <f t="shared" si="3"/>
        <v>58-1-Exa</v>
      </c>
      <c r="G56" s="13" t="s">
        <v>72</v>
      </c>
      <c r="H56" s="13" t="s">
        <v>57</v>
      </c>
      <c r="I56" s="16" t="s">
        <v>55</v>
      </c>
      <c r="J56" s="16">
        <v>1.7</v>
      </c>
      <c r="K56" s="14" t="str">
        <f t="array" ref="K56">IF(OR(H56="",H56="Selecciona.."),"",XLOOKUP(H56,Propiedades!B:B,Propiedades!C:C,"",0,1))</f>
        <v>mts</v>
      </c>
    </row>
    <row r="57">
      <c r="A57" s="14">
        <f t="shared" si="1"/>
        <v>56</v>
      </c>
      <c r="B57" s="14">
        <f t="array" ref="B57">IF(OR(G57="",G57="Selecciona.."),"",XLOOKUP(G57,Productos!E:E,Productos!A:A,"",0,1))</f>
        <v>58</v>
      </c>
      <c r="C57" s="14">
        <f t="array" ref="C57">IF(B57="","",SUMIF(Implementos!B:B,XLOOKUP(B57,Productos!A:A,Productos!F:F,"",0,1),Implementos!A:A))</f>
        <v>6</v>
      </c>
      <c r="D57" s="14">
        <f t="array" ref="D57">IF(OR(H57="",H57="Selecciona.."),"",XLOOKUP(H57,Propiedades!B:B,Propiedades!A:A,"",0,1))</f>
        <v>4</v>
      </c>
      <c r="E57" s="14">
        <f t="shared" si="2"/>
        <v>0</v>
      </c>
      <c r="F57" s="14" t="str">
        <f t="shared" si="3"/>
        <v>58-4-Exa</v>
      </c>
      <c r="G57" s="13" t="s">
        <v>72</v>
      </c>
      <c r="H57" s="13" t="s">
        <v>58</v>
      </c>
      <c r="I57" s="16" t="s">
        <v>55</v>
      </c>
      <c r="J57" s="16">
        <v>770.0</v>
      </c>
      <c r="K57" s="14" t="str">
        <f t="array" ref="K57">IF(OR(H57="",H57="Selecciona.."),"",XLOOKUP(H57,Propiedades!B:B,Propiedades!C:C,"",0,1))</f>
        <v>mm</v>
      </c>
    </row>
    <row r="58">
      <c r="A58" s="14">
        <f t="shared" si="1"/>
        <v>57</v>
      </c>
      <c r="B58" s="14">
        <f t="array" ref="B58">IF(OR(G58="",G58="Selecciona.."),"",XLOOKUP(G58,Productos!E:E,Productos!A:A,"",0,1))</f>
        <v>59</v>
      </c>
      <c r="C58" s="14">
        <f t="array" ref="C58">IF(B58="","",SUMIF(Implementos!B:B,XLOOKUP(B58,Productos!A:A,Productos!F:F,"",0,1),Implementos!A:A))</f>
        <v>6</v>
      </c>
      <c r="D58" s="14">
        <f t="array" ref="D58">IF(OR(H58="",H58="Selecciona.."),"",XLOOKUP(H58,Propiedades!B:B,Propiedades!A:A,"",0,1))</f>
        <v>3</v>
      </c>
      <c r="E58" s="14">
        <f t="shared" si="2"/>
        <v>0</v>
      </c>
      <c r="F58" s="14" t="str">
        <f t="shared" si="3"/>
        <v>59-3-Exa</v>
      </c>
      <c r="G58" s="13" t="s">
        <v>73</v>
      </c>
      <c r="H58" s="13" t="s">
        <v>54</v>
      </c>
      <c r="I58" s="16" t="s">
        <v>55</v>
      </c>
      <c r="J58" s="16">
        <f>SUMIFS('Metricas Útiles'!C:C,'Metricas Útiles'!A:A,"Capacidad Baulera",'Metricas Útiles'!B:B,J61)*J60</f>
        <v>1100</v>
      </c>
      <c r="K58" s="14" t="str">
        <f t="array" ref="K58">IF(OR(H58="",H58="Selecciona.."),"",XLOOKUP(H58,Propiedades!B:B,Propiedades!C:C,"",0,1))</f>
        <v>lts</v>
      </c>
    </row>
    <row r="59">
      <c r="A59" s="14">
        <f t="shared" si="1"/>
        <v>58</v>
      </c>
      <c r="B59" s="14">
        <f t="array" ref="B59">IF(OR(G59="",G59="Selecciona.."),"",XLOOKUP(G59,Productos!E:E,Productos!A:A,"",0,1))</f>
        <v>59</v>
      </c>
      <c r="C59" s="14">
        <f t="array" ref="C59">IF(B59="","",SUMIF(Implementos!B:B,XLOOKUP(B59,Productos!A:A,Productos!F:F,"",0,1),Implementos!A:A))</f>
        <v>6</v>
      </c>
      <c r="D59" s="14">
        <f t="array" ref="D59">IF(OR(H59="",H59="Selecciona.."),"",XLOOKUP(H59,Propiedades!B:B,Propiedades!A:A,"",0,1))</f>
        <v>2</v>
      </c>
      <c r="E59" s="14">
        <f t="shared" si="2"/>
        <v>0</v>
      </c>
      <c r="F59" s="14" t="str">
        <f t="shared" si="3"/>
        <v>59-2-Exa</v>
      </c>
      <c r="G59" s="13" t="s">
        <v>73</v>
      </c>
      <c r="H59" s="13" t="s">
        <v>56</v>
      </c>
      <c r="I59" s="16" t="s">
        <v>55</v>
      </c>
      <c r="J59" s="16">
        <f>J58*SUMIFS('Metricas Útiles'!C:C,'Metricas Útiles'!A:A,"Peso Especifico",'Metricas Útiles'!B:B,"Baulera")+L59</f>
        <v>660</v>
      </c>
      <c r="K59" s="14" t="str">
        <f t="array" ref="K59">IF(OR(H59="",H59="Selecciona.."),"",XLOOKUP(H59,Propiedades!B:B,Propiedades!C:C,"",0,1))</f>
        <v>kg</v>
      </c>
      <c r="L59" s="1">
        <v>165.0</v>
      </c>
    </row>
    <row r="60">
      <c r="A60" s="14">
        <f t="shared" si="1"/>
        <v>59</v>
      </c>
      <c r="B60" s="14">
        <f t="array" ref="B60">IF(OR(G60="",G60="Selecciona.."),"",XLOOKUP(G60,Productos!E:E,Productos!A:A,"",0,1))</f>
        <v>59</v>
      </c>
      <c r="C60" s="14">
        <f t="array" ref="C60">IF(B60="","",SUMIF(Implementos!B:B,XLOOKUP(B60,Productos!A:A,Productos!F:F,"",0,1),Implementos!A:A))</f>
        <v>6</v>
      </c>
      <c r="D60" s="14">
        <f t="array" ref="D60">IF(OR(H60="",H60="Selecciona.."),"",XLOOKUP(H60,Propiedades!B:B,Propiedades!A:A,"",0,1))</f>
        <v>1</v>
      </c>
      <c r="E60" s="14">
        <f t="shared" si="2"/>
        <v>0</v>
      </c>
      <c r="F60" s="14" t="str">
        <f t="shared" si="3"/>
        <v>59-1-Exa</v>
      </c>
      <c r="G60" s="13" t="s">
        <v>73</v>
      </c>
      <c r="H60" s="13" t="s">
        <v>57</v>
      </c>
      <c r="I60" s="16" t="s">
        <v>55</v>
      </c>
      <c r="J60" s="16">
        <v>1.0</v>
      </c>
      <c r="K60" s="14" t="str">
        <f t="array" ref="K60">IF(OR(H60="",H60="Selecciona.."),"",XLOOKUP(H60,Propiedades!B:B,Propiedades!C:C,"",0,1))</f>
        <v>mts</v>
      </c>
    </row>
    <row r="61">
      <c r="A61" s="14">
        <f t="shared" si="1"/>
        <v>60</v>
      </c>
      <c r="B61" s="14">
        <f t="array" ref="B61">IF(OR(G61="",G61="Selecciona.."),"",XLOOKUP(G61,Productos!E:E,Productos!A:A,"",0,1))</f>
        <v>59</v>
      </c>
      <c r="C61" s="14">
        <f t="array" ref="C61">IF(B61="","",SUMIF(Implementos!B:B,XLOOKUP(B61,Productos!A:A,Productos!F:F,"",0,1),Implementos!A:A))</f>
        <v>6</v>
      </c>
      <c r="D61" s="14">
        <f t="array" ref="D61">IF(OR(H61="",H61="Selecciona.."),"",XLOOKUP(H61,Propiedades!B:B,Propiedades!A:A,"",0,1))</f>
        <v>4</v>
      </c>
      <c r="E61" s="14">
        <f t="shared" si="2"/>
        <v>0</v>
      </c>
      <c r="F61" s="14" t="str">
        <f t="shared" si="3"/>
        <v>59-4-Exa</v>
      </c>
      <c r="G61" s="13" t="s">
        <v>73</v>
      </c>
      <c r="H61" s="13" t="s">
        <v>58</v>
      </c>
      <c r="I61" s="16" t="s">
        <v>55</v>
      </c>
      <c r="J61" s="16">
        <v>770.0</v>
      </c>
      <c r="K61" s="14" t="str">
        <f t="array" ref="K61">IF(OR(H61="",H61="Selecciona.."),"",XLOOKUP(H61,Propiedades!B:B,Propiedades!C:C,"",0,1))</f>
        <v>mm</v>
      </c>
    </row>
    <row r="62">
      <c r="A62" s="14">
        <f t="shared" si="1"/>
        <v>61</v>
      </c>
      <c r="B62" s="14">
        <f t="array" ref="B62">IF(OR(G62="",G62="Selecciona.."),"",XLOOKUP(G62,Productos!E:E,Productos!A:A,"",0,1))</f>
        <v>60</v>
      </c>
      <c r="C62" s="14">
        <f t="array" ref="C62">IF(B62="","",SUMIF(Implementos!B:B,XLOOKUP(B62,Productos!A:A,Productos!F:F,"",0,1),Implementos!A:A))</f>
        <v>6</v>
      </c>
      <c r="D62" s="14">
        <f t="array" ref="D62">IF(OR(H62="",H62="Selecciona.."),"",XLOOKUP(H62,Propiedades!B:B,Propiedades!A:A,"",0,1))</f>
        <v>3</v>
      </c>
      <c r="E62" s="14">
        <f t="shared" si="2"/>
        <v>0</v>
      </c>
      <c r="F62" s="14" t="str">
        <f t="shared" si="3"/>
        <v>60-3-Exa</v>
      </c>
      <c r="G62" s="13" t="s">
        <v>74</v>
      </c>
      <c r="H62" s="13" t="s">
        <v>54</v>
      </c>
      <c r="I62" s="16" t="s">
        <v>55</v>
      </c>
      <c r="J62" s="16">
        <f>SUMIFS('Metricas Útiles'!C:C,'Metricas Útiles'!A:A,"Capacidad Baulera",'Metricas Útiles'!B:B,J65)*J64</f>
        <v>825</v>
      </c>
      <c r="K62" s="14" t="str">
        <f t="array" ref="K62">IF(OR(H62="",H62="Selecciona.."),"",XLOOKUP(H62,Propiedades!B:B,Propiedades!C:C,"",0,1))</f>
        <v>lts</v>
      </c>
    </row>
    <row r="63">
      <c r="A63" s="14">
        <f t="shared" si="1"/>
        <v>62</v>
      </c>
      <c r="B63" s="14">
        <f t="array" ref="B63">IF(OR(G63="",G63="Selecciona.."),"",XLOOKUP(G63,Productos!E:E,Productos!A:A,"",0,1))</f>
        <v>60</v>
      </c>
      <c r="C63" s="14">
        <f t="array" ref="C63">IF(B63="","",SUMIF(Implementos!B:B,XLOOKUP(B63,Productos!A:A,Productos!F:F,"",0,1),Implementos!A:A))</f>
        <v>6</v>
      </c>
      <c r="D63" s="14">
        <f t="array" ref="D63">IF(OR(H63="",H63="Selecciona.."),"",XLOOKUP(H63,Propiedades!B:B,Propiedades!A:A,"",0,1))</f>
        <v>2</v>
      </c>
      <c r="E63" s="14">
        <f t="shared" si="2"/>
        <v>0</v>
      </c>
      <c r="F63" s="14" t="str">
        <f t="shared" si="3"/>
        <v>60-2-Exa</v>
      </c>
      <c r="G63" s="13" t="s">
        <v>74</v>
      </c>
      <c r="H63" s="13" t="s">
        <v>56</v>
      </c>
      <c r="I63" s="16" t="s">
        <v>55</v>
      </c>
      <c r="J63" s="16">
        <f>J62*SUMIFS('Metricas Útiles'!C:C,'Metricas Útiles'!A:A,"Peso Especifico",'Metricas Útiles'!B:B,"Baulera")+L63</f>
        <v>496.25</v>
      </c>
      <c r="K63" s="14" t="str">
        <f t="array" ref="K63">IF(OR(H63="",H63="Selecciona.."),"",XLOOKUP(H63,Propiedades!B:B,Propiedades!C:C,"",0,1))</f>
        <v>kg</v>
      </c>
      <c r="L63" s="1">
        <v>125.0</v>
      </c>
    </row>
    <row r="64">
      <c r="A64" s="14">
        <f t="shared" si="1"/>
        <v>63</v>
      </c>
      <c r="B64" s="14">
        <f t="array" ref="B64">IF(OR(G64="",G64="Selecciona.."),"",XLOOKUP(G64,Productos!E:E,Productos!A:A,"",0,1))</f>
        <v>60</v>
      </c>
      <c r="C64" s="14">
        <f t="array" ref="C64">IF(B64="","",SUMIF(Implementos!B:B,XLOOKUP(B64,Productos!A:A,Productos!F:F,"",0,1),Implementos!A:A))</f>
        <v>6</v>
      </c>
      <c r="D64" s="14">
        <f t="array" ref="D64">IF(OR(H64="",H64="Selecciona.."),"",XLOOKUP(H64,Propiedades!B:B,Propiedades!A:A,"",0,1))</f>
        <v>1</v>
      </c>
      <c r="E64" s="14">
        <f t="shared" si="2"/>
        <v>0</v>
      </c>
      <c r="F64" s="14" t="str">
        <f t="shared" si="3"/>
        <v>60-1-Exa</v>
      </c>
      <c r="G64" s="13" t="s">
        <v>74</v>
      </c>
      <c r="H64" s="13" t="s">
        <v>57</v>
      </c>
      <c r="I64" s="16" t="s">
        <v>55</v>
      </c>
      <c r="J64" s="16">
        <v>0.75</v>
      </c>
      <c r="K64" s="14" t="str">
        <f t="array" ref="K64">IF(OR(H64="",H64="Selecciona.."),"",XLOOKUP(H64,Propiedades!B:B,Propiedades!C:C,"",0,1))</f>
        <v>mts</v>
      </c>
    </row>
    <row r="65">
      <c r="A65" s="14">
        <f t="shared" si="1"/>
        <v>64</v>
      </c>
      <c r="B65" s="14">
        <f t="array" ref="B65">IF(OR(G65="",G65="Selecciona.."),"",XLOOKUP(G65,Productos!E:E,Productos!A:A,"",0,1))</f>
        <v>60</v>
      </c>
      <c r="C65" s="14">
        <f t="array" ref="C65">IF(B65="","",SUMIF(Implementos!B:B,XLOOKUP(B65,Productos!A:A,Productos!F:F,"",0,1),Implementos!A:A))</f>
        <v>6</v>
      </c>
      <c r="D65" s="14">
        <f t="array" ref="D65">IF(OR(H65="",H65="Selecciona.."),"",XLOOKUP(H65,Propiedades!B:B,Propiedades!A:A,"",0,1))</f>
        <v>4</v>
      </c>
      <c r="E65" s="14">
        <f t="shared" si="2"/>
        <v>0</v>
      </c>
      <c r="F65" s="14" t="str">
        <f t="shared" si="3"/>
        <v>60-4-Exa</v>
      </c>
      <c r="G65" s="13" t="s">
        <v>74</v>
      </c>
      <c r="H65" s="13" t="s">
        <v>58</v>
      </c>
      <c r="I65" s="16" t="s">
        <v>55</v>
      </c>
      <c r="J65" s="16">
        <v>770.0</v>
      </c>
      <c r="K65" s="14" t="str">
        <f t="array" ref="K65">IF(OR(H65="",H65="Selecciona.."),"",XLOOKUP(H65,Propiedades!B:B,Propiedades!C:C,"",0,1))</f>
        <v>mm</v>
      </c>
    </row>
    <row r="66">
      <c r="A66" s="14">
        <f t="shared" si="1"/>
        <v>65</v>
      </c>
      <c r="B66" s="14">
        <f t="array" ref="B66">IF(OR(G66="",G66="Selecciona.."),"",XLOOKUP(G66,Productos!E:E,Productos!A:A,"",0,1))</f>
        <v>61</v>
      </c>
      <c r="C66" s="14">
        <f t="array" ref="C66">IF(B66="","",SUMIF(Implementos!B:B,XLOOKUP(B66,Productos!A:A,Productos!F:F,"",0,1),Implementos!A:A))</f>
        <v>6</v>
      </c>
      <c r="D66" s="14">
        <f t="array" ref="D66">IF(OR(H66="",H66="Selecciona.."),"",XLOOKUP(H66,Propiedades!B:B,Propiedades!A:A,"",0,1))</f>
        <v>3</v>
      </c>
      <c r="E66" s="14">
        <f t="shared" si="2"/>
        <v>0</v>
      </c>
      <c r="F66" s="14" t="str">
        <f t="shared" si="3"/>
        <v>61-3-Exa</v>
      </c>
      <c r="G66" s="13" t="s">
        <v>75</v>
      </c>
      <c r="H66" s="13" t="s">
        <v>54</v>
      </c>
      <c r="I66" s="16" t="s">
        <v>55</v>
      </c>
      <c r="J66" s="16">
        <f>SUMIFS('Metricas Útiles'!C:C,'Metricas Útiles'!A:A,"Capacidad Baulera",'Metricas Útiles'!B:B,J69)*J68</f>
        <v>1430</v>
      </c>
      <c r="K66" s="14" t="str">
        <f t="array" ref="K66">IF(OR(H66="",H66="Selecciona.."),"",XLOOKUP(H66,Propiedades!B:B,Propiedades!C:C,"",0,1))</f>
        <v>lts</v>
      </c>
    </row>
    <row r="67">
      <c r="A67" s="14">
        <f t="shared" si="1"/>
        <v>66</v>
      </c>
      <c r="B67" s="14">
        <f t="array" ref="B67">IF(OR(G67="",G67="Selecciona.."),"",XLOOKUP(G67,Productos!E:E,Productos!A:A,"",0,1))</f>
        <v>61</v>
      </c>
      <c r="C67" s="14">
        <f t="array" ref="C67">IF(B67="","",SUMIF(Implementos!B:B,XLOOKUP(B67,Productos!A:A,Productos!F:F,"",0,1),Implementos!A:A))</f>
        <v>6</v>
      </c>
      <c r="D67" s="14">
        <f t="array" ref="D67">IF(OR(H67="",H67="Selecciona.."),"",XLOOKUP(H67,Propiedades!B:B,Propiedades!A:A,"",0,1))</f>
        <v>2</v>
      </c>
      <c r="E67" s="14">
        <f t="shared" si="2"/>
        <v>0</v>
      </c>
      <c r="F67" s="14" t="str">
        <f t="shared" si="3"/>
        <v>61-2-Exa</v>
      </c>
      <c r="G67" s="13" t="s">
        <v>75</v>
      </c>
      <c r="H67" s="13" t="s">
        <v>56</v>
      </c>
      <c r="I67" s="16" t="s">
        <v>55</v>
      </c>
      <c r="J67" s="16">
        <f>J66*SUMIFS('Metricas Útiles'!C:C,'Metricas Útiles'!A:A,"Peso Especifico",'Metricas Útiles'!B:B,"Baulera")+L67</f>
        <v>843.5</v>
      </c>
      <c r="K67" s="14" t="str">
        <f t="array" ref="K67">IF(OR(H67="",H67="Selecciona.."),"",XLOOKUP(H67,Propiedades!B:B,Propiedades!C:C,"",0,1))</f>
        <v>kg</v>
      </c>
      <c r="L67" s="1">
        <v>200.0</v>
      </c>
    </row>
    <row r="68">
      <c r="A68" s="14">
        <f t="shared" si="1"/>
        <v>67</v>
      </c>
      <c r="B68" s="14">
        <f t="array" ref="B68">IF(OR(G68="",G68="Selecciona.."),"",XLOOKUP(G68,Productos!E:E,Productos!A:A,"",0,1))</f>
        <v>61</v>
      </c>
      <c r="C68" s="14">
        <f t="array" ref="C68">IF(B68="","",SUMIF(Implementos!B:B,XLOOKUP(B68,Productos!A:A,Productos!F:F,"",0,1),Implementos!A:A))</f>
        <v>6</v>
      </c>
      <c r="D68" s="14">
        <f t="array" ref="D68">IF(OR(H68="",H68="Selecciona.."),"",XLOOKUP(H68,Propiedades!B:B,Propiedades!A:A,"",0,1))</f>
        <v>1</v>
      </c>
      <c r="E68" s="14">
        <f t="shared" si="2"/>
        <v>0</v>
      </c>
      <c r="F68" s="14" t="str">
        <f t="shared" si="3"/>
        <v>61-1-Exa</v>
      </c>
      <c r="G68" s="13" t="s">
        <v>75</v>
      </c>
      <c r="H68" s="13" t="s">
        <v>57</v>
      </c>
      <c r="I68" s="16" t="s">
        <v>55</v>
      </c>
      <c r="J68" s="16">
        <v>1.3</v>
      </c>
      <c r="K68" s="14" t="str">
        <f t="array" ref="K68">IF(OR(H68="",H68="Selecciona.."),"",XLOOKUP(H68,Propiedades!B:B,Propiedades!C:C,"",0,1))</f>
        <v>mts</v>
      </c>
    </row>
    <row r="69">
      <c r="A69" s="14">
        <f t="shared" si="1"/>
        <v>68</v>
      </c>
      <c r="B69" s="14">
        <f t="array" ref="B69">IF(OR(G69="",G69="Selecciona.."),"",XLOOKUP(G69,Productos!E:E,Productos!A:A,"",0,1))</f>
        <v>61</v>
      </c>
      <c r="C69" s="14">
        <f t="array" ref="C69">IF(B69="","",SUMIF(Implementos!B:B,XLOOKUP(B69,Productos!A:A,Productos!F:F,"",0,1),Implementos!A:A))</f>
        <v>6</v>
      </c>
      <c r="D69" s="14">
        <f t="array" ref="D69">IF(OR(H69="",H69="Selecciona.."),"",XLOOKUP(H69,Propiedades!B:B,Propiedades!A:A,"",0,1))</f>
        <v>4</v>
      </c>
      <c r="E69" s="14">
        <f t="shared" si="2"/>
        <v>0</v>
      </c>
      <c r="F69" s="14" t="str">
        <f t="shared" si="3"/>
        <v>61-4-Exa</v>
      </c>
      <c r="G69" s="13" t="s">
        <v>75</v>
      </c>
      <c r="H69" s="13" t="s">
        <v>58</v>
      </c>
      <c r="I69" s="16" t="s">
        <v>55</v>
      </c>
      <c r="J69" s="16">
        <v>770.0</v>
      </c>
      <c r="K69" s="14" t="str">
        <f t="array" ref="K69">IF(OR(H69="",H69="Selecciona.."),"",XLOOKUP(H69,Propiedades!B:B,Propiedades!C:C,"",0,1))</f>
        <v>mm</v>
      </c>
    </row>
    <row r="70">
      <c r="A70" s="14">
        <f t="shared" si="1"/>
        <v>69</v>
      </c>
      <c r="B70" s="14">
        <f t="array" ref="B70">IF(OR(G70="",G70="Selecciona.."),"",XLOOKUP(G70,Productos!E:E,Productos!A:A,"",0,1))</f>
        <v>62</v>
      </c>
      <c r="C70" s="14">
        <f t="array" ref="C70">IF(B70="","",SUMIF(Implementos!B:B,XLOOKUP(B70,Productos!A:A,Productos!F:F,"",0,1),Implementos!A:A))</f>
        <v>6</v>
      </c>
      <c r="D70" s="14">
        <f t="array" ref="D70">IF(OR(H70="",H70="Selecciona.."),"",XLOOKUP(H70,Propiedades!B:B,Propiedades!A:A,"",0,1))</f>
        <v>3</v>
      </c>
      <c r="E70" s="14">
        <f t="shared" si="2"/>
        <v>0</v>
      </c>
      <c r="F70" s="14" t="str">
        <f t="shared" si="3"/>
        <v>62-3-Exa</v>
      </c>
      <c r="G70" s="13" t="s">
        <v>76</v>
      </c>
      <c r="H70" s="13" t="s">
        <v>54</v>
      </c>
      <c r="I70" s="16" t="s">
        <v>55</v>
      </c>
      <c r="J70" s="16">
        <f>SUMIFS('Metricas Útiles'!C:C,'Metricas Útiles'!A:A,"Capacidad Baulera",'Metricas Útiles'!B:B,J73)*J72</f>
        <v>975</v>
      </c>
      <c r="K70" s="14" t="str">
        <f t="array" ref="K70">IF(OR(H70="",H70="Selecciona.."),"",XLOOKUP(H70,Propiedades!B:B,Propiedades!C:C,"",0,1))</f>
        <v>lts</v>
      </c>
    </row>
    <row r="71">
      <c r="A71" s="14">
        <f t="shared" si="1"/>
        <v>70</v>
      </c>
      <c r="B71" s="14">
        <f t="array" ref="B71">IF(OR(G71="",G71="Selecciona.."),"",XLOOKUP(G71,Productos!E:E,Productos!A:A,"",0,1))</f>
        <v>62</v>
      </c>
      <c r="C71" s="14">
        <f t="array" ref="C71">IF(B71="","",SUMIF(Implementos!B:B,XLOOKUP(B71,Productos!A:A,Productos!F:F,"",0,1),Implementos!A:A))</f>
        <v>6</v>
      </c>
      <c r="D71" s="14">
        <f t="array" ref="D71">IF(OR(H71="",H71="Selecciona.."),"",XLOOKUP(H71,Propiedades!B:B,Propiedades!A:A,"",0,1))</f>
        <v>2</v>
      </c>
      <c r="E71" s="14">
        <f t="shared" si="2"/>
        <v>0</v>
      </c>
      <c r="F71" s="14" t="str">
        <f t="shared" si="3"/>
        <v>62-2-Exa</v>
      </c>
      <c r="G71" s="13" t="s">
        <v>76</v>
      </c>
      <c r="H71" s="13" t="s">
        <v>56</v>
      </c>
      <c r="I71" s="16" t="s">
        <v>55</v>
      </c>
      <c r="J71" s="16">
        <f>J70*SUMIFS('Metricas Útiles'!C:C,'Metricas Útiles'!A:A,"Peso Especifico",'Metricas Útiles'!B:B,"Baulera")+L71</f>
        <v>558.75</v>
      </c>
      <c r="K71" s="14" t="str">
        <f t="array" ref="K71">IF(OR(H71="",H71="Selecciona.."),"",XLOOKUP(H71,Propiedades!B:B,Propiedades!C:C,"",0,1))</f>
        <v>kg</v>
      </c>
      <c r="L71" s="1">
        <v>120.0</v>
      </c>
    </row>
    <row r="72">
      <c r="A72" s="14">
        <f t="shared" si="1"/>
        <v>71</v>
      </c>
      <c r="B72" s="14">
        <f t="array" ref="B72">IF(OR(G72="",G72="Selecciona.."),"",XLOOKUP(G72,Productos!E:E,Productos!A:A,"",0,1))</f>
        <v>62</v>
      </c>
      <c r="C72" s="14">
        <f t="array" ref="C72">IF(B72="","",SUMIF(Implementos!B:B,XLOOKUP(B72,Productos!A:A,Productos!F:F,"",0,1),Implementos!A:A))</f>
        <v>6</v>
      </c>
      <c r="D72" s="14">
        <f t="array" ref="D72">IF(OR(H72="",H72="Selecciona.."),"",XLOOKUP(H72,Propiedades!B:B,Propiedades!A:A,"",0,1))</f>
        <v>1</v>
      </c>
      <c r="E72" s="14">
        <f t="shared" si="2"/>
        <v>0</v>
      </c>
      <c r="F72" s="14" t="str">
        <f t="shared" si="3"/>
        <v>62-1-Exa</v>
      </c>
      <c r="G72" s="13" t="s">
        <v>76</v>
      </c>
      <c r="H72" s="13" t="s">
        <v>57</v>
      </c>
      <c r="I72" s="16" t="s">
        <v>55</v>
      </c>
      <c r="J72" s="16">
        <v>0.75</v>
      </c>
      <c r="K72" s="14" t="str">
        <f t="array" ref="K72">IF(OR(H72="",H72="Selecciona.."),"",XLOOKUP(H72,Propiedades!B:B,Propiedades!C:C,"",0,1))</f>
        <v>mts</v>
      </c>
    </row>
    <row r="73">
      <c r="A73" s="14">
        <f t="shared" si="1"/>
        <v>72</v>
      </c>
      <c r="B73" s="14">
        <f t="array" ref="B73">IF(OR(G73="",G73="Selecciona.."),"",XLOOKUP(G73,Productos!E:E,Productos!A:A,"",0,1))</f>
        <v>62</v>
      </c>
      <c r="C73" s="14">
        <f t="array" ref="C73">IF(B73="","",SUMIF(Implementos!B:B,XLOOKUP(B73,Productos!A:A,Productos!F:F,"",0,1),Implementos!A:A))</f>
        <v>6</v>
      </c>
      <c r="D73" s="14">
        <f t="array" ref="D73">IF(OR(H73="",H73="Selecciona.."),"",XLOOKUP(H73,Propiedades!B:B,Propiedades!A:A,"",0,1))</f>
        <v>4</v>
      </c>
      <c r="E73" s="14">
        <f t="shared" si="2"/>
        <v>0</v>
      </c>
      <c r="F73" s="14" t="str">
        <f t="shared" si="3"/>
        <v>62-4-Exa</v>
      </c>
      <c r="G73" s="13" t="s">
        <v>76</v>
      </c>
      <c r="H73" s="13" t="s">
        <v>58</v>
      </c>
      <c r="I73" s="16" t="s">
        <v>55</v>
      </c>
      <c r="J73" s="16">
        <v>870.0</v>
      </c>
      <c r="K73" s="14" t="str">
        <f t="array" ref="K73">IF(OR(H73="",H73="Selecciona.."),"",XLOOKUP(H73,Propiedades!B:B,Propiedades!C:C,"",0,1))</f>
        <v>mm</v>
      </c>
    </row>
    <row r="74">
      <c r="A74" s="14">
        <f t="shared" si="1"/>
        <v>73</v>
      </c>
      <c r="B74" s="14">
        <f t="array" ref="B74">IF(OR(G74="",G74="Selecciona.."),"",XLOOKUP(G74,Productos!E:E,Productos!A:A,"",0,1))</f>
        <v>63</v>
      </c>
      <c r="C74" s="14">
        <f t="array" ref="C74">IF(B74="","",SUMIF(Implementos!B:B,XLOOKUP(B74,Productos!A:A,Productos!F:F,"",0,1),Implementos!A:A))</f>
        <v>6</v>
      </c>
      <c r="D74" s="14">
        <f t="array" ref="D74">IF(OR(H74="",H74="Selecciona.."),"",XLOOKUP(H74,Propiedades!B:B,Propiedades!A:A,"",0,1))</f>
        <v>3</v>
      </c>
      <c r="E74" s="14">
        <f t="shared" si="2"/>
        <v>0</v>
      </c>
      <c r="F74" s="14" t="str">
        <f t="shared" si="3"/>
        <v>63-3-Exa</v>
      </c>
      <c r="G74" s="13" t="s">
        <v>77</v>
      </c>
      <c r="H74" s="13" t="s">
        <v>54</v>
      </c>
      <c r="I74" s="16" t="s">
        <v>55</v>
      </c>
      <c r="J74" s="16">
        <f>SUMIFS('Metricas Útiles'!C:C,'Metricas Útiles'!A:A,"Capacidad Baulera",'Metricas Útiles'!B:B,J77)*J76</f>
        <v>1950</v>
      </c>
      <c r="K74" s="14" t="str">
        <f t="array" ref="K74">IF(OR(H74="",H74="Selecciona.."),"",XLOOKUP(H74,Propiedades!B:B,Propiedades!C:C,"",0,1))</f>
        <v>lts</v>
      </c>
    </row>
    <row r="75">
      <c r="A75" s="14">
        <f t="shared" si="1"/>
        <v>74</v>
      </c>
      <c r="B75" s="14">
        <f t="array" ref="B75">IF(OR(G75="",G75="Selecciona.."),"",XLOOKUP(G75,Productos!E:E,Productos!A:A,"",0,1))</f>
        <v>63</v>
      </c>
      <c r="C75" s="14">
        <f t="array" ref="C75">IF(B75="","",SUMIF(Implementos!B:B,XLOOKUP(B75,Productos!A:A,Productos!F:F,"",0,1),Implementos!A:A))</f>
        <v>6</v>
      </c>
      <c r="D75" s="14">
        <f t="array" ref="D75">IF(OR(H75="",H75="Selecciona.."),"",XLOOKUP(H75,Propiedades!B:B,Propiedades!A:A,"",0,1))</f>
        <v>2</v>
      </c>
      <c r="E75" s="14">
        <f t="shared" si="2"/>
        <v>0</v>
      </c>
      <c r="F75" s="14" t="str">
        <f t="shared" si="3"/>
        <v>63-2-Exa</v>
      </c>
      <c r="G75" s="13" t="s">
        <v>77</v>
      </c>
      <c r="H75" s="13" t="s">
        <v>56</v>
      </c>
      <c r="I75" s="16" t="s">
        <v>55</v>
      </c>
      <c r="J75" s="16">
        <f>J74*SUMIFS('Metricas Útiles'!C:C,'Metricas Útiles'!A:A,"Peso Especifico",'Metricas Útiles'!B:B,"Baulera")+L75</f>
        <v>1127.5</v>
      </c>
      <c r="K75" s="14" t="str">
        <f t="array" ref="K75">IF(OR(H75="",H75="Selecciona.."),"",XLOOKUP(H75,Propiedades!B:B,Propiedades!C:C,"",0,1))</f>
        <v>kg</v>
      </c>
      <c r="L75" s="1">
        <v>250.0</v>
      </c>
    </row>
    <row r="76">
      <c r="A76" s="14">
        <f t="shared" si="1"/>
        <v>75</v>
      </c>
      <c r="B76" s="14">
        <f t="array" ref="B76">IF(OR(G76="",G76="Selecciona.."),"",XLOOKUP(G76,Productos!E:E,Productos!A:A,"",0,1))</f>
        <v>63</v>
      </c>
      <c r="C76" s="14">
        <f t="array" ref="C76">IF(B76="","",SUMIF(Implementos!B:B,XLOOKUP(B76,Productos!A:A,Productos!F:F,"",0,1),Implementos!A:A))</f>
        <v>6</v>
      </c>
      <c r="D76" s="14">
        <f t="array" ref="D76">IF(OR(H76="",H76="Selecciona.."),"",XLOOKUP(H76,Propiedades!B:B,Propiedades!A:A,"",0,1))</f>
        <v>1</v>
      </c>
      <c r="E76" s="14">
        <f t="shared" si="2"/>
        <v>0</v>
      </c>
      <c r="F76" s="14" t="str">
        <f t="shared" si="3"/>
        <v>63-1-Exa</v>
      </c>
      <c r="G76" s="13" t="s">
        <v>77</v>
      </c>
      <c r="H76" s="13" t="s">
        <v>57</v>
      </c>
      <c r="I76" s="16" t="s">
        <v>55</v>
      </c>
      <c r="J76" s="16">
        <v>1.5</v>
      </c>
      <c r="K76" s="14" t="str">
        <f t="array" ref="K76">IF(OR(H76="",H76="Selecciona.."),"",XLOOKUP(H76,Propiedades!B:B,Propiedades!C:C,"",0,1))</f>
        <v>mts</v>
      </c>
    </row>
    <row r="77">
      <c r="A77" s="14">
        <f t="shared" si="1"/>
        <v>76</v>
      </c>
      <c r="B77" s="14">
        <f t="array" ref="B77">IF(OR(G77="",G77="Selecciona.."),"",XLOOKUP(G77,Productos!E:E,Productos!A:A,"",0,1))</f>
        <v>63</v>
      </c>
      <c r="C77" s="14">
        <f t="array" ref="C77">IF(B77="","",SUMIF(Implementos!B:B,XLOOKUP(B77,Productos!A:A,Productos!F:F,"",0,1),Implementos!A:A))</f>
        <v>6</v>
      </c>
      <c r="D77" s="14">
        <f t="array" ref="D77">IF(OR(H77="",H77="Selecciona.."),"",XLOOKUP(H77,Propiedades!B:B,Propiedades!A:A,"",0,1))</f>
        <v>4</v>
      </c>
      <c r="E77" s="14">
        <f t="shared" si="2"/>
        <v>0</v>
      </c>
      <c r="F77" s="14" t="str">
        <f t="shared" si="3"/>
        <v>63-4-Exa</v>
      </c>
      <c r="G77" s="13" t="s">
        <v>77</v>
      </c>
      <c r="H77" s="13" t="s">
        <v>58</v>
      </c>
      <c r="I77" s="16" t="s">
        <v>55</v>
      </c>
      <c r="J77" s="16">
        <v>870.0</v>
      </c>
      <c r="K77" s="14" t="str">
        <f t="array" ref="K77">IF(OR(H77="",H77="Selecciona.."),"",XLOOKUP(H77,Propiedades!B:B,Propiedades!C:C,"",0,1))</f>
        <v>mm</v>
      </c>
    </row>
    <row r="78">
      <c r="A78" s="14">
        <f t="shared" si="1"/>
        <v>77</v>
      </c>
      <c r="B78" s="14">
        <f t="array" ref="B78">IF(OR(G78="",G78="Selecciona.."),"",XLOOKUP(G78,Productos!E:E,Productos!A:A,"",0,1))</f>
        <v>64</v>
      </c>
      <c r="C78" s="14">
        <f t="array" ref="C78">IF(B78="","",SUMIF(Implementos!B:B,XLOOKUP(B78,Productos!A:A,Productos!F:F,"",0,1),Implementos!A:A))</f>
        <v>6</v>
      </c>
      <c r="D78" s="14">
        <f t="array" ref="D78">IF(OR(H78="",H78="Selecciona.."),"",XLOOKUP(H78,Propiedades!B:B,Propiedades!A:A,"",0,1))</f>
        <v>3</v>
      </c>
      <c r="E78" s="14">
        <f t="shared" si="2"/>
        <v>0</v>
      </c>
      <c r="F78" s="14" t="str">
        <f t="shared" si="3"/>
        <v>64-3-Exa</v>
      </c>
      <c r="G78" s="13" t="s">
        <v>78</v>
      </c>
      <c r="H78" s="13" t="s">
        <v>54</v>
      </c>
      <c r="I78" s="16" t="s">
        <v>55</v>
      </c>
      <c r="J78" s="16">
        <f>SUMIFS('Metricas Útiles'!C:C,'Metricas Útiles'!A:A,"Capacidad Baulera",'Metricas Útiles'!B:B,J81)*J80</f>
        <v>2720</v>
      </c>
      <c r="K78" s="14" t="str">
        <f t="array" ref="K78">IF(OR(H78="",H78="Selecciona.."),"",XLOOKUP(H78,Propiedades!B:B,Propiedades!C:C,"",0,1))</f>
        <v>lts</v>
      </c>
    </row>
    <row r="79">
      <c r="A79" s="14">
        <f t="shared" si="1"/>
        <v>78</v>
      </c>
      <c r="B79" s="14">
        <f t="array" ref="B79">IF(OR(G79="",G79="Selecciona.."),"",XLOOKUP(G79,Productos!E:E,Productos!A:A,"",0,1))</f>
        <v>64</v>
      </c>
      <c r="C79" s="14">
        <f t="array" ref="C79">IF(B79="","",SUMIF(Implementos!B:B,XLOOKUP(B79,Productos!A:A,Productos!F:F,"",0,1),Implementos!A:A))</f>
        <v>6</v>
      </c>
      <c r="D79" s="14">
        <f t="array" ref="D79">IF(OR(H79="",H79="Selecciona.."),"",XLOOKUP(H79,Propiedades!B:B,Propiedades!A:A,"",0,1))</f>
        <v>2</v>
      </c>
      <c r="E79" s="14">
        <f t="shared" si="2"/>
        <v>0</v>
      </c>
      <c r="F79" s="14" t="str">
        <f t="shared" si="3"/>
        <v>64-2-Exa</v>
      </c>
      <c r="G79" s="13" t="s">
        <v>78</v>
      </c>
      <c r="H79" s="13" t="s">
        <v>56</v>
      </c>
      <c r="I79" s="16" t="s">
        <v>55</v>
      </c>
      <c r="J79" s="16">
        <f>J78*SUMIFS('Metricas Útiles'!C:C,'Metricas Útiles'!A:A,"Peso Especifico",'Metricas Útiles'!B:B,"Baulera")+L79</f>
        <v>1514</v>
      </c>
      <c r="K79" s="14" t="str">
        <f t="array" ref="K79">IF(OR(H79="",H79="Selecciona.."),"",XLOOKUP(H79,Propiedades!B:B,Propiedades!C:C,"",0,1))</f>
        <v>kg</v>
      </c>
      <c r="L79" s="1">
        <v>290.0</v>
      </c>
    </row>
    <row r="80">
      <c r="A80" s="14">
        <f t="shared" si="1"/>
        <v>79</v>
      </c>
      <c r="B80" s="14">
        <f t="array" ref="B80">IF(OR(G80="",G80="Selecciona.."),"",XLOOKUP(G80,Productos!E:E,Productos!A:A,"",0,1))</f>
        <v>64</v>
      </c>
      <c r="C80" s="14">
        <f t="array" ref="C80">IF(B80="","",SUMIF(Implementos!B:B,XLOOKUP(B80,Productos!A:A,Productos!F:F,"",0,1),Implementos!A:A))</f>
        <v>6</v>
      </c>
      <c r="D80" s="14">
        <f t="array" ref="D80">IF(OR(H80="",H80="Selecciona.."),"",XLOOKUP(H80,Propiedades!B:B,Propiedades!A:A,"",0,1))</f>
        <v>1</v>
      </c>
      <c r="E80" s="14">
        <f t="shared" si="2"/>
        <v>0</v>
      </c>
      <c r="F80" s="14" t="str">
        <f t="shared" si="3"/>
        <v>64-1-Exa</v>
      </c>
      <c r="G80" s="13" t="s">
        <v>78</v>
      </c>
      <c r="H80" s="13" t="s">
        <v>57</v>
      </c>
      <c r="I80" s="16" t="s">
        <v>55</v>
      </c>
      <c r="J80" s="16">
        <v>1.7</v>
      </c>
      <c r="K80" s="14" t="str">
        <f t="array" ref="K80">IF(OR(H80="",H80="Selecciona.."),"",XLOOKUP(H80,Propiedades!B:B,Propiedades!C:C,"",0,1))</f>
        <v>mts</v>
      </c>
    </row>
    <row r="81">
      <c r="A81" s="14">
        <f t="shared" si="1"/>
        <v>80</v>
      </c>
      <c r="B81" s="14">
        <f t="array" ref="B81">IF(OR(G81="",G81="Selecciona.."),"",XLOOKUP(G81,Productos!E:E,Productos!A:A,"",0,1))</f>
        <v>64</v>
      </c>
      <c r="C81" s="14">
        <f t="array" ref="C81">IF(B81="","",SUMIF(Implementos!B:B,XLOOKUP(B81,Productos!A:A,Productos!F:F,"",0,1),Implementos!A:A))</f>
        <v>6</v>
      </c>
      <c r="D81" s="14">
        <f t="array" ref="D81">IF(OR(H81="",H81="Selecciona.."),"",XLOOKUP(H81,Propiedades!B:B,Propiedades!A:A,"",0,1))</f>
        <v>4</v>
      </c>
      <c r="E81" s="14">
        <f t="shared" si="2"/>
        <v>0</v>
      </c>
      <c r="F81" s="14" t="str">
        <f t="shared" si="3"/>
        <v>64-4-Exa</v>
      </c>
      <c r="G81" s="13" t="s">
        <v>78</v>
      </c>
      <c r="H81" s="13" t="s">
        <v>58</v>
      </c>
      <c r="I81" s="16" t="s">
        <v>55</v>
      </c>
      <c r="J81" s="16">
        <v>1090.0</v>
      </c>
      <c r="K81" s="14" t="str">
        <f t="array" ref="K81">IF(OR(H81="",H81="Selecciona.."),"",XLOOKUP(H81,Propiedades!B:B,Propiedades!C:C,"",0,1))</f>
        <v>mm</v>
      </c>
    </row>
    <row r="82">
      <c r="A82" s="14">
        <f t="shared" si="1"/>
        <v>81</v>
      </c>
      <c r="B82" s="14">
        <f t="array" ref="B82">IF(OR(G82="",G82="Selecciona.."),"",XLOOKUP(G82,Productos!E:E,Productos!A:A,"",0,1))</f>
        <v>66</v>
      </c>
      <c r="C82" s="14">
        <f t="array" ref="C82">IF(B82="","",SUMIF(Implementos!B:B,XLOOKUP(B82,Productos!A:A,Productos!F:F,"",0,1),Implementos!A:A))</f>
        <v>6</v>
      </c>
      <c r="D82" s="14">
        <f t="array" ref="D82">IF(OR(H82="",H82="Selecciona.."),"",XLOOKUP(H82,Propiedades!B:B,Propiedades!A:A,"",0,1))</f>
        <v>6</v>
      </c>
      <c r="E82" s="14">
        <f t="shared" si="2"/>
        <v>0</v>
      </c>
      <c r="F82" s="14" t="str">
        <f t="shared" si="3"/>
        <v>66-6-Exa</v>
      </c>
      <c r="G82" s="13" t="s">
        <v>79</v>
      </c>
      <c r="H82" s="13" t="s">
        <v>80</v>
      </c>
      <c r="I82" s="16" t="s">
        <v>55</v>
      </c>
      <c r="J82" s="16">
        <v>1.0</v>
      </c>
      <c r="K82" s="14" t="str">
        <f t="array" ref="K82">IF(OR(H82="",H82="Selecciona.."),"",XLOOKUP(H82,Propiedades!B:B,Propiedades!C:C,"",0,1))</f>
        <v>mts</v>
      </c>
    </row>
    <row r="83">
      <c r="A83" s="14">
        <f t="shared" si="1"/>
        <v>82</v>
      </c>
      <c r="B83" s="14">
        <f t="array" ref="B83">IF(OR(G83="",G83="Selecciona.."),"",XLOOKUP(G83,Productos!E:E,Productos!A:A,"",0,1))</f>
        <v>66</v>
      </c>
      <c r="C83" s="14">
        <f t="array" ref="C83">IF(B83="","",SUMIF(Implementos!B:B,XLOOKUP(B83,Productos!A:A,Productos!F:F,"",0,1),Implementos!A:A))</f>
        <v>6</v>
      </c>
      <c r="D83" s="14">
        <f t="array" ref="D83">IF(OR(H83="",H83="Selecciona.."),"",XLOOKUP(H83,Propiedades!B:B,Propiedades!A:A,"",0,1))</f>
        <v>4</v>
      </c>
      <c r="E83" s="14">
        <f t="shared" si="2"/>
        <v>0</v>
      </c>
      <c r="F83" s="14" t="str">
        <f t="shared" si="3"/>
        <v>66-4-Exa</v>
      </c>
      <c r="G83" s="13" t="s">
        <v>79</v>
      </c>
      <c r="H83" s="13" t="s">
        <v>58</v>
      </c>
      <c r="I83" s="16" t="s">
        <v>55</v>
      </c>
      <c r="J83" s="16">
        <v>500.0</v>
      </c>
      <c r="K83" s="14" t="str">
        <f t="array" ref="K83">IF(OR(H83="",H83="Selecciona.."),"",XLOOKUP(H83,Propiedades!B:B,Propiedades!C:C,"",0,1))</f>
        <v>mm</v>
      </c>
    </row>
    <row r="84">
      <c r="A84" s="14">
        <f t="shared" si="1"/>
        <v>83</v>
      </c>
      <c r="B84" s="14">
        <f t="array" ref="B84">IF(OR(G84="",G84="Selecciona.."),"",XLOOKUP(G84,Productos!E:E,Productos!A:A,"",0,1))</f>
        <v>66</v>
      </c>
      <c r="C84" s="14">
        <f t="array" ref="C84">IF(B84="","",SUMIF(Implementos!B:B,XLOOKUP(B84,Productos!A:A,Productos!F:F,"",0,1),Implementos!A:A))</f>
        <v>6</v>
      </c>
      <c r="D84" s="14">
        <f t="array" ref="D84">IF(OR(H84="",H84="Selecciona.."),"",XLOOKUP(H84,Propiedades!B:B,Propiedades!A:A,"",0,1))</f>
        <v>3</v>
      </c>
      <c r="E84" s="14">
        <f t="shared" si="2"/>
        <v>0</v>
      </c>
      <c r="F84" s="14" t="str">
        <f t="shared" si="3"/>
        <v>66-3-Exa</v>
      </c>
      <c r="G84" s="13" t="s">
        <v>79</v>
      </c>
      <c r="H84" s="13" t="s">
        <v>54</v>
      </c>
      <c r="I84" s="16" t="s">
        <v>55</v>
      </c>
      <c r="J84" s="16">
        <f>SUMIFS('Metricas Útiles'!C:C,'Metricas Útiles'!A:A,"Capacidad Cajon",'Metricas Útiles'!B:B,J83)*J82</f>
        <v>215</v>
      </c>
      <c r="K84" s="14" t="str">
        <f t="array" ref="K84">IF(OR(H84="",H84="Selecciona.."),"",XLOOKUP(H84,Propiedades!B:B,Propiedades!C:C,"",0,1))</f>
        <v>lts</v>
      </c>
    </row>
    <row r="85">
      <c r="A85" s="14">
        <f t="shared" si="1"/>
        <v>84</v>
      </c>
      <c r="B85" s="14">
        <f t="array" ref="B85">IF(OR(G85="",G85="Selecciona.."),"",XLOOKUP(G85,Productos!E:E,Productos!A:A,"",0,1))</f>
        <v>66</v>
      </c>
      <c r="C85" s="14">
        <f t="array" ref="C85">IF(B85="","",SUMIF(Implementos!B:B,XLOOKUP(B85,Productos!A:A,Productos!F:F,"",0,1),Implementos!A:A))</f>
        <v>6</v>
      </c>
      <c r="D85" s="14">
        <f t="array" ref="D85">IF(OR(H85="",H85="Selecciona.."),"",XLOOKUP(H85,Propiedades!B:B,Propiedades!A:A,"",0,1))</f>
        <v>2</v>
      </c>
      <c r="E85" s="14">
        <f t="shared" si="2"/>
        <v>0</v>
      </c>
      <c r="F85" s="14" t="str">
        <f t="shared" si="3"/>
        <v>66-2-Exa</v>
      </c>
      <c r="G85" s="13" t="s">
        <v>79</v>
      </c>
      <c r="H85" s="13" t="s">
        <v>56</v>
      </c>
      <c r="I85" s="16" t="s">
        <v>55</v>
      </c>
      <c r="J85" s="16">
        <f>J84*SUMIFS('Metricas Útiles'!C:C,'Metricas Útiles'!A:A,"Peso Especifico",'Metricas Útiles'!B:B,"Baulera")+L85</f>
        <v>141.75</v>
      </c>
      <c r="K85" s="14" t="str">
        <f t="array" ref="K85">IF(OR(H85="",H85="Selecciona.."),"",XLOOKUP(H85,Propiedades!B:B,Propiedades!C:C,"",0,1))</f>
        <v>kg</v>
      </c>
      <c r="L85" s="1">
        <v>45.0</v>
      </c>
    </row>
    <row r="86">
      <c r="A86" s="14">
        <f t="shared" si="1"/>
        <v>85</v>
      </c>
      <c r="B86" s="14">
        <f t="array" ref="B86">IF(OR(G86="",G86="Selecciona.."),"",XLOOKUP(G86,Productos!E:E,Productos!A:A,"",0,1))</f>
        <v>67</v>
      </c>
      <c r="C86" s="14">
        <f t="array" ref="C86">IF(B86="","",SUMIF(Implementos!B:B,XLOOKUP(B86,Productos!A:A,Productos!F:F,"",0,1),Implementos!A:A))</f>
        <v>6</v>
      </c>
      <c r="D86" s="14">
        <f t="array" ref="D86">IF(OR(H86="",H86="Selecciona.."),"",XLOOKUP(H86,Propiedades!B:B,Propiedades!A:A,"",0,1))</f>
        <v>6</v>
      </c>
      <c r="E86" s="14">
        <f t="shared" si="2"/>
        <v>0</v>
      </c>
      <c r="F86" s="14" t="str">
        <f t="shared" si="3"/>
        <v>67-6-Exa</v>
      </c>
      <c r="G86" s="13" t="s">
        <v>81</v>
      </c>
      <c r="H86" s="13" t="s">
        <v>80</v>
      </c>
      <c r="I86" s="16" t="s">
        <v>55</v>
      </c>
      <c r="J86" s="16">
        <v>1.0</v>
      </c>
      <c r="K86" s="14" t="str">
        <f t="array" ref="K86">IF(OR(H86="",H86="Selecciona.."),"",XLOOKUP(H86,Propiedades!B:B,Propiedades!C:C,"",0,1))</f>
        <v>mts</v>
      </c>
    </row>
    <row r="87">
      <c r="A87" s="14">
        <f t="shared" si="1"/>
        <v>86</v>
      </c>
      <c r="B87" s="14">
        <f t="array" ref="B87">IF(OR(G87="",G87="Selecciona.."),"",XLOOKUP(G87,Productos!E:E,Productos!A:A,"",0,1))</f>
        <v>67</v>
      </c>
      <c r="C87" s="14">
        <f t="array" ref="C87">IF(B87="","",SUMIF(Implementos!B:B,XLOOKUP(B87,Productos!A:A,Productos!F:F,"",0,1),Implementos!A:A))</f>
        <v>6</v>
      </c>
      <c r="D87" s="14">
        <f t="array" ref="D87">IF(OR(H87="",H87="Selecciona.."),"",XLOOKUP(H87,Propiedades!B:B,Propiedades!A:A,"",0,1))</f>
        <v>4</v>
      </c>
      <c r="E87" s="14">
        <f t="shared" si="2"/>
        <v>0</v>
      </c>
      <c r="F87" s="14" t="str">
        <f t="shared" si="3"/>
        <v>67-4-Exa</v>
      </c>
      <c r="G87" s="13" t="s">
        <v>81</v>
      </c>
      <c r="H87" s="13" t="s">
        <v>58</v>
      </c>
      <c r="I87" s="16" t="s">
        <v>55</v>
      </c>
      <c r="J87" s="16">
        <v>500.0</v>
      </c>
      <c r="K87" s="14" t="str">
        <f t="array" ref="K87">IF(OR(H87="",H87="Selecciona.."),"",XLOOKUP(H87,Propiedades!B:B,Propiedades!C:C,"",0,1))</f>
        <v>mm</v>
      </c>
    </row>
    <row r="88">
      <c r="A88" s="14">
        <f t="shared" si="1"/>
        <v>87</v>
      </c>
      <c r="B88" s="14">
        <f t="array" ref="B88">IF(OR(G88="",G88="Selecciona.."),"",XLOOKUP(G88,Productos!E:E,Productos!A:A,"",0,1))</f>
        <v>67</v>
      </c>
      <c r="C88" s="14">
        <f t="array" ref="C88">IF(B88="","",SUMIF(Implementos!B:B,XLOOKUP(B88,Productos!A:A,Productos!F:F,"",0,1),Implementos!A:A))</f>
        <v>6</v>
      </c>
      <c r="D88" s="14">
        <f t="array" ref="D88">IF(OR(H88="",H88="Selecciona.."),"",XLOOKUP(H88,Propiedades!B:B,Propiedades!A:A,"",0,1))</f>
        <v>3</v>
      </c>
      <c r="E88" s="14">
        <f t="shared" si="2"/>
        <v>0</v>
      </c>
      <c r="F88" s="14" t="str">
        <f t="shared" si="3"/>
        <v>67-3-Exa</v>
      </c>
      <c r="G88" s="13" t="s">
        <v>81</v>
      </c>
      <c r="H88" s="13" t="s">
        <v>54</v>
      </c>
      <c r="I88" s="16" t="s">
        <v>55</v>
      </c>
      <c r="J88" s="16">
        <f>SUMIFS('Metricas Útiles'!C:C,'Metricas Útiles'!A:A,"Capacidad Cajon",'Metricas Útiles'!B:B,J87)*J86</f>
        <v>215</v>
      </c>
      <c r="K88" s="14" t="str">
        <f t="array" ref="K88">IF(OR(H88="",H88="Selecciona.."),"",XLOOKUP(H88,Propiedades!B:B,Propiedades!C:C,"",0,1))</f>
        <v>lts</v>
      </c>
    </row>
    <row r="89">
      <c r="A89" s="14">
        <f t="shared" si="1"/>
        <v>88</v>
      </c>
      <c r="B89" s="14">
        <f t="array" ref="B89">IF(OR(G89="",G89="Selecciona.."),"",XLOOKUP(G89,Productos!E:E,Productos!A:A,"",0,1))</f>
        <v>67</v>
      </c>
      <c r="C89" s="14">
        <f t="array" ref="C89">IF(B89="","",SUMIF(Implementos!B:B,XLOOKUP(B89,Productos!A:A,Productos!F:F,"",0,1),Implementos!A:A))</f>
        <v>6</v>
      </c>
      <c r="D89" s="14">
        <f t="array" ref="D89">IF(OR(H89="",H89="Selecciona.."),"",XLOOKUP(H89,Propiedades!B:B,Propiedades!A:A,"",0,1))</f>
        <v>2</v>
      </c>
      <c r="E89" s="14">
        <f t="shared" si="2"/>
        <v>0</v>
      </c>
      <c r="F89" s="14" t="str">
        <f t="shared" si="3"/>
        <v>67-2-Exa</v>
      </c>
      <c r="G89" s="13" t="s">
        <v>81</v>
      </c>
      <c r="H89" s="13" t="s">
        <v>56</v>
      </c>
      <c r="I89" s="16" t="s">
        <v>55</v>
      </c>
      <c r="J89" s="16">
        <f>J88*SUMIFS('Metricas Útiles'!C:C,'Metricas Útiles'!A:A,"Peso Especifico",'Metricas Útiles'!B:B,"Baulera")+L89</f>
        <v>141.75</v>
      </c>
      <c r="K89" s="14" t="str">
        <f t="array" ref="K89">IF(OR(H89="",H89="Selecciona.."),"",XLOOKUP(H89,Propiedades!B:B,Propiedades!C:C,"",0,1))</f>
        <v>kg</v>
      </c>
      <c r="L89" s="1">
        <v>45.0</v>
      </c>
    </row>
    <row r="90">
      <c r="A90" s="14">
        <f t="shared" si="1"/>
        <v>89</v>
      </c>
      <c r="B90" s="14">
        <f t="array" ref="B90">IF(OR(G90="",G90="Selecciona.."),"",XLOOKUP(G90,Productos!E:E,Productos!A:A,"",0,1))</f>
        <v>68</v>
      </c>
      <c r="C90" s="14">
        <f t="array" ref="C90">IF(B90="","",SUMIF(Implementos!B:B,XLOOKUP(B90,Productos!A:A,Productos!F:F,"",0,1),Implementos!A:A))</f>
        <v>6</v>
      </c>
      <c r="D90" s="14">
        <f t="array" ref="D90">IF(OR(H90="",H90="Selecciona.."),"",XLOOKUP(H90,Propiedades!B:B,Propiedades!A:A,"",0,1))</f>
        <v>6</v>
      </c>
      <c r="E90" s="14">
        <f t="shared" si="2"/>
        <v>0</v>
      </c>
      <c r="F90" s="14" t="str">
        <f t="shared" si="3"/>
        <v>68-6-Exa</v>
      </c>
      <c r="G90" s="13" t="s">
        <v>82</v>
      </c>
      <c r="H90" s="13" t="s">
        <v>80</v>
      </c>
      <c r="I90" s="16" t="s">
        <v>55</v>
      </c>
      <c r="J90" s="16">
        <v>0.45</v>
      </c>
      <c r="K90" s="14" t="str">
        <f t="array" ref="K90">IF(OR(H90="",H90="Selecciona.."),"",XLOOKUP(H90,Propiedades!B:B,Propiedades!C:C,"",0,1))</f>
        <v>mts</v>
      </c>
    </row>
    <row r="91">
      <c r="A91" s="14">
        <f t="shared" si="1"/>
        <v>90</v>
      </c>
      <c r="B91" s="14">
        <f t="array" ref="B91">IF(OR(G91="",G91="Selecciona.."),"",XLOOKUP(G91,Productos!E:E,Productos!A:A,"",0,1))</f>
        <v>68</v>
      </c>
      <c r="C91" s="14">
        <f t="array" ref="C91">IF(B91="","",SUMIF(Implementos!B:B,XLOOKUP(B91,Productos!A:A,Productos!F:F,"",0,1),Implementos!A:A))</f>
        <v>6</v>
      </c>
      <c r="D91" s="14">
        <f t="array" ref="D91">IF(OR(H91="",H91="Selecciona.."),"",XLOOKUP(H91,Propiedades!B:B,Propiedades!A:A,"",0,1))</f>
        <v>4</v>
      </c>
      <c r="E91" s="14">
        <f t="shared" si="2"/>
        <v>0</v>
      </c>
      <c r="F91" s="14" t="str">
        <f t="shared" si="3"/>
        <v>68-4-Exa</v>
      </c>
      <c r="G91" s="13" t="s">
        <v>82</v>
      </c>
      <c r="H91" s="13" t="s">
        <v>58</v>
      </c>
      <c r="I91" s="16" t="s">
        <v>55</v>
      </c>
      <c r="J91" s="16">
        <v>500.0</v>
      </c>
      <c r="K91" s="14" t="str">
        <f t="array" ref="K91">IF(OR(H91="",H91="Selecciona.."),"",XLOOKUP(H91,Propiedades!B:B,Propiedades!C:C,"",0,1))</f>
        <v>mm</v>
      </c>
    </row>
    <row r="92">
      <c r="A92" s="14">
        <f t="shared" si="1"/>
        <v>91</v>
      </c>
      <c r="B92" s="14">
        <f t="array" ref="B92">IF(OR(G92="",G92="Selecciona.."),"",XLOOKUP(G92,Productos!E:E,Productos!A:A,"",0,1))</f>
        <v>68</v>
      </c>
      <c r="C92" s="14">
        <f t="array" ref="C92">IF(B92="","",SUMIF(Implementos!B:B,XLOOKUP(B92,Productos!A:A,Productos!F:F,"",0,1),Implementos!A:A))</f>
        <v>6</v>
      </c>
      <c r="D92" s="14">
        <f t="array" ref="D92">IF(OR(H92="",H92="Selecciona.."),"",XLOOKUP(H92,Propiedades!B:B,Propiedades!A:A,"",0,1))</f>
        <v>3</v>
      </c>
      <c r="E92" s="14">
        <f t="shared" si="2"/>
        <v>0</v>
      </c>
      <c r="F92" s="14" t="str">
        <f t="shared" si="3"/>
        <v>68-3-Exa</v>
      </c>
      <c r="G92" s="13" t="s">
        <v>82</v>
      </c>
      <c r="H92" s="13" t="s">
        <v>54</v>
      </c>
      <c r="I92" s="16" t="s">
        <v>55</v>
      </c>
      <c r="J92" s="16">
        <f>SUMIFS('Metricas Útiles'!C:C,'Metricas Útiles'!A:A,"Capacidad Cajon",'Metricas Útiles'!B:B,J91)*J90</f>
        <v>96.75</v>
      </c>
      <c r="K92" s="14" t="str">
        <f t="array" ref="K92">IF(OR(H92="",H92="Selecciona.."),"",XLOOKUP(H92,Propiedades!B:B,Propiedades!C:C,"",0,1))</f>
        <v>lts</v>
      </c>
    </row>
    <row r="93">
      <c r="A93" s="14">
        <f t="shared" si="1"/>
        <v>92</v>
      </c>
      <c r="B93" s="14">
        <f t="array" ref="B93">IF(OR(G93="",G93="Selecciona.."),"",XLOOKUP(G93,Productos!E:E,Productos!A:A,"",0,1))</f>
        <v>68</v>
      </c>
      <c r="C93" s="14">
        <f t="array" ref="C93">IF(B93="","",SUMIF(Implementos!B:B,XLOOKUP(B93,Productos!A:A,Productos!F:F,"",0,1),Implementos!A:A))</f>
        <v>6</v>
      </c>
      <c r="D93" s="14">
        <f t="array" ref="D93">IF(OR(H93="",H93="Selecciona.."),"",XLOOKUP(H93,Propiedades!B:B,Propiedades!A:A,"",0,1))</f>
        <v>2</v>
      </c>
      <c r="E93" s="14">
        <f t="shared" si="2"/>
        <v>0</v>
      </c>
      <c r="F93" s="14" t="str">
        <f t="shared" si="3"/>
        <v>68-2-Exa</v>
      </c>
      <c r="G93" s="13" t="s">
        <v>82</v>
      </c>
      <c r="H93" s="13" t="s">
        <v>56</v>
      </c>
      <c r="I93" s="16" t="s">
        <v>55</v>
      </c>
      <c r="J93" s="16">
        <f>J92*SUMIFS('Metricas Útiles'!C:C,'Metricas Útiles'!A:A,"Peso Especifico",'Metricas Útiles'!B:B,"Baulera")+L93</f>
        <v>71.5375</v>
      </c>
      <c r="K93" s="14" t="str">
        <f t="array" ref="K93">IF(OR(H93="",H93="Selecciona.."),"",XLOOKUP(H93,Propiedades!B:B,Propiedades!C:C,"",0,1))</f>
        <v>kg</v>
      </c>
      <c r="L93" s="1">
        <v>28.0</v>
      </c>
    </row>
    <row r="94">
      <c r="A94" s="14">
        <f t="shared" si="1"/>
        <v>93</v>
      </c>
      <c r="B94" s="14">
        <f t="array" ref="B94">IF(OR(G94="",G94="Selecciona.."),"",XLOOKUP(G94,Productos!E:E,Productos!A:A,"",0,1))</f>
        <v>69</v>
      </c>
      <c r="C94" s="14">
        <f t="array" ref="C94">IF(B94="","",SUMIF(Implementos!B:B,XLOOKUP(B94,Productos!A:A,Productos!F:F,"",0,1),Implementos!A:A))</f>
        <v>6</v>
      </c>
      <c r="D94" s="14">
        <f t="array" ref="D94">IF(OR(H94="",H94="Selecciona.."),"",XLOOKUP(H94,Propiedades!B:B,Propiedades!A:A,"",0,1))</f>
        <v>6</v>
      </c>
      <c r="E94" s="14">
        <f t="shared" si="2"/>
        <v>0</v>
      </c>
      <c r="F94" s="14" t="str">
        <f t="shared" si="3"/>
        <v>69-6-Exa</v>
      </c>
      <c r="G94" s="13" t="s">
        <v>83</v>
      </c>
      <c r="H94" s="13" t="s">
        <v>80</v>
      </c>
      <c r="I94" s="16" t="s">
        <v>55</v>
      </c>
      <c r="J94" s="16">
        <v>0.45</v>
      </c>
      <c r="K94" s="14" t="str">
        <f t="array" ref="K94">IF(OR(H94="",H94="Selecciona.."),"",XLOOKUP(H94,Propiedades!B:B,Propiedades!C:C,"",0,1))</f>
        <v>mts</v>
      </c>
    </row>
    <row r="95">
      <c r="A95" s="14">
        <f t="shared" si="1"/>
        <v>94</v>
      </c>
      <c r="B95" s="14">
        <f t="array" ref="B95">IF(OR(G95="",G95="Selecciona.."),"",XLOOKUP(G95,Productos!E:E,Productos!A:A,"",0,1))</f>
        <v>69</v>
      </c>
      <c r="C95" s="14">
        <f t="array" ref="C95">IF(B95="","",SUMIF(Implementos!B:B,XLOOKUP(B95,Productos!A:A,Productos!F:F,"",0,1),Implementos!A:A))</f>
        <v>6</v>
      </c>
      <c r="D95" s="14">
        <f t="array" ref="D95">IF(OR(H95="",H95="Selecciona.."),"",XLOOKUP(H95,Propiedades!B:B,Propiedades!A:A,"",0,1))</f>
        <v>4</v>
      </c>
      <c r="E95" s="14">
        <f t="shared" si="2"/>
        <v>0</v>
      </c>
      <c r="F95" s="14" t="str">
        <f t="shared" si="3"/>
        <v>69-4-Exa</v>
      </c>
      <c r="G95" s="13" t="s">
        <v>83</v>
      </c>
      <c r="H95" s="13" t="s">
        <v>58</v>
      </c>
      <c r="I95" s="16" t="s">
        <v>55</v>
      </c>
      <c r="J95" s="16">
        <v>500.0</v>
      </c>
      <c r="K95" s="14" t="str">
        <f t="array" ref="K95">IF(OR(H95="",H95="Selecciona.."),"",XLOOKUP(H95,Propiedades!B:B,Propiedades!C:C,"",0,1))</f>
        <v>mm</v>
      </c>
    </row>
    <row r="96">
      <c r="A96" s="14">
        <f t="shared" si="1"/>
        <v>95</v>
      </c>
      <c r="B96" s="14">
        <f t="array" ref="B96">IF(OR(G96="",G96="Selecciona.."),"",XLOOKUP(G96,Productos!E:E,Productos!A:A,"",0,1))</f>
        <v>69</v>
      </c>
      <c r="C96" s="14">
        <f t="array" ref="C96">IF(B96="","",SUMIF(Implementos!B:B,XLOOKUP(B96,Productos!A:A,Productos!F:F,"",0,1),Implementos!A:A))</f>
        <v>6</v>
      </c>
      <c r="D96" s="14">
        <f t="array" ref="D96">IF(OR(H96="",H96="Selecciona.."),"",XLOOKUP(H96,Propiedades!B:B,Propiedades!A:A,"",0,1))</f>
        <v>3</v>
      </c>
      <c r="E96" s="14">
        <f t="shared" si="2"/>
        <v>0</v>
      </c>
      <c r="F96" s="14" t="str">
        <f t="shared" si="3"/>
        <v>69-3-Exa</v>
      </c>
      <c r="G96" s="13" t="s">
        <v>83</v>
      </c>
      <c r="H96" s="13" t="s">
        <v>54</v>
      </c>
      <c r="I96" s="16" t="s">
        <v>55</v>
      </c>
      <c r="J96" s="16">
        <f>SUMIFS('Metricas Útiles'!C:C,'Metricas Útiles'!A:A,"Capacidad Cajon",'Metricas Útiles'!B:B,J95)*J94</f>
        <v>96.75</v>
      </c>
      <c r="K96" s="14" t="str">
        <f t="array" ref="K96">IF(OR(H96="",H96="Selecciona.."),"",XLOOKUP(H96,Propiedades!B:B,Propiedades!C:C,"",0,1))</f>
        <v>lts</v>
      </c>
    </row>
    <row r="97">
      <c r="A97" s="14">
        <f t="shared" si="1"/>
        <v>96</v>
      </c>
      <c r="B97" s="14">
        <f t="array" ref="B97">IF(OR(G97="",G97="Selecciona.."),"",XLOOKUP(G97,Productos!E:E,Productos!A:A,"",0,1))</f>
        <v>69</v>
      </c>
      <c r="C97" s="14">
        <f t="array" ref="C97">IF(B97="","",SUMIF(Implementos!B:B,XLOOKUP(B97,Productos!A:A,Productos!F:F,"",0,1),Implementos!A:A))</f>
        <v>6</v>
      </c>
      <c r="D97" s="14">
        <f t="array" ref="D97">IF(OR(H97="",H97="Selecciona.."),"",XLOOKUP(H97,Propiedades!B:B,Propiedades!A:A,"",0,1))</f>
        <v>2</v>
      </c>
      <c r="E97" s="14">
        <f t="shared" si="2"/>
        <v>0</v>
      </c>
      <c r="F97" s="14" t="str">
        <f t="shared" si="3"/>
        <v>69-2-Exa</v>
      </c>
      <c r="G97" s="13" t="s">
        <v>83</v>
      </c>
      <c r="H97" s="13" t="s">
        <v>56</v>
      </c>
      <c r="I97" s="16" t="s">
        <v>55</v>
      </c>
      <c r="J97" s="16">
        <f>J96*SUMIFS('Metricas Útiles'!C:C,'Metricas Útiles'!A:A,"Peso Especifico",'Metricas Útiles'!B:B,"Baulera")+L97</f>
        <v>71.5375</v>
      </c>
      <c r="K97" s="14" t="str">
        <f t="array" ref="K97">IF(OR(H97="",H97="Selecciona.."),"",XLOOKUP(H97,Propiedades!B:B,Propiedades!C:C,"",0,1))</f>
        <v>kg</v>
      </c>
      <c r="L97" s="1">
        <v>28.0</v>
      </c>
    </row>
    <row r="98">
      <c r="A98" s="14">
        <f t="shared" si="1"/>
        <v>97</v>
      </c>
      <c r="B98" s="14">
        <f t="array" ref="B98">IF(OR(G98="",G98="Selecciona.."),"",XLOOKUP(G98,Productos!E:E,Productos!A:A,"",0,1))</f>
        <v>70</v>
      </c>
      <c r="C98" s="14">
        <f t="array" ref="C98">IF(B98="","",SUMIF(Implementos!B:B,XLOOKUP(B98,Productos!A:A,Productos!F:F,"",0,1),Implementos!A:A))</f>
        <v>6</v>
      </c>
      <c r="D98" s="14">
        <f t="array" ref="D98">IF(OR(H98="",H98="Selecciona.."),"",XLOOKUP(H98,Propiedades!B:B,Propiedades!A:A,"",0,1))</f>
        <v>6</v>
      </c>
      <c r="E98" s="14">
        <f t="shared" si="2"/>
        <v>0</v>
      </c>
      <c r="F98" s="14" t="str">
        <f t="shared" si="3"/>
        <v>70-6-Exa</v>
      </c>
      <c r="G98" s="13" t="s">
        <v>84</v>
      </c>
      <c r="H98" s="13" t="s">
        <v>80</v>
      </c>
      <c r="I98" s="16" t="s">
        <v>55</v>
      </c>
      <c r="J98" s="16">
        <v>0.6</v>
      </c>
      <c r="K98" s="14" t="s">
        <v>64</v>
      </c>
    </row>
    <row r="99">
      <c r="A99" s="14">
        <f t="shared" si="1"/>
        <v>98</v>
      </c>
      <c r="B99" s="14">
        <f t="array" ref="B99">IF(OR(G99="",G99="Selecciona.."),"",XLOOKUP(G99,Productos!E:E,Productos!A:A,"",0,1))</f>
        <v>70</v>
      </c>
      <c r="C99" s="14">
        <f t="array" ref="C99">IF(B99="","",SUMIF(Implementos!B:B,XLOOKUP(B99,Productos!A:A,Productos!F:F,"",0,1),Implementos!A:A))</f>
        <v>6</v>
      </c>
      <c r="D99" s="14">
        <f t="array" ref="D99">IF(OR(H99="",H99="Selecciona.."),"",XLOOKUP(H99,Propiedades!B:B,Propiedades!A:A,"",0,1))</f>
        <v>4</v>
      </c>
      <c r="E99" s="14">
        <f t="shared" si="2"/>
        <v>0</v>
      </c>
      <c r="F99" s="14" t="str">
        <f t="shared" si="3"/>
        <v>70-4-Exa</v>
      </c>
      <c r="G99" s="13" t="s">
        <v>84</v>
      </c>
      <c r="H99" s="13" t="s">
        <v>58</v>
      </c>
      <c r="I99" s="16" t="s">
        <v>55</v>
      </c>
      <c r="J99" s="16">
        <v>500.0</v>
      </c>
      <c r="K99" s="14" t="s">
        <v>85</v>
      </c>
    </row>
    <row r="100">
      <c r="A100" s="14">
        <f t="shared" si="1"/>
        <v>99</v>
      </c>
      <c r="B100" s="14">
        <f t="array" ref="B100">IF(OR(G100="",G100="Selecciona.."),"",XLOOKUP(G100,Productos!E:E,Productos!A:A,"",0,1))</f>
        <v>70</v>
      </c>
      <c r="C100" s="14">
        <f t="array" ref="C100">IF(B100="","",SUMIF(Implementos!B:B,XLOOKUP(B100,Productos!A:A,Productos!F:F,"",0,1),Implementos!A:A))</f>
        <v>6</v>
      </c>
      <c r="D100" s="14">
        <f t="array" ref="D100">IF(OR(H100="",H100="Selecciona.."),"",XLOOKUP(H100,Propiedades!B:B,Propiedades!A:A,"",0,1))</f>
        <v>3</v>
      </c>
      <c r="E100" s="14">
        <f t="shared" si="2"/>
        <v>0</v>
      </c>
      <c r="F100" s="14" t="str">
        <f t="shared" si="3"/>
        <v>70-3-Exa</v>
      </c>
      <c r="G100" s="13" t="s">
        <v>84</v>
      </c>
      <c r="H100" s="13" t="s">
        <v>54</v>
      </c>
      <c r="I100" s="16" t="s">
        <v>55</v>
      </c>
      <c r="J100" s="16">
        <f>SUMIFS('Metricas Útiles'!C:C,'Metricas Útiles'!A:A,"Capacidad Cajon",'Metricas Útiles'!B:B,J99)*J98</f>
        <v>129</v>
      </c>
      <c r="K100" s="14" t="s">
        <v>62</v>
      </c>
    </row>
    <row r="101">
      <c r="A101" s="14">
        <f t="shared" si="1"/>
        <v>100</v>
      </c>
      <c r="B101" s="14">
        <f t="array" ref="B101">IF(OR(G101="",G101="Selecciona.."),"",XLOOKUP(G101,Productos!E:E,Productos!A:A,"",0,1))</f>
        <v>70</v>
      </c>
      <c r="C101" s="14">
        <f t="array" ref="C101">IF(B101="","",SUMIF(Implementos!B:B,XLOOKUP(B101,Productos!A:A,Productos!F:F,"",0,1),Implementos!A:A))</f>
        <v>6</v>
      </c>
      <c r="D101" s="14">
        <f t="array" ref="D101">IF(OR(H101="",H101="Selecciona.."),"",XLOOKUP(H101,Propiedades!B:B,Propiedades!A:A,"",0,1))</f>
        <v>2</v>
      </c>
      <c r="E101" s="14">
        <f t="shared" si="2"/>
        <v>0</v>
      </c>
      <c r="F101" s="14" t="str">
        <f t="shared" si="3"/>
        <v>70-2-Exa</v>
      </c>
      <c r="G101" s="13" t="s">
        <v>84</v>
      </c>
      <c r="H101" s="13" t="s">
        <v>56</v>
      </c>
      <c r="I101" s="16" t="s">
        <v>55</v>
      </c>
      <c r="J101" s="16">
        <f>J100*SUMIFS('Metricas Útiles'!C:C,'Metricas Útiles'!A:A,"Peso Especifico",'Metricas Útiles'!B:B,"Baulera")+L101</f>
        <v>90.05</v>
      </c>
      <c r="K101" s="14" t="s">
        <v>63</v>
      </c>
      <c r="L101" s="1">
        <v>32.0</v>
      </c>
    </row>
    <row r="102">
      <c r="A102" s="14">
        <f t="shared" si="1"/>
        <v>101</v>
      </c>
      <c r="B102" s="14">
        <f t="array" ref="B102">IF(OR(G102="",G102="Selecciona.."),"",XLOOKUP(G102,Productos!E:E,Productos!A:A,"",0,1))</f>
        <v>71</v>
      </c>
      <c r="C102" s="14">
        <f t="array" ref="C102">IF(B102="","",SUMIF(Implementos!B:B,XLOOKUP(B102,Productos!A:A,Productos!F:F,"",0,1),Implementos!A:A))</f>
        <v>6</v>
      </c>
      <c r="D102" s="14">
        <f t="array" ref="D102">IF(OR(H102="",H102="Selecciona.."),"",XLOOKUP(H102,Propiedades!B:B,Propiedades!A:A,"",0,1))</f>
        <v>6</v>
      </c>
      <c r="E102" s="14">
        <f t="shared" si="2"/>
        <v>0</v>
      </c>
      <c r="F102" s="14" t="str">
        <f t="shared" si="3"/>
        <v>71-6-Exa</v>
      </c>
      <c r="G102" s="13" t="s">
        <v>86</v>
      </c>
      <c r="H102" s="13" t="s">
        <v>80</v>
      </c>
      <c r="I102" s="16" t="s">
        <v>55</v>
      </c>
      <c r="J102" s="16">
        <v>0.6</v>
      </c>
      <c r="K102" s="14" t="s">
        <v>64</v>
      </c>
    </row>
    <row r="103">
      <c r="A103" s="14">
        <f t="shared" si="1"/>
        <v>102</v>
      </c>
      <c r="B103" s="14">
        <f t="array" ref="B103">IF(OR(G103="",G103="Selecciona.."),"",XLOOKUP(G103,Productos!E:E,Productos!A:A,"",0,1))</f>
        <v>71</v>
      </c>
      <c r="C103" s="14">
        <f t="array" ref="C103">IF(B103="","",SUMIF(Implementos!B:B,XLOOKUP(B103,Productos!A:A,Productos!F:F,"",0,1),Implementos!A:A))</f>
        <v>6</v>
      </c>
      <c r="D103" s="14">
        <f t="array" ref="D103">IF(OR(H103="",H103="Selecciona.."),"",XLOOKUP(H103,Propiedades!B:B,Propiedades!A:A,"",0,1))</f>
        <v>4</v>
      </c>
      <c r="E103" s="14">
        <f t="shared" si="2"/>
        <v>0</v>
      </c>
      <c r="F103" s="14" t="str">
        <f t="shared" si="3"/>
        <v>71-4-Exa</v>
      </c>
      <c r="G103" s="13" t="s">
        <v>86</v>
      </c>
      <c r="H103" s="13" t="s">
        <v>58</v>
      </c>
      <c r="I103" s="16" t="s">
        <v>55</v>
      </c>
      <c r="J103" s="16">
        <v>500.0</v>
      </c>
      <c r="K103" s="14" t="s">
        <v>85</v>
      </c>
    </row>
    <row r="104">
      <c r="A104" s="14">
        <f t="shared" si="1"/>
        <v>103</v>
      </c>
      <c r="B104" s="14">
        <f t="array" ref="B104">IF(OR(G104="",G104="Selecciona.."),"",XLOOKUP(G104,Productos!E:E,Productos!A:A,"",0,1))</f>
        <v>71</v>
      </c>
      <c r="C104" s="14">
        <f t="array" ref="C104">IF(B104="","",SUMIF(Implementos!B:B,XLOOKUP(B104,Productos!A:A,Productos!F:F,"",0,1),Implementos!A:A))</f>
        <v>6</v>
      </c>
      <c r="D104" s="14">
        <f t="array" ref="D104">IF(OR(H104="",H104="Selecciona.."),"",XLOOKUP(H104,Propiedades!B:B,Propiedades!A:A,"",0,1))</f>
        <v>3</v>
      </c>
      <c r="E104" s="14">
        <f t="shared" si="2"/>
        <v>0</v>
      </c>
      <c r="F104" s="14" t="str">
        <f t="shared" si="3"/>
        <v>71-3-Exa</v>
      </c>
      <c r="G104" s="13" t="s">
        <v>86</v>
      </c>
      <c r="H104" s="13" t="s">
        <v>54</v>
      </c>
      <c r="I104" s="16" t="s">
        <v>55</v>
      </c>
      <c r="J104" s="16">
        <f>SUMIFS('Metricas Útiles'!C:C,'Metricas Útiles'!A:A,"Capacidad Cajon",'Metricas Útiles'!B:B,J103)*J102</f>
        <v>129</v>
      </c>
      <c r="K104" s="14" t="s">
        <v>62</v>
      </c>
    </row>
    <row r="105">
      <c r="A105" s="14">
        <f t="shared" si="1"/>
        <v>104</v>
      </c>
      <c r="B105" s="14">
        <f t="array" ref="B105">IF(OR(G105="",G105="Selecciona.."),"",XLOOKUP(G105,Productos!E:E,Productos!A:A,"",0,1))</f>
        <v>71</v>
      </c>
      <c r="C105" s="14">
        <f t="array" ref="C105">IF(B105="","",SUMIF(Implementos!B:B,XLOOKUP(B105,Productos!A:A,Productos!F:F,"",0,1),Implementos!A:A))</f>
        <v>6</v>
      </c>
      <c r="D105" s="14">
        <f t="array" ref="D105">IF(OR(H105="",H105="Selecciona.."),"",XLOOKUP(H105,Propiedades!B:B,Propiedades!A:A,"",0,1))</f>
        <v>2</v>
      </c>
      <c r="E105" s="14">
        <f t="shared" si="2"/>
        <v>0</v>
      </c>
      <c r="F105" s="14" t="str">
        <f t="shared" si="3"/>
        <v>71-2-Exa</v>
      </c>
      <c r="G105" s="13" t="s">
        <v>86</v>
      </c>
      <c r="H105" s="13" t="s">
        <v>56</v>
      </c>
      <c r="I105" s="16" t="s">
        <v>55</v>
      </c>
      <c r="J105" s="16">
        <f>J104*SUMIFS('Metricas Útiles'!C:C,'Metricas Útiles'!A:A,"Peso Especifico",'Metricas Útiles'!B:B,"Baulera")+L105</f>
        <v>90.05</v>
      </c>
      <c r="K105" s="14" t="s">
        <v>63</v>
      </c>
      <c r="L105" s="1">
        <v>32.0</v>
      </c>
    </row>
    <row r="106">
      <c r="A106" s="14">
        <f t="shared" si="1"/>
        <v>105</v>
      </c>
      <c r="B106" s="14">
        <f t="array" ref="B106">IF(OR(G106="",G106="Selecciona.."),"",XLOOKUP(G106,Productos!E:E,Productos!A:A,"",0,1))</f>
        <v>65</v>
      </c>
      <c r="C106" s="14">
        <f t="array" ref="C106">IF(B106="","",SUMIF(Implementos!B:B,XLOOKUP(B106,Productos!A:A,Productos!F:F,"",0,1),Implementos!A:A))</f>
        <v>6</v>
      </c>
      <c r="D106" s="14">
        <f t="array" ref="D106">IF(OR(H106="",H106="Selecciona.."),"",XLOOKUP(H106,Propiedades!B:B,Propiedades!A:A,"",0,1))</f>
        <v>1</v>
      </c>
      <c r="E106" s="14">
        <f t="shared" si="2"/>
        <v>0</v>
      </c>
      <c r="F106" s="14" t="str">
        <f t="shared" si="3"/>
        <v>65-1-Exa</v>
      </c>
      <c r="G106" s="13" t="s">
        <v>87</v>
      </c>
      <c r="H106" s="13" t="s">
        <v>57</v>
      </c>
      <c r="I106" s="16" t="s">
        <v>55</v>
      </c>
      <c r="J106" s="16">
        <v>1.7</v>
      </c>
      <c r="K106" s="14" t="s">
        <v>64</v>
      </c>
    </row>
    <row r="107">
      <c r="A107" s="14">
        <f t="shared" si="1"/>
        <v>106</v>
      </c>
      <c r="B107" s="14">
        <f t="array" ref="B107">IF(OR(G107="",G107="Selecciona.."),"",XLOOKUP(G107,Productos!E:E,Productos!A:A,"",0,1))</f>
        <v>65</v>
      </c>
      <c r="C107" s="14">
        <f t="array" ref="C107">IF(B107="","",SUMIF(Implementos!B:B,XLOOKUP(B107,Productos!A:A,Productos!F:F,"",0,1),Implementos!A:A))</f>
        <v>6</v>
      </c>
      <c r="D107" s="14">
        <f t="array" ref="D107">IF(OR(H107="",H107="Selecciona.."),"",XLOOKUP(H107,Propiedades!B:B,Propiedades!A:A,"",0,1))</f>
        <v>4</v>
      </c>
      <c r="E107" s="14">
        <f t="shared" si="2"/>
        <v>0</v>
      </c>
      <c r="F107" s="14" t="str">
        <f t="shared" si="3"/>
        <v>65-4-Exa</v>
      </c>
      <c r="G107" s="13" t="s">
        <v>87</v>
      </c>
      <c r="H107" s="13" t="s">
        <v>58</v>
      </c>
      <c r="I107" s="16" t="s">
        <v>55</v>
      </c>
      <c r="J107" s="16">
        <v>1500.0</v>
      </c>
      <c r="K107" s="14" t="s">
        <v>85</v>
      </c>
    </row>
    <row r="108">
      <c r="A108" s="14">
        <f t="shared" si="1"/>
        <v>107</v>
      </c>
      <c r="B108" s="14">
        <f t="array" ref="B108">IF(OR(G108="",G108="Selecciona.."),"",XLOOKUP(G108,Productos!E:E,Productos!A:A,"",0,1))</f>
        <v>65</v>
      </c>
      <c r="C108" s="14">
        <f t="array" ref="C108">IF(B108="","",SUMIF(Implementos!B:B,XLOOKUP(B108,Productos!A:A,Productos!F:F,"",0,1),Implementos!A:A))</f>
        <v>6</v>
      </c>
      <c r="D108" s="14">
        <f t="array" ref="D108">IF(OR(H108="",H108="Selecciona.."),"",XLOOKUP(H108,Propiedades!B:B,Propiedades!A:A,"",0,1))</f>
        <v>3</v>
      </c>
      <c r="E108" s="14">
        <f t="shared" si="2"/>
        <v>0</v>
      </c>
      <c r="F108" s="14" t="str">
        <f t="shared" si="3"/>
        <v>65-3-Exa</v>
      </c>
      <c r="G108" s="13" t="s">
        <v>87</v>
      </c>
      <c r="H108" s="13" t="s">
        <v>54</v>
      </c>
      <c r="I108" s="16" t="s">
        <v>55</v>
      </c>
      <c r="J108" s="16">
        <f>SUMIFS('Metricas Útiles'!C:C,'Metricas Útiles'!A:A,"Capacidad Taller",'Metricas Útiles'!B:B,J107)*J106</f>
        <v>3825</v>
      </c>
      <c r="K108" s="14" t="s">
        <v>62</v>
      </c>
    </row>
    <row r="109">
      <c r="A109" s="14">
        <f t="shared" si="1"/>
        <v>108</v>
      </c>
      <c r="B109" s="14">
        <f t="array" ref="B109">IF(OR(G109="",G109="Selecciona.."),"",XLOOKUP(G109,Productos!E:E,Productos!A:A,"",0,1))</f>
        <v>65</v>
      </c>
      <c r="C109" s="14">
        <f t="array" ref="C109">IF(B109="","",SUMIF(Implementos!B:B,XLOOKUP(B109,Productos!A:A,Productos!F:F,"",0,1),Implementos!A:A))</f>
        <v>6</v>
      </c>
      <c r="D109" s="14">
        <f t="array" ref="D109">IF(OR(H109="",H109="Selecciona.."),"",XLOOKUP(H109,Propiedades!B:B,Propiedades!A:A,"",0,1))</f>
        <v>2</v>
      </c>
      <c r="E109" s="14">
        <f t="shared" si="2"/>
        <v>0</v>
      </c>
      <c r="F109" s="14" t="str">
        <f t="shared" si="3"/>
        <v>65-2-Exa</v>
      </c>
      <c r="G109" s="13" t="s">
        <v>87</v>
      </c>
      <c r="H109" s="13" t="s">
        <v>56</v>
      </c>
      <c r="I109" s="16" t="s">
        <v>55</v>
      </c>
      <c r="J109" s="16">
        <f>J108*SUMIFS('Metricas Útiles'!C:C,'Metricas Útiles'!A:A,"Peso Especifico",'Metricas Útiles'!B:B,"Baulera")+L109</f>
        <v>2166.25</v>
      </c>
      <c r="K109" s="14" t="s">
        <v>63</v>
      </c>
      <c r="L109" s="1">
        <v>445.0</v>
      </c>
    </row>
    <row r="110">
      <c r="A110" s="14">
        <f t="shared" si="1"/>
        <v>109</v>
      </c>
      <c r="B110" s="14">
        <f t="array" ref="B110">IF(OR(G110="",G110="Selecciona.."),"",XLOOKUP(G110,Productos!E:E,Productos!A:A,"",0,1))</f>
        <v>92</v>
      </c>
      <c r="C110" s="14">
        <f t="array" ref="C110">IF(B110="","",SUMIF(Implementos!B:B,XLOOKUP(B110,Productos!A:A,Productos!F:F,"",0,1),Implementos!A:A))</f>
        <v>6</v>
      </c>
      <c r="D110" s="14">
        <f t="array" ref="D110">IF(OR(H110="",H110="Selecciona.."),"",XLOOKUP(H110,Propiedades!B:B,Propiedades!A:A,"",0,1))</f>
        <v>1</v>
      </c>
      <c r="E110" s="14">
        <f t="shared" si="2"/>
        <v>0</v>
      </c>
      <c r="F110" s="14" t="str">
        <f t="shared" si="3"/>
        <v>92-1-Exa</v>
      </c>
      <c r="G110" s="13" t="s">
        <v>30</v>
      </c>
      <c r="H110" s="13" t="s">
        <v>57</v>
      </c>
      <c r="I110" s="16" t="s">
        <v>55</v>
      </c>
      <c r="J110" s="16">
        <v>1.0</v>
      </c>
      <c r="K110" s="14" t="str">
        <f t="array" ref="K110">IF(OR(H110="",H110="Selecciona.."),"",XLOOKUP(H110,Propiedades!B:B,Propiedades!C:C,"",0,1))</f>
        <v>mts</v>
      </c>
    </row>
    <row r="111">
      <c r="A111" s="14">
        <f t="shared" si="1"/>
        <v>110</v>
      </c>
      <c r="B111" s="14">
        <f t="array" ref="B111">IF(OR(G111="",G111="Selecciona.."),"",XLOOKUP(G111,Productos!E:E,Productos!A:A,"",0,1))</f>
        <v>92</v>
      </c>
      <c r="C111" s="14">
        <f t="array" ref="C111">IF(B111="","",SUMIF(Implementos!B:B,XLOOKUP(B111,Productos!A:A,Productos!F:F,"",0,1),Implementos!A:A))</f>
        <v>6</v>
      </c>
      <c r="D111" s="14">
        <f t="array" ref="D111">IF(OR(H111="",H111="Selecciona.."),"",XLOOKUP(H111,Propiedades!B:B,Propiedades!A:A,"",0,1))</f>
        <v>4</v>
      </c>
      <c r="E111" s="14">
        <f t="shared" si="2"/>
        <v>0</v>
      </c>
      <c r="F111" s="14" t="str">
        <f t="shared" si="3"/>
        <v>92-4-Exa</v>
      </c>
      <c r="G111" s="13" t="s">
        <v>30</v>
      </c>
      <c r="H111" s="13" t="s">
        <v>58</v>
      </c>
      <c r="I111" s="16" t="s">
        <v>55</v>
      </c>
      <c r="J111" s="16">
        <v>870.0</v>
      </c>
      <c r="K111" s="14" t="str">
        <f t="array" ref="K111">IF(OR(H111="",H111="Selecciona.."),"",XLOOKUP(H111,Propiedades!B:B,Propiedades!C:C,"",0,1))</f>
        <v>mm</v>
      </c>
    </row>
    <row r="112">
      <c r="A112" s="14">
        <f t="shared" si="1"/>
        <v>111</v>
      </c>
      <c r="B112" s="14">
        <f t="array" ref="B112">IF(OR(G112="",G112="Selecciona.."),"",XLOOKUP(G112,Productos!E:E,Productos!A:A,"",0,1))</f>
        <v>92</v>
      </c>
      <c r="C112" s="14">
        <f t="array" ref="C112">IF(B112="","",SUMIF(Implementos!B:B,XLOOKUP(B112,Productos!A:A,Productos!F:F,"",0,1),Implementos!A:A))</f>
        <v>6</v>
      </c>
      <c r="D112" s="14">
        <f t="array" ref="D112">IF(OR(H112="",H112="Selecciona.."),"",XLOOKUP(H112,Propiedades!B:B,Propiedades!A:A,"",0,1))</f>
        <v>2</v>
      </c>
      <c r="E112" s="14">
        <f t="shared" si="2"/>
        <v>0</v>
      </c>
      <c r="F112" s="14" t="str">
        <f t="shared" si="3"/>
        <v>92-2-Exa</v>
      </c>
      <c r="G112" s="13" t="s">
        <v>30</v>
      </c>
      <c r="H112" s="13" t="s">
        <v>56</v>
      </c>
      <c r="I112" s="16" t="s">
        <v>55</v>
      </c>
      <c r="J112" s="16">
        <v>800.0</v>
      </c>
      <c r="K112" s="14" t="str">
        <f t="array" ref="K112">IF(OR(H112="",H112="Selecciona.."),"",XLOOKUP(H112,Propiedades!B:B,Propiedades!C:C,"",0,1))</f>
        <v>kg</v>
      </c>
    </row>
    <row r="113">
      <c r="A113" s="14">
        <f t="shared" si="1"/>
        <v>112</v>
      </c>
      <c r="B113" s="14">
        <f t="array" ref="B113">IF(OR(G113="",G113="Selecciona.."),"",XLOOKUP(G113,Productos!E:E,Productos!A:A,"",0,1))</f>
        <v>92</v>
      </c>
      <c r="C113" s="14">
        <f t="array" ref="C113">IF(B113="","",SUMIF(Implementos!B:B,XLOOKUP(B113,Productos!A:A,Productos!F:F,"",0,1),Implementos!A:A))</f>
        <v>6</v>
      </c>
      <c r="D113" s="14">
        <f t="array" ref="D113">IF(OR(H113="",H113="Selecciona.."),"",XLOOKUP(H113,Propiedades!B:B,Propiedades!A:A,"",0,1))</f>
        <v>3</v>
      </c>
      <c r="E113" s="14">
        <f t="shared" si="2"/>
        <v>0</v>
      </c>
      <c r="F113" s="14" t="str">
        <f t="shared" si="3"/>
        <v>92-3-Exa</v>
      </c>
      <c r="G113" s="13" t="s">
        <v>30</v>
      </c>
      <c r="H113" s="13" t="s">
        <v>54</v>
      </c>
      <c r="I113" s="16" t="s">
        <v>55</v>
      </c>
      <c r="J113" s="16">
        <v>750.0</v>
      </c>
      <c r="K113" s="14" t="str">
        <f t="array" ref="K113">IF(OR(H113="",H113="Selecciona.."),"",XLOOKUP(H113,Propiedades!B:B,Propiedades!C:C,"",0,1))</f>
        <v>lts</v>
      </c>
    </row>
    <row r="114">
      <c r="A114" s="14">
        <f t="shared" si="1"/>
        <v>113</v>
      </c>
      <c r="B114" s="14">
        <f t="array" ref="B114">IF(OR(G114="",G114="Selecciona.."),"",XLOOKUP(G114,Productos!E:E,Productos!A:A,"",0,1))</f>
        <v>93</v>
      </c>
      <c r="C114" s="14">
        <f t="array" ref="C114">IF(B114="","",SUMIF(Implementos!B:B,XLOOKUP(B114,Productos!A:A,Productos!F:F,"",0,1),Implementos!A:A))</f>
        <v>6</v>
      </c>
      <c r="D114" s="14">
        <f t="array" ref="D114">IF(OR(H114="",H114="Selecciona.."),"",XLOOKUP(H114,Propiedades!B:B,Propiedades!A:A,"",0,1))</f>
        <v>1</v>
      </c>
      <c r="E114" s="14">
        <f t="shared" si="2"/>
        <v>0</v>
      </c>
      <c r="F114" s="14" t="str">
        <f t="shared" si="3"/>
        <v>93-1-Exa</v>
      </c>
      <c r="G114" s="13" t="s">
        <v>88</v>
      </c>
      <c r="H114" s="13" t="s">
        <v>57</v>
      </c>
      <c r="I114" s="16" t="s">
        <v>55</v>
      </c>
      <c r="J114" s="16">
        <v>3.0</v>
      </c>
      <c r="K114" s="14" t="str">
        <f t="array" ref="K114">IF(OR(H114="",H114="Selecciona.."),"",XLOOKUP(H114,Propiedades!B:B,Propiedades!C:C,"",0,1))</f>
        <v>mts</v>
      </c>
    </row>
    <row r="115">
      <c r="A115" s="14">
        <f t="shared" si="1"/>
        <v>114</v>
      </c>
      <c r="B115" s="14">
        <f t="array" ref="B115">IF(OR(G115="",G115="Selecciona.."),"",XLOOKUP(G115,Productos!E:E,Productos!A:A,"",0,1))</f>
        <v>93</v>
      </c>
      <c r="C115" s="14">
        <f t="array" ref="C115">IF(B115="","",SUMIF(Implementos!B:B,XLOOKUP(B115,Productos!A:A,Productos!F:F,"",0,1),Implementos!A:A))</f>
        <v>6</v>
      </c>
      <c r="D115" s="14">
        <f t="array" ref="D115">IF(OR(H115="",H115="Selecciona.."),"",XLOOKUP(H115,Propiedades!B:B,Propiedades!A:A,"",0,1))</f>
        <v>4</v>
      </c>
      <c r="E115" s="14">
        <f t="shared" si="2"/>
        <v>0</v>
      </c>
      <c r="F115" s="14" t="str">
        <f t="shared" si="3"/>
        <v>93-4-Exa</v>
      </c>
      <c r="G115" s="13" t="s">
        <v>88</v>
      </c>
      <c r="H115" s="13" t="s">
        <v>58</v>
      </c>
      <c r="I115" s="16" t="s">
        <v>55</v>
      </c>
      <c r="J115" s="16">
        <v>450.0</v>
      </c>
      <c r="K115" s="14" t="str">
        <f t="array" ref="K115">IF(OR(H115="",H115="Selecciona.."),"",XLOOKUP(H115,Propiedades!B:B,Propiedades!C:C,"",0,1))</f>
        <v>mm</v>
      </c>
    </row>
    <row r="116">
      <c r="A116" s="14">
        <f t="shared" si="1"/>
        <v>115</v>
      </c>
      <c r="B116" s="14">
        <f t="array" ref="B116">IF(OR(G116="",G116="Selecciona.."),"",XLOOKUP(G116,Productos!E:E,Productos!A:A,"",0,1))</f>
        <v>93</v>
      </c>
      <c r="C116" s="14">
        <f t="array" ref="C116">IF(B116="","",SUMIF(Implementos!B:B,XLOOKUP(B116,Productos!A:A,Productos!F:F,"",0,1),Implementos!A:A))</f>
        <v>6</v>
      </c>
      <c r="D116" s="14">
        <f t="array" ref="D116">IF(OR(H116="",H116="Selecciona.."),"",XLOOKUP(H116,Propiedades!B:B,Propiedades!A:A,"",0,1))</f>
        <v>2</v>
      </c>
      <c r="E116" s="14">
        <f t="shared" si="2"/>
        <v>0</v>
      </c>
      <c r="F116" s="14" t="str">
        <f t="shared" si="3"/>
        <v>93-2-Exa</v>
      </c>
      <c r="G116" s="13" t="s">
        <v>88</v>
      </c>
      <c r="H116" s="13" t="s">
        <v>56</v>
      </c>
      <c r="I116" s="16" t="s">
        <v>55</v>
      </c>
      <c r="J116" s="16">
        <v>750.0</v>
      </c>
      <c r="K116" s="14" t="str">
        <f t="array" ref="K116">IF(OR(H116="",H116="Selecciona.."),"",XLOOKUP(H116,Propiedades!B:B,Propiedades!C:C,"",0,1))</f>
        <v>kg</v>
      </c>
    </row>
    <row r="117">
      <c r="A117" s="14">
        <f t="shared" si="1"/>
        <v>116</v>
      </c>
      <c r="B117" s="14">
        <f t="array" ref="B117">IF(OR(G117="",G117="Selecciona.."),"",XLOOKUP(G117,Productos!E:E,Productos!A:A,"",0,1))</f>
        <v>93</v>
      </c>
      <c r="C117" s="14">
        <f t="array" ref="C117">IF(B117="","",SUMIF(Implementos!B:B,XLOOKUP(B117,Productos!A:A,Productos!F:F,"",0,1),Implementos!A:A))</f>
        <v>6</v>
      </c>
      <c r="D117" s="14">
        <f t="array" ref="D117">IF(OR(H117="",H117="Selecciona.."),"",XLOOKUP(H117,Propiedades!B:B,Propiedades!A:A,"",0,1))</f>
        <v>3</v>
      </c>
      <c r="E117" s="14">
        <f t="shared" si="2"/>
        <v>0</v>
      </c>
      <c r="F117" s="14" t="str">
        <f t="shared" si="3"/>
        <v>93-3-Exa</v>
      </c>
      <c r="G117" s="13" t="s">
        <v>88</v>
      </c>
      <c r="H117" s="13" t="s">
        <v>54</v>
      </c>
      <c r="I117" s="16" t="s">
        <v>55</v>
      </c>
      <c r="J117" s="16">
        <v>700.0</v>
      </c>
      <c r="K117" s="14" t="str">
        <f t="array" ref="K117">IF(OR(H117="",H117="Selecciona.."),"",XLOOKUP(H117,Propiedades!B:B,Propiedades!C:C,"",0,1))</f>
        <v>lts</v>
      </c>
    </row>
    <row r="118">
      <c r="A118" s="14">
        <f t="shared" si="1"/>
        <v>117</v>
      </c>
      <c r="B118" s="14">
        <f t="array" ref="B118">IF(OR(G118="",G118="Selecciona.."),"",XLOOKUP(G118,Productos!E:E,Productos!A:A,"",0,1))</f>
        <v>36</v>
      </c>
      <c r="C118" s="14">
        <f t="array" ref="C118">IF(B118="","",SUMIF(Implementos!B:B,XLOOKUP(B118,Productos!A:A,Productos!F:F,"",0,1),Implementos!A:A))</f>
        <v>3</v>
      </c>
      <c r="D118" s="14">
        <f t="array" ref="D118">IF(OR(H118="",H118="Selecciona.."),"",XLOOKUP(H118,Propiedades!B:B,Propiedades!A:A,"",0,1))</f>
        <v>1</v>
      </c>
      <c r="E118" s="14">
        <f t="shared" si="2"/>
        <v>0</v>
      </c>
      <c r="F118" s="14" t="str">
        <f t="shared" si="3"/>
        <v>36-1-Exa</v>
      </c>
      <c r="G118" s="13" t="s">
        <v>89</v>
      </c>
      <c r="H118" s="13" t="s">
        <v>57</v>
      </c>
      <c r="I118" s="16" t="s">
        <v>55</v>
      </c>
      <c r="J118" s="16">
        <v>1.5</v>
      </c>
      <c r="K118" s="14" t="str">
        <f t="array" ref="K118">IF(OR(H118="",H118="Selecciona.."),"",XLOOKUP(H118,Propiedades!B:B,Propiedades!C:C,"",0,1))</f>
        <v>mts</v>
      </c>
    </row>
    <row r="119">
      <c r="A119" s="14">
        <f t="shared" si="1"/>
        <v>118</v>
      </c>
      <c r="B119" s="14">
        <f t="array" ref="B119">IF(OR(G119="",G119="Selecciona.."),"",XLOOKUP(G119,Productos!E:E,Productos!A:A,"",0,1))</f>
        <v>37</v>
      </c>
      <c r="C119" s="14">
        <f t="array" ref="C119">IF(B119="","",SUMIF(Implementos!B:B,XLOOKUP(B119,Productos!A:A,Productos!F:F,"",0,1),Implementos!A:A))</f>
        <v>3</v>
      </c>
      <c r="D119" s="14">
        <f t="array" ref="D119">IF(OR(H119="",H119="Selecciona.."),"",XLOOKUP(H119,Propiedades!B:B,Propiedades!A:A,"",0,1))</f>
        <v>1</v>
      </c>
      <c r="E119" s="14">
        <f t="shared" si="2"/>
        <v>0</v>
      </c>
      <c r="F119" s="14" t="str">
        <f t="shared" si="3"/>
        <v>37-1-Exa</v>
      </c>
      <c r="G119" s="13" t="s">
        <v>90</v>
      </c>
      <c r="H119" s="13" t="s">
        <v>57</v>
      </c>
      <c r="I119" s="16" t="s">
        <v>55</v>
      </c>
      <c r="J119" s="16">
        <v>2.0</v>
      </c>
      <c r="K119" s="14" t="str">
        <f t="array" ref="K119">IF(OR(H119="",H119="Selecciona.."),"",XLOOKUP(H119,Propiedades!B:B,Propiedades!C:C,"",0,1))</f>
        <v>mts</v>
      </c>
    </row>
    <row r="120">
      <c r="A120" s="14">
        <f t="shared" si="1"/>
        <v>119</v>
      </c>
      <c r="B120" s="14">
        <f t="array" ref="B120">IF(OR(G120="",G120="Selecciona.."),"",XLOOKUP(G120,Productos!E:E,Productos!A:A,"",0,1))</f>
        <v>38</v>
      </c>
      <c r="C120" s="14">
        <f t="array" ref="C120">IF(B120="","",SUMIF(Implementos!B:B,XLOOKUP(B120,Productos!A:A,Productos!F:F,"",0,1),Implementos!A:A))</f>
        <v>3</v>
      </c>
      <c r="D120" s="14">
        <f t="array" ref="D120">IF(OR(H120="",H120="Selecciona.."),"",XLOOKUP(H120,Propiedades!B:B,Propiedades!A:A,"",0,1))</f>
        <v>4</v>
      </c>
      <c r="E120" s="14">
        <f t="shared" si="2"/>
        <v>0</v>
      </c>
      <c r="F120" s="14" t="str">
        <f t="shared" si="3"/>
        <v>38-4-Exa</v>
      </c>
      <c r="G120" s="13" t="s">
        <v>91</v>
      </c>
      <c r="H120" s="13" t="s">
        <v>58</v>
      </c>
      <c r="I120" s="16" t="s">
        <v>55</v>
      </c>
      <c r="J120" s="16">
        <v>800.0</v>
      </c>
      <c r="K120" s="14" t="str">
        <f t="array" ref="K120">IF(OR(H120="",H120="Selecciona.."),"",XLOOKUP(H120,Propiedades!B:B,Propiedades!C:C,"",0,1))</f>
        <v>mm</v>
      </c>
    </row>
    <row r="121">
      <c r="A121" s="14">
        <f t="shared" si="1"/>
        <v>120</v>
      </c>
      <c r="B121" s="14">
        <f t="array" ref="B121">IF(OR(G121="",G121="Selecciona.."),"",XLOOKUP(G121,Productos!E:E,Productos!A:A,"",0,1))</f>
        <v>39</v>
      </c>
      <c r="C121" s="14">
        <f t="array" ref="C121">IF(B121="","",SUMIF(Implementos!B:B,XLOOKUP(B121,Productos!A:A,Productos!F:F,"",0,1),Implementos!A:A))</f>
        <v>3</v>
      </c>
      <c r="D121" s="14">
        <f t="array" ref="D121">IF(OR(H121="",H121="Selecciona.."),"",XLOOKUP(H121,Propiedades!B:B,Propiedades!A:A,"",0,1))</f>
        <v>4</v>
      </c>
      <c r="E121" s="14">
        <f t="shared" si="2"/>
        <v>0</v>
      </c>
      <c r="F121" s="14" t="str">
        <f t="shared" si="3"/>
        <v>39-4-Exa</v>
      </c>
      <c r="G121" s="13" t="s">
        <v>92</v>
      </c>
      <c r="H121" s="13" t="s">
        <v>58</v>
      </c>
      <c r="I121" s="16" t="s">
        <v>55</v>
      </c>
      <c r="J121" s="16">
        <v>800.0</v>
      </c>
      <c r="K121" s="14" t="str">
        <f t="array" ref="K121">IF(OR(H121="",H121="Selecciona.."),"",XLOOKUP(H121,Propiedades!B:B,Propiedades!C:C,"",0,1))</f>
        <v>mm</v>
      </c>
    </row>
    <row r="122">
      <c r="A122" s="14">
        <f t="shared" si="1"/>
        <v>121</v>
      </c>
      <c r="B122" s="14">
        <f t="array" ref="B122">IF(OR(G122="",G122="Selecciona.."),"",XLOOKUP(G122,Productos!E:E,Productos!A:A,"",0,1))</f>
        <v>40</v>
      </c>
      <c r="C122" s="14">
        <f t="array" ref="C122">IF(B122="","",SUMIF(Implementos!B:B,XLOOKUP(B122,Productos!A:A,Productos!F:F,"",0,1),Implementos!A:A))</f>
        <v>3</v>
      </c>
      <c r="D122" s="14">
        <f t="array" ref="D122">IF(OR(H122="",H122="Selecciona.."),"",XLOOKUP(H122,Propiedades!B:B,Propiedades!A:A,"",0,1))</f>
        <v>4</v>
      </c>
      <c r="E122" s="14">
        <f t="shared" si="2"/>
        <v>0</v>
      </c>
      <c r="F122" s="14" t="str">
        <f t="shared" si="3"/>
        <v>40-4-Exa</v>
      </c>
      <c r="G122" s="13" t="s">
        <v>93</v>
      </c>
      <c r="H122" s="13" t="s">
        <v>58</v>
      </c>
      <c r="I122" s="16" t="s">
        <v>55</v>
      </c>
      <c r="J122" s="16">
        <v>200.0</v>
      </c>
      <c r="K122" s="14" t="str">
        <f t="array" ref="K122">IF(OR(H122="",H122="Selecciona.."),"",XLOOKUP(H122,Propiedades!B:B,Propiedades!C:C,"",0,1))</f>
        <v>mm</v>
      </c>
    </row>
    <row r="123">
      <c r="A123" s="14">
        <f t="shared" si="1"/>
        <v>122</v>
      </c>
      <c r="B123" s="14">
        <f t="array" ref="B123">IF(OR(G123="",G123="Selecciona.."),"",XLOOKUP(G123,Productos!E:E,Productos!A:A,"",0,1))</f>
        <v>41</v>
      </c>
      <c r="C123" s="14">
        <f t="array" ref="C123">IF(B123="","",SUMIF(Implementos!B:B,XLOOKUP(B123,Productos!A:A,Productos!F:F,"",0,1),Implementos!A:A))</f>
        <v>3</v>
      </c>
      <c r="D123" s="14">
        <f t="array" ref="D123">IF(OR(H123="",H123="Selecciona.."),"",XLOOKUP(H123,Propiedades!B:B,Propiedades!A:A,"",0,1))</f>
        <v>4</v>
      </c>
      <c r="E123" s="14">
        <f t="shared" si="2"/>
        <v>0</v>
      </c>
      <c r="F123" s="14" t="str">
        <f t="shared" si="3"/>
        <v>41-4-Exa</v>
      </c>
      <c r="G123" s="13" t="s">
        <v>94</v>
      </c>
      <c r="H123" s="13" t="s">
        <v>58</v>
      </c>
      <c r="I123" s="16" t="s">
        <v>55</v>
      </c>
      <c r="J123" s="16">
        <v>200.0</v>
      </c>
      <c r="K123" s="14" t="str">
        <f t="array" ref="K123">IF(OR(H123="",H123="Selecciona.."),"",XLOOKUP(H123,Propiedades!B:B,Propiedades!C:C,"",0,1))</f>
        <v>mm</v>
      </c>
    </row>
    <row r="124">
      <c r="A124" s="14">
        <f t="shared" si="1"/>
        <v>123</v>
      </c>
      <c r="B124" s="14">
        <f t="array" ref="B124">IF(OR(G124="",G124="Selecciona.."),"",XLOOKUP(G124,Productos!E:E,Productos!A:A,"",0,1))</f>
        <v>38</v>
      </c>
      <c r="C124" s="14">
        <f t="array" ref="C124">IF(B124="","",SUMIF(Implementos!B:B,XLOOKUP(B124,Productos!A:A,Productos!F:F,"",0,1),Implementos!A:A))</f>
        <v>3</v>
      </c>
      <c r="D124" s="14">
        <f t="array" ref="D124">IF(OR(H124="",H124="Selecciona.."),"",XLOOKUP(H124,Propiedades!B:B,Propiedades!A:A,"",0,1))</f>
        <v>1</v>
      </c>
      <c r="E124" s="14">
        <f t="shared" si="2"/>
        <v>1</v>
      </c>
      <c r="F124" s="14" t="str">
        <f t="shared" si="3"/>
        <v>38-1-Min</v>
      </c>
      <c r="G124" s="13" t="s">
        <v>91</v>
      </c>
      <c r="H124" s="13" t="s">
        <v>57</v>
      </c>
      <c r="I124" s="16" t="s">
        <v>22</v>
      </c>
      <c r="J124" s="16">
        <v>1.49</v>
      </c>
      <c r="K124" s="14" t="str">
        <f t="array" ref="K124">IF(OR(H124="",H124="Selecciona.."),"",XLOOKUP(H124,Propiedades!B:B,Propiedades!C:C,"",0,1))</f>
        <v>mts</v>
      </c>
    </row>
    <row r="125">
      <c r="A125" s="14">
        <f t="shared" si="1"/>
        <v>124</v>
      </c>
      <c r="B125" s="14">
        <f t="array" ref="B125">IF(OR(G125="",G125="Selecciona.."),"",XLOOKUP(G125,Productos!E:E,Productos!A:A,"",0,1))</f>
        <v>39</v>
      </c>
      <c r="C125" s="14">
        <f t="array" ref="C125">IF(B125="","",SUMIF(Implementos!B:B,XLOOKUP(B125,Productos!A:A,Productos!F:F,"",0,1),Implementos!A:A))</f>
        <v>3</v>
      </c>
      <c r="D125" s="14">
        <f t="array" ref="D125">IF(OR(H125="",H125="Selecciona.."),"",XLOOKUP(H125,Propiedades!B:B,Propiedades!A:A,"",0,1))</f>
        <v>1</v>
      </c>
      <c r="E125" s="14">
        <f t="shared" si="2"/>
        <v>1</v>
      </c>
      <c r="F125" s="14" t="str">
        <f t="shared" si="3"/>
        <v>39-1-Min</v>
      </c>
      <c r="G125" s="13" t="s">
        <v>92</v>
      </c>
      <c r="H125" s="13" t="s">
        <v>57</v>
      </c>
      <c r="I125" s="16" t="s">
        <v>22</v>
      </c>
      <c r="J125" s="16">
        <v>1.99</v>
      </c>
      <c r="K125" s="14" t="str">
        <f t="array" ref="K125">IF(OR(H125="",H125="Selecciona.."),"",XLOOKUP(H125,Propiedades!B:B,Propiedades!C:C,"",0,1))</f>
        <v>mts</v>
      </c>
    </row>
    <row r="126">
      <c r="A126" s="14">
        <f t="shared" si="1"/>
        <v>125</v>
      </c>
      <c r="B126" s="14">
        <f t="array" ref="B126">IF(OR(G126="",G126="Selecciona.."),"",XLOOKUP(G126,Productos!E:E,Productos!A:A,"",0,1))</f>
        <v>40</v>
      </c>
      <c r="C126" s="14">
        <f t="array" ref="C126">IF(B126="","",SUMIF(Implementos!B:B,XLOOKUP(B126,Productos!A:A,Productos!F:F,"",0,1),Implementos!A:A))</f>
        <v>3</v>
      </c>
      <c r="D126" s="14">
        <f t="array" ref="D126">IF(OR(H126="",H126="Selecciona.."),"",XLOOKUP(H126,Propiedades!B:B,Propiedades!A:A,"",0,1))</f>
        <v>1</v>
      </c>
      <c r="E126" s="14">
        <f t="shared" si="2"/>
        <v>1</v>
      </c>
      <c r="F126" s="14" t="str">
        <f t="shared" si="3"/>
        <v>40-1-Min</v>
      </c>
      <c r="G126" s="13" t="s">
        <v>93</v>
      </c>
      <c r="H126" s="13" t="s">
        <v>57</v>
      </c>
      <c r="I126" s="16" t="s">
        <v>22</v>
      </c>
      <c r="J126" s="16">
        <v>1.49</v>
      </c>
      <c r="K126" s="14" t="str">
        <f t="array" ref="K126">IF(OR(H126="",H126="Selecciona.."),"",XLOOKUP(H126,Propiedades!B:B,Propiedades!C:C,"",0,1))</f>
        <v>mts</v>
      </c>
    </row>
    <row r="127">
      <c r="A127" s="14">
        <f t="shared" si="1"/>
        <v>126</v>
      </c>
      <c r="B127" s="14">
        <f t="array" ref="B127">IF(OR(G127="",G127="Selecciona.."),"",XLOOKUP(G127,Productos!E:E,Productos!A:A,"",0,1))</f>
        <v>41</v>
      </c>
      <c r="C127" s="14">
        <f t="array" ref="C127">IF(B127="","",SUMIF(Implementos!B:B,XLOOKUP(B127,Productos!A:A,Productos!F:F,"",0,1),Implementos!A:A))</f>
        <v>3</v>
      </c>
      <c r="D127" s="14">
        <f t="array" ref="D127">IF(OR(H127="",H127="Selecciona.."),"",XLOOKUP(H127,Propiedades!B:B,Propiedades!A:A,"",0,1))</f>
        <v>1</v>
      </c>
      <c r="E127" s="14">
        <f t="shared" si="2"/>
        <v>1</v>
      </c>
      <c r="F127" s="14" t="str">
        <f t="shared" si="3"/>
        <v>41-1-Min</v>
      </c>
      <c r="G127" s="13" t="s">
        <v>94</v>
      </c>
      <c r="H127" s="13" t="s">
        <v>57</v>
      </c>
      <c r="I127" s="16" t="s">
        <v>22</v>
      </c>
      <c r="J127" s="16">
        <v>1.99</v>
      </c>
      <c r="K127" s="14" t="str">
        <f t="array" ref="K127">IF(OR(H127="",H127="Selecciona.."),"",XLOOKUP(H127,Propiedades!B:B,Propiedades!C:C,"",0,1))</f>
        <v>mts</v>
      </c>
    </row>
    <row r="128">
      <c r="A128" s="14">
        <f t="shared" si="1"/>
        <v>127</v>
      </c>
      <c r="B128" s="14">
        <f t="array" ref="B128">IF(OR(G128="",G128="Selecciona.."),"",XLOOKUP(G128,Productos!E:E,Productos!A:A,"",0,1))</f>
        <v>38</v>
      </c>
      <c r="C128" s="14">
        <f t="array" ref="C128">IF(B128="","",SUMIF(Implementos!B:B,XLOOKUP(B128,Productos!A:A,Productos!F:F,"",0,1),Implementos!A:A))</f>
        <v>3</v>
      </c>
      <c r="D128" s="14">
        <f t="array" ref="D128">IF(OR(H128="",H128="Selecciona.."),"",XLOOKUP(H128,Propiedades!B:B,Propiedades!A:A,"",0,1))</f>
        <v>1</v>
      </c>
      <c r="E128" s="14">
        <f t="shared" si="2"/>
        <v>1</v>
      </c>
      <c r="F128" s="14" t="str">
        <f t="shared" si="3"/>
        <v>38-1-Máx</v>
      </c>
      <c r="G128" s="13" t="s">
        <v>91</v>
      </c>
      <c r="H128" s="13" t="s">
        <v>57</v>
      </c>
      <c r="I128" s="16" t="s">
        <v>23</v>
      </c>
      <c r="J128" s="16">
        <v>1.51</v>
      </c>
      <c r="K128" s="14" t="str">
        <f t="array" ref="K128">IF(OR(H128="",H128="Selecciona.."),"",XLOOKUP(H128,Propiedades!B:B,Propiedades!C:C,"",0,1))</f>
        <v>mts</v>
      </c>
    </row>
    <row r="129">
      <c r="A129" s="14">
        <f t="shared" si="1"/>
        <v>128</v>
      </c>
      <c r="B129" s="14">
        <f t="array" ref="B129">IF(OR(G129="",G129="Selecciona.."),"",XLOOKUP(G129,Productos!E:E,Productos!A:A,"",0,1))</f>
        <v>39</v>
      </c>
      <c r="C129" s="14">
        <f t="array" ref="C129">IF(B129="","",SUMIF(Implementos!B:B,XLOOKUP(B129,Productos!A:A,Productos!F:F,"",0,1),Implementos!A:A))</f>
        <v>3</v>
      </c>
      <c r="D129" s="14">
        <f t="array" ref="D129">IF(OR(H129="",H129="Selecciona.."),"",XLOOKUP(H129,Propiedades!B:B,Propiedades!A:A,"",0,1))</f>
        <v>1</v>
      </c>
      <c r="E129" s="14">
        <f t="shared" si="2"/>
        <v>1</v>
      </c>
      <c r="F129" s="14" t="str">
        <f t="shared" si="3"/>
        <v>39-1-Máx</v>
      </c>
      <c r="G129" s="13" t="s">
        <v>92</v>
      </c>
      <c r="H129" s="13" t="s">
        <v>57</v>
      </c>
      <c r="I129" s="16" t="s">
        <v>23</v>
      </c>
      <c r="J129" s="16">
        <v>2.01</v>
      </c>
      <c r="K129" s="14" t="str">
        <f t="array" ref="K129">IF(OR(H129="",H129="Selecciona.."),"",XLOOKUP(H129,Propiedades!B:B,Propiedades!C:C,"",0,1))</f>
        <v>mts</v>
      </c>
    </row>
    <row r="130">
      <c r="A130" s="14">
        <f t="shared" si="1"/>
        <v>129</v>
      </c>
      <c r="B130" s="14">
        <f t="array" ref="B130">IF(OR(G130="",G130="Selecciona.."),"",XLOOKUP(G130,Productos!E:E,Productos!A:A,"",0,1))</f>
        <v>40</v>
      </c>
      <c r="C130" s="14">
        <f t="array" ref="C130">IF(B130="","",SUMIF(Implementos!B:B,XLOOKUP(B130,Productos!A:A,Productos!F:F,"",0,1),Implementos!A:A))</f>
        <v>3</v>
      </c>
      <c r="D130" s="14">
        <f t="array" ref="D130">IF(OR(H130="",H130="Selecciona.."),"",XLOOKUP(H130,Propiedades!B:B,Propiedades!A:A,"",0,1))</f>
        <v>1</v>
      </c>
      <c r="E130" s="14">
        <f t="shared" si="2"/>
        <v>1</v>
      </c>
      <c r="F130" s="14" t="str">
        <f t="shared" si="3"/>
        <v>40-1-Máx</v>
      </c>
      <c r="G130" s="13" t="s">
        <v>93</v>
      </c>
      <c r="H130" s="13" t="s">
        <v>57</v>
      </c>
      <c r="I130" s="16" t="s">
        <v>23</v>
      </c>
      <c r="J130" s="16">
        <v>1.51</v>
      </c>
      <c r="K130" s="14" t="str">
        <f t="array" ref="K130">IF(OR(H130="",H130="Selecciona.."),"",XLOOKUP(H130,Propiedades!B:B,Propiedades!C:C,"",0,1))</f>
        <v>mts</v>
      </c>
    </row>
    <row r="131">
      <c r="A131" s="14">
        <f t="shared" si="1"/>
        <v>130</v>
      </c>
      <c r="B131" s="14">
        <f t="array" ref="B131">IF(OR(G131="",G131="Selecciona.."),"",XLOOKUP(G131,Productos!E:E,Productos!A:A,"",0,1))</f>
        <v>41</v>
      </c>
      <c r="C131" s="14">
        <f t="array" ref="C131">IF(B131="","",SUMIF(Implementos!B:B,XLOOKUP(B131,Productos!A:A,Productos!F:F,"",0,1),Implementos!A:A))</f>
        <v>3</v>
      </c>
      <c r="D131" s="14">
        <f t="array" ref="D131">IF(OR(H131="",H131="Selecciona.."),"",XLOOKUP(H131,Propiedades!B:B,Propiedades!A:A,"",0,1))</f>
        <v>1</v>
      </c>
      <c r="E131" s="14">
        <f t="shared" si="2"/>
        <v>1</v>
      </c>
      <c r="F131" s="14" t="str">
        <f t="shared" si="3"/>
        <v>41-1-Máx</v>
      </c>
      <c r="G131" s="13" t="s">
        <v>94</v>
      </c>
      <c r="H131" s="13" t="s">
        <v>57</v>
      </c>
      <c r="I131" s="16" t="s">
        <v>23</v>
      </c>
      <c r="J131" s="16">
        <v>2.01</v>
      </c>
      <c r="K131" s="14" t="str">
        <f t="array" ref="K131">IF(OR(H131="",H131="Selecciona.."),"",XLOOKUP(H131,Propiedades!B:B,Propiedades!C:C,"",0,1))</f>
        <v>mts</v>
      </c>
    </row>
    <row r="132">
      <c r="A132" s="14">
        <f t="shared" si="1"/>
        <v>131</v>
      </c>
      <c r="B132" s="14">
        <f t="array" ref="B132">IF(OR(G132="",G132="Selecciona.."),"",XLOOKUP(G132,Productos!E:E,Productos!A:A,"",0,1))</f>
        <v>43</v>
      </c>
      <c r="C132" s="14">
        <f t="array" ref="C132">IF(B132="","",SUMIF(Implementos!B:B,XLOOKUP(B132,Productos!A:A,Productos!F:F,"",0,1),Implementos!A:A))</f>
        <v>3</v>
      </c>
      <c r="D132" s="14">
        <f t="array" ref="D132">IF(OR(H132="",H132="Selecciona.."),"",XLOOKUP(H132,Propiedades!B:B,Propiedades!A:A,"",0,1))</f>
        <v>4</v>
      </c>
      <c r="E132" s="14">
        <f t="shared" si="2"/>
        <v>1</v>
      </c>
      <c r="F132" s="14" t="str">
        <f t="shared" si="3"/>
        <v>43-4-Min</v>
      </c>
      <c r="G132" s="13" t="s">
        <v>95</v>
      </c>
      <c r="H132" s="13" t="s">
        <v>58</v>
      </c>
      <c r="I132" s="16" t="s">
        <v>22</v>
      </c>
      <c r="J132" s="16">
        <v>199.0</v>
      </c>
      <c r="K132" s="14" t="str">
        <f t="array" ref="K132">IF(OR(H132="",H132="Selecciona.."),"",XLOOKUP(H132,Propiedades!B:B,Propiedades!C:C,"",0,1))</f>
        <v>mm</v>
      </c>
    </row>
    <row r="133">
      <c r="A133" s="14">
        <f t="shared" si="1"/>
        <v>132</v>
      </c>
      <c r="B133" s="14">
        <f t="array" ref="B133">IF(OR(G133="",G133="Selecciona.."),"",XLOOKUP(G133,Productos!E:E,Productos!A:A,"",0,1))</f>
        <v>43</v>
      </c>
      <c r="C133" s="14">
        <f t="array" ref="C133">IF(B133="","",SUMIF(Implementos!B:B,XLOOKUP(B133,Productos!A:A,Productos!F:F,"",0,1),Implementos!A:A))</f>
        <v>3</v>
      </c>
      <c r="D133" s="14">
        <f t="array" ref="D133">IF(OR(H133="",H133="Selecciona.."),"",XLOOKUP(H133,Propiedades!B:B,Propiedades!A:A,"",0,1))</f>
        <v>4</v>
      </c>
      <c r="E133" s="14">
        <f t="shared" si="2"/>
        <v>1</v>
      </c>
      <c r="F133" s="14" t="str">
        <f t="shared" si="3"/>
        <v>43-4-Máx</v>
      </c>
      <c r="G133" s="13" t="s">
        <v>95</v>
      </c>
      <c r="H133" s="13" t="s">
        <v>58</v>
      </c>
      <c r="I133" s="16" t="s">
        <v>23</v>
      </c>
      <c r="J133" s="16">
        <v>201.0</v>
      </c>
      <c r="K133" s="14" t="str">
        <f t="array" ref="K133">IF(OR(H133="",H133="Selecciona.."),"",XLOOKUP(H133,Propiedades!B:B,Propiedades!C:C,"",0,1))</f>
        <v>mm</v>
      </c>
    </row>
    <row r="134">
      <c r="A134" s="14">
        <f t="shared" si="1"/>
        <v>133</v>
      </c>
      <c r="B134" s="14">
        <f t="array" ref="B134">IF(OR(G134="",G134="Selecciona.."),"",XLOOKUP(G134,Productos!E:E,Productos!A:A,"",0,1))</f>
        <v>42</v>
      </c>
      <c r="C134" s="14">
        <f t="array" ref="C134">IF(B134="","",SUMIF(Implementos!B:B,XLOOKUP(B134,Productos!A:A,Productos!F:F,"",0,1),Implementos!A:A))</f>
        <v>3</v>
      </c>
      <c r="D134" s="14">
        <f t="array" ref="D134">IF(OR(H134="",H134="Selecciona.."),"",XLOOKUP(H134,Propiedades!B:B,Propiedades!A:A,"",0,1))</f>
        <v>4</v>
      </c>
      <c r="E134" s="14">
        <f t="shared" si="2"/>
        <v>1</v>
      </c>
      <c r="F134" s="14" t="str">
        <f t="shared" si="3"/>
        <v>42-4-Min</v>
      </c>
      <c r="G134" s="13" t="s">
        <v>96</v>
      </c>
      <c r="H134" s="13" t="s">
        <v>58</v>
      </c>
      <c r="I134" s="16" t="s">
        <v>22</v>
      </c>
      <c r="J134" s="16">
        <v>799.0</v>
      </c>
      <c r="K134" s="14" t="str">
        <f t="array" ref="K134">IF(OR(H134="",H134="Selecciona.."),"",XLOOKUP(H134,Propiedades!B:B,Propiedades!C:C,"",0,1))</f>
        <v>mm</v>
      </c>
    </row>
    <row r="135">
      <c r="A135" s="14">
        <f t="shared" si="1"/>
        <v>134</v>
      </c>
      <c r="B135" s="14">
        <f t="array" ref="B135">IF(OR(G135="",G135="Selecciona.."),"",XLOOKUP(G135,Productos!E:E,Productos!A:A,"",0,1))</f>
        <v>42</v>
      </c>
      <c r="C135" s="14">
        <f t="array" ref="C135">IF(B135="","",SUMIF(Implementos!B:B,XLOOKUP(B135,Productos!A:A,Productos!F:F,"",0,1),Implementos!A:A))</f>
        <v>3</v>
      </c>
      <c r="D135" s="14">
        <f t="array" ref="D135">IF(OR(H135="",H135="Selecciona.."),"",XLOOKUP(H135,Propiedades!B:B,Propiedades!A:A,"",0,1))</f>
        <v>4</v>
      </c>
      <c r="E135" s="14">
        <f t="shared" si="2"/>
        <v>1</v>
      </c>
      <c r="F135" s="14" t="str">
        <f t="shared" si="3"/>
        <v>42-4-Máx</v>
      </c>
      <c r="G135" s="13" t="s">
        <v>96</v>
      </c>
      <c r="H135" s="13" t="s">
        <v>58</v>
      </c>
      <c r="I135" s="16" t="s">
        <v>23</v>
      </c>
      <c r="J135" s="16">
        <v>801.0</v>
      </c>
      <c r="K135" s="14" t="str">
        <f t="array" ref="K135">IF(OR(H135="",H135="Selecciona.."),"",XLOOKUP(H135,Propiedades!B:B,Propiedades!C:C,"",0,1))</f>
        <v>mm</v>
      </c>
    </row>
    <row r="136">
      <c r="A136" s="14">
        <f t="shared" si="1"/>
        <v>135</v>
      </c>
      <c r="B136" s="14">
        <f t="array" ref="B136">IF(OR(G136="",G136="Selecciona.."),"",XLOOKUP(G136,Productos!E:E,Productos!A:A,"",0,1))</f>
        <v>72</v>
      </c>
      <c r="C136" s="14">
        <f t="array" ref="C136">IF(B136="","",SUMIF(Implementos!B:B,XLOOKUP(B136,Productos!A:A,Productos!F:F,"",0,1),Implementos!A:A))</f>
        <v>6</v>
      </c>
      <c r="D136" s="14">
        <f t="array" ref="D136">IF(OR(H136="",H136="Selecciona.."),"",XLOOKUP(H136,Propiedades!B:B,Propiedades!A:A,"",0,1))</f>
        <v>7</v>
      </c>
      <c r="E136" s="14">
        <f t="shared" si="2"/>
        <v>0</v>
      </c>
      <c r="F136" s="14" t="str">
        <f t="shared" si="3"/>
        <v>72-7-Exa</v>
      </c>
      <c r="G136" s="13" t="s">
        <v>97</v>
      </c>
      <c r="H136" s="13" t="s">
        <v>98</v>
      </c>
      <c r="I136" s="16" t="s">
        <v>55</v>
      </c>
      <c r="J136" s="16">
        <v>4.0</v>
      </c>
      <c r="K136" s="14" t="str">
        <f t="array" ref="K136">IF(OR(H136="",H136="Selecciona.."),"",XLOOKUP(H136,Propiedades!B:B,Propiedades!C:C,"",0,1))</f>
        <v>unidades</v>
      </c>
    </row>
    <row r="137">
      <c r="A137" s="14">
        <f t="shared" si="1"/>
        <v>136</v>
      </c>
      <c r="B137" s="14">
        <f t="array" ref="B137">IF(OR(G137="",G137="Selecciona.."),"",XLOOKUP(G137,Productos!E:E,Productos!A:A,"",0,1))</f>
        <v>73</v>
      </c>
      <c r="C137" s="14">
        <f t="array" ref="C137">IF(B137="","",SUMIF(Implementos!B:B,XLOOKUP(B137,Productos!A:A,Productos!F:F,"",0,1),Implementos!A:A))</f>
        <v>6</v>
      </c>
      <c r="D137" s="14">
        <f t="array" ref="D137">IF(OR(H137="",H137="Selecciona.."),"",XLOOKUP(H137,Propiedades!B:B,Propiedades!A:A,"",0,1))</f>
        <v>7</v>
      </c>
      <c r="E137" s="14">
        <f t="shared" si="2"/>
        <v>0</v>
      </c>
      <c r="F137" s="14" t="str">
        <f t="shared" si="3"/>
        <v>73-7-Exa</v>
      </c>
      <c r="G137" s="13" t="s">
        <v>99</v>
      </c>
      <c r="H137" s="13" t="s">
        <v>98</v>
      </c>
      <c r="I137" s="16" t="s">
        <v>55</v>
      </c>
      <c r="J137" s="16">
        <v>4.0</v>
      </c>
      <c r="K137" s="14" t="str">
        <f t="array" ref="K137">IF(OR(H137="",H137="Selecciona.."),"",XLOOKUP(H137,Propiedades!B:B,Propiedades!C:C,"",0,1))</f>
        <v>unidades</v>
      </c>
    </row>
    <row r="138">
      <c r="A138" s="14">
        <f t="shared" si="1"/>
        <v>137</v>
      </c>
      <c r="B138" s="14">
        <f t="array" ref="B138">IF(OR(G138="",G138="Selecciona.."),"",XLOOKUP(G138,Productos!E:E,Productos!A:A,"",0,1))</f>
        <v>74</v>
      </c>
      <c r="C138" s="14">
        <f t="array" ref="C138">IF(B138="","",SUMIF(Implementos!B:B,XLOOKUP(B138,Productos!A:A,Productos!F:F,"",0,1),Implementos!A:A))</f>
        <v>6</v>
      </c>
      <c r="D138" s="14">
        <f t="array" ref="D138">IF(OR(H138="",H138="Selecciona.."),"",XLOOKUP(H138,Propiedades!B:B,Propiedades!A:A,"",0,1))</f>
        <v>7</v>
      </c>
      <c r="E138" s="14">
        <f t="shared" si="2"/>
        <v>0</v>
      </c>
      <c r="F138" s="14" t="str">
        <f t="shared" si="3"/>
        <v>74-7-Exa</v>
      </c>
      <c r="G138" s="13" t="s">
        <v>100</v>
      </c>
      <c r="H138" s="13" t="s">
        <v>98</v>
      </c>
      <c r="I138" s="16" t="s">
        <v>55</v>
      </c>
      <c r="J138" s="16">
        <v>4.0</v>
      </c>
      <c r="K138" s="14" t="str">
        <f t="array" ref="K138">IF(OR(H138="",H138="Selecciona.."),"",XLOOKUP(H138,Propiedades!B:B,Propiedades!C:C,"",0,1))</f>
        <v>unidades</v>
      </c>
    </row>
    <row r="139">
      <c r="A139" s="14">
        <f t="shared" si="1"/>
        <v>138</v>
      </c>
      <c r="B139" s="14">
        <f t="array" ref="B139">IF(OR(G139="",G139="Selecciona.."),"",XLOOKUP(G139,Productos!E:E,Productos!A:A,"",0,1))</f>
        <v>75</v>
      </c>
      <c r="C139" s="14">
        <f t="array" ref="C139">IF(B139="","",SUMIF(Implementos!B:B,XLOOKUP(B139,Productos!A:A,Productos!F:F,"",0,1),Implementos!A:A))</f>
        <v>6</v>
      </c>
      <c r="D139" s="14">
        <f t="array" ref="D139">IF(OR(H139="",H139="Selecciona.."),"",XLOOKUP(H139,Propiedades!B:B,Propiedades!A:A,"",0,1))</f>
        <v>7</v>
      </c>
      <c r="E139" s="14">
        <f t="shared" si="2"/>
        <v>0</v>
      </c>
      <c r="F139" s="14" t="str">
        <f t="shared" si="3"/>
        <v>75-7-Exa</v>
      </c>
      <c r="G139" s="13" t="s">
        <v>101</v>
      </c>
      <c r="H139" s="13" t="s">
        <v>98</v>
      </c>
      <c r="I139" s="16" t="s">
        <v>55</v>
      </c>
      <c r="J139" s="16">
        <v>4.0</v>
      </c>
      <c r="K139" s="14" t="str">
        <f t="array" ref="K139">IF(OR(H139="",H139="Selecciona.."),"",XLOOKUP(H139,Propiedades!B:B,Propiedades!C:C,"",0,1))</f>
        <v>unidades</v>
      </c>
    </row>
    <row r="140">
      <c r="A140" s="14">
        <f t="shared" si="1"/>
        <v>139</v>
      </c>
      <c r="B140" s="14">
        <f t="array" ref="B140">IF(OR(G140="",G140="Selecciona.."),"",XLOOKUP(G140,Productos!E:E,Productos!A:A,"",0,1))</f>
        <v>76</v>
      </c>
      <c r="C140" s="14">
        <f t="array" ref="C140">IF(B140="","",SUMIF(Implementos!B:B,XLOOKUP(B140,Productos!A:A,Productos!F:F,"",0,1),Implementos!A:A))</f>
        <v>6</v>
      </c>
      <c r="D140" s="14">
        <f t="array" ref="D140">IF(OR(H140="",H140="Selecciona.."),"",XLOOKUP(H140,Propiedades!B:B,Propiedades!A:A,"",0,1))</f>
        <v>7</v>
      </c>
      <c r="E140" s="14">
        <f t="shared" si="2"/>
        <v>0</v>
      </c>
      <c r="F140" s="14" t="str">
        <f t="shared" si="3"/>
        <v>76-7-Exa</v>
      </c>
      <c r="G140" s="13" t="s">
        <v>102</v>
      </c>
      <c r="H140" s="13" t="s">
        <v>98</v>
      </c>
      <c r="I140" s="16" t="s">
        <v>55</v>
      </c>
      <c r="J140" s="16">
        <v>4.0</v>
      </c>
      <c r="K140" s="14" t="str">
        <f t="array" ref="K140">IF(OR(H140="",H140="Selecciona.."),"",XLOOKUP(H140,Propiedades!B:B,Propiedades!C:C,"",0,1))</f>
        <v>unidades</v>
      </c>
    </row>
    <row r="141">
      <c r="A141" s="14">
        <f t="shared" si="1"/>
        <v>140</v>
      </c>
      <c r="B141" s="14">
        <f t="array" ref="B141">IF(OR(G141="",G141="Selecciona.."),"",XLOOKUP(G141,Productos!E:E,Productos!A:A,"",0,1))</f>
        <v>77</v>
      </c>
      <c r="C141" s="14">
        <f t="array" ref="C141">IF(B141="","",SUMIF(Implementos!B:B,XLOOKUP(B141,Productos!A:A,Productos!F:F,"",0,1),Implementos!A:A))</f>
        <v>6</v>
      </c>
      <c r="D141" s="14">
        <f t="array" ref="D141">IF(OR(H141="",H141="Selecciona.."),"",XLOOKUP(H141,Propiedades!B:B,Propiedades!A:A,"",0,1))</f>
        <v>7</v>
      </c>
      <c r="E141" s="14">
        <f t="shared" si="2"/>
        <v>0</v>
      </c>
      <c r="F141" s="14" t="str">
        <f t="shared" si="3"/>
        <v>77-7-Exa</v>
      </c>
      <c r="G141" s="13" t="s">
        <v>103</v>
      </c>
      <c r="H141" s="13" t="s">
        <v>98</v>
      </c>
      <c r="I141" s="16" t="s">
        <v>55</v>
      </c>
      <c r="J141" s="16">
        <v>4.0</v>
      </c>
      <c r="K141" s="14" t="str">
        <f t="array" ref="K141">IF(OR(H141="",H141="Selecciona.."),"",XLOOKUP(H141,Propiedades!B:B,Propiedades!C:C,"",0,1))</f>
        <v>unidades</v>
      </c>
    </row>
    <row r="142">
      <c r="A142" s="14">
        <f t="shared" si="1"/>
        <v>141</v>
      </c>
      <c r="B142" s="14">
        <f t="array" ref="B142">IF(OR(G142="",G142="Selecciona.."),"",XLOOKUP(G142,Productos!E:E,Productos!A:A,"",0,1))</f>
        <v>78</v>
      </c>
      <c r="C142" s="14">
        <f t="array" ref="C142">IF(B142="","",SUMIF(Implementos!B:B,XLOOKUP(B142,Productos!A:A,Productos!F:F,"",0,1),Implementos!A:A))</f>
        <v>6</v>
      </c>
      <c r="D142" s="14">
        <f t="array" ref="D142">IF(OR(H142="",H142="Selecciona.."),"",XLOOKUP(H142,Propiedades!B:B,Propiedades!A:A,"",0,1))</f>
        <v>7</v>
      </c>
      <c r="E142" s="14">
        <f t="shared" si="2"/>
        <v>0</v>
      </c>
      <c r="F142" s="14" t="str">
        <f t="shared" si="3"/>
        <v>78-7-Exa</v>
      </c>
      <c r="G142" s="13" t="s">
        <v>104</v>
      </c>
      <c r="H142" s="13" t="s">
        <v>98</v>
      </c>
      <c r="I142" s="16" t="s">
        <v>55</v>
      </c>
      <c r="J142" s="16">
        <v>4.0</v>
      </c>
      <c r="K142" s="14" t="str">
        <f t="array" ref="K142">IF(OR(H142="",H142="Selecciona.."),"",XLOOKUP(H142,Propiedades!B:B,Propiedades!C:C,"",0,1))</f>
        <v>unidades</v>
      </c>
    </row>
    <row r="143">
      <c r="A143" s="14">
        <f t="shared" si="1"/>
        <v>142</v>
      </c>
      <c r="B143" s="14">
        <f t="array" ref="B143">IF(OR(G143="",G143="Selecciona.."),"",XLOOKUP(G143,Productos!E:E,Productos!A:A,"",0,1))</f>
        <v>79</v>
      </c>
      <c r="C143" s="14">
        <f t="array" ref="C143">IF(B143="","",SUMIF(Implementos!B:B,XLOOKUP(B143,Productos!A:A,Productos!F:F,"",0,1),Implementos!A:A))</f>
        <v>6</v>
      </c>
      <c r="D143" s="14">
        <f t="array" ref="D143">IF(OR(H143="",H143="Selecciona.."),"",XLOOKUP(H143,Propiedades!B:B,Propiedades!A:A,"",0,1))</f>
        <v>7</v>
      </c>
      <c r="E143" s="14">
        <f t="shared" si="2"/>
        <v>0</v>
      </c>
      <c r="F143" s="14" t="str">
        <f t="shared" si="3"/>
        <v>79-7-Exa</v>
      </c>
      <c r="G143" s="13" t="s">
        <v>105</v>
      </c>
      <c r="H143" s="13" t="s">
        <v>98</v>
      </c>
      <c r="I143" s="16" t="s">
        <v>55</v>
      </c>
      <c r="J143" s="16">
        <v>4.0</v>
      </c>
      <c r="K143" s="14" t="str">
        <f t="array" ref="K143">IF(OR(H143="",H143="Selecciona.."),"",XLOOKUP(H143,Propiedades!B:B,Propiedades!C:C,"",0,1))</f>
        <v>unidades</v>
      </c>
    </row>
    <row r="144">
      <c r="A144" s="14">
        <f t="shared" si="1"/>
        <v>143</v>
      </c>
      <c r="B144" s="14">
        <f t="array" ref="B144">IF(OR(G144="",G144="Selecciona.."),"",XLOOKUP(G144,Productos!E:E,Productos!A:A,"",0,1))</f>
        <v>80</v>
      </c>
      <c r="C144" s="14">
        <f t="array" ref="C144">IF(B144="","",SUMIF(Implementos!B:B,XLOOKUP(B144,Productos!A:A,Productos!F:F,"",0,1),Implementos!A:A))</f>
        <v>6</v>
      </c>
      <c r="D144" s="14">
        <f t="array" ref="D144">IF(OR(H144="",H144="Selecciona.."),"",XLOOKUP(H144,Propiedades!B:B,Propiedades!A:A,"",0,1))</f>
        <v>7</v>
      </c>
      <c r="E144" s="14">
        <f t="shared" si="2"/>
        <v>0</v>
      </c>
      <c r="F144" s="14" t="str">
        <f t="shared" si="3"/>
        <v>80-7-Exa</v>
      </c>
      <c r="G144" s="13" t="s">
        <v>106</v>
      </c>
      <c r="H144" s="13" t="s">
        <v>98</v>
      </c>
      <c r="I144" s="16" t="s">
        <v>55</v>
      </c>
      <c r="J144" s="16">
        <v>4.0</v>
      </c>
      <c r="K144" s="14" t="str">
        <f t="array" ref="K144">IF(OR(H144="",H144="Selecciona.."),"",XLOOKUP(H144,Propiedades!B:B,Propiedades!C:C,"",0,1))</f>
        <v>unidades</v>
      </c>
    </row>
    <row r="145">
      <c r="A145" s="14">
        <f t="shared" si="1"/>
        <v>144</v>
      </c>
      <c r="B145" s="14">
        <f t="array" ref="B145">IF(OR(G145="",G145="Selecciona.."),"",XLOOKUP(G145,Productos!E:E,Productos!A:A,"",0,1))</f>
        <v>81</v>
      </c>
      <c r="C145" s="14">
        <f t="array" ref="C145">IF(B145="","",SUMIF(Implementos!B:B,XLOOKUP(B145,Productos!A:A,Productos!F:F,"",0,1),Implementos!A:A))</f>
        <v>6</v>
      </c>
      <c r="D145" s="14">
        <f t="array" ref="D145">IF(OR(H145="",H145="Selecciona.."),"",XLOOKUP(H145,Propiedades!B:B,Propiedades!A:A,"",0,1))</f>
        <v>7</v>
      </c>
      <c r="E145" s="14">
        <f t="shared" si="2"/>
        <v>0</v>
      </c>
      <c r="F145" s="14" t="str">
        <f t="shared" si="3"/>
        <v>81-7-Exa</v>
      </c>
      <c r="G145" s="13" t="s">
        <v>107</v>
      </c>
      <c r="H145" s="13" t="s">
        <v>98</v>
      </c>
      <c r="I145" s="16" t="s">
        <v>55</v>
      </c>
      <c r="J145" s="16">
        <v>4.0</v>
      </c>
      <c r="K145" s="14" t="str">
        <f t="array" ref="K145">IF(OR(H145="",H145="Selecciona.."),"",XLOOKUP(H145,Propiedades!B:B,Propiedades!C:C,"",0,1))</f>
        <v>unidades</v>
      </c>
    </row>
    <row r="146">
      <c r="A146" s="14">
        <f t="shared" si="1"/>
        <v>145</v>
      </c>
      <c r="B146" s="14">
        <f t="array" ref="B146">IF(OR(G146="",G146="Selecciona.."),"",XLOOKUP(G146,Productos!E:E,Productos!A:A,"",0,1))</f>
        <v>82</v>
      </c>
      <c r="C146" s="14">
        <f t="array" ref="C146">IF(B146="","",SUMIF(Implementos!B:B,XLOOKUP(B146,Productos!A:A,Productos!F:F,"",0,1),Implementos!A:A))</f>
        <v>6</v>
      </c>
      <c r="D146" s="14">
        <f t="array" ref="D146">IF(OR(H146="",H146="Selecciona.."),"",XLOOKUP(H146,Propiedades!B:B,Propiedades!A:A,"",0,1))</f>
        <v>7</v>
      </c>
      <c r="E146" s="14">
        <f t="shared" si="2"/>
        <v>0</v>
      </c>
      <c r="F146" s="14" t="str">
        <f t="shared" si="3"/>
        <v>82-7-Exa</v>
      </c>
      <c r="G146" s="13" t="s">
        <v>108</v>
      </c>
      <c r="H146" s="13" t="s">
        <v>98</v>
      </c>
      <c r="I146" s="16" t="s">
        <v>55</v>
      </c>
      <c r="J146" s="16">
        <v>4.0</v>
      </c>
      <c r="K146" s="14" t="str">
        <f t="array" ref="K146">IF(OR(H146="",H146="Selecciona.."),"",XLOOKUP(H146,Propiedades!B:B,Propiedades!C:C,"",0,1))</f>
        <v>unidades</v>
      </c>
    </row>
    <row r="147">
      <c r="A147" s="14">
        <f t="shared" si="1"/>
        <v>146</v>
      </c>
      <c r="B147" s="14">
        <f t="array" ref="B147">IF(OR(G147="",G147="Selecciona.."),"",XLOOKUP(G147,Productos!E:E,Productos!A:A,"",0,1))</f>
        <v>83</v>
      </c>
      <c r="C147" s="14">
        <f t="array" ref="C147">IF(B147="","",SUMIF(Implementos!B:B,XLOOKUP(B147,Productos!A:A,Productos!F:F,"",0,1),Implementos!A:A))</f>
        <v>6</v>
      </c>
      <c r="D147" s="14">
        <f t="array" ref="D147">IF(OR(H147="",H147="Selecciona.."),"",XLOOKUP(H147,Propiedades!B:B,Propiedades!A:A,"",0,1))</f>
        <v>7</v>
      </c>
      <c r="E147" s="14">
        <f t="shared" si="2"/>
        <v>0</v>
      </c>
      <c r="F147" s="14" t="str">
        <f t="shared" si="3"/>
        <v>83-7-Exa</v>
      </c>
      <c r="G147" s="13" t="s">
        <v>109</v>
      </c>
      <c r="H147" s="13" t="s">
        <v>98</v>
      </c>
      <c r="I147" s="16" t="s">
        <v>55</v>
      </c>
      <c r="J147" s="16">
        <v>2.0</v>
      </c>
      <c r="K147" s="14" t="str">
        <f t="array" ref="K147">IF(OR(H147="",H147="Selecciona.."),"",XLOOKUP(H147,Propiedades!B:B,Propiedades!C:C,"",0,1))</f>
        <v>unidades</v>
      </c>
    </row>
    <row r="148">
      <c r="A148" s="14">
        <f t="shared" si="1"/>
        <v>147</v>
      </c>
      <c r="B148" s="14">
        <f t="array" ref="B148">IF(OR(G148="",G148="Selecciona.."),"",XLOOKUP(G148,Productos!E:E,Productos!A:A,"",0,1))</f>
        <v>84</v>
      </c>
      <c r="C148" s="14">
        <f t="array" ref="C148">IF(B148="","",SUMIF(Implementos!B:B,XLOOKUP(B148,Productos!A:A,Productos!F:F,"",0,1),Implementos!A:A))</f>
        <v>6</v>
      </c>
      <c r="D148" s="14">
        <f t="array" ref="D148">IF(OR(H148="",H148="Selecciona.."),"",XLOOKUP(H148,Propiedades!B:B,Propiedades!A:A,"",0,1))</f>
        <v>7</v>
      </c>
      <c r="E148" s="14">
        <f t="shared" si="2"/>
        <v>0</v>
      </c>
      <c r="F148" s="14" t="str">
        <f t="shared" si="3"/>
        <v>84-7-Exa</v>
      </c>
      <c r="G148" s="13" t="s">
        <v>110</v>
      </c>
      <c r="H148" s="13" t="s">
        <v>98</v>
      </c>
      <c r="I148" s="16" t="s">
        <v>55</v>
      </c>
      <c r="J148" s="16">
        <v>2.0</v>
      </c>
      <c r="K148" s="14" t="str">
        <f t="array" ref="K148">IF(OR(H148="",H148="Selecciona.."),"",XLOOKUP(H148,Propiedades!B:B,Propiedades!C:C,"",0,1))</f>
        <v>unidades</v>
      </c>
    </row>
    <row r="149">
      <c r="A149" s="14">
        <f t="shared" si="1"/>
        <v>148</v>
      </c>
      <c r="B149" s="14">
        <f t="array" ref="B149">IF(OR(G149="",G149="Selecciona.."),"",XLOOKUP(G149,Productos!E:E,Productos!A:A,"",0,1))</f>
        <v>85</v>
      </c>
      <c r="C149" s="14">
        <f t="array" ref="C149">IF(B149="","",SUMIF(Implementos!B:B,XLOOKUP(B149,Productos!A:A,Productos!F:F,"",0,1),Implementos!A:A))</f>
        <v>6</v>
      </c>
      <c r="D149" s="14">
        <f t="array" ref="D149">IF(OR(H149="",H149="Selecciona.."),"",XLOOKUP(H149,Propiedades!B:B,Propiedades!A:A,"",0,1))</f>
        <v>7</v>
      </c>
      <c r="E149" s="14">
        <f t="shared" si="2"/>
        <v>0</v>
      </c>
      <c r="F149" s="14" t="str">
        <f t="shared" si="3"/>
        <v>85-7-Exa</v>
      </c>
      <c r="G149" s="13" t="s">
        <v>111</v>
      </c>
      <c r="H149" s="13" t="s">
        <v>98</v>
      </c>
      <c r="I149" s="16" t="s">
        <v>55</v>
      </c>
      <c r="J149" s="16">
        <v>2.0</v>
      </c>
      <c r="K149" s="14" t="str">
        <f t="array" ref="K149">IF(OR(H149="",H149="Selecciona.."),"",XLOOKUP(H149,Propiedades!B:B,Propiedades!C:C,"",0,1))</f>
        <v>unidades</v>
      </c>
    </row>
    <row r="150">
      <c r="A150" s="14">
        <f t="shared" si="1"/>
        <v>149</v>
      </c>
      <c r="B150" s="14">
        <f t="array" ref="B150">IF(OR(G150="",G150="Selecciona.."),"",XLOOKUP(G150,Productos!E:E,Productos!A:A,"",0,1))</f>
        <v>86</v>
      </c>
      <c r="C150" s="14">
        <f t="array" ref="C150">IF(B150="","",SUMIF(Implementos!B:B,XLOOKUP(B150,Productos!A:A,Productos!F:F,"",0,1),Implementos!A:A))</f>
        <v>6</v>
      </c>
      <c r="D150" s="14">
        <f t="array" ref="D150">IF(OR(H150="",H150="Selecciona.."),"",XLOOKUP(H150,Propiedades!B:B,Propiedades!A:A,"",0,1))</f>
        <v>7</v>
      </c>
      <c r="E150" s="14">
        <f t="shared" si="2"/>
        <v>0</v>
      </c>
      <c r="F150" s="14" t="str">
        <f t="shared" si="3"/>
        <v>86-7-Exa</v>
      </c>
      <c r="G150" s="13" t="s">
        <v>112</v>
      </c>
      <c r="H150" s="13" t="s">
        <v>98</v>
      </c>
      <c r="I150" s="16" t="s">
        <v>55</v>
      </c>
      <c r="J150" s="16">
        <v>4.0</v>
      </c>
      <c r="K150" s="14" t="str">
        <f t="array" ref="K150">IF(OR(H150="",H150="Selecciona.."),"",XLOOKUP(H150,Propiedades!B:B,Propiedades!C:C,"",0,1))</f>
        <v>unidades</v>
      </c>
    </row>
    <row r="151">
      <c r="A151" s="14">
        <f t="shared" si="1"/>
        <v>150</v>
      </c>
      <c r="B151" s="14">
        <f t="array" ref="B151">IF(OR(G151="",G151="Selecciona.."),"",XLOOKUP(G151,Productos!E:E,Productos!A:A,"",0,1))</f>
        <v>87</v>
      </c>
      <c r="C151" s="14">
        <f t="array" ref="C151">IF(B151="","",SUMIF(Implementos!B:B,XLOOKUP(B151,Productos!A:A,Productos!F:F,"",0,1),Implementos!A:A))</f>
        <v>6</v>
      </c>
      <c r="D151" s="14">
        <f t="array" ref="D151">IF(OR(H151="",H151="Selecciona.."),"",XLOOKUP(H151,Propiedades!B:B,Propiedades!A:A,"",0,1))</f>
        <v>7</v>
      </c>
      <c r="E151" s="14">
        <f t="shared" si="2"/>
        <v>0</v>
      </c>
      <c r="F151" s="14" t="str">
        <f t="shared" si="3"/>
        <v>87-7-Exa</v>
      </c>
      <c r="G151" s="13" t="s">
        <v>113</v>
      </c>
      <c r="H151" s="13" t="s">
        <v>98</v>
      </c>
      <c r="I151" s="16" t="s">
        <v>55</v>
      </c>
      <c r="J151" s="16">
        <v>4.0</v>
      </c>
      <c r="K151" s="14" t="str">
        <f t="array" ref="K151">IF(OR(H151="",H151="Selecciona.."),"",XLOOKUP(H151,Propiedades!B:B,Propiedades!C:C,"",0,1))</f>
        <v>unidades</v>
      </c>
    </row>
    <row r="152">
      <c r="A152" s="14">
        <f t="shared" si="1"/>
        <v>151</v>
      </c>
      <c r="B152" s="14">
        <f t="array" ref="B152">IF(OR(G152="",G152="Selecciona.."),"",XLOOKUP(G152,Productos!E:E,Productos!A:A,"",0,1))</f>
        <v>88</v>
      </c>
      <c r="C152" s="14">
        <f t="array" ref="C152">IF(B152="","",SUMIF(Implementos!B:B,XLOOKUP(B152,Productos!A:A,Productos!F:F,"",0,1),Implementos!A:A))</f>
        <v>6</v>
      </c>
      <c r="D152" s="14">
        <f t="array" ref="D152">IF(OR(H152="",H152="Selecciona.."),"",XLOOKUP(H152,Propiedades!B:B,Propiedades!A:A,"",0,1))</f>
        <v>7</v>
      </c>
      <c r="E152" s="14">
        <f t="shared" si="2"/>
        <v>0</v>
      </c>
      <c r="F152" s="14" t="str">
        <f t="shared" si="3"/>
        <v>88-7-Exa</v>
      </c>
      <c r="G152" s="13" t="s">
        <v>114</v>
      </c>
      <c r="H152" s="13" t="s">
        <v>98</v>
      </c>
      <c r="I152" s="16" t="s">
        <v>55</v>
      </c>
      <c r="J152" s="16">
        <v>4.0</v>
      </c>
      <c r="K152" s="14" t="str">
        <f t="array" ref="K152">IF(OR(H152="",H152="Selecciona.."),"",XLOOKUP(H152,Propiedades!B:B,Propiedades!C:C,"",0,1))</f>
        <v>unidades</v>
      </c>
    </row>
    <row r="153">
      <c r="A153" s="14">
        <f t="shared" si="1"/>
        <v>152</v>
      </c>
      <c r="B153" s="14">
        <f t="array" ref="B153">IF(OR(G153="",G153="Selecciona.."),"",XLOOKUP(G153,Productos!E:E,Productos!A:A,"",0,1))</f>
        <v>89</v>
      </c>
      <c r="C153" s="14">
        <f t="array" ref="C153">IF(B153="","",SUMIF(Implementos!B:B,XLOOKUP(B153,Productos!A:A,Productos!F:F,"",0,1),Implementos!A:A))</f>
        <v>6</v>
      </c>
      <c r="D153" s="14">
        <f t="array" ref="D153">IF(OR(H153="",H153="Selecciona.."),"",XLOOKUP(H153,Propiedades!B:B,Propiedades!A:A,"",0,1))</f>
        <v>7</v>
      </c>
      <c r="E153" s="14">
        <f t="shared" si="2"/>
        <v>0</v>
      </c>
      <c r="F153" s="14" t="str">
        <f t="shared" si="3"/>
        <v>89-7-Exa</v>
      </c>
      <c r="G153" s="13" t="s">
        <v>115</v>
      </c>
      <c r="H153" s="13" t="s">
        <v>98</v>
      </c>
      <c r="I153" s="16" t="s">
        <v>55</v>
      </c>
      <c r="J153" s="16">
        <v>4.0</v>
      </c>
      <c r="K153" s="14" t="str">
        <f t="array" ref="K153">IF(OR(H153="",H153="Selecciona.."),"",XLOOKUP(H153,Propiedades!B:B,Propiedades!C:C,"",0,1))</f>
        <v>unidades</v>
      </c>
    </row>
    <row r="154">
      <c r="A154" s="14">
        <f t="shared" si="1"/>
        <v>153</v>
      </c>
      <c r="B154" s="14">
        <f t="array" ref="B154">IF(OR(G154="",G154="Selecciona.."),"",XLOOKUP(G154,Productos!E:E,Productos!A:A,"",0,1))</f>
        <v>90</v>
      </c>
      <c r="C154" s="14">
        <f t="array" ref="C154">IF(B154="","",SUMIF(Implementos!B:B,XLOOKUP(B154,Productos!A:A,Productos!F:F,"",0,1),Implementos!A:A))</f>
        <v>6</v>
      </c>
      <c r="D154" s="14">
        <f t="array" ref="D154">IF(OR(H154="",H154="Selecciona.."),"",XLOOKUP(H154,Propiedades!B:B,Propiedades!A:A,"",0,1))</f>
        <v>7</v>
      </c>
      <c r="E154" s="14">
        <f t="shared" si="2"/>
        <v>0</v>
      </c>
      <c r="F154" s="14" t="str">
        <f t="shared" si="3"/>
        <v>90-7-Exa</v>
      </c>
      <c r="G154" s="13" t="s">
        <v>116</v>
      </c>
      <c r="H154" s="13" t="s">
        <v>98</v>
      </c>
      <c r="I154" s="16" t="s">
        <v>55</v>
      </c>
      <c r="J154" s="16">
        <v>4.0</v>
      </c>
      <c r="K154" s="14" t="str">
        <f t="array" ref="K154">IF(OR(H154="",H154="Selecciona.."),"",XLOOKUP(H154,Propiedades!B:B,Propiedades!C:C,"",0,1))</f>
        <v>unidades</v>
      </c>
    </row>
    <row r="155">
      <c r="A155" s="14">
        <f t="shared" si="1"/>
        <v>154</v>
      </c>
      <c r="B155" s="14">
        <f t="array" ref="B155">IF(OR(G155="",G155="Selecciona.."),"",XLOOKUP(G155,Productos!E:E,Productos!A:A,"",0,1))</f>
        <v>91</v>
      </c>
      <c r="C155" s="14">
        <f t="array" ref="C155">IF(B155="","",SUMIF(Implementos!B:B,XLOOKUP(B155,Productos!A:A,Productos!F:F,"",0,1),Implementos!A:A))</f>
        <v>6</v>
      </c>
      <c r="D155" s="14">
        <f t="array" ref="D155">IF(OR(H155="",H155="Selecciona.."),"",XLOOKUP(H155,Propiedades!B:B,Propiedades!A:A,"",0,1))</f>
        <v>7</v>
      </c>
      <c r="E155" s="14">
        <f t="shared" si="2"/>
        <v>0</v>
      </c>
      <c r="F155" s="14" t="str">
        <f t="shared" si="3"/>
        <v>91-7-Exa</v>
      </c>
      <c r="G155" s="13" t="s">
        <v>117</v>
      </c>
      <c r="H155" s="13" t="s">
        <v>98</v>
      </c>
      <c r="I155" s="16" t="s">
        <v>55</v>
      </c>
      <c r="J155" s="16">
        <v>4.0</v>
      </c>
      <c r="K155" s="14" t="str">
        <f t="array" ref="K155">IF(OR(H155="",H155="Selecciona.."),"",XLOOKUP(H155,Propiedades!B:B,Propiedades!C:C,"",0,1))</f>
        <v>unidades</v>
      </c>
    </row>
    <row r="156">
      <c r="A156" s="14">
        <f t="shared" si="1"/>
        <v>155</v>
      </c>
      <c r="B156" s="14">
        <f t="array" ref="B156">IF(OR(G156="",G156="Selecciona.."),"",XLOOKUP(G156,Productos!E:E,Productos!A:A,"",0,1))</f>
        <v>72</v>
      </c>
      <c r="C156" s="14">
        <f t="array" ref="C156">IF(B156="","",SUMIF(Implementos!B:B,XLOOKUP(B156,Productos!A:A,Productos!F:F,"",0,1),Implementos!A:A))</f>
        <v>6</v>
      </c>
      <c r="D156" s="14">
        <f t="array" ref="D156">IF(OR(H156="",H156="Selecciona.."),"",XLOOKUP(H156,Propiedades!B:B,Propiedades!A:A,"",0,1))</f>
        <v>9</v>
      </c>
      <c r="E156" s="14">
        <f t="shared" si="2"/>
        <v>0</v>
      </c>
      <c r="F156" s="14" t="str">
        <f t="shared" si="3"/>
        <v>72-9-Exa</v>
      </c>
      <c r="G156" s="13" t="s">
        <v>97</v>
      </c>
      <c r="H156" s="13" t="s">
        <v>118</v>
      </c>
      <c r="I156" s="16" t="s">
        <v>55</v>
      </c>
      <c r="J156" s="16">
        <v>4.0</v>
      </c>
      <c r="K156" s="14" t="str">
        <f t="array" ref="K156">IF(OR(H156="",H156="Selecciona.."),"",XLOOKUP(H156,Propiedades!B:B,Propiedades!C:C,"",0,1))</f>
        <v>unidades</v>
      </c>
    </row>
    <row r="157">
      <c r="A157" s="14">
        <f t="shared" si="1"/>
        <v>156</v>
      </c>
      <c r="B157" s="14">
        <f t="array" ref="B157">IF(OR(G157="",G157="Selecciona.."),"",XLOOKUP(G157,Productos!E:E,Productos!A:A,"",0,1))</f>
        <v>73</v>
      </c>
      <c r="C157" s="14">
        <f t="array" ref="C157">IF(B157="","",SUMIF(Implementos!B:B,XLOOKUP(B157,Productos!A:A,Productos!F:F,"",0,1),Implementos!A:A))</f>
        <v>6</v>
      </c>
      <c r="D157" s="14">
        <f t="array" ref="D157">IF(OR(H157="",H157="Selecciona.."),"",XLOOKUP(H157,Propiedades!B:B,Propiedades!A:A,"",0,1))</f>
        <v>9</v>
      </c>
      <c r="E157" s="14">
        <f t="shared" si="2"/>
        <v>0</v>
      </c>
      <c r="F157" s="14" t="str">
        <f t="shared" si="3"/>
        <v>73-9-Exa</v>
      </c>
      <c r="G157" s="13" t="s">
        <v>99</v>
      </c>
      <c r="H157" s="13" t="s">
        <v>118</v>
      </c>
      <c r="I157" s="16" t="s">
        <v>55</v>
      </c>
      <c r="J157" s="16">
        <v>4.0</v>
      </c>
      <c r="K157" s="14" t="str">
        <f t="array" ref="K157">IF(OR(H157="",H157="Selecciona.."),"",XLOOKUP(H157,Propiedades!B:B,Propiedades!C:C,"",0,1))</f>
        <v>unidades</v>
      </c>
    </row>
    <row r="158">
      <c r="A158" s="14">
        <f t="shared" si="1"/>
        <v>157</v>
      </c>
      <c r="B158" s="14">
        <f t="array" ref="B158">IF(OR(G158="",G158="Selecciona.."),"",XLOOKUP(G158,Productos!E:E,Productos!A:A,"",0,1))</f>
        <v>74</v>
      </c>
      <c r="C158" s="14">
        <f t="array" ref="C158">IF(B158="","",SUMIF(Implementos!B:B,XLOOKUP(B158,Productos!A:A,Productos!F:F,"",0,1),Implementos!A:A))</f>
        <v>6</v>
      </c>
      <c r="D158" s="14">
        <f t="array" ref="D158">IF(OR(H158="",H158="Selecciona.."),"",XLOOKUP(H158,Propiedades!B:B,Propiedades!A:A,"",0,1))</f>
        <v>9</v>
      </c>
      <c r="E158" s="14">
        <f t="shared" si="2"/>
        <v>0</v>
      </c>
      <c r="F158" s="14" t="str">
        <f t="shared" si="3"/>
        <v>74-9-Exa</v>
      </c>
      <c r="G158" s="13" t="s">
        <v>100</v>
      </c>
      <c r="H158" s="13" t="s">
        <v>118</v>
      </c>
      <c r="I158" s="16" t="s">
        <v>55</v>
      </c>
      <c r="J158" s="16">
        <v>4.0</v>
      </c>
      <c r="K158" s="14" t="str">
        <f t="array" ref="K158">IF(OR(H158="",H158="Selecciona.."),"",XLOOKUP(H158,Propiedades!B:B,Propiedades!C:C,"",0,1))</f>
        <v>unidades</v>
      </c>
    </row>
    <row r="159">
      <c r="A159" s="14">
        <f t="shared" si="1"/>
        <v>158</v>
      </c>
      <c r="B159" s="14">
        <f t="array" ref="B159">IF(OR(G159="",G159="Selecciona.."),"",XLOOKUP(G159,Productos!E:E,Productos!A:A,"",0,1))</f>
        <v>75</v>
      </c>
      <c r="C159" s="14">
        <f t="array" ref="C159">IF(B159="","",SUMIF(Implementos!B:B,XLOOKUP(B159,Productos!A:A,Productos!F:F,"",0,1),Implementos!A:A))</f>
        <v>6</v>
      </c>
      <c r="D159" s="14">
        <f t="array" ref="D159">IF(OR(H159="",H159="Selecciona.."),"",XLOOKUP(H159,Propiedades!B:B,Propiedades!A:A,"",0,1))</f>
        <v>9</v>
      </c>
      <c r="E159" s="14">
        <f t="shared" si="2"/>
        <v>0</v>
      </c>
      <c r="F159" s="14" t="str">
        <f t="shared" si="3"/>
        <v>75-9-Exa</v>
      </c>
      <c r="G159" s="13" t="s">
        <v>101</v>
      </c>
      <c r="H159" s="13" t="s">
        <v>118</v>
      </c>
      <c r="I159" s="16" t="s">
        <v>55</v>
      </c>
      <c r="J159" s="16">
        <v>4.0</v>
      </c>
      <c r="K159" s="14" t="str">
        <f t="array" ref="K159">IF(OR(H159="",H159="Selecciona.."),"",XLOOKUP(H159,Propiedades!B:B,Propiedades!C:C,"",0,1))</f>
        <v>unidades</v>
      </c>
    </row>
    <row r="160">
      <c r="A160" s="14">
        <f t="shared" si="1"/>
        <v>159</v>
      </c>
      <c r="B160" s="14">
        <f t="array" ref="B160">IF(OR(G160="",G160="Selecciona.."),"",XLOOKUP(G160,Productos!E:E,Productos!A:A,"",0,1))</f>
        <v>76</v>
      </c>
      <c r="C160" s="14">
        <f t="array" ref="C160">IF(B160="","",SUMIF(Implementos!B:B,XLOOKUP(B160,Productos!A:A,Productos!F:F,"",0,1),Implementos!A:A))</f>
        <v>6</v>
      </c>
      <c r="D160" s="14">
        <f t="array" ref="D160">IF(OR(H160="",H160="Selecciona.."),"",XLOOKUP(H160,Propiedades!B:B,Propiedades!A:A,"",0,1))</f>
        <v>9</v>
      </c>
      <c r="E160" s="14">
        <f t="shared" si="2"/>
        <v>0</v>
      </c>
      <c r="F160" s="14" t="str">
        <f t="shared" si="3"/>
        <v>76-9-Exa</v>
      </c>
      <c r="G160" s="13" t="s">
        <v>102</v>
      </c>
      <c r="H160" s="13" t="s">
        <v>118</v>
      </c>
      <c r="I160" s="16" t="s">
        <v>55</v>
      </c>
      <c r="J160" s="16">
        <v>4.0</v>
      </c>
      <c r="K160" s="14" t="str">
        <f t="array" ref="K160">IF(OR(H160="",H160="Selecciona.."),"",XLOOKUP(H160,Propiedades!B:B,Propiedades!C:C,"",0,1))</f>
        <v>unidades</v>
      </c>
    </row>
    <row r="161">
      <c r="A161" s="14">
        <f t="shared" si="1"/>
        <v>160</v>
      </c>
      <c r="B161" s="14">
        <f t="array" ref="B161">IF(OR(G161="",G161="Selecciona.."),"",XLOOKUP(G161,Productos!E:E,Productos!A:A,"",0,1))</f>
        <v>77</v>
      </c>
      <c r="C161" s="14">
        <f t="array" ref="C161">IF(B161="","",SUMIF(Implementos!B:B,XLOOKUP(B161,Productos!A:A,Productos!F:F,"",0,1),Implementos!A:A))</f>
        <v>6</v>
      </c>
      <c r="D161" s="14">
        <f t="array" ref="D161">IF(OR(H161="",H161="Selecciona.."),"",XLOOKUP(H161,Propiedades!B:B,Propiedades!A:A,"",0,1))</f>
        <v>9</v>
      </c>
      <c r="E161" s="14">
        <f t="shared" si="2"/>
        <v>0</v>
      </c>
      <c r="F161" s="14" t="str">
        <f t="shared" si="3"/>
        <v>77-9-Exa</v>
      </c>
      <c r="G161" s="13" t="s">
        <v>103</v>
      </c>
      <c r="H161" s="13" t="s">
        <v>118</v>
      </c>
      <c r="I161" s="16" t="s">
        <v>55</v>
      </c>
      <c r="J161" s="16">
        <v>4.0</v>
      </c>
      <c r="K161" s="14" t="str">
        <f t="array" ref="K161">IF(OR(H161="",H161="Selecciona.."),"",XLOOKUP(H161,Propiedades!B:B,Propiedades!C:C,"",0,1))</f>
        <v>unidades</v>
      </c>
    </row>
    <row r="162">
      <c r="A162" s="14">
        <f t="shared" si="1"/>
        <v>161</v>
      </c>
      <c r="B162" s="14">
        <f t="array" ref="B162">IF(OR(G162="",G162="Selecciona.."),"",XLOOKUP(G162,Productos!E:E,Productos!A:A,"",0,1))</f>
        <v>78</v>
      </c>
      <c r="C162" s="14">
        <f t="array" ref="C162">IF(B162="","",SUMIF(Implementos!B:B,XLOOKUP(B162,Productos!A:A,Productos!F:F,"",0,1),Implementos!A:A))</f>
        <v>6</v>
      </c>
      <c r="D162" s="14">
        <f t="array" ref="D162">IF(OR(H162="",H162="Selecciona.."),"",XLOOKUP(H162,Propiedades!B:B,Propiedades!A:A,"",0,1))</f>
        <v>9</v>
      </c>
      <c r="E162" s="14">
        <f t="shared" si="2"/>
        <v>0</v>
      </c>
      <c r="F162" s="14" t="str">
        <f t="shared" si="3"/>
        <v>78-9-Exa</v>
      </c>
      <c r="G162" s="13" t="s">
        <v>104</v>
      </c>
      <c r="H162" s="13" t="s">
        <v>118</v>
      </c>
      <c r="I162" s="16" t="s">
        <v>55</v>
      </c>
      <c r="J162" s="16">
        <v>4.0</v>
      </c>
      <c r="K162" s="14" t="str">
        <f t="array" ref="K162">IF(OR(H162="",H162="Selecciona.."),"",XLOOKUP(H162,Propiedades!B:B,Propiedades!C:C,"",0,1))</f>
        <v>unidades</v>
      </c>
    </row>
    <row r="163">
      <c r="A163" s="14">
        <f t="shared" si="1"/>
        <v>162</v>
      </c>
      <c r="B163" s="14">
        <f t="array" ref="B163">IF(OR(G163="",G163="Selecciona.."),"",XLOOKUP(G163,Productos!E:E,Productos!A:A,"",0,1))</f>
        <v>79</v>
      </c>
      <c r="C163" s="14">
        <f t="array" ref="C163">IF(B163="","",SUMIF(Implementos!B:B,XLOOKUP(B163,Productos!A:A,Productos!F:F,"",0,1),Implementos!A:A))</f>
        <v>6</v>
      </c>
      <c r="D163" s="14">
        <f t="array" ref="D163">IF(OR(H163="",H163="Selecciona.."),"",XLOOKUP(H163,Propiedades!B:B,Propiedades!A:A,"",0,1))</f>
        <v>9</v>
      </c>
      <c r="E163" s="14">
        <f t="shared" si="2"/>
        <v>0</v>
      </c>
      <c r="F163" s="14" t="str">
        <f t="shared" si="3"/>
        <v>79-9-Exa</v>
      </c>
      <c r="G163" s="13" t="s">
        <v>105</v>
      </c>
      <c r="H163" s="13" t="s">
        <v>118</v>
      </c>
      <c r="I163" s="16" t="s">
        <v>55</v>
      </c>
      <c r="J163" s="16">
        <v>4.0</v>
      </c>
      <c r="K163" s="14" t="str">
        <f t="array" ref="K163">IF(OR(H163="",H163="Selecciona.."),"",XLOOKUP(H163,Propiedades!B:B,Propiedades!C:C,"",0,1))</f>
        <v>unidades</v>
      </c>
    </row>
    <row r="164">
      <c r="A164" s="14">
        <f t="shared" si="1"/>
        <v>163</v>
      </c>
      <c r="B164" s="14">
        <f t="array" ref="B164">IF(OR(G164="",G164="Selecciona.."),"",XLOOKUP(G164,Productos!E:E,Productos!A:A,"",0,1))</f>
        <v>80</v>
      </c>
      <c r="C164" s="14">
        <f t="array" ref="C164">IF(B164="","",SUMIF(Implementos!B:B,XLOOKUP(B164,Productos!A:A,Productos!F:F,"",0,1),Implementos!A:A))</f>
        <v>6</v>
      </c>
      <c r="D164" s="14">
        <f t="array" ref="D164">IF(OR(H164="",H164="Selecciona.."),"",XLOOKUP(H164,Propiedades!B:B,Propiedades!A:A,"",0,1))</f>
        <v>9</v>
      </c>
      <c r="E164" s="14">
        <f t="shared" si="2"/>
        <v>0</v>
      </c>
      <c r="F164" s="14" t="str">
        <f t="shared" si="3"/>
        <v>80-9-Exa</v>
      </c>
      <c r="G164" s="13" t="s">
        <v>106</v>
      </c>
      <c r="H164" s="13" t="s">
        <v>118</v>
      </c>
      <c r="I164" s="16" t="s">
        <v>55</v>
      </c>
      <c r="J164" s="16">
        <v>4.0</v>
      </c>
      <c r="K164" s="14" t="str">
        <f t="array" ref="K164">IF(OR(H164="",H164="Selecciona.."),"",XLOOKUP(H164,Propiedades!B:B,Propiedades!C:C,"",0,1))</f>
        <v>unidades</v>
      </c>
    </row>
    <row r="165">
      <c r="A165" s="14">
        <f t="shared" si="1"/>
        <v>164</v>
      </c>
      <c r="B165" s="14">
        <f t="array" ref="B165">IF(OR(G165="",G165="Selecciona.."),"",XLOOKUP(G165,Productos!E:E,Productos!A:A,"",0,1))</f>
        <v>81</v>
      </c>
      <c r="C165" s="14">
        <f t="array" ref="C165">IF(B165="","",SUMIF(Implementos!B:B,XLOOKUP(B165,Productos!A:A,Productos!F:F,"",0,1),Implementos!A:A))</f>
        <v>6</v>
      </c>
      <c r="D165" s="14">
        <f t="array" ref="D165">IF(OR(H165="",H165="Selecciona.."),"",XLOOKUP(H165,Propiedades!B:B,Propiedades!A:A,"",0,1))</f>
        <v>9</v>
      </c>
      <c r="E165" s="14">
        <f t="shared" si="2"/>
        <v>0</v>
      </c>
      <c r="F165" s="14" t="str">
        <f t="shared" si="3"/>
        <v>81-9-Exa</v>
      </c>
      <c r="G165" s="13" t="s">
        <v>107</v>
      </c>
      <c r="H165" s="13" t="s">
        <v>118</v>
      </c>
      <c r="I165" s="16" t="s">
        <v>55</v>
      </c>
      <c r="J165" s="16">
        <v>4.0</v>
      </c>
      <c r="K165" s="14" t="str">
        <f t="array" ref="K165">IF(OR(H165="",H165="Selecciona.."),"",XLOOKUP(H165,Propiedades!B:B,Propiedades!C:C,"",0,1))</f>
        <v>unidades</v>
      </c>
    </row>
    <row r="166">
      <c r="A166" s="14">
        <f t="shared" si="1"/>
        <v>165</v>
      </c>
      <c r="B166" s="14">
        <f t="array" ref="B166">IF(OR(G166="",G166="Selecciona.."),"",XLOOKUP(G166,Productos!E:E,Productos!A:A,"",0,1))</f>
        <v>82</v>
      </c>
      <c r="C166" s="14">
        <f t="array" ref="C166">IF(B166="","",SUMIF(Implementos!B:B,XLOOKUP(B166,Productos!A:A,Productos!F:F,"",0,1),Implementos!A:A))</f>
        <v>6</v>
      </c>
      <c r="D166" s="14">
        <f t="array" ref="D166">IF(OR(H166="",H166="Selecciona.."),"",XLOOKUP(H166,Propiedades!B:B,Propiedades!A:A,"",0,1))</f>
        <v>9</v>
      </c>
      <c r="E166" s="14">
        <f t="shared" si="2"/>
        <v>0</v>
      </c>
      <c r="F166" s="14" t="str">
        <f t="shared" si="3"/>
        <v>82-9-Exa</v>
      </c>
      <c r="G166" s="13" t="s">
        <v>108</v>
      </c>
      <c r="H166" s="13" t="s">
        <v>118</v>
      </c>
      <c r="I166" s="16" t="s">
        <v>55</v>
      </c>
      <c r="J166" s="16">
        <v>4.0</v>
      </c>
      <c r="K166" s="14" t="str">
        <f t="array" ref="K166">IF(OR(H166="",H166="Selecciona.."),"",XLOOKUP(H166,Propiedades!B:B,Propiedades!C:C,"",0,1))</f>
        <v>unidades</v>
      </c>
    </row>
    <row r="167">
      <c r="A167" s="14">
        <f t="shared" si="1"/>
        <v>166</v>
      </c>
      <c r="B167" s="14">
        <f t="array" ref="B167">IF(OR(G167="",G167="Selecciona.."),"",XLOOKUP(G167,Productos!E:E,Productos!A:A,"",0,1))</f>
        <v>83</v>
      </c>
      <c r="C167" s="14">
        <f t="array" ref="C167">IF(B167="","",SUMIF(Implementos!B:B,XLOOKUP(B167,Productos!A:A,Productos!F:F,"",0,1),Implementos!A:A))</f>
        <v>6</v>
      </c>
      <c r="D167" s="14">
        <f t="array" ref="D167">IF(OR(H167="",H167="Selecciona.."),"",XLOOKUP(H167,Propiedades!B:B,Propiedades!A:A,"",0,1))</f>
        <v>9</v>
      </c>
      <c r="E167" s="14">
        <f t="shared" si="2"/>
        <v>0</v>
      </c>
      <c r="F167" s="14" t="str">
        <f t="shared" si="3"/>
        <v>83-9-Exa</v>
      </c>
      <c r="G167" s="13" t="s">
        <v>109</v>
      </c>
      <c r="H167" s="13" t="s">
        <v>118</v>
      </c>
      <c r="I167" s="16" t="s">
        <v>55</v>
      </c>
      <c r="J167" s="16">
        <v>2.0</v>
      </c>
      <c r="K167" s="14" t="str">
        <f t="array" ref="K167">IF(OR(H167="",H167="Selecciona.."),"",XLOOKUP(H167,Propiedades!B:B,Propiedades!C:C,"",0,1))</f>
        <v>unidades</v>
      </c>
    </row>
    <row r="168">
      <c r="A168" s="14">
        <f t="shared" si="1"/>
        <v>167</v>
      </c>
      <c r="B168" s="14">
        <f t="array" ref="B168">IF(OR(G168="",G168="Selecciona.."),"",XLOOKUP(G168,Productos!E:E,Productos!A:A,"",0,1))</f>
        <v>84</v>
      </c>
      <c r="C168" s="14">
        <f t="array" ref="C168">IF(B168="","",SUMIF(Implementos!B:B,XLOOKUP(B168,Productos!A:A,Productos!F:F,"",0,1),Implementos!A:A))</f>
        <v>6</v>
      </c>
      <c r="D168" s="14">
        <f t="array" ref="D168">IF(OR(H168="",H168="Selecciona.."),"",XLOOKUP(H168,Propiedades!B:B,Propiedades!A:A,"",0,1))</f>
        <v>9</v>
      </c>
      <c r="E168" s="14">
        <f t="shared" si="2"/>
        <v>0</v>
      </c>
      <c r="F168" s="14" t="str">
        <f t="shared" si="3"/>
        <v>84-9-Exa</v>
      </c>
      <c r="G168" s="13" t="s">
        <v>110</v>
      </c>
      <c r="H168" s="13" t="s">
        <v>118</v>
      </c>
      <c r="I168" s="16" t="s">
        <v>55</v>
      </c>
      <c r="J168" s="16">
        <v>2.0</v>
      </c>
      <c r="K168" s="14" t="str">
        <f t="array" ref="K168">IF(OR(H168="",H168="Selecciona.."),"",XLOOKUP(H168,Propiedades!B:B,Propiedades!C:C,"",0,1))</f>
        <v>unidades</v>
      </c>
    </row>
    <row r="169">
      <c r="A169" s="14">
        <f t="shared" si="1"/>
        <v>168</v>
      </c>
      <c r="B169" s="14">
        <f t="array" ref="B169">IF(OR(G169="",G169="Selecciona.."),"",XLOOKUP(G169,Productos!E:E,Productos!A:A,"",0,1))</f>
        <v>85</v>
      </c>
      <c r="C169" s="14">
        <f t="array" ref="C169">IF(B169="","",SUMIF(Implementos!B:B,XLOOKUP(B169,Productos!A:A,Productos!F:F,"",0,1),Implementos!A:A))</f>
        <v>6</v>
      </c>
      <c r="D169" s="14">
        <f t="array" ref="D169">IF(OR(H169="",H169="Selecciona.."),"",XLOOKUP(H169,Propiedades!B:B,Propiedades!A:A,"",0,1))</f>
        <v>9</v>
      </c>
      <c r="E169" s="14">
        <f t="shared" si="2"/>
        <v>0</v>
      </c>
      <c r="F169" s="14" t="str">
        <f t="shared" si="3"/>
        <v>85-9-Exa</v>
      </c>
      <c r="G169" s="13" t="s">
        <v>111</v>
      </c>
      <c r="H169" s="13" t="s">
        <v>118</v>
      </c>
      <c r="I169" s="16" t="s">
        <v>55</v>
      </c>
      <c r="J169" s="16">
        <v>2.0</v>
      </c>
      <c r="K169" s="14" t="str">
        <f t="array" ref="K169">IF(OR(H169="",H169="Selecciona.."),"",XLOOKUP(H169,Propiedades!B:B,Propiedades!C:C,"",0,1))</f>
        <v>unidades</v>
      </c>
    </row>
    <row r="170">
      <c r="A170" s="14">
        <f t="shared" si="1"/>
        <v>169</v>
      </c>
      <c r="B170" s="14">
        <f t="array" ref="B170">IF(OR(G170="",G170="Selecciona.."),"",XLOOKUP(G170,Productos!E:E,Productos!A:A,"",0,1))</f>
        <v>86</v>
      </c>
      <c r="C170" s="14">
        <f t="array" ref="C170">IF(B170="","",SUMIF(Implementos!B:B,XLOOKUP(B170,Productos!A:A,Productos!F:F,"",0,1),Implementos!A:A))</f>
        <v>6</v>
      </c>
      <c r="D170" s="14">
        <f t="array" ref="D170">IF(OR(H170="",H170="Selecciona.."),"",XLOOKUP(H170,Propiedades!B:B,Propiedades!A:A,"",0,1))</f>
        <v>9</v>
      </c>
      <c r="E170" s="14">
        <f t="shared" si="2"/>
        <v>0</v>
      </c>
      <c r="F170" s="14" t="str">
        <f t="shared" si="3"/>
        <v>86-9-Exa</v>
      </c>
      <c r="G170" s="13" t="s">
        <v>112</v>
      </c>
      <c r="H170" s="13" t="s">
        <v>118</v>
      </c>
      <c r="I170" s="16" t="s">
        <v>55</v>
      </c>
      <c r="J170" s="16">
        <v>4.0</v>
      </c>
      <c r="K170" s="14" t="str">
        <f t="array" ref="K170">IF(OR(H170="",H170="Selecciona.."),"",XLOOKUP(H170,Propiedades!B:B,Propiedades!C:C,"",0,1))</f>
        <v>unidades</v>
      </c>
    </row>
    <row r="171">
      <c r="A171" s="14">
        <f t="shared" si="1"/>
        <v>170</v>
      </c>
      <c r="B171" s="14">
        <f t="array" ref="B171">IF(OR(G171="",G171="Selecciona.."),"",XLOOKUP(G171,Productos!E:E,Productos!A:A,"",0,1))</f>
        <v>87</v>
      </c>
      <c r="C171" s="14">
        <f t="array" ref="C171">IF(B171="","",SUMIF(Implementos!B:B,XLOOKUP(B171,Productos!A:A,Productos!F:F,"",0,1),Implementos!A:A))</f>
        <v>6</v>
      </c>
      <c r="D171" s="14">
        <f t="array" ref="D171">IF(OR(H171="",H171="Selecciona.."),"",XLOOKUP(H171,Propiedades!B:B,Propiedades!A:A,"",0,1))</f>
        <v>9</v>
      </c>
      <c r="E171" s="14">
        <f t="shared" si="2"/>
        <v>0</v>
      </c>
      <c r="F171" s="14" t="str">
        <f t="shared" si="3"/>
        <v>87-9-Exa</v>
      </c>
      <c r="G171" s="13" t="s">
        <v>113</v>
      </c>
      <c r="H171" s="13" t="s">
        <v>118</v>
      </c>
      <c r="I171" s="16" t="s">
        <v>55</v>
      </c>
      <c r="J171" s="16">
        <v>4.0</v>
      </c>
      <c r="K171" s="14" t="str">
        <f t="array" ref="K171">IF(OR(H171="",H171="Selecciona.."),"",XLOOKUP(H171,Propiedades!B:B,Propiedades!C:C,"",0,1))</f>
        <v>unidades</v>
      </c>
    </row>
    <row r="172">
      <c r="A172" s="14">
        <f t="shared" si="1"/>
        <v>171</v>
      </c>
      <c r="B172" s="14">
        <f t="array" ref="B172">IF(OR(G172="",G172="Selecciona.."),"",XLOOKUP(G172,Productos!E:E,Productos!A:A,"",0,1))</f>
        <v>88</v>
      </c>
      <c r="C172" s="14">
        <f t="array" ref="C172">IF(B172="","",SUMIF(Implementos!B:B,XLOOKUP(B172,Productos!A:A,Productos!F:F,"",0,1),Implementos!A:A))</f>
        <v>6</v>
      </c>
      <c r="D172" s="14">
        <f t="array" ref="D172">IF(OR(H172="",H172="Selecciona.."),"",XLOOKUP(H172,Propiedades!B:B,Propiedades!A:A,"",0,1))</f>
        <v>9</v>
      </c>
      <c r="E172" s="14">
        <f t="shared" si="2"/>
        <v>0</v>
      </c>
      <c r="F172" s="14" t="str">
        <f t="shared" si="3"/>
        <v>88-9-Exa</v>
      </c>
      <c r="G172" s="13" t="s">
        <v>114</v>
      </c>
      <c r="H172" s="13" t="s">
        <v>118</v>
      </c>
      <c r="I172" s="16" t="s">
        <v>55</v>
      </c>
      <c r="J172" s="16">
        <v>4.0</v>
      </c>
      <c r="K172" s="14" t="str">
        <f t="array" ref="K172">IF(OR(H172="",H172="Selecciona.."),"",XLOOKUP(H172,Propiedades!B:B,Propiedades!C:C,"",0,1))</f>
        <v>unidades</v>
      </c>
    </row>
    <row r="173">
      <c r="A173" s="14">
        <f t="shared" si="1"/>
        <v>172</v>
      </c>
      <c r="B173" s="14">
        <f t="array" ref="B173">IF(OR(G173="",G173="Selecciona.."),"",XLOOKUP(G173,Productos!E:E,Productos!A:A,"",0,1))</f>
        <v>89</v>
      </c>
      <c r="C173" s="14">
        <f t="array" ref="C173">IF(B173="","",SUMIF(Implementos!B:B,XLOOKUP(B173,Productos!A:A,Productos!F:F,"",0,1),Implementos!A:A))</f>
        <v>6</v>
      </c>
      <c r="D173" s="14">
        <f t="array" ref="D173">IF(OR(H173="",H173="Selecciona.."),"",XLOOKUP(H173,Propiedades!B:B,Propiedades!A:A,"",0,1))</f>
        <v>9</v>
      </c>
      <c r="E173" s="14">
        <f t="shared" si="2"/>
        <v>0</v>
      </c>
      <c r="F173" s="14" t="str">
        <f t="shared" si="3"/>
        <v>89-9-Exa</v>
      </c>
      <c r="G173" s="13" t="s">
        <v>115</v>
      </c>
      <c r="H173" s="13" t="s">
        <v>118</v>
      </c>
      <c r="I173" s="16" t="s">
        <v>55</v>
      </c>
      <c r="J173" s="16">
        <v>4.0</v>
      </c>
      <c r="K173" s="14" t="str">
        <f t="array" ref="K173">IF(OR(H173="",H173="Selecciona.."),"",XLOOKUP(H173,Propiedades!B:B,Propiedades!C:C,"",0,1))</f>
        <v>unidades</v>
      </c>
    </row>
    <row r="174">
      <c r="A174" s="14">
        <f t="shared" si="1"/>
        <v>173</v>
      </c>
      <c r="B174" s="14">
        <f t="array" ref="B174">IF(OR(G174="",G174="Selecciona.."),"",XLOOKUP(G174,Productos!E:E,Productos!A:A,"",0,1))</f>
        <v>90</v>
      </c>
      <c r="C174" s="14">
        <f t="array" ref="C174">IF(B174="","",SUMIF(Implementos!B:B,XLOOKUP(B174,Productos!A:A,Productos!F:F,"",0,1),Implementos!A:A))</f>
        <v>6</v>
      </c>
      <c r="D174" s="14">
        <f t="array" ref="D174">IF(OR(H174="",H174="Selecciona.."),"",XLOOKUP(H174,Propiedades!B:B,Propiedades!A:A,"",0,1))</f>
        <v>9</v>
      </c>
      <c r="E174" s="14">
        <f t="shared" si="2"/>
        <v>0</v>
      </c>
      <c r="F174" s="14" t="str">
        <f t="shared" si="3"/>
        <v>90-9-Exa</v>
      </c>
      <c r="G174" s="13" t="s">
        <v>116</v>
      </c>
      <c r="H174" s="13" t="s">
        <v>118</v>
      </c>
      <c r="I174" s="16" t="s">
        <v>55</v>
      </c>
      <c r="J174" s="16">
        <v>4.0</v>
      </c>
      <c r="K174" s="14" t="str">
        <f t="array" ref="K174">IF(OR(H174="",H174="Selecciona.."),"",XLOOKUP(H174,Propiedades!B:B,Propiedades!C:C,"",0,1))</f>
        <v>unidades</v>
      </c>
    </row>
    <row r="175">
      <c r="A175" s="14">
        <f t="shared" si="1"/>
        <v>174</v>
      </c>
      <c r="B175" s="14">
        <f t="array" ref="B175">IF(OR(G175="",G175="Selecciona.."),"",XLOOKUP(G175,Productos!E:E,Productos!A:A,"",0,1))</f>
        <v>72</v>
      </c>
      <c r="C175" s="14">
        <f t="array" ref="C175">IF(B175="","",SUMIF(Implementos!B:B,XLOOKUP(B175,Productos!A:A,Productos!F:F,"",0,1),Implementos!A:A))</f>
        <v>6</v>
      </c>
      <c r="D175" s="14">
        <f t="array" ref="D175">IF(OR(H175="",H175="Selecciona.."),"",XLOOKUP(H175,Propiedades!B:B,Propiedades!A:A,"",0,1))</f>
        <v>8</v>
      </c>
      <c r="E175" s="14">
        <f t="shared" si="2"/>
        <v>0</v>
      </c>
      <c r="F175" s="14" t="str">
        <f t="shared" si="3"/>
        <v>72-8-Exa</v>
      </c>
      <c r="G175" s="13" t="s">
        <v>97</v>
      </c>
      <c r="H175" s="13" t="s">
        <v>119</v>
      </c>
      <c r="I175" s="16" t="s">
        <v>55</v>
      </c>
      <c r="J175" s="16">
        <v>2.0</v>
      </c>
      <c r="K175" s="14" t="str">
        <f t="array" ref="K175">IF(OR(H175="",H175="Selecciona.."),"",XLOOKUP(H175,Propiedades!B:B,Propiedades!C:C,"",0,1))</f>
        <v>unidades</v>
      </c>
    </row>
    <row r="176">
      <c r="A176" s="14">
        <f t="shared" si="1"/>
        <v>175</v>
      </c>
      <c r="B176" s="14">
        <f t="array" ref="B176">IF(OR(G176="",G176="Selecciona.."),"",XLOOKUP(G176,Productos!E:E,Productos!A:A,"",0,1))</f>
        <v>73</v>
      </c>
      <c r="C176" s="14">
        <f t="array" ref="C176">IF(B176="","",SUMIF(Implementos!B:B,XLOOKUP(B176,Productos!A:A,Productos!F:F,"",0,1),Implementos!A:A))</f>
        <v>6</v>
      </c>
      <c r="D176" s="14">
        <f t="array" ref="D176">IF(OR(H176="",H176="Selecciona.."),"",XLOOKUP(H176,Propiedades!B:B,Propiedades!A:A,"",0,1))</f>
        <v>8</v>
      </c>
      <c r="E176" s="14">
        <f t="shared" si="2"/>
        <v>0</v>
      </c>
      <c r="F176" s="14" t="str">
        <f t="shared" si="3"/>
        <v>73-8-Exa</v>
      </c>
      <c r="G176" s="13" t="s">
        <v>99</v>
      </c>
      <c r="H176" s="13" t="s">
        <v>119</v>
      </c>
      <c r="I176" s="16" t="s">
        <v>55</v>
      </c>
      <c r="J176" s="16">
        <v>2.0</v>
      </c>
      <c r="K176" s="14" t="str">
        <f t="array" ref="K176">IF(OR(H176="",H176="Selecciona.."),"",XLOOKUP(H176,Propiedades!B:B,Propiedades!C:C,"",0,1))</f>
        <v>unidades</v>
      </c>
    </row>
    <row r="177">
      <c r="A177" s="14">
        <f t="shared" si="1"/>
        <v>176</v>
      </c>
      <c r="B177" s="14">
        <f t="array" ref="B177">IF(OR(G177="",G177="Selecciona.."),"",XLOOKUP(G177,Productos!E:E,Productos!A:A,"",0,1))</f>
        <v>74</v>
      </c>
      <c r="C177" s="14">
        <f t="array" ref="C177">IF(B177="","",SUMIF(Implementos!B:B,XLOOKUP(B177,Productos!A:A,Productos!F:F,"",0,1),Implementos!A:A))</f>
        <v>6</v>
      </c>
      <c r="D177" s="14">
        <f t="array" ref="D177">IF(OR(H177="",H177="Selecciona.."),"",XLOOKUP(H177,Propiedades!B:B,Propiedades!A:A,"",0,1))</f>
        <v>8</v>
      </c>
      <c r="E177" s="14">
        <f t="shared" si="2"/>
        <v>0</v>
      </c>
      <c r="F177" s="14" t="str">
        <f t="shared" si="3"/>
        <v>74-8-Exa</v>
      </c>
      <c r="G177" s="13" t="s">
        <v>100</v>
      </c>
      <c r="H177" s="13" t="s">
        <v>119</v>
      </c>
      <c r="I177" s="16" t="s">
        <v>55</v>
      </c>
      <c r="J177" s="16">
        <v>2.0</v>
      </c>
      <c r="K177" s="14" t="str">
        <f t="array" ref="K177">IF(OR(H177="",H177="Selecciona.."),"",XLOOKUP(H177,Propiedades!B:B,Propiedades!C:C,"",0,1))</f>
        <v>unidades</v>
      </c>
    </row>
    <row r="178">
      <c r="A178" s="14">
        <f t="shared" si="1"/>
        <v>177</v>
      </c>
      <c r="B178" s="14">
        <f t="array" ref="B178">IF(OR(G178="",G178="Selecciona.."),"",XLOOKUP(G178,Productos!E:E,Productos!A:A,"",0,1))</f>
        <v>75</v>
      </c>
      <c r="C178" s="14">
        <f t="array" ref="C178">IF(B178="","",SUMIF(Implementos!B:B,XLOOKUP(B178,Productos!A:A,Productos!F:F,"",0,1),Implementos!A:A))</f>
        <v>6</v>
      </c>
      <c r="D178" s="14">
        <f t="array" ref="D178">IF(OR(H178="",H178="Selecciona.."),"",XLOOKUP(H178,Propiedades!B:B,Propiedades!A:A,"",0,1))</f>
        <v>8</v>
      </c>
      <c r="E178" s="14">
        <f t="shared" si="2"/>
        <v>0</v>
      </c>
      <c r="F178" s="14" t="str">
        <f t="shared" si="3"/>
        <v>75-8-Exa</v>
      </c>
      <c r="G178" s="13" t="s">
        <v>101</v>
      </c>
      <c r="H178" s="13" t="s">
        <v>119</v>
      </c>
      <c r="I178" s="16" t="s">
        <v>55</v>
      </c>
      <c r="J178" s="16">
        <v>2.0</v>
      </c>
      <c r="K178" s="14" t="str">
        <f t="array" ref="K178">IF(OR(H178="",H178="Selecciona.."),"",XLOOKUP(H178,Propiedades!B:B,Propiedades!C:C,"",0,1))</f>
        <v>unidades</v>
      </c>
    </row>
    <row r="179">
      <c r="A179" s="14">
        <f t="shared" si="1"/>
        <v>178</v>
      </c>
      <c r="B179" s="14">
        <f t="array" ref="B179">IF(OR(G179="",G179="Selecciona.."),"",XLOOKUP(G179,Productos!E:E,Productos!A:A,"",0,1))</f>
        <v>76</v>
      </c>
      <c r="C179" s="14">
        <f t="array" ref="C179">IF(B179="","",SUMIF(Implementos!B:B,XLOOKUP(B179,Productos!A:A,Productos!F:F,"",0,1),Implementos!A:A))</f>
        <v>6</v>
      </c>
      <c r="D179" s="14">
        <f t="array" ref="D179">IF(OR(H179="",H179="Selecciona.."),"",XLOOKUP(H179,Propiedades!B:B,Propiedades!A:A,"",0,1))</f>
        <v>8</v>
      </c>
      <c r="E179" s="14">
        <f t="shared" si="2"/>
        <v>0</v>
      </c>
      <c r="F179" s="14" t="str">
        <f t="shared" si="3"/>
        <v>76-8-Exa</v>
      </c>
      <c r="G179" s="13" t="s">
        <v>102</v>
      </c>
      <c r="H179" s="13" t="s">
        <v>119</v>
      </c>
      <c r="I179" s="16" t="s">
        <v>55</v>
      </c>
      <c r="J179" s="16">
        <v>2.0</v>
      </c>
      <c r="K179" s="14" t="str">
        <f t="array" ref="K179">IF(OR(H179="",H179="Selecciona.."),"",XLOOKUP(H179,Propiedades!B:B,Propiedades!C:C,"",0,1))</f>
        <v>unidades</v>
      </c>
    </row>
    <row r="180">
      <c r="A180" s="14">
        <f t="shared" si="1"/>
        <v>179</v>
      </c>
      <c r="B180" s="14">
        <f t="array" ref="B180">IF(OR(G180="",G180="Selecciona.."),"",XLOOKUP(G180,Productos!E:E,Productos!A:A,"",0,1))</f>
        <v>77</v>
      </c>
      <c r="C180" s="14">
        <f t="array" ref="C180">IF(B180="","",SUMIF(Implementos!B:B,XLOOKUP(B180,Productos!A:A,Productos!F:F,"",0,1),Implementos!A:A))</f>
        <v>6</v>
      </c>
      <c r="D180" s="14">
        <f t="array" ref="D180">IF(OR(H180="",H180="Selecciona.."),"",XLOOKUP(H180,Propiedades!B:B,Propiedades!A:A,"",0,1))</f>
        <v>8</v>
      </c>
      <c r="E180" s="14">
        <f t="shared" si="2"/>
        <v>0</v>
      </c>
      <c r="F180" s="14" t="str">
        <f t="shared" si="3"/>
        <v>77-8-Exa</v>
      </c>
      <c r="G180" s="13" t="s">
        <v>103</v>
      </c>
      <c r="H180" s="13" t="s">
        <v>119</v>
      </c>
      <c r="I180" s="16" t="s">
        <v>55</v>
      </c>
      <c r="J180" s="16">
        <v>2.0</v>
      </c>
      <c r="K180" s="14" t="str">
        <f t="array" ref="K180">IF(OR(H180="",H180="Selecciona.."),"",XLOOKUP(H180,Propiedades!B:B,Propiedades!C:C,"",0,1))</f>
        <v>unidades</v>
      </c>
    </row>
    <row r="181">
      <c r="A181" s="14">
        <f t="shared" si="1"/>
        <v>180</v>
      </c>
      <c r="B181" s="14">
        <f t="array" ref="B181">IF(OR(G181="",G181="Selecciona.."),"",XLOOKUP(G181,Productos!E:E,Productos!A:A,"",0,1))</f>
        <v>78</v>
      </c>
      <c r="C181" s="14">
        <f t="array" ref="C181">IF(B181="","",SUMIF(Implementos!B:B,XLOOKUP(B181,Productos!A:A,Productos!F:F,"",0,1),Implementos!A:A))</f>
        <v>6</v>
      </c>
      <c r="D181" s="14">
        <f t="array" ref="D181">IF(OR(H181="",H181="Selecciona.."),"",XLOOKUP(H181,Propiedades!B:B,Propiedades!A:A,"",0,1))</f>
        <v>8</v>
      </c>
      <c r="E181" s="14">
        <f t="shared" si="2"/>
        <v>0</v>
      </c>
      <c r="F181" s="14" t="str">
        <f t="shared" si="3"/>
        <v>78-8-Exa</v>
      </c>
      <c r="G181" s="13" t="s">
        <v>104</v>
      </c>
      <c r="H181" s="13" t="s">
        <v>119</v>
      </c>
      <c r="I181" s="16" t="s">
        <v>55</v>
      </c>
      <c r="J181" s="16">
        <v>2.0</v>
      </c>
      <c r="K181" s="14" t="str">
        <f t="array" ref="K181">IF(OR(H181="",H181="Selecciona.."),"",XLOOKUP(H181,Propiedades!B:B,Propiedades!C:C,"",0,1))</f>
        <v>unidades</v>
      </c>
    </row>
    <row r="182">
      <c r="A182" s="14">
        <f t="shared" si="1"/>
        <v>181</v>
      </c>
      <c r="B182" s="14">
        <f t="array" ref="B182">IF(OR(G182="",G182="Selecciona.."),"",XLOOKUP(G182,Productos!E:E,Productos!A:A,"",0,1))</f>
        <v>79</v>
      </c>
      <c r="C182" s="14">
        <f t="array" ref="C182">IF(B182="","",SUMIF(Implementos!B:B,XLOOKUP(B182,Productos!A:A,Productos!F:F,"",0,1),Implementos!A:A))</f>
        <v>6</v>
      </c>
      <c r="D182" s="14">
        <f t="array" ref="D182">IF(OR(H182="",H182="Selecciona.."),"",XLOOKUP(H182,Propiedades!B:B,Propiedades!A:A,"",0,1))</f>
        <v>8</v>
      </c>
      <c r="E182" s="14">
        <f t="shared" si="2"/>
        <v>0</v>
      </c>
      <c r="F182" s="14" t="str">
        <f t="shared" si="3"/>
        <v>79-8-Exa</v>
      </c>
      <c r="G182" s="13" t="s">
        <v>105</v>
      </c>
      <c r="H182" s="13" t="s">
        <v>119</v>
      </c>
      <c r="I182" s="16" t="s">
        <v>55</v>
      </c>
      <c r="J182" s="16">
        <v>2.0</v>
      </c>
      <c r="K182" s="14" t="str">
        <f t="array" ref="K182">IF(OR(H182="",H182="Selecciona.."),"",XLOOKUP(H182,Propiedades!B:B,Propiedades!C:C,"",0,1))</f>
        <v>unidades</v>
      </c>
    </row>
    <row r="183">
      <c r="A183" s="14">
        <f t="shared" si="1"/>
        <v>182</v>
      </c>
      <c r="B183" s="14">
        <f t="array" ref="B183">IF(OR(G183="",G183="Selecciona.."),"",XLOOKUP(G183,Productos!E:E,Productos!A:A,"",0,1))</f>
        <v>80</v>
      </c>
      <c r="C183" s="14">
        <f t="array" ref="C183">IF(B183="","",SUMIF(Implementos!B:B,XLOOKUP(B183,Productos!A:A,Productos!F:F,"",0,1),Implementos!A:A))</f>
        <v>6</v>
      </c>
      <c r="D183" s="14">
        <f t="array" ref="D183">IF(OR(H183="",H183="Selecciona.."),"",XLOOKUP(H183,Propiedades!B:B,Propiedades!A:A,"",0,1))</f>
        <v>8</v>
      </c>
      <c r="E183" s="14">
        <f t="shared" si="2"/>
        <v>0</v>
      </c>
      <c r="F183" s="14" t="str">
        <f t="shared" si="3"/>
        <v>80-8-Exa</v>
      </c>
      <c r="G183" s="13" t="s">
        <v>106</v>
      </c>
      <c r="H183" s="13" t="s">
        <v>119</v>
      </c>
      <c r="I183" s="16" t="s">
        <v>55</v>
      </c>
      <c r="J183" s="16">
        <v>2.0</v>
      </c>
      <c r="K183" s="14" t="str">
        <f t="array" ref="K183">IF(OR(H183="",H183="Selecciona.."),"",XLOOKUP(H183,Propiedades!B:B,Propiedades!C:C,"",0,1))</f>
        <v>unidades</v>
      </c>
    </row>
    <row r="184">
      <c r="A184" s="14">
        <f t="shared" si="1"/>
        <v>183</v>
      </c>
      <c r="B184" s="14">
        <f t="array" ref="B184">IF(OR(G184="",G184="Selecciona.."),"",XLOOKUP(G184,Productos!E:E,Productos!A:A,"",0,1))</f>
        <v>81</v>
      </c>
      <c r="C184" s="14">
        <f t="array" ref="C184">IF(B184="","",SUMIF(Implementos!B:B,XLOOKUP(B184,Productos!A:A,Productos!F:F,"",0,1),Implementos!A:A))</f>
        <v>6</v>
      </c>
      <c r="D184" s="14">
        <f t="array" ref="D184">IF(OR(H184="",H184="Selecciona.."),"",XLOOKUP(H184,Propiedades!B:B,Propiedades!A:A,"",0,1))</f>
        <v>8</v>
      </c>
      <c r="E184" s="14">
        <f t="shared" si="2"/>
        <v>0</v>
      </c>
      <c r="F184" s="14" t="str">
        <f t="shared" si="3"/>
        <v>81-8-Exa</v>
      </c>
      <c r="G184" s="13" t="s">
        <v>107</v>
      </c>
      <c r="H184" s="13" t="s">
        <v>119</v>
      </c>
      <c r="I184" s="16" t="s">
        <v>55</v>
      </c>
      <c r="J184" s="16">
        <v>2.0</v>
      </c>
      <c r="K184" s="14" t="str">
        <f t="array" ref="K184">IF(OR(H184="",H184="Selecciona.."),"",XLOOKUP(H184,Propiedades!B:B,Propiedades!C:C,"",0,1))</f>
        <v>unidades</v>
      </c>
    </row>
    <row r="185">
      <c r="A185" s="14">
        <f t="shared" si="1"/>
        <v>184</v>
      </c>
      <c r="B185" s="14">
        <f t="array" ref="B185">IF(OR(G185="",G185="Selecciona.."),"",XLOOKUP(G185,Productos!E:E,Productos!A:A,"",0,1))</f>
        <v>82</v>
      </c>
      <c r="C185" s="14">
        <f t="array" ref="C185">IF(B185="","",SUMIF(Implementos!B:B,XLOOKUP(B185,Productos!A:A,Productos!F:F,"",0,1),Implementos!A:A))</f>
        <v>6</v>
      </c>
      <c r="D185" s="14">
        <f t="array" ref="D185">IF(OR(H185="",H185="Selecciona.."),"",XLOOKUP(H185,Propiedades!B:B,Propiedades!A:A,"",0,1))</f>
        <v>8</v>
      </c>
      <c r="E185" s="14">
        <f t="shared" si="2"/>
        <v>0</v>
      </c>
      <c r="F185" s="14" t="str">
        <f t="shared" si="3"/>
        <v>82-8-Exa</v>
      </c>
      <c r="G185" s="13" t="s">
        <v>108</v>
      </c>
      <c r="H185" s="13" t="s">
        <v>119</v>
      </c>
      <c r="I185" s="16" t="s">
        <v>55</v>
      </c>
      <c r="J185" s="16">
        <v>2.0</v>
      </c>
      <c r="K185" s="14" t="str">
        <f t="array" ref="K185">IF(OR(H185="",H185="Selecciona.."),"",XLOOKUP(H185,Propiedades!B:B,Propiedades!C:C,"",0,1))</f>
        <v>unidades</v>
      </c>
    </row>
    <row r="186">
      <c r="A186" s="14">
        <f t="shared" si="1"/>
        <v>185</v>
      </c>
      <c r="B186" s="14">
        <f t="array" ref="B186">IF(OR(G186="",G186="Selecciona.."),"",XLOOKUP(G186,Productos!E:E,Productos!A:A,"",0,1))</f>
        <v>83</v>
      </c>
      <c r="C186" s="14">
        <f t="array" ref="C186">IF(B186="","",SUMIF(Implementos!B:B,XLOOKUP(B186,Productos!A:A,Productos!F:F,"",0,1),Implementos!A:A))</f>
        <v>6</v>
      </c>
      <c r="D186" s="14">
        <f t="array" ref="D186">IF(OR(H186="",H186="Selecciona.."),"",XLOOKUP(H186,Propiedades!B:B,Propiedades!A:A,"",0,1))</f>
        <v>8</v>
      </c>
      <c r="E186" s="14">
        <f t="shared" si="2"/>
        <v>0</v>
      </c>
      <c r="F186" s="14" t="str">
        <f t="shared" si="3"/>
        <v>83-8-Exa</v>
      </c>
      <c r="G186" s="13" t="s">
        <v>109</v>
      </c>
      <c r="H186" s="13" t="s">
        <v>119</v>
      </c>
      <c r="I186" s="16" t="s">
        <v>55</v>
      </c>
      <c r="J186" s="16">
        <v>1.0</v>
      </c>
      <c r="K186" s="14" t="str">
        <f t="array" ref="K186">IF(OR(H186="",H186="Selecciona.."),"",XLOOKUP(H186,Propiedades!B:B,Propiedades!C:C,"",0,1))</f>
        <v>unidades</v>
      </c>
    </row>
    <row r="187">
      <c r="A187" s="14">
        <f t="shared" si="1"/>
        <v>186</v>
      </c>
      <c r="B187" s="14">
        <f t="array" ref="B187">IF(OR(G187="",G187="Selecciona.."),"",XLOOKUP(G187,Productos!E:E,Productos!A:A,"",0,1))</f>
        <v>84</v>
      </c>
      <c r="C187" s="14">
        <f t="array" ref="C187">IF(B187="","",SUMIF(Implementos!B:B,XLOOKUP(B187,Productos!A:A,Productos!F:F,"",0,1),Implementos!A:A))</f>
        <v>6</v>
      </c>
      <c r="D187" s="14">
        <f t="array" ref="D187">IF(OR(H187="",H187="Selecciona.."),"",XLOOKUP(H187,Propiedades!B:B,Propiedades!A:A,"",0,1))</f>
        <v>8</v>
      </c>
      <c r="E187" s="14">
        <f t="shared" si="2"/>
        <v>0</v>
      </c>
      <c r="F187" s="14" t="str">
        <f t="shared" si="3"/>
        <v>84-8-Exa</v>
      </c>
      <c r="G187" s="13" t="s">
        <v>110</v>
      </c>
      <c r="H187" s="13" t="s">
        <v>119</v>
      </c>
      <c r="I187" s="16" t="s">
        <v>55</v>
      </c>
      <c r="J187" s="16">
        <v>1.0</v>
      </c>
      <c r="K187" s="14" t="str">
        <f t="array" ref="K187">IF(OR(H187="",H187="Selecciona.."),"",XLOOKUP(H187,Propiedades!B:B,Propiedades!C:C,"",0,1))</f>
        <v>unidades</v>
      </c>
    </row>
    <row r="188">
      <c r="A188" s="14">
        <f t="shared" si="1"/>
        <v>187</v>
      </c>
      <c r="B188" s="14">
        <f t="array" ref="B188">IF(OR(G188="",G188="Selecciona.."),"",XLOOKUP(G188,Productos!E:E,Productos!A:A,"",0,1))</f>
        <v>85</v>
      </c>
      <c r="C188" s="14">
        <f t="array" ref="C188">IF(B188="","",SUMIF(Implementos!B:B,XLOOKUP(B188,Productos!A:A,Productos!F:F,"",0,1),Implementos!A:A))</f>
        <v>6</v>
      </c>
      <c r="D188" s="14">
        <f t="array" ref="D188">IF(OR(H188="",H188="Selecciona.."),"",XLOOKUP(H188,Propiedades!B:B,Propiedades!A:A,"",0,1))</f>
        <v>8</v>
      </c>
      <c r="E188" s="14">
        <f t="shared" si="2"/>
        <v>0</v>
      </c>
      <c r="F188" s="14" t="str">
        <f t="shared" si="3"/>
        <v>85-8-Exa</v>
      </c>
      <c r="G188" s="13" t="s">
        <v>111</v>
      </c>
      <c r="H188" s="13" t="s">
        <v>119</v>
      </c>
      <c r="I188" s="16" t="s">
        <v>55</v>
      </c>
      <c r="J188" s="16">
        <v>1.0</v>
      </c>
      <c r="K188" s="14" t="str">
        <f t="array" ref="K188">IF(OR(H188="",H188="Selecciona.."),"",XLOOKUP(H188,Propiedades!B:B,Propiedades!C:C,"",0,1))</f>
        <v>unidades</v>
      </c>
    </row>
    <row r="189">
      <c r="A189" s="14">
        <f t="shared" si="1"/>
        <v>188</v>
      </c>
      <c r="B189" s="14">
        <f t="array" ref="B189">IF(OR(G189="",G189="Selecciona.."),"",XLOOKUP(G189,Productos!E:E,Productos!A:A,"",0,1))</f>
        <v>86</v>
      </c>
      <c r="C189" s="14">
        <f t="array" ref="C189">IF(B189="","",SUMIF(Implementos!B:B,XLOOKUP(B189,Productos!A:A,Productos!F:F,"",0,1),Implementos!A:A))</f>
        <v>6</v>
      </c>
      <c r="D189" s="14">
        <f t="array" ref="D189">IF(OR(H189="",H189="Selecciona.."),"",XLOOKUP(H189,Propiedades!B:B,Propiedades!A:A,"",0,1))</f>
        <v>8</v>
      </c>
      <c r="E189" s="14">
        <f t="shared" si="2"/>
        <v>0</v>
      </c>
      <c r="F189" s="14" t="str">
        <f t="shared" si="3"/>
        <v>86-8-Exa</v>
      </c>
      <c r="G189" s="13" t="s">
        <v>112</v>
      </c>
      <c r="H189" s="13" t="s">
        <v>119</v>
      </c>
      <c r="I189" s="16" t="s">
        <v>55</v>
      </c>
      <c r="J189" s="16">
        <v>2.0</v>
      </c>
      <c r="K189" s="14" t="str">
        <f t="array" ref="K189">IF(OR(H189="",H189="Selecciona.."),"",XLOOKUP(H189,Propiedades!B:B,Propiedades!C:C,"",0,1))</f>
        <v>unidades</v>
      </c>
    </row>
    <row r="190">
      <c r="A190" s="14">
        <f t="shared" si="1"/>
        <v>189</v>
      </c>
      <c r="B190" s="14">
        <f t="array" ref="B190">IF(OR(G190="",G190="Selecciona.."),"",XLOOKUP(G190,Productos!E:E,Productos!A:A,"",0,1))</f>
        <v>87</v>
      </c>
      <c r="C190" s="14">
        <f t="array" ref="C190">IF(B190="","",SUMIF(Implementos!B:B,XLOOKUP(B190,Productos!A:A,Productos!F:F,"",0,1),Implementos!A:A))</f>
        <v>6</v>
      </c>
      <c r="D190" s="14">
        <f t="array" ref="D190">IF(OR(H190="",H190="Selecciona.."),"",XLOOKUP(H190,Propiedades!B:B,Propiedades!A:A,"",0,1))</f>
        <v>8</v>
      </c>
      <c r="E190" s="14">
        <f t="shared" si="2"/>
        <v>0</v>
      </c>
      <c r="F190" s="14" t="str">
        <f t="shared" si="3"/>
        <v>87-8-Exa</v>
      </c>
      <c r="G190" s="13" t="s">
        <v>113</v>
      </c>
      <c r="H190" s="13" t="s">
        <v>119</v>
      </c>
      <c r="I190" s="16" t="s">
        <v>55</v>
      </c>
      <c r="J190" s="16">
        <v>2.0</v>
      </c>
      <c r="K190" s="14" t="str">
        <f t="array" ref="K190">IF(OR(H190="",H190="Selecciona.."),"",XLOOKUP(H190,Propiedades!B:B,Propiedades!C:C,"",0,1))</f>
        <v>unidades</v>
      </c>
    </row>
    <row r="191">
      <c r="A191" s="14">
        <f t="shared" si="1"/>
        <v>190</v>
      </c>
      <c r="B191" s="14">
        <f t="array" ref="B191">IF(OR(G191="",G191="Selecciona.."),"",XLOOKUP(G191,Productos!E:E,Productos!A:A,"",0,1))</f>
        <v>88</v>
      </c>
      <c r="C191" s="14">
        <f t="array" ref="C191">IF(B191="","",SUMIF(Implementos!B:B,XLOOKUP(B191,Productos!A:A,Productos!F:F,"",0,1),Implementos!A:A))</f>
        <v>6</v>
      </c>
      <c r="D191" s="14">
        <f t="array" ref="D191">IF(OR(H191="",H191="Selecciona.."),"",XLOOKUP(H191,Propiedades!B:B,Propiedades!A:A,"",0,1))</f>
        <v>8</v>
      </c>
      <c r="E191" s="14">
        <f t="shared" si="2"/>
        <v>0</v>
      </c>
      <c r="F191" s="14" t="str">
        <f t="shared" si="3"/>
        <v>88-8-Exa</v>
      </c>
      <c r="G191" s="13" t="s">
        <v>114</v>
      </c>
      <c r="H191" s="13" t="s">
        <v>119</v>
      </c>
      <c r="I191" s="16" t="s">
        <v>55</v>
      </c>
      <c r="J191" s="16">
        <v>2.0</v>
      </c>
      <c r="K191" s="14" t="str">
        <f t="array" ref="K191">IF(OR(H191="",H191="Selecciona.."),"",XLOOKUP(H191,Propiedades!B:B,Propiedades!C:C,"",0,1))</f>
        <v>unidades</v>
      </c>
    </row>
    <row r="192">
      <c r="A192" s="14">
        <f t="shared" si="1"/>
        <v>191</v>
      </c>
      <c r="B192" s="14">
        <f t="array" ref="B192">IF(OR(G192="",G192="Selecciona.."),"",XLOOKUP(G192,Productos!E:E,Productos!A:A,"",0,1))</f>
        <v>89</v>
      </c>
      <c r="C192" s="14">
        <f t="array" ref="C192">IF(B192="","",SUMIF(Implementos!B:B,XLOOKUP(B192,Productos!A:A,Productos!F:F,"",0,1),Implementos!A:A))</f>
        <v>6</v>
      </c>
      <c r="D192" s="14">
        <f t="array" ref="D192">IF(OR(H192="",H192="Selecciona.."),"",XLOOKUP(H192,Propiedades!B:B,Propiedades!A:A,"",0,1))</f>
        <v>8</v>
      </c>
      <c r="E192" s="14">
        <f t="shared" si="2"/>
        <v>0</v>
      </c>
      <c r="F192" s="14" t="str">
        <f t="shared" si="3"/>
        <v>89-8-Exa</v>
      </c>
      <c r="G192" s="13" t="s">
        <v>115</v>
      </c>
      <c r="H192" s="13" t="s">
        <v>119</v>
      </c>
      <c r="I192" s="16" t="s">
        <v>55</v>
      </c>
      <c r="J192" s="16">
        <v>2.0</v>
      </c>
      <c r="K192" s="14" t="str">
        <f t="array" ref="K192">IF(OR(H192="",H192="Selecciona.."),"",XLOOKUP(H192,Propiedades!B:B,Propiedades!C:C,"",0,1))</f>
        <v>unidades</v>
      </c>
    </row>
    <row r="193">
      <c r="A193" s="14">
        <f t="shared" si="1"/>
        <v>192</v>
      </c>
      <c r="B193" s="14">
        <f t="array" ref="B193">IF(OR(G193="",G193="Selecciona.."),"",XLOOKUP(G193,Productos!E:E,Productos!A:A,"",0,1))</f>
        <v>90</v>
      </c>
      <c r="C193" s="14">
        <f t="array" ref="C193">IF(B193="","",SUMIF(Implementos!B:B,XLOOKUP(B193,Productos!A:A,Productos!F:F,"",0,1),Implementos!A:A))</f>
        <v>6</v>
      </c>
      <c r="D193" s="14">
        <f t="array" ref="D193">IF(OR(H193="",H193="Selecciona.."),"",XLOOKUP(H193,Propiedades!B:B,Propiedades!A:A,"",0,1))</f>
        <v>8</v>
      </c>
      <c r="E193" s="14">
        <f t="shared" si="2"/>
        <v>0</v>
      </c>
      <c r="F193" s="14" t="str">
        <f t="shared" si="3"/>
        <v>90-8-Exa</v>
      </c>
      <c r="G193" s="13" t="s">
        <v>116</v>
      </c>
      <c r="H193" s="13" t="s">
        <v>119</v>
      </c>
      <c r="I193" s="16" t="s">
        <v>55</v>
      </c>
      <c r="J193" s="16">
        <v>2.0</v>
      </c>
      <c r="K193" s="14" t="str">
        <f t="array" ref="K193">IF(OR(H193="",H193="Selecciona.."),"",XLOOKUP(H193,Propiedades!B:B,Propiedades!C:C,"",0,1))</f>
        <v>unidades</v>
      </c>
    </row>
    <row r="194">
      <c r="A194" s="14">
        <f t="shared" si="1"/>
        <v>193</v>
      </c>
      <c r="B194" s="14">
        <f t="array" ref="B194">IF(OR(G194="",G194="Selecciona.."),"",XLOOKUP(G194,Productos!E:E,Productos!A:A,"",0,1))</f>
        <v>91</v>
      </c>
      <c r="C194" s="14">
        <f t="array" ref="C194">IF(B194="","",SUMIF(Implementos!B:B,XLOOKUP(B194,Productos!A:A,Productos!F:F,"",0,1),Implementos!A:A))</f>
        <v>6</v>
      </c>
      <c r="D194" s="14">
        <f t="array" ref="D194">IF(OR(H194="",H194="Selecciona.."),"",XLOOKUP(H194,Propiedades!B:B,Propiedades!A:A,"",0,1))</f>
        <v>8</v>
      </c>
      <c r="E194" s="14">
        <f t="shared" si="2"/>
        <v>0</v>
      </c>
      <c r="F194" s="14" t="str">
        <f t="shared" si="3"/>
        <v>91-8-Exa</v>
      </c>
      <c r="G194" s="13" t="s">
        <v>117</v>
      </c>
      <c r="H194" s="13" t="s">
        <v>119</v>
      </c>
      <c r="I194" s="16" t="s">
        <v>55</v>
      </c>
      <c r="J194" s="16">
        <v>2.0</v>
      </c>
      <c r="K194" s="14" t="str">
        <f t="array" ref="K194">IF(OR(H194="",H194="Selecciona.."),"",XLOOKUP(H194,Propiedades!B:B,Propiedades!C:C,"",0,1))</f>
        <v>unidades</v>
      </c>
    </row>
    <row r="195">
      <c r="A195" s="14">
        <f t="shared" si="1"/>
        <v>194</v>
      </c>
      <c r="B195" s="14">
        <f t="array" ref="B195">IF(OR(G195="",G195="Selecciona.."),"",XLOOKUP(G195,Productos!E:E,Productos!A:A,"",0,1))</f>
        <v>72</v>
      </c>
      <c r="C195" s="14">
        <f t="array" ref="C195">IF(B195="","",SUMIF(Implementos!B:B,XLOOKUP(B195,Productos!A:A,Productos!F:F,"",0,1),Implementos!A:A))</f>
        <v>6</v>
      </c>
      <c r="D195" s="14">
        <f t="array" ref="D195">IF(OR(H195="",H195="Selecciona.."),"",XLOOKUP(H195,Propiedades!B:B,Propiedades!A:A,"",0,1))</f>
        <v>1</v>
      </c>
      <c r="E195" s="14">
        <f t="shared" si="2"/>
        <v>1</v>
      </c>
      <c r="F195" s="14" t="str">
        <f t="shared" si="3"/>
        <v>72-1-Min</v>
      </c>
      <c r="G195" s="13" t="s">
        <v>97</v>
      </c>
      <c r="H195" s="13" t="s">
        <v>57</v>
      </c>
      <c r="I195" s="16" t="s">
        <v>22</v>
      </c>
      <c r="J195" s="16">
        <v>2.8</v>
      </c>
      <c r="K195" s="14" t="str">
        <f t="array" ref="K195">IF(OR(H195="",H195="Selecciona.."),"",XLOOKUP(H195,Propiedades!B:B,Propiedades!C:C,"",0,1))</f>
        <v>mts</v>
      </c>
    </row>
    <row r="196">
      <c r="A196" s="14">
        <f t="shared" si="1"/>
        <v>195</v>
      </c>
      <c r="B196" s="14">
        <f t="array" ref="B196">IF(OR(G196="",G196="Selecciona.."),"",XLOOKUP(G196,Productos!E:E,Productos!A:A,"",0,1))</f>
        <v>73</v>
      </c>
      <c r="C196" s="14">
        <f t="array" ref="C196">IF(B196="","",SUMIF(Implementos!B:B,XLOOKUP(B196,Productos!A:A,Productos!F:F,"",0,1),Implementos!A:A))</f>
        <v>6</v>
      </c>
      <c r="D196" s="14">
        <f t="array" ref="D196">IF(OR(H196="",H196="Selecciona.."),"",XLOOKUP(H196,Propiedades!B:B,Propiedades!A:A,"",0,1))</f>
        <v>1</v>
      </c>
      <c r="E196" s="14">
        <f t="shared" si="2"/>
        <v>1</v>
      </c>
      <c r="F196" s="14" t="str">
        <f t="shared" si="3"/>
        <v>73-1-Min</v>
      </c>
      <c r="G196" s="13" t="s">
        <v>99</v>
      </c>
      <c r="H196" s="13" t="s">
        <v>57</v>
      </c>
      <c r="I196" s="16" t="s">
        <v>22</v>
      </c>
      <c r="J196" s="16">
        <v>3.55</v>
      </c>
      <c r="K196" s="14" t="str">
        <f t="array" ref="K196">IF(OR(H196="",H196="Selecciona.."),"",XLOOKUP(H196,Propiedades!B:B,Propiedades!C:C,"",0,1))</f>
        <v>mts</v>
      </c>
    </row>
    <row r="197">
      <c r="A197" s="14">
        <f t="shared" si="1"/>
        <v>196</v>
      </c>
      <c r="B197" s="14">
        <f t="array" ref="B197">IF(OR(G197="",G197="Selecciona.."),"",XLOOKUP(G197,Productos!E:E,Productos!A:A,"",0,1))</f>
        <v>74</v>
      </c>
      <c r="C197" s="14">
        <f t="array" ref="C197">IF(B197="","",SUMIF(Implementos!B:B,XLOOKUP(B197,Productos!A:A,Productos!F:F,"",0,1),Implementos!A:A))</f>
        <v>6</v>
      </c>
      <c r="D197" s="14">
        <f t="array" ref="D197">IF(OR(H197="",H197="Selecciona.."),"",XLOOKUP(H197,Propiedades!B:B,Propiedades!A:A,"",0,1))</f>
        <v>1</v>
      </c>
      <c r="E197" s="14">
        <f t="shared" si="2"/>
        <v>1</v>
      </c>
      <c r="F197" s="14" t="str">
        <f t="shared" si="3"/>
        <v>74-1-Min</v>
      </c>
      <c r="G197" s="13" t="s">
        <v>100</v>
      </c>
      <c r="H197" s="13" t="s">
        <v>57</v>
      </c>
      <c r="I197" s="16" t="s">
        <v>22</v>
      </c>
      <c r="J197" s="16">
        <v>3.8</v>
      </c>
      <c r="K197" s="14" t="str">
        <f t="array" ref="K197">IF(OR(H197="",H197="Selecciona.."),"",XLOOKUP(H197,Propiedades!B:B,Propiedades!C:C,"",0,1))</f>
        <v>mts</v>
      </c>
    </row>
    <row r="198">
      <c r="A198" s="14">
        <f t="shared" si="1"/>
        <v>197</v>
      </c>
      <c r="B198" s="14">
        <f t="array" ref="B198">IF(OR(G198="",G198="Selecciona.."),"",XLOOKUP(G198,Productos!E:E,Productos!A:A,"",0,1))</f>
        <v>75</v>
      </c>
      <c r="C198" s="14">
        <f t="array" ref="C198">IF(B198="","",SUMIF(Implementos!B:B,XLOOKUP(B198,Productos!A:A,Productos!F:F,"",0,1),Implementos!A:A))</f>
        <v>6</v>
      </c>
      <c r="D198" s="14">
        <f t="array" ref="D198">IF(OR(H198="",H198="Selecciona.."),"",XLOOKUP(H198,Propiedades!B:B,Propiedades!A:A,"",0,1))</f>
        <v>1</v>
      </c>
      <c r="E198" s="14">
        <f t="shared" si="2"/>
        <v>1</v>
      </c>
      <c r="F198" s="14" t="str">
        <f t="shared" si="3"/>
        <v>75-1-Min</v>
      </c>
      <c r="G198" s="13" t="s">
        <v>101</v>
      </c>
      <c r="H198" s="13" t="s">
        <v>57</v>
      </c>
      <c r="I198" s="16" t="s">
        <v>22</v>
      </c>
      <c r="J198" s="16">
        <v>3.8</v>
      </c>
      <c r="K198" s="14" t="str">
        <f t="array" ref="K198">IF(OR(H198="",H198="Selecciona.."),"",XLOOKUP(H198,Propiedades!B:B,Propiedades!C:C,"",0,1))</f>
        <v>mts</v>
      </c>
    </row>
    <row r="199">
      <c r="A199" s="14">
        <f t="shared" si="1"/>
        <v>198</v>
      </c>
      <c r="B199" s="14">
        <f t="array" ref="B199">IF(OR(G199="",G199="Selecciona.."),"",XLOOKUP(G199,Productos!E:E,Productos!A:A,"",0,1))</f>
        <v>76</v>
      </c>
      <c r="C199" s="14">
        <f t="array" ref="C199">IF(B199="","",SUMIF(Implementos!B:B,XLOOKUP(B199,Productos!A:A,Productos!F:F,"",0,1),Implementos!A:A))</f>
        <v>6</v>
      </c>
      <c r="D199" s="14">
        <f t="array" ref="D199">IF(OR(H199="",H199="Selecciona.."),"",XLOOKUP(H199,Propiedades!B:B,Propiedades!A:A,"",0,1))</f>
        <v>1</v>
      </c>
      <c r="E199" s="14">
        <f t="shared" si="2"/>
        <v>1</v>
      </c>
      <c r="F199" s="14" t="str">
        <f t="shared" si="3"/>
        <v>76-1-Min</v>
      </c>
      <c r="G199" s="13" t="s">
        <v>102</v>
      </c>
      <c r="H199" s="13" t="s">
        <v>57</v>
      </c>
      <c r="I199" s="16" t="s">
        <v>22</v>
      </c>
      <c r="J199" s="16">
        <v>4.55</v>
      </c>
      <c r="K199" s="14" t="str">
        <f t="array" ref="K199">IF(OR(H199="",H199="Selecciona.."),"",XLOOKUP(H199,Propiedades!B:B,Propiedades!C:C,"",0,1))</f>
        <v>mts</v>
      </c>
    </row>
    <row r="200">
      <c r="A200" s="14">
        <f t="shared" si="1"/>
        <v>199</v>
      </c>
      <c r="B200" s="14">
        <f t="array" ref="B200">IF(OR(G200="",G200="Selecciona.."),"",XLOOKUP(G200,Productos!E:E,Productos!A:A,"",0,1))</f>
        <v>77</v>
      </c>
      <c r="C200" s="14">
        <f t="array" ref="C200">IF(B200="","",SUMIF(Implementos!B:B,XLOOKUP(B200,Productos!A:A,Productos!F:F,"",0,1),Implementos!A:A))</f>
        <v>6</v>
      </c>
      <c r="D200" s="14">
        <f t="array" ref="D200">IF(OR(H200="",H200="Selecciona.."),"",XLOOKUP(H200,Propiedades!B:B,Propiedades!A:A,"",0,1))</f>
        <v>1</v>
      </c>
      <c r="E200" s="14">
        <f t="shared" si="2"/>
        <v>1</v>
      </c>
      <c r="F200" s="14" t="str">
        <f t="shared" si="3"/>
        <v>77-1-Min</v>
      </c>
      <c r="G200" s="13" t="s">
        <v>103</v>
      </c>
      <c r="H200" s="13" t="s">
        <v>57</v>
      </c>
      <c r="I200" s="16" t="s">
        <v>22</v>
      </c>
      <c r="J200" s="16">
        <v>4.55</v>
      </c>
      <c r="K200" s="14" t="str">
        <f t="array" ref="K200">IF(OR(H200="",H200="Selecciona.."),"",XLOOKUP(H200,Propiedades!B:B,Propiedades!C:C,"",0,1))</f>
        <v>mts</v>
      </c>
    </row>
    <row r="201">
      <c r="A201" s="14">
        <f t="shared" si="1"/>
        <v>200</v>
      </c>
      <c r="B201" s="14">
        <f t="array" ref="B201">IF(OR(G201="",G201="Selecciona.."),"",XLOOKUP(G201,Productos!E:E,Productos!A:A,"",0,1))</f>
        <v>78</v>
      </c>
      <c r="C201" s="14">
        <f t="array" ref="C201">IF(B201="","",SUMIF(Implementos!B:B,XLOOKUP(B201,Productos!A:A,Productos!F:F,"",0,1),Implementos!A:A))</f>
        <v>6</v>
      </c>
      <c r="D201" s="14">
        <f t="array" ref="D201">IF(OR(H201="",H201="Selecciona.."),"",XLOOKUP(H201,Propiedades!B:B,Propiedades!A:A,"",0,1))</f>
        <v>1</v>
      </c>
      <c r="E201" s="14">
        <f t="shared" si="2"/>
        <v>1</v>
      </c>
      <c r="F201" s="14" t="str">
        <f t="shared" si="3"/>
        <v>78-1-Min</v>
      </c>
      <c r="G201" s="13" t="s">
        <v>104</v>
      </c>
      <c r="H201" s="13" t="s">
        <v>57</v>
      </c>
      <c r="I201" s="16" t="s">
        <v>22</v>
      </c>
      <c r="J201" s="16">
        <v>4.55</v>
      </c>
      <c r="K201" s="14" t="str">
        <f t="array" ref="K201">IF(OR(H201="",H201="Selecciona.."),"",XLOOKUP(H201,Propiedades!B:B,Propiedades!C:C,"",0,1))</f>
        <v>mts</v>
      </c>
    </row>
    <row r="202">
      <c r="A202" s="14">
        <f t="shared" si="1"/>
        <v>201</v>
      </c>
      <c r="B202" s="14">
        <f t="array" ref="B202">IF(OR(G202="",G202="Selecciona.."),"",XLOOKUP(G202,Productos!E:E,Productos!A:A,"",0,1))</f>
        <v>79</v>
      </c>
      <c r="C202" s="14">
        <f t="array" ref="C202">IF(B202="","",SUMIF(Implementos!B:B,XLOOKUP(B202,Productos!A:A,Productos!F:F,"",0,1),Implementos!A:A))</f>
        <v>6</v>
      </c>
      <c r="D202" s="14">
        <f t="array" ref="D202">IF(OR(H202="",H202="Selecciona.."),"",XLOOKUP(H202,Propiedades!B:B,Propiedades!A:A,"",0,1))</f>
        <v>1</v>
      </c>
      <c r="E202" s="14">
        <f t="shared" si="2"/>
        <v>1</v>
      </c>
      <c r="F202" s="14" t="str">
        <f t="shared" si="3"/>
        <v>79-1-Min</v>
      </c>
      <c r="G202" s="13" t="s">
        <v>105</v>
      </c>
      <c r="H202" s="13" t="s">
        <v>57</v>
      </c>
      <c r="I202" s="16" t="s">
        <v>22</v>
      </c>
      <c r="J202" s="16">
        <v>4.8</v>
      </c>
      <c r="K202" s="14" t="str">
        <f t="array" ref="K202">IF(OR(H202="",H202="Selecciona.."),"",XLOOKUP(H202,Propiedades!B:B,Propiedades!C:C,"",0,1))</f>
        <v>mts</v>
      </c>
    </row>
    <row r="203">
      <c r="A203" s="14">
        <f t="shared" si="1"/>
        <v>202</v>
      </c>
      <c r="B203" s="14">
        <f t="array" ref="B203">IF(OR(G203="",G203="Selecciona.."),"",XLOOKUP(G203,Productos!E:E,Productos!A:A,"",0,1))</f>
        <v>80</v>
      </c>
      <c r="C203" s="14">
        <f t="array" ref="C203">IF(B203="","",SUMIF(Implementos!B:B,XLOOKUP(B203,Productos!A:A,Productos!F:F,"",0,1),Implementos!A:A))</f>
        <v>6</v>
      </c>
      <c r="D203" s="14">
        <f t="array" ref="D203">IF(OR(H203="",H203="Selecciona.."),"",XLOOKUP(H203,Propiedades!B:B,Propiedades!A:A,"",0,1))</f>
        <v>1</v>
      </c>
      <c r="E203" s="14">
        <f t="shared" si="2"/>
        <v>1</v>
      </c>
      <c r="F203" s="14" t="str">
        <f t="shared" si="3"/>
        <v>80-1-Min</v>
      </c>
      <c r="G203" s="13" t="s">
        <v>106</v>
      </c>
      <c r="H203" s="13" t="s">
        <v>57</v>
      </c>
      <c r="I203" s="16" t="s">
        <v>22</v>
      </c>
      <c r="J203" s="16">
        <v>5.55</v>
      </c>
      <c r="K203" s="14" t="str">
        <f t="array" ref="K203">IF(OR(H203="",H203="Selecciona.."),"",XLOOKUP(H203,Propiedades!B:B,Propiedades!C:C,"",0,1))</f>
        <v>mts</v>
      </c>
    </row>
    <row r="204">
      <c r="A204" s="14">
        <f t="shared" si="1"/>
        <v>203</v>
      </c>
      <c r="B204" s="14">
        <f t="array" ref="B204">IF(OR(G204="",G204="Selecciona.."),"",XLOOKUP(G204,Productos!E:E,Productos!A:A,"",0,1))</f>
        <v>81</v>
      </c>
      <c r="C204" s="14">
        <f t="array" ref="C204">IF(B204="","",SUMIF(Implementos!B:B,XLOOKUP(B204,Productos!A:A,Productos!F:F,"",0,1),Implementos!A:A))</f>
        <v>6</v>
      </c>
      <c r="D204" s="14">
        <f t="array" ref="D204">IF(OR(H204="",H204="Selecciona.."),"",XLOOKUP(H204,Propiedades!B:B,Propiedades!A:A,"",0,1))</f>
        <v>1</v>
      </c>
      <c r="E204" s="14">
        <f t="shared" si="2"/>
        <v>1</v>
      </c>
      <c r="F204" s="14" t="str">
        <f t="shared" si="3"/>
        <v>81-1-Min</v>
      </c>
      <c r="G204" s="13" t="s">
        <v>107</v>
      </c>
      <c r="H204" s="13" t="s">
        <v>57</v>
      </c>
      <c r="I204" s="16" t="s">
        <v>22</v>
      </c>
      <c r="J204" s="16">
        <v>6.2</v>
      </c>
      <c r="K204" s="14" t="str">
        <f t="array" ref="K204">IF(OR(H204="",H204="Selecciona.."),"",XLOOKUP(H204,Propiedades!B:B,Propiedades!C:C,"",0,1))</f>
        <v>mts</v>
      </c>
    </row>
    <row r="205">
      <c r="A205" s="14">
        <f t="shared" si="1"/>
        <v>204</v>
      </c>
      <c r="B205" s="14">
        <f t="array" ref="B205">IF(OR(G205="",G205="Selecciona.."),"",XLOOKUP(G205,Productos!E:E,Productos!A:A,"",0,1))</f>
        <v>82</v>
      </c>
      <c r="C205" s="14">
        <f t="array" ref="C205">IF(B205="","",SUMIF(Implementos!B:B,XLOOKUP(B205,Productos!A:A,Productos!F:F,"",0,1),Implementos!A:A))</f>
        <v>6</v>
      </c>
      <c r="D205" s="14">
        <f t="array" ref="D205">IF(OR(H205="",H205="Selecciona.."),"",XLOOKUP(H205,Propiedades!B:B,Propiedades!A:A,"",0,1))</f>
        <v>1</v>
      </c>
      <c r="E205" s="14">
        <f t="shared" si="2"/>
        <v>1</v>
      </c>
      <c r="F205" s="14" t="str">
        <f t="shared" si="3"/>
        <v>82-1-Min</v>
      </c>
      <c r="G205" s="13" t="s">
        <v>108</v>
      </c>
      <c r="H205" s="13" t="s">
        <v>57</v>
      </c>
      <c r="I205" s="16" t="s">
        <v>22</v>
      </c>
      <c r="J205" s="16">
        <v>4.3</v>
      </c>
      <c r="K205" s="14" t="str">
        <f t="array" ref="K205">IF(OR(H205="",H205="Selecciona.."),"",XLOOKUP(H205,Propiedades!B:B,Propiedades!C:C,"",0,1))</f>
        <v>mts</v>
      </c>
    </row>
    <row r="206">
      <c r="A206" s="14">
        <f t="shared" si="1"/>
        <v>205</v>
      </c>
      <c r="B206" s="14">
        <f t="array" ref="B206">IF(OR(G206="",G206="Selecciona.."),"",XLOOKUP(G206,Productos!E:E,Productos!A:A,"",0,1))</f>
        <v>83</v>
      </c>
      <c r="C206" s="14">
        <f t="array" ref="C206">IF(B206="","",SUMIF(Implementos!B:B,XLOOKUP(B206,Productos!A:A,Productos!F:F,"",0,1),Implementos!A:A))</f>
        <v>6</v>
      </c>
      <c r="D206" s="14">
        <f t="array" ref="D206">IF(OR(H206="",H206="Selecciona.."),"",XLOOKUP(H206,Propiedades!B:B,Propiedades!A:A,"",0,1))</f>
        <v>1</v>
      </c>
      <c r="E206" s="14">
        <f t="shared" si="2"/>
        <v>1</v>
      </c>
      <c r="F206" s="14" t="str">
        <f t="shared" si="3"/>
        <v>83-1-Min</v>
      </c>
      <c r="G206" s="13" t="s">
        <v>109</v>
      </c>
      <c r="H206" s="13" t="s">
        <v>57</v>
      </c>
      <c r="I206" s="16" t="s">
        <v>22</v>
      </c>
      <c r="J206" s="16">
        <v>1.45</v>
      </c>
      <c r="K206" s="14" t="str">
        <f t="array" ref="K206">IF(OR(H206="",H206="Selecciona.."),"",XLOOKUP(H206,Propiedades!B:B,Propiedades!C:C,"",0,1))</f>
        <v>mts</v>
      </c>
    </row>
    <row r="207">
      <c r="A207" s="14">
        <f t="shared" si="1"/>
        <v>206</v>
      </c>
      <c r="B207" s="14">
        <f t="array" ref="B207">IF(OR(G207="",G207="Selecciona.."),"",XLOOKUP(G207,Productos!E:E,Productos!A:A,"",0,1))</f>
        <v>84</v>
      </c>
      <c r="C207" s="14">
        <f t="array" ref="C207">IF(B207="","",SUMIF(Implementos!B:B,XLOOKUP(B207,Productos!A:A,Productos!F:F,"",0,1),Implementos!A:A))</f>
        <v>6</v>
      </c>
      <c r="D207" s="14">
        <f t="array" ref="D207">IF(OR(H207="",H207="Selecciona.."),"",XLOOKUP(H207,Propiedades!B:B,Propiedades!A:A,"",0,1))</f>
        <v>1</v>
      </c>
      <c r="E207" s="14">
        <f t="shared" si="2"/>
        <v>1</v>
      </c>
      <c r="F207" s="14" t="str">
        <f t="shared" si="3"/>
        <v>84-1-Min</v>
      </c>
      <c r="G207" s="13" t="s">
        <v>110</v>
      </c>
      <c r="H207" s="13" t="s">
        <v>57</v>
      </c>
      <c r="I207" s="16" t="s">
        <v>22</v>
      </c>
      <c r="J207" s="16">
        <v>1.75</v>
      </c>
      <c r="K207" s="14" t="str">
        <f t="array" ref="K207">IF(OR(H207="",H207="Selecciona.."),"",XLOOKUP(H207,Propiedades!B:B,Propiedades!C:C,"",0,1))</f>
        <v>mts</v>
      </c>
    </row>
    <row r="208">
      <c r="A208" s="14">
        <f t="shared" si="1"/>
        <v>207</v>
      </c>
      <c r="B208" s="14">
        <f t="array" ref="B208">IF(OR(G208="",G208="Selecciona.."),"",XLOOKUP(G208,Productos!E:E,Productos!A:A,"",0,1))</f>
        <v>85</v>
      </c>
      <c r="C208" s="14">
        <f t="array" ref="C208">IF(B208="","",SUMIF(Implementos!B:B,XLOOKUP(B208,Productos!A:A,Productos!F:F,"",0,1),Implementos!A:A))</f>
        <v>6</v>
      </c>
      <c r="D208" s="14">
        <f t="array" ref="D208">IF(OR(H208="",H208="Selecciona.."),"",XLOOKUP(H208,Propiedades!B:B,Propiedades!A:A,"",0,1))</f>
        <v>1</v>
      </c>
      <c r="E208" s="14">
        <f t="shared" si="2"/>
        <v>1</v>
      </c>
      <c r="F208" s="14" t="str">
        <f t="shared" si="3"/>
        <v>85-1-Min</v>
      </c>
      <c r="G208" s="13" t="s">
        <v>111</v>
      </c>
      <c r="H208" s="13" t="s">
        <v>57</v>
      </c>
      <c r="I208" s="16" t="s">
        <v>22</v>
      </c>
      <c r="J208" s="16">
        <v>1.25</v>
      </c>
      <c r="K208" s="14" t="str">
        <f t="array" ref="K208">IF(OR(H208="",H208="Selecciona.."),"",XLOOKUP(H208,Propiedades!B:B,Propiedades!C:C,"",0,1))</f>
        <v>mts</v>
      </c>
    </row>
    <row r="209">
      <c r="A209" s="14">
        <f t="shared" si="1"/>
        <v>208</v>
      </c>
      <c r="B209" s="14">
        <f t="array" ref="B209">IF(OR(G209="",G209="Selecciona.."),"",XLOOKUP(G209,Productos!E:E,Productos!A:A,"",0,1))</f>
        <v>86</v>
      </c>
      <c r="C209" s="14">
        <f t="array" ref="C209">IF(B209="","",SUMIF(Implementos!B:B,XLOOKUP(B209,Productos!A:A,Productos!F:F,"",0,1),Implementos!A:A))</f>
        <v>6</v>
      </c>
      <c r="D209" s="14">
        <f t="array" ref="D209">IF(OR(H209="",H209="Selecciona.."),"",XLOOKUP(H209,Propiedades!B:B,Propiedades!A:A,"",0,1))</f>
        <v>1</v>
      </c>
      <c r="E209" s="14">
        <f t="shared" si="2"/>
        <v>1</v>
      </c>
      <c r="F209" s="14" t="str">
        <f t="shared" si="3"/>
        <v>86-1-Min</v>
      </c>
      <c r="G209" s="13" t="s">
        <v>112</v>
      </c>
      <c r="H209" s="13" t="s">
        <v>57</v>
      </c>
      <c r="I209" s="16" t="s">
        <v>22</v>
      </c>
      <c r="J209" s="16">
        <v>2.8</v>
      </c>
      <c r="K209" s="14" t="str">
        <f t="array" ref="K209">IF(OR(H209="",H209="Selecciona.."),"",XLOOKUP(H209,Propiedades!B:B,Propiedades!C:C,"",0,1))</f>
        <v>mts</v>
      </c>
    </row>
    <row r="210">
      <c r="A210" s="14">
        <f t="shared" si="1"/>
        <v>209</v>
      </c>
      <c r="B210" s="14">
        <f t="array" ref="B210">IF(OR(G210="",G210="Selecciona.."),"",XLOOKUP(G210,Productos!E:E,Productos!A:A,"",0,1))</f>
        <v>87</v>
      </c>
      <c r="C210" s="14">
        <f t="array" ref="C210">IF(B210="","",SUMIF(Implementos!B:B,XLOOKUP(B210,Productos!A:A,Productos!F:F,"",0,1),Implementos!A:A))</f>
        <v>6</v>
      </c>
      <c r="D210" s="14">
        <f t="array" ref="D210">IF(OR(H210="",H210="Selecciona.."),"",XLOOKUP(H210,Propiedades!B:B,Propiedades!A:A,"",0,1))</f>
        <v>1</v>
      </c>
      <c r="E210" s="14">
        <f t="shared" si="2"/>
        <v>1</v>
      </c>
      <c r="F210" s="14" t="str">
        <f t="shared" si="3"/>
        <v>87-1-Min</v>
      </c>
      <c r="G210" s="13" t="s">
        <v>113</v>
      </c>
      <c r="H210" s="13" t="s">
        <v>57</v>
      </c>
      <c r="I210" s="16" t="s">
        <v>22</v>
      </c>
      <c r="J210" s="16">
        <v>2.8</v>
      </c>
      <c r="K210" s="14" t="str">
        <f t="array" ref="K210">IF(OR(H210="",H210="Selecciona.."),"",XLOOKUP(H210,Propiedades!B:B,Propiedades!C:C,"",0,1))</f>
        <v>mts</v>
      </c>
    </row>
    <row r="211">
      <c r="A211" s="14">
        <f t="shared" si="1"/>
        <v>210</v>
      </c>
      <c r="B211" s="14">
        <f t="array" ref="B211">IF(OR(G211="",G211="Selecciona.."),"",XLOOKUP(G211,Productos!E:E,Productos!A:A,"",0,1))</f>
        <v>88</v>
      </c>
      <c r="C211" s="14">
        <f t="array" ref="C211">IF(B211="","",SUMIF(Implementos!B:B,XLOOKUP(B211,Productos!A:A,Productos!F:F,"",0,1),Implementos!A:A))</f>
        <v>6</v>
      </c>
      <c r="D211" s="14">
        <f t="array" ref="D211">IF(OR(H211="",H211="Selecciona.."),"",XLOOKUP(H211,Propiedades!B:B,Propiedades!A:A,"",0,1))</f>
        <v>1</v>
      </c>
      <c r="E211" s="14">
        <f t="shared" si="2"/>
        <v>1</v>
      </c>
      <c r="F211" s="14" t="str">
        <f t="shared" si="3"/>
        <v>88-1-Min</v>
      </c>
      <c r="G211" s="13" t="s">
        <v>114</v>
      </c>
      <c r="H211" s="13" t="s">
        <v>57</v>
      </c>
      <c r="I211" s="16" t="s">
        <v>22</v>
      </c>
      <c r="J211" s="16">
        <v>1.8</v>
      </c>
      <c r="K211" s="14" t="str">
        <f t="array" ref="K211">IF(OR(H211="",H211="Selecciona.."),"",XLOOKUP(H211,Propiedades!B:B,Propiedades!C:C,"",0,1))</f>
        <v>mts</v>
      </c>
    </row>
    <row r="212">
      <c r="A212" s="14">
        <f t="shared" si="1"/>
        <v>211</v>
      </c>
      <c r="B212" s="14">
        <f t="array" ref="B212">IF(OR(G212="",G212="Selecciona.."),"",XLOOKUP(G212,Productos!E:E,Productos!A:A,"",0,1))</f>
        <v>89</v>
      </c>
      <c r="C212" s="14">
        <f t="array" ref="C212">IF(B212="","",SUMIF(Implementos!B:B,XLOOKUP(B212,Productos!A:A,Productos!F:F,"",0,1),Implementos!A:A))</f>
        <v>6</v>
      </c>
      <c r="D212" s="14">
        <f t="array" ref="D212">IF(OR(H212="",H212="Selecciona.."),"",XLOOKUP(H212,Propiedades!B:B,Propiedades!A:A,"",0,1))</f>
        <v>1</v>
      </c>
      <c r="E212" s="14">
        <f t="shared" si="2"/>
        <v>1</v>
      </c>
      <c r="F212" s="14" t="str">
        <f t="shared" si="3"/>
        <v>89-1-Min</v>
      </c>
      <c r="G212" s="13" t="s">
        <v>115</v>
      </c>
      <c r="H212" s="13" t="s">
        <v>57</v>
      </c>
      <c r="I212" s="16" t="s">
        <v>22</v>
      </c>
      <c r="J212" s="16">
        <v>3.1</v>
      </c>
      <c r="K212" s="14" t="str">
        <f t="array" ref="K212">IF(OR(H212="",H212="Selecciona.."),"",XLOOKUP(H212,Propiedades!B:B,Propiedades!C:C,"",0,1))</f>
        <v>mts</v>
      </c>
    </row>
    <row r="213">
      <c r="A213" s="14">
        <f t="shared" si="1"/>
        <v>212</v>
      </c>
      <c r="B213" s="14">
        <f t="array" ref="B213">IF(OR(G213="",G213="Selecciona.."),"",XLOOKUP(G213,Productos!E:E,Productos!A:A,"",0,1))</f>
        <v>90</v>
      </c>
      <c r="C213" s="14">
        <f t="array" ref="C213">IF(B213="","",SUMIF(Implementos!B:B,XLOOKUP(B213,Productos!A:A,Productos!F:F,"",0,1),Implementos!A:A))</f>
        <v>6</v>
      </c>
      <c r="D213" s="14">
        <f t="array" ref="D213">IF(OR(H213="",H213="Selecciona.."),"",XLOOKUP(H213,Propiedades!B:B,Propiedades!A:A,"",0,1))</f>
        <v>1</v>
      </c>
      <c r="E213" s="14">
        <f t="shared" si="2"/>
        <v>1</v>
      </c>
      <c r="F213" s="14" t="str">
        <f t="shared" si="3"/>
        <v>90-1-Min</v>
      </c>
      <c r="G213" s="13" t="s">
        <v>116</v>
      </c>
      <c r="H213" s="13" t="s">
        <v>57</v>
      </c>
      <c r="I213" s="16" t="s">
        <v>22</v>
      </c>
      <c r="J213" s="16">
        <v>3.1</v>
      </c>
      <c r="K213" s="14" t="str">
        <f t="array" ref="K213">IF(OR(H213="",H213="Selecciona.."),"",XLOOKUP(H213,Propiedades!B:B,Propiedades!C:C,"",0,1))</f>
        <v>mts</v>
      </c>
    </row>
    <row r="214">
      <c r="A214" s="14">
        <f t="shared" si="1"/>
        <v>213</v>
      </c>
      <c r="B214" s="14">
        <f t="array" ref="B214">IF(OR(G214="",G214="Selecciona.."),"",XLOOKUP(G214,Productos!E:E,Productos!A:A,"",0,1))</f>
        <v>91</v>
      </c>
      <c r="C214" s="14">
        <f t="array" ref="C214">IF(B214="","",SUMIF(Implementos!B:B,XLOOKUP(B214,Productos!A:A,Productos!F:F,"",0,1),Implementos!A:A))</f>
        <v>6</v>
      </c>
      <c r="D214" s="14">
        <f t="array" ref="D214">IF(OR(H214="",H214="Selecciona.."),"",XLOOKUP(H214,Propiedades!B:B,Propiedades!A:A,"",0,1))</f>
        <v>1</v>
      </c>
      <c r="E214" s="14">
        <f t="shared" si="2"/>
        <v>1</v>
      </c>
      <c r="F214" s="14" t="str">
        <f t="shared" si="3"/>
        <v>91-1-Min</v>
      </c>
      <c r="G214" s="13" t="s">
        <v>117</v>
      </c>
      <c r="H214" s="13" t="s">
        <v>57</v>
      </c>
      <c r="I214" s="16" t="s">
        <v>22</v>
      </c>
      <c r="J214" s="16">
        <v>3.1</v>
      </c>
      <c r="K214" s="14" t="str">
        <f t="array" ref="K214">IF(OR(H214="",H214="Selecciona.."),"",XLOOKUP(H214,Propiedades!B:B,Propiedades!C:C,"",0,1))</f>
        <v>mts</v>
      </c>
    </row>
    <row r="215">
      <c r="A215" s="14">
        <f t="shared" si="1"/>
        <v>214</v>
      </c>
      <c r="B215" s="14">
        <f t="array" ref="B215">IF(OR(G215="",G215="Selecciona.."),"",XLOOKUP(G215,Productos!E:E,Productos!A:A,"",0,1))</f>
        <v>72</v>
      </c>
      <c r="C215" s="14">
        <f t="array" ref="C215">IF(B215="","",SUMIF(Implementos!B:B,XLOOKUP(B215,Productos!A:A,Productos!F:F,"",0,1),Implementos!A:A))</f>
        <v>6</v>
      </c>
      <c r="D215" s="14">
        <f t="array" ref="D215">IF(OR(H215="",H215="Selecciona.."),"",XLOOKUP(H215,Propiedades!B:B,Propiedades!A:A,"",0,1))</f>
        <v>1</v>
      </c>
      <c r="E215" s="14">
        <f t="shared" si="2"/>
        <v>1</v>
      </c>
      <c r="F215" s="14" t="str">
        <f t="shared" si="3"/>
        <v>72-1-Máx</v>
      </c>
      <c r="G215" s="13" t="s">
        <v>97</v>
      </c>
      <c r="H215" s="13" t="s">
        <v>57</v>
      </c>
      <c r="I215" s="16" t="s">
        <v>23</v>
      </c>
      <c r="J215" s="16">
        <v>3.0</v>
      </c>
      <c r="K215" s="14" t="str">
        <f t="array" ref="K215">IF(OR(H215="",H215="Selecciona.."),"",XLOOKUP(H215,Propiedades!B:B,Propiedades!C:C,"",0,1))</f>
        <v>mts</v>
      </c>
    </row>
    <row r="216">
      <c r="A216" s="14">
        <f t="shared" si="1"/>
        <v>215</v>
      </c>
      <c r="B216" s="14">
        <f t="array" ref="B216">IF(OR(G216="",G216="Selecciona.."),"",XLOOKUP(G216,Productos!E:E,Productos!A:A,"",0,1))</f>
        <v>73</v>
      </c>
      <c r="C216" s="14">
        <f t="array" ref="C216">IF(B216="","",SUMIF(Implementos!B:B,XLOOKUP(B216,Productos!A:A,Productos!F:F,"",0,1),Implementos!A:A))</f>
        <v>6</v>
      </c>
      <c r="D216" s="14">
        <f t="array" ref="D216">IF(OR(H216="",H216="Selecciona.."),"",XLOOKUP(H216,Propiedades!B:B,Propiedades!A:A,"",0,1))</f>
        <v>1</v>
      </c>
      <c r="E216" s="14">
        <f t="shared" si="2"/>
        <v>1</v>
      </c>
      <c r="F216" s="14" t="str">
        <f t="shared" si="3"/>
        <v>73-1-Máx</v>
      </c>
      <c r="G216" s="13" t="s">
        <v>99</v>
      </c>
      <c r="H216" s="13" t="s">
        <v>57</v>
      </c>
      <c r="I216" s="16" t="s">
        <v>23</v>
      </c>
      <c r="J216" s="16">
        <v>3.75</v>
      </c>
      <c r="K216" s="14" t="str">
        <f t="array" ref="K216">IF(OR(H216="",H216="Selecciona.."),"",XLOOKUP(H216,Propiedades!B:B,Propiedades!C:C,"",0,1))</f>
        <v>mts</v>
      </c>
    </row>
    <row r="217">
      <c r="A217" s="14">
        <f t="shared" si="1"/>
        <v>216</v>
      </c>
      <c r="B217" s="14">
        <f t="array" ref="B217">IF(OR(G217="",G217="Selecciona.."),"",XLOOKUP(G217,Productos!E:E,Productos!A:A,"",0,1))</f>
        <v>74</v>
      </c>
      <c r="C217" s="14">
        <f t="array" ref="C217">IF(B217="","",SUMIF(Implementos!B:B,XLOOKUP(B217,Productos!A:A,Productos!F:F,"",0,1),Implementos!A:A))</f>
        <v>6</v>
      </c>
      <c r="D217" s="14">
        <f t="array" ref="D217">IF(OR(H217="",H217="Selecciona.."),"",XLOOKUP(H217,Propiedades!B:B,Propiedades!A:A,"",0,1))</f>
        <v>1</v>
      </c>
      <c r="E217" s="14">
        <f t="shared" si="2"/>
        <v>1</v>
      </c>
      <c r="F217" s="14" t="str">
        <f t="shared" si="3"/>
        <v>74-1-Máx</v>
      </c>
      <c r="G217" s="13" t="s">
        <v>100</v>
      </c>
      <c r="H217" s="13" t="s">
        <v>57</v>
      </c>
      <c r="I217" s="16" t="s">
        <v>23</v>
      </c>
      <c r="J217" s="16">
        <v>4.0</v>
      </c>
      <c r="K217" s="14" t="str">
        <f t="array" ref="K217">IF(OR(H217="",H217="Selecciona.."),"",XLOOKUP(H217,Propiedades!B:B,Propiedades!C:C,"",0,1))</f>
        <v>mts</v>
      </c>
    </row>
    <row r="218">
      <c r="A218" s="14">
        <f t="shared" si="1"/>
        <v>217</v>
      </c>
      <c r="B218" s="14">
        <f t="array" ref="B218">IF(OR(G218="",G218="Selecciona.."),"",XLOOKUP(G218,Productos!E:E,Productos!A:A,"",0,1))</f>
        <v>75</v>
      </c>
      <c r="C218" s="14">
        <f t="array" ref="C218">IF(B218="","",SUMIF(Implementos!B:B,XLOOKUP(B218,Productos!A:A,Productos!F:F,"",0,1),Implementos!A:A))</f>
        <v>6</v>
      </c>
      <c r="D218" s="14">
        <f t="array" ref="D218">IF(OR(H218="",H218="Selecciona.."),"",XLOOKUP(H218,Propiedades!B:B,Propiedades!A:A,"",0,1))</f>
        <v>1</v>
      </c>
      <c r="E218" s="14">
        <f t="shared" si="2"/>
        <v>1</v>
      </c>
      <c r="F218" s="14" t="str">
        <f t="shared" si="3"/>
        <v>75-1-Máx</v>
      </c>
      <c r="G218" s="13" t="s">
        <v>101</v>
      </c>
      <c r="H218" s="13" t="s">
        <v>57</v>
      </c>
      <c r="I218" s="16" t="s">
        <v>23</v>
      </c>
      <c r="J218" s="16">
        <v>4.0</v>
      </c>
      <c r="K218" s="14" t="str">
        <f t="array" ref="K218">IF(OR(H218="",H218="Selecciona.."),"",XLOOKUP(H218,Propiedades!B:B,Propiedades!C:C,"",0,1))</f>
        <v>mts</v>
      </c>
    </row>
    <row r="219">
      <c r="A219" s="14">
        <f t="shared" si="1"/>
        <v>218</v>
      </c>
      <c r="B219" s="14">
        <f t="array" ref="B219">IF(OR(G219="",G219="Selecciona.."),"",XLOOKUP(G219,Productos!E:E,Productos!A:A,"",0,1))</f>
        <v>76</v>
      </c>
      <c r="C219" s="14">
        <f t="array" ref="C219">IF(B219="","",SUMIF(Implementos!B:B,XLOOKUP(B219,Productos!A:A,Productos!F:F,"",0,1),Implementos!A:A))</f>
        <v>6</v>
      </c>
      <c r="D219" s="14">
        <f t="array" ref="D219">IF(OR(H219="",H219="Selecciona.."),"",XLOOKUP(H219,Propiedades!B:B,Propiedades!A:A,"",0,1))</f>
        <v>1</v>
      </c>
      <c r="E219" s="14">
        <f t="shared" si="2"/>
        <v>1</v>
      </c>
      <c r="F219" s="14" t="str">
        <f t="shared" si="3"/>
        <v>76-1-Máx</v>
      </c>
      <c r="G219" s="13" t="s">
        <v>102</v>
      </c>
      <c r="H219" s="13" t="s">
        <v>57</v>
      </c>
      <c r="I219" s="16" t="s">
        <v>23</v>
      </c>
      <c r="J219" s="16">
        <v>4.75</v>
      </c>
      <c r="K219" s="14" t="str">
        <f t="array" ref="K219">IF(OR(H219="",H219="Selecciona.."),"",XLOOKUP(H219,Propiedades!B:B,Propiedades!C:C,"",0,1))</f>
        <v>mts</v>
      </c>
    </row>
    <row r="220">
      <c r="A220" s="14">
        <f t="shared" si="1"/>
        <v>219</v>
      </c>
      <c r="B220" s="14">
        <f t="array" ref="B220">IF(OR(G220="",G220="Selecciona.."),"",XLOOKUP(G220,Productos!E:E,Productos!A:A,"",0,1))</f>
        <v>77</v>
      </c>
      <c r="C220" s="14">
        <f t="array" ref="C220">IF(B220="","",SUMIF(Implementos!B:B,XLOOKUP(B220,Productos!A:A,Productos!F:F,"",0,1),Implementos!A:A))</f>
        <v>6</v>
      </c>
      <c r="D220" s="14">
        <f t="array" ref="D220">IF(OR(H220="",H220="Selecciona.."),"",XLOOKUP(H220,Propiedades!B:B,Propiedades!A:A,"",0,1))</f>
        <v>1</v>
      </c>
      <c r="E220" s="14">
        <f t="shared" si="2"/>
        <v>1</v>
      </c>
      <c r="F220" s="14" t="str">
        <f t="shared" si="3"/>
        <v>77-1-Máx</v>
      </c>
      <c r="G220" s="13" t="s">
        <v>103</v>
      </c>
      <c r="H220" s="13" t="s">
        <v>57</v>
      </c>
      <c r="I220" s="16" t="s">
        <v>23</v>
      </c>
      <c r="J220" s="16">
        <v>4.75</v>
      </c>
      <c r="K220" s="14" t="str">
        <f t="array" ref="K220">IF(OR(H220="",H220="Selecciona.."),"",XLOOKUP(H220,Propiedades!B:B,Propiedades!C:C,"",0,1))</f>
        <v>mts</v>
      </c>
    </row>
    <row r="221">
      <c r="A221" s="14">
        <f t="shared" si="1"/>
        <v>220</v>
      </c>
      <c r="B221" s="14">
        <f t="array" ref="B221">IF(OR(G221="",G221="Selecciona.."),"",XLOOKUP(G221,Productos!E:E,Productos!A:A,"",0,1))</f>
        <v>78</v>
      </c>
      <c r="C221" s="14">
        <f t="array" ref="C221">IF(B221="","",SUMIF(Implementos!B:B,XLOOKUP(B221,Productos!A:A,Productos!F:F,"",0,1),Implementos!A:A))</f>
        <v>6</v>
      </c>
      <c r="D221" s="14">
        <f t="array" ref="D221">IF(OR(H221="",H221="Selecciona.."),"",XLOOKUP(H221,Propiedades!B:B,Propiedades!A:A,"",0,1))</f>
        <v>1</v>
      </c>
      <c r="E221" s="14">
        <f t="shared" si="2"/>
        <v>1</v>
      </c>
      <c r="F221" s="14" t="str">
        <f t="shared" si="3"/>
        <v>78-1-Máx</v>
      </c>
      <c r="G221" s="13" t="s">
        <v>104</v>
      </c>
      <c r="H221" s="13" t="s">
        <v>57</v>
      </c>
      <c r="I221" s="16" t="s">
        <v>23</v>
      </c>
      <c r="J221" s="16">
        <v>4.75</v>
      </c>
      <c r="K221" s="14" t="str">
        <f t="array" ref="K221">IF(OR(H221="",H221="Selecciona.."),"",XLOOKUP(H221,Propiedades!B:B,Propiedades!C:C,"",0,1))</f>
        <v>mts</v>
      </c>
    </row>
    <row r="222">
      <c r="A222" s="14">
        <f t="shared" si="1"/>
        <v>221</v>
      </c>
      <c r="B222" s="14">
        <f t="array" ref="B222">IF(OR(G222="",G222="Selecciona.."),"",XLOOKUP(G222,Productos!E:E,Productos!A:A,"",0,1))</f>
        <v>79</v>
      </c>
      <c r="C222" s="14">
        <f t="array" ref="C222">IF(B222="","",SUMIF(Implementos!B:B,XLOOKUP(B222,Productos!A:A,Productos!F:F,"",0,1),Implementos!A:A))</f>
        <v>6</v>
      </c>
      <c r="D222" s="14">
        <f t="array" ref="D222">IF(OR(H222="",H222="Selecciona.."),"",XLOOKUP(H222,Propiedades!B:B,Propiedades!A:A,"",0,1))</f>
        <v>1</v>
      </c>
      <c r="E222" s="14">
        <f t="shared" si="2"/>
        <v>1</v>
      </c>
      <c r="F222" s="14" t="str">
        <f t="shared" si="3"/>
        <v>79-1-Máx</v>
      </c>
      <c r="G222" s="13" t="s">
        <v>105</v>
      </c>
      <c r="H222" s="13" t="s">
        <v>57</v>
      </c>
      <c r="I222" s="16" t="s">
        <v>23</v>
      </c>
      <c r="J222" s="16">
        <v>5.0</v>
      </c>
      <c r="K222" s="14" t="str">
        <f t="array" ref="K222">IF(OR(H222="",H222="Selecciona.."),"",XLOOKUP(H222,Propiedades!B:B,Propiedades!C:C,"",0,1))</f>
        <v>mts</v>
      </c>
    </row>
    <row r="223">
      <c r="A223" s="14">
        <f t="shared" si="1"/>
        <v>222</v>
      </c>
      <c r="B223" s="14">
        <f t="array" ref="B223">IF(OR(G223="",G223="Selecciona.."),"",XLOOKUP(G223,Productos!E:E,Productos!A:A,"",0,1))</f>
        <v>80</v>
      </c>
      <c r="C223" s="14">
        <f t="array" ref="C223">IF(B223="","",SUMIF(Implementos!B:B,XLOOKUP(B223,Productos!A:A,Productos!F:F,"",0,1),Implementos!A:A))</f>
        <v>6</v>
      </c>
      <c r="D223" s="14">
        <f t="array" ref="D223">IF(OR(H223="",H223="Selecciona.."),"",XLOOKUP(H223,Propiedades!B:B,Propiedades!A:A,"",0,1))</f>
        <v>1</v>
      </c>
      <c r="E223" s="14">
        <f t="shared" si="2"/>
        <v>1</v>
      </c>
      <c r="F223" s="14" t="str">
        <f t="shared" si="3"/>
        <v>80-1-Máx</v>
      </c>
      <c r="G223" s="13" t="s">
        <v>106</v>
      </c>
      <c r="H223" s="13" t="s">
        <v>57</v>
      </c>
      <c r="I223" s="16" t="s">
        <v>23</v>
      </c>
      <c r="J223" s="16">
        <v>5.75</v>
      </c>
      <c r="K223" s="14" t="str">
        <f t="array" ref="K223">IF(OR(H223="",H223="Selecciona.."),"",XLOOKUP(H223,Propiedades!B:B,Propiedades!C:C,"",0,1))</f>
        <v>mts</v>
      </c>
    </row>
    <row r="224">
      <c r="A224" s="14">
        <f t="shared" si="1"/>
        <v>223</v>
      </c>
      <c r="B224" s="14">
        <f t="array" ref="B224">IF(OR(G224="",G224="Selecciona.."),"",XLOOKUP(G224,Productos!E:E,Productos!A:A,"",0,1))</f>
        <v>81</v>
      </c>
      <c r="C224" s="14">
        <f t="array" ref="C224">IF(B224="","",SUMIF(Implementos!B:B,XLOOKUP(B224,Productos!A:A,Productos!F:F,"",0,1),Implementos!A:A))</f>
        <v>6</v>
      </c>
      <c r="D224" s="14">
        <f t="array" ref="D224">IF(OR(H224="",H224="Selecciona.."),"",XLOOKUP(H224,Propiedades!B:B,Propiedades!A:A,"",0,1))</f>
        <v>1</v>
      </c>
      <c r="E224" s="14">
        <f t="shared" si="2"/>
        <v>1</v>
      </c>
      <c r="F224" s="14" t="str">
        <f t="shared" si="3"/>
        <v>81-1-Máx</v>
      </c>
      <c r="G224" s="13" t="s">
        <v>107</v>
      </c>
      <c r="H224" s="13" t="s">
        <v>57</v>
      </c>
      <c r="I224" s="16" t="s">
        <v>23</v>
      </c>
      <c r="J224" s="16">
        <v>6.4</v>
      </c>
      <c r="K224" s="14" t="str">
        <f t="array" ref="K224">IF(OR(H224="",H224="Selecciona.."),"",XLOOKUP(H224,Propiedades!B:B,Propiedades!C:C,"",0,1))</f>
        <v>mts</v>
      </c>
    </row>
    <row r="225">
      <c r="A225" s="14">
        <f t="shared" si="1"/>
        <v>224</v>
      </c>
      <c r="B225" s="14">
        <f t="array" ref="B225">IF(OR(G225="",G225="Selecciona.."),"",XLOOKUP(G225,Productos!E:E,Productos!A:A,"",0,1))</f>
        <v>82</v>
      </c>
      <c r="C225" s="14">
        <f t="array" ref="C225">IF(B225="","",SUMIF(Implementos!B:B,XLOOKUP(B225,Productos!A:A,Productos!F:F,"",0,1),Implementos!A:A))</f>
        <v>6</v>
      </c>
      <c r="D225" s="14">
        <f t="array" ref="D225">IF(OR(H225="",H225="Selecciona.."),"",XLOOKUP(H225,Propiedades!B:B,Propiedades!A:A,"",0,1))</f>
        <v>1</v>
      </c>
      <c r="E225" s="14">
        <f t="shared" si="2"/>
        <v>1</v>
      </c>
      <c r="F225" s="14" t="str">
        <f t="shared" si="3"/>
        <v>82-1-Máx</v>
      </c>
      <c r="G225" s="13" t="s">
        <v>108</v>
      </c>
      <c r="H225" s="13" t="s">
        <v>57</v>
      </c>
      <c r="I225" s="16" t="s">
        <v>23</v>
      </c>
      <c r="J225" s="16">
        <v>4.5</v>
      </c>
      <c r="K225" s="14" t="str">
        <f t="array" ref="K225">IF(OR(H225="",H225="Selecciona.."),"",XLOOKUP(H225,Propiedades!B:B,Propiedades!C:C,"",0,1))</f>
        <v>mts</v>
      </c>
    </row>
    <row r="226">
      <c r="A226" s="14">
        <f t="shared" si="1"/>
        <v>225</v>
      </c>
      <c r="B226" s="14">
        <f t="array" ref="B226">IF(OR(G226="",G226="Selecciona.."),"",XLOOKUP(G226,Productos!E:E,Productos!A:A,"",0,1))</f>
        <v>83</v>
      </c>
      <c r="C226" s="14">
        <f t="array" ref="C226">IF(B226="","",SUMIF(Implementos!B:B,XLOOKUP(B226,Productos!A:A,Productos!F:F,"",0,1),Implementos!A:A))</f>
        <v>6</v>
      </c>
      <c r="D226" s="14">
        <f t="array" ref="D226">IF(OR(H226="",H226="Selecciona.."),"",XLOOKUP(H226,Propiedades!B:B,Propiedades!A:A,"",0,1))</f>
        <v>1</v>
      </c>
      <c r="E226" s="14">
        <f t="shared" si="2"/>
        <v>1</v>
      </c>
      <c r="F226" s="14" t="str">
        <f t="shared" si="3"/>
        <v>83-1-Máx</v>
      </c>
      <c r="G226" s="13" t="s">
        <v>109</v>
      </c>
      <c r="H226" s="13" t="s">
        <v>57</v>
      </c>
      <c r="I226" s="16" t="s">
        <v>23</v>
      </c>
      <c r="J226" s="16">
        <v>1.5</v>
      </c>
      <c r="K226" s="14" t="str">
        <f t="array" ref="K226">IF(OR(H226="",H226="Selecciona.."),"",XLOOKUP(H226,Propiedades!B:B,Propiedades!C:C,"",0,1))</f>
        <v>mts</v>
      </c>
    </row>
    <row r="227">
      <c r="A227" s="14">
        <f t="shared" si="1"/>
        <v>226</v>
      </c>
      <c r="B227" s="14">
        <f t="array" ref="B227">IF(OR(G227="",G227="Selecciona.."),"",XLOOKUP(G227,Productos!E:E,Productos!A:A,"",0,1))</f>
        <v>84</v>
      </c>
      <c r="C227" s="14">
        <f t="array" ref="C227">IF(B227="","",SUMIF(Implementos!B:B,XLOOKUP(B227,Productos!A:A,Productos!F:F,"",0,1),Implementos!A:A))</f>
        <v>6</v>
      </c>
      <c r="D227" s="14">
        <f t="array" ref="D227">IF(OR(H227="",H227="Selecciona.."),"",XLOOKUP(H227,Propiedades!B:B,Propiedades!A:A,"",0,1))</f>
        <v>1</v>
      </c>
      <c r="E227" s="14">
        <f t="shared" si="2"/>
        <v>1</v>
      </c>
      <c r="F227" s="14" t="str">
        <f t="shared" si="3"/>
        <v>84-1-Máx</v>
      </c>
      <c r="G227" s="13" t="s">
        <v>110</v>
      </c>
      <c r="H227" s="13" t="s">
        <v>57</v>
      </c>
      <c r="I227" s="16" t="s">
        <v>23</v>
      </c>
      <c r="J227" s="16">
        <v>1.8</v>
      </c>
      <c r="K227" s="14" t="str">
        <f t="array" ref="K227">IF(OR(H227="",H227="Selecciona.."),"",XLOOKUP(H227,Propiedades!B:B,Propiedades!C:C,"",0,1))</f>
        <v>mts</v>
      </c>
    </row>
    <row r="228">
      <c r="A228" s="14">
        <f t="shared" si="1"/>
        <v>227</v>
      </c>
      <c r="B228" s="14">
        <f t="array" ref="B228">IF(OR(G228="",G228="Selecciona.."),"",XLOOKUP(G228,Productos!E:E,Productos!A:A,"",0,1))</f>
        <v>85</v>
      </c>
      <c r="C228" s="14">
        <f t="array" ref="C228">IF(B228="","",SUMIF(Implementos!B:B,XLOOKUP(B228,Productos!A:A,Productos!F:F,"",0,1),Implementos!A:A))</f>
        <v>6</v>
      </c>
      <c r="D228" s="14">
        <f t="array" ref="D228">IF(OR(H228="",H228="Selecciona.."),"",XLOOKUP(H228,Propiedades!B:B,Propiedades!A:A,"",0,1))</f>
        <v>1</v>
      </c>
      <c r="E228" s="14">
        <f t="shared" si="2"/>
        <v>1</v>
      </c>
      <c r="F228" s="14" t="str">
        <f t="shared" si="3"/>
        <v>85-1-Máx</v>
      </c>
      <c r="G228" s="13" t="s">
        <v>111</v>
      </c>
      <c r="H228" s="13" t="s">
        <v>57</v>
      </c>
      <c r="I228" s="16" t="s">
        <v>23</v>
      </c>
      <c r="J228" s="16">
        <v>1.4</v>
      </c>
      <c r="K228" s="14" t="str">
        <f t="array" ref="K228">IF(OR(H228="",H228="Selecciona.."),"",XLOOKUP(H228,Propiedades!B:B,Propiedades!C:C,"",0,1))</f>
        <v>mts</v>
      </c>
    </row>
    <row r="229">
      <c r="A229" s="14">
        <f t="shared" si="1"/>
        <v>228</v>
      </c>
      <c r="B229" s="14">
        <f t="array" ref="B229">IF(OR(G229="",G229="Selecciona.."),"",XLOOKUP(G229,Productos!E:E,Productos!A:A,"",0,1))</f>
        <v>86</v>
      </c>
      <c r="C229" s="14">
        <f t="array" ref="C229">IF(B229="","",SUMIF(Implementos!B:B,XLOOKUP(B229,Productos!A:A,Productos!F:F,"",0,1),Implementos!A:A))</f>
        <v>6</v>
      </c>
      <c r="D229" s="14">
        <f t="array" ref="D229">IF(OR(H229="",H229="Selecciona.."),"",XLOOKUP(H229,Propiedades!B:B,Propiedades!A:A,"",0,1))</f>
        <v>1</v>
      </c>
      <c r="E229" s="14">
        <f t="shared" si="2"/>
        <v>1</v>
      </c>
      <c r="F229" s="14" t="str">
        <f t="shared" si="3"/>
        <v>86-1-Máx</v>
      </c>
      <c r="G229" s="13" t="s">
        <v>112</v>
      </c>
      <c r="H229" s="13" t="s">
        <v>57</v>
      </c>
      <c r="I229" s="16" t="s">
        <v>23</v>
      </c>
      <c r="J229" s="16">
        <v>3.0</v>
      </c>
      <c r="K229" s="14" t="str">
        <f t="array" ref="K229">IF(OR(H229="",H229="Selecciona.."),"",XLOOKUP(H229,Propiedades!B:B,Propiedades!C:C,"",0,1))</f>
        <v>mts</v>
      </c>
    </row>
    <row r="230">
      <c r="A230" s="14">
        <f t="shared" si="1"/>
        <v>229</v>
      </c>
      <c r="B230" s="14">
        <f t="array" ref="B230">IF(OR(G230="",G230="Selecciona.."),"",XLOOKUP(G230,Productos!E:E,Productos!A:A,"",0,1))</f>
        <v>87</v>
      </c>
      <c r="C230" s="14">
        <f t="array" ref="C230">IF(B230="","",SUMIF(Implementos!B:B,XLOOKUP(B230,Productos!A:A,Productos!F:F,"",0,1),Implementos!A:A))</f>
        <v>6</v>
      </c>
      <c r="D230" s="14">
        <f t="array" ref="D230">IF(OR(H230="",H230="Selecciona.."),"",XLOOKUP(H230,Propiedades!B:B,Propiedades!A:A,"",0,1))</f>
        <v>1</v>
      </c>
      <c r="E230" s="14">
        <f t="shared" si="2"/>
        <v>1</v>
      </c>
      <c r="F230" s="14" t="str">
        <f t="shared" si="3"/>
        <v>87-1-Máx</v>
      </c>
      <c r="G230" s="13" t="s">
        <v>113</v>
      </c>
      <c r="H230" s="13" t="s">
        <v>57</v>
      </c>
      <c r="I230" s="16" t="s">
        <v>23</v>
      </c>
      <c r="J230" s="16">
        <v>3.0</v>
      </c>
      <c r="K230" s="14" t="str">
        <f t="array" ref="K230">IF(OR(H230="",H230="Selecciona.."),"",XLOOKUP(H230,Propiedades!B:B,Propiedades!C:C,"",0,1))</f>
        <v>mts</v>
      </c>
    </row>
    <row r="231">
      <c r="A231" s="14">
        <f t="shared" si="1"/>
        <v>230</v>
      </c>
      <c r="B231" s="14">
        <f t="array" ref="B231">IF(OR(G231="",G231="Selecciona.."),"",XLOOKUP(G231,Productos!E:E,Productos!A:A,"",0,1))</f>
        <v>88</v>
      </c>
      <c r="C231" s="14">
        <f t="array" ref="C231">IF(B231="","",SUMIF(Implementos!B:B,XLOOKUP(B231,Productos!A:A,Productos!F:F,"",0,1),Implementos!A:A))</f>
        <v>6</v>
      </c>
      <c r="D231" s="14">
        <f t="array" ref="D231">IF(OR(H231="",H231="Selecciona.."),"",XLOOKUP(H231,Propiedades!B:B,Propiedades!A:A,"",0,1))</f>
        <v>1</v>
      </c>
      <c r="E231" s="14">
        <f t="shared" si="2"/>
        <v>1</v>
      </c>
      <c r="F231" s="14" t="str">
        <f t="shared" si="3"/>
        <v>88-1-Máx</v>
      </c>
      <c r="G231" s="13" t="s">
        <v>114</v>
      </c>
      <c r="H231" s="13" t="s">
        <v>57</v>
      </c>
      <c r="I231" s="16" t="s">
        <v>23</v>
      </c>
      <c r="J231" s="16">
        <v>2.0</v>
      </c>
      <c r="K231" s="14" t="str">
        <f t="array" ref="K231">IF(OR(H231="",H231="Selecciona.."),"",XLOOKUP(H231,Propiedades!B:B,Propiedades!C:C,"",0,1))</f>
        <v>mts</v>
      </c>
    </row>
    <row r="232">
      <c r="A232" s="14">
        <f t="shared" si="1"/>
        <v>231</v>
      </c>
      <c r="B232" s="14">
        <f t="array" ref="B232">IF(OR(G232="",G232="Selecciona.."),"",XLOOKUP(G232,Productos!E:E,Productos!A:A,"",0,1))</f>
        <v>89</v>
      </c>
      <c r="C232" s="14">
        <f t="array" ref="C232">IF(B232="","",SUMIF(Implementos!B:B,XLOOKUP(B232,Productos!A:A,Productos!F:F,"",0,1),Implementos!A:A))</f>
        <v>6</v>
      </c>
      <c r="D232" s="14">
        <f t="array" ref="D232">IF(OR(H232="",H232="Selecciona.."),"",XLOOKUP(H232,Propiedades!B:B,Propiedades!A:A,"",0,1))</f>
        <v>1</v>
      </c>
      <c r="E232" s="14">
        <f t="shared" si="2"/>
        <v>1</v>
      </c>
      <c r="F232" s="14" t="str">
        <f t="shared" si="3"/>
        <v>89-1-Máx</v>
      </c>
      <c r="G232" s="13" t="s">
        <v>115</v>
      </c>
      <c r="H232" s="13" t="s">
        <v>57</v>
      </c>
      <c r="I232" s="16" t="s">
        <v>23</v>
      </c>
      <c r="J232" s="16">
        <v>3.2</v>
      </c>
      <c r="K232" s="14" t="str">
        <f t="array" ref="K232">IF(OR(H232="",H232="Selecciona.."),"",XLOOKUP(H232,Propiedades!B:B,Propiedades!C:C,"",0,1))</f>
        <v>mts</v>
      </c>
    </row>
    <row r="233">
      <c r="A233" s="14">
        <f t="shared" si="1"/>
        <v>232</v>
      </c>
      <c r="B233" s="14">
        <f t="array" ref="B233">IF(OR(G233="",G233="Selecciona.."),"",XLOOKUP(G233,Productos!E:E,Productos!A:A,"",0,1))</f>
        <v>90</v>
      </c>
      <c r="C233" s="14">
        <f t="array" ref="C233">IF(B233="","",SUMIF(Implementos!B:B,XLOOKUP(B233,Productos!A:A,Productos!F:F,"",0,1),Implementos!A:A))</f>
        <v>6</v>
      </c>
      <c r="D233" s="14">
        <f t="array" ref="D233">IF(OR(H233="",H233="Selecciona.."),"",XLOOKUP(H233,Propiedades!B:B,Propiedades!A:A,"",0,1))</f>
        <v>1</v>
      </c>
      <c r="E233" s="14">
        <f t="shared" si="2"/>
        <v>1</v>
      </c>
      <c r="F233" s="14" t="str">
        <f t="shared" si="3"/>
        <v>90-1-Máx</v>
      </c>
      <c r="G233" s="13" t="s">
        <v>116</v>
      </c>
      <c r="H233" s="13" t="s">
        <v>57</v>
      </c>
      <c r="I233" s="16" t="s">
        <v>23</v>
      </c>
      <c r="J233" s="16">
        <v>3.2</v>
      </c>
      <c r="K233" s="14" t="str">
        <f t="array" ref="K233">IF(OR(H233="",H233="Selecciona.."),"",XLOOKUP(H233,Propiedades!B:B,Propiedades!C:C,"",0,1))</f>
        <v>mts</v>
      </c>
    </row>
    <row r="234">
      <c r="A234" s="14">
        <f t="shared" si="1"/>
        <v>233</v>
      </c>
      <c r="B234" s="14">
        <f t="array" ref="B234">IF(OR(G234="",G234="Selecciona.."),"",XLOOKUP(G234,Productos!E:E,Productos!A:A,"",0,1))</f>
        <v>91</v>
      </c>
      <c r="C234" s="14">
        <f t="array" ref="C234">IF(B234="","",SUMIF(Implementos!B:B,XLOOKUP(B234,Productos!A:A,Productos!F:F,"",0,1),Implementos!A:A))</f>
        <v>6</v>
      </c>
      <c r="D234" s="14">
        <f t="array" ref="D234">IF(OR(H234="",H234="Selecciona.."),"",XLOOKUP(H234,Propiedades!B:B,Propiedades!A:A,"",0,1))</f>
        <v>1</v>
      </c>
      <c r="E234" s="14">
        <f t="shared" si="2"/>
        <v>1</v>
      </c>
      <c r="F234" s="14" t="str">
        <f t="shared" si="3"/>
        <v>91-1-Máx</v>
      </c>
      <c r="G234" s="13" t="s">
        <v>117</v>
      </c>
      <c r="H234" s="13" t="s">
        <v>57</v>
      </c>
      <c r="I234" s="16" t="s">
        <v>23</v>
      </c>
      <c r="J234" s="16">
        <v>3.2</v>
      </c>
      <c r="K234" s="14" t="str">
        <f t="array" ref="K234">IF(OR(H234="",H234="Selecciona.."),"",XLOOKUP(H234,Propiedades!B:B,Propiedades!C:C,"",0,1))</f>
        <v>mts</v>
      </c>
    </row>
    <row r="235">
      <c r="A235" s="14">
        <f t="shared" si="1"/>
        <v>234</v>
      </c>
      <c r="B235" s="14">
        <f t="array" ref="B235">IF(OR(G235="",G235="Selecciona.."),"",XLOOKUP(G235,Productos!E:E,Productos!A:A,"",0,1))</f>
        <v>131</v>
      </c>
      <c r="C235" s="14">
        <f t="array" ref="C235">IF(B235="","",SUMIF(Implementos!B:B,XLOOKUP(B235,Productos!A:A,Productos!F:F,"",0,1),Implementos!A:A))</f>
        <v>6</v>
      </c>
      <c r="D235" s="14">
        <f t="array" ref="D235">IF(OR(H235="",H235="Selecciona.."),"",XLOOKUP(H235,Propiedades!B:B,Propiedades!A:A,"",0,1))</f>
        <v>1</v>
      </c>
      <c r="E235" s="14">
        <f t="shared" si="2"/>
        <v>1</v>
      </c>
      <c r="F235" s="14" t="str">
        <f t="shared" si="3"/>
        <v>131-1-Min</v>
      </c>
      <c r="G235" s="13" t="s">
        <v>120</v>
      </c>
      <c r="H235" s="13" t="s">
        <v>57</v>
      </c>
      <c r="I235" s="16" t="s">
        <v>22</v>
      </c>
      <c r="J235" s="16">
        <v>3.8</v>
      </c>
      <c r="K235" s="14" t="str">
        <f t="array" ref="K235">IF(OR(H235="",H235="Selecciona.."),"",XLOOKUP(H235,Propiedades!B:B,Propiedades!C:C,"",0,1))</f>
        <v>mts</v>
      </c>
    </row>
    <row r="236">
      <c r="A236" s="14">
        <f t="shared" si="1"/>
        <v>235</v>
      </c>
      <c r="B236" s="14">
        <f t="array" ref="B236">IF(OR(G236="",G236="Selecciona.."),"",XLOOKUP(G236,Productos!E:E,Productos!A:A,"",0,1))</f>
        <v>131</v>
      </c>
      <c r="C236" s="14">
        <f t="array" ref="C236">IF(B236="","",SUMIF(Implementos!B:B,XLOOKUP(B236,Productos!A:A,Productos!F:F,"",0,1),Implementos!A:A))</f>
        <v>6</v>
      </c>
      <c r="D236" s="14">
        <f t="array" ref="D236">IF(OR(H236="",H236="Selecciona.."),"",XLOOKUP(H236,Propiedades!B:B,Propiedades!A:A,"",0,1))</f>
        <v>1</v>
      </c>
      <c r="E236" s="14">
        <f t="shared" si="2"/>
        <v>1</v>
      </c>
      <c r="F236" s="14" t="str">
        <f t="shared" si="3"/>
        <v>131-1-Máx</v>
      </c>
      <c r="G236" s="13" t="s">
        <v>120</v>
      </c>
      <c r="H236" s="13" t="s">
        <v>57</v>
      </c>
      <c r="I236" s="16" t="s">
        <v>23</v>
      </c>
      <c r="J236" s="16">
        <v>4.0</v>
      </c>
      <c r="K236" s="14" t="str">
        <f t="array" ref="K236">IF(OR(H236="",H236="Selecciona.."),"",XLOOKUP(H236,Propiedades!B:B,Propiedades!C:C,"",0,1))</f>
        <v>mts</v>
      </c>
    </row>
    <row r="237">
      <c r="A237" s="14">
        <f t="shared" si="1"/>
        <v>236</v>
      </c>
      <c r="B237" s="14">
        <f t="array" ref="B237">IF(OR(G237="",G237="Selecciona.."),"",XLOOKUP(G237,Productos!E:E,Productos!A:A,"",0,1))</f>
        <v>94</v>
      </c>
      <c r="C237" s="14">
        <f t="array" ref="C237">IF(B237="","",SUMIF(Implementos!B:B,XLOOKUP(B237,Productos!A:A,Productos!F:F,"",0,1),Implementos!A:A))</f>
        <v>10</v>
      </c>
      <c r="D237" s="14">
        <f t="array" ref="D237">IF(OR(H237="",H237="Selecciona.."),"",XLOOKUP(H237,Propiedades!B:B,Propiedades!A:A,"",0,1))</f>
        <v>2</v>
      </c>
      <c r="E237" s="14">
        <f t="shared" si="2"/>
        <v>1</v>
      </c>
      <c r="F237" s="14" t="str">
        <f t="shared" si="3"/>
        <v>94-2-Máx</v>
      </c>
      <c r="G237" s="15" t="s">
        <v>121</v>
      </c>
      <c r="H237" s="13" t="s">
        <v>56</v>
      </c>
      <c r="I237" s="16" t="s">
        <v>23</v>
      </c>
      <c r="J237" s="16">
        <v>1000.0</v>
      </c>
      <c r="K237" s="14" t="str">
        <f t="array" ref="K237">IF(OR(H237="",H237="Selecciona.."),"",XLOOKUP(H237,Propiedades!B:B,Propiedades!C:C,"",0,1))</f>
        <v>kg</v>
      </c>
    </row>
    <row r="238">
      <c r="A238" s="14">
        <f t="shared" si="1"/>
        <v>237</v>
      </c>
      <c r="B238" s="14">
        <f t="array" ref="B238">IF(OR(G238="",G238="Selecciona.."),"",XLOOKUP(G238,Productos!E:E,Productos!A:A,"",0,1))</f>
        <v>95</v>
      </c>
      <c r="C238" s="14">
        <f t="array" ref="C238">IF(B238="","",SUMIF(Implementos!B:B,XLOOKUP(B238,Productos!A:A,Productos!F:F,"",0,1),Implementos!A:A))</f>
        <v>10</v>
      </c>
      <c r="D238" s="14">
        <f t="array" ref="D238">IF(OR(H238="",H238="Selecciona.."),"",XLOOKUP(H238,Propiedades!B:B,Propiedades!A:A,"",0,1))</f>
        <v>2</v>
      </c>
      <c r="E238" s="14">
        <f t="shared" si="2"/>
        <v>1</v>
      </c>
      <c r="F238" s="14" t="str">
        <f t="shared" si="3"/>
        <v>95-2-Máx</v>
      </c>
      <c r="G238" s="15" t="s">
        <v>122</v>
      </c>
      <c r="H238" s="13" t="s">
        <v>56</v>
      </c>
      <c r="I238" s="16" t="s">
        <v>23</v>
      </c>
      <c r="J238" s="16">
        <v>1500.0</v>
      </c>
      <c r="K238" s="14" t="str">
        <f t="array" ref="K238">IF(OR(H238="",H238="Selecciona.."),"",XLOOKUP(H238,Propiedades!B:B,Propiedades!C:C,"",0,1))</f>
        <v>kg</v>
      </c>
    </row>
    <row r="239">
      <c r="A239" s="14">
        <f t="shared" si="1"/>
        <v>238</v>
      </c>
      <c r="B239" s="14">
        <f t="array" ref="B239">IF(OR(G239="",G239="Selecciona.."),"",XLOOKUP(G239,Productos!E:E,Productos!A:A,"",0,1))</f>
        <v>96</v>
      </c>
      <c r="C239" s="14">
        <f t="array" ref="C239">IF(B239="","",SUMIF(Implementos!B:B,XLOOKUP(B239,Productos!A:A,Productos!F:F,"",0,1),Implementos!A:A))</f>
        <v>10</v>
      </c>
      <c r="D239" s="14">
        <f t="array" ref="D239">IF(OR(H239="",H239="Selecciona.."),"",XLOOKUP(H239,Propiedades!B:B,Propiedades!A:A,"",0,1))</f>
        <v>2</v>
      </c>
      <c r="E239" s="14">
        <f t="shared" si="2"/>
        <v>1</v>
      </c>
      <c r="F239" s="14" t="str">
        <f t="shared" si="3"/>
        <v>96-2-Máx</v>
      </c>
      <c r="G239" s="15" t="s">
        <v>123</v>
      </c>
      <c r="H239" s="13" t="s">
        <v>56</v>
      </c>
      <c r="I239" s="16" t="s">
        <v>23</v>
      </c>
      <c r="J239" s="16">
        <v>750.0</v>
      </c>
      <c r="K239" s="14" t="str">
        <f t="array" ref="K239">IF(OR(H239="",H239="Selecciona.."),"",XLOOKUP(H239,Propiedades!B:B,Propiedades!C:C,"",0,1))</f>
        <v>kg</v>
      </c>
    </row>
    <row r="240">
      <c r="A240" s="14">
        <f t="shared" si="1"/>
        <v>239</v>
      </c>
      <c r="B240" s="14">
        <f t="array" ref="B240">IF(OR(G240="",G240="Selecciona.."),"",XLOOKUP(G240,Productos!E:E,Productos!A:A,"",0,1))</f>
        <v>97</v>
      </c>
      <c r="C240" s="14">
        <f t="array" ref="C240">IF(B240="","",SUMIF(Implementos!B:B,XLOOKUP(B240,Productos!A:A,Productos!F:F,"",0,1),Implementos!A:A))</f>
        <v>10</v>
      </c>
      <c r="D240" s="14">
        <f t="array" ref="D240">IF(OR(H240="",H240="Selecciona.."),"",XLOOKUP(H240,Propiedades!B:B,Propiedades!A:A,"",0,1))</f>
        <v>2</v>
      </c>
      <c r="E240" s="14">
        <f t="shared" si="2"/>
        <v>1</v>
      </c>
      <c r="F240" s="14" t="str">
        <f t="shared" si="3"/>
        <v>97-2-Máx</v>
      </c>
      <c r="G240" s="15" t="s">
        <v>124</v>
      </c>
      <c r="H240" s="13" t="s">
        <v>56</v>
      </c>
      <c r="I240" s="16" t="s">
        <v>23</v>
      </c>
      <c r="J240" s="16">
        <v>1250.0</v>
      </c>
      <c r="K240" s="14" t="str">
        <f t="array" ref="K240">IF(OR(H240="",H240="Selecciona.."),"",XLOOKUP(H240,Propiedades!B:B,Propiedades!C:C,"",0,1))</f>
        <v>kg</v>
      </c>
    </row>
    <row r="241">
      <c r="A241" s="14">
        <f t="shared" si="1"/>
        <v>240</v>
      </c>
      <c r="B241" s="14">
        <f t="array" ref="B241">IF(OR(G241="",G241="Selecciona.."),"",XLOOKUP(G241,Productos!E:E,Productos!A:A,"",0,1))</f>
        <v>98</v>
      </c>
      <c r="C241" s="14">
        <f t="array" ref="C241">IF(B241="","",SUMIF(Implementos!B:B,XLOOKUP(B241,Productos!A:A,Productos!F:F,"",0,1),Implementos!A:A))</f>
        <v>10</v>
      </c>
      <c r="D241" s="14">
        <f t="array" ref="D241">IF(OR(H241="",H241="Selecciona.."),"",XLOOKUP(H241,Propiedades!B:B,Propiedades!A:A,"",0,1))</f>
        <v>2</v>
      </c>
      <c r="E241" s="14">
        <f t="shared" si="2"/>
        <v>1</v>
      </c>
      <c r="F241" s="14" t="str">
        <f t="shared" si="3"/>
        <v>98-2-Máx</v>
      </c>
      <c r="G241" s="15" t="s">
        <v>125</v>
      </c>
      <c r="H241" s="13" t="s">
        <v>56</v>
      </c>
      <c r="I241" s="16" t="s">
        <v>23</v>
      </c>
      <c r="J241" s="16">
        <v>2500.0</v>
      </c>
      <c r="K241" s="14" t="str">
        <f t="array" ref="K241">IF(OR(H241="",H241="Selecciona.."),"",XLOOKUP(H241,Propiedades!B:B,Propiedades!C:C,"",0,1))</f>
        <v>kg</v>
      </c>
    </row>
    <row r="242">
      <c r="A242" s="14">
        <f t="shared" si="1"/>
        <v>241</v>
      </c>
      <c r="B242" s="14">
        <f t="array" ref="B242">IF(OR(G242="",G242="Selecciona.."),"",XLOOKUP(G242,Productos!E:E,Productos!A:A,"",0,1))</f>
        <v>99</v>
      </c>
      <c r="C242" s="14">
        <f t="array" ref="C242">IF(B242="","",SUMIF(Implementos!B:B,XLOOKUP(B242,Productos!A:A,Productos!F:F,"",0,1),Implementos!A:A))</f>
        <v>10</v>
      </c>
      <c r="D242" s="14">
        <f t="array" ref="D242">IF(OR(H242="",H242="Selecciona.."),"",XLOOKUP(H242,Propiedades!B:B,Propiedades!A:A,"",0,1))</f>
        <v>2</v>
      </c>
      <c r="E242" s="14">
        <f t="shared" si="2"/>
        <v>1</v>
      </c>
      <c r="F242" s="14" t="str">
        <f t="shared" si="3"/>
        <v>99-2-Máx</v>
      </c>
      <c r="G242" s="15" t="s">
        <v>126</v>
      </c>
      <c r="H242" s="13" t="s">
        <v>56</v>
      </c>
      <c r="I242" s="16" t="s">
        <v>23</v>
      </c>
      <c r="J242" s="16">
        <v>3000.0</v>
      </c>
      <c r="K242" s="14" t="str">
        <f t="array" ref="K242">IF(OR(H242="",H242="Selecciona.."),"",XLOOKUP(H242,Propiedades!B:B,Propiedades!C:C,"",0,1))</f>
        <v>kg</v>
      </c>
    </row>
    <row r="243">
      <c r="A243" s="14">
        <f t="shared" si="1"/>
        <v>242</v>
      </c>
      <c r="B243" s="14">
        <f t="array" ref="B243">IF(OR(G243="",G243="Selecciona.."),"",XLOOKUP(G243,Productos!E:E,Productos!A:A,"",0,1))</f>
        <v>100</v>
      </c>
      <c r="C243" s="14">
        <f t="array" ref="C243">IF(B243="","",SUMIF(Implementos!B:B,XLOOKUP(B243,Productos!A:A,Productos!F:F,"",0,1),Implementos!A:A))</f>
        <v>10</v>
      </c>
      <c r="D243" s="14">
        <f t="array" ref="D243">IF(OR(H243="",H243="Selecciona.."),"",XLOOKUP(H243,Propiedades!B:B,Propiedades!A:A,"",0,1))</f>
        <v>2</v>
      </c>
      <c r="E243" s="14">
        <f t="shared" si="2"/>
        <v>1</v>
      </c>
      <c r="F243" s="14" t="str">
        <f t="shared" si="3"/>
        <v>100-2-Máx</v>
      </c>
      <c r="G243" s="15" t="s">
        <v>127</v>
      </c>
      <c r="H243" s="13" t="s">
        <v>56</v>
      </c>
      <c r="I243" s="16" t="s">
        <v>23</v>
      </c>
      <c r="J243" s="16">
        <v>750.0</v>
      </c>
      <c r="K243" s="14" t="str">
        <f t="array" ref="K243">IF(OR(H243="",H243="Selecciona.."),"",XLOOKUP(H243,Propiedades!B:B,Propiedades!C:C,"",0,1))</f>
        <v>kg</v>
      </c>
    </row>
    <row r="244">
      <c r="A244" s="14">
        <f t="shared" si="1"/>
        <v>243</v>
      </c>
      <c r="B244" s="14">
        <f t="array" ref="B244">IF(OR(G244="",G244="Selecciona.."),"",XLOOKUP(G244,Productos!E:E,Productos!A:A,"",0,1))</f>
        <v>117</v>
      </c>
      <c r="C244" s="14">
        <f t="array" ref="C244">IF(B244="","",SUMIF(Implementos!B:B,XLOOKUP(B244,Productos!A:A,Productos!F:F,"",0,1),Implementos!A:A))</f>
        <v>10</v>
      </c>
      <c r="D244" s="14">
        <f t="array" ref="D244">IF(OR(H244="",H244="Selecciona.."),"",XLOOKUP(H244,Propiedades!B:B,Propiedades!A:A,"",0,1))</f>
        <v>2</v>
      </c>
      <c r="E244" s="14">
        <f t="shared" si="2"/>
        <v>1</v>
      </c>
      <c r="F244" s="14" t="str">
        <f t="shared" si="3"/>
        <v>117-2-Máx</v>
      </c>
      <c r="G244" s="15" t="s">
        <v>128</v>
      </c>
      <c r="H244" s="13" t="s">
        <v>56</v>
      </c>
      <c r="I244" s="16" t="s">
        <v>23</v>
      </c>
      <c r="J244" s="16">
        <v>1200.0</v>
      </c>
      <c r="K244" s="14" t="str">
        <f t="array" ref="K244">IF(OR(H244="",H244="Selecciona.."),"",XLOOKUP(H244,Propiedades!B:B,Propiedades!C:C,"",0,1))</f>
        <v>kg</v>
      </c>
    </row>
    <row r="245">
      <c r="A245" s="14">
        <f t="shared" si="1"/>
        <v>244</v>
      </c>
      <c r="B245" s="14">
        <f t="array" ref="B245">IF(OR(G245="",G245="Selecciona.."),"",XLOOKUP(G245,Productos!E:E,Productos!A:A,"",0,1))</f>
        <v>94</v>
      </c>
      <c r="C245" s="14">
        <f t="array" ref="C245">IF(B245="","",SUMIF(Implementos!B:B,XLOOKUP(B245,Productos!A:A,Productos!F:F,"",0,1),Implementos!A:A))</f>
        <v>10</v>
      </c>
      <c r="D245" s="14">
        <f t="array" ref="D245">IF(OR(H245="",H245="Selecciona.."),"",XLOOKUP(H245,Propiedades!B:B,Propiedades!A:A,"",0,1))</f>
        <v>2</v>
      </c>
      <c r="E245" s="14">
        <f t="shared" si="2"/>
        <v>1</v>
      </c>
      <c r="F245" s="14" t="str">
        <f t="shared" si="3"/>
        <v>94-2-Min</v>
      </c>
      <c r="G245" s="15" t="s">
        <v>121</v>
      </c>
      <c r="H245" s="13" t="s">
        <v>56</v>
      </c>
      <c r="I245" s="16" t="s">
        <v>22</v>
      </c>
      <c r="J245" s="17">
        <f t="shared" ref="J245:J252" si="4">J237*0.6</f>
        <v>600</v>
      </c>
      <c r="K245" s="14" t="str">
        <f t="array" ref="K245">IF(OR(H245="",H245="Selecciona.."),"",XLOOKUP(H245,Propiedades!B:B,Propiedades!C:C,"",0,1))</f>
        <v>kg</v>
      </c>
    </row>
    <row r="246">
      <c r="A246" s="14">
        <f t="shared" si="1"/>
        <v>245</v>
      </c>
      <c r="B246" s="14">
        <f t="array" ref="B246">IF(OR(G246="",G246="Selecciona.."),"",XLOOKUP(G246,Productos!E:E,Productos!A:A,"",0,1))</f>
        <v>95</v>
      </c>
      <c r="C246" s="14">
        <f t="array" ref="C246">IF(B246="","",SUMIF(Implementos!B:B,XLOOKUP(B246,Productos!A:A,Productos!F:F,"",0,1),Implementos!A:A))</f>
        <v>10</v>
      </c>
      <c r="D246" s="14">
        <f t="array" ref="D246">IF(OR(H246="",H246="Selecciona.."),"",XLOOKUP(H246,Propiedades!B:B,Propiedades!A:A,"",0,1))</f>
        <v>2</v>
      </c>
      <c r="E246" s="14">
        <f t="shared" si="2"/>
        <v>1</v>
      </c>
      <c r="F246" s="14" t="str">
        <f t="shared" si="3"/>
        <v>95-2-Min</v>
      </c>
      <c r="G246" s="15" t="s">
        <v>122</v>
      </c>
      <c r="H246" s="13" t="s">
        <v>56</v>
      </c>
      <c r="I246" s="16" t="s">
        <v>22</v>
      </c>
      <c r="J246" s="17">
        <f t="shared" si="4"/>
        <v>900</v>
      </c>
      <c r="K246" s="14" t="str">
        <f t="array" ref="K246">IF(OR(H246="",H246="Selecciona.."),"",XLOOKUP(H246,Propiedades!B:B,Propiedades!C:C,"",0,1))</f>
        <v>kg</v>
      </c>
    </row>
    <row r="247">
      <c r="A247" s="14">
        <f t="shared" si="1"/>
        <v>246</v>
      </c>
      <c r="B247" s="14">
        <f t="array" ref="B247">IF(OR(G247="",G247="Selecciona.."),"",XLOOKUP(G247,Productos!E:E,Productos!A:A,"",0,1))</f>
        <v>96</v>
      </c>
      <c r="C247" s="14">
        <f t="array" ref="C247">IF(B247="","",SUMIF(Implementos!B:B,XLOOKUP(B247,Productos!A:A,Productos!F:F,"",0,1),Implementos!A:A))</f>
        <v>10</v>
      </c>
      <c r="D247" s="14">
        <f t="array" ref="D247">IF(OR(H247="",H247="Selecciona.."),"",XLOOKUP(H247,Propiedades!B:B,Propiedades!A:A,"",0,1))</f>
        <v>2</v>
      </c>
      <c r="E247" s="14">
        <f t="shared" si="2"/>
        <v>1</v>
      </c>
      <c r="F247" s="14" t="str">
        <f t="shared" si="3"/>
        <v>96-2-Min</v>
      </c>
      <c r="G247" s="15" t="s">
        <v>123</v>
      </c>
      <c r="H247" s="13" t="s">
        <v>56</v>
      </c>
      <c r="I247" s="16" t="s">
        <v>22</v>
      </c>
      <c r="J247" s="17">
        <f t="shared" si="4"/>
        <v>450</v>
      </c>
      <c r="K247" s="14" t="str">
        <f t="array" ref="K247">IF(OR(H247="",H247="Selecciona.."),"",XLOOKUP(H247,Propiedades!B:B,Propiedades!C:C,"",0,1))</f>
        <v>kg</v>
      </c>
    </row>
    <row r="248">
      <c r="A248" s="14">
        <f t="shared" si="1"/>
        <v>247</v>
      </c>
      <c r="B248" s="14">
        <f t="array" ref="B248">IF(OR(G248="",G248="Selecciona.."),"",XLOOKUP(G248,Productos!E:E,Productos!A:A,"",0,1))</f>
        <v>97</v>
      </c>
      <c r="C248" s="14">
        <f t="array" ref="C248">IF(B248="","",SUMIF(Implementos!B:B,XLOOKUP(B248,Productos!A:A,Productos!F:F,"",0,1),Implementos!A:A))</f>
        <v>10</v>
      </c>
      <c r="D248" s="14">
        <f t="array" ref="D248">IF(OR(H248="",H248="Selecciona.."),"",XLOOKUP(H248,Propiedades!B:B,Propiedades!A:A,"",0,1))</f>
        <v>2</v>
      </c>
      <c r="E248" s="14">
        <f t="shared" si="2"/>
        <v>1</v>
      </c>
      <c r="F248" s="14" t="str">
        <f t="shared" si="3"/>
        <v>97-2-Min</v>
      </c>
      <c r="G248" s="15" t="s">
        <v>124</v>
      </c>
      <c r="H248" s="13" t="s">
        <v>56</v>
      </c>
      <c r="I248" s="16" t="s">
        <v>22</v>
      </c>
      <c r="J248" s="17">
        <f t="shared" si="4"/>
        <v>750</v>
      </c>
      <c r="K248" s="14" t="str">
        <f t="array" ref="K248">IF(OR(H248="",H248="Selecciona.."),"",XLOOKUP(H248,Propiedades!B:B,Propiedades!C:C,"",0,1))</f>
        <v>kg</v>
      </c>
    </row>
    <row r="249">
      <c r="A249" s="14">
        <f t="shared" si="1"/>
        <v>248</v>
      </c>
      <c r="B249" s="14">
        <f t="array" ref="B249">IF(OR(G249="",G249="Selecciona.."),"",XLOOKUP(G249,Productos!E:E,Productos!A:A,"",0,1))</f>
        <v>98</v>
      </c>
      <c r="C249" s="14">
        <f t="array" ref="C249">IF(B249="","",SUMIF(Implementos!B:B,XLOOKUP(B249,Productos!A:A,Productos!F:F,"",0,1),Implementos!A:A))</f>
        <v>10</v>
      </c>
      <c r="D249" s="14">
        <f t="array" ref="D249">IF(OR(H249="",H249="Selecciona.."),"",XLOOKUP(H249,Propiedades!B:B,Propiedades!A:A,"",0,1))</f>
        <v>2</v>
      </c>
      <c r="E249" s="14">
        <f t="shared" si="2"/>
        <v>1</v>
      </c>
      <c r="F249" s="14" t="str">
        <f t="shared" si="3"/>
        <v>98-2-Min</v>
      </c>
      <c r="G249" s="15" t="s">
        <v>125</v>
      </c>
      <c r="H249" s="13" t="s">
        <v>56</v>
      </c>
      <c r="I249" s="16" t="s">
        <v>22</v>
      </c>
      <c r="J249" s="17">
        <f t="shared" si="4"/>
        <v>1500</v>
      </c>
      <c r="K249" s="14" t="str">
        <f t="array" ref="K249">IF(OR(H249="",H249="Selecciona.."),"",XLOOKUP(H249,Propiedades!B:B,Propiedades!C:C,"",0,1))</f>
        <v>kg</v>
      </c>
    </row>
    <row r="250">
      <c r="A250" s="14">
        <f t="shared" si="1"/>
        <v>249</v>
      </c>
      <c r="B250" s="14">
        <f t="array" ref="B250">IF(OR(G250="",G250="Selecciona.."),"",XLOOKUP(G250,Productos!E:E,Productos!A:A,"",0,1))</f>
        <v>99</v>
      </c>
      <c r="C250" s="14">
        <f t="array" ref="C250">IF(B250="","",SUMIF(Implementos!B:B,XLOOKUP(B250,Productos!A:A,Productos!F:F,"",0,1),Implementos!A:A))</f>
        <v>10</v>
      </c>
      <c r="D250" s="14">
        <f t="array" ref="D250">IF(OR(H250="",H250="Selecciona.."),"",XLOOKUP(H250,Propiedades!B:B,Propiedades!A:A,"",0,1))</f>
        <v>2</v>
      </c>
      <c r="E250" s="14">
        <f t="shared" si="2"/>
        <v>1</v>
      </c>
      <c r="F250" s="14" t="str">
        <f t="shared" si="3"/>
        <v>99-2-Min</v>
      </c>
      <c r="G250" s="15" t="s">
        <v>126</v>
      </c>
      <c r="H250" s="13" t="s">
        <v>56</v>
      </c>
      <c r="I250" s="16" t="s">
        <v>22</v>
      </c>
      <c r="J250" s="17">
        <f t="shared" si="4"/>
        <v>1800</v>
      </c>
      <c r="K250" s="14" t="str">
        <f t="array" ref="K250">IF(OR(H250="",H250="Selecciona.."),"",XLOOKUP(H250,Propiedades!B:B,Propiedades!C:C,"",0,1))</f>
        <v>kg</v>
      </c>
    </row>
    <row r="251">
      <c r="A251" s="14">
        <f t="shared" si="1"/>
        <v>250</v>
      </c>
      <c r="B251" s="14">
        <f t="array" ref="B251">IF(OR(G251="",G251="Selecciona.."),"",XLOOKUP(G251,Productos!E:E,Productos!A:A,"",0,1))</f>
        <v>100</v>
      </c>
      <c r="C251" s="14">
        <f t="array" ref="C251">IF(B251="","",SUMIF(Implementos!B:B,XLOOKUP(B251,Productos!A:A,Productos!F:F,"",0,1),Implementos!A:A))</f>
        <v>10</v>
      </c>
      <c r="D251" s="14">
        <f t="array" ref="D251">IF(OR(H251="",H251="Selecciona.."),"",XLOOKUP(H251,Propiedades!B:B,Propiedades!A:A,"",0,1))</f>
        <v>2</v>
      </c>
      <c r="E251" s="14">
        <f t="shared" si="2"/>
        <v>1</v>
      </c>
      <c r="F251" s="14" t="str">
        <f t="shared" si="3"/>
        <v>100-2-Min</v>
      </c>
      <c r="G251" s="15" t="s">
        <v>127</v>
      </c>
      <c r="H251" s="13" t="s">
        <v>56</v>
      </c>
      <c r="I251" s="16" t="s">
        <v>22</v>
      </c>
      <c r="J251" s="17">
        <f t="shared" si="4"/>
        <v>450</v>
      </c>
      <c r="K251" s="14" t="str">
        <f t="array" ref="K251">IF(OR(H251="",H251="Selecciona.."),"",XLOOKUP(H251,Propiedades!B:B,Propiedades!C:C,"",0,1))</f>
        <v>kg</v>
      </c>
    </row>
    <row r="252">
      <c r="A252" s="14">
        <f t="shared" si="1"/>
        <v>251</v>
      </c>
      <c r="B252" s="14">
        <f t="array" ref="B252">IF(OR(G252="",G252="Selecciona.."),"",XLOOKUP(G252,Productos!E:E,Productos!A:A,"",0,1))</f>
        <v>117</v>
      </c>
      <c r="C252" s="14">
        <f t="array" ref="C252">IF(B252="","",SUMIF(Implementos!B:B,XLOOKUP(B252,Productos!A:A,Productos!F:F,"",0,1),Implementos!A:A))</f>
        <v>10</v>
      </c>
      <c r="D252" s="14">
        <f t="array" ref="D252">IF(OR(H252="",H252="Selecciona.."),"",XLOOKUP(H252,Propiedades!B:B,Propiedades!A:A,"",0,1))</f>
        <v>2</v>
      </c>
      <c r="E252" s="14">
        <f t="shared" si="2"/>
        <v>1</v>
      </c>
      <c r="F252" s="14" t="str">
        <f t="shared" si="3"/>
        <v>117-2-Min</v>
      </c>
      <c r="G252" s="15" t="s">
        <v>128</v>
      </c>
      <c r="H252" s="13" t="s">
        <v>56</v>
      </c>
      <c r="I252" s="16" t="s">
        <v>22</v>
      </c>
      <c r="J252" s="17">
        <f t="shared" si="4"/>
        <v>720</v>
      </c>
      <c r="K252" s="14" t="str">
        <f t="array" ref="K252">IF(OR(H252="",H252="Selecciona.."),"",XLOOKUP(H252,Propiedades!B:B,Propiedades!C:C,"",0,1))</f>
        <v>kg</v>
      </c>
    </row>
    <row r="253">
      <c r="A253" s="14">
        <f t="shared" si="1"/>
        <v>252</v>
      </c>
      <c r="B253" s="14">
        <f t="array" ref="B253">IF(OR(G253="",G253="Selecciona.."),"",XLOOKUP(G253,Productos!E:E,Productos!A:A,"",0,1))</f>
        <v>110</v>
      </c>
      <c r="C253" s="14">
        <f t="array" ref="C253">IF(B253="","",SUMIF(Implementos!B:B,XLOOKUP(B253,Productos!A:A,Productos!F:F,"",0,1),Implementos!A:A))</f>
        <v>10</v>
      </c>
      <c r="D253" s="14">
        <f t="array" ref="D253">IF(OR(H253="",H253="Selecciona.."),"",XLOOKUP(H253,Propiedades!B:B,Propiedades!A:A,"",0,1))</f>
        <v>2</v>
      </c>
      <c r="E253" s="14">
        <f t="shared" si="2"/>
        <v>1</v>
      </c>
      <c r="F253" s="14" t="str">
        <f t="shared" si="3"/>
        <v>110-2-Máx</v>
      </c>
      <c r="G253" s="13" t="s">
        <v>129</v>
      </c>
      <c r="H253" s="13" t="s">
        <v>56</v>
      </c>
      <c r="I253" s="16" t="s">
        <v>23</v>
      </c>
      <c r="J253" s="16">
        <v>400.0</v>
      </c>
      <c r="K253" s="14" t="str">
        <f t="array" ref="K253">IF(OR(H253="",H253="Selecciona.."),"",XLOOKUP(H253,Propiedades!B:B,Propiedades!C:C,"",0,1))</f>
        <v>kg</v>
      </c>
    </row>
    <row r="254">
      <c r="A254" s="14">
        <f t="shared" si="1"/>
        <v>253</v>
      </c>
      <c r="B254" s="14">
        <f t="array" ref="B254">IF(OR(G254="",G254="Selecciona.."),"",XLOOKUP(G254,Productos!E:E,Productos!A:A,"",0,1))</f>
        <v>111</v>
      </c>
      <c r="C254" s="14">
        <f t="array" ref="C254">IF(B254="","",SUMIF(Implementos!B:B,XLOOKUP(B254,Productos!A:A,Productos!F:F,"",0,1),Implementos!A:A))</f>
        <v>10</v>
      </c>
      <c r="D254" s="14">
        <f t="array" ref="D254">IF(OR(H254="",H254="Selecciona.."),"",XLOOKUP(H254,Propiedades!B:B,Propiedades!A:A,"",0,1))</f>
        <v>2</v>
      </c>
      <c r="E254" s="14">
        <f t="shared" si="2"/>
        <v>1</v>
      </c>
      <c r="F254" s="14" t="str">
        <f t="shared" si="3"/>
        <v>111-2-Máx</v>
      </c>
      <c r="G254" s="13" t="s">
        <v>130</v>
      </c>
      <c r="H254" s="13" t="s">
        <v>56</v>
      </c>
      <c r="I254" s="16" t="s">
        <v>23</v>
      </c>
      <c r="J254" s="16">
        <v>1250.0</v>
      </c>
      <c r="K254" s="14" t="str">
        <f t="array" ref="K254">IF(OR(H254="",H254="Selecciona.."),"",XLOOKUP(H254,Propiedades!B:B,Propiedades!C:C,"",0,1))</f>
        <v>kg</v>
      </c>
    </row>
    <row r="255">
      <c r="A255" s="14">
        <f t="shared" si="1"/>
        <v>254</v>
      </c>
      <c r="B255" s="14">
        <f t="array" ref="B255">IF(OR(G255="",G255="Selecciona.."),"",XLOOKUP(G255,Productos!E:E,Productos!A:A,"",0,1))</f>
        <v>112</v>
      </c>
      <c r="C255" s="14">
        <f t="array" ref="C255">IF(B255="","",SUMIF(Implementos!B:B,XLOOKUP(B255,Productos!A:A,Productos!F:F,"",0,1),Implementos!A:A))</f>
        <v>10</v>
      </c>
      <c r="D255" s="14">
        <f t="array" ref="D255">IF(OR(H255="",H255="Selecciona.."),"",XLOOKUP(H255,Propiedades!B:B,Propiedades!A:A,"",0,1))</f>
        <v>2</v>
      </c>
      <c r="E255" s="14">
        <f t="shared" si="2"/>
        <v>1</v>
      </c>
      <c r="F255" s="14" t="str">
        <f t="shared" si="3"/>
        <v>112-2-Máx</v>
      </c>
      <c r="G255" s="13" t="s">
        <v>45</v>
      </c>
      <c r="H255" s="13" t="s">
        <v>56</v>
      </c>
      <c r="I255" s="16" t="s">
        <v>23</v>
      </c>
      <c r="J255" s="16">
        <v>900.0</v>
      </c>
      <c r="K255" s="14" t="str">
        <f t="array" ref="K255">IF(OR(H255="",H255="Selecciona.."),"",XLOOKUP(H255,Propiedades!B:B,Propiedades!C:C,"",0,1))</f>
        <v>kg</v>
      </c>
    </row>
    <row r="256">
      <c r="A256" s="14">
        <f t="shared" si="1"/>
        <v>255</v>
      </c>
      <c r="B256" s="14">
        <f t="array" ref="B256">IF(OR(G256="",G256="Selecciona.."),"",XLOOKUP(G256,Productos!E:E,Productos!A:A,"",0,1))</f>
        <v>113</v>
      </c>
      <c r="C256" s="14">
        <f t="array" ref="C256">IF(B256="","",SUMIF(Implementos!B:B,XLOOKUP(B256,Productos!A:A,Productos!F:F,"",0,1),Implementos!A:A))</f>
        <v>10</v>
      </c>
      <c r="D256" s="14">
        <f t="array" ref="D256">IF(OR(H256="",H256="Selecciona.."),"",XLOOKUP(H256,Propiedades!B:B,Propiedades!A:A,"",0,1))</f>
        <v>2</v>
      </c>
      <c r="E256" s="14">
        <f t="shared" si="2"/>
        <v>1</v>
      </c>
      <c r="F256" s="14" t="str">
        <f t="shared" si="3"/>
        <v>113-2-Máx</v>
      </c>
      <c r="G256" s="13" t="s">
        <v>131</v>
      </c>
      <c r="H256" s="13" t="s">
        <v>56</v>
      </c>
      <c r="I256" s="16" t="s">
        <v>23</v>
      </c>
      <c r="J256" s="16">
        <v>1400.0</v>
      </c>
      <c r="K256" s="14" t="str">
        <f t="array" ref="K256">IF(OR(H256="",H256="Selecciona.."),"",XLOOKUP(H256,Propiedades!B:B,Propiedades!C:C,"",0,1))</f>
        <v>kg</v>
      </c>
    </row>
    <row r="257">
      <c r="A257" s="14">
        <f t="shared" si="1"/>
        <v>256</v>
      </c>
      <c r="B257" s="14">
        <f t="array" ref="B257">IF(OR(G257="",G257="Selecciona.."),"",XLOOKUP(G257,Productos!E:E,Productos!A:A,"",0,1))</f>
        <v>114</v>
      </c>
      <c r="C257" s="14">
        <f t="array" ref="C257">IF(B257="","",SUMIF(Implementos!B:B,XLOOKUP(B257,Productos!A:A,Productos!F:F,"",0,1),Implementos!A:A))</f>
        <v>10</v>
      </c>
      <c r="D257" s="14">
        <f t="array" ref="D257">IF(OR(H257="",H257="Selecciona.."),"",XLOOKUP(H257,Propiedades!B:B,Propiedades!A:A,"",0,1))</f>
        <v>2</v>
      </c>
      <c r="E257" s="14">
        <f t="shared" si="2"/>
        <v>1</v>
      </c>
      <c r="F257" s="14" t="str">
        <f t="shared" si="3"/>
        <v>114-2-Máx</v>
      </c>
      <c r="G257" s="13" t="s">
        <v>41</v>
      </c>
      <c r="H257" s="13" t="s">
        <v>56</v>
      </c>
      <c r="I257" s="16" t="s">
        <v>23</v>
      </c>
      <c r="J257" s="16">
        <v>1350.0</v>
      </c>
      <c r="K257" s="14" t="str">
        <f t="array" ref="K257">IF(OR(H257="",H257="Selecciona.."),"",XLOOKUP(H257,Propiedades!B:B,Propiedades!C:C,"",0,1))</f>
        <v>kg</v>
      </c>
    </row>
    <row r="258">
      <c r="A258" s="14">
        <f t="shared" si="1"/>
        <v>257</v>
      </c>
      <c r="B258" s="14">
        <f t="array" ref="B258">IF(OR(G258="",G258="Selecciona.."),"",XLOOKUP(G258,Productos!E:E,Productos!A:A,"",0,1))</f>
        <v>115</v>
      </c>
      <c r="C258" s="14">
        <f t="array" ref="C258">IF(B258="","",SUMIF(Implementos!B:B,XLOOKUP(B258,Productos!A:A,Productos!F:F,"",0,1),Implementos!A:A))</f>
        <v>10</v>
      </c>
      <c r="D258" s="14">
        <f t="array" ref="D258">IF(OR(H258="",H258="Selecciona.."),"",XLOOKUP(H258,Propiedades!B:B,Propiedades!A:A,"",0,1))</f>
        <v>2</v>
      </c>
      <c r="E258" s="14">
        <f t="shared" si="2"/>
        <v>1</v>
      </c>
      <c r="F258" s="14" t="str">
        <f t="shared" si="3"/>
        <v>115-2-Máx</v>
      </c>
      <c r="G258" s="13" t="s">
        <v>43</v>
      </c>
      <c r="H258" s="13" t="s">
        <v>56</v>
      </c>
      <c r="I258" s="16" t="s">
        <v>23</v>
      </c>
      <c r="J258" s="16">
        <v>1650.0</v>
      </c>
      <c r="K258" s="14" t="str">
        <f t="array" ref="K258">IF(OR(H258="",H258="Selecciona.."),"",XLOOKUP(H258,Propiedades!B:B,Propiedades!C:C,"",0,1))</f>
        <v>kg</v>
      </c>
    </row>
    <row r="259">
      <c r="A259" s="14">
        <f t="shared" si="1"/>
        <v>258</v>
      </c>
      <c r="B259" s="14">
        <f t="array" ref="B259">IF(OR(G259="",G259="Selecciona.."),"",XLOOKUP(G259,Productos!E:E,Productos!A:A,"",0,1))</f>
        <v>151</v>
      </c>
      <c r="C259" s="14">
        <f t="array" ref="C259">IF(B259="","",SUMIF(Implementos!B:B,XLOOKUP(B259,Productos!A:A,Productos!F:F,"",0,1),Implementos!A:A))</f>
        <v>10</v>
      </c>
      <c r="D259" s="14">
        <f t="array" ref="D259">IF(OR(H259="",H259="Selecciona.."),"",XLOOKUP(H259,Propiedades!B:B,Propiedades!A:A,"",0,1))</f>
        <v>2</v>
      </c>
      <c r="E259" s="14">
        <f t="shared" si="2"/>
        <v>1</v>
      </c>
      <c r="F259" s="14" t="str">
        <f t="shared" si="3"/>
        <v>151-2-Máx</v>
      </c>
      <c r="G259" s="13" t="s">
        <v>132</v>
      </c>
      <c r="H259" s="13" t="s">
        <v>56</v>
      </c>
      <c r="I259" s="16" t="s">
        <v>23</v>
      </c>
      <c r="J259" s="16">
        <v>1800.0</v>
      </c>
      <c r="K259" s="14" t="str">
        <f t="array" ref="K259">IF(OR(H259="",H259="Selecciona.."),"",XLOOKUP(H259,Propiedades!B:B,Propiedades!C:C,"",0,1))</f>
        <v>kg</v>
      </c>
    </row>
    <row r="260">
      <c r="A260" s="14">
        <f t="shared" si="1"/>
        <v>259</v>
      </c>
      <c r="B260" s="14">
        <f t="array" ref="B260">IF(OR(G260="",G260="Selecciona.."),"",XLOOKUP(G260,Productos!E:E,Productos!A:A,"",0,1))</f>
        <v>110</v>
      </c>
      <c r="C260" s="14">
        <f t="array" ref="C260">IF(B260="","",SUMIF(Implementos!B:B,XLOOKUP(B260,Productos!A:A,Productos!F:F,"",0,1),Implementos!A:A))</f>
        <v>10</v>
      </c>
      <c r="D260" s="14">
        <f t="array" ref="D260">IF(OR(H260="",H260="Selecciona.."),"",XLOOKUP(H260,Propiedades!B:B,Propiedades!A:A,"",0,1))</f>
        <v>2</v>
      </c>
      <c r="E260" s="14">
        <f t="shared" si="2"/>
        <v>1</v>
      </c>
      <c r="F260" s="14" t="str">
        <f t="shared" si="3"/>
        <v>110-2-Min</v>
      </c>
      <c r="G260" s="13" t="s">
        <v>129</v>
      </c>
      <c r="H260" s="13" t="s">
        <v>56</v>
      </c>
      <c r="I260" s="16" t="s">
        <v>22</v>
      </c>
      <c r="J260" s="17">
        <f t="shared" ref="J260:J261" si="5">J253*0.4</f>
        <v>160</v>
      </c>
      <c r="K260" s="14" t="str">
        <f t="array" ref="K260">IF(OR(H260="",H260="Selecciona.."),"",XLOOKUP(H260,Propiedades!B:B,Propiedades!C:C,"",0,1))</f>
        <v>kg</v>
      </c>
    </row>
    <row r="261">
      <c r="A261" s="14">
        <f t="shared" si="1"/>
        <v>260</v>
      </c>
      <c r="B261" s="14">
        <f t="array" ref="B261">IF(OR(G261="",G261="Selecciona.."),"",XLOOKUP(G261,Productos!E:E,Productos!A:A,"",0,1))</f>
        <v>111</v>
      </c>
      <c r="C261" s="14">
        <f t="array" ref="C261">IF(B261="","",SUMIF(Implementos!B:B,XLOOKUP(B261,Productos!A:A,Productos!F:F,"",0,1),Implementos!A:A))</f>
        <v>10</v>
      </c>
      <c r="D261" s="14">
        <f t="array" ref="D261">IF(OR(H261="",H261="Selecciona.."),"",XLOOKUP(H261,Propiedades!B:B,Propiedades!A:A,"",0,1))</f>
        <v>2</v>
      </c>
      <c r="E261" s="14">
        <f t="shared" si="2"/>
        <v>1</v>
      </c>
      <c r="F261" s="14" t="str">
        <f t="shared" si="3"/>
        <v>111-2-Min</v>
      </c>
      <c r="G261" s="13" t="s">
        <v>130</v>
      </c>
      <c r="H261" s="13" t="s">
        <v>56</v>
      </c>
      <c r="I261" s="16" t="s">
        <v>22</v>
      </c>
      <c r="J261" s="17">
        <f t="shared" si="5"/>
        <v>500</v>
      </c>
      <c r="K261" s="14" t="str">
        <f t="array" ref="K261">IF(OR(H261="",H261="Selecciona.."),"",XLOOKUP(H261,Propiedades!B:B,Propiedades!C:C,"",0,1))</f>
        <v>kg</v>
      </c>
    </row>
    <row r="262">
      <c r="A262" s="14">
        <f t="shared" si="1"/>
        <v>261</v>
      </c>
      <c r="B262" s="14">
        <f t="array" ref="B262">IF(OR(G262="",G262="Selecciona.."),"",XLOOKUP(G262,Productos!E:E,Productos!A:A,"",0,1))</f>
        <v>112</v>
      </c>
      <c r="C262" s="14">
        <f t="array" ref="C262">IF(B262="","",SUMIF(Implementos!B:B,XLOOKUP(B262,Productos!A:A,Productos!F:F,"",0,1),Implementos!A:A))</f>
        <v>10</v>
      </c>
      <c r="D262" s="14">
        <f t="array" ref="D262">IF(OR(H262="",H262="Selecciona.."),"",XLOOKUP(H262,Propiedades!B:B,Propiedades!A:A,"",0,1))</f>
        <v>2</v>
      </c>
      <c r="E262" s="14">
        <f t="shared" si="2"/>
        <v>1</v>
      </c>
      <c r="F262" s="14" t="str">
        <f t="shared" si="3"/>
        <v>112-2-Min</v>
      </c>
      <c r="G262" s="13" t="s">
        <v>45</v>
      </c>
      <c r="H262" s="13" t="s">
        <v>56</v>
      </c>
      <c r="I262" s="16" t="s">
        <v>22</v>
      </c>
      <c r="J262" s="16">
        <v>240.0</v>
      </c>
      <c r="K262" s="14" t="str">
        <f t="array" ref="K262">IF(OR(H262="",H262="Selecciona.."),"",XLOOKUP(H262,Propiedades!B:B,Propiedades!C:C,"",0,1))</f>
        <v>kg</v>
      </c>
    </row>
    <row r="263">
      <c r="A263" s="14">
        <f t="shared" si="1"/>
        <v>262</v>
      </c>
      <c r="B263" s="14">
        <f t="array" ref="B263">IF(OR(G263="",G263="Selecciona.."),"",XLOOKUP(G263,Productos!E:E,Productos!A:A,"",0,1))</f>
        <v>113</v>
      </c>
      <c r="C263" s="14">
        <f t="array" ref="C263">IF(B263="","",SUMIF(Implementos!B:B,XLOOKUP(B263,Productos!A:A,Productos!F:F,"",0,1),Implementos!A:A))</f>
        <v>10</v>
      </c>
      <c r="D263" s="14">
        <f t="array" ref="D263">IF(OR(H263="",H263="Selecciona.."),"",XLOOKUP(H263,Propiedades!B:B,Propiedades!A:A,"",0,1))</f>
        <v>2</v>
      </c>
      <c r="E263" s="14">
        <f t="shared" si="2"/>
        <v>1</v>
      </c>
      <c r="F263" s="14" t="str">
        <f t="shared" si="3"/>
        <v>113-2-Min</v>
      </c>
      <c r="G263" s="13" t="s">
        <v>131</v>
      </c>
      <c r="H263" s="13" t="s">
        <v>56</v>
      </c>
      <c r="I263" s="16" t="s">
        <v>22</v>
      </c>
      <c r="J263" s="17">
        <f t="shared" ref="J263:J266" si="6">J256*0.4</f>
        <v>560</v>
      </c>
      <c r="K263" s="14" t="str">
        <f t="array" ref="K263">IF(OR(H263="",H263="Selecciona.."),"",XLOOKUP(H263,Propiedades!B:B,Propiedades!C:C,"",0,1))</f>
        <v>kg</v>
      </c>
    </row>
    <row r="264">
      <c r="A264" s="14">
        <f t="shared" si="1"/>
        <v>263</v>
      </c>
      <c r="B264" s="14">
        <f t="array" ref="B264">IF(OR(G264="",G264="Selecciona.."),"",XLOOKUP(G264,Productos!E:E,Productos!A:A,"",0,1))</f>
        <v>114</v>
      </c>
      <c r="C264" s="14">
        <f t="array" ref="C264">IF(B264="","",SUMIF(Implementos!B:B,XLOOKUP(B264,Productos!A:A,Productos!F:F,"",0,1),Implementos!A:A))</f>
        <v>10</v>
      </c>
      <c r="D264" s="14">
        <f t="array" ref="D264">IF(OR(H264="",H264="Selecciona.."),"",XLOOKUP(H264,Propiedades!B:B,Propiedades!A:A,"",0,1))</f>
        <v>2</v>
      </c>
      <c r="E264" s="14">
        <f t="shared" si="2"/>
        <v>1</v>
      </c>
      <c r="F264" s="14" t="str">
        <f t="shared" si="3"/>
        <v>114-2-Min</v>
      </c>
      <c r="G264" s="13" t="s">
        <v>41</v>
      </c>
      <c r="H264" s="13" t="s">
        <v>56</v>
      </c>
      <c r="I264" s="16" t="s">
        <v>22</v>
      </c>
      <c r="J264" s="17">
        <f t="shared" si="6"/>
        <v>540</v>
      </c>
      <c r="K264" s="14" t="str">
        <f t="array" ref="K264">IF(OR(H264="",H264="Selecciona.."),"",XLOOKUP(H264,Propiedades!B:B,Propiedades!C:C,"",0,1))</f>
        <v>kg</v>
      </c>
    </row>
    <row r="265">
      <c r="A265" s="14">
        <f t="shared" si="1"/>
        <v>264</v>
      </c>
      <c r="B265" s="14">
        <f t="array" ref="B265">IF(OR(G265="",G265="Selecciona.."),"",XLOOKUP(G265,Productos!E:E,Productos!A:A,"",0,1))</f>
        <v>115</v>
      </c>
      <c r="C265" s="14">
        <f t="array" ref="C265">IF(B265="","",SUMIF(Implementos!B:B,XLOOKUP(B265,Productos!A:A,Productos!F:F,"",0,1),Implementos!A:A))</f>
        <v>10</v>
      </c>
      <c r="D265" s="14">
        <f t="array" ref="D265">IF(OR(H265="",H265="Selecciona.."),"",XLOOKUP(H265,Propiedades!B:B,Propiedades!A:A,"",0,1))</f>
        <v>2</v>
      </c>
      <c r="E265" s="14">
        <f t="shared" si="2"/>
        <v>1</v>
      </c>
      <c r="F265" s="14" t="str">
        <f t="shared" si="3"/>
        <v>115-2-Min</v>
      </c>
      <c r="G265" s="13" t="s">
        <v>43</v>
      </c>
      <c r="H265" s="13" t="s">
        <v>56</v>
      </c>
      <c r="I265" s="16" t="s">
        <v>22</v>
      </c>
      <c r="J265" s="17">
        <f t="shared" si="6"/>
        <v>660</v>
      </c>
      <c r="K265" s="14" t="str">
        <f t="array" ref="K265">IF(OR(H265="",H265="Selecciona.."),"",XLOOKUP(H265,Propiedades!B:B,Propiedades!C:C,"",0,1))</f>
        <v>kg</v>
      </c>
    </row>
    <row r="266">
      <c r="A266" s="14">
        <f t="shared" si="1"/>
        <v>265</v>
      </c>
      <c r="B266" s="14">
        <f t="array" ref="B266">IF(OR(G266="",G266="Selecciona.."),"",XLOOKUP(G266,Productos!E:E,Productos!A:A,"",0,1))</f>
        <v>151</v>
      </c>
      <c r="C266" s="14">
        <f t="array" ref="C266">IF(B266="","",SUMIF(Implementos!B:B,XLOOKUP(B266,Productos!A:A,Productos!F:F,"",0,1),Implementos!A:A))</f>
        <v>10</v>
      </c>
      <c r="D266" s="14">
        <f t="array" ref="D266">IF(OR(H266="",H266="Selecciona.."),"",XLOOKUP(H266,Propiedades!B:B,Propiedades!A:A,"",0,1))</f>
        <v>2</v>
      </c>
      <c r="E266" s="14">
        <f t="shared" si="2"/>
        <v>1</v>
      </c>
      <c r="F266" s="14" t="str">
        <f t="shared" si="3"/>
        <v>151-2-Min</v>
      </c>
      <c r="G266" s="13" t="s">
        <v>132</v>
      </c>
      <c r="H266" s="13" t="s">
        <v>56</v>
      </c>
      <c r="I266" s="16" t="s">
        <v>22</v>
      </c>
      <c r="J266" s="17">
        <f t="shared" si="6"/>
        <v>720</v>
      </c>
      <c r="K266" s="14" t="str">
        <f t="array" ref="K266">IF(OR(H266="",H266="Selecciona.."),"",XLOOKUP(H266,Propiedades!B:B,Propiedades!C:C,"",0,1))</f>
        <v>kg</v>
      </c>
    </row>
    <row r="267">
      <c r="A267" s="14">
        <f t="shared" si="1"/>
        <v>266</v>
      </c>
      <c r="B267" s="14">
        <f t="array" ref="B267">IF(OR(G267="",G267="Selecciona.."),"",XLOOKUP(G267,Productos!E:E,Productos!A:A,"",0,1))</f>
        <v>101</v>
      </c>
      <c r="C267" s="14">
        <f t="array" ref="C267">IF(B267="","",SUMIF(Implementos!B:B,XLOOKUP(B267,Productos!A:A,Productos!F:F,"",0,1),Implementos!A:A))</f>
        <v>10</v>
      </c>
      <c r="D267" s="14">
        <f t="array" ref="D267">IF(OR(H267="",H267="Selecciona.."),"",XLOOKUP(H267,Propiedades!B:B,Propiedades!A:A,"",0,1))</f>
        <v>2</v>
      </c>
      <c r="E267" s="14">
        <f t="shared" si="2"/>
        <v>1</v>
      </c>
      <c r="F267" s="14" t="str">
        <f t="shared" si="3"/>
        <v>101-2-Máx</v>
      </c>
      <c r="G267" s="13" t="s">
        <v>133</v>
      </c>
      <c r="H267" s="13" t="s">
        <v>56</v>
      </c>
      <c r="I267" s="16" t="s">
        <v>23</v>
      </c>
      <c r="J267" s="16">
        <v>1500.0</v>
      </c>
      <c r="K267" s="14" t="str">
        <f t="array" ref="K267">IF(OR(H267="",H267="Selecciona.."),"",XLOOKUP(H267,Propiedades!B:B,Propiedades!C:C,"",0,1))</f>
        <v>kg</v>
      </c>
    </row>
    <row r="268">
      <c r="A268" s="14">
        <f t="shared" si="1"/>
        <v>267</v>
      </c>
      <c r="B268" s="14">
        <f t="array" ref="B268">IF(OR(G268="",G268="Selecciona.."),"",XLOOKUP(G268,Productos!E:E,Productos!A:A,"",0,1))</f>
        <v>102</v>
      </c>
      <c r="C268" s="14">
        <f t="array" ref="C268">IF(B268="","",SUMIF(Implementos!B:B,XLOOKUP(B268,Productos!A:A,Productos!F:F,"",0,1),Implementos!A:A))</f>
        <v>10</v>
      </c>
      <c r="D268" s="14">
        <f t="array" ref="D268">IF(OR(H268="",H268="Selecciona.."),"",XLOOKUP(H268,Propiedades!B:B,Propiedades!A:A,"",0,1))</f>
        <v>2</v>
      </c>
      <c r="E268" s="14">
        <f t="shared" si="2"/>
        <v>1</v>
      </c>
      <c r="F268" s="14" t="str">
        <f t="shared" si="3"/>
        <v>102-2-Máx</v>
      </c>
      <c r="G268" s="13" t="s">
        <v>134</v>
      </c>
      <c r="H268" s="13" t="s">
        <v>56</v>
      </c>
      <c r="I268" s="16" t="s">
        <v>23</v>
      </c>
      <c r="J268" s="16">
        <v>2500.0</v>
      </c>
      <c r="K268" s="14" t="str">
        <f t="array" ref="K268">IF(OR(H268="",H268="Selecciona.."),"",XLOOKUP(H268,Propiedades!B:B,Propiedades!C:C,"",0,1))</f>
        <v>kg</v>
      </c>
    </row>
    <row r="269">
      <c r="A269" s="14">
        <f t="shared" si="1"/>
        <v>268</v>
      </c>
      <c r="B269" s="14">
        <f t="array" ref="B269">IF(OR(G269="",G269="Selecciona.."),"",XLOOKUP(G269,Productos!E:E,Productos!A:A,"",0,1))</f>
        <v>103</v>
      </c>
      <c r="C269" s="14">
        <f t="array" ref="C269">IF(B269="","",SUMIF(Implementos!B:B,XLOOKUP(B269,Productos!A:A,Productos!F:F,"",0,1),Implementos!A:A))</f>
        <v>10</v>
      </c>
      <c r="D269" s="14">
        <f t="array" ref="D269">IF(OR(H269="",H269="Selecciona.."),"",XLOOKUP(H269,Propiedades!B:B,Propiedades!A:A,"",0,1))</f>
        <v>2</v>
      </c>
      <c r="E269" s="14">
        <f t="shared" si="2"/>
        <v>1</v>
      </c>
      <c r="F269" s="14" t="str">
        <f t="shared" si="3"/>
        <v>103-2-Máx</v>
      </c>
      <c r="G269" s="13" t="s">
        <v>135</v>
      </c>
      <c r="H269" s="13" t="s">
        <v>56</v>
      </c>
      <c r="I269" s="16" t="s">
        <v>23</v>
      </c>
      <c r="J269" s="16">
        <v>4000.0</v>
      </c>
      <c r="K269" s="14" t="str">
        <f t="array" ref="K269">IF(OR(H269="",H269="Selecciona.."),"",XLOOKUP(H269,Propiedades!B:B,Propiedades!C:C,"",0,1))</f>
        <v>kg</v>
      </c>
    </row>
    <row r="270">
      <c r="A270" s="14">
        <f t="shared" si="1"/>
        <v>269</v>
      </c>
      <c r="B270" s="14">
        <f t="array" ref="B270">IF(OR(G270="",G270="Selecciona.."),"",XLOOKUP(G270,Productos!E:E,Productos!A:A,"",0,1))</f>
        <v>104</v>
      </c>
      <c r="C270" s="14">
        <f t="array" ref="C270">IF(B270="","",SUMIF(Implementos!B:B,XLOOKUP(B270,Productos!A:A,Productos!F:F,"",0,1),Implementos!A:A))</f>
        <v>10</v>
      </c>
      <c r="D270" s="14">
        <f t="array" ref="D270">IF(OR(H270="",H270="Selecciona.."),"",XLOOKUP(H270,Propiedades!B:B,Propiedades!A:A,"",0,1))</f>
        <v>2</v>
      </c>
      <c r="E270" s="14">
        <f t="shared" si="2"/>
        <v>1</v>
      </c>
      <c r="F270" s="14" t="str">
        <f t="shared" si="3"/>
        <v>104-2-Máx</v>
      </c>
      <c r="G270" s="13" t="s">
        <v>136</v>
      </c>
      <c r="H270" s="13" t="s">
        <v>56</v>
      </c>
      <c r="I270" s="16" t="s">
        <v>23</v>
      </c>
      <c r="J270" s="16">
        <v>7000.0</v>
      </c>
      <c r="K270" s="14" t="str">
        <f t="array" ref="K270">IF(OR(H270="",H270="Selecciona.."),"",XLOOKUP(H270,Propiedades!B:B,Propiedades!C:C,"",0,1))</f>
        <v>kg</v>
      </c>
    </row>
    <row r="271">
      <c r="A271" s="14">
        <f t="shared" si="1"/>
        <v>270</v>
      </c>
      <c r="B271" s="14">
        <f t="array" ref="B271">IF(OR(G271="",G271="Selecciona.."),"",XLOOKUP(G271,Productos!E:E,Productos!A:A,"",0,1))</f>
        <v>105</v>
      </c>
      <c r="C271" s="14">
        <f t="array" ref="C271">IF(B271="","",SUMIF(Implementos!B:B,XLOOKUP(B271,Productos!A:A,Productos!F:F,"",0,1),Implementos!A:A))</f>
        <v>10</v>
      </c>
      <c r="D271" s="14">
        <f t="array" ref="D271">IF(OR(H271="",H271="Selecciona.."),"",XLOOKUP(H271,Propiedades!B:B,Propiedades!A:A,"",0,1))</f>
        <v>2</v>
      </c>
      <c r="E271" s="14">
        <f t="shared" si="2"/>
        <v>1</v>
      </c>
      <c r="F271" s="14" t="str">
        <f t="shared" si="3"/>
        <v>105-2-Máx</v>
      </c>
      <c r="G271" s="13" t="s">
        <v>137</v>
      </c>
      <c r="H271" s="13" t="s">
        <v>56</v>
      </c>
      <c r="I271" s="16" t="s">
        <v>23</v>
      </c>
      <c r="J271" s="16">
        <v>2500.0</v>
      </c>
      <c r="K271" s="14" t="str">
        <f t="array" ref="K271">IF(OR(H271="",H271="Selecciona.."),"",XLOOKUP(H271,Propiedades!B:B,Propiedades!C:C,"",0,1))</f>
        <v>kg</v>
      </c>
    </row>
    <row r="272">
      <c r="A272" s="14">
        <f t="shared" si="1"/>
        <v>271</v>
      </c>
      <c r="B272" s="14">
        <f t="array" ref="B272">IF(OR(G272="",G272="Selecciona.."),"",XLOOKUP(G272,Productos!E:E,Productos!A:A,"",0,1))</f>
        <v>106</v>
      </c>
      <c r="C272" s="14">
        <f t="array" ref="C272">IF(B272="","",SUMIF(Implementos!B:B,XLOOKUP(B272,Productos!A:A,Productos!F:F,"",0,1),Implementos!A:A))</f>
        <v>10</v>
      </c>
      <c r="D272" s="14">
        <f t="array" ref="D272">IF(OR(H272="",H272="Selecciona.."),"",XLOOKUP(H272,Propiedades!B:B,Propiedades!A:A,"",0,1))</f>
        <v>2</v>
      </c>
      <c r="E272" s="14">
        <f t="shared" si="2"/>
        <v>1</v>
      </c>
      <c r="F272" s="14" t="str">
        <f t="shared" si="3"/>
        <v>106-2-Máx</v>
      </c>
      <c r="G272" s="13" t="s">
        <v>138</v>
      </c>
      <c r="H272" s="13" t="s">
        <v>56</v>
      </c>
      <c r="I272" s="16" t="s">
        <v>23</v>
      </c>
      <c r="J272" s="16">
        <v>1500.0</v>
      </c>
      <c r="K272" s="14" t="str">
        <f t="array" ref="K272">IF(OR(H272="",H272="Selecciona.."),"",XLOOKUP(H272,Propiedades!B:B,Propiedades!C:C,"",0,1))</f>
        <v>kg</v>
      </c>
    </row>
    <row r="273">
      <c r="A273" s="14">
        <f t="shared" si="1"/>
        <v>272</v>
      </c>
      <c r="B273" s="14">
        <f t="array" ref="B273">IF(OR(G273="",G273="Selecciona.."),"",XLOOKUP(G273,Productos!E:E,Productos!A:A,"",0,1))</f>
        <v>107</v>
      </c>
      <c r="C273" s="14">
        <f t="array" ref="C273">IF(B273="","",SUMIF(Implementos!B:B,XLOOKUP(B273,Productos!A:A,Productos!F:F,"",0,1),Implementos!A:A))</f>
        <v>10</v>
      </c>
      <c r="D273" s="14">
        <f t="array" ref="D273">IF(OR(H273="",H273="Selecciona.."),"",XLOOKUP(H273,Propiedades!B:B,Propiedades!A:A,"",0,1))</f>
        <v>2</v>
      </c>
      <c r="E273" s="14">
        <f t="shared" si="2"/>
        <v>1</v>
      </c>
      <c r="F273" s="14" t="str">
        <f t="shared" si="3"/>
        <v>107-2-Máx</v>
      </c>
      <c r="G273" s="13" t="s">
        <v>139</v>
      </c>
      <c r="H273" s="13" t="s">
        <v>56</v>
      </c>
      <c r="I273" s="16" t="s">
        <v>23</v>
      </c>
      <c r="J273" s="16">
        <v>2500.0</v>
      </c>
      <c r="K273" s="14" t="str">
        <f t="array" ref="K273">IF(OR(H273="",H273="Selecciona.."),"",XLOOKUP(H273,Propiedades!B:B,Propiedades!C:C,"",0,1))</f>
        <v>kg</v>
      </c>
    </row>
    <row r="274">
      <c r="A274" s="14">
        <f t="shared" si="1"/>
        <v>273</v>
      </c>
      <c r="B274" s="14">
        <f t="array" ref="B274">IF(OR(G274="",G274="Selecciona.."),"",XLOOKUP(G274,Productos!E:E,Productos!A:A,"",0,1))</f>
        <v>108</v>
      </c>
      <c r="C274" s="14">
        <f t="array" ref="C274">IF(B274="","",SUMIF(Implementos!B:B,XLOOKUP(B274,Productos!A:A,Productos!F:F,"",0,1),Implementos!A:A))</f>
        <v>10</v>
      </c>
      <c r="D274" s="14">
        <f t="array" ref="D274">IF(OR(H274="",H274="Selecciona.."),"",XLOOKUP(H274,Propiedades!B:B,Propiedades!A:A,"",0,1))</f>
        <v>2</v>
      </c>
      <c r="E274" s="14">
        <f t="shared" si="2"/>
        <v>1</v>
      </c>
      <c r="F274" s="14" t="str">
        <f t="shared" si="3"/>
        <v>108-2-Máx</v>
      </c>
      <c r="G274" s="13" t="s">
        <v>140</v>
      </c>
      <c r="H274" s="13" t="s">
        <v>56</v>
      </c>
      <c r="I274" s="16" t="s">
        <v>23</v>
      </c>
      <c r="J274" s="16">
        <v>2500.0</v>
      </c>
      <c r="K274" s="14" t="str">
        <f t="array" ref="K274">IF(OR(H274="",H274="Selecciona.."),"",XLOOKUP(H274,Propiedades!B:B,Propiedades!C:C,"",0,1))</f>
        <v>kg</v>
      </c>
    </row>
    <row r="275">
      <c r="A275" s="14">
        <f t="shared" si="1"/>
        <v>274</v>
      </c>
      <c r="B275" s="14">
        <f t="array" ref="B275">IF(OR(G275="",G275="Selecciona.."),"",XLOOKUP(G275,Productos!E:E,Productos!A:A,"",0,1))</f>
        <v>109</v>
      </c>
      <c r="C275" s="14">
        <f t="array" ref="C275">IF(B275="","",SUMIF(Implementos!B:B,XLOOKUP(B275,Productos!A:A,Productos!F:F,"",0,1),Implementos!A:A))</f>
        <v>10</v>
      </c>
      <c r="D275" s="14">
        <f t="array" ref="D275">IF(OR(H275="",H275="Selecciona.."),"",XLOOKUP(H275,Propiedades!B:B,Propiedades!A:A,"",0,1))</f>
        <v>2</v>
      </c>
      <c r="E275" s="14">
        <f t="shared" si="2"/>
        <v>1</v>
      </c>
      <c r="F275" s="14" t="str">
        <f t="shared" si="3"/>
        <v>109-2-Máx</v>
      </c>
      <c r="G275" s="13" t="s">
        <v>141</v>
      </c>
      <c r="H275" s="13" t="s">
        <v>56</v>
      </c>
      <c r="I275" s="16" t="s">
        <v>23</v>
      </c>
      <c r="J275" s="16">
        <v>4000.0</v>
      </c>
      <c r="K275" s="14" t="str">
        <f t="array" ref="K275">IF(OR(H275="",H275="Selecciona.."),"",XLOOKUP(H275,Propiedades!B:B,Propiedades!C:C,"",0,1))</f>
        <v>kg</v>
      </c>
    </row>
    <row r="276">
      <c r="A276" s="14">
        <f t="shared" si="1"/>
        <v>275</v>
      </c>
      <c r="B276" s="14">
        <f t="array" ref="B276">IF(OR(G276="",G276="Selecciona.."),"",XLOOKUP(G276,Productos!E:E,Productos!A:A,"",0,1))</f>
        <v>116</v>
      </c>
      <c r="C276" s="14">
        <f t="array" ref="C276">IF(B276="","",SUMIF(Implementos!B:B,XLOOKUP(B276,Productos!A:A,Productos!F:F,"",0,1),Implementos!A:A))</f>
        <v>10</v>
      </c>
      <c r="D276" s="14">
        <f t="array" ref="D276">IF(OR(H276="",H276="Selecciona.."),"",XLOOKUP(H276,Propiedades!B:B,Propiedades!A:A,"",0,1))</f>
        <v>2</v>
      </c>
      <c r="E276" s="14">
        <f t="shared" si="2"/>
        <v>1</v>
      </c>
      <c r="F276" s="14" t="str">
        <f t="shared" si="3"/>
        <v>116-2-Máx</v>
      </c>
      <c r="G276" s="13" t="s">
        <v>142</v>
      </c>
      <c r="H276" s="13" t="s">
        <v>56</v>
      </c>
      <c r="I276" s="16" t="s">
        <v>23</v>
      </c>
      <c r="J276" s="16">
        <v>1250.0</v>
      </c>
      <c r="K276" s="14" t="str">
        <f t="array" ref="K276">IF(OR(H276="",H276="Selecciona.."),"",XLOOKUP(H276,Propiedades!B:B,Propiedades!C:C,"",0,1))</f>
        <v>kg</v>
      </c>
    </row>
    <row r="277">
      <c r="A277" s="14">
        <f t="shared" si="1"/>
        <v>276</v>
      </c>
      <c r="B277" s="14">
        <f t="array" ref="B277">IF(OR(G277="",G277="Selecciona.."),"",XLOOKUP(G277,Productos!E:E,Productos!A:A,"",0,1))</f>
        <v>101</v>
      </c>
      <c r="C277" s="14">
        <f t="array" ref="C277">IF(B277="","",SUMIF(Implementos!B:B,XLOOKUP(B277,Productos!A:A,Productos!F:F,"",0,1),Implementos!A:A))</f>
        <v>10</v>
      </c>
      <c r="D277" s="14">
        <f t="array" ref="D277">IF(OR(H277="",H277="Selecciona.."),"",XLOOKUP(H277,Propiedades!B:B,Propiedades!A:A,"",0,1))</f>
        <v>2</v>
      </c>
      <c r="E277" s="14">
        <f t="shared" si="2"/>
        <v>1</v>
      </c>
      <c r="F277" s="14" t="str">
        <f t="shared" si="3"/>
        <v>101-2-Min</v>
      </c>
      <c r="G277" s="13" t="s">
        <v>133</v>
      </c>
      <c r="H277" s="13" t="s">
        <v>56</v>
      </c>
      <c r="I277" s="16" t="s">
        <v>22</v>
      </c>
      <c r="J277" s="16">
        <f t="shared" ref="J277:J286" si="7">J267*0.4</f>
        <v>600</v>
      </c>
      <c r="K277" s="14" t="str">
        <f t="array" ref="K277">IF(OR(H277="",H277="Selecciona.."),"",XLOOKUP(H277,Propiedades!B:B,Propiedades!C:C,"",0,1))</f>
        <v>kg</v>
      </c>
    </row>
    <row r="278">
      <c r="A278" s="14">
        <f t="shared" si="1"/>
        <v>277</v>
      </c>
      <c r="B278" s="14">
        <f t="array" ref="B278">IF(OR(G278="",G278="Selecciona.."),"",XLOOKUP(G278,Productos!E:E,Productos!A:A,"",0,1))</f>
        <v>102</v>
      </c>
      <c r="C278" s="14">
        <f t="array" ref="C278">IF(B278="","",SUMIF(Implementos!B:B,XLOOKUP(B278,Productos!A:A,Productos!F:F,"",0,1),Implementos!A:A))</f>
        <v>10</v>
      </c>
      <c r="D278" s="14">
        <f t="array" ref="D278">IF(OR(H278="",H278="Selecciona.."),"",XLOOKUP(H278,Propiedades!B:B,Propiedades!A:A,"",0,1))</f>
        <v>2</v>
      </c>
      <c r="E278" s="14">
        <f t="shared" si="2"/>
        <v>1</v>
      </c>
      <c r="F278" s="14" t="str">
        <f t="shared" si="3"/>
        <v>102-2-Min</v>
      </c>
      <c r="G278" s="13" t="s">
        <v>134</v>
      </c>
      <c r="H278" s="13" t="s">
        <v>56</v>
      </c>
      <c r="I278" s="16" t="s">
        <v>22</v>
      </c>
      <c r="J278" s="16">
        <f t="shared" si="7"/>
        <v>1000</v>
      </c>
      <c r="K278" s="14" t="str">
        <f t="array" ref="K278">IF(OR(H278="",H278="Selecciona.."),"",XLOOKUP(H278,Propiedades!B:B,Propiedades!C:C,"",0,1))</f>
        <v>kg</v>
      </c>
    </row>
    <row r="279">
      <c r="A279" s="14">
        <f t="shared" si="1"/>
        <v>278</v>
      </c>
      <c r="B279" s="14">
        <f t="array" ref="B279">IF(OR(G279="",G279="Selecciona.."),"",XLOOKUP(G279,Productos!E:E,Productos!A:A,"",0,1))</f>
        <v>103</v>
      </c>
      <c r="C279" s="14">
        <f t="array" ref="C279">IF(B279="","",SUMIF(Implementos!B:B,XLOOKUP(B279,Productos!A:A,Productos!F:F,"",0,1),Implementos!A:A))</f>
        <v>10</v>
      </c>
      <c r="D279" s="14">
        <f t="array" ref="D279">IF(OR(H279="",H279="Selecciona.."),"",XLOOKUP(H279,Propiedades!B:B,Propiedades!A:A,"",0,1))</f>
        <v>2</v>
      </c>
      <c r="E279" s="14">
        <f t="shared" si="2"/>
        <v>1</v>
      </c>
      <c r="F279" s="14" t="str">
        <f t="shared" si="3"/>
        <v>103-2-Min</v>
      </c>
      <c r="G279" s="13" t="s">
        <v>135</v>
      </c>
      <c r="H279" s="13" t="s">
        <v>56</v>
      </c>
      <c r="I279" s="16" t="s">
        <v>22</v>
      </c>
      <c r="J279" s="16">
        <f t="shared" si="7"/>
        <v>1600</v>
      </c>
      <c r="K279" s="14" t="str">
        <f t="array" ref="K279">IF(OR(H279="",H279="Selecciona.."),"",XLOOKUP(H279,Propiedades!B:B,Propiedades!C:C,"",0,1))</f>
        <v>kg</v>
      </c>
    </row>
    <row r="280">
      <c r="A280" s="14">
        <f t="shared" si="1"/>
        <v>279</v>
      </c>
      <c r="B280" s="14">
        <f t="array" ref="B280">IF(OR(G280="",G280="Selecciona.."),"",XLOOKUP(G280,Productos!E:E,Productos!A:A,"",0,1))</f>
        <v>104</v>
      </c>
      <c r="C280" s="14">
        <f t="array" ref="C280">IF(B280="","",SUMIF(Implementos!B:B,XLOOKUP(B280,Productos!A:A,Productos!F:F,"",0,1),Implementos!A:A))</f>
        <v>10</v>
      </c>
      <c r="D280" s="14">
        <f t="array" ref="D280">IF(OR(H280="",H280="Selecciona.."),"",XLOOKUP(H280,Propiedades!B:B,Propiedades!A:A,"",0,1))</f>
        <v>2</v>
      </c>
      <c r="E280" s="14">
        <f t="shared" si="2"/>
        <v>1</v>
      </c>
      <c r="F280" s="14" t="str">
        <f t="shared" si="3"/>
        <v>104-2-Min</v>
      </c>
      <c r="G280" s="13" t="s">
        <v>136</v>
      </c>
      <c r="H280" s="13" t="s">
        <v>56</v>
      </c>
      <c r="I280" s="16" t="s">
        <v>22</v>
      </c>
      <c r="J280" s="16">
        <f t="shared" si="7"/>
        <v>2800</v>
      </c>
      <c r="K280" s="14" t="str">
        <f t="array" ref="K280">IF(OR(H280="",H280="Selecciona.."),"",XLOOKUP(H280,Propiedades!B:B,Propiedades!C:C,"",0,1))</f>
        <v>kg</v>
      </c>
    </row>
    <row r="281">
      <c r="A281" s="14">
        <f t="shared" si="1"/>
        <v>280</v>
      </c>
      <c r="B281" s="14">
        <f t="array" ref="B281">IF(OR(G281="",G281="Selecciona.."),"",XLOOKUP(G281,Productos!E:E,Productos!A:A,"",0,1))</f>
        <v>105</v>
      </c>
      <c r="C281" s="14">
        <f t="array" ref="C281">IF(B281="","",SUMIF(Implementos!B:B,XLOOKUP(B281,Productos!A:A,Productos!F:F,"",0,1),Implementos!A:A))</f>
        <v>10</v>
      </c>
      <c r="D281" s="14">
        <f t="array" ref="D281">IF(OR(H281="",H281="Selecciona.."),"",XLOOKUP(H281,Propiedades!B:B,Propiedades!A:A,"",0,1))</f>
        <v>2</v>
      </c>
      <c r="E281" s="14">
        <f t="shared" si="2"/>
        <v>1</v>
      </c>
      <c r="F281" s="14" t="str">
        <f t="shared" si="3"/>
        <v>105-2-Min</v>
      </c>
      <c r="G281" s="13" t="s">
        <v>137</v>
      </c>
      <c r="H281" s="13" t="s">
        <v>56</v>
      </c>
      <c r="I281" s="16" t="s">
        <v>22</v>
      </c>
      <c r="J281" s="16">
        <f t="shared" si="7"/>
        <v>1000</v>
      </c>
      <c r="K281" s="14" t="str">
        <f t="array" ref="K281">IF(OR(H281="",H281="Selecciona.."),"",XLOOKUP(H281,Propiedades!B:B,Propiedades!C:C,"",0,1))</f>
        <v>kg</v>
      </c>
    </row>
    <row r="282">
      <c r="A282" s="14">
        <f t="shared" si="1"/>
        <v>281</v>
      </c>
      <c r="B282" s="14">
        <f t="array" ref="B282">IF(OR(G282="",G282="Selecciona.."),"",XLOOKUP(G282,Productos!E:E,Productos!A:A,"",0,1))</f>
        <v>106</v>
      </c>
      <c r="C282" s="14">
        <f t="array" ref="C282">IF(B282="","",SUMIF(Implementos!B:B,XLOOKUP(B282,Productos!A:A,Productos!F:F,"",0,1),Implementos!A:A))</f>
        <v>10</v>
      </c>
      <c r="D282" s="14">
        <f t="array" ref="D282">IF(OR(H282="",H282="Selecciona.."),"",XLOOKUP(H282,Propiedades!B:B,Propiedades!A:A,"",0,1))</f>
        <v>2</v>
      </c>
      <c r="E282" s="14">
        <f t="shared" si="2"/>
        <v>1</v>
      </c>
      <c r="F282" s="14" t="str">
        <f t="shared" si="3"/>
        <v>106-2-Min</v>
      </c>
      <c r="G282" s="13" t="s">
        <v>138</v>
      </c>
      <c r="H282" s="13" t="s">
        <v>56</v>
      </c>
      <c r="I282" s="16" t="s">
        <v>22</v>
      </c>
      <c r="J282" s="16">
        <f t="shared" si="7"/>
        <v>600</v>
      </c>
      <c r="K282" s="14" t="str">
        <f t="array" ref="K282">IF(OR(H282="",H282="Selecciona.."),"",XLOOKUP(H282,Propiedades!B:B,Propiedades!C:C,"",0,1))</f>
        <v>kg</v>
      </c>
    </row>
    <row r="283">
      <c r="A283" s="14">
        <f t="shared" si="1"/>
        <v>282</v>
      </c>
      <c r="B283" s="14">
        <f t="array" ref="B283">IF(OR(G283="",G283="Selecciona.."),"",XLOOKUP(G283,Productos!E:E,Productos!A:A,"",0,1))</f>
        <v>107</v>
      </c>
      <c r="C283" s="14">
        <f t="array" ref="C283">IF(B283="","",SUMIF(Implementos!B:B,XLOOKUP(B283,Productos!A:A,Productos!F:F,"",0,1),Implementos!A:A))</f>
        <v>10</v>
      </c>
      <c r="D283" s="14">
        <f t="array" ref="D283">IF(OR(H283="",H283="Selecciona.."),"",XLOOKUP(H283,Propiedades!B:B,Propiedades!A:A,"",0,1))</f>
        <v>2</v>
      </c>
      <c r="E283" s="14">
        <f t="shared" si="2"/>
        <v>1</v>
      </c>
      <c r="F283" s="14" t="str">
        <f t="shared" si="3"/>
        <v>107-2-Min</v>
      </c>
      <c r="G283" s="13" t="s">
        <v>139</v>
      </c>
      <c r="H283" s="13" t="s">
        <v>56</v>
      </c>
      <c r="I283" s="16" t="s">
        <v>22</v>
      </c>
      <c r="J283" s="16">
        <f t="shared" si="7"/>
        <v>1000</v>
      </c>
      <c r="K283" s="14" t="str">
        <f t="array" ref="K283">IF(OR(H283="",H283="Selecciona.."),"",XLOOKUP(H283,Propiedades!B:B,Propiedades!C:C,"",0,1))</f>
        <v>kg</v>
      </c>
    </row>
    <row r="284">
      <c r="A284" s="14">
        <f t="shared" si="1"/>
        <v>283</v>
      </c>
      <c r="B284" s="14">
        <f t="array" ref="B284">IF(OR(G284="",G284="Selecciona.."),"",XLOOKUP(G284,Productos!E:E,Productos!A:A,"",0,1))</f>
        <v>108</v>
      </c>
      <c r="C284" s="14">
        <f t="array" ref="C284">IF(B284="","",SUMIF(Implementos!B:B,XLOOKUP(B284,Productos!A:A,Productos!F:F,"",0,1),Implementos!A:A))</f>
        <v>10</v>
      </c>
      <c r="D284" s="14">
        <f t="array" ref="D284">IF(OR(H284="",H284="Selecciona.."),"",XLOOKUP(H284,Propiedades!B:B,Propiedades!A:A,"",0,1))</f>
        <v>2</v>
      </c>
      <c r="E284" s="14">
        <f t="shared" si="2"/>
        <v>1</v>
      </c>
      <c r="F284" s="14" t="str">
        <f t="shared" si="3"/>
        <v>108-2-Min</v>
      </c>
      <c r="G284" s="13" t="s">
        <v>140</v>
      </c>
      <c r="H284" s="13" t="s">
        <v>56</v>
      </c>
      <c r="I284" s="16" t="s">
        <v>22</v>
      </c>
      <c r="J284" s="16">
        <f t="shared" si="7"/>
        <v>1000</v>
      </c>
      <c r="K284" s="14" t="str">
        <f t="array" ref="K284">IF(OR(H284="",H284="Selecciona.."),"",XLOOKUP(H284,Propiedades!B:B,Propiedades!C:C,"",0,1))</f>
        <v>kg</v>
      </c>
    </row>
    <row r="285">
      <c r="A285" s="14">
        <f t="shared" si="1"/>
        <v>284</v>
      </c>
      <c r="B285" s="14">
        <f t="array" ref="B285">IF(OR(G285="",G285="Selecciona.."),"",XLOOKUP(G285,Productos!E:E,Productos!A:A,"",0,1))</f>
        <v>109</v>
      </c>
      <c r="C285" s="14">
        <f t="array" ref="C285">IF(B285="","",SUMIF(Implementos!B:B,XLOOKUP(B285,Productos!A:A,Productos!F:F,"",0,1),Implementos!A:A))</f>
        <v>10</v>
      </c>
      <c r="D285" s="14">
        <f t="array" ref="D285">IF(OR(H285="",H285="Selecciona.."),"",XLOOKUP(H285,Propiedades!B:B,Propiedades!A:A,"",0,1))</f>
        <v>2</v>
      </c>
      <c r="E285" s="14">
        <f t="shared" si="2"/>
        <v>1</v>
      </c>
      <c r="F285" s="14" t="str">
        <f t="shared" si="3"/>
        <v>109-2-Min</v>
      </c>
      <c r="G285" s="13" t="s">
        <v>141</v>
      </c>
      <c r="H285" s="13" t="s">
        <v>56</v>
      </c>
      <c r="I285" s="16" t="s">
        <v>22</v>
      </c>
      <c r="J285" s="16">
        <f t="shared" si="7"/>
        <v>1600</v>
      </c>
      <c r="K285" s="14" t="str">
        <f t="array" ref="K285">IF(OR(H285="",H285="Selecciona.."),"",XLOOKUP(H285,Propiedades!B:B,Propiedades!C:C,"",0,1))</f>
        <v>kg</v>
      </c>
    </row>
    <row r="286">
      <c r="A286" s="14">
        <f t="shared" si="1"/>
        <v>285</v>
      </c>
      <c r="B286" s="14">
        <f t="array" ref="B286">IF(OR(G286="",G286="Selecciona.."),"",XLOOKUP(G286,Productos!E:E,Productos!A:A,"",0,1))</f>
        <v>116</v>
      </c>
      <c r="C286" s="14">
        <f t="array" ref="C286">IF(B286="","",SUMIF(Implementos!B:B,XLOOKUP(B286,Productos!A:A,Productos!F:F,"",0,1),Implementos!A:A))</f>
        <v>10</v>
      </c>
      <c r="D286" s="14">
        <f t="array" ref="D286">IF(OR(H286="",H286="Selecciona.."),"",XLOOKUP(H286,Propiedades!B:B,Propiedades!A:A,"",0,1))</f>
        <v>2</v>
      </c>
      <c r="E286" s="14">
        <f t="shared" si="2"/>
        <v>1</v>
      </c>
      <c r="F286" s="14" t="str">
        <f t="shared" si="3"/>
        <v>116-2-Min</v>
      </c>
      <c r="G286" s="13" t="s">
        <v>142</v>
      </c>
      <c r="H286" s="13" t="s">
        <v>56</v>
      </c>
      <c r="I286" s="16" t="s">
        <v>22</v>
      </c>
      <c r="J286" s="16">
        <f t="shared" si="7"/>
        <v>500</v>
      </c>
      <c r="K286" s="14" t="str">
        <f t="array" ref="K286">IF(OR(H286="",H286="Selecciona.."),"",XLOOKUP(H286,Propiedades!B:B,Propiedades!C:C,"",0,1))</f>
        <v>kg</v>
      </c>
    </row>
    <row r="287">
      <c r="A287" s="14">
        <f t="shared" si="1"/>
        <v>286</v>
      </c>
      <c r="B287" s="14">
        <f t="array" ref="B287">IF(OR(G287="",G287="Selecciona.."),"",XLOOKUP(G287,Productos!E:E,Productos!A:A,"",0,1))</f>
        <v>110</v>
      </c>
      <c r="C287" s="14">
        <f t="array" ref="C287">IF(B287="","",SUMIF(Implementos!B:B,XLOOKUP(B287,Productos!A:A,Productos!F:F,"",0,1),Implementos!A:A))</f>
        <v>10</v>
      </c>
      <c r="D287" s="14">
        <f t="array" ref="D287">IF(OR(H287="",H287="Selecciona.."),"",XLOOKUP(H287,Propiedades!B:B,Propiedades!A:A,"",0,1))</f>
        <v>10</v>
      </c>
      <c r="E287" s="14">
        <f t="shared" si="2"/>
        <v>0</v>
      </c>
      <c r="F287" s="14" t="str">
        <f t="shared" si="3"/>
        <v>110-10-Exa</v>
      </c>
      <c r="G287" s="13" t="s">
        <v>129</v>
      </c>
      <c r="H287" s="13" t="s">
        <v>143</v>
      </c>
      <c r="I287" s="16" t="s">
        <v>55</v>
      </c>
      <c r="J287" s="16">
        <v>92.0</v>
      </c>
      <c r="K287" s="14" t="str">
        <f t="array" ref="K287">IF(OR(H287="",H287="Selecciona.."),"",XLOOKUP(H287,Propiedades!B:B,Propiedades!C:C,"",0,1))</f>
        <v>mm</v>
      </c>
    </row>
    <row r="288">
      <c r="A288" s="14">
        <f t="shared" si="1"/>
        <v>287</v>
      </c>
      <c r="B288" s="14">
        <f t="array" ref="B288">IF(OR(G288="",G288="Selecciona.."),"",XLOOKUP(G288,Productos!E:E,Productos!A:A,"",0,1))</f>
        <v>111</v>
      </c>
      <c r="C288" s="14">
        <f t="array" ref="C288">IF(B288="","",SUMIF(Implementos!B:B,XLOOKUP(B288,Productos!A:A,Productos!F:F,"",0,1),Implementos!A:A))</f>
        <v>10</v>
      </c>
      <c r="D288" s="14">
        <f t="array" ref="D288">IF(OR(H288="",H288="Selecciona.."),"",XLOOKUP(H288,Propiedades!B:B,Propiedades!A:A,"",0,1))</f>
        <v>10</v>
      </c>
      <c r="E288" s="14">
        <f t="shared" si="2"/>
        <v>0</v>
      </c>
      <c r="F288" s="14" t="str">
        <f t="shared" si="3"/>
        <v>111-10-Exa</v>
      </c>
      <c r="G288" s="13" t="s">
        <v>130</v>
      </c>
      <c r="H288" s="13" t="s">
        <v>143</v>
      </c>
      <c r="I288" s="16" t="s">
        <v>55</v>
      </c>
      <c r="J288" s="16">
        <v>92.0</v>
      </c>
      <c r="K288" s="14" t="str">
        <f t="array" ref="K288">IF(OR(H288="",H288="Selecciona.."),"",XLOOKUP(H288,Propiedades!B:B,Propiedades!C:C,"",0,1))</f>
        <v>mm</v>
      </c>
    </row>
    <row r="289">
      <c r="A289" s="14">
        <f t="shared" si="1"/>
        <v>288</v>
      </c>
      <c r="B289" s="14">
        <f t="array" ref="B289">IF(OR(G289="",G289="Selecciona.."),"",XLOOKUP(G289,Productos!E:E,Productos!A:A,"",0,1))</f>
        <v>112</v>
      </c>
      <c r="C289" s="14">
        <f t="array" ref="C289">IF(B289="","",SUMIF(Implementos!B:B,XLOOKUP(B289,Productos!A:A,Productos!F:F,"",0,1),Implementos!A:A))</f>
        <v>10</v>
      </c>
      <c r="D289" s="14">
        <f t="array" ref="D289">IF(OR(H289="",H289="Selecciona.."),"",XLOOKUP(H289,Propiedades!B:B,Propiedades!A:A,"",0,1))</f>
        <v>10</v>
      </c>
      <c r="E289" s="14">
        <f t="shared" si="2"/>
        <v>0</v>
      </c>
      <c r="F289" s="14" t="str">
        <f t="shared" si="3"/>
        <v>112-10-Exa</v>
      </c>
      <c r="G289" s="13" t="s">
        <v>45</v>
      </c>
      <c r="H289" s="13" t="s">
        <v>143</v>
      </c>
      <c r="I289" s="16" t="s">
        <v>55</v>
      </c>
      <c r="J289" s="16">
        <v>92.0</v>
      </c>
      <c r="K289" s="14" t="str">
        <f t="array" ref="K289">IF(OR(H289="",H289="Selecciona.."),"",XLOOKUP(H289,Propiedades!B:B,Propiedades!C:C,"",0,1))</f>
        <v>mm</v>
      </c>
    </row>
    <row r="290">
      <c r="A290" s="14">
        <f t="shared" si="1"/>
        <v>289</v>
      </c>
      <c r="B290" s="14">
        <f t="array" ref="B290">IF(OR(G290="",G290="Selecciona.."),"",XLOOKUP(G290,Productos!E:E,Productos!A:A,"",0,1))</f>
        <v>113</v>
      </c>
      <c r="C290" s="14">
        <f t="array" ref="C290">IF(B290="","",SUMIF(Implementos!B:B,XLOOKUP(B290,Productos!A:A,Productos!F:F,"",0,1),Implementos!A:A))</f>
        <v>10</v>
      </c>
      <c r="D290" s="14">
        <f t="array" ref="D290">IF(OR(H290="",H290="Selecciona.."),"",XLOOKUP(H290,Propiedades!B:B,Propiedades!A:A,"",0,1))</f>
        <v>10</v>
      </c>
      <c r="E290" s="14">
        <f t="shared" si="2"/>
        <v>0</v>
      </c>
      <c r="F290" s="14" t="str">
        <f t="shared" si="3"/>
        <v>113-10-Exa</v>
      </c>
      <c r="G290" s="13" t="s">
        <v>131</v>
      </c>
      <c r="H290" s="13" t="s">
        <v>143</v>
      </c>
      <c r="I290" s="16" t="s">
        <v>55</v>
      </c>
      <c r="J290" s="16">
        <v>92.0</v>
      </c>
      <c r="K290" s="14" t="str">
        <f t="array" ref="K290">IF(OR(H290="",H290="Selecciona.."),"",XLOOKUP(H290,Propiedades!B:B,Propiedades!C:C,"",0,1))</f>
        <v>mm</v>
      </c>
    </row>
    <row r="291">
      <c r="A291" s="14">
        <f t="shared" si="1"/>
        <v>290</v>
      </c>
      <c r="B291" s="14">
        <f t="array" ref="B291">IF(OR(G291="",G291="Selecciona.."),"",XLOOKUP(G291,Productos!E:E,Productos!A:A,"",0,1))</f>
        <v>114</v>
      </c>
      <c r="C291" s="14">
        <f t="array" ref="C291">IF(B291="","",SUMIF(Implementos!B:B,XLOOKUP(B291,Productos!A:A,Productos!F:F,"",0,1),Implementos!A:A))</f>
        <v>10</v>
      </c>
      <c r="D291" s="14">
        <f t="array" ref="D291">IF(OR(H291="",H291="Selecciona.."),"",XLOOKUP(H291,Propiedades!B:B,Propiedades!A:A,"",0,1))</f>
        <v>10</v>
      </c>
      <c r="E291" s="14">
        <f t="shared" si="2"/>
        <v>0</v>
      </c>
      <c r="F291" s="14" t="str">
        <f t="shared" si="3"/>
        <v>114-10-Exa</v>
      </c>
      <c r="G291" s="13" t="s">
        <v>41</v>
      </c>
      <c r="H291" s="13" t="s">
        <v>143</v>
      </c>
      <c r="I291" s="16" t="s">
        <v>55</v>
      </c>
      <c r="J291" s="16">
        <v>152.0</v>
      </c>
      <c r="K291" s="14" t="str">
        <f t="array" ref="K291">IF(OR(H291="",H291="Selecciona.."),"",XLOOKUP(H291,Propiedades!B:B,Propiedades!C:C,"",0,1))</f>
        <v>mm</v>
      </c>
    </row>
    <row r="292">
      <c r="A292" s="14">
        <f t="shared" si="1"/>
        <v>291</v>
      </c>
      <c r="B292" s="14">
        <f t="array" ref="B292">IF(OR(G292="",G292="Selecciona.."),"",XLOOKUP(G292,Productos!E:E,Productos!A:A,"",0,1))</f>
        <v>115</v>
      </c>
      <c r="C292" s="14">
        <f t="array" ref="C292">IF(B292="","",SUMIF(Implementos!B:B,XLOOKUP(B292,Productos!A:A,Productos!F:F,"",0,1),Implementos!A:A))</f>
        <v>10</v>
      </c>
      <c r="D292" s="14">
        <f t="array" ref="D292">IF(OR(H292="",H292="Selecciona.."),"",XLOOKUP(H292,Propiedades!B:B,Propiedades!A:A,"",0,1))</f>
        <v>10</v>
      </c>
      <c r="E292" s="14">
        <f t="shared" si="2"/>
        <v>0</v>
      </c>
      <c r="F292" s="14" t="str">
        <f t="shared" si="3"/>
        <v>115-10-Exa</v>
      </c>
      <c r="G292" s="13" t="s">
        <v>43</v>
      </c>
      <c r="H292" s="13" t="s">
        <v>143</v>
      </c>
      <c r="I292" s="16" t="s">
        <v>55</v>
      </c>
      <c r="J292" s="16">
        <v>152.0</v>
      </c>
      <c r="K292" s="14" t="str">
        <f t="array" ref="K292">IF(OR(H292="",H292="Selecciona.."),"",XLOOKUP(H292,Propiedades!B:B,Propiedades!C:C,"",0,1))</f>
        <v>mm</v>
      </c>
    </row>
    <row r="293">
      <c r="A293" s="14">
        <f t="shared" si="1"/>
        <v>292</v>
      </c>
      <c r="B293" s="14">
        <f t="array" ref="B293">IF(OR(G293="",G293="Selecciona.."),"",XLOOKUP(G293,Productos!E:E,Productos!A:A,"",0,1))</f>
        <v>151</v>
      </c>
      <c r="C293" s="14">
        <f t="array" ref="C293">IF(B293="","",SUMIF(Implementos!B:B,XLOOKUP(B293,Productos!A:A,Productos!F:F,"",0,1),Implementos!A:A))</f>
        <v>10</v>
      </c>
      <c r="D293" s="14">
        <f t="array" ref="D293">IF(OR(H293="",H293="Selecciona.."),"",XLOOKUP(H293,Propiedades!B:B,Propiedades!A:A,"",0,1))</f>
        <v>10</v>
      </c>
      <c r="E293" s="14">
        <f t="shared" si="2"/>
        <v>0</v>
      </c>
      <c r="F293" s="14" t="str">
        <f t="shared" si="3"/>
        <v>151-10-Exa</v>
      </c>
      <c r="G293" s="13" t="s">
        <v>132</v>
      </c>
      <c r="H293" s="13" t="s">
        <v>143</v>
      </c>
      <c r="I293" s="16" t="s">
        <v>55</v>
      </c>
      <c r="J293" s="16">
        <v>152.0</v>
      </c>
      <c r="K293" s="14" t="str">
        <f t="array" ref="K293">IF(OR(H293="",H293="Selecciona.."),"",XLOOKUP(H293,Propiedades!B:B,Propiedades!C:C,"",0,1))</f>
        <v>mm</v>
      </c>
    </row>
    <row r="294">
      <c r="A294" s="14">
        <f t="shared" si="1"/>
        <v>293</v>
      </c>
      <c r="B294" s="14">
        <f t="array" ref="B294">IF(OR(G294="",G294="Selecciona.."),"",XLOOKUP(G294,Productos!E:E,Productos!A:A,"",0,1))</f>
        <v>101</v>
      </c>
      <c r="C294" s="14">
        <f t="array" ref="C294">IF(B294="","",SUMIF(Implementos!B:B,XLOOKUP(B294,Productos!A:A,Productos!F:F,"",0,1),Implementos!A:A))</f>
        <v>10</v>
      </c>
      <c r="D294" s="14">
        <f t="array" ref="D294">IF(OR(H294="",H294="Selecciona.."),"",XLOOKUP(H294,Propiedades!B:B,Propiedades!A:A,"",0,1))</f>
        <v>10</v>
      </c>
      <c r="E294" s="14">
        <f t="shared" si="2"/>
        <v>2</v>
      </c>
      <c r="F294" s="14" t="str">
        <f t="shared" si="3"/>
        <v>101-10-Máx</v>
      </c>
      <c r="G294" s="13" t="s">
        <v>133</v>
      </c>
      <c r="H294" s="13" t="s">
        <v>143</v>
      </c>
      <c r="I294" s="16" t="s">
        <v>23</v>
      </c>
      <c r="J294" s="16">
        <v>92.0</v>
      </c>
      <c r="K294" s="14" t="str">
        <f t="array" ref="K294">IF(OR(H294="",H294="Selecciona.."),"",XLOOKUP(H294,Propiedades!B:B,Propiedades!C:C,"",0,1))</f>
        <v>mm</v>
      </c>
    </row>
    <row r="295">
      <c r="A295" s="14">
        <f t="shared" si="1"/>
        <v>294</v>
      </c>
      <c r="B295" s="14">
        <f t="array" ref="B295">IF(OR(G295="",G295="Selecciona.."),"",XLOOKUP(G295,Productos!E:E,Productos!A:A,"",0,1))</f>
        <v>102</v>
      </c>
      <c r="C295" s="14">
        <f t="array" ref="C295">IF(B295="","",SUMIF(Implementos!B:B,XLOOKUP(B295,Productos!A:A,Productos!F:F,"",0,1),Implementos!A:A))</f>
        <v>10</v>
      </c>
      <c r="D295" s="14">
        <f t="array" ref="D295">IF(OR(H295="",H295="Selecciona.."),"",XLOOKUP(H295,Propiedades!B:B,Propiedades!A:A,"",0,1))</f>
        <v>10</v>
      </c>
      <c r="E295" s="14">
        <f t="shared" si="2"/>
        <v>2</v>
      </c>
      <c r="F295" s="14" t="str">
        <f t="shared" si="3"/>
        <v>102-10-Máx</v>
      </c>
      <c r="G295" s="13" t="s">
        <v>134</v>
      </c>
      <c r="H295" s="13" t="s">
        <v>143</v>
      </c>
      <c r="I295" s="16" t="s">
        <v>23</v>
      </c>
      <c r="J295" s="16">
        <v>92.0</v>
      </c>
      <c r="K295" s="14" t="str">
        <f t="array" ref="K295">IF(OR(H295="",H295="Selecciona.."),"",XLOOKUP(H295,Propiedades!B:B,Propiedades!C:C,"",0,1))</f>
        <v>mm</v>
      </c>
    </row>
    <row r="296">
      <c r="A296" s="14">
        <f t="shared" si="1"/>
        <v>295</v>
      </c>
      <c r="B296" s="14">
        <f t="array" ref="B296">IF(OR(G296="",G296="Selecciona.."),"",XLOOKUP(G296,Productos!E:E,Productos!A:A,"",0,1))</f>
        <v>103</v>
      </c>
      <c r="C296" s="14">
        <f t="array" ref="C296">IF(B296="","",SUMIF(Implementos!B:B,XLOOKUP(B296,Productos!A:A,Productos!F:F,"",0,1),Implementos!A:A))</f>
        <v>10</v>
      </c>
      <c r="D296" s="14">
        <f t="array" ref="D296">IF(OR(H296="",H296="Selecciona.."),"",XLOOKUP(H296,Propiedades!B:B,Propiedades!A:A,"",0,1))</f>
        <v>10</v>
      </c>
      <c r="E296" s="14">
        <f t="shared" si="2"/>
        <v>2</v>
      </c>
      <c r="F296" s="14" t="str">
        <f t="shared" si="3"/>
        <v>103-10-Máx</v>
      </c>
      <c r="G296" s="13" t="s">
        <v>135</v>
      </c>
      <c r="H296" s="13" t="s">
        <v>143</v>
      </c>
      <c r="I296" s="16" t="s">
        <v>23</v>
      </c>
      <c r="J296" s="16">
        <v>152.0</v>
      </c>
      <c r="K296" s="14" t="str">
        <f t="array" ref="K296">IF(OR(H296="",H296="Selecciona.."),"",XLOOKUP(H296,Propiedades!B:B,Propiedades!C:C,"",0,1))</f>
        <v>mm</v>
      </c>
    </row>
    <row r="297">
      <c r="A297" s="14">
        <f t="shared" si="1"/>
        <v>296</v>
      </c>
      <c r="B297" s="14">
        <f t="array" ref="B297">IF(OR(G297="",G297="Selecciona.."),"",XLOOKUP(G297,Productos!E:E,Productos!A:A,"",0,1))</f>
        <v>104</v>
      </c>
      <c r="C297" s="14">
        <f t="array" ref="C297">IF(B297="","",SUMIF(Implementos!B:B,XLOOKUP(B297,Productos!A:A,Productos!F:F,"",0,1),Implementos!A:A))</f>
        <v>10</v>
      </c>
      <c r="D297" s="14">
        <f t="array" ref="D297">IF(OR(H297="",H297="Selecciona.."),"",XLOOKUP(H297,Propiedades!B:B,Propiedades!A:A,"",0,1))</f>
        <v>10</v>
      </c>
      <c r="E297" s="14">
        <f t="shared" si="2"/>
        <v>2</v>
      </c>
      <c r="F297" s="14" t="str">
        <f t="shared" si="3"/>
        <v>104-10-Máx</v>
      </c>
      <c r="G297" s="13" t="s">
        <v>136</v>
      </c>
      <c r="H297" s="13" t="s">
        <v>143</v>
      </c>
      <c r="I297" s="16" t="s">
        <v>23</v>
      </c>
      <c r="J297" s="16">
        <v>152.0</v>
      </c>
      <c r="K297" s="14" t="str">
        <f t="array" ref="K297">IF(OR(H297="",H297="Selecciona.."),"",XLOOKUP(H297,Propiedades!B:B,Propiedades!C:C,"",0,1))</f>
        <v>mm</v>
      </c>
    </row>
    <row r="298">
      <c r="A298" s="14">
        <f t="shared" si="1"/>
        <v>297</v>
      </c>
      <c r="B298" s="14">
        <f t="array" ref="B298">IF(OR(G298="",G298="Selecciona.."),"",XLOOKUP(G298,Productos!E:E,Productos!A:A,"",0,1))</f>
        <v>105</v>
      </c>
      <c r="C298" s="14">
        <f t="array" ref="C298">IF(B298="","",SUMIF(Implementos!B:B,XLOOKUP(B298,Productos!A:A,Productos!F:F,"",0,1),Implementos!A:A))</f>
        <v>10</v>
      </c>
      <c r="D298" s="14">
        <f t="array" ref="D298">IF(OR(H298="",H298="Selecciona.."),"",XLOOKUP(H298,Propiedades!B:B,Propiedades!A:A,"",0,1))</f>
        <v>10</v>
      </c>
      <c r="E298" s="14">
        <f t="shared" si="2"/>
        <v>2</v>
      </c>
      <c r="F298" s="14" t="str">
        <f t="shared" si="3"/>
        <v>105-10-Máx</v>
      </c>
      <c r="G298" s="13" t="s">
        <v>137</v>
      </c>
      <c r="H298" s="13" t="s">
        <v>143</v>
      </c>
      <c r="I298" s="16" t="s">
        <v>23</v>
      </c>
      <c r="J298" s="16">
        <v>92.0</v>
      </c>
      <c r="K298" s="14" t="str">
        <f t="array" ref="K298">IF(OR(H298="",H298="Selecciona.."),"",XLOOKUP(H298,Propiedades!B:B,Propiedades!C:C,"",0,1))</f>
        <v>mm</v>
      </c>
    </row>
    <row r="299">
      <c r="A299" s="14">
        <f t="shared" si="1"/>
        <v>298</v>
      </c>
      <c r="B299" s="14">
        <f t="array" ref="B299">IF(OR(G299="",G299="Selecciona.."),"",XLOOKUP(G299,Productos!E:E,Productos!A:A,"",0,1))</f>
        <v>106</v>
      </c>
      <c r="C299" s="14">
        <f t="array" ref="C299">IF(B299="","",SUMIF(Implementos!B:B,XLOOKUP(B299,Productos!A:A,Productos!F:F,"",0,1),Implementos!A:A))</f>
        <v>10</v>
      </c>
      <c r="D299" s="14">
        <f t="array" ref="D299">IF(OR(H299="",H299="Selecciona.."),"",XLOOKUP(H299,Propiedades!B:B,Propiedades!A:A,"",0,1))</f>
        <v>10</v>
      </c>
      <c r="E299" s="14">
        <f t="shared" si="2"/>
        <v>2</v>
      </c>
      <c r="F299" s="14" t="str">
        <f t="shared" si="3"/>
        <v>106-10-Máx</v>
      </c>
      <c r="G299" s="13" t="s">
        <v>138</v>
      </c>
      <c r="H299" s="13" t="s">
        <v>143</v>
      </c>
      <c r="I299" s="16" t="s">
        <v>23</v>
      </c>
      <c r="J299" s="16">
        <v>92.0</v>
      </c>
      <c r="K299" s="14" t="str">
        <f t="array" ref="K299">IF(OR(H299="",H299="Selecciona.."),"",XLOOKUP(H299,Propiedades!B:B,Propiedades!C:C,"",0,1))</f>
        <v>mm</v>
      </c>
    </row>
    <row r="300">
      <c r="A300" s="14">
        <f t="shared" si="1"/>
        <v>299</v>
      </c>
      <c r="B300" s="14">
        <f t="array" ref="B300">IF(OR(G300="",G300="Selecciona.."),"",XLOOKUP(G300,Productos!E:E,Productos!A:A,"",0,1))</f>
        <v>107</v>
      </c>
      <c r="C300" s="14">
        <f t="array" ref="C300">IF(B300="","",SUMIF(Implementos!B:B,XLOOKUP(B300,Productos!A:A,Productos!F:F,"",0,1),Implementos!A:A))</f>
        <v>10</v>
      </c>
      <c r="D300" s="14">
        <f t="array" ref="D300">IF(OR(H300="",H300="Selecciona.."),"",XLOOKUP(H300,Propiedades!B:B,Propiedades!A:A,"",0,1))</f>
        <v>10</v>
      </c>
      <c r="E300" s="14">
        <f t="shared" si="2"/>
        <v>2</v>
      </c>
      <c r="F300" s="14" t="str">
        <f t="shared" si="3"/>
        <v>107-10-Máx</v>
      </c>
      <c r="G300" s="13" t="s">
        <v>139</v>
      </c>
      <c r="H300" s="13" t="s">
        <v>143</v>
      </c>
      <c r="I300" s="16" t="s">
        <v>23</v>
      </c>
      <c r="J300" s="16">
        <v>92.0</v>
      </c>
      <c r="K300" s="14" t="str">
        <f t="array" ref="K300">IF(OR(H300="",H300="Selecciona.."),"",XLOOKUP(H300,Propiedades!B:B,Propiedades!C:C,"",0,1))</f>
        <v>mm</v>
      </c>
    </row>
    <row r="301">
      <c r="A301" s="14">
        <f t="shared" si="1"/>
        <v>300</v>
      </c>
      <c r="B301" s="14">
        <f t="array" ref="B301">IF(OR(G301="",G301="Selecciona.."),"",XLOOKUP(G301,Productos!E:E,Productos!A:A,"",0,1))</f>
        <v>108</v>
      </c>
      <c r="C301" s="14">
        <f t="array" ref="C301">IF(B301="","",SUMIF(Implementos!B:B,XLOOKUP(B301,Productos!A:A,Productos!F:F,"",0,1),Implementos!A:A))</f>
        <v>10</v>
      </c>
      <c r="D301" s="14">
        <f t="array" ref="D301">IF(OR(H301="",H301="Selecciona.."),"",XLOOKUP(H301,Propiedades!B:B,Propiedades!A:A,"",0,1))</f>
        <v>10</v>
      </c>
      <c r="E301" s="14">
        <f t="shared" si="2"/>
        <v>2</v>
      </c>
      <c r="F301" s="14" t="str">
        <f t="shared" si="3"/>
        <v>108-10-Máx</v>
      </c>
      <c r="G301" s="13" t="s">
        <v>140</v>
      </c>
      <c r="H301" s="13" t="s">
        <v>143</v>
      </c>
      <c r="I301" s="16" t="s">
        <v>23</v>
      </c>
      <c r="J301" s="16">
        <v>92.0</v>
      </c>
      <c r="K301" s="14" t="str">
        <f t="array" ref="K301">IF(OR(H301="",H301="Selecciona.."),"",XLOOKUP(H301,Propiedades!B:B,Propiedades!C:C,"",0,1))</f>
        <v>mm</v>
      </c>
    </row>
    <row r="302">
      <c r="A302" s="14">
        <f t="shared" si="1"/>
        <v>301</v>
      </c>
      <c r="B302" s="14">
        <f t="array" ref="B302">IF(OR(G302="",G302="Selecciona.."),"",XLOOKUP(G302,Productos!E:E,Productos!A:A,"",0,1))</f>
        <v>109</v>
      </c>
      <c r="C302" s="14">
        <f t="array" ref="C302">IF(B302="","",SUMIF(Implementos!B:B,XLOOKUP(B302,Productos!A:A,Productos!F:F,"",0,1),Implementos!A:A))</f>
        <v>10</v>
      </c>
      <c r="D302" s="14">
        <f t="array" ref="D302">IF(OR(H302="",H302="Selecciona.."),"",XLOOKUP(H302,Propiedades!B:B,Propiedades!A:A,"",0,1))</f>
        <v>10</v>
      </c>
      <c r="E302" s="14">
        <f t="shared" si="2"/>
        <v>2</v>
      </c>
      <c r="F302" s="14" t="str">
        <f t="shared" si="3"/>
        <v>109-10-Máx</v>
      </c>
      <c r="G302" s="13" t="s">
        <v>141</v>
      </c>
      <c r="H302" s="13" t="s">
        <v>143</v>
      </c>
      <c r="I302" s="16" t="s">
        <v>23</v>
      </c>
      <c r="J302" s="16">
        <v>152.0</v>
      </c>
      <c r="K302" s="14" t="str">
        <f t="array" ref="K302">IF(OR(H302="",H302="Selecciona.."),"",XLOOKUP(H302,Propiedades!B:B,Propiedades!C:C,"",0,1))</f>
        <v>mm</v>
      </c>
    </row>
    <row r="303">
      <c r="A303" s="14">
        <f t="shared" si="1"/>
        <v>302</v>
      </c>
      <c r="B303" s="14">
        <f t="array" ref="B303">IF(OR(G303="",G303="Selecciona.."),"",XLOOKUP(G303,Productos!E:E,Productos!A:A,"",0,1))</f>
        <v>116</v>
      </c>
      <c r="C303" s="14">
        <f t="array" ref="C303">IF(B303="","",SUMIF(Implementos!B:B,XLOOKUP(B303,Productos!A:A,Productos!F:F,"",0,1),Implementos!A:A))</f>
        <v>10</v>
      </c>
      <c r="D303" s="14">
        <f t="array" ref="D303">IF(OR(H303="",H303="Selecciona.."),"",XLOOKUP(H303,Propiedades!B:B,Propiedades!A:A,"",0,1))</f>
        <v>10</v>
      </c>
      <c r="E303" s="14">
        <f t="shared" si="2"/>
        <v>2</v>
      </c>
      <c r="F303" s="14" t="str">
        <f t="shared" si="3"/>
        <v>116-10-Máx</v>
      </c>
      <c r="G303" s="13" t="s">
        <v>142</v>
      </c>
      <c r="H303" s="13" t="s">
        <v>143</v>
      </c>
      <c r="I303" s="16" t="s">
        <v>23</v>
      </c>
      <c r="J303" s="16">
        <v>92.0</v>
      </c>
      <c r="K303" s="14" t="str">
        <f t="array" ref="K303">IF(OR(H303="",H303="Selecciona.."),"",XLOOKUP(H303,Propiedades!B:B,Propiedades!C:C,"",0,1))</f>
        <v>mm</v>
      </c>
    </row>
    <row r="304">
      <c r="A304" s="14">
        <f t="shared" si="1"/>
        <v>303</v>
      </c>
      <c r="B304" s="14">
        <f t="array" ref="B304">IF(OR(G304="",G304="Selecciona.."),"",XLOOKUP(G304,Productos!E:E,Productos!A:A,"",0,1))</f>
        <v>101</v>
      </c>
      <c r="C304" s="14">
        <f t="array" ref="C304">IF(B304="","",SUMIF(Implementos!B:B,XLOOKUP(B304,Productos!A:A,Productos!F:F,"",0,1),Implementos!A:A))</f>
        <v>10</v>
      </c>
      <c r="D304" s="14">
        <f t="array" ref="D304">IF(OR(H304="",H304="Selecciona.."),"",XLOOKUP(H304,Propiedades!B:B,Propiedades!A:A,"",0,1))</f>
        <v>10</v>
      </c>
      <c r="E304" s="14">
        <f t="shared" si="2"/>
        <v>2</v>
      </c>
      <c r="F304" s="14" t="str">
        <f t="shared" si="3"/>
        <v>101-10-Min</v>
      </c>
      <c r="G304" s="13" t="s">
        <v>133</v>
      </c>
      <c r="H304" s="13" t="s">
        <v>143</v>
      </c>
      <c r="I304" s="16" t="s">
        <v>22</v>
      </c>
      <c r="J304" s="16">
        <v>90.0</v>
      </c>
      <c r="K304" s="14" t="str">
        <f t="array" ref="K304">IF(OR(H304="",H304="Selecciona.."),"",XLOOKUP(H304,Propiedades!B:B,Propiedades!C:C,"",0,1))</f>
        <v>mm</v>
      </c>
    </row>
    <row r="305">
      <c r="A305" s="14">
        <f t="shared" si="1"/>
        <v>304</v>
      </c>
      <c r="B305" s="14">
        <f t="array" ref="B305">IF(OR(G305="",G305="Selecciona.."),"",XLOOKUP(G305,Productos!E:E,Productos!A:A,"",0,1))</f>
        <v>102</v>
      </c>
      <c r="C305" s="14">
        <f t="array" ref="C305">IF(B305="","",SUMIF(Implementos!B:B,XLOOKUP(B305,Productos!A:A,Productos!F:F,"",0,1),Implementos!A:A))</f>
        <v>10</v>
      </c>
      <c r="D305" s="14">
        <f t="array" ref="D305">IF(OR(H305="",H305="Selecciona.."),"",XLOOKUP(H305,Propiedades!B:B,Propiedades!A:A,"",0,1))</f>
        <v>10</v>
      </c>
      <c r="E305" s="14">
        <f t="shared" si="2"/>
        <v>2</v>
      </c>
      <c r="F305" s="14" t="str">
        <f t="shared" si="3"/>
        <v>102-10-Min</v>
      </c>
      <c r="G305" s="13" t="s">
        <v>134</v>
      </c>
      <c r="H305" s="13" t="s">
        <v>143</v>
      </c>
      <c r="I305" s="16" t="s">
        <v>22</v>
      </c>
      <c r="J305" s="16">
        <v>90.0</v>
      </c>
      <c r="K305" s="14" t="str">
        <f t="array" ref="K305">IF(OR(H305="",H305="Selecciona.."),"",XLOOKUP(H305,Propiedades!B:B,Propiedades!C:C,"",0,1))</f>
        <v>mm</v>
      </c>
    </row>
    <row r="306">
      <c r="A306" s="14">
        <f t="shared" si="1"/>
        <v>305</v>
      </c>
      <c r="B306" s="14">
        <f t="array" ref="B306">IF(OR(G306="",G306="Selecciona.."),"",XLOOKUP(G306,Productos!E:E,Productos!A:A,"",0,1))</f>
        <v>103</v>
      </c>
      <c r="C306" s="14">
        <f t="array" ref="C306">IF(B306="","",SUMIF(Implementos!B:B,XLOOKUP(B306,Productos!A:A,Productos!F:F,"",0,1),Implementos!A:A))</f>
        <v>10</v>
      </c>
      <c r="D306" s="14">
        <f t="array" ref="D306">IF(OR(H306="",H306="Selecciona.."),"",XLOOKUP(H306,Propiedades!B:B,Propiedades!A:A,"",0,1))</f>
        <v>10</v>
      </c>
      <c r="E306" s="14">
        <f t="shared" si="2"/>
        <v>2</v>
      </c>
      <c r="F306" s="14" t="str">
        <f t="shared" si="3"/>
        <v>103-10-Min</v>
      </c>
      <c r="G306" s="13" t="s">
        <v>135</v>
      </c>
      <c r="H306" s="13" t="s">
        <v>143</v>
      </c>
      <c r="I306" s="16" t="s">
        <v>22</v>
      </c>
      <c r="J306" s="16">
        <v>150.0</v>
      </c>
      <c r="K306" s="14" t="str">
        <f t="array" ref="K306">IF(OR(H306="",H306="Selecciona.."),"",XLOOKUP(H306,Propiedades!B:B,Propiedades!C:C,"",0,1))</f>
        <v>mm</v>
      </c>
    </row>
    <row r="307">
      <c r="A307" s="14">
        <f t="shared" si="1"/>
        <v>306</v>
      </c>
      <c r="B307" s="14">
        <f t="array" ref="B307">IF(OR(G307="",G307="Selecciona.."),"",XLOOKUP(G307,Productos!E:E,Productos!A:A,"",0,1))</f>
        <v>104</v>
      </c>
      <c r="C307" s="14">
        <f t="array" ref="C307">IF(B307="","",SUMIF(Implementos!B:B,XLOOKUP(B307,Productos!A:A,Productos!F:F,"",0,1),Implementos!A:A))</f>
        <v>10</v>
      </c>
      <c r="D307" s="14">
        <f t="array" ref="D307">IF(OR(H307="",H307="Selecciona.."),"",XLOOKUP(H307,Propiedades!B:B,Propiedades!A:A,"",0,1))</f>
        <v>10</v>
      </c>
      <c r="E307" s="14">
        <f t="shared" si="2"/>
        <v>2</v>
      </c>
      <c r="F307" s="14" t="str">
        <f t="shared" si="3"/>
        <v>104-10-Min</v>
      </c>
      <c r="G307" s="13" t="s">
        <v>136</v>
      </c>
      <c r="H307" s="13" t="s">
        <v>143</v>
      </c>
      <c r="I307" s="16" t="s">
        <v>22</v>
      </c>
      <c r="J307" s="16">
        <v>150.0</v>
      </c>
      <c r="K307" s="14" t="str">
        <f t="array" ref="K307">IF(OR(H307="",H307="Selecciona.."),"",XLOOKUP(H307,Propiedades!B:B,Propiedades!C:C,"",0,1))</f>
        <v>mm</v>
      </c>
    </row>
    <row r="308">
      <c r="A308" s="14">
        <f t="shared" si="1"/>
        <v>307</v>
      </c>
      <c r="B308" s="14">
        <f t="array" ref="B308">IF(OR(G308="",G308="Selecciona.."),"",XLOOKUP(G308,Productos!E:E,Productos!A:A,"",0,1))</f>
        <v>105</v>
      </c>
      <c r="C308" s="14">
        <f t="array" ref="C308">IF(B308="","",SUMIF(Implementos!B:B,XLOOKUP(B308,Productos!A:A,Productos!F:F,"",0,1),Implementos!A:A))</f>
        <v>10</v>
      </c>
      <c r="D308" s="14">
        <f t="array" ref="D308">IF(OR(H308="",H308="Selecciona.."),"",XLOOKUP(H308,Propiedades!B:B,Propiedades!A:A,"",0,1))</f>
        <v>10</v>
      </c>
      <c r="E308" s="14">
        <f t="shared" si="2"/>
        <v>2</v>
      </c>
      <c r="F308" s="14" t="str">
        <f t="shared" si="3"/>
        <v>105-10-Min</v>
      </c>
      <c r="G308" s="13" t="s">
        <v>137</v>
      </c>
      <c r="H308" s="13" t="s">
        <v>143</v>
      </c>
      <c r="I308" s="16" t="s">
        <v>22</v>
      </c>
      <c r="J308" s="16">
        <v>90.0</v>
      </c>
      <c r="K308" s="14" t="str">
        <f t="array" ref="K308">IF(OR(H308="",H308="Selecciona.."),"",XLOOKUP(H308,Propiedades!B:B,Propiedades!C:C,"",0,1))</f>
        <v>mm</v>
      </c>
    </row>
    <row r="309">
      <c r="A309" s="14">
        <f t="shared" si="1"/>
        <v>308</v>
      </c>
      <c r="B309" s="14">
        <f t="array" ref="B309">IF(OR(G309="",G309="Selecciona.."),"",XLOOKUP(G309,Productos!E:E,Productos!A:A,"",0,1))</f>
        <v>106</v>
      </c>
      <c r="C309" s="14">
        <f t="array" ref="C309">IF(B309="","",SUMIF(Implementos!B:B,XLOOKUP(B309,Productos!A:A,Productos!F:F,"",0,1),Implementos!A:A))</f>
        <v>10</v>
      </c>
      <c r="D309" s="14">
        <f t="array" ref="D309">IF(OR(H309="",H309="Selecciona.."),"",XLOOKUP(H309,Propiedades!B:B,Propiedades!A:A,"",0,1))</f>
        <v>10</v>
      </c>
      <c r="E309" s="14">
        <f t="shared" si="2"/>
        <v>2</v>
      </c>
      <c r="F309" s="14" t="str">
        <f t="shared" si="3"/>
        <v>106-10-Min</v>
      </c>
      <c r="G309" s="13" t="s">
        <v>138</v>
      </c>
      <c r="H309" s="13" t="s">
        <v>143</v>
      </c>
      <c r="I309" s="16" t="s">
        <v>22</v>
      </c>
      <c r="J309" s="16">
        <v>90.0</v>
      </c>
      <c r="K309" s="14" t="str">
        <f t="array" ref="K309">IF(OR(H309="",H309="Selecciona.."),"",XLOOKUP(H309,Propiedades!B:B,Propiedades!C:C,"",0,1))</f>
        <v>mm</v>
      </c>
    </row>
    <row r="310">
      <c r="A310" s="14">
        <f t="shared" si="1"/>
        <v>309</v>
      </c>
      <c r="B310" s="14">
        <f t="array" ref="B310">IF(OR(G310="",G310="Selecciona.."),"",XLOOKUP(G310,Productos!E:E,Productos!A:A,"",0,1))</f>
        <v>107</v>
      </c>
      <c r="C310" s="14">
        <f t="array" ref="C310">IF(B310="","",SUMIF(Implementos!B:B,XLOOKUP(B310,Productos!A:A,Productos!F:F,"",0,1),Implementos!A:A))</f>
        <v>10</v>
      </c>
      <c r="D310" s="14">
        <f t="array" ref="D310">IF(OR(H310="",H310="Selecciona.."),"",XLOOKUP(H310,Propiedades!B:B,Propiedades!A:A,"",0,1))</f>
        <v>10</v>
      </c>
      <c r="E310" s="14">
        <f t="shared" si="2"/>
        <v>2</v>
      </c>
      <c r="F310" s="14" t="str">
        <f t="shared" si="3"/>
        <v>107-10-Min</v>
      </c>
      <c r="G310" s="13" t="s">
        <v>139</v>
      </c>
      <c r="H310" s="13" t="s">
        <v>143</v>
      </c>
      <c r="I310" s="16" t="s">
        <v>22</v>
      </c>
      <c r="J310" s="16">
        <v>90.0</v>
      </c>
      <c r="K310" s="14" t="str">
        <f t="array" ref="K310">IF(OR(H310="",H310="Selecciona.."),"",XLOOKUP(H310,Propiedades!B:B,Propiedades!C:C,"",0,1))</f>
        <v>mm</v>
      </c>
    </row>
    <row r="311">
      <c r="A311" s="14">
        <f t="shared" si="1"/>
        <v>310</v>
      </c>
      <c r="B311" s="14">
        <f t="array" ref="B311">IF(OR(G311="",G311="Selecciona.."),"",XLOOKUP(G311,Productos!E:E,Productos!A:A,"",0,1))</f>
        <v>108</v>
      </c>
      <c r="C311" s="14">
        <f t="array" ref="C311">IF(B311="","",SUMIF(Implementos!B:B,XLOOKUP(B311,Productos!A:A,Productos!F:F,"",0,1),Implementos!A:A))</f>
        <v>10</v>
      </c>
      <c r="D311" s="14">
        <f t="array" ref="D311">IF(OR(H311="",H311="Selecciona.."),"",XLOOKUP(H311,Propiedades!B:B,Propiedades!A:A,"",0,1))</f>
        <v>10</v>
      </c>
      <c r="E311" s="14">
        <f t="shared" si="2"/>
        <v>2</v>
      </c>
      <c r="F311" s="14" t="str">
        <f t="shared" si="3"/>
        <v>108-10-Min</v>
      </c>
      <c r="G311" s="13" t="s">
        <v>140</v>
      </c>
      <c r="H311" s="13" t="s">
        <v>143</v>
      </c>
      <c r="I311" s="16" t="s">
        <v>22</v>
      </c>
      <c r="J311" s="16">
        <v>90.0</v>
      </c>
      <c r="K311" s="14" t="str">
        <f t="array" ref="K311">IF(OR(H311="",H311="Selecciona.."),"",XLOOKUP(H311,Propiedades!B:B,Propiedades!C:C,"",0,1))</f>
        <v>mm</v>
      </c>
    </row>
    <row r="312">
      <c r="A312" s="14">
        <f t="shared" si="1"/>
        <v>311</v>
      </c>
      <c r="B312" s="14">
        <f t="array" ref="B312">IF(OR(G312="",G312="Selecciona.."),"",XLOOKUP(G312,Productos!E:E,Productos!A:A,"",0,1))</f>
        <v>109</v>
      </c>
      <c r="C312" s="14">
        <f t="array" ref="C312">IF(B312="","",SUMIF(Implementos!B:B,XLOOKUP(B312,Productos!A:A,Productos!F:F,"",0,1),Implementos!A:A))</f>
        <v>10</v>
      </c>
      <c r="D312" s="14">
        <f t="array" ref="D312">IF(OR(H312="",H312="Selecciona.."),"",XLOOKUP(H312,Propiedades!B:B,Propiedades!A:A,"",0,1))</f>
        <v>10</v>
      </c>
      <c r="E312" s="14">
        <f t="shared" si="2"/>
        <v>2</v>
      </c>
      <c r="F312" s="14" t="str">
        <f t="shared" si="3"/>
        <v>109-10-Min</v>
      </c>
      <c r="G312" s="13" t="s">
        <v>141</v>
      </c>
      <c r="H312" s="13" t="s">
        <v>143</v>
      </c>
      <c r="I312" s="16" t="s">
        <v>22</v>
      </c>
      <c r="J312" s="16">
        <v>150.0</v>
      </c>
      <c r="K312" s="14" t="str">
        <f t="array" ref="K312">IF(OR(H312="",H312="Selecciona.."),"",XLOOKUP(H312,Propiedades!B:B,Propiedades!C:C,"",0,1))</f>
        <v>mm</v>
      </c>
    </row>
    <row r="313">
      <c r="A313" s="14">
        <f t="shared" si="1"/>
        <v>312</v>
      </c>
      <c r="B313" s="14">
        <f t="array" ref="B313">IF(OR(G313="",G313="Selecciona.."),"",XLOOKUP(G313,Productos!E:E,Productos!A:A,"",0,1))</f>
        <v>116</v>
      </c>
      <c r="C313" s="14">
        <f t="array" ref="C313">IF(B313="","",SUMIF(Implementos!B:B,XLOOKUP(B313,Productos!A:A,Productos!F:F,"",0,1),Implementos!A:A))</f>
        <v>10</v>
      </c>
      <c r="D313" s="14">
        <f t="array" ref="D313">IF(OR(H313="",H313="Selecciona.."),"",XLOOKUP(H313,Propiedades!B:B,Propiedades!A:A,"",0,1))</f>
        <v>10</v>
      </c>
      <c r="E313" s="14">
        <f t="shared" si="2"/>
        <v>2</v>
      </c>
      <c r="F313" s="14" t="str">
        <f t="shared" si="3"/>
        <v>116-10-Min</v>
      </c>
      <c r="G313" s="13" t="s">
        <v>142</v>
      </c>
      <c r="H313" s="13" t="s">
        <v>143</v>
      </c>
      <c r="I313" s="16" t="s">
        <v>22</v>
      </c>
      <c r="J313" s="16">
        <v>90.0</v>
      </c>
      <c r="K313" s="14" t="str">
        <f t="array" ref="K313">IF(OR(H313="",H313="Selecciona.."),"",XLOOKUP(H313,Propiedades!B:B,Propiedades!C:C,"",0,1))</f>
        <v>mm</v>
      </c>
    </row>
    <row r="314">
      <c r="A314" s="14">
        <f t="shared" si="1"/>
        <v>313</v>
      </c>
      <c r="B314" s="14">
        <f t="array" ref="B314">IF(OR(G314="",G314="Selecciona.."),"",XLOOKUP(G314,Productos!E:E,Productos!A:A,"",0,1))</f>
        <v>143</v>
      </c>
      <c r="C314" s="14">
        <f t="array" ref="C314">IF(B314="","",SUMIF(Implementos!B:B,XLOOKUP(B314,Productos!A:A,Productos!F:F,"",0,1),Implementos!A:A))</f>
        <v>2</v>
      </c>
      <c r="D314" s="14">
        <f t="array" ref="D314">IF(OR(H314="",H314="Selecciona.."),"",XLOOKUP(H314,Propiedades!B:B,Propiedades!A:A,"",0,1))</f>
        <v>2</v>
      </c>
      <c r="E314" s="14">
        <f t="shared" si="2"/>
        <v>0</v>
      </c>
      <c r="F314" s="14" t="str">
        <f t="shared" si="3"/>
        <v>143-2-Exa</v>
      </c>
      <c r="G314" s="13" t="s">
        <v>144</v>
      </c>
      <c r="H314" s="13" t="s">
        <v>56</v>
      </c>
      <c r="I314" s="16" t="s">
        <v>55</v>
      </c>
      <c r="J314" s="16">
        <v>600.0</v>
      </c>
      <c r="K314" s="14" t="str">
        <f t="array" ref="K314">IF(OR(H314="",H314="Selecciona.."),"",XLOOKUP(H314,Propiedades!B:B,Propiedades!C:C,"",0,1))</f>
        <v>kg</v>
      </c>
    </row>
    <row r="315">
      <c r="A315" s="14">
        <f t="shared" si="1"/>
        <v>314</v>
      </c>
      <c r="B315" s="14">
        <f t="array" ref="B315">IF(OR(G315="",G315="Selecciona.."),"",XLOOKUP(G315,Productos!E:E,Productos!A:A,"",0,1))</f>
        <v>144</v>
      </c>
      <c r="C315" s="14">
        <f t="array" ref="C315">IF(B315="","",SUMIF(Implementos!B:B,XLOOKUP(B315,Productos!A:A,Productos!F:F,"",0,1),Implementos!A:A))</f>
        <v>2</v>
      </c>
      <c r="D315" s="14">
        <f t="array" ref="D315">IF(OR(H315="",H315="Selecciona.."),"",XLOOKUP(H315,Propiedades!B:B,Propiedades!A:A,"",0,1))</f>
        <v>2</v>
      </c>
      <c r="E315" s="14">
        <f t="shared" si="2"/>
        <v>0</v>
      </c>
      <c r="F315" s="14" t="str">
        <f t="shared" si="3"/>
        <v>144-2-Exa</v>
      </c>
      <c r="G315" s="13" t="s">
        <v>145</v>
      </c>
      <c r="H315" s="13" t="s">
        <v>56</v>
      </c>
      <c r="I315" s="16" t="s">
        <v>55</v>
      </c>
      <c r="J315" s="16">
        <v>800.0</v>
      </c>
      <c r="K315" s="14" t="str">
        <f t="array" ref="K315">IF(OR(H315="",H315="Selecciona.."),"",XLOOKUP(H315,Propiedades!B:B,Propiedades!C:C,"",0,1))</f>
        <v>kg</v>
      </c>
    </row>
    <row r="316">
      <c r="A316" s="14">
        <f t="shared" si="1"/>
        <v>315</v>
      </c>
      <c r="B316" s="14">
        <f t="array" ref="B316">IF(OR(G316="",G316="Selecciona.."),"",XLOOKUP(G316,Productos!E:E,Productos!A:A,"",0,1))</f>
        <v>145</v>
      </c>
      <c r="C316" s="14">
        <f t="array" ref="C316">IF(B316="","",SUMIF(Implementos!B:B,XLOOKUP(B316,Productos!A:A,Productos!F:F,"",0,1),Implementos!A:A))</f>
        <v>2</v>
      </c>
      <c r="D316" s="14">
        <f t="array" ref="D316">IF(OR(H316="",H316="Selecciona.."),"",XLOOKUP(H316,Propiedades!B:B,Propiedades!A:A,"",0,1))</f>
        <v>2</v>
      </c>
      <c r="E316" s="14">
        <f t="shared" si="2"/>
        <v>1</v>
      </c>
      <c r="F316" s="14" t="str">
        <f t="shared" si="3"/>
        <v>145-2-Min</v>
      </c>
      <c r="G316" s="13" t="s">
        <v>146</v>
      </c>
      <c r="H316" s="13" t="s">
        <v>56</v>
      </c>
      <c r="I316" s="16" t="s">
        <v>22</v>
      </c>
      <c r="J316" s="16">
        <v>590.0</v>
      </c>
      <c r="K316" s="14" t="str">
        <f t="array" ref="K316">IF(OR(H316="",H316="Selecciona.."),"",XLOOKUP(H316,Propiedades!B:B,Propiedades!C:C,"",0,1))</f>
        <v>kg</v>
      </c>
    </row>
    <row r="317">
      <c r="A317" s="14">
        <f t="shared" si="1"/>
        <v>316</v>
      </c>
      <c r="B317" s="14">
        <f t="array" ref="B317">IF(OR(G317="",G317="Selecciona.."),"",XLOOKUP(G317,Productos!E:E,Productos!A:A,"",0,1))</f>
        <v>146</v>
      </c>
      <c r="C317" s="14">
        <f t="array" ref="C317">IF(B317="","",SUMIF(Implementos!B:B,XLOOKUP(B317,Productos!A:A,Productos!F:F,"",0,1),Implementos!A:A))</f>
        <v>2</v>
      </c>
      <c r="D317" s="14">
        <f t="array" ref="D317">IF(OR(H317="",H317="Selecciona.."),"",XLOOKUP(H317,Propiedades!B:B,Propiedades!A:A,"",0,1))</f>
        <v>2</v>
      </c>
      <c r="E317" s="14">
        <f t="shared" si="2"/>
        <v>1</v>
      </c>
      <c r="F317" s="14" t="str">
        <f t="shared" si="3"/>
        <v>146-2-Min</v>
      </c>
      <c r="G317" s="13" t="s">
        <v>147</v>
      </c>
      <c r="H317" s="13" t="s">
        <v>56</v>
      </c>
      <c r="I317" s="16" t="s">
        <v>22</v>
      </c>
      <c r="J317" s="16">
        <v>590.0</v>
      </c>
      <c r="K317" s="14" t="str">
        <f t="array" ref="K317">IF(OR(H317="",H317="Selecciona.."),"",XLOOKUP(H317,Propiedades!B:B,Propiedades!C:C,"",0,1))</f>
        <v>kg</v>
      </c>
    </row>
    <row r="318">
      <c r="A318" s="14">
        <f t="shared" si="1"/>
        <v>317</v>
      </c>
      <c r="B318" s="14">
        <f t="array" ref="B318">IF(OR(G318="",G318="Selecciona.."),"",XLOOKUP(G318,Productos!E:E,Productos!A:A,"",0,1))</f>
        <v>147</v>
      </c>
      <c r="C318" s="14">
        <f t="array" ref="C318">IF(B318="","",SUMIF(Implementos!B:B,XLOOKUP(B318,Productos!A:A,Productos!F:F,"",0,1),Implementos!A:A))</f>
        <v>2</v>
      </c>
      <c r="D318" s="14">
        <f t="array" ref="D318">IF(OR(H318="",H318="Selecciona.."),"",XLOOKUP(H318,Propiedades!B:B,Propiedades!A:A,"",0,1))</f>
        <v>2</v>
      </c>
      <c r="E318" s="14">
        <f t="shared" si="2"/>
        <v>1</v>
      </c>
      <c r="F318" s="14" t="str">
        <f t="shared" si="3"/>
        <v>147-2-Min</v>
      </c>
      <c r="G318" s="13" t="s">
        <v>148</v>
      </c>
      <c r="H318" s="13" t="s">
        <v>56</v>
      </c>
      <c r="I318" s="16" t="s">
        <v>22</v>
      </c>
      <c r="J318" s="16">
        <v>790.0</v>
      </c>
      <c r="K318" s="14" t="str">
        <f t="array" ref="K318">IF(OR(H318="",H318="Selecciona.."),"",XLOOKUP(H318,Propiedades!B:B,Propiedades!C:C,"",0,1))</f>
        <v>kg</v>
      </c>
    </row>
    <row r="319">
      <c r="A319" s="14">
        <f t="shared" si="1"/>
        <v>318</v>
      </c>
      <c r="B319" s="14">
        <f t="array" ref="B319">IF(OR(G319="",G319="Selecciona.."),"",XLOOKUP(G319,Productos!E:E,Productos!A:A,"",0,1))</f>
        <v>145</v>
      </c>
      <c r="C319" s="14">
        <f t="array" ref="C319">IF(B319="","",SUMIF(Implementos!B:B,XLOOKUP(B319,Productos!A:A,Productos!F:F,"",0,1),Implementos!A:A))</f>
        <v>2</v>
      </c>
      <c r="D319" s="14">
        <f t="array" ref="D319">IF(OR(H319="",H319="Selecciona.."),"",XLOOKUP(H319,Propiedades!B:B,Propiedades!A:A,"",0,1))</f>
        <v>2</v>
      </c>
      <c r="E319" s="14">
        <f t="shared" si="2"/>
        <v>1</v>
      </c>
      <c r="F319" s="14" t="str">
        <f t="shared" si="3"/>
        <v>145-2-Máx</v>
      </c>
      <c r="G319" s="13" t="s">
        <v>146</v>
      </c>
      <c r="H319" s="13" t="s">
        <v>56</v>
      </c>
      <c r="I319" s="16" t="s">
        <v>23</v>
      </c>
      <c r="J319" s="16">
        <v>610.0</v>
      </c>
      <c r="K319" s="14" t="str">
        <f t="array" ref="K319">IF(OR(H319="",H319="Selecciona.."),"",XLOOKUP(H319,Propiedades!B:B,Propiedades!C:C,"",0,1))</f>
        <v>kg</v>
      </c>
    </row>
    <row r="320">
      <c r="A320" s="14">
        <f t="shared" si="1"/>
        <v>319</v>
      </c>
      <c r="B320" s="14">
        <f t="array" ref="B320">IF(OR(G320="",G320="Selecciona.."),"",XLOOKUP(G320,Productos!E:E,Productos!A:A,"",0,1))</f>
        <v>146</v>
      </c>
      <c r="C320" s="14">
        <f t="array" ref="C320">IF(B320="","",SUMIF(Implementos!B:B,XLOOKUP(B320,Productos!A:A,Productos!F:F,"",0,1),Implementos!A:A))</f>
        <v>2</v>
      </c>
      <c r="D320" s="14">
        <f t="array" ref="D320">IF(OR(H320="",H320="Selecciona.."),"",XLOOKUP(H320,Propiedades!B:B,Propiedades!A:A,"",0,1))</f>
        <v>2</v>
      </c>
      <c r="E320" s="14">
        <f t="shared" si="2"/>
        <v>1</v>
      </c>
      <c r="F320" s="14" t="str">
        <f t="shared" si="3"/>
        <v>146-2-Máx</v>
      </c>
      <c r="G320" s="13" t="s">
        <v>147</v>
      </c>
      <c r="H320" s="13" t="s">
        <v>56</v>
      </c>
      <c r="I320" s="16" t="s">
        <v>23</v>
      </c>
      <c r="J320" s="16">
        <v>810.0</v>
      </c>
      <c r="K320" s="14" t="str">
        <f t="array" ref="K320">IF(OR(H320="",H320="Selecciona.."),"",XLOOKUP(H320,Propiedades!B:B,Propiedades!C:C,"",0,1))</f>
        <v>kg</v>
      </c>
    </row>
    <row r="321">
      <c r="A321" s="14">
        <f t="shared" si="1"/>
        <v>320</v>
      </c>
      <c r="B321" s="14">
        <f t="array" ref="B321">IF(OR(G321="",G321="Selecciona.."),"",XLOOKUP(G321,Productos!E:E,Productos!A:A,"",0,1))</f>
        <v>147</v>
      </c>
      <c r="C321" s="14">
        <f t="array" ref="C321">IF(B321="","",SUMIF(Implementos!B:B,XLOOKUP(B321,Productos!A:A,Productos!F:F,"",0,1),Implementos!A:A))</f>
        <v>2</v>
      </c>
      <c r="D321" s="14">
        <f t="array" ref="D321">IF(OR(H321="",H321="Selecciona.."),"",XLOOKUP(H321,Propiedades!B:B,Propiedades!A:A,"",0,1))</f>
        <v>2</v>
      </c>
      <c r="E321" s="14">
        <f t="shared" si="2"/>
        <v>1</v>
      </c>
      <c r="F321" s="14" t="str">
        <f t="shared" si="3"/>
        <v>147-2-Máx</v>
      </c>
      <c r="G321" s="13" t="s">
        <v>148</v>
      </c>
      <c r="H321" s="13" t="s">
        <v>56</v>
      </c>
      <c r="I321" s="16" t="s">
        <v>23</v>
      </c>
      <c r="J321" s="16">
        <v>810.0</v>
      </c>
      <c r="K321" s="14" t="str">
        <f t="array" ref="K321">IF(OR(H321="",H321="Selecciona.."),"",XLOOKUP(H321,Propiedades!B:B,Propiedades!C:C,"",0,1))</f>
        <v>kg</v>
      </c>
    </row>
    <row r="322">
      <c r="A322" s="14">
        <f t="shared" si="1"/>
        <v>321</v>
      </c>
      <c r="B322" s="14">
        <f t="array" ref="B322">IF(OR(G322="",G322="Selecciona.."),"",XLOOKUP(G322,Productos!E:E,Productos!A:A,"",0,1))</f>
        <v>40</v>
      </c>
      <c r="C322" s="14">
        <f t="array" ref="C322">IF(B322="","",SUMIF(Implementos!B:B,XLOOKUP(B322,Productos!A:A,Productos!F:F,"",0,1),Implementos!A:A))</f>
        <v>3</v>
      </c>
      <c r="D322" s="14">
        <f t="array" ref="D322">IF(OR(H322="",H322="Selecciona.."),"",XLOOKUP(H322,Propiedades!B:B,Propiedades!A:A,"",0,1))</f>
        <v>2</v>
      </c>
      <c r="E322" s="14">
        <f t="shared" si="2"/>
        <v>0</v>
      </c>
      <c r="F322" s="14" t="str">
        <f t="shared" si="3"/>
        <v>40-2-Exa</v>
      </c>
      <c r="G322" s="13" t="s">
        <v>93</v>
      </c>
      <c r="H322" s="13" t="s">
        <v>56</v>
      </c>
      <c r="I322" s="16" t="s">
        <v>55</v>
      </c>
      <c r="J322" s="16">
        <v>380.0</v>
      </c>
      <c r="K322" s="14" t="str">
        <f t="array" ref="K322">IF(OR(H322="",H322="Selecciona.."),"",XLOOKUP(H322,Propiedades!B:B,Propiedades!C:C,"",0,1))</f>
        <v>kg</v>
      </c>
    </row>
    <row r="323">
      <c r="A323" s="14">
        <f t="shared" si="1"/>
        <v>322</v>
      </c>
      <c r="B323" s="14">
        <f t="array" ref="B323">IF(OR(G323="",G323="Selecciona.."),"",XLOOKUP(G323,Productos!E:E,Productos!A:A,"",0,1))</f>
        <v>41</v>
      </c>
      <c r="C323" s="14">
        <f t="array" ref="C323">IF(B323="","",SUMIF(Implementos!B:B,XLOOKUP(B323,Productos!A:A,Productos!F:F,"",0,1),Implementos!A:A))</f>
        <v>3</v>
      </c>
      <c r="D323" s="14">
        <f t="array" ref="D323">IF(OR(H323="",H323="Selecciona.."),"",XLOOKUP(H323,Propiedades!B:B,Propiedades!A:A,"",0,1))</f>
        <v>2</v>
      </c>
      <c r="E323" s="14">
        <f t="shared" si="2"/>
        <v>0</v>
      </c>
      <c r="F323" s="14" t="str">
        <f t="shared" si="3"/>
        <v>41-2-Exa</v>
      </c>
      <c r="G323" s="13" t="s">
        <v>94</v>
      </c>
      <c r="H323" s="13" t="s">
        <v>56</v>
      </c>
      <c r="I323" s="16" t="s">
        <v>55</v>
      </c>
      <c r="J323" s="16">
        <v>470.0</v>
      </c>
      <c r="K323" s="14" t="str">
        <f t="array" ref="K323">IF(OR(H323="",H323="Selecciona.."),"",XLOOKUP(H323,Propiedades!B:B,Propiedades!C:C,"",0,1))</f>
        <v>kg</v>
      </c>
    </row>
    <row r="324">
      <c r="A324" s="14">
        <f t="shared" si="1"/>
        <v>323</v>
      </c>
      <c r="B324" s="14">
        <f t="array" ref="B324">IF(OR(G324="",G324="Selecciona.."),"",XLOOKUP(G324,Productos!E:E,Productos!A:A,"",0,1))</f>
        <v>40</v>
      </c>
      <c r="C324" s="14">
        <f t="array" ref="C324">IF(B324="","",SUMIF(Implementos!B:B,XLOOKUP(B324,Productos!A:A,Productos!F:F,"",0,1),Implementos!A:A))</f>
        <v>3</v>
      </c>
      <c r="D324" s="14">
        <f t="array" ref="D324">IF(OR(H324="",H324="Selecciona.."),"",XLOOKUP(H324,Propiedades!B:B,Propiedades!A:A,"",0,1))</f>
        <v>9</v>
      </c>
      <c r="E324" s="14">
        <f t="shared" si="2"/>
        <v>0</v>
      </c>
      <c r="F324" s="14" t="str">
        <f t="shared" si="3"/>
        <v>40-9-Exa</v>
      </c>
      <c r="G324" s="13" t="s">
        <v>93</v>
      </c>
      <c r="H324" s="13" t="s">
        <v>118</v>
      </c>
      <c r="I324" s="16" t="s">
        <v>55</v>
      </c>
      <c r="J324" s="16">
        <v>2.0</v>
      </c>
      <c r="K324" s="14" t="str">
        <f t="array" ref="K324">IF(OR(H324="",H324="Selecciona.."),"",XLOOKUP(H324,Propiedades!B:B,Propiedades!C:C,"",0,1))</f>
        <v>unidades</v>
      </c>
    </row>
    <row r="325">
      <c r="A325" s="14">
        <f t="shared" si="1"/>
        <v>324</v>
      </c>
      <c r="B325" s="14">
        <f t="array" ref="B325">IF(OR(G325="",G325="Selecciona.."),"",XLOOKUP(G325,Productos!E:E,Productos!A:A,"",0,1))</f>
        <v>41</v>
      </c>
      <c r="C325" s="14">
        <f t="array" ref="C325">IF(B325="","",SUMIF(Implementos!B:B,XLOOKUP(B325,Productos!A:A,Productos!F:F,"",0,1),Implementos!A:A))</f>
        <v>3</v>
      </c>
      <c r="D325" s="14">
        <f t="array" ref="D325">IF(OR(H325="",H325="Selecciona.."),"",XLOOKUP(H325,Propiedades!B:B,Propiedades!A:A,"",0,1))</f>
        <v>9</v>
      </c>
      <c r="E325" s="14">
        <f t="shared" si="2"/>
        <v>0</v>
      </c>
      <c r="F325" s="14" t="str">
        <f t="shared" si="3"/>
        <v>41-9-Exa</v>
      </c>
      <c r="G325" s="13" t="s">
        <v>94</v>
      </c>
      <c r="H325" s="13" t="s">
        <v>118</v>
      </c>
      <c r="I325" s="16" t="s">
        <v>55</v>
      </c>
      <c r="J325" s="16">
        <v>2.0</v>
      </c>
      <c r="K325" s="14" t="str">
        <f t="array" ref="K325">IF(OR(H325="",H325="Selecciona.."),"",XLOOKUP(H325,Propiedades!B:B,Propiedades!C:C,"",0,1))</f>
        <v>unidades</v>
      </c>
    </row>
    <row r="326">
      <c r="A326" s="14">
        <f t="shared" si="1"/>
        <v>325</v>
      </c>
      <c r="B326" s="14">
        <f t="array" ref="B326">IF(OR(G326="",G326="Selecciona.."),"",XLOOKUP(G326,Productos!E:E,Productos!A:A,"",0,1))</f>
        <v>153</v>
      </c>
      <c r="C326" s="14">
        <f t="array" ref="C326">IF(B326="","",SUMIF(Implementos!B:B,XLOOKUP(B326,Productos!A:A,Productos!F:F,"",0,1),Implementos!A:A))</f>
        <v>10</v>
      </c>
      <c r="D326" s="14">
        <f t="array" ref="D326">IF(OR(H326="",H326="Selecciona.."),"",XLOOKUP(H326,Propiedades!B:B,Propiedades!A:A,"",0,1))</f>
        <v>2</v>
      </c>
      <c r="E326" s="14">
        <f t="shared" si="2"/>
        <v>1</v>
      </c>
      <c r="F326" s="14" t="str">
        <f t="shared" si="3"/>
        <v>153-2-Min</v>
      </c>
      <c r="G326" s="13" t="s">
        <v>149</v>
      </c>
      <c r="H326" s="13" t="s">
        <v>56</v>
      </c>
      <c r="I326" s="16" t="s">
        <v>22</v>
      </c>
      <c r="J326" s="16">
        <v>120.0</v>
      </c>
      <c r="K326" s="14" t="str">
        <f t="array" ref="K326">IF(OR(H326="",H326="Selecciona.."),"",XLOOKUP(H326,Propiedades!B:B,Propiedades!C:C,"",0,1))</f>
        <v>kg</v>
      </c>
    </row>
    <row r="327">
      <c r="A327" s="14">
        <f t="shared" si="1"/>
        <v>326</v>
      </c>
      <c r="B327" s="14">
        <f t="array" ref="B327">IF(OR(G327="",G327="Selecciona.."),"",XLOOKUP(G327,Productos!E:E,Productos!A:A,"",0,1))</f>
        <v>153</v>
      </c>
      <c r="C327" s="14">
        <f t="array" ref="C327">IF(B327="","",SUMIF(Implementos!B:B,XLOOKUP(B327,Productos!A:A,Productos!F:F,"",0,1),Implementos!A:A))</f>
        <v>10</v>
      </c>
      <c r="D327" s="14">
        <f t="array" ref="D327">IF(OR(H327="",H327="Selecciona.."),"",XLOOKUP(H327,Propiedades!B:B,Propiedades!A:A,"",0,1))</f>
        <v>2</v>
      </c>
      <c r="E327" s="14">
        <f t="shared" si="2"/>
        <v>1</v>
      </c>
      <c r="F327" s="14" t="str">
        <f t="shared" si="3"/>
        <v>153-2-Máx</v>
      </c>
      <c r="G327" s="13" t="s">
        <v>149</v>
      </c>
      <c r="H327" s="13" t="s">
        <v>56</v>
      </c>
      <c r="I327" s="16" t="s">
        <v>23</v>
      </c>
      <c r="J327" s="16">
        <v>240.0</v>
      </c>
      <c r="K327" s="14" t="str">
        <f t="array" ref="K327">IF(OR(H327="",H327="Selecciona.."),"",XLOOKUP(H327,Propiedades!B:B,Propiedades!C:C,"",0,1))</f>
        <v>kg</v>
      </c>
    </row>
    <row r="328">
      <c r="A328" s="14">
        <f t="shared" si="1"/>
        <v>327</v>
      </c>
      <c r="B328" s="14">
        <f t="array" ref="B328">IF(OR(G328="",G328="Selecciona.."),"",XLOOKUP(G328,Productos!E:E,Productos!A:A,"",0,1))</f>
        <v>153</v>
      </c>
      <c r="C328" s="14">
        <f t="array" ref="C328">IF(B328="","",SUMIF(Implementos!B:B,XLOOKUP(B328,Productos!A:A,Productos!F:F,"",0,1),Implementos!A:A))</f>
        <v>10</v>
      </c>
      <c r="D328" s="14">
        <f t="array" ref="D328">IF(OR(H328="",H328="Selecciona.."),"",XLOOKUP(H328,Propiedades!B:B,Propiedades!A:A,"",0,1))</f>
        <v>10</v>
      </c>
      <c r="E328" s="14">
        <f t="shared" si="2"/>
        <v>0</v>
      </c>
      <c r="F328" s="14" t="str">
        <f t="shared" si="3"/>
        <v>153-10-Exa</v>
      </c>
      <c r="G328" s="13" t="s">
        <v>149</v>
      </c>
      <c r="H328" s="13" t="s">
        <v>143</v>
      </c>
      <c r="I328" s="16" t="s">
        <v>55</v>
      </c>
      <c r="J328" s="16">
        <v>92.0</v>
      </c>
      <c r="K328" s="14" t="str">
        <f t="array" ref="K328">IF(OR(H328="",H328="Selecciona.."),"",XLOOKUP(H328,Propiedades!B:B,Propiedades!C:C,"",0,1))</f>
        <v>mm</v>
      </c>
    </row>
    <row r="329">
      <c r="A329" s="14">
        <f t="shared" si="1"/>
        <v>328</v>
      </c>
      <c r="B329" s="14">
        <f t="array" ref="B329">IF(OR(G329="",G329="Selecciona.."),"",XLOOKUP(G329,Productos!E:E,Productos!A:A,"",0,1))</f>
        <v>132</v>
      </c>
      <c r="C329" s="14">
        <f t="array" ref="C329">IF(B329="","",SUMIF(Implementos!B:B,XLOOKUP(B329,Productos!A:A,Productos!F:F,"",0,1),Implementos!A:A))</f>
        <v>4</v>
      </c>
      <c r="D329" s="14">
        <f t="array" ref="D329">IF(OR(H329="",H329="Selecciona.."),"",XLOOKUP(H329,Propiedades!B:B,Propiedades!A:A,"",0,1))</f>
        <v>2</v>
      </c>
      <c r="E329" s="14">
        <f t="shared" si="2"/>
        <v>0</v>
      </c>
      <c r="F329" s="14" t="str">
        <f t="shared" si="3"/>
        <v>132-2-Exa</v>
      </c>
      <c r="G329" s="13" t="s">
        <v>40</v>
      </c>
      <c r="H329" s="13" t="s">
        <v>56</v>
      </c>
      <c r="I329" s="16" t="s">
        <v>55</v>
      </c>
      <c r="J329" s="16">
        <v>800.0</v>
      </c>
      <c r="K329" s="14" t="str">
        <f t="array" ref="K329">IF(OR(H329="",H329="Selecciona.."),"",XLOOKUP(H329,Propiedades!B:B,Propiedades!C:C,"",0,1))</f>
        <v>kg</v>
      </c>
    </row>
    <row r="330">
      <c r="A330" s="14">
        <f t="shared" si="1"/>
        <v>329</v>
      </c>
      <c r="B330" s="14">
        <f t="array" ref="B330">IF(OR(G330="",G330="Selecciona.."),"",XLOOKUP(G330,Productos!E:E,Productos!A:A,"",0,1))</f>
        <v>133</v>
      </c>
      <c r="C330" s="14">
        <f t="array" ref="C330">IF(B330="","",SUMIF(Implementos!B:B,XLOOKUP(B330,Productos!A:A,Productos!F:F,"",0,1),Implementos!A:A))</f>
        <v>4</v>
      </c>
      <c r="D330" s="14">
        <f t="array" ref="D330">IF(OR(H330="",H330="Selecciona.."),"",XLOOKUP(H330,Propiedades!B:B,Propiedades!A:A,"",0,1))</f>
        <v>2</v>
      </c>
      <c r="E330" s="14">
        <f t="shared" si="2"/>
        <v>0</v>
      </c>
      <c r="F330" s="14" t="str">
        <f t="shared" si="3"/>
        <v>133-2-Exa</v>
      </c>
      <c r="G330" s="13" t="s">
        <v>44</v>
      </c>
      <c r="H330" s="13" t="s">
        <v>56</v>
      </c>
      <c r="I330" s="16" t="s">
        <v>55</v>
      </c>
      <c r="J330" s="16">
        <v>1200.0</v>
      </c>
      <c r="K330" s="14" t="str">
        <f t="array" ref="K330">IF(OR(H330="",H330="Selecciona.."),"",XLOOKUP(H330,Propiedades!B:B,Propiedades!C:C,"",0,1))</f>
        <v>kg</v>
      </c>
    </row>
    <row r="331">
      <c r="A331" s="14">
        <f t="shared" si="1"/>
        <v>330</v>
      </c>
      <c r="B331" s="14">
        <f t="array" ref="B331">IF(OR(G331="",G331="Selecciona.."),"",XLOOKUP(G331,Productos!E:E,Productos!A:A,"",0,1))</f>
        <v>134</v>
      </c>
      <c r="C331" s="14">
        <f t="array" ref="C331">IF(B331="","",SUMIF(Implementos!B:B,XLOOKUP(B331,Productos!A:A,Productos!F:F,"",0,1),Implementos!A:A))</f>
        <v>4</v>
      </c>
      <c r="D331" s="14">
        <f t="array" ref="D331">IF(OR(H331="",H331="Selecciona.."),"",XLOOKUP(H331,Propiedades!B:B,Propiedades!A:A,"",0,1))</f>
        <v>2</v>
      </c>
      <c r="E331" s="14">
        <f t="shared" si="2"/>
        <v>1</v>
      </c>
      <c r="F331" s="14" t="str">
        <f t="shared" si="3"/>
        <v>134-2-Min</v>
      </c>
      <c r="G331" s="13" t="s">
        <v>150</v>
      </c>
      <c r="H331" s="13" t="s">
        <v>56</v>
      </c>
      <c r="I331" s="16" t="s">
        <v>22</v>
      </c>
      <c r="J331" s="16">
        <v>1100.0</v>
      </c>
      <c r="K331" s="14" t="str">
        <f t="array" ref="K331">IF(OR(H331="",H331="Selecciona.."),"",XLOOKUP(H331,Propiedades!B:B,Propiedades!C:C,"",0,1))</f>
        <v>kg</v>
      </c>
    </row>
    <row r="332">
      <c r="A332" s="14">
        <f t="shared" si="1"/>
        <v>331</v>
      </c>
      <c r="B332" s="14">
        <f t="array" ref="B332">IF(OR(G332="",G332="Selecciona.."),"",XLOOKUP(G332,Productos!E:E,Productos!A:A,"",0,1))</f>
        <v>134</v>
      </c>
      <c r="C332" s="14">
        <f t="array" ref="C332">IF(B332="","",SUMIF(Implementos!B:B,XLOOKUP(B332,Productos!A:A,Productos!F:F,"",0,1),Implementos!A:A))</f>
        <v>4</v>
      </c>
      <c r="D332" s="14">
        <f t="array" ref="D332">IF(OR(H332="",H332="Selecciona.."),"",XLOOKUP(H332,Propiedades!B:B,Propiedades!A:A,"",0,1))</f>
        <v>2</v>
      </c>
      <c r="E332" s="14">
        <f t="shared" si="2"/>
        <v>1</v>
      </c>
      <c r="F332" s="14" t="str">
        <f t="shared" si="3"/>
        <v>134-2-Máx</v>
      </c>
      <c r="G332" s="13" t="s">
        <v>150</v>
      </c>
      <c r="H332" s="13" t="s">
        <v>56</v>
      </c>
      <c r="I332" s="16" t="s">
        <v>23</v>
      </c>
      <c r="J332" s="16">
        <v>1300.0</v>
      </c>
      <c r="K332" s="14" t="str">
        <f t="array" ref="K332">IF(OR(H332="",H332="Selecciona.."),"",XLOOKUP(H332,Propiedades!B:B,Propiedades!C:C,"",0,1))</f>
        <v>kg</v>
      </c>
    </row>
    <row r="333">
      <c r="A333" s="14">
        <f t="shared" si="1"/>
        <v>332</v>
      </c>
      <c r="B333" s="14">
        <f t="array" ref="B333">IF(OR(G333="",G333="Selecciona.."),"",XLOOKUP(G333,Productos!E:E,Productos!A:A,"",0,1))</f>
        <v>132</v>
      </c>
      <c r="C333" s="14">
        <f t="array" ref="C333">IF(B333="","",SUMIF(Implementos!B:B,XLOOKUP(B333,Productos!A:A,Productos!F:F,"",0,1),Implementos!A:A))</f>
        <v>4</v>
      </c>
      <c r="D333" s="14">
        <f t="array" ref="D333">IF(OR(H333="",H333="Selecciona.."),"",XLOOKUP(H333,Propiedades!B:B,Propiedades!A:A,"",0,1))</f>
        <v>9</v>
      </c>
      <c r="E333" s="14">
        <f t="shared" si="2"/>
        <v>0</v>
      </c>
      <c r="F333" s="14" t="str">
        <f t="shared" si="3"/>
        <v>132-9-Exa</v>
      </c>
      <c r="G333" s="13" t="s">
        <v>40</v>
      </c>
      <c r="H333" s="13" t="s">
        <v>118</v>
      </c>
      <c r="I333" s="16" t="s">
        <v>55</v>
      </c>
      <c r="J333" s="16">
        <v>2.0</v>
      </c>
      <c r="K333" s="14" t="str">
        <f t="array" ref="K333">IF(OR(H333="",H333="Selecciona.."),"",XLOOKUP(H333,Propiedades!B:B,Propiedades!C:C,"",0,1))</f>
        <v>unidades</v>
      </c>
    </row>
    <row r="334">
      <c r="A334" s="14">
        <f t="shared" si="1"/>
        <v>333</v>
      </c>
      <c r="B334" s="14">
        <f t="array" ref="B334">IF(OR(G334="",G334="Selecciona.."),"",XLOOKUP(G334,Productos!E:E,Productos!A:A,"",0,1))</f>
        <v>133</v>
      </c>
      <c r="C334" s="14">
        <f t="array" ref="C334">IF(B334="","",SUMIF(Implementos!B:B,XLOOKUP(B334,Productos!A:A,Productos!F:F,"",0,1),Implementos!A:A))</f>
        <v>4</v>
      </c>
      <c r="D334" s="14">
        <f t="array" ref="D334">IF(OR(H334="",H334="Selecciona.."),"",XLOOKUP(H334,Propiedades!B:B,Propiedades!A:A,"",0,1))</f>
        <v>9</v>
      </c>
      <c r="E334" s="14">
        <f t="shared" si="2"/>
        <v>0</v>
      </c>
      <c r="F334" s="14" t="str">
        <f t="shared" si="3"/>
        <v>133-9-Exa</v>
      </c>
      <c r="G334" s="13" t="s">
        <v>44</v>
      </c>
      <c r="H334" s="13" t="s">
        <v>118</v>
      </c>
      <c r="I334" s="16" t="s">
        <v>55</v>
      </c>
      <c r="J334" s="16">
        <v>2.0</v>
      </c>
      <c r="K334" s="14" t="str">
        <f t="array" ref="K334">IF(OR(H334="",H334="Selecciona.."),"",XLOOKUP(H334,Propiedades!B:B,Propiedades!C:C,"",0,1))</f>
        <v>unidades</v>
      </c>
    </row>
    <row r="335">
      <c r="A335" s="14" t="str">
        <f t="shared" si="1"/>
        <v/>
      </c>
      <c r="B335" s="14" t="str">
        <f t="array" ref="B335">IF(OR(G335="",G335="Selecciona.."),"",XLOOKUP(G335,Productos!E:E,Productos!A:A,"",0,1))</f>
        <v/>
      </c>
      <c r="C335" s="14" t="str">
        <f t="array" ref="C335">IF(B335="","",SUMIF(Implementos!B:B,XLOOKUP(B335,Productos!A:A,Productos!F:F,"",0,1),Implementos!A:A))</f>
        <v/>
      </c>
      <c r="D335" s="14" t="str">
        <f t="array" ref="D335">IF(OR(H335="",H335="Selecciona.."),"",XLOOKUP(H335,Propiedades!B:B,Propiedades!A:A,"",0,1))</f>
        <v/>
      </c>
      <c r="E335" s="14" t="str">
        <f t="shared" si="2"/>
        <v/>
      </c>
      <c r="F335" s="14" t="str">
        <f t="shared" si="3"/>
        <v/>
      </c>
      <c r="G335" s="15" t="str">
        <f t="shared" ref="G335:G996" si="8">IF(OR(G334="",G334="Selecciona.."),"","Selecciona..")</f>
        <v>Selecciona..</v>
      </c>
      <c r="H335" s="15" t="str">
        <f t="shared" ref="H335:H996" si="9">IF(B335="","","Selecciona..")</f>
        <v/>
      </c>
      <c r="I335" s="16" t="str">
        <f t="shared" ref="I335:I996" si="10">IF(A335="","","Selecciona")</f>
        <v/>
      </c>
      <c r="J335" s="17"/>
      <c r="K335" s="14" t="str">
        <f t="array" ref="K335">IF(OR(H335="",H335="Selecciona.."),"",XLOOKUP(H335,Propiedades!B:B,Propiedades!C:C,"",0,1))</f>
        <v/>
      </c>
    </row>
    <row r="336">
      <c r="A336" s="14" t="str">
        <f t="shared" si="1"/>
        <v/>
      </c>
      <c r="B336" s="14" t="str">
        <f t="array" ref="B336">IF(OR(G336="",G336="Selecciona.."),"",XLOOKUP(G336,Productos!E:E,Productos!A:A,"",0,1))</f>
        <v/>
      </c>
      <c r="C336" s="14" t="str">
        <f t="array" ref="C336">IF(B336="","",SUMIF(Implementos!B:B,XLOOKUP(B336,Productos!A:A,Productos!F:F,"",0,1),Implementos!A:A))</f>
        <v/>
      </c>
      <c r="D336" s="14" t="str">
        <f t="array" ref="D336">IF(OR(H336="",H336="Selecciona.."),"",XLOOKUP(H336,Propiedades!B:B,Propiedades!A:A,"",0,1))</f>
        <v/>
      </c>
      <c r="E336" s="14" t="str">
        <f t="shared" si="2"/>
        <v/>
      </c>
      <c r="F336" s="14" t="str">
        <f t="shared" si="3"/>
        <v/>
      </c>
      <c r="G336" s="15" t="str">
        <f t="shared" si="8"/>
        <v/>
      </c>
      <c r="H336" s="15" t="str">
        <f t="shared" si="9"/>
        <v/>
      </c>
      <c r="I336" s="16" t="str">
        <f t="shared" si="10"/>
        <v/>
      </c>
      <c r="J336" s="17"/>
      <c r="K336" s="14" t="str">
        <f t="array" ref="K336">IF(OR(H336="",H336="Selecciona.."),"",XLOOKUP(H336,Propiedades!B:B,Propiedades!C:C,"",0,1))</f>
        <v/>
      </c>
    </row>
    <row r="337">
      <c r="A337" s="14" t="str">
        <f t="shared" si="1"/>
        <v/>
      </c>
      <c r="B337" s="14" t="str">
        <f t="array" ref="B337">IF(OR(G337="",G337="Selecciona.."),"",XLOOKUP(G337,Productos!E:E,Productos!A:A,"",0,1))</f>
        <v/>
      </c>
      <c r="C337" s="14" t="str">
        <f t="array" ref="C337">IF(B337="","",SUMIF(Implementos!B:B,XLOOKUP(B337,Productos!A:A,Productos!F:F,"",0,1),Implementos!A:A))</f>
        <v/>
      </c>
      <c r="D337" s="14" t="str">
        <f t="array" ref="D337">IF(OR(H337="",H337="Selecciona.."),"",XLOOKUP(H337,Propiedades!B:B,Propiedades!A:A,"",0,1))</f>
        <v/>
      </c>
      <c r="E337" s="14" t="str">
        <f t="shared" si="2"/>
        <v/>
      </c>
      <c r="F337" s="14" t="str">
        <f t="shared" si="3"/>
        <v/>
      </c>
      <c r="G337" s="15" t="str">
        <f t="shared" si="8"/>
        <v/>
      </c>
      <c r="H337" s="15" t="str">
        <f t="shared" si="9"/>
        <v/>
      </c>
      <c r="I337" s="16" t="str">
        <f t="shared" si="10"/>
        <v/>
      </c>
      <c r="J337" s="17"/>
      <c r="K337" s="14" t="str">
        <f t="array" ref="K337">IF(OR(H337="",H337="Selecciona.."),"",XLOOKUP(H337,Propiedades!B:B,Propiedades!C:C,"",0,1))</f>
        <v/>
      </c>
    </row>
    <row r="338">
      <c r="A338" s="14" t="str">
        <f t="shared" si="1"/>
        <v/>
      </c>
      <c r="B338" s="14" t="str">
        <f t="array" ref="B338">IF(OR(G338="",G338="Selecciona.."),"",XLOOKUP(G338,Productos!E:E,Productos!A:A,"",0,1))</f>
        <v/>
      </c>
      <c r="C338" s="14" t="str">
        <f t="array" ref="C338">IF(B338="","",SUMIF(Implementos!B:B,XLOOKUP(B338,Productos!A:A,Productos!F:F,"",0,1),Implementos!A:A))</f>
        <v/>
      </c>
      <c r="D338" s="14" t="str">
        <f t="array" ref="D338">IF(OR(H338="",H338="Selecciona.."),"",XLOOKUP(H338,Propiedades!B:B,Propiedades!A:A,"",0,1))</f>
        <v/>
      </c>
      <c r="E338" s="14" t="str">
        <f t="shared" si="2"/>
        <v/>
      </c>
      <c r="F338" s="14" t="str">
        <f t="shared" si="3"/>
        <v/>
      </c>
      <c r="G338" s="15" t="str">
        <f t="shared" si="8"/>
        <v/>
      </c>
      <c r="H338" s="15" t="str">
        <f t="shared" si="9"/>
        <v/>
      </c>
      <c r="I338" s="16" t="str">
        <f t="shared" si="10"/>
        <v/>
      </c>
      <c r="J338" s="17"/>
      <c r="K338" s="14" t="str">
        <f t="array" ref="K338">IF(OR(H338="",H338="Selecciona.."),"",XLOOKUP(H338,Propiedades!B:B,Propiedades!C:C,"",0,1))</f>
        <v/>
      </c>
    </row>
    <row r="339">
      <c r="A339" s="14" t="str">
        <f t="shared" si="1"/>
        <v/>
      </c>
      <c r="B339" s="14" t="str">
        <f t="array" ref="B339">IF(OR(G339="",G339="Selecciona.."),"",XLOOKUP(G339,Productos!E:E,Productos!A:A,"",0,1))</f>
        <v/>
      </c>
      <c r="C339" s="14" t="str">
        <f t="array" ref="C339">IF(B339="","",SUMIF(Implementos!B:B,XLOOKUP(B339,Productos!A:A,Productos!F:F,"",0,1),Implementos!A:A))</f>
        <v/>
      </c>
      <c r="D339" s="14" t="str">
        <f t="array" ref="D339">IF(OR(H339="",H339="Selecciona.."),"",XLOOKUP(H339,Propiedades!B:B,Propiedades!A:A,"",0,1))</f>
        <v/>
      </c>
      <c r="E339" s="14" t="str">
        <f t="shared" si="2"/>
        <v/>
      </c>
      <c r="F339" s="14" t="str">
        <f t="shared" si="3"/>
        <v/>
      </c>
      <c r="G339" s="15" t="str">
        <f t="shared" si="8"/>
        <v/>
      </c>
      <c r="H339" s="15" t="str">
        <f t="shared" si="9"/>
        <v/>
      </c>
      <c r="I339" s="16" t="str">
        <f t="shared" si="10"/>
        <v/>
      </c>
      <c r="J339" s="17"/>
      <c r="K339" s="14" t="str">
        <f t="array" ref="K339">IF(OR(H339="",H339="Selecciona.."),"",XLOOKUP(H339,Propiedades!B:B,Propiedades!C:C,"",0,1))</f>
        <v/>
      </c>
    </row>
    <row r="340">
      <c r="A340" s="14" t="str">
        <f t="shared" si="1"/>
        <v/>
      </c>
      <c r="B340" s="14" t="str">
        <f t="array" ref="B340">IF(OR(G340="",G340="Selecciona.."),"",XLOOKUP(G340,Productos!E:E,Productos!A:A,"",0,1))</f>
        <v/>
      </c>
      <c r="C340" s="14" t="str">
        <f t="array" ref="C340">IF(B340="","",SUMIF(Implementos!B:B,XLOOKUP(B340,Productos!A:A,Productos!F:F,"",0,1),Implementos!A:A))</f>
        <v/>
      </c>
      <c r="D340" s="14" t="str">
        <f t="array" ref="D340">IF(OR(H340="",H340="Selecciona.."),"",XLOOKUP(H340,Propiedades!B:B,Propiedades!A:A,"",0,1))</f>
        <v/>
      </c>
      <c r="E340" s="14" t="str">
        <f t="shared" si="2"/>
        <v/>
      </c>
      <c r="F340" s="14" t="str">
        <f t="shared" si="3"/>
        <v/>
      </c>
      <c r="G340" s="15" t="str">
        <f t="shared" si="8"/>
        <v/>
      </c>
      <c r="H340" s="15" t="str">
        <f t="shared" si="9"/>
        <v/>
      </c>
      <c r="I340" s="16" t="str">
        <f t="shared" si="10"/>
        <v/>
      </c>
      <c r="J340" s="17"/>
      <c r="K340" s="14" t="str">
        <f t="array" ref="K340">IF(OR(H340="",H340="Selecciona.."),"",XLOOKUP(H340,Propiedades!B:B,Propiedades!C:C,"",0,1))</f>
        <v/>
      </c>
    </row>
    <row r="341">
      <c r="A341" s="14" t="str">
        <f t="shared" si="1"/>
        <v/>
      </c>
      <c r="B341" s="14" t="str">
        <f t="array" ref="B341">IF(OR(G341="",G341="Selecciona.."),"",XLOOKUP(G341,Productos!E:E,Productos!A:A,"",0,1))</f>
        <v/>
      </c>
      <c r="C341" s="14" t="str">
        <f t="array" ref="C341">IF(B341="","",SUMIF(Implementos!B:B,XLOOKUP(B341,Productos!A:A,Productos!F:F,"",0,1),Implementos!A:A))</f>
        <v/>
      </c>
      <c r="D341" s="14" t="str">
        <f t="array" ref="D341">IF(OR(H341="",H341="Selecciona.."),"",XLOOKUP(H341,Propiedades!B:B,Propiedades!A:A,"",0,1))</f>
        <v/>
      </c>
      <c r="E341" s="14" t="str">
        <f t="shared" si="2"/>
        <v/>
      </c>
      <c r="F341" s="14" t="str">
        <f t="shared" si="3"/>
        <v/>
      </c>
      <c r="G341" s="15" t="str">
        <f t="shared" si="8"/>
        <v/>
      </c>
      <c r="H341" s="15" t="str">
        <f t="shared" si="9"/>
        <v/>
      </c>
      <c r="I341" s="16" t="str">
        <f t="shared" si="10"/>
        <v/>
      </c>
      <c r="J341" s="17"/>
      <c r="K341" s="14" t="str">
        <f t="array" ref="K341">IF(OR(H341="",H341="Selecciona.."),"",XLOOKUP(H341,Propiedades!B:B,Propiedades!C:C,"",0,1))</f>
        <v/>
      </c>
    </row>
    <row r="342">
      <c r="A342" s="14" t="str">
        <f t="shared" si="1"/>
        <v/>
      </c>
      <c r="B342" s="14" t="str">
        <f t="array" ref="B342">IF(OR(G342="",G342="Selecciona.."),"",XLOOKUP(G342,Productos!E:E,Productos!A:A,"",0,1))</f>
        <v/>
      </c>
      <c r="C342" s="14" t="str">
        <f t="array" ref="C342">IF(B342="","",SUMIF(Implementos!B:B,XLOOKUP(B342,Productos!A:A,Productos!F:F,"",0,1),Implementos!A:A))</f>
        <v/>
      </c>
      <c r="D342" s="14" t="str">
        <f t="array" ref="D342">IF(OR(H342="",H342="Selecciona.."),"",XLOOKUP(H342,Propiedades!B:B,Propiedades!A:A,"",0,1))</f>
        <v/>
      </c>
      <c r="E342" s="14" t="str">
        <f t="shared" si="2"/>
        <v/>
      </c>
      <c r="F342" s="14" t="str">
        <f t="shared" si="3"/>
        <v/>
      </c>
      <c r="G342" s="15" t="str">
        <f t="shared" si="8"/>
        <v/>
      </c>
      <c r="H342" s="15" t="str">
        <f t="shared" si="9"/>
        <v/>
      </c>
      <c r="I342" s="16" t="str">
        <f t="shared" si="10"/>
        <v/>
      </c>
      <c r="J342" s="17"/>
      <c r="K342" s="14" t="str">
        <f t="array" ref="K342">IF(OR(H342="",H342="Selecciona.."),"",XLOOKUP(H342,Propiedades!B:B,Propiedades!C:C,"",0,1))</f>
        <v/>
      </c>
    </row>
    <row r="343">
      <c r="A343" s="14" t="str">
        <f t="shared" si="1"/>
        <v/>
      </c>
      <c r="B343" s="14" t="str">
        <f t="array" ref="B343">IF(OR(G343="",G343="Selecciona.."),"",XLOOKUP(G343,Productos!E:E,Productos!A:A,"",0,1))</f>
        <v/>
      </c>
      <c r="C343" s="14" t="str">
        <f t="array" ref="C343">IF(B343="","",SUMIF(Implementos!B:B,XLOOKUP(B343,Productos!A:A,Productos!F:F,"",0,1),Implementos!A:A))</f>
        <v/>
      </c>
      <c r="D343" s="14" t="str">
        <f t="array" ref="D343">IF(OR(H343="",H343="Selecciona.."),"",XLOOKUP(H343,Propiedades!B:B,Propiedades!A:A,"",0,1))</f>
        <v/>
      </c>
      <c r="E343" s="14" t="str">
        <f t="shared" si="2"/>
        <v/>
      </c>
      <c r="F343" s="14" t="str">
        <f t="shared" si="3"/>
        <v/>
      </c>
      <c r="G343" s="15" t="str">
        <f t="shared" si="8"/>
        <v/>
      </c>
      <c r="H343" s="15" t="str">
        <f t="shared" si="9"/>
        <v/>
      </c>
      <c r="I343" s="16" t="str">
        <f t="shared" si="10"/>
        <v/>
      </c>
      <c r="J343" s="17"/>
      <c r="K343" s="14" t="str">
        <f t="array" ref="K343">IF(OR(H343="",H343="Selecciona.."),"",XLOOKUP(H343,Propiedades!B:B,Propiedades!C:C,"",0,1))</f>
        <v/>
      </c>
    </row>
    <row r="344">
      <c r="A344" s="14" t="str">
        <f t="shared" si="1"/>
        <v/>
      </c>
      <c r="B344" s="14" t="str">
        <f t="array" ref="B344">IF(OR(G344="",G344="Selecciona.."),"",XLOOKUP(G344,Productos!E:E,Productos!A:A,"",0,1))</f>
        <v/>
      </c>
      <c r="C344" s="14" t="str">
        <f t="array" ref="C344">IF(B344="","",SUMIF(Implementos!B:B,XLOOKUP(B344,Productos!A:A,Productos!F:F,"",0,1),Implementos!A:A))</f>
        <v/>
      </c>
      <c r="D344" s="14" t="str">
        <f t="array" ref="D344">IF(OR(H344="",H344="Selecciona.."),"",XLOOKUP(H344,Propiedades!B:B,Propiedades!A:A,"",0,1))</f>
        <v/>
      </c>
      <c r="E344" s="14" t="str">
        <f t="shared" si="2"/>
        <v/>
      </c>
      <c r="F344" s="14" t="str">
        <f t="shared" si="3"/>
        <v/>
      </c>
      <c r="G344" s="15" t="str">
        <f t="shared" si="8"/>
        <v/>
      </c>
      <c r="H344" s="15" t="str">
        <f t="shared" si="9"/>
        <v/>
      </c>
      <c r="I344" s="16" t="str">
        <f t="shared" si="10"/>
        <v/>
      </c>
      <c r="J344" s="17"/>
      <c r="K344" s="14" t="str">
        <f t="array" ref="K344">IF(OR(H344="",H344="Selecciona.."),"",XLOOKUP(H344,Propiedades!B:B,Propiedades!C:C,"",0,1))</f>
        <v/>
      </c>
    </row>
    <row r="345">
      <c r="A345" s="14" t="str">
        <f t="shared" si="1"/>
        <v/>
      </c>
      <c r="B345" s="14" t="str">
        <f t="array" ref="B345">IF(OR(G345="",G345="Selecciona.."),"",XLOOKUP(G345,Productos!E:E,Productos!A:A,"",0,1))</f>
        <v/>
      </c>
      <c r="C345" s="14" t="str">
        <f t="array" ref="C345">IF(B345="","",SUMIF(Implementos!B:B,XLOOKUP(B345,Productos!A:A,Productos!F:F,"",0,1),Implementos!A:A))</f>
        <v/>
      </c>
      <c r="D345" s="14" t="str">
        <f t="array" ref="D345">IF(OR(H345="",H345="Selecciona.."),"",XLOOKUP(H345,Propiedades!B:B,Propiedades!A:A,"",0,1))</f>
        <v/>
      </c>
      <c r="E345" s="14" t="str">
        <f t="shared" si="2"/>
        <v/>
      </c>
      <c r="F345" s="14" t="str">
        <f t="shared" si="3"/>
        <v/>
      </c>
      <c r="G345" s="15" t="str">
        <f t="shared" si="8"/>
        <v/>
      </c>
      <c r="H345" s="15" t="str">
        <f t="shared" si="9"/>
        <v/>
      </c>
      <c r="I345" s="16" t="str">
        <f t="shared" si="10"/>
        <v/>
      </c>
      <c r="J345" s="17"/>
      <c r="K345" s="14" t="str">
        <f t="array" ref="K345">IF(OR(H345="",H345="Selecciona.."),"",XLOOKUP(H345,Propiedades!B:B,Propiedades!C:C,"",0,1))</f>
        <v/>
      </c>
    </row>
    <row r="346">
      <c r="A346" s="14" t="str">
        <f t="shared" si="1"/>
        <v/>
      </c>
      <c r="B346" s="14" t="str">
        <f t="array" ref="B346">IF(OR(G346="",G346="Selecciona.."),"",XLOOKUP(G346,Productos!E:E,Productos!A:A,"",0,1))</f>
        <v/>
      </c>
      <c r="C346" s="14" t="str">
        <f t="array" ref="C346">IF(B346="","",SUMIF(Implementos!B:B,XLOOKUP(B346,Productos!A:A,Productos!F:F,"",0,1),Implementos!A:A))</f>
        <v/>
      </c>
      <c r="D346" s="14" t="str">
        <f t="array" ref="D346">IF(OR(H346="",H346="Selecciona.."),"",XLOOKUP(H346,Propiedades!B:B,Propiedades!A:A,"",0,1))</f>
        <v/>
      </c>
      <c r="E346" s="14" t="str">
        <f t="shared" si="2"/>
        <v/>
      </c>
      <c r="F346" s="14" t="str">
        <f t="shared" si="3"/>
        <v/>
      </c>
      <c r="G346" s="15" t="str">
        <f t="shared" si="8"/>
        <v/>
      </c>
      <c r="H346" s="15" t="str">
        <f t="shared" si="9"/>
        <v/>
      </c>
      <c r="I346" s="16" t="str">
        <f t="shared" si="10"/>
        <v/>
      </c>
      <c r="J346" s="17"/>
      <c r="K346" s="14" t="str">
        <f t="array" ref="K346">IF(OR(H346="",H346="Selecciona.."),"",XLOOKUP(H346,Propiedades!B:B,Propiedades!C:C,"",0,1))</f>
        <v/>
      </c>
    </row>
    <row r="347">
      <c r="A347" s="14" t="str">
        <f t="shared" si="1"/>
        <v/>
      </c>
      <c r="B347" s="14" t="str">
        <f t="array" ref="B347">IF(OR(G347="",G347="Selecciona.."),"",XLOOKUP(G347,Productos!E:E,Productos!A:A,"",0,1))</f>
        <v/>
      </c>
      <c r="C347" s="14" t="str">
        <f t="array" ref="C347">IF(B347="","",SUMIF(Implementos!B:B,XLOOKUP(B347,Productos!A:A,Productos!F:F,"",0,1),Implementos!A:A))</f>
        <v/>
      </c>
      <c r="D347" s="14" t="str">
        <f t="array" ref="D347">IF(OR(H347="",H347="Selecciona.."),"",XLOOKUP(H347,Propiedades!B:B,Propiedades!A:A,"",0,1))</f>
        <v/>
      </c>
      <c r="E347" s="14" t="str">
        <f t="shared" si="2"/>
        <v/>
      </c>
      <c r="F347" s="14" t="str">
        <f t="shared" si="3"/>
        <v/>
      </c>
      <c r="G347" s="15" t="str">
        <f t="shared" si="8"/>
        <v/>
      </c>
      <c r="H347" s="15" t="str">
        <f t="shared" si="9"/>
        <v/>
      </c>
      <c r="I347" s="16" t="str">
        <f t="shared" si="10"/>
        <v/>
      </c>
      <c r="J347" s="17"/>
      <c r="K347" s="14" t="str">
        <f t="array" ref="K347">IF(OR(H347="",H347="Selecciona.."),"",XLOOKUP(H347,Propiedades!B:B,Propiedades!C:C,"",0,1))</f>
        <v/>
      </c>
    </row>
    <row r="348">
      <c r="A348" s="14" t="str">
        <f t="shared" si="1"/>
        <v/>
      </c>
      <c r="B348" s="14" t="str">
        <f t="array" ref="B348">IF(OR(G348="",G348="Selecciona.."),"",XLOOKUP(G348,Productos!E:E,Productos!A:A,"",0,1))</f>
        <v/>
      </c>
      <c r="C348" s="14" t="str">
        <f t="array" ref="C348">IF(B348="","",SUMIF(Implementos!B:B,XLOOKUP(B348,Productos!A:A,Productos!F:F,"",0,1),Implementos!A:A))</f>
        <v/>
      </c>
      <c r="D348" s="14" t="str">
        <f t="array" ref="D348">IF(OR(H348="",H348="Selecciona.."),"",XLOOKUP(H348,Propiedades!B:B,Propiedades!A:A,"",0,1))</f>
        <v/>
      </c>
      <c r="E348" s="14" t="str">
        <f t="shared" si="2"/>
        <v/>
      </c>
      <c r="F348" s="14" t="str">
        <f t="shared" si="3"/>
        <v/>
      </c>
      <c r="G348" s="15" t="str">
        <f t="shared" si="8"/>
        <v/>
      </c>
      <c r="H348" s="15" t="str">
        <f t="shared" si="9"/>
        <v/>
      </c>
      <c r="I348" s="16" t="str">
        <f t="shared" si="10"/>
        <v/>
      </c>
      <c r="J348" s="17"/>
      <c r="K348" s="14" t="str">
        <f t="array" ref="K348">IF(OR(H348="",H348="Selecciona.."),"",XLOOKUP(H348,Propiedades!B:B,Propiedades!C:C,"",0,1))</f>
        <v/>
      </c>
    </row>
    <row r="349">
      <c r="A349" s="14" t="str">
        <f t="shared" si="1"/>
        <v/>
      </c>
      <c r="B349" s="14" t="str">
        <f t="array" ref="B349">IF(OR(G349="",G349="Selecciona.."),"",XLOOKUP(G349,Productos!E:E,Productos!A:A,"",0,1))</f>
        <v/>
      </c>
      <c r="C349" s="14" t="str">
        <f t="array" ref="C349">IF(B349="","",SUMIF(Implementos!B:B,XLOOKUP(B349,Productos!A:A,Productos!F:F,"",0,1),Implementos!A:A))</f>
        <v/>
      </c>
      <c r="D349" s="14" t="str">
        <f t="array" ref="D349">IF(OR(H349="",H349="Selecciona.."),"",XLOOKUP(H349,Propiedades!B:B,Propiedades!A:A,"",0,1))</f>
        <v/>
      </c>
      <c r="E349" s="14" t="str">
        <f t="shared" si="2"/>
        <v/>
      </c>
      <c r="F349" s="14" t="str">
        <f t="shared" si="3"/>
        <v/>
      </c>
      <c r="G349" s="15" t="str">
        <f t="shared" si="8"/>
        <v/>
      </c>
      <c r="H349" s="15" t="str">
        <f t="shared" si="9"/>
        <v/>
      </c>
      <c r="I349" s="16" t="str">
        <f t="shared" si="10"/>
        <v/>
      </c>
      <c r="J349" s="17"/>
      <c r="K349" s="14" t="str">
        <f t="array" ref="K349">IF(OR(H349="",H349="Selecciona.."),"",XLOOKUP(H349,Propiedades!B:B,Propiedades!C:C,"",0,1))</f>
        <v/>
      </c>
    </row>
    <row r="350">
      <c r="A350" s="14" t="str">
        <f t="shared" si="1"/>
        <v/>
      </c>
      <c r="B350" s="14" t="str">
        <f t="array" ref="B350">IF(OR(G350="",G350="Selecciona.."),"",XLOOKUP(G350,Productos!E:E,Productos!A:A,"",0,1))</f>
        <v/>
      </c>
      <c r="C350" s="14" t="str">
        <f t="array" ref="C350">IF(B350="","",SUMIF(Implementos!B:B,XLOOKUP(B350,Productos!A:A,Productos!F:F,"",0,1),Implementos!A:A))</f>
        <v/>
      </c>
      <c r="D350" s="14" t="str">
        <f t="array" ref="D350">IF(OR(H350="",H350="Selecciona.."),"",XLOOKUP(H350,Propiedades!B:B,Propiedades!A:A,"",0,1))</f>
        <v/>
      </c>
      <c r="E350" s="14" t="str">
        <f t="shared" si="2"/>
        <v/>
      </c>
      <c r="F350" s="14" t="str">
        <f t="shared" si="3"/>
        <v/>
      </c>
      <c r="G350" s="15" t="str">
        <f t="shared" si="8"/>
        <v/>
      </c>
      <c r="H350" s="15" t="str">
        <f t="shared" si="9"/>
        <v/>
      </c>
      <c r="I350" s="16" t="str">
        <f t="shared" si="10"/>
        <v/>
      </c>
      <c r="J350" s="17"/>
      <c r="K350" s="14" t="str">
        <f t="array" ref="K350">IF(OR(H350="",H350="Selecciona.."),"",XLOOKUP(H350,Propiedades!B:B,Propiedades!C:C,"",0,1))</f>
        <v/>
      </c>
    </row>
    <row r="351">
      <c r="A351" s="14" t="str">
        <f t="shared" si="1"/>
        <v/>
      </c>
      <c r="B351" s="14" t="str">
        <f t="array" ref="B351">IF(OR(G351="",G351="Selecciona.."),"",XLOOKUP(G351,Productos!E:E,Productos!A:A,"",0,1))</f>
        <v/>
      </c>
      <c r="C351" s="14" t="str">
        <f t="array" ref="C351">IF(B351="","",SUMIF(Implementos!B:B,XLOOKUP(B351,Productos!A:A,Productos!F:F,"",0,1),Implementos!A:A))</f>
        <v/>
      </c>
      <c r="D351" s="14" t="str">
        <f t="array" ref="D351">IF(OR(H351="",H351="Selecciona.."),"",XLOOKUP(H351,Propiedades!B:B,Propiedades!A:A,"",0,1))</f>
        <v/>
      </c>
      <c r="E351" s="14" t="str">
        <f t="shared" si="2"/>
        <v/>
      </c>
      <c r="F351" s="14" t="str">
        <f t="shared" si="3"/>
        <v/>
      </c>
      <c r="G351" s="15" t="str">
        <f t="shared" si="8"/>
        <v/>
      </c>
      <c r="H351" s="15" t="str">
        <f t="shared" si="9"/>
        <v/>
      </c>
      <c r="I351" s="16" t="str">
        <f t="shared" si="10"/>
        <v/>
      </c>
      <c r="J351" s="17"/>
      <c r="K351" s="14" t="str">
        <f t="array" ref="K351">IF(OR(H351="",H351="Selecciona.."),"",XLOOKUP(H351,Propiedades!B:B,Propiedades!C:C,"",0,1))</f>
        <v/>
      </c>
    </row>
    <row r="352">
      <c r="A352" s="14" t="str">
        <f t="shared" si="1"/>
        <v/>
      </c>
      <c r="B352" s="14" t="str">
        <f t="array" ref="B352">IF(OR(G352="",G352="Selecciona.."),"",XLOOKUP(G352,Productos!E:E,Productos!A:A,"",0,1))</f>
        <v/>
      </c>
      <c r="C352" s="14" t="str">
        <f t="array" ref="C352">IF(B352="","",SUMIF(Implementos!B:B,XLOOKUP(B352,Productos!A:A,Productos!F:F,"",0,1),Implementos!A:A))</f>
        <v/>
      </c>
      <c r="D352" s="14" t="str">
        <f t="array" ref="D352">IF(OR(H352="",H352="Selecciona.."),"",XLOOKUP(H352,Propiedades!B:B,Propiedades!A:A,"",0,1))</f>
        <v/>
      </c>
      <c r="E352" s="14" t="str">
        <f t="shared" si="2"/>
        <v/>
      </c>
      <c r="F352" s="14" t="str">
        <f t="shared" si="3"/>
        <v/>
      </c>
      <c r="G352" s="15" t="str">
        <f t="shared" si="8"/>
        <v/>
      </c>
      <c r="H352" s="15" t="str">
        <f t="shared" si="9"/>
        <v/>
      </c>
      <c r="I352" s="16" t="str">
        <f t="shared" si="10"/>
        <v/>
      </c>
      <c r="J352" s="17"/>
      <c r="K352" s="14" t="str">
        <f t="array" ref="K352">IF(OR(H352="",H352="Selecciona.."),"",XLOOKUP(H352,Propiedades!B:B,Propiedades!C:C,"",0,1))</f>
        <v/>
      </c>
    </row>
    <row r="353">
      <c r="A353" s="14" t="str">
        <f t="shared" si="1"/>
        <v/>
      </c>
      <c r="B353" s="14" t="str">
        <f t="array" ref="B353">IF(OR(G353="",G353="Selecciona.."),"",XLOOKUP(G353,Productos!E:E,Productos!A:A,"",0,1))</f>
        <v/>
      </c>
      <c r="C353" s="14" t="str">
        <f t="array" ref="C353">IF(B353="","",SUMIF(Implementos!B:B,XLOOKUP(B353,Productos!A:A,Productos!F:F,"",0,1),Implementos!A:A))</f>
        <v/>
      </c>
      <c r="D353" s="14" t="str">
        <f t="array" ref="D353">IF(OR(H353="",H353="Selecciona.."),"",XLOOKUP(H353,Propiedades!B:B,Propiedades!A:A,"",0,1))</f>
        <v/>
      </c>
      <c r="E353" s="14" t="str">
        <f t="shared" si="2"/>
        <v/>
      </c>
      <c r="F353" s="14" t="str">
        <f t="shared" si="3"/>
        <v/>
      </c>
      <c r="G353" s="15" t="str">
        <f t="shared" si="8"/>
        <v/>
      </c>
      <c r="H353" s="15" t="str">
        <f t="shared" si="9"/>
        <v/>
      </c>
      <c r="I353" s="16" t="str">
        <f t="shared" si="10"/>
        <v/>
      </c>
      <c r="J353" s="17"/>
      <c r="K353" s="14" t="str">
        <f t="array" ref="K353">IF(OR(H353="",H353="Selecciona.."),"",XLOOKUP(H353,Propiedades!B:B,Propiedades!C:C,"",0,1))</f>
        <v/>
      </c>
    </row>
    <row r="354">
      <c r="A354" s="14" t="str">
        <f t="shared" si="1"/>
        <v/>
      </c>
      <c r="B354" s="14" t="str">
        <f t="array" ref="B354">IF(OR(G354="",G354="Selecciona.."),"",XLOOKUP(G354,Productos!E:E,Productos!A:A,"",0,1))</f>
        <v/>
      </c>
      <c r="C354" s="14" t="str">
        <f t="array" ref="C354">IF(B354="","",SUMIF(Implementos!B:B,XLOOKUP(B354,Productos!A:A,Productos!F:F,"",0,1),Implementos!A:A))</f>
        <v/>
      </c>
      <c r="D354" s="14" t="str">
        <f t="array" ref="D354">IF(OR(H354="",H354="Selecciona.."),"",XLOOKUP(H354,Propiedades!B:B,Propiedades!A:A,"",0,1))</f>
        <v/>
      </c>
      <c r="E354" s="14" t="str">
        <f t="shared" si="2"/>
        <v/>
      </c>
      <c r="F354" s="14" t="str">
        <f t="shared" si="3"/>
        <v/>
      </c>
      <c r="G354" s="15" t="str">
        <f t="shared" si="8"/>
        <v/>
      </c>
      <c r="H354" s="15" t="str">
        <f t="shared" si="9"/>
        <v/>
      </c>
      <c r="I354" s="16" t="str">
        <f t="shared" si="10"/>
        <v/>
      </c>
      <c r="J354" s="17"/>
      <c r="K354" s="14" t="str">
        <f t="array" ref="K354">IF(OR(H354="",H354="Selecciona.."),"",XLOOKUP(H354,Propiedades!B:B,Propiedades!C:C,"",0,1))</f>
        <v/>
      </c>
    </row>
    <row r="355">
      <c r="A355" s="14" t="str">
        <f t="shared" si="1"/>
        <v/>
      </c>
      <c r="B355" s="14" t="str">
        <f t="array" ref="B355">IF(OR(G355="",G355="Selecciona.."),"",XLOOKUP(G355,Productos!E:E,Productos!A:A,"",0,1))</f>
        <v/>
      </c>
      <c r="C355" s="14" t="str">
        <f t="array" ref="C355">IF(B355="","",SUMIF(Implementos!B:B,XLOOKUP(B355,Productos!A:A,Productos!F:F,"",0,1),Implementos!A:A))</f>
        <v/>
      </c>
      <c r="D355" s="14" t="str">
        <f t="array" ref="D355">IF(OR(H355="",H355="Selecciona.."),"",XLOOKUP(H355,Propiedades!B:B,Propiedades!A:A,"",0,1))</f>
        <v/>
      </c>
      <c r="E355" s="14" t="str">
        <f t="shared" si="2"/>
        <v/>
      </c>
      <c r="F355" s="14" t="str">
        <f t="shared" si="3"/>
        <v/>
      </c>
      <c r="G355" s="15" t="str">
        <f t="shared" si="8"/>
        <v/>
      </c>
      <c r="H355" s="15" t="str">
        <f t="shared" si="9"/>
        <v/>
      </c>
      <c r="I355" s="16" t="str">
        <f t="shared" si="10"/>
        <v/>
      </c>
      <c r="J355" s="17"/>
      <c r="K355" s="14" t="str">
        <f t="array" ref="K355">IF(OR(H355="",H355="Selecciona.."),"",XLOOKUP(H355,Propiedades!B:B,Propiedades!C:C,"",0,1))</f>
        <v/>
      </c>
    </row>
    <row r="356">
      <c r="A356" s="14" t="str">
        <f t="shared" si="1"/>
        <v/>
      </c>
      <c r="B356" s="14" t="str">
        <f t="array" ref="B356">IF(OR(G356="",G356="Selecciona.."),"",XLOOKUP(G356,Productos!E:E,Productos!A:A,"",0,1))</f>
        <v/>
      </c>
      <c r="C356" s="14" t="str">
        <f t="array" ref="C356">IF(B356="","",SUMIF(Implementos!B:B,XLOOKUP(B356,Productos!A:A,Productos!F:F,"",0,1),Implementos!A:A))</f>
        <v/>
      </c>
      <c r="D356" s="14" t="str">
        <f t="array" ref="D356">IF(OR(H356="",H356="Selecciona.."),"",XLOOKUP(H356,Propiedades!B:B,Propiedades!A:A,"",0,1))</f>
        <v/>
      </c>
      <c r="E356" s="14" t="str">
        <f t="shared" si="2"/>
        <v/>
      </c>
      <c r="F356" s="14" t="str">
        <f t="shared" si="3"/>
        <v/>
      </c>
      <c r="G356" s="15" t="str">
        <f t="shared" si="8"/>
        <v/>
      </c>
      <c r="H356" s="15" t="str">
        <f t="shared" si="9"/>
        <v/>
      </c>
      <c r="I356" s="16" t="str">
        <f t="shared" si="10"/>
        <v/>
      </c>
      <c r="J356" s="17"/>
      <c r="K356" s="14" t="str">
        <f t="array" ref="K356">IF(OR(H356="",H356="Selecciona.."),"",XLOOKUP(H356,Propiedades!B:B,Propiedades!C:C,"",0,1))</f>
        <v/>
      </c>
    </row>
    <row r="357">
      <c r="A357" s="14" t="str">
        <f t="shared" si="1"/>
        <v/>
      </c>
      <c r="B357" s="14" t="str">
        <f t="array" ref="B357">IF(OR(G357="",G357="Selecciona.."),"",XLOOKUP(G357,Productos!E:E,Productos!A:A,"",0,1))</f>
        <v/>
      </c>
      <c r="C357" s="14" t="str">
        <f t="array" ref="C357">IF(B357="","",SUMIF(Implementos!B:B,XLOOKUP(B357,Productos!A:A,Productos!F:F,"",0,1),Implementos!A:A))</f>
        <v/>
      </c>
      <c r="D357" s="14" t="str">
        <f t="array" ref="D357">IF(OR(H357="",H357="Selecciona.."),"",XLOOKUP(H357,Propiedades!B:B,Propiedades!A:A,"",0,1))</f>
        <v/>
      </c>
      <c r="E357" s="14" t="str">
        <f t="shared" si="2"/>
        <v/>
      </c>
      <c r="F357" s="14" t="str">
        <f t="shared" si="3"/>
        <v/>
      </c>
      <c r="G357" s="15" t="str">
        <f t="shared" si="8"/>
        <v/>
      </c>
      <c r="H357" s="15" t="str">
        <f t="shared" si="9"/>
        <v/>
      </c>
      <c r="I357" s="16" t="str">
        <f t="shared" si="10"/>
        <v/>
      </c>
      <c r="J357" s="17"/>
      <c r="K357" s="14" t="str">
        <f t="array" ref="K357">IF(OR(H357="",H357="Selecciona.."),"",XLOOKUP(H357,Propiedades!B:B,Propiedades!C:C,"",0,1))</f>
        <v/>
      </c>
    </row>
    <row r="358">
      <c r="A358" s="14" t="str">
        <f t="shared" si="1"/>
        <v/>
      </c>
      <c r="B358" s="14" t="str">
        <f t="array" ref="B358">IF(OR(G358="",G358="Selecciona.."),"",XLOOKUP(G358,Productos!E:E,Productos!A:A,"",0,1))</f>
        <v/>
      </c>
      <c r="C358" s="14" t="str">
        <f t="array" ref="C358">IF(B358="","",SUMIF(Implementos!B:B,XLOOKUP(B358,Productos!A:A,Productos!F:F,"",0,1),Implementos!A:A))</f>
        <v/>
      </c>
      <c r="D358" s="14" t="str">
        <f t="array" ref="D358">IF(OR(H358="",H358="Selecciona.."),"",XLOOKUP(H358,Propiedades!B:B,Propiedades!A:A,"",0,1))</f>
        <v/>
      </c>
      <c r="E358" s="14" t="str">
        <f t="shared" si="2"/>
        <v/>
      </c>
      <c r="F358" s="14" t="str">
        <f t="shared" si="3"/>
        <v/>
      </c>
      <c r="G358" s="15" t="str">
        <f t="shared" si="8"/>
        <v/>
      </c>
      <c r="H358" s="15" t="str">
        <f t="shared" si="9"/>
        <v/>
      </c>
      <c r="I358" s="16" t="str">
        <f t="shared" si="10"/>
        <v/>
      </c>
      <c r="J358" s="17"/>
      <c r="K358" s="14" t="str">
        <f t="array" ref="K358">IF(OR(H358="",H358="Selecciona.."),"",XLOOKUP(H358,Propiedades!B:B,Propiedades!C:C,"",0,1))</f>
        <v/>
      </c>
    </row>
    <row r="359">
      <c r="A359" s="14" t="str">
        <f t="shared" si="1"/>
        <v/>
      </c>
      <c r="B359" s="14" t="str">
        <f t="array" ref="B359">IF(OR(G359="",G359="Selecciona.."),"",XLOOKUP(G359,Productos!E:E,Productos!A:A,"",0,1))</f>
        <v/>
      </c>
      <c r="C359" s="14" t="str">
        <f t="array" ref="C359">IF(B359="","",SUMIF(Implementos!B:B,XLOOKUP(B359,Productos!A:A,Productos!F:F,"",0,1),Implementos!A:A))</f>
        <v/>
      </c>
      <c r="D359" s="14" t="str">
        <f t="array" ref="D359">IF(OR(H359="",H359="Selecciona.."),"",XLOOKUP(H359,Propiedades!B:B,Propiedades!A:A,"",0,1))</f>
        <v/>
      </c>
      <c r="E359" s="14" t="str">
        <f t="shared" si="2"/>
        <v/>
      </c>
      <c r="F359" s="14" t="str">
        <f t="shared" si="3"/>
        <v/>
      </c>
      <c r="G359" s="15" t="str">
        <f t="shared" si="8"/>
        <v/>
      </c>
      <c r="H359" s="15" t="str">
        <f t="shared" si="9"/>
        <v/>
      </c>
      <c r="I359" s="16" t="str">
        <f t="shared" si="10"/>
        <v/>
      </c>
      <c r="J359" s="17"/>
      <c r="K359" s="14" t="str">
        <f t="array" ref="K359">IF(OR(H359="",H359="Selecciona.."),"",XLOOKUP(H359,Propiedades!B:B,Propiedades!C:C,"",0,1))</f>
        <v/>
      </c>
    </row>
    <row r="360">
      <c r="A360" s="14" t="str">
        <f t="shared" si="1"/>
        <v/>
      </c>
      <c r="B360" s="14" t="str">
        <f t="array" ref="B360">IF(OR(G360="",G360="Selecciona.."),"",XLOOKUP(G360,Productos!E:E,Productos!A:A,"",0,1))</f>
        <v/>
      </c>
      <c r="C360" s="14" t="str">
        <f t="array" ref="C360">IF(B360="","",SUMIF(Implementos!B:B,XLOOKUP(B360,Productos!A:A,Productos!F:F,"",0,1),Implementos!A:A))</f>
        <v/>
      </c>
      <c r="D360" s="14" t="str">
        <f t="array" ref="D360">IF(OR(H360="",H360="Selecciona.."),"",XLOOKUP(H360,Propiedades!B:B,Propiedades!A:A,"",0,1))</f>
        <v/>
      </c>
      <c r="E360" s="14" t="str">
        <f t="shared" si="2"/>
        <v/>
      </c>
      <c r="F360" s="14" t="str">
        <f t="shared" si="3"/>
        <v/>
      </c>
      <c r="G360" s="15" t="str">
        <f t="shared" si="8"/>
        <v/>
      </c>
      <c r="H360" s="15" t="str">
        <f t="shared" si="9"/>
        <v/>
      </c>
      <c r="I360" s="16" t="str">
        <f t="shared" si="10"/>
        <v/>
      </c>
      <c r="J360" s="17"/>
      <c r="K360" s="14" t="str">
        <f t="array" ref="K360">IF(OR(H360="",H360="Selecciona.."),"",XLOOKUP(H360,Propiedades!B:B,Propiedades!C:C,"",0,1))</f>
        <v/>
      </c>
    </row>
    <row r="361">
      <c r="A361" s="14" t="str">
        <f t="shared" si="1"/>
        <v/>
      </c>
      <c r="B361" s="14" t="str">
        <f t="array" ref="B361">IF(OR(G361="",G361="Selecciona.."),"",XLOOKUP(G361,Productos!E:E,Productos!A:A,"",0,1))</f>
        <v/>
      </c>
      <c r="C361" s="14" t="str">
        <f t="array" ref="C361">IF(B361="","",SUMIF(Implementos!B:B,XLOOKUP(B361,Productos!A:A,Productos!F:F,"",0,1),Implementos!A:A))</f>
        <v/>
      </c>
      <c r="D361" s="14" t="str">
        <f t="array" ref="D361">IF(OR(H361="",H361="Selecciona.."),"",XLOOKUP(H361,Propiedades!B:B,Propiedades!A:A,"",0,1))</f>
        <v/>
      </c>
      <c r="E361" s="14" t="str">
        <f t="shared" si="2"/>
        <v/>
      </c>
      <c r="F361" s="14" t="str">
        <f t="shared" si="3"/>
        <v/>
      </c>
      <c r="G361" s="15" t="str">
        <f t="shared" si="8"/>
        <v/>
      </c>
      <c r="H361" s="15" t="str">
        <f t="shared" si="9"/>
        <v/>
      </c>
      <c r="I361" s="16" t="str">
        <f t="shared" si="10"/>
        <v/>
      </c>
      <c r="J361" s="17"/>
      <c r="K361" s="14" t="str">
        <f t="array" ref="K361">IF(OR(H361="",H361="Selecciona.."),"",XLOOKUP(H361,Propiedades!B:B,Propiedades!C:C,"",0,1))</f>
        <v/>
      </c>
    </row>
    <row r="362">
      <c r="A362" s="14" t="str">
        <f t="shared" si="1"/>
        <v/>
      </c>
      <c r="B362" s="14" t="str">
        <f t="array" ref="B362">IF(OR(G362="",G362="Selecciona.."),"",XLOOKUP(G362,Productos!E:E,Productos!A:A,"",0,1))</f>
        <v/>
      </c>
      <c r="C362" s="14" t="str">
        <f t="array" ref="C362">IF(B362="","",SUMIF(Implementos!B:B,XLOOKUP(B362,Productos!A:A,Productos!F:F,"",0,1),Implementos!A:A))</f>
        <v/>
      </c>
      <c r="D362" s="14" t="str">
        <f t="array" ref="D362">IF(OR(H362="",H362="Selecciona.."),"",XLOOKUP(H362,Propiedades!B:B,Propiedades!A:A,"",0,1))</f>
        <v/>
      </c>
      <c r="E362" s="14" t="str">
        <f t="shared" si="2"/>
        <v/>
      </c>
      <c r="F362" s="14" t="str">
        <f t="shared" si="3"/>
        <v/>
      </c>
      <c r="G362" s="15" t="str">
        <f t="shared" si="8"/>
        <v/>
      </c>
      <c r="H362" s="15" t="str">
        <f t="shared" si="9"/>
        <v/>
      </c>
      <c r="I362" s="16" t="str">
        <f t="shared" si="10"/>
        <v/>
      </c>
      <c r="J362" s="17"/>
      <c r="K362" s="14" t="str">
        <f t="array" ref="K362">IF(OR(H362="",H362="Selecciona.."),"",XLOOKUP(H362,Propiedades!B:B,Propiedades!C:C,"",0,1))</f>
        <v/>
      </c>
    </row>
    <row r="363">
      <c r="A363" s="14" t="str">
        <f t="shared" si="1"/>
        <v/>
      </c>
      <c r="B363" s="14" t="str">
        <f t="array" ref="B363">IF(OR(G363="",G363="Selecciona.."),"",XLOOKUP(G363,Productos!E:E,Productos!A:A,"",0,1))</f>
        <v/>
      </c>
      <c r="C363" s="14" t="str">
        <f t="array" ref="C363">IF(B363="","",SUMIF(Implementos!B:B,XLOOKUP(B363,Productos!A:A,Productos!F:F,"",0,1),Implementos!A:A))</f>
        <v/>
      </c>
      <c r="D363" s="14" t="str">
        <f t="array" ref="D363">IF(OR(H363="",H363="Selecciona.."),"",XLOOKUP(H363,Propiedades!B:B,Propiedades!A:A,"",0,1))</f>
        <v/>
      </c>
      <c r="E363" s="14" t="str">
        <f t="shared" si="2"/>
        <v/>
      </c>
      <c r="F363" s="14" t="str">
        <f t="shared" si="3"/>
        <v/>
      </c>
      <c r="G363" s="15" t="str">
        <f t="shared" si="8"/>
        <v/>
      </c>
      <c r="H363" s="15" t="str">
        <f t="shared" si="9"/>
        <v/>
      </c>
      <c r="I363" s="16" t="str">
        <f t="shared" si="10"/>
        <v/>
      </c>
      <c r="J363" s="17"/>
      <c r="K363" s="14" t="str">
        <f t="array" ref="K363">IF(OR(H363="",H363="Selecciona.."),"",XLOOKUP(H363,Propiedades!B:B,Propiedades!C:C,"",0,1))</f>
        <v/>
      </c>
    </row>
    <row r="364">
      <c r="A364" s="14" t="str">
        <f t="shared" si="1"/>
        <v/>
      </c>
      <c r="B364" s="14" t="str">
        <f t="array" ref="B364">IF(OR(G364="",G364="Selecciona.."),"",XLOOKUP(G364,Productos!E:E,Productos!A:A,"",0,1))</f>
        <v/>
      </c>
      <c r="C364" s="14" t="str">
        <f t="array" ref="C364">IF(B364="","",SUMIF(Implementos!B:B,XLOOKUP(B364,Productos!A:A,Productos!F:F,"",0,1),Implementos!A:A))</f>
        <v/>
      </c>
      <c r="D364" s="14" t="str">
        <f t="array" ref="D364">IF(OR(H364="",H364="Selecciona.."),"",XLOOKUP(H364,Propiedades!B:B,Propiedades!A:A,"",0,1))</f>
        <v/>
      </c>
      <c r="E364" s="14" t="str">
        <f t="shared" si="2"/>
        <v/>
      </c>
      <c r="F364" s="14" t="str">
        <f t="shared" si="3"/>
        <v/>
      </c>
      <c r="G364" s="15" t="str">
        <f t="shared" si="8"/>
        <v/>
      </c>
      <c r="H364" s="15" t="str">
        <f t="shared" si="9"/>
        <v/>
      </c>
      <c r="I364" s="16" t="str">
        <f t="shared" si="10"/>
        <v/>
      </c>
      <c r="J364" s="17"/>
      <c r="K364" s="14" t="str">
        <f t="array" ref="K364">IF(OR(H364="",H364="Selecciona.."),"",XLOOKUP(H364,Propiedades!B:B,Propiedades!C:C,"",0,1))</f>
        <v/>
      </c>
    </row>
    <row r="365">
      <c r="A365" s="14" t="str">
        <f t="shared" si="1"/>
        <v/>
      </c>
      <c r="B365" s="14" t="str">
        <f t="array" ref="B365">IF(OR(G365="",G365="Selecciona.."),"",XLOOKUP(G365,Productos!E:E,Productos!A:A,"",0,1))</f>
        <v/>
      </c>
      <c r="C365" s="14" t="str">
        <f t="array" ref="C365">IF(B365="","",SUMIF(Implementos!B:B,XLOOKUP(B365,Productos!A:A,Productos!F:F,"",0,1),Implementos!A:A))</f>
        <v/>
      </c>
      <c r="D365" s="14" t="str">
        <f t="array" ref="D365">IF(OR(H365="",H365="Selecciona.."),"",XLOOKUP(H365,Propiedades!B:B,Propiedades!A:A,"",0,1))</f>
        <v/>
      </c>
      <c r="E365" s="14" t="str">
        <f t="shared" si="2"/>
        <v/>
      </c>
      <c r="F365" s="14" t="str">
        <f t="shared" si="3"/>
        <v/>
      </c>
      <c r="G365" s="15" t="str">
        <f t="shared" si="8"/>
        <v/>
      </c>
      <c r="H365" s="15" t="str">
        <f t="shared" si="9"/>
        <v/>
      </c>
      <c r="I365" s="16" t="str">
        <f t="shared" si="10"/>
        <v/>
      </c>
      <c r="J365" s="17"/>
      <c r="K365" s="14" t="str">
        <f t="array" ref="K365">IF(OR(H365="",H365="Selecciona.."),"",XLOOKUP(H365,Propiedades!B:B,Propiedades!C:C,"",0,1))</f>
        <v/>
      </c>
    </row>
    <row r="366">
      <c r="A366" s="14" t="str">
        <f t="shared" si="1"/>
        <v/>
      </c>
      <c r="B366" s="14" t="str">
        <f t="array" ref="B366">IF(OR(G366="",G366="Selecciona.."),"",XLOOKUP(G366,Productos!E:E,Productos!A:A,"",0,1))</f>
        <v/>
      </c>
      <c r="C366" s="14" t="str">
        <f t="array" ref="C366">IF(B366="","",SUMIF(Implementos!B:B,XLOOKUP(B366,Productos!A:A,Productos!F:F,"",0,1),Implementos!A:A))</f>
        <v/>
      </c>
      <c r="D366" s="14" t="str">
        <f t="array" ref="D366">IF(OR(H366="",H366="Selecciona.."),"",XLOOKUP(H366,Propiedades!B:B,Propiedades!A:A,"",0,1))</f>
        <v/>
      </c>
      <c r="E366" s="14" t="str">
        <f t="shared" si="2"/>
        <v/>
      </c>
      <c r="F366" s="14" t="str">
        <f t="shared" si="3"/>
        <v/>
      </c>
      <c r="G366" s="15" t="str">
        <f t="shared" si="8"/>
        <v/>
      </c>
      <c r="H366" s="15" t="str">
        <f t="shared" si="9"/>
        <v/>
      </c>
      <c r="I366" s="16" t="str">
        <f t="shared" si="10"/>
        <v/>
      </c>
      <c r="J366" s="17"/>
      <c r="K366" s="14" t="str">
        <f t="array" ref="K366">IF(OR(H366="",H366="Selecciona.."),"",XLOOKUP(H366,Propiedades!B:B,Propiedades!C:C,"",0,1))</f>
        <v/>
      </c>
    </row>
    <row r="367">
      <c r="A367" s="14" t="str">
        <f t="shared" si="1"/>
        <v/>
      </c>
      <c r="B367" s="14" t="str">
        <f t="array" ref="B367">IF(OR(G367="",G367="Selecciona.."),"",XLOOKUP(G367,Productos!E:E,Productos!A:A,"",0,1))</f>
        <v/>
      </c>
      <c r="C367" s="14" t="str">
        <f t="array" ref="C367">IF(B367="","",SUMIF(Implementos!B:B,XLOOKUP(B367,Productos!A:A,Productos!F:F,"",0,1),Implementos!A:A))</f>
        <v/>
      </c>
      <c r="D367" s="14" t="str">
        <f t="array" ref="D367">IF(OR(H367="",H367="Selecciona.."),"",XLOOKUP(H367,Propiedades!B:B,Propiedades!A:A,"",0,1))</f>
        <v/>
      </c>
      <c r="E367" s="14" t="str">
        <f t="shared" si="2"/>
        <v/>
      </c>
      <c r="F367" s="14" t="str">
        <f t="shared" si="3"/>
        <v/>
      </c>
      <c r="G367" s="15" t="str">
        <f t="shared" si="8"/>
        <v/>
      </c>
      <c r="H367" s="15" t="str">
        <f t="shared" si="9"/>
        <v/>
      </c>
      <c r="I367" s="16" t="str">
        <f t="shared" si="10"/>
        <v/>
      </c>
      <c r="J367" s="17"/>
      <c r="K367" s="14" t="str">
        <f t="array" ref="K367">IF(OR(H367="",H367="Selecciona.."),"",XLOOKUP(H367,Propiedades!B:B,Propiedades!C:C,"",0,1))</f>
        <v/>
      </c>
    </row>
    <row r="368">
      <c r="A368" s="14" t="str">
        <f t="shared" si="1"/>
        <v/>
      </c>
      <c r="B368" s="14" t="str">
        <f t="array" ref="B368">IF(OR(G368="",G368="Selecciona.."),"",XLOOKUP(G368,Productos!E:E,Productos!A:A,"",0,1))</f>
        <v/>
      </c>
      <c r="C368" s="14" t="str">
        <f t="array" ref="C368">IF(B368="","",SUMIF(Implementos!B:B,XLOOKUP(B368,Productos!A:A,Productos!F:F,"",0,1),Implementos!A:A))</f>
        <v/>
      </c>
      <c r="D368" s="14" t="str">
        <f t="array" ref="D368">IF(OR(H368="",H368="Selecciona.."),"",XLOOKUP(H368,Propiedades!B:B,Propiedades!A:A,"",0,1))</f>
        <v/>
      </c>
      <c r="E368" s="14" t="str">
        <f t="shared" si="2"/>
        <v/>
      </c>
      <c r="F368" s="14" t="str">
        <f t="shared" si="3"/>
        <v/>
      </c>
      <c r="G368" s="15" t="str">
        <f t="shared" si="8"/>
        <v/>
      </c>
      <c r="H368" s="15" t="str">
        <f t="shared" si="9"/>
        <v/>
      </c>
      <c r="I368" s="16" t="str">
        <f t="shared" si="10"/>
        <v/>
      </c>
      <c r="J368" s="17"/>
      <c r="K368" s="14" t="str">
        <f t="array" ref="K368">IF(OR(H368="",H368="Selecciona.."),"",XLOOKUP(H368,Propiedades!B:B,Propiedades!C:C,"",0,1))</f>
        <v/>
      </c>
    </row>
    <row r="369">
      <c r="A369" s="14" t="str">
        <f t="shared" si="1"/>
        <v/>
      </c>
      <c r="B369" s="14" t="str">
        <f t="array" ref="B369">IF(OR(G369="",G369="Selecciona.."),"",XLOOKUP(G369,Productos!E:E,Productos!A:A,"",0,1))</f>
        <v/>
      </c>
      <c r="C369" s="14" t="str">
        <f t="array" ref="C369">IF(B369="","",SUMIF(Implementos!B:B,XLOOKUP(B369,Productos!A:A,Productos!F:F,"",0,1),Implementos!A:A))</f>
        <v/>
      </c>
      <c r="D369" s="14" t="str">
        <f t="array" ref="D369">IF(OR(H369="",H369="Selecciona.."),"",XLOOKUP(H369,Propiedades!B:B,Propiedades!A:A,"",0,1))</f>
        <v/>
      </c>
      <c r="E369" s="14" t="str">
        <f t="shared" si="2"/>
        <v/>
      </c>
      <c r="F369" s="14" t="str">
        <f t="shared" si="3"/>
        <v/>
      </c>
      <c r="G369" s="15" t="str">
        <f t="shared" si="8"/>
        <v/>
      </c>
      <c r="H369" s="15" t="str">
        <f t="shared" si="9"/>
        <v/>
      </c>
      <c r="I369" s="16" t="str">
        <f t="shared" si="10"/>
        <v/>
      </c>
      <c r="J369" s="17"/>
      <c r="K369" s="14" t="str">
        <f t="array" ref="K369">IF(OR(H369="",H369="Selecciona.."),"",XLOOKUP(H369,Propiedades!B:B,Propiedades!C:C,"",0,1))</f>
        <v/>
      </c>
    </row>
    <row r="370">
      <c r="A370" s="14" t="str">
        <f t="shared" si="1"/>
        <v/>
      </c>
      <c r="B370" s="14" t="str">
        <f t="array" ref="B370">IF(OR(G370="",G370="Selecciona.."),"",XLOOKUP(G370,Productos!E:E,Productos!A:A,"",0,1))</f>
        <v/>
      </c>
      <c r="C370" s="14" t="str">
        <f t="array" ref="C370">IF(B370="","",SUMIF(Implementos!B:B,XLOOKUP(B370,Productos!A:A,Productos!F:F,"",0,1),Implementos!A:A))</f>
        <v/>
      </c>
      <c r="D370" s="14" t="str">
        <f t="array" ref="D370">IF(OR(H370="",H370="Selecciona.."),"",XLOOKUP(H370,Propiedades!B:B,Propiedades!A:A,"",0,1))</f>
        <v/>
      </c>
      <c r="E370" s="14" t="str">
        <f t="shared" si="2"/>
        <v/>
      </c>
      <c r="F370" s="14" t="str">
        <f t="shared" si="3"/>
        <v/>
      </c>
      <c r="G370" s="15" t="str">
        <f t="shared" si="8"/>
        <v/>
      </c>
      <c r="H370" s="15" t="str">
        <f t="shared" si="9"/>
        <v/>
      </c>
      <c r="I370" s="16" t="str">
        <f t="shared" si="10"/>
        <v/>
      </c>
      <c r="J370" s="17"/>
      <c r="K370" s="14" t="str">
        <f t="array" ref="K370">IF(OR(H370="",H370="Selecciona.."),"",XLOOKUP(H370,Propiedades!B:B,Propiedades!C:C,"",0,1))</f>
        <v/>
      </c>
    </row>
    <row r="371">
      <c r="A371" s="14" t="str">
        <f t="shared" si="1"/>
        <v/>
      </c>
      <c r="B371" s="14" t="str">
        <f t="array" ref="B371">IF(OR(G371="",G371="Selecciona.."),"",XLOOKUP(G371,Productos!E:E,Productos!A:A,"",0,1))</f>
        <v/>
      </c>
      <c r="C371" s="14" t="str">
        <f t="array" ref="C371">IF(B371="","",SUMIF(Implementos!B:B,XLOOKUP(B371,Productos!A:A,Productos!F:F,"",0,1),Implementos!A:A))</f>
        <v/>
      </c>
      <c r="D371" s="14" t="str">
        <f t="array" ref="D371">IF(OR(H371="",H371="Selecciona.."),"",XLOOKUP(H371,Propiedades!B:B,Propiedades!A:A,"",0,1))</f>
        <v/>
      </c>
      <c r="E371" s="14" t="str">
        <f t="shared" si="2"/>
        <v/>
      </c>
      <c r="F371" s="14" t="str">
        <f t="shared" si="3"/>
        <v/>
      </c>
      <c r="G371" s="15" t="str">
        <f t="shared" si="8"/>
        <v/>
      </c>
      <c r="H371" s="15" t="str">
        <f t="shared" si="9"/>
        <v/>
      </c>
      <c r="I371" s="16" t="str">
        <f t="shared" si="10"/>
        <v/>
      </c>
      <c r="J371" s="17"/>
      <c r="K371" s="14" t="str">
        <f t="array" ref="K371">IF(OR(H371="",H371="Selecciona.."),"",XLOOKUP(H371,Propiedades!B:B,Propiedades!C:C,"",0,1))</f>
        <v/>
      </c>
    </row>
    <row r="372">
      <c r="A372" s="14" t="str">
        <f t="shared" si="1"/>
        <v/>
      </c>
      <c r="B372" s="14" t="str">
        <f t="array" ref="B372">IF(OR(G372="",G372="Selecciona.."),"",XLOOKUP(G372,Productos!E:E,Productos!A:A,"",0,1))</f>
        <v/>
      </c>
      <c r="C372" s="14" t="str">
        <f t="array" ref="C372">IF(B372="","",SUMIF(Implementos!B:B,XLOOKUP(B372,Productos!A:A,Productos!F:F,"",0,1),Implementos!A:A))</f>
        <v/>
      </c>
      <c r="D372" s="14" t="str">
        <f t="array" ref="D372">IF(OR(H372="",H372="Selecciona.."),"",XLOOKUP(H372,Propiedades!B:B,Propiedades!A:A,"",0,1))</f>
        <v/>
      </c>
      <c r="E372" s="14" t="str">
        <f t="shared" si="2"/>
        <v/>
      </c>
      <c r="F372" s="14" t="str">
        <f t="shared" si="3"/>
        <v/>
      </c>
      <c r="G372" s="15" t="str">
        <f t="shared" si="8"/>
        <v/>
      </c>
      <c r="H372" s="15" t="str">
        <f t="shared" si="9"/>
        <v/>
      </c>
      <c r="I372" s="16" t="str">
        <f t="shared" si="10"/>
        <v/>
      </c>
      <c r="J372" s="17"/>
      <c r="K372" s="14" t="str">
        <f t="array" ref="K372">IF(OR(H372="",H372="Selecciona.."),"",XLOOKUP(H372,Propiedades!B:B,Propiedades!C:C,"",0,1))</f>
        <v/>
      </c>
    </row>
    <row r="373">
      <c r="A373" s="14" t="str">
        <f t="shared" si="1"/>
        <v/>
      </c>
      <c r="B373" s="14" t="str">
        <f t="array" ref="B373">IF(OR(G373="",G373="Selecciona.."),"",XLOOKUP(G373,Productos!E:E,Productos!A:A,"",0,1))</f>
        <v/>
      </c>
      <c r="C373" s="14" t="str">
        <f t="array" ref="C373">IF(B373="","",SUMIF(Implementos!B:B,XLOOKUP(B373,Productos!A:A,Productos!F:F,"",0,1),Implementos!A:A))</f>
        <v/>
      </c>
      <c r="D373" s="14" t="str">
        <f t="array" ref="D373">IF(OR(H373="",H373="Selecciona.."),"",XLOOKUP(H373,Propiedades!B:B,Propiedades!A:A,"",0,1))</f>
        <v/>
      </c>
      <c r="E373" s="14" t="str">
        <f t="shared" si="2"/>
        <v/>
      </c>
      <c r="F373" s="14" t="str">
        <f t="shared" si="3"/>
        <v/>
      </c>
      <c r="G373" s="15" t="str">
        <f t="shared" si="8"/>
        <v/>
      </c>
      <c r="H373" s="15" t="str">
        <f t="shared" si="9"/>
        <v/>
      </c>
      <c r="I373" s="16" t="str">
        <f t="shared" si="10"/>
        <v/>
      </c>
      <c r="J373" s="17"/>
      <c r="K373" s="14" t="str">
        <f t="array" ref="K373">IF(OR(H373="",H373="Selecciona.."),"",XLOOKUP(H373,Propiedades!B:B,Propiedades!C:C,"",0,1))</f>
        <v/>
      </c>
    </row>
    <row r="374">
      <c r="A374" s="14" t="str">
        <f t="shared" si="1"/>
        <v/>
      </c>
      <c r="B374" s="14" t="str">
        <f t="array" ref="B374">IF(OR(G374="",G374="Selecciona.."),"",XLOOKUP(G374,Productos!E:E,Productos!A:A,"",0,1))</f>
        <v/>
      </c>
      <c r="C374" s="14" t="str">
        <f t="array" ref="C374">IF(B374="","",SUMIF(Implementos!B:B,XLOOKUP(B374,Productos!A:A,Productos!F:F,"",0,1),Implementos!A:A))</f>
        <v/>
      </c>
      <c r="D374" s="14" t="str">
        <f t="array" ref="D374">IF(OR(H374="",H374="Selecciona.."),"",XLOOKUP(H374,Propiedades!B:B,Propiedades!A:A,"",0,1))</f>
        <v/>
      </c>
      <c r="E374" s="14" t="str">
        <f t="shared" si="2"/>
        <v/>
      </c>
      <c r="F374" s="14" t="str">
        <f t="shared" si="3"/>
        <v/>
      </c>
      <c r="G374" s="15" t="str">
        <f t="shared" si="8"/>
        <v/>
      </c>
      <c r="H374" s="15" t="str">
        <f t="shared" si="9"/>
        <v/>
      </c>
      <c r="I374" s="16" t="str">
        <f t="shared" si="10"/>
        <v/>
      </c>
      <c r="J374" s="17"/>
      <c r="K374" s="14" t="str">
        <f t="array" ref="K374">IF(OR(H374="",H374="Selecciona.."),"",XLOOKUP(H374,Propiedades!B:B,Propiedades!C:C,"",0,1))</f>
        <v/>
      </c>
    </row>
    <row r="375">
      <c r="A375" s="14" t="str">
        <f t="shared" si="1"/>
        <v/>
      </c>
      <c r="B375" s="14" t="str">
        <f t="array" ref="B375">IF(OR(G375="",G375="Selecciona.."),"",XLOOKUP(G375,Productos!E:E,Productos!A:A,"",0,1))</f>
        <v/>
      </c>
      <c r="C375" s="14" t="str">
        <f t="array" ref="C375">IF(B375="","",SUMIF(Implementos!B:B,XLOOKUP(B375,Productos!A:A,Productos!F:F,"",0,1),Implementos!A:A))</f>
        <v/>
      </c>
      <c r="D375" s="14" t="str">
        <f t="array" ref="D375">IF(OR(H375="",H375="Selecciona.."),"",XLOOKUP(H375,Propiedades!B:B,Propiedades!A:A,"",0,1))</f>
        <v/>
      </c>
      <c r="E375" s="14" t="str">
        <f t="shared" si="2"/>
        <v/>
      </c>
      <c r="F375" s="14" t="str">
        <f t="shared" si="3"/>
        <v/>
      </c>
      <c r="G375" s="15" t="str">
        <f t="shared" si="8"/>
        <v/>
      </c>
      <c r="H375" s="15" t="str">
        <f t="shared" si="9"/>
        <v/>
      </c>
      <c r="I375" s="16" t="str">
        <f t="shared" si="10"/>
        <v/>
      </c>
      <c r="J375" s="17"/>
      <c r="K375" s="14" t="str">
        <f t="array" ref="K375">IF(OR(H375="",H375="Selecciona.."),"",XLOOKUP(H375,Propiedades!B:B,Propiedades!C:C,"",0,1))</f>
        <v/>
      </c>
    </row>
    <row r="376">
      <c r="A376" s="14" t="str">
        <f t="shared" si="1"/>
        <v/>
      </c>
      <c r="B376" s="14" t="str">
        <f t="array" ref="B376">IF(OR(G376="",G376="Selecciona.."),"",XLOOKUP(G376,Productos!E:E,Productos!A:A,"",0,1))</f>
        <v/>
      </c>
      <c r="C376" s="14" t="str">
        <f t="array" ref="C376">IF(B376="","",SUMIF(Implementos!B:B,XLOOKUP(B376,Productos!A:A,Productos!F:F,"",0,1),Implementos!A:A))</f>
        <v/>
      </c>
      <c r="D376" s="14" t="str">
        <f t="array" ref="D376">IF(OR(H376="",H376="Selecciona.."),"",XLOOKUP(H376,Propiedades!B:B,Propiedades!A:A,"",0,1))</f>
        <v/>
      </c>
      <c r="E376" s="14" t="str">
        <f t="shared" si="2"/>
        <v/>
      </c>
      <c r="F376" s="14" t="str">
        <f t="shared" si="3"/>
        <v/>
      </c>
      <c r="G376" s="15" t="str">
        <f t="shared" si="8"/>
        <v/>
      </c>
      <c r="H376" s="15" t="str">
        <f t="shared" si="9"/>
        <v/>
      </c>
      <c r="I376" s="16" t="str">
        <f t="shared" si="10"/>
        <v/>
      </c>
      <c r="J376" s="17"/>
      <c r="K376" s="14" t="str">
        <f t="array" ref="K376">IF(OR(H376="",H376="Selecciona.."),"",XLOOKUP(H376,Propiedades!B:B,Propiedades!C:C,"",0,1))</f>
        <v/>
      </c>
    </row>
    <row r="377">
      <c r="A377" s="14" t="str">
        <f t="shared" si="1"/>
        <v/>
      </c>
      <c r="B377" s="14" t="str">
        <f t="array" ref="B377">IF(OR(G377="",G377="Selecciona.."),"",XLOOKUP(G377,Productos!E:E,Productos!A:A,"",0,1))</f>
        <v/>
      </c>
      <c r="C377" s="14" t="str">
        <f t="array" ref="C377">IF(B377="","",SUMIF(Implementos!B:B,XLOOKUP(B377,Productos!A:A,Productos!F:F,"",0,1),Implementos!A:A))</f>
        <v/>
      </c>
      <c r="D377" s="14" t="str">
        <f t="array" ref="D377">IF(OR(H377="",H377="Selecciona.."),"",XLOOKUP(H377,Propiedades!B:B,Propiedades!A:A,"",0,1))</f>
        <v/>
      </c>
      <c r="E377" s="14" t="str">
        <f t="shared" si="2"/>
        <v/>
      </c>
      <c r="F377" s="14" t="str">
        <f t="shared" si="3"/>
        <v/>
      </c>
      <c r="G377" s="15" t="str">
        <f t="shared" si="8"/>
        <v/>
      </c>
      <c r="H377" s="15" t="str">
        <f t="shared" si="9"/>
        <v/>
      </c>
      <c r="I377" s="16" t="str">
        <f t="shared" si="10"/>
        <v/>
      </c>
      <c r="J377" s="17"/>
      <c r="K377" s="14" t="str">
        <f t="array" ref="K377">IF(OR(H377="",H377="Selecciona.."),"",XLOOKUP(H377,Propiedades!B:B,Propiedades!C:C,"",0,1))</f>
        <v/>
      </c>
    </row>
    <row r="378">
      <c r="A378" s="14" t="str">
        <f t="shared" si="1"/>
        <v/>
      </c>
      <c r="B378" s="14" t="str">
        <f t="array" ref="B378">IF(OR(G378="",G378="Selecciona.."),"",XLOOKUP(G378,Productos!E:E,Productos!A:A,"",0,1))</f>
        <v/>
      </c>
      <c r="C378" s="14" t="str">
        <f t="array" ref="C378">IF(B378="","",SUMIF(Implementos!B:B,XLOOKUP(B378,Productos!A:A,Productos!F:F,"",0,1),Implementos!A:A))</f>
        <v/>
      </c>
      <c r="D378" s="14" t="str">
        <f t="array" ref="D378">IF(OR(H378="",H378="Selecciona.."),"",XLOOKUP(H378,Propiedades!B:B,Propiedades!A:A,"",0,1))</f>
        <v/>
      </c>
      <c r="E378" s="14" t="str">
        <f t="shared" si="2"/>
        <v/>
      </c>
      <c r="F378" s="14" t="str">
        <f t="shared" si="3"/>
        <v/>
      </c>
      <c r="G378" s="15" t="str">
        <f t="shared" si="8"/>
        <v/>
      </c>
      <c r="H378" s="15" t="str">
        <f t="shared" si="9"/>
        <v/>
      </c>
      <c r="I378" s="16" t="str">
        <f t="shared" si="10"/>
        <v/>
      </c>
      <c r="J378" s="17"/>
      <c r="K378" s="14" t="str">
        <f t="array" ref="K378">IF(OR(H378="",H378="Selecciona.."),"",XLOOKUP(H378,Propiedades!B:B,Propiedades!C:C,"",0,1))</f>
        <v/>
      </c>
    </row>
    <row r="379">
      <c r="A379" s="14" t="str">
        <f t="shared" si="1"/>
        <v/>
      </c>
      <c r="B379" s="14" t="str">
        <f t="array" ref="B379">IF(OR(G379="",G379="Selecciona.."),"",XLOOKUP(G379,Productos!E:E,Productos!A:A,"",0,1))</f>
        <v/>
      </c>
      <c r="C379" s="14" t="str">
        <f t="array" ref="C379">IF(B379="","",SUMIF(Implementos!B:B,XLOOKUP(B379,Productos!A:A,Productos!F:F,"",0,1),Implementos!A:A))</f>
        <v/>
      </c>
      <c r="D379" s="14" t="str">
        <f t="array" ref="D379">IF(OR(H379="",H379="Selecciona.."),"",XLOOKUP(H379,Propiedades!B:B,Propiedades!A:A,"",0,1))</f>
        <v/>
      </c>
      <c r="E379" s="14" t="str">
        <f t="shared" si="2"/>
        <v/>
      </c>
      <c r="F379" s="14" t="str">
        <f t="shared" si="3"/>
        <v/>
      </c>
      <c r="G379" s="15" t="str">
        <f t="shared" si="8"/>
        <v/>
      </c>
      <c r="H379" s="15" t="str">
        <f t="shared" si="9"/>
        <v/>
      </c>
      <c r="I379" s="16" t="str">
        <f t="shared" si="10"/>
        <v/>
      </c>
      <c r="J379" s="17"/>
      <c r="K379" s="14" t="str">
        <f t="array" ref="K379">IF(OR(H379="",H379="Selecciona.."),"",XLOOKUP(H379,Propiedades!B:B,Propiedades!C:C,"",0,1))</f>
        <v/>
      </c>
    </row>
    <row r="380">
      <c r="A380" s="14" t="str">
        <f t="shared" si="1"/>
        <v/>
      </c>
      <c r="B380" s="14" t="str">
        <f t="array" ref="B380">IF(OR(G380="",G380="Selecciona.."),"",XLOOKUP(G380,Productos!E:E,Productos!A:A,"",0,1))</f>
        <v/>
      </c>
      <c r="C380" s="14" t="str">
        <f t="array" ref="C380">IF(B380="","",SUMIF(Implementos!B:B,XLOOKUP(B380,Productos!A:A,Productos!F:F,"",0,1),Implementos!A:A))</f>
        <v/>
      </c>
      <c r="D380" s="14" t="str">
        <f t="array" ref="D380">IF(OR(H380="",H380="Selecciona.."),"",XLOOKUP(H380,Propiedades!B:B,Propiedades!A:A,"",0,1))</f>
        <v/>
      </c>
      <c r="E380" s="14" t="str">
        <f t="shared" si="2"/>
        <v/>
      </c>
      <c r="F380" s="14" t="str">
        <f t="shared" si="3"/>
        <v/>
      </c>
      <c r="G380" s="15" t="str">
        <f t="shared" si="8"/>
        <v/>
      </c>
      <c r="H380" s="15" t="str">
        <f t="shared" si="9"/>
        <v/>
      </c>
      <c r="I380" s="16" t="str">
        <f t="shared" si="10"/>
        <v/>
      </c>
      <c r="J380" s="17"/>
      <c r="K380" s="14" t="str">
        <f t="array" ref="K380">IF(OR(H380="",H380="Selecciona.."),"",XLOOKUP(H380,Propiedades!B:B,Propiedades!C:C,"",0,1))</f>
        <v/>
      </c>
    </row>
    <row r="381">
      <c r="A381" s="14" t="str">
        <f t="shared" si="1"/>
        <v/>
      </c>
      <c r="B381" s="14" t="str">
        <f t="array" ref="B381">IF(OR(G381="",G381="Selecciona.."),"",XLOOKUP(G381,Productos!E:E,Productos!A:A,"",0,1))</f>
        <v/>
      </c>
      <c r="C381" s="14" t="str">
        <f t="array" ref="C381">IF(B381="","",SUMIF(Implementos!B:B,XLOOKUP(B381,Productos!A:A,Productos!F:F,"",0,1),Implementos!A:A))</f>
        <v/>
      </c>
      <c r="D381" s="14" t="str">
        <f t="array" ref="D381">IF(OR(H381="",H381="Selecciona.."),"",XLOOKUP(H381,Propiedades!B:B,Propiedades!A:A,"",0,1))</f>
        <v/>
      </c>
      <c r="E381" s="14" t="str">
        <f t="shared" si="2"/>
        <v/>
      </c>
      <c r="F381" s="14" t="str">
        <f t="shared" si="3"/>
        <v/>
      </c>
      <c r="G381" s="15" t="str">
        <f t="shared" si="8"/>
        <v/>
      </c>
      <c r="H381" s="15" t="str">
        <f t="shared" si="9"/>
        <v/>
      </c>
      <c r="I381" s="16" t="str">
        <f t="shared" si="10"/>
        <v/>
      </c>
      <c r="J381" s="17"/>
      <c r="K381" s="14" t="str">
        <f t="array" ref="K381">IF(OR(H381="",H381="Selecciona.."),"",XLOOKUP(H381,Propiedades!B:B,Propiedades!C:C,"",0,1))</f>
        <v/>
      </c>
    </row>
    <row r="382">
      <c r="A382" s="14" t="str">
        <f t="shared" si="1"/>
        <v/>
      </c>
      <c r="B382" s="14" t="str">
        <f t="array" ref="B382">IF(OR(G382="",G382="Selecciona.."),"",XLOOKUP(G382,Productos!E:E,Productos!A:A,"",0,1))</f>
        <v/>
      </c>
      <c r="C382" s="14" t="str">
        <f t="array" ref="C382">IF(B382="","",SUMIF(Implementos!B:B,XLOOKUP(B382,Productos!A:A,Productos!F:F,"",0,1),Implementos!A:A))</f>
        <v/>
      </c>
      <c r="D382" s="14" t="str">
        <f t="array" ref="D382">IF(OR(H382="",H382="Selecciona.."),"",XLOOKUP(H382,Propiedades!B:B,Propiedades!A:A,"",0,1))</f>
        <v/>
      </c>
      <c r="E382" s="14" t="str">
        <f t="shared" si="2"/>
        <v/>
      </c>
      <c r="F382" s="14" t="str">
        <f t="shared" si="3"/>
        <v/>
      </c>
      <c r="G382" s="15" t="str">
        <f t="shared" si="8"/>
        <v/>
      </c>
      <c r="H382" s="15" t="str">
        <f t="shared" si="9"/>
        <v/>
      </c>
      <c r="I382" s="16" t="str">
        <f t="shared" si="10"/>
        <v/>
      </c>
      <c r="J382" s="17"/>
      <c r="K382" s="14" t="str">
        <f t="array" ref="K382">IF(OR(H382="",H382="Selecciona.."),"",XLOOKUP(H382,Propiedades!B:B,Propiedades!C:C,"",0,1))</f>
        <v/>
      </c>
    </row>
    <row r="383">
      <c r="A383" s="14" t="str">
        <f t="shared" si="1"/>
        <v/>
      </c>
      <c r="B383" s="14" t="str">
        <f t="array" ref="B383">IF(OR(G383="",G383="Selecciona.."),"",XLOOKUP(G383,Productos!E:E,Productos!A:A,"",0,1))</f>
        <v/>
      </c>
      <c r="C383" s="14" t="str">
        <f t="array" ref="C383">IF(B383="","",SUMIF(Implementos!B:B,XLOOKUP(B383,Productos!A:A,Productos!F:F,"",0,1),Implementos!A:A))</f>
        <v/>
      </c>
      <c r="D383" s="14" t="str">
        <f t="array" ref="D383">IF(OR(H383="",H383="Selecciona.."),"",XLOOKUP(H383,Propiedades!B:B,Propiedades!A:A,"",0,1))</f>
        <v/>
      </c>
      <c r="E383" s="14" t="str">
        <f t="shared" si="2"/>
        <v/>
      </c>
      <c r="F383" s="14" t="str">
        <f t="shared" si="3"/>
        <v/>
      </c>
      <c r="G383" s="15" t="str">
        <f t="shared" si="8"/>
        <v/>
      </c>
      <c r="H383" s="15" t="str">
        <f t="shared" si="9"/>
        <v/>
      </c>
      <c r="I383" s="16" t="str">
        <f t="shared" si="10"/>
        <v/>
      </c>
      <c r="J383" s="17"/>
      <c r="K383" s="14" t="str">
        <f t="array" ref="K383">IF(OR(H383="",H383="Selecciona.."),"",XLOOKUP(H383,Propiedades!B:B,Propiedades!C:C,"",0,1))</f>
        <v/>
      </c>
    </row>
    <row r="384">
      <c r="A384" s="14" t="str">
        <f t="shared" si="1"/>
        <v/>
      </c>
      <c r="B384" s="14" t="str">
        <f t="array" ref="B384">IF(OR(G384="",G384="Selecciona.."),"",XLOOKUP(G384,Productos!E:E,Productos!A:A,"",0,1))</f>
        <v/>
      </c>
      <c r="C384" s="14" t="str">
        <f t="array" ref="C384">IF(B384="","",SUMIF(Implementos!B:B,XLOOKUP(B384,Productos!A:A,Productos!F:F,"",0,1),Implementos!A:A))</f>
        <v/>
      </c>
      <c r="D384" s="14" t="str">
        <f t="array" ref="D384">IF(OR(H384="",H384="Selecciona.."),"",XLOOKUP(H384,Propiedades!B:B,Propiedades!A:A,"",0,1))</f>
        <v/>
      </c>
      <c r="E384" s="14" t="str">
        <f t="shared" si="2"/>
        <v/>
      </c>
      <c r="F384" s="14" t="str">
        <f t="shared" si="3"/>
        <v/>
      </c>
      <c r="G384" s="15" t="str">
        <f t="shared" si="8"/>
        <v/>
      </c>
      <c r="H384" s="15" t="str">
        <f t="shared" si="9"/>
        <v/>
      </c>
      <c r="I384" s="16" t="str">
        <f t="shared" si="10"/>
        <v/>
      </c>
      <c r="J384" s="17"/>
      <c r="K384" s="14" t="str">
        <f t="array" ref="K384">IF(OR(H384="",H384="Selecciona.."),"",XLOOKUP(H384,Propiedades!B:B,Propiedades!C:C,"",0,1))</f>
        <v/>
      </c>
    </row>
    <row r="385">
      <c r="A385" s="14" t="str">
        <f t="shared" si="1"/>
        <v/>
      </c>
      <c r="B385" s="14" t="str">
        <f t="array" ref="B385">IF(OR(G385="",G385="Selecciona.."),"",XLOOKUP(G385,Productos!E:E,Productos!A:A,"",0,1))</f>
        <v/>
      </c>
      <c r="C385" s="14" t="str">
        <f t="array" ref="C385">IF(B385="","",SUMIF(Implementos!B:B,XLOOKUP(B385,Productos!A:A,Productos!F:F,"",0,1),Implementos!A:A))</f>
        <v/>
      </c>
      <c r="D385" s="14" t="str">
        <f t="array" ref="D385">IF(OR(H385="",H385="Selecciona.."),"",XLOOKUP(H385,Propiedades!B:B,Propiedades!A:A,"",0,1))</f>
        <v/>
      </c>
      <c r="E385" s="14" t="str">
        <f t="shared" si="2"/>
        <v/>
      </c>
      <c r="F385" s="14" t="str">
        <f t="shared" si="3"/>
        <v/>
      </c>
      <c r="G385" s="15" t="str">
        <f t="shared" si="8"/>
        <v/>
      </c>
      <c r="H385" s="15" t="str">
        <f t="shared" si="9"/>
        <v/>
      </c>
      <c r="I385" s="16" t="str">
        <f t="shared" si="10"/>
        <v/>
      </c>
      <c r="J385" s="17"/>
      <c r="K385" s="14" t="str">
        <f t="array" ref="K385">IF(OR(H385="",H385="Selecciona.."),"",XLOOKUP(H385,Propiedades!B:B,Propiedades!C:C,"",0,1))</f>
        <v/>
      </c>
    </row>
    <row r="386">
      <c r="A386" s="14" t="str">
        <f t="shared" si="1"/>
        <v/>
      </c>
      <c r="B386" s="14" t="str">
        <f t="array" ref="B386">IF(OR(G386="",G386="Selecciona.."),"",XLOOKUP(G386,Productos!E:E,Productos!A:A,"",0,1))</f>
        <v/>
      </c>
      <c r="C386" s="14" t="str">
        <f t="array" ref="C386">IF(B386="","",SUMIF(Implementos!B:B,XLOOKUP(B386,Productos!A:A,Productos!F:F,"",0,1),Implementos!A:A))</f>
        <v/>
      </c>
      <c r="D386" s="14" t="str">
        <f t="array" ref="D386">IF(OR(H386="",H386="Selecciona.."),"",XLOOKUP(H386,Propiedades!B:B,Propiedades!A:A,"",0,1))</f>
        <v/>
      </c>
      <c r="E386" s="14" t="str">
        <f t="shared" si="2"/>
        <v/>
      </c>
      <c r="F386" s="14" t="str">
        <f t="shared" si="3"/>
        <v/>
      </c>
      <c r="G386" s="15" t="str">
        <f t="shared" si="8"/>
        <v/>
      </c>
      <c r="H386" s="15" t="str">
        <f t="shared" si="9"/>
        <v/>
      </c>
      <c r="I386" s="16" t="str">
        <f t="shared" si="10"/>
        <v/>
      </c>
      <c r="J386" s="17"/>
      <c r="K386" s="14" t="str">
        <f t="array" ref="K386">IF(OR(H386="",H386="Selecciona.."),"",XLOOKUP(H386,Propiedades!B:B,Propiedades!C:C,"",0,1))</f>
        <v/>
      </c>
    </row>
    <row r="387">
      <c r="A387" s="14" t="str">
        <f t="shared" si="1"/>
        <v/>
      </c>
      <c r="B387" s="14" t="str">
        <f t="array" ref="B387">IF(OR(G387="",G387="Selecciona.."),"",XLOOKUP(G387,Productos!E:E,Productos!A:A,"",0,1))</f>
        <v/>
      </c>
      <c r="C387" s="14" t="str">
        <f t="array" ref="C387">IF(B387="","",SUMIF(Implementos!B:B,XLOOKUP(B387,Productos!A:A,Productos!F:F,"",0,1),Implementos!A:A))</f>
        <v/>
      </c>
      <c r="D387" s="14" t="str">
        <f t="array" ref="D387">IF(OR(H387="",H387="Selecciona.."),"",XLOOKUP(H387,Propiedades!B:B,Propiedades!A:A,"",0,1))</f>
        <v/>
      </c>
      <c r="E387" s="14" t="str">
        <f t="shared" si="2"/>
        <v/>
      </c>
      <c r="F387" s="14" t="str">
        <f t="shared" si="3"/>
        <v/>
      </c>
      <c r="G387" s="15" t="str">
        <f t="shared" si="8"/>
        <v/>
      </c>
      <c r="H387" s="15" t="str">
        <f t="shared" si="9"/>
        <v/>
      </c>
      <c r="I387" s="16" t="str">
        <f t="shared" si="10"/>
        <v/>
      </c>
      <c r="J387" s="17"/>
      <c r="K387" s="14" t="str">
        <f t="array" ref="K387">IF(OR(H387="",H387="Selecciona.."),"",XLOOKUP(H387,Propiedades!B:B,Propiedades!C:C,"",0,1))</f>
        <v/>
      </c>
    </row>
    <row r="388">
      <c r="A388" s="14" t="str">
        <f t="shared" si="1"/>
        <v/>
      </c>
      <c r="B388" s="14" t="str">
        <f t="array" ref="B388">IF(OR(G388="",G388="Selecciona.."),"",XLOOKUP(G388,Productos!E:E,Productos!A:A,"",0,1))</f>
        <v/>
      </c>
      <c r="C388" s="14" t="str">
        <f t="array" ref="C388">IF(B388="","",SUMIF(Implementos!B:B,XLOOKUP(B388,Productos!A:A,Productos!F:F,"",0,1),Implementos!A:A))</f>
        <v/>
      </c>
      <c r="D388" s="14" t="str">
        <f t="array" ref="D388">IF(OR(H388="",H388="Selecciona.."),"",XLOOKUP(H388,Propiedades!B:B,Propiedades!A:A,"",0,1))</f>
        <v/>
      </c>
      <c r="E388" s="14" t="str">
        <f t="shared" si="2"/>
        <v/>
      </c>
      <c r="F388" s="14" t="str">
        <f t="shared" si="3"/>
        <v/>
      </c>
      <c r="G388" s="15" t="str">
        <f t="shared" si="8"/>
        <v/>
      </c>
      <c r="H388" s="15" t="str">
        <f t="shared" si="9"/>
        <v/>
      </c>
      <c r="I388" s="16" t="str">
        <f t="shared" si="10"/>
        <v/>
      </c>
      <c r="J388" s="17"/>
      <c r="K388" s="14" t="str">
        <f t="array" ref="K388">IF(OR(H388="",H388="Selecciona.."),"",XLOOKUP(H388,Propiedades!B:B,Propiedades!C:C,"",0,1))</f>
        <v/>
      </c>
    </row>
    <row r="389">
      <c r="A389" s="14" t="str">
        <f t="shared" si="1"/>
        <v/>
      </c>
      <c r="B389" s="14" t="str">
        <f t="array" ref="B389">IF(OR(G389="",G389="Selecciona.."),"",XLOOKUP(G389,Productos!E:E,Productos!A:A,"",0,1))</f>
        <v/>
      </c>
      <c r="C389" s="14" t="str">
        <f t="array" ref="C389">IF(B389="","",SUMIF(Implementos!B:B,XLOOKUP(B389,Productos!A:A,Productos!F:F,"",0,1),Implementos!A:A))</f>
        <v/>
      </c>
      <c r="D389" s="14" t="str">
        <f t="array" ref="D389">IF(OR(H389="",H389="Selecciona.."),"",XLOOKUP(H389,Propiedades!B:B,Propiedades!A:A,"",0,1))</f>
        <v/>
      </c>
      <c r="E389" s="14" t="str">
        <f t="shared" si="2"/>
        <v/>
      </c>
      <c r="F389" s="14" t="str">
        <f t="shared" si="3"/>
        <v/>
      </c>
      <c r="G389" s="15" t="str">
        <f t="shared" si="8"/>
        <v/>
      </c>
      <c r="H389" s="15" t="str">
        <f t="shared" si="9"/>
        <v/>
      </c>
      <c r="I389" s="16" t="str">
        <f t="shared" si="10"/>
        <v/>
      </c>
      <c r="J389" s="17"/>
      <c r="K389" s="14" t="str">
        <f t="array" ref="K389">IF(OR(H389="",H389="Selecciona.."),"",XLOOKUP(H389,Propiedades!B:B,Propiedades!C:C,"",0,1))</f>
        <v/>
      </c>
    </row>
    <row r="390">
      <c r="A390" s="14" t="str">
        <f t="shared" si="1"/>
        <v/>
      </c>
      <c r="B390" s="14" t="str">
        <f t="array" ref="B390">IF(OR(G390="",G390="Selecciona.."),"",XLOOKUP(G390,Productos!E:E,Productos!A:A,"",0,1))</f>
        <v/>
      </c>
      <c r="C390" s="14" t="str">
        <f t="array" ref="C390">IF(B390="","",SUMIF(Implementos!B:B,XLOOKUP(B390,Productos!A:A,Productos!F:F,"",0,1),Implementos!A:A))</f>
        <v/>
      </c>
      <c r="D390" s="14" t="str">
        <f t="array" ref="D390">IF(OR(H390="",H390="Selecciona.."),"",XLOOKUP(H390,Propiedades!B:B,Propiedades!A:A,"",0,1))</f>
        <v/>
      </c>
      <c r="E390" s="14" t="str">
        <f t="shared" si="2"/>
        <v/>
      </c>
      <c r="F390" s="14" t="str">
        <f t="shared" si="3"/>
        <v/>
      </c>
      <c r="G390" s="15" t="str">
        <f t="shared" si="8"/>
        <v/>
      </c>
      <c r="H390" s="15" t="str">
        <f t="shared" si="9"/>
        <v/>
      </c>
      <c r="I390" s="16" t="str">
        <f t="shared" si="10"/>
        <v/>
      </c>
      <c r="J390" s="17"/>
      <c r="K390" s="14" t="str">
        <f t="array" ref="K390">IF(OR(H390="",H390="Selecciona.."),"",XLOOKUP(H390,Propiedades!B:B,Propiedades!C:C,"",0,1))</f>
        <v/>
      </c>
    </row>
    <row r="391">
      <c r="A391" s="14" t="str">
        <f t="shared" si="1"/>
        <v/>
      </c>
      <c r="B391" s="14" t="str">
        <f t="array" ref="B391">IF(OR(G391="",G391="Selecciona.."),"",XLOOKUP(G391,Productos!E:E,Productos!A:A,"",0,1))</f>
        <v/>
      </c>
      <c r="C391" s="14" t="str">
        <f t="array" ref="C391">IF(B391="","",SUMIF(Implementos!B:B,XLOOKUP(B391,Productos!A:A,Productos!F:F,"",0,1),Implementos!A:A))</f>
        <v/>
      </c>
      <c r="D391" s="14" t="str">
        <f t="array" ref="D391">IF(OR(H391="",H391="Selecciona.."),"",XLOOKUP(H391,Propiedades!B:B,Propiedades!A:A,"",0,1))</f>
        <v/>
      </c>
      <c r="E391" s="14" t="str">
        <f t="shared" si="2"/>
        <v/>
      </c>
      <c r="F391" s="14" t="str">
        <f t="shared" si="3"/>
        <v/>
      </c>
      <c r="G391" s="15" t="str">
        <f t="shared" si="8"/>
        <v/>
      </c>
      <c r="H391" s="15" t="str">
        <f t="shared" si="9"/>
        <v/>
      </c>
      <c r="I391" s="16" t="str">
        <f t="shared" si="10"/>
        <v/>
      </c>
      <c r="J391" s="17"/>
      <c r="K391" s="14" t="str">
        <f t="array" ref="K391">IF(OR(H391="",H391="Selecciona.."),"",XLOOKUP(H391,Propiedades!B:B,Propiedades!C:C,"",0,1))</f>
        <v/>
      </c>
    </row>
    <row r="392">
      <c r="A392" s="14" t="str">
        <f t="shared" si="1"/>
        <v/>
      </c>
      <c r="B392" s="14" t="str">
        <f t="array" ref="B392">IF(OR(G392="",G392="Selecciona.."),"",XLOOKUP(G392,Productos!E:E,Productos!A:A,"",0,1))</f>
        <v/>
      </c>
      <c r="C392" s="14" t="str">
        <f t="array" ref="C392">IF(B392="","",SUMIF(Implementos!B:B,XLOOKUP(B392,Productos!A:A,Productos!F:F,"",0,1),Implementos!A:A))</f>
        <v/>
      </c>
      <c r="D392" s="14" t="str">
        <f t="array" ref="D392">IF(OR(H392="",H392="Selecciona.."),"",XLOOKUP(H392,Propiedades!B:B,Propiedades!A:A,"",0,1))</f>
        <v/>
      </c>
      <c r="E392" s="14" t="str">
        <f t="shared" si="2"/>
        <v/>
      </c>
      <c r="F392" s="14" t="str">
        <f t="shared" si="3"/>
        <v/>
      </c>
      <c r="G392" s="15" t="str">
        <f t="shared" si="8"/>
        <v/>
      </c>
      <c r="H392" s="15" t="str">
        <f t="shared" si="9"/>
        <v/>
      </c>
      <c r="I392" s="16" t="str">
        <f t="shared" si="10"/>
        <v/>
      </c>
      <c r="J392" s="17"/>
      <c r="K392" s="14" t="str">
        <f t="array" ref="K392">IF(OR(H392="",H392="Selecciona.."),"",XLOOKUP(H392,Propiedades!B:B,Propiedades!C:C,"",0,1))</f>
        <v/>
      </c>
    </row>
    <row r="393">
      <c r="A393" s="14" t="str">
        <f t="shared" si="1"/>
        <v/>
      </c>
      <c r="B393" s="14" t="str">
        <f t="array" ref="B393">IF(OR(G393="",G393="Selecciona.."),"",XLOOKUP(G393,Productos!E:E,Productos!A:A,"",0,1))</f>
        <v/>
      </c>
      <c r="C393" s="14" t="str">
        <f t="array" ref="C393">IF(B393="","",SUMIF(Implementos!B:B,XLOOKUP(B393,Productos!A:A,Productos!F:F,"",0,1),Implementos!A:A))</f>
        <v/>
      </c>
      <c r="D393" s="14" t="str">
        <f t="array" ref="D393">IF(OR(H393="",H393="Selecciona.."),"",XLOOKUP(H393,Propiedades!B:B,Propiedades!A:A,"",0,1))</f>
        <v/>
      </c>
      <c r="E393" s="14" t="str">
        <f t="shared" si="2"/>
        <v/>
      </c>
      <c r="F393" s="14" t="str">
        <f t="shared" si="3"/>
        <v/>
      </c>
      <c r="G393" s="15" t="str">
        <f t="shared" si="8"/>
        <v/>
      </c>
      <c r="H393" s="15" t="str">
        <f t="shared" si="9"/>
        <v/>
      </c>
      <c r="I393" s="16" t="str">
        <f t="shared" si="10"/>
        <v/>
      </c>
      <c r="J393" s="17"/>
      <c r="K393" s="14" t="str">
        <f t="array" ref="K393">IF(OR(H393="",H393="Selecciona.."),"",XLOOKUP(H393,Propiedades!B:B,Propiedades!C:C,"",0,1))</f>
        <v/>
      </c>
    </row>
    <row r="394">
      <c r="A394" s="14" t="str">
        <f t="shared" si="1"/>
        <v/>
      </c>
      <c r="B394" s="14" t="str">
        <f t="array" ref="B394">IF(OR(G394="",G394="Selecciona.."),"",XLOOKUP(G394,Productos!E:E,Productos!A:A,"",0,1))</f>
        <v/>
      </c>
      <c r="C394" s="14" t="str">
        <f t="array" ref="C394">IF(B394="","",SUMIF(Implementos!B:B,XLOOKUP(B394,Productos!A:A,Productos!F:F,"",0,1),Implementos!A:A))</f>
        <v/>
      </c>
      <c r="D394" s="14" t="str">
        <f t="array" ref="D394">IF(OR(H394="",H394="Selecciona.."),"",XLOOKUP(H394,Propiedades!B:B,Propiedades!A:A,"",0,1))</f>
        <v/>
      </c>
      <c r="E394" s="14" t="str">
        <f t="shared" si="2"/>
        <v/>
      </c>
      <c r="F394" s="14" t="str">
        <f t="shared" si="3"/>
        <v/>
      </c>
      <c r="G394" s="15" t="str">
        <f t="shared" si="8"/>
        <v/>
      </c>
      <c r="H394" s="15" t="str">
        <f t="shared" si="9"/>
        <v/>
      </c>
      <c r="I394" s="16" t="str">
        <f t="shared" si="10"/>
        <v/>
      </c>
      <c r="J394" s="17"/>
      <c r="K394" s="14" t="str">
        <f t="array" ref="K394">IF(OR(H394="",H394="Selecciona.."),"",XLOOKUP(H394,Propiedades!B:B,Propiedades!C:C,"",0,1))</f>
        <v/>
      </c>
    </row>
    <row r="395">
      <c r="A395" s="14" t="str">
        <f t="shared" si="1"/>
        <v/>
      </c>
      <c r="B395" s="14" t="str">
        <f t="array" ref="B395">IF(OR(G395="",G395="Selecciona.."),"",XLOOKUP(G395,Productos!E:E,Productos!A:A,"",0,1))</f>
        <v/>
      </c>
      <c r="C395" s="14" t="str">
        <f t="array" ref="C395">IF(B395="","",SUMIF(Implementos!B:B,XLOOKUP(B395,Productos!A:A,Productos!F:F,"",0,1),Implementos!A:A))</f>
        <v/>
      </c>
      <c r="D395" s="14" t="str">
        <f t="array" ref="D395">IF(OR(H395="",H395="Selecciona.."),"",XLOOKUP(H395,Propiedades!B:B,Propiedades!A:A,"",0,1))</f>
        <v/>
      </c>
      <c r="E395" s="14" t="str">
        <f t="shared" si="2"/>
        <v/>
      </c>
      <c r="F395" s="14" t="str">
        <f t="shared" si="3"/>
        <v/>
      </c>
      <c r="G395" s="15" t="str">
        <f t="shared" si="8"/>
        <v/>
      </c>
      <c r="H395" s="15" t="str">
        <f t="shared" si="9"/>
        <v/>
      </c>
      <c r="I395" s="16" t="str">
        <f t="shared" si="10"/>
        <v/>
      </c>
      <c r="J395" s="17"/>
      <c r="K395" s="14" t="str">
        <f t="array" ref="K395">IF(OR(H395="",H395="Selecciona.."),"",XLOOKUP(H395,Propiedades!B:B,Propiedades!C:C,"",0,1))</f>
        <v/>
      </c>
    </row>
    <row r="396">
      <c r="A396" s="14" t="str">
        <f t="shared" si="1"/>
        <v/>
      </c>
      <c r="B396" s="14" t="str">
        <f t="array" ref="B396">IF(OR(G396="",G396="Selecciona.."),"",XLOOKUP(G396,Productos!E:E,Productos!A:A,"",0,1))</f>
        <v/>
      </c>
      <c r="C396" s="14" t="str">
        <f t="array" ref="C396">IF(B396="","",SUMIF(Implementos!B:B,XLOOKUP(B396,Productos!A:A,Productos!F:F,"",0,1),Implementos!A:A))</f>
        <v/>
      </c>
      <c r="D396" s="14" t="str">
        <f t="array" ref="D396">IF(OR(H396="",H396="Selecciona.."),"",XLOOKUP(H396,Propiedades!B:B,Propiedades!A:A,"",0,1))</f>
        <v/>
      </c>
      <c r="E396" s="14" t="str">
        <f t="shared" si="2"/>
        <v/>
      </c>
      <c r="F396" s="14" t="str">
        <f t="shared" si="3"/>
        <v/>
      </c>
      <c r="G396" s="15" t="str">
        <f t="shared" si="8"/>
        <v/>
      </c>
      <c r="H396" s="15" t="str">
        <f t="shared" si="9"/>
        <v/>
      </c>
      <c r="I396" s="16" t="str">
        <f t="shared" si="10"/>
        <v/>
      </c>
      <c r="J396" s="17"/>
      <c r="K396" s="14" t="str">
        <f t="array" ref="K396">IF(OR(H396="",H396="Selecciona.."),"",XLOOKUP(H396,Propiedades!B:B,Propiedades!C:C,"",0,1))</f>
        <v/>
      </c>
    </row>
    <row r="397">
      <c r="A397" s="14" t="str">
        <f t="shared" si="1"/>
        <v/>
      </c>
      <c r="B397" s="14" t="str">
        <f t="array" ref="B397">IF(OR(G397="",G397="Selecciona.."),"",XLOOKUP(G397,Productos!E:E,Productos!A:A,"",0,1))</f>
        <v/>
      </c>
      <c r="C397" s="14" t="str">
        <f t="array" ref="C397">IF(B397="","",SUMIF(Implementos!B:B,XLOOKUP(B397,Productos!A:A,Productos!F:F,"",0,1),Implementos!A:A))</f>
        <v/>
      </c>
      <c r="D397" s="14" t="str">
        <f t="array" ref="D397">IF(OR(H397="",H397="Selecciona.."),"",XLOOKUP(H397,Propiedades!B:B,Propiedades!A:A,"",0,1))</f>
        <v/>
      </c>
      <c r="E397" s="14" t="str">
        <f t="shared" si="2"/>
        <v/>
      </c>
      <c r="F397" s="14" t="str">
        <f t="shared" si="3"/>
        <v/>
      </c>
      <c r="G397" s="15" t="str">
        <f t="shared" si="8"/>
        <v/>
      </c>
      <c r="H397" s="15" t="str">
        <f t="shared" si="9"/>
        <v/>
      </c>
      <c r="I397" s="16" t="str">
        <f t="shared" si="10"/>
        <v/>
      </c>
      <c r="J397" s="17"/>
      <c r="K397" s="14" t="str">
        <f t="array" ref="K397">IF(OR(H397="",H397="Selecciona.."),"",XLOOKUP(H397,Propiedades!B:B,Propiedades!C:C,"",0,1))</f>
        <v/>
      </c>
    </row>
    <row r="398">
      <c r="A398" s="14" t="str">
        <f t="shared" si="1"/>
        <v/>
      </c>
      <c r="B398" s="14" t="str">
        <f t="array" ref="B398">IF(OR(G398="",G398="Selecciona.."),"",XLOOKUP(G398,Productos!E:E,Productos!A:A,"",0,1))</f>
        <v/>
      </c>
      <c r="C398" s="14" t="str">
        <f t="array" ref="C398">IF(B398="","",SUMIF(Implementos!B:B,XLOOKUP(B398,Productos!A:A,Productos!F:F,"",0,1),Implementos!A:A))</f>
        <v/>
      </c>
      <c r="D398" s="14" t="str">
        <f t="array" ref="D398">IF(OR(H398="",H398="Selecciona.."),"",XLOOKUP(H398,Propiedades!B:B,Propiedades!A:A,"",0,1))</f>
        <v/>
      </c>
      <c r="E398" s="14" t="str">
        <f t="shared" si="2"/>
        <v/>
      </c>
      <c r="F398" s="14" t="str">
        <f t="shared" si="3"/>
        <v/>
      </c>
      <c r="G398" s="15" t="str">
        <f t="shared" si="8"/>
        <v/>
      </c>
      <c r="H398" s="15" t="str">
        <f t="shared" si="9"/>
        <v/>
      </c>
      <c r="I398" s="16" t="str">
        <f t="shared" si="10"/>
        <v/>
      </c>
      <c r="J398" s="17"/>
      <c r="K398" s="14" t="str">
        <f t="array" ref="K398">IF(OR(H398="",H398="Selecciona.."),"",XLOOKUP(H398,Propiedades!B:B,Propiedades!C:C,"",0,1))</f>
        <v/>
      </c>
    </row>
    <row r="399">
      <c r="A399" s="14" t="str">
        <f t="shared" si="1"/>
        <v/>
      </c>
      <c r="B399" s="14" t="str">
        <f t="array" ref="B399">IF(OR(G399="",G399="Selecciona.."),"",XLOOKUP(G399,Productos!E:E,Productos!A:A,"",0,1))</f>
        <v/>
      </c>
      <c r="C399" s="14" t="str">
        <f t="array" ref="C399">IF(B399="","",SUMIF(Implementos!B:B,XLOOKUP(B399,Productos!A:A,Productos!F:F,"",0,1),Implementos!A:A))</f>
        <v/>
      </c>
      <c r="D399" s="14" t="str">
        <f t="array" ref="D399">IF(OR(H399="",H399="Selecciona.."),"",XLOOKUP(H399,Propiedades!B:B,Propiedades!A:A,"",0,1))</f>
        <v/>
      </c>
      <c r="E399" s="14" t="str">
        <f t="shared" si="2"/>
        <v/>
      </c>
      <c r="F399" s="14" t="str">
        <f t="shared" si="3"/>
        <v/>
      </c>
      <c r="G399" s="15" t="str">
        <f t="shared" si="8"/>
        <v/>
      </c>
      <c r="H399" s="15" t="str">
        <f t="shared" si="9"/>
        <v/>
      </c>
      <c r="I399" s="16" t="str">
        <f t="shared" si="10"/>
        <v/>
      </c>
      <c r="J399" s="17"/>
      <c r="K399" s="14" t="str">
        <f t="array" ref="K399">IF(OR(H399="",H399="Selecciona.."),"",XLOOKUP(H399,Propiedades!B:B,Propiedades!C:C,"",0,1))</f>
        <v/>
      </c>
    </row>
    <row r="400">
      <c r="A400" s="14" t="str">
        <f t="shared" si="1"/>
        <v/>
      </c>
      <c r="B400" s="14" t="str">
        <f t="array" ref="B400">IF(OR(G400="",G400="Selecciona.."),"",XLOOKUP(G400,Productos!E:E,Productos!A:A,"",0,1))</f>
        <v/>
      </c>
      <c r="C400" s="14" t="str">
        <f t="array" ref="C400">IF(B400="","",SUMIF(Implementos!B:B,XLOOKUP(B400,Productos!A:A,Productos!F:F,"",0,1),Implementos!A:A))</f>
        <v/>
      </c>
      <c r="D400" s="14" t="str">
        <f t="array" ref="D400">IF(OR(H400="",H400="Selecciona.."),"",XLOOKUP(H400,Propiedades!B:B,Propiedades!A:A,"",0,1))</f>
        <v/>
      </c>
      <c r="E400" s="14" t="str">
        <f t="shared" si="2"/>
        <v/>
      </c>
      <c r="F400" s="14" t="str">
        <f t="shared" si="3"/>
        <v/>
      </c>
      <c r="G400" s="15" t="str">
        <f t="shared" si="8"/>
        <v/>
      </c>
      <c r="H400" s="15" t="str">
        <f t="shared" si="9"/>
        <v/>
      </c>
      <c r="I400" s="16" t="str">
        <f t="shared" si="10"/>
        <v/>
      </c>
      <c r="J400" s="17"/>
      <c r="K400" s="14" t="str">
        <f t="array" ref="K400">IF(OR(H400="",H400="Selecciona.."),"",XLOOKUP(H400,Propiedades!B:B,Propiedades!C:C,"",0,1))</f>
        <v/>
      </c>
    </row>
    <row r="401">
      <c r="A401" s="14" t="str">
        <f t="shared" si="1"/>
        <v/>
      </c>
      <c r="B401" s="14" t="str">
        <f t="array" ref="B401">IF(OR(G401="",G401="Selecciona.."),"",XLOOKUP(G401,Productos!E:E,Productos!A:A,"",0,1))</f>
        <v/>
      </c>
      <c r="C401" s="14" t="str">
        <f t="array" ref="C401">IF(B401="","",SUMIF(Implementos!B:B,XLOOKUP(B401,Productos!A:A,Productos!F:F,"",0,1),Implementos!A:A))</f>
        <v/>
      </c>
      <c r="D401" s="14" t="str">
        <f t="array" ref="D401">IF(OR(H401="",H401="Selecciona.."),"",XLOOKUP(H401,Propiedades!B:B,Propiedades!A:A,"",0,1))</f>
        <v/>
      </c>
      <c r="E401" s="14" t="str">
        <f t="shared" si="2"/>
        <v/>
      </c>
      <c r="F401" s="14" t="str">
        <f t="shared" si="3"/>
        <v/>
      </c>
      <c r="G401" s="15" t="str">
        <f t="shared" si="8"/>
        <v/>
      </c>
      <c r="H401" s="15" t="str">
        <f t="shared" si="9"/>
        <v/>
      </c>
      <c r="I401" s="16" t="str">
        <f t="shared" si="10"/>
        <v/>
      </c>
      <c r="J401" s="17"/>
      <c r="K401" s="14" t="str">
        <f t="array" ref="K401">IF(OR(H401="",H401="Selecciona.."),"",XLOOKUP(H401,Propiedades!B:B,Propiedades!C:C,"",0,1))</f>
        <v/>
      </c>
    </row>
    <row r="402">
      <c r="A402" s="14" t="str">
        <f t="shared" si="1"/>
        <v/>
      </c>
      <c r="B402" s="14" t="str">
        <f t="array" ref="B402">IF(OR(G402="",G402="Selecciona.."),"",XLOOKUP(G402,Productos!E:E,Productos!A:A,"",0,1))</f>
        <v/>
      </c>
      <c r="C402" s="14" t="str">
        <f t="array" ref="C402">IF(B402="","",SUMIF(Implementos!B:B,XLOOKUP(B402,Productos!A:A,Productos!F:F,"",0,1),Implementos!A:A))</f>
        <v/>
      </c>
      <c r="D402" s="14" t="str">
        <f t="array" ref="D402">IF(OR(H402="",H402="Selecciona.."),"",XLOOKUP(H402,Propiedades!B:B,Propiedades!A:A,"",0,1))</f>
        <v/>
      </c>
      <c r="E402" s="14" t="str">
        <f t="shared" si="2"/>
        <v/>
      </c>
      <c r="F402" s="14" t="str">
        <f t="shared" si="3"/>
        <v/>
      </c>
      <c r="G402" s="15" t="str">
        <f t="shared" si="8"/>
        <v/>
      </c>
      <c r="H402" s="15" t="str">
        <f t="shared" si="9"/>
        <v/>
      </c>
      <c r="I402" s="16" t="str">
        <f t="shared" si="10"/>
        <v/>
      </c>
      <c r="J402" s="17"/>
      <c r="K402" s="14" t="str">
        <f t="array" ref="K402">IF(OR(H402="",H402="Selecciona.."),"",XLOOKUP(H402,Propiedades!B:B,Propiedades!C:C,"",0,1))</f>
        <v/>
      </c>
    </row>
    <row r="403">
      <c r="A403" s="14" t="str">
        <f t="shared" si="1"/>
        <v/>
      </c>
      <c r="B403" s="14" t="str">
        <f t="array" ref="B403">IF(OR(G403="",G403="Selecciona.."),"",XLOOKUP(G403,Productos!E:E,Productos!A:A,"",0,1))</f>
        <v/>
      </c>
      <c r="C403" s="14" t="str">
        <f t="array" ref="C403">IF(B403="","",SUMIF(Implementos!B:B,XLOOKUP(B403,Productos!A:A,Productos!F:F,"",0,1),Implementos!A:A))</f>
        <v/>
      </c>
      <c r="D403" s="14" t="str">
        <f t="array" ref="D403">IF(OR(H403="",H403="Selecciona.."),"",XLOOKUP(H403,Propiedades!B:B,Propiedades!A:A,"",0,1))</f>
        <v/>
      </c>
      <c r="E403" s="14" t="str">
        <f t="shared" si="2"/>
        <v/>
      </c>
      <c r="F403" s="14" t="str">
        <f t="shared" si="3"/>
        <v/>
      </c>
      <c r="G403" s="15" t="str">
        <f t="shared" si="8"/>
        <v/>
      </c>
      <c r="H403" s="15" t="str">
        <f t="shared" si="9"/>
        <v/>
      </c>
      <c r="I403" s="16" t="str">
        <f t="shared" si="10"/>
        <v/>
      </c>
      <c r="J403" s="17"/>
      <c r="K403" s="14" t="str">
        <f t="array" ref="K403">IF(OR(H403="",H403="Selecciona.."),"",XLOOKUP(H403,Propiedades!B:B,Propiedades!C:C,"",0,1))</f>
        <v/>
      </c>
    </row>
    <row r="404">
      <c r="A404" s="14" t="str">
        <f t="shared" si="1"/>
        <v/>
      </c>
      <c r="B404" s="14" t="str">
        <f t="array" ref="B404">IF(OR(G404="",G404="Selecciona.."),"",XLOOKUP(G404,Productos!E:E,Productos!A:A,"",0,1))</f>
        <v/>
      </c>
      <c r="C404" s="14" t="str">
        <f t="array" ref="C404">IF(B404="","",SUMIF(Implementos!B:B,XLOOKUP(B404,Productos!A:A,Productos!F:F,"",0,1),Implementos!A:A))</f>
        <v/>
      </c>
      <c r="D404" s="14" t="str">
        <f t="array" ref="D404">IF(OR(H404="",H404="Selecciona.."),"",XLOOKUP(H404,Propiedades!B:B,Propiedades!A:A,"",0,1))</f>
        <v/>
      </c>
      <c r="E404" s="14" t="str">
        <f t="shared" si="2"/>
        <v/>
      </c>
      <c r="F404" s="14" t="str">
        <f t="shared" si="3"/>
        <v/>
      </c>
      <c r="G404" s="15" t="str">
        <f t="shared" si="8"/>
        <v/>
      </c>
      <c r="H404" s="15" t="str">
        <f t="shared" si="9"/>
        <v/>
      </c>
      <c r="I404" s="16" t="str">
        <f t="shared" si="10"/>
        <v/>
      </c>
      <c r="J404" s="17"/>
      <c r="K404" s="14" t="str">
        <f t="array" ref="K404">IF(OR(H404="",H404="Selecciona.."),"",XLOOKUP(H404,Propiedades!B:B,Propiedades!C:C,"",0,1))</f>
        <v/>
      </c>
    </row>
    <row r="405">
      <c r="A405" s="14" t="str">
        <f t="shared" si="1"/>
        <v/>
      </c>
      <c r="B405" s="14" t="str">
        <f t="array" ref="B405">IF(OR(G405="",G405="Selecciona.."),"",XLOOKUP(G405,Productos!E:E,Productos!A:A,"",0,1))</f>
        <v/>
      </c>
      <c r="C405" s="14" t="str">
        <f t="array" ref="C405">IF(B405="","",SUMIF(Implementos!B:B,XLOOKUP(B405,Productos!A:A,Productos!F:F,"",0,1),Implementos!A:A))</f>
        <v/>
      </c>
      <c r="D405" s="14" t="str">
        <f t="array" ref="D405">IF(OR(H405="",H405="Selecciona.."),"",XLOOKUP(H405,Propiedades!B:B,Propiedades!A:A,"",0,1))</f>
        <v/>
      </c>
      <c r="E405" s="14" t="str">
        <f t="shared" si="2"/>
        <v/>
      </c>
      <c r="F405" s="14" t="str">
        <f t="shared" si="3"/>
        <v/>
      </c>
      <c r="G405" s="15" t="str">
        <f t="shared" si="8"/>
        <v/>
      </c>
      <c r="H405" s="15" t="str">
        <f t="shared" si="9"/>
        <v/>
      </c>
      <c r="I405" s="16" t="str">
        <f t="shared" si="10"/>
        <v/>
      </c>
      <c r="J405" s="17"/>
      <c r="K405" s="14" t="str">
        <f t="array" ref="K405">IF(OR(H405="",H405="Selecciona.."),"",XLOOKUP(H405,Propiedades!B:B,Propiedades!C:C,"",0,1))</f>
        <v/>
      </c>
    </row>
    <row r="406">
      <c r="A406" s="14" t="str">
        <f t="shared" si="1"/>
        <v/>
      </c>
      <c r="B406" s="14" t="str">
        <f t="array" ref="B406">IF(OR(G406="",G406="Selecciona.."),"",XLOOKUP(G406,Productos!E:E,Productos!A:A,"",0,1))</f>
        <v/>
      </c>
      <c r="C406" s="14" t="str">
        <f t="array" ref="C406">IF(B406="","",SUMIF(Implementos!B:B,XLOOKUP(B406,Productos!A:A,Productos!F:F,"",0,1),Implementos!A:A))</f>
        <v/>
      </c>
      <c r="D406" s="14" t="str">
        <f t="array" ref="D406">IF(OR(H406="",H406="Selecciona.."),"",XLOOKUP(H406,Propiedades!B:B,Propiedades!A:A,"",0,1))</f>
        <v/>
      </c>
      <c r="E406" s="14" t="str">
        <f t="shared" si="2"/>
        <v/>
      </c>
      <c r="F406" s="14" t="str">
        <f t="shared" si="3"/>
        <v/>
      </c>
      <c r="G406" s="15" t="str">
        <f t="shared" si="8"/>
        <v/>
      </c>
      <c r="H406" s="15" t="str">
        <f t="shared" si="9"/>
        <v/>
      </c>
      <c r="I406" s="16" t="str">
        <f t="shared" si="10"/>
        <v/>
      </c>
      <c r="J406" s="17"/>
      <c r="K406" s="14" t="str">
        <f t="array" ref="K406">IF(OR(H406="",H406="Selecciona.."),"",XLOOKUP(H406,Propiedades!B:B,Propiedades!C:C,"",0,1))</f>
        <v/>
      </c>
    </row>
    <row r="407">
      <c r="A407" s="14" t="str">
        <f t="shared" si="1"/>
        <v/>
      </c>
      <c r="B407" s="14" t="str">
        <f t="array" ref="B407">IF(OR(G407="",G407="Selecciona.."),"",XLOOKUP(G407,Productos!E:E,Productos!A:A,"",0,1))</f>
        <v/>
      </c>
      <c r="C407" s="14" t="str">
        <f t="array" ref="C407">IF(B407="","",SUMIF(Implementos!B:B,XLOOKUP(B407,Productos!A:A,Productos!F:F,"",0,1),Implementos!A:A))</f>
        <v/>
      </c>
      <c r="D407" s="14" t="str">
        <f t="array" ref="D407">IF(OR(H407="",H407="Selecciona.."),"",XLOOKUP(H407,Propiedades!B:B,Propiedades!A:A,"",0,1))</f>
        <v/>
      </c>
      <c r="E407" s="14" t="str">
        <f t="shared" si="2"/>
        <v/>
      </c>
      <c r="F407" s="14" t="str">
        <f t="shared" si="3"/>
        <v/>
      </c>
      <c r="G407" s="15" t="str">
        <f t="shared" si="8"/>
        <v/>
      </c>
      <c r="H407" s="15" t="str">
        <f t="shared" si="9"/>
        <v/>
      </c>
      <c r="I407" s="16" t="str">
        <f t="shared" si="10"/>
        <v/>
      </c>
      <c r="J407" s="17"/>
      <c r="K407" s="14" t="str">
        <f t="array" ref="K407">IF(OR(H407="",H407="Selecciona.."),"",XLOOKUP(H407,Propiedades!B:B,Propiedades!C:C,"",0,1))</f>
        <v/>
      </c>
    </row>
    <row r="408">
      <c r="A408" s="14" t="str">
        <f t="shared" si="1"/>
        <v/>
      </c>
      <c r="B408" s="14" t="str">
        <f t="array" ref="B408">IF(OR(G408="",G408="Selecciona.."),"",XLOOKUP(G408,Productos!E:E,Productos!A:A,"",0,1))</f>
        <v/>
      </c>
      <c r="C408" s="14" t="str">
        <f t="array" ref="C408">IF(B408="","",SUMIF(Implementos!B:B,XLOOKUP(B408,Productos!A:A,Productos!F:F,"",0,1),Implementos!A:A))</f>
        <v/>
      </c>
      <c r="D408" s="14" t="str">
        <f t="array" ref="D408">IF(OR(H408="",H408="Selecciona.."),"",XLOOKUP(H408,Propiedades!B:B,Propiedades!A:A,"",0,1))</f>
        <v/>
      </c>
      <c r="E408" s="14" t="str">
        <f t="shared" si="2"/>
        <v/>
      </c>
      <c r="F408" s="14" t="str">
        <f t="shared" si="3"/>
        <v/>
      </c>
      <c r="G408" s="15" t="str">
        <f t="shared" si="8"/>
        <v/>
      </c>
      <c r="H408" s="15" t="str">
        <f t="shared" si="9"/>
        <v/>
      </c>
      <c r="I408" s="16" t="str">
        <f t="shared" si="10"/>
        <v/>
      </c>
      <c r="J408" s="17"/>
      <c r="K408" s="14" t="str">
        <f t="array" ref="K408">IF(OR(H408="",H408="Selecciona.."),"",XLOOKUP(H408,Propiedades!B:B,Propiedades!C:C,"",0,1))</f>
        <v/>
      </c>
    </row>
    <row r="409">
      <c r="A409" s="14" t="str">
        <f t="shared" si="1"/>
        <v/>
      </c>
      <c r="B409" s="14" t="str">
        <f t="array" ref="B409">IF(OR(G409="",G409="Selecciona.."),"",XLOOKUP(G409,Productos!E:E,Productos!A:A,"",0,1))</f>
        <v/>
      </c>
      <c r="C409" s="14" t="str">
        <f t="array" ref="C409">IF(B409="","",SUMIF(Implementos!B:B,XLOOKUP(B409,Productos!A:A,Productos!F:F,"",0,1),Implementos!A:A))</f>
        <v/>
      </c>
      <c r="D409" s="14" t="str">
        <f t="array" ref="D409">IF(OR(H409="",H409="Selecciona.."),"",XLOOKUP(H409,Propiedades!B:B,Propiedades!A:A,"",0,1))</f>
        <v/>
      </c>
      <c r="E409" s="14" t="str">
        <f t="shared" si="2"/>
        <v/>
      </c>
      <c r="F409" s="14" t="str">
        <f t="shared" si="3"/>
        <v/>
      </c>
      <c r="G409" s="15" t="str">
        <f t="shared" si="8"/>
        <v/>
      </c>
      <c r="H409" s="15" t="str">
        <f t="shared" si="9"/>
        <v/>
      </c>
      <c r="I409" s="16" t="str">
        <f t="shared" si="10"/>
        <v/>
      </c>
      <c r="J409" s="17"/>
      <c r="K409" s="14" t="str">
        <f t="array" ref="K409">IF(OR(H409="",H409="Selecciona.."),"",XLOOKUP(H409,Propiedades!B:B,Propiedades!C:C,"",0,1))</f>
        <v/>
      </c>
    </row>
    <row r="410">
      <c r="A410" s="14" t="str">
        <f t="shared" si="1"/>
        <v/>
      </c>
      <c r="B410" s="14" t="str">
        <f t="array" ref="B410">IF(OR(G410="",G410="Selecciona.."),"",XLOOKUP(G410,Productos!E:E,Productos!A:A,"",0,1))</f>
        <v/>
      </c>
      <c r="C410" s="14" t="str">
        <f t="array" ref="C410">IF(B410="","",SUMIF(Implementos!B:B,XLOOKUP(B410,Productos!A:A,Productos!F:F,"",0,1),Implementos!A:A))</f>
        <v/>
      </c>
      <c r="D410" s="14" t="str">
        <f t="array" ref="D410">IF(OR(H410="",H410="Selecciona.."),"",XLOOKUP(H410,Propiedades!B:B,Propiedades!A:A,"",0,1))</f>
        <v/>
      </c>
      <c r="E410" s="14" t="str">
        <f t="shared" si="2"/>
        <v/>
      </c>
      <c r="F410" s="14" t="str">
        <f t="shared" si="3"/>
        <v/>
      </c>
      <c r="G410" s="15" t="str">
        <f t="shared" si="8"/>
        <v/>
      </c>
      <c r="H410" s="15" t="str">
        <f t="shared" si="9"/>
        <v/>
      </c>
      <c r="I410" s="16" t="str">
        <f t="shared" si="10"/>
        <v/>
      </c>
      <c r="J410" s="17"/>
      <c r="K410" s="14" t="str">
        <f t="array" ref="K410">IF(OR(H410="",H410="Selecciona.."),"",XLOOKUP(H410,Propiedades!B:B,Propiedades!C:C,"",0,1))</f>
        <v/>
      </c>
    </row>
    <row r="411">
      <c r="A411" s="14" t="str">
        <f t="shared" si="1"/>
        <v/>
      </c>
      <c r="B411" s="14" t="str">
        <f t="array" ref="B411">IF(OR(G411="",G411="Selecciona.."),"",XLOOKUP(G411,Productos!E:E,Productos!A:A,"",0,1))</f>
        <v/>
      </c>
      <c r="C411" s="14" t="str">
        <f t="array" ref="C411">IF(B411="","",SUMIF(Implementos!B:B,XLOOKUP(B411,Productos!A:A,Productos!F:F,"",0,1),Implementos!A:A))</f>
        <v/>
      </c>
      <c r="D411" s="14" t="str">
        <f t="array" ref="D411">IF(OR(H411="",H411="Selecciona.."),"",XLOOKUP(H411,Propiedades!B:B,Propiedades!A:A,"",0,1))</f>
        <v/>
      </c>
      <c r="E411" s="14" t="str">
        <f t="shared" si="2"/>
        <v/>
      </c>
      <c r="F411" s="14" t="str">
        <f t="shared" si="3"/>
        <v/>
      </c>
      <c r="G411" s="15" t="str">
        <f t="shared" si="8"/>
        <v/>
      </c>
      <c r="H411" s="15" t="str">
        <f t="shared" si="9"/>
        <v/>
      </c>
      <c r="I411" s="16" t="str">
        <f t="shared" si="10"/>
        <v/>
      </c>
      <c r="J411" s="17"/>
      <c r="K411" s="14" t="str">
        <f t="array" ref="K411">IF(OR(H411="",H411="Selecciona.."),"",XLOOKUP(H411,Propiedades!B:B,Propiedades!C:C,"",0,1))</f>
        <v/>
      </c>
    </row>
    <row r="412">
      <c r="A412" s="14" t="str">
        <f t="shared" si="1"/>
        <v/>
      </c>
      <c r="B412" s="14" t="str">
        <f t="array" ref="B412">IF(OR(G412="",G412="Selecciona.."),"",XLOOKUP(G412,Productos!E:E,Productos!A:A,"",0,1))</f>
        <v/>
      </c>
      <c r="C412" s="14" t="str">
        <f t="array" ref="C412">IF(B412="","",SUMIF(Implementos!B:B,XLOOKUP(B412,Productos!A:A,Productos!F:F,"",0,1),Implementos!A:A))</f>
        <v/>
      </c>
      <c r="D412" s="14" t="str">
        <f t="array" ref="D412">IF(OR(H412="",H412="Selecciona.."),"",XLOOKUP(H412,Propiedades!B:B,Propiedades!A:A,"",0,1))</f>
        <v/>
      </c>
      <c r="E412" s="14" t="str">
        <f t="shared" si="2"/>
        <v/>
      </c>
      <c r="F412" s="14" t="str">
        <f t="shared" si="3"/>
        <v/>
      </c>
      <c r="G412" s="15" t="str">
        <f t="shared" si="8"/>
        <v/>
      </c>
      <c r="H412" s="15" t="str">
        <f t="shared" si="9"/>
        <v/>
      </c>
      <c r="I412" s="16" t="str">
        <f t="shared" si="10"/>
        <v/>
      </c>
      <c r="J412" s="17"/>
      <c r="K412" s="14" t="str">
        <f t="array" ref="K412">IF(OR(H412="",H412="Selecciona.."),"",XLOOKUP(H412,Propiedades!B:B,Propiedades!C:C,"",0,1))</f>
        <v/>
      </c>
    </row>
    <row r="413">
      <c r="A413" s="14" t="str">
        <f t="shared" si="1"/>
        <v/>
      </c>
      <c r="B413" s="14" t="str">
        <f t="array" ref="B413">IF(OR(G413="",G413="Selecciona.."),"",XLOOKUP(G413,Productos!E:E,Productos!A:A,"",0,1))</f>
        <v/>
      </c>
      <c r="C413" s="14" t="str">
        <f t="array" ref="C413">IF(B413="","",SUMIF(Implementos!B:B,XLOOKUP(B413,Productos!A:A,Productos!F:F,"",0,1),Implementos!A:A))</f>
        <v/>
      </c>
      <c r="D413" s="14" t="str">
        <f t="array" ref="D413">IF(OR(H413="",H413="Selecciona.."),"",XLOOKUP(H413,Propiedades!B:B,Propiedades!A:A,"",0,1))</f>
        <v/>
      </c>
      <c r="E413" s="14" t="str">
        <f t="shared" si="2"/>
        <v/>
      </c>
      <c r="F413" s="14" t="str">
        <f t="shared" si="3"/>
        <v/>
      </c>
      <c r="G413" s="15" t="str">
        <f t="shared" si="8"/>
        <v/>
      </c>
      <c r="H413" s="15" t="str">
        <f t="shared" si="9"/>
        <v/>
      </c>
      <c r="I413" s="16" t="str">
        <f t="shared" si="10"/>
        <v/>
      </c>
      <c r="J413" s="17"/>
      <c r="K413" s="14" t="str">
        <f t="array" ref="K413">IF(OR(H413="",H413="Selecciona.."),"",XLOOKUP(H413,Propiedades!B:B,Propiedades!C:C,"",0,1))</f>
        <v/>
      </c>
    </row>
    <row r="414">
      <c r="A414" s="14" t="str">
        <f t="shared" si="1"/>
        <v/>
      </c>
      <c r="B414" s="14" t="str">
        <f t="array" ref="B414">IF(OR(G414="",G414="Selecciona.."),"",XLOOKUP(G414,Productos!E:E,Productos!A:A,"",0,1))</f>
        <v/>
      </c>
      <c r="C414" s="14" t="str">
        <f t="array" ref="C414">IF(B414="","",SUMIF(Implementos!B:B,XLOOKUP(B414,Productos!A:A,Productos!F:F,"",0,1),Implementos!A:A))</f>
        <v/>
      </c>
      <c r="D414" s="14" t="str">
        <f t="array" ref="D414">IF(OR(H414="",H414="Selecciona.."),"",XLOOKUP(H414,Propiedades!B:B,Propiedades!A:A,"",0,1))</f>
        <v/>
      </c>
      <c r="E414" s="14" t="str">
        <f t="shared" si="2"/>
        <v/>
      </c>
      <c r="F414" s="14" t="str">
        <f t="shared" si="3"/>
        <v/>
      </c>
      <c r="G414" s="15" t="str">
        <f t="shared" si="8"/>
        <v/>
      </c>
      <c r="H414" s="15" t="str">
        <f t="shared" si="9"/>
        <v/>
      </c>
      <c r="I414" s="16" t="str">
        <f t="shared" si="10"/>
        <v/>
      </c>
      <c r="J414" s="17"/>
      <c r="K414" s="14" t="str">
        <f t="array" ref="K414">IF(OR(H414="",H414="Selecciona.."),"",XLOOKUP(H414,Propiedades!B:B,Propiedades!C:C,"",0,1))</f>
        <v/>
      </c>
    </row>
    <row r="415">
      <c r="A415" s="14" t="str">
        <f t="shared" si="1"/>
        <v/>
      </c>
      <c r="B415" s="14" t="str">
        <f t="array" ref="B415">IF(OR(G415="",G415="Selecciona.."),"",XLOOKUP(G415,Productos!E:E,Productos!A:A,"",0,1))</f>
        <v/>
      </c>
      <c r="C415" s="14" t="str">
        <f t="array" ref="C415">IF(B415="","",SUMIF(Implementos!B:B,XLOOKUP(B415,Productos!A:A,Productos!F:F,"",0,1),Implementos!A:A))</f>
        <v/>
      </c>
      <c r="D415" s="14" t="str">
        <f t="array" ref="D415">IF(OR(H415="",H415="Selecciona.."),"",XLOOKUP(H415,Propiedades!B:B,Propiedades!A:A,"",0,1))</f>
        <v/>
      </c>
      <c r="E415" s="14" t="str">
        <f t="shared" si="2"/>
        <v/>
      </c>
      <c r="F415" s="14" t="str">
        <f t="shared" si="3"/>
        <v/>
      </c>
      <c r="G415" s="15" t="str">
        <f t="shared" si="8"/>
        <v/>
      </c>
      <c r="H415" s="15" t="str">
        <f t="shared" si="9"/>
        <v/>
      </c>
      <c r="I415" s="16" t="str">
        <f t="shared" si="10"/>
        <v/>
      </c>
      <c r="J415" s="17"/>
      <c r="K415" s="14" t="str">
        <f t="array" ref="K415">IF(OR(H415="",H415="Selecciona.."),"",XLOOKUP(H415,Propiedades!B:B,Propiedades!C:C,"",0,1))</f>
        <v/>
      </c>
    </row>
    <row r="416">
      <c r="A416" s="14" t="str">
        <f t="shared" si="1"/>
        <v/>
      </c>
      <c r="B416" s="14" t="str">
        <f t="array" ref="B416">IF(OR(G416="",G416="Selecciona.."),"",XLOOKUP(G416,Productos!E:E,Productos!A:A,"",0,1))</f>
        <v/>
      </c>
      <c r="C416" s="14" t="str">
        <f t="array" ref="C416">IF(B416="","",SUMIF(Implementos!B:B,XLOOKUP(B416,Productos!A:A,Productos!F:F,"",0,1),Implementos!A:A))</f>
        <v/>
      </c>
      <c r="D416" s="14" t="str">
        <f t="array" ref="D416">IF(OR(H416="",H416="Selecciona.."),"",XLOOKUP(H416,Propiedades!B:B,Propiedades!A:A,"",0,1))</f>
        <v/>
      </c>
      <c r="E416" s="14" t="str">
        <f t="shared" si="2"/>
        <v/>
      </c>
      <c r="F416" s="14" t="str">
        <f t="shared" si="3"/>
        <v/>
      </c>
      <c r="G416" s="15" t="str">
        <f t="shared" si="8"/>
        <v/>
      </c>
      <c r="H416" s="15" t="str">
        <f t="shared" si="9"/>
        <v/>
      </c>
      <c r="I416" s="16" t="str">
        <f t="shared" si="10"/>
        <v/>
      </c>
      <c r="J416" s="17"/>
      <c r="K416" s="14" t="str">
        <f t="array" ref="K416">IF(OR(H416="",H416="Selecciona.."),"",XLOOKUP(H416,Propiedades!B:B,Propiedades!C:C,"",0,1))</f>
        <v/>
      </c>
    </row>
    <row r="417">
      <c r="A417" s="14" t="str">
        <f t="shared" si="1"/>
        <v/>
      </c>
      <c r="B417" s="14" t="str">
        <f t="array" ref="B417">IF(OR(G417="",G417="Selecciona.."),"",XLOOKUP(G417,Productos!E:E,Productos!A:A,"",0,1))</f>
        <v/>
      </c>
      <c r="C417" s="14" t="str">
        <f t="array" ref="C417">IF(B417="","",SUMIF(Implementos!B:B,XLOOKUP(B417,Productos!A:A,Productos!F:F,"",0,1),Implementos!A:A))</f>
        <v/>
      </c>
      <c r="D417" s="14" t="str">
        <f t="array" ref="D417">IF(OR(H417="",H417="Selecciona.."),"",XLOOKUP(H417,Propiedades!B:B,Propiedades!A:A,"",0,1))</f>
        <v/>
      </c>
      <c r="E417" s="14" t="str">
        <f t="shared" si="2"/>
        <v/>
      </c>
      <c r="F417" s="14" t="str">
        <f t="shared" si="3"/>
        <v/>
      </c>
      <c r="G417" s="15" t="str">
        <f t="shared" si="8"/>
        <v/>
      </c>
      <c r="H417" s="15" t="str">
        <f t="shared" si="9"/>
        <v/>
      </c>
      <c r="I417" s="16" t="str">
        <f t="shared" si="10"/>
        <v/>
      </c>
      <c r="J417" s="17"/>
      <c r="K417" s="14" t="str">
        <f t="array" ref="K417">IF(OR(H417="",H417="Selecciona.."),"",XLOOKUP(H417,Propiedades!B:B,Propiedades!C:C,"",0,1))</f>
        <v/>
      </c>
    </row>
    <row r="418">
      <c r="A418" s="14" t="str">
        <f t="shared" si="1"/>
        <v/>
      </c>
      <c r="B418" s="14" t="str">
        <f t="array" ref="B418">IF(OR(G418="",G418="Selecciona.."),"",XLOOKUP(G418,Productos!E:E,Productos!A:A,"",0,1))</f>
        <v/>
      </c>
      <c r="C418" s="14" t="str">
        <f t="array" ref="C418">IF(B418="","",SUMIF(Implementos!B:B,XLOOKUP(B418,Productos!A:A,Productos!F:F,"",0,1),Implementos!A:A))</f>
        <v/>
      </c>
      <c r="D418" s="14" t="str">
        <f t="array" ref="D418">IF(OR(H418="",H418="Selecciona.."),"",XLOOKUP(H418,Propiedades!B:B,Propiedades!A:A,"",0,1))</f>
        <v/>
      </c>
      <c r="E418" s="14" t="str">
        <f t="shared" si="2"/>
        <v/>
      </c>
      <c r="F418" s="14" t="str">
        <f t="shared" si="3"/>
        <v/>
      </c>
      <c r="G418" s="15" t="str">
        <f t="shared" si="8"/>
        <v/>
      </c>
      <c r="H418" s="15" t="str">
        <f t="shared" si="9"/>
        <v/>
      </c>
      <c r="I418" s="16" t="str">
        <f t="shared" si="10"/>
        <v/>
      </c>
      <c r="J418" s="17"/>
      <c r="K418" s="14" t="str">
        <f t="array" ref="K418">IF(OR(H418="",H418="Selecciona.."),"",XLOOKUP(H418,Propiedades!B:B,Propiedades!C:C,"",0,1))</f>
        <v/>
      </c>
    </row>
    <row r="419">
      <c r="A419" s="14" t="str">
        <f t="shared" si="1"/>
        <v/>
      </c>
      <c r="B419" s="14" t="str">
        <f t="array" ref="B419">IF(OR(G419="",G419="Selecciona.."),"",XLOOKUP(G419,Productos!E:E,Productos!A:A,"",0,1))</f>
        <v/>
      </c>
      <c r="C419" s="14" t="str">
        <f t="array" ref="C419">IF(B419="","",SUMIF(Implementos!B:B,XLOOKUP(B419,Productos!A:A,Productos!F:F,"",0,1),Implementos!A:A))</f>
        <v/>
      </c>
      <c r="D419" s="14" t="str">
        <f t="array" ref="D419">IF(OR(H419="",H419="Selecciona.."),"",XLOOKUP(H419,Propiedades!B:B,Propiedades!A:A,"",0,1))</f>
        <v/>
      </c>
      <c r="E419" s="14" t="str">
        <f t="shared" si="2"/>
        <v/>
      </c>
      <c r="F419" s="14" t="str">
        <f t="shared" si="3"/>
        <v/>
      </c>
      <c r="G419" s="15" t="str">
        <f t="shared" si="8"/>
        <v/>
      </c>
      <c r="H419" s="15" t="str">
        <f t="shared" si="9"/>
        <v/>
      </c>
      <c r="I419" s="16" t="str">
        <f t="shared" si="10"/>
        <v/>
      </c>
      <c r="J419" s="17"/>
      <c r="K419" s="14" t="str">
        <f t="array" ref="K419">IF(OR(H419="",H419="Selecciona.."),"",XLOOKUP(H419,Propiedades!B:B,Propiedades!C:C,"",0,1))</f>
        <v/>
      </c>
    </row>
    <row r="420">
      <c r="A420" s="14" t="str">
        <f t="shared" si="1"/>
        <v/>
      </c>
      <c r="B420" s="14" t="str">
        <f t="array" ref="B420">IF(OR(G420="",G420="Selecciona.."),"",XLOOKUP(G420,Productos!E:E,Productos!A:A,"",0,1))</f>
        <v/>
      </c>
      <c r="C420" s="14" t="str">
        <f t="array" ref="C420">IF(B420="","",SUMIF(Implementos!B:B,XLOOKUP(B420,Productos!A:A,Productos!F:F,"",0,1),Implementos!A:A))</f>
        <v/>
      </c>
      <c r="D420" s="14" t="str">
        <f t="array" ref="D420">IF(OR(H420="",H420="Selecciona.."),"",XLOOKUP(H420,Propiedades!B:B,Propiedades!A:A,"",0,1))</f>
        <v/>
      </c>
      <c r="E420" s="14" t="str">
        <f t="shared" si="2"/>
        <v/>
      </c>
      <c r="F420" s="14" t="str">
        <f t="shared" si="3"/>
        <v/>
      </c>
      <c r="G420" s="15" t="str">
        <f t="shared" si="8"/>
        <v/>
      </c>
      <c r="H420" s="15" t="str">
        <f t="shared" si="9"/>
        <v/>
      </c>
      <c r="I420" s="16" t="str">
        <f t="shared" si="10"/>
        <v/>
      </c>
      <c r="J420" s="17"/>
      <c r="K420" s="14" t="str">
        <f t="array" ref="K420">IF(OR(H420="",H420="Selecciona.."),"",XLOOKUP(H420,Propiedades!B:B,Propiedades!C:C,"",0,1))</f>
        <v/>
      </c>
    </row>
    <row r="421">
      <c r="A421" s="14" t="str">
        <f t="shared" si="1"/>
        <v/>
      </c>
      <c r="B421" s="14" t="str">
        <f t="array" ref="B421">IF(OR(G421="",G421="Selecciona.."),"",XLOOKUP(G421,Productos!E:E,Productos!A:A,"",0,1))</f>
        <v/>
      </c>
      <c r="C421" s="14" t="str">
        <f t="array" ref="C421">IF(B421="","",SUMIF(Implementos!B:B,XLOOKUP(B421,Productos!A:A,Productos!F:F,"",0,1),Implementos!A:A))</f>
        <v/>
      </c>
      <c r="D421" s="14" t="str">
        <f t="array" ref="D421">IF(OR(H421="",H421="Selecciona.."),"",XLOOKUP(H421,Propiedades!B:B,Propiedades!A:A,"",0,1))</f>
        <v/>
      </c>
      <c r="E421" s="14" t="str">
        <f t="shared" si="2"/>
        <v/>
      </c>
      <c r="F421" s="14" t="str">
        <f t="shared" si="3"/>
        <v/>
      </c>
      <c r="G421" s="15" t="str">
        <f t="shared" si="8"/>
        <v/>
      </c>
      <c r="H421" s="15" t="str">
        <f t="shared" si="9"/>
        <v/>
      </c>
      <c r="I421" s="16" t="str">
        <f t="shared" si="10"/>
        <v/>
      </c>
      <c r="J421" s="17"/>
      <c r="K421" s="14" t="str">
        <f t="array" ref="K421">IF(OR(H421="",H421="Selecciona.."),"",XLOOKUP(H421,Propiedades!B:B,Propiedades!C:C,"",0,1))</f>
        <v/>
      </c>
    </row>
    <row r="422">
      <c r="A422" s="14" t="str">
        <f t="shared" si="1"/>
        <v/>
      </c>
      <c r="B422" s="14" t="str">
        <f t="array" ref="B422">IF(OR(G422="",G422="Selecciona.."),"",XLOOKUP(G422,Productos!E:E,Productos!A:A,"",0,1))</f>
        <v/>
      </c>
      <c r="C422" s="14" t="str">
        <f t="array" ref="C422">IF(B422="","",SUMIF(Implementos!B:B,XLOOKUP(B422,Productos!A:A,Productos!F:F,"",0,1),Implementos!A:A))</f>
        <v/>
      </c>
      <c r="D422" s="14" t="str">
        <f t="array" ref="D422">IF(OR(H422="",H422="Selecciona.."),"",XLOOKUP(H422,Propiedades!B:B,Propiedades!A:A,"",0,1))</f>
        <v/>
      </c>
      <c r="E422" s="14" t="str">
        <f t="shared" si="2"/>
        <v/>
      </c>
      <c r="F422" s="14" t="str">
        <f t="shared" si="3"/>
        <v/>
      </c>
      <c r="G422" s="15" t="str">
        <f t="shared" si="8"/>
        <v/>
      </c>
      <c r="H422" s="15" t="str">
        <f t="shared" si="9"/>
        <v/>
      </c>
      <c r="I422" s="16" t="str">
        <f t="shared" si="10"/>
        <v/>
      </c>
      <c r="J422" s="17"/>
      <c r="K422" s="14" t="str">
        <f t="array" ref="K422">IF(OR(H422="",H422="Selecciona.."),"",XLOOKUP(H422,Propiedades!B:B,Propiedades!C:C,"",0,1))</f>
        <v/>
      </c>
    </row>
    <row r="423">
      <c r="A423" s="14" t="str">
        <f t="shared" si="1"/>
        <v/>
      </c>
      <c r="B423" s="14" t="str">
        <f t="array" ref="B423">IF(OR(G423="",G423="Selecciona.."),"",XLOOKUP(G423,Productos!E:E,Productos!A:A,"",0,1))</f>
        <v/>
      </c>
      <c r="C423" s="14" t="str">
        <f t="array" ref="C423">IF(B423="","",SUMIF(Implementos!B:B,XLOOKUP(B423,Productos!A:A,Productos!F:F,"",0,1),Implementos!A:A))</f>
        <v/>
      </c>
      <c r="D423" s="14" t="str">
        <f t="array" ref="D423">IF(OR(H423="",H423="Selecciona.."),"",XLOOKUP(H423,Propiedades!B:B,Propiedades!A:A,"",0,1))</f>
        <v/>
      </c>
      <c r="E423" s="14" t="str">
        <f t="shared" si="2"/>
        <v/>
      </c>
      <c r="F423" s="14" t="str">
        <f t="shared" si="3"/>
        <v/>
      </c>
      <c r="G423" s="15" t="str">
        <f t="shared" si="8"/>
        <v/>
      </c>
      <c r="H423" s="15" t="str">
        <f t="shared" si="9"/>
        <v/>
      </c>
      <c r="I423" s="16" t="str">
        <f t="shared" si="10"/>
        <v/>
      </c>
      <c r="J423" s="17"/>
      <c r="K423" s="14" t="str">
        <f t="array" ref="K423">IF(OR(H423="",H423="Selecciona.."),"",XLOOKUP(H423,Propiedades!B:B,Propiedades!C:C,"",0,1))</f>
        <v/>
      </c>
    </row>
    <row r="424">
      <c r="A424" s="14" t="str">
        <f t="shared" si="1"/>
        <v/>
      </c>
      <c r="B424" s="14" t="str">
        <f t="array" ref="B424">IF(OR(G424="",G424="Selecciona.."),"",XLOOKUP(G424,Productos!E:E,Productos!A:A,"",0,1))</f>
        <v/>
      </c>
      <c r="C424" s="14" t="str">
        <f t="array" ref="C424">IF(B424="","",SUMIF(Implementos!B:B,XLOOKUP(B424,Productos!A:A,Productos!F:F,"",0,1),Implementos!A:A))</f>
        <v/>
      </c>
      <c r="D424" s="14" t="str">
        <f t="array" ref="D424">IF(OR(H424="",H424="Selecciona.."),"",XLOOKUP(H424,Propiedades!B:B,Propiedades!A:A,"",0,1))</f>
        <v/>
      </c>
      <c r="E424" s="14" t="str">
        <f t="shared" si="2"/>
        <v/>
      </c>
      <c r="F424" s="14" t="str">
        <f t="shared" si="3"/>
        <v/>
      </c>
      <c r="G424" s="15" t="str">
        <f t="shared" si="8"/>
        <v/>
      </c>
      <c r="H424" s="15" t="str">
        <f t="shared" si="9"/>
        <v/>
      </c>
      <c r="I424" s="16" t="str">
        <f t="shared" si="10"/>
        <v/>
      </c>
      <c r="J424" s="17"/>
      <c r="K424" s="14" t="str">
        <f t="array" ref="K424">IF(OR(H424="",H424="Selecciona.."),"",XLOOKUP(H424,Propiedades!B:B,Propiedades!C:C,"",0,1))</f>
        <v/>
      </c>
    </row>
    <row r="425">
      <c r="A425" s="14" t="str">
        <f t="shared" si="1"/>
        <v/>
      </c>
      <c r="B425" s="14" t="str">
        <f t="array" ref="B425">IF(OR(G425="",G425="Selecciona.."),"",XLOOKUP(G425,Productos!E:E,Productos!A:A,"",0,1))</f>
        <v/>
      </c>
      <c r="C425" s="14" t="str">
        <f t="array" ref="C425">IF(B425="","",SUMIF(Implementos!B:B,XLOOKUP(B425,Productos!A:A,Productos!F:F,"",0,1),Implementos!A:A))</f>
        <v/>
      </c>
      <c r="D425" s="14" t="str">
        <f t="array" ref="D425">IF(OR(H425="",H425="Selecciona.."),"",XLOOKUP(H425,Propiedades!B:B,Propiedades!A:A,"",0,1))</f>
        <v/>
      </c>
      <c r="E425" s="14" t="str">
        <f t="shared" si="2"/>
        <v/>
      </c>
      <c r="F425" s="14" t="str">
        <f t="shared" si="3"/>
        <v/>
      </c>
      <c r="G425" s="15" t="str">
        <f t="shared" si="8"/>
        <v/>
      </c>
      <c r="H425" s="15" t="str">
        <f t="shared" si="9"/>
        <v/>
      </c>
      <c r="I425" s="16" t="str">
        <f t="shared" si="10"/>
        <v/>
      </c>
      <c r="J425" s="17"/>
      <c r="K425" s="14" t="str">
        <f t="array" ref="K425">IF(OR(H425="",H425="Selecciona.."),"",XLOOKUP(H425,Propiedades!B:B,Propiedades!C:C,"",0,1))</f>
        <v/>
      </c>
    </row>
    <row r="426">
      <c r="A426" s="14" t="str">
        <f t="shared" si="1"/>
        <v/>
      </c>
      <c r="B426" s="14" t="str">
        <f t="array" ref="B426">IF(OR(G426="",G426="Selecciona.."),"",XLOOKUP(G426,Productos!E:E,Productos!A:A,"",0,1))</f>
        <v/>
      </c>
      <c r="C426" s="14" t="str">
        <f t="array" ref="C426">IF(B426="","",SUMIF(Implementos!B:B,XLOOKUP(B426,Productos!A:A,Productos!F:F,"",0,1),Implementos!A:A))</f>
        <v/>
      </c>
      <c r="D426" s="14" t="str">
        <f t="array" ref="D426">IF(OR(H426="",H426="Selecciona.."),"",XLOOKUP(H426,Propiedades!B:B,Propiedades!A:A,"",0,1))</f>
        <v/>
      </c>
      <c r="E426" s="14" t="str">
        <f t="shared" si="2"/>
        <v/>
      </c>
      <c r="F426" s="14" t="str">
        <f t="shared" si="3"/>
        <v/>
      </c>
      <c r="G426" s="15" t="str">
        <f t="shared" si="8"/>
        <v/>
      </c>
      <c r="H426" s="15" t="str">
        <f t="shared" si="9"/>
        <v/>
      </c>
      <c r="I426" s="16" t="str">
        <f t="shared" si="10"/>
        <v/>
      </c>
      <c r="J426" s="17"/>
      <c r="K426" s="14" t="str">
        <f t="array" ref="K426">IF(OR(H426="",H426="Selecciona.."),"",XLOOKUP(H426,Propiedades!B:B,Propiedades!C:C,"",0,1))</f>
        <v/>
      </c>
    </row>
    <row r="427">
      <c r="A427" s="14" t="str">
        <f t="shared" si="1"/>
        <v/>
      </c>
      <c r="B427" s="14" t="str">
        <f t="array" ref="B427">IF(OR(G427="",G427="Selecciona.."),"",XLOOKUP(G427,Productos!E:E,Productos!A:A,"",0,1))</f>
        <v/>
      </c>
      <c r="C427" s="14" t="str">
        <f t="array" ref="C427">IF(B427="","",SUMIF(Implementos!B:B,XLOOKUP(B427,Productos!A:A,Productos!F:F,"",0,1),Implementos!A:A))</f>
        <v/>
      </c>
      <c r="D427" s="14" t="str">
        <f t="array" ref="D427">IF(OR(H427="",H427="Selecciona.."),"",XLOOKUP(H427,Propiedades!B:B,Propiedades!A:A,"",0,1))</f>
        <v/>
      </c>
      <c r="E427" s="14" t="str">
        <f t="shared" si="2"/>
        <v/>
      </c>
      <c r="F427" s="14" t="str">
        <f t="shared" si="3"/>
        <v/>
      </c>
      <c r="G427" s="15" t="str">
        <f t="shared" si="8"/>
        <v/>
      </c>
      <c r="H427" s="15" t="str">
        <f t="shared" si="9"/>
        <v/>
      </c>
      <c r="I427" s="16" t="str">
        <f t="shared" si="10"/>
        <v/>
      </c>
      <c r="J427" s="17"/>
      <c r="K427" s="14" t="str">
        <f t="array" ref="K427">IF(OR(H427="",H427="Selecciona.."),"",XLOOKUP(H427,Propiedades!B:B,Propiedades!C:C,"",0,1))</f>
        <v/>
      </c>
    </row>
    <row r="428">
      <c r="A428" s="14" t="str">
        <f t="shared" si="1"/>
        <v/>
      </c>
      <c r="B428" s="14" t="str">
        <f t="array" ref="B428">IF(OR(G428="",G428="Selecciona.."),"",XLOOKUP(G428,Productos!E:E,Productos!A:A,"",0,1))</f>
        <v/>
      </c>
      <c r="C428" s="14" t="str">
        <f t="array" ref="C428">IF(B428="","",SUMIF(Implementos!B:B,XLOOKUP(B428,Productos!A:A,Productos!F:F,"",0,1),Implementos!A:A))</f>
        <v/>
      </c>
      <c r="D428" s="14" t="str">
        <f t="array" ref="D428">IF(OR(H428="",H428="Selecciona.."),"",XLOOKUP(H428,Propiedades!B:B,Propiedades!A:A,"",0,1))</f>
        <v/>
      </c>
      <c r="E428" s="14" t="str">
        <f t="shared" si="2"/>
        <v/>
      </c>
      <c r="F428" s="14" t="str">
        <f t="shared" si="3"/>
        <v/>
      </c>
      <c r="G428" s="15" t="str">
        <f t="shared" si="8"/>
        <v/>
      </c>
      <c r="H428" s="15" t="str">
        <f t="shared" si="9"/>
        <v/>
      </c>
      <c r="I428" s="16" t="str">
        <f t="shared" si="10"/>
        <v/>
      </c>
      <c r="J428" s="17"/>
      <c r="K428" s="14" t="str">
        <f t="array" ref="K428">IF(OR(H428="",H428="Selecciona.."),"",XLOOKUP(H428,Propiedades!B:B,Propiedades!C:C,"",0,1))</f>
        <v/>
      </c>
    </row>
    <row r="429">
      <c r="A429" s="14" t="str">
        <f t="shared" si="1"/>
        <v/>
      </c>
      <c r="B429" s="14" t="str">
        <f t="array" ref="B429">IF(OR(G429="",G429="Selecciona.."),"",XLOOKUP(G429,Productos!E:E,Productos!A:A,"",0,1))</f>
        <v/>
      </c>
      <c r="C429" s="14" t="str">
        <f t="array" ref="C429">IF(B429="","",SUMIF(Implementos!B:B,XLOOKUP(B429,Productos!A:A,Productos!F:F,"",0,1),Implementos!A:A))</f>
        <v/>
      </c>
      <c r="D429" s="14" t="str">
        <f t="array" ref="D429">IF(OR(H429="",H429="Selecciona.."),"",XLOOKUP(H429,Propiedades!B:B,Propiedades!A:A,"",0,1))</f>
        <v/>
      </c>
      <c r="E429" s="14" t="str">
        <f t="shared" si="2"/>
        <v/>
      </c>
      <c r="F429" s="14" t="str">
        <f t="shared" si="3"/>
        <v/>
      </c>
      <c r="G429" s="15" t="str">
        <f t="shared" si="8"/>
        <v/>
      </c>
      <c r="H429" s="15" t="str">
        <f t="shared" si="9"/>
        <v/>
      </c>
      <c r="I429" s="16" t="str">
        <f t="shared" si="10"/>
        <v/>
      </c>
      <c r="J429" s="17"/>
      <c r="K429" s="14" t="str">
        <f t="array" ref="K429">IF(OR(H429="",H429="Selecciona.."),"",XLOOKUP(H429,Propiedades!B:B,Propiedades!C:C,"",0,1))</f>
        <v/>
      </c>
    </row>
    <row r="430">
      <c r="A430" s="14" t="str">
        <f t="shared" si="1"/>
        <v/>
      </c>
      <c r="B430" s="14" t="str">
        <f t="array" ref="B430">IF(OR(G430="",G430="Selecciona.."),"",XLOOKUP(G430,Productos!E:E,Productos!A:A,"",0,1))</f>
        <v/>
      </c>
      <c r="C430" s="14" t="str">
        <f t="array" ref="C430">IF(B430="","",SUMIF(Implementos!B:B,XLOOKUP(B430,Productos!A:A,Productos!F:F,"",0,1),Implementos!A:A))</f>
        <v/>
      </c>
      <c r="D430" s="14" t="str">
        <f t="array" ref="D430">IF(OR(H430="",H430="Selecciona.."),"",XLOOKUP(H430,Propiedades!B:B,Propiedades!A:A,"",0,1))</f>
        <v/>
      </c>
      <c r="E430" s="14" t="str">
        <f t="shared" si="2"/>
        <v/>
      </c>
      <c r="F430" s="14" t="str">
        <f t="shared" si="3"/>
        <v/>
      </c>
      <c r="G430" s="15" t="str">
        <f t="shared" si="8"/>
        <v/>
      </c>
      <c r="H430" s="15" t="str">
        <f t="shared" si="9"/>
        <v/>
      </c>
      <c r="I430" s="16" t="str">
        <f t="shared" si="10"/>
        <v/>
      </c>
      <c r="J430" s="17"/>
      <c r="K430" s="14" t="str">
        <f t="array" ref="K430">IF(OR(H430="",H430="Selecciona.."),"",XLOOKUP(H430,Propiedades!B:B,Propiedades!C:C,"",0,1))</f>
        <v/>
      </c>
    </row>
    <row r="431">
      <c r="A431" s="14" t="str">
        <f t="shared" si="1"/>
        <v/>
      </c>
      <c r="B431" s="14" t="str">
        <f t="array" ref="B431">IF(OR(G431="",G431="Selecciona.."),"",XLOOKUP(G431,Productos!E:E,Productos!A:A,"",0,1))</f>
        <v/>
      </c>
      <c r="C431" s="14" t="str">
        <f t="array" ref="C431">IF(B431="","",SUMIF(Implementos!B:B,XLOOKUP(B431,Productos!A:A,Productos!F:F,"",0,1),Implementos!A:A))</f>
        <v/>
      </c>
      <c r="D431" s="14" t="str">
        <f t="array" ref="D431">IF(OR(H431="",H431="Selecciona.."),"",XLOOKUP(H431,Propiedades!B:B,Propiedades!A:A,"",0,1))</f>
        <v/>
      </c>
      <c r="E431" s="14" t="str">
        <f t="shared" si="2"/>
        <v/>
      </c>
      <c r="F431" s="14" t="str">
        <f t="shared" si="3"/>
        <v/>
      </c>
      <c r="G431" s="15" t="str">
        <f t="shared" si="8"/>
        <v/>
      </c>
      <c r="H431" s="15" t="str">
        <f t="shared" si="9"/>
        <v/>
      </c>
      <c r="I431" s="16" t="str">
        <f t="shared" si="10"/>
        <v/>
      </c>
      <c r="J431" s="17"/>
      <c r="K431" s="14" t="str">
        <f t="array" ref="K431">IF(OR(H431="",H431="Selecciona.."),"",XLOOKUP(H431,Propiedades!B:B,Propiedades!C:C,"",0,1))</f>
        <v/>
      </c>
    </row>
    <row r="432">
      <c r="A432" s="14" t="str">
        <f t="shared" si="1"/>
        <v/>
      </c>
      <c r="B432" s="14" t="str">
        <f t="array" ref="B432">IF(OR(G432="",G432="Selecciona.."),"",XLOOKUP(G432,Productos!E:E,Productos!A:A,"",0,1))</f>
        <v/>
      </c>
      <c r="C432" s="14" t="str">
        <f t="array" ref="C432">IF(B432="","",SUMIF(Implementos!B:B,XLOOKUP(B432,Productos!A:A,Productos!F:F,"",0,1),Implementos!A:A))</f>
        <v/>
      </c>
      <c r="D432" s="14" t="str">
        <f t="array" ref="D432">IF(OR(H432="",H432="Selecciona.."),"",XLOOKUP(H432,Propiedades!B:B,Propiedades!A:A,"",0,1))</f>
        <v/>
      </c>
      <c r="E432" s="14" t="str">
        <f t="shared" si="2"/>
        <v/>
      </c>
      <c r="F432" s="14" t="str">
        <f t="shared" si="3"/>
        <v/>
      </c>
      <c r="G432" s="15" t="str">
        <f t="shared" si="8"/>
        <v/>
      </c>
      <c r="H432" s="15" t="str">
        <f t="shared" si="9"/>
        <v/>
      </c>
      <c r="I432" s="16" t="str">
        <f t="shared" si="10"/>
        <v/>
      </c>
      <c r="J432" s="17"/>
      <c r="K432" s="14" t="str">
        <f t="array" ref="K432">IF(OR(H432="",H432="Selecciona.."),"",XLOOKUP(H432,Propiedades!B:B,Propiedades!C:C,"",0,1))</f>
        <v/>
      </c>
    </row>
    <row r="433">
      <c r="A433" s="14" t="str">
        <f t="shared" si="1"/>
        <v/>
      </c>
      <c r="B433" s="14" t="str">
        <f t="array" ref="B433">IF(OR(G433="",G433="Selecciona.."),"",XLOOKUP(G433,Productos!E:E,Productos!A:A,"",0,1))</f>
        <v/>
      </c>
      <c r="C433" s="14" t="str">
        <f t="array" ref="C433">IF(B433="","",SUMIF(Implementos!B:B,XLOOKUP(B433,Productos!A:A,Productos!F:F,"",0,1),Implementos!A:A))</f>
        <v/>
      </c>
      <c r="D433" s="14" t="str">
        <f t="array" ref="D433">IF(OR(H433="",H433="Selecciona.."),"",XLOOKUP(H433,Propiedades!B:B,Propiedades!A:A,"",0,1))</f>
        <v/>
      </c>
      <c r="E433" s="14" t="str">
        <f t="shared" si="2"/>
        <v/>
      </c>
      <c r="F433" s="14" t="str">
        <f t="shared" si="3"/>
        <v/>
      </c>
      <c r="G433" s="15" t="str">
        <f t="shared" si="8"/>
        <v/>
      </c>
      <c r="H433" s="15" t="str">
        <f t="shared" si="9"/>
        <v/>
      </c>
      <c r="I433" s="16" t="str">
        <f t="shared" si="10"/>
        <v/>
      </c>
      <c r="J433" s="17"/>
      <c r="K433" s="14" t="str">
        <f t="array" ref="K433">IF(OR(H433="",H433="Selecciona.."),"",XLOOKUP(H433,Propiedades!B:B,Propiedades!C:C,"",0,1))</f>
        <v/>
      </c>
    </row>
    <row r="434">
      <c r="A434" s="14" t="str">
        <f t="shared" si="1"/>
        <v/>
      </c>
      <c r="B434" s="14" t="str">
        <f t="array" ref="B434">IF(OR(G434="",G434="Selecciona.."),"",XLOOKUP(G434,Productos!E:E,Productos!A:A,"",0,1))</f>
        <v/>
      </c>
      <c r="C434" s="14" t="str">
        <f t="array" ref="C434">IF(B434="","",SUMIF(Implementos!B:B,XLOOKUP(B434,Productos!A:A,Productos!F:F,"",0,1),Implementos!A:A))</f>
        <v/>
      </c>
      <c r="D434" s="14" t="str">
        <f t="array" ref="D434">IF(OR(H434="",H434="Selecciona.."),"",XLOOKUP(H434,Propiedades!B:B,Propiedades!A:A,"",0,1))</f>
        <v/>
      </c>
      <c r="E434" s="14" t="str">
        <f t="shared" si="2"/>
        <v/>
      </c>
      <c r="F434" s="14" t="str">
        <f t="shared" si="3"/>
        <v/>
      </c>
      <c r="G434" s="15" t="str">
        <f t="shared" si="8"/>
        <v/>
      </c>
      <c r="H434" s="15" t="str">
        <f t="shared" si="9"/>
        <v/>
      </c>
      <c r="I434" s="16" t="str">
        <f t="shared" si="10"/>
        <v/>
      </c>
      <c r="J434" s="17"/>
      <c r="K434" s="14" t="str">
        <f t="array" ref="K434">IF(OR(H434="",H434="Selecciona.."),"",XLOOKUP(H434,Propiedades!B:B,Propiedades!C:C,"",0,1))</f>
        <v/>
      </c>
    </row>
    <row r="435">
      <c r="A435" s="14" t="str">
        <f t="shared" si="1"/>
        <v/>
      </c>
      <c r="B435" s="14" t="str">
        <f t="array" ref="B435">IF(OR(G435="",G435="Selecciona.."),"",XLOOKUP(G435,Productos!E:E,Productos!A:A,"",0,1))</f>
        <v/>
      </c>
      <c r="C435" s="14" t="str">
        <f t="array" ref="C435">IF(B435="","",SUMIF(Implementos!B:B,XLOOKUP(B435,Productos!A:A,Productos!F:F,"",0,1),Implementos!A:A))</f>
        <v/>
      </c>
      <c r="D435" s="14" t="str">
        <f t="array" ref="D435">IF(OR(H435="",H435="Selecciona.."),"",XLOOKUP(H435,Propiedades!B:B,Propiedades!A:A,"",0,1))</f>
        <v/>
      </c>
      <c r="E435" s="14" t="str">
        <f t="shared" si="2"/>
        <v/>
      </c>
      <c r="F435" s="14" t="str">
        <f t="shared" si="3"/>
        <v/>
      </c>
      <c r="G435" s="15" t="str">
        <f t="shared" si="8"/>
        <v/>
      </c>
      <c r="H435" s="15" t="str">
        <f t="shared" si="9"/>
        <v/>
      </c>
      <c r="I435" s="16" t="str">
        <f t="shared" si="10"/>
        <v/>
      </c>
      <c r="J435" s="17"/>
      <c r="K435" s="14" t="str">
        <f t="array" ref="K435">IF(OR(H435="",H435="Selecciona.."),"",XLOOKUP(H435,Propiedades!B:B,Propiedades!C:C,"",0,1))</f>
        <v/>
      </c>
    </row>
    <row r="436">
      <c r="A436" s="14" t="str">
        <f t="shared" si="1"/>
        <v/>
      </c>
      <c r="B436" s="14" t="str">
        <f t="array" ref="B436">IF(OR(G436="",G436="Selecciona.."),"",XLOOKUP(G436,Productos!E:E,Productos!A:A,"",0,1))</f>
        <v/>
      </c>
      <c r="C436" s="14" t="str">
        <f t="array" ref="C436">IF(B436="","",SUMIF(Implementos!B:B,XLOOKUP(B436,Productos!A:A,Productos!F:F,"",0,1),Implementos!A:A))</f>
        <v/>
      </c>
      <c r="D436" s="14" t="str">
        <f t="array" ref="D436">IF(OR(H436="",H436="Selecciona.."),"",XLOOKUP(H436,Propiedades!B:B,Propiedades!A:A,"",0,1))</f>
        <v/>
      </c>
      <c r="E436" s="14" t="str">
        <f t="shared" si="2"/>
        <v/>
      </c>
      <c r="F436" s="14" t="str">
        <f t="shared" si="3"/>
        <v/>
      </c>
      <c r="G436" s="15" t="str">
        <f t="shared" si="8"/>
        <v/>
      </c>
      <c r="H436" s="15" t="str">
        <f t="shared" si="9"/>
        <v/>
      </c>
      <c r="I436" s="16" t="str">
        <f t="shared" si="10"/>
        <v/>
      </c>
      <c r="J436" s="17"/>
      <c r="K436" s="14" t="str">
        <f t="array" ref="K436">IF(OR(H436="",H436="Selecciona.."),"",XLOOKUP(H436,Propiedades!B:B,Propiedades!C:C,"",0,1))</f>
        <v/>
      </c>
    </row>
    <row r="437">
      <c r="A437" s="14" t="str">
        <f t="shared" si="1"/>
        <v/>
      </c>
      <c r="B437" s="14" t="str">
        <f t="array" ref="B437">IF(OR(G437="",G437="Selecciona.."),"",XLOOKUP(G437,Productos!E:E,Productos!A:A,"",0,1))</f>
        <v/>
      </c>
      <c r="C437" s="14" t="str">
        <f t="array" ref="C437">IF(B437="","",SUMIF(Implementos!B:B,XLOOKUP(B437,Productos!A:A,Productos!F:F,"",0,1),Implementos!A:A))</f>
        <v/>
      </c>
      <c r="D437" s="14" t="str">
        <f t="array" ref="D437">IF(OR(H437="",H437="Selecciona.."),"",XLOOKUP(H437,Propiedades!B:B,Propiedades!A:A,"",0,1))</f>
        <v/>
      </c>
      <c r="E437" s="14" t="str">
        <f t="shared" si="2"/>
        <v/>
      </c>
      <c r="F437" s="14" t="str">
        <f t="shared" si="3"/>
        <v/>
      </c>
      <c r="G437" s="15" t="str">
        <f t="shared" si="8"/>
        <v/>
      </c>
      <c r="H437" s="15" t="str">
        <f t="shared" si="9"/>
        <v/>
      </c>
      <c r="I437" s="16" t="str">
        <f t="shared" si="10"/>
        <v/>
      </c>
      <c r="J437" s="17"/>
      <c r="K437" s="14" t="str">
        <f t="array" ref="K437">IF(OR(H437="",H437="Selecciona.."),"",XLOOKUP(H437,Propiedades!B:B,Propiedades!C:C,"",0,1))</f>
        <v/>
      </c>
    </row>
    <row r="438">
      <c r="A438" s="14" t="str">
        <f t="shared" si="1"/>
        <v/>
      </c>
      <c r="B438" s="14" t="str">
        <f t="array" ref="B438">IF(OR(G438="",G438="Selecciona.."),"",XLOOKUP(G438,Productos!E:E,Productos!A:A,"",0,1))</f>
        <v/>
      </c>
      <c r="C438" s="14" t="str">
        <f t="array" ref="C438">IF(B438="","",SUMIF(Implementos!B:B,XLOOKUP(B438,Productos!A:A,Productos!F:F,"",0,1),Implementos!A:A))</f>
        <v/>
      </c>
      <c r="D438" s="14" t="str">
        <f t="array" ref="D438">IF(OR(H438="",H438="Selecciona.."),"",XLOOKUP(H438,Propiedades!B:B,Propiedades!A:A,"",0,1))</f>
        <v/>
      </c>
      <c r="E438" s="14" t="str">
        <f t="shared" si="2"/>
        <v/>
      </c>
      <c r="F438" s="14" t="str">
        <f t="shared" si="3"/>
        <v/>
      </c>
      <c r="G438" s="15" t="str">
        <f t="shared" si="8"/>
        <v/>
      </c>
      <c r="H438" s="15" t="str">
        <f t="shared" si="9"/>
        <v/>
      </c>
      <c r="I438" s="16" t="str">
        <f t="shared" si="10"/>
        <v/>
      </c>
      <c r="J438" s="17"/>
      <c r="K438" s="14" t="str">
        <f t="array" ref="K438">IF(OR(H438="",H438="Selecciona.."),"",XLOOKUP(H438,Propiedades!B:B,Propiedades!C:C,"",0,1))</f>
        <v/>
      </c>
    </row>
    <row r="439">
      <c r="A439" s="14" t="str">
        <f t="shared" si="1"/>
        <v/>
      </c>
      <c r="B439" s="14" t="str">
        <f t="array" ref="B439">IF(OR(G439="",G439="Selecciona.."),"",XLOOKUP(G439,Productos!E:E,Productos!A:A,"",0,1))</f>
        <v/>
      </c>
      <c r="C439" s="14" t="str">
        <f t="array" ref="C439">IF(B439="","",SUMIF(Implementos!B:B,XLOOKUP(B439,Productos!A:A,Productos!F:F,"",0,1),Implementos!A:A))</f>
        <v/>
      </c>
      <c r="D439" s="14" t="str">
        <f t="array" ref="D439">IF(OR(H439="",H439="Selecciona.."),"",XLOOKUP(H439,Propiedades!B:B,Propiedades!A:A,"",0,1))</f>
        <v/>
      </c>
      <c r="E439" s="14" t="str">
        <f t="shared" si="2"/>
        <v/>
      </c>
      <c r="F439" s="14" t="str">
        <f t="shared" si="3"/>
        <v/>
      </c>
      <c r="G439" s="15" t="str">
        <f t="shared" si="8"/>
        <v/>
      </c>
      <c r="H439" s="15" t="str">
        <f t="shared" si="9"/>
        <v/>
      </c>
      <c r="I439" s="16" t="str">
        <f t="shared" si="10"/>
        <v/>
      </c>
      <c r="J439" s="17"/>
      <c r="K439" s="14" t="str">
        <f t="array" ref="K439">IF(OR(H439="",H439="Selecciona.."),"",XLOOKUP(H439,Propiedades!B:B,Propiedades!C:C,"",0,1))</f>
        <v/>
      </c>
    </row>
    <row r="440">
      <c r="A440" s="14" t="str">
        <f t="shared" si="1"/>
        <v/>
      </c>
      <c r="B440" s="14" t="str">
        <f t="array" ref="B440">IF(OR(G440="",G440="Selecciona.."),"",XLOOKUP(G440,Productos!E:E,Productos!A:A,"",0,1))</f>
        <v/>
      </c>
      <c r="C440" s="14" t="str">
        <f t="array" ref="C440">IF(B440="","",SUMIF(Implementos!B:B,XLOOKUP(B440,Productos!A:A,Productos!F:F,"",0,1),Implementos!A:A))</f>
        <v/>
      </c>
      <c r="D440" s="14" t="str">
        <f t="array" ref="D440">IF(OR(H440="",H440="Selecciona.."),"",XLOOKUP(H440,Propiedades!B:B,Propiedades!A:A,"",0,1))</f>
        <v/>
      </c>
      <c r="E440" s="14" t="str">
        <f t="shared" si="2"/>
        <v/>
      </c>
      <c r="F440" s="14" t="str">
        <f t="shared" si="3"/>
        <v/>
      </c>
      <c r="G440" s="15" t="str">
        <f t="shared" si="8"/>
        <v/>
      </c>
      <c r="H440" s="15" t="str">
        <f t="shared" si="9"/>
        <v/>
      </c>
      <c r="I440" s="16" t="str">
        <f t="shared" si="10"/>
        <v/>
      </c>
      <c r="J440" s="17"/>
      <c r="K440" s="14" t="str">
        <f t="array" ref="K440">IF(OR(H440="",H440="Selecciona.."),"",XLOOKUP(H440,Propiedades!B:B,Propiedades!C:C,"",0,1))</f>
        <v/>
      </c>
    </row>
    <row r="441">
      <c r="A441" s="14" t="str">
        <f t="shared" si="1"/>
        <v/>
      </c>
      <c r="B441" s="14" t="str">
        <f t="array" ref="B441">IF(OR(G441="",G441="Selecciona.."),"",XLOOKUP(G441,Productos!E:E,Productos!A:A,"",0,1))</f>
        <v/>
      </c>
      <c r="C441" s="14" t="str">
        <f t="array" ref="C441">IF(B441="","",SUMIF(Implementos!B:B,XLOOKUP(B441,Productos!A:A,Productos!F:F,"",0,1),Implementos!A:A))</f>
        <v/>
      </c>
      <c r="D441" s="14" t="str">
        <f t="array" ref="D441">IF(OR(H441="",H441="Selecciona.."),"",XLOOKUP(H441,Propiedades!B:B,Propiedades!A:A,"",0,1))</f>
        <v/>
      </c>
      <c r="E441" s="14" t="str">
        <f t="shared" si="2"/>
        <v/>
      </c>
      <c r="F441" s="14" t="str">
        <f t="shared" si="3"/>
        <v/>
      </c>
      <c r="G441" s="15" t="str">
        <f t="shared" si="8"/>
        <v/>
      </c>
      <c r="H441" s="15" t="str">
        <f t="shared" si="9"/>
        <v/>
      </c>
      <c r="I441" s="16" t="str">
        <f t="shared" si="10"/>
        <v/>
      </c>
      <c r="J441" s="17"/>
      <c r="K441" s="14" t="str">
        <f t="array" ref="K441">IF(OR(H441="",H441="Selecciona.."),"",XLOOKUP(H441,Propiedades!B:B,Propiedades!C:C,"",0,1))</f>
        <v/>
      </c>
    </row>
    <row r="442">
      <c r="A442" s="14" t="str">
        <f t="shared" si="1"/>
        <v/>
      </c>
      <c r="B442" s="14" t="str">
        <f t="array" ref="B442">IF(OR(G442="",G442="Selecciona.."),"",XLOOKUP(G442,Productos!E:E,Productos!A:A,"",0,1))</f>
        <v/>
      </c>
      <c r="C442" s="14" t="str">
        <f t="array" ref="C442">IF(B442="","",SUMIF(Implementos!B:B,XLOOKUP(B442,Productos!A:A,Productos!F:F,"",0,1),Implementos!A:A))</f>
        <v/>
      </c>
      <c r="D442" s="14" t="str">
        <f t="array" ref="D442">IF(OR(H442="",H442="Selecciona.."),"",XLOOKUP(H442,Propiedades!B:B,Propiedades!A:A,"",0,1))</f>
        <v/>
      </c>
      <c r="E442" s="14" t="str">
        <f t="shared" si="2"/>
        <v/>
      </c>
      <c r="F442" s="14" t="str">
        <f t="shared" si="3"/>
        <v/>
      </c>
      <c r="G442" s="15" t="str">
        <f t="shared" si="8"/>
        <v/>
      </c>
      <c r="H442" s="15" t="str">
        <f t="shared" si="9"/>
        <v/>
      </c>
      <c r="I442" s="16" t="str">
        <f t="shared" si="10"/>
        <v/>
      </c>
      <c r="J442" s="17"/>
      <c r="K442" s="14" t="str">
        <f t="array" ref="K442">IF(OR(H442="",H442="Selecciona.."),"",XLOOKUP(H442,Propiedades!B:B,Propiedades!C:C,"",0,1))</f>
        <v/>
      </c>
    </row>
    <row r="443">
      <c r="A443" s="14" t="str">
        <f t="shared" si="1"/>
        <v/>
      </c>
      <c r="B443" s="14" t="str">
        <f t="array" ref="B443">IF(OR(G443="",G443="Selecciona.."),"",XLOOKUP(G443,Productos!E:E,Productos!A:A,"",0,1))</f>
        <v/>
      </c>
      <c r="C443" s="14" t="str">
        <f t="array" ref="C443">IF(B443="","",SUMIF(Implementos!B:B,XLOOKUP(B443,Productos!A:A,Productos!F:F,"",0,1),Implementos!A:A))</f>
        <v/>
      </c>
      <c r="D443" s="14" t="str">
        <f t="array" ref="D443">IF(OR(H443="",H443="Selecciona.."),"",XLOOKUP(H443,Propiedades!B:B,Propiedades!A:A,"",0,1))</f>
        <v/>
      </c>
      <c r="E443" s="14" t="str">
        <f t="shared" si="2"/>
        <v/>
      </c>
      <c r="F443" s="14" t="str">
        <f t="shared" si="3"/>
        <v/>
      </c>
      <c r="G443" s="15" t="str">
        <f t="shared" si="8"/>
        <v/>
      </c>
      <c r="H443" s="15" t="str">
        <f t="shared" si="9"/>
        <v/>
      </c>
      <c r="I443" s="16" t="str">
        <f t="shared" si="10"/>
        <v/>
      </c>
      <c r="J443" s="17"/>
      <c r="K443" s="14" t="str">
        <f t="array" ref="K443">IF(OR(H443="",H443="Selecciona.."),"",XLOOKUP(H443,Propiedades!B:B,Propiedades!C:C,"",0,1))</f>
        <v/>
      </c>
    </row>
    <row r="444">
      <c r="A444" s="14" t="str">
        <f t="shared" si="1"/>
        <v/>
      </c>
      <c r="B444" s="14" t="str">
        <f t="array" ref="B444">IF(OR(G444="",G444="Selecciona.."),"",XLOOKUP(G444,Productos!E:E,Productos!A:A,"",0,1))</f>
        <v/>
      </c>
      <c r="C444" s="14" t="str">
        <f t="array" ref="C444">IF(B444="","",SUMIF(Implementos!B:B,XLOOKUP(B444,Productos!A:A,Productos!F:F,"",0,1),Implementos!A:A))</f>
        <v/>
      </c>
      <c r="D444" s="14" t="str">
        <f t="array" ref="D444">IF(OR(H444="",H444="Selecciona.."),"",XLOOKUP(H444,Propiedades!B:B,Propiedades!A:A,"",0,1))</f>
        <v/>
      </c>
      <c r="E444" s="14" t="str">
        <f t="shared" si="2"/>
        <v/>
      </c>
      <c r="F444" s="14" t="str">
        <f t="shared" si="3"/>
        <v/>
      </c>
      <c r="G444" s="15" t="str">
        <f t="shared" si="8"/>
        <v/>
      </c>
      <c r="H444" s="15" t="str">
        <f t="shared" si="9"/>
        <v/>
      </c>
      <c r="I444" s="16" t="str">
        <f t="shared" si="10"/>
        <v/>
      </c>
      <c r="J444" s="17"/>
      <c r="K444" s="14" t="str">
        <f t="array" ref="K444">IF(OR(H444="",H444="Selecciona.."),"",XLOOKUP(H444,Propiedades!B:B,Propiedades!C:C,"",0,1))</f>
        <v/>
      </c>
    </row>
    <row r="445">
      <c r="A445" s="14" t="str">
        <f t="shared" si="1"/>
        <v/>
      </c>
      <c r="B445" s="14" t="str">
        <f t="array" ref="B445">IF(OR(G445="",G445="Selecciona.."),"",XLOOKUP(G445,Productos!E:E,Productos!A:A,"",0,1))</f>
        <v/>
      </c>
      <c r="C445" s="14" t="str">
        <f t="array" ref="C445">IF(B445="","",SUMIF(Implementos!B:B,XLOOKUP(B445,Productos!A:A,Productos!F:F,"",0,1),Implementos!A:A))</f>
        <v/>
      </c>
      <c r="D445" s="14" t="str">
        <f t="array" ref="D445">IF(OR(H445="",H445="Selecciona.."),"",XLOOKUP(H445,Propiedades!B:B,Propiedades!A:A,"",0,1))</f>
        <v/>
      </c>
      <c r="E445" s="14" t="str">
        <f t="shared" si="2"/>
        <v/>
      </c>
      <c r="F445" s="14" t="str">
        <f t="shared" si="3"/>
        <v/>
      </c>
      <c r="G445" s="15" t="str">
        <f t="shared" si="8"/>
        <v/>
      </c>
      <c r="H445" s="15" t="str">
        <f t="shared" si="9"/>
        <v/>
      </c>
      <c r="I445" s="16" t="str">
        <f t="shared" si="10"/>
        <v/>
      </c>
      <c r="J445" s="17"/>
      <c r="K445" s="14" t="str">
        <f t="array" ref="K445">IF(OR(H445="",H445="Selecciona.."),"",XLOOKUP(H445,Propiedades!B:B,Propiedades!C:C,"",0,1))</f>
        <v/>
      </c>
    </row>
    <row r="446">
      <c r="A446" s="14" t="str">
        <f t="shared" si="1"/>
        <v/>
      </c>
      <c r="B446" s="14" t="str">
        <f t="array" ref="B446">IF(OR(G446="",G446="Selecciona.."),"",XLOOKUP(G446,Productos!E:E,Productos!A:A,"",0,1))</f>
        <v/>
      </c>
      <c r="C446" s="14" t="str">
        <f t="array" ref="C446">IF(B446="","",SUMIF(Implementos!B:B,XLOOKUP(B446,Productos!A:A,Productos!F:F,"",0,1),Implementos!A:A))</f>
        <v/>
      </c>
      <c r="D446" s="14" t="str">
        <f t="array" ref="D446">IF(OR(H446="",H446="Selecciona.."),"",XLOOKUP(H446,Propiedades!B:B,Propiedades!A:A,"",0,1))</f>
        <v/>
      </c>
      <c r="E446" s="14" t="str">
        <f t="shared" si="2"/>
        <v/>
      </c>
      <c r="F446" s="14" t="str">
        <f t="shared" si="3"/>
        <v/>
      </c>
      <c r="G446" s="15" t="str">
        <f t="shared" si="8"/>
        <v/>
      </c>
      <c r="H446" s="15" t="str">
        <f t="shared" si="9"/>
        <v/>
      </c>
      <c r="I446" s="16" t="str">
        <f t="shared" si="10"/>
        <v/>
      </c>
      <c r="J446" s="17"/>
      <c r="K446" s="14" t="str">
        <f t="array" ref="K446">IF(OR(H446="",H446="Selecciona.."),"",XLOOKUP(H446,Propiedades!B:B,Propiedades!C:C,"",0,1))</f>
        <v/>
      </c>
    </row>
    <row r="447">
      <c r="A447" s="14" t="str">
        <f t="shared" si="1"/>
        <v/>
      </c>
      <c r="B447" s="14" t="str">
        <f t="array" ref="B447">IF(OR(G447="",G447="Selecciona.."),"",XLOOKUP(G447,Productos!E:E,Productos!A:A,"",0,1))</f>
        <v/>
      </c>
      <c r="C447" s="14" t="str">
        <f t="array" ref="C447">IF(B447="","",SUMIF(Implementos!B:B,XLOOKUP(B447,Productos!A:A,Productos!F:F,"",0,1),Implementos!A:A))</f>
        <v/>
      </c>
      <c r="D447" s="14" t="str">
        <f t="array" ref="D447">IF(OR(H447="",H447="Selecciona.."),"",XLOOKUP(H447,Propiedades!B:B,Propiedades!A:A,"",0,1))</f>
        <v/>
      </c>
      <c r="E447" s="14" t="str">
        <f t="shared" si="2"/>
        <v/>
      </c>
      <c r="F447" s="14" t="str">
        <f t="shared" si="3"/>
        <v/>
      </c>
      <c r="G447" s="15" t="str">
        <f t="shared" si="8"/>
        <v/>
      </c>
      <c r="H447" s="15" t="str">
        <f t="shared" si="9"/>
        <v/>
      </c>
      <c r="I447" s="16" t="str">
        <f t="shared" si="10"/>
        <v/>
      </c>
      <c r="J447" s="17"/>
      <c r="K447" s="14" t="str">
        <f t="array" ref="K447">IF(OR(H447="",H447="Selecciona.."),"",XLOOKUP(H447,Propiedades!B:B,Propiedades!C:C,"",0,1))</f>
        <v/>
      </c>
    </row>
    <row r="448">
      <c r="A448" s="14" t="str">
        <f t="shared" si="1"/>
        <v/>
      </c>
      <c r="B448" s="14" t="str">
        <f t="array" ref="B448">IF(OR(G448="",G448="Selecciona.."),"",XLOOKUP(G448,Productos!E:E,Productos!A:A,"",0,1))</f>
        <v/>
      </c>
      <c r="C448" s="14" t="str">
        <f t="array" ref="C448">IF(B448="","",SUMIF(Implementos!B:B,XLOOKUP(B448,Productos!A:A,Productos!F:F,"",0,1),Implementos!A:A))</f>
        <v/>
      </c>
      <c r="D448" s="14" t="str">
        <f t="array" ref="D448">IF(OR(H448="",H448="Selecciona.."),"",XLOOKUP(H448,Propiedades!B:B,Propiedades!A:A,"",0,1))</f>
        <v/>
      </c>
      <c r="E448" s="14" t="str">
        <f t="shared" si="2"/>
        <v/>
      </c>
      <c r="F448" s="14" t="str">
        <f t="shared" si="3"/>
        <v/>
      </c>
      <c r="G448" s="15" t="str">
        <f t="shared" si="8"/>
        <v/>
      </c>
      <c r="H448" s="15" t="str">
        <f t="shared" si="9"/>
        <v/>
      </c>
      <c r="I448" s="16" t="str">
        <f t="shared" si="10"/>
        <v/>
      </c>
      <c r="J448" s="17"/>
      <c r="K448" s="14" t="str">
        <f t="array" ref="K448">IF(OR(H448="",H448="Selecciona.."),"",XLOOKUP(H448,Propiedades!B:B,Propiedades!C:C,"",0,1))</f>
        <v/>
      </c>
    </row>
    <row r="449">
      <c r="A449" s="14" t="str">
        <f t="shared" si="1"/>
        <v/>
      </c>
      <c r="B449" s="14" t="str">
        <f t="array" ref="B449">IF(OR(G449="",G449="Selecciona.."),"",XLOOKUP(G449,Productos!E:E,Productos!A:A,"",0,1))</f>
        <v/>
      </c>
      <c r="C449" s="14" t="str">
        <f t="array" ref="C449">IF(B449="","",SUMIF(Implementos!B:B,XLOOKUP(B449,Productos!A:A,Productos!F:F,"",0,1),Implementos!A:A))</f>
        <v/>
      </c>
      <c r="D449" s="14" t="str">
        <f t="array" ref="D449">IF(OR(H449="",H449="Selecciona.."),"",XLOOKUP(H449,Propiedades!B:B,Propiedades!A:A,"",0,1))</f>
        <v/>
      </c>
      <c r="E449" s="14" t="str">
        <f t="shared" si="2"/>
        <v/>
      </c>
      <c r="F449" s="14" t="str">
        <f t="shared" si="3"/>
        <v/>
      </c>
      <c r="G449" s="15" t="str">
        <f t="shared" si="8"/>
        <v/>
      </c>
      <c r="H449" s="15" t="str">
        <f t="shared" si="9"/>
        <v/>
      </c>
      <c r="I449" s="16" t="str">
        <f t="shared" si="10"/>
        <v/>
      </c>
      <c r="J449" s="17"/>
      <c r="K449" s="14" t="str">
        <f t="array" ref="K449">IF(OR(H449="",H449="Selecciona.."),"",XLOOKUP(H449,Propiedades!B:B,Propiedades!C:C,"",0,1))</f>
        <v/>
      </c>
    </row>
    <row r="450">
      <c r="A450" s="14" t="str">
        <f t="shared" si="1"/>
        <v/>
      </c>
      <c r="B450" s="14" t="str">
        <f t="array" ref="B450">IF(OR(G450="",G450="Selecciona.."),"",XLOOKUP(G450,Productos!E:E,Productos!A:A,"",0,1))</f>
        <v/>
      </c>
      <c r="C450" s="14" t="str">
        <f t="array" ref="C450">IF(B450="","",SUMIF(Implementos!B:B,XLOOKUP(B450,Productos!A:A,Productos!F:F,"",0,1),Implementos!A:A))</f>
        <v/>
      </c>
      <c r="D450" s="14" t="str">
        <f t="array" ref="D450">IF(OR(H450="",H450="Selecciona.."),"",XLOOKUP(H450,Propiedades!B:B,Propiedades!A:A,"",0,1))</f>
        <v/>
      </c>
      <c r="E450" s="14" t="str">
        <f t="shared" si="2"/>
        <v/>
      </c>
      <c r="F450" s="14" t="str">
        <f t="shared" si="3"/>
        <v/>
      </c>
      <c r="G450" s="15" t="str">
        <f t="shared" si="8"/>
        <v/>
      </c>
      <c r="H450" s="15" t="str">
        <f t="shared" si="9"/>
        <v/>
      </c>
      <c r="I450" s="16" t="str">
        <f t="shared" si="10"/>
        <v/>
      </c>
      <c r="J450" s="17"/>
      <c r="K450" s="14" t="str">
        <f t="array" ref="K450">IF(OR(H450="",H450="Selecciona.."),"",XLOOKUP(H450,Propiedades!B:B,Propiedades!C:C,"",0,1))</f>
        <v/>
      </c>
    </row>
    <row r="451">
      <c r="A451" s="14" t="str">
        <f t="shared" si="1"/>
        <v/>
      </c>
      <c r="B451" s="14" t="str">
        <f t="array" ref="B451">IF(OR(G451="",G451="Selecciona.."),"",XLOOKUP(G451,Productos!E:E,Productos!A:A,"",0,1))</f>
        <v/>
      </c>
      <c r="C451" s="14" t="str">
        <f t="array" ref="C451">IF(B451="","",SUMIF(Implementos!B:B,XLOOKUP(B451,Productos!A:A,Productos!F:F,"",0,1),Implementos!A:A))</f>
        <v/>
      </c>
      <c r="D451" s="14" t="str">
        <f t="array" ref="D451">IF(OR(H451="",H451="Selecciona.."),"",XLOOKUP(H451,Propiedades!B:B,Propiedades!A:A,"",0,1))</f>
        <v/>
      </c>
      <c r="E451" s="14" t="str">
        <f t="shared" si="2"/>
        <v/>
      </c>
      <c r="F451" s="14" t="str">
        <f t="shared" si="3"/>
        <v/>
      </c>
      <c r="G451" s="15" t="str">
        <f t="shared" si="8"/>
        <v/>
      </c>
      <c r="H451" s="15" t="str">
        <f t="shared" si="9"/>
        <v/>
      </c>
      <c r="I451" s="16" t="str">
        <f t="shared" si="10"/>
        <v/>
      </c>
      <c r="J451" s="17"/>
      <c r="K451" s="14" t="str">
        <f t="array" ref="K451">IF(OR(H451="",H451="Selecciona.."),"",XLOOKUP(H451,Propiedades!B:B,Propiedades!C:C,"",0,1))</f>
        <v/>
      </c>
    </row>
    <row r="452">
      <c r="A452" s="14" t="str">
        <f t="shared" si="1"/>
        <v/>
      </c>
      <c r="B452" s="14" t="str">
        <f t="array" ref="B452">IF(OR(G452="",G452="Selecciona.."),"",XLOOKUP(G452,Productos!E:E,Productos!A:A,"",0,1))</f>
        <v/>
      </c>
      <c r="C452" s="14" t="str">
        <f t="array" ref="C452">IF(B452="","",SUMIF(Implementos!B:B,XLOOKUP(B452,Productos!A:A,Productos!F:F,"",0,1),Implementos!A:A))</f>
        <v/>
      </c>
      <c r="D452" s="14" t="str">
        <f t="array" ref="D452">IF(OR(H452="",H452="Selecciona.."),"",XLOOKUP(H452,Propiedades!B:B,Propiedades!A:A,"",0,1))</f>
        <v/>
      </c>
      <c r="E452" s="14" t="str">
        <f t="shared" si="2"/>
        <v/>
      </c>
      <c r="F452" s="14" t="str">
        <f t="shared" si="3"/>
        <v/>
      </c>
      <c r="G452" s="15" t="str">
        <f t="shared" si="8"/>
        <v/>
      </c>
      <c r="H452" s="15" t="str">
        <f t="shared" si="9"/>
        <v/>
      </c>
      <c r="I452" s="16" t="str">
        <f t="shared" si="10"/>
        <v/>
      </c>
      <c r="J452" s="17"/>
      <c r="K452" s="14" t="str">
        <f t="array" ref="K452">IF(OR(H452="",H452="Selecciona.."),"",XLOOKUP(H452,Propiedades!B:B,Propiedades!C:C,"",0,1))</f>
        <v/>
      </c>
    </row>
    <row r="453">
      <c r="A453" s="14" t="str">
        <f t="shared" si="1"/>
        <v/>
      </c>
      <c r="B453" s="14" t="str">
        <f t="array" ref="B453">IF(OR(G453="",G453="Selecciona.."),"",XLOOKUP(G453,Productos!E:E,Productos!A:A,"",0,1))</f>
        <v/>
      </c>
      <c r="C453" s="14" t="str">
        <f t="array" ref="C453">IF(B453="","",SUMIF(Implementos!B:B,XLOOKUP(B453,Productos!A:A,Productos!F:F,"",0,1),Implementos!A:A))</f>
        <v/>
      </c>
      <c r="D453" s="14" t="str">
        <f t="array" ref="D453">IF(OR(H453="",H453="Selecciona.."),"",XLOOKUP(H453,Propiedades!B:B,Propiedades!A:A,"",0,1))</f>
        <v/>
      </c>
      <c r="E453" s="14" t="str">
        <f t="shared" si="2"/>
        <v/>
      </c>
      <c r="F453" s="14" t="str">
        <f t="shared" si="3"/>
        <v/>
      </c>
      <c r="G453" s="15" t="str">
        <f t="shared" si="8"/>
        <v/>
      </c>
      <c r="H453" s="15" t="str">
        <f t="shared" si="9"/>
        <v/>
      </c>
      <c r="I453" s="16" t="str">
        <f t="shared" si="10"/>
        <v/>
      </c>
      <c r="J453" s="17"/>
      <c r="K453" s="14" t="str">
        <f t="array" ref="K453">IF(OR(H453="",H453="Selecciona.."),"",XLOOKUP(H453,Propiedades!B:B,Propiedades!C:C,"",0,1))</f>
        <v/>
      </c>
    </row>
    <row r="454">
      <c r="A454" s="14" t="str">
        <f t="shared" si="1"/>
        <v/>
      </c>
      <c r="B454" s="14" t="str">
        <f t="array" ref="B454">IF(OR(G454="",G454="Selecciona.."),"",XLOOKUP(G454,Productos!E:E,Productos!A:A,"",0,1))</f>
        <v/>
      </c>
      <c r="C454" s="14" t="str">
        <f t="array" ref="C454">IF(B454="","",SUMIF(Implementos!B:B,XLOOKUP(B454,Productos!A:A,Productos!F:F,"",0,1),Implementos!A:A))</f>
        <v/>
      </c>
      <c r="D454" s="14" t="str">
        <f t="array" ref="D454">IF(OR(H454="",H454="Selecciona.."),"",XLOOKUP(H454,Propiedades!B:B,Propiedades!A:A,"",0,1))</f>
        <v/>
      </c>
      <c r="E454" s="14" t="str">
        <f t="shared" si="2"/>
        <v/>
      </c>
      <c r="F454" s="14" t="str">
        <f t="shared" si="3"/>
        <v/>
      </c>
      <c r="G454" s="15" t="str">
        <f t="shared" si="8"/>
        <v/>
      </c>
      <c r="H454" s="15" t="str">
        <f t="shared" si="9"/>
        <v/>
      </c>
      <c r="I454" s="16" t="str">
        <f t="shared" si="10"/>
        <v/>
      </c>
      <c r="J454" s="17"/>
      <c r="K454" s="14" t="str">
        <f t="array" ref="K454">IF(OR(H454="",H454="Selecciona.."),"",XLOOKUP(H454,Propiedades!B:B,Propiedades!C:C,"",0,1))</f>
        <v/>
      </c>
    </row>
    <row r="455">
      <c r="A455" s="14" t="str">
        <f t="shared" si="1"/>
        <v/>
      </c>
      <c r="B455" s="14" t="str">
        <f t="array" ref="B455">IF(OR(G455="",G455="Selecciona.."),"",XLOOKUP(G455,Productos!E:E,Productos!A:A,"",0,1))</f>
        <v/>
      </c>
      <c r="C455" s="14" t="str">
        <f t="array" ref="C455">IF(B455="","",SUMIF(Implementos!B:B,XLOOKUP(B455,Productos!A:A,Productos!F:F,"",0,1),Implementos!A:A))</f>
        <v/>
      </c>
      <c r="D455" s="14" t="str">
        <f t="array" ref="D455">IF(OR(H455="",H455="Selecciona.."),"",XLOOKUP(H455,Propiedades!B:B,Propiedades!A:A,"",0,1))</f>
        <v/>
      </c>
      <c r="E455" s="14" t="str">
        <f t="shared" si="2"/>
        <v/>
      </c>
      <c r="F455" s="14" t="str">
        <f t="shared" si="3"/>
        <v/>
      </c>
      <c r="G455" s="15" t="str">
        <f t="shared" si="8"/>
        <v/>
      </c>
      <c r="H455" s="15" t="str">
        <f t="shared" si="9"/>
        <v/>
      </c>
      <c r="I455" s="16" t="str">
        <f t="shared" si="10"/>
        <v/>
      </c>
      <c r="J455" s="17"/>
      <c r="K455" s="14" t="str">
        <f t="array" ref="K455">IF(OR(H455="",H455="Selecciona.."),"",XLOOKUP(H455,Propiedades!B:B,Propiedades!C:C,"",0,1))</f>
        <v/>
      </c>
    </row>
    <row r="456">
      <c r="A456" s="14" t="str">
        <f t="shared" si="1"/>
        <v/>
      </c>
      <c r="B456" s="14" t="str">
        <f t="array" ref="B456">IF(OR(G456="",G456="Selecciona.."),"",XLOOKUP(G456,Productos!E:E,Productos!A:A,"",0,1))</f>
        <v/>
      </c>
      <c r="C456" s="14" t="str">
        <f t="array" ref="C456">IF(B456="","",SUMIF(Implementos!B:B,XLOOKUP(B456,Productos!A:A,Productos!F:F,"",0,1),Implementos!A:A))</f>
        <v/>
      </c>
      <c r="D456" s="14" t="str">
        <f t="array" ref="D456">IF(OR(H456="",H456="Selecciona.."),"",XLOOKUP(H456,Propiedades!B:B,Propiedades!A:A,"",0,1))</f>
        <v/>
      </c>
      <c r="E456" s="14" t="str">
        <f t="shared" si="2"/>
        <v/>
      </c>
      <c r="F456" s="14" t="str">
        <f t="shared" si="3"/>
        <v/>
      </c>
      <c r="G456" s="15" t="str">
        <f t="shared" si="8"/>
        <v/>
      </c>
      <c r="H456" s="15" t="str">
        <f t="shared" si="9"/>
        <v/>
      </c>
      <c r="I456" s="16" t="str">
        <f t="shared" si="10"/>
        <v/>
      </c>
      <c r="J456" s="17"/>
      <c r="K456" s="14" t="str">
        <f t="array" ref="K456">IF(OR(H456="",H456="Selecciona.."),"",XLOOKUP(H456,Propiedades!B:B,Propiedades!C:C,"",0,1))</f>
        <v/>
      </c>
    </row>
    <row r="457">
      <c r="A457" s="14" t="str">
        <f t="shared" si="1"/>
        <v/>
      </c>
      <c r="B457" s="14" t="str">
        <f t="array" ref="B457">IF(OR(G457="",G457="Selecciona.."),"",XLOOKUP(G457,Productos!E:E,Productos!A:A,"",0,1))</f>
        <v/>
      </c>
      <c r="C457" s="14" t="str">
        <f t="array" ref="C457">IF(B457="","",SUMIF(Implementos!B:B,XLOOKUP(B457,Productos!A:A,Productos!F:F,"",0,1),Implementos!A:A))</f>
        <v/>
      </c>
      <c r="D457" s="14" t="str">
        <f t="array" ref="D457">IF(OR(H457="",H457="Selecciona.."),"",XLOOKUP(H457,Propiedades!B:B,Propiedades!A:A,"",0,1))</f>
        <v/>
      </c>
      <c r="E457" s="14" t="str">
        <f t="shared" si="2"/>
        <v/>
      </c>
      <c r="F457" s="14" t="str">
        <f t="shared" si="3"/>
        <v/>
      </c>
      <c r="G457" s="15" t="str">
        <f t="shared" si="8"/>
        <v/>
      </c>
      <c r="H457" s="15" t="str">
        <f t="shared" si="9"/>
        <v/>
      </c>
      <c r="I457" s="16" t="str">
        <f t="shared" si="10"/>
        <v/>
      </c>
      <c r="J457" s="17"/>
      <c r="K457" s="14" t="str">
        <f t="array" ref="K457">IF(OR(H457="",H457="Selecciona.."),"",XLOOKUP(H457,Propiedades!B:B,Propiedades!C:C,"",0,1))</f>
        <v/>
      </c>
    </row>
    <row r="458">
      <c r="A458" s="14" t="str">
        <f t="shared" si="1"/>
        <v/>
      </c>
      <c r="B458" s="14" t="str">
        <f t="array" ref="B458">IF(OR(G458="",G458="Selecciona.."),"",XLOOKUP(G458,Productos!E:E,Productos!A:A,"",0,1))</f>
        <v/>
      </c>
      <c r="C458" s="14" t="str">
        <f t="array" ref="C458">IF(B458="","",SUMIF(Implementos!B:B,XLOOKUP(B458,Productos!A:A,Productos!F:F,"",0,1),Implementos!A:A))</f>
        <v/>
      </c>
      <c r="D458" s="14" t="str">
        <f t="array" ref="D458">IF(OR(H458="",H458="Selecciona.."),"",XLOOKUP(H458,Propiedades!B:B,Propiedades!A:A,"",0,1))</f>
        <v/>
      </c>
      <c r="E458" s="14" t="str">
        <f t="shared" si="2"/>
        <v/>
      </c>
      <c r="F458" s="14" t="str">
        <f t="shared" si="3"/>
        <v/>
      </c>
      <c r="G458" s="15" t="str">
        <f t="shared" si="8"/>
        <v/>
      </c>
      <c r="H458" s="15" t="str">
        <f t="shared" si="9"/>
        <v/>
      </c>
      <c r="I458" s="16" t="str">
        <f t="shared" si="10"/>
        <v/>
      </c>
      <c r="J458" s="17"/>
      <c r="K458" s="14" t="str">
        <f t="array" ref="K458">IF(OR(H458="",H458="Selecciona.."),"",XLOOKUP(H458,Propiedades!B:B,Propiedades!C:C,"",0,1))</f>
        <v/>
      </c>
    </row>
    <row r="459">
      <c r="A459" s="14" t="str">
        <f t="shared" si="1"/>
        <v/>
      </c>
      <c r="B459" s="14" t="str">
        <f t="array" ref="B459">IF(OR(G459="",G459="Selecciona.."),"",XLOOKUP(G459,Productos!E:E,Productos!A:A,"",0,1))</f>
        <v/>
      </c>
      <c r="C459" s="14" t="str">
        <f t="array" ref="C459">IF(B459="","",SUMIF(Implementos!B:B,XLOOKUP(B459,Productos!A:A,Productos!F:F,"",0,1),Implementos!A:A))</f>
        <v/>
      </c>
      <c r="D459" s="14" t="str">
        <f t="array" ref="D459">IF(OR(H459="",H459="Selecciona.."),"",XLOOKUP(H459,Propiedades!B:B,Propiedades!A:A,"",0,1))</f>
        <v/>
      </c>
      <c r="E459" s="14" t="str">
        <f t="shared" si="2"/>
        <v/>
      </c>
      <c r="F459" s="14" t="str">
        <f t="shared" si="3"/>
        <v/>
      </c>
      <c r="G459" s="15" t="str">
        <f t="shared" si="8"/>
        <v/>
      </c>
      <c r="H459" s="15" t="str">
        <f t="shared" si="9"/>
        <v/>
      </c>
      <c r="I459" s="16" t="str">
        <f t="shared" si="10"/>
        <v/>
      </c>
      <c r="J459" s="17"/>
      <c r="K459" s="14" t="str">
        <f t="array" ref="K459">IF(OR(H459="",H459="Selecciona.."),"",XLOOKUP(H459,Propiedades!B:B,Propiedades!C:C,"",0,1))</f>
        <v/>
      </c>
    </row>
    <row r="460">
      <c r="A460" s="14" t="str">
        <f t="shared" si="1"/>
        <v/>
      </c>
      <c r="B460" s="14" t="str">
        <f t="array" ref="B460">IF(OR(G460="",G460="Selecciona.."),"",XLOOKUP(G460,Productos!E:E,Productos!A:A,"",0,1))</f>
        <v/>
      </c>
      <c r="C460" s="14" t="str">
        <f t="array" ref="C460">IF(B460="","",SUMIF(Implementos!B:B,XLOOKUP(B460,Productos!A:A,Productos!F:F,"",0,1),Implementos!A:A))</f>
        <v/>
      </c>
      <c r="D460" s="14" t="str">
        <f t="array" ref="D460">IF(OR(H460="",H460="Selecciona.."),"",XLOOKUP(H460,Propiedades!B:B,Propiedades!A:A,"",0,1))</f>
        <v/>
      </c>
      <c r="E460" s="14" t="str">
        <f t="shared" si="2"/>
        <v/>
      </c>
      <c r="F460" s="14" t="str">
        <f t="shared" si="3"/>
        <v/>
      </c>
      <c r="G460" s="15" t="str">
        <f t="shared" si="8"/>
        <v/>
      </c>
      <c r="H460" s="15" t="str">
        <f t="shared" si="9"/>
        <v/>
      </c>
      <c r="I460" s="16" t="str">
        <f t="shared" si="10"/>
        <v/>
      </c>
      <c r="J460" s="17"/>
      <c r="K460" s="14" t="str">
        <f t="array" ref="K460">IF(OR(H460="",H460="Selecciona.."),"",XLOOKUP(H460,Propiedades!B:B,Propiedades!C:C,"",0,1))</f>
        <v/>
      </c>
    </row>
    <row r="461">
      <c r="A461" s="14" t="str">
        <f t="shared" si="1"/>
        <v/>
      </c>
      <c r="B461" s="14" t="str">
        <f t="array" ref="B461">IF(OR(G461="",G461="Selecciona.."),"",XLOOKUP(G461,Productos!E:E,Productos!A:A,"",0,1))</f>
        <v/>
      </c>
      <c r="C461" s="14" t="str">
        <f t="array" ref="C461">IF(B461="","",SUMIF(Implementos!B:B,XLOOKUP(B461,Productos!A:A,Productos!F:F,"",0,1),Implementos!A:A))</f>
        <v/>
      </c>
      <c r="D461" s="14" t="str">
        <f t="array" ref="D461">IF(OR(H461="",H461="Selecciona.."),"",XLOOKUP(H461,Propiedades!B:B,Propiedades!A:A,"",0,1))</f>
        <v/>
      </c>
      <c r="E461" s="14" t="str">
        <f t="shared" si="2"/>
        <v/>
      </c>
      <c r="F461" s="14" t="str">
        <f t="shared" si="3"/>
        <v/>
      </c>
      <c r="G461" s="15" t="str">
        <f t="shared" si="8"/>
        <v/>
      </c>
      <c r="H461" s="15" t="str">
        <f t="shared" si="9"/>
        <v/>
      </c>
      <c r="I461" s="16" t="str">
        <f t="shared" si="10"/>
        <v/>
      </c>
      <c r="J461" s="17"/>
      <c r="K461" s="14" t="str">
        <f t="array" ref="K461">IF(OR(H461="",H461="Selecciona.."),"",XLOOKUP(H461,Propiedades!B:B,Propiedades!C:C,"",0,1))</f>
        <v/>
      </c>
    </row>
    <row r="462">
      <c r="A462" s="14" t="str">
        <f t="shared" si="1"/>
        <v/>
      </c>
      <c r="B462" s="14" t="str">
        <f t="array" ref="B462">IF(OR(G462="",G462="Selecciona.."),"",XLOOKUP(G462,Productos!E:E,Productos!A:A,"",0,1))</f>
        <v/>
      </c>
      <c r="C462" s="14" t="str">
        <f t="array" ref="C462">IF(B462="","",SUMIF(Implementos!B:B,XLOOKUP(B462,Productos!A:A,Productos!F:F,"",0,1),Implementos!A:A))</f>
        <v/>
      </c>
      <c r="D462" s="14" t="str">
        <f t="array" ref="D462">IF(OR(H462="",H462="Selecciona.."),"",XLOOKUP(H462,Propiedades!B:B,Propiedades!A:A,"",0,1))</f>
        <v/>
      </c>
      <c r="E462" s="14" t="str">
        <f t="shared" si="2"/>
        <v/>
      </c>
      <c r="F462" s="14" t="str">
        <f t="shared" si="3"/>
        <v/>
      </c>
      <c r="G462" s="15" t="str">
        <f t="shared" si="8"/>
        <v/>
      </c>
      <c r="H462" s="15" t="str">
        <f t="shared" si="9"/>
        <v/>
      </c>
      <c r="I462" s="16" t="str">
        <f t="shared" si="10"/>
        <v/>
      </c>
      <c r="J462" s="17"/>
      <c r="K462" s="14" t="str">
        <f t="array" ref="K462">IF(OR(H462="",H462="Selecciona.."),"",XLOOKUP(H462,Propiedades!B:B,Propiedades!C:C,"",0,1))</f>
        <v/>
      </c>
    </row>
    <row r="463">
      <c r="A463" s="14" t="str">
        <f t="shared" si="1"/>
        <v/>
      </c>
      <c r="B463" s="14" t="str">
        <f t="array" ref="B463">IF(OR(G463="",G463="Selecciona.."),"",XLOOKUP(G463,Productos!E:E,Productos!A:A,"",0,1))</f>
        <v/>
      </c>
      <c r="C463" s="14" t="str">
        <f t="array" ref="C463">IF(B463="","",SUMIF(Implementos!B:B,XLOOKUP(B463,Productos!A:A,Productos!F:F,"",0,1),Implementos!A:A))</f>
        <v/>
      </c>
      <c r="D463" s="14" t="str">
        <f t="array" ref="D463">IF(OR(H463="",H463="Selecciona.."),"",XLOOKUP(H463,Propiedades!B:B,Propiedades!A:A,"",0,1))</f>
        <v/>
      </c>
      <c r="E463" s="14" t="str">
        <f t="shared" si="2"/>
        <v/>
      </c>
      <c r="F463" s="14" t="str">
        <f t="shared" si="3"/>
        <v/>
      </c>
      <c r="G463" s="15" t="str">
        <f t="shared" si="8"/>
        <v/>
      </c>
      <c r="H463" s="15" t="str">
        <f t="shared" si="9"/>
        <v/>
      </c>
      <c r="I463" s="16" t="str">
        <f t="shared" si="10"/>
        <v/>
      </c>
      <c r="J463" s="17"/>
      <c r="K463" s="14" t="str">
        <f t="array" ref="K463">IF(OR(H463="",H463="Selecciona.."),"",XLOOKUP(H463,Propiedades!B:B,Propiedades!C:C,"",0,1))</f>
        <v/>
      </c>
    </row>
    <row r="464">
      <c r="A464" s="14" t="str">
        <f t="shared" si="1"/>
        <v/>
      </c>
      <c r="B464" s="14" t="str">
        <f t="array" ref="B464">IF(OR(G464="",G464="Selecciona.."),"",XLOOKUP(G464,Productos!E:E,Productos!A:A,"",0,1))</f>
        <v/>
      </c>
      <c r="C464" s="14" t="str">
        <f t="array" ref="C464">IF(B464="","",SUMIF(Implementos!B:B,XLOOKUP(B464,Productos!A:A,Productos!F:F,"",0,1),Implementos!A:A))</f>
        <v/>
      </c>
      <c r="D464" s="14" t="str">
        <f t="array" ref="D464">IF(OR(H464="",H464="Selecciona.."),"",XLOOKUP(H464,Propiedades!B:B,Propiedades!A:A,"",0,1))</f>
        <v/>
      </c>
      <c r="E464" s="14" t="str">
        <f t="shared" si="2"/>
        <v/>
      </c>
      <c r="F464" s="14" t="str">
        <f t="shared" si="3"/>
        <v/>
      </c>
      <c r="G464" s="15" t="str">
        <f t="shared" si="8"/>
        <v/>
      </c>
      <c r="H464" s="15" t="str">
        <f t="shared" si="9"/>
        <v/>
      </c>
      <c r="I464" s="16" t="str">
        <f t="shared" si="10"/>
        <v/>
      </c>
      <c r="J464" s="17"/>
      <c r="K464" s="14" t="str">
        <f t="array" ref="K464">IF(OR(H464="",H464="Selecciona.."),"",XLOOKUP(H464,Propiedades!B:B,Propiedades!C:C,"",0,1))</f>
        <v/>
      </c>
    </row>
    <row r="465">
      <c r="A465" s="14" t="str">
        <f t="shared" si="1"/>
        <v/>
      </c>
      <c r="B465" s="14" t="str">
        <f t="array" ref="B465">IF(OR(G465="",G465="Selecciona.."),"",XLOOKUP(G465,Productos!E:E,Productos!A:A,"",0,1))</f>
        <v/>
      </c>
      <c r="C465" s="14" t="str">
        <f t="array" ref="C465">IF(B465="","",SUMIF(Implementos!B:B,XLOOKUP(B465,Productos!A:A,Productos!F:F,"",0,1),Implementos!A:A))</f>
        <v/>
      </c>
      <c r="D465" s="14" t="str">
        <f t="array" ref="D465">IF(OR(H465="",H465="Selecciona.."),"",XLOOKUP(H465,Propiedades!B:B,Propiedades!A:A,"",0,1))</f>
        <v/>
      </c>
      <c r="E465" s="14" t="str">
        <f t="shared" si="2"/>
        <v/>
      </c>
      <c r="F465" s="14" t="str">
        <f t="shared" si="3"/>
        <v/>
      </c>
      <c r="G465" s="15" t="str">
        <f t="shared" si="8"/>
        <v/>
      </c>
      <c r="H465" s="15" t="str">
        <f t="shared" si="9"/>
        <v/>
      </c>
      <c r="I465" s="16" t="str">
        <f t="shared" si="10"/>
        <v/>
      </c>
      <c r="J465" s="17"/>
      <c r="K465" s="14" t="str">
        <f t="array" ref="K465">IF(OR(H465="",H465="Selecciona.."),"",XLOOKUP(H465,Propiedades!B:B,Propiedades!C:C,"",0,1))</f>
        <v/>
      </c>
    </row>
    <row r="466">
      <c r="A466" s="14" t="str">
        <f t="shared" si="1"/>
        <v/>
      </c>
      <c r="B466" s="14" t="str">
        <f t="array" ref="B466">IF(OR(G466="",G466="Selecciona.."),"",XLOOKUP(G466,Productos!E:E,Productos!A:A,"",0,1))</f>
        <v/>
      </c>
      <c r="C466" s="14" t="str">
        <f t="array" ref="C466">IF(B466="","",SUMIF(Implementos!B:B,XLOOKUP(B466,Productos!A:A,Productos!F:F,"",0,1),Implementos!A:A))</f>
        <v/>
      </c>
      <c r="D466" s="14" t="str">
        <f t="array" ref="D466">IF(OR(H466="",H466="Selecciona.."),"",XLOOKUP(H466,Propiedades!B:B,Propiedades!A:A,"",0,1))</f>
        <v/>
      </c>
      <c r="E466" s="14" t="str">
        <f t="shared" si="2"/>
        <v/>
      </c>
      <c r="F466" s="14" t="str">
        <f t="shared" si="3"/>
        <v/>
      </c>
      <c r="G466" s="15" t="str">
        <f t="shared" si="8"/>
        <v/>
      </c>
      <c r="H466" s="15" t="str">
        <f t="shared" si="9"/>
        <v/>
      </c>
      <c r="I466" s="16" t="str">
        <f t="shared" si="10"/>
        <v/>
      </c>
      <c r="J466" s="17"/>
      <c r="K466" s="14" t="str">
        <f t="array" ref="K466">IF(OR(H466="",H466="Selecciona.."),"",XLOOKUP(H466,Propiedades!B:B,Propiedades!C:C,"",0,1))</f>
        <v/>
      </c>
    </row>
    <row r="467">
      <c r="A467" s="14" t="str">
        <f t="shared" si="1"/>
        <v/>
      </c>
      <c r="B467" s="14" t="str">
        <f t="array" ref="B467">IF(OR(G467="",G467="Selecciona.."),"",XLOOKUP(G467,Productos!E:E,Productos!A:A,"",0,1))</f>
        <v/>
      </c>
      <c r="C467" s="14" t="str">
        <f t="array" ref="C467">IF(B467="","",SUMIF(Implementos!B:B,XLOOKUP(B467,Productos!A:A,Productos!F:F,"",0,1),Implementos!A:A))</f>
        <v/>
      </c>
      <c r="D467" s="14" t="str">
        <f t="array" ref="D467">IF(OR(H467="",H467="Selecciona.."),"",XLOOKUP(H467,Propiedades!B:B,Propiedades!A:A,"",0,1))</f>
        <v/>
      </c>
      <c r="E467" s="14" t="str">
        <f t="shared" si="2"/>
        <v/>
      </c>
      <c r="F467" s="14" t="str">
        <f t="shared" si="3"/>
        <v/>
      </c>
      <c r="G467" s="15" t="str">
        <f t="shared" si="8"/>
        <v/>
      </c>
      <c r="H467" s="15" t="str">
        <f t="shared" si="9"/>
        <v/>
      </c>
      <c r="I467" s="16" t="str">
        <f t="shared" si="10"/>
        <v/>
      </c>
      <c r="J467" s="17"/>
      <c r="K467" s="14" t="str">
        <f t="array" ref="K467">IF(OR(H467="",H467="Selecciona.."),"",XLOOKUP(H467,Propiedades!B:B,Propiedades!C:C,"",0,1))</f>
        <v/>
      </c>
    </row>
    <row r="468">
      <c r="A468" s="14" t="str">
        <f t="shared" si="1"/>
        <v/>
      </c>
      <c r="B468" s="14" t="str">
        <f t="array" ref="B468">IF(OR(G468="",G468="Selecciona.."),"",XLOOKUP(G468,Productos!E:E,Productos!A:A,"",0,1))</f>
        <v/>
      </c>
      <c r="C468" s="14" t="str">
        <f t="array" ref="C468">IF(B468="","",SUMIF(Implementos!B:B,XLOOKUP(B468,Productos!A:A,Productos!F:F,"",0,1),Implementos!A:A))</f>
        <v/>
      </c>
      <c r="D468" s="14" t="str">
        <f t="array" ref="D468">IF(OR(H468="",H468="Selecciona.."),"",XLOOKUP(H468,Propiedades!B:B,Propiedades!A:A,"",0,1))</f>
        <v/>
      </c>
      <c r="E468" s="14" t="str">
        <f t="shared" si="2"/>
        <v/>
      </c>
      <c r="F468" s="14" t="str">
        <f t="shared" si="3"/>
        <v/>
      </c>
      <c r="G468" s="15" t="str">
        <f t="shared" si="8"/>
        <v/>
      </c>
      <c r="H468" s="15" t="str">
        <f t="shared" si="9"/>
        <v/>
      </c>
      <c r="I468" s="16" t="str">
        <f t="shared" si="10"/>
        <v/>
      </c>
      <c r="J468" s="17"/>
      <c r="K468" s="14" t="str">
        <f t="array" ref="K468">IF(OR(H468="",H468="Selecciona.."),"",XLOOKUP(H468,Propiedades!B:B,Propiedades!C:C,"",0,1))</f>
        <v/>
      </c>
    </row>
    <row r="469">
      <c r="A469" s="14" t="str">
        <f t="shared" si="1"/>
        <v/>
      </c>
      <c r="B469" s="14" t="str">
        <f t="array" ref="B469">IF(OR(G469="",G469="Selecciona.."),"",XLOOKUP(G469,Productos!E:E,Productos!A:A,"",0,1))</f>
        <v/>
      </c>
      <c r="C469" s="14" t="str">
        <f t="array" ref="C469">IF(B469="","",SUMIF(Implementos!B:B,XLOOKUP(B469,Productos!A:A,Productos!F:F,"",0,1),Implementos!A:A))</f>
        <v/>
      </c>
      <c r="D469" s="14" t="str">
        <f t="array" ref="D469">IF(OR(H469="",H469="Selecciona.."),"",XLOOKUP(H469,Propiedades!B:B,Propiedades!A:A,"",0,1))</f>
        <v/>
      </c>
      <c r="E469" s="14" t="str">
        <f t="shared" si="2"/>
        <v/>
      </c>
      <c r="F469" s="14" t="str">
        <f t="shared" si="3"/>
        <v/>
      </c>
      <c r="G469" s="15" t="str">
        <f t="shared" si="8"/>
        <v/>
      </c>
      <c r="H469" s="15" t="str">
        <f t="shared" si="9"/>
        <v/>
      </c>
      <c r="I469" s="16" t="str">
        <f t="shared" si="10"/>
        <v/>
      </c>
      <c r="J469" s="17"/>
      <c r="K469" s="14" t="str">
        <f t="array" ref="K469">IF(OR(H469="",H469="Selecciona.."),"",XLOOKUP(H469,Propiedades!B:B,Propiedades!C:C,"",0,1))</f>
        <v/>
      </c>
    </row>
    <row r="470">
      <c r="A470" s="14" t="str">
        <f t="shared" si="1"/>
        <v/>
      </c>
      <c r="B470" s="14" t="str">
        <f t="array" ref="B470">IF(OR(G470="",G470="Selecciona.."),"",XLOOKUP(G470,Productos!E:E,Productos!A:A,"",0,1))</f>
        <v/>
      </c>
      <c r="C470" s="14" t="str">
        <f t="array" ref="C470">IF(B470="","",SUMIF(Implementos!B:B,XLOOKUP(B470,Productos!A:A,Productos!F:F,"",0,1),Implementos!A:A))</f>
        <v/>
      </c>
      <c r="D470" s="14" t="str">
        <f t="array" ref="D470">IF(OR(H470="",H470="Selecciona.."),"",XLOOKUP(H470,Propiedades!B:B,Propiedades!A:A,"",0,1))</f>
        <v/>
      </c>
      <c r="E470" s="14" t="str">
        <f t="shared" si="2"/>
        <v/>
      </c>
      <c r="F470" s="14" t="str">
        <f t="shared" si="3"/>
        <v/>
      </c>
      <c r="G470" s="15" t="str">
        <f t="shared" si="8"/>
        <v/>
      </c>
      <c r="H470" s="15" t="str">
        <f t="shared" si="9"/>
        <v/>
      </c>
      <c r="I470" s="16" t="str">
        <f t="shared" si="10"/>
        <v/>
      </c>
      <c r="J470" s="17"/>
      <c r="K470" s="14" t="str">
        <f t="array" ref="K470">IF(OR(H470="",H470="Selecciona.."),"",XLOOKUP(H470,Propiedades!B:B,Propiedades!C:C,"",0,1))</f>
        <v/>
      </c>
    </row>
    <row r="471">
      <c r="A471" s="14" t="str">
        <f t="shared" si="1"/>
        <v/>
      </c>
      <c r="B471" s="14" t="str">
        <f t="array" ref="B471">IF(OR(G471="",G471="Selecciona.."),"",XLOOKUP(G471,Productos!E:E,Productos!A:A,"",0,1))</f>
        <v/>
      </c>
      <c r="C471" s="14" t="str">
        <f t="array" ref="C471">IF(B471="","",SUMIF(Implementos!B:B,XLOOKUP(B471,Productos!A:A,Productos!F:F,"",0,1),Implementos!A:A))</f>
        <v/>
      </c>
      <c r="D471" s="14" t="str">
        <f t="array" ref="D471">IF(OR(H471="",H471="Selecciona.."),"",XLOOKUP(H471,Propiedades!B:B,Propiedades!A:A,"",0,1))</f>
        <v/>
      </c>
      <c r="E471" s="14" t="str">
        <f t="shared" si="2"/>
        <v/>
      </c>
      <c r="F471" s="14" t="str">
        <f t="shared" si="3"/>
        <v/>
      </c>
      <c r="G471" s="15" t="str">
        <f t="shared" si="8"/>
        <v/>
      </c>
      <c r="H471" s="15" t="str">
        <f t="shared" si="9"/>
        <v/>
      </c>
      <c r="I471" s="16" t="str">
        <f t="shared" si="10"/>
        <v/>
      </c>
      <c r="J471" s="17"/>
      <c r="K471" s="14" t="str">
        <f t="array" ref="K471">IF(OR(H471="",H471="Selecciona.."),"",XLOOKUP(H471,Propiedades!B:B,Propiedades!C:C,"",0,1))</f>
        <v/>
      </c>
    </row>
    <row r="472">
      <c r="A472" s="14" t="str">
        <f t="shared" si="1"/>
        <v/>
      </c>
      <c r="B472" s="14" t="str">
        <f t="array" ref="B472">IF(OR(G472="",G472="Selecciona.."),"",XLOOKUP(G472,Productos!E:E,Productos!A:A,"",0,1))</f>
        <v/>
      </c>
      <c r="C472" s="14" t="str">
        <f t="array" ref="C472">IF(B472="","",SUMIF(Implementos!B:B,XLOOKUP(B472,Productos!A:A,Productos!F:F,"",0,1),Implementos!A:A))</f>
        <v/>
      </c>
      <c r="D472" s="14" t="str">
        <f t="array" ref="D472">IF(OR(H472="",H472="Selecciona.."),"",XLOOKUP(H472,Propiedades!B:B,Propiedades!A:A,"",0,1))</f>
        <v/>
      </c>
      <c r="E472" s="14" t="str">
        <f t="shared" si="2"/>
        <v/>
      </c>
      <c r="F472" s="14" t="str">
        <f t="shared" si="3"/>
        <v/>
      </c>
      <c r="G472" s="15" t="str">
        <f t="shared" si="8"/>
        <v/>
      </c>
      <c r="H472" s="15" t="str">
        <f t="shared" si="9"/>
        <v/>
      </c>
      <c r="I472" s="16" t="str">
        <f t="shared" si="10"/>
        <v/>
      </c>
      <c r="J472" s="17"/>
      <c r="K472" s="14" t="str">
        <f t="array" ref="K472">IF(OR(H472="",H472="Selecciona.."),"",XLOOKUP(H472,Propiedades!B:B,Propiedades!C:C,"",0,1))</f>
        <v/>
      </c>
    </row>
    <row r="473">
      <c r="A473" s="14" t="str">
        <f t="shared" si="1"/>
        <v/>
      </c>
      <c r="B473" s="14" t="str">
        <f t="array" ref="B473">IF(OR(G473="",G473="Selecciona.."),"",XLOOKUP(G473,Productos!E:E,Productos!A:A,"",0,1))</f>
        <v/>
      </c>
      <c r="C473" s="14" t="str">
        <f t="array" ref="C473">IF(B473="","",SUMIF(Implementos!B:B,XLOOKUP(B473,Productos!A:A,Productos!F:F,"",0,1),Implementos!A:A))</f>
        <v/>
      </c>
      <c r="D473" s="14" t="str">
        <f t="array" ref="D473">IF(OR(H473="",H473="Selecciona.."),"",XLOOKUP(H473,Propiedades!B:B,Propiedades!A:A,"",0,1))</f>
        <v/>
      </c>
      <c r="E473" s="14" t="str">
        <f t="shared" si="2"/>
        <v/>
      </c>
      <c r="F473" s="14" t="str">
        <f t="shared" si="3"/>
        <v/>
      </c>
      <c r="G473" s="15" t="str">
        <f t="shared" si="8"/>
        <v/>
      </c>
      <c r="H473" s="15" t="str">
        <f t="shared" si="9"/>
        <v/>
      </c>
      <c r="I473" s="16" t="str">
        <f t="shared" si="10"/>
        <v/>
      </c>
      <c r="J473" s="17"/>
      <c r="K473" s="14" t="str">
        <f t="array" ref="K473">IF(OR(H473="",H473="Selecciona.."),"",XLOOKUP(H473,Propiedades!B:B,Propiedades!C:C,"",0,1))</f>
        <v/>
      </c>
    </row>
    <row r="474">
      <c r="A474" s="14" t="str">
        <f t="shared" si="1"/>
        <v/>
      </c>
      <c r="B474" s="14" t="str">
        <f t="array" ref="B474">IF(OR(G474="",G474="Selecciona.."),"",XLOOKUP(G474,Productos!E:E,Productos!A:A,"",0,1))</f>
        <v/>
      </c>
      <c r="C474" s="14" t="str">
        <f t="array" ref="C474">IF(B474="","",SUMIF(Implementos!B:B,XLOOKUP(B474,Productos!A:A,Productos!F:F,"",0,1),Implementos!A:A))</f>
        <v/>
      </c>
      <c r="D474" s="14" t="str">
        <f t="array" ref="D474">IF(OR(H474="",H474="Selecciona.."),"",XLOOKUP(H474,Propiedades!B:B,Propiedades!A:A,"",0,1))</f>
        <v/>
      </c>
      <c r="E474" s="14" t="str">
        <f t="shared" si="2"/>
        <v/>
      </c>
      <c r="F474" s="14" t="str">
        <f t="shared" si="3"/>
        <v/>
      </c>
      <c r="G474" s="15" t="str">
        <f t="shared" si="8"/>
        <v/>
      </c>
      <c r="H474" s="15" t="str">
        <f t="shared" si="9"/>
        <v/>
      </c>
      <c r="I474" s="16" t="str">
        <f t="shared" si="10"/>
        <v/>
      </c>
      <c r="J474" s="17"/>
      <c r="K474" s="14" t="str">
        <f t="array" ref="K474">IF(OR(H474="",H474="Selecciona.."),"",XLOOKUP(H474,Propiedades!B:B,Propiedades!C:C,"",0,1))</f>
        <v/>
      </c>
    </row>
    <row r="475">
      <c r="A475" s="14" t="str">
        <f t="shared" si="1"/>
        <v/>
      </c>
      <c r="B475" s="14" t="str">
        <f t="array" ref="B475">IF(OR(G475="",G475="Selecciona.."),"",XLOOKUP(G475,Productos!E:E,Productos!A:A,"",0,1))</f>
        <v/>
      </c>
      <c r="C475" s="14" t="str">
        <f t="array" ref="C475">IF(B475="","",SUMIF(Implementos!B:B,XLOOKUP(B475,Productos!A:A,Productos!F:F,"",0,1),Implementos!A:A))</f>
        <v/>
      </c>
      <c r="D475" s="14" t="str">
        <f t="array" ref="D475">IF(OR(H475="",H475="Selecciona.."),"",XLOOKUP(H475,Propiedades!B:B,Propiedades!A:A,"",0,1))</f>
        <v/>
      </c>
      <c r="E475" s="14" t="str">
        <f t="shared" si="2"/>
        <v/>
      </c>
      <c r="F475" s="14" t="str">
        <f t="shared" si="3"/>
        <v/>
      </c>
      <c r="G475" s="15" t="str">
        <f t="shared" si="8"/>
        <v/>
      </c>
      <c r="H475" s="15" t="str">
        <f t="shared" si="9"/>
        <v/>
      </c>
      <c r="I475" s="16" t="str">
        <f t="shared" si="10"/>
        <v/>
      </c>
      <c r="J475" s="17"/>
      <c r="K475" s="14" t="str">
        <f t="array" ref="K475">IF(OR(H475="",H475="Selecciona.."),"",XLOOKUP(H475,Propiedades!B:B,Propiedades!C:C,"",0,1))</f>
        <v/>
      </c>
    </row>
    <row r="476">
      <c r="A476" s="14" t="str">
        <f t="shared" si="1"/>
        <v/>
      </c>
      <c r="B476" s="14" t="str">
        <f t="array" ref="B476">IF(OR(G476="",G476="Selecciona.."),"",XLOOKUP(G476,Productos!E:E,Productos!A:A,"",0,1))</f>
        <v/>
      </c>
      <c r="C476" s="14" t="str">
        <f t="array" ref="C476">IF(B476="","",SUMIF(Implementos!B:B,XLOOKUP(B476,Productos!A:A,Productos!F:F,"",0,1),Implementos!A:A))</f>
        <v/>
      </c>
      <c r="D476" s="14" t="str">
        <f t="array" ref="D476">IF(OR(H476="",H476="Selecciona.."),"",XLOOKUP(H476,Propiedades!B:B,Propiedades!A:A,"",0,1))</f>
        <v/>
      </c>
      <c r="E476" s="14" t="str">
        <f t="shared" si="2"/>
        <v/>
      </c>
      <c r="F476" s="14" t="str">
        <f t="shared" si="3"/>
        <v/>
      </c>
      <c r="G476" s="15" t="str">
        <f t="shared" si="8"/>
        <v/>
      </c>
      <c r="H476" s="15" t="str">
        <f t="shared" si="9"/>
        <v/>
      </c>
      <c r="I476" s="16" t="str">
        <f t="shared" si="10"/>
        <v/>
      </c>
      <c r="J476" s="17"/>
      <c r="K476" s="14" t="str">
        <f t="array" ref="K476">IF(OR(H476="",H476="Selecciona.."),"",XLOOKUP(H476,Propiedades!B:B,Propiedades!C:C,"",0,1))</f>
        <v/>
      </c>
    </row>
    <row r="477">
      <c r="A477" s="14" t="str">
        <f t="shared" si="1"/>
        <v/>
      </c>
      <c r="B477" s="14" t="str">
        <f t="array" ref="B477">IF(OR(G477="",G477="Selecciona.."),"",XLOOKUP(G477,Productos!E:E,Productos!A:A,"",0,1))</f>
        <v/>
      </c>
      <c r="C477" s="14" t="str">
        <f t="array" ref="C477">IF(B477="","",SUMIF(Implementos!B:B,XLOOKUP(B477,Productos!A:A,Productos!F:F,"",0,1),Implementos!A:A))</f>
        <v/>
      </c>
      <c r="D477" s="14" t="str">
        <f t="array" ref="D477">IF(OR(H477="",H477="Selecciona.."),"",XLOOKUP(H477,Propiedades!B:B,Propiedades!A:A,"",0,1))</f>
        <v/>
      </c>
      <c r="E477" s="14" t="str">
        <f t="shared" si="2"/>
        <v/>
      </c>
      <c r="F477" s="14" t="str">
        <f t="shared" si="3"/>
        <v/>
      </c>
      <c r="G477" s="15" t="str">
        <f t="shared" si="8"/>
        <v/>
      </c>
      <c r="H477" s="15" t="str">
        <f t="shared" si="9"/>
        <v/>
      </c>
      <c r="I477" s="16" t="str">
        <f t="shared" si="10"/>
        <v/>
      </c>
      <c r="J477" s="17"/>
      <c r="K477" s="14" t="str">
        <f t="array" ref="K477">IF(OR(H477="",H477="Selecciona.."),"",XLOOKUP(H477,Propiedades!B:B,Propiedades!C:C,"",0,1))</f>
        <v/>
      </c>
    </row>
    <row r="478">
      <c r="A478" s="14" t="str">
        <f t="shared" si="1"/>
        <v/>
      </c>
      <c r="B478" s="14" t="str">
        <f t="array" ref="B478">IF(OR(G478="",G478="Selecciona.."),"",XLOOKUP(G478,Productos!E:E,Productos!A:A,"",0,1))</f>
        <v/>
      </c>
      <c r="C478" s="14" t="str">
        <f t="array" ref="C478">IF(B478="","",SUMIF(Implementos!B:B,XLOOKUP(B478,Productos!A:A,Productos!F:F,"",0,1),Implementos!A:A))</f>
        <v/>
      </c>
      <c r="D478" s="14" t="str">
        <f t="array" ref="D478">IF(OR(H478="",H478="Selecciona.."),"",XLOOKUP(H478,Propiedades!B:B,Propiedades!A:A,"",0,1))</f>
        <v/>
      </c>
      <c r="E478" s="14" t="str">
        <f t="shared" si="2"/>
        <v/>
      </c>
      <c r="F478" s="14" t="str">
        <f t="shared" si="3"/>
        <v/>
      </c>
      <c r="G478" s="15" t="str">
        <f t="shared" si="8"/>
        <v/>
      </c>
      <c r="H478" s="15" t="str">
        <f t="shared" si="9"/>
        <v/>
      </c>
      <c r="I478" s="16" t="str">
        <f t="shared" si="10"/>
        <v/>
      </c>
      <c r="J478" s="17"/>
      <c r="K478" s="14" t="str">
        <f t="array" ref="K478">IF(OR(H478="",H478="Selecciona.."),"",XLOOKUP(H478,Propiedades!B:B,Propiedades!C:C,"",0,1))</f>
        <v/>
      </c>
    </row>
    <row r="479">
      <c r="A479" s="14" t="str">
        <f t="shared" si="1"/>
        <v/>
      </c>
      <c r="B479" s="14" t="str">
        <f t="array" ref="B479">IF(OR(G479="",G479="Selecciona.."),"",XLOOKUP(G479,Productos!E:E,Productos!A:A,"",0,1))</f>
        <v/>
      </c>
      <c r="C479" s="14" t="str">
        <f t="array" ref="C479">IF(B479="","",SUMIF(Implementos!B:B,XLOOKUP(B479,Productos!A:A,Productos!F:F,"",0,1),Implementos!A:A))</f>
        <v/>
      </c>
      <c r="D479" s="14" t="str">
        <f t="array" ref="D479">IF(OR(H479="",H479="Selecciona.."),"",XLOOKUP(H479,Propiedades!B:B,Propiedades!A:A,"",0,1))</f>
        <v/>
      </c>
      <c r="E479" s="14" t="str">
        <f t="shared" si="2"/>
        <v/>
      </c>
      <c r="F479" s="14" t="str">
        <f t="shared" si="3"/>
        <v/>
      </c>
      <c r="G479" s="15" t="str">
        <f t="shared" si="8"/>
        <v/>
      </c>
      <c r="H479" s="15" t="str">
        <f t="shared" si="9"/>
        <v/>
      </c>
      <c r="I479" s="16" t="str">
        <f t="shared" si="10"/>
        <v/>
      </c>
      <c r="J479" s="17"/>
      <c r="K479" s="14" t="str">
        <f t="array" ref="K479">IF(OR(H479="",H479="Selecciona.."),"",XLOOKUP(H479,Propiedades!B:B,Propiedades!C:C,"",0,1))</f>
        <v/>
      </c>
    </row>
    <row r="480">
      <c r="A480" s="14" t="str">
        <f t="shared" si="1"/>
        <v/>
      </c>
      <c r="B480" s="14" t="str">
        <f t="array" ref="B480">IF(OR(G480="",G480="Selecciona.."),"",XLOOKUP(G480,Productos!E:E,Productos!A:A,"",0,1))</f>
        <v/>
      </c>
      <c r="C480" s="14" t="str">
        <f t="array" ref="C480">IF(B480="","",SUMIF(Implementos!B:B,XLOOKUP(B480,Productos!A:A,Productos!F:F,"",0,1),Implementos!A:A))</f>
        <v/>
      </c>
      <c r="D480" s="14" t="str">
        <f t="array" ref="D480">IF(OR(H480="",H480="Selecciona.."),"",XLOOKUP(H480,Propiedades!B:B,Propiedades!A:A,"",0,1))</f>
        <v/>
      </c>
      <c r="E480" s="14" t="str">
        <f t="shared" si="2"/>
        <v/>
      </c>
      <c r="F480" s="14" t="str">
        <f t="shared" si="3"/>
        <v/>
      </c>
      <c r="G480" s="15" t="str">
        <f t="shared" si="8"/>
        <v/>
      </c>
      <c r="H480" s="15" t="str">
        <f t="shared" si="9"/>
        <v/>
      </c>
      <c r="I480" s="16" t="str">
        <f t="shared" si="10"/>
        <v/>
      </c>
      <c r="J480" s="17"/>
      <c r="K480" s="14" t="str">
        <f t="array" ref="K480">IF(OR(H480="",H480="Selecciona.."),"",XLOOKUP(H480,Propiedades!B:B,Propiedades!C:C,"",0,1))</f>
        <v/>
      </c>
    </row>
    <row r="481">
      <c r="A481" s="14" t="str">
        <f t="shared" si="1"/>
        <v/>
      </c>
      <c r="B481" s="14" t="str">
        <f t="array" ref="B481">IF(OR(G481="",G481="Selecciona.."),"",XLOOKUP(G481,Productos!E:E,Productos!A:A,"",0,1))</f>
        <v/>
      </c>
      <c r="C481" s="14" t="str">
        <f t="array" ref="C481">IF(B481="","",SUMIF(Implementos!B:B,XLOOKUP(B481,Productos!A:A,Productos!F:F,"",0,1),Implementos!A:A))</f>
        <v/>
      </c>
      <c r="D481" s="14" t="str">
        <f t="array" ref="D481">IF(OR(H481="",H481="Selecciona.."),"",XLOOKUP(H481,Propiedades!B:B,Propiedades!A:A,"",0,1))</f>
        <v/>
      </c>
      <c r="E481" s="14" t="str">
        <f t="shared" si="2"/>
        <v/>
      </c>
      <c r="F481" s="14" t="str">
        <f t="shared" si="3"/>
        <v/>
      </c>
      <c r="G481" s="15" t="str">
        <f t="shared" si="8"/>
        <v/>
      </c>
      <c r="H481" s="15" t="str">
        <f t="shared" si="9"/>
        <v/>
      </c>
      <c r="I481" s="16" t="str">
        <f t="shared" si="10"/>
        <v/>
      </c>
      <c r="J481" s="17"/>
      <c r="K481" s="14" t="str">
        <f t="array" ref="K481">IF(OR(H481="",H481="Selecciona.."),"",XLOOKUP(H481,Propiedades!B:B,Propiedades!C:C,"",0,1))</f>
        <v/>
      </c>
    </row>
    <row r="482">
      <c r="A482" s="14" t="str">
        <f t="shared" si="1"/>
        <v/>
      </c>
      <c r="B482" s="14" t="str">
        <f t="array" ref="B482">IF(OR(G482="",G482="Selecciona.."),"",XLOOKUP(G482,Productos!E:E,Productos!A:A,"",0,1))</f>
        <v/>
      </c>
      <c r="C482" s="14" t="str">
        <f t="array" ref="C482">IF(B482="","",SUMIF(Implementos!B:B,XLOOKUP(B482,Productos!A:A,Productos!F:F,"",0,1),Implementos!A:A))</f>
        <v/>
      </c>
      <c r="D482" s="14" t="str">
        <f t="array" ref="D482">IF(OR(H482="",H482="Selecciona.."),"",XLOOKUP(H482,Propiedades!B:B,Propiedades!A:A,"",0,1))</f>
        <v/>
      </c>
      <c r="E482" s="14" t="str">
        <f t="shared" si="2"/>
        <v/>
      </c>
      <c r="F482" s="14" t="str">
        <f t="shared" si="3"/>
        <v/>
      </c>
      <c r="G482" s="15" t="str">
        <f t="shared" si="8"/>
        <v/>
      </c>
      <c r="H482" s="15" t="str">
        <f t="shared" si="9"/>
        <v/>
      </c>
      <c r="I482" s="16" t="str">
        <f t="shared" si="10"/>
        <v/>
      </c>
      <c r="J482" s="17"/>
      <c r="K482" s="14" t="str">
        <f t="array" ref="K482">IF(OR(H482="",H482="Selecciona.."),"",XLOOKUP(H482,Propiedades!B:B,Propiedades!C:C,"",0,1))</f>
        <v/>
      </c>
    </row>
    <row r="483">
      <c r="A483" s="14" t="str">
        <f t="shared" si="1"/>
        <v/>
      </c>
      <c r="B483" s="14" t="str">
        <f t="array" ref="B483">IF(OR(G483="",G483="Selecciona.."),"",XLOOKUP(G483,Productos!E:E,Productos!A:A,"",0,1))</f>
        <v/>
      </c>
      <c r="C483" s="14" t="str">
        <f t="array" ref="C483">IF(B483="","",SUMIF(Implementos!B:B,XLOOKUP(B483,Productos!A:A,Productos!F:F,"",0,1),Implementos!A:A))</f>
        <v/>
      </c>
      <c r="D483" s="14" t="str">
        <f t="array" ref="D483">IF(OR(H483="",H483="Selecciona.."),"",XLOOKUP(H483,Propiedades!B:B,Propiedades!A:A,"",0,1))</f>
        <v/>
      </c>
      <c r="E483" s="14" t="str">
        <f t="shared" si="2"/>
        <v/>
      </c>
      <c r="F483" s="14" t="str">
        <f t="shared" si="3"/>
        <v/>
      </c>
      <c r="G483" s="15" t="str">
        <f t="shared" si="8"/>
        <v/>
      </c>
      <c r="H483" s="15" t="str">
        <f t="shared" si="9"/>
        <v/>
      </c>
      <c r="I483" s="16" t="str">
        <f t="shared" si="10"/>
        <v/>
      </c>
      <c r="J483" s="17"/>
      <c r="K483" s="14" t="str">
        <f t="array" ref="K483">IF(OR(H483="",H483="Selecciona.."),"",XLOOKUP(H483,Propiedades!B:B,Propiedades!C:C,"",0,1))</f>
        <v/>
      </c>
    </row>
    <row r="484">
      <c r="A484" s="14" t="str">
        <f t="shared" si="1"/>
        <v/>
      </c>
      <c r="B484" s="14" t="str">
        <f t="array" ref="B484">IF(OR(G484="",G484="Selecciona.."),"",XLOOKUP(G484,Productos!E:E,Productos!A:A,"",0,1))</f>
        <v/>
      </c>
      <c r="C484" s="14" t="str">
        <f t="array" ref="C484">IF(B484="","",SUMIF(Implementos!B:B,XLOOKUP(B484,Productos!A:A,Productos!F:F,"",0,1),Implementos!A:A))</f>
        <v/>
      </c>
      <c r="D484" s="14" t="str">
        <f t="array" ref="D484">IF(OR(H484="",H484="Selecciona.."),"",XLOOKUP(H484,Propiedades!B:B,Propiedades!A:A,"",0,1))</f>
        <v/>
      </c>
      <c r="E484" s="14" t="str">
        <f t="shared" si="2"/>
        <v/>
      </c>
      <c r="F484" s="14" t="str">
        <f t="shared" si="3"/>
        <v/>
      </c>
      <c r="G484" s="15" t="str">
        <f t="shared" si="8"/>
        <v/>
      </c>
      <c r="H484" s="15" t="str">
        <f t="shared" si="9"/>
        <v/>
      </c>
      <c r="I484" s="16" t="str">
        <f t="shared" si="10"/>
        <v/>
      </c>
      <c r="J484" s="17"/>
      <c r="K484" s="14" t="str">
        <f t="array" ref="K484">IF(OR(H484="",H484="Selecciona.."),"",XLOOKUP(H484,Propiedades!B:B,Propiedades!C:C,"",0,1))</f>
        <v/>
      </c>
    </row>
    <row r="485">
      <c r="A485" s="14" t="str">
        <f t="shared" si="1"/>
        <v/>
      </c>
      <c r="B485" s="14" t="str">
        <f t="array" ref="B485">IF(OR(G485="",G485="Selecciona.."),"",XLOOKUP(G485,Productos!E:E,Productos!A:A,"",0,1))</f>
        <v/>
      </c>
      <c r="C485" s="14" t="str">
        <f t="array" ref="C485">IF(B485="","",SUMIF(Implementos!B:B,XLOOKUP(B485,Productos!A:A,Productos!F:F,"",0,1),Implementos!A:A))</f>
        <v/>
      </c>
      <c r="D485" s="14" t="str">
        <f t="array" ref="D485">IF(OR(H485="",H485="Selecciona.."),"",XLOOKUP(H485,Propiedades!B:B,Propiedades!A:A,"",0,1))</f>
        <v/>
      </c>
      <c r="E485" s="14" t="str">
        <f t="shared" si="2"/>
        <v/>
      </c>
      <c r="F485" s="14" t="str">
        <f t="shared" si="3"/>
        <v/>
      </c>
      <c r="G485" s="15" t="str">
        <f t="shared" si="8"/>
        <v/>
      </c>
      <c r="H485" s="15" t="str">
        <f t="shared" si="9"/>
        <v/>
      </c>
      <c r="I485" s="16" t="str">
        <f t="shared" si="10"/>
        <v/>
      </c>
      <c r="J485" s="17"/>
      <c r="K485" s="14" t="str">
        <f t="array" ref="K485">IF(OR(H485="",H485="Selecciona.."),"",XLOOKUP(H485,Propiedades!B:B,Propiedades!C:C,"",0,1))</f>
        <v/>
      </c>
    </row>
    <row r="486">
      <c r="A486" s="14" t="str">
        <f t="shared" si="1"/>
        <v/>
      </c>
      <c r="B486" s="14" t="str">
        <f t="array" ref="B486">IF(OR(G486="",G486="Selecciona.."),"",XLOOKUP(G486,Productos!E:E,Productos!A:A,"",0,1))</f>
        <v/>
      </c>
      <c r="C486" s="14" t="str">
        <f t="array" ref="C486">IF(B486="","",SUMIF(Implementos!B:B,XLOOKUP(B486,Productos!A:A,Productos!F:F,"",0,1),Implementos!A:A))</f>
        <v/>
      </c>
      <c r="D486" s="14" t="str">
        <f t="array" ref="D486">IF(OR(H486="",H486="Selecciona.."),"",XLOOKUP(H486,Propiedades!B:B,Propiedades!A:A,"",0,1))</f>
        <v/>
      </c>
      <c r="E486" s="14" t="str">
        <f t="shared" si="2"/>
        <v/>
      </c>
      <c r="F486" s="14" t="str">
        <f t="shared" si="3"/>
        <v/>
      </c>
      <c r="G486" s="15" t="str">
        <f t="shared" si="8"/>
        <v/>
      </c>
      <c r="H486" s="15" t="str">
        <f t="shared" si="9"/>
        <v/>
      </c>
      <c r="I486" s="16" t="str">
        <f t="shared" si="10"/>
        <v/>
      </c>
      <c r="J486" s="17"/>
      <c r="K486" s="14" t="str">
        <f t="array" ref="K486">IF(OR(H486="",H486="Selecciona.."),"",XLOOKUP(H486,Propiedades!B:B,Propiedades!C:C,"",0,1))</f>
        <v/>
      </c>
    </row>
    <row r="487">
      <c r="A487" s="14" t="str">
        <f t="shared" si="1"/>
        <v/>
      </c>
      <c r="B487" s="14" t="str">
        <f t="array" ref="B487">IF(OR(G487="",G487="Selecciona.."),"",XLOOKUP(G487,Productos!E:E,Productos!A:A,"",0,1))</f>
        <v/>
      </c>
      <c r="C487" s="14" t="str">
        <f t="array" ref="C487">IF(B487="","",SUMIF(Implementos!B:B,XLOOKUP(B487,Productos!A:A,Productos!F:F,"",0,1),Implementos!A:A))</f>
        <v/>
      </c>
      <c r="D487" s="14" t="str">
        <f t="array" ref="D487">IF(OR(H487="",H487="Selecciona.."),"",XLOOKUP(H487,Propiedades!B:B,Propiedades!A:A,"",0,1))</f>
        <v/>
      </c>
      <c r="E487" s="14" t="str">
        <f t="shared" si="2"/>
        <v/>
      </c>
      <c r="F487" s="14" t="str">
        <f t="shared" si="3"/>
        <v/>
      </c>
      <c r="G487" s="15" t="str">
        <f t="shared" si="8"/>
        <v/>
      </c>
      <c r="H487" s="15" t="str">
        <f t="shared" si="9"/>
        <v/>
      </c>
      <c r="I487" s="16" t="str">
        <f t="shared" si="10"/>
        <v/>
      </c>
      <c r="J487" s="17"/>
      <c r="K487" s="14" t="str">
        <f t="array" ref="K487">IF(OR(H487="",H487="Selecciona.."),"",XLOOKUP(H487,Propiedades!B:B,Propiedades!C:C,"",0,1))</f>
        <v/>
      </c>
    </row>
    <row r="488">
      <c r="A488" s="14" t="str">
        <f t="shared" si="1"/>
        <v/>
      </c>
      <c r="B488" s="14" t="str">
        <f t="array" ref="B488">IF(OR(G488="",G488="Selecciona.."),"",XLOOKUP(G488,Productos!E:E,Productos!A:A,"",0,1))</f>
        <v/>
      </c>
      <c r="C488" s="14" t="str">
        <f t="array" ref="C488">IF(B488="","",SUMIF(Implementos!B:B,XLOOKUP(B488,Productos!A:A,Productos!F:F,"",0,1),Implementos!A:A))</f>
        <v/>
      </c>
      <c r="D488" s="14" t="str">
        <f t="array" ref="D488">IF(OR(H488="",H488="Selecciona.."),"",XLOOKUP(H488,Propiedades!B:B,Propiedades!A:A,"",0,1))</f>
        <v/>
      </c>
      <c r="E488" s="14" t="str">
        <f t="shared" si="2"/>
        <v/>
      </c>
      <c r="F488" s="14" t="str">
        <f t="shared" si="3"/>
        <v/>
      </c>
      <c r="G488" s="15" t="str">
        <f t="shared" si="8"/>
        <v/>
      </c>
      <c r="H488" s="15" t="str">
        <f t="shared" si="9"/>
        <v/>
      </c>
      <c r="I488" s="16" t="str">
        <f t="shared" si="10"/>
        <v/>
      </c>
      <c r="J488" s="17"/>
      <c r="K488" s="14" t="str">
        <f t="array" ref="K488">IF(OR(H488="",H488="Selecciona.."),"",XLOOKUP(H488,Propiedades!B:B,Propiedades!C:C,"",0,1))</f>
        <v/>
      </c>
    </row>
    <row r="489">
      <c r="A489" s="14" t="str">
        <f t="shared" si="1"/>
        <v/>
      </c>
      <c r="B489" s="14" t="str">
        <f t="array" ref="B489">IF(OR(G489="",G489="Selecciona.."),"",XLOOKUP(G489,Productos!E:E,Productos!A:A,"",0,1))</f>
        <v/>
      </c>
      <c r="C489" s="14" t="str">
        <f t="array" ref="C489">IF(B489="","",SUMIF(Implementos!B:B,XLOOKUP(B489,Productos!A:A,Productos!F:F,"",0,1),Implementos!A:A))</f>
        <v/>
      </c>
      <c r="D489" s="14" t="str">
        <f t="array" ref="D489">IF(OR(H489="",H489="Selecciona.."),"",XLOOKUP(H489,Propiedades!B:B,Propiedades!A:A,"",0,1))</f>
        <v/>
      </c>
      <c r="E489" s="14" t="str">
        <f t="shared" si="2"/>
        <v/>
      </c>
      <c r="F489" s="14" t="str">
        <f t="shared" si="3"/>
        <v/>
      </c>
      <c r="G489" s="15" t="str">
        <f t="shared" si="8"/>
        <v/>
      </c>
      <c r="H489" s="15" t="str">
        <f t="shared" si="9"/>
        <v/>
      </c>
      <c r="I489" s="16" t="str">
        <f t="shared" si="10"/>
        <v/>
      </c>
      <c r="J489" s="17"/>
      <c r="K489" s="14" t="str">
        <f t="array" ref="K489">IF(OR(H489="",H489="Selecciona.."),"",XLOOKUP(H489,Propiedades!B:B,Propiedades!C:C,"",0,1))</f>
        <v/>
      </c>
    </row>
    <row r="490">
      <c r="A490" s="14" t="str">
        <f t="shared" si="1"/>
        <v/>
      </c>
      <c r="B490" s="14" t="str">
        <f t="array" ref="B490">IF(OR(G490="",G490="Selecciona.."),"",XLOOKUP(G490,Productos!E:E,Productos!A:A,"",0,1))</f>
        <v/>
      </c>
      <c r="C490" s="14" t="str">
        <f t="array" ref="C490">IF(B490="","",SUMIF(Implementos!B:B,XLOOKUP(B490,Productos!A:A,Productos!F:F,"",0,1),Implementos!A:A))</f>
        <v/>
      </c>
      <c r="D490" s="14" t="str">
        <f t="array" ref="D490">IF(OR(H490="",H490="Selecciona.."),"",XLOOKUP(H490,Propiedades!B:B,Propiedades!A:A,"",0,1))</f>
        <v/>
      </c>
      <c r="E490" s="14" t="str">
        <f t="shared" si="2"/>
        <v/>
      </c>
      <c r="F490" s="14" t="str">
        <f t="shared" si="3"/>
        <v/>
      </c>
      <c r="G490" s="15" t="str">
        <f t="shared" si="8"/>
        <v/>
      </c>
      <c r="H490" s="15" t="str">
        <f t="shared" si="9"/>
        <v/>
      </c>
      <c r="I490" s="16" t="str">
        <f t="shared" si="10"/>
        <v/>
      </c>
      <c r="J490" s="17"/>
      <c r="K490" s="14" t="str">
        <f t="array" ref="K490">IF(OR(H490="",H490="Selecciona.."),"",XLOOKUP(H490,Propiedades!B:B,Propiedades!C:C,"",0,1))</f>
        <v/>
      </c>
    </row>
    <row r="491">
      <c r="A491" s="14" t="str">
        <f t="shared" si="1"/>
        <v/>
      </c>
      <c r="B491" s="14" t="str">
        <f t="array" ref="B491">IF(OR(G491="",G491="Selecciona.."),"",XLOOKUP(G491,Productos!E:E,Productos!A:A,"",0,1))</f>
        <v/>
      </c>
      <c r="C491" s="14" t="str">
        <f t="array" ref="C491">IF(B491="","",SUMIF(Implementos!B:B,XLOOKUP(B491,Productos!A:A,Productos!F:F,"",0,1),Implementos!A:A))</f>
        <v/>
      </c>
      <c r="D491" s="14" t="str">
        <f t="array" ref="D491">IF(OR(H491="",H491="Selecciona.."),"",XLOOKUP(H491,Propiedades!B:B,Propiedades!A:A,"",0,1))</f>
        <v/>
      </c>
      <c r="E491" s="14" t="str">
        <f t="shared" si="2"/>
        <v/>
      </c>
      <c r="F491" s="14" t="str">
        <f t="shared" si="3"/>
        <v/>
      </c>
      <c r="G491" s="15" t="str">
        <f t="shared" si="8"/>
        <v/>
      </c>
      <c r="H491" s="15" t="str">
        <f t="shared" si="9"/>
        <v/>
      </c>
      <c r="I491" s="16" t="str">
        <f t="shared" si="10"/>
        <v/>
      </c>
      <c r="J491" s="17"/>
      <c r="K491" s="14" t="str">
        <f t="array" ref="K491">IF(OR(H491="",H491="Selecciona.."),"",XLOOKUP(H491,Propiedades!B:B,Propiedades!C:C,"",0,1))</f>
        <v/>
      </c>
    </row>
    <row r="492">
      <c r="A492" s="14" t="str">
        <f t="shared" si="1"/>
        <v/>
      </c>
      <c r="B492" s="14" t="str">
        <f t="array" ref="B492">IF(OR(G492="",G492="Selecciona.."),"",XLOOKUP(G492,Productos!E:E,Productos!A:A,"",0,1))</f>
        <v/>
      </c>
      <c r="C492" s="14" t="str">
        <f t="array" ref="C492">IF(B492="","",SUMIF(Implementos!B:B,XLOOKUP(B492,Productos!A:A,Productos!F:F,"",0,1),Implementos!A:A))</f>
        <v/>
      </c>
      <c r="D492" s="14" t="str">
        <f t="array" ref="D492">IF(OR(H492="",H492="Selecciona.."),"",XLOOKUP(H492,Propiedades!B:B,Propiedades!A:A,"",0,1))</f>
        <v/>
      </c>
      <c r="E492" s="14" t="str">
        <f t="shared" si="2"/>
        <v/>
      </c>
      <c r="F492" s="14" t="str">
        <f t="shared" si="3"/>
        <v/>
      </c>
      <c r="G492" s="15" t="str">
        <f t="shared" si="8"/>
        <v/>
      </c>
      <c r="H492" s="15" t="str">
        <f t="shared" si="9"/>
        <v/>
      </c>
      <c r="I492" s="16" t="str">
        <f t="shared" si="10"/>
        <v/>
      </c>
      <c r="J492" s="17"/>
      <c r="K492" s="14" t="str">
        <f t="array" ref="K492">IF(OR(H492="",H492="Selecciona.."),"",XLOOKUP(H492,Propiedades!B:B,Propiedades!C:C,"",0,1))</f>
        <v/>
      </c>
    </row>
    <row r="493">
      <c r="A493" s="14" t="str">
        <f t="shared" si="1"/>
        <v/>
      </c>
      <c r="B493" s="14" t="str">
        <f t="array" ref="B493">IF(OR(G493="",G493="Selecciona.."),"",XLOOKUP(G493,Productos!E:E,Productos!A:A,"",0,1))</f>
        <v/>
      </c>
      <c r="C493" s="14" t="str">
        <f t="array" ref="C493">IF(B493="","",SUMIF(Implementos!B:B,XLOOKUP(B493,Productos!A:A,Productos!F:F,"",0,1),Implementos!A:A))</f>
        <v/>
      </c>
      <c r="D493" s="14" t="str">
        <f t="array" ref="D493">IF(OR(H493="",H493="Selecciona.."),"",XLOOKUP(H493,Propiedades!B:B,Propiedades!A:A,"",0,1))</f>
        <v/>
      </c>
      <c r="E493" s="14" t="str">
        <f t="shared" si="2"/>
        <v/>
      </c>
      <c r="F493" s="14" t="str">
        <f t="shared" si="3"/>
        <v/>
      </c>
      <c r="G493" s="15" t="str">
        <f t="shared" si="8"/>
        <v/>
      </c>
      <c r="H493" s="15" t="str">
        <f t="shared" si="9"/>
        <v/>
      </c>
      <c r="I493" s="16" t="str">
        <f t="shared" si="10"/>
        <v/>
      </c>
      <c r="J493" s="17"/>
      <c r="K493" s="14" t="str">
        <f t="array" ref="K493">IF(OR(H493="",H493="Selecciona.."),"",XLOOKUP(H493,Propiedades!B:B,Propiedades!C:C,"",0,1))</f>
        <v/>
      </c>
    </row>
    <row r="494">
      <c r="A494" s="14" t="str">
        <f t="shared" si="1"/>
        <v/>
      </c>
      <c r="B494" s="14" t="str">
        <f t="array" ref="B494">IF(OR(G494="",G494="Selecciona.."),"",XLOOKUP(G494,Productos!E:E,Productos!A:A,"",0,1))</f>
        <v/>
      </c>
      <c r="C494" s="14" t="str">
        <f t="array" ref="C494">IF(B494="","",SUMIF(Implementos!B:B,XLOOKUP(B494,Productos!A:A,Productos!F:F,"",0,1),Implementos!A:A))</f>
        <v/>
      </c>
      <c r="D494" s="14" t="str">
        <f t="array" ref="D494">IF(OR(H494="",H494="Selecciona.."),"",XLOOKUP(H494,Propiedades!B:B,Propiedades!A:A,"",0,1))</f>
        <v/>
      </c>
      <c r="E494" s="14" t="str">
        <f t="shared" si="2"/>
        <v/>
      </c>
      <c r="F494" s="14" t="str">
        <f t="shared" si="3"/>
        <v/>
      </c>
      <c r="G494" s="15" t="str">
        <f t="shared" si="8"/>
        <v/>
      </c>
      <c r="H494" s="15" t="str">
        <f t="shared" si="9"/>
        <v/>
      </c>
      <c r="I494" s="16" t="str">
        <f t="shared" si="10"/>
        <v/>
      </c>
      <c r="J494" s="17"/>
      <c r="K494" s="14" t="str">
        <f t="array" ref="K494">IF(OR(H494="",H494="Selecciona.."),"",XLOOKUP(H494,Propiedades!B:B,Propiedades!C:C,"",0,1))</f>
        <v/>
      </c>
    </row>
    <row r="495">
      <c r="A495" s="14" t="str">
        <f t="shared" si="1"/>
        <v/>
      </c>
      <c r="B495" s="14" t="str">
        <f t="array" ref="B495">IF(OR(G495="",G495="Selecciona.."),"",XLOOKUP(G495,Productos!E:E,Productos!A:A,"",0,1))</f>
        <v/>
      </c>
      <c r="C495" s="14" t="str">
        <f t="array" ref="C495">IF(B495="","",SUMIF(Implementos!B:B,XLOOKUP(B495,Productos!A:A,Productos!F:F,"",0,1),Implementos!A:A))</f>
        <v/>
      </c>
      <c r="D495" s="14" t="str">
        <f t="array" ref="D495">IF(OR(H495="",H495="Selecciona.."),"",XLOOKUP(H495,Propiedades!B:B,Propiedades!A:A,"",0,1))</f>
        <v/>
      </c>
      <c r="E495" s="14" t="str">
        <f t="shared" si="2"/>
        <v/>
      </c>
      <c r="F495" s="14" t="str">
        <f t="shared" si="3"/>
        <v/>
      </c>
      <c r="G495" s="15" t="str">
        <f t="shared" si="8"/>
        <v/>
      </c>
      <c r="H495" s="15" t="str">
        <f t="shared" si="9"/>
        <v/>
      </c>
      <c r="I495" s="16" t="str">
        <f t="shared" si="10"/>
        <v/>
      </c>
      <c r="J495" s="17"/>
      <c r="K495" s="14" t="str">
        <f t="array" ref="K495">IF(OR(H495="",H495="Selecciona.."),"",XLOOKUP(H495,Propiedades!B:B,Propiedades!C:C,"",0,1))</f>
        <v/>
      </c>
    </row>
    <row r="496">
      <c r="A496" s="14" t="str">
        <f t="shared" si="1"/>
        <v/>
      </c>
      <c r="B496" s="14" t="str">
        <f t="array" ref="B496">IF(OR(G496="",G496="Selecciona.."),"",XLOOKUP(G496,Productos!E:E,Productos!A:A,"",0,1))</f>
        <v/>
      </c>
      <c r="C496" s="14" t="str">
        <f t="array" ref="C496">IF(B496="","",SUMIF(Implementos!B:B,XLOOKUP(B496,Productos!A:A,Productos!F:F,"",0,1),Implementos!A:A))</f>
        <v/>
      </c>
      <c r="D496" s="14" t="str">
        <f t="array" ref="D496">IF(OR(H496="",H496="Selecciona.."),"",XLOOKUP(H496,Propiedades!B:B,Propiedades!A:A,"",0,1))</f>
        <v/>
      </c>
      <c r="E496" s="14" t="str">
        <f t="shared" si="2"/>
        <v/>
      </c>
      <c r="F496" s="14" t="str">
        <f t="shared" si="3"/>
        <v/>
      </c>
      <c r="G496" s="15" t="str">
        <f t="shared" si="8"/>
        <v/>
      </c>
      <c r="H496" s="15" t="str">
        <f t="shared" si="9"/>
        <v/>
      </c>
      <c r="I496" s="16" t="str">
        <f t="shared" si="10"/>
        <v/>
      </c>
      <c r="J496" s="17"/>
      <c r="K496" s="14" t="str">
        <f t="array" ref="K496">IF(OR(H496="",H496="Selecciona.."),"",XLOOKUP(H496,Propiedades!B:B,Propiedades!C:C,"",0,1))</f>
        <v/>
      </c>
    </row>
    <row r="497">
      <c r="A497" s="14" t="str">
        <f t="shared" si="1"/>
        <v/>
      </c>
      <c r="B497" s="14" t="str">
        <f t="array" ref="B497">IF(OR(G497="",G497="Selecciona.."),"",XLOOKUP(G497,Productos!E:E,Productos!A:A,"",0,1))</f>
        <v/>
      </c>
      <c r="C497" s="14" t="str">
        <f t="array" ref="C497">IF(B497="","",SUMIF(Implementos!B:B,XLOOKUP(B497,Productos!A:A,Productos!F:F,"",0,1),Implementos!A:A))</f>
        <v/>
      </c>
      <c r="D497" s="14" t="str">
        <f t="array" ref="D497">IF(OR(H497="",H497="Selecciona.."),"",XLOOKUP(H497,Propiedades!B:B,Propiedades!A:A,"",0,1))</f>
        <v/>
      </c>
      <c r="E497" s="14" t="str">
        <f t="shared" si="2"/>
        <v/>
      </c>
      <c r="F497" s="14" t="str">
        <f t="shared" si="3"/>
        <v/>
      </c>
      <c r="G497" s="15" t="str">
        <f t="shared" si="8"/>
        <v/>
      </c>
      <c r="H497" s="15" t="str">
        <f t="shared" si="9"/>
        <v/>
      </c>
      <c r="I497" s="16" t="str">
        <f t="shared" si="10"/>
        <v/>
      </c>
      <c r="J497" s="17"/>
      <c r="K497" s="14" t="str">
        <f t="array" ref="K497">IF(OR(H497="",H497="Selecciona.."),"",XLOOKUP(H497,Propiedades!B:B,Propiedades!C:C,"",0,1))</f>
        <v/>
      </c>
    </row>
    <row r="498">
      <c r="A498" s="14" t="str">
        <f t="shared" si="1"/>
        <v/>
      </c>
      <c r="B498" s="14" t="str">
        <f t="array" ref="B498">IF(OR(G498="",G498="Selecciona.."),"",XLOOKUP(G498,Productos!E:E,Productos!A:A,"",0,1))</f>
        <v/>
      </c>
      <c r="C498" s="14" t="str">
        <f t="array" ref="C498">IF(B498="","",SUMIF(Implementos!B:B,XLOOKUP(B498,Productos!A:A,Productos!F:F,"",0,1),Implementos!A:A))</f>
        <v/>
      </c>
      <c r="D498" s="14" t="str">
        <f t="array" ref="D498">IF(OR(H498="",H498="Selecciona.."),"",XLOOKUP(H498,Propiedades!B:B,Propiedades!A:A,"",0,1))</f>
        <v/>
      </c>
      <c r="E498" s="14" t="str">
        <f t="shared" si="2"/>
        <v/>
      </c>
      <c r="F498" s="14" t="str">
        <f t="shared" si="3"/>
        <v/>
      </c>
      <c r="G498" s="15" t="str">
        <f t="shared" si="8"/>
        <v/>
      </c>
      <c r="H498" s="15" t="str">
        <f t="shared" si="9"/>
        <v/>
      </c>
      <c r="I498" s="16" t="str">
        <f t="shared" si="10"/>
        <v/>
      </c>
      <c r="J498" s="17"/>
      <c r="K498" s="14" t="str">
        <f t="array" ref="K498">IF(OR(H498="",H498="Selecciona.."),"",XLOOKUP(H498,Propiedades!B:B,Propiedades!C:C,"",0,1))</f>
        <v/>
      </c>
    </row>
    <row r="499">
      <c r="A499" s="14" t="str">
        <f t="shared" si="1"/>
        <v/>
      </c>
      <c r="B499" s="14" t="str">
        <f t="array" ref="B499">IF(OR(G499="",G499="Selecciona.."),"",XLOOKUP(G499,Productos!E:E,Productos!A:A,"",0,1))</f>
        <v/>
      </c>
      <c r="C499" s="14" t="str">
        <f t="array" ref="C499">IF(B499="","",SUMIF(Implementos!B:B,XLOOKUP(B499,Productos!A:A,Productos!F:F,"",0,1),Implementos!A:A))</f>
        <v/>
      </c>
      <c r="D499" s="14" t="str">
        <f t="array" ref="D499">IF(OR(H499="",H499="Selecciona.."),"",XLOOKUP(H499,Propiedades!B:B,Propiedades!A:A,"",0,1))</f>
        <v/>
      </c>
      <c r="E499" s="14" t="str">
        <f t="shared" si="2"/>
        <v/>
      </c>
      <c r="F499" s="14" t="str">
        <f t="shared" si="3"/>
        <v/>
      </c>
      <c r="G499" s="15" t="str">
        <f t="shared" si="8"/>
        <v/>
      </c>
      <c r="H499" s="15" t="str">
        <f t="shared" si="9"/>
        <v/>
      </c>
      <c r="I499" s="16" t="str">
        <f t="shared" si="10"/>
        <v/>
      </c>
      <c r="J499" s="17"/>
      <c r="K499" s="14" t="str">
        <f t="array" ref="K499">IF(OR(H499="",H499="Selecciona.."),"",XLOOKUP(H499,Propiedades!B:B,Propiedades!C:C,"",0,1))</f>
        <v/>
      </c>
    </row>
    <row r="500">
      <c r="A500" s="14" t="str">
        <f t="shared" si="1"/>
        <v/>
      </c>
      <c r="B500" s="14" t="str">
        <f t="array" ref="B500">IF(OR(G500="",G500="Selecciona.."),"",XLOOKUP(G500,Productos!E:E,Productos!A:A,"",0,1))</f>
        <v/>
      </c>
      <c r="C500" s="14" t="str">
        <f t="array" ref="C500">IF(B500="","",SUMIF(Implementos!B:B,XLOOKUP(B500,Productos!A:A,Productos!F:F,"",0,1),Implementos!A:A))</f>
        <v/>
      </c>
      <c r="D500" s="14" t="str">
        <f t="array" ref="D500">IF(OR(H500="",H500="Selecciona.."),"",XLOOKUP(H500,Propiedades!B:B,Propiedades!A:A,"",0,1))</f>
        <v/>
      </c>
      <c r="E500" s="14" t="str">
        <f t="shared" si="2"/>
        <v/>
      </c>
      <c r="F500" s="14" t="str">
        <f t="shared" si="3"/>
        <v/>
      </c>
      <c r="G500" s="15" t="str">
        <f t="shared" si="8"/>
        <v/>
      </c>
      <c r="H500" s="15" t="str">
        <f t="shared" si="9"/>
        <v/>
      </c>
      <c r="I500" s="16" t="str">
        <f t="shared" si="10"/>
        <v/>
      </c>
      <c r="J500" s="17"/>
      <c r="K500" s="14" t="str">
        <f t="array" ref="K500">IF(OR(H500="",H500="Selecciona.."),"",XLOOKUP(H500,Propiedades!B:B,Propiedades!C:C,"",0,1))</f>
        <v/>
      </c>
    </row>
    <row r="501">
      <c r="A501" s="14" t="str">
        <f t="shared" si="1"/>
        <v/>
      </c>
      <c r="B501" s="14" t="str">
        <f t="array" ref="B501">IF(OR(G501="",G501="Selecciona.."),"",XLOOKUP(G501,Productos!E:E,Productos!A:A,"",0,1))</f>
        <v/>
      </c>
      <c r="C501" s="14" t="str">
        <f t="array" ref="C501">IF(B501="","",SUMIF(Implementos!B:B,XLOOKUP(B501,Productos!A:A,Productos!F:F,"",0,1),Implementos!A:A))</f>
        <v/>
      </c>
      <c r="D501" s="14" t="str">
        <f t="array" ref="D501">IF(OR(H501="",H501="Selecciona.."),"",XLOOKUP(H501,Propiedades!B:B,Propiedades!A:A,"",0,1))</f>
        <v/>
      </c>
      <c r="E501" s="14" t="str">
        <f t="shared" si="2"/>
        <v/>
      </c>
      <c r="F501" s="14" t="str">
        <f t="shared" si="3"/>
        <v/>
      </c>
      <c r="G501" s="15" t="str">
        <f t="shared" si="8"/>
        <v/>
      </c>
      <c r="H501" s="15" t="str">
        <f t="shared" si="9"/>
        <v/>
      </c>
      <c r="I501" s="16" t="str">
        <f t="shared" si="10"/>
        <v/>
      </c>
      <c r="J501" s="17"/>
      <c r="K501" s="14" t="str">
        <f t="array" ref="K501">IF(OR(H501="",H501="Selecciona.."),"",XLOOKUP(H501,Propiedades!B:B,Propiedades!C:C,"",0,1))</f>
        <v/>
      </c>
    </row>
    <row r="502">
      <c r="A502" s="14" t="str">
        <f t="shared" si="1"/>
        <v/>
      </c>
      <c r="B502" s="14" t="str">
        <f t="array" ref="B502">IF(OR(G502="",G502="Selecciona.."),"",XLOOKUP(G502,Productos!E:E,Productos!A:A,"",0,1))</f>
        <v/>
      </c>
      <c r="C502" s="14" t="str">
        <f t="array" ref="C502">IF(B502="","",SUMIF(Implementos!B:B,XLOOKUP(B502,Productos!A:A,Productos!F:F,"",0,1),Implementos!A:A))</f>
        <v/>
      </c>
      <c r="D502" s="14" t="str">
        <f t="array" ref="D502">IF(OR(H502="",H502="Selecciona.."),"",XLOOKUP(H502,Propiedades!B:B,Propiedades!A:A,"",0,1))</f>
        <v/>
      </c>
      <c r="E502" s="14" t="str">
        <f t="shared" si="2"/>
        <v/>
      </c>
      <c r="F502" s="14" t="str">
        <f t="shared" si="3"/>
        <v/>
      </c>
      <c r="G502" s="15" t="str">
        <f t="shared" si="8"/>
        <v/>
      </c>
      <c r="H502" s="15" t="str">
        <f t="shared" si="9"/>
        <v/>
      </c>
      <c r="I502" s="16" t="str">
        <f t="shared" si="10"/>
        <v/>
      </c>
      <c r="J502" s="17"/>
      <c r="K502" s="14" t="str">
        <f t="array" ref="K502">IF(OR(H502="",H502="Selecciona.."),"",XLOOKUP(H502,Propiedades!B:B,Propiedades!C:C,"",0,1))</f>
        <v/>
      </c>
    </row>
    <row r="503">
      <c r="A503" s="14" t="str">
        <f t="shared" si="1"/>
        <v/>
      </c>
      <c r="B503" s="14" t="str">
        <f t="array" ref="B503">IF(OR(G503="",G503="Selecciona.."),"",XLOOKUP(G503,Productos!E:E,Productos!A:A,"",0,1))</f>
        <v/>
      </c>
      <c r="C503" s="14" t="str">
        <f t="array" ref="C503">IF(B503="","",SUMIF(Implementos!B:B,XLOOKUP(B503,Productos!A:A,Productos!F:F,"",0,1),Implementos!A:A))</f>
        <v/>
      </c>
      <c r="D503" s="14" t="str">
        <f t="array" ref="D503">IF(OR(H503="",H503="Selecciona.."),"",XLOOKUP(H503,Propiedades!B:B,Propiedades!A:A,"",0,1))</f>
        <v/>
      </c>
      <c r="E503" s="14" t="str">
        <f t="shared" si="2"/>
        <v/>
      </c>
      <c r="F503" s="14" t="str">
        <f t="shared" si="3"/>
        <v/>
      </c>
      <c r="G503" s="15" t="str">
        <f t="shared" si="8"/>
        <v/>
      </c>
      <c r="H503" s="15" t="str">
        <f t="shared" si="9"/>
        <v/>
      </c>
      <c r="I503" s="16" t="str">
        <f t="shared" si="10"/>
        <v/>
      </c>
      <c r="J503" s="17"/>
      <c r="K503" s="14" t="str">
        <f t="array" ref="K503">IF(OR(H503="",H503="Selecciona.."),"",XLOOKUP(H503,Propiedades!B:B,Propiedades!C:C,"",0,1))</f>
        <v/>
      </c>
    </row>
    <row r="504">
      <c r="A504" s="14" t="str">
        <f t="shared" si="1"/>
        <v/>
      </c>
      <c r="B504" s="14" t="str">
        <f t="array" ref="B504">IF(OR(G504="",G504="Selecciona.."),"",XLOOKUP(G504,Productos!E:E,Productos!A:A,"",0,1))</f>
        <v/>
      </c>
      <c r="C504" s="14" t="str">
        <f t="array" ref="C504">IF(B504="","",SUMIF(Implementos!B:B,XLOOKUP(B504,Productos!A:A,Productos!F:F,"",0,1),Implementos!A:A))</f>
        <v/>
      </c>
      <c r="D504" s="14" t="str">
        <f t="array" ref="D504">IF(OR(H504="",H504="Selecciona.."),"",XLOOKUP(H504,Propiedades!B:B,Propiedades!A:A,"",0,1))</f>
        <v/>
      </c>
      <c r="E504" s="14" t="str">
        <f t="shared" si="2"/>
        <v/>
      </c>
      <c r="F504" s="14" t="str">
        <f t="shared" si="3"/>
        <v/>
      </c>
      <c r="G504" s="15" t="str">
        <f t="shared" si="8"/>
        <v/>
      </c>
      <c r="H504" s="15" t="str">
        <f t="shared" si="9"/>
        <v/>
      </c>
      <c r="I504" s="16" t="str">
        <f t="shared" si="10"/>
        <v/>
      </c>
      <c r="J504" s="17"/>
      <c r="K504" s="14" t="str">
        <f t="array" ref="K504">IF(OR(H504="",H504="Selecciona.."),"",XLOOKUP(H504,Propiedades!B:B,Propiedades!C:C,"",0,1))</f>
        <v/>
      </c>
    </row>
    <row r="505">
      <c r="A505" s="14" t="str">
        <f t="shared" si="1"/>
        <v/>
      </c>
      <c r="B505" s="14" t="str">
        <f t="array" ref="B505">IF(OR(G505="",G505="Selecciona.."),"",XLOOKUP(G505,Productos!E:E,Productos!A:A,"",0,1))</f>
        <v/>
      </c>
      <c r="C505" s="14" t="str">
        <f t="array" ref="C505">IF(B505="","",SUMIF(Implementos!B:B,XLOOKUP(B505,Productos!A:A,Productos!F:F,"",0,1),Implementos!A:A))</f>
        <v/>
      </c>
      <c r="D505" s="14" t="str">
        <f t="array" ref="D505">IF(OR(H505="",H505="Selecciona.."),"",XLOOKUP(H505,Propiedades!B:B,Propiedades!A:A,"",0,1))</f>
        <v/>
      </c>
      <c r="E505" s="14" t="str">
        <f t="shared" si="2"/>
        <v/>
      </c>
      <c r="F505" s="14" t="str">
        <f t="shared" si="3"/>
        <v/>
      </c>
      <c r="G505" s="15" t="str">
        <f t="shared" si="8"/>
        <v/>
      </c>
      <c r="H505" s="15" t="str">
        <f t="shared" si="9"/>
        <v/>
      </c>
      <c r="I505" s="16" t="str">
        <f t="shared" si="10"/>
        <v/>
      </c>
      <c r="J505" s="17"/>
      <c r="K505" s="14" t="str">
        <f t="array" ref="K505">IF(OR(H505="",H505="Selecciona.."),"",XLOOKUP(H505,Propiedades!B:B,Propiedades!C:C,"",0,1))</f>
        <v/>
      </c>
    </row>
    <row r="506">
      <c r="A506" s="14" t="str">
        <f t="shared" si="1"/>
        <v/>
      </c>
      <c r="B506" s="14" t="str">
        <f t="array" ref="B506">IF(OR(G506="",G506="Selecciona.."),"",XLOOKUP(G506,Productos!E:E,Productos!A:A,"",0,1))</f>
        <v/>
      </c>
      <c r="C506" s="14" t="str">
        <f t="array" ref="C506">IF(B506="","",SUMIF(Implementos!B:B,XLOOKUP(B506,Productos!A:A,Productos!F:F,"",0,1),Implementos!A:A))</f>
        <v/>
      </c>
      <c r="D506" s="14" t="str">
        <f t="array" ref="D506">IF(OR(H506="",H506="Selecciona.."),"",XLOOKUP(H506,Propiedades!B:B,Propiedades!A:A,"",0,1))</f>
        <v/>
      </c>
      <c r="E506" s="14" t="str">
        <f t="shared" si="2"/>
        <v/>
      </c>
      <c r="F506" s="14" t="str">
        <f t="shared" si="3"/>
        <v/>
      </c>
      <c r="G506" s="15" t="str">
        <f t="shared" si="8"/>
        <v/>
      </c>
      <c r="H506" s="15" t="str">
        <f t="shared" si="9"/>
        <v/>
      </c>
      <c r="I506" s="16" t="str">
        <f t="shared" si="10"/>
        <v/>
      </c>
      <c r="J506" s="17"/>
      <c r="K506" s="14" t="str">
        <f t="array" ref="K506">IF(OR(H506="",H506="Selecciona.."),"",XLOOKUP(H506,Propiedades!B:B,Propiedades!C:C,"",0,1))</f>
        <v/>
      </c>
    </row>
    <row r="507">
      <c r="A507" s="14" t="str">
        <f t="shared" si="1"/>
        <v/>
      </c>
      <c r="B507" s="14" t="str">
        <f t="array" ref="B507">IF(OR(G507="",G507="Selecciona.."),"",XLOOKUP(G507,Productos!E:E,Productos!A:A,"",0,1))</f>
        <v/>
      </c>
      <c r="C507" s="14" t="str">
        <f t="array" ref="C507">IF(B507="","",SUMIF(Implementos!B:B,XLOOKUP(B507,Productos!A:A,Productos!F:F,"",0,1),Implementos!A:A))</f>
        <v/>
      </c>
      <c r="D507" s="14" t="str">
        <f t="array" ref="D507">IF(OR(H507="",H507="Selecciona.."),"",XLOOKUP(H507,Propiedades!B:B,Propiedades!A:A,"",0,1))</f>
        <v/>
      </c>
      <c r="E507" s="14" t="str">
        <f t="shared" si="2"/>
        <v/>
      </c>
      <c r="F507" s="14" t="str">
        <f t="shared" si="3"/>
        <v/>
      </c>
      <c r="G507" s="15" t="str">
        <f t="shared" si="8"/>
        <v/>
      </c>
      <c r="H507" s="15" t="str">
        <f t="shared" si="9"/>
        <v/>
      </c>
      <c r="I507" s="16" t="str">
        <f t="shared" si="10"/>
        <v/>
      </c>
      <c r="J507" s="17"/>
      <c r="K507" s="14" t="str">
        <f t="array" ref="K507">IF(OR(H507="",H507="Selecciona.."),"",XLOOKUP(H507,Propiedades!B:B,Propiedades!C:C,"",0,1))</f>
        <v/>
      </c>
    </row>
    <row r="508">
      <c r="A508" s="14" t="str">
        <f t="shared" si="1"/>
        <v/>
      </c>
      <c r="B508" s="14" t="str">
        <f t="array" ref="B508">IF(OR(G508="",G508="Selecciona.."),"",XLOOKUP(G508,Productos!E:E,Productos!A:A,"",0,1))</f>
        <v/>
      </c>
      <c r="C508" s="14" t="str">
        <f t="array" ref="C508">IF(B508="","",SUMIF(Implementos!B:B,XLOOKUP(B508,Productos!A:A,Productos!F:F,"",0,1),Implementos!A:A))</f>
        <v/>
      </c>
      <c r="D508" s="14" t="str">
        <f t="array" ref="D508">IF(OR(H508="",H508="Selecciona.."),"",XLOOKUP(H508,Propiedades!B:B,Propiedades!A:A,"",0,1))</f>
        <v/>
      </c>
      <c r="E508" s="14" t="str">
        <f t="shared" si="2"/>
        <v/>
      </c>
      <c r="F508" s="14" t="str">
        <f t="shared" si="3"/>
        <v/>
      </c>
      <c r="G508" s="15" t="str">
        <f t="shared" si="8"/>
        <v/>
      </c>
      <c r="H508" s="15" t="str">
        <f t="shared" si="9"/>
        <v/>
      </c>
      <c r="I508" s="16" t="str">
        <f t="shared" si="10"/>
        <v/>
      </c>
      <c r="J508" s="17"/>
      <c r="K508" s="14" t="str">
        <f t="array" ref="K508">IF(OR(H508="",H508="Selecciona.."),"",XLOOKUP(H508,Propiedades!B:B,Propiedades!C:C,"",0,1))</f>
        <v/>
      </c>
    </row>
    <row r="509">
      <c r="A509" s="14" t="str">
        <f t="shared" si="1"/>
        <v/>
      </c>
      <c r="B509" s="14" t="str">
        <f t="array" ref="B509">IF(OR(G509="",G509="Selecciona.."),"",XLOOKUP(G509,Productos!E:E,Productos!A:A,"",0,1))</f>
        <v/>
      </c>
      <c r="C509" s="14" t="str">
        <f t="array" ref="C509">IF(B509="","",SUMIF(Implementos!B:B,XLOOKUP(B509,Productos!A:A,Productos!F:F,"",0,1),Implementos!A:A))</f>
        <v/>
      </c>
      <c r="D509" s="14" t="str">
        <f t="array" ref="D509">IF(OR(H509="",H509="Selecciona.."),"",XLOOKUP(H509,Propiedades!B:B,Propiedades!A:A,"",0,1))</f>
        <v/>
      </c>
      <c r="E509" s="14" t="str">
        <f t="shared" si="2"/>
        <v/>
      </c>
      <c r="F509" s="14" t="str">
        <f t="shared" si="3"/>
        <v/>
      </c>
      <c r="G509" s="15" t="str">
        <f t="shared" si="8"/>
        <v/>
      </c>
      <c r="H509" s="15" t="str">
        <f t="shared" si="9"/>
        <v/>
      </c>
      <c r="I509" s="16" t="str">
        <f t="shared" si="10"/>
        <v/>
      </c>
      <c r="J509" s="17"/>
      <c r="K509" s="14" t="str">
        <f t="array" ref="K509">IF(OR(H509="",H509="Selecciona.."),"",XLOOKUP(H509,Propiedades!B:B,Propiedades!C:C,"",0,1))</f>
        <v/>
      </c>
    </row>
    <row r="510">
      <c r="A510" s="14" t="str">
        <f t="shared" si="1"/>
        <v/>
      </c>
      <c r="B510" s="14" t="str">
        <f t="array" ref="B510">IF(OR(G510="",G510="Selecciona.."),"",XLOOKUP(G510,Productos!E:E,Productos!A:A,"",0,1))</f>
        <v/>
      </c>
      <c r="C510" s="14" t="str">
        <f t="array" ref="C510">IF(B510="","",SUMIF(Implementos!B:B,XLOOKUP(B510,Productos!A:A,Productos!F:F,"",0,1),Implementos!A:A))</f>
        <v/>
      </c>
      <c r="D510" s="14" t="str">
        <f t="array" ref="D510">IF(OR(H510="",H510="Selecciona.."),"",XLOOKUP(H510,Propiedades!B:B,Propiedades!A:A,"",0,1))</f>
        <v/>
      </c>
      <c r="E510" s="14" t="str">
        <f t="shared" si="2"/>
        <v/>
      </c>
      <c r="F510" s="14" t="str">
        <f t="shared" si="3"/>
        <v/>
      </c>
      <c r="G510" s="15" t="str">
        <f t="shared" si="8"/>
        <v/>
      </c>
      <c r="H510" s="15" t="str">
        <f t="shared" si="9"/>
        <v/>
      </c>
      <c r="I510" s="16" t="str">
        <f t="shared" si="10"/>
        <v/>
      </c>
      <c r="J510" s="17"/>
      <c r="K510" s="14" t="str">
        <f t="array" ref="K510">IF(OR(H510="",H510="Selecciona.."),"",XLOOKUP(H510,Propiedades!B:B,Propiedades!C:C,"",0,1))</f>
        <v/>
      </c>
    </row>
    <row r="511">
      <c r="A511" s="14" t="str">
        <f t="shared" si="1"/>
        <v/>
      </c>
      <c r="B511" s="14" t="str">
        <f t="array" ref="B511">IF(OR(G511="",G511="Selecciona.."),"",XLOOKUP(G511,Productos!E:E,Productos!A:A,"",0,1))</f>
        <v/>
      </c>
      <c r="C511" s="14" t="str">
        <f t="array" ref="C511">IF(B511="","",SUMIF(Implementos!B:B,XLOOKUP(B511,Productos!A:A,Productos!F:F,"",0,1),Implementos!A:A))</f>
        <v/>
      </c>
      <c r="D511" s="14" t="str">
        <f t="array" ref="D511">IF(OR(H511="",H511="Selecciona.."),"",XLOOKUP(H511,Propiedades!B:B,Propiedades!A:A,"",0,1))</f>
        <v/>
      </c>
      <c r="E511" s="14" t="str">
        <f t="shared" si="2"/>
        <v/>
      </c>
      <c r="F511" s="14" t="str">
        <f t="shared" si="3"/>
        <v/>
      </c>
      <c r="G511" s="15" t="str">
        <f t="shared" si="8"/>
        <v/>
      </c>
      <c r="H511" s="15" t="str">
        <f t="shared" si="9"/>
        <v/>
      </c>
      <c r="I511" s="16" t="str">
        <f t="shared" si="10"/>
        <v/>
      </c>
      <c r="J511" s="17"/>
      <c r="K511" s="14" t="str">
        <f t="array" ref="K511">IF(OR(H511="",H511="Selecciona.."),"",XLOOKUP(H511,Propiedades!B:B,Propiedades!C:C,"",0,1))</f>
        <v/>
      </c>
    </row>
    <row r="512">
      <c r="A512" s="14" t="str">
        <f t="shared" si="1"/>
        <v/>
      </c>
      <c r="B512" s="14" t="str">
        <f t="array" ref="B512">IF(OR(G512="",G512="Selecciona.."),"",XLOOKUP(G512,Productos!E:E,Productos!A:A,"",0,1))</f>
        <v/>
      </c>
      <c r="C512" s="14" t="str">
        <f t="array" ref="C512">IF(B512="","",SUMIF(Implementos!B:B,XLOOKUP(B512,Productos!A:A,Productos!F:F,"",0,1),Implementos!A:A))</f>
        <v/>
      </c>
      <c r="D512" s="14" t="str">
        <f t="array" ref="D512">IF(OR(H512="",H512="Selecciona.."),"",XLOOKUP(H512,Propiedades!B:B,Propiedades!A:A,"",0,1))</f>
        <v/>
      </c>
      <c r="E512" s="14" t="str">
        <f t="shared" si="2"/>
        <v/>
      </c>
      <c r="F512" s="14" t="str">
        <f t="shared" si="3"/>
        <v/>
      </c>
      <c r="G512" s="15" t="str">
        <f t="shared" si="8"/>
        <v/>
      </c>
      <c r="H512" s="15" t="str">
        <f t="shared" si="9"/>
        <v/>
      </c>
      <c r="I512" s="16" t="str">
        <f t="shared" si="10"/>
        <v/>
      </c>
      <c r="J512" s="17"/>
      <c r="K512" s="14" t="str">
        <f t="array" ref="K512">IF(OR(H512="",H512="Selecciona.."),"",XLOOKUP(H512,Propiedades!B:B,Propiedades!C:C,"",0,1))</f>
        <v/>
      </c>
    </row>
    <row r="513">
      <c r="A513" s="14" t="str">
        <f t="shared" si="1"/>
        <v/>
      </c>
      <c r="B513" s="14" t="str">
        <f t="array" ref="B513">IF(OR(G513="",G513="Selecciona.."),"",XLOOKUP(G513,Productos!E:E,Productos!A:A,"",0,1))</f>
        <v/>
      </c>
      <c r="C513" s="14" t="str">
        <f t="array" ref="C513">IF(B513="","",SUMIF(Implementos!B:B,XLOOKUP(B513,Productos!A:A,Productos!F:F,"",0,1),Implementos!A:A))</f>
        <v/>
      </c>
      <c r="D513" s="14" t="str">
        <f t="array" ref="D513">IF(OR(H513="",H513="Selecciona.."),"",XLOOKUP(H513,Propiedades!B:B,Propiedades!A:A,"",0,1))</f>
        <v/>
      </c>
      <c r="E513" s="14" t="str">
        <f t="shared" si="2"/>
        <v/>
      </c>
      <c r="F513" s="14" t="str">
        <f t="shared" si="3"/>
        <v/>
      </c>
      <c r="G513" s="15" t="str">
        <f t="shared" si="8"/>
        <v/>
      </c>
      <c r="H513" s="15" t="str">
        <f t="shared" si="9"/>
        <v/>
      </c>
      <c r="I513" s="16" t="str">
        <f t="shared" si="10"/>
        <v/>
      </c>
      <c r="J513" s="17"/>
      <c r="K513" s="14" t="str">
        <f t="array" ref="K513">IF(OR(H513="",H513="Selecciona.."),"",XLOOKUP(H513,Propiedades!B:B,Propiedades!C:C,"",0,1))</f>
        <v/>
      </c>
    </row>
    <row r="514">
      <c r="A514" s="14" t="str">
        <f t="shared" si="1"/>
        <v/>
      </c>
      <c r="B514" s="14" t="str">
        <f t="array" ref="B514">IF(OR(G514="",G514="Selecciona.."),"",XLOOKUP(G514,Productos!E:E,Productos!A:A,"",0,1))</f>
        <v/>
      </c>
      <c r="C514" s="14" t="str">
        <f t="array" ref="C514">IF(B514="","",SUMIF(Implementos!B:B,XLOOKUP(B514,Productos!A:A,Productos!F:F,"",0,1),Implementos!A:A))</f>
        <v/>
      </c>
      <c r="D514" s="14" t="str">
        <f t="array" ref="D514">IF(OR(H514="",H514="Selecciona.."),"",XLOOKUP(H514,Propiedades!B:B,Propiedades!A:A,"",0,1))</f>
        <v/>
      </c>
      <c r="E514" s="14" t="str">
        <f t="shared" si="2"/>
        <v/>
      </c>
      <c r="F514" s="14" t="str">
        <f t="shared" si="3"/>
        <v/>
      </c>
      <c r="G514" s="15" t="str">
        <f t="shared" si="8"/>
        <v/>
      </c>
      <c r="H514" s="15" t="str">
        <f t="shared" si="9"/>
        <v/>
      </c>
      <c r="I514" s="16" t="str">
        <f t="shared" si="10"/>
        <v/>
      </c>
      <c r="J514" s="17"/>
      <c r="K514" s="14" t="str">
        <f t="array" ref="K514">IF(OR(H514="",H514="Selecciona.."),"",XLOOKUP(H514,Propiedades!B:B,Propiedades!C:C,"",0,1))</f>
        <v/>
      </c>
    </row>
    <row r="515">
      <c r="A515" s="14" t="str">
        <f t="shared" si="1"/>
        <v/>
      </c>
      <c r="B515" s="14" t="str">
        <f t="array" ref="B515">IF(OR(G515="",G515="Selecciona.."),"",XLOOKUP(G515,Productos!E:E,Productos!A:A,"",0,1))</f>
        <v/>
      </c>
      <c r="C515" s="14" t="str">
        <f t="array" ref="C515">IF(B515="","",SUMIF(Implementos!B:B,XLOOKUP(B515,Productos!A:A,Productos!F:F,"",0,1),Implementos!A:A))</f>
        <v/>
      </c>
      <c r="D515" s="14" t="str">
        <f t="array" ref="D515">IF(OR(H515="",H515="Selecciona.."),"",XLOOKUP(H515,Propiedades!B:B,Propiedades!A:A,"",0,1))</f>
        <v/>
      </c>
      <c r="E515" s="14" t="str">
        <f t="shared" si="2"/>
        <v/>
      </c>
      <c r="F515" s="14" t="str">
        <f t="shared" si="3"/>
        <v/>
      </c>
      <c r="G515" s="15" t="str">
        <f t="shared" si="8"/>
        <v/>
      </c>
      <c r="H515" s="15" t="str">
        <f t="shared" si="9"/>
        <v/>
      </c>
      <c r="I515" s="16" t="str">
        <f t="shared" si="10"/>
        <v/>
      </c>
      <c r="J515" s="17"/>
      <c r="K515" s="14" t="str">
        <f t="array" ref="K515">IF(OR(H515="",H515="Selecciona.."),"",XLOOKUP(H515,Propiedades!B:B,Propiedades!C:C,"",0,1))</f>
        <v/>
      </c>
    </row>
    <row r="516">
      <c r="A516" s="14" t="str">
        <f t="shared" si="1"/>
        <v/>
      </c>
      <c r="B516" s="14" t="str">
        <f t="array" ref="B516">IF(OR(G516="",G516="Selecciona.."),"",XLOOKUP(G516,Productos!E:E,Productos!A:A,"",0,1))</f>
        <v/>
      </c>
      <c r="C516" s="14" t="str">
        <f t="array" ref="C516">IF(B516="","",SUMIF(Implementos!B:B,XLOOKUP(B516,Productos!A:A,Productos!F:F,"",0,1),Implementos!A:A))</f>
        <v/>
      </c>
      <c r="D516" s="14" t="str">
        <f t="array" ref="D516">IF(OR(H516="",H516="Selecciona.."),"",XLOOKUP(H516,Propiedades!B:B,Propiedades!A:A,"",0,1))</f>
        <v/>
      </c>
      <c r="E516" s="14" t="str">
        <f t="shared" si="2"/>
        <v/>
      </c>
      <c r="F516" s="14" t="str">
        <f t="shared" si="3"/>
        <v/>
      </c>
      <c r="G516" s="15" t="str">
        <f t="shared" si="8"/>
        <v/>
      </c>
      <c r="H516" s="15" t="str">
        <f t="shared" si="9"/>
        <v/>
      </c>
      <c r="I516" s="16" t="str">
        <f t="shared" si="10"/>
        <v/>
      </c>
      <c r="J516" s="17"/>
      <c r="K516" s="14" t="str">
        <f t="array" ref="K516">IF(OR(H516="",H516="Selecciona.."),"",XLOOKUP(H516,Propiedades!B:B,Propiedades!C:C,"",0,1))</f>
        <v/>
      </c>
    </row>
    <row r="517">
      <c r="A517" s="14" t="str">
        <f t="shared" si="1"/>
        <v/>
      </c>
      <c r="B517" s="14" t="str">
        <f t="array" ref="B517">IF(OR(G517="",G517="Selecciona.."),"",XLOOKUP(G517,Productos!E:E,Productos!A:A,"",0,1))</f>
        <v/>
      </c>
      <c r="C517" s="14" t="str">
        <f t="array" ref="C517">IF(B517="","",SUMIF(Implementos!B:B,XLOOKUP(B517,Productos!A:A,Productos!F:F,"",0,1),Implementos!A:A))</f>
        <v/>
      </c>
      <c r="D517" s="14" t="str">
        <f t="array" ref="D517">IF(OR(H517="",H517="Selecciona.."),"",XLOOKUP(H517,Propiedades!B:B,Propiedades!A:A,"",0,1))</f>
        <v/>
      </c>
      <c r="E517" s="14" t="str">
        <f t="shared" si="2"/>
        <v/>
      </c>
      <c r="F517" s="14" t="str">
        <f t="shared" si="3"/>
        <v/>
      </c>
      <c r="G517" s="15" t="str">
        <f t="shared" si="8"/>
        <v/>
      </c>
      <c r="H517" s="15" t="str">
        <f t="shared" si="9"/>
        <v/>
      </c>
      <c r="I517" s="16" t="str">
        <f t="shared" si="10"/>
        <v/>
      </c>
      <c r="J517" s="17"/>
      <c r="K517" s="14" t="str">
        <f t="array" ref="K517">IF(OR(H517="",H517="Selecciona.."),"",XLOOKUP(H517,Propiedades!B:B,Propiedades!C:C,"",0,1))</f>
        <v/>
      </c>
    </row>
    <row r="518">
      <c r="A518" s="14" t="str">
        <f t="shared" si="1"/>
        <v/>
      </c>
      <c r="B518" s="14" t="str">
        <f t="array" ref="B518">IF(OR(G518="",G518="Selecciona.."),"",XLOOKUP(G518,Productos!E:E,Productos!A:A,"",0,1))</f>
        <v/>
      </c>
      <c r="C518" s="14" t="str">
        <f t="array" ref="C518">IF(B518="","",SUMIF(Implementos!B:B,XLOOKUP(B518,Productos!A:A,Productos!F:F,"",0,1),Implementos!A:A))</f>
        <v/>
      </c>
      <c r="D518" s="14" t="str">
        <f t="array" ref="D518">IF(OR(H518="",H518="Selecciona.."),"",XLOOKUP(H518,Propiedades!B:B,Propiedades!A:A,"",0,1))</f>
        <v/>
      </c>
      <c r="E518" s="14" t="str">
        <f t="shared" si="2"/>
        <v/>
      </c>
      <c r="F518" s="14" t="str">
        <f t="shared" si="3"/>
        <v/>
      </c>
      <c r="G518" s="15" t="str">
        <f t="shared" si="8"/>
        <v/>
      </c>
      <c r="H518" s="15" t="str">
        <f t="shared" si="9"/>
        <v/>
      </c>
      <c r="I518" s="16" t="str">
        <f t="shared" si="10"/>
        <v/>
      </c>
      <c r="J518" s="17"/>
      <c r="K518" s="14" t="str">
        <f t="array" ref="K518">IF(OR(H518="",H518="Selecciona.."),"",XLOOKUP(H518,Propiedades!B:B,Propiedades!C:C,"",0,1))</f>
        <v/>
      </c>
    </row>
    <row r="519">
      <c r="A519" s="14" t="str">
        <f t="shared" si="1"/>
        <v/>
      </c>
      <c r="B519" s="14" t="str">
        <f t="array" ref="B519">IF(OR(G519="",G519="Selecciona.."),"",XLOOKUP(G519,Productos!E:E,Productos!A:A,"",0,1))</f>
        <v/>
      </c>
      <c r="C519" s="14" t="str">
        <f t="array" ref="C519">IF(B519="","",SUMIF(Implementos!B:B,XLOOKUP(B519,Productos!A:A,Productos!F:F,"",0,1),Implementos!A:A))</f>
        <v/>
      </c>
      <c r="D519" s="14" t="str">
        <f t="array" ref="D519">IF(OR(H519="",H519="Selecciona.."),"",XLOOKUP(H519,Propiedades!B:B,Propiedades!A:A,"",0,1))</f>
        <v/>
      </c>
      <c r="E519" s="14" t="str">
        <f t="shared" si="2"/>
        <v/>
      </c>
      <c r="F519" s="14" t="str">
        <f t="shared" si="3"/>
        <v/>
      </c>
      <c r="G519" s="15" t="str">
        <f t="shared" si="8"/>
        <v/>
      </c>
      <c r="H519" s="15" t="str">
        <f t="shared" si="9"/>
        <v/>
      </c>
      <c r="I519" s="16" t="str">
        <f t="shared" si="10"/>
        <v/>
      </c>
      <c r="J519" s="17"/>
      <c r="K519" s="14" t="str">
        <f t="array" ref="K519">IF(OR(H519="",H519="Selecciona.."),"",XLOOKUP(H519,Propiedades!B:B,Propiedades!C:C,"",0,1))</f>
        <v/>
      </c>
    </row>
    <row r="520">
      <c r="A520" s="14" t="str">
        <f t="shared" si="1"/>
        <v/>
      </c>
      <c r="B520" s="14" t="str">
        <f t="array" ref="B520">IF(OR(G520="",G520="Selecciona.."),"",XLOOKUP(G520,Productos!E:E,Productos!A:A,"",0,1))</f>
        <v/>
      </c>
      <c r="C520" s="14" t="str">
        <f t="array" ref="C520">IF(B520="","",SUMIF(Implementos!B:B,XLOOKUP(B520,Productos!A:A,Productos!F:F,"",0,1),Implementos!A:A))</f>
        <v/>
      </c>
      <c r="D520" s="14" t="str">
        <f t="array" ref="D520">IF(OR(H520="",H520="Selecciona.."),"",XLOOKUP(H520,Propiedades!B:B,Propiedades!A:A,"",0,1))</f>
        <v/>
      </c>
      <c r="E520" s="14" t="str">
        <f t="shared" si="2"/>
        <v/>
      </c>
      <c r="F520" s="14" t="str">
        <f t="shared" si="3"/>
        <v/>
      </c>
      <c r="G520" s="15" t="str">
        <f t="shared" si="8"/>
        <v/>
      </c>
      <c r="H520" s="15" t="str">
        <f t="shared" si="9"/>
        <v/>
      </c>
      <c r="I520" s="16" t="str">
        <f t="shared" si="10"/>
        <v/>
      </c>
      <c r="J520" s="17"/>
      <c r="K520" s="14" t="str">
        <f t="array" ref="K520">IF(OR(H520="",H520="Selecciona.."),"",XLOOKUP(H520,Propiedades!B:B,Propiedades!C:C,"",0,1))</f>
        <v/>
      </c>
    </row>
    <row r="521">
      <c r="A521" s="14" t="str">
        <f t="shared" si="1"/>
        <v/>
      </c>
      <c r="B521" s="14" t="str">
        <f t="array" ref="B521">IF(OR(G521="",G521="Selecciona.."),"",XLOOKUP(G521,Productos!E:E,Productos!A:A,"",0,1))</f>
        <v/>
      </c>
      <c r="C521" s="14" t="str">
        <f t="array" ref="C521">IF(B521="","",SUMIF(Implementos!B:B,XLOOKUP(B521,Productos!A:A,Productos!F:F,"",0,1),Implementos!A:A))</f>
        <v/>
      </c>
      <c r="D521" s="14" t="str">
        <f t="array" ref="D521">IF(OR(H521="",H521="Selecciona.."),"",XLOOKUP(H521,Propiedades!B:B,Propiedades!A:A,"",0,1))</f>
        <v/>
      </c>
      <c r="E521" s="14" t="str">
        <f t="shared" si="2"/>
        <v/>
      </c>
      <c r="F521" s="14" t="str">
        <f t="shared" si="3"/>
        <v/>
      </c>
      <c r="G521" s="15" t="str">
        <f t="shared" si="8"/>
        <v/>
      </c>
      <c r="H521" s="15" t="str">
        <f t="shared" si="9"/>
        <v/>
      </c>
      <c r="I521" s="16" t="str">
        <f t="shared" si="10"/>
        <v/>
      </c>
      <c r="J521" s="17"/>
      <c r="K521" s="14" t="str">
        <f t="array" ref="K521">IF(OR(H521="",H521="Selecciona.."),"",XLOOKUP(H521,Propiedades!B:B,Propiedades!C:C,"",0,1))</f>
        <v/>
      </c>
    </row>
    <row r="522">
      <c r="A522" s="14" t="str">
        <f t="shared" si="1"/>
        <v/>
      </c>
      <c r="B522" s="14" t="str">
        <f t="array" ref="B522">IF(OR(G522="",G522="Selecciona.."),"",XLOOKUP(G522,Productos!E:E,Productos!A:A,"",0,1))</f>
        <v/>
      </c>
      <c r="C522" s="14" t="str">
        <f t="array" ref="C522">IF(B522="","",SUMIF(Implementos!B:B,XLOOKUP(B522,Productos!A:A,Productos!F:F,"",0,1),Implementos!A:A))</f>
        <v/>
      </c>
      <c r="D522" s="14" t="str">
        <f t="array" ref="D522">IF(OR(H522="",H522="Selecciona.."),"",XLOOKUP(H522,Propiedades!B:B,Propiedades!A:A,"",0,1))</f>
        <v/>
      </c>
      <c r="E522" s="14" t="str">
        <f t="shared" si="2"/>
        <v/>
      </c>
      <c r="F522" s="14" t="str">
        <f t="shared" si="3"/>
        <v/>
      </c>
      <c r="G522" s="15" t="str">
        <f t="shared" si="8"/>
        <v/>
      </c>
      <c r="H522" s="15" t="str">
        <f t="shared" si="9"/>
        <v/>
      </c>
      <c r="I522" s="16" t="str">
        <f t="shared" si="10"/>
        <v/>
      </c>
      <c r="J522" s="17"/>
      <c r="K522" s="14" t="str">
        <f t="array" ref="K522">IF(OR(H522="",H522="Selecciona.."),"",XLOOKUP(H522,Propiedades!B:B,Propiedades!C:C,"",0,1))</f>
        <v/>
      </c>
    </row>
    <row r="523">
      <c r="A523" s="14" t="str">
        <f t="shared" si="1"/>
        <v/>
      </c>
      <c r="B523" s="14" t="str">
        <f t="array" ref="B523">IF(OR(G523="",G523="Selecciona.."),"",XLOOKUP(G523,Productos!E:E,Productos!A:A,"",0,1))</f>
        <v/>
      </c>
      <c r="C523" s="14" t="str">
        <f t="array" ref="C523">IF(B523="","",SUMIF(Implementos!B:B,XLOOKUP(B523,Productos!A:A,Productos!F:F,"",0,1),Implementos!A:A))</f>
        <v/>
      </c>
      <c r="D523" s="14" t="str">
        <f t="array" ref="D523">IF(OR(H523="",H523="Selecciona.."),"",XLOOKUP(H523,Propiedades!B:B,Propiedades!A:A,"",0,1))</f>
        <v/>
      </c>
      <c r="E523" s="14" t="str">
        <f t="shared" si="2"/>
        <v/>
      </c>
      <c r="F523" s="14" t="str">
        <f t="shared" si="3"/>
        <v/>
      </c>
      <c r="G523" s="15" t="str">
        <f t="shared" si="8"/>
        <v/>
      </c>
      <c r="H523" s="15" t="str">
        <f t="shared" si="9"/>
        <v/>
      </c>
      <c r="I523" s="16" t="str">
        <f t="shared" si="10"/>
        <v/>
      </c>
      <c r="J523" s="17"/>
      <c r="K523" s="14" t="str">
        <f t="array" ref="K523">IF(OR(H523="",H523="Selecciona.."),"",XLOOKUP(H523,Propiedades!B:B,Propiedades!C:C,"",0,1))</f>
        <v/>
      </c>
    </row>
    <row r="524">
      <c r="A524" s="14" t="str">
        <f t="shared" si="1"/>
        <v/>
      </c>
      <c r="B524" s="14" t="str">
        <f t="array" ref="B524">IF(OR(G524="",G524="Selecciona.."),"",XLOOKUP(G524,Productos!E:E,Productos!A:A,"",0,1))</f>
        <v/>
      </c>
      <c r="C524" s="14" t="str">
        <f t="array" ref="C524">IF(B524="","",SUMIF(Implementos!B:B,XLOOKUP(B524,Productos!A:A,Productos!F:F,"",0,1),Implementos!A:A))</f>
        <v/>
      </c>
      <c r="D524" s="14" t="str">
        <f t="array" ref="D524">IF(OR(H524="",H524="Selecciona.."),"",XLOOKUP(H524,Propiedades!B:B,Propiedades!A:A,"",0,1))</f>
        <v/>
      </c>
      <c r="E524" s="14" t="str">
        <f t="shared" si="2"/>
        <v/>
      </c>
      <c r="F524" s="14" t="str">
        <f t="shared" si="3"/>
        <v/>
      </c>
      <c r="G524" s="15" t="str">
        <f t="shared" si="8"/>
        <v/>
      </c>
      <c r="H524" s="15" t="str">
        <f t="shared" si="9"/>
        <v/>
      </c>
      <c r="I524" s="16" t="str">
        <f t="shared" si="10"/>
        <v/>
      </c>
      <c r="J524" s="17"/>
      <c r="K524" s="14" t="str">
        <f t="array" ref="K524">IF(OR(H524="",H524="Selecciona.."),"",XLOOKUP(H524,Propiedades!B:B,Propiedades!C:C,"",0,1))</f>
        <v/>
      </c>
    </row>
    <row r="525">
      <c r="A525" s="14" t="str">
        <f t="shared" si="1"/>
        <v/>
      </c>
      <c r="B525" s="14" t="str">
        <f t="array" ref="B525">IF(OR(G525="",G525="Selecciona.."),"",XLOOKUP(G525,Productos!E:E,Productos!A:A,"",0,1))</f>
        <v/>
      </c>
      <c r="C525" s="14" t="str">
        <f t="array" ref="C525">IF(B525="","",SUMIF(Implementos!B:B,XLOOKUP(B525,Productos!A:A,Productos!F:F,"",0,1),Implementos!A:A))</f>
        <v/>
      </c>
      <c r="D525" s="14" t="str">
        <f t="array" ref="D525">IF(OR(H525="",H525="Selecciona.."),"",XLOOKUP(H525,Propiedades!B:B,Propiedades!A:A,"",0,1))</f>
        <v/>
      </c>
      <c r="E525" s="14" t="str">
        <f t="shared" si="2"/>
        <v/>
      </c>
      <c r="F525" s="14" t="str">
        <f t="shared" si="3"/>
        <v/>
      </c>
      <c r="G525" s="15" t="str">
        <f t="shared" si="8"/>
        <v/>
      </c>
      <c r="H525" s="15" t="str">
        <f t="shared" si="9"/>
        <v/>
      </c>
      <c r="I525" s="16" t="str">
        <f t="shared" si="10"/>
        <v/>
      </c>
      <c r="J525" s="17"/>
      <c r="K525" s="14" t="str">
        <f t="array" ref="K525">IF(OR(H525="",H525="Selecciona.."),"",XLOOKUP(H525,Propiedades!B:B,Propiedades!C:C,"",0,1))</f>
        <v/>
      </c>
    </row>
    <row r="526">
      <c r="A526" s="14" t="str">
        <f t="shared" si="1"/>
        <v/>
      </c>
      <c r="B526" s="14" t="str">
        <f t="array" ref="B526">IF(OR(G526="",G526="Selecciona.."),"",XLOOKUP(G526,Productos!E:E,Productos!A:A,"",0,1))</f>
        <v/>
      </c>
      <c r="C526" s="14" t="str">
        <f t="array" ref="C526">IF(B526="","",SUMIF(Implementos!B:B,XLOOKUP(B526,Productos!A:A,Productos!F:F,"",0,1),Implementos!A:A))</f>
        <v/>
      </c>
      <c r="D526" s="14" t="str">
        <f t="array" ref="D526">IF(OR(H526="",H526="Selecciona.."),"",XLOOKUP(H526,Propiedades!B:B,Propiedades!A:A,"",0,1))</f>
        <v/>
      </c>
      <c r="E526" s="14" t="str">
        <f t="shared" si="2"/>
        <v/>
      </c>
      <c r="F526" s="14" t="str">
        <f t="shared" si="3"/>
        <v/>
      </c>
      <c r="G526" s="15" t="str">
        <f t="shared" si="8"/>
        <v/>
      </c>
      <c r="H526" s="15" t="str">
        <f t="shared" si="9"/>
        <v/>
      </c>
      <c r="I526" s="16" t="str">
        <f t="shared" si="10"/>
        <v/>
      </c>
      <c r="J526" s="17"/>
      <c r="K526" s="14" t="str">
        <f t="array" ref="K526">IF(OR(H526="",H526="Selecciona.."),"",XLOOKUP(H526,Propiedades!B:B,Propiedades!C:C,"",0,1))</f>
        <v/>
      </c>
    </row>
    <row r="527">
      <c r="A527" s="14" t="str">
        <f t="shared" si="1"/>
        <v/>
      </c>
      <c r="B527" s="14" t="str">
        <f t="array" ref="B527">IF(OR(G527="",G527="Selecciona.."),"",XLOOKUP(G527,Productos!E:E,Productos!A:A,"",0,1))</f>
        <v/>
      </c>
      <c r="C527" s="14" t="str">
        <f t="array" ref="C527">IF(B527="","",SUMIF(Implementos!B:B,XLOOKUP(B527,Productos!A:A,Productos!F:F,"",0,1),Implementos!A:A))</f>
        <v/>
      </c>
      <c r="D527" s="14" t="str">
        <f t="array" ref="D527">IF(OR(H527="",H527="Selecciona.."),"",XLOOKUP(H527,Propiedades!B:B,Propiedades!A:A,"",0,1))</f>
        <v/>
      </c>
      <c r="E527" s="14" t="str">
        <f t="shared" si="2"/>
        <v/>
      </c>
      <c r="F527" s="14" t="str">
        <f t="shared" si="3"/>
        <v/>
      </c>
      <c r="G527" s="15" t="str">
        <f t="shared" si="8"/>
        <v/>
      </c>
      <c r="H527" s="15" t="str">
        <f t="shared" si="9"/>
        <v/>
      </c>
      <c r="I527" s="16" t="str">
        <f t="shared" si="10"/>
        <v/>
      </c>
      <c r="J527" s="17"/>
      <c r="K527" s="14" t="str">
        <f t="array" ref="K527">IF(OR(H527="",H527="Selecciona.."),"",XLOOKUP(H527,Propiedades!B:B,Propiedades!C:C,"",0,1))</f>
        <v/>
      </c>
    </row>
    <row r="528">
      <c r="A528" s="14" t="str">
        <f t="shared" si="1"/>
        <v/>
      </c>
      <c r="B528" s="14" t="str">
        <f t="array" ref="B528">IF(OR(G528="",G528="Selecciona.."),"",XLOOKUP(G528,Productos!E:E,Productos!A:A,"",0,1))</f>
        <v/>
      </c>
      <c r="C528" s="14" t="str">
        <f t="array" ref="C528">IF(B528="","",SUMIF(Implementos!B:B,XLOOKUP(B528,Productos!A:A,Productos!F:F,"",0,1),Implementos!A:A))</f>
        <v/>
      </c>
      <c r="D528" s="14" t="str">
        <f t="array" ref="D528">IF(OR(H528="",H528="Selecciona.."),"",XLOOKUP(H528,Propiedades!B:B,Propiedades!A:A,"",0,1))</f>
        <v/>
      </c>
      <c r="E528" s="14" t="str">
        <f t="shared" si="2"/>
        <v/>
      </c>
      <c r="F528" s="14" t="str">
        <f t="shared" si="3"/>
        <v/>
      </c>
      <c r="G528" s="15" t="str">
        <f t="shared" si="8"/>
        <v/>
      </c>
      <c r="H528" s="15" t="str">
        <f t="shared" si="9"/>
        <v/>
      </c>
      <c r="I528" s="16" t="str">
        <f t="shared" si="10"/>
        <v/>
      </c>
      <c r="J528" s="17"/>
      <c r="K528" s="14" t="str">
        <f t="array" ref="K528">IF(OR(H528="",H528="Selecciona.."),"",XLOOKUP(H528,Propiedades!B:B,Propiedades!C:C,"",0,1))</f>
        <v/>
      </c>
    </row>
    <row r="529">
      <c r="A529" s="14" t="str">
        <f t="shared" si="1"/>
        <v/>
      </c>
      <c r="B529" s="14" t="str">
        <f t="array" ref="B529">IF(OR(G529="",G529="Selecciona.."),"",XLOOKUP(G529,Productos!E:E,Productos!A:A,"",0,1))</f>
        <v/>
      </c>
      <c r="C529" s="14" t="str">
        <f t="array" ref="C529">IF(B529="","",SUMIF(Implementos!B:B,XLOOKUP(B529,Productos!A:A,Productos!F:F,"",0,1),Implementos!A:A))</f>
        <v/>
      </c>
      <c r="D529" s="14" t="str">
        <f t="array" ref="D529">IF(OR(H529="",H529="Selecciona.."),"",XLOOKUP(H529,Propiedades!B:B,Propiedades!A:A,"",0,1))</f>
        <v/>
      </c>
      <c r="E529" s="14" t="str">
        <f t="shared" si="2"/>
        <v/>
      </c>
      <c r="F529" s="14" t="str">
        <f t="shared" si="3"/>
        <v/>
      </c>
      <c r="G529" s="15" t="str">
        <f t="shared" si="8"/>
        <v/>
      </c>
      <c r="H529" s="15" t="str">
        <f t="shared" si="9"/>
        <v/>
      </c>
      <c r="I529" s="16" t="str">
        <f t="shared" si="10"/>
        <v/>
      </c>
      <c r="J529" s="17"/>
      <c r="K529" s="14" t="str">
        <f t="array" ref="K529">IF(OR(H529="",H529="Selecciona.."),"",XLOOKUP(H529,Propiedades!B:B,Propiedades!C:C,"",0,1))</f>
        <v/>
      </c>
    </row>
    <row r="530">
      <c r="A530" s="14" t="str">
        <f t="shared" si="1"/>
        <v/>
      </c>
      <c r="B530" s="14" t="str">
        <f t="array" ref="B530">IF(OR(G530="",G530="Selecciona.."),"",XLOOKUP(G530,Productos!E:E,Productos!A:A,"",0,1))</f>
        <v/>
      </c>
      <c r="C530" s="14" t="str">
        <f t="array" ref="C530">IF(B530="","",SUMIF(Implementos!B:B,XLOOKUP(B530,Productos!A:A,Productos!F:F,"",0,1),Implementos!A:A))</f>
        <v/>
      </c>
      <c r="D530" s="14" t="str">
        <f t="array" ref="D530">IF(OR(H530="",H530="Selecciona.."),"",XLOOKUP(H530,Propiedades!B:B,Propiedades!A:A,"",0,1))</f>
        <v/>
      </c>
      <c r="E530" s="14" t="str">
        <f t="shared" si="2"/>
        <v/>
      </c>
      <c r="F530" s="14" t="str">
        <f t="shared" si="3"/>
        <v/>
      </c>
      <c r="G530" s="15" t="str">
        <f t="shared" si="8"/>
        <v/>
      </c>
      <c r="H530" s="15" t="str">
        <f t="shared" si="9"/>
        <v/>
      </c>
      <c r="I530" s="16" t="str">
        <f t="shared" si="10"/>
        <v/>
      </c>
      <c r="J530" s="17"/>
      <c r="K530" s="14" t="str">
        <f t="array" ref="K530">IF(OR(H530="",H530="Selecciona.."),"",XLOOKUP(H530,Propiedades!B:B,Propiedades!C:C,"",0,1))</f>
        <v/>
      </c>
    </row>
    <row r="531">
      <c r="A531" s="14" t="str">
        <f t="shared" si="1"/>
        <v/>
      </c>
      <c r="B531" s="14" t="str">
        <f t="array" ref="B531">IF(OR(G531="",G531="Selecciona.."),"",XLOOKUP(G531,Productos!E:E,Productos!A:A,"",0,1))</f>
        <v/>
      </c>
      <c r="C531" s="14" t="str">
        <f t="array" ref="C531">IF(B531="","",SUMIF(Implementos!B:B,XLOOKUP(B531,Productos!A:A,Productos!F:F,"",0,1),Implementos!A:A))</f>
        <v/>
      </c>
      <c r="D531" s="14" t="str">
        <f t="array" ref="D531">IF(OR(H531="",H531="Selecciona.."),"",XLOOKUP(H531,Propiedades!B:B,Propiedades!A:A,"",0,1))</f>
        <v/>
      </c>
      <c r="E531" s="14" t="str">
        <f t="shared" si="2"/>
        <v/>
      </c>
      <c r="F531" s="14" t="str">
        <f t="shared" si="3"/>
        <v/>
      </c>
      <c r="G531" s="15" t="str">
        <f t="shared" si="8"/>
        <v/>
      </c>
      <c r="H531" s="15" t="str">
        <f t="shared" si="9"/>
        <v/>
      </c>
      <c r="I531" s="16" t="str">
        <f t="shared" si="10"/>
        <v/>
      </c>
      <c r="J531" s="17"/>
      <c r="K531" s="14" t="str">
        <f t="array" ref="K531">IF(OR(H531="",H531="Selecciona.."),"",XLOOKUP(H531,Propiedades!B:B,Propiedades!C:C,"",0,1))</f>
        <v/>
      </c>
    </row>
    <row r="532">
      <c r="A532" s="14" t="str">
        <f t="shared" si="1"/>
        <v/>
      </c>
      <c r="B532" s="14" t="str">
        <f t="array" ref="B532">IF(OR(G532="",G532="Selecciona.."),"",XLOOKUP(G532,Productos!E:E,Productos!A:A,"",0,1))</f>
        <v/>
      </c>
      <c r="C532" s="14" t="str">
        <f t="array" ref="C532">IF(B532="","",SUMIF(Implementos!B:B,XLOOKUP(B532,Productos!A:A,Productos!F:F,"",0,1),Implementos!A:A))</f>
        <v/>
      </c>
      <c r="D532" s="14" t="str">
        <f t="array" ref="D532">IF(OR(H532="",H532="Selecciona.."),"",XLOOKUP(H532,Propiedades!B:B,Propiedades!A:A,"",0,1))</f>
        <v/>
      </c>
      <c r="E532" s="14" t="str">
        <f t="shared" si="2"/>
        <v/>
      </c>
      <c r="F532" s="14" t="str">
        <f t="shared" si="3"/>
        <v/>
      </c>
      <c r="G532" s="15" t="str">
        <f t="shared" si="8"/>
        <v/>
      </c>
      <c r="H532" s="15" t="str">
        <f t="shared" si="9"/>
        <v/>
      </c>
      <c r="I532" s="16" t="str">
        <f t="shared" si="10"/>
        <v/>
      </c>
      <c r="J532" s="17"/>
      <c r="K532" s="14" t="str">
        <f t="array" ref="K532">IF(OR(H532="",H532="Selecciona.."),"",XLOOKUP(H532,Propiedades!B:B,Propiedades!C:C,"",0,1))</f>
        <v/>
      </c>
    </row>
    <row r="533">
      <c r="A533" s="14" t="str">
        <f t="shared" si="1"/>
        <v/>
      </c>
      <c r="B533" s="14" t="str">
        <f t="array" ref="B533">IF(OR(G533="",G533="Selecciona.."),"",XLOOKUP(G533,Productos!E:E,Productos!A:A,"",0,1))</f>
        <v/>
      </c>
      <c r="C533" s="14" t="str">
        <f t="array" ref="C533">IF(B533="","",SUMIF(Implementos!B:B,XLOOKUP(B533,Productos!A:A,Productos!F:F,"",0,1),Implementos!A:A))</f>
        <v/>
      </c>
      <c r="D533" s="14" t="str">
        <f t="array" ref="D533">IF(OR(H533="",H533="Selecciona.."),"",XLOOKUP(H533,Propiedades!B:B,Propiedades!A:A,"",0,1))</f>
        <v/>
      </c>
      <c r="E533" s="14" t="str">
        <f t="shared" si="2"/>
        <v/>
      </c>
      <c r="F533" s="14" t="str">
        <f t="shared" si="3"/>
        <v/>
      </c>
      <c r="G533" s="15" t="str">
        <f t="shared" si="8"/>
        <v/>
      </c>
      <c r="H533" s="15" t="str">
        <f t="shared" si="9"/>
        <v/>
      </c>
      <c r="I533" s="16" t="str">
        <f t="shared" si="10"/>
        <v/>
      </c>
      <c r="J533" s="17"/>
      <c r="K533" s="14" t="str">
        <f t="array" ref="K533">IF(OR(H533="",H533="Selecciona.."),"",XLOOKUP(H533,Propiedades!B:B,Propiedades!C:C,"",0,1))</f>
        <v/>
      </c>
    </row>
    <row r="534">
      <c r="A534" s="14" t="str">
        <f t="shared" si="1"/>
        <v/>
      </c>
      <c r="B534" s="14" t="str">
        <f t="array" ref="B534">IF(OR(G534="",G534="Selecciona.."),"",XLOOKUP(G534,Productos!E:E,Productos!A:A,"",0,1))</f>
        <v/>
      </c>
      <c r="C534" s="14" t="str">
        <f t="array" ref="C534">IF(B534="","",SUMIF(Implementos!B:B,XLOOKUP(B534,Productos!A:A,Productos!F:F,"",0,1),Implementos!A:A))</f>
        <v/>
      </c>
      <c r="D534" s="14" t="str">
        <f t="array" ref="D534">IF(OR(H534="",H534="Selecciona.."),"",XLOOKUP(H534,Propiedades!B:B,Propiedades!A:A,"",0,1))</f>
        <v/>
      </c>
      <c r="E534" s="14" t="str">
        <f t="shared" si="2"/>
        <v/>
      </c>
      <c r="F534" s="14" t="str">
        <f t="shared" si="3"/>
        <v/>
      </c>
      <c r="G534" s="15" t="str">
        <f t="shared" si="8"/>
        <v/>
      </c>
      <c r="H534" s="15" t="str">
        <f t="shared" si="9"/>
        <v/>
      </c>
      <c r="I534" s="16" t="str">
        <f t="shared" si="10"/>
        <v/>
      </c>
      <c r="J534" s="17"/>
      <c r="K534" s="14" t="str">
        <f t="array" ref="K534">IF(OR(H534="",H534="Selecciona.."),"",XLOOKUP(H534,Propiedades!B:B,Propiedades!C:C,"",0,1))</f>
        <v/>
      </c>
    </row>
    <row r="535">
      <c r="A535" s="14" t="str">
        <f t="shared" si="1"/>
        <v/>
      </c>
      <c r="B535" s="14" t="str">
        <f t="array" ref="B535">IF(OR(G535="",G535="Selecciona.."),"",XLOOKUP(G535,Productos!E:E,Productos!A:A,"",0,1))</f>
        <v/>
      </c>
      <c r="C535" s="14" t="str">
        <f t="array" ref="C535">IF(B535="","",SUMIF(Implementos!B:B,XLOOKUP(B535,Productos!A:A,Productos!F:F,"",0,1),Implementos!A:A))</f>
        <v/>
      </c>
      <c r="D535" s="14" t="str">
        <f t="array" ref="D535">IF(OR(H535="",H535="Selecciona.."),"",XLOOKUP(H535,Propiedades!B:B,Propiedades!A:A,"",0,1))</f>
        <v/>
      </c>
      <c r="E535" s="14" t="str">
        <f t="shared" si="2"/>
        <v/>
      </c>
      <c r="F535" s="14" t="str">
        <f t="shared" si="3"/>
        <v/>
      </c>
      <c r="G535" s="15" t="str">
        <f t="shared" si="8"/>
        <v/>
      </c>
      <c r="H535" s="15" t="str">
        <f t="shared" si="9"/>
        <v/>
      </c>
      <c r="I535" s="16" t="str">
        <f t="shared" si="10"/>
        <v/>
      </c>
      <c r="J535" s="17"/>
      <c r="K535" s="14" t="str">
        <f t="array" ref="K535">IF(OR(H535="",H535="Selecciona.."),"",XLOOKUP(H535,Propiedades!B:B,Propiedades!C:C,"",0,1))</f>
        <v/>
      </c>
    </row>
    <row r="536">
      <c r="A536" s="14" t="str">
        <f t="shared" si="1"/>
        <v/>
      </c>
      <c r="B536" s="14" t="str">
        <f t="array" ref="B536">IF(OR(G536="",G536="Selecciona.."),"",XLOOKUP(G536,Productos!E:E,Productos!A:A,"",0,1))</f>
        <v/>
      </c>
      <c r="C536" s="14" t="str">
        <f t="array" ref="C536">IF(B536="","",SUMIF(Implementos!B:B,XLOOKUP(B536,Productos!A:A,Productos!F:F,"",0,1),Implementos!A:A))</f>
        <v/>
      </c>
      <c r="D536" s="14" t="str">
        <f t="array" ref="D536">IF(OR(H536="",H536="Selecciona.."),"",XLOOKUP(H536,Propiedades!B:B,Propiedades!A:A,"",0,1))</f>
        <v/>
      </c>
      <c r="E536" s="14" t="str">
        <f t="shared" si="2"/>
        <v/>
      </c>
      <c r="F536" s="14" t="str">
        <f t="shared" si="3"/>
        <v/>
      </c>
      <c r="G536" s="15" t="str">
        <f t="shared" si="8"/>
        <v/>
      </c>
      <c r="H536" s="15" t="str">
        <f t="shared" si="9"/>
        <v/>
      </c>
      <c r="I536" s="16" t="str">
        <f t="shared" si="10"/>
        <v/>
      </c>
      <c r="J536" s="17"/>
      <c r="K536" s="14" t="str">
        <f t="array" ref="K536">IF(OR(H536="",H536="Selecciona.."),"",XLOOKUP(H536,Propiedades!B:B,Propiedades!C:C,"",0,1))</f>
        <v/>
      </c>
    </row>
    <row r="537">
      <c r="A537" s="14" t="str">
        <f t="shared" si="1"/>
        <v/>
      </c>
      <c r="B537" s="14" t="str">
        <f t="array" ref="B537">IF(OR(G537="",G537="Selecciona.."),"",XLOOKUP(G537,Productos!E:E,Productos!A:A,"",0,1))</f>
        <v/>
      </c>
      <c r="C537" s="14" t="str">
        <f t="array" ref="C537">IF(B537="","",SUMIF(Implementos!B:B,XLOOKUP(B537,Productos!A:A,Productos!F:F,"",0,1),Implementos!A:A))</f>
        <v/>
      </c>
      <c r="D537" s="14" t="str">
        <f t="array" ref="D537">IF(OR(H537="",H537="Selecciona.."),"",XLOOKUP(H537,Propiedades!B:B,Propiedades!A:A,"",0,1))</f>
        <v/>
      </c>
      <c r="E537" s="14" t="str">
        <f t="shared" si="2"/>
        <v/>
      </c>
      <c r="F537" s="14" t="str">
        <f t="shared" si="3"/>
        <v/>
      </c>
      <c r="G537" s="15" t="str">
        <f t="shared" si="8"/>
        <v/>
      </c>
      <c r="H537" s="15" t="str">
        <f t="shared" si="9"/>
        <v/>
      </c>
      <c r="I537" s="16" t="str">
        <f t="shared" si="10"/>
        <v/>
      </c>
      <c r="J537" s="17"/>
      <c r="K537" s="14" t="str">
        <f t="array" ref="K537">IF(OR(H537="",H537="Selecciona.."),"",XLOOKUP(H537,Propiedades!B:B,Propiedades!C:C,"",0,1))</f>
        <v/>
      </c>
    </row>
    <row r="538">
      <c r="A538" s="14" t="str">
        <f t="shared" si="1"/>
        <v/>
      </c>
      <c r="B538" s="14" t="str">
        <f t="array" ref="B538">IF(OR(G538="",G538="Selecciona.."),"",XLOOKUP(G538,Productos!E:E,Productos!A:A,"",0,1))</f>
        <v/>
      </c>
      <c r="C538" s="14" t="str">
        <f t="array" ref="C538">IF(B538="","",SUMIF(Implementos!B:B,XLOOKUP(B538,Productos!A:A,Productos!F:F,"",0,1),Implementos!A:A))</f>
        <v/>
      </c>
      <c r="D538" s="14" t="str">
        <f t="array" ref="D538">IF(OR(H538="",H538="Selecciona.."),"",XLOOKUP(H538,Propiedades!B:B,Propiedades!A:A,"",0,1))</f>
        <v/>
      </c>
      <c r="E538" s="14" t="str">
        <f t="shared" si="2"/>
        <v/>
      </c>
      <c r="F538" s="14" t="str">
        <f t="shared" si="3"/>
        <v/>
      </c>
      <c r="G538" s="15" t="str">
        <f t="shared" si="8"/>
        <v/>
      </c>
      <c r="H538" s="15" t="str">
        <f t="shared" si="9"/>
        <v/>
      </c>
      <c r="I538" s="16" t="str">
        <f t="shared" si="10"/>
        <v/>
      </c>
      <c r="J538" s="17"/>
      <c r="K538" s="14" t="str">
        <f t="array" ref="K538">IF(OR(H538="",H538="Selecciona.."),"",XLOOKUP(H538,Propiedades!B:B,Propiedades!C:C,"",0,1))</f>
        <v/>
      </c>
    </row>
    <row r="539">
      <c r="A539" s="14" t="str">
        <f t="shared" si="1"/>
        <v/>
      </c>
      <c r="B539" s="14" t="str">
        <f t="array" ref="B539">IF(OR(G539="",G539="Selecciona.."),"",XLOOKUP(G539,Productos!E:E,Productos!A:A,"",0,1))</f>
        <v/>
      </c>
      <c r="C539" s="14" t="str">
        <f t="array" ref="C539">IF(B539="","",SUMIF(Implementos!B:B,XLOOKUP(B539,Productos!A:A,Productos!F:F,"",0,1),Implementos!A:A))</f>
        <v/>
      </c>
      <c r="D539" s="14" t="str">
        <f t="array" ref="D539">IF(OR(H539="",H539="Selecciona.."),"",XLOOKUP(H539,Propiedades!B:B,Propiedades!A:A,"",0,1))</f>
        <v/>
      </c>
      <c r="E539" s="14" t="str">
        <f t="shared" si="2"/>
        <v/>
      </c>
      <c r="F539" s="14" t="str">
        <f t="shared" si="3"/>
        <v/>
      </c>
      <c r="G539" s="15" t="str">
        <f t="shared" si="8"/>
        <v/>
      </c>
      <c r="H539" s="15" t="str">
        <f t="shared" si="9"/>
        <v/>
      </c>
      <c r="I539" s="16" t="str">
        <f t="shared" si="10"/>
        <v/>
      </c>
      <c r="J539" s="17"/>
      <c r="K539" s="14" t="str">
        <f t="array" ref="K539">IF(OR(H539="",H539="Selecciona.."),"",XLOOKUP(H539,Propiedades!B:B,Propiedades!C:C,"",0,1))</f>
        <v/>
      </c>
    </row>
    <row r="540">
      <c r="A540" s="14" t="str">
        <f t="shared" si="1"/>
        <v/>
      </c>
      <c r="B540" s="14" t="str">
        <f t="array" ref="B540">IF(OR(G540="",G540="Selecciona.."),"",XLOOKUP(G540,Productos!E:E,Productos!A:A,"",0,1))</f>
        <v/>
      </c>
      <c r="C540" s="14" t="str">
        <f t="array" ref="C540">IF(B540="","",SUMIF(Implementos!B:B,XLOOKUP(B540,Productos!A:A,Productos!F:F,"",0,1),Implementos!A:A))</f>
        <v/>
      </c>
      <c r="D540" s="14" t="str">
        <f t="array" ref="D540">IF(OR(H540="",H540="Selecciona.."),"",XLOOKUP(H540,Propiedades!B:B,Propiedades!A:A,"",0,1))</f>
        <v/>
      </c>
      <c r="E540" s="14" t="str">
        <f t="shared" si="2"/>
        <v/>
      </c>
      <c r="F540" s="14" t="str">
        <f t="shared" si="3"/>
        <v/>
      </c>
      <c r="G540" s="15" t="str">
        <f t="shared" si="8"/>
        <v/>
      </c>
      <c r="H540" s="15" t="str">
        <f t="shared" si="9"/>
        <v/>
      </c>
      <c r="I540" s="16" t="str">
        <f t="shared" si="10"/>
        <v/>
      </c>
      <c r="J540" s="17"/>
      <c r="K540" s="14" t="str">
        <f t="array" ref="K540">IF(OR(H540="",H540="Selecciona.."),"",XLOOKUP(H540,Propiedades!B:B,Propiedades!C:C,"",0,1))</f>
        <v/>
      </c>
    </row>
    <row r="541">
      <c r="A541" s="14" t="str">
        <f t="shared" si="1"/>
        <v/>
      </c>
      <c r="B541" s="14" t="str">
        <f t="array" ref="B541">IF(OR(G541="",G541="Selecciona.."),"",XLOOKUP(G541,Productos!E:E,Productos!A:A,"",0,1))</f>
        <v/>
      </c>
      <c r="C541" s="14" t="str">
        <f t="array" ref="C541">IF(B541="","",SUMIF(Implementos!B:B,XLOOKUP(B541,Productos!A:A,Productos!F:F,"",0,1),Implementos!A:A))</f>
        <v/>
      </c>
      <c r="D541" s="14" t="str">
        <f t="array" ref="D541">IF(OR(H541="",H541="Selecciona.."),"",XLOOKUP(H541,Propiedades!B:B,Propiedades!A:A,"",0,1))</f>
        <v/>
      </c>
      <c r="E541" s="14" t="str">
        <f t="shared" si="2"/>
        <v/>
      </c>
      <c r="F541" s="14" t="str">
        <f t="shared" si="3"/>
        <v/>
      </c>
      <c r="G541" s="15" t="str">
        <f t="shared" si="8"/>
        <v/>
      </c>
      <c r="H541" s="15" t="str">
        <f t="shared" si="9"/>
        <v/>
      </c>
      <c r="I541" s="16" t="str">
        <f t="shared" si="10"/>
        <v/>
      </c>
      <c r="J541" s="17"/>
      <c r="K541" s="14" t="str">
        <f t="array" ref="K541">IF(OR(H541="",H541="Selecciona.."),"",XLOOKUP(H541,Propiedades!B:B,Propiedades!C:C,"",0,1))</f>
        <v/>
      </c>
    </row>
    <row r="542">
      <c r="A542" s="14" t="str">
        <f t="shared" si="1"/>
        <v/>
      </c>
      <c r="B542" s="14" t="str">
        <f t="array" ref="B542">IF(OR(G542="",G542="Selecciona.."),"",XLOOKUP(G542,Productos!E:E,Productos!A:A,"",0,1))</f>
        <v/>
      </c>
      <c r="C542" s="14" t="str">
        <f t="array" ref="C542">IF(B542="","",SUMIF(Implementos!B:B,XLOOKUP(B542,Productos!A:A,Productos!F:F,"",0,1),Implementos!A:A))</f>
        <v/>
      </c>
      <c r="D542" s="14" t="str">
        <f t="array" ref="D542">IF(OR(H542="",H542="Selecciona.."),"",XLOOKUP(H542,Propiedades!B:B,Propiedades!A:A,"",0,1))</f>
        <v/>
      </c>
      <c r="E542" s="14" t="str">
        <f t="shared" si="2"/>
        <v/>
      </c>
      <c r="F542" s="14" t="str">
        <f t="shared" si="3"/>
        <v/>
      </c>
      <c r="G542" s="15" t="str">
        <f t="shared" si="8"/>
        <v/>
      </c>
      <c r="H542" s="15" t="str">
        <f t="shared" si="9"/>
        <v/>
      </c>
      <c r="I542" s="16" t="str">
        <f t="shared" si="10"/>
        <v/>
      </c>
      <c r="J542" s="17"/>
      <c r="K542" s="14" t="str">
        <f t="array" ref="K542">IF(OR(H542="",H542="Selecciona.."),"",XLOOKUP(H542,Propiedades!B:B,Propiedades!C:C,"",0,1))</f>
        <v/>
      </c>
    </row>
    <row r="543">
      <c r="A543" s="14" t="str">
        <f t="shared" si="1"/>
        <v/>
      </c>
      <c r="B543" s="14" t="str">
        <f t="array" ref="B543">IF(OR(G543="",G543="Selecciona.."),"",XLOOKUP(G543,Productos!E:E,Productos!A:A,"",0,1))</f>
        <v/>
      </c>
      <c r="C543" s="14" t="str">
        <f t="array" ref="C543">IF(B543="","",SUMIF(Implementos!B:B,XLOOKUP(B543,Productos!A:A,Productos!F:F,"",0,1),Implementos!A:A))</f>
        <v/>
      </c>
      <c r="D543" s="14" t="str">
        <f t="array" ref="D543">IF(OR(H543="",H543="Selecciona.."),"",XLOOKUP(H543,Propiedades!B:B,Propiedades!A:A,"",0,1))</f>
        <v/>
      </c>
      <c r="E543" s="14" t="str">
        <f t="shared" si="2"/>
        <v/>
      </c>
      <c r="F543" s="14" t="str">
        <f t="shared" si="3"/>
        <v/>
      </c>
      <c r="G543" s="15" t="str">
        <f t="shared" si="8"/>
        <v/>
      </c>
      <c r="H543" s="15" t="str">
        <f t="shared" si="9"/>
        <v/>
      </c>
      <c r="I543" s="16" t="str">
        <f t="shared" si="10"/>
        <v/>
      </c>
      <c r="J543" s="17"/>
      <c r="K543" s="14" t="str">
        <f t="array" ref="K543">IF(OR(H543="",H543="Selecciona.."),"",XLOOKUP(H543,Propiedades!B:B,Propiedades!C:C,"",0,1))</f>
        <v/>
      </c>
    </row>
    <row r="544">
      <c r="A544" s="14" t="str">
        <f t="shared" si="1"/>
        <v/>
      </c>
      <c r="B544" s="14" t="str">
        <f t="array" ref="B544">IF(OR(G544="",G544="Selecciona.."),"",XLOOKUP(G544,Productos!E:E,Productos!A:A,"",0,1))</f>
        <v/>
      </c>
      <c r="C544" s="14" t="str">
        <f t="array" ref="C544">IF(B544="","",SUMIF(Implementos!B:B,XLOOKUP(B544,Productos!A:A,Productos!F:F,"",0,1),Implementos!A:A))</f>
        <v/>
      </c>
      <c r="D544" s="14" t="str">
        <f t="array" ref="D544">IF(OR(H544="",H544="Selecciona.."),"",XLOOKUP(H544,Propiedades!B:B,Propiedades!A:A,"",0,1))</f>
        <v/>
      </c>
      <c r="E544" s="14" t="str">
        <f t="shared" si="2"/>
        <v/>
      </c>
      <c r="F544" s="14" t="str">
        <f t="shared" si="3"/>
        <v/>
      </c>
      <c r="G544" s="15" t="str">
        <f t="shared" si="8"/>
        <v/>
      </c>
      <c r="H544" s="15" t="str">
        <f t="shared" si="9"/>
        <v/>
      </c>
      <c r="I544" s="16" t="str">
        <f t="shared" si="10"/>
        <v/>
      </c>
      <c r="J544" s="17"/>
      <c r="K544" s="14" t="str">
        <f t="array" ref="K544">IF(OR(H544="",H544="Selecciona.."),"",XLOOKUP(H544,Propiedades!B:B,Propiedades!C:C,"",0,1))</f>
        <v/>
      </c>
    </row>
    <row r="545">
      <c r="A545" s="14" t="str">
        <f t="shared" si="1"/>
        <v/>
      </c>
      <c r="B545" s="14" t="str">
        <f t="array" ref="B545">IF(OR(G545="",G545="Selecciona.."),"",XLOOKUP(G545,Productos!E:E,Productos!A:A,"",0,1))</f>
        <v/>
      </c>
      <c r="C545" s="14" t="str">
        <f t="array" ref="C545">IF(B545="","",SUMIF(Implementos!B:B,XLOOKUP(B545,Productos!A:A,Productos!F:F,"",0,1),Implementos!A:A))</f>
        <v/>
      </c>
      <c r="D545" s="14" t="str">
        <f t="array" ref="D545">IF(OR(H545="",H545="Selecciona.."),"",XLOOKUP(H545,Propiedades!B:B,Propiedades!A:A,"",0,1))</f>
        <v/>
      </c>
      <c r="E545" s="14" t="str">
        <f t="shared" si="2"/>
        <v/>
      </c>
      <c r="F545" s="14" t="str">
        <f t="shared" si="3"/>
        <v/>
      </c>
      <c r="G545" s="15" t="str">
        <f t="shared" si="8"/>
        <v/>
      </c>
      <c r="H545" s="15" t="str">
        <f t="shared" si="9"/>
        <v/>
      </c>
      <c r="I545" s="16" t="str">
        <f t="shared" si="10"/>
        <v/>
      </c>
      <c r="J545" s="17"/>
      <c r="K545" s="14" t="str">
        <f t="array" ref="K545">IF(OR(H545="",H545="Selecciona.."),"",XLOOKUP(H545,Propiedades!B:B,Propiedades!C:C,"",0,1))</f>
        <v/>
      </c>
    </row>
    <row r="546">
      <c r="A546" s="14" t="str">
        <f t="shared" si="1"/>
        <v/>
      </c>
      <c r="B546" s="14" t="str">
        <f t="array" ref="B546">IF(OR(G546="",G546="Selecciona.."),"",XLOOKUP(G546,Productos!E:E,Productos!A:A,"",0,1))</f>
        <v/>
      </c>
      <c r="C546" s="14" t="str">
        <f t="array" ref="C546">IF(B546="","",SUMIF(Implementos!B:B,XLOOKUP(B546,Productos!A:A,Productos!F:F,"",0,1),Implementos!A:A))</f>
        <v/>
      </c>
      <c r="D546" s="14" t="str">
        <f t="array" ref="D546">IF(OR(H546="",H546="Selecciona.."),"",XLOOKUP(H546,Propiedades!B:B,Propiedades!A:A,"",0,1))</f>
        <v/>
      </c>
      <c r="E546" s="14" t="str">
        <f t="shared" si="2"/>
        <v/>
      </c>
      <c r="F546" s="14" t="str">
        <f t="shared" si="3"/>
        <v/>
      </c>
      <c r="G546" s="15" t="str">
        <f t="shared" si="8"/>
        <v/>
      </c>
      <c r="H546" s="15" t="str">
        <f t="shared" si="9"/>
        <v/>
      </c>
      <c r="I546" s="16" t="str">
        <f t="shared" si="10"/>
        <v/>
      </c>
      <c r="J546" s="17"/>
      <c r="K546" s="14" t="str">
        <f t="array" ref="K546">IF(OR(H546="",H546="Selecciona.."),"",XLOOKUP(H546,Propiedades!B:B,Propiedades!C:C,"",0,1))</f>
        <v/>
      </c>
    </row>
    <row r="547">
      <c r="A547" s="14" t="str">
        <f t="shared" si="1"/>
        <v/>
      </c>
      <c r="B547" s="14" t="str">
        <f t="array" ref="B547">IF(OR(G547="",G547="Selecciona.."),"",XLOOKUP(G547,Productos!E:E,Productos!A:A,"",0,1))</f>
        <v/>
      </c>
      <c r="C547" s="14" t="str">
        <f t="array" ref="C547">IF(B547="","",SUMIF(Implementos!B:B,XLOOKUP(B547,Productos!A:A,Productos!F:F,"",0,1),Implementos!A:A))</f>
        <v/>
      </c>
      <c r="D547" s="14" t="str">
        <f t="array" ref="D547">IF(OR(H547="",H547="Selecciona.."),"",XLOOKUP(H547,Propiedades!B:B,Propiedades!A:A,"",0,1))</f>
        <v/>
      </c>
      <c r="E547" s="14" t="str">
        <f t="shared" si="2"/>
        <v/>
      </c>
      <c r="F547" s="14" t="str">
        <f t="shared" si="3"/>
        <v/>
      </c>
      <c r="G547" s="15" t="str">
        <f t="shared" si="8"/>
        <v/>
      </c>
      <c r="H547" s="15" t="str">
        <f t="shared" si="9"/>
        <v/>
      </c>
      <c r="I547" s="16" t="str">
        <f t="shared" si="10"/>
        <v/>
      </c>
      <c r="J547" s="17"/>
      <c r="K547" s="14" t="str">
        <f t="array" ref="K547">IF(OR(H547="",H547="Selecciona.."),"",XLOOKUP(H547,Propiedades!B:B,Propiedades!C:C,"",0,1))</f>
        <v/>
      </c>
    </row>
    <row r="548">
      <c r="A548" s="14" t="str">
        <f t="shared" si="1"/>
        <v/>
      </c>
      <c r="B548" s="14" t="str">
        <f t="array" ref="B548">IF(OR(G548="",G548="Selecciona.."),"",XLOOKUP(G548,Productos!E:E,Productos!A:A,"",0,1))</f>
        <v/>
      </c>
      <c r="C548" s="14" t="str">
        <f t="array" ref="C548">IF(B548="","",SUMIF(Implementos!B:B,XLOOKUP(B548,Productos!A:A,Productos!F:F,"",0,1),Implementos!A:A))</f>
        <v/>
      </c>
      <c r="D548" s="14" t="str">
        <f t="array" ref="D548">IF(OR(H548="",H548="Selecciona.."),"",XLOOKUP(H548,Propiedades!B:B,Propiedades!A:A,"",0,1))</f>
        <v/>
      </c>
      <c r="E548" s="14" t="str">
        <f t="shared" si="2"/>
        <v/>
      </c>
      <c r="F548" s="14" t="str">
        <f t="shared" si="3"/>
        <v/>
      </c>
      <c r="G548" s="15" t="str">
        <f t="shared" si="8"/>
        <v/>
      </c>
      <c r="H548" s="15" t="str">
        <f t="shared" si="9"/>
        <v/>
      </c>
      <c r="I548" s="16" t="str">
        <f t="shared" si="10"/>
        <v/>
      </c>
      <c r="J548" s="17"/>
      <c r="K548" s="14" t="str">
        <f t="array" ref="K548">IF(OR(H548="",H548="Selecciona.."),"",XLOOKUP(H548,Propiedades!B:B,Propiedades!C:C,"",0,1))</f>
        <v/>
      </c>
    </row>
    <row r="549">
      <c r="A549" s="14" t="str">
        <f t="shared" si="1"/>
        <v/>
      </c>
      <c r="B549" s="14" t="str">
        <f t="array" ref="B549">IF(OR(G549="",G549="Selecciona.."),"",XLOOKUP(G549,Productos!E:E,Productos!A:A,"",0,1))</f>
        <v/>
      </c>
      <c r="C549" s="14" t="str">
        <f t="array" ref="C549">IF(B549="","",SUMIF(Implementos!B:B,XLOOKUP(B549,Productos!A:A,Productos!F:F,"",0,1),Implementos!A:A))</f>
        <v/>
      </c>
      <c r="D549" s="14" t="str">
        <f t="array" ref="D549">IF(OR(H549="",H549="Selecciona.."),"",XLOOKUP(H549,Propiedades!B:B,Propiedades!A:A,"",0,1))</f>
        <v/>
      </c>
      <c r="E549" s="14" t="str">
        <f t="shared" si="2"/>
        <v/>
      </c>
      <c r="F549" s="14" t="str">
        <f t="shared" si="3"/>
        <v/>
      </c>
      <c r="G549" s="15" t="str">
        <f t="shared" si="8"/>
        <v/>
      </c>
      <c r="H549" s="15" t="str">
        <f t="shared" si="9"/>
        <v/>
      </c>
      <c r="I549" s="16" t="str">
        <f t="shared" si="10"/>
        <v/>
      </c>
      <c r="J549" s="17"/>
      <c r="K549" s="14" t="str">
        <f t="array" ref="K549">IF(OR(H549="",H549="Selecciona.."),"",XLOOKUP(H549,Propiedades!B:B,Propiedades!C:C,"",0,1))</f>
        <v/>
      </c>
    </row>
    <row r="550">
      <c r="A550" s="14" t="str">
        <f t="shared" si="1"/>
        <v/>
      </c>
      <c r="B550" s="14" t="str">
        <f t="array" ref="B550">IF(OR(G550="",G550="Selecciona.."),"",XLOOKUP(G550,Productos!E:E,Productos!A:A,"",0,1))</f>
        <v/>
      </c>
      <c r="C550" s="14" t="str">
        <f t="array" ref="C550">IF(B550="","",SUMIF(Implementos!B:B,XLOOKUP(B550,Productos!A:A,Productos!F:F,"",0,1),Implementos!A:A))</f>
        <v/>
      </c>
      <c r="D550" s="14" t="str">
        <f t="array" ref="D550">IF(OR(H550="",H550="Selecciona.."),"",XLOOKUP(H550,Propiedades!B:B,Propiedades!A:A,"",0,1))</f>
        <v/>
      </c>
      <c r="E550" s="14" t="str">
        <f t="shared" si="2"/>
        <v/>
      </c>
      <c r="F550" s="14" t="str">
        <f t="shared" si="3"/>
        <v/>
      </c>
      <c r="G550" s="15" t="str">
        <f t="shared" si="8"/>
        <v/>
      </c>
      <c r="H550" s="15" t="str">
        <f t="shared" si="9"/>
        <v/>
      </c>
      <c r="I550" s="16" t="str">
        <f t="shared" si="10"/>
        <v/>
      </c>
      <c r="J550" s="17"/>
      <c r="K550" s="14" t="str">
        <f t="array" ref="K550">IF(OR(H550="",H550="Selecciona.."),"",XLOOKUP(H550,Propiedades!B:B,Propiedades!C:C,"",0,1))</f>
        <v/>
      </c>
    </row>
    <row r="551">
      <c r="A551" s="14" t="str">
        <f t="shared" si="1"/>
        <v/>
      </c>
      <c r="B551" s="14" t="str">
        <f t="array" ref="B551">IF(OR(G551="",G551="Selecciona.."),"",XLOOKUP(G551,Productos!E:E,Productos!A:A,"",0,1))</f>
        <v/>
      </c>
      <c r="C551" s="14" t="str">
        <f t="array" ref="C551">IF(B551="","",SUMIF(Implementos!B:B,XLOOKUP(B551,Productos!A:A,Productos!F:F,"",0,1),Implementos!A:A))</f>
        <v/>
      </c>
      <c r="D551" s="14" t="str">
        <f t="array" ref="D551">IF(OR(H551="",H551="Selecciona.."),"",XLOOKUP(H551,Propiedades!B:B,Propiedades!A:A,"",0,1))</f>
        <v/>
      </c>
      <c r="E551" s="14" t="str">
        <f t="shared" si="2"/>
        <v/>
      </c>
      <c r="F551" s="14" t="str">
        <f t="shared" si="3"/>
        <v/>
      </c>
      <c r="G551" s="15" t="str">
        <f t="shared" si="8"/>
        <v/>
      </c>
      <c r="H551" s="15" t="str">
        <f t="shared" si="9"/>
        <v/>
      </c>
      <c r="I551" s="16" t="str">
        <f t="shared" si="10"/>
        <v/>
      </c>
      <c r="J551" s="17"/>
      <c r="K551" s="14" t="str">
        <f t="array" ref="K551">IF(OR(H551="",H551="Selecciona.."),"",XLOOKUP(H551,Propiedades!B:B,Propiedades!C:C,"",0,1))</f>
        <v/>
      </c>
    </row>
    <row r="552">
      <c r="A552" s="14" t="str">
        <f t="shared" si="1"/>
        <v/>
      </c>
      <c r="B552" s="14" t="str">
        <f t="array" ref="B552">IF(OR(G552="",G552="Selecciona.."),"",XLOOKUP(G552,Productos!E:E,Productos!A:A,"",0,1))</f>
        <v/>
      </c>
      <c r="C552" s="14" t="str">
        <f t="array" ref="C552">IF(B552="","",SUMIF(Implementos!B:B,XLOOKUP(B552,Productos!A:A,Productos!F:F,"",0,1),Implementos!A:A))</f>
        <v/>
      </c>
      <c r="D552" s="14" t="str">
        <f t="array" ref="D552">IF(OR(H552="",H552="Selecciona.."),"",XLOOKUP(H552,Propiedades!B:B,Propiedades!A:A,"",0,1))</f>
        <v/>
      </c>
      <c r="E552" s="14" t="str">
        <f t="shared" si="2"/>
        <v/>
      </c>
      <c r="F552" s="14" t="str">
        <f t="shared" si="3"/>
        <v/>
      </c>
      <c r="G552" s="15" t="str">
        <f t="shared" si="8"/>
        <v/>
      </c>
      <c r="H552" s="15" t="str">
        <f t="shared" si="9"/>
        <v/>
      </c>
      <c r="I552" s="16" t="str">
        <f t="shared" si="10"/>
        <v/>
      </c>
      <c r="J552" s="17"/>
      <c r="K552" s="14" t="str">
        <f t="array" ref="K552">IF(OR(H552="",H552="Selecciona.."),"",XLOOKUP(H552,Propiedades!B:B,Propiedades!C:C,"",0,1))</f>
        <v/>
      </c>
    </row>
    <row r="553">
      <c r="A553" s="14" t="str">
        <f t="shared" si="1"/>
        <v/>
      </c>
      <c r="B553" s="14" t="str">
        <f t="array" ref="B553">IF(OR(G553="",G553="Selecciona.."),"",XLOOKUP(G553,Productos!E:E,Productos!A:A,"",0,1))</f>
        <v/>
      </c>
      <c r="C553" s="14" t="str">
        <f t="array" ref="C553">IF(B553="","",SUMIF(Implementos!B:B,XLOOKUP(B553,Productos!A:A,Productos!F:F,"",0,1),Implementos!A:A))</f>
        <v/>
      </c>
      <c r="D553" s="14" t="str">
        <f t="array" ref="D553">IF(OR(H553="",H553="Selecciona.."),"",XLOOKUP(H553,Propiedades!B:B,Propiedades!A:A,"",0,1))</f>
        <v/>
      </c>
      <c r="E553" s="14" t="str">
        <f t="shared" si="2"/>
        <v/>
      </c>
      <c r="F553" s="14" t="str">
        <f t="shared" si="3"/>
        <v/>
      </c>
      <c r="G553" s="15" t="str">
        <f t="shared" si="8"/>
        <v/>
      </c>
      <c r="H553" s="15" t="str">
        <f t="shared" si="9"/>
        <v/>
      </c>
      <c r="I553" s="16" t="str">
        <f t="shared" si="10"/>
        <v/>
      </c>
      <c r="J553" s="17"/>
      <c r="K553" s="14" t="str">
        <f t="array" ref="K553">IF(OR(H553="",H553="Selecciona.."),"",XLOOKUP(H553,Propiedades!B:B,Propiedades!C:C,"",0,1))</f>
        <v/>
      </c>
    </row>
    <row r="554">
      <c r="A554" s="14" t="str">
        <f t="shared" si="1"/>
        <v/>
      </c>
      <c r="B554" s="14" t="str">
        <f t="array" ref="B554">IF(OR(G554="",G554="Selecciona.."),"",XLOOKUP(G554,Productos!E:E,Productos!A:A,"",0,1))</f>
        <v/>
      </c>
      <c r="C554" s="14" t="str">
        <f t="array" ref="C554">IF(B554="","",SUMIF(Implementos!B:B,XLOOKUP(B554,Productos!A:A,Productos!F:F,"",0,1),Implementos!A:A))</f>
        <v/>
      </c>
      <c r="D554" s="14" t="str">
        <f t="array" ref="D554">IF(OR(H554="",H554="Selecciona.."),"",XLOOKUP(H554,Propiedades!B:B,Propiedades!A:A,"",0,1))</f>
        <v/>
      </c>
      <c r="E554" s="14" t="str">
        <f t="shared" si="2"/>
        <v/>
      </c>
      <c r="F554" s="14" t="str">
        <f t="shared" si="3"/>
        <v/>
      </c>
      <c r="G554" s="15" t="str">
        <f t="shared" si="8"/>
        <v/>
      </c>
      <c r="H554" s="15" t="str">
        <f t="shared" si="9"/>
        <v/>
      </c>
      <c r="I554" s="16" t="str">
        <f t="shared" si="10"/>
        <v/>
      </c>
      <c r="J554" s="17"/>
      <c r="K554" s="14" t="str">
        <f t="array" ref="K554">IF(OR(H554="",H554="Selecciona.."),"",XLOOKUP(H554,Propiedades!B:B,Propiedades!C:C,"",0,1))</f>
        <v/>
      </c>
    </row>
    <row r="555">
      <c r="A555" s="14" t="str">
        <f t="shared" si="1"/>
        <v/>
      </c>
      <c r="B555" s="14" t="str">
        <f t="array" ref="B555">IF(OR(G555="",G555="Selecciona.."),"",XLOOKUP(G555,Productos!E:E,Productos!A:A,"",0,1))</f>
        <v/>
      </c>
      <c r="C555" s="14" t="str">
        <f t="array" ref="C555">IF(B555="","",SUMIF(Implementos!B:B,XLOOKUP(B555,Productos!A:A,Productos!F:F,"",0,1),Implementos!A:A))</f>
        <v/>
      </c>
      <c r="D555" s="14" t="str">
        <f t="array" ref="D555">IF(OR(H555="",H555="Selecciona.."),"",XLOOKUP(H555,Propiedades!B:B,Propiedades!A:A,"",0,1))</f>
        <v/>
      </c>
      <c r="E555" s="14" t="str">
        <f t="shared" si="2"/>
        <v/>
      </c>
      <c r="F555" s="14" t="str">
        <f t="shared" si="3"/>
        <v/>
      </c>
      <c r="G555" s="15" t="str">
        <f t="shared" si="8"/>
        <v/>
      </c>
      <c r="H555" s="15" t="str">
        <f t="shared" si="9"/>
        <v/>
      </c>
      <c r="I555" s="16" t="str">
        <f t="shared" si="10"/>
        <v/>
      </c>
      <c r="J555" s="17"/>
      <c r="K555" s="14" t="str">
        <f t="array" ref="K555">IF(OR(H555="",H555="Selecciona.."),"",XLOOKUP(H555,Propiedades!B:B,Propiedades!C:C,"",0,1))</f>
        <v/>
      </c>
    </row>
    <row r="556">
      <c r="A556" s="14" t="str">
        <f t="shared" si="1"/>
        <v/>
      </c>
      <c r="B556" s="14" t="str">
        <f t="array" ref="B556">IF(OR(G556="",G556="Selecciona.."),"",XLOOKUP(G556,Productos!E:E,Productos!A:A,"",0,1))</f>
        <v/>
      </c>
      <c r="C556" s="14" t="str">
        <f t="array" ref="C556">IF(B556="","",SUMIF(Implementos!B:B,XLOOKUP(B556,Productos!A:A,Productos!F:F,"",0,1),Implementos!A:A))</f>
        <v/>
      </c>
      <c r="D556" s="14" t="str">
        <f t="array" ref="D556">IF(OR(H556="",H556="Selecciona.."),"",XLOOKUP(H556,Propiedades!B:B,Propiedades!A:A,"",0,1))</f>
        <v/>
      </c>
      <c r="E556" s="14" t="str">
        <f t="shared" si="2"/>
        <v/>
      </c>
      <c r="F556" s="14" t="str">
        <f t="shared" si="3"/>
        <v/>
      </c>
      <c r="G556" s="15" t="str">
        <f t="shared" si="8"/>
        <v/>
      </c>
      <c r="H556" s="15" t="str">
        <f t="shared" si="9"/>
        <v/>
      </c>
      <c r="I556" s="16" t="str">
        <f t="shared" si="10"/>
        <v/>
      </c>
      <c r="J556" s="17"/>
      <c r="K556" s="14" t="str">
        <f t="array" ref="K556">IF(OR(H556="",H556="Selecciona.."),"",XLOOKUP(H556,Propiedades!B:B,Propiedades!C:C,"",0,1))</f>
        <v/>
      </c>
    </row>
    <row r="557">
      <c r="A557" s="14" t="str">
        <f t="shared" si="1"/>
        <v/>
      </c>
      <c r="B557" s="14" t="str">
        <f t="array" ref="B557">IF(OR(G557="",G557="Selecciona.."),"",XLOOKUP(G557,Productos!E:E,Productos!A:A,"",0,1))</f>
        <v/>
      </c>
      <c r="C557" s="14" t="str">
        <f t="array" ref="C557">IF(B557="","",SUMIF(Implementos!B:B,XLOOKUP(B557,Productos!A:A,Productos!F:F,"",0,1),Implementos!A:A))</f>
        <v/>
      </c>
      <c r="D557" s="14" t="str">
        <f t="array" ref="D557">IF(OR(H557="",H557="Selecciona.."),"",XLOOKUP(H557,Propiedades!B:B,Propiedades!A:A,"",0,1))</f>
        <v/>
      </c>
      <c r="E557" s="14" t="str">
        <f t="shared" si="2"/>
        <v/>
      </c>
      <c r="F557" s="14" t="str">
        <f t="shared" si="3"/>
        <v/>
      </c>
      <c r="G557" s="15" t="str">
        <f t="shared" si="8"/>
        <v/>
      </c>
      <c r="H557" s="15" t="str">
        <f t="shared" si="9"/>
        <v/>
      </c>
      <c r="I557" s="16" t="str">
        <f t="shared" si="10"/>
        <v/>
      </c>
      <c r="J557" s="17"/>
      <c r="K557" s="14" t="str">
        <f t="array" ref="K557">IF(OR(H557="",H557="Selecciona.."),"",XLOOKUP(H557,Propiedades!B:B,Propiedades!C:C,"",0,1))</f>
        <v/>
      </c>
    </row>
    <row r="558">
      <c r="A558" s="14" t="str">
        <f t="shared" si="1"/>
        <v/>
      </c>
      <c r="B558" s="14" t="str">
        <f t="array" ref="B558">IF(OR(G558="",G558="Selecciona.."),"",XLOOKUP(G558,Productos!E:E,Productos!A:A,"",0,1))</f>
        <v/>
      </c>
      <c r="C558" s="14" t="str">
        <f t="array" ref="C558">IF(B558="","",SUMIF(Implementos!B:B,XLOOKUP(B558,Productos!A:A,Productos!F:F,"",0,1),Implementos!A:A))</f>
        <v/>
      </c>
      <c r="D558" s="14" t="str">
        <f t="array" ref="D558">IF(OR(H558="",H558="Selecciona.."),"",XLOOKUP(H558,Propiedades!B:B,Propiedades!A:A,"",0,1))</f>
        <v/>
      </c>
      <c r="E558" s="14" t="str">
        <f t="shared" si="2"/>
        <v/>
      </c>
      <c r="F558" s="14" t="str">
        <f t="shared" si="3"/>
        <v/>
      </c>
      <c r="G558" s="15" t="str">
        <f t="shared" si="8"/>
        <v/>
      </c>
      <c r="H558" s="15" t="str">
        <f t="shared" si="9"/>
        <v/>
      </c>
      <c r="I558" s="16" t="str">
        <f t="shared" si="10"/>
        <v/>
      </c>
      <c r="J558" s="17"/>
      <c r="K558" s="14" t="str">
        <f t="array" ref="K558">IF(OR(H558="",H558="Selecciona.."),"",XLOOKUP(H558,Propiedades!B:B,Propiedades!C:C,"",0,1))</f>
        <v/>
      </c>
    </row>
    <row r="559">
      <c r="A559" s="14" t="str">
        <f t="shared" si="1"/>
        <v/>
      </c>
      <c r="B559" s="14" t="str">
        <f t="array" ref="B559">IF(OR(G559="",G559="Selecciona.."),"",XLOOKUP(G559,Productos!E:E,Productos!A:A,"",0,1))</f>
        <v/>
      </c>
      <c r="C559" s="14" t="str">
        <f t="array" ref="C559">IF(B559="","",SUMIF(Implementos!B:B,XLOOKUP(B559,Productos!A:A,Productos!F:F,"",0,1),Implementos!A:A))</f>
        <v/>
      </c>
      <c r="D559" s="14" t="str">
        <f t="array" ref="D559">IF(OR(H559="",H559="Selecciona.."),"",XLOOKUP(H559,Propiedades!B:B,Propiedades!A:A,"",0,1))</f>
        <v/>
      </c>
      <c r="E559" s="14" t="str">
        <f t="shared" si="2"/>
        <v/>
      </c>
      <c r="F559" s="14" t="str">
        <f t="shared" si="3"/>
        <v/>
      </c>
      <c r="G559" s="15" t="str">
        <f t="shared" si="8"/>
        <v/>
      </c>
      <c r="H559" s="15" t="str">
        <f t="shared" si="9"/>
        <v/>
      </c>
      <c r="I559" s="16" t="str">
        <f t="shared" si="10"/>
        <v/>
      </c>
      <c r="J559" s="17"/>
      <c r="K559" s="14" t="str">
        <f t="array" ref="K559">IF(OR(H559="",H559="Selecciona.."),"",XLOOKUP(H559,Propiedades!B:B,Propiedades!C:C,"",0,1))</f>
        <v/>
      </c>
    </row>
    <row r="560">
      <c r="A560" s="14" t="str">
        <f t="shared" si="1"/>
        <v/>
      </c>
      <c r="B560" s="14" t="str">
        <f t="array" ref="B560">IF(OR(G560="",G560="Selecciona.."),"",XLOOKUP(G560,Productos!E:E,Productos!A:A,"",0,1))</f>
        <v/>
      </c>
      <c r="C560" s="14" t="str">
        <f t="array" ref="C560">IF(B560="","",SUMIF(Implementos!B:B,XLOOKUP(B560,Productos!A:A,Productos!F:F,"",0,1),Implementos!A:A))</f>
        <v/>
      </c>
      <c r="D560" s="14" t="str">
        <f t="array" ref="D560">IF(OR(H560="",H560="Selecciona.."),"",XLOOKUP(H560,Propiedades!B:B,Propiedades!A:A,"",0,1))</f>
        <v/>
      </c>
      <c r="E560" s="14" t="str">
        <f t="shared" si="2"/>
        <v/>
      </c>
      <c r="F560" s="14" t="str">
        <f t="shared" si="3"/>
        <v/>
      </c>
      <c r="G560" s="15" t="str">
        <f t="shared" si="8"/>
        <v/>
      </c>
      <c r="H560" s="15" t="str">
        <f t="shared" si="9"/>
        <v/>
      </c>
      <c r="I560" s="16" t="str">
        <f t="shared" si="10"/>
        <v/>
      </c>
      <c r="J560" s="17"/>
      <c r="K560" s="14" t="str">
        <f t="array" ref="K560">IF(OR(H560="",H560="Selecciona.."),"",XLOOKUP(H560,Propiedades!B:B,Propiedades!C:C,"",0,1))</f>
        <v/>
      </c>
    </row>
    <row r="561">
      <c r="A561" s="14" t="str">
        <f t="shared" si="1"/>
        <v/>
      </c>
      <c r="B561" s="14" t="str">
        <f t="array" ref="B561">IF(OR(G561="",G561="Selecciona.."),"",XLOOKUP(G561,Productos!E:E,Productos!A:A,"",0,1))</f>
        <v/>
      </c>
      <c r="C561" s="14" t="str">
        <f t="array" ref="C561">IF(B561="","",SUMIF(Implementos!B:B,XLOOKUP(B561,Productos!A:A,Productos!F:F,"",0,1),Implementos!A:A))</f>
        <v/>
      </c>
      <c r="D561" s="14" t="str">
        <f t="array" ref="D561">IF(OR(H561="",H561="Selecciona.."),"",XLOOKUP(H561,Propiedades!B:B,Propiedades!A:A,"",0,1))</f>
        <v/>
      </c>
      <c r="E561" s="14" t="str">
        <f t="shared" si="2"/>
        <v/>
      </c>
      <c r="F561" s="14" t="str">
        <f t="shared" si="3"/>
        <v/>
      </c>
      <c r="G561" s="15" t="str">
        <f t="shared" si="8"/>
        <v/>
      </c>
      <c r="H561" s="15" t="str">
        <f t="shared" si="9"/>
        <v/>
      </c>
      <c r="I561" s="16" t="str">
        <f t="shared" si="10"/>
        <v/>
      </c>
      <c r="J561" s="17"/>
      <c r="K561" s="14" t="str">
        <f t="array" ref="K561">IF(OR(H561="",H561="Selecciona.."),"",XLOOKUP(H561,Propiedades!B:B,Propiedades!C:C,"",0,1))</f>
        <v/>
      </c>
    </row>
    <row r="562">
      <c r="A562" s="14" t="str">
        <f t="shared" si="1"/>
        <v/>
      </c>
      <c r="B562" s="14" t="str">
        <f t="array" ref="B562">IF(OR(G562="",G562="Selecciona.."),"",XLOOKUP(G562,Productos!E:E,Productos!A:A,"",0,1))</f>
        <v/>
      </c>
      <c r="C562" s="14" t="str">
        <f t="array" ref="C562">IF(B562="","",SUMIF(Implementos!B:B,XLOOKUP(B562,Productos!A:A,Productos!F:F,"",0,1),Implementos!A:A))</f>
        <v/>
      </c>
      <c r="D562" s="14" t="str">
        <f t="array" ref="D562">IF(OR(H562="",H562="Selecciona.."),"",XLOOKUP(H562,Propiedades!B:B,Propiedades!A:A,"",0,1))</f>
        <v/>
      </c>
      <c r="E562" s="14" t="str">
        <f t="shared" si="2"/>
        <v/>
      </c>
      <c r="F562" s="14" t="str">
        <f t="shared" si="3"/>
        <v/>
      </c>
      <c r="G562" s="15" t="str">
        <f t="shared" si="8"/>
        <v/>
      </c>
      <c r="H562" s="15" t="str">
        <f t="shared" si="9"/>
        <v/>
      </c>
      <c r="I562" s="16" t="str">
        <f t="shared" si="10"/>
        <v/>
      </c>
      <c r="J562" s="17"/>
      <c r="K562" s="14" t="str">
        <f t="array" ref="K562">IF(OR(H562="",H562="Selecciona.."),"",XLOOKUP(H562,Propiedades!B:B,Propiedades!C:C,"",0,1))</f>
        <v/>
      </c>
    </row>
    <row r="563">
      <c r="A563" s="14" t="str">
        <f t="shared" si="1"/>
        <v/>
      </c>
      <c r="B563" s="14" t="str">
        <f t="array" ref="B563">IF(OR(G563="",G563="Selecciona.."),"",XLOOKUP(G563,Productos!E:E,Productos!A:A,"",0,1))</f>
        <v/>
      </c>
      <c r="C563" s="14" t="str">
        <f t="array" ref="C563">IF(B563="","",SUMIF(Implementos!B:B,XLOOKUP(B563,Productos!A:A,Productos!F:F,"",0,1),Implementos!A:A))</f>
        <v/>
      </c>
      <c r="D563" s="14" t="str">
        <f t="array" ref="D563">IF(OR(H563="",H563="Selecciona.."),"",XLOOKUP(H563,Propiedades!B:B,Propiedades!A:A,"",0,1))</f>
        <v/>
      </c>
      <c r="E563" s="14" t="str">
        <f t="shared" si="2"/>
        <v/>
      </c>
      <c r="F563" s="14" t="str">
        <f t="shared" si="3"/>
        <v/>
      </c>
      <c r="G563" s="15" t="str">
        <f t="shared" si="8"/>
        <v/>
      </c>
      <c r="H563" s="15" t="str">
        <f t="shared" si="9"/>
        <v/>
      </c>
      <c r="I563" s="16" t="str">
        <f t="shared" si="10"/>
        <v/>
      </c>
      <c r="J563" s="17"/>
      <c r="K563" s="14" t="str">
        <f t="array" ref="K563">IF(OR(H563="",H563="Selecciona.."),"",XLOOKUP(H563,Propiedades!B:B,Propiedades!C:C,"",0,1))</f>
        <v/>
      </c>
    </row>
    <row r="564">
      <c r="A564" s="14" t="str">
        <f t="shared" si="1"/>
        <v/>
      </c>
      <c r="B564" s="14" t="str">
        <f t="array" ref="B564">IF(OR(G564="",G564="Selecciona.."),"",XLOOKUP(G564,Productos!E:E,Productos!A:A,"",0,1))</f>
        <v/>
      </c>
      <c r="C564" s="14" t="str">
        <f t="array" ref="C564">IF(B564="","",SUMIF(Implementos!B:B,XLOOKUP(B564,Productos!A:A,Productos!F:F,"",0,1),Implementos!A:A))</f>
        <v/>
      </c>
      <c r="D564" s="14" t="str">
        <f t="array" ref="D564">IF(OR(H564="",H564="Selecciona.."),"",XLOOKUP(H564,Propiedades!B:B,Propiedades!A:A,"",0,1))</f>
        <v/>
      </c>
      <c r="E564" s="14" t="str">
        <f t="shared" si="2"/>
        <v/>
      </c>
      <c r="F564" s="14" t="str">
        <f t="shared" si="3"/>
        <v/>
      </c>
      <c r="G564" s="15" t="str">
        <f t="shared" si="8"/>
        <v/>
      </c>
      <c r="H564" s="15" t="str">
        <f t="shared" si="9"/>
        <v/>
      </c>
      <c r="I564" s="16" t="str">
        <f t="shared" si="10"/>
        <v/>
      </c>
      <c r="J564" s="17"/>
      <c r="K564" s="14" t="str">
        <f t="array" ref="K564">IF(OR(H564="",H564="Selecciona.."),"",XLOOKUP(H564,Propiedades!B:B,Propiedades!C:C,"",0,1))</f>
        <v/>
      </c>
    </row>
    <row r="565">
      <c r="A565" s="14" t="str">
        <f t="shared" si="1"/>
        <v/>
      </c>
      <c r="B565" s="14" t="str">
        <f t="array" ref="B565">IF(OR(G565="",G565="Selecciona.."),"",XLOOKUP(G565,Productos!E:E,Productos!A:A,"",0,1))</f>
        <v/>
      </c>
      <c r="C565" s="14" t="str">
        <f t="array" ref="C565">IF(B565="","",SUMIF(Implementos!B:B,XLOOKUP(B565,Productos!A:A,Productos!F:F,"",0,1),Implementos!A:A))</f>
        <v/>
      </c>
      <c r="D565" s="14" t="str">
        <f t="array" ref="D565">IF(OR(H565="",H565="Selecciona.."),"",XLOOKUP(H565,Propiedades!B:B,Propiedades!A:A,"",0,1))</f>
        <v/>
      </c>
      <c r="E565" s="14" t="str">
        <f t="shared" si="2"/>
        <v/>
      </c>
      <c r="F565" s="14" t="str">
        <f t="shared" si="3"/>
        <v/>
      </c>
      <c r="G565" s="15" t="str">
        <f t="shared" si="8"/>
        <v/>
      </c>
      <c r="H565" s="15" t="str">
        <f t="shared" si="9"/>
        <v/>
      </c>
      <c r="I565" s="16" t="str">
        <f t="shared" si="10"/>
        <v/>
      </c>
      <c r="J565" s="17"/>
      <c r="K565" s="14" t="str">
        <f t="array" ref="K565">IF(OR(H565="",H565="Selecciona.."),"",XLOOKUP(H565,Propiedades!B:B,Propiedades!C:C,"",0,1))</f>
        <v/>
      </c>
    </row>
    <row r="566">
      <c r="A566" s="14" t="str">
        <f t="shared" si="1"/>
        <v/>
      </c>
      <c r="B566" s="14" t="str">
        <f t="array" ref="B566">IF(OR(G566="",G566="Selecciona.."),"",XLOOKUP(G566,Productos!E:E,Productos!A:A,"",0,1))</f>
        <v/>
      </c>
      <c r="C566" s="14" t="str">
        <f t="array" ref="C566">IF(B566="","",SUMIF(Implementos!B:B,XLOOKUP(B566,Productos!A:A,Productos!F:F,"",0,1),Implementos!A:A))</f>
        <v/>
      </c>
      <c r="D566" s="14" t="str">
        <f t="array" ref="D566">IF(OR(H566="",H566="Selecciona.."),"",XLOOKUP(H566,Propiedades!B:B,Propiedades!A:A,"",0,1))</f>
        <v/>
      </c>
      <c r="E566" s="14" t="str">
        <f t="shared" si="2"/>
        <v/>
      </c>
      <c r="F566" s="14" t="str">
        <f t="shared" si="3"/>
        <v/>
      </c>
      <c r="G566" s="15" t="str">
        <f t="shared" si="8"/>
        <v/>
      </c>
      <c r="H566" s="15" t="str">
        <f t="shared" si="9"/>
        <v/>
      </c>
      <c r="I566" s="16" t="str">
        <f t="shared" si="10"/>
        <v/>
      </c>
      <c r="J566" s="17"/>
      <c r="K566" s="14" t="str">
        <f t="array" ref="K566">IF(OR(H566="",H566="Selecciona.."),"",XLOOKUP(H566,Propiedades!B:B,Propiedades!C:C,"",0,1))</f>
        <v/>
      </c>
    </row>
    <row r="567">
      <c r="A567" s="14" t="str">
        <f t="shared" si="1"/>
        <v/>
      </c>
      <c r="B567" s="14" t="str">
        <f t="array" ref="B567">IF(OR(G567="",G567="Selecciona.."),"",XLOOKUP(G567,Productos!E:E,Productos!A:A,"",0,1))</f>
        <v/>
      </c>
      <c r="C567" s="14" t="str">
        <f t="array" ref="C567">IF(B567="","",SUMIF(Implementos!B:B,XLOOKUP(B567,Productos!A:A,Productos!F:F,"",0,1),Implementos!A:A))</f>
        <v/>
      </c>
      <c r="D567" s="14" t="str">
        <f t="array" ref="D567">IF(OR(H567="",H567="Selecciona.."),"",XLOOKUP(H567,Propiedades!B:B,Propiedades!A:A,"",0,1))</f>
        <v/>
      </c>
      <c r="E567" s="14" t="str">
        <f t="shared" si="2"/>
        <v/>
      </c>
      <c r="F567" s="14" t="str">
        <f t="shared" si="3"/>
        <v/>
      </c>
      <c r="G567" s="15" t="str">
        <f t="shared" si="8"/>
        <v/>
      </c>
      <c r="H567" s="15" t="str">
        <f t="shared" si="9"/>
        <v/>
      </c>
      <c r="I567" s="16" t="str">
        <f t="shared" si="10"/>
        <v/>
      </c>
      <c r="J567" s="17"/>
      <c r="K567" s="14" t="str">
        <f t="array" ref="K567">IF(OR(H567="",H567="Selecciona.."),"",XLOOKUP(H567,Propiedades!B:B,Propiedades!C:C,"",0,1))</f>
        <v/>
      </c>
    </row>
    <row r="568">
      <c r="A568" s="14" t="str">
        <f t="shared" si="1"/>
        <v/>
      </c>
      <c r="B568" s="14" t="str">
        <f t="array" ref="B568">IF(OR(G568="",G568="Selecciona.."),"",XLOOKUP(G568,Productos!E:E,Productos!A:A,"",0,1))</f>
        <v/>
      </c>
      <c r="C568" s="14" t="str">
        <f t="array" ref="C568">IF(B568="","",SUMIF(Implementos!B:B,XLOOKUP(B568,Productos!A:A,Productos!F:F,"",0,1),Implementos!A:A))</f>
        <v/>
      </c>
      <c r="D568" s="14" t="str">
        <f t="array" ref="D568">IF(OR(H568="",H568="Selecciona.."),"",XLOOKUP(H568,Propiedades!B:B,Propiedades!A:A,"",0,1))</f>
        <v/>
      </c>
      <c r="E568" s="14" t="str">
        <f t="shared" si="2"/>
        <v/>
      </c>
      <c r="F568" s="14" t="str">
        <f t="shared" si="3"/>
        <v/>
      </c>
      <c r="G568" s="15" t="str">
        <f t="shared" si="8"/>
        <v/>
      </c>
      <c r="H568" s="15" t="str">
        <f t="shared" si="9"/>
        <v/>
      </c>
      <c r="I568" s="16" t="str">
        <f t="shared" si="10"/>
        <v/>
      </c>
      <c r="J568" s="17"/>
      <c r="K568" s="14" t="str">
        <f t="array" ref="K568">IF(OR(H568="",H568="Selecciona.."),"",XLOOKUP(H568,Propiedades!B:B,Propiedades!C:C,"",0,1))</f>
        <v/>
      </c>
    </row>
    <row r="569">
      <c r="A569" s="14" t="str">
        <f t="shared" si="1"/>
        <v/>
      </c>
      <c r="B569" s="14" t="str">
        <f t="array" ref="B569">IF(OR(G569="",G569="Selecciona.."),"",XLOOKUP(G569,Productos!E:E,Productos!A:A,"",0,1))</f>
        <v/>
      </c>
      <c r="C569" s="14" t="str">
        <f t="array" ref="C569">IF(B569="","",SUMIF(Implementos!B:B,XLOOKUP(B569,Productos!A:A,Productos!F:F,"",0,1),Implementos!A:A))</f>
        <v/>
      </c>
      <c r="D569" s="14" t="str">
        <f t="array" ref="D569">IF(OR(H569="",H569="Selecciona.."),"",XLOOKUP(H569,Propiedades!B:B,Propiedades!A:A,"",0,1))</f>
        <v/>
      </c>
      <c r="E569" s="14" t="str">
        <f t="shared" si="2"/>
        <v/>
      </c>
      <c r="F569" s="14" t="str">
        <f t="shared" si="3"/>
        <v/>
      </c>
      <c r="G569" s="15" t="str">
        <f t="shared" si="8"/>
        <v/>
      </c>
      <c r="H569" s="15" t="str">
        <f t="shared" si="9"/>
        <v/>
      </c>
      <c r="I569" s="16" t="str">
        <f t="shared" si="10"/>
        <v/>
      </c>
      <c r="J569" s="17"/>
      <c r="K569" s="14" t="str">
        <f t="array" ref="K569">IF(OR(H569="",H569="Selecciona.."),"",XLOOKUP(H569,Propiedades!B:B,Propiedades!C:C,"",0,1))</f>
        <v/>
      </c>
    </row>
    <row r="570">
      <c r="A570" s="14" t="str">
        <f t="shared" si="1"/>
        <v/>
      </c>
      <c r="B570" s="14" t="str">
        <f t="array" ref="B570">IF(OR(G570="",G570="Selecciona.."),"",XLOOKUP(G570,Productos!E:E,Productos!A:A,"",0,1))</f>
        <v/>
      </c>
      <c r="C570" s="14" t="str">
        <f t="array" ref="C570">IF(B570="","",SUMIF(Implementos!B:B,XLOOKUP(B570,Productos!A:A,Productos!F:F,"",0,1),Implementos!A:A))</f>
        <v/>
      </c>
      <c r="D570" s="14" t="str">
        <f t="array" ref="D570">IF(OR(H570="",H570="Selecciona.."),"",XLOOKUP(H570,Propiedades!B:B,Propiedades!A:A,"",0,1))</f>
        <v/>
      </c>
      <c r="E570" s="14" t="str">
        <f t="shared" si="2"/>
        <v/>
      </c>
      <c r="F570" s="14" t="str">
        <f t="shared" si="3"/>
        <v/>
      </c>
      <c r="G570" s="15" t="str">
        <f t="shared" si="8"/>
        <v/>
      </c>
      <c r="H570" s="15" t="str">
        <f t="shared" si="9"/>
        <v/>
      </c>
      <c r="I570" s="16" t="str">
        <f t="shared" si="10"/>
        <v/>
      </c>
      <c r="J570" s="17"/>
      <c r="K570" s="14" t="str">
        <f t="array" ref="K570">IF(OR(H570="",H570="Selecciona.."),"",XLOOKUP(H570,Propiedades!B:B,Propiedades!C:C,"",0,1))</f>
        <v/>
      </c>
    </row>
    <row r="571">
      <c r="A571" s="14" t="str">
        <f t="shared" si="1"/>
        <v/>
      </c>
      <c r="B571" s="14" t="str">
        <f t="array" ref="B571">IF(OR(G571="",G571="Selecciona.."),"",XLOOKUP(G571,Productos!E:E,Productos!A:A,"",0,1))</f>
        <v/>
      </c>
      <c r="C571" s="14" t="str">
        <f t="array" ref="C571">IF(B571="","",SUMIF(Implementos!B:B,XLOOKUP(B571,Productos!A:A,Productos!F:F,"",0,1),Implementos!A:A))</f>
        <v/>
      </c>
      <c r="D571" s="14" t="str">
        <f t="array" ref="D571">IF(OR(H571="",H571="Selecciona.."),"",XLOOKUP(H571,Propiedades!B:B,Propiedades!A:A,"",0,1))</f>
        <v/>
      </c>
      <c r="E571" s="14" t="str">
        <f t="shared" si="2"/>
        <v/>
      </c>
      <c r="F571" s="14" t="str">
        <f t="shared" si="3"/>
        <v/>
      </c>
      <c r="G571" s="15" t="str">
        <f t="shared" si="8"/>
        <v/>
      </c>
      <c r="H571" s="15" t="str">
        <f t="shared" si="9"/>
        <v/>
      </c>
      <c r="I571" s="16" t="str">
        <f t="shared" si="10"/>
        <v/>
      </c>
      <c r="J571" s="17"/>
      <c r="K571" s="14" t="str">
        <f t="array" ref="K571">IF(OR(H571="",H571="Selecciona.."),"",XLOOKUP(H571,Propiedades!B:B,Propiedades!C:C,"",0,1))</f>
        <v/>
      </c>
    </row>
    <row r="572">
      <c r="A572" s="14" t="str">
        <f t="shared" si="1"/>
        <v/>
      </c>
      <c r="B572" s="14" t="str">
        <f t="array" ref="B572">IF(OR(G572="",G572="Selecciona.."),"",XLOOKUP(G572,Productos!E:E,Productos!A:A,"",0,1))</f>
        <v/>
      </c>
      <c r="C572" s="14" t="str">
        <f t="array" ref="C572">IF(B572="","",SUMIF(Implementos!B:B,XLOOKUP(B572,Productos!A:A,Productos!F:F,"",0,1),Implementos!A:A))</f>
        <v/>
      </c>
      <c r="D572" s="14" t="str">
        <f t="array" ref="D572">IF(OR(H572="",H572="Selecciona.."),"",XLOOKUP(H572,Propiedades!B:B,Propiedades!A:A,"",0,1))</f>
        <v/>
      </c>
      <c r="E572" s="14" t="str">
        <f t="shared" si="2"/>
        <v/>
      </c>
      <c r="F572" s="14" t="str">
        <f t="shared" si="3"/>
        <v/>
      </c>
      <c r="G572" s="15" t="str">
        <f t="shared" si="8"/>
        <v/>
      </c>
      <c r="H572" s="15" t="str">
        <f t="shared" si="9"/>
        <v/>
      </c>
      <c r="I572" s="16" t="str">
        <f t="shared" si="10"/>
        <v/>
      </c>
      <c r="J572" s="17"/>
      <c r="K572" s="14" t="str">
        <f t="array" ref="K572">IF(OR(H572="",H572="Selecciona.."),"",XLOOKUP(H572,Propiedades!B:B,Propiedades!C:C,"",0,1))</f>
        <v/>
      </c>
    </row>
    <row r="573">
      <c r="A573" s="14" t="str">
        <f t="shared" si="1"/>
        <v/>
      </c>
      <c r="B573" s="14" t="str">
        <f t="array" ref="B573">IF(OR(G573="",G573="Selecciona.."),"",XLOOKUP(G573,Productos!E:E,Productos!A:A,"",0,1))</f>
        <v/>
      </c>
      <c r="C573" s="14" t="str">
        <f t="array" ref="C573">IF(B573="","",SUMIF(Implementos!B:B,XLOOKUP(B573,Productos!A:A,Productos!F:F,"",0,1),Implementos!A:A))</f>
        <v/>
      </c>
      <c r="D573" s="14" t="str">
        <f t="array" ref="D573">IF(OR(H573="",H573="Selecciona.."),"",XLOOKUP(H573,Propiedades!B:B,Propiedades!A:A,"",0,1))</f>
        <v/>
      </c>
      <c r="E573" s="14" t="str">
        <f t="shared" si="2"/>
        <v/>
      </c>
      <c r="F573" s="14" t="str">
        <f t="shared" si="3"/>
        <v/>
      </c>
      <c r="G573" s="15" t="str">
        <f t="shared" si="8"/>
        <v/>
      </c>
      <c r="H573" s="15" t="str">
        <f t="shared" si="9"/>
        <v/>
      </c>
      <c r="I573" s="16" t="str">
        <f t="shared" si="10"/>
        <v/>
      </c>
      <c r="J573" s="17"/>
      <c r="K573" s="14" t="str">
        <f t="array" ref="K573">IF(OR(H573="",H573="Selecciona.."),"",XLOOKUP(H573,Propiedades!B:B,Propiedades!C:C,"",0,1))</f>
        <v/>
      </c>
    </row>
    <row r="574">
      <c r="A574" s="14" t="str">
        <f t="shared" si="1"/>
        <v/>
      </c>
      <c r="B574" s="14" t="str">
        <f t="array" ref="B574">IF(OR(G574="",G574="Selecciona.."),"",XLOOKUP(G574,Productos!E:E,Productos!A:A,"",0,1))</f>
        <v/>
      </c>
      <c r="C574" s="14" t="str">
        <f t="array" ref="C574">IF(B574="","",SUMIF(Implementos!B:B,XLOOKUP(B574,Productos!A:A,Productos!F:F,"",0,1),Implementos!A:A))</f>
        <v/>
      </c>
      <c r="D574" s="14" t="str">
        <f t="array" ref="D574">IF(OR(H574="",H574="Selecciona.."),"",XLOOKUP(H574,Propiedades!B:B,Propiedades!A:A,"",0,1))</f>
        <v/>
      </c>
      <c r="E574" s="14" t="str">
        <f t="shared" si="2"/>
        <v/>
      </c>
      <c r="F574" s="14" t="str">
        <f t="shared" si="3"/>
        <v/>
      </c>
      <c r="G574" s="15" t="str">
        <f t="shared" si="8"/>
        <v/>
      </c>
      <c r="H574" s="15" t="str">
        <f t="shared" si="9"/>
        <v/>
      </c>
      <c r="I574" s="16" t="str">
        <f t="shared" si="10"/>
        <v/>
      </c>
      <c r="J574" s="17"/>
      <c r="K574" s="14" t="str">
        <f t="array" ref="K574">IF(OR(H574="",H574="Selecciona.."),"",XLOOKUP(H574,Propiedades!B:B,Propiedades!C:C,"",0,1))</f>
        <v/>
      </c>
    </row>
    <row r="575">
      <c r="A575" s="14" t="str">
        <f t="shared" si="1"/>
        <v/>
      </c>
      <c r="B575" s="14" t="str">
        <f t="array" ref="B575">IF(OR(G575="",G575="Selecciona.."),"",XLOOKUP(G575,Productos!E:E,Productos!A:A,"",0,1))</f>
        <v/>
      </c>
      <c r="C575" s="14" t="str">
        <f t="array" ref="C575">IF(B575="","",SUMIF(Implementos!B:B,XLOOKUP(B575,Productos!A:A,Productos!F:F,"",0,1),Implementos!A:A))</f>
        <v/>
      </c>
      <c r="D575" s="14" t="str">
        <f t="array" ref="D575">IF(OR(H575="",H575="Selecciona.."),"",XLOOKUP(H575,Propiedades!B:B,Propiedades!A:A,"",0,1))</f>
        <v/>
      </c>
      <c r="E575" s="14" t="str">
        <f t="shared" si="2"/>
        <v/>
      </c>
      <c r="F575" s="14" t="str">
        <f t="shared" si="3"/>
        <v/>
      </c>
      <c r="G575" s="15" t="str">
        <f t="shared" si="8"/>
        <v/>
      </c>
      <c r="H575" s="15" t="str">
        <f t="shared" si="9"/>
        <v/>
      </c>
      <c r="I575" s="16" t="str">
        <f t="shared" si="10"/>
        <v/>
      </c>
      <c r="J575" s="17"/>
      <c r="K575" s="14" t="str">
        <f t="array" ref="K575">IF(OR(H575="",H575="Selecciona.."),"",XLOOKUP(H575,Propiedades!B:B,Propiedades!C:C,"",0,1))</f>
        <v/>
      </c>
    </row>
    <row r="576">
      <c r="A576" s="14" t="str">
        <f t="shared" si="1"/>
        <v/>
      </c>
      <c r="B576" s="14" t="str">
        <f t="array" ref="B576">IF(OR(G576="",G576="Selecciona.."),"",XLOOKUP(G576,Productos!E:E,Productos!A:A,"",0,1))</f>
        <v/>
      </c>
      <c r="C576" s="14" t="str">
        <f t="array" ref="C576">IF(B576="","",SUMIF(Implementos!B:B,XLOOKUP(B576,Productos!A:A,Productos!F:F,"",0,1),Implementos!A:A))</f>
        <v/>
      </c>
      <c r="D576" s="14" t="str">
        <f t="array" ref="D576">IF(OR(H576="",H576="Selecciona.."),"",XLOOKUP(H576,Propiedades!B:B,Propiedades!A:A,"",0,1))</f>
        <v/>
      </c>
      <c r="E576" s="14" t="str">
        <f t="shared" si="2"/>
        <v/>
      </c>
      <c r="F576" s="14" t="str">
        <f t="shared" si="3"/>
        <v/>
      </c>
      <c r="G576" s="15" t="str">
        <f t="shared" si="8"/>
        <v/>
      </c>
      <c r="H576" s="15" t="str">
        <f t="shared" si="9"/>
        <v/>
      </c>
      <c r="I576" s="16" t="str">
        <f t="shared" si="10"/>
        <v/>
      </c>
      <c r="J576" s="17"/>
      <c r="K576" s="14" t="str">
        <f t="array" ref="K576">IF(OR(H576="",H576="Selecciona.."),"",XLOOKUP(H576,Propiedades!B:B,Propiedades!C:C,"",0,1))</f>
        <v/>
      </c>
    </row>
    <row r="577">
      <c r="A577" s="14" t="str">
        <f t="shared" si="1"/>
        <v/>
      </c>
      <c r="B577" s="14" t="str">
        <f t="array" ref="B577">IF(OR(G577="",G577="Selecciona.."),"",XLOOKUP(G577,Productos!E:E,Productos!A:A,"",0,1))</f>
        <v/>
      </c>
      <c r="C577" s="14" t="str">
        <f t="array" ref="C577">IF(B577="","",SUMIF(Implementos!B:B,XLOOKUP(B577,Productos!A:A,Productos!F:F,"",0,1),Implementos!A:A))</f>
        <v/>
      </c>
      <c r="D577" s="14" t="str">
        <f t="array" ref="D577">IF(OR(H577="",H577="Selecciona.."),"",XLOOKUP(H577,Propiedades!B:B,Propiedades!A:A,"",0,1))</f>
        <v/>
      </c>
      <c r="E577" s="14" t="str">
        <f t="shared" si="2"/>
        <v/>
      </c>
      <c r="F577" s="14" t="str">
        <f t="shared" si="3"/>
        <v/>
      </c>
      <c r="G577" s="15" t="str">
        <f t="shared" si="8"/>
        <v/>
      </c>
      <c r="H577" s="15" t="str">
        <f t="shared" si="9"/>
        <v/>
      </c>
      <c r="I577" s="16" t="str">
        <f t="shared" si="10"/>
        <v/>
      </c>
      <c r="J577" s="17"/>
      <c r="K577" s="14" t="str">
        <f t="array" ref="K577">IF(OR(H577="",H577="Selecciona.."),"",XLOOKUP(H577,Propiedades!B:B,Propiedades!C:C,"",0,1))</f>
        <v/>
      </c>
    </row>
    <row r="578">
      <c r="A578" s="14" t="str">
        <f t="shared" si="1"/>
        <v/>
      </c>
      <c r="B578" s="14" t="str">
        <f t="array" ref="B578">IF(OR(G578="",G578="Selecciona.."),"",XLOOKUP(G578,Productos!E:E,Productos!A:A,"",0,1))</f>
        <v/>
      </c>
      <c r="C578" s="14" t="str">
        <f t="array" ref="C578">IF(B578="","",SUMIF(Implementos!B:B,XLOOKUP(B578,Productos!A:A,Productos!F:F,"",0,1),Implementos!A:A))</f>
        <v/>
      </c>
      <c r="D578" s="14" t="str">
        <f t="array" ref="D578">IF(OR(H578="",H578="Selecciona.."),"",XLOOKUP(H578,Propiedades!B:B,Propiedades!A:A,"",0,1))</f>
        <v/>
      </c>
      <c r="E578" s="14" t="str">
        <f t="shared" si="2"/>
        <v/>
      </c>
      <c r="F578" s="14" t="str">
        <f t="shared" si="3"/>
        <v/>
      </c>
      <c r="G578" s="15" t="str">
        <f t="shared" si="8"/>
        <v/>
      </c>
      <c r="H578" s="15" t="str">
        <f t="shared" si="9"/>
        <v/>
      </c>
      <c r="I578" s="16" t="str">
        <f t="shared" si="10"/>
        <v/>
      </c>
      <c r="J578" s="17"/>
      <c r="K578" s="14" t="str">
        <f t="array" ref="K578">IF(OR(H578="",H578="Selecciona.."),"",XLOOKUP(H578,Propiedades!B:B,Propiedades!C:C,"",0,1))</f>
        <v/>
      </c>
    </row>
    <row r="579">
      <c r="A579" s="14" t="str">
        <f t="shared" si="1"/>
        <v/>
      </c>
      <c r="B579" s="14" t="str">
        <f t="array" ref="B579">IF(OR(G579="",G579="Selecciona.."),"",XLOOKUP(G579,Productos!E:E,Productos!A:A,"",0,1))</f>
        <v/>
      </c>
      <c r="C579" s="14" t="str">
        <f t="array" ref="C579">IF(B579="","",SUMIF(Implementos!B:B,XLOOKUP(B579,Productos!A:A,Productos!F:F,"",0,1),Implementos!A:A))</f>
        <v/>
      </c>
      <c r="D579" s="14" t="str">
        <f t="array" ref="D579">IF(OR(H579="",H579="Selecciona.."),"",XLOOKUP(H579,Propiedades!B:B,Propiedades!A:A,"",0,1))</f>
        <v/>
      </c>
      <c r="E579" s="14" t="str">
        <f t="shared" si="2"/>
        <v/>
      </c>
      <c r="F579" s="14" t="str">
        <f t="shared" si="3"/>
        <v/>
      </c>
      <c r="G579" s="15" t="str">
        <f t="shared" si="8"/>
        <v/>
      </c>
      <c r="H579" s="15" t="str">
        <f t="shared" si="9"/>
        <v/>
      </c>
      <c r="I579" s="16" t="str">
        <f t="shared" si="10"/>
        <v/>
      </c>
      <c r="J579" s="17"/>
      <c r="K579" s="14" t="str">
        <f t="array" ref="K579">IF(OR(H579="",H579="Selecciona.."),"",XLOOKUP(H579,Propiedades!B:B,Propiedades!C:C,"",0,1))</f>
        <v/>
      </c>
    </row>
    <row r="580">
      <c r="A580" s="14" t="str">
        <f t="shared" si="1"/>
        <v/>
      </c>
      <c r="B580" s="14" t="str">
        <f t="array" ref="B580">IF(OR(G580="",G580="Selecciona.."),"",XLOOKUP(G580,Productos!E:E,Productos!A:A,"",0,1))</f>
        <v/>
      </c>
      <c r="C580" s="14" t="str">
        <f t="array" ref="C580">IF(B580="","",SUMIF(Implementos!B:B,XLOOKUP(B580,Productos!A:A,Productos!F:F,"",0,1),Implementos!A:A))</f>
        <v/>
      </c>
      <c r="D580" s="14" t="str">
        <f t="array" ref="D580">IF(OR(H580="",H580="Selecciona.."),"",XLOOKUP(H580,Propiedades!B:B,Propiedades!A:A,"",0,1))</f>
        <v/>
      </c>
      <c r="E580" s="14" t="str">
        <f t="shared" si="2"/>
        <v/>
      </c>
      <c r="F580" s="14" t="str">
        <f t="shared" si="3"/>
        <v/>
      </c>
      <c r="G580" s="15" t="str">
        <f t="shared" si="8"/>
        <v/>
      </c>
      <c r="H580" s="15" t="str">
        <f t="shared" si="9"/>
        <v/>
      </c>
      <c r="I580" s="16" t="str">
        <f t="shared" si="10"/>
        <v/>
      </c>
      <c r="J580" s="17"/>
      <c r="K580" s="14" t="str">
        <f t="array" ref="K580">IF(OR(H580="",H580="Selecciona.."),"",XLOOKUP(H580,Propiedades!B:B,Propiedades!C:C,"",0,1))</f>
        <v/>
      </c>
    </row>
    <row r="581">
      <c r="A581" s="14" t="str">
        <f t="shared" si="1"/>
        <v/>
      </c>
      <c r="B581" s="14" t="str">
        <f t="array" ref="B581">IF(OR(G581="",G581="Selecciona.."),"",XLOOKUP(G581,Productos!E:E,Productos!A:A,"",0,1))</f>
        <v/>
      </c>
      <c r="C581" s="14" t="str">
        <f t="array" ref="C581">IF(B581="","",SUMIF(Implementos!B:B,XLOOKUP(B581,Productos!A:A,Productos!F:F,"",0,1),Implementos!A:A))</f>
        <v/>
      </c>
      <c r="D581" s="14" t="str">
        <f t="array" ref="D581">IF(OR(H581="",H581="Selecciona.."),"",XLOOKUP(H581,Propiedades!B:B,Propiedades!A:A,"",0,1))</f>
        <v/>
      </c>
      <c r="E581" s="14" t="str">
        <f t="shared" si="2"/>
        <v/>
      </c>
      <c r="F581" s="14" t="str">
        <f t="shared" si="3"/>
        <v/>
      </c>
      <c r="G581" s="15" t="str">
        <f t="shared" si="8"/>
        <v/>
      </c>
      <c r="H581" s="15" t="str">
        <f t="shared" si="9"/>
        <v/>
      </c>
      <c r="I581" s="16" t="str">
        <f t="shared" si="10"/>
        <v/>
      </c>
      <c r="J581" s="17"/>
      <c r="K581" s="14" t="str">
        <f t="array" ref="K581">IF(OR(H581="",H581="Selecciona.."),"",XLOOKUP(H581,Propiedades!B:B,Propiedades!C:C,"",0,1))</f>
        <v/>
      </c>
    </row>
    <row r="582">
      <c r="A582" s="14" t="str">
        <f t="shared" si="1"/>
        <v/>
      </c>
      <c r="B582" s="14" t="str">
        <f t="array" ref="B582">IF(OR(G582="",G582="Selecciona.."),"",XLOOKUP(G582,Productos!E:E,Productos!A:A,"",0,1))</f>
        <v/>
      </c>
      <c r="C582" s="14" t="str">
        <f t="array" ref="C582">IF(B582="","",SUMIF(Implementos!B:B,XLOOKUP(B582,Productos!A:A,Productos!F:F,"",0,1),Implementos!A:A))</f>
        <v/>
      </c>
      <c r="D582" s="14" t="str">
        <f t="array" ref="D582">IF(OR(H582="",H582="Selecciona.."),"",XLOOKUP(H582,Propiedades!B:B,Propiedades!A:A,"",0,1))</f>
        <v/>
      </c>
      <c r="E582" s="14" t="str">
        <f t="shared" si="2"/>
        <v/>
      </c>
      <c r="F582" s="14" t="str">
        <f t="shared" si="3"/>
        <v/>
      </c>
      <c r="G582" s="15" t="str">
        <f t="shared" si="8"/>
        <v/>
      </c>
      <c r="H582" s="15" t="str">
        <f t="shared" si="9"/>
        <v/>
      </c>
      <c r="I582" s="16" t="str">
        <f t="shared" si="10"/>
        <v/>
      </c>
      <c r="J582" s="17"/>
      <c r="K582" s="14" t="str">
        <f t="array" ref="K582">IF(OR(H582="",H582="Selecciona.."),"",XLOOKUP(H582,Propiedades!B:B,Propiedades!C:C,"",0,1))</f>
        <v/>
      </c>
    </row>
    <row r="583">
      <c r="A583" s="14" t="str">
        <f t="shared" si="1"/>
        <v/>
      </c>
      <c r="B583" s="14" t="str">
        <f t="array" ref="B583">IF(OR(G583="",G583="Selecciona.."),"",XLOOKUP(G583,Productos!E:E,Productos!A:A,"",0,1))</f>
        <v/>
      </c>
      <c r="C583" s="14" t="str">
        <f t="array" ref="C583">IF(B583="","",SUMIF(Implementos!B:B,XLOOKUP(B583,Productos!A:A,Productos!F:F,"",0,1),Implementos!A:A))</f>
        <v/>
      </c>
      <c r="D583" s="14" t="str">
        <f t="array" ref="D583">IF(OR(H583="",H583="Selecciona.."),"",XLOOKUP(H583,Propiedades!B:B,Propiedades!A:A,"",0,1))</f>
        <v/>
      </c>
      <c r="E583" s="14" t="str">
        <f t="shared" si="2"/>
        <v/>
      </c>
      <c r="F583" s="14" t="str">
        <f t="shared" si="3"/>
        <v/>
      </c>
      <c r="G583" s="15" t="str">
        <f t="shared" si="8"/>
        <v/>
      </c>
      <c r="H583" s="15" t="str">
        <f t="shared" si="9"/>
        <v/>
      </c>
      <c r="I583" s="16" t="str">
        <f t="shared" si="10"/>
        <v/>
      </c>
      <c r="J583" s="17"/>
      <c r="K583" s="14" t="str">
        <f t="array" ref="K583">IF(OR(H583="",H583="Selecciona.."),"",XLOOKUP(H583,Propiedades!B:B,Propiedades!C:C,"",0,1))</f>
        <v/>
      </c>
    </row>
    <row r="584">
      <c r="A584" s="14" t="str">
        <f t="shared" si="1"/>
        <v/>
      </c>
      <c r="B584" s="14" t="str">
        <f t="array" ref="B584">IF(OR(G584="",G584="Selecciona.."),"",XLOOKUP(G584,Productos!E:E,Productos!A:A,"",0,1))</f>
        <v/>
      </c>
      <c r="C584" s="14" t="str">
        <f t="array" ref="C584">IF(B584="","",SUMIF(Implementos!B:B,XLOOKUP(B584,Productos!A:A,Productos!F:F,"",0,1),Implementos!A:A))</f>
        <v/>
      </c>
      <c r="D584" s="14" t="str">
        <f t="array" ref="D584">IF(OR(H584="",H584="Selecciona.."),"",XLOOKUP(H584,Propiedades!B:B,Propiedades!A:A,"",0,1))</f>
        <v/>
      </c>
      <c r="E584" s="14" t="str">
        <f t="shared" si="2"/>
        <v/>
      </c>
      <c r="F584" s="14" t="str">
        <f t="shared" si="3"/>
        <v/>
      </c>
      <c r="G584" s="15" t="str">
        <f t="shared" si="8"/>
        <v/>
      </c>
      <c r="H584" s="15" t="str">
        <f t="shared" si="9"/>
        <v/>
      </c>
      <c r="I584" s="16" t="str">
        <f t="shared" si="10"/>
        <v/>
      </c>
      <c r="J584" s="17"/>
      <c r="K584" s="14" t="str">
        <f t="array" ref="K584">IF(OR(H584="",H584="Selecciona.."),"",XLOOKUP(H584,Propiedades!B:B,Propiedades!C:C,"",0,1))</f>
        <v/>
      </c>
    </row>
    <row r="585">
      <c r="A585" s="14" t="str">
        <f t="shared" si="1"/>
        <v/>
      </c>
      <c r="B585" s="14" t="str">
        <f t="array" ref="B585">IF(OR(G585="",G585="Selecciona.."),"",XLOOKUP(G585,Productos!E:E,Productos!A:A,"",0,1))</f>
        <v/>
      </c>
      <c r="C585" s="14" t="str">
        <f t="array" ref="C585">IF(B585="","",SUMIF(Implementos!B:B,XLOOKUP(B585,Productos!A:A,Productos!F:F,"",0,1),Implementos!A:A))</f>
        <v/>
      </c>
      <c r="D585" s="14" t="str">
        <f t="array" ref="D585">IF(OR(H585="",H585="Selecciona.."),"",XLOOKUP(H585,Propiedades!B:B,Propiedades!A:A,"",0,1))</f>
        <v/>
      </c>
      <c r="E585" s="14" t="str">
        <f t="shared" si="2"/>
        <v/>
      </c>
      <c r="F585" s="14" t="str">
        <f t="shared" si="3"/>
        <v/>
      </c>
      <c r="G585" s="15" t="str">
        <f t="shared" si="8"/>
        <v/>
      </c>
      <c r="H585" s="15" t="str">
        <f t="shared" si="9"/>
        <v/>
      </c>
      <c r="I585" s="16" t="str">
        <f t="shared" si="10"/>
        <v/>
      </c>
      <c r="J585" s="17"/>
      <c r="K585" s="14" t="str">
        <f t="array" ref="K585">IF(OR(H585="",H585="Selecciona.."),"",XLOOKUP(H585,Propiedades!B:B,Propiedades!C:C,"",0,1))</f>
        <v/>
      </c>
    </row>
    <row r="586">
      <c r="A586" s="14" t="str">
        <f t="shared" si="1"/>
        <v/>
      </c>
      <c r="B586" s="14" t="str">
        <f t="array" ref="B586">IF(OR(G586="",G586="Selecciona.."),"",XLOOKUP(G586,Productos!E:E,Productos!A:A,"",0,1))</f>
        <v/>
      </c>
      <c r="C586" s="14" t="str">
        <f t="array" ref="C586">IF(B586="","",SUMIF(Implementos!B:B,XLOOKUP(B586,Productos!A:A,Productos!F:F,"",0,1),Implementos!A:A))</f>
        <v/>
      </c>
      <c r="D586" s="14" t="str">
        <f t="array" ref="D586">IF(OR(H586="",H586="Selecciona.."),"",XLOOKUP(H586,Propiedades!B:B,Propiedades!A:A,"",0,1))</f>
        <v/>
      </c>
      <c r="E586" s="14" t="str">
        <f t="shared" si="2"/>
        <v/>
      </c>
      <c r="F586" s="14" t="str">
        <f t="shared" si="3"/>
        <v/>
      </c>
      <c r="G586" s="15" t="str">
        <f t="shared" si="8"/>
        <v/>
      </c>
      <c r="H586" s="15" t="str">
        <f t="shared" si="9"/>
        <v/>
      </c>
      <c r="I586" s="16" t="str">
        <f t="shared" si="10"/>
        <v/>
      </c>
      <c r="J586" s="17"/>
      <c r="K586" s="14" t="str">
        <f t="array" ref="K586">IF(OR(H586="",H586="Selecciona.."),"",XLOOKUP(H586,Propiedades!B:B,Propiedades!C:C,"",0,1))</f>
        <v/>
      </c>
    </row>
    <row r="587">
      <c r="A587" s="14" t="str">
        <f t="shared" si="1"/>
        <v/>
      </c>
      <c r="B587" s="14" t="str">
        <f t="array" ref="B587">IF(OR(G587="",G587="Selecciona.."),"",XLOOKUP(G587,Productos!E:E,Productos!A:A,"",0,1))</f>
        <v/>
      </c>
      <c r="C587" s="14" t="str">
        <f t="array" ref="C587">IF(B587="","",SUMIF(Implementos!B:B,XLOOKUP(B587,Productos!A:A,Productos!F:F,"",0,1),Implementos!A:A))</f>
        <v/>
      </c>
      <c r="D587" s="14" t="str">
        <f t="array" ref="D587">IF(OR(H587="",H587="Selecciona.."),"",XLOOKUP(H587,Propiedades!B:B,Propiedades!A:A,"",0,1))</f>
        <v/>
      </c>
      <c r="E587" s="14" t="str">
        <f t="shared" si="2"/>
        <v/>
      </c>
      <c r="F587" s="14" t="str">
        <f t="shared" si="3"/>
        <v/>
      </c>
      <c r="G587" s="15" t="str">
        <f t="shared" si="8"/>
        <v/>
      </c>
      <c r="H587" s="15" t="str">
        <f t="shared" si="9"/>
        <v/>
      </c>
      <c r="I587" s="16" t="str">
        <f t="shared" si="10"/>
        <v/>
      </c>
      <c r="J587" s="17"/>
      <c r="K587" s="14" t="str">
        <f t="array" ref="K587">IF(OR(H587="",H587="Selecciona.."),"",XLOOKUP(H587,Propiedades!B:B,Propiedades!C:C,"",0,1))</f>
        <v/>
      </c>
    </row>
    <row r="588">
      <c r="A588" s="14" t="str">
        <f t="shared" si="1"/>
        <v/>
      </c>
      <c r="B588" s="14" t="str">
        <f t="array" ref="B588">IF(OR(G588="",G588="Selecciona.."),"",XLOOKUP(G588,Productos!E:E,Productos!A:A,"",0,1))</f>
        <v/>
      </c>
      <c r="C588" s="14" t="str">
        <f t="array" ref="C588">IF(B588="","",SUMIF(Implementos!B:B,XLOOKUP(B588,Productos!A:A,Productos!F:F,"",0,1),Implementos!A:A))</f>
        <v/>
      </c>
      <c r="D588" s="14" t="str">
        <f t="array" ref="D588">IF(OR(H588="",H588="Selecciona.."),"",XLOOKUP(H588,Propiedades!B:B,Propiedades!A:A,"",0,1))</f>
        <v/>
      </c>
      <c r="E588" s="14" t="str">
        <f t="shared" si="2"/>
        <v/>
      </c>
      <c r="F588" s="14" t="str">
        <f t="shared" si="3"/>
        <v/>
      </c>
      <c r="G588" s="15" t="str">
        <f t="shared" si="8"/>
        <v/>
      </c>
      <c r="H588" s="15" t="str">
        <f t="shared" si="9"/>
        <v/>
      </c>
      <c r="I588" s="16" t="str">
        <f t="shared" si="10"/>
        <v/>
      </c>
      <c r="J588" s="17"/>
      <c r="K588" s="14" t="str">
        <f t="array" ref="K588">IF(OR(H588="",H588="Selecciona.."),"",XLOOKUP(H588,Propiedades!B:B,Propiedades!C:C,"",0,1))</f>
        <v/>
      </c>
    </row>
    <row r="589">
      <c r="A589" s="14" t="str">
        <f t="shared" si="1"/>
        <v/>
      </c>
      <c r="B589" s="14" t="str">
        <f t="array" ref="B589">IF(OR(G589="",G589="Selecciona.."),"",XLOOKUP(G589,Productos!E:E,Productos!A:A,"",0,1))</f>
        <v/>
      </c>
      <c r="C589" s="14" t="str">
        <f t="array" ref="C589">IF(B589="","",SUMIF(Implementos!B:B,XLOOKUP(B589,Productos!A:A,Productos!F:F,"",0,1),Implementos!A:A))</f>
        <v/>
      </c>
      <c r="D589" s="14" t="str">
        <f t="array" ref="D589">IF(OR(H589="",H589="Selecciona.."),"",XLOOKUP(H589,Propiedades!B:B,Propiedades!A:A,"",0,1))</f>
        <v/>
      </c>
      <c r="E589" s="14" t="str">
        <f t="shared" si="2"/>
        <v/>
      </c>
      <c r="F589" s="14" t="str">
        <f t="shared" si="3"/>
        <v/>
      </c>
      <c r="G589" s="15" t="str">
        <f t="shared" si="8"/>
        <v/>
      </c>
      <c r="H589" s="15" t="str">
        <f t="shared" si="9"/>
        <v/>
      </c>
      <c r="I589" s="16" t="str">
        <f t="shared" si="10"/>
        <v/>
      </c>
      <c r="J589" s="17"/>
      <c r="K589" s="14" t="str">
        <f t="array" ref="K589">IF(OR(H589="",H589="Selecciona.."),"",XLOOKUP(H589,Propiedades!B:B,Propiedades!C:C,"",0,1))</f>
        <v/>
      </c>
    </row>
    <row r="590">
      <c r="A590" s="14" t="str">
        <f t="shared" si="1"/>
        <v/>
      </c>
      <c r="B590" s="14" t="str">
        <f t="array" ref="B590">IF(OR(G590="",G590="Selecciona.."),"",XLOOKUP(G590,Productos!E:E,Productos!A:A,"",0,1))</f>
        <v/>
      </c>
      <c r="C590" s="14" t="str">
        <f t="array" ref="C590">IF(B590="","",SUMIF(Implementos!B:B,XLOOKUP(B590,Productos!A:A,Productos!F:F,"",0,1),Implementos!A:A))</f>
        <v/>
      </c>
      <c r="D590" s="14" t="str">
        <f t="array" ref="D590">IF(OR(H590="",H590="Selecciona.."),"",XLOOKUP(H590,Propiedades!B:B,Propiedades!A:A,"",0,1))</f>
        <v/>
      </c>
      <c r="E590" s="14" t="str">
        <f t="shared" si="2"/>
        <v/>
      </c>
      <c r="F590" s="14" t="str">
        <f t="shared" si="3"/>
        <v/>
      </c>
      <c r="G590" s="15" t="str">
        <f t="shared" si="8"/>
        <v/>
      </c>
      <c r="H590" s="15" t="str">
        <f t="shared" si="9"/>
        <v/>
      </c>
      <c r="I590" s="16" t="str">
        <f t="shared" si="10"/>
        <v/>
      </c>
      <c r="J590" s="17"/>
      <c r="K590" s="14" t="str">
        <f t="array" ref="K590">IF(OR(H590="",H590="Selecciona.."),"",XLOOKUP(H590,Propiedades!B:B,Propiedades!C:C,"",0,1))</f>
        <v/>
      </c>
    </row>
    <row r="591">
      <c r="A591" s="14" t="str">
        <f t="shared" si="1"/>
        <v/>
      </c>
      <c r="B591" s="14" t="str">
        <f t="array" ref="B591">IF(OR(G591="",G591="Selecciona.."),"",XLOOKUP(G591,Productos!E:E,Productos!A:A,"",0,1))</f>
        <v/>
      </c>
      <c r="C591" s="14" t="str">
        <f t="array" ref="C591">IF(B591="","",SUMIF(Implementos!B:B,XLOOKUP(B591,Productos!A:A,Productos!F:F,"",0,1),Implementos!A:A))</f>
        <v/>
      </c>
      <c r="D591" s="14" t="str">
        <f t="array" ref="D591">IF(OR(H591="",H591="Selecciona.."),"",XLOOKUP(H591,Propiedades!B:B,Propiedades!A:A,"",0,1))</f>
        <v/>
      </c>
      <c r="E591" s="14" t="str">
        <f t="shared" si="2"/>
        <v/>
      </c>
      <c r="F591" s="14" t="str">
        <f t="shared" si="3"/>
        <v/>
      </c>
      <c r="G591" s="15" t="str">
        <f t="shared" si="8"/>
        <v/>
      </c>
      <c r="H591" s="15" t="str">
        <f t="shared" si="9"/>
        <v/>
      </c>
      <c r="I591" s="16" t="str">
        <f t="shared" si="10"/>
        <v/>
      </c>
      <c r="J591" s="17"/>
      <c r="K591" s="14" t="str">
        <f t="array" ref="K591">IF(OR(H591="",H591="Selecciona.."),"",XLOOKUP(H591,Propiedades!B:B,Propiedades!C:C,"",0,1))</f>
        <v/>
      </c>
    </row>
    <row r="592">
      <c r="A592" s="14" t="str">
        <f t="shared" si="1"/>
        <v/>
      </c>
      <c r="B592" s="14" t="str">
        <f t="array" ref="B592">IF(OR(G592="",G592="Selecciona.."),"",XLOOKUP(G592,Productos!E:E,Productos!A:A,"",0,1))</f>
        <v/>
      </c>
      <c r="C592" s="14" t="str">
        <f t="array" ref="C592">IF(B592="","",SUMIF(Implementos!B:B,XLOOKUP(B592,Productos!A:A,Productos!F:F,"",0,1),Implementos!A:A))</f>
        <v/>
      </c>
      <c r="D592" s="14" t="str">
        <f t="array" ref="D592">IF(OR(H592="",H592="Selecciona.."),"",XLOOKUP(H592,Propiedades!B:B,Propiedades!A:A,"",0,1))</f>
        <v/>
      </c>
      <c r="E592" s="14" t="str">
        <f t="shared" si="2"/>
        <v/>
      </c>
      <c r="F592" s="14" t="str">
        <f t="shared" si="3"/>
        <v/>
      </c>
      <c r="G592" s="15" t="str">
        <f t="shared" si="8"/>
        <v/>
      </c>
      <c r="H592" s="15" t="str">
        <f t="shared" si="9"/>
        <v/>
      </c>
      <c r="I592" s="16" t="str">
        <f t="shared" si="10"/>
        <v/>
      </c>
      <c r="J592" s="17"/>
      <c r="K592" s="14" t="str">
        <f t="array" ref="K592">IF(OR(H592="",H592="Selecciona.."),"",XLOOKUP(H592,Propiedades!B:B,Propiedades!C:C,"",0,1))</f>
        <v/>
      </c>
    </row>
    <row r="593">
      <c r="A593" s="14" t="str">
        <f t="shared" si="1"/>
        <v/>
      </c>
      <c r="B593" s="14" t="str">
        <f t="array" ref="B593">IF(OR(G593="",G593="Selecciona.."),"",XLOOKUP(G593,Productos!E:E,Productos!A:A,"",0,1))</f>
        <v/>
      </c>
      <c r="C593" s="14" t="str">
        <f t="array" ref="C593">IF(B593="","",SUMIF(Implementos!B:B,XLOOKUP(B593,Productos!A:A,Productos!F:F,"",0,1),Implementos!A:A))</f>
        <v/>
      </c>
      <c r="D593" s="14" t="str">
        <f t="array" ref="D593">IF(OR(H593="",H593="Selecciona.."),"",XLOOKUP(H593,Propiedades!B:B,Propiedades!A:A,"",0,1))</f>
        <v/>
      </c>
      <c r="E593" s="14" t="str">
        <f t="shared" si="2"/>
        <v/>
      </c>
      <c r="F593" s="14" t="str">
        <f t="shared" si="3"/>
        <v/>
      </c>
      <c r="G593" s="15" t="str">
        <f t="shared" si="8"/>
        <v/>
      </c>
      <c r="H593" s="15" t="str">
        <f t="shared" si="9"/>
        <v/>
      </c>
      <c r="I593" s="16" t="str">
        <f t="shared" si="10"/>
        <v/>
      </c>
      <c r="J593" s="17"/>
      <c r="K593" s="14" t="str">
        <f t="array" ref="K593">IF(OR(H593="",H593="Selecciona.."),"",XLOOKUP(H593,Propiedades!B:B,Propiedades!C:C,"",0,1))</f>
        <v/>
      </c>
    </row>
    <row r="594">
      <c r="A594" s="14" t="str">
        <f t="shared" si="1"/>
        <v/>
      </c>
      <c r="B594" s="14" t="str">
        <f t="array" ref="B594">IF(OR(G594="",G594="Selecciona.."),"",XLOOKUP(G594,Productos!E:E,Productos!A:A,"",0,1))</f>
        <v/>
      </c>
      <c r="C594" s="14" t="str">
        <f t="array" ref="C594">IF(B594="","",SUMIF(Implementos!B:B,XLOOKUP(B594,Productos!A:A,Productos!F:F,"",0,1),Implementos!A:A))</f>
        <v/>
      </c>
      <c r="D594" s="14" t="str">
        <f t="array" ref="D594">IF(OR(H594="",H594="Selecciona.."),"",XLOOKUP(H594,Propiedades!B:B,Propiedades!A:A,"",0,1))</f>
        <v/>
      </c>
      <c r="E594" s="14" t="str">
        <f t="shared" si="2"/>
        <v/>
      </c>
      <c r="F594" s="14" t="str">
        <f t="shared" si="3"/>
        <v/>
      </c>
      <c r="G594" s="15" t="str">
        <f t="shared" si="8"/>
        <v/>
      </c>
      <c r="H594" s="15" t="str">
        <f t="shared" si="9"/>
        <v/>
      </c>
      <c r="I594" s="16" t="str">
        <f t="shared" si="10"/>
        <v/>
      </c>
      <c r="J594" s="17"/>
      <c r="K594" s="14" t="str">
        <f t="array" ref="K594">IF(OR(H594="",H594="Selecciona.."),"",XLOOKUP(H594,Propiedades!B:B,Propiedades!C:C,"",0,1))</f>
        <v/>
      </c>
    </row>
    <row r="595">
      <c r="A595" s="14" t="str">
        <f t="shared" si="1"/>
        <v/>
      </c>
      <c r="B595" s="14" t="str">
        <f t="array" ref="B595">IF(OR(G595="",G595="Selecciona.."),"",XLOOKUP(G595,Productos!E:E,Productos!A:A,"",0,1))</f>
        <v/>
      </c>
      <c r="C595" s="14" t="str">
        <f t="array" ref="C595">IF(B595="","",SUMIF(Implementos!B:B,XLOOKUP(B595,Productos!A:A,Productos!F:F,"",0,1),Implementos!A:A))</f>
        <v/>
      </c>
      <c r="D595" s="14" t="str">
        <f t="array" ref="D595">IF(OR(H595="",H595="Selecciona.."),"",XLOOKUP(H595,Propiedades!B:B,Propiedades!A:A,"",0,1))</f>
        <v/>
      </c>
      <c r="E595" s="14" t="str">
        <f t="shared" si="2"/>
        <v/>
      </c>
      <c r="F595" s="14" t="str">
        <f t="shared" si="3"/>
        <v/>
      </c>
      <c r="G595" s="15" t="str">
        <f t="shared" si="8"/>
        <v/>
      </c>
      <c r="H595" s="15" t="str">
        <f t="shared" si="9"/>
        <v/>
      </c>
      <c r="I595" s="16" t="str">
        <f t="shared" si="10"/>
        <v/>
      </c>
      <c r="J595" s="17"/>
      <c r="K595" s="14" t="str">
        <f t="array" ref="K595">IF(OR(H595="",H595="Selecciona.."),"",XLOOKUP(H595,Propiedades!B:B,Propiedades!C:C,"",0,1))</f>
        <v/>
      </c>
    </row>
    <row r="596">
      <c r="A596" s="14" t="str">
        <f t="shared" si="1"/>
        <v/>
      </c>
      <c r="B596" s="14" t="str">
        <f t="array" ref="B596">IF(OR(G596="",G596="Selecciona.."),"",XLOOKUP(G596,Productos!E:E,Productos!A:A,"",0,1))</f>
        <v/>
      </c>
      <c r="C596" s="14" t="str">
        <f t="array" ref="C596">IF(B596="","",SUMIF(Implementos!B:B,XLOOKUP(B596,Productos!A:A,Productos!F:F,"",0,1),Implementos!A:A))</f>
        <v/>
      </c>
      <c r="D596" s="14" t="str">
        <f t="array" ref="D596">IF(OR(H596="",H596="Selecciona.."),"",XLOOKUP(H596,Propiedades!B:B,Propiedades!A:A,"",0,1))</f>
        <v/>
      </c>
      <c r="E596" s="14" t="str">
        <f t="shared" si="2"/>
        <v/>
      </c>
      <c r="F596" s="14" t="str">
        <f t="shared" si="3"/>
        <v/>
      </c>
      <c r="G596" s="15" t="str">
        <f t="shared" si="8"/>
        <v/>
      </c>
      <c r="H596" s="15" t="str">
        <f t="shared" si="9"/>
        <v/>
      </c>
      <c r="I596" s="16" t="str">
        <f t="shared" si="10"/>
        <v/>
      </c>
      <c r="J596" s="17"/>
      <c r="K596" s="14" t="str">
        <f t="array" ref="K596">IF(OR(H596="",H596="Selecciona.."),"",XLOOKUP(H596,Propiedades!B:B,Propiedades!C:C,"",0,1))</f>
        <v/>
      </c>
    </row>
    <row r="597">
      <c r="A597" s="14" t="str">
        <f t="shared" si="1"/>
        <v/>
      </c>
      <c r="B597" s="14" t="str">
        <f t="array" ref="B597">IF(OR(G597="",G597="Selecciona.."),"",XLOOKUP(G597,Productos!E:E,Productos!A:A,"",0,1))</f>
        <v/>
      </c>
      <c r="C597" s="14" t="str">
        <f t="array" ref="C597">IF(B597="","",SUMIF(Implementos!B:B,XLOOKUP(B597,Productos!A:A,Productos!F:F,"",0,1),Implementos!A:A))</f>
        <v/>
      </c>
      <c r="D597" s="14" t="str">
        <f t="array" ref="D597">IF(OR(H597="",H597="Selecciona.."),"",XLOOKUP(H597,Propiedades!B:B,Propiedades!A:A,"",0,1))</f>
        <v/>
      </c>
      <c r="E597" s="14" t="str">
        <f t="shared" si="2"/>
        <v/>
      </c>
      <c r="F597" s="14" t="str">
        <f t="shared" si="3"/>
        <v/>
      </c>
      <c r="G597" s="15" t="str">
        <f t="shared" si="8"/>
        <v/>
      </c>
      <c r="H597" s="15" t="str">
        <f t="shared" si="9"/>
        <v/>
      </c>
      <c r="I597" s="16" t="str">
        <f t="shared" si="10"/>
        <v/>
      </c>
      <c r="J597" s="17"/>
      <c r="K597" s="14" t="str">
        <f t="array" ref="K597">IF(OR(H597="",H597="Selecciona.."),"",XLOOKUP(H597,Propiedades!B:B,Propiedades!C:C,"",0,1))</f>
        <v/>
      </c>
    </row>
    <row r="598">
      <c r="A598" s="14" t="str">
        <f t="shared" si="1"/>
        <v/>
      </c>
      <c r="B598" s="14" t="str">
        <f t="array" ref="B598">IF(OR(G598="",G598="Selecciona.."),"",XLOOKUP(G598,Productos!E:E,Productos!A:A,"",0,1))</f>
        <v/>
      </c>
      <c r="C598" s="14" t="str">
        <f t="array" ref="C598">IF(B598="","",SUMIF(Implementos!B:B,XLOOKUP(B598,Productos!A:A,Productos!F:F,"",0,1),Implementos!A:A))</f>
        <v/>
      </c>
      <c r="D598" s="14" t="str">
        <f t="array" ref="D598">IF(OR(H598="",H598="Selecciona.."),"",XLOOKUP(H598,Propiedades!B:B,Propiedades!A:A,"",0,1))</f>
        <v/>
      </c>
      <c r="E598" s="14" t="str">
        <f t="shared" si="2"/>
        <v/>
      </c>
      <c r="F598" s="14" t="str">
        <f t="shared" si="3"/>
        <v/>
      </c>
      <c r="G598" s="15" t="str">
        <f t="shared" si="8"/>
        <v/>
      </c>
      <c r="H598" s="15" t="str">
        <f t="shared" si="9"/>
        <v/>
      </c>
      <c r="I598" s="16" t="str">
        <f t="shared" si="10"/>
        <v/>
      </c>
      <c r="J598" s="17"/>
      <c r="K598" s="14" t="str">
        <f t="array" ref="K598">IF(OR(H598="",H598="Selecciona.."),"",XLOOKUP(H598,Propiedades!B:B,Propiedades!C:C,"",0,1))</f>
        <v/>
      </c>
    </row>
    <row r="599">
      <c r="A599" s="14" t="str">
        <f t="shared" si="1"/>
        <v/>
      </c>
      <c r="B599" s="14" t="str">
        <f t="array" ref="B599">IF(OR(G599="",G599="Selecciona.."),"",XLOOKUP(G599,Productos!E:E,Productos!A:A,"",0,1))</f>
        <v/>
      </c>
      <c r="C599" s="14" t="str">
        <f t="array" ref="C599">IF(B599="","",SUMIF(Implementos!B:B,XLOOKUP(B599,Productos!A:A,Productos!F:F,"",0,1),Implementos!A:A))</f>
        <v/>
      </c>
      <c r="D599" s="14" t="str">
        <f t="array" ref="D599">IF(OR(H599="",H599="Selecciona.."),"",XLOOKUP(H599,Propiedades!B:B,Propiedades!A:A,"",0,1))</f>
        <v/>
      </c>
      <c r="E599" s="14" t="str">
        <f t="shared" si="2"/>
        <v/>
      </c>
      <c r="F599" s="14" t="str">
        <f t="shared" si="3"/>
        <v/>
      </c>
      <c r="G599" s="15" t="str">
        <f t="shared" si="8"/>
        <v/>
      </c>
      <c r="H599" s="15" t="str">
        <f t="shared" si="9"/>
        <v/>
      </c>
      <c r="I599" s="16" t="str">
        <f t="shared" si="10"/>
        <v/>
      </c>
      <c r="J599" s="17"/>
      <c r="K599" s="14" t="str">
        <f t="array" ref="K599">IF(OR(H599="",H599="Selecciona.."),"",XLOOKUP(H599,Propiedades!B:B,Propiedades!C:C,"",0,1))</f>
        <v/>
      </c>
    </row>
    <row r="600">
      <c r="A600" s="14" t="str">
        <f t="shared" si="1"/>
        <v/>
      </c>
      <c r="B600" s="14" t="str">
        <f t="array" ref="B600">IF(OR(G600="",G600="Selecciona.."),"",XLOOKUP(G600,Productos!E:E,Productos!A:A,"",0,1))</f>
        <v/>
      </c>
      <c r="C600" s="14" t="str">
        <f t="array" ref="C600">IF(B600="","",SUMIF(Implementos!B:B,XLOOKUP(B600,Productos!A:A,Productos!F:F,"",0,1),Implementos!A:A))</f>
        <v/>
      </c>
      <c r="D600" s="14" t="str">
        <f t="array" ref="D600">IF(OR(H600="",H600="Selecciona.."),"",XLOOKUP(H600,Propiedades!B:B,Propiedades!A:A,"",0,1))</f>
        <v/>
      </c>
      <c r="E600" s="14" t="str">
        <f t="shared" si="2"/>
        <v/>
      </c>
      <c r="F600" s="14" t="str">
        <f t="shared" si="3"/>
        <v/>
      </c>
      <c r="G600" s="15" t="str">
        <f t="shared" si="8"/>
        <v/>
      </c>
      <c r="H600" s="15" t="str">
        <f t="shared" si="9"/>
        <v/>
      </c>
      <c r="I600" s="16" t="str">
        <f t="shared" si="10"/>
        <v/>
      </c>
      <c r="J600" s="17"/>
      <c r="K600" s="14" t="str">
        <f t="array" ref="K600">IF(OR(H600="",H600="Selecciona.."),"",XLOOKUP(H600,Propiedades!B:B,Propiedades!C:C,"",0,1))</f>
        <v/>
      </c>
    </row>
    <row r="601">
      <c r="A601" s="14" t="str">
        <f t="shared" si="1"/>
        <v/>
      </c>
      <c r="B601" s="14" t="str">
        <f t="array" ref="B601">IF(OR(G601="",G601="Selecciona.."),"",XLOOKUP(G601,Productos!E:E,Productos!A:A,"",0,1))</f>
        <v/>
      </c>
      <c r="C601" s="14" t="str">
        <f t="array" ref="C601">IF(B601="","",SUMIF(Implementos!B:B,XLOOKUP(B601,Productos!A:A,Productos!F:F,"",0,1),Implementos!A:A))</f>
        <v/>
      </c>
      <c r="D601" s="14" t="str">
        <f t="array" ref="D601">IF(OR(H601="",H601="Selecciona.."),"",XLOOKUP(H601,Propiedades!B:B,Propiedades!A:A,"",0,1))</f>
        <v/>
      </c>
      <c r="E601" s="14" t="str">
        <f t="shared" si="2"/>
        <v/>
      </c>
      <c r="F601" s="14" t="str">
        <f t="shared" si="3"/>
        <v/>
      </c>
      <c r="G601" s="15" t="str">
        <f t="shared" si="8"/>
        <v/>
      </c>
      <c r="H601" s="15" t="str">
        <f t="shared" si="9"/>
        <v/>
      </c>
      <c r="I601" s="16" t="str">
        <f t="shared" si="10"/>
        <v/>
      </c>
      <c r="J601" s="17"/>
      <c r="K601" s="14" t="str">
        <f t="array" ref="K601">IF(OR(H601="",H601="Selecciona.."),"",XLOOKUP(H601,Propiedades!B:B,Propiedades!C:C,"",0,1))</f>
        <v/>
      </c>
    </row>
    <row r="602">
      <c r="A602" s="14" t="str">
        <f t="shared" si="1"/>
        <v/>
      </c>
      <c r="B602" s="14" t="str">
        <f t="array" ref="B602">IF(OR(G602="",G602="Selecciona.."),"",XLOOKUP(G602,Productos!E:E,Productos!A:A,"",0,1))</f>
        <v/>
      </c>
      <c r="C602" s="14" t="str">
        <f t="array" ref="C602">IF(B602="","",SUMIF(Implementos!B:B,XLOOKUP(B602,Productos!A:A,Productos!F:F,"",0,1),Implementos!A:A))</f>
        <v/>
      </c>
      <c r="D602" s="14" t="str">
        <f t="array" ref="D602">IF(OR(H602="",H602="Selecciona.."),"",XLOOKUP(H602,Propiedades!B:B,Propiedades!A:A,"",0,1))</f>
        <v/>
      </c>
      <c r="E602" s="14" t="str">
        <f t="shared" si="2"/>
        <v/>
      </c>
      <c r="F602" s="14" t="str">
        <f t="shared" si="3"/>
        <v/>
      </c>
      <c r="G602" s="15" t="str">
        <f t="shared" si="8"/>
        <v/>
      </c>
      <c r="H602" s="15" t="str">
        <f t="shared" si="9"/>
        <v/>
      </c>
      <c r="I602" s="16" t="str">
        <f t="shared" si="10"/>
        <v/>
      </c>
      <c r="J602" s="17"/>
      <c r="K602" s="14" t="str">
        <f t="array" ref="K602">IF(OR(H602="",H602="Selecciona.."),"",XLOOKUP(H602,Propiedades!B:B,Propiedades!C:C,"",0,1))</f>
        <v/>
      </c>
    </row>
    <row r="603">
      <c r="A603" s="14" t="str">
        <f t="shared" si="1"/>
        <v/>
      </c>
      <c r="B603" s="14" t="str">
        <f t="array" ref="B603">IF(OR(G603="",G603="Selecciona.."),"",XLOOKUP(G603,Productos!E:E,Productos!A:A,"",0,1))</f>
        <v/>
      </c>
      <c r="C603" s="14" t="str">
        <f t="array" ref="C603">IF(B603="","",SUMIF(Implementos!B:B,XLOOKUP(B603,Productos!A:A,Productos!F:F,"",0,1),Implementos!A:A))</f>
        <v/>
      </c>
      <c r="D603" s="14" t="str">
        <f t="array" ref="D603">IF(OR(H603="",H603="Selecciona.."),"",XLOOKUP(H603,Propiedades!B:B,Propiedades!A:A,"",0,1))</f>
        <v/>
      </c>
      <c r="E603" s="14" t="str">
        <f t="shared" si="2"/>
        <v/>
      </c>
      <c r="F603" s="14" t="str">
        <f t="shared" si="3"/>
        <v/>
      </c>
      <c r="G603" s="15" t="str">
        <f t="shared" si="8"/>
        <v/>
      </c>
      <c r="H603" s="15" t="str">
        <f t="shared" si="9"/>
        <v/>
      </c>
      <c r="I603" s="16" t="str">
        <f t="shared" si="10"/>
        <v/>
      </c>
      <c r="J603" s="17"/>
      <c r="K603" s="14" t="str">
        <f t="array" ref="K603">IF(OR(H603="",H603="Selecciona.."),"",XLOOKUP(H603,Propiedades!B:B,Propiedades!C:C,"",0,1))</f>
        <v/>
      </c>
    </row>
    <row r="604">
      <c r="A604" s="14" t="str">
        <f t="shared" si="1"/>
        <v/>
      </c>
      <c r="B604" s="14" t="str">
        <f t="array" ref="B604">IF(OR(G604="",G604="Selecciona.."),"",XLOOKUP(G604,Productos!E:E,Productos!A:A,"",0,1))</f>
        <v/>
      </c>
      <c r="C604" s="14" t="str">
        <f t="array" ref="C604">IF(B604="","",SUMIF(Implementos!B:B,XLOOKUP(B604,Productos!A:A,Productos!F:F,"",0,1),Implementos!A:A))</f>
        <v/>
      </c>
      <c r="D604" s="14" t="str">
        <f t="array" ref="D604">IF(OR(H604="",H604="Selecciona.."),"",XLOOKUP(H604,Propiedades!B:B,Propiedades!A:A,"",0,1))</f>
        <v/>
      </c>
      <c r="E604" s="14" t="str">
        <f t="shared" si="2"/>
        <v/>
      </c>
      <c r="F604" s="14" t="str">
        <f t="shared" si="3"/>
        <v/>
      </c>
      <c r="G604" s="15" t="str">
        <f t="shared" si="8"/>
        <v/>
      </c>
      <c r="H604" s="15" t="str">
        <f t="shared" si="9"/>
        <v/>
      </c>
      <c r="I604" s="16" t="str">
        <f t="shared" si="10"/>
        <v/>
      </c>
      <c r="J604" s="17"/>
      <c r="K604" s="14" t="str">
        <f t="array" ref="K604">IF(OR(H604="",H604="Selecciona.."),"",XLOOKUP(H604,Propiedades!B:B,Propiedades!C:C,"",0,1))</f>
        <v/>
      </c>
    </row>
    <row r="605">
      <c r="A605" s="14" t="str">
        <f t="shared" si="1"/>
        <v/>
      </c>
      <c r="B605" s="14" t="str">
        <f t="array" ref="B605">IF(OR(G605="",G605="Selecciona.."),"",XLOOKUP(G605,Productos!E:E,Productos!A:A,"",0,1))</f>
        <v/>
      </c>
      <c r="C605" s="14" t="str">
        <f t="array" ref="C605">IF(B605="","",SUMIF(Implementos!B:B,XLOOKUP(B605,Productos!A:A,Productos!F:F,"",0,1),Implementos!A:A))</f>
        <v/>
      </c>
      <c r="D605" s="14" t="str">
        <f t="array" ref="D605">IF(OR(H605="",H605="Selecciona.."),"",XLOOKUP(H605,Propiedades!B:B,Propiedades!A:A,"",0,1))</f>
        <v/>
      </c>
      <c r="E605" s="14" t="str">
        <f t="shared" si="2"/>
        <v/>
      </c>
      <c r="F605" s="14" t="str">
        <f t="shared" si="3"/>
        <v/>
      </c>
      <c r="G605" s="15" t="str">
        <f t="shared" si="8"/>
        <v/>
      </c>
      <c r="H605" s="15" t="str">
        <f t="shared" si="9"/>
        <v/>
      </c>
      <c r="I605" s="16" t="str">
        <f t="shared" si="10"/>
        <v/>
      </c>
      <c r="J605" s="17"/>
      <c r="K605" s="14" t="str">
        <f t="array" ref="K605">IF(OR(H605="",H605="Selecciona.."),"",XLOOKUP(H605,Propiedades!B:B,Propiedades!C:C,"",0,1))</f>
        <v/>
      </c>
    </row>
    <row r="606">
      <c r="A606" s="14" t="str">
        <f t="shared" si="1"/>
        <v/>
      </c>
      <c r="B606" s="14" t="str">
        <f t="array" ref="B606">IF(OR(G606="",G606="Selecciona.."),"",XLOOKUP(G606,Productos!E:E,Productos!A:A,"",0,1))</f>
        <v/>
      </c>
      <c r="C606" s="14" t="str">
        <f t="array" ref="C606">IF(B606="","",SUMIF(Implementos!B:B,XLOOKUP(B606,Productos!A:A,Productos!F:F,"",0,1),Implementos!A:A))</f>
        <v/>
      </c>
      <c r="D606" s="14" t="str">
        <f t="array" ref="D606">IF(OR(H606="",H606="Selecciona.."),"",XLOOKUP(H606,Propiedades!B:B,Propiedades!A:A,"",0,1))</f>
        <v/>
      </c>
      <c r="E606" s="14" t="str">
        <f t="shared" si="2"/>
        <v/>
      </c>
      <c r="F606" s="14" t="str">
        <f t="shared" si="3"/>
        <v/>
      </c>
      <c r="G606" s="15" t="str">
        <f t="shared" si="8"/>
        <v/>
      </c>
      <c r="H606" s="15" t="str">
        <f t="shared" si="9"/>
        <v/>
      </c>
      <c r="I606" s="16" t="str">
        <f t="shared" si="10"/>
        <v/>
      </c>
      <c r="J606" s="17"/>
      <c r="K606" s="14" t="str">
        <f t="array" ref="K606">IF(OR(H606="",H606="Selecciona.."),"",XLOOKUP(H606,Propiedades!B:B,Propiedades!C:C,"",0,1))</f>
        <v/>
      </c>
    </row>
    <row r="607">
      <c r="A607" s="14" t="str">
        <f t="shared" si="1"/>
        <v/>
      </c>
      <c r="B607" s="14" t="str">
        <f t="array" ref="B607">IF(OR(G607="",G607="Selecciona.."),"",XLOOKUP(G607,Productos!E:E,Productos!A:A,"",0,1))</f>
        <v/>
      </c>
      <c r="C607" s="14" t="str">
        <f t="array" ref="C607">IF(B607="","",SUMIF(Implementos!B:B,XLOOKUP(B607,Productos!A:A,Productos!F:F,"",0,1),Implementos!A:A))</f>
        <v/>
      </c>
      <c r="D607" s="14" t="str">
        <f t="array" ref="D607">IF(OR(H607="",H607="Selecciona.."),"",XLOOKUP(H607,Propiedades!B:B,Propiedades!A:A,"",0,1))</f>
        <v/>
      </c>
      <c r="E607" s="14" t="str">
        <f t="shared" si="2"/>
        <v/>
      </c>
      <c r="F607" s="14" t="str">
        <f t="shared" si="3"/>
        <v/>
      </c>
      <c r="G607" s="15" t="str">
        <f t="shared" si="8"/>
        <v/>
      </c>
      <c r="H607" s="15" t="str">
        <f t="shared" si="9"/>
        <v/>
      </c>
      <c r="I607" s="16" t="str">
        <f t="shared" si="10"/>
        <v/>
      </c>
      <c r="J607" s="17"/>
      <c r="K607" s="14" t="str">
        <f t="array" ref="K607">IF(OR(H607="",H607="Selecciona.."),"",XLOOKUP(H607,Propiedades!B:B,Propiedades!C:C,"",0,1))</f>
        <v/>
      </c>
    </row>
    <row r="608">
      <c r="A608" s="14" t="str">
        <f t="shared" si="1"/>
        <v/>
      </c>
      <c r="B608" s="14" t="str">
        <f t="array" ref="B608">IF(OR(G608="",G608="Selecciona.."),"",XLOOKUP(G608,Productos!E:E,Productos!A:A,"",0,1))</f>
        <v/>
      </c>
      <c r="C608" s="14" t="str">
        <f t="array" ref="C608">IF(B608="","",SUMIF(Implementos!B:B,XLOOKUP(B608,Productos!A:A,Productos!F:F,"",0,1),Implementos!A:A))</f>
        <v/>
      </c>
      <c r="D608" s="14" t="str">
        <f t="array" ref="D608">IF(OR(H608="",H608="Selecciona.."),"",XLOOKUP(H608,Propiedades!B:B,Propiedades!A:A,"",0,1))</f>
        <v/>
      </c>
      <c r="E608" s="14" t="str">
        <f t="shared" si="2"/>
        <v/>
      </c>
      <c r="F608" s="14" t="str">
        <f t="shared" si="3"/>
        <v/>
      </c>
      <c r="G608" s="15" t="str">
        <f t="shared" si="8"/>
        <v/>
      </c>
      <c r="H608" s="15" t="str">
        <f t="shared" si="9"/>
        <v/>
      </c>
      <c r="I608" s="16" t="str">
        <f t="shared" si="10"/>
        <v/>
      </c>
      <c r="J608" s="17"/>
      <c r="K608" s="14" t="str">
        <f t="array" ref="K608">IF(OR(H608="",H608="Selecciona.."),"",XLOOKUP(H608,Propiedades!B:B,Propiedades!C:C,"",0,1))</f>
        <v/>
      </c>
    </row>
    <row r="609">
      <c r="A609" s="14" t="str">
        <f t="shared" si="1"/>
        <v/>
      </c>
      <c r="B609" s="14" t="str">
        <f t="array" ref="B609">IF(OR(G609="",G609="Selecciona.."),"",XLOOKUP(G609,Productos!E:E,Productos!A:A,"",0,1))</f>
        <v/>
      </c>
      <c r="C609" s="14" t="str">
        <f t="array" ref="C609">IF(B609="","",SUMIF(Implementos!B:B,XLOOKUP(B609,Productos!A:A,Productos!F:F,"",0,1),Implementos!A:A))</f>
        <v/>
      </c>
      <c r="D609" s="14" t="str">
        <f t="array" ref="D609">IF(OR(H609="",H609="Selecciona.."),"",XLOOKUP(H609,Propiedades!B:B,Propiedades!A:A,"",0,1))</f>
        <v/>
      </c>
      <c r="E609" s="14" t="str">
        <f t="shared" si="2"/>
        <v/>
      </c>
      <c r="F609" s="14" t="str">
        <f t="shared" si="3"/>
        <v/>
      </c>
      <c r="G609" s="15" t="str">
        <f t="shared" si="8"/>
        <v/>
      </c>
      <c r="H609" s="15" t="str">
        <f t="shared" si="9"/>
        <v/>
      </c>
      <c r="I609" s="16" t="str">
        <f t="shared" si="10"/>
        <v/>
      </c>
      <c r="J609" s="17"/>
      <c r="K609" s="14" t="str">
        <f t="array" ref="K609">IF(OR(H609="",H609="Selecciona.."),"",XLOOKUP(H609,Propiedades!B:B,Propiedades!C:C,"",0,1))</f>
        <v/>
      </c>
    </row>
    <row r="610">
      <c r="A610" s="14" t="str">
        <f t="shared" si="1"/>
        <v/>
      </c>
      <c r="B610" s="14" t="str">
        <f t="array" ref="B610">IF(OR(G610="",G610="Selecciona.."),"",XLOOKUP(G610,Productos!E:E,Productos!A:A,"",0,1))</f>
        <v/>
      </c>
      <c r="C610" s="14" t="str">
        <f t="array" ref="C610">IF(B610="","",SUMIF(Implementos!B:B,XLOOKUP(B610,Productos!A:A,Productos!F:F,"",0,1),Implementos!A:A))</f>
        <v/>
      </c>
      <c r="D610" s="14" t="str">
        <f t="array" ref="D610">IF(OR(H610="",H610="Selecciona.."),"",XLOOKUP(H610,Propiedades!B:B,Propiedades!A:A,"",0,1))</f>
        <v/>
      </c>
      <c r="E610" s="14" t="str">
        <f t="shared" si="2"/>
        <v/>
      </c>
      <c r="F610" s="14" t="str">
        <f t="shared" si="3"/>
        <v/>
      </c>
      <c r="G610" s="15" t="str">
        <f t="shared" si="8"/>
        <v/>
      </c>
      <c r="H610" s="15" t="str">
        <f t="shared" si="9"/>
        <v/>
      </c>
      <c r="I610" s="16" t="str">
        <f t="shared" si="10"/>
        <v/>
      </c>
      <c r="J610" s="17"/>
      <c r="K610" s="14" t="str">
        <f t="array" ref="K610">IF(OR(H610="",H610="Selecciona.."),"",XLOOKUP(H610,Propiedades!B:B,Propiedades!C:C,"",0,1))</f>
        <v/>
      </c>
    </row>
    <row r="611">
      <c r="A611" s="14" t="str">
        <f t="shared" si="1"/>
        <v/>
      </c>
      <c r="B611" s="14" t="str">
        <f t="array" ref="B611">IF(OR(G611="",G611="Selecciona.."),"",XLOOKUP(G611,Productos!E:E,Productos!A:A,"",0,1))</f>
        <v/>
      </c>
      <c r="C611" s="14" t="str">
        <f t="array" ref="C611">IF(B611="","",SUMIF(Implementos!B:B,XLOOKUP(B611,Productos!A:A,Productos!F:F,"",0,1),Implementos!A:A))</f>
        <v/>
      </c>
      <c r="D611" s="14" t="str">
        <f t="array" ref="D611">IF(OR(H611="",H611="Selecciona.."),"",XLOOKUP(H611,Propiedades!B:B,Propiedades!A:A,"",0,1))</f>
        <v/>
      </c>
      <c r="E611" s="14" t="str">
        <f t="shared" si="2"/>
        <v/>
      </c>
      <c r="F611" s="14" t="str">
        <f t="shared" si="3"/>
        <v/>
      </c>
      <c r="G611" s="15" t="str">
        <f t="shared" si="8"/>
        <v/>
      </c>
      <c r="H611" s="15" t="str">
        <f t="shared" si="9"/>
        <v/>
      </c>
      <c r="I611" s="16" t="str">
        <f t="shared" si="10"/>
        <v/>
      </c>
      <c r="J611" s="17"/>
      <c r="K611" s="14" t="str">
        <f t="array" ref="K611">IF(OR(H611="",H611="Selecciona.."),"",XLOOKUP(H611,Propiedades!B:B,Propiedades!C:C,"",0,1))</f>
        <v/>
      </c>
    </row>
    <row r="612">
      <c r="A612" s="14" t="str">
        <f t="shared" si="1"/>
        <v/>
      </c>
      <c r="B612" s="14" t="str">
        <f t="array" ref="B612">IF(OR(G612="",G612="Selecciona.."),"",XLOOKUP(G612,Productos!E:E,Productos!A:A,"",0,1))</f>
        <v/>
      </c>
      <c r="C612" s="14" t="str">
        <f t="array" ref="C612">IF(B612="","",SUMIF(Implementos!B:B,XLOOKUP(B612,Productos!A:A,Productos!F:F,"",0,1),Implementos!A:A))</f>
        <v/>
      </c>
      <c r="D612" s="14" t="str">
        <f t="array" ref="D612">IF(OR(H612="",H612="Selecciona.."),"",XLOOKUP(H612,Propiedades!B:B,Propiedades!A:A,"",0,1))</f>
        <v/>
      </c>
      <c r="E612" s="14" t="str">
        <f t="shared" si="2"/>
        <v/>
      </c>
      <c r="F612" s="14" t="str">
        <f t="shared" si="3"/>
        <v/>
      </c>
      <c r="G612" s="15" t="str">
        <f t="shared" si="8"/>
        <v/>
      </c>
      <c r="H612" s="15" t="str">
        <f t="shared" si="9"/>
        <v/>
      </c>
      <c r="I612" s="16" t="str">
        <f t="shared" si="10"/>
        <v/>
      </c>
      <c r="J612" s="17"/>
      <c r="K612" s="14" t="str">
        <f t="array" ref="K612">IF(OR(H612="",H612="Selecciona.."),"",XLOOKUP(H612,Propiedades!B:B,Propiedades!C:C,"",0,1))</f>
        <v/>
      </c>
    </row>
    <row r="613">
      <c r="A613" s="14" t="str">
        <f t="shared" si="1"/>
        <v/>
      </c>
      <c r="B613" s="14" t="str">
        <f t="array" ref="B613">IF(OR(G613="",G613="Selecciona.."),"",XLOOKUP(G613,Productos!E:E,Productos!A:A,"",0,1))</f>
        <v/>
      </c>
      <c r="C613" s="14" t="str">
        <f t="array" ref="C613">IF(B613="","",SUMIF(Implementos!B:B,XLOOKUP(B613,Productos!A:A,Productos!F:F,"",0,1),Implementos!A:A))</f>
        <v/>
      </c>
      <c r="D613" s="14" t="str">
        <f t="array" ref="D613">IF(OR(H613="",H613="Selecciona.."),"",XLOOKUP(H613,Propiedades!B:B,Propiedades!A:A,"",0,1))</f>
        <v/>
      </c>
      <c r="E613" s="14" t="str">
        <f t="shared" si="2"/>
        <v/>
      </c>
      <c r="F613" s="14" t="str">
        <f t="shared" si="3"/>
        <v/>
      </c>
      <c r="G613" s="15" t="str">
        <f t="shared" si="8"/>
        <v/>
      </c>
      <c r="H613" s="15" t="str">
        <f t="shared" si="9"/>
        <v/>
      </c>
      <c r="I613" s="16" t="str">
        <f t="shared" si="10"/>
        <v/>
      </c>
      <c r="J613" s="17"/>
      <c r="K613" s="14" t="str">
        <f t="array" ref="K613">IF(OR(H613="",H613="Selecciona.."),"",XLOOKUP(H613,Propiedades!B:B,Propiedades!C:C,"",0,1))</f>
        <v/>
      </c>
    </row>
    <row r="614">
      <c r="A614" s="14" t="str">
        <f t="shared" si="1"/>
        <v/>
      </c>
      <c r="B614" s="14" t="str">
        <f t="array" ref="B614">IF(OR(G614="",G614="Selecciona.."),"",XLOOKUP(G614,Productos!E:E,Productos!A:A,"",0,1))</f>
        <v/>
      </c>
      <c r="C614" s="14" t="str">
        <f t="array" ref="C614">IF(B614="","",SUMIF(Implementos!B:B,XLOOKUP(B614,Productos!A:A,Productos!F:F,"",0,1),Implementos!A:A))</f>
        <v/>
      </c>
      <c r="D614" s="14" t="str">
        <f t="array" ref="D614">IF(OR(H614="",H614="Selecciona.."),"",XLOOKUP(H614,Propiedades!B:B,Propiedades!A:A,"",0,1))</f>
        <v/>
      </c>
      <c r="E614" s="14" t="str">
        <f t="shared" si="2"/>
        <v/>
      </c>
      <c r="F614" s="14" t="str">
        <f t="shared" si="3"/>
        <v/>
      </c>
      <c r="G614" s="15" t="str">
        <f t="shared" si="8"/>
        <v/>
      </c>
      <c r="H614" s="15" t="str">
        <f t="shared" si="9"/>
        <v/>
      </c>
      <c r="I614" s="16" t="str">
        <f t="shared" si="10"/>
        <v/>
      </c>
      <c r="J614" s="17"/>
      <c r="K614" s="14" t="str">
        <f t="array" ref="K614">IF(OR(H614="",H614="Selecciona.."),"",XLOOKUP(H614,Propiedades!B:B,Propiedades!C:C,"",0,1))</f>
        <v/>
      </c>
    </row>
    <row r="615">
      <c r="A615" s="14" t="str">
        <f t="shared" si="1"/>
        <v/>
      </c>
      <c r="B615" s="14" t="str">
        <f t="array" ref="B615">IF(OR(G615="",G615="Selecciona.."),"",XLOOKUP(G615,Productos!E:E,Productos!A:A,"",0,1))</f>
        <v/>
      </c>
      <c r="C615" s="14" t="str">
        <f t="array" ref="C615">IF(B615="","",SUMIF(Implementos!B:B,XLOOKUP(B615,Productos!A:A,Productos!F:F,"",0,1),Implementos!A:A))</f>
        <v/>
      </c>
      <c r="D615" s="14" t="str">
        <f t="array" ref="D615">IF(OR(H615="",H615="Selecciona.."),"",XLOOKUP(H615,Propiedades!B:B,Propiedades!A:A,"",0,1))</f>
        <v/>
      </c>
      <c r="E615" s="14" t="str">
        <f t="shared" si="2"/>
        <v/>
      </c>
      <c r="F615" s="14" t="str">
        <f t="shared" si="3"/>
        <v/>
      </c>
      <c r="G615" s="15" t="str">
        <f t="shared" si="8"/>
        <v/>
      </c>
      <c r="H615" s="15" t="str">
        <f t="shared" si="9"/>
        <v/>
      </c>
      <c r="I615" s="16" t="str">
        <f t="shared" si="10"/>
        <v/>
      </c>
      <c r="J615" s="17"/>
      <c r="K615" s="14" t="str">
        <f t="array" ref="K615">IF(OR(H615="",H615="Selecciona.."),"",XLOOKUP(H615,Propiedades!B:B,Propiedades!C:C,"",0,1))</f>
        <v/>
      </c>
    </row>
    <row r="616">
      <c r="A616" s="14" t="str">
        <f t="shared" si="1"/>
        <v/>
      </c>
      <c r="B616" s="14" t="str">
        <f t="array" ref="B616">IF(OR(G616="",G616="Selecciona.."),"",XLOOKUP(G616,Productos!E:E,Productos!A:A,"",0,1))</f>
        <v/>
      </c>
      <c r="C616" s="14" t="str">
        <f t="array" ref="C616">IF(B616="","",SUMIF(Implementos!B:B,XLOOKUP(B616,Productos!A:A,Productos!F:F,"",0,1),Implementos!A:A))</f>
        <v/>
      </c>
      <c r="D616" s="14" t="str">
        <f t="array" ref="D616">IF(OR(H616="",H616="Selecciona.."),"",XLOOKUP(H616,Propiedades!B:B,Propiedades!A:A,"",0,1))</f>
        <v/>
      </c>
      <c r="E616" s="14" t="str">
        <f t="shared" si="2"/>
        <v/>
      </c>
      <c r="F616" s="14" t="str">
        <f t="shared" si="3"/>
        <v/>
      </c>
      <c r="G616" s="15" t="str">
        <f t="shared" si="8"/>
        <v/>
      </c>
      <c r="H616" s="15" t="str">
        <f t="shared" si="9"/>
        <v/>
      </c>
      <c r="I616" s="16" t="str">
        <f t="shared" si="10"/>
        <v/>
      </c>
      <c r="J616" s="17"/>
      <c r="K616" s="14" t="str">
        <f t="array" ref="K616">IF(OR(H616="",H616="Selecciona.."),"",XLOOKUP(H616,Propiedades!B:B,Propiedades!C:C,"",0,1))</f>
        <v/>
      </c>
    </row>
    <row r="617">
      <c r="A617" s="14" t="str">
        <f t="shared" si="1"/>
        <v/>
      </c>
      <c r="B617" s="14" t="str">
        <f t="array" ref="B617">IF(OR(G617="",G617="Selecciona.."),"",XLOOKUP(G617,Productos!E:E,Productos!A:A,"",0,1))</f>
        <v/>
      </c>
      <c r="C617" s="14" t="str">
        <f t="array" ref="C617">IF(B617="","",SUMIF(Implementos!B:B,XLOOKUP(B617,Productos!A:A,Productos!F:F,"",0,1),Implementos!A:A))</f>
        <v/>
      </c>
      <c r="D617" s="14" t="str">
        <f t="array" ref="D617">IF(OR(H617="",H617="Selecciona.."),"",XLOOKUP(H617,Propiedades!B:B,Propiedades!A:A,"",0,1))</f>
        <v/>
      </c>
      <c r="E617" s="14" t="str">
        <f t="shared" si="2"/>
        <v/>
      </c>
      <c r="F617" s="14" t="str">
        <f t="shared" si="3"/>
        <v/>
      </c>
      <c r="G617" s="15" t="str">
        <f t="shared" si="8"/>
        <v/>
      </c>
      <c r="H617" s="15" t="str">
        <f t="shared" si="9"/>
        <v/>
      </c>
      <c r="I617" s="16" t="str">
        <f t="shared" si="10"/>
        <v/>
      </c>
      <c r="J617" s="17"/>
      <c r="K617" s="14" t="str">
        <f t="array" ref="K617">IF(OR(H617="",H617="Selecciona.."),"",XLOOKUP(H617,Propiedades!B:B,Propiedades!C:C,"",0,1))</f>
        <v/>
      </c>
    </row>
    <row r="618">
      <c r="A618" s="14" t="str">
        <f t="shared" si="1"/>
        <v/>
      </c>
      <c r="B618" s="14" t="str">
        <f t="array" ref="B618">IF(OR(G618="",G618="Selecciona.."),"",XLOOKUP(G618,Productos!E:E,Productos!A:A,"",0,1))</f>
        <v/>
      </c>
      <c r="C618" s="14" t="str">
        <f t="array" ref="C618">IF(B618="","",SUMIF(Implementos!B:B,XLOOKUP(B618,Productos!A:A,Productos!F:F,"",0,1),Implementos!A:A))</f>
        <v/>
      </c>
      <c r="D618" s="14" t="str">
        <f t="array" ref="D618">IF(OR(H618="",H618="Selecciona.."),"",XLOOKUP(H618,Propiedades!B:B,Propiedades!A:A,"",0,1))</f>
        <v/>
      </c>
      <c r="E618" s="14" t="str">
        <f t="shared" si="2"/>
        <v/>
      </c>
      <c r="F618" s="14" t="str">
        <f t="shared" si="3"/>
        <v/>
      </c>
      <c r="G618" s="15" t="str">
        <f t="shared" si="8"/>
        <v/>
      </c>
      <c r="H618" s="15" t="str">
        <f t="shared" si="9"/>
        <v/>
      </c>
      <c r="I618" s="16" t="str">
        <f t="shared" si="10"/>
        <v/>
      </c>
      <c r="J618" s="17"/>
      <c r="K618" s="14" t="str">
        <f t="array" ref="K618">IF(OR(H618="",H618="Selecciona.."),"",XLOOKUP(H618,Propiedades!B:B,Propiedades!C:C,"",0,1))</f>
        <v/>
      </c>
    </row>
    <row r="619">
      <c r="A619" s="14" t="str">
        <f t="shared" si="1"/>
        <v/>
      </c>
      <c r="B619" s="14" t="str">
        <f t="array" ref="B619">IF(OR(G619="",G619="Selecciona.."),"",XLOOKUP(G619,Productos!E:E,Productos!A:A,"",0,1))</f>
        <v/>
      </c>
      <c r="C619" s="14" t="str">
        <f t="array" ref="C619">IF(B619="","",SUMIF(Implementos!B:B,XLOOKUP(B619,Productos!A:A,Productos!F:F,"",0,1),Implementos!A:A))</f>
        <v/>
      </c>
      <c r="D619" s="14" t="str">
        <f t="array" ref="D619">IF(OR(H619="",H619="Selecciona.."),"",XLOOKUP(H619,Propiedades!B:B,Propiedades!A:A,"",0,1))</f>
        <v/>
      </c>
      <c r="E619" s="14" t="str">
        <f t="shared" si="2"/>
        <v/>
      </c>
      <c r="F619" s="14" t="str">
        <f t="shared" si="3"/>
        <v/>
      </c>
      <c r="G619" s="15" t="str">
        <f t="shared" si="8"/>
        <v/>
      </c>
      <c r="H619" s="15" t="str">
        <f t="shared" si="9"/>
        <v/>
      </c>
      <c r="I619" s="16" t="str">
        <f t="shared" si="10"/>
        <v/>
      </c>
      <c r="J619" s="17"/>
      <c r="K619" s="14" t="str">
        <f t="array" ref="K619">IF(OR(H619="",H619="Selecciona.."),"",XLOOKUP(H619,Propiedades!B:B,Propiedades!C:C,"",0,1))</f>
        <v/>
      </c>
    </row>
    <row r="620">
      <c r="A620" s="14" t="str">
        <f t="shared" si="1"/>
        <v/>
      </c>
      <c r="B620" s="14" t="str">
        <f t="array" ref="B620">IF(OR(G620="",G620="Selecciona.."),"",XLOOKUP(G620,Productos!E:E,Productos!A:A,"",0,1))</f>
        <v/>
      </c>
      <c r="C620" s="14" t="str">
        <f t="array" ref="C620">IF(B620="","",SUMIF(Implementos!B:B,XLOOKUP(B620,Productos!A:A,Productos!F:F,"",0,1),Implementos!A:A))</f>
        <v/>
      </c>
      <c r="D620" s="14" t="str">
        <f t="array" ref="D620">IF(OR(H620="",H620="Selecciona.."),"",XLOOKUP(H620,Propiedades!B:B,Propiedades!A:A,"",0,1))</f>
        <v/>
      </c>
      <c r="E620" s="14" t="str">
        <f t="shared" si="2"/>
        <v/>
      </c>
      <c r="F620" s="14" t="str">
        <f t="shared" si="3"/>
        <v/>
      </c>
      <c r="G620" s="15" t="str">
        <f t="shared" si="8"/>
        <v/>
      </c>
      <c r="H620" s="15" t="str">
        <f t="shared" si="9"/>
        <v/>
      </c>
      <c r="I620" s="16" t="str">
        <f t="shared" si="10"/>
        <v/>
      </c>
      <c r="J620" s="17"/>
      <c r="K620" s="14" t="str">
        <f t="array" ref="K620">IF(OR(H620="",H620="Selecciona.."),"",XLOOKUP(H620,Propiedades!B:B,Propiedades!C:C,"",0,1))</f>
        <v/>
      </c>
    </row>
    <row r="621">
      <c r="A621" s="14" t="str">
        <f t="shared" si="1"/>
        <v/>
      </c>
      <c r="B621" s="14" t="str">
        <f t="array" ref="B621">IF(OR(G621="",G621="Selecciona.."),"",XLOOKUP(G621,Productos!E:E,Productos!A:A,"",0,1))</f>
        <v/>
      </c>
      <c r="C621" s="14" t="str">
        <f t="array" ref="C621">IF(B621="","",SUMIF(Implementos!B:B,XLOOKUP(B621,Productos!A:A,Productos!F:F,"",0,1),Implementos!A:A))</f>
        <v/>
      </c>
      <c r="D621" s="14" t="str">
        <f t="array" ref="D621">IF(OR(H621="",H621="Selecciona.."),"",XLOOKUP(H621,Propiedades!B:B,Propiedades!A:A,"",0,1))</f>
        <v/>
      </c>
      <c r="E621" s="14" t="str">
        <f t="shared" si="2"/>
        <v/>
      </c>
      <c r="F621" s="14" t="str">
        <f t="shared" si="3"/>
        <v/>
      </c>
      <c r="G621" s="15" t="str">
        <f t="shared" si="8"/>
        <v/>
      </c>
      <c r="H621" s="15" t="str">
        <f t="shared" si="9"/>
        <v/>
      </c>
      <c r="I621" s="16" t="str">
        <f t="shared" si="10"/>
        <v/>
      </c>
      <c r="J621" s="17"/>
      <c r="K621" s="14" t="str">
        <f t="array" ref="K621">IF(OR(H621="",H621="Selecciona.."),"",XLOOKUP(H621,Propiedades!B:B,Propiedades!C:C,"",0,1))</f>
        <v/>
      </c>
    </row>
    <row r="622">
      <c r="A622" s="14" t="str">
        <f t="shared" si="1"/>
        <v/>
      </c>
      <c r="B622" s="14" t="str">
        <f t="array" ref="B622">IF(OR(G622="",G622="Selecciona.."),"",XLOOKUP(G622,Productos!E:E,Productos!A:A,"",0,1))</f>
        <v/>
      </c>
      <c r="C622" s="14" t="str">
        <f t="array" ref="C622">IF(B622="","",SUMIF(Implementos!B:B,XLOOKUP(B622,Productos!A:A,Productos!F:F,"",0,1),Implementos!A:A))</f>
        <v/>
      </c>
      <c r="D622" s="14" t="str">
        <f t="array" ref="D622">IF(OR(H622="",H622="Selecciona.."),"",XLOOKUP(H622,Propiedades!B:B,Propiedades!A:A,"",0,1))</f>
        <v/>
      </c>
      <c r="E622" s="14" t="str">
        <f t="shared" si="2"/>
        <v/>
      </c>
      <c r="F622" s="14" t="str">
        <f t="shared" si="3"/>
        <v/>
      </c>
      <c r="G622" s="15" t="str">
        <f t="shared" si="8"/>
        <v/>
      </c>
      <c r="H622" s="15" t="str">
        <f t="shared" si="9"/>
        <v/>
      </c>
      <c r="I622" s="16" t="str">
        <f t="shared" si="10"/>
        <v/>
      </c>
      <c r="J622" s="17"/>
      <c r="K622" s="14" t="str">
        <f t="array" ref="K622">IF(OR(H622="",H622="Selecciona.."),"",XLOOKUP(H622,Propiedades!B:B,Propiedades!C:C,"",0,1))</f>
        <v/>
      </c>
    </row>
    <row r="623">
      <c r="A623" s="14" t="str">
        <f t="shared" si="1"/>
        <v/>
      </c>
      <c r="B623" s="14" t="str">
        <f t="array" ref="B623">IF(OR(G623="",G623="Selecciona.."),"",XLOOKUP(G623,Productos!E:E,Productos!A:A,"",0,1))</f>
        <v/>
      </c>
      <c r="C623" s="14" t="str">
        <f t="array" ref="C623">IF(B623="","",SUMIF(Implementos!B:B,XLOOKUP(B623,Productos!A:A,Productos!F:F,"",0,1),Implementos!A:A))</f>
        <v/>
      </c>
      <c r="D623" s="14" t="str">
        <f t="array" ref="D623">IF(OR(H623="",H623="Selecciona.."),"",XLOOKUP(H623,Propiedades!B:B,Propiedades!A:A,"",0,1))</f>
        <v/>
      </c>
      <c r="E623" s="14" t="str">
        <f t="shared" si="2"/>
        <v/>
      </c>
      <c r="F623" s="14" t="str">
        <f t="shared" si="3"/>
        <v/>
      </c>
      <c r="G623" s="15" t="str">
        <f t="shared" si="8"/>
        <v/>
      </c>
      <c r="H623" s="15" t="str">
        <f t="shared" si="9"/>
        <v/>
      </c>
      <c r="I623" s="16" t="str">
        <f t="shared" si="10"/>
        <v/>
      </c>
      <c r="J623" s="17"/>
      <c r="K623" s="14" t="str">
        <f t="array" ref="K623">IF(OR(H623="",H623="Selecciona.."),"",XLOOKUP(H623,Propiedades!B:B,Propiedades!C:C,"",0,1))</f>
        <v/>
      </c>
    </row>
    <row r="624">
      <c r="A624" s="14" t="str">
        <f t="shared" si="1"/>
        <v/>
      </c>
      <c r="B624" s="14" t="str">
        <f t="array" ref="B624">IF(OR(G624="",G624="Selecciona.."),"",XLOOKUP(G624,Productos!E:E,Productos!A:A,"",0,1))</f>
        <v/>
      </c>
      <c r="C624" s="14" t="str">
        <f t="array" ref="C624">IF(B624="","",SUMIF(Implementos!B:B,XLOOKUP(B624,Productos!A:A,Productos!F:F,"",0,1),Implementos!A:A))</f>
        <v/>
      </c>
      <c r="D624" s="14" t="str">
        <f t="array" ref="D624">IF(OR(H624="",H624="Selecciona.."),"",XLOOKUP(H624,Propiedades!B:B,Propiedades!A:A,"",0,1))</f>
        <v/>
      </c>
      <c r="E624" s="14" t="str">
        <f t="shared" si="2"/>
        <v/>
      </c>
      <c r="F624" s="14" t="str">
        <f t="shared" si="3"/>
        <v/>
      </c>
      <c r="G624" s="15" t="str">
        <f t="shared" si="8"/>
        <v/>
      </c>
      <c r="H624" s="15" t="str">
        <f t="shared" si="9"/>
        <v/>
      </c>
      <c r="I624" s="16" t="str">
        <f t="shared" si="10"/>
        <v/>
      </c>
      <c r="J624" s="17"/>
      <c r="K624" s="14" t="str">
        <f t="array" ref="K624">IF(OR(H624="",H624="Selecciona.."),"",XLOOKUP(H624,Propiedades!B:B,Propiedades!C:C,"",0,1))</f>
        <v/>
      </c>
    </row>
    <row r="625">
      <c r="A625" s="14" t="str">
        <f t="shared" si="1"/>
        <v/>
      </c>
      <c r="B625" s="14" t="str">
        <f t="array" ref="B625">IF(OR(G625="",G625="Selecciona.."),"",XLOOKUP(G625,Productos!E:E,Productos!A:A,"",0,1))</f>
        <v/>
      </c>
      <c r="C625" s="14" t="str">
        <f t="array" ref="C625">IF(B625="","",SUMIF(Implementos!B:B,XLOOKUP(B625,Productos!A:A,Productos!F:F,"",0,1),Implementos!A:A))</f>
        <v/>
      </c>
      <c r="D625" s="14" t="str">
        <f t="array" ref="D625">IF(OR(H625="",H625="Selecciona.."),"",XLOOKUP(H625,Propiedades!B:B,Propiedades!A:A,"",0,1))</f>
        <v/>
      </c>
      <c r="E625" s="14" t="str">
        <f t="shared" si="2"/>
        <v/>
      </c>
      <c r="F625" s="14" t="str">
        <f t="shared" si="3"/>
        <v/>
      </c>
      <c r="G625" s="15" t="str">
        <f t="shared" si="8"/>
        <v/>
      </c>
      <c r="H625" s="15" t="str">
        <f t="shared" si="9"/>
        <v/>
      </c>
      <c r="I625" s="16" t="str">
        <f t="shared" si="10"/>
        <v/>
      </c>
      <c r="J625" s="17"/>
      <c r="K625" s="14" t="str">
        <f t="array" ref="K625">IF(OR(H625="",H625="Selecciona.."),"",XLOOKUP(H625,Propiedades!B:B,Propiedades!C:C,"",0,1))</f>
        <v/>
      </c>
    </row>
    <row r="626">
      <c r="A626" s="14" t="str">
        <f t="shared" si="1"/>
        <v/>
      </c>
      <c r="B626" s="14" t="str">
        <f t="array" ref="B626">IF(OR(G626="",G626="Selecciona.."),"",XLOOKUP(G626,Productos!E:E,Productos!A:A,"",0,1))</f>
        <v/>
      </c>
      <c r="C626" s="14" t="str">
        <f t="array" ref="C626">IF(B626="","",SUMIF(Implementos!B:B,XLOOKUP(B626,Productos!A:A,Productos!F:F,"",0,1),Implementos!A:A))</f>
        <v/>
      </c>
      <c r="D626" s="14" t="str">
        <f t="array" ref="D626">IF(OR(H626="",H626="Selecciona.."),"",XLOOKUP(H626,Propiedades!B:B,Propiedades!A:A,"",0,1))</f>
        <v/>
      </c>
      <c r="E626" s="14" t="str">
        <f t="shared" si="2"/>
        <v/>
      </c>
      <c r="F626" s="14" t="str">
        <f t="shared" si="3"/>
        <v/>
      </c>
      <c r="G626" s="15" t="str">
        <f t="shared" si="8"/>
        <v/>
      </c>
      <c r="H626" s="15" t="str">
        <f t="shared" si="9"/>
        <v/>
      </c>
      <c r="I626" s="16" t="str">
        <f t="shared" si="10"/>
        <v/>
      </c>
      <c r="J626" s="17"/>
      <c r="K626" s="14" t="str">
        <f t="array" ref="K626">IF(OR(H626="",H626="Selecciona.."),"",XLOOKUP(H626,Propiedades!B:B,Propiedades!C:C,"",0,1))</f>
        <v/>
      </c>
    </row>
    <row r="627">
      <c r="A627" s="14" t="str">
        <f t="shared" si="1"/>
        <v/>
      </c>
      <c r="B627" s="14" t="str">
        <f t="array" ref="B627">IF(OR(G627="",G627="Selecciona.."),"",XLOOKUP(G627,Productos!E:E,Productos!A:A,"",0,1))</f>
        <v/>
      </c>
      <c r="C627" s="14" t="str">
        <f t="array" ref="C627">IF(B627="","",SUMIF(Implementos!B:B,XLOOKUP(B627,Productos!A:A,Productos!F:F,"",0,1),Implementos!A:A))</f>
        <v/>
      </c>
      <c r="D627" s="14" t="str">
        <f t="array" ref="D627">IF(OR(H627="",H627="Selecciona.."),"",XLOOKUP(H627,Propiedades!B:B,Propiedades!A:A,"",0,1))</f>
        <v/>
      </c>
      <c r="E627" s="14" t="str">
        <f t="shared" si="2"/>
        <v/>
      </c>
      <c r="F627" s="14" t="str">
        <f t="shared" si="3"/>
        <v/>
      </c>
      <c r="G627" s="15" t="str">
        <f t="shared" si="8"/>
        <v/>
      </c>
      <c r="H627" s="15" t="str">
        <f t="shared" si="9"/>
        <v/>
      </c>
      <c r="I627" s="16" t="str">
        <f t="shared" si="10"/>
        <v/>
      </c>
      <c r="J627" s="17"/>
      <c r="K627" s="14" t="str">
        <f t="array" ref="K627">IF(OR(H627="",H627="Selecciona.."),"",XLOOKUP(H627,Propiedades!B:B,Propiedades!C:C,"",0,1))</f>
        <v/>
      </c>
    </row>
    <row r="628">
      <c r="A628" s="14" t="str">
        <f t="shared" si="1"/>
        <v/>
      </c>
      <c r="B628" s="14" t="str">
        <f t="array" ref="B628">IF(OR(G628="",G628="Selecciona.."),"",XLOOKUP(G628,Productos!E:E,Productos!A:A,"",0,1))</f>
        <v/>
      </c>
      <c r="C628" s="14" t="str">
        <f t="array" ref="C628">IF(B628="","",SUMIF(Implementos!B:B,XLOOKUP(B628,Productos!A:A,Productos!F:F,"",0,1),Implementos!A:A))</f>
        <v/>
      </c>
      <c r="D628" s="14" t="str">
        <f t="array" ref="D628">IF(OR(H628="",H628="Selecciona.."),"",XLOOKUP(H628,Propiedades!B:B,Propiedades!A:A,"",0,1))</f>
        <v/>
      </c>
      <c r="E628" s="14" t="str">
        <f t="shared" si="2"/>
        <v/>
      </c>
      <c r="F628" s="14" t="str">
        <f t="shared" si="3"/>
        <v/>
      </c>
      <c r="G628" s="15" t="str">
        <f t="shared" si="8"/>
        <v/>
      </c>
      <c r="H628" s="15" t="str">
        <f t="shared" si="9"/>
        <v/>
      </c>
      <c r="I628" s="16" t="str">
        <f t="shared" si="10"/>
        <v/>
      </c>
      <c r="J628" s="17"/>
      <c r="K628" s="14" t="str">
        <f t="array" ref="K628">IF(OR(H628="",H628="Selecciona.."),"",XLOOKUP(H628,Propiedades!B:B,Propiedades!C:C,"",0,1))</f>
        <v/>
      </c>
    </row>
    <row r="629">
      <c r="A629" s="14" t="str">
        <f t="shared" si="1"/>
        <v/>
      </c>
      <c r="B629" s="14" t="str">
        <f t="array" ref="B629">IF(OR(G629="",G629="Selecciona.."),"",XLOOKUP(G629,Productos!E:E,Productos!A:A,"",0,1))</f>
        <v/>
      </c>
      <c r="C629" s="14" t="str">
        <f t="array" ref="C629">IF(B629="","",SUMIF(Implementos!B:B,XLOOKUP(B629,Productos!A:A,Productos!F:F,"",0,1),Implementos!A:A))</f>
        <v/>
      </c>
      <c r="D629" s="14" t="str">
        <f t="array" ref="D629">IF(OR(H629="",H629="Selecciona.."),"",XLOOKUP(H629,Propiedades!B:B,Propiedades!A:A,"",0,1))</f>
        <v/>
      </c>
      <c r="E629" s="14" t="str">
        <f t="shared" si="2"/>
        <v/>
      </c>
      <c r="F629" s="14" t="str">
        <f t="shared" si="3"/>
        <v/>
      </c>
      <c r="G629" s="15" t="str">
        <f t="shared" si="8"/>
        <v/>
      </c>
      <c r="H629" s="15" t="str">
        <f t="shared" si="9"/>
        <v/>
      </c>
      <c r="I629" s="16" t="str">
        <f t="shared" si="10"/>
        <v/>
      </c>
      <c r="J629" s="17"/>
      <c r="K629" s="14" t="str">
        <f t="array" ref="K629">IF(OR(H629="",H629="Selecciona.."),"",XLOOKUP(H629,Propiedades!B:B,Propiedades!C:C,"",0,1))</f>
        <v/>
      </c>
    </row>
    <row r="630">
      <c r="A630" s="14" t="str">
        <f t="shared" si="1"/>
        <v/>
      </c>
      <c r="B630" s="14" t="str">
        <f t="array" ref="B630">IF(OR(G630="",G630="Selecciona.."),"",XLOOKUP(G630,Productos!E:E,Productos!A:A,"",0,1))</f>
        <v/>
      </c>
      <c r="C630" s="14" t="str">
        <f t="array" ref="C630">IF(B630="","",SUMIF(Implementos!B:B,XLOOKUP(B630,Productos!A:A,Productos!F:F,"",0,1),Implementos!A:A))</f>
        <v/>
      </c>
      <c r="D630" s="14" t="str">
        <f t="array" ref="D630">IF(OR(H630="",H630="Selecciona.."),"",XLOOKUP(H630,Propiedades!B:B,Propiedades!A:A,"",0,1))</f>
        <v/>
      </c>
      <c r="E630" s="14" t="str">
        <f t="shared" si="2"/>
        <v/>
      </c>
      <c r="F630" s="14" t="str">
        <f t="shared" si="3"/>
        <v/>
      </c>
      <c r="G630" s="15" t="str">
        <f t="shared" si="8"/>
        <v/>
      </c>
      <c r="H630" s="15" t="str">
        <f t="shared" si="9"/>
        <v/>
      </c>
      <c r="I630" s="16" t="str">
        <f t="shared" si="10"/>
        <v/>
      </c>
      <c r="J630" s="17"/>
      <c r="K630" s="14" t="str">
        <f t="array" ref="K630">IF(OR(H630="",H630="Selecciona.."),"",XLOOKUP(H630,Propiedades!B:B,Propiedades!C:C,"",0,1))</f>
        <v/>
      </c>
    </row>
    <row r="631">
      <c r="A631" s="14" t="str">
        <f t="shared" si="1"/>
        <v/>
      </c>
      <c r="B631" s="14" t="str">
        <f t="array" ref="B631">IF(OR(G631="",G631="Selecciona.."),"",XLOOKUP(G631,Productos!E:E,Productos!A:A,"",0,1))</f>
        <v/>
      </c>
      <c r="C631" s="14" t="str">
        <f t="array" ref="C631">IF(B631="","",SUMIF(Implementos!B:B,XLOOKUP(B631,Productos!A:A,Productos!F:F,"",0,1),Implementos!A:A))</f>
        <v/>
      </c>
      <c r="D631" s="14" t="str">
        <f t="array" ref="D631">IF(OR(H631="",H631="Selecciona.."),"",XLOOKUP(H631,Propiedades!B:B,Propiedades!A:A,"",0,1))</f>
        <v/>
      </c>
      <c r="E631" s="14" t="str">
        <f t="shared" si="2"/>
        <v/>
      </c>
      <c r="F631" s="14" t="str">
        <f t="shared" si="3"/>
        <v/>
      </c>
      <c r="G631" s="15" t="str">
        <f t="shared" si="8"/>
        <v/>
      </c>
      <c r="H631" s="15" t="str">
        <f t="shared" si="9"/>
        <v/>
      </c>
      <c r="I631" s="16" t="str">
        <f t="shared" si="10"/>
        <v/>
      </c>
      <c r="J631" s="17"/>
      <c r="K631" s="14" t="str">
        <f t="array" ref="K631">IF(OR(H631="",H631="Selecciona.."),"",XLOOKUP(H631,Propiedades!B:B,Propiedades!C:C,"",0,1))</f>
        <v/>
      </c>
    </row>
    <row r="632">
      <c r="A632" s="14" t="str">
        <f t="shared" si="1"/>
        <v/>
      </c>
      <c r="B632" s="14" t="str">
        <f t="array" ref="B632">IF(OR(G632="",G632="Selecciona.."),"",XLOOKUP(G632,Productos!E:E,Productos!A:A,"",0,1))</f>
        <v/>
      </c>
      <c r="C632" s="14" t="str">
        <f t="array" ref="C632">IF(B632="","",SUMIF(Implementos!B:B,XLOOKUP(B632,Productos!A:A,Productos!F:F,"",0,1),Implementos!A:A))</f>
        <v/>
      </c>
      <c r="D632" s="14" t="str">
        <f t="array" ref="D632">IF(OR(H632="",H632="Selecciona.."),"",XLOOKUP(H632,Propiedades!B:B,Propiedades!A:A,"",0,1))</f>
        <v/>
      </c>
      <c r="E632" s="14" t="str">
        <f t="shared" si="2"/>
        <v/>
      </c>
      <c r="F632" s="14" t="str">
        <f t="shared" si="3"/>
        <v/>
      </c>
      <c r="G632" s="15" t="str">
        <f t="shared" si="8"/>
        <v/>
      </c>
      <c r="H632" s="15" t="str">
        <f t="shared" si="9"/>
        <v/>
      </c>
      <c r="I632" s="16" t="str">
        <f t="shared" si="10"/>
        <v/>
      </c>
      <c r="J632" s="17"/>
      <c r="K632" s="14" t="str">
        <f t="array" ref="K632">IF(OR(H632="",H632="Selecciona.."),"",XLOOKUP(H632,Propiedades!B:B,Propiedades!C:C,"",0,1))</f>
        <v/>
      </c>
    </row>
    <row r="633">
      <c r="A633" s="14" t="str">
        <f t="shared" si="1"/>
        <v/>
      </c>
      <c r="B633" s="14" t="str">
        <f t="array" ref="B633">IF(OR(G633="",G633="Selecciona.."),"",XLOOKUP(G633,Productos!E:E,Productos!A:A,"",0,1))</f>
        <v/>
      </c>
      <c r="C633" s="14" t="str">
        <f t="array" ref="C633">IF(B633="","",SUMIF(Implementos!B:B,XLOOKUP(B633,Productos!A:A,Productos!F:F,"",0,1),Implementos!A:A))</f>
        <v/>
      </c>
      <c r="D633" s="14" t="str">
        <f t="array" ref="D633">IF(OR(H633="",H633="Selecciona.."),"",XLOOKUP(H633,Propiedades!B:B,Propiedades!A:A,"",0,1))</f>
        <v/>
      </c>
      <c r="E633" s="14" t="str">
        <f t="shared" si="2"/>
        <v/>
      </c>
      <c r="F633" s="14" t="str">
        <f t="shared" si="3"/>
        <v/>
      </c>
      <c r="G633" s="15" t="str">
        <f t="shared" si="8"/>
        <v/>
      </c>
      <c r="H633" s="15" t="str">
        <f t="shared" si="9"/>
        <v/>
      </c>
      <c r="I633" s="16" t="str">
        <f t="shared" si="10"/>
        <v/>
      </c>
      <c r="J633" s="17"/>
      <c r="K633" s="14" t="str">
        <f t="array" ref="K633">IF(OR(H633="",H633="Selecciona.."),"",XLOOKUP(H633,Propiedades!B:B,Propiedades!C:C,"",0,1))</f>
        <v/>
      </c>
    </row>
    <row r="634">
      <c r="A634" s="14" t="str">
        <f t="shared" si="1"/>
        <v/>
      </c>
      <c r="B634" s="14" t="str">
        <f t="array" ref="B634">IF(OR(G634="",G634="Selecciona.."),"",XLOOKUP(G634,Productos!E:E,Productos!A:A,"",0,1))</f>
        <v/>
      </c>
      <c r="C634" s="14" t="str">
        <f t="array" ref="C634">IF(B634="","",SUMIF(Implementos!B:B,XLOOKUP(B634,Productos!A:A,Productos!F:F,"",0,1),Implementos!A:A))</f>
        <v/>
      </c>
      <c r="D634" s="14" t="str">
        <f t="array" ref="D634">IF(OR(H634="",H634="Selecciona.."),"",XLOOKUP(H634,Propiedades!B:B,Propiedades!A:A,"",0,1))</f>
        <v/>
      </c>
      <c r="E634" s="14" t="str">
        <f t="shared" si="2"/>
        <v/>
      </c>
      <c r="F634" s="14" t="str">
        <f t="shared" si="3"/>
        <v/>
      </c>
      <c r="G634" s="15" t="str">
        <f t="shared" si="8"/>
        <v/>
      </c>
      <c r="H634" s="15" t="str">
        <f t="shared" si="9"/>
        <v/>
      </c>
      <c r="I634" s="16" t="str">
        <f t="shared" si="10"/>
        <v/>
      </c>
      <c r="J634" s="17"/>
      <c r="K634" s="14" t="str">
        <f t="array" ref="K634">IF(OR(H634="",H634="Selecciona.."),"",XLOOKUP(H634,Propiedades!B:B,Propiedades!C:C,"",0,1))</f>
        <v/>
      </c>
    </row>
    <row r="635">
      <c r="A635" s="14" t="str">
        <f t="shared" si="1"/>
        <v/>
      </c>
      <c r="B635" s="14" t="str">
        <f t="array" ref="B635">IF(OR(G635="",G635="Selecciona.."),"",XLOOKUP(G635,Productos!E:E,Productos!A:A,"",0,1))</f>
        <v/>
      </c>
      <c r="C635" s="14" t="str">
        <f t="array" ref="C635">IF(B635="","",SUMIF(Implementos!B:B,XLOOKUP(B635,Productos!A:A,Productos!F:F,"",0,1),Implementos!A:A))</f>
        <v/>
      </c>
      <c r="D635" s="14" t="str">
        <f t="array" ref="D635">IF(OR(H635="",H635="Selecciona.."),"",XLOOKUP(H635,Propiedades!B:B,Propiedades!A:A,"",0,1))</f>
        <v/>
      </c>
      <c r="E635" s="14" t="str">
        <f t="shared" si="2"/>
        <v/>
      </c>
      <c r="F635" s="14" t="str">
        <f t="shared" si="3"/>
        <v/>
      </c>
      <c r="G635" s="15" t="str">
        <f t="shared" si="8"/>
        <v/>
      </c>
      <c r="H635" s="15" t="str">
        <f t="shared" si="9"/>
        <v/>
      </c>
      <c r="I635" s="16" t="str">
        <f t="shared" si="10"/>
        <v/>
      </c>
      <c r="J635" s="17"/>
      <c r="K635" s="14" t="str">
        <f t="array" ref="K635">IF(OR(H635="",H635="Selecciona.."),"",XLOOKUP(H635,Propiedades!B:B,Propiedades!C:C,"",0,1))</f>
        <v/>
      </c>
    </row>
    <row r="636">
      <c r="A636" s="14" t="str">
        <f t="shared" si="1"/>
        <v/>
      </c>
      <c r="B636" s="14" t="str">
        <f t="array" ref="B636">IF(OR(G636="",G636="Selecciona.."),"",XLOOKUP(G636,Productos!E:E,Productos!A:A,"",0,1))</f>
        <v/>
      </c>
      <c r="C636" s="14" t="str">
        <f t="array" ref="C636">IF(B636="","",SUMIF(Implementos!B:B,XLOOKUP(B636,Productos!A:A,Productos!F:F,"",0,1),Implementos!A:A))</f>
        <v/>
      </c>
      <c r="D636" s="14" t="str">
        <f t="array" ref="D636">IF(OR(H636="",H636="Selecciona.."),"",XLOOKUP(H636,Propiedades!B:B,Propiedades!A:A,"",0,1))</f>
        <v/>
      </c>
      <c r="E636" s="14" t="str">
        <f t="shared" si="2"/>
        <v/>
      </c>
      <c r="F636" s="14" t="str">
        <f t="shared" si="3"/>
        <v/>
      </c>
      <c r="G636" s="15" t="str">
        <f t="shared" si="8"/>
        <v/>
      </c>
      <c r="H636" s="15" t="str">
        <f t="shared" si="9"/>
        <v/>
      </c>
      <c r="I636" s="16" t="str">
        <f t="shared" si="10"/>
        <v/>
      </c>
      <c r="J636" s="17"/>
      <c r="K636" s="14" t="str">
        <f t="array" ref="K636">IF(OR(H636="",H636="Selecciona.."),"",XLOOKUP(H636,Propiedades!B:B,Propiedades!C:C,"",0,1))</f>
        <v/>
      </c>
    </row>
    <row r="637">
      <c r="A637" s="14" t="str">
        <f t="shared" si="1"/>
        <v/>
      </c>
      <c r="B637" s="14" t="str">
        <f t="array" ref="B637">IF(OR(G637="",G637="Selecciona.."),"",XLOOKUP(G637,Productos!E:E,Productos!A:A,"",0,1))</f>
        <v/>
      </c>
      <c r="C637" s="14" t="str">
        <f t="array" ref="C637">IF(B637="","",SUMIF(Implementos!B:B,XLOOKUP(B637,Productos!A:A,Productos!F:F,"",0,1),Implementos!A:A))</f>
        <v/>
      </c>
      <c r="D637" s="14" t="str">
        <f t="array" ref="D637">IF(OR(H637="",H637="Selecciona.."),"",XLOOKUP(H637,Propiedades!B:B,Propiedades!A:A,"",0,1))</f>
        <v/>
      </c>
      <c r="E637" s="14" t="str">
        <f t="shared" si="2"/>
        <v/>
      </c>
      <c r="F637" s="14" t="str">
        <f t="shared" si="3"/>
        <v/>
      </c>
      <c r="G637" s="15" t="str">
        <f t="shared" si="8"/>
        <v/>
      </c>
      <c r="H637" s="15" t="str">
        <f t="shared" si="9"/>
        <v/>
      </c>
      <c r="I637" s="16" t="str">
        <f t="shared" si="10"/>
        <v/>
      </c>
      <c r="J637" s="17"/>
      <c r="K637" s="14" t="str">
        <f t="array" ref="K637">IF(OR(H637="",H637="Selecciona.."),"",XLOOKUP(H637,Propiedades!B:B,Propiedades!C:C,"",0,1))</f>
        <v/>
      </c>
    </row>
    <row r="638">
      <c r="A638" s="14" t="str">
        <f t="shared" si="1"/>
        <v/>
      </c>
      <c r="B638" s="14" t="str">
        <f t="array" ref="B638">IF(OR(G638="",G638="Selecciona.."),"",XLOOKUP(G638,Productos!E:E,Productos!A:A,"",0,1))</f>
        <v/>
      </c>
      <c r="C638" s="14" t="str">
        <f t="array" ref="C638">IF(B638="","",SUMIF(Implementos!B:B,XLOOKUP(B638,Productos!A:A,Productos!F:F,"",0,1),Implementos!A:A))</f>
        <v/>
      </c>
      <c r="D638" s="14" t="str">
        <f t="array" ref="D638">IF(OR(H638="",H638="Selecciona.."),"",XLOOKUP(H638,Propiedades!B:B,Propiedades!A:A,"",0,1))</f>
        <v/>
      </c>
      <c r="E638" s="14" t="str">
        <f t="shared" si="2"/>
        <v/>
      </c>
      <c r="F638" s="14" t="str">
        <f t="shared" si="3"/>
        <v/>
      </c>
      <c r="G638" s="15" t="str">
        <f t="shared" si="8"/>
        <v/>
      </c>
      <c r="H638" s="15" t="str">
        <f t="shared" si="9"/>
        <v/>
      </c>
      <c r="I638" s="16" t="str">
        <f t="shared" si="10"/>
        <v/>
      </c>
      <c r="J638" s="17"/>
      <c r="K638" s="14" t="str">
        <f t="array" ref="K638">IF(OR(H638="",H638="Selecciona.."),"",XLOOKUP(H638,Propiedades!B:B,Propiedades!C:C,"",0,1))</f>
        <v/>
      </c>
    </row>
    <row r="639">
      <c r="A639" s="14" t="str">
        <f t="shared" si="1"/>
        <v/>
      </c>
      <c r="B639" s="14" t="str">
        <f t="array" ref="B639">IF(OR(G639="",G639="Selecciona.."),"",XLOOKUP(G639,Productos!E:E,Productos!A:A,"",0,1))</f>
        <v/>
      </c>
      <c r="C639" s="14" t="str">
        <f t="array" ref="C639">IF(B639="","",SUMIF(Implementos!B:B,XLOOKUP(B639,Productos!A:A,Productos!F:F,"",0,1),Implementos!A:A))</f>
        <v/>
      </c>
      <c r="D639" s="14" t="str">
        <f t="array" ref="D639">IF(OR(H639="",H639="Selecciona.."),"",XLOOKUP(H639,Propiedades!B:B,Propiedades!A:A,"",0,1))</f>
        <v/>
      </c>
      <c r="E639" s="14" t="str">
        <f t="shared" si="2"/>
        <v/>
      </c>
      <c r="F639" s="14" t="str">
        <f t="shared" si="3"/>
        <v/>
      </c>
      <c r="G639" s="15" t="str">
        <f t="shared" si="8"/>
        <v/>
      </c>
      <c r="H639" s="15" t="str">
        <f t="shared" si="9"/>
        <v/>
      </c>
      <c r="I639" s="16" t="str">
        <f t="shared" si="10"/>
        <v/>
      </c>
      <c r="J639" s="17"/>
      <c r="K639" s="14" t="str">
        <f t="array" ref="K639">IF(OR(H639="",H639="Selecciona.."),"",XLOOKUP(H639,Propiedades!B:B,Propiedades!C:C,"",0,1))</f>
        <v/>
      </c>
    </row>
    <row r="640">
      <c r="A640" s="14" t="str">
        <f t="shared" si="1"/>
        <v/>
      </c>
      <c r="B640" s="14" t="str">
        <f t="array" ref="B640">IF(OR(G640="",G640="Selecciona.."),"",XLOOKUP(G640,Productos!E:E,Productos!A:A,"",0,1))</f>
        <v/>
      </c>
      <c r="C640" s="14" t="str">
        <f t="array" ref="C640">IF(B640="","",SUMIF(Implementos!B:B,XLOOKUP(B640,Productos!A:A,Productos!F:F,"",0,1),Implementos!A:A))</f>
        <v/>
      </c>
      <c r="D640" s="14" t="str">
        <f t="array" ref="D640">IF(OR(H640="",H640="Selecciona.."),"",XLOOKUP(H640,Propiedades!B:B,Propiedades!A:A,"",0,1))</f>
        <v/>
      </c>
      <c r="E640" s="14" t="str">
        <f t="shared" si="2"/>
        <v/>
      </c>
      <c r="F640" s="14" t="str">
        <f t="shared" si="3"/>
        <v/>
      </c>
      <c r="G640" s="15" t="str">
        <f t="shared" si="8"/>
        <v/>
      </c>
      <c r="H640" s="15" t="str">
        <f t="shared" si="9"/>
        <v/>
      </c>
      <c r="I640" s="16" t="str">
        <f t="shared" si="10"/>
        <v/>
      </c>
      <c r="J640" s="17"/>
      <c r="K640" s="14" t="str">
        <f t="array" ref="K640">IF(OR(H640="",H640="Selecciona.."),"",XLOOKUP(H640,Propiedades!B:B,Propiedades!C:C,"",0,1))</f>
        <v/>
      </c>
    </row>
    <row r="641">
      <c r="A641" s="14" t="str">
        <f t="shared" si="1"/>
        <v/>
      </c>
      <c r="B641" s="14" t="str">
        <f t="array" ref="B641">IF(OR(G641="",G641="Selecciona.."),"",XLOOKUP(G641,Productos!E:E,Productos!A:A,"",0,1))</f>
        <v/>
      </c>
      <c r="C641" s="14" t="str">
        <f t="array" ref="C641">IF(B641="","",SUMIF(Implementos!B:B,XLOOKUP(B641,Productos!A:A,Productos!F:F,"",0,1),Implementos!A:A))</f>
        <v/>
      </c>
      <c r="D641" s="14" t="str">
        <f t="array" ref="D641">IF(OR(H641="",H641="Selecciona.."),"",XLOOKUP(H641,Propiedades!B:B,Propiedades!A:A,"",0,1))</f>
        <v/>
      </c>
      <c r="E641" s="14" t="str">
        <f t="shared" si="2"/>
        <v/>
      </c>
      <c r="F641" s="14" t="str">
        <f t="shared" si="3"/>
        <v/>
      </c>
      <c r="G641" s="15" t="str">
        <f t="shared" si="8"/>
        <v/>
      </c>
      <c r="H641" s="15" t="str">
        <f t="shared" si="9"/>
        <v/>
      </c>
      <c r="I641" s="16" t="str">
        <f t="shared" si="10"/>
        <v/>
      </c>
      <c r="J641" s="17"/>
      <c r="K641" s="14" t="str">
        <f t="array" ref="K641">IF(OR(H641="",H641="Selecciona.."),"",XLOOKUP(H641,Propiedades!B:B,Propiedades!C:C,"",0,1))</f>
        <v/>
      </c>
    </row>
    <row r="642">
      <c r="A642" s="14" t="str">
        <f t="shared" si="1"/>
        <v/>
      </c>
      <c r="B642" s="14" t="str">
        <f t="array" ref="B642">IF(OR(G642="",G642="Selecciona.."),"",XLOOKUP(G642,Productos!E:E,Productos!A:A,"",0,1))</f>
        <v/>
      </c>
      <c r="C642" s="14" t="str">
        <f t="array" ref="C642">IF(B642="","",SUMIF(Implementos!B:B,XLOOKUP(B642,Productos!A:A,Productos!F:F,"",0,1),Implementos!A:A))</f>
        <v/>
      </c>
      <c r="D642" s="14" t="str">
        <f t="array" ref="D642">IF(OR(H642="",H642="Selecciona.."),"",XLOOKUP(H642,Propiedades!B:B,Propiedades!A:A,"",0,1))</f>
        <v/>
      </c>
      <c r="E642" s="14" t="str">
        <f t="shared" si="2"/>
        <v/>
      </c>
      <c r="F642" s="14" t="str">
        <f t="shared" si="3"/>
        <v/>
      </c>
      <c r="G642" s="15" t="str">
        <f t="shared" si="8"/>
        <v/>
      </c>
      <c r="H642" s="15" t="str">
        <f t="shared" si="9"/>
        <v/>
      </c>
      <c r="I642" s="16" t="str">
        <f t="shared" si="10"/>
        <v/>
      </c>
      <c r="J642" s="17"/>
      <c r="K642" s="14" t="str">
        <f t="array" ref="K642">IF(OR(H642="",H642="Selecciona.."),"",XLOOKUP(H642,Propiedades!B:B,Propiedades!C:C,"",0,1))</f>
        <v/>
      </c>
    </row>
    <row r="643">
      <c r="A643" s="14" t="str">
        <f t="shared" si="1"/>
        <v/>
      </c>
      <c r="B643" s="14" t="str">
        <f t="array" ref="B643">IF(OR(G643="",G643="Selecciona.."),"",XLOOKUP(G643,Productos!E:E,Productos!A:A,"",0,1))</f>
        <v/>
      </c>
      <c r="C643" s="14" t="str">
        <f t="array" ref="C643">IF(B643="","",SUMIF(Implementos!B:B,XLOOKUP(B643,Productos!A:A,Productos!F:F,"",0,1),Implementos!A:A))</f>
        <v/>
      </c>
      <c r="D643" s="14" t="str">
        <f t="array" ref="D643">IF(OR(H643="",H643="Selecciona.."),"",XLOOKUP(H643,Propiedades!B:B,Propiedades!A:A,"",0,1))</f>
        <v/>
      </c>
      <c r="E643" s="14" t="str">
        <f t="shared" si="2"/>
        <v/>
      </c>
      <c r="F643" s="14" t="str">
        <f t="shared" si="3"/>
        <v/>
      </c>
      <c r="G643" s="15" t="str">
        <f t="shared" si="8"/>
        <v/>
      </c>
      <c r="H643" s="15" t="str">
        <f t="shared" si="9"/>
        <v/>
      </c>
      <c r="I643" s="16" t="str">
        <f t="shared" si="10"/>
        <v/>
      </c>
      <c r="J643" s="17"/>
      <c r="K643" s="14" t="str">
        <f t="array" ref="K643">IF(OR(H643="",H643="Selecciona.."),"",XLOOKUP(H643,Propiedades!B:B,Propiedades!C:C,"",0,1))</f>
        <v/>
      </c>
    </row>
    <row r="644">
      <c r="A644" s="14" t="str">
        <f t="shared" si="1"/>
        <v/>
      </c>
      <c r="B644" s="14" t="str">
        <f t="array" ref="B644">IF(OR(G644="",G644="Selecciona.."),"",XLOOKUP(G644,Productos!E:E,Productos!A:A,"",0,1))</f>
        <v/>
      </c>
      <c r="C644" s="14" t="str">
        <f t="array" ref="C644">IF(B644="","",SUMIF(Implementos!B:B,XLOOKUP(B644,Productos!A:A,Productos!F:F,"",0,1),Implementos!A:A))</f>
        <v/>
      </c>
      <c r="D644" s="14" t="str">
        <f t="array" ref="D644">IF(OR(H644="",H644="Selecciona.."),"",XLOOKUP(H644,Propiedades!B:B,Propiedades!A:A,"",0,1))</f>
        <v/>
      </c>
      <c r="E644" s="14" t="str">
        <f t="shared" si="2"/>
        <v/>
      </c>
      <c r="F644" s="14" t="str">
        <f t="shared" si="3"/>
        <v/>
      </c>
      <c r="G644" s="15" t="str">
        <f t="shared" si="8"/>
        <v/>
      </c>
      <c r="H644" s="15" t="str">
        <f t="shared" si="9"/>
        <v/>
      </c>
      <c r="I644" s="16" t="str">
        <f t="shared" si="10"/>
        <v/>
      </c>
      <c r="J644" s="17"/>
      <c r="K644" s="14" t="str">
        <f t="array" ref="K644">IF(OR(H644="",H644="Selecciona.."),"",XLOOKUP(H644,Propiedades!B:B,Propiedades!C:C,"",0,1))</f>
        <v/>
      </c>
    </row>
    <row r="645">
      <c r="A645" s="14" t="str">
        <f t="shared" si="1"/>
        <v/>
      </c>
      <c r="B645" s="14" t="str">
        <f t="array" ref="B645">IF(OR(G645="",G645="Selecciona.."),"",XLOOKUP(G645,Productos!E:E,Productos!A:A,"",0,1))</f>
        <v/>
      </c>
      <c r="C645" s="14" t="str">
        <f t="array" ref="C645">IF(B645="","",SUMIF(Implementos!B:B,XLOOKUP(B645,Productos!A:A,Productos!F:F,"",0,1),Implementos!A:A))</f>
        <v/>
      </c>
      <c r="D645" s="14" t="str">
        <f t="array" ref="D645">IF(OR(H645="",H645="Selecciona.."),"",XLOOKUP(H645,Propiedades!B:B,Propiedades!A:A,"",0,1))</f>
        <v/>
      </c>
      <c r="E645" s="14" t="str">
        <f t="shared" si="2"/>
        <v/>
      </c>
      <c r="F645" s="14" t="str">
        <f t="shared" si="3"/>
        <v/>
      </c>
      <c r="G645" s="15" t="str">
        <f t="shared" si="8"/>
        <v/>
      </c>
      <c r="H645" s="15" t="str">
        <f t="shared" si="9"/>
        <v/>
      </c>
      <c r="I645" s="16" t="str">
        <f t="shared" si="10"/>
        <v/>
      </c>
      <c r="J645" s="17"/>
      <c r="K645" s="14" t="str">
        <f t="array" ref="K645">IF(OR(H645="",H645="Selecciona.."),"",XLOOKUP(H645,Propiedades!B:B,Propiedades!C:C,"",0,1))</f>
        <v/>
      </c>
    </row>
    <row r="646">
      <c r="A646" s="14" t="str">
        <f t="shared" si="1"/>
        <v/>
      </c>
      <c r="B646" s="14" t="str">
        <f t="array" ref="B646">IF(OR(G646="",G646="Selecciona.."),"",XLOOKUP(G646,Productos!E:E,Productos!A:A,"",0,1))</f>
        <v/>
      </c>
      <c r="C646" s="14" t="str">
        <f t="array" ref="C646">IF(B646="","",SUMIF(Implementos!B:B,XLOOKUP(B646,Productos!A:A,Productos!F:F,"",0,1),Implementos!A:A))</f>
        <v/>
      </c>
      <c r="D646" s="14" t="str">
        <f t="array" ref="D646">IF(OR(H646="",H646="Selecciona.."),"",XLOOKUP(H646,Propiedades!B:B,Propiedades!A:A,"",0,1))</f>
        <v/>
      </c>
      <c r="E646" s="14" t="str">
        <f t="shared" si="2"/>
        <v/>
      </c>
      <c r="F646" s="14" t="str">
        <f t="shared" si="3"/>
        <v/>
      </c>
      <c r="G646" s="15" t="str">
        <f t="shared" si="8"/>
        <v/>
      </c>
      <c r="H646" s="15" t="str">
        <f t="shared" si="9"/>
        <v/>
      </c>
      <c r="I646" s="16" t="str">
        <f t="shared" si="10"/>
        <v/>
      </c>
      <c r="J646" s="17"/>
      <c r="K646" s="14" t="str">
        <f t="array" ref="K646">IF(OR(H646="",H646="Selecciona.."),"",XLOOKUP(H646,Propiedades!B:B,Propiedades!C:C,"",0,1))</f>
        <v/>
      </c>
    </row>
    <row r="647">
      <c r="A647" s="14" t="str">
        <f t="shared" si="1"/>
        <v/>
      </c>
      <c r="B647" s="14" t="str">
        <f t="array" ref="B647">IF(OR(G647="",G647="Selecciona.."),"",XLOOKUP(G647,Productos!E:E,Productos!A:A,"",0,1))</f>
        <v/>
      </c>
      <c r="C647" s="14" t="str">
        <f t="array" ref="C647">IF(B647="","",SUMIF(Implementos!B:B,XLOOKUP(B647,Productos!A:A,Productos!F:F,"",0,1),Implementos!A:A))</f>
        <v/>
      </c>
      <c r="D647" s="14" t="str">
        <f t="array" ref="D647">IF(OR(H647="",H647="Selecciona.."),"",XLOOKUP(H647,Propiedades!B:B,Propiedades!A:A,"",0,1))</f>
        <v/>
      </c>
      <c r="E647" s="14" t="str">
        <f t="shared" si="2"/>
        <v/>
      </c>
      <c r="F647" s="14" t="str">
        <f t="shared" si="3"/>
        <v/>
      </c>
      <c r="G647" s="15" t="str">
        <f t="shared" si="8"/>
        <v/>
      </c>
      <c r="H647" s="15" t="str">
        <f t="shared" si="9"/>
        <v/>
      </c>
      <c r="I647" s="16" t="str">
        <f t="shared" si="10"/>
        <v/>
      </c>
      <c r="J647" s="17"/>
      <c r="K647" s="14" t="str">
        <f t="array" ref="K647">IF(OR(H647="",H647="Selecciona.."),"",XLOOKUP(H647,Propiedades!B:B,Propiedades!C:C,"",0,1))</f>
        <v/>
      </c>
    </row>
    <row r="648">
      <c r="A648" s="14" t="str">
        <f t="shared" si="1"/>
        <v/>
      </c>
      <c r="B648" s="14" t="str">
        <f t="array" ref="B648">IF(OR(G648="",G648="Selecciona.."),"",XLOOKUP(G648,Productos!E:E,Productos!A:A,"",0,1))</f>
        <v/>
      </c>
      <c r="C648" s="14" t="str">
        <f t="array" ref="C648">IF(B648="","",SUMIF(Implementos!B:B,XLOOKUP(B648,Productos!A:A,Productos!F:F,"",0,1),Implementos!A:A))</f>
        <v/>
      </c>
      <c r="D648" s="14" t="str">
        <f t="array" ref="D648">IF(OR(H648="",H648="Selecciona.."),"",XLOOKUP(H648,Propiedades!B:B,Propiedades!A:A,"",0,1))</f>
        <v/>
      </c>
      <c r="E648" s="14" t="str">
        <f t="shared" si="2"/>
        <v/>
      </c>
      <c r="F648" s="14" t="str">
        <f t="shared" si="3"/>
        <v/>
      </c>
      <c r="G648" s="15" t="str">
        <f t="shared" si="8"/>
        <v/>
      </c>
      <c r="H648" s="15" t="str">
        <f t="shared" si="9"/>
        <v/>
      </c>
      <c r="I648" s="16" t="str">
        <f t="shared" si="10"/>
        <v/>
      </c>
      <c r="J648" s="17"/>
      <c r="K648" s="14" t="str">
        <f t="array" ref="K648">IF(OR(H648="",H648="Selecciona.."),"",XLOOKUP(H648,Propiedades!B:B,Propiedades!C:C,"",0,1))</f>
        <v/>
      </c>
    </row>
    <row r="649">
      <c r="A649" s="14" t="str">
        <f t="shared" si="1"/>
        <v/>
      </c>
      <c r="B649" s="14" t="str">
        <f t="array" ref="B649">IF(OR(G649="",G649="Selecciona.."),"",XLOOKUP(G649,Productos!E:E,Productos!A:A,"",0,1))</f>
        <v/>
      </c>
      <c r="C649" s="14" t="str">
        <f t="array" ref="C649">IF(B649="","",SUMIF(Implementos!B:B,XLOOKUP(B649,Productos!A:A,Productos!F:F,"",0,1),Implementos!A:A))</f>
        <v/>
      </c>
      <c r="D649" s="14" t="str">
        <f t="array" ref="D649">IF(OR(H649="",H649="Selecciona.."),"",XLOOKUP(H649,Propiedades!B:B,Propiedades!A:A,"",0,1))</f>
        <v/>
      </c>
      <c r="E649" s="14" t="str">
        <f t="shared" si="2"/>
        <v/>
      </c>
      <c r="F649" s="14" t="str">
        <f t="shared" si="3"/>
        <v/>
      </c>
      <c r="G649" s="15" t="str">
        <f t="shared" si="8"/>
        <v/>
      </c>
      <c r="H649" s="15" t="str">
        <f t="shared" si="9"/>
        <v/>
      </c>
      <c r="I649" s="16" t="str">
        <f t="shared" si="10"/>
        <v/>
      </c>
      <c r="J649" s="17"/>
      <c r="K649" s="14" t="str">
        <f t="array" ref="K649">IF(OR(H649="",H649="Selecciona.."),"",XLOOKUP(H649,Propiedades!B:B,Propiedades!C:C,"",0,1))</f>
        <v/>
      </c>
    </row>
    <row r="650">
      <c r="A650" s="14" t="str">
        <f t="shared" si="1"/>
        <v/>
      </c>
      <c r="B650" s="14" t="str">
        <f t="array" ref="B650">IF(OR(G650="",G650="Selecciona.."),"",XLOOKUP(G650,Productos!E:E,Productos!A:A,"",0,1))</f>
        <v/>
      </c>
      <c r="C650" s="14" t="str">
        <f t="array" ref="C650">IF(B650="","",SUMIF(Implementos!B:B,XLOOKUP(B650,Productos!A:A,Productos!F:F,"",0,1),Implementos!A:A))</f>
        <v/>
      </c>
      <c r="D650" s="14" t="str">
        <f t="array" ref="D650">IF(OR(H650="",H650="Selecciona.."),"",XLOOKUP(H650,Propiedades!B:B,Propiedades!A:A,"",0,1))</f>
        <v/>
      </c>
      <c r="E650" s="14" t="str">
        <f t="shared" si="2"/>
        <v/>
      </c>
      <c r="F650" s="14" t="str">
        <f t="shared" si="3"/>
        <v/>
      </c>
      <c r="G650" s="15" t="str">
        <f t="shared" si="8"/>
        <v/>
      </c>
      <c r="H650" s="15" t="str">
        <f t="shared" si="9"/>
        <v/>
      </c>
      <c r="I650" s="16" t="str">
        <f t="shared" si="10"/>
        <v/>
      </c>
      <c r="J650" s="17"/>
      <c r="K650" s="14" t="str">
        <f t="array" ref="K650">IF(OR(H650="",H650="Selecciona.."),"",XLOOKUP(H650,Propiedades!B:B,Propiedades!C:C,"",0,1))</f>
        <v/>
      </c>
    </row>
    <row r="651">
      <c r="A651" s="14" t="str">
        <f t="shared" si="1"/>
        <v/>
      </c>
      <c r="B651" s="14" t="str">
        <f t="array" ref="B651">IF(OR(G651="",G651="Selecciona.."),"",XLOOKUP(G651,Productos!E:E,Productos!A:A,"",0,1))</f>
        <v/>
      </c>
      <c r="C651" s="14" t="str">
        <f t="array" ref="C651">IF(B651="","",SUMIF(Implementos!B:B,XLOOKUP(B651,Productos!A:A,Productos!F:F,"",0,1),Implementos!A:A))</f>
        <v/>
      </c>
      <c r="D651" s="14" t="str">
        <f t="array" ref="D651">IF(OR(H651="",H651="Selecciona.."),"",XLOOKUP(H651,Propiedades!B:B,Propiedades!A:A,"",0,1))</f>
        <v/>
      </c>
      <c r="E651" s="14" t="str">
        <f t="shared" si="2"/>
        <v/>
      </c>
      <c r="F651" s="14" t="str">
        <f t="shared" si="3"/>
        <v/>
      </c>
      <c r="G651" s="15" t="str">
        <f t="shared" si="8"/>
        <v/>
      </c>
      <c r="H651" s="15" t="str">
        <f t="shared" si="9"/>
        <v/>
      </c>
      <c r="I651" s="16" t="str">
        <f t="shared" si="10"/>
        <v/>
      </c>
      <c r="J651" s="17"/>
      <c r="K651" s="14" t="str">
        <f t="array" ref="K651">IF(OR(H651="",H651="Selecciona.."),"",XLOOKUP(H651,Propiedades!B:B,Propiedades!C:C,"",0,1))</f>
        <v/>
      </c>
    </row>
    <row r="652">
      <c r="A652" s="14" t="str">
        <f t="shared" si="1"/>
        <v/>
      </c>
      <c r="B652" s="14" t="str">
        <f t="array" ref="B652">IF(OR(G652="",G652="Selecciona.."),"",XLOOKUP(G652,Productos!E:E,Productos!A:A,"",0,1))</f>
        <v/>
      </c>
      <c r="C652" s="14" t="str">
        <f t="array" ref="C652">IF(B652="","",SUMIF(Implementos!B:B,XLOOKUP(B652,Productos!A:A,Productos!F:F,"",0,1),Implementos!A:A))</f>
        <v/>
      </c>
      <c r="D652" s="14" t="str">
        <f t="array" ref="D652">IF(OR(H652="",H652="Selecciona.."),"",XLOOKUP(H652,Propiedades!B:B,Propiedades!A:A,"",0,1))</f>
        <v/>
      </c>
      <c r="E652" s="14" t="str">
        <f t="shared" si="2"/>
        <v/>
      </c>
      <c r="F652" s="14" t="str">
        <f t="shared" si="3"/>
        <v/>
      </c>
      <c r="G652" s="15" t="str">
        <f t="shared" si="8"/>
        <v/>
      </c>
      <c r="H652" s="15" t="str">
        <f t="shared" si="9"/>
        <v/>
      </c>
      <c r="I652" s="16" t="str">
        <f t="shared" si="10"/>
        <v/>
      </c>
      <c r="J652" s="17"/>
      <c r="K652" s="14" t="str">
        <f t="array" ref="K652">IF(OR(H652="",H652="Selecciona.."),"",XLOOKUP(H652,Propiedades!B:B,Propiedades!C:C,"",0,1))</f>
        <v/>
      </c>
    </row>
    <row r="653">
      <c r="A653" s="14" t="str">
        <f t="shared" si="1"/>
        <v/>
      </c>
      <c r="B653" s="14" t="str">
        <f t="array" ref="B653">IF(OR(G653="",G653="Selecciona.."),"",XLOOKUP(G653,Productos!E:E,Productos!A:A,"",0,1))</f>
        <v/>
      </c>
      <c r="C653" s="14" t="str">
        <f t="array" ref="C653">IF(B653="","",SUMIF(Implementos!B:B,XLOOKUP(B653,Productos!A:A,Productos!F:F,"",0,1),Implementos!A:A))</f>
        <v/>
      </c>
      <c r="D653" s="14" t="str">
        <f t="array" ref="D653">IF(OR(H653="",H653="Selecciona.."),"",XLOOKUP(H653,Propiedades!B:B,Propiedades!A:A,"",0,1))</f>
        <v/>
      </c>
      <c r="E653" s="14" t="str">
        <f t="shared" si="2"/>
        <v/>
      </c>
      <c r="F653" s="14" t="str">
        <f t="shared" si="3"/>
        <v/>
      </c>
      <c r="G653" s="15" t="str">
        <f t="shared" si="8"/>
        <v/>
      </c>
      <c r="H653" s="15" t="str">
        <f t="shared" si="9"/>
        <v/>
      </c>
      <c r="I653" s="16" t="str">
        <f t="shared" si="10"/>
        <v/>
      </c>
      <c r="J653" s="17"/>
      <c r="K653" s="14" t="str">
        <f t="array" ref="K653">IF(OR(H653="",H653="Selecciona.."),"",XLOOKUP(H653,Propiedades!B:B,Propiedades!C:C,"",0,1))</f>
        <v/>
      </c>
    </row>
    <row r="654">
      <c r="A654" s="14" t="str">
        <f t="shared" si="1"/>
        <v/>
      </c>
      <c r="B654" s="14" t="str">
        <f t="array" ref="B654">IF(OR(G654="",G654="Selecciona.."),"",XLOOKUP(G654,Productos!E:E,Productos!A:A,"",0,1))</f>
        <v/>
      </c>
      <c r="C654" s="14" t="str">
        <f t="array" ref="C654">IF(B654="","",SUMIF(Implementos!B:B,XLOOKUP(B654,Productos!A:A,Productos!F:F,"",0,1),Implementos!A:A))</f>
        <v/>
      </c>
      <c r="D654" s="14" t="str">
        <f t="array" ref="D654">IF(OR(H654="",H654="Selecciona.."),"",XLOOKUP(H654,Propiedades!B:B,Propiedades!A:A,"",0,1))</f>
        <v/>
      </c>
      <c r="E654" s="14" t="str">
        <f t="shared" si="2"/>
        <v/>
      </c>
      <c r="F654" s="14" t="str">
        <f t="shared" si="3"/>
        <v/>
      </c>
      <c r="G654" s="15" t="str">
        <f t="shared" si="8"/>
        <v/>
      </c>
      <c r="H654" s="15" t="str">
        <f t="shared" si="9"/>
        <v/>
      </c>
      <c r="I654" s="16" t="str">
        <f t="shared" si="10"/>
        <v/>
      </c>
      <c r="J654" s="17"/>
      <c r="K654" s="14" t="str">
        <f t="array" ref="K654">IF(OR(H654="",H654="Selecciona.."),"",XLOOKUP(H654,Propiedades!B:B,Propiedades!C:C,"",0,1))</f>
        <v/>
      </c>
    </row>
    <row r="655">
      <c r="A655" s="14" t="str">
        <f t="shared" si="1"/>
        <v/>
      </c>
      <c r="B655" s="14" t="str">
        <f t="array" ref="B655">IF(OR(G655="",G655="Selecciona.."),"",XLOOKUP(G655,Productos!E:E,Productos!A:A,"",0,1))</f>
        <v/>
      </c>
      <c r="C655" s="14" t="str">
        <f t="array" ref="C655">IF(B655="","",SUMIF(Implementos!B:B,XLOOKUP(B655,Productos!A:A,Productos!F:F,"",0,1),Implementos!A:A))</f>
        <v/>
      </c>
      <c r="D655" s="14" t="str">
        <f t="array" ref="D655">IF(OR(H655="",H655="Selecciona.."),"",XLOOKUP(H655,Propiedades!B:B,Propiedades!A:A,"",0,1))</f>
        <v/>
      </c>
      <c r="E655" s="14" t="str">
        <f t="shared" si="2"/>
        <v/>
      </c>
      <c r="F655" s="14" t="str">
        <f t="shared" si="3"/>
        <v/>
      </c>
      <c r="G655" s="15" t="str">
        <f t="shared" si="8"/>
        <v/>
      </c>
      <c r="H655" s="15" t="str">
        <f t="shared" si="9"/>
        <v/>
      </c>
      <c r="I655" s="16" t="str">
        <f t="shared" si="10"/>
        <v/>
      </c>
      <c r="J655" s="17"/>
      <c r="K655" s="14" t="str">
        <f t="array" ref="K655">IF(OR(H655="",H655="Selecciona.."),"",XLOOKUP(H655,Propiedades!B:B,Propiedades!C:C,"",0,1))</f>
        <v/>
      </c>
    </row>
    <row r="656">
      <c r="A656" s="14" t="str">
        <f t="shared" si="1"/>
        <v/>
      </c>
      <c r="B656" s="14" t="str">
        <f t="array" ref="B656">IF(OR(G656="",G656="Selecciona.."),"",XLOOKUP(G656,Productos!E:E,Productos!A:A,"",0,1))</f>
        <v/>
      </c>
      <c r="C656" s="14" t="str">
        <f t="array" ref="C656">IF(B656="","",SUMIF(Implementos!B:B,XLOOKUP(B656,Productos!A:A,Productos!F:F,"",0,1),Implementos!A:A))</f>
        <v/>
      </c>
      <c r="D656" s="14" t="str">
        <f t="array" ref="D656">IF(OR(H656="",H656="Selecciona.."),"",XLOOKUP(H656,Propiedades!B:B,Propiedades!A:A,"",0,1))</f>
        <v/>
      </c>
      <c r="E656" s="14" t="str">
        <f t="shared" si="2"/>
        <v/>
      </c>
      <c r="F656" s="14" t="str">
        <f t="shared" si="3"/>
        <v/>
      </c>
      <c r="G656" s="15" t="str">
        <f t="shared" si="8"/>
        <v/>
      </c>
      <c r="H656" s="15" t="str">
        <f t="shared" si="9"/>
        <v/>
      </c>
      <c r="I656" s="16" t="str">
        <f t="shared" si="10"/>
        <v/>
      </c>
      <c r="J656" s="17"/>
      <c r="K656" s="14" t="str">
        <f t="array" ref="K656">IF(OR(H656="",H656="Selecciona.."),"",XLOOKUP(H656,Propiedades!B:B,Propiedades!C:C,"",0,1))</f>
        <v/>
      </c>
    </row>
    <row r="657">
      <c r="A657" s="14" t="str">
        <f t="shared" si="1"/>
        <v/>
      </c>
      <c r="B657" s="14" t="str">
        <f t="array" ref="B657">IF(OR(G657="",G657="Selecciona.."),"",XLOOKUP(G657,Productos!E:E,Productos!A:A,"",0,1))</f>
        <v/>
      </c>
      <c r="C657" s="14" t="str">
        <f t="array" ref="C657">IF(B657="","",SUMIF(Implementos!B:B,XLOOKUP(B657,Productos!A:A,Productos!F:F,"",0,1),Implementos!A:A))</f>
        <v/>
      </c>
      <c r="D657" s="14" t="str">
        <f t="array" ref="D657">IF(OR(H657="",H657="Selecciona.."),"",XLOOKUP(H657,Propiedades!B:B,Propiedades!A:A,"",0,1))</f>
        <v/>
      </c>
      <c r="E657" s="14" t="str">
        <f t="shared" si="2"/>
        <v/>
      </c>
      <c r="F657" s="14" t="str">
        <f t="shared" si="3"/>
        <v/>
      </c>
      <c r="G657" s="15" t="str">
        <f t="shared" si="8"/>
        <v/>
      </c>
      <c r="H657" s="15" t="str">
        <f t="shared" si="9"/>
        <v/>
      </c>
      <c r="I657" s="16" t="str">
        <f t="shared" si="10"/>
        <v/>
      </c>
      <c r="J657" s="17"/>
      <c r="K657" s="14" t="str">
        <f t="array" ref="K657">IF(OR(H657="",H657="Selecciona.."),"",XLOOKUP(H657,Propiedades!B:B,Propiedades!C:C,"",0,1))</f>
        <v/>
      </c>
    </row>
    <row r="658">
      <c r="A658" s="14" t="str">
        <f t="shared" si="1"/>
        <v/>
      </c>
      <c r="B658" s="14" t="str">
        <f t="array" ref="B658">IF(OR(G658="",G658="Selecciona.."),"",XLOOKUP(G658,Productos!E:E,Productos!A:A,"",0,1))</f>
        <v/>
      </c>
      <c r="C658" s="14" t="str">
        <f t="array" ref="C658">IF(B658="","",SUMIF(Implementos!B:B,XLOOKUP(B658,Productos!A:A,Productos!F:F,"",0,1),Implementos!A:A))</f>
        <v/>
      </c>
      <c r="D658" s="14" t="str">
        <f t="array" ref="D658">IF(OR(H658="",H658="Selecciona.."),"",XLOOKUP(H658,Propiedades!B:B,Propiedades!A:A,"",0,1))</f>
        <v/>
      </c>
      <c r="E658" s="14" t="str">
        <f t="shared" si="2"/>
        <v/>
      </c>
      <c r="F658" s="14" t="str">
        <f t="shared" si="3"/>
        <v/>
      </c>
      <c r="G658" s="15" t="str">
        <f t="shared" si="8"/>
        <v/>
      </c>
      <c r="H658" s="15" t="str">
        <f t="shared" si="9"/>
        <v/>
      </c>
      <c r="I658" s="16" t="str">
        <f t="shared" si="10"/>
        <v/>
      </c>
      <c r="J658" s="17"/>
      <c r="K658" s="14" t="str">
        <f t="array" ref="K658">IF(OR(H658="",H658="Selecciona.."),"",XLOOKUP(H658,Propiedades!B:B,Propiedades!C:C,"",0,1))</f>
        <v/>
      </c>
    </row>
    <row r="659">
      <c r="A659" s="14" t="str">
        <f t="shared" si="1"/>
        <v/>
      </c>
      <c r="B659" s="14" t="str">
        <f t="array" ref="B659">IF(OR(G659="",G659="Selecciona.."),"",XLOOKUP(G659,Productos!E:E,Productos!A:A,"",0,1))</f>
        <v/>
      </c>
      <c r="C659" s="14" t="str">
        <f t="array" ref="C659">IF(B659="","",SUMIF(Implementos!B:B,XLOOKUP(B659,Productos!A:A,Productos!F:F,"",0,1),Implementos!A:A))</f>
        <v/>
      </c>
      <c r="D659" s="14" t="str">
        <f t="array" ref="D659">IF(OR(H659="",H659="Selecciona.."),"",XLOOKUP(H659,Propiedades!B:B,Propiedades!A:A,"",0,1))</f>
        <v/>
      </c>
      <c r="E659" s="14" t="str">
        <f t="shared" si="2"/>
        <v/>
      </c>
      <c r="F659" s="14" t="str">
        <f t="shared" si="3"/>
        <v/>
      </c>
      <c r="G659" s="15" t="str">
        <f t="shared" si="8"/>
        <v/>
      </c>
      <c r="H659" s="15" t="str">
        <f t="shared" si="9"/>
        <v/>
      </c>
      <c r="I659" s="16" t="str">
        <f t="shared" si="10"/>
        <v/>
      </c>
      <c r="J659" s="17"/>
      <c r="K659" s="14" t="str">
        <f t="array" ref="K659">IF(OR(H659="",H659="Selecciona.."),"",XLOOKUP(H659,Propiedades!B:B,Propiedades!C:C,"",0,1))</f>
        <v/>
      </c>
    </row>
    <row r="660">
      <c r="A660" s="14" t="str">
        <f t="shared" si="1"/>
        <v/>
      </c>
      <c r="B660" s="14" t="str">
        <f t="array" ref="B660">IF(OR(G660="",G660="Selecciona.."),"",XLOOKUP(G660,Productos!E:E,Productos!A:A,"",0,1))</f>
        <v/>
      </c>
      <c r="C660" s="14" t="str">
        <f t="array" ref="C660">IF(B660="","",SUMIF(Implementos!B:B,XLOOKUP(B660,Productos!A:A,Productos!F:F,"",0,1),Implementos!A:A))</f>
        <v/>
      </c>
      <c r="D660" s="14" t="str">
        <f t="array" ref="D660">IF(OR(H660="",H660="Selecciona.."),"",XLOOKUP(H660,Propiedades!B:B,Propiedades!A:A,"",0,1))</f>
        <v/>
      </c>
      <c r="E660" s="14" t="str">
        <f t="shared" si="2"/>
        <v/>
      </c>
      <c r="F660" s="14" t="str">
        <f t="shared" si="3"/>
        <v/>
      </c>
      <c r="G660" s="15" t="str">
        <f t="shared" si="8"/>
        <v/>
      </c>
      <c r="H660" s="15" t="str">
        <f t="shared" si="9"/>
        <v/>
      </c>
      <c r="I660" s="16" t="str">
        <f t="shared" si="10"/>
        <v/>
      </c>
      <c r="J660" s="17"/>
      <c r="K660" s="14" t="str">
        <f t="array" ref="K660">IF(OR(H660="",H660="Selecciona.."),"",XLOOKUP(H660,Propiedades!B:B,Propiedades!C:C,"",0,1))</f>
        <v/>
      </c>
    </row>
    <row r="661">
      <c r="A661" s="14" t="str">
        <f t="shared" si="1"/>
        <v/>
      </c>
      <c r="B661" s="14" t="str">
        <f t="array" ref="B661">IF(OR(G661="",G661="Selecciona.."),"",XLOOKUP(G661,Productos!E:E,Productos!A:A,"",0,1))</f>
        <v/>
      </c>
      <c r="C661" s="14" t="str">
        <f t="array" ref="C661">IF(B661="","",SUMIF(Implementos!B:B,XLOOKUP(B661,Productos!A:A,Productos!F:F,"",0,1),Implementos!A:A))</f>
        <v/>
      </c>
      <c r="D661" s="14" t="str">
        <f t="array" ref="D661">IF(OR(H661="",H661="Selecciona.."),"",XLOOKUP(H661,Propiedades!B:B,Propiedades!A:A,"",0,1))</f>
        <v/>
      </c>
      <c r="E661" s="14" t="str">
        <f t="shared" si="2"/>
        <v/>
      </c>
      <c r="F661" s="14" t="str">
        <f t="shared" si="3"/>
        <v/>
      </c>
      <c r="G661" s="15" t="str">
        <f t="shared" si="8"/>
        <v/>
      </c>
      <c r="H661" s="15" t="str">
        <f t="shared" si="9"/>
        <v/>
      </c>
      <c r="I661" s="16" t="str">
        <f t="shared" si="10"/>
        <v/>
      </c>
      <c r="J661" s="17"/>
      <c r="K661" s="14" t="str">
        <f t="array" ref="K661">IF(OR(H661="",H661="Selecciona.."),"",XLOOKUP(H661,Propiedades!B:B,Propiedades!C:C,"",0,1))</f>
        <v/>
      </c>
    </row>
    <row r="662">
      <c r="A662" s="14" t="str">
        <f t="shared" si="1"/>
        <v/>
      </c>
      <c r="B662" s="14" t="str">
        <f t="array" ref="B662">IF(OR(G662="",G662="Selecciona.."),"",XLOOKUP(G662,Productos!E:E,Productos!A:A,"",0,1))</f>
        <v/>
      </c>
      <c r="C662" s="14" t="str">
        <f t="array" ref="C662">IF(B662="","",SUMIF(Implementos!B:B,XLOOKUP(B662,Productos!A:A,Productos!F:F,"",0,1),Implementos!A:A))</f>
        <v/>
      </c>
      <c r="D662" s="14" t="str">
        <f t="array" ref="D662">IF(OR(H662="",H662="Selecciona.."),"",XLOOKUP(H662,Propiedades!B:B,Propiedades!A:A,"",0,1))</f>
        <v/>
      </c>
      <c r="E662" s="14" t="str">
        <f t="shared" si="2"/>
        <v/>
      </c>
      <c r="F662" s="14" t="str">
        <f t="shared" si="3"/>
        <v/>
      </c>
      <c r="G662" s="15" t="str">
        <f t="shared" si="8"/>
        <v/>
      </c>
      <c r="H662" s="15" t="str">
        <f t="shared" si="9"/>
        <v/>
      </c>
      <c r="I662" s="16" t="str">
        <f t="shared" si="10"/>
        <v/>
      </c>
      <c r="J662" s="17"/>
      <c r="K662" s="14" t="str">
        <f t="array" ref="K662">IF(OR(H662="",H662="Selecciona.."),"",XLOOKUP(H662,Propiedades!B:B,Propiedades!C:C,"",0,1))</f>
        <v/>
      </c>
    </row>
    <row r="663">
      <c r="A663" s="14" t="str">
        <f t="shared" si="1"/>
        <v/>
      </c>
      <c r="B663" s="14" t="str">
        <f t="array" ref="B663">IF(OR(G663="",G663="Selecciona.."),"",XLOOKUP(G663,Productos!E:E,Productos!A:A,"",0,1))</f>
        <v/>
      </c>
      <c r="C663" s="14" t="str">
        <f t="array" ref="C663">IF(B663="","",SUMIF(Implementos!B:B,XLOOKUP(B663,Productos!A:A,Productos!F:F,"",0,1),Implementos!A:A))</f>
        <v/>
      </c>
      <c r="D663" s="14" t="str">
        <f t="array" ref="D663">IF(OR(H663="",H663="Selecciona.."),"",XLOOKUP(H663,Propiedades!B:B,Propiedades!A:A,"",0,1))</f>
        <v/>
      </c>
      <c r="E663" s="14" t="str">
        <f t="shared" si="2"/>
        <v/>
      </c>
      <c r="F663" s="14" t="str">
        <f t="shared" si="3"/>
        <v/>
      </c>
      <c r="G663" s="15" t="str">
        <f t="shared" si="8"/>
        <v/>
      </c>
      <c r="H663" s="15" t="str">
        <f t="shared" si="9"/>
        <v/>
      </c>
      <c r="I663" s="16" t="str">
        <f t="shared" si="10"/>
        <v/>
      </c>
      <c r="J663" s="17"/>
      <c r="K663" s="14" t="str">
        <f t="array" ref="K663">IF(OR(H663="",H663="Selecciona.."),"",XLOOKUP(H663,Propiedades!B:B,Propiedades!C:C,"",0,1))</f>
        <v/>
      </c>
    </row>
    <row r="664">
      <c r="A664" s="14" t="str">
        <f t="shared" si="1"/>
        <v/>
      </c>
      <c r="B664" s="14" t="str">
        <f t="array" ref="B664">IF(OR(G664="",G664="Selecciona.."),"",XLOOKUP(G664,Productos!E:E,Productos!A:A,"",0,1))</f>
        <v/>
      </c>
      <c r="C664" s="14" t="str">
        <f t="array" ref="C664">IF(B664="","",SUMIF(Implementos!B:B,XLOOKUP(B664,Productos!A:A,Productos!F:F,"",0,1),Implementos!A:A))</f>
        <v/>
      </c>
      <c r="D664" s="14" t="str">
        <f t="array" ref="D664">IF(OR(H664="",H664="Selecciona.."),"",XLOOKUP(H664,Propiedades!B:B,Propiedades!A:A,"",0,1))</f>
        <v/>
      </c>
      <c r="E664" s="14" t="str">
        <f t="shared" si="2"/>
        <v/>
      </c>
      <c r="F664" s="14" t="str">
        <f t="shared" si="3"/>
        <v/>
      </c>
      <c r="G664" s="15" t="str">
        <f t="shared" si="8"/>
        <v/>
      </c>
      <c r="H664" s="15" t="str">
        <f t="shared" si="9"/>
        <v/>
      </c>
      <c r="I664" s="16" t="str">
        <f t="shared" si="10"/>
        <v/>
      </c>
      <c r="J664" s="17"/>
      <c r="K664" s="14" t="str">
        <f t="array" ref="K664">IF(OR(H664="",H664="Selecciona.."),"",XLOOKUP(H664,Propiedades!B:B,Propiedades!C:C,"",0,1))</f>
        <v/>
      </c>
    </row>
    <row r="665">
      <c r="A665" s="14" t="str">
        <f t="shared" si="1"/>
        <v/>
      </c>
      <c r="B665" s="14" t="str">
        <f t="array" ref="B665">IF(OR(G665="",G665="Selecciona.."),"",XLOOKUP(G665,Productos!E:E,Productos!A:A,"",0,1))</f>
        <v/>
      </c>
      <c r="C665" s="14" t="str">
        <f t="array" ref="C665">IF(B665="","",SUMIF(Implementos!B:B,XLOOKUP(B665,Productos!A:A,Productos!F:F,"",0,1),Implementos!A:A))</f>
        <v/>
      </c>
      <c r="D665" s="14" t="str">
        <f t="array" ref="D665">IF(OR(H665="",H665="Selecciona.."),"",XLOOKUP(H665,Propiedades!B:B,Propiedades!A:A,"",0,1))</f>
        <v/>
      </c>
      <c r="E665" s="14" t="str">
        <f t="shared" si="2"/>
        <v/>
      </c>
      <c r="F665" s="14" t="str">
        <f t="shared" si="3"/>
        <v/>
      </c>
      <c r="G665" s="15" t="str">
        <f t="shared" si="8"/>
        <v/>
      </c>
      <c r="H665" s="15" t="str">
        <f t="shared" si="9"/>
        <v/>
      </c>
      <c r="I665" s="16" t="str">
        <f t="shared" si="10"/>
        <v/>
      </c>
      <c r="J665" s="17"/>
      <c r="K665" s="14" t="str">
        <f t="array" ref="K665">IF(OR(H665="",H665="Selecciona.."),"",XLOOKUP(H665,Propiedades!B:B,Propiedades!C:C,"",0,1))</f>
        <v/>
      </c>
    </row>
    <row r="666">
      <c r="A666" s="14" t="str">
        <f t="shared" si="1"/>
        <v/>
      </c>
      <c r="B666" s="14" t="str">
        <f t="array" ref="B666">IF(OR(G666="",G666="Selecciona.."),"",XLOOKUP(G666,Productos!E:E,Productos!A:A,"",0,1))</f>
        <v/>
      </c>
      <c r="C666" s="14" t="str">
        <f t="array" ref="C666">IF(B666="","",SUMIF(Implementos!B:B,XLOOKUP(B666,Productos!A:A,Productos!F:F,"",0,1),Implementos!A:A))</f>
        <v/>
      </c>
      <c r="D666" s="14" t="str">
        <f t="array" ref="D666">IF(OR(H666="",H666="Selecciona.."),"",XLOOKUP(H666,Propiedades!B:B,Propiedades!A:A,"",0,1))</f>
        <v/>
      </c>
      <c r="E666" s="14" t="str">
        <f t="shared" si="2"/>
        <v/>
      </c>
      <c r="F666" s="14" t="str">
        <f t="shared" si="3"/>
        <v/>
      </c>
      <c r="G666" s="15" t="str">
        <f t="shared" si="8"/>
        <v/>
      </c>
      <c r="H666" s="15" t="str">
        <f t="shared" si="9"/>
        <v/>
      </c>
      <c r="I666" s="16" t="str">
        <f t="shared" si="10"/>
        <v/>
      </c>
      <c r="J666" s="17"/>
      <c r="K666" s="14" t="str">
        <f t="array" ref="K666">IF(OR(H666="",H666="Selecciona.."),"",XLOOKUP(H666,Propiedades!B:B,Propiedades!C:C,"",0,1))</f>
        <v/>
      </c>
    </row>
    <row r="667">
      <c r="A667" s="14" t="str">
        <f t="shared" si="1"/>
        <v/>
      </c>
      <c r="B667" s="14" t="str">
        <f t="array" ref="B667">IF(OR(G667="",G667="Selecciona.."),"",XLOOKUP(G667,Productos!E:E,Productos!A:A,"",0,1))</f>
        <v/>
      </c>
      <c r="C667" s="14" t="str">
        <f t="array" ref="C667">IF(B667="","",SUMIF(Implementos!B:B,XLOOKUP(B667,Productos!A:A,Productos!F:F,"",0,1),Implementos!A:A))</f>
        <v/>
      </c>
      <c r="D667" s="14" t="str">
        <f t="array" ref="D667">IF(OR(H667="",H667="Selecciona.."),"",XLOOKUP(H667,Propiedades!B:B,Propiedades!A:A,"",0,1))</f>
        <v/>
      </c>
      <c r="E667" s="14" t="str">
        <f t="shared" si="2"/>
        <v/>
      </c>
      <c r="F667" s="14" t="str">
        <f t="shared" si="3"/>
        <v/>
      </c>
      <c r="G667" s="15" t="str">
        <f t="shared" si="8"/>
        <v/>
      </c>
      <c r="H667" s="15" t="str">
        <f t="shared" si="9"/>
        <v/>
      </c>
      <c r="I667" s="16" t="str">
        <f t="shared" si="10"/>
        <v/>
      </c>
      <c r="J667" s="17"/>
      <c r="K667" s="14" t="str">
        <f t="array" ref="K667">IF(OR(H667="",H667="Selecciona.."),"",XLOOKUP(H667,Propiedades!B:B,Propiedades!C:C,"",0,1))</f>
        <v/>
      </c>
    </row>
    <row r="668">
      <c r="A668" s="14" t="str">
        <f t="shared" si="1"/>
        <v/>
      </c>
      <c r="B668" s="14" t="str">
        <f t="array" ref="B668">IF(OR(G668="",G668="Selecciona.."),"",XLOOKUP(G668,Productos!E:E,Productos!A:A,"",0,1))</f>
        <v/>
      </c>
      <c r="C668" s="14" t="str">
        <f t="array" ref="C668">IF(B668="","",SUMIF(Implementos!B:B,XLOOKUP(B668,Productos!A:A,Productos!F:F,"",0,1),Implementos!A:A))</f>
        <v/>
      </c>
      <c r="D668" s="14" t="str">
        <f t="array" ref="D668">IF(OR(H668="",H668="Selecciona.."),"",XLOOKUP(H668,Propiedades!B:B,Propiedades!A:A,"",0,1))</f>
        <v/>
      </c>
      <c r="E668" s="14" t="str">
        <f t="shared" si="2"/>
        <v/>
      </c>
      <c r="F668" s="14" t="str">
        <f t="shared" si="3"/>
        <v/>
      </c>
      <c r="G668" s="15" t="str">
        <f t="shared" si="8"/>
        <v/>
      </c>
      <c r="H668" s="15" t="str">
        <f t="shared" si="9"/>
        <v/>
      </c>
      <c r="I668" s="16" t="str">
        <f t="shared" si="10"/>
        <v/>
      </c>
      <c r="J668" s="17"/>
      <c r="K668" s="14" t="str">
        <f t="array" ref="K668">IF(OR(H668="",H668="Selecciona.."),"",XLOOKUP(H668,Propiedades!B:B,Propiedades!C:C,"",0,1))</f>
        <v/>
      </c>
    </row>
    <row r="669">
      <c r="A669" s="14" t="str">
        <f t="shared" si="1"/>
        <v/>
      </c>
      <c r="B669" s="14" t="str">
        <f t="array" ref="B669">IF(OR(G669="",G669="Selecciona.."),"",XLOOKUP(G669,Productos!E:E,Productos!A:A,"",0,1))</f>
        <v/>
      </c>
      <c r="C669" s="14" t="str">
        <f t="array" ref="C669">IF(B669="","",SUMIF(Implementos!B:B,XLOOKUP(B669,Productos!A:A,Productos!F:F,"",0,1),Implementos!A:A))</f>
        <v/>
      </c>
      <c r="D669" s="14" t="str">
        <f t="array" ref="D669">IF(OR(H669="",H669="Selecciona.."),"",XLOOKUP(H669,Propiedades!B:B,Propiedades!A:A,"",0,1))</f>
        <v/>
      </c>
      <c r="E669" s="14" t="str">
        <f t="shared" si="2"/>
        <v/>
      </c>
      <c r="F669" s="14" t="str">
        <f t="shared" si="3"/>
        <v/>
      </c>
      <c r="G669" s="15" t="str">
        <f t="shared" si="8"/>
        <v/>
      </c>
      <c r="H669" s="15" t="str">
        <f t="shared" si="9"/>
        <v/>
      </c>
      <c r="I669" s="16" t="str">
        <f t="shared" si="10"/>
        <v/>
      </c>
      <c r="J669" s="17"/>
      <c r="K669" s="14" t="str">
        <f t="array" ref="K669">IF(OR(H669="",H669="Selecciona.."),"",XLOOKUP(H669,Propiedades!B:B,Propiedades!C:C,"",0,1))</f>
        <v/>
      </c>
    </row>
    <row r="670">
      <c r="A670" s="14" t="str">
        <f t="shared" si="1"/>
        <v/>
      </c>
      <c r="B670" s="14" t="str">
        <f t="array" ref="B670">IF(OR(G670="",G670="Selecciona.."),"",XLOOKUP(G670,Productos!E:E,Productos!A:A,"",0,1))</f>
        <v/>
      </c>
      <c r="C670" s="14" t="str">
        <f t="array" ref="C670">IF(B670="","",SUMIF(Implementos!B:B,XLOOKUP(B670,Productos!A:A,Productos!F:F,"",0,1),Implementos!A:A))</f>
        <v/>
      </c>
      <c r="D670" s="14" t="str">
        <f t="array" ref="D670">IF(OR(H670="",H670="Selecciona.."),"",XLOOKUP(H670,Propiedades!B:B,Propiedades!A:A,"",0,1))</f>
        <v/>
      </c>
      <c r="E670" s="14" t="str">
        <f t="shared" si="2"/>
        <v/>
      </c>
      <c r="F670" s="14" t="str">
        <f t="shared" si="3"/>
        <v/>
      </c>
      <c r="G670" s="15" t="str">
        <f t="shared" si="8"/>
        <v/>
      </c>
      <c r="H670" s="15" t="str">
        <f t="shared" si="9"/>
        <v/>
      </c>
      <c r="I670" s="16" t="str">
        <f t="shared" si="10"/>
        <v/>
      </c>
      <c r="J670" s="17"/>
      <c r="K670" s="14" t="str">
        <f t="array" ref="K670">IF(OR(H670="",H670="Selecciona.."),"",XLOOKUP(H670,Propiedades!B:B,Propiedades!C:C,"",0,1))</f>
        <v/>
      </c>
    </row>
    <row r="671">
      <c r="A671" s="14" t="str">
        <f t="shared" si="1"/>
        <v/>
      </c>
      <c r="B671" s="14" t="str">
        <f t="array" ref="B671">IF(OR(G671="",G671="Selecciona.."),"",XLOOKUP(G671,Productos!E:E,Productos!A:A,"",0,1))</f>
        <v/>
      </c>
      <c r="C671" s="14" t="str">
        <f t="array" ref="C671">IF(B671="","",SUMIF(Implementos!B:B,XLOOKUP(B671,Productos!A:A,Productos!F:F,"",0,1),Implementos!A:A))</f>
        <v/>
      </c>
      <c r="D671" s="14" t="str">
        <f t="array" ref="D671">IF(OR(H671="",H671="Selecciona.."),"",XLOOKUP(H671,Propiedades!B:B,Propiedades!A:A,"",0,1))</f>
        <v/>
      </c>
      <c r="E671" s="14" t="str">
        <f t="shared" si="2"/>
        <v/>
      </c>
      <c r="F671" s="14" t="str">
        <f t="shared" si="3"/>
        <v/>
      </c>
      <c r="G671" s="15" t="str">
        <f t="shared" si="8"/>
        <v/>
      </c>
      <c r="H671" s="15" t="str">
        <f t="shared" si="9"/>
        <v/>
      </c>
      <c r="I671" s="16" t="str">
        <f t="shared" si="10"/>
        <v/>
      </c>
      <c r="J671" s="17"/>
      <c r="K671" s="14" t="str">
        <f t="array" ref="K671">IF(OR(H671="",H671="Selecciona.."),"",XLOOKUP(H671,Propiedades!B:B,Propiedades!C:C,"",0,1))</f>
        <v/>
      </c>
    </row>
    <row r="672">
      <c r="A672" s="14" t="str">
        <f t="shared" si="1"/>
        <v/>
      </c>
      <c r="B672" s="14" t="str">
        <f t="array" ref="B672">IF(OR(G672="",G672="Selecciona.."),"",XLOOKUP(G672,Productos!E:E,Productos!A:A,"",0,1))</f>
        <v/>
      </c>
      <c r="C672" s="14" t="str">
        <f t="array" ref="C672">IF(B672="","",SUMIF(Implementos!B:B,XLOOKUP(B672,Productos!A:A,Productos!F:F,"",0,1),Implementos!A:A))</f>
        <v/>
      </c>
      <c r="D672" s="14" t="str">
        <f t="array" ref="D672">IF(OR(H672="",H672="Selecciona.."),"",XLOOKUP(H672,Propiedades!B:B,Propiedades!A:A,"",0,1))</f>
        <v/>
      </c>
      <c r="E672" s="14" t="str">
        <f t="shared" si="2"/>
        <v/>
      </c>
      <c r="F672" s="14" t="str">
        <f t="shared" si="3"/>
        <v/>
      </c>
      <c r="G672" s="15" t="str">
        <f t="shared" si="8"/>
        <v/>
      </c>
      <c r="H672" s="15" t="str">
        <f t="shared" si="9"/>
        <v/>
      </c>
      <c r="I672" s="16" t="str">
        <f t="shared" si="10"/>
        <v/>
      </c>
      <c r="J672" s="17"/>
      <c r="K672" s="14" t="str">
        <f t="array" ref="K672">IF(OR(H672="",H672="Selecciona.."),"",XLOOKUP(H672,Propiedades!B:B,Propiedades!C:C,"",0,1))</f>
        <v/>
      </c>
    </row>
    <row r="673">
      <c r="A673" s="14" t="str">
        <f t="shared" si="1"/>
        <v/>
      </c>
      <c r="B673" s="14" t="str">
        <f t="array" ref="B673">IF(OR(G673="",G673="Selecciona.."),"",XLOOKUP(G673,Productos!E:E,Productos!A:A,"",0,1))</f>
        <v/>
      </c>
      <c r="C673" s="14" t="str">
        <f t="array" ref="C673">IF(B673="","",SUMIF(Implementos!B:B,XLOOKUP(B673,Productos!A:A,Productos!F:F,"",0,1),Implementos!A:A))</f>
        <v/>
      </c>
      <c r="D673" s="14" t="str">
        <f t="array" ref="D673">IF(OR(H673="",H673="Selecciona.."),"",XLOOKUP(H673,Propiedades!B:B,Propiedades!A:A,"",0,1))</f>
        <v/>
      </c>
      <c r="E673" s="14" t="str">
        <f t="shared" si="2"/>
        <v/>
      </c>
      <c r="F673" s="14" t="str">
        <f t="shared" si="3"/>
        <v/>
      </c>
      <c r="G673" s="15" t="str">
        <f t="shared" si="8"/>
        <v/>
      </c>
      <c r="H673" s="15" t="str">
        <f t="shared" si="9"/>
        <v/>
      </c>
      <c r="I673" s="16" t="str">
        <f t="shared" si="10"/>
        <v/>
      </c>
      <c r="J673" s="17"/>
      <c r="K673" s="14" t="str">
        <f t="array" ref="K673">IF(OR(H673="",H673="Selecciona.."),"",XLOOKUP(H673,Propiedades!B:B,Propiedades!C:C,"",0,1))</f>
        <v/>
      </c>
    </row>
    <row r="674">
      <c r="A674" s="14" t="str">
        <f t="shared" si="1"/>
        <v/>
      </c>
      <c r="B674" s="14" t="str">
        <f t="array" ref="B674">IF(OR(G674="",G674="Selecciona.."),"",XLOOKUP(G674,Productos!E:E,Productos!A:A,"",0,1))</f>
        <v/>
      </c>
      <c r="C674" s="14" t="str">
        <f t="array" ref="C674">IF(B674="","",SUMIF(Implementos!B:B,XLOOKUP(B674,Productos!A:A,Productos!F:F,"",0,1),Implementos!A:A))</f>
        <v/>
      </c>
      <c r="D674" s="14" t="str">
        <f t="array" ref="D674">IF(OR(H674="",H674="Selecciona.."),"",XLOOKUP(H674,Propiedades!B:B,Propiedades!A:A,"",0,1))</f>
        <v/>
      </c>
      <c r="E674" s="14" t="str">
        <f t="shared" si="2"/>
        <v/>
      </c>
      <c r="F674" s="14" t="str">
        <f t="shared" si="3"/>
        <v/>
      </c>
      <c r="G674" s="15" t="str">
        <f t="shared" si="8"/>
        <v/>
      </c>
      <c r="H674" s="15" t="str">
        <f t="shared" si="9"/>
        <v/>
      </c>
      <c r="I674" s="16" t="str">
        <f t="shared" si="10"/>
        <v/>
      </c>
      <c r="J674" s="17"/>
      <c r="K674" s="14" t="str">
        <f t="array" ref="K674">IF(OR(H674="",H674="Selecciona.."),"",XLOOKUP(H674,Propiedades!B:B,Propiedades!C:C,"",0,1))</f>
        <v/>
      </c>
    </row>
    <row r="675">
      <c r="A675" s="14" t="str">
        <f t="shared" si="1"/>
        <v/>
      </c>
      <c r="B675" s="14" t="str">
        <f t="array" ref="B675">IF(OR(G675="",G675="Selecciona.."),"",XLOOKUP(G675,Productos!E:E,Productos!A:A,"",0,1))</f>
        <v/>
      </c>
      <c r="C675" s="14" t="str">
        <f t="array" ref="C675">IF(B675="","",SUMIF(Implementos!B:B,XLOOKUP(B675,Productos!A:A,Productos!F:F,"",0,1),Implementos!A:A))</f>
        <v/>
      </c>
      <c r="D675" s="14" t="str">
        <f t="array" ref="D675">IF(OR(H675="",H675="Selecciona.."),"",XLOOKUP(H675,Propiedades!B:B,Propiedades!A:A,"",0,1))</f>
        <v/>
      </c>
      <c r="E675" s="14" t="str">
        <f t="shared" si="2"/>
        <v/>
      </c>
      <c r="F675" s="14" t="str">
        <f t="shared" si="3"/>
        <v/>
      </c>
      <c r="G675" s="15" t="str">
        <f t="shared" si="8"/>
        <v/>
      </c>
      <c r="H675" s="15" t="str">
        <f t="shared" si="9"/>
        <v/>
      </c>
      <c r="I675" s="16" t="str">
        <f t="shared" si="10"/>
        <v/>
      </c>
      <c r="J675" s="17"/>
      <c r="K675" s="14" t="str">
        <f t="array" ref="K675">IF(OR(H675="",H675="Selecciona.."),"",XLOOKUP(H675,Propiedades!B:B,Propiedades!C:C,"",0,1))</f>
        <v/>
      </c>
    </row>
    <row r="676">
      <c r="A676" s="14" t="str">
        <f t="shared" si="1"/>
        <v/>
      </c>
      <c r="B676" s="14" t="str">
        <f t="array" ref="B676">IF(OR(G676="",G676="Selecciona.."),"",XLOOKUP(G676,Productos!E:E,Productos!A:A,"",0,1))</f>
        <v/>
      </c>
      <c r="C676" s="14" t="str">
        <f t="array" ref="C676">IF(B676="","",SUMIF(Implementos!B:B,XLOOKUP(B676,Productos!A:A,Productos!F:F,"",0,1),Implementos!A:A))</f>
        <v/>
      </c>
      <c r="D676" s="14" t="str">
        <f t="array" ref="D676">IF(OR(H676="",H676="Selecciona.."),"",XLOOKUP(H676,Propiedades!B:B,Propiedades!A:A,"",0,1))</f>
        <v/>
      </c>
      <c r="E676" s="14" t="str">
        <f t="shared" si="2"/>
        <v/>
      </c>
      <c r="F676" s="14" t="str">
        <f t="shared" si="3"/>
        <v/>
      </c>
      <c r="G676" s="15" t="str">
        <f t="shared" si="8"/>
        <v/>
      </c>
      <c r="H676" s="15" t="str">
        <f t="shared" si="9"/>
        <v/>
      </c>
      <c r="I676" s="16" t="str">
        <f t="shared" si="10"/>
        <v/>
      </c>
      <c r="J676" s="17"/>
      <c r="K676" s="14" t="str">
        <f t="array" ref="K676">IF(OR(H676="",H676="Selecciona.."),"",XLOOKUP(H676,Propiedades!B:B,Propiedades!C:C,"",0,1))</f>
        <v/>
      </c>
    </row>
    <row r="677">
      <c r="A677" s="14" t="str">
        <f t="shared" si="1"/>
        <v/>
      </c>
      <c r="B677" s="14" t="str">
        <f t="array" ref="B677">IF(OR(G677="",G677="Selecciona.."),"",XLOOKUP(G677,Productos!E:E,Productos!A:A,"",0,1))</f>
        <v/>
      </c>
      <c r="C677" s="14" t="str">
        <f t="array" ref="C677">IF(B677="","",SUMIF(Implementos!B:B,XLOOKUP(B677,Productos!A:A,Productos!F:F,"",0,1),Implementos!A:A))</f>
        <v/>
      </c>
      <c r="D677" s="14" t="str">
        <f t="array" ref="D677">IF(OR(H677="",H677="Selecciona.."),"",XLOOKUP(H677,Propiedades!B:B,Propiedades!A:A,"",0,1))</f>
        <v/>
      </c>
      <c r="E677" s="14" t="str">
        <f t="shared" si="2"/>
        <v/>
      </c>
      <c r="F677" s="14" t="str">
        <f t="shared" si="3"/>
        <v/>
      </c>
      <c r="G677" s="15" t="str">
        <f t="shared" si="8"/>
        <v/>
      </c>
      <c r="H677" s="15" t="str">
        <f t="shared" si="9"/>
        <v/>
      </c>
      <c r="I677" s="16" t="str">
        <f t="shared" si="10"/>
        <v/>
      </c>
      <c r="J677" s="17"/>
      <c r="K677" s="14" t="str">
        <f t="array" ref="K677">IF(OR(H677="",H677="Selecciona.."),"",XLOOKUP(H677,Propiedades!B:B,Propiedades!C:C,"",0,1))</f>
        <v/>
      </c>
    </row>
    <row r="678">
      <c r="A678" s="14" t="str">
        <f t="shared" si="1"/>
        <v/>
      </c>
      <c r="B678" s="14" t="str">
        <f t="array" ref="B678">IF(OR(G678="",G678="Selecciona.."),"",XLOOKUP(G678,Productos!E:E,Productos!A:A,"",0,1))</f>
        <v/>
      </c>
      <c r="C678" s="14" t="str">
        <f t="array" ref="C678">IF(B678="","",SUMIF(Implementos!B:B,XLOOKUP(B678,Productos!A:A,Productos!F:F,"",0,1),Implementos!A:A))</f>
        <v/>
      </c>
      <c r="D678" s="14" t="str">
        <f t="array" ref="D678">IF(OR(H678="",H678="Selecciona.."),"",XLOOKUP(H678,Propiedades!B:B,Propiedades!A:A,"",0,1))</f>
        <v/>
      </c>
      <c r="E678" s="14" t="str">
        <f t="shared" si="2"/>
        <v/>
      </c>
      <c r="F678" s="14" t="str">
        <f t="shared" si="3"/>
        <v/>
      </c>
      <c r="G678" s="15" t="str">
        <f t="shared" si="8"/>
        <v/>
      </c>
      <c r="H678" s="15" t="str">
        <f t="shared" si="9"/>
        <v/>
      </c>
      <c r="I678" s="16" t="str">
        <f t="shared" si="10"/>
        <v/>
      </c>
      <c r="J678" s="17"/>
      <c r="K678" s="14" t="str">
        <f t="array" ref="K678">IF(OR(H678="",H678="Selecciona.."),"",XLOOKUP(H678,Propiedades!B:B,Propiedades!C:C,"",0,1))</f>
        <v/>
      </c>
    </row>
    <row r="679">
      <c r="A679" s="14" t="str">
        <f t="shared" si="1"/>
        <v/>
      </c>
      <c r="B679" s="14" t="str">
        <f t="array" ref="B679">IF(OR(G679="",G679="Selecciona.."),"",XLOOKUP(G679,Productos!E:E,Productos!A:A,"",0,1))</f>
        <v/>
      </c>
      <c r="C679" s="14" t="str">
        <f t="array" ref="C679">IF(B679="","",SUMIF(Implementos!B:B,XLOOKUP(B679,Productos!A:A,Productos!F:F,"",0,1),Implementos!A:A))</f>
        <v/>
      </c>
      <c r="D679" s="14" t="str">
        <f t="array" ref="D679">IF(OR(H679="",H679="Selecciona.."),"",XLOOKUP(H679,Propiedades!B:B,Propiedades!A:A,"",0,1))</f>
        <v/>
      </c>
      <c r="E679" s="14" t="str">
        <f t="shared" si="2"/>
        <v/>
      </c>
      <c r="F679" s="14" t="str">
        <f t="shared" si="3"/>
        <v/>
      </c>
      <c r="G679" s="15" t="str">
        <f t="shared" si="8"/>
        <v/>
      </c>
      <c r="H679" s="15" t="str">
        <f t="shared" si="9"/>
        <v/>
      </c>
      <c r="I679" s="16" t="str">
        <f t="shared" si="10"/>
        <v/>
      </c>
      <c r="J679" s="17"/>
      <c r="K679" s="14" t="str">
        <f t="array" ref="K679">IF(OR(H679="",H679="Selecciona.."),"",XLOOKUP(H679,Propiedades!B:B,Propiedades!C:C,"",0,1))</f>
        <v/>
      </c>
    </row>
    <row r="680">
      <c r="A680" s="14" t="str">
        <f t="shared" si="1"/>
        <v/>
      </c>
      <c r="B680" s="14" t="str">
        <f t="array" ref="B680">IF(OR(G680="",G680="Selecciona.."),"",XLOOKUP(G680,Productos!E:E,Productos!A:A,"",0,1))</f>
        <v/>
      </c>
      <c r="C680" s="14" t="str">
        <f t="array" ref="C680">IF(B680="","",SUMIF(Implementos!B:B,XLOOKUP(B680,Productos!A:A,Productos!F:F,"",0,1),Implementos!A:A))</f>
        <v/>
      </c>
      <c r="D680" s="14" t="str">
        <f t="array" ref="D680">IF(OR(H680="",H680="Selecciona.."),"",XLOOKUP(H680,Propiedades!B:B,Propiedades!A:A,"",0,1))</f>
        <v/>
      </c>
      <c r="E680" s="14" t="str">
        <f t="shared" si="2"/>
        <v/>
      </c>
      <c r="F680" s="14" t="str">
        <f t="shared" si="3"/>
        <v/>
      </c>
      <c r="G680" s="15" t="str">
        <f t="shared" si="8"/>
        <v/>
      </c>
      <c r="H680" s="15" t="str">
        <f t="shared" si="9"/>
        <v/>
      </c>
      <c r="I680" s="16" t="str">
        <f t="shared" si="10"/>
        <v/>
      </c>
      <c r="J680" s="17"/>
      <c r="K680" s="14" t="str">
        <f t="array" ref="K680">IF(OR(H680="",H680="Selecciona.."),"",XLOOKUP(H680,Propiedades!B:B,Propiedades!C:C,"",0,1))</f>
        <v/>
      </c>
    </row>
    <row r="681">
      <c r="A681" s="14" t="str">
        <f t="shared" si="1"/>
        <v/>
      </c>
      <c r="B681" s="14" t="str">
        <f t="array" ref="B681">IF(OR(G681="",G681="Selecciona.."),"",XLOOKUP(G681,Productos!E:E,Productos!A:A,"",0,1))</f>
        <v/>
      </c>
      <c r="C681" s="14" t="str">
        <f t="array" ref="C681">IF(B681="","",SUMIF(Implementos!B:B,XLOOKUP(B681,Productos!A:A,Productos!F:F,"",0,1),Implementos!A:A))</f>
        <v/>
      </c>
      <c r="D681" s="14" t="str">
        <f t="array" ref="D681">IF(OR(H681="",H681="Selecciona.."),"",XLOOKUP(H681,Propiedades!B:B,Propiedades!A:A,"",0,1))</f>
        <v/>
      </c>
      <c r="E681" s="14" t="str">
        <f t="shared" si="2"/>
        <v/>
      </c>
      <c r="F681" s="14" t="str">
        <f t="shared" si="3"/>
        <v/>
      </c>
      <c r="G681" s="15" t="str">
        <f t="shared" si="8"/>
        <v/>
      </c>
      <c r="H681" s="15" t="str">
        <f t="shared" si="9"/>
        <v/>
      </c>
      <c r="I681" s="16" t="str">
        <f t="shared" si="10"/>
        <v/>
      </c>
      <c r="J681" s="17"/>
      <c r="K681" s="14" t="str">
        <f t="array" ref="K681">IF(OR(H681="",H681="Selecciona.."),"",XLOOKUP(H681,Propiedades!B:B,Propiedades!C:C,"",0,1))</f>
        <v/>
      </c>
    </row>
    <row r="682">
      <c r="A682" s="14" t="str">
        <f t="shared" si="1"/>
        <v/>
      </c>
      <c r="B682" s="14" t="str">
        <f t="array" ref="B682">IF(OR(G682="",G682="Selecciona.."),"",XLOOKUP(G682,Productos!E:E,Productos!A:A,"",0,1))</f>
        <v/>
      </c>
      <c r="C682" s="14" t="str">
        <f t="array" ref="C682">IF(B682="","",SUMIF(Implementos!B:B,XLOOKUP(B682,Productos!A:A,Productos!F:F,"",0,1),Implementos!A:A))</f>
        <v/>
      </c>
      <c r="D682" s="14" t="str">
        <f t="array" ref="D682">IF(OR(H682="",H682="Selecciona.."),"",XLOOKUP(H682,Propiedades!B:B,Propiedades!A:A,"",0,1))</f>
        <v/>
      </c>
      <c r="E682" s="14" t="str">
        <f t="shared" si="2"/>
        <v/>
      </c>
      <c r="F682" s="14" t="str">
        <f t="shared" si="3"/>
        <v/>
      </c>
      <c r="G682" s="15" t="str">
        <f t="shared" si="8"/>
        <v/>
      </c>
      <c r="H682" s="15" t="str">
        <f t="shared" si="9"/>
        <v/>
      </c>
      <c r="I682" s="16" t="str">
        <f t="shared" si="10"/>
        <v/>
      </c>
      <c r="J682" s="17"/>
      <c r="K682" s="14" t="str">
        <f t="array" ref="K682">IF(OR(H682="",H682="Selecciona.."),"",XLOOKUP(H682,Propiedades!B:B,Propiedades!C:C,"",0,1))</f>
        <v/>
      </c>
    </row>
    <row r="683">
      <c r="A683" s="14" t="str">
        <f t="shared" si="1"/>
        <v/>
      </c>
      <c r="B683" s="14" t="str">
        <f t="array" ref="B683">IF(OR(G683="",G683="Selecciona.."),"",XLOOKUP(G683,Productos!E:E,Productos!A:A,"",0,1))</f>
        <v/>
      </c>
      <c r="C683" s="14" t="str">
        <f t="array" ref="C683">IF(B683="","",SUMIF(Implementos!B:B,XLOOKUP(B683,Productos!A:A,Productos!F:F,"",0,1),Implementos!A:A))</f>
        <v/>
      </c>
      <c r="D683" s="14" t="str">
        <f t="array" ref="D683">IF(OR(H683="",H683="Selecciona.."),"",XLOOKUP(H683,Propiedades!B:B,Propiedades!A:A,"",0,1))</f>
        <v/>
      </c>
      <c r="E683" s="14" t="str">
        <f t="shared" si="2"/>
        <v/>
      </c>
      <c r="F683" s="14" t="str">
        <f t="shared" si="3"/>
        <v/>
      </c>
      <c r="G683" s="15" t="str">
        <f t="shared" si="8"/>
        <v/>
      </c>
      <c r="H683" s="15" t="str">
        <f t="shared" si="9"/>
        <v/>
      </c>
      <c r="I683" s="16" t="str">
        <f t="shared" si="10"/>
        <v/>
      </c>
      <c r="J683" s="17"/>
      <c r="K683" s="14" t="str">
        <f t="array" ref="K683">IF(OR(H683="",H683="Selecciona.."),"",XLOOKUP(H683,Propiedades!B:B,Propiedades!C:C,"",0,1))</f>
        <v/>
      </c>
    </row>
    <row r="684">
      <c r="A684" s="14" t="str">
        <f t="shared" si="1"/>
        <v/>
      </c>
      <c r="B684" s="14" t="str">
        <f t="array" ref="B684">IF(OR(G684="",G684="Selecciona.."),"",XLOOKUP(G684,Productos!E:E,Productos!A:A,"",0,1))</f>
        <v/>
      </c>
      <c r="C684" s="14" t="str">
        <f t="array" ref="C684">IF(B684="","",SUMIF(Implementos!B:B,XLOOKUP(B684,Productos!A:A,Productos!F:F,"",0,1),Implementos!A:A))</f>
        <v/>
      </c>
      <c r="D684" s="14" t="str">
        <f t="array" ref="D684">IF(OR(H684="",H684="Selecciona.."),"",XLOOKUP(H684,Propiedades!B:B,Propiedades!A:A,"",0,1))</f>
        <v/>
      </c>
      <c r="E684" s="14" t="str">
        <f t="shared" si="2"/>
        <v/>
      </c>
      <c r="F684" s="14" t="str">
        <f t="shared" si="3"/>
        <v/>
      </c>
      <c r="G684" s="15" t="str">
        <f t="shared" si="8"/>
        <v/>
      </c>
      <c r="H684" s="15" t="str">
        <f t="shared" si="9"/>
        <v/>
      </c>
      <c r="I684" s="16" t="str">
        <f t="shared" si="10"/>
        <v/>
      </c>
      <c r="J684" s="17"/>
      <c r="K684" s="14" t="str">
        <f t="array" ref="K684">IF(OR(H684="",H684="Selecciona.."),"",XLOOKUP(H684,Propiedades!B:B,Propiedades!C:C,"",0,1))</f>
        <v/>
      </c>
    </row>
    <row r="685">
      <c r="A685" s="14" t="str">
        <f t="shared" si="1"/>
        <v/>
      </c>
      <c r="B685" s="14" t="str">
        <f t="array" ref="B685">IF(OR(G685="",G685="Selecciona.."),"",XLOOKUP(G685,Productos!E:E,Productos!A:A,"",0,1))</f>
        <v/>
      </c>
      <c r="C685" s="14" t="str">
        <f t="array" ref="C685">IF(B685="","",SUMIF(Implementos!B:B,XLOOKUP(B685,Productos!A:A,Productos!F:F,"",0,1),Implementos!A:A))</f>
        <v/>
      </c>
      <c r="D685" s="14" t="str">
        <f t="array" ref="D685">IF(OR(H685="",H685="Selecciona.."),"",XLOOKUP(H685,Propiedades!B:B,Propiedades!A:A,"",0,1))</f>
        <v/>
      </c>
      <c r="E685" s="14" t="str">
        <f t="shared" si="2"/>
        <v/>
      </c>
      <c r="F685" s="14" t="str">
        <f t="shared" si="3"/>
        <v/>
      </c>
      <c r="G685" s="15" t="str">
        <f t="shared" si="8"/>
        <v/>
      </c>
      <c r="H685" s="15" t="str">
        <f t="shared" si="9"/>
        <v/>
      </c>
      <c r="I685" s="16" t="str">
        <f t="shared" si="10"/>
        <v/>
      </c>
      <c r="J685" s="17"/>
      <c r="K685" s="14" t="str">
        <f t="array" ref="K685">IF(OR(H685="",H685="Selecciona.."),"",XLOOKUP(H685,Propiedades!B:B,Propiedades!C:C,"",0,1))</f>
        <v/>
      </c>
    </row>
    <row r="686">
      <c r="A686" s="14" t="str">
        <f t="shared" si="1"/>
        <v/>
      </c>
      <c r="B686" s="14" t="str">
        <f t="array" ref="B686">IF(OR(G686="",G686="Selecciona.."),"",XLOOKUP(G686,Productos!E:E,Productos!A:A,"",0,1))</f>
        <v/>
      </c>
      <c r="C686" s="14" t="str">
        <f t="array" ref="C686">IF(B686="","",SUMIF(Implementos!B:B,XLOOKUP(B686,Productos!A:A,Productos!F:F,"",0,1),Implementos!A:A))</f>
        <v/>
      </c>
      <c r="D686" s="14" t="str">
        <f t="array" ref="D686">IF(OR(H686="",H686="Selecciona.."),"",XLOOKUP(H686,Propiedades!B:B,Propiedades!A:A,"",0,1))</f>
        <v/>
      </c>
      <c r="E686" s="14" t="str">
        <f t="shared" si="2"/>
        <v/>
      </c>
      <c r="F686" s="14" t="str">
        <f t="shared" si="3"/>
        <v/>
      </c>
      <c r="G686" s="15" t="str">
        <f t="shared" si="8"/>
        <v/>
      </c>
      <c r="H686" s="15" t="str">
        <f t="shared" si="9"/>
        <v/>
      </c>
      <c r="I686" s="16" t="str">
        <f t="shared" si="10"/>
        <v/>
      </c>
      <c r="J686" s="17"/>
      <c r="K686" s="14" t="str">
        <f t="array" ref="K686">IF(OR(H686="",H686="Selecciona.."),"",XLOOKUP(H686,Propiedades!B:B,Propiedades!C:C,"",0,1))</f>
        <v/>
      </c>
    </row>
    <row r="687">
      <c r="A687" s="14" t="str">
        <f t="shared" si="1"/>
        <v/>
      </c>
      <c r="B687" s="14" t="str">
        <f t="array" ref="B687">IF(OR(G687="",G687="Selecciona.."),"",XLOOKUP(G687,Productos!E:E,Productos!A:A,"",0,1))</f>
        <v/>
      </c>
      <c r="C687" s="14" t="str">
        <f t="array" ref="C687">IF(B687="","",SUMIF(Implementos!B:B,XLOOKUP(B687,Productos!A:A,Productos!F:F,"",0,1),Implementos!A:A))</f>
        <v/>
      </c>
      <c r="D687" s="14" t="str">
        <f t="array" ref="D687">IF(OR(H687="",H687="Selecciona.."),"",XLOOKUP(H687,Propiedades!B:B,Propiedades!A:A,"",0,1))</f>
        <v/>
      </c>
      <c r="E687" s="14" t="str">
        <f t="shared" si="2"/>
        <v/>
      </c>
      <c r="F687" s="14" t="str">
        <f t="shared" si="3"/>
        <v/>
      </c>
      <c r="G687" s="15" t="str">
        <f t="shared" si="8"/>
        <v/>
      </c>
      <c r="H687" s="15" t="str">
        <f t="shared" si="9"/>
        <v/>
      </c>
      <c r="I687" s="16" t="str">
        <f t="shared" si="10"/>
        <v/>
      </c>
      <c r="J687" s="17"/>
      <c r="K687" s="14" t="str">
        <f t="array" ref="K687">IF(OR(H687="",H687="Selecciona.."),"",XLOOKUP(H687,Propiedades!B:B,Propiedades!C:C,"",0,1))</f>
        <v/>
      </c>
    </row>
    <row r="688">
      <c r="A688" s="14" t="str">
        <f t="shared" si="1"/>
        <v/>
      </c>
      <c r="B688" s="14" t="str">
        <f t="array" ref="B688">IF(OR(G688="",G688="Selecciona.."),"",XLOOKUP(G688,Productos!E:E,Productos!A:A,"",0,1))</f>
        <v/>
      </c>
      <c r="C688" s="14" t="str">
        <f t="array" ref="C688">IF(B688="","",SUMIF(Implementos!B:B,XLOOKUP(B688,Productos!A:A,Productos!F:F,"",0,1),Implementos!A:A))</f>
        <v/>
      </c>
      <c r="D688" s="14" t="str">
        <f t="array" ref="D688">IF(OR(H688="",H688="Selecciona.."),"",XLOOKUP(H688,Propiedades!B:B,Propiedades!A:A,"",0,1))</f>
        <v/>
      </c>
      <c r="E688" s="14" t="str">
        <f t="shared" si="2"/>
        <v/>
      </c>
      <c r="F688" s="14" t="str">
        <f t="shared" si="3"/>
        <v/>
      </c>
      <c r="G688" s="15" t="str">
        <f t="shared" si="8"/>
        <v/>
      </c>
      <c r="H688" s="15" t="str">
        <f t="shared" si="9"/>
        <v/>
      </c>
      <c r="I688" s="16" t="str">
        <f t="shared" si="10"/>
        <v/>
      </c>
      <c r="J688" s="17"/>
      <c r="K688" s="14" t="str">
        <f t="array" ref="K688">IF(OR(H688="",H688="Selecciona.."),"",XLOOKUP(H688,Propiedades!B:B,Propiedades!C:C,"",0,1))</f>
        <v/>
      </c>
    </row>
    <row r="689">
      <c r="A689" s="14" t="str">
        <f t="shared" si="1"/>
        <v/>
      </c>
      <c r="B689" s="14" t="str">
        <f t="array" ref="B689">IF(OR(G689="",G689="Selecciona.."),"",XLOOKUP(G689,Productos!E:E,Productos!A:A,"",0,1))</f>
        <v/>
      </c>
      <c r="C689" s="14" t="str">
        <f t="array" ref="C689">IF(B689="","",SUMIF(Implementos!B:B,XLOOKUP(B689,Productos!A:A,Productos!F:F,"",0,1),Implementos!A:A))</f>
        <v/>
      </c>
      <c r="D689" s="14" t="str">
        <f t="array" ref="D689">IF(OR(H689="",H689="Selecciona.."),"",XLOOKUP(H689,Propiedades!B:B,Propiedades!A:A,"",0,1))</f>
        <v/>
      </c>
      <c r="E689" s="14" t="str">
        <f t="shared" si="2"/>
        <v/>
      </c>
      <c r="F689" s="14" t="str">
        <f t="shared" si="3"/>
        <v/>
      </c>
      <c r="G689" s="15" t="str">
        <f t="shared" si="8"/>
        <v/>
      </c>
      <c r="H689" s="15" t="str">
        <f t="shared" si="9"/>
        <v/>
      </c>
      <c r="I689" s="16" t="str">
        <f t="shared" si="10"/>
        <v/>
      </c>
      <c r="J689" s="17"/>
      <c r="K689" s="14" t="str">
        <f t="array" ref="K689">IF(OR(H689="",H689="Selecciona.."),"",XLOOKUP(H689,Propiedades!B:B,Propiedades!C:C,"",0,1))</f>
        <v/>
      </c>
    </row>
    <row r="690">
      <c r="A690" s="14" t="str">
        <f t="shared" si="1"/>
        <v/>
      </c>
      <c r="B690" s="14" t="str">
        <f t="array" ref="B690">IF(OR(G690="",G690="Selecciona.."),"",XLOOKUP(G690,Productos!E:E,Productos!A:A,"",0,1))</f>
        <v/>
      </c>
      <c r="C690" s="14" t="str">
        <f t="array" ref="C690">IF(B690="","",SUMIF(Implementos!B:B,XLOOKUP(B690,Productos!A:A,Productos!F:F,"",0,1),Implementos!A:A))</f>
        <v/>
      </c>
      <c r="D690" s="14" t="str">
        <f t="array" ref="D690">IF(OR(H690="",H690="Selecciona.."),"",XLOOKUP(H690,Propiedades!B:B,Propiedades!A:A,"",0,1))</f>
        <v/>
      </c>
      <c r="E690" s="14" t="str">
        <f t="shared" si="2"/>
        <v/>
      </c>
      <c r="F690" s="14" t="str">
        <f t="shared" si="3"/>
        <v/>
      </c>
      <c r="G690" s="15" t="str">
        <f t="shared" si="8"/>
        <v/>
      </c>
      <c r="H690" s="15" t="str">
        <f t="shared" si="9"/>
        <v/>
      </c>
      <c r="I690" s="16" t="str">
        <f t="shared" si="10"/>
        <v/>
      </c>
      <c r="J690" s="17"/>
      <c r="K690" s="14" t="str">
        <f t="array" ref="K690">IF(OR(H690="",H690="Selecciona.."),"",XLOOKUP(H690,Propiedades!B:B,Propiedades!C:C,"",0,1))</f>
        <v/>
      </c>
    </row>
    <row r="691">
      <c r="A691" s="14" t="str">
        <f t="shared" si="1"/>
        <v/>
      </c>
      <c r="B691" s="14" t="str">
        <f t="array" ref="B691">IF(OR(G691="",G691="Selecciona.."),"",XLOOKUP(G691,Productos!E:E,Productos!A:A,"",0,1))</f>
        <v/>
      </c>
      <c r="C691" s="14" t="str">
        <f t="array" ref="C691">IF(B691="","",SUMIF(Implementos!B:B,XLOOKUP(B691,Productos!A:A,Productos!F:F,"",0,1),Implementos!A:A))</f>
        <v/>
      </c>
      <c r="D691" s="14" t="str">
        <f t="array" ref="D691">IF(OR(H691="",H691="Selecciona.."),"",XLOOKUP(H691,Propiedades!B:B,Propiedades!A:A,"",0,1))</f>
        <v/>
      </c>
      <c r="E691" s="14" t="str">
        <f t="shared" si="2"/>
        <v/>
      </c>
      <c r="F691" s="14" t="str">
        <f t="shared" si="3"/>
        <v/>
      </c>
      <c r="G691" s="15" t="str">
        <f t="shared" si="8"/>
        <v/>
      </c>
      <c r="H691" s="15" t="str">
        <f t="shared" si="9"/>
        <v/>
      </c>
      <c r="I691" s="16" t="str">
        <f t="shared" si="10"/>
        <v/>
      </c>
      <c r="J691" s="17"/>
      <c r="K691" s="14" t="str">
        <f t="array" ref="K691">IF(OR(H691="",H691="Selecciona.."),"",XLOOKUP(H691,Propiedades!B:B,Propiedades!C:C,"",0,1))</f>
        <v/>
      </c>
    </row>
    <row r="692">
      <c r="A692" s="14" t="str">
        <f t="shared" si="1"/>
        <v/>
      </c>
      <c r="B692" s="14" t="str">
        <f t="array" ref="B692">IF(OR(G692="",G692="Selecciona.."),"",XLOOKUP(G692,Productos!E:E,Productos!A:A,"",0,1))</f>
        <v/>
      </c>
      <c r="C692" s="14" t="str">
        <f t="array" ref="C692">IF(B692="","",SUMIF(Implementos!B:B,XLOOKUP(B692,Productos!A:A,Productos!F:F,"",0,1),Implementos!A:A))</f>
        <v/>
      </c>
      <c r="D692" s="14" t="str">
        <f t="array" ref="D692">IF(OR(H692="",H692="Selecciona.."),"",XLOOKUP(H692,Propiedades!B:B,Propiedades!A:A,"",0,1))</f>
        <v/>
      </c>
      <c r="E692" s="14" t="str">
        <f t="shared" si="2"/>
        <v/>
      </c>
      <c r="F692" s="14" t="str">
        <f t="shared" si="3"/>
        <v/>
      </c>
      <c r="G692" s="15" t="str">
        <f t="shared" si="8"/>
        <v/>
      </c>
      <c r="H692" s="15" t="str">
        <f t="shared" si="9"/>
        <v/>
      </c>
      <c r="I692" s="16" t="str">
        <f t="shared" si="10"/>
        <v/>
      </c>
      <c r="J692" s="17"/>
      <c r="K692" s="14" t="str">
        <f t="array" ref="K692">IF(OR(H692="",H692="Selecciona.."),"",XLOOKUP(H692,Propiedades!B:B,Propiedades!C:C,"",0,1))</f>
        <v/>
      </c>
    </row>
    <row r="693">
      <c r="A693" s="14" t="str">
        <f t="shared" si="1"/>
        <v/>
      </c>
      <c r="B693" s="14" t="str">
        <f t="array" ref="B693">IF(OR(G693="",G693="Selecciona.."),"",XLOOKUP(G693,Productos!E:E,Productos!A:A,"",0,1))</f>
        <v/>
      </c>
      <c r="C693" s="14" t="str">
        <f t="array" ref="C693">IF(B693="","",SUMIF(Implementos!B:B,XLOOKUP(B693,Productos!A:A,Productos!F:F,"",0,1),Implementos!A:A))</f>
        <v/>
      </c>
      <c r="D693" s="14" t="str">
        <f t="array" ref="D693">IF(OR(H693="",H693="Selecciona.."),"",XLOOKUP(H693,Propiedades!B:B,Propiedades!A:A,"",0,1))</f>
        <v/>
      </c>
      <c r="E693" s="14" t="str">
        <f t="shared" si="2"/>
        <v/>
      </c>
      <c r="F693" s="14" t="str">
        <f t="shared" si="3"/>
        <v/>
      </c>
      <c r="G693" s="15" t="str">
        <f t="shared" si="8"/>
        <v/>
      </c>
      <c r="H693" s="15" t="str">
        <f t="shared" si="9"/>
        <v/>
      </c>
      <c r="I693" s="16" t="str">
        <f t="shared" si="10"/>
        <v/>
      </c>
      <c r="J693" s="17"/>
      <c r="K693" s="14" t="str">
        <f t="array" ref="K693">IF(OR(H693="",H693="Selecciona.."),"",XLOOKUP(H693,Propiedades!B:B,Propiedades!C:C,"",0,1))</f>
        <v/>
      </c>
    </row>
    <row r="694">
      <c r="A694" s="14" t="str">
        <f t="shared" si="1"/>
        <v/>
      </c>
      <c r="B694" s="14" t="str">
        <f t="array" ref="B694">IF(OR(G694="",G694="Selecciona.."),"",XLOOKUP(G694,Productos!E:E,Productos!A:A,"",0,1))</f>
        <v/>
      </c>
      <c r="C694" s="14" t="str">
        <f t="array" ref="C694">IF(B694="","",SUMIF(Implementos!B:B,XLOOKUP(B694,Productos!A:A,Productos!F:F,"",0,1),Implementos!A:A))</f>
        <v/>
      </c>
      <c r="D694" s="14" t="str">
        <f t="array" ref="D694">IF(OR(H694="",H694="Selecciona.."),"",XLOOKUP(H694,Propiedades!B:B,Propiedades!A:A,"",0,1))</f>
        <v/>
      </c>
      <c r="E694" s="14" t="str">
        <f t="shared" si="2"/>
        <v/>
      </c>
      <c r="F694" s="14" t="str">
        <f t="shared" si="3"/>
        <v/>
      </c>
      <c r="G694" s="15" t="str">
        <f t="shared" si="8"/>
        <v/>
      </c>
      <c r="H694" s="15" t="str">
        <f t="shared" si="9"/>
        <v/>
      </c>
      <c r="I694" s="16" t="str">
        <f t="shared" si="10"/>
        <v/>
      </c>
      <c r="J694" s="17"/>
      <c r="K694" s="14" t="str">
        <f t="array" ref="K694">IF(OR(H694="",H694="Selecciona.."),"",XLOOKUP(H694,Propiedades!B:B,Propiedades!C:C,"",0,1))</f>
        <v/>
      </c>
    </row>
    <row r="695">
      <c r="A695" s="14" t="str">
        <f t="shared" si="1"/>
        <v/>
      </c>
      <c r="B695" s="14" t="str">
        <f t="array" ref="B695">IF(OR(G695="",G695="Selecciona.."),"",XLOOKUP(G695,Productos!E:E,Productos!A:A,"",0,1))</f>
        <v/>
      </c>
      <c r="C695" s="14" t="str">
        <f t="array" ref="C695">IF(B695="","",SUMIF(Implementos!B:B,XLOOKUP(B695,Productos!A:A,Productos!F:F,"",0,1),Implementos!A:A))</f>
        <v/>
      </c>
      <c r="D695" s="14" t="str">
        <f t="array" ref="D695">IF(OR(H695="",H695="Selecciona.."),"",XLOOKUP(H695,Propiedades!B:B,Propiedades!A:A,"",0,1))</f>
        <v/>
      </c>
      <c r="E695" s="14" t="str">
        <f t="shared" si="2"/>
        <v/>
      </c>
      <c r="F695" s="14" t="str">
        <f t="shared" si="3"/>
        <v/>
      </c>
      <c r="G695" s="15" t="str">
        <f t="shared" si="8"/>
        <v/>
      </c>
      <c r="H695" s="15" t="str">
        <f t="shared" si="9"/>
        <v/>
      </c>
      <c r="I695" s="16" t="str">
        <f t="shared" si="10"/>
        <v/>
      </c>
      <c r="J695" s="17"/>
      <c r="K695" s="14" t="str">
        <f t="array" ref="K695">IF(OR(H695="",H695="Selecciona.."),"",XLOOKUP(H695,Propiedades!B:B,Propiedades!C:C,"",0,1))</f>
        <v/>
      </c>
    </row>
    <row r="696">
      <c r="A696" s="14" t="str">
        <f t="shared" si="1"/>
        <v/>
      </c>
      <c r="B696" s="14" t="str">
        <f t="array" ref="B696">IF(OR(G696="",G696="Selecciona.."),"",XLOOKUP(G696,Productos!E:E,Productos!A:A,"",0,1))</f>
        <v/>
      </c>
      <c r="C696" s="14" t="str">
        <f t="array" ref="C696">IF(B696="","",SUMIF(Implementos!B:B,XLOOKUP(B696,Productos!A:A,Productos!F:F,"",0,1),Implementos!A:A))</f>
        <v/>
      </c>
      <c r="D696" s="14" t="str">
        <f t="array" ref="D696">IF(OR(H696="",H696="Selecciona.."),"",XLOOKUP(H696,Propiedades!B:B,Propiedades!A:A,"",0,1))</f>
        <v/>
      </c>
      <c r="E696" s="14" t="str">
        <f t="shared" si="2"/>
        <v/>
      </c>
      <c r="F696" s="14" t="str">
        <f t="shared" si="3"/>
        <v/>
      </c>
      <c r="G696" s="15" t="str">
        <f t="shared" si="8"/>
        <v/>
      </c>
      <c r="H696" s="15" t="str">
        <f t="shared" si="9"/>
        <v/>
      </c>
      <c r="I696" s="16" t="str">
        <f t="shared" si="10"/>
        <v/>
      </c>
      <c r="J696" s="17"/>
      <c r="K696" s="14" t="str">
        <f t="array" ref="K696">IF(OR(H696="",H696="Selecciona.."),"",XLOOKUP(H696,Propiedades!B:B,Propiedades!C:C,"",0,1))</f>
        <v/>
      </c>
    </row>
    <row r="697">
      <c r="A697" s="14" t="str">
        <f t="shared" si="1"/>
        <v/>
      </c>
      <c r="B697" s="14" t="str">
        <f t="array" ref="B697">IF(OR(G697="",G697="Selecciona.."),"",XLOOKUP(G697,Productos!E:E,Productos!A:A,"",0,1))</f>
        <v/>
      </c>
      <c r="C697" s="14" t="str">
        <f t="array" ref="C697">IF(B697="","",SUMIF(Implementos!B:B,XLOOKUP(B697,Productos!A:A,Productos!F:F,"",0,1),Implementos!A:A))</f>
        <v/>
      </c>
      <c r="D697" s="14" t="str">
        <f t="array" ref="D697">IF(OR(H697="",H697="Selecciona.."),"",XLOOKUP(H697,Propiedades!B:B,Propiedades!A:A,"",0,1))</f>
        <v/>
      </c>
      <c r="E697" s="14" t="str">
        <f t="shared" si="2"/>
        <v/>
      </c>
      <c r="F697" s="14" t="str">
        <f t="shared" si="3"/>
        <v/>
      </c>
      <c r="G697" s="15" t="str">
        <f t="shared" si="8"/>
        <v/>
      </c>
      <c r="H697" s="15" t="str">
        <f t="shared" si="9"/>
        <v/>
      </c>
      <c r="I697" s="16" t="str">
        <f t="shared" si="10"/>
        <v/>
      </c>
      <c r="J697" s="17"/>
      <c r="K697" s="14" t="str">
        <f t="array" ref="K697">IF(OR(H697="",H697="Selecciona.."),"",XLOOKUP(H697,Propiedades!B:B,Propiedades!C:C,"",0,1))</f>
        <v/>
      </c>
    </row>
    <row r="698">
      <c r="A698" s="14" t="str">
        <f t="shared" si="1"/>
        <v/>
      </c>
      <c r="B698" s="14" t="str">
        <f t="array" ref="B698">IF(OR(G698="",G698="Selecciona.."),"",XLOOKUP(G698,Productos!E:E,Productos!A:A,"",0,1))</f>
        <v/>
      </c>
      <c r="C698" s="14" t="str">
        <f t="array" ref="C698">IF(B698="","",SUMIF(Implementos!B:B,XLOOKUP(B698,Productos!A:A,Productos!F:F,"",0,1),Implementos!A:A))</f>
        <v/>
      </c>
      <c r="D698" s="14" t="str">
        <f t="array" ref="D698">IF(OR(H698="",H698="Selecciona.."),"",XLOOKUP(H698,Propiedades!B:B,Propiedades!A:A,"",0,1))</f>
        <v/>
      </c>
      <c r="E698" s="14" t="str">
        <f t="shared" si="2"/>
        <v/>
      </c>
      <c r="F698" s="14" t="str">
        <f t="shared" si="3"/>
        <v/>
      </c>
      <c r="G698" s="15" t="str">
        <f t="shared" si="8"/>
        <v/>
      </c>
      <c r="H698" s="15" t="str">
        <f t="shared" si="9"/>
        <v/>
      </c>
      <c r="I698" s="16" t="str">
        <f t="shared" si="10"/>
        <v/>
      </c>
      <c r="J698" s="17"/>
      <c r="K698" s="14" t="str">
        <f t="array" ref="K698">IF(OR(H698="",H698="Selecciona.."),"",XLOOKUP(H698,Propiedades!B:B,Propiedades!C:C,"",0,1))</f>
        <v/>
      </c>
    </row>
    <row r="699">
      <c r="A699" s="14" t="str">
        <f t="shared" si="1"/>
        <v/>
      </c>
      <c r="B699" s="14" t="str">
        <f t="array" ref="B699">IF(OR(G699="",G699="Selecciona.."),"",XLOOKUP(G699,Productos!E:E,Productos!A:A,"",0,1))</f>
        <v/>
      </c>
      <c r="C699" s="14" t="str">
        <f t="array" ref="C699">IF(B699="","",SUMIF(Implementos!B:B,XLOOKUP(B699,Productos!A:A,Productos!F:F,"",0,1),Implementos!A:A))</f>
        <v/>
      </c>
      <c r="D699" s="14" t="str">
        <f t="array" ref="D699">IF(OR(H699="",H699="Selecciona.."),"",XLOOKUP(H699,Propiedades!B:B,Propiedades!A:A,"",0,1))</f>
        <v/>
      </c>
      <c r="E699" s="14" t="str">
        <f t="shared" si="2"/>
        <v/>
      </c>
      <c r="F699" s="14" t="str">
        <f t="shared" si="3"/>
        <v/>
      </c>
      <c r="G699" s="15" t="str">
        <f t="shared" si="8"/>
        <v/>
      </c>
      <c r="H699" s="15" t="str">
        <f t="shared" si="9"/>
        <v/>
      </c>
      <c r="I699" s="16" t="str">
        <f t="shared" si="10"/>
        <v/>
      </c>
      <c r="J699" s="17"/>
      <c r="K699" s="14" t="str">
        <f t="array" ref="K699">IF(OR(H699="",H699="Selecciona.."),"",XLOOKUP(H699,Propiedades!B:B,Propiedades!C:C,"",0,1))</f>
        <v/>
      </c>
    </row>
    <row r="700">
      <c r="A700" s="14" t="str">
        <f t="shared" si="1"/>
        <v/>
      </c>
      <c r="B700" s="14" t="str">
        <f t="array" ref="B700">IF(OR(G700="",G700="Selecciona.."),"",XLOOKUP(G700,Productos!E:E,Productos!A:A,"",0,1))</f>
        <v/>
      </c>
      <c r="C700" s="14" t="str">
        <f t="array" ref="C700">IF(B700="","",SUMIF(Implementos!B:B,XLOOKUP(B700,Productos!A:A,Productos!F:F,"",0,1),Implementos!A:A))</f>
        <v/>
      </c>
      <c r="D700" s="14" t="str">
        <f t="array" ref="D700">IF(OR(H700="",H700="Selecciona.."),"",XLOOKUP(H700,Propiedades!B:B,Propiedades!A:A,"",0,1))</f>
        <v/>
      </c>
      <c r="E700" s="14" t="str">
        <f t="shared" si="2"/>
        <v/>
      </c>
      <c r="F700" s="14" t="str">
        <f t="shared" si="3"/>
        <v/>
      </c>
      <c r="G700" s="15" t="str">
        <f t="shared" si="8"/>
        <v/>
      </c>
      <c r="H700" s="15" t="str">
        <f t="shared" si="9"/>
        <v/>
      </c>
      <c r="I700" s="16" t="str">
        <f t="shared" si="10"/>
        <v/>
      </c>
      <c r="J700" s="17"/>
      <c r="K700" s="14" t="str">
        <f t="array" ref="K700">IF(OR(H700="",H700="Selecciona.."),"",XLOOKUP(H700,Propiedades!B:B,Propiedades!C:C,"",0,1))</f>
        <v/>
      </c>
    </row>
    <row r="701">
      <c r="A701" s="14" t="str">
        <f t="shared" si="1"/>
        <v/>
      </c>
      <c r="B701" s="14" t="str">
        <f t="array" ref="B701">IF(OR(G701="",G701="Selecciona.."),"",XLOOKUP(G701,Productos!E:E,Productos!A:A,"",0,1))</f>
        <v/>
      </c>
      <c r="C701" s="14" t="str">
        <f t="array" ref="C701">IF(B701="","",SUMIF(Implementos!B:B,XLOOKUP(B701,Productos!A:A,Productos!F:F,"",0,1),Implementos!A:A))</f>
        <v/>
      </c>
      <c r="D701" s="14" t="str">
        <f t="array" ref="D701">IF(OR(H701="",H701="Selecciona.."),"",XLOOKUP(H701,Propiedades!B:B,Propiedades!A:A,"",0,1))</f>
        <v/>
      </c>
      <c r="E701" s="14" t="str">
        <f t="shared" si="2"/>
        <v/>
      </c>
      <c r="F701" s="14" t="str">
        <f t="shared" si="3"/>
        <v/>
      </c>
      <c r="G701" s="15" t="str">
        <f t="shared" si="8"/>
        <v/>
      </c>
      <c r="H701" s="15" t="str">
        <f t="shared" si="9"/>
        <v/>
      </c>
      <c r="I701" s="16" t="str">
        <f t="shared" si="10"/>
        <v/>
      </c>
      <c r="J701" s="17"/>
      <c r="K701" s="14" t="str">
        <f t="array" ref="K701">IF(OR(H701="",H701="Selecciona.."),"",XLOOKUP(H701,Propiedades!B:B,Propiedades!C:C,"",0,1))</f>
        <v/>
      </c>
    </row>
    <row r="702">
      <c r="A702" s="14" t="str">
        <f t="shared" si="1"/>
        <v/>
      </c>
      <c r="B702" s="14" t="str">
        <f t="array" ref="B702">IF(OR(G702="",G702="Selecciona.."),"",XLOOKUP(G702,Productos!E:E,Productos!A:A,"",0,1))</f>
        <v/>
      </c>
      <c r="C702" s="14" t="str">
        <f t="array" ref="C702">IF(B702="","",SUMIF(Implementos!B:B,XLOOKUP(B702,Productos!A:A,Productos!F:F,"",0,1),Implementos!A:A))</f>
        <v/>
      </c>
      <c r="D702" s="14" t="str">
        <f t="array" ref="D702">IF(OR(H702="",H702="Selecciona.."),"",XLOOKUP(H702,Propiedades!B:B,Propiedades!A:A,"",0,1))</f>
        <v/>
      </c>
      <c r="E702" s="14" t="str">
        <f t="shared" si="2"/>
        <v/>
      </c>
      <c r="F702" s="14" t="str">
        <f t="shared" si="3"/>
        <v/>
      </c>
      <c r="G702" s="15" t="str">
        <f t="shared" si="8"/>
        <v/>
      </c>
      <c r="H702" s="15" t="str">
        <f t="shared" si="9"/>
        <v/>
      </c>
      <c r="I702" s="16" t="str">
        <f t="shared" si="10"/>
        <v/>
      </c>
      <c r="J702" s="17"/>
      <c r="K702" s="14" t="str">
        <f t="array" ref="K702">IF(OR(H702="",H702="Selecciona.."),"",XLOOKUP(H702,Propiedades!B:B,Propiedades!C:C,"",0,1))</f>
        <v/>
      </c>
    </row>
    <row r="703">
      <c r="A703" s="14" t="str">
        <f t="shared" si="1"/>
        <v/>
      </c>
      <c r="B703" s="14" t="str">
        <f t="array" ref="B703">IF(OR(G703="",G703="Selecciona.."),"",XLOOKUP(G703,Productos!E:E,Productos!A:A,"",0,1))</f>
        <v/>
      </c>
      <c r="C703" s="14" t="str">
        <f t="array" ref="C703">IF(B703="","",SUMIF(Implementos!B:B,XLOOKUP(B703,Productos!A:A,Productos!F:F,"",0,1),Implementos!A:A))</f>
        <v/>
      </c>
      <c r="D703" s="14" t="str">
        <f t="array" ref="D703">IF(OR(H703="",H703="Selecciona.."),"",XLOOKUP(H703,Propiedades!B:B,Propiedades!A:A,"",0,1))</f>
        <v/>
      </c>
      <c r="E703" s="14" t="str">
        <f t="shared" si="2"/>
        <v/>
      </c>
      <c r="F703" s="14" t="str">
        <f t="shared" si="3"/>
        <v/>
      </c>
      <c r="G703" s="15" t="str">
        <f t="shared" si="8"/>
        <v/>
      </c>
      <c r="H703" s="15" t="str">
        <f t="shared" si="9"/>
        <v/>
      </c>
      <c r="I703" s="16" t="str">
        <f t="shared" si="10"/>
        <v/>
      </c>
      <c r="J703" s="17"/>
      <c r="K703" s="14" t="str">
        <f t="array" ref="K703">IF(OR(H703="",H703="Selecciona.."),"",XLOOKUP(H703,Propiedades!B:B,Propiedades!C:C,"",0,1))</f>
        <v/>
      </c>
    </row>
    <row r="704">
      <c r="A704" s="14" t="str">
        <f t="shared" si="1"/>
        <v/>
      </c>
      <c r="B704" s="14" t="str">
        <f t="array" ref="B704">IF(OR(G704="",G704="Selecciona.."),"",XLOOKUP(G704,Productos!E:E,Productos!A:A,"",0,1))</f>
        <v/>
      </c>
      <c r="C704" s="14" t="str">
        <f t="array" ref="C704">IF(B704="","",SUMIF(Implementos!B:B,XLOOKUP(B704,Productos!A:A,Productos!F:F,"",0,1),Implementos!A:A))</f>
        <v/>
      </c>
      <c r="D704" s="14" t="str">
        <f t="array" ref="D704">IF(OR(H704="",H704="Selecciona.."),"",XLOOKUP(H704,Propiedades!B:B,Propiedades!A:A,"",0,1))</f>
        <v/>
      </c>
      <c r="E704" s="14" t="str">
        <f t="shared" si="2"/>
        <v/>
      </c>
      <c r="F704" s="14" t="str">
        <f t="shared" si="3"/>
        <v/>
      </c>
      <c r="G704" s="15" t="str">
        <f t="shared" si="8"/>
        <v/>
      </c>
      <c r="H704" s="15" t="str">
        <f t="shared" si="9"/>
        <v/>
      </c>
      <c r="I704" s="16" t="str">
        <f t="shared" si="10"/>
        <v/>
      </c>
      <c r="J704" s="17"/>
      <c r="K704" s="14" t="str">
        <f t="array" ref="K704">IF(OR(H704="",H704="Selecciona.."),"",XLOOKUP(H704,Propiedades!B:B,Propiedades!C:C,"",0,1))</f>
        <v/>
      </c>
    </row>
    <row r="705">
      <c r="A705" s="14" t="str">
        <f t="shared" si="1"/>
        <v/>
      </c>
      <c r="B705" s="14" t="str">
        <f t="array" ref="B705">IF(OR(G705="",G705="Selecciona.."),"",XLOOKUP(G705,Productos!E:E,Productos!A:A,"",0,1))</f>
        <v/>
      </c>
      <c r="C705" s="14" t="str">
        <f t="array" ref="C705">IF(B705="","",SUMIF(Implementos!B:B,XLOOKUP(B705,Productos!A:A,Productos!F:F,"",0,1),Implementos!A:A))</f>
        <v/>
      </c>
      <c r="D705" s="14" t="str">
        <f t="array" ref="D705">IF(OR(H705="",H705="Selecciona.."),"",XLOOKUP(H705,Propiedades!B:B,Propiedades!A:A,"",0,1))</f>
        <v/>
      </c>
      <c r="E705" s="14" t="str">
        <f t="shared" si="2"/>
        <v/>
      </c>
      <c r="F705" s="14" t="str">
        <f t="shared" si="3"/>
        <v/>
      </c>
      <c r="G705" s="15" t="str">
        <f t="shared" si="8"/>
        <v/>
      </c>
      <c r="H705" s="15" t="str">
        <f t="shared" si="9"/>
        <v/>
      </c>
      <c r="I705" s="16" t="str">
        <f t="shared" si="10"/>
        <v/>
      </c>
      <c r="J705" s="17"/>
      <c r="K705" s="14" t="str">
        <f t="array" ref="K705">IF(OR(H705="",H705="Selecciona.."),"",XLOOKUP(H705,Propiedades!B:B,Propiedades!C:C,"",0,1))</f>
        <v/>
      </c>
    </row>
    <row r="706">
      <c r="A706" s="14" t="str">
        <f t="shared" si="1"/>
        <v/>
      </c>
      <c r="B706" s="14" t="str">
        <f t="array" ref="B706">IF(OR(G706="",G706="Selecciona.."),"",XLOOKUP(G706,Productos!E:E,Productos!A:A,"",0,1))</f>
        <v/>
      </c>
      <c r="C706" s="14" t="str">
        <f t="array" ref="C706">IF(B706="","",SUMIF(Implementos!B:B,XLOOKUP(B706,Productos!A:A,Productos!F:F,"",0,1),Implementos!A:A))</f>
        <v/>
      </c>
      <c r="D706" s="14" t="str">
        <f t="array" ref="D706">IF(OR(H706="",H706="Selecciona.."),"",XLOOKUP(H706,Propiedades!B:B,Propiedades!A:A,"",0,1))</f>
        <v/>
      </c>
      <c r="E706" s="14" t="str">
        <f t="shared" si="2"/>
        <v/>
      </c>
      <c r="F706" s="14" t="str">
        <f t="shared" si="3"/>
        <v/>
      </c>
      <c r="G706" s="15" t="str">
        <f t="shared" si="8"/>
        <v/>
      </c>
      <c r="H706" s="15" t="str">
        <f t="shared" si="9"/>
        <v/>
      </c>
      <c r="I706" s="16" t="str">
        <f t="shared" si="10"/>
        <v/>
      </c>
      <c r="J706" s="17"/>
      <c r="K706" s="14" t="str">
        <f t="array" ref="K706">IF(OR(H706="",H706="Selecciona.."),"",XLOOKUP(H706,Propiedades!B:B,Propiedades!C:C,"",0,1))</f>
        <v/>
      </c>
    </row>
    <row r="707">
      <c r="A707" s="14" t="str">
        <f t="shared" si="1"/>
        <v/>
      </c>
      <c r="B707" s="14" t="str">
        <f t="array" ref="B707">IF(OR(G707="",G707="Selecciona.."),"",XLOOKUP(G707,Productos!E:E,Productos!A:A,"",0,1))</f>
        <v/>
      </c>
      <c r="C707" s="14" t="str">
        <f t="array" ref="C707">IF(B707="","",SUMIF(Implementos!B:B,XLOOKUP(B707,Productos!A:A,Productos!F:F,"",0,1),Implementos!A:A))</f>
        <v/>
      </c>
      <c r="D707" s="14" t="str">
        <f t="array" ref="D707">IF(OR(H707="",H707="Selecciona.."),"",XLOOKUP(H707,Propiedades!B:B,Propiedades!A:A,"",0,1))</f>
        <v/>
      </c>
      <c r="E707" s="14" t="str">
        <f t="shared" si="2"/>
        <v/>
      </c>
      <c r="F707" s="14" t="str">
        <f t="shared" si="3"/>
        <v/>
      </c>
      <c r="G707" s="15" t="str">
        <f t="shared" si="8"/>
        <v/>
      </c>
      <c r="H707" s="15" t="str">
        <f t="shared" si="9"/>
        <v/>
      </c>
      <c r="I707" s="16" t="str">
        <f t="shared" si="10"/>
        <v/>
      </c>
      <c r="J707" s="17"/>
      <c r="K707" s="14" t="str">
        <f t="array" ref="K707">IF(OR(H707="",H707="Selecciona.."),"",XLOOKUP(H707,Propiedades!B:B,Propiedades!C:C,"",0,1))</f>
        <v/>
      </c>
    </row>
    <row r="708">
      <c r="A708" s="14" t="str">
        <f t="shared" si="1"/>
        <v/>
      </c>
      <c r="B708" s="14" t="str">
        <f t="array" ref="B708">IF(OR(G708="",G708="Selecciona.."),"",XLOOKUP(G708,Productos!E:E,Productos!A:A,"",0,1))</f>
        <v/>
      </c>
      <c r="C708" s="14" t="str">
        <f t="array" ref="C708">IF(B708="","",SUMIF(Implementos!B:B,XLOOKUP(B708,Productos!A:A,Productos!F:F,"",0,1),Implementos!A:A))</f>
        <v/>
      </c>
      <c r="D708" s="14" t="str">
        <f t="array" ref="D708">IF(OR(H708="",H708="Selecciona.."),"",XLOOKUP(H708,Propiedades!B:B,Propiedades!A:A,"",0,1))</f>
        <v/>
      </c>
      <c r="E708" s="14" t="str">
        <f t="shared" si="2"/>
        <v/>
      </c>
      <c r="F708" s="14" t="str">
        <f t="shared" si="3"/>
        <v/>
      </c>
      <c r="G708" s="15" t="str">
        <f t="shared" si="8"/>
        <v/>
      </c>
      <c r="H708" s="15" t="str">
        <f t="shared" si="9"/>
        <v/>
      </c>
      <c r="I708" s="16" t="str">
        <f t="shared" si="10"/>
        <v/>
      </c>
      <c r="J708" s="17"/>
      <c r="K708" s="14" t="str">
        <f t="array" ref="K708">IF(OR(H708="",H708="Selecciona.."),"",XLOOKUP(H708,Propiedades!B:B,Propiedades!C:C,"",0,1))</f>
        <v/>
      </c>
    </row>
    <row r="709">
      <c r="A709" s="14" t="str">
        <f t="shared" si="1"/>
        <v/>
      </c>
      <c r="B709" s="14" t="str">
        <f t="array" ref="B709">IF(OR(G709="",G709="Selecciona.."),"",XLOOKUP(G709,Productos!E:E,Productos!A:A,"",0,1))</f>
        <v/>
      </c>
      <c r="C709" s="14" t="str">
        <f t="array" ref="C709">IF(B709="","",SUMIF(Implementos!B:B,XLOOKUP(B709,Productos!A:A,Productos!F:F,"",0,1),Implementos!A:A))</f>
        <v/>
      </c>
      <c r="D709" s="14" t="str">
        <f t="array" ref="D709">IF(OR(H709="",H709="Selecciona.."),"",XLOOKUP(H709,Propiedades!B:B,Propiedades!A:A,"",0,1))</f>
        <v/>
      </c>
      <c r="E709" s="14" t="str">
        <f t="shared" si="2"/>
        <v/>
      </c>
      <c r="F709" s="14" t="str">
        <f t="shared" si="3"/>
        <v/>
      </c>
      <c r="G709" s="15" t="str">
        <f t="shared" si="8"/>
        <v/>
      </c>
      <c r="H709" s="15" t="str">
        <f t="shared" si="9"/>
        <v/>
      </c>
      <c r="I709" s="16" t="str">
        <f t="shared" si="10"/>
        <v/>
      </c>
      <c r="J709" s="17"/>
      <c r="K709" s="14" t="str">
        <f t="array" ref="K709">IF(OR(H709="",H709="Selecciona.."),"",XLOOKUP(H709,Propiedades!B:B,Propiedades!C:C,"",0,1))</f>
        <v/>
      </c>
    </row>
    <row r="710">
      <c r="A710" s="14" t="str">
        <f t="shared" si="1"/>
        <v/>
      </c>
      <c r="B710" s="14" t="str">
        <f t="array" ref="B710">IF(OR(G710="",G710="Selecciona.."),"",XLOOKUP(G710,Productos!E:E,Productos!A:A,"",0,1))</f>
        <v/>
      </c>
      <c r="C710" s="14" t="str">
        <f t="array" ref="C710">IF(B710="","",SUMIF(Implementos!B:B,XLOOKUP(B710,Productos!A:A,Productos!F:F,"",0,1),Implementos!A:A))</f>
        <v/>
      </c>
      <c r="D710" s="14" t="str">
        <f t="array" ref="D710">IF(OR(H710="",H710="Selecciona.."),"",XLOOKUP(H710,Propiedades!B:B,Propiedades!A:A,"",0,1))</f>
        <v/>
      </c>
      <c r="E710" s="14" t="str">
        <f t="shared" si="2"/>
        <v/>
      </c>
      <c r="F710" s="14" t="str">
        <f t="shared" si="3"/>
        <v/>
      </c>
      <c r="G710" s="15" t="str">
        <f t="shared" si="8"/>
        <v/>
      </c>
      <c r="H710" s="15" t="str">
        <f t="shared" si="9"/>
        <v/>
      </c>
      <c r="I710" s="16" t="str">
        <f t="shared" si="10"/>
        <v/>
      </c>
      <c r="J710" s="17"/>
      <c r="K710" s="14" t="str">
        <f t="array" ref="K710">IF(OR(H710="",H710="Selecciona.."),"",XLOOKUP(H710,Propiedades!B:B,Propiedades!C:C,"",0,1))</f>
        <v/>
      </c>
    </row>
    <row r="711">
      <c r="A711" s="14" t="str">
        <f t="shared" si="1"/>
        <v/>
      </c>
      <c r="B711" s="14" t="str">
        <f t="array" ref="B711">IF(OR(G711="",G711="Selecciona.."),"",XLOOKUP(G711,Productos!E:E,Productos!A:A,"",0,1))</f>
        <v/>
      </c>
      <c r="C711" s="14" t="str">
        <f t="array" ref="C711">IF(B711="","",SUMIF(Implementos!B:B,XLOOKUP(B711,Productos!A:A,Productos!F:F,"",0,1),Implementos!A:A))</f>
        <v/>
      </c>
      <c r="D711" s="14" t="str">
        <f t="array" ref="D711">IF(OR(H711="",H711="Selecciona.."),"",XLOOKUP(H711,Propiedades!B:B,Propiedades!A:A,"",0,1))</f>
        <v/>
      </c>
      <c r="E711" s="14" t="str">
        <f t="shared" si="2"/>
        <v/>
      </c>
      <c r="F711" s="14" t="str">
        <f t="shared" si="3"/>
        <v/>
      </c>
      <c r="G711" s="15" t="str">
        <f t="shared" si="8"/>
        <v/>
      </c>
      <c r="H711" s="15" t="str">
        <f t="shared" si="9"/>
        <v/>
      </c>
      <c r="I711" s="16" t="str">
        <f t="shared" si="10"/>
        <v/>
      </c>
      <c r="J711" s="17"/>
      <c r="K711" s="14" t="str">
        <f t="array" ref="K711">IF(OR(H711="",H711="Selecciona.."),"",XLOOKUP(H711,Propiedades!B:B,Propiedades!C:C,"",0,1))</f>
        <v/>
      </c>
    </row>
    <row r="712">
      <c r="A712" s="14" t="str">
        <f t="shared" si="1"/>
        <v/>
      </c>
      <c r="B712" s="14" t="str">
        <f t="array" ref="B712">IF(OR(G712="",G712="Selecciona.."),"",XLOOKUP(G712,Productos!E:E,Productos!A:A,"",0,1))</f>
        <v/>
      </c>
      <c r="C712" s="14" t="str">
        <f t="array" ref="C712">IF(B712="","",SUMIF(Implementos!B:B,XLOOKUP(B712,Productos!A:A,Productos!F:F,"",0,1),Implementos!A:A))</f>
        <v/>
      </c>
      <c r="D712" s="14" t="str">
        <f t="array" ref="D712">IF(OR(H712="",H712="Selecciona.."),"",XLOOKUP(H712,Propiedades!B:B,Propiedades!A:A,"",0,1))</f>
        <v/>
      </c>
      <c r="E712" s="14" t="str">
        <f t="shared" si="2"/>
        <v/>
      </c>
      <c r="F712" s="14" t="str">
        <f t="shared" si="3"/>
        <v/>
      </c>
      <c r="G712" s="15" t="str">
        <f t="shared" si="8"/>
        <v/>
      </c>
      <c r="H712" s="15" t="str">
        <f t="shared" si="9"/>
        <v/>
      </c>
      <c r="I712" s="16" t="str">
        <f t="shared" si="10"/>
        <v/>
      </c>
      <c r="J712" s="17"/>
      <c r="K712" s="14" t="str">
        <f t="array" ref="K712">IF(OR(H712="",H712="Selecciona.."),"",XLOOKUP(H712,Propiedades!B:B,Propiedades!C:C,"",0,1))</f>
        <v/>
      </c>
    </row>
    <row r="713">
      <c r="A713" s="14" t="str">
        <f t="shared" si="1"/>
        <v/>
      </c>
      <c r="B713" s="14" t="str">
        <f t="array" ref="B713">IF(OR(G713="",G713="Selecciona.."),"",XLOOKUP(G713,Productos!E:E,Productos!A:A,"",0,1))</f>
        <v/>
      </c>
      <c r="C713" s="14" t="str">
        <f t="array" ref="C713">IF(B713="","",SUMIF(Implementos!B:B,XLOOKUP(B713,Productos!A:A,Productos!F:F,"",0,1),Implementos!A:A))</f>
        <v/>
      </c>
      <c r="D713" s="14" t="str">
        <f t="array" ref="D713">IF(OR(H713="",H713="Selecciona.."),"",XLOOKUP(H713,Propiedades!B:B,Propiedades!A:A,"",0,1))</f>
        <v/>
      </c>
      <c r="E713" s="14" t="str">
        <f t="shared" si="2"/>
        <v/>
      </c>
      <c r="F713" s="14" t="str">
        <f t="shared" si="3"/>
        <v/>
      </c>
      <c r="G713" s="15" t="str">
        <f t="shared" si="8"/>
        <v/>
      </c>
      <c r="H713" s="15" t="str">
        <f t="shared" si="9"/>
        <v/>
      </c>
      <c r="I713" s="16" t="str">
        <f t="shared" si="10"/>
        <v/>
      </c>
      <c r="J713" s="17"/>
      <c r="K713" s="14" t="str">
        <f t="array" ref="K713">IF(OR(H713="",H713="Selecciona.."),"",XLOOKUP(H713,Propiedades!B:B,Propiedades!C:C,"",0,1))</f>
        <v/>
      </c>
    </row>
    <row r="714">
      <c r="A714" s="14" t="str">
        <f t="shared" si="1"/>
        <v/>
      </c>
      <c r="B714" s="14" t="str">
        <f t="array" ref="B714">IF(OR(G714="",G714="Selecciona.."),"",XLOOKUP(G714,Productos!E:E,Productos!A:A,"",0,1))</f>
        <v/>
      </c>
      <c r="C714" s="14" t="str">
        <f t="array" ref="C714">IF(B714="","",SUMIF(Implementos!B:B,XLOOKUP(B714,Productos!A:A,Productos!F:F,"",0,1),Implementos!A:A))</f>
        <v/>
      </c>
      <c r="D714" s="14" t="str">
        <f t="array" ref="D714">IF(OR(H714="",H714="Selecciona.."),"",XLOOKUP(H714,Propiedades!B:B,Propiedades!A:A,"",0,1))</f>
        <v/>
      </c>
      <c r="E714" s="14" t="str">
        <f t="shared" si="2"/>
        <v/>
      </c>
      <c r="F714" s="14" t="str">
        <f t="shared" si="3"/>
        <v/>
      </c>
      <c r="G714" s="15" t="str">
        <f t="shared" si="8"/>
        <v/>
      </c>
      <c r="H714" s="15" t="str">
        <f t="shared" si="9"/>
        <v/>
      </c>
      <c r="I714" s="16" t="str">
        <f t="shared" si="10"/>
        <v/>
      </c>
      <c r="J714" s="17"/>
      <c r="K714" s="14" t="str">
        <f t="array" ref="K714">IF(OR(H714="",H714="Selecciona.."),"",XLOOKUP(H714,Propiedades!B:B,Propiedades!C:C,"",0,1))</f>
        <v/>
      </c>
    </row>
    <row r="715">
      <c r="A715" s="14" t="str">
        <f t="shared" si="1"/>
        <v/>
      </c>
      <c r="B715" s="14" t="str">
        <f t="array" ref="B715">IF(OR(G715="",G715="Selecciona.."),"",XLOOKUP(G715,Productos!E:E,Productos!A:A,"",0,1))</f>
        <v/>
      </c>
      <c r="C715" s="14" t="str">
        <f t="array" ref="C715">IF(B715="","",SUMIF(Implementos!B:B,XLOOKUP(B715,Productos!A:A,Productos!F:F,"",0,1),Implementos!A:A))</f>
        <v/>
      </c>
      <c r="D715" s="14" t="str">
        <f t="array" ref="D715">IF(OR(H715="",H715="Selecciona.."),"",XLOOKUP(H715,Propiedades!B:B,Propiedades!A:A,"",0,1))</f>
        <v/>
      </c>
      <c r="E715" s="14" t="str">
        <f t="shared" si="2"/>
        <v/>
      </c>
      <c r="F715" s="14" t="str">
        <f t="shared" si="3"/>
        <v/>
      </c>
      <c r="G715" s="15" t="str">
        <f t="shared" si="8"/>
        <v/>
      </c>
      <c r="H715" s="15" t="str">
        <f t="shared" si="9"/>
        <v/>
      </c>
      <c r="I715" s="16" t="str">
        <f t="shared" si="10"/>
        <v/>
      </c>
      <c r="J715" s="17"/>
      <c r="K715" s="14" t="str">
        <f t="array" ref="K715">IF(OR(H715="",H715="Selecciona.."),"",XLOOKUP(H715,Propiedades!B:B,Propiedades!C:C,"",0,1))</f>
        <v/>
      </c>
    </row>
    <row r="716">
      <c r="A716" s="14" t="str">
        <f t="shared" si="1"/>
        <v/>
      </c>
      <c r="B716" s="14" t="str">
        <f t="array" ref="B716">IF(OR(G716="",G716="Selecciona.."),"",XLOOKUP(G716,Productos!E:E,Productos!A:A,"",0,1))</f>
        <v/>
      </c>
      <c r="C716" s="14" t="str">
        <f t="array" ref="C716">IF(B716="","",SUMIF(Implementos!B:B,XLOOKUP(B716,Productos!A:A,Productos!F:F,"",0,1),Implementos!A:A))</f>
        <v/>
      </c>
      <c r="D716" s="14" t="str">
        <f t="array" ref="D716">IF(OR(H716="",H716="Selecciona.."),"",XLOOKUP(H716,Propiedades!B:B,Propiedades!A:A,"",0,1))</f>
        <v/>
      </c>
      <c r="E716" s="14" t="str">
        <f t="shared" si="2"/>
        <v/>
      </c>
      <c r="F716" s="14" t="str">
        <f t="shared" si="3"/>
        <v/>
      </c>
      <c r="G716" s="15" t="str">
        <f t="shared" si="8"/>
        <v/>
      </c>
      <c r="H716" s="15" t="str">
        <f t="shared" si="9"/>
        <v/>
      </c>
      <c r="I716" s="16" t="str">
        <f t="shared" si="10"/>
        <v/>
      </c>
      <c r="J716" s="17"/>
      <c r="K716" s="14" t="str">
        <f t="array" ref="K716">IF(OR(H716="",H716="Selecciona.."),"",XLOOKUP(H716,Propiedades!B:B,Propiedades!C:C,"",0,1))</f>
        <v/>
      </c>
    </row>
    <row r="717">
      <c r="A717" s="14" t="str">
        <f t="shared" si="1"/>
        <v/>
      </c>
      <c r="B717" s="14" t="str">
        <f t="array" ref="B717">IF(OR(G717="",G717="Selecciona.."),"",XLOOKUP(G717,Productos!E:E,Productos!A:A,"",0,1))</f>
        <v/>
      </c>
      <c r="C717" s="14" t="str">
        <f t="array" ref="C717">IF(B717="","",SUMIF(Implementos!B:B,XLOOKUP(B717,Productos!A:A,Productos!F:F,"",0,1),Implementos!A:A))</f>
        <v/>
      </c>
      <c r="D717" s="14" t="str">
        <f t="array" ref="D717">IF(OR(H717="",H717="Selecciona.."),"",XLOOKUP(H717,Propiedades!B:B,Propiedades!A:A,"",0,1))</f>
        <v/>
      </c>
      <c r="E717" s="14" t="str">
        <f t="shared" si="2"/>
        <v/>
      </c>
      <c r="F717" s="14" t="str">
        <f t="shared" si="3"/>
        <v/>
      </c>
      <c r="G717" s="15" t="str">
        <f t="shared" si="8"/>
        <v/>
      </c>
      <c r="H717" s="15" t="str">
        <f t="shared" si="9"/>
        <v/>
      </c>
      <c r="I717" s="16" t="str">
        <f t="shared" si="10"/>
        <v/>
      </c>
      <c r="J717" s="17"/>
      <c r="K717" s="14" t="str">
        <f t="array" ref="K717">IF(OR(H717="",H717="Selecciona.."),"",XLOOKUP(H717,Propiedades!B:B,Propiedades!C:C,"",0,1))</f>
        <v/>
      </c>
    </row>
    <row r="718">
      <c r="A718" s="14" t="str">
        <f t="shared" si="1"/>
        <v/>
      </c>
      <c r="B718" s="14" t="str">
        <f t="array" ref="B718">IF(OR(G718="",G718="Selecciona.."),"",XLOOKUP(G718,Productos!E:E,Productos!A:A,"",0,1))</f>
        <v/>
      </c>
      <c r="C718" s="14" t="str">
        <f t="array" ref="C718">IF(B718="","",SUMIF(Implementos!B:B,XLOOKUP(B718,Productos!A:A,Productos!F:F,"",0,1),Implementos!A:A))</f>
        <v/>
      </c>
      <c r="D718" s="14" t="str">
        <f t="array" ref="D718">IF(OR(H718="",H718="Selecciona.."),"",XLOOKUP(H718,Propiedades!B:B,Propiedades!A:A,"",0,1))</f>
        <v/>
      </c>
      <c r="E718" s="14" t="str">
        <f t="shared" si="2"/>
        <v/>
      </c>
      <c r="F718" s="14" t="str">
        <f t="shared" si="3"/>
        <v/>
      </c>
      <c r="G718" s="15" t="str">
        <f t="shared" si="8"/>
        <v/>
      </c>
      <c r="H718" s="15" t="str">
        <f t="shared" si="9"/>
        <v/>
      </c>
      <c r="I718" s="16" t="str">
        <f t="shared" si="10"/>
        <v/>
      </c>
      <c r="J718" s="17"/>
      <c r="K718" s="14" t="str">
        <f t="array" ref="K718">IF(OR(H718="",H718="Selecciona.."),"",XLOOKUP(H718,Propiedades!B:B,Propiedades!C:C,"",0,1))</f>
        <v/>
      </c>
    </row>
    <row r="719">
      <c r="A719" s="14" t="str">
        <f t="shared" si="1"/>
        <v/>
      </c>
      <c r="B719" s="14" t="str">
        <f t="array" ref="B719">IF(OR(G719="",G719="Selecciona.."),"",XLOOKUP(G719,Productos!E:E,Productos!A:A,"",0,1))</f>
        <v/>
      </c>
      <c r="C719" s="14" t="str">
        <f t="array" ref="C719">IF(B719="","",SUMIF(Implementos!B:B,XLOOKUP(B719,Productos!A:A,Productos!F:F,"",0,1),Implementos!A:A))</f>
        <v/>
      </c>
      <c r="D719" s="14" t="str">
        <f t="array" ref="D719">IF(OR(H719="",H719="Selecciona.."),"",XLOOKUP(H719,Propiedades!B:B,Propiedades!A:A,"",0,1))</f>
        <v/>
      </c>
      <c r="E719" s="14" t="str">
        <f t="shared" si="2"/>
        <v/>
      </c>
      <c r="F719" s="14" t="str">
        <f t="shared" si="3"/>
        <v/>
      </c>
      <c r="G719" s="15" t="str">
        <f t="shared" si="8"/>
        <v/>
      </c>
      <c r="H719" s="15" t="str">
        <f t="shared" si="9"/>
        <v/>
      </c>
      <c r="I719" s="16" t="str">
        <f t="shared" si="10"/>
        <v/>
      </c>
      <c r="J719" s="17"/>
      <c r="K719" s="14" t="str">
        <f t="array" ref="K719">IF(OR(H719="",H719="Selecciona.."),"",XLOOKUP(H719,Propiedades!B:B,Propiedades!C:C,"",0,1))</f>
        <v/>
      </c>
    </row>
    <row r="720">
      <c r="A720" s="14" t="str">
        <f t="shared" si="1"/>
        <v/>
      </c>
      <c r="B720" s="14" t="str">
        <f t="array" ref="B720">IF(OR(G720="",G720="Selecciona.."),"",XLOOKUP(G720,Productos!E:E,Productos!A:A,"",0,1))</f>
        <v/>
      </c>
      <c r="C720" s="14" t="str">
        <f t="array" ref="C720">IF(B720="","",SUMIF(Implementos!B:B,XLOOKUP(B720,Productos!A:A,Productos!F:F,"",0,1),Implementos!A:A))</f>
        <v/>
      </c>
      <c r="D720" s="14" t="str">
        <f t="array" ref="D720">IF(OR(H720="",H720="Selecciona.."),"",XLOOKUP(H720,Propiedades!B:B,Propiedades!A:A,"",0,1))</f>
        <v/>
      </c>
      <c r="E720" s="14" t="str">
        <f t="shared" si="2"/>
        <v/>
      </c>
      <c r="F720" s="14" t="str">
        <f t="shared" si="3"/>
        <v/>
      </c>
      <c r="G720" s="15" t="str">
        <f t="shared" si="8"/>
        <v/>
      </c>
      <c r="H720" s="15" t="str">
        <f t="shared" si="9"/>
        <v/>
      </c>
      <c r="I720" s="16" t="str">
        <f t="shared" si="10"/>
        <v/>
      </c>
      <c r="J720" s="17"/>
      <c r="K720" s="14" t="str">
        <f t="array" ref="K720">IF(OR(H720="",H720="Selecciona.."),"",XLOOKUP(H720,Propiedades!B:B,Propiedades!C:C,"",0,1))</f>
        <v/>
      </c>
    </row>
    <row r="721">
      <c r="A721" s="14" t="str">
        <f t="shared" si="1"/>
        <v/>
      </c>
      <c r="B721" s="14" t="str">
        <f t="array" ref="B721">IF(OR(G721="",G721="Selecciona.."),"",XLOOKUP(G721,Productos!E:E,Productos!A:A,"",0,1))</f>
        <v/>
      </c>
      <c r="C721" s="14" t="str">
        <f t="array" ref="C721">IF(B721="","",SUMIF(Implementos!B:B,XLOOKUP(B721,Productos!A:A,Productos!F:F,"",0,1),Implementos!A:A))</f>
        <v/>
      </c>
      <c r="D721" s="14" t="str">
        <f t="array" ref="D721">IF(OR(H721="",H721="Selecciona.."),"",XLOOKUP(H721,Propiedades!B:B,Propiedades!A:A,"",0,1))</f>
        <v/>
      </c>
      <c r="E721" s="14" t="str">
        <f t="shared" si="2"/>
        <v/>
      </c>
      <c r="F721" s="14" t="str">
        <f t="shared" si="3"/>
        <v/>
      </c>
      <c r="G721" s="15" t="str">
        <f t="shared" si="8"/>
        <v/>
      </c>
      <c r="H721" s="15" t="str">
        <f t="shared" si="9"/>
        <v/>
      </c>
      <c r="I721" s="16" t="str">
        <f t="shared" si="10"/>
        <v/>
      </c>
      <c r="J721" s="17"/>
      <c r="K721" s="14" t="str">
        <f t="array" ref="K721">IF(OR(H721="",H721="Selecciona.."),"",XLOOKUP(H721,Propiedades!B:B,Propiedades!C:C,"",0,1))</f>
        <v/>
      </c>
    </row>
    <row r="722">
      <c r="A722" s="14" t="str">
        <f t="shared" si="1"/>
        <v/>
      </c>
      <c r="B722" s="14" t="str">
        <f t="array" ref="B722">IF(OR(G722="",G722="Selecciona.."),"",XLOOKUP(G722,Productos!E:E,Productos!A:A,"",0,1))</f>
        <v/>
      </c>
      <c r="C722" s="14" t="str">
        <f t="array" ref="C722">IF(B722="","",SUMIF(Implementos!B:B,XLOOKUP(B722,Productos!A:A,Productos!F:F,"",0,1),Implementos!A:A))</f>
        <v/>
      </c>
      <c r="D722" s="14" t="str">
        <f t="array" ref="D722">IF(OR(H722="",H722="Selecciona.."),"",XLOOKUP(H722,Propiedades!B:B,Propiedades!A:A,"",0,1))</f>
        <v/>
      </c>
      <c r="E722" s="14" t="str">
        <f t="shared" si="2"/>
        <v/>
      </c>
      <c r="F722" s="14" t="str">
        <f t="shared" si="3"/>
        <v/>
      </c>
      <c r="G722" s="15" t="str">
        <f t="shared" si="8"/>
        <v/>
      </c>
      <c r="H722" s="15" t="str">
        <f t="shared" si="9"/>
        <v/>
      </c>
      <c r="I722" s="16" t="str">
        <f t="shared" si="10"/>
        <v/>
      </c>
      <c r="J722" s="17"/>
      <c r="K722" s="14" t="str">
        <f t="array" ref="K722">IF(OR(H722="",H722="Selecciona.."),"",XLOOKUP(H722,Propiedades!B:B,Propiedades!C:C,"",0,1))</f>
        <v/>
      </c>
    </row>
    <row r="723">
      <c r="A723" s="14" t="str">
        <f t="shared" si="1"/>
        <v/>
      </c>
      <c r="B723" s="14" t="str">
        <f t="array" ref="B723">IF(OR(G723="",G723="Selecciona.."),"",XLOOKUP(G723,Productos!E:E,Productos!A:A,"",0,1))</f>
        <v/>
      </c>
      <c r="C723" s="14" t="str">
        <f t="array" ref="C723">IF(B723="","",SUMIF(Implementos!B:B,XLOOKUP(B723,Productos!A:A,Productos!F:F,"",0,1),Implementos!A:A))</f>
        <v/>
      </c>
      <c r="D723" s="14" t="str">
        <f t="array" ref="D723">IF(OR(H723="",H723="Selecciona.."),"",XLOOKUP(H723,Propiedades!B:B,Propiedades!A:A,"",0,1))</f>
        <v/>
      </c>
      <c r="E723" s="14" t="str">
        <f t="shared" si="2"/>
        <v/>
      </c>
      <c r="F723" s="14" t="str">
        <f t="shared" si="3"/>
        <v/>
      </c>
      <c r="G723" s="15" t="str">
        <f t="shared" si="8"/>
        <v/>
      </c>
      <c r="H723" s="15" t="str">
        <f t="shared" si="9"/>
        <v/>
      </c>
      <c r="I723" s="16" t="str">
        <f t="shared" si="10"/>
        <v/>
      </c>
      <c r="J723" s="17"/>
      <c r="K723" s="14" t="str">
        <f t="array" ref="K723">IF(OR(H723="",H723="Selecciona.."),"",XLOOKUP(H723,Propiedades!B:B,Propiedades!C:C,"",0,1))</f>
        <v/>
      </c>
    </row>
    <row r="724">
      <c r="A724" s="14" t="str">
        <f t="shared" si="1"/>
        <v/>
      </c>
      <c r="B724" s="14" t="str">
        <f t="array" ref="B724">IF(OR(G724="",G724="Selecciona.."),"",XLOOKUP(G724,Productos!E:E,Productos!A:A,"",0,1))</f>
        <v/>
      </c>
      <c r="C724" s="14" t="str">
        <f t="array" ref="C724">IF(B724="","",SUMIF(Implementos!B:B,XLOOKUP(B724,Productos!A:A,Productos!F:F,"",0,1),Implementos!A:A))</f>
        <v/>
      </c>
      <c r="D724" s="14" t="str">
        <f t="array" ref="D724">IF(OR(H724="",H724="Selecciona.."),"",XLOOKUP(H724,Propiedades!B:B,Propiedades!A:A,"",0,1))</f>
        <v/>
      </c>
      <c r="E724" s="14" t="str">
        <f t="shared" si="2"/>
        <v/>
      </c>
      <c r="F724" s="14" t="str">
        <f t="shared" si="3"/>
        <v/>
      </c>
      <c r="G724" s="15" t="str">
        <f t="shared" si="8"/>
        <v/>
      </c>
      <c r="H724" s="15" t="str">
        <f t="shared" si="9"/>
        <v/>
      </c>
      <c r="I724" s="16" t="str">
        <f t="shared" si="10"/>
        <v/>
      </c>
      <c r="J724" s="17"/>
      <c r="K724" s="14" t="str">
        <f t="array" ref="K724">IF(OR(H724="",H724="Selecciona.."),"",XLOOKUP(H724,Propiedades!B:B,Propiedades!C:C,"",0,1))</f>
        <v/>
      </c>
    </row>
    <row r="725">
      <c r="A725" s="14" t="str">
        <f t="shared" si="1"/>
        <v/>
      </c>
      <c r="B725" s="14" t="str">
        <f t="array" ref="B725">IF(OR(G725="",G725="Selecciona.."),"",XLOOKUP(G725,Productos!E:E,Productos!A:A,"",0,1))</f>
        <v/>
      </c>
      <c r="C725" s="14" t="str">
        <f t="array" ref="C725">IF(B725="","",SUMIF(Implementos!B:B,XLOOKUP(B725,Productos!A:A,Productos!F:F,"",0,1),Implementos!A:A))</f>
        <v/>
      </c>
      <c r="D725" s="14" t="str">
        <f t="array" ref="D725">IF(OR(H725="",H725="Selecciona.."),"",XLOOKUP(H725,Propiedades!B:B,Propiedades!A:A,"",0,1))</f>
        <v/>
      </c>
      <c r="E725" s="14" t="str">
        <f t="shared" si="2"/>
        <v/>
      </c>
      <c r="F725" s="14" t="str">
        <f t="shared" si="3"/>
        <v/>
      </c>
      <c r="G725" s="15" t="str">
        <f t="shared" si="8"/>
        <v/>
      </c>
      <c r="H725" s="15" t="str">
        <f t="shared" si="9"/>
        <v/>
      </c>
      <c r="I725" s="16" t="str">
        <f t="shared" si="10"/>
        <v/>
      </c>
      <c r="J725" s="17"/>
      <c r="K725" s="14" t="str">
        <f t="array" ref="K725">IF(OR(H725="",H725="Selecciona.."),"",XLOOKUP(H725,Propiedades!B:B,Propiedades!C:C,"",0,1))</f>
        <v/>
      </c>
    </row>
    <row r="726">
      <c r="A726" s="14" t="str">
        <f t="shared" si="1"/>
        <v/>
      </c>
      <c r="B726" s="14" t="str">
        <f t="array" ref="B726">IF(OR(G726="",G726="Selecciona.."),"",XLOOKUP(G726,Productos!E:E,Productos!A:A,"",0,1))</f>
        <v/>
      </c>
      <c r="C726" s="14" t="str">
        <f t="array" ref="C726">IF(B726="","",SUMIF(Implementos!B:B,XLOOKUP(B726,Productos!A:A,Productos!F:F,"",0,1),Implementos!A:A))</f>
        <v/>
      </c>
      <c r="D726" s="14" t="str">
        <f t="array" ref="D726">IF(OR(H726="",H726="Selecciona.."),"",XLOOKUP(H726,Propiedades!B:B,Propiedades!A:A,"",0,1))</f>
        <v/>
      </c>
      <c r="E726" s="14" t="str">
        <f t="shared" si="2"/>
        <v/>
      </c>
      <c r="F726" s="14" t="str">
        <f t="shared" si="3"/>
        <v/>
      </c>
      <c r="G726" s="15" t="str">
        <f t="shared" si="8"/>
        <v/>
      </c>
      <c r="H726" s="15" t="str">
        <f t="shared" si="9"/>
        <v/>
      </c>
      <c r="I726" s="16" t="str">
        <f t="shared" si="10"/>
        <v/>
      </c>
      <c r="J726" s="17"/>
      <c r="K726" s="14" t="str">
        <f t="array" ref="K726">IF(OR(H726="",H726="Selecciona.."),"",XLOOKUP(H726,Propiedades!B:B,Propiedades!C:C,"",0,1))</f>
        <v/>
      </c>
    </row>
    <row r="727">
      <c r="A727" s="14" t="str">
        <f t="shared" si="1"/>
        <v/>
      </c>
      <c r="B727" s="14" t="str">
        <f t="array" ref="B727">IF(OR(G727="",G727="Selecciona.."),"",XLOOKUP(G727,Productos!E:E,Productos!A:A,"",0,1))</f>
        <v/>
      </c>
      <c r="C727" s="14" t="str">
        <f t="array" ref="C727">IF(B727="","",SUMIF(Implementos!B:B,XLOOKUP(B727,Productos!A:A,Productos!F:F,"",0,1),Implementos!A:A))</f>
        <v/>
      </c>
      <c r="D727" s="14" t="str">
        <f t="array" ref="D727">IF(OR(H727="",H727="Selecciona.."),"",XLOOKUP(H727,Propiedades!B:B,Propiedades!A:A,"",0,1))</f>
        <v/>
      </c>
      <c r="E727" s="14" t="str">
        <f t="shared" si="2"/>
        <v/>
      </c>
      <c r="F727" s="14" t="str">
        <f t="shared" si="3"/>
        <v/>
      </c>
      <c r="G727" s="15" t="str">
        <f t="shared" si="8"/>
        <v/>
      </c>
      <c r="H727" s="15" t="str">
        <f t="shared" si="9"/>
        <v/>
      </c>
      <c r="I727" s="16" t="str">
        <f t="shared" si="10"/>
        <v/>
      </c>
      <c r="J727" s="17"/>
      <c r="K727" s="14" t="str">
        <f t="array" ref="K727">IF(OR(H727="",H727="Selecciona.."),"",XLOOKUP(H727,Propiedades!B:B,Propiedades!C:C,"",0,1))</f>
        <v/>
      </c>
    </row>
    <row r="728">
      <c r="A728" s="14" t="str">
        <f t="shared" si="1"/>
        <v/>
      </c>
      <c r="B728" s="14" t="str">
        <f t="array" ref="B728">IF(OR(G728="",G728="Selecciona.."),"",XLOOKUP(G728,Productos!E:E,Productos!A:A,"",0,1))</f>
        <v/>
      </c>
      <c r="C728" s="14" t="str">
        <f t="array" ref="C728">IF(B728="","",SUMIF(Implementos!B:B,XLOOKUP(B728,Productos!A:A,Productos!F:F,"",0,1),Implementos!A:A))</f>
        <v/>
      </c>
      <c r="D728" s="14" t="str">
        <f t="array" ref="D728">IF(OR(H728="",H728="Selecciona.."),"",XLOOKUP(H728,Propiedades!B:B,Propiedades!A:A,"",0,1))</f>
        <v/>
      </c>
      <c r="E728" s="14" t="str">
        <f t="shared" si="2"/>
        <v/>
      </c>
      <c r="F728" s="14" t="str">
        <f t="shared" si="3"/>
        <v/>
      </c>
      <c r="G728" s="15" t="str">
        <f t="shared" si="8"/>
        <v/>
      </c>
      <c r="H728" s="15" t="str">
        <f t="shared" si="9"/>
        <v/>
      </c>
      <c r="I728" s="16" t="str">
        <f t="shared" si="10"/>
        <v/>
      </c>
      <c r="J728" s="17"/>
      <c r="K728" s="14" t="str">
        <f t="array" ref="K728">IF(OR(H728="",H728="Selecciona.."),"",XLOOKUP(H728,Propiedades!B:B,Propiedades!C:C,"",0,1))</f>
        <v/>
      </c>
    </row>
    <row r="729">
      <c r="A729" s="14" t="str">
        <f t="shared" si="1"/>
        <v/>
      </c>
      <c r="B729" s="14" t="str">
        <f t="array" ref="B729">IF(OR(G729="",G729="Selecciona.."),"",XLOOKUP(G729,Productos!E:E,Productos!A:A,"",0,1))</f>
        <v/>
      </c>
      <c r="C729" s="14" t="str">
        <f t="array" ref="C729">IF(B729="","",SUMIF(Implementos!B:B,XLOOKUP(B729,Productos!A:A,Productos!F:F,"",0,1),Implementos!A:A))</f>
        <v/>
      </c>
      <c r="D729" s="14" t="str">
        <f t="array" ref="D729">IF(OR(H729="",H729="Selecciona.."),"",XLOOKUP(H729,Propiedades!B:B,Propiedades!A:A,"",0,1))</f>
        <v/>
      </c>
      <c r="E729" s="14" t="str">
        <f t="shared" si="2"/>
        <v/>
      </c>
      <c r="F729" s="14" t="str">
        <f t="shared" si="3"/>
        <v/>
      </c>
      <c r="G729" s="15" t="str">
        <f t="shared" si="8"/>
        <v/>
      </c>
      <c r="H729" s="15" t="str">
        <f t="shared" si="9"/>
        <v/>
      </c>
      <c r="I729" s="16" t="str">
        <f t="shared" si="10"/>
        <v/>
      </c>
      <c r="J729" s="17"/>
      <c r="K729" s="14" t="str">
        <f t="array" ref="K729">IF(OR(H729="",H729="Selecciona.."),"",XLOOKUP(H729,Propiedades!B:B,Propiedades!C:C,"",0,1))</f>
        <v/>
      </c>
    </row>
    <row r="730">
      <c r="A730" s="14" t="str">
        <f t="shared" si="1"/>
        <v/>
      </c>
      <c r="B730" s="14" t="str">
        <f t="array" ref="B730">IF(OR(G730="",G730="Selecciona.."),"",XLOOKUP(G730,Productos!E:E,Productos!A:A,"",0,1))</f>
        <v/>
      </c>
      <c r="C730" s="14" t="str">
        <f t="array" ref="C730">IF(B730="","",SUMIF(Implementos!B:B,XLOOKUP(B730,Productos!A:A,Productos!F:F,"",0,1),Implementos!A:A))</f>
        <v/>
      </c>
      <c r="D730" s="14" t="str">
        <f t="array" ref="D730">IF(OR(H730="",H730="Selecciona.."),"",XLOOKUP(H730,Propiedades!B:B,Propiedades!A:A,"",0,1))</f>
        <v/>
      </c>
      <c r="E730" s="14" t="str">
        <f t="shared" si="2"/>
        <v/>
      </c>
      <c r="F730" s="14" t="str">
        <f t="shared" si="3"/>
        <v/>
      </c>
      <c r="G730" s="15" t="str">
        <f t="shared" si="8"/>
        <v/>
      </c>
      <c r="H730" s="15" t="str">
        <f t="shared" si="9"/>
        <v/>
      </c>
      <c r="I730" s="16" t="str">
        <f t="shared" si="10"/>
        <v/>
      </c>
      <c r="J730" s="17"/>
      <c r="K730" s="14" t="str">
        <f t="array" ref="K730">IF(OR(H730="",H730="Selecciona.."),"",XLOOKUP(H730,Propiedades!B:B,Propiedades!C:C,"",0,1))</f>
        <v/>
      </c>
    </row>
    <row r="731">
      <c r="A731" s="14" t="str">
        <f t="shared" si="1"/>
        <v/>
      </c>
      <c r="B731" s="14" t="str">
        <f t="array" ref="B731">IF(OR(G731="",G731="Selecciona.."),"",XLOOKUP(G731,Productos!E:E,Productos!A:A,"",0,1))</f>
        <v/>
      </c>
      <c r="C731" s="14" t="str">
        <f t="array" ref="C731">IF(B731="","",SUMIF(Implementos!B:B,XLOOKUP(B731,Productos!A:A,Productos!F:F,"",0,1),Implementos!A:A))</f>
        <v/>
      </c>
      <c r="D731" s="14" t="str">
        <f t="array" ref="D731">IF(OR(H731="",H731="Selecciona.."),"",XLOOKUP(H731,Propiedades!B:B,Propiedades!A:A,"",0,1))</f>
        <v/>
      </c>
      <c r="E731" s="14" t="str">
        <f t="shared" si="2"/>
        <v/>
      </c>
      <c r="F731" s="14" t="str">
        <f t="shared" si="3"/>
        <v/>
      </c>
      <c r="G731" s="15" t="str">
        <f t="shared" si="8"/>
        <v/>
      </c>
      <c r="H731" s="15" t="str">
        <f t="shared" si="9"/>
        <v/>
      </c>
      <c r="I731" s="16" t="str">
        <f t="shared" si="10"/>
        <v/>
      </c>
      <c r="J731" s="17"/>
      <c r="K731" s="14" t="str">
        <f t="array" ref="K731">IF(OR(H731="",H731="Selecciona.."),"",XLOOKUP(H731,Propiedades!B:B,Propiedades!C:C,"",0,1))</f>
        <v/>
      </c>
    </row>
    <row r="732">
      <c r="A732" s="14" t="str">
        <f t="shared" si="1"/>
        <v/>
      </c>
      <c r="B732" s="14" t="str">
        <f t="array" ref="B732">IF(OR(G732="",G732="Selecciona.."),"",XLOOKUP(G732,Productos!E:E,Productos!A:A,"",0,1))</f>
        <v/>
      </c>
      <c r="C732" s="14" t="str">
        <f t="array" ref="C732">IF(B732="","",SUMIF(Implementos!B:B,XLOOKUP(B732,Productos!A:A,Productos!F:F,"",0,1),Implementos!A:A))</f>
        <v/>
      </c>
      <c r="D732" s="14" t="str">
        <f t="array" ref="D732">IF(OR(H732="",H732="Selecciona.."),"",XLOOKUP(H732,Propiedades!B:B,Propiedades!A:A,"",0,1))</f>
        <v/>
      </c>
      <c r="E732" s="14" t="str">
        <f t="shared" si="2"/>
        <v/>
      </c>
      <c r="F732" s="14" t="str">
        <f t="shared" si="3"/>
        <v/>
      </c>
      <c r="G732" s="15" t="str">
        <f t="shared" si="8"/>
        <v/>
      </c>
      <c r="H732" s="15" t="str">
        <f t="shared" si="9"/>
        <v/>
      </c>
      <c r="I732" s="16" t="str">
        <f t="shared" si="10"/>
        <v/>
      </c>
      <c r="J732" s="17"/>
      <c r="K732" s="14" t="str">
        <f t="array" ref="K732">IF(OR(H732="",H732="Selecciona.."),"",XLOOKUP(H732,Propiedades!B:B,Propiedades!C:C,"",0,1))</f>
        <v/>
      </c>
    </row>
    <row r="733">
      <c r="A733" s="14" t="str">
        <f t="shared" si="1"/>
        <v/>
      </c>
      <c r="B733" s="14" t="str">
        <f t="array" ref="B733">IF(OR(G733="",G733="Selecciona.."),"",XLOOKUP(G733,Productos!E:E,Productos!A:A,"",0,1))</f>
        <v/>
      </c>
      <c r="C733" s="14" t="str">
        <f t="array" ref="C733">IF(B733="","",SUMIF(Implementos!B:B,XLOOKUP(B733,Productos!A:A,Productos!F:F,"",0,1),Implementos!A:A))</f>
        <v/>
      </c>
      <c r="D733" s="14" t="str">
        <f t="array" ref="D733">IF(OR(H733="",H733="Selecciona.."),"",XLOOKUP(H733,Propiedades!B:B,Propiedades!A:A,"",0,1))</f>
        <v/>
      </c>
      <c r="E733" s="14" t="str">
        <f t="shared" si="2"/>
        <v/>
      </c>
      <c r="F733" s="14" t="str">
        <f t="shared" si="3"/>
        <v/>
      </c>
      <c r="G733" s="15" t="str">
        <f t="shared" si="8"/>
        <v/>
      </c>
      <c r="H733" s="15" t="str">
        <f t="shared" si="9"/>
        <v/>
      </c>
      <c r="I733" s="16" t="str">
        <f t="shared" si="10"/>
        <v/>
      </c>
      <c r="J733" s="17"/>
      <c r="K733" s="14" t="str">
        <f t="array" ref="K733">IF(OR(H733="",H733="Selecciona.."),"",XLOOKUP(H733,Propiedades!B:B,Propiedades!C:C,"",0,1))</f>
        <v/>
      </c>
    </row>
    <row r="734">
      <c r="A734" s="14" t="str">
        <f t="shared" si="1"/>
        <v/>
      </c>
      <c r="B734" s="14" t="str">
        <f t="array" ref="B734">IF(OR(G734="",G734="Selecciona.."),"",XLOOKUP(G734,Productos!E:E,Productos!A:A,"",0,1))</f>
        <v/>
      </c>
      <c r="C734" s="14" t="str">
        <f t="array" ref="C734">IF(B734="","",SUMIF(Implementos!B:B,XLOOKUP(B734,Productos!A:A,Productos!F:F,"",0,1),Implementos!A:A))</f>
        <v/>
      </c>
      <c r="D734" s="14" t="str">
        <f t="array" ref="D734">IF(OR(H734="",H734="Selecciona.."),"",XLOOKUP(H734,Propiedades!B:B,Propiedades!A:A,"",0,1))</f>
        <v/>
      </c>
      <c r="E734" s="14" t="str">
        <f t="shared" si="2"/>
        <v/>
      </c>
      <c r="F734" s="14" t="str">
        <f t="shared" si="3"/>
        <v/>
      </c>
      <c r="G734" s="15" t="str">
        <f t="shared" si="8"/>
        <v/>
      </c>
      <c r="H734" s="15" t="str">
        <f t="shared" si="9"/>
        <v/>
      </c>
      <c r="I734" s="16" t="str">
        <f t="shared" si="10"/>
        <v/>
      </c>
      <c r="J734" s="17"/>
      <c r="K734" s="14" t="str">
        <f t="array" ref="K734">IF(OR(H734="",H734="Selecciona.."),"",XLOOKUP(H734,Propiedades!B:B,Propiedades!C:C,"",0,1))</f>
        <v/>
      </c>
    </row>
    <row r="735">
      <c r="A735" s="14" t="str">
        <f t="shared" si="1"/>
        <v/>
      </c>
      <c r="B735" s="14" t="str">
        <f t="array" ref="B735">IF(OR(G735="",G735="Selecciona.."),"",XLOOKUP(G735,Productos!E:E,Productos!A:A,"",0,1))</f>
        <v/>
      </c>
      <c r="C735" s="14" t="str">
        <f t="array" ref="C735">IF(B735="","",SUMIF(Implementos!B:B,XLOOKUP(B735,Productos!A:A,Productos!F:F,"",0,1),Implementos!A:A))</f>
        <v/>
      </c>
      <c r="D735" s="14" t="str">
        <f t="array" ref="D735">IF(OR(H735="",H735="Selecciona.."),"",XLOOKUP(H735,Propiedades!B:B,Propiedades!A:A,"",0,1))</f>
        <v/>
      </c>
      <c r="E735" s="14" t="str">
        <f t="shared" si="2"/>
        <v/>
      </c>
      <c r="F735" s="14" t="str">
        <f t="shared" si="3"/>
        <v/>
      </c>
      <c r="G735" s="15" t="str">
        <f t="shared" si="8"/>
        <v/>
      </c>
      <c r="H735" s="15" t="str">
        <f t="shared" si="9"/>
        <v/>
      </c>
      <c r="I735" s="16" t="str">
        <f t="shared" si="10"/>
        <v/>
      </c>
      <c r="J735" s="17"/>
      <c r="K735" s="14" t="str">
        <f t="array" ref="K735">IF(OR(H735="",H735="Selecciona.."),"",XLOOKUP(H735,Propiedades!B:B,Propiedades!C:C,"",0,1))</f>
        <v/>
      </c>
    </row>
    <row r="736">
      <c r="A736" s="14" t="str">
        <f t="shared" si="1"/>
        <v/>
      </c>
      <c r="B736" s="14" t="str">
        <f t="array" ref="B736">IF(OR(G736="",G736="Selecciona.."),"",XLOOKUP(G736,Productos!E:E,Productos!A:A,"",0,1))</f>
        <v/>
      </c>
      <c r="C736" s="14" t="str">
        <f t="array" ref="C736">IF(B736="","",SUMIF(Implementos!B:B,XLOOKUP(B736,Productos!A:A,Productos!F:F,"",0,1),Implementos!A:A))</f>
        <v/>
      </c>
      <c r="D736" s="14" t="str">
        <f t="array" ref="D736">IF(OR(H736="",H736="Selecciona.."),"",XLOOKUP(H736,Propiedades!B:B,Propiedades!A:A,"",0,1))</f>
        <v/>
      </c>
      <c r="E736" s="14" t="str">
        <f t="shared" si="2"/>
        <v/>
      </c>
      <c r="F736" s="14" t="str">
        <f t="shared" si="3"/>
        <v/>
      </c>
      <c r="G736" s="15" t="str">
        <f t="shared" si="8"/>
        <v/>
      </c>
      <c r="H736" s="15" t="str">
        <f t="shared" si="9"/>
        <v/>
      </c>
      <c r="I736" s="16" t="str">
        <f t="shared" si="10"/>
        <v/>
      </c>
      <c r="J736" s="17"/>
      <c r="K736" s="14" t="str">
        <f t="array" ref="K736">IF(OR(H736="",H736="Selecciona.."),"",XLOOKUP(H736,Propiedades!B:B,Propiedades!C:C,"",0,1))</f>
        <v/>
      </c>
    </row>
    <row r="737">
      <c r="A737" s="14" t="str">
        <f t="shared" si="1"/>
        <v/>
      </c>
      <c r="B737" s="14" t="str">
        <f t="array" ref="B737">IF(OR(G737="",G737="Selecciona.."),"",XLOOKUP(G737,Productos!E:E,Productos!A:A,"",0,1))</f>
        <v/>
      </c>
      <c r="C737" s="14" t="str">
        <f t="array" ref="C737">IF(B737="","",SUMIF(Implementos!B:B,XLOOKUP(B737,Productos!A:A,Productos!F:F,"",0,1),Implementos!A:A))</f>
        <v/>
      </c>
      <c r="D737" s="14" t="str">
        <f t="array" ref="D737">IF(OR(H737="",H737="Selecciona.."),"",XLOOKUP(H737,Propiedades!B:B,Propiedades!A:A,"",0,1))</f>
        <v/>
      </c>
      <c r="E737" s="14" t="str">
        <f t="shared" si="2"/>
        <v/>
      </c>
      <c r="F737" s="14" t="str">
        <f t="shared" si="3"/>
        <v/>
      </c>
      <c r="G737" s="15" t="str">
        <f t="shared" si="8"/>
        <v/>
      </c>
      <c r="H737" s="15" t="str">
        <f t="shared" si="9"/>
        <v/>
      </c>
      <c r="I737" s="16" t="str">
        <f t="shared" si="10"/>
        <v/>
      </c>
      <c r="J737" s="17"/>
      <c r="K737" s="14" t="str">
        <f t="array" ref="K737">IF(OR(H737="",H737="Selecciona.."),"",XLOOKUP(H737,Propiedades!B:B,Propiedades!C:C,"",0,1))</f>
        <v/>
      </c>
    </row>
    <row r="738">
      <c r="A738" s="14" t="str">
        <f t="shared" si="1"/>
        <v/>
      </c>
      <c r="B738" s="14" t="str">
        <f t="array" ref="B738">IF(OR(G738="",G738="Selecciona.."),"",XLOOKUP(G738,Productos!E:E,Productos!A:A,"",0,1))</f>
        <v/>
      </c>
      <c r="C738" s="14" t="str">
        <f t="array" ref="C738">IF(B738="","",SUMIF(Implementos!B:B,XLOOKUP(B738,Productos!A:A,Productos!F:F,"",0,1),Implementos!A:A))</f>
        <v/>
      </c>
      <c r="D738" s="14" t="str">
        <f t="array" ref="D738">IF(OR(H738="",H738="Selecciona.."),"",XLOOKUP(H738,Propiedades!B:B,Propiedades!A:A,"",0,1))</f>
        <v/>
      </c>
      <c r="E738" s="14" t="str">
        <f t="shared" si="2"/>
        <v/>
      </c>
      <c r="F738" s="14" t="str">
        <f t="shared" si="3"/>
        <v/>
      </c>
      <c r="G738" s="15" t="str">
        <f t="shared" si="8"/>
        <v/>
      </c>
      <c r="H738" s="15" t="str">
        <f t="shared" si="9"/>
        <v/>
      </c>
      <c r="I738" s="16" t="str">
        <f t="shared" si="10"/>
        <v/>
      </c>
      <c r="J738" s="17"/>
      <c r="K738" s="14" t="str">
        <f t="array" ref="K738">IF(OR(H738="",H738="Selecciona.."),"",XLOOKUP(H738,Propiedades!B:B,Propiedades!C:C,"",0,1))</f>
        <v/>
      </c>
    </row>
    <row r="739">
      <c r="A739" s="14" t="str">
        <f t="shared" si="1"/>
        <v/>
      </c>
      <c r="B739" s="14" t="str">
        <f t="array" ref="B739">IF(OR(G739="",G739="Selecciona.."),"",XLOOKUP(G739,Productos!E:E,Productos!A:A,"",0,1))</f>
        <v/>
      </c>
      <c r="C739" s="14" t="str">
        <f t="array" ref="C739">IF(B739="","",SUMIF(Implementos!B:B,XLOOKUP(B739,Productos!A:A,Productos!F:F,"",0,1),Implementos!A:A))</f>
        <v/>
      </c>
      <c r="D739" s="14" t="str">
        <f t="array" ref="D739">IF(OR(H739="",H739="Selecciona.."),"",XLOOKUP(H739,Propiedades!B:B,Propiedades!A:A,"",0,1))</f>
        <v/>
      </c>
      <c r="E739" s="14" t="str">
        <f t="shared" si="2"/>
        <v/>
      </c>
      <c r="F739" s="14" t="str">
        <f t="shared" si="3"/>
        <v/>
      </c>
      <c r="G739" s="15" t="str">
        <f t="shared" si="8"/>
        <v/>
      </c>
      <c r="H739" s="15" t="str">
        <f t="shared" si="9"/>
        <v/>
      </c>
      <c r="I739" s="16" t="str">
        <f t="shared" si="10"/>
        <v/>
      </c>
      <c r="J739" s="17"/>
      <c r="K739" s="14" t="str">
        <f t="array" ref="K739">IF(OR(H739="",H739="Selecciona.."),"",XLOOKUP(H739,Propiedades!B:B,Propiedades!C:C,"",0,1))</f>
        <v/>
      </c>
    </row>
    <row r="740">
      <c r="A740" s="14" t="str">
        <f t="shared" si="1"/>
        <v/>
      </c>
      <c r="B740" s="14" t="str">
        <f t="array" ref="B740">IF(OR(G740="",G740="Selecciona.."),"",XLOOKUP(G740,Productos!E:E,Productos!A:A,"",0,1))</f>
        <v/>
      </c>
      <c r="C740" s="14" t="str">
        <f t="array" ref="C740">IF(B740="","",SUMIF(Implementos!B:B,XLOOKUP(B740,Productos!A:A,Productos!F:F,"",0,1),Implementos!A:A))</f>
        <v/>
      </c>
      <c r="D740" s="14" t="str">
        <f t="array" ref="D740">IF(OR(H740="",H740="Selecciona.."),"",XLOOKUP(H740,Propiedades!B:B,Propiedades!A:A,"",0,1))</f>
        <v/>
      </c>
      <c r="E740" s="14" t="str">
        <f t="shared" si="2"/>
        <v/>
      </c>
      <c r="F740" s="14" t="str">
        <f t="shared" si="3"/>
        <v/>
      </c>
      <c r="G740" s="15" t="str">
        <f t="shared" si="8"/>
        <v/>
      </c>
      <c r="H740" s="15" t="str">
        <f t="shared" si="9"/>
        <v/>
      </c>
      <c r="I740" s="16" t="str">
        <f t="shared" si="10"/>
        <v/>
      </c>
      <c r="J740" s="17"/>
      <c r="K740" s="14" t="str">
        <f t="array" ref="K740">IF(OR(H740="",H740="Selecciona.."),"",XLOOKUP(H740,Propiedades!B:B,Propiedades!C:C,"",0,1))</f>
        <v/>
      </c>
    </row>
    <row r="741">
      <c r="A741" s="14" t="str">
        <f t="shared" si="1"/>
        <v/>
      </c>
      <c r="B741" s="14" t="str">
        <f t="array" ref="B741">IF(OR(G741="",G741="Selecciona.."),"",XLOOKUP(G741,Productos!E:E,Productos!A:A,"",0,1))</f>
        <v/>
      </c>
      <c r="C741" s="14" t="str">
        <f t="array" ref="C741">IF(B741="","",SUMIF(Implementos!B:B,XLOOKUP(B741,Productos!A:A,Productos!F:F,"",0,1),Implementos!A:A))</f>
        <v/>
      </c>
      <c r="D741" s="14" t="str">
        <f t="array" ref="D741">IF(OR(H741="",H741="Selecciona.."),"",XLOOKUP(H741,Propiedades!B:B,Propiedades!A:A,"",0,1))</f>
        <v/>
      </c>
      <c r="E741" s="14" t="str">
        <f t="shared" si="2"/>
        <v/>
      </c>
      <c r="F741" s="14" t="str">
        <f t="shared" si="3"/>
        <v/>
      </c>
      <c r="G741" s="15" t="str">
        <f t="shared" si="8"/>
        <v/>
      </c>
      <c r="H741" s="15" t="str">
        <f t="shared" si="9"/>
        <v/>
      </c>
      <c r="I741" s="16" t="str">
        <f t="shared" si="10"/>
        <v/>
      </c>
      <c r="J741" s="17"/>
      <c r="K741" s="14" t="str">
        <f t="array" ref="K741">IF(OR(H741="",H741="Selecciona.."),"",XLOOKUP(H741,Propiedades!B:B,Propiedades!C:C,"",0,1))</f>
        <v/>
      </c>
    </row>
    <row r="742">
      <c r="A742" s="14" t="str">
        <f t="shared" si="1"/>
        <v/>
      </c>
      <c r="B742" s="14" t="str">
        <f t="array" ref="B742">IF(OR(G742="",G742="Selecciona.."),"",XLOOKUP(G742,Productos!E:E,Productos!A:A,"",0,1))</f>
        <v/>
      </c>
      <c r="C742" s="14" t="str">
        <f t="array" ref="C742">IF(B742="","",SUMIF(Implementos!B:B,XLOOKUP(B742,Productos!A:A,Productos!F:F,"",0,1),Implementos!A:A))</f>
        <v/>
      </c>
      <c r="D742" s="14" t="str">
        <f t="array" ref="D742">IF(OR(H742="",H742="Selecciona.."),"",XLOOKUP(H742,Propiedades!B:B,Propiedades!A:A,"",0,1))</f>
        <v/>
      </c>
      <c r="E742" s="14" t="str">
        <f t="shared" si="2"/>
        <v/>
      </c>
      <c r="F742" s="14" t="str">
        <f t="shared" si="3"/>
        <v/>
      </c>
      <c r="G742" s="15" t="str">
        <f t="shared" si="8"/>
        <v/>
      </c>
      <c r="H742" s="15" t="str">
        <f t="shared" si="9"/>
        <v/>
      </c>
      <c r="I742" s="16" t="str">
        <f t="shared" si="10"/>
        <v/>
      </c>
      <c r="J742" s="17"/>
      <c r="K742" s="14" t="str">
        <f t="array" ref="K742">IF(OR(H742="",H742="Selecciona.."),"",XLOOKUP(H742,Propiedades!B:B,Propiedades!C:C,"",0,1))</f>
        <v/>
      </c>
    </row>
    <row r="743">
      <c r="A743" s="14" t="str">
        <f t="shared" si="1"/>
        <v/>
      </c>
      <c r="B743" s="14" t="str">
        <f t="array" ref="B743">IF(OR(G743="",G743="Selecciona.."),"",XLOOKUP(G743,Productos!E:E,Productos!A:A,"",0,1))</f>
        <v/>
      </c>
      <c r="C743" s="14" t="str">
        <f t="array" ref="C743">IF(B743="","",SUMIF(Implementos!B:B,XLOOKUP(B743,Productos!A:A,Productos!F:F,"",0,1),Implementos!A:A))</f>
        <v/>
      </c>
      <c r="D743" s="14" t="str">
        <f t="array" ref="D743">IF(OR(H743="",H743="Selecciona.."),"",XLOOKUP(H743,Propiedades!B:B,Propiedades!A:A,"",0,1))</f>
        <v/>
      </c>
      <c r="E743" s="14" t="str">
        <f t="shared" si="2"/>
        <v/>
      </c>
      <c r="F743" s="14" t="str">
        <f t="shared" si="3"/>
        <v/>
      </c>
      <c r="G743" s="15" t="str">
        <f t="shared" si="8"/>
        <v/>
      </c>
      <c r="H743" s="15" t="str">
        <f t="shared" si="9"/>
        <v/>
      </c>
      <c r="I743" s="16" t="str">
        <f t="shared" si="10"/>
        <v/>
      </c>
      <c r="J743" s="17"/>
      <c r="K743" s="14" t="str">
        <f t="array" ref="K743">IF(OR(H743="",H743="Selecciona.."),"",XLOOKUP(H743,Propiedades!B:B,Propiedades!C:C,"",0,1))</f>
        <v/>
      </c>
    </row>
    <row r="744">
      <c r="A744" s="14" t="str">
        <f t="shared" si="1"/>
        <v/>
      </c>
      <c r="B744" s="14" t="str">
        <f t="array" ref="B744">IF(OR(G744="",G744="Selecciona.."),"",XLOOKUP(G744,Productos!E:E,Productos!A:A,"",0,1))</f>
        <v/>
      </c>
      <c r="C744" s="14" t="str">
        <f t="array" ref="C744">IF(B744="","",SUMIF(Implementos!B:B,XLOOKUP(B744,Productos!A:A,Productos!F:F,"",0,1),Implementos!A:A))</f>
        <v/>
      </c>
      <c r="D744" s="14" t="str">
        <f t="array" ref="D744">IF(OR(H744="",H744="Selecciona.."),"",XLOOKUP(H744,Propiedades!B:B,Propiedades!A:A,"",0,1))</f>
        <v/>
      </c>
      <c r="E744" s="14" t="str">
        <f t="shared" si="2"/>
        <v/>
      </c>
      <c r="F744" s="14" t="str">
        <f t="shared" si="3"/>
        <v/>
      </c>
      <c r="G744" s="15" t="str">
        <f t="shared" si="8"/>
        <v/>
      </c>
      <c r="H744" s="15" t="str">
        <f t="shared" si="9"/>
        <v/>
      </c>
      <c r="I744" s="16" t="str">
        <f t="shared" si="10"/>
        <v/>
      </c>
      <c r="J744" s="17"/>
      <c r="K744" s="14" t="str">
        <f t="array" ref="K744">IF(OR(H744="",H744="Selecciona.."),"",XLOOKUP(H744,Propiedades!B:B,Propiedades!C:C,"",0,1))</f>
        <v/>
      </c>
    </row>
    <row r="745">
      <c r="A745" s="14" t="str">
        <f t="shared" si="1"/>
        <v/>
      </c>
      <c r="B745" s="14" t="str">
        <f t="array" ref="B745">IF(OR(G745="",G745="Selecciona.."),"",XLOOKUP(G745,Productos!E:E,Productos!A:A,"",0,1))</f>
        <v/>
      </c>
      <c r="C745" s="14" t="str">
        <f t="array" ref="C745">IF(B745="","",SUMIF(Implementos!B:B,XLOOKUP(B745,Productos!A:A,Productos!F:F,"",0,1),Implementos!A:A))</f>
        <v/>
      </c>
      <c r="D745" s="14" t="str">
        <f t="array" ref="D745">IF(OR(H745="",H745="Selecciona.."),"",XLOOKUP(H745,Propiedades!B:B,Propiedades!A:A,"",0,1))</f>
        <v/>
      </c>
      <c r="E745" s="14" t="str">
        <f t="shared" si="2"/>
        <v/>
      </c>
      <c r="F745" s="14" t="str">
        <f t="shared" si="3"/>
        <v/>
      </c>
      <c r="G745" s="15" t="str">
        <f t="shared" si="8"/>
        <v/>
      </c>
      <c r="H745" s="15" t="str">
        <f t="shared" si="9"/>
        <v/>
      </c>
      <c r="I745" s="16" t="str">
        <f t="shared" si="10"/>
        <v/>
      </c>
      <c r="J745" s="17"/>
      <c r="K745" s="14" t="str">
        <f t="array" ref="K745">IF(OR(H745="",H745="Selecciona.."),"",XLOOKUP(H745,Propiedades!B:B,Propiedades!C:C,"",0,1))</f>
        <v/>
      </c>
    </row>
    <row r="746">
      <c r="A746" s="14" t="str">
        <f t="shared" si="1"/>
        <v/>
      </c>
      <c r="B746" s="14" t="str">
        <f t="array" ref="B746">IF(OR(G746="",G746="Selecciona.."),"",XLOOKUP(G746,Productos!E:E,Productos!A:A,"",0,1))</f>
        <v/>
      </c>
      <c r="C746" s="14" t="str">
        <f t="array" ref="C746">IF(B746="","",SUMIF(Implementos!B:B,XLOOKUP(B746,Productos!A:A,Productos!F:F,"",0,1),Implementos!A:A))</f>
        <v/>
      </c>
      <c r="D746" s="14" t="str">
        <f t="array" ref="D746">IF(OR(H746="",H746="Selecciona.."),"",XLOOKUP(H746,Propiedades!B:B,Propiedades!A:A,"",0,1))</f>
        <v/>
      </c>
      <c r="E746" s="14" t="str">
        <f t="shared" si="2"/>
        <v/>
      </c>
      <c r="F746" s="14" t="str">
        <f t="shared" si="3"/>
        <v/>
      </c>
      <c r="G746" s="15" t="str">
        <f t="shared" si="8"/>
        <v/>
      </c>
      <c r="H746" s="15" t="str">
        <f t="shared" si="9"/>
        <v/>
      </c>
      <c r="I746" s="16" t="str">
        <f t="shared" si="10"/>
        <v/>
      </c>
      <c r="J746" s="17"/>
      <c r="K746" s="14" t="str">
        <f t="array" ref="K746">IF(OR(H746="",H746="Selecciona.."),"",XLOOKUP(H746,Propiedades!B:B,Propiedades!C:C,"",0,1))</f>
        <v/>
      </c>
    </row>
    <row r="747">
      <c r="A747" s="14" t="str">
        <f t="shared" si="1"/>
        <v/>
      </c>
      <c r="B747" s="14" t="str">
        <f t="array" ref="B747">IF(OR(G747="",G747="Selecciona.."),"",XLOOKUP(G747,Productos!E:E,Productos!A:A,"",0,1))</f>
        <v/>
      </c>
      <c r="C747" s="14" t="str">
        <f t="array" ref="C747">IF(B747="","",SUMIF(Implementos!B:B,XLOOKUP(B747,Productos!A:A,Productos!F:F,"",0,1),Implementos!A:A))</f>
        <v/>
      </c>
      <c r="D747" s="14" t="str">
        <f t="array" ref="D747">IF(OR(H747="",H747="Selecciona.."),"",XLOOKUP(H747,Propiedades!B:B,Propiedades!A:A,"",0,1))</f>
        <v/>
      </c>
      <c r="E747" s="14" t="str">
        <f t="shared" si="2"/>
        <v/>
      </c>
      <c r="F747" s="14" t="str">
        <f t="shared" si="3"/>
        <v/>
      </c>
      <c r="G747" s="15" t="str">
        <f t="shared" si="8"/>
        <v/>
      </c>
      <c r="H747" s="15" t="str">
        <f t="shared" si="9"/>
        <v/>
      </c>
      <c r="I747" s="16" t="str">
        <f t="shared" si="10"/>
        <v/>
      </c>
      <c r="J747" s="17"/>
      <c r="K747" s="14" t="str">
        <f t="array" ref="K747">IF(OR(H747="",H747="Selecciona.."),"",XLOOKUP(H747,Propiedades!B:B,Propiedades!C:C,"",0,1))</f>
        <v/>
      </c>
    </row>
    <row r="748">
      <c r="A748" s="14" t="str">
        <f t="shared" si="1"/>
        <v/>
      </c>
      <c r="B748" s="14" t="str">
        <f t="array" ref="B748">IF(OR(G748="",G748="Selecciona.."),"",XLOOKUP(G748,Productos!E:E,Productos!A:A,"",0,1))</f>
        <v/>
      </c>
      <c r="C748" s="14" t="str">
        <f t="array" ref="C748">IF(B748="","",SUMIF(Implementos!B:B,XLOOKUP(B748,Productos!A:A,Productos!F:F,"",0,1),Implementos!A:A))</f>
        <v/>
      </c>
      <c r="D748" s="14" t="str">
        <f t="array" ref="D748">IF(OR(H748="",H748="Selecciona.."),"",XLOOKUP(H748,Propiedades!B:B,Propiedades!A:A,"",0,1))</f>
        <v/>
      </c>
      <c r="E748" s="14" t="str">
        <f t="shared" si="2"/>
        <v/>
      </c>
      <c r="F748" s="14" t="str">
        <f t="shared" si="3"/>
        <v/>
      </c>
      <c r="G748" s="15" t="str">
        <f t="shared" si="8"/>
        <v/>
      </c>
      <c r="H748" s="15" t="str">
        <f t="shared" si="9"/>
        <v/>
      </c>
      <c r="I748" s="16" t="str">
        <f t="shared" si="10"/>
        <v/>
      </c>
      <c r="J748" s="17"/>
      <c r="K748" s="14" t="str">
        <f t="array" ref="K748">IF(OR(H748="",H748="Selecciona.."),"",XLOOKUP(H748,Propiedades!B:B,Propiedades!C:C,"",0,1))</f>
        <v/>
      </c>
    </row>
    <row r="749">
      <c r="A749" s="14" t="str">
        <f t="shared" si="1"/>
        <v/>
      </c>
      <c r="B749" s="14" t="str">
        <f t="array" ref="B749">IF(OR(G749="",G749="Selecciona.."),"",XLOOKUP(G749,Productos!E:E,Productos!A:A,"",0,1))</f>
        <v/>
      </c>
      <c r="C749" s="14" t="str">
        <f t="array" ref="C749">IF(B749="","",SUMIF(Implementos!B:B,XLOOKUP(B749,Productos!A:A,Productos!F:F,"",0,1),Implementos!A:A))</f>
        <v/>
      </c>
      <c r="D749" s="14" t="str">
        <f t="array" ref="D749">IF(OR(H749="",H749="Selecciona.."),"",XLOOKUP(H749,Propiedades!B:B,Propiedades!A:A,"",0,1))</f>
        <v/>
      </c>
      <c r="E749" s="14" t="str">
        <f t="shared" si="2"/>
        <v/>
      </c>
      <c r="F749" s="14" t="str">
        <f t="shared" si="3"/>
        <v/>
      </c>
      <c r="G749" s="15" t="str">
        <f t="shared" si="8"/>
        <v/>
      </c>
      <c r="H749" s="15" t="str">
        <f t="shared" si="9"/>
        <v/>
      </c>
      <c r="I749" s="16" t="str">
        <f t="shared" si="10"/>
        <v/>
      </c>
      <c r="J749" s="17"/>
      <c r="K749" s="14" t="str">
        <f t="array" ref="K749">IF(OR(H749="",H749="Selecciona.."),"",XLOOKUP(H749,Propiedades!B:B,Propiedades!C:C,"",0,1))</f>
        <v/>
      </c>
    </row>
    <row r="750">
      <c r="A750" s="14" t="str">
        <f t="shared" si="1"/>
        <v/>
      </c>
      <c r="B750" s="14" t="str">
        <f t="array" ref="B750">IF(OR(G750="",G750="Selecciona.."),"",XLOOKUP(G750,Productos!E:E,Productos!A:A,"",0,1))</f>
        <v/>
      </c>
      <c r="C750" s="14" t="str">
        <f t="array" ref="C750">IF(B750="","",SUMIF(Implementos!B:B,XLOOKUP(B750,Productos!A:A,Productos!F:F,"",0,1),Implementos!A:A))</f>
        <v/>
      </c>
      <c r="D750" s="14" t="str">
        <f t="array" ref="D750">IF(OR(H750="",H750="Selecciona.."),"",XLOOKUP(H750,Propiedades!B:B,Propiedades!A:A,"",0,1))</f>
        <v/>
      </c>
      <c r="E750" s="14" t="str">
        <f t="shared" si="2"/>
        <v/>
      </c>
      <c r="F750" s="14" t="str">
        <f t="shared" si="3"/>
        <v/>
      </c>
      <c r="G750" s="15" t="str">
        <f t="shared" si="8"/>
        <v/>
      </c>
      <c r="H750" s="15" t="str">
        <f t="shared" si="9"/>
        <v/>
      </c>
      <c r="I750" s="16" t="str">
        <f t="shared" si="10"/>
        <v/>
      </c>
      <c r="J750" s="17"/>
      <c r="K750" s="14" t="str">
        <f t="array" ref="K750">IF(OR(H750="",H750="Selecciona.."),"",XLOOKUP(H750,Propiedades!B:B,Propiedades!C:C,"",0,1))</f>
        <v/>
      </c>
    </row>
    <row r="751">
      <c r="A751" s="14" t="str">
        <f t="shared" si="1"/>
        <v/>
      </c>
      <c r="B751" s="14" t="str">
        <f t="array" ref="B751">IF(OR(G751="",G751="Selecciona.."),"",XLOOKUP(G751,Productos!E:E,Productos!A:A,"",0,1))</f>
        <v/>
      </c>
      <c r="C751" s="14" t="str">
        <f t="array" ref="C751">IF(B751="","",SUMIF(Implementos!B:B,XLOOKUP(B751,Productos!A:A,Productos!F:F,"",0,1),Implementos!A:A))</f>
        <v/>
      </c>
      <c r="D751" s="14" t="str">
        <f t="array" ref="D751">IF(OR(H751="",H751="Selecciona.."),"",XLOOKUP(H751,Propiedades!B:B,Propiedades!A:A,"",0,1))</f>
        <v/>
      </c>
      <c r="E751" s="14" t="str">
        <f t="shared" si="2"/>
        <v/>
      </c>
      <c r="F751" s="14" t="str">
        <f t="shared" si="3"/>
        <v/>
      </c>
      <c r="G751" s="15" t="str">
        <f t="shared" si="8"/>
        <v/>
      </c>
      <c r="H751" s="15" t="str">
        <f t="shared" si="9"/>
        <v/>
      </c>
      <c r="I751" s="16" t="str">
        <f t="shared" si="10"/>
        <v/>
      </c>
      <c r="J751" s="17"/>
      <c r="K751" s="14" t="str">
        <f t="array" ref="K751">IF(OR(H751="",H751="Selecciona.."),"",XLOOKUP(H751,Propiedades!B:B,Propiedades!C:C,"",0,1))</f>
        <v/>
      </c>
    </row>
    <row r="752">
      <c r="A752" s="14" t="str">
        <f t="shared" si="1"/>
        <v/>
      </c>
      <c r="B752" s="14" t="str">
        <f t="array" ref="B752">IF(OR(G752="",G752="Selecciona.."),"",XLOOKUP(G752,Productos!E:E,Productos!A:A,"",0,1))</f>
        <v/>
      </c>
      <c r="C752" s="14" t="str">
        <f t="array" ref="C752">IF(B752="","",SUMIF(Implementos!B:B,XLOOKUP(B752,Productos!A:A,Productos!F:F,"",0,1),Implementos!A:A))</f>
        <v/>
      </c>
      <c r="D752" s="14" t="str">
        <f t="array" ref="D752">IF(OR(H752="",H752="Selecciona.."),"",XLOOKUP(H752,Propiedades!B:B,Propiedades!A:A,"",0,1))</f>
        <v/>
      </c>
      <c r="E752" s="14" t="str">
        <f t="shared" si="2"/>
        <v/>
      </c>
      <c r="F752" s="14" t="str">
        <f t="shared" si="3"/>
        <v/>
      </c>
      <c r="G752" s="15" t="str">
        <f t="shared" si="8"/>
        <v/>
      </c>
      <c r="H752" s="15" t="str">
        <f t="shared" si="9"/>
        <v/>
      </c>
      <c r="I752" s="16" t="str">
        <f t="shared" si="10"/>
        <v/>
      </c>
      <c r="J752" s="17"/>
      <c r="K752" s="14" t="str">
        <f t="array" ref="K752">IF(OR(H752="",H752="Selecciona.."),"",XLOOKUP(H752,Propiedades!B:B,Propiedades!C:C,"",0,1))</f>
        <v/>
      </c>
    </row>
    <row r="753">
      <c r="A753" s="14" t="str">
        <f t="shared" si="1"/>
        <v/>
      </c>
      <c r="B753" s="14" t="str">
        <f t="array" ref="B753">IF(OR(G753="",G753="Selecciona.."),"",XLOOKUP(G753,Productos!E:E,Productos!A:A,"",0,1))</f>
        <v/>
      </c>
      <c r="C753" s="14" t="str">
        <f t="array" ref="C753">IF(B753="","",SUMIF(Implementos!B:B,XLOOKUP(B753,Productos!A:A,Productos!F:F,"",0,1),Implementos!A:A))</f>
        <v/>
      </c>
      <c r="D753" s="14" t="str">
        <f t="array" ref="D753">IF(OR(H753="",H753="Selecciona.."),"",XLOOKUP(H753,Propiedades!B:B,Propiedades!A:A,"",0,1))</f>
        <v/>
      </c>
      <c r="E753" s="14" t="str">
        <f t="shared" si="2"/>
        <v/>
      </c>
      <c r="F753" s="14" t="str">
        <f t="shared" si="3"/>
        <v/>
      </c>
      <c r="G753" s="15" t="str">
        <f t="shared" si="8"/>
        <v/>
      </c>
      <c r="H753" s="15" t="str">
        <f t="shared" si="9"/>
        <v/>
      </c>
      <c r="I753" s="16" t="str">
        <f t="shared" si="10"/>
        <v/>
      </c>
      <c r="J753" s="17"/>
      <c r="K753" s="14" t="str">
        <f t="array" ref="K753">IF(OR(H753="",H753="Selecciona.."),"",XLOOKUP(H753,Propiedades!B:B,Propiedades!C:C,"",0,1))</f>
        <v/>
      </c>
    </row>
    <row r="754">
      <c r="A754" s="14" t="str">
        <f t="shared" si="1"/>
        <v/>
      </c>
      <c r="B754" s="14" t="str">
        <f t="array" ref="B754">IF(OR(G754="",G754="Selecciona.."),"",XLOOKUP(G754,Productos!E:E,Productos!A:A,"",0,1))</f>
        <v/>
      </c>
      <c r="C754" s="14" t="str">
        <f t="array" ref="C754">IF(B754="","",SUMIF(Implementos!B:B,XLOOKUP(B754,Productos!A:A,Productos!F:F,"",0,1),Implementos!A:A))</f>
        <v/>
      </c>
      <c r="D754" s="14" t="str">
        <f t="array" ref="D754">IF(OR(H754="",H754="Selecciona.."),"",XLOOKUP(H754,Propiedades!B:B,Propiedades!A:A,"",0,1))</f>
        <v/>
      </c>
      <c r="E754" s="14" t="str">
        <f t="shared" si="2"/>
        <v/>
      </c>
      <c r="F754" s="14" t="str">
        <f t="shared" si="3"/>
        <v/>
      </c>
      <c r="G754" s="15" t="str">
        <f t="shared" si="8"/>
        <v/>
      </c>
      <c r="H754" s="15" t="str">
        <f t="shared" si="9"/>
        <v/>
      </c>
      <c r="I754" s="16" t="str">
        <f t="shared" si="10"/>
        <v/>
      </c>
      <c r="J754" s="17"/>
      <c r="K754" s="14" t="str">
        <f t="array" ref="K754">IF(OR(H754="",H754="Selecciona.."),"",XLOOKUP(H754,Propiedades!B:B,Propiedades!C:C,"",0,1))</f>
        <v/>
      </c>
    </row>
    <row r="755">
      <c r="A755" s="14" t="str">
        <f t="shared" si="1"/>
        <v/>
      </c>
      <c r="B755" s="14" t="str">
        <f t="array" ref="B755">IF(OR(G755="",G755="Selecciona.."),"",XLOOKUP(G755,Productos!E:E,Productos!A:A,"",0,1))</f>
        <v/>
      </c>
      <c r="C755" s="14" t="str">
        <f t="array" ref="C755">IF(B755="","",SUMIF(Implementos!B:B,XLOOKUP(B755,Productos!A:A,Productos!F:F,"",0,1),Implementos!A:A))</f>
        <v/>
      </c>
      <c r="D755" s="14" t="str">
        <f t="array" ref="D755">IF(OR(H755="",H755="Selecciona.."),"",XLOOKUP(H755,Propiedades!B:B,Propiedades!A:A,"",0,1))</f>
        <v/>
      </c>
      <c r="E755" s="14" t="str">
        <f t="shared" si="2"/>
        <v/>
      </c>
      <c r="F755" s="14" t="str">
        <f t="shared" si="3"/>
        <v/>
      </c>
      <c r="G755" s="15" t="str">
        <f t="shared" si="8"/>
        <v/>
      </c>
      <c r="H755" s="15" t="str">
        <f t="shared" si="9"/>
        <v/>
      </c>
      <c r="I755" s="16" t="str">
        <f t="shared" si="10"/>
        <v/>
      </c>
      <c r="J755" s="17"/>
      <c r="K755" s="14" t="str">
        <f t="array" ref="K755">IF(OR(H755="",H755="Selecciona.."),"",XLOOKUP(H755,Propiedades!B:B,Propiedades!C:C,"",0,1))</f>
        <v/>
      </c>
    </row>
    <row r="756">
      <c r="A756" s="14" t="str">
        <f t="shared" si="1"/>
        <v/>
      </c>
      <c r="B756" s="14" t="str">
        <f t="array" ref="B756">IF(OR(G756="",G756="Selecciona.."),"",XLOOKUP(G756,Productos!E:E,Productos!A:A,"",0,1))</f>
        <v/>
      </c>
      <c r="C756" s="14" t="str">
        <f t="array" ref="C756">IF(B756="","",SUMIF(Implementos!B:B,XLOOKUP(B756,Productos!A:A,Productos!F:F,"",0,1),Implementos!A:A))</f>
        <v/>
      </c>
      <c r="D756" s="14" t="str">
        <f t="array" ref="D756">IF(OR(H756="",H756="Selecciona.."),"",XLOOKUP(H756,Propiedades!B:B,Propiedades!A:A,"",0,1))</f>
        <v/>
      </c>
      <c r="E756" s="14" t="str">
        <f t="shared" si="2"/>
        <v/>
      </c>
      <c r="F756" s="14" t="str">
        <f t="shared" si="3"/>
        <v/>
      </c>
      <c r="G756" s="15" t="str">
        <f t="shared" si="8"/>
        <v/>
      </c>
      <c r="H756" s="15" t="str">
        <f t="shared" si="9"/>
        <v/>
      </c>
      <c r="I756" s="16" t="str">
        <f t="shared" si="10"/>
        <v/>
      </c>
      <c r="J756" s="17"/>
      <c r="K756" s="14" t="str">
        <f t="array" ref="K756">IF(OR(H756="",H756="Selecciona.."),"",XLOOKUP(H756,Propiedades!B:B,Propiedades!C:C,"",0,1))</f>
        <v/>
      </c>
    </row>
    <row r="757">
      <c r="A757" s="14" t="str">
        <f t="shared" si="1"/>
        <v/>
      </c>
      <c r="B757" s="14" t="str">
        <f t="array" ref="B757">IF(OR(G757="",G757="Selecciona.."),"",XLOOKUP(G757,Productos!E:E,Productos!A:A,"",0,1))</f>
        <v/>
      </c>
      <c r="C757" s="14" t="str">
        <f t="array" ref="C757">IF(B757="","",SUMIF(Implementos!B:B,XLOOKUP(B757,Productos!A:A,Productos!F:F,"",0,1),Implementos!A:A))</f>
        <v/>
      </c>
      <c r="D757" s="14" t="str">
        <f t="array" ref="D757">IF(OR(H757="",H757="Selecciona.."),"",XLOOKUP(H757,Propiedades!B:B,Propiedades!A:A,"",0,1))</f>
        <v/>
      </c>
      <c r="E757" s="14" t="str">
        <f t="shared" si="2"/>
        <v/>
      </c>
      <c r="F757" s="14" t="str">
        <f t="shared" si="3"/>
        <v/>
      </c>
      <c r="G757" s="15" t="str">
        <f t="shared" si="8"/>
        <v/>
      </c>
      <c r="H757" s="15" t="str">
        <f t="shared" si="9"/>
        <v/>
      </c>
      <c r="I757" s="16" t="str">
        <f t="shared" si="10"/>
        <v/>
      </c>
      <c r="J757" s="17"/>
      <c r="K757" s="14" t="str">
        <f t="array" ref="K757">IF(OR(H757="",H757="Selecciona.."),"",XLOOKUP(H757,Propiedades!B:B,Propiedades!C:C,"",0,1))</f>
        <v/>
      </c>
    </row>
    <row r="758">
      <c r="A758" s="14" t="str">
        <f t="shared" si="1"/>
        <v/>
      </c>
      <c r="B758" s="14" t="str">
        <f t="array" ref="B758">IF(OR(G758="",G758="Selecciona.."),"",XLOOKUP(G758,Productos!E:E,Productos!A:A,"",0,1))</f>
        <v/>
      </c>
      <c r="C758" s="14" t="str">
        <f t="array" ref="C758">IF(B758="","",SUMIF(Implementos!B:B,XLOOKUP(B758,Productos!A:A,Productos!F:F,"",0,1),Implementos!A:A))</f>
        <v/>
      </c>
      <c r="D758" s="14" t="str">
        <f t="array" ref="D758">IF(OR(H758="",H758="Selecciona.."),"",XLOOKUP(H758,Propiedades!B:B,Propiedades!A:A,"",0,1))</f>
        <v/>
      </c>
      <c r="E758" s="14" t="str">
        <f t="shared" si="2"/>
        <v/>
      </c>
      <c r="F758" s="14" t="str">
        <f t="shared" si="3"/>
        <v/>
      </c>
      <c r="G758" s="15" t="str">
        <f t="shared" si="8"/>
        <v/>
      </c>
      <c r="H758" s="15" t="str">
        <f t="shared" si="9"/>
        <v/>
      </c>
      <c r="I758" s="16" t="str">
        <f t="shared" si="10"/>
        <v/>
      </c>
      <c r="J758" s="17"/>
      <c r="K758" s="14" t="str">
        <f t="array" ref="K758">IF(OR(H758="",H758="Selecciona.."),"",XLOOKUP(H758,Propiedades!B:B,Propiedades!C:C,"",0,1))</f>
        <v/>
      </c>
    </row>
    <row r="759">
      <c r="A759" s="14" t="str">
        <f t="shared" si="1"/>
        <v/>
      </c>
      <c r="B759" s="14" t="str">
        <f t="array" ref="B759">IF(OR(G759="",G759="Selecciona.."),"",XLOOKUP(G759,Productos!E:E,Productos!A:A,"",0,1))</f>
        <v/>
      </c>
      <c r="C759" s="14" t="str">
        <f t="array" ref="C759">IF(B759="","",SUMIF(Implementos!B:B,XLOOKUP(B759,Productos!A:A,Productos!F:F,"",0,1),Implementos!A:A))</f>
        <v/>
      </c>
      <c r="D759" s="14" t="str">
        <f t="array" ref="D759">IF(OR(H759="",H759="Selecciona.."),"",XLOOKUP(H759,Propiedades!B:B,Propiedades!A:A,"",0,1))</f>
        <v/>
      </c>
      <c r="E759" s="14" t="str">
        <f t="shared" si="2"/>
        <v/>
      </c>
      <c r="F759" s="14" t="str">
        <f t="shared" si="3"/>
        <v/>
      </c>
      <c r="G759" s="15" t="str">
        <f t="shared" si="8"/>
        <v/>
      </c>
      <c r="H759" s="15" t="str">
        <f t="shared" si="9"/>
        <v/>
      </c>
      <c r="I759" s="16" t="str">
        <f t="shared" si="10"/>
        <v/>
      </c>
      <c r="J759" s="17"/>
      <c r="K759" s="14" t="str">
        <f t="array" ref="K759">IF(OR(H759="",H759="Selecciona.."),"",XLOOKUP(H759,Propiedades!B:B,Propiedades!C:C,"",0,1))</f>
        <v/>
      </c>
    </row>
    <row r="760">
      <c r="A760" s="14" t="str">
        <f t="shared" si="1"/>
        <v/>
      </c>
      <c r="B760" s="14" t="str">
        <f t="array" ref="B760">IF(OR(G760="",G760="Selecciona.."),"",XLOOKUP(G760,Productos!E:E,Productos!A:A,"",0,1))</f>
        <v/>
      </c>
      <c r="C760" s="14" t="str">
        <f t="array" ref="C760">IF(B760="","",SUMIF(Implementos!B:B,XLOOKUP(B760,Productos!A:A,Productos!F:F,"",0,1),Implementos!A:A))</f>
        <v/>
      </c>
      <c r="D760" s="14" t="str">
        <f t="array" ref="D760">IF(OR(H760="",H760="Selecciona.."),"",XLOOKUP(H760,Propiedades!B:B,Propiedades!A:A,"",0,1))</f>
        <v/>
      </c>
      <c r="E760" s="14" t="str">
        <f t="shared" si="2"/>
        <v/>
      </c>
      <c r="F760" s="14" t="str">
        <f t="shared" si="3"/>
        <v/>
      </c>
      <c r="G760" s="15" t="str">
        <f t="shared" si="8"/>
        <v/>
      </c>
      <c r="H760" s="15" t="str">
        <f t="shared" si="9"/>
        <v/>
      </c>
      <c r="I760" s="16" t="str">
        <f t="shared" si="10"/>
        <v/>
      </c>
      <c r="J760" s="17"/>
      <c r="K760" s="14" t="str">
        <f t="array" ref="K760">IF(OR(H760="",H760="Selecciona.."),"",XLOOKUP(H760,Propiedades!B:B,Propiedades!C:C,"",0,1))</f>
        <v/>
      </c>
    </row>
    <row r="761">
      <c r="A761" s="14" t="str">
        <f t="shared" si="1"/>
        <v/>
      </c>
      <c r="B761" s="14" t="str">
        <f t="array" ref="B761">IF(OR(G761="",G761="Selecciona.."),"",XLOOKUP(G761,Productos!E:E,Productos!A:A,"",0,1))</f>
        <v/>
      </c>
      <c r="C761" s="14" t="str">
        <f t="array" ref="C761">IF(B761="","",SUMIF(Implementos!B:B,XLOOKUP(B761,Productos!A:A,Productos!F:F,"",0,1),Implementos!A:A))</f>
        <v/>
      </c>
      <c r="D761" s="14" t="str">
        <f t="array" ref="D761">IF(OR(H761="",H761="Selecciona.."),"",XLOOKUP(H761,Propiedades!B:B,Propiedades!A:A,"",0,1))</f>
        <v/>
      </c>
      <c r="E761" s="14" t="str">
        <f t="shared" si="2"/>
        <v/>
      </c>
      <c r="F761" s="14" t="str">
        <f t="shared" si="3"/>
        <v/>
      </c>
      <c r="G761" s="15" t="str">
        <f t="shared" si="8"/>
        <v/>
      </c>
      <c r="H761" s="15" t="str">
        <f t="shared" si="9"/>
        <v/>
      </c>
      <c r="I761" s="16" t="str">
        <f t="shared" si="10"/>
        <v/>
      </c>
      <c r="J761" s="17"/>
      <c r="K761" s="14" t="str">
        <f t="array" ref="K761">IF(OR(H761="",H761="Selecciona.."),"",XLOOKUP(H761,Propiedades!B:B,Propiedades!C:C,"",0,1))</f>
        <v/>
      </c>
    </row>
    <row r="762">
      <c r="A762" s="14" t="str">
        <f t="shared" si="1"/>
        <v/>
      </c>
      <c r="B762" s="14" t="str">
        <f t="array" ref="B762">IF(OR(G762="",G762="Selecciona.."),"",XLOOKUP(G762,Productos!E:E,Productos!A:A,"",0,1))</f>
        <v/>
      </c>
      <c r="C762" s="14" t="str">
        <f t="array" ref="C762">IF(B762="","",SUMIF(Implementos!B:B,XLOOKUP(B762,Productos!A:A,Productos!F:F,"",0,1),Implementos!A:A))</f>
        <v/>
      </c>
      <c r="D762" s="14" t="str">
        <f t="array" ref="D762">IF(OR(H762="",H762="Selecciona.."),"",XLOOKUP(H762,Propiedades!B:B,Propiedades!A:A,"",0,1))</f>
        <v/>
      </c>
      <c r="E762" s="14" t="str">
        <f t="shared" si="2"/>
        <v/>
      </c>
      <c r="F762" s="14" t="str">
        <f t="shared" si="3"/>
        <v/>
      </c>
      <c r="G762" s="15" t="str">
        <f t="shared" si="8"/>
        <v/>
      </c>
      <c r="H762" s="15" t="str">
        <f t="shared" si="9"/>
        <v/>
      </c>
      <c r="I762" s="16" t="str">
        <f t="shared" si="10"/>
        <v/>
      </c>
      <c r="J762" s="17"/>
      <c r="K762" s="14" t="str">
        <f t="array" ref="K762">IF(OR(H762="",H762="Selecciona.."),"",XLOOKUP(H762,Propiedades!B:B,Propiedades!C:C,"",0,1))</f>
        <v/>
      </c>
    </row>
    <row r="763">
      <c r="A763" s="14" t="str">
        <f t="shared" si="1"/>
        <v/>
      </c>
      <c r="B763" s="14" t="str">
        <f t="array" ref="B763">IF(OR(G763="",G763="Selecciona.."),"",XLOOKUP(G763,Productos!E:E,Productos!A:A,"",0,1))</f>
        <v/>
      </c>
      <c r="C763" s="14" t="str">
        <f t="array" ref="C763">IF(B763="","",SUMIF(Implementos!B:B,XLOOKUP(B763,Productos!A:A,Productos!F:F,"",0,1),Implementos!A:A))</f>
        <v/>
      </c>
      <c r="D763" s="14" t="str">
        <f t="array" ref="D763">IF(OR(H763="",H763="Selecciona.."),"",XLOOKUP(H763,Propiedades!B:B,Propiedades!A:A,"",0,1))</f>
        <v/>
      </c>
      <c r="E763" s="14" t="str">
        <f t="shared" si="2"/>
        <v/>
      </c>
      <c r="F763" s="14" t="str">
        <f t="shared" si="3"/>
        <v/>
      </c>
      <c r="G763" s="15" t="str">
        <f t="shared" si="8"/>
        <v/>
      </c>
      <c r="H763" s="15" t="str">
        <f t="shared" si="9"/>
        <v/>
      </c>
      <c r="I763" s="16" t="str">
        <f t="shared" si="10"/>
        <v/>
      </c>
      <c r="J763" s="17"/>
      <c r="K763" s="14" t="str">
        <f t="array" ref="K763">IF(OR(H763="",H763="Selecciona.."),"",XLOOKUP(H763,Propiedades!B:B,Propiedades!C:C,"",0,1))</f>
        <v/>
      </c>
    </row>
    <row r="764">
      <c r="A764" s="14" t="str">
        <f t="shared" si="1"/>
        <v/>
      </c>
      <c r="B764" s="14" t="str">
        <f t="array" ref="B764">IF(OR(G764="",G764="Selecciona.."),"",XLOOKUP(G764,Productos!E:E,Productos!A:A,"",0,1))</f>
        <v/>
      </c>
      <c r="C764" s="14" t="str">
        <f t="array" ref="C764">IF(B764="","",SUMIF(Implementos!B:B,XLOOKUP(B764,Productos!A:A,Productos!F:F,"",0,1),Implementos!A:A))</f>
        <v/>
      </c>
      <c r="D764" s="14" t="str">
        <f t="array" ref="D764">IF(OR(H764="",H764="Selecciona.."),"",XLOOKUP(H764,Propiedades!B:B,Propiedades!A:A,"",0,1))</f>
        <v/>
      </c>
      <c r="E764" s="14" t="str">
        <f t="shared" si="2"/>
        <v/>
      </c>
      <c r="F764" s="14" t="str">
        <f t="shared" si="3"/>
        <v/>
      </c>
      <c r="G764" s="15" t="str">
        <f t="shared" si="8"/>
        <v/>
      </c>
      <c r="H764" s="15" t="str">
        <f t="shared" si="9"/>
        <v/>
      </c>
      <c r="I764" s="16" t="str">
        <f t="shared" si="10"/>
        <v/>
      </c>
      <c r="J764" s="17"/>
      <c r="K764" s="14" t="str">
        <f t="array" ref="K764">IF(OR(H764="",H764="Selecciona.."),"",XLOOKUP(H764,Propiedades!B:B,Propiedades!C:C,"",0,1))</f>
        <v/>
      </c>
    </row>
    <row r="765">
      <c r="A765" s="14" t="str">
        <f t="shared" si="1"/>
        <v/>
      </c>
      <c r="B765" s="14" t="str">
        <f t="array" ref="B765">IF(OR(G765="",G765="Selecciona.."),"",XLOOKUP(G765,Productos!E:E,Productos!A:A,"",0,1))</f>
        <v/>
      </c>
      <c r="C765" s="14" t="str">
        <f t="array" ref="C765">IF(B765="","",SUMIF(Implementos!B:B,XLOOKUP(B765,Productos!A:A,Productos!F:F,"",0,1),Implementos!A:A))</f>
        <v/>
      </c>
      <c r="D765" s="14" t="str">
        <f t="array" ref="D765">IF(OR(H765="",H765="Selecciona.."),"",XLOOKUP(H765,Propiedades!B:B,Propiedades!A:A,"",0,1))</f>
        <v/>
      </c>
      <c r="E765" s="14" t="str">
        <f t="shared" si="2"/>
        <v/>
      </c>
      <c r="F765" s="14" t="str">
        <f t="shared" si="3"/>
        <v/>
      </c>
      <c r="G765" s="15" t="str">
        <f t="shared" si="8"/>
        <v/>
      </c>
      <c r="H765" s="15" t="str">
        <f t="shared" si="9"/>
        <v/>
      </c>
      <c r="I765" s="16" t="str">
        <f t="shared" si="10"/>
        <v/>
      </c>
      <c r="J765" s="17"/>
      <c r="K765" s="14" t="str">
        <f t="array" ref="K765">IF(OR(H765="",H765="Selecciona.."),"",XLOOKUP(H765,Propiedades!B:B,Propiedades!C:C,"",0,1))</f>
        <v/>
      </c>
    </row>
    <row r="766">
      <c r="A766" s="14" t="str">
        <f t="shared" si="1"/>
        <v/>
      </c>
      <c r="B766" s="14" t="str">
        <f t="array" ref="B766">IF(OR(G766="",G766="Selecciona.."),"",XLOOKUP(G766,Productos!E:E,Productos!A:A,"",0,1))</f>
        <v/>
      </c>
      <c r="C766" s="14" t="str">
        <f t="array" ref="C766">IF(B766="","",SUMIF(Implementos!B:B,XLOOKUP(B766,Productos!A:A,Productos!F:F,"",0,1),Implementos!A:A))</f>
        <v/>
      </c>
      <c r="D766" s="14" t="str">
        <f t="array" ref="D766">IF(OR(H766="",H766="Selecciona.."),"",XLOOKUP(H766,Propiedades!B:B,Propiedades!A:A,"",0,1))</f>
        <v/>
      </c>
      <c r="E766" s="14" t="str">
        <f t="shared" si="2"/>
        <v/>
      </c>
      <c r="F766" s="14" t="str">
        <f t="shared" si="3"/>
        <v/>
      </c>
      <c r="G766" s="15" t="str">
        <f t="shared" si="8"/>
        <v/>
      </c>
      <c r="H766" s="15" t="str">
        <f t="shared" si="9"/>
        <v/>
      </c>
      <c r="I766" s="16" t="str">
        <f t="shared" si="10"/>
        <v/>
      </c>
      <c r="J766" s="17"/>
      <c r="K766" s="14" t="str">
        <f t="array" ref="K766">IF(OR(H766="",H766="Selecciona.."),"",XLOOKUP(H766,Propiedades!B:B,Propiedades!C:C,"",0,1))</f>
        <v/>
      </c>
    </row>
    <row r="767">
      <c r="A767" s="14" t="str">
        <f t="shared" si="1"/>
        <v/>
      </c>
      <c r="B767" s="14" t="str">
        <f t="array" ref="B767">IF(OR(G767="",G767="Selecciona.."),"",XLOOKUP(G767,Productos!E:E,Productos!A:A,"",0,1))</f>
        <v/>
      </c>
      <c r="C767" s="14" t="str">
        <f t="array" ref="C767">IF(B767="","",SUMIF(Implementos!B:B,XLOOKUP(B767,Productos!A:A,Productos!F:F,"",0,1),Implementos!A:A))</f>
        <v/>
      </c>
      <c r="D767" s="14" t="str">
        <f t="array" ref="D767">IF(OR(H767="",H767="Selecciona.."),"",XLOOKUP(H767,Propiedades!B:B,Propiedades!A:A,"",0,1))</f>
        <v/>
      </c>
      <c r="E767" s="14" t="str">
        <f t="shared" si="2"/>
        <v/>
      </c>
      <c r="F767" s="14" t="str">
        <f t="shared" si="3"/>
        <v/>
      </c>
      <c r="G767" s="15" t="str">
        <f t="shared" si="8"/>
        <v/>
      </c>
      <c r="H767" s="15" t="str">
        <f t="shared" si="9"/>
        <v/>
      </c>
      <c r="I767" s="16" t="str">
        <f t="shared" si="10"/>
        <v/>
      </c>
      <c r="J767" s="17"/>
      <c r="K767" s="14" t="str">
        <f t="array" ref="K767">IF(OR(H767="",H767="Selecciona.."),"",XLOOKUP(H767,Propiedades!B:B,Propiedades!C:C,"",0,1))</f>
        <v/>
      </c>
    </row>
    <row r="768">
      <c r="A768" s="14" t="str">
        <f t="shared" si="1"/>
        <v/>
      </c>
      <c r="B768" s="14" t="str">
        <f t="array" ref="B768">IF(OR(G768="",G768="Selecciona.."),"",XLOOKUP(G768,Productos!E:E,Productos!A:A,"",0,1))</f>
        <v/>
      </c>
      <c r="C768" s="14" t="str">
        <f t="array" ref="C768">IF(B768="","",SUMIF(Implementos!B:B,XLOOKUP(B768,Productos!A:A,Productos!F:F,"",0,1),Implementos!A:A))</f>
        <v/>
      </c>
      <c r="D768" s="14" t="str">
        <f t="array" ref="D768">IF(OR(H768="",H768="Selecciona.."),"",XLOOKUP(H768,Propiedades!B:B,Propiedades!A:A,"",0,1))</f>
        <v/>
      </c>
      <c r="E768" s="14" t="str">
        <f t="shared" si="2"/>
        <v/>
      </c>
      <c r="F768" s="14" t="str">
        <f t="shared" si="3"/>
        <v/>
      </c>
      <c r="G768" s="15" t="str">
        <f t="shared" si="8"/>
        <v/>
      </c>
      <c r="H768" s="15" t="str">
        <f t="shared" si="9"/>
        <v/>
      </c>
      <c r="I768" s="16" t="str">
        <f t="shared" si="10"/>
        <v/>
      </c>
      <c r="J768" s="17"/>
      <c r="K768" s="14" t="str">
        <f t="array" ref="K768">IF(OR(H768="",H768="Selecciona.."),"",XLOOKUP(H768,Propiedades!B:B,Propiedades!C:C,"",0,1))</f>
        <v/>
      </c>
    </row>
    <row r="769">
      <c r="A769" s="14" t="str">
        <f t="shared" si="1"/>
        <v/>
      </c>
      <c r="B769" s="14" t="str">
        <f t="array" ref="B769">IF(OR(G769="",G769="Selecciona.."),"",XLOOKUP(G769,Productos!E:E,Productos!A:A,"",0,1))</f>
        <v/>
      </c>
      <c r="C769" s="14" t="str">
        <f t="array" ref="C769">IF(B769="","",SUMIF(Implementos!B:B,XLOOKUP(B769,Productos!A:A,Productos!F:F,"",0,1),Implementos!A:A))</f>
        <v/>
      </c>
      <c r="D769" s="14" t="str">
        <f t="array" ref="D769">IF(OR(H769="",H769="Selecciona.."),"",XLOOKUP(H769,Propiedades!B:B,Propiedades!A:A,"",0,1))</f>
        <v/>
      </c>
      <c r="E769" s="14" t="str">
        <f t="shared" si="2"/>
        <v/>
      </c>
      <c r="F769" s="14" t="str">
        <f t="shared" si="3"/>
        <v/>
      </c>
      <c r="G769" s="15" t="str">
        <f t="shared" si="8"/>
        <v/>
      </c>
      <c r="H769" s="15" t="str">
        <f t="shared" si="9"/>
        <v/>
      </c>
      <c r="I769" s="16" t="str">
        <f t="shared" si="10"/>
        <v/>
      </c>
      <c r="J769" s="17"/>
      <c r="K769" s="14" t="str">
        <f t="array" ref="K769">IF(OR(H769="",H769="Selecciona.."),"",XLOOKUP(H769,Propiedades!B:B,Propiedades!C:C,"",0,1))</f>
        <v/>
      </c>
    </row>
    <row r="770">
      <c r="A770" s="14" t="str">
        <f t="shared" si="1"/>
        <v/>
      </c>
      <c r="B770" s="14" t="str">
        <f t="array" ref="B770">IF(OR(G770="",G770="Selecciona.."),"",XLOOKUP(G770,Productos!E:E,Productos!A:A,"",0,1))</f>
        <v/>
      </c>
      <c r="C770" s="14" t="str">
        <f t="array" ref="C770">IF(B770="","",SUMIF(Implementos!B:B,XLOOKUP(B770,Productos!A:A,Productos!F:F,"",0,1),Implementos!A:A))</f>
        <v/>
      </c>
      <c r="D770" s="14" t="str">
        <f t="array" ref="D770">IF(OR(H770="",H770="Selecciona.."),"",XLOOKUP(H770,Propiedades!B:B,Propiedades!A:A,"",0,1))</f>
        <v/>
      </c>
      <c r="E770" s="14" t="str">
        <f t="shared" si="2"/>
        <v/>
      </c>
      <c r="F770" s="14" t="str">
        <f t="shared" si="3"/>
        <v/>
      </c>
      <c r="G770" s="15" t="str">
        <f t="shared" si="8"/>
        <v/>
      </c>
      <c r="H770" s="15" t="str">
        <f t="shared" si="9"/>
        <v/>
      </c>
      <c r="I770" s="16" t="str">
        <f t="shared" si="10"/>
        <v/>
      </c>
      <c r="J770" s="17"/>
      <c r="K770" s="14" t="str">
        <f t="array" ref="K770">IF(OR(H770="",H770="Selecciona.."),"",XLOOKUP(H770,Propiedades!B:B,Propiedades!C:C,"",0,1))</f>
        <v/>
      </c>
    </row>
    <row r="771">
      <c r="A771" s="14" t="str">
        <f t="shared" si="1"/>
        <v/>
      </c>
      <c r="B771" s="14" t="str">
        <f t="array" ref="B771">IF(OR(G771="",G771="Selecciona.."),"",XLOOKUP(G771,Productos!E:E,Productos!A:A,"",0,1))</f>
        <v/>
      </c>
      <c r="C771" s="14" t="str">
        <f t="array" ref="C771">IF(B771="","",SUMIF(Implementos!B:B,XLOOKUP(B771,Productos!A:A,Productos!F:F,"",0,1),Implementos!A:A))</f>
        <v/>
      </c>
      <c r="D771" s="14" t="str">
        <f t="array" ref="D771">IF(OR(H771="",H771="Selecciona.."),"",XLOOKUP(H771,Propiedades!B:B,Propiedades!A:A,"",0,1))</f>
        <v/>
      </c>
      <c r="E771" s="14" t="str">
        <f t="shared" si="2"/>
        <v/>
      </c>
      <c r="F771" s="14" t="str">
        <f t="shared" si="3"/>
        <v/>
      </c>
      <c r="G771" s="15" t="str">
        <f t="shared" si="8"/>
        <v/>
      </c>
      <c r="H771" s="15" t="str">
        <f t="shared" si="9"/>
        <v/>
      </c>
      <c r="I771" s="16" t="str">
        <f t="shared" si="10"/>
        <v/>
      </c>
      <c r="J771" s="17"/>
      <c r="K771" s="14" t="str">
        <f t="array" ref="K771">IF(OR(H771="",H771="Selecciona.."),"",XLOOKUP(H771,Propiedades!B:B,Propiedades!C:C,"",0,1))</f>
        <v/>
      </c>
    </row>
    <row r="772">
      <c r="A772" s="14" t="str">
        <f t="shared" si="1"/>
        <v/>
      </c>
      <c r="B772" s="14" t="str">
        <f t="array" ref="B772">IF(OR(G772="",G772="Selecciona.."),"",XLOOKUP(G772,Productos!E:E,Productos!A:A,"",0,1))</f>
        <v/>
      </c>
      <c r="C772" s="14" t="str">
        <f t="array" ref="C772">IF(B772="","",SUMIF(Implementos!B:B,XLOOKUP(B772,Productos!A:A,Productos!F:F,"",0,1),Implementos!A:A))</f>
        <v/>
      </c>
      <c r="D772" s="14" t="str">
        <f t="array" ref="D772">IF(OR(H772="",H772="Selecciona.."),"",XLOOKUP(H772,Propiedades!B:B,Propiedades!A:A,"",0,1))</f>
        <v/>
      </c>
      <c r="E772" s="14" t="str">
        <f t="shared" si="2"/>
        <v/>
      </c>
      <c r="F772" s="14" t="str">
        <f t="shared" si="3"/>
        <v/>
      </c>
      <c r="G772" s="15" t="str">
        <f t="shared" si="8"/>
        <v/>
      </c>
      <c r="H772" s="15" t="str">
        <f t="shared" si="9"/>
        <v/>
      </c>
      <c r="I772" s="16" t="str">
        <f t="shared" si="10"/>
        <v/>
      </c>
      <c r="J772" s="17"/>
      <c r="K772" s="14" t="str">
        <f t="array" ref="K772">IF(OR(H772="",H772="Selecciona.."),"",XLOOKUP(H772,Propiedades!B:B,Propiedades!C:C,"",0,1))</f>
        <v/>
      </c>
    </row>
    <row r="773">
      <c r="A773" s="14" t="str">
        <f t="shared" si="1"/>
        <v/>
      </c>
      <c r="B773" s="14" t="str">
        <f t="array" ref="B773">IF(OR(G773="",G773="Selecciona.."),"",XLOOKUP(G773,Productos!E:E,Productos!A:A,"",0,1))</f>
        <v/>
      </c>
      <c r="C773" s="14" t="str">
        <f t="array" ref="C773">IF(B773="","",SUMIF(Implementos!B:B,XLOOKUP(B773,Productos!A:A,Productos!F:F,"",0,1),Implementos!A:A))</f>
        <v/>
      </c>
      <c r="D773" s="14" t="str">
        <f t="array" ref="D773">IF(OR(H773="",H773="Selecciona.."),"",XLOOKUP(H773,Propiedades!B:B,Propiedades!A:A,"",0,1))</f>
        <v/>
      </c>
      <c r="E773" s="14" t="str">
        <f t="shared" si="2"/>
        <v/>
      </c>
      <c r="F773" s="14" t="str">
        <f t="shared" si="3"/>
        <v/>
      </c>
      <c r="G773" s="15" t="str">
        <f t="shared" si="8"/>
        <v/>
      </c>
      <c r="H773" s="15" t="str">
        <f t="shared" si="9"/>
        <v/>
      </c>
      <c r="I773" s="16" t="str">
        <f t="shared" si="10"/>
        <v/>
      </c>
      <c r="J773" s="17"/>
      <c r="K773" s="14" t="str">
        <f t="array" ref="K773">IF(OR(H773="",H773="Selecciona.."),"",XLOOKUP(H773,Propiedades!B:B,Propiedades!C:C,"",0,1))</f>
        <v/>
      </c>
    </row>
    <row r="774">
      <c r="A774" s="14" t="str">
        <f t="shared" si="1"/>
        <v/>
      </c>
      <c r="B774" s="14" t="str">
        <f t="array" ref="B774">IF(OR(G774="",G774="Selecciona.."),"",XLOOKUP(G774,Productos!E:E,Productos!A:A,"",0,1))</f>
        <v/>
      </c>
      <c r="C774" s="14" t="str">
        <f t="array" ref="C774">IF(B774="","",SUMIF(Implementos!B:B,XLOOKUP(B774,Productos!A:A,Productos!F:F,"",0,1),Implementos!A:A))</f>
        <v/>
      </c>
      <c r="D774" s="14" t="str">
        <f t="array" ref="D774">IF(OR(H774="",H774="Selecciona.."),"",XLOOKUP(H774,Propiedades!B:B,Propiedades!A:A,"",0,1))</f>
        <v/>
      </c>
      <c r="E774" s="14" t="str">
        <f t="shared" si="2"/>
        <v/>
      </c>
      <c r="F774" s="14" t="str">
        <f t="shared" si="3"/>
        <v/>
      </c>
      <c r="G774" s="15" t="str">
        <f t="shared" si="8"/>
        <v/>
      </c>
      <c r="H774" s="15" t="str">
        <f t="shared" si="9"/>
        <v/>
      </c>
      <c r="I774" s="16" t="str">
        <f t="shared" si="10"/>
        <v/>
      </c>
      <c r="J774" s="17"/>
      <c r="K774" s="14" t="str">
        <f t="array" ref="K774">IF(OR(H774="",H774="Selecciona.."),"",XLOOKUP(H774,Propiedades!B:B,Propiedades!C:C,"",0,1))</f>
        <v/>
      </c>
    </row>
    <row r="775">
      <c r="A775" s="14" t="str">
        <f t="shared" si="1"/>
        <v/>
      </c>
      <c r="B775" s="14" t="str">
        <f t="array" ref="B775">IF(OR(G775="",G775="Selecciona.."),"",XLOOKUP(G775,Productos!E:E,Productos!A:A,"",0,1))</f>
        <v/>
      </c>
      <c r="C775" s="14" t="str">
        <f t="array" ref="C775">IF(B775="","",SUMIF(Implementos!B:B,XLOOKUP(B775,Productos!A:A,Productos!F:F,"",0,1),Implementos!A:A))</f>
        <v/>
      </c>
      <c r="D775" s="14" t="str">
        <f t="array" ref="D775">IF(OR(H775="",H775="Selecciona.."),"",XLOOKUP(H775,Propiedades!B:B,Propiedades!A:A,"",0,1))</f>
        <v/>
      </c>
      <c r="E775" s="14" t="str">
        <f t="shared" si="2"/>
        <v/>
      </c>
      <c r="F775" s="14" t="str">
        <f t="shared" si="3"/>
        <v/>
      </c>
      <c r="G775" s="15" t="str">
        <f t="shared" si="8"/>
        <v/>
      </c>
      <c r="H775" s="15" t="str">
        <f t="shared" si="9"/>
        <v/>
      </c>
      <c r="I775" s="16" t="str">
        <f t="shared" si="10"/>
        <v/>
      </c>
      <c r="J775" s="17"/>
      <c r="K775" s="14" t="str">
        <f t="array" ref="K775">IF(OR(H775="",H775="Selecciona.."),"",XLOOKUP(H775,Propiedades!B:B,Propiedades!C:C,"",0,1))</f>
        <v/>
      </c>
    </row>
    <row r="776">
      <c r="A776" s="14" t="str">
        <f t="shared" si="1"/>
        <v/>
      </c>
      <c r="B776" s="14" t="str">
        <f t="array" ref="B776">IF(OR(G776="",G776="Selecciona.."),"",XLOOKUP(G776,Productos!E:E,Productos!A:A,"",0,1))</f>
        <v/>
      </c>
      <c r="C776" s="14" t="str">
        <f t="array" ref="C776">IF(B776="","",SUMIF(Implementos!B:B,XLOOKUP(B776,Productos!A:A,Productos!F:F,"",0,1),Implementos!A:A))</f>
        <v/>
      </c>
      <c r="D776" s="14" t="str">
        <f t="array" ref="D776">IF(OR(H776="",H776="Selecciona.."),"",XLOOKUP(H776,Propiedades!B:B,Propiedades!A:A,"",0,1))</f>
        <v/>
      </c>
      <c r="E776" s="14" t="str">
        <f t="shared" si="2"/>
        <v/>
      </c>
      <c r="F776" s="14" t="str">
        <f t="shared" si="3"/>
        <v/>
      </c>
      <c r="G776" s="15" t="str">
        <f t="shared" si="8"/>
        <v/>
      </c>
      <c r="H776" s="15" t="str">
        <f t="shared" si="9"/>
        <v/>
      </c>
      <c r="I776" s="16" t="str">
        <f t="shared" si="10"/>
        <v/>
      </c>
      <c r="J776" s="17"/>
      <c r="K776" s="14" t="str">
        <f t="array" ref="K776">IF(OR(H776="",H776="Selecciona.."),"",XLOOKUP(H776,Propiedades!B:B,Propiedades!C:C,"",0,1))</f>
        <v/>
      </c>
    </row>
    <row r="777">
      <c r="A777" s="14" t="str">
        <f t="shared" si="1"/>
        <v/>
      </c>
      <c r="B777" s="14" t="str">
        <f t="array" ref="B777">IF(OR(G777="",G777="Selecciona.."),"",XLOOKUP(G777,Productos!E:E,Productos!A:A,"",0,1))</f>
        <v/>
      </c>
      <c r="C777" s="14" t="str">
        <f t="array" ref="C777">IF(B777="","",SUMIF(Implementos!B:B,XLOOKUP(B777,Productos!A:A,Productos!F:F,"",0,1),Implementos!A:A))</f>
        <v/>
      </c>
      <c r="D777" s="14" t="str">
        <f t="array" ref="D777">IF(OR(H777="",H777="Selecciona.."),"",XLOOKUP(H777,Propiedades!B:B,Propiedades!A:A,"",0,1))</f>
        <v/>
      </c>
      <c r="E777" s="14" t="str">
        <f t="shared" si="2"/>
        <v/>
      </c>
      <c r="F777" s="14" t="str">
        <f t="shared" si="3"/>
        <v/>
      </c>
      <c r="G777" s="15" t="str">
        <f t="shared" si="8"/>
        <v/>
      </c>
      <c r="H777" s="15" t="str">
        <f t="shared" si="9"/>
        <v/>
      </c>
      <c r="I777" s="16" t="str">
        <f t="shared" si="10"/>
        <v/>
      </c>
      <c r="J777" s="17"/>
      <c r="K777" s="14" t="str">
        <f t="array" ref="K777">IF(OR(H777="",H777="Selecciona.."),"",XLOOKUP(H777,Propiedades!B:B,Propiedades!C:C,"",0,1))</f>
        <v/>
      </c>
    </row>
    <row r="778">
      <c r="A778" s="14" t="str">
        <f t="shared" si="1"/>
        <v/>
      </c>
      <c r="B778" s="14" t="str">
        <f t="array" ref="B778">IF(OR(G778="",G778="Selecciona.."),"",XLOOKUP(G778,Productos!E:E,Productos!A:A,"",0,1))</f>
        <v/>
      </c>
      <c r="C778" s="14" t="str">
        <f t="array" ref="C778">IF(B778="","",SUMIF(Implementos!B:B,XLOOKUP(B778,Productos!A:A,Productos!F:F,"",0,1),Implementos!A:A))</f>
        <v/>
      </c>
      <c r="D778" s="14" t="str">
        <f t="array" ref="D778">IF(OR(H778="",H778="Selecciona.."),"",XLOOKUP(H778,Propiedades!B:B,Propiedades!A:A,"",0,1))</f>
        <v/>
      </c>
      <c r="E778" s="14" t="str">
        <f t="shared" si="2"/>
        <v/>
      </c>
      <c r="F778" s="14" t="str">
        <f t="shared" si="3"/>
        <v/>
      </c>
      <c r="G778" s="15" t="str">
        <f t="shared" si="8"/>
        <v/>
      </c>
      <c r="H778" s="15" t="str">
        <f t="shared" si="9"/>
        <v/>
      </c>
      <c r="I778" s="16" t="str">
        <f t="shared" si="10"/>
        <v/>
      </c>
      <c r="J778" s="17"/>
      <c r="K778" s="14" t="str">
        <f t="array" ref="K778">IF(OR(H778="",H778="Selecciona.."),"",XLOOKUP(H778,Propiedades!B:B,Propiedades!C:C,"",0,1))</f>
        <v/>
      </c>
    </row>
    <row r="779">
      <c r="A779" s="14" t="str">
        <f t="shared" si="1"/>
        <v/>
      </c>
      <c r="B779" s="14" t="str">
        <f t="array" ref="B779">IF(OR(G779="",G779="Selecciona.."),"",XLOOKUP(G779,Productos!E:E,Productos!A:A,"",0,1))</f>
        <v/>
      </c>
      <c r="C779" s="14" t="str">
        <f t="array" ref="C779">IF(B779="","",SUMIF(Implementos!B:B,XLOOKUP(B779,Productos!A:A,Productos!F:F,"",0,1),Implementos!A:A))</f>
        <v/>
      </c>
      <c r="D779" s="14" t="str">
        <f t="array" ref="D779">IF(OR(H779="",H779="Selecciona.."),"",XLOOKUP(H779,Propiedades!B:B,Propiedades!A:A,"",0,1))</f>
        <v/>
      </c>
      <c r="E779" s="14" t="str">
        <f t="shared" si="2"/>
        <v/>
      </c>
      <c r="F779" s="14" t="str">
        <f t="shared" si="3"/>
        <v/>
      </c>
      <c r="G779" s="15" t="str">
        <f t="shared" si="8"/>
        <v/>
      </c>
      <c r="H779" s="15" t="str">
        <f t="shared" si="9"/>
        <v/>
      </c>
      <c r="I779" s="16" t="str">
        <f t="shared" si="10"/>
        <v/>
      </c>
      <c r="J779" s="17"/>
      <c r="K779" s="14" t="str">
        <f t="array" ref="K779">IF(OR(H779="",H779="Selecciona.."),"",XLOOKUP(H779,Propiedades!B:B,Propiedades!C:C,"",0,1))</f>
        <v/>
      </c>
    </row>
    <row r="780">
      <c r="A780" s="14" t="str">
        <f t="shared" si="1"/>
        <v/>
      </c>
      <c r="B780" s="14" t="str">
        <f t="array" ref="B780">IF(OR(G780="",G780="Selecciona.."),"",XLOOKUP(G780,Productos!E:E,Productos!A:A,"",0,1))</f>
        <v/>
      </c>
      <c r="C780" s="14" t="str">
        <f t="array" ref="C780">IF(B780="","",SUMIF(Implementos!B:B,XLOOKUP(B780,Productos!A:A,Productos!F:F,"",0,1),Implementos!A:A))</f>
        <v/>
      </c>
      <c r="D780" s="14" t="str">
        <f t="array" ref="D780">IF(OR(H780="",H780="Selecciona.."),"",XLOOKUP(H780,Propiedades!B:B,Propiedades!A:A,"",0,1))</f>
        <v/>
      </c>
      <c r="E780" s="14" t="str">
        <f t="shared" si="2"/>
        <v/>
      </c>
      <c r="F780" s="14" t="str">
        <f t="shared" si="3"/>
        <v/>
      </c>
      <c r="G780" s="15" t="str">
        <f t="shared" si="8"/>
        <v/>
      </c>
      <c r="H780" s="15" t="str">
        <f t="shared" si="9"/>
        <v/>
      </c>
      <c r="I780" s="16" t="str">
        <f t="shared" si="10"/>
        <v/>
      </c>
      <c r="J780" s="17"/>
      <c r="K780" s="14" t="str">
        <f t="array" ref="K780">IF(OR(H780="",H780="Selecciona.."),"",XLOOKUP(H780,Propiedades!B:B,Propiedades!C:C,"",0,1))</f>
        <v/>
      </c>
    </row>
    <row r="781">
      <c r="A781" s="14" t="str">
        <f t="shared" si="1"/>
        <v/>
      </c>
      <c r="B781" s="14" t="str">
        <f t="array" ref="B781">IF(OR(G781="",G781="Selecciona.."),"",XLOOKUP(G781,Productos!E:E,Productos!A:A,"",0,1))</f>
        <v/>
      </c>
      <c r="C781" s="14" t="str">
        <f t="array" ref="C781">IF(B781="","",SUMIF(Implementos!B:B,XLOOKUP(B781,Productos!A:A,Productos!F:F,"",0,1),Implementos!A:A))</f>
        <v/>
      </c>
      <c r="D781" s="14" t="str">
        <f t="array" ref="D781">IF(OR(H781="",H781="Selecciona.."),"",XLOOKUP(H781,Propiedades!B:B,Propiedades!A:A,"",0,1))</f>
        <v/>
      </c>
      <c r="E781" s="14" t="str">
        <f t="shared" si="2"/>
        <v/>
      </c>
      <c r="F781" s="14" t="str">
        <f t="shared" si="3"/>
        <v/>
      </c>
      <c r="G781" s="15" t="str">
        <f t="shared" si="8"/>
        <v/>
      </c>
      <c r="H781" s="15" t="str">
        <f t="shared" si="9"/>
        <v/>
      </c>
      <c r="I781" s="16" t="str">
        <f t="shared" si="10"/>
        <v/>
      </c>
      <c r="J781" s="17"/>
      <c r="K781" s="14" t="str">
        <f t="array" ref="K781">IF(OR(H781="",H781="Selecciona.."),"",XLOOKUP(H781,Propiedades!B:B,Propiedades!C:C,"",0,1))</f>
        <v/>
      </c>
    </row>
    <row r="782">
      <c r="A782" s="14" t="str">
        <f t="shared" si="1"/>
        <v/>
      </c>
      <c r="B782" s="14" t="str">
        <f t="array" ref="B782">IF(OR(G782="",G782="Selecciona.."),"",XLOOKUP(G782,Productos!E:E,Productos!A:A,"",0,1))</f>
        <v/>
      </c>
      <c r="C782" s="14" t="str">
        <f t="array" ref="C782">IF(B782="","",SUMIF(Implementos!B:B,XLOOKUP(B782,Productos!A:A,Productos!F:F,"",0,1),Implementos!A:A))</f>
        <v/>
      </c>
      <c r="D782" s="14" t="str">
        <f t="array" ref="D782">IF(OR(H782="",H782="Selecciona.."),"",XLOOKUP(H782,Propiedades!B:B,Propiedades!A:A,"",0,1))</f>
        <v/>
      </c>
      <c r="E782" s="14" t="str">
        <f t="shared" si="2"/>
        <v/>
      </c>
      <c r="F782" s="14" t="str">
        <f t="shared" si="3"/>
        <v/>
      </c>
      <c r="G782" s="15" t="str">
        <f t="shared" si="8"/>
        <v/>
      </c>
      <c r="H782" s="15" t="str">
        <f t="shared" si="9"/>
        <v/>
      </c>
      <c r="I782" s="16" t="str">
        <f t="shared" si="10"/>
        <v/>
      </c>
      <c r="J782" s="17"/>
      <c r="K782" s="14" t="str">
        <f t="array" ref="K782">IF(OR(H782="",H782="Selecciona.."),"",XLOOKUP(H782,Propiedades!B:B,Propiedades!C:C,"",0,1))</f>
        <v/>
      </c>
    </row>
    <row r="783">
      <c r="A783" s="14" t="str">
        <f t="shared" si="1"/>
        <v/>
      </c>
      <c r="B783" s="14" t="str">
        <f t="array" ref="B783">IF(OR(G783="",G783="Selecciona.."),"",XLOOKUP(G783,Productos!E:E,Productos!A:A,"",0,1))</f>
        <v/>
      </c>
      <c r="C783" s="14" t="str">
        <f t="array" ref="C783">IF(B783="","",SUMIF(Implementos!B:B,XLOOKUP(B783,Productos!A:A,Productos!F:F,"",0,1),Implementos!A:A))</f>
        <v/>
      </c>
      <c r="D783" s="14" t="str">
        <f t="array" ref="D783">IF(OR(H783="",H783="Selecciona.."),"",XLOOKUP(H783,Propiedades!B:B,Propiedades!A:A,"",0,1))</f>
        <v/>
      </c>
      <c r="E783" s="14" t="str">
        <f t="shared" si="2"/>
        <v/>
      </c>
      <c r="F783" s="14" t="str">
        <f t="shared" si="3"/>
        <v/>
      </c>
      <c r="G783" s="15" t="str">
        <f t="shared" si="8"/>
        <v/>
      </c>
      <c r="H783" s="15" t="str">
        <f t="shared" si="9"/>
        <v/>
      </c>
      <c r="I783" s="16" t="str">
        <f t="shared" si="10"/>
        <v/>
      </c>
      <c r="J783" s="17"/>
      <c r="K783" s="14" t="str">
        <f t="array" ref="K783">IF(OR(H783="",H783="Selecciona.."),"",XLOOKUP(H783,Propiedades!B:B,Propiedades!C:C,"",0,1))</f>
        <v/>
      </c>
    </row>
    <row r="784">
      <c r="A784" s="14" t="str">
        <f t="shared" si="1"/>
        <v/>
      </c>
      <c r="B784" s="14" t="str">
        <f t="array" ref="B784">IF(OR(G784="",G784="Selecciona.."),"",XLOOKUP(G784,Productos!E:E,Productos!A:A,"",0,1))</f>
        <v/>
      </c>
      <c r="C784" s="14" t="str">
        <f t="array" ref="C784">IF(B784="","",SUMIF(Implementos!B:B,XLOOKUP(B784,Productos!A:A,Productos!F:F,"",0,1),Implementos!A:A))</f>
        <v/>
      </c>
      <c r="D784" s="14" t="str">
        <f t="array" ref="D784">IF(OR(H784="",H784="Selecciona.."),"",XLOOKUP(H784,Propiedades!B:B,Propiedades!A:A,"",0,1))</f>
        <v/>
      </c>
      <c r="E784" s="14" t="str">
        <f t="shared" si="2"/>
        <v/>
      </c>
      <c r="F784" s="14" t="str">
        <f t="shared" si="3"/>
        <v/>
      </c>
      <c r="G784" s="15" t="str">
        <f t="shared" si="8"/>
        <v/>
      </c>
      <c r="H784" s="15" t="str">
        <f t="shared" si="9"/>
        <v/>
      </c>
      <c r="I784" s="16" t="str">
        <f t="shared" si="10"/>
        <v/>
      </c>
      <c r="J784" s="17"/>
      <c r="K784" s="14" t="str">
        <f t="array" ref="K784">IF(OR(H784="",H784="Selecciona.."),"",XLOOKUP(H784,Propiedades!B:B,Propiedades!C:C,"",0,1))</f>
        <v/>
      </c>
    </row>
    <row r="785">
      <c r="A785" s="14" t="str">
        <f t="shared" si="1"/>
        <v/>
      </c>
      <c r="B785" s="14" t="str">
        <f t="array" ref="B785">IF(OR(G785="",G785="Selecciona.."),"",XLOOKUP(G785,Productos!E:E,Productos!A:A,"",0,1))</f>
        <v/>
      </c>
      <c r="C785" s="14" t="str">
        <f t="array" ref="C785">IF(B785="","",SUMIF(Implementos!B:B,XLOOKUP(B785,Productos!A:A,Productos!F:F,"",0,1),Implementos!A:A))</f>
        <v/>
      </c>
      <c r="D785" s="14" t="str">
        <f t="array" ref="D785">IF(OR(H785="",H785="Selecciona.."),"",XLOOKUP(H785,Propiedades!B:B,Propiedades!A:A,"",0,1))</f>
        <v/>
      </c>
      <c r="E785" s="14" t="str">
        <f t="shared" si="2"/>
        <v/>
      </c>
      <c r="F785" s="14" t="str">
        <f t="shared" si="3"/>
        <v/>
      </c>
      <c r="G785" s="15" t="str">
        <f t="shared" si="8"/>
        <v/>
      </c>
      <c r="H785" s="15" t="str">
        <f t="shared" si="9"/>
        <v/>
      </c>
      <c r="I785" s="16" t="str">
        <f t="shared" si="10"/>
        <v/>
      </c>
      <c r="J785" s="17"/>
      <c r="K785" s="14" t="str">
        <f t="array" ref="K785">IF(OR(H785="",H785="Selecciona.."),"",XLOOKUP(H785,Propiedades!B:B,Propiedades!C:C,"",0,1))</f>
        <v/>
      </c>
    </row>
    <row r="786">
      <c r="A786" s="14" t="str">
        <f t="shared" si="1"/>
        <v/>
      </c>
      <c r="B786" s="14" t="str">
        <f t="array" ref="B786">IF(OR(G786="",G786="Selecciona.."),"",XLOOKUP(G786,Productos!E:E,Productos!A:A,"",0,1))</f>
        <v/>
      </c>
      <c r="C786" s="14" t="str">
        <f t="array" ref="C786">IF(B786="","",SUMIF(Implementos!B:B,XLOOKUP(B786,Productos!A:A,Productos!F:F,"",0,1),Implementos!A:A))</f>
        <v/>
      </c>
      <c r="D786" s="14" t="str">
        <f t="array" ref="D786">IF(OR(H786="",H786="Selecciona.."),"",XLOOKUP(H786,Propiedades!B:B,Propiedades!A:A,"",0,1))</f>
        <v/>
      </c>
      <c r="E786" s="14" t="str">
        <f t="shared" si="2"/>
        <v/>
      </c>
      <c r="F786" s="14" t="str">
        <f t="shared" si="3"/>
        <v/>
      </c>
      <c r="G786" s="15" t="str">
        <f t="shared" si="8"/>
        <v/>
      </c>
      <c r="H786" s="15" t="str">
        <f t="shared" si="9"/>
        <v/>
      </c>
      <c r="I786" s="16" t="str">
        <f t="shared" si="10"/>
        <v/>
      </c>
      <c r="J786" s="17"/>
      <c r="K786" s="14" t="str">
        <f t="array" ref="K786">IF(OR(H786="",H786="Selecciona.."),"",XLOOKUP(H786,Propiedades!B:B,Propiedades!C:C,"",0,1))</f>
        <v/>
      </c>
    </row>
    <row r="787">
      <c r="A787" s="14" t="str">
        <f t="shared" si="1"/>
        <v/>
      </c>
      <c r="B787" s="14" t="str">
        <f t="array" ref="B787">IF(OR(G787="",G787="Selecciona.."),"",XLOOKUP(G787,Productos!E:E,Productos!A:A,"",0,1))</f>
        <v/>
      </c>
      <c r="C787" s="14" t="str">
        <f t="array" ref="C787">IF(B787="","",SUMIF(Implementos!B:B,XLOOKUP(B787,Productos!A:A,Productos!F:F,"",0,1),Implementos!A:A))</f>
        <v/>
      </c>
      <c r="D787" s="14" t="str">
        <f t="array" ref="D787">IF(OR(H787="",H787="Selecciona.."),"",XLOOKUP(H787,Propiedades!B:B,Propiedades!A:A,"",0,1))</f>
        <v/>
      </c>
      <c r="E787" s="14" t="str">
        <f t="shared" si="2"/>
        <v/>
      </c>
      <c r="F787" s="14" t="str">
        <f t="shared" si="3"/>
        <v/>
      </c>
      <c r="G787" s="15" t="str">
        <f t="shared" si="8"/>
        <v/>
      </c>
      <c r="H787" s="15" t="str">
        <f t="shared" si="9"/>
        <v/>
      </c>
      <c r="I787" s="16" t="str">
        <f t="shared" si="10"/>
        <v/>
      </c>
      <c r="J787" s="17"/>
      <c r="K787" s="14" t="str">
        <f t="array" ref="K787">IF(OR(H787="",H787="Selecciona.."),"",XLOOKUP(H787,Propiedades!B:B,Propiedades!C:C,"",0,1))</f>
        <v/>
      </c>
    </row>
    <row r="788">
      <c r="A788" s="14" t="str">
        <f t="shared" si="1"/>
        <v/>
      </c>
      <c r="B788" s="14" t="str">
        <f t="array" ref="B788">IF(OR(G788="",G788="Selecciona.."),"",XLOOKUP(G788,Productos!E:E,Productos!A:A,"",0,1))</f>
        <v/>
      </c>
      <c r="C788" s="14" t="str">
        <f t="array" ref="C788">IF(B788="","",SUMIF(Implementos!B:B,XLOOKUP(B788,Productos!A:A,Productos!F:F,"",0,1),Implementos!A:A))</f>
        <v/>
      </c>
      <c r="D788" s="14" t="str">
        <f t="array" ref="D788">IF(OR(H788="",H788="Selecciona.."),"",XLOOKUP(H788,Propiedades!B:B,Propiedades!A:A,"",0,1))</f>
        <v/>
      </c>
      <c r="E788" s="14" t="str">
        <f t="shared" si="2"/>
        <v/>
      </c>
      <c r="F788" s="14" t="str">
        <f t="shared" si="3"/>
        <v/>
      </c>
      <c r="G788" s="15" t="str">
        <f t="shared" si="8"/>
        <v/>
      </c>
      <c r="H788" s="15" t="str">
        <f t="shared" si="9"/>
        <v/>
      </c>
      <c r="I788" s="16" t="str">
        <f t="shared" si="10"/>
        <v/>
      </c>
      <c r="J788" s="17"/>
      <c r="K788" s="14" t="str">
        <f t="array" ref="K788">IF(OR(H788="",H788="Selecciona.."),"",XLOOKUP(H788,Propiedades!B:B,Propiedades!C:C,"",0,1))</f>
        <v/>
      </c>
    </row>
    <row r="789">
      <c r="A789" s="14" t="str">
        <f t="shared" si="1"/>
        <v/>
      </c>
      <c r="B789" s="14" t="str">
        <f t="array" ref="B789">IF(OR(G789="",G789="Selecciona.."),"",XLOOKUP(G789,Productos!E:E,Productos!A:A,"",0,1))</f>
        <v/>
      </c>
      <c r="C789" s="14" t="str">
        <f t="array" ref="C789">IF(B789="","",SUMIF(Implementos!B:B,XLOOKUP(B789,Productos!A:A,Productos!F:F,"",0,1),Implementos!A:A))</f>
        <v/>
      </c>
      <c r="D789" s="14" t="str">
        <f t="array" ref="D789">IF(OR(H789="",H789="Selecciona.."),"",XLOOKUP(H789,Propiedades!B:B,Propiedades!A:A,"",0,1))</f>
        <v/>
      </c>
      <c r="E789" s="14" t="str">
        <f t="shared" si="2"/>
        <v/>
      </c>
      <c r="F789" s="14" t="str">
        <f t="shared" si="3"/>
        <v/>
      </c>
      <c r="G789" s="15" t="str">
        <f t="shared" si="8"/>
        <v/>
      </c>
      <c r="H789" s="15" t="str">
        <f t="shared" si="9"/>
        <v/>
      </c>
      <c r="I789" s="16" t="str">
        <f t="shared" si="10"/>
        <v/>
      </c>
      <c r="J789" s="17"/>
      <c r="K789" s="14" t="str">
        <f t="array" ref="K789">IF(OR(H789="",H789="Selecciona.."),"",XLOOKUP(H789,Propiedades!B:B,Propiedades!C:C,"",0,1))</f>
        <v/>
      </c>
    </row>
    <row r="790">
      <c r="A790" s="14" t="str">
        <f t="shared" si="1"/>
        <v/>
      </c>
      <c r="B790" s="14" t="str">
        <f t="array" ref="B790">IF(OR(G790="",G790="Selecciona.."),"",XLOOKUP(G790,Productos!E:E,Productos!A:A,"",0,1))</f>
        <v/>
      </c>
      <c r="C790" s="14" t="str">
        <f t="array" ref="C790">IF(B790="","",SUMIF(Implementos!B:B,XLOOKUP(B790,Productos!A:A,Productos!F:F,"",0,1),Implementos!A:A))</f>
        <v/>
      </c>
      <c r="D790" s="14" t="str">
        <f t="array" ref="D790">IF(OR(H790="",H790="Selecciona.."),"",XLOOKUP(H790,Propiedades!B:B,Propiedades!A:A,"",0,1))</f>
        <v/>
      </c>
      <c r="E790" s="14" t="str">
        <f t="shared" si="2"/>
        <v/>
      </c>
      <c r="F790" s="14" t="str">
        <f t="shared" si="3"/>
        <v/>
      </c>
      <c r="G790" s="15" t="str">
        <f t="shared" si="8"/>
        <v/>
      </c>
      <c r="H790" s="15" t="str">
        <f t="shared" si="9"/>
        <v/>
      </c>
      <c r="I790" s="16" t="str">
        <f t="shared" si="10"/>
        <v/>
      </c>
      <c r="J790" s="17"/>
      <c r="K790" s="14" t="str">
        <f t="array" ref="K790">IF(OR(H790="",H790="Selecciona.."),"",XLOOKUP(H790,Propiedades!B:B,Propiedades!C:C,"",0,1))</f>
        <v/>
      </c>
    </row>
    <row r="791">
      <c r="A791" s="14" t="str">
        <f t="shared" si="1"/>
        <v/>
      </c>
      <c r="B791" s="14" t="str">
        <f t="array" ref="B791">IF(OR(G791="",G791="Selecciona.."),"",XLOOKUP(G791,Productos!E:E,Productos!A:A,"",0,1))</f>
        <v/>
      </c>
      <c r="C791" s="14" t="str">
        <f t="array" ref="C791">IF(B791="","",SUMIF(Implementos!B:B,XLOOKUP(B791,Productos!A:A,Productos!F:F,"",0,1),Implementos!A:A))</f>
        <v/>
      </c>
      <c r="D791" s="14" t="str">
        <f t="array" ref="D791">IF(OR(H791="",H791="Selecciona.."),"",XLOOKUP(H791,Propiedades!B:B,Propiedades!A:A,"",0,1))</f>
        <v/>
      </c>
      <c r="E791" s="14" t="str">
        <f t="shared" si="2"/>
        <v/>
      </c>
      <c r="F791" s="14" t="str">
        <f t="shared" si="3"/>
        <v/>
      </c>
      <c r="G791" s="15" t="str">
        <f t="shared" si="8"/>
        <v/>
      </c>
      <c r="H791" s="15" t="str">
        <f t="shared" si="9"/>
        <v/>
      </c>
      <c r="I791" s="16" t="str">
        <f t="shared" si="10"/>
        <v/>
      </c>
      <c r="J791" s="17"/>
      <c r="K791" s="14" t="str">
        <f t="array" ref="K791">IF(OR(H791="",H791="Selecciona.."),"",XLOOKUP(H791,Propiedades!B:B,Propiedades!C:C,"",0,1))</f>
        <v/>
      </c>
    </row>
    <row r="792">
      <c r="A792" s="14" t="str">
        <f t="shared" si="1"/>
        <v/>
      </c>
      <c r="B792" s="14" t="str">
        <f t="array" ref="B792">IF(OR(G792="",G792="Selecciona.."),"",XLOOKUP(G792,Productos!E:E,Productos!A:A,"",0,1))</f>
        <v/>
      </c>
      <c r="C792" s="14" t="str">
        <f t="array" ref="C792">IF(B792="","",SUMIF(Implementos!B:B,XLOOKUP(B792,Productos!A:A,Productos!F:F,"",0,1),Implementos!A:A))</f>
        <v/>
      </c>
      <c r="D792" s="14" t="str">
        <f t="array" ref="D792">IF(OR(H792="",H792="Selecciona.."),"",XLOOKUP(H792,Propiedades!B:B,Propiedades!A:A,"",0,1))</f>
        <v/>
      </c>
      <c r="E792" s="14" t="str">
        <f t="shared" si="2"/>
        <v/>
      </c>
      <c r="F792" s="14" t="str">
        <f t="shared" si="3"/>
        <v/>
      </c>
      <c r="G792" s="15" t="str">
        <f t="shared" si="8"/>
        <v/>
      </c>
      <c r="H792" s="15" t="str">
        <f t="shared" si="9"/>
        <v/>
      </c>
      <c r="I792" s="16" t="str">
        <f t="shared" si="10"/>
        <v/>
      </c>
      <c r="J792" s="17"/>
      <c r="K792" s="14" t="str">
        <f t="array" ref="K792">IF(OR(H792="",H792="Selecciona.."),"",XLOOKUP(H792,Propiedades!B:B,Propiedades!C:C,"",0,1))</f>
        <v/>
      </c>
    </row>
    <row r="793">
      <c r="A793" s="14" t="str">
        <f t="shared" si="1"/>
        <v/>
      </c>
      <c r="B793" s="14" t="str">
        <f t="array" ref="B793">IF(OR(G793="",G793="Selecciona.."),"",XLOOKUP(G793,Productos!E:E,Productos!A:A,"",0,1))</f>
        <v/>
      </c>
      <c r="C793" s="14" t="str">
        <f t="array" ref="C793">IF(B793="","",SUMIF(Implementos!B:B,XLOOKUP(B793,Productos!A:A,Productos!F:F,"",0,1),Implementos!A:A))</f>
        <v/>
      </c>
      <c r="D793" s="14" t="str">
        <f t="array" ref="D793">IF(OR(H793="",H793="Selecciona.."),"",XLOOKUP(H793,Propiedades!B:B,Propiedades!A:A,"",0,1))</f>
        <v/>
      </c>
      <c r="E793" s="14" t="str">
        <f t="shared" si="2"/>
        <v/>
      </c>
      <c r="F793" s="14" t="str">
        <f t="shared" si="3"/>
        <v/>
      </c>
      <c r="G793" s="15" t="str">
        <f t="shared" si="8"/>
        <v/>
      </c>
      <c r="H793" s="15" t="str">
        <f t="shared" si="9"/>
        <v/>
      </c>
      <c r="I793" s="16" t="str">
        <f t="shared" si="10"/>
        <v/>
      </c>
      <c r="J793" s="17"/>
      <c r="K793" s="14" t="str">
        <f t="array" ref="K793">IF(OR(H793="",H793="Selecciona.."),"",XLOOKUP(H793,Propiedades!B:B,Propiedades!C:C,"",0,1))</f>
        <v/>
      </c>
    </row>
    <row r="794">
      <c r="A794" s="14" t="str">
        <f t="shared" si="1"/>
        <v/>
      </c>
      <c r="B794" s="14" t="str">
        <f t="array" ref="B794">IF(OR(G794="",G794="Selecciona.."),"",XLOOKUP(G794,Productos!E:E,Productos!A:A,"",0,1))</f>
        <v/>
      </c>
      <c r="C794" s="14" t="str">
        <f t="array" ref="C794">IF(B794="","",SUMIF(Implementos!B:B,XLOOKUP(B794,Productos!A:A,Productos!F:F,"",0,1),Implementos!A:A))</f>
        <v/>
      </c>
      <c r="D794" s="14" t="str">
        <f t="array" ref="D794">IF(OR(H794="",H794="Selecciona.."),"",XLOOKUP(H794,Propiedades!B:B,Propiedades!A:A,"",0,1))</f>
        <v/>
      </c>
      <c r="E794" s="14" t="str">
        <f t="shared" si="2"/>
        <v/>
      </c>
      <c r="F794" s="14" t="str">
        <f t="shared" si="3"/>
        <v/>
      </c>
      <c r="G794" s="15" t="str">
        <f t="shared" si="8"/>
        <v/>
      </c>
      <c r="H794" s="15" t="str">
        <f t="shared" si="9"/>
        <v/>
      </c>
      <c r="I794" s="16" t="str">
        <f t="shared" si="10"/>
        <v/>
      </c>
      <c r="J794" s="17"/>
      <c r="K794" s="14" t="str">
        <f t="array" ref="K794">IF(OR(H794="",H794="Selecciona.."),"",XLOOKUP(H794,Propiedades!B:B,Propiedades!C:C,"",0,1))</f>
        <v/>
      </c>
    </row>
    <row r="795">
      <c r="A795" s="14" t="str">
        <f t="shared" si="1"/>
        <v/>
      </c>
      <c r="B795" s="14" t="str">
        <f t="array" ref="B795">IF(OR(G795="",G795="Selecciona.."),"",XLOOKUP(G795,Productos!E:E,Productos!A:A,"",0,1))</f>
        <v/>
      </c>
      <c r="C795" s="14" t="str">
        <f t="array" ref="C795">IF(B795="","",SUMIF(Implementos!B:B,XLOOKUP(B795,Productos!A:A,Productos!F:F,"",0,1),Implementos!A:A))</f>
        <v/>
      </c>
      <c r="D795" s="14" t="str">
        <f t="array" ref="D795">IF(OR(H795="",H795="Selecciona.."),"",XLOOKUP(H795,Propiedades!B:B,Propiedades!A:A,"",0,1))</f>
        <v/>
      </c>
      <c r="E795" s="14" t="str">
        <f t="shared" si="2"/>
        <v/>
      </c>
      <c r="F795" s="14" t="str">
        <f t="shared" si="3"/>
        <v/>
      </c>
      <c r="G795" s="15" t="str">
        <f t="shared" si="8"/>
        <v/>
      </c>
      <c r="H795" s="15" t="str">
        <f t="shared" si="9"/>
        <v/>
      </c>
      <c r="I795" s="16" t="str">
        <f t="shared" si="10"/>
        <v/>
      </c>
      <c r="J795" s="17"/>
      <c r="K795" s="14" t="str">
        <f t="array" ref="K795">IF(OR(H795="",H795="Selecciona.."),"",XLOOKUP(H795,Propiedades!B:B,Propiedades!C:C,"",0,1))</f>
        <v/>
      </c>
    </row>
    <row r="796">
      <c r="A796" s="14" t="str">
        <f t="shared" si="1"/>
        <v/>
      </c>
      <c r="B796" s="14" t="str">
        <f t="array" ref="B796">IF(OR(G796="",G796="Selecciona.."),"",XLOOKUP(G796,Productos!E:E,Productos!A:A,"",0,1))</f>
        <v/>
      </c>
      <c r="C796" s="14" t="str">
        <f t="array" ref="C796">IF(B796="","",SUMIF(Implementos!B:B,XLOOKUP(B796,Productos!A:A,Productos!F:F,"",0,1),Implementos!A:A))</f>
        <v/>
      </c>
      <c r="D796" s="14" t="str">
        <f t="array" ref="D796">IF(OR(H796="",H796="Selecciona.."),"",XLOOKUP(H796,Propiedades!B:B,Propiedades!A:A,"",0,1))</f>
        <v/>
      </c>
      <c r="E796" s="14" t="str">
        <f t="shared" si="2"/>
        <v/>
      </c>
      <c r="F796" s="14" t="str">
        <f t="shared" si="3"/>
        <v/>
      </c>
      <c r="G796" s="15" t="str">
        <f t="shared" si="8"/>
        <v/>
      </c>
      <c r="H796" s="15" t="str">
        <f t="shared" si="9"/>
        <v/>
      </c>
      <c r="I796" s="16" t="str">
        <f t="shared" si="10"/>
        <v/>
      </c>
      <c r="J796" s="17"/>
      <c r="K796" s="14" t="str">
        <f t="array" ref="K796">IF(OR(H796="",H796="Selecciona.."),"",XLOOKUP(H796,Propiedades!B:B,Propiedades!C:C,"",0,1))</f>
        <v/>
      </c>
    </row>
    <row r="797">
      <c r="A797" s="14" t="str">
        <f t="shared" si="1"/>
        <v/>
      </c>
      <c r="B797" s="14" t="str">
        <f t="array" ref="B797">IF(OR(G797="",G797="Selecciona.."),"",XLOOKUP(G797,Productos!E:E,Productos!A:A,"",0,1))</f>
        <v/>
      </c>
      <c r="C797" s="14" t="str">
        <f t="array" ref="C797">IF(B797="","",SUMIF(Implementos!B:B,XLOOKUP(B797,Productos!A:A,Productos!F:F,"",0,1),Implementos!A:A))</f>
        <v/>
      </c>
      <c r="D797" s="14" t="str">
        <f t="array" ref="D797">IF(OR(H797="",H797="Selecciona.."),"",XLOOKUP(H797,Propiedades!B:B,Propiedades!A:A,"",0,1))</f>
        <v/>
      </c>
      <c r="E797" s="14" t="str">
        <f t="shared" si="2"/>
        <v/>
      </c>
      <c r="F797" s="14" t="str">
        <f t="shared" si="3"/>
        <v/>
      </c>
      <c r="G797" s="15" t="str">
        <f t="shared" si="8"/>
        <v/>
      </c>
      <c r="H797" s="15" t="str">
        <f t="shared" si="9"/>
        <v/>
      </c>
      <c r="I797" s="16" t="str">
        <f t="shared" si="10"/>
        <v/>
      </c>
      <c r="J797" s="17"/>
      <c r="K797" s="14" t="str">
        <f t="array" ref="K797">IF(OR(H797="",H797="Selecciona.."),"",XLOOKUP(H797,Propiedades!B:B,Propiedades!C:C,"",0,1))</f>
        <v/>
      </c>
    </row>
    <row r="798">
      <c r="A798" s="14" t="str">
        <f t="shared" si="1"/>
        <v/>
      </c>
      <c r="B798" s="14" t="str">
        <f t="array" ref="B798">IF(OR(G798="",G798="Selecciona.."),"",XLOOKUP(G798,Productos!E:E,Productos!A:A,"",0,1))</f>
        <v/>
      </c>
      <c r="C798" s="14" t="str">
        <f t="array" ref="C798">IF(B798="","",SUMIF(Implementos!B:B,XLOOKUP(B798,Productos!A:A,Productos!F:F,"",0,1),Implementos!A:A))</f>
        <v/>
      </c>
      <c r="D798" s="14" t="str">
        <f t="array" ref="D798">IF(OR(H798="",H798="Selecciona.."),"",XLOOKUP(H798,Propiedades!B:B,Propiedades!A:A,"",0,1))</f>
        <v/>
      </c>
      <c r="E798" s="14" t="str">
        <f t="shared" si="2"/>
        <v/>
      </c>
      <c r="F798" s="14" t="str">
        <f t="shared" si="3"/>
        <v/>
      </c>
      <c r="G798" s="15" t="str">
        <f t="shared" si="8"/>
        <v/>
      </c>
      <c r="H798" s="15" t="str">
        <f t="shared" si="9"/>
        <v/>
      </c>
      <c r="I798" s="16" t="str">
        <f t="shared" si="10"/>
        <v/>
      </c>
      <c r="J798" s="17"/>
      <c r="K798" s="14" t="str">
        <f t="array" ref="K798">IF(OR(H798="",H798="Selecciona.."),"",XLOOKUP(H798,Propiedades!B:B,Propiedades!C:C,"",0,1))</f>
        <v/>
      </c>
    </row>
    <row r="799">
      <c r="A799" s="14" t="str">
        <f t="shared" si="1"/>
        <v/>
      </c>
      <c r="B799" s="14" t="str">
        <f t="array" ref="B799">IF(OR(G799="",G799="Selecciona.."),"",XLOOKUP(G799,Productos!E:E,Productos!A:A,"",0,1))</f>
        <v/>
      </c>
      <c r="C799" s="14" t="str">
        <f t="array" ref="C799">IF(B799="","",SUMIF(Implementos!B:B,XLOOKUP(B799,Productos!A:A,Productos!F:F,"",0,1),Implementos!A:A))</f>
        <v/>
      </c>
      <c r="D799" s="14" t="str">
        <f t="array" ref="D799">IF(OR(H799="",H799="Selecciona.."),"",XLOOKUP(H799,Propiedades!B:B,Propiedades!A:A,"",0,1))</f>
        <v/>
      </c>
      <c r="E799" s="14" t="str">
        <f t="shared" si="2"/>
        <v/>
      </c>
      <c r="F799" s="14" t="str">
        <f t="shared" si="3"/>
        <v/>
      </c>
      <c r="G799" s="15" t="str">
        <f t="shared" si="8"/>
        <v/>
      </c>
      <c r="H799" s="15" t="str">
        <f t="shared" si="9"/>
        <v/>
      </c>
      <c r="I799" s="16" t="str">
        <f t="shared" si="10"/>
        <v/>
      </c>
      <c r="J799" s="17"/>
      <c r="K799" s="14" t="str">
        <f t="array" ref="K799">IF(OR(H799="",H799="Selecciona.."),"",XLOOKUP(H799,Propiedades!B:B,Propiedades!C:C,"",0,1))</f>
        <v/>
      </c>
    </row>
    <row r="800">
      <c r="A800" s="14" t="str">
        <f t="shared" si="1"/>
        <v/>
      </c>
      <c r="B800" s="14" t="str">
        <f t="array" ref="B800">IF(OR(G800="",G800="Selecciona.."),"",XLOOKUP(G800,Productos!E:E,Productos!A:A,"",0,1))</f>
        <v/>
      </c>
      <c r="C800" s="14" t="str">
        <f t="array" ref="C800">IF(B800="","",SUMIF(Implementos!B:B,XLOOKUP(B800,Productos!A:A,Productos!F:F,"",0,1),Implementos!A:A))</f>
        <v/>
      </c>
      <c r="D800" s="14" t="str">
        <f t="array" ref="D800">IF(OR(H800="",H800="Selecciona.."),"",XLOOKUP(H800,Propiedades!B:B,Propiedades!A:A,"",0,1))</f>
        <v/>
      </c>
      <c r="E800" s="14" t="str">
        <f t="shared" si="2"/>
        <v/>
      </c>
      <c r="F800" s="14" t="str">
        <f t="shared" si="3"/>
        <v/>
      </c>
      <c r="G800" s="15" t="str">
        <f t="shared" si="8"/>
        <v/>
      </c>
      <c r="H800" s="15" t="str">
        <f t="shared" si="9"/>
        <v/>
      </c>
      <c r="I800" s="16" t="str">
        <f t="shared" si="10"/>
        <v/>
      </c>
      <c r="J800" s="17"/>
      <c r="K800" s="14" t="str">
        <f t="array" ref="K800">IF(OR(H800="",H800="Selecciona.."),"",XLOOKUP(H800,Propiedades!B:B,Propiedades!C:C,"",0,1))</f>
        <v/>
      </c>
    </row>
    <row r="801">
      <c r="A801" s="14" t="str">
        <f t="shared" si="1"/>
        <v/>
      </c>
      <c r="B801" s="14" t="str">
        <f t="array" ref="B801">IF(OR(G801="",G801="Selecciona.."),"",XLOOKUP(G801,Productos!E:E,Productos!A:A,"",0,1))</f>
        <v/>
      </c>
      <c r="C801" s="14" t="str">
        <f t="array" ref="C801">IF(B801="","",SUMIF(Implementos!B:B,XLOOKUP(B801,Productos!A:A,Productos!F:F,"",0,1),Implementos!A:A))</f>
        <v/>
      </c>
      <c r="D801" s="14" t="str">
        <f t="array" ref="D801">IF(OR(H801="",H801="Selecciona.."),"",XLOOKUP(H801,Propiedades!B:B,Propiedades!A:A,"",0,1))</f>
        <v/>
      </c>
      <c r="E801" s="14" t="str">
        <f t="shared" si="2"/>
        <v/>
      </c>
      <c r="F801" s="14" t="str">
        <f t="shared" si="3"/>
        <v/>
      </c>
      <c r="G801" s="15" t="str">
        <f t="shared" si="8"/>
        <v/>
      </c>
      <c r="H801" s="15" t="str">
        <f t="shared" si="9"/>
        <v/>
      </c>
      <c r="I801" s="16" t="str">
        <f t="shared" si="10"/>
        <v/>
      </c>
      <c r="J801" s="17"/>
      <c r="K801" s="14" t="str">
        <f t="array" ref="K801">IF(OR(H801="",H801="Selecciona.."),"",XLOOKUP(H801,Propiedades!B:B,Propiedades!C:C,"",0,1))</f>
        <v/>
      </c>
    </row>
    <row r="802">
      <c r="A802" s="14" t="str">
        <f t="shared" si="1"/>
        <v/>
      </c>
      <c r="B802" s="14" t="str">
        <f t="array" ref="B802">IF(OR(G802="",G802="Selecciona.."),"",XLOOKUP(G802,Productos!E:E,Productos!A:A,"",0,1))</f>
        <v/>
      </c>
      <c r="C802" s="14" t="str">
        <f t="array" ref="C802">IF(B802="","",SUMIF(Implementos!B:B,XLOOKUP(B802,Productos!A:A,Productos!F:F,"",0,1),Implementos!A:A))</f>
        <v/>
      </c>
      <c r="D802" s="14" t="str">
        <f t="array" ref="D802">IF(OR(H802="",H802="Selecciona.."),"",XLOOKUP(H802,Propiedades!B:B,Propiedades!A:A,"",0,1))</f>
        <v/>
      </c>
      <c r="E802" s="14" t="str">
        <f t="shared" si="2"/>
        <v/>
      </c>
      <c r="F802" s="14" t="str">
        <f t="shared" si="3"/>
        <v/>
      </c>
      <c r="G802" s="15" t="str">
        <f t="shared" si="8"/>
        <v/>
      </c>
      <c r="H802" s="15" t="str">
        <f t="shared" si="9"/>
        <v/>
      </c>
      <c r="I802" s="16" t="str">
        <f t="shared" si="10"/>
        <v/>
      </c>
      <c r="J802" s="17"/>
      <c r="K802" s="14" t="str">
        <f t="array" ref="K802">IF(OR(H802="",H802="Selecciona.."),"",XLOOKUP(H802,Propiedades!B:B,Propiedades!C:C,"",0,1))</f>
        <v/>
      </c>
    </row>
    <row r="803">
      <c r="A803" s="14" t="str">
        <f t="shared" si="1"/>
        <v/>
      </c>
      <c r="B803" s="14" t="str">
        <f t="array" ref="B803">IF(OR(G803="",G803="Selecciona.."),"",XLOOKUP(G803,Productos!E:E,Productos!A:A,"",0,1))</f>
        <v/>
      </c>
      <c r="C803" s="14" t="str">
        <f t="array" ref="C803">IF(B803="","",SUMIF(Implementos!B:B,XLOOKUP(B803,Productos!A:A,Productos!F:F,"",0,1),Implementos!A:A))</f>
        <v/>
      </c>
      <c r="D803" s="14" t="str">
        <f t="array" ref="D803">IF(OR(H803="",H803="Selecciona.."),"",XLOOKUP(H803,Propiedades!B:B,Propiedades!A:A,"",0,1))</f>
        <v/>
      </c>
      <c r="E803" s="14" t="str">
        <f t="shared" si="2"/>
        <v/>
      </c>
      <c r="F803" s="14" t="str">
        <f t="shared" si="3"/>
        <v/>
      </c>
      <c r="G803" s="15" t="str">
        <f t="shared" si="8"/>
        <v/>
      </c>
      <c r="H803" s="15" t="str">
        <f t="shared" si="9"/>
        <v/>
      </c>
      <c r="I803" s="16" t="str">
        <f t="shared" si="10"/>
        <v/>
      </c>
      <c r="J803" s="17"/>
      <c r="K803" s="14" t="str">
        <f t="array" ref="K803">IF(OR(H803="",H803="Selecciona.."),"",XLOOKUP(H803,Propiedades!B:B,Propiedades!C:C,"",0,1))</f>
        <v/>
      </c>
    </row>
    <row r="804">
      <c r="A804" s="14" t="str">
        <f t="shared" si="1"/>
        <v/>
      </c>
      <c r="B804" s="14" t="str">
        <f t="array" ref="B804">IF(OR(G804="",G804="Selecciona.."),"",XLOOKUP(G804,Productos!E:E,Productos!A:A,"",0,1))</f>
        <v/>
      </c>
      <c r="C804" s="14" t="str">
        <f t="array" ref="C804">IF(B804="","",SUMIF(Implementos!B:B,XLOOKUP(B804,Productos!A:A,Productos!F:F,"",0,1),Implementos!A:A))</f>
        <v/>
      </c>
      <c r="D804" s="14" t="str">
        <f t="array" ref="D804">IF(OR(H804="",H804="Selecciona.."),"",XLOOKUP(H804,Propiedades!B:B,Propiedades!A:A,"",0,1))</f>
        <v/>
      </c>
      <c r="E804" s="14" t="str">
        <f t="shared" si="2"/>
        <v/>
      </c>
      <c r="F804" s="14" t="str">
        <f t="shared" si="3"/>
        <v/>
      </c>
      <c r="G804" s="15" t="str">
        <f t="shared" si="8"/>
        <v/>
      </c>
      <c r="H804" s="15" t="str">
        <f t="shared" si="9"/>
        <v/>
      </c>
      <c r="I804" s="16" t="str">
        <f t="shared" si="10"/>
        <v/>
      </c>
      <c r="J804" s="17"/>
      <c r="K804" s="14" t="str">
        <f t="array" ref="K804">IF(OR(H804="",H804="Selecciona.."),"",XLOOKUP(H804,Propiedades!B:B,Propiedades!C:C,"",0,1))</f>
        <v/>
      </c>
    </row>
    <row r="805">
      <c r="A805" s="14" t="str">
        <f t="shared" si="1"/>
        <v/>
      </c>
      <c r="B805" s="14" t="str">
        <f t="array" ref="B805">IF(OR(G805="",G805="Selecciona.."),"",XLOOKUP(G805,Productos!E:E,Productos!A:A,"",0,1))</f>
        <v/>
      </c>
      <c r="C805" s="14" t="str">
        <f t="array" ref="C805">IF(B805="","",SUMIF(Implementos!B:B,XLOOKUP(B805,Productos!A:A,Productos!F:F,"",0,1),Implementos!A:A))</f>
        <v/>
      </c>
      <c r="D805" s="14" t="str">
        <f t="array" ref="D805">IF(OR(H805="",H805="Selecciona.."),"",XLOOKUP(H805,Propiedades!B:B,Propiedades!A:A,"",0,1))</f>
        <v/>
      </c>
      <c r="E805" s="14" t="str">
        <f t="shared" si="2"/>
        <v/>
      </c>
      <c r="F805" s="14" t="str">
        <f t="shared" si="3"/>
        <v/>
      </c>
      <c r="G805" s="15" t="str">
        <f t="shared" si="8"/>
        <v/>
      </c>
      <c r="H805" s="15" t="str">
        <f t="shared" si="9"/>
        <v/>
      </c>
      <c r="I805" s="16" t="str">
        <f t="shared" si="10"/>
        <v/>
      </c>
      <c r="J805" s="17"/>
      <c r="K805" s="14" t="str">
        <f t="array" ref="K805">IF(OR(H805="",H805="Selecciona.."),"",XLOOKUP(H805,Propiedades!B:B,Propiedades!C:C,"",0,1))</f>
        <v/>
      </c>
    </row>
    <row r="806">
      <c r="A806" s="14" t="str">
        <f t="shared" si="1"/>
        <v/>
      </c>
      <c r="B806" s="14" t="str">
        <f t="array" ref="B806">IF(OR(G806="",G806="Selecciona.."),"",XLOOKUP(G806,Productos!E:E,Productos!A:A,"",0,1))</f>
        <v/>
      </c>
      <c r="C806" s="14" t="str">
        <f t="array" ref="C806">IF(B806="","",SUMIF(Implementos!B:B,XLOOKUP(B806,Productos!A:A,Productos!F:F,"",0,1),Implementos!A:A))</f>
        <v/>
      </c>
      <c r="D806" s="14" t="str">
        <f t="array" ref="D806">IF(OR(H806="",H806="Selecciona.."),"",XLOOKUP(H806,Propiedades!B:B,Propiedades!A:A,"",0,1))</f>
        <v/>
      </c>
      <c r="E806" s="14" t="str">
        <f t="shared" si="2"/>
        <v/>
      </c>
      <c r="F806" s="14" t="str">
        <f t="shared" si="3"/>
        <v/>
      </c>
      <c r="G806" s="15" t="str">
        <f t="shared" si="8"/>
        <v/>
      </c>
      <c r="H806" s="15" t="str">
        <f t="shared" si="9"/>
        <v/>
      </c>
      <c r="I806" s="16" t="str">
        <f t="shared" si="10"/>
        <v/>
      </c>
      <c r="J806" s="17"/>
      <c r="K806" s="14" t="str">
        <f t="array" ref="K806">IF(OR(H806="",H806="Selecciona.."),"",XLOOKUP(H806,Propiedades!B:B,Propiedades!C:C,"",0,1))</f>
        <v/>
      </c>
    </row>
    <row r="807">
      <c r="A807" s="14" t="str">
        <f t="shared" si="1"/>
        <v/>
      </c>
      <c r="B807" s="14" t="str">
        <f t="array" ref="B807">IF(OR(G807="",G807="Selecciona.."),"",XLOOKUP(G807,Productos!E:E,Productos!A:A,"",0,1))</f>
        <v/>
      </c>
      <c r="C807" s="14" t="str">
        <f t="array" ref="C807">IF(B807="","",SUMIF(Implementos!B:B,XLOOKUP(B807,Productos!A:A,Productos!F:F,"",0,1),Implementos!A:A))</f>
        <v/>
      </c>
      <c r="D807" s="14" t="str">
        <f t="array" ref="D807">IF(OR(H807="",H807="Selecciona.."),"",XLOOKUP(H807,Propiedades!B:B,Propiedades!A:A,"",0,1))</f>
        <v/>
      </c>
      <c r="E807" s="14" t="str">
        <f t="shared" si="2"/>
        <v/>
      </c>
      <c r="F807" s="14" t="str">
        <f t="shared" si="3"/>
        <v/>
      </c>
      <c r="G807" s="15" t="str">
        <f t="shared" si="8"/>
        <v/>
      </c>
      <c r="H807" s="15" t="str">
        <f t="shared" si="9"/>
        <v/>
      </c>
      <c r="I807" s="16" t="str">
        <f t="shared" si="10"/>
        <v/>
      </c>
      <c r="J807" s="17"/>
      <c r="K807" s="14" t="str">
        <f t="array" ref="K807">IF(OR(H807="",H807="Selecciona.."),"",XLOOKUP(H807,Propiedades!B:B,Propiedades!C:C,"",0,1))</f>
        <v/>
      </c>
    </row>
    <row r="808">
      <c r="A808" s="14" t="str">
        <f t="shared" si="1"/>
        <v/>
      </c>
      <c r="B808" s="14" t="str">
        <f t="array" ref="B808">IF(OR(G808="",G808="Selecciona.."),"",XLOOKUP(G808,Productos!E:E,Productos!A:A,"",0,1))</f>
        <v/>
      </c>
      <c r="C808" s="14" t="str">
        <f t="array" ref="C808">IF(B808="","",SUMIF(Implementos!B:B,XLOOKUP(B808,Productos!A:A,Productos!F:F,"",0,1),Implementos!A:A))</f>
        <v/>
      </c>
      <c r="D808" s="14" t="str">
        <f t="array" ref="D808">IF(OR(H808="",H808="Selecciona.."),"",XLOOKUP(H808,Propiedades!B:B,Propiedades!A:A,"",0,1))</f>
        <v/>
      </c>
      <c r="E808" s="14" t="str">
        <f t="shared" si="2"/>
        <v/>
      </c>
      <c r="F808" s="14" t="str">
        <f t="shared" si="3"/>
        <v/>
      </c>
      <c r="G808" s="15" t="str">
        <f t="shared" si="8"/>
        <v/>
      </c>
      <c r="H808" s="15" t="str">
        <f t="shared" si="9"/>
        <v/>
      </c>
      <c r="I808" s="16" t="str">
        <f t="shared" si="10"/>
        <v/>
      </c>
      <c r="J808" s="17"/>
      <c r="K808" s="14" t="str">
        <f t="array" ref="K808">IF(OR(H808="",H808="Selecciona.."),"",XLOOKUP(H808,Propiedades!B:B,Propiedades!C:C,"",0,1))</f>
        <v/>
      </c>
    </row>
    <row r="809">
      <c r="A809" s="14" t="str">
        <f t="shared" si="1"/>
        <v/>
      </c>
      <c r="B809" s="14" t="str">
        <f t="array" ref="B809">IF(OR(G809="",G809="Selecciona.."),"",XLOOKUP(G809,Productos!E:E,Productos!A:A,"",0,1))</f>
        <v/>
      </c>
      <c r="C809" s="14" t="str">
        <f t="array" ref="C809">IF(B809="","",SUMIF(Implementos!B:B,XLOOKUP(B809,Productos!A:A,Productos!F:F,"",0,1),Implementos!A:A))</f>
        <v/>
      </c>
      <c r="D809" s="14" t="str">
        <f t="array" ref="D809">IF(OR(H809="",H809="Selecciona.."),"",XLOOKUP(H809,Propiedades!B:B,Propiedades!A:A,"",0,1))</f>
        <v/>
      </c>
      <c r="E809" s="14" t="str">
        <f t="shared" si="2"/>
        <v/>
      </c>
      <c r="F809" s="14" t="str">
        <f t="shared" si="3"/>
        <v/>
      </c>
      <c r="G809" s="15" t="str">
        <f t="shared" si="8"/>
        <v/>
      </c>
      <c r="H809" s="15" t="str">
        <f t="shared" si="9"/>
        <v/>
      </c>
      <c r="I809" s="16" t="str">
        <f t="shared" si="10"/>
        <v/>
      </c>
      <c r="J809" s="17"/>
      <c r="K809" s="14" t="str">
        <f t="array" ref="K809">IF(OR(H809="",H809="Selecciona.."),"",XLOOKUP(H809,Propiedades!B:B,Propiedades!C:C,"",0,1))</f>
        <v/>
      </c>
    </row>
    <row r="810">
      <c r="A810" s="14" t="str">
        <f t="shared" si="1"/>
        <v/>
      </c>
      <c r="B810" s="14" t="str">
        <f t="array" ref="B810">IF(OR(G810="",G810="Selecciona.."),"",XLOOKUP(G810,Productos!E:E,Productos!A:A,"",0,1))</f>
        <v/>
      </c>
      <c r="C810" s="14" t="str">
        <f t="array" ref="C810">IF(B810="","",SUMIF(Implementos!B:B,XLOOKUP(B810,Productos!A:A,Productos!F:F,"",0,1),Implementos!A:A))</f>
        <v/>
      </c>
      <c r="D810" s="14" t="str">
        <f t="array" ref="D810">IF(OR(H810="",H810="Selecciona.."),"",XLOOKUP(H810,Propiedades!B:B,Propiedades!A:A,"",0,1))</f>
        <v/>
      </c>
      <c r="E810" s="14" t="str">
        <f t="shared" si="2"/>
        <v/>
      </c>
      <c r="F810" s="14" t="str">
        <f t="shared" si="3"/>
        <v/>
      </c>
      <c r="G810" s="15" t="str">
        <f t="shared" si="8"/>
        <v/>
      </c>
      <c r="H810" s="15" t="str">
        <f t="shared" si="9"/>
        <v/>
      </c>
      <c r="I810" s="16" t="str">
        <f t="shared" si="10"/>
        <v/>
      </c>
      <c r="J810" s="17"/>
      <c r="K810" s="14" t="str">
        <f t="array" ref="K810">IF(OR(H810="",H810="Selecciona.."),"",XLOOKUP(H810,Propiedades!B:B,Propiedades!C:C,"",0,1))</f>
        <v/>
      </c>
    </row>
    <row r="811">
      <c r="A811" s="14" t="str">
        <f t="shared" si="1"/>
        <v/>
      </c>
      <c r="B811" s="14" t="str">
        <f t="array" ref="B811">IF(OR(G811="",G811="Selecciona.."),"",XLOOKUP(G811,Productos!E:E,Productos!A:A,"",0,1))</f>
        <v/>
      </c>
      <c r="C811" s="14" t="str">
        <f t="array" ref="C811">IF(B811="","",SUMIF(Implementos!B:B,XLOOKUP(B811,Productos!A:A,Productos!F:F,"",0,1),Implementos!A:A))</f>
        <v/>
      </c>
      <c r="D811" s="14" t="str">
        <f t="array" ref="D811">IF(OR(H811="",H811="Selecciona.."),"",XLOOKUP(H811,Propiedades!B:B,Propiedades!A:A,"",0,1))</f>
        <v/>
      </c>
      <c r="E811" s="14" t="str">
        <f t="shared" si="2"/>
        <v/>
      </c>
      <c r="F811" s="14" t="str">
        <f t="shared" si="3"/>
        <v/>
      </c>
      <c r="G811" s="15" t="str">
        <f t="shared" si="8"/>
        <v/>
      </c>
      <c r="H811" s="15" t="str">
        <f t="shared" si="9"/>
        <v/>
      </c>
      <c r="I811" s="16" t="str">
        <f t="shared" si="10"/>
        <v/>
      </c>
      <c r="J811" s="17"/>
      <c r="K811" s="14" t="str">
        <f t="array" ref="K811">IF(OR(H811="",H811="Selecciona.."),"",XLOOKUP(H811,Propiedades!B:B,Propiedades!C:C,"",0,1))</f>
        <v/>
      </c>
    </row>
    <row r="812">
      <c r="A812" s="14" t="str">
        <f t="shared" si="1"/>
        <v/>
      </c>
      <c r="B812" s="14" t="str">
        <f t="array" ref="B812">IF(OR(G812="",G812="Selecciona.."),"",XLOOKUP(G812,Productos!E:E,Productos!A:A,"",0,1))</f>
        <v/>
      </c>
      <c r="C812" s="14" t="str">
        <f t="array" ref="C812">IF(B812="","",SUMIF(Implementos!B:B,XLOOKUP(B812,Productos!A:A,Productos!F:F,"",0,1),Implementos!A:A))</f>
        <v/>
      </c>
      <c r="D812" s="14" t="str">
        <f t="array" ref="D812">IF(OR(H812="",H812="Selecciona.."),"",XLOOKUP(H812,Propiedades!B:B,Propiedades!A:A,"",0,1))</f>
        <v/>
      </c>
      <c r="E812" s="14" t="str">
        <f t="shared" si="2"/>
        <v/>
      </c>
      <c r="F812" s="14" t="str">
        <f t="shared" si="3"/>
        <v/>
      </c>
      <c r="G812" s="15" t="str">
        <f t="shared" si="8"/>
        <v/>
      </c>
      <c r="H812" s="15" t="str">
        <f t="shared" si="9"/>
        <v/>
      </c>
      <c r="I812" s="16" t="str">
        <f t="shared" si="10"/>
        <v/>
      </c>
      <c r="J812" s="17"/>
      <c r="K812" s="14" t="str">
        <f t="array" ref="K812">IF(OR(H812="",H812="Selecciona.."),"",XLOOKUP(H812,Propiedades!B:B,Propiedades!C:C,"",0,1))</f>
        <v/>
      </c>
    </row>
    <row r="813">
      <c r="A813" s="14" t="str">
        <f t="shared" si="1"/>
        <v/>
      </c>
      <c r="B813" s="14" t="str">
        <f t="array" ref="B813">IF(OR(G813="",G813="Selecciona.."),"",XLOOKUP(G813,Productos!E:E,Productos!A:A,"",0,1))</f>
        <v/>
      </c>
      <c r="C813" s="14" t="str">
        <f t="array" ref="C813">IF(B813="","",SUMIF(Implementos!B:B,XLOOKUP(B813,Productos!A:A,Productos!F:F,"",0,1),Implementos!A:A))</f>
        <v/>
      </c>
      <c r="D813" s="14" t="str">
        <f t="array" ref="D813">IF(OR(H813="",H813="Selecciona.."),"",XLOOKUP(H813,Propiedades!B:B,Propiedades!A:A,"",0,1))</f>
        <v/>
      </c>
      <c r="E813" s="14" t="str">
        <f t="shared" si="2"/>
        <v/>
      </c>
      <c r="F813" s="14" t="str">
        <f t="shared" si="3"/>
        <v/>
      </c>
      <c r="G813" s="15" t="str">
        <f t="shared" si="8"/>
        <v/>
      </c>
      <c r="H813" s="15" t="str">
        <f t="shared" si="9"/>
        <v/>
      </c>
      <c r="I813" s="16" t="str">
        <f t="shared" si="10"/>
        <v/>
      </c>
      <c r="J813" s="17"/>
      <c r="K813" s="14" t="str">
        <f t="array" ref="K813">IF(OR(H813="",H813="Selecciona.."),"",XLOOKUP(H813,Propiedades!B:B,Propiedades!C:C,"",0,1))</f>
        <v/>
      </c>
    </row>
    <row r="814">
      <c r="A814" s="14" t="str">
        <f t="shared" si="1"/>
        <v/>
      </c>
      <c r="B814" s="14" t="str">
        <f t="array" ref="B814">IF(OR(G814="",G814="Selecciona.."),"",XLOOKUP(G814,Productos!E:E,Productos!A:A,"",0,1))</f>
        <v/>
      </c>
      <c r="C814" s="14" t="str">
        <f t="array" ref="C814">IF(B814="","",SUMIF(Implementos!B:B,XLOOKUP(B814,Productos!A:A,Productos!F:F,"",0,1),Implementos!A:A))</f>
        <v/>
      </c>
      <c r="D814" s="14" t="str">
        <f t="array" ref="D814">IF(OR(H814="",H814="Selecciona.."),"",XLOOKUP(H814,Propiedades!B:B,Propiedades!A:A,"",0,1))</f>
        <v/>
      </c>
      <c r="E814" s="14" t="str">
        <f t="shared" si="2"/>
        <v/>
      </c>
      <c r="F814" s="14" t="str">
        <f t="shared" si="3"/>
        <v/>
      </c>
      <c r="G814" s="15" t="str">
        <f t="shared" si="8"/>
        <v/>
      </c>
      <c r="H814" s="15" t="str">
        <f t="shared" si="9"/>
        <v/>
      </c>
      <c r="I814" s="16" t="str">
        <f t="shared" si="10"/>
        <v/>
      </c>
      <c r="J814" s="17"/>
      <c r="K814" s="14" t="str">
        <f t="array" ref="K814">IF(OR(H814="",H814="Selecciona.."),"",XLOOKUP(H814,Propiedades!B:B,Propiedades!C:C,"",0,1))</f>
        <v/>
      </c>
    </row>
    <row r="815">
      <c r="A815" s="14" t="str">
        <f t="shared" si="1"/>
        <v/>
      </c>
      <c r="B815" s="14" t="str">
        <f t="array" ref="B815">IF(OR(G815="",G815="Selecciona.."),"",XLOOKUP(G815,Productos!E:E,Productos!A:A,"",0,1))</f>
        <v/>
      </c>
      <c r="C815" s="14" t="str">
        <f t="array" ref="C815">IF(B815="","",SUMIF(Implementos!B:B,XLOOKUP(B815,Productos!A:A,Productos!F:F,"",0,1),Implementos!A:A))</f>
        <v/>
      </c>
      <c r="D815" s="14" t="str">
        <f t="array" ref="D815">IF(OR(H815="",H815="Selecciona.."),"",XLOOKUP(H815,Propiedades!B:B,Propiedades!A:A,"",0,1))</f>
        <v/>
      </c>
      <c r="E815" s="14" t="str">
        <f t="shared" si="2"/>
        <v/>
      </c>
      <c r="F815" s="14" t="str">
        <f t="shared" si="3"/>
        <v/>
      </c>
      <c r="G815" s="15" t="str">
        <f t="shared" si="8"/>
        <v/>
      </c>
      <c r="H815" s="15" t="str">
        <f t="shared" si="9"/>
        <v/>
      </c>
      <c r="I815" s="16" t="str">
        <f t="shared" si="10"/>
        <v/>
      </c>
      <c r="J815" s="17"/>
      <c r="K815" s="14" t="str">
        <f t="array" ref="K815">IF(OR(H815="",H815="Selecciona.."),"",XLOOKUP(H815,Propiedades!B:B,Propiedades!C:C,"",0,1))</f>
        <v/>
      </c>
    </row>
    <row r="816">
      <c r="A816" s="14" t="str">
        <f t="shared" si="1"/>
        <v/>
      </c>
      <c r="B816" s="14" t="str">
        <f t="array" ref="B816">IF(OR(G816="",G816="Selecciona.."),"",XLOOKUP(G816,Productos!E:E,Productos!A:A,"",0,1))</f>
        <v/>
      </c>
      <c r="C816" s="14" t="str">
        <f t="array" ref="C816">IF(B816="","",SUMIF(Implementos!B:B,XLOOKUP(B816,Productos!A:A,Productos!F:F,"",0,1),Implementos!A:A))</f>
        <v/>
      </c>
      <c r="D816" s="14" t="str">
        <f t="array" ref="D816">IF(OR(H816="",H816="Selecciona.."),"",XLOOKUP(H816,Propiedades!B:B,Propiedades!A:A,"",0,1))</f>
        <v/>
      </c>
      <c r="E816" s="14" t="str">
        <f t="shared" si="2"/>
        <v/>
      </c>
      <c r="F816" s="14" t="str">
        <f t="shared" si="3"/>
        <v/>
      </c>
      <c r="G816" s="15" t="str">
        <f t="shared" si="8"/>
        <v/>
      </c>
      <c r="H816" s="15" t="str">
        <f t="shared" si="9"/>
        <v/>
      </c>
      <c r="I816" s="16" t="str">
        <f t="shared" si="10"/>
        <v/>
      </c>
      <c r="J816" s="17"/>
      <c r="K816" s="14" t="str">
        <f t="array" ref="K816">IF(OR(H816="",H816="Selecciona.."),"",XLOOKUP(H816,Propiedades!B:B,Propiedades!C:C,"",0,1))</f>
        <v/>
      </c>
    </row>
    <row r="817">
      <c r="A817" s="14" t="str">
        <f t="shared" si="1"/>
        <v/>
      </c>
      <c r="B817" s="14" t="str">
        <f t="array" ref="B817">IF(OR(G817="",G817="Selecciona.."),"",XLOOKUP(G817,Productos!E:E,Productos!A:A,"",0,1))</f>
        <v/>
      </c>
      <c r="C817" s="14" t="str">
        <f t="array" ref="C817">IF(B817="","",SUMIF(Implementos!B:B,XLOOKUP(B817,Productos!A:A,Productos!F:F,"",0,1),Implementos!A:A))</f>
        <v/>
      </c>
      <c r="D817" s="14" t="str">
        <f t="array" ref="D817">IF(OR(H817="",H817="Selecciona.."),"",XLOOKUP(H817,Propiedades!B:B,Propiedades!A:A,"",0,1))</f>
        <v/>
      </c>
      <c r="E817" s="14" t="str">
        <f t="shared" si="2"/>
        <v/>
      </c>
      <c r="F817" s="14" t="str">
        <f t="shared" si="3"/>
        <v/>
      </c>
      <c r="G817" s="15" t="str">
        <f t="shared" si="8"/>
        <v/>
      </c>
      <c r="H817" s="15" t="str">
        <f t="shared" si="9"/>
        <v/>
      </c>
      <c r="I817" s="16" t="str">
        <f t="shared" si="10"/>
        <v/>
      </c>
      <c r="J817" s="17"/>
      <c r="K817" s="14" t="str">
        <f t="array" ref="K817">IF(OR(H817="",H817="Selecciona.."),"",XLOOKUP(H817,Propiedades!B:B,Propiedades!C:C,"",0,1))</f>
        <v/>
      </c>
    </row>
    <row r="818">
      <c r="A818" s="14" t="str">
        <f t="shared" si="1"/>
        <v/>
      </c>
      <c r="B818" s="14" t="str">
        <f t="array" ref="B818">IF(OR(G818="",G818="Selecciona.."),"",XLOOKUP(G818,Productos!E:E,Productos!A:A,"",0,1))</f>
        <v/>
      </c>
      <c r="C818" s="14" t="str">
        <f t="array" ref="C818">IF(B818="","",SUMIF(Implementos!B:B,XLOOKUP(B818,Productos!A:A,Productos!F:F,"",0,1),Implementos!A:A))</f>
        <v/>
      </c>
      <c r="D818" s="14" t="str">
        <f t="array" ref="D818">IF(OR(H818="",H818="Selecciona.."),"",XLOOKUP(H818,Propiedades!B:B,Propiedades!A:A,"",0,1))</f>
        <v/>
      </c>
      <c r="E818" s="14" t="str">
        <f t="shared" si="2"/>
        <v/>
      </c>
      <c r="F818" s="14" t="str">
        <f t="shared" si="3"/>
        <v/>
      </c>
      <c r="G818" s="15" t="str">
        <f t="shared" si="8"/>
        <v/>
      </c>
      <c r="H818" s="15" t="str">
        <f t="shared" si="9"/>
        <v/>
      </c>
      <c r="I818" s="16" t="str">
        <f t="shared" si="10"/>
        <v/>
      </c>
      <c r="J818" s="17"/>
      <c r="K818" s="14" t="str">
        <f t="array" ref="K818">IF(OR(H818="",H818="Selecciona.."),"",XLOOKUP(H818,Propiedades!B:B,Propiedades!C:C,"",0,1))</f>
        <v/>
      </c>
    </row>
    <row r="819">
      <c r="A819" s="14" t="str">
        <f t="shared" si="1"/>
        <v/>
      </c>
      <c r="B819" s="14" t="str">
        <f t="array" ref="B819">IF(OR(G819="",G819="Selecciona.."),"",XLOOKUP(G819,Productos!E:E,Productos!A:A,"",0,1))</f>
        <v/>
      </c>
      <c r="C819" s="14" t="str">
        <f t="array" ref="C819">IF(B819="","",SUMIF(Implementos!B:B,XLOOKUP(B819,Productos!A:A,Productos!F:F,"",0,1),Implementos!A:A))</f>
        <v/>
      </c>
      <c r="D819" s="14" t="str">
        <f t="array" ref="D819">IF(OR(H819="",H819="Selecciona.."),"",XLOOKUP(H819,Propiedades!B:B,Propiedades!A:A,"",0,1))</f>
        <v/>
      </c>
      <c r="E819" s="14" t="str">
        <f t="shared" si="2"/>
        <v/>
      </c>
      <c r="F819" s="14" t="str">
        <f t="shared" si="3"/>
        <v/>
      </c>
      <c r="G819" s="15" t="str">
        <f t="shared" si="8"/>
        <v/>
      </c>
      <c r="H819" s="15" t="str">
        <f t="shared" si="9"/>
        <v/>
      </c>
      <c r="I819" s="16" t="str">
        <f t="shared" si="10"/>
        <v/>
      </c>
      <c r="J819" s="17"/>
      <c r="K819" s="14" t="str">
        <f t="array" ref="K819">IF(OR(H819="",H819="Selecciona.."),"",XLOOKUP(H819,Propiedades!B:B,Propiedades!C:C,"",0,1))</f>
        <v/>
      </c>
    </row>
    <row r="820">
      <c r="A820" s="14" t="str">
        <f t="shared" si="1"/>
        <v/>
      </c>
      <c r="B820" s="14" t="str">
        <f t="array" ref="B820">IF(OR(G820="",G820="Selecciona.."),"",XLOOKUP(G820,Productos!E:E,Productos!A:A,"",0,1))</f>
        <v/>
      </c>
      <c r="C820" s="14" t="str">
        <f t="array" ref="C820">IF(B820="","",SUMIF(Implementos!B:B,XLOOKUP(B820,Productos!A:A,Productos!F:F,"",0,1),Implementos!A:A))</f>
        <v/>
      </c>
      <c r="D820" s="14" t="str">
        <f t="array" ref="D820">IF(OR(H820="",H820="Selecciona.."),"",XLOOKUP(H820,Propiedades!B:B,Propiedades!A:A,"",0,1))</f>
        <v/>
      </c>
      <c r="E820" s="14" t="str">
        <f t="shared" si="2"/>
        <v/>
      </c>
      <c r="F820" s="14" t="str">
        <f t="shared" si="3"/>
        <v/>
      </c>
      <c r="G820" s="15" t="str">
        <f t="shared" si="8"/>
        <v/>
      </c>
      <c r="H820" s="15" t="str">
        <f t="shared" si="9"/>
        <v/>
      </c>
      <c r="I820" s="16" t="str">
        <f t="shared" si="10"/>
        <v/>
      </c>
      <c r="J820" s="17"/>
      <c r="K820" s="14" t="str">
        <f t="array" ref="K820">IF(OR(H820="",H820="Selecciona.."),"",XLOOKUP(H820,Propiedades!B:B,Propiedades!C:C,"",0,1))</f>
        <v/>
      </c>
    </row>
    <row r="821">
      <c r="A821" s="14" t="str">
        <f t="shared" si="1"/>
        <v/>
      </c>
      <c r="B821" s="14" t="str">
        <f t="array" ref="B821">IF(OR(G821="",G821="Selecciona.."),"",XLOOKUP(G821,Productos!E:E,Productos!A:A,"",0,1))</f>
        <v/>
      </c>
      <c r="C821" s="14" t="str">
        <f t="array" ref="C821">IF(B821="","",SUMIF(Implementos!B:B,XLOOKUP(B821,Productos!A:A,Productos!F:F,"",0,1),Implementos!A:A))</f>
        <v/>
      </c>
      <c r="D821" s="14" t="str">
        <f t="array" ref="D821">IF(OR(H821="",H821="Selecciona.."),"",XLOOKUP(H821,Propiedades!B:B,Propiedades!A:A,"",0,1))</f>
        <v/>
      </c>
      <c r="E821" s="14" t="str">
        <f t="shared" si="2"/>
        <v/>
      </c>
      <c r="F821" s="14" t="str">
        <f t="shared" si="3"/>
        <v/>
      </c>
      <c r="G821" s="15" t="str">
        <f t="shared" si="8"/>
        <v/>
      </c>
      <c r="H821" s="15" t="str">
        <f t="shared" si="9"/>
        <v/>
      </c>
      <c r="I821" s="16" t="str">
        <f t="shared" si="10"/>
        <v/>
      </c>
      <c r="J821" s="17"/>
      <c r="K821" s="14" t="str">
        <f t="array" ref="K821">IF(OR(H821="",H821="Selecciona.."),"",XLOOKUP(H821,Propiedades!B:B,Propiedades!C:C,"",0,1))</f>
        <v/>
      </c>
    </row>
    <row r="822">
      <c r="A822" s="14" t="str">
        <f t="shared" si="1"/>
        <v/>
      </c>
      <c r="B822" s="14" t="str">
        <f t="array" ref="B822">IF(OR(G822="",G822="Selecciona.."),"",XLOOKUP(G822,Productos!E:E,Productos!A:A,"",0,1))</f>
        <v/>
      </c>
      <c r="C822" s="14" t="str">
        <f t="array" ref="C822">IF(B822="","",SUMIF(Implementos!B:B,XLOOKUP(B822,Productos!A:A,Productos!F:F,"",0,1),Implementos!A:A))</f>
        <v/>
      </c>
      <c r="D822" s="14" t="str">
        <f t="array" ref="D822">IF(OR(H822="",H822="Selecciona.."),"",XLOOKUP(H822,Propiedades!B:B,Propiedades!A:A,"",0,1))</f>
        <v/>
      </c>
      <c r="E822" s="14" t="str">
        <f t="shared" si="2"/>
        <v/>
      </c>
      <c r="F822" s="14" t="str">
        <f t="shared" si="3"/>
        <v/>
      </c>
      <c r="G822" s="15" t="str">
        <f t="shared" si="8"/>
        <v/>
      </c>
      <c r="H822" s="15" t="str">
        <f t="shared" si="9"/>
        <v/>
      </c>
      <c r="I822" s="16" t="str">
        <f t="shared" si="10"/>
        <v/>
      </c>
      <c r="J822" s="17"/>
      <c r="K822" s="14" t="str">
        <f t="array" ref="K822">IF(OR(H822="",H822="Selecciona.."),"",XLOOKUP(H822,Propiedades!B:B,Propiedades!C:C,"",0,1))</f>
        <v/>
      </c>
    </row>
    <row r="823">
      <c r="A823" s="14" t="str">
        <f t="shared" si="1"/>
        <v/>
      </c>
      <c r="B823" s="14" t="str">
        <f t="array" ref="B823">IF(OR(G823="",G823="Selecciona.."),"",XLOOKUP(G823,Productos!E:E,Productos!A:A,"",0,1))</f>
        <v/>
      </c>
      <c r="C823" s="14" t="str">
        <f t="array" ref="C823">IF(B823="","",SUMIF(Implementos!B:B,XLOOKUP(B823,Productos!A:A,Productos!F:F,"",0,1),Implementos!A:A))</f>
        <v/>
      </c>
      <c r="D823" s="14" t="str">
        <f t="array" ref="D823">IF(OR(H823="",H823="Selecciona.."),"",XLOOKUP(H823,Propiedades!B:B,Propiedades!A:A,"",0,1))</f>
        <v/>
      </c>
      <c r="E823" s="14" t="str">
        <f t="shared" si="2"/>
        <v/>
      </c>
      <c r="F823" s="14" t="str">
        <f t="shared" si="3"/>
        <v/>
      </c>
      <c r="G823" s="15" t="str">
        <f t="shared" si="8"/>
        <v/>
      </c>
      <c r="H823" s="15" t="str">
        <f t="shared" si="9"/>
        <v/>
      </c>
      <c r="I823" s="16" t="str">
        <f t="shared" si="10"/>
        <v/>
      </c>
      <c r="J823" s="17"/>
      <c r="K823" s="14" t="str">
        <f t="array" ref="K823">IF(OR(H823="",H823="Selecciona.."),"",XLOOKUP(H823,Propiedades!B:B,Propiedades!C:C,"",0,1))</f>
        <v/>
      </c>
    </row>
    <row r="824">
      <c r="A824" s="14" t="str">
        <f t="shared" si="1"/>
        <v/>
      </c>
      <c r="B824" s="14" t="str">
        <f t="array" ref="B824">IF(OR(G824="",G824="Selecciona.."),"",XLOOKUP(G824,Productos!E:E,Productos!A:A,"",0,1))</f>
        <v/>
      </c>
      <c r="C824" s="14" t="str">
        <f t="array" ref="C824">IF(B824="","",SUMIF(Implementos!B:B,XLOOKUP(B824,Productos!A:A,Productos!F:F,"",0,1),Implementos!A:A))</f>
        <v/>
      </c>
      <c r="D824" s="14" t="str">
        <f t="array" ref="D824">IF(OR(H824="",H824="Selecciona.."),"",XLOOKUP(H824,Propiedades!B:B,Propiedades!A:A,"",0,1))</f>
        <v/>
      </c>
      <c r="E824" s="14" t="str">
        <f t="shared" si="2"/>
        <v/>
      </c>
      <c r="F824" s="14" t="str">
        <f t="shared" si="3"/>
        <v/>
      </c>
      <c r="G824" s="15" t="str">
        <f t="shared" si="8"/>
        <v/>
      </c>
      <c r="H824" s="15" t="str">
        <f t="shared" si="9"/>
        <v/>
      </c>
      <c r="I824" s="16" t="str">
        <f t="shared" si="10"/>
        <v/>
      </c>
      <c r="J824" s="17"/>
      <c r="K824" s="14" t="str">
        <f t="array" ref="K824">IF(OR(H824="",H824="Selecciona.."),"",XLOOKUP(H824,Propiedades!B:B,Propiedades!C:C,"",0,1))</f>
        <v/>
      </c>
    </row>
    <row r="825">
      <c r="A825" s="14" t="str">
        <f t="shared" si="1"/>
        <v/>
      </c>
      <c r="B825" s="14" t="str">
        <f t="array" ref="B825">IF(OR(G825="",G825="Selecciona.."),"",XLOOKUP(G825,Productos!E:E,Productos!A:A,"",0,1))</f>
        <v/>
      </c>
      <c r="C825" s="14" t="str">
        <f t="array" ref="C825">IF(B825="","",SUMIF(Implementos!B:B,XLOOKUP(B825,Productos!A:A,Productos!F:F,"",0,1),Implementos!A:A))</f>
        <v/>
      </c>
      <c r="D825" s="14" t="str">
        <f t="array" ref="D825">IF(OR(H825="",H825="Selecciona.."),"",XLOOKUP(H825,Propiedades!B:B,Propiedades!A:A,"",0,1))</f>
        <v/>
      </c>
      <c r="E825" s="14" t="str">
        <f t="shared" si="2"/>
        <v/>
      </c>
      <c r="F825" s="14" t="str">
        <f t="shared" si="3"/>
        <v/>
      </c>
      <c r="G825" s="15" t="str">
        <f t="shared" si="8"/>
        <v/>
      </c>
      <c r="H825" s="15" t="str">
        <f t="shared" si="9"/>
        <v/>
      </c>
      <c r="I825" s="16" t="str">
        <f t="shared" si="10"/>
        <v/>
      </c>
      <c r="J825" s="17"/>
      <c r="K825" s="14" t="str">
        <f t="array" ref="K825">IF(OR(H825="",H825="Selecciona.."),"",XLOOKUP(H825,Propiedades!B:B,Propiedades!C:C,"",0,1))</f>
        <v/>
      </c>
    </row>
    <row r="826">
      <c r="A826" s="14" t="str">
        <f t="shared" si="1"/>
        <v/>
      </c>
      <c r="B826" s="14" t="str">
        <f t="array" ref="B826">IF(OR(G826="",G826="Selecciona.."),"",XLOOKUP(G826,Productos!E:E,Productos!A:A,"",0,1))</f>
        <v/>
      </c>
      <c r="C826" s="14" t="str">
        <f t="array" ref="C826">IF(B826="","",SUMIF(Implementos!B:B,XLOOKUP(B826,Productos!A:A,Productos!F:F,"",0,1),Implementos!A:A))</f>
        <v/>
      </c>
      <c r="D826" s="14" t="str">
        <f t="array" ref="D826">IF(OR(H826="",H826="Selecciona.."),"",XLOOKUP(H826,Propiedades!B:B,Propiedades!A:A,"",0,1))</f>
        <v/>
      </c>
      <c r="E826" s="14" t="str">
        <f t="shared" si="2"/>
        <v/>
      </c>
      <c r="F826" s="14" t="str">
        <f t="shared" si="3"/>
        <v/>
      </c>
      <c r="G826" s="15" t="str">
        <f t="shared" si="8"/>
        <v/>
      </c>
      <c r="H826" s="15" t="str">
        <f t="shared" si="9"/>
        <v/>
      </c>
      <c r="I826" s="16" t="str">
        <f t="shared" si="10"/>
        <v/>
      </c>
      <c r="J826" s="17"/>
      <c r="K826" s="14" t="str">
        <f t="array" ref="K826">IF(OR(H826="",H826="Selecciona.."),"",XLOOKUP(H826,Propiedades!B:B,Propiedades!C:C,"",0,1))</f>
        <v/>
      </c>
    </row>
    <row r="827">
      <c r="A827" s="14" t="str">
        <f t="shared" si="1"/>
        <v/>
      </c>
      <c r="B827" s="14" t="str">
        <f t="array" ref="B827">IF(OR(G827="",G827="Selecciona.."),"",XLOOKUP(G827,Productos!E:E,Productos!A:A,"",0,1))</f>
        <v/>
      </c>
      <c r="C827" s="14" t="str">
        <f t="array" ref="C827">IF(B827="","",SUMIF(Implementos!B:B,XLOOKUP(B827,Productos!A:A,Productos!F:F,"",0,1),Implementos!A:A))</f>
        <v/>
      </c>
      <c r="D827" s="14" t="str">
        <f t="array" ref="D827">IF(OR(H827="",H827="Selecciona.."),"",XLOOKUP(H827,Propiedades!B:B,Propiedades!A:A,"",0,1))</f>
        <v/>
      </c>
      <c r="E827" s="14" t="str">
        <f t="shared" si="2"/>
        <v/>
      </c>
      <c r="F827" s="14" t="str">
        <f t="shared" si="3"/>
        <v/>
      </c>
      <c r="G827" s="15" t="str">
        <f t="shared" si="8"/>
        <v/>
      </c>
      <c r="H827" s="15" t="str">
        <f t="shared" si="9"/>
        <v/>
      </c>
      <c r="I827" s="16" t="str">
        <f t="shared" si="10"/>
        <v/>
      </c>
      <c r="J827" s="17"/>
      <c r="K827" s="14" t="str">
        <f t="array" ref="K827">IF(OR(H827="",H827="Selecciona.."),"",XLOOKUP(H827,Propiedades!B:B,Propiedades!C:C,"",0,1))</f>
        <v/>
      </c>
    </row>
    <row r="828">
      <c r="A828" s="14" t="str">
        <f t="shared" si="1"/>
        <v/>
      </c>
      <c r="B828" s="14" t="str">
        <f t="array" ref="B828">IF(OR(G828="",G828="Selecciona.."),"",XLOOKUP(G828,Productos!E:E,Productos!A:A,"",0,1))</f>
        <v/>
      </c>
      <c r="C828" s="14" t="str">
        <f t="array" ref="C828">IF(B828="","",SUMIF(Implementos!B:B,XLOOKUP(B828,Productos!A:A,Productos!F:F,"",0,1),Implementos!A:A))</f>
        <v/>
      </c>
      <c r="D828" s="14" t="str">
        <f t="array" ref="D828">IF(OR(H828="",H828="Selecciona.."),"",XLOOKUP(H828,Propiedades!B:B,Propiedades!A:A,"",0,1))</f>
        <v/>
      </c>
      <c r="E828" s="14" t="str">
        <f t="shared" si="2"/>
        <v/>
      </c>
      <c r="F828" s="14" t="str">
        <f t="shared" si="3"/>
        <v/>
      </c>
      <c r="G828" s="15" t="str">
        <f t="shared" si="8"/>
        <v/>
      </c>
      <c r="H828" s="15" t="str">
        <f t="shared" si="9"/>
        <v/>
      </c>
      <c r="I828" s="16" t="str">
        <f t="shared" si="10"/>
        <v/>
      </c>
      <c r="J828" s="17"/>
      <c r="K828" s="14" t="str">
        <f t="array" ref="K828">IF(OR(H828="",H828="Selecciona.."),"",XLOOKUP(H828,Propiedades!B:B,Propiedades!C:C,"",0,1))</f>
        <v/>
      </c>
    </row>
    <row r="829">
      <c r="A829" s="14" t="str">
        <f t="shared" si="1"/>
        <v/>
      </c>
      <c r="B829" s="14" t="str">
        <f t="array" ref="B829">IF(OR(G829="",G829="Selecciona.."),"",XLOOKUP(G829,Productos!E:E,Productos!A:A,"",0,1))</f>
        <v/>
      </c>
      <c r="C829" s="14" t="str">
        <f t="array" ref="C829">IF(B829="","",SUMIF(Implementos!B:B,XLOOKUP(B829,Productos!A:A,Productos!F:F,"",0,1),Implementos!A:A))</f>
        <v/>
      </c>
      <c r="D829" s="14" t="str">
        <f t="array" ref="D829">IF(OR(H829="",H829="Selecciona.."),"",XLOOKUP(H829,Propiedades!B:B,Propiedades!A:A,"",0,1))</f>
        <v/>
      </c>
      <c r="E829" s="14" t="str">
        <f t="shared" si="2"/>
        <v/>
      </c>
      <c r="F829" s="14" t="str">
        <f t="shared" si="3"/>
        <v/>
      </c>
      <c r="G829" s="15" t="str">
        <f t="shared" si="8"/>
        <v/>
      </c>
      <c r="H829" s="15" t="str">
        <f t="shared" si="9"/>
        <v/>
      </c>
      <c r="I829" s="16" t="str">
        <f t="shared" si="10"/>
        <v/>
      </c>
      <c r="J829" s="17"/>
      <c r="K829" s="14" t="str">
        <f t="array" ref="K829">IF(OR(H829="",H829="Selecciona.."),"",XLOOKUP(H829,Propiedades!B:B,Propiedades!C:C,"",0,1))</f>
        <v/>
      </c>
    </row>
    <row r="830">
      <c r="A830" s="14" t="str">
        <f t="shared" si="1"/>
        <v/>
      </c>
      <c r="B830" s="14" t="str">
        <f t="array" ref="B830">IF(OR(G830="",G830="Selecciona.."),"",XLOOKUP(G830,Productos!E:E,Productos!A:A,"",0,1))</f>
        <v/>
      </c>
      <c r="C830" s="14" t="str">
        <f t="array" ref="C830">IF(B830="","",SUMIF(Implementos!B:B,XLOOKUP(B830,Productos!A:A,Productos!F:F,"",0,1),Implementos!A:A))</f>
        <v/>
      </c>
      <c r="D830" s="14" t="str">
        <f t="array" ref="D830">IF(OR(H830="",H830="Selecciona.."),"",XLOOKUP(H830,Propiedades!B:B,Propiedades!A:A,"",0,1))</f>
        <v/>
      </c>
      <c r="E830" s="14" t="str">
        <f t="shared" si="2"/>
        <v/>
      </c>
      <c r="F830" s="14" t="str">
        <f t="shared" si="3"/>
        <v/>
      </c>
      <c r="G830" s="15" t="str">
        <f t="shared" si="8"/>
        <v/>
      </c>
      <c r="H830" s="15" t="str">
        <f t="shared" si="9"/>
        <v/>
      </c>
      <c r="I830" s="16" t="str">
        <f t="shared" si="10"/>
        <v/>
      </c>
      <c r="J830" s="17"/>
      <c r="K830" s="14" t="str">
        <f t="array" ref="K830">IF(OR(H830="",H830="Selecciona.."),"",XLOOKUP(H830,Propiedades!B:B,Propiedades!C:C,"",0,1))</f>
        <v/>
      </c>
    </row>
    <row r="831">
      <c r="A831" s="14" t="str">
        <f t="shared" si="1"/>
        <v/>
      </c>
      <c r="B831" s="14" t="str">
        <f t="array" ref="B831">IF(OR(G831="",G831="Selecciona.."),"",XLOOKUP(G831,Productos!E:E,Productos!A:A,"",0,1))</f>
        <v/>
      </c>
      <c r="C831" s="14" t="str">
        <f t="array" ref="C831">IF(B831="","",SUMIF(Implementos!B:B,XLOOKUP(B831,Productos!A:A,Productos!F:F,"",0,1),Implementos!A:A))</f>
        <v/>
      </c>
      <c r="D831" s="14" t="str">
        <f t="array" ref="D831">IF(OR(H831="",H831="Selecciona.."),"",XLOOKUP(H831,Propiedades!B:B,Propiedades!A:A,"",0,1))</f>
        <v/>
      </c>
      <c r="E831" s="14" t="str">
        <f t="shared" si="2"/>
        <v/>
      </c>
      <c r="F831" s="14" t="str">
        <f t="shared" si="3"/>
        <v/>
      </c>
      <c r="G831" s="15" t="str">
        <f t="shared" si="8"/>
        <v/>
      </c>
      <c r="H831" s="15" t="str">
        <f t="shared" si="9"/>
        <v/>
      </c>
      <c r="I831" s="16" t="str">
        <f t="shared" si="10"/>
        <v/>
      </c>
      <c r="J831" s="17"/>
      <c r="K831" s="14" t="str">
        <f t="array" ref="K831">IF(OR(H831="",H831="Selecciona.."),"",XLOOKUP(H831,Propiedades!B:B,Propiedades!C:C,"",0,1))</f>
        <v/>
      </c>
    </row>
    <row r="832">
      <c r="A832" s="14" t="str">
        <f t="shared" si="1"/>
        <v/>
      </c>
      <c r="B832" s="14" t="str">
        <f t="array" ref="B832">IF(OR(G832="",G832="Selecciona.."),"",XLOOKUP(G832,Productos!E:E,Productos!A:A,"",0,1))</f>
        <v/>
      </c>
      <c r="C832" s="14" t="str">
        <f t="array" ref="C832">IF(B832="","",SUMIF(Implementos!B:B,XLOOKUP(B832,Productos!A:A,Productos!F:F,"",0,1),Implementos!A:A))</f>
        <v/>
      </c>
      <c r="D832" s="14" t="str">
        <f t="array" ref="D832">IF(OR(H832="",H832="Selecciona.."),"",XLOOKUP(H832,Propiedades!B:B,Propiedades!A:A,"",0,1))</f>
        <v/>
      </c>
      <c r="E832" s="14" t="str">
        <f t="shared" si="2"/>
        <v/>
      </c>
      <c r="F832" s="14" t="str">
        <f t="shared" si="3"/>
        <v/>
      </c>
      <c r="G832" s="15" t="str">
        <f t="shared" si="8"/>
        <v/>
      </c>
      <c r="H832" s="15" t="str">
        <f t="shared" si="9"/>
        <v/>
      </c>
      <c r="I832" s="16" t="str">
        <f t="shared" si="10"/>
        <v/>
      </c>
      <c r="J832" s="17"/>
      <c r="K832" s="14" t="str">
        <f t="array" ref="K832">IF(OR(H832="",H832="Selecciona.."),"",XLOOKUP(H832,Propiedades!B:B,Propiedades!C:C,"",0,1))</f>
        <v/>
      </c>
    </row>
    <row r="833">
      <c r="A833" s="14" t="str">
        <f t="shared" si="1"/>
        <v/>
      </c>
      <c r="B833" s="14" t="str">
        <f t="array" ref="B833">IF(OR(G833="",G833="Selecciona.."),"",XLOOKUP(G833,Productos!E:E,Productos!A:A,"",0,1))</f>
        <v/>
      </c>
      <c r="C833" s="14" t="str">
        <f t="array" ref="C833">IF(B833="","",SUMIF(Implementos!B:B,XLOOKUP(B833,Productos!A:A,Productos!F:F,"",0,1),Implementos!A:A))</f>
        <v/>
      </c>
      <c r="D833" s="14" t="str">
        <f t="array" ref="D833">IF(OR(H833="",H833="Selecciona.."),"",XLOOKUP(H833,Propiedades!B:B,Propiedades!A:A,"",0,1))</f>
        <v/>
      </c>
      <c r="E833" s="14" t="str">
        <f t="shared" si="2"/>
        <v/>
      </c>
      <c r="F833" s="14" t="str">
        <f t="shared" si="3"/>
        <v/>
      </c>
      <c r="G833" s="15" t="str">
        <f t="shared" si="8"/>
        <v/>
      </c>
      <c r="H833" s="15" t="str">
        <f t="shared" si="9"/>
        <v/>
      </c>
      <c r="I833" s="16" t="str">
        <f t="shared" si="10"/>
        <v/>
      </c>
      <c r="J833" s="17"/>
      <c r="K833" s="14" t="str">
        <f t="array" ref="K833">IF(OR(H833="",H833="Selecciona.."),"",XLOOKUP(H833,Propiedades!B:B,Propiedades!C:C,"",0,1))</f>
        <v/>
      </c>
    </row>
    <row r="834">
      <c r="A834" s="14" t="str">
        <f t="shared" si="1"/>
        <v/>
      </c>
      <c r="B834" s="14" t="str">
        <f t="array" ref="B834">IF(OR(G834="",G834="Selecciona.."),"",XLOOKUP(G834,Productos!E:E,Productos!A:A,"",0,1))</f>
        <v/>
      </c>
      <c r="C834" s="14" t="str">
        <f t="array" ref="C834">IF(B834="","",SUMIF(Implementos!B:B,XLOOKUP(B834,Productos!A:A,Productos!F:F,"",0,1),Implementos!A:A))</f>
        <v/>
      </c>
      <c r="D834" s="14" t="str">
        <f t="array" ref="D834">IF(OR(H834="",H834="Selecciona.."),"",XLOOKUP(H834,Propiedades!B:B,Propiedades!A:A,"",0,1))</f>
        <v/>
      </c>
      <c r="E834" s="14" t="str">
        <f t="shared" si="2"/>
        <v/>
      </c>
      <c r="F834" s="14" t="str">
        <f t="shared" si="3"/>
        <v/>
      </c>
      <c r="G834" s="15" t="str">
        <f t="shared" si="8"/>
        <v/>
      </c>
      <c r="H834" s="15" t="str">
        <f t="shared" si="9"/>
        <v/>
      </c>
      <c r="I834" s="16" t="str">
        <f t="shared" si="10"/>
        <v/>
      </c>
      <c r="J834" s="17"/>
      <c r="K834" s="14" t="str">
        <f t="array" ref="K834">IF(OR(H834="",H834="Selecciona.."),"",XLOOKUP(H834,Propiedades!B:B,Propiedades!C:C,"",0,1))</f>
        <v/>
      </c>
    </row>
    <row r="835">
      <c r="A835" s="14" t="str">
        <f t="shared" si="1"/>
        <v/>
      </c>
      <c r="B835" s="14" t="str">
        <f t="array" ref="B835">IF(OR(G835="",G835="Selecciona.."),"",XLOOKUP(G835,Productos!E:E,Productos!A:A,"",0,1))</f>
        <v/>
      </c>
      <c r="C835" s="14" t="str">
        <f t="array" ref="C835">IF(B835="","",SUMIF(Implementos!B:B,XLOOKUP(B835,Productos!A:A,Productos!F:F,"",0,1),Implementos!A:A))</f>
        <v/>
      </c>
      <c r="D835" s="14" t="str">
        <f t="array" ref="D835">IF(OR(H835="",H835="Selecciona.."),"",XLOOKUP(H835,Propiedades!B:B,Propiedades!A:A,"",0,1))</f>
        <v/>
      </c>
      <c r="E835" s="14" t="str">
        <f t="shared" si="2"/>
        <v/>
      </c>
      <c r="F835" s="14" t="str">
        <f t="shared" si="3"/>
        <v/>
      </c>
      <c r="G835" s="15" t="str">
        <f t="shared" si="8"/>
        <v/>
      </c>
      <c r="H835" s="15" t="str">
        <f t="shared" si="9"/>
        <v/>
      </c>
      <c r="I835" s="16" t="str">
        <f t="shared" si="10"/>
        <v/>
      </c>
      <c r="J835" s="17"/>
      <c r="K835" s="14" t="str">
        <f t="array" ref="K835">IF(OR(H835="",H835="Selecciona.."),"",XLOOKUP(H835,Propiedades!B:B,Propiedades!C:C,"",0,1))</f>
        <v/>
      </c>
    </row>
    <row r="836">
      <c r="A836" s="14" t="str">
        <f t="shared" si="1"/>
        <v/>
      </c>
      <c r="B836" s="14" t="str">
        <f t="array" ref="B836">IF(OR(G836="",G836="Selecciona.."),"",XLOOKUP(G836,Productos!E:E,Productos!A:A,"",0,1))</f>
        <v/>
      </c>
      <c r="C836" s="14" t="str">
        <f t="array" ref="C836">IF(B836="","",SUMIF(Implementos!B:B,XLOOKUP(B836,Productos!A:A,Productos!F:F,"",0,1),Implementos!A:A))</f>
        <v/>
      </c>
      <c r="D836" s="14" t="str">
        <f t="array" ref="D836">IF(OR(H836="",H836="Selecciona.."),"",XLOOKUP(H836,Propiedades!B:B,Propiedades!A:A,"",0,1))</f>
        <v/>
      </c>
      <c r="E836" s="14" t="str">
        <f t="shared" si="2"/>
        <v/>
      </c>
      <c r="F836" s="14" t="str">
        <f t="shared" si="3"/>
        <v/>
      </c>
      <c r="G836" s="15" t="str">
        <f t="shared" si="8"/>
        <v/>
      </c>
      <c r="H836" s="15" t="str">
        <f t="shared" si="9"/>
        <v/>
      </c>
      <c r="I836" s="16" t="str">
        <f t="shared" si="10"/>
        <v/>
      </c>
      <c r="J836" s="17"/>
      <c r="K836" s="14" t="str">
        <f t="array" ref="K836">IF(OR(H836="",H836="Selecciona.."),"",XLOOKUP(H836,Propiedades!B:B,Propiedades!C:C,"",0,1))</f>
        <v/>
      </c>
    </row>
    <row r="837">
      <c r="A837" s="14" t="str">
        <f t="shared" si="1"/>
        <v/>
      </c>
      <c r="B837" s="14" t="str">
        <f t="array" ref="B837">IF(OR(G837="",G837="Selecciona.."),"",XLOOKUP(G837,Productos!E:E,Productos!A:A,"",0,1))</f>
        <v/>
      </c>
      <c r="C837" s="14" t="str">
        <f t="array" ref="C837">IF(B837="","",SUMIF(Implementos!B:B,XLOOKUP(B837,Productos!A:A,Productos!F:F,"",0,1),Implementos!A:A))</f>
        <v/>
      </c>
      <c r="D837" s="14" t="str">
        <f t="array" ref="D837">IF(OR(H837="",H837="Selecciona.."),"",XLOOKUP(H837,Propiedades!B:B,Propiedades!A:A,"",0,1))</f>
        <v/>
      </c>
      <c r="E837" s="14" t="str">
        <f t="shared" si="2"/>
        <v/>
      </c>
      <c r="F837" s="14" t="str">
        <f t="shared" si="3"/>
        <v/>
      </c>
      <c r="G837" s="15" t="str">
        <f t="shared" si="8"/>
        <v/>
      </c>
      <c r="H837" s="15" t="str">
        <f t="shared" si="9"/>
        <v/>
      </c>
      <c r="I837" s="16" t="str">
        <f t="shared" si="10"/>
        <v/>
      </c>
      <c r="J837" s="17"/>
      <c r="K837" s="14" t="str">
        <f t="array" ref="K837">IF(OR(H837="",H837="Selecciona.."),"",XLOOKUP(H837,Propiedades!B:B,Propiedades!C:C,"",0,1))</f>
        <v/>
      </c>
    </row>
    <row r="838">
      <c r="A838" s="14" t="str">
        <f t="shared" si="1"/>
        <v/>
      </c>
      <c r="B838" s="14" t="str">
        <f t="array" ref="B838">IF(OR(G838="",G838="Selecciona.."),"",XLOOKUP(G838,Productos!E:E,Productos!A:A,"",0,1))</f>
        <v/>
      </c>
      <c r="C838" s="14" t="str">
        <f t="array" ref="C838">IF(B838="","",SUMIF(Implementos!B:B,XLOOKUP(B838,Productos!A:A,Productos!F:F,"",0,1),Implementos!A:A))</f>
        <v/>
      </c>
      <c r="D838" s="14" t="str">
        <f t="array" ref="D838">IF(OR(H838="",H838="Selecciona.."),"",XLOOKUP(H838,Propiedades!B:B,Propiedades!A:A,"",0,1))</f>
        <v/>
      </c>
      <c r="E838" s="14" t="str">
        <f t="shared" si="2"/>
        <v/>
      </c>
      <c r="F838" s="14" t="str">
        <f t="shared" si="3"/>
        <v/>
      </c>
      <c r="G838" s="15" t="str">
        <f t="shared" si="8"/>
        <v/>
      </c>
      <c r="H838" s="15" t="str">
        <f t="shared" si="9"/>
        <v/>
      </c>
      <c r="I838" s="16" t="str">
        <f t="shared" si="10"/>
        <v/>
      </c>
      <c r="J838" s="17"/>
      <c r="K838" s="14" t="str">
        <f t="array" ref="K838">IF(OR(H838="",H838="Selecciona.."),"",XLOOKUP(H838,Propiedades!B:B,Propiedades!C:C,"",0,1))</f>
        <v/>
      </c>
    </row>
    <row r="839">
      <c r="A839" s="14" t="str">
        <f t="shared" si="1"/>
        <v/>
      </c>
      <c r="B839" s="14" t="str">
        <f t="array" ref="B839">IF(OR(G839="",G839="Selecciona.."),"",XLOOKUP(G839,Productos!E:E,Productos!A:A,"",0,1))</f>
        <v/>
      </c>
      <c r="C839" s="14" t="str">
        <f t="array" ref="C839">IF(B839="","",SUMIF(Implementos!B:B,XLOOKUP(B839,Productos!A:A,Productos!F:F,"",0,1),Implementos!A:A))</f>
        <v/>
      </c>
      <c r="D839" s="14" t="str">
        <f t="array" ref="D839">IF(OR(H839="",H839="Selecciona.."),"",XLOOKUP(H839,Propiedades!B:B,Propiedades!A:A,"",0,1))</f>
        <v/>
      </c>
      <c r="E839" s="14" t="str">
        <f t="shared" si="2"/>
        <v/>
      </c>
      <c r="F839" s="14" t="str">
        <f t="shared" si="3"/>
        <v/>
      </c>
      <c r="G839" s="15" t="str">
        <f t="shared" si="8"/>
        <v/>
      </c>
      <c r="H839" s="15" t="str">
        <f t="shared" si="9"/>
        <v/>
      </c>
      <c r="I839" s="16" t="str">
        <f t="shared" si="10"/>
        <v/>
      </c>
      <c r="J839" s="17"/>
      <c r="K839" s="14" t="str">
        <f t="array" ref="K839">IF(OR(H839="",H839="Selecciona.."),"",XLOOKUP(H839,Propiedades!B:B,Propiedades!C:C,"",0,1))</f>
        <v/>
      </c>
    </row>
    <row r="840">
      <c r="A840" s="14" t="str">
        <f t="shared" si="1"/>
        <v/>
      </c>
      <c r="B840" s="14" t="str">
        <f t="array" ref="B840">IF(OR(G840="",G840="Selecciona.."),"",XLOOKUP(G840,Productos!E:E,Productos!A:A,"",0,1))</f>
        <v/>
      </c>
      <c r="C840" s="14" t="str">
        <f t="array" ref="C840">IF(B840="","",SUMIF(Implementos!B:B,XLOOKUP(B840,Productos!A:A,Productos!F:F,"",0,1),Implementos!A:A))</f>
        <v/>
      </c>
      <c r="D840" s="14" t="str">
        <f t="array" ref="D840">IF(OR(H840="",H840="Selecciona.."),"",XLOOKUP(H840,Propiedades!B:B,Propiedades!A:A,"",0,1))</f>
        <v/>
      </c>
      <c r="E840" s="14" t="str">
        <f t="shared" si="2"/>
        <v/>
      </c>
      <c r="F840" s="14" t="str">
        <f t="shared" si="3"/>
        <v/>
      </c>
      <c r="G840" s="15" t="str">
        <f t="shared" si="8"/>
        <v/>
      </c>
      <c r="H840" s="15" t="str">
        <f t="shared" si="9"/>
        <v/>
      </c>
      <c r="I840" s="16" t="str">
        <f t="shared" si="10"/>
        <v/>
      </c>
      <c r="J840" s="17"/>
      <c r="K840" s="14" t="str">
        <f t="array" ref="K840">IF(OR(H840="",H840="Selecciona.."),"",XLOOKUP(H840,Propiedades!B:B,Propiedades!C:C,"",0,1))</f>
        <v/>
      </c>
    </row>
    <row r="841">
      <c r="A841" s="14" t="str">
        <f t="shared" si="1"/>
        <v/>
      </c>
      <c r="B841" s="14" t="str">
        <f t="array" ref="B841">IF(OR(G841="",G841="Selecciona.."),"",XLOOKUP(G841,Productos!E:E,Productos!A:A,"",0,1))</f>
        <v/>
      </c>
      <c r="C841" s="14" t="str">
        <f t="array" ref="C841">IF(B841="","",SUMIF(Implementos!B:B,XLOOKUP(B841,Productos!A:A,Productos!F:F,"",0,1),Implementos!A:A))</f>
        <v/>
      </c>
      <c r="D841" s="14" t="str">
        <f t="array" ref="D841">IF(OR(H841="",H841="Selecciona.."),"",XLOOKUP(H841,Propiedades!B:B,Propiedades!A:A,"",0,1))</f>
        <v/>
      </c>
      <c r="E841" s="14" t="str">
        <f t="shared" si="2"/>
        <v/>
      </c>
      <c r="F841" s="14" t="str">
        <f t="shared" si="3"/>
        <v/>
      </c>
      <c r="G841" s="15" t="str">
        <f t="shared" si="8"/>
        <v/>
      </c>
      <c r="H841" s="15" t="str">
        <f t="shared" si="9"/>
        <v/>
      </c>
      <c r="I841" s="16" t="str">
        <f t="shared" si="10"/>
        <v/>
      </c>
      <c r="J841" s="17"/>
      <c r="K841" s="14" t="str">
        <f t="array" ref="K841">IF(OR(H841="",H841="Selecciona.."),"",XLOOKUP(H841,Propiedades!B:B,Propiedades!C:C,"",0,1))</f>
        <v/>
      </c>
    </row>
    <row r="842">
      <c r="A842" s="14" t="str">
        <f t="shared" si="1"/>
        <v/>
      </c>
      <c r="B842" s="14" t="str">
        <f t="array" ref="B842">IF(OR(G842="",G842="Selecciona.."),"",XLOOKUP(G842,Productos!E:E,Productos!A:A,"",0,1))</f>
        <v/>
      </c>
      <c r="C842" s="14" t="str">
        <f t="array" ref="C842">IF(B842="","",SUMIF(Implementos!B:B,XLOOKUP(B842,Productos!A:A,Productos!F:F,"",0,1),Implementos!A:A))</f>
        <v/>
      </c>
      <c r="D842" s="14" t="str">
        <f t="array" ref="D842">IF(OR(H842="",H842="Selecciona.."),"",XLOOKUP(H842,Propiedades!B:B,Propiedades!A:A,"",0,1))</f>
        <v/>
      </c>
      <c r="E842" s="14" t="str">
        <f t="shared" si="2"/>
        <v/>
      </c>
      <c r="F842" s="14" t="str">
        <f t="shared" si="3"/>
        <v/>
      </c>
      <c r="G842" s="15" t="str">
        <f t="shared" si="8"/>
        <v/>
      </c>
      <c r="H842" s="15" t="str">
        <f t="shared" si="9"/>
        <v/>
      </c>
      <c r="I842" s="16" t="str">
        <f t="shared" si="10"/>
        <v/>
      </c>
      <c r="J842" s="17"/>
      <c r="K842" s="14" t="str">
        <f t="array" ref="K842">IF(OR(H842="",H842="Selecciona.."),"",XLOOKUP(H842,Propiedades!B:B,Propiedades!C:C,"",0,1))</f>
        <v/>
      </c>
    </row>
    <row r="843">
      <c r="A843" s="14" t="str">
        <f t="shared" si="1"/>
        <v/>
      </c>
      <c r="B843" s="14" t="str">
        <f t="array" ref="B843">IF(OR(G843="",G843="Selecciona.."),"",XLOOKUP(G843,Productos!E:E,Productos!A:A,"",0,1))</f>
        <v/>
      </c>
      <c r="C843" s="14" t="str">
        <f t="array" ref="C843">IF(B843="","",SUMIF(Implementos!B:B,XLOOKUP(B843,Productos!A:A,Productos!F:F,"",0,1),Implementos!A:A))</f>
        <v/>
      </c>
      <c r="D843" s="14" t="str">
        <f t="array" ref="D843">IF(OR(H843="",H843="Selecciona.."),"",XLOOKUP(H843,Propiedades!B:B,Propiedades!A:A,"",0,1))</f>
        <v/>
      </c>
      <c r="E843" s="14" t="str">
        <f t="shared" si="2"/>
        <v/>
      </c>
      <c r="F843" s="14" t="str">
        <f t="shared" si="3"/>
        <v/>
      </c>
      <c r="G843" s="15" t="str">
        <f t="shared" si="8"/>
        <v/>
      </c>
      <c r="H843" s="15" t="str">
        <f t="shared" si="9"/>
        <v/>
      </c>
      <c r="I843" s="16" t="str">
        <f t="shared" si="10"/>
        <v/>
      </c>
      <c r="J843" s="17"/>
      <c r="K843" s="14" t="str">
        <f t="array" ref="K843">IF(OR(H843="",H843="Selecciona.."),"",XLOOKUP(H843,Propiedades!B:B,Propiedades!C:C,"",0,1))</f>
        <v/>
      </c>
    </row>
    <row r="844">
      <c r="A844" s="14" t="str">
        <f t="shared" si="1"/>
        <v/>
      </c>
      <c r="B844" s="14" t="str">
        <f t="array" ref="B844">IF(OR(G844="",G844="Selecciona.."),"",XLOOKUP(G844,Productos!E:E,Productos!A:A,"",0,1))</f>
        <v/>
      </c>
      <c r="C844" s="14" t="str">
        <f t="array" ref="C844">IF(B844="","",SUMIF(Implementos!B:B,XLOOKUP(B844,Productos!A:A,Productos!F:F,"",0,1),Implementos!A:A))</f>
        <v/>
      </c>
      <c r="D844" s="14" t="str">
        <f t="array" ref="D844">IF(OR(H844="",H844="Selecciona.."),"",XLOOKUP(H844,Propiedades!B:B,Propiedades!A:A,"",0,1))</f>
        <v/>
      </c>
      <c r="E844" s="14" t="str">
        <f t="shared" si="2"/>
        <v/>
      </c>
      <c r="F844" s="14" t="str">
        <f t="shared" si="3"/>
        <v/>
      </c>
      <c r="G844" s="15" t="str">
        <f t="shared" si="8"/>
        <v/>
      </c>
      <c r="H844" s="15" t="str">
        <f t="shared" si="9"/>
        <v/>
      </c>
      <c r="I844" s="16" t="str">
        <f t="shared" si="10"/>
        <v/>
      </c>
      <c r="J844" s="17"/>
      <c r="K844" s="14" t="str">
        <f t="array" ref="K844">IF(OR(H844="",H844="Selecciona.."),"",XLOOKUP(H844,Propiedades!B:B,Propiedades!C:C,"",0,1))</f>
        <v/>
      </c>
    </row>
    <row r="845">
      <c r="A845" s="14" t="str">
        <f t="shared" si="1"/>
        <v/>
      </c>
      <c r="B845" s="14" t="str">
        <f t="array" ref="B845">IF(OR(G845="",G845="Selecciona.."),"",XLOOKUP(G845,Productos!E:E,Productos!A:A,"",0,1))</f>
        <v/>
      </c>
      <c r="C845" s="14" t="str">
        <f t="array" ref="C845">IF(B845="","",SUMIF(Implementos!B:B,XLOOKUP(B845,Productos!A:A,Productos!F:F,"",0,1),Implementos!A:A))</f>
        <v/>
      </c>
      <c r="D845" s="14" t="str">
        <f t="array" ref="D845">IF(OR(H845="",H845="Selecciona.."),"",XLOOKUP(H845,Propiedades!B:B,Propiedades!A:A,"",0,1))</f>
        <v/>
      </c>
      <c r="E845" s="14" t="str">
        <f t="shared" si="2"/>
        <v/>
      </c>
      <c r="F845" s="14" t="str">
        <f t="shared" si="3"/>
        <v/>
      </c>
      <c r="G845" s="15" t="str">
        <f t="shared" si="8"/>
        <v/>
      </c>
      <c r="H845" s="15" t="str">
        <f t="shared" si="9"/>
        <v/>
      </c>
      <c r="I845" s="16" t="str">
        <f t="shared" si="10"/>
        <v/>
      </c>
      <c r="J845" s="17"/>
      <c r="K845" s="14" t="str">
        <f t="array" ref="K845">IF(OR(H845="",H845="Selecciona.."),"",XLOOKUP(H845,Propiedades!B:B,Propiedades!C:C,"",0,1))</f>
        <v/>
      </c>
    </row>
    <row r="846">
      <c r="A846" s="14" t="str">
        <f t="shared" si="1"/>
        <v/>
      </c>
      <c r="B846" s="14" t="str">
        <f t="array" ref="B846">IF(OR(G846="",G846="Selecciona.."),"",XLOOKUP(G846,Productos!E:E,Productos!A:A,"",0,1))</f>
        <v/>
      </c>
      <c r="C846" s="14" t="str">
        <f t="array" ref="C846">IF(B846="","",SUMIF(Implementos!B:B,XLOOKUP(B846,Productos!A:A,Productos!F:F,"",0,1),Implementos!A:A))</f>
        <v/>
      </c>
      <c r="D846" s="14" t="str">
        <f t="array" ref="D846">IF(OR(H846="",H846="Selecciona.."),"",XLOOKUP(H846,Propiedades!B:B,Propiedades!A:A,"",0,1))</f>
        <v/>
      </c>
      <c r="E846" s="14" t="str">
        <f t="shared" si="2"/>
        <v/>
      </c>
      <c r="F846" s="14" t="str">
        <f t="shared" si="3"/>
        <v/>
      </c>
      <c r="G846" s="15" t="str">
        <f t="shared" si="8"/>
        <v/>
      </c>
      <c r="H846" s="15" t="str">
        <f t="shared" si="9"/>
        <v/>
      </c>
      <c r="I846" s="16" t="str">
        <f t="shared" si="10"/>
        <v/>
      </c>
      <c r="J846" s="17"/>
      <c r="K846" s="14" t="str">
        <f t="array" ref="K846">IF(OR(H846="",H846="Selecciona.."),"",XLOOKUP(H846,Propiedades!B:B,Propiedades!C:C,"",0,1))</f>
        <v/>
      </c>
    </row>
    <row r="847">
      <c r="A847" s="14" t="str">
        <f t="shared" si="1"/>
        <v/>
      </c>
      <c r="B847" s="14" t="str">
        <f t="array" ref="B847">IF(OR(G847="",G847="Selecciona.."),"",XLOOKUP(G847,Productos!E:E,Productos!A:A,"",0,1))</f>
        <v/>
      </c>
      <c r="C847" s="14" t="str">
        <f t="array" ref="C847">IF(B847="","",SUMIF(Implementos!B:B,XLOOKUP(B847,Productos!A:A,Productos!F:F,"",0,1),Implementos!A:A))</f>
        <v/>
      </c>
      <c r="D847" s="14" t="str">
        <f t="array" ref="D847">IF(OR(H847="",H847="Selecciona.."),"",XLOOKUP(H847,Propiedades!B:B,Propiedades!A:A,"",0,1))</f>
        <v/>
      </c>
      <c r="E847" s="14" t="str">
        <f t="shared" si="2"/>
        <v/>
      </c>
      <c r="F847" s="14" t="str">
        <f t="shared" si="3"/>
        <v/>
      </c>
      <c r="G847" s="15" t="str">
        <f t="shared" si="8"/>
        <v/>
      </c>
      <c r="H847" s="15" t="str">
        <f t="shared" si="9"/>
        <v/>
      </c>
      <c r="I847" s="16" t="str">
        <f t="shared" si="10"/>
        <v/>
      </c>
      <c r="J847" s="17"/>
      <c r="K847" s="14" t="str">
        <f t="array" ref="K847">IF(OR(H847="",H847="Selecciona.."),"",XLOOKUP(H847,Propiedades!B:B,Propiedades!C:C,"",0,1))</f>
        <v/>
      </c>
    </row>
    <row r="848">
      <c r="A848" s="14" t="str">
        <f t="shared" si="1"/>
        <v/>
      </c>
      <c r="B848" s="14" t="str">
        <f t="array" ref="B848">IF(OR(G848="",G848="Selecciona.."),"",XLOOKUP(G848,Productos!E:E,Productos!A:A,"",0,1))</f>
        <v/>
      </c>
      <c r="C848" s="14" t="str">
        <f t="array" ref="C848">IF(B848="","",SUMIF(Implementos!B:B,XLOOKUP(B848,Productos!A:A,Productos!F:F,"",0,1),Implementos!A:A))</f>
        <v/>
      </c>
      <c r="D848" s="14" t="str">
        <f t="array" ref="D848">IF(OR(H848="",H848="Selecciona.."),"",XLOOKUP(H848,Propiedades!B:B,Propiedades!A:A,"",0,1))</f>
        <v/>
      </c>
      <c r="E848" s="14" t="str">
        <f t="shared" si="2"/>
        <v/>
      </c>
      <c r="F848" s="14" t="str">
        <f t="shared" si="3"/>
        <v/>
      </c>
      <c r="G848" s="15" t="str">
        <f t="shared" si="8"/>
        <v/>
      </c>
      <c r="H848" s="15" t="str">
        <f t="shared" si="9"/>
        <v/>
      </c>
      <c r="I848" s="16" t="str">
        <f t="shared" si="10"/>
        <v/>
      </c>
      <c r="J848" s="17"/>
      <c r="K848" s="14" t="str">
        <f t="array" ref="K848">IF(OR(H848="",H848="Selecciona.."),"",XLOOKUP(H848,Propiedades!B:B,Propiedades!C:C,"",0,1))</f>
        <v/>
      </c>
    </row>
    <row r="849">
      <c r="A849" s="14" t="str">
        <f t="shared" si="1"/>
        <v/>
      </c>
      <c r="B849" s="14" t="str">
        <f t="array" ref="B849">IF(OR(G849="",G849="Selecciona.."),"",XLOOKUP(G849,Productos!E:E,Productos!A:A,"",0,1))</f>
        <v/>
      </c>
      <c r="C849" s="14" t="str">
        <f t="array" ref="C849">IF(B849="","",SUMIF(Implementos!B:B,XLOOKUP(B849,Productos!A:A,Productos!F:F,"",0,1),Implementos!A:A))</f>
        <v/>
      </c>
      <c r="D849" s="14" t="str">
        <f t="array" ref="D849">IF(OR(H849="",H849="Selecciona.."),"",XLOOKUP(H849,Propiedades!B:B,Propiedades!A:A,"",0,1))</f>
        <v/>
      </c>
      <c r="E849" s="14" t="str">
        <f t="shared" si="2"/>
        <v/>
      </c>
      <c r="F849" s="14" t="str">
        <f t="shared" si="3"/>
        <v/>
      </c>
      <c r="G849" s="15" t="str">
        <f t="shared" si="8"/>
        <v/>
      </c>
      <c r="H849" s="15" t="str">
        <f t="shared" si="9"/>
        <v/>
      </c>
      <c r="I849" s="16" t="str">
        <f t="shared" si="10"/>
        <v/>
      </c>
      <c r="J849" s="17"/>
      <c r="K849" s="14" t="str">
        <f t="array" ref="K849">IF(OR(H849="",H849="Selecciona.."),"",XLOOKUP(H849,Propiedades!B:B,Propiedades!C:C,"",0,1))</f>
        <v/>
      </c>
    </row>
    <row r="850">
      <c r="A850" s="14" t="str">
        <f t="shared" si="1"/>
        <v/>
      </c>
      <c r="B850" s="14" t="str">
        <f t="array" ref="B850">IF(OR(G850="",G850="Selecciona.."),"",XLOOKUP(G850,Productos!E:E,Productos!A:A,"",0,1))</f>
        <v/>
      </c>
      <c r="C850" s="14" t="str">
        <f t="array" ref="C850">IF(B850="","",SUMIF(Implementos!B:B,XLOOKUP(B850,Productos!A:A,Productos!F:F,"",0,1),Implementos!A:A))</f>
        <v/>
      </c>
      <c r="D850" s="14" t="str">
        <f t="array" ref="D850">IF(OR(H850="",H850="Selecciona.."),"",XLOOKUP(H850,Propiedades!B:B,Propiedades!A:A,"",0,1))</f>
        <v/>
      </c>
      <c r="E850" s="14" t="str">
        <f t="shared" si="2"/>
        <v/>
      </c>
      <c r="F850" s="14" t="str">
        <f t="shared" si="3"/>
        <v/>
      </c>
      <c r="G850" s="15" t="str">
        <f t="shared" si="8"/>
        <v/>
      </c>
      <c r="H850" s="15" t="str">
        <f t="shared" si="9"/>
        <v/>
      </c>
      <c r="I850" s="16" t="str">
        <f t="shared" si="10"/>
        <v/>
      </c>
      <c r="J850" s="17"/>
      <c r="K850" s="14" t="str">
        <f t="array" ref="K850">IF(OR(H850="",H850="Selecciona.."),"",XLOOKUP(H850,Propiedades!B:B,Propiedades!C:C,"",0,1))</f>
        <v/>
      </c>
    </row>
    <row r="851">
      <c r="A851" s="14" t="str">
        <f t="shared" si="1"/>
        <v/>
      </c>
      <c r="B851" s="14" t="str">
        <f t="array" ref="B851">IF(OR(G851="",G851="Selecciona.."),"",XLOOKUP(G851,Productos!E:E,Productos!A:A,"",0,1))</f>
        <v/>
      </c>
      <c r="C851" s="14" t="str">
        <f t="array" ref="C851">IF(B851="","",SUMIF(Implementos!B:B,XLOOKUP(B851,Productos!A:A,Productos!F:F,"",0,1),Implementos!A:A))</f>
        <v/>
      </c>
      <c r="D851" s="14" t="str">
        <f t="array" ref="D851">IF(OR(H851="",H851="Selecciona.."),"",XLOOKUP(H851,Propiedades!B:B,Propiedades!A:A,"",0,1))</f>
        <v/>
      </c>
      <c r="E851" s="14" t="str">
        <f t="shared" si="2"/>
        <v/>
      </c>
      <c r="F851" s="14" t="str">
        <f t="shared" si="3"/>
        <v/>
      </c>
      <c r="G851" s="15" t="str">
        <f t="shared" si="8"/>
        <v/>
      </c>
      <c r="H851" s="15" t="str">
        <f t="shared" si="9"/>
        <v/>
      </c>
      <c r="I851" s="16" t="str">
        <f t="shared" si="10"/>
        <v/>
      </c>
      <c r="J851" s="17"/>
      <c r="K851" s="14" t="str">
        <f t="array" ref="K851">IF(OR(H851="",H851="Selecciona.."),"",XLOOKUP(H851,Propiedades!B:B,Propiedades!C:C,"",0,1))</f>
        <v/>
      </c>
    </row>
    <row r="852">
      <c r="A852" s="14" t="str">
        <f t="shared" si="1"/>
        <v/>
      </c>
      <c r="B852" s="14" t="str">
        <f t="array" ref="B852">IF(OR(G852="",G852="Selecciona.."),"",XLOOKUP(G852,Productos!E:E,Productos!A:A,"",0,1))</f>
        <v/>
      </c>
      <c r="C852" s="14" t="str">
        <f t="array" ref="C852">IF(B852="","",SUMIF(Implementos!B:B,XLOOKUP(B852,Productos!A:A,Productos!F:F,"",0,1),Implementos!A:A))</f>
        <v/>
      </c>
      <c r="D852" s="14" t="str">
        <f t="array" ref="D852">IF(OR(H852="",H852="Selecciona.."),"",XLOOKUP(H852,Propiedades!B:B,Propiedades!A:A,"",0,1))</f>
        <v/>
      </c>
      <c r="E852" s="14" t="str">
        <f t="shared" si="2"/>
        <v/>
      </c>
      <c r="F852" s="14" t="str">
        <f t="shared" si="3"/>
        <v/>
      </c>
      <c r="G852" s="15" t="str">
        <f t="shared" si="8"/>
        <v/>
      </c>
      <c r="H852" s="15" t="str">
        <f t="shared" si="9"/>
        <v/>
      </c>
      <c r="I852" s="16" t="str">
        <f t="shared" si="10"/>
        <v/>
      </c>
      <c r="J852" s="17"/>
      <c r="K852" s="14" t="str">
        <f t="array" ref="K852">IF(OR(H852="",H852="Selecciona.."),"",XLOOKUP(H852,Propiedades!B:B,Propiedades!C:C,"",0,1))</f>
        <v/>
      </c>
    </row>
    <row r="853">
      <c r="A853" s="14" t="str">
        <f t="shared" si="1"/>
        <v/>
      </c>
      <c r="B853" s="14" t="str">
        <f t="array" ref="B853">IF(OR(G853="",G853="Selecciona.."),"",XLOOKUP(G853,Productos!E:E,Productos!A:A,"",0,1))</f>
        <v/>
      </c>
      <c r="C853" s="14" t="str">
        <f t="array" ref="C853">IF(B853="","",SUMIF(Implementos!B:B,XLOOKUP(B853,Productos!A:A,Productos!F:F,"",0,1),Implementos!A:A))</f>
        <v/>
      </c>
      <c r="D853" s="14" t="str">
        <f t="array" ref="D853">IF(OR(H853="",H853="Selecciona.."),"",XLOOKUP(H853,Propiedades!B:B,Propiedades!A:A,"",0,1))</f>
        <v/>
      </c>
      <c r="E853" s="14" t="str">
        <f t="shared" si="2"/>
        <v/>
      </c>
      <c r="F853" s="14" t="str">
        <f t="shared" si="3"/>
        <v/>
      </c>
      <c r="G853" s="15" t="str">
        <f t="shared" si="8"/>
        <v/>
      </c>
      <c r="H853" s="15" t="str">
        <f t="shared" si="9"/>
        <v/>
      </c>
      <c r="I853" s="16" t="str">
        <f t="shared" si="10"/>
        <v/>
      </c>
      <c r="J853" s="17"/>
      <c r="K853" s="14" t="str">
        <f t="array" ref="K853">IF(OR(H853="",H853="Selecciona.."),"",XLOOKUP(H853,Propiedades!B:B,Propiedades!C:C,"",0,1))</f>
        <v/>
      </c>
    </row>
    <row r="854">
      <c r="A854" s="14" t="str">
        <f t="shared" si="1"/>
        <v/>
      </c>
      <c r="B854" s="14" t="str">
        <f t="array" ref="B854">IF(OR(G854="",G854="Selecciona.."),"",XLOOKUP(G854,Productos!E:E,Productos!A:A,"",0,1))</f>
        <v/>
      </c>
      <c r="C854" s="14" t="str">
        <f t="array" ref="C854">IF(B854="","",SUMIF(Implementos!B:B,XLOOKUP(B854,Productos!A:A,Productos!F:F,"",0,1),Implementos!A:A))</f>
        <v/>
      </c>
      <c r="D854" s="14" t="str">
        <f t="array" ref="D854">IF(OR(H854="",H854="Selecciona.."),"",XLOOKUP(H854,Propiedades!B:B,Propiedades!A:A,"",0,1))</f>
        <v/>
      </c>
      <c r="E854" s="14" t="str">
        <f t="shared" si="2"/>
        <v/>
      </c>
      <c r="F854" s="14" t="str">
        <f t="shared" si="3"/>
        <v/>
      </c>
      <c r="G854" s="15" t="str">
        <f t="shared" si="8"/>
        <v/>
      </c>
      <c r="H854" s="15" t="str">
        <f t="shared" si="9"/>
        <v/>
      </c>
      <c r="I854" s="16" t="str">
        <f t="shared" si="10"/>
        <v/>
      </c>
      <c r="J854" s="17"/>
      <c r="K854" s="14" t="str">
        <f t="array" ref="K854">IF(OR(H854="",H854="Selecciona.."),"",XLOOKUP(H854,Propiedades!B:B,Propiedades!C:C,"",0,1))</f>
        <v/>
      </c>
    </row>
    <row r="855">
      <c r="A855" s="14" t="str">
        <f t="shared" si="1"/>
        <v/>
      </c>
      <c r="B855" s="14" t="str">
        <f t="array" ref="B855">IF(OR(G855="",G855="Selecciona.."),"",XLOOKUP(G855,Productos!E:E,Productos!A:A,"",0,1))</f>
        <v/>
      </c>
      <c r="C855" s="14" t="str">
        <f t="array" ref="C855">IF(B855="","",SUMIF(Implementos!B:B,XLOOKUP(B855,Productos!A:A,Productos!F:F,"",0,1),Implementos!A:A))</f>
        <v/>
      </c>
      <c r="D855" s="14" t="str">
        <f t="array" ref="D855">IF(OR(H855="",H855="Selecciona.."),"",XLOOKUP(H855,Propiedades!B:B,Propiedades!A:A,"",0,1))</f>
        <v/>
      </c>
      <c r="E855" s="14" t="str">
        <f t="shared" si="2"/>
        <v/>
      </c>
      <c r="F855" s="14" t="str">
        <f t="shared" si="3"/>
        <v/>
      </c>
      <c r="G855" s="15" t="str">
        <f t="shared" si="8"/>
        <v/>
      </c>
      <c r="H855" s="15" t="str">
        <f t="shared" si="9"/>
        <v/>
      </c>
      <c r="I855" s="16" t="str">
        <f t="shared" si="10"/>
        <v/>
      </c>
      <c r="J855" s="17"/>
      <c r="K855" s="14" t="str">
        <f t="array" ref="K855">IF(OR(H855="",H855="Selecciona.."),"",XLOOKUP(H855,Propiedades!B:B,Propiedades!C:C,"",0,1))</f>
        <v/>
      </c>
    </row>
    <row r="856">
      <c r="A856" s="14" t="str">
        <f t="shared" si="1"/>
        <v/>
      </c>
      <c r="B856" s="14" t="str">
        <f t="array" ref="B856">IF(OR(G856="",G856="Selecciona.."),"",XLOOKUP(G856,Productos!E:E,Productos!A:A,"",0,1))</f>
        <v/>
      </c>
      <c r="C856" s="14" t="str">
        <f t="array" ref="C856">IF(B856="","",SUMIF(Implementos!B:B,XLOOKUP(B856,Productos!A:A,Productos!F:F,"",0,1),Implementos!A:A))</f>
        <v/>
      </c>
      <c r="D856" s="14" t="str">
        <f t="array" ref="D856">IF(OR(H856="",H856="Selecciona.."),"",XLOOKUP(H856,Propiedades!B:B,Propiedades!A:A,"",0,1))</f>
        <v/>
      </c>
      <c r="E856" s="14" t="str">
        <f t="shared" si="2"/>
        <v/>
      </c>
      <c r="F856" s="14" t="str">
        <f t="shared" si="3"/>
        <v/>
      </c>
      <c r="G856" s="15" t="str">
        <f t="shared" si="8"/>
        <v/>
      </c>
      <c r="H856" s="15" t="str">
        <f t="shared" si="9"/>
        <v/>
      </c>
      <c r="I856" s="16" t="str">
        <f t="shared" si="10"/>
        <v/>
      </c>
      <c r="J856" s="17"/>
      <c r="K856" s="14" t="str">
        <f t="array" ref="K856">IF(OR(H856="",H856="Selecciona.."),"",XLOOKUP(H856,Propiedades!B:B,Propiedades!C:C,"",0,1))</f>
        <v/>
      </c>
    </row>
    <row r="857">
      <c r="A857" s="14" t="str">
        <f t="shared" si="1"/>
        <v/>
      </c>
      <c r="B857" s="14" t="str">
        <f t="array" ref="B857">IF(OR(G857="",G857="Selecciona.."),"",XLOOKUP(G857,Productos!E:E,Productos!A:A,"",0,1))</f>
        <v/>
      </c>
      <c r="C857" s="14" t="str">
        <f t="array" ref="C857">IF(B857="","",SUMIF(Implementos!B:B,XLOOKUP(B857,Productos!A:A,Productos!F:F,"",0,1),Implementos!A:A))</f>
        <v/>
      </c>
      <c r="D857" s="14" t="str">
        <f t="array" ref="D857">IF(OR(H857="",H857="Selecciona.."),"",XLOOKUP(H857,Propiedades!B:B,Propiedades!A:A,"",0,1))</f>
        <v/>
      </c>
      <c r="E857" s="14" t="str">
        <f t="shared" si="2"/>
        <v/>
      </c>
      <c r="F857" s="14" t="str">
        <f t="shared" si="3"/>
        <v/>
      </c>
      <c r="G857" s="15" t="str">
        <f t="shared" si="8"/>
        <v/>
      </c>
      <c r="H857" s="15" t="str">
        <f t="shared" si="9"/>
        <v/>
      </c>
      <c r="I857" s="16" t="str">
        <f t="shared" si="10"/>
        <v/>
      </c>
      <c r="J857" s="17"/>
      <c r="K857" s="14" t="str">
        <f t="array" ref="K857">IF(OR(H857="",H857="Selecciona.."),"",XLOOKUP(H857,Propiedades!B:B,Propiedades!C:C,"",0,1))</f>
        <v/>
      </c>
    </row>
    <row r="858">
      <c r="A858" s="14" t="str">
        <f t="shared" si="1"/>
        <v/>
      </c>
      <c r="B858" s="14" t="str">
        <f t="array" ref="B858">IF(OR(G858="",G858="Selecciona.."),"",XLOOKUP(G858,Productos!E:E,Productos!A:A,"",0,1))</f>
        <v/>
      </c>
      <c r="C858" s="14" t="str">
        <f t="array" ref="C858">IF(B858="","",SUMIF(Implementos!B:B,XLOOKUP(B858,Productos!A:A,Productos!F:F,"",0,1),Implementos!A:A))</f>
        <v/>
      </c>
      <c r="D858" s="14" t="str">
        <f t="array" ref="D858">IF(OR(H858="",H858="Selecciona.."),"",XLOOKUP(H858,Propiedades!B:B,Propiedades!A:A,"",0,1))</f>
        <v/>
      </c>
      <c r="E858" s="14" t="str">
        <f t="shared" si="2"/>
        <v/>
      </c>
      <c r="F858" s="14" t="str">
        <f t="shared" si="3"/>
        <v/>
      </c>
      <c r="G858" s="15" t="str">
        <f t="shared" si="8"/>
        <v/>
      </c>
      <c r="H858" s="15" t="str">
        <f t="shared" si="9"/>
        <v/>
      </c>
      <c r="I858" s="16" t="str">
        <f t="shared" si="10"/>
        <v/>
      </c>
      <c r="J858" s="17"/>
      <c r="K858" s="14" t="str">
        <f t="array" ref="K858">IF(OR(H858="",H858="Selecciona.."),"",XLOOKUP(H858,Propiedades!B:B,Propiedades!C:C,"",0,1))</f>
        <v/>
      </c>
    </row>
    <row r="859">
      <c r="A859" s="14" t="str">
        <f t="shared" si="1"/>
        <v/>
      </c>
      <c r="B859" s="14" t="str">
        <f t="array" ref="B859">IF(OR(G859="",G859="Selecciona.."),"",XLOOKUP(G859,Productos!E:E,Productos!A:A,"",0,1))</f>
        <v/>
      </c>
      <c r="C859" s="14" t="str">
        <f t="array" ref="C859">IF(B859="","",SUMIF(Implementos!B:B,XLOOKUP(B859,Productos!A:A,Productos!F:F,"",0,1),Implementos!A:A))</f>
        <v/>
      </c>
      <c r="D859" s="14" t="str">
        <f t="array" ref="D859">IF(OR(H859="",H859="Selecciona.."),"",XLOOKUP(H859,Propiedades!B:B,Propiedades!A:A,"",0,1))</f>
        <v/>
      </c>
      <c r="E859" s="14" t="str">
        <f t="shared" si="2"/>
        <v/>
      </c>
      <c r="F859" s="14" t="str">
        <f t="shared" si="3"/>
        <v/>
      </c>
      <c r="G859" s="15" t="str">
        <f t="shared" si="8"/>
        <v/>
      </c>
      <c r="H859" s="15" t="str">
        <f t="shared" si="9"/>
        <v/>
      </c>
      <c r="I859" s="16" t="str">
        <f t="shared" si="10"/>
        <v/>
      </c>
      <c r="J859" s="17"/>
      <c r="K859" s="14" t="str">
        <f t="array" ref="K859">IF(OR(H859="",H859="Selecciona.."),"",XLOOKUP(H859,Propiedades!B:B,Propiedades!C:C,"",0,1))</f>
        <v/>
      </c>
    </row>
    <row r="860">
      <c r="A860" s="14" t="str">
        <f t="shared" si="1"/>
        <v/>
      </c>
      <c r="B860" s="14" t="str">
        <f t="array" ref="B860">IF(OR(G860="",G860="Selecciona.."),"",XLOOKUP(G860,Productos!E:E,Productos!A:A,"",0,1))</f>
        <v/>
      </c>
      <c r="C860" s="14" t="str">
        <f t="array" ref="C860">IF(B860="","",SUMIF(Implementos!B:B,XLOOKUP(B860,Productos!A:A,Productos!F:F,"",0,1),Implementos!A:A))</f>
        <v/>
      </c>
      <c r="D860" s="14" t="str">
        <f t="array" ref="D860">IF(OR(H860="",H860="Selecciona.."),"",XLOOKUP(H860,Propiedades!B:B,Propiedades!A:A,"",0,1))</f>
        <v/>
      </c>
      <c r="E860" s="14" t="str">
        <f t="shared" si="2"/>
        <v/>
      </c>
      <c r="F860" s="14" t="str">
        <f t="shared" si="3"/>
        <v/>
      </c>
      <c r="G860" s="15" t="str">
        <f t="shared" si="8"/>
        <v/>
      </c>
      <c r="H860" s="15" t="str">
        <f t="shared" si="9"/>
        <v/>
      </c>
      <c r="I860" s="16" t="str">
        <f t="shared" si="10"/>
        <v/>
      </c>
      <c r="J860" s="17"/>
      <c r="K860" s="14" t="str">
        <f t="array" ref="K860">IF(OR(H860="",H860="Selecciona.."),"",XLOOKUP(H860,Propiedades!B:B,Propiedades!C:C,"",0,1))</f>
        <v/>
      </c>
    </row>
    <row r="861">
      <c r="A861" s="14" t="str">
        <f t="shared" si="1"/>
        <v/>
      </c>
      <c r="B861" s="14" t="str">
        <f t="array" ref="B861">IF(OR(G861="",G861="Selecciona.."),"",XLOOKUP(G861,Productos!E:E,Productos!A:A,"",0,1))</f>
        <v/>
      </c>
      <c r="C861" s="14" t="str">
        <f t="array" ref="C861">IF(B861="","",SUMIF(Implementos!B:B,XLOOKUP(B861,Productos!A:A,Productos!F:F,"",0,1),Implementos!A:A))</f>
        <v/>
      </c>
      <c r="D861" s="14" t="str">
        <f t="array" ref="D861">IF(OR(H861="",H861="Selecciona.."),"",XLOOKUP(H861,Propiedades!B:B,Propiedades!A:A,"",0,1))</f>
        <v/>
      </c>
      <c r="E861" s="14" t="str">
        <f t="shared" si="2"/>
        <v/>
      </c>
      <c r="F861" s="14" t="str">
        <f t="shared" si="3"/>
        <v/>
      </c>
      <c r="G861" s="15" t="str">
        <f t="shared" si="8"/>
        <v/>
      </c>
      <c r="H861" s="15" t="str">
        <f t="shared" si="9"/>
        <v/>
      </c>
      <c r="I861" s="16" t="str">
        <f t="shared" si="10"/>
        <v/>
      </c>
      <c r="J861" s="17"/>
      <c r="K861" s="14" t="str">
        <f t="array" ref="K861">IF(OR(H861="",H861="Selecciona.."),"",XLOOKUP(H861,Propiedades!B:B,Propiedades!C:C,"",0,1))</f>
        <v/>
      </c>
    </row>
    <row r="862">
      <c r="A862" s="14" t="str">
        <f t="shared" si="1"/>
        <v/>
      </c>
      <c r="B862" s="14" t="str">
        <f t="array" ref="B862">IF(OR(G862="",G862="Selecciona.."),"",XLOOKUP(G862,Productos!E:E,Productos!A:A,"",0,1))</f>
        <v/>
      </c>
      <c r="C862" s="14" t="str">
        <f t="array" ref="C862">IF(B862="","",SUMIF(Implementos!B:B,XLOOKUP(B862,Productos!A:A,Productos!F:F,"",0,1),Implementos!A:A))</f>
        <v/>
      </c>
      <c r="D862" s="14" t="str">
        <f t="array" ref="D862">IF(OR(H862="",H862="Selecciona.."),"",XLOOKUP(H862,Propiedades!B:B,Propiedades!A:A,"",0,1))</f>
        <v/>
      </c>
      <c r="E862" s="14" t="str">
        <f t="shared" si="2"/>
        <v/>
      </c>
      <c r="F862" s="14" t="str">
        <f t="shared" si="3"/>
        <v/>
      </c>
      <c r="G862" s="15" t="str">
        <f t="shared" si="8"/>
        <v/>
      </c>
      <c r="H862" s="15" t="str">
        <f t="shared" si="9"/>
        <v/>
      </c>
      <c r="I862" s="16" t="str">
        <f t="shared" si="10"/>
        <v/>
      </c>
      <c r="J862" s="17"/>
      <c r="K862" s="14" t="str">
        <f t="array" ref="K862">IF(OR(H862="",H862="Selecciona.."),"",XLOOKUP(H862,Propiedades!B:B,Propiedades!C:C,"",0,1))</f>
        <v/>
      </c>
    </row>
    <row r="863">
      <c r="A863" s="14" t="str">
        <f t="shared" si="1"/>
        <v/>
      </c>
      <c r="B863" s="14" t="str">
        <f t="array" ref="B863">IF(OR(G863="",G863="Selecciona.."),"",XLOOKUP(G863,Productos!E:E,Productos!A:A,"",0,1))</f>
        <v/>
      </c>
      <c r="C863" s="14" t="str">
        <f t="array" ref="C863">IF(B863="","",SUMIF(Implementos!B:B,XLOOKUP(B863,Productos!A:A,Productos!F:F,"",0,1),Implementos!A:A))</f>
        <v/>
      </c>
      <c r="D863" s="14" t="str">
        <f t="array" ref="D863">IF(OR(H863="",H863="Selecciona.."),"",XLOOKUP(H863,Propiedades!B:B,Propiedades!A:A,"",0,1))</f>
        <v/>
      </c>
      <c r="E863" s="14" t="str">
        <f t="shared" si="2"/>
        <v/>
      </c>
      <c r="F863" s="14" t="str">
        <f t="shared" si="3"/>
        <v/>
      </c>
      <c r="G863" s="15" t="str">
        <f t="shared" si="8"/>
        <v/>
      </c>
      <c r="H863" s="15" t="str">
        <f t="shared" si="9"/>
        <v/>
      </c>
      <c r="I863" s="16" t="str">
        <f t="shared" si="10"/>
        <v/>
      </c>
      <c r="J863" s="17"/>
      <c r="K863" s="14" t="str">
        <f t="array" ref="K863">IF(OR(H863="",H863="Selecciona.."),"",XLOOKUP(H863,Propiedades!B:B,Propiedades!C:C,"",0,1))</f>
        <v/>
      </c>
    </row>
    <row r="864">
      <c r="A864" s="14" t="str">
        <f t="shared" si="1"/>
        <v/>
      </c>
      <c r="B864" s="14" t="str">
        <f t="array" ref="B864">IF(OR(G864="",G864="Selecciona.."),"",XLOOKUP(G864,Productos!E:E,Productos!A:A,"",0,1))</f>
        <v/>
      </c>
      <c r="C864" s="14" t="str">
        <f t="array" ref="C864">IF(B864="","",SUMIF(Implementos!B:B,XLOOKUP(B864,Productos!A:A,Productos!F:F,"",0,1),Implementos!A:A))</f>
        <v/>
      </c>
      <c r="D864" s="14" t="str">
        <f t="array" ref="D864">IF(OR(H864="",H864="Selecciona.."),"",XLOOKUP(H864,Propiedades!B:B,Propiedades!A:A,"",0,1))</f>
        <v/>
      </c>
      <c r="E864" s="14" t="str">
        <f t="shared" si="2"/>
        <v/>
      </c>
      <c r="F864" s="14" t="str">
        <f t="shared" si="3"/>
        <v/>
      </c>
      <c r="G864" s="15" t="str">
        <f t="shared" si="8"/>
        <v/>
      </c>
      <c r="H864" s="15" t="str">
        <f t="shared" si="9"/>
        <v/>
      </c>
      <c r="I864" s="16" t="str">
        <f t="shared" si="10"/>
        <v/>
      </c>
      <c r="J864" s="17"/>
      <c r="K864" s="14" t="str">
        <f t="array" ref="K864">IF(OR(H864="",H864="Selecciona.."),"",XLOOKUP(H864,Propiedades!B:B,Propiedades!C:C,"",0,1))</f>
        <v/>
      </c>
    </row>
    <row r="865">
      <c r="A865" s="14" t="str">
        <f t="shared" si="1"/>
        <v/>
      </c>
      <c r="B865" s="14" t="str">
        <f t="array" ref="B865">IF(OR(G865="",G865="Selecciona.."),"",XLOOKUP(G865,Productos!E:E,Productos!A:A,"",0,1))</f>
        <v/>
      </c>
      <c r="C865" s="14" t="str">
        <f t="array" ref="C865">IF(B865="","",SUMIF(Implementos!B:B,XLOOKUP(B865,Productos!A:A,Productos!F:F,"",0,1),Implementos!A:A))</f>
        <v/>
      </c>
      <c r="D865" s="14" t="str">
        <f t="array" ref="D865">IF(OR(H865="",H865="Selecciona.."),"",XLOOKUP(H865,Propiedades!B:B,Propiedades!A:A,"",0,1))</f>
        <v/>
      </c>
      <c r="E865" s="14" t="str">
        <f t="shared" si="2"/>
        <v/>
      </c>
      <c r="F865" s="14" t="str">
        <f t="shared" si="3"/>
        <v/>
      </c>
      <c r="G865" s="15" t="str">
        <f t="shared" si="8"/>
        <v/>
      </c>
      <c r="H865" s="15" t="str">
        <f t="shared" si="9"/>
        <v/>
      </c>
      <c r="I865" s="16" t="str">
        <f t="shared" si="10"/>
        <v/>
      </c>
      <c r="J865" s="17"/>
      <c r="K865" s="14" t="str">
        <f t="array" ref="K865">IF(OR(H865="",H865="Selecciona.."),"",XLOOKUP(H865,Propiedades!B:B,Propiedades!C:C,"",0,1))</f>
        <v/>
      </c>
    </row>
    <row r="866">
      <c r="A866" s="14" t="str">
        <f t="shared" si="1"/>
        <v/>
      </c>
      <c r="B866" s="14" t="str">
        <f t="array" ref="B866">IF(OR(G866="",G866="Selecciona.."),"",XLOOKUP(G866,Productos!E:E,Productos!A:A,"",0,1))</f>
        <v/>
      </c>
      <c r="C866" s="14" t="str">
        <f t="array" ref="C866">IF(B866="","",SUMIF(Implementos!B:B,XLOOKUP(B866,Productos!A:A,Productos!F:F,"",0,1),Implementos!A:A))</f>
        <v/>
      </c>
      <c r="D866" s="14" t="str">
        <f t="array" ref="D866">IF(OR(H866="",H866="Selecciona.."),"",XLOOKUP(H866,Propiedades!B:B,Propiedades!A:A,"",0,1))</f>
        <v/>
      </c>
      <c r="E866" s="14" t="str">
        <f t="shared" si="2"/>
        <v/>
      </c>
      <c r="F866" s="14" t="str">
        <f t="shared" si="3"/>
        <v/>
      </c>
      <c r="G866" s="15" t="str">
        <f t="shared" si="8"/>
        <v/>
      </c>
      <c r="H866" s="15" t="str">
        <f t="shared" si="9"/>
        <v/>
      </c>
      <c r="I866" s="16" t="str">
        <f t="shared" si="10"/>
        <v/>
      </c>
      <c r="J866" s="17"/>
      <c r="K866" s="14" t="str">
        <f t="array" ref="K866">IF(OR(H866="",H866="Selecciona.."),"",XLOOKUP(H866,Propiedades!B:B,Propiedades!C:C,"",0,1))</f>
        <v/>
      </c>
    </row>
    <row r="867">
      <c r="A867" s="14" t="str">
        <f t="shared" si="1"/>
        <v/>
      </c>
      <c r="B867" s="14" t="str">
        <f t="array" ref="B867">IF(OR(G867="",G867="Selecciona.."),"",XLOOKUP(G867,Productos!E:E,Productos!A:A,"",0,1))</f>
        <v/>
      </c>
      <c r="C867" s="14" t="str">
        <f t="array" ref="C867">IF(B867="","",SUMIF(Implementos!B:B,XLOOKUP(B867,Productos!A:A,Productos!F:F,"",0,1),Implementos!A:A))</f>
        <v/>
      </c>
      <c r="D867" s="14" t="str">
        <f t="array" ref="D867">IF(OR(H867="",H867="Selecciona.."),"",XLOOKUP(H867,Propiedades!B:B,Propiedades!A:A,"",0,1))</f>
        <v/>
      </c>
      <c r="E867" s="14" t="str">
        <f t="shared" si="2"/>
        <v/>
      </c>
      <c r="F867" s="14" t="str">
        <f t="shared" si="3"/>
        <v/>
      </c>
      <c r="G867" s="15" t="str">
        <f t="shared" si="8"/>
        <v/>
      </c>
      <c r="H867" s="15" t="str">
        <f t="shared" si="9"/>
        <v/>
      </c>
      <c r="I867" s="16" t="str">
        <f t="shared" si="10"/>
        <v/>
      </c>
      <c r="J867" s="17"/>
      <c r="K867" s="14" t="str">
        <f t="array" ref="K867">IF(OR(H867="",H867="Selecciona.."),"",XLOOKUP(H867,Propiedades!B:B,Propiedades!C:C,"",0,1))</f>
        <v/>
      </c>
    </row>
    <row r="868">
      <c r="A868" s="14" t="str">
        <f t="shared" si="1"/>
        <v/>
      </c>
      <c r="B868" s="14" t="str">
        <f t="array" ref="B868">IF(OR(G868="",G868="Selecciona.."),"",XLOOKUP(G868,Productos!E:E,Productos!A:A,"",0,1))</f>
        <v/>
      </c>
      <c r="C868" s="14" t="str">
        <f t="array" ref="C868">IF(B868="","",SUMIF(Implementos!B:B,XLOOKUP(B868,Productos!A:A,Productos!F:F,"",0,1),Implementos!A:A))</f>
        <v/>
      </c>
      <c r="D868" s="14" t="str">
        <f t="array" ref="D868">IF(OR(H868="",H868="Selecciona.."),"",XLOOKUP(H868,Propiedades!B:B,Propiedades!A:A,"",0,1))</f>
        <v/>
      </c>
      <c r="E868" s="14" t="str">
        <f t="shared" si="2"/>
        <v/>
      </c>
      <c r="F868" s="14" t="str">
        <f t="shared" si="3"/>
        <v/>
      </c>
      <c r="G868" s="15" t="str">
        <f t="shared" si="8"/>
        <v/>
      </c>
      <c r="H868" s="15" t="str">
        <f t="shared" si="9"/>
        <v/>
      </c>
      <c r="I868" s="16" t="str">
        <f t="shared" si="10"/>
        <v/>
      </c>
      <c r="J868" s="17"/>
      <c r="K868" s="14" t="str">
        <f t="array" ref="K868">IF(OR(H868="",H868="Selecciona.."),"",XLOOKUP(H868,Propiedades!B:B,Propiedades!C:C,"",0,1))</f>
        <v/>
      </c>
    </row>
    <row r="869">
      <c r="A869" s="14" t="str">
        <f t="shared" si="1"/>
        <v/>
      </c>
      <c r="B869" s="14" t="str">
        <f t="array" ref="B869">IF(OR(G869="",G869="Selecciona.."),"",XLOOKUP(G869,Productos!E:E,Productos!A:A,"",0,1))</f>
        <v/>
      </c>
      <c r="C869" s="14" t="str">
        <f t="array" ref="C869">IF(B869="","",SUMIF(Implementos!B:B,XLOOKUP(B869,Productos!A:A,Productos!F:F,"",0,1),Implementos!A:A))</f>
        <v/>
      </c>
      <c r="D869" s="14" t="str">
        <f t="array" ref="D869">IF(OR(H869="",H869="Selecciona.."),"",XLOOKUP(H869,Propiedades!B:B,Propiedades!A:A,"",0,1))</f>
        <v/>
      </c>
      <c r="E869" s="14" t="str">
        <f t="shared" si="2"/>
        <v/>
      </c>
      <c r="F869" s="14" t="str">
        <f t="shared" si="3"/>
        <v/>
      </c>
      <c r="G869" s="15" t="str">
        <f t="shared" si="8"/>
        <v/>
      </c>
      <c r="H869" s="15" t="str">
        <f t="shared" si="9"/>
        <v/>
      </c>
      <c r="I869" s="16" t="str">
        <f t="shared" si="10"/>
        <v/>
      </c>
      <c r="J869" s="17"/>
      <c r="K869" s="14" t="str">
        <f t="array" ref="K869">IF(OR(H869="",H869="Selecciona.."),"",XLOOKUP(H869,Propiedades!B:B,Propiedades!C:C,"",0,1))</f>
        <v/>
      </c>
    </row>
    <row r="870">
      <c r="A870" s="14" t="str">
        <f t="shared" si="1"/>
        <v/>
      </c>
      <c r="B870" s="14" t="str">
        <f t="array" ref="B870">IF(OR(G870="",G870="Selecciona.."),"",XLOOKUP(G870,Productos!E:E,Productos!A:A,"",0,1))</f>
        <v/>
      </c>
      <c r="C870" s="14" t="str">
        <f t="array" ref="C870">IF(B870="","",SUMIF(Implementos!B:B,XLOOKUP(B870,Productos!A:A,Productos!F:F,"",0,1),Implementos!A:A))</f>
        <v/>
      </c>
      <c r="D870" s="14" t="str">
        <f t="array" ref="D870">IF(OR(H870="",H870="Selecciona.."),"",XLOOKUP(H870,Propiedades!B:B,Propiedades!A:A,"",0,1))</f>
        <v/>
      </c>
      <c r="E870" s="14" t="str">
        <f t="shared" si="2"/>
        <v/>
      </c>
      <c r="F870" s="14" t="str">
        <f t="shared" si="3"/>
        <v/>
      </c>
      <c r="G870" s="15" t="str">
        <f t="shared" si="8"/>
        <v/>
      </c>
      <c r="H870" s="15" t="str">
        <f t="shared" si="9"/>
        <v/>
      </c>
      <c r="I870" s="16" t="str">
        <f t="shared" si="10"/>
        <v/>
      </c>
      <c r="J870" s="17"/>
      <c r="K870" s="14" t="str">
        <f t="array" ref="K870">IF(OR(H870="",H870="Selecciona.."),"",XLOOKUP(H870,Propiedades!B:B,Propiedades!C:C,"",0,1))</f>
        <v/>
      </c>
    </row>
    <row r="871">
      <c r="A871" s="14" t="str">
        <f t="shared" si="1"/>
        <v/>
      </c>
      <c r="B871" s="14" t="str">
        <f t="array" ref="B871">IF(OR(G871="",G871="Selecciona.."),"",XLOOKUP(G871,Productos!E:E,Productos!A:A,"",0,1))</f>
        <v/>
      </c>
      <c r="C871" s="14" t="str">
        <f t="array" ref="C871">IF(B871="","",SUMIF(Implementos!B:B,XLOOKUP(B871,Productos!A:A,Productos!F:F,"",0,1),Implementos!A:A))</f>
        <v/>
      </c>
      <c r="D871" s="14" t="str">
        <f t="array" ref="D871">IF(OR(H871="",H871="Selecciona.."),"",XLOOKUP(H871,Propiedades!B:B,Propiedades!A:A,"",0,1))</f>
        <v/>
      </c>
      <c r="E871" s="14" t="str">
        <f t="shared" si="2"/>
        <v/>
      </c>
      <c r="F871" s="14" t="str">
        <f t="shared" si="3"/>
        <v/>
      </c>
      <c r="G871" s="15" t="str">
        <f t="shared" si="8"/>
        <v/>
      </c>
      <c r="H871" s="15" t="str">
        <f t="shared" si="9"/>
        <v/>
      </c>
      <c r="I871" s="16" t="str">
        <f t="shared" si="10"/>
        <v/>
      </c>
      <c r="J871" s="17"/>
      <c r="K871" s="14" t="str">
        <f t="array" ref="K871">IF(OR(H871="",H871="Selecciona.."),"",XLOOKUP(H871,Propiedades!B:B,Propiedades!C:C,"",0,1))</f>
        <v/>
      </c>
    </row>
    <row r="872">
      <c r="A872" s="14" t="str">
        <f t="shared" si="1"/>
        <v/>
      </c>
      <c r="B872" s="14" t="str">
        <f t="array" ref="B872">IF(OR(G872="",G872="Selecciona.."),"",XLOOKUP(G872,Productos!E:E,Productos!A:A,"",0,1))</f>
        <v/>
      </c>
      <c r="C872" s="14" t="str">
        <f t="array" ref="C872">IF(B872="","",SUMIF(Implementos!B:B,XLOOKUP(B872,Productos!A:A,Productos!F:F,"",0,1),Implementos!A:A))</f>
        <v/>
      </c>
      <c r="D872" s="14" t="str">
        <f t="array" ref="D872">IF(OR(H872="",H872="Selecciona.."),"",XLOOKUP(H872,Propiedades!B:B,Propiedades!A:A,"",0,1))</f>
        <v/>
      </c>
      <c r="E872" s="14" t="str">
        <f t="shared" si="2"/>
        <v/>
      </c>
      <c r="F872" s="14" t="str">
        <f t="shared" si="3"/>
        <v/>
      </c>
      <c r="G872" s="15" t="str">
        <f t="shared" si="8"/>
        <v/>
      </c>
      <c r="H872" s="15" t="str">
        <f t="shared" si="9"/>
        <v/>
      </c>
      <c r="I872" s="16" t="str">
        <f t="shared" si="10"/>
        <v/>
      </c>
      <c r="J872" s="17"/>
      <c r="K872" s="14" t="str">
        <f t="array" ref="K872">IF(OR(H872="",H872="Selecciona.."),"",XLOOKUP(H872,Propiedades!B:B,Propiedades!C:C,"",0,1))</f>
        <v/>
      </c>
    </row>
    <row r="873">
      <c r="A873" s="14" t="str">
        <f t="shared" si="1"/>
        <v/>
      </c>
      <c r="B873" s="14" t="str">
        <f t="array" ref="B873">IF(OR(G873="",G873="Selecciona.."),"",XLOOKUP(G873,Productos!E:E,Productos!A:A,"",0,1))</f>
        <v/>
      </c>
      <c r="C873" s="14" t="str">
        <f t="array" ref="C873">IF(B873="","",SUMIF(Implementos!B:B,XLOOKUP(B873,Productos!A:A,Productos!F:F,"",0,1),Implementos!A:A))</f>
        <v/>
      </c>
      <c r="D873" s="14" t="str">
        <f t="array" ref="D873">IF(OR(H873="",H873="Selecciona.."),"",XLOOKUP(H873,Propiedades!B:B,Propiedades!A:A,"",0,1))</f>
        <v/>
      </c>
      <c r="E873" s="14" t="str">
        <f t="shared" si="2"/>
        <v/>
      </c>
      <c r="F873" s="14" t="str">
        <f t="shared" si="3"/>
        <v/>
      </c>
      <c r="G873" s="15" t="str">
        <f t="shared" si="8"/>
        <v/>
      </c>
      <c r="H873" s="15" t="str">
        <f t="shared" si="9"/>
        <v/>
      </c>
      <c r="I873" s="16" t="str">
        <f t="shared" si="10"/>
        <v/>
      </c>
      <c r="J873" s="17"/>
      <c r="K873" s="14" t="str">
        <f t="array" ref="K873">IF(OR(H873="",H873="Selecciona.."),"",XLOOKUP(H873,Propiedades!B:B,Propiedades!C:C,"",0,1))</f>
        <v/>
      </c>
    </row>
    <row r="874">
      <c r="A874" s="14" t="str">
        <f t="shared" si="1"/>
        <v/>
      </c>
      <c r="B874" s="14" t="str">
        <f t="array" ref="B874">IF(OR(G874="",G874="Selecciona.."),"",XLOOKUP(G874,Productos!E:E,Productos!A:A,"",0,1))</f>
        <v/>
      </c>
      <c r="C874" s="14" t="str">
        <f t="array" ref="C874">IF(B874="","",SUMIF(Implementos!B:B,XLOOKUP(B874,Productos!A:A,Productos!F:F,"",0,1),Implementos!A:A))</f>
        <v/>
      </c>
      <c r="D874" s="14" t="str">
        <f t="array" ref="D874">IF(OR(H874="",H874="Selecciona.."),"",XLOOKUP(H874,Propiedades!B:B,Propiedades!A:A,"",0,1))</f>
        <v/>
      </c>
      <c r="E874" s="14" t="str">
        <f t="shared" si="2"/>
        <v/>
      </c>
      <c r="F874" s="14" t="str">
        <f t="shared" si="3"/>
        <v/>
      </c>
      <c r="G874" s="15" t="str">
        <f t="shared" si="8"/>
        <v/>
      </c>
      <c r="H874" s="15" t="str">
        <f t="shared" si="9"/>
        <v/>
      </c>
      <c r="I874" s="16" t="str">
        <f t="shared" si="10"/>
        <v/>
      </c>
      <c r="J874" s="17"/>
      <c r="K874" s="14" t="str">
        <f t="array" ref="K874">IF(OR(H874="",H874="Selecciona.."),"",XLOOKUP(H874,Propiedades!B:B,Propiedades!C:C,"",0,1))</f>
        <v/>
      </c>
    </row>
    <row r="875">
      <c r="A875" s="14" t="str">
        <f t="shared" si="1"/>
        <v/>
      </c>
      <c r="B875" s="14" t="str">
        <f t="array" ref="B875">IF(OR(G875="",G875="Selecciona.."),"",XLOOKUP(G875,Productos!E:E,Productos!A:A,"",0,1))</f>
        <v/>
      </c>
      <c r="C875" s="14" t="str">
        <f t="array" ref="C875">IF(B875="","",SUMIF(Implementos!B:B,XLOOKUP(B875,Productos!A:A,Productos!F:F,"",0,1),Implementos!A:A))</f>
        <v/>
      </c>
      <c r="D875" s="14" t="str">
        <f t="array" ref="D875">IF(OR(H875="",H875="Selecciona.."),"",XLOOKUP(H875,Propiedades!B:B,Propiedades!A:A,"",0,1))</f>
        <v/>
      </c>
      <c r="E875" s="14" t="str">
        <f t="shared" si="2"/>
        <v/>
      </c>
      <c r="F875" s="14" t="str">
        <f t="shared" si="3"/>
        <v/>
      </c>
      <c r="G875" s="15" t="str">
        <f t="shared" si="8"/>
        <v/>
      </c>
      <c r="H875" s="15" t="str">
        <f t="shared" si="9"/>
        <v/>
      </c>
      <c r="I875" s="16" t="str">
        <f t="shared" si="10"/>
        <v/>
      </c>
      <c r="J875" s="17"/>
      <c r="K875" s="14" t="str">
        <f t="array" ref="K875">IF(OR(H875="",H875="Selecciona.."),"",XLOOKUP(H875,Propiedades!B:B,Propiedades!C:C,"",0,1))</f>
        <v/>
      </c>
    </row>
    <row r="876">
      <c r="A876" s="14" t="str">
        <f t="shared" si="1"/>
        <v/>
      </c>
      <c r="B876" s="14" t="str">
        <f t="array" ref="B876">IF(OR(G876="",G876="Selecciona.."),"",XLOOKUP(G876,Productos!E:E,Productos!A:A,"",0,1))</f>
        <v/>
      </c>
      <c r="C876" s="14" t="str">
        <f t="array" ref="C876">IF(B876="","",SUMIF(Implementos!B:B,XLOOKUP(B876,Productos!A:A,Productos!F:F,"",0,1),Implementos!A:A))</f>
        <v/>
      </c>
      <c r="D876" s="14" t="str">
        <f t="array" ref="D876">IF(OR(H876="",H876="Selecciona.."),"",XLOOKUP(H876,Propiedades!B:B,Propiedades!A:A,"",0,1))</f>
        <v/>
      </c>
      <c r="E876" s="14" t="str">
        <f t="shared" si="2"/>
        <v/>
      </c>
      <c r="F876" s="14" t="str">
        <f t="shared" si="3"/>
        <v/>
      </c>
      <c r="G876" s="15" t="str">
        <f t="shared" si="8"/>
        <v/>
      </c>
      <c r="H876" s="15" t="str">
        <f t="shared" si="9"/>
        <v/>
      </c>
      <c r="I876" s="16" t="str">
        <f t="shared" si="10"/>
        <v/>
      </c>
      <c r="J876" s="17"/>
      <c r="K876" s="14" t="str">
        <f t="array" ref="K876">IF(OR(H876="",H876="Selecciona.."),"",XLOOKUP(H876,Propiedades!B:B,Propiedades!C:C,"",0,1))</f>
        <v/>
      </c>
    </row>
    <row r="877">
      <c r="A877" s="14" t="str">
        <f t="shared" si="1"/>
        <v/>
      </c>
      <c r="B877" s="14" t="str">
        <f t="array" ref="B877">IF(OR(G877="",G877="Selecciona.."),"",XLOOKUP(G877,Productos!E:E,Productos!A:A,"",0,1))</f>
        <v/>
      </c>
      <c r="C877" s="14" t="str">
        <f t="array" ref="C877">IF(B877="","",SUMIF(Implementos!B:B,XLOOKUP(B877,Productos!A:A,Productos!F:F,"",0,1),Implementos!A:A))</f>
        <v/>
      </c>
      <c r="D877" s="14" t="str">
        <f t="array" ref="D877">IF(OR(H877="",H877="Selecciona.."),"",XLOOKUP(H877,Propiedades!B:B,Propiedades!A:A,"",0,1))</f>
        <v/>
      </c>
      <c r="E877" s="14" t="str">
        <f t="shared" si="2"/>
        <v/>
      </c>
      <c r="F877" s="14" t="str">
        <f t="shared" si="3"/>
        <v/>
      </c>
      <c r="G877" s="15" t="str">
        <f t="shared" si="8"/>
        <v/>
      </c>
      <c r="H877" s="15" t="str">
        <f t="shared" si="9"/>
        <v/>
      </c>
      <c r="I877" s="16" t="str">
        <f t="shared" si="10"/>
        <v/>
      </c>
      <c r="J877" s="17"/>
      <c r="K877" s="14" t="str">
        <f t="array" ref="K877">IF(OR(H877="",H877="Selecciona.."),"",XLOOKUP(H877,Propiedades!B:B,Propiedades!C:C,"",0,1))</f>
        <v/>
      </c>
    </row>
    <row r="878">
      <c r="A878" s="14" t="str">
        <f t="shared" si="1"/>
        <v/>
      </c>
      <c r="B878" s="14" t="str">
        <f t="array" ref="B878">IF(OR(G878="",G878="Selecciona.."),"",XLOOKUP(G878,Productos!E:E,Productos!A:A,"",0,1))</f>
        <v/>
      </c>
      <c r="C878" s="14" t="str">
        <f t="array" ref="C878">IF(B878="","",SUMIF(Implementos!B:B,XLOOKUP(B878,Productos!A:A,Productos!F:F,"",0,1),Implementos!A:A))</f>
        <v/>
      </c>
      <c r="D878" s="14" t="str">
        <f t="array" ref="D878">IF(OR(H878="",H878="Selecciona.."),"",XLOOKUP(H878,Propiedades!B:B,Propiedades!A:A,"",0,1))</f>
        <v/>
      </c>
      <c r="E878" s="14" t="str">
        <f t="shared" si="2"/>
        <v/>
      </c>
      <c r="F878" s="14" t="str">
        <f t="shared" si="3"/>
        <v/>
      </c>
      <c r="G878" s="15" t="str">
        <f t="shared" si="8"/>
        <v/>
      </c>
      <c r="H878" s="15" t="str">
        <f t="shared" si="9"/>
        <v/>
      </c>
      <c r="I878" s="16" t="str">
        <f t="shared" si="10"/>
        <v/>
      </c>
      <c r="J878" s="17"/>
      <c r="K878" s="14" t="str">
        <f t="array" ref="K878">IF(OR(H878="",H878="Selecciona.."),"",XLOOKUP(H878,Propiedades!B:B,Propiedades!C:C,"",0,1))</f>
        <v/>
      </c>
    </row>
    <row r="879">
      <c r="A879" s="14" t="str">
        <f t="shared" si="1"/>
        <v/>
      </c>
      <c r="B879" s="14" t="str">
        <f t="array" ref="B879">IF(OR(G879="",G879="Selecciona.."),"",XLOOKUP(G879,Productos!E:E,Productos!A:A,"",0,1))</f>
        <v/>
      </c>
      <c r="C879" s="14" t="str">
        <f t="array" ref="C879">IF(B879="","",SUMIF(Implementos!B:B,XLOOKUP(B879,Productos!A:A,Productos!F:F,"",0,1),Implementos!A:A))</f>
        <v/>
      </c>
      <c r="D879" s="14" t="str">
        <f t="array" ref="D879">IF(OR(H879="",H879="Selecciona.."),"",XLOOKUP(H879,Propiedades!B:B,Propiedades!A:A,"",0,1))</f>
        <v/>
      </c>
      <c r="E879" s="14" t="str">
        <f t="shared" si="2"/>
        <v/>
      </c>
      <c r="F879" s="14" t="str">
        <f t="shared" si="3"/>
        <v/>
      </c>
      <c r="G879" s="15" t="str">
        <f t="shared" si="8"/>
        <v/>
      </c>
      <c r="H879" s="15" t="str">
        <f t="shared" si="9"/>
        <v/>
      </c>
      <c r="I879" s="16" t="str">
        <f t="shared" si="10"/>
        <v/>
      </c>
      <c r="J879" s="17"/>
      <c r="K879" s="14" t="str">
        <f t="array" ref="K879">IF(OR(H879="",H879="Selecciona.."),"",XLOOKUP(H879,Propiedades!B:B,Propiedades!C:C,"",0,1))</f>
        <v/>
      </c>
    </row>
    <row r="880">
      <c r="A880" s="14" t="str">
        <f t="shared" si="1"/>
        <v/>
      </c>
      <c r="B880" s="14" t="str">
        <f t="array" ref="B880">IF(OR(G880="",G880="Selecciona.."),"",XLOOKUP(G880,Productos!E:E,Productos!A:A,"",0,1))</f>
        <v/>
      </c>
      <c r="C880" s="14" t="str">
        <f t="array" ref="C880">IF(B880="","",SUMIF(Implementos!B:B,XLOOKUP(B880,Productos!A:A,Productos!F:F,"",0,1),Implementos!A:A))</f>
        <v/>
      </c>
      <c r="D880" s="14" t="str">
        <f t="array" ref="D880">IF(OR(H880="",H880="Selecciona.."),"",XLOOKUP(H880,Propiedades!B:B,Propiedades!A:A,"",0,1))</f>
        <v/>
      </c>
      <c r="E880" s="14" t="str">
        <f t="shared" si="2"/>
        <v/>
      </c>
      <c r="F880" s="14" t="str">
        <f t="shared" si="3"/>
        <v/>
      </c>
      <c r="G880" s="15" t="str">
        <f t="shared" si="8"/>
        <v/>
      </c>
      <c r="H880" s="15" t="str">
        <f t="shared" si="9"/>
        <v/>
      </c>
      <c r="I880" s="16" t="str">
        <f t="shared" si="10"/>
        <v/>
      </c>
      <c r="J880" s="17"/>
      <c r="K880" s="14" t="str">
        <f t="array" ref="K880">IF(OR(H880="",H880="Selecciona.."),"",XLOOKUP(H880,Propiedades!B:B,Propiedades!C:C,"",0,1))</f>
        <v/>
      </c>
    </row>
    <row r="881">
      <c r="A881" s="14" t="str">
        <f t="shared" si="1"/>
        <v/>
      </c>
      <c r="B881" s="14" t="str">
        <f t="array" ref="B881">IF(OR(G881="",G881="Selecciona.."),"",XLOOKUP(G881,Productos!E:E,Productos!A:A,"",0,1))</f>
        <v/>
      </c>
      <c r="C881" s="14" t="str">
        <f t="array" ref="C881">IF(B881="","",SUMIF(Implementos!B:B,XLOOKUP(B881,Productos!A:A,Productos!F:F,"",0,1),Implementos!A:A))</f>
        <v/>
      </c>
      <c r="D881" s="14" t="str">
        <f t="array" ref="D881">IF(OR(H881="",H881="Selecciona.."),"",XLOOKUP(H881,Propiedades!B:B,Propiedades!A:A,"",0,1))</f>
        <v/>
      </c>
      <c r="E881" s="14" t="str">
        <f t="shared" si="2"/>
        <v/>
      </c>
      <c r="F881" s="14" t="str">
        <f t="shared" si="3"/>
        <v/>
      </c>
      <c r="G881" s="15" t="str">
        <f t="shared" si="8"/>
        <v/>
      </c>
      <c r="H881" s="15" t="str">
        <f t="shared" si="9"/>
        <v/>
      </c>
      <c r="I881" s="16" t="str">
        <f t="shared" si="10"/>
        <v/>
      </c>
      <c r="J881" s="17"/>
      <c r="K881" s="14" t="str">
        <f t="array" ref="K881">IF(OR(H881="",H881="Selecciona.."),"",XLOOKUP(H881,Propiedades!B:B,Propiedades!C:C,"",0,1))</f>
        <v/>
      </c>
    </row>
    <row r="882">
      <c r="A882" s="14" t="str">
        <f t="shared" si="1"/>
        <v/>
      </c>
      <c r="B882" s="14" t="str">
        <f t="array" ref="B882">IF(OR(G882="",G882="Selecciona.."),"",XLOOKUP(G882,Productos!E:E,Productos!A:A,"",0,1))</f>
        <v/>
      </c>
      <c r="C882" s="14" t="str">
        <f t="array" ref="C882">IF(B882="","",SUMIF(Implementos!B:B,XLOOKUP(B882,Productos!A:A,Productos!F:F,"",0,1),Implementos!A:A))</f>
        <v/>
      </c>
      <c r="D882" s="14" t="str">
        <f t="array" ref="D882">IF(OR(H882="",H882="Selecciona.."),"",XLOOKUP(H882,Propiedades!B:B,Propiedades!A:A,"",0,1))</f>
        <v/>
      </c>
      <c r="E882" s="14" t="str">
        <f t="shared" si="2"/>
        <v/>
      </c>
      <c r="F882" s="14" t="str">
        <f t="shared" si="3"/>
        <v/>
      </c>
      <c r="G882" s="15" t="str">
        <f t="shared" si="8"/>
        <v/>
      </c>
      <c r="H882" s="15" t="str">
        <f t="shared" si="9"/>
        <v/>
      </c>
      <c r="I882" s="16" t="str">
        <f t="shared" si="10"/>
        <v/>
      </c>
      <c r="J882" s="17"/>
      <c r="K882" s="14" t="str">
        <f t="array" ref="K882">IF(OR(H882="",H882="Selecciona.."),"",XLOOKUP(H882,Propiedades!B:B,Propiedades!C:C,"",0,1))</f>
        <v/>
      </c>
    </row>
    <row r="883">
      <c r="A883" s="14" t="str">
        <f t="shared" si="1"/>
        <v/>
      </c>
      <c r="B883" s="14" t="str">
        <f t="array" ref="B883">IF(OR(G883="",G883="Selecciona.."),"",XLOOKUP(G883,Productos!E:E,Productos!A:A,"",0,1))</f>
        <v/>
      </c>
      <c r="C883" s="14" t="str">
        <f t="array" ref="C883">IF(B883="","",SUMIF(Implementos!B:B,XLOOKUP(B883,Productos!A:A,Productos!F:F,"",0,1),Implementos!A:A))</f>
        <v/>
      </c>
      <c r="D883" s="14" t="str">
        <f t="array" ref="D883">IF(OR(H883="",H883="Selecciona.."),"",XLOOKUP(H883,Propiedades!B:B,Propiedades!A:A,"",0,1))</f>
        <v/>
      </c>
      <c r="E883" s="14" t="str">
        <f t="shared" si="2"/>
        <v/>
      </c>
      <c r="F883" s="14" t="str">
        <f t="shared" si="3"/>
        <v/>
      </c>
      <c r="G883" s="15" t="str">
        <f t="shared" si="8"/>
        <v/>
      </c>
      <c r="H883" s="15" t="str">
        <f t="shared" si="9"/>
        <v/>
      </c>
      <c r="I883" s="16" t="str">
        <f t="shared" si="10"/>
        <v/>
      </c>
      <c r="J883" s="17"/>
      <c r="K883" s="14" t="str">
        <f t="array" ref="K883">IF(OR(H883="",H883="Selecciona.."),"",XLOOKUP(H883,Propiedades!B:B,Propiedades!C:C,"",0,1))</f>
        <v/>
      </c>
    </row>
    <row r="884">
      <c r="A884" s="14" t="str">
        <f t="shared" si="1"/>
        <v/>
      </c>
      <c r="B884" s="14" t="str">
        <f t="array" ref="B884">IF(OR(G884="",G884="Selecciona.."),"",XLOOKUP(G884,Productos!E:E,Productos!A:A,"",0,1))</f>
        <v/>
      </c>
      <c r="C884" s="14" t="str">
        <f t="array" ref="C884">IF(B884="","",SUMIF(Implementos!B:B,XLOOKUP(B884,Productos!A:A,Productos!F:F,"",0,1),Implementos!A:A))</f>
        <v/>
      </c>
      <c r="D884" s="14" t="str">
        <f t="array" ref="D884">IF(OR(H884="",H884="Selecciona.."),"",XLOOKUP(H884,Propiedades!B:B,Propiedades!A:A,"",0,1))</f>
        <v/>
      </c>
      <c r="E884" s="14" t="str">
        <f t="shared" si="2"/>
        <v/>
      </c>
      <c r="F884" s="14" t="str">
        <f t="shared" si="3"/>
        <v/>
      </c>
      <c r="G884" s="15" t="str">
        <f t="shared" si="8"/>
        <v/>
      </c>
      <c r="H884" s="15" t="str">
        <f t="shared" si="9"/>
        <v/>
      </c>
      <c r="I884" s="16" t="str">
        <f t="shared" si="10"/>
        <v/>
      </c>
      <c r="J884" s="17"/>
      <c r="K884" s="14" t="str">
        <f t="array" ref="K884">IF(OR(H884="",H884="Selecciona.."),"",XLOOKUP(H884,Propiedades!B:B,Propiedades!C:C,"",0,1))</f>
        <v/>
      </c>
    </row>
    <row r="885">
      <c r="A885" s="14" t="str">
        <f t="shared" si="1"/>
        <v/>
      </c>
      <c r="B885" s="14" t="str">
        <f t="array" ref="B885">IF(OR(G885="",G885="Selecciona.."),"",XLOOKUP(G885,Productos!E:E,Productos!A:A,"",0,1))</f>
        <v/>
      </c>
      <c r="C885" s="14" t="str">
        <f t="array" ref="C885">IF(B885="","",SUMIF(Implementos!B:B,XLOOKUP(B885,Productos!A:A,Productos!F:F,"",0,1),Implementos!A:A))</f>
        <v/>
      </c>
      <c r="D885" s="14" t="str">
        <f t="array" ref="D885">IF(OR(H885="",H885="Selecciona.."),"",XLOOKUP(H885,Propiedades!B:B,Propiedades!A:A,"",0,1))</f>
        <v/>
      </c>
      <c r="E885" s="14" t="str">
        <f t="shared" si="2"/>
        <v/>
      </c>
      <c r="F885" s="14" t="str">
        <f t="shared" si="3"/>
        <v/>
      </c>
      <c r="G885" s="15" t="str">
        <f t="shared" si="8"/>
        <v/>
      </c>
      <c r="H885" s="15" t="str">
        <f t="shared" si="9"/>
        <v/>
      </c>
      <c r="I885" s="16" t="str">
        <f t="shared" si="10"/>
        <v/>
      </c>
      <c r="J885" s="17"/>
      <c r="K885" s="14" t="str">
        <f t="array" ref="K885">IF(OR(H885="",H885="Selecciona.."),"",XLOOKUP(H885,Propiedades!B:B,Propiedades!C:C,"",0,1))</f>
        <v/>
      </c>
    </row>
    <row r="886">
      <c r="A886" s="14" t="str">
        <f t="shared" si="1"/>
        <v/>
      </c>
      <c r="B886" s="14" t="str">
        <f t="array" ref="B886">IF(OR(G886="",G886="Selecciona.."),"",XLOOKUP(G886,Productos!E:E,Productos!A:A,"",0,1))</f>
        <v/>
      </c>
      <c r="C886" s="14" t="str">
        <f t="array" ref="C886">IF(B886="","",SUMIF(Implementos!B:B,XLOOKUP(B886,Productos!A:A,Productos!F:F,"",0,1),Implementos!A:A))</f>
        <v/>
      </c>
      <c r="D886" s="14" t="str">
        <f t="array" ref="D886">IF(OR(H886="",H886="Selecciona.."),"",XLOOKUP(H886,Propiedades!B:B,Propiedades!A:A,"",0,1))</f>
        <v/>
      </c>
      <c r="E886" s="14" t="str">
        <f t="shared" si="2"/>
        <v/>
      </c>
      <c r="F886" s="14" t="str">
        <f t="shared" si="3"/>
        <v/>
      </c>
      <c r="G886" s="15" t="str">
        <f t="shared" si="8"/>
        <v/>
      </c>
      <c r="H886" s="15" t="str">
        <f t="shared" si="9"/>
        <v/>
      </c>
      <c r="I886" s="16" t="str">
        <f t="shared" si="10"/>
        <v/>
      </c>
      <c r="J886" s="17"/>
      <c r="K886" s="14" t="str">
        <f t="array" ref="K886">IF(OR(H886="",H886="Selecciona.."),"",XLOOKUP(H886,Propiedades!B:B,Propiedades!C:C,"",0,1))</f>
        <v/>
      </c>
    </row>
    <row r="887">
      <c r="A887" s="14" t="str">
        <f t="shared" si="1"/>
        <v/>
      </c>
      <c r="B887" s="14" t="str">
        <f t="array" ref="B887">IF(OR(G887="",G887="Selecciona.."),"",XLOOKUP(G887,Productos!E:E,Productos!A:A,"",0,1))</f>
        <v/>
      </c>
      <c r="C887" s="14" t="str">
        <f t="array" ref="C887">IF(B887="","",SUMIF(Implementos!B:B,XLOOKUP(B887,Productos!A:A,Productos!F:F,"",0,1),Implementos!A:A))</f>
        <v/>
      </c>
      <c r="D887" s="14" t="str">
        <f t="array" ref="D887">IF(OR(H887="",H887="Selecciona.."),"",XLOOKUP(H887,Propiedades!B:B,Propiedades!A:A,"",0,1))</f>
        <v/>
      </c>
      <c r="E887" s="14" t="str">
        <f t="shared" si="2"/>
        <v/>
      </c>
      <c r="F887" s="14" t="str">
        <f t="shared" si="3"/>
        <v/>
      </c>
      <c r="G887" s="15" t="str">
        <f t="shared" si="8"/>
        <v/>
      </c>
      <c r="H887" s="15" t="str">
        <f t="shared" si="9"/>
        <v/>
      </c>
      <c r="I887" s="16" t="str">
        <f t="shared" si="10"/>
        <v/>
      </c>
      <c r="J887" s="17"/>
      <c r="K887" s="14" t="str">
        <f t="array" ref="K887">IF(OR(H887="",H887="Selecciona.."),"",XLOOKUP(H887,Propiedades!B:B,Propiedades!C:C,"",0,1))</f>
        <v/>
      </c>
    </row>
    <row r="888">
      <c r="A888" s="14" t="str">
        <f t="shared" si="1"/>
        <v/>
      </c>
      <c r="B888" s="14" t="str">
        <f t="array" ref="B888">IF(OR(G888="",G888="Selecciona.."),"",XLOOKUP(G888,Productos!E:E,Productos!A:A,"",0,1))</f>
        <v/>
      </c>
      <c r="C888" s="14" t="str">
        <f t="array" ref="C888">IF(B888="","",SUMIF(Implementos!B:B,XLOOKUP(B888,Productos!A:A,Productos!F:F,"",0,1),Implementos!A:A))</f>
        <v/>
      </c>
      <c r="D888" s="14" t="str">
        <f t="array" ref="D888">IF(OR(H888="",H888="Selecciona.."),"",XLOOKUP(H888,Propiedades!B:B,Propiedades!A:A,"",0,1))</f>
        <v/>
      </c>
      <c r="E888" s="14" t="str">
        <f t="shared" si="2"/>
        <v/>
      </c>
      <c r="F888" s="14" t="str">
        <f t="shared" si="3"/>
        <v/>
      </c>
      <c r="G888" s="15" t="str">
        <f t="shared" si="8"/>
        <v/>
      </c>
      <c r="H888" s="15" t="str">
        <f t="shared" si="9"/>
        <v/>
      </c>
      <c r="I888" s="16" t="str">
        <f t="shared" si="10"/>
        <v/>
      </c>
      <c r="J888" s="17"/>
      <c r="K888" s="14" t="str">
        <f t="array" ref="K888">IF(OR(H888="",H888="Selecciona.."),"",XLOOKUP(H888,Propiedades!B:B,Propiedades!C:C,"",0,1))</f>
        <v/>
      </c>
    </row>
    <row r="889">
      <c r="A889" s="14" t="str">
        <f t="shared" si="1"/>
        <v/>
      </c>
      <c r="B889" s="14" t="str">
        <f t="array" ref="B889">IF(OR(G889="",G889="Selecciona.."),"",XLOOKUP(G889,Productos!E:E,Productos!A:A,"",0,1))</f>
        <v/>
      </c>
      <c r="C889" s="14" t="str">
        <f t="array" ref="C889">IF(B889="","",SUMIF(Implementos!B:B,XLOOKUP(B889,Productos!A:A,Productos!F:F,"",0,1),Implementos!A:A))</f>
        <v/>
      </c>
      <c r="D889" s="14" t="str">
        <f t="array" ref="D889">IF(OR(H889="",H889="Selecciona.."),"",XLOOKUP(H889,Propiedades!B:B,Propiedades!A:A,"",0,1))</f>
        <v/>
      </c>
      <c r="E889" s="14" t="str">
        <f t="shared" si="2"/>
        <v/>
      </c>
      <c r="F889" s="14" t="str">
        <f t="shared" si="3"/>
        <v/>
      </c>
      <c r="G889" s="15" t="str">
        <f t="shared" si="8"/>
        <v/>
      </c>
      <c r="H889" s="15" t="str">
        <f t="shared" si="9"/>
        <v/>
      </c>
      <c r="I889" s="16" t="str">
        <f t="shared" si="10"/>
        <v/>
      </c>
      <c r="J889" s="17"/>
      <c r="K889" s="14" t="str">
        <f t="array" ref="K889">IF(OR(H889="",H889="Selecciona.."),"",XLOOKUP(H889,Propiedades!B:B,Propiedades!C:C,"",0,1))</f>
        <v/>
      </c>
    </row>
    <row r="890">
      <c r="A890" s="14" t="str">
        <f t="shared" si="1"/>
        <v/>
      </c>
      <c r="B890" s="14" t="str">
        <f t="array" ref="B890">IF(OR(G890="",G890="Selecciona.."),"",XLOOKUP(G890,Productos!E:E,Productos!A:A,"",0,1))</f>
        <v/>
      </c>
      <c r="C890" s="14" t="str">
        <f t="array" ref="C890">IF(B890="","",SUMIF(Implementos!B:B,XLOOKUP(B890,Productos!A:A,Productos!F:F,"",0,1),Implementos!A:A))</f>
        <v/>
      </c>
      <c r="D890" s="14" t="str">
        <f t="array" ref="D890">IF(OR(H890="",H890="Selecciona.."),"",XLOOKUP(H890,Propiedades!B:B,Propiedades!A:A,"",0,1))</f>
        <v/>
      </c>
      <c r="E890" s="14" t="str">
        <f t="shared" si="2"/>
        <v/>
      </c>
      <c r="F890" s="14" t="str">
        <f t="shared" si="3"/>
        <v/>
      </c>
      <c r="G890" s="15" t="str">
        <f t="shared" si="8"/>
        <v/>
      </c>
      <c r="H890" s="15" t="str">
        <f t="shared" si="9"/>
        <v/>
      </c>
      <c r="I890" s="16" t="str">
        <f t="shared" si="10"/>
        <v/>
      </c>
      <c r="J890" s="17"/>
      <c r="K890" s="14" t="str">
        <f t="array" ref="K890">IF(OR(H890="",H890="Selecciona.."),"",XLOOKUP(H890,Propiedades!B:B,Propiedades!C:C,"",0,1))</f>
        <v/>
      </c>
    </row>
    <row r="891">
      <c r="A891" s="14" t="str">
        <f t="shared" si="1"/>
        <v/>
      </c>
      <c r="B891" s="14" t="str">
        <f t="array" ref="B891">IF(OR(G891="",G891="Selecciona.."),"",XLOOKUP(G891,Productos!E:E,Productos!A:A,"",0,1))</f>
        <v/>
      </c>
      <c r="C891" s="14" t="str">
        <f t="array" ref="C891">IF(B891="","",SUMIF(Implementos!B:B,XLOOKUP(B891,Productos!A:A,Productos!F:F,"",0,1),Implementos!A:A))</f>
        <v/>
      </c>
      <c r="D891" s="14" t="str">
        <f t="array" ref="D891">IF(OR(H891="",H891="Selecciona.."),"",XLOOKUP(H891,Propiedades!B:B,Propiedades!A:A,"",0,1))</f>
        <v/>
      </c>
      <c r="E891" s="14" t="str">
        <f t="shared" si="2"/>
        <v/>
      </c>
      <c r="F891" s="14" t="str">
        <f t="shared" si="3"/>
        <v/>
      </c>
      <c r="G891" s="15" t="str">
        <f t="shared" si="8"/>
        <v/>
      </c>
      <c r="H891" s="15" t="str">
        <f t="shared" si="9"/>
        <v/>
      </c>
      <c r="I891" s="16" t="str">
        <f t="shared" si="10"/>
        <v/>
      </c>
      <c r="J891" s="17"/>
      <c r="K891" s="14" t="str">
        <f t="array" ref="K891">IF(OR(H891="",H891="Selecciona.."),"",XLOOKUP(H891,Propiedades!B:B,Propiedades!C:C,"",0,1))</f>
        <v/>
      </c>
    </row>
    <row r="892">
      <c r="A892" s="14" t="str">
        <f t="shared" si="1"/>
        <v/>
      </c>
      <c r="B892" s="14" t="str">
        <f t="array" ref="B892">IF(OR(G892="",G892="Selecciona.."),"",XLOOKUP(G892,Productos!E:E,Productos!A:A,"",0,1))</f>
        <v/>
      </c>
      <c r="C892" s="14" t="str">
        <f t="array" ref="C892">IF(B892="","",SUMIF(Implementos!B:B,XLOOKUP(B892,Productos!A:A,Productos!F:F,"",0,1),Implementos!A:A))</f>
        <v/>
      </c>
      <c r="D892" s="14" t="str">
        <f t="array" ref="D892">IF(OR(H892="",H892="Selecciona.."),"",XLOOKUP(H892,Propiedades!B:B,Propiedades!A:A,"",0,1))</f>
        <v/>
      </c>
      <c r="E892" s="14" t="str">
        <f t="shared" si="2"/>
        <v/>
      </c>
      <c r="F892" s="14" t="str">
        <f t="shared" si="3"/>
        <v/>
      </c>
      <c r="G892" s="15" t="str">
        <f t="shared" si="8"/>
        <v/>
      </c>
      <c r="H892" s="15" t="str">
        <f t="shared" si="9"/>
        <v/>
      </c>
      <c r="I892" s="16" t="str">
        <f t="shared" si="10"/>
        <v/>
      </c>
      <c r="J892" s="17"/>
      <c r="K892" s="14" t="str">
        <f t="array" ref="K892">IF(OR(H892="",H892="Selecciona.."),"",XLOOKUP(H892,Propiedades!B:B,Propiedades!C:C,"",0,1))</f>
        <v/>
      </c>
    </row>
    <row r="893">
      <c r="A893" s="14" t="str">
        <f t="shared" si="1"/>
        <v/>
      </c>
      <c r="B893" s="14" t="str">
        <f t="array" ref="B893">IF(OR(G893="",G893="Selecciona.."),"",XLOOKUP(G893,Productos!E:E,Productos!A:A,"",0,1))</f>
        <v/>
      </c>
      <c r="C893" s="14" t="str">
        <f t="array" ref="C893">IF(B893="","",SUMIF(Implementos!B:B,XLOOKUP(B893,Productos!A:A,Productos!F:F,"",0,1),Implementos!A:A))</f>
        <v/>
      </c>
      <c r="D893" s="14" t="str">
        <f t="array" ref="D893">IF(OR(H893="",H893="Selecciona.."),"",XLOOKUP(H893,Propiedades!B:B,Propiedades!A:A,"",0,1))</f>
        <v/>
      </c>
      <c r="E893" s="14" t="str">
        <f t="shared" si="2"/>
        <v/>
      </c>
      <c r="F893" s="14" t="str">
        <f t="shared" si="3"/>
        <v/>
      </c>
      <c r="G893" s="15" t="str">
        <f t="shared" si="8"/>
        <v/>
      </c>
      <c r="H893" s="15" t="str">
        <f t="shared" si="9"/>
        <v/>
      </c>
      <c r="I893" s="16" t="str">
        <f t="shared" si="10"/>
        <v/>
      </c>
      <c r="J893" s="17"/>
      <c r="K893" s="14" t="str">
        <f t="array" ref="K893">IF(OR(H893="",H893="Selecciona.."),"",XLOOKUP(H893,Propiedades!B:B,Propiedades!C:C,"",0,1))</f>
        <v/>
      </c>
    </row>
    <row r="894">
      <c r="A894" s="14" t="str">
        <f t="shared" si="1"/>
        <v/>
      </c>
      <c r="B894" s="14" t="str">
        <f t="array" ref="B894">IF(OR(G894="",G894="Selecciona.."),"",XLOOKUP(G894,Productos!E:E,Productos!A:A,"",0,1))</f>
        <v/>
      </c>
      <c r="C894" s="14" t="str">
        <f t="array" ref="C894">IF(B894="","",SUMIF(Implementos!B:B,XLOOKUP(B894,Productos!A:A,Productos!F:F,"",0,1),Implementos!A:A))</f>
        <v/>
      </c>
      <c r="D894" s="14" t="str">
        <f t="array" ref="D894">IF(OR(H894="",H894="Selecciona.."),"",XLOOKUP(H894,Propiedades!B:B,Propiedades!A:A,"",0,1))</f>
        <v/>
      </c>
      <c r="E894" s="14" t="str">
        <f t="shared" si="2"/>
        <v/>
      </c>
      <c r="F894" s="14" t="str">
        <f t="shared" si="3"/>
        <v/>
      </c>
      <c r="G894" s="15" t="str">
        <f t="shared" si="8"/>
        <v/>
      </c>
      <c r="H894" s="15" t="str">
        <f t="shared" si="9"/>
        <v/>
      </c>
      <c r="I894" s="16" t="str">
        <f t="shared" si="10"/>
        <v/>
      </c>
      <c r="J894" s="17"/>
      <c r="K894" s="14" t="str">
        <f t="array" ref="K894">IF(OR(H894="",H894="Selecciona.."),"",XLOOKUP(H894,Propiedades!B:B,Propiedades!C:C,"",0,1))</f>
        <v/>
      </c>
    </row>
    <row r="895">
      <c r="A895" s="14" t="str">
        <f t="shared" si="1"/>
        <v/>
      </c>
      <c r="B895" s="14" t="str">
        <f t="array" ref="B895">IF(OR(G895="",G895="Selecciona.."),"",XLOOKUP(G895,Productos!E:E,Productos!A:A,"",0,1))</f>
        <v/>
      </c>
      <c r="C895" s="14" t="str">
        <f t="array" ref="C895">IF(B895="","",SUMIF(Implementos!B:B,XLOOKUP(B895,Productos!A:A,Productos!F:F,"",0,1),Implementos!A:A))</f>
        <v/>
      </c>
      <c r="D895" s="14" t="str">
        <f t="array" ref="D895">IF(OR(H895="",H895="Selecciona.."),"",XLOOKUP(H895,Propiedades!B:B,Propiedades!A:A,"",0,1))</f>
        <v/>
      </c>
      <c r="E895" s="14" t="str">
        <f t="shared" si="2"/>
        <v/>
      </c>
      <c r="F895" s="14" t="str">
        <f t="shared" si="3"/>
        <v/>
      </c>
      <c r="G895" s="15" t="str">
        <f t="shared" si="8"/>
        <v/>
      </c>
      <c r="H895" s="15" t="str">
        <f t="shared" si="9"/>
        <v/>
      </c>
      <c r="I895" s="16" t="str">
        <f t="shared" si="10"/>
        <v/>
      </c>
      <c r="J895" s="17"/>
      <c r="K895" s="14" t="str">
        <f t="array" ref="K895">IF(OR(H895="",H895="Selecciona.."),"",XLOOKUP(H895,Propiedades!B:B,Propiedades!C:C,"",0,1))</f>
        <v/>
      </c>
    </row>
    <row r="896">
      <c r="A896" s="14" t="str">
        <f t="shared" si="1"/>
        <v/>
      </c>
      <c r="B896" s="14" t="str">
        <f t="array" ref="B896">IF(OR(G896="",G896="Selecciona.."),"",XLOOKUP(G896,Productos!E:E,Productos!A:A,"",0,1))</f>
        <v/>
      </c>
      <c r="C896" s="14" t="str">
        <f t="array" ref="C896">IF(B896="","",SUMIF(Implementos!B:B,XLOOKUP(B896,Productos!A:A,Productos!F:F,"",0,1),Implementos!A:A))</f>
        <v/>
      </c>
      <c r="D896" s="14" t="str">
        <f t="array" ref="D896">IF(OR(H896="",H896="Selecciona.."),"",XLOOKUP(H896,Propiedades!B:B,Propiedades!A:A,"",0,1))</f>
        <v/>
      </c>
      <c r="E896" s="14" t="str">
        <f t="shared" si="2"/>
        <v/>
      </c>
      <c r="F896" s="14" t="str">
        <f t="shared" si="3"/>
        <v/>
      </c>
      <c r="G896" s="15" t="str">
        <f t="shared" si="8"/>
        <v/>
      </c>
      <c r="H896" s="15" t="str">
        <f t="shared" si="9"/>
        <v/>
      </c>
      <c r="I896" s="16" t="str">
        <f t="shared" si="10"/>
        <v/>
      </c>
      <c r="J896" s="17"/>
      <c r="K896" s="14" t="str">
        <f t="array" ref="K896">IF(OR(H896="",H896="Selecciona.."),"",XLOOKUP(H896,Propiedades!B:B,Propiedades!C:C,"",0,1))</f>
        <v/>
      </c>
    </row>
    <row r="897">
      <c r="A897" s="14" t="str">
        <f t="shared" si="1"/>
        <v/>
      </c>
      <c r="B897" s="14" t="str">
        <f t="array" ref="B897">IF(OR(G897="",G897="Selecciona.."),"",XLOOKUP(G897,Productos!E:E,Productos!A:A,"",0,1))</f>
        <v/>
      </c>
      <c r="C897" s="14" t="str">
        <f t="array" ref="C897">IF(B897="","",SUMIF(Implementos!B:B,XLOOKUP(B897,Productos!A:A,Productos!F:F,"",0,1),Implementos!A:A))</f>
        <v/>
      </c>
      <c r="D897" s="14" t="str">
        <f t="array" ref="D897">IF(OR(H897="",H897="Selecciona.."),"",XLOOKUP(H897,Propiedades!B:B,Propiedades!A:A,"",0,1))</f>
        <v/>
      </c>
      <c r="E897" s="14" t="str">
        <f t="shared" si="2"/>
        <v/>
      </c>
      <c r="F897" s="14" t="str">
        <f t="shared" si="3"/>
        <v/>
      </c>
      <c r="G897" s="15" t="str">
        <f t="shared" si="8"/>
        <v/>
      </c>
      <c r="H897" s="15" t="str">
        <f t="shared" si="9"/>
        <v/>
      </c>
      <c r="I897" s="16" t="str">
        <f t="shared" si="10"/>
        <v/>
      </c>
      <c r="J897" s="17"/>
      <c r="K897" s="14" t="str">
        <f t="array" ref="K897">IF(OR(H897="",H897="Selecciona.."),"",XLOOKUP(H897,Propiedades!B:B,Propiedades!C:C,"",0,1))</f>
        <v/>
      </c>
    </row>
    <row r="898">
      <c r="A898" s="14" t="str">
        <f t="shared" si="1"/>
        <v/>
      </c>
      <c r="B898" s="14" t="str">
        <f t="array" ref="B898">IF(OR(G898="",G898="Selecciona.."),"",XLOOKUP(G898,Productos!E:E,Productos!A:A,"",0,1))</f>
        <v/>
      </c>
      <c r="C898" s="14" t="str">
        <f t="array" ref="C898">IF(B898="","",SUMIF(Implementos!B:B,XLOOKUP(B898,Productos!A:A,Productos!F:F,"",0,1),Implementos!A:A))</f>
        <v/>
      </c>
      <c r="D898" s="14" t="str">
        <f t="array" ref="D898">IF(OR(H898="",H898="Selecciona.."),"",XLOOKUP(H898,Propiedades!B:B,Propiedades!A:A,"",0,1))</f>
        <v/>
      </c>
      <c r="E898" s="14" t="str">
        <f t="shared" si="2"/>
        <v/>
      </c>
      <c r="F898" s="14" t="str">
        <f t="shared" si="3"/>
        <v/>
      </c>
      <c r="G898" s="15" t="str">
        <f t="shared" si="8"/>
        <v/>
      </c>
      <c r="H898" s="15" t="str">
        <f t="shared" si="9"/>
        <v/>
      </c>
      <c r="I898" s="16" t="str">
        <f t="shared" si="10"/>
        <v/>
      </c>
      <c r="J898" s="17"/>
      <c r="K898" s="14" t="str">
        <f t="array" ref="K898">IF(OR(H898="",H898="Selecciona.."),"",XLOOKUP(H898,Propiedades!B:B,Propiedades!C:C,"",0,1))</f>
        <v/>
      </c>
    </row>
    <row r="899">
      <c r="A899" s="14" t="str">
        <f t="shared" si="1"/>
        <v/>
      </c>
      <c r="B899" s="14" t="str">
        <f t="array" ref="B899">IF(OR(G899="",G899="Selecciona.."),"",XLOOKUP(G899,Productos!E:E,Productos!A:A,"",0,1))</f>
        <v/>
      </c>
      <c r="C899" s="14" t="str">
        <f t="array" ref="C899">IF(B899="","",SUMIF(Implementos!B:B,XLOOKUP(B899,Productos!A:A,Productos!F:F,"",0,1),Implementos!A:A))</f>
        <v/>
      </c>
      <c r="D899" s="14" t="str">
        <f t="array" ref="D899">IF(OR(H899="",H899="Selecciona.."),"",XLOOKUP(H899,Propiedades!B:B,Propiedades!A:A,"",0,1))</f>
        <v/>
      </c>
      <c r="E899" s="14" t="str">
        <f t="shared" si="2"/>
        <v/>
      </c>
      <c r="F899" s="14" t="str">
        <f t="shared" si="3"/>
        <v/>
      </c>
      <c r="G899" s="15" t="str">
        <f t="shared" si="8"/>
        <v/>
      </c>
      <c r="H899" s="15" t="str">
        <f t="shared" si="9"/>
        <v/>
      </c>
      <c r="I899" s="16" t="str">
        <f t="shared" si="10"/>
        <v/>
      </c>
      <c r="J899" s="17"/>
      <c r="K899" s="14" t="str">
        <f t="array" ref="K899">IF(OR(H899="",H899="Selecciona.."),"",XLOOKUP(H899,Propiedades!B:B,Propiedades!C:C,"",0,1))</f>
        <v/>
      </c>
    </row>
    <row r="900">
      <c r="A900" s="14" t="str">
        <f t="shared" si="1"/>
        <v/>
      </c>
      <c r="B900" s="14" t="str">
        <f t="array" ref="B900">IF(OR(G900="",G900="Selecciona.."),"",XLOOKUP(G900,Productos!E:E,Productos!A:A,"",0,1))</f>
        <v/>
      </c>
      <c r="C900" s="14" t="str">
        <f t="array" ref="C900">IF(B900="","",SUMIF(Implementos!B:B,XLOOKUP(B900,Productos!A:A,Productos!F:F,"",0,1),Implementos!A:A))</f>
        <v/>
      </c>
      <c r="D900" s="14" t="str">
        <f t="array" ref="D900">IF(OR(H900="",H900="Selecciona.."),"",XLOOKUP(H900,Propiedades!B:B,Propiedades!A:A,"",0,1))</f>
        <v/>
      </c>
      <c r="E900" s="14" t="str">
        <f t="shared" si="2"/>
        <v/>
      </c>
      <c r="F900" s="14" t="str">
        <f t="shared" si="3"/>
        <v/>
      </c>
      <c r="G900" s="15" t="str">
        <f t="shared" si="8"/>
        <v/>
      </c>
      <c r="H900" s="15" t="str">
        <f t="shared" si="9"/>
        <v/>
      </c>
      <c r="I900" s="16" t="str">
        <f t="shared" si="10"/>
        <v/>
      </c>
      <c r="J900" s="17"/>
      <c r="K900" s="14" t="str">
        <f t="array" ref="K900">IF(OR(H900="",H900="Selecciona.."),"",XLOOKUP(H900,Propiedades!B:B,Propiedades!C:C,"",0,1))</f>
        <v/>
      </c>
    </row>
    <row r="901">
      <c r="A901" s="14" t="str">
        <f t="shared" si="1"/>
        <v/>
      </c>
      <c r="B901" s="14" t="str">
        <f t="array" ref="B901">IF(OR(G901="",G901="Selecciona.."),"",XLOOKUP(G901,Productos!E:E,Productos!A:A,"",0,1))</f>
        <v/>
      </c>
      <c r="C901" s="14" t="str">
        <f t="array" ref="C901">IF(B901="","",SUMIF(Implementos!B:B,XLOOKUP(B901,Productos!A:A,Productos!F:F,"",0,1),Implementos!A:A))</f>
        <v/>
      </c>
      <c r="D901" s="14" t="str">
        <f t="array" ref="D901">IF(OR(H901="",H901="Selecciona.."),"",XLOOKUP(H901,Propiedades!B:B,Propiedades!A:A,"",0,1))</f>
        <v/>
      </c>
      <c r="E901" s="14" t="str">
        <f t="shared" si="2"/>
        <v/>
      </c>
      <c r="F901" s="14" t="str">
        <f t="shared" si="3"/>
        <v/>
      </c>
      <c r="G901" s="15" t="str">
        <f t="shared" si="8"/>
        <v/>
      </c>
      <c r="H901" s="15" t="str">
        <f t="shared" si="9"/>
        <v/>
      </c>
      <c r="I901" s="16" t="str">
        <f t="shared" si="10"/>
        <v/>
      </c>
      <c r="J901" s="17"/>
      <c r="K901" s="14" t="str">
        <f t="array" ref="K901">IF(OR(H901="",H901="Selecciona.."),"",XLOOKUP(H901,Propiedades!B:B,Propiedades!C:C,"",0,1))</f>
        <v/>
      </c>
    </row>
    <row r="902">
      <c r="A902" s="14" t="str">
        <f t="shared" si="1"/>
        <v/>
      </c>
      <c r="B902" s="14" t="str">
        <f t="array" ref="B902">IF(OR(G902="",G902="Selecciona.."),"",XLOOKUP(G902,Productos!E:E,Productos!A:A,"",0,1))</f>
        <v/>
      </c>
      <c r="C902" s="14" t="str">
        <f t="array" ref="C902">IF(B902="","",SUMIF(Implementos!B:B,XLOOKUP(B902,Productos!A:A,Productos!F:F,"",0,1),Implementos!A:A))</f>
        <v/>
      </c>
      <c r="D902" s="14" t="str">
        <f t="array" ref="D902">IF(OR(H902="",H902="Selecciona.."),"",XLOOKUP(H902,Propiedades!B:B,Propiedades!A:A,"",0,1))</f>
        <v/>
      </c>
      <c r="E902" s="14" t="str">
        <f t="shared" si="2"/>
        <v/>
      </c>
      <c r="F902" s="14" t="str">
        <f t="shared" si="3"/>
        <v/>
      </c>
      <c r="G902" s="15" t="str">
        <f t="shared" si="8"/>
        <v/>
      </c>
      <c r="H902" s="15" t="str">
        <f t="shared" si="9"/>
        <v/>
      </c>
      <c r="I902" s="16" t="str">
        <f t="shared" si="10"/>
        <v/>
      </c>
      <c r="J902" s="17"/>
      <c r="K902" s="14" t="str">
        <f t="array" ref="K902">IF(OR(H902="",H902="Selecciona.."),"",XLOOKUP(H902,Propiedades!B:B,Propiedades!C:C,"",0,1))</f>
        <v/>
      </c>
    </row>
    <row r="903">
      <c r="A903" s="14" t="str">
        <f t="shared" si="1"/>
        <v/>
      </c>
      <c r="B903" s="14" t="str">
        <f t="array" ref="B903">IF(OR(G903="",G903="Selecciona.."),"",XLOOKUP(G903,Productos!E:E,Productos!A:A,"",0,1))</f>
        <v/>
      </c>
      <c r="C903" s="14" t="str">
        <f t="array" ref="C903">IF(B903="","",SUMIF(Implementos!B:B,XLOOKUP(B903,Productos!A:A,Productos!F:F,"",0,1),Implementos!A:A))</f>
        <v/>
      </c>
      <c r="D903" s="14" t="str">
        <f t="array" ref="D903">IF(OR(H903="",H903="Selecciona.."),"",XLOOKUP(H903,Propiedades!B:B,Propiedades!A:A,"",0,1))</f>
        <v/>
      </c>
      <c r="E903" s="14" t="str">
        <f t="shared" si="2"/>
        <v/>
      </c>
      <c r="F903" s="14" t="str">
        <f t="shared" si="3"/>
        <v/>
      </c>
      <c r="G903" s="15" t="str">
        <f t="shared" si="8"/>
        <v/>
      </c>
      <c r="H903" s="15" t="str">
        <f t="shared" si="9"/>
        <v/>
      </c>
      <c r="I903" s="16" t="str">
        <f t="shared" si="10"/>
        <v/>
      </c>
      <c r="J903" s="17"/>
      <c r="K903" s="14" t="str">
        <f t="array" ref="K903">IF(OR(H903="",H903="Selecciona.."),"",XLOOKUP(H903,Propiedades!B:B,Propiedades!C:C,"",0,1))</f>
        <v/>
      </c>
    </row>
    <row r="904">
      <c r="A904" s="14" t="str">
        <f t="shared" si="1"/>
        <v/>
      </c>
      <c r="B904" s="14" t="str">
        <f t="array" ref="B904">IF(OR(G904="",G904="Selecciona.."),"",XLOOKUP(G904,Productos!E:E,Productos!A:A,"",0,1))</f>
        <v/>
      </c>
      <c r="C904" s="14" t="str">
        <f t="array" ref="C904">IF(B904="","",SUMIF(Implementos!B:B,XLOOKUP(B904,Productos!A:A,Productos!F:F,"",0,1),Implementos!A:A))</f>
        <v/>
      </c>
      <c r="D904" s="14" t="str">
        <f t="array" ref="D904">IF(OR(H904="",H904="Selecciona.."),"",XLOOKUP(H904,Propiedades!B:B,Propiedades!A:A,"",0,1))</f>
        <v/>
      </c>
      <c r="E904" s="14" t="str">
        <f t="shared" si="2"/>
        <v/>
      </c>
      <c r="F904" s="14" t="str">
        <f t="shared" si="3"/>
        <v/>
      </c>
      <c r="G904" s="15" t="str">
        <f t="shared" si="8"/>
        <v/>
      </c>
      <c r="H904" s="15" t="str">
        <f t="shared" si="9"/>
        <v/>
      </c>
      <c r="I904" s="16" t="str">
        <f t="shared" si="10"/>
        <v/>
      </c>
      <c r="J904" s="17"/>
      <c r="K904" s="14" t="str">
        <f t="array" ref="K904">IF(OR(H904="",H904="Selecciona.."),"",XLOOKUP(H904,Propiedades!B:B,Propiedades!C:C,"",0,1))</f>
        <v/>
      </c>
    </row>
    <row r="905">
      <c r="A905" s="14" t="str">
        <f t="shared" si="1"/>
        <v/>
      </c>
      <c r="B905" s="14" t="str">
        <f t="array" ref="B905">IF(OR(G905="",G905="Selecciona.."),"",XLOOKUP(G905,Productos!E:E,Productos!A:A,"",0,1))</f>
        <v/>
      </c>
      <c r="C905" s="14" t="str">
        <f t="array" ref="C905">IF(B905="","",SUMIF(Implementos!B:B,XLOOKUP(B905,Productos!A:A,Productos!F:F,"",0,1),Implementos!A:A))</f>
        <v/>
      </c>
      <c r="D905" s="14" t="str">
        <f t="array" ref="D905">IF(OR(H905="",H905="Selecciona.."),"",XLOOKUP(H905,Propiedades!B:B,Propiedades!A:A,"",0,1))</f>
        <v/>
      </c>
      <c r="E905" s="14" t="str">
        <f t="shared" si="2"/>
        <v/>
      </c>
      <c r="F905" s="14" t="str">
        <f t="shared" si="3"/>
        <v/>
      </c>
      <c r="G905" s="15" t="str">
        <f t="shared" si="8"/>
        <v/>
      </c>
      <c r="H905" s="15" t="str">
        <f t="shared" si="9"/>
        <v/>
      </c>
      <c r="I905" s="16" t="str">
        <f t="shared" si="10"/>
        <v/>
      </c>
      <c r="J905" s="17"/>
      <c r="K905" s="14" t="str">
        <f t="array" ref="K905">IF(OR(H905="",H905="Selecciona.."),"",XLOOKUP(H905,Propiedades!B:B,Propiedades!C:C,"",0,1))</f>
        <v/>
      </c>
    </row>
    <row r="906">
      <c r="A906" s="14" t="str">
        <f t="shared" si="1"/>
        <v/>
      </c>
      <c r="B906" s="14" t="str">
        <f t="array" ref="B906">IF(OR(G906="",G906="Selecciona.."),"",XLOOKUP(G906,Productos!E:E,Productos!A:A,"",0,1))</f>
        <v/>
      </c>
      <c r="C906" s="14" t="str">
        <f t="array" ref="C906">IF(B906="","",SUMIF(Implementos!B:B,XLOOKUP(B906,Productos!A:A,Productos!F:F,"",0,1),Implementos!A:A))</f>
        <v/>
      </c>
      <c r="D906" s="14" t="str">
        <f t="array" ref="D906">IF(OR(H906="",H906="Selecciona.."),"",XLOOKUP(H906,Propiedades!B:B,Propiedades!A:A,"",0,1))</f>
        <v/>
      </c>
      <c r="E906" s="14" t="str">
        <f t="shared" si="2"/>
        <v/>
      </c>
      <c r="F906" s="14" t="str">
        <f t="shared" si="3"/>
        <v/>
      </c>
      <c r="G906" s="15" t="str">
        <f t="shared" si="8"/>
        <v/>
      </c>
      <c r="H906" s="15" t="str">
        <f t="shared" si="9"/>
        <v/>
      </c>
      <c r="I906" s="16" t="str">
        <f t="shared" si="10"/>
        <v/>
      </c>
      <c r="J906" s="17"/>
      <c r="K906" s="14" t="str">
        <f t="array" ref="K906">IF(OR(H906="",H906="Selecciona.."),"",XLOOKUP(H906,Propiedades!B:B,Propiedades!C:C,"",0,1))</f>
        <v/>
      </c>
    </row>
    <row r="907">
      <c r="A907" s="14" t="str">
        <f t="shared" si="1"/>
        <v/>
      </c>
      <c r="B907" s="14" t="str">
        <f t="array" ref="B907">IF(OR(G907="",G907="Selecciona.."),"",XLOOKUP(G907,Productos!E:E,Productos!A:A,"",0,1))</f>
        <v/>
      </c>
      <c r="C907" s="14" t="str">
        <f t="array" ref="C907">IF(B907="","",SUMIF(Implementos!B:B,XLOOKUP(B907,Productos!A:A,Productos!F:F,"",0,1),Implementos!A:A))</f>
        <v/>
      </c>
      <c r="D907" s="14" t="str">
        <f t="array" ref="D907">IF(OR(H907="",H907="Selecciona.."),"",XLOOKUP(H907,Propiedades!B:B,Propiedades!A:A,"",0,1))</f>
        <v/>
      </c>
      <c r="E907" s="14" t="str">
        <f t="shared" si="2"/>
        <v/>
      </c>
      <c r="F907" s="14" t="str">
        <f t="shared" si="3"/>
        <v/>
      </c>
      <c r="G907" s="15" t="str">
        <f t="shared" si="8"/>
        <v/>
      </c>
      <c r="H907" s="15" t="str">
        <f t="shared" si="9"/>
        <v/>
      </c>
      <c r="I907" s="16" t="str">
        <f t="shared" si="10"/>
        <v/>
      </c>
      <c r="J907" s="17"/>
      <c r="K907" s="14" t="str">
        <f t="array" ref="K907">IF(OR(H907="",H907="Selecciona.."),"",XLOOKUP(H907,Propiedades!B:B,Propiedades!C:C,"",0,1))</f>
        <v/>
      </c>
    </row>
    <row r="908">
      <c r="A908" s="14" t="str">
        <f t="shared" si="1"/>
        <v/>
      </c>
      <c r="B908" s="14" t="str">
        <f t="array" ref="B908">IF(OR(G908="",G908="Selecciona.."),"",XLOOKUP(G908,Productos!E:E,Productos!A:A,"",0,1))</f>
        <v/>
      </c>
      <c r="C908" s="14" t="str">
        <f t="array" ref="C908">IF(B908="","",SUMIF(Implementos!B:B,XLOOKUP(B908,Productos!A:A,Productos!F:F,"",0,1),Implementos!A:A))</f>
        <v/>
      </c>
      <c r="D908" s="14" t="str">
        <f t="array" ref="D908">IF(OR(H908="",H908="Selecciona.."),"",XLOOKUP(H908,Propiedades!B:B,Propiedades!A:A,"",0,1))</f>
        <v/>
      </c>
      <c r="E908" s="14" t="str">
        <f t="shared" si="2"/>
        <v/>
      </c>
      <c r="F908" s="14" t="str">
        <f t="shared" si="3"/>
        <v/>
      </c>
      <c r="G908" s="15" t="str">
        <f t="shared" si="8"/>
        <v/>
      </c>
      <c r="H908" s="15" t="str">
        <f t="shared" si="9"/>
        <v/>
      </c>
      <c r="I908" s="16" t="str">
        <f t="shared" si="10"/>
        <v/>
      </c>
      <c r="J908" s="17"/>
      <c r="K908" s="14" t="str">
        <f t="array" ref="K908">IF(OR(H908="",H908="Selecciona.."),"",XLOOKUP(H908,Propiedades!B:B,Propiedades!C:C,"",0,1))</f>
        <v/>
      </c>
    </row>
    <row r="909">
      <c r="A909" s="14" t="str">
        <f t="shared" si="1"/>
        <v/>
      </c>
      <c r="B909" s="14" t="str">
        <f t="array" ref="B909">IF(OR(G909="",G909="Selecciona.."),"",XLOOKUP(G909,Productos!E:E,Productos!A:A,"",0,1))</f>
        <v/>
      </c>
      <c r="C909" s="14" t="str">
        <f t="array" ref="C909">IF(B909="","",SUMIF(Implementos!B:B,XLOOKUP(B909,Productos!A:A,Productos!F:F,"",0,1),Implementos!A:A))</f>
        <v/>
      </c>
      <c r="D909" s="14" t="str">
        <f t="array" ref="D909">IF(OR(H909="",H909="Selecciona.."),"",XLOOKUP(H909,Propiedades!B:B,Propiedades!A:A,"",0,1))</f>
        <v/>
      </c>
      <c r="E909" s="14" t="str">
        <f t="shared" si="2"/>
        <v/>
      </c>
      <c r="F909" s="14" t="str">
        <f t="shared" si="3"/>
        <v/>
      </c>
      <c r="G909" s="15" t="str">
        <f t="shared" si="8"/>
        <v/>
      </c>
      <c r="H909" s="15" t="str">
        <f t="shared" si="9"/>
        <v/>
      </c>
      <c r="I909" s="16" t="str">
        <f t="shared" si="10"/>
        <v/>
      </c>
      <c r="J909" s="17"/>
      <c r="K909" s="14" t="str">
        <f t="array" ref="K909">IF(OR(H909="",H909="Selecciona.."),"",XLOOKUP(H909,Propiedades!B:B,Propiedades!C:C,"",0,1))</f>
        <v/>
      </c>
    </row>
    <row r="910">
      <c r="A910" s="14" t="str">
        <f t="shared" si="1"/>
        <v/>
      </c>
      <c r="B910" s="14" t="str">
        <f t="array" ref="B910">IF(OR(G910="",G910="Selecciona.."),"",XLOOKUP(G910,Productos!E:E,Productos!A:A,"",0,1))</f>
        <v/>
      </c>
      <c r="C910" s="14" t="str">
        <f t="array" ref="C910">IF(B910="","",SUMIF(Implementos!B:B,XLOOKUP(B910,Productos!A:A,Productos!F:F,"",0,1),Implementos!A:A))</f>
        <v/>
      </c>
      <c r="D910" s="14" t="str">
        <f t="array" ref="D910">IF(OR(H910="",H910="Selecciona.."),"",XLOOKUP(H910,Propiedades!B:B,Propiedades!A:A,"",0,1))</f>
        <v/>
      </c>
      <c r="E910" s="14" t="str">
        <f t="shared" si="2"/>
        <v/>
      </c>
      <c r="F910" s="14" t="str">
        <f t="shared" si="3"/>
        <v/>
      </c>
      <c r="G910" s="15" t="str">
        <f t="shared" si="8"/>
        <v/>
      </c>
      <c r="H910" s="15" t="str">
        <f t="shared" si="9"/>
        <v/>
      </c>
      <c r="I910" s="16" t="str">
        <f t="shared" si="10"/>
        <v/>
      </c>
      <c r="J910" s="17"/>
      <c r="K910" s="14" t="str">
        <f t="array" ref="K910">IF(OR(H910="",H910="Selecciona.."),"",XLOOKUP(H910,Propiedades!B:B,Propiedades!C:C,"",0,1))</f>
        <v/>
      </c>
    </row>
    <row r="911">
      <c r="A911" s="14" t="str">
        <f t="shared" si="1"/>
        <v/>
      </c>
      <c r="B911" s="14" t="str">
        <f t="array" ref="B911">IF(OR(G911="",G911="Selecciona.."),"",XLOOKUP(G911,Productos!E:E,Productos!A:A,"",0,1))</f>
        <v/>
      </c>
      <c r="C911" s="14" t="str">
        <f t="array" ref="C911">IF(B911="","",SUMIF(Implementos!B:B,XLOOKUP(B911,Productos!A:A,Productos!F:F,"",0,1),Implementos!A:A))</f>
        <v/>
      </c>
      <c r="D911" s="14" t="str">
        <f t="array" ref="D911">IF(OR(H911="",H911="Selecciona.."),"",XLOOKUP(H911,Propiedades!B:B,Propiedades!A:A,"",0,1))</f>
        <v/>
      </c>
      <c r="E911" s="14" t="str">
        <f t="shared" si="2"/>
        <v/>
      </c>
      <c r="F911" s="14" t="str">
        <f t="shared" si="3"/>
        <v/>
      </c>
      <c r="G911" s="15" t="str">
        <f t="shared" si="8"/>
        <v/>
      </c>
      <c r="H911" s="15" t="str">
        <f t="shared" si="9"/>
        <v/>
      </c>
      <c r="I911" s="16" t="str">
        <f t="shared" si="10"/>
        <v/>
      </c>
      <c r="J911" s="17"/>
      <c r="K911" s="14" t="str">
        <f t="array" ref="K911">IF(OR(H911="",H911="Selecciona.."),"",XLOOKUP(H911,Propiedades!B:B,Propiedades!C:C,"",0,1))</f>
        <v/>
      </c>
    </row>
    <row r="912">
      <c r="A912" s="14" t="str">
        <f t="shared" si="1"/>
        <v/>
      </c>
      <c r="B912" s="14" t="str">
        <f t="array" ref="B912">IF(OR(G912="",G912="Selecciona.."),"",XLOOKUP(G912,Productos!E:E,Productos!A:A,"",0,1))</f>
        <v/>
      </c>
      <c r="C912" s="14" t="str">
        <f t="array" ref="C912">IF(B912="","",SUMIF(Implementos!B:B,XLOOKUP(B912,Productos!A:A,Productos!F:F,"",0,1),Implementos!A:A))</f>
        <v/>
      </c>
      <c r="D912" s="14" t="str">
        <f t="array" ref="D912">IF(OR(H912="",H912="Selecciona.."),"",XLOOKUP(H912,Propiedades!B:B,Propiedades!A:A,"",0,1))</f>
        <v/>
      </c>
      <c r="E912" s="14" t="str">
        <f t="shared" si="2"/>
        <v/>
      </c>
      <c r="F912" s="14" t="str">
        <f t="shared" si="3"/>
        <v/>
      </c>
      <c r="G912" s="15" t="str">
        <f t="shared" si="8"/>
        <v/>
      </c>
      <c r="H912" s="15" t="str">
        <f t="shared" si="9"/>
        <v/>
      </c>
      <c r="I912" s="16" t="str">
        <f t="shared" si="10"/>
        <v/>
      </c>
      <c r="J912" s="17"/>
      <c r="K912" s="14" t="str">
        <f t="array" ref="K912">IF(OR(H912="",H912="Selecciona.."),"",XLOOKUP(H912,Propiedades!B:B,Propiedades!C:C,"",0,1))</f>
        <v/>
      </c>
    </row>
    <row r="913">
      <c r="A913" s="14" t="str">
        <f t="shared" si="1"/>
        <v/>
      </c>
      <c r="B913" s="14" t="str">
        <f t="array" ref="B913">IF(OR(G913="",G913="Selecciona.."),"",XLOOKUP(G913,Productos!E:E,Productos!A:A,"",0,1))</f>
        <v/>
      </c>
      <c r="C913" s="14" t="str">
        <f t="array" ref="C913">IF(B913="","",SUMIF(Implementos!B:B,XLOOKUP(B913,Productos!A:A,Productos!F:F,"",0,1),Implementos!A:A))</f>
        <v/>
      </c>
      <c r="D913" s="14" t="str">
        <f t="array" ref="D913">IF(OR(H913="",H913="Selecciona.."),"",XLOOKUP(H913,Propiedades!B:B,Propiedades!A:A,"",0,1))</f>
        <v/>
      </c>
      <c r="E913" s="14" t="str">
        <f t="shared" si="2"/>
        <v/>
      </c>
      <c r="F913" s="14" t="str">
        <f t="shared" si="3"/>
        <v/>
      </c>
      <c r="G913" s="15" t="str">
        <f t="shared" si="8"/>
        <v/>
      </c>
      <c r="H913" s="15" t="str">
        <f t="shared" si="9"/>
        <v/>
      </c>
      <c r="I913" s="16" t="str">
        <f t="shared" si="10"/>
        <v/>
      </c>
      <c r="J913" s="17"/>
      <c r="K913" s="14" t="str">
        <f t="array" ref="K913">IF(OR(H913="",H913="Selecciona.."),"",XLOOKUP(H913,Propiedades!B:B,Propiedades!C:C,"",0,1))</f>
        <v/>
      </c>
    </row>
    <row r="914">
      <c r="A914" s="14" t="str">
        <f t="shared" si="1"/>
        <v/>
      </c>
      <c r="B914" s="14" t="str">
        <f t="array" ref="B914">IF(OR(G914="",G914="Selecciona.."),"",XLOOKUP(G914,Productos!E:E,Productos!A:A,"",0,1))</f>
        <v/>
      </c>
      <c r="C914" s="14" t="str">
        <f t="array" ref="C914">IF(B914="","",SUMIF(Implementos!B:B,XLOOKUP(B914,Productos!A:A,Productos!F:F,"",0,1),Implementos!A:A))</f>
        <v/>
      </c>
      <c r="D914" s="14" t="str">
        <f t="array" ref="D914">IF(OR(H914="",H914="Selecciona.."),"",XLOOKUP(H914,Propiedades!B:B,Propiedades!A:A,"",0,1))</f>
        <v/>
      </c>
      <c r="E914" s="14" t="str">
        <f t="shared" si="2"/>
        <v/>
      </c>
      <c r="F914" s="14" t="str">
        <f t="shared" si="3"/>
        <v/>
      </c>
      <c r="G914" s="15" t="str">
        <f t="shared" si="8"/>
        <v/>
      </c>
      <c r="H914" s="15" t="str">
        <f t="shared" si="9"/>
        <v/>
      </c>
      <c r="I914" s="16" t="str">
        <f t="shared" si="10"/>
        <v/>
      </c>
      <c r="J914" s="17"/>
      <c r="K914" s="14" t="str">
        <f t="array" ref="K914">IF(OR(H914="",H914="Selecciona.."),"",XLOOKUP(H914,Propiedades!B:B,Propiedades!C:C,"",0,1))</f>
        <v/>
      </c>
    </row>
    <row r="915">
      <c r="A915" s="14" t="str">
        <f t="shared" si="1"/>
        <v/>
      </c>
      <c r="B915" s="14" t="str">
        <f t="array" ref="B915">IF(OR(G915="",G915="Selecciona.."),"",XLOOKUP(G915,Productos!E:E,Productos!A:A,"",0,1))</f>
        <v/>
      </c>
      <c r="C915" s="14" t="str">
        <f t="array" ref="C915">IF(B915="","",SUMIF(Implementos!B:B,XLOOKUP(B915,Productos!A:A,Productos!F:F,"",0,1),Implementos!A:A))</f>
        <v/>
      </c>
      <c r="D915" s="14" t="str">
        <f t="array" ref="D915">IF(OR(H915="",H915="Selecciona.."),"",XLOOKUP(H915,Propiedades!B:B,Propiedades!A:A,"",0,1))</f>
        <v/>
      </c>
      <c r="E915" s="14" t="str">
        <f t="shared" si="2"/>
        <v/>
      </c>
      <c r="F915" s="14" t="str">
        <f t="shared" si="3"/>
        <v/>
      </c>
      <c r="G915" s="15" t="str">
        <f t="shared" si="8"/>
        <v/>
      </c>
      <c r="H915" s="15" t="str">
        <f t="shared" si="9"/>
        <v/>
      </c>
      <c r="I915" s="16" t="str">
        <f t="shared" si="10"/>
        <v/>
      </c>
      <c r="J915" s="17"/>
      <c r="K915" s="14" t="str">
        <f t="array" ref="K915">IF(OR(H915="",H915="Selecciona.."),"",XLOOKUP(H915,Propiedades!B:B,Propiedades!C:C,"",0,1))</f>
        <v/>
      </c>
    </row>
    <row r="916">
      <c r="A916" s="14" t="str">
        <f t="shared" si="1"/>
        <v/>
      </c>
      <c r="B916" s="14" t="str">
        <f t="array" ref="B916">IF(OR(G916="",G916="Selecciona.."),"",XLOOKUP(G916,Productos!E:E,Productos!A:A,"",0,1))</f>
        <v/>
      </c>
      <c r="C916" s="14" t="str">
        <f t="array" ref="C916">IF(B916="","",SUMIF(Implementos!B:B,XLOOKUP(B916,Productos!A:A,Productos!F:F,"",0,1),Implementos!A:A))</f>
        <v/>
      </c>
      <c r="D916" s="14" t="str">
        <f t="array" ref="D916">IF(OR(H916="",H916="Selecciona.."),"",XLOOKUP(H916,Propiedades!B:B,Propiedades!A:A,"",0,1))</f>
        <v/>
      </c>
      <c r="E916" s="14" t="str">
        <f t="shared" si="2"/>
        <v/>
      </c>
      <c r="F916" s="14" t="str">
        <f t="shared" si="3"/>
        <v/>
      </c>
      <c r="G916" s="15" t="str">
        <f t="shared" si="8"/>
        <v/>
      </c>
      <c r="H916" s="15" t="str">
        <f t="shared" si="9"/>
        <v/>
      </c>
      <c r="I916" s="16" t="str">
        <f t="shared" si="10"/>
        <v/>
      </c>
      <c r="J916" s="17"/>
      <c r="K916" s="14" t="str">
        <f t="array" ref="K916">IF(OR(H916="",H916="Selecciona.."),"",XLOOKUP(H916,Propiedades!B:B,Propiedades!C:C,"",0,1))</f>
        <v/>
      </c>
    </row>
    <row r="917">
      <c r="A917" s="14" t="str">
        <f t="shared" si="1"/>
        <v/>
      </c>
      <c r="B917" s="14" t="str">
        <f t="array" ref="B917">IF(OR(G917="",G917="Selecciona.."),"",XLOOKUP(G917,Productos!E:E,Productos!A:A,"",0,1))</f>
        <v/>
      </c>
      <c r="C917" s="14" t="str">
        <f t="array" ref="C917">IF(B917="","",SUMIF(Implementos!B:B,XLOOKUP(B917,Productos!A:A,Productos!F:F,"",0,1),Implementos!A:A))</f>
        <v/>
      </c>
      <c r="D917" s="14" t="str">
        <f t="array" ref="D917">IF(OR(H917="",H917="Selecciona.."),"",XLOOKUP(H917,Propiedades!B:B,Propiedades!A:A,"",0,1))</f>
        <v/>
      </c>
      <c r="E917" s="14" t="str">
        <f t="shared" si="2"/>
        <v/>
      </c>
      <c r="F917" s="14" t="str">
        <f t="shared" si="3"/>
        <v/>
      </c>
      <c r="G917" s="15" t="str">
        <f t="shared" si="8"/>
        <v/>
      </c>
      <c r="H917" s="15" t="str">
        <f t="shared" si="9"/>
        <v/>
      </c>
      <c r="I917" s="16" t="str">
        <f t="shared" si="10"/>
        <v/>
      </c>
      <c r="J917" s="17"/>
      <c r="K917" s="14" t="str">
        <f t="array" ref="K917">IF(OR(H917="",H917="Selecciona.."),"",XLOOKUP(H917,Propiedades!B:B,Propiedades!C:C,"",0,1))</f>
        <v/>
      </c>
    </row>
    <row r="918">
      <c r="A918" s="14" t="str">
        <f t="shared" si="1"/>
        <v/>
      </c>
      <c r="B918" s="14" t="str">
        <f t="array" ref="B918">IF(OR(G918="",G918="Selecciona.."),"",XLOOKUP(G918,Productos!E:E,Productos!A:A,"",0,1))</f>
        <v/>
      </c>
      <c r="C918" s="14" t="str">
        <f t="array" ref="C918">IF(B918="","",SUMIF(Implementos!B:B,XLOOKUP(B918,Productos!A:A,Productos!F:F,"",0,1),Implementos!A:A))</f>
        <v/>
      </c>
      <c r="D918" s="14" t="str">
        <f t="array" ref="D918">IF(OR(H918="",H918="Selecciona.."),"",XLOOKUP(H918,Propiedades!B:B,Propiedades!A:A,"",0,1))</f>
        <v/>
      </c>
      <c r="E918" s="14" t="str">
        <f t="shared" si="2"/>
        <v/>
      </c>
      <c r="F918" s="14" t="str">
        <f t="shared" si="3"/>
        <v/>
      </c>
      <c r="G918" s="15" t="str">
        <f t="shared" si="8"/>
        <v/>
      </c>
      <c r="H918" s="15" t="str">
        <f t="shared" si="9"/>
        <v/>
      </c>
      <c r="I918" s="16" t="str">
        <f t="shared" si="10"/>
        <v/>
      </c>
      <c r="J918" s="17"/>
      <c r="K918" s="14" t="str">
        <f t="array" ref="K918">IF(OR(H918="",H918="Selecciona.."),"",XLOOKUP(H918,Propiedades!B:B,Propiedades!C:C,"",0,1))</f>
        <v/>
      </c>
    </row>
    <row r="919">
      <c r="A919" s="14" t="str">
        <f t="shared" si="1"/>
        <v/>
      </c>
      <c r="B919" s="14" t="str">
        <f t="array" ref="B919">IF(OR(G919="",G919="Selecciona.."),"",XLOOKUP(G919,Productos!E:E,Productos!A:A,"",0,1))</f>
        <v/>
      </c>
      <c r="C919" s="14" t="str">
        <f t="array" ref="C919">IF(B919="","",SUMIF(Implementos!B:B,XLOOKUP(B919,Productos!A:A,Productos!F:F,"",0,1),Implementos!A:A))</f>
        <v/>
      </c>
      <c r="D919" s="14" t="str">
        <f t="array" ref="D919">IF(OR(H919="",H919="Selecciona.."),"",XLOOKUP(H919,Propiedades!B:B,Propiedades!A:A,"",0,1))</f>
        <v/>
      </c>
      <c r="E919" s="14" t="str">
        <f t="shared" si="2"/>
        <v/>
      </c>
      <c r="F919" s="14" t="str">
        <f t="shared" si="3"/>
        <v/>
      </c>
      <c r="G919" s="15" t="str">
        <f t="shared" si="8"/>
        <v/>
      </c>
      <c r="H919" s="15" t="str">
        <f t="shared" si="9"/>
        <v/>
      </c>
      <c r="I919" s="16" t="str">
        <f t="shared" si="10"/>
        <v/>
      </c>
      <c r="J919" s="17"/>
      <c r="K919" s="14" t="str">
        <f t="array" ref="K919">IF(OR(H919="",H919="Selecciona.."),"",XLOOKUP(H919,Propiedades!B:B,Propiedades!C:C,"",0,1))</f>
        <v/>
      </c>
    </row>
    <row r="920">
      <c r="A920" s="14" t="str">
        <f t="shared" si="1"/>
        <v/>
      </c>
      <c r="B920" s="14" t="str">
        <f t="array" ref="B920">IF(OR(G920="",G920="Selecciona.."),"",XLOOKUP(G920,Productos!E:E,Productos!A:A,"",0,1))</f>
        <v/>
      </c>
      <c r="C920" s="14" t="str">
        <f t="array" ref="C920">IF(B920="","",SUMIF(Implementos!B:B,XLOOKUP(B920,Productos!A:A,Productos!F:F,"",0,1),Implementos!A:A))</f>
        <v/>
      </c>
      <c r="D920" s="14" t="str">
        <f t="array" ref="D920">IF(OR(H920="",H920="Selecciona.."),"",XLOOKUP(H920,Propiedades!B:B,Propiedades!A:A,"",0,1))</f>
        <v/>
      </c>
      <c r="E920" s="14" t="str">
        <f t="shared" si="2"/>
        <v/>
      </c>
      <c r="F920" s="14" t="str">
        <f t="shared" si="3"/>
        <v/>
      </c>
      <c r="G920" s="15" t="str">
        <f t="shared" si="8"/>
        <v/>
      </c>
      <c r="H920" s="15" t="str">
        <f t="shared" si="9"/>
        <v/>
      </c>
      <c r="I920" s="16" t="str">
        <f t="shared" si="10"/>
        <v/>
      </c>
      <c r="J920" s="17"/>
      <c r="K920" s="14" t="str">
        <f t="array" ref="K920">IF(OR(H920="",H920="Selecciona.."),"",XLOOKUP(H920,Propiedades!B:B,Propiedades!C:C,"",0,1))</f>
        <v/>
      </c>
    </row>
    <row r="921">
      <c r="A921" s="14" t="str">
        <f t="shared" si="1"/>
        <v/>
      </c>
      <c r="B921" s="14" t="str">
        <f t="array" ref="B921">IF(OR(G921="",G921="Selecciona.."),"",XLOOKUP(G921,Productos!E:E,Productos!A:A,"",0,1))</f>
        <v/>
      </c>
      <c r="C921" s="14" t="str">
        <f t="array" ref="C921">IF(B921="","",SUMIF(Implementos!B:B,XLOOKUP(B921,Productos!A:A,Productos!F:F,"",0,1),Implementos!A:A))</f>
        <v/>
      </c>
      <c r="D921" s="14" t="str">
        <f t="array" ref="D921">IF(OR(H921="",H921="Selecciona.."),"",XLOOKUP(H921,Propiedades!B:B,Propiedades!A:A,"",0,1))</f>
        <v/>
      </c>
      <c r="E921" s="14" t="str">
        <f t="shared" si="2"/>
        <v/>
      </c>
      <c r="F921" s="14" t="str">
        <f t="shared" si="3"/>
        <v/>
      </c>
      <c r="G921" s="15" t="str">
        <f t="shared" si="8"/>
        <v/>
      </c>
      <c r="H921" s="15" t="str">
        <f t="shared" si="9"/>
        <v/>
      </c>
      <c r="I921" s="16" t="str">
        <f t="shared" si="10"/>
        <v/>
      </c>
      <c r="J921" s="17"/>
      <c r="K921" s="14" t="str">
        <f t="array" ref="K921">IF(OR(H921="",H921="Selecciona.."),"",XLOOKUP(H921,Propiedades!B:B,Propiedades!C:C,"",0,1))</f>
        <v/>
      </c>
    </row>
    <row r="922">
      <c r="A922" s="14" t="str">
        <f t="shared" si="1"/>
        <v/>
      </c>
      <c r="B922" s="14" t="str">
        <f t="array" ref="B922">IF(OR(G922="",G922="Selecciona.."),"",XLOOKUP(G922,Productos!E:E,Productos!A:A,"",0,1))</f>
        <v/>
      </c>
      <c r="C922" s="14" t="str">
        <f t="array" ref="C922">IF(B922="","",SUMIF(Implementos!B:B,XLOOKUP(B922,Productos!A:A,Productos!F:F,"",0,1),Implementos!A:A))</f>
        <v/>
      </c>
      <c r="D922" s="14" t="str">
        <f t="array" ref="D922">IF(OR(H922="",H922="Selecciona.."),"",XLOOKUP(H922,Propiedades!B:B,Propiedades!A:A,"",0,1))</f>
        <v/>
      </c>
      <c r="E922" s="14" t="str">
        <f t="shared" si="2"/>
        <v/>
      </c>
      <c r="F922" s="14" t="str">
        <f t="shared" si="3"/>
        <v/>
      </c>
      <c r="G922" s="15" t="str">
        <f t="shared" si="8"/>
        <v/>
      </c>
      <c r="H922" s="15" t="str">
        <f t="shared" si="9"/>
        <v/>
      </c>
      <c r="I922" s="16" t="str">
        <f t="shared" si="10"/>
        <v/>
      </c>
      <c r="J922" s="17"/>
      <c r="K922" s="14" t="str">
        <f t="array" ref="K922">IF(OR(H922="",H922="Selecciona.."),"",XLOOKUP(H922,Propiedades!B:B,Propiedades!C:C,"",0,1))</f>
        <v/>
      </c>
    </row>
    <row r="923">
      <c r="A923" s="14" t="str">
        <f t="shared" si="1"/>
        <v/>
      </c>
      <c r="B923" s="14" t="str">
        <f t="array" ref="B923">IF(OR(G923="",G923="Selecciona.."),"",XLOOKUP(G923,Productos!E:E,Productos!A:A,"",0,1))</f>
        <v/>
      </c>
      <c r="C923" s="14" t="str">
        <f t="array" ref="C923">IF(B923="","",SUMIF(Implementos!B:B,XLOOKUP(B923,Productos!A:A,Productos!F:F,"",0,1),Implementos!A:A))</f>
        <v/>
      </c>
      <c r="D923" s="14" t="str">
        <f t="array" ref="D923">IF(OR(H923="",H923="Selecciona.."),"",XLOOKUP(H923,Propiedades!B:B,Propiedades!A:A,"",0,1))</f>
        <v/>
      </c>
      <c r="E923" s="14" t="str">
        <f t="shared" si="2"/>
        <v/>
      </c>
      <c r="F923" s="14" t="str">
        <f t="shared" si="3"/>
        <v/>
      </c>
      <c r="G923" s="15" t="str">
        <f t="shared" si="8"/>
        <v/>
      </c>
      <c r="H923" s="15" t="str">
        <f t="shared" si="9"/>
        <v/>
      </c>
      <c r="I923" s="16" t="str">
        <f t="shared" si="10"/>
        <v/>
      </c>
      <c r="J923" s="17"/>
      <c r="K923" s="14" t="str">
        <f t="array" ref="K923">IF(OR(H923="",H923="Selecciona.."),"",XLOOKUP(H923,Propiedades!B:B,Propiedades!C:C,"",0,1))</f>
        <v/>
      </c>
    </row>
    <row r="924">
      <c r="A924" s="14" t="str">
        <f t="shared" si="1"/>
        <v/>
      </c>
      <c r="B924" s="14" t="str">
        <f t="array" ref="B924">IF(OR(G924="",G924="Selecciona.."),"",XLOOKUP(G924,Productos!E:E,Productos!A:A,"",0,1))</f>
        <v/>
      </c>
      <c r="C924" s="14" t="str">
        <f t="array" ref="C924">IF(B924="","",SUMIF(Implementos!B:B,XLOOKUP(B924,Productos!A:A,Productos!F:F,"",0,1),Implementos!A:A))</f>
        <v/>
      </c>
      <c r="D924" s="14" t="str">
        <f t="array" ref="D924">IF(OR(H924="",H924="Selecciona.."),"",XLOOKUP(H924,Propiedades!B:B,Propiedades!A:A,"",0,1))</f>
        <v/>
      </c>
      <c r="E924" s="14" t="str">
        <f t="shared" si="2"/>
        <v/>
      </c>
      <c r="F924" s="14" t="str">
        <f t="shared" si="3"/>
        <v/>
      </c>
      <c r="G924" s="15" t="str">
        <f t="shared" si="8"/>
        <v/>
      </c>
      <c r="H924" s="15" t="str">
        <f t="shared" si="9"/>
        <v/>
      </c>
      <c r="I924" s="16" t="str">
        <f t="shared" si="10"/>
        <v/>
      </c>
      <c r="J924" s="17"/>
      <c r="K924" s="14" t="str">
        <f t="array" ref="K924">IF(OR(H924="",H924="Selecciona.."),"",XLOOKUP(H924,Propiedades!B:B,Propiedades!C:C,"",0,1))</f>
        <v/>
      </c>
    </row>
    <row r="925">
      <c r="A925" s="14" t="str">
        <f t="shared" si="1"/>
        <v/>
      </c>
      <c r="B925" s="14" t="str">
        <f t="array" ref="B925">IF(OR(G925="",G925="Selecciona.."),"",XLOOKUP(G925,Productos!E:E,Productos!A:A,"",0,1))</f>
        <v/>
      </c>
      <c r="C925" s="14" t="str">
        <f t="array" ref="C925">IF(B925="","",SUMIF(Implementos!B:B,XLOOKUP(B925,Productos!A:A,Productos!F:F,"",0,1),Implementos!A:A))</f>
        <v/>
      </c>
      <c r="D925" s="14" t="str">
        <f t="array" ref="D925">IF(OR(H925="",H925="Selecciona.."),"",XLOOKUP(H925,Propiedades!B:B,Propiedades!A:A,"",0,1))</f>
        <v/>
      </c>
      <c r="E925" s="14" t="str">
        <f t="shared" si="2"/>
        <v/>
      </c>
      <c r="F925" s="14" t="str">
        <f t="shared" si="3"/>
        <v/>
      </c>
      <c r="G925" s="15" t="str">
        <f t="shared" si="8"/>
        <v/>
      </c>
      <c r="H925" s="15" t="str">
        <f t="shared" si="9"/>
        <v/>
      </c>
      <c r="I925" s="16" t="str">
        <f t="shared" si="10"/>
        <v/>
      </c>
      <c r="J925" s="17"/>
      <c r="K925" s="14" t="str">
        <f t="array" ref="K925">IF(OR(H925="",H925="Selecciona.."),"",XLOOKUP(H925,Propiedades!B:B,Propiedades!C:C,"",0,1))</f>
        <v/>
      </c>
    </row>
    <row r="926">
      <c r="A926" s="14" t="str">
        <f t="shared" si="1"/>
        <v/>
      </c>
      <c r="B926" s="14" t="str">
        <f t="array" ref="B926">IF(OR(G926="",G926="Selecciona.."),"",XLOOKUP(G926,Productos!E:E,Productos!A:A,"",0,1))</f>
        <v/>
      </c>
      <c r="C926" s="14" t="str">
        <f t="array" ref="C926">IF(B926="","",SUMIF(Implementos!B:B,XLOOKUP(B926,Productos!A:A,Productos!F:F,"",0,1),Implementos!A:A))</f>
        <v/>
      </c>
      <c r="D926" s="14" t="str">
        <f t="array" ref="D926">IF(OR(H926="",H926="Selecciona.."),"",XLOOKUP(H926,Propiedades!B:B,Propiedades!A:A,"",0,1))</f>
        <v/>
      </c>
      <c r="E926" s="14" t="str">
        <f t="shared" si="2"/>
        <v/>
      </c>
      <c r="F926" s="14" t="str">
        <f t="shared" si="3"/>
        <v/>
      </c>
      <c r="G926" s="15" t="str">
        <f t="shared" si="8"/>
        <v/>
      </c>
      <c r="H926" s="15" t="str">
        <f t="shared" si="9"/>
        <v/>
      </c>
      <c r="I926" s="16" t="str">
        <f t="shared" si="10"/>
        <v/>
      </c>
      <c r="J926" s="17"/>
      <c r="K926" s="14" t="str">
        <f t="array" ref="K926">IF(OR(H926="",H926="Selecciona.."),"",XLOOKUP(H926,Propiedades!B:B,Propiedades!C:C,"",0,1))</f>
        <v/>
      </c>
    </row>
    <row r="927">
      <c r="A927" s="14" t="str">
        <f t="shared" si="1"/>
        <v/>
      </c>
      <c r="B927" s="14" t="str">
        <f t="array" ref="B927">IF(OR(G927="",G927="Selecciona.."),"",XLOOKUP(G927,Productos!E:E,Productos!A:A,"",0,1))</f>
        <v/>
      </c>
      <c r="C927" s="14" t="str">
        <f t="array" ref="C927">IF(B927="","",SUMIF(Implementos!B:B,XLOOKUP(B927,Productos!A:A,Productos!F:F,"",0,1),Implementos!A:A))</f>
        <v/>
      </c>
      <c r="D927" s="14" t="str">
        <f t="array" ref="D927">IF(OR(H927="",H927="Selecciona.."),"",XLOOKUP(H927,Propiedades!B:B,Propiedades!A:A,"",0,1))</f>
        <v/>
      </c>
      <c r="E927" s="14" t="str">
        <f t="shared" si="2"/>
        <v/>
      </c>
      <c r="F927" s="14" t="str">
        <f t="shared" si="3"/>
        <v/>
      </c>
      <c r="G927" s="15" t="str">
        <f t="shared" si="8"/>
        <v/>
      </c>
      <c r="H927" s="15" t="str">
        <f t="shared" si="9"/>
        <v/>
      </c>
      <c r="I927" s="16" t="str">
        <f t="shared" si="10"/>
        <v/>
      </c>
      <c r="J927" s="17"/>
      <c r="K927" s="14" t="str">
        <f t="array" ref="K927">IF(OR(H927="",H927="Selecciona.."),"",XLOOKUP(H927,Propiedades!B:B,Propiedades!C:C,"",0,1))</f>
        <v/>
      </c>
    </row>
    <row r="928">
      <c r="A928" s="14" t="str">
        <f t="shared" si="1"/>
        <v/>
      </c>
      <c r="B928" s="14" t="str">
        <f t="array" ref="B928">IF(OR(G928="",G928="Selecciona.."),"",XLOOKUP(G928,Productos!E:E,Productos!A:A,"",0,1))</f>
        <v/>
      </c>
      <c r="C928" s="14" t="str">
        <f t="array" ref="C928">IF(B928="","",SUMIF(Implementos!B:B,XLOOKUP(B928,Productos!A:A,Productos!F:F,"",0,1),Implementos!A:A))</f>
        <v/>
      </c>
      <c r="D928" s="14" t="str">
        <f t="array" ref="D928">IF(OR(H928="",H928="Selecciona.."),"",XLOOKUP(H928,Propiedades!B:B,Propiedades!A:A,"",0,1))</f>
        <v/>
      </c>
      <c r="E928" s="14" t="str">
        <f t="shared" si="2"/>
        <v/>
      </c>
      <c r="F928" s="14" t="str">
        <f t="shared" si="3"/>
        <v/>
      </c>
      <c r="G928" s="15" t="str">
        <f t="shared" si="8"/>
        <v/>
      </c>
      <c r="H928" s="15" t="str">
        <f t="shared" si="9"/>
        <v/>
      </c>
      <c r="I928" s="16" t="str">
        <f t="shared" si="10"/>
        <v/>
      </c>
      <c r="J928" s="17"/>
      <c r="K928" s="14" t="str">
        <f t="array" ref="K928">IF(OR(H928="",H928="Selecciona.."),"",XLOOKUP(H928,Propiedades!B:B,Propiedades!C:C,"",0,1))</f>
        <v/>
      </c>
    </row>
    <row r="929">
      <c r="A929" s="14" t="str">
        <f t="shared" si="1"/>
        <v/>
      </c>
      <c r="B929" s="14" t="str">
        <f t="array" ref="B929">IF(OR(G929="",G929="Selecciona.."),"",XLOOKUP(G929,Productos!E:E,Productos!A:A,"",0,1))</f>
        <v/>
      </c>
      <c r="C929" s="14" t="str">
        <f t="array" ref="C929">IF(B929="","",SUMIF(Implementos!B:B,XLOOKUP(B929,Productos!A:A,Productos!F:F,"",0,1),Implementos!A:A))</f>
        <v/>
      </c>
      <c r="D929" s="14" t="str">
        <f t="array" ref="D929">IF(OR(H929="",H929="Selecciona.."),"",XLOOKUP(H929,Propiedades!B:B,Propiedades!A:A,"",0,1))</f>
        <v/>
      </c>
      <c r="E929" s="14" t="str">
        <f t="shared" si="2"/>
        <v/>
      </c>
      <c r="F929" s="14" t="str">
        <f t="shared" si="3"/>
        <v/>
      </c>
      <c r="G929" s="15" t="str">
        <f t="shared" si="8"/>
        <v/>
      </c>
      <c r="H929" s="15" t="str">
        <f t="shared" si="9"/>
        <v/>
      </c>
      <c r="I929" s="16" t="str">
        <f t="shared" si="10"/>
        <v/>
      </c>
      <c r="J929" s="17"/>
      <c r="K929" s="14" t="str">
        <f t="array" ref="K929">IF(OR(H929="",H929="Selecciona.."),"",XLOOKUP(H929,Propiedades!B:B,Propiedades!C:C,"",0,1))</f>
        <v/>
      </c>
    </row>
    <row r="930">
      <c r="A930" s="14" t="str">
        <f t="shared" si="1"/>
        <v/>
      </c>
      <c r="B930" s="14" t="str">
        <f t="array" ref="B930">IF(OR(G930="",G930="Selecciona.."),"",XLOOKUP(G930,Productos!E:E,Productos!A:A,"",0,1))</f>
        <v/>
      </c>
      <c r="C930" s="14" t="str">
        <f t="array" ref="C930">IF(B930="","",SUMIF(Implementos!B:B,XLOOKUP(B930,Productos!A:A,Productos!F:F,"",0,1),Implementos!A:A))</f>
        <v/>
      </c>
      <c r="D930" s="14" t="str">
        <f t="array" ref="D930">IF(OR(H930="",H930="Selecciona.."),"",XLOOKUP(H930,Propiedades!B:B,Propiedades!A:A,"",0,1))</f>
        <v/>
      </c>
      <c r="E930" s="14" t="str">
        <f t="shared" si="2"/>
        <v/>
      </c>
      <c r="F930" s="14" t="str">
        <f t="shared" si="3"/>
        <v/>
      </c>
      <c r="G930" s="15" t="str">
        <f t="shared" si="8"/>
        <v/>
      </c>
      <c r="H930" s="15" t="str">
        <f t="shared" si="9"/>
        <v/>
      </c>
      <c r="I930" s="16" t="str">
        <f t="shared" si="10"/>
        <v/>
      </c>
      <c r="J930" s="17"/>
      <c r="K930" s="14" t="str">
        <f t="array" ref="K930">IF(OR(H930="",H930="Selecciona.."),"",XLOOKUP(H930,Propiedades!B:B,Propiedades!C:C,"",0,1))</f>
        <v/>
      </c>
    </row>
    <row r="931">
      <c r="A931" s="14" t="str">
        <f t="shared" si="1"/>
        <v/>
      </c>
      <c r="B931" s="14" t="str">
        <f t="array" ref="B931">IF(OR(G931="",G931="Selecciona.."),"",XLOOKUP(G931,Productos!E:E,Productos!A:A,"",0,1))</f>
        <v/>
      </c>
      <c r="C931" s="14" t="str">
        <f t="array" ref="C931">IF(B931="","",SUMIF(Implementos!B:B,XLOOKUP(B931,Productos!A:A,Productos!F:F,"",0,1),Implementos!A:A))</f>
        <v/>
      </c>
      <c r="D931" s="14" t="str">
        <f t="array" ref="D931">IF(OR(H931="",H931="Selecciona.."),"",XLOOKUP(H931,Propiedades!B:B,Propiedades!A:A,"",0,1))</f>
        <v/>
      </c>
      <c r="E931" s="14" t="str">
        <f t="shared" si="2"/>
        <v/>
      </c>
      <c r="F931" s="14" t="str">
        <f t="shared" si="3"/>
        <v/>
      </c>
      <c r="G931" s="15" t="str">
        <f t="shared" si="8"/>
        <v/>
      </c>
      <c r="H931" s="15" t="str">
        <f t="shared" si="9"/>
        <v/>
      </c>
      <c r="I931" s="16" t="str">
        <f t="shared" si="10"/>
        <v/>
      </c>
      <c r="J931" s="17"/>
      <c r="K931" s="14" t="str">
        <f t="array" ref="K931">IF(OR(H931="",H931="Selecciona.."),"",XLOOKUP(H931,Propiedades!B:B,Propiedades!C:C,"",0,1))</f>
        <v/>
      </c>
    </row>
    <row r="932">
      <c r="A932" s="14" t="str">
        <f t="shared" si="1"/>
        <v/>
      </c>
      <c r="B932" s="14" t="str">
        <f t="array" ref="B932">IF(OR(G932="",G932="Selecciona.."),"",XLOOKUP(G932,Productos!E:E,Productos!A:A,"",0,1))</f>
        <v/>
      </c>
      <c r="C932" s="14" t="str">
        <f t="array" ref="C932">IF(B932="","",SUMIF(Implementos!B:B,XLOOKUP(B932,Productos!A:A,Productos!F:F,"",0,1),Implementos!A:A))</f>
        <v/>
      </c>
      <c r="D932" s="14" t="str">
        <f t="array" ref="D932">IF(OR(H932="",H932="Selecciona.."),"",XLOOKUP(H932,Propiedades!B:B,Propiedades!A:A,"",0,1))</f>
        <v/>
      </c>
      <c r="E932" s="14" t="str">
        <f t="shared" si="2"/>
        <v/>
      </c>
      <c r="F932" s="14" t="str">
        <f t="shared" si="3"/>
        <v/>
      </c>
      <c r="G932" s="15" t="str">
        <f t="shared" si="8"/>
        <v/>
      </c>
      <c r="H932" s="15" t="str">
        <f t="shared" si="9"/>
        <v/>
      </c>
      <c r="I932" s="16" t="str">
        <f t="shared" si="10"/>
        <v/>
      </c>
      <c r="J932" s="17"/>
      <c r="K932" s="14" t="str">
        <f t="array" ref="K932">IF(OR(H932="",H932="Selecciona.."),"",XLOOKUP(H932,Propiedades!B:B,Propiedades!C:C,"",0,1))</f>
        <v/>
      </c>
    </row>
    <row r="933">
      <c r="A933" s="14" t="str">
        <f t="shared" si="1"/>
        <v/>
      </c>
      <c r="B933" s="14" t="str">
        <f t="array" ref="B933">IF(OR(G933="",G933="Selecciona.."),"",XLOOKUP(G933,Productos!E:E,Productos!A:A,"",0,1))</f>
        <v/>
      </c>
      <c r="C933" s="14" t="str">
        <f t="array" ref="C933">IF(B933="","",SUMIF(Implementos!B:B,XLOOKUP(B933,Productos!A:A,Productos!F:F,"",0,1),Implementos!A:A))</f>
        <v/>
      </c>
      <c r="D933" s="14" t="str">
        <f t="array" ref="D933">IF(OR(H933="",H933="Selecciona.."),"",XLOOKUP(H933,Propiedades!B:B,Propiedades!A:A,"",0,1))</f>
        <v/>
      </c>
      <c r="E933" s="14" t="str">
        <f t="shared" si="2"/>
        <v/>
      </c>
      <c r="F933" s="14" t="str">
        <f t="shared" si="3"/>
        <v/>
      </c>
      <c r="G933" s="15" t="str">
        <f t="shared" si="8"/>
        <v/>
      </c>
      <c r="H933" s="15" t="str">
        <f t="shared" si="9"/>
        <v/>
      </c>
      <c r="I933" s="16" t="str">
        <f t="shared" si="10"/>
        <v/>
      </c>
      <c r="J933" s="17"/>
      <c r="K933" s="14" t="str">
        <f t="array" ref="K933">IF(OR(H933="",H933="Selecciona.."),"",XLOOKUP(H933,Propiedades!B:B,Propiedades!C:C,"",0,1))</f>
        <v/>
      </c>
    </row>
    <row r="934">
      <c r="A934" s="14" t="str">
        <f t="shared" si="1"/>
        <v/>
      </c>
      <c r="B934" s="14" t="str">
        <f t="array" ref="B934">IF(OR(G934="",G934="Selecciona.."),"",XLOOKUP(G934,Productos!E:E,Productos!A:A,"",0,1))</f>
        <v/>
      </c>
      <c r="C934" s="14" t="str">
        <f t="array" ref="C934">IF(B934="","",SUMIF(Implementos!B:B,XLOOKUP(B934,Productos!A:A,Productos!F:F,"",0,1),Implementos!A:A))</f>
        <v/>
      </c>
      <c r="D934" s="14" t="str">
        <f t="array" ref="D934">IF(OR(H934="",H934="Selecciona.."),"",XLOOKUP(H934,Propiedades!B:B,Propiedades!A:A,"",0,1))</f>
        <v/>
      </c>
      <c r="E934" s="14" t="str">
        <f t="shared" si="2"/>
        <v/>
      </c>
      <c r="F934" s="14" t="str">
        <f t="shared" si="3"/>
        <v/>
      </c>
      <c r="G934" s="15" t="str">
        <f t="shared" si="8"/>
        <v/>
      </c>
      <c r="H934" s="15" t="str">
        <f t="shared" si="9"/>
        <v/>
      </c>
      <c r="I934" s="16" t="str">
        <f t="shared" si="10"/>
        <v/>
      </c>
      <c r="J934" s="17"/>
      <c r="K934" s="14" t="str">
        <f t="array" ref="K934">IF(OR(H934="",H934="Selecciona.."),"",XLOOKUP(H934,Propiedades!B:B,Propiedades!C:C,"",0,1))</f>
        <v/>
      </c>
    </row>
    <row r="935">
      <c r="A935" s="14" t="str">
        <f t="shared" si="1"/>
        <v/>
      </c>
      <c r="B935" s="14" t="str">
        <f t="array" ref="B935">IF(OR(G935="",G935="Selecciona.."),"",XLOOKUP(G935,Productos!E:E,Productos!A:A,"",0,1))</f>
        <v/>
      </c>
      <c r="C935" s="14" t="str">
        <f t="array" ref="C935">IF(B935="","",SUMIF(Implementos!B:B,XLOOKUP(B935,Productos!A:A,Productos!F:F,"",0,1),Implementos!A:A))</f>
        <v/>
      </c>
      <c r="D935" s="14" t="str">
        <f t="array" ref="D935">IF(OR(H935="",H935="Selecciona.."),"",XLOOKUP(H935,Propiedades!B:B,Propiedades!A:A,"",0,1))</f>
        <v/>
      </c>
      <c r="E935" s="14" t="str">
        <f t="shared" si="2"/>
        <v/>
      </c>
      <c r="F935" s="14" t="str">
        <f t="shared" si="3"/>
        <v/>
      </c>
      <c r="G935" s="15" t="str">
        <f t="shared" si="8"/>
        <v/>
      </c>
      <c r="H935" s="15" t="str">
        <f t="shared" si="9"/>
        <v/>
      </c>
      <c r="I935" s="16" t="str">
        <f t="shared" si="10"/>
        <v/>
      </c>
      <c r="J935" s="17"/>
      <c r="K935" s="14" t="str">
        <f t="array" ref="K935">IF(OR(H935="",H935="Selecciona.."),"",XLOOKUP(H935,Propiedades!B:B,Propiedades!C:C,"",0,1))</f>
        <v/>
      </c>
    </row>
    <row r="936">
      <c r="A936" s="14" t="str">
        <f t="shared" si="1"/>
        <v/>
      </c>
      <c r="B936" s="14" t="str">
        <f t="array" ref="B936">IF(OR(G936="",G936="Selecciona.."),"",XLOOKUP(G936,Productos!E:E,Productos!A:A,"",0,1))</f>
        <v/>
      </c>
      <c r="C936" s="14" t="str">
        <f t="array" ref="C936">IF(B936="","",SUMIF(Implementos!B:B,XLOOKUP(B936,Productos!A:A,Productos!F:F,"",0,1),Implementos!A:A))</f>
        <v/>
      </c>
      <c r="D936" s="14" t="str">
        <f t="array" ref="D936">IF(OR(H936="",H936="Selecciona.."),"",XLOOKUP(H936,Propiedades!B:B,Propiedades!A:A,"",0,1))</f>
        <v/>
      </c>
      <c r="E936" s="14" t="str">
        <f t="shared" si="2"/>
        <v/>
      </c>
      <c r="F936" s="14" t="str">
        <f t="shared" si="3"/>
        <v/>
      </c>
      <c r="G936" s="15" t="str">
        <f t="shared" si="8"/>
        <v/>
      </c>
      <c r="H936" s="15" t="str">
        <f t="shared" si="9"/>
        <v/>
      </c>
      <c r="I936" s="16" t="str">
        <f t="shared" si="10"/>
        <v/>
      </c>
      <c r="J936" s="17"/>
      <c r="K936" s="14" t="str">
        <f t="array" ref="K936">IF(OR(H936="",H936="Selecciona.."),"",XLOOKUP(H936,Propiedades!B:B,Propiedades!C:C,"",0,1))</f>
        <v/>
      </c>
    </row>
    <row r="937">
      <c r="A937" s="14" t="str">
        <f t="shared" si="1"/>
        <v/>
      </c>
      <c r="B937" s="14" t="str">
        <f t="array" ref="B937">IF(OR(G937="",G937="Selecciona.."),"",XLOOKUP(G937,Productos!E:E,Productos!A:A,"",0,1))</f>
        <v/>
      </c>
      <c r="C937" s="14" t="str">
        <f t="array" ref="C937">IF(B937="","",SUMIF(Implementos!B:B,XLOOKUP(B937,Productos!A:A,Productos!F:F,"",0,1),Implementos!A:A))</f>
        <v/>
      </c>
      <c r="D937" s="14" t="str">
        <f t="array" ref="D937">IF(OR(H937="",H937="Selecciona.."),"",XLOOKUP(H937,Propiedades!B:B,Propiedades!A:A,"",0,1))</f>
        <v/>
      </c>
      <c r="E937" s="14" t="str">
        <f t="shared" si="2"/>
        <v/>
      </c>
      <c r="F937" s="14" t="str">
        <f t="shared" si="3"/>
        <v/>
      </c>
      <c r="G937" s="15" t="str">
        <f t="shared" si="8"/>
        <v/>
      </c>
      <c r="H937" s="15" t="str">
        <f t="shared" si="9"/>
        <v/>
      </c>
      <c r="I937" s="16" t="str">
        <f t="shared" si="10"/>
        <v/>
      </c>
      <c r="J937" s="17"/>
      <c r="K937" s="14" t="str">
        <f t="array" ref="K937">IF(OR(H937="",H937="Selecciona.."),"",XLOOKUP(H937,Propiedades!B:B,Propiedades!C:C,"",0,1))</f>
        <v/>
      </c>
    </row>
    <row r="938">
      <c r="A938" s="14" t="str">
        <f t="shared" si="1"/>
        <v/>
      </c>
      <c r="B938" s="14" t="str">
        <f t="array" ref="B938">IF(OR(G938="",G938="Selecciona.."),"",XLOOKUP(G938,Productos!E:E,Productos!A:A,"",0,1))</f>
        <v/>
      </c>
      <c r="C938" s="14" t="str">
        <f t="array" ref="C938">IF(B938="","",SUMIF(Implementos!B:B,XLOOKUP(B938,Productos!A:A,Productos!F:F,"",0,1),Implementos!A:A))</f>
        <v/>
      </c>
      <c r="D938" s="14" t="str">
        <f t="array" ref="D938">IF(OR(H938="",H938="Selecciona.."),"",XLOOKUP(H938,Propiedades!B:B,Propiedades!A:A,"",0,1))</f>
        <v/>
      </c>
      <c r="E938" s="14" t="str">
        <f t="shared" si="2"/>
        <v/>
      </c>
      <c r="F938" s="14" t="str">
        <f t="shared" si="3"/>
        <v/>
      </c>
      <c r="G938" s="15" t="str">
        <f t="shared" si="8"/>
        <v/>
      </c>
      <c r="H938" s="15" t="str">
        <f t="shared" si="9"/>
        <v/>
      </c>
      <c r="I938" s="16" t="str">
        <f t="shared" si="10"/>
        <v/>
      </c>
      <c r="J938" s="17"/>
      <c r="K938" s="14" t="str">
        <f t="array" ref="K938">IF(OR(H938="",H938="Selecciona.."),"",XLOOKUP(H938,Propiedades!B:B,Propiedades!C:C,"",0,1))</f>
        <v/>
      </c>
    </row>
    <row r="939">
      <c r="A939" s="14" t="str">
        <f t="shared" si="1"/>
        <v/>
      </c>
      <c r="B939" s="14" t="str">
        <f t="array" ref="B939">IF(OR(G939="",G939="Selecciona.."),"",XLOOKUP(G939,Productos!E:E,Productos!A:A,"",0,1))</f>
        <v/>
      </c>
      <c r="C939" s="14" t="str">
        <f t="array" ref="C939">IF(B939="","",SUMIF(Implementos!B:B,XLOOKUP(B939,Productos!A:A,Productos!F:F,"",0,1),Implementos!A:A))</f>
        <v/>
      </c>
      <c r="D939" s="14" t="str">
        <f t="array" ref="D939">IF(OR(H939="",H939="Selecciona.."),"",XLOOKUP(H939,Propiedades!B:B,Propiedades!A:A,"",0,1))</f>
        <v/>
      </c>
      <c r="E939" s="14" t="str">
        <f t="shared" si="2"/>
        <v/>
      </c>
      <c r="F939" s="14" t="str">
        <f t="shared" si="3"/>
        <v/>
      </c>
      <c r="G939" s="15" t="str">
        <f t="shared" si="8"/>
        <v/>
      </c>
      <c r="H939" s="15" t="str">
        <f t="shared" si="9"/>
        <v/>
      </c>
      <c r="I939" s="16" t="str">
        <f t="shared" si="10"/>
        <v/>
      </c>
      <c r="J939" s="17"/>
      <c r="K939" s="14" t="str">
        <f t="array" ref="K939">IF(OR(H939="",H939="Selecciona.."),"",XLOOKUP(H939,Propiedades!B:B,Propiedades!C:C,"",0,1))</f>
        <v/>
      </c>
    </row>
    <row r="940">
      <c r="A940" s="14" t="str">
        <f t="shared" si="1"/>
        <v/>
      </c>
      <c r="B940" s="14" t="str">
        <f t="array" ref="B940">IF(OR(G940="",G940="Selecciona.."),"",XLOOKUP(G940,Productos!E:E,Productos!A:A,"",0,1))</f>
        <v/>
      </c>
      <c r="C940" s="14" t="str">
        <f t="array" ref="C940">IF(B940="","",SUMIF(Implementos!B:B,XLOOKUP(B940,Productos!A:A,Productos!F:F,"",0,1),Implementos!A:A))</f>
        <v/>
      </c>
      <c r="D940" s="14" t="str">
        <f t="array" ref="D940">IF(OR(H940="",H940="Selecciona.."),"",XLOOKUP(H940,Propiedades!B:B,Propiedades!A:A,"",0,1))</f>
        <v/>
      </c>
      <c r="E940" s="14" t="str">
        <f t="shared" si="2"/>
        <v/>
      </c>
      <c r="F940" s="14" t="str">
        <f t="shared" si="3"/>
        <v/>
      </c>
      <c r="G940" s="15" t="str">
        <f t="shared" si="8"/>
        <v/>
      </c>
      <c r="H940" s="15" t="str">
        <f t="shared" si="9"/>
        <v/>
      </c>
      <c r="I940" s="16" t="str">
        <f t="shared" si="10"/>
        <v/>
      </c>
      <c r="J940" s="17"/>
      <c r="K940" s="14" t="str">
        <f t="array" ref="K940">IF(OR(H940="",H940="Selecciona.."),"",XLOOKUP(H940,Propiedades!B:B,Propiedades!C:C,"",0,1))</f>
        <v/>
      </c>
    </row>
    <row r="941">
      <c r="A941" s="14" t="str">
        <f t="shared" si="1"/>
        <v/>
      </c>
      <c r="B941" s="14" t="str">
        <f t="array" ref="B941">IF(OR(G941="",G941="Selecciona.."),"",XLOOKUP(G941,Productos!E:E,Productos!A:A,"",0,1))</f>
        <v/>
      </c>
      <c r="C941" s="14" t="str">
        <f t="array" ref="C941">IF(B941="","",SUMIF(Implementos!B:B,XLOOKUP(B941,Productos!A:A,Productos!F:F,"",0,1),Implementos!A:A))</f>
        <v/>
      </c>
      <c r="D941" s="14" t="str">
        <f t="array" ref="D941">IF(OR(H941="",H941="Selecciona.."),"",XLOOKUP(H941,Propiedades!B:B,Propiedades!A:A,"",0,1))</f>
        <v/>
      </c>
      <c r="E941" s="14" t="str">
        <f t="shared" si="2"/>
        <v/>
      </c>
      <c r="F941" s="14" t="str">
        <f t="shared" si="3"/>
        <v/>
      </c>
      <c r="G941" s="15" t="str">
        <f t="shared" si="8"/>
        <v/>
      </c>
      <c r="H941" s="15" t="str">
        <f t="shared" si="9"/>
        <v/>
      </c>
      <c r="I941" s="16" t="str">
        <f t="shared" si="10"/>
        <v/>
      </c>
      <c r="J941" s="17"/>
      <c r="K941" s="14" t="str">
        <f t="array" ref="K941">IF(OR(H941="",H941="Selecciona.."),"",XLOOKUP(H941,Propiedades!B:B,Propiedades!C:C,"",0,1))</f>
        <v/>
      </c>
    </row>
    <row r="942">
      <c r="A942" s="14" t="str">
        <f t="shared" si="1"/>
        <v/>
      </c>
      <c r="B942" s="14" t="str">
        <f t="array" ref="B942">IF(OR(G942="",G942="Selecciona.."),"",XLOOKUP(G942,Productos!E:E,Productos!A:A,"",0,1))</f>
        <v/>
      </c>
      <c r="C942" s="14" t="str">
        <f t="array" ref="C942">IF(B942="","",SUMIF(Implementos!B:B,XLOOKUP(B942,Productos!A:A,Productos!F:F,"",0,1),Implementos!A:A))</f>
        <v/>
      </c>
      <c r="D942" s="14" t="str">
        <f t="array" ref="D942">IF(OR(H942="",H942="Selecciona.."),"",XLOOKUP(H942,Propiedades!B:B,Propiedades!A:A,"",0,1))</f>
        <v/>
      </c>
      <c r="E942" s="14" t="str">
        <f t="shared" si="2"/>
        <v/>
      </c>
      <c r="F942" s="14" t="str">
        <f t="shared" si="3"/>
        <v/>
      </c>
      <c r="G942" s="15" t="str">
        <f t="shared" si="8"/>
        <v/>
      </c>
      <c r="H942" s="15" t="str">
        <f t="shared" si="9"/>
        <v/>
      </c>
      <c r="I942" s="16" t="str">
        <f t="shared" si="10"/>
        <v/>
      </c>
      <c r="J942" s="17"/>
      <c r="K942" s="14" t="str">
        <f t="array" ref="K942">IF(OR(H942="",H942="Selecciona.."),"",XLOOKUP(H942,Propiedades!B:B,Propiedades!C:C,"",0,1))</f>
        <v/>
      </c>
    </row>
    <row r="943">
      <c r="A943" s="14" t="str">
        <f t="shared" si="1"/>
        <v/>
      </c>
      <c r="B943" s="14" t="str">
        <f t="array" ref="B943">IF(OR(G943="",G943="Selecciona.."),"",XLOOKUP(G943,Productos!E:E,Productos!A:A,"",0,1))</f>
        <v/>
      </c>
      <c r="C943" s="14" t="str">
        <f t="array" ref="C943">IF(B943="","",SUMIF(Implementos!B:B,XLOOKUP(B943,Productos!A:A,Productos!F:F,"",0,1),Implementos!A:A))</f>
        <v/>
      </c>
      <c r="D943" s="14" t="str">
        <f t="array" ref="D943">IF(OR(H943="",H943="Selecciona.."),"",XLOOKUP(H943,Propiedades!B:B,Propiedades!A:A,"",0,1))</f>
        <v/>
      </c>
      <c r="E943" s="14" t="str">
        <f t="shared" si="2"/>
        <v/>
      </c>
      <c r="F943" s="14" t="str">
        <f t="shared" si="3"/>
        <v/>
      </c>
      <c r="G943" s="15" t="str">
        <f t="shared" si="8"/>
        <v/>
      </c>
      <c r="H943" s="15" t="str">
        <f t="shared" si="9"/>
        <v/>
      </c>
      <c r="I943" s="16" t="str">
        <f t="shared" si="10"/>
        <v/>
      </c>
      <c r="J943" s="17"/>
      <c r="K943" s="14" t="str">
        <f t="array" ref="K943">IF(OR(H943="",H943="Selecciona.."),"",XLOOKUP(H943,Propiedades!B:B,Propiedades!C:C,"",0,1))</f>
        <v/>
      </c>
    </row>
    <row r="944">
      <c r="A944" s="14" t="str">
        <f t="shared" si="1"/>
        <v/>
      </c>
      <c r="B944" s="14" t="str">
        <f t="array" ref="B944">IF(OR(G944="",G944="Selecciona.."),"",XLOOKUP(G944,Productos!E:E,Productos!A:A,"",0,1))</f>
        <v/>
      </c>
      <c r="C944" s="14" t="str">
        <f t="array" ref="C944">IF(B944="","",SUMIF(Implementos!B:B,XLOOKUP(B944,Productos!A:A,Productos!F:F,"",0,1),Implementos!A:A))</f>
        <v/>
      </c>
      <c r="D944" s="14" t="str">
        <f t="array" ref="D944">IF(OR(H944="",H944="Selecciona.."),"",XLOOKUP(H944,Propiedades!B:B,Propiedades!A:A,"",0,1))</f>
        <v/>
      </c>
      <c r="E944" s="14" t="str">
        <f t="shared" si="2"/>
        <v/>
      </c>
      <c r="F944" s="14" t="str">
        <f t="shared" si="3"/>
        <v/>
      </c>
      <c r="G944" s="15" t="str">
        <f t="shared" si="8"/>
        <v/>
      </c>
      <c r="H944" s="15" t="str">
        <f t="shared" si="9"/>
        <v/>
      </c>
      <c r="I944" s="16" t="str">
        <f t="shared" si="10"/>
        <v/>
      </c>
      <c r="J944" s="17"/>
      <c r="K944" s="14" t="str">
        <f t="array" ref="K944">IF(OR(H944="",H944="Selecciona.."),"",XLOOKUP(H944,Propiedades!B:B,Propiedades!C:C,"",0,1))</f>
        <v/>
      </c>
    </row>
    <row r="945">
      <c r="A945" s="14" t="str">
        <f t="shared" si="1"/>
        <v/>
      </c>
      <c r="B945" s="14" t="str">
        <f t="array" ref="B945">IF(OR(G945="",G945="Selecciona.."),"",XLOOKUP(G945,Productos!E:E,Productos!A:A,"",0,1))</f>
        <v/>
      </c>
      <c r="C945" s="14" t="str">
        <f t="array" ref="C945">IF(B945="","",SUMIF(Implementos!B:B,XLOOKUP(B945,Productos!A:A,Productos!F:F,"",0,1),Implementos!A:A))</f>
        <v/>
      </c>
      <c r="D945" s="14" t="str">
        <f t="array" ref="D945">IF(OR(H945="",H945="Selecciona.."),"",XLOOKUP(H945,Propiedades!B:B,Propiedades!A:A,"",0,1))</f>
        <v/>
      </c>
      <c r="E945" s="14" t="str">
        <f t="shared" si="2"/>
        <v/>
      </c>
      <c r="F945" s="14" t="str">
        <f t="shared" si="3"/>
        <v/>
      </c>
      <c r="G945" s="15" t="str">
        <f t="shared" si="8"/>
        <v/>
      </c>
      <c r="H945" s="15" t="str">
        <f t="shared" si="9"/>
        <v/>
      </c>
      <c r="I945" s="16" t="str">
        <f t="shared" si="10"/>
        <v/>
      </c>
      <c r="J945" s="17"/>
      <c r="K945" s="14" t="str">
        <f t="array" ref="K945">IF(OR(H945="",H945="Selecciona.."),"",XLOOKUP(H945,Propiedades!B:B,Propiedades!C:C,"",0,1))</f>
        <v/>
      </c>
    </row>
    <row r="946">
      <c r="A946" s="14" t="str">
        <f t="shared" si="1"/>
        <v/>
      </c>
      <c r="B946" s="14" t="str">
        <f t="array" ref="B946">IF(OR(G946="",G946="Selecciona.."),"",XLOOKUP(G946,Productos!E:E,Productos!A:A,"",0,1))</f>
        <v/>
      </c>
      <c r="C946" s="14" t="str">
        <f t="array" ref="C946">IF(B946="","",SUMIF(Implementos!B:B,XLOOKUP(B946,Productos!A:A,Productos!F:F,"",0,1),Implementos!A:A))</f>
        <v/>
      </c>
      <c r="D946" s="14" t="str">
        <f t="array" ref="D946">IF(OR(H946="",H946="Selecciona.."),"",XLOOKUP(H946,Propiedades!B:B,Propiedades!A:A,"",0,1))</f>
        <v/>
      </c>
      <c r="E946" s="14" t="str">
        <f t="shared" si="2"/>
        <v/>
      </c>
      <c r="F946" s="14" t="str">
        <f t="shared" si="3"/>
        <v/>
      </c>
      <c r="G946" s="15" t="str">
        <f t="shared" si="8"/>
        <v/>
      </c>
      <c r="H946" s="15" t="str">
        <f t="shared" si="9"/>
        <v/>
      </c>
      <c r="I946" s="16" t="str">
        <f t="shared" si="10"/>
        <v/>
      </c>
      <c r="J946" s="17"/>
      <c r="K946" s="14" t="str">
        <f t="array" ref="K946">IF(OR(H946="",H946="Selecciona.."),"",XLOOKUP(H946,Propiedades!B:B,Propiedades!C:C,"",0,1))</f>
        <v/>
      </c>
    </row>
    <row r="947">
      <c r="A947" s="14" t="str">
        <f t="shared" si="1"/>
        <v/>
      </c>
      <c r="B947" s="14" t="str">
        <f t="array" ref="B947">IF(OR(G947="",G947="Selecciona.."),"",XLOOKUP(G947,Productos!E:E,Productos!A:A,"",0,1))</f>
        <v/>
      </c>
      <c r="C947" s="14" t="str">
        <f t="array" ref="C947">IF(B947="","",SUMIF(Implementos!B:B,XLOOKUP(B947,Productos!A:A,Productos!F:F,"",0,1),Implementos!A:A))</f>
        <v/>
      </c>
      <c r="D947" s="14" t="str">
        <f t="array" ref="D947">IF(OR(H947="",H947="Selecciona.."),"",XLOOKUP(H947,Propiedades!B:B,Propiedades!A:A,"",0,1))</f>
        <v/>
      </c>
      <c r="E947" s="14" t="str">
        <f t="shared" si="2"/>
        <v/>
      </c>
      <c r="F947" s="14" t="str">
        <f t="shared" si="3"/>
        <v/>
      </c>
      <c r="G947" s="15" t="str">
        <f t="shared" si="8"/>
        <v/>
      </c>
      <c r="H947" s="15" t="str">
        <f t="shared" si="9"/>
        <v/>
      </c>
      <c r="I947" s="16" t="str">
        <f t="shared" si="10"/>
        <v/>
      </c>
      <c r="J947" s="17"/>
      <c r="K947" s="14" t="str">
        <f t="array" ref="K947">IF(OR(H947="",H947="Selecciona.."),"",XLOOKUP(H947,Propiedades!B:B,Propiedades!C:C,"",0,1))</f>
        <v/>
      </c>
    </row>
    <row r="948">
      <c r="A948" s="14" t="str">
        <f t="shared" si="1"/>
        <v/>
      </c>
      <c r="B948" s="14" t="str">
        <f t="array" ref="B948">IF(OR(G948="",G948="Selecciona.."),"",XLOOKUP(G948,Productos!E:E,Productos!A:A,"",0,1))</f>
        <v/>
      </c>
      <c r="C948" s="14" t="str">
        <f t="array" ref="C948">IF(B948="","",SUMIF(Implementos!B:B,XLOOKUP(B948,Productos!A:A,Productos!F:F,"",0,1),Implementos!A:A))</f>
        <v/>
      </c>
      <c r="D948" s="14" t="str">
        <f t="array" ref="D948">IF(OR(H948="",H948="Selecciona.."),"",XLOOKUP(H948,Propiedades!B:B,Propiedades!A:A,"",0,1))</f>
        <v/>
      </c>
      <c r="E948" s="14" t="str">
        <f t="shared" si="2"/>
        <v/>
      </c>
      <c r="F948" s="14" t="str">
        <f t="shared" si="3"/>
        <v/>
      </c>
      <c r="G948" s="15" t="str">
        <f t="shared" si="8"/>
        <v/>
      </c>
      <c r="H948" s="15" t="str">
        <f t="shared" si="9"/>
        <v/>
      </c>
      <c r="I948" s="16" t="str">
        <f t="shared" si="10"/>
        <v/>
      </c>
      <c r="J948" s="17"/>
      <c r="K948" s="14" t="str">
        <f t="array" ref="K948">IF(OR(H948="",H948="Selecciona.."),"",XLOOKUP(H948,Propiedades!B:B,Propiedades!C:C,"",0,1))</f>
        <v/>
      </c>
    </row>
    <row r="949">
      <c r="A949" s="14" t="str">
        <f t="shared" si="1"/>
        <v/>
      </c>
      <c r="B949" s="14" t="str">
        <f t="array" ref="B949">IF(OR(G949="",G949="Selecciona.."),"",XLOOKUP(G949,Productos!E:E,Productos!A:A,"",0,1))</f>
        <v/>
      </c>
      <c r="C949" s="14" t="str">
        <f t="array" ref="C949">IF(B949="","",SUMIF(Implementos!B:B,XLOOKUP(B949,Productos!A:A,Productos!F:F,"",0,1),Implementos!A:A))</f>
        <v/>
      </c>
      <c r="D949" s="14" t="str">
        <f t="array" ref="D949">IF(OR(H949="",H949="Selecciona.."),"",XLOOKUP(H949,Propiedades!B:B,Propiedades!A:A,"",0,1))</f>
        <v/>
      </c>
      <c r="E949" s="14" t="str">
        <f t="shared" si="2"/>
        <v/>
      </c>
      <c r="F949" s="14" t="str">
        <f t="shared" si="3"/>
        <v/>
      </c>
      <c r="G949" s="15" t="str">
        <f t="shared" si="8"/>
        <v/>
      </c>
      <c r="H949" s="15" t="str">
        <f t="shared" si="9"/>
        <v/>
      </c>
      <c r="I949" s="16" t="str">
        <f t="shared" si="10"/>
        <v/>
      </c>
      <c r="J949" s="17"/>
      <c r="K949" s="14" t="str">
        <f t="array" ref="K949">IF(OR(H949="",H949="Selecciona.."),"",XLOOKUP(H949,Propiedades!B:B,Propiedades!C:C,"",0,1))</f>
        <v/>
      </c>
    </row>
    <row r="950">
      <c r="A950" s="14" t="str">
        <f t="shared" si="1"/>
        <v/>
      </c>
      <c r="B950" s="14" t="str">
        <f t="array" ref="B950">IF(OR(G950="",G950="Selecciona.."),"",XLOOKUP(G950,Productos!E:E,Productos!A:A,"",0,1))</f>
        <v/>
      </c>
      <c r="C950" s="14" t="str">
        <f t="array" ref="C950">IF(B950="","",SUMIF(Implementos!B:B,XLOOKUP(B950,Productos!A:A,Productos!F:F,"",0,1),Implementos!A:A))</f>
        <v/>
      </c>
      <c r="D950" s="14" t="str">
        <f t="array" ref="D950">IF(OR(H950="",H950="Selecciona.."),"",XLOOKUP(H950,Propiedades!B:B,Propiedades!A:A,"",0,1))</f>
        <v/>
      </c>
      <c r="E950" s="14" t="str">
        <f t="shared" si="2"/>
        <v/>
      </c>
      <c r="F950" s="14" t="str">
        <f t="shared" si="3"/>
        <v/>
      </c>
      <c r="G950" s="15" t="str">
        <f t="shared" si="8"/>
        <v/>
      </c>
      <c r="H950" s="15" t="str">
        <f t="shared" si="9"/>
        <v/>
      </c>
      <c r="I950" s="16" t="str">
        <f t="shared" si="10"/>
        <v/>
      </c>
      <c r="J950" s="17"/>
      <c r="K950" s="14" t="str">
        <f t="array" ref="K950">IF(OR(H950="",H950="Selecciona.."),"",XLOOKUP(H950,Propiedades!B:B,Propiedades!C:C,"",0,1))</f>
        <v/>
      </c>
    </row>
    <row r="951">
      <c r="A951" s="14" t="str">
        <f t="shared" si="1"/>
        <v/>
      </c>
      <c r="B951" s="14" t="str">
        <f t="array" ref="B951">IF(OR(G951="",G951="Selecciona.."),"",XLOOKUP(G951,Productos!E:E,Productos!A:A,"",0,1))</f>
        <v/>
      </c>
      <c r="C951" s="14" t="str">
        <f t="array" ref="C951">IF(B951="","",SUMIF(Implementos!B:B,XLOOKUP(B951,Productos!A:A,Productos!F:F,"",0,1),Implementos!A:A))</f>
        <v/>
      </c>
      <c r="D951" s="14" t="str">
        <f t="array" ref="D951">IF(OR(H951="",H951="Selecciona.."),"",XLOOKUP(H951,Propiedades!B:B,Propiedades!A:A,"",0,1))</f>
        <v/>
      </c>
      <c r="E951" s="14" t="str">
        <f t="shared" si="2"/>
        <v/>
      </c>
      <c r="F951" s="14" t="str">
        <f t="shared" si="3"/>
        <v/>
      </c>
      <c r="G951" s="15" t="str">
        <f t="shared" si="8"/>
        <v/>
      </c>
      <c r="H951" s="15" t="str">
        <f t="shared" si="9"/>
        <v/>
      </c>
      <c r="I951" s="16" t="str">
        <f t="shared" si="10"/>
        <v/>
      </c>
      <c r="J951" s="17"/>
      <c r="K951" s="14" t="str">
        <f t="array" ref="K951">IF(OR(H951="",H951="Selecciona.."),"",XLOOKUP(H951,Propiedades!B:B,Propiedades!C:C,"",0,1))</f>
        <v/>
      </c>
    </row>
    <row r="952">
      <c r="A952" s="14" t="str">
        <f t="shared" si="1"/>
        <v/>
      </c>
      <c r="B952" s="14" t="str">
        <f t="array" ref="B952">IF(OR(G952="",G952="Selecciona.."),"",XLOOKUP(G952,Productos!E:E,Productos!A:A,"",0,1))</f>
        <v/>
      </c>
      <c r="C952" s="14" t="str">
        <f t="array" ref="C952">IF(B952="","",SUMIF(Implementos!B:B,XLOOKUP(B952,Productos!A:A,Productos!F:F,"",0,1),Implementos!A:A))</f>
        <v/>
      </c>
      <c r="D952" s="14" t="str">
        <f t="array" ref="D952">IF(OR(H952="",H952="Selecciona.."),"",XLOOKUP(H952,Propiedades!B:B,Propiedades!A:A,"",0,1))</f>
        <v/>
      </c>
      <c r="E952" s="14" t="str">
        <f t="shared" si="2"/>
        <v/>
      </c>
      <c r="F952" s="14" t="str">
        <f t="shared" si="3"/>
        <v/>
      </c>
      <c r="G952" s="15" t="str">
        <f t="shared" si="8"/>
        <v/>
      </c>
      <c r="H952" s="15" t="str">
        <f t="shared" si="9"/>
        <v/>
      </c>
      <c r="I952" s="16" t="str">
        <f t="shared" si="10"/>
        <v/>
      </c>
      <c r="J952" s="17"/>
      <c r="K952" s="14" t="str">
        <f t="array" ref="K952">IF(OR(H952="",H952="Selecciona.."),"",XLOOKUP(H952,Propiedades!B:B,Propiedades!C:C,"",0,1))</f>
        <v/>
      </c>
    </row>
    <row r="953">
      <c r="A953" s="14" t="str">
        <f t="shared" si="1"/>
        <v/>
      </c>
      <c r="B953" s="14" t="str">
        <f t="array" ref="B953">IF(OR(G953="",G953="Selecciona.."),"",XLOOKUP(G953,Productos!E:E,Productos!A:A,"",0,1))</f>
        <v/>
      </c>
      <c r="C953" s="14" t="str">
        <f t="array" ref="C953">IF(B953="","",SUMIF(Implementos!B:B,XLOOKUP(B953,Productos!A:A,Productos!F:F,"",0,1),Implementos!A:A))</f>
        <v/>
      </c>
      <c r="D953" s="14" t="str">
        <f t="array" ref="D953">IF(OR(H953="",H953="Selecciona.."),"",XLOOKUP(H953,Propiedades!B:B,Propiedades!A:A,"",0,1))</f>
        <v/>
      </c>
      <c r="E953" s="14" t="str">
        <f t="shared" si="2"/>
        <v/>
      </c>
      <c r="F953" s="14" t="str">
        <f t="shared" si="3"/>
        <v/>
      </c>
      <c r="G953" s="15" t="str">
        <f t="shared" si="8"/>
        <v/>
      </c>
      <c r="H953" s="15" t="str">
        <f t="shared" si="9"/>
        <v/>
      </c>
      <c r="I953" s="16" t="str">
        <f t="shared" si="10"/>
        <v/>
      </c>
      <c r="J953" s="17"/>
      <c r="K953" s="14" t="str">
        <f t="array" ref="K953">IF(OR(H953="",H953="Selecciona.."),"",XLOOKUP(H953,Propiedades!B:B,Propiedades!C:C,"",0,1))</f>
        <v/>
      </c>
    </row>
    <row r="954">
      <c r="A954" s="14" t="str">
        <f t="shared" si="1"/>
        <v/>
      </c>
      <c r="B954" s="14" t="str">
        <f t="array" ref="B954">IF(OR(G954="",G954="Selecciona.."),"",XLOOKUP(G954,Productos!E:E,Productos!A:A,"",0,1))</f>
        <v/>
      </c>
      <c r="C954" s="14" t="str">
        <f t="array" ref="C954">IF(B954="","",SUMIF(Implementos!B:B,XLOOKUP(B954,Productos!A:A,Productos!F:F,"",0,1),Implementos!A:A))</f>
        <v/>
      </c>
      <c r="D954" s="14" t="str">
        <f t="array" ref="D954">IF(OR(H954="",H954="Selecciona.."),"",XLOOKUP(H954,Propiedades!B:B,Propiedades!A:A,"",0,1))</f>
        <v/>
      </c>
      <c r="E954" s="14" t="str">
        <f t="shared" si="2"/>
        <v/>
      </c>
      <c r="F954" s="14" t="str">
        <f t="shared" si="3"/>
        <v/>
      </c>
      <c r="G954" s="15" t="str">
        <f t="shared" si="8"/>
        <v/>
      </c>
      <c r="H954" s="15" t="str">
        <f t="shared" si="9"/>
        <v/>
      </c>
      <c r="I954" s="16" t="str">
        <f t="shared" si="10"/>
        <v/>
      </c>
      <c r="J954" s="17"/>
      <c r="K954" s="14" t="str">
        <f t="array" ref="K954">IF(OR(H954="",H954="Selecciona.."),"",XLOOKUP(H954,Propiedades!B:B,Propiedades!C:C,"",0,1))</f>
        <v/>
      </c>
    </row>
    <row r="955">
      <c r="A955" s="14" t="str">
        <f t="shared" si="1"/>
        <v/>
      </c>
      <c r="B955" s="14" t="str">
        <f t="array" ref="B955">IF(OR(G955="",G955="Selecciona.."),"",XLOOKUP(G955,Productos!E:E,Productos!A:A,"",0,1))</f>
        <v/>
      </c>
      <c r="C955" s="14" t="str">
        <f t="array" ref="C955">IF(B955="","",SUMIF(Implementos!B:B,XLOOKUP(B955,Productos!A:A,Productos!F:F,"",0,1),Implementos!A:A))</f>
        <v/>
      </c>
      <c r="D955" s="14" t="str">
        <f t="array" ref="D955">IF(OR(H955="",H955="Selecciona.."),"",XLOOKUP(H955,Propiedades!B:B,Propiedades!A:A,"",0,1))</f>
        <v/>
      </c>
      <c r="E955" s="14" t="str">
        <f t="shared" si="2"/>
        <v/>
      </c>
      <c r="F955" s="14" t="str">
        <f t="shared" si="3"/>
        <v/>
      </c>
      <c r="G955" s="15" t="str">
        <f t="shared" si="8"/>
        <v/>
      </c>
      <c r="H955" s="15" t="str">
        <f t="shared" si="9"/>
        <v/>
      </c>
      <c r="I955" s="16" t="str">
        <f t="shared" si="10"/>
        <v/>
      </c>
      <c r="J955" s="17"/>
      <c r="K955" s="14" t="str">
        <f t="array" ref="K955">IF(OR(H955="",H955="Selecciona.."),"",XLOOKUP(H955,Propiedades!B:B,Propiedades!C:C,"",0,1))</f>
        <v/>
      </c>
    </row>
    <row r="956">
      <c r="A956" s="14" t="str">
        <f t="shared" si="1"/>
        <v/>
      </c>
      <c r="B956" s="14" t="str">
        <f t="array" ref="B956">IF(OR(G956="",G956="Selecciona.."),"",XLOOKUP(G956,Productos!E:E,Productos!A:A,"",0,1))</f>
        <v/>
      </c>
      <c r="C956" s="14" t="str">
        <f t="array" ref="C956">IF(B956="","",SUMIF(Implementos!B:B,XLOOKUP(B956,Productos!A:A,Productos!F:F,"",0,1),Implementos!A:A))</f>
        <v/>
      </c>
      <c r="D956" s="14" t="str">
        <f t="array" ref="D956">IF(OR(H956="",H956="Selecciona.."),"",XLOOKUP(H956,Propiedades!B:B,Propiedades!A:A,"",0,1))</f>
        <v/>
      </c>
      <c r="E956" s="14" t="str">
        <f t="shared" si="2"/>
        <v/>
      </c>
      <c r="F956" s="14" t="str">
        <f t="shared" si="3"/>
        <v/>
      </c>
      <c r="G956" s="15" t="str">
        <f t="shared" si="8"/>
        <v/>
      </c>
      <c r="H956" s="15" t="str">
        <f t="shared" si="9"/>
        <v/>
      </c>
      <c r="I956" s="16" t="str">
        <f t="shared" si="10"/>
        <v/>
      </c>
      <c r="J956" s="17"/>
      <c r="K956" s="14" t="str">
        <f t="array" ref="K956">IF(OR(H956="",H956="Selecciona.."),"",XLOOKUP(H956,Propiedades!B:B,Propiedades!C:C,"",0,1))</f>
        <v/>
      </c>
    </row>
    <row r="957">
      <c r="A957" s="14" t="str">
        <f t="shared" si="1"/>
        <v/>
      </c>
      <c r="B957" s="14" t="str">
        <f t="array" ref="B957">IF(OR(G957="",G957="Selecciona.."),"",XLOOKUP(G957,Productos!E:E,Productos!A:A,"",0,1))</f>
        <v/>
      </c>
      <c r="C957" s="14" t="str">
        <f t="array" ref="C957">IF(B957="","",SUMIF(Implementos!B:B,XLOOKUP(B957,Productos!A:A,Productos!F:F,"",0,1),Implementos!A:A))</f>
        <v/>
      </c>
      <c r="D957" s="14" t="str">
        <f t="array" ref="D957">IF(OR(H957="",H957="Selecciona.."),"",XLOOKUP(H957,Propiedades!B:B,Propiedades!A:A,"",0,1))</f>
        <v/>
      </c>
      <c r="E957" s="14" t="str">
        <f t="shared" si="2"/>
        <v/>
      </c>
      <c r="F957" s="14" t="str">
        <f t="shared" si="3"/>
        <v/>
      </c>
      <c r="G957" s="15" t="str">
        <f t="shared" si="8"/>
        <v/>
      </c>
      <c r="H957" s="15" t="str">
        <f t="shared" si="9"/>
        <v/>
      </c>
      <c r="I957" s="16" t="str">
        <f t="shared" si="10"/>
        <v/>
      </c>
      <c r="J957" s="17"/>
      <c r="K957" s="14" t="str">
        <f t="array" ref="K957">IF(OR(H957="",H957="Selecciona.."),"",XLOOKUP(H957,Propiedades!B:B,Propiedades!C:C,"",0,1))</f>
        <v/>
      </c>
    </row>
    <row r="958">
      <c r="A958" s="14" t="str">
        <f t="shared" si="1"/>
        <v/>
      </c>
      <c r="B958" s="14" t="str">
        <f t="array" ref="B958">IF(OR(G958="",G958="Selecciona.."),"",XLOOKUP(G958,Productos!E:E,Productos!A:A,"",0,1))</f>
        <v/>
      </c>
      <c r="C958" s="14" t="str">
        <f t="array" ref="C958">IF(B958="","",SUMIF(Implementos!B:B,XLOOKUP(B958,Productos!A:A,Productos!F:F,"",0,1),Implementos!A:A))</f>
        <v/>
      </c>
      <c r="D958" s="14" t="str">
        <f t="array" ref="D958">IF(OR(H958="",H958="Selecciona.."),"",XLOOKUP(H958,Propiedades!B:B,Propiedades!A:A,"",0,1))</f>
        <v/>
      </c>
      <c r="E958" s="14" t="str">
        <f t="shared" si="2"/>
        <v/>
      </c>
      <c r="F958" s="14" t="str">
        <f t="shared" si="3"/>
        <v/>
      </c>
      <c r="G958" s="15" t="str">
        <f t="shared" si="8"/>
        <v/>
      </c>
      <c r="H958" s="15" t="str">
        <f t="shared" si="9"/>
        <v/>
      </c>
      <c r="I958" s="16" t="str">
        <f t="shared" si="10"/>
        <v/>
      </c>
      <c r="J958" s="17"/>
      <c r="K958" s="14" t="str">
        <f t="array" ref="K958">IF(OR(H958="",H958="Selecciona.."),"",XLOOKUP(H958,Propiedades!B:B,Propiedades!C:C,"",0,1))</f>
        <v/>
      </c>
    </row>
    <row r="959">
      <c r="A959" s="14" t="str">
        <f t="shared" si="1"/>
        <v/>
      </c>
      <c r="B959" s="14" t="str">
        <f t="array" ref="B959">IF(OR(G959="",G959="Selecciona.."),"",XLOOKUP(G959,Productos!E:E,Productos!A:A,"",0,1))</f>
        <v/>
      </c>
      <c r="C959" s="14" t="str">
        <f t="array" ref="C959">IF(B959="","",SUMIF(Implementos!B:B,XLOOKUP(B959,Productos!A:A,Productos!F:F,"",0,1),Implementos!A:A))</f>
        <v/>
      </c>
      <c r="D959" s="14" t="str">
        <f t="array" ref="D959">IF(OR(H959="",H959="Selecciona.."),"",XLOOKUP(H959,Propiedades!B:B,Propiedades!A:A,"",0,1))</f>
        <v/>
      </c>
      <c r="E959" s="14" t="str">
        <f t="shared" si="2"/>
        <v/>
      </c>
      <c r="F959" s="14" t="str">
        <f t="shared" si="3"/>
        <v/>
      </c>
      <c r="G959" s="15" t="str">
        <f t="shared" si="8"/>
        <v/>
      </c>
      <c r="H959" s="15" t="str">
        <f t="shared" si="9"/>
        <v/>
      </c>
      <c r="I959" s="16" t="str">
        <f t="shared" si="10"/>
        <v/>
      </c>
      <c r="J959" s="17"/>
      <c r="K959" s="14" t="str">
        <f t="array" ref="K959">IF(OR(H959="",H959="Selecciona.."),"",XLOOKUP(H959,Propiedades!B:B,Propiedades!C:C,"",0,1))</f>
        <v/>
      </c>
    </row>
    <row r="960">
      <c r="A960" s="14" t="str">
        <f t="shared" si="1"/>
        <v/>
      </c>
      <c r="B960" s="14" t="str">
        <f t="array" ref="B960">IF(OR(G960="",G960="Selecciona.."),"",XLOOKUP(G960,Productos!E:E,Productos!A:A,"",0,1))</f>
        <v/>
      </c>
      <c r="C960" s="14" t="str">
        <f t="array" ref="C960">IF(B960="","",SUMIF(Implementos!B:B,XLOOKUP(B960,Productos!A:A,Productos!F:F,"",0,1),Implementos!A:A))</f>
        <v/>
      </c>
      <c r="D960" s="14" t="str">
        <f t="array" ref="D960">IF(OR(H960="",H960="Selecciona.."),"",XLOOKUP(H960,Propiedades!B:B,Propiedades!A:A,"",0,1))</f>
        <v/>
      </c>
      <c r="E960" s="14" t="str">
        <f t="shared" si="2"/>
        <v/>
      </c>
      <c r="F960" s="14" t="str">
        <f t="shared" si="3"/>
        <v/>
      </c>
      <c r="G960" s="15" t="str">
        <f t="shared" si="8"/>
        <v/>
      </c>
      <c r="H960" s="15" t="str">
        <f t="shared" si="9"/>
        <v/>
      </c>
      <c r="I960" s="16" t="str">
        <f t="shared" si="10"/>
        <v/>
      </c>
      <c r="J960" s="17"/>
      <c r="K960" s="14" t="str">
        <f t="array" ref="K960">IF(OR(H960="",H960="Selecciona.."),"",XLOOKUP(H960,Propiedades!B:B,Propiedades!C:C,"",0,1))</f>
        <v/>
      </c>
    </row>
    <row r="961">
      <c r="A961" s="14" t="str">
        <f t="shared" si="1"/>
        <v/>
      </c>
      <c r="B961" s="14" t="str">
        <f t="array" ref="B961">IF(OR(G961="",G961="Selecciona.."),"",XLOOKUP(G961,Productos!E:E,Productos!A:A,"",0,1))</f>
        <v/>
      </c>
      <c r="C961" s="14" t="str">
        <f t="array" ref="C961">IF(B961="","",SUMIF(Implementos!B:B,XLOOKUP(B961,Productos!A:A,Productos!F:F,"",0,1),Implementos!A:A))</f>
        <v/>
      </c>
      <c r="D961" s="14" t="str">
        <f t="array" ref="D961">IF(OR(H961="",H961="Selecciona.."),"",XLOOKUP(H961,Propiedades!B:B,Propiedades!A:A,"",0,1))</f>
        <v/>
      </c>
      <c r="E961" s="14" t="str">
        <f t="shared" si="2"/>
        <v/>
      </c>
      <c r="F961" s="14" t="str">
        <f t="shared" si="3"/>
        <v/>
      </c>
      <c r="G961" s="15" t="str">
        <f t="shared" si="8"/>
        <v/>
      </c>
      <c r="H961" s="15" t="str">
        <f t="shared" si="9"/>
        <v/>
      </c>
      <c r="I961" s="16" t="str">
        <f t="shared" si="10"/>
        <v/>
      </c>
      <c r="J961" s="17"/>
      <c r="K961" s="14" t="str">
        <f t="array" ref="K961">IF(OR(H961="",H961="Selecciona.."),"",XLOOKUP(H961,Propiedades!B:B,Propiedades!C:C,"",0,1))</f>
        <v/>
      </c>
    </row>
    <row r="962">
      <c r="A962" s="14" t="str">
        <f t="shared" si="1"/>
        <v/>
      </c>
      <c r="B962" s="14" t="str">
        <f t="array" ref="B962">IF(OR(G962="",G962="Selecciona.."),"",XLOOKUP(G962,Productos!E:E,Productos!A:A,"",0,1))</f>
        <v/>
      </c>
      <c r="C962" s="14" t="str">
        <f t="array" ref="C962">IF(B962="","",SUMIF(Implementos!B:B,XLOOKUP(B962,Productos!A:A,Productos!F:F,"",0,1),Implementos!A:A))</f>
        <v/>
      </c>
      <c r="D962" s="14" t="str">
        <f t="array" ref="D962">IF(OR(H962="",H962="Selecciona.."),"",XLOOKUP(H962,Propiedades!B:B,Propiedades!A:A,"",0,1))</f>
        <v/>
      </c>
      <c r="E962" s="14" t="str">
        <f t="shared" si="2"/>
        <v/>
      </c>
      <c r="F962" s="14" t="str">
        <f t="shared" si="3"/>
        <v/>
      </c>
      <c r="G962" s="15" t="str">
        <f t="shared" si="8"/>
        <v/>
      </c>
      <c r="H962" s="15" t="str">
        <f t="shared" si="9"/>
        <v/>
      </c>
      <c r="I962" s="16" t="str">
        <f t="shared" si="10"/>
        <v/>
      </c>
      <c r="J962" s="17"/>
      <c r="K962" s="14" t="str">
        <f t="array" ref="K962">IF(OR(H962="",H962="Selecciona.."),"",XLOOKUP(H962,Propiedades!B:B,Propiedades!C:C,"",0,1))</f>
        <v/>
      </c>
    </row>
    <row r="963">
      <c r="A963" s="14" t="str">
        <f t="shared" si="1"/>
        <v/>
      </c>
      <c r="B963" s="14" t="str">
        <f t="array" ref="B963">IF(OR(G963="",G963="Selecciona.."),"",XLOOKUP(G963,Productos!E:E,Productos!A:A,"",0,1))</f>
        <v/>
      </c>
      <c r="C963" s="14" t="str">
        <f t="array" ref="C963">IF(B963="","",SUMIF(Implementos!B:B,XLOOKUP(B963,Productos!A:A,Productos!F:F,"",0,1),Implementos!A:A))</f>
        <v/>
      </c>
      <c r="D963" s="14" t="str">
        <f t="array" ref="D963">IF(OR(H963="",H963="Selecciona.."),"",XLOOKUP(H963,Propiedades!B:B,Propiedades!A:A,"",0,1))</f>
        <v/>
      </c>
      <c r="E963" s="14" t="str">
        <f t="shared" si="2"/>
        <v/>
      </c>
      <c r="F963" s="14" t="str">
        <f t="shared" si="3"/>
        <v/>
      </c>
      <c r="G963" s="15" t="str">
        <f t="shared" si="8"/>
        <v/>
      </c>
      <c r="H963" s="15" t="str">
        <f t="shared" si="9"/>
        <v/>
      </c>
      <c r="I963" s="16" t="str">
        <f t="shared" si="10"/>
        <v/>
      </c>
      <c r="J963" s="17"/>
      <c r="K963" s="14" t="str">
        <f t="array" ref="K963">IF(OR(H963="",H963="Selecciona.."),"",XLOOKUP(H963,Propiedades!B:B,Propiedades!C:C,"",0,1))</f>
        <v/>
      </c>
    </row>
    <row r="964">
      <c r="A964" s="14" t="str">
        <f t="shared" si="1"/>
        <v/>
      </c>
      <c r="B964" s="14" t="str">
        <f t="array" ref="B964">IF(OR(G964="",G964="Selecciona.."),"",XLOOKUP(G964,Productos!E:E,Productos!A:A,"",0,1))</f>
        <v/>
      </c>
      <c r="C964" s="14" t="str">
        <f t="array" ref="C964">IF(B964="","",SUMIF(Implementos!B:B,XLOOKUP(B964,Productos!A:A,Productos!F:F,"",0,1),Implementos!A:A))</f>
        <v/>
      </c>
      <c r="D964" s="14" t="str">
        <f t="array" ref="D964">IF(OR(H964="",H964="Selecciona.."),"",XLOOKUP(H964,Propiedades!B:B,Propiedades!A:A,"",0,1))</f>
        <v/>
      </c>
      <c r="E964" s="14" t="str">
        <f t="shared" si="2"/>
        <v/>
      </c>
      <c r="F964" s="14" t="str">
        <f t="shared" si="3"/>
        <v/>
      </c>
      <c r="G964" s="15" t="str">
        <f t="shared" si="8"/>
        <v/>
      </c>
      <c r="H964" s="15" t="str">
        <f t="shared" si="9"/>
        <v/>
      </c>
      <c r="I964" s="16" t="str">
        <f t="shared" si="10"/>
        <v/>
      </c>
      <c r="J964" s="17"/>
      <c r="K964" s="14" t="str">
        <f t="array" ref="K964">IF(OR(H964="",H964="Selecciona.."),"",XLOOKUP(H964,Propiedades!B:B,Propiedades!C:C,"",0,1))</f>
        <v/>
      </c>
    </row>
    <row r="965">
      <c r="A965" s="14" t="str">
        <f t="shared" si="1"/>
        <v/>
      </c>
      <c r="B965" s="14" t="str">
        <f t="array" ref="B965">IF(OR(G965="",G965="Selecciona.."),"",XLOOKUP(G965,Productos!E:E,Productos!A:A,"",0,1))</f>
        <v/>
      </c>
      <c r="C965" s="14" t="str">
        <f t="array" ref="C965">IF(B965="","",SUMIF(Implementos!B:B,XLOOKUP(B965,Productos!A:A,Productos!F:F,"",0,1),Implementos!A:A))</f>
        <v/>
      </c>
      <c r="D965" s="14" t="str">
        <f t="array" ref="D965">IF(OR(H965="",H965="Selecciona.."),"",XLOOKUP(H965,Propiedades!B:B,Propiedades!A:A,"",0,1))</f>
        <v/>
      </c>
      <c r="E965" s="14" t="str">
        <f t="shared" si="2"/>
        <v/>
      </c>
      <c r="F965" s="14" t="str">
        <f t="shared" si="3"/>
        <v/>
      </c>
      <c r="G965" s="15" t="str">
        <f t="shared" si="8"/>
        <v/>
      </c>
      <c r="H965" s="15" t="str">
        <f t="shared" si="9"/>
        <v/>
      </c>
      <c r="I965" s="16" t="str">
        <f t="shared" si="10"/>
        <v/>
      </c>
      <c r="J965" s="17"/>
      <c r="K965" s="14" t="str">
        <f t="array" ref="K965">IF(OR(H965="",H965="Selecciona.."),"",XLOOKUP(H965,Propiedades!B:B,Propiedades!C:C,"",0,1))</f>
        <v/>
      </c>
    </row>
    <row r="966">
      <c r="A966" s="14" t="str">
        <f t="shared" si="1"/>
        <v/>
      </c>
      <c r="B966" s="14" t="str">
        <f t="array" ref="B966">IF(OR(G966="",G966="Selecciona.."),"",XLOOKUP(G966,Productos!E:E,Productos!A:A,"",0,1))</f>
        <v/>
      </c>
      <c r="C966" s="14" t="str">
        <f t="array" ref="C966">IF(B966="","",SUMIF(Implementos!B:B,XLOOKUP(B966,Productos!A:A,Productos!F:F,"",0,1),Implementos!A:A))</f>
        <v/>
      </c>
      <c r="D966" s="14" t="str">
        <f t="array" ref="D966">IF(OR(H966="",H966="Selecciona.."),"",XLOOKUP(H966,Propiedades!B:B,Propiedades!A:A,"",0,1))</f>
        <v/>
      </c>
      <c r="E966" s="14" t="str">
        <f t="shared" si="2"/>
        <v/>
      </c>
      <c r="F966" s="14" t="str">
        <f t="shared" si="3"/>
        <v/>
      </c>
      <c r="G966" s="15" t="str">
        <f t="shared" si="8"/>
        <v/>
      </c>
      <c r="H966" s="15" t="str">
        <f t="shared" si="9"/>
        <v/>
      </c>
      <c r="I966" s="16" t="str">
        <f t="shared" si="10"/>
        <v/>
      </c>
      <c r="J966" s="17"/>
      <c r="K966" s="14" t="str">
        <f t="array" ref="K966">IF(OR(H966="",H966="Selecciona.."),"",XLOOKUP(H966,Propiedades!B:B,Propiedades!C:C,"",0,1))</f>
        <v/>
      </c>
    </row>
    <row r="967">
      <c r="A967" s="14" t="str">
        <f t="shared" si="1"/>
        <v/>
      </c>
      <c r="B967" s="14" t="str">
        <f t="array" ref="B967">IF(OR(G967="",G967="Selecciona.."),"",XLOOKUP(G967,Productos!E:E,Productos!A:A,"",0,1))</f>
        <v/>
      </c>
      <c r="C967" s="14" t="str">
        <f t="array" ref="C967">IF(B967="","",SUMIF(Implementos!B:B,XLOOKUP(B967,Productos!A:A,Productos!F:F,"",0,1),Implementos!A:A))</f>
        <v/>
      </c>
      <c r="D967" s="14" t="str">
        <f t="array" ref="D967">IF(OR(H967="",H967="Selecciona.."),"",XLOOKUP(H967,Propiedades!B:B,Propiedades!A:A,"",0,1))</f>
        <v/>
      </c>
      <c r="E967" s="14" t="str">
        <f t="shared" si="2"/>
        <v/>
      </c>
      <c r="F967" s="14" t="str">
        <f t="shared" si="3"/>
        <v/>
      </c>
      <c r="G967" s="15" t="str">
        <f t="shared" si="8"/>
        <v/>
      </c>
      <c r="H967" s="15" t="str">
        <f t="shared" si="9"/>
        <v/>
      </c>
      <c r="I967" s="16" t="str">
        <f t="shared" si="10"/>
        <v/>
      </c>
      <c r="J967" s="17"/>
      <c r="K967" s="14" t="str">
        <f t="array" ref="K967">IF(OR(H967="",H967="Selecciona.."),"",XLOOKUP(H967,Propiedades!B:B,Propiedades!C:C,"",0,1))</f>
        <v/>
      </c>
    </row>
    <row r="968">
      <c r="A968" s="14" t="str">
        <f t="shared" si="1"/>
        <v/>
      </c>
      <c r="B968" s="14" t="str">
        <f t="array" ref="B968">IF(OR(G968="",G968="Selecciona.."),"",XLOOKUP(G968,Productos!E:E,Productos!A:A,"",0,1))</f>
        <v/>
      </c>
      <c r="C968" s="14" t="str">
        <f t="array" ref="C968">IF(B968="","",SUMIF(Implementos!B:B,XLOOKUP(B968,Productos!A:A,Productos!F:F,"",0,1),Implementos!A:A))</f>
        <v/>
      </c>
      <c r="D968" s="14" t="str">
        <f t="array" ref="D968">IF(OR(H968="",H968="Selecciona.."),"",XLOOKUP(H968,Propiedades!B:B,Propiedades!A:A,"",0,1))</f>
        <v/>
      </c>
      <c r="E968" s="14" t="str">
        <f t="shared" si="2"/>
        <v/>
      </c>
      <c r="F968" s="14" t="str">
        <f t="shared" si="3"/>
        <v/>
      </c>
      <c r="G968" s="15" t="str">
        <f t="shared" si="8"/>
        <v/>
      </c>
      <c r="H968" s="15" t="str">
        <f t="shared" si="9"/>
        <v/>
      </c>
      <c r="I968" s="16" t="str">
        <f t="shared" si="10"/>
        <v/>
      </c>
      <c r="J968" s="17"/>
      <c r="K968" s="14" t="str">
        <f t="array" ref="K968">IF(OR(H968="",H968="Selecciona.."),"",XLOOKUP(H968,Propiedades!B:B,Propiedades!C:C,"",0,1))</f>
        <v/>
      </c>
    </row>
    <row r="969">
      <c r="A969" s="14" t="str">
        <f t="shared" si="1"/>
        <v/>
      </c>
      <c r="B969" s="14" t="str">
        <f t="array" ref="B969">IF(OR(G969="",G969="Selecciona.."),"",XLOOKUP(G969,Productos!E:E,Productos!A:A,"",0,1))</f>
        <v/>
      </c>
      <c r="C969" s="14" t="str">
        <f t="array" ref="C969">IF(B969="","",SUMIF(Implementos!B:B,XLOOKUP(B969,Productos!A:A,Productos!F:F,"",0,1),Implementos!A:A))</f>
        <v/>
      </c>
      <c r="D969" s="14" t="str">
        <f t="array" ref="D969">IF(OR(H969="",H969="Selecciona.."),"",XLOOKUP(H969,Propiedades!B:B,Propiedades!A:A,"",0,1))</f>
        <v/>
      </c>
      <c r="E969" s="14" t="str">
        <f t="shared" si="2"/>
        <v/>
      </c>
      <c r="F969" s="14" t="str">
        <f t="shared" si="3"/>
        <v/>
      </c>
      <c r="G969" s="15" t="str">
        <f t="shared" si="8"/>
        <v/>
      </c>
      <c r="H969" s="15" t="str">
        <f t="shared" si="9"/>
        <v/>
      </c>
      <c r="I969" s="16" t="str">
        <f t="shared" si="10"/>
        <v/>
      </c>
      <c r="J969" s="17"/>
      <c r="K969" s="14" t="str">
        <f t="array" ref="K969">IF(OR(H969="",H969="Selecciona.."),"",XLOOKUP(H969,Propiedades!B:B,Propiedades!C:C,"",0,1))</f>
        <v/>
      </c>
    </row>
    <row r="970">
      <c r="A970" s="14" t="str">
        <f t="shared" si="1"/>
        <v/>
      </c>
      <c r="B970" s="14" t="str">
        <f t="array" ref="B970">IF(OR(G970="",G970="Selecciona.."),"",XLOOKUP(G970,Productos!E:E,Productos!A:A,"",0,1))</f>
        <v/>
      </c>
      <c r="C970" s="14" t="str">
        <f t="array" ref="C970">IF(B970="","",SUMIF(Implementos!B:B,XLOOKUP(B970,Productos!A:A,Productos!F:F,"",0,1),Implementos!A:A))</f>
        <v/>
      </c>
      <c r="D970" s="14" t="str">
        <f t="array" ref="D970">IF(OR(H970="",H970="Selecciona.."),"",XLOOKUP(H970,Propiedades!B:B,Propiedades!A:A,"",0,1))</f>
        <v/>
      </c>
      <c r="E970" s="14" t="str">
        <f t="shared" si="2"/>
        <v/>
      </c>
      <c r="F970" s="14" t="str">
        <f t="shared" si="3"/>
        <v/>
      </c>
      <c r="G970" s="15" t="str">
        <f t="shared" si="8"/>
        <v/>
      </c>
      <c r="H970" s="15" t="str">
        <f t="shared" si="9"/>
        <v/>
      </c>
      <c r="I970" s="16" t="str">
        <f t="shared" si="10"/>
        <v/>
      </c>
      <c r="J970" s="17"/>
      <c r="K970" s="14" t="str">
        <f t="array" ref="K970">IF(OR(H970="",H970="Selecciona.."),"",XLOOKUP(H970,Propiedades!B:B,Propiedades!C:C,"",0,1))</f>
        <v/>
      </c>
    </row>
    <row r="971">
      <c r="A971" s="14" t="str">
        <f t="shared" si="1"/>
        <v/>
      </c>
      <c r="B971" s="14" t="str">
        <f t="array" ref="B971">IF(OR(G971="",G971="Selecciona.."),"",XLOOKUP(G971,Productos!E:E,Productos!A:A,"",0,1))</f>
        <v/>
      </c>
      <c r="C971" s="14" t="str">
        <f t="array" ref="C971">IF(B971="","",SUMIF(Implementos!B:B,XLOOKUP(B971,Productos!A:A,Productos!F:F,"",0,1),Implementos!A:A))</f>
        <v/>
      </c>
      <c r="D971" s="14" t="str">
        <f t="array" ref="D971">IF(OR(H971="",H971="Selecciona.."),"",XLOOKUP(H971,Propiedades!B:B,Propiedades!A:A,"",0,1))</f>
        <v/>
      </c>
      <c r="E971" s="14" t="str">
        <f t="shared" si="2"/>
        <v/>
      </c>
      <c r="F971" s="14" t="str">
        <f t="shared" si="3"/>
        <v/>
      </c>
      <c r="G971" s="15" t="str">
        <f t="shared" si="8"/>
        <v/>
      </c>
      <c r="H971" s="15" t="str">
        <f t="shared" si="9"/>
        <v/>
      </c>
      <c r="I971" s="16" t="str">
        <f t="shared" si="10"/>
        <v/>
      </c>
      <c r="J971" s="17"/>
      <c r="K971" s="14" t="str">
        <f t="array" ref="K971">IF(OR(H971="",H971="Selecciona.."),"",XLOOKUP(H971,Propiedades!B:B,Propiedades!C:C,"",0,1))</f>
        <v/>
      </c>
    </row>
    <row r="972">
      <c r="A972" s="14" t="str">
        <f t="shared" si="1"/>
        <v/>
      </c>
      <c r="B972" s="14" t="str">
        <f t="array" ref="B972">IF(OR(G972="",G972="Selecciona.."),"",XLOOKUP(G972,Productos!E:E,Productos!A:A,"",0,1))</f>
        <v/>
      </c>
      <c r="C972" s="14" t="str">
        <f t="array" ref="C972">IF(B972="","",SUMIF(Implementos!B:B,XLOOKUP(B972,Productos!A:A,Productos!F:F,"",0,1),Implementos!A:A))</f>
        <v/>
      </c>
      <c r="D972" s="14" t="str">
        <f t="array" ref="D972">IF(OR(H972="",H972="Selecciona.."),"",XLOOKUP(H972,Propiedades!B:B,Propiedades!A:A,"",0,1))</f>
        <v/>
      </c>
      <c r="E972" s="14" t="str">
        <f t="shared" si="2"/>
        <v/>
      </c>
      <c r="F972" s="14" t="str">
        <f t="shared" si="3"/>
        <v/>
      </c>
      <c r="G972" s="15" t="str">
        <f t="shared" si="8"/>
        <v/>
      </c>
      <c r="H972" s="15" t="str">
        <f t="shared" si="9"/>
        <v/>
      </c>
      <c r="I972" s="16" t="str">
        <f t="shared" si="10"/>
        <v/>
      </c>
      <c r="J972" s="17"/>
      <c r="K972" s="14" t="str">
        <f t="array" ref="K972">IF(OR(H972="",H972="Selecciona.."),"",XLOOKUP(H972,Propiedades!B:B,Propiedades!C:C,"",0,1))</f>
        <v/>
      </c>
    </row>
    <row r="973">
      <c r="A973" s="14" t="str">
        <f t="shared" si="1"/>
        <v/>
      </c>
      <c r="B973" s="14" t="str">
        <f t="array" ref="B973">IF(OR(G973="",G973="Selecciona.."),"",XLOOKUP(G973,Productos!E:E,Productos!A:A,"",0,1))</f>
        <v/>
      </c>
      <c r="C973" s="14" t="str">
        <f t="array" ref="C973">IF(B973="","",SUMIF(Implementos!B:B,XLOOKUP(B973,Productos!A:A,Productos!F:F,"",0,1),Implementos!A:A))</f>
        <v/>
      </c>
      <c r="D973" s="14" t="str">
        <f t="array" ref="D973">IF(OR(H973="",H973="Selecciona.."),"",XLOOKUP(H973,Propiedades!B:B,Propiedades!A:A,"",0,1))</f>
        <v/>
      </c>
      <c r="E973" s="14" t="str">
        <f t="shared" si="2"/>
        <v/>
      </c>
      <c r="F973" s="14" t="str">
        <f t="shared" si="3"/>
        <v/>
      </c>
      <c r="G973" s="15" t="str">
        <f t="shared" si="8"/>
        <v/>
      </c>
      <c r="H973" s="15" t="str">
        <f t="shared" si="9"/>
        <v/>
      </c>
      <c r="I973" s="16" t="str">
        <f t="shared" si="10"/>
        <v/>
      </c>
      <c r="J973" s="17"/>
      <c r="K973" s="14" t="str">
        <f t="array" ref="K973">IF(OR(H973="",H973="Selecciona.."),"",XLOOKUP(H973,Propiedades!B:B,Propiedades!C:C,"",0,1))</f>
        <v/>
      </c>
    </row>
    <row r="974">
      <c r="A974" s="14" t="str">
        <f t="shared" si="1"/>
        <v/>
      </c>
      <c r="B974" s="14" t="str">
        <f t="array" ref="B974">IF(OR(G974="",G974="Selecciona.."),"",XLOOKUP(G974,Productos!E:E,Productos!A:A,"",0,1))</f>
        <v/>
      </c>
      <c r="C974" s="14" t="str">
        <f t="array" ref="C974">IF(B974="","",SUMIF(Implementos!B:B,XLOOKUP(B974,Productos!A:A,Productos!F:F,"",0,1),Implementos!A:A))</f>
        <v/>
      </c>
      <c r="D974" s="14" t="str">
        <f t="array" ref="D974">IF(OR(H974="",H974="Selecciona.."),"",XLOOKUP(H974,Propiedades!B:B,Propiedades!A:A,"",0,1))</f>
        <v/>
      </c>
      <c r="E974" s="14" t="str">
        <f t="shared" si="2"/>
        <v/>
      </c>
      <c r="F974" s="14" t="str">
        <f t="shared" si="3"/>
        <v/>
      </c>
      <c r="G974" s="15" t="str">
        <f t="shared" si="8"/>
        <v/>
      </c>
      <c r="H974" s="15" t="str">
        <f t="shared" si="9"/>
        <v/>
      </c>
      <c r="I974" s="16" t="str">
        <f t="shared" si="10"/>
        <v/>
      </c>
      <c r="J974" s="17"/>
      <c r="K974" s="14" t="str">
        <f t="array" ref="K974">IF(OR(H974="",H974="Selecciona.."),"",XLOOKUP(H974,Propiedades!B:B,Propiedades!C:C,"",0,1))</f>
        <v/>
      </c>
    </row>
    <row r="975">
      <c r="A975" s="14" t="str">
        <f t="shared" si="1"/>
        <v/>
      </c>
      <c r="B975" s="14" t="str">
        <f t="array" ref="B975">IF(OR(G975="",G975="Selecciona.."),"",XLOOKUP(G975,Productos!E:E,Productos!A:A,"",0,1))</f>
        <v/>
      </c>
      <c r="C975" s="14" t="str">
        <f t="array" ref="C975">IF(B975="","",SUMIF(Implementos!B:B,XLOOKUP(B975,Productos!A:A,Productos!F:F,"",0,1),Implementos!A:A))</f>
        <v/>
      </c>
      <c r="D975" s="14" t="str">
        <f t="array" ref="D975">IF(OR(H975="",H975="Selecciona.."),"",XLOOKUP(H975,Propiedades!B:B,Propiedades!A:A,"",0,1))</f>
        <v/>
      </c>
      <c r="E975" s="14" t="str">
        <f t="shared" si="2"/>
        <v/>
      </c>
      <c r="F975" s="14" t="str">
        <f t="shared" si="3"/>
        <v/>
      </c>
      <c r="G975" s="15" t="str">
        <f t="shared" si="8"/>
        <v/>
      </c>
      <c r="H975" s="15" t="str">
        <f t="shared" si="9"/>
        <v/>
      </c>
      <c r="I975" s="16" t="str">
        <f t="shared" si="10"/>
        <v/>
      </c>
      <c r="J975" s="17"/>
      <c r="K975" s="14" t="str">
        <f t="array" ref="K975">IF(OR(H975="",H975="Selecciona.."),"",XLOOKUP(H975,Propiedades!B:B,Propiedades!C:C,"",0,1))</f>
        <v/>
      </c>
    </row>
    <row r="976">
      <c r="A976" s="14" t="str">
        <f t="shared" si="1"/>
        <v/>
      </c>
      <c r="B976" s="14" t="str">
        <f t="array" ref="B976">IF(OR(G976="",G976="Selecciona.."),"",XLOOKUP(G976,Productos!E:E,Productos!A:A,"",0,1))</f>
        <v/>
      </c>
      <c r="C976" s="14" t="str">
        <f t="array" ref="C976">IF(B976="","",SUMIF(Implementos!B:B,XLOOKUP(B976,Productos!A:A,Productos!F:F,"",0,1),Implementos!A:A))</f>
        <v/>
      </c>
      <c r="D976" s="14" t="str">
        <f t="array" ref="D976">IF(OR(H976="",H976="Selecciona.."),"",XLOOKUP(H976,Propiedades!B:B,Propiedades!A:A,"",0,1))</f>
        <v/>
      </c>
      <c r="E976" s="14" t="str">
        <f t="shared" si="2"/>
        <v/>
      </c>
      <c r="F976" s="14" t="str">
        <f t="shared" si="3"/>
        <v/>
      </c>
      <c r="G976" s="15" t="str">
        <f t="shared" si="8"/>
        <v/>
      </c>
      <c r="H976" s="15" t="str">
        <f t="shared" si="9"/>
        <v/>
      </c>
      <c r="I976" s="16" t="str">
        <f t="shared" si="10"/>
        <v/>
      </c>
      <c r="J976" s="17"/>
      <c r="K976" s="14" t="str">
        <f t="array" ref="K976">IF(OR(H976="",H976="Selecciona.."),"",XLOOKUP(H976,Propiedades!B:B,Propiedades!C:C,"",0,1))</f>
        <v/>
      </c>
    </row>
    <row r="977">
      <c r="A977" s="14" t="str">
        <f t="shared" si="1"/>
        <v/>
      </c>
      <c r="B977" s="14" t="str">
        <f t="array" ref="B977">IF(OR(G977="",G977="Selecciona.."),"",XLOOKUP(G977,Productos!E:E,Productos!A:A,"",0,1))</f>
        <v/>
      </c>
      <c r="C977" s="14" t="str">
        <f t="array" ref="C977">IF(B977="","",SUMIF(Implementos!B:B,XLOOKUP(B977,Productos!A:A,Productos!F:F,"",0,1),Implementos!A:A))</f>
        <v/>
      </c>
      <c r="D977" s="14" t="str">
        <f t="array" ref="D977">IF(OR(H977="",H977="Selecciona.."),"",XLOOKUP(H977,Propiedades!B:B,Propiedades!A:A,"",0,1))</f>
        <v/>
      </c>
      <c r="E977" s="14" t="str">
        <f t="shared" si="2"/>
        <v/>
      </c>
      <c r="F977" s="14" t="str">
        <f t="shared" si="3"/>
        <v/>
      </c>
      <c r="G977" s="15" t="str">
        <f t="shared" si="8"/>
        <v/>
      </c>
      <c r="H977" s="15" t="str">
        <f t="shared" si="9"/>
        <v/>
      </c>
      <c r="I977" s="16" t="str">
        <f t="shared" si="10"/>
        <v/>
      </c>
      <c r="J977" s="17"/>
      <c r="K977" s="14" t="str">
        <f t="array" ref="K977">IF(OR(H977="",H977="Selecciona.."),"",XLOOKUP(H977,Propiedades!B:B,Propiedades!C:C,"",0,1))</f>
        <v/>
      </c>
    </row>
    <row r="978">
      <c r="A978" s="14" t="str">
        <f t="shared" si="1"/>
        <v/>
      </c>
      <c r="B978" s="14" t="str">
        <f t="array" ref="B978">IF(OR(G978="",G978="Selecciona.."),"",XLOOKUP(G978,Productos!E:E,Productos!A:A,"",0,1))</f>
        <v/>
      </c>
      <c r="C978" s="14" t="str">
        <f t="array" ref="C978">IF(B978="","",SUMIF(Implementos!B:B,XLOOKUP(B978,Productos!A:A,Productos!F:F,"",0,1),Implementos!A:A))</f>
        <v/>
      </c>
      <c r="D978" s="14" t="str">
        <f t="array" ref="D978">IF(OR(H978="",H978="Selecciona.."),"",XLOOKUP(H978,Propiedades!B:B,Propiedades!A:A,"",0,1))</f>
        <v/>
      </c>
      <c r="E978" s="14" t="str">
        <f t="shared" si="2"/>
        <v/>
      </c>
      <c r="F978" s="14" t="str">
        <f t="shared" si="3"/>
        <v/>
      </c>
      <c r="G978" s="15" t="str">
        <f t="shared" si="8"/>
        <v/>
      </c>
      <c r="H978" s="15" t="str">
        <f t="shared" si="9"/>
        <v/>
      </c>
      <c r="I978" s="16" t="str">
        <f t="shared" si="10"/>
        <v/>
      </c>
      <c r="J978" s="17"/>
      <c r="K978" s="14" t="str">
        <f t="array" ref="K978">IF(OR(H978="",H978="Selecciona.."),"",XLOOKUP(H978,Propiedades!B:B,Propiedades!C:C,"",0,1))</f>
        <v/>
      </c>
    </row>
    <row r="979">
      <c r="A979" s="14" t="str">
        <f t="shared" si="1"/>
        <v/>
      </c>
      <c r="B979" s="14" t="str">
        <f t="array" ref="B979">IF(OR(G979="",G979="Selecciona.."),"",XLOOKUP(G979,Productos!E:E,Productos!A:A,"",0,1))</f>
        <v/>
      </c>
      <c r="C979" s="14" t="str">
        <f t="array" ref="C979">IF(B979="","",SUMIF(Implementos!B:B,XLOOKUP(B979,Productos!A:A,Productos!F:F,"",0,1),Implementos!A:A))</f>
        <v/>
      </c>
      <c r="D979" s="14" t="str">
        <f t="array" ref="D979">IF(OR(H979="",H979="Selecciona.."),"",XLOOKUP(H979,Propiedades!B:B,Propiedades!A:A,"",0,1))</f>
        <v/>
      </c>
      <c r="E979" s="14" t="str">
        <f t="shared" si="2"/>
        <v/>
      </c>
      <c r="F979" s="14" t="str">
        <f t="shared" si="3"/>
        <v/>
      </c>
      <c r="G979" s="15" t="str">
        <f t="shared" si="8"/>
        <v/>
      </c>
      <c r="H979" s="15" t="str">
        <f t="shared" si="9"/>
        <v/>
      </c>
      <c r="I979" s="16" t="str">
        <f t="shared" si="10"/>
        <v/>
      </c>
      <c r="J979" s="17"/>
      <c r="K979" s="14" t="str">
        <f t="array" ref="K979">IF(OR(H979="",H979="Selecciona.."),"",XLOOKUP(H979,Propiedades!B:B,Propiedades!C:C,"",0,1))</f>
        <v/>
      </c>
    </row>
    <row r="980">
      <c r="A980" s="14" t="str">
        <f t="shared" si="1"/>
        <v/>
      </c>
      <c r="B980" s="14" t="str">
        <f t="array" ref="B980">IF(OR(G980="",G980="Selecciona.."),"",XLOOKUP(G980,Productos!E:E,Productos!A:A,"",0,1))</f>
        <v/>
      </c>
      <c r="C980" s="14" t="str">
        <f t="array" ref="C980">IF(B980="","",SUMIF(Implementos!B:B,XLOOKUP(B980,Productos!A:A,Productos!F:F,"",0,1),Implementos!A:A))</f>
        <v/>
      </c>
      <c r="D980" s="14" t="str">
        <f t="array" ref="D980">IF(OR(H980="",H980="Selecciona.."),"",XLOOKUP(H980,Propiedades!B:B,Propiedades!A:A,"",0,1))</f>
        <v/>
      </c>
      <c r="E980" s="14" t="str">
        <f t="shared" si="2"/>
        <v/>
      </c>
      <c r="F980" s="14" t="str">
        <f t="shared" si="3"/>
        <v/>
      </c>
      <c r="G980" s="15" t="str">
        <f t="shared" si="8"/>
        <v/>
      </c>
      <c r="H980" s="15" t="str">
        <f t="shared" si="9"/>
        <v/>
      </c>
      <c r="I980" s="16" t="str">
        <f t="shared" si="10"/>
        <v/>
      </c>
      <c r="J980" s="17"/>
      <c r="K980" s="14" t="str">
        <f t="array" ref="K980">IF(OR(H980="",H980="Selecciona.."),"",XLOOKUP(H980,Propiedades!B:B,Propiedades!C:C,"",0,1))</f>
        <v/>
      </c>
    </row>
    <row r="981">
      <c r="A981" s="14" t="str">
        <f t="shared" si="1"/>
        <v/>
      </c>
      <c r="B981" s="14" t="str">
        <f t="array" ref="B981">IF(OR(G981="",G981="Selecciona.."),"",XLOOKUP(G981,Productos!E:E,Productos!A:A,"",0,1))</f>
        <v/>
      </c>
      <c r="C981" s="14" t="str">
        <f t="array" ref="C981">IF(B981="","",SUMIF(Implementos!B:B,XLOOKUP(B981,Productos!A:A,Productos!F:F,"",0,1),Implementos!A:A))</f>
        <v/>
      </c>
      <c r="D981" s="14" t="str">
        <f t="array" ref="D981">IF(OR(H981="",H981="Selecciona.."),"",XLOOKUP(H981,Propiedades!B:B,Propiedades!A:A,"",0,1))</f>
        <v/>
      </c>
      <c r="E981" s="14" t="str">
        <f t="shared" si="2"/>
        <v/>
      </c>
      <c r="F981" s="14" t="str">
        <f t="shared" si="3"/>
        <v/>
      </c>
      <c r="G981" s="15" t="str">
        <f t="shared" si="8"/>
        <v/>
      </c>
      <c r="H981" s="15" t="str">
        <f t="shared" si="9"/>
        <v/>
      </c>
      <c r="I981" s="16" t="str">
        <f t="shared" si="10"/>
        <v/>
      </c>
      <c r="J981" s="17"/>
      <c r="K981" s="14" t="str">
        <f t="array" ref="K981">IF(OR(H981="",H981="Selecciona.."),"",XLOOKUP(H981,Propiedades!B:B,Propiedades!C:C,"",0,1))</f>
        <v/>
      </c>
    </row>
    <row r="982">
      <c r="A982" s="14" t="str">
        <f t="shared" si="1"/>
        <v/>
      </c>
      <c r="B982" s="14" t="str">
        <f t="array" ref="B982">IF(OR(G982="",G982="Selecciona.."),"",XLOOKUP(G982,Productos!E:E,Productos!A:A,"",0,1))</f>
        <v/>
      </c>
      <c r="C982" s="14" t="str">
        <f t="array" ref="C982">IF(B982="","",SUMIF(Implementos!B:B,XLOOKUP(B982,Productos!A:A,Productos!F:F,"",0,1),Implementos!A:A))</f>
        <v/>
      </c>
      <c r="D982" s="14" t="str">
        <f t="array" ref="D982">IF(OR(H982="",H982="Selecciona.."),"",XLOOKUP(H982,Propiedades!B:B,Propiedades!A:A,"",0,1))</f>
        <v/>
      </c>
      <c r="E982" s="14" t="str">
        <f t="shared" si="2"/>
        <v/>
      </c>
      <c r="F982" s="14" t="str">
        <f t="shared" si="3"/>
        <v/>
      </c>
      <c r="G982" s="15" t="str">
        <f t="shared" si="8"/>
        <v/>
      </c>
      <c r="H982" s="15" t="str">
        <f t="shared" si="9"/>
        <v/>
      </c>
      <c r="I982" s="16" t="str">
        <f t="shared" si="10"/>
        <v/>
      </c>
      <c r="J982" s="17"/>
      <c r="K982" s="14" t="str">
        <f t="array" ref="K982">IF(OR(H982="",H982="Selecciona.."),"",XLOOKUP(H982,Propiedades!B:B,Propiedades!C:C,"",0,1))</f>
        <v/>
      </c>
    </row>
    <row r="983">
      <c r="A983" s="14" t="str">
        <f t="shared" si="1"/>
        <v/>
      </c>
      <c r="B983" s="14" t="str">
        <f t="array" ref="B983">IF(OR(G983="",G983="Selecciona.."),"",XLOOKUP(G983,Productos!E:E,Productos!A:A,"",0,1))</f>
        <v/>
      </c>
      <c r="C983" s="14" t="str">
        <f t="array" ref="C983">IF(B983="","",SUMIF(Implementos!B:B,XLOOKUP(B983,Productos!A:A,Productos!F:F,"",0,1),Implementos!A:A))</f>
        <v/>
      </c>
      <c r="D983" s="14" t="str">
        <f t="array" ref="D983">IF(OR(H983="",H983="Selecciona.."),"",XLOOKUP(H983,Propiedades!B:B,Propiedades!A:A,"",0,1))</f>
        <v/>
      </c>
      <c r="E983" s="14" t="str">
        <f t="shared" si="2"/>
        <v/>
      </c>
      <c r="F983" s="14" t="str">
        <f t="shared" si="3"/>
        <v/>
      </c>
      <c r="G983" s="15" t="str">
        <f t="shared" si="8"/>
        <v/>
      </c>
      <c r="H983" s="15" t="str">
        <f t="shared" si="9"/>
        <v/>
      </c>
      <c r="I983" s="16" t="str">
        <f t="shared" si="10"/>
        <v/>
      </c>
      <c r="J983" s="17"/>
      <c r="K983" s="14" t="str">
        <f t="array" ref="K983">IF(OR(H983="",H983="Selecciona.."),"",XLOOKUP(H983,Propiedades!B:B,Propiedades!C:C,"",0,1))</f>
        <v/>
      </c>
    </row>
    <row r="984">
      <c r="A984" s="14" t="str">
        <f t="shared" si="1"/>
        <v/>
      </c>
      <c r="B984" s="14" t="str">
        <f t="array" ref="B984">IF(OR(G984="",G984="Selecciona.."),"",XLOOKUP(G984,Productos!E:E,Productos!A:A,"",0,1))</f>
        <v/>
      </c>
      <c r="C984" s="14" t="str">
        <f t="array" ref="C984">IF(B984="","",SUMIF(Implementos!B:B,XLOOKUP(B984,Productos!A:A,Productos!F:F,"",0,1),Implementos!A:A))</f>
        <v/>
      </c>
      <c r="D984" s="14" t="str">
        <f t="array" ref="D984">IF(OR(H984="",H984="Selecciona.."),"",XLOOKUP(H984,Propiedades!B:B,Propiedades!A:A,"",0,1))</f>
        <v/>
      </c>
      <c r="E984" s="14" t="str">
        <f t="shared" si="2"/>
        <v/>
      </c>
      <c r="F984" s="14" t="str">
        <f t="shared" si="3"/>
        <v/>
      </c>
      <c r="G984" s="15" t="str">
        <f t="shared" si="8"/>
        <v/>
      </c>
      <c r="H984" s="15" t="str">
        <f t="shared" si="9"/>
        <v/>
      </c>
      <c r="I984" s="16" t="str">
        <f t="shared" si="10"/>
        <v/>
      </c>
      <c r="J984" s="17"/>
      <c r="K984" s="14" t="str">
        <f t="array" ref="K984">IF(OR(H984="",H984="Selecciona.."),"",XLOOKUP(H984,Propiedades!B:B,Propiedades!C:C,"",0,1))</f>
        <v/>
      </c>
    </row>
    <row r="985">
      <c r="A985" s="14" t="str">
        <f t="shared" si="1"/>
        <v/>
      </c>
      <c r="B985" s="14" t="str">
        <f t="array" ref="B985">IF(OR(G985="",G985="Selecciona.."),"",XLOOKUP(G985,Productos!E:E,Productos!A:A,"",0,1))</f>
        <v/>
      </c>
      <c r="C985" s="14" t="str">
        <f t="array" ref="C985">IF(B985="","",SUMIF(Implementos!B:B,XLOOKUP(B985,Productos!A:A,Productos!F:F,"",0,1),Implementos!A:A))</f>
        <v/>
      </c>
      <c r="D985" s="14" t="str">
        <f t="array" ref="D985">IF(OR(H985="",H985="Selecciona.."),"",XLOOKUP(H985,Propiedades!B:B,Propiedades!A:A,"",0,1))</f>
        <v/>
      </c>
      <c r="E985" s="14" t="str">
        <f t="shared" si="2"/>
        <v/>
      </c>
      <c r="F985" s="14" t="str">
        <f t="shared" si="3"/>
        <v/>
      </c>
      <c r="G985" s="15" t="str">
        <f t="shared" si="8"/>
        <v/>
      </c>
      <c r="H985" s="15" t="str">
        <f t="shared" si="9"/>
        <v/>
      </c>
      <c r="I985" s="16" t="str">
        <f t="shared" si="10"/>
        <v/>
      </c>
      <c r="J985" s="17"/>
      <c r="K985" s="14" t="str">
        <f t="array" ref="K985">IF(OR(H985="",H985="Selecciona.."),"",XLOOKUP(H985,Propiedades!B:B,Propiedades!C:C,"",0,1))</f>
        <v/>
      </c>
    </row>
    <row r="986">
      <c r="A986" s="14" t="str">
        <f t="shared" si="1"/>
        <v/>
      </c>
      <c r="B986" s="14" t="str">
        <f t="array" ref="B986">IF(OR(G986="",G986="Selecciona.."),"",XLOOKUP(G986,Productos!E:E,Productos!A:A,"",0,1))</f>
        <v/>
      </c>
      <c r="C986" s="14" t="str">
        <f t="array" ref="C986">IF(B986="","",SUMIF(Implementos!B:B,XLOOKUP(B986,Productos!A:A,Productos!F:F,"",0,1),Implementos!A:A))</f>
        <v/>
      </c>
      <c r="D986" s="14" t="str">
        <f t="array" ref="D986">IF(OR(H986="",H986="Selecciona.."),"",XLOOKUP(H986,Propiedades!B:B,Propiedades!A:A,"",0,1))</f>
        <v/>
      </c>
      <c r="E986" s="14" t="str">
        <f t="shared" si="2"/>
        <v/>
      </c>
      <c r="F986" s="14" t="str">
        <f t="shared" si="3"/>
        <v/>
      </c>
      <c r="G986" s="15" t="str">
        <f t="shared" si="8"/>
        <v/>
      </c>
      <c r="H986" s="15" t="str">
        <f t="shared" si="9"/>
        <v/>
      </c>
      <c r="I986" s="16" t="str">
        <f t="shared" si="10"/>
        <v/>
      </c>
      <c r="J986" s="17"/>
      <c r="K986" s="14" t="str">
        <f t="array" ref="K986">IF(OR(H986="",H986="Selecciona.."),"",XLOOKUP(H986,Propiedades!B:B,Propiedades!C:C,"",0,1))</f>
        <v/>
      </c>
    </row>
    <row r="987">
      <c r="A987" s="14" t="str">
        <f t="shared" si="1"/>
        <v/>
      </c>
      <c r="B987" s="14" t="str">
        <f t="array" ref="B987">IF(OR(G987="",G987="Selecciona.."),"",XLOOKUP(G987,Productos!E:E,Productos!A:A,"",0,1))</f>
        <v/>
      </c>
      <c r="C987" s="14" t="str">
        <f t="array" ref="C987">IF(B987="","",SUMIF(Implementos!B:B,XLOOKUP(B987,Productos!A:A,Productos!F:F,"",0,1),Implementos!A:A))</f>
        <v/>
      </c>
      <c r="D987" s="14" t="str">
        <f t="array" ref="D987">IF(OR(H987="",H987="Selecciona.."),"",XLOOKUP(H987,Propiedades!B:B,Propiedades!A:A,"",0,1))</f>
        <v/>
      </c>
      <c r="E987" s="14" t="str">
        <f t="shared" si="2"/>
        <v/>
      </c>
      <c r="F987" s="14" t="str">
        <f t="shared" si="3"/>
        <v/>
      </c>
      <c r="G987" s="15" t="str">
        <f t="shared" si="8"/>
        <v/>
      </c>
      <c r="H987" s="15" t="str">
        <f t="shared" si="9"/>
        <v/>
      </c>
      <c r="I987" s="16" t="str">
        <f t="shared" si="10"/>
        <v/>
      </c>
      <c r="J987" s="17"/>
      <c r="K987" s="14" t="str">
        <f t="array" ref="K987">IF(OR(H987="",H987="Selecciona.."),"",XLOOKUP(H987,Propiedades!B:B,Propiedades!C:C,"",0,1))</f>
        <v/>
      </c>
    </row>
    <row r="988">
      <c r="A988" s="14" t="str">
        <f t="shared" si="1"/>
        <v/>
      </c>
      <c r="B988" s="14" t="str">
        <f t="array" ref="B988">IF(OR(G988="",G988="Selecciona.."),"",XLOOKUP(G988,Productos!E:E,Productos!A:A,"",0,1))</f>
        <v/>
      </c>
      <c r="C988" s="14" t="str">
        <f t="array" ref="C988">IF(B988="","",SUMIF(Implementos!B:B,XLOOKUP(B988,Productos!A:A,Productos!F:F,"",0,1),Implementos!A:A))</f>
        <v/>
      </c>
      <c r="D988" s="14" t="str">
        <f t="array" ref="D988">IF(OR(H988="",H988="Selecciona.."),"",XLOOKUP(H988,Propiedades!B:B,Propiedades!A:A,"",0,1))</f>
        <v/>
      </c>
      <c r="E988" s="14" t="str">
        <f t="shared" si="2"/>
        <v/>
      </c>
      <c r="F988" s="14" t="str">
        <f t="shared" si="3"/>
        <v/>
      </c>
      <c r="G988" s="15" t="str">
        <f t="shared" si="8"/>
        <v/>
      </c>
      <c r="H988" s="15" t="str">
        <f t="shared" si="9"/>
        <v/>
      </c>
      <c r="I988" s="16" t="str">
        <f t="shared" si="10"/>
        <v/>
      </c>
      <c r="J988" s="17"/>
      <c r="K988" s="14" t="str">
        <f t="array" ref="K988">IF(OR(H988="",H988="Selecciona.."),"",XLOOKUP(H988,Propiedades!B:B,Propiedades!C:C,"",0,1))</f>
        <v/>
      </c>
    </row>
    <row r="989">
      <c r="A989" s="14" t="str">
        <f t="shared" si="1"/>
        <v/>
      </c>
      <c r="B989" s="14" t="str">
        <f t="array" ref="B989">IF(OR(G989="",G989="Selecciona.."),"",XLOOKUP(G989,Productos!E:E,Productos!A:A,"",0,1))</f>
        <v/>
      </c>
      <c r="C989" s="14" t="str">
        <f t="array" ref="C989">IF(B989="","",SUMIF(Implementos!B:B,XLOOKUP(B989,Productos!A:A,Productos!F:F,"",0,1),Implementos!A:A))</f>
        <v/>
      </c>
      <c r="D989" s="14" t="str">
        <f t="array" ref="D989">IF(OR(H989="",H989="Selecciona.."),"",XLOOKUP(H989,Propiedades!B:B,Propiedades!A:A,"",0,1))</f>
        <v/>
      </c>
      <c r="E989" s="14" t="str">
        <f t="shared" si="2"/>
        <v/>
      </c>
      <c r="F989" s="14" t="str">
        <f t="shared" si="3"/>
        <v/>
      </c>
      <c r="G989" s="15" t="str">
        <f t="shared" si="8"/>
        <v/>
      </c>
      <c r="H989" s="15" t="str">
        <f t="shared" si="9"/>
        <v/>
      </c>
      <c r="I989" s="16" t="str">
        <f t="shared" si="10"/>
        <v/>
      </c>
      <c r="J989" s="17"/>
      <c r="K989" s="14" t="str">
        <f t="array" ref="K989">IF(OR(H989="",H989="Selecciona.."),"",XLOOKUP(H989,Propiedades!B:B,Propiedades!C:C,"",0,1))</f>
        <v/>
      </c>
    </row>
    <row r="990">
      <c r="A990" s="14" t="str">
        <f t="shared" si="1"/>
        <v/>
      </c>
      <c r="B990" s="14" t="str">
        <f t="array" ref="B990">IF(OR(G990="",G990="Selecciona.."),"",XLOOKUP(G990,Productos!E:E,Productos!A:A,"",0,1))</f>
        <v/>
      </c>
      <c r="C990" s="14" t="str">
        <f t="array" ref="C990">IF(B990="","",SUMIF(Implementos!B:B,XLOOKUP(B990,Productos!A:A,Productos!F:F,"",0,1),Implementos!A:A))</f>
        <v/>
      </c>
      <c r="D990" s="14" t="str">
        <f t="array" ref="D990">IF(OR(H990="",H990="Selecciona.."),"",XLOOKUP(H990,Propiedades!B:B,Propiedades!A:A,"",0,1))</f>
        <v/>
      </c>
      <c r="E990" s="14" t="str">
        <f t="shared" si="2"/>
        <v/>
      </c>
      <c r="F990" s="14" t="str">
        <f t="shared" si="3"/>
        <v/>
      </c>
      <c r="G990" s="15" t="str">
        <f t="shared" si="8"/>
        <v/>
      </c>
      <c r="H990" s="15" t="str">
        <f t="shared" si="9"/>
        <v/>
      </c>
      <c r="I990" s="16" t="str">
        <f t="shared" si="10"/>
        <v/>
      </c>
      <c r="J990" s="17"/>
      <c r="K990" s="14" t="str">
        <f t="array" ref="K990">IF(OR(H990="",H990="Selecciona.."),"",XLOOKUP(H990,Propiedades!B:B,Propiedades!C:C,"",0,1))</f>
        <v/>
      </c>
    </row>
    <row r="991">
      <c r="A991" s="14" t="str">
        <f t="shared" si="1"/>
        <v/>
      </c>
      <c r="B991" s="14" t="str">
        <f t="array" ref="B991">IF(OR(G991="",G991="Selecciona.."),"",XLOOKUP(G991,Productos!E:E,Productos!A:A,"",0,1))</f>
        <v/>
      </c>
      <c r="C991" s="14" t="str">
        <f t="array" ref="C991">IF(B991="","",SUMIF(Implementos!B:B,XLOOKUP(B991,Productos!A:A,Productos!F:F,"",0,1),Implementos!A:A))</f>
        <v/>
      </c>
      <c r="D991" s="14" t="str">
        <f t="array" ref="D991">IF(OR(H991="",H991="Selecciona.."),"",XLOOKUP(H991,Propiedades!B:B,Propiedades!A:A,"",0,1))</f>
        <v/>
      </c>
      <c r="E991" s="14" t="str">
        <f t="shared" si="2"/>
        <v/>
      </c>
      <c r="F991" s="14" t="str">
        <f t="shared" si="3"/>
        <v/>
      </c>
      <c r="G991" s="15" t="str">
        <f t="shared" si="8"/>
        <v/>
      </c>
      <c r="H991" s="15" t="str">
        <f t="shared" si="9"/>
        <v/>
      </c>
      <c r="I991" s="16" t="str">
        <f t="shared" si="10"/>
        <v/>
      </c>
      <c r="J991" s="17"/>
      <c r="K991" s="14" t="str">
        <f t="array" ref="K991">IF(OR(H991="",H991="Selecciona.."),"",XLOOKUP(H991,Propiedades!B:B,Propiedades!C:C,"",0,1))</f>
        <v/>
      </c>
    </row>
    <row r="992">
      <c r="A992" s="14" t="str">
        <f t="shared" si="1"/>
        <v/>
      </c>
      <c r="B992" s="14" t="str">
        <f t="array" ref="B992">IF(OR(G992="",G992="Selecciona.."),"",XLOOKUP(G992,Productos!E:E,Productos!A:A,"",0,1))</f>
        <v/>
      </c>
      <c r="C992" s="14" t="str">
        <f t="array" ref="C992">IF(B992="","",SUMIF(Implementos!B:B,XLOOKUP(B992,Productos!A:A,Productos!F:F,"",0,1),Implementos!A:A))</f>
        <v/>
      </c>
      <c r="D992" s="14" t="str">
        <f t="array" ref="D992">IF(OR(H992="",H992="Selecciona.."),"",XLOOKUP(H992,Propiedades!B:B,Propiedades!A:A,"",0,1))</f>
        <v/>
      </c>
      <c r="E992" s="14" t="str">
        <f t="shared" si="2"/>
        <v/>
      </c>
      <c r="F992" s="14" t="str">
        <f t="shared" si="3"/>
        <v/>
      </c>
      <c r="G992" s="15" t="str">
        <f t="shared" si="8"/>
        <v/>
      </c>
      <c r="H992" s="15" t="str">
        <f t="shared" si="9"/>
        <v/>
      </c>
      <c r="I992" s="16" t="str">
        <f t="shared" si="10"/>
        <v/>
      </c>
      <c r="J992" s="17"/>
      <c r="K992" s="14" t="str">
        <f t="array" ref="K992">IF(OR(H992="",H992="Selecciona.."),"",XLOOKUP(H992,Propiedades!B:B,Propiedades!C:C,"",0,1))</f>
        <v/>
      </c>
    </row>
    <row r="993">
      <c r="A993" s="14" t="str">
        <f t="shared" si="1"/>
        <v/>
      </c>
      <c r="B993" s="14" t="str">
        <f t="array" ref="B993">IF(OR(G993="",G993="Selecciona.."),"",XLOOKUP(G993,Productos!E:E,Productos!A:A,"",0,1))</f>
        <v/>
      </c>
      <c r="C993" s="14" t="str">
        <f t="array" ref="C993">IF(B993="","",SUMIF(Implementos!B:B,XLOOKUP(B993,Productos!A:A,Productos!F:F,"",0,1),Implementos!A:A))</f>
        <v/>
      </c>
      <c r="D993" s="14" t="str">
        <f t="array" ref="D993">IF(OR(H993="",H993="Selecciona.."),"",XLOOKUP(H993,Propiedades!B:B,Propiedades!A:A,"",0,1))</f>
        <v/>
      </c>
      <c r="E993" s="14" t="str">
        <f t="shared" si="2"/>
        <v/>
      </c>
      <c r="F993" s="14" t="str">
        <f t="shared" si="3"/>
        <v/>
      </c>
      <c r="G993" s="15" t="str">
        <f t="shared" si="8"/>
        <v/>
      </c>
      <c r="H993" s="15" t="str">
        <f t="shared" si="9"/>
        <v/>
      </c>
      <c r="I993" s="16" t="str">
        <f t="shared" si="10"/>
        <v/>
      </c>
      <c r="J993" s="17"/>
      <c r="K993" s="14" t="str">
        <f t="array" ref="K993">IF(OR(H993="",H993="Selecciona.."),"",XLOOKUP(H993,Propiedades!B:B,Propiedades!C:C,"",0,1))</f>
        <v/>
      </c>
    </row>
    <row r="994">
      <c r="A994" s="14" t="str">
        <f t="shared" si="1"/>
        <v/>
      </c>
      <c r="B994" s="14" t="str">
        <f t="array" ref="B994">IF(OR(G994="",G994="Selecciona.."),"",XLOOKUP(G994,Productos!E:E,Productos!A:A,"",0,1))</f>
        <v/>
      </c>
      <c r="C994" s="14" t="str">
        <f t="array" ref="C994">IF(B994="","",SUMIF(Implementos!B:B,XLOOKUP(B994,Productos!A:A,Productos!F:F,"",0,1),Implementos!A:A))</f>
        <v/>
      </c>
      <c r="D994" s="14" t="str">
        <f t="array" ref="D994">IF(OR(H994="",H994="Selecciona.."),"",XLOOKUP(H994,Propiedades!B:B,Propiedades!A:A,"",0,1))</f>
        <v/>
      </c>
      <c r="E994" s="14" t="str">
        <f t="shared" si="2"/>
        <v/>
      </c>
      <c r="F994" s="14" t="str">
        <f t="shared" si="3"/>
        <v/>
      </c>
      <c r="G994" s="15" t="str">
        <f t="shared" si="8"/>
        <v/>
      </c>
      <c r="H994" s="15" t="str">
        <f t="shared" si="9"/>
        <v/>
      </c>
      <c r="I994" s="16" t="str">
        <f t="shared" si="10"/>
        <v/>
      </c>
      <c r="J994" s="17"/>
      <c r="K994" s="14" t="str">
        <f t="array" ref="K994">IF(OR(H994="",H994="Selecciona.."),"",XLOOKUP(H994,Propiedades!B:B,Propiedades!C:C,"",0,1))</f>
        <v/>
      </c>
    </row>
    <row r="995">
      <c r="A995" s="14" t="str">
        <f t="shared" si="1"/>
        <v/>
      </c>
      <c r="B995" s="14" t="str">
        <f t="array" ref="B995">IF(OR(G995="",G995="Selecciona.."),"",XLOOKUP(G995,Productos!E:E,Productos!A:A,"",0,1))</f>
        <v/>
      </c>
      <c r="C995" s="14" t="str">
        <f t="array" ref="C995">IF(B995="","",SUMIF(Implementos!B:B,XLOOKUP(B995,Productos!A:A,Productos!F:F,"",0,1),Implementos!A:A))</f>
        <v/>
      </c>
      <c r="D995" s="14" t="str">
        <f t="array" ref="D995">IF(OR(H995="",H995="Selecciona.."),"",XLOOKUP(H995,Propiedades!B:B,Propiedades!A:A,"",0,1))</f>
        <v/>
      </c>
      <c r="E995" s="14" t="str">
        <f t="shared" si="2"/>
        <v/>
      </c>
      <c r="F995" s="14" t="str">
        <f t="shared" si="3"/>
        <v/>
      </c>
      <c r="G995" s="15" t="str">
        <f t="shared" si="8"/>
        <v/>
      </c>
      <c r="H995" s="15" t="str">
        <f t="shared" si="9"/>
        <v/>
      </c>
      <c r="I995" s="16" t="str">
        <f t="shared" si="10"/>
        <v/>
      </c>
      <c r="J995" s="17"/>
      <c r="K995" s="14" t="str">
        <f t="array" ref="K995">IF(OR(H995="",H995="Selecciona.."),"",XLOOKUP(H995,Propiedades!B:B,Propiedades!C:C,"",0,1))</f>
        <v/>
      </c>
    </row>
    <row r="996">
      <c r="A996" s="14" t="str">
        <f t="shared" si="1"/>
        <v/>
      </c>
      <c r="B996" s="14" t="str">
        <f t="array" ref="B996">IF(OR(G996="",G996="Selecciona.."),"",XLOOKUP(G996,Productos!E:E,Productos!A:A,"",0,1))</f>
        <v/>
      </c>
      <c r="C996" s="14" t="str">
        <f t="array" ref="C996">IF(B996="","",SUMIF(Implementos!B:B,XLOOKUP(B996,Productos!A:A,Productos!F:F,"",0,1),Implementos!A:A))</f>
        <v/>
      </c>
      <c r="D996" s="14" t="str">
        <f t="array" ref="D996">IF(OR(H996="",H996="Selecciona.."),"",XLOOKUP(H996,Propiedades!B:B,Propiedades!A:A,"",0,1))</f>
        <v/>
      </c>
      <c r="E996" s="14" t="str">
        <f t="shared" si="2"/>
        <v/>
      </c>
      <c r="F996" s="14" t="str">
        <f t="shared" si="3"/>
        <v/>
      </c>
      <c r="G996" s="15" t="str">
        <f t="shared" si="8"/>
        <v/>
      </c>
      <c r="H996" s="15" t="str">
        <f t="shared" si="9"/>
        <v/>
      </c>
      <c r="I996" s="16" t="str">
        <f t="shared" si="10"/>
        <v/>
      </c>
      <c r="J996" s="17"/>
      <c r="K996" s="14" t="str">
        <f t="array" ref="K996">IF(OR(H996="",H996="Selecciona.."),"",XLOOKUP(H996,Propiedades!B:B,Propiedades!C:C,"",0,1))</f>
        <v/>
      </c>
    </row>
  </sheetData>
  <autoFilter ref="$A$1:$L$996"/>
  <dataValidations>
    <dataValidation type="list" allowBlank="1" showErrorMessage="1" sqref="G2:G996">
      <formula1>Productos!$E$2:$E$998</formula1>
    </dataValidation>
    <dataValidation type="list" allowBlank="1" sqref="I2:I996">
      <formula1>"Exacto,Minimo,Máximo"</formula1>
    </dataValidation>
    <dataValidation type="list" allowBlank="1" sqref="H2:H996">
      <formula1>Propiedades!$B$2:$B$996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43.0"/>
    <col customWidth="1" min="3" max="3" width="15.0"/>
    <col customWidth="1" min="4" max="4" width="7.38"/>
    <col customWidth="1" min="5" max="6" width="15.0"/>
    <col customWidth="1" min="7" max="7" width="8.38"/>
    <col customWidth="1" min="8" max="8" width="3.75"/>
    <col customWidth="1" min="9" max="9" width="15.0"/>
    <col customWidth="1" min="10" max="10" width="14.5"/>
    <col customWidth="1" min="11" max="11" width="7.75"/>
    <col customWidth="1" min="12" max="12" width="41.75"/>
    <col customWidth="1" min="13" max="13" width="15.5"/>
  </cols>
  <sheetData>
    <row r="1">
      <c r="A1" s="18" t="s">
        <v>25</v>
      </c>
      <c r="B1" s="18" t="s">
        <v>151</v>
      </c>
      <c r="C1" s="19" t="s">
        <v>152</v>
      </c>
      <c r="D1" s="19" t="s">
        <v>153</v>
      </c>
      <c r="E1" s="19" t="s">
        <v>154</v>
      </c>
      <c r="F1" s="19" t="s">
        <v>155</v>
      </c>
      <c r="G1" s="19" t="s">
        <v>156</v>
      </c>
      <c r="H1" s="19"/>
      <c r="I1" s="20">
        <v>0.05</v>
      </c>
      <c r="J1" s="21">
        <f>max(M1:AK1)</f>
        <v>81</v>
      </c>
      <c r="K1" s="22" t="s">
        <v>26</v>
      </c>
      <c r="L1" s="19" t="s">
        <v>157</v>
      </c>
      <c r="M1" s="23">
        <v>81.0</v>
      </c>
      <c r="N1" s="24" t="str">
        <f t="shared" ref="N1:AK1" si="1">IF(N2="","",M1+1)</f>
        <v/>
      </c>
      <c r="O1" s="24" t="str">
        <f t="shared" si="1"/>
        <v/>
      </c>
      <c r="P1" s="24" t="str">
        <f t="shared" si="1"/>
        <v/>
      </c>
      <c r="Q1" s="24" t="str">
        <f t="shared" si="1"/>
        <v/>
      </c>
      <c r="R1" s="24" t="str">
        <f t="shared" si="1"/>
        <v/>
      </c>
      <c r="S1" s="24" t="str">
        <f t="shared" si="1"/>
        <v/>
      </c>
      <c r="T1" s="24" t="str">
        <f t="shared" si="1"/>
        <v/>
      </c>
      <c r="U1" s="24" t="str">
        <f t="shared" si="1"/>
        <v/>
      </c>
      <c r="V1" s="24" t="str">
        <f t="shared" si="1"/>
        <v/>
      </c>
      <c r="W1" s="24" t="str">
        <f t="shared" si="1"/>
        <v/>
      </c>
      <c r="X1" s="24" t="str">
        <f t="shared" si="1"/>
        <v/>
      </c>
      <c r="Y1" s="24" t="str">
        <f t="shared" si="1"/>
        <v/>
      </c>
      <c r="Z1" s="24" t="str">
        <f t="shared" si="1"/>
        <v/>
      </c>
      <c r="AA1" s="24" t="str">
        <f t="shared" si="1"/>
        <v/>
      </c>
      <c r="AB1" s="24" t="str">
        <f t="shared" si="1"/>
        <v/>
      </c>
      <c r="AC1" s="24" t="str">
        <f t="shared" si="1"/>
        <v/>
      </c>
      <c r="AD1" s="24" t="str">
        <f t="shared" si="1"/>
        <v/>
      </c>
      <c r="AE1" s="24" t="str">
        <f t="shared" si="1"/>
        <v/>
      </c>
      <c r="AF1" s="24" t="str">
        <f t="shared" si="1"/>
        <v/>
      </c>
      <c r="AG1" s="24" t="str">
        <f t="shared" si="1"/>
        <v/>
      </c>
      <c r="AH1" s="24" t="str">
        <f t="shared" si="1"/>
        <v/>
      </c>
      <c r="AI1" s="24" t="str">
        <f t="shared" si="1"/>
        <v/>
      </c>
      <c r="AJ1" s="24" t="str">
        <f t="shared" si="1"/>
        <v/>
      </c>
      <c r="AK1" s="24" t="str">
        <f t="shared" si="1"/>
        <v/>
      </c>
    </row>
    <row r="2">
      <c r="A2" s="2">
        <f>IF(B2="","",SUMIF(Prearmados!E:E,B2,Prearmados!A:A))</f>
        <v>51</v>
      </c>
      <c r="B2" s="25" t="s">
        <v>158</v>
      </c>
      <c r="C2" s="26">
        <f>SUMIF(Prearmados!E:E,B2,Prearmados!G:G)</f>
        <v>11206281</v>
      </c>
      <c r="D2" s="26"/>
      <c r="E2" s="26">
        <f>SUM(E3:E16)</f>
        <v>11206281</v>
      </c>
      <c r="F2" s="26">
        <f>C2-E2</f>
        <v>0</v>
      </c>
      <c r="G2" s="27">
        <f>F2/C2</f>
        <v>0</v>
      </c>
      <c r="H2" s="26"/>
      <c r="I2" s="28">
        <f>IF(OR(I$1=0,I$1=""),"",TODAY())</f>
        <v>46098</v>
      </c>
      <c r="J2" s="29">
        <f>SUMIF(M1:AK1,J1,M2:AK2)</f>
        <v>45931</v>
      </c>
      <c r="M2" s="30">
        <v>45931.0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</row>
    <row r="3">
      <c r="A3" s="2">
        <f>IF(B3="","",SUMIF(Productos!E:E,B3,Productos!A:A))</f>
        <v>144</v>
      </c>
      <c r="B3" s="34" t="str">
        <f>IFERROR(__xludf.DUMMYFUNCTION("SORT(FILTER(Estructuras!G:G,Estructuras!F:F=B2),FILTER(Estructuras!E:E,Estructuras!F:F=B2),0)"),"Base Retroexcavadora RT-290")</f>
        <v>Base Retroexcavadora RT-290</v>
      </c>
      <c r="C3" s="35">
        <v>0.0</v>
      </c>
      <c r="D3" s="19">
        <f>IF(B3="","",SUMIFS(Estructuras!H:H,Estructuras!B:B,A$2,Estructuras!C:C,A3))</f>
        <v>1</v>
      </c>
      <c r="E3" s="26">
        <f>IF(A3="","",IF(SUMIFS(Estructuras!E:E,Estructuras!B:B,A$2,Estructuras!C:C,A3)&gt;0,SUMIFS(Estructuras!E:E,Estructuras!B:B,A$2,Estructuras!C:C,A3),C3*D3))</f>
        <v>10406890</v>
      </c>
      <c r="F3" s="28"/>
      <c r="G3" s="28"/>
      <c r="H3" s="28"/>
      <c r="I3" s="36">
        <f t="shared" ref="I3:I1000" si="2">IF(OR(I$1=0,I$1="",J3=""),"",CEILING((J3*(1+I$1)),1))</f>
        <v>2625000</v>
      </c>
      <c r="J3" s="37">
        <f t="shared" ref="J3:J1000" si="3">IF(M3="","",SUMIF(M$1:AK$1,J$1,M3:AK3))</f>
        <v>2500000</v>
      </c>
      <c r="K3" s="38">
        <f>IF(L3="","",SUMIF(Productos!E:E,L3,Productos!A:A))</f>
        <v>50</v>
      </c>
      <c r="L3" s="1" t="s">
        <v>61</v>
      </c>
      <c r="M3" s="39">
        <v>2500000.0</v>
      </c>
      <c r="N3" s="36"/>
    </row>
    <row r="4">
      <c r="A4" s="2">
        <f>IF(B4="","",SUMIF(Productos!E:E,B4,Productos!A:A))</f>
        <v>147</v>
      </c>
      <c r="B4" s="40" t="str">
        <f>IFERROR(__xludf.DUMMYFUNCTION("""COMPUTED_VALUE""")," Acople 3P Clase 3 ")</f>
        <v>Acople 3P Clase 3</v>
      </c>
      <c r="C4" s="35">
        <v>0.0</v>
      </c>
      <c r="D4" s="19">
        <f>IF(B4="","",SUMIFS(Estructuras!H:H,Estructuras!B:B,A$2,Estructuras!C:C,A4))</f>
        <v>1</v>
      </c>
      <c r="E4" s="26">
        <f>IF(A4="","",IF(SUMIFS(Estructuras!E:E,Estructuras!B:B,A$2,Estructuras!C:C,A4)&gt;0,SUMIFS(Estructuras!E:E,Estructuras!B:B,A$2,Estructuras!C:C,A4),C4*D4))</f>
        <v>799391</v>
      </c>
      <c r="F4" s="36"/>
      <c r="G4" s="36"/>
      <c r="H4" s="36"/>
      <c r="I4" s="36">
        <f t="shared" si="2"/>
        <v>801731</v>
      </c>
      <c r="J4" s="37">
        <f t="shared" si="3"/>
        <v>763553</v>
      </c>
      <c r="K4" s="38">
        <f>IF(L4="","",SUMIF(Productos!E:E,L4,Productos!A:A))</f>
        <v>92</v>
      </c>
      <c r="L4" s="1" t="s">
        <v>30</v>
      </c>
      <c r="M4" s="39">
        <v>763553.0</v>
      </c>
      <c r="N4" s="36"/>
    </row>
    <row r="5">
      <c r="A5" s="2" t="str">
        <f>IF(B5="","",SUMIF(Productos!E:E,B5,Productos!A:A))</f>
        <v/>
      </c>
      <c r="B5" s="40"/>
      <c r="C5" s="35">
        <v>0.0</v>
      </c>
      <c r="D5" s="19" t="str">
        <f>IF(B5="","",SUMIFS(Estructuras!H:H,Estructuras!B:B,A$2,Estructuras!C:C,A5))</f>
        <v/>
      </c>
      <c r="E5" s="26" t="str">
        <f>IF(A5="","",IF(SUMIFS(Estructuras!E:E,Estructuras!B:B,A$2,Estructuras!C:C,A5)&gt;0,SUMIFS(Estructuras!E:E,Estructuras!B:B,A$2,Estructuras!C:C,A5),C5*D5))</f>
        <v/>
      </c>
      <c r="F5" s="36"/>
      <c r="G5" s="36"/>
      <c r="H5" s="36"/>
      <c r="I5" s="36">
        <f t="shared" si="2"/>
        <v>2686790</v>
      </c>
      <c r="J5" s="37">
        <f t="shared" si="3"/>
        <v>2558847</v>
      </c>
      <c r="K5" s="38">
        <f>IF(L5="","",SUMIF(Productos!E:E,L5,Productos!A:A))</f>
        <v>76</v>
      </c>
      <c r="L5" s="1" t="s">
        <v>102</v>
      </c>
      <c r="M5" s="39">
        <v>2558847.0</v>
      </c>
      <c r="N5" s="36"/>
    </row>
    <row r="6">
      <c r="A6" s="2" t="str">
        <f>IF(B6="","",SUMIF(Productos!E:E,B6,Productos!A:A))</f>
        <v/>
      </c>
      <c r="B6" s="40"/>
      <c r="C6" s="35">
        <v>0.0</v>
      </c>
      <c r="D6" s="19" t="str">
        <f>IF(B6="","",SUMIFS(Estructuras!H:H,Estructuras!B:B,A$2,Estructuras!C:C,A6))</f>
        <v/>
      </c>
      <c r="E6" s="26" t="str">
        <f>IF(A6="","",IF(SUMIFS(Estructuras!E:E,Estructuras!B:B,A$2,Estructuras!C:C,A6)&gt;0,SUMIFS(Estructuras!E:E,Estructuras!B:B,A$2,Estructuras!C:C,A6),C6*D6))</f>
        <v/>
      </c>
      <c r="F6" s="36"/>
      <c r="G6" s="36"/>
      <c r="H6" s="36"/>
      <c r="I6" s="36">
        <f t="shared" si="2"/>
        <v>141951</v>
      </c>
      <c r="J6" s="37">
        <f t="shared" si="3"/>
        <v>135191</v>
      </c>
      <c r="K6" s="38">
        <f>IF(L6="","",SUMIF(Productos!E:E,L6,Productos!A:A))</f>
        <v>94</v>
      </c>
      <c r="L6" s="1" t="s">
        <v>121</v>
      </c>
      <c r="M6" s="39">
        <v>135191.0</v>
      </c>
      <c r="N6" s="36"/>
    </row>
    <row r="7">
      <c r="A7" s="2" t="str">
        <f>IF(B7="","",SUMIF(Productos!E:E,B7,Productos!A:A))</f>
        <v/>
      </c>
      <c r="B7" s="40"/>
      <c r="C7" s="35"/>
      <c r="D7" s="19" t="str">
        <f>IF(B7="","",SUMIFS(Estructuras!H:H,Estructuras!B:B,A$2,Estructuras!C:C,A7))</f>
        <v/>
      </c>
      <c r="E7" s="26" t="str">
        <f>IF(A7="","",IF(SUMIFS(Estructuras!E:E,Estructuras!B:B,A$2,Estructuras!C:C,A7)&gt;0,SUMIFS(Estructuras!E:E,Estructuras!B:B,A$2,Estructuras!C:C,A7),C7*D7))</f>
        <v/>
      </c>
      <c r="F7" s="36"/>
      <c r="G7" s="36"/>
      <c r="H7" s="36"/>
      <c r="I7" s="36">
        <f t="shared" si="2"/>
        <v>553547</v>
      </c>
      <c r="J7" s="37">
        <f t="shared" si="3"/>
        <v>527187</v>
      </c>
      <c r="K7" s="38">
        <f>IF(L7="","",SUMIF(Productos!E:E,L7,Productos!A:A))</f>
        <v>102</v>
      </c>
      <c r="L7" s="1" t="s">
        <v>134</v>
      </c>
      <c r="M7" s="39">
        <v>527187.0</v>
      </c>
      <c r="N7" s="36"/>
    </row>
    <row r="8">
      <c r="A8" s="2" t="str">
        <f>IF(B8="","",SUMIF(Productos!E:E,B8,Productos!A:A))</f>
        <v/>
      </c>
      <c r="B8" s="40"/>
      <c r="C8" s="35"/>
      <c r="D8" s="19" t="str">
        <f>IF(B8="","",SUMIFS(Estructuras!H:H,Estructuras!B:B,A$2,Estructuras!C:C,A8))</f>
        <v/>
      </c>
      <c r="E8" s="26" t="str">
        <f>IF(A8="","",IF(SUMIFS(Estructuras!E:E,Estructuras!B:B,A$2,Estructuras!C:C,A8)&gt;0,SUMIFS(Estructuras!E:E,Estructuras!B:B,A$2,Estructuras!C:C,A8),C8*D8))</f>
        <v/>
      </c>
      <c r="F8" s="36"/>
      <c r="G8" s="36"/>
      <c r="H8" s="36"/>
      <c r="I8" s="36">
        <f t="shared" si="2"/>
        <v>146475</v>
      </c>
      <c r="J8" s="37">
        <f t="shared" si="3"/>
        <v>139500</v>
      </c>
      <c r="K8" s="38">
        <f>IF(L8="","",SUMIF(Productos!E:E,L8,Productos!A:A))</f>
        <v>111</v>
      </c>
      <c r="L8" s="1" t="s">
        <v>130</v>
      </c>
      <c r="M8" s="39">
        <v>139500.0</v>
      </c>
      <c r="N8" s="36"/>
    </row>
    <row r="9">
      <c r="A9" s="2" t="str">
        <f>IF(B9="","",SUMIF(Productos!E:E,B9,Productos!A:A))</f>
        <v/>
      </c>
      <c r="B9" s="40"/>
      <c r="C9" s="35"/>
      <c r="D9" s="19" t="str">
        <f>IF(B9="","",SUMIFS(Estructuras!H:H,Estructuras!B:B,A$2,Estructuras!C:C,A9))</f>
        <v/>
      </c>
      <c r="E9" s="26" t="str">
        <f>IF(A9="","",IF(SUMIFS(Estructuras!E:E,Estructuras!B:B,A$2,Estructuras!C:C,A9)&gt;0,SUMIFS(Estructuras!E:E,Estructuras!B:B,A$2,Estructuras!C:C,A9),C9*D9))</f>
        <v/>
      </c>
      <c r="F9" s="36"/>
      <c r="G9" s="36"/>
      <c r="H9" s="36"/>
      <c r="I9" s="36">
        <f t="shared" si="2"/>
        <v>665616</v>
      </c>
      <c r="J9" s="37">
        <f t="shared" si="3"/>
        <v>633920</v>
      </c>
      <c r="K9" s="38">
        <f>IF(L9="","",SUMIF(Productos!E:E,L9,Productos!A:A))</f>
        <v>57</v>
      </c>
      <c r="L9" s="1" t="s">
        <v>32</v>
      </c>
      <c r="M9" s="39">
        <v>633920.0</v>
      </c>
      <c r="N9" s="36"/>
    </row>
    <row r="10">
      <c r="A10" s="2" t="str">
        <f>IF(B10="","",SUMIF(Productos!E:E,B10,Productos!A:A))</f>
        <v/>
      </c>
      <c r="B10" s="40"/>
      <c r="C10" s="35"/>
      <c r="D10" s="19" t="str">
        <f>IF(B10="","",SUMIFS(Estructuras!H:H,Estructuras!B:B,A$2,Estructuras!C:C,A10))</f>
        <v/>
      </c>
      <c r="E10" s="26" t="str">
        <f>IF(A10="","",IF(SUMIFS(Estructuras!E:E,Estructuras!B:B,A$2,Estructuras!C:C,A10)&gt;0,SUMIFS(Estructuras!E:E,Estructuras!B:B,A$2,Estructuras!C:C,A10),C10*D10))</f>
        <v/>
      </c>
      <c r="F10" s="36"/>
      <c r="G10" s="36"/>
      <c r="H10" s="36"/>
      <c r="I10" s="36">
        <f t="shared" si="2"/>
        <v>307208</v>
      </c>
      <c r="J10" s="37">
        <f t="shared" si="3"/>
        <v>292579</v>
      </c>
      <c r="K10" s="38">
        <f>IF(L10="","",SUMIF(Productos!E:E,L10,Productos!A:A))</f>
        <v>66</v>
      </c>
      <c r="L10" s="1" t="s">
        <v>79</v>
      </c>
      <c r="M10" s="39">
        <v>292579.0</v>
      </c>
      <c r="N10" s="36"/>
    </row>
    <row r="11">
      <c r="A11" s="2" t="str">
        <f>IF(B11="","",SUMIF(Productos!E:E,B11,Productos!A:A))</f>
        <v/>
      </c>
      <c r="B11" s="40"/>
      <c r="C11" s="35"/>
      <c r="D11" s="19" t="str">
        <f>IF(B11="","",SUMIFS(Estructuras!H:H,Estructuras!B:B,A$2,Estructuras!C:C,A11))</f>
        <v/>
      </c>
      <c r="E11" s="26" t="str">
        <f>IF(A11="","",IF(SUMIFS(Estructuras!E:E,Estructuras!B:B,A$2,Estructuras!C:C,A11)&gt;0,SUMIFS(Estructuras!E:E,Estructuras!B:B,A$2,Estructuras!C:C,A11),C11*D11))</f>
        <v/>
      </c>
      <c r="F11" s="36"/>
      <c r="G11" s="36"/>
      <c r="H11" s="36"/>
      <c r="I11" s="36">
        <f t="shared" si="2"/>
        <v>307208</v>
      </c>
      <c r="J11" s="37">
        <f t="shared" si="3"/>
        <v>292579</v>
      </c>
      <c r="K11" s="38">
        <f>IF(L11="","",SUMIF(Productos!E:E,L11,Productos!A:A))</f>
        <v>67</v>
      </c>
      <c r="L11" s="1" t="s">
        <v>81</v>
      </c>
      <c r="M11" s="39">
        <v>292579.0</v>
      </c>
      <c r="N11" s="36"/>
    </row>
    <row r="12">
      <c r="A12" s="2" t="str">
        <f>IF(B12="","",SUMIF(Productos!E:E,B12,Productos!A:A))</f>
        <v/>
      </c>
      <c r="B12" s="40"/>
      <c r="C12" s="35"/>
      <c r="D12" s="19" t="str">
        <f>IF(B12="","",SUMIFS(Estructuras!H:H,Estructuras!B:B,A$2,Estructuras!C:C,A12))</f>
        <v/>
      </c>
      <c r="E12" s="26" t="str">
        <f>IF(A12="","",IF(SUMIFS(Estructuras!E:E,Estructuras!B:B,A$2,Estructuras!C:C,A12)&gt;0,SUMIFS(Estructuras!E:E,Estructuras!B:B,A$2,Estructuras!C:C,A12),C12*D12))</f>
        <v/>
      </c>
      <c r="F12" s="36"/>
      <c r="G12" s="36"/>
      <c r="H12" s="36"/>
      <c r="I12" s="36">
        <f t="shared" si="2"/>
        <v>2577597</v>
      </c>
      <c r="J12" s="37">
        <f t="shared" si="3"/>
        <v>2454854</v>
      </c>
      <c r="K12" s="38">
        <f>IF(L12="","",SUMIF(Productos!E:E,L12,Productos!A:A))</f>
        <v>73</v>
      </c>
      <c r="L12" s="41" t="s">
        <v>99</v>
      </c>
      <c r="M12" s="39">
        <v>2454854.0</v>
      </c>
      <c r="N12" s="36"/>
    </row>
    <row r="13">
      <c r="A13" s="2" t="str">
        <f>IF(B13="","",SUMIF(Productos!E:E,B13,Productos!A:A))</f>
        <v/>
      </c>
      <c r="B13" s="40"/>
      <c r="C13" s="35"/>
      <c r="D13" s="19" t="str">
        <f>IF(B13="","",SUMIFS(Estructuras!H:H,Estructuras!B:B,A$2,Estructuras!C:C,A13))</f>
        <v/>
      </c>
      <c r="E13" s="26" t="str">
        <f>IF(A13="","",IF(SUMIFS(Estructuras!E:E,Estructuras!B:B,A$2,Estructuras!C:C,A13)&gt;0,SUMIFS(Estructuras!E:E,Estructuras!B:B,A$2,Estructuras!C:C,A13),C13*D13))</f>
        <v/>
      </c>
      <c r="F13" s="36"/>
      <c r="G13" s="36"/>
      <c r="H13" s="36"/>
      <c r="I13" s="36">
        <f t="shared" si="2"/>
        <v>125160</v>
      </c>
      <c r="J13" s="37">
        <f t="shared" si="3"/>
        <v>119200</v>
      </c>
      <c r="K13" s="38">
        <f>IF(L13="","",SUMIF(Productos!E:E,L13,Productos!A:A))</f>
        <v>110</v>
      </c>
      <c r="L13" s="36" t="s">
        <v>129</v>
      </c>
      <c r="M13" s="39">
        <v>119200.0</v>
      </c>
      <c r="N13" s="36"/>
    </row>
    <row r="14">
      <c r="A14" s="2" t="str">
        <f>IF(B14="","",SUMIF(Productos!E:E,B14,Productos!A:A))</f>
        <v/>
      </c>
      <c r="B14" s="40"/>
      <c r="C14" s="35"/>
      <c r="D14" s="19" t="str">
        <f>IF(B14="","",SUMIFS(Estructuras!H:H,Estructuras!B:B,A$2,Estructuras!C:C,A14))</f>
        <v/>
      </c>
      <c r="E14" s="26" t="str">
        <f>IF(A14="","",IF(SUMIFS(Estructuras!E:E,Estructuras!B:B,A$2,Estructuras!C:C,A14)&gt;0,SUMIFS(Estructuras!E:E,Estructuras!B:B,A$2,Estructuras!C:C,A14),C14*D14))</f>
        <v/>
      </c>
      <c r="F14" s="36"/>
      <c r="G14" s="36"/>
      <c r="H14" s="36"/>
      <c r="I14" s="36">
        <f t="shared" si="2"/>
        <v>1944022</v>
      </c>
      <c r="J14" s="37">
        <f t="shared" si="3"/>
        <v>1851449</v>
      </c>
      <c r="K14" s="38">
        <f>IF(L14="","",SUMIF(Productos!E:E,L14,Productos!A:A))</f>
        <v>49</v>
      </c>
      <c r="L14" s="41" t="s">
        <v>59</v>
      </c>
      <c r="M14" s="39">
        <v>1851449.0</v>
      </c>
      <c r="N14" s="36"/>
    </row>
    <row r="15">
      <c r="A15" s="2" t="str">
        <f>IF(B15="","",SUMIF(Productos!E:E,B15,Productos!A:A))</f>
        <v/>
      </c>
      <c r="B15" s="40"/>
      <c r="C15" s="35"/>
      <c r="D15" s="19" t="str">
        <f>IF(B15="","",SUMIFS(Estructuras!H:H,Estructuras!B:B,A$2,Estructuras!C:C,A15))</f>
        <v/>
      </c>
      <c r="E15" s="26" t="str">
        <f>IF(A15="","",IF(SUMIFS(Estructuras!E:E,Estructuras!B:B,A$2,Estructuras!C:C,A15)&gt;0,SUMIFS(Estructuras!E:E,Estructuras!B:B,A$2,Estructuras!C:C,A15),C15*D15))</f>
        <v/>
      </c>
      <c r="F15" s="36"/>
      <c r="G15" s="36"/>
      <c r="H15" s="36"/>
      <c r="I15" s="36">
        <f t="shared" si="2"/>
        <v>409500</v>
      </c>
      <c r="J15" s="37">
        <f t="shared" si="3"/>
        <v>390000</v>
      </c>
      <c r="K15" s="38">
        <f>IF(L15="","",SUMIF(Productos!E:E,L15,Productos!A:A))</f>
        <v>101</v>
      </c>
      <c r="L15" s="40" t="s">
        <v>133</v>
      </c>
      <c r="M15" s="39">
        <v>390000.0</v>
      </c>
      <c r="N15" s="36"/>
    </row>
    <row r="16">
      <c r="A16" s="2" t="str">
        <f>IF(B16="","",SUMIF(Productos!E:E,B16,Productos!A:A))</f>
        <v/>
      </c>
      <c r="B16" s="40"/>
      <c r="C16" s="35"/>
      <c r="D16" s="19" t="str">
        <f>IF(B16="","",SUMIFS(Estructuras!H:H,Estructuras!B:B,A$2,Estructuras!C:C,A16))</f>
        <v/>
      </c>
      <c r="E16" s="26" t="str">
        <f>IF(A16="","",IF(SUMIFS(Estructuras!E:E,Estructuras!B:B,A$2,Estructuras!C:C,A16)&gt;0,SUMIFS(Estructuras!E:E,Estructuras!B:B,A$2,Estructuras!C:C,A16),C16*D16))</f>
        <v/>
      </c>
      <c r="F16" s="36"/>
      <c r="G16" s="36"/>
      <c r="H16" s="36"/>
      <c r="I16" s="36">
        <f t="shared" si="2"/>
        <v>106470</v>
      </c>
      <c r="J16" s="37">
        <f t="shared" si="3"/>
        <v>101400</v>
      </c>
      <c r="K16" s="38">
        <f>IF(L16="","",SUMIF(Productos!E:E,L16,Productos!A:A))</f>
        <v>100</v>
      </c>
      <c r="L16" s="40" t="s">
        <v>127</v>
      </c>
      <c r="M16" s="39">
        <v>101400.0</v>
      </c>
      <c r="N16" s="36"/>
    </row>
    <row r="17">
      <c r="A17" s="2" t="str">
        <f>IF(B17="","",SUMIF(Productos!E:E,B17,Productos!A:A))</f>
        <v/>
      </c>
      <c r="B17" s="40"/>
      <c r="C17" s="19" t="s">
        <v>152</v>
      </c>
      <c r="D17" s="19" t="str">
        <f>IF(B17="","",SUMIFS(Estructuras!H:H,Estructuras!B:B,A$2,Estructuras!C:C,A17))</f>
        <v/>
      </c>
      <c r="E17" s="19" t="s">
        <v>154</v>
      </c>
      <c r="F17" s="19" t="s">
        <v>155</v>
      </c>
      <c r="G17" s="19" t="s">
        <v>156</v>
      </c>
      <c r="H17" s="36"/>
      <c r="I17" s="36">
        <f t="shared" si="2"/>
        <v>184485</v>
      </c>
      <c r="J17" s="37">
        <f t="shared" si="3"/>
        <v>175700</v>
      </c>
      <c r="K17" s="38">
        <f>IF(L17="","",SUMIF(Productos!E:E,L17,Productos!A:A))</f>
        <v>0</v>
      </c>
      <c r="L17" s="40" t="s">
        <v>159</v>
      </c>
      <c r="M17" s="39">
        <v>175700.0</v>
      </c>
      <c r="N17" s="36"/>
    </row>
    <row r="18">
      <c r="A18" s="2">
        <f>IF(B18="","",SUMIF(Productos!E:E,B18,Productos!A:A))</f>
        <v>65</v>
      </c>
      <c r="B18" s="42" t="s">
        <v>87</v>
      </c>
      <c r="C18" s="26"/>
      <c r="D18" s="19"/>
      <c r="E18" s="26">
        <f>IF(A18="","",IF(SUMIFS(Estructuras!E:E,Estructuras!B:B,A$2,Estructuras!C:C,A18)&gt;0,SUMIFS(Estructuras!E:E,Estructuras!B:B,A$2,Estructuras!C:C,A18),C18*D18))</f>
        <v>0</v>
      </c>
      <c r="F18" s="36"/>
      <c r="G18" s="36"/>
      <c r="H18" s="36"/>
      <c r="I18" s="36">
        <f t="shared" si="2"/>
        <v>1610696</v>
      </c>
      <c r="J18" s="37">
        <f t="shared" si="3"/>
        <v>1533996</v>
      </c>
      <c r="K18" s="38">
        <f>IF(L18="","",SUMIF(Productos!E:E,L18,Productos!A:A))</f>
        <v>46</v>
      </c>
      <c r="L18" s="34" t="s">
        <v>53</v>
      </c>
      <c r="M18" s="39">
        <v>1533996.0</v>
      </c>
      <c r="N18" s="36"/>
    </row>
    <row r="19">
      <c r="A19" s="2">
        <f>IF(B19="","",SUMIF(Prearmados!E:E,B19,Prearmados!A:A))</f>
        <v>18</v>
      </c>
      <c r="B19" s="40" t="str">
        <f>IFERROR(__xludf.DUMMYFUNCTION("IFERROR(unique(filter(Estructuras!F:F,Estructuras!C:C=Precio_Productos!A18,Estructuras!F:F&lt;&gt;B2)),"""")")," Tanque Combinado 3000 lts C/Taller ")</f>
        <v>Tanque Combinado 3000 lts C/Taller</v>
      </c>
      <c r="C19" s="26">
        <f>IF(B19="","",SUMIF(Prearmados!E:E,B19,Prearmados!G:G))</f>
        <v>15515000</v>
      </c>
      <c r="D19" s="19"/>
      <c r="E19" s="26">
        <f>IF(A19="","",SUMIF(Estructuras!B:B,A19,Estructuras!E:E))</f>
        <v>15515000</v>
      </c>
      <c r="F19" s="36">
        <f>C19-E19</f>
        <v>0</v>
      </c>
      <c r="G19" s="36"/>
      <c r="H19" s="36"/>
      <c r="I19" s="36">
        <f t="shared" si="2"/>
        <v>897960</v>
      </c>
      <c r="J19" s="37">
        <f t="shared" si="3"/>
        <v>855200</v>
      </c>
      <c r="K19" s="38">
        <f>IF(L19="","",SUMIF(Productos!E:E,L19,Productos!A:A))</f>
        <v>83</v>
      </c>
      <c r="L19" s="40" t="s">
        <v>109</v>
      </c>
      <c r="M19" s="39">
        <v>855200.0</v>
      </c>
      <c r="N19" s="36"/>
    </row>
    <row r="20">
      <c r="A20" s="2">
        <f>IF(B20="","",SUMIF(Productos!E:E,B20,Productos!A:A))</f>
        <v>0</v>
      </c>
      <c r="B20" s="40" t="str">
        <f>IFERROR(__xludf.DUMMYFUNCTION("""COMPUTED_VALUE""")," Tanque Combinado 4000 lts C/Taller ")</f>
        <v>Tanque Combinado 4000 lts C/Taller</v>
      </c>
      <c r="C20" s="26">
        <f>IF(B20="","",SUMIF(Prearmados!E:E,B20,Prearmados!G:G))</f>
        <v>17922500</v>
      </c>
      <c r="D20" s="19"/>
      <c r="E20" s="26">
        <f>IF(A20="","",IF(SUMIFS(Estructuras!E:E,Estructuras!B:B,A$2,Estructuras!C:C,A20)&gt;0,SUMIFS(Estructuras!E:E,Estructuras!B:B,A$2,Estructuras!C:C,A20),C20*D20))</f>
        <v>0</v>
      </c>
      <c r="F20" s="36"/>
      <c r="G20" s="36"/>
      <c r="H20" s="36"/>
      <c r="I20" s="36">
        <f t="shared" si="2"/>
        <v>1281840</v>
      </c>
      <c r="J20" s="37">
        <f t="shared" si="3"/>
        <v>1220800</v>
      </c>
      <c r="K20" s="38">
        <f>IF(L20="","",SUMIF(Productos!E:E,L20,Productos!A:A))</f>
        <v>45</v>
      </c>
      <c r="L20" s="41" t="s">
        <v>71</v>
      </c>
      <c r="M20" s="39">
        <v>1220800.0</v>
      </c>
      <c r="N20" s="36"/>
    </row>
    <row r="21">
      <c r="A21" s="2" t="str">
        <f>IF(B21="","",SUMIF(Productos!E:E,B21,Productos!A:A))</f>
        <v/>
      </c>
      <c r="B21" s="40"/>
      <c r="C21" s="26" t="str">
        <f>IF(B21="","",SUMIF(Prearmados!E:E,B21,Prearmados!G:G))</f>
        <v/>
      </c>
      <c r="D21" s="19"/>
      <c r="E21" s="26" t="str">
        <f>IF(A21="","",IF(SUMIFS(Estructuras!E:E,Estructuras!B:B,A$2,Estructuras!C:C,A21)&gt;0,SUMIFS(Estructuras!E:E,Estructuras!B:B,A$2,Estructuras!C:C,A21),C21*D21))</f>
        <v/>
      </c>
      <c r="F21" s="36"/>
      <c r="G21" s="36"/>
      <c r="H21" s="36"/>
      <c r="I21" s="36">
        <f t="shared" si="2"/>
        <v>773850</v>
      </c>
      <c r="J21" s="37">
        <f t="shared" si="3"/>
        <v>737000</v>
      </c>
      <c r="K21" s="38">
        <f>IF(L21="","",SUMIF(Productos!E:E,L21,Productos!A:A))</f>
        <v>85</v>
      </c>
      <c r="L21" s="36" t="s">
        <v>111</v>
      </c>
      <c r="M21" s="39">
        <v>737000.0</v>
      </c>
      <c r="N21" s="36"/>
    </row>
    <row r="22">
      <c r="A22" s="2" t="str">
        <f>IF(B22="","",SUMIF(Productos!E:E,B22,Productos!A:A))</f>
        <v/>
      </c>
      <c r="B22" s="40"/>
      <c r="C22" s="26" t="str">
        <f>IF(B22="","",SUMIF(Prearmados!E:E,B22,Prearmados!G:G))</f>
        <v/>
      </c>
      <c r="D22" s="19"/>
      <c r="E22" s="26" t="str">
        <f>IF(A22="","",IF(SUMIFS(Estructuras!E:E,Estructuras!B:B,A$2,Estructuras!C:C,A22)&gt;0,SUMIFS(Estructuras!E:E,Estructuras!B:B,A$2,Estructuras!C:C,A22),C22*D22))</f>
        <v/>
      </c>
      <c r="F22" s="36"/>
      <c r="G22" s="36"/>
      <c r="H22" s="36"/>
      <c r="I22" s="36">
        <f t="shared" si="2"/>
        <v>368550</v>
      </c>
      <c r="J22" s="37">
        <f t="shared" si="3"/>
        <v>351000</v>
      </c>
      <c r="K22" s="38">
        <f>IF(L22="","",SUMIF(Productos!E:E,L22,Productos!A:A))</f>
        <v>116</v>
      </c>
      <c r="L22" s="36" t="s">
        <v>142</v>
      </c>
      <c r="M22" s="39">
        <v>351000.0</v>
      </c>
      <c r="N22" s="36"/>
    </row>
    <row r="23">
      <c r="A23" s="2" t="str">
        <f>IF(B23="","",SUMIF(Productos!E:E,B23,Productos!A:A))</f>
        <v/>
      </c>
      <c r="B23" s="40"/>
      <c r="C23" s="26" t="str">
        <f>IF(B23="","",SUMIF(Prearmados!E:E,B23,Prearmados!G:G))</f>
        <v/>
      </c>
      <c r="D23" s="19"/>
      <c r="E23" s="26" t="str">
        <f>IF(A23="","",IF(SUMIFS(Estructuras!E:E,Estructuras!B:B,A$2,Estructuras!C:C,A23)&gt;0,SUMIFS(Estructuras!E:E,Estructuras!B:B,A$2,Estructuras!C:C,A23),C23*D23))</f>
        <v/>
      </c>
      <c r="F23" s="36"/>
      <c r="G23" s="36"/>
      <c r="H23" s="36"/>
      <c r="I23" s="36">
        <f t="shared" si="2"/>
        <v>1890000</v>
      </c>
      <c r="J23" s="37">
        <f t="shared" si="3"/>
        <v>1800000</v>
      </c>
      <c r="K23" s="38">
        <f>IF(L23="","",SUMIF(Productos!E:E,L23,Productos!A:A))</f>
        <v>47</v>
      </c>
      <c r="L23" s="41" t="s">
        <v>70</v>
      </c>
      <c r="M23" s="39">
        <v>1800000.0</v>
      </c>
      <c r="N23" s="36"/>
    </row>
    <row r="24">
      <c r="A24" s="2" t="str">
        <f>IF(B24="","",SUMIF(Productos!E:E,B24,Productos!A:A))</f>
        <v/>
      </c>
      <c r="B24" s="40"/>
      <c r="C24" s="26" t="str">
        <f>IF(B24="","",SUMIF(Prearmados!E:E,B24,Prearmados!G:G))</f>
        <v/>
      </c>
      <c r="D24" s="19"/>
      <c r="E24" s="26" t="str">
        <f>IF(A24="","",IF(SUMIFS(Estructuras!E:E,Estructuras!B:B,A$2,Estructuras!C:C,A24)&gt;0,SUMIFS(Estructuras!E:E,Estructuras!B:B,A$2,Estructuras!C:C,A24),C24*D24))</f>
        <v/>
      </c>
      <c r="F24" s="36"/>
      <c r="G24" s="36"/>
      <c r="H24" s="36"/>
      <c r="I24" s="36">
        <f t="shared" si="2"/>
        <v>2156017</v>
      </c>
      <c r="J24" s="37">
        <f t="shared" si="3"/>
        <v>2053349</v>
      </c>
      <c r="K24" s="38">
        <f>IF(L24="","",SUMIF(Productos!E:E,L24,Productos!A:A))</f>
        <v>84</v>
      </c>
      <c r="L24" s="36" t="s">
        <v>110</v>
      </c>
      <c r="M24" s="39">
        <v>2053349.0</v>
      </c>
      <c r="N24" s="36"/>
    </row>
    <row r="25">
      <c r="A25" s="2" t="str">
        <f>IF(B25="","",SUMIF(Productos!E:E,B25,Productos!A:A))</f>
        <v/>
      </c>
      <c r="B25" s="40"/>
      <c r="C25" s="26" t="str">
        <f>IF(B25="","",SUMIF(Prearmados!E:E,B25,Prearmados!G:G))</f>
        <v/>
      </c>
      <c r="D25" s="19"/>
      <c r="E25" s="26" t="str">
        <f>IF(A25="","",IF(SUMIFS(Estructuras!E:E,Estructuras!B:B,A$2,Estructuras!C:C,A25)&gt;0,SUMIFS(Estructuras!E:E,Estructuras!B:B,A$2,Estructuras!C:C,A25),C25*D25))</f>
        <v/>
      </c>
      <c r="F25" s="36"/>
      <c r="G25" s="36"/>
      <c r="H25" s="36"/>
      <c r="I25" s="36">
        <f t="shared" si="2"/>
        <v>2449639</v>
      </c>
      <c r="J25" s="37">
        <f t="shared" si="3"/>
        <v>2332989</v>
      </c>
      <c r="K25" s="38">
        <f>IF(L25="","",SUMIF(Productos!E:E,L25,Productos!A:A))</f>
        <v>72</v>
      </c>
      <c r="L25" s="41" t="s">
        <v>97</v>
      </c>
      <c r="M25" s="39">
        <v>2332989.0</v>
      </c>
      <c r="N25" s="36"/>
    </row>
    <row r="26">
      <c r="A26" s="2" t="str">
        <f>IF(B26="","",SUMIF(Productos!E:E,B26,Productos!A:A))</f>
        <v/>
      </c>
      <c r="B26" s="40"/>
      <c r="C26" s="26" t="str">
        <f>IF(B26="","",SUMIF(Prearmados!E:E,B26,Prearmados!G:G))</f>
        <v/>
      </c>
      <c r="D26" s="19"/>
      <c r="E26" s="26" t="str">
        <f>IF(A26="","",IF(SUMIFS(Estructuras!E:E,Estructuras!B:B,A$2,Estructuras!C:C,A26)&gt;0,SUMIFS(Estructuras!E:E,Estructuras!B:B,A$2,Estructuras!C:C,A26),C26*D26))</f>
        <v/>
      </c>
      <c r="F26" s="36"/>
      <c r="G26" s="36"/>
      <c r="H26" s="36"/>
      <c r="I26" s="36">
        <f t="shared" si="2"/>
        <v>892500</v>
      </c>
      <c r="J26" s="37">
        <f t="shared" si="3"/>
        <v>850000</v>
      </c>
      <c r="K26" s="38">
        <f>IF(L26="","",SUMIF(Productos!E:E,L26,Productos!A:A))</f>
        <v>93</v>
      </c>
      <c r="L26" s="41" t="s">
        <v>88</v>
      </c>
      <c r="M26" s="39">
        <v>850000.0</v>
      </c>
      <c r="N26" s="36"/>
    </row>
    <row r="27">
      <c r="A27" s="2" t="str">
        <f>IF(B27="","",SUMIF(Productos!E:E,B27,Productos!A:A))</f>
        <v/>
      </c>
      <c r="B27" s="40"/>
      <c r="C27" s="26" t="str">
        <f>IF(B27="","",SUMIF(Prearmados!E:E,B27,Prearmados!G:G))</f>
        <v/>
      </c>
      <c r="D27" s="19"/>
      <c r="E27" s="26" t="str">
        <f>IF(A27="","",IF(SUMIFS(Estructuras!E:E,Estructuras!B:B,A$2,Estructuras!C:C,A27)&gt;0,SUMIFS(Estructuras!E:E,Estructuras!B:B,A$2,Estructuras!C:C,A27),C27*D27))</f>
        <v/>
      </c>
      <c r="F27" s="36"/>
      <c r="G27" s="36"/>
      <c r="H27" s="36"/>
      <c r="I27" s="36">
        <f t="shared" si="2"/>
        <v>106470</v>
      </c>
      <c r="J27" s="37">
        <f t="shared" si="3"/>
        <v>101400</v>
      </c>
      <c r="K27" s="38">
        <f>IF(L27="","",SUMIF(Productos!E:E,L27,Productos!A:A))</f>
        <v>96</v>
      </c>
      <c r="L27" s="36" t="s">
        <v>123</v>
      </c>
      <c r="M27" s="39">
        <v>101400.0</v>
      </c>
      <c r="N27" s="36"/>
    </row>
    <row r="28">
      <c r="A28" s="2" t="str">
        <f>IF(B28="","",SUMIF(Productos!E:E,B28,Productos!A:A))</f>
        <v/>
      </c>
      <c r="B28" s="40"/>
      <c r="C28" s="26" t="str">
        <f>IF(B28="","",SUMIF(Prearmados!E:E,B28,Prearmados!G:G))</f>
        <v/>
      </c>
      <c r="D28" s="19"/>
      <c r="E28" s="26" t="str">
        <f>IF(A28="","",IF(SUMIFS(Estructuras!E:E,Estructuras!B:B,A$2,Estructuras!C:C,A28)&gt;0,SUMIFS(Estructuras!E:E,Estructuras!B:B,A$2,Estructuras!C:C,A28),C28*D28))</f>
        <v/>
      </c>
      <c r="F28" s="36"/>
      <c r="G28" s="36"/>
      <c r="H28" s="36"/>
      <c r="I28" s="36">
        <f t="shared" si="2"/>
        <v>2264967</v>
      </c>
      <c r="J28" s="37">
        <f t="shared" si="3"/>
        <v>2157111</v>
      </c>
      <c r="K28" s="38">
        <f>IF(L28="","",SUMIF(Productos!E:E,L28,Productos!A:A))</f>
        <v>48</v>
      </c>
      <c r="L28" s="41" t="s">
        <v>60</v>
      </c>
      <c r="M28" s="39">
        <v>2157111.0</v>
      </c>
      <c r="N28" s="36"/>
    </row>
    <row r="29">
      <c r="A29" s="2" t="str">
        <f>IF(B29="","",SUMIF(Productos!E:E,B29,Productos!A:A))</f>
        <v/>
      </c>
      <c r="B29" s="40"/>
      <c r="C29" s="26" t="str">
        <f>IF(B29="","",SUMIF(Prearmados!E:E,B29,Prearmados!G:G))</f>
        <v/>
      </c>
      <c r="D29" s="19"/>
      <c r="E29" s="26" t="str">
        <f>IF(A29="","",IF(SUMIFS(Estructuras!E:E,Estructuras!B:B,A$2,Estructuras!C:C,A29)&gt;0,SUMIFS(Estructuras!E:E,Estructuras!B:B,A$2,Estructuras!C:C,A29),C29*D29))</f>
        <v/>
      </c>
      <c r="F29" s="36"/>
      <c r="G29" s="36"/>
      <c r="H29" s="36"/>
      <c r="I29" s="36">
        <f t="shared" si="2"/>
        <v>146475</v>
      </c>
      <c r="J29" s="37">
        <f t="shared" si="3"/>
        <v>139500</v>
      </c>
      <c r="K29" s="38">
        <f>IF(L29="","",SUMIF(Productos!E:E,L29,Productos!A:A))</f>
        <v>114</v>
      </c>
      <c r="L29" s="40" t="s">
        <v>41</v>
      </c>
      <c r="M29" s="39">
        <v>139500.0</v>
      </c>
      <c r="N29" s="36"/>
    </row>
    <row r="30">
      <c r="A30" s="2" t="str">
        <f>IF(B30="","",SUMIF(Productos!E:E,B30,Productos!A:A))</f>
        <v/>
      </c>
      <c r="B30" s="40"/>
      <c r="C30" s="26" t="str">
        <f>IF(B30="","",SUMIF(Prearmados!E:E,B30,Prearmados!G:G))</f>
        <v/>
      </c>
      <c r="D30" s="19"/>
      <c r="E30" s="26" t="str">
        <f>IF(A30="","",IF(SUMIFS(Estructuras!E:E,Estructuras!B:B,A$2,Estructuras!C:C,A30)&gt;0,SUMIFS(Estructuras!E:E,Estructuras!B:B,A$2,Estructuras!C:C,A30),C30*D30))</f>
        <v/>
      </c>
      <c r="F30" s="36"/>
      <c r="G30" s="36"/>
      <c r="H30" s="36"/>
      <c r="I30" s="36">
        <f t="shared" si="2"/>
        <v>802620</v>
      </c>
      <c r="J30" s="37">
        <f t="shared" si="3"/>
        <v>764400</v>
      </c>
      <c r="K30" s="38">
        <f>IF(L30="","",SUMIF(Productos!E:E,L30,Productos!A:A))</f>
        <v>103</v>
      </c>
      <c r="L30" s="40" t="s">
        <v>135</v>
      </c>
      <c r="M30" s="39">
        <v>764400.0</v>
      </c>
      <c r="N30" s="36"/>
    </row>
    <row r="31">
      <c r="A31" s="2" t="str">
        <f>IF(B31="","",SUMIF(Productos!E:E,B31,Productos!A:A))</f>
        <v/>
      </c>
      <c r="B31" s="40"/>
      <c r="C31" s="26" t="str">
        <f>IF(B31="","",SUMIF(Prearmados!E:E,B31,Prearmados!G:G))</f>
        <v/>
      </c>
      <c r="D31" s="19"/>
      <c r="E31" s="26" t="str">
        <f>IF(A31="","",IF(SUMIFS(Estructuras!E:E,Estructuras!B:B,A$2,Estructuras!C:C,A31)&gt;0,SUMIFS(Estructuras!E:E,Estructuras!B:B,A$2,Estructuras!C:C,A31),C31*D31))</f>
        <v/>
      </c>
      <c r="F31" s="36"/>
      <c r="G31" s="36"/>
      <c r="H31" s="36"/>
      <c r="I31" s="36">
        <f t="shared" si="2"/>
        <v>227115</v>
      </c>
      <c r="J31" s="37">
        <f t="shared" si="3"/>
        <v>216300</v>
      </c>
      <c r="K31" s="38">
        <f>IF(L31="","",SUMIF(Productos!E:E,L31,Productos!A:A))</f>
        <v>95</v>
      </c>
      <c r="L31" s="40" t="s">
        <v>122</v>
      </c>
      <c r="M31" s="39">
        <v>216300.0</v>
      </c>
      <c r="N31" s="36"/>
    </row>
    <row r="32">
      <c r="A32" s="2" t="str">
        <f>IF(B32="","",SUMIF(Productos!E:E,B32,Productos!A:A))</f>
        <v/>
      </c>
      <c r="B32" s="40"/>
      <c r="C32" s="26" t="str">
        <f>IF(B32="","",SUMIF(Prearmados!E:E,B32,Prearmados!G:G))</f>
        <v/>
      </c>
      <c r="D32" s="19"/>
      <c r="E32" s="26" t="str">
        <f>IF(A32="","",IF(SUMIFS(Estructuras!E:E,Estructuras!B:B,A$2,Estructuras!C:C,A32)&gt;0,SUMIFS(Estructuras!E:E,Estructuras!B:B,A$2,Estructuras!C:C,A32),C32*D32))</f>
        <v/>
      </c>
      <c r="F32" s="36"/>
      <c r="G32" s="36"/>
      <c r="H32" s="36"/>
      <c r="I32" s="36">
        <f t="shared" si="2"/>
        <v>248414</v>
      </c>
      <c r="J32" s="37">
        <f t="shared" si="3"/>
        <v>236584</v>
      </c>
      <c r="K32" s="38">
        <f>IF(L32="","",SUMIF(Productos!E:E,L32,Productos!A:A))</f>
        <v>98</v>
      </c>
      <c r="L32" s="40" t="s">
        <v>125</v>
      </c>
      <c r="M32" s="39">
        <v>236584.0</v>
      </c>
      <c r="N32" s="36"/>
    </row>
    <row r="33">
      <c r="A33" s="2" t="str">
        <f>IF(B33="","",SUMIF(Productos!E:E,B33,Productos!A:A))</f>
        <v/>
      </c>
      <c r="B33" s="40"/>
      <c r="C33" s="26" t="str">
        <f>IF(B33="","",SUMIF(Prearmados!E:E,B33,Prearmados!G:G))</f>
        <v/>
      </c>
      <c r="D33" s="19"/>
      <c r="E33" s="26" t="str">
        <f>IF(A33="","",IF(SUMIFS(Estructuras!E:E,Estructuras!B:B,A$2,Estructuras!C:C,A33)&gt;0,SUMIFS(Estructuras!E:E,Estructuras!B:B,A$2,Estructuras!C:C,A33),C33*D33))</f>
        <v/>
      </c>
      <c r="F33" s="36"/>
      <c r="G33" s="36"/>
      <c r="H33" s="36"/>
      <c r="I33" s="36">
        <f t="shared" si="2"/>
        <v>269640</v>
      </c>
      <c r="J33" s="37">
        <f t="shared" si="3"/>
        <v>256800</v>
      </c>
      <c r="K33" s="38">
        <f>IF(L33="","",SUMIF(Productos!E:E,L33,Productos!A:A))</f>
        <v>99</v>
      </c>
      <c r="L33" s="40" t="s">
        <v>126</v>
      </c>
      <c r="M33" s="39">
        <v>256800.0</v>
      </c>
      <c r="N33" s="36"/>
    </row>
    <row r="34">
      <c r="A34" s="2" t="str">
        <f>IF(B34="","",SUMIF(Productos!E:E,B34,Productos!A:A))</f>
        <v/>
      </c>
      <c r="B34" s="40"/>
      <c r="C34" s="26" t="str">
        <f>IF(B34="","",SUMIF(Prearmados!E:E,B34,Prearmados!G:G))</f>
        <v/>
      </c>
      <c r="D34" s="19"/>
      <c r="E34" s="26" t="str">
        <f>IF(A34="","",IF(SUMIFS(Estructuras!E:E,Estructuras!B:B,A$2,Estructuras!C:C,A34)&gt;0,SUMIFS(Estructuras!E:E,Estructuras!B:B,A$2,Estructuras!C:C,A34),C34*D34))</f>
        <v/>
      </c>
      <c r="F34" s="36"/>
      <c r="G34" s="36"/>
      <c r="H34" s="36"/>
      <c r="I34" s="36">
        <f t="shared" si="2"/>
        <v>765450</v>
      </c>
      <c r="J34" s="37">
        <f t="shared" si="3"/>
        <v>729000</v>
      </c>
      <c r="K34" s="38">
        <f>IF(L34="","",SUMIF(Productos!E:E,L34,Productos!A:A))</f>
        <v>62</v>
      </c>
      <c r="L34" s="40" t="s">
        <v>76</v>
      </c>
      <c r="M34" s="39">
        <v>729000.0</v>
      </c>
      <c r="N34" s="36"/>
    </row>
    <row r="35">
      <c r="A35" s="2" t="str">
        <f>IF(B35="","",SUMIF(Productos!E:E,B35,Productos!A:A))</f>
        <v/>
      </c>
      <c r="B35" s="40"/>
      <c r="C35" s="26" t="str">
        <f>IF(B35="","",SUMIF(Prearmados!E:E,B35,Prearmados!G:G))</f>
        <v/>
      </c>
      <c r="D35" s="19"/>
      <c r="E35" s="26" t="str">
        <f>IF(A35="","",IF(SUMIFS(Estructuras!E:E,Estructuras!B:B,A$2,Estructuras!C:C,A35)&gt;0,SUMIFS(Estructuras!E:E,Estructuras!B:B,A$2,Estructuras!C:C,A35),C35*D35))</f>
        <v/>
      </c>
      <c r="F35" s="36"/>
      <c r="G35" s="36"/>
      <c r="H35" s="36"/>
      <c r="I35" s="36">
        <f t="shared" si="2"/>
        <v>3617250</v>
      </c>
      <c r="J35" s="37">
        <f t="shared" si="3"/>
        <v>3445000</v>
      </c>
      <c r="K35" s="38">
        <f>IF(L35="","",SUMIF(Productos!E:E,L35,Productos!A:A))</f>
        <v>54</v>
      </c>
      <c r="L35" s="43" t="s">
        <v>67</v>
      </c>
      <c r="M35" s="39">
        <v>3445000.0</v>
      </c>
      <c r="N35" s="36"/>
    </row>
    <row r="36">
      <c r="A36" s="2" t="str">
        <f>IF(B36="","",SUMIF(Productos!E:E,B36,Productos!A:A))</f>
        <v/>
      </c>
      <c r="B36" s="40"/>
      <c r="C36" s="26" t="str">
        <f>IF(B36="","",SUMIF(Prearmados!E:E,B36,Prearmados!G:G))</f>
        <v/>
      </c>
      <c r="D36" s="19"/>
      <c r="E36" s="26" t="str">
        <f>IF(A36="","",IF(SUMIFS(Estructuras!E:E,Estructuras!B:B,A$2,Estructuras!C:C,A36)&gt;0,SUMIFS(Estructuras!E:E,Estructuras!B:B,A$2,Estructuras!C:C,A36),C36*D36))</f>
        <v/>
      </c>
      <c r="F36" s="36"/>
      <c r="G36" s="36"/>
      <c r="H36" s="36"/>
      <c r="I36" s="36">
        <f t="shared" si="2"/>
        <v>4110660</v>
      </c>
      <c r="J36" s="37">
        <f t="shared" si="3"/>
        <v>3914914</v>
      </c>
      <c r="K36" s="38">
        <f>IF(L36="","",SUMIF(Productos!E:E,L36,Productos!A:A))</f>
        <v>77</v>
      </c>
      <c r="L36" s="11" t="s">
        <v>103</v>
      </c>
      <c r="M36" s="39">
        <v>3914914.0</v>
      </c>
      <c r="N36" s="36"/>
    </row>
    <row r="37">
      <c r="A37" s="2" t="str">
        <f>IF(B37="","",SUMIF(Productos!E:E,B37,Productos!A:A))</f>
        <v/>
      </c>
      <c r="B37" s="40"/>
      <c r="C37" s="26" t="str">
        <f>IF(B37="","",SUMIF(Prearmados!E:E,B37,Prearmados!G:G))</f>
        <v/>
      </c>
      <c r="D37" s="19"/>
      <c r="E37" s="26" t="str">
        <f>IF(A37="","",IF(SUMIFS(Estructuras!E:E,Estructuras!B:B,A$2,Estructuras!C:C,A37)&gt;0,SUMIFS(Estructuras!E:E,Estructuras!B:B,A$2,Estructuras!C:C,A37),C37*D37))</f>
        <v/>
      </c>
      <c r="F37" s="36"/>
      <c r="G37" s="36"/>
      <c r="H37" s="36"/>
      <c r="I37" s="36">
        <f t="shared" si="2"/>
        <v>3890312</v>
      </c>
      <c r="J37" s="37">
        <f t="shared" si="3"/>
        <v>3705059</v>
      </c>
      <c r="K37" s="38">
        <f>IF(L37="","",SUMIF(Productos!E:E,L37,Productos!A:A))</f>
        <v>75</v>
      </c>
      <c r="L37" s="34" t="s">
        <v>101</v>
      </c>
      <c r="M37" s="39">
        <v>3705059.0</v>
      </c>
      <c r="N37" s="36"/>
    </row>
    <row r="38">
      <c r="A38" s="2" t="str">
        <f>IF(B38="","",SUMIF(Productos!E:E,B38,Productos!A:A))</f>
        <v/>
      </c>
      <c r="B38" s="40"/>
      <c r="C38" s="26" t="str">
        <f>IF(B38="","",SUMIF(Prearmados!E:E,B38,Prearmados!G:G))</f>
        <v/>
      </c>
      <c r="D38" s="19"/>
      <c r="E38" s="26" t="str">
        <f>IF(A38="","",IF(SUMIFS(Estructuras!E:E,Estructuras!B:B,A$2,Estructuras!C:C,A38)&gt;0,SUMIFS(Estructuras!E:E,Estructuras!B:B,A$2,Estructuras!C:C,A38),C38*D38))</f>
        <v/>
      </c>
      <c r="F38" s="36"/>
      <c r="G38" s="36"/>
      <c r="H38" s="36"/>
      <c r="I38" s="36">
        <f t="shared" si="2"/>
        <v>2604000</v>
      </c>
      <c r="J38" s="37">
        <f t="shared" si="3"/>
        <v>2480000</v>
      </c>
      <c r="K38" s="38">
        <f>IF(L38="","",SUMIF(Productos!E:E,L38,Productos!A:A))</f>
        <v>74</v>
      </c>
      <c r="L38" s="40" t="s">
        <v>100</v>
      </c>
      <c r="M38" s="39">
        <v>2480000.0</v>
      </c>
      <c r="N38" s="36"/>
    </row>
    <row r="39">
      <c r="A39" s="2" t="str">
        <f>IF(B39="","",SUMIF(Productos!E:E,B39,Productos!A:A))</f>
        <v/>
      </c>
      <c r="B39" s="40"/>
      <c r="C39" s="26" t="str">
        <f>IF(B39="","",SUMIF(Prearmados!E:E,B39,Prearmados!G:G))</f>
        <v/>
      </c>
      <c r="D39" s="19"/>
      <c r="E39" s="26" t="str">
        <f>IF(A39="","",IF(SUMIFS(Estructuras!E:E,Estructuras!B:B,A$2,Estructuras!C:C,A39)&gt;0,SUMIFS(Estructuras!E:E,Estructuras!B:B,A$2,Estructuras!C:C,A39),C39*D39))</f>
        <v/>
      </c>
      <c r="F39" s="36"/>
      <c r="G39" s="36"/>
      <c r="H39" s="36"/>
      <c r="I39" s="36">
        <f t="shared" si="2"/>
        <v>173250</v>
      </c>
      <c r="J39" s="37">
        <f t="shared" si="3"/>
        <v>165000</v>
      </c>
      <c r="K39" s="38">
        <f>IF(L39="","",SUMIF(Productos!E:E,L39,Productos!A:A))</f>
        <v>115</v>
      </c>
      <c r="L39" s="36" t="s">
        <v>43</v>
      </c>
      <c r="M39" s="44">
        <v>165000.0</v>
      </c>
      <c r="N39" s="36"/>
    </row>
    <row r="40">
      <c r="A40" s="2" t="str">
        <f>IF(B40="","",SUMIF(Productos!E:E,B40,Productos!A:A))</f>
        <v/>
      </c>
      <c r="B40" s="40"/>
      <c r="C40" s="26" t="str">
        <f>IF(B40="","",SUMIF(Prearmados!E:E,B40,Prearmados!G:G))</f>
        <v/>
      </c>
      <c r="D40" s="19"/>
      <c r="E40" s="26" t="str">
        <f>IF(A40="","",IF(SUMIFS(Estructuras!E:E,Estructuras!B:B,A$2,Estructuras!C:C,A40)&gt;0,SUMIFS(Estructuras!E:E,Estructuras!B:B,A$2,Estructuras!C:C,A40),C40*D40))</f>
        <v/>
      </c>
      <c r="F40" s="36"/>
      <c r="G40" s="36"/>
      <c r="H40" s="36"/>
      <c r="I40" s="36">
        <f t="shared" si="2"/>
        <v>3978375</v>
      </c>
      <c r="J40" s="37">
        <f t="shared" si="3"/>
        <v>3788928</v>
      </c>
      <c r="K40" s="38">
        <f>IF(L40="","",SUMIF(Productos!E:E,L40,Productos!A:A))</f>
        <v>65</v>
      </c>
      <c r="L40" s="36" t="s">
        <v>87</v>
      </c>
      <c r="M40" s="39">
        <v>3788928.0</v>
      </c>
      <c r="N40" s="36"/>
    </row>
    <row r="41">
      <c r="A41" s="2" t="str">
        <f>IF(B41="","",SUMIF(Productos!E:E,B41,Productos!A:A))</f>
        <v/>
      </c>
      <c r="B41" s="40"/>
      <c r="C41" s="26" t="str">
        <f>IF(B41="","",SUMIF(Prearmados!E:E,B41,Prearmados!G:G))</f>
        <v/>
      </c>
      <c r="D41" s="19"/>
      <c r="E41" s="26" t="str">
        <f>IF(A41="","",IF(SUMIFS(Estructuras!E:E,Estructuras!B:B,A$2,Estructuras!C:C,A41)&gt;0,SUMIFS(Estructuras!E:E,Estructuras!B:B,A$2,Estructuras!C:C,A41),C41*D41))</f>
        <v/>
      </c>
      <c r="F41" s="36"/>
      <c r="G41" s="36"/>
      <c r="H41" s="36"/>
      <c r="I41" s="36">
        <f t="shared" si="2"/>
        <v>4515000</v>
      </c>
      <c r="J41" s="37">
        <f t="shared" si="3"/>
        <v>4300000</v>
      </c>
      <c r="K41" s="38">
        <f>IF(L41="","",SUMIF(Productos!E:E,L41,Productos!A:A))</f>
        <v>79</v>
      </c>
      <c r="L41" s="36" t="s">
        <v>105</v>
      </c>
      <c r="M41" s="44">
        <v>4300000.0</v>
      </c>
      <c r="N41" s="36"/>
    </row>
    <row r="42">
      <c r="A42" s="2" t="str">
        <f>IF(B42="","",SUMIF(Productos!E:E,B42,Productos!A:A))</f>
        <v/>
      </c>
      <c r="B42" s="40"/>
      <c r="C42" s="26" t="str">
        <f>IF(B42="","",SUMIF(Prearmados!E:E,B42,Prearmados!G:G))</f>
        <v/>
      </c>
      <c r="D42" s="19"/>
      <c r="E42" s="26" t="str">
        <f>IF(A42="","",IF(SUMIFS(Estructuras!E:E,Estructuras!B:B,A$2,Estructuras!C:C,A42)&gt;0,SUMIFS(Estructuras!E:E,Estructuras!B:B,A$2,Estructuras!C:C,A42),C42*D42))</f>
        <v/>
      </c>
      <c r="F42" s="36"/>
      <c r="G42" s="36"/>
      <c r="H42" s="36"/>
      <c r="I42" s="36">
        <f t="shared" si="2"/>
        <v>3101182</v>
      </c>
      <c r="J42" s="37">
        <f t="shared" si="3"/>
        <v>2953506</v>
      </c>
      <c r="K42" s="38">
        <f>IF(L42="","",SUMIF(Productos!E:E,L42,Productos!A:A))</f>
        <v>52</v>
      </c>
      <c r="L42" s="36" t="s">
        <v>65</v>
      </c>
      <c r="M42" s="44">
        <v>2953506.0</v>
      </c>
      <c r="N42" s="36"/>
    </row>
    <row r="43">
      <c r="A43" s="2" t="str">
        <f>IF(B43="","",SUMIF(Productos!E:E,B43,Productos!A:A))</f>
        <v/>
      </c>
      <c r="B43" s="40"/>
      <c r="C43" s="26" t="str">
        <f>IF(B43="","",SUMIF(Prearmados!E:E,B43,Prearmados!G:G))</f>
        <v/>
      </c>
      <c r="D43" s="19"/>
      <c r="E43" s="26" t="str">
        <f>IF(A43="","",IF(SUMIFS(Estructuras!E:E,Estructuras!B:B,A$2,Estructuras!C:C,A43)&gt;0,SUMIFS(Estructuras!E:E,Estructuras!B:B,A$2,Estructuras!C:C,A43),C43*D43))</f>
        <v/>
      </c>
      <c r="F43" s="36"/>
      <c r="G43" s="36"/>
      <c r="H43" s="36"/>
      <c r="I43" s="36">
        <f t="shared" si="2"/>
        <v>3101182</v>
      </c>
      <c r="J43" s="37">
        <f t="shared" si="3"/>
        <v>2953506</v>
      </c>
      <c r="K43" s="38">
        <f>IF(L43="","",SUMIF(Productos!E:E,L43,Productos!A:A))</f>
        <v>56</v>
      </c>
      <c r="L43" s="40" t="s">
        <v>29</v>
      </c>
      <c r="M43" s="35">
        <v>2953506.0</v>
      </c>
      <c r="N43" s="36"/>
    </row>
    <row r="44">
      <c r="A44" s="2" t="str">
        <f>IF(B44="","",SUMIF(Productos!E:E,B44,Productos!A:A))</f>
        <v/>
      </c>
      <c r="B44" s="40"/>
      <c r="C44" s="26" t="str">
        <f>IF(B44="","",SUMIF(Prearmados!E:E,B44,Prearmados!G:G))</f>
        <v/>
      </c>
      <c r="D44" s="19"/>
      <c r="E44" s="26" t="str">
        <f>IF(A44="","",IF(SUMIFS(Estructuras!E:E,Estructuras!B:B,A$2,Estructuras!C:C,A44)&gt;0,SUMIFS(Estructuras!E:E,Estructuras!B:B,A$2,Estructuras!C:C,A44),C44*D44))</f>
        <v/>
      </c>
      <c r="F44" s="36"/>
      <c r="G44" s="36"/>
      <c r="H44" s="36"/>
      <c r="I44" s="36">
        <f t="shared" si="2"/>
        <v>2855592</v>
      </c>
      <c r="J44" s="37">
        <f t="shared" si="3"/>
        <v>2719611</v>
      </c>
      <c r="K44" s="38">
        <f>IF(L44="","",SUMIF(Productos!E:E,L44,Productos!A:A))</f>
        <v>118</v>
      </c>
      <c r="L44" s="40" t="s">
        <v>160</v>
      </c>
      <c r="M44" s="39">
        <v>2719611.0</v>
      </c>
      <c r="N44" s="36"/>
    </row>
    <row r="45">
      <c r="A45" s="2" t="str">
        <f>IF(B45="","",SUMIF(Productos!E:E,B45,Productos!A:A))</f>
        <v/>
      </c>
      <c r="B45" s="40"/>
      <c r="C45" s="26" t="str">
        <f>IF(B45="","",SUMIF(Prearmados!E:E,B45,Prearmados!G:G))</f>
        <v/>
      </c>
      <c r="D45" s="19"/>
      <c r="E45" s="26" t="str">
        <f>IF(A45="","",IF(SUMIFS(Estructuras!E:E,Estructuras!B:B,A$2,Estructuras!C:C,A45)&gt;0,SUMIFS(Estructuras!E:E,Estructuras!B:B,A$2,Estructuras!C:C,A45),C45*D45))</f>
        <v/>
      </c>
      <c r="F45" s="36"/>
      <c r="G45" s="36"/>
      <c r="H45" s="36"/>
      <c r="I45" s="36">
        <f t="shared" si="2"/>
        <v>2855592</v>
      </c>
      <c r="J45" s="37">
        <f t="shared" si="3"/>
        <v>2719611</v>
      </c>
      <c r="K45" s="38">
        <f>IF(L45="","",SUMIF(Productos!E:E,L45,Productos!A:A))</f>
        <v>120</v>
      </c>
      <c r="L45" s="40" t="s">
        <v>161</v>
      </c>
      <c r="M45" s="39">
        <v>2719611.0</v>
      </c>
      <c r="N45" s="36"/>
    </row>
    <row r="46">
      <c r="A46" s="2" t="str">
        <f>IF(B46="","",SUMIF(Productos!E:E,B46,Productos!A:A))</f>
        <v/>
      </c>
      <c r="B46" s="40"/>
      <c r="C46" s="26" t="str">
        <f>IF(B46="","",SUMIF(Prearmados!E:E,B46,Prearmados!G:G))</f>
        <v/>
      </c>
      <c r="D46" s="19"/>
      <c r="E46" s="26" t="str">
        <f>IF(A46="","",IF(SUMIFS(Estructuras!E:E,Estructuras!B:B,A$2,Estructuras!C:C,A46)&gt;0,SUMIFS(Estructuras!E:E,Estructuras!B:B,A$2,Estructuras!C:C,A46),C46*D46))</f>
        <v/>
      </c>
      <c r="F46" s="36"/>
      <c r="G46" s="36"/>
      <c r="H46" s="36"/>
      <c r="I46" s="36">
        <f t="shared" si="2"/>
        <v>2480009</v>
      </c>
      <c r="J46" s="37">
        <f t="shared" si="3"/>
        <v>2361913</v>
      </c>
      <c r="K46" s="38">
        <f>IF(L46="","",SUMIF(Productos!E:E,L46,Productos!A:A))</f>
        <v>127</v>
      </c>
      <c r="L46" s="40" t="s">
        <v>162</v>
      </c>
      <c r="M46" s="39">
        <v>2361913.0</v>
      </c>
      <c r="N46" s="36"/>
    </row>
    <row r="47">
      <c r="A47" s="2" t="str">
        <f>IF(B47="","",SUMIF(Productos!E:E,B47,Productos!A:A))</f>
        <v/>
      </c>
      <c r="B47" s="40"/>
      <c r="C47" s="26" t="str">
        <f>IF(B47="","",SUMIF(Prearmados!E:E,B47,Prearmados!G:G))</f>
        <v/>
      </c>
      <c r="D47" s="19"/>
      <c r="E47" s="26" t="str">
        <f>IF(A47="","",IF(SUMIFS(Estructuras!E:E,Estructuras!B:B,A$2,Estructuras!C:C,A47)&gt;0,SUMIFS(Estructuras!E:E,Estructuras!B:B,A$2,Estructuras!C:C,A47),C47*D47))</f>
        <v/>
      </c>
      <c r="F47" s="36"/>
      <c r="G47" s="36"/>
      <c r="H47" s="36"/>
      <c r="I47" s="36">
        <f t="shared" si="2"/>
        <v>2771627</v>
      </c>
      <c r="J47" s="37">
        <f t="shared" si="3"/>
        <v>2639644</v>
      </c>
      <c r="K47" s="38">
        <f>IF(L47="","",SUMIF(Productos!E:E,L47,Productos!A:A))</f>
        <v>121</v>
      </c>
      <c r="L47" s="40" t="s">
        <v>163</v>
      </c>
      <c r="M47" s="39">
        <v>2639644.0</v>
      </c>
      <c r="N47" s="36"/>
    </row>
    <row r="48">
      <c r="A48" s="2" t="str">
        <f>IF(B48="","",SUMIF(Productos!E:E,B48,Productos!A:A))</f>
        <v/>
      </c>
      <c r="B48" s="40"/>
      <c r="C48" s="26" t="str">
        <f>IF(B48="","",SUMIF(Prearmados!E:E,B48,Prearmados!G:G))</f>
        <v/>
      </c>
      <c r="D48" s="19"/>
      <c r="E48" s="26" t="str">
        <f>IF(A48="","",IF(SUMIFS(Estructuras!E:E,Estructuras!B:B,A$2,Estructuras!C:C,A48)&gt;0,SUMIFS(Estructuras!E:E,Estructuras!B:B,A$2,Estructuras!C:C,A48),C48*D48))</f>
        <v/>
      </c>
      <c r="F48" s="36"/>
      <c r="G48" s="36"/>
      <c r="H48" s="36"/>
      <c r="I48" s="36">
        <f t="shared" si="2"/>
        <v>2855809</v>
      </c>
      <c r="J48" s="37">
        <f t="shared" si="3"/>
        <v>2719818</v>
      </c>
      <c r="K48" s="38">
        <f>IF(L48="","",SUMIF(Productos!E:E,L48,Productos!A:A))</f>
        <v>131</v>
      </c>
      <c r="L48" s="36" t="s">
        <v>120</v>
      </c>
      <c r="M48" s="44">
        <v>2719818.0</v>
      </c>
      <c r="N48" s="36"/>
    </row>
    <row r="49">
      <c r="A49" s="2" t="str">
        <f>IF(B49="","",SUMIF(Productos!E:E,B49,Productos!A:A))</f>
        <v/>
      </c>
      <c r="B49" s="40"/>
      <c r="C49" s="26" t="str">
        <f>IF(B49="","",SUMIF(Prearmados!E:E,B49,Prearmados!G:G))</f>
        <v/>
      </c>
      <c r="D49" s="19"/>
      <c r="E49" s="26" t="str">
        <f>IF(A49="","",IF(SUMIFS(Estructuras!E:E,Estructuras!B:B,A$2,Estructuras!C:C,A49)&gt;0,SUMIFS(Estructuras!E:E,Estructuras!B:B,A$2,Estructuras!C:C,A49),C49*D49))</f>
        <v/>
      </c>
      <c r="F49" s="36"/>
      <c r="G49" s="36"/>
      <c r="H49" s="36"/>
      <c r="I49" s="36">
        <f t="shared" si="2"/>
        <v>3925973</v>
      </c>
      <c r="J49" s="37">
        <f t="shared" si="3"/>
        <v>3739021</v>
      </c>
      <c r="K49" s="38">
        <f>IF(L49="","",SUMIF(Productos!E:E,L49,Productos!A:A))</f>
        <v>1</v>
      </c>
      <c r="L49" s="41" t="s">
        <v>164</v>
      </c>
      <c r="M49" s="44">
        <v>3739021.0</v>
      </c>
      <c r="N49" s="36"/>
    </row>
    <row r="50">
      <c r="A50" s="2" t="str">
        <f>IF(B50="","",SUMIF(Productos!E:E,B50,Productos!A:A))</f>
        <v/>
      </c>
      <c r="B50" s="40"/>
      <c r="C50" s="26" t="str">
        <f>IF(B50="","",SUMIF(Prearmados!E:E,B50,Prearmados!G:G))</f>
        <v/>
      </c>
      <c r="D50" s="19"/>
      <c r="E50" s="26" t="str">
        <f>IF(A50="","",IF(SUMIFS(Estructuras!E:E,Estructuras!B:B,A$2,Estructuras!C:C,A50)&gt;0,SUMIFS(Estructuras!E:E,Estructuras!B:B,A$2,Estructuras!C:C,A50),C50*D50))</f>
        <v/>
      </c>
      <c r="F50" s="36"/>
      <c r="G50" s="36"/>
      <c r="H50" s="36"/>
      <c r="I50" s="36">
        <f t="shared" si="2"/>
        <v>593250</v>
      </c>
      <c r="J50" s="37">
        <f t="shared" si="3"/>
        <v>565000</v>
      </c>
      <c r="K50" s="38">
        <f>IF(L50="","",SUMIF(Productos!E:E,L50,Productos!A:A))</f>
        <v>138</v>
      </c>
      <c r="L50" s="36" t="s">
        <v>165</v>
      </c>
      <c r="M50" s="44">
        <v>565000.0</v>
      </c>
      <c r="N50" s="36"/>
    </row>
    <row r="51">
      <c r="A51" s="2" t="str">
        <f>IF(B51="","",SUMIF(Productos!E:E,B51,Productos!A:A))</f>
        <v/>
      </c>
      <c r="B51" s="40"/>
      <c r="C51" s="26" t="str">
        <f>IF(B51="","",SUMIF(Prearmados!E:E,B51,Prearmados!G:G))</f>
        <v/>
      </c>
      <c r="D51" s="19"/>
      <c r="E51" s="26" t="str">
        <f>IF(A51="","",IF(SUMIFS(Estructuras!E:E,Estructuras!B:B,A$2,Estructuras!C:C,A51)&gt;0,SUMIFS(Estructuras!E:E,Estructuras!B:B,A$2,Estructuras!C:C,A51),C51*D51))</f>
        <v/>
      </c>
      <c r="F51" s="36"/>
      <c r="G51" s="36"/>
      <c r="H51" s="36"/>
      <c r="I51" s="36">
        <f t="shared" si="2"/>
        <v>1059466</v>
      </c>
      <c r="J51" s="37">
        <f t="shared" si="3"/>
        <v>1009015</v>
      </c>
      <c r="K51" s="38">
        <f>IF(L51="","",SUMIF(Productos!E:E,L51,Productos!A:A))</f>
        <v>29</v>
      </c>
      <c r="L51" s="36" t="s">
        <v>166</v>
      </c>
      <c r="M51" s="44">
        <v>1009015.0</v>
      </c>
      <c r="N51" s="36"/>
    </row>
    <row r="52">
      <c r="A52" s="2" t="str">
        <f>IF(B52="","",SUMIF(Productos!E:E,B52,Productos!A:A))</f>
        <v/>
      </c>
      <c r="B52" s="40"/>
      <c r="C52" s="26" t="str">
        <f>IF(B52="","",SUMIF(Prearmados!E:E,B52,Prearmados!G:G))</f>
        <v/>
      </c>
      <c r="D52" s="19"/>
      <c r="E52" s="26" t="str">
        <f>IF(A52="","",IF(SUMIFS(Estructuras!E:E,Estructuras!B:B,A$2,Estructuras!C:C,A52)&gt;0,SUMIFS(Estructuras!E:E,Estructuras!B:B,A$2,Estructuras!C:C,A52),C52*D52))</f>
        <v/>
      </c>
      <c r="F52" s="36"/>
      <c r="G52" s="36"/>
      <c r="H52" s="36"/>
      <c r="I52" s="36">
        <f t="shared" si="2"/>
        <v>4410554</v>
      </c>
      <c r="J52" s="37">
        <f t="shared" si="3"/>
        <v>4200527</v>
      </c>
      <c r="K52" s="38">
        <f>IF(L52="","",SUMIF(Productos!E:E,L52,Productos!A:A))</f>
        <v>3</v>
      </c>
      <c r="L52" s="41" t="s">
        <v>167</v>
      </c>
      <c r="M52" s="44">
        <v>4200527.0</v>
      </c>
      <c r="N52" s="36"/>
    </row>
    <row r="53">
      <c r="A53" s="2" t="str">
        <f>IF(B53="","",SUMIF(Productos!E:E,B53,Productos!A:A))</f>
        <v/>
      </c>
      <c r="B53" s="40"/>
      <c r="C53" s="26" t="str">
        <f>IF(B53="","",SUMIF(Prearmados!E:E,B53,Prearmados!G:G))</f>
        <v/>
      </c>
      <c r="D53" s="19"/>
      <c r="E53" s="26" t="str">
        <f>IF(A53="","",IF(SUMIFS(Estructuras!E:E,Estructuras!B:B,A$2,Estructuras!C:C,A53)&gt;0,SUMIFS(Estructuras!E:E,Estructuras!B:B,A$2,Estructuras!C:C,A53),C53*D53))</f>
        <v/>
      </c>
      <c r="F53" s="36"/>
      <c r="G53" s="36"/>
      <c r="H53" s="36"/>
      <c r="I53" s="36">
        <f t="shared" si="2"/>
        <v>762633</v>
      </c>
      <c r="J53" s="37">
        <f t="shared" si="3"/>
        <v>726317</v>
      </c>
      <c r="K53" s="38">
        <f>IF(L53="","",SUMIF(Productos!E:E,L53,Productos!A:A))</f>
        <v>7</v>
      </c>
      <c r="L53" s="36" t="s">
        <v>168</v>
      </c>
      <c r="M53" s="44">
        <v>726317.0</v>
      </c>
      <c r="N53" s="36"/>
    </row>
    <row r="54">
      <c r="A54" s="2" t="str">
        <f>IF(B54="","",SUMIF(Productos!E:E,B54,Productos!A:A))</f>
        <v/>
      </c>
      <c r="B54" s="40"/>
      <c r="C54" s="26" t="str">
        <f>IF(B54="","",SUMIF(Prearmados!E:E,B54,Prearmados!G:G))</f>
        <v/>
      </c>
      <c r="D54" s="19"/>
      <c r="E54" s="26" t="str">
        <f>IF(A54="","",IF(SUMIFS(Estructuras!E:E,Estructuras!B:B,A$2,Estructuras!C:C,A54)&gt;0,SUMIFS(Estructuras!E:E,Estructuras!B:B,A$2,Estructuras!C:C,A54),C54*D54))</f>
        <v/>
      </c>
      <c r="F54" s="36"/>
      <c r="G54" s="36"/>
      <c r="H54" s="36"/>
      <c r="I54" s="36">
        <f t="shared" si="2"/>
        <v>4172368</v>
      </c>
      <c r="J54" s="37">
        <f t="shared" si="3"/>
        <v>3973683</v>
      </c>
      <c r="K54" s="38">
        <f>IF(L54="","",SUMIF(Productos!E:E,L54,Productos!A:A))</f>
        <v>2</v>
      </c>
      <c r="L54" s="40" t="s">
        <v>169</v>
      </c>
      <c r="M54" s="35">
        <v>3973683.0</v>
      </c>
      <c r="N54" s="36"/>
    </row>
    <row r="55">
      <c r="A55" s="2" t="str">
        <f>IF(B55="","",SUMIF(Productos!E:E,B55,Productos!A:A))</f>
        <v/>
      </c>
      <c r="B55" s="40"/>
      <c r="C55" s="26" t="str">
        <f>IF(B55="","",SUMIF(Prearmados!E:E,B55,Prearmados!G:G))</f>
        <v/>
      </c>
      <c r="D55" s="19"/>
      <c r="E55" s="26" t="str">
        <f>IF(A55="","",IF(SUMIFS(Estructuras!E:E,Estructuras!B:B,A$2,Estructuras!C:C,A55)&gt;0,SUMIFS(Estructuras!E:E,Estructuras!B:B,A$2,Estructuras!C:C,A55),C55*D55))</f>
        <v/>
      </c>
      <c r="F55" s="36"/>
      <c r="G55" s="36"/>
      <c r="H55" s="36"/>
      <c r="I55" s="36">
        <f t="shared" si="2"/>
        <v>5244876</v>
      </c>
      <c r="J55" s="37">
        <f t="shared" si="3"/>
        <v>4995120</v>
      </c>
      <c r="K55" s="38">
        <f>IF(L55="","",SUMIF(Productos!E:E,L55,Productos!A:A))</f>
        <v>4</v>
      </c>
      <c r="L55" s="36" t="s">
        <v>170</v>
      </c>
      <c r="M55" s="44">
        <v>4995120.0</v>
      </c>
      <c r="N55" s="36"/>
    </row>
    <row r="56">
      <c r="A56" s="2" t="str">
        <f>IF(B56="","",SUMIF(Productos!E:E,B56,Productos!A:A))</f>
        <v/>
      </c>
      <c r="B56" s="40"/>
      <c r="C56" s="26" t="str">
        <f>IF(B56="","",SUMIF(Prearmados!E:E,B56,Prearmados!G:G))</f>
        <v/>
      </c>
      <c r="D56" s="19"/>
      <c r="E56" s="26" t="str">
        <f>IF(A56="","",IF(SUMIFS(Estructuras!E:E,Estructuras!B:B,A$2,Estructuras!C:C,A56)&gt;0,SUMIFS(Estructuras!E:E,Estructuras!B:B,A$2,Estructuras!C:C,A56),C56*D56))</f>
        <v/>
      </c>
      <c r="F56" s="36"/>
      <c r="G56" s="36"/>
      <c r="H56" s="36"/>
      <c r="I56" s="36">
        <f t="shared" si="2"/>
        <v>5659854</v>
      </c>
      <c r="J56" s="37">
        <f t="shared" si="3"/>
        <v>5390337</v>
      </c>
      <c r="K56" s="38">
        <f>IF(L56="","",SUMIF(Productos!E:E,L56,Productos!A:A))</f>
        <v>5</v>
      </c>
      <c r="L56" s="36" t="s">
        <v>171</v>
      </c>
      <c r="M56" s="44">
        <v>5390337.0</v>
      </c>
      <c r="N56" s="36"/>
    </row>
    <row r="57">
      <c r="A57" s="2" t="str">
        <f>IF(B57="","",SUMIF(Productos!E:E,B57,Productos!A:A))</f>
        <v/>
      </c>
      <c r="B57" s="40"/>
      <c r="C57" s="26" t="str">
        <f>IF(B57="","",SUMIF(Prearmados!E:E,B57,Prearmados!G:G))</f>
        <v/>
      </c>
      <c r="D57" s="19"/>
      <c r="E57" s="26" t="str">
        <f>IF(A57="","",IF(SUMIFS(Estructuras!E:E,Estructuras!B:B,A$2,Estructuras!C:C,A57)&gt;0,SUMIFS(Estructuras!E:E,Estructuras!B:B,A$2,Estructuras!C:C,A57),C57*D57))</f>
        <v/>
      </c>
      <c r="F57" s="36"/>
      <c r="G57" s="36"/>
      <c r="H57" s="36"/>
      <c r="I57" s="36">
        <f t="shared" si="2"/>
        <v>6362976</v>
      </c>
      <c r="J57" s="37">
        <f t="shared" si="3"/>
        <v>6059977</v>
      </c>
      <c r="K57" s="38">
        <f>IF(L57="","",SUMIF(Productos!E:E,L57,Productos!A:A))</f>
        <v>6</v>
      </c>
      <c r="L57" s="36" t="s">
        <v>172</v>
      </c>
      <c r="M57" s="44">
        <v>6059977.0</v>
      </c>
      <c r="N57" s="36"/>
    </row>
    <row r="58">
      <c r="A58" s="2" t="str">
        <f>IF(B58="","",SUMIF(Productos!E:E,B58,Productos!A:A))</f>
        <v/>
      </c>
      <c r="B58" s="40"/>
      <c r="C58" s="26" t="str">
        <f>IF(B58="","",SUMIF(Prearmados!E:E,B58,Prearmados!G:G))</f>
        <v/>
      </c>
      <c r="D58" s="19"/>
      <c r="E58" s="26" t="str">
        <f>IF(A58="","",IF(SUMIFS(Estructuras!E:E,Estructuras!B:B,A$2,Estructuras!C:C,A58)&gt;0,SUMIFS(Estructuras!E:E,Estructuras!B:B,A$2,Estructuras!C:C,A58),C58*D58))</f>
        <v/>
      </c>
      <c r="F58" s="36"/>
      <c r="G58" s="36"/>
      <c r="H58" s="36"/>
      <c r="I58" s="36">
        <f t="shared" si="2"/>
        <v>6855007</v>
      </c>
      <c r="J58" s="37">
        <f t="shared" si="3"/>
        <v>6528578</v>
      </c>
      <c r="K58" s="38">
        <f>IF(L58="","",SUMIF(Productos!E:E,L58,Productos!A:A))</f>
        <v>132</v>
      </c>
      <c r="L58" s="40" t="s">
        <v>40</v>
      </c>
      <c r="M58" s="35">
        <v>6528578.0</v>
      </c>
      <c r="N58" s="36"/>
    </row>
    <row r="59">
      <c r="A59" s="2" t="str">
        <f>IF(B59="","",SUMIF(Productos!E:E,B59,Productos!A:A))</f>
        <v/>
      </c>
      <c r="B59" s="40"/>
      <c r="C59" s="26" t="str">
        <f>IF(B59="","",SUMIF(Prearmados!E:E,B59,Prearmados!G:G))</f>
        <v/>
      </c>
      <c r="D59" s="19"/>
      <c r="E59" s="26" t="str">
        <f>IF(A59="","",IF(SUMIFS(Estructuras!E:E,Estructuras!B:B,A$2,Estructuras!C:C,A59)&gt;0,SUMIFS(Estructuras!E:E,Estructuras!B:B,A$2,Estructuras!C:C,A59),C59*D59))</f>
        <v/>
      </c>
      <c r="F59" s="36"/>
      <c r="G59" s="36"/>
      <c r="H59" s="36"/>
      <c r="I59" s="36">
        <f t="shared" si="2"/>
        <v>10439100</v>
      </c>
      <c r="J59" s="37">
        <f t="shared" si="3"/>
        <v>9942000</v>
      </c>
      <c r="K59" s="38">
        <f>IF(L59="","",SUMIF(Productos!E:E,L59,Productos!A:A))</f>
        <v>133</v>
      </c>
      <c r="L59" s="36" t="s">
        <v>44</v>
      </c>
      <c r="M59" s="44">
        <v>9942000.0</v>
      </c>
      <c r="N59" s="36"/>
    </row>
    <row r="60">
      <c r="A60" s="2" t="str">
        <f>IF(B60="","",SUMIF(Productos!E:E,B60,Productos!A:A))</f>
        <v/>
      </c>
      <c r="B60" s="40"/>
      <c r="C60" s="26" t="str">
        <f>IF(B60="","",SUMIF(Prearmados!E:E,B60,Prearmados!G:G))</f>
        <v/>
      </c>
      <c r="D60" s="19"/>
      <c r="E60" s="26" t="str">
        <f>IF(A60="","",IF(SUMIFS(Estructuras!E:E,Estructuras!B:B,A$2,Estructuras!C:C,A60)&gt;0,SUMIFS(Estructuras!E:E,Estructuras!B:B,A$2,Estructuras!C:C,A60),C60*D60))</f>
        <v/>
      </c>
      <c r="F60" s="36"/>
      <c r="G60" s="36"/>
      <c r="H60" s="36"/>
      <c r="I60" s="36">
        <f t="shared" si="2"/>
        <v>2564951</v>
      </c>
      <c r="J60" s="37">
        <f t="shared" si="3"/>
        <v>2442810</v>
      </c>
      <c r="K60" s="38">
        <f>IF(L60="","",SUMIF(Productos!E:E,L60,Productos!A:A))</f>
        <v>134</v>
      </c>
      <c r="L60" s="40" t="s">
        <v>150</v>
      </c>
      <c r="M60" s="35">
        <v>2442810.0</v>
      </c>
      <c r="N60" s="36"/>
    </row>
    <row r="61">
      <c r="A61" s="2" t="str">
        <f>IF(B61="","",SUMIF(Productos!E:E,B61,Productos!A:A))</f>
        <v/>
      </c>
      <c r="B61" s="40"/>
      <c r="C61" s="26" t="str">
        <f>IF(B61="","",SUMIF(Prearmados!E:E,B61,Prearmados!G:G))</f>
        <v/>
      </c>
      <c r="D61" s="19"/>
      <c r="E61" s="26" t="str">
        <f>IF(A61="","",IF(SUMIFS(Estructuras!E:E,Estructuras!B:B,A$2,Estructuras!C:C,A61)&gt;0,SUMIFS(Estructuras!E:E,Estructuras!B:B,A$2,Estructuras!C:C,A61),C61*D61))</f>
        <v/>
      </c>
      <c r="F61" s="36"/>
      <c r="G61" s="36"/>
      <c r="H61" s="36"/>
      <c r="I61" s="36">
        <f t="shared" si="2"/>
        <v>1134110</v>
      </c>
      <c r="J61" s="37">
        <f t="shared" si="3"/>
        <v>1080104</v>
      </c>
      <c r="K61" s="38">
        <f>IF(L61="","",SUMIF(Productos!E:E,L61,Productos!A:A))</f>
        <v>135</v>
      </c>
      <c r="L61" s="36" t="s">
        <v>173</v>
      </c>
      <c r="M61" s="44">
        <v>1080104.0</v>
      </c>
      <c r="N61" s="36"/>
    </row>
    <row r="62">
      <c r="A62" s="2" t="str">
        <f>IF(B62="","",SUMIF(Productos!E:E,B62,Productos!A:A))</f>
        <v/>
      </c>
      <c r="B62" s="40"/>
      <c r="C62" s="26" t="str">
        <f>IF(B62="","",SUMIF(Prearmados!E:E,B62,Prearmados!G:G))</f>
        <v/>
      </c>
      <c r="D62" s="19"/>
      <c r="E62" s="26" t="str">
        <f>IF(A62="","",IF(SUMIFS(Estructuras!E:E,Estructuras!B:B,A$2,Estructuras!C:C,A62)&gt;0,SUMIFS(Estructuras!E:E,Estructuras!B:B,A$2,Estructuras!C:C,A62),C62*D62))</f>
        <v/>
      </c>
      <c r="F62" s="36"/>
      <c r="G62" s="36"/>
      <c r="H62" s="36"/>
      <c r="I62" s="36">
        <f t="shared" si="2"/>
        <v>192847</v>
      </c>
      <c r="J62" s="37">
        <f t="shared" si="3"/>
        <v>183663</v>
      </c>
      <c r="K62" s="38">
        <f>IF(L62="","",SUMIF(Productos!E:E,L62,Productos!A:A))</f>
        <v>113</v>
      </c>
      <c r="L62" s="36" t="s">
        <v>131</v>
      </c>
      <c r="M62" s="44">
        <v>183663.0</v>
      </c>
      <c r="N62" s="36"/>
    </row>
    <row r="63">
      <c r="A63" s="2" t="str">
        <f>IF(B63="","",SUMIF(Productos!E:E,B63,Productos!A:A))</f>
        <v/>
      </c>
      <c r="B63" s="40"/>
      <c r="C63" s="26" t="str">
        <f>IF(B63="","",SUMIF(Prearmados!E:E,B63,Prearmados!G:G))</f>
        <v/>
      </c>
      <c r="D63" s="19"/>
      <c r="E63" s="26" t="str">
        <f>IF(A63="","",IF(SUMIFS(Estructuras!E:E,Estructuras!B:B,A$2,Estructuras!C:C,A63)&gt;0,SUMIFS(Estructuras!E:E,Estructuras!B:B,A$2,Estructuras!C:C,A63),C63*D63))</f>
        <v/>
      </c>
      <c r="F63" s="36"/>
      <c r="G63" s="36"/>
      <c r="H63" s="36"/>
      <c r="I63" s="36">
        <f t="shared" si="2"/>
        <v>3564750</v>
      </c>
      <c r="J63" s="37">
        <f t="shared" si="3"/>
        <v>3395000</v>
      </c>
      <c r="K63" s="38">
        <f>IF(L63="","",SUMIF(Productos!E:E,L63,Productos!A:A))</f>
        <v>36</v>
      </c>
      <c r="L63" s="41" t="s">
        <v>89</v>
      </c>
      <c r="M63" s="44">
        <v>3395000.0</v>
      </c>
      <c r="N63" s="36"/>
    </row>
    <row r="64">
      <c r="A64" s="2" t="str">
        <f>IF(B64="","",SUMIF(Productos!E:E,B64,Productos!A:A))</f>
        <v/>
      </c>
      <c r="B64" s="40"/>
      <c r="C64" s="26" t="str">
        <f>IF(B64="","",SUMIF(Prearmados!E:E,B64,Prearmados!G:G))</f>
        <v/>
      </c>
      <c r="D64" s="19"/>
      <c r="E64" s="26" t="str">
        <f>IF(A64="","",IF(SUMIFS(Estructuras!E:E,Estructuras!B:B,A$2,Estructuras!C:C,A64)&gt;0,SUMIFS(Estructuras!E:E,Estructuras!B:B,A$2,Estructuras!C:C,A64),C64*D64))</f>
        <v/>
      </c>
      <c r="F64" s="36"/>
      <c r="G64" s="36"/>
      <c r="H64" s="36"/>
      <c r="I64" s="36">
        <f t="shared" si="2"/>
        <v>131250</v>
      </c>
      <c r="J64" s="37">
        <f t="shared" si="3"/>
        <v>125000</v>
      </c>
      <c r="K64" s="38">
        <f>IF(L64="","",SUMIF(Productos!E:E,L64,Productos!A:A))</f>
        <v>38</v>
      </c>
      <c r="L64" s="36" t="s">
        <v>91</v>
      </c>
      <c r="M64" s="44">
        <v>125000.0</v>
      </c>
      <c r="N64" s="36"/>
    </row>
    <row r="65">
      <c r="A65" s="2" t="str">
        <f>IF(B65="","",SUMIF(Productos!E:E,B65,Productos!A:A))</f>
        <v/>
      </c>
      <c r="B65" s="40"/>
      <c r="C65" s="26" t="str">
        <f>IF(B65="","",SUMIF(Prearmados!E:E,B65,Prearmados!G:G))</f>
        <v/>
      </c>
      <c r="D65" s="19"/>
      <c r="E65" s="26" t="str">
        <f>IF(A65="","",IF(SUMIFS(Estructuras!E:E,Estructuras!B:B,A$2,Estructuras!C:C,A65)&gt;0,SUMIFS(Estructuras!E:E,Estructuras!B:B,A$2,Estructuras!C:C,A65),C65*D65))</f>
        <v/>
      </c>
      <c r="F65" s="36"/>
      <c r="G65" s="36"/>
      <c r="H65" s="36"/>
      <c r="I65" s="36">
        <f t="shared" si="2"/>
        <v>521430</v>
      </c>
      <c r="J65" s="37">
        <f t="shared" si="3"/>
        <v>496600</v>
      </c>
      <c r="K65" s="38">
        <f>IF(L65="","",SUMIF(Productos!E:E,L65,Productos!A:A))</f>
        <v>40</v>
      </c>
      <c r="L65" s="36" t="s">
        <v>93</v>
      </c>
      <c r="M65" s="44">
        <v>496600.0</v>
      </c>
      <c r="N65" s="36"/>
    </row>
    <row r="66">
      <c r="A66" s="2" t="str">
        <f>IF(B66="","",SUMIF(Productos!E:E,B66,Productos!A:A))</f>
        <v/>
      </c>
      <c r="B66" s="40"/>
      <c r="C66" s="26" t="str">
        <f>IF(B66="","",SUMIF(Prearmados!E:E,B66,Prearmados!G:G))</f>
        <v/>
      </c>
      <c r="D66" s="19"/>
      <c r="E66" s="26" t="str">
        <f>IF(A66="","",IF(SUMIFS(Estructuras!E:E,Estructuras!B:B,A$2,Estructuras!C:C,A66)&gt;0,SUMIFS(Estructuras!E:E,Estructuras!B:B,A$2,Estructuras!C:C,A66),C66*D66))</f>
        <v/>
      </c>
      <c r="F66" s="36"/>
      <c r="G66" s="36"/>
      <c r="H66" s="36"/>
      <c r="I66" s="36">
        <f t="shared" si="2"/>
        <v>6966679</v>
      </c>
      <c r="J66" s="37">
        <f t="shared" si="3"/>
        <v>6634932</v>
      </c>
      <c r="K66" s="38">
        <f>IF(L66="","",SUMIF(Productos!E:E,L66,Productos!A:A))</f>
        <v>37</v>
      </c>
      <c r="L66" s="1" t="s">
        <v>90</v>
      </c>
      <c r="M66" s="44">
        <v>6634932.0</v>
      </c>
      <c r="N66" s="36"/>
    </row>
    <row r="67">
      <c r="A67" s="2" t="str">
        <f>IF(B67="","",SUMIF(Productos!E:E,B67,Productos!A:A))</f>
        <v/>
      </c>
      <c r="B67" s="40"/>
      <c r="C67" s="26" t="str">
        <f>IF(B67="","",SUMIF(Prearmados!E:E,B67,Prearmados!G:G))</f>
        <v/>
      </c>
      <c r="D67" s="19"/>
      <c r="E67" s="26" t="str">
        <f>IF(A67="","",IF(SUMIFS(Estructuras!E:E,Estructuras!B:B,A$2,Estructuras!C:C,A67)&gt;0,SUMIFS(Estructuras!E:E,Estructuras!B:B,A$2,Estructuras!C:C,A67),C67*D67))</f>
        <v/>
      </c>
      <c r="F67" s="36"/>
      <c r="G67" s="36"/>
      <c r="H67" s="36"/>
      <c r="I67" s="36">
        <f t="shared" si="2"/>
        <v>220500</v>
      </c>
      <c r="J67" s="37">
        <f t="shared" si="3"/>
        <v>210000</v>
      </c>
      <c r="K67" s="38">
        <f>IF(L67="","",SUMIF(Productos!E:E,L67,Productos!A:A))</f>
        <v>39</v>
      </c>
      <c r="L67" s="36" t="s">
        <v>92</v>
      </c>
      <c r="M67" s="44">
        <v>210000.0</v>
      </c>
      <c r="N67" s="36"/>
    </row>
    <row r="68">
      <c r="A68" s="2" t="str">
        <f>IF(B68="","",SUMIF(Productos!E:E,B68,Productos!A:A))</f>
        <v/>
      </c>
      <c r="B68" s="40"/>
      <c r="C68" s="26" t="str">
        <f>IF(B68="","",SUMIF(Prearmados!E:E,B68,Prearmados!G:G))</f>
        <v/>
      </c>
      <c r="D68" s="19"/>
      <c r="E68" s="26" t="str">
        <f>IF(A68="","",IF(SUMIFS(Estructuras!E:E,Estructuras!B:B,A$2,Estructuras!C:C,A68)&gt;0,SUMIFS(Estructuras!E:E,Estructuras!B:B,A$2,Estructuras!C:C,A68),C68*D68))</f>
        <v/>
      </c>
      <c r="F68" s="36"/>
      <c r="G68" s="36"/>
      <c r="H68" s="36"/>
      <c r="I68" s="36">
        <f t="shared" si="2"/>
        <v>331716</v>
      </c>
      <c r="J68" s="37">
        <f t="shared" si="3"/>
        <v>315920</v>
      </c>
      <c r="K68" s="38">
        <f>IF(L68="","",SUMIF(Productos!E:E,L68,Productos!A:A))</f>
        <v>42</v>
      </c>
      <c r="L68" s="36" t="s">
        <v>96</v>
      </c>
      <c r="M68" s="44">
        <v>315920.0</v>
      </c>
      <c r="N68" s="36"/>
    </row>
    <row r="69">
      <c r="A69" s="2" t="str">
        <f>IF(B69="","",SUMIF(Productos!E:E,B69,Productos!A:A))</f>
        <v/>
      </c>
      <c r="B69" s="40"/>
      <c r="C69" s="26" t="str">
        <f>IF(B69="","",SUMIF(Prearmados!E:E,B69,Prearmados!G:G))</f>
        <v/>
      </c>
      <c r="D69" s="19"/>
      <c r="E69" s="26" t="str">
        <f>IF(A69="","",IF(SUMIFS(Estructuras!E:E,Estructuras!B:B,A$2,Estructuras!C:C,A69)&gt;0,SUMIFS(Estructuras!E:E,Estructuras!B:B,A$2,Estructuras!C:C,A69),C69*D69))</f>
        <v/>
      </c>
      <c r="F69" s="36"/>
      <c r="G69" s="36"/>
      <c r="H69" s="36"/>
      <c r="I69" s="36">
        <f t="shared" si="2"/>
        <v>479939</v>
      </c>
      <c r="J69" s="37">
        <f t="shared" si="3"/>
        <v>457084</v>
      </c>
      <c r="K69" s="38">
        <f>IF(L69="","",SUMIF(Productos!E:E,L69,Productos!A:A))</f>
        <v>43</v>
      </c>
      <c r="L69" s="36" t="s">
        <v>95</v>
      </c>
      <c r="M69" s="44">
        <v>457084.0</v>
      </c>
      <c r="N69" s="36"/>
    </row>
    <row r="70">
      <c r="A70" s="2" t="str">
        <f>IF(B70="","",SUMIF(Productos!E:E,B70,Productos!A:A))</f>
        <v/>
      </c>
      <c r="B70" s="40"/>
      <c r="C70" s="26" t="str">
        <f>IF(B70="","",SUMIF(Prearmados!E:E,B70,Prearmados!G:G))</f>
        <v/>
      </c>
      <c r="D70" s="19"/>
      <c r="E70" s="26" t="str">
        <f>IF(A70="","",IF(SUMIFS(Estructuras!E:E,Estructuras!B:B,A$2,Estructuras!C:C,A70)&gt;0,SUMIFS(Estructuras!E:E,Estructuras!B:B,A$2,Estructuras!C:C,A70),C70*D70))</f>
        <v/>
      </c>
      <c r="F70" s="36"/>
      <c r="G70" s="36"/>
      <c r="H70" s="36"/>
      <c r="I70" s="36">
        <f t="shared" si="2"/>
        <v>540502</v>
      </c>
      <c r="J70" s="37">
        <f t="shared" si="3"/>
        <v>514763</v>
      </c>
      <c r="K70" s="38">
        <f>IF(L70="","",SUMIF(Productos!E:E,L70,Productos!A:A))</f>
        <v>41</v>
      </c>
      <c r="L70" s="36" t="s">
        <v>94</v>
      </c>
      <c r="M70" s="44">
        <v>514763.0</v>
      </c>
      <c r="N70" s="36"/>
    </row>
    <row r="71">
      <c r="A71" s="2" t="str">
        <f>IF(B71="","",SUMIF(Productos!E:E,B71,Productos!A:A))</f>
        <v/>
      </c>
      <c r="B71" s="40"/>
      <c r="C71" s="26" t="str">
        <f>IF(B71="","",SUMIF(Prearmados!E:E,B71,Prearmados!G:G))</f>
        <v/>
      </c>
      <c r="D71" s="19"/>
      <c r="E71" s="26" t="str">
        <f>IF(A71="","",IF(SUMIFS(Estructuras!E:E,Estructuras!B:B,A$2,Estructuras!C:C,A71)&gt;0,SUMIFS(Estructuras!E:E,Estructuras!B:B,A$2,Estructuras!C:C,A71),C71*D71))</f>
        <v/>
      </c>
      <c r="F71" s="36"/>
      <c r="G71" s="36"/>
      <c r="H71" s="36"/>
      <c r="I71" s="36">
        <f t="shared" si="2"/>
        <v>8592593</v>
      </c>
      <c r="J71" s="37">
        <f t="shared" si="3"/>
        <v>8183421</v>
      </c>
      <c r="K71" s="38">
        <f>IF(L71="","",SUMIF(Productos!E:E,L71,Productos!A:A))</f>
        <v>139</v>
      </c>
      <c r="L71" s="41" t="s">
        <v>174</v>
      </c>
      <c r="M71" s="44">
        <v>8183421.0</v>
      </c>
      <c r="N71" s="36"/>
    </row>
    <row r="72">
      <c r="A72" s="2" t="str">
        <f>IF(B72="","",SUMIF(Productos!E:E,B72,Productos!A:A))</f>
        <v/>
      </c>
      <c r="B72" s="40"/>
      <c r="C72" s="26" t="str">
        <f>IF(B72="","",SUMIF(Prearmados!E:E,B72,Prearmados!G:G))</f>
        <v/>
      </c>
      <c r="D72" s="19"/>
      <c r="E72" s="26" t="str">
        <f>IF(A72="","",IF(SUMIFS(Estructuras!E:E,Estructuras!B:B,A$2,Estructuras!C:C,A72)&gt;0,SUMIFS(Estructuras!E:E,Estructuras!B:B,A$2,Estructuras!C:C,A72),C72*D72))</f>
        <v/>
      </c>
      <c r="F72" s="36"/>
      <c r="G72" s="36"/>
      <c r="H72" s="36"/>
      <c r="I72" s="36">
        <f t="shared" si="2"/>
        <v>199500</v>
      </c>
      <c r="J72" s="37">
        <f t="shared" si="3"/>
        <v>190000</v>
      </c>
      <c r="K72" s="38">
        <f>IF(L72="","",SUMIF(Productos!E:E,L72,Productos!A:A))</f>
        <v>0</v>
      </c>
      <c r="L72" s="36" t="s">
        <v>175</v>
      </c>
      <c r="M72" s="44">
        <v>190000.0</v>
      </c>
      <c r="N72" s="36"/>
    </row>
    <row r="73">
      <c r="A73" s="2" t="str">
        <f>IF(B73="","",SUMIF(Productos!E:E,B73,Productos!A:A))</f>
        <v/>
      </c>
      <c r="B73" s="40"/>
      <c r="C73" s="26" t="str">
        <f>IF(B73="","",SUMIF(Prearmados!E:E,B73,Prearmados!G:G))</f>
        <v/>
      </c>
      <c r="D73" s="19"/>
      <c r="E73" s="26" t="str">
        <f>IF(A73="","",IF(SUMIFS(Estructuras!E:E,Estructuras!B:B,A$2,Estructuras!C:C,A73)&gt;0,SUMIFS(Estructuras!E:E,Estructuras!B:B,A$2,Estructuras!C:C,A73),C73*D73))</f>
        <v/>
      </c>
      <c r="F73" s="36"/>
      <c r="G73" s="36"/>
      <c r="H73" s="36"/>
      <c r="I73" s="36">
        <f t="shared" si="2"/>
        <v>1708667</v>
      </c>
      <c r="J73" s="37">
        <f t="shared" si="3"/>
        <v>1627301</v>
      </c>
      <c r="K73" s="38">
        <f>IF(L73="","",SUMIF(Productos!E:E,L73,Productos!A:A))</f>
        <v>140</v>
      </c>
      <c r="L73" s="40" t="s">
        <v>176</v>
      </c>
      <c r="M73" s="35">
        <v>1627301.0</v>
      </c>
      <c r="N73" s="36"/>
    </row>
    <row r="74">
      <c r="A74" s="2" t="str">
        <f>IF(B74="","",SUMIF(Productos!E:E,B74,Productos!A:A))</f>
        <v/>
      </c>
      <c r="B74" s="40"/>
      <c r="C74" s="26" t="str">
        <f>IF(B74="","",SUMIF(Prearmados!E:E,B74,Prearmados!G:G))</f>
        <v/>
      </c>
      <c r="D74" s="19"/>
      <c r="E74" s="26" t="str">
        <f>IF(A74="","",IF(SUMIFS(Estructuras!E:E,Estructuras!B:B,A$2,Estructuras!C:C,A74)&gt;0,SUMIFS(Estructuras!E:E,Estructuras!B:B,A$2,Estructuras!C:C,A74),C74*D74))</f>
        <v/>
      </c>
      <c r="F74" s="36"/>
      <c r="G74" s="36"/>
      <c r="H74" s="36"/>
      <c r="I74" s="36">
        <f t="shared" si="2"/>
        <v>8478466</v>
      </c>
      <c r="J74" s="37">
        <f t="shared" si="3"/>
        <v>8074729</v>
      </c>
      <c r="K74" s="38">
        <f>IF(L74="","",SUMIF(Productos!E:E,L74,Productos!A:A))</f>
        <v>143</v>
      </c>
      <c r="L74" s="41" t="s">
        <v>144</v>
      </c>
      <c r="M74" s="44">
        <v>8074729.0</v>
      </c>
      <c r="N74" s="36"/>
    </row>
    <row r="75">
      <c r="A75" s="2" t="str">
        <f>IF(B75="","",SUMIF(Productos!E:E,B75,Productos!A:A))</f>
        <v/>
      </c>
      <c r="B75" s="40"/>
      <c r="C75" s="26" t="str">
        <f>IF(B75="","",SUMIF(Prearmados!E:E,B75,Prearmados!G:G))</f>
        <v/>
      </c>
      <c r="D75" s="19"/>
      <c r="E75" s="26" t="str">
        <f>IF(A75="","",IF(SUMIFS(Estructuras!E:E,Estructuras!B:B,A$2,Estructuras!C:C,A75)&gt;0,SUMIFS(Estructuras!E:E,Estructuras!B:B,A$2,Estructuras!C:C,A75),C75*D75))</f>
        <v/>
      </c>
      <c r="F75" s="36"/>
      <c r="G75" s="36"/>
      <c r="H75" s="36"/>
      <c r="I75" s="36">
        <f t="shared" si="2"/>
        <v>189000</v>
      </c>
      <c r="J75" s="37">
        <f t="shared" si="3"/>
        <v>180000</v>
      </c>
      <c r="K75" s="38">
        <f>IF(L75="","",SUMIF(Productos!E:E,L75,Productos!A:A))</f>
        <v>145</v>
      </c>
      <c r="L75" s="36" t="s">
        <v>146</v>
      </c>
      <c r="M75" s="44">
        <v>180000.0</v>
      </c>
      <c r="N75" s="36"/>
    </row>
    <row r="76">
      <c r="A76" s="2" t="str">
        <f>IF(B76="","",SUMIF(Productos!E:E,B76,Productos!A:A))</f>
        <v/>
      </c>
      <c r="B76" s="40"/>
      <c r="C76" s="26" t="str">
        <f>IF(B76="","",SUMIF(Prearmados!E:E,B76,Prearmados!G:G))</f>
        <v/>
      </c>
      <c r="D76" s="19"/>
      <c r="E76" s="26" t="str">
        <f>IF(A76="","",IF(SUMIFS(Estructuras!E:E,Estructuras!B:B,A$2,Estructuras!C:C,A76)&gt;0,SUMIFS(Estructuras!E:E,Estructuras!B:B,A$2,Estructuras!C:C,A76),C76*D76))</f>
        <v/>
      </c>
      <c r="F76" s="36"/>
      <c r="G76" s="36"/>
      <c r="H76" s="36"/>
      <c r="I76" s="36">
        <f t="shared" si="2"/>
        <v>189000</v>
      </c>
      <c r="J76" s="37">
        <f t="shared" si="3"/>
        <v>180000</v>
      </c>
      <c r="K76" s="38">
        <f>IF(L76="","",SUMIF(Productos!E:E,L76,Productos!A:A))</f>
        <v>146</v>
      </c>
      <c r="L76" s="36" t="s">
        <v>147</v>
      </c>
      <c r="M76" s="44">
        <v>180000.0</v>
      </c>
      <c r="N76" s="36"/>
    </row>
    <row r="77">
      <c r="A77" s="2" t="str">
        <f>IF(B77="","",SUMIF(Productos!E:E,B77,Productos!A:A))</f>
        <v/>
      </c>
      <c r="B77" s="40"/>
      <c r="C77" s="26" t="str">
        <f>IF(B77="","",SUMIF(Prearmados!E:E,B77,Prearmados!G:G))</f>
        <v/>
      </c>
      <c r="D77" s="19"/>
      <c r="E77" s="26" t="str">
        <f>IF(A77="","",IF(SUMIFS(Estructuras!E:E,Estructuras!B:B,A$2,Estructuras!C:C,A77)&gt;0,SUMIFS(Estructuras!E:E,Estructuras!B:B,A$2,Estructuras!C:C,A77),C77*D77))</f>
        <v/>
      </c>
      <c r="F77" s="36"/>
      <c r="G77" s="36"/>
      <c r="H77" s="36"/>
      <c r="I77" s="36">
        <f t="shared" si="2"/>
        <v>10927235</v>
      </c>
      <c r="J77" s="37">
        <f t="shared" si="3"/>
        <v>10406890</v>
      </c>
      <c r="K77" s="38">
        <f>IF(L77="","",SUMIF(Productos!E:E,L77,Productos!A:A))</f>
        <v>144</v>
      </c>
      <c r="L77" s="36" t="s">
        <v>145</v>
      </c>
      <c r="M77" s="44">
        <v>1.040689E7</v>
      </c>
      <c r="N77" s="36"/>
    </row>
    <row r="78">
      <c r="A78" s="2" t="str">
        <f>IF(B78="","",SUMIF(Productos!E:E,B78,Productos!A:A))</f>
        <v/>
      </c>
      <c r="B78" s="40"/>
      <c r="C78" s="26" t="str">
        <f>IF(B78="","",SUMIF(Prearmados!E:E,B78,Prearmados!G:G))</f>
        <v/>
      </c>
      <c r="D78" s="19"/>
      <c r="E78" s="26" t="str">
        <f>IF(A78="","",IF(SUMIFS(Estructuras!E:E,Estructuras!B:B,A$2,Estructuras!C:C,A78)&gt;0,SUMIFS(Estructuras!E:E,Estructuras!B:B,A$2,Estructuras!C:C,A78),C78*D78))</f>
        <v/>
      </c>
      <c r="F78" s="36"/>
      <c r="G78" s="36"/>
      <c r="H78" s="36"/>
      <c r="I78" s="36">
        <f t="shared" si="2"/>
        <v>839361</v>
      </c>
      <c r="J78" s="37">
        <f t="shared" si="3"/>
        <v>799391</v>
      </c>
      <c r="K78" s="38">
        <f>IF(L78="","",SUMIF(Productos!E:E,L78,Productos!A:A))</f>
        <v>147</v>
      </c>
      <c r="L78" s="36" t="s">
        <v>148</v>
      </c>
      <c r="M78" s="44">
        <v>799391.0</v>
      </c>
      <c r="N78" s="36"/>
    </row>
    <row r="79">
      <c r="A79" s="2" t="str">
        <f>IF(B79="","",SUMIF(Productos!E:E,B79,Productos!A:A))</f>
        <v/>
      </c>
      <c r="B79" s="40"/>
      <c r="C79" s="26" t="str">
        <f>IF(B79="","",SUMIF(Prearmados!E:E,B79,Prearmados!G:G))</f>
        <v/>
      </c>
      <c r="D79" s="19"/>
      <c r="E79" s="26" t="str">
        <f>IF(A79="","",IF(SUMIFS(Estructuras!E:E,Estructuras!B:B,A$2,Estructuras!C:C,A79)&gt;0,SUMIFS(Estructuras!E:E,Estructuras!B:B,A$2,Estructuras!C:C,A79),C79*D79))</f>
        <v/>
      </c>
      <c r="F79" s="36"/>
      <c r="G79" s="36"/>
      <c r="H79" s="36"/>
      <c r="I79" s="36">
        <f t="shared" si="2"/>
        <v>1562789</v>
      </c>
      <c r="J79" s="37">
        <f t="shared" si="3"/>
        <v>1488370</v>
      </c>
      <c r="K79" s="38">
        <f>IF(L79="","",SUMIF(Productos!E:E,L79,Productos!A:A))</f>
        <v>148</v>
      </c>
      <c r="L79" s="45" t="s">
        <v>177</v>
      </c>
      <c r="M79" s="39">
        <v>1488370.0</v>
      </c>
      <c r="N79" s="36"/>
    </row>
    <row r="80">
      <c r="A80" s="2" t="str">
        <f>IF(B80="","",SUMIF(Productos!E:E,B80,Productos!A:A))</f>
        <v/>
      </c>
      <c r="B80" s="40"/>
      <c r="C80" s="26" t="str">
        <f>IF(B80="","",SUMIF(Prearmados!E:E,B80,Prearmados!G:G))</f>
        <v/>
      </c>
      <c r="D80" s="19"/>
      <c r="E80" s="26" t="str">
        <f>IF(A80="","",IF(SUMIFS(Estructuras!E:E,Estructuras!B:B,A$2,Estructuras!C:C,A80)&gt;0,SUMIFS(Estructuras!E:E,Estructuras!B:B,A$2,Estructuras!C:C,A80),C80*D80))</f>
        <v/>
      </c>
      <c r="F80" s="36"/>
      <c r="G80" s="36"/>
      <c r="H80" s="36"/>
      <c r="I80" s="36">
        <f t="shared" si="2"/>
        <v>5159607</v>
      </c>
      <c r="J80" s="37">
        <f t="shared" si="3"/>
        <v>4913911</v>
      </c>
      <c r="K80" s="38">
        <f>IF(L80="","",SUMIF(Productos!E:E,L80,Productos!A:A))</f>
        <v>149</v>
      </c>
      <c r="L80" s="45" t="s">
        <v>178</v>
      </c>
      <c r="M80" s="39">
        <v>4913911.0</v>
      </c>
      <c r="N80" s="36"/>
    </row>
    <row r="81">
      <c r="A81" s="2" t="str">
        <f>IF(B81="","",SUMIF(Productos!E:E,B81,Productos!A:A))</f>
        <v/>
      </c>
      <c r="B81" s="40"/>
      <c r="C81" s="26" t="str">
        <f>IF(B81="","",SUMIF(Prearmados!E:E,B81,Prearmados!G:G))</f>
        <v/>
      </c>
      <c r="D81" s="19"/>
      <c r="E81" s="26" t="str">
        <f>IF(A81="","",IF(SUMIFS(Estructuras!E:E,Estructuras!B:B,A$2,Estructuras!C:C,A81)&gt;0,SUMIFS(Estructuras!E:E,Estructuras!B:B,A$2,Estructuras!C:C,A81),C81*D81))</f>
        <v/>
      </c>
      <c r="F81" s="36"/>
      <c r="G81" s="36"/>
      <c r="H81" s="36"/>
      <c r="I81" s="36">
        <f t="shared" si="2"/>
        <v>7184019</v>
      </c>
      <c r="J81" s="37">
        <f t="shared" si="3"/>
        <v>6841922</v>
      </c>
      <c r="K81" s="38">
        <f>IF(L81="","",SUMIF(Productos!E:E,L81,Productos!A:A))</f>
        <v>150</v>
      </c>
      <c r="L81" s="45" t="s">
        <v>179</v>
      </c>
      <c r="M81" s="39">
        <v>6841922.0</v>
      </c>
      <c r="N81" s="36"/>
    </row>
    <row r="82">
      <c r="A82" s="2" t="str">
        <f>IF(B82="","",SUMIF(Productos!E:E,B82,Productos!A:A))</f>
        <v/>
      </c>
      <c r="B82" s="40"/>
      <c r="C82" s="26" t="str">
        <f>IF(B82="","",SUMIF(Prearmados!E:E,B82,Prearmados!G:G))</f>
        <v/>
      </c>
      <c r="D82" s="19"/>
      <c r="E82" s="26" t="str">
        <f>IF(A82="","",IF(SUMIFS(Estructuras!E:E,Estructuras!B:B,A$2,Estructuras!C:C,A82)&gt;0,SUMIFS(Estructuras!E:E,Estructuras!B:B,A$2,Estructuras!C:C,A82),C82*D82))</f>
        <v/>
      </c>
      <c r="F82" s="36"/>
      <c r="G82" s="36"/>
      <c r="H82" s="36"/>
      <c r="I82" s="36">
        <f t="shared" si="2"/>
        <v>1915997</v>
      </c>
      <c r="J82" s="37">
        <f t="shared" si="3"/>
        <v>1824759</v>
      </c>
      <c r="K82" s="38">
        <f>IF(L82="","",SUMIF(Productos!E:E,L82,Productos!A:A))</f>
        <v>141</v>
      </c>
      <c r="L82" s="45" t="s">
        <v>180</v>
      </c>
      <c r="M82" s="39">
        <v>1824759.0</v>
      </c>
      <c r="N82" s="36"/>
    </row>
    <row r="83">
      <c r="A83" s="2" t="str">
        <f>IF(B83="","",SUMIF(Productos!E:E,B83,Productos!A:A))</f>
        <v/>
      </c>
      <c r="B83" s="40"/>
      <c r="C83" s="26" t="str">
        <f>IF(B83="","",SUMIF(Prearmados!E:E,B83,Prearmados!G:G))</f>
        <v/>
      </c>
      <c r="D83" s="19"/>
      <c r="E83" s="26" t="str">
        <f>IF(A83="","",IF(SUMIFS(Estructuras!E:E,Estructuras!B:B,A$2,Estructuras!C:C,A83)&gt;0,SUMIFS(Estructuras!E:E,Estructuras!B:B,A$2,Estructuras!C:C,A83),C83*D83))</f>
        <v/>
      </c>
      <c r="F83" s="36"/>
      <c r="G83" s="36"/>
      <c r="H83" s="36"/>
      <c r="I83" s="36">
        <f t="shared" si="2"/>
        <v>3675000</v>
      </c>
      <c r="J83" s="37">
        <f t="shared" si="3"/>
        <v>3500000</v>
      </c>
      <c r="K83" s="38">
        <f>IF(L83="","",SUMIF(Productos!E:E,L83,Productos!A:A))</f>
        <v>142</v>
      </c>
      <c r="L83" s="45" t="s">
        <v>181</v>
      </c>
      <c r="M83" s="39">
        <v>3500000.0</v>
      </c>
      <c r="N83" s="36"/>
    </row>
    <row r="84">
      <c r="A84" s="2" t="str">
        <f>IF(B84="","",SUMIF(Productos!E:E,B84,Productos!A:A))</f>
        <v/>
      </c>
      <c r="B84" s="40"/>
      <c r="C84" s="26" t="str">
        <f>IF(B84="","",SUMIF(Prearmados!E:E,B84,Prearmados!G:G))</f>
        <v/>
      </c>
      <c r="D84" s="19"/>
      <c r="E84" s="26" t="str">
        <f>IF(A84="","",IF(SUMIFS(Estructuras!E:E,Estructuras!B:B,A$2,Estructuras!C:C,A84)&gt;0,SUMIFS(Estructuras!E:E,Estructuras!B:B,A$2,Estructuras!C:C,A84),C84*D84))</f>
        <v/>
      </c>
      <c r="F84" s="36"/>
      <c r="G84" s="36"/>
      <c r="H84" s="36"/>
      <c r="I84" s="36">
        <f t="shared" si="2"/>
        <v>1656511</v>
      </c>
      <c r="J84" s="37">
        <f t="shared" si="3"/>
        <v>1577629</v>
      </c>
      <c r="K84" s="38">
        <f>IF(L84="","",SUMIF(Productos!E:E,L84,Productos!A:A))</f>
        <v>136</v>
      </c>
      <c r="L84" s="45" t="s">
        <v>182</v>
      </c>
      <c r="M84" s="39">
        <v>1577629.0</v>
      </c>
      <c r="N84" s="36"/>
    </row>
    <row r="85">
      <c r="A85" s="2" t="str">
        <f>IF(B85="","",SUMIF(Productos!E:E,B85,Productos!A:A))</f>
        <v/>
      </c>
      <c r="B85" s="40"/>
      <c r="C85" s="26" t="str">
        <f>IF(B85="","",SUMIF(Prearmados!E:E,B85,Prearmados!G:G))</f>
        <v/>
      </c>
      <c r="D85" s="19"/>
      <c r="E85" s="26" t="str">
        <f>IF(A85="","",IF(SUMIFS(Estructuras!E:E,Estructuras!B:B,A$2,Estructuras!C:C,A85)&gt;0,SUMIFS(Estructuras!E:E,Estructuras!B:B,A$2,Estructuras!C:C,A85),C85*D85))</f>
        <v/>
      </c>
      <c r="F85" s="36"/>
      <c r="G85" s="36"/>
      <c r="H85" s="36"/>
      <c r="I85" s="36">
        <f t="shared" si="2"/>
        <v>1125852</v>
      </c>
      <c r="J85" s="37">
        <f t="shared" si="3"/>
        <v>1072240</v>
      </c>
      <c r="K85" s="38">
        <f>IF(L85="","",SUMIF(Productos!E:E,L85,Productos!A:A))</f>
        <v>137</v>
      </c>
      <c r="L85" s="45" t="s">
        <v>183</v>
      </c>
      <c r="M85" s="39">
        <v>1072240.0</v>
      </c>
      <c r="N85" s="36"/>
    </row>
    <row r="86">
      <c r="A86" s="2" t="str">
        <f>IF(B86="","",SUMIF(Productos!E:E,B86,Productos!A:A))</f>
        <v/>
      </c>
      <c r="B86" s="40"/>
      <c r="C86" s="26" t="str">
        <f>IF(B86="","",SUMIF(Prearmados!E:E,B86,Prearmados!G:G))</f>
        <v/>
      </c>
      <c r="D86" s="19"/>
      <c r="E86" s="26" t="str">
        <f>IF(A86="","",IF(SUMIFS(Estructuras!E:E,Estructuras!B:B,A$2,Estructuras!C:C,A86)&gt;0,SUMIFS(Estructuras!E:E,Estructuras!B:B,A$2,Estructuras!C:C,A86),C86*D86))</f>
        <v/>
      </c>
      <c r="F86" s="36"/>
      <c r="G86" s="36"/>
      <c r="H86" s="36"/>
      <c r="I86" s="36">
        <f t="shared" si="2"/>
        <v>192850</v>
      </c>
      <c r="J86" s="37">
        <f t="shared" si="3"/>
        <v>183666</v>
      </c>
      <c r="K86" s="38">
        <f>IF(L86="","",SUMIF(Productos!E:E,L86,Productos!A:A))</f>
        <v>112</v>
      </c>
      <c r="L86" s="45" t="s">
        <v>45</v>
      </c>
      <c r="M86" s="39">
        <v>183666.0</v>
      </c>
      <c r="N86" s="36"/>
    </row>
    <row r="87">
      <c r="A87" s="2" t="str">
        <f>IF(B87="","",SUMIF(Productos!E:E,B87,Productos!A:A))</f>
        <v/>
      </c>
      <c r="B87" s="40"/>
      <c r="C87" s="26" t="str">
        <f>IF(B87="","",SUMIF(Prearmados!E:E,B87,Prearmados!G:G))</f>
        <v/>
      </c>
      <c r="D87" s="19"/>
      <c r="E87" s="26" t="str">
        <f>IF(A87="","",IF(SUMIFS(Estructuras!E:E,Estructuras!B:B,A$2,Estructuras!C:C,A87)&gt;0,SUMIFS(Estructuras!E:E,Estructuras!B:B,A$2,Estructuras!C:C,A87),C87*D87))</f>
        <v/>
      </c>
      <c r="F87" s="36"/>
      <c r="G87" s="36"/>
      <c r="H87" s="36"/>
      <c r="I87" s="36">
        <f t="shared" si="2"/>
        <v>157500</v>
      </c>
      <c r="J87" s="37">
        <f t="shared" si="3"/>
        <v>150000</v>
      </c>
      <c r="K87" s="38">
        <f>IF(L87="","",SUMIF(Productos!E:E,L87,Productos!A:A))</f>
        <v>97</v>
      </c>
      <c r="L87" s="45" t="s">
        <v>124</v>
      </c>
      <c r="M87" s="39">
        <v>150000.0</v>
      </c>
      <c r="N87" s="36"/>
    </row>
    <row r="88">
      <c r="A88" s="2" t="str">
        <f>IF(B88="","",SUMIF(Productos!E:E,B88,Productos!A:A))</f>
        <v/>
      </c>
      <c r="B88" s="40"/>
      <c r="C88" s="26" t="str">
        <f>IF(B88="","",SUMIF(Prearmados!E:E,B88,Prearmados!G:G))</f>
        <v/>
      </c>
      <c r="D88" s="19"/>
      <c r="E88" s="26" t="str">
        <f>IF(A88="","",IF(SUMIFS(Estructuras!E:E,Estructuras!B:B,A$2,Estructuras!C:C,A88)&gt;0,SUMIFS(Estructuras!E:E,Estructuras!B:B,A$2,Estructuras!C:C,A88),C88*D88))</f>
        <v/>
      </c>
      <c r="F88" s="36"/>
      <c r="G88" s="36"/>
      <c r="H88" s="36"/>
      <c r="I88" s="36">
        <f t="shared" si="2"/>
        <v>262500</v>
      </c>
      <c r="J88" s="37">
        <f t="shared" si="3"/>
        <v>250000</v>
      </c>
      <c r="K88" s="38">
        <f>IF(L88="","",SUMIF(Productos!E:E,L88,Productos!A:A))</f>
        <v>68</v>
      </c>
      <c r="L88" s="45" t="s">
        <v>82</v>
      </c>
      <c r="M88" s="39">
        <v>250000.0</v>
      </c>
      <c r="N88" s="36"/>
    </row>
    <row r="89">
      <c r="A89" s="2" t="str">
        <f>IF(B89="","",SUMIF(Productos!E:E,B89,Productos!A:A))</f>
        <v/>
      </c>
      <c r="B89" s="40"/>
      <c r="C89" s="26" t="str">
        <f>IF(B89="","",SUMIF(Prearmados!E:E,B89,Prearmados!G:G))</f>
        <v/>
      </c>
      <c r="D89" s="19"/>
      <c r="E89" s="26" t="str">
        <f>IF(A89="","",IF(SUMIFS(Estructuras!E:E,Estructuras!B:B,A$2,Estructuras!C:C,A89)&gt;0,SUMIFS(Estructuras!E:E,Estructuras!B:B,A$2,Estructuras!C:C,A89),C89*D89))</f>
        <v/>
      </c>
      <c r="F89" s="36"/>
      <c r="G89" s="36"/>
      <c r="H89" s="36"/>
      <c r="I89" s="36">
        <f t="shared" si="2"/>
        <v>262500</v>
      </c>
      <c r="J89" s="37">
        <f t="shared" si="3"/>
        <v>250000</v>
      </c>
      <c r="K89" s="38">
        <f>IF(L89="","",SUMIF(Productos!E:E,L89,Productos!A:A))</f>
        <v>69</v>
      </c>
      <c r="L89" s="45" t="s">
        <v>83</v>
      </c>
      <c r="M89" s="39">
        <v>250000.0</v>
      </c>
      <c r="N89" s="36"/>
    </row>
    <row r="90">
      <c r="A90" s="2" t="str">
        <f>IF(B90="","",SUMIF(Productos!E:E,B90,Productos!A:A))</f>
        <v/>
      </c>
      <c r="B90" s="40"/>
      <c r="C90" s="26" t="str">
        <f>IF(B90="","",SUMIF(Prearmados!E:E,B90,Prearmados!G:G))</f>
        <v/>
      </c>
      <c r="D90" s="19"/>
      <c r="E90" s="26" t="str">
        <f>IF(A90="","",IF(SUMIFS(Estructuras!E:E,Estructuras!B:B,A$2,Estructuras!C:C,A90)&gt;0,SUMIFS(Estructuras!E:E,Estructuras!B:B,A$2,Estructuras!C:C,A90),C90*D90))</f>
        <v/>
      </c>
      <c r="F90" s="36"/>
      <c r="G90" s="36"/>
      <c r="H90" s="36"/>
      <c r="I90" s="36">
        <f t="shared" si="2"/>
        <v>273000</v>
      </c>
      <c r="J90" s="37">
        <f t="shared" si="3"/>
        <v>260000</v>
      </c>
      <c r="K90" s="38">
        <f>IF(L90="","",SUMIF(Productos!E:E,L90,Productos!A:A))</f>
        <v>70</v>
      </c>
      <c r="L90" s="45" t="s">
        <v>84</v>
      </c>
      <c r="M90" s="39">
        <v>260000.0</v>
      </c>
      <c r="N90" s="36"/>
    </row>
    <row r="91">
      <c r="A91" s="2" t="str">
        <f>IF(B91="","",SUMIF(Productos!E:E,B91,Productos!A:A))</f>
        <v/>
      </c>
      <c r="B91" s="40"/>
      <c r="C91" s="26" t="str">
        <f>IF(B91="","",SUMIF(Prearmados!E:E,B91,Prearmados!G:G))</f>
        <v/>
      </c>
      <c r="D91" s="19"/>
      <c r="E91" s="26" t="str">
        <f>IF(A91="","",IF(SUMIFS(Estructuras!E:E,Estructuras!B:B,A$2,Estructuras!C:C,A91)&gt;0,SUMIFS(Estructuras!E:E,Estructuras!B:B,A$2,Estructuras!C:C,A91),C91*D91))</f>
        <v/>
      </c>
      <c r="F91" s="36"/>
      <c r="G91" s="36"/>
      <c r="H91" s="36"/>
      <c r="I91" s="36">
        <f t="shared" si="2"/>
        <v>273000</v>
      </c>
      <c r="J91" s="37">
        <f t="shared" si="3"/>
        <v>260000</v>
      </c>
      <c r="K91" s="38">
        <f>IF(L91="","",SUMIF(Productos!E:E,L91,Productos!A:A))</f>
        <v>71</v>
      </c>
      <c r="L91" s="45" t="s">
        <v>86</v>
      </c>
      <c r="M91" s="39">
        <v>260000.0</v>
      </c>
      <c r="N91" s="36"/>
    </row>
    <row r="92">
      <c r="A92" s="2" t="str">
        <f>IF(B92="","",SUMIF(Productos!E:E,B92,Productos!A:A))</f>
        <v/>
      </c>
      <c r="B92" s="40"/>
      <c r="C92" s="26" t="str">
        <f>IF(B92="","",SUMIF(Prearmados!E:E,B92,Prearmados!G:G))</f>
        <v/>
      </c>
      <c r="D92" s="19"/>
      <c r="E92" s="26" t="str">
        <f>IF(A92="","",IF(SUMIFS(Estructuras!E:E,Estructuras!B:B,A$2,Estructuras!C:C,A92)&gt;0,SUMIFS(Estructuras!E:E,Estructuras!B:B,A$2,Estructuras!C:C,A92),C92*D92))</f>
        <v/>
      </c>
      <c r="F92" s="36"/>
      <c r="G92" s="36"/>
      <c r="H92" s="36"/>
      <c r="I92" s="36">
        <f t="shared" si="2"/>
        <v>273000</v>
      </c>
      <c r="J92" s="37">
        <f t="shared" si="3"/>
        <v>260000</v>
      </c>
      <c r="K92" s="38">
        <f>IF(L92="","",SUMIF(Productos!E:E,L92,Productos!A:A))</f>
        <v>152</v>
      </c>
      <c r="L92" s="45" t="s">
        <v>184</v>
      </c>
      <c r="M92" s="39">
        <v>260000.0</v>
      </c>
      <c r="N92" s="36"/>
    </row>
    <row r="93">
      <c r="A93" s="2" t="str">
        <f>IF(B93="","",SUMIF(Productos!E:E,B93,Productos!A:A))</f>
        <v/>
      </c>
      <c r="B93" s="40"/>
      <c r="C93" s="26" t="str">
        <f>IF(B93="","",SUMIF(Prearmados!E:E,B93,Prearmados!G:G))</f>
        <v/>
      </c>
      <c r="D93" s="19"/>
      <c r="E93" s="26" t="str">
        <f>IF(A93="","",IF(SUMIFS(Estructuras!E:E,Estructuras!B:B,A$2,Estructuras!C:C,A93)&gt;0,SUMIFS(Estructuras!E:E,Estructuras!B:B,A$2,Estructuras!C:C,A93),C93*D93))</f>
        <v/>
      </c>
      <c r="F93" s="36"/>
      <c r="G93" s="36"/>
      <c r="H93" s="36"/>
      <c r="I93" s="36">
        <f t="shared" si="2"/>
        <v>1059466</v>
      </c>
      <c r="J93" s="37">
        <f t="shared" si="3"/>
        <v>1009015</v>
      </c>
      <c r="K93" s="38">
        <f>IF(L93="","",SUMIF(Productos!E:E,L93,Productos!A:A))</f>
        <v>30</v>
      </c>
      <c r="L93" s="45" t="s">
        <v>185</v>
      </c>
      <c r="M93" s="39">
        <v>1009015.0</v>
      </c>
      <c r="N93" s="36"/>
    </row>
    <row r="94">
      <c r="A94" s="2" t="str">
        <f>IF(B94="","",SUMIF(Productos!E:E,B94,Productos!A:A))</f>
        <v/>
      </c>
      <c r="B94" s="40"/>
      <c r="C94" s="26" t="str">
        <f>IF(B94="","",SUMIF(Prearmados!E:E,B94,Prearmados!G:G))</f>
        <v/>
      </c>
      <c r="D94" s="19"/>
      <c r="E94" s="26" t="str">
        <f>IF(A94="","",IF(SUMIFS(Estructuras!E:E,Estructuras!B:B,A$2,Estructuras!C:C,A94)&gt;0,SUMIFS(Estructuras!E:E,Estructuras!B:B,A$2,Estructuras!C:C,A94),C94*D94))</f>
        <v/>
      </c>
      <c r="F94" s="36"/>
      <c r="G94" s="36"/>
      <c r="H94" s="36"/>
      <c r="I94" s="36">
        <f t="shared" si="2"/>
        <v>301455</v>
      </c>
      <c r="J94" s="37">
        <f t="shared" si="3"/>
        <v>287100</v>
      </c>
      <c r="K94" s="38">
        <f>IF(L94="","",SUMIF(Productos!E:E,L94,Productos!A:A))</f>
        <v>31</v>
      </c>
      <c r="L94" s="45" t="s">
        <v>186</v>
      </c>
      <c r="M94" s="39">
        <v>287100.0</v>
      </c>
      <c r="N94" s="36"/>
    </row>
    <row r="95">
      <c r="A95" s="2" t="str">
        <f>IF(B95="","",SUMIF(Productos!E:E,B95,Productos!A:A))</f>
        <v/>
      </c>
      <c r="B95" s="40"/>
      <c r="C95" s="26" t="str">
        <f>IF(B95="","",SUMIF(Prearmados!E:E,B95,Prearmados!G:G))</f>
        <v/>
      </c>
      <c r="D95" s="19"/>
      <c r="E95" s="26" t="str">
        <f>IF(A95="","",IF(SUMIFS(Estructuras!E:E,Estructuras!B:B,A$2,Estructuras!C:C,A95)&gt;0,SUMIFS(Estructuras!E:E,Estructuras!B:B,A$2,Estructuras!C:C,A95),C95*D95))</f>
        <v/>
      </c>
      <c r="F95" s="36"/>
      <c r="G95" s="36"/>
      <c r="H95" s="36"/>
      <c r="I95" s="36">
        <f t="shared" si="2"/>
        <v>351538</v>
      </c>
      <c r="J95" s="37">
        <f t="shared" si="3"/>
        <v>334798</v>
      </c>
      <c r="K95" s="38">
        <f>IF(L95="","",SUMIF(Productos!E:E,L95,Productos!A:A))</f>
        <v>32</v>
      </c>
      <c r="L95" s="45" t="s">
        <v>187</v>
      </c>
      <c r="M95" s="39">
        <v>334798.0</v>
      </c>
      <c r="N95" s="36"/>
    </row>
    <row r="96">
      <c r="A96" s="2" t="str">
        <f>IF(B96="","",SUMIF(Productos!E:E,B96,Productos!A:A))</f>
        <v/>
      </c>
      <c r="B96" s="40"/>
      <c r="C96" s="26" t="str">
        <f>IF(B96="","",SUMIF(Prearmados!E:E,B96,Prearmados!G:G))</f>
        <v/>
      </c>
      <c r="D96" s="19"/>
      <c r="E96" s="26" t="str">
        <f>IF(A96="","",IF(SUMIFS(Estructuras!E:E,Estructuras!B:B,A$2,Estructuras!C:C,A96)&gt;0,SUMIFS(Estructuras!E:E,Estructuras!B:B,A$2,Estructuras!C:C,A96),C96*D96))</f>
        <v/>
      </c>
      <c r="F96" s="36"/>
      <c r="G96" s="36"/>
      <c r="H96" s="36"/>
      <c r="I96" s="36">
        <f t="shared" si="2"/>
        <v>65609</v>
      </c>
      <c r="J96" s="37">
        <f t="shared" si="3"/>
        <v>62484</v>
      </c>
      <c r="K96" s="38">
        <f>IF(L96="","",SUMIF(Productos!E:E,L96,Productos!A:A))</f>
        <v>33</v>
      </c>
      <c r="L96" s="45" t="s">
        <v>188</v>
      </c>
      <c r="M96" s="39">
        <v>62484.0</v>
      </c>
      <c r="N96" s="36"/>
    </row>
    <row r="97">
      <c r="A97" s="2" t="str">
        <f>IF(B97="","",SUMIF(Productos!E:E,B97,Productos!A:A))</f>
        <v/>
      </c>
      <c r="B97" s="40"/>
      <c r="C97" s="26" t="str">
        <f>IF(B97="","",SUMIF(Prearmados!E:E,B97,Prearmados!G:G))</f>
        <v/>
      </c>
      <c r="D97" s="19"/>
      <c r="E97" s="26" t="str">
        <f>IF(A97="","",IF(SUMIFS(Estructuras!E:E,Estructuras!B:B,A$2,Estructuras!C:C,A97)&gt;0,SUMIFS(Estructuras!E:E,Estructuras!B:B,A$2,Estructuras!C:C,A97),C97*D97))</f>
        <v/>
      </c>
      <c r="F97" s="36"/>
      <c r="G97" s="36"/>
      <c r="H97" s="36"/>
      <c r="I97" s="36">
        <f t="shared" si="2"/>
        <v>75549</v>
      </c>
      <c r="J97" s="37">
        <f t="shared" si="3"/>
        <v>71951</v>
      </c>
      <c r="K97" s="38">
        <f>IF(L97="","",SUMIF(Productos!E:E,L97,Productos!A:A))</f>
        <v>34</v>
      </c>
      <c r="L97" s="45" t="s">
        <v>189</v>
      </c>
      <c r="M97" s="39">
        <v>71951.0</v>
      </c>
      <c r="N97" s="36"/>
    </row>
    <row r="98">
      <c r="A98" s="2" t="str">
        <f>IF(B98="","",SUMIF(Productos!E:E,B98,Productos!A:A))</f>
        <v/>
      </c>
      <c r="B98" s="40"/>
      <c r="C98" s="26" t="str">
        <f>IF(B98="","",SUMIF(Prearmados!E:E,B98,Prearmados!G:G))</f>
        <v/>
      </c>
      <c r="D98" s="19"/>
      <c r="E98" s="26" t="str">
        <f>IF(A98="","",IF(SUMIFS(Estructuras!E:E,Estructuras!B:B,A$2,Estructuras!C:C,A98)&gt;0,SUMIFS(Estructuras!E:E,Estructuras!B:B,A$2,Estructuras!C:C,A98),C98*D98))</f>
        <v/>
      </c>
      <c r="F98" s="36"/>
      <c r="G98" s="36"/>
      <c r="H98" s="36"/>
      <c r="I98" s="36">
        <f t="shared" si="2"/>
        <v>85489</v>
      </c>
      <c r="J98" s="37">
        <f t="shared" si="3"/>
        <v>81418</v>
      </c>
      <c r="K98" s="38">
        <f>IF(L98="","",SUMIF(Productos!E:E,L98,Productos!A:A))</f>
        <v>35</v>
      </c>
      <c r="L98" s="45" t="s">
        <v>190</v>
      </c>
      <c r="M98" s="39">
        <v>81418.0</v>
      </c>
      <c r="N98" s="36"/>
    </row>
    <row r="99">
      <c r="A99" s="2" t="str">
        <f>IF(B99="","",SUMIF(Productos!E:E,B99,Productos!A:A))</f>
        <v/>
      </c>
      <c r="B99" s="40"/>
      <c r="C99" s="26" t="str">
        <f>IF(B99="","",SUMIF(Prearmados!E:E,B99,Prearmados!G:G))</f>
        <v/>
      </c>
      <c r="D99" s="19"/>
      <c r="E99" s="26" t="str">
        <f>IF(A99="","",IF(SUMIFS(Estructuras!E:E,Estructuras!B:B,A$2,Estructuras!C:C,A99)&gt;0,SUMIFS(Estructuras!E:E,Estructuras!B:B,A$2,Estructuras!C:C,A99),C99*D99))</f>
        <v/>
      </c>
      <c r="F99" s="36"/>
      <c r="G99" s="36"/>
      <c r="H99" s="36"/>
      <c r="I99" s="36">
        <f t="shared" si="2"/>
        <v>42000</v>
      </c>
      <c r="J99" s="37">
        <f t="shared" si="3"/>
        <v>40000</v>
      </c>
      <c r="K99" s="38">
        <f>IF(L99="","",SUMIF(Productos!E:E,L99,Productos!A:A))</f>
        <v>44</v>
      </c>
      <c r="L99" s="45" t="s">
        <v>191</v>
      </c>
      <c r="M99" s="39">
        <v>40000.0</v>
      </c>
      <c r="N99" s="36"/>
    </row>
    <row r="100">
      <c r="A100" s="2" t="str">
        <f>IF(B100="","",SUMIF(Productos!E:E,B100,Productos!A:A))</f>
        <v/>
      </c>
      <c r="B100" s="40"/>
      <c r="C100" s="26" t="str">
        <f>IF(B100="","",SUMIF(Prearmados!E:E,B100,Prearmados!G:G))</f>
        <v/>
      </c>
      <c r="D100" s="19"/>
      <c r="E100" s="26" t="str">
        <f>IF(A100="","",IF(SUMIFS(Estructuras!E:E,Estructuras!B:B,A$2,Estructuras!C:C,A100)&gt;0,SUMIFS(Estructuras!E:E,Estructuras!B:B,A$2,Estructuras!C:C,A100),C100*D100))</f>
        <v/>
      </c>
      <c r="F100" s="36"/>
      <c r="G100" s="36"/>
      <c r="H100" s="36"/>
      <c r="I100" s="36">
        <f t="shared" si="2"/>
        <v>939779</v>
      </c>
      <c r="J100" s="37">
        <f t="shared" si="3"/>
        <v>895027</v>
      </c>
      <c r="K100" s="38">
        <f>IF(L100="","",SUMIF(Productos!E:E,L100,Productos!A:A))</f>
        <v>8</v>
      </c>
      <c r="L100" s="45" t="s">
        <v>192</v>
      </c>
      <c r="M100" s="39">
        <v>895027.0</v>
      </c>
      <c r="N100" s="36"/>
    </row>
    <row r="101">
      <c r="A101" s="2" t="str">
        <f>IF(B101="","",SUMIF(Productos!E:E,B101,Productos!A:A))</f>
        <v/>
      </c>
      <c r="B101" s="40"/>
      <c r="C101" s="26" t="str">
        <f>IF(B101="","",SUMIF(Prearmados!E:E,B101,Prearmados!G:G))</f>
        <v/>
      </c>
      <c r="D101" s="19"/>
      <c r="E101" s="26" t="str">
        <f>IF(A101="","",IF(SUMIFS(Estructuras!E:E,Estructuras!B:B,A$2,Estructuras!C:C,A101)&gt;0,SUMIFS(Estructuras!E:E,Estructuras!B:B,A$2,Estructuras!C:C,A101),C101*D101))</f>
        <v/>
      </c>
      <c r="F101" s="36"/>
      <c r="G101" s="36"/>
      <c r="H101" s="36"/>
      <c r="I101" s="36">
        <f t="shared" si="2"/>
        <v>1155000</v>
      </c>
      <c r="J101" s="37">
        <f t="shared" si="3"/>
        <v>1100000</v>
      </c>
      <c r="K101" s="38">
        <f>IF(L101="","",SUMIF(Productos!E:E,L101,Productos!A:A))</f>
        <v>9</v>
      </c>
      <c r="L101" s="45" t="s">
        <v>193</v>
      </c>
      <c r="M101" s="39">
        <v>1100000.0</v>
      </c>
      <c r="N101" s="36"/>
    </row>
    <row r="102">
      <c r="A102" s="2" t="str">
        <f>IF(B102="","",SUMIF(Productos!E:E,B102,Productos!A:A))</f>
        <v/>
      </c>
      <c r="B102" s="40"/>
      <c r="C102" s="26" t="str">
        <f>IF(B102="","",SUMIF(Prearmados!E:E,B102,Prearmados!G:G))</f>
        <v/>
      </c>
      <c r="D102" s="19"/>
      <c r="E102" s="26" t="str">
        <f>IF(A102="","",IF(SUMIFS(Estructuras!E:E,Estructuras!B:B,A$2,Estructuras!C:C,A102)&gt;0,SUMIFS(Estructuras!E:E,Estructuras!B:B,A$2,Estructuras!C:C,A102),C102*D102))</f>
        <v/>
      </c>
      <c r="F102" s="36"/>
      <c r="G102" s="36"/>
      <c r="H102" s="36"/>
      <c r="I102" s="36">
        <f t="shared" si="2"/>
        <v>1522500</v>
      </c>
      <c r="J102" s="37">
        <f t="shared" si="3"/>
        <v>1450000</v>
      </c>
      <c r="K102" s="38">
        <f>IF(L102="","",SUMIF(Productos!E:E,L102,Productos!A:A))</f>
        <v>10</v>
      </c>
      <c r="L102" s="45" t="s">
        <v>194</v>
      </c>
      <c r="M102" s="39">
        <v>1450000.0</v>
      </c>
      <c r="N102" s="36"/>
    </row>
    <row r="103">
      <c r="A103" s="2" t="str">
        <f>IF(B103="","",SUMIF(Productos!E:E,B103,Productos!A:A))</f>
        <v/>
      </c>
      <c r="B103" s="40"/>
      <c r="C103" s="26" t="str">
        <f>IF(B103="","",SUMIF(Prearmados!E:E,B103,Prearmados!G:G))</f>
        <v/>
      </c>
      <c r="D103" s="19"/>
      <c r="E103" s="26" t="str">
        <f>IF(A103="","",IF(SUMIFS(Estructuras!E:E,Estructuras!B:B,A$2,Estructuras!C:C,A103)&gt;0,SUMIFS(Estructuras!E:E,Estructuras!B:B,A$2,Estructuras!C:C,A103),C103*D103))</f>
        <v/>
      </c>
      <c r="F103" s="36"/>
      <c r="G103" s="36"/>
      <c r="H103" s="36"/>
      <c r="I103" s="36">
        <f t="shared" si="2"/>
        <v>1785000</v>
      </c>
      <c r="J103" s="37">
        <f t="shared" si="3"/>
        <v>1700000</v>
      </c>
      <c r="K103" s="38">
        <f>IF(L103="","",SUMIF(Productos!E:E,L103,Productos!A:A))</f>
        <v>11</v>
      </c>
      <c r="L103" s="45" t="s">
        <v>195</v>
      </c>
      <c r="M103" s="39">
        <v>1700000.0</v>
      </c>
      <c r="N103" s="36"/>
    </row>
    <row r="104">
      <c r="A104" s="2" t="str">
        <f>IF(B104="","",SUMIF(Productos!E:E,B104,Productos!A:A))</f>
        <v/>
      </c>
      <c r="B104" s="40"/>
      <c r="C104" s="26" t="str">
        <f>IF(B104="","",SUMIF(Prearmados!E:E,B104,Prearmados!G:G))</f>
        <v/>
      </c>
      <c r="D104" s="19"/>
      <c r="E104" s="26" t="str">
        <f>IF(A104="","",IF(SUMIFS(Estructuras!E:E,Estructuras!B:B,A$2,Estructuras!C:C,A104)&gt;0,SUMIFS(Estructuras!E:E,Estructuras!B:B,A$2,Estructuras!C:C,A104),C104*D104))</f>
        <v/>
      </c>
      <c r="F104" s="36"/>
      <c r="G104" s="36"/>
      <c r="H104" s="36"/>
      <c r="I104" s="36">
        <f t="shared" si="2"/>
        <v>800028</v>
      </c>
      <c r="J104" s="37">
        <f t="shared" si="3"/>
        <v>761931</v>
      </c>
      <c r="K104" s="38">
        <f>IF(L104="","",SUMIF(Productos!E:E,L104,Productos!A:A))</f>
        <v>16</v>
      </c>
      <c r="L104" s="45" t="s">
        <v>196</v>
      </c>
      <c r="M104" s="39">
        <v>761931.0</v>
      </c>
      <c r="N104" s="36"/>
    </row>
    <row r="105">
      <c r="A105" s="2" t="str">
        <f>IF(B105="","",SUMIF(Productos!E:E,B105,Productos!A:A))</f>
        <v/>
      </c>
      <c r="B105" s="40"/>
      <c r="C105" s="26" t="str">
        <f>IF(B105="","",SUMIF(Prearmados!E:E,B105,Prearmados!G:G))</f>
        <v/>
      </c>
      <c r="D105" s="19"/>
      <c r="E105" s="26" t="str">
        <f>IF(A105="","",IF(SUMIFS(Estructuras!E:E,Estructuras!B:B,A$2,Estructuras!C:C,A105)&gt;0,SUMIFS(Estructuras!E:E,Estructuras!B:B,A$2,Estructuras!C:C,A105),C105*D105))</f>
        <v/>
      </c>
      <c r="F105" s="36"/>
      <c r="G105" s="36"/>
      <c r="H105" s="36"/>
      <c r="I105" s="36">
        <f t="shared" si="2"/>
        <v>1137229</v>
      </c>
      <c r="J105" s="37">
        <f t="shared" si="3"/>
        <v>1083075</v>
      </c>
      <c r="K105" s="38">
        <f>IF(L105="","",SUMIF(Productos!E:E,L105,Productos!A:A))</f>
        <v>17</v>
      </c>
      <c r="L105" s="45" t="s">
        <v>197</v>
      </c>
      <c r="M105" s="39">
        <v>1083075.0</v>
      </c>
      <c r="N105" s="36"/>
    </row>
    <row r="106">
      <c r="A106" s="2" t="str">
        <f>IF(B106="","",SUMIF(Productos!E:E,B106,Productos!A:A))</f>
        <v/>
      </c>
      <c r="B106" s="40"/>
      <c r="C106" s="26" t="str">
        <f>IF(B106="","",SUMIF(Prearmados!E:E,B106,Prearmados!G:G))</f>
        <v/>
      </c>
      <c r="D106" s="19"/>
      <c r="E106" s="26" t="str">
        <f>IF(A106="","",IF(SUMIFS(Estructuras!E:E,Estructuras!B:B,A$2,Estructuras!C:C,A106)&gt;0,SUMIFS(Estructuras!E:E,Estructuras!B:B,A$2,Estructuras!C:C,A106),C106*D106))</f>
        <v/>
      </c>
      <c r="F106" s="36"/>
      <c r="G106" s="36"/>
      <c r="H106" s="36"/>
      <c r="I106" s="36">
        <f t="shared" si="2"/>
        <v>2940000</v>
      </c>
      <c r="J106" s="37">
        <f t="shared" si="3"/>
        <v>2800000</v>
      </c>
      <c r="K106" s="38">
        <f>IF(L106="","",SUMIF(Productos!E:E,L106,Productos!A:A))</f>
        <v>18</v>
      </c>
      <c r="L106" s="45" t="s">
        <v>198</v>
      </c>
      <c r="M106" s="39">
        <v>2800000.0</v>
      </c>
      <c r="N106" s="36"/>
    </row>
    <row r="107">
      <c r="A107" s="2" t="str">
        <f>IF(B107="","",SUMIF(Productos!E:E,B107,Productos!A:A))</f>
        <v/>
      </c>
      <c r="B107" s="40"/>
      <c r="C107" s="26" t="str">
        <f>IF(B107="","",SUMIF(Prearmados!E:E,B107,Prearmados!G:G))</f>
        <v/>
      </c>
      <c r="D107" s="19"/>
      <c r="E107" s="26" t="str">
        <f>IF(A107="","",IF(SUMIFS(Estructuras!E:E,Estructuras!B:B,A$2,Estructuras!C:C,A107)&gt;0,SUMIFS(Estructuras!E:E,Estructuras!B:B,A$2,Estructuras!C:C,A107),C107*D107))</f>
        <v/>
      </c>
      <c r="F107" s="36"/>
      <c r="G107" s="36"/>
      <c r="H107" s="36"/>
      <c r="I107" s="36" t="str">
        <f t="shared" si="2"/>
        <v/>
      </c>
      <c r="J107" s="37" t="str">
        <f t="shared" si="3"/>
        <v/>
      </c>
      <c r="K107" s="38">
        <f>IF(L107="","",SUMIF(Productos!E:E,L107,Productos!A:A))</f>
        <v>19</v>
      </c>
      <c r="L107" s="45" t="s">
        <v>199</v>
      </c>
      <c r="M107" s="39"/>
      <c r="N107" s="36"/>
    </row>
    <row r="108">
      <c r="A108" s="2" t="str">
        <f>IF(B108="","",SUMIF(Productos!E:E,B108,Productos!A:A))</f>
        <v/>
      </c>
      <c r="B108" s="40"/>
      <c r="C108" s="26" t="str">
        <f>IF(B108="","",SUMIF(Prearmados!E:E,B108,Prearmados!G:G))</f>
        <v/>
      </c>
      <c r="D108" s="19"/>
      <c r="E108" s="26" t="str">
        <f>IF(A108="","",IF(SUMIFS(Estructuras!E:E,Estructuras!B:B,A$2,Estructuras!C:C,A108)&gt;0,SUMIFS(Estructuras!E:E,Estructuras!B:B,A$2,Estructuras!C:C,A108),C108*D108))</f>
        <v/>
      </c>
      <c r="F108" s="36"/>
      <c r="G108" s="36"/>
      <c r="H108" s="36"/>
      <c r="I108" s="36" t="str">
        <f t="shared" si="2"/>
        <v/>
      </c>
      <c r="J108" s="37" t="str">
        <f t="shared" si="3"/>
        <v/>
      </c>
      <c r="K108" s="38">
        <f>IF(L108="","",SUMIF(Productos!E:E,L108,Productos!A:A))</f>
        <v>20</v>
      </c>
      <c r="L108" s="45" t="s">
        <v>200</v>
      </c>
      <c r="M108" s="39"/>
      <c r="N108" s="36"/>
    </row>
    <row r="109">
      <c r="A109" s="2" t="str">
        <f>IF(B109="","",SUMIF(Productos!E:E,B109,Productos!A:A))</f>
        <v/>
      </c>
      <c r="B109" s="40"/>
      <c r="C109" s="26" t="str">
        <f>IF(B109="","",SUMIF(Prearmados!E:E,B109,Prearmados!G:G))</f>
        <v/>
      </c>
      <c r="D109" s="19"/>
      <c r="E109" s="26" t="str">
        <f>IF(A109="","",IF(SUMIFS(Estructuras!E:E,Estructuras!B:B,A$2,Estructuras!C:C,A109)&gt;0,SUMIFS(Estructuras!E:E,Estructuras!B:B,A$2,Estructuras!C:C,A109),C109*D109))</f>
        <v/>
      </c>
      <c r="F109" s="36"/>
      <c r="G109" s="36"/>
      <c r="H109" s="36"/>
      <c r="I109" s="36">
        <f t="shared" si="2"/>
        <v>978861</v>
      </c>
      <c r="J109" s="37">
        <f t="shared" si="3"/>
        <v>932248</v>
      </c>
      <c r="K109" s="38">
        <f>IF(L109="","",SUMIF(Productos!E:E,L109,Productos!A:A))</f>
        <v>21</v>
      </c>
      <c r="L109" s="45" t="s">
        <v>201</v>
      </c>
      <c r="M109" s="39">
        <v>932248.0</v>
      </c>
      <c r="N109" s="36"/>
    </row>
    <row r="110">
      <c r="A110" s="2" t="str">
        <f>IF(B110="","",SUMIF(Productos!E:E,B110,Productos!A:A))</f>
        <v/>
      </c>
      <c r="B110" s="40"/>
      <c r="C110" s="26" t="str">
        <f>IF(B110="","",SUMIF(Prearmados!E:E,B110,Prearmados!G:G))</f>
        <v/>
      </c>
      <c r="D110" s="19"/>
      <c r="E110" s="26" t="str">
        <f>IF(A110="","",IF(SUMIFS(Estructuras!E:E,Estructuras!B:B,A$2,Estructuras!C:C,A110)&gt;0,SUMIFS(Estructuras!E:E,Estructuras!B:B,A$2,Estructuras!C:C,A110),C110*D110))</f>
        <v/>
      </c>
      <c r="F110" s="36"/>
      <c r="G110" s="36"/>
      <c r="H110" s="36"/>
      <c r="I110" s="36">
        <f t="shared" si="2"/>
        <v>745500</v>
      </c>
      <c r="J110" s="37">
        <f t="shared" si="3"/>
        <v>710000</v>
      </c>
      <c r="K110" s="38">
        <f>IF(L110="","",SUMIF(Productos!E:E,L110,Productos!A:A))</f>
        <v>22</v>
      </c>
      <c r="L110" s="45" t="s">
        <v>202</v>
      </c>
      <c r="M110" s="39">
        <v>710000.0</v>
      </c>
      <c r="N110" s="36"/>
    </row>
    <row r="111">
      <c r="A111" s="2" t="str">
        <f>IF(B111="","",SUMIF(Productos!E:E,B111,Productos!A:A))</f>
        <v/>
      </c>
      <c r="B111" s="40"/>
      <c r="C111" s="26" t="str">
        <f>IF(B111="","",SUMIF(Prearmados!E:E,B111,Prearmados!G:G))</f>
        <v/>
      </c>
      <c r="D111" s="19"/>
      <c r="E111" s="26" t="str">
        <f>IF(A111="","",IF(SUMIFS(Estructuras!E:E,Estructuras!B:B,A$2,Estructuras!C:C,A111)&gt;0,SUMIFS(Estructuras!E:E,Estructuras!B:B,A$2,Estructuras!C:C,A111),C111*D111))</f>
        <v/>
      </c>
      <c r="F111" s="36"/>
      <c r="G111" s="36"/>
      <c r="H111" s="36"/>
      <c r="I111" s="36">
        <f t="shared" si="2"/>
        <v>578833</v>
      </c>
      <c r="J111" s="37">
        <f t="shared" si="3"/>
        <v>551269</v>
      </c>
      <c r="K111" s="38">
        <f>IF(L111="","",SUMIF(Productos!E:E,L111,Productos!A:A))</f>
        <v>23</v>
      </c>
      <c r="L111" s="45" t="s">
        <v>203</v>
      </c>
      <c r="M111" s="39">
        <v>551269.0</v>
      </c>
      <c r="N111" s="36"/>
    </row>
    <row r="112">
      <c r="A112" s="2" t="str">
        <f>IF(B112="","",SUMIF(Productos!E:E,B112,Productos!A:A))</f>
        <v/>
      </c>
      <c r="B112" s="40"/>
      <c r="C112" s="26" t="str">
        <f>IF(B112="","",SUMIF(Prearmados!E:E,B112,Prearmados!G:G))</f>
        <v/>
      </c>
      <c r="D112" s="19"/>
      <c r="E112" s="26" t="str">
        <f>IF(A112="","",IF(SUMIFS(Estructuras!E:E,Estructuras!B:B,A$2,Estructuras!C:C,A112)&gt;0,SUMIFS(Estructuras!E:E,Estructuras!B:B,A$2,Estructuras!C:C,A112),C112*D112))</f>
        <v/>
      </c>
      <c r="F112" s="36"/>
      <c r="G112" s="36"/>
      <c r="H112" s="36"/>
      <c r="I112" s="36">
        <f t="shared" si="2"/>
        <v>836092</v>
      </c>
      <c r="J112" s="37">
        <f t="shared" si="3"/>
        <v>796278</v>
      </c>
      <c r="K112" s="38">
        <f>IF(L112="","",SUMIF(Productos!E:E,L112,Productos!A:A))</f>
        <v>24</v>
      </c>
      <c r="L112" s="45" t="s">
        <v>204</v>
      </c>
      <c r="M112" s="39">
        <v>796278.0</v>
      </c>
      <c r="N112" s="36"/>
    </row>
    <row r="113">
      <c r="A113" s="2" t="str">
        <f>IF(B113="","",SUMIF(Productos!E:E,B113,Productos!A:A))</f>
        <v/>
      </c>
      <c r="B113" s="40"/>
      <c r="C113" s="26" t="str">
        <f>IF(B113="","",SUMIF(Prearmados!E:E,B113,Prearmados!G:G))</f>
        <v/>
      </c>
      <c r="D113" s="19"/>
      <c r="E113" s="26" t="str">
        <f>IF(A113="","",IF(SUMIFS(Estructuras!E:E,Estructuras!B:B,A$2,Estructuras!C:C,A113)&gt;0,SUMIFS(Estructuras!E:E,Estructuras!B:B,A$2,Estructuras!C:C,A113),C113*D113))</f>
        <v/>
      </c>
      <c r="F113" s="36"/>
      <c r="G113" s="36"/>
      <c r="H113" s="36"/>
      <c r="I113" s="36">
        <f t="shared" si="2"/>
        <v>1004079</v>
      </c>
      <c r="J113" s="37">
        <f t="shared" si="3"/>
        <v>956265</v>
      </c>
      <c r="K113" s="38">
        <f>IF(L113="","",SUMIF(Productos!E:E,L113,Productos!A:A))</f>
        <v>25</v>
      </c>
      <c r="L113" s="45" t="s">
        <v>205</v>
      </c>
      <c r="M113" s="39">
        <v>956265.0</v>
      </c>
      <c r="N113" s="36"/>
    </row>
    <row r="114">
      <c r="A114" s="2" t="str">
        <f>IF(B114="","",SUMIF(Productos!E:E,B114,Productos!A:A))</f>
        <v/>
      </c>
      <c r="B114" s="40"/>
      <c r="C114" s="26" t="str">
        <f>IF(B114="","",SUMIF(Prearmados!E:E,B114,Prearmados!G:G))</f>
        <v/>
      </c>
      <c r="D114" s="19"/>
      <c r="E114" s="26" t="str">
        <f>IF(A114="","",IF(SUMIFS(Estructuras!E:E,Estructuras!B:B,A$2,Estructuras!C:C,A114)&gt;0,SUMIFS(Estructuras!E:E,Estructuras!B:B,A$2,Estructuras!C:C,A114),C114*D114))</f>
        <v/>
      </c>
      <c r="F114" s="36"/>
      <c r="G114" s="36"/>
      <c r="H114" s="36"/>
      <c r="I114" s="36">
        <f t="shared" si="2"/>
        <v>0</v>
      </c>
      <c r="J114" s="37">
        <f t="shared" si="3"/>
        <v>0</v>
      </c>
      <c r="K114" s="38">
        <f>IF(L114="","",SUMIF(Productos!E:E,L114,Productos!A:A))</f>
        <v>26</v>
      </c>
      <c r="L114" s="45" t="s">
        <v>206</v>
      </c>
      <c r="M114" s="39">
        <v>0.0</v>
      </c>
      <c r="N114" s="36"/>
    </row>
    <row r="115">
      <c r="A115" s="2" t="str">
        <f>IF(B115="","",SUMIF(Productos!E:E,B115,Productos!A:A))</f>
        <v/>
      </c>
      <c r="B115" s="40"/>
      <c r="C115" s="26" t="str">
        <f>IF(B115="","",SUMIF(Prearmados!E:E,B115,Prearmados!G:G))</f>
        <v/>
      </c>
      <c r="D115" s="19"/>
      <c r="E115" s="26" t="str">
        <f>IF(A115="","",IF(SUMIFS(Estructuras!E:E,Estructuras!B:B,A$2,Estructuras!C:C,A115)&gt;0,SUMIFS(Estructuras!E:E,Estructuras!B:B,A$2,Estructuras!C:C,A115),C115*D115))</f>
        <v/>
      </c>
      <c r="F115" s="36"/>
      <c r="G115" s="36"/>
      <c r="H115" s="36"/>
      <c r="I115" s="36">
        <f t="shared" si="2"/>
        <v>358050</v>
      </c>
      <c r="J115" s="37">
        <f t="shared" si="3"/>
        <v>341000</v>
      </c>
      <c r="K115" s="38">
        <f>IF(L115="","",SUMIF(Productos!E:E,L115,Productos!A:A))</f>
        <v>27</v>
      </c>
      <c r="L115" s="45" t="s">
        <v>207</v>
      </c>
      <c r="M115" s="39">
        <v>341000.0</v>
      </c>
      <c r="N115" s="36"/>
    </row>
    <row r="116">
      <c r="A116" s="2" t="str">
        <f>IF(B116="","",SUMIF(Productos!E:E,B116,Productos!A:A))</f>
        <v/>
      </c>
      <c r="B116" s="40"/>
      <c r="C116" s="26" t="str">
        <f>IF(B116="","",SUMIF(Prearmados!E:E,B116,Prearmados!G:G))</f>
        <v/>
      </c>
      <c r="D116" s="19"/>
      <c r="E116" s="26" t="str">
        <f>IF(A116="","",IF(SUMIFS(Estructuras!E:E,Estructuras!B:B,A$2,Estructuras!C:C,A116)&gt;0,SUMIFS(Estructuras!E:E,Estructuras!B:B,A$2,Estructuras!C:C,A116),C116*D116))</f>
        <v/>
      </c>
      <c r="F116" s="36"/>
      <c r="G116" s="36"/>
      <c r="H116" s="36"/>
      <c r="I116" s="36">
        <f t="shared" si="2"/>
        <v>662442</v>
      </c>
      <c r="J116" s="37">
        <f t="shared" si="3"/>
        <v>630897</v>
      </c>
      <c r="K116" s="38">
        <f>IF(L116="","",SUMIF(Productos!E:E,L116,Productos!A:A))</f>
        <v>28</v>
      </c>
      <c r="L116" s="45" t="s">
        <v>208</v>
      </c>
      <c r="M116" s="39">
        <v>630897.0</v>
      </c>
      <c r="N116" s="36"/>
    </row>
    <row r="117">
      <c r="A117" s="2" t="str">
        <f>IF(B117="","",SUMIF(Productos!E:E,B117,Productos!A:A))</f>
        <v/>
      </c>
      <c r="B117" s="40"/>
      <c r="C117" s="26" t="str">
        <f>IF(B117="","",SUMIF(Prearmados!E:E,B117,Prearmados!G:G))</f>
        <v/>
      </c>
      <c r="D117" s="19"/>
      <c r="E117" s="26" t="str">
        <f>IF(A117="","",IF(SUMIFS(Estructuras!E:E,Estructuras!B:B,A$2,Estructuras!C:C,A117)&gt;0,SUMIFS(Estructuras!E:E,Estructuras!B:B,A$2,Estructuras!C:C,A117),C117*D117))</f>
        <v/>
      </c>
      <c r="F117" s="36"/>
      <c r="G117" s="36"/>
      <c r="H117" s="36"/>
      <c r="I117" s="36" t="str">
        <f t="shared" si="2"/>
        <v/>
      </c>
      <c r="J117" s="37" t="str">
        <f t="shared" si="3"/>
        <v/>
      </c>
      <c r="K117" s="38" t="str">
        <f>IF(L117="","",SUMIF(Productos!E:E,L117,Productos!A:A))</f>
        <v/>
      </c>
      <c r="M117" s="39"/>
    </row>
    <row r="118">
      <c r="A118" s="2" t="str">
        <f>IF(B118="","",SUMIF(Productos!E:E,B118,Productos!A:A))</f>
        <v/>
      </c>
      <c r="B118" s="40"/>
      <c r="C118" s="26" t="str">
        <f>IF(B118="","",SUMIF(Prearmados!E:E,B118,Prearmados!G:G))</f>
        <v/>
      </c>
      <c r="D118" s="19"/>
      <c r="E118" s="26" t="str">
        <f>IF(A118="","",IF(SUMIFS(Estructuras!E:E,Estructuras!B:B,A$2,Estructuras!C:C,A118)&gt;0,SUMIFS(Estructuras!E:E,Estructuras!B:B,A$2,Estructuras!C:C,A118),C118*D118))</f>
        <v/>
      </c>
      <c r="F118" s="36"/>
      <c r="G118" s="36"/>
      <c r="H118" s="36"/>
      <c r="I118" s="36" t="str">
        <f t="shared" si="2"/>
        <v/>
      </c>
      <c r="J118" s="37" t="str">
        <f t="shared" si="3"/>
        <v/>
      </c>
      <c r="K118" s="38" t="str">
        <f>IF(L118="","",SUMIF(Productos!E:E,L118,Productos!A:A))</f>
        <v/>
      </c>
      <c r="M118" s="39"/>
    </row>
    <row r="119">
      <c r="A119" s="2" t="str">
        <f>IF(B119="","",SUMIF(Productos!E:E,B119,Productos!A:A))</f>
        <v/>
      </c>
      <c r="B119" s="40"/>
      <c r="C119" s="26" t="str">
        <f>IF(B119="","",SUMIF(Prearmados!E:E,B119,Prearmados!G:G))</f>
        <v/>
      </c>
      <c r="D119" s="19"/>
      <c r="E119" s="26" t="str">
        <f>IF(A119="","",IF(SUMIFS(Estructuras!E:E,Estructuras!B:B,A$2,Estructuras!C:C,A119)&gt;0,SUMIFS(Estructuras!E:E,Estructuras!B:B,A$2,Estructuras!C:C,A119),C119*D119))</f>
        <v/>
      </c>
      <c r="F119" s="36"/>
      <c r="G119" s="36"/>
      <c r="H119" s="36"/>
      <c r="I119" s="36" t="str">
        <f t="shared" si="2"/>
        <v/>
      </c>
      <c r="J119" s="37" t="str">
        <f t="shared" si="3"/>
        <v/>
      </c>
      <c r="K119" s="38" t="str">
        <f>IF(L119="","",SUMIF(Productos!E:E,L119,Productos!A:A))</f>
        <v/>
      </c>
      <c r="M119" s="39"/>
    </row>
    <row r="120">
      <c r="A120" s="2" t="str">
        <f>IF(B120="","",SUMIF(Productos!E:E,B120,Productos!A:A))</f>
        <v/>
      </c>
      <c r="B120" s="40"/>
      <c r="C120" s="26" t="str">
        <f>IF(B120="","",SUMIF(Prearmados!E:E,B120,Prearmados!G:G))</f>
        <v/>
      </c>
      <c r="D120" s="19"/>
      <c r="E120" s="26" t="str">
        <f>IF(A120="","",IF(SUMIFS(Estructuras!E:E,Estructuras!B:B,A$2,Estructuras!C:C,A120)&gt;0,SUMIFS(Estructuras!E:E,Estructuras!B:B,A$2,Estructuras!C:C,A120),C120*D120))</f>
        <v/>
      </c>
      <c r="F120" s="36"/>
      <c r="G120" s="36"/>
      <c r="H120" s="36"/>
      <c r="I120" s="36" t="str">
        <f t="shared" si="2"/>
        <v/>
      </c>
      <c r="J120" s="37" t="str">
        <f t="shared" si="3"/>
        <v/>
      </c>
      <c r="K120" s="38" t="str">
        <f>IF(L120="","",SUMIF(Productos!E:E,L120,Productos!A:A))</f>
        <v/>
      </c>
      <c r="M120" s="39"/>
    </row>
    <row r="121">
      <c r="A121" s="2" t="str">
        <f>IF(B121="","",SUMIF(Productos!E:E,B121,Productos!A:A))</f>
        <v/>
      </c>
      <c r="B121" s="40"/>
      <c r="C121" s="26" t="str">
        <f>IF(B121="","",SUMIF(Prearmados!E:E,B121,Prearmados!G:G))</f>
        <v/>
      </c>
      <c r="D121" s="19"/>
      <c r="E121" s="26" t="str">
        <f>IF(A121="","",IF(SUMIFS(Estructuras!E:E,Estructuras!B:B,A$2,Estructuras!C:C,A121)&gt;0,SUMIFS(Estructuras!E:E,Estructuras!B:B,A$2,Estructuras!C:C,A121),C121*D121))</f>
        <v/>
      </c>
      <c r="F121" s="36"/>
      <c r="G121" s="36"/>
      <c r="H121" s="36"/>
      <c r="I121" s="36" t="str">
        <f t="shared" si="2"/>
        <v/>
      </c>
      <c r="J121" s="37" t="str">
        <f t="shared" si="3"/>
        <v/>
      </c>
      <c r="K121" s="38" t="str">
        <f>IF(L121="","",SUMIF(Productos!E:E,L121,Productos!A:A))</f>
        <v/>
      </c>
      <c r="M121" s="39"/>
    </row>
    <row r="122">
      <c r="A122" s="2" t="str">
        <f>IF(B122="","",SUMIF(Productos!E:E,B122,Productos!A:A))</f>
        <v/>
      </c>
      <c r="B122" s="40"/>
      <c r="C122" s="26" t="str">
        <f>IF(B122="","",SUMIF(Prearmados!E:E,B122,Prearmados!G:G))</f>
        <v/>
      </c>
      <c r="D122" s="19"/>
      <c r="E122" s="26" t="str">
        <f>IF(A122="","",IF(SUMIFS(Estructuras!E:E,Estructuras!B:B,A$2,Estructuras!C:C,A122)&gt;0,SUMIFS(Estructuras!E:E,Estructuras!B:B,A$2,Estructuras!C:C,A122),C122*D122))</f>
        <v/>
      </c>
      <c r="F122" s="36"/>
      <c r="G122" s="36"/>
      <c r="H122" s="36"/>
      <c r="I122" s="36" t="str">
        <f t="shared" si="2"/>
        <v/>
      </c>
      <c r="J122" s="37" t="str">
        <f t="shared" si="3"/>
        <v/>
      </c>
      <c r="K122" s="38" t="str">
        <f>IF(L122="","",SUMIF(Productos!E:E,L122,Productos!A:A))</f>
        <v/>
      </c>
      <c r="M122" s="39"/>
    </row>
    <row r="123">
      <c r="A123" s="2" t="str">
        <f>IF(B123="","",SUMIF(Productos!E:E,B123,Productos!A:A))</f>
        <v/>
      </c>
      <c r="B123" s="40"/>
      <c r="C123" s="26" t="str">
        <f>IF(B123="","",SUMIF(Prearmados!E:E,B123,Prearmados!G:G))</f>
        <v/>
      </c>
      <c r="D123" s="19"/>
      <c r="E123" s="26" t="str">
        <f>IF(A123="","",IF(SUMIFS(Estructuras!E:E,Estructuras!B:B,A$2,Estructuras!C:C,A123)&gt;0,SUMIFS(Estructuras!E:E,Estructuras!B:B,A$2,Estructuras!C:C,A123),C123*D123))</f>
        <v/>
      </c>
      <c r="F123" s="36"/>
      <c r="G123" s="36"/>
      <c r="H123" s="36"/>
      <c r="I123" s="36" t="str">
        <f t="shared" si="2"/>
        <v/>
      </c>
      <c r="J123" s="37" t="str">
        <f t="shared" si="3"/>
        <v/>
      </c>
      <c r="K123" s="38" t="str">
        <f>IF(L123="","",SUMIF(Productos!E:E,L123,Productos!A:A))</f>
        <v/>
      </c>
      <c r="M123" s="39"/>
    </row>
    <row r="124">
      <c r="A124" s="2" t="str">
        <f>IF(B124="","",SUMIF(Productos!E:E,B124,Productos!A:A))</f>
        <v/>
      </c>
      <c r="B124" s="40"/>
      <c r="C124" s="26" t="str">
        <f>IF(B124="","",SUMIF(Prearmados!E:E,B124,Prearmados!G:G))</f>
        <v/>
      </c>
      <c r="D124" s="19"/>
      <c r="E124" s="26" t="str">
        <f>IF(A124="","",IF(SUMIFS(Estructuras!E:E,Estructuras!B:B,A$2,Estructuras!C:C,A124)&gt;0,SUMIFS(Estructuras!E:E,Estructuras!B:B,A$2,Estructuras!C:C,A124),C124*D124))</f>
        <v/>
      </c>
      <c r="F124" s="36"/>
      <c r="G124" s="36"/>
      <c r="H124" s="36"/>
      <c r="I124" s="36" t="str">
        <f t="shared" si="2"/>
        <v/>
      </c>
      <c r="J124" s="37" t="str">
        <f t="shared" si="3"/>
        <v/>
      </c>
      <c r="K124" s="38" t="str">
        <f>IF(L124="","",SUMIF(Productos!E:E,L124,Productos!A:A))</f>
        <v/>
      </c>
      <c r="M124" s="39"/>
    </row>
    <row r="125">
      <c r="A125" s="2" t="str">
        <f>IF(B125="","",SUMIF(Productos!E:E,B125,Productos!A:A))</f>
        <v/>
      </c>
      <c r="B125" s="40"/>
      <c r="C125" s="26" t="str">
        <f>IF(B125="","",SUMIF(Prearmados!E:E,B125,Prearmados!G:G))</f>
        <v/>
      </c>
      <c r="D125" s="19"/>
      <c r="E125" s="26" t="str">
        <f>IF(A125="","",IF(SUMIFS(Estructuras!E:E,Estructuras!B:B,A$2,Estructuras!C:C,A125)&gt;0,SUMIFS(Estructuras!E:E,Estructuras!B:B,A$2,Estructuras!C:C,A125),C125*D125))</f>
        <v/>
      </c>
      <c r="F125" s="36"/>
      <c r="G125" s="36"/>
      <c r="H125" s="36"/>
      <c r="I125" s="36" t="str">
        <f t="shared" si="2"/>
        <v/>
      </c>
      <c r="J125" s="37" t="str">
        <f t="shared" si="3"/>
        <v/>
      </c>
      <c r="K125" s="38" t="str">
        <f>IF(L125="","",SUMIF(Productos!E:E,L125,Productos!A:A))</f>
        <v/>
      </c>
      <c r="M125" s="39"/>
    </row>
    <row r="126">
      <c r="A126" s="2" t="str">
        <f>IF(B126="","",SUMIF(Productos!E:E,B126,Productos!A:A))</f>
        <v/>
      </c>
      <c r="B126" s="40"/>
      <c r="C126" s="26" t="str">
        <f>IF(B126="","",SUMIF(Prearmados!E:E,B126,Prearmados!G:G))</f>
        <v/>
      </c>
      <c r="D126" s="19"/>
      <c r="E126" s="26" t="str">
        <f>IF(A126="","",IF(SUMIFS(Estructuras!E:E,Estructuras!B:B,A$2,Estructuras!C:C,A126)&gt;0,SUMIFS(Estructuras!E:E,Estructuras!B:B,A$2,Estructuras!C:C,A126),C126*D126))</f>
        <v/>
      </c>
      <c r="F126" s="36"/>
      <c r="G126" s="36"/>
      <c r="H126" s="36"/>
      <c r="I126" s="36" t="str">
        <f t="shared" si="2"/>
        <v/>
      </c>
      <c r="J126" s="37" t="str">
        <f t="shared" si="3"/>
        <v/>
      </c>
      <c r="K126" s="38" t="str">
        <f>IF(L126="","",SUMIF(Productos!E:E,L126,Productos!A:A))</f>
        <v/>
      </c>
      <c r="M126" s="39"/>
    </row>
    <row r="127">
      <c r="A127" s="2" t="str">
        <f>IF(B127="","",SUMIF(Productos!E:E,B127,Productos!A:A))</f>
        <v/>
      </c>
      <c r="B127" s="40"/>
      <c r="C127" s="26" t="str">
        <f>IF(B127="","",SUMIF(Prearmados!E:E,B127,Prearmados!G:G))</f>
        <v/>
      </c>
      <c r="D127" s="19"/>
      <c r="E127" s="26" t="str">
        <f>IF(A127="","",IF(SUMIFS(Estructuras!E:E,Estructuras!B:B,A$2,Estructuras!C:C,A127)&gt;0,SUMIFS(Estructuras!E:E,Estructuras!B:B,A$2,Estructuras!C:C,A127),C127*D127))</f>
        <v/>
      </c>
      <c r="F127" s="36"/>
      <c r="G127" s="36"/>
      <c r="H127" s="36"/>
      <c r="I127" s="36" t="str">
        <f t="shared" si="2"/>
        <v/>
      </c>
      <c r="J127" s="37" t="str">
        <f t="shared" si="3"/>
        <v/>
      </c>
      <c r="K127" s="38" t="str">
        <f>IF(L127="","",SUMIF(Productos!E:E,L127,Productos!A:A))</f>
        <v/>
      </c>
      <c r="M127" s="39"/>
    </row>
    <row r="128">
      <c r="A128" s="2" t="str">
        <f>IF(B128="","",SUMIF(Productos!E:E,B128,Productos!A:A))</f>
        <v/>
      </c>
      <c r="B128" s="40"/>
      <c r="C128" s="26" t="str">
        <f>IF(B128="","",SUMIF(Prearmados!E:E,B128,Prearmados!G:G))</f>
        <v/>
      </c>
      <c r="D128" s="19"/>
      <c r="E128" s="26" t="str">
        <f>IF(A128="","",IF(SUMIFS(Estructuras!E:E,Estructuras!B:B,A$2,Estructuras!C:C,A128)&gt;0,SUMIFS(Estructuras!E:E,Estructuras!B:B,A$2,Estructuras!C:C,A128),C128*D128))</f>
        <v/>
      </c>
      <c r="F128" s="36"/>
      <c r="G128" s="36"/>
      <c r="H128" s="36"/>
      <c r="I128" s="36" t="str">
        <f t="shared" si="2"/>
        <v/>
      </c>
      <c r="J128" s="37" t="str">
        <f t="shared" si="3"/>
        <v/>
      </c>
      <c r="K128" s="38" t="str">
        <f>IF(L128="","",SUMIF(Productos!E:E,L128,Productos!A:A))</f>
        <v/>
      </c>
      <c r="M128" s="39"/>
    </row>
    <row r="129">
      <c r="A129" s="2" t="str">
        <f>IF(B129="","",SUMIF(Productos!E:E,B129,Productos!A:A))</f>
        <v/>
      </c>
      <c r="B129" s="40"/>
      <c r="C129" s="26" t="str">
        <f>IF(B129="","",SUMIF(Prearmados!E:E,B129,Prearmados!G:G))</f>
        <v/>
      </c>
      <c r="D129" s="19"/>
      <c r="E129" s="26" t="str">
        <f>IF(A129="","",IF(SUMIFS(Estructuras!E:E,Estructuras!B:B,A$2,Estructuras!C:C,A129)&gt;0,SUMIFS(Estructuras!E:E,Estructuras!B:B,A$2,Estructuras!C:C,A129),C129*D129))</f>
        <v/>
      </c>
      <c r="F129" s="36"/>
      <c r="G129" s="36"/>
      <c r="H129" s="36"/>
      <c r="I129" s="36" t="str">
        <f t="shared" si="2"/>
        <v/>
      </c>
      <c r="J129" s="37" t="str">
        <f t="shared" si="3"/>
        <v/>
      </c>
      <c r="K129" s="38" t="str">
        <f>IF(L129="","",SUMIF(Productos!E:E,L129,Productos!A:A))</f>
        <v/>
      </c>
      <c r="M129" s="39"/>
    </row>
    <row r="130">
      <c r="A130" s="2" t="str">
        <f>IF(B130="","",SUMIF(Productos!E:E,B130,Productos!A:A))</f>
        <v/>
      </c>
      <c r="B130" s="40"/>
      <c r="C130" s="26" t="str">
        <f>IF(B130="","",SUMIF(Prearmados!E:E,B130,Prearmados!G:G))</f>
        <v/>
      </c>
      <c r="D130" s="19"/>
      <c r="E130" s="26" t="str">
        <f>IF(A130="","",IF(SUMIFS(Estructuras!E:E,Estructuras!B:B,A$2,Estructuras!C:C,A130)&gt;0,SUMIFS(Estructuras!E:E,Estructuras!B:B,A$2,Estructuras!C:C,A130),C130*D130))</f>
        <v/>
      </c>
      <c r="F130" s="36"/>
      <c r="G130" s="36"/>
      <c r="H130" s="36"/>
      <c r="I130" s="36" t="str">
        <f t="shared" si="2"/>
        <v/>
      </c>
      <c r="J130" s="37" t="str">
        <f t="shared" si="3"/>
        <v/>
      </c>
      <c r="K130" s="38" t="str">
        <f>IF(L130="","",SUMIF(Productos!E:E,L130,Productos!A:A))</f>
        <v/>
      </c>
      <c r="M130" s="39"/>
    </row>
    <row r="131">
      <c r="A131" s="2" t="str">
        <f>IF(B131="","",SUMIF(Productos!E:E,B131,Productos!A:A))</f>
        <v/>
      </c>
      <c r="B131" s="40"/>
      <c r="C131" s="26" t="str">
        <f>IF(B131="","",SUMIF(Prearmados!E:E,B131,Prearmados!G:G))</f>
        <v/>
      </c>
      <c r="D131" s="19"/>
      <c r="E131" s="26" t="str">
        <f>IF(A131="","",IF(SUMIFS(Estructuras!E:E,Estructuras!B:B,A$2,Estructuras!C:C,A131)&gt;0,SUMIFS(Estructuras!E:E,Estructuras!B:B,A$2,Estructuras!C:C,A131),C131*D131))</f>
        <v/>
      </c>
      <c r="F131" s="36"/>
      <c r="G131" s="36"/>
      <c r="H131" s="36"/>
      <c r="I131" s="36" t="str">
        <f t="shared" si="2"/>
        <v/>
      </c>
      <c r="J131" s="37" t="str">
        <f t="shared" si="3"/>
        <v/>
      </c>
      <c r="K131" s="38" t="str">
        <f>IF(L131="","",SUMIF(Productos!E:E,L131,Productos!A:A))</f>
        <v/>
      </c>
      <c r="M131" s="39"/>
    </row>
    <row r="132">
      <c r="A132" s="2" t="str">
        <f>IF(B132="","",SUMIF(Productos!E:E,B132,Productos!A:A))</f>
        <v/>
      </c>
      <c r="B132" s="40"/>
      <c r="C132" s="26" t="str">
        <f>IF(B132="","",SUMIF(Prearmados!E:E,B132,Prearmados!G:G))</f>
        <v/>
      </c>
      <c r="D132" s="19"/>
      <c r="E132" s="26" t="str">
        <f>IF(A132="","",IF(SUMIFS(Estructuras!E:E,Estructuras!B:B,A$2,Estructuras!C:C,A132)&gt;0,SUMIFS(Estructuras!E:E,Estructuras!B:B,A$2,Estructuras!C:C,A132),C132*D132))</f>
        <v/>
      </c>
      <c r="F132" s="36"/>
      <c r="G132" s="36"/>
      <c r="H132" s="36"/>
      <c r="I132" s="36" t="str">
        <f t="shared" si="2"/>
        <v/>
      </c>
      <c r="J132" s="37" t="str">
        <f t="shared" si="3"/>
        <v/>
      </c>
      <c r="K132" s="38" t="str">
        <f>IF(L132="","",SUMIF(Productos!E:E,L132,Productos!A:A))</f>
        <v/>
      </c>
      <c r="M132" s="39"/>
    </row>
    <row r="133">
      <c r="A133" s="2" t="str">
        <f>IF(B133="","",SUMIF(Productos!E:E,B133,Productos!A:A))</f>
        <v/>
      </c>
      <c r="B133" s="40"/>
      <c r="C133" s="26" t="str">
        <f>IF(B133="","",SUMIF(Prearmados!E:E,B133,Prearmados!G:G))</f>
        <v/>
      </c>
      <c r="D133" s="19"/>
      <c r="E133" s="26" t="str">
        <f>IF(A133="","",IF(SUMIFS(Estructuras!E:E,Estructuras!B:B,A$2,Estructuras!C:C,A133)&gt;0,SUMIFS(Estructuras!E:E,Estructuras!B:B,A$2,Estructuras!C:C,A133),C133*D133))</f>
        <v/>
      </c>
      <c r="F133" s="36"/>
      <c r="G133" s="36"/>
      <c r="H133" s="36"/>
      <c r="I133" s="36" t="str">
        <f t="shared" si="2"/>
        <v/>
      </c>
      <c r="J133" s="37" t="str">
        <f t="shared" si="3"/>
        <v/>
      </c>
      <c r="K133" s="38" t="str">
        <f>IF(L133="","",SUMIF(Productos!E:E,L133,Productos!A:A))</f>
        <v/>
      </c>
      <c r="M133" s="39"/>
    </row>
    <row r="134">
      <c r="A134" s="2" t="str">
        <f>IF(B134="","",SUMIF(Productos!E:E,B134,Productos!A:A))</f>
        <v/>
      </c>
      <c r="B134" s="40"/>
      <c r="C134" s="26" t="str">
        <f>IF(B134="","",SUMIF(Prearmados!E:E,B134,Prearmados!G:G))</f>
        <v/>
      </c>
      <c r="D134" s="19"/>
      <c r="E134" s="26" t="str">
        <f>IF(A134="","",IF(SUMIFS(Estructuras!E:E,Estructuras!B:B,A$2,Estructuras!C:C,A134)&gt;0,SUMIFS(Estructuras!E:E,Estructuras!B:B,A$2,Estructuras!C:C,A134),C134*D134))</f>
        <v/>
      </c>
      <c r="F134" s="36"/>
      <c r="G134" s="36"/>
      <c r="H134" s="36"/>
      <c r="I134" s="36" t="str">
        <f t="shared" si="2"/>
        <v/>
      </c>
      <c r="J134" s="37" t="str">
        <f t="shared" si="3"/>
        <v/>
      </c>
      <c r="K134" s="38" t="str">
        <f>IF(L134="","",SUMIF(Productos!E:E,L134,Productos!A:A))</f>
        <v/>
      </c>
      <c r="M134" s="39"/>
    </row>
    <row r="135">
      <c r="A135" s="2" t="str">
        <f>IF(B135="","",SUMIF(Productos!E:E,B135,Productos!A:A))</f>
        <v/>
      </c>
      <c r="B135" s="40"/>
      <c r="C135" s="26" t="str">
        <f>IF(B135="","",SUMIF(Prearmados!E:E,B135,Prearmados!G:G))</f>
        <v/>
      </c>
      <c r="D135" s="19"/>
      <c r="E135" s="26" t="str">
        <f>IF(A135="","",IF(SUMIFS(Estructuras!E:E,Estructuras!B:B,A$2,Estructuras!C:C,A135)&gt;0,SUMIFS(Estructuras!E:E,Estructuras!B:B,A$2,Estructuras!C:C,A135),C135*D135))</f>
        <v/>
      </c>
      <c r="F135" s="36"/>
      <c r="G135" s="36"/>
      <c r="H135" s="36"/>
      <c r="I135" s="36" t="str">
        <f t="shared" si="2"/>
        <v/>
      </c>
      <c r="J135" s="37" t="str">
        <f t="shared" si="3"/>
        <v/>
      </c>
      <c r="K135" s="38" t="str">
        <f>IF(L135="","",SUMIF(Productos!E:E,L135,Productos!A:A))</f>
        <v/>
      </c>
      <c r="M135" s="39"/>
    </row>
    <row r="136">
      <c r="A136" s="2" t="str">
        <f>IF(B136="","",SUMIF(Productos!E:E,B136,Productos!A:A))</f>
        <v/>
      </c>
      <c r="B136" s="40"/>
      <c r="C136" s="26" t="str">
        <f>IF(B136="","",SUMIF(Prearmados!E:E,B136,Prearmados!G:G))</f>
        <v/>
      </c>
      <c r="D136" s="19"/>
      <c r="E136" s="26" t="str">
        <f>IF(A136="","",IF(SUMIFS(Estructuras!E:E,Estructuras!B:B,A$2,Estructuras!C:C,A136)&gt;0,SUMIFS(Estructuras!E:E,Estructuras!B:B,A$2,Estructuras!C:C,A136),C136*D136))</f>
        <v/>
      </c>
      <c r="F136" s="36"/>
      <c r="G136" s="36"/>
      <c r="H136" s="36"/>
      <c r="I136" s="36" t="str">
        <f t="shared" si="2"/>
        <v/>
      </c>
      <c r="J136" s="37" t="str">
        <f t="shared" si="3"/>
        <v/>
      </c>
      <c r="K136" s="38" t="str">
        <f>IF(L136="","",SUMIF(Productos!E:E,L136,Productos!A:A))</f>
        <v/>
      </c>
      <c r="M136" s="39"/>
    </row>
    <row r="137">
      <c r="A137" s="2" t="str">
        <f>IF(B137="","",SUMIF(Productos!E:E,B137,Productos!A:A))</f>
        <v/>
      </c>
      <c r="B137" s="40"/>
      <c r="C137" s="26" t="str">
        <f>IF(B137="","",SUMIF(Prearmados!E:E,B137,Prearmados!G:G))</f>
        <v/>
      </c>
      <c r="D137" s="19"/>
      <c r="E137" s="26" t="str">
        <f>IF(A137="","",IF(SUMIFS(Estructuras!E:E,Estructuras!B:B,A$2,Estructuras!C:C,A137)&gt;0,SUMIFS(Estructuras!E:E,Estructuras!B:B,A$2,Estructuras!C:C,A137),C137*D137))</f>
        <v/>
      </c>
      <c r="F137" s="36"/>
      <c r="G137" s="36"/>
      <c r="H137" s="36"/>
      <c r="I137" s="36" t="str">
        <f t="shared" si="2"/>
        <v/>
      </c>
      <c r="J137" s="37" t="str">
        <f t="shared" si="3"/>
        <v/>
      </c>
      <c r="K137" s="38" t="str">
        <f>IF(L137="","",SUMIF(Productos!E:E,L137,Productos!A:A))</f>
        <v/>
      </c>
      <c r="M137" s="39"/>
    </row>
    <row r="138">
      <c r="A138" s="2" t="str">
        <f>IF(B138="","",SUMIF(Productos!E:E,B138,Productos!A:A))</f>
        <v/>
      </c>
      <c r="B138" s="40"/>
      <c r="C138" s="26" t="str">
        <f>IF(B138="","",SUMIF(Prearmados!E:E,B138,Prearmados!G:G))</f>
        <v/>
      </c>
      <c r="D138" s="19"/>
      <c r="E138" s="26" t="str">
        <f>IF(A138="","",IF(SUMIFS(Estructuras!E:E,Estructuras!B:B,A$2,Estructuras!C:C,A138)&gt;0,SUMIFS(Estructuras!E:E,Estructuras!B:B,A$2,Estructuras!C:C,A138),C138*D138))</f>
        <v/>
      </c>
      <c r="F138" s="36"/>
      <c r="G138" s="36"/>
      <c r="H138" s="36"/>
      <c r="I138" s="36" t="str">
        <f t="shared" si="2"/>
        <v/>
      </c>
      <c r="J138" s="37" t="str">
        <f t="shared" si="3"/>
        <v/>
      </c>
      <c r="K138" s="38" t="str">
        <f>IF(L138="","",SUMIF(Productos!E:E,L138,Productos!A:A))</f>
        <v/>
      </c>
      <c r="M138" s="39"/>
    </row>
    <row r="139">
      <c r="A139" s="2" t="str">
        <f>IF(B139="","",SUMIF(Productos!E:E,B139,Productos!A:A))</f>
        <v/>
      </c>
      <c r="B139" s="40"/>
      <c r="C139" s="26" t="str">
        <f>IF(B139="","",SUMIF(Prearmados!E:E,B139,Prearmados!G:G))</f>
        <v/>
      </c>
      <c r="D139" s="19"/>
      <c r="E139" s="26" t="str">
        <f>IF(A139="","",IF(SUMIFS(Estructuras!E:E,Estructuras!B:B,A$2,Estructuras!C:C,A139)&gt;0,SUMIFS(Estructuras!E:E,Estructuras!B:B,A$2,Estructuras!C:C,A139),C139*D139))</f>
        <v/>
      </c>
      <c r="F139" s="36"/>
      <c r="G139" s="36"/>
      <c r="H139" s="36"/>
      <c r="I139" s="36" t="str">
        <f t="shared" si="2"/>
        <v/>
      </c>
      <c r="J139" s="37" t="str">
        <f t="shared" si="3"/>
        <v/>
      </c>
      <c r="K139" s="38" t="str">
        <f>IF(L139="","",SUMIF(Productos!E:E,L139,Productos!A:A))</f>
        <v/>
      </c>
      <c r="M139" s="39"/>
    </row>
    <row r="140">
      <c r="A140" s="2" t="str">
        <f>IF(B140="","",SUMIF(Productos!E:E,B140,Productos!A:A))</f>
        <v/>
      </c>
      <c r="B140" s="40"/>
      <c r="C140" s="26" t="str">
        <f>IF(B140="","",SUMIF(Prearmados!E:E,B140,Prearmados!G:G))</f>
        <v/>
      </c>
      <c r="D140" s="19"/>
      <c r="E140" s="26" t="str">
        <f>IF(A140="","",IF(SUMIFS(Estructuras!E:E,Estructuras!B:B,A$2,Estructuras!C:C,A140)&gt;0,SUMIFS(Estructuras!E:E,Estructuras!B:B,A$2,Estructuras!C:C,A140),C140*D140))</f>
        <v/>
      </c>
      <c r="F140" s="36"/>
      <c r="G140" s="36"/>
      <c r="H140" s="36"/>
      <c r="I140" s="36" t="str">
        <f t="shared" si="2"/>
        <v/>
      </c>
      <c r="J140" s="37" t="str">
        <f t="shared" si="3"/>
        <v/>
      </c>
      <c r="K140" s="38" t="str">
        <f>IF(L140="","",SUMIF(Productos!E:E,L140,Productos!A:A))</f>
        <v/>
      </c>
      <c r="M140" s="39"/>
    </row>
    <row r="141">
      <c r="A141" s="2" t="str">
        <f>IF(B141="","",SUMIF(Productos!E:E,B141,Productos!A:A))</f>
        <v/>
      </c>
      <c r="B141" s="40"/>
      <c r="C141" s="26" t="str">
        <f>IF(B141="","",SUMIF(Prearmados!E:E,B141,Prearmados!G:G))</f>
        <v/>
      </c>
      <c r="D141" s="19"/>
      <c r="E141" s="26" t="str">
        <f>IF(A141="","",IF(SUMIFS(Estructuras!E:E,Estructuras!B:B,A$2,Estructuras!C:C,A141)&gt;0,SUMIFS(Estructuras!E:E,Estructuras!B:B,A$2,Estructuras!C:C,A141),C141*D141))</f>
        <v/>
      </c>
      <c r="F141" s="36"/>
      <c r="G141" s="36"/>
      <c r="H141" s="36"/>
      <c r="I141" s="36" t="str">
        <f t="shared" si="2"/>
        <v/>
      </c>
      <c r="J141" s="37" t="str">
        <f t="shared" si="3"/>
        <v/>
      </c>
      <c r="K141" s="38" t="str">
        <f>IF(L141="","",SUMIF(Productos!E:E,L141,Productos!A:A))</f>
        <v/>
      </c>
      <c r="M141" s="39"/>
    </row>
    <row r="142">
      <c r="A142" s="2" t="str">
        <f>IF(B142="","",SUMIF(Productos!E:E,B142,Productos!A:A))</f>
        <v/>
      </c>
      <c r="B142" s="40"/>
      <c r="C142" s="26" t="str">
        <f>IF(B142="","",SUMIF(Prearmados!E:E,B142,Prearmados!G:G))</f>
        <v/>
      </c>
      <c r="D142" s="19"/>
      <c r="E142" s="26" t="str">
        <f>IF(A142="","",IF(SUMIFS(Estructuras!E:E,Estructuras!B:B,A$2,Estructuras!C:C,A142)&gt;0,SUMIFS(Estructuras!E:E,Estructuras!B:B,A$2,Estructuras!C:C,A142),C142*D142))</f>
        <v/>
      </c>
      <c r="F142" s="36"/>
      <c r="G142" s="36"/>
      <c r="H142" s="36"/>
      <c r="I142" s="36" t="str">
        <f t="shared" si="2"/>
        <v/>
      </c>
      <c r="J142" s="37" t="str">
        <f t="shared" si="3"/>
        <v/>
      </c>
      <c r="K142" s="38" t="str">
        <f>IF(L142="","",SUMIF(Productos!E:E,L142,Productos!A:A))</f>
        <v/>
      </c>
      <c r="M142" s="39"/>
    </row>
    <row r="143">
      <c r="A143" s="2" t="str">
        <f>IF(B143="","",SUMIF(Productos!E:E,B143,Productos!A:A))</f>
        <v/>
      </c>
      <c r="B143" s="40"/>
      <c r="C143" s="26" t="str">
        <f>IF(B143="","",SUMIF(Prearmados!E:E,B143,Prearmados!G:G))</f>
        <v/>
      </c>
      <c r="D143" s="19"/>
      <c r="E143" s="26" t="str">
        <f>IF(A143="","",IF(SUMIFS(Estructuras!E:E,Estructuras!B:B,A$2,Estructuras!C:C,A143)&gt;0,SUMIFS(Estructuras!E:E,Estructuras!B:B,A$2,Estructuras!C:C,A143),C143*D143))</f>
        <v/>
      </c>
      <c r="F143" s="36"/>
      <c r="G143" s="36"/>
      <c r="H143" s="36"/>
      <c r="I143" s="36" t="str">
        <f t="shared" si="2"/>
        <v/>
      </c>
      <c r="J143" s="37" t="str">
        <f t="shared" si="3"/>
        <v/>
      </c>
      <c r="K143" s="38" t="str">
        <f>IF(L143="","",SUMIF(Productos!E:E,L143,Productos!A:A))</f>
        <v/>
      </c>
      <c r="M143" s="39"/>
    </row>
    <row r="144">
      <c r="A144" s="2" t="str">
        <f>IF(B144="","",SUMIF(Productos!E:E,B144,Productos!A:A))</f>
        <v/>
      </c>
      <c r="B144" s="40"/>
      <c r="C144" s="26" t="str">
        <f>IF(B144="","",SUMIF(Prearmados!E:E,B144,Prearmados!G:G))</f>
        <v/>
      </c>
      <c r="D144" s="19"/>
      <c r="E144" s="26" t="str">
        <f>IF(A144="","",IF(SUMIFS(Estructuras!E:E,Estructuras!B:B,A$2,Estructuras!C:C,A144)&gt;0,SUMIFS(Estructuras!E:E,Estructuras!B:B,A$2,Estructuras!C:C,A144),C144*D144))</f>
        <v/>
      </c>
      <c r="F144" s="36"/>
      <c r="G144" s="36"/>
      <c r="H144" s="36"/>
      <c r="I144" s="36" t="str">
        <f t="shared" si="2"/>
        <v/>
      </c>
      <c r="J144" s="37" t="str">
        <f t="shared" si="3"/>
        <v/>
      </c>
      <c r="K144" s="38" t="str">
        <f>IF(L144="","",SUMIF(Productos!E:E,L144,Productos!A:A))</f>
        <v/>
      </c>
      <c r="M144" s="39"/>
    </row>
    <row r="145">
      <c r="A145" s="2" t="str">
        <f>IF(B145="","",SUMIF(Productos!E:E,B145,Productos!A:A))</f>
        <v/>
      </c>
      <c r="B145" s="40"/>
      <c r="C145" s="26" t="str">
        <f>IF(B145="","",SUMIF(Prearmados!E:E,B145,Prearmados!G:G))</f>
        <v/>
      </c>
      <c r="D145" s="19"/>
      <c r="E145" s="26" t="str">
        <f>IF(A145="","",IF(SUMIFS(Estructuras!E:E,Estructuras!B:B,A$2,Estructuras!C:C,A145)&gt;0,SUMIFS(Estructuras!E:E,Estructuras!B:B,A$2,Estructuras!C:C,A145),C145*D145))</f>
        <v/>
      </c>
      <c r="F145" s="36"/>
      <c r="G145" s="36"/>
      <c r="H145" s="36"/>
      <c r="I145" s="36" t="str">
        <f t="shared" si="2"/>
        <v/>
      </c>
      <c r="J145" s="37" t="str">
        <f t="shared" si="3"/>
        <v/>
      </c>
      <c r="K145" s="38" t="str">
        <f>IF(L145="","",SUMIF(Productos!E:E,L145,Productos!A:A))</f>
        <v/>
      </c>
      <c r="M145" s="39"/>
    </row>
    <row r="146">
      <c r="A146" s="2" t="str">
        <f>IF(B146="","",SUMIF(Productos!E:E,B146,Productos!A:A))</f>
        <v/>
      </c>
      <c r="B146" s="40"/>
      <c r="C146" s="26" t="str">
        <f>IF(B146="","",SUMIF(Prearmados!E:E,B146,Prearmados!G:G))</f>
        <v/>
      </c>
      <c r="D146" s="19"/>
      <c r="E146" s="26" t="str">
        <f>IF(A146="","",IF(SUMIFS(Estructuras!E:E,Estructuras!B:B,A$2,Estructuras!C:C,A146)&gt;0,SUMIFS(Estructuras!E:E,Estructuras!B:B,A$2,Estructuras!C:C,A146),C146*D146))</f>
        <v/>
      </c>
      <c r="F146" s="36"/>
      <c r="G146" s="36"/>
      <c r="H146" s="36"/>
      <c r="I146" s="36" t="str">
        <f t="shared" si="2"/>
        <v/>
      </c>
      <c r="J146" s="37" t="str">
        <f t="shared" si="3"/>
        <v/>
      </c>
      <c r="K146" s="38" t="str">
        <f>IF(L146="","",SUMIF(Productos!E:E,L146,Productos!A:A))</f>
        <v/>
      </c>
      <c r="M146" s="39"/>
    </row>
    <row r="147">
      <c r="A147" s="2" t="str">
        <f>IF(B147="","",SUMIF(Productos!E:E,B147,Productos!A:A))</f>
        <v/>
      </c>
      <c r="B147" s="40"/>
      <c r="C147" s="26" t="str">
        <f>IF(B147="","",SUMIF(Prearmados!E:E,B147,Prearmados!G:G))</f>
        <v/>
      </c>
      <c r="D147" s="19"/>
      <c r="E147" s="26" t="str">
        <f>IF(A147="","",IF(SUMIFS(Estructuras!E:E,Estructuras!B:B,A$2,Estructuras!C:C,A147)&gt;0,SUMIFS(Estructuras!E:E,Estructuras!B:B,A$2,Estructuras!C:C,A147),C147*D147))</f>
        <v/>
      </c>
      <c r="F147" s="36"/>
      <c r="G147" s="36"/>
      <c r="H147" s="36"/>
      <c r="I147" s="36" t="str">
        <f t="shared" si="2"/>
        <v/>
      </c>
      <c r="J147" s="37" t="str">
        <f t="shared" si="3"/>
        <v/>
      </c>
      <c r="K147" s="38" t="str">
        <f>IF(L147="","",SUMIF(Productos!E:E,L147,Productos!A:A))</f>
        <v/>
      </c>
      <c r="M147" s="39"/>
    </row>
    <row r="148">
      <c r="A148" s="2" t="str">
        <f>IF(B148="","",SUMIF(Productos!E:E,B148,Productos!A:A))</f>
        <v/>
      </c>
      <c r="B148" s="40"/>
      <c r="C148" s="26" t="str">
        <f>IF(B148="","",SUMIF(Prearmados!E:E,B148,Prearmados!G:G))</f>
        <v/>
      </c>
      <c r="D148" s="19"/>
      <c r="E148" s="26" t="str">
        <f>IF(A148="","",IF(SUMIFS(Estructuras!E:E,Estructuras!B:B,A$2,Estructuras!C:C,A148)&gt;0,SUMIFS(Estructuras!E:E,Estructuras!B:B,A$2,Estructuras!C:C,A148),C148*D148))</f>
        <v/>
      </c>
      <c r="F148" s="36"/>
      <c r="G148" s="36"/>
      <c r="H148" s="36"/>
      <c r="I148" s="36" t="str">
        <f t="shared" si="2"/>
        <v/>
      </c>
      <c r="J148" s="37" t="str">
        <f t="shared" si="3"/>
        <v/>
      </c>
      <c r="K148" s="38" t="str">
        <f>IF(L148="","",SUMIF(Productos!E:E,L148,Productos!A:A))</f>
        <v/>
      </c>
      <c r="M148" s="39"/>
    </row>
    <row r="149">
      <c r="A149" s="2" t="str">
        <f>IF(B149="","",SUMIF(Productos!E:E,B149,Productos!A:A))</f>
        <v/>
      </c>
      <c r="B149" s="40"/>
      <c r="C149" s="26" t="str">
        <f>IF(B149="","",SUMIF(Prearmados!E:E,B149,Prearmados!G:G))</f>
        <v/>
      </c>
      <c r="D149" s="19"/>
      <c r="E149" s="26" t="str">
        <f>IF(A149="","",IF(SUMIFS(Estructuras!E:E,Estructuras!B:B,A$2,Estructuras!C:C,A149)&gt;0,SUMIFS(Estructuras!E:E,Estructuras!B:B,A$2,Estructuras!C:C,A149),C149*D149))</f>
        <v/>
      </c>
      <c r="F149" s="36"/>
      <c r="G149" s="36"/>
      <c r="H149" s="36"/>
      <c r="I149" s="36" t="str">
        <f t="shared" si="2"/>
        <v/>
      </c>
      <c r="J149" s="37" t="str">
        <f t="shared" si="3"/>
        <v/>
      </c>
      <c r="K149" s="38" t="str">
        <f>IF(L149="","",SUMIF(Productos!E:E,L149,Productos!A:A))</f>
        <v/>
      </c>
      <c r="M149" s="39"/>
    </row>
    <row r="150">
      <c r="A150" s="2" t="str">
        <f>IF(B150="","",SUMIF(Productos!E:E,B150,Productos!A:A))</f>
        <v/>
      </c>
      <c r="B150" s="40"/>
      <c r="C150" s="26" t="str">
        <f>IF(B150="","",SUMIF(Prearmados!E:E,B150,Prearmados!G:G))</f>
        <v/>
      </c>
      <c r="D150" s="19"/>
      <c r="E150" s="26" t="str">
        <f>IF(A150="","",IF(SUMIFS(Estructuras!E:E,Estructuras!B:B,A$2,Estructuras!C:C,A150)&gt;0,SUMIFS(Estructuras!E:E,Estructuras!B:B,A$2,Estructuras!C:C,A150),C150*D150))</f>
        <v/>
      </c>
      <c r="F150" s="36"/>
      <c r="G150" s="36"/>
      <c r="H150" s="36"/>
      <c r="I150" s="36" t="str">
        <f t="shared" si="2"/>
        <v/>
      </c>
      <c r="J150" s="37" t="str">
        <f t="shared" si="3"/>
        <v/>
      </c>
      <c r="K150" s="38" t="str">
        <f>IF(L150="","",SUMIF(Productos!E:E,L150,Productos!A:A))</f>
        <v/>
      </c>
      <c r="M150" s="39"/>
    </row>
    <row r="151">
      <c r="A151" s="2" t="str">
        <f>IF(B151="","",SUMIF(Productos!E:E,B151,Productos!A:A))</f>
        <v/>
      </c>
      <c r="B151" s="40"/>
      <c r="C151" s="26" t="str">
        <f>IF(B151="","",SUMIF(Prearmados!E:E,B151,Prearmados!G:G))</f>
        <v/>
      </c>
      <c r="D151" s="19"/>
      <c r="E151" s="26" t="str">
        <f>IF(A151="","",IF(SUMIFS(Estructuras!E:E,Estructuras!B:B,A$2,Estructuras!C:C,A151)&gt;0,SUMIFS(Estructuras!E:E,Estructuras!B:B,A$2,Estructuras!C:C,A151),C151*D151))</f>
        <v/>
      </c>
      <c r="F151" s="36"/>
      <c r="G151" s="36"/>
      <c r="H151" s="36"/>
      <c r="I151" s="36" t="str">
        <f t="shared" si="2"/>
        <v/>
      </c>
      <c r="J151" s="37" t="str">
        <f t="shared" si="3"/>
        <v/>
      </c>
      <c r="K151" s="38" t="str">
        <f>IF(L151="","",SUMIF(Productos!E:E,L151,Productos!A:A))</f>
        <v/>
      </c>
      <c r="M151" s="39"/>
    </row>
    <row r="152">
      <c r="A152" s="2" t="str">
        <f>IF(B152="","",SUMIF(Productos!E:E,B152,Productos!A:A))</f>
        <v/>
      </c>
      <c r="B152" s="40"/>
      <c r="C152" s="26" t="str">
        <f>IF(B152="","",SUMIF(Prearmados!E:E,B152,Prearmados!G:G))</f>
        <v/>
      </c>
      <c r="D152" s="19"/>
      <c r="E152" s="26" t="str">
        <f>IF(A152="","",IF(SUMIFS(Estructuras!E:E,Estructuras!B:B,A$2,Estructuras!C:C,A152)&gt;0,SUMIFS(Estructuras!E:E,Estructuras!B:B,A$2,Estructuras!C:C,A152),C152*D152))</f>
        <v/>
      </c>
      <c r="F152" s="36"/>
      <c r="G152" s="36"/>
      <c r="H152" s="36"/>
      <c r="I152" s="36" t="str">
        <f t="shared" si="2"/>
        <v/>
      </c>
      <c r="J152" s="37" t="str">
        <f t="shared" si="3"/>
        <v/>
      </c>
      <c r="K152" s="38" t="str">
        <f>IF(L152="","",SUMIF(Productos!E:E,L152,Productos!A:A))</f>
        <v/>
      </c>
      <c r="M152" s="39"/>
    </row>
    <row r="153">
      <c r="A153" s="2" t="str">
        <f>IF(B153="","",SUMIF(Productos!E:E,B153,Productos!A:A))</f>
        <v/>
      </c>
      <c r="B153" s="40"/>
      <c r="C153" s="26" t="str">
        <f>IF(B153="","",SUMIF(Prearmados!E:E,B153,Prearmados!G:G))</f>
        <v/>
      </c>
      <c r="D153" s="19"/>
      <c r="E153" s="26" t="str">
        <f>IF(A153="","",IF(SUMIFS(Estructuras!E:E,Estructuras!B:B,A$2,Estructuras!C:C,A153)&gt;0,SUMIFS(Estructuras!E:E,Estructuras!B:B,A$2,Estructuras!C:C,A153),C153*D153))</f>
        <v/>
      </c>
      <c r="F153" s="36"/>
      <c r="G153" s="36"/>
      <c r="H153" s="36"/>
      <c r="I153" s="36" t="str">
        <f t="shared" si="2"/>
        <v/>
      </c>
      <c r="J153" s="37" t="str">
        <f t="shared" si="3"/>
        <v/>
      </c>
      <c r="K153" s="38" t="str">
        <f>IF(L153="","",SUMIF(Productos!E:E,L153,Productos!A:A))</f>
        <v/>
      </c>
      <c r="M153" s="39"/>
    </row>
    <row r="154">
      <c r="A154" s="2" t="str">
        <f>IF(B154="","",SUMIF(Productos!E:E,B154,Productos!A:A))</f>
        <v/>
      </c>
      <c r="B154" s="40"/>
      <c r="C154" s="26" t="str">
        <f>IF(B154="","",SUMIF(Prearmados!E:E,B154,Prearmados!G:G))</f>
        <v/>
      </c>
      <c r="D154" s="19"/>
      <c r="E154" s="26" t="str">
        <f>IF(A154="","",IF(SUMIFS(Estructuras!E:E,Estructuras!B:B,A$2,Estructuras!C:C,A154)&gt;0,SUMIFS(Estructuras!E:E,Estructuras!B:B,A$2,Estructuras!C:C,A154),C154*D154))</f>
        <v/>
      </c>
      <c r="F154" s="36"/>
      <c r="G154" s="36"/>
      <c r="H154" s="36"/>
      <c r="I154" s="36" t="str">
        <f t="shared" si="2"/>
        <v/>
      </c>
      <c r="J154" s="37" t="str">
        <f t="shared" si="3"/>
        <v/>
      </c>
      <c r="K154" s="38" t="str">
        <f>IF(L154="","",SUMIF(Productos!E:E,L154,Productos!A:A))</f>
        <v/>
      </c>
      <c r="M154" s="39"/>
    </row>
    <row r="155">
      <c r="A155" s="2" t="str">
        <f>IF(B155="","",SUMIF(Productos!E:E,B155,Productos!A:A))</f>
        <v/>
      </c>
      <c r="B155" s="40"/>
      <c r="C155" s="26" t="str">
        <f>IF(B155="","",SUMIF(Prearmados!E:E,B155,Prearmados!G:G))</f>
        <v/>
      </c>
      <c r="D155" s="19"/>
      <c r="E155" s="26" t="str">
        <f>IF(A155="","",IF(SUMIFS(Estructuras!E:E,Estructuras!B:B,A$2,Estructuras!C:C,A155)&gt;0,SUMIFS(Estructuras!E:E,Estructuras!B:B,A$2,Estructuras!C:C,A155),C155*D155))</f>
        <v/>
      </c>
      <c r="F155" s="36"/>
      <c r="G155" s="36"/>
      <c r="H155" s="36"/>
      <c r="I155" s="36" t="str">
        <f t="shared" si="2"/>
        <v/>
      </c>
      <c r="J155" s="37" t="str">
        <f t="shared" si="3"/>
        <v/>
      </c>
      <c r="K155" s="38" t="str">
        <f>IF(L155="","",SUMIF(Productos!E:E,L155,Productos!A:A))</f>
        <v/>
      </c>
      <c r="M155" s="39"/>
    </row>
    <row r="156">
      <c r="A156" s="2" t="str">
        <f>IF(B156="","",SUMIF(Productos!E:E,B156,Productos!A:A))</f>
        <v/>
      </c>
      <c r="B156" s="40"/>
      <c r="C156" s="26" t="str">
        <f>IF(B156="","",SUMIF(Prearmados!E:E,B156,Prearmados!G:G))</f>
        <v/>
      </c>
      <c r="D156" s="19"/>
      <c r="E156" s="26" t="str">
        <f>IF(A156="","",IF(SUMIFS(Estructuras!E:E,Estructuras!B:B,A$2,Estructuras!C:C,A156)&gt;0,SUMIFS(Estructuras!E:E,Estructuras!B:B,A$2,Estructuras!C:C,A156),C156*D156))</f>
        <v/>
      </c>
      <c r="F156" s="36"/>
      <c r="G156" s="36"/>
      <c r="H156" s="36"/>
      <c r="I156" s="36" t="str">
        <f t="shared" si="2"/>
        <v/>
      </c>
      <c r="J156" s="37" t="str">
        <f t="shared" si="3"/>
        <v/>
      </c>
      <c r="K156" s="38" t="str">
        <f>IF(L156="","",SUMIF(Productos!E:E,L156,Productos!A:A))</f>
        <v/>
      </c>
      <c r="M156" s="39"/>
    </row>
    <row r="157">
      <c r="A157" s="2" t="str">
        <f>IF(B157="","",SUMIF(Productos!E:E,B157,Productos!A:A))</f>
        <v/>
      </c>
      <c r="B157" s="40"/>
      <c r="C157" s="26" t="str">
        <f>IF(B157="","",SUMIF(Prearmados!E:E,B157,Prearmados!G:G))</f>
        <v/>
      </c>
      <c r="D157" s="19"/>
      <c r="E157" s="26" t="str">
        <f>IF(A157="","",IF(SUMIFS(Estructuras!E:E,Estructuras!B:B,A$2,Estructuras!C:C,A157)&gt;0,SUMIFS(Estructuras!E:E,Estructuras!B:B,A$2,Estructuras!C:C,A157),C157*D157))</f>
        <v/>
      </c>
      <c r="F157" s="36"/>
      <c r="G157" s="36"/>
      <c r="H157" s="36"/>
      <c r="I157" s="36" t="str">
        <f t="shared" si="2"/>
        <v/>
      </c>
      <c r="J157" s="37" t="str">
        <f t="shared" si="3"/>
        <v/>
      </c>
      <c r="K157" s="38" t="str">
        <f>IF(L157="","",SUMIF(Productos!E:E,L157,Productos!A:A))</f>
        <v/>
      </c>
      <c r="M157" s="39"/>
    </row>
    <row r="158">
      <c r="A158" s="2" t="str">
        <f>IF(B158="","",SUMIF(Productos!E:E,B158,Productos!A:A))</f>
        <v/>
      </c>
      <c r="B158" s="40"/>
      <c r="C158" s="26" t="str">
        <f>IF(B158="","",SUMIF(Prearmados!E:E,B158,Prearmados!G:G))</f>
        <v/>
      </c>
      <c r="D158" s="19"/>
      <c r="E158" s="26" t="str">
        <f>IF(A158="","",IF(SUMIFS(Estructuras!E:E,Estructuras!B:B,A$2,Estructuras!C:C,A158)&gt;0,SUMIFS(Estructuras!E:E,Estructuras!B:B,A$2,Estructuras!C:C,A158),C158*D158))</f>
        <v/>
      </c>
      <c r="F158" s="36"/>
      <c r="G158" s="36"/>
      <c r="H158" s="36"/>
      <c r="I158" s="36" t="str">
        <f t="shared" si="2"/>
        <v/>
      </c>
      <c r="J158" s="37" t="str">
        <f t="shared" si="3"/>
        <v/>
      </c>
      <c r="K158" s="38" t="str">
        <f>IF(L158="","",SUMIF(Productos!E:E,L158,Productos!A:A))</f>
        <v/>
      </c>
      <c r="M158" s="39"/>
    </row>
    <row r="159">
      <c r="A159" s="2" t="str">
        <f>IF(B159="","",SUMIF(Productos!E:E,B159,Productos!A:A))</f>
        <v/>
      </c>
      <c r="B159" s="40"/>
      <c r="C159" s="26" t="str">
        <f>IF(B159="","",SUMIF(Prearmados!E:E,B159,Prearmados!G:G))</f>
        <v/>
      </c>
      <c r="D159" s="19"/>
      <c r="E159" s="26" t="str">
        <f>IF(A159="","",IF(SUMIFS(Estructuras!E:E,Estructuras!B:B,A$2,Estructuras!C:C,A159)&gt;0,SUMIFS(Estructuras!E:E,Estructuras!B:B,A$2,Estructuras!C:C,A159),C159*D159))</f>
        <v/>
      </c>
      <c r="F159" s="36"/>
      <c r="G159" s="36"/>
      <c r="H159" s="36"/>
      <c r="I159" s="36" t="str">
        <f t="shared" si="2"/>
        <v/>
      </c>
      <c r="J159" s="37" t="str">
        <f t="shared" si="3"/>
        <v/>
      </c>
      <c r="K159" s="38" t="str">
        <f>IF(L159="","",SUMIF(Productos!E:E,L159,Productos!A:A))</f>
        <v/>
      </c>
      <c r="M159" s="39"/>
    </row>
    <row r="160">
      <c r="A160" s="2" t="str">
        <f>IF(B160="","",SUMIF(Productos!E:E,B160,Productos!A:A))</f>
        <v/>
      </c>
      <c r="B160" s="40"/>
      <c r="C160" s="26" t="str">
        <f>IF(B160="","",SUMIF(Prearmados!E:E,B160,Prearmados!G:G))</f>
        <v/>
      </c>
      <c r="D160" s="19"/>
      <c r="E160" s="26" t="str">
        <f>IF(A160="","",IF(SUMIFS(Estructuras!E:E,Estructuras!B:B,A$2,Estructuras!C:C,A160)&gt;0,SUMIFS(Estructuras!E:E,Estructuras!B:B,A$2,Estructuras!C:C,A160),C160*D160))</f>
        <v/>
      </c>
      <c r="F160" s="36"/>
      <c r="G160" s="36"/>
      <c r="H160" s="36"/>
      <c r="I160" s="36" t="str">
        <f t="shared" si="2"/>
        <v/>
      </c>
      <c r="J160" s="37" t="str">
        <f t="shared" si="3"/>
        <v/>
      </c>
      <c r="K160" s="38" t="str">
        <f>IF(L160="","",SUMIF(Productos!E:E,L160,Productos!A:A))</f>
        <v/>
      </c>
      <c r="M160" s="39"/>
    </row>
    <row r="161">
      <c r="A161" s="2" t="str">
        <f>IF(B161="","",SUMIF(Productos!E:E,B161,Productos!A:A))</f>
        <v/>
      </c>
      <c r="B161" s="40"/>
      <c r="C161" s="26" t="str">
        <f>IF(B161="","",SUMIF(Prearmados!E:E,B161,Prearmados!G:G))</f>
        <v/>
      </c>
      <c r="D161" s="19"/>
      <c r="E161" s="26" t="str">
        <f>IF(A161="","",IF(SUMIFS(Estructuras!E:E,Estructuras!B:B,A$2,Estructuras!C:C,A161)&gt;0,SUMIFS(Estructuras!E:E,Estructuras!B:B,A$2,Estructuras!C:C,A161),C161*D161))</f>
        <v/>
      </c>
      <c r="F161" s="36"/>
      <c r="G161" s="36"/>
      <c r="H161" s="36"/>
      <c r="I161" s="36" t="str">
        <f t="shared" si="2"/>
        <v/>
      </c>
      <c r="J161" s="37" t="str">
        <f t="shared" si="3"/>
        <v/>
      </c>
      <c r="K161" s="38" t="str">
        <f>IF(L161="","",SUMIF(Productos!E:E,L161,Productos!A:A))</f>
        <v/>
      </c>
      <c r="M161" s="39"/>
    </row>
    <row r="162">
      <c r="A162" s="2" t="str">
        <f>IF(B162="","",SUMIF(Productos!E:E,B162,Productos!A:A))</f>
        <v/>
      </c>
      <c r="B162" s="40"/>
      <c r="C162" s="26" t="str">
        <f>IF(B162="","",SUMIF(Prearmados!E:E,B162,Prearmados!G:G))</f>
        <v/>
      </c>
      <c r="D162" s="19"/>
      <c r="E162" s="26" t="str">
        <f>IF(A162="","",IF(SUMIFS(Estructuras!E:E,Estructuras!B:B,A$2,Estructuras!C:C,A162)&gt;0,SUMIFS(Estructuras!E:E,Estructuras!B:B,A$2,Estructuras!C:C,A162),C162*D162))</f>
        <v/>
      </c>
      <c r="F162" s="36"/>
      <c r="G162" s="36"/>
      <c r="H162" s="36"/>
      <c r="I162" s="36" t="str">
        <f t="shared" si="2"/>
        <v/>
      </c>
      <c r="J162" s="37" t="str">
        <f t="shared" si="3"/>
        <v/>
      </c>
      <c r="K162" s="38" t="str">
        <f>IF(L162="","",SUMIF(Productos!E:E,L162,Productos!A:A))</f>
        <v/>
      </c>
      <c r="M162" s="39"/>
    </row>
    <row r="163">
      <c r="A163" s="2" t="str">
        <f>IF(B163="","",SUMIF(Productos!E:E,B163,Productos!A:A))</f>
        <v/>
      </c>
      <c r="B163" s="40"/>
      <c r="C163" s="26" t="str">
        <f>IF(B163="","",SUMIF(Prearmados!E:E,B163,Prearmados!G:G))</f>
        <v/>
      </c>
      <c r="D163" s="19"/>
      <c r="E163" s="26" t="str">
        <f>IF(A163="","",IF(SUMIFS(Estructuras!E:E,Estructuras!B:B,A$2,Estructuras!C:C,A163)&gt;0,SUMIFS(Estructuras!E:E,Estructuras!B:B,A$2,Estructuras!C:C,A163),C163*D163))</f>
        <v/>
      </c>
      <c r="F163" s="36"/>
      <c r="G163" s="36"/>
      <c r="H163" s="36"/>
      <c r="I163" s="36" t="str">
        <f t="shared" si="2"/>
        <v/>
      </c>
      <c r="J163" s="37" t="str">
        <f t="shared" si="3"/>
        <v/>
      </c>
      <c r="K163" s="38" t="str">
        <f>IF(L163="","",SUMIF(Productos!E:E,L163,Productos!A:A))</f>
        <v/>
      </c>
      <c r="M163" s="39"/>
    </row>
    <row r="164">
      <c r="A164" s="2" t="str">
        <f>IF(B164="","",SUMIF(Productos!E:E,B164,Productos!A:A))</f>
        <v/>
      </c>
      <c r="B164" s="40"/>
      <c r="C164" s="26" t="str">
        <f>IF(B164="","",SUMIF(Prearmados!E:E,B164,Prearmados!G:G))</f>
        <v/>
      </c>
      <c r="D164" s="19"/>
      <c r="E164" s="26" t="str">
        <f>IF(A164="","",IF(SUMIFS(Estructuras!E:E,Estructuras!B:B,A$2,Estructuras!C:C,A164)&gt;0,SUMIFS(Estructuras!E:E,Estructuras!B:B,A$2,Estructuras!C:C,A164),C164*D164))</f>
        <v/>
      </c>
      <c r="F164" s="36"/>
      <c r="G164" s="36"/>
      <c r="H164" s="36"/>
      <c r="I164" s="36" t="str">
        <f t="shared" si="2"/>
        <v/>
      </c>
      <c r="J164" s="37" t="str">
        <f t="shared" si="3"/>
        <v/>
      </c>
      <c r="K164" s="38" t="str">
        <f>IF(L164="","",SUMIF(Productos!E:E,L164,Productos!A:A))</f>
        <v/>
      </c>
      <c r="M164" s="39"/>
    </row>
    <row r="165">
      <c r="A165" s="2" t="str">
        <f>IF(B165="","",SUMIF(Productos!E:E,B165,Productos!A:A))</f>
        <v/>
      </c>
      <c r="B165" s="40"/>
      <c r="C165" s="26" t="str">
        <f>IF(B165="","",SUMIF(Prearmados!E:E,B165,Prearmados!G:G))</f>
        <v/>
      </c>
      <c r="D165" s="19"/>
      <c r="E165" s="26" t="str">
        <f>IF(A165="","",IF(SUMIFS(Estructuras!E:E,Estructuras!B:B,A$2,Estructuras!C:C,A165)&gt;0,SUMIFS(Estructuras!E:E,Estructuras!B:B,A$2,Estructuras!C:C,A165),C165*D165))</f>
        <v/>
      </c>
      <c r="F165" s="36"/>
      <c r="G165" s="36"/>
      <c r="H165" s="36"/>
      <c r="I165" s="36" t="str">
        <f t="shared" si="2"/>
        <v/>
      </c>
      <c r="J165" s="37" t="str">
        <f t="shared" si="3"/>
        <v/>
      </c>
      <c r="K165" s="38" t="str">
        <f>IF(L165="","",SUMIF(Productos!E:E,L165,Productos!A:A))</f>
        <v/>
      </c>
      <c r="M165" s="39"/>
    </row>
    <row r="166">
      <c r="A166" s="2" t="str">
        <f>IF(B166="","",SUMIF(Productos!E:E,B166,Productos!A:A))</f>
        <v/>
      </c>
      <c r="B166" s="40"/>
      <c r="C166" s="26" t="str">
        <f>IF(B166="","",SUMIF(Prearmados!E:E,B166,Prearmados!G:G))</f>
        <v/>
      </c>
      <c r="D166" s="19"/>
      <c r="E166" s="26" t="str">
        <f>IF(A166="","",IF(SUMIFS(Estructuras!E:E,Estructuras!B:B,A$2,Estructuras!C:C,A166)&gt;0,SUMIFS(Estructuras!E:E,Estructuras!B:B,A$2,Estructuras!C:C,A166),C166*D166))</f>
        <v/>
      </c>
      <c r="F166" s="36"/>
      <c r="G166" s="36"/>
      <c r="H166" s="36"/>
      <c r="I166" s="36" t="str">
        <f t="shared" si="2"/>
        <v/>
      </c>
      <c r="J166" s="37" t="str">
        <f t="shared" si="3"/>
        <v/>
      </c>
      <c r="K166" s="38" t="str">
        <f>IF(L166="","",SUMIF(Productos!E:E,L166,Productos!A:A))</f>
        <v/>
      </c>
      <c r="M166" s="39"/>
    </row>
    <row r="167">
      <c r="A167" s="2" t="str">
        <f>IF(B167="","",SUMIF(Productos!E:E,B167,Productos!A:A))</f>
        <v/>
      </c>
      <c r="B167" s="40"/>
      <c r="C167" s="26" t="str">
        <f>IF(B167="","",SUMIF(Prearmados!E:E,B167,Prearmados!G:G))</f>
        <v/>
      </c>
      <c r="D167" s="19"/>
      <c r="E167" s="26" t="str">
        <f>IF(A167="","",IF(SUMIFS(Estructuras!E:E,Estructuras!B:B,A$2,Estructuras!C:C,A167)&gt;0,SUMIFS(Estructuras!E:E,Estructuras!B:B,A$2,Estructuras!C:C,A167),C167*D167))</f>
        <v/>
      </c>
      <c r="F167" s="36"/>
      <c r="G167" s="36"/>
      <c r="H167" s="36"/>
      <c r="I167" s="36" t="str">
        <f t="shared" si="2"/>
        <v/>
      </c>
      <c r="J167" s="37" t="str">
        <f t="shared" si="3"/>
        <v/>
      </c>
      <c r="K167" s="38" t="str">
        <f>IF(L167="","",SUMIF(Productos!E:E,L167,Productos!A:A))</f>
        <v/>
      </c>
      <c r="M167" s="39"/>
    </row>
    <row r="168">
      <c r="A168" s="2" t="str">
        <f>IF(B168="","",SUMIF(Productos!E:E,B168,Productos!A:A))</f>
        <v/>
      </c>
      <c r="B168" s="40"/>
      <c r="C168" s="26" t="str">
        <f>IF(B168="","",SUMIF(Prearmados!E:E,B168,Prearmados!G:G))</f>
        <v/>
      </c>
      <c r="D168" s="19"/>
      <c r="E168" s="26" t="str">
        <f>IF(A168="","",IF(SUMIFS(Estructuras!E:E,Estructuras!B:B,A$2,Estructuras!C:C,A168)&gt;0,SUMIFS(Estructuras!E:E,Estructuras!B:B,A$2,Estructuras!C:C,A168),C168*D168))</f>
        <v/>
      </c>
      <c r="F168" s="36"/>
      <c r="G168" s="36"/>
      <c r="H168" s="36"/>
      <c r="I168" s="36" t="str">
        <f t="shared" si="2"/>
        <v/>
      </c>
      <c r="J168" s="37" t="str">
        <f t="shared" si="3"/>
        <v/>
      </c>
      <c r="K168" s="38" t="str">
        <f>IF(L168="","",SUMIF(Productos!E:E,L168,Productos!A:A))</f>
        <v/>
      </c>
      <c r="M168" s="39"/>
    </row>
    <row r="169">
      <c r="A169" s="2" t="str">
        <f>IF(B169="","",SUMIF(Productos!E:E,B169,Productos!A:A))</f>
        <v/>
      </c>
      <c r="B169" s="40"/>
      <c r="C169" s="26" t="str">
        <f>IF(B169="","",SUMIF(Prearmados!E:E,B169,Prearmados!G:G))</f>
        <v/>
      </c>
      <c r="D169" s="19"/>
      <c r="E169" s="26" t="str">
        <f>IF(A169="","",IF(SUMIFS(Estructuras!E:E,Estructuras!B:B,A$2,Estructuras!C:C,A169)&gt;0,SUMIFS(Estructuras!E:E,Estructuras!B:B,A$2,Estructuras!C:C,A169),C169*D169))</f>
        <v/>
      </c>
      <c r="F169" s="36"/>
      <c r="G169" s="36"/>
      <c r="H169" s="36"/>
      <c r="I169" s="36" t="str">
        <f t="shared" si="2"/>
        <v/>
      </c>
      <c r="J169" s="37" t="str">
        <f t="shared" si="3"/>
        <v/>
      </c>
      <c r="K169" s="38" t="str">
        <f>IF(L169="","",SUMIF(Productos!E:E,L169,Productos!A:A))</f>
        <v/>
      </c>
      <c r="M169" s="39"/>
    </row>
    <row r="170">
      <c r="A170" s="2" t="str">
        <f>IF(B170="","",SUMIF(Productos!E:E,B170,Productos!A:A))</f>
        <v/>
      </c>
      <c r="B170" s="40"/>
      <c r="C170" s="26" t="str">
        <f>IF(B170="","",SUMIF(Prearmados!E:E,B170,Prearmados!G:G))</f>
        <v/>
      </c>
      <c r="D170" s="19"/>
      <c r="E170" s="26" t="str">
        <f>IF(A170="","",IF(SUMIFS(Estructuras!E:E,Estructuras!B:B,A$2,Estructuras!C:C,A170)&gt;0,SUMIFS(Estructuras!E:E,Estructuras!B:B,A$2,Estructuras!C:C,A170),C170*D170))</f>
        <v/>
      </c>
      <c r="F170" s="36"/>
      <c r="G170" s="36"/>
      <c r="H170" s="36"/>
      <c r="I170" s="36" t="str">
        <f t="shared" si="2"/>
        <v/>
      </c>
      <c r="J170" s="37" t="str">
        <f t="shared" si="3"/>
        <v/>
      </c>
      <c r="K170" s="38" t="str">
        <f>IF(L170="","",SUMIF(Productos!E:E,L170,Productos!A:A))</f>
        <v/>
      </c>
      <c r="M170" s="39"/>
    </row>
    <row r="171">
      <c r="A171" s="2" t="str">
        <f>IF(B171="","",SUMIF(Productos!E:E,B171,Productos!A:A))</f>
        <v/>
      </c>
      <c r="B171" s="40"/>
      <c r="C171" s="26" t="str">
        <f>IF(B171="","",SUMIF(Prearmados!E:E,B171,Prearmados!G:G))</f>
        <v/>
      </c>
      <c r="D171" s="19"/>
      <c r="E171" s="26" t="str">
        <f>IF(A171="","",IF(SUMIFS(Estructuras!E:E,Estructuras!B:B,A$2,Estructuras!C:C,A171)&gt;0,SUMIFS(Estructuras!E:E,Estructuras!B:B,A$2,Estructuras!C:C,A171),C171*D171))</f>
        <v/>
      </c>
      <c r="F171" s="36"/>
      <c r="G171" s="36"/>
      <c r="H171" s="36"/>
      <c r="I171" s="36" t="str">
        <f t="shared" si="2"/>
        <v/>
      </c>
      <c r="J171" s="37" t="str">
        <f t="shared" si="3"/>
        <v/>
      </c>
      <c r="K171" s="38" t="str">
        <f>IF(L171="","",SUMIF(Productos!E:E,L171,Productos!A:A))</f>
        <v/>
      </c>
      <c r="M171" s="39"/>
    </row>
    <row r="172">
      <c r="A172" s="2" t="str">
        <f>IF(B172="","",SUMIF(Productos!E:E,B172,Productos!A:A))</f>
        <v/>
      </c>
      <c r="B172" s="40"/>
      <c r="C172" s="26" t="str">
        <f>IF(B172="","",SUMIF(Prearmados!E:E,B172,Prearmados!G:G))</f>
        <v/>
      </c>
      <c r="D172" s="19"/>
      <c r="E172" s="26" t="str">
        <f>IF(A172="","",IF(SUMIFS(Estructuras!E:E,Estructuras!B:B,A$2,Estructuras!C:C,A172)&gt;0,SUMIFS(Estructuras!E:E,Estructuras!B:B,A$2,Estructuras!C:C,A172),C172*D172))</f>
        <v/>
      </c>
      <c r="F172" s="36"/>
      <c r="G172" s="36"/>
      <c r="H172" s="36"/>
      <c r="I172" s="36" t="str">
        <f t="shared" si="2"/>
        <v/>
      </c>
      <c r="J172" s="37" t="str">
        <f t="shared" si="3"/>
        <v/>
      </c>
      <c r="K172" s="38" t="str">
        <f>IF(L172="","",SUMIF(Productos!E:E,L172,Productos!A:A))</f>
        <v/>
      </c>
      <c r="M172" s="39"/>
    </row>
    <row r="173">
      <c r="A173" s="2" t="str">
        <f>IF(B173="","",SUMIF(Productos!E:E,B173,Productos!A:A))</f>
        <v/>
      </c>
      <c r="B173" s="40"/>
      <c r="C173" s="26" t="str">
        <f>IF(B173="","",SUMIF(Prearmados!E:E,B173,Prearmados!G:G))</f>
        <v/>
      </c>
      <c r="D173" s="19"/>
      <c r="E173" s="26" t="str">
        <f>IF(A173="","",IF(SUMIFS(Estructuras!E:E,Estructuras!B:B,A$2,Estructuras!C:C,A173)&gt;0,SUMIFS(Estructuras!E:E,Estructuras!B:B,A$2,Estructuras!C:C,A173),C173*D173))</f>
        <v/>
      </c>
      <c r="F173" s="36"/>
      <c r="G173" s="36"/>
      <c r="H173" s="36"/>
      <c r="I173" s="36" t="str">
        <f t="shared" si="2"/>
        <v/>
      </c>
      <c r="J173" s="37" t="str">
        <f t="shared" si="3"/>
        <v/>
      </c>
      <c r="K173" s="38" t="str">
        <f>IF(L173="","",SUMIF(Productos!E:E,L173,Productos!A:A))</f>
        <v/>
      </c>
      <c r="M173" s="39"/>
    </row>
    <row r="174">
      <c r="A174" s="2" t="str">
        <f>IF(B174="","",SUMIF(Productos!E:E,B174,Productos!A:A))</f>
        <v/>
      </c>
      <c r="B174" s="40"/>
      <c r="C174" s="26" t="str">
        <f>IF(B174="","",SUMIF(Prearmados!E:E,B174,Prearmados!G:G))</f>
        <v/>
      </c>
      <c r="D174" s="19"/>
      <c r="E174" s="26" t="str">
        <f>IF(A174="","",IF(SUMIFS(Estructuras!E:E,Estructuras!B:B,A$2,Estructuras!C:C,A174)&gt;0,SUMIFS(Estructuras!E:E,Estructuras!B:B,A$2,Estructuras!C:C,A174),C174*D174))</f>
        <v/>
      </c>
      <c r="F174" s="36"/>
      <c r="G174" s="36"/>
      <c r="H174" s="36"/>
      <c r="I174" s="36" t="str">
        <f t="shared" si="2"/>
        <v/>
      </c>
      <c r="J174" s="37" t="str">
        <f t="shared" si="3"/>
        <v/>
      </c>
      <c r="K174" s="38" t="str">
        <f>IF(L174="","",SUMIF(Productos!E:E,L174,Productos!A:A))</f>
        <v/>
      </c>
      <c r="M174" s="39"/>
    </row>
    <row r="175">
      <c r="A175" s="2" t="str">
        <f>IF(B175="","",SUMIF(Productos!E:E,B175,Productos!A:A))</f>
        <v/>
      </c>
      <c r="B175" s="40"/>
      <c r="C175" s="26" t="str">
        <f>IF(B175="","",SUMIF(Prearmados!E:E,B175,Prearmados!G:G))</f>
        <v/>
      </c>
      <c r="D175" s="19"/>
      <c r="E175" s="26" t="str">
        <f>IF(A175="","",IF(SUMIFS(Estructuras!E:E,Estructuras!B:B,A$2,Estructuras!C:C,A175)&gt;0,SUMIFS(Estructuras!E:E,Estructuras!B:B,A$2,Estructuras!C:C,A175),C175*D175))</f>
        <v/>
      </c>
      <c r="F175" s="36"/>
      <c r="G175" s="36"/>
      <c r="H175" s="36"/>
      <c r="I175" s="36" t="str">
        <f t="shared" si="2"/>
        <v/>
      </c>
      <c r="J175" s="37" t="str">
        <f t="shared" si="3"/>
        <v/>
      </c>
      <c r="K175" s="38" t="str">
        <f>IF(L175="","",SUMIF(Productos!E:E,L175,Productos!A:A))</f>
        <v/>
      </c>
      <c r="M175" s="39"/>
    </row>
    <row r="176">
      <c r="A176" s="2" t="str">
        <f>IF(B176="","",SUMIF(Productos!E:E,B176,Productos!A:A))</f>
        <v/>
      </c>
      <c r="B176" s="40"/>
      <c r="C176" s="26" t="str">
        <f>IF(B176="","",SUMIF(Prearmados!E:E,B176,Prearmados!G:G))</f>
        <v/>
      </c>
      <c r="D176" s="19"/>
      <c r="E176" s="26" t="str">
        <f>IF(A176="","",IF(SUMIFS(Estructuras!E:E,Estructuras!B:B,A$2,Estructuras!C:C,A176)&gt;0,SUMIFS(Estructuras!E:E,Estructuras!B:B,A$2,Estructuras!C:C,A176),C176*D176))</f>
        <v/>
      </c>
      <c r="F176" s="36"/>
      <c r="G176" s="36"/>
      <c r="H176" s="36"/>
      <c r="I176" s="36" t="str">
        <f t="shared" si="2"/>
        <v/>
      </c>
      <c r="J176" s="37" t="str">
        <f t="shared" si="3"/>
        <v/>
      </c>
      <c r="K176" s="38" t="str">
        <f>IF(L176="","",SUMIF(Productos!E:E,L176,Productos!A:A))</f>
        <v/>
      </c>
      <c r="M176" s="39"/>
    </row>
    <row r="177">
      <c r="A177" s="2" t="str">
        <f>IF(B177="","",SUMIF(Productos!E:E,B177,Productos!A:A))</f>
        <v/>
      </c>
      <c r="B177" s="40"/>
      <c r="C177" s="26" t="str">
        <f>IF(B177="","",SUMIF(Prearmados!E:E,B177,Prearmados!G:G))</f>
        <v/>
      </c>
      <c r="D177" s="19"/>
      <c r="E177" s="26" t="str">
        <f>IF(A177="","",IF(SUMIFS(Estructuras!E:E,Estructuras!B:B,A$2,Estructuras!C:C,A177)&gt;0,SUMIFS(Estructuras!E:E,Estructuras!B:B,A$2,Estructuras!C:C,A177),C177*D177))</f>
        <v/>
      </c>
      <c r="F177" s="36"/>
      <c r="G177" s="36"/>
      <c r="H177" s="36"/>
      <c r="I177" s="36" t="str">
        <f t="shared" si="2"/>
        <v/>
      </c>
      <c r="J177" s="37" t="str">
        <f t="shared" si="3"/>
        <v/>
      </c>
      <c r="K177" s="38" t="str">
        <f>IF(L177="","",SUMIF(Productos!E:E,L177,Productos!A:A))</f>
        <v/>
      </c>
      <c r="M177" s="39"/>
    </row>
    <row r="178">
      <c r="A178" s="2" t="str">
        <f>IF(B178="","",SUMIF(Productos!E:E,B178,Productos!A:A))</f>
        <v/>
      </c>
      <c r="B178" s="40"/>
      <c r="C178" s="26" t="str">
        <f>IF(B178="","",SUMIF(Prearmados!E:E,B178,Prearmados!G:G))</f>
        <v/>
      </c>
      <c r="D178" s="19"/>
      <c r="E178" s="26" t="str">
        <f>IF(A178="","",IF(SUMIFS(Estructuras!E:E,Estructuras!B:B,A$2,Estructuras!C:C,A178)&gt;0,SUMIFS(Estructuras!E:E,Estructuras!B:B,A$2,Estructuras!C:C,A178),C178*D178))</f>
        <v/>
      </c>
      <c r="F178" s="36"/>
      <c r="G178" s="36"/>
      <c r="H178" s="36"/>
      <c r="I178" s="36" t="str">
        <f t="shared" si="2"/>
        <v/>
      </c>
      <c r="J178" s="37" t="str">
        <f t="shared" si="3"/>
        <v/>
      </c>
      <c r="K178" s="38" t="str">
        <f>IF(L178="","",SUMIF(Productos!E:E,L178,Productos!A:A))</f>
        <v/>
      </c>
      <c r="M178" s="39"/>
    </row>
    <row r="179">
      <c r="A179" s="2" t="str">
        <f>IF(B179="","",SUMIF(Productos!E:E,B179,Productos!A:A))</f>
        <v/>
      </c>
      <c r="B179" s="40"/>
      <c r="C179" s="26" t="str">
        <f>IF(B179="","",SUMIF(Prearmados!E:E,B179,Prearmados!G:G))</f>
        <v/>
      </c>
      <c r="D179" s="19"/>
      <c r="E179" s="26" t="str">
        <f>IF(A179="","",IF(SUMIFS(Estructuras!E:E,Estructuras!B:B,A$2,Estructuras!C:C,A179)&gt;0,SUMIFS(Estructuras!E:E,Estructuras!B:B,A$2,Estructuras!C:C,A179),C179*D179))</f>
        <v/>
      </c>
      <c r="F179" s="36"/>
      <c r="G179" s="36"/>
      <c r="H179" s="36"/>
      <c r="I179" s="36" t="str">
        <f t="shared" si="2"/>
        <v/>
      </c>
      <c r="J179" s="37" t="str">
        <f t="shared" si="3"/>
        <v/>
      </c>
      <c r="K179" s="38" t="str">
        <f>IF(L179="","",SUMIF(Productos!E:E,L179,Productos!A:A))</f>
        <v/>
      </c>
      <c r="M179" s="39"/>
    </row>
    <row r="180">
      <c r="A180" s="2" t="str">
        <f>IF(B180="","",SUMIF(Productos!E:E,B180,Productos!A:A))</f>
        <v/>
      </c>
      <c r="B180" s="40"/>
      <c r="C180" s="26" t="str">
        <f>IF(B180="","",SUMIF(Prearmados!E:E,B180,Prearmados!G:G))</f>
        <v/>
      </c>
      <c r="D180" s="19"/>
      <c r="E180" s="26" t="str">
        <f>IF(A180="","",IF(SUMIFS(Estructuras!E:E,Estructuras!B:B,A$2,Estructuras!C:C,A180)&gt;0,SUMIFS(Estructuras!E:E,Estructuras!B:B,A$2,Estructuras!C:C,A180),C180*D180))</f>
        <v/>
      </c>
      <c r="F180" s="36"/>
      <c r="G180" s="36"/>
      <c r="H180" s="36"/>
      <c r="I180" s="36" t="str">
        <f t="shared" si="2"/>
        <v/>
      </c>
      <c r="J180" s="37" t="str">
        <f t="shared" si="3"/>
        <v/>
      </c>
      <c r="K180" s="38" t="str">
        <f>IF(L180="","",SUMIF(Productos!E:E,L180,Productos!A:A))</f>
        <v/>
      </c>
      <c r="M180" s="39"/>
    </row>
    <row r="181">
      <c r="A181" s="2" t="str">
        <f>IF(B181="","",SUMIF(Productos!E:E,B181,Productos!A:A))</f>
        <v/>
      </c>
      <c r="B181" s="40"/>
      <c r="C181" s="26" t="str">
        <f>IF(B181="","",SUMIF(Prearmados!E:E,B181,Prearmados!G:G))</f>
        <v/>
      </c>
      <c r="D181" s="19"/>
      <c r="E181" s="26" t="str">
        <f>IF(A181="","",IF(SUMIFS(Estructuras!E:E,Estructuras!B:B,A$2,Estructuras!C:C,A181)&gt;0,SUMIFS(Estructuras!E:E,Estructuras!B:B,A$2,Estructuras!C:C,A181),C181*D181))</f>
        <v/>
      </c>
      <c r="F181" s="36"/>
      <c r="G181" s="36"/>
      <c r="H181" s="36"/>
      <c r="I181" s="36" t="str">
        <f t="shared" si="2"/>
        <v/>
      </c>
      <c r="J181" s="37" t="str">
        <f t="shared" si="3"/>
        <v/>
      </c>
      <c r="K181" s="38" t="str">
        <f>IF(L181="","",SUMIF(Productos!E:E,L181,Productos!A:A))</f>
        <v/>
      </c>
      <c r="M181" s="39"/>
    </row>
    <row r="182">
      <c r="A182" s="2" t="str">
        <f>IF(B182="","",SUMIF(Productos!E:E,B182,Productos!A:A))</f>
        <v/>
      </c>
      <c r="B182" s="40"/>
      <c r="C182" s="26" t="str">
        <f>IF(B182="","",SUMIF(Prearmados!E:E,B182,Prearmados!G:G))</f>
        <v/>
      </c>
      <c r="D182" s="19"/>
      <c r="E182" s="26" t="str">
        <f>IF(A182="","",IF(SUMIFS(Estructuras!E:E,Estructuras!B:B,A$2,Estructuras!C:C,A182)&gt;0,SUMIFS(Estructuras!E:E,Estructuras!B:B,A$2,Estructuras!C:C,A182),C182*D182))</f>
        <v/>
      </c>
      <c r="F182" s="36"/>
      <c r="G182" s="36"/>
      <c r="H182" s="36"/>
      <c r="I182" s="36" t="str">
        <f t="shared" si="2"/>
        <v/>
      </c>
      <c r="J182" s="37" t="str">
        <f t="shared" si="3"/>
        <v/>
      </c>
      <c r="K182" s="38" t="str">
        <f>IF(L182="","",SUMIF(Productos!E:E,L182,Productos!A:A))</f>
        <v/>
      </c>
      <c r="M182" s="39"/>
    </row>
    <row r="183">
      <c r="A183" s="2" t="str">
        <f>IF(B183="","",SUMIF(Productos!E:E,B183,Productos!A:A))</f>
        <v/>
      </c>
      <c r="B183" s="40"/>
      <c r="C183" s="26" t="str">
        <f>IF(B183="","",SUMIF(Prearmados!E:E,B183,Prearmados!G:G))</f>
        <v/>
      </c>
      <c r="D183" s="19"/>
      <c r="E183" s="26" t="str">
        <f>IF(A183="","",IF(SUMIFS(Estructuras!E:E,Estructuras!B:B,A$2,Estructuras!C:C,A183)&gt;0,SUMIFS(Estructuras!E:E,Estructuras!B:B,A$2,Estructuras!C:C,A183),C183*D183))</f>
        <v/>
      </c>
      <c r="F183" s="36"/>
      <c r="G183" s="36"/>
      <c r="H183" s="36"/>
      <c r="I183" s="36" t="str">
        <f t="shared" si="2"/>
        <v/>
      </c>
      <c r="J183" s="37" t="str">
        <f t="shared" si="3"/>
        <v/>
      </c>
      <c r="K183" s="38" t="str">
        <f>IF(L183="","",SUMIF(Productos!E:E,L183,Productos!A:A))</f>
        <v/>
      </c>
      <c r="M183" s="39"/>
    </row>
    <row r="184">
      <c r="A184" s="2" t="str">
        <f>IF(B184="","",SUMIF(Productos!E:E,B184,Productos!A:A))</f>
        <v/>
      </c>
      <c r="B184" s="40"/>
      <c r="C184" s="26" t="str">
        <f>IF(B184="","",SUMIF(Prearmados!E:E,B184,Prearmados!G:G))</f>
        <v/>
      </c>
      <c r="D184" s="19"/>
      <c r="E184" s="26" t="str">
        <f>IF(A184="","",IF(SUMIFS(Estructuras!E:E,Estructuras!B:B,A$2,Estructuras!C:C,A184)&gt;0,SUMIFS(Estructuras!E:E,Estructuras!B:B,A$2,Estructuras!C:C,A184),C184*D184))</f>
        <v/>
      </c>
      <c r="F184" s="36"/>
      <c r="G184" s="36"/>
      <c r="H184" s="36"/>
      <c r="I184" s="36" t="str">
        <f t="shared" si="2"/>
        <v/>
      </c>
      <c r="J184" s="37" t="str">
        <f t="shared" si="3"/>
        <v/>
      </c>
      <c r="K184" s="38" t="str">
        <f>IF(L184="","",SUMIF(Productos!E:E,L184,Productos!A:A))</f>
        <v/>
      </c>
      <c r="M184" s="39"/>
    </row>
    <row r="185">
      <c r="A185" s="2" t="str">
        <f>IF(B185="","",SUMIF(Productos!E:E,B185,Productos!A:A))</f>
        <v/>
      </c>
      <c r="B185" s="40"/>
      <c r="C185" s="26" t="str">
        <f>IF(B185="","",SUMIF(Prearmados!E:E,B185,Prearmados!G:G))</f>
        <v/>
      </c>
      <c r="D185" s="19"/>
      <c r="E185" s="26" t="str">
        <f>IF(A185="","",IF(SUMIFS(Estructuras!E:E,Estructuras!B:B,A$2,Estructuras!C:C,A185)&gt;0,SUMIFS(Estructuras!E:E,Estructuras!B:B,A$2,Estructuras!C:C,A185),C185*D185))</f>
        <v/>
      </c>
      <c r="F185" s="36"/>
      <c r="G185" s="36"/>
      <c r="H185" s="36"/>
      <c r="I185" s="36" t="str">
        <f t="shared" si="2"/>
        <v/>
      </c>
      <c r="J185" s="37" t="str">
        <f t="shared" si="3"/>
        <v/>
      </c>
      <c r="K185" s="38" t="str">
        <f>IF(L185="","",SUMIF(Productos!E:E,L185,Productos!A:A))</f>
        <v/>
      </c>
      <c r="M185" s="39"/>
    </row>
    <row r="186">
      <c r="A186" s="2" t="str">
        <f>IF(B186="","",SUMIF(Productos!E:E,B186,Productos!A:A))</f>
        <v/>
      </c>
      <c r="B186" s="40"/>
      <c r="C186" s="26" t="str">
        <f>IF(B186="","",SUMIF(Prearmados!E:E,B186,Prearmados!G:G))</f>
        <v/>
      </c>
      <c r="D186" s="19"/>
      <c r="E186" s="26" t="str">
        <f>IF(A186="","",IF(SUMIFS(Estructuras!E:E,Estructuras!B:B,A$2,Estructuras!C:C,A186)&gt;0,SUMIFS(Estructuras!E:E,Estructuras!B:B,A$2,Estructuras!C:C,A186),C186*D186))</f>
        <v/>
      </c>
      <c r="F186" s="36"/>
      <c r="G186" s="36"/>
      <c r="H186" s="36"/>
      <c r="I186" s="36" t="str">
        <f t="shared" si="2"/>
        <v/>
      </c>
      <c r="J186" s="37" t="str">
        <f t="shared" si="3"/>
        <v/>
      </c>
      <c r="K186" s="38" t="str">
        <f>IF(L186="","",SUMIF(Productos!E:E,L186,Productos!A:A))</f>
        <v/>
      </c>
      <c r="M186" s="39"/>
    </row>
    <row r="187">
      <c r="A187" s="2" t="str">
        <f>IF(B187="","",SUMIF(Productos!E:E,B187,Productos!A:A))</f>
        <v/>
      </c>
      <c r="B187" s="40"/>
      <c r="C187" s="26" t="str">
        <f>IF(B187="","",SUMIF(Prearmados!E:E,B187,Prearmados!G:G))</f>
        <v/>
      </c>
      <c r="D187" s="19"/>
      <c r="E187" s="26" t="str">
        <f>IF(A187="","",IF(SUMIFS(Estructuras!E:E,Estructuras!B:B,A$2,Estructuras!C:C,A187)&gt;0,SUMIFS(Estructuras!E:E,Estructuras!B:B,A$2,Estructuras!C:C,A187),C187*D187))</f>
        <v/>
      </c>
      <c r="F187" s="36"/>
      <c r="G187" s="36"/>
      <c r="H187" s="36"/>
      <c r="I187" s="36" t="str">
        <f t="shared" si="2"/>
        <v/>
      </c>
      <c r="J187" s="37" t="str">
        <f t="shared" si="3"/>
        <v/>
      </c>
      <c r="K187" s="38" t="str">
        <f>IF(L187="","",SUMIF(Productos!E:E,L187,Productos!A:A))</f>
        <v/>
      </c>
      <c r="M187" s="39"/>
    </row>
    <row r="188">
      <c r="A188" s="2" t="str">
        <f>IF(B188="","",SUMIF(Productos!E:E,B188,Productos!A:A))</f>
        <v/>
      </c>
      <c r="B188" s="40"/>
      <c r="C188" s="26" t="str">
        <f>IF(B188="","",SUMIF(Prearmados!E:E,B188,Prearmados!G:G))</f>
        <v/>
      </c>
      <c r="D188" s="19"/>
      <c r="E188" s="26" t="str">
        <f>IF(A188="","",IF(SUMIFS(Estructuras!E:E,Estructuras!B:B,A$2,Estructuras!C:C,A188)&gt;0,SUMIFS(Estructuras!E:E,Estructuras!B:B,A$2,Estructuras!C:C,A188),C188*D188))</f>
        <v/>
      </c>
      <c r="F188" s="36"/>
      <c r="G188" s="36"/>
      <c r="H188" s="36"/>
      <c r="I188" s="36" t="str">
        <f t="shared" si="2"/>
        <v/>
      </c>
      <c r="J188" s="37" t="str">
        <f t="shared" si="3"/>
        <v/>
      </c>
      <c r="K188" s="38" t="str">
        <f>IF(L188="","",SUMIF(Productos!E:E,L188,Productos!A:A))</f>
        <v/>
      </c>
      <c r="M188" s="39"/>
    </row>
    <row r="189">
      <c r="A189" s="2" t="str">
        <f>IF(B189="","",SUMIF(Productos!E:E,B189,Productos!A:A))</f>
        <v/>
      </c>
      <c r="B189" s="40"/>
      <c r="C189" s="26" t="str">
        <f>IF(B189="","",SUMIF(Prearmados!E:E,B189,Prearmados!G:G))</f>
        <v/>
      </c>
      <c r="D189" s="19"/>
      <c r="E189" s="26" t="str">
        <f>IF(A189="","",IF(SUMIFS(Estructuras!E:E,Estructuras!B:B,A$2,Estructuras!C:C,A189)&gt;0,SUMIFS(Estructuras!E:E,Estructuras!B:B,A$2,Estructuras!C:C,A189),C189*D189))</f>
        <v/>
      </c>
      <c r="F189" s="36"/>
      <c r="G189" s="36"/>
      <c r="H189" s="36"/>
      <c r="I189" s="36" t="str">
        <f t="shared" si="2"/>
        <v/>
      </c>
      <c r="J189" s="37" t="str">
        <f t="shared" si="3"/>
        <v/>
      </c>
      <c r="K189" s="38" t="str">
        <f>IF(L189="","",SUMIF(Productos!E:E,L189,Productos!A:A))</f>
        <v/>
      </c>
      <c r="M189" s="39"/>
    </row>
    <row r="190">
      <c r="A190" s="2" t="str">
        <f>IF(B190="","",SUMIF(Productos!E:E,B190,Productos!A:A))</f>
        <v/>
      </c>
      <c r="B190" s="40"/>
      <c r="C190" s="26" t="str">
        <f>IF(B190="","",SUMIF(Prearmados!E:E,B190,Prearmados!G:G))</f>
        <v/>
      </c>
      <c r="D190" s="19"/>
      <c r="E190" s="26" t="str">
        <f>IF(A190="","",IF(SUMIFS(Estructuras!E:E,Estructuras!B:B,A$2,Estructuras!C:C,A190)&gt;0,SUMIFS(Estructuras!E:E,Estructuras!B:B,A$2,Estructuras!C:C,A190),C190*D190))</f>
        <v/>
      </c>
      <c r="F190" s="36"/>
      <c r="G190" s="36"/>
      <c r="H190" s="36"/>
      <c r="I190" s="36" t="str">
        <f t="shared" si="2"/>
        <v/>
      </c>
      <c r="J190" s="37" t="str">
        <f t="shared" si="3"/>
        <v/>
      </c>
      <c r="K190" s="38" t="str">
        <f>IF(L190="","",SUMIF(Productos!E:E,L190,Productos!A:A))</f>
        <v/>
      </c>
      <c r="M190" s="39"/>
    </row>
    <row r="191">
      <c r="A191" s="2" t="str">
        <f>IF(B191="","",SUMIF(Productos!E:E,B191,Productos!A:A))</f>
        <v/>
      </c>
      <c r="B191" s="40"/>
      <c r="C191" s="26" t="str">
        <f>IF(B191="","",SUMIF(Prearmados!E:E,B191,Prearmados!G:G))</f>
        <v/>
      </c>
      <c r="D191" s="19"/>
      <c r="E191" s="26" t="str">
        <f>IF(A191="","",IF(SUMIFS(Estructuras!E:E,Estructuras!B:B,A$2,Estructuras!C:C,A191)&gt;0,SUMIFS(Estructuras!E:E,Estructuras!B:B,A$2,Estructuras!C:C,A191),C191*D191))</f>
        <v/>
      </c>
      <c r="F191" s="36"/>
      <c r="G191" s="36"/>
      <c r="H191" s="36"/>
      <c r="I191" s="36" t="str">
        <f t="shared" si="2"/>
        <v/>
      </c>
      <c r="J191" s="37" t="str">
        <f t="shared" si="3"/>
        <v/>
      </c>
      <c r="K191" s="38" t="str">
        <f>IF(L191="","",SUMIF(Productos!E:E,L191,Productos!A:A))</f>
        <v/>
      </c>
      <c r="M191" s="39"/>
    </row>
    <row r="192">
      <c r="A192" s="2" t="str">
        <f>IF(B192="","",SUMIF(Productos!E:E,B192,Productos!A:A))</f>
        <v/>
      </c>
      <c r="B192" s="40"/>
      <c r="C192" s="26" t="str">
        <f>IF(B192="","",SUMIF(Prearmados!E:E,B192,Prearmados!G:G))</f>
        <v/>
      </c>
      <c r="D192" s="19"/>
      <c r="E192" s="26" t="str">
        <f>IF(A192="","",IF(SUMIFS(Estructuras!E:E,Estructuras!B:B,A$2,Estructuras!C:C,A192)&gt;0,SUMIFS(Estructuras!E:E,Estructuras!B:B,A$2,Estructuras!C:C,A192),C192*D192))</f>
        <v/>
      </c>
      <c r="F192" s="36"/>
      <c r="G192" s="36"/>
      <c r="H192" s="36"/>
      <c r="I192" s="36" t="str">
        <f t="shared" si="2"/>
        <v/>
      </c>
      <c r="J192" s="37" t="str">
        <f t="shared" si="3"/>
        <v/>
      </c>
      <c r="K192" s="38" t="str">
        <f>IF(L192="","",SUMIF(Productos!E:E,L192,Productos!A:A))</f>
        <v/>
      </c>
      <c r="M192" s="39"/>
    </row>
    <row r="193">
      <c r="A193" s="2" t="str">
        <f>IF(B193="","",SUMIF(Productos!E:E,B193,Productos!A:A))</f>
        <v/>
      </c>
      <c r="B193" s="40"/>
      <c r="C193" s="26" t="str">
        <f>IF(B193="","",SUMIF(Prearmados!E:E,B193,Prearmados!G:G))</f>
        <v/>
      </c>
      <c r="D193" s="19"/>
      <c r="E193" s="26" t="str">
        <f>IF(A193="","",IF(SUMIFS(Estructuras!E:E,Estructuras!B:B,A$2,Estructuras!C:C,A193)&gt;0,SUMIFS(Estructuras!E:E,Estructuras!B:B,A$2,Estructuras!C:C,A193),C193*D193))</f>
        <v/>
      </c>
      <c r="F193" s="36"/>
      <c r="G193" s="36"/>
      <c r="H193" s="36"/>
      <c r="I193" s="36" t="str">
        <f t="shared" si="2"/>
        <v/>
      </c>
      <c r="J193" s="37" t="str">
        <f t="shared" si="3"/>
        <v/>
      </c>
      <c r="K193" s="38" t="str">
        <f>IF(L193="","",SUMIF(Productos!E:E,L193,Productos!A:A))</f>
        <v/>
      </c>
      <c r="M193" s="39"/>
    </row>
    <row r="194">
      <c r="A194" s="2" t="str">
        <f>IF(B194="","",SUMIF(Productos!E:E,B194,Productos!A:A))</f>
        <v/>
      </c>
      <c r="B194" s="40"/>
      <c r="C194" s="26" t="str">
        <f>IF(B194="","",SUMIF(Prearmados!E:E,B194,Prearmados!G:G))</f>
        <v/>
      </c>
      <c r="D194" s="19"/>
      <c r="E194" s="26" t="str">
        <f>IF(A194="","",IF(SUMIFS(Estructuras!E:E,Estructuras!B:B,A$2,Estructuras!C:C,A194)&gt;0,SUMIFS(Estructuras!E:E,Estructuras!B:B,A$2,Estructuras!C:C,A194),C194*D194))</f>
        <v/>
      </c>
      <c r="F194" s="36"/>
      <c r="G194" s="36"/>
      <c r="H194" s="36"/>
      <c r="I194" s="36" t="str">
        <f t="shared" si="2"/>
        <v/>
      </c>
      <c r="J194" s="37" t="str">
        <f t="shared" si="3"/>
        <v/>
      </c>
      <c r="K194" s="38" t="str">
        <f>IF(L194="","",SUMIF(Productos!E:E,L194,Productos!A:A))</f>
        <v/>
      </c>
      <c r="M194" s="39"/>
    </row>
    <row r="195">
      <c r="A195" s="2" t="str">
        <f>IF(B195="","",SUMIF(Productos!E:E,B195,Productos!A:A))</f>
        <v/>
      </c>
      <c r="B195" s="40"/>
      <c r="C195" s="26" t="str">
        <f>IF(B195="","",SUMIF(Prearmados!E:E,B195,Prearmados!G:G))</f>
        <v/>
      </c>
      <c r="D195" s="19"/>
      <c r="E195" s="26" t="str">
        <f>IF(A195="","",IF(SUMIFS(Estructuras!E:E,Estructuras!B:B,A$2,Estructuras!C:C,A195)&gt;0,SUMIFS(Estructuras!E:E,Estructuras!B:B,A$2,Estructuras!C:C,A195),C195*D195))</f>
        <v/>
      </c>
      <c r="F195" s="36"/>
      <c r="G195" s="36"/>
      <c r="H195" s="36"/>
      <c r="I195" s="36" t="str">
        <f t="shared" si="2"/>
        <v/>
      </c>
      <c r="J195" s="37" t="str">
        <f t="shared" si="3"/>
        <v/>
      </c>
      <c r="K195" s="38" t="str">
        <f>IF(L195="","",SUMIF(Productos!E:E,L195,Productos!A:A))</f>
        <v/>
      </c>
      <c r="M195" s="39"/>
    </row>
    <row r="196">
      <c r="A196" s="2" t="str">
        <f>IF(B196="","",SUMIF(Productos!E:E,B196,Productos!A:A))</f>
        <v/>
      </c>
      <c r="B196" s="40"/>
      <c r="C196" s="26" t="str">
        <f>IF(B196="","",SUMIF(Prearmados!E:E,B196,Prearmados!G:G))</f>
        <v/>
      </c>
      <c r="D196" s="19"/>
      <c r="E196" s="26" t="str">
        <f>IF(A196="","",IF(SUMIFS(Estructuras!E:E,Estructuras!B:B,A$2,Estructuras!C:C,A196)&gt;0,SUMIFS(Estructuras!E:E,Estructuras!B:B,A$2,Estructuras!C:C,A196),C196*D196))</f>
        <v/>
      </c>
      <c r="F196" s="36"/>
      <c r="G196" s="36"/>
      <c r="H196" s="36"/>
      <c r="I196" s="36" t="str">
        <f t="shared" si="2"/>
        <v/>
      </c>
      <c r="J196" s="37" t="str">
        <f t="shared" si="3"/>
        <v/>
      </c>
      <c r="K196" s="38" t="str">
        <f>IF(L196="","",SUMIF(Productos!E:E,L196,Productos!A:A))</f>
        <v/>
      </c>
      <c r="M196" s="39"/>
    </row>
    <row r="197">
      <c r="A197" s="2" t="str">
        <f>IF(B197="","",SUMIF(Productos!E:E,B197,Productos!A:A))</f>
        <v/>
      </c>
      <c r="B197" s="40"/>
      <c r="C197" s="26" t="str">
        <f>IF(B197="","",SUMIF(Prearmados!E:E,B197,Prearmados!G:G))</f>
        <v/>
      </c>
      <c r="D197" s="19"/>
      <c r="E197" s="26" t="str">
        <f>IF(A197="","",IF(SUMIFS(Estructuras!E:E,Estructuras!B:B,A$2,Estructuras!C:C,A197)&gt;0,SUMIFS(Estructuras!E:E,Estructuras!B:B,A$2,Estructuras!C:C,A197),C197*D197))</f>
        <v/>
      </c>
      <c r="F197" s="36"/>
      <c r="G197" s="36"/>
      <c r="H197" s="36"/>
      <c r="I197" s="36" t="str">
        <f t="shared" si="2"/>
        <v/>
      </c>
      <c r="J197" s="37" t="str">
        <f t="shared" si="3"/>
        <v/>
      </c>
      <c r="K197" s="38" t="str">
        <f>IF(L197="","",SUMIF(Productos!E:E,L197,Productos!A:A))</f>
        <v/>
      </c>
      <c r="M197" s="39"/>
    </row>
    <row r="198">
      <c r="A198" s="2" t="str">
        <f>IF(B198="","",SUMIF(Productos!E:E,B198,Productos!A:A))</f>
        <v/>
      </c>
      <c r="B198" s="40"/>
      <c r="C198" s="26" t="str">
        <f>IF(B198="","",SUMIF(Prearmados!E:E,B198,Prearmados!G:G))</f>
        <v/>
      </c>
      <c r="D198" s="19"/>
      <c r="E198" s="26" t="str">
        <f>IF(A198="","",IF(SUMIFS(Estructuras!E:E,Estructuras!B:B,A$2,Estructuras!C:C,A198)&gt;0,SUMIFS(Estructuras!E:E,Estructuras!B:B,A$2,Estructuras!C:C,A198),C198*D198))</f>
        <v/>
      </c>
      <c r="F198" s="36"/>
      <c r="G198" s="36"/>
      <c r="H198" s="36"/>
      <c r="I198" s="36" t="str">
        <f t="shared" si="2"/>
        <v/>
      </c>
      <c r="J198" s="37" t="str">
        <f t="shared" si="3"/>
        <v/>
      </c>
      <c r="K198" s="38" t="str">
        <f>IF(L198="","",SUMIF(Productos!E:E,L198,Productos!A:A))</f>
        <v/>
      </c>
      <c r="M198" s="39"/>
    </row>
    <row r="199">
      <c r="A199" s="2" t="str">
        <f>IF(B199="","",SUMIF(Productos!E:E,B199,Productos!A:A))</f>
        <v/>
      </c>
      <c r="B199" s="40"/>
      <c r="C199" s="26" t="str">
        <f>IF(B199="","",SUMIF(Prearmados!E:E,B199,Prearmados!G:G))</f>
        <v/>
      </c>
      <c r="D199" s="19"/>
      <c r="E199" s="26" t="str">
        <f>IF(A199="","",IF(SUMIFS(Estructuras!E:E,Estructuras!B:B,A$2,Estructuras!C:C,A199)&gt;0,SUMIFS(Estructuras!E:E,Estructuras!B:B,A$2,Estructuras!C:C,A199),C199*D199))</f>
        <v/>
      </c>
      <c r="F199" s="36"/>
      <c r="G199" s="36"/>
      <c r="H199" s="36"/>
      <c r="I199" s="36" t="str">
        <f t="shared" si="2"/>
        <v/>
      </c>
      <c r="J199" s="37" t="str">
        <f t="shared" si="3"/>
        <v/>
      </c>
      <c r="K199" s="38" t="str">
        <f>IF(L199="","",SUMIF(Productos!E:E,L199,Productos!A:A))</f>
        <v/>
      </c>
      <c r="M199" s="39"/>
    </row>
    <row r="200">
      <c r="A200" s="2" t="str">
        <f>IF(B200="","",SUMIF(Productos!E:E,B200,Productos!A:A))</f>
        <v/>
      </c>
      <c r="B200" s="40"/>
      <c r="C200" s="26" t="str">
        <f>IF(B200="","",SUMIF(Prearmados!E:E,B200,Prearmados!G:G))</f>
        <v/>
      </c>
      <c r="D200" s="19"/>
      <c r="E200" s="26" t="str">
        <f>IF(A200="","",IF(SUMIFS(Estructuras!E:E,Estructuras!B:B,A$2,Estructuras!C:C,A200)&gt;0,SUMIFS(Estructuras!E:E,Estructuras!B:B,A$2,Estructuras!C:C,A200),C200*D200))</f>
        <v/>
      </c>
      <c r="F200" s="36"/>
      <c r="G200" s="36"/>
      <c r="H200" s="36"/>
      <c r="I200" s="36" t="str">
        <f t="shared" si="2"/>
        <v/>
      </c>
      <c r="J200" s="37" t="str">
        <f t="shared" si="3"/>
        <v/>
      </c>
      <c r="K200" s="38" t="str">
        <f>IF(L200="","",SUMIF(Productos!E:E,L200,Productos!A:A))</f>
        <v/>
      </c>
      <c r="M200" s="39"/>
    </row>
    <row r="201">
      <c r="A201" s="2" t="str">
        <f>IF(B201="","",SUMIF(Productos!E:E,B201,Productos!A:A))</f>
        <v/>
      </c>
      <c r="B201" s="40"/>
      <c r="C201" s="26" t="str">
        <f>IF(B201="","",SUMIF(Prearmados!E:E,B201,Prearmados!G:G))</f>
        <v/>
      </c>
      <c r="D201" s="19"/>
      <c r="E201" s="26" t="str">
        <f>IF(A201="","",IF(SUMIFS(Estructuras!E:E,Estructuras!B:B,A$2,Estructuras!C:C,A201)&gt;0,SUMIFS(Estructuras!E:E,Estructuras!B:B,A$2,Estructuras!C:C,A201),C201*D201))</f>
        <v/>
      </c>
      <c r="F201" s="36"/>
      <c r="G201" s="36"/>
      <c r="H201" s="36"/>
      <c r="I201" s="36" t="str">
        <f t="shared" si="2"/>
        <v/>
      </c>
      <c r="J201" s="37" t="str">
        <f t="shared" si="3"/>
        <v/>
      </c>
      <c r="K201" s="38" t="str">
        <f>IF(L201="","",SUMIF(Productos!E:E,L201,Productos!A:A))</f>
        <v/>
      </c>
      <c r="M201" s="39"/>
    </row>
    <row r="202">
      <c r="A202" s="2" t="str">
        <f>IF(B202="","",SUMIF(Productos!E:E,B202,Productos!A:A))</f>
        <v/>
      </c>
      <c r="B202" s="40"/>
      <c r="C202" s="26" t="str">
        <f>IF(B202="","",SUMIF(Prearmados!E:E,B202,Prearmados!G:G))</f>
        <v/>
      </c>
      <c r="D202" s="19"/>
      <c r="E202" s="26" t="str">
        <f>IF(A202="","",IF(SUMIFS(Estructuras!E:E,Estructuras!B:B,A$2,Estructuras!C:C,A202)&gt;0,SUMIFS(Estructuras!E:E,Estructuras!B:B,A$2,Estructuras!C:C,A202),C202*D202))</f>
        <v/>
      </c>
      <c r="F202" s="36"/>
      <c r="G202" s="36"/>
      <c r="H202" s="36"/>
      <c r="I202" s="36" t="str">
        <f t="shared" si="2"/>
        <v/>
      </c>
      <c r="J202" s="37" t="str">
        <f t="shared" si="3"/>
        <v/>
      </c>
      <c r="K202" s="38" t="str">
        <f>IF(L202="","",SUMIF(Productos!E:E,L202,Productos!A:A))</f>
        <v/>
      </c>
      <c r="M202" s="39"/>
    </row>
    <row r="203">
      <c r="A203" s="2" t="str">
        <f>IF(B203="","",SUMIF(Productos!E:E,B203,Productos!A:A))</f>
        <v/>
      </c>
      <c r="B203" s="40"/>
      <c r="C203" s="26" t="str">
        <f>IF(B203="","",SUMIF(Prearmados!E:E,B203,Prearmados!G:G))</f>
        <v/>
      </c>
      <c r="D203" s="19"/>
      <c r="E203" s="26" t="str">
        <f>IF(A203="","",IF(SUMIFS(Estructuras!E:E,Estructuras!B:B,A$2,Estructuras!C:C,A203)&gt;0,SUMIFS(Estructuras!E:E,Estructuras!B:B,A$2,Estructuras!C:C,A203),C203*D203))</f>
        <v/>
      </c>
      <c r="F203" s="36"/>
      <c r="G203" s="36"/>
      <c r="H203" s="36"/>
      <c r="I203" s="36" t="str">
        <f t="shared" si="2"/>
        <v/>
      </c>
      <c r="J203" s="37" t="str">
        <f t="shared" si="3"/>
        <v/>
      </c>
      <c r="K203" s="38" t="str">
        <f>IF(L203="","",SUMIF(Productos!E:E,L203,Productos!A:A))</f>
        <v/>
      </c>
      <c r="M203" s="39"/>
    </row>
    <row r="204">
      <c r="A204" s="2" t="str">
        <f>IF(B204="","",SUMIF(Productos!E:E,B204,Productos!A:A))</f>
        <v/>
      </c>
      <c r="B204" s="40"/>
      <c r="C204" s="26" t="str">
        <f>IF(B204="","",SUMIF(Prearmados!E:E,B204,Prearmados!G:G))</f>
        <v/>
      </c>
      <c r="D204" s="19"/>
      <c r="E204" s="26" t="str">
        <f>IF(A204="","",IF(SUMIFS(Estructuras!E:E,Estructuras!B:B,A$2,Estructuras!C:C,A204)&gt;0,SUMIFS(Estructuras!E:E,Estructuras!B:B,A$2,Estructuras!C:C,A204),C204*D204))</f>
        <v/>
      </c>
      <c r="F204" s="36"/>
      <c r="G204" s="36"/>
      <c r="H204" s="36"/>
      <c r="I204" s="36" t="str">
        <f t="shared" si="2"/>
        <v/>
      </c>
      <c r="J204" s="37" t="str">
        <f t="shared" si="3"/>
        <v/>
      </c>
      <c r="K204" s="38" t="str">
        <f>IF(L204="","",SUMIF(Productos!E:E,L204,Productos!A:A))</f>
        <v/>
      </c>
      <c r="M204" s="39"/>
    </row>
    <row r="205">
      <c r="A205" s="2" t="str">
        <f>IF(B205="","",SUMIF(Productos!E:E,B205,Productos!A:A))</f>
        <v/>
      </c>
      <c r="B205" s="40"/>
      <c r="C205" s="26" t="str">
        <f>IF(B205="","",SUMIF(Prearmados!E:E,B205,Prearmados!G:G))</f>
        <v/>
      </c>
      <c r="D205" s="19"/>
      <c r="E205" s="26" t="str">
        <f>IF(A205="","",IF(SUMIFS(Estructuras!E:E,Estructuras!B:B,A$2,Estructuras!C:C,A205)&gt;0,SUMIFS(Estructuras!E:E,Estructuras!B:B,A$2,Estructuras!C:C,A205),C205*D205))</f>
        <v/>
      </c>
      <c r="F205" s="36"/>
      <c r="G205" s="36"/>
      <c r="H205" s="36"/>
      <c r="I205" s="36" t="str">
        <f t="shared" si="2"/>
        <v/>
      </c>
      <c r="J205" s="37" t="str">
        <f t="shared" si="3"/>
        <v/>
      </c>
      <c r="K205" s="38" t="str">
        <f>IF(L205="","",SUMIF(Productos!E:E,L205,Productos!A:A))</f>
        <v/>
      </c>
      <c r="M205" s="39"/>
    </row>
    <row r="206">
      <c r="A206" s="2" t="str">
        <f>IF(B206="","",SUMIF(Productos!E:E,B206,Productos!A:A))</f>
        <v/>
      </c>
      <c r="B206" s="40"/>
      <c r="C206" s="26" t="str">
        <f>IF(B206="","",SUMIF(Prearmados!E:E,B206,Prearmados!G:G))</f>
        <v/>
      </c>
      <c r="D206" s="19"/>
      <c r="E206" s="26" t="str">
        <f>IF(A206="","",IF(SUMIFS(Estructuras!E:E,Estructuras!B:B,A$2,Estructuras!C:C,A206)&gt;0,SUMIFS(Estructuras!E:E,Estructuras!B:B,A$2,Estructuras!C:C,A206),C206*D206))</f>
        <v/>
      </c>
      <c r="F206" s="36"/>
      <c r="G206" s="36"/>
      <c r="H206" s="36"/>
      <c r="I206" s="36" t="str">
        <f t="shared" si="2"/>
        <v/>
      </c>
      <c r="J206" s="37" t="str">
        <f t="shared" si="3"/>
        <v/>
      </c>
      <c r="K206" s="38" t="str">
        <f>IF(L206="","",SUMIF(Productos!E:E,L206,Productos!A:A))</f>
        <v/>
      </c>
      <c r="M206" s="39"/>
    </row>
    <row r="207">
      <c r="A207" s="2" t="str">
        <f>IF(B207="","",SUMIF(Productos!E:E,B207,Productos!A:A))</f>
        <v/>
      </c>
      <c r="B207" s="40"/>
      <c r="C207" s="26" t="str">
        <f>IF(B207="","",SUMIF(Prearmados!E:E,B207,Prearmados!G:G))</f>
        <v/>
      </c>
      <c r="D207" s="19"/>
      <c r="E207" s="26" t="str">
        <f>IF(A207="","",IF(SUMIFS(Estructuras!E:E,Estructuras!B:B,A$2,Estructuras!C:C,A207)&gt;0,SUMIFS(Estructuras!E:E,Estructuras!B:B,A$2,Estructuras!C:C,A207),C207*D207))</f>
        <v/>
      </c>
      <c r="F207" s="36"/>
      <c r="G207" s="36"/>
      <c r="H207" s="36"/>
      <c r="I207" s="36" t="str">
        <f t="shared" si="2"/>
        <v/>
      </c>
      <c r="J207" s="37" t="str">
        <f t="shared" si="3"/>
        <v/>
      </c>
      <c r="K207" s="38" t="str">
        <f>IF(L207="","",SUMIF(Productos!E:E,L207,Productos!A:A))</f>
        <v/>
      </c>
      <c r="M207" s="39"/>
    </row>
    <row r="208">
      <c r="A208" s="2" t="str">
        <f>IF(B208="","",SUMIF(Productos!E:E,B208,Productos!A:A))</f>
        <v/>
      </c>
      <c r="B208" s="40"/>
      <c r="C208" s="26" t="str">
        <f>IF(B208="","",SUMIF(Prearmados!E:E,B208,Prearmados!G:G))</f>
        <v/>
      </c>
      <c r="D208" s="19"/>
      <c r="E208" s="26" t="str">
        <f>IF(A208="","",IF(SUMIFS(Estructuras!E:E,Estructuras!B:B,A$2,Estructuras!C:C,A208)&gt;0,SUMIFS(Estructuras!E:E,Estructuras!B:B,A$2,Estructuras!C:C,A208),C208*D208))</f>
        <v/>
      </c>
      <c r="F208" s="36"/>
      <c r="G208" s="36"/>
      <c r="H208" s="36"/>
      <c r="I208" s="36" t="str">
        <f t="shared" si="2"/>
        <v/>
      </c>
      <c r="J208" s="37" t="str">
        <f t="shared" si="3"/>
        <v/>
      </c>
      <c r="K208" s="38" t="str">
        <f>IF(L208="","",SUMIF(Productos!E:E,L208,Productos!A:A))</f>
        <v/>
      </c>
      <c r="M208" s="39"/>
    </row>
    <row r="209">
      <c r="A209" s="2" t="str">
        <f>IF(B209="","",SUMIF(Productos!E:E,B209,Productos!A:A))</f>
        <v/>
      </c>
      <c r="B209" s="40"/>
      <c r="C209" s="26" t="str">
        <f>IF(B209="","",SUMIF(Prearmados!E:E,B209,Prearmados!G:G))</f>
        <v/>
      </c>
      <c r="D209" s="19"/>
      <c r="E209" s="26" t="str">
        <f>IF(A209="","",IF(SUMIFS(Estructuras!E:E,Estructuras!B:B,A$2,Estructuras!C:C,A209)&gt;0,SUMIFS(Estructuras!E:E,Estructuras!B:B,A$2,Estructuras!C:C,A209),C209*D209))</f>
        <v/>
      </c>
      <c r="F209" s="36"/>
      <c r="G209" s="36"/>
      <c r="H209" s="36"/>
      <c r="I209" s="36" t="str">
        <f t="shared" si="2"/>
        <v/>
      </c>
      <c r="J209" s="37" t="str">
        <f t="shared" si="3"/>
        <v/>
      </c>
      <c r="K209" s="38" t="str">
        <f>IF(L209="","",SUMIF(Productos!E:E,L209,Productos!A:A))</f>
        <v/>
      </c>
      <c r="M209" s="39"/>
    </row>
    <row r="210">
      <c r="A210" s="2" t="str">
        <f>IF(B210="","",SUMIF(Productos!E:E,B210,Productos!A:A))</f>
        <v/>
      </c>
      <c r="B210" s="40"/>
      <c r="C210" s="26" t="str">
        <f>IF(B210="","",SUMIF(Prearmados!E:E,B210,Prearmados!G:G))</f>
        <v/>
      </c>
      <c r="D210" s="19"/>
      <c r="E210" s="26" t="str">
        <f>IF(A210="","",IF(SUMIFS(Estructuras!E:E,Estructuras!B:B,A$2,Estructuras!C:C,A210)&gt;0,SUMIFS(Estructuras!E:E,Estructuras!B:B,A$2,Estructuras!C:C,A210),C210*D210))</f>
        <v/>
      </c>
      <c r="F210" s="36"/>
      <c r="G210" s="36"/>
      <c r="H210" s="36"/>
      <c r="I210" s="36" t="str">
        <f t="shared" si="2"/>
        <v/>
      </c>
      <c r="J210" s="37" t="str">
        <f t="shared" si="3"/>
        <v/>
      </c>
      <c r="K210" s="38" t="str">
        <f>IF(L210="","",SUMIF(Productos!E:E,L210,Productos!A:A))</f>
        <v/>
      </c>
      <c r="M210" s="39"/>
    </row>
    <row r="211">
      <c r="A211" s="2" t="str">
        <f>IF(B211="","",SUMIF(Productos!E:E,B211,Productos!A:A))</f>
        <v/>
      </c>
      <c r="B211" s="40"/>
      <c r="C211" s="26" t="str">
        <f>IF(B211="","",SUMIF(Prearmados!E:E,B211,Prearmados!G:G))</f>
        <v/>
      </c>
      <c r="D211" s="19"/>
      <c r="E211" s="26" t="str">
        <f>IF(A211="","",IF(SUMIFS(Estructuras!E:E,Estructuras!B:B,A$2,Estructuras!C:C,A211)&gt;0,SUMIFS(Estructuras!E:E,Estructuras!B:B,A$2,Estructuras!C:C,A211),C211*D211))</f>
        <v/>
      </c>
      <c r="F211" s="36"/>
      <c r="G211" s="36"/>
      <c r="H211" s="36"/>
      <c r="I211" s="36" t="str">
        <f t="shared" si="2"/>
        <v/>
      </c>
      <c r="J211" s="37" t="str">
        <f t="shared" si="3"/>
        <v/>
      </c>
      <c r="K211" s="38" t="str">
        <f>IF(L211="","",SUMIF(Productos!E:E,L211,Productos!A:A))</f>
        <v/>
      </c>
      <c r="M211" s="39"/>
    </row>
    <row r="212">
      <c r="A212" s="2" t="str">
        <f>IF(B212="","",SUMIF(Productos!E:E,B212,Productos!A:A))</f>
        <v/>
      </c>
      <c r="B212" s="40"/>
      <c r="C212" s="26" t="str">
        <f>IF(B212="","",SUMIF(Prearmados!E:E,B212,Prearmados!G:G))</f>
        <v/>
      </c>
      <c r="D212" s="19"/>
      <c r="E212" s="26" t="str">
        <f>IF(A212="","",IF(SUMIFS(Estructuras!E:E,Estructuras!B:B,A$2,Estructuras!C:C,A212)&gt;0,SUMIFS(Estructuras!E:E,Estructuras!B:B,A$2,Estructuras!C:C,A212),C212*D212))</f>
        <v/>
      </c>
      <c r="F212" s="36"/>
      <c r="G212" s="36"/>
      <c r="H212" s="36"/>
      <c r="I212" s="36" t="str">
        <f t="shared" si="2"/>
        <v/>
      </c>
      <c r="J212" s="37" t="str">
        <f t="shared" si="3"/>
        <v/>
      </c>
      <c r="K212" s="38" t="str">
        <f>IF(L212="","",SUMIF(Productos!E:E,L212,Productos!A:A))</f>
        <v/>
      </c>
      <c r="M212" s="39"/>
    </row>
    <row r="213">
      <c r="A213" s="2" t="str">
        <f>IF(B213="","",SUMIF(Productos!E:E,B213,Productos!A:A))</f>
        <v/>
      </c>
      <c r="B213" s="40"/>
      <c r="C213" s="26" t="str">
        <f>IF(B213="","",SUMIF(Prearmados!E:E,B213,Prearmados!G:G))</f>
        <v/>
      </c>
      <c r="D213" s="19"/>
      <c r="E213" s="26" t="str">
        <f>IF(A213="","",IF(SUMIFS(Estructuras!E:E,Estructuras!B:B,A$2,Estructuras!C:C,A213)&gt;0,SUMIFS(Estructuras!E:E,Estructuras!B:B,A$2,Estructuras!C:C,A213),C213*D213))</f>
        <v/>
      </c>
      <c r="F213" s="36"/>
      <c r="G213" s="36"/>
      <c r="H213" s="36"/>
      <c r="I213" s="36" t="str">
        <f t="shared" si="2"/>
        <v/>
      </c>
      <c r="J213" s="37" t="str">
        <f t="shared" si="3"/>
        <v/>
      </c>
      <c r="K213" s="38" t="str">
        <f>IF(L213="","",SUMIF(Productos!E:E,L213,Productos!A:A))</f>
        <v/>
      </c>
      <c r="M213" s="39"/>
    </row>
    <row r="214">
      <c r="A214" s="2" t="str">
        <f>IF(B214="","",SUMIF(Productos!E:E,B214,Productos!A:A))</f>
        <v/>
      </c>
      <c r="B214" s="40"/>
      <c r="C214" s="26" t="str">
        <f>IF(B214="","",SUMIF(Prearmados!E:E,B214,Prearmados!G:G))</f>
        <v/>
      </c>
      <c r="D214" s="19"/>
      <c r="E214" s="26" t="str">
        <f>IF(A214="","",IF(SUMIFS(Estructuras!E:E,Estructuras!B:B,A$2,Estructuras!C:C,A214)&gt;0,SUMIFS(Estructuras!E:E,Estructuras!B:B,A$2,Estructuras!C:C,A214),C214*D214))</f>
        <v/>
      </c>
      <c r="F214" s="36"/>
      <c r="G214" s="36"/>
      <c r="H214" s="36"/>
      <c r="I214" s="36" t="str">
        <f t="shared" si="2"/>
        <v/>
      </c>
      <c r="J214" s="37" t="str">
        <f t="shared" si="3"/>
        <v/>
      </c>
      <c r="K214" s="38" t="str">
        <f>IF(L214="","",SUMIF(Productos!E:E,L214,Productos!A:A))</f>
        <v/>
      </c>
      <c r="M214" s="39"/>
    </row>
    <row r="215">
      <c r="A215" s="2" t="str">
        <f>IF(B215="","",SUMIF(Productos!E:E,B215,Productos!A:A))</f>
        <v/>
      </c>
      <c r="B215" s="40"/>
      <c r="C215" s="26" t="str">
        <f>IF(B215="","",SUMIF(Prearmados!E:E,B215,Prearmados!G:G))</f>
        <v/>
      </c>
      <c r="D215" s="19"/>
      <c r="E215" s="26" t="str">
        <f>IF(A215="","",IF(SUMIFS(Estructuras!E:E,Estructuras!B:B,A$2,Estructuras!C:C,A215)&gt;0,SUMIFS(Estructuras!E:E,Estructuras!B:B,A$2,Estructuras!C:C,A215),C215*D215))</f>
        <v/>
      </c>
      <c r="F215" s="36"/>
      <c r="G215" s="36"/>
      <c r="H215" s="36"/>
      <c r="I215" s="36" t="str">
        <f t="shared" si="2"/>
        <v/>
      </c>
      <c r="J215" s="37" t="str">
        <f t="shared" si="3"/>
        <v/>
      </c>
      <c r="K215" s="38" t="str">
        <f>IF(L215="","",SUMIF(Productos!E:E,L215,Productos!A:A))</f>
        <v/>
      </c>
      <c r="M215" s="39"/>
    </row>
    <row r="216">
      <c r="A216" s="2" t="str">
        <f>IF(B216="","",SUMIF(Productos!E:E,B216,Productos!A:A))</f>
        <v/>
      </c>
      <c r="B216" s="40"/>
      <c r="C216" s="26" t="str">
        <f>IF(B216="","",SUMIF(Prearmados!E:E,B216,Prearmados!G:G))</f>
        <v/>
      </c>
      <c r="D216" s="19"/>
      <c r="E216" s="26" t="str">
        <f>IF(A216="","",IF(SUMIFS(Estructuras!E:E,Estructuras!B:B,A$2,Estructuras!C:C,A216)&gt;0,SUMIFS(Estructuras!E:E,Estructuras!B:B,A$2,Estructuras!C:C,A216),C216*D216))</f>
        <v/>
      </c>
      <c r="F216" s="36"/>
      <c r="G216" s="36"/>
      <c r="H216" s="36"/>
      <c r="I216" s="36" t="str">
        <f t="shared" si="2"/>
        <v/>
      </c>
      <c r="J216" s="37" t="str">
        <f t="shared" si="3"/>
        <v/>
      </c>
      <c r="K216" s="38" t="str">
        <f>IF(L216="","",SUMIF(Productos!E:E,L216,Productos!A:A))</f>
        <v/>
      </c>
      <c r="M216" s="39"/>
    </row>
    <row r="217">
      <c r="A217" s="2" t="str">
        <f>IF(B217="","",SUMIF(Productos!E:E,B217,Productos!A:A))</f>
        <v/>
      </c>
      <c r="B217" s="40"/>
      <c r="C217" s="26" t="str">
        <f>IF(B217="","",SUMIF(Prearmados!E:E,B217,Prearmados!G:G))</f>
        <v/>
      </c>
      <c r="D217" s="19"/>
      <c r="E217" s="26" t="str">
        <f>IF(A217="","",IF(SUMIFS(Estructuras!E:E,Estructuras!B:B,A$2,Estructuras!C:C,A217)&gt;0,SUMIFS(Estructuras!E:E,Estructuras!B:B,A$2,Estructuras!C:C,A217),C217*D217))</f>
        <v/>
      </c>
      <c r="F217" s="36"/>
      <c r="G217" s="36"/>
      <c r="H217" s="36"/>
      <c r="I217" s="36" t="str">
        <f t="shared" si="2"/>
        <v/>
      </c>
      <c r="J217" s="37" t="str">
        <f t="shared" si="3"/>
        <v/>
      </c>
      <c r="K217" s="38" t="str">
        <f>IF(L217="","",SUMIF(Productos!E:E,L217,Productos!A:A))</f>
        <v/>
      </c>
      <c r="M217" s="39"/>
    </row>
    <row r="218">
      <c r="A218" s="2" t="str">
        <f>IF(B218="","",SUMIF(Productos!E:E,B218,Productos!A:A))</f>
        <v/>
      </c>
      <c r="B218" s="40"/>
      <c r="C218" s="26" t="str">
        <f>IF(B218="","",SUMIF(Prearmados!E:E,B218,Prearmados!G:G))</f>
        <v/>
      </c>
      <c r="D218" s="19"/>
      <c r="E218" s="26" t="str">
        <f>IF(A218="","",IF(SUMIFS(Estructuras!E:E,Estructuras!B:B,A$2,Estructuras!C:C,A218)&gt;0,SUMIFS(Estructuras!E:E,Estructuras!B:B,A$2,Estructuras!C:C,A218),C218*D218))</f>
        <v/>
      </c>
      <c r="F218" s="36"/>
      <c r="G218" s="36"/>
      <c r="H218" s="36"/>
      <c r="I218" s="36" t="str">
        <f t="shared" si="2"/>
        <v/>
      </c>
      <c r="J218" s="37" t="str">
        <f t="shared" si="3"/>
        <v/>
      </c>
      <c r="K218" s="38" t="str">
        <f>IF(L218="","",SUMIF(Productos!E:E,L218,Productos!A:A))</f>
        <v/>
      </c>
      <c r="M218" s="39"/>
    </row>
    <row r="219">
      <c r="A219" s="2" t="str">
        <f>IF(B219="","",SUMIF(Productos!E:E,B219,Productos!A:A))</f>
        <v/>
      </c>
      <c r="B219" s="40"/>
      <c r="C219" s="26" t="str">
        <f>IF(B219="","",SUMIF(Prearmados!E:E,B219,Prearmados!G:G))</f>
        <v/>
      </c>
      <c r="D219" s="19"/>
      <c r="E219" s="26" t="str">
        <f>IF(A219="","",IF(SUMIFS(Estructuras!E:E,Estructuras!B:B,A$2,Estructuras!C:C,A219)&gt;0,SUMIFS(Estructuras!E:E,Estructuras!B:B,A$2,Estructuras!C:C,A219),C219*D219))</f>
        <v/>
      </c>
      <c r="F219" s="36"/>
      <c r="G219" s="36"/>
      <c r="H219" s="36"/>
      <c r="I219" s="36" t="str">
        <f t="shared" si="2"/>
        <v/>
      </c>
      <c r="J219" s="37" t="str">
        <f t="shared" si="3"/>
        <v/>
      </c>
      <c r="K219" s="38" t="str">
        <f>IF(L219="","",SUMIF(Productos!E:E,L219,Productos!A:A))</f>
        <v/>
      </c>
      <c r="M219" s="39"/>
    </row>
    <row r="220">
      <c r="A220" s="2" t="str">
        <f>IF(B220="","",SUMIF(Productos!E:E,B220,Productos!A:A))</f>
        <v/>
      </c>
      <c r="B220" s="40"/>
      <c r="C220" s="26" t="str">
        <f>IF(B220="","",SUMIF(Prearmados!E:E,B220,Prearmados!G:G))</f>
        <v/>
      </c>
      <c r="D220" s="19"/>
      <c r="E220" s="26" t="str">
        <f>IF(A220="","",IF(SUMIFS(Estructuras!E:E,Estructuras!B:B,A$2,Estructuras!C:C,A220)&gt;0,SUMIFS(Estructuras!E:E,Estructuras!B:B,A$2,Estructuras!C:C,A220),C220*D220))</f>
        <v/>
      </c>
      <c r="F220" s="36"/>
      <c r="G220" s="36"/>
      <c r="H220" s="36"/>
      <c r="I220" s="36" t="str">
        <f t="shared" si="2"/>
        <v/>
      </c>
      <c r="J220" s="37" t="str">
        <f t="shared" si="3"/>
        <v/>
      </c>
      <c r="K220" s="38" t="str">
        <f>IF(L220="","",SUMIF(Productos!E:E,L220,Productos!A:A))</f>
        <v/>
      </c>
      <c r="M220" s="39"/>
    </row>
    <row r="221">
      <c r="A221" s="2" t="str">
        <f>IF(B221="","",SUMIF(Productos!E:E,B221,Productos!A:A))</f>
        <v/>
      </c>
      <c r="B221" s="40"/>
      <c r="C221" s="26" t="str">
        <f>IF(B221="","",SUMIF(Prearmados!E:E,B221,Prearmados!G:G))</f>
        <v/>
      </c>
      <c r="D221" s="19"/>
      <c r="E221" s="26" t="str">
        <f>IF(A221="","",IF(SUMIFS(Estructuras!E:E,Estructuras!B:B,A$2,Estructuras!C:C,A221)&gt;0,SUMIFS(Estructuras!E:E,Estructuras!B:B,A$2,Estructuras!C:C,A221),C221*D221))</f>
        <v/>
      </c>
      <c r="F221" s="36"/>
      <c r="G221" s="36"/>
      <c r="H221" s="36"/>
      <c r="I221" s="36" t="str">
        <f t="shared" si="2"/>
        <v/>
      </c>
      <c r="J221" s="37" t="str">
        <f t="shared" si="3"/>
        <v/>
      </c>
      <c r="K221" s="38" t="str">
        <f>IF(L221="","",SUMIF(Productos!E:E,L221,Productos!A:A))</f>
        <v/>
      </c>
      <c r="M221" s="39"/>
    </row>
    <row r="222">
      <c r="A222" s="2" t="str">
        <f>IF(B222="","",SUMIF(Productos!E:E,B222,Productos!A:A))</f>
        <v/>
      </c>
      <c r="B222" s="40"/>
      <c r="C222" s="26" t="str">
        <f>IF(B222="","",SUMIF(Prearmados!E:E,B222,Prearmados!G:G))</f>
        <v/>
      </c>
      <c r="D222" s="19"/>
      <c r="E222" s="26" t="str">
        <f>IF(A222="","",IF(SUMIFS(Estructuras!E:E,Estructuras!B:B,A$2,Estructuras!C:C,A222)&gt;0,SUMIFS(Estructuras!E:E,Estructuras!B:B,A$2,Estructuras!C:C,A222),C222*D222))</f>
        <v/>
      </c>
      <c r="F222" s="36"/>
      <c r="G222" s="36"/>
      <c r="H222" s="36"/>
      <c r="I222" s="36" t="str">
        <f t="shared" si="2"/>
        <v/>
      </c>
      <c r="J222" s="37" t="str">
        <f t="shared" si="3"/>
        <v/>
      </c>
      <c r="K222" s="38" t="str">
        <f>IF(L222="","",SUMIF(Productos!E:E,L222,Productos!A:A))</f>
        <v/>
      </c>
      <c r="M222" s="39"/>
    </row>
    <row r="223">
      <c r="A223" s="2" t="str">
        <f>IF(B223="","",SUMIF(Productos!E:E,B223,Productos!A:A))</f>
        <v/>
      </c>
      <c r="B223" s="40"/>
      <c r="C223" s="26" t="str">
        <f>IF(B223="","",SUMIF(Prearmados!E:E,B223,Prearmados!G:G))</f>
        <v/>
      </c>
      <c r="D223" s="19"/>
      <c r="E223" s="26" t="str">
        <f>IF(A223="","",IF(SUMIFS(Estructuras!E:E,Estructuras!B:B,A$2,Estructuras!C:C,A223)&gt;0,SUMIFS(Estructuras!E:E,Estructuras!B:B,A$2,Estructuras!C:C,A223),C223*D223))</f>
        <v/>
      </c>
      <c r="F223" s="36"/>
      <c r="G223" s="36"/>
      <c r="H223" s="36"/>
      <c r="I223" s="36" t="str">
        <f t="shared" si="2"/>
        <v/>
      </c>
      <c r="J223" s="37" t="str">
        <f t="shared" si="3"/>
        <v/>
      </c>
      <c r="K223" s="38" t="str">
        <f>IF(L223="","",SUMIF(Productos!E:E,L223,Productos!A:A))</f>
        <v/>
      </c>
      <c r="M223" s="39"/>
    </row>
    <row r="224">
      <c r="A224" s="2" t="str">
        <f>IF(B224="","",SUMIF(Productos!E:E,B224,Productos!A:A))</f>
        <v/>
      </c>
      <c r="B224" s="40"/>
      <c r="C224" s="26" t="str">
        <f>IF(B224="","",SUMIF(Prearmados!E:E,B224,Prearmados!G:G))</f>
        <v/>
      </c>
      <c r="D224" s="19"/>
      <c r="E224" s="26" t="str">
        <f>IF(A224="","",IF(SUMIFS(Estructuras!E:E,Estructuras!B:B,A$2,Estructuras!C:C,A224)&gt;0,SUMIFS(Estructuras!E:E,Estructuras!B:B,A$2,Estructuras!C:C,A224),C224*D224))</f>
        <v/>
      </c>
      <c r="F224" s="36"/>
      <c r="G224" s="36"/>
      <c r="H224" s="36"/>
      <c r="I224" s="36" t="str">
        <f t="shared" si="2"/>
        <v/>
      </c>
      <c r="J224" s="37" t="str">
        <f t="shared" si="3"/>
        <v/>
      </c>
      <c r="K224" s="38" t="str">
        <f>IF(L224="","",SUMIF(Productos!E:E,L224,Productos!A:A))</f>
        <v/>
      </c>
      <c r="M224" s="39"/>
    </row>
    <row r="225">
      <c r="A225" s="2" t="str">
        <f>IF(B225="","",SUMIF(Productos!E:E,B225,Productos!A:A))</f>
        <v/>
      </c>
      <c r="B225" s="40"/>
      <c r="C225" s="26" t="str">
        <f>IF(B225="","",SUMIF(Prearmados!E:E,B225,Prearmados!G:G))</f>
        <v/>
      </c>
      <c r="D225" s="19"/>
      <c r="E225" s="26" t="str">
        <f>IF(A225="","",IF(SUMIFS(Estructuras!E:E,Estructuras!B:B,A$2,Estructuras!C:C,A225)&gt;0,SUMIFS(Estructuras!E:E,Estructuras!B:B,A$2,Estructuras!C:C,A225),C225*D225))</f>
        <v/>
      </c>
      <c r="F225" s="36"/>
      <c r="G225" s="36"/>
      <c r="H225" s="36"/>
      <c r="I225" s="36" t="str">
        <f t="shared" si="2"/>
        <v/>
      </c>
      <c r="J225" s="37" t="str">
        <f t="shared" si="3"/>
        <v/>
      </c>
      <c r="K225" s="38" t="str">
        <f>IF(L225="","",SUMIF(Productos!E:E,L225,Productos!A:A))</f>
        <v/>
      </c>
      <c r="M225" s="39"/>
    </row>
    <row r="226">
      <c r="A226" s="2" t="str">
        <f>IF(B226="","",SUMIF(Productos!E:E,B226,Productos!A:A))</f>
        <v/>
      </c>
      <c r="B226" s="40"/>
      <c r="C226" s="26" t="str">
        <f>IF(B226="","",SUMIF(Prearmados!E:E,B226,Prearmados!G:G))</f>
        <v/>
      </c>
      <c r="D226" s="19"/>
      <c r="E226" s="26" t="str">
        <f>IF(A226="","",IF(SUMIFS(Estructuras!E:E,Estructuras!B:B,A$2,Estructuras!C:C,A226)&gt;0,SUMIFS(Estructuras!E:E,Estructuras!B:B,A$2,Estructuras!C:C,A226),C226*D226))</f>
        <v/>
      </c>
      <c r="F226" s="36"/>
      <c r="G226" s="36"/>
      <c r="H226" s="36"/>
      <c r="I226" s="36" t="str">
        <f t="shared" si="2"/>
        <v/>
      </c>
      <c r="J226" s="37" t="str">
        <f t="shared" si="3"/>
        <v/>
      </c>
      <c r="K226" s="38" t="str">
        <f>IF(L226="","",SUMIF(Productos!E:E,L226,Productos!A:A))</f>
        <v/>
      </c>
      <c r="M226" s="39"/>
    </row>
    <row r="227">
      <c r="A227" s="2" t="str">
        <f>IF(B227="","",SUMIF(Productos!E:E,B227,Productos!A:A))</f>
        <v/>
      </c>
      <c r="B227" s="40"/>
      <c r="C227" s="26" t="str">
        <f>IF(B227="","",SUMIF(Prearmados!E:E,B227,Prearmados!G:G))</f>
        <v/>
      </c>
      <c r="D227" s="19"/>
      <c r="E227" s="26" t="str">
        <f>IF(A227="","",IF(SUMIFS(Estructuras!E:E,Estructuras!B:B,A$2,Estructuras!C:C,A227)&gt;0,SUMIFS(Estructuras!E:E,Estructuras!B:B,A$2,Estructuras!C:C,A227),C227*D227))</f>
        <v/>
      </c>
      <c r="F227" s="36"/>
      <c r="G227" s="36"/>
      <c r="H227" s="36"/>
      <c r="I227" s="36" t="str">
        <f t="shared" si="2"/>
        <v/>
      </c>
      <c r="J227" s="37" t="str">
        <f t="shared" si="3"/>
        <v/>
      </c>
      <c r="K227" s="38" t="str">
        <f>IF(L227="","",SUMIF(Productos!E:E,L227,Productos!A:A))</f>
        <v/>
      </c>
      <c r="M227" s="39"/>
    </row>
    <row r="228">
      <c r="A228" s="2" t="str">
        <f>IF(B228="","",SUMIF(Productos!E:E,B228,Productos!A:A))</f>
        <v/>
      </c>
      <c r="B228" s="40"/>
      <c r="C228" s="26" t="str">
        <f>IF(B228="","",SUMIF(Prearmados!E:E,B228,Prearmados!G:G))</f>
        <v/>
      </c>
      <c r="D228" s="19"/>
      <c r="E228" s="26" t="str">
        <f>IF(A228="","",IF(SUMIFS(Estructuras!E:E,Estructuras!B:B,A$2,Estructuras!C:C,A228)&gt;0,SUMIFS(Estructuras!E:E,Estructuras!B:B,A$2,Estructuras!C:C,A228),C228*D228))</f>
        <v/>
      </c>
      <c r="F228" s="36"/>
      <c r="G228" s="36"/>
      <c r="H228" s="36"/>
      <c r="I228" s="36" t="str">
        <f t="shared" si="2"/>
        <v/>
      </c>
      <c r="J228" s="37" t="str">
        <f t="shared" si="3"/>
        <v/>
      </c>
      <c r="K228" s="38" t="str">
        <f>IF(L228="","",SUMIF(Productos!E:E,L228,Productos!A:A))</f>
        <v/>
      </c>
      <c r="M228" s="39"/>
    </row>
    <row r="229">
      <c r="A229" s="2" t="str">
        <f>IF(B229="","",SUMIF(Productos!E:E,B229,Productos!A:A))</f>
        <v/>
      </c>
      <c r="B229" s="40"/>
      <c r="C229" s="26" t="str">
        <f>IF(B229="","",SUMIF(Prearmados!E:E,B229,Prearmados!G:G))</f>
        <v/>
      </c>
      <c r="D229" s="19"/>
      <c r="E229" s="26" t="str">
        <f>IF(A229="","",IF(SUMIFS(Estructuras!E:E,Estructuras!B:B,A$2,Estructuras!C:C,A229)&gt;0,SUMIFS(Estructuras!E:E,Estructuras!B:B,A$2,Estructuras!C:C,A229),C229*D229))</f>
        <v/>
      </c>
      <c r="F229" s="36"/>
      <c r="G229" s="36"/>
      <c r="H229" s="36"/>
      <c r="I229" s="36" t="str">
        <f t="shared" si="2"/>
        <v/>
      </c>
      <c r="J229" s="37" t="str">
        <f t="shared" si="3"/>
        <v/>
      </c>
      <c r="K229" s="38" t="str">
        <f>IF(L229="","",SUMIF(Productos!E:E,L229,Productos!A:A))</f>
        <v/>
      </c>
      <c r="M229" s="39"/>
    </row>
    <row r="230">
      <c r="A230" s="2" t="str">
        <f>IF(B230="","",SUMIF(Productos!E:E,B230,Productos!A:A))</f>
        <v/>
      </c>
      <c r="B230" s="40"/>
      <c r="C230" s="26" t="str">
        <f>IF(B230="","",SUMIF(Prearmados!E:E,B230,Prearmados!G:G))</f>
        <v/>
      </c>
      <c r="D230" s="19"/>
      <c r="E230" s="26" t="str">
        <f>IF(A230="","",IF(SUMIFS(Estructuras!E:E,Estructuras!B:B,A$2,Estructuras!C:C,A230)&gt;0,SUMIFS(Estructuras!E:E,Estructuras!B:B,A$2,Estructuras!C:C,A230),C230*D230))</f>
        <v/>
      </c>
      <c r="F230" s="36"/>
      <c r="G230" s="36"/>
      <c r="H230" s="36"/>
      <c r="I230" s="36" t="str">
        <f t="shared" si="2"/>
        <v/>
      </c>
      <c r="J230" s="37" t="str">
        <f t="shared" si="3"/>
        <v/>
      </c>
      <c r="K230" s="38" t="str">
        <f>IF(L230="","",SUMIF(Productos!E:E,L230,Productos!A:A))</f>
        <v/>
      </c>
      <c r="M230" s="39"/>
    </row>
    <row r="231">
      <c r="A231" s="2" t="str">
        <f>IF(B231="","",SUMIF(Productos!E:E,B231,Productos!A:A))</f>
        <v/>
      </c>
      <c r="B231" s="40"/>
      <c r="C231" s="26" t="str">
        <f>IF(B231="","",SUMIF(Prearmados!E:E,B231,Prearmados!G:G))</f>
        <v/>
      </c>
      <c r="D231" s="19"/>
      <c r="E231" s="26" t="str">
        <f>IF(A231="","",IF(SUMIFS(Estructuras!E:E,Estructuras!B:B,A$2,Estructuras!C:C,A231)&gt;0,SUMIFS(Estructuras!E:E,Estructuras!B:B,A$2,Estructuras!C:C,A231),C231*D231))</f>
        <v/>
      </c>
      <c r="F231" s="36"/>
      <c r="G231" s="36"/>
      <c r="H231" s="36"/>
      <c r="I231" s="36" t="str">
        <f t="shared" si="2"/>
        <v/>
      </c>
      <c r="J231" s="37" t="str">
        <f t="shared" si="3"/>
        <v/>
      </c>
      <c r="K231" s="38" t="str">
        <f>IF(L231="","",SUMIF(Productos!E:E,L231,Productos!A:A))</f>
        <v/>
      </c>
      <c r="M231" s="39"/>
    </row>
    <row r="232">
      <c r="A232" s="2" t="str">
        <f>IF(B232="","",SUMIF(Productos!E:E,B232,Productos!A:A))</f>
        <v/>
      </c>
      <c r="B232" s="40"/>
      <c r="C232" s="26" t="str">
        <f>IF(B232="","",SUMIF(Prearmados!E:E,B232,Prearmados!G:G))</f>
        <v/>
      </c>
      <c r="D232" s="19"/>
      <c r="E232" s="26" t="str">
        <f>IF(A232="","",IF(SUMIFS(Estructuras!E:E,Estructuras!B:B,A$2,Estructuras!C:C,A232)&gt;0,SUMIFS(Estructuras!E:E,Estructuras!B:B,A$2,Estructuras!C:C,A232),C232*D232))</f>
        <v/>
      </c>
      <c r="F232" s="36"/>
      <c r="G232" s="36"/>
      <c r="H232" s="36"/>
      <c r="I232" s="36" t="str">
        <f t="shared" si="2"/>
        <v/>
      </c>
      <c r="J232" s="37" t="str">
        <f t="shared" si="3"/>
        <v/>
      </c>
      <c r="K232" s="38" t="str">
        <f>IF(L232="","",SUMIF(Productos!E:E,L232,Productos!A:A))</f>
        <v/>
      </c>
      <c r="M232" s="39"/>
    </row>
    <row r="233">
      <c r="A233" s="2" t="str">
        <f>IF(B233="","",SUMIF(Productos!E:E,B233,Productos!A:A))</f>
        <v/>
      </c>
      <c r="B233" s="40"/>
      <c r="C233" s="26" t="str">
        <f>IF(B233="","",SUMIF(Prearmados!E:E,B233,Prearmados!G:G))</f>
        <v/>
      </c>
      <c r="D233" s="19"/>
      <c r="E233" s="26" t="str">
        <f>IF(A233="","",IF(SUMIFS(Estructuras!E:E,Estructuras!B:B,A$2,Estructuras!C:C,A233)&gt;0,SUMIFS(Estructuras!E:E,Estructuras!B:B,A$2,Estructuras!C:C,A233),C233*D233))</f>
        <v/>
      </c>
      <c r="F233" s="36"/>
      <c r="G233" s="36"/>
      <c r="H233" s="36"/>
      <c r="I233" s="36" t="str">
        <f t="shared" si="2"/>
        <v/>
      </c>
      <c r="J233" s="37" t="str">
        <f t="shared" si="3"/>
        <v/>
      </c>
      <c r="K233" s="38" t="str">
        <f>IF(L233="","",SUMIF(Productos!E:E,L233,Productos!A:A))</f>
        <v/>
      </c>
      <c r="M233" s="39"/>
    </row>
    <row r="234">
      <c r="A234" s="2" t="str">
        <f>IF(B234="","",SUMIF(Productos!E:E,B234,Productos!A:A))</f>
        <v/>
      </c>
      <c r="B234" s="40"/>
      <c r="C234" s="26" t="str">
        <f>IF(B234="","",SUMIF(Prearmados!E:E,B234,Prearmados!G:G))</f>
        <v/>
      </c>
      <c r="D234" s="19"/>
      <c r="E234" s="26" t="str">
        <f>IF(A234="","",IF(SUMIFS(Estructuras!E:E,Estructuras!B:B,A$2,Estructuras!C:C,A234)&gt;0,SUMIFS(Estructuras!E:E,Estructuras!B:B,A$2,Estructuras!C:C,A234),C234*D234))</f>
        <v/>
      </c>
      <c r="F234" s="36"/>
      <c r="G234" s="36"/>
      <c r="H234" s="36"/>
      <c r="I234" s="36" t="str">
        <f t="shared" si="2"/>
        <v/>
      </c>
      <c r="J234" s="37" t="str">
        <f t="shared" si="3"/>
        <v/>
      </c>
      <c r="K234" s="38" t="str">
        <f>IF(L234="","",SUMIF(Productos!E:E,L234,Productos!A:A))</f>
        <v/>
      </c>
      <c r="M234" s="39"/>
    </row>
    <row r="235">
      <c r="A235" s="2" t="str">
        <f>IF(B235="","",SUMIF(Productos!E:E,B235,Productos!A:A))</f>
        <v/>
      </c>
      <c r="B235" s="40"/>
      <c r="C235" s="26" t="str">
        <f>IF(B235="","",SUMIF(Prearmados!E:E,B235,Prearmados!G:G))</f>
        <v/>
      </c>
      <c r="D235" s="19"/>
      <c r="E235" s="26" t="str">
        <f>IF(A235="","",IF(SUMIFS(Estructuras!E:E,Estructuras!B:B,A$2,Estructuras!C:C,A235)&gt;0,SUMIFS(Estructuras!E:E,Estructuras!B:B,A$2,Estructuras!C:C,A235),C235*D235))</f>
        <v/>
      </c>
      <c r="F235" s="36"/>
      <c r="G235" s="36"/>
      <c r="H235" s="36"/>
      <c r="I235" s="36" t="str">
        <f t="shared" si="2"/>
        <v/>
      </c>
      <c r="J235" s="37" t="str">
        <f t="shared" si="3"/>
        <v/>
      </c>
      <c r="K235" s="38" t="str">
        <f>IF(L235="","",SUMIF(Productos!E:E,L235,Productos!A:A))</f>
        <v/>
      </c>
      <c r="M235" s="39"/>
    </row>
    <row r="236">
      <c r="A236" s="2" t="str">
        <f>IF(B236="","",SUMIF(Productos!E:E,B236,Productos!A:A))</f>
        <v/>
      </c>
      <c r="B236" s="40"/>
      <c r="C236" s="26" t="str">
        <f>IF(B236="","",SUMIF(Prearmados!E:E,B236,Prearmados!G:G))</f>
        <v/>
      </c>
      <c r="D236" s="19"/>
      <c r="E236" s="26" t="str">
        <f>IF(A236="","",IF(SUMIFS(Estructuras!E:E,Estructuras!B:B,A$2,Estructuras!C:C,A236)&gt;0,SUMIFS(Estructuras!E:E,Estructuras!B:B,A$2,Estructuras!C:C,A236),C236*D236))</f>
        <v/>
      </c>
      <c r="F236" s="36"/>
      <c r="G236" s="36"/>
      <c r="H236" s="36"/>
      <c r="I236" s="36" t="str">
        <f t="shared" si="2"/>
        <v/>
      </c>
      <c r="J236" s="37" t="str">
        <f t="shared" si="3"/>
        <v/>
      </c>
      <c r="K236" s="38" t="str">
        <f>IF(L236="","",SUMIF(Productos!E:E,L236,Productos!A:A))</f>
        <v/>
      </c>
      <c r="M236" s="39"/>
    </row>
    <row r="237">
      <c r="A237" s="2" t="str">
        <f>IF(B237="","",SUMIF(Productos!E:E,B237,Productos!A:A))</f>
        <v/>
      </c>
      <c r="B237" s="40"/>
      <c r="C237" s="26" t="str">
        <f>IF(B237="","",SUMIF(Prearmados!E:E,B237,Prearmados!G:G))</f>
        <v/>
      </c>
      <c r="D237" s="19"/>
      <c r="E237" s="26" t="str">
        <f>IF(A237="","",IF(SUMIFS(Estructuras!E:E,Estructuras!B:B,A$2,Estructuras!C:C,A237)&gt;0,SUMIFS(Estructuras!E:E,Estructuras!B:B,A$2,Estructuras!C:C,A237),C237*D237))</f>
        <v/>
      </c>
      <c r="F237" s="36"/>
      <c r="G237" s="36"/>
      <c r="H237" s="36"/>
      <c r="I237" s="36" t="str">
        <f t="shared" si="2"/>
        <v/>
      </c>
      <c r="J237" s="37" t="str">
        <f t="shared" si="3"/>
        <v/>
      </c>
      <c r="K237" s="38" t="str">
        <f>IF(L237="","",SUMIF(Productos!E:E,L237,Productos!A:A))</f>
        <v/>
      </c>
      <c r="M237" s="39"/>
    </row>
    <row r="238">
      <c r="A238" s="2" t="str">
        <f>IF(B238="","",SUMIF(Productos!E:E,B238,Productos!A:A))</f>
        <v/>
      </c>
      <c r="B238" s="40"/>
      <c r="C238" s="26" t="str">
        <f>IF(B238="","",SUMIF(Prearmados!E:E,B238,Prearmados!G:G))</f>
        <v/>
      </c>
      <c r="D238" s="19"/>
      <c r="E238" s="26" t="str">
        <f>IF(A238="","",IF(SUMIFS(Estructuras!E:E,Estructuras!B:B,A$2,Estructuras!C:C,A238)&gt;0,SUMIFS(Estructuras!E:E,Estructuras!B:B,A$2,Estructuras!C:C,A238),C238*D238))</f>
        <v/>
      </c>
      <c r="F238" s="36"/>
      <c r="G238" s="36"/>
      <c r="H238" s="36"/>
      <c r="I238" s="36" t="str">
        <f t="shared" si="2"/>
        <v/>
      </c>
      <c r="J238" s="37" t="str">
        <f t="shared" si="3"/>
        <v/>
      </c>
      <c r="K238" s="38" t="str">
        <f>IF(L238="","",SUMIF(Productos!E:E,L238,Productos!A:A))</f>
        <v/>
      </c>
      <c r="M238" s="39"/>
    </row>
    <row r="239">
      <c r="A239" s="2" t="str">
        <f>IF(B239="","",SUMIF(Productos!E:E,B239,Productos!A:A))</f>
        <v/>
      </c>
      <c r="B239" s="40"/>
      <c r="C239" s="26" t="str">
        <f>IF(B239="","",SUMIF(Prearmados!E:E,B239,Prearmados!G:G))</f>
        <v/>
      </c>
      <c r="D239" s="19"/>
      <c r="E239" s="26" t="str">
        <f>IF(A239="","",IF(SUMIFS(Estructuras!E:E,Estructuras!B:B,A$2,Estructuras!C:C,A239)&gt;0,SUMIFS(Estructuras!E:E,Estructuras!B:B,A$2,Estructuras!C:C,A239),C239*D239))</f>
        <v/>
      </c>
      <c r="F239" s="36"/>
      <c r="G239" s="36"/>
      <c r="H239" s="36"/>
      <c r="I239" s="36" t="str">
        <f t="shared" si="2"/>
        <v/>
      </c>
      <c r="J239" s="37" t="str">
        <f t="shared" si="3"/>
        <v/>
      </c>
      <c r="K239" s="38" t="str">
        <f>IF(L239="","",SUMIF(Productos!E:E,L239,Productos!A:A))</f>
        <v/>
      </c>
      <c r="M239" s="39"/>
    </row>
    <row r="240">
      <c r="A240" s="2" t="str">
        <f>IF(B240="","",SUMIF(Productos!E:E,B240,Productos!A:A))</f>
        <v/>
      </c>
      <c r="B240" s="40"/>
      <c r="C240" s="26" t="str">
        <f>IF(B240="","",SUMIF(Prearmados!E:E,B240,Prearmados!G:G))</f>
        <v/>
      </c>
      <c r="D240" s="19"/>
      <c r="E240" s="26" t="str">
        <f>IF(A240="","",IF(SUMIFS(Estructuras!E:E,Estructuras!B:B,A$2,Estructuras!C:C,A240)&gt;0,SUMIFS(Estructuras!E:E,Estructuras!B:B,A$2,Estructuras!C:C,A240),C240*D240))</f>
        <v/>
      </c>
      <c r="F240" s="36"/>
      <c r="G240" s="36"/>
      <c r="H240" s="36"/>
      <c r="I240" s="36" t="str">
        <f t="shared" si="2"/>
        <v/>
      </c>
      <c r="J240" s="37" t="str">
        <f t="shared" si="3"/>
        <v/>
      </c>
      <c r="K240" s="38" t="str">
        <f>IF(L240="","",SUMIF(Productos!E:E,L240,Productos!A:A))</f>
        <v/>
      </c>
      <c r="M240" s="39"/>
    </row>
    <row r="241">
      <c r="A241" s="2" t="str">
        <f>IF(B241="","",SUMIF(Productos!E:E,B241,Productos!A:A))</f>
        <v/>
      </c>
      <c r="B241" s="40"/>
      <c r="C241" s="26" t="str">
        <f>IF(B241="","",SUMIF(Prearmados!E:E,B241,Prearmados!G:G))</f>
        <v/>
      </c>
      <c r="D241" s="19"/>
      <c r="E241" s="26" t="str">
        <f>IF(A241="","",IF(SUMIFS(Estructuras!E:E,Estructuras!B:B,A$2,Estructuras!C:C,A241)&gt;0,SUMIFS(Estructuras!E:E,Estructuras!B:B,A$2,Estructuras!C:C,A241),C241*D241))</f>
        <v/>
      </c>
      <c r="F241" s="36"/>
      <c r="G241" s="36"/>
      <c r="H241" s="36"/>
      <c r="I241" s="36" t="str">
        <f t="shared" si="2"/>
        <v/>
      </c>
      <c r="J241" s="37" t="str">
        <f t="shared" si="3"/>
        <v/>
      </c>
      <c r="K241" s="38" t="str">
        <f>IF(L241="","",SUMIF(Productos!E:E,L241,Productos!A:A))</f>
        <v/>
      </c>
      <c r="M241" s="39"/>
    </row>
    <row r="242">
      <c r="A242" s="2" t="str">
        <f>IF(B242="","",SUMIF(Productos!E:E,B242,Productos!A:A))</f>
        <v/>
      </c>
      <c r="B242" s="40"/>
      <c r="C242" s="26" t="str">
        <f>IF(B242="","",SUMIF(Prearmados!E:E,B242,Prearmados!G:G))</f>
        <v/>
      </c>
      <c r="D242" s="19"/>
      <c r="E242" s="26" t="str">
        <f>IF(A242="","",IF(SUMIFS(Estructuras!E:E,Estructuras!B:B,A$2,Estructuras!C:C,A242)&gt;0,SUMIFS(Estructuras!E:E,Estructuras!B:B,A$2,Estructuras!C:C,A242),C242*D242))</f>
        <v/>
      </c>
      <c r="F242" s="36"/>
      <c r="G242" s="36"/>
      <c r="H242" s="36"/>
      <c r="I242" s="36" t="str">
        <f t="shared" si="2"/>
        <v/>
      </c>
      <c r="J242" s="37" t="str">
        <f t="shared" si="3"/>
        <v/>
      </c>
      <c r="K242" s="38" t="str">
        <f>IF(L242="","",SUMIF(Productos!E:E,L242,Productos!A:A))</f>
        <v/>
      </c>
      <c r="M242" s="39"/>
    </row>
    <row r="243">
      <c r="A243" s="2" t="str">
        <f>IF(B243="","",SUMIF(Productos!E:E,B243,Productos!A:A))</f>
        <v/>
      </c>
      <c r="B243" s="40"/>
      <c r="C243" s="26" t="str">
        <f>IF(B243="","",SUMIF(Prearmados!E:E,B243,Prearmados!G:G))</f>
        <v/>
      </c>
      <c r="D243" s="19"/>
      <c r="E243" s="26" t="str">
        <f>IF(A243="","",IF(SUMIFS(Estructuras!E:E,Estructuras!B:B,A$2,Estructuras!C:C,A243)&gt;0,SUMIFS(Estructuras!E:E,Estructuras!B:B,A$2,Estructuras!C:C,A243),C243*D243))</f>
        <v/>
      </c>
      <c r="F243" s="36"/>
      <c r="G243" s="36"/>
      <c r="H243" s="36"/>
      <c r="I243" s="36" t="str">
        <f t="shared" si="2"/>
        <v/>
      </c>
      <c r="J243" s="37" t="str">
        <f t="shared" si="3"/>
        <v/>
      </c>
      <c r="K243" s="38" t="str">
        <f>IF(L243="","",SUMIF(Productos!E:E,L243,Productos!A:A))</f>
        <v/>
      </c>
      <c r="M243" s="39"/>
    </row>
    <row r="244">
      <c r="A244" s="2" t="str">
        <f>IF(B244="","",SUMIF(Productos!E:E,B244,Productos!A:A))</f>
        <v/>
      </c>
      <c r="B244" s="40"/>
      <c r="C244" s="26" t="str">
        <f>IF(B244="","",SUMIF(Prearmados!E:E,B244,Prearmados!G:G))</f>
        <v/>
      </c>
      <c r="D244" s="19"/>
      <c r="E244" s="26" t="str">
        <f>IF(A244="","",IF(SUMIFS(Estructuras!E:E,Estructuras!B:B,A$2,Estructuras!C:C,A244)&gt;0,SUMIFS(Estructuras!E:E,Estructuras!B:B,A$2,Estructuras!C:C,A244),C244*D244))</f>
        <v/>
      </c>
      <c r="F244" s="36"/>
      <c r="G244" s="36"/>
      <c r="H244" s="36"/>
      <c r="I244" s="36" t="str">
        <f t="shared" si="2"/>
        <v/>
      </c>
      <c r="J244" s="37" t="str">
        <f t="shared" si="3"/>
        <v/>
      </c>
      <c r="K244" s="38" t="str">
        <f>IF(L244="","",SUMIF(Productos!E:E,L244,Productos!A:A))</f>
        <v/>
      </c>
      <c r="M244" s="39"/>
    </row>
    <row r="245">
      <c r="A245" s="2" t="str">
        <f>IF(B245="","",SUMIF(Productos!E:E,B245,Productos!A:A))</f>
        <v/>
      </c>
      <c r="B245" s="40"/>
      <c r="C245" s="26" t="str">
        <f>IF(B245="","",SUMIF(Prearmados!E:E,B245,Prearmados!G:G))</f>
        <v/>
      </c>
      <c r="D245" s="19"/>
      <c r="E245" s="26" t="str">
        <f>IF(A245="","",IF(SUMIFS(Estructuras!E:E,Estructuras!B:B,A$2,Estructuras!C:C,A245)&gt;0,SUMIFS(Estructuras!E:E,Estructuras!B:B,A$2,Estructuras!C:C,A245),C245*D245))</f>
        <v/>
      </c>
      <c r="F245" s="36"/>
      <c r="G245" s="36"/>
      <c r="H245" s="36"/>
      <c r="I245" s="36" t="str">
        <f t="shared" si="2"/>
        <v/>
      </c>
      <c r="J245" s="37" t="str">
        <f t="shared" si="3"/>
        <v/>
      </c>
      <c r="K245" s="38" t="str">
        <f>IF(L245="","",SUMIF(Productos!E:E,L245,Productos!A:A))</f>
        <v/>
      </c>
      <c r="M245" s="39"/>
    </row>
    <row r="246">
      <c r="A246" s="2" t="str">
        <f>IF(B246="","",SUMIF(Productos!E:E,B246,Productos!A:A))</f>
        <v/>
      </c>
      <c r="B246" s="40"/>
      <c r="C246" s="26" t="str">
        <f>IF(B246="","",SUMIF(Prearmados!E:E,B246,Prearmados!G:G))</f>
        <v/>
      </c>
      <c r="D246" s="19"/>
      <c r="E246" s="26" t="str">
        <f>IF(A246="","",IF(SUMIFS(Estructuras!E:E,Estructuras!B:B,A$2,Estructuras!C:C,A246)&gt;0,SUMIFS(Estructuras!E:E,Estructuras!B:B,A$2,Estructuras!C:C,A246),C246*D246))</f>
        <v/>
      </c>
      <c r="F246" s="36"/>
      <c r="G246" s="36"/>
      <c r="H246" s="36"/>
      <c r="I246" s="36" t="str">
        <f t="shared" si="2"/>
        <v/>
      </c>
      <c r="J246" s="37" t="str">
        <f t="shared" si="3"/>
        <v/>
      </c>
      <c r="K246" s="38" t="str">
        <f>IF(L246="","",SUMIF(Productos!E:E,L246,Productos!A:A))</f>
        <v/>
      </c>
      <c r="M246" s="39"/>
    </row>
    <row r="247">
      <c r="A247" s="2" t="str">
        <f>IF(B247="","",SUMIF(Productos!E:E,B247,Productos!A:A))</f>
        <v/>
      </c>
      <c r="B247" s="40"/>
      <c r="C247" s="26" t="str">
        <f>IF(B247="","",SUMIF(Prearmados!E:E,B247,Prearmados!G:G))</f>
        <v/>
      </c>
      <c r="D247" s="19"/>
      <c r="E247" s="26" t="str">
        <f>IF(A247="","",IF(SUMIFS(Estructuras!E:E,Estructuras!B:B,A$2,Estructuras!C:C,A247)&gt;0,SUMIFS(Estructuras!E:E,Estructuras!B:B,A$2,Estructuras!C:C,A247),C247*D247))</f>
        <v/>
      </c>
      <c r="F247" s="36"/>
      <c r="G247" s="36"/>
      <c r="H247" s="36"/>
      <c r="I247" s="36" t="str">
        <f t="shared" si="2"/>
        <v/>
      </c>
      <c r="J247" s="37" t="str">
        <f t="shared" si="3"/>
        <v/>
      </c>
      <c r="K247" s="38" t="str">
        <f>IF(L247="","",SUMIF(Productos!E:E,L247,Productos!A:A))</f>
        <v/>
      </c>
      <c r="M247" s="39"/>
    </row>
    <row r="248">
      <c r="A248" s="2" t="str">
        <f>IF(B248="","",SUMIF(Productos!E:E,B248,Productos!A:A))</f>
        <v/>
      </c>
      <c r="B248" s="40"/>
      <c r="C248" s="26" t="str">
        <f>IF(B248="","",SUMIF(Prearmados!E:E,B248,Prearmados!G:G))</f>
        <v/>
      </c>
      <c r="D248" s="19"/>
      <c r="E248" s="26" t="str">
        <f>IF(A248="","",IF(SUMIFS(Estructuras!E:E,Estructuras!B:B,A$2,Estructuras!C:C,A248)&gt;0,SUMIFS(Estructuras!E:E,Estructuras!B:B,A$2,Estructuras!C:C,A248),C248*D248))</f>
        <v/>
      </c>
      <c r="F248" s="36"/>
      <c r="G248" s="36"/>
      <c r="H248" s="36"/>
      <c r="I248" s="36" t="str">
        <f t="shared" si="2"/>
        <v/>
      </c>
      <c r="J248" s="37" t="str">
        <f t="shared" si="3"/>
        <v/>
      </c>
      <c r="K248" s="38" t="str">
        <f>IF(L248="","",SUMIF(Productos!E:E,L248,Productos!A:A))</f>
        <v/>
      </c>
      <c r="M248" s="39"/>
    </row>
    <row r="249">
      <c r="A249" s="2" t="str">
        <f>IF(B249="","",SUMIF(Productos!E:E,B249,Productos!A:A))</f>
        <v/>
      </c>
      <c r="B249" s="40"/>
      <c r="C249" s="26" t="str">
        <f>IF(B249="","",SUMIF(Prearmados!E:E,B249,Prearmados!G:G))</f>
        <v/>
      </c>
      <c r="D249" s="19"/>
      <c r="E249" s="26" t="str">
        <f>IF(A249="","",IF(SUMIFS(Estructuras!E:E,Estructuras!B:B,A$2,Estructuras!C:C,A249)&gt;0,SUMIFS(Estructuras!E:E,Estructuras!B:B,A$2,Estructuras!C:C,A249),C249*D249))</f>
        <v/>
      </c>
      <c r="F249" s="36"/>
      <c r="G249" s="36"/>
      <c r="H249" s="36"/>
      <c r="I249" s="36" t="str">
        <f t="shared" si="2"/>
        <v/>
      </c>
      <c r="J249" s="37" t="str">
        <f t="shared" si="3"/>
        <v/>
      </c>
      <c r="K249" s="38" t="str">
        <f>IF(L249="","",SUMIF(Productos!E:E,L249,Productos!A:A))</f>
        <v/>
      </c>
      <c r="M249" s="39"/>
    </row>
    <row r="250">
      <c r="A250" s="2" t="str">
        <f>IF(B250="","",SUMIF(Productos!E:E,B250,Productos!A:A))</f>
        <v/>
      </c>
      <c r="B250" s="40"/>
      <c r="C250" s="26" t="str">
        <f>IF(B250="","",SUMIF(Prearmados!E:E,B250,Prearmados!G:G))</f>
        <v/>
      </c>
      <c r="D250" s="19"/>
      <c r="E250" s="26" t="str">
        <f>IF(A250="","",IF(SUMIFS(Estructuras!E:E,Estructuras!B:B,A$2,Estructuras!C:C,A250)&gt;0,SUMIFS(Estructuras!E:E,Estructuras!B:B,A$2,Estructuras!C:C,A250),C250*D250))</f>
        <v/>
      </c>
      <c r="F250" s="36"/>
      <c r="G250" s="36"/>
      <c r="H250" s="36"/>
      <c r="I250" s="36" t="str">
        <f t="shared" si="2"/>
        <v/>
      </c>
      <c r="J250" s="37" t="str">
        <f t="shared" si="3"/>
        <v/>
      </c>
      <c r="K250" s="38" t="str">
        <f>IF(L250="","",SUMIF(Productos!E:E,L250,Productos!A:A))</f>
        <v/>
      </c>
      <c r="M250" s="39"/>
    </row>
    <row r="251">
      <c r="A251" s="2" t="str">
        <f>IF(B251="","",SUMIF(Productos!E:E,B251,Productos!A:A))</f>
        <v/>
      </c>
      <c r="B251" s="40"/>
      <c r="C251" s="26" t="str">
        <f>IF(B251="","",SUMIF(Prearmados!E:E,B251,Prearmados!G:G))</f>
        <v/>
      </c>
      <c r="D251" s="19"/>
      <c r="E251" s="26" t="str">
        <f>IF(A251="","",IF(SUMIFS(Estructuras!E:E,Estructuras!B:B,A$2,Estructuras!C:C,A251)&gt;0,SUMIFS(Estructuras!E:E,Estructuras!B:B,A$2,Estructuras!C:C,A251),C251*D251))</f>
        <v/>
      </c>
      <c r="F251" s="36"/>
      <c r="G251" s="36"/>
      <c r="H251" s="36"/>
      <c r="I251" s="36" t="str">
        <f t="shared" si="2"/>
        <v/>
      </c>
      <c r="J251" s="37" t="str">
        <f t="shared" si="3"/>
        <v/>
      </c>
      <c r="K251" s="38" t="str">
        <f>IF(L251="","",SUMIF(Productos!E:E,L251,Productos!A:A))</f>
        <v/>
      </c>
      <c r="M251" s="39"/>
    </row>
    <row r="252">
      <c r="A252" s="2" t="str">
        <f>IF(B252="","",SUMIF(Productos!E:E,B252,Productos!A:A))</f>
        <v/>
      </c>
      <c r="B252" s="40"/>
      <c r="C252" s="26" t="str">
        <f>IF(B252="","",SUMIF(Prearmados!E:E,B252,Prearmados!G:G))</f>
        <v/>
      </c>
      <c r="D252" s="19"/>
      <c r="E252" s="26" t="str">
        <f>IF(A252="","",IF(SUMIFS(Estructuras!E:E,Estructuras!B:B,A$2,Estructuras!C:C,A252)&gt;0,SUMIFS(Estructuras!E:E,Estructuras!B:B,A$2,Estructuras!C:C,A252),C252*D252))</f>
        <v/>
      </c>
      <c r="F252" s="36"/>
      <c r="G252" s="36"/>
      <c r="H252" s="36"/>
      <c r="I252" s="36" t="str">
        <f t="shared" si="2"/>
        <v/>
      </c>
      <c r="J252" s="37" t="str">
        <f t="shared" si="3"/>
        <v/>
      </c>
      <c r="K252" s="38" t="str">
        <f>IF(L252="","",SUMIF(Productos!E:E,L252,Productos!A:A))</f>
        <v/>
      </c>
      <c r="M252" s="39"/>
    </row>
    <row r="253">
      <c r="A253" s="2" t="str">
        <f>IF(B253="","",SUMIF(Productos!E:E,B253,Productos!A:A))</f>
        <v/>
      </c>
      <c r="B253" s="40"/>
      <c r="C253" s="26" t="str">
        <f>IF(B253="","",SUMIF(Prearmados!E:E,B253,Prearmados!G:G))</f>
        <v/>
      </c>
      <c r="D253" s="19"/>
      <c r="E253" s="26" t="str">
        <f>IF(A253="","",IF(SUMIFS(Estructuras!E:E,Estructuras!B:B,A$2,Estructuras!C:C,A253)&gt;0,SUMIFS(Estructuras!E:E,Estructuras!B:B,A$2,Estructuras!C:C,A253),C253*D253))</f>
        <v/>
      </c>
      <c r="F253" s="36"/>
      <c r="G253" s="36"/>
      <c r="H253" s="36"/>
      <c r="I253" s="36" t="str">
        <f t="shared" si="2"/>
        <v/>
      </c>
      <c r="J253" s="37" t="str">
        <f t="shared" si="3"/>
        <v/>
      </c>
      <c r="K253" s="38" t="str">
        <f>IF(L253="","",SUMIF(Productos!E:E,L253,Productos!A:A))</f>
        <v/>
      </c>
      <c r="M253" s="39"/>
    </row>
    <row r="254">
      <c r="A254" s="2" t="str">
        <f>IF(B254="","",SUMIF(Productos!E:E,B254,Productos!A:A))</f>
        <v/>
      </c>
      <c r="B254" s="40"/>
      <c r="C254" s="26" t="str">
        <f>IF(B254="","",SUMIF(Prearmados!E:E,B254,Prearmados!G:G))</f>
        <v/>
      </c>
      <c r="D254" s="19"/>
      <c r="E254" s="26" t="str">
        <f>IF(A254="","",IF(SUMIFS(Estructuras!E:E,Estructuras!B:B,A$2,Estructuras!C:C,A254)&gt;0,SUMIFS(Estructuras!E:E,Estructuras!B:B,A$2,Estructuras!C:C,A254),C254*D254))</f>
        <v/>
      </c>
      <c r="F254" s="36"/>
      <c r="G254" s="36"/>
      <c r="H254" s="36"/>
      <c r="I254" s="36" t="str">
        <f t="shared" si="2"/>
        <v/>
      </c>
      <c r="J254" s="37" t="str">
        <f t="shared" si="3"/>
        <v/>
      </c>
      <c r="K254" s="38" t="str">
        <f>IF(L254="","",SUMIF(Productos!E:E,L254,Productos!A:A))</f>
        <v/>
      </c>
      <c r="M254" s="39"/>
    </row>
    <row r="255">
      <c r="A255" s="2" t="str">
        <f>IF(B255="","",SUMIF(Productos!E:E,B255,Productos!A:A))</f>
        <v/>
      </c>
      <c r="B255" s="40"/>
      <c r="C255" s="26" t="str">
        <f>IF(B255="","",SUMIF(Prearmados!E:E,B255,Prearmados!G:G))</f>
        <v/>
      </c>
      <c r="D255" s="19"/>
      <c r="E255" s="26" t="str">
        <f>IF(A255="","",IF(SUMIFS(Estructuras!E:E,Estructuras!B:B,A$2,Estructuras!C:C,A255)&gt;0,SUMIFS(Estructuras!E:E,Estructuras!B:B,A$2,Estructuras!C:C,A255),C255*D255))</f>
        <v/>
      </c>
      <c r="F255" s="36"/>
      <c r="G255" s="36"/>
      <c r="H255" s="36"/>
      <c r="I255" s="36" t="str">
        <f t="shared" si="2"/>
        <v/>
      </c>
      <c r="J255" s="37" t="str">
        <f t="shared" si="3"/>
        <v/>
      </c>
      <c r="K255" s="38" t="str">
        <f>IF(L255="","",SUMIF(Productos!E:E,L255,Productos!A:A))</f>
        <v/>
      </c>
      <c r="M255" s="39"/>
    </row>
    <row r="256">
      <c r="A256" s="2" t="str">
        <f>IF(B256="","",SUMIF(Productos!E:E,B256,Productos!A:A))</f>
        <v/>
      </c>
      <c r="B256" s="40"/>
      <c r="C256" s="26" t="str">
        <f>IF(B256="","",SUMIF(Prearmados!E:E,B256,Prearmados!G:G))</f>
        <v/>
      </c>
      <c r="D256" s="19"/>
      <c r="E256" s="26" t="str">
        <f>IF(A256="","",IF(SUMIFS(Estructuras!E:E,Estructuras!B:B,A$2,Estructuras!C:C,A256)&gt;0,SUMIFS(Estructuras!E:E,Estructuras!B:B,A$2,Estructuras!C:C,A256),C256*D256))</f>
        <v/>
      </c>
      <c r="F256" s="36"/>
      <c r="G256" s="36"/>
      <c r="H256" s="36"/>
      <c r="I256" s="36" t="str">
        <f t="shared" si="2"/>
        <v/>
      </c>
      <c r="J256" s="37" t="str">
        <f t="shared" si="3"/>
        <v/>
      </c>
      <c r="K256" s="38" t="str">
        <f>IF(L256="","",SUMIF(Productos!E:E,L256,Productos!A:A))</f>
        <v/>
      </c>
      <c r="M256" s="39"/>
    </row>
    <row r="257">
      <c r="A257" s="2" t="str">
        <f>IF(B257="","",SUMIF(Productos!E:E,B257,Productos!A:A))</f>
        <v/>
      </c>
      <c r="B257" s="40"/>
      <c r="C257" s="26" t="str">
        <f>IF(B257="","",SUMIF(Prearmados!E:E,B257,Prearmados!G:G))</f>
        <v/>
      </c>
      <c r="D257" s="19"/>
      <c r="E257" s="26" t="str">
        <f>IF(A257="","",IF(SUMIFS(Estructuras!E:E,Estructuras!B:B,A$2,Estructuras!C:C,A257)&gt;0,SUMIFS(Estructuras!E:E,Estructuras!B:B,A$2,Estructuras!C:C,A257),C257*D257))</f>
        <v/>
      </c>
      <c r="F257" s="36"/>
      <c r="G257" s="36"/>
      <c r="H257" s="36"/>
      <c r="I257" s="36" t="str">
        <f t="shared" si="2"/>
        <v/>
      </c>
      <c r="J257" s="37" t="str">
        <f t="shared" si="3"/>
        <v/>
      </c>
      <c r="K257" s="38" t="str">
        <f>IF(L257="","",SUMIF(Productos!E:E,L257,Productos!A:A))</f>
        <v/>
      </c>
      <c r="M257" s="39"/>
    </row>
    <row r="258">
      <c r="A258" s="2" t="str">
        <f>IF(B258="","",SUMIF(Productos!E:E,B258,Productos!A:A))</f>
        <v/>
      </c>
      <c r="B258" s="40"/>
      <c r="C258" s="26" t="str">
        <f>IF(B258="","",SUMIF(Prearmados!E:E,B258,Prearmados!G:G))</f>
        <v/>
      </c>
      <c r="D258" s="19"/>
      <c r="E258" s="26" t="str">
        <f>IF(A258="","",IF(SUMIFS(Estructuras!E:E,Estructuras!B:B,A$2,Estructuras!C:C,A258)&gt;0,SUMIFS(Estructuras!E:E,Estructuras!B:B,A$2,Estructuras!C:C,A258),C258*D258))</f>
        <v/>
      </c>
      <c r="F258" s="36"/>
      <c r="G258" s="36"/>
      <c r="H258" s="36"/>
      <c r="I258" s="36" t="str">
        <f t="shared" si="2"/>
        <v/>
      </c>
      <c r="J258" s="37" t="str">
        <f t="shared" si="3"/>
        <v/>
      </c>
      <c r="K258" s="38" t="str">
        <f>IF(L258="","",SUMIF(Productos!E:E,L258,Productos!A:A))</f>
        <v/>
      </c>
      <c r="M258" s="39"/>
    </row>
    <row r="259">
      <c r="A259" s="2" t="str">
        <f>IF(B259="","",SUMIF(Productos!E:E,B259,Productos!A:A))</f>
        <v/>
      </c>
      <c r="B259" s="40"/>
      <c r="C259" s="26" t="str">
        <f>IF(B259="","",SUMIF(Prearmados!E:E,B259,Prearmados!G:G))</f>
        <v/>
      </c>
      <c r="D259" s="19"/>
      <c r="E259" s="26" t="str">
        <f>IF(A259="","",IF(SUMIFS(Estructuras!E:E,Estructuras!B:B,A$2,Estructuras!C:C,A259)&gt;0,SUMIFS(Estructuras!E:E,Estructuras!B:B,A$2,Estructuras!C:C,A259),C259*D259))</f>
        <v/>
      </c>
      <c r="F259" s="36"/>
      <c r="G259" s="36"/>
      <c r="H259" s="36"/>
      <c r="I259" s="36" t="str">
        <f t="shared" si="2"/>
        <v/>
      </c>
      <c r="J259" s="37" t="str">
        <f t="shared" si="3"/>
        <v/>
      </c>
      <c r="K259" s="38" t="str">
        <f>IF(L259="","",SUMIF(Productos!E:E,L259,Productos!A:A))</f>
        <v/>
      </c>
      <c r="M259" s="39"/>
    </row>
    <row r="260">
      <c r="A260" s="2" t="str">
        <f>IF(B260="","",SUMIF(Productos!E:E,B260,Productos!A:A))</f>
        <v/>
      </c>
      <c r="B260" s="40"/>
      <c r="C260" s="26" t="str">
        <f>IF(B260="","",SUMIF(Prearmados!E:E,B260,Prearmados!G:G))</f>
        <v/>
      </c>
      <c r="D260" s="19"/>
      <c r="E260" s="26" t="str">
        <f>IF(A260="","",IF(SUMIFS(Estructuras!E:E,Estructuras!B:B,A$2,Estructuras!C:C,A260)&gt;0,SUMIFS(Estructuras!E:E,Estructuras!B:B,A$2,Estructuras!C:C,A260),C260*D260))</f>
        <v/>
      </c>
      <c r="F260" s="36"/>
      <c r="G260" s="36"/>
      <c r="H260" s="36"/>
      <c r="I260" s="36" t="str">
        <f t="shared" si="2"/>
        <v/>
      </c>
      <c r="J260" s="37" t="str">
        <f t="shared" si="3"/>
        <v/>
      </c>
      <c r="K260" s="38" t="str">
        <f>IF(L260="","",SUMIF(Productos!E:E,L260,Productos!A:A))</f>
        <v/>
      </c>
      <c r="M260" s="39"/>
    </row>
    <row r="261">
      <c r="A261" s="2" t="str">
        <f>IF(B261="","",SUMIF(Productos!E:E,B261,Productos!A:A))</f>
        <v/>
      </c>
      <c r="B261" s="40"/>
      <c r="C261" s="26" t="str">
        <f>IF(B261="","",SUMIF(Prearmados!E:E,B261,Prearmados!G:G))</f>
        <v/>
      </c>
      <c r="D261" s="19"/>
      <c r="E261" s="26" t="str">
        <f>IF(A261="","",IF(SUMIFS(Estructuras!E:E,Estructuras!B:B,A$2,Estructuras!C:C,A261)&gt;0,SUMIFS(Estructuras!E:E,Estructuras!B:B,A$2,Estructuras!C:C,A261),C261*D261))</f>
        <v/>
      </c>
      <c r="F261" s="36"/>
      <c r="G261" s="36"/>
      <c r="H261" s="36"/>
      <c r="I261" s="36" t="str">
        <f t="shared" si="2"/>
        <v/>
      </c>
      <c r="J261" s="37" t="str">
        <f t="shared" si="3"/>
        <v/>
      </c>
      <c r="K261" s="38" t="str">
        <f>IF(L261="","",SUMIF(Productos!E:E,L261,Productos!A:A))</f>
        <v/>
      </c>
      <c r="M261" s="39"/>
    </row>
    <row r="262">
      <c r="A262" s="2" t="str">
        <f>IF(B262="","",SUMIF(Productos!E:E,B262,Productos!A:A))</f>
        <v/>
      </c>
      <c r="B262" s="40"/>
      <c r="C262" s="26" t="str">
        <f>IF(B262="","",SUMIF(Prearmados!E:E,B262,Prearmados!G:G))</f>
        <v/>
      </c>
      <c r="D262" s="19"/>
      <c r="E262" s="26" t="str">
        <f>IF(A262="","",IF(SUMIFS(Estructuras!E:E,Estructuras!B:B,A$2,Estructuras!C:C,A262)&gt;0,SUMIFS(Estructuras!E:E,Estructuras!B:B,A$2,Estructuras!C:C,A262),C262*D262))</f>
        <v/>
      </c>
      <c r="F262" s="36"/>
      <c r="G262" s="36"/>
      <c r="H262" s="36"/>
      <c r="I262" s="36" t="str">
        <f t="shared" si="2"/>
        <v/>
      </c>
      <c r="J262" s="37" t="str">
        <f t="shared" si="3"/>
        <v/>
      </c>
      <c r="K262" s="38" t="str">
        <f>IF(L262="","",SUMIF(Productos!E:E,L262,Productos!A:A))</f>
        <v/>
      </c>
      <c r="M262" s="39"/>
    </row>
    <row r="263">
      <c r="A263" s="2" t="str">
        <f>IF(B263="","",SUMIF(Productos!E:E,B263,Productos!A:A))</f>
        <v/>
      </c>
      <c r="B263" s="40"/>
      <c r="C263" s="26" t="str">
        <f>IF(B263="","",SUMIF(Prearmados!E:E,B263,Prearmados!G:G))</f>
        <v/>
      </c>
      <c r="D263" s="19"/>
      <c r="E263" s="26" t="str">
        <f>IF(A263="","",IF(SUMIFS(Estructuras!E:E,Estructuras!B:B,A$2,Estructuras!C:C,A263)&gt;0,SUMIFS(Estructuras!E:E,Estructuras!B:B,A$2,Estructuras!C:C,A263),C263*D263))</f>
        <v/>
      </c>
      <c r="F263" s="36"/>
      <c r="G263" s="36"/>
      <c r="H263" s="36"/>
      <c r="I263" s="36" t="str">
        <f t="shared" si="2"/>
        <v/>
      </c>
      <c r="J263" s="37" t="str">
        <f t="shared" si="3"/>
        <v/>
      </c>
      <c r="K263" s="38" t="str">
        <f>IF(L263="","",SUMIF(Productos!E:E,L263,Productos!A:A))</f>
        <v/>
      </c>
      <c r="M263" s="39"/>
    </row>
    <row r="264">
      <c r="A264" s="2" t="str">
        <f>IF(B264="","",SUMIF(Productos!E:E,B264,Productos!A:A))</f>
        <v/>
      </c>
      <c r="B264" s="40"/>
      <c r="C264" s="26" t="str">
        <f>IF(B264="","",SUMIF(Prearmados!E:E,B264,Prearmados!G:G))</f>
        <v/>
      </c>
      <c r="D264" s="19"/>
      <c r="E264" s="26" t="str">
        <f>IF(A264="","",IF(SUMIFS(Estructuras!E:E,Estructuras!B:B,A$2,Estructuras!C:C,A264)&gt;0,SUMIFS(Estructuras!E:E,Estructuras!B:B,A$2,Estructuras!C:C,A264),C264*D264))</f>
        <v/>
      </c>
      <c r="F264" s="36"/>
      <c r="G264" s="36"/>
      <c r="H264" s="36"/>
      <c r="I264" s="36" t="str">
        <f t="shared" si="2"/>
        <v/>
      </c>
      <c r="J264" s="37" t="str">
        <f t="shared" si="3"/>
        <v/>
      </c>
      <c r="K264" s="38" t="str">
        <f>IF(L264="","",SUMIF(Productos!E:E,L264,Productos!A:A))</f>
        <v/>
      </c>
      <c r="M264" s="39"/>
    </row>
    <row r="265">
      <c r="A265" s="2" t="str">
        <f>IF(B265="","",SUMIF(Productos!E:E,B265,Productos!A:A))</f>
        <v/>
      </c>
      <c r="B265" s="40"/>
      <c r="C265" s="26" t="str">
        <f>IF(B265="","",SUMIF(Prearmados!E:E,B265,Prearmados!G:G))</f>
        <v/>
      </c>
      <c r="D265" s="19"/>
      <c r="E265" s="26" t="str">
        <f>IF(A265="","",IF(SUMIFS(Estructuras!E:E,Estructuras!B:B,A$2,Estructuras!C:C,A265)&gt;0,SUMIFS(Estructuras!E:E,Estructuras!B:B,A$2,Estructuras!C:C,A265),C265*D265))</f>
        <v/>
      </c>
      <c r="F265" s="36"/>
      <c r="G265" s="36"/>
      <c r="H265" s="36"/>
      <c r="I265" s="36" t="str">
        <f t="shared" si="2"/>
        <v/>
      </c>
      <c r="J265" s="37" t="str">
        <f t="shared" si="3"/>
        <v/>
      </c>
      <c r="K265" s="38" t="str">
        <f>IF(L265="","",SUMIF(Productos!E:E,L265,Productos!A:A))</f>
        <v/>
      </c>
      <c r="M265" s="39"/>
    </row>
    <row r="266">
      <c r="A266" s="2" t="str">
        <f>IF(B266="","",SUMIF(Productos!E:E,B266,Productos!A:A))</f>
        <v/>
      </c>
      <c r="B266" s="40"/>
      <c r="C266" s="26" t="str">
        <f>IF(B266="","",SUMIF(Prearmados!E:E,B266,Prearmados!G:G))</f>
        <v/>
      </c>
      <c r="D266" s="19"/>
      <c r="E266" s="26" t="str">
        <f>IF(A266="","",IF(SUMIFS(Estructuras!E:E,Estructuras!B:B,A$2,Estructuras!C:C,A266)&gt;0,SUMIFS(Estructuras!E:E,Estructuras!B:B,A$2,Estructuras!C:C,A266),C266*D266))</f>
        <v/>
      </c>
      <c r="F266" s="36"/>
      <c r="G266" s="36"/>
      <c r="H266" s="36"/>
      <c r="I266" s="36" t="str">
        <f t="shared" si="2"/>
        <v/>
      </c>
      <c r="J266" s="37" t="str">
        <f t="shared" si="3"/>
        <v/>
      </c>
      <c r="K266" s="38" t="str">
        <f>IF(L266="","",SUMIF(Productos!E:E,L266,Productos!A:A))</f>
        <v/>
      </c>
      <c r="M266" s="39"/>
    </row>
    <row r="267">
      <c r="A267" s="2" t="str">
        <f>IF(B267="","",SUMIF(Productos!E:E,B267,Productos!A:A))</f>
        <v/>
      </c>
      <c r="B267" s="40"/>
      <c r="C267" s="26" t="str">
        <f>IF(B267="","",SUMIF(Prearmados!E:E,B267,Prearmados!G:G))</f>
        <v/>
      </c>
      <c r="D267" s="19"/>
      <c r="E267" s="26" t="str">
        <f>IF(A267="","",IF(SUMIFS(Estructuras!E:E,Estructuras!B:B,A$2,Estructuras!C:C,A267)&gt;0,SUMIFS(Estructuras!E:E,Estructuras!B:B,A$2,Estructuras!C:C,A267),C267*D267))</f>
        <v/>
      </c>
      <c r="F267" s="36"/>
      <c r="G267" s="36"/>
      <c r="H267" s="36"/>
      <c r="I267" s="36" t="str">
        <f t="shared" si="2"/>
        <v/>
      </c>
      <c r="J267" s="37" t="str">
        <f t="shared" si="3"/>
        <v/>
      </c>
      <c r="K267" s="38" t="str">
        <f>IF(L267="","",SUMIF(Productos!E:E,L267,Productos!A:A))</f>
        <v/>
      </c>
      <c r="M267" s="39"/>
    </row>
    <row r="268">
      <c r="A268" s="2" t="str">
        <f>IF(B268="","",SUMIF(Productos!E:E,B268,Productos!A:A))</f>
        <v/>
      </c>
      <c r="B268" s="40"/>
      <c r="C268" s="26" t="str">
        <f>IF(B268="","",SUMIF(Prearmados!E:E,B268,Prearmados!G:G))</f>
        <v/>
      </c>
      <c r="D268" s="19"/>
      <c r="E268" s="26" t="str">
        <f>IF(A268="","",IF(SUMIFS(Estructuras!E:E,Estructuras!B:B,A$2,Estructuras!C:C,A268)&gt;0,SUMIFS(Estructuras!E:E,Estructuras!B:B,A$2,Estructuras!C:C,A268),C268*D268))</f>
        <v/>
      </c>
      <c r="F268" s="36"/>
      <c r="G268" s="36"/>
      <c r="H268" s="36"/>
      <c r="I268" s="36" t="str">
        <f t="shared" si="2"/>
        <v/>
      </c>
      <c r="J268" s="37" t="str">
        <f t="shared" si="3"/>
        <v/>
      </c>
      <c r="K268" s="38" t="str">
        <f>IF(L268="","",SUMIF(Productos!E:E,L268,Productos!A:A))</f>
        <v/>
      </c>
      <c r="M268" s="39"/>
    </row>
    <row r="269">
      <c r="A269" s="2" t="str">
        <f>IF(B269="","",SUMIF(Productos!E:E,B269,Productos!A:A))</f>
        <v/>
      </c>
      <c r="B269" s="40"/>
      <c r="C269" s="26" t="str">
        <f>IF(B269="","",SUMIF(Prearmados!E:E,B269,Prearmados!G:G))</f>
        <v/>
      </c>
      <c r="D269" s="19"/>
      <c r="E269" s="26" t="str">
        <f>IF(A269="","",IF(SUMIFS(Estructuras!E:E,Estructuras!B:B,A$2,Estructuras!C:C,A269)&gt;0,SUMIFS(Estructuras!E:E,Estructuras!B:B,A$2,Estructuras!C:C,A269),C269*D269))</f>
        <v/>
      </c>
      <c r="F269" s="36"/>
      <c r="G269" s="36"/>
      <c r="H269" s="36"/>
      <c r="I269" s="36" t="str">
        <f t="shared" si="2"/>
        <v/>
      </c>
      <c r="J269" s="37" t="str">
        <f t="shared" si="3"/>
        <v/>
      </c>
      <c r="K269" s="38" t="str">
        <f>IF(L269="","",SUMIF(Productos!E:E,L269,Productos!A:A))</f>
        <v/>
      </c>
      <c r="M269" s="39"/>
    </row>
    <row r="270">
      <c r="A270" s="2" t="str">
        <f>IF(B270="","",SUMIF(Productos!E:E,B270,Productos!A:A))</f>
        <v/>
      </c>
      <c r="B270" s="40"/>
      <c r="C270" s="26" t="str">
        <f>IF(B270="","",SUMIF(Prearmados!E:E,B270,Prearmados!G:G))</f>
        <v/>
      </c>
      <c r="D270" s="19"/>
      <c r="E270" s="26" t="str">
        <f>IF(A270="","",IF(SUMIFS(Estructuras!E:E,Estructuras!B:B,A$2,Estructuras!C:C,A270)&gt;0,SUMIFS(Estructuras!E:E,Estructuras!B:B,A$2,Estructuras!C:C,A270),C270*D270))</f>
        <v/>
      </c>
      <c r="F270" s="36"/>
      <c r="G270" s="36"/>
      <c r="H270" s="36"/>
      <c r="I270" s="36" t="str">
        <f t="shared" si="2"/>
        <v/>
      </c>
      <c r="J270" s="37" t="str">
        <f t="shared" si="3"/>
        <v/>
      </c>
      <c r="K270" s="38" t="str">
        <f>IF(L270="","",SUMIF(Productos!E:E,L270,Productos!A:A))</f>
        <v/>
      </c>
      <c r="M270" s="39"/>
    </row>
    <row r="271">
      <c r="A271" s="2" t="str">
        <f>IF(B271="","",SUMIF(Productos!E:E,B271,Productos!A:A))</f>
        <v/>
      </c>
      <c r="B271" s="40"/>
      <c r="C271" s="26" t="str">
        <f>IF(B271="","",SUMIF(Prearmados!E:E,B271,Prearmados!G:G))</f>
        <v/>
      </c>
      <c r="D271" s="19"/>
      <c r="E271" s="26" t="str">
        <f>IF(A271="","",IF(SUMIFS(Estructuras!E:E,Estructuras!B:B,A$2,Estructuras!C:C,A271)&gt;0,SUMIFS(Estructuras!E:E,Estructuras!B:B,A$2,Estructuras!C:C,A271),C271*D271))</f>
        <v/>
      </c>
      <c r="F271" s="36"/>
      <c r="G271" s="36"/>
      <c r="H271" s="36"/>
      <c r="I271" s="36" t="str">
        <f t="shared" si="2"/>
        <v/>
      </c>
      <c r="J271" s="37" t="str">
        <f t="shared" si="3"/>
        <v/>
      </c>
      <c r="K271" s="38" t="str">
        <f>IF(L271="","",SUMIF(Productos!E:E,L271,Productos!A:A))</f>
        <v/>
      </c>
      <c r="M271" s="39"/>
    </row>
    <row r="272">
      <c r="A272" s="2" t="str">
        <f>IF(B272="","",SUMIF(Productos!E:E,B272,Productos!A:A))</f>
        <v/>
      </c>
      <c r="B272" s="40"/>
      <c r="C272" s="26" t="str">
        <f>IF(B272="","",SUMIF(Prearmados!E:E,B272,Prearmados!G:G))</f>
        <v/>
      </c>
      <c r="D272" s="19"/>
      <c r="E272" s="26" t="str">
        <f>IF(A272="","",IF(SUMIFS(Estructuras!E:E,Estructuras!B:B,A$2,Estructuras!C:C,A272)&gt;0,SUMIFS(Estructuras!E:E,Estructuras!B:B,A$2,Estructuras!C:C,A272),C272*D272))</f>
        <v/>
      </c>
      <c r="F272" s="36"/>
      <c r="G272" s="36"/>
      <c r="H272" s="36"/>
      <c r="I272" s="36" t="str">
        <f t="shared" si="2"/>
        <v/>
      </c>
      <c r="J272" s="37" t="str">
        <f t="shared" si="3"/>
        <v/>
      </c>
      <c r="K272" s="38" t="str">
        <f>IF(L272="","",SUMIF(Productos!E:E,L272,Productos!A:A))</f>
        <v/>
      </c>
      <c r="M272" s="39"/>
    </row>
    <row r="273">
      <c r="A273" s="2" t="str">
        <f>IF(B273="","",SUMIF(Productos!E:E,B273,Productos!A:A))</f>
        <v/>
      </c>
      <c r="B273" s="40"/>
      <c r="C273" s="26" t="str">
        <f>IF(B273="","",SUMIF(Prearmados!E:E,B273,Prearmados!G:G))</f>
        <v/>
      </c>
      <c r="D273" s="19"/>
      <c r="E273" s="26" t="str">
        <f>IF(A273="","",IF(SUMIFS(Estructuras!E:E,Estructuras!B:B,A$2,Estructuras!C:C,A273)&gt;0,SUMIFS(Estructuras!E:E,Estructuras!B:B,A$2,Estructuras!C:C,A273),C273*D273))</f>
        <v/>
      </c>
      <c r="F273" s="36"/>
      <c r="G273" s="36"/>
      <c r="H273" s="36"/>
      <c r="I273" s="36" t="str">
        <f t="shared" si="2"/>
        <v/>
      </c>
      <c r="J273" s="37" t="str">
        <f t="shared" si="3"/>
        <v/>
      </c>
      <c r="K273" s="38" t="str">
        <f>IF(L273="","",SUMIF(Productos!E:E,L273,Productos!A:A))</f>
        <v/>
      </c>
      <c r="M273" s="39"/>
    </row>
    <row r="274">
      <c r="A274" s="2" t="str">
        <f>IF(B274="","",SUMIF(Productos!E:E,B274,Productos!A:A))</f>
        <v/>
      </c>
      <c r="B274" s="40"/>
      <c r="C274" s="26" t="str">
        <f>IF(B274="","",SUMIF(Prearmados!E:E,B274,Prearmados!G:G))</f>
        <v/>
      </c>
      <c r="D274" s="19"/>
      <c r="E274" s="26" t="str">
        <f>IF(A274="","",IF(SUMIFS(Estructuras!E:E,Estructuras!B:B,A$2,Estructuras!C:C,A274)&gt;0,SUMIFS(Estructuras!E:E,Estructuras!B:B,A$2,Estructuras!C:C,A274),C274*D274))</f>
        <v/>
      </c>
      <c r="F274" s="36"/>
      <c r="G274" s="36"/>
      <c r="H274" s="36"/>
      <c r="I274" s="36" t="str">
        <f t="shared" si="2"/>
        <v/>
      </c>
      <c r="J274" s="37" t="str">
        <f t="shared" si="3"/>
        <v/>
      </c>
      <c r="K274" s="38" t="str">
        <f>IF(L274="","",SUMIF(Productos!E:E,L274,Productos!A:A))</f>
        <v/>
      </c>
      <c r="M274" s="39"/>
    </row>
    <row r="275">
      <c r="A275" s="2" t="str">
        <f>IF(B275="","",SUMIF(Productos!E:E,B275,Productos!A:A))</f>
        <v/>
      </c>
      <c r="B275" s="40"/>
      <c r="C275" s="26" t="str">
        <f>IF(B275="","",SUMIF(Prearmados!E:E,B275,Prearmados!G:G))</f>
        <v/>
      </c>
      <c r="D275" s="19"/>
      <c r="E275" s="26" t="str">
        <f>IF(A275="","",IF(SUMIFS(Estructuras!E:E,Estructuras!B:B,A$2,Estructuras!C:C,A275)&gt;0,SUMIFS(Estructuras!E:E,Estructuras!B:B,A$2,Estructuras!C:C,A275),C275*D275))</f>
        <v/>
      </c>
      <c r="F275" s="36"/>
      <c r="G275" s="36"/>
      <c r="H275" s="36"/>
      <c r="I275" s="36" t="str">
        <f t="shared" si="2"/>
        <v/>
      </c>
      <c r="J275" s="37" t="str">
        <f t="shared" si="3"/>
        <v/>
      </c>
      <c r="K275" s="38" t="str">
        <f>IF(L275="","",SUMIF(Productos!E:E,L275,Productos!A:A))</f>
        <v/>
      </c>
      <c r="M275" s="39"/>
    </row>
    <row r="276">
      <c r="A276" s="2" t="str">
        <f>IF(B276="","",SUMIF(Productos!E:E,B276,Productos!A:A))</f>
        <v/>
      </c>
      <c r="B276" s="40"/>
      <c r="C276" s="26" t="str">
        <f>IF(B276="","",SUMIF(Prearmados!E:E,B276,Prearmados!G:G))</f>
        <v/>
      </c>
      <c r="D276" s="19"/>
      <c r="E276" s="26" t="str">
        <f>IF(A276="","",IF(SUMIFS(Estructuras!E:E,Estructuras!B:B,A$2,Estructuras!C:C,A276)&gt;0,SUMIFS(Estructuras!E:E,Estructuras!B:B,A$2,Estructuras!C:C,A276),C276*D276))</f>
        <v/>
      </c>
      <c r="F276" s="36"/>
      <c r="G276" s="36"/>
      <c r="H276" s="36"/>
      <c r="I276" s="36" t="str">
        <f t="shared" si="2"/>
        <v/>
      </c>
      <c r="J276" s="37" t="str">
        <f t="shared" si="3"/>
        <v/>
      </c>
      <c r="K276" s="38" t="str">
        <f>IF(L276="","",SUMIF(Productos!E:E,L276,Productos!A:A))</f>
        <v/>
      </c>
      <c r="M276" s="39"/>
    </row>
    <row r="277">
      <c r="A277" s="2" t="str">
        <f>IF(B277="","",SUMIF(Productos!E:E,B277,Productos!A:A))</f>
        <v/>
      </c>
      <c r="B277" s="40"/>
      <c r="C277" s="26" t="str">
        <f>IF(B277="","",SUMIF(Prearmados!E:E,B277,Prearmados!G:G))</f>
        <v/>
      </c>
      <c r="D277" s="19"/>
      <c r="E277" s="26" t="str">
        <f>IF(A277="","",IF(SUMIFS(Estructuras!E:E,Estructuras!B:B,A$2,Estructuras!C:C,A277)&gt;0,SUMIFS(Estructuras!E:E,Estructuras!B:B,A$2,Estructuras!C:C,A277),C277*D277))</f>
        <v/>
      </c>
      <c r="F277" s="36"/>
      <c r="G277" s="36"/>
      <c r="H277" s="36"/>
      <c r="I277" s="36" t="str">
        <f t="shared" si="2"/>
        <v/>
      </c>
      <c r="J277" s="37" t="str">
        <f t="shared" si="3"/>
        <v/>
      </c>
      <c r="K277" s="38" t="str">
        <f>IF(L277="","",SUMIF(Productos!E:E,L277,Productos!A:A))</f>
        <v/>
      </c>
      <c r="M277" s="39"/>
    </row>
    <row r="278">
      <c r="A278" s="2" t="str">
        <f>IF(B278="","",SUMIF(Productos!E:E,B278,Productos!A:A))</f>
        <v/>
      </c>
      <c r="B278" s="40"/>
      <c r="C278" s="26" t="str">
        <f>IF(B278="","",SUMIF(Prearmados!E:E,B278,Prearmados!G:G))</f>
        <v/>
      </c>
      <c r="D278" s="19"/>
      <c r="E278" s="26" t="str">
        <f>IF(A278="","",IF(SUMIFS(Estructuras!E:E,Estructuras!B:B,A$2,Estructuras!C:C,A278)&gt;0,SUMIFS(Estructuras!E:E,Estructuras!B:B,A$2,Estructuras!C:C,A278),C278*D278))</f>
        <v/>
      </c>
      <c r="F278" s="36"/>
      <c r="G278" s="36"/>
      <c r="H278" s="36"/>
      <c r="I278" s="36" t="str">
        <f t="shared" si="2"/>
        <v/>
      </c>
      <c r="J278" s="37" t="str">
        <f t="shared" si="3"/>
        <v/>
      </c>
      <c r="K278" s="38" t="str">
        <f>IF(L278="","",SUMIF(Productos!E:E,L278,Productos!A:A))</f>
        <v/>
      </c>
      <c r="M278" s="39"/>
    </row>
    <row r="279">
      <c r="A279" s="2" t="str">
        <f>IF(B279="","",SUMIF(Productos!E:E,B279,Productos!A:A))</f>
        <v/>
      </c>
      <c r="B279" s="40"/>
      <c r="C279" s="26" t="str">
        <f>IF(B279="","",SUMIF(Prearmados!E:E,B279,Prearmados!G:G))</f>
        <v/>
      </c>
      <c r="D279" s="19"/>
      <c r="E279" s="26" t="str">
        <f>IF(A279="","",IF(SUMIFS(Estructuras!E:E,Estructuras!B:B,A$2,Estructuras!C:C,A279)&gt;0,SUMIFS(Estructuras!E:E,Estructuras!B:B,A$2,Estructuras!C:C,A279),C279*D279))</f>
        <v/>
      </c>
      <c r="F279" s="36"/>
      <c r="G279" s="36"/>
      <c r="H279" s="36"/>
      <c r="I279" s="36" t="str">
        <f t="shared" si="2"/>
        <v/>
      </c>
      <c r="J279" s="37" t="str">
        <f t="shared" si="3"/>
        <v/>
      </c>
      <c r="K279" s="38" t="str">
        <f>IF(L279="","",SUMIF(Productos!E:E,L279,Productos!A:A))</f>
        <v/>
      </c>
      <c r="M279" s="39"/>
    </row>
    <row r="280">
      <c r="A280" s="2" t="str">
        <f>IF(B280="","",SUMIF(Productos!E:E,B280,Productos!A:A))</f>
        <v/>
      </c>
      <c r="B280" s="40"/>
      <c r="C280" s="26" t="str">
        <f>IF(B280="","",SUMIF(Prearmados!E:E,B280,Prearmados!G:G))</f>
        <v/>
      </c>
      <c r="D280" s="19"/>
      <c r="E280" s="26" t="str">
        <f>IF(A280="","",IF(SUMIFS(Estructuras!E:E,Estructuras!B:B,A$2,Estructuras!C:C,A280)&gt;0,SUMIFS(Estructuras!E:E,Estructuras!B:B,A$2,Estructuras!C:C,A280),C280*D280))</f>
        <v/>
      </c>
      <c r="F280" s="36"/>
      <c r="G280" s="36"/>
      <c r="H280" s="36"/>
      <c r="I280" s="36" t="str">
        <f t="shared" si="2"/>
        <v/>
      </c>
      <c r="J280" s="37" t="str">
        <f t="shared" si="3"/>
        <v/>
      </c>
      <c r="K280" s="38" t="str">
        <f>IF(L280="","",SUMIF(Productos!E:E,L280,Productos!A:A))</f>
        <v/>
      </c>
      <c r="M280" s="39"/>
    </row>
    <row r="281">
      <c r="A281" s="2" t="str">
        <f>IF(B281="","",SUMIF(Productos!E:E,B281,Productos!A:A))</f>
        <v/>
      </c>
      <c r="B281" s="40"/>
      <c r="C281" s="26" t="str">
        <f>IF(B281="","",SUMIF(Prearmados!E:E,B281,Prearmados!G:G))</f>
        <v/>
      </c>
      <c r="D281" s="19"/>
      <c r="E281" s="26" t="str">
        <f>IF(A281="","",IF(SUMIFS(Estructuras!E:E,Estructuras!B:B,A$2,Estructuras!C:C,A281)&gt;0,SUMIFS(Estructuras!E:E,Estructuras!B:B,A$2,Estructuras!C:C,A281),C281*D281))</f>
        <v/>
      </c>
      <c r="F281" s="36"/>
      <c r="G281" s="36"/>
      <c r="H281" s="36"/>
      <c r="I281" s="36" t="str">
        <f t="shared" si="2"/>
        <v/>
      </c>
      <c r="J281" s="37" t="str">
        <f t="shared" si="3"/>
        <v/>
      </c>
      <c r="K281" s="38" t="str">
        <f>IF(L281="","",SUMIF(Productos!E:E,L281,Productos!A:A))</f>
        <v/>
      </c>
      <c r="M281" s="39"/>
    </row>
    <row r="282">
      <c r="A282" s="2" t="str">
        <f>IF(B282="","",SUMIF(Productos!E:E,B282,Productos!A:A))</f>
        <v/>
      </c>
      <c r="B282" s="40"/>
      <c r="C282" s="26" t="str">
        <f>IF(B282="","",SUMIF(Prearmados!E:E,B282,Prearmados!G:G))</f>
        <v/>
      </c>
      <c r="D282" s="19"/>
      <c r="E282" s="26" t="str">
        <f>IF(A282="","",IF(SUMIFS(Estructuras!E:E,Estructuras!B:B,A$2,Estructuras!C:C,A282)&gt;0,SUMIFS(Estructuras!E:E,Estructuras!B:B,A$2,Estructuras!C:C,A282),C282*D282))</f>
        <v/>
      </c>
      <c r="F282" s="36"/>
      <c r="G282" s="36"/>
      <c r="H282" s="36"/>
      <c r="I282" s="36" t="str">
        <f t="shared" si="2"/>
        <v/>
      </c>
      <c r="J282" s="37" t="str">
        <f t="shared" si="3"/>
        <v/>
      </c>
      <c r="K282" s="38" t="str">
        <f>IF(L282="","",SUMIF(Productos!E:E,L282,Productos!A:A))</f>
        <v/>
      </c>
      <c r="M282" s="39"/>
    </row>
    <row r="283">
      <c r="A283" s="2" t="str">
        <f>IF(B283="","",SUMIF(Productos!E:E,B283,Productos!A:A))</f>
        <v/>
      </c>
      <c r="B283" s="40"/>
      <c r="C283" s="26" t="str">
        <f>IF(B283="","",SUMIF(Prearmados!E:E,B283,Prearmados!G:G))</f>
        <v/>
      </c>
      <c r="D283" s="19"/>
      <c r="E283" s="26" t="str">
        <f>IF(A283="","",IF(SUMIFS(Estructuras!E:E,Estructuras!B:B,A$2,Estructuras!C:C,A283)&gt;0,SUMIFS(Estructuras!E:E,Estructuras!B:B,A$2,Estructuras!C:C,A283),C283*D283))</f>
        <v/>
      </c>
      <c r="F283" s="36"/>
      <c r="G283" s="36"/>
      <c r="H283" s="36"/>
      <c r="I283" s="36" t="str">
        <f t="shared" si="2"/>
        <v/>
      </c>
      <c r="J283" s="37" t="str">
        <f t="shared" si="3"/>
        <v/>
      </c>
      <c r="K283" s="38" t="str">
        <f>IF(L283="","",SUMIF(Productos!E:E,L283,Productos!A:A))</f>
        <v/>
      </c>
      <c r="M283" s="39"/>
    </row>
    <row r="284">
      <c r="A284" s="2" t="str">
        <f>IF(B284="","",SUMIF(Productos!E:E,B284,Productos!A:A))</f>
        <v/>
      </c>
      <c r="B284" s="40"/>
      <c r="C284" s="26" t="str">
        <f>IF(B284="","",SUMIF(Prearmados!E:E,B284,Prearmados!G:G))</f>
        <v/>
      </c>
      <c r="D284" s="19"/>
      <c r="E284" s="26" t="str">
        <f>IF(A284="","",IF(SUMIFS(Estructuras!E:E,Estructuras!B:B,A$2,Estructuras!C:C,A284)&gt;0,SUMIFS(Estructuras!E:E,Estructuras!B:B,A$2,Estructuras!C:C,A284),C284*D284))</f>
        <v/>
      </c>
      <c r="F284" s="36"/>
      <c r="G284" s="36"/>
      <c r="H284" s="36"/>
      <c r="I284" s="36" t="str">
        <f t="shared" si="2"/>
        <v/>
      </c>
      <c r="J284" s="37" t="str">
        <f t="shared" si="3"/>
        <v/>
      </c>
      <c r="K284" s="38" t="str">
        <f>IF(L284="","",SUMIF(Productos!E:E,L284,Productos!A:A))</f>
        <v/>
      </c>
      <c r="M284" s="39"/>
    </row>
    <row r="285">
      <c r="A285" s="2" t="str">
        <f>IF(B285="","",SUMIF(Productos!E:E,B285,Productos!A:A))</f>
        <v/>
      </c>
      <c r="B285" s="40"/>
      <c r="C285" s="26" t="str">
        <f>IF(B285="","",SUMIF(Prearmados!E:E,B285,Prearmados!G:G))</f>
        <v/>
      </c>
      <c r="D285" s="19"/>
      <c r="E285" s="26" t="str">
        <f>IF(A285="","",IF(SUMIFS(Estructuras!E:E,Estructuras!B:B,A$2,Estructuras!C:C,A285)&gt;0,SUMIFS(Estructuras!E:E,Estructuras!B:B,A$2,Estructuras!C:C,A285),C285*D285))</f>
        <v/>
      </c>
      <c r="F285" s="36"/>
      <c r="G285" s="36"/>
      <c r="H285" s="36"/>
      <c r="I285" s="36" t="str">
        <f t="shared" si="2"/>
        <v/>
      </c>
      <c r="J285" s="37" t="str">
        <f t="shared" si="3"/>
        <v/>
      </c>
      <c r="K285" s="38" t="str">
        <f>IF(L285="","",SUMIF(Productos!E:E,L285,Productos!A:A))</f>
        <v/>
      </c>
      <c r="M285" s="39"/>
    </row>
    <row r="286">
      <c r="A286" s="2" t="str">
        <f>IF(B286="","",SUMIF(Productos!E:E,B286,Productos!A:A))</f>
        <v/>
      </c>
      <c r="B286" s="40"/>
      <c r="C286" s="26" t="str">
        <f>IF(B286="","",SUMIF(Prearmados!E:E,B286,Prearmados!G:G))</f>
        <v/>
      </c>
      <c r="D286" s="19"/>
      <c r="E286" s="26" t="str">
        <f>IF(A286="","",IF(SUMIFS(Estructuras!E:E,Estructuras!B:B,A$2,Estructuras!C:C,A286)&gt;0,SUMIFS(Estructuras!E:E,Estructuras!B:B,A$2,Estructuras!C:C,A286),C286*D286))</f>
        <v/>
      </c>
      <c r="F286" s="36"/>
      <c r="G286" s="36"/>
      <c r="H286" s="36"/>
      <c r="I286" s="36" t="str">
        <f t="shared" si="2"/>
        <v/>
      </c>
      <c r="J286" s="37" t="str">
        <f t="shared" si="3"/>
        <v/>
      </c>
      <c r="K286" s="38" t="str">
        <f>IF(L286="","",SUMIF(Productos!E:E,L286,Productos!A:A))</f>
        <v/>
      </c>
      <c r="M286" s="39"/>
    </row>
    <row r="287">
      <c r="A287" s="2" t="str">
        <f>IF(B287="","",SUMIF(Productos!E:E,B287,Productos!A:A))</f>
        <v/>
      </c>
      <c r="B287" s="40"/>
      <c r="C287" s="26" t="str">
        <f>IF(B287="","",SUMIF(Prearmados!E:E,B287,Prearmados!G:G))</f>
        <v/>
      </c>
      <c r="D287" s="19"/>
      <c r="E287" s="26" t="str">
        <f>IF(A287="","",IF(SUMIFS(Estructuras!E:E,Estructuras!B:B,A$2,Estructuras!C:C,A287)&gt;0,SUMIFS(Estructuras!E:E,Estructuras!B:B,A$2,Estructuras!C:C,A287),C287*D287))</f>
        <v/>
      </c>
      <c r="F287" s="36"/>
      <c r="G287" s="36"/>
      <c r="H287" s="36"/>
      <c r="I287" s="36" t="str">
        <f t="shared" si="2"/>
        <v/>
      </c>
      <c r="J287" s="37" t="str">
        <f t="shared" si="3"/>
        <v/>
      </c>
      <c r="K287" s="38" t="str">
        <f>IF(L287="","",SUMIF(Productos!E:E,L287,Productos!A:A))</f>
        <v/>
      </c>
      <c r="M287" s="39"/>
    </row>
    <row r="288">
      <c r="A288" s="2" t="str">
        <f>IF(B288="","",SUMIF(Productos!E:E,B288,Productos!A:A))</f>
        <v/>
      </c>
      <c r="B288" s="40"/>
      <c r="C288" s="26" t="str">
        <f>IF(B288="","",SUMIF(Prearmados!E:E,B288,Prearmados!G:G))</f>
        <v/>
      </c>
      <c r="D288" s="19"/>
      <c r="E288" s="26" t="str">
        <f>IF(A288="","",IF(SUMIFS(Estructuras!E:E,Estructuras!B:B,A$2,Estructuras!C:C,A288)&gt;0,SUMIFS(Estructuras!E:E,Estructuras!B:B,A$2,Estructuras!C:C,A288),C288*D288))</f>
        <v/>
      </c>
      <c r="F288" s="36"/>
      <c r="G288" s="36"/>
      <c r="H288" s="36"/>
      <c r="I288" s="36" t="str">
        <f t="shared" si="2"/>
        <v/>
      </c>
      <c r="J288" s="37" t="str">
        <f t="shared" si="3"/>
        <v/>
      </c>
      <c r="K288" s="38" t="str">
        <f>IF(L288="","",SUMIF(Productos!E:E,L288,Productos!A:A))</f>
        <v/>
      </c>
      <c r="M288" s="39"/>
    </row>
    <row r="289">
      <c r="A289" s="2" t="str">
        <f>IF(B289="","",SUMIF(Productos!E:E,B289,Productos!A:A))</f>
        <v/>
      </c>
      <c r="B289" s="40"/>
      <c r="C289" s="26" t="str">
        <f>IF(B289="","",SUMIF(Prearmados!E:E,B289,Prearmados!G:G))</f>
        <v/>
      </c>
      <c r="D289" s="19"/>
      <c r="E289" s="26" t="str">
        <f>IF(A289="","",IF(SUMIFS(Estructuras!E:E,Estructuras!B:B,A$2,Estructuras!C:C,A289)&gt;0,SUMIFS(Estructuras!E:E,Estructuras!B:B,A$2,Estructuras!C:C,A289),C289*D289))</f>
        <v/>
      </c>
      <c r="F289" s="36"/>
      <c r="G289" s="36"/>
      <c r="H289" s="36"/>
      <c r="I289" s="36" t="str">
        <f t="shared" si="2"/>
        <v/>
      </c>
      <c r="J289" s="37" t="str">
        <f t="shared" si="3"/>
        <v/>
      </c>
      <c r="K289" s="38" t="str">
        <f>IF(L289="","",SUMIF(Productos!E:E,L289,Productos!A:A))</f>
        <v/>
      </c>
      <c r="M289" s="39"/>
    </row>
    <row r="290">
      <c r="A290" s="2" t="str">
        <f>IF(B290="","",SUMIF(Productos!E:E,B290,Productos!A:A))</f>
        <v/>
      </c>
      <c r="B290" s="40"/>
      <c r="C290" s="26" t="str">
        <f>IF(B290="","",SUMIF(Prearmados!E:E,B290,Prearmados!G:G))</f>
        <v/>
      </c>
      <c r="D290" s="19"/>
      <c r="E290" s="26" t="str">
        <f>IF(A290="","",IF(SUMIFS(Estructuras!E:E,Estructuras!B:B,A$2,Estructuras!C:C,A290)&gt;0,SUMIFS(Estructuras!E:E,Estructuras!B:B,A$2,Estructuras!C:C,A290),C290*D290))</f>
        <v/>
      </c>
      <c r="F290" s="36"/>
      <c r="G290" s="36"/>
      <c r="H290" s="36"/>
      <c r="I290" s="36" t="str">
        <f t="shared" si="2"/>
        <v/>
      </c>
      <c r="J290" s="37" t="str">
        <f t="shared" si="3"/>
        <v/>
      </c>
      <c r="K290" s="38" t="str">
        <f>IF(L290="","",SUMIF(Productos!E:E,L290,Productos!A:A))</f>
        <v/>
      </c>
      <c r="M290" s="39"/>
    </row>
    <row r="291">
      <c r="A291" s="2" t="str">
        <f>IF(B291="","",SUMIF(Productos!E:E,B291,Productos!A:A))</f>
        <v/>
      </c>
      <c r="B291" s="40"/>
      <c r="C291" s="26" t="str">
        <f>IF(B291="","",SUMIF(Prearmados!E:E,B291,Prearmados!G:G))</f>
        <v/>
      </c>
      <c r="D291" s="19"/>
      <c r="E291" s="26" t="str">
        <f>IF(A291="","",IF(SUMIFS(Estructuras!E:E,Estructuras!B:B,A$2,Estructuras!C:C,A291)&gt;0,SUMIFS(Estructuras!E:E,Estructuras!B:B,A$2,Estructuras!C:C,A291),C291*D291))</f>
        <v/>
      </c>
      <c r="F291" s="36"/>
      <c r="G291" s="36"/>
      <c r="H291" s="36"/>
      <c r="I291" s="36" t="str">
        <f t="shared" si="2"/>
        <v/>
      </c>
      <c r="J291" s="37" t="str">
        <f t="shared" si="3"/>
        <v/>
      </c>
      <c r="K291" s="38" t="str">
        <f>IF(L291="","",SUMIF(Productos!E:E,L291,Productos!A:A))</f>
        <v/>
      </c>
      <c r="M291" s="39"/>
    </row>
    <row r="292">
      <c r="A292" s="2" t="str">
        <f>IF(B292="","",SUMIF(Productos!E:E,B292,Productos!A:A))</f>
        <v/>
      </c>
      <c r="B292" s="40"/>
      <c r="C292" s="26" t="str">
        <f>IF(B292="","",SUMIF(Prearmados!E:E,B292,Prearmados!G:G))</f>
        <v/>
      </c>
      <c r="D292" s="19"/>
      <c r="E292" s="26" t="str">
        <f>IF(A292="","",IF(SUMIFS(Estructuras!E:E,Estructuras!B:B,A$2,Estructuras!C:C,A292)&gt;0,SUMIFS(Estructuras!E:E,Estructuras!B:B,A$2,Estructuras!C:C,A292),C292*D292))</f>
        <v/>
      </c>
      <c r="F292" s="36"/>
      <c r="G292" s="36"/>
      <c r="H292" s="36"/>
      <c r="I292" s="36" t="str">
        <f t="shared" si="2"/>
        <v/>
      </c>
      <c r="J292" s="37" t="str">
        <f t="shared" si="3"/>
        <v/>
      </c>
      <c r="K292" s="38" t="str">
        <f>IF(L292="","",SUMIF(Productos!E:E,L292,Productos!A:A))</f>
        <v/>
      </c>
      <c r="M292" s="39"/>
    </row>
    <row r="293">
      <c r="A293" s="2" t="str">
        <f>IF(B293="","",SUMIF(Productos!E:E,B293,Productos!A:A))</f>
        <v/>
      </c>
      <c r="B293" s="40"/>
      <c r="C293" s="26" t="str">
        <f>IF(B293="","",SUMIF(Prearmados!E:E,B293,Prearmados!G:G))</f>
        <v/>
      </c>
      <c r="D293" s="19"/>
      <c r="E293" s="26" t="str">
        <f>IF(A293="","",IF(SUMIFS(Estructuras!E:E,Estructuras!B:B,A$2,Estructuras!C:C,A293)&gt;0,SUMIFS(Estructuras!E:E,Estructuras!B:B,A$2,Estructuras!C:C,A293),C293*D293))</f>
        <v/>
      </c>
      <c r="F293" s="36"/>
      <c r="G293" s="36"/>
      <c r="H293" s="36"/>
      <c r="I293" s="36" t="str">
        <f t="shared" si="2"/>
        <v/>
      </c>
      <c r="J293" s="37" t="str">
        <f t="shared" si="3"/>
        <v/>
      </c>
      <c r="K293" s="38" t="str">
        <f>IF(L293="","",SUMIF(Productos!E:E,L293,Productos!A:A))</f>
        <v/>
      </c>
      <c r="M293" s="39"/>
    </row>
    <row r="294">
      <c r="A294" s="2" t="str">
        <f>IF(B294="","",SUMIF(Productos!E:E,B294,Productos!A:A))</f>
        <v/>
      </c>
      <c r="B294" s="40"/>
      <c r="C294" s="26" t="str">
        <f>IF(B294="","",SUMIF(Prearmados!E:E,B294,Prearmados!G:G))</f>
        <v/>
      </c>
      <c r="D294" s="19"/>
      <c r="E294" s="26" t="str">
        <f>IF(A294="","",IF(SUMIFS(Estructuras!E:E,Estructuras!B:B,A$2,Estructuras!C:C,A294)&gt;0,SUMIFS(Estructuras!E:E,Estructuras!B:B,A$2,Estructuras!C:C,A294),C294*D294))</f>
        <v/>
      </c>
      <c r="F294" s="36"/>
      <c r="G294" s="36"/>
      <c r="H294" s="36"/>
      <c r="I294" s="36" t="str">
        <f t="shared" si="2"/>
        <v/>
      </c>
      <c r="J294" s="37" t="str">
        <f t="shared" si="3"/>
        <v/>
      </c>
      <c r="K294" s="38" t="str">
        <f>IF(L294="","",SUMIF(Productos!E:E,L294,Productos!A:A))</f>
        <v/>
      </c>
      <c r="M294" s="39"/>
    </row>
    <row r="295">
      <c r="A295" s="2" t="str">
        <f>IF(B295="","",SUMIF(Productos!E:E,B295,Productos!A:A))</f>
        <v/>
      </c>
      <c r="B295" s="40"/>
      <c r="C295" s="26" t="str">
        <f>IF(B295="","",SUMIF(Prearmados!E:E,B295,Prearmados!G:G))</f>
        <v/>
      </c>
      <c r="D295" s="19"/>
      <c r="E295" s="26" t="str">
        <f>IF(A295="","",IF(SUMIFS(Estructuras!E:E,Estructuras!B:B,A$2,Estructuras!C:C,A295)&gt;0,SUMIFS(Estructuras!E:E,Estructuras!B:B,A$2,Estructuras!C:C,A295),C295*D295))</f>
        <v/>
      </c>
      <c r="F295" s="36"/>
      <c r="G295" s="36"/>
      <c r="H295" s="36"/>
      <c r="I295" s="36" t="str">
        <f t="shared" si="2"/>
        <v/>
      </c>
      <c r="J295" s="37" t="str">
        <f t="shared" si="3"/>
        <v/>
      </c>
      <c r="K295" s="38" t="str">
        <f>IF(L295="","",SUMIF(Productos!E:E,L295,Productos!A:A))</f>
        <v/>
      </c>
      <c r="M295" s="39"/>
    </row>
    <row r="296">
      <c r="A296" s="2" t="str">
        <f>IF(B296="","",SUMIF(Productos!E:E,B296,Productos!A:A))</f>
        <v/>
      </c>
      <c r="B296" s="40"/>
      <c r="C296" s="26" t="str">
        <f>IF(B296="","",SUMIF(Prearmados!E:E,B296,Prearmados!G:G))</f>
        <v/>
      </c>
      <c r="D296" s="19"/>
      <c r="E296" s="26" t="str">
        <f>IF(A296="","",IF(SUMIFS(Estructuras!E:E,Estructuras!B:B,A$2,Estructuras!C:C,A296)&gt;0,SUMIFS(Estructuras!E:E,Estructuras!B:B,A$2,Estructuras!C:C,A296),C296*D296))</f>
        <v/>
      </c>
      <c r="F296" s="36"/>
      <c r="G296" s="36"/>
      <c r="H296" s="36"/>
      <c r="I296" s="36" t="str">
        <f t="shared" si="2"/>
        <v/>
      </c>
      <c r="J296" s="37" t="str">
        <f t="shared" si="3"/>
        <v/>
      </c>
      <c r="K296" s="38" t="str">
        <f>IF(L296="","",SUMIF(Productos!E:E,L296,Productos!A:A))</f>
        <v/>
      </c>
      <c r="M296" s="39"/>
    </row>
    <row r="297">
      <c r="A297" s="2" t="str">
        <f>IF(B297="","",SUMIF(Productos!E:E,B297,Productos!A:A))</f>
        <v/>
      </c>
      <c r="B297" s="40"/>
      <c r="C297" s="26" t="str">
        <f>IF(B297="","",SUMIF(Prearmados!E:E,B297,Prearmados!G:G))</f>
        <v/>
      </c>
      <c r="D297" s="19"/>
      <c r="E297" s="26" t="str">
        <f>IF(A297="","",IF(SUMIFS(Estructuras!E:E,Estructuras!B:B,A$2,Estructuras!C:C,A297)&gt;0,SUMIFS(Estructuras!E:E,Estructuras!B:B,A$2,Estructuras!C:C,A297),C297*D297))</f>
        <v/>
      </c>
      <c r="F297" s="36"/>
      <c r="G297" s="36"/>
      <c r="H297" s="36"/>
      <c r="I297" s="36" t="str">
        <f t="shared" si="2"/>
        <v/>
      </c>
      <c r="J297" s="37" t="str">
        <f t="shared" si="3"/>
        <v/>
      </c>
      <c r="K297" s="38" t="str">
        <f>IF(L297="","",SUMIF(Productos!E:E,L297,Productos!A:A))</f>
        <v/>
      </c>
      <c r="M297" s="39"/>
    </row>
    <row r="298">
      <c r="A298" s="2" t="str">
        <f>IF(B298="","",SUMIF(Productos!E:E,B298,Productos!A:A))</f>
        <v/>
      </c>
      <c r="B298" s="40"/>
      <c r="C298" s="26" t="str">
        <f>IF(B298="","",SUMIF(Prearmados!E:E,B298,Prearmados!G:G))</f>
        <v/>
      </c>
      <c r="D298" s="19"/>
      <c r="E298" s="26" t="str">
        <f>IF(A298="","",IF(SUMIFS(Estructuras!E:E,Estructuras!B:B,A$2,Estructuras!C:C,A298)&gt;0,SUMIFS(Estructuras!E:E,Estructuras!B:B,A$2,Estructuras!C:C,A298),C298*D298))</f>
        <v/>
      </c>
      <c r="F298" s="36"/>
      <c r="G298" s="36"/>
      <c r="H298" s="36"/>
      <c r="I298" s="36" t="str">
        <f t="shared" si="2"/>
        <v/>
      </c>
      <c r="J298" s="37" t="str">
        <f t="shared" si="3"/>
        <v/>
      </c>
      <c r="K298" s="38" t="str">
        <f>IF(L298="","",SUMIF(Productos!E:E,L298,Productos!A:A))</f>
        <v/>
      </c>
      <c r="M298" s="39"/>
    </row>
    <row r="299">
      <c r="A299" s="2" t="str">
        <f>IF(B299="","",SUMIF(Productos!E:E,B299,Productos!A:A))</f>
        <v/>
      </c>
      <c r="B299" s="40"/>
      <c r="C299" s="26" t="str">
        <f>IF(B299="","",SUMIF(Prearmados!E:E,B299,Prearmados!G:G))</f>
        <v/>
      </c>
      <c r="D299" s="19"/>
      <c r="E299" s="26" t="str">
        <f>IF(A299="","",IF(SUMIFS(Estructuras!E:E,Estructuras!B:B,A$2,Estructuras!C:C,A299)&gt;0,SUMIFS(Estructuras!E:E,Estructuras!B:B,A$2,Estructuras!C:C,A299),C299*D299))</f>
        <v/>
      </c>
      <c r="F299" s="36"/>
      <c r="G299" s="36"/>
      <c r="H299" s="36"/>
      <c r="I299" s="36" t="str">
        <f t="shared" si="2"/>
        <v/>
      </c>
      <c r="J299" s="37" t="str">
        <f t="shared" si="3"/>
        <v/>
      </c>
      <c r="K299" s="38" t="str">
        <f>IF(L299="","",SUMIF(Productos!E:E,L299,Productos!A:A))</f>
        <v/>
      </c>
      <c r="M299" s="39"/>
    </row>
    <row r="300">
      <c r="A300" s="2" t="str">
        <f>IF(B300="","",SUMIF(Productos!E:E,B300,Productos!A:A))</f>
        <v/>
      </c>
      <c r="B300" s="40"/>
      <c r="C300" s="26" t="str">
        <f>IF(B300="","",SUMIF(Prearmados!E:E,B300,Prearmados!G:G))</f>
        <v/>
      </c>
      <c r="D300" s="19"/>
      <c r="E300" s="26" t="str">
        <f>IF(A300="","",IF(SUMIFS(Estructuras!E:E,Estructuras!B:B,A$2,Estructuras!C:C,A300)&gt;0,SUMIFS(Estructuras!E:E,Estructuras!B:B,A$2,Estructuras!C:C,A300),C300*D300))</f>
        <v/>
      </c>
      <c r="F300" s="36"/>
      <c r="G300" s="36"/>
      <c r="H300" s="36"/>
      <c r="I300" s="36" t="str">
        <f t="shared" si="2"/>
        <v/>
      </c>
      <c r="J300" s="37" t="str">
        <f t="shared" si="3"/>
        <v/>
      </c>
      <c r="K300" s="38" t="str">
        <f>IF(L300="","",SUMIF(Productos!E:E,L300,Productos!A:A))</f>
        <v/>
      </c>
      <c r="M300" s="39"/>
    </row>
    <row r="301">
      <c r="A301" s="2" t="str">
        <f>IF(B301="","",SUMIF(Productos!E:E,B301,Productos!A:A))</f>
        <v/>
      </c>
      <c r="B301" s="40"/>
      <c r="C301" s="26" t="str">
        <f>IF(B301="","",SUMIF(Prearmados!E:E,B301,Prearmados!G:G))</f>
        <v/>
      </c>
      <c r="D301" s="19"/>
      <c r="E301" s="26" t="str">
        <f>IF(A301="","",IF(SUMIFS(Estructuras!E:E,Estructuras!B:B,A$2,Estructuras!C:C,A301)&gt;0,SUMIFS(Estructuras!E:E,Estructuras!B:B,A$2,Estructuras!C:C,A301),C301*D301))</f>
        <v/>
      </c>
      <c r="F301" s="36"/>
      <c r="G301" s="36"/>
      <c r="H301" s="36"/>
      <c r="I301" s="36" t="str">
        <f t="shared" si="2"/>
        <v/>
      </c>
      <c r="J301" s="37" t="str">
        <f t="shared" si="3"/>
        <v/>
      </c>
      <c r="K301" s="38" t="str">
        <f>IF(L301="","",SUMIF(Productos!E:E,L301,Productos!A:A))</f>
        <v/>
      </c>
      <c r="M301" s="39"/>
    </row>
    <row r="302">
      <c r="A302" s="2" t="str">
        <f>IF(B302="","",SUMIF(Productos!E:E,B302,Productos!A:A))</f>
        <v/>
      </c>
      <c r="B302" s="40"/>
      <c r="C302" s="26" t="str">
        <f>IF(B302="","",SUMIF(Prearmados!E:E,B302,Prearmados!G:G))</f>
        <v/>
      </c>
      <c r="D302" s="19"/>
      <c r="E302" s="26" t="str">
        <f>IF(A302="","",IF(SUMIFS(Estructuras!E:E,Estructuras!B:B,A$2,Estructuras!C:C,A302)&gt;0,SUMIFS(Estructuras!E:E,Estructuras!B:B,A$2,Estructuras!C:C,A302),C302*D302))</f>
        <v/>
      </c>
      <c r="F302" s="36"/>
      <c r="G302" s="36"/>
      <c r="H302" s="36"/>
      <c r="I302" s="36" t="str">
        <f t="shared" si="2"/>
        <v/>
      </c>
      <c r="J302" s="37" t="str">
        <f t="shared" si="3"/>
        <v/>
      </c>
      <c r="K302" s="38" t="str">
        <f>IF(L302="","",SUMIF(Productos!E:E,L302,Productos!A:A))</f>
        <v/>
      </c>
      <c r="M302" s="39"/>
    </row>
    <row r="303">
      <c r="A303" s="2" t="str">
        <f>IF(B303="","",SUMIF(Productos!E:E,B303,Productos!A:A))</f>
        <v/>
      </c>
      <c r="B303" s="40"/>
      <c r="C303" s="26" t="str">
        <f>IF(B303="","",SUMIF(Prearmados!E:E,B303,Prearmados!G:G))</f>
        <v/>
      </c>
      <c r="D303" s="19"/>
      <c r="E303" s="26" t="str">
        <f>IF(A303="","",IF(SUMIFS(Estructuras!E:E,Estructuras!B:B,A$2,Estructuras!C:C,A303)&gt;0,SUMIFS(Estructuras!E:E,Estructuras!B:B,A$2,Estructuras!C:C,A303),C303*D303))</f>
        <v/>
      </c>
      <c r="F303" s="36"/>
      <c r="G303" s="36"/>
      <c r="H303" s="36"/>
      <c r="I303" s="36" t="str">
        <f t="shared" si="2"/>
        <v/>
      </c>
      <c r="J303" s="37" t="str">
        <f t="shared" si="3"/>
        <v/>
      </c>
      <c r="K303" s="38" t="str">
        <f>IF(L303="","",SUMIF(Productos!E:E,L303,Productos!A:A))</f>
        <v/>
      </c>
      <c r="M303" s="39"/>
    </row>
    <row r="304">
      <c r="A304" s="2" t="str">
        <f>IF(B304="","",SUMIF(Productos!E:E,B304,Productos!A:A))</f>
        <v/>
      </c>
      <c r="B304" s="40"/>
      <c r="C304" s="26" t="str">
        <f>IF(B304="","",SUMIF(Prearmados!E:E,B304,Prearmados!G:G))</f>
        <v/>
      </c>
      <c r="D304" s="19"/>
      <c r="E304" s="26" t="str">
        <f>IF(A304="","",IF(SUMIFS(Estructuras!E:E,Estructuras!B:B,A$2,Estructuras!C:C,A304)&gt;0,SUMIFS(Estructuras!E:E,Estructuras!B:B,A$2,Estructuras!C:C,A304),C304*D304))</f>
        <v/>
      </c>
      <c r="F304" s="36"/>
      <c r="G304" s="36"/>
      <c r="H304" s="36"/>
      <c r="I304" s="36" t="str">
        <f t="shared" si="2"/>
        <v/>
      </c>
      <c r="J304" s="37" t="str">
        <f t="shared" si="3"/>
        <v/>
      </c>
      <c r="K304" s="38" t="str">
        <f>IF(L304="","",SUMIF(Productos!E:E,L304,Productos!A:A))</f>
        <v/>
      </c>
      <c r="M304" s="39"/>
    </row>
    <row r="305">
      <c r="A305" s="2" t="str">
        <f>IF(B305="","",SUMIF(Productos!E:E,B305,Productos!A:A))</f>
        <v/>
      </c>
      <c r="B305" s="40"/>
      <c r="C305" s="26" t="str">
        <f>IF(B305="","",SUMIF(Prearmados!E:E,B305,Prearmados!G:G))</f>
        <v/>
      </c>
      <c r="D305" s="19"/>
      <c r="E305" s="26" t="str">
        <f>IF(A305="","",IF(SUMIFS(Estructuras!E:E,Estructuras!B:B,A$2,Estructuras!C:C,A305)&gt;0,SUMIFS(Estructuras!E:E,Estructuras!B:B,A$2,Estructuras!C:C,A305),C305*D305))</f>
        <v/>
      </c>
      <c r="F305" s="36"/>
      <c r="G305" s="36"/>
      <c r="H305" s="36"/>
      <c r="I305" s="36" t="str">
        <f t="shared" si="2"/>
        <v/>
      </c>
      <c r="J305" s="37" t="str">
        <f t="shared" si="3"/>
        <v/>
      </c>
      <c r="K305" s="38" t="str">
        <f>IF(L305="","",SUMIF(Productos!E:E,L305,Productos!A:A))</f>
        <v/>
      </c>
      <c r="M305" s="39"/>
    </row>
    <row r="306">
      <c r="A306" s="2" t="str">
        <f>IF(B306="","",SUMIF(Productos!E:E,B306,Productos!A:A))</f>
        <v/>
      </c>
      <c r="B306" s="40"/>
      <c r="C306" s="26" t="str">
        <f>IF(B306="","",SUMIF(Prearmados!E:E,B306,Prearmados!G:G))</f>
        <v/>
      </c>
      <c r="D306" s="19"/>
      <c r="E306" s="26" t="str">
        <f>IF(A306="","",IF(SUMIFS(Estructuras!E:E,Estructuras!B:B,A$2,Estructuras!C:C,A306)&gt;0,SUMIFS(Estructuras!E:E,Estructuras!B:B,A$2,Estructuras!C:C,A306),C306*D306))</f>
        <v/>
      </c>
      <c r="F306" s="36"/>
      <c r="G306" s="36"/>
      <c r="H306" s="36"/>
      <c r="I306" s="36" t="str">
        <f t="shared" si="2"/>
        <v/>
      </c>
      <c r="J306" s="37" t="str">
        <f t="shared" si="3"/>
        <v/>
      </c>
      <c r="K306" s="38" t="str">
        <f>IF(L306="","",SUMIF(Productos!E:E,L306,Productos!A:A))</f>
        <v/>
      </c>
      <c r="M306" s="39"/>
    </row>
    <row r="307">
      <c r="A307" s="2" t="str">
        <f>IF(B307="","",SUMIF(Productos!E:E,B307,Productos!A:A))</f>
        <v/>
      </c>
      <c r="B307" s="40"/>
      <c r="C307" s="26" t="str">
        <f>IF(B307="","",SUMIF(Prearmados!E:E,B307,Prearmados!G:G))</f>
        <v/>
      </c>
      <c r="D307" s="19"/>
      <c r="E307" s="26" t="str">
        <f>IF(A307="","",IF(SUMIFS(Estructuras!E:E,Estructuras!B:B,A$2,Estructuras!C:C,A307)&gt;0,SUMIFS(Estructuras!E:E,Estructuras!B:B,A$2,Estructuras!C:C,A307),C307*D307))</f>
        <v/>
      </c>
      <c r="F307" s="36"/>
      <c r="G307" s="36"/>
      <c r="H307" s="36"/>
      <c r="I307" s="36" t="str">
        <f t="shared" si="2"/>
        <v/>
      </c>
      <c r="J307" s="37" t="str">
        <f t="shared" si="3"/>
        <v/>
      </c>
      <c r="K307" s="38" t="str">
        <f>IF(L307="","",SUMIF(Productos!E:E,L307,Productos!A:A))</f>
        <v/>
      </c>
      <c r="M307" s="39"/>
    </row>
    <row r="308">
      <c r="A308" s="2" t="str">
        <f>IF(B308="","",SUMIF(Productos!E:E,B308,Productos!A:A))</f>
        <v/>
      </c>
      <c r="B308" s="40"/>
      <c r="C308" s="26" t="str">
        <f>IF(B308="","",SUMIF(Prearmados!E:E,B308,Prearmados!G:G))</f>
        <v/>
      </c>
      <c r="D308" s="19"/>
      <c r="E308" s="26" t="str">
        <f>IF(A308="","",IF(SUMIFS(Estructuras!E:E,Estructuras!B:B,A$2,Estructuras!C:C,A308)&gt;0,SUMIFS(Estructuras!E:E,Estructuras!B:B,A$2,Estructuras!C:C,A308),C308*D308))</f>
        <v/>
      </c>
      <c r="F308" s="36"/>
      <c r="G308" s="36"/>
      <c r="H308" s="36"/>
      <c r="I308" s="36" t="str">
        <f t="shared" si="2"/>
        <v/>
      </c>
      <c r="J308" s="37" t="str">
        <f t="shared" si="3"/>
        <v/>
      </c>
      <c r="K308" s="38" t="str">
        <f>IF(L308="","",SUMIF(Productos!E:E,L308,Productos!A:A))</f>
        <v/>
      </c>
      <c r="M308" s="39"/>
    </row>
    <row r="309">
      <c r="A309" s="2" t="str">
        <f>IF(B309="","",SUMIF(Productos!E:E,B309,Productos!A:A))</f>
        <v/>
      </c>
      <c r="B309" s="40"/>
      <c r="C309" s="26" t="str">
        <f>IF(B309="","",SUMIF(Prearmados!E:E,B309,Prearmados!G:G))</f>
        <v/>
      </c>
      <c r="D309" s="19"/>
      <c r="E309" s="26" t="str">
        <f>IF(A309="","",IF(SUMIFS(Estructuras!E:E,Estructuras!B:B,A$2,Estructuras!C:C,A309)&gt;0,SUMIFS(Estructuras!E:E,Estructuras!B:B,A$2,Estructuras!C:C,A309),C309*D309))</f>
        <v/>
      </c>
      <c r="F309" s="36"/>
      <c r="G309" s="36"/>
      <c r="H309" s="36"/>
      <c r="I309" s="36" t="str">
        <f t="shared" si="2"/>
        <v/>
      </c>
      <c r="J309" s="37" t="str">
        <f t="shared" si="3"/>
        <v/>
      </c>
      <c r="K309" s="38" t="str">
        <f>IF(L309="","",SUMIF(Productos!E:E,L309,Productos!A:A))</f>
        <v/>
      </c>
      <c r="M309" s="39"/>
    </row>
    <row r="310">
      <c r="A310" s="2" t="str">
        <f>IF(B310="","",SUMIF(Productos!E:E,B310,Productos!A:A))</f>
        <v/>
      </c>
      <c r="B310" s="40"/>
      <c r="C310" s="26" t="str">
        <f>IF(B310="","",SUMIF(Prearmados!E:E,B310,Prearmados!G:G))</f>
        <v/>
      </c>
      <c r="D310" s="19"/>
      <c r="E310" s="26" t="str">
        <f>IF(A310="","",IF(SUMIFS(Estructuras!E:E,Estructuras!B:B,A$2,Estructuras!C:C,A310)&gt;0,SUMIFS(Estructuras!E:E,Estructuras!B:B,A$2,Estructuras!C:C,A310),C310*D310))</f>
        <v/>
      </c>
      <c r="F310" s="36"/>
      <c r="G310" s="36"/>
      <c r="H310" s="36"/>
      <c r="I310" s="36" t="str">
        <f t="shared" si="2"/>
        <v/>
      </c>
      <c r="J310" s="37" t="str">
        <f t="shared" si="3"/>
        <v/>
      </c>
      <c r="K310" s="38" t="str">
        <f>IF(L310="","",SUMIF(Productos!E:E,L310,Productos!A:A))</f>
        <v/>
      </c>
      <c r="M310" s="39"/>
    </row>
    <row r="311">
      <c r="A311" s="2" t="str">
        <f>IF(B311="","",SUMIF(Productos!E:E,B311,Productos!A:A))</f>
        <v/>
      </c>
      <c r="B311" s="40"/>
      <c r="C311" s="26" t="str">
        <f>IF(B311="","",SUMIF(Prearmados!E:E,B311,Prearmados!G:G))</f>
        <v/>
      </c>
      <c r="D311" s="19"/>
      <c r="E311" s="26" t="str">
        <f>IF(A311="","",IF(SUMIFS(Estructuras!E:E,Estructuras!B:B,A$2,Estructuras!C:C,A311)&gt;0,SUMIFS(Estructuras!E:E,Estructuras!B:B,A$2,Estructuras!C:C,A311),C311*D311))</f>
        <v/>
      </c>
      <c r="F311" s="36"/>
      <c r="G311" s="36"/>
      <c r="H311" s="36"/>
      <c r="I311" s="36" t="str">
        <f t="shared" si="2"/>
        <v/>
      </c>
      <c r="J311" s="37" t="str">
        <f t="shared" si="3"/>
        <v/>
      </c>
      <c r="K311" s="38" t="str">
        <f>IF(L311="","",SUMIF(Productos!E:E,L311,Productos!A:A))</f>
        <v/>
      </c>
      <c r="M311" s="39"/>
    </row>
    <row r="312">
      <c r="A312" s="2" t="str">
        <f>IF(B312="","",SUMIF(Productos!E:E,B312,Productos!A:A))</f>
        <v/>
      </c>
      <c r="B312" s="40"/>
      <c r="C312" s="26" t="str">
        <f>IF(B312="","",SUMIF(Prearmados!E:E,B312,Prearmados!G:G))</f>
        <v/>
      </c>
      <c r="D312" s="19"/>
      <c r="E312" s="26" t="str">
        <f>IF(A312="","",IF(SUMIFS(Estructuras!E:E,Estructuras!B:B,A$2,Estructuras!C:C,A312)&gt;0,SUMIFS(Estructuras!E:E,Estructuras!B:B,A$2,Estructuras!C:C,A312),C312*D312))</f>
        <v/>
      </c>
      <c r="F312" s="36"/>
      <c r="G312" s="36"/>
      <c r="H312" s="36"/>
      <c r="I312" s="36" t="str">
        <f t="shared" si="2"/>
        <v/>
      </c>
      <c r="J312" s="37" t="str">
        <f t="shared" si="3"/>
        <v/>
      </c>
      <c r="K312" s="38" t="str">
        <f>IF(L312="","",SUMIF(Productos!E:E,L312,Productos!A:A))</f>
        <v/>
      </c>
      <c r="M312" s="39"/>
    </row>
    <row r="313">
      <c r="A313" s="2" t="str">
        <f>IF(B313="","",SUMIF(Productos!E:E,B313,Productos!A:A))</f>
        <v/>
      </c>
      <c r="B313" s="40"/>
      <c r="C313" s="26" t="str">
        <f>IF(B313="","",SUMIF(Prearmados!E:E,B313,Prearmados!G:G))</f>
        <v/>
      </c>
      <c r="D313" s="19"/>
      <c r="E313" s="26" t="str">
        <f>IF(A313="","",IF(SUMIFS(Estructuras!E:E,Estructuras!B:B,A$2,Estructuras!C:C,A313)&gt;0,SUMIFS(Estructuras!E:E,Estructuras!B:B,A$2,Estructuras!C:C,A313),C313*D313))</f>
        <v/>
      </c>
      <c r="F313" s="36"/>
      <c r="G313" s="36"/>
      <c r="H313" s="36"/>
      <c r="I313" s="36" t="str">
        <f t="shared" si="2"/>
        <v/>
      </c>
      <c r="J313" s="37" t="str">
        <f t="shared" si="3"/>
        <v/>
      </c>
      <c r="K313" s="38" t="str">
        <f>IF(L313="","",SUMIF(Productos!E:E,L313,Productos!A:A))</f>
        <v/>
      </c>
      <c r="M313" s="39"/>
    </row>
    <row r="314">
      <c r="A314" s="2" t="str">
        <f>IF(B314="","",SUMIF(Productos!E:E,B314,Productos!A:A))</f>
        <v/>
      </c>
      <c r="B314" s="40"/>
      <c r="C314" s="26" t="str">
        <f>IF(B314="","",SUMIF(Prearmados!E:E,B314,Prearmados!G:G))</f>
        <v/>
      </c>
      <c r="D314" s="19"/>
      <c r="E314" s="26" t="str">
        <f>IF(A314="","",IF(SUMIFS(Estructuras!E:E,Estructuras!B:B,A$2,Estructuras!C:C,A314)&gt;0,SUMIFS(Estructuras!E:E,Estructuras!B:B,A$2,Estructuras!C:C,A314),C314*D314))</f>
        <v/>
      </c>
      <c r="F314" s="36"/>
      <c r="G314" s="36"/>
      <c r="H314" s="36"/>
      <c r="I314" s="36" t="str">
        <f t="shared" si="2"/>
        <v/>
      </c>
      <c r="J314" s="37" t="str">
        <f t="shared" si="3"/>
        <v/>
      </c>
      <c r="K314" s="38" t="str">
        <f>IF(L314="","",SUMIF(Productos!E:E,L314,Productos!A:A))</f>
        <v/>
      </c>
      <c r="M314" s="39"/>
    </row>
    <row r="315">
      <c r="A315" s="2" t="str">
        <f>IF(B315="","",SUMIF(Productos!E:E,B315,Productos!A:A))</f>
        <v/>
      </c>
      <c r="B315" s="40"/>
      <c r="C315" s="26" t="str">
        <f>IF(B315="","",SUMIF(Prearmados!E:E,B315,Prearmados!G:G))</f>
        <v/>
      </c>
      <c r="D315" s="19"/>
      <c r="E315" s="26" t="str">
        <f>IF(A315="","",IF(SUMIFS(Estructuras!E:E,Estructuras!B:B,A$2,Estructuras!C:C,A315)&gt;0,SUMIFS(Estructuras!E:E,Estructuras!B:B,A$2,Estructuras!C:C,A315),C315*D315))</f>
        <v/>
      </c>
      <c r="F315" s="36"/>
      <c r="G315" s="36"/>
      <c r="H315" s="36"/>
      <c r="I315" s="36" t="str">
        <f t="shared" si="2"/>
        <v/>
      </c>
      <c r="J315" s="37" t="str">
        <f t="shared" si="3"/>
        <v/>
      </c>
      <c r="K315" s="38" t="str">
        <f>IF(L315="","",SUMIF(Productos!E:E,L315,Productos!A:A))</f>
        <v/>
      </c>
      <c r="M315" s="39"/>
    </row>
    <row r="316">
      <c r="A316" s="2" t="str">
        <f>IF(B316="","",SUMIF(Productos!E:E,B316,Productos!A:A))</f>
        <v/>
      </c>
      <c r="B316" s="40"/>
      <c r="C316" s="26" t="str">
        <f>IF(B316="","",SUMIF(Prearmados!E:E,B316,Prearmados!G:G))</f>
        <v/>
      </c>
      <c r="D316" s="19"/>
      <c r="E316" s="26" t="str">
        <f>IF(A316="","",IF(SUMIFS(Estructuras!E:E,Estructuras!B:B,A$2,Estructuras!C:C,A316)&gt;0,SUMIFS(Estructuras!E:E,Estructuras!B:B,A$2,Estructuras!C:C,A316),C316*D316))</f>
        <v/>
      </c>
      <c r="F316" s="36"/>
      <c r="G316" s="36"/>
      <c r="H316" s="36"/>
      <c r="I316" s="36" t="str">
        <f t="shared" si="2"/>
        <v/>
      </c>
      <c r="J316" s="37" t="str">
        <f t="shared" si="3"/>
        <v/>
      </c>
      <c r="K316" s="38" t="str">
        <f>IF(L316="","",SUMIF(Productos!E:E,L316,Productos!A:A))</f>
        <v/>
      </c>
      <c r="M316" s="39"/>
    </row>
    <row r="317">
      <c r="A317" s="2" t="str">
        <f>IF(B317="","",SUMIF(Productos!E:E,B317,Productos!A:A))</f>
        <v/>
      </c>
      <c r="B317" s="40"/>
      <c r="C317" s="26" t="str">
        <f>IF(B317="","",SUMIF(Prearmados!E:E,B317,Prearmados!G:G))</f>
        <v/>
      </c>
      <c r="D317" s="19"/>
      <c r="E317" s="26" t="str">
        <f>IF(A317="","",IF(SUMIFS(Estructuras!E:E,Estructuras!B:B,A$2,Estructuras!C:C,A317)&gt;0,SUMIFS(Estructuras!E:E,Estructuras!B:B,A$2,Estructuras!C:C,A317),C317*D317))</f>
        <v/>
      </c>
      <c r="F317" s="36"/>
      <c r="G317" s="36"/>
      <c r="H317" s="36"/>
      <c r="I317" s="36" t="str">
        <f t="shared" si="2"/>
        <v/>
      </c>
      <c r="J317" s="37" t="str">
        <f t="shared" si="3"/>
        <v/>
      </c>
      <c r="K317" s="38" t="str">
        <f>IF(L317="","",SUMIF(Productos!E:E,L317,Productos!A:A))</f>
        <v/>
      </c>
      <c r="M317" s="39"/>
    </row>
    <row r="318">
      <c r="A318" s="2" t="str">
        <f>IF(B318="","",SUMIF(Productos!E:E,B318,Productos!A:A))</f>
        <v/>
      </c>
      <c r="B318" s="40"/>
      <c r="C318" s="26" t="str">
        <f>IF(B318="","",SUMIF(Prearmados!E:E,B318,Prearmados!G:G))</f>
        <v/>
      </c>
      <c r="D318" s="19"/>
      <c r="E318" s="26" t="str">
        <f>IF(A318="","",IF(SUMIFS(Estructuras!E:E,Estructuras!B:B,A$2,Estructuras!C:C,A318)&gt;0,SUMIFS(Estructuras!E:E,Estructuras!B:B,A$2,Estructuras!C:C,A318),C318*D318))</f>
        <v/>
      </c>
      <c r="F318" s="36"/>
      <c r="G318" s="36"/>
      <c r="H318" s="36"/>
      <c r="I318" s="36" t="str">
        <f t="shared" si="2"/>
        <v/>
      </c>
      <c r="J318" s="37" t="str">
        <f t="shared" si="3"/>
        <v/>
      </c>
      <c r="K318" s="38" t="str">
        <f>IF(L318="","",SUMIF(Productos!E:E,L318,Productos!A:A))</f>
        <v/>
      </c>
      <c r="M318" s="39"/>
    </row>
    <row r="319">
      <c r="A319" s="2" t="str">
        <f>IF(B319="","",SUMIF(Productos!E:E,B319,Productos!A:A))</f>
        <v/>
      </c>
      <c r="B319" s="40"/>
      <c r="C319" s="26" t="str">
        <f>IF(B319="","",SUMIF(Prearmados!E:E,B319,Prearmados!G:G))</f>
        <v/>
      </c>
      <c r="D319" s="19"/>
      <c r="E319" s="26" t="str">
        <f>IF(A319="","",IF(SUMIFS(Estructuras!E:E,Estructuras!B:B,A$2,Estructuras!C:C,A319)&gt;0,SUMIFS(Estructuras!E:E,Estructuras!B:B,A$2,Estructuras!C:C,A319),C319*D319))</f>
        <v/>
      </c>
      <c r="F319" s="36"/>
      <c r="G319" s="36"/>
      <c r="H319" s="36"/>
      <c r="I319" s="36" t="str">
        <f t="shared" si="2"/>
        <v/>
      </c>
      <c r="J319" s="37" t="str">
        <f t="shared" si="3"/>
        <v/>
      </c>
      <c r="K319" s="38" t="str">
        <f>IF(L319="","",SUMIF(Productos!E:E,L319,Productos!A:A))</f>
        <v/>
      </c>
      <c r="M319" s="39"/>
    </row>
    <row r="320">
      <c r="A320" s="2" t="str">
        <f>IF(B320="","",SUMIF(Productos!E:E,B320,Productos!A:A))</f>
        <v/>
      </c>
      <c r="B320" s="40"/>
      <c r="C320" s="26" t="str">
        <f>IF(B320="","",SUMIF(Prearmados!E:E,B320,Prearmados!G:G))</f>
        <v/>
      </c>
      <c r="D320" s="19"/>
      <c r="E320" s="26" t="str">
        <f>IF(A320="","",IF(SUMIFS(Estructuras!E:E,Estructuras!B:B,A$2,Estructuras!C:C,A320)&gt;0,SUMIFS(Estructuras!E:E,Estructuras!B:B,A$2,Estructuras!C:C,A320),C320*D320))</f>
        <v/>
      </c>
      <c r="F320" s="36"/>
      <c r="G320" s="36"/>
      <c r="H320" s="36"/>
      <c r="I320" s="36" t="str">
        <f t="shared" si="2"/>
        <v/>
      </c>
      <c r="J320" s="37" t="str">
        <f t="shared" si="3"/>
        <v/>
      </c>
      <c r="K320" s="38" t="str">
        <f>IF(L320="","",SUMIF(Productos!E:E,L320,Productos!A:A))</f>
        <v/>
      </c>
      <c r="M320" s="39"/>
    </row>
    <row r="321">
      <c r="A321" s="2" t="str">
        <f>IF(B321="","",SUMIF(Productos!E:E,B321,Productos!A:A))</f>
        <v/>
      </c>
      <c r="B321" s="40"/>
      <c r="C321" s="26" t="str">
        <f>IF(B321="","",SUMIF(Prearmados!E:E,B321,Prearmados!G:G))</f>
        <v/>
      </c>
      <c r="D321" s="19"/>
      <c r="E321" s="26" t="str">
        <f>IF(A321="","",IF(SUMIFS(Estructuras!E:E,Estructuras!B:B,A$2,Estructuras!C:C,A321)&gt;0,SUMIFS(Estructuras!E:E,Estructuras!B:B,A$2,Estructuras!C:C,A321),C321*D321))</f>
        <v/>
      </c>
      <c r="F321" s="36"/>
      <c r="G321" s="36"/>
      <c r="H321" s="36"/>
      <c r="I321" s="36" t="str">
        <f t="shared" si="2"/>
        <v/>
      </c>
      <c r="J321" s="37" t="str">
        <f t="shared" si="3"/>
        <v/>
      </c>
      <c r="K321" s="38" t="str">
        <f>IF(L321="","",SUMIF(Productos!E:E,L321,Productos!A:A))</f>
        <v/>
      </c>
      <c r="M321" s="39"/>
    </row>
    <row r="322">
      <c r="A322" s="2" t="str">
        <f>IF(B322="","",SUMIF(Productos!E:E,B322,Productos!A:A))</f>
        <v/>
      </c>
      <c r="B322" s="40"/>
      <c r="C322" s="26" t="str">
        <f>IF(B322="","",SUMIF(Prearmados!E:E,B322,Prearmados!G:G))</f>
        <v/>
      </c>
      <c r="D322" s="19"/>
      <c r="E322" s="26" t="str">
        <f>IF(A322="","",IF(SUMIFS(Estructuras!E:E,Estructuras!B:B,A$2,Estructuras!C:C,A322)&gt;0,SUMIFS(Estructuras!E:E,Estructuras!B:B,A$2,Estructuras!C:C,A322),C322*D322))</f>
        <v/>
      </c>
      <c r="F322" s="36"/>
      <c r="G322" s="36"/>
      <c r="H322" s="36"/>
      <c r="I322" s="36" t="str">
        <f t="shared" si="2"/>
        <v/>
      </c>
      <c r="J322" s="37" t="str">
        <f t="shared" si="3"/>
        <v/>
      </c>
      <c r="K322" s="38" t="str">
        <f>IF(L322="","",SUMIF(Productos!E:E,L322,Productos!A:A))</f>
        <v/>
      </c>
      <c r="M322" s="39"/>
    </row>
    <row r="323">
      <c r="A323" s="2" t="str">
        <f>IF(B323="","",SUMIF(Productos!E:E,B323,Productos!A:A))</f>
        <v/>
      </c>
      <c r="B323" s="40"/>
      <c r="C323" s="26" t="str">
        <f>IF(B323="","",SUMIF(Prearmados!E:E,B323,Prearmados!G:G))</f>
        <v/>
      </c>
      <c r="D323" s="19"/>
      <c r="E323" s="26" t="str">
        <f>IF(A323="","",IF(SUMIFS(Estructuras!E:E,Estructuras!B:B,A$2,Estructuras!C:C,A323)&gt;0,SUMIFS(Estructuras!E:E,Estructuras!B:B,A$2,Estructuras!C:C,A323),C323*D323))</f>
        <v/>
      </c>
      <c r="F323" s="36"/>
      <c r="G323" s="36"/>
      <c r="H323" s="36"/>
      <c r="I323" s="36" t="str">
        <f t="shared" si="2"/>
        <v/>
      </c>
      <c r="J323" s="37" t="str">
        <f t="shared" si="3"/>
        <v/>
      </c>
      <c r="K323" s="38" t="str">
        <f>IF(L323="","",SUMIF(Productos!E:E,L323,Productos!A:A))</f>
        <v/>
      </c>
      <c r="M323" s="39"/>
    </row>
    <row r="324">
      <c r="A324" s="2" t="str">
        <f>IF(B324="","",SUMIF(Productos!E:E,B324,Productos!A:A))</f>
        <v/>
      </c>
      <c r="B324" s="40"/>
      <c r="C324" s="26" t="str">
        <f>IF(B324="","",SUMIF(Prearmados!E:E,B324,Prearmados!G:G))</f>
        <v/>
      </c>
      <c r="D324" s="19"/>
      <c r="E324" s="26" t="str">
        <f>IF(A324="","",IF(SUMIFS(Estructuras!E:E,Estructuras!B:B,A$2,Estructuras!C:C,A324)&gt;0,SUMIFS(Estructuras!E:E,Estructuras!B:B,A$2,Estructuras!C:C,A324),C324*D324))</f>
        <v/>
      </c>
      <c r="F324" s="36"/>
      <c r="G324" s="36"/>
      <c r="H324" s="36"/>
      <c r="I324" s="36" t="str">
        <f t="shared" si="2"/>
        <v/>
      </c>
      <c r="J324" s="37" t="str">
        <f t="shared" si="3"/>
        <v/>
      </c>
      <c r="K324" s="38" t="str">
        <f>IF(L324="","",SUMIF(Productos!E:E,L324,Productos!A:A))</f>
        <v/>
      </c>
      <c r="M324" s="39"/>
    </row>
    <row r="325">
      <c r="A325" s="2" t="str">
        <f>IF(B325="","",SUMIF(Productos!E:E,B325,Productos!A:A))</f>
        <v/>
      </c>
      <c r="B325" s="40"/>
      <c r="C325" s="26" t="str">
        <f>IF(B325="","",SUMIF(Prearmados!E:E,B325,Prearmados!G:G))</f>
        <v/>
      </c>
      <c r="D325" s="19"/>
      <c r="E325" s="26" t="str">
        <f>IF(A325="","",IF(SUMIFS(Estructuras!E:E,Estructuras!B:B,A$2,Estructuras!C:C,A325)&gt;0,SUMIFS(Estructuras!E:E,Estructuras!B:B,A$2,Estructuras!C:C,A325),C325*D325))</f>
        <v/>
      </c>
      <c r="F325" s="36"/>
      <c r="G325" s="36"/>
      <c r="H325" s="36"/>
      <c r="I325" s="36" t="str">
        <f t="shared" si="2"/>
        <v/>
      </c>
      <c r="J325" s="37" t="str">
        <f t="shared" si="3"/>
        <v/>
      </c>
      <c r="K325" s="38" t="str">
        <f>IF(L325="","",SUMIF(Productos!E:E,L325,Productos!A:A))</f>
        <v/>
      </c>
      <c r="M325" s="39"/>
    </row>
    <row r="326">
      <c r="A326" s="2" t="str">
        <f>IF(B326="","",SUMIF(Productos!E:E,B326,Productos!A:A))</f>
        <v/>
      </c>
      <c r="B326" s="40"/>
      <c r="C326" s="26" t="str">
        <f>IF(B326="","",SUMIF(Prearmados!E:E,B326,Prearmados!G:G))</f>
        <v/>
      </c>
      <c r="D326" s="19"/>
      <c r="E326" s="26" t="str">
        <f>IF(A326="","",IF(SUMIFS(Estructuras!E:E,Estructuras!B:B,A$2,Estructuras!C:C,A326)&gt;0,SUMIFS(Estructuras!E:E,Estructuras!B:B,A$2,Estructuras!C:C,A326),C326*D326))</f>
        <v/>
      </c>
      <c r="F326" s="36"/>
      <c r="G326" s="36"/>
      <c r="H326" s="36"/>
      <c r="I326" s="36" t="str">
        <f t="shared" si="2"/>
        <v/>
      </c>
      <c r="J326" s="37" t="str">
        <f t="shared" si="3"/>
        <v/>
      </c>
      <c r="K326" s="38" t="str">
        <f>IF(L326="","",SUMIF(Productos!E:E,L326,Productos!A:A))</f>
        <v/>
      </c>
      <c r="M326" s="39"/>
    </row>
    <row r="327">
      <c r="A327" s="2" t="str">
        <f>IF(B327="","",SUMIF(Productos!E:E,B327,Productos!A:A))</f>
        <v/>
      </c>
      <c r="B327" s="40"/>
      <c r="C327" s="26" t="str">
        <f>IF(B327="","",SUMIF(Prearmados!E:E,B327,Prearmados!G:G))</f>
        <v/>
      </c>
      <c r="D327" s="19"/>
      <c r="E327" s="26" t="str">
        <f>IF(A327="","",IF(SUMIFS(Estructuras!E:E,Estructuras!B:B,A$2,Estructuras!C:C,A327)&gt;0,SUMIFS(Estructuras!E:E,Estructuras!B:B,A$2,Estructuras!C:C,A327),C327*D327))</f>
        <v/>
      </c>
      <c r="F327" s="36"/>
      <c r="G327" s="36"/>
      <c r="H327" s="36"/>
      <c r="I327" s="36" t="str">
        <f t="shared" si="2"/>
        <v/>
      </c>
      <c r="J327" s="37" t="str">
        <f t="shared" si="3"/>
        <v/>
      </c>
      <c r="K327" s="38" t="str">
        <f>IF(L327="","",SUMIF(Productos!E:E,L327,Productos!A:A))</f>
        <v/>
      </c>
      <c r="M327" s="39"/>
    </row>
    <row r="328">
      <c r="A328" s="2" t="str">
        <f>IF(B328="","",SUMIF(Productos!E:E,B328,Productos!A:A))</f>
        <v/>
      </c>
      <c r="B328" s="40"/>
      <c r="C328" s="26" t="str">
        <f>IF(B328="","",SUMIF(Prearmados!E:E,B328,Prearmados!G:G))</f>
        <v/>
      </c>
      <c r="D328" s="19"/>
      <c r="E328" s="26" t="str">
        <f>IF(A328="","",IF(SUMIFS(Estructuras!E:E,Estructuras!B:B,A$2,Estructuras!C:C,A328)&gt;0,SUMIFS(Estructuras!E:E,Estructuras!B:B,A$2,Estructuras!C:C,A328),C328*D328))</f>
        <v/>
      </c>
      <c r="F328" s="36"/>
      <c r="G328" s="36"/>
      <c r="H328" s="36"/>
      <c r="I328" s="36" t="str">
        <f t="shared" si="2"/>
        <v/>
      </c>
      <c r="J328" s="37" t="str">
        <f t="shared" si="3"/>
        <v/>
      </c>
      <c r="K328" s="38" t="str">
        <f>IF(L328="","",SUMIF(Productos!E:E,L328,Productos!A:A))</f>
        <v/>
      </c>
      <c r="M328" s="39"/>
    </row>
    <row r="329">
      <c r="A329" s="2" t="str">
        <f>IF(B329="","",SUMIF(Productos!E:E,B329,Productos!A:A))</f>
        <v/>
      </c>
      <c r="B329" s="40"/>
      <c r="C329" s="26" t="str">
        <f>IF(B329="","",SUMIF(Prearmados!E:E,B329,Prearmados!G:G))</f>
        <v/>
      </c>
      <c r="D329" s="19"/>
      <c r="E329" s="26" t="str">
        <f>IF(A329="","",IF(SUMIFS(Estructuras!E:E,Estructuras!B:B,A$2,Estructuras!C:C,A329)&gt;0,SUMIFS(Estructuras!E:E,Estructuras!B:B,A$2,Estructuras!C:C,A329),C329*D329))</f>
        <v/>
      </c>
      <c r="F329" s="36"/>
      <c r="G329" s="36"/>
      <c r="H329" s="36"/>
      <c r="I329" s="36" t="str">
        <f t="shared" si="2"/>
        <v/>
      </c>
      <c r="J329" s="37" t="str">
        <f t="shared" si="3"/>
        <v/>
      </c>
      <c r="K329" s="38" t="str">
        <f>IF(L329="","",SUMIF(Productos!E:E,L329,Productos!A:A))</f>
        <v/>
      </c>
      <c r="M329" s="39"/>
    </row>
    <row r="330">
      <c r="A330" s="2" t="str">
        <f>IF(B330="","",SUMIF(Productos!E:E,B330,Productos!A:A))</f>
        <v/>
      </c>
      <c r="B330" s="40"/>
      <c r="C330" s="26" t="str">
        <f>IF(B330="","",SUMIF(Prearmados!E:E,B330,Prearmados!G:G))</f>
        <v/>
      </c>
      <c r="D330" s="19"/>
      <c r="E330" s="26" t="str">
        <f>IF(A330="","",IF(SUMIFS(Estructuras!E:E,Estructuras!B:B,A$2,Estructuras!C:C,A330)&gt;0,SUMIFS(Estructuras!E:E,Estructuras!B:B,A$2,Estructuras!C:C,A330),C330*D330))</f>
        <v/>
      </c>
      <c r="F330" s="36"/>
      <c r="G330" s="36"/>
      <c r="H330" s="36"/>
      <c r="I330" s="36" t="str">
        <f t="shared" si="2"/>
        <v/>
      </c>
      <c r="J330" s="37" t="str">
        <f t="shared" si="3"/>
        <v/>
      </c>
      <c r="K330" s="38" t="str">
        <f>IF(L330="","",SUMIF(Productos!E:E,L330,Productos!A:A))</f>
        <v/>
      </c>
      <c r="M330" s="39"/>
    </row>
    <row r="331">
      <c r="A331" s="2" t="str">
        <f>IF(B331="","",SUMIF(Productos!E:E,B331,Productos!A:A))</f>
        <v/>
      </c>
      <c r="B331" s="40"/>
      <c r="C331" s="26" t="str">
        <f>IF(B331="","",SUMIF(Prearmados!E:E,B331,Prearmados!G:G))</f>
        <v/>
      </c>
      <c r="D331" s="19"/>
      <c r="E331" s="26" t="str">
        <f>IF(A331="","",IF(SUMIFS(Estructuras!E:E,Estructuras!B:B,A$2,Estructuras!C:C,A331)&gt;0,SUMIFS(Estructuras!E:E,Estructuras!B:B,A$2,Estructuras!C:C,A331),C331*D331))</f>
        <v/>
      </c>
      <c r="F331" s="36"/>
      <c r="G331" s="36"/>
      <c r="H331" s="36"/>
      <c r="I331" s="36" t="str">
        <f t="shared" si="2"/>
        <v/>
      </c>
      <c r="J331" s="37" t="str">
        <f t="shared" si="3"/>
        <v/>
      </c>
      <c r="K331" s="38" t="str">
        <f>IF(L331="","",SUMIF(Productos!E:E,L331,Productos!A:A))</f>
        <v/>
      </c>
      <c r="M331" s="39"/>
    </row>
    <row r="332">
      <c r="A332" s="2" t="str">
        <f>IF(B332="","",SUMIF(Productos!E:E,B332,Productos!A:A))</f>
        <v/>
      </c>
      <c r="B332" s="40"/>
      <c r="C332" s="26" t="str">
        <f>IF(B332="","",SUMIF(Prearmados!E:E,B332,Prearmados!G:G))</f>
        <v/>
      </c>
      <c r="D332" s="19"/>
      <c r="E332" s="26" t="str">
        <f>IF(A332="","",IF(SUMIFS(Estructuras!E:E,Estructuras!B:B,A$2,Estructuras!C:C,A332)&gt;0,SUMIFS(Estructuras!E:E,Estructuras!B:B,A$2,Estructuras!C:C,A332),C332*D332))</f>
        <v/>
      </c>
      <c r="F332" s="36"/>
      <c r="G332" s="36"/>
      <c r="H332" s="36"/>
      <c r="I332" s="36" t="str">
        <f t="shared" si="2"/>
        <v/>
      </c>
      <c r="J332" s="37" t="str">
        <f t="shared" si="3"/>
        <v/>
      </c>
      <c r="K332" s="38" t="str">
        <f>IF(L332="","",SUMIF(Productos!E:E,L332,Productos!A:A))</f>
        <v/>
      </c>
      <c r="M332" s="39"/>
    </row>
    <row r="333">
      <c r="A333" s="2" t="str">
        <f>IF(B333="","",SUMIF(Productos!E:E,B333,Productos!A:A))</f>
        <v/>
      </c>
      <c r="B333" s="40"/>
      <c r="C333" s="26" t="str">
        <f>IF(B333="","",SUMIF(Prearmados!E:E,B333,Prearmados!G:G))</f>
        <v/>
      </c>
      <c r="D333" s="19"/>
      <c r="E333" s="26" t="str">
        <f>IF(A333="","",IF(SUMIFS(Estructuras!E:E,Estructuras!B:B,A$2,Estructuras!C:C,A333)&gt;0,SUMIFS(Estructuras!E:E,Estructuras!B:B,A$2,Estructuras!C:C,A333),C333*D333))</f>
        <v/>
      </c>
      <c r="F333" s="36"/>
      <c r="G333" s="36"/>
      <c r="H333" s="36"/>
      <c r="I333" s="36" t="str">
        <f t="shared" si="2"/>
        <v/>
      </c>
      <c r="J333" s="37" t="str">
        <f t="shared" si="3"/>
        <v/>
      </c>
      <c r="K333" s="38" t="str">
        <f>IF(L333="","",SUMIF(Productos!E:E,L333,Productos!A:A))</f>
        <v/>
      </c>
      <c r="M333" s="39"/>
    </row>
    <row r="334">
      <c r="A334" s="2" t="str">
        <f>IF(B334="","",SUMIF(Productos!E:E,B334,Productos!A:A))</f>
        <v/>
      </c>
      <c r="B334" s="40"/>
      <c r="C334" s="26" t="str">
        <f>IF(B334="","",SUMIF(Prearmados!E:E,B334,Prearmados!G:G))</f>
        <v/>
      </c>
      <c r="D334" s="19"/>
      <c r="E334" s="26" t="str">
        <f>IF(A334="","",IF(SUMIFS(Estructuras!E:E,Estructuras!B:B,A$2,Estructuras!C:C,A334)&gt;0,SUMIFS(Estructuras!E:E,Estructuras!B:B,A$2,Estructuras!C:C,A334),C334*D334))</f>
        <v/>
      </c>
      <c r="F334" s="36"/>
      <c r="G334" s="36"/>
      <c r="H334" s="36"/>
      <c r="I334" s="36" t="str">
        <f t="shared" si="2"/>
        <v/>
      </c>
      <c r="J334" s="37" t="str">
        <f t="shared" si="3"/>
        <v/>
      </c>
      <c r="K334" s="38" t="str">
        <f>IF(L334="","",SUMIF(Productos!E:E,L334,Productos!A:A))</f>
        <v/>
      </c>
      <c r="M334" s="39"/>
    </row>
    <row r="335">
      <c r="A335" s="2" t="str">
        <f>IF(B335="","",SUMIF(Productos!E:E,B335,Productos!A:A))</f>
        <v/>
      </c>
      <c r="B335" s="40"/>
      <c r="C335" s="26" t="str">
        <f>IF(B335="","",SUMIF(Prearmados!E:E,B335,Prearmados!G:G))</f>
        <v/>
      </c>
      <c r="D335" s="19"/>
      <c r="E335" s="26" t="str">
        <f>IF(A335="","",IF(SUMIFS(Estructuras!E:E,Estructuras!B:B,A$2,Estructuras!C:C,A335)&gt;0,SUMIFS(Estructuras!E:E,Estructuras!B:B,A$2,Estructuras!C:C,A335),C335*D335))</f>
        <v/>
      </c>
      <c r="F335" s="36"/>
      <c r="G335" s="36"/>
      <c r="H335" s="36"/>
      <c r="I335" s="36" t="str">
        <f t="shared" si="2"/>
        <v/>
      </c>
      <c r="J335" s="37" t="str">
        <f t="shared" si="3"/>
        <v/>
      </c>
      <c r="K335" s="38" t="str">
        <f>IF(L335="","",SUMIF(Productos!E:E,L335,Productos!A:A))</f>
        <v/>
      </c>
      <c r="M335" s="39"/>
    </row>
    <row r="336">
      <c r="A336" s="2" t="str">
        <f>IF(B336="","",SUMIF(Productos!E:E,B336,Productos!A:A))</f>
        <v/>
      </c>
      <c r="B336" s="40"/>
      <c r="C336" s="26" t="str">
        <f>IF(B336="","",SUMIF(Prearmados!E:E,B336,Prearmados!G:G))</f>
        <v/>
      </c>
      <c r="D336" s="19"/>
      <c r="E336" s="26" t="str">
        <f>IF(A336="","",IF(SUMIFS(Estructuras!E:E,Estructuras!B:B,A$2,Estructuras!C:C,A336)&gt;0,SUMIFS(Estructuras!E:E,Estructuras!B:B,A$2,Estructuras!C:C,A336),C336*D336))</f>
        <v/>
      </c>
      <c r="F336" s="36"/>
      <c r="G336" s="36"/>
      <c r="H336" s="36"/>
      <c r="I336" s="36" t="str">
        <f t="shared" si="2"/>
        <v/>
      </c>
      <c r="J336" s="37" t="str">
        <f t="shared" si="3"/>
        <v/>
      </c>
      <c r="K336" s="38" t="str">
        <f>IF(L336="","",SUMIF(Productos!E:E,L336,Productos!A:A))</f>
        <v/>
      </c>
      <c r="M336" s="39"/>
    </row>
    <row r="337">
      <c r="A337" s="2" t="str">
        <f>IF(B337="","",SUMIF(Productos!E:E,B337,Productos!A:A))</f>
        <v/>
      </c>
      <c r="B337" s="40"/>
      <c r="C337" s="26" t="str">
        <f>IF(B337="","",SUMIF(Prearmados!E:E,B337,Prearmados!G:G))</f>
        <v/>
      </c>
      <c r="D337" s="19"/>
      <c r="E337" s="26" t="str">
        <f>IF(A337="","",IF(SUMIFS(Estructuras!E:E,Estructuras!B:B,A$2,Estructuras!C:C,A337)&gt;0,SUMIFS(Estructuras!E:E,Estructuras!B:B,A$2,Estructuras!C:C,A337),C337*D337))</f>
        <v/>
      </c>
      <c r="F337" s="36"/>
      <c r="G337" s="36"/>
      <c r="H337" s="36"/>
      <c r="I337" s="36" t="str">
        <f t="shared" si="2"/>
        <v/>
      </c>
      <c r="J337" s="37" t="str">
        <f t="shared" si="3"/>
        <v/>
      </c>
      <c r="K337" s="38" t="str">
        <f>IF(L337="","",SUMIF(Productos!E:E,L337,Productos!A:A))</f>
        <v/>
      </c>
      <c r="M337" s="39"/>
    </row>
    <row r="338">
      <c r="A338" s="2" t="str">
        <f>IF(B338="","",SUMIF(Productos!E:E,B338,Productos!A:A))</f>
        <v/>
      </c>
      <c r="B338" s="40"/>
      <c r="C338" s="26" t="str">
        <f>IF(B338="","",SUMIF(Prearmados!E:E,B338,Prearmados!G:G))</f>
        <v/>
      </c>
      <c r="D338" s="19"/>
      <c r="E338" s="26" t="str">
        <f>IF(A338="","",IF(SUMIFS(Estructuras!E:E,Estructuras!B:B,A$2,Estructuras!C:C,A338)&gt;0,SUMIFS(Estructuras!E:E,Estructuras!B:B,A$2,Estructuras!C:C,A338),C338*D338))</f>
        <v/>
      </c>
      <c r="F338" s="36"/>
      <c r="G338" s="36"/>
      <c r="H338" s="36"/>
      <c r="I338" s="36" t="str">
        <f t="shared" si="2"/>
        <v/>
      </c>
      <c r="J338" s="37" t="str">
        <f t="shared" si="3"/>
        <v/>
      </c>
      <c r="K338" s="38" t="str">
        <f>IF(L338="","",SUMIF(Productos!E:E,L338,Productos!A:A))</f>
        <v/>
      </c>
      <c r="M338" s="39"/>
    </row>
    <row r="339">
      <c r="A339" s="2" t="str">
        <f>IF(B339="","",SUMIF(Productos!E:E,B339,Productos!A:A))</f>
        <v/>
      </c>
      <c r="B339" s="40"/>
      <c r="C339" s="26" t="str">
        <f>IF(B339="","",SUMIF(Prearmados!E:E,B339,Prearmados!G:G))</f>
        <v/>
      </c>
      <c r="D339" s="19"/>
      <c r="E339" s="26" t="str">
        <f>IF(A339="","",IF(SUMIFS(Estructuras!E:E,Estructuras!B:B,A$2,Estructuras!C:C,A339)&gt;0,SUMIFS(Estructuras!E:E,Estructuras!B:B,A$2,Estructuras!C:C,A339),C339*D339))</f>
        <v/>
      </c>
      <c r="F339" s="36"/>
      <c r="G339" s="36"/>
      <c r="H339" s="36"/>
      <c r="I339" s="36" t="str">
        <f t="shared" si="2"/>
        <v/>
      </c>
      <c r="J339" s="37" t="str">
        <f t="shared" si="3"/>
        <v/>
      </c>
      <c r="K339" s="38" t="str">
        <f>IF(L339="","",SUMIF(Productos!E:E,L339,Productos!A:A))</f>
        <v/>
      </c>
      <c r="M339" s="39"/>
    </row>
    <row r="340">
      <c r="A340" s="2" t="str">
        <f>IF(B340="","",SUMIF(Productos!E:E,B340,Productos!A:A))</f>
        <v/>
      </c>
      <c r="B340" s="40"/>
      <c r="C340" s="26" t="str">
        <f>IF(B340="","",SUMIF(Prearmados!E:E,B340,Prearmados!G:G))</f>
        <v/>
      </c>
      <c r="D340" s="19"/>
      <c r="E340" s="26" t="str">
        <f>IF(A340="","",IF(SUMIFS(Estructuras!E:E,Estructuras!B:B,A$2,Estructuras!C:C,A340)&gt;0,SUMIFS(Estructuras!E:E,Estructuras!B:B,A$2,Estructuras!C:C,A340),C340*D340))</f>
        <v/>
      </c>
      <c r="F340" s="36"/>
      <c r="G340" s="36"/>
      <c r="H340" s="36"/>
      <c r="I340" s="36" t="str">
        <f t="shared" si="2"/>
        <v/>
      </c>
      <c r="J340" s="37" t="str">
        <f t="shared" si="3"/>
        <v/>
      </c>
      <c r="K340" s="38" t="str">
        <f>IF(L340="","",SUMIF(Productos!E:E,L340,Productos!A:A))</f>
        <v/>
      </c>
      <c r="M340" s="39"/>
    </row>
    <row r="341">
      <c r="A341" s="2" t="str">
        <f>IF(B341="","",SUMIF(Productos!E:E,B341,Productos!A:A))</f>
        <v/>
      </c>
      <c r="B341" s="40"/>
      <c r="C341" s="26" t="str">
        <f>IF(B341="","",SUMIF(Prearmados!E:E,B341,Prearmados!G:G))</f>
        <v/>
      </c>
      <c r="D341" s="19"/>
      <c r="E341" s="26" t="str">
        <f>IF(A341="","",IF(SUMIFS(Estructuras!E:E,Estructuras!B:B,A$2,Estructuras!C:C,A341)&gt;0,SUMIFS(Estructuras!E:E,Estructuras!B:B,A$2,Estructuras!C:C,A341),C341*D341))</f>
        <v/>
      </c>
      <c r="F341" s="36"/>
      <c r="G341" s="36"/>
      <c r="H341" s="36"/>
      <c r="I341" s="36" t="str">
        <f t="shared" si="2"/>
        <v/>
      </c>
      <c r="J341" s="37" t="str">
        <f t="shared" si="3"/>
        <v/>
      </c>
      <c r="K341" s="38" t="str">
        <f>IF(L341="","",SUMIF(Productos!E:E,L341,Productos!A:A))</f>
        <v/>
      </c>
      <c r="M341" s="39"/>
    </row>
    <row r="342">
      <c r="A342" s="2" t="str">
        <f>IF(B342="","",SUMIF(Productos!E:E,B342,Productos!A:A))</f>
        <v/>
      </c>
      <c r="B342" s="40"/>
      <c r="C342" s="26" t="str">
        <f>IF(B342="","",SUMIF(Prearmados!E:E,B342,Prearmados!G:G))</f>
        <v/>
      </c>
      <c r="D342" s="19"/>
      <c r="E342" s="26" t="str">
        <f>IF(A342="","",IF(SUMIFS(Estructuras!E:E,Estructuras!B:B,A$2,Estructuras!C:C,A342)&gt;0,SUMIFS(Estructuras!E:E,Estructuras!B:B,A$2,Estructuras!C:C,A342),C342*D342))</f>
        <v/>
      </c>
      <c r="F342" s="36"/>
      <c r="G342" s="36"/>
      <c r="H342" s="36"/>
      <c r="I342" s="36" t="str">
        <f t="shared" si="2"/>
        <v/>
      </c>
      <c r="J342" s="37" t="str">
        <f t="shared" si="3"/>
        <v/>
      </c>
      <c r="K342" s="38" t="str">
        <f>IF(L342="","",SUMIF(Productos!E:E,L342,Productos!A:A))</f>
        <v/>
      </c>
      <c r="M342" s="39"/>
    </row>
    <row r="343">
      <c r="A343" s="2" t="str">
        <f>IF(B343="","",SUMIF(Productos!E:E,B343,Productos!A:A))</f>
        <v/>
      </c>
      <c r="B343" s="40"/>
      <c r="C343" s="26" t="str">
        <f>IF(B343="","",SUMIF(Prearmados!E:E,B343,Prearmados!G:G))</f>
        <v/>
      </c>
      <c r="D343" s="19"/>
      <c r="E343" s="26" t="str">
        <f>IF(A343="","",IF(SUMIFS(Estructuras!E:E,Estructuras!B:B,A$2,Estructuras!C:C,A343)&gt;0,SUMIFS(Estructuras!E:E,Estructuras!B:B,A$2,Estructuras!C:C,A343),C343*D343))</f>
        <v/>
      </c>
      <c r="F343" s="36"/>
      <c r="G343" s="36"/>
      <c r="H343" s="36"/>
      <c r="I343" s="36" t="str">
        <f t="shared" si="2"/>
        <v/>
      </c>
      <c r="J343" s="37" t="str">
        <f t="shared" si="3"/>
        <v/>
      </c>
      <c r="K343" s="38" t="str">
        <f>IF(L343="","",SUMIF(Productos!E:E,L343,Productos!A:A))</f>
        <v/>
      </c>
      <c r="M343" s="39"/>
    </row>
    <row r="344">
      <c r="A344" s="2" t="str">
        <f>IF(B344="","",SUMIF(Productos!E:E,B344,Productos!A:A))</f>
        <v/>
      </c>
      <c r="B344" s="40"/>
      <c r="C344" s="26" t="str">
        <f>IF(B344="","",SUMIF(Prearmados!E:E,B344,Prearmados!G:G))</f>
        <v/>
      </c>
      <c r="D344" s="19"/>
      <c r="E344" s="26" t="str">
        <f>IF(A344="","",IF(SUMIFS(Estructuras!E:E,Estructuras!B:B,A$2,Estructuras!C:C,A344)&gt;0,SUMIFS(Estructuras!E:E,Estructuras!B:B,A$2,Estructuras!C:C,A344),C344*D344))</f>
        <v/>
      </c>
      <c r="F344" s="36"/>
      <c r="G344" s="36"/>
      <c r="H344" s="36"/>
      <c r="I344" s="36" t="str">
        <f t="shared" si="2"/>
        <v/>
      </c>
      <c r="J344" s="37" t="str">
        <f t="shared" si="3"/>
        <v/>
      </c>
      <c r="K344" s="38" t="str">
        <f>IF(L344="","",SUMIF(Productos!E:E,L344,Productos!A:A))</f>
        <v/>
      </c>
      <c r="M344" s="39"/>
    </row>
    <row r="345">
      <c r="A345" s="2" t="str">
        <f>IF(B345="","",SUMIF(Productos!E:E,B345,Productos!A:A))</f>
        <v/>
      </c>
      <c r="B345" s="40"/>
      <c r="C345" s="26" t="str">
        <f>IF(B345="","",SUMIF(Prearmados!E:E,B345,Prearmados!G:G))</f>
        <v/>
      </c>
      <c r="D345" s="19"/>
      <c r="E345" s="26" t="str">
        <f>IF(A345="","",IF(SUMIFS(Estructuras!E:E,Estructuras!B:B,A$2,Estructuras!C:C,A345)&gt;0,SUMIFS(Estructuras!E:E,Estructuras!B:B,A$2,Estructuras!C:C,A345),C345*D345))</f>
        <v/>
      </c>
      <c r="F345" s="36"/>
      <c r="G345" s="36"/>
      <c r="H345" s="36"/>
      <c r="I345" s="36" t="str">
        <f t="shared" si="2"/>
        <v/>
      </c>
      <c r="J345" s="37" t="str">
        <f t="shared" si="3"/>
        <v/>
      </c>
      <c r="K345" s="38" t="str">
        <f>IF(L345="","",SUMIF(Productos!E:E,L345,Productos!A:A))</f>
        <v/>
      </c>
      <c r="M345" s="39"/>
    </row>
    <row r="346">
      <c r="A346" s="2" t="str">
        <f>IF(B346="","",SUMIF(Productos!E:E,B346,Productos!A:A))</f>
        <v/>
      </c>
      <c r="B346" s="40"/>
      <c r="C346" s="26" t="str">
        <f>IF(B346="","",SUMIF(Prearmados!E:E,B346,Prearmados!G:G))</f>
        <v/>
      </c>
      <c r="D346" s="19"/>
      <c r="E346" s="26" t="str">
        <f>IF(A346="","",IF(SUMIFS(Estructuras!E:E,Estructuras!B:B,A$2,Estructuras!C:C,A346)&gt;0,SUMIFS(Estructuras!E:E,Estructuras!B:B,A$2,Estructuras!C:C,A346),C346*D346))</f>
        <v/>
      </c>
      <c r="F346" s="36"/>
      <c r="G346" s="36"/>
      <c r="H346" s="36"/>
      <c r="I346" s="36" t="str">
        <f t="shared" si="2"/>
        <v/>
      </c>
      <c r="J346" s="37" t="str">
        <f t="shared" si="3"/>
        <v/>
      </c>
      <c r="K346" s="38" t="str">
        <f>IF(L346="","",SUMIF(Productos!E:E,L346,Productos!A:A))</f>
        <v/>
      </c>
      <c r="M346" s="39"/>
    </row>
    <row r="347">
      <c r="A347" s="2" t="str">
        <f>IF(B347="","",SUMIF(Productos!E:E,B347,Productos!A:A))</f>
        <v/>
      </c>
      <c r="B347" s="40"/>
      <c r="C347" s="26" t="str">
        <f>IF(B347="","",SUMIF(Prearmados!E:E,B347,Prearmados!G:G))</f>
        <v/>
      </c>
      <c r="D347" s="19"/>
      <c r="E347" s="26" t="str">
        <f>IF(A347="","",IF(SUMIFS(Estructuras!E:E,Estructuras!B:B,A$2,Estructuras!C:C,A347)&gt;0,SUMIFS(Estructuras!E:E,Estructuras!B:B,A$2,Estructuras!C:C,A347),C347*D347))</f>
        <v/>
      </c>
      <c r="F347" s="36"/>
      <c r="G347" s="36"/>
      <c r="H347" s="36"/>
      <c r="I347" s="36" t="str">
        <f t="shared" si="2"/>
        <v/>
      </c>
      <c r="J347" s="37" t="str">
        <f t="shared" si="3"/>
        <v/>
      </c>
      <c r="K347" s="38" t="str">
        <f>IF(L347="","",SUMIF(Productos!E:E,L347,Productos!A:A))</f>
        <v/>
      </c>
      <c r="M347" s="39"/>
    </row>
    <row r="348">
      <c r="A348" s="2" t="str">
        <f>IF(B348="","",SUMIF(Productos!E:E,B348,Productos!A:A))</f>
        <v/>
      </c>
      <c r="B348" s="40"/>
      <c r="C348" s="26" t="str">
        <f>IF(B348="","",SUMIF(Prearmados!E:E,B348,Prearmados!G:G))</f>
        <v/>
      </c>
      <c r="D348" s="19"/>
      <c r="E348" s="26" t="str">
        <f>IF(A348="","",IF(SUMIFS(Estructuras!E:E,Estructuras!B:B,A$2,Estructuras!C:C,A348)&gt;0,SUMIFS(Estructuras!E:E,Estructuras!B:B,A$2,Estructuras!C:C,A348),C348*D348))</f>
        <v/>
      </c>
      <c r="F348" s="36"/>
      <c r="G348" s="36"/>
      <c r="H348" s="36"/>
      <c r="I348" s="36" t="str">
        <f t="shared" si="2"/>
        <v/>
      </c>
      <c r="J348" s="37" t="str">
        <f t="shared" si="3"/>
        <v/>
      </c>
      <c r="K348" s="38" t="str">
        <f>IF(L348="","",SUMIF(Productos!E:E,L348,Productos!A:A))</f>
        <v/>
      </c>
      <c r="M348" s="39"/>
    </row>
    <row r="349">
      <c r="A349" s="2" t="str">
        <f>IF(B349="","",SUMIF(Productos!E:E,B349,Productos!A:A))</f>
        <v/>
      </c>
      <c r="B349" s="40"/>
      <c r="C349" s="26" t="str">
        <f>IF(B349="","",SUMIF(Prearmados!E:E,B349,Prearmados!G:G))</f>
        <v/>
      </c>
      <c r="D349" s="19"/>
      <c r="E349" s="26" t="str">
        <f>IF(A349="","",IF(SUMIFS(Estructuras!E:E,Estructuras!B:B,A$2,Estructuras!C:C,A349)&gt;0,SUMIFS(Estructuras!E:E,Estructuras!B:B,A$2,Estructuras!C:C,A349),C349*D349))</f>
        <v/>
      </c>
      <c r="F349" s="36"/>
      <c r="G349" s="36"/>
      <c r="H349" s="36"/>
      <c r="I349" s="36" t="str">
        <f t="shared" si="2"/>
        <v/>
      </c>
      <c r="J349" s="37" t="str">
        <f t="shared" si="3"/>
        <v/>
      </c>
      <c r="K349" s="38" t="str">
        <f>IF(L349="","",SUMIF(Productos!E:E,L349,Productos!A:A))</f>
        <v/>
      </c>
      <c r="M349" s="39"/>
    </row>
    <row r="350">
      <c r="A350" s="2" t="str">
        <f>IF(B350="","",SUMIF(Productos!E:E,B350,Productos!A:A))</f>
        <v/>
      </c>
      <c r="B350" s="40"/>
      <c r="C350" s="26" t="str">
        <f>IF(B350="","",SUMIF(Prearmados!E:E,B350,Prearmados!G:G))</f>
        <v/>
      </c>
      <c r="D350" s="19"/>
      <c r="E350" s="26" t="str">
        <f>IF(A350="","",IF(SUMIFS(Estructuras!E:E,Estructuras!B:B,A$2,Estructuras!C:C,A350)&gt;0,SUMIFS(Estructuras!E:E,Estructuras!B:B,A$2,Estructuras!C:C,A350),C350*D350))</f>
        <v/>
      </c>
      <c r="F350" s="36"/>
      <c r="G350" s="36"/>
      <c r="H350" s="36"/>
      <c r="I350" s="36" t="str">
        <f t="shared" si="2"/>
        <v/>
      </c>
      <c r="J350" s="37" t="str">
        <f t="shared" si="3"/>
        <v/>
      </c>
      <c r="K350" s="38" t="str">
        <f>IF(L350="","",SUMIF(Productos!E:E,L350,Productos!A:A))</f>
        <v/>
      </c>
      <c r="M350" s="39"/>
    </row>
    <row r="351">
      <c r="A351" s="2" t="str">
        <f>IF(B351="","",SUMIF(Productos!E:E,B351,Productos!A:A))</f>
        <v/>
      </c>
      <c r="B351" s="40"/>
      <c r="C351" s="26" t="str">
        <f>IF(B351="","",SUMIF(Prearmados!E:E,B351,Prearmados!G:G))</f>
        <v/>
      </c>
      <c r="D351" s="19"/>
      <c r="E351" s="26" t="str">
        <f>IF(A351="","",IF(SUMIFS(Estructuras!E:E,Estructuras!B:B,A$2,Estructuras!C:C,A351)&gt;0,SUMIFS(Estructuras!E:E,Estructuras!B:B,A$2,Estructuras!C:C,A351),C351*D351))</f>
        <v/>
      </c>
      <c r="F351" s="36"/>
      <c r="G351" s="36"/>
      <c r="H351" s="36"/>
      <c r="I351" s="36" t="str">
        <f t="shared" si="2"/>
        <v/>
      </c>
      <c r="J351" s="37" t="str">
        <f t="shared" si="3"/>
        <v/>
      </c>
      <c r="K351" s="38" t="str">
        <f>IF(L351="","",SUMIF(Productos!E:E,L351,Productos!A:A))</f>
        <v/>
      </c>
      <c r="M351" s="39"/>
    </row>
    <row r="352">
      <c r="A352" s="2" t="str">
        <f>IF(B352="","",SUMIF(Productos!E:E,B352,Productos!A:A))</f>
        <v/>
      </c>
      <c r="B352" s="40"/>
      <c r="C352" s="26" t="str">
        <f>IF(B352="","",SUMIF(Prearmados!E:E,B352,Prearmados!G:G))</f>
        <v/>
      </c>
      <c r="D352" s="19"/>
      <c r="E352" s="26" t="str">
        <f>IF(A352="","",IF(SUMIFS(Estructuras!E:E,Estructuras!B:B,A$2,Estructuras!C:C,A352)&gt;0,SUMIFS(Estructuras!E:E,Estructuras!B:B,A$2,Estructuras!C:C,A352),C352*D352))</f>
        <v/>
      </c>
      <c r="F352" s="36"/>
      <c r="G352" s="36"/>
      <c r="H352" s="36"/>
      <c r="I352" s="36" t="str">
        <f t="shared" si="2"/>
        <v/>
      </c>
      <c r="J352" s="37" t="str">
        <f t="shared" si="3"/>
        <v/>
      </c>
      <c r="K352" s="38" t="str">
        <f>IF(L352="","",SUMIF(Productos!E:E,L352,Productos!A:A))</f>
        <v/>
      </c>
      <c r="M352" s="39"/>
    </row>
    <row r="353">
      <c r="A353" s="2" t="str">
        <f>IF(B353="","",SUMIF(Productos!E:E,B353,Productos!A:A))</f>
        <v/>
      </c>
      <c r="B353" s="40"/>
      <c r="C353" s="26" t="str">
        <f>IF(B353="","",SUMIF(Prearmados!E:E,B353,Prearmados!G:G))</f>
        <v/>
      </c>
      <c r="D353" s="19"/>
      <c r="E353" s="26" t="str">
        <f>IF(A353="","",IF(SUMIFS(Estructuras!E:E,Estructuras!B:B,A$2,Estructuras!C:C,A353)&gt;0,SUMIFS(Estructuras!E:E,Estructuras!B:B,A$2,Estructuras!C:C,A353),C353*D353))</f>
        <v/>
      </c>
      <c r="F353" s="36"/>
      <c r="G353" s="36"/>
      <c r="H353" s="36"/>
      <c r="I353" s="36" t="str">
        <f t="shared" si="2"/>
        <v/>
      </c>
      <c r="J353" s="37" t="str">
        <f t="shared" si="3"/>
        <v/>
      </c>
      <c r="K353" s="38" t="str">
        <f>IF(L353="","",SUMIF(Productos!E:E,L353,Productos!A:A))</f>
        <v/>
      </c>
      <c r="M353" s="39"/>
    </row>
    <row r="354">
      <c r="A354" s="2" t="str">
        <f>IF(B354="","",SUMIF(Productos!E:E,B354,Productos!A:A))</f>
        <v/>
      </c>
      <c r="B354" s="40"/>
      <c r="C354" s="26" t="str">
        <f>IF(B354="","",SUMIF(Prearmados!E:E,B354,Prearmados!G:G))</f>
        <v/>
      </c>
      <c r="D354" s="19"/>
      <c r="E354" s="26" t="str">
        <f>IF(A354="","",IF(SUMIFS(Estructuras!E:E,Estructuras!B:B,A$2,Estructuras!C:C,A354)&gt;0,SUMIFS(Estructuras!E:E,Estructuras!B:B,A$2,Estructuras!C:C,A354),C354*D354))</f>
        <v/>
      </c>
      <c r="F354" s="36"/>
      <c r="G354" s="36"/>
      <c r="H354" s="36"/>
      <c r="I354" s="36" t="str">
        <f t="shared" si="2"/>
        <v/>
      </c>
      <c r="J354" s="37" t="str">
        <f t="shared" si="3"/>
        <v/>
      </c>
      <c r="K354" s="38" t="str">
        <f>IF(L354="","",SUMIF(Productos!E:E,L354,Productos!A:A))</f>
        <v/>
      </c>
      <c r="M354" s="39"/>
    </row>
    <row r="355">
      <c r="A355" s="2" t="str">
        <f>IF(B355="","",SUMIF(Productos!E:E,B355,Productos!A:A))</f>
        <v/>
      </c>
      <c r="B355" s="40"/>
      <c r="C355" s="26" t="str">
        <f>IF(B355="","",SUMIF(Prearmados!E:E,B355,Prearmados!G:G))</f>
        <v/>
      </c>
      <c r="D355" s="19"/>
      <c r="E355" s="26" t="str">
        <f>IF(A355="","",IF(SUMIFS(Estructuras!E:E,Estructuras!B:B,A$2,Estructuras!C:C,A355)&gt;0,SUMIFS(Estructuras!E:E,Estructuras!B:B,A$2,Estructuras!C:C,A355),C355*D355))</f>
        <v/>
      </c>
      <c r="F355" s="36"/>
      <c r="G355" s="36"/>
      <c r="H355" s="36"/>
      <c r="I355" s="36" t="str">
        <f t="shared" si="2"/>
        <v/>
      </c>
      <c r="J355" s="37" t="str">
        <f t="shared" si="3"/>
        <v/>
      </c>
      <c r="K355" s="38" t="str">
        <f>IF(L355="","",SUMIF(Productos!E:E,L355,Productos!A:A))</f>
        <v/>
      </c>
      <c r="M355" s="39"/>
    </row>
    <row r="356">
      <c r="A356" s="2" t="str">
        <f>IF(B356="","",SUMIF(Productos!E:E,B356,Productos!A:A))</f>
        <v/>
      </c>
      <c r="B356" s="40"/>
      <c r="C356" s="26" t="str">
        <f>IF(B356="","",SUMIF(Prearmados!E:E,B356,Prearmados!G:G))</f>
        <v/>
      </c>
      <c r="D356" s="19"/>
      <c r="E356" s="26" t="str">
        <f>IF(A356="","",IF(SUMIFS(Estructuras!E:E,Estructuras!B:B,A$2,Estructuras!C:C,A356)&gt;0,SUMIFS(Estructuras!E:E,Estructuras!B:B,A$2,Estructuras!C:C,A356),C356*D356))</f>
        <v/>
      </c>
      <c r="F356" s="36"/>
      <c r="G356" s="36"/>
      <c r="H356" s="36"/>
      <c r="I356" s="36" t="str">
        <f t="shared" si="2"/>
        <v/>
      </c>
      <c r="J356" s="37" t="str">
        <f t="shared" si="3"/>
        <v/>
      </c>
      <c r="K356" s="38" t="str">
        <f>IF(L356="","",SUMIF(Productos!E:E,L356,Productos!A:A))</f>
        <v/>
      </c>
      <c r="M356" s="39"/>
    </row>
    <row r="357">
      <c r="A357" s="2" t="str">
        <f>IF(B357="","",SUMIF(Productos!E:E,B357,Productos!A:A))</f>
        <v/>
      </c>
      <c r="B357" s="40"/>
      <c r="C357" s="26" t="str">
        <f>IF(B357="","",SUMIF(Prearmados!E:E,B357,Prearmados!G:G))</f>
        <v/>
      </c>
      <c r="D357" s="19"/>
      <c r="E357" s="26" t="str">
        <f>IF(A357="","",IF(SUMIFS(Estructuras!E:E,Estructuras!B:B,A$2,Estructuras!C:C,A357)&gt;0,SUMIFS(Estructuras!E:E,Estructuras!B:B,A$2,Estructuras!C:C,A357),C357*D357))</f>
        <v/>
      </c>
      <c r="F357" s="36"/>
      <c r="G357" s="36"/>
      <c r="H357" s="36"/>
      <c r="I357" s="36" t="str">
        <f t="shared" si="2"/>
        <v/>
      </c>
      <c r="J357" s="37" t="str">
        <f t="shared" si="3"/>
        <v/>
      </c>
      <c r="K357" s="38" t="str">
        <f>IF(L357="","",SUMIF(Productos!E:E,L357,Productos!A:A))</f>
        <v/>
      </c>
      <c r="M357" s="39"/>
    </row>
    <row r="358">
      <c r="A358" s="2" t="str">
        <f>IF(B358="","",SUMIF(Productos!E:E,B358,Productos!A:A))</f>
        <v/>
      </c>
      <c r="B358" s="40"/>
      <c r="C358" s="26" t="str">
        <f>IF(B358="","",SUMIF(Prearmados!E:E,B358,Prearmados!G:G))</f>
        <v/>
      </c>
      <c r="D358" s="19"/>
      <c r="E358" s="26" t="str">
        <f>IF(A358="","",IF(SUMIFS(Estructuras!E:E,Estructuras!B:B,A$2,Estructuras!C:C,A358)&gt;0,SUMIFS(Estructuras!E:E,Estructuras!B:B,A$2,Estructuras!C:C,A358),C358*D358))</f>
        <v/>
      </c>
      <c r="F358" s="36"/>
      <c r="G358" s="36"/>
      <c r="H358" s="36"/>
      <c r="I358" s="36" t="str">
        <f t="shared" si="2"/>
        <v/>
      </c>
      <c r="J358" s="37" t="str">
        <f t="shared" si="3"/>
        <v/>
      </c>
      <c r="K358" s="38" t="str">
        <f>IF(L358="","",SUMIF(Productos!E:E,L358,Productos!A:A))</f>
        <v/>
      </c>
      <c r="M358" s="39"/>
    </row>
    <row r="359">
      <c r="A359" s="2" t="str">
        <f>IF(B359="","",SUMIF(Productos!E:E,B359,Productos!A:A))</f>
        <v/>
      </c>
      <c r="B359" s="40"/>
      <c r="C359" s="26" t="str">
        <f>IF(B359="","",SUMIF(Prearmados!E:E,B359,Prearmados!G:G))</f>
        <v/>
      </c>
      <c r="D359" s="19"/>
      <c r="E359" s="26" t="str">
        <f>IF(A359="","",IF(SUMIFS(Estructuras!E:E,Estructuras!B:B,A$2,Estructuras!C:C,A359)&gt;0,SUMIFS(Estructuras!E:E,Estructuras!B:B,A$2,Estructuras!C:C,A359),C359*D359))</f>
        <v/>
      </c>
      <c r="F359" s="36"/>
      <c r="G359" s="36"/>
      <c r="H359" s="36"/>
      <c r="I359" s="36" t="str">
        <f t="shared" si="2"/>
        <v/>
      </c>
      <c r="J359" s="37" t="str">
        <f t="shared" si="3"/>
        <v/>
      </c>
      <c r="K359" s="38" t="str">
        <f>IF(L359="","",SUMIF(Productos!E:E,L359,Productos!A:A))</f>
        <v/>
      </c>
      <c r="M359" s="39"/>
    </row>
    <row r="360">
      <c r="A360" s="2" t="str">
        <f>IF(B360="","",SUMIF(Productos!E:E,B360,Productos!A:A))</f>
        <v/>
      </c>
      <c r="B360" s="40"/>
      <c r="C360" s="26" t="str">
        <f>IF(B360="","",SUMIF(Prearmados!E:E,B360,Prearmados!G:G))</f>
        <v/>
      </c>
      <c r="D360" s="19"/>
      <c r="E360" s="26" t="str">
        <f>IF(A360="","",IF(SUMIFS(Estructuras!E:E,Estructuras!B:B,A$2,Estructuras!C:C,A360)&gt;0,SUMIFS(Estructuras!E:E,Estructuras!B:B,A$2,Estructuras!C:C,A360),C360*D360))</f>
        <v/>
      </c>
      <c r="F360" s="36"/>
      <c r="G360" s="36"/>
      <c r="H360" s="36"/>
      <c r="I360" s="36" t="str">
        <f t="shared" si="2"/>
        <v/>
      </c>
      <c r="J360" s="37" t="str">
        <f t="shared" si="3"/>
        <v/>
      </c>
      <c r="K360" s="38" t="str">
        <f>IF(L360="","",SUMIF(Productos!E:E,L360,Productos!A:A))</f>
        <v/>
      </c>
      <c r="M360" s="39"/>
    </row>
    <row r="361">
      <c r="A361" s="2" t="str">
        <f>IF(B361="","",SUMIF(Productos!E:E,B361,Productos!A:A))</f>
        <v/>
      </c>
      <c r="B361" s="40"/>
      <c r="C361" s="26" t="str">
        <f>IF(B361="","",SUMIF(Prearmados!E:E,B361,Prearmados!G:G))</f>
        <v/>
      </c>
      <c r="D361" s="19"/>
      <c r="E361" s="26" t="str">
        <f>IF(A361="","",IF(SUMIFS(Estructuras!E:E,Estructuras!B:B,A$2,Estructuras!C:C,A361)&gt;0,SUMIFS(Estructuras!E:E,Estructuras!B:B,A$2,Estructuras!C:C,A361),C361*D361))</f>
        <v/>
      </c>
      <c r="F361" s="36"/>
      <c r="G361" s="36"/>
      <c r="H361" s="36"/>
      <c r="I361" s="36" t="str">
        <f t="shared" si="2"/>
        <v/>
      </c>
      <c r="J361" s="37" t="str">
        <f t="shared" si="3"/>
        <v/>
      </c>
      <c r="K361" s="38" t="str">
        <f>IF(L361="","",SUMIF(Productos!E:E,L361,Productos!A:A))</f>
        <v/>
      </c>
      <c r="M361" s="39"/>
    </row>
    <row r="362">
      <c r="A362" s="2" t="str">
        <f>IF(B362="","",SUMIF(Productos!E:E,B362,Productos!A:A))</f>
        <v/>
      </c>
      <c r="B362" s="40"/>
      <c r="C362" s="26" t="str">
        <f>IF(B362="","",SUMIF(Prearmados!E:E,B362,Prearmados!G:G))</f>
        <v/>
      </c>
      <c r="D362" s="19"/>
      <c r="E362" s="26" t="str">
        <f>IF(A362="","",IF(SUMIFS(Estructuras!E:E,Estructuras!B:B,A$2,Estructuras!C:C,A362)&gt;0,SUMIFS(Estructuras!E:E,Estructuras!B:B,A$2,Estructuras!C:C,A362),C362*D362))</f>
        <v/>
      </c>
      <c r="F362" s="36"/>
      <c r="G362" s="36"/>
      <c r="H362" s="36"/>
      <c r="I362" s="36" t="str">
        <f t="shared" si="2"/>
        <v/>
      </c>
      <c r="J362" s="37" t="str">
        <f t="shared" si="3"/>
        <v/>
      </c>
      <c r="K362" s="38" t="str">
        <f>IF(L362="","",SUMIF(Productos!E:E,L362,Productos!A:A))</f>
        <v/>
      </c>
      <c r="M362" s="39"/>
    </row>
    <row r="363">
      <c r="A363" s="2" t="str">
        <f>IF(B363="","",SUMIF(Productos!E:E,B363,Productos!A:A))</f>
        <v/>
      </c>
      <c r="B363" s="40"/>
      <c r="C363" s="26" t="str">
        <f>IF(B363="","",SUMIF(Prearmados!E:E,B363,Prearmados!G:G))</f>
        <v/>
      </c>
      <c r="D363" s="19"/>
      <c r="E363" s="26" t="str">
        <f>IF(A363="","",IF(SUMIFS(Estructuras!E:E,Estructuras!B:B,A$2,Estructuras!C:C,A363)&gt;0,SUMIFS(Estructuras!E:E,Estructuras!B:B,A$2,Estructuras!C:C,A363),C363*D363))</f>
        <v/>
      </c>
      <c r="F363" s="36"/>
      <c r="G363" s="36"/>
      <c r="H363" s="36"/>
      <c r="I363" s="36" t="str">
        <f t="shared" si="2"/>
        <v/>
      </c>
      <c r="J363" s="37" t="str">
        <f t="shared" si="3"/>
        <v/>
      </c>
      <c r="K363" s="38" t="str">
        <f>IF(L363="","",SUMIF(Productos!E:E,L363,Productos!A:A))</f>
        <v/>
      </c>
      <c r="M363" s="39"/>
    </row>
    <row r="364">
      <c r="A364" s="2" t="str">
        <f>IF(B364="","",SUMIF(Productos!E:E,B364,Productos!A:A))</f>
        <v/>
      </c>
      <c r="B364" s="40"/>
      <c r="C364" s="26" t="str">
        <f>IF(B364="","",SUMIF(Prearmados!E:E,B364,Prearmados!G:G))</f>
        <v/>
      </c>
      <c r="D364" s="19"/>
      <c r="E364" s="26" t="str">
        <f>IF(A364="","",IF(SUMIFS(Estructuras!E:E,Estructuras!B:B,A$2,Estructuras!C:C,A364)&gt;0,SUMIFS(Estructuras!E:E,Estructuras!B:B,A$2,Estructuras!C:C,A364),C364*D364))</f>
        <v/>
      </c>
      <c r="F364" s="36"/>
      <c r="G364" s="36"/>
      <c r="H364" s="36"/>
      <c r="I364" s="36" t="str">
        <f t="shared" si="2"/>
        <v/>
      </c>
      <c r="J364" s="37" t="str">
        <f t="shared" si="3"/>
        <v/>
      </c>
      <c r="K364" s="38" t="str">
        <f>IF(L364="","",SUMIF(Productos!E:E,L364,Productos!A:A))</f>
        <v/>
      </c>
      <c r="M364" s="39"/>
    </row>
    <row r="365">
      <c r="A365" s="2" t="str">
        <f>IF(B365="","",SUMIF(Productos!E:E,B365,Productos!A:A))</f>
        <v/>
      </c>
      <c r="B365" s="40"/>
      <c r="C365" s="26" t="str">
        <f>IF(B365="","",SUMIF(Prearmados!E:E,B365,Prearmados!G:G))</f>
        <v/>
      </c>
      <c r="D365" s="19"/>
      <c r="E365" s="26" t="str">
        <f>IF(A365="","",IF(SUMIFS(Estructuras!E:E,Estructuras!B:B,A$2,Estructuras!C:C,A365)&gt;0,SUMIFS(Estructuras!E:E,Estructuras!B:B,A$2,Estructuras!C:C,A365),C365*D365))</f>
        <v/>
      </c>
      <c r="F365" s="36"/>
      <c r="G365" s="36"/>
      <c r="H365" s="36"/>
      <c r="I365" s="36" t="str">
        <f t="shared" si="2"/>
        <v/>
      </c>
      <c r="J365" s="37" t="str">
        <f t="shared" si="3"/>
        <v/>
      </c>
      <c r="K365" s="38" t="str">
        <f>IF(L365="","",SUMIF(Productos!E:E,L365,Productos!A:A))</f>
        <v/>
      </c>
      <c r="M365" s="39"/>
    </row>
    <row r="366">
      <c r="A366" s="2" t="str">
        <f>IF(B366="","",SUMIF(Productos!E:E,B366,Productos!A:A))</f>
        <v/>
      </c>
      <c r="B366" s="40"/>
      <c r="C366" s="26" t="str">
        <f>IF(B366="","",SUMIF(Prearmados!E:E,B366,Prearmados!G:G))</f>
        <v/>
      </c>
      <c r="D366" s="19"/>
      <c r="E366" s="26" t="str">
        <f>IF(A366="","",IF(SUMIFS(Estructuras!E:E,Estructuras!B:B,A$2,Estructuras!C:C,A366)&gt;0,SUMIFS(Estructuras!E:E,Estructuras!B:B,A$2,Estructuras!C:C,A366),C366*D366))</f>
        <v/>
      </c>
      <c r="F366" s="36"/>
      <c r="G366" s="36"/>
      <c r="H366" s="36"/>
      <c r="I366" s="36" t="str">
        <f t="shared" si="2"/>
        <v/>
      </c>
      <c r="J366" s="37" t="str">
        <f t="shared" si="3"/>
        <v/>
      </c>
      <c r="K366" s="38" t="str">
        <f>IF(L366="","",SUMIF(Productos!E:E,L366,Productos!A:A))</f>
        <v/>
      </c>
      <c r="M366" s="39"/>
    </row>
    <row r="367">
      <c r="A367" s="2" t="str">
        <f>IF(B367="","",SUMIF(Productos!E:E,B367,Productos!A:A))</f>
        <v/>
      </c>
      <c r="B367" s="40"/>
      <c r="C367" s="26" t="str">
        <f>IF(B367="","",SUMIF(Prearmados!E:E,B367,Prearmados!G:G))</f>
        <v/>
      </c>
      <c r="D367" s="19"/>
      <c r="E367" s="26" t="str">
        <f>IF(A367="","",IF(SUMIFS(Estructuras!E:E,Estructuras!B:B,A$2,Estructuras!C:C,A367)&gt;0,SUMIFS(Estructuras!E:E,Estructuras!B:B,A$2,Estructuras!C:C,A367),C367*D367))</f>
        <v/>
      </c>
      <c r="F367" s="36"/>
      <c r="G367" s="36"/>
      <c r="H367" s="36"/>
      <c r="I367" s="36" t="str">
        <f t="shared" si="2"/>
        <v/>
      </c>
      <c r="J367" s="37" t="str">
        <f t="shared" si="3"/>
        <v/>
      </c>
      <c r="K367" s="38" t="str">
        <f>IF(L367="","",SUMIF(Productos!E:E,L367,Productos!A:A))</f>
        <v/>
      </c>
      <c r="M367" s="39"/>
    </row>
    <row r="368">
      <c r="A368" s="2" t="str">
        <f>IF(B368="","",SUMIF(Productos!E:E,B368,Productos!A:A))</f>
        <v/>
      </c>
      <c r="B368" s="40"/>
      <c r="C368" s="26" t="str">
        <f>IF(B368="","",SUMIF(Prearmados!E:E,B368,Prearmados!G:G))</f>
        <v/>
      </c>
      <c r="D368" s="19"/>
      <c r="E368" s="26" t="str">
        <f>IF(A368="","",IF(SUMIFS(Estructuras!E:E,Estructuras!B:B,A$2,Estructuras!C:C,A368)&gt;0,SUMIFS(Estructuras!E:E,Estructuras!B:B,A$2,Estructuras!C:C,A368),C368*D368))</f>
        <v/>
      </c>
      <c r="F368" s="36"/>
      <c r="G368" s="36"/>
      <c r="H368" s="36"/>
      <c r="I368" s="36" t="str">
        <f t="shared" si="2"/>
        <v/>
      </c>
      <c r="J368" s="37" t="str">
        <f t="shared" si="3"/>
        <v/>
      </c>
      <c r="K368" s="38" t="str">
        <f>IF(L368="","",SUMIF(Productos!E:E,L368,Productos!A:A))</f>
        <v/>
      </c>
      <c r="M368" s="39"/>
    </row>
    <row r="369">
      <c r="A369" s="2" t="str">
        <f>IF(B369="","",SUMIF(Productos!E:E,B369,Productos!A:A))</f>
        <v/>
      </c>
      <c r="B369" s="40"/>
      <c r="C369" s="26" t="str">
        <f>IF(B369="","",SUMIF(Prearmados!E:E,B369,Prearmados!G:G))</f>
        <v/>
      </c>
      <c r="D369" s="19"/>
      <c r="E369" s="26" t="str">
        <f>IF(A369="","",IF(SUMIFS(Estructuras!E:E,Estructuras!B:B,A$2,Estructuras!C:C,A369)&gt;0,SUMIFS(Estructuras!E:E,Estructuras!B:B,A$2,Estructuras!C:C,A369),C369*D369))</f>
        <v/>
      </c>
      <c r="F369" s="36"/>
      <c r="G369" s="36"/>
      <c r="H369" s="36"/>
      <c r="I369" s="36" t="str">
        <f t="shared" si="2"/>
        <v/>
      </c>
      <c r="J369" s="37" t="str">
        <f t="shared" si="3"/>
        <v/>
      </c>
      <c r="K369" s="38" t="str">
        <f>IF(L369="","",SUMIF(Productos!E:E,L369,Productos!A:A))</f>
        <v/>
      </c>
      <c r="M369" s="39"/>
    </row>
    <row r="370">
      <c r="A370" s="2" t="str">
        <f>IF(B370="","",SUMIF(Productos!E:E,B370,Productos!A:A))</f>
        <v/>
      </c>
      <c r="B370" s="40"/>
      <c r="C370" s="26" t="str">
        <f>IF(B370="","",SUMIF(Prearmados!E:E,B370,Prearmados!G:G))</f>
        <v/>
      </c>
      <c r="D370" s="19"/>
      <c r="E370" s="26" t="str">
        <f>IF(A370="","",IF(SUMIFS(Estructuras!E:E,Estructuras!B:B,A$2,Estructuras!C:C,A370)&gt;0,SUMIFS(Estructuras!E:E,Estructuras!B:B,A$2,Estructuras!C:C,A370),C370*D370))</f>
        <v/>
      </c>
      <c r="F370" s="36"/>
      <c r="G370" s="36"/>
      <c r="H370" s="36"/>
      <c r="I370" s="36" t="str">
        <f t="shared" si="2"/>
        <v/>
      </c>
      <c r="J370" s="37" t="str">
        <f t="shared" si="3"/>
        <v/>
      </c>
      <c r="K370" s="38" t="str">
        <f>IF(L370="","",SUMIF(Productos!E:E,L370,Productos!A:A))</f>
        <v/>
      </c>
      <c r="M370" s="39"/>
    </row>
    <row r="371">
      <c r="A371" s="2" t="str">
        <f>IF(B371="","",SUMIF(Productos!E:E,B371,Productos!A:A))</f>
        <v/>
      </c>
      <c r="B371" s="40"/>
      <c r="C371" s="26" t="str">
        <f>IF(B371="","",SUMIF(Prearmados!E:E,B371,Prearmados!G:G))</f>
        <v/>
      </c>
      <c r="D371" s="19"/>
      <c r="E371" s="26" t="str">
        <f>IF(A371="","",IF(SUMIFS(Estructuras!E:E,Estructuras!B:B,A$2,Estructuras!C:C,A371)&gt;0,SUMIFS(Estructuras!E:E,Estructuras!B:B,A$2,Estructuras!C:C,A371),C371*D371))</f>
        <v/>
      </c>
      <c r="F371" s="36"/>
      <c r="G371" s="36"/>
      <c r="H371" s="36"/>
      <c r="I371" s="36" t="str">
        <f t="shared" si="2"/>
        <v/>
      </c>
      <c r="J371" s="37" t="str">
        <f t="shared" si="3"/>
        <v/>
      </c>
      <c r="K371" s="38" t="str">
        <f>IF(L371="","",SUMIF(Productos!E:E,L371,Productos!A:A))</f>
        <v/>
      </c>
      <c r="M371" s="39"/>
    </row>
    <row r="372">
      <c r="A372" s="2" t="str">
        <f>IF(B372="","",SUMIF(Productos!E:E,B372,Productos!A:A))</f>
        <v/>
      </c>
      <c r="B372" s="40"/>
      <c r="C372" s="26" t="str">
        <f>IF(B372="","",SUMIF(Prearmados!E:E,B372,Prearmados!G:G))</f>
        <v/>
      </c>
      <c r="D372" s="19"/>
      <c r="E372" s="26" t="str">
        <f>IF(A372="","",IF(SUMIFS(Estructuras!E:E,Estructuras!B:B,A$2,Estructuras!C:C,A372)&gt;0,SUMIFS(Estructuras!E:E,Estructuras!B:B,A$2,Estructuras!C:C,A372),C372*D372))</f>
        <v/>
      </c>
      <c r="F372" s="36"/>
      <c r="G372" s="36"/>
      <c r="H372" s="36"/>
      <c r="I372" s="36" t="str">
        <f t="shared" si="2"/>
        <v/>
      </c>
      <c r="J372" s="37" t="str">
        <f t="shared" si="3"/>
        <v/>
      </c>
      <c r="K372" s="38" t="str">
        <f>IF(L372="","",SUMIF(Productos!E:E,L372,Productos!A:A))</f>
        <v/>
      </c>
      <c r="M372" s="39"/>
    </row>
    <row r="373">
      <c r="A373" s="2" t="str">
        <f>IF(B373="","",SUMIF(Productos!E:E,B373,Productos!A:A))</f>
        <v/>
      </c>
      <c r="B373" s="40"/>
      <c r="C373" s="26" t="str">
        <f>IF(B373="","",SUMIF(Prearmados!E:E,B373,Prearmados!G:G))</f>
        <v/>
      </c>
      <c r="D373" s="19"/>
      <c r="E373" s="26" t="str">
        <f>IF(A373="","",IF(SUMIFS(Estructuras!E:E,Estructuras!B:B,A$2,Estructuras!C:C,A373)&gt;0,SUMIFS(Estructuras!E:E,Estructuras!B:B,A$2,Estructuras!C:C,A373),C373*D373))</f>
        <v/>
      </c>
      <c r="F373" s="36"/>
      <c r="G373" s="36"/>
      <c r="H373" s="36"/>
      <c r="I373" s="36" t="str">
        <f t="shared" si="2"/>
        <v/>
      </c>
      <c r="J373" s="37" t="str">
        <f t="shared" si="3"/>
        <v/>
      </c>
      <c r="K373" s="38" t="str">
        <f>IF(L373="","",SUMIF(Productos!E:E,L373,Productos!A:A))</f>
        <v/>
      </c>
      <c r="M373" s="39"/>
    </row>
    <row r="374">
      <c r="A374" s="2" t="str">
        <f>IF(B374="","",SUMIF(Productos!E:E,B374,Productos!A:A))</f>
        <v/>
      </c>
      <c r="B374" s="40"/>
      <c r="C374" s="26" t="str">
        <f>IF(B374="","",SUMIF(Prearmados!E:E,B374,Prearmados!G:G))</f>
        <v/>
      </c>
      <c r="D374" s="19"/>
      <c r="E374" s="26" t="str">
        <f>IF(A374="","",IF(SUMIFS(Estructuras!E:E,Estructuras!B:B,A$2,Estructuras!C:C,A374)&gt;0,SUMIFS(Estructuras!E:E,Estructuras!B:B,A$2,Estructuras!C:C,A374),C374*D374))</f>
        <v/>
      </c>
      <c r="F374" s="36"/>
      <c r="G374" s="36"/>
      <c r="H374" s="36"/>
      <c r="I374" s="36" t="str">
        <f t="shared" si="2"/>
        <v/>
      </c>
      <c r="J374" s="37" t="str">
        <f t="shared" si="3"/>
        <v/>
      </c>
      <c r="K374" s="38" t="str">
        <f>IF(L374="","",SUMIF(Productos!E:E,L374,Productos!A:A))</f>
        <v/>
      </c>
      <c r="M374" s="39"/>
    </row>
    <row r="375">
      <c r="A375" s="2" t="str">
        <f>IF(B375="","",SUMIF(Productos!E:E,B375,Productos!A:A))</f>
        <v/>
      </c>
      <c r="B375" s="40"/>
      <c r="C375" s="26" t="str">
        <f>IF(B375="","",SUMIF(Prearmados!E:E,B375,Prearmados!G:G))</f>
        <v/>
      </c>
      <c r="D375" s="19"/>
      <c r="E375" s="26" t="str">
        <f>IF(A375="","",IF(SUMIFS(Estructuras!E:E,Estructuras!B:B,A$2,Estructuras!C:C,A375)&gt;0,SUMIFS(Estructuras!E:E,Estructuras!B:B,A$2,Estructuras!C:C,A375),C375*D375))</f>
        <v/>
      </c>
      <c r="F375" s="36"/>
      <c r="G375" s="36"/>
      <c r="H375" s="36"/>
      <c r="I375" s="36" t="str">
        <f t="shared" si="2"/>
        <v/>
      </c>
      <c r="J375" s="37" t="str">
        <f t="shared" si="3"/>
        <v/>
      </c>
      <c r="K375" s="38" t="str">
        <f>IF(L375="","",SUMIF(Productos!E:E,L375,Productos!A:A))</f>
        <v/>
      </c>
      <c r="M375" s="39"/>
    </row>
    <row r="376">
      <c r="A376" s="2" t="str">
        <f>IF(B376="","",SUMIF(Productos!E:E,B376,Productos!A:A))</f>
        <v/>
      </c>
      <c r="B376" s="40"/>
      <c r="C376" s="26" t="str">
        <f>IF(B376="","",SUMIF(Prearmados!E:E,B376,Prearmados!G:G))</f>
        <v/>
      </c>
      <c r="D376" s="19"/>
      <c r="E376" s="26" t="str">
        <f>IF(A376="","",IF(SUMIFS(Estructuras!E:E,Estructuras!B:B,A$2,Estructuras!C:C,A376)&gt;0,SUMIFS(Estructuras!E:E,Estructuras!B:B,A$2,Estructuras!C:C,A376),C376*D376))</f>
        <v/>
      </c>
      <c r="F376" s="36"/>
      <c r="G376" s="36"/>
      <c r="H376" s="36"/>
      <c r="I376" s="36" t="str">
        <f t="shared" si="2"/>
        <v/>
      </c>
      <c r="J376" s="37" t="str">
        <f t="shared" si="3"/>
        <v/>
      </c>
      <c r="K376" s="38" t="str">
        <f>IF(L376="","",SUMIF(Productos!E:E,L376,Productos!A:A))</f>
        <v/>
      </c>
      <c r="M376" s="39"/>
    </row>
    <row r="377">
      <c r="A377" s="2" t="str">
        <f>IF(B377="","",SUMIF(Productos!E:E,B377,Productos!A:A))</f>
        <v/>
      </c>
      <c r="B377" s="40"/>
      <c r="C377" s="26" t="str">
        <f>IF(B377="","",SUMIF(Prearmados!E:E,B377,Prearmados!G:G))</f>
        <v/>
      </c>
      <c r="D377" s="19"/>
      <c r="E377" s="26" t="str">
        <f>IF(A377="","",IF(SUMIFS(Estructuras!E:E,Estructuras!B:B,A$2,Estructuras!C:C,A377)&gt;0,SUMIFS(Estructuras!E:E,Estructuras!B:B,A$2,Estructuras!C:C,A377),C377*D377))</f>
        <v/>
      </c>
      <c r="F377" s="36"/>
      <c r="G377" s="36"/>
      <c r="H377" s="36"/>
      <c r="I377" s="36" t="str">
        <f t="shared" si="2"/>
        <v/>
      </c>
      <c r="J377" s="37" t="str">
        <f t="shared" si="3"/>
        <v/>
      </c>
      <c r="K377" s="38" t="str">
        <f>IF(L377="","",SUMIF(Productos!E:E,L377,Productos!A:A))</f>
        <v/>
      </c>
      <c r="M377" s="39"/>
    </row>
    <row r="378">
      <c r="A378" s="2" t="str">
        <f>IF(B378="","",SUMIF(Productos!E:E,B378,Productos!A:A))</f>
        <v/>
      </c>
      <c r="B378" s="40"/>
      <c r="C378" s="26" t="str">
        <f>IF(B378="","",SUMIF(Prearmados!E:E,B378,Prearmados!G:G))</f>
        <v/>
      </c>
      <c r="D378" s="19"/>
      <c r="E378" s="26" t="str">
        <f>IF(A378="","",IF(SUMIFS(Estructuras!E:E,Estructuras!B:B,A$2,Estructuras!C:C,A378)&gt;0,SUMIFS(Estructuras!E:E,Estructuras!B:B,A$2,Estructuras!C:C,A378),C378*D378))</f>
        <v/>
      </c>
      <c r="F378" s="36"/>
      <c r="G378" s="36"/>
      <c r="H378" s="36"/>
      <c r="I378" s="36" t="str">
        <f t="shared" si="2"/>
        <v/>
      </c>
      <c r="J378" s="37" t="str">
        <f t="shared" si="3"/>
        <v/>
      </c>
      <c r="K378" s="38" t="str">
        <f>IF(L378="","",SUMIF(Productos!E:E,L378,Productos!A:A))</f>
        <v/>
      </c>
      <c r="M378" s="39"/>
    </row>
    <row r="379">
      <c r="A379" s="2" t="str">
        <f>IF(B379="","",SUMIF(Productos!E:E,B379,Productos!A:A))</f>
        <v/>
      </c>
      <c r="B379" s="40"/>
      <c r="C379" s="26" t="str">
        <f>IF(B379="","",SUMIF(Prearmados!E:E,B379,Prearmados!G:G))</f>
        <v/>
      </c>
      <c r="D379" s="19"/>
      <c r="E379" s="26" t="str">
        <f>IF(A379="","",IF(SUMIFS(Estructuras!E:E,Estructuras!B:B,A$2,Estructuras!C:C,A379)&gt;0,SUMIFS(Estructuras!E:E,Estructuras!B:B,A$2,Estructuras!C:C,A379),C379*D379))</f>
        <v/>
      </c>
      <c r="F379" s="36"/>
      <c r="G379" s="36"/>
      <c r="H379" s="36"/>
      <c r="I379" s="36" t="str">
        <f t="shared" si="2"/>
        <v/>
      </c>
      <c r="J379" s="37" t="str">
        <f t="shared" si="3"/>
        <v/>
      </c>
      <c r="K379" s="38" t="str">
        <f>IF(L379="","",SUMIF(Productos!E:E,L379,Productos!A:A))</f>
        <v/>
      </c>
      <c r="M379" s="39"/>
    </row>
    <row r="380">
      <c r="A380" s="2" t="str">
        <f>IF(B380="","",SUMIF(Productos!E:E,B380,Productos!A:A))</f>
        <v/>
      </c>
      <c r="B380" s="40"/>
      <c r="C380" s="26" t="str">
        <f>IF(B380="","",SUMIF(Prearmados!E:E,B380,Prearmados!G:G))</f>
        <v/>
      </c>
      <c r="D380" s="19"/>
      <c r="E380" s="26" t="str">
        <f>IF(A380="","",IF(SUMIFS(Estructuras!E:E,Estructuras!B:B,A$2,Estructuras!C:C,A380)&gt;0,SUMIFS(Estructuras!E:E,Estructuras!B:B,A$2,Estructuras!C:C,A380),C380*D380))</f>
        <v/>
      </c>
      <c r="F380" s="36"/>
      <c r="G380" s="36"/>
      <c r="H380" s="36"/>
      <c r="I380" s="36" t="str">
        <f t="shared" si="2"/>
        <v/>
      </c>
      <c r="J380" s="37" t="str">
        <f t="shared" si="3"/>
        <v/>
      </c>
      <c r="K380" s="38" t="str">
        <f>IF(L380="","",SUMIF(Productos!E:E,L380,Productos!A:A))</f>
        <v/>
      </c>
      <c r="M380" s="39"/>
    </row>
    <row r="381">
      <c r="A381" s="2" t="str">
        <f>IF(B381="","",SUMIF(Productos!E:E,B381,Productos!A:A))</f>
        <v/>
      </c>
      <c r="B381" s="40"/>
      <c r="C381" s="26" t="str">
        <f>IF(B381="","",SUMIF(Prearmados!E:E,B381,Prearmados!G:G))</f>
        <v/>
      </c>
      <c r="D381" s="19"/>
      <c r="E381" s="26" t="str">
        <f>IF(A381="","",IF(SUMIFS(Estructuras!E:E,Estructuras!B:B,A$2,Estructuras!C:C,A381)&gt;0,SUMIFS(Estructuras!E:E,Estructuras!B:B,A$2,Estructuras!C:C,A381),C381*D381))</f>
        <v/>
      </c>
      <c r="F381" s="36"/>
      <c r="G381" s="36"/>
      <c r="H381" s="36"/>
      <c r="I381" s="36" t="str">
        <f t="shared" si="2"/>
        <v/>
      </c>
      <c r="J381" s="37" t="str">
        <f t="shared" si="3"/>
        <v/>
      </c>
      <c r="K381" s="38" t="str">
        <f>IF(L381="","",SUMIF(Productos!E:E,L381,Productos!A:A))</f>
        <v/>
      </c>
      <c r="M381" s="39"/>
    </row>
    <row r="382">
      <c r="A382" s="2" t="str">
        <f>IF(B382="","",SUMIF(Productos!E:E,B382,Productos!A:A))</f>
        <v/>
      </c>
      <c r="B382" s="40"/>
      <c r="C382" s="26" t="str">
        <f>IF(B382="","",SUMIF(Prearmados!E:E,B382,Prearmados!G:G))</f>
        <v/>
      </c>
      <c r="D382" s="19"/>
      <c r="E382" s="26" t="str">
        <f>IF(A382="","",IF(SUMIFS(Estructuras!E:E,Estructuras!B:B,A$2,Estructuras!C:C,A382)&gt;0,SUMIFS(Estructuras!E:E,Estructuras!B:B,A$2,Estructuras!C:C,A382),C382*D382))</f>
        <v/>
      </c>
      <c r="F382" s="36"/>
      <c r="G382" s="36"/>
      <c r="H382" s="36"/>
      <c r="I382" s="36" t="str">
        <f t="shared" si="2"/>
        <v/>
      </c>
      <c r="J382" s="37" t="str">
        <f t="shared" si="3"/>
        <v/>
      </c>
      <c r="K382" s="38" t="str">
        <f>IF(L382="","",SUMIF(Productos!E:E,L382,Productos!A:A))</f>
        <v/>
      </c>
      <c r="M382" s="39"/>
    </row>
    <row r="383">
      <c r="A383" s="2" t="str">
        <f>IF(B383="","",SUMIF(Productos!E:E,B383,Productos!A:A))</f>
        <v/>
      </c>
      <c r="B383" s="40"/>
      <c r="C383" s="26" t="str">
        <f>IF(B383="","",SUMIF(Prearmados!E:E,B383,Prearmados!G:G))</f>
        <v/>
      </c>
      <c r="D383" s="19"/>
      <c r="E383" s="26" t="str">
        <f>IF(A383="","",IF(SUMIFS(Estructuras!E:E,Estructuras!B:B,A$2,Estructuras!C:C,A383)&gt;0,SUMIFS(Estructuras!E:E,Estructuras!B:B,A$2,Estructuras!C:C,A383),C383*D383))</f>
        <v/>
      </c>
      <c r="F383" s="36"/>
      <c r="G383" s="36"/>
      <c r="H383" s="36"/>
      <c r="I383" s="36" t="str">
        <f t="shared" si="2"/>
        <v/>
      </c>
      <c r="J383" s="37" t="str">
        <f t="shared" si="3"/>
        <v/>
      </c>
      <c r="K383" s="38" t="str">
        <f>IF(L383="","",SUMIF(Productos!E:E,L383,Productos!A:A))</f>
        <v/>
      </c>
      <c r="M383" s="39"/>
    </row>
    <row r="384">
      <c r="A384" s="2" t="str">
        <f>IF(B384="","",SUMIF(Productos!E:E,B384,Productos!A:A))</f>
        <v/>
      </c>
      <c r="B384" s="40"/>
      <c r="C384" s="26" t="str">
        <f>IF(B384="","",SUMIF(Prearmados!E:E,B384,Prearmados!G:G))</f>
        <v/>
      </c>
      <c r="D384" s="19"/>
      <c r="E384" s="26" t="str">
        <f>IF(A384="","",IF(SUMIFS(Estructuras!E:E,Estructuras!B:B,A$2,Estructuras!C:C,A384)&gt;0,SUMIFS(Estructuras!E:E,Estructuras!B:B,A$2,Estructuras!C:C,A384),C384*D384))</f>
        <v/>
      </c>
      <c r="F384" s="36"/>
      <c r="G384" s="36"/>
      <c r="H384" s="36"/>
      <c r="I384" s="36" t="str">
        <f t="shared" si="2"/>
        <v/>
      </c>
      <c r="J384" s="37" t="str">
        <f t="shared" si="3"/>
        <v/>
      </c>
      <c r="K384" s="38" t="str">
        <f>IF(L384="","",SUMIF(Productos!E:E,L384,Productos!A:A))</f>
        <v/>
      </c>
      <c r="M384" s="39"/>
    </row>
    <row r="385">
      <c r="A385" s="2" t="str">
        <f>IF(B385="","",SUMIF(Productos!E:E,B385,Productos!A:A))</f>
        <v/>
      </c>
      <c r="B385" s="40"/>
      <c r="C385" s="26" t="str">
        <f>IF(B385="","",SUMIF(Prearmados!E:E,B385,Prearmados!G:G))</f>
        <v/>
      </c>
      <c r="D385" s="19"/>
      <c r="E385" s="26" t="str">
        <f>IF(A385="","",IF(SUMIFS(Estructuras!E:E,Estructuras!B:B,A$2,Estructuras!C:C,A385)&gt;0,SUMIFS(Estructuras!E:E,Estructuras!B:B,A$2,Estructuras!C:C,A385),C385*D385))</f>
        <v/>
      </c>
      <c r="F385" s="36"/>
      <c r="G385" s="36"/>
      <c r="H385" s="36"/>
      <c r="I385" s="36" t="str">
        <f t="shared" si="2"/>
        <v/>
      </c>
      <c r="J385" s="37" t="str">
        <f t="shared" si="3"/>
        <v/>
      </c>
      <c r="K385" s="38" t="str">
        <f>IF(L385="","",SUMIF(Productos!E:E,L385,Productos!A:A))</f>
        <v/>
      </c>
      <c r="M385" s="39"/>
    </row>
    <row r="386">
      <c r="A386" s="2" t="str">
        <f>IF(B386="","",SUMIF(Productos!E:E,B386,Productos!A:A))</f>
        <v/>
      </c>
      <c r="B386" s="40"/>
      <c r="C386" s="26" t="str">
        <f>IF(B386="","",SUMIF(Prearmados!E:E,B386,Prearmados!G:G))</f>
        <v/>
      </c>
      <c r="D386" s="19"/>
      <c r="E386" s="26" t="str">
        <f>IF(A386="","",IF(SUMIFS(Estructuras!E:E,Estructuras!B:B,A$2,Estructuras!C:C,A386)&gt;0,SUMIFS(Estructuras!E:E,Estructuras!B:B,A$2,Estructuras!C:C,A386),C386*D386))</f>
        <v/>
      </c>
      <c r="F386" s="36"/>
      <c r="G386" s="36"/>
      <c r="H386" s="36"/>
      <c r="I386" s="36" t="str">
        <f t="shared" si="2"/>
        <v/>
      </c>
      <c r="J386" s="37" t="str">
        <f t="shared" si="3"/>
        <v/>
      </c>
      <c r="K386" s="38" t="str">
        <f>IF(L386="","",SUMIF(Productos!E:E,L386,Productos!A:A))</f>
        <v/>
      </c>
      <c r="M386" s="39"/>
    </row>
    <row r="387">
      <c r="A387" s="2" t="str">
        <f>IF(B387="","",SUMIF(Productos!E:E,B387,Productos!A:A))</f>
        <v/>
      </c>
      <c r="B387" s="40"/>
      <c r="C387" s="26" t="str">
        <f>IF(B387="","",SUMIF(Prearmados!E:E,B387,Prearmados!G:G))</f>
        <v/>
      </c>
      <c r="D387" s="19"/>
      <c r="E387" s="26" t="str">
        <f>IF(A387="","",IF(SUMIFS(Estructuras!E:E,Estructuras!B:B,A$2,Estructuras!C:C,A387)&gt;0,SUMIFS(Estructuras!E:E,Estructuras!B:B,A$2,Estructuras!C:C,A387),C387*D387))</f>
        <v/>
      </c>
      <c r="F387" s="36"/>
      <c r="G387" s="36"/>
      <c r="H387" s="36"/>
      <c r="I387" s="36" t="str">
        <f t="shared" si="2"/>
        <v/>
      </c>
      <c r="J387" s="37" t="str">
        <f t="shared" si="3"/>
        <v/>
      </c>
      <c r="K387" s="38" t="str">
        <f>IF(L387="","",SUMIF(Productos!E:E,L387,Productos!A:A))</f>
        <v/>
      </c>
      <c r="M387" s="39"/>
    </row>
    <row r="388">
      <c r="A388" s="2" t="str">
        <f>IF(B388="","",SUMIF(Productos!E:E,B388,Productos!A:A))</f>
        <v/>
      </c>
      <c r="B388" s="40"/>
      <c r="C388" s="26" t="str">
        <f>IF(B388="","",SUMIF(Prearmados!E:E,B388,Prearmados!G:G))</f>
        <v/>
      </c>
      <c r="D388" s="19"/>
      <c r="E388" s="26" t="str">
        <f>IF(A388="","",IF(SUMIFS(Estructuras!E:E,Estructuras!B:B,A$2,Estructuras!C:C,A388)&gt;0,SUMIFS(Estructuras!E:E,Estructuras!B:B,A$2,Estructuras!C:C,A388),C388*D388))</f>
        <v/>
      </c>
      <c r="F388" s="36"/>
      <c r="G388" s="36"/>
      <c r="H388" s="36"/>
      <c r="I388" s="36" t="str">
        <f t="shared" si="2"/>
        <v/>
      </c>
      <c r="J388" s="37" t="str">
        <f t="shared" si="3"/>
        <v/>
      </c>
      <c r="K388" s="38" t="str">
        <f>IF(L388="","",SUMIF(Productos!E:E,L388,Productos!A:A))</f>
        <v/>
      </c>
      <c r="M388" s="39"/>
    </row>
    <row r="389">
      <c r="A389" s="2" t="str">
        <f>IF(B389="","",SUMIF(Productos!E:E,B389,Productos!A:A))</f>
        <v/>
      </c>
      <c r="B389" s="40"/>
      <c r="C389" s="26" t="str">
        <f>IF(B389="","",SUMIF(Prearmados!E:E,B389,Prearmados!G:G))</f>
        <v/>
      </c>
      <c r="D389" s="19"/>
      <c r="E389" s="26" t="str">
        <f>IF(A389="","",IF(SUMIFS(Estructuras!E:E,Estructuras!B:B,A$2,Estructuras!C:C,A389)&gt;0,SUMIFS(Estructuras!E:E,Estructuras!B:B,A$2,Estructuras!C:C,A389),C389*D389))</f>
        <v/>
      </c>
      <c r="F389" s="36"/>
      <c r="G389" s="36"/>
      <c r="H389" s="36"/>
      <c r="I389" s="36" t="str">
        <f t="shared" si="2"/>
        <v/>
      </c>
      <c r="J389" s="37" t="str">
        <f t="shared" si="3"/>
        <v/>
      </c>
      <c r="K389" s="38" t="str">
        <f>IF(L389="","",SUMIF(Productos!E:E,L389,Productos!A:A))</f>
        <v/>
      </c>
      <c r="M389" s="39"/>
    </row>
    <row r="390">
      <c r="A390" s="2" t="str">
        <f>IF(B390="","",SUMIF(Productos!E:E,B390,Productos!A:A))</f>
        <v/>
      </c>
      <c r="B390" s="40"/>
      <c r="C390" s="26" t="str">
        <f>IF(B390="","",SUMIF(Prearmados!E:E,B390,Prearmados!G:G))</f>
        <v/>
      </c>
      <c r="D390" s="19"/>
      <c r="E390" s="26" t="str">
        <f>IF(A390="","",IF(SUMIFS(Estructuras!E:E,Estructuras!B:B,A$2,Estructuras!C:C,A390)&gt;0,SUMIFS(Estructuras!E:E,Estructuras!B:B,A$2,Estructuras!C:C,A390),C390*D390))</f>
        <v/>
      </c>
      <c r="F390" s="36"/>
      <c r="G390" s="36"/>
      <c r="H390" s="36"/>
      <c r="I390" s="36" t="str">
        <f t="shared" si="2"/>
        <v/>
      </c>
      <c r="J390" s="37" t="str">
        <f t="shared" si="3"/>
        <v/>
      </c>
      <c r="K390" s="38" t="str">
        <f>IF(L390="","",SUMIF(Productos!E:E,L390,Productos!A:A))</f>
        <v/>
      </c>
      <c r="M390" s="39"/>
    </row>
    <row r="391">
      <c r="A391" s="2" t="str">
        <f>IF(B391="","",SUMIF(Productos!E:E,B391,Productos!A:A))</f>
        <v/>
      </c>
      <c r="B391" s="40"/>
      <c r="C391" s="26" t="str">
        <f>IF(B391="","",SUMIF(Prearmados!E:E,B391,Prearmados!G:G))</f>
        <v/>
      </c>
      <c r="D391" s="19"/>
      <c r="E391" s="26" t="str">
        <f>IF(A391="","",IF(SUMIFS(Estructuras!E:E,Estructuras!B:B,A$2,Estructuras!C:C,A391)&gt;0,SUMIFS(Estructuras!E:E,Estructuras!B:B,A$2,Estructuras!C:C,A391),C391*D391))</f>
        <v/>
      </c>
      <c r="F391" s="36"/>
      <c r="G391" s="36"/>
      <c r="H391" s="36"/>
      <c r="I391" s="36" t="str">
        <f t="shared" si="2"/>
        <v/>
      </c>
      <c r="J391" s="37" t="str">
        <f t="shared" si="3"/>
        <v/>
      </c>
      <c r="K391" s="38" t="str">
        <f>IF(L391="","",SUMIF(Productos!E:E,L391,Productos!A:A))</f>
        <v/>
      </c>
      <c r="M391" s="39"/>
    </row>
    <row r="392">
      <c r="A392" s="2" t="str">
        <f>IF(B392="","",SUMIF(Productos!E:E,B392,Productos!A:A))</f>
        <v/>
      </c>
      <c r="B392" s="40"/>
      <c r="C392" s="26" t="str">
        <f>IF(B392="","",SUMIF(Prearmados!E:E,B392,Prearmados!G:G))</f>
        <v/>
      </c>
      <c r="D392" s="19"/>
      <c r="E392" s="26" t="str">
        <f>IF(A392="","",IF(SUMIFS(Estructuras!E:E,Estructuras!B:B,A$2,Estructuras!C:C,A392)&gt;0,SUMIFS(Estructuras!E:E,Estructuras!B:B,A$2,Estructuras!C:C,A392),C392*D392))</f>
        <v/>
      </c>
      <c r="F392" s="36"/>
      <c r="G392" s="36"/>
      <c r="H392" s="36"/>
      <c r="I392" s="36" t="str">
        <f t="shared" si="2"/>
        <v/>
      </c>
      <c r="J392" s="37" t="str">
        <f t="shared" si="3"/>
        <v/>
      </c>
      <c r="K392" s="38" t="str">
        <f>IF(L392="","",SUMIF(Productos!E:E,L392,Productos!A:A))</f>
        <v/>
      </c>
      <c r="M392" s="39"/>
    </row>
    <row r="393">
      <c r="A393" s="2" t="str">
        <f>IF(B393="","",SUMIF(Productos!E:E,B393,Productos!A:A))</f>
        <v/>
      </c>
      <c r="B393" s="40"/>
      <c r="C393" s="26" t="str">
        <f>IF(B393="","",SUMIF(Prearmados!E:E,B393,Prearmados!G:G))</f>
        <v/>
      </c>
      <c r="D393" s="19"/>
      <c r="E393" s="26" t="str">
        <f>IF(A393="","",IF(SUMIFS(Estructuras!E:E,Estructuras!B:B,A$2,Estructuras!C:C,A393)&gt;0,SUMIFS(Estructuras!E:E,Estructuras!B:B,A$2,Estructuras!C:C,A393),C393*D393))</f>
        <v/>
      </c>
      <c r="F393" s="36"/>
      <c r="G393" s="36"/>
      <c r="H393" s="36"/>
      <c r="I393" s="36" t="str">
        <f t="shared" si="2"/>
        <v/>
      </c>
      <c r="J393" s="37" t="str">
        <f t="shared" si="3"/>
        <v/>
      </c>
      <c r="K393" s="38" t="str">
        <f>IF(L393="","",SUMIF(Productos!E:E,L393,Productos!A:A))</f>
        <v/>
      </c>
      <c r="M393" s="39"/>
    </row>
    <row r="394">
      <c r="A394" s="2" t="str">
        <f>IF(B394="","",SUMIF(Productos!E:E,B394,Productos!A:A))</f>
        <v/>
      </c>
      <c r="B394" s="40"/>
      <c r="C394" s="26" t="str">
        <f>IF(B394="","",SUMIF(Prearmados!E:E,B394,Prearmados!G:G))</f>
        <v/>
      </c>
      <c r="D394" s="19"/>
      <c r="E394" s="26" t="str">
        <f>IF(A394="","",IF(SUMIFS(Estructuras!E:E,Estructuras!B:B,A$2,Estructuras!C:C,A394)&gt;0,SUMIFS(Estructuras!E:E,Estructuras!B:B,A$2,Estructuras!C:C,A394),C394*D394))</f>
        <v/>
      </c>
      <c r="F394" s="36"/>
      <c r="G394" s="36"/>
      <c r="H394" s="36"/>
      <c r="I394" s="36" t="str">
        <f t="shared" si="2"/>
        <v/>
      </c>
      <c r="J394" s="37" t="str">
        <f t="shared" si="3"/>
        <v/>
      </c>
      <c r="K394" s="38" t="str">
        <f>IF(L394="","",SUMIF(Productos!E:E,L394,Productos!A:A))</f>
        <v/>
      </c>
      <c r="M394" s="39"/>
    </row>
    <row r="395">
      <c r="A395" s="2" t="str">
        <f>IF(B395="","",SUMIF(Productos!E:E,B395,Productos!A:A))</f>
        <v/>
      </c>
      <c r="B395" s="40"/>
      <c r="C395" s="26" t="str">
        <f>IF(B395="","",SUMIF(Prearmados!E:E,B395,Prearmados!G:G))</f>
        <v/>
      </c>
      <c r="D395" s="19"/>
      <c r="E395" s="26" t="str">
        <f>IF(A395="","",IF(SUMIFS(Estructuras!E:E,Estructuras!B:B,A$2,Estructuras!C:C,A395)&gt;0,SUMIFS(Estructuras!E:E,Estructuras!B:B,A$2,Estructuras!C:C,A395),C395*D395))</f>
        <v/>
      </c>
      <c r="F395" s="36"/>
      <c r="G395" s="36"/>
      <c r="H395" s="36"/>
      <c r="I395" s="36" t="str">
        <f t="shared" si="2"/>
        <v/>
      </c>
      <c r="J395" s="37" t="str">
        <f t="shared" si="3"/>
        <v/>
      </c>
      <c r="K395" s="38" t="str">
        <f>IF(L395="","",SUMIF(Productos!E:E,L395,Productos!A:A))</f>
        <v/>
      </c>
      <c r="M395" s="39"/>
    </row>
    <row r="396">
      <c r="A396" s="2" t="str">
        <f>IF(B396="","",SUMIF(Productos!E:E,B396,Productos!A:A))</f>
        <v/>
      </c>
      <c r="B396" s="40"/>
      <c r="C396" s="26" t="str">
        <f>IF(B396="","",SUMIF(Prearmados!E:E,B396,Prearmados!G:G))</f>
        <v/>
      </c>
      <c r="D396" s="19"/>
      <c r="E396" s="26" t="str">
        <f>IF(A396="","",IF(SUMIFS(Estructuras!E:E,Estructuras!B:B,A$2,Estructuras!C:C,A396)&gt;0,SUMIFS(Estructuras!E:E,Estructuras!B:B,A$2,Estructuras!C:C,A396),C396*D396))</f>
        <v/>
      </c>
      <c r="F396" s="36"/>
      <c r="G396" s="36"/>
      <c r="H396" s="36"/>
      <c r="I396" s="36" t="str">
        <f t="shared" si="2"/>
        <v/>
      </c>
      <c r="J396" s="37" t="str">
        <f t="shared" si="3"/>
        <v/>
      </c>
      <c r="K396" s="38" t="str">
        <f>IF(L396="","",SUMIF(Productos!E:E,L396,Productos!A:A))</f>
        <v/>
      </c>
      <c r="M396" s="39"/>
    </row>
    <row r="397">
      <c r="A397" s="2" t="str">
        <f>IF(B397="","",SUMIF(Productos!E:E,B397,Productos!A:A))</f>
        <v/>
      </c>
      <c r="B397" s="40"/>
      <c r="C397" s="26" t="str">
        <f>IF(B397="","",SUMIF(Prearmados!E:E,B397,Prearmados!G:G))</f>
        <v/>
      </c>
      <c r="D397" s="19"/>
      <c r="E397" s="26" t="str">
        <f>IF(A397="","",IF(SUMIFS(Estructuras!E:E,Estructuras!B:B,A$2,Estructuras!C:C,A397)&gt;0,SUMIFS(Estructuras!E:E,Estructuras!B:B,A$2,Estructuras!C:C,A397),C397*D397))</f>
        <v/>
      </c>
      <c r="F397" s="36"/>
      <c r="G397" s="36"/>
      <c r="H397" s="36"/>
      <c r="I397" s="36" t="str">
        <f t="shared" si="2"/>
        <v/>
      </c>
      <c r="J397" s="37" t="str">
        <f t="shared" si="3"/>
        <v/>
      </c>
      <c r="K397" s="38" t="str">
        <f>IF(L397="","",SUMIF(Productos!E:E,L397,Productos!A:A))</f>
        <v/>
      </c>
      <c r="M397" s="39"/>
    </row>
    <row r="398">
      <c r="A398" s="2" t="str">
        <f>IF(B398="","",SUMIF(Productos!E:E,B398,Productos!A:A))</f>
        <v/>
      </c>
      <c r="B398" s="40"/>
      <c r="C398" s="26" t="str">
        <f>IF(B398="","",SUMIF(Prearmados!E:E,B398,Prearmados!G:G))</f>
        <v/>
      </c>
      <c r="D398" s="19"/>
      <c r="E398" s="26" t="str">
        <f>IF(A398="","",IF(SUMIFS(Estructuras!E:E,Estructuras!B:B,A$2,Estructuras!C:C,A398)&gt;0,SUMIFS(Estructuras!E:E,Estructuras!B:B,A$2,Estructuras!C:C,A398),C398*D398))</f>
        <v/>
      </c>
      <c r="F398" s="36"/>
      <c r="G398" s="36"/>
      <c r="H398" s="36"/>
      <c r="I398" s="36" t="str">
        <f t="shared" si="2"/>
        <v/>
      </c>
      <c r="J398" s="37" t="str">
        <f t="shared" si="3"/>
        <v/>
      </c>
      <c r="K398" s="38" t="str">
        <f>IF(L398="","",SUMIF(Productos!E:E,L398,Productos!A:A))</f>
        <v/>
      </c>
      <c r="M398" s="39"/>
    </row>
    <row r="399">
      <c r="A399" s="2" t="str">
        <f>IF(B399="","",SUMIF(Productos!E:E,B399,Productos!A:A))</f>
        <v/>
      </c>
      <c r="B399" s="40"/>
      <c r="C399" s="26" t="str">
        <f>IF(B399="","",SUMIF(Prearmados!E:E,B399,Prearmados!G:G))</f>
        <v/>
      </c>
      <c r="D399" s="19"/>
      <c r="E399" s="26" t="str">
        <f>IF(A399="","",IF(SUMIFS(Estructuras!E:E,Estructuras!B:B,A$2,Estructuras!C:C,A399)&gt;0,SUMIFS(Estructuras!E:E,Estructuras!B:B,A$2,Estructuras!C:C,A399),C399*D399))</f>
        <v/>
      </c>
      <c r="F399" s="36"/>
      <c r="G399" s="36"/>
      <c r="H399" s="36"/>
      <c r="I399" s="36" t="str">
        <f t="shared" si="2"/>
        <v/>
      </c>
      <c r="J399" s="37" t="str">
        <f t="shared" si="3"/>
        <v/>
      </c>
      <c r="K399" s="38" t="str">
        <f>IF(L399="","",SUMIF(Productos!E:E,L399,Productos!A:A))</f>
        <v/>
      </c>
      <c r="M399" s="39"/>
    </row>
    <row r="400">
      <c r="A400" s="2" t="str">
        <f>IF(B400="","",SUMIF(Productos!E:E,B400,Productos!A:A))</f>
        <v/>
      </c>
      <c r="B400" s="40"/>
      <c r="C400" s="26" t="str">
        <f>IF(B400="","",SUMIF(Prearmados!E:E,B400,Prearmados!G:G))</f>
        <v/>
      </c>
      <c r="D400" s="19"/>
      <c r="E400" s="26" t="str">
        <f>IF(A400="","",IF(SUMIFS(Estructuras!E:E,Estructuras!B:B,A$2,Estructuras!C:C,A400)&gt;0,SUMIFS(Estructuras!E:E,Estructuras!B:B,A$2,Estructuras!C:C,A400),C400*D400))</f>
        <v/>
      </c>
      <c r="F400" s="36"/>
      <c r="G400" s="36"/>
      <c r="H400" s="36"/>
      <c r="I400" s="36" t="str">
        <f t="shared" si="2"/>
        <v/>
      </c>
      <c r="J400" s="37" t="str">
        <f t="shared" si="3"/>
        <v/>
      </c>
      <c r="K400" s="38" t="str">
        <f>IF(L400="","",SUMIF(Productos!E:E,L400,Productos!A:A))</f>
        <v/>
      </c>
      <c r="M400" s="39"/>
    </row>
    <row r="401">
      <c r="A401" s="2" t="str">
        <f>IF(B401="","",SUMIF(Productos!E:E,B401,Productos!A:A))</f>
        <v/>
      </c>
      <c r="B401" s="40"/>
      <c r="C401" s="26" t="str">
        <f>IF(B401="","",SUMIF(Prearmados!E:E,B401,Prearmados!G:G))</f>
        <v/>
      </c>
      <c r="D401" s="19"/>
      <c r="E401" s="26" t="str">
        <f>IF(A401="","",IF(SUMIFS(Estructuras!E:E,Estructuras!B:B,A$2,Estructuras!C:C,A401)&gt;0,SUMIFS(Estructuras!E:E,Estructuras!B:B,A$2,Estructuras!C:C,A401),C401*D401))</f>
        <v/>
      </c>
      <c r="F401" s="36"/>
      <c r="G401" s="36"/>
      <c r="H401" s="36"/>
      <c r="I401" s="36" t="str">
        <f t="shared" si="2"/>
        <v/>
      </c>
      <c r="J401" s="37" t="str">
        <f t="shared" si="3"/>
        <v/>
      </c>
      <c r="K401" s="38" t="str">
        <f>IF(L401="","",SUMIF(Productos!E:E,L401,Productos!A:A))</f>
        <v/>
      </c>
      <c r="M401" s="39"/>
    </row>
    <row r="402">
      <c r="A402" s="2" t="str">
        <f>IF(B402="","",SUMIF(Productos!E:E,B402,Productos!A:A))</f>
        <v/>
      </c>
      <c r="B402" s="40"/>
      <c r="C402" s="26" t="str">
        <f>IF(B402="","",SUMIF(Prearmados!E:E,B402,Prearmados!G:G))</f>
        <v/>
      </c>
      <c r="D402" s="19"/>
      <c r="E402" s="26" t="str">
        <f>IF(A402="","",IF(SUMIFS(Estructuras!E:E,Estructuras!B:B,A$2,Estructuras!C:C,A402)&gt;0,SUMIFS(Estructuras!E:E,Estructuras!B:B,A$2,Estructuras!C:C,A402),C402*D402))</f>
        <v/>
      </c>
      <c r="F402" s="36"/>
      <c r="G402" s="36"/>
      <c r="H402" s="36"/>
      <c r="I402" s="36" t="str">
        <f t="shared" si="2"/>
        <v/>
      </c>
      <c r="J402" s="37" t="str">
        <f t="shared" si="3"/>
        <v/>
      </c>
      <c r="K402" s="38" t="str">
        <f>IF(L402="","",SUMIF(Productos!E:E,L402,Productos!A:A))</f>
        <v/>
      </c>
      <c r="M402" s="39"/>
    </row>
    <row r="403">
      <c r="A403" s="2" t="str">
        <f>IF(B403="","",SUMIF(Productos!E:E,B403,Productos!A:A))</f>
        <v/>
      </c>
      <c r="B403" s="40"/>
      <c r="C403" s="26" t="str">
        <f>IF(B403="","",SUMIF(Prearmados!E:E,B403,Prearmados!G:G))</f>
        <v/>
      </c>
      <c r="D403" s="19"/>
      <c r="E403" s="26" t="str">
        <f>IF(A403="","",IF(SUMIFS(Estructuras!E:E,Estructuras!B:B,A$2,Estructuras!C:C,A403)&gt;0,SUMIFS(Estructuras!E:E,Estructuras!B:B,A$2,Estructuras!C:C,A403),C403*D403))</f>
        <v/>
      </c>
      <c r="F403" s="36"/>
      <c r="G403" s="36"/>
      <c r="H403" s="36"/>
      <c r="I403" s="36" t="str">
        <f t="shared" si="2"/>
        <v/>
      </c>
      <c r="J403" s="37" t="str">
        <f t="shared" si="3"/>
        <v/>
      </c>
      <c r="K403" s="38" t="str">
        <f>IF(L403="","",SUMIF(Productos!E:E,L403,Productos!A:A))</f>
        <v/>
      </c>
      <c r="M403" s="39"/>
    </row>
    <row r="404">
      <c r="A404" s="2" t="str">
        <f>IF(B404="","",SUMIF(Productos!E:E,B404,Productos!A:A))</f>
        <v/>
      </c>
      <c r="B404" s="40"/>
      <c r="C404" s="26" t="str">
        <f>IF(B404="","",SUMIF(Prearmados!E:E,B404,Prearmados!G:G))</f>
        <v/>
      </c>
      <c r="D404" s="19"/>
      <c r="E404" s="26" t="str">
        <f>IF(A404="","",IF(SUMIFS(Estructuras!E:E,Estructuras!B:B,A$2,Estructuras!C:C,A404)&gt;0,SUMIFS(Estructuras!E:E,Estructuras!B:B,A$2,Estructuras!C:C,A404),C404*D404))</f>
        <v/>
      </c>
      <c r="F404" s="36"/>
      <c r="G404" s="36"/>
      <c r="H404" s="36"/>
      <c r="I404" s="36" t="str">
        <f t="shared" si="2"/>
        <v/>
      </c>
      <c r="J404" s="37" t="str">
        <f t="shared" si="3"/>
        <v/>
      </c>
      <c r="K404" s="38" t="str">
        <f>IF(L404="","",SUMIF(Productos!E:E,L404,Productos!A:A))</f>
        <v/>
      </c>
      <c r="M404" s="39"/>
    </row>
    <row r="405">
      <c r="A405" s="2" t="str">
        <f>IF(B405="","",SUMIF(Productos!E:E,B405,Productos!A:A))</f>
        <v/>
      </c>
      <c r="B405" s="40"/>
      <c r="C405" s="26" t="str">
        <f>IF(B405="","",SUMIF(Prearmados!E:E,B405,Prearmados!G:G))</f>
        <v/>
      </c>
      <c r="D405" s="19"/>
      <c r="E405" s="26" t="str">
        <f>IF(A405="","",IF(SUMIFS(Estructuras!E:E,Estructuras!B:B,A$2,Estructuras!C:C,A405)&gt;0,SUMIFS(Estructuras!E:E,Estructuras!B:B,A$2,Estructuras!C:C,A405),C405*D405))</f>
        <v/>
      </c>
      <c r="F405" s="36"/>
      <c r="G405" s="36"/>
      <c r="H405" s="36"/>
      <c r="I405" s="36" t="str">
        <f t="shared" si="2"/>
        <v/>
      </c>
      <c r="J405" s="37" t="str">
        <f t="shared" si="3"/>
        <v/>
      </c>
      <c r="K405" s="38" t="str">
        <f>IF(L405="","",SUMIF(Productos!E:E,L405,Productos!A:A))</f>
        <v/>
      </c>
      <c r="M405" s="39"/>
    </row>
    <row r="406">
      <c r="A406" s="2" t="str">
        <f>IF(B406="","",SUMIF(Productos!E:E,B406,Productos!A:A))</f>
        <v/>
      </c>
      <c r="B406" s="40"/>
      <c r="C406" s="26" t="str">
        <f>IF(B406="","",SUMIF(Prearmados!E:E,B406,Prearmados!G:G))</f>
        <v/>
      </c>
      <c r="D406" s="19"/>
      <c r="E406" s="26" t="str">
        <f>IF(A406="","",IF(SUMIFS(Estructuras!E:E,Estructuras!B:B,A$2,Estructuras!C:C,A406)&gt;0,SUMIFS(Estructuras!E:E,Estructuras!B:B,A$2,Estructuras!C:C,A406),C406*D406))</f>
        <v/>
      </c>
      <c r="F406" s="36"/>
      <c r="G406" s="36"/>
      <c r="H406" s="36"/>
      <c r="I406" s="36" t="str">
        <f t="shared" si="2"/>
        <v/>
      </c>
      <c r="J406" s="37" t="str">
        <f t="shared" si="3"/>
        <v/>
      </c>
      <c r="K406" s="38" t="str">
        <f>IF(L406="","",SUMIF(Productos!E:E,L406,Productos!A:A))</f>
        <v/>
      </c>
      <c r="M406" s="39"/>
    </row>
    <row r="407">
      <c r="A407" s="2" t="str">
        <f>IF(B407="","",SUMIF(Productos!E:E,B407,Productos!A:A))</f>
        <v/>
      </c>
      <c r="B407" s="40"/>
      <c r="C407" s="26" t="str">
        <f>IF(B407="","",SUMIF(Prearmados!E:E,B407,Prearmados!G:G))</f>
        <v/>
      </c>
      <c r="D407" s="19"/>
      <c r="E407" s="26" t="str">
        <f>IF(A407="","",IF(SUMIFS(Estructuras!E:E,Estructuras!B:B,A$2,Estructuras!C:C,A407)&gt;0,SUMIFS(Estructuras!E:E,Estructuras!B:B,A$2,Estructuras!C:C,A407),C407*D407))</f>
        <v/>
      </c>
      <c r="F407" s="36"/>
      <c r="G407" s="36"/>
      <c r="H407" s="36"/>
      <c r="I407" s="36" t="str">
        <f t="shared" si="2"/>
        <v/>
      </c>
      <c r="J407" s="37" t="str">
        <f t="shared" si="3"/>
        <v/>
      </c>
      <c r="K407" s="38" t="str">
        <f>IF(L407="","",SUMIF(Productos!E:E,L407,Productos!A:A))</f>
        <v/>
      </c>
      <c r="M407" s="39"/>
    </row>
    <row r="408">
      <c r="A408" s="2" t="str">
        <f>IF(B408="","",SUMIF(Productos!E:E,B408,Productos!A:A))</f>
        <v/>
      </c>
      <c r="B408" s="40"/>
      <c r="C408" s="26" t="str">
        <f>IF(B408="","",SUMIF(Prearmados!E:E,B408,Prearmados!G:G))</f>
        <v/>
      </c>
      <c r="D408" s="19"/>
      <c r="E408" s="26" t="str">
        <f>IF(A408="","",IF(SUMIFS(Estructuras!E:E,Estructuras!B:B,A$2,Estructuras!C:C,A408)&gt;0,SUMIFS(Estructuras!E:E,Estructuras!B:B,A$2,Estructuras!C:C,A408),C408*D408))</f>
        <v/>
      </c>
      <c r="F408" s="36"/>
      <c r="G408" s="36"/>
      <c r="H408" s="36"/>
      <c r="I408" s="36" t="str">
        <f t="shared" si="2"/>
        <v/>
      </c>
      <c r="J408" s="37" t="str">
        <f t="shared" si="3"/>
        <v/>
      </c>
      <c r="K408" s="38" t="str">
        <f>IF(L408="","",SUMIF(Productos!E:E,L408,Productos!A:A))</f>
        <v/>
      </c>
      <c r="M408" s="39"/>
    </row>
    <row r="409">
      <c r="A409" s="2" t="str">
        <f>IF(B409="","",SUMIF(Productos!E:E,B409,Productos!A:A))</f>
        <v/>
      </c>
      <c r="B409" s="40"/>
      <c r="C409" s="26" t="str">
        <f>IF(B409="","",SUMIF(Prearmados!E:E,B409,Prearmados!G:G))</f>
        <v/>
      </c>
      <c r="D409" s="19"/>
      <c r="E409" s="26" t="str">
        <f>IF(A409="","",IF(SUMIFS(Estructuras!E:E,Estructuras!B:B,A$2,Estructuras!C:C,A409)&gt;0,SUMIFS(Estructuras!E:E,Estructuras!B:B,A$2,Estructuras!C:C,A409),C409*D409))</f>
        <v/>
      </c>
      <c r="F409" s="36"/>
      <c r="G409" s="36"/>
      <c r="H409" s="36"/>
      <c r="I409" s="36" t="str">
        <f t="shared" si="2"/>
        <v/>
      </c>
      <c r="J409" s="37" t="str">
        <f t="shared" si="3"/>
        <v/>
      </c>
      <c r="K409" s="38" t="str">
        <f>IF(L409="","",SUMIF(Productos!E:E,L409,Productos!A:A))</f>
        <v/>
      </c>
      <c r="M409" s="39"/>
    </row>
    <row r="410">
      <c r="A410" s="2" t="str">
        <f>IF(B410="","",SUMIF(Productos!E:E,B410,Productos!A:A))</f>
        <v/>
      </c>
      <c r="B410" s="40"/>
      <c r="C410" s="26" t="str">
        <f>IF(B410="","",SUMIF(Prearmados!E:E,B410,Prearmados!G:G))</f>
        <v/>
      </c>
      <c r="D410" s="19"/>
      <c r="E410" s="26" t="str">
        <f>IF(A410="","",IF(SUMIFS(Estructuras!E:E,Estructuras!B:B,A$2,Estructuras!C:C,A410)&gt;0,SUMIFS(Estructuras!E:E,Estructuras!B:B,A$2,Estructuras!C:C,A410),C410*D410))</f>
        <v/>
      </c>
      <c r="F410" s="36"/>
      <c r="G410" s="36"/>
      <c r="H410" s="36"/>
      <c r="I410" s="36" t="str">
        <f t="shared" si="2"/>
        <v/>
      </c>
      <c r="J410" s="37" t="str">
        <f t="shared" si="3"/>
        <v/>
      </c>
      <c r="K410" s="38" t="str">
        <f>IF(L410="","",SUMIF(Productos!E:E,L410,Productos!A:A))</f>
        <v/>
      </c>
      <c r="M410" s="39"/>
    </row>
    <row r="411">
      <c r="A411" s="2" t="str">
        <f>IF(B411="","",SUMIF(Productos!E:E,B411,Productos!A:A))</f>
        <v/>
      </c>
      <c r="B411" s="40"/>
      <c r="C411" s="26" t="str">
        <f>IF(B411="","",SUMIF(Prearmados!E:E,B411,Prearmados!G:G))</f>
        <v/>
      </c>
      <c r="D411" s="19"/>
      <c r="E411" s="26" t="str">
        <f>IF(A411="","",IF(SUMIFS(Estructuras!E:E,Estructuras!B:B,A$2,Estructuras!C:C,A411)&gt;0,SUMIFS(Estructuras!E:E,Estructuras!B:B,A$2,Estructuras!C:C,A411),C411*D411))</f>
        <v/>
      </c>
      <c r="F411" s="36"/>
      <c r="G411" s="36"/>
      <c r="H411" s="36"/>
      <c r="I411" s="36" t="str">
        <f t="shared" si="2"/>
        <v/>
      </c>
      <c r="J411" s="37" t="str">
        <f t="shared" si="3"/>
        <v/>
      </c>
      <c r="K411" s="38" t="str">
        <f>IF(L411="","",SUMIF(Productos!E:E,L411,Productos!A:A))</f>
        <v/>
      </c>
      <c r="M411" s="39"/>
    </row>
    <row r="412">
      <c r="A412" s="2" t="str">
        <f>IF(B412="","",SUMIF(Productos!E:E,B412,Productos!A:A))</f>
        <v/>
      </c>
      <c r="B412" s="40"/>
      <c r="C412" s="26" t="str">
        <f>IF(B412="","",SUMIF(Prearmados!E:E,B412,Prearmados!G:G))</f>
        <v/>
      </c>
      <c r="D412" s="19"/>
      <c r="E412" s="26" t="str">
        <f>IF(A412="","",IF(SUMIFS(Estructuras!E:E,Estructuras!B:B,A$2,Estructuras!C:C,A412)&gt;0,SUMIFS(Estructuras!E:E,Estructuras!B:B,A$2,Estructuras!C:C,A412),C412*D412))</f>
        <v/>
      </c>
      <c r="F412" s="36"/>
      <c r="G412" s="36"/>
      <c r="H412" s="36"/>
      <c r="I412" s="36" t="str">
        <f t="shared" si="2"/>
        <v/>
      </c>
      <c r="J412" s="37" t="str">
        <f t="shared" si="3"/>
        <v/>
      </c>
      <c r="K412" s="38" t="str">
        <f>IF(L412="","",SUMIF(Productos!E:E,L412,Productos!A:A))</f>
        <v/>
      </c>
      <c r="M412" s="39"/>
    </row>
    <row r="413">
      <c r="A413" s="2" t="str">
        <f>IF(B413="","",SUMIF(Productos!E:E,B413,Productos!A:A))</f>
        <v/>
      </c>
      <c r="B413" s="40"/>
      <c r="C413" s="26" t="str">
        <f>IF(B413="","",SUMIF(Prearmados!E:E,B413,Prearmados!G:G))</f>
        <v/>
      </c>
      <c r="D413" s="19"/>
      <c r="E413" s="26" t="str">
        <f>IF(A413="","",IF(SUMIFS(Estructuras!E:E,Estructuras!B:B,A$2,Estructuras!C:C,A413)&gt;0,SUMIFS(Estructuras!E:E,Estructuras!B:B,A$2,Estructuras!C:C,A413),C413*D413))</f>
        <v/>
      </c>
      <c r="F413" s="36"/>
      <c r="G413" s="36"/>
      <c r="H413" s="36"/>
      <c r="I413" s="36" t="str">
        <f t="shared" si="2"/>
        <v/>
      </c>
      <c r="J413" s="37" t="str">
        <f t="shared" si="3"/>
        <v/>
      </c>
      <c r="K413" s="38" t="str">
        <f>IF(L413="","",SUMIF(Productos!E:E,L413,Productos!A:A))</f>
        <v/>
      </c>
      <c r="M413" s="39"/>
    </row>
    <row r="414">
      <c r="A414" s="2" t="str">
        <f>IF(B414="","",SUMIF(Productos!E:E,B414,Productos!A:A))</f>
        <v/>
      </c>
      <c r="B414" s="40"/>
      <c r="C414" s="26" t="str">
        <f>IF(B414="","",SUMIF(Prearmados!E:E,B414,Prearmados!G:G))</f>
        <v/>
      </c>
      <c r="D414" s="19"/>
      <c r="E414" s="26" t="str">
        <f>IF(A414="","",IF(SUMIFS(Estructuras!E:E,Estructuras!B:B,A$2,Estructuras!C:C,A414)&gt;0,SUMIFS(Estructuras!E:E,Estructuras!B:B,A$2,Estructuras!C:C,A414),C414*D414))</f>
        <v/>
      </c>
      <c r="F414" s="36"/>
      <c r="G414" s="36"/>
      <c r="H414" s="36"/>
      <c r="I414" s="36" t="str">
        <f t="shared" si="2"/>
        <v/>
      </c>
      <c r="J414" s="37" t="str">
        <f t="shared" si="3"/>
        <v/>
      </c>
      <c r="K414" s="38" t="str">
        <f>IF(L414="","",SUMIF(Productos!E:E,L414,Productos!A:A))</f>
        <v/>
      </c>
      <c r="M414" s="39"/>
    </row>
    <row r="415">
      <c r="A415" s="2" t="str">
        <f>IF(B415="","",SUMIF(Productos!E:E,B415,Productos!A:A))</f>
        <v/>
      </c>
      <c r="B415" s="40"/>
      <c r="C415" s="26" t="str">
        <f>IF(B415="","",SUMIF(Prearmados!E:E,B415,Prearmados!G:G))</f>
        <v/>
      </c>
      <c r="D415" s="19"/>
      <c r="E415" s="26" t="str">
        <f>IF(A415="","",IF(SUMIFS(Estructuras!E:E,Estructuras!B:B,A$2,Estructuras!C:C,A415)&gt;0,SUMIFS(Estructuras!E:E,Estructuras!B:B,A$2,Estructuras!C:C,A415),C415*D415))</f>
        <v/>
      </c>
      <c r="F415" s="36"/>
      <c r="G415" s="36"/>
      <c r="H415" s="36"/>
      <c r="I415" s="36" t="str">
        <f t="shared" si="2"/>
        <v/>
      </c>
      <c r="J415" s="37" t="str">
        <f t="shared" si="3"/>
        <v/>
      </c>
      <c r="K415" s="38" t="str">
        <f>IF(L415="","",SUMIF(Productos!E:E,L415,Productos!A:A))</f>
        <v/>
      </c>
      <c r="M415" s="39"/>
    </row>
    <row r="416">
      <c r="A416" s="2" t="str">
        <f>IF(B416="","",SUMIF(Productos!E:E,B416,Productos!A:A))</f>
        <v/>
      </c>
      <c r="B416" s="40"/>
      <c r="C416" s="26" t="str">
        <f>IF(B416="","",SUMIF(Prearmados!E:E,B416,Prearmados!G:G))</f>
        <v/>
      </c>
      <c r="D416" s="19"/>
      <c r="E416" s="26" t="str">
        <f>IF(A416="","",IF(SUMIFS(Estructuras!E:E,Estructuras!B:B,A$2,Estructuras!C:C,A416)&gt;0,SUMIFS(Estructuras!E:E,Estructuras!B:B,A$2,Estructuras!C:C,A416),C416*D416))</f>
        <v/>
      </c>
      <c r="F416" s="36"/>
      <c r="G416" s="36"/>
      <c r="H416" s="36"/>
      <c r="I416" s="36" t="str">
        <f t="shared" si="2"/>
        <v/>
      </c>
      <c r="J416" s="37" t="str">
        <f t="shared" si="3"/>
        <v/>
      </c>
      <c r="K416" s="38" t="str">
        <f>IF(L416="","",SUMIF(Productos!E:E,L416,Productos!A:A))</f>
        <v/>
      </c>
      <c r="M416" s="39"/>
    </row>
    <row r="417">
      <c r="A417" s="2" t="str">
        <f>IF(B417="","",SUMIF(Productos!E:E,B417,Productos!A:A))</f>
        <v/>
      </c>
      <c r="B417" s="40"/>
      <c r="C417" s="26" t="str">
        <f>IF(B417="","",SUMIF(Prearmados!E:E,B417,Prearmados!G:G))</f>
        <v/>
      </c>
      <c r="D417" s="19"/>
      <c r="E417" s="26" t="str">
        <f>IF(A417="","",IF(SUMIFS(Estructuras!E:E,Estructuras!B:B,A$2,Estructuras!C:C,A417)&gt;0,SUMIFS(Estructuras!E:E,Estructuras!B:B,A$2,Estructuras!C:C,A417),C417*D417))</f>
        <v/>
      </c>
      <c r="F417" s="36"/>
      <c r="G417" s="36"/>
      <c r="H417" s="36"/>
      <c r="I417" s="36" t="str">
        <f t="shared" si="2"/>
        <v/>
      </c>
      <c r="J417" s="37" t="str">
        <f t="shared" si="3"/>
        <v/>
      </c>
      <c r="K417" s="38" t="str">
        <f>IF(L417="","",SUMIF(Productos!E:E,L417,Productos!A:A))</f>
        <v/>
      </c>
      <c r="M417" s="39"/>
    </row>
    <row r="418">
      <c r="A418" s="2" t="str">
        <f>IF(B418="","",SUMIF(Productos!E:E,B418,Productos!A:A))</f>
        <v/>
      </c>
      <c r="B418" s="40"/>
      <c r="C418" s="26" t="str">
        <f>IF(B418="","",SUMIF(Prearmados!E:E,B418,Prearmados!G:G))</f>
        <v/>
      </c>
      <c r="D418" s="19"/>
      <c r="E418" s="26" t="str">
        <f>IF(A418="","",IF(SUMIFS(Estructuras!E:E,Estructuras!B:B,A$2,Estructuras!C:C,A418)&gt;0,SUMIFS(Estructuras!E:E,Estructuras!B:B,A$2,Estructuras!C:C,A418),C418*D418))</f>
        <v/>
      </c>
      <c r="F418" s="36"/>
      <c r="G418" s="36"/>
      <c r="H418" s="36"/>
      <c r="I418" s="36" t="str">
        <f t="shared" si="2"/>
        <v/>
      </c>
      <c r="J418" s="37" t="str">
        <f t="shared" si="3"/>
        <v/>
      </c>
      <c r="K418" s="38" t="str">
        <f>IF(L418="","",SUMIF(Productos!E:E,L418,Productos!A:A))</f>
        <v/>
      </c>
      <c r="M418" s="39"/>
    </row>
    <row r="419">
      <c r="A419" s="2" t="str">
        <f>IF(B419="","",SUMIF(Productos!E:E,B419,Productos!A:A))</f>
        <v/>
      </c>
      <c r="B419" s="40"/>
      <c r="C419" s="26" t="str">
        <f>IF(B419="","",SUMIF(Prearmados!E:E,B419,Prearmados!G:G))</f>
        <v/>
      </c>
      <c r="D419" s="19"/>
      <c r="E419" s="26" t="str">
        <f>IF(A419="","",IF(SUMIFS(Estructuras!E:E,Estructuras!B:B,A$2,Estructuras!C:C,A419)&gt;0,SUMIFS(Estructuras!E:E,Estructuras!B:B,A$2,Estructuras!C:C,A419),C419*D419))</f>
        <v/>
      </c>
      <c r="F419" s="36"/>
      <c r="G419" s="36"/>
      <c r="H419" s="36"/>
      <c r="I419" s="36" t="str">
        <f t="shared" si="2"/>
        <v/>
      </c>
      <c r="J419" s="37" t="str">
        <f t="shared" si="3"/>
        <v/>
      </c>
      <c r="K419" s="38" t="str">
        <f>IF(L419="","",SUMIF(Productos!E:E,L419,Productos!A:A))</f>
        <v/>
      </c>
      <c r="M419" s="39"/>
    </row>
    <row r="420">
      <c r="A420" s="2" t="str">
        <f>IF(B420="","",SUMIF(Productos!E:E,B420,Productos!A:A))</f>
        <v/>
      </c>
      <c r="B420" s="40"/>
      <c r="C420" s="26" t="str">
        <f>IF(B420="","",SUMIF(Prearmados!E:E,B420,Prearmados!G:G))</f>
        <v/>
      </c>
      <c r="D420" s="19"/>
      <c r="E420" s="26" t="str">
        <f>IF(A420="","",IF(SUMIFS(Estructuras!E:E,Estructuras!B:B,A$2,Estructuras!C:C,A420)&gt;0,SUMIFS(Estructuras!E:E,Estructuras!B:B,A$2,Estructuras!C:C,A420),C420*D420))</f>
        <v/>
      </c>
      <c r="F420" s="36"/>
      <c r="G420" s="36"/>
      <c r="H420" s="36"/>
      <c r="I420" s="36" t="str">
        <f t="shared" si="2"/>
        <v/>
      </c>
      <c r="J420" s="37" t="str">
        <f t="shared" si="3"/>
        <v/>
      </c>
      <c r="K420" s="38" t="str">
        <f>IF(L420="","",SUMIF(Productos!E:E,L420,Productos!A:A))</f>
        <v/>
      </c>
      <c r="M420" s="39"/>
    </row>
    <row r="421">
      <c r="A421" s="2" t="str">
        <f>IF(B421="","",SUMIF(Productos!E:E,B421,Productos!A:A))</f>
        <v/>
      </c>
      <c r="B421" s="40"/>
      <c r="C421" s="26" t="str">
        <f>IF(B421="","",SUMIF(Prearmados!E:E,B421,Prearmados!G:G))</f>
        <v/>
      </c>
      <c r="D421" s="19"/>
      <c r="E421" s="26" t="str">
        <f>IF(A421="","",IF(SUMIFS(Estructuras!E:E,Estructuras!B:B,A$2,Estructuras!C:C,A421)&gt;0,SUMIFS(Estructuras!E:E,Estructuras!B:B,A$2,Estructuras!C:C,A421),C421*D421))</f>
        <v/>
      </c>
      <c r="F421" s="36"/>
      <c r="G421" s="36"/>
      <c r="H421" s="36"/>
      <c r="I421" s="36" t="str">
        <f t="shared" si="2"/>
        <v/>
      </c>
      <c r="J421" s="37" t="str">
        <f t="shared" si="3"/>
        <v/>
      </c>
      <c r="K421" s="38" t="str">
        <f>IF(L421="","",SUMIF(Productos!E:E,L421,Productos!A:A))</f>
        <v/>
      </c>
      <c r="M421" s="39"/>
    </row>
    <row r="422">
      <c r="A422" s="2" t="str">
        <f>IF(B422="","",SUMIF(Productos!E:E,B422,Productos!A:A))</f>
        <v/>
      </c>
      <c r="B422" s="40"/>
      <c r="C422" s="26" t="str">
        <f>IF(B422="","",SUMIF(Prearmados!E:E,B422,Prearmados!G:G))</f>
        <v/>
      </c>
      <c r="D422" s="19"/>
      <c r="E422" s="26" t="str">
        <f>IF(A422="","",IF(SUMIFS(Estructuras!E:E,Estructuras!B:B,A$2,Estructuras!C:C,A422)&gt;0,SUMIFS(Estructuras!E:E,Estructuras!B:B,A$2,Estructuras!C:C,A422),C422*D422))</f>
        <v/>
      </c>
      <c r="F422" s="36"/>
      <c r="G422" s="36"/>
      <c r="H422" s="36"/>
      <c r="I422" s="36" t="str">
        <f t="shared" si="2"/>
        <v/>
      </c>
      <c r="J422" s="37" t="str">
        <f t="shared" si="3"/>
        <v/>
      </c>
      <c r="K422" s="38" t="str">
        <f>IF(L422="","",SUMIF(Productos!E:E,L422,Productos!A:A))</f>
        <v/>
      </c>
      <c r="M422" s="39"/>
    </row>
    <row r="423">
      <c r="A423" s="2" t="str">
        <f>IF(B423="","",SUMIF(Productos!E:E,B423,Productos!A:A))</f>
        <v/>
      </c>
      <c r="B423" s="40"/>
      <c r="C423" s="26" t="str">
        <f>IF(B423="","",SUMIF(Prearmados!E:E,B423,Prearmados!G:G))</f>
        <v/>
      </c>
      <c r="D423" s="19"/>
      <c r="E423" s="26" t="str">
        <f>IF(A423="","",IF(SUMIFS(Estructuras!E:E,Estructuras!B:B,A$2,Estructuras!C:C,A423)&gt;0,SUMIFS(Estructuras!E:E,Estructuras!B:B,A$2,Estructuras!C:C,A423),C423*D423))</f>
        <v/>
      </c>
      <c r="F423" s="36"/>
      <c r="G423" s="36"/>
      <c r="H423" s="36"/>
      <c r="I423" s="36" t="str">
        <f t="shared" si="2"/>
        <v/>
      </c>
      <c r="J423" s="37" t="str">
        <f t="shared" si="3"/>
        <v/>
      </c>
      <c r="K423" s="38" t="str">
        <f>IF(L423="","",SUMIF(Productos!E:E,L423,Productos!A:A))</f>
        <v/>
      </c>
      <c r="M423" s="39"/>
    </row>
    <row r="424">
      <c r="A424" s="2" t="str">
        <f>IF(B424="","",SUMIF(Productos!E:E,B424,Productos!A:A))</f>
        <v/>
      </c>
      <c r="B424" s="40"/>
      <c r="C424" s="26" t="str">
        <f>IF(B424="","",SUMIF(Prearmados!E:E,B424,Prearmados!G:G))</f>
        <v/>
      </c>
      <c r="D424" s="19"/>
      <c r="E424" s="26" t="str">
        <f>IF(A424="","",IF(SUMIFS(Estructuras!E:E,Estructuras!B:B,A$2,Estructuras!C:C,A424)&gt;0,SUMIFS(Estructuras!E:E,Estructuras!B:B,A$2,Estructuras!C:C,A424),C424*D424))</f>
        <v/>
      </c>
      <c r="F424" s="36"/>
      <c r="G424" s="36"/>
      <c r="H424" s="36"/>
      <c r="I424" s="36" t="str">
        <f t="shared" si="2"/>
        <v/>
      </c>
      <c r="J424" s="37" t="str">
        <f t="shared" si="3"/>
        <v/>
      </c>
      <c r="K424" s="38" t="str">
        <f>IF(L424="","",SUMIF(Productos!E:E,L424,Productos!A:A))</f>
        <v/>
      </c>
      <c r="M424" s="39"/>
    </row>
    <row r="425">
      <c r="A425" s="2" t="str">
        <f>IF(B425="","",SUMIF(Productos!E:E,B425,Productos!A:A))</f>
        <v/>
      </c>
      <c r="B425" s="40"/>
      <c r="C425" s="26" t="str">
        <f>IF(B425="","",SUMIF(Prearmados!E:E,B425,Prearmados!G:G))</f>
        <v/>
      </c>
      <c r="D425" s="19"/>
      <c r="E425" s="26" t="str">
        <f>IF(A425="","",IF(SUMIFS(Estructuras!E:E,Estructuras!B:B,A$2,Estructuras!C:C,A425)&gt;0,SUMIFS(Estructuras!E:E,Estructuras!B:B,A$2,Estructuras!C:C,A425),C425*D425))</f>
        <v/>
      </c>
      <c r="F425" s="36"/>
      <c r="G425" s="36"/>
      <c r="H425" s="36"/>
      <c r="I425" s="36" t="str">
        <f t="shared" si="2"/>
        <v/>
      </c>
      <c r="J425" s="37" t="str">
        <f t="shared" si="3"/>
        <v/>
      </c>
      <c r="K425" s="38" t="str">
        <f>IF(L425="","",SUMIF(Productos!E:E,L425,Productos!A:A))</f>
        <v/>
      </c>
      <c r="M425" s="39"/>
    </row>
    <row r="426">
      <c r="A426" s="2" t="str">
        <f>IF(B426="","",SUMIF(Productos!E:E,B426,Productos!A:A))</f>
        <v/>
      </c>
      <c r="B426" s="40"/>
      <c r="C426" s="26" t="str">
        <f>IF(B426="","",SUMIF(Prearmados!E:E,B426,Prearmados!G:G))</f>
        <v/>
      </c>
      <c r="D426" s="19"/>
      <c r="E426" s="26" t="str">
        <f>IF(A426="","",IF(SUMIFS(Estructuras!E:E,Estructuras!B:B,A$2,Estructuras!C:C,A426)&gt;0,SUMIFS(Estructuras!E:E,Estructuras!B:B,A$2,Estructuras!C:C,A426),C426*D426))</f>
        <v/>
      </c>
      <c r="F426" s="36"/>
      <c r="G426" s="36"/>
      <c r="H426" s="36"/>
      <c r="I426" s="36" t="str">
        <f t="shared" si="2"/>
        <v/>
      </c>
      <c r="J426" s="37" t="str">
        <f t="shared" si="3"/>
        <v/>
      </c>
      <c r="K426" s="38" t="str">
        <f>IF(L426="","",SUMIF(Productos!E:E,L426,Productos!A:A))</f>
        <v/>
      </c>
      <c r="M426" s="39"/>
    </row>
    <row r="427">
      <c r="A427" s="2" t="str">
        <f>IF(B427="","",SUMIF(Productos!E:E,B427,Productos!A:A))</f>
        <v/>
      </c>
      <c r="B427" s="40"/>
      <c r="C427" s="26" t="str">
        <f>IF(B427="","",SUMIF(Prearmados!E:E,B427,Prearmados!G:G))</f>
        <v/>
      </c>
      <c r="D427" s="19"/>
      <c r="E427" s="26" t="str">
        <f>IF(A427="","",IF(SUMIFS(Estructuras!E:E,Estructuras!B:B,A$2,Estructuras!C:C,A427)&gt;0,SUMIFS(Estructuras!E:E,Estructuras!B:B,A$2,Estructuras!C:C,A427),C427*D427))</f>
        <v/>
      </c>
      <c r="F427" s="36"/>
      <c r="G427" s="36"/>
      <c r="H427" s="36"/>
      <c r="I427" s="36" t="str">
        <f t="shared" si="2"/>
        <v/>
      </c>
      <c r="J427" s="37" t="str">
        <f t="shared" si="3"/>
        <v/>
      </c>
      <c r="K427" s="38" t="str">
        <f>IF(L427="","",SUMIF(Productos!E:E,L427,Productos!A:A))</f>
        <v/>
      </c>
      <c r="M427" s="39"/>
    </row>
    <row r="428">
      <c r="A428" s="2" t="str">
        <f>IF(B428="","",SUMIF(Productos!E:E,B428,Productos!A:A))</f>
        <v/>
      </c>
      <c r="B428" s="40"/>
      <c r="C428" s="26" t="str">
        <f>IF(B428="","",SUMIF(Prearmados!E:E,B428,Prearmados!G:G))</f>
        <v/>
      </c>
      <c r="D428" s="19"/>
      <c r="E428" s="26" t="str">
        <f>IF(A428="","",IF(SUMIFS(Estructuras!E:E,Estructuras!B:B,A$2,Estructuras!C:C,A428)&gt;0,SUMIFS(Estructuras!E:E,Estructuras!B:B,A$2,Estructuras!C:C,A428),C428*D428))</f>
        <v/>
      </c>
      <c r="F428" s="36"/>
      <c r="G428" s="36"/>
      <c r="H428" s="36"/>
      <c r="I428" s="36" t="str">
        <f t="shared" si="2"/>
        <v/>
      </c>
      <c r="J428" s="37" t="str">
        <f t="shared" si="3"/>
        <v/>
      </c>
      <c r="K428" s="38" t="str">
        <f>IF(L428="","",SUMIF(Productos!E:E,L428,Productos!A:A))</f>
        <v/>
      </c>
      <c r="M428" s="39"/>
    </row>
    <row r="429">
      <c r="A429" s="2" t="str">
        <f>IF(B429="","",SUMIF(Productos!E:E,B429,Productos!A:A))</f>
        <v/>
      </c>
      <c r="B429" s="40"/>
      <c r="C429" s="26" t="str">
        <f>IF(B429="","",SUMIF(Prearmados!E:E,B429,Prearmados!G:G))</f>
        <v/>
      </c>
      <c r="D429" s="19"/>
      <c r="E429" s="26" t="str">
        <f>IF(A429="","",IF(SUMIFS(Estructuras!E:E,Estructuras!B:B,A$2,Estructuras!C:C,A429)&gt;0,SUMIFS(Estructuras!E:E,Estructuras!B:B,A$2,Estructuras!C:C,A429),C429*D429))</f>
        <v/>
      </c>
      <c r="F429" s="36"/>
      <c r="G429" s="36"/>
      <c r="H429" s="36"/>
      <c r="I429" s="36" t="str">
        <f t="shared" si="2"/>
        <v/>
      </c>
      <c r="J429" s="37" t="str">
        <f t="shared" si="3"/>
        <v/>
      </c>
      <c r="K429" s="38" t="str">
        <f>IF(L429="","",SUMIF(Productos!E:E,L429,Productos!A:A))</f>
        <v/>
      </c>
      <c r="M429" s="39"/>
    </row>
    <row r="430">
      <c r="A430" s="2" t="str">
        <f>IF(B430="","",SUMIF(Productos!E:E,B430,Productos!A:A))</f>
        <v/>
      </c>
      <c r="B430" s="40"/>
      <c r="C430" s="26" t="str">
        <f>IF(B430="","",SUMIF(Prearmados!E:E,B430,Prearmados!G:G))</f>
        <v/>
      </c>
      <c r="D430" s="19"/>
      <c r="E430" s="26" t="str">
        <f>IF(A430="","",IF(SUMIFS(Estructuras!E:E,Estructuras!B:B,A$2,Estructuras!C:C,A430)&gt;0,SUMIFS(Estructuras!E:E,Estructuras!B:B,A$2,Estructuras!C:C,A430),C430*D430))</f>
        <v/>
      </c>
      <c r="F430" s="36"/>
      <c r="G430" s="36"/>
      <c r="H430" s="36"/>
      <c r="I430" s="36" t="str">
        <f t="shared" si="2"/>
        <v/>
      </c>
      <c r="J430" s="37" t="str">
        <f t="shared" si="3"/>
        <v/>
      </c>
      <c r="K430" s="38" t="str">
        <f>IF(L430="","",SUMIF(Productos!E:E,L430,Productos!A:A))</f>
        <v/>
      </c>
      <c r="M430" s="39"/>
    </row>
    <row r="431">
      <c r="A431" s="2" t="str">
        <f>IF(B431="","",SUMIF(Productos!E:E,B431,Productos!A:A))</f>
        <v/>
      </c>
      <c r="B431" s="40"/>
      <c r="C431" s="26" t="str">
        <f>IF(B431="","",SUMIF(Prearmados!E:E,B431,Prearmados!G:G))</f>
        <v/>
      </c>
      <c r="D431" s="19"/>
      <c r="E431" s="26" t="str">
        <f>IF(A431="","",IF(SUMIFS(Estructuras!E:E,Estructuras!B:B,A$2,Estructuras!C:C,A431)&gt;0,SUMIFS(Estructuras!E:E,Estructuras!B:B,A$2,Estructuras!C:C,A431),C431*D431))</f>
        <v/>
      </c>
      <c r="F431" s="36"/>
      <c r="G431" s="36"/>
      <c r="H431" s="36"/>
      <c r="I431" s="36" t="str">
        <f t="shared" si="2"/>
        <v/>
      </c>
      <c r="J431" s="37" t="str">
        <f t="shared" si="3"/>
        <v/>
      </c>
      <c r="K431" s="38" t="str">
        <f>IF(L431="","",SUMIF(Productos!E:E,L431,Productos!A:A))</f>
        <v/>
      </c>
      <c r="M431" s="39"/>
    </row>
    <row r="432">
      <c r="A432" s="2" t="str">
        <f>IF(B432="","",SUMIF(Productos!E:E,B432,Productos!A:A))</f>
        <v/>
      </c>
      <c r="B432" s="40"/>
      <c r="C432" s="26" t="str">
        <f>IF(B432="","",SUMIF(Prearmados!E:E,B432,Prearmados!G:G))</f>
        <v/>
      </c>
      <c r="D432" s="19"/>
      <c r="E432" s="26" t="str">
        <f>IF(A432="","",IF(SUMIFS(Estructuras!E:E,Estructuras!B:B,A$2,Estructuras!C:C,A432)&gt;0,SUMIFS(Estructuras!E:E,Estructuras!B:B,A$2,Estructuras!C:C,A432),C432*D432))</f>
        <v/>
      </c>
      <c r="F432" s="36"/>
      <c r="G432" s="36"/>
      <c r="H432" s="36"/>
      <c r="I432" s="36" t="str">
        <f t="shared" si="2"/>
        <v/>
      </c>
      <c r="J432" s="37" t="str">
        <f t="shared" si="3"/>
        <v/>
      </c>
      <c r="K432" s="38" t="str">
        <f>IF(L432="","",SUMIF(Productos!E:E,L432,Productos!A:A))</f>
        <v/>
      </c>
      <c r="M432" s="39"/>
    </row>
    <row r="433">
      <c r="A433" s="2" t="str">
        <f>IF(B433="","",SUMIF(Productos!E:E,B433,Productos!A:A))</f>
        <v/>
      </c>
      <c r="B433" s="40"/>
      <c r="C433" s="26" t="str">
        <f>IF(B433="","",SUMIF(Prearmados!E:E,B433,Prearmados!G:G))</f>
        <v/>
      </c>
      <c r="D433" s="19"/>
      <c r="E433" s="26" t="str">
        <f>IF(A433="","",IF(SUMIFS(Estructuras!E:E,Estructuras!B:B,A$2,Estructuras!C:C,A433)&gt;0,SUMIFS(Estructuras!E:E,Estructuras!B:B,A$2,Estructuras!C:C,A433),C433*D433))</f>
        <v/>
      </c>
      <c r="F433" s="36"/>
      <c r="G433" s="36"/>
      <c r="H433" s="36"/>
      <c r="I433" s="36" t="str">
        <f t="shared" si="2"/>
        <v/>
      </c>
      <c r="J433" s="37" t="str">
        <f t="shared" si="3"/>
        <v/>
      </c>
      <c r="K433" s="38" t="str">
        <f>IF(L433="","",SUMIF(Productos!E:E,L433,Productos!A:A))</f>
        <v/>
      </c>
      <c r="M433" s="39"/>
    </row>
    <row r="434">
      <c r="A434" s="2" t="str">
        <f>IF(B434="","",SUMIF(Productos!E:E,B434,Productos!A:A))</f>
        <v/>
      </c>
      <c r="B434" s="40"/>
      <c r="C434" s="26" t="str">
        <f>IF(B434="","",SUMIF(Prearmados!E:E,B434,Prearmados!G:G))</f>
        <v/>
      </c>
      <c r="D434" s="19"/>
      <c r="E434" s="26" t="str">
        <f>IF(A434="","",IF(SUMIFS(Estructuras!E:E,Estructuras!B:B,A$2,Estructuras!C:C,A434)&gt;0,SUMIFS(Estructuras!E:E,Estructuras!B:B,A$2,Estructuras!C:C,A434),C434*D434))</f>
        <v/>
      </c>
      <c r="F434" s="36"/>
      <c r="G434" s="36"/>
      <c r="H434" s="36"/>
      <c r="I434" s="36" t="str">
        <f t="shared" si="2"/>
        <v/>
      </c>
      <c r="J434" s="37" t="str">
        <f t="shared" si="3"/>
        <v/>
      </c>
      <c r="K434" s="38" t="str">
        <f>IF(L434="","",SUMIF(Productos!E:E,L434,Productos!A:A))</f>
        <v/>
      </c>
      <c r="M434" s="39"/>
    </row>
    <row r="435">
      <c r="A435" s="2" t="str">
        <f>IF(B435="","",SUMIF(Productos!E:E,B435,Productos!A:A))</f>
        <v/>
      </c>
      <c r="B435" s="40"/>
      <c r="C435" s="26" t="str">
        <f>IF(B435="","",SUMIF(Prearmados!E:E,B435,Prearmados!G:G))</f>
        <v/>
      </c>
      <c r="D435" s="19"/>
      <c r="E435" s="26" t="str">
        <f>IF(A435="","",IF(SUMIFS(Estructuras!E:E,Estructuras!B:B,A$2,Estructuras!C:C,A435)&gt;0,SUMIFS(Estructuras!E:E,Estructuras!B:B,A$2,Estructuras!C:C,A435),C435*D435))</f>
        <v/>
      </c>
      <c r="F435" s="36"/>
      <c r="G435" s="36"/>
      <c r="H435" s="36"/>
      <c r="I435" s="36" t="str">
        <f t="shared" si="2"/>
        <v/>
      </c>
      <c r="J435" s="37" t="str">
        <f t="shared" si="3"/>
        <v/>
      </c>
      <c r="K435" s="38" t="str">
        <f>IF(L435="","",SUMIF(Productos!E:E,L435,Productos!A:A))</f>
        <v/>
      </c>
      <c r="M435" s="39"/>
    </row>
    <row r="436">
      <c r="A436" s="2" t="str">
        <f>IF(B436="","",SUMIF(Productos!E:E,B436,Productos!A:A))</f>
        <v/>
      </c>
      <c r="B436" s="40"/>
      <c r="C436" s="26" t="str">
        <f>IF(B436="","",SUMIF(Prearmados!E:E,B436,Prearmados!G:G))</f>
        <v/>
      </c>
      <c r="D436" s="19"/>
      <c r="E436" s="26" t="str">
        <f>IF(A436="","",IF(SUMIFS(Estructuras!E:E,Estructuras!B:B,A$2,Estructuras!C:C,A436)&gt;0,SUMIFS(Estructuras!E:E,Estructuras!B:B,A$2,Estructuras!C:C,A436),C436*D436))</f>
        <v/>
      </c>
      <c r="F436" s="36"/>
      <c r="G436" s="36"/>
      <c r="H436" s="36"/>
      <c r="I436" s="36" t="str">
        <f t="shared" si="2"/>
        <v/>
      </c>
      <c r="J436" s="37" t="str">
        <f t="shared" si="3"/>
        <v/>
      </c>
      <c r="K436" s="38" t="str">
        <f>IF(L436="","",SUMIF(Productos!E:E,L436,Productos!A:A))</f>
        <v/>
      </c>
      <c r="M436" s="39"/>
    </row>
    <row r="437">
      <c r="A437" s="2" t="str">
        <f>IF(B437="","",SUMIF(Productos!E:E,B437,Productos!A:A))</f>
        <v/>
      </c>
      <c r="B437" s="40"/>
      <c r="C437" s="26" t="str">
        <f>IF(B437="","",SUMIF(Prearmados!E:E,B437,Prearmados!G:G))</f>
        <v/>
      </c>
      <c r="D437" s="19"/>
      <c r="E437" s="26" t="str">
        <f>IF(A437="","",IF(SUMIFS(Estructuras!E:E,Estructuras!B:B,A$2,Estructuras!C:C,A437)&gt;0,SUMIFS(Estructuras!E:E,Estructuras!B:B,A$2,Estructuras!C:C,A437),C437*D437))</f>
        <v/>
      </c>
      <c r="F437" s="36"/>
      <c r="G437" s="36"/>
      <c r="H437" s="36"/>
      <c r="I437" s="36" t="str">
        <f t="shared" si="2"/>
        <v/>
      </c>
      <c r="J437" s="37" t="str">
        <f t="shared" si="3"/>
        <v/>
      </c>
      <c r="K437" s="38" t="str">
        <f>IF(L437="","",SUMIF(Productos!E:E,L437,Productos!A:A))</f>
        <v/>
      </c>
      <c r="M437" s="39"/>
    </row>
    <row r="438">
      <c r="A438" s="2" t="str">
        <f>IF(B438="","",SUMIF(Productos!E:E,B438,Productos!A:A))</f>
        <v/>
      </c>
      <c r="B438" s="40"/>
      <c r="C438" s="26" t="str">
        <f>IF(B438="","",SUMIF(Prearmados!E:E,B438,Prearmados!G:G))</f>
        <v/>
      </c>
      <c r="D438" s="19"/>
      <c r="E438" s="26" t="str">
        <f>IF(A438="","",IF(SUMIFS(Estructuras!E:E,Estructuras!B:B,A$2,Estructuras!C:C,A438)&gt;0,SUMIFS(Estructuras!E:E,Estructuras!B:B,A$2,Estructuras!C:C,A438),C438*D438))</f>
        <v/>
      </c>
      <c r="F438" s="36"/>
      <c r="G438" s="36"/>
      <c r="H438" s="36"/>
      <c r="I438" s="36" t="str">
        <f t="shared" si="2"/>
        <v/>
      </c>
      <c r="J438" s="37" t="str">
        <f t="shared" si="3"/>
        <v/>
      </c>
      <c r="K438" s="38" t="str">
        <f>IF(L438="","",SUMIF(Productos!E:E,L438,Productos!A:A))</f>
        <v/>
      </c>
      <c r="M438" s="39"/>
    </row>
    <row r="439">
      <c r="A439" s="2" t="str">
        <f>IF(B439="","",SUMIF(Productos!E:E,B439,Productos!A:A))</f>
        <v/>
      </c>
      <c r="B439" s="40"/>
      <c r="C439" s="26" t="str">
        <f>IF(B439="","",SUMIF(Prearmados!E:E,B439,Prearmados!G:G))</f>
        <v/>
      </c>
      <c r="D439" s="19"/>
      <c r="E439" s="26" t="str">
        <f>IF(A439="","",IF(SUMIFS(Estructuras!E:E,Estructuras!B:B,A$2,Estructuras!C:C,A439)&gt;0,SUMIFS(Estructuras!E:E,Estructuras!B:B,A$2,Estructuras!C:C,A439),C439*D439))</f>
        <v/>
      </c>
      <c r="F439" s="36"/>
      <c r="G439" s="36"/>
      <c r="H439" s="36"/>
      <c r="I439" s="36" t="str">
        <f t="shared" si="2"/>
        <v/>
      </c>
      <c r="J439" s="37" t="str">
        <f t="shared" si="3"/>
        <v/>
      </c>
      <c r="K439" s="38" t="str">
        <f>IF(L439="","",SUMIF(Productos!E:E,L439,Productos!A:A))</f>
        <v/>
      </c>
      <c r="M439" s="39"/>
    </row>
    <row r="440">
      <c r="A440" s="2" t="str">
        <f>IF(B440="","",SUMIF(Productos!E:E,B440,Productos!A:A))</f>
        <v/>
      </c>
      <c r="B440" s="40"/>
      <c r="C440" s="26" t="str">
        <f>IF(B440="","",SUMIF(Prearmados!E:E,B440,Prearmados!G:G))</f>
        <v/>
      </c>
      <c r="D440" s="19"/>
      <c r="E440" s="26" t="str">
        <f>IF(A440="","",IF(SUMIFS(Estructuras!E:E,Estructuras!B:B,A$2,Estructuras!C:C,A440)&gt;0,SUMIFS(Estructuras!E:E,Estructuras!B:B,A$2,Estructuras!C:C,A440),C440*D440))</f>
        <v/>
      </c>
      <c r="F440" s="36"/>
      <c r="G440" s="36"/>
      <c r="H440" s="36"/>
      <c r="I440" s="36" t="str">
        <f t="shared" si="2"/>
        <v/>
      </c>
      <c r="J440" s="37" t="str">
        <f t="shared" si="3"/>
        <v/>
      </c>
      <c r="K440" s="38" t="str">
        <f>IF(L440="","",SUMIF(Productos!E:E,L440,Productos!A:A))</f>
        <v/>
      </c>
      <c r="M440" s="39"/>
    </row>
    <row r="441">
      <c r="A441" s="2" t="str">
        <f>IF(B441="","",SUMIF(Productos!E:E,B441,Productos!A:A))</f>
        <v/>
      </c>
      <c r="B441" s="40"/>
      <c r="C441" s="26" t="str">
        <f>IF(B441="","",SUMIF(Prearmados!E:E,B441,Prearmados!G:G))</f>
        <v/>
      </c>
      <c r="D441" s="19"/>
      <c r="E441" s="26" t="str">
        <f>IF(A441="","",IF(SUMIFS(Estructuras!E:E,Estructuras!B:B,A$2,Estructuras!C:C,A441)&gt;0,SUMIFS(Estructuras!E:E,Estructuras!B:B,A$2,Estructuras!C:C,A441),C441*D441))</f>
        <v/>
      </c>
      <c r="F441" s="36"/>
      <c r="G441" s="36"/>
      <c r="H441" s="36"/>
      <c r="I441" s="36" t="str">
        <f t="shared" si="2"/>
        <v/>
      </c>
      <c r="J441" s="37" t="str">
        <f t="shared" si="3"/>
        <v/>
      </c>
      <c r="K441" s="38" t="str">
        <f>IF(L441="","",SUMIF(Productos!E:E,L441,Productos!A:A))</f>
        <v/>
      </c>
      <c r="M441" s="39"/>
    </row>
    <row r="442">
      <c r="A442" s="2" t="str">
        <f>IF(B442="","",SUMIF(Productos!E:E,B442,Productos!A:A))</f>
        <v/>
      </c>
      <c r="B442" s="40"/>
      <c r="C442" s="26" t="str">
        <f>IF(B442="","",SUMIF(Prearmados!E:E,B442,Prearmados!G:G))</f>
        <v/>
      </c>
      <c r="D442" s="19"/>
      <c r="E442" s="26" t="str">
        <f>IF(A442="","",IF(SUMIFS(Estructuras!E:E,Estructuras!B:B,A$2,Estructuras!C:C,A442)&gt;0,SUMIFS(Estructuras!E:E,Estructuras!B:B,A$2,Estructuras!C:C,A442),C442*D442))</f>
        <v/>
      </c>
      <c r="F442" s="36"/>
      <c r="G442" s="36"/>
      <c r="H442" s="36"/>
      <c r="I442" s="36" t="str">
        <f t="shared" si="2"/>
        <v/>
      </c>
      <c r="J442" s="37" t="str">
        <f t="shared" si="3"/>
        <v/>
      </c>
      <c r="K442" s="38" t="str">
        <f>IF(L442="","",SUMIF(Productos!E:E,L442,Productos!A:A))</f>
        <v/>
      </c>
      <c r="M442" s="39"/>
    </row>
    <row r="443">
      <c r="A443" s="2" t="str">
        <f>IF(B443="","",SUMIF(Productos!E:E,B443,Productos!A:A))</f>
        <v/>
      </c>
      <c r="B443" s="40"/>
      <c r="C443" s="26" t="str">
        <f>IF(B443="","",SUMIF(Prearmados!E:E,B443,Prearmados!G:G))</f>
        <v/>
      </c>
      <c r="D443" s="19"/>
      <c r="E443" s="26" t="str">
        <f>IF(A443="","",IF(SUMIFS(Estructuras!E:E,Estructuras!B:B,A$2,Estructuras!C:C,A443)&gt;0,SUMIFS(Estructuras!E:E,Estructuras!B:B,A$2,Estructuras!C:C,A443),C443*D443))</f>
        <v/>
      </c>
      <c r="F443" s="36"/>
      <c r="G443" s="36"/>
      <c r="H443" s="36"/>
      <c r="I443" s="36" t="str">
        <f t="shared" si="2"/>
        <v/>
      </c>
      <c r="J443" s="37" t="str">
        <f t="shared" si="3"/>
        <v/>
      </c>
      <c r="K443" s="38" t="str">
        <f>IF(L443="","",SUMIF(Productos!E:E,L443,Productos!A:A))</f>
        <v/>
      </c>
      <c r="M443" s="39"/>
    </row>
    <row r="444">
      <c r="A444" s="2" t="str">
        <f>IF(B444="","",SUMIF(Productos!E:E,B444,Productos!A:A))</f>
        <v/>
      </c>
      <c r="B444" s="40"/>
      <c r="C444" s="26" t="str">
        <f>IF(B444="","",SUMIF(Prearmados!E:E,B444,Prearmados!G:G))</f>
        <v/>
      </c>
      <c r="D444" s="19"/>
      <c r="E444" s="26" t="str">
        <f>IF(A444="","",IF(SUMIFS(Estructuras!E:E,Estructuras!B:B,A$2,Estructuras!C:C,A444)&gt;0,SUMIFS(Estructuras!E:E,Estructuras!B:B,A$2,Estructuras!C:C,A444),C444*D444))</f>
        <v/>
      </c>
      <c r="F444" s="36"/>
      <c r="G444" s="36"/>
      <c r="H444" s="36"/>
      <c r="I444" s="36" t="str">
        <f t="shared" si="2"/>
        <v/>
      </c>
      <c r="J444" s="37" t="str">
        <f t="shared" si="3"/>
        <v/>
      </c>
      <c r="K444" s="38" t="str">
        <f>IF(L444="","",SUMIF(Productos!E:E,L444,Productos!A:A))</f>
        <v/>
      </c>
      <c r="M444" s="39"/>
    </row>
    <row r="445">
      <c r="A445" s="2" t="str">
        <f>IF(B445="","",SUMIF(Productos!E:E,B445,Productos!A:A))</f>
        <v/>
      </c>
      <c r="B445" s="40"/>
      <c r="C445" s="26" t="str">
        <f>IF(B445="","",SUMIF(Prearmados!E:E,B445,Prearmados!G:G))</f>
        <v/>
      </c>
      <c r="D445" s="19"/>
      <c r="E445" s="26" t="str">
        <f>IF(A445="","",IF(SUMIFS(Estructuras!E:E,Estructuras!B:B,A$2,Estructuras!C:C,A445)&gt;0,SUMIFS(Estructuras!E:E,Estructuras!B:B,A$2,Estructuras!C:C,A445),C445*D445))</f>
        <v/>
      </c>
      <c r="F445" s="36"/>
      <c r="G445" s="36"/>
      <c r="H445" s="36"/>
      <c r="I445" s="36" t="str">
        <f t="shared" si="2"/>
        <v/>
      </c>
      <c r="J445" s="37" t="str">
        <f t="shared" si="3"/>
        <v/>
      </c>
      <c r="K445" s="38" t="str">
        <f>IF(L445="","",SUMIF(Productos!E:E,L445,Productos!A:A))</f>
        <v/>
      </c>
      <c r="M445" s="39"/>
    </row>
    <row r="446">
      <c r="A446" s="2" t="str">
        <f>IF(B446="","",SUMIF(Productos!E:E,B446,Productos!A:A))</f>
        <v/>
      </c>
      <c r="B446" s="40"/>
      <c r="C446" s="26" t="str">
        <f>IF(B446="","",SUMIF(Prearmados!E:E,B446,Prearmados!G:G))</f>
        <v/>
      </c>
      <c r="D446" s="19"/>
      <c r="E446" s="26" t="str">
        <f>IF(A446="","",IF(SUMIFS(Estructuras!E:E,Estructuras!B:B,A$2,Estructuras!C:C,A446)&gt;0,SUMIFS(Estructuras!E:E,Estructuras!B:B,A$2,Estructuras!C:C,A446),C446*D446))</f>
        <v/>
      </c>
      <c r="F446" s="36"/>
      <c r="G446" s="36"/>
      <c r="H446" s="36"/>
      <c r="I446" s="36" t="str">
        <f t="shared" si="2"/>
        <v/>
      </c>
      <c r="J446" s="37" t="str">
        <f t="shared" si="3"/>
        <v/>
      </c>
      <c r="K446" s="38" t="str">
        <f>IF(L446="","",SUMIF(Productos!E:E,L446,Productos!A:A))</f>
        <v/>
      </c>
      <c r="M446" s="39"/>
    </row>
    <row r="447">
      <c r="A447" s="2" t="str">
        <f>IF(B447="","",SUMIF(Productos!E:E,B447,Productos!A:A))</f>
        <v/>
      </c>
      <c r="B447" s="40"/>
      <c r="C447" s="26" t="str">
        <f>IF(B447="","",SUMIF(Prearmados!E:E,B447,Prearmados!G:G))</f>
        <v/>
      </c>
      <c r="D447" s="19"/>
      <c r="E447" s="26" t="str">
        <f>IF(A447="","",IF(SUMIFS(Estructuras!E:E,Estructuras!B:B,A$2,Estructuras!C:C,A447)&gt;0,SUMIFS(Estructuras!E:E,Estructuras!B:B,A$2,Estructuras!C:C,A447),C447*D447))</f>
        <v/>
      </c>
      <c r="F447" s="36"/>
      <c r="G447" s="36"/>
      <c r="H447" s="36"/>
      <c r="I447" s="36" t="str">
        <f t="shared" si="2"/>
        <v/>
      </c>
      <c r="J447" s="37" t="str">
        <f t="shared" si="3"/>
        <v/>
      </c>
      <c r="K447" s="38" t="str">
        <f>IF(L447="","",SUMIF(Productos!E:E,L447,Productos!A:A))</f>
        <v/>
      </c>
      <c r="M447" s="39"/>
    </row>
    <row r="448">
      <c r="A448" s="2" t="str">
        <f>IF(B448="","",SUMIF(Productos!E:E,B448,Productos!A:A))</f>
        <v/>
      </c>
      <c r="B448" s="40"/>
      <c r="C448" s="26" t="str">
        <f>IF(B448="","",SUMIF(Prearmados!E:E,B448,Prearmados!G:G))</f>
        <v/>
      </c>
      <c r="D448" s="19"/>
      <c r="E448" s="26" t="str">
        <f>IF(A448="","",IF(SUMIFS(Estructuras!E:E,Estructuras!B:B,A$2,Estructuras!C:C,A448)&gt;0,SUMIFS(Estructuras!E:E,Estructuras!B:B,A$2,Estructuras!C:C,A448),C448*D448))</f>
        <v/>
      </c>
      <c r="F448" s="36"/>
      <c r="G448" s="36"/>
      <c r="H448" s="36"/>
      <c r="I448" s="36" t="str">
        <f t="shared" si="2"/>
        <v/>
      </c>
      <c r="J448" s="37" t="str">
        <f t="shared" si="3"/>
        <v/>
      </c>
      <c r="K448" s="38" t="str">
        <f>IF(L448="","",SUMIF(Productos!E:E,L448,Productos!A:A))</f>
        <v/>
      </c>
      <c r="M448" s="39"/>
    </row>
    <row r="449">
      <c r="A449" s="2" t="str">
        <f>IF(B449="","",SUMIF(Productos!E:E,B449,Productos!A:A))</f>
        <v/>
      </c>
      <c r="B449" s="40"/>
      <c r="C449" s="26" t="str">
        <f>IF(B449="","",SUMIF(Prearmados!E:E,B449,Prearmados!G:G))</f>
        <v/>
      </c>
      <c r="D449" s="19"/>
      <c r="E449" s="26" t="str">
        <f>IF(A449="","",IF(SUMIFS(Estructuras!E:E,Estructuras!B:B,A$2,Estructuras!C:C,A449)&gt;0,SUMIFS(Estructuras!E:E,Estructuras!B:B,A$2,Estructuras!C:C,A449),C449*D449))</f>
        <v/>
      </c>
      <c r="F449" s="36"/>
      <c r="G449" s="36"/>
      <c r="H449" s="36"/>
      <c r="I449" s="36" t="str">
        <f t="shared" si="2"/>
        <v/>
      </c>
      <c r="J449" s="37" t="str">
        <f t="shared" si="3"/>
        <v/>
      </c>
      <c r="K449" s="38" t="str">
        <f>IF(L449="","",SUMIF(Productos!E:E,L449,Productos!A:A))</f>
        <v/>
      </c>
      <c r="M449" s="39"/>
    </row>
    <row r="450">
      <c r="A450" s="2" t="str">
        <f>IF(B450="","",SUMIF(Productos!E:E,B450,Productos!A:A))</f>
        <v/>
      </c>
      <c r="B450" s="40"/>
      <c r="C450" s="26" t="str">
        <f>IF(B450="","",SUMIF(Prearmados!E:E,B450,Prearmados!G:G))</f>
        <v/>
      </c>
      <c r="D450" s="19"/>
      <c r="E450" s="26" t="str">
        <f>IF(A450="","",IF(SUMIFS(Estructuras!E:E,Estructuras!B:B,A$2,Estructuras!C:C,A450)&gt;0,SUMIFS(Estructuras!E:E,Estructuras!B:B,A$2,Estructuras!C:C,A450),C450*D450))</f>
        <v/>
      </c>
      <c r="F450" s="36"/>
      <c r="G450" s="36"/>
      <c r="H450" s="36"/>
      <c r="I450" s="36" t="str">
        <f t="shared" si="2"/>
        <v/>
      </c>
      <c r="J450" s="37" t="str">
        <f t="shared" si="3"/>
        <v/>
      </c>
      <c r="K450" s="38" t="str">
        <f>IF(L450="","",SUMIF(Productos!E:E,L450,Productos!A:A))</f>
        <v/>
      </c>
      <c r="M450" s="39"/>
    </row>
    <row r="451">
      <c r="A451" s="2" t="str">
        <f>IF(B451="","",SUMIF(Productos!E:E,B451,Productos!A:A))</f>
        <v/>
      </c>
      <c r="B451" s="40"/>
      <c r="C451" s="26" t="str">
        <f>IF(B451="","",SUMIF(Prearmados!E:E,B451,Prearmados!G:G))</f>
        <v/>
      </c>
      <c r="D451" s="19"/>
      <c r="E451" s="26" t="str">
        <f>IF(A451="","",IF(SUMIFS(Estructuras!E:E,Estructuras!B:B,A$2,Estructuras!C:C,A451)&gt;0,SUMIFS(Estructuras!E:E,Estructuras!B:B,A$2,Estructuras!C:C,A451),C451*D451))</f>
        <v/>
      </c>
      <c r="F451" s="36"/>
      <c r="G451" s="36"/>
      <c r="H451" s="36"/>
      <c r="I451" s="36" t="str">
        <f t="shared" si="2"/>
        <v/>
      </c>
      <c r="J451" s="37" t="str">
        <f t="shared" si="3"/>
        <v/>
      </c>
      <c r="K451" s="38" t="str">
        <f>IF(L451="","",SUMIF(Productos!E:E,L451,Productos!A:A))</f>
        <v/>
      </c>
      <c r="M451" s="39"/>
    </row>
    <row r="452">
      <c r="A452" s="2" t="str">
        <f>IF(B452="","",SUMIF(Productos!E:E,B452,Productos!A:A))</f>
        <v/>
      </c>
      <c r="B452" s="40"/>
      <c r="C452" s="26" t="str">
        <f>IF(B452="","",SUMIF(Prearmados!E:E,B452,Prearmados!G:G))</f>
        <v/>
      </c>
      <c r="D452" s="19"/>
      <c r="E452" s="26" t="str">
        <f>IF(A452="","",IF(SUMIFS(Estructuras!E:E,Estructuras!B:B,A$2,Estructuras!C:C,A452)&gt;0,SUMIFS(Estructuras!E:E,Estructuras!B:B,A$2,Estructuras!C:C,A452),C452*D452))</f>
        <v/>
      </c>
      <c r="F452" s="36"/>
      <c r="G452" s="36"/>
      <c r="H452" s="36"/>
      <c r="I452" s="36" t="str">
        <f t="shared" si="2"/>
        <v/>
      </c>
      <c r="J452" s="37" t="str">
        <f t="shared" si="3"/>
        <v/>
      </c>
      <c r="K452" s="38" t="str">
        <f>IF(L452="","",SUMIF(Productos!E:E,L452,Productos!A:A))</f>
        <v/>
      </c>
      <c r="M452" s="39"/>
    </row>
    <row r="453">
      <c r="A453" s="2" t="str">
        <f>IF(B453="","",SUMIF(Productos!E:E,B453,Productos!A:A))</f>
        <v/>
      </c>
      <c r="B453" s="40"/>
      <c r="C453" s="26" t="str">
        <f>IF(B453="","",SUMIF(Prearmados!E:E,B453,Prearmados!G:G))</f>
        <v/>
      </c>
      <c r="D453" s="19"/>
      <c r="E453" s="26" t="str">
        <f>IF(A453="","",IF(SUMIFS(Estructuras!E:E,Estructuras!B:B,A$2,Estructuras!C:C,A453)&gt;0,SUMIFS(Estructuras!E:E,Estructuras!B:B,A$2,Estructuras!C:C,A453),C453*D453))</f>
        <v/>
      </c>
      <c r="F453" s="36"/>
      <c r="G453" s="36"/>
      <c r="H453" s="36"/>
      <c r="I453" s="36" t="str">
        <f t="shared" si="2"/>
        <v/>
      </c>
      <c r="J453" s="37" t="str">
        <f t="shared" si="3"/>
        <v/>
      </c>
      <c r="K453" s="38" t="str">
        <f>IF(L453="","",SUMIF(Productos!E:E,L453,Productos!A:A))</f>
        <v/>
      </c>
      <c r="M453" s="39"/>
    </row>
    <row r="454">
      <c r="A454" s="2" t="str">
        <f>IF(B454="","",SUMIF(Productos!E:E,B454,Productos!A:A))</f>
        <v/>
      </c>
      <c r="B454" s="40"/>
      <c r="C454" s="26" t="str">
        <f>IF(B454="","",SUMIF(Prearmados!E:E,B454,Prearmados!G:G))</f>
        <v/>
      </c>
      <c r="D454" s="19"/>
      <c r="E454" s="26" t="str">
        <f>IF(A454="","",IF(SUMIFS(Estructuras!E:E,Estructuras!B:B,A$2,Estructuras!C:C,A454)&gt;0,SUMIFS(Estructuras!E:E,Estructuras!B:B,A$2,Estructuras!C:C,A454),C454*D454))</f>
        <v/>
      </c>
      <c r="F454" s="36"/>
      <c r="G454" s="36"/>
      <c r="H454" s="36"/>
      <c r="I454" s="36" t="str">
        <f t="shared" si="2"/>
        <v/>
      </c>
      <c r="J454" s="37" t="str">
        <f t="shared" si="3"/>
        <v/>
      </c>
      <c r="K454" s="38" t="str">
        <f>IF(L454="","",SUMIF(Productos!E:E,L454,Productos!A:A))</f>
        <v/>
      </c>
      <c r="M454" s="39"/>
    </row>
    <row r="455">
      <c r="A455" s="2" t="str">
        <f>IF(B455="","",SUMIF(Productos!E:E,B455,Productos!A:A))</f>
        <v/>
      </c>
      <c r="B455" s="40"/>
      <c r="C455" s="26" t="str">
        <f>IF(B455="","",SUMIF(Prearmados!E:E,B455,Prearmados!G:G))</f>
        <v/>
      </c>
      <c r="D455" s="19"/>
      <c r="E455" s="26" t="str">
        <f>IF(A455="","",IF(SUMIFS(Estructuras!E:E,Estructuras!B:B,A$2,Estructuras!C:C,A455)&gt;0,SUMIFS(Estructuras!E:E,Estructuras!B:B,A$2,Estructuras!C:C,A455),C455*D455))</f>
        <v/>
      </c>
      <c r="F455" s="36"/>
      <c r="G455" s="36"/>
      <c r="H455" s="36"/>
      <c r="I455" s="36" t="str">
        <f t="shared" si="2"/>
        <v/>
      </c>
      <c r="J455" s="37" t="str">
        <f t="shared" si="3"/>
        <v/>
      </c>
      <c r="K455" s="38" t="str">
        <f>IF(L455="","",SUMIF(Productos!E:E,L455,Productos!A:A))</f>
        <v/>
      </c>
      <c r="M455" s="39"/>
    </row>
    <row r="456">
      <c r="A456" s="2" t="str">
        <f>IF(B456="","",SUMIF(Productos!E:E,B456,Productos!A:A))</f>
        <v/>
      </c>
      <c r="B456" s="40"/>
      <c r="C456" s="26" t="str">
        <f>IF(B456="","",SUMIF(Prearmados!E:E,B456,Prearmados!G:G))</f>
        <v/>
      </c>
      <c r="D456" s="19"/>
      <c r="E456" s="26" t="str">
        <f>IF(A456="","",IF(SUMIFS(Estructuras!E:E,Estructuras!B:B,A$2,Estructuras!C:C,A456)&gt;0,SUMIFS(Estructuras!E:E,Estructuras!B:B,A$2,Estructuras!C:C,A456),C456*D456))</f>
        <v/>
      </c>
      <c r="F456" s="36"/>
      <c r="G456" s="36"/>
      <c r="H456" s="36"/>
      <c r="I456" s="36" t="str">
        <f t="shared" si="2"/>
        <v/>
      </c>
      <c r="J456" s="37" t="str">
        <f t="shared" si="3"/>
        <v/>
      </c>
      <c r="K456" s="38" t="str">
        <f>IF(L456="","",SUMIF(Productos!E:E,L456,Productos!A:A))</f>
        <v/>
      </c>
      <c r="M456" s="39"/>
    </row>
    <row r="457">
      <c r="A457" s="2" t="str">
        <f>IF(B457="","",SUMIF(Productos!E:E,B457,Productos!A:A))</f>
        <v/>
      </c>
      <c r="B457" s="40"/>
      <c r="C457" s="26" t="str">
        <f>IF(B457="","",SUMIF(Prearmados!E:E,B457,Prearmados!G:G))</f>
        <v/>
      </c>
      <c r="D457" s="19"/>
      <c r="E457" s="26" t="str">
        <f>IF(A457="","",IF(SUMIFS(Estructuras!E:E,Estructuras!B:B,A$2,Estructuras!C:C,A457)&gt;0,SUMIFS(Estructuras!E:E,Estructuras!B:B,A$2,Estructuras!C:C,A457),C457*D457))</f>
        <v/>
      </c>
      <c r="F457" s="36"/>
      <c r="G457" s="36"/>
      <c r="H457" s="36"/>
      <c r="I457" s="36" t="str">
        <f t="shared" si="2"/>
        <v/>
      </c>
      <c r="J457" s="37" t="str">
        <f t="shared" si="3"/>
        <v/>
      </c>
      <c r="K457" s="38" t="str">
        <f>IF(L457="","",SUMIF(Productos!E:E,L457,Productos!A:A))</f>
        <v/>
      </c>
      <c r="M457" s="39"/>
    </row>
    <row r="458">
      <c r="A458" s="2" t="str">
        <f>IF(B458="","",SUMIF(Productos!E:E,B458,Productos!A:A))</f>
        <v/>
      </c>
      <c r="B458" s="40"/>
      <c r="C458" s="26" t="str">
        <f>IF(B458="","",SUMIF(Prearmados!E:E,B458,Prearmados!G:G))</f>
        <v/>
      </c>
      <c r="D458" s="19"/>
      <c r="E458" s="26" t="str">
        <f>IF(A458="","",IF(SUMIFS(Estructuras!E:E,Estructuras!B:B,A$2,Estructuras!C:C,A458)&gt;0,SUMIFS(Estructuras!E:E,Estructuras!B:B,A$2,Estructuras!C:C,A458),C458*D458))</f>
        <v/>
      </c>
      <c r="F458" s="36"/>
      <c r="G458" s="36"/>
      <c r="H458" s="36"/>
      <c r="I458" s="36" t="str">
        <f t="shared" si="2"/>
        <v/>
      </c>
      <c r="J458" s="37" t="str">
        <f t="shared" si="3"/>
        <v/>
      </c>
      <c r="K458" s="38" t="str">
        <f>IF(L458="","",SUMIF(Productos!E:E,L458,Productos!A:A))</f>
        <v/>
      </c>
      <c r="M458" s="39"/>
    </row>
    <row r="459">
      <c r="A459" s="2" t="str">
        <f>IF(B459="","",SUMIF(Productos!E:E,B459,Productos!A:A))</f>
        <v/>
      </c>
      <c r="B459" s="40"/>
      <c r="C459" s="26" t="str">
        <f>IF(B459="","",SUMIF(Prearmados!E:E,B459,Prearmados!G:G))</f>
        <v/>
      </c>
      <c r="D459" s="19"/>
      <c r="E459" s="26" t="str">
        <f>IF(A459="","",IF(SUMIFS(Estructuras!E:E,Estructuras!B:B,A$2,Estructuras!C:C,A459)&gt;0,SUMIFS(Estructuras!E:E,Estructuras!B:B,A$2,Estructuras!C:C,A459),C459*D459))</f>
        <v/>
      </c>
      <c r="F459" s="36"/>
      <c r="G459" s="36"/>
      <c r="H459" s="36"/>
      <c r="I459" s="36" t="str">
        <f t="shared" si="2"/>
        <v/>
      </c>
      <c r="J459" s="37" t="str">
        <f t="shared" si="3"/>
        <v/>
      </c>
      <c r="K459" s="38" t="str">
        <f>IF(L459="","",SUMIF(Productos!E:E,L459,Productos!A:A))</f>
        <v/>
      </c>
      <c r="M459" s="39"/>
    </row>
    <row r="460">
      <c r="A460" s="2" t="str">
        <f>IF(B460="","",SUMIF(Productos!E:E,B460,Productos!A:A))</f>
        <v/>
      </c>
      <c r="B460" s="40"/>
      <c r="C460" s="26" t="str">
        <f>IF(B460="","",SUMIF(Prearmados!E:E,B460,Prearmados!G:G))</f>
        <v/>
      </c>
      <c r="D460" s="19"/>
      <c r="E460" s="26" t="str">
        <f>IF(A460="","",IF(SUMIFS(Estructuras!E:E,Estructuras!B:B,A$2,Estructuras!C:C,A460)&gt;0,SUMIFS(Estructuras!E:E,Estructuras!B:B,A$2,Estructuras!C:C,A460),C460*D460))</f>
        <v/>
      </c>
      <c r="F460" s="36"/>
      <c r="G460" s="36"/>
      <c r="H460" s="36"/>
      <c r="I460" s="36" t="str">
        <f t="shared" si="2"/>
        <v/>
      </c>
      <c r="J460" s="37" t="str">
        <f t="shared" si="3"/>
        <v/>
      </c>
      <c r="K460" s="38" t="str">
        <f>IF(L460="","",SUMIF(Productos!E:E,L460,Productos!A:A))</f>
        <v/>
      </c>
      <c r="M460" s="39"/>
    </row>
    <row r="461">
      <c r="A461" s="2" t="str">
        <f>IF(B461="","",SUMIF(Productos!E:E,B461,Productos!A:A))</f>
        <v/>
      </c>
      <c r="B461" s="40"/>
      <c r="C461" s="26" t="str">
        <f>IF(B461="","",SUMIF(Prearmados!E:E,B461,Prearmados!G:G))</f>
        <v/>
      </c>
      <c r="D461" s="19"/>
      <c r="E461" s="26" t="str">
        <f>IF(A461="","",IF(SUMIFS(Estructuras!E:E,Estructuras!B:B,A$2,Estructuras!C:C,A461)&gt;0,SUMIFS(Estructuras!E:E,Estructuras!B:B,A$2,Estructuras!C:C,A461),C461*D461))</f>
        <v/>
      </c>
      <c r="F461" s="36"/>
      <c r="G461" s="36"/>
      <c r="H461" s="36"/>
      <c r="I461" s="36" t="str">
        <f t="shared" si="2"/>
        <v/>
      </c>
      <c r="J461" s="37" t="str">
        <f t="shared" si="3"/>
        <v/>
      </c>
      <c r="K461" s="38" t="str">
        <f>IF(L461="","",SUMIF(Productos!E:E,L461,Productos!A:A))</f>
        <v/>
      </c>
      <c r="M461" s="39"/>
    </row>
    <row r="462">
      <c r="A462" s="2" t="str">
        <f>IF(B462="","",SUMIF(Productos!E:E,B462,Productos!A:A))</f>
        <v/>
      </c>
      <c r="B462" s="40"/>
      <c r="C462" s="26" t="str">
        <f>IF(B462="","",SUMIF(Prearmados!E:E,B462,Prearmados!G:G))</f>
        <v/>
      </c>
      <c r="D462" s="19"/>
      <c r="E462" s="26" t="str">
        <f>IF(A462="","",IF(SUMIFS(Estructuras!E:E,Estructuras!B:B,A$2,Estructuras!C:C,A462)&gt;0,SUMIFS(Estructuras!E:E,Estructuras!B:B,A$2,Estructuras!C:C,A462),C462*D462))</f>
        <v/>
      </c>
      <c r="F462" s="36"/>
      <c r="G462" s="36"/>
      <c r="H462" s="36"/>
      <c r="I462" s="36" t="str">
        <f t="shared" si="2"/>
        <v/>
      </c>
      <c r="J462" s="37" t="str">
        <f t="shared" si="3"/>
        <v/>
      </c>
      <c r="K462" s="38" t="str">
        <f>IF(L462="","",SUMIF(Productos!E:E,L462,Productos!A:A))</f>
        <v/>
      </c>
      <c r="M462" s="39"/>
    </row>
    <row r="463">
      <c r="A463" s="2" t="str">
        <f>IF(B463="","",SUMIF(Productos!E:E,B463,Productos!A:A))</f>
        <v/>
      </c>
      <c r="B463" s="40"/>
      <c r="C463" s="26" t="str">
        <f>IF(B463="","",SUMIF(Prearmados!E:E,B463,Prearmados!G:G))</f>
        <v/>
      </c>
      <c r="D463" s="19"/>
      <c r="E463" s="26" t="str">
        <f>IF(A463="","",IF(SUMIFS(Estructuras!E:E,Estructuras!B:B,A$2,Estructuras!C:C,A463)&gt;0,SUMIFS(Estructuras!E:E,Estructuras!B:B,A$2,Estructuras!C:C,A463),C463*D463))</f>
        <v/>
      </c>
      <c r="F463" s="36"/>
      <c r="G463" s="36"/>
      <c r="H463" s="36"/>
      <c r="I463" s="36" t="str">
        <f t="shared" si="2"/>
        <v/>
      </c>
      <c r="J463" s="37" t="str">
        <f t="shared" si="3"/>
        <v/>
      </c>
      <c r="K463" s="38" t="str">
        <f>IF(L463="","",SUMIF(Productos!E:E,L463,Productos!A:A))</f>
        <v/>
      </c>
      <c r="M463" s="39"/>
    </row>
    <row r="464">
      <c r="A464" s="2" t="str">
        <f>IF(B464="","",SUMIF(Productos!E:E,B464,Productos!A:A))</f>
        <v/>
      </c>
      <c r="B464" s="40"/>
      <c r="C464" s="26" t="str">
        <f>IF(B464="","",SUMIF(Prearmados!E:E,B464,Prearmados!G:G))</f>
        <v/>
      </c>
      <c r="D464" s="19"/>
      <c r="E464" s="26" t="str">
        <f>IF(A464="","",IF(SUMIFS(Estructuras!E:E,Estructuras!B:B,A$2,Estructuras!C:C,A464)&gt;0,SUMIFS(Estructuras!E:E,Estructuras!B:B,A$2,Estructuras!C:C,A464),C464*D464))</f>
        <v/>
      </c>
      <c r="F464" s="36"/>
      <c r="G464" s="36"/>
      <c r="H464" s="36"/>
      <c r="I464" s="36" t="str">
        <f t="shared" si="2"/>
        <v/>
      </c>
      <c r="J464" s="37" t="str">
        <f t="shared" si="3"/>
        <v/>
      </c>
      <c r="K464" s="38" t="str">
        <f>IF(L464="","",SUMIF(Productos!E:E,L464,Productos!A:A))</f>
        <v/>
      </c>
      <c r="M464" s="39"/>
    </row>
    <row r="465">
      <c r="A465" s="2" t="str">
        <f>IF(B465="","",SUMIF(Productos!E:E,B465,Productos!A:A))</f>
        <v/>
      </c>
      <c r="B465" s="40"/>
      <c r="C465" s="26" t="str">
        <f>IF(B465="","",SUMIF(Prearmados!E:E,B465,Prearmados!G:G))</f>
        <v/>
      </c>
      <c r="D465" s="19"/>
      <c r="E465" s="26" t="str">
        <f>IF(A465="","",IF(SUMIFS(Estructuras!E:E,Estructuras!B:B,A$2,Estructuras!C:C,A465)&gt;0,SUMIFS(Estructuras!E:E,Estructuras!B:B,A$2,Estructuras!C:C,A465),C465*D465))</f>
        <v/>
      </c>
      <c r="F465" s="36"/>
      <c r="G465" s="36"/>
      <c r="H465" s="36"/>
      <c r="I465" s="36" t="str">
        <f t="shared" si="2"/>
        <v/>
      </c>
      <c r="J465" s="37" t="str">
        <f t="shared" si="3"/>
        <v/>
      </c>
      <c r="K465" s="38" t="str">
        <f>IF(L465="","",SUMIF(Productos!E:E,L465,Productos!A:A))</f>
        <v/>
      </c>
      <c r="M465" s="39"/>
    </row>
    <row r="466">
      <c r="A466" s="2" t="str">
        <f>IF(B466="","",SUMIF(Productos!E:E,B466,Productos!A:A))</f>
        <v/>
      </c>
      <c r="B466" s="40"/>
      <c r="C466" s="26" t="str">
        <f>IF(B466="","",SUMIF(Prearmados!E:E,B466,Prearmados!G:G))</f>
        <v/>
      </c>
      <c r="D466" s="19"/>
      <c r="E466" s="26" t="str">
        <f>IF(A466="","",IF(SUMIFS(Estructuras!E:E,Estructuras!B:B,A$2,Estructuras!C:C,A466)&gt;0,SUMIFS(Estructuras!E:E,Estructuras!B:B,A$2,Estructuras!C:C,A466),C466*D466))</f>
        <v/>
      </c>
      <c r="F466" s="36"/>
      <c r="G466" s="36"/>
      <c r="H466" s="36"/>
      <c r="I466" s="36" t="str">
        <f t="shared" si="2"/>
        <v/>
      </c>
      <c r="J466" s="37" t="str">
        <f t="shared" si="3"/>
        <v/>
      </c>
      <c r="K466" s="38" t="str">
        <f>IF(L466="","",SUMIF(Productos!E:E,L466,Productos!A:A))</f>
        <v/>
      </c>
      <c r="M466" s="39"/>
    </row>
    <row r="467">
      <c r="A467" s="2" t="str">
        <f>IF(B467="","",SUMIF(Productos!E:E,B467,Productos!A:A))</f>
        <v/>
      </c>
      <c r="B467" s="40"/>
      <c r="C467" s="26" t="str">
        <f>IF(B467="","",SUMIF(Prearmados!E:E,B467,Prearmados!G:G))</f>
        <v/>
      </c>
      <c r="D467" s="19"/>
      <c r="E467" s="26" t="str">
        <f>IF(A467="","",IF(SUMIFS(Estructuras!E:E,Estructuras!B:B,A$2,Estructuras!C:C,A467)&gt;0,SUMIFS(Estructuras!E:E,Estructuras!B:B,A$2,Estructuras!C:C,A467),C467*D467))</f>
        <v/>
      </c>
      <c r="F467" s="36"/>
      <c r="G467" s="36"/>
      <c r="H467" s="36"/>
      <c r="I467" s="36" t="str">
        <f t="shared" si="2"/>
        <v/>
      </c>
      <c r="J467" s="37" t="str">
        <f t="shared" si="3"/>
        <v/>
      </c>
      <c r="K467" s="38" t="str">
        <f>IF(L467="","",SUMIF(Productos!E:E,L467,Productos!A:A))</f>
        <v/>
      </c>
      <c r="M467" s="39"/>
    </row>
    <row r="468">
      <c r="A468" s="2" t="str">
        <f>IF(B468="","",SUMIF(Productos!E:E,B468,Productos!A:A))</f>
        <v/>
      </c>
      <c r="B468" s="40"/>
      <c r="C468" s="26" t="str">
        <f>IF(B468="","",SUMIF(Prearmados!E:E,B468,Prearmados!G:G))</f>
        <v/>
      </c>
      <c r="D468" s="19"/>
      <c r="E468" s="26" t="str">
        <f>IF(A468="","",IF(SUMIFS(Estructuras!E:E,Estructuras!B:B,A$2,Estructuras!C:C,A468)&gt;0,SUMIFS(Estructuras!E:E,Estructuras!B:B,A$2,Estructuras!C:C,A468),C468*D468))</f>
        <v/>
      </c>
      <c r="F468" s="36"/>
      <c r="G468" s="36"/>
      <c r="H468" s="36"/>
      <c r="I468" s="36" t="str">
        <f t="shared" si="2"/>
        <v/>
      </c>
      <c r="J468" s="37" t="str">
        <f t="shared" si="3"/>
        <v/>
      </c>
      <c r="K468" s="38" t="str">
        <f>IF(L468="","",SUMIF(Productos!E:E,L468,Productos!A:A))</f>
        <v/>
      </c>
      <c r="M468" s="39"/>
    </row>
    <row r="469">
      <c r="A469" s="2" t="str">
        <f>IF(B469="","",SUMIF(Productos!E:E,B469,Productos!A:A))</f>
        <v/>
      </c>
      <c r="B469" s="40"/>
      <c r="C469" s="26" t="str">
        <f>IF(B469="","",SUMIF(Prearmados!E:E,B469,Prearmados!G:G))</f>
        <v/>
      </c>
      <c r="D469" s="19"/>
      <c r="E469" s="26" t="str">
        <f>IF(A469="","",IF(SUMIFS(Estructuras!E:E,Estructuras!B:B,A$2,Estructuras!C:C,A469)&gt;0,SUMIFS(Estructuras!E:E,Estructuras!B:B,A$2,Estructuras!C:C,A469),C469*D469))</f>
        <v/>
      </c>
      <c r="F469" s="36"/>
      <c r="G469" s="36"/>
      <c r="H469" s="36"/>
      <c r="I469" s="36" t="str">
        <f t="shared" si="2"/>
        <v/>
      </c>
      <c r="J469" s="37" t="str">
        <f t="shared" si="3"/>
        <v/>
      </c>
      <c r="K469" s="38" t="str">
        <f>IF(L469="","",SUMIF(Productos!E:E,L469,Productos!A:A))</f>
        <v/>
      </c>
      <c r="M469" s="39"/>
    </row>
    <row r="470">
      <c r="A470" s="2" t="str">
        <f>IF(B470="","",SUMIF(Productos!E:E,B470,Productos!A:A))</f>
        <v/>
      </c>
      <c r="B470" s="40"/>
      <c r="C470" s="26" t="str">
        <f>IF(B470="","",SUMIF(Prearmados!E:E,B470,Prearmados!G:G))</f>
        <v/>
      </c>
      <c r="D470" s="19"/>
      <c r="E470" s="26" t="str">
        <f>IF(A470="","",IF(SUMIFS(Estructuras!E:E,Estructuras!B:B,A$2,Estructuras!C:C,A470)&gt;0,SUMIFS(Estructuras!E:E,Estructuras!B:B,A$2,Estructuras!C:C,A470),C470*D470))</f>
        <v/>
      </c>
      <c r="F470" s="36"/>
      <c r="G470" s="36"/>
      <c r="H470" s="36"/>
      <c r="I470" s="36" t="str">
        <f t="shared" si="2"/>
        <v/>
      </c>
      <c r="J470" s="37" t="str">
        <f t="shared" si="3"/>
        <v/>
      </c>
      <c r="K470" s="38" t="str">
        <f>IF(L470="","",SUMIF(Productos!E:E,L470,Productos!A:A))</f>
        <v/>
      </c>
      <c r="M470" s="39"/>
    </row>
    <row r="471">
      <c r="A471" s="2" t="str">
        <f>IF(B471="","",SUMIF(Productos!E:E,B471,Productos!A:A))</f>
        <v/>
      </c>
      <c r="B471" s="40"/>
      <c r="C471" s="26" t="str">
        <f>IF(B471="","",SUMIF(Prearmados!E:E,B471,Prearmados!G:G))</f>
        <v/>
      </c>
      <c r="D471" s="19"/>
      <c r="E471" s="26" t="str">
        <f>IF(A471="","",IF(SUMIFS(Estructuras!E:E,Estructuras!B:B,A$2,Estructuras!C:C,A471)&gt;0,SUMIFS(Estructuras!E:E,Estructuras!B:B,A$2,Estructuras!C:C,A471),C471*D471))</f>
        <v/>
      </c>
      <c r="F471" s="36"/>
      <c r="G471" s="36"/>
      <c r="H471" s="36"/>
      <c r="I471" s="36" t="str">
        <f t="shared" si="2"/>
        <v/>
      </c>
      <c r="J471" s="37" t="str">
        <f t="shared" si="3"/>
        <v/>
      </c>
      <c r="K471" s="38" t="str">
        <f>IF(L471="","",SUMIF(Productos!E:E,L471,Productos!A:A))</f>
        <v/>
      </c>
      <c r="M471" s="39"/>
    </row>
    <row r="472">
      <c r="A472" s="2" t="str">
        <f>IF(B472="","",SUMIF(Productos!E:E,B472,Productos!A:A))</f>
        <v/>
      </c>
      <c r="B472" s="40"/>
      <c r="C472" s="26" t="str">
        <f>IF(B472="","",SUMIF(Prearmados!E:E,B472,Prearmados!G:G))</f>
        <v/>
      </c>
      <c r="D472" s="19"/>
      <c r="E472" s="26" t="str">
        <f>IF(A472="","",IF(SUMIFS(Estructuras!E:E,Estructuras!B:B,A$2,Estructuras!C:C,A472)&gt;0,SUMIFS(Estructuras!E:E,Estructuras!B:B,A$2,Estructuras!C:C,A472),C472*D472))</f>
        <v/>
      </c>
      <c r="F472" s="36"/>
      <c r="G472" s="36"/>
      <c r="H472" s="36"/>
      <c r="I472" s="36" t="str">
        <f t="shared" si="2"/>
        <v/>
      </c>
      <c r="J472" s="37" t="str">
        <f t="shared" si="3"/>
        <v/>
      </c>
      <c r="K472" s="38" t="str">
        <f>IF(L472="","",SUMIF(Productos!E:E,L472,Productos!A:A))</f>
        <v/>
      </c>
      <c r="M472" s="39"/>
    </row>
    <row r="473">
      <c r="A473" s="2" t="str">
        <f>IF(B473="","",SUMIF(Productos!E:E,B473,Productos!A:A))</f>
        <v/>
      </c>
      <c r="B473" s="40"/>
      <c r="C473" s="26" t="str">
        <f>IF(B473="","",SUMIF(Prearmados!E:E,B473,Prearmados!G:G))</f>
        <v/>
      </c>
      <c r="D473" s="19"/>
      <c r="E473" s="26" t="str">
        <f>IF(A473="","",IF(SUMIFS(Estructuras!E:E,Estructuras!B:B,A$2,Estructuras!C:C,A473)&gt;0,SUMIFS(Estructuras!E:E,Estructuras!B:B,A$2,Estructuras!C:C,A473),C473*D473))</f>
        <v/>
      </c>
      <c r="F473" s="36"/>
      <c r="G473" s="36"/>
      <c r="H473" s="36"/>
      <c r="I473" s="36" t="str">
        <f t="shared" si="2"/>
        <v/>
      </c>
      <c r="J473" s="37" t="str">
        <f t="shared" si="3"/>
        <v/>
      </c>
      <c r="K473" s="38" t="str">
        <f>IF(L473="","",SUMIF(Productos!E:E,L473,Productos!A:A))</f>
        <v/>
      </c>
      <c r="M473" s="39"/>
    </row>
    <row r="474">
      <c r="A474" s="2" t="str">
        <f>IF(B474="","",SUMIF(Productos!E:E,B474,Productos!A:A))</f>
        <v/>
      </c>
      <c r="B474" s="40"/>
      <c r="C474" s="26" t="str">
        <f>IF(B474="","",SUMIF(Prearmados!E:E,B474,Prearmados!G:G))</f>
        <v/>
      </c>
      <c r="D474" s="19"/>
      <c r="E474" s="26" t="str">
        <f>IF(A474="","",IF(SUMIFS(Estructuras!E:E,Estructuras!B:B,A$2,Estructuras!C:C,A474)&gt;0,SUMIFS(Estructuras!E:E,Estructuras!B:B,A$2,Estructuras!C:C,A474),C474*D474))</f>
        <v/>
      </c>
      <c r="F474" s="36"/>
      <c r="G474" s="36"/>
      <c r="H474" s="36"/>
      <c r="I474" s="36" t="str">
        <f t="shared" si="2"/>
        <v/>
      </c>
      <c r="J474" s="37" t="str">
        <f t="shared" si="3"/>
        <v/>
      </c>
      <c r="K474" s="38" t="str">
        <f>IF(L474="","",SUMIF(Productos!E:E,L474,Productos!A:A))</f>
        <v/>
      </c>
      <c r="M474" s="39"/>
    </row>
    <row r="475">
      <c r="A475" s="2" t="str">
        <f>IF(B475="","",SUMIF(Productos!E:E,B475,Productos!A:A))</f>
        <v/>
      </c>
      <c r="B475" s="40"/>
      <c r="C475" s="26" t="str">
        <f>IF(B475="","",SUMIF(Prearmados!E:E,B475,Prearmados!G:G))</f>
        <v/>
      </c>
      <c r="D475" s="19"/>
      <c r="E475" s="26" t="str">
        <f>IF(A475="","",IF(SUMIFS(Estructuras!E:E,Estructuras!B:B,A$2,Estructuras!C:C,A475)&gt;0,SUMIFS(Estructuras!E:E,Estructuras!B:B,A$2,Estructuras!C:C,A475),C475*D475))</f>
        <v/>
      </c>
      <c r="F475" s="36"/>
      <c r="G475" s="36"/>
      <c r="H475" s="36"/>
      <c r="I475" s="36" t="str">
        <f t="shared" si="2"/>
        <v/>
      </c>
      <c r="J475" s="37" t="str">
        <f t="shared" si="3"/>
        <v/>
      </c>
      <c r="K475" s="38" t="str">
        <f>IF(L475="","",SUMIF(Productos!E:E,L475,Productos!A:A))</f>
        <v/>
      </c>
      <c r="M475" s="39"/>
    </row>
    <row r="476">
      <c r="A476" s="2" t="str">
        <f>IF(B476="","",SUMIF(Productos!E:E,B476,Productos!A:A))</f>
        <v/>
      </c>
      <c r="B476" s="40"/>
      <c r="C476" s="26" t="str">
        <f>IF(B476="","",SUMIF(Prearmados!E:E,B476,Prearmados!G:G))</f>
        <v/>
      </c>
      <c r="D476" s="19"/>
      <c r="E476" s="26" t="str">
        <f>IF(A476="","",IF(SUMIFS(Estructuras!E:E,Estructuras!B:B,A$2,Estructuras!C:C,A476)&gt;0,SUMIFS(Estructuras!E:E,Estructuras!B:B,A$2,Estructuras!C:C,A476),C476*D476))</f>
        <v/>
      </c>
      <c r="F476" s="36"/>
      <c r="G476" s="36"/>
      <c r="H476" s="36"/>
      <c r="I476" s="36" t="str">
        <f t="shared" si="2"/>
        <v/>
      </c>
      <c r="J476" s="37" t="str">
        <f t="shared" si="3"/>
        <v/>
      </c>
      <c r="K476" s="38" t="str">
        <f>IF(L476="","",SUMIF(Productos!E:E,L476,Productos!A:A))</f>
        <v/>
      </c>
      <c r="M476" s="39"/>
    </row>
    <row r="477">
      <c r="A477" s="2" t="str">
        <f>IF(B477="","",SUMIF(Productos!E:E,B477,Productos!A:A))</f>
        <v/>
      </c>
      <c r="B477" s="40"/>
      <c r="C477" s="26" t="str">
        <f>IF(B477="","",SUMIF(Prearmados!E:E,B477,Prearmados!G:G))</f>
        <v/>
      </c>
      <c r="D477" s="19"/>
      <c r="E477" s="26" t="str">
        <f>IF(A477="","",IF(SUMIFS(Estructuras!E:E,Estructuras!B:B,A$2,Estructuras!C:C,A477)&gt;0,SUMIFS(Estructuras!E:E,Estructuras!B:B,A$2,Estructuras!C:C,A477),C477*D477))</f>
        <v/>
      </c>
      <c r="F477" s="36"/>
      <c r="G477" s="36"/>
      <c r="H477" s="36"/>
      <c r="I477" s="36" t="str">
        <f t="shared" si="2"/>
        <v/>
      </c>
      <c r="J477" s="37" t="str">
        <f t="shared" si="3"/>
        <v/>
      </c>
      <c r="K477" s="38" t="str">
        <f>IF(L477="","",SUMIF(Productos!E:E,L477,Productos!A:A))</f>
        <v/>
      </c>
      <c r="M477" s="39"/>
    </row>
    <row r="478">
      <c r="A478" s="2" t="str">
        <f>IF(B478="","",SUMIF(Productos!E:E,B478,Productos!A:A))</f>
        <v/>
      </c>
      <c r="B478" s="40"/>
      <c r="C478" s="26" t="str">
        <f>IF(B478="","",SUMIF(Prearmados!E:E,B478,Prearmados!G:G))</f>
        <v/>
      </c>
      <c r="D478" s="19"/>
      <c r="E478" s="26" t="str">
        <f>IF(A478="","",IF(SUMIFS(Estructuras!E:E,Estructuras!B:B,A$2,Estructuras!C:C,A478)&gt;0,SUMIFS(Estructuras!E:E,Estructuras!B:B,A$2,Estructuras!C:C,A478),C478*D478))</f>
        <v/>
      </c>
      <c r="F478" s="36"/>
      <c r="G478" s="36"/>
      <c r="H478" s="36"/>
      <c r="I478" s="36" t="str">
        <f t="shared" si="2"/>
        <v/>
      </c>
      <c r="J478" s="37" t="str">
        <f t="shared" si="3"/>
        <v/>
      </c>
      <c r="K478" s="38" t="str">
        <f>IF(L478="","",SUMIF(Productos!E:E,L478,Productos!A:A))</f>
        <v/>
      </c>
      <c r="M478" s="39"/>
    </row>
    <row r="479">
      <c r="A479" s="2" t="str">
        <f>IF(B479="","",SUMIF(Productos!E:E,B479,Productos!A:A))</f>
        <v/>
      </c>
      <c r="B479" s="40"/>
      <c r="C479" s="26" t="str">
        <f>IF(B479="","",SUMIF(Prearmados!E:E,B479,Prearmados!G:G))</f>
        <v/>
      </c>
      <c r="D479" s="19"/>
      <c r="E479" s="26" t="str">
        <f>IF(A479="","",IF(SUMIFS(Estructuras!E:E,Estructuras!B:B,A$2,Estructuras!C:C,A479)&gt;0,SUMIFS(Estructuras!E:E,Estructuras!B:B,A$2,Estructuras!C:C,A479),C479*D479))</f>
        <v/>
      </c>
      <c r="F479" s="36"/>
      <c r="G479" s="36"/>
      <c r="H479" s="36"/>
      <c r="I479" s="36" t="str">
        <f t="shared" si="2"/>
        <v/>
      </c>
      <c r="J479" s="37" t="str">
        <f t="shared" si="3"/>
        <v/>
      </c>
      <c r="K479" s="38" t="str">
        <f>IF(L479="","",SUMIF(Productos!E:E,L479,Productos!A:A))</f>
        <v/>
      </c>
      <c r="M479" s="39"/>
    </row>
    <row r="480">
      <c r="A480" s="2" t="str">
        <f>IF(B480="","",SUMIF(Productos!E:E,B480,Productos!A:A))</f>
        <v/>
      </c>
      <c r="B480" s="40"/>
      <c r="C480" s="26" t="str">
        <f>IF(B480="","",SUMIF(Prearmados!E:E,B480,Prearmados!G:G))</f>
        <v/>
      </c>
      <c r="D480" s="19"/>
      <c r="E480" s="26" t="str">
        <f>IF(A480="","",IF(SUMIFS(Estructuras!E:E,Estructuras!B:B,A$2,Estructuras!C:C,A480)&gt;0,SUMIFS(Estructuras!E:E,Estructuras!B:B,A$2,Estructuras!C:C,A480),C480*D480))</f>
        <v/>
      </c>
      <c r="F480" s="36"/>
      <c r="G480" s="36"/>
      <c r="H480" s="36"/>
      <c r="I480" s="36" t="str">
        <f t="shared" si="2"/>
        <v/>
      </c>
      <c r="J480" s="37" t="str">
        <f t="shared" si="3"/>
        <v/>
      </c>
      <c r="K480" s="38" t="str">
        <f>IF(L480="","",SUMIF(Productos!E:E,L480,Productos!A:A))</f>
        <v/>
      </c>
      <c r="M480" s="39"/>
    </row>
    <row r="481">
      <c r="A481" s="2" t="str">
        <f>IF(B481="","",SUMIF(Productos!E:E,B481,Productos!A:A))</f>
        <v/>
      </c>
      <c r="B481" s="40"/>
      <c r="C481" s="26" t="str">
        <f>IF(B481="","",SUMIF(Prearmados!E:E,B481,Prearmados!G:G))</f>
        <v/>
      </c>
      <c r="D481" s="19"/>
      <c r="E481" s="26" t="str">
        <f>IF(A481="","",IF(SUMIFS(Estructuras!E:E,Estructuras!B:B,A$2,Estructuras!C:C,A481)&gt;0,SUMIFS(Estructuras!E:E,Estructuras!B:B,A$2,Estructuras!C:C,A481),C481*D481))</f>
        <v/>
      </c>
      <c r="F481" s="36"/>
      <c r="G481" s="36"/>
      <c r="H481" s="36"/>
      <c r="I481" s="36" t="str">
        <f t="shared" si="2"/>
        <v/>
      </c>
      <c r="J481" s="37" t="str">
        <f t="shared" si="3"/>
        <v/>
      </c>
      <c r="K481" s="38" t="str">
        <f>IF(L481="","",SUMIF(Productos!E:E,L481,Productos!A:A))</f>
        <v/>
      </c>
      <c r="M481" s="39"/>
    </row>
    <row r="482">
      <c r="A482" s="2" t="str">
        <f>IF(B482="","",SUMIF(Productos!E:E,B482,Productos!A:A))</f>
        <v/>
      </c>
      <c r="B482" s="40"/>
      <c r="C482" s="26" t="str">
        <f>IF(B482="","",SUMIF(Prearmados!E:E,B482,Prearmados!G:G))</f>
        <v/>
      </c>
      <c r="D482" s="19"/>
      <c r="E482" s="26" t="str">
        <f>IF(A482="","",IF(SUMIFS(Estructuras!E:E,Estructuras!B:B,A$2,Estructuras!C:C,A482)&gt;0,SUMIFS(Estructuras!E:E,Estructuras!B:B,A$2,Estructuras!C:C,A482),C482*D482))</f>
        <v/>
      </c>
      <c r="F482" s="36"/>
      <c r="G482" s="36"/>
      <c r="H482" s="36"/>
      <c r="I482" s="36" t="str">
        <f t="shared" si="2"/>
        <v/>
      </c>
      <c r="J482" s="37" t="str">
        <f t="shared" si="3"/>
        <v/>
      </c>
      <c r="K482" s="38" t="str">
        <f>IF(L482="","",SUMIF(Productos!E:E,L482,Productos!A:A))</f>
        <v/>
      </c>
      <c r="M482" s="39"/>
    </row>
    <row r="483">
      <c r="A483" s="2" t="str">
        <f>IF(B483="","",SUMIF(Productos!E:E,B483,Productos!A:A))</f>
        <v/>
      </c>
      <c r="B483" s="40"/>
      <c r="C483" s="26" t="str">
        <f>IF(B483="","",SUMIF(Prearmados!E:E,B483,Prearmados!G:G))</f>
        <v/>
      </c>
      <c r="D483" s="19"/>
      <c r="E483" s="26" t="str">
        <f>IF(A483="","",IF(SUMIFS(Estructuras!E:E,Estructuras!B:B,A$2,Estructuras!C:C,A483)&gt;0,SUMIFS(Estructuras!E:E,Estructuras!B:B,A$2,Estructuras!C:C,A483),C483*D483))</f>
        <v/>
      </c>
      <c r="F483" s="36"/>
      <c r="G483" s="36"/>
      <c r="H483" s="36"/>
      <c r="I483" s="36" t="str">
        <f t="shared" si="2"/>
        <v/>
      </c>
      <c r="J483" s="37" t="str">
        <f t="shared" si="3"/>
        <v/>
      </c>
      <c r="K483" s="38" t="str">
        <f>IF(L483="","",SUMIF(Productos!E:E,L483,Productos!A:A))</f>
        <v/>
      </c>
      <c r="M483" s="39"/>
    </row>
    <row r="484">
      <c r="A484" s="2" t="str">
        <f>IF(B484="","",SUMIF(Productos!E:E,B484,Productos!A:A))</f>
        <v/>
      </c>
      <c r="B484" s="40"/>
      <c r="C484" s="26" t="str">
        <f>IF(B484="","",SUMIF(Prearmados!E:E,B484,Prearmados!G:G))</f>
        <v/>
      </c>
      <c r="D484" s="19"/>
      <c r="E484" s="26" t="str">
        <f>IF(A484="","",IF(SUMIFS(Estructuras!E:E,Estructuras!B:B,A$2,Estructuras!C:C,A484)&gt;0,SUMIFS(Estructuras!E:E,Estructuras!B:B,A$2,Estructuras!C:C,A484),C484*D484))</f>
        <v/>
      </c>
      <c r="F484" s="36"/>
      <c r="G484" s="36"/>
      <c r="H484" s="36"/>
      <c r="I484" s="36" t="str">
        <f t="shared" si="2"/>
        <v/>
      </c>
      <c r="J484" s="37" t="str">
        <f t="shared" si="3"/>
        <v/>
      </c>
      <c r="K484" s="38" t="str">
        <f>IF(L484="","",SUMIF(Productos!E:E,L484,Productos!A:A))</f>
        <v/>
      </c>
      <c r="M484" s="39"/>
    </row>
    <row r="485">
      <c r="A485" s="2" t="str">
        <f>IF(B485="","",SUMIF(Productos!E:E,B485,Productos!A:A))</f>
        <v/>
      </c>
      <c r="B485" s="40"/>
      <c r="C485" s="26" t="str">
        <f>IF(B485="","",SUMIF(Prearmados!E:E,B485,Prearmados!G:G))</f>
        <v/>
      </c>
      <c r="D485" s="19"/>
      <c r="E485" s="26" t="str">
        <f>IF(A485="","",IF(SUMIFS(Estructuras!E:E,Estructuras!B:B,A$2,Estructuras!C:C,A485)&gt;0,SUMIFS(Estructuras!E:E,Estructuras!B:B,A$2,Estructuras!C:C,A485),C485*D485))</f>
        <v/>
      </c>
      <c r="F485" s="36"/>
      <c r="G485" s="36"/>
      <c r="H485" s="36"/>
      <c r="I485" s="36" t="str">
        <f t="shared" si="2"/>
        <v/>
      </c>
      <c r="J485" s="37" t="str">
        <f t="shared" si="3"/>
        <v/>
      </c>
      <c r="K485" s="38" t="str">
        <f>IF(L485="","",SUMIF(Productos!E:E,L485,Productos!A:A))</f>
        <v/>
      </c>
      <c r="M485" s="39"/>
    </row>
    <row r="486">
      <c r="A486" s="2" t="str">
        <f>IF(B486="","",SUMIF(Productos!E:E,B486,Productos!A:A))</f>
        <v/>
      </c>
      <c r="B486" s="40"/>
      <c r="C486" s="26" t="str">
        <f>IF(B486="","",SUMIF(Prearmados!E:E,B486,Prearmados!G:G))</f>
        <v/>
      </c>
      <c r="D486" s="19"/>
      <c r="E486" s="26" t="str">
        <f>IF(A486="","",IF(SUMIFS(Estructuras!E:E,Estructuras!B:B,A$2,Estructuras!C:C,A486)&gt;0,SUMIFS(Estructuras!E:E,Estructuras!B:B,A$2,Estructuras!C:C,A486),C486*D486))</f>
        <v/>
      </c>
      <c r="F486" s="36"/>
      <c r="G486" s="36"/>
      <c r="H486" s="36"/>
      <c r="I486" s="36" t="str">
        <f t="shared" si="2"/>
        <v/>
      </c>
      <c r="J486" s="37" t="str">
        <f t="shared" si="3"/>
        <v/>
      </c>
      <c r="K486" s="38" t="str">
        <f>IF(L486="","",SUMIF(Productos!E:E,L486,Productos!A:A))</f>
        <v/>
      </c>
      <c r="M486" s="39"/>
    </row>
    <row r="487">
      <c r="A487" s="2" t="str">
        <f>IF(B487="","",SUMIF(Productos!E:E,B487,Productos!A:A))</f>
        <v/>
      </c>
      <c r="B487" s="40"/>
      <c r="C487" s="26" t="str">
        <f>IF(B487="","",SUMIF(Prearmados!E:E,B487,Prearmados!G:G))</f>
        <v/>
      </c>
      <c r="D487" s="19"/>
      <c r="E487" s="26" t="str">
        <f>IF(A487="","",IF(SUMIFS(Estructuras!E:E,Estructuras!B:B,A$2,Estructuras!C:C,A487)&gt;0,SUMIFS(Estructuras!E:E,Estructuras!B:B,A$2,Estructuras!C:C,A487),C487*D487))</f>
        <v/>
      </c>
      <c r="F487" s="36"/>
      <c r="G487" s="36"/>
      <c r="H487" s="36"/>
      <c r="I487" s="36" t="str">
        <f t="shared" si="2"/>
        <v/>
      </c>
      <c r="J487" s="37" t="str">
        <f t="shared" si="3"/>
        <v/>
      </c>
      <c r="K487" s="38" t="str">
        <f>IF(L487="","",SUMIF(Productos!E:E,L487,Productos!A:A))</f>
        <v/>
      </c>
      <c r="M487" s="39"/>
    </row>
    <row r="488">
      <c r="A488" s="2" t="str">
        <f>IF(B488="","",SUMIF(Productos!E:E,B488,Productos!A:A))</f>
        <v/>
      </c>
      <c r="B488" s="40"/>
      <c r="C488" s="26" t="str">
        <f>IF(B488="","",SUMIF(Prearmados!E:E,B488,Prearmados!G:G))</f>
        <v/>
      </c>
      <c r="D488" s="19"/>
      <c r="E488" s="26" t="str">
        <f>IF(A488="","",IF(SUMIFS(Estructuras!E:E,Estructuras!B:B,A$2,Estructuras!C:C,A488)&gt;0,SUMIFS(Estructuras!E:E,Estructuras!B:B,A$2,Estructuras!C:C,A488),C488*D488))</f>
        <v/>
      </c>
      <c r="F488" s="36"/>
      <c r="G488" s="36"/>
      <c r="H488" s="36"/>
      <c r="I488" s="36" t="str">
        <f t="shared" si="2"/>
        <v/>
      </c>
      <c r="J488" s="37" t="str">
        <f t="shared" si="3"/>
        <v/>
      </c>
      <c r="K488" s="38" t="str">
        <f>IF(L488="","",SUMIF(Productos!E:E,L488,Productos!A:A))</f>
        <v/>
      </c>
      <c r="M488" s="39"/>
    </row>
    <row r="489">
      <c r="A489" s="2" t="str">
        <f>IF(B489="","",SUMIF(Productos!E:E,B489,Productos!A:A))</f>
        <v/>
      </c>
      <c r="B489" s="40"/>
      <c r="C489" s="26" t="str">
        <f>IF(B489="","",SUMIF(Prearmados!E:E,B489,Prearmados!G:G))</f>
        <v/>
      </c>
      <c r="D489" s="19"/>
      <c r="E489" s="26" t="str">
        <f>IF(A489="","",IF(SUMIFS(Estructuras!E:E,Estructuras!B:B,A$2,Estructuras!C:C,A489)&gt;0,SUMIFS(Estructuras!E:E,Estructuras!B:B,A$2,Estructuras!C:C,A489),C489*D489))</f>
        <v/>
      </c>
      <c r="F489" s="36"/>
      <c r="G489" s="36"/>
      <c r="H489" s="36"/>
      <c r="I489" s="36" t="str">
        <f t="shared" si="2"/>
        <v/>
      </c>
      <c r="J489" s="37" t="str">
        <f t="shared" si="3"/>
        <v/>
      </c>
      <c r="K489" s="38" t="str">
        <f>IF(L489="","",SUMIF(Productos!E:E,L489,Productos!A:A))</f>
        <v/>
      </c>
      <c r="M489" s="39"/>
    </row>
    <row r="490">
      <c r="A490" s="2" t="str">
        <f>IF(B490="","",SUMIF(Productos!E:E,B490,Productos!A:A))</f>
        <v/>
      </c>
      <c r="B490" s="40"/>
      <c r="C490" s="26" t="str">
        <f>IF(B490="","",SUMIF(Prearmados!E:E,B490,Prearmados!G:G))</f>
        <v/>
      </c>
      <c r="D490" s="19"/>
      <c r="E490" s="26" t="str">
        <f>IF(A490="","",IF(SUMIFS(Estructuras!E:E,Estructuras!B:B,A$2,Estructuras!C:C,A490)&gt;0,SUMIFS(Estructuras!E:E,Estructuras!B:B,A$2,Estructuras!C:C,A490),C490*D490))</f>
        <v/>
      </c>
      <c r="F490" s="36"/>
      <c r="G490" s="36"/>
      <c r="H490" s="36"/>
      <c r="I490" s="36" t="str">
        <f t="shared" si="2"/>
        <v/>
      </c>
      <c r="J490" s="37" t="str">
        <f t="shared" si="3"/>
        <v/>
      </c>
      <c r="K490" s="38" t="str">
        <f>IF(L490="","",SUMIF(Productos!E:E,L490,Productos!A:A))</f>
        <v/>
      </c>
      <c r="M490" s="39"/>
    </row>
    <row r="491">
      <c r="A491" s="2" t="str">
        <f>IF(B491="","",SUMIF(Productos!E:E,B491,Productos!A:A))</f>
        <v/>
      </c>
      <c r="B491" s="40"/>
      <c r="C491" s="26" t="str">
        <f>IF(B491="","",SUMIF(Prearmados!E:E,B491,Prearmados!G:G))</f>
        <v/>
      </c>
      <c r="D491" s="19"/>
      <c r="E491" s="26" t="str">
        <f>IF(A491="","",IF(SUMIFS(Estructuras!E:E,Estructuras!B:B,A$2,Estructuras!C:C,A491)&gt;0,SUMIFS(Estructuras!E:E,Estructuras!B:B,A$2,Estructuras!C:C,A491),C491*D491))</f>
        <v/>
      </c>
      <c r="F491" s="36"/>
      <c r="G491" s="36"/>
      <c r="H491" s="36"/>
      <c r="I491" s="36" t="str">
        <f t="shared" si="2"/>
        <v/>
      </c>
      <c r="J491" s="37" t="str">
        <f t="shared" si="3"/>
        <v/>
      </c>
      <c r="K491" s="38" t="str">
        <f>IF(L491="","",SUMIF(Productos!E:E,L491,Productos!A:A))</f>
        <v/>
      </c>
      <c r="M491" s="39"/>
    </row>
    <row r="492">
      <c r="A492" s="2" t="str">
        <f>IF(B492="","",SUMIF(Productos!E:E,B492,Productos!A:A))</f>
        <v/>
      </c>
      <c r="B492" s="40"/>
      <c r="C492" s="26" t="str">
        <f>IF(B492="","",SUMIF(Prearmados!E:E,B492,Prearmados!G:G))</f>
        <v/>
      </c>
      <c r="D492" s="19"/>
      <c r="E492" s="26" t="str">
        <f>IF(A492="","",IF(SUMIFS(Estructuras!E:E,Estructuras!B:B,A$2,Estructuras!C:C,A492)&gt;0,SUMIFS(Estructuras!E:E,Estructuras!B:B,A$2,Estructuras!C:C,A492),C492*D492))</f>
        <v/>
      </c>
      <c r="F492" s="36"/>
      <c r="G492" s="36"/>
      <c r="H492" s="36"/>
      <c r="I492" s="36" t="str">
        <f t="shared" si="2"/>
        <v/>
      </c>
      <c r="J492" s="37" t="str">
        <f t="shared" si="3"/>
        <v/>
      </c>
      <c r="K492" s="38" t="str">
        <f>IF(L492="","",SUMIF(Productos!E:E,L492,Productos!A:A))</f>
        <v/>
      </c>
      <c r="M492" s="39"/>
    </row>
    <row r="493">
      <c r="A493" s="2" t="str">
        <f>IF(B493="","",SUMIF(Productos!E:E,B493,Productos!A:A))</f>
        <v/>
      </c>
      <c r="B493" s="40"/>
      <c r="C493" s="26" t="str">
        <f>IF(B493="","",SUMIF(Prearmados!E:E,B493,Prearmados!G:G))</f>
        <v/>
      </c>
      <c r="D493" s="19"/>
      <c r="E493" s="26" t="str">
        <f>IF(A493="","",IF(SUMIFS(Estructuras!E:E,Estructuras!B:B,A$2,Estructuras!C:C,A493)&gt;0,SUMIFS(Estructuras!E:E,Estructuras!B:B,A$2,Estructuras!C:C,A493),C493*D493))</f>
        <v/>
      </c>
      <c r="F493" s="36"/>
      <c r="G493" s="36"/>
      <c r="H493" s="36"/>
      <c r="I493" s="36" t="str">
        <f t="shared" si="2"/>
        <v/>
      </c>
      <c r="J493" s="37" t="str">
        <f t="shared" si="3"/>
        <v/>
      </c>
      <c r="K493" s="38" t="str">
        <f>IF(L493="","",SUMIF(Productos!E:E,L493,Productos!A:A))</f>
        <v/>
      </c>
      <c r="M493" s="39"/>
    </row>
    <row r="494">
      <c r="A494" s="2" t="str">
        <f>IF(B494="","",SUMIF(Productos!E:E,B494,Productos!A:A))</f>
        <v/>
      </c>
      <c r="B494" s="40"/>
      <c r="C494" s="26" t="str">
        <f>IF(B494="","",SUMIF(Prearmados!E:E,B494,Prearmados!G:G))</f>
        <v/>
      </c>
      <c r="D494" s="19"/>
      <c r="E494" s="26" t="str">
        <f>IF(A494="","",IF(SUMIFS(Estructuras!E:E,Estructuras!B:B,A$2,Estructuras!C:C,A494)&gt;0,SUMIFS(Estructuras!E:E,Estructuras!B:B,A$2,Estructuras!C:C,A494),C494*D494))</f>
        <v/>
      </c>
      <c r="F494" s="36"/>
      <c r="G494" s="36"/>
      <c r="H494" s="36"/>
      <c r="I494" s="36" t="str">
        <f t="shared" si="2"/>
        <v/>
      </c>
      <c r="J494" s="37" t="str">
        <f t="shared" si="3"/>
        <v/>
      </c>
      <c r="K494" s="38" t="str">
        <f>IF(L494="","",SUMIF(Productos!E:E,L494,Productos!A:A))</f>
        <v/>
      </c>
      <c r="M494" s="39"/>
    </row>
    <row r="495">
      <c r="A495" s="2" t="str">
        <f>IF(B495="","",SUMIF(Productos!E:E,B495,Productos!A:A))</f>
        <v/>
      </c>
      <c r="B495" s="40"/>
      <c r="C495" s="26" t="str">
        <f>IF(B495="","",SUMIF(Prearmados!E:E,B495,Prearmados!G:G))</f>
        <v/>
      </c>
      <c r="D495" s="19"/>
      <c r="E495" s="26" t="str">
        <f>IF(A495="","",IF(SUMIFS(Estructuras!E:E,Estructuras!B:B,A$2,Estructuras!C:C,A495)&gt;0,SUMIFS(Estructuras!E:E,Estructuras!B:B,A$2,Estructuras!C:C,A495),C495*D495))</f>
        <v/>
      </c>
      <c r="F495" s="36"/>
      <c r="G495" s="36"/>
      <c r="H495" s="36"/>
      <c r="I495" s="36" t="str">
        <f t="shared" si="2"/>
        <v/>
      </c>
      <c r="J495" s="37" t="str">
        <f t="shared" si="3"/>
        <v/>
      </c>
      <c r="K495" s="38" t="str">
        <f>IF(L495="","",SUMIF(Productos!E:E,L495,Productos!A:A))</f>
        <v/>
      </c>
      <c r="M495" s="39"/>
    </row>
    <row r="496">
      <c r="A496" s="2" t="str">
        <f>IF(B496="","",SUMIF(Productos!E:E,B496,Productos!A:A))</f>
        <v/>
      </c>
      <c r="B496" s="40"/>
      <c r="C496" s="26" t="str">
        <f>IF(B496="","",SUMIF(Prearmados!E:E,B496,Prearmados!G:G))</f>
        <v/>
      </c>
      <c r="D496" s="19"/>
      <c r="E496" s="26" t="str">
        <f>IF(A496="","",IF(SUMIFS(Estructuras!E:E,Estructuras!B:B,A$2,Estructuras!C:C,A496)&gt;0,SUMIFS(Estructuras!E:E,Estructuras!B:B,A$2,Estructuras!C:C,A496),C496*D496))</f>
        <v/>
      </c>
      <c r="F496" s="36"/>
      <c r="G496" s="36"/>
      <c r="H496" s="36"/>
      <c r="I496" s="36" t="str">
        <f t="shared" si="2"/>
        <v/>
      </c>
      <c r="J496" s="37" t="str">
        <f t="shared" si="3"/>
        <v/>
      </c>
      <c r="K496" s="38" t="str">
        <f>IF(L496="","",SUMIF(Productos!E:E,L496,Productos!A:A))</f>
        <v/>
      </c>
      <c r="M496" s="39"/>
    </row>
    <row r="497">
      <c r="A497" s="2" t="str">
        <f>IF(B497="","",SUMIF(Productos!E:E,B497,Productos!A:A))</f>
        <v/>
      </c>
      <c r="B497" s="40"/>
      <c r="C497" s="26" t="str">
        <f>IF(B497="","",SUMIF(Prearmados!E:E,B497,Prearmados!G:G))</f>
        <v/>
      </c>
      <c r="D497" s="19"/>
      <c r="E497" s="26" t="str">
        <f>IF(A497="","",IF(SUMIFS(Estructuras!E:E,Estructuras!B:B,A$2,Estructuras!C:C,A497)&gt;0,SUMIFS(Estructuras!E:E,Estructuras!B:B,A$2,Estructuras!C:C,A497),C497*D497))</f>
        <v/>
      </c>
      <c r="F497" s="36"/>
      <c r="G497" s="36"/>
      <c r="H497" s="36"/>
      <c r="I497" s="36" t="str">
        <f t="shared" si="2"/>
        <v/>
      </c>
      <c r="J497" s="37" t="str">
        <f t="shared" si="3"/>
        <v/>
      </c>
      <c r="K497" s="38" t="str">
        <f>IF(L497="","",SUMIF(Productos!E:E,L497,Productos!A:A))</f>
        <v/>
      </c>
      <c r="M497" s="39"/>
    </row>
    <row r="498">
      <c r="A498" s="2" t="str">
        <f>IF(B498="","",SUMIF(Productos!E:E,B498,Productos!A:A))</f>
        <v/>
      </c>
      <c r="B498" s="40"/>
      <c r="C498" s="26" t="str">
        <f>IF(B498="","",SUMIF(Prearmados!E:E,B498,Prearmados!G:G))</f>
        <v/>
      </c>
      <c r="D498" s="19"/>
      <c r="E498" s="26" t="str">
        <f>IF(A498="","",IF(SUMIFS(Estructuras!E:E,Estructuras!B:B,A$2,Estructuras!C:C,A498)&gt;0,SUMIFS(Estructuras!E:E,Estructuras!B:B,A$2,Estructuras!C:C,A498),C498*D498))</f>
        <v/>
      </c>
      <c r="F498" s="36"/>
      <c r="G498" s="36"/>
      <c r="H498" s="36"/>
      <c r="I498" s="36" t="str">
        <f t="shared" si="2"/>
        <v/>
      </c>
      <c r="J498" s="37" t="str">
        <f t="shared" si="3"/>
        <v/>
      </c>
      <c r="K498" s="38" t="str">
        <f>IF(L498="","",SUMIF(Productos!E:E,L498,Productos!A:A))</f>
        <v/>
      </c>
      <c r="M498" s="39"/>
    </row>
    <row r="499">
      <c r="A499" s="2" t="str">
        <f>IF(B499="","",SUMIF(Productos!E:E,B499,Productos!A:A))</f>
        <v/>
      </c>
      <c r="B499" s="40"/>
      <c r="C499" s="26" t="str">
        <f>IF(B499="","",SUMIF(Prearmados!E:E,B499,Prearmados!G:G))</f>
        <v/>
      </c>
      <c r="D499" s="19"/>
      <c r="E499" s="26" t="str">
        <f>IF(A499="","",IF(SUMIFS(Estructuras!E:E,Estructuras!B:B,A$2,Estructuras!C:C,A499)&gt;0,SUMIFS(Estructuras!E:E,Estructuras!B:B,A$2,Estructuras!C:C,A499),C499*D499))</f>
        <v/>
      </c>
      <c r="F499" s="36"/>
      <c r="G499" s="36"/>
      <c r="H499" s="36"/>
      <c r="I499" s="36" t="str">
        <f t="shared" si="2"/>
        <v/>
      </c>
      <c r="J499" s="37" t="str">
        <f t="shared" si="3"/>
        <v/>
      </c>
      <c r="K499" s="38" t="str">
        <f>IF(L499="","",SUMIF(Productos!E:E,L499,Productos!A:A))</f>
        <v/>
      </c>
      <c r="M499" s="39"/>
    </row>
    <row r="500">
      <c r="A500" s="2" t="str">
        <f>IF(B500="","",SUMIF(Productos!E:E,B500,Productos!A:A))</f>
        <v/>
      </c>
      <c r="B500" s="40"/>
      <c r="C500" s="26" t="str">
        <f>IF(B500="","",SUMIF(Prearmados!E:E,B500,Prearmados!G:G))</f>
        <v/>
      </c>
      <c r="D500" s="19"/>
      <c r="E500" s="26" t="str">
        <f>IF(A500="","",IF(SUMIFS(Estructuras!E:E,Estructuras!B:B,A$2,Estructuras!C:C,A500)&gt;0,SUMIFS(Estructuras!E:E,Estructuras!B:B,A$2,Estructuras!C:C,A500),C500*D500))</f>
        <v/>
      </c>
      <c r="F500" s="36"/>
      <c r="G500" s="36"/>
      <c r="H500" s="36"/>
      <c r="I500" s="36" t="str">
        <f t="shared" si="2"/>
        <v/>
      </c>
      <c r="J500" s="37" t="str">
        <f t="shared" si="3"/>
        <v/>
      </c>
      <c r="K500" s="38" t="str">
        <f>IF(L500="","",SUMIF(Productos!E:E,L500,Productos!A:A))</f>
        <v/>
      </c>
      <c r="M500" s="39"/>
    </row>
    <row r="501">
      <c r="A501" s="2" t="str">
        <f>IF(B501="","",SUMIF(Productos!E:E,B501,Productos!A:A))</f>
        <v/>
      </c>
      <c r="B501" s="40"/>
      <c r="C501" s="26" t="str">
        <f>IF(B501="","",SUMIF(Prearmados!E:E,B501,Prearmados!G:G))</f>
        <v/>
      </c>
      <c r="D501" s="19"/>
      <c r="E501" s="26" t="str">
        <f>IF(A501="","",IF(SUMIFS(Estructuras!E:E,Estructuras!B:B,A$2,Estructuras!C:C,A501)&gt;0,SUMIFS(Estructuras!E:E,Estructuras!B:B,A$2,Estructuras!C:C,A501),C501*D501))</f>
        <v/>
      </c>
      <c r="F501" s="36"/>
      <c r="G501" s="36"/>
      <c r="H501" s="36"/>
      <c r="I501" s="36" t="str">
        <f t="shared" si="2"/>
        <v/>
      </c>
      <c r="J501" s="37" t="str">
        <f t="shared" si="3"/>
        <v/>
      </c>
      <c r="K501" s="38" t="str">
        <f>IF(L501="","",SUMIF(Productos!E:E,L501,Productos!A:A))</f>
        <v/>
      </c>
      <c r="M501" s="39"/>
    </row>
    <row r="502">
      <c r="A502" s="2" t="str">
        <f>IF(B502="","",SUMIF(Productos!E:E,B502,Productos!A:A))</f>
        <v/>
      </c>
      <c r="B502" s="40"/>
      <c r="C502" s="26" t="str">
        <f>IF(B502="","",SUMIF(Prearmados!E:E,B502,Prearmados!G:G))</f>
        <v/>
      </c>
      <c r="D502" s="19"/>
      <c r="E502" s="26" t="str">
        <f>IF(A502="","",IF(SUMIFS(Estructuras!E:E,Estructuras!B:B,A$2,Estructuras!C:C,A502)&gt;0,SUMIFS(Estructuras!E:E,Estructuras!B:B,A$2,Estructuras!C:C,A502),C502*D502))</f>
        <v/>
      </c>
      <c r="F502" s="36"/>
      <c r="G502" s="36"/>
      <c r="H502" s="36"/>
      <c r="I502" s="36" t="str">
        <f t="shared" si="2"/>
        <v/>
      </c>
      <c r="J502" s="37" t="str">
        <f t="shared" si="3"/>
        <v/>
      </c>
      <c r="K502" s="38" t="str">
        <f>IF(L502="","",SUMIF(Productos!E:E,L502,Productos!A:A))</f>
        <v/>
      </c>
      <c r="M502" s="39"/>
    </row>
    <row r="503">
      <c r="A503" s="2" t="str">
        <f>IF(B503="","",SUMIF(Productos!E:E,B503,Productos!A:A))</f>
        <v/>
      </c>
      <c r="B503" s="40"/>
      <c r="C503" s="26" t="str">
        <f>IF(B503="","",SUMIF(Prearmados!E:E,B503,Prearmados!G:G))</f>
        <v/>
      </c>
      <c r="D503" s="19"/>
      <c r="E503" s="26" t="str">
        <f>IF(A503="","",IF(SUMIFS(Estructuras!E:E,Estructuras!B:B,A$2,Estructuras!C:C,A503)&gt;0,SUMIFS(Estructuras!E:E,Estructuras!B:B,A$2,Estructuras!C:C,A503),C503*D503))</f>
        <v/>
      </c>
      <c r="F503" s="36"/>
      <c r="G503" s="36"/>
      <c r="H503" s="36"/>
      <c r="I503" s="36" t="str">
        <f t="shared" si="2"/>
        <v/>
      </c>
      <c r="J503" s="37" t="str">
        <f t="shared" si="3"/>
        <v/>
      </c>
      <c r="K503" s="38" t="str">
        <f>IF(L503="","",SUMIF(Productos!E:E,L503,Productos!A:A))</f>
        <v/>
      </c>
      <c r="M503" s="39"/>
    </row>
    <row r="504">
      <c r="A504" s="2" t="str">
        <f>IF(B504="","",SUMIF(Productos!E:E,B504,Productos!A:A))</f>
        <v/>
      </c>
      <c r="B504" s="40"/>
      <c r="C504" s="26" t="str">
        <f>IF(B504="","",SUMIF(Prearmados!E:E,B504,Prearmados!G:G))</f>
        <v/>
      </c>
      <c r="D504" s="19"/>
      <c r="E504" s="26" t="str">
        <f>IF(A504="","",IF(SUMIFS(Estructuras!E:E,Estructuras!B:B,A$2,Estructuras!C:C,A504)&gt;0,SUMIFS(Estructuras!E:E,Estructuras!B:B,A$2,Estructuras!C:C,A504),C504*D504))</f>
        <v/>
      </c>
      <c r="F504" s="36"/>
      <c r="G504" s="36"/>
      <c r="H504" s="36"/>
      <c r="I504" s="36" t="str">
        <f t="shared" si="2"/>
        <v/>
      </c>
      <c r="J504" s="37" t="str">
        <f t="shared" si="3"/>
        <v/>
      </c>
      <c r="K504" s="38" t="str">
        <f>IF(L504="","",SUMIF(Productos!E:E,L504,Productos!A:A))</f>
        <v/>
      </c>
      <c r="M504" s="39"/>
    </row>
    <row r="505">
      <c r="A505" s="2" t="str">
        <f>IF(B505="","",SUMIF(Productos!E:E,B505,Productos!A:A))</f>
        <v/>
      </c>
      <c r="B505" s="40"/>
      <c r="C505" s="26" t="str">
        <f>IF(B505="","",SUMIF(Prearmados!E:E,B505,Prearmados!G:G))</f>
        <v/>
      </c>
      <c r="D505" s="19"/>
      <c r="E505" s="26" t="str">
        <f>IF(A505="","",IF(SUMIFS(Estructuras!E:E,Estructuras!B:B,A$2,Estructuras!C:C,A505)&gt;0,SUMIFS(Estructuras!E:E,Estructuras!B:B,A$2,Estructuras!C:C,A505),C505*D505))</f>
        <v/>
      </c>
      <c r="F505" s="36"/>
      <c r="G505" s="36"/>
      <c r="H505" s="36"/>
      <c r="I505" s="36" t="str">
        <f t="shared" si="2"/>
        <v/>
      </c>
      <c r="J505" s="37" t="str">
        <f t="shared" si="3"/>
        <v/>
      </c>
      <c r="K505" s="38" t="str">
        <f>IF(L505="","",SUMIF(Productos!E:E,L505,Productos!A:A))</f>
        <v/>
      </c>
      <c r="M505" s="39"/>
    </row>
    <row r="506">
      <c r="A506" s="2" t="str">
        <f>IF(B506="","",SUMIF(Productos!E:E,B506,Productos!A:A))</f>
        <v/>
      </c>
      <c r="B506" s="40"/>
      <c r="C506" s="26" t="str">
        <f>IF(B506="","",SUMIF(Prearmados!E:E,B506,Prearmados!G:G))</f>
        <v/>
      </c>
      <c r="D506" s="19"/>
      <c r="E506" s="26" t="str">
        <f>IF(A506="","",IF(SUMIFS(Estructuras!E:E,Estructuras!B:B,A$2,Estructuras!C:C,A506)&gt;0,SUMIFS(Estructuras!E:E,Estructuras!B:B,A$2,Estructuras!C:C,A506),C506*D506))</f>
        <v/>
      </c>
      <c r="F506" s="36"/>
      <c r="G506" s="36"/>
      <c r="H506" s="36"/>
      <c r="I506" s="36" t="str">
        <f t="shared" si="2"/>
        <v/>
      </c>
      <c r="J506" s="37" t="str">
        <f t="shared" si="3"/>
        <v/>
      </c>
      <c r="K506" s="38" t="str">
        <f>IF(L506="","",SUMIF(Productos!E:E,L506,Productos!A:A))</f>
        <v/>
      </c>
      <c r="M506" s="39"/>
    </row>
    <row r="507">
      <c r="A507" s="2" t="str">
        <f>IF(B507="","",SUMIF(Productos!E:E,B507,Productos!A:A))</f>
        <v/>
      </c>
      <c r="B507" s="40"/>
      <c r="C507" s="26" t="str">
        <f>IF(B507="","",SUMIF(Prearmados!E:E,B507,Prearmados!G:G))</f>
        <v/>
      </c>
      <c r="D507" s="19"/>
      <c r="E507" s="26" t="str">
        <f>IF(A507="","",IF(SUMIFS(Estructuras!E:E,Estructuras!B:B,A$2,Estructuras!C:C,A507)&gt;0,SUMIFS(Estructuras!E:E,Estructuras!B:B,A$2,Estructuras!C:C,A507),C507*D507))</f>
        <v/>
      </c>
      <c r="F507" s="36"/>
      <c r="G507" s="36"/>
      <c r="H507" s="36"/>
      <c r="I507" s="36" t="str">
        <f t="shared" si="2"/>
        <v/>
      </c>
      <c r="J507" s="37" t="str">
        <f t="shared" si="3"/>
        <v/>
      </c>
      <c r="K507" s="38" t="str">
        <f>IF(L507="","",SUMIF(Productos!E:E,L507,Productos!A:A))</f>
        <v/>
      </c>
      <c r="M507" s="39"/>
    </row>
    <row r="508">
      <c r="A508" s="2" t="str">
        <f>IF(B508="","",SUMIF(Productos!E:E,B508,Productos!A:A))</f>
        <v/>
      </c>
      <c r="B508" s="40"/>
      <c r="C508" s="26" t="str">
        <f>IF(B508="","",SUMIF(Prearmados!E:E,B508,Prearmados!G:G))</f>
        <v/>
      </c>
      <c r="D508" s="19"/>
      <c r="E508" s="26" t="str">
        <f>IF(A508="","",IF(SUMIFS(Estructuras!E:E,Estructuras!B:B,A$2,Estructuras!C:C,A508)&gt;0,SUMIFS(Estructuras!E:E,Estructuras!B:B,A$2,Estructuras!C:C,A508),C508*D508))</f>
        <v/>
      </c>
      <c r="F508" s="36"/>
      <c r="G508" s="36"/>
      <c r="H508" s="36"/>
      <c r="I508" s="36" t="str">
        <f t="shared" si="2"/>
        <v/>
      </c>
      <c r="J508" s="37" t="str">
        <f t="shared" si="3"/>
        <v/>
      </c>
      <c r="K508" s="38" t="str">
        <f>IF(L508="","",SUMIF(Productos!E:E,L508,Productos!A:A))</f>
        <v/>
      </c>
      <c r="M508" s="39"/>
    </row>
    <row r="509">
      <c r="A509" s="2" t="str">
        <f>IF(B509="","",SUMIF(Productos!E:E,B509,Productos!A:A))</f>
        <v/>
      </c>
      <c r="B509" s="40"/>
      <c r="C509" s="26" t="str">
        <f>IF(B509="","",SUMIF(Prearmados!E:E,B509,Prearmados!G:G))</f>
        <v/>
      </c>
      <c r="D509" s="19"/>
      <c r="E509" s="26" t="str">
        <f>IF(A509="","",IF(SUMIFS(Estructuras!E:E,Estructuras!B:B,A$2,Estructuras!C:C,A509)&gt;0,SUMIFS(Estructuras!E:E,Estructuras!B:B,A$2,Estructuras!C:C,A509),C509*D509))</f>
        <v/>
      </c>
      <c r="F509" s="36"/>
      <c r="G509" s="36"/>
      <c r="H509" s="36"/>
      <c r="I509" s="36" t="str">
        <f t="shared" si="2"/>
        <v/>
      </c>
      <c r="J509" s="37" t="str">
        <f t="shared" si="3"/>
        <v/>
      </c>
      <c r="K509" s="38" t="str">
        <f>IF(L509="","",SUMIF(Productos!E:E,L509,Productos!A:A))</f>
        <v/>
      </c>
      <c r="M509" s="39"/>
    </row>
    <row r="510">
      <c r="A510" s="2" t="str">
        <f>IF(B510="","",SUMIF(Productos!E:E,B510,Productos!A:A))</f>
        <v/>
      </c>
      <c r="B510" s="40"/>
      <c r="C510" s="26" t="str">
        <f>IF(B510="","",SUMIF(Prearmados!E:E,B510,Prearmados!G:G))</f>
        <v/>
      </c>
      <c r="D510" s="19"/>
      <c r="E510" s="26" t="str">
        <f>IF(A510="","",IF(SUMIFS(Estructuras!E:E,Estructuras!B:B,A$2,Estructuras!C:C,A510)&gt;0,SUMIFS(Estructuras!E:E,Estructuras!B:B,A$2,Estructuras!C:C,A510),C510*D510))</f>
        <v/>
      </c>
      <c r="F510" s="36"/>
      <c r="G510" s="36"/>
      <c r="H510" s="36"/>
      <c r="I510" s="36" t="str">
        <f t="shared" si="2"/>
        <v/>
      </c>
      <c r="J510" s="37" t="str">
        <f t="shared" si="3"/>
        <v/>
      </c>
      <c r="K510" s="38" t="str">
        <f>IF(L510="","",SUMIF(Productos!E:E,L510,Productos!A:A))</f>
        <v/>
      </c>
      <c r="M510" s="39"/>
    </row>
    <row r="511">
      <c r="A511" s="2" t="str">
        <f>IF(B511="","",SUMIF(Productos!E:E,B511,Productos!A:A))</f>
        <v/>
      </c>
      <c r="B511" s="40"/>
      <c r="C511" s="26" t="str">
        <f>IF(B511="","",SUMIF(Prearmados!E:E,B511,Prearmados!G:G))</f>
        <v/>
      </c>
      <c r="D511" s="19"/>
      <c r="E511" s="26" t="str">
        <f>IF(A511="","",IF(SUMIFS(Estructuras!E:E,Estructuras!B:B,A$2,Estructuras!C:C,A511)&gt;0,SUMIFS(Estructuras!E:E,Estructuras!B:B,A$2,Estructuras!C:C,A511),C511*D511))</f>
        <v/>
      </c>
      <c r="F511" s="36"/>
      <c r="G511" s="36"/>
      <c r="H511" s="36"/>
      <c r="I511" s="36" t="str">
        <f t="shared" si="2"/>
        <v/>
      </c>
      <c r="J511" s="37" t="str">
        <f t="shared" si="3"/>
        <v/>
      </c>
      <c r="K511" s="38" t="str">
        <f>IF(L511="","",SUMIF(Productos!E:E,L511,Productos!A:A))</f>
        <v/>
      </c>
      <c r="M511" s="39"/>
    </row>
    <row r="512">
      <c r="A512" s="2" t="str">
        <f>IF(B512="","",SUMIF(Productos!E:E,B512,Productos!A:A))</f>
        <v/>
      </c>
      <c r="B512" s="40"/>
      <c r="C512" s="26" t="str">
        <f>IF(B512="","",SUMIF(Prearmados!E:E,B512,Prearmados!G:G))</f>
        <v/>
      </c>
      <c r="D512" s="19"/>
      <c r="E512" s="26" t="str">
        <f>IF(A512="","",IF(SUMIFS(Estructuras!E:E,Estructuras!B:B,A$2,Estructuras!C:C,A512)&gt;0,SUMIFS(Estructuras!E:E,Estructuras!B:B,A$2,Estructuras!C:C,A512),C512*D512))</f>
        <v/>
      </c>
      <c r="F512" s="36"/>
      <c r="G512" s="36"/>
      <c r="H512" s="36"/>
      <c r="I512" s="36" t="str">
        <f t="shared" si="2"/>
        <v/>
      </c>
      <c r="J512" s="37" t="str">
        <f t="shared" si="3"/>
        <v/>
      </c>
      <c r="K512" s="38" t="str">
        <f>IF(L512="","",SUMIF(Productos!E:E,L512,Productos!A:A))</f>
        <v/>
      </c>
      <c r="M512" s="39"/>
    </row>
    <row r="513">
      <c r="A513" s="2" t="str">
        <f>IF(B513="","",SUMIF(Productos!E:E,B513,Productos!A:A))</f>
        <v/>
      </c>
      <c r="B513" s="40"/>
      <c r="C513" s="26" t="str">
        <f>IF(B513="","",SUMIF(Prearmados!E:E,B513,Prearmados!G:G))</f>
        <v/>
      </c>
      <c r="D513" s="19"/>
      <c r="E513" s="26" t="str">
        <f>IF(A513="","",IF(SUMIFS(Estructuras!E:E,Estructuras!B:B,A$2,Estructuras!C:C,A513)&gt;0,SUMIFS(Estructuras!E:E,Estructuras!B:B,A$2,Estructuras!C:C,A513),C513*D513))</f>
        <v/>
      </c>
      <c r="F513" s="36"/>
      <c r="G513" s="36"/>
      <c r="H513" s="36"/>
      <c r="I513" s="36" t="str">
        <f t="shared" si="2"/>
        <v/>
      </c>
      <c r="J513" s="37" t="str">
        <f t="shared" si="3"/>
        <v/>
      </c>
      <c r="K513" s="38" t="str">
        <f>IF(L513="","",SUMIF(Productos!E:E,L513,Productos!A:A))</f>
        <v/>
      </c>
      <c r="M513" s="39"/>
    </row>
    <row r="514">
      <c r="A514" s="2" t="str">
        <f>IF(B514="","",SUMIF(Productos!E:E,B514,Productos!A:A))</f>
        <v/>
      </c>
      <c r="B514" s="40"/>
      <c r="C514" s="26" t="str">
        <f>IF(B514="","",SUMIF(Prearmados!E:E,B514,Prearmados!G:G))</f>
        <v/>
      </c>
      <c r="D514" s="19"/>
      <c r="E514" s="26" t="str">
        <f>IF(A514="","",IF(SUMIFS(Estructuras!E:E,Estructuras!B:B,A$2,Estructuras!C:C,A514)&gt;0,SUMIFS(Estructuras!E:E,Estructuras!B:B,A$2,Estructuras!C:C,A514),C514*D514))</f>
        <v/>
      </c>
      <c r="F514" s="36"/>
      <c r="G514" s="36"/>
      <c r="H514" s="36"/>
      <c r="I514" s="36" t="str">
        <f t="shared" si="2"/>
        <v/>
      </c>
      <c r="J514" s="37" t="str">
        <f t="shared" si="3"/>
        <v/>
      </c>
      <c r="K514" s="38" t="str">
        <f>IF(L514="","",SUMIF(Productos!E:E,L514,Productos!A:A))</f>
        <v/>
      </c>
      <c r="M514" s="39"/>
    </row>
    <row r="515">
      <c r="A515" s="2" t="str">
        <f>IF(B515="","",SUMIF(Productos!E:E,B515,Productos!A:A))</f>
        <v/>
      </c>
      <c r="B515" s="40"/>
      <c r="C515" s="26" t="str">
        <f>IF(B515="","",SUMIF(Prearmados!E:E,B515,Prearmados!G:G))</f>
        <v/>
      </c>
      <c r="D515" s="19"/>
      <c r="E515" s="26" t="str">
        <f>IF(A515="","",IF(SUMIFS(Estructuras!E:E,Estructuras!B:B,A$2,Estructuras!C:C,A515)&gt;0,SUMIFS(Estructuras!E:E,Estructuras!B:B,A$2,Estructuras!C:C,A515),C515*D515))</f>
        <v/>
      </c>
      <c r="F515" s="36"/>
      <c r="G515" s="36"/>
      <c r="H515" s="36"/>
      <c r="I515" s="36" t="str">
        <f t="shared" si="2"/>
        <v/>
      </c>
      <c r="J515" s="37" t="str">
        <f t="shared" si="3"/>
        <v/>
      </c>
      <c r="K515" s="38" t="str">
        <f>IF(L515="","",SUMIF(Productos!E:E,L515,Productos!A:A))</f>
        <v/>
      </c>
      <c r="M515" s="39"/>
    </row>
    <row r="516">
      <c r="A516" s="2" t="str">
        <f>IF(B516="","",SUMIF(Productos!E:E,B516,Productos!A:A))</f>
        <v/>
      </c>
      <c r="B516" s="40"/>
      <c r="C516" s="26" t="str">
        <f>IF(B516="","",SUMIF(Prearmados!E:E,B516,Prearmados!G:G))</f>
        <v/>
      </c>
      <c r="D516" s="19"/>
      <c r="E516" s="26" t="str">
        <f>IF(A516="","",IF(SUMIFS(Estructuras!E:E,Estructuras!B:B,A$2,Estructuras!C:C,A516)&gt;0,SUMIFS(Estructuras!E:E,Estructuras!B:B,A$2,Estructuras!C:C,A516),C516*D516))</f>
        <v/>
      </c>
      <c r="F516" s="36"/>
      <c r="G516" s="36"/>
      <c r="H516" s="36"/>
      <c r="I516" s="36" t="str">
        <f t="shared" si="2"/>
        <v/>
      </c>
      <c r="J516" s="37" t="str">
        <f t="shared" si="3"/>
        <v/>
      </c>
      <c r="K516" s="38" t="str">
        <f>IF(L516="","",SUMIF(Productos!E:E,L516,Productos!A:A))</f>
        <v/>
      </c>
      <c r="M516" s="39"/>
    </row>
    <row r="517">
      <c r="A517" s="2" t="str">
        <f>IF(B517="","",SUMIF(Productos!E:E,B517,Productos!A:A))</f>
        <v/>
      </c>
      <c r="B517" s="40"/>
      <c r="C517" s="26" t="str">
        <f>IF(B517="","",SUMIF(Prearmados!E:E,B517,Prearmados!G:G))</f>
        <v/>
      </c>
      <c r="D517" s="19"/>
      <c r="E517" s="26" t="str">
        <f>IF(A517="","",IF(SUMIFS(Estructuras!E:E,Estructuras!B:B,A$2,Estructuras!C:C,A517)&gt;0,SUMIFS(Estructuras!E:E,Estructuras!B:B,A$2,Estructuras!C:C,A517),C517*D517))</f>
        <v/>
      </c>
      <c r="F517" s="36"/>
      <c r="G517" s="36"/>
      <c r="H517" s="36"/>
      <c r="I517" s="36" t="str">
        <f t="shared" si="2"/>
        <v/>
      </c>
      <c r="J517" s="37" t="str">
        <f t="shared" si="3"/>
        <v/>
      </c>
      <c r="K517" s="38" t="str">
        <f>IF(L517="","",SUMIF(Productos!E:E,L517,Productos!A:A))</f>
        <v/>
      </c>
      <c r="M517" s="39"/>
    </row>
    <row r="518">
      <c r="A518" s="2" t="str">
        <f>IF(B518="","",SUMIF(Productos!E:E,B518,Productos!A:A))</f>
        <v/>
      </c>
      <c r="B518" s="40"/>
      <c r="C518" s="26" t="str">
        <f>IF(B518="","",SUMIF(Prearmados!E:E,B518,Prearmados!G:G))</f>
        <v/>
      </c>
      <c r="D518" s="19"/>
      <c r="E518" s="26" t="str">
        <f>IF(A518="","",IF(SUMIFS(Estructuras!E:E,Estructuras!B:B,A$2,Estructuras!C:C,A518)&gt;0,SUMIFS(Estructuras!E:E,Estructuras!B:B,A$2,Estructuras!C:C,A518),C518*D518))</f>
        <v/>
      </c>
      <c r="F518" s="36"/>
      <c r="G518" s="36"/>
      <c r="H518" s="36"/>
      <c r="I518" s="36" t="str">
        <f t="shared" si="2"/>
        <v/>
      </c>
      <c r="J518" s="37" t="str">
        <f t="shared" si="3"/>
        <v/>
      </c>
      <c r="K518" s="38" t="str">
        <f>IF(L518="","",SUMIF(Productos!E:E,L518,Productos!A:A))</f>
        <v/>
      </c>
      <c r="M518" s="39"/>
    </row>
    <row r="519">
      <c r="A519" s="2" t="str">
        <f>IF(B519="","",SUMIF(Productos!E:E,B519,Productos!A:A))</f>
        <v/>
      </c>
      <c r="B519" s="40"/>
      <c r="C519" s="26" t="str">
        <f>IF(B519="","",SUMIF(Prearmados!E:E,B519,Prearmados!G:G))</f>
        <v/>
      </c>
      <c r="D519" s="19"/>
      <c r="E519" s="26" t="str">
        <f>IF(A519="","",IF(SUMIFS(Estructuras!E:E,Estructuras!B:B,A$2,Estructuras!C:C,A519)&gt;0,SUMIFS(Estructuras!E:E,Estructuras!B:B,A$2,Estructuras!C:C,A519),C519*D519))</f>
        <v/>
      </c>
      <c r="F519" s="36"/>
      <c r="G519" s="36"/>
      <c r="H519" s="36"/>
      <c r="I519" s="36" t="str">
        <f t="shared" si="2"/>
        <v/>
      </c>
      <c r="J519" s="37" t="str">
        <f t="shared" si="3"/>
        <v/>
      </c>
      <c r="K519" s="38" t="str">
        <f>IF(L519="","",SUMIF(Productos!E:E,L519,Productos!A:A))</f>
        <v/>
      </c>
      <c r="M519" s="39"/>
    </row>
    <row r="520">
      <c r="A520" s="2" t="str">
        <f>IF(B520="","",SUMIF(Productos!E:E,B520,Productos!A:A))</f>
        <v/>
      </c>
      <c r="B520" s="40"/>
      <c r="C520" s="26" t="str">
        <f>IF(B520="","",SUMIF(Prearmados!E:E,B520,Prearmados!G:G))</f>
        <v/>
      </c>
      <c r="D520" s="19"/>
      <c r="E520" s="26" t="str">
        <f>IF(A520="","",IF(SUMIFS(Estructuras!E:E,Estructuras!B:B,A$2,Estructuras!C:C,A520)&gt;0,SUMIFS(Estructuras!E:E,Estructuras!B:B,A$2,Estructuras!C:C,A520),C520*D520))</f>
        <v/>
      </c>
      <c r="F520" s="36"/>
      <c r="G520" s="36"/>
      <c r="H520" s="36"/>
      <c r="I520" s="36" t="str">
        <f t="shared" si="2"/>
        <v/>
      </c>
      <c r="J520" s="37" t="str">
        <f t="shared" si="3"/>
        <v/>
      </c>
      <c r="K520" s="38" t="str">
        <f>IF(L520="","",SUMIF(Productos!E:E,L520,Productos!A:A))</f>
        <v/>
      </c>
      <c r="M520" s="39"/>
    </row>
    <row r="521">
      <c r="A521" s="2" t="str">
        <f>IF(B521="","",SUMIF(Productos!E:E,B521,Productos!A:A))</f>
        <v/>
      </c>
      <c r="B521" s="40"/>
      <c r="C521" s="26" t="str">
        <f>IF(B521="","",SUMIF(Prearmados!E:E,B521,Prearmados!G:G))</f>
        <v/>
      </c>
      <c r="D521" s="19"/>
      <c r="E521" s="26" t="str">
        <f>IF(A521="","",IF(SUMIFS(Estructuras!E:E,Estructuras!B:B,A$2,Estructuras!C:C,A521)&gt;0,SUMIFS(Estructuras!E:E,Estructuras!B:B,A$2,Estructuras!C:C,A521),C521*D521))</f>
        <v/>
      </c>
      <c r="F521" s="36"/>
      <c r="G521" s="36"/>
      <c r="H521" s="36"/>
      <c r="I521" s="36" t="str">
        <f t="shared" si="2"/>
        <v/>
      </c>
      <c r="J521" s="37" t="str">
        <f t="shared" si="3"/>
        <v/>
      </c>
      <c r="K521" s="38" t="str">
        <f>IF(L521="","",SUMIF(Productos!E:E,L521,Productos!A:A))</f>
        <v/>
      </c>
      <c r="M521" s="39"/>
    </row>
    <row r="522">
      <c r="A522" s="2" t="str">
        <f>IF(B522="","",SUMIF(Productos!E:E,B522,Productos!A:A))</f>
        <v/>
      </c>
      <c r="B522" s="40"/>
      <c r="C522" s="26" t="str">
        <f>IF(B522="","",SUMIF(Prearmados!E:E,B522,Prearmados!G:G))</f>
        <v/>
      </c>
      <c r="D522" s="19"/>
      <c r="E522" s="26" t="str">
        <f>IF(A522="","",IF(SUMIFS(Estructuras!E:E,Estructuras!B:B,A$2,Estructuras!C:C,A522)&gt;0,SUMIFS(Estructuras!E:E,Estructuras!B:B,A$2,Estructuras!C:C,A522),C522*D522))</f>
        <v/>
      </c>
      <c r="F522" s="36"/>
      <c r="G522" s="36"/>
      <c r="H522" s="36"/>
      <c r="I522" s="36" t="str">
        <f t="shared" si="2"/>
        <v/>
      </c>
      <c r="J522" s="37" t="str">
        <f t="shared" si="3"/>
        <v/>
      </c>
      <c r="K522" s="38" t="str">
        <f>IF(L522="","",SUMIF(Productos!E:E,L522,Productos!A:A))</f>
        <v/>
      </c>
      <c r="M522" s="39"/>
    </row>
    <row r="523">
      <c r="A523" s="2" t="str">
        <f>IF(B523="","",SUMIF(Productos!E:E,B523,Productos!A:A))</f>
        <v/>
      </c>
      <c r="B523" s="40"/>
      <c r="C523" s="26" t="str">
        <f>IF(B523="","",SUMIF(Prearmados!E:E,B523,Prearmados!G:G))</f>
        <v/>
      </c>
      <c r="D523" s="19"/>
      <c r="E523" s="26" t="str">
        <f>IF(A523="","",IF(SUMIFS(Estructuras!E:E,Estructuras!B:B,A$2,Estructuras!C:C,A523)&gt;0,SUMIFS(Estructuras!E:E,Estructuras!B:B,A$2,Estructuras!C:C,A523),C523*D523))</f>
        <v/>
      </c>
      <c r="F523" s="36"/>
      <c r="G523" s="36"/>
      <c r="H523" s="36"/>
      <c r="I523" s="36" t="str">
        <f t="shared" si="2"/>
        <v/>
      </c>
      <c r="J523" s="37" t="str">
        <f t="shared" si="3"/>
        <v/>
      </c>
      <c r="K523" s="38" t="str">
        <f>IF(L523="","",SUMIF(Productos!E:E,L523,Productos!A:A))</f>
        <v/>
      </c>
      <c r="M523" s="39"/>
    </row>
    <row r="524">
      <c r="A524" s="2" t="str">
        <f>IF(B524="","",SUMIF(Productos!E:E,B524,Productos!A:A))</f>
        <v/>
      </c>
      <c r="B524" s="40"/>
      <c r="C524" s="26" t="str">
        <f>IF(B524="","",SUMIF(Prearmados!E:E,B524,Prearmados!G:G))</f>
        <v/>
      </c>
      <c r="D524" s="19"/>
      <c r="E524" s="26" t="str">
        <f>IF(A524="","",IF(SUMIFS(Estructuras!E:E,Estructuras!B:B,A$2,Estructuras!C:C,A524)&gt;0,SUMIFS(Estructuras!E:E,Estructuras!B:B,A$2,Estructuras!C:C,A524),C524*D524))</f>
        <v/>
      </c>
      <c r="F524" s="36"/>
      <c r="G524" s="36"/>
      <c r="H524" s="36"/>
      <c r="I524" s="36" t="str">
        <f t="shared" si="2"/>
        <v/>
      </c>
      <c r="J524" s="37" t="str">
        <f t="shared" si="3"/>
        <v/>
      </c>
      <c r="K524" s="38" t="str">
        <f>IF(L524="","",SUMIF(Productos!E:E,L524,Productos!A:A))</f>
        <v/>
      </c>
      <c r="M524" s="39"/>
    </row>
    <row r="525">
      <c r="A525" s="2" t="str">
        <f>IF(B525="","",SUMIF(Productos!E:E,B525,Productos!A:A))</f>
        <v/>
      </c>
      <c r="B525" s="40"/>
      <c r="C525" s="26" t="str">
        <f>IF(B525="","",SUMIF(Prearmados!E:E,B525,Prearmados!G:G))</f>
        <v/>
      </c>
      <c r="D525" s="19"/>
      <c r="E525" s="26" t="str">
        <f>IF(A525="","",IF(SUMIFS(Estructuras!E:E,Estructuras!B:B,A$2,Estructuras!C:C,A525)&gt;0,SUMIFS(Estructuras!E:E,Estructuras!B:B,A$2,Estructuras!C:C,A525),C525*D525))</f>
        <v/>
      </c>
      <c r="F525" s="36"/>
      <c r="G525" s="36"/>
      <c r="H525" s="36"/>
      <c r="I525" s="36" t="str">
        <f t="shared" si="2"/>
        <v/>
      </c>
      <c r="J525" s="37" t="str">
        <f t="shared" si="3"/>
        <v/>
      </c>
      <c r="K525" s="38" t="str">
        <f>IF(L525="","",SUMIF(Productos!E:E,L525,Productos!A:A))</f>
        <v/>
      </c>
      <c r="M525" s="39"/>
    </row>
    <row r="526">
      <c r="A526" s="2" t="str">
        <f>IF(B526="","",SUMIF(Productos!E:E,B526,Productos!A:A))</f>
        <v/>
      </c>
      <c r="B526" s="40"/>
      <c r="C526" s="26" t="str">
        <f>IF(B526="","",SUMIF(Prearmados!E:E,B526,Prearmados!G:G))</f>
        <v/>
      </c>
      <c r="D526" s="19"/>
      <c r="E526" s="26" t="str">
        <f>IF(A526="","",IF(SUMIFS(Estructuras!E:E,Estructuras!B:B,A$2,Estructuras!C:C,A526)&gt;0,SUMIFS(Estructuras!E:E,Estructuras!B:B,A$2,Estructuras!C:C,A526),C526*D526))</f>
        <v/>
      </c>
      <c r="F526" s="36"/>
      <c r="G526" s="36"/>
      <c r="H526" s="36"/>
      <c r="I526" s="36" t="str">
        <f t="shared" si="2"/>
        <v/>
      </c>
      <c r="J526" s="37" t="str">
        <f t="shared" si="3"/>
        <v/>
      </c>
      <c r="K526" s="38" t="str">
        <f>IF(L526="","",SUMIF(Productos!E:E,L526,Productos!A:A))</f>
        <v/>
      </c>
      <c r="M526" s="39"/>
    </row>
    <row r="527">
      <c r="A527" s="2" t="str">
        <f>IF(B527="","",SUMIF(Productos!E:E,B527,Productos!A:A))</f>
        <v/>
      </c>
      <c r="B527" s="40"/>
      <c r="C527" s="26" t="str">
        <f>IF(B527="","",SUMIF(Prearmados!E:E,B527,Prearmados!G:G))</f>
        <v/>
      </c>
      <c r="D527" s="19"/>
      <c r="E527" s="26" t="str">
        <f>IF(A527="","",IF(SUMIFS(Estructuras!E:E,Estructuras!B:B,A$2,Estructuras!C:C,A527)&gt;0,SUMIFS(Estructuras!E:E,Estructuras!B:B,A$2,Estructuras!C:C,A527),C527*D527))</f>
        <v/>
      </c>
      <c r="F527" s="36"/>
      <c r="G527" s="36"/>
      <c r="H527" s="36"/>
      <c r="I527" s="36" t="str">
        <f t="shared" si="2"/>
        <v/>
      </c>
      <c r="J527" s="37" t="str">
        <f t="shared" si="3"/>
        <v/>
      </c>
      <c r="K527" s="38" t="str">
        <f>IF(L527="","",SUMIF(Productos!E:E,L527,Productos!A:A))</f>
        <v/>
      </c>
      <c r="M527" s="39"/>
    </row>
    <row r="528">
      <c r="A528" s="2" t="str">
        <f>IF(B528="","",SUMIF(Productos!E:E,B528,Productos!A:A))</f>
        <v/>
      </c>
      <c r="B528" s="40"/>
      <c r="C528" s="26" t="str">
        <f>IF(B528="","",SUMIF(Prearmados!E:E,B528,Prearmados!G:G))</f>
        <v/>
      </c>
      <c r="D528" s="19"/>
      <c r="E528" s="26" t="str">
        <f>IF(A528="","",IF(SUMIFS(Estructuras!E:E,Estructuras!B:B,A$2,Estructuras!C:C,A528)&gt;0,SUMIFS(Estructuras!E:E,Estructuras!B:B,A$2,Estructuras!C:C,A528),C528*D528))</f>
        <v/>
      </c>
      <c r="F528" s="36"/>
      <c r="G528" s="36"/>
      <c r="H528" s="36"/>
      <c r="I528" s="36" t="str">
        <f t="shared" si="2"/>
        <v/>
      </c>
      <c r="J528" s="37" t="str">
        <f t="shared" si="3"/>
        <v/>
      </c>
      <c r="K528" s="38" t="str">
        <f>IF(L528="","",SUMIF(Productos!E:E,L528,Productos!A:A))</f>
        <v/>
      </c>
      <c r="M528" s="39"/>
    </row>
    <row r="529">
      <c r="A529" s="2" t="str">
        <f>IF(B529="","",SUMIF(Productos!E:E,B529,Productos!A:A))</f>
        <v/>
      </c>
      <c r="B529" s="40"/>
      <c r="C529" s="26" t="str">
        <f>IF(B529="","",SUMIF(Prearmados!E:E,B529,Prearmados!G:G))</f>
        <v/>
      </c>
      <c r="D529" s="19"/>
      <c r="E529" s="26" t="str">
        <f>IF(A529="","",IF(SUMIFS(Estructuras!E:E,Estructuras!B:B,A$2,Estructuras!C:C,A529)&gt;0,SUMIFS(Estructuras!E:E,Estructuras!B:B,A$2,Estructuras!C:C,A529),C529*D529))</f>
        <v/>
      </c>
      <c r="F529" s="36"/>
      <c r="G529" s="36"/>
      <c r="H529" s="36"/>
      <c r="I529" s="36" t="str">
        <f t="shared" si="2"/>
        <v/>
      </c>
      <c r="J529" s="37" t="str">
        <f t="shared" si="3"/>
        <v/>
      </c>
      <c r="K529" s="38" t="str">
        <f>IF(L529="","",SUMIF(Productos!E:E,L529,Productos!A:A))</f>
        <v/>
      </c>
      <c r="M529" s="39"/>
    </row>
    <row r="530">
      <c r="A530" s="2" t="str">
        <f>IF(B530="","",SUMIF(Productos!E:E,B530,Productos!A:A))</f>
        <v/>
      </c>
      <c r="B530" s="40"/>
      <c r="C530" s="26" t="str">
        <f>IF(B530="","",SUMIF(Prearmados!E:E,B530,Prearmados!G:G))</f>
        <v/>
      </c>
      <c r="D530" s="19"/>
      <c r="E530" s="26" t="str">
        <f>IF(A530="","",IF(SUMIFS(Estructuras!E:E,Estructuras!B:B,A$2,Estructuras!C:C,A530)&gt;0,SUMIFS(Estructuras!E:E,Estructuras!B:B,A$2,Estructuras!C:C,A530),C530*D530))</f>
        <v/>
      </c>
      <c r="F530" s="36"/>
      <c r="G530" s="36"/>
      <c r="H530" s="36"/>
      <c r="I530" s="36" t="str">
        <f t="shared" si="2"/>
        <v/>
      </c>
      <c r="J530" s="37" t="str">
        <f t="shared" si="3"/>
        <v/>
      </c>
      <c r="K530" s="38" t="str">
        <f>IF(L530="","",SUMIF(Productos!E:E,L530,Productos!A:A))</f>
        <v/>
      </c>
      <c r="M530" s="39"/>
    </row>
    <row r="531">
      <c r="A531" s="2" t="str">
        <f>IF(B531="","",SUMIF(Productos!E:E,B531,Productos!A:A))</f>
        <v/>
      </c>
      <c r="B531" s="40"/>
      <c r="C531" s="26" t="str">
        <f>IF(B531="","",SUMIF(Prearmados!E:E,B531,Prearmados!G:G))</f>
        <v/>
      </c>
      <c r="D531" s="19"/>
      <c r="E531" s="26" t="str">
        <f>IF(A531="","",IF(SUMIFS(Estructuras!E:E,Estructuras!B:B,A$2,Estructuras!C:C,A531)&gt;0,SUMIFS(Estructuras!E:E,Estructuras!B:B,A$2,Estructuras!C:C,A531),C531*D531))</f>
        <v/>
      </c>
      <c r="F531" s="36"/>
      <c r="G531" s="36"/>
      <c r="H531" s="36"/>
      <c r="I531" s="36" t="str">
        <f t="shared" si="2"/>
        <v/>
      </c>
      <c r="J531" s="37" t="str">
        <f t="shared" si="3"/>
        <v/>
      </c>
      <c r="K531" s="38" t="str">
        <f>IF(L531="","",SUMIF(Productos!E:E,L531,Productos!A:A))</f>
        <v/>
      </c>
      <c r="M531" s="39"/>
    </row>
    <row r="532">
      <c r="A532" s="2" t="str">
        <f>IF(B532="","",SUMIF(Productos!E:E,B532,Productos!A:A))</f>
        <v/>
      </c>
      <c r="B532" s="40"/>
      <c r="C532" s="26" t="str">
        <f>IF(B532="","",SUMIF(Prearmados!E:E,B532,Prearmados!G:G))</f>
        <v/>
      </c>
      <c r="D532" s="19"/>
      <c r="E532" s="26" t="str">
        <f>IF(A532="","",IF(SUMIFS(Estructuras!E:E,Estructuras!B:B,A$2,Estructuras!C:C,A532)&gt;0,SUMIFS(Estructuras!E:E,Estructuras!B:B,A$2,Estructuras!C:C,A532),C532*D532))</f>
        <v/>
      </c>
      <c r="F532" s="36"/>
      <c r="G532" s="36"/>
      <c r="H532" s="36"/>
      <c r="I532" s="36" t="str">
        <f t="shared" si="2"/>
        <v/>
      </c>
      <c r="J532" s="37" t="str">
        <f t="shared" si="3"/>
        <v/>
      </c>
      <c r="K532" s="38" t="str">
        <f>IF(L532="","",SUMIF(Productos!E:E,L532,Productos!A:A))</f>
        <v/>
      </c>
      <c r="M532" s="39"/>
    </row>
    <row r="533">
      <c r="A533" s="2" t="str">
        <f>IF(B533="","",SUMIF(Productos!E:E,B533,Productos!A:A))</f>
        <v/>
      </c>
      <c r="B533" s="40"/>
      <c r="C533" s="26" t="str">
        <f>IF(B533="","",SUMIF(Prearmados!E:E,B533,Prearmados!G:G))</f>
        <v/>
      </c>
      <c r="D533" s="19"/>
      <c r="E533" s="26" t="str">
        <f>IF(A533="","",IF(SUMIFS(Estructuras!E:E,Estructuras!B:B,A$2,Estructuras!C:C,A533)&gt;0,SUMIFS(Estructuras!E:E,Estructuras!B:B,A$2,Estructuras!C:C,A533),C533*D533))</f>
        <v/>
      </c>
      <c r="F533" s="36"/>
      <c r="G533" s="36"/>
      <c r="H533" s="36"/>
      <c r="I533" s="36" t="str">
        <f t="shared" si="2"/>
        <v/>
      </c>
      <c r="J533" s="37" t="str">
        <f t="shared" si="3"/>
        <v/>
      </c>
      <c r="K533" s="38" t="str">
        <f>IF(L533="","",SUMIF(Productos!E:E,L533,Productos!A:A))</f>
        <v/>
      </c>
      <c r="M533" s="39"/>
    </row>
    <row r="534">
      <c r="A534" s="2" t="str">
        <f>IF(B534="","",SUMIF(Productos!E:E,B534,Productos!A:A))</f>
        <v/>
      </c>
      <c r="B534" s="40"/>
      <c r="C534" s="26" t="str">
        <f>IF(B534="","",SUMIF(Prearmados!E:E,B534,Prearmados!G:G))</f>
        <v/>
      </c>
      <c r="D534" s="19"/>
      <c r="E534" s="26" t="str">
        <f>IF(A534="","",IF(SUMIFS(Estructuras!E:E,Estructuras!B:B,A$2,Estructuras!C:C,A534)&gt;0,SUMIFS(Estructuras!E:E,Estructuras!B:B,A$2,Estructuras!C:C,A534),C534*D534))</f>
        <v/>
      </c>
      <c r="F534" s="36"/>
      <c r="G534" s="36"/>
      <c r="H534" s="36"/>
      <c r="I534" s="36" t="str">
        <f t="shared" si="2"/>
        <v/>
      </c>
      <c r="J534" s="37" t="str">
        <f t="shared" si="3"/>
        <v/>
      </c>
      <c r="K534" s="38" t="str">
        <f>IF(L534="","",SUMIF(Productos!E:E,L534,Productos!A:A))</f>
        <v/>
      </c>
      <c r="M534" s="39"/>
    </row>
    <row r="535">
      <c r="A535" s="2" t="str">
        <f>IF(B535="","",SUMIF(Productos!E:E,B535,Productos!A:A))</f>
        <v/>
      </c>
      <c r="B535" s="40"/>
      <c r="C535" s="26" t="str">
        <f>IF(B535="","",SUMIF(Prearmados!E:E,B535,Prearmados!G:G))</f>
        <v/>
      </c>
      <c r="D535" s="19"/>
      <c r="E535" s="26" t="str">
        <f>IF(A535="","",IF(SUMIFS(Estructuras!E:E,Estructuras!B:B,A$2,Estructuras!C:C,A535)&gt;0,SUMIFS(Estructuras!E:E,Estructuras!B:B,A$2,Estructuras!C:C,A535),C535*D535))</f>
        <v/>
      </c>
      <c r="F535" s="36"/>
      <c r="G535" s="36"/>
      <c r="H535" s="36"/>
      <c r="I535" s="36" t="str">
        <f t="shared" si="2"/>
        <v/>
      </c>
      <c r="J535" s="37" t="str">
        <f t="shared" si="3"/>
        <v/>
      </c>
      <c r="K535" s="38" t="str">
        <f>IF(L535="","",SUMIF(Productos!E:E,L535,Productos!A:A))</f>
        <v/>
      </c>
      <c r="M535" s="39"/>
    </row>
    <row r="536">
      <c r="A536" s="2" t="str">
        <f>IF(B536="","",SUMIF(Productos!E:E,B536,Productos!A:A))</f>
        <v/>
      </c>
      <c r="B536" s="40"/>
      <c r="C536" s="26" t="str">
        <f>IF(B536="","",SUMIF(Prearmados!E:E,B536,Prearmados!G:G))</f>
        <v/>
      </c>
      <c r="D536" s="19"/>
      <c r="E536" s="26" t="str">
        <f>IF(A536="","",IF(SUMIFS(Estructuras!E:E,Estructuras!B:B,A$2,Estructuras!C:C,A536)&gt;0,SUMIFS(Estructuras!E:E,Estructuras!B:B,A$2,Estructuras!C:C,A536),C536*D536))</f>
        <v/>
      </c>
      <c r="F536" s="36"/>
      <c r="G536" s="36"/>
      <c r="H536" s="36"/>
      <c r="I536" s="36" t="str">
        <f t="shared" si="2"/>
        <v/>
      </c>
      <c r="J536" s="37" t="str">
        <f t="shared" si="3"/>
        <v/>
      </c>
      <c r="K536" s="38" t="str">
        <f>IF(L536="","",SUMIF(Productos!E:E,L536,Productos!A:A))</f>
        <v/>
      </c>
      <c r="M536" s="39"/>
    </row>
    <row r="537">
      <c r="A537" s="2" t="str">
        <f>IF(B537="","",SUMIF(Productos!E:E,B537,Productos!A:A))</f>
        <v/>
      </c>
      <c r="B537" s="40"/>
      <c r="C537" s="26" t="str">
        <f>IF(B537="","",SUMIF(Prearmados!E:E,B537,Prearmados!G:G))</f>
        <v/>
      </c>
      <c r="D537" s="19"/>
      <c r="E537" s="26" t="str">
        <f>IF(A537="","",IF(SUMIFS(Estructuras!E:E,Estructuras!B:B,A$2,Estructuras!C:C,A537)&gt;0,SUMIFS(Estructuras!E:E,Estructuras!B:B,A$2,Estructuras!C:C,A537),C537*D537))</f>
        <v/>
      </c>
      <c r="F537" s="36"/>
      <c r="G537" s="36"/>
      <c r="H537" s="36"/>
      <c r="I537" s="36" t="str">
        <f t="shared" si="2"/>
        <v/>
      </c>
      <c r="J537" s="37" t="str">
        <f t="shared" si="3"/>
        <v/>
      </c>
      <c r="K537" s="38" t="str">
        <f>IF(L537="","",SUMIF(Productos!E:E,L537,Productos!A:A))</f>
        <v/>
      </c>
      <c r="M537" s="39"/>
    </row>
    <row r="538">
      <c r="A538" s="2" t="str">
        <f>IF(B538="","",SUMIF(Productos!E:E,B538,Productos!A:A))</f>
        <v/>
      </c>
      <c r="B538" s="40"/>
      <c r="C538" s="26" t="str">
        <f>IF(B538="","",SUMIF(Prearmados!E:E,B538,Prearmados!G:G))</f>
        <v/>
      </c>
      <c r="D538" s="19"/>
      <c r="E538" s="26" t="str">
        <f>IF(A538="","",IF(SUMIFS(Estructuras!E:E,Estructuras!B:B,A$2,Estructuras!C:C,A538)&gt;0,SUMIFS(Estructuras!E:E,Estructuras!B:B,A$2,Estructuras!C:C,A538),C538*D538))</f>
        <v/>
      </c>
      <c r="F538" s="36"/>
      <c r="G538" s="36"/>
      <c r="H538" s="36"/>
      <c r="I538" s="36" t="str">
        <f t="shared" si="2"/>
        <v/>
      </c>
      <c r="J538" s="37" t="str">
        <f t="shared" si="3"/>
        <v/>
      </c>
      <c r="K538" s="38" t="str">
        <f>IF(L538="","",SUMIF(Productos!E:E,L538,Productos!A:A))</f>
        <v/>
      </c>
      <c r="M538" s="39"/>
    </row>
    <row r="539">
      <c r="A539" s="2" t="str">
        <f>IF(B539="","",SUMIF(Productos!E:E,B539,Productos!A:A))</f>
        <v/>
      </c>
      <c r="B539" s="40"/>
      <c r="C539" s="26" t="str">
        <f>IF(B539="","",SUMIF(Prearmados!E:E,B539,Prearmados!G:G))</f>
        <v/>
      </c>
      <c r="D539" s="19"/>
      <c r="E539" s="26" t="str">
        <f>IF(A539="","",IF(SUMIFS(Estructuras!E:E,Estructuras!B:B,A$2,Estructuras!C:C,A539)&gt;0,SUMIFS(Estructuras!E:E,Estructuras!B:B,A$2,Estructuras!C:C,A539),C539*D539))</f>
        <v/>
      </c>
      <c r="F539" s="36"/>
      <c r="G539" s="36"/>
      <c r="H539" s="36"/>
      <c r="I539" s="36" t="str">
        <f t="shared" si="2"/>
        <v/>
      </c>
      <c r="J539" s="37" t="str">
        <f t="shared" si="3"/>
        <v/>
      </c>
      <c r="K539" s="38" t="str">
        <f>IF(L539="","",SUMIF(Productos!E:E,L539,Productos!A:A))</f>
        <v/>
      </c>
      <c r="M539" s="39"/>
    </row>
    <row r="540">
      <c r="A540" s="2" t="str">
        <f>IF(B540="","",SUMIF(Productos!E:E,B540,Productos!A:A))</f>
        <v/>
      </c>
      <c r="B540" s="40"/>
      <c r="C540" s="26" t="str">
        <f>IF(B540="","",SUMIF(Prearmados!E:E,B540,Prearmados!G:G))</f>
        <v/>
      </c>
      <c r="D540" s="19"/>
      <c r="E540" s="26" t="str">
        <f>IF(A540="","",IF(SUMIFS(Estructuras!E:E,Estructuras!B:B,A$2,Estructuras!C:C,A540)&gt;0,SUMIFS(Estructuras!E:E,Estructuras!B:B,A$2,Estructuras!C:C,A540),C540*D540))</f>
        <v/>
      </c>
      <c r="F540" s="36"/>
      <c r="G540" s="36"/>
      <c r="H540" s="36"/>
      <c r="I540" s="36" t="str">
        <f t="shared" si="2"/>
        <v/>
      </c>
      <c r="J540" s="37" t="str">
        <f t="shared" si="3"/>
        <v/>
      </c>
      <c r="K540" s="38" t="str">
        <f>IF(L540="","",SUMIF(Productos!E:E,L540,Productos!A:A))</f>
        <v/>
      </c>
      <c r="M540" s="39"/>
    </row>
    <row r="541">
      <c r="A541" s="2" t="str">
        <f>IF(B541="","",SUMIF(Productos!E:E,B541,Productos!A:A))</f>
        <v/>
      </c>
      <c r="B541" s="40"/>
      <c r="C541" s="26" t="str">
        <f>IF(B541="","",SUMIF(Prearmados!E:E,B541,Prearmados!G:G))</f>
        <v/>
      </c>
      <c r="D541" s="19"/>
      <c r="E541" s="26" t="str">
        <f>IF(A541="","",IF(SUMIFS(Estructuras!E:E,Estructuras!B:B,A$2,Estructuras!C:C,A541)&gt;0,SUMIFS(Estructuras!E:E,Estructuras!B:B,A$2,Estructuras!C:C,A541),C541*D541))</f>
        <v/>
      </c>
      <c r="F541" s="36"/>
      <c r="G541" s="36"/>
      <c r="H541" s="36"/>
      <c r="I541" s="36" t="str">
        <f t="shared" si="2"/>
        <v/>
      </c>
      <c r="J541" s="37" t="str">
        <f t="shared" si="3"/>
        <v/>
      </c>
      <c r="K541" s="38" t="str">
        <f>IF(L541="","",SUMIF(Productos!E:E,L541,Productos!A:A))</f>
        <v/>
      </c>
      <c r="M541" s="39"/>
    </row>
    <row r="542">
      <c r="A542" s="2" t="str">
        <f>IF(B542="","",SUMIF(Productos!E:E,B542,Productos!A:A))</f>
        <v/>
      </c>
      <c r="B542" s="40"/>
      <c r="C542" s="26" t="str">
        <f>IF(B542="","",SUMIF(Prearmados!E:E,B542,Prearmados!G:G))</f>
        <v/>
      </c>
      <c r="D542" s="19"/>
      <c r="E542" s="26" t="str">
        <f>IF(A542="","",IF(SUMIFS(Estructuras!E:E,Estructuras!B:B,A$2,Estructuras!C:C,A542)&gt;0,SUMIFS(Estructuras!E:E,Estructuras!B:B,A$2,Estructuras!C:C,A542),C542*D542))</f>
        <v/>
      </c>
      <c r="F542" s="36"/>
      <c r="G542" s="36"/>
      <c r="H542" s="36"/>
      <c r="I542" s="36" t="str">
        <f t="shared" si="2"/>
        <v/>
      </c>
      <c r="J542" s="37" t="str">
        <f t="shared" si="3"/>
        <v/>
      </c>
      <c r="K542" s="38" t="str">
        <f>IF(L542="","",SUMIF(Productos!E:E,L542,Productos!A:A))</f>
        <v/>
      </c>
      <c r="M542" s="39"/>
    </row>
    <row r="543">
      <c r="A543" s="2" t="str">
        <f>IF(B543="","",SUMIF(Productos!E:E,B543,Productos!A:A))</f>
        <v/>
      </c>
      <c r="B543" s="40"/>
      <c r="C543" s="26" t="str">
        <f>IF(B543="","",SUMIF(Prearmados!E:E,B543,Prearmados!G:G))</f>
        <v/>
      </c>
      <c r="D543" s="19"/>
      <c r="E543" s="26" t="str">
        <f>IF(A543="","",IF(SUMIFS(Estructuras!E:E,Estructuras!B:B,A$2,Estructuras!C:C,A543)&gt;0,SUMIFS(Estructuras!E:E,Estructuras!B:B,A$2,Estructuras!C:C,A543),C543*D543))</f>
        <v/>
      </c>
      <c r="F543" s="36"/>
      <c r="G543" s="36"/>
      <c r="H543" s="36"/>
      <c r="I543" s="36" t="str">
        <f t="shared" si="2"/>
        <v/>
      </c>
      <c r="J543" s="37" t="str">
        <f t="shared" si="3"/>
        <v/>
      </c>
      <c r="K543" s="38" t="str">
        <f>IF(L543="","",SUMIF(Productos!E:E,L543,Productos!A:A))</f>
        <v/>
      </c>
      <c r="M543" s="39"/>
    </row>
    <row r="544">
      <c r="A544" s="2" t="str">
        <f>IF(B544="","",SUMIF(Productos!E:E,B544,Productos!A:A))</f>
        <v/>
      </c>
      <c r="B544" s="40"/>
      <c r="C544" s="26" t="str">
        <f>IF(B544="","",SUMIF(Prearmados!E:E,B544,Prearmados!G:G))</f>
        <v/>
      </c>
      <c r="D544" s="19"/>
      <c r="E544" s="26" t="str">
        <f>IF(A544="","",IF(SUMIFS(Estructuras!E:E,Estructuras!B:B,A$2,Estructuras!C:C,A544)&gt;0,SUMIFS(Estructuras!E:E,Estructuras!B:B,A$2,Estructuras!C:C,A544),C544*D544))</f>
        <v/>
      </c>
      <c r="F544" s="36"/>
      <c r="G544" s="36"/>
      <c r="H544" s="36"/>
      <c r="I544" s="36" t="str">
        <f t="shared" si="2"/>
        <v/>
      </c>
      <c r="J544" s="37" t="str">
        <f t="shared" si="3"/>
        <v/>
      </c>
      <c r="K544" s="38" t="str">
        <f>IF(L544="","",SUMIF(Productos!E:E,L544,Productos!A:A))</f>
        <v/>
      </c>
      <c r="M544" s="39"/>
    </row>
    <row r="545">
      <c r="A545" s="2" t="str">
        <f>IF(B545="","",SUMIF(Productos!E:E,B545,Productos!A:A))</f>
        <v/>
      </c>
      <c r="B545" s="40"/>
      <c r="C545" s="26" t="str">
        <f>IF(B545="","",SUMIF(Prearmados!E:E,B545,Prearmados!G:G))</f>
        <v/>
      </c>
      <c r="D545" s="19"/>
      <c r="E545" s="26" t="str">
        <f>IF(A545="","",IF(SUMIFS(Estructuras!E:E,Estructuras!B:B,A$2,Estructuras!C:C,A545)&gt;0,SUMIFS(Estructuras!E:E,Estructuras!B:B,A$2,Estructuras!C:C,A545),C545*D545))</f>
        <v/>
      </c>
      <c r="F545" s="36"/>
      <c r="G545" s="36"/>
      <c r="H545" s="36"/>
      <c r="I545" s="36" t="str">
        <f t="shared" si="2"/>
        <v/>
      </c>
      <c r="J545" s="37" t="str">
        <f t="shared" si="3"/>
        <v/>
      </c>
      <c r="K545" s="38" t="str">
        <f>IF(L545="","",SUMIF(Productos!E:E,L545,Productos!A:A))</f>
        <v/>
      </c>
      <c r="M545" s="39"/>
    </row>
    <row r="546">
      <c r="A546" s="2" t="str">
        <f>IF(B546="","",SUMIF(Productos!E:E,B546,Productos!A:A))</f>
        <v/>
      </c>
      <c r="B546" s="40"/>
      <c r="C546" s="26" t="str">
        <f>IF(B546="","",SUMIF(Prearmados!E:E,B546,Prearmados!G:G))</f>
        <v/>
      </c>
      <c r="D546" s="19"/>
      <c r="E546" s="26" t="str">
        <f>IF(A546="","",IF(SUMIFS(Estructuras!E:E,Estructuras!B:B,A$2,Estructuras!C:C,A546)&gt;0,SUMIFS(Estructuras!E:E,Estructuras!B:B,A$2,Estructuras!C:C,A546),C546*D546))</f>
        <v/>
      </c>
      <c r="F546" s="36"/>
      <c r="G546" s="36"/>
      <c r="H546" s="36"/>
      <c r="I546" s="36" t="str">
        <f t="shared" si="2"/>
        <v/>
      </c>
      <c r="J546" s="37" t="str">
        <f t="shared" si="3"/>
        <v/>
      </c>
      <c r="K546" s="38" t="str">
        <f>IF(L546="","",SUMIF(Productos!E:E,L546,Productos!A:A))</f>
        <v/>
      </c>
      <c r="M546" s="39"/>
    </row>
    <row r="547">
      <c r="A547" s="2" t="str">
        <f>IF(B547="","",SUMIF(Productos!E:E,B547,Productos!A:A))</f>
        <v/>
      </c>
      <c r="B547" s="40"/>
      <c r="C547" s="26" t="str">
        <f>IF(B547="","",SUMIF(Prearmados!E:E,B547,Prearmados!G:G))</f>
        <v/>
      </c>
      <c r="D547" s="19"/>
      <c r="E547" s="26" t="str">
        <f>IF(A547="","",IF(SUMIFS(Estructuras!E:E,Estructuras!B:B,A$2,Estructuras!C:C,A547)&gt;0,SUMIFS(Estructuras!E:E,Estructuras!B:B,A$2,Estructuras!C:C,A547),C547*D547))</f>
        <v/>
      </c>
      <c r="F547" s="36"/>
      <c r="G547" s="36"/>
      <c r="H547" s="36"/>
      <c r="I547" s="36" t="str">
        <f t="shared" si="2"/>
        <v/>
      </c>
      <c r="J547" s="37" t="str">
        <f t="shared" si="3"/>
        <v/>
      </c>
      <c r="K547" s="38" t="str">
        <f>IF(L547="","",SUMIF(Productos!E:E,L547,Productos!A:A))</f>
        <v/>
      </c>
      <c r="M547" s="39"/>
    </row>
    <row r="548">
      <c r="A548" s="2" t="str">
        <f>IF(B548="","",SUMIF(Productos!E:E,B548,Productos!A:A))</f>
        <v/>
      </c>
      <c r="B548" s="40"/>
      <c r="C548" s="26" t="str">
        <f>IF(B548="","",SUMIF(Prearmados!E:E,B548,Prearmados!G:G))</f>
        <v/>
      </c>
      <c r="D548" s="19"/>
      <c r="E548" s="26" t="str">
        <f>IF(A548="","",IF(SUMIFS(Estructuras!E:E,Estructuras!B:B,A$2,Estructuras!C:C,A548)&gt;0,SUMIFS(Estructuras!E:E,Estructuras!B:B,A$2,Estructuras!C:C,A548),C548*D548))</f>
        <v/>
      </c>
      <c r="F548" s="36"/>
      <c r="G548" s="36"/>
      <c r="H548" s="36"/>
      <c r="I548" s="36" t="str">
        <f t="shared" si="2"/>
        <v/>
      </c>
      <c r="J548" s="37" t="str">
        <f t="shared" si="3"/>
        <v/>
      </c>
      <c r="K548" s="38" t="str">
        <f>IF(L548="","",SUMIF(Productos!E:E,L548,Productos!A:A))</f>
        <v/>
      </c>
      <c r="M548" s="39"/>
    </row>
    <row r="549">
      <c r="A549" s="2" t="str">
        <f>IF(B549="","",SUMIF(Productos!E:E,B549,Productos!A:A))</f>
        <v/>
      </c>
      <c r="B549" s="40"/>
      <c r="C549" s="26" t="str">
        <f>IF(B549="","",SUMIF(Prearmados!E:E,B549,Prearmados!G:G))</f>
        <v/>
      </c>
      <c r="D549" s="19"/>
      <c r="E549" s="26" t="str">
        <f>IF(A549="","",IF(SUMIFS(Estructuras!E:E,Estructuras!B:B,A$2,Estructuras!C:C,A549)&gt;0,SUMIFS(Estructuras!E:E,Estructuras!B:B,A$2,Estructuras!C:C,A549),C549*D549))</f>
        <v/>
      </c>
      <c r="F549" s="36"/>
      <c r="G549" s="36"/>
      <c r="H549" s="36"/>
      <c r="I549" s="36" t="str">
        <f t="shared" si="2"/>
        <v/>
      </c>
      <c r="J549" s="37" t="str">
        <f t="shared" si="3"/>
        <v/>
      </c>
      <c r="K549" s="38" t="str">
        <f>IF(L549="","",SUMIF(Productos!E:E,L549,Productos!A:A))</f>
        <v/>
      </c>
      <c r="M549" s="39"/>
    </row>
    <row r="550">
      <c r="A550" s="2" t="str">
        <f>IF(B550="","",SUMIF(Productos!E:E,B550,Productos!A:A))</f>
        <v/>
      </c>
      <c r="B550" s="40"/>
      <c r="C550" s="26" t="str">
        <f>IF(B550="","",SUMIF(Prearmados!E:E,B550,Prearmados!G:G))</f>
        <v/>
      </c>
      <c r="D550" s="19"/>
      <c r="E550" s="26" t="str">
        <f>IF(A550="","",IF(SUMIFS(Estructuras!E:E,Estructuras!B:B,A$2,Estructuras!C:C,A550)&gt;0,SUMIFS(Estructuras!E:E,Estructuras!B:B,A$2,Estructuras!C:C,A550),C550*D550))</f>
        <v/>
      </c>
      <c r="F550" s="36"/>
      <c r="G550" s="36"/>
      <c r="H550" s="36"/>
      <c r="I550" s="36" t="str">
        <f t="shared" si="2"/>
        <v/>
      </c>
      <c r="J550" s="37" t="str">
        <f t="shared" si="3"/>
        <v/>
      </c>
      <c r="K550" s="38" t="str">
        <f>IF(L550="","",SUMIF(Productos!E:E,L550,Productos!A:A))</f>
        <v/>
      </c>
      <c r="M550" s="39"/>
    </row>
    <row r="551">
      <c r="A551" s="2" t="str">
        <f>IF(B551="","",SUMIF(Productos!E:E,B551,Productos!A:A))</f>
        <v/>
      </c>
      <c r="B551" s="40"/>
      <c r="C551" s="26" t="str">
        <f>IF(B551="","",SUMIF(Prearmados!E:E,B551,Prearmados!G:G))</f>
        <v/>
      </c>
      <c r="D551" s="19"/>
      <c r="E551" s="26" t="str">
        <f>IF(A551="","",IF(SUMIFS(Estructuras!E:E,Estructuras!B:B,A$2,Estructuras!C:C,A551)&gt;0,SUMIFS(Estructuras!E:E,Estructuras!B:B,A$2,Estructuras!C:C,A551),C551*D551))</f>
        <v/>
      </c>
      <c r="F551" s="36"/>
      <c r="G551" s="36"/>
      <c r="H551" s="36"/>
      <c r="I551" s="36" t="str">
        <f t="shared" si="2"/>
        <v/>
      </c>
      <c r="J551" s="37" t="str">
        <f t="shared" si="3"/>
        <v/>
      </c>
      <c r="K551" s="38" t="str">
        <f>IF(L551="","",SUMIF(Productos!E:E,L551,Productos!A:A))</f>
        <v/>
      </c>
      <c r="M551" s="39"/>
    </row>
    <row r="552">
      <c r="A552" s="2" t="str">
        <f>IF(B552="","",SUMIF(Productos!E:E,B552,Productos!A:A))</f>
        <v/>
      </c>
      <c r="B552" s="40"/>
      <c r="C552" s="26" t="str">
        <f>IF(B552="","",SUMIF(Prearmados!E:E,B552,Prearmados!G:G))</f>
        <v/>
      </c>
      <c r="D552" s="19"/>
      <c r="E552" s="26" t="str">
        <f>IF(A552="","",IF(SUMIFS(Estructuras!E:E,Estructuras!B:B,A$2,Estructuras!C:C,A552)&gt;0,SUMIFS(Estructuras!E:E,Estructuras!B:B,A$2,Estructuras!C:C,A552),C552*D552))</f>
        <v/>
      </c>
      <c r="F552" s="36"/>
      <c r="G552" s="36"/>
      <c r="H552" s="36"/>
      <c r="I552" s="36" t="str">
        <f t="shared" si="2"/>
        <v/>
      </c>
      <c r="J552" s="37" t="str">
        <f t="shared" si="3"/>
        <v/>
      </c>
      <c r="K552" s="38" t="str">
        <f>IF(L552="","",SUMIF(Productos!E:E,L552,Productos!A:A))</f>
        <v/>
      </c>
      <c r="M552" s="39"/>
    </row>
    <row r="553">
      <c r="A553" s="2" t="str">
        <f>IF(B553="","",SUMIF(Productos!E:E,B553,Productos!A:A))</f>
        <v/>
      </c>
      <c r="B553" s="40"/>
      <c r="C553" s="26" t="str">
        <f>IF(B553="","",SUMIF(Prearmados!E:E,B553,Prearmados!G:G))</f>
        <v/>
      </c>
      <c r="D553" s="19"/>
      <c r="E553" s="26" t="str">
        <f>IF(A553="","",IF(SUMIFS(Estructuras!E:E,Estructuras!B:B,A$2,Estructuras!C:C,A553)&gt;0,SUMIFS(Estructuras!E:E,Estructuras!B:B,A$2,Estructuras!C:C,A553),C553*D553))</f>
        <v/>
      </c>
      <c r="F553" s="36"/>
      <c r="G553" s="36"/>
      <c r="H553" s="36"/>
      <c r="I553" s="36" t="str">
        <f t="shared" si="2"/>
        <v/>
      </c>
      <c r="J553" s="37" t="str">
        <f t="shared" si="3"/>
        <v/>
      </c>
      <c r="K553" s="38" t="str">
        <f>IF(L553="","",SUMIF(Productos!E:E,L553,Productos!A:A))</f>
        <v/>
      </c>
      <c r="M553" s="39"/>
    </row>
    <row r="554">
      <c r="A554" s="2" t="str">
        <f>IF(B554="","",SUMIF(Productos!E:E,B554,Productos!A:A))</f>
        <v/>
      </c>
      <c r="B554" s="40"/>
      <c r="C554" s="26" t="str">
        <f>IF(B554="","",SUMIF(Prearmados!E:E,B554,Prearmados!G:G))</f>
        <v/>
      </c>
      <c r="D554" s="19"/>
      <c r="E554" s="26" t="str">
        <f>IF(A554="","",IF(SUMIFS(Estructuras!E:E,Estructuras!B:B,A$2,Estructuras!C:C,A554)&gt;0,SUMIFS(Estructuras!E:E,Estructuras!B:B,A$2,Estructuras!C:C,A554),C554*D554))</f>
        <v/>
      </c>
      <c r="F554" s="36"/>
      <c r="G554" s="36"/>
      <c r="H554" s="36"/>
      <c r="I554" s="36" t="str">
        <f t="shared" si="2"/>
        <v/>
      </c>
      <c r="J554" s="37" t="str">
        <f t="shared" si="3"/>
        <v/>
      </c>
      <c r="K554" s="38" t="str">
        <f>IF(L554="","",SUMIF(Productos!E:E,L554,Productos!A:A))</f>
        <v/>
      </c>
      <c r="M554" s="39"/>
    </row>
    <row r="555">
      <c r="A555" s="2" t="str">
        <f>IF(B555="","",SUMIF(Productos!E:E,B555,Productos!A:A))</f>
        <v/>
      </c>
      <c r="B555" s="40"/>
      <c r="C555" s="26" t="str">
        <f>IF(B555="","",SUMIF(Prearmados!E:E,B555,Prearmados!G:G))</f>
        <v/>
      </c>
      <c r="D555" s="19"/>
      <c r="E555" s="26" t="str">
        <f>IF(A555="","",IF(SUMIFS(Estructuras!E:E,Estructuras!B:B,A$2,Estructuras!C:C,A555)&gt;0,SUMIFS(Estructuras!E:E,Estructuras!B:B,A$2,Estructuras!C:C,A555),C555*D555))</f>
        <v/>
      </c>
      <c r="F555" s="36"/>
      <c r="G555" s="36"/>
      <c r="H555" s="36"/>
      <c r="I555" s="36" t="str">
        <f t="shared" si="2"/>
        <v/>
      </c>
      <c r="J555" s="37" t="str">
        <f t="shared" si="3"/>
        <v/>
      </c>
      <c r="K555" s="38" t="str">
        <f>IF(L555="","",SUMIF(Productos!E:E,L555,Productos!A:A))</f>
        <v/>
      </c>
      <c r="M555" s="39"/>
    </row>
    <row r="556">
      <c r="A556" s="2" t="str">
        <f>IF(B556="","",SUMIF(Productos!E:E,B556,Productos!A:A))</f>
        <v/>
      </c>
      <c r="B556" s="40"/>
      <c r="C556" s="26" t="str">
        <f>IF(B556="","",SUMIF(Prearmados!E:E,B556,Prearmados!G:G))</f>
        <v/>
      </c>
      <c r="D556" s="19"/>
      <c r="E556" s="26" t="str">
        <f>IF(A556="","",IF(SUMIFS(Estructuras!E:E,Estructuras!B:B,A$2,Estructuras!C:C,A556)&gt;0,SUMIFS(Estructuras!E:E,Estructuras!B:B,A$2,Estructuras!C:C,A556),C556*D556))</f>
        <v/>
      </c>
      <c r="F556" s="36"/>
      <c r="G556" s="36"/>
      <c r="H556" s="36"/>
      <c r="I556" s="36" t="str">
        <f t="shared" si="2"/>
        <v/>
      </c>
      <c r="J556" s="37" t="str">
        <f t="shared" si="3"/>
        <v/>
      </c>
      <c r="K556" s="38" t="str">
        <f>IF(L556="","",SUMIF(Productos!E:E,L556,Productos!A:A))</f>
        <v/>
      </c>
      <c r="M556" s="39"/>
    </row>
    <row r="557">
      <c r="A557" s="2" t="str">
        <f>IF(B557="","",SUMIF(Productos!E:E,B557,Productos!A:A))</f>
        <v/>
      </c>
      <c r="B557" s="40"/>
      <c r="C557" s="26" t="str">
        <f>IF(B557="","",SUMIF(Prearmados!E:E,B557,Prearmados!G:G))</f>
        <v/>
      </c>
      <c r="D557" s="19"/>
      <c r="E557" s="26" t="str">
        <f>IF(A557="","",IF(SUMIFS(Estructuras!E:E,Estructuras!B:B,A$2,Estructuras!C:C,A557)&gt;0,SUMIFS(Estructuras!E:E,Estructuras!B:B,A$2,Estructuras!C:C,A557),C557*D557))</f>
        <v/>
      </c>
      <c r="F557" s="36"/>
      <c r="G557" s="36"/>
      <c r="H557" s="36"/>
      <c r="I557" s="36" t="str">
        <f t="shared" si="2"/>
        <v/>
      </c>
      <c r="J557" s="37" t="str">
        <f t="shared" si="3"/>
        <v/>
      </c>
      <c r="K557" s="38" t="str">
        <f>IF(L557="","",SUMIF(Productos!E:E,L557,Productos!A:A))</f>
        <v/>
      </c>
      <c r="M557" s="39"/>
    </row>
    <row r="558">
      <c r="A558" s="2" t="str">
        <f>IF(B558="","",SUMIF(Productos!E:E,B558,Productos!A:A))</f>
        <v/>
      </c>
      <c r="B558" s="40"/>
      <c r="C558" s="26" t="str">
        <f>IF(B558="","",SUMIF(Prearmados!E:E,B558,Prearmados!G:G))</f>
        <v/>
      </c>
      <c r="D558" s="19"/>
      <c r="E558" s="26" t="str">
        <f>IF(A558="","",IF(SUMIFS(Estructuras!E:E,Estructuras!B:B,A$2,Estructuras!C:C,A558)&gt;0,SUMIFS(Estructuras!E:E,Estructuras!B:B,A$2,Estructuras!C:C,A558),C558*D558))</f>
        <v/>
      </c>
      <c r="F558" s="36"/>
      <c r="G558" s="36"/>
      <c r="H558" s="36"/>
      <c r="I558" s="36" t="str">
        <f t="shared" si="2"/>
        <v/>
      </c>
      <c r="J558" s="37" t="str">
        <f t="shared" si="3"/>
        <v/>
      </c>
      <c r="K558" s="38" t="str">
        <f>IF(L558="","",SUMIF(Productos!E:E,L558,Productos!A:A))</f>
        <v/>
      </c>
      <c r="M558" s="39"/>
    </row>
    <row r="559">
      <c r="A559" s="2" t="str">
        <f>IF(B559="","",SUMIF(Productos!E:E,B559,Productos!A:A))</f>
        <v/>
      </c>
      <c r="B559" s="40"/>
      <c r="C559" s="26" t="str">
        <f>IF(B559="","",SUMIF(Prearmados!E:E,B559,Prearmados!G:G))</f>
        <v/>
      </c>
      <c r="D559" s="19"/>
      <c r="E559" s="26" t="str">
        <f>IF(A559="","",IF(SUMIFS(Estructuras!E:E,Estructuras!B:B,A$2,Estructuras!C:C,A559)&gt;0,SUMIFS(Estructuras!E:E,Estructuras!B:B,A$2,Estructuras!C:C,A559),C559*D559))</f>
        <v/>
      </c>
      <c r="F559" s="36"/>
      <c r="G559" s="36"/>
      <c r="H559" s="36"/>
      <c r="I559" s="36" t="str">
        <f t="shared" si="2"/>
        <v/>
      </c>
      <c r="J559" s="37" t="str">
        <f t="shared" si="3"/>
        <v/>
      </c>
      <c r="K559" s="38" t="str">
        <f>IF(L559="","",SUMIF(Productos!E:E,L559,Productos!A:A))</f>
        <v/>
      </c>
      <c r="M559" s="39"/>
    </row>
    <row r="560">
      <c r="A560" s="2" t="str">
        <f>IF(B560="","",SUMIF(Productos!E:E,B560,Productos!A:A))</f>
        <v/>
      </c>
      <c r="B560" s="40"/>
      <c r="C560" s="26" t="str">
        <f>IF(B560="","",SUMIF(Prearmados!E:E,B560,Prearmados!G:G))</f>
        <v/>
      </c>
      <c r="D560" s="19"/>
      <c r="E560" s="26" t="str">
        <f>IF(A560="","",IF(SUMIFS(Estructuras!E:E,Estructuras!B:B,A$2,Estructuras!C:C,A560)&gt;0,SUMIFS(Estructuras!E:E,Estructuras!B:B,A$2,Estructuras!C:C,A560),C560*D560))</f>
        <v/>
      </c>
      <c r="F560" s="36"/>
      <c r="G560" s="36"/>
      <c r="H560" s="36"/>
      <c r="I560" s="36" t="str">
        <f t="shared" si="2"/>
        <v/>
      </c>
      <c r="J560" s="37" t="str">
        <f t="shared" si="3"/>
        <v/>
      </c>
      <c r="K560" s="38" t="str">
        <f>IF(L560="","",SUMIF(Productos!E:E,L560,Productos!A:A))</f>
        <v/>
      </c>
      <c r="M560" s="39"/>
    </row>
    <row r="561">
      <c r="A561" s="2" t="str">
        <f>IF(B561="","",SUMIF(Productos!E:E,B561,Productos!A:A))</f>
        <v/>
      </c>
      <c r="B561" s="40"/>
      <c r="C561" s="26" t="str">
        <f>IF(B561="","",SUMIF(Prearmados!E:E,B561,Prearmados!G:G))</f>
        <v/>
      </c>
      <c r="D561" s="19"/>
      <c r="E561" s="26" t="str">
        <f>IF(A561="","",IF(SUMIFS(Estructuras!E:E,Estructuras!B:B,A$2,Estructuras!C:C,A561)&gt;0,SUMIFS(Estructuras!E:E,Estructuras!B:B,A$2,Estructuras!C:C,A561),C561*D561))</f>
        <v/>
      </c>
      <c r="F561" s="36"/>
      <c r="G561" s="36"/>
      <c r="H561" s="36"/>
      <c r="I561" s="36" t="str">
        <f t="shared" si="2"/>
        <v/>
      </c>
      <c r="J561" s="37" t="str">
        <f t="shared" si="3"/>
        <v/>
      </c>
      <c r="K561" s="38" t="str">
        <f>IF(L561="","",SUMIF(Productos!E:E,L561,Productos!A:A))</f>
        <v/>
      </c>
      <c r="M561" s="39"/>
    </row>
    <row r="562">
      <c r="A562" s="2" t="str">
        <f>IF(B562="","",SUMIF(Productos!E:E,B562,Productos!A:A))</f>
        <v/>
      </c>
      <c r="B562" s="40"/>
      <c r="C562" s="26" t="str">
        <f>IF(B562="","",SUMIF(Prearmados!E:E,B562,Prearmados!G:G))</f>
        <v/>
      </c>
      <c r="D562" s="19"/>
      <c r="E562" s="26" t="str">
        <f>IF(A562="","",IF(SUMIFS(Estructuras!E:E,Estructuras!B:B,A$2,Estructuras!C:C,A562)&gt;0,SUMIFS(Estructuras!E:E,Estructuras!B:B,A$2,Estructuras!C:C,A562),C562*D562))</f>
        <v/>
      </c>
      <c r="F562" s="36"/>
      <c r="G562" s="36"/>
      <c r="H562" s="36"/>
      <c r="I562" s="36" t="str">
        <f t="shared" si="2"/>
        <v/>
      </c>
      <c r="J562" s="37" t="str">
        <f t="shared" si="3"/>
        <v/>
      </c>
      <c r="K562" s="38" t="str">
        <f>IF(L562="","",SUMIF(Productos!E:E,L562,Productos!A:A))</f>
        <v/>
      </c>
      <c r="M562" s="39"/>
    </row>
    <row r="563">
      <c r="A563" s="2" t="str">
        <f>IF(B563="","",SUMIF(Productos!E:E,B563,Productos!A:A))</f>
        <v/>
      </c>
      <c r="B563" s="40"/>
      <c r="C563" s="26" t="str">
        <f>IF(B563="","",SUMIF(Prearmados!E:E,B563,Prearmados!G:G))</f>
        <v/>
      </c>
      <c r="D563" s="19"/>
      <c r="E563" s="26" t="str">
        <f>IF(A563="","",IF(SUMIFS(Estructuras!E:E,Estructuras!B:B,A$2,Estructuras!C:C,A563)&gt;0,SUMIFS(Estructuras!E:E,Estructuras!B:B,A$2,Estructuras!C:C,A563),C563*D563))</f>
        <v/>
      </c>
      <c r="F563" s="36"/>
      <c r="G563" s="36"/>
      <c r="H563" s="36"/>
      <c r="I563" s="36" t="str">
        <f t="shared" si="2"/>
        <v/>
      </c>
      <c r="J563" s="37" t="str">
        <f t="shared" si="3"/>
        <v/>
      </c>
      <c r="K563" s="38" t="str">
        <f>IF(L563="","",SUMIF(Productos!E:E,L563,Productos!A:A))</f>
        <v/>
      </c>
      <c r="M563" s="39"/>
    </row>
    <row r="564">
      <c r="A564" s="2" t="str">
        <f>IF(B564="","",SUMIF(Productos!E:E,B564,Productos!A:A))</f>
        <v/>
      </c>
      <c r="B564" s="40"/>
      <c r="C564" s="26" t="str">
        <f>IF(B564="","",SUMIF(Prearmados!E:E,B564,Prearmados!G:G))</f>
        <v/>
      </c>
      <c r="D564" s="19"/>
      <c r="E564" s="26" t="str">
        <f>IF(A564="","",IF(SUMIFS(Estructuras!E:E,Estructuras!B:B,A$2,Estructuras!C:C,A564)&gt;0,SUMIFS(Estructuras!E:E,Estructuras!B:B,A$2,Estructuras!C:C,A564),C564*D564))</f>
        <v/>
      </c>
      <c r="F564" s="36"/>
      <c r="G564" s="36"/>
      <c r="H564" s="36"/>
      <c r="I564" s="36" t="str">
        <f t="shared" si="2"/>
        <v/>
      </c>
      <c r="J564" s="37" t="str">
        <f t="shared" si="3"/>
        <v/>
      </c>
      <c r="K564" s="38" t="str">
        <f>IF(L564="","",SUMIF(Productos!E:E,L564,Productos!A:A))</f>
        <v/>
      </c>
      <c r="M564" s="39"/>
    </row>
    <row r="565">
      <c r="A565" s="2" t="str">
        <f>IF(B565="","",SUMIF(Productos!E:E,B565,Productos!A:A))</f>
        <v/>
      </c>
      <c r="B565" s="40"/>
      <c r="C565" s="26" t="str">
        <f>IF(B565="","",SUMIF(Prearmados!E:E,B565,Prearmados!G:G))</f>
        <v/>
      </c>
      <c r="D565" s="19"/>
      <c r="E565" s="26" t="str">
        <f>IF(A565="","",IF(SUMIFS(Estructuras!E:E,Estructuras!B:B,A$2,Estructuras!C:C,A565)&gt;0,SUMIFS(Estructuras!E:E,Estructuras!B:B,A$2,Estructuras!C:C,A565),C565*D565))</f>
        <v/>
      </c>
      <c r="F565" s="36"/>
      <c r="G565" s="36"/>
      <c r="H565" s="36"/>
      <c r="I565" s="36" t="str">
        <f t="shared" si="2"/>
        <v/>
      </c>
      <c r="J565" s="37" t="str">
        <f t="shared" si="3"/>
        <v/>
      </c>
      <c r="K565" s="38" t="str">
        <f>IF(L565="","",SUMIF(Productos!E:E,L565,Productos!A:A))</f>
        <v/>
      </c>
      <c r="M565" s="39"/>
    </row>
    <row r="566">
      <c r="A566" s="2" t="str">
        <f>IF(B566="","",SUMIF(Productos!E:E,B566,Productos!A:A))</f>
        <v/>
      </c>
      <c r="B566" s="40"/>
      <c r="C566" s="26" t="str">
        <f>IF(B566="","",SUMIF(Prearmados!E:E,B566,Prearmados!G:G))</f>
        <v/>
      </c>
      <c r="D566" s="19"/>
      <c r="E566" s="26" t="str">
        <f>IF(A566="","",IF(SUMIFS(Estructuras!E:E,Estructuras!B:B,A$2,Estructuras!C:C,A566)&gt;0,SUMIFS(Estructuras!E:E,Estructuras!B:B,A$2,Estructuras!C:C,A566),C566*D566))</f>
        <v/>
      </c>
      <c r="F566" s="36"/>
      <c r="G566" s="36"/>
      <c r="H566" s="36"/>
      <c r="I566" s="36" t="str">
        <f t="shared" si="2"/>
        <v/>
      </c>
      <c r="J566" s="37" t="str">
        <f t="shared" si="3"/>
        <v/>
      </c>
      <c r="K566" s="38" t="str">
        <f>IF(L566="","",SUMIF(Productos!E:E,L566,Productos!A:A))</f>
        <v/>
      </c>
      <c r="M566" s="39"/>
    </row>
    <row r="567">
      <c r="A567" s="2" t="str">
        <f>IF(B567="","",SUMIF(Productos!E:E,B567,Productos!A:A))</f>
        <v/>
      </c>
      <c r="B567" s="40"/>
      <c r="C567" s="26" t="str">
        <f>IF(B567="","",SUMIF(Prearmados!E:E,B567,Prearmados!G:G))</f>
        <v/>
      </c>
      <c r="D567" s="19"/>
      <c r="E567" s="26" t="str">
        <f>IF(A567="","",IF(SUMIFS(Estructuras!E:E,Estructuras!B:B,A$2,Estructuras!C:C,A567)&gt;0,SUMIFS(Estructuras!E:E,Estructuras!B:B,A$2,Estructuras!C:C,A567),C567*D567))</f>
        <v/>
      </c>
      <c r="F567" s="36"/>
      <c r="G567" s="36"/>
      <c r="H567" s="36"/>
      <c r="I567" s="36" t="str">
        <f t="shared" si="2"/>
        <v/>
      </c>
      <c r="J567" s="37" t="str">
        <f t="shared" si="3"/>
        <v/>
      </c>
      <c r="K567" s="38" t="str">
        <f>IF(L567="","",SUMIF(Productos!E:E,L567,Productos!A:A))</f>
        <v/>
      </c>
      <c r="M567" s="39"/>
    </row>
    <row r="568">
      <c r="A568" s="2" t="str">
        <f>IF(B568="","",SUMIF(Productos!E:E,B568,Productos!A:A))</f>
        <v/>
      </c>
      <c r="B568" s="40"/>
      <c r="C568" s="26" t="str">
        <f>IF(B568="","",SUMIF(Prearmados!E:E,B568,Prearmados!G:G))</f>
        <v/>
      </c>
      <c r="D568" s="19"/>
      <c r="E568" s="26" t="str">
        <f>IF(A568="","",IF(SUMIFS(Estructuras!E:E,Estructuras!B:B,A$2,Estructuras!C:C,A568)&gt;0,SUMIFS(Estructuras!E:E,Estructuras!B:B,A$2,Estructuras!C:C,A568),C568*D568))</f>
        <v/>
      </c>
      <c r="F568" s="36"/>
      <c r="G568" s="36"/>
      <c r="H568" s="36"/>
      <c r="I568" s="36" t="str">
        <f t="shared" si="2"/>
        <v/>
      </c>
      <c r="J568" s="37" t="str">
        <f t="shared" si="3"/>
        <v/>
      </c>
      <c r="K568" s="38" t="str">
        <f>IF(L568="","",SUMIF(Productos!E:E,L568,Productos!A:A))</f>
        <v/>
      </c>
      <c r="M568" s="39"/>
    </row>
    <row r="569">
      <c r="A569" s="2" t="str">
        <f>IF(B569="","",SUMIF(Productos!E:E,B569,Productos!A:A))</f>
        <v/>
      </c>
      <c r="B569" s="40"/>
      <c r="C569" s="26" t="str">
        <f>IF(B569="","",SUMIF(Prearmados!E:E,B569,Prearmados!G:G))</f>
        <v/>
      </c>
      <c r="D569" s="19"/>
      <c r="E569" s="26" t="str">
        <f>IF(A569="","",IF(SUMIFS(Estructuras!E:E,Estructuras!B:B,A$2,Estructuras!C:C,A569)&gt;0,SUMIFS(Estructuras!E:E,Estructuras!B:B,A$2,Estructuras!C:C,A569),C569*D569))</f>
        <v/>
      </c>
      <c r="F569" s="36"/>
      <c r="G569" s="36"/>
      <c r="H569" s="36"/>
      <c r="I569" s="36" t="str">
        <f t="shared" si="2"/>
        <v/>
      </c>
      <c r="J569" s="37" t="str">
        <f t="shared" si="3"/>
        <v/>
      </c>
      <c r="K569" s="38" t="str">
        <f>IF(L569="","",SUMIF(Productos!E:E,L569,Productos!A:A))</f>
        <v/>
      </c>
      <c r="M569" s="39"/>
    </row>
    <row r="570">
      <c r="A570" s="2" t="str">
        <f>IF(B570="","",SUMIF(Productos!E:E,B570,Productos!A:A))</f>
        <v/>
      </c>
      <c r="B570" s="40"/>
      <c r="C570" s="26" t="str">
        <f>IF(B570="","",SUMIF(Prearmados!E:E,B570,Prearmados!G:G))</f>
        <v/>
      </c>
      <c r="D570" s="19"/>
      <c r="E570" s="26" t="str">
        <f>IF(A570="","",IF(SUMIFS(Estructuras!E:E,Estructuras!B:B,A$2,Estructuras!C:C,A570)&gt;0,SUMIFS(Estructuras!E:E,Estructuras!B:B,A$2,Estructuras!C:C,A570),C570*D570))</f>
        <v/>
      </c>
      <c r="F570" s="36"/>
      <c r="G570" s="36"/>
      <c r="H570" s="36"/>
      <c r="I570" s="36" t="str">
        <f t="shared" si="2"/>
        <v/>
      </c>
      <c r="J570" s="37" t="str">
        <f t="shared" si="3"/>
        <v/>
      </c>
      <c r="K570" s="38" t="str">
        <f>IF(L570="","",SUMIF(Productos!E:E,L570,Productos!A:A))</f>
        <v/>
      </c>
      <c r="M570" s="39"/>
    </row>
    <row r="571">
      <c r="A571" s="2" t="str">
        <f>IF(B571="","",SUMIF(Productos!E:E,B571,Productos!A:A))</f>
        <v/>
      </c>
      <c r="B571" s="40"/>
      <c r="C571" s="26" t="str">
        <f>IF(B571="","",SUMIF(Prearmados!E:E,B571,Prearmados!G:G))</f>
        <v/>
      </c>
      <c r="D571" s="19"/>
      <c r="E571" s="26" t="str">
        <f>IF(A571="","",IF(SUMIFS(Estructuras!E:E,Estructuras!B:B,A$2,Estructuras!C:C,A571)&gt;0,SUMIFS(Estructuras!E:E,Estructuras!B:B,A$2,Estructuras!C:C,A571),C571*D571))</f>
        <v/>
      </c>
      <c r="F571" s="36"/>
      <c r="G571" s="36"/>
      <c r="H571" s="36"/>
      <c r="I571" s="36" t="str">
        <f t="shared" si="2"/>
        <v/>
      </c>
      <c r="J571" s="37" t="str">
        <f t="shared" si="3"/>
        <v/>
      </c>
      <c r="K571" s="38" t="str">
        <f>IF(L571="","",SUMIF(Productos!E:E,L571,Productos!A:A))</f>
        <v/>
      </c>
      <c r="M571" s="39"/>
    </row>
    <row r="572">
      <c r="A572" s="2" t="str">
        <f>IF(B572="","",SUMIF(Productos!E:E,B572,Productos!A:A))</f>
        <v/>
      </c>
      <c r="B572" s="40"/>
      <c r="C572" s="26" t="str">
        <f>IF(B572="","",SUMIF(Prearmados!E:E,B572,Prearmados!G:G))</f>
        <v/>
      </c>
      <c r="D572" s="19"/>
      <c r="E572" s="26" t="str">
        <f>IF(A572="","",IF(SUMIFS(Estructuras!E:E,Estructuras!B:B,A$2,Estructuras!C:C,A572)&gt;0,SUMIFS(Estructuras!E:E,Estructuras!B:B,A$2,Estructuras!C:C,A572),C572*D572))</f>
        <v/>
      </c>
      <c r="F572" s="36"/>
      <c r="G572" s="36"/>
      <c r="H572" s="36"/>
      <c r="I572" s="36" t="str">
        <f t="shared" si="2"/>
        <v/>
      </c>
      <c r="J572" s="37" t="str">
        <f t="shared" si="3"/>
        <v/>
      </c>
      <c r="K572" s="38" t="str">
        <f>IF(L572="","",SUMIF(Productos!E:E,L572,Productos!A:A))</f>
        <v/>
      </c>
      <c r="M572" s="39"/>
    </row>
    <row r="573">
      <c r="A573" s="2" t="str">
        <f>IF(B573="","",SUMIF(Productos!E:E,B573,Productos!A:A))</f>
        <v/>
      </c>
      <c r="B573" s="40"/>
      <c r="C573" s="26" t="str">
        <f>IF(B573="","",SUMIF(Prearmados!E:E,B573,Prearmados!G:G))</f>
        <v/>
      </c>
      <c r="D573" s="19"/>
      <c r="E573" s="26" t="str">
        <f>IF(A573="","",IF(SUMIFS(Estructuras!E:E,Estructuras!B:B,A$2,Estructuras!C:C,A573)&gt;0,SUMIFS(Estructuras!E:E,Estructuras!B:B,A$2,Estructuras!C:C,A573),C573*D573))</f>
        <v/>
      </c>
      <c r="F573" s="36"/>
      <c r="G573" s="36"/>
      <c r="H573" s="36"/>
      <c r="I573" s="36" t="str">
        <f t="shared" si="2"/>
        <v/>
      </c>
      <c r="J573" s="37" t="str">
        <f t="shared" si="3"/>
        <v/>
      </c>
      <c r="K573" s="38" t="str">
        <f>IF(L573="","",SUMIF(Productos!E:E,L573,Productos!A:A))</f>
        <v/>
      </c>
      <c r="M573" s="39"/>
    </row>
    <row r="574">
      <c r="A574" s="2" t="str">
        <f>IF(B574="","",SUMIF(Productos!E:E,B574,Productos!A:A))</f>
        <v/>
      </c>
      <c r="B574" s="40"/>
      <c r="C574" s="26" t="str">
        <f>IF(B574="","",SUMIF(Prearmados!E:E,B574,Prearmados!G:G))</f>
        <v/>
      </c>
      <c r="D574" s="19"/>
      <c r="E574" s="26" t="str">
        <f>IF(A574="","",IF(SUMIFS(Estructuras!E:E,Estructuras!B:B,A$2,Estructuras!C:C,A574)&gt;0,SUMIFS(Estructuras!E:E,Estructuras!B:B,A$2,Estructuras!C:C,A574),C574*D574))</f>
        <v/>
      </c>
      <c r="F574" s="36"/>
      <c r="G574" s="36"/>
      <c r="H574" s="36"/>
      <c r="I574" s="36" t="str">
        <f t="shared" si="2"/>
        <v/>
      </c>
      <c r="J574" s="37" t="str">
        <f t="shared" si="3"/>
        <v/>
      </c>
      <c r="K574" s="38" t="str">
        <f>IF(L574="","",SUMIF(Productos!E:E,L574,Productos!A:A))</f>
        <v/>
      </c>
      <c r="M574" s="39"/>
    </row>
    <row r="575">
      <c r="A575" s="2" t="str">
        <f>IF(B575="","",SUMIF(Productos!E:E,B575,Productos!A:A))</f>
        <v/>
      </c>
      <c r="B575" s="40"/>
      <c r="C575" s="26" t="str">
        <f>IF(B575="","",SUMIF(Prearmados!E:E,B575,Prearmados!G:G))</f>
        <v/>
      </c>
      <c r="D575" s="19"/>
      <c r="E575" s="26" t="str">
        <f>IF(A575="","",IF(SUMIFS(Estructuras!E:E,Estructuras!B:B,A$2,Estructuras!C:C,A575)&gt;0,SUMIFS(Estructuras!E:E,Estructuras!B:B,A$2,Estructuras!C:C,A575),C575*D575))</f>
        <v/>
      </c>
      <c r="F575" s="36"/>
      <c r="G575" s="36"/>
      <c r="H575" s="36"/>
      <c r="I575" s="36" t="str">
        <f t="shared" si="2"/>
        <v/>
      </c>
      <c r="J575" s="37" t="str">
        <f t="shared" si="3"/>
        <v/>
      </c>
      <c r="K575" s="38" t="str">
        <f>IF(L575="","",SUMIF(Productos!E:E,L575,Productos!A:A))</f>
        <v/>
      </c>
      <c r="M575" s="39"/>
    </row>
    <row r="576">
      <c r="A576" s="2" t="str">
        <f>IF(B576="","",SUMIF(Productos!E:E,B576,Productos!A:A))</f>
        <v/>
      </c>
      <c r="B576" s="40"/>
      <c r="C576" s="26" t="str">
        <f>IF(B576="","",SUMIF(Prearmados!E:E,B576,Prearmados!G:G))</f>
        <v/>
      </c>
      <c r="D576" s="19"/>
      <c r="E576" s="26" t="str">
        <f>IF(A576="","",IF(SUMIFS(Estructuras!E:E,Estructuras!B:B,A$2,Estructuras!C:C,A576)&gt;0,SUMIFS(Estructuras!E:E,Estructuras!B:B,A$2,Estructuras!C:C,A576),C576*D576))</f>
        <v/>
      </c>
      <c r="F576" s="36"/>
      <c r="G576" s="36"/>
      <c r="H576" s="36"/>
      <c r="I576" s="36" t="str">
        <f t="shared" si="2"/>
        <v/>
      </c>
      <c r="J576" s="37" t="str">
        <f t="shared" si="3"/>
        <v/>
      </c>
      <c r="K576" s="38" t="str">
        <f>IF(L576="","",SUMIF(Productos!E:E,L576,Productos!A:A))</f>
        <v/>
      </c>
      <c r="M576" s="39"/>
    </row>
    <row r="577">
      <c r="A577" s="2" t="str">
        <f>IF(B577="","",SUMIF(Productos!E:E,B577,Productos!A:A))</f>
        <v/>
      </c>
      <c r="B577" s="40"/>
      <c r="C577" s="26" t="str">
        <f>IF(B577="","",SUMIF(Prearmados!E:E,B577,Prearmados!G:G))</f>
        <v/>
      </c>
      <c r="D577" s="19"/>
      <c r="E577" s="26" t="str">
        <f>IF(A577="","",IF(SUMIFS(Estructuras!E:E,Estructuras!B:B,A$2,Estructuras!C:C,A577)&gt;0,SUMIFS(Estructuras!E:E,Estructuras!B:B,A$2,Estructuras!C:C,A577),C577*D577))</f>
        <v/>
      </c>
      <c r="F577" s="36"/>
      <c r="G577" s="36"/>
      <c r="H577" s="36"/>
      <c r="I577" s="36" t="str">
        <f t="shared" si="2"/>
        <v/>
      </c>
      <c r="J577" s="37" t="str">
        <f t="shared" si="3"/>
        <v/>
      </c>
      <c r="K577" s="38" t="str">
        <f>IF(L577="","",SUMIF(Productos!E:E,L577,Productos!A:A))</f>
        <v/>
      </c>
      <c r="M577" s="39"/>
    </row>
    <row r="578">
      <c r="A578" s="2" t="str">
        <f>IF(B578="","",SUMIF(Productos!E:E,B578,Productos!A:A))</f>
        <v/>
      </c>
      <c r="B578" s="40"/>
      <c r="C578" s="26" t="str">
        <f>IF(B578="","",SUMIF(Prearmados!E:E,B578,Prearmados!G:G))</f>
        <v/>
      </c>
      <c r="D578" s="19"/>
      <c r="E578" s="26" t="str">
        <f>IF(A578="","",IF(SUMIFS(Estructuras!E:E,Estructuras!B:B,A$2,Estructuras!C:C,A578)&gt;0,SUMIFS(Estructuras!E:E,Estructuras!B:B,A$2,Estructuras!C:C,A578),C578*D578))</f>
        <v/>
      </c>
      <c r="F578" s="36"/>
      <c r="G578" s="36"/>
      <c r="H578" s="36"/>
      <c r="I578" s="36" t="str">
        <f t="shared" si="2"/>
        <v/>
      </c>
      <c r="J578" s="37" t="str">
        <f t="shared" si="3"/>
        <v/>
      </c>
      <c r="K578" s="38" t="str">
        <f>IF(L578="","",SUMIF(Productos!E:E,L578,Productos!A:A))</f>
        <v/>
      </c>
      <c r="M578" s="39"/>
    </row>
    <row r="579">
      <c r="A579" s="2" t="str">
        <f>IF(B579="","",SUMIF(Productos!E:E,B579,Productos!A:A))</f>
        <v/>
      </c>
      <c r="B579" s="40"/>
      <c r="C579" s="26" t="str">
        <f>IF(B579="","",SUMIF(Prearmados!E:E,B579,Prearmados!G:G))</f>
        <v/>
      </c>
      <c r="D579" s="19"/>
      <c r="E579" s="26" t="str">
        <f>IF(A579="","",IF(SUMIFS(Estructuras!E:E,Estructuras!B:B,A$2,Estructuras!C:C,A579)&gt;0,SUMIFS(Estructuras!E:E,Estructuras!B:B,A$2,Estructuras!C:C,A579),C579*D579))</f>
        <v/>
      </c>
      <c r="F579" s="36"/>
      <c r="G579" s="36"/>
      <c r="H579" s="36"/>
      <c r="I579" s="36" t="str">
        <f t="shared" si="2"/>
        <v/>
      </c>
      <c r="J579" s="37" t="str">
        <f t="shared" si="3"/>
        <v/>
      </c>
      <c r="K579" s="38" t="str">
        <f>IF(L579="","",SUMIF(Productos!E:E,L579,Productos!A:A))</f>
        <v/>
      </c>
      <c r="M579" s="39"/>
    </row>
    <row r="580">
      <c r="A580" s="2" t="str">
        <f>IF(B580="","",SUMIF(Productos!E:E,B580,Productos!A:A))</f>
        <v/>
      </c>
      <c r="B580" s="40"/>
      <c r="C580" s="26" t="str">
        <f>IF(B580="","",SUMIF(Prearmados!E:E,B580,Prearmados!G:G))</f>
        <v/>
      </c>
      <c r="D580" s="19"/>
      <c r="E580" s="26" t="str">
        <f>IF(A580="","",IF(SUMIFS(Estructuras!E:E,Estructuras!B:B,A$2,Estructuras!C:C,A580)&gt;0,SUMIFS(Estructuras!E:E,Estructuras!B:B,A$2,Estructuras!C:C,A580),C580*D580))</f>
        <v/>
      </c>
      <c r="F580" s="36"/>
      <c r="G580" s="36"/>
      <c r="H580" s="36"/>
      <c r="I580" s="36" t="str">
        <f t="shared" si="2"/>
        <v/>
      </c>
      <c r="J580" s="37" t="str">
        <f t="shared" si="3"/>
        <v/>
      </c>
      <c r="K580" s="38" t="str">
        <f>IF(L580="","",SUMIF(Productos!E:E,L580,Productos!A:A))</f>
        <v/>
      </c>
      <c r="M580" s="39"/>
    </row>
    <row r="581">
      <c r="A581" s="2" t="str">
        <f>IF(B581="","",SUMIF(Productos!E:E,B581,Productos!A:A))</f>
        <v/>
      </c>
      <c r="B581" s="40"/>
      <c r="C581" s="26" t="str">
        <f>IF(B581="","",SUMIF(Prearmados!E:E,B581,Prearmados!G:G))</f>
        <v/>
      </c>
      <c r="D581" s="19"/>
      <c r="E581" s="26" t="str">
        <f>IF(A581="","",IF(SUMIFS(Estructuras!E:E,Estructuras!B:B,A$2,Estructuras!C:C,A581)&gt;0,SUMIFS(Estructuras!E:E,Estructuras!B:B,A$2,Estructuras!C:C,A581),C581*D581))</f>
        <v/>
      </c>
      <c r="F581" s="36"/>
      <c r="G581" s="36"/>
      <c r="H581" s="36"/>
      <c r="I581" s="36" t="str">
        <f t="shared" si="2"/>
        <v/>
      </c>
      <c r="J581" s="37" t="str">
        <f t="shared" si="3"/>
        <v/>
      </c>
      <c r="K581" s="38" t="str">
        <f>IF(L581="","",SUMIF(Productos!E:E,L581,Productos!A:A))</f>
        <v/>
      </c>
      <c r="M581" s="39"/>
    </row>
    <row r="582">
      <c r="A582" s="2" t="str">
        <f>IF(B582="","",SUMIF(Productos!E:E,B582,Productos!A:A))</f>
        <v/>
      </c>
      <c r="B582" s="40"/>
      <c r="C582" s="26" t="str">
        <f>IF(B582="","",SUMIF(Prearmados!E:E,B582,Prearmados!G:G))</f>
        <v/>
      </c>
      <c r="D582" s="19"/>
      <c r="E582" s="26" t="str">
        <f>IF(A582="","",IF(SUMIFS(Estructuras!E:E,Estructuras!B:B,A$2,Estructuras!C:C,A582)&gt;0,SUMIFS(Estructuras!E:E,Estructuras!B:B,A$2,Estructuras!C:C,A582),C582*D582))</f>
        <v/>
      </c>
      <c r="F582" s="36"/>
      <c r="G582" s="36"/>
      <c r="H582" s="36"/>
      <c r="I582" s="36" t="str">
        <f t="shared" si="2"/>
        <v/>
      </c>
      <c r="J582" s="37" t="str">
        <f t="shared" si="3"/>
        <v/>
      </c>
      <c r="K582" s="38" t="str">
        <f>IF(L582="","",SUMIF(Productos!E:E,L582,Productos!A:A))</f>
        <v/>
      </c>
      <c r="M582" s="39"/>
    </row>
    <row r="583">
      <c r="A583" s="2" t="str">
        <f>IF(B583="","",SUMIF(Productos!E:E,B583,Productos!A:A))</f>
        <v/>
      </c>
      <c r="B583" s="40"/>
      <c r="C583" s="26" t="str">
        <f>IF(B583="","",SUMIF(Prearmados!E:E,B583,Prearmados!G:G))</f>
        <v/>
      </c>
      <c r="D583" s="19"/>
      <c r="E583" s="26" t="str">
        <f>IF(A583="","",IF(SUMIFS(Estructuras!E:E,Estructuras!B:B,A$2,Estructuras!C:C,A583)&gt;0,SUMIFS(Estructuras!E:E,Estructuras!B:B,A$2,Estructuras!C:C,A583),C583*D583))</f>
        <v/>
      </c>
      <c r="F583" s="36"/>
      <c r="G583" s="36"/>
      <c r="H583" s="36"/>
      <c r="I583" s="36" t="str">
        <f t="shared" si="2"/>
        <v/>
      </c>
      <c r="J583" s="37" t="str">
        <f t="shared" si="3"/>
        <v/>
      </c>
      <c r="K583" s="38" t="str">
        <f>IF(L583="","",SUMIF(Productos!E:E,L583,Productos!A:A))</f>
        <v/>
      </c>
      <c r="M583" s="39"/>
    </row>
    <row r="584">
      <c r="A584" s="2" t="str">
        <f>IF(B584="","",SUMIF(Productos!E:E,B584,Productos!A:A))</f>
        <v/>
      </c>
      <c r="B584" s="40"/>
      <c r="C584" s="26" t="str">
        <f>IF(B584="","",SUMIF(Prearmados!E:E,B584,Prearmados!G:G))</f>
        <v/>
      </c>
      <c r="D584" s="19"/>
      <c r="E584" s="26" t="str">
        <f>IF(A584="","",IF(SUMIFS(Estructuras!E:E,Estructuras!B:B,A$2,Estructuras!C:C,A584)&gt;0,SUMIFS(Estructuras!E:E,Estructuras!B:B,A$2,Estructuras!C:C,A584),C584*D584))</f>
        <v/>
      </c>
      <c r="F584" s="36"/>
      <c r="G584" s="36"/>
      <c r="H584" s="36"/>
      <c r="I584" s="36" t="str">
        <f t="shared" si="2"/>
        <v/>
      </c>
      <c r="J584" s="37" t="str">
        <f t="shared" si="3"/>
        <v/>
      </c>
      <c r="K584" s="38" t="str">
        <f>IF(L584="","",SUMIF(Productos!E:E,L584,Productos!A:A))</f>
        <v/>
      </c>
      <c r="M584" s="39"/>
    </row>
    <row r="585">
      <c r="A585" s="2" t="str">
        <f>IF(B585="","",SUMIF(Productos!E:E,B585,Productos!A:A))</f>
        <v/>
      </c>
      <c r="B585" s="40"/>
      <c r="C585" s="26" t="str">
        <f>IF(B585="","",SUMIF(Prearmados!E:E,B585,Prearmados!G:G))</f>
        <v/>
      </c>
      <c r="D585" s="19"/>
      <c r="E585" s="26" t="str">
        <f>IF(A585="","",IF(SUMIFS(Estructuras!E:E,Estructuras!B:B,A$2,Estructuras!C:C,A585)&gt;0,SUMIFS(Estructuras!E:E,Estructuras!B:B,A$2,Estructuras!C:C,A585),C585*D585))</f>
        <v/>
      </c>
      <c r="F585" s="36"/>
      <c r="G585" s="36"/>
      <c r="H585" s="36"/>
      <c r="I585" s="36" t="str">
        <f t="shared" si="2"/>
        <v/>
      </c>
      <c r="J585" s="37" t="str">
        <f t="shared" si="3"/>
        <v/>
      </c>
      <c r="K585" s="38" t="str">
        <f>IF(L585="","",SUMIF(Productos!E:E,L585,Productos!A:A))</f>
        <v/>
      </c>
      <c r="M585" s="39"/>
    </row>
    <row r="586">
      <c r="A586" s="2" t="str">
        <f>IF(B586="","",SUMIF(Productos!E:E,B586,Productos!A:A))</f>
        <v/>
      </c>
      <c r="B586" s="40"/>
      <c r="C586" s="26" t="str">
        <f>IF(B586="","",SUMIF(Prearmados!E:E,B586,Prearmados!G:G))</f>
        <v/>
      </c>
      <c r="D586" s="19"/>
      <c r="E586" s="26" t="str">
        <f>IF(A586="","",IF(SUMIFS(Estructuras!E:E,Estructuras!B:B,A$2,Estructuras!C:C,A586)&gt;0,SUMIFS(Estructuras!E:E,Estructuras!B:B,A$2,Estructuras!C:C,A586),C586*D586))</f>
        <v/>
      </c>
      <c r="F586" s="36"/>
      <c r="G586" s="36"/>
      <c r="H586" s="36"/>
      <c r="I586" s="36" t="str">
        <f t="shared" si="2"/>
        <v/>
      </c>
      <c r="J586" s="37" t="str">
        <f t="shared" si="3"/>
        <v/>
      </c>
      <c r="K586" s="38" t="str">
        <f>IF(L586="","",SUMIF(Productos!E:E,L586,Productos!A:A))</f>
        <v/>
      </c>
      <c r="M586" s="39"/>
    </row>
    <row r="587">
      <c r="A587" s="2" t="str">
        <f>IF(B587="","",SUMIF(Productos!E:E,B587,Productos!A:A))</f>
        <v/>
      </c>
      <c r="B587" s="40"/>
      <c r="C587" s="26" t="str">
        <f>IF(B587="","",SUMIF(Prearmados!E:E,B587,Prearmados!G:G))</f>
        <v/>
      </c>
      <c r="D587" s="19"/>
      <c r="E587" s="26" t="str">
        <f>IF(A587="","",IF(SUMIFS(Estructuras!E:E,Estructuras!B:B,A$2,Estructuras!C:C,A587)&gt;0,SUMIFS(Estructuras!E:E,Estructuras!B:B,A$2,Estructuras!C:C,A587),C587*D587))</f>
        <v/>
      </c>
      <c r="F587" s="36"/>
      <c r="G587" s="36"/>
      <c r="H587" s="36"/>
      <c r="I587" s="36" t="str">
        <f t="shared" si="2"/>
        <v/>
      </c>
      <c r="J587" s="37" t="str">
        <f t="shared" si="3"/>
        <v/>
      </c>
      <c r="K587" s="38" t="str">
        <f>IF(L587="","",SUMIF(Productos!E:E,L587,Productos!A:A))</f>
        <v/>
      </c>
      <c r="M587" s="39"/>
    </row>
    <row r="588">
      <c r="A588" s="2" t="str">
        <f>IF(B588="","",SUMIF(Productos!E:E,B588,Productos!A:A))</f>
        <v/>
      </c>
      <c r="B588" s="40"/>
      <c r="C588" s="26" t="str">
        <f>IF(B588="","",SUMIF(Prearmados!E:E,B588,Prearmados!G:G))</f>
        <v/>
      </c>
      <c r="D588" s="19"/>
      <c r="E588" s="26" t="str">
        <f>IF(A588="","",IF(SUMIFS(Estructuras!E:E,Estructuras!B:B,A$2,Estructuras!C:C,A588)&gt;0,SUMIFS(Estructuras!E:E,Estructuras!B:B,A$2,Estructuras!C:C,A588),C588*D588))</f>
        <v/>
      </c>
      <c r="F588" s="36"/>
      <c r="G588" s="36"/>
      <c r="H588" s="36"/>
      <c r="I588" s="36" t="str">
        <f t="shared" si="2"/>
        <v/>
      </c>
      <c r="J588" s="37" t="str">
        <f t="shared" si="3"/>
        <v/>
      </c>
      <c r="K588" s="38" t="str">
        <f>IF(L588="","",SUMIF(Productos!E:E,L588,Productos!A:A))</f>
        <v/>
      </c>
      <c r="M588" s="39"/>
    </row>
    <row r="589">
      <c r="A589" s="2" t="str">
        <f>IF(B589="","",SUMIF(Productos!E:E,B589,Productos!A:A))</f>
        <v/>
      </c>
      <c r="B589" s="40"/>
      <c r="C589" s="26" t="str">
        <f>IF(B589="","",SUMIF(Prearmados!E:E,B589,Prearmados!G:G))</f>
        <v/>
      </c>
      <c r="D589" s="19"/>
      <c r="E589" s="26" t="str">
        <f>IF(A589="","",IF(SUMIFS(Estructuras!E:E,Estructuras!B:B,A$2,Estructuras!C:C,A589)&gt;0,SUMIFS(Estructuras!E:E,Estructuras!B:B,A$2,Estructuras!C:C,A589),C589*D589))</f>
        <v/>
      </c>
      <c r="F589" s="36"/>
      <c r="G589" s="36"/>
      <c r="H589" s="36"/>
      <c r="I589" s="36" t="str">
        <f t="shared" si="2"/>
        <v/>
      </c>
      <c r="J589" s="37" t="str">
        <f t="shared" si="3"/>
        <v/>
      </c>
      <c r="K589" s="38" t="str">
        <f>IF(L589="","",SUMIF(Productos!E:E,L589,Productos!A:A))</f>
        <v/>
      </c>
      <c r="M589" s="39"/>
    </row>
    <row r="590">
      <c r="A590" s="2" t="str">
        <f>IF(B590="","",SUMIF(Productos!E:E,B590,Productos!A:A))</f>
        <v/>
      </c>
      <c r="B590" s="40"/>
      <c r="C590" s="26" t="str">
        <f>IF(B590="","",SUMIF(Prearmados!E:E,B590,Prearmados!G:G))</f>
        <v/>
      </c>
      <c r="D590" s="19"/>
      <c r="E590" s="26" t="str">
        <f>IF(A590="","",IF(SUMIFS(Estructuras!E:E,Estructuras!B:B,A$2,Estructuras!C:C,A590)&gt;0,SUMIFS(Estructuras!E:E,Estructuras!B:B,A$2,Estructuras!C:C,A590),C590*D590))</f>
        <v/>
      </c>
      <c r="F590" s="36"/>
      <c r="G590" s="36"/>
      <c r="H590" s="36"/>
      <c r="I590" s="36" t="str">
        <f t="shared" si="2"/>
        <v/>
      </c>
      <c r="J590" s="37" t="str">
        <f t="shared" si="3"/>
        <v/>
      </c>
      <c r="K590" s="38" t="str">
        <f>IF(L590="","",SUMIF(Productos!E:E,L590,Productos!A:A))</f>
        <v/>
      </c>
      <c r="M590" s="39"/>
    </row>
    <row r="591">
      <c r="A591" s="2" t="str">
        <f>IF(B591="","",SUMIF(Productos!E:E,B591,Productos!A:A))</f>
        <v/>
      </c>
      <c r="B591" s="40"/>
      <c r="C591" s="26" t="str">
        <f>IF(B591="","",SUMIF(Prearmados!E:E,B591,Prearmados!G:G))</f>
        <v/>
      </c>
      <c r="D591" s="19"/>
      <c r="E591" s="26" t="str">
        <f>IF(A591="","",IF(SUMIFS(Estructuras!E:E,Estructuras!B:B,A$2,Estructuras!C:C,A591)&gt;0,SUMIFS(Estructuras!E:E,Estructuras!B:B,A$2,Estructuras!C:C,A591),C591*D591))</f>
        <v/>
      </c>
      <c r="F591" s="36"/>
      <c r="G591" s="36"/>
      <c r="H591" s="36"/>
      <c r="I591" s="36" t="str">
        <f t="shared" si="2"/>
        <v/>
      </c>
      <c r="J591" s="37" t="str">
        <f t="shared" si="3"/>
        <v/>
      </c>
      <c r="K591" s="38" t="str">
        <f>IF(L591="","",SUMIF(Productos!E:E,L591,Productos!A:A))</f>
        <v/>
      </c>
      <c r="M591" s="39"/>
    </row>
    <row r="592">
      <c r="A592" s="2" t="str">
        <f>IF(B592="","",SUMIF(Productos!E:E,B592,Productos!A:A))</f>
        <v/>
      </c>
      <c r="B592" s="40"/>
      <c r="C592" s="26" t="str">
        <f>IF(B592="","",SUMIF(Prearmados!E:E,B592,Prearmados!G:G))</f>
        <v/>
      </c>
      <c r="D592" s="19"/>
      <c r="E592" s="26" t="str">
        <f>IF(A592="","",IF(SUMIFS(Estructuras!E:E,Estructuras!B:B,A$2,Estructuras!C:C,A592)&gt;0,SUMIFS(Estructuras!E:E,Estructuras!B:B,A$2,Estructuras!C:C,A592),C592*D592))</f>
        <v/>
      </c>
      <c r="F592" s="36"/>
      <c r="G592" s="36"/>
      <c r="H592" s="36"/>
      <c r="I592" s="36" t="str">
        <f t="shared" si="2"/>
        <v/>
      </c>
      <c r="J592" s="37" t="str">
        <f t="shared" si="3"/>
        <v/>
      </c>
      <c r="K592" s="38" t="str">
        <f>IF(L592="","",SUMIF(Productos!E:E,L592,Productos!A:A))</f>
        <v/>
      </c>
      <c r="M592" s="39"/>
    </row>
    <row r="593">
      <c r="A593" s="2" t="str">
        <f>IF(B593="","",SUMIF(Productos!E:E,B593,Productos!A:A))</f>
        <v/>
      </c>
      <c r="B593" s="40"/>
      <c r="C593" s="26" t="str">
        <f>IF(B593="","",SUMIF(Prearmados!E:E,B593,Prearmados!G:G))</f>
        <v/>
      </c>
      <c r="D593" s="19"/>
      <c r="E593" s="26" t="str">
        <f>IF(A593="","",IF(SUMIFS(Estructuras!E:E,Estructuras!B:B,A$2,Estructuras!C:C,A593)&gt;0,SUMIFS(Estructuras!E:E,Estructuras!B:B,A$2,Estructuras!C:C,A593),C593*D593))</f>
        <v/>
      </c>
      <c r="F593" s="36"/>
      <c r="G593" s="36"/>
      <c r="H593" s="36"/>
      <c r="I593" s="36" t="str">
        <f t="shared" si="2"/>
        <v/>
      </c>
      <c r="J593" s="37" t="str">
        <f t="shared" si="3"/>
        <v/>
      </c>
      <c r="K593" s="38" t="str">
        <f>IF(L593="","",SUMIF(Productos!E:E,L593,Productos!A:A))</f>
        <v/>
      </c>
      <c r="M593" s="39"/>
    </row>
    <row r="594">
      <c r="A594" s="2" t="str">
        <f>IF(B594="","",SUMIF(Productos!E:E,B594,Productos!A:A))</f>
        <v/>
      </c>
      <c r="B594" s="40"/>
      <c r="C594" s="26" t="str">
        <f>IF(B594="","",SUMIF(Prearmados!E:E,B594,Prearmados!G:G))</f>
        <v/>
      </c>
      <c r="D594" s="19"/>
      <c r="E594" s="26" t="str">
        <f>IF(A594="","",IF(SUMIFS(Estructuras!E:E,Estructuras!B:B,A$2,Estructuras!C:C,A594)&gt;0,SUMIFS(Estructuras!E:E,Estructuras!B:B,A$2,Estructuras!C:C,A594),C594*D594))</f>
        <v/>
      </c>
      <c r="F594" s="36"/>
      <c r="G594" s="36"/>
      <c r="H594" s="36"/>
      <c r="I594" s="36" t="str">
        <f t="shared" si="2"/>
        <v/>
      </c>
      <c r="J594" s="37" t="str">
        <f t="shared" si="3"/>
        <v/>
      </c>
      <c r="K594" s="38" t="str">
        <f>IF(L594="","",SUMIF(Productos!E:E,L594,Productos!A:A))</f>
        <v/>
      </c>
      <c r="M594" s="39"/>
    </row>
    <row r="595">
      <c r="A595" s="2" t="str">
        <f>IF(B595="","",SUMIF(Productos!E:E,B595,Productos!A:A))</f>
        <v/>
      </c>
      <c r="B595" s="40"/>
      <c r="C595" s="26" t="str">
        <f>IF(B595="","",SUMIF(Prearmados!E:E,B595,Prearmados!G:G))</f>
        <v/>
      </c>
      <c r="D595" s="19"/>
      <c r="E595" s="26" t="str">
        <f>IF(A595="","",IF(SUMIFS(Estructuras!E:E,Estructuras!B:B,A$2,Estructuras!C:C,A595)&gt;0,SUMIFS(Estructuras!E:E,Estructuras!B:B,A$2,Estructuras!C:C,A595),C595*D595))</f>
        <v/>
      </c>
      <c r="F595" s="36"/>
      <c r="G595" s="36"/>
      <c r="H595" s="36"/>
      <c r="I595" s="36" t="str">
        <f t="shared" si="2"/>
        <v/>
      </c>
      <c r="J595" s="37" t="str">
        <f t="shared" si="3"/>
        <v/>
      </c>
      <c r="K595" s="38" t="str">
        <f>IF(L595="","",SUMIF(Productos!E:E,L595,Productos!A:A))</f>
        <v/>
      </c>
      <c r="M595" s="39"/>
    </row>
    <row r="596">
      <c r="A596" s="2" t="str">
        <f>IF(B596="","",SUMIF(Productos!E:E,B596,Productos!A:A))</f>
        <v/>
      </c>
      <c r="B596" s="40"/>
      <c r="C596" s="26" t="str">
        <f>IF(B596="","",SUMIF(Prearmados!E:E,B596,Prearmados!G:G))</f>
        <v/>
      </c>
      <c r="D596" s="19"/>
      <c r="E596" s="26" t="str">
        <f>IF(A596="","",IF(SUMIFS(Estructuras!E:E,Estructuras!B:B,A$2,Estructuras!C:C,A596)&gt;0,SUMIFS(Estructuras!E:E,Estructuras!B:B,A$2,Estructuras!C:C,A596),C596*D596))</f>
        <v/>
      </c>
      <c r="F596" s="36"/>
      <c r="G596" s="36"/>
      <c r="H596" s="36"/>
      <c r="I596" s="36" t="str">
        <f t="shared" si="2"/>
        <v/>
      </c>
      <c r="J596" s="37" t="str">
        <f t="shared" si="3"/>
        <v/>
      </c>
      <c r="K596" s="38" t="str">
        <f>IF(L596="","",SUMIF(Productos!E:E,L596,Productos!A:A))</f>
        <v/>
      </c>
      <c r="M596" s="39"/>
    </row>
    <row r="597">
      <c r="A597" s="2" t="str">
        <f>IF(B597="","",SUMIF(Productos!E:E,B597,Productos!A:A))</f>
        <v/>
      </c>
      <c r="B597" s="40"/>
      <c r="C597" s="26" t="str">
        <f>IF(B597="","",SUMIF(Prearmados!E:E,B597,Prearmados!G:G))</f>
        <v/>
      </c>
      <c r="D597" s="19"/>
      <c r="E597" s="26" t="str">
        <f>IF(A597="","",IF(SUMIFS(Estructuras!E:E,Estructuras!B:B,A$2,Estructuras!C:C,A597)&gt;0,SUMIFS(Estructuras!E:E,Estructuras!B:B,A$2,Estructuras!C:C,A597),C597*D597))</f>
        <v/>
      </c>
      <c r="F597" s="36"/>
      <c r="G597" s="36"/>
      <c r="H597" s="36"/>
      <c r="I597" s="36" t="str">
        <f t="shared" si="2"/>
        <v/>
      </c>
      <c r="J597" s="37" t="str">
        <f t="shared" si="3"/>
        <v/>
      </c>
      <c r="K597" s="38" t="str">
        <f>IF(L597="","",SUMIF(Productos!E:E,L597,Productos!A:A))</f>
        <v/>
      </c>
      <c r="M597" s="39"/>
    </row>
    <row r="598">
      <c r="A598" s="2" t="str">
        <f>IF(B598="","",SUMIF(Productos!E:E,B598,Productos!A:A))</f>
        <v/>
      </c>
      <c r="B598" s="40"/>
      <c r="C598" s="26" t="str">
        <f>IF(B598="","",SUMIF(Prearmados!E:E,B598,Prearmados!G:G))</f>
        <v/>
      </c>
      <c r="D598" s="19"/>
      <c r="E598" s="26" t="str">
        <f>IF(A598="","",IF(SUMIFS(Estructuras!E:E,Estructuras!B:B,A$2,Estructuras!C:C,A598)&gt;0,SUMIFS(Estructuras!E:E,Estructuras!B:B,A$2,Estructuras!C:C,A598),C598*D598))</f>
        <v/>
      </c>
      <c r="F598" s="36"/>
      <c r="G598" s="36"/>
      <c r="H598" s="36"/>
      <c r="I598" s="36" t="str">
        <f t="shared" si="2"/>
        <v/>
      </c>
      <c r="J598" s="37" t="str">
        <f t="shared" si="3"/>
        <v/>
      </c>
      <c r="K598" s="38" t="str">
        <f>IF(L598="","",SUMIF(Productos!E:E,L598,Productos!A:A))</f>
        <v/>
      </c>
      <c r="M598" s="39"/>
    </row>
    <row r="599">
      <c r="A599" s="2" t="str">
        <f>IF(B599="","",SUMIF(Productos!E:E,B599,Productos!A:A))</f>
        <v/>
      </c>
      <c r="B599" s="40"/>
      <c r="C599" s="26" t="str">
        <f>IF(B599="","",SUMIF(Prearmados!E:E,B599,Prearmados!G:G))</f>
        <v/>
      </c>
      <c r="D599" s="19"/>
      <c r="E599" s="26" t="str">
        <f>IF(A599="","",IF(SUMIFS(Estructuras!E:E,Estructuras!B:B,A$2,Estructuras!C:C,A599)&gt;0,SUMIFS(Estructuras!E:E,Estructuras!B:B,A$2,Estructuras!C:C,A599),C599*D599))</f>
        <v/>
      </c>
      <c r="F599" s="36"/>
      <c r="G599" s="36"/>
      <c r="H599" s="36"/>
      <c r="I599" s="36" t="str">
        <f t="shared" si="2"/>
        <v/>
      </c>
      <c r="J599" s="37" t="str">
        <f t="shared" si="3"/>
        <v/>
      </c>
      <c r="K599" s="38" t="str">
        <f>IF(L599="","",SUMIF(Productos!E:E,L599,Productos!A:A))</f>
        <v/>
      </c>
      <c r="M599" s="39"/>
    </row>
    <row r="600">
      <c r="A600" s="2" t="str">
        <f>IF(B600="","",SUMIF(Productos!E:E,B600,Productos!A:A))</f>
        <v/>
      </c>
      <c r="B600" s="40"/>
      <c r="C600" s="26" t="str">
        <f>IF(B600="","",SUMIF(Prearmados!E:E,B600,Prearmados!G:G))</f>
        <v/>
      </c>
      <c r="D600" s="19"/>
      <c r="E600" s="26" t="str">
        <f>IF(A600="","",IF(SUMIFS(Estructuras!E:E,Estructuras!B:B,A$2,Estructuras!C:C,A600)&gt;0,SUMIFS(Estructuras!E:E,Estructuras!B:B,A$2,Estructuras!C:C,A600),C600*D600))</f>
        <v/>
      </c>
      <c r="F600" s="36"/>
      <c r="G600" s="36"/>
      <c r="H600" s="36"/>
      <c r="I600" s="36" t="str">
        <f t="shared" si="2"/>
        <v/>
      </c>
      <c r="J600" s="37" t="str">
        <f t="shared" si="3"/>
        <v/>
      </c>
      <c r="K600" s="38" t="str">
        <f>IF(L600="","",SUMIF(Productos!E:E,L600,Productos!A:A))</f>
        <v/>
      </c>
      <c r="M600" s="39"/>
    </row>
    <row r="601">
      <c r="A601" s="2" t="str">
        <f>IF(B601="","",SUMIF(Productos!E:E,B601,Productos!A:A))</f>
        <v/>
      </c>
      <c r="B601" s="40"/>
      <c r="C601" s="26" t="str">
        <f>IF(B601="","",SUMIF(Prearmados!E:E,B601,Prearmados!G:G))</f>
        <v/>
      </c>
      <c r="D601" s="19"/>
      <c r="E601" s="26" t="str">
        <f>IF(A601="","",IF(SUMIFS(Estructuras!E:E,Estructuras!B:B,A$2,Estructuras!C:C,A601)&gt;0,SUMIFS(Estructuras!E:E,Estructuras!B:B,A$2,Estructuras!C:C,A601),C601*D601))</f>
        <v/>
      </c>
      <c r="F601" s="36"/>
      <c r="G601" s="36"/>
      <c r="H601" s="36"/>
      <c r="I601" s="36" t="str">
        <f t="shared" si="2"/>
        <v/>
      </c>
      <c r="J601" s="37" t="str">
        <f t="shared" si="3"/>
        <v/>
      </c>
      <c r="K601" s="38" t="str">
        <f>IF(L601="","",SUMIF(Productos!E:E,L601,Productos!A:A))</f>
        <v/>
      </c>
      <c r="M601" s="39"/>
    </row>
    <row r="602">
      <c r="A602" s="2" t="str">
        <f>IF(B602="","",SUMIF(Productos!E:E,B602,Productos!A:A))</f>
        <v/>
      </c>
      <c r="B602" s="40"/>
      <c r="C602" s="26" t="str">
        <f>IF(B602="","",SUMIF(Prearmados!E:E,B602,Prearmados!G:G))</f>
        <v/>
      </c>
      <c r="D602" s="19"/>
      <c r="E602" s="26" t="str">
        <f>IF(A602="","",IF(SUMIFS(Estructuras!E:E,Estructuras!B:B,A$2,Estructuras!C:C,A602)&gt;0,SUMIFS(Estructuras!E:E,Estructuras!B:B,A$2,Estructuras!C:C,A602),C602*D602))</f>
        <v/>
      </c>
      <c r="F602" s="36"/>
      <c r="G602" s="36"/>
      <c r="H602" s="36"/>
      <c r="I602" s="36" t="str">
        <f t="shared" si="2"/>
        <v/>
      </c>
      <c r="J602" s="37" t="str">
        <f t="shared" si="3"/>
        <v/>
      </c>
      <c r="K602" s="38" t="str">
        <f>IF(L602="","",SUMIF(Productos!E:E,L602,Productos!A:A))</f>
        <v/>
      </c>
      <c r="M602" s="39"/>
    </row>
    <row r="603">
      <c r="A603" s="2" t="str">
        <f>IF(B603="","",SUMIF(Productos!E:E,B603,Productos!A:A))</f>
        <v/>
      </c>
      <c r="B603" s="40"/>
      <c r="C603" s="26" t="str">
        <f>IF(B603="","",SUMIF(Prearmados!E:E,B603,Prearmados!G:G))</f>
        <v/>
      </c>
      <c r="D603" s="19"/>
      <c r="E603" s="26" t="str">
        <f>IF(A603="","",IF(SUMIFS(Estructuras!E:E,Estructuras!B:B,A$2,Estructuras!C:C,A603)&gt;0,SUMIFS(Estructuras!E:E,Estructuras!B:B,A$2,Estructuras!C:C,A603),C603*D603))</f>
        <v/>
      </c>
      <c r="F603" s="36"/>
      <c r="G603" s="36"/>
      <c r="H603" s="36"/>
      <c r="I603" s="36" t="str">
        <f t="shared" si="2"/>
        <v/>
      </c>
      <c r="J603" s="37" t="str">
        <f t="shared" si="3"/>
        <v/>
      </c>
      <c r="K603" s="38" t="str">
        <f>IF(L603="","",SUMIF(Productos!E:E,L603,Productos!A:A))</f>
        <v/>
      </c>
      <c r="M603" s="39"/>
    </row>
    <row r="604">
      <c r="A604" s="2" t="str">
        <f>IF(B604="","",SUMIF(Productos!E:E,B604,Productos!A:A))</f>
        <v/>
      </c>
      <c r="B604" s="40"/>
      <c r="C604" s="26" t="str">
        <f>IF(B604="","",SUMIF(Prearmados!E:E,B604,Prearmados!G:G))</f>
        <v/>
      </c>
      <c r="D604" s="19"/>
      <c r="E604" s="26" t="str">
        <f>IF(A604="","",IF(SUMIFS(Estructuras!E:E,Estructuras!B:B,A$2,Estructuras!C:C,A604)&gt;0,SUMIFS(Estructuras!E:E,Estructuras!B:B,A$2,Estructuras!C:C,A604),C604*D604))</f>
        <v/>
      </c>
      <c r="F604" s="36"/>
      <c r="G604" s="36"/>
      <c r="H604" s="36"/>
      <c r="I604" s="36" t="str">
        <f t="shared" si="2"/>
        <v/>
      </c>
      <c r="J604" s="37" t="str">
        <f t="shared" si="3"/>
        <v/>
      </c>
      <c r="K604" s="38" t="str">
        <f>IF(L604="","",SUMIF(Productos!E:E,L604,Productos!A:A))</f>
        <v/>
      </c>
      <c r="M604" s="39"/>
    </row>
    <row r="605">
      <c r="A605" s="2" t="str">
        <f>IF(B605="","",SUMIF(Productos!E:E,B605,Productos!A:A))</f>
        <v/>
      </c>
      <c r="B605" s="40"/>
      <c r="C605" s="26" t="str">
        <f>IF(B605="","",SUMIF(Prearmados!E:E,B605,Prearmados!G:G))</f>
        <v/>
      </c>
      <c r="D605" s="19"/>
      <c r="E605" s="26" t="str">
        <f>IF(A605="","",IF(SUMIFS(Estructuras!E:E,Estructuras!B:B,A$2,Estructuras!C:C,A605)&gt;0,SUMIFS(Estructuras!E:E,Estructuras!B:B,A$2,Estructuras!C:C,A605),C605*D605))</f>
        <v/>
      </c>
      <c r="F605" s="36"/>
      <c r="G605" s="36"/>
      <c r="H605" s="36"/>
      <c r="I605" s="36" t="str">
        <f t="shared" si="2"/>
        <v/>
      </c>
      <c r="J605" s="37" t="str">
        <f t="shared" si="3"/>
        <v/>
      </c>
      <c r="K605" s="38" t="str">
        <f>IF(L605="","",SUMIF(Productos!E:E,L605,Productos!A:A))</f>
        <v/>
      </c>
      <c r="M605" s="39"/>
    </row>
    <row r="606">
      <c r="A606" s="2" t="str">
        <f>IF(B606="","",SUMIF(Productos!E:E,B606,Productos!A:A))</f>
        <v/>
      </c>
      <c r="B606" s="40"/>
      <c r="C606" s="26" t="str">
        <f>IF(B606="","",SUMIF(Prearmados!E:E,B606,Prearmados!G:G))</f>
        <v/>
      </c>
      <c r="D606" s="19"/>
      <c r="E606" s="26" t="str">
        <f>IF(A606="","",IF(SUMIFS(Estructuras!E:E,Estructuras!B:B,A$2,Estructuras!C:C,A606)&gt;0,SUMIFS(Estructuras!E:E,Estructuras!B:B,A$2,Estructuras!C:C,A606),C606*D606))</f>
        <v/>
      </c>
      <c r="F606" s="36"/>
      <c r="G606" s="36"/>
      <c r="H606" s="36"/>
      <c r="I606" s="36" t="str">
        <f t="shared" si="2"/>
        <v/>
      </c>
      <c r="J606" s="37" t="str">
        <f t="shared" si="3"/>
        <v/>
      </c>
      <c r="K606" s="38" t="str">
        <f>IF(L606="","",SUMIF(Productos!E:E,L606,Productos!A:A))</f>
        <v/>
      </c>
      <c r="M606" s="39"/>
    </row>
    <row r="607">
      <c r="A607" s="2" t="str">
        <f>IF(B607="","",SUMIF(Productos!E:E,B607,Productos!A:A))</f>
        <v/>
      </c>
      <c r="B607" s="40"/>
      <c r="C607" s="26" t="str">
        <f>IF(B607="","",SUMIF(Prearmados!E:E,B607,Prearmados!G:G))</f>
        <v/>
      </c>
      <c r="D607" s="19"/>
      <c r="E607" s="26" t="str">
        <f>IF(A607="","",IF(SUMIFS(Estructuras!E:E,Estructuras!B:B,A$2,Estructuras!C:C,A607)&gt;0,SUMIFS(Estructuras!E:E,Estructuras!B:B,A$2,Estructuras!C:C,A607),C607*D607))</f>
        <v/>
      </c>
      <c r="F607" s="36"/>
      <c r="G607" s="36"/>
      <c r="H607" s="36"/>
      <c r="I607" s="36" t="str">
        <f t="shared" si="2"/>
        <v/>
      </c>
      <c r="J607" s="37" t="str">
        <f t="shared" si="3"/>
        <v/>
      </c>
      <c r="K607" s="38" t="str">
        <f>IF(L607="","",SUMIF(Productos!E:E,L607,Productos!A:A))</f>
        <v/>
      </c>
      <c r="M607" s="39"/>
    </row>
    <row r="608">
      <c r="A608" s="2" t="str">
        <f>IF(B608="","",SUMIF(Productos!E:E,B608,Productos!A:A))</f>
        <v/>
      </c>
      <c r="B608" s="40"/>
      <c r="C608" s="26" t="str">
        <f>IF(B608="","",SUMIF(Prearmados!E:E,B608,Prearmados!G:G))</f>
        <v/>
      </c>
      <c r="D608" s="19"/>
      <c r="E608" s="26" t="str">
        <f>IF(A608="","",IF(SUMIFS(Estructuras!E:E,Estructuras!B:B,A$2,Estructuras!C:C,A608)&gt;0,SUMIFS(Estructuras!E:E,Estructuras!B:B,A$2,Estructuras!C:C,A608),C608*D608))</f>
        <v/>
      </c>
      <c r="F608" s="36"/>
      <c r="G608" s="36"/>
      <c r="H608" s="36"/>
      <c r="I608" s="36" t="str">
        <f t="shared" si="2"/>
        <v/>
      </c>
      <c r="J608" s="37" t="str">
        <f t="shared" si="3"/>
        <v/>
      </c>
      <c r="K608" s="38" t="str">
        <f>IF(L608="","",SUMIF(Productos!E:E,L608,Productos!A:A))</f>
        <v/>
      </c>
      <c r="M608" s="39"/>
    </row>
    <row r="609">
      <c r="A609" s="2" t="str">
        <f>IF(B609="","",SUMIF(Productos!E:E,B609,Productos!A:A))</f>
        <v/>
      </c>
      <c r="B609" s="40"/>
      <c r="C609" s="26" t="str">
        <f>IF(B609="","",SUMIF(Prearmados!E:E,B609,Prearmados!G:G))</f>
        <v/>
      </c>
      <c r="D609" s="19"/>
      <c r="E609" s="26" t="str">
        <f>IF(A609="","",IF(SUMIFS(Estructuras!E:E,Estructuras!B:B,A$2,Estructuras!C:C,A609)&gt;0,SUMIFS(Estructuras!E:E,Estructuras!B:B,A$2,Estructuras!C:C,A609),C609*D609))</f>
        <v/>
      </c>
      <c r="F609" s="36"/>
      <c r="G609" s="36"/>
      <c r="H609" s="36"/>
      <c r="I609" s="36" t="str">
        <f t="shared" si="2"/>
        <v/>
      </c>
      <c r="J609" s="37" t="str">
        <f t="shared" si="3"/>
        <v/>
      </c>
      <c r="K609" s="38" t="str">
        <f>IF(L609="","",SUMIF(Productos!E:E,L609,Productos!A:A))</f>
        <v/>
      </c>
      <c r="M609" s="39"/>
    </row>
    <row r="610">
      <c r="A610" s="2" t="str">
        <f>IF(B610="","",SUMIF(Productos!E:E,B610,Productos!A:A))</f>
        <v/>
      </c>
      <c r="B610" s="40"/>
      <c r="C610" s="26" t="str">
        <f>IF(B610="","",SUMIF(Prearmados!E:E,B610,Prearmados!G:G))</f>
        <v/>
      </c>
      <c r="D610" s="19"/>
      <c r="E610" s="26" t="str">
        <f>IF(A610="","",IF(SUMIFS(Estructuras!E:E,Estructuras!B:B,A$2,Estructuras!C:C,A610)&gt;0,SUMIFS(Estructuras!E:E,Estructuras!B:B,A$2,Estructuras!C:C,A610),C610*D610))</f>
        <v/>
      </c>
      <c r="F610" s="36"/>
      <c r="G610" s="36"/>
      <c r="H610" s="36"/>
      <c r="I610" s="36" t="str">
        <f t="shared" si="2"/>
        <v/>
      </c>
      <c r="J610" s="37" t="str">
        <f t="shared" si="3"/>
        <v/>
      </c>
      <c r="K610" s="38" t="str">
        <f>IF(L610="","",SUMIF(Productos!E:E,L610,Productos!A:A))</f>
        <v/>
      </c>
      <c r="M610" s="39"/>
    </row>
    <row r="611">
      <c r="A611" s="2" t="str">
        <f>IF(B611="","",SUMIF(Productos!E:E,B611,Productos!A:A))</f>
        <v/>
      </c>
      <c r="B611" s="40"/>
      <c r="C611" s="26" t="str">
        <f>IF(B611="","",SUMIF(Prearmados!E:E,B611,Prearmados!G:G))</f>
        <v/>
      </c>
      <c r="D611" s="19"/>
      <c r="E611" s="26" t="str">
        <f>IF(A611="","",IF(SUMIFS(Estructuras!E:E,Estructuras!B:B,A$2,Estructuras!C:C,A611)&gt;0,SUMIFS(Estructuras!E:E,Estructuras!B:B,A$2,Estructuras!C:C,A611),C611*D611))</f>
        <v/>
      </c>
      <c r="F611" s="36"/>
      <c r="G611" s="36"/>
      <c r="H611" s="36"/>
      <c r="I611" s="36" t="str">
        <f t="shared" si="2"/>
        <v/>
      </c>
      <c r="J611" s="37" t="str">
        <f t="shared" si="3"/>
        <v/>
      </c>
      <c r="K611" s="38" t="str">
        <f>IF(L611="","",SUMIF(Productos!E:E,L611,Productos!A:A))</f>
        <v/>
      </c>
      <c r="M611" s="39"/>
    </row>
    <row r="612">
      <c r="A612" s="2" t="str">
        <f>IF(B612="","",SUMIF(Productos!E:E,B612,Productos!A:A))</f>
        <v/>
      </c>
      <c r="B612" s="40"/>
      <c r="C612" s="26" t="str">
        <f>IF(B612="","",SUMIF(Prearmados!E:E,B612,Prearmados!G:G))</f>
        <v/>
      </c>
      <c r="D612" s="19"/>
      <c r="E612" s="26" t="str">
        <f>IF(A612="","",IF(SUMIFS(Estructuras!E:E,Estructuras!B:B,A$2,Estructuras!C:C,A612)&gt;0,SUMIFS(Estructuras!E:E,Estructuras!B:B,A$2,Estructuras!C:C,A612),C612*D612))</f>
        <v/>
      </c>
      <c r="F612" s="36"/>
      <c r="G612" s="36"/>
      <c r="H612" s="36"/>
      <c r="I612" s="36" t="str">
        <f t="shared" si="2"/>
        <v/>
      </c>
      <c r="J612" s="37" t="str">
        <f t="shared" si="3"/>
        <v/>
      </c>
      <c r="K612" s="38" t="str">
        <f>IF(L612="","",SUMIF(Productos!E:E,L612,Productos!A:A))</f>
        <v/>
      </c>
      <c r="M612" s="39"/>
    </row>
    <row r="613">
      <c r="A613" s="2" t="str">
        <f>IF(B613="","",SUMIF(Productos!E:E,B613,Productos!A:A))</f>
        <v/>
      </c>
      <c r="B613" s="40"/>
      <c r="C613" s="26" t="str">
        <f>IF(B613="","",SUMIF(Prearmados!E:E,B613,Prearmados!G:G))</f>
        <v/>
      </c>
      <c r="D613" s="19"/>
      <c r="E613" s="26" t="str">
        <f>IF(A613="","",IF(SUMIFS(Estructuras!E:E,Estructuras!B:B,A$2,Estructuras!C:C,A613)&gt;0,SUMIFS(Estructuras!E:E,Estructuras!B:B,A$2,Estructuras!C:C,A613),C613*D613))</f>
        <v/>
      </c>
      <c r="F613" s="36"/>
      <c r="G613" s="36"/>
      <c r="H613" s="36"/>
      <c r="I613" s="36" t="str">
        <f t="shared" si="2"/>
        <v/>
      </c>
      <c r="J613" s="37" t="str">
        <f t="shared" si="3"/>
        <v/>
      </c>
      <c r="K613" s="38" t="str">
        <f>IF(L613="","",SUMIF(Productos!E:E,L613,Productos!A:A))</f>
        <v/>
      </c>
      <c r="M613" s="39"/>
    </row>
    <row r="614">
      <c r="A614" s="2" t="str">
        <f>IF(B614="","",SUMIF(Productos!E:E,B614,Productos!A:A))</f>
        <v/>
      </c>
      <c r="B614" s="40"/>
      <c r="C614" s="26" t="str">
        <f>IF(B614="","",SUMIF(Prearmados!E:E,B614,Prearmados!G:G))</f>
        <v/>
      </c>
      <c r="D614" s="19"/>
      <c r="E614" s="26" t="str">
        <f>IF(A614="","",IF(SUMIFS(Estructuras!E:E,Estructuras!B:B,A$2,Estructuras!C:C,A614)&gt;0,SUMIFS(Estructuras!E:E,Estructuras!B:B,A$2,Estructuras!C:C,A614),C614*D614))</f>
        <v/>
      </c>
      <c r="F614" s="36"/>
      <c r="G614" s="36"/>
      <c r="H614" s="36"/>
      <c r="I614" s="36" t="str">
        <f t="shared" si="2"/>
        <v/>
      </c>
      <c r="J614" s="37" t="str">
        <f t="shared" si="3"/>
        <v/>
      </c>
      <c r="K614" s="38" t="str">
        <f>IF(L614="","",SUMIF(Productos!E:E,L614,Productos!A:A))</f>
        <v/>
      </c>
      <c r="M614" s="39"/>
    </row>
    <row r="615">
      <c r="A615" s="2" t="str">
        <f>IF(B615="","",SUMIF(Productos!E:E,B615,Productos!A:A))</f>
        <v/>
      </c>
      <c r="B615" s="40"/>
      <c r="C615" s="26" t="str">
        <f>IF(B615="","",SUMIF(Prearmados!E:E,B615,Prearmados!G:G))</f>
        <v/>
      </c>
      <c r="D615" s="19"/>
      <c r="E615" s="26" t="str">
        <f>IF(A615="","",IF(SUMIFS(Estructuras!E:E,Estructuras!B:B,A$2,Estructuras!C:C,A615)&gt;0,SUMIFS(Estructuras!E:E,Estructuras!B:B,A$2,Estructuras!C:C,A615),C615*D615))</f>
        <v/>
      </c>
      <c r="F615" s="36"/>
      <c r="G615" s="36"/>
      <c r="H615" s="36"/>
      <c r="I615" s="36" t="str">
        <f t="shared" si="2"/>
        <v/>
      </c>
      <c r="J615" s="37" t="str">
        <f t="shared" si="3"/>
        <v/>
      </c>
      <c r="K615" s="38" t="str">
        <f>IF(L615="","",SUMIF(Productos!E:E,L615,Productos!A:A))</f>
        <v/>
      </c>
      <c r="M615" s="39"/>
    </row>
    <row r="616">
      <c r="A616" s="2" t="str">
        <f>IF(B616="","",SUMIF(Productos!E:E,B616,Productos!A:A))</f>
        <v/>
      </c>
      <c r="B616" s="40"/>
      <c r="C616" s="26" t="str">
        <f>IF(B616="","",SUMIF(Prearmados!E:E,B616,Prearmados!G:G))</f>
        <v/>
      </c>
      <c r="D616" s="19"/>
      <c r="E616" s="26" t="str">
        <f>IF(A616="","",IF(SUMIFS(Estructuras!E:E,Estructuras!B:B,A$2,Estructuras!C:C,A616)&gt;0,SUMIFS(Estructuras!E:E,Estructuras!B:B,A$2,Estructuras!C:C,A616),C616*D616))</f>
        <v/>
      </c>
      <c r="F616" s="36"/>
      <c r="G616" s="36"/>
      <c r="H616" s="36"/>
      <c r="I616" s="36" t="str">
        <f t="shared" si="2"/>
        <v/>
      </c>
      <c r="J616" s="37" t="str">
        <f t="shared" si="3"/>
        <v/>
      </c>
      <c r="K616" s="38" t="str">
        <f>IF(L616="","",SUMIF(Productos!E:E,L616,Productos!A:A))</f>
        <v/>
      </c>
      <c r="M616" s="39"/>
    </row>
    <row r="617">
      <c r="A617" s="2" t="str">
        <f>IF(B617="","",SUMIF(Productos!E:E,B617,Productos!A:A))</f>
        <v/>
      </c>
      <c r="B617" s="40"/>
      <c r="C617" s="26" t="str">
        <f>IF(B617="","",SUMIF(Prearmados!E:E,B617,Prearmados!G:G))</f>
        <v/>
      </c>
      <c r="D617" s="19"/>
      <c r="E617" s="26" t="str">
        <f>IF(A617="","",IF(SUMIFS(Estructuras!E:E,Estructuras!B:B,A$2,Estructuras!C:C,A617)&gt;0,SUMIFS(Estructuras!E:E,Estructuras!B:B,A$2,Estructuras!C:C,A617),C617*D617))</f>
        <v/>
      </c>
      <c r="F617" s="36"/>
      <c r="G617" s="36"/>
      <c r="H617" s="36"/>
      <c r="I617" s="36" t="str">
        <f t="shared" si="2"/>
        <v/>
      </c>
      <c r="J617" s="37" t="str">
        <f t="shared" si="3"/>
        <v/>
      </c>
      <c r="K617" s="38" t="str">
        <f>IF(L617="","",SUMIF(Productos!E:E,L617,Productos!A:A))</f>
        <v/>
      </c>
      <c r="M617" s="39"/>
    </row>
    <row r="618">
      <c r="A618" s="2" t="str">
        <f>IF(B618="","",SUMIF(Productos!E:E,B618,Productos!A:A))</f>
        <v/>
      </c>
      <c r="B618" s="40"/>
      <c r="C618" s="26" t="str">
        <f>IF(B618="","",SUMIF(Prearmados!E:E,B618,Prearmados!G:G))</f>
        <v/>
      </c>
      <c r="D618" s="19"/>
      <c r="E618" s="26" t="str">
        <f>IF(A618="","",IF(SUMIFS(Estructuras!E:E,Estructuras!B:B,A$2,Estructuras!C:C,A618)&gt;0,SUMIFS(Estructuras!E:E,Estructuras!B:B,A$2,Estructuras!C:C,A618),C618*D618))</f>
        <v/>
      </c>
      <c r="F618" s="36"/>
      <c r="G618" s="36"/>
      <c r="H618" s="36"/>
      <c r="I618" s="36" t="str">
        <f t="shared" si="2"/>
        <v/>
      </c>
      <c r="J618" s="37" t="str">
        <f t="shared" si="3"/>
        <v/>
      </c>
      <c r="K618" s="38" t="str">
        <f>IF(L618="","",SUMIF(Productos!E:E,L618,Productos!A:A))</f>
        <v/>
      </c>
      <c r="M618" s="39"/>
    </row>
    <row r="619">
      <c r="A619" s="2" t="str">
        <f>IF(B619="","",SUMIF(Productos!E:E,B619,Productos!A:A))</f>
        <v/>
      </c>
      <c r="B619" s="40"/>
      <c r="C619" s="26" t="str">
        <f>IF(B619="","",SUMIF(Prearmados!E:E,B619,Prearmados!G:G))</f>
        <v/>
      </c>
      <c r="D619" s="19"/>
      <c r="E619" s="26" t="str">
        <f>IF(A619="","",IF(SUMIFS(Estructuras!E:E,Estructuras!B:B,A$2,Estructuras!C:C,A619)&gt;0,SUMIFS(Estructuras!E:E,Estructuras!B:B,A$2,Estructuras!C:C,A619),C619*D619))</f>
        <v/>
      </c>
      <c r="F619" s="36"/>
      <c r="G619" s="36"/>
      <c r="H619" s="36"/>
      <c r="I619" s="36" t="str">
        <f t="shared" si="2"/>
        <v/>
      </c>
      <c r="J619" s="37" t="str">
        <f t="shared" si="3"/>
        <v/>
      </c>
      <c r="K619" s="38" t="str">
        <f>IF(L619="","",SUMIF(Productos!E:E,L619,Productos!A:A))</f>
        <v/>
      </c>
      <c r="M619" s="39"/>
    </row>
    <row r="620">
      <c r="A620" s="2" t="str">
        <f>IF(B620="","",SUMIF(Productos!E:E,B620,Productos!A:A))</f>
        <v/>
      </c>
      <c r="B620" s="40"/>
      <c r="C620" s="26" t="str">
        <f>IF(B620="","",SUMIF(Prearmados!E:E,B620,Prearmados!G:G))</f>
        <v/>
      </c>
      <c r="D620" s="19"/>
      <c r="E620" s="26" t="str">
        <f>IF(A620="","",IF(SUMIFS(Estructuras!E:E,Estructuras!B:B,A$2,Estructuras!C:C,A620)&gt;0,SUMIFS(Estructuras!E:E,Estructuras!B:B,A$2,Estructuras!C:C,A620),C620*D620))</f>
        <v/>
      </c>
      <c r="F620" s="36"/>
      <c r="G620" s="36"/>
      <c r="H620" s="36"/>
      <c r="I620" s="36" t="str">
        <f t="shared" si="2"/>
        <v/>
      </c>
      <c r="J620" s="37" t="str">
        <f t="shared" si="3"/>
        <v/>
      </c>
      <c r="K620" s="38" t="str">
        <f>IF(L620="","",SUMIF(Productos!E:E,L620,Productos!A:A))</f>
        <v/>
      </c>
      <c r="M620" s="39"/>
    </row>
    <row r="621">
      <c r="A621" s="2" t="str">
        <f>IF(B621="","",SUMIF(Productos!E:E,B621,Productos!A:A))</f>
        <v/>
      </c>
      <c r="B621" s="40"/>
      <c r="C621" s="26" t="str">
        <f>IF(B621="","",SUMIF(Prearmados!E:E,B621,Prearmados!G:G))</f>
        <v/>
      </c>
      <c r="D621" s="19"/>
      <c r="E621" s="26" t="str">
        <f>IF(A621="","",IF(SUMIFS(Estructuras!E:E,Estructuras!B:B,A$2,Estructuras!C:C,A621)&gt;0,SUMIFS(Estructuras!E:E,Estructuras!B:B,A$2,Estructuras!C:C,A621),C621*D621))</f>
        <v/>
      </c>
      <c r="F621" s="36"/>
      <c r="G621" s="36"/>
      <c r="H621" s="36"/>
      <c r="I621" s="36" t="str">
        <f t="shared" si="2"/>
        <v/>
      </c>
      <c r="J621" s="37" t="str">
        <f t="shared" si="3"/>
        <v/>
      </c>
      <c r="K621" s="38" t="str">
        <f>IF(L621="","",SUMIF(Productos!E:E,L621,Productos!A:A))</f>
        <v/>
      </c>
      <c r="M621" s="39"/>
    </row>
    <row r="622">
      <c r="A622" s="2" t="str">
        <f>IF(B622="","",SUMIF(Productos!E:E,B622,Productos!A:A))</f>
        <v/>
      </c>
      <c r="B622" s="40"/>
      <c r="C622" s="26" t="str">
        <f>IF(B622="","",SUMIF(Prearmados!E:E,B622,Prearmados!G:G))</f>
        <v/>
      </c>
      <c r="D622" s="19"/>
      <c r="E622" s="26" t="str">
        <f>IF(A622="","",IF(SUMIFS(Estructuras!E:E,Estructuras!B:B,A$2,Estructuras!C:C,A622)&gt;0,SUMIFS(Estructuras!E:E,Estructuras!B:B,A$2,Estructuras!C:C,A622),C622*D622))</f>
        <v/>
      </c>
      <c r="F622" s="36"/>
      <c r="G622" s="36"/>
      <c r="H622" s="36"/>
      <c r="I622" s="36" t="str">
        <f t="shared" si="2"/>
        <v/>
      </c>
      <c r="J622" s="37" t="str">
        <f t="shared" si="3"/>
        <v/>
      </c>
      <c r="K622" s="38" t="str">
        <f>IF(L622="","",SUMIF(Productos!E:E,L622,Productos!A:A))</f>
        <v/>
      </c>
      <c r="M622" s="39"/>
    </row>
    <row r="623">
      <c r="A623" s="2" t="str">
        <f>IF(B623="","",SUMIF(Productos!E:E,B623,Productos!A:A))</f>
        <v/>
      </c>
      <c r="B623" s="40"/>
      <c r="C623" s="26" t="str">
        <f>IF(B623="","",SUMIF(Prearmados!E:E,B623,Prearmados!G:G))</f>
        <v/>
      </c>
      <c r="D623" s="19"/>
      <c r="E623" s="26" t="str">
        <f>IF(A623="","",IF(SUMIFS(Estructuras!E:E,Estructuras!B:B,A$2,Estructuras!C:C,A623)&gt;0,SUMIFS(Estructuras!E:E,Estructuras!B:B,A$2,Estructuras!C:C,A623),C623*D623))</f>
        <v/>
      </c>
      <c r="F623" s="36"/>
      <c r="G623" s="36"/>
      <c r="H623" s="36"/>
      <c r="I623" s="36" t="str">
        <f t="shared" si="2"/>
        <v/>
      </c>
      <c r="J623" s="37" t="str">
        <f t="shared" si="3"/>
        <v/>
      </c>
      <c r="K623" s="38" t="str">
        <f>IF(L623="","",SUMIF(Productos!E:E,L623,Productos!A:A))</f>
        <v/>
      </c>
      <c r="M623" s="39"/>
    </row>
    <row r="624">
      <c r="A624" s="2" t="str">
        <f>IF(B624="","",SUMIF(Productos!E:E,B624,Productos!A:A))</f>
        <v/>
      </c>
      <c r="B624" s="40"/>
      <c r="C624" s="26" t="str">
        <f>IF(B624="","",SUMIF(Prearmados!E:E,B624,Prearmados!G:G))</f>
        <v/>
      </c>
      <c r="D624" s="19"/>
      <c r="E624" s="26" t="str">
        <f>IF(A624="","",IF(SUMIFS(Estructuras!E:E,Estructuras!B:B,A$2,Estructuras!C:C,A624)&gt;0,SUMIFS(Estructuras!E:E,Estructuras!B:B,A$2,Estructuras!C:C,A624),C624*D624))</f>
        <v/>
      </c>
      <c r="F624" s="36"/>
      <c r="G624" s="36"/>
      <c r="H624" s="36"/>
      <c r="I624" s="36" t="str">
        <f t="shared" si="2"/>
        <v/>
      </c>
      <c r="J624" s="37" t="str">
        <f t="shared" si="3"/>
        <v/>
      </c>
      <c r="K624" s="38" t="str">
        <f>IF(L624="","",SUMIF(Productos!E:E,L624,Productos!A:A))</f>
        <v/>
      </c>
      <c r="M624" s="39"/>
    </row>
    <row r="625">
      <c r="A625" s="2" t="str">
        <f>IF(B625="","",SUMIF(Productos!E:E,B625,Productos!A:A))</f>
        <v/>
      </c>
      <c r="B625" s="40"/>
      <c r="C625" s="26" t="str">
        <f>IF(B625="","",SUMIF(Prearmados!E:E,B625,Prearmados!G:G))</f>
        <v/>
      </c>
      <c r="D625" s="19"/>
      <c r="E625" s="26" t="str">
        <f>IF(A625="","",IF(SUMIFS(Estructuras!E:E,Estructuras!B:B,A$2,Estructuras!C:C,A625)&gt;0,SUMIFS(Estructuras!E:E,Estructuras!B:B,A$2,Estructuras!C:C,A625),C625*D625))</f>
        <v/>
      </c>
      <c r="F625" s="36"/>
      <c r="G625" s="36"/>
      <c r="H625" s="36"/>
      <c r="I625" s="36" t="str">
        <f t="shared" si="2"/>
        <v/>
      </c>
      <c r="J625" s="37" t="str">
        <f t="shared" si="3"/>
        <v/>
      </c>
      <c r="K625" s="38" t="str">
        <f>IF(L625="","",SUMIF(Productos!E:E,L625,Productos!A:A))</f>
        <v/>
      </c>
      <c r="M625" s="39"/>
    </row>
    <row r="626">
      <c r="A626" s="2" t="str">
        <f>IF(B626="","",SUMIF(Productos!E:E,B626,Productos!A:A))</f>
        <v/>
      </c>
      <c r="B626" s="40"/>
      <c r="C626" s="26" t="str">
        <f>IF(B626="","",SUMIF(Prearmados!E:E,B626,Prearmados!G:G))</f>
        <v/>
      </c>
      <c r="D626" s="19"/>
      <c r="E626" s="26" t="str">
        <f>IF(A626="","",IF(SUMIFS(Estructuras!E:E,Estructuras!B:B,A$2,Estructuras!C:C,A626)&gt;0,SUMIFS(Estructuras!E:E,Estructuras!B:B,A$2,Estructuras!C:C,A626),C626*D626))</f>
        <v/>
      </c>
      <c r="F626" s="36"/>
      <c r="G626" s="36"/>
      <c r="H626" s="36"/>
      <c r="I626" s="36" t="str">
        <f t="shared" si="2"/>
        <v/>
      </c>
      <c r="J626" s="37" t="str">
        <f t="shared" si="3"/>
        <v/>
      </c>
      <c r="K626" s="38" t="str">
        <f>IF(L626="","",SUMIF(Productos!E:E,L626,Productos!A:A))</f>
        <v/>
      </c>
      <c r="M626" s="39"/>
    </row>
    <row r="627">
      <c r="A627" s="2" t="str">
        <f>IF(B627="","",SUMIF(Productos!E:E,B627,Productos!A:A))</f>
        <v/>
      </c>
      <c r="B627" s="40"/>
      <c r="C627" s="26" t="str">
        <f>IF(B627="","",SUMIF(Prearmados!E:E,B627,Prearmados!G:G))</f>
        <v/>
      </c>
      <c r="D627" s="19"/>
      <c r="E627" s="26" t="str">
        <f>IF(A627="","",IF(SUMIFS(Estructuras!E:E,Estructuras!B:B,A$2,Estructuras!C:C,A627)&gt;0,SUMIFS(Estructuras!E:E,Estructuras!B:B,A$2,Estructuras!C:C,A627),C627*D627))</f>
        <v/>
      </c>
      <c r="F627" s="36"/>
      <c r="G627" s="36"/>
      <c r="H627" s="36"/>
      <c r="I627" s="36" t="str">
        <f t="shared" si="2"/>
        <v/>
      </c>
      <c r="J627" s="37" t="str">
        <f t="shared" si="3"/>
        <v/>
      </c>
      <c r="K627" s="38" t="str">
        <f>IF(L627="","",SUMIF(Productos!E:E,L627,Productos!A:A))</f>
        <v/>
      </c>
      <c r="M627" s="39"/>
    </row>
    <row r="628">
      <c r="A628" s="2" t="str">
        <f>IF(B628="","",SUMIF(Productos!E:E,B628,Productos!A:A))</f>
        <v/>
      </c>
      <c r="B628" s="40"/>
      <c r="C628" s="26" t="str">
        <f>IF(B628="","",SUMIF(Prearmados!E:E,B628,Prearmados!G:G))</f>
        <v/>
      </c>
      <c r="D628" s="19"/>
      <c r="E628" s="26" t="str">
        <f>IF(A628="","",IF(SUMIFS(Estructuras!E:E,Estructuras!B:B,A$2,Estructuras!C:C,A628)&gt;0,SUMIFS(Estructuras!E:E,Estructuras!B:B,A$2,Estructuras!C:C,A628),C628*D628))</f>
        <v/>
      </c>
      <c r="F628" s="36"/>
      <c r="G628" s="36"/>
      <c r="H628" s="36"/>
      <c r="I628" s="36" t="str">
        <f t="shared" si="2"/>
        <v/>
      </c>
      <c r="J628" s="37" t="str">
        <f t="shared" si="3"/>
        <v/>
      </c>
      <c r="K628" s="38" t="str">
        <f>IF(L628="","",SUMIF(Productos!E:E,L628,Productos!A:A))</f>
        <v/>
      </c>
      <c r="M628" s="39"/>
    </row>
    <row r="629">
      <c r="A629" s="2" t="str">
        <f>IF(B629="","",SUMIF(Productos!E:E,B629,Productos!A:A))</f>
        <v/>
      </c>
      <c r="B629" s="40"/>
      <c r="C629" s="26" t="str">
        <f>IF(B629="","",SUMIF(Prearmados!E:E,B629,Prearmados!G:G))</f>
        <v/>
      </c>
      <c r="D629" s="19"/>
      <c r="E629" s="26" t="str">
        <f>IF(A629="","",IF(SUMIFS(Estructuras!E:E,Estructuras!B:B,A$2,Estructuras!C:C,A629)&gt;0,SUMIFS(Estructuras!E:E,Estructuras!B:B,A$2,Estructuras!C:C,A629),C629*D629))</f>
        <v/>
      </c>
      <c r="F629" s="36"/>
      <c r="G629" s="36"/>
      <c r="H629" s="36"/>
      <c r="I629" s="36" t="str">
        <f t="shared" si="2"/>
        <v/>
      </c>
      <c r="J629" s="37" t="str">
        <f t="shared" si="3"/>
        <v/>
      </c>
      <c r="K629" s="38" t="str">
        <f>IF(L629="","",SUMIF(Productos!E:E,L629,Productos!A:A))</f>
        <v/>
      </c>
      <c r="M629" s="39"/>
    </row>
    <row r="630">
      <c r="A630" s="2" t="str">
        <f>IF(B630="","",SUMIF(Productos!E:E,B630,Productos!A:A))</f>
        <v/>
      </c>
      <c r="B630" s="40"/>
      <c r="C630" s="26" t="str">
        <f>IF(B630="","",SUMIF(Prearmados!E:E,B630,Prearmados!G:G))</f>
        <v/>
      </c>
      <c r="D630" s="19"/>
      <c r="E630" s="26" t="str">
        <f>IF(A630="","",IF(SUMIFS(Estructuras!E:E,Estructuras!B:B,A$2,Estructuras!C:C,A630)&gt;0,SUMIFS(Estructuras!E:E,Estructuras!B:B,A$2,Estructuras!C:C,A630),C630*D630))</f>
        <v/>
      </c>
      <c r="F630" s="36"/>
      <c r="G630" s="36"/>
      <c r="H630" s="36"/>
      <c r="I630" s="36" t="str">
        <f t="shared" si="2"/>
        <v/>
      </c>
      <c r="J630" s="37" t="str">
        <f t="shared" si="3"/>
        <v/>
      </c>
      <c r="K630" s="38" t="str">
        <f>IF(L630="","",SUMIF(Productos!E:E,L630,Productos!A:A))</f>
        <v/>
      </c>
      <c r="M630" s="39"/>
    </row>
    <row r="631">
      <c r="A631" s="2" t="str">
        <f>IF(B631="","",SUMIF(Productos!E:E,B631,Productos!A:A))</f>
        <v/>
      </c>
      <c r="B631" s="40"/>
      <c r="C631" s="26" t="str">
        <f>IF(B631="","",SUMIF(Prearmados!E:E,B631,Prearmados!G:G))</f>
        <v/>
      </c>
      <c r="D631" s="19"/>
      <c r="E631" s="26" t="str">
        <f>IF(A631="","",IF(SUMIFS(Estructuras!E:E,Estructuras!B:B,A$2,Estructuras!C:C,A631)&gt;0,SUMIFS(Estructuras!E:E,Estructuras!B:B,A$2,Estructuras!C:C,A631),C631*D631))</f>
        <v/>
      </c>
      <c r="F631" s="36"/>
      <c r="G631" s="36"/>
      <c r="H631" s="36"/>
      <c r="I631" s="36" t="str">
        <f t="shared" si="2"/>
        <v/>
      </c>
      <c r="J631" s="37" t="str">
        <f t="shared" si="3"/>
        <v/>
      </c>
      <c r="K631" s="38" t="str">
        <f>IF(L631="","",SUMIF(Productos!E:E,L631,Productos!A:A))</f>
        <v/>
      </c>
      <c r="M631" s="39"/>
    </row>
    <row r="632">
      <c r="A632" s="2" t="str">
        <f>IF(B632="","",SUMIF(Productos!E:E,B632,Productos!A:A))</f>
        <v/>
      </c>
      <c r="B632" s="40"/>
      <c r="C632" s="26" t="str">
        <f>IF(B632="","",SUMIF(Prearmados!E:E,B632,Prearmados!G:G))</f>
        <v/>
      </c>
      <c r="D632" s="19"/>
      <c r="E632" s="26" t="str">
        <f>IF(A632="","",IF(SUMIFS(Estructuras!E:E,Estructuras!B:B,A$2,Estructuras!C:C,A632)&gt;0,SUMIFS(Estructuras!E:E,Estructuras!B:B,A$2,Estructuras!C:C,A632),C632*D632))</f>
        <v/>
      </c>
      <c r="F632" s="36"/>
      <c r="G632" s="36"/>
      <c r="H632" s="36"/>
      <c r="I632" s="36" t="str">
        <f t="shared" si="2"/>
        <v/>
      </c>
      <c r="J632" s="37" t="str">
        <f t="shared" si="3"/>
        <v/>
      </c>
      <c r="K632" s="38" t="str">
        <f>IF(L632="","",SUMIF(Productos!E:E,L632,Productos!A:A))</f>
        <v/>
      </c>
      <c r="M632" s="39"/>
    </row>
    <row r="633">
      <c r="A633" s="2" t="str">
        <f>IF(B633="","",SUMIF(Productos!E:E,B633,Productos!A:A))</f>
        <v/>
      </c>
      <c r="B633" s="40"/>
      <c r="C633" s="26" t="str">
        <f>IF(B633="","",SUMIF(Prearmados!E:E,B633,Prearmados!G:G))</f>
        <v/>
      </c>
      <c r="D633" s="19"/>
      <c r="E633" s="26" t="str">
        <f>IF(A633="","",IF(SUMIFS(Estructuras!E:E,Estructuras!B:B,A$2,Estructuras!C:C,A633)&gt;0,SUMIFS(Estructuras!E:E,Estructuras!B:B,A$2,Estructuras!C:C,A633),C633*D633))</f>
        <v/>
      </c>
      <c r="F633" s="36"/>
      <c r="G633" s="36"/>
      <c r="H633" s="36"/>
      <c r="I633" s="36" t="str">
        <f t="shared" si="2"/>
        <v/>
      </c>
      <c r="J633" s="37" t="str">
        <f t="shared" si="3"/>
        <v/>
      </c>
      <c r="K633" s="38" t="str">
        <f>IF(L633="","",SUMIF(Productos!E:E,L633,Productos!A:A))</f>
        <v/>
      </c>
      <c r="M633" s="39"/>
    </row>
    <row r="634">
      <c r="A634" s="2" t="str">
        <f>IF(B634="","",SUMIF(Productos!E:E,B634,Productos!A:A))</f>
        <v/>
      </c>
      <c r="B634" s="40"/>
      <c r="C634" s="26" t="str">
        <f>IF(B634="","",SUMIF(Prearmados!E:E,B634,Prearmados!G:G))</f>
        <v/>
      </c>
      <c r="D634" s="19"/>
      <c r="E634" s="26" t="str">
        <f>IF(A634="","",IF(SUMIFS(Estructuras!E:E,Estructuras!B:B,A$2,Estructuras!C:C,A634)&gt;0,SUMIFS(Estructuras!E:E,Estructuras!B:B,A$2,Estructuras!C:C,A634),C634*D634))</f>
        <v/>
      </c>
      <c r="F634" s="36"/>
      <c r="G634" s="36"/>
      <c r="H634" s="36"/>
      <c r="I634" s="36" t="str">
        <f t="shared" si="2"/>
        <v/>
      </c>
      <c r="J634" s="37" t="str">
        <f t="shared" si="3"/>
        <v/>
      </c>
      <c r="K634" s="38" t="str">
        <f>IF(L634="","",SUMIF(Productos!E:E,L634,Productos!A:A))</f>
        <v/>
      </c>
      <c r="M634" s="39"/>
    </row>
    <row r="635">
      <c r="A635" s="2" t="str">
        <f>IF(B635="","",SUMIF(Productos!E:E,B635,Productos!A:A))</f>
        <v/>
      </c>
      <c r="B635" s="40"/>
      <c r="C635" s="26" t="str">
        <f>IF(B635="","",SUMIF(Prearmados!E:E,B635,Prearmados!G:G))</f>
        <v/>
      </c>
      <c r="D635" s="19"/>
      <c r="E635" s="26" t="str">
        <f>IF(A635="","",IF(SUMIFS(Estructuras!E:E,Estructuras!B:B,A$2,Estructuras!C:C,A635)&gt;0,SUMIFS(Estructuras!E:E,Estructuras!B:B,A$2,Estructuras!C:C,A635),C635*D635))</f>
        <v/>
      </c>
      <c r="F635" s="36"/>
      <c r="G635" s="36"/>
      <c r="H635" s="36"/>
      <c r="I635" s="36" t="str">
        <f t="shared" si="2"/>
        <v/>
      </c>
      <c r="J635" s="37" t="str">
        <f t="shared" si="3"/>
        <v/>
      </c>
      <c r="K635" s="38" t="str">
        <f>IF(L635="","",SUMIF(Productos!E:E,L635,Productos!A:A))</f>
        <v/>
      </c>
      <c r="M635" s="39"/>
    </row>
    <row r="636">
      <c r="A636" s="2" t="str">
        <f>IF(B636="","",SUMIF(Productos!E:E,B636,Productos!A:A))</f>
        <v/>
      </c>
      <c r="B636" s="40"/>
      <c r="C636" s="26" t="str">
        <f>IF(B636="","",SUMIF(Prearmados!E:E,B636,Prearmados!G:G))</f>
        <v/>
      </c>
      <c r="D636" s="19"/>
      <c r="E636" s="26" t="str">
        <f>IF(A636="","",IF(SUMIFS(Estructuras!E:E,Estructuras!B:B,A$2,Estructuras!C:C,A636)&gt;0,SUMIFS(Estructuras!E:E,Estructuras!B:B,A$2,Estructuras!C:C,A636),C636*D636))</f>
        <v/>
      </c>
      <c r="F636" s="36"/>
      <c r="G636" s="36"/>
      <c r="H636" s="36"/>
      <c r="I636" s="36" t="str">
        <f t="shared" si="2"/>
        <v/>
      </c>
      <c r="J636" s="37" t="str">
        <f t="shared" si="3"/>
        <v/>
      </c>
      <c r="K636" s="38" t="str">
        <f>IF(L636="","",SUMIF(Productos!E:E,L636,Productos!A:A))</f>
        <v/>
      </c>
      <c r="M636" s="39"/>
    </row>
    <row r="637">
      <c r="A637" s="2" t="str">
        <f>IF(B637="","",SUMIF(Productos!E:E,B637,Productos!A:A))</f>
        <v/>
      </c>
      <c r="B637" s="40"/>
      <c r="C637" s="26" t="str">
        <f>IF(B637="","",SUMIF(Prearmados!E:E,B637,Prearmados!G:G))</f>
        <v/>
      </c>
      <c r="D637" s="19"/>
      <c r="E637" s="26" t="str">
        <f>IF(A637="","",IF(SUMIFS(Estructuras!E:E,Estructuras!B:B,A$2,Estructuras!C:C,A637)&gt;0,SUMIFS(Estructuras!E:E,Estructuras!B:B,A$2,Estructuras!C:C,A637),C637*D637))</f>
        <v/>
      </c>
      <c r="F637" s="36"/>
      <c r="G637" s="36"/>
      <c r="H637" s="36"/>
      <c r="I637" s="36" t="str">
        <f t="shared" si="2"/>
        <v/>
      </c>
      <c r="J637" s="37" t="str">
        <f t="shared" si="3"/>
        <v/>
      </c>
      <c r="K637" s="38" t="str">
        <f>IF(L637="","",SUMIF(Productos!E:E,L637,Productos!A:A))</f>
        <v/>
      </c>
      <c r="M637" s="39"/>
    </row>
    <row r="638">
      <c r="A638" s="2" t="str">
        <f>IF(B638="","",SUMIF(Productos!E:E,B638,Productos!A:A))</f>
        <v/>
      </c>
      <c r="B638" s="40"/>
      <c r="C638" s="26" t="str">
        <f>IF(B638="","",SUMIF(Prearmados!E:E,B638,Prearmados!G:G))</f>
        <v/>
      </c>
      <c r="D638" s="19"/>
      <c r="E638" s="26" t="str">
        <f>IF(A638="","",IF(SUMIFS(Estructuras!E:E,Estructuras!B:B,A$2,Estructuras!C:C,A638)&gt;0,SUMIFS(Estructuras!E:E,Estructuras!B:B,A$2,Estructuras!C:C,A638),C638*D638))</f>
        <v/>
      </c>
      <c r="F638" s="36"/>
      <c r="G638" s="36"/>
      <c r="H638" s="36"/>
      <c r="I638" s="36" t="str">
        <f t="shared" si="2"/>
        <v/>
      </c>
      <c r="J638" s="37" t="str">
        <f t="shared" si="3"/>
        <v/>
      </c>
      <c r="K638" s="38" t="str">
        <f>IF(L638="","",SUMIF(Productos!E:E,L638,Productos!A:A))</f>
        <v/>
      </c>
      <c r="M638" s="39"/>
    </row>
    <row r="639">
      <c r="A639" s="2" t="str">
        <f>IF(B639="","",SUMIF(Productos!E:E,B639,Productos!A:A))</f>
        <v/>
      </c>
      <c r="B639" s="40"/>
      <c r="C639" s="26" t="str">
        <f>IF(B639="","",SUMIF(Prearmados!E:E,B639,Prearmados!G:G))</f>
        <v/>
      </c>
      <c r="D639" s="19"/>
      <c r="E639" s="26" t="str">
        <f>IF(A639="","",IF(SUMIFS(Estructuras!E:E,Estructuras!B:B,A$2,Estructuras!C:C,A639)&gt;0,SUMIFS(Estructuras!E:E,Estructuras!B:B,A$2,Estructuras!C:C,A639),C639*D639))</f>
        <v/>
      </c>
      <c r="F639" s="36"/>
      <c r="G639" s="36"/>
      <c r="H639" s="36"/>
      <c r="I639" s="36" t="str">
        <f t="shared" si="2"/>
        <v/>
      </c>
      <c r="J639" s="37" t="str">
        <f t="shared" si="3"/>
        <v/>
      </c>
      <c r="K639" s="38" t="str">
        <f>IF(L639="","",SUMIF(Productos!E:E,L639,Productos!A:A))</f>
        <v/>
      </c>
      <c r="M639" s="39"/>
    </row>
    <row r="640">
      <c r="A640" s="2" t="str">
        <f>IF(B640="","",SUMIF(Productos!E:E,B640,Productos!A:A))</f>
        <v/>
      </c>
      <c r="B640" s="40"/>
      <c r="C640" s="26" t="str">
        <f>IF(B640="","",SUMIF(Prearmados!E:E,B640,Prearmados!G:G))</f>
        <v/>
      </c>
      <c r="D640" s="19"/>
      <c r="E640" s="26" t="str">
        <f>IF(A640="","",IF(SUMIFS(Estructuras!E:E,Estructuras!B:B,A$2,Estructuras!C:C,A640)&gt;0,SUMIFS(Estructuras!E:E,Estructuras!B:B,A$2,Estructuras!C:C,A640),C640*D640))</f>
        <v/>
      </c>
      <c r="F640" s="36"/>
      <c r="G640" s="36"/>
      <c r="H640" s="36"/>
      <c r="I640" s="36" t="str">
        <f t="shared" si="2"/>
        <v/>
      </c>
      <c r="J640" s="37" t="str">
        <f t="shared" si="3"/>
        <v/>
      </c>
      <c r="K640" s="38" t="str">
        <f>IF(L640="","",SUMIF(Productos!E:E,L640,Productos!A:A))</f>
        <v/>
      </c>
      <c r="M640" s="39"/>
    </row>
    <row r="641">
      <c r="A641" s="2" t="str">
        <f>IF(B641="","",SUMIF(Productos!E:E,B641,Productos!A:A))</f>
        <v/>
      </c>
      <c r="B641" s="40"/>
      <c r="C641" s="26" t="str">
        <f>IF(B641="","",SUMIF(Prearmados!E:E,B641,Prearmados!G:G))</f>
        <v/>
      </c>
      <c r="D641" s="19"/>
      <c r="E641" s="26" t="str">
        <f>IF(A641="","",IF(SUMIFS(Estructuras!E:E,Estructuras!B:B,A$2,Estructuras!C:C,A641)&gt;0,SUMIFS(Estructuras!E:E,Estructuras!B:B,A$2,Estructuras!C:C,A641),C641*D641))</f>
        <v/>
      </c>
      <c r="F641" s="36"/>
      <c r="G641" s="36"/>
      <c r="H641" s="36"/>
      <c r="I641" s="36" t="str">
        <f t="shared" si="2"/>
        <v/>
      </c>
      <c r="J641" s="37" t="str">
        <f t="shared" si="3"/>
        <v/>
      </c>
      <c r="K641" s="38" t="str">
        <f>IF(L641="","",SUMIF(Productos!E:E,L641,Productos!A:A))</f>
        <v/>
      </c>
      <c r="M641" s="39"/>
    </row>
    <row r="642">
      <c r="A642" s="2" t="str">
        <f>IF(B642="","",SUMIF(Productos!E:E,B642,Productos!A:A))</f>
        <v/>
      </c>
      <c r="B642" s="40"/>
      <c r="C642" s="26" t="str">
        <f>IF(B642="","",SUMIF(Prearmados!E:E,B642,Prearmados!G:G))</f>
        <v/>
      </c>
      <c r="D642" s="19"/>
      <c r="E642" s="26" t="str">
        <f>IF(A642="","",IF(SUMIFS(Estructuras!E:E,Estructuras!B:B,A$2,Estructuras!C:C,A642)&gt;0,SUMIFS(Estructuras!E:E,Estructuras!B:B,A$2,Estructuras!C:C,A642),C642*D642))</f>
        <v/>
      </c>
      <c r="F642" s="36"/>
      <c r="G642" s="36"/>
      <c r="H642" s="36"/>
      <c r="I642" s="36" t="str">
        <f t="shared" si="2"/>
        <v/>
      </c>
      <c r="J642" s="37" t="str">
        <f t="shared" si="3"/>
        <v/>
      </c>
      <c r="K642" s="38" t="str">
        <f>IF(L642="","",SUMIF(Productos!E:E,L642,Productos!A:A))</f>
        <v/>
      </c>
      <c r="M642" s="39"/>
    </row>
    <row r="643">
      <c r="A643" s="2" t="str">
        <f>IF(B643="","",SUMIF(Productos!E:E,B643,Productos!A:A))</f>
        <v/>
      </c>
      <c r="B643" s="40"/>
      <c r="C643" s="26" t="str">
        <f>IF(B643="","",SUMIF(Prearmados!E:E,B643,Prearmados!G:G))</f>
        <v/>
      </c>
      <c r="D643" s="19"/>
      <c r="E643" s="26" t="str">
        <f>IF(A643="","",IF(SUMIFS(Estructuras!E:E,Estructuras!B:B,A$2,Estructuras!C:C,A643)&gt;0,SUMIFS(Estructuras!E:E,Estructuras!B:B,A$2,Estructuras!C:C,A643),C643*D643))</f>
        <v/>
      </c>
      <c r="F643" s="36"/>
      <c r="G643" s="36"/>
      <c r="H643" s="36"/>
      <c r="I643" s="36" t="str">
        <f t="shared" si="2"/>
        <v/>
      </c>
      <c r="J643" s="37" t="str">
        <f t="shared" si="3"/>
        <v/>
      </c>
      <c r="K643" s="38" t="str">
        <f>IF(L643="","",SUMIF(Productos!E:E,L643,Productos!A:A))</f>
        <v/>
      </c>
      <c r="M643" s="39"/>
    </row>
    <row r="644">
      <c r="A644" s="2" t="str">
        <f>IF(B644="","",SUMIF(Productos!E:E,B644,Productos!A:A))</f>
        <v/>
      </c>
      <c r="B644" s="40"/>
      <c r="C644" s="26" t="str">
        <f>IF(B644="","",SUMIF(Prearmados!E:E,B644,Prearmados!G:G))</f>
        <v/>
      </c>
      <c r="D644" s="19"/>
      <c r="E644" s="26" t="str">
        <f>IF(A644="","",IF(SUMIFS(Estructuras!E:E,Estructuras!B:B,A$2,Estructuras!C:C,A644)&gt;0,SUMIFS(Estructuras!E:E,Estructuras!B:B,A$2,Estructuras!C:C,A644),C644*D644))</f>
        <v/>
      </c>
      <c r="F644" s="36"/>
      <c r="G644" s="36"/>
      <c r="H644" s="36"/>
      <c r="I644" s="36" t="str">
        <f t="shared" si="2"/>
        <v/>
      </c>
      <c r="J644" s="37" t="str">
        <f t="shared" si="3"/>
        <v/>
      </c>
      <c r="K644" s="38" t="str">
        <f>IF(L644="","",SUMIF(Productos!E:E,L644,Productos!A:A))</f>
        <v/>
      </c>
      <c r="M644" s="39"/>
    </row>
    <row r="645">
      <c r="A645" s="2" t="str">
        <f>IF(B645="","",SUMIF(Productos!E:E,B645,Productos!A:A))</f>
        <v/>
      </c>
      <c r="B645" s="40"/>
      <c r="C645" s="26" t="str">
        <f>IF(B645="","",SUMIF(Prearmados!E:E,B645,Prearmados!G:G))</f>
        <v/>
      </c>
      <c r="D645" s="19"/>
      <c r="E645" s="26" t="str">
        <f>IF(A645="","",IF(SUMIFS(Estructuras!E:E,Estructuras!B:B,A$2,Estructuras!C:C,A645)&gt;0,SUMIFS(Estructuras!E:E,Estructuras!B:B,A$2,Estructuras!C:C,A645),C645*D645))</f>
        <v/>
      </c>
      <c r="F645" s="36"/>
      <c r="G645" s="36"/>
      <c r="H645" s="36"/>
      <c r="I645" s="36" t="str">
        <f t="shared" si="2"/>
        <v/>
      </c>
      <c r="J645" s="37" t="str">
        <f t="shared" si="3"/>
        <v/>
      </c>
      <c r="K645" s="38" t="str">
        <f>IF(L645="","",SUMIF(Productos!E:E,L645,Productos!A:A))</f>
        <v/>
      </c>
      <c r="M645" s="39"/>
    </row>
    <row r="646">
      <c r="A646" s="2" t="str">
        <f>IF(B646="","",SUMIF(Productos!E:E,B646,Productos!A:A))</f>
        <v/>
      </c>
      <c r="B646" s="40"/>
      <c r="C646" s="26" t="str">
        <f>IF(B646="","",SUMIF(Prearmados!E:E,B646,Prearmados!G:G))</f>
        <v/>
      </c>
      <c r="D646" s="19"/>
      <c r="E646" s="26" t="str">
        <f>IF(A646="","",IF(SUMIFS(Estructuras!E:E,Estructuras!B:B,A$2,Estructuras!C:C,A646)&gt;0,SUMIFS(Estructuras!E:E,Estructuras!B:B,A$2,Estructuras!C:C,A646),C646*D646))</f>
        <v/>
      </c>
      <c r="F646" s="36"/>
      <c r="G646" s="36"/>
      <c r="H646" s="36"/>
      <c r="I646" s="36" t="str">
        <f t="shared" si="2"/>
        <v/>
      </c>
      <c r="J646" s="37" t="str">
        <f t="shared" si="3"/>
        <v/>
      </c>
      <c r="K646" s="38" t="str">
        <f>IF(L646="","",SUMIF(Productos!E:E,L646,Productos!A:A))</f>
        <v/>
      </c>
      <c r="M646" s="39"/>
    </row>
    <row r="647">
      <c r="A647" s="2" t="str">
        <f>IF(B647="","",SUMIF(Productos!E:E,B647,Productos!A:A))</f>
        <v/>
      </c>
      <c r="B647" s="40"/>
      <c r="C647" s="26" t="str">
        <f>IF(B647="","",SUMIF(Prearmados!E:E,B647,Prearmados!G:G))</f>
        <v/>
      </c>
      <c r="D647" s="19"/>
      <c r="E647" s="26" t="str">
        <f>IF(A647="","",IF(SUMIFS(Estructuras!E:E,Estructuras!B:B,A$2,Estructuras!C:C,A647)&gt;0,SUMIFS(Estructuras!E:E,Estructuras!B:B,A$2,Estructuras!C:C,A647),C647*D647))</f>
        <v/>
      </c>
      <c r="F647" s="36"/>
      <c r="G647" s="36"/>
      <c r="H647" s="36"/>
      <c r="I647" s="36" t="str">
        <f t="shared" si="2"/>
        <v/>
      </c>
      <c r="J647" s="37" t="str">
        <f t="shared" si="3"/>
        <v/>
      </c>
      <c r="K647" s="38" t="str">
        <f>IF(L647="","",SUMIF(Productos!E:E,L647,Productos!A:A))</f>
        <v/>
      </c>
      <c r="M647" s="39"/>
    </row>
    <row r="648">
      <c r="A648" s="2" t="str">
        <f>IF(B648="","",SUMIF(Productos!E:E,B648,Productos!A:A))</f>
        <v/>
      </c>
      <c r="B648" s="40"/>
      <c r="C648" s="26" t="str">
        <f>IF(B648="","",SUMIF(Prearmados!E:E,B648,Prearmados!G:G))</f>
        <v/>
      </c>
      <c r="D648" s="19"/>
      <c r="E648" s="26" t="str">
        <f>IF(A648="","",IF(SUMIFS(Estructuras!E:E,Estructuras!B:B,A$2,Estructuras!C:C,A648)&gt;0,SUMIFS(Estructuras!E:E,Estructuras!B:B,A$2,Estructuras!C:C,A648),C648*D648))</f>
        <v/>
      </c>
      <c r="F648" s="36"/>
      <c r="G648" s="36"/>
      <c r="H648" s="36"/>
      <c r="I648" s="36" t="str">
        <f t="shared" si="2"/>
        <v/>
      </c>
      <c r="J648" s="37" t="str">
        <f t="shared" si="3"/>
        <v/>
      </c>
      <c r="K648" s="38" t="str">
        <f>IF(L648="","",SUMIF(Productos!E:E,L648,Productos!A:A))</f>
        <v/>
      </c>
      <c r="M648" s="39"/>
    </row>
    <row r="649">
      <c r="A649" s="2" t="str">
        <f>IF(B649="","",SUMIF(Productos!E:E,B649,Productos!A:A))</f>
        <v/>
      </c>
      <c r="B649" s="40"/>
      <c r="C649" s="26" t="str">
        <f>IF(B649="","",SUMIF(Prearmados!E:E,B649,Prearmados!G:G))</f>
        <v/>
      </c>
      <c r="D649" s="19"/>
      <c r="E649" s="26" t="str">
        <f>IF(A649="","",IF(SUMIFS(Estructuras!E:E,Estructuras!B:B,A$2,Estructuras!C:C,A649)&gt;0,SUMIFS(Estructuras!E:E,Estructuras!B:B,A$2,Estructuras!C:C,A649),C649*D649))</f>
        <v/>
      </c>
      <c r="F649" s="36"/>
      <c r="G649" s="36"/>
      <c r="H649" s="36"/>
      <c r="I649" s="36" t="str">
        <f t="shared" si="2"/>
        <v/>
      </c>
      <c r="J649" s="37" t="str">
        <f t="shared" si="3"/>
        <v/>
      </c>
      <c r="K649" s="38" t="str">
        <f>IF(L649="","",SUMIF(Productos!E:E,L649,Productos!A:A))</f>
        <v/>
      </c>
      <c r="M649" s="39"/>
    </row>
    <row r="650">
      <c r="A650" s="2" t="str">
        <f>IF(B650="","",SUMIF(Productos!E:E,B650,Productos!A:A))</f>
        <v/>
      </c>
      <c r="B650" s="40"/>
      <c r="C650" s="26" t="str">
        <f>IF(B650="","",SUMIF(Prearmados!E:E,B650,Prearmados!G:G))</f>
        <v/>
      </c>
      <c r="D650" s="19"/>
      <c r="E650" s="26" t="str">
        <f>IF(A650="","",IF(SUMIFS(Estructuras!E:E,Estructuras!B:B,A$2,Estructuras!C:C,A650)&gt;0,SUMIFS(Estructuras!E:E,Estructuras!B:B,A$2,Estructuras!C:C,A650),C650*D650))</f>
        <v/>
      </c>
      <c r="F650" s="36"/>
      <c r="G650" s="36"/>
      <c r="H650" s="36"/>
      <c r="I650" s="36" t="str">
        <f t="shared" si="2"/>
        <v/>
      </c>
      <c r="J650" s="37" t="str">
        <f t="shared" si="3"/>
        <v/>
      </c>
      <c r="K650" s="38" t="str">
        <f>IF(L650="","",SUMIF(Productos!E:E,L650,Productos!A:A))</f>
        <v/>
      </c>
      <c r="M650" s="39"/>
    </row>
    <row r="651">
      <c r="A651" s="2" t="str">
        <f>IF(B651="","",SUMIF(Productos!E:E,B651,Productos!A:A))</f>
        <v/>
      </c>
      <c r="B651" s="40"/>
      <c r="C651" s="26" t="str">
        <f>IF(B651="","",SUMIF(Prearmados!E:E,B651,Prearmados!G:G))</f>
        <v/>
      </c>
      <c r="D651" s="19"/>
      <c r="E651" s="26" t="str">
        <f>IF(A651="","",IF(SUMIFS(Estructuras!E:E,Estructuras!B:B,A$2,Estructuras!C:C,A651)&gt;0,SUMIFS(Estructuras!E:E,Estructuras!B:B,A$2,Estructuras!C:C,A651),C651*D651))</f>
        <v/>
      </c>
      <c r="F651" s="36"/>
      <c r="G651" s="36"/>
      <c r="H651" s="36"/>
      <c r="I651" s="36" t="str">
        <f t="shared" si="2"/>
        <v/>
      </c>
      <c r="J651" s="37" t="str">
        <f t="shared" si="3"/>
        <v/>
      </c>
      <c r="K651" s="38" t="str">
        <f>IF(L651="","",SUMIF(Productos!E:E,L651,Productos!A:A))</f>
        <v/>
      </c>
      <c r="M651" s="39"/>
    </row>
    <row r="652">
      <c r="A652" s="2" t="str">
        <f>IF(B652="","",SUMIF(Productos!E:E,B652,Productos!A:A))</f>
        <v/>
      </c>
      <c r="B652" s="40"/>
      <c r="C652" s="26" t="str">
        <f>IF(B652="","",SUMIF(Prearmados!E:E,B652,Prearmados!G:G))</f>
        <v/>
      </c>
      <c r="D652" s="19"/>
      <c r="E652" s="26" t="str">
        <f>IF(A652="","",IF(SUMIFS(Estructuras!E:E,Estructuras!B:B,A$2,Estructuras!C:C,A652)&gt;0,SUMIFS(Estructuras!E:E,Estructuras!B:B,A$2,Estructuras!C:C,A652),C652*D652))</f>
        <v/>
      </c>
      <c r="F652" s="36"/>
      <c r="G652" s="36"/>
      <c r="H652" s="36"/>
      <c r="I652" s="36" t="str">
        <f t="shared" si="2"/>
        <v/>
      </c>
      <c r="J652" s="37" t="str">
        <f t="shared" si="3"/>
        <v/>
      </c>
      <c r="K652" s="38" t="str">
        <f>IF(L652="","",SUMIF(Productos!E:E,L652,Productos!A:A))</f>
        <v/>
      </c>
      <c r="M652" s="39"/>
    </row>
    <row r="653">
      <c r="A653" s="2" t="str">
        <f>IF(B653="","",SUMIF(Productos!E:E,B653,Productos!A:A))</f>
        <v/>
      </c>
      <c r="B653" s="40"/>
      <c r="C653" s="26" t="str">
        <f>IF(B653="","",SUMIF(Prearmados!E:E,B653,Prearmados!G:G))</f>
        <v/>
      </c>
      <c r="D653" s="19"/>
      <c r="E653" s="26" t="str">
        <f>IF(A653="","",IF(SUMIFS(Estructuras!E:E,Estructuras!B:B,A$2,Estructuras!C:C,A653)&gt;0,SUMIFS(Estructuras!E:E,Estructuras!B:B,A$2,Estructuras!C:C,A653),C653*D653))</f>
        <v/>
      </c>
      <c r="F653" s="36"/>
      <c r="G653" s="36"/>
      <c r="H653" s="36"/>
      <c r="I653" s="36" t="str">
        <f t="shared" si="2"/>
        <v/>
      </c>
      <c r="J653" s="37" t="str">
        <f t="shared" si="3"/>
        <v/>
      </c>
      <c r="K653" s="38" t="str">
        <f>IF(L653="","",SUMIF(Productos!E:E,L653,Productos!A:A))</f>
        <v/>
      </c>
      <c r="M653" s="39"/>
    </row>
    <row r="654">
      <c r="A654" s="2" t="str">
        <f>IF(B654="","",SUMIF(Productos!E:E,B654,Productos!A:A))</f>
        <v/>
      </c>
      <c r="B654" s="40"/>
      <c r="C654" s="26" t="str">
        <f>IF(B654="","",SUMIF(Prearmados!E:E,B654,Prearmados!G:G))</f>
        <v/>
      </c>
      <c r="D654" s="19"/>
      <c r="E654" s="26" t="str">
        <f>IF(A654="","",IF(SUMIFS(Estructuras!E:E,Estructuras!B:B,A$2,Estructuras!C:C,A654)&gt;0,SUMIFS(Estructuras!E:E,Estructuras!B:B,A$2,Estructuras!C:C,A654),C654*D654))</f>
        <v/>
      </c>
      <c r="F654" s="36"/>
      <c r="G654" s="36"/>
      <c r="H654" s="36"/>
      <c r="I654" s="36" t="str">
        <f t="shared" si="2"/>
        <v/>
      </c>
      <c r="J654" s="37" t="str">
        <f t="shared" si="3"/>
        <v/>
      </c>
      <c r="K654" s="38" t="str">
        <f>IF(L654="","",SUMIF(Productos!E:E,L654,Productos!A:A))</f>
        <v/>
      </c>
      <c r="M654" s="39"/>
    </row>
    <row r="655">
      <c r="A655" s="2" t="str">
        <f>IF(B655="","",SUMIF(Productos!E:E,B655,Productos!A:A))</f>
        <v/>
      </c>
      <c r="B655" s="40"/>
      <c r="C655" s="26" t="str">
        <f>IF(B655="","",SUMIF(Prearmados!E:E,B655,Prearmados!G:G))</f>
        <v/>
      </c>
      <c r="D655" s="19"/>
      <c r="E655" s="26" t="str">
        <f>IF(A655="","",IF(SUMIFS(Estructuras!E:E,Estructuras!B:B,A$2,Estructuras!C:C,A655)&gt;0,SUMIFS(Estructuras!E:E,Estructuras!B:B,A$2,Estructuras!C:C,A655),C655*D655))</f>
        <v/>
      </c>
      <c r="F655" s="36"/>
      <c r="G655" s="36"/>
      <c r="H655" s="36"/>
      <c r="I655" s="36" t="str">
        <f t="shared" si="2"/>
        <v/>
      </c>
      <c r="J655" s="37" t="str">
        <f t="shared" si="3"/>
        <v/>
      </c>
      <c r="K655" s="38" t="str">
        <f>IF(L655="","",SUMIF(Productos!E:E,L655,Productos!A:A))</f>
        <v/>
      </c>
      <c r="M655" s="39"/>
    </row>
    <row r="656">
      <c r="A656" s="2" t="str">
        <f>IF(B656="","",SUMIF(Productos!E:E,B656,Productos!A:A))</f>
        <v/>
      </c>
      <c r="B656" s="40"/>
      <c r="C656" s="26" t="str">
        <f>IF(B656="","",SUMIF(Prearmados!E:E,B656,Prearmados!G:G))</f>
        <v/>
      </c>
      <c r="D656" s="19"/>
      <c r="E656" s="26" t="str">
        <f>IF(A656="","",IF(SUMIFS(Estructuras!E:E,Estructuras!B:B,A$2,Estructuras!C:C,A656)&gt;0,SUMIFS(Estructuras!E:E,Estructuras!B:B,A$2,Estructuras!C:C,A656),C656*D656))</f>
        <v/>
      </c>
      <c r="F656" s="36"/>
      <c r="G656" s="36"/>
      <c r="H656" s="36"/>
      <c r="I656" s="36" t="str">
        <f t="shared" si="2"/>
        <v/>
      </c>
      <c r="J656" s="37" t="str">
        <f t="shared" si="3"/>
        <v/>
      </c>
      <c r="K656" s="38" t="str">
        <f>IF(L656="","",SUMIF(Productos!E:E,L656,Productos!A:A))</f>
        <v/>
      </c>
      <c r="M656" s="39"/>
    </row>
    <row r="657">
      <c r="A657" s="2" t="str">
        <f>IF(B657="","",SUMIF(Productos!E:E,B657,Productos!A:A))</f>
        <v/>
      </c>
      <c r="B657" s="40"/>
      <c r="C657" s="26" t="str">
        <f>IF(B657="","",SUMIF(Prearmados!E:E,B657,Prearmados!G:G))</f>
        <v/>
      </c>
      <c r="D657" s="19"/>
      <c r="E657" s="26" t="str">
        <f>IF(A657="","",IF(SUMIFS(Estructuras!E:E,Estructuras!B:B,A$2,Estructuras!C:C,A657)&gt;0,SUMIFS(Estructuras!E:E,Estructuras!B:B,A$2,Estructuras!C:C,A657),C657*D657))</f>
        <v/>
      </c>
      <c r="F657" s="36"/>
      <c r="G657" s="36"/>
      <c r="H657" s="36"/>
      <c r="I657" s="36" t="str">
        <f t="shared" si="2"/>
        <v/>
      </c>
      <c r="J657" s="37" t="str">
        <f t="shared" si="3"/>
        <v/>
      </c>
      <c r="K657" s="38" t="str">
        <f>IF(L657="","",SUMIF(Productos!E:E,L657,Productos!A:A))</f>
        <v/>
      </c>
      <c r="M657" s="39"/>
    </row>
    <row r="658">
      <c r="A658" s="2" t="str">
        <f>IF(B658="","",SUMIF(Productos!E:E,B658,Productos!A:A))</f>
        <v/>
      </c>
      <c r="B658" s="40"/>
      <c r="C658" s="26" t="str">
        <f>IF(B658="","",SUMIF(Prearmados!E:E,B658,Prearmados!G:G))</f>
        <v/>
      </c>
      <c r="D658" s="19"/>
      <c r="E658" s="26" t="str">
        <f>IF(A658="","",IF(SUMIFS(Estructuras!E:E,Estructuras!B:B,A$2,Estructuras!C:C,A658)&gt;0,SUMIFS(Estructuras!E:E,Estructuras!B:B,A$2,Estructuras!C:C,A658),C658*D658))</f>
        <v/>
      </c>
      <c r="F658" s="36"/>
      <c r="G658" s="36"/>
      <c r="H658" s="36"/>
      <c r="I658" s="36" t="str">
        <f t="shared" si="2"/>
        <v/>
      </c>
      <c r="J658" s="37" t="str">
        <f t="shared" si="3"/>
        <v/>
      </c>
      <c r="K658" s="38" t="str">
        <f>IF(L658="","",SUMIF(Productos!E:E,L658,Productos!A:A))</f>
        <v/>
      </c>
      <c r="M658" s="39"/>
    </row>
    <row r="659">
      <c r="A659" s="2" t="str">
        <f>IF(B659="","",SUMIF(Productos!E:E,B659,Productos!A:A))</f>
        <v/>
      </c>
      <c r="B659" s="40"/>
      <c r="C659" s="26" t="str">
        <f>IF(B659="","",SUMIF(Prearmados!E:E,B659,Prearmados!G:G))</f>
        <v/>
      </c>
      <c r="D659" s="19"/>
      <c r="E659" s="26" t="str">
        <f>IF(A659="","",IF(SUMIFS(Estructuras!E:E,Estructuras!B:B,A$2,Estructuras!C:C,A659)&gt;0,SUMIFS(Estructuras!E:E,Estructuras!B:B,A$2,Estructuras!C:C,A659),C659*D659))</f>
        <v/>
      </c>
      <c r="F659" s="36"/>
      <c r="G659" s="36"/>
      <c r="H659" s="36"/>
      <c r="I659" s="36" t="str">
        <f t="shared" si="2"/>
        <v/>
      </c>
      <c r="J659" s="37" t="str">
        <f t="shared" si="3"/>
        <v/>
      </c>
      <c r="K659" s="38" t="str">
        <f>IF(L659="","",SUMIF(Productos!E:E,L659,Productos!A:A))</f>
        <v/>
      </c>
      <c r="M659" s="39"/>
    </row>
    <row r="660">
      <c r="A660" s="2" t="str">
        <f>IF(B660="","",SUMIF(Productos!E:E,B660,Productos!A:A))</f>
        <v/>
      </c>
      <c r="B660" s="40"/>
      <c r="C660" s="26" t="str">
        <f>IF(B660="","",SUMIF(Prearmados!E:E,B660,Prearmados!G:G))</f>
        <v/>
      </c>
      <c r="D660" s="19"/>
      <c r="E660" s="26" t="str">
        <f>IF(A660="","",IF(SUMIFS(Estructuras!E:E,Estructuras!B:B,A$2,Estructuras!C:C,A660)&gt;0,SUMIFS(Estructuras!E:E,Estructuras!B:B,A$2,Estructuras!C:C,A660),C660*D660))</f>
        <v/>
      </c>
      <c r="F660" s="36"/>
      <c r="G660" s="36"/>
      <c r="H660" s="36"/>
      <c r="I660" s="36" t="str">
        <f t="shared" si="2"/>
        <v/>
      </c>
      <c r="J660" s="37" t="str">
        <f t="shared" si="3"/>
        <v/>
      </c>
      <c r="K660" s="38" t="str">
        <f>IF(L660="","",SUMIF(Productos!E:E,L660,Productos!A:A))</f>
        <v/>
      </c>
      <c r="M660" s="39"/>
    </row>
    <row r="661">
      <c r="A661" s="2" t="str">
        <f>IF(B661="","",SUMIF(Productos!E:E,B661,Productos!A:A))</f>
        <v/>
      </c>
      <c r="B661" s="40"/>
      <c r="C661" s="26" t="str">
        <f>IF(B661="","",SUMIF(Prearmados!E:E,B661,Prearmados!G:G))</f>
        <v/>
      </c>
      <c r="D661" s="19"/>
      <c r="E661" s="26" t="str">
        <f>IF(A661="","",IF(SUMIFS(Estructuras!E:E,Estructuras!B:B,A$2,Estructuras!C:C,A661)&gt;0,SUMIFS(Estructuras!E:E,Estructuras!B:B,A$2,Estructuras!C:C,A661),C661*D661))</f>
        <v/>
      </c>
      <c r="F661" s="36"/>
      <c r="G661" s="36"/>
      <c r="H661" s="36"/>
      <c r="I661" s="36" t="str">
        <f t="shared" si="2"/>
        <v/>
      </c>
      <c r="J661" s="37" t="str">
        <f t="shared" si="3"/>
        <v/>
      </c>
      <c r="K661" s="38" t="str">
        <f>IF(L661="","",SUMIF(Productos!E:E,L661,Productos!A:A))</f>
        <v/>
      </c>
      <c r="M661" s="39"/>
    </row>
    <row r="662">
      <c r="A662" s="2" t="str">
        <f>IF(B662="","",SUMIF(Productos!E:E,B662,Productos!A:A))</f>
        <v/>
      </c>
      <c r="B662" s="40"/>
      <c r="C662" s="26" t="str">
        <f>IF(B662="","",SUMIF(Prearmados!E:E,B662,Prearmados!G:G))</f>
        <v/>
      </c>
      <c r="D662" s="19"/>
      <c r="E662" s="26" t="str">
        <f>IF(A662="","",IF(SUMIFS(Estructuras!E:E,Estructuras!B:B,A$2,Estructuras!C:C,A662)&gt;0,SUMIFS(Estructuras!E:E,Estructuras!B:B,A$2,Estructuras!C:C,A662),C662*D662))</f>
        <v/>
      </c>
      <c r="F662" s="36"/>
      <c r="G662" s="36"/>
      <c r="H662" s="36"/>
      <c r="I662" s="36" t="str">
        <f t="shared" si="2"/>
        <v/>
      </c>
      <c r="J662" s="37" t="str">
        <f t="shared" si="3"/>
        <v/>
      </c>
      <c r="K662" s="38" t="str">
        <f>IF(L662="","",SUMIF(Productos!E:E,L662,Productos!A:A))</f>
        <v/>
      </c>
      <c r="M662" s="39"/>
    </row>
    <row r="663">
      <c r="A663" s="2" t="str">
        <f>IF(B663="","",SUMIF(Productos!E:E,B663,Productos!A:A))</f>
        <v/>
      </c>
      <c r="B663" s="40"/>
      <c r="C663" s="26" t="str">
        <f>IF(B663="","",SUMIF(Prearmados!E:E,B663,Prearmados!G:G))</f>
        <v/>
      </c>
      <c r="D663" s="19"/>
      <c r="E663" s="26" t="str">
        <f>IF(A663="","",IF(SUMIFS(Estructuras!E:E,Estructuras!B:B,A$2,Estructuras!C:C,A663)&gt;0,SUMIFS(Estructuras!E:E,Estructuras!B:B,A$2,Estructuras!C:C,A663),C663*D663))</f>
        <v/>
      </c>
      <c r="F663" s="36"/>
      <c r="G663" s="36"/>
      <c r="H663" s="36"/>
      <c r="I663" s="36" t="str">
        <f t="shared" si="2"/>
        <v/>
      </c>
      <c r="J663" s="37" t="str">
        <f t="shared" si="3"/>
        <v/>
      </c>
      <c r="K663" s="38" t="str">
        <f>IF(L663="","",SUMIF(Productos!E:E,L663,Productos!A:A))</f>
        <v/>
      </c>
      <c r="M663" s="39"/>
    </row>
    <row r="664">
      <c r="A664" s="2" t="str">
        <f>IF(B664="","",SUMIF(Productos!E:E,B664,Productos!A:A))</f>
        <v/>
      </c>
      <c r="B664" s="40"/>
      <c r="C664" s="26" t="str">
        <f>IF(B664="","",SUMIF(Prearmados!E:E,B664,Prearmados!G:G))</f>
        <v/>
      </c>
      <c r="D664" s="19"/>
      <c r="E664" s="26" t="str">
        <f>IF(A664="","",IF(SUMIFS(Estructuras!E:E,Estructuras!B:B,A$2,Estructuras!C:C,A664)&gt;0,SUMIFS(Estructuras!E:E,Estructuras!B:B,A$2,Estructuras!C:C,A664),C664*D664))</f>
        <v/>
      </c>
      <c r="F664" s="36"/>
      <c r="G664" s="36"/>
      <c r="H664" s="36"/>
      <c r="I664" s="36" t="str">
        <f t="shared" si="2"/>
        <v/>
      </c>
      <c r="J664" s="37" t="str">
        <f t="shared" si="3"/>
        <v/>
      </c>
      <c r="K664" s="38" t="str">
        <f>IF(L664="","",SUMIF(Productos!E:E,L664,Productos!A:A))</f>
        <v/>
      </c>
      <c r="M664" s="39"/>
    </row>
    <row r="665">
      <c r="A665" s="2" t="str">
        <f>IF(B665="","",SUMIF(Productos!E:E,B665,Productos!A:A))</f>
        <v/>
      </c>
      <c r="B665" s="40"/>
      <c r="C665" s="26" t="str">
        <f>IF(B665="","",SUMIF(Prearmados!E:E,B665,Prearmados!G:G))</f>
        <v/>
      </c>
      <c r="D665" s="19"/>
      <c r="E665" s="26" t="str">
        <f>IF(A665="","",IF(SUMIFS(Estructuras!E:E,Estructuras!B:B,A$2,Estructuras!C:C,A665)&gt;0,SUMIFS(Estructuras!E:E,Estructuras!B:B,A$2,Estructuras!C:C,A665),C665*D665))</f>
        <v/>
      </c>
      <c r="F665" s="36"/>
      <c r="G665" s="36"/>
      <c r="H665" s="36"/>
      <c r="I665" s="36" t="str">
        <f t="shared" si="2"/>
        <v/>
      </c>
      <c r="J665" s="37" t="str">
        <f t="shared" si="3"/>
        <v/>
      </c>
      <c r="K665" s="38" t="str">
        <f>IF(L665="","",SUMIF(Productos!E:E,L665,Productos!A:A))</f>
        <v/>
      </c>
      <c r="M665" s="39"/>
    </row>
    <row r="666">
      <c r="A666" s="2" t="str">
        <f>IF(B666="","",SUMIF(Productos!E:E,B666,Productos!A:A))</f>
        <v/>
      </c>
      <c r="B666" s="40"/>
      <c r="C666" s="26" t="str">
        <f>IF(B666="","",SUMIF(Prearmados!E:E,B666,Prearmados!G:G))</f>
        <v/>
      </c>
      <c r="D666" s="19"/>
      <c r="E666" s="26" t="str">
        <f>IF(A666="","",IF(SUMIFS(Estructuras!E:E,Estructuras!B:B,A$2,Estructuras!C:C,A666)&gt;0,SUMIFS(Estructuras!E:E,Estructuras!B:B,A$2,Estructuras!C:C,A666),C666*D666))</f>
        <v/>
      </c>
      <c r="F666" s="36"/>
      <c r="G666" s="36"/>
      <c r="H666" s="36"/>
      <c r="I666" s="36" t="str">
        <f t="shared" si="2"/>
        <v/>
      </c>
      <c r="J666" s="37" t="str">
        <f t="shared" si="3"/>
        <v/>
      </c>
      <c r="K666" s="38" t="str">
        <f>IF(L666="","",SUMIF(Productos!E:E,L666,Productos!A:A))</f>
        <v/>
      </c>
      <c r="M666" s="39"/>
    </row>
    <row r="667">
      <c r="A667" s="2" t="str">
        <f>IF(B667="","",SUMIF(Productos!E:E,B667,Productos!A:A))</f>
        <v/>
      </c>
      <c r="B667" s="40"/>
      <c r="C667" s="26" t="str">
        <f>IF(B667="","",SUMIF(Prearmados!E:E,B667,Prearmados!G:G))</f>
        <v/>
      </c>
      <c r="D667" s="19"/>
      <c r="E667" s="26" t="str">
        <f>IF(A667="","",IF(SUMIFS(Estructuras!E:E,Estructuras!B:B,A$2,Estructuras!C:C,A667)&gt;0,SUMIFS(Estructuras!E:E,Estructuras!B:B,A$2,Estructuras!C:C,A667),C667*D667))</f>
        <v/>
      </c>
      <c r="F667" s="36"/>
      <c r="G667" s="36"/>
      <c r="H667" s="36"/>
      <c r="I667" s="36" t="str">
        <f t="shared" si="2"/>
        <v/>
      </c>
      <c r="J667" s="37" t="str">
        <f t="shared" si="3"/>
        <v/>
      </c>
      <c r="K667" s="38" t="str">
        <f>IF(L667="","",SUMIF(Productos!E:E,L667,Productos!A:A))</f>
        <v/>
      </c>
      <c r="M667" s="39"/>
    </row>
    <row r="668">
      <c r="A668" s="2" t="str">
        <f>IF(B668="","",SUMIF(Productos!E:E,B668,Productos!A:A))</f>
        <v/>
      </c>
      <c r="B668" s="40"/>
      <c r="C668" s="26" t="str">
        <f>IF(B668="","",SUMIF(Prearmados!E:E,B668,Prearmados!G:G))</f>
        <v/>
      </c>
      <c r="D668" s="19"/>
      <c r="E668" s="26" t="str">
        <f>IF(A668="","",IF(SUMIFS(Estructuras!E:E,Estructuras!B:B,A$2,Estructuras!C:C,A668)&gt;0,SUMIFS(Estructuras!E:E,Estructuras!B:B,A$2,Estructuras!C:C,A668),C668*D668))</f>
        <v/>
      </c>
      <c r="F668" s="36"/>
      <c r="G668" s="36"/>
      <c r="H668" s="36"/>
      <c r="I668" s="36" t="str">
        <f t="shared" si="2"/>
        <v/>
      </c>
      <c r="J668" s="37" t="str">
        <f t="shared" si="3"/>
        <v/>
      </c>
      <c r="K668" s="38" t="str">
        <f>IF(L668="","",SUMIF(Productos!E:E,L668,Productos!A:A))</f>
        <v/>
      </c>
      <c r="M668" s="39"/>
    </row>
    <row r="669">
      <c r="A669" s="2" t="str">
        <f>IF(B669="","",SUMIF(Productos!E:E,B669,Productos!A:A))</f>
        <v/>
      </c>
      <c r="B669" s="40"/>
      <c r="C669" s="26" t="str">
        <f>IF(B669="","",SUMIF(Prearmados!E:E,B669,Prearmados!G:G))</f>
        <v/>
      </c>
      <c r="D669" s="19"/>
      <c r="E669" s="26" t="str">
        <f>IF(A669="","",IF(SUMIFS(Estructuras!E:E,Estructuras!B:B,A$2,Estructuras!C:C,A669)&gt;0,SUMIFS(Estructuras!E:E,Estructuras!B:B,A$2,Estructuras!C:C,A669),C669*D669))</f>
        <v/>
      </c>
      <c r="F669" s="36"/>
      <c r="G669" s="36"/>
      <c r="H669" s="36"/>
      <c r="I669" s="36" t="str">
        <f t="shared" si="2"/>
        <v/>
      </c>
      <c r="J669" s="37" t="str">
        <f t="shared" si="3"/>
        <v/>
      </c>
      <c r="K669" s="38" t="str">
        <f>IF(L669="","",SUMIF(Productos!E:E,L669,Productos!A:A))</f>
        <v/>
      </c>
      <c r="M669" s="39"/>
    </row>
    <row r="670">
      <c r="A670" s="2" t="str">
        <f>IF(B670="","",SUMIF(Productos!E:E,B670,Productos!A:A))</f>
        <v/>
      </c>
      <c r="B670" s="40"/>
      <c r="C670" s="26" t="str">
        <f>IF(B670="","",SUMIF(Prearmados!E:E,B670,Prearmados!G:G))</f>
        <v/>
      </c>
      <c r="D670" s="19"/>
      <c r="E670" s="26" t="str">
        <f>IF(A670="","",IF(SUMIFS(Estructuras!E:E,Estructuras!B:B,A$2,Estructuras!C:C,A670)&gt;0,SUMIFS(Estructuras!E:E,Estructuras!B:B,A$2,Estructuras!C:C,A670),C670*D670))</f>
        <v/>
      </c>
      <c r="F670" s="36"/>
      <c r="G670" s="36"/>
      <c r="H670" s="36"/>
      <c r="I670" s="36" t="str">
        <f t="shared" si="2"/>
        <v/>
      </c>
      <c r="J670" s="37" t="str">
        <f t="shared" si="3"/>
        <v/>
      </c>
      <c r="K670" s="38" t="str">
        <f>IF(L670="","",SUMIF(Productos!E:E,L670,Productos!A:A))</f>
        <v/>
      </c>
      <c r="M670" s="39"/>
    </row>
    <row r="671">
      <c r="A671" s="2" t="str">
        <f>IF(B671="","",SUMIF(Productos!E:E,B671,Productos!A:A))</f>
        <v/>
      </c>
      <c r="B671" s="40"/>
      <c r="C671" s="26" t="str">
        <f>IF(B671="","",SUMIF(Prearmados!E:E,B671,Prearmados!G:G))</f>
        <v/>
      </c>
      <c r="D671" s="19"/>
      <c r="E671" s="26" t="str">
        <f>IF(A671="","",IF(SUMIFS(Estructuras!E:E,Estructuras!B:B,A$2,Estructuras!C:C,A671)&gt;0,SUMIFS(Estructuras!E:E,Estructuras!B:B,A$2,Estructuras!C:C,A671),C671*D671))</f>
        <v/>
      </c>
      <c r="F671" s="36"/>
      <c r="G671" s="36"/>
      <c r="H671" s="36"/>
      <c r="I671" s="36" t="str">
        <f t="shared" si="2"/>
        <v/>
      </c>
      <c r="J671" s="37" t="str">
        <f t="shared" si="3"/>
        <v/>
      </c>
      <c r="K671" s="38" t="str">
        <f>IF(L671="","",SUMIF(Productos!E:E,L671,Productos!A:A))</f>
        <v/>
      </c>
      <c r="M671" s="39"/>
    </row>
    <row r="672">
      <c r="A672" s="2" t="str">
        <f>IF(B672="","",SUMIF(Productos!E:E,B672,Productos!A:A))</f>
        <v/>
      </c>
      <c r="B672" s="40"/>
      <c r="C672" s="26" t="str">
        <f>IF(B672="","",SUMIF(Prearmados!E:E,B672,Prearmados!G:G))</f>
        <v/>
      </c>
      <c r="D672" s="19"/>
      <c r="E672" s="26" t="str">
        <f>IF(A672="","",IF(SUMIFS(Estructuras!E:E,Estructuras!B:B,A$2,Estructuras!C:C,A672)&gt;0,SUMIFS(Estructuras!E:E,Estructuras!B:B,A$2,Estructuras!C:C,A672),C672*D672))</f>
        <v/>
      </c>
      <c r="F672" s="36"/>
      <c r="G672" s="36"/>
      <c r="H672" s="36"/>
      <c r="I672" s="36" t="str">
        <f t="shared" si="2"/>
        <v/>
      </c>
      <c r="J672" s="37" t="str">
        <f t="shared" si="3"/>
        <v/>
      </c>
      <c r="K672" s="38" t="str">
        <f>IF(L672="","",SUMIF(Productos!E:E,L672,Productos!A:A))</f>
        <v/>
      </c>
      <c r="M672" s="39"/>
    </row>
    <row r="673">
      <c r="A673" s="2" t="str">
        <f>IF(B673="","",SUMIF(Productos!E:E,B673,Productos!A:A))</f>
        <v/>
      </c>
      <c r="B673" s="40"/>
      <c r="C673" s="26" t="str">
        <f>IF(B673="","",SUMIF(Prearmados!E:E,B673,Prearmados!G:G))</f>
        <v/>
      </c>
      <c r="D673" s="19"/>
      <c r="E673" s="26" t="str">
        <f>IF(A673="","",IF(SUMIFS(Estructuras!E:E,Estructuras!B:B,A$2,Estructuras!C:C,A673)&gt;0,SUMIFS(Estructuras!E:E,Estructuras!B:B,A$2,Estructuras!C:C,A673),C673*D673))</f>
        <v/>
      </c>
      <c r="F673" s="36"/>
      <c r="G673" s="36"/>
      <c r="H673" s="36"/>
      <c r="I673" s="36" t="str">
        <f t="shared" si="2"/>
        <v/>
      </c>
      <c r="J673" s="37" t="str">
        <f t="shared" si="3"/>
        <v/>
      </c>
      <c r="K673" s="38" t="str">
        <f>IF(L673="","",SUMIF(Productos!E:E,L673,Productos!A:A))</f>
        <v/>
      </c>
      <c r="M673" s="39"/>
    </row>
    <row r="674">
      <c r="A674" s="2" t="str">
        <f>IF(B674="","",SUMIF(Productos!E:E,B674,Productos!A:A))</f>
        <v/>
      </c>
      <c r="B674" s="40"/>
      <c r="C674" s="26" t="str">
        <f>IF(B674="","",SUMIF(Prearmados!E:E,B674,Prearmados!G:G))</f>
        <v/>
      </c>
      <c r="D674" s="19"/>
      <c r="E674" s="26" t="str">
        <f>IF(A674="","",IF(SUMIFS(Estructuras!E:E,Estructuras!B:B,A$2,Estructuras!C:C,A674)&gt;0,SUMIFS(Estructuras!E:E,Estructuras!B:B,A$2,Estructuras!C:C,A674),C674*D674))</f>
        <v/>
      </c>
      <c r="F674" s="36"/>
      <c r="G674" s="36"/>
      <c r="H674" s="36"/>
      <c r="I674" s="36" t="str">
        <f t="shared" si="2"/>
        <v/>
      </c>
      <c r="J674" s="37" t="str">
        <f t="shared" si="3"/>
        <v/>
      </c>
      <c r="K674" s="38" t="str">
        <f>IF(L674="","",SUMIF(Productos!E:E,L674,Productos!A:A))</f>
        <v/>
      </c>
      <c r="M674" s="39"/>
    </row>
    <row r="675">
      <c r="A675" s="2" t="str">
        <f>IF(B675="","",SUMIF(Productos!E:E,B675,Productos!A:A))</f>
        <v/>
      </c>
      <c r="B675" s="40"/>
      <c r="C675" s="26" t="str">
        <f>IF(B675="","",SUMIF(Prearmados!E:E,B675,Prearmados!G:G))</f>
        <v/>
      </c>
      <c r="D675" s="19"/>
      <c r="E675" s="26" t="str">
        <f>IF(A675="","",IF(SUMIFS(Estructuras!E:E,Estructuras!B:B,A$2,Estructuras!C:C,A675)&gt;0,SUMIFS(Estructuras!E:E,Estructuras!B:B,A$2,Estructuras!C:C,A675),C675*D675))</f>
        <v/>
      </c>
      <c r="F675" s="36"/>
      <c r="G675" s="36"/>
      <c r="H675" s="36"/>
      <c r="I675" s="36" t="str">
        <f t="shared" si="2"/>
        <v/>
      </c>
      <c r="J675" s="37" t="str">
        <f t="shared" si="3"/>
        <v/>
      </c>
      <c r="K675" s="38" t="str">
        <f>IF(L675="","",SUMIF(Productos!E:E,L675,Productos!A:A))</f>
        <v/>
      </c>
      <c r="M675" s="39"/>
    </row>
    <row r="676">
      <c r="A676" s="2" t="str">
        <f>IF(B676="","",SUMIF(Productos!E:E,B676,Productos!A:A))</f>
        <v/>
      </c>
      <c r="B676" s="40"/>
      <c r="C676" s="26" t="str">
        <f>IF(B676="","",SUMIF(Prearmados!E:E,B676,Prearmados!G:G))</f>
        <v/>
      </c>
      <c r="D676" s="19"/>
      <c r="E676" s="26" t="str">
        <f>IF(A676="","",IF(SUMIFS(Estructuras!E:E,Estructuras!B:B,A$2,Estructuras!C:C,A676)&gt;0,SUMIFS(Estructuras!E:E,Estructuras!B:B,A$2,Estructuras!C:C,A676),C676*D676))</f>
        <v/>
      </c>
      <c r="F676" s="36"/>
      <c r="G676" s="36"/>
      <c r="H676" s="36"/>
      <c r="I676" s="36" t="str">
        <f t="shared" si="2"/>
        <v/>
      </c>
      <c r="J676" s="37" t="str">
        <f t="shared" si="3"/>
        <v/>
      </c>
      <c r="K676" s="38" t="str">
        <f>IF(L676="","",SUMIF(Productos!E:E,L676,Productos!A:A))</f>
        <v/>
      </c>
      <c r="M676" s="39"/>
    </row>
    <row r="677">
      <c r="A677" s="2" t="str">
        <f>IF(B677="","",SUMIF(Productos!E:E,B677,Productos!A:A))</f>
        <v/>
      </c>
      <c r="B677" s="40"/>
      <c r="C677" s="26" t="str">
        <f>IF(B677="","",SUMIF(Prearmados!E:E,B677,Prearmados!G:G))</f>
        <v/>
      </c>
      <c r="D677" s="19"/>
      <c r="E677" s="26" t="str">
        <f>IF(A677="","",IF(SUMIFS(Estructuras!E:E,Estructuras!B:B,A$2,Estructuras!C:C,A677)&gt;0,SUMIFS(Estructuras!E:E,Estructuras!B:B,A$2,Estructuras!C:C,A677),C677*D677))</f>
        <v/>
      </c>
      <c r="F677" s="36"/>
      <c r="G677" s="36"/>
      <c r="H677" s="36"/>
      <c r="I677" s="36" t="str">
        <f t="shared" si="2"/>
        <v/>
      </c>
      <c r="J677" s="37" t="str">
        <f t="shared" si="3"/>
        <v/>
      </c>
      <c r="K677" s="38" t="str">
        <f>IF(L677="","",SUMIF(Productos!E:E,L677,Productos!A:A))</f>
        <v/>
      </c>
      <c r="M677" s="39"/>
    </row>
    <row r="678">
      <c r="A678" s="2" t="str">
        <f>IF(B678="","",SUMIF(Productos!E:E,B678,Productos!A:A))</f>
        <v/>
      </c>
      <c r="B678" s="40"/>
      <c r="C678" s="26" t="str">
        <f>IF(B678="","",SUMIF(Prearmados!E:E,B678,Prearmados!G:G))</f>
        <v/>
      </c>
      <c r="D678" s="19"/>
      <c r="E678" s="26" t="str">
        <f>IF(A678="","",IF(SUMIFS(Estructuras!E:E,Estructuras!B:B,A$2,Estructuras!C:C,A678)&gt;0,SUMIFS(Estructuras!E:E,Estructuras!B:B,A$2,Estructuras!C:C,A678),C678*D678))</f>
        <v/>
      </c>
      <c r="F678" s="36"/>
      <c r="G678" s="36"/>
      <c r="H678" s="36"/>
      <c r="I678" s="36" t="str">
        <f t="shared" si="2"/>
        <v/>
      </c>
      <c r="J678" s="37" t="str">
        <f t="shared" si="3"/>
        <v/>
      </c>
      <c r="K678" s="38" t="str">
        <f>IF(L678="","",SUMIF(Productos!E:E,L678,Productos!A:A))</f>
        <v/>
      </c>
      <c r="M678" s="39"/>
    </row>
    <row r="679">
      <c r="A679" s="2" t="str">
        <f>IF(B679="","",SUMIF(Productos!E:E,B679,Productos!A:A))</f>
        <v/>
      </c>
      <c r="B679" s="40"/>
      <c r="C679" s="26" t="str">
        <f>IF(B679="","",SUMIF(Prearmados!E:E,B679,Prearmados!G:G))</f>
        <v/>
      </c>
      <c r="D679" s="19"/>
      <c r="E679" s="26" t="str">
        <f>IF(A679="","",IF(SUMIFS(Estructuras!E:E,Estructuras!B:B,A$2,Estructuras!C:C,A679)&gt;0,SUMIFS(Estructuras!E:E,Estructuras!B:B,A$2,Estructuras!C:C,A679),C679*D679))</f>
        <v/>
      </c>
      <c r="F679" s="36"/>
      <c r="G679" s="36"/>
      <c r="H679" s="36"/>
      <c r="I679" s="36" t="str">
        <f t="shared" si="2"/>
        <v/>
      </c>
      <c r="J679" s="37" t="str">
        <f t="shared" si="3"/>
        <v/>
      </c>
      <c r="K679" s="38" t="str">
        <f>IF(L679="","",SUMIF(Productos!E:E,L679,Productos!A:A))</f>
        <v/>
      </c>
      <c r="M679" s="39"/>
    </row>
    <row r="680">
      <c r="A680" s="2" t="str">
        <f>IF(B680="","",SUMIF(Productos!E:E,B680,Productos!A:A))</f>
        <v/>
      </c>
      <c r="B680" s="40"/>
      <c r="C680" s="26" t="str">
        <f>IF(B680="","",SUMIF(Prearmados!E:E,B680,Prearmados!G:G))</f>
        <v/>
      </c>
      <c r="D680" s="19"/>
      <c r="E680" s="26" t="str">
        <f>IF(A680="","",IF(SUMIFS(Estructuras!E:E,Estructuras!B:B,A$2,Estructuras!C:C,A680)&gt;0,SUMIFS(Estructuras!E:E,Estructuras!B:B,A$2,Estructuras!C:C,A680),C680*D680))</f>
        <v/>
      </c>
      <c r="F680" s="36"/>
      <c r="G680" s="36"/>
      <c r="H680" s="36"/>
      <c r="I680" s="36" t="str">
        <f t="shared" si="2"/>
        <v/>
      </c>
      <c r="J680" s="37" t="str">
        <f t="shared" si="3"/>
        <v/>
      </c>
      <c r="K680" s="38" t="str">
        <f>IF(L680="","",SUMIF(Productos!E:E,L680,Productos!A:A))</f>
        <v/>
      </c>
      <c r="M680" s="39"/>
    </row>
    <row r="681">
      <c r="A681" s="2" t="str">
        <f>IF(B681="","",SUMIF(Productos!E:E,B681,Productos!A:A))</f>
        <v/>
      </c>
      <c r="B681" s="40"/>
      <c r="C681" s="26" t="str">
        <f>IF(B681="","",SUMIF(Prearmados!E:E,B681,Prearmados!G:G))</f>
        <v/>
      </c>
      <c r="D681" s="19"/>
      <c r="E681" s="26" t="str">
        <f>IF(A681="","",IF(SUMIFS(Estructuras!E:E,Estructuras!B:B,A$2,Estructuras!C:C,A681)&gt;0,SUMIFS(Estructuras!E:E,Estructuras!B:B,A$2,Estructuras!C:C,A681),C681*D681))</f>
        <v/>
      </c>
      <c r="F681" s="36"/>
      <c r="G681" s="36"/>
      <c r="H681" s="36"/>
      <c r="I681" s="36" t="str">
        <f t="shared" si="2"/>
        <v/>
      </c>
      <c r="J681" s="37" t="str">
        <f t="shared" si="3"/>
        <v/>
      </c>
      <c r="K681" s="38" t="str">
        <f>IF(L681="","",SUMIF(Productos!E:E,L681,Productos!A:A))</f>
        <v/>
      </c>
      <c r="M681" s="39"/>
    </row>
    <row r="682">
      <c r="A682" s="2" t="str">
        <f>IF(B682="","",SUMIF(Productos!E:E,B682,Productos!A:A))</f>
        <v/>
      </c>
      <c r="B682" s="40"/>
      <c r="C682" s="26" t="str">
        <f>IF(B682="","",SUMIF(Prearmados!E:E,B682,Prearmados!G:G))</f>
        <v/>
      </c>
      <c r="D682" s="19"/>
      <c r="E682" s="26" t="str">
        <f>IF(A682="","",IF(SUMIFS(Estructuras!E:E,Estructuras!B:B,A$2,Estructuras!C:C,A682)&gt;0,SUMIFS(Estructuras!E:E,Estructuras!B:B,A$2,Estructuras!C:C,A682),C682*D682))</f>
        <v/>
      </c>
      <c r="F682" s="36"/>
      <c r="G682" s="36"/>
      <c r="H682" s="36"/>
      <c r="I682" s="36" t="str">
        <f t="shared" si="2"/>
        <v/>
      </c>
      <c r="J682" s="37" t="str">
        <f t="shared" si="3"/>
        <v/>
      </c>
      <c r="K682" s="38" t="str">
        <f>IF(L682="","",SUMIF(Productos!E:E,L682,Productos!A:A))</f>
        <v/>
      </c>
      <c r="M682" s="39"/>
    </row>
    <row r="683">
      <c r="A683" s="2" t="str">
        <f>IF(B683="","",SUMIF(Productos!E:E,B683,Productos!A:A))</f>
        <v/>
      </c>
      <c r="B683" s="40"/>
      <c r="C683" s="26" t="str">
        <f>IF(B683="","",SUMIF(Prearmados!E:E,B683,Prearmados!G:G))</f>
        <v/>
      </c>
      <c r="D683" s="19"/>
      <c r="E683" s="26" t="str">
        <f>IF(A683="","",IF(SUMIFS(Estructuras!E:E,Estructuras!B:B,A$2,Estructuras!C:C,A683)&gt;0,SUMIFS(Estructuras!E:E,Estructuras!B:B,A$2,Estructuras!C:C,A683),C683*D683))</f>
        <v/>
      </c>
      <c r="F683" s="36"/>
      <c r="G683" s="36"/>
      <c r="H683" s="36"/>
      <c r="I683" s="36" t="str">
        <f t="shared" si="2"/>
        <v/>
      </c>
      <c r="J683" s="37" t="str">
        <f t="shared" si="3"/>
        <v/>
      </c>
      <c r="K683" s="38" t="str">
        <f>IF(L683="","",SUMIF(Productos!E:E,L683,Productos!A:A))</f>
        <v/>
      </c>
      <c r="M683" s="39"/>
    </row>
    <row r="684">
      <c r="A684" s="2" t="str">
        <f>IF(B684="","",SUMIF(Productos!E:E,B684,Productos!A:A))</f>
        <v/>
      </c>
      <c r="B684" s="40"/>
      <c r="C684" s="26" t="str">
        <f>IF(B684="","",SUMIF(Prearmados!E:E,B684,Prearmados!G:G))</f>
        <v/>
      </c>
      <c r="D684" s="19"/>
      <c r="E684" s="26" t="str">
        <f>IF(A684="","",IF(SUMIFS(Estructuras!E:E,Estructuras!B:B,A$2,Estructuras!C:C,A684)&gt;0,SUMIFS(Estructuras!E:E,Estructuras!B:B,A$2,Estructuras!C:C,A684),C684*D684))</f>
        <v/>
      </c>
      <c r="F684" s="36"/>
      <c r="G684" s="36"/>
      <c r="H684" s="36"/>
      <c r="I684" s="36" t="str">
        <f t="shared" si="2"/>
        <v/>
      </c>
      <c r="J684" s="37" t="str">
        <f t="shared" si="3"/>
        <v/>
      </c>
      <c r="K684" s="38" t="str">
        <f>IF(L684="","",SUMIF(Productos!E:E,L684,Productos!A:A))</f>
        <v/>
      </c>
      <c r="M684" s="39"/>
    </row>
    <row r="685">
      <c r="A685" s="2" t="str">
        <f>IF(B685="","",SUMIF(Productos!E:E,B685,Productos!A:A))</f>
        <v/>
      </c>
      <c r="B685" s="40"/>
      <c r="C685" s="26" t="str">
        <f>IF(B685="","",SUMIF(Prearmados!E:E,B685,Prearmados!G:G))</f>
        <v/>
      </c>
      <c r="D685" s="19"/>
      <c r="E685" s="26" t="str">
        <f>IF(A685="","",IF(SUMIFS(Estructuras!E:E,Estructuras!B:B,A$2,Estructuras!C:C,A685)&gt;0,SUMIFS(Estructuras!E:E,Estructuras!B:B,A$2,Estructuras!C:C,A685),C685*D685))</f>
        <v/>
      </c>
      <c r="F685" s="36"/>
      <c r="G685" s="36"/>
      <c r="H685" s="36"/>
      <c r="I685" s="36" t="str">
        <f t="shared" si="2"/>
        <v/>
      </c>
      <c r="J685" s="37" t="str">
        <f t="shared" si="3"/>
        <v/>
      </c>
      <c r="K685" s="38" t="str">
        <f>IF(L685="","",SUMIF(Productos!E:E,L685,Productos!A:A))</f>
        <v/>
      </c>
      <c r="M685" s="39"/>
    </row>
    <row r="686">
      <c r="A686" s="2" t="str">
        <f>IF(B686="","",SUMIF(Productos!E:E,B686,Productos!A:A))</f>
        <v/>
      </c>
      <c r="B686" s="40"/>
      <c r="C686" s="26" t="str">
        <f>IF(B686="","",SUMIF(Prearmados!E:E,B686,Prearmados!G:G))</f>
        <v/>
      </c>
      <c r="D686" s="19"/>
      <c r="E686" s="26" t="str">
        <f>IF(A686="","",IF(SUMIFS(Estructuras!E:E,Estructuras!B:B,A$2,Estructuras!C:C,A686)&gt;0,SUMIFS(Estructuras!E:E,Estructuras!B:B,A$2,Estructuras!C:C,A686),C686*D686))</f>
        <v/>
      </c>
      <c r="F686" s="36"/>
      <c r="G686" s="36"/>
      <c r="H686" s="36"/>
      <c r="I686" s="36" t="str">
        <f t="shared" si="2"/>
        <v/>
      </c>
      <c r="J686" s="37" t="str">
        <f t="shared" si="3"/>
        <v/>
      </c>
      <c r="K686" s="38" t="str">
        <f>IF(L686="","",SUMIF(Productos!E:E,L686,Productos!A:A))</f>
        <v/>
      </c>
      <c r="M686" s="39"/>
    </row>
    <row r="687">
      <c r="A687" s="2" t="str">
        <f>IF(B687="","",SUMIF(Productos!E:E,B687,Productos!A:A))</f>
        <v/>
      </c>
      <c r="B687" s="40"/>
      <c r="C687" s="26" t="str">
        <f>IF(B687="","",SUMIF(Prearmados!E:E,B687,Prearmados!G:G))</f>
        <v/>
      </c>
      <c r="D687" s="19"/>
      <c r="E687" s="26" t="str">
        <f>IF(A687="","",IF(SUMIFS(Estructuras!E:E,Estructuras!B:B,A$2,Estructuras!C:C,A687)&gt;0,SUMIFS(Estructuras!E:E,Estructuras!B:B,A$2,Estructuras!C:C,A687),C687*D687))</f>
        <v/>
      </c>
      <c r="F687" s="36"/>
      <c r="G687" s="36"/>
      <c r="H687" s="36"/>
      <c r="I687" s="36" t="str">
        <f t="shared" si="2"/>
        <v/>
      </c>
      <c r="J687" s="37" t="str">
        <f t="shared" si="3"/>
        <v/>
      </c>
      <c r="K687" s="38" t="str">
        <f>IF(L687="","",SUMIF(Productos!E:E,L687,Productos!A:A))</f>
        <v/>
      </c>
      <c r="M687" s="39"/>
    </row>
    <row r="688">
      <c r="A688" s="2" t="str">
        <f>IF(B688="","",SUMIF(Productos!E:E,B688,Productos!A:A))</f>
        <v/>
      </c>
      <c r="B688" s="40"/>
      <c r="C688" s="26" t="str">
        <f>IF(B688="","",SUMIF(Prearmados!E:E,B688,Prearmados!G:G))</f>
        <v/>
      </c>
      <c r="D688" s="19"/>
      <c r="E688" s="26" t="str">
        <f>IF(A688="","",IF(SUMIFS(Estructuras!E:E,Estructuras!B:B,A$2,Estructuras!C:C,A688)&gt;0,SUMIFS(Estructuras!E:E,Estructuras!B:B,A$2,Estructuras!C:C,A688),C688*D688))</f>
        <v/>
      </c>
      <c r="F688" s="36"/>
      <c r="G688" s="36"/>
      <c r="H688" s="36"/>
      <c r="I688" s="36" t="str">
        <f t="shared" si="2"/>
        <v/>
      </c>
      <c r="J688" s="37" t="str">
        <f t="shared" si="3"/>
        <v/>
      </c>
      <c r="K688" s="38" t="str">
        <f>IF(L688="","",SUMIF(Productos!E:E,L688,Productos!A:A))</f>
        <v/>
      </c>
      <c r="M688" s="39"/>
    </row>
    <row r="689">
      <c r="A689" s="2" t="str">
        <f>IF(B689="","",SUMIF(Productos!E:E,B689,Productos!A:A))</f>
        <v/>
      </c>
      <c r="B689" s="40"/>
      <c r="C689" s="26" t="str">
        <f>IF(B689="","",SUMIF(Prearmados!E:E,B689,Prearmados!G:G))</f>
        <v/>
      </c>
      <c r="D689" s="19"/>
      <c r="E689" s="26" t="str">
        <f>IF(A689="","",IF(SUMIFS(Estructuras!E:E,Estructuras!B:B,A$2,Estructuras!C:C,A689)&gt;0,SUMIFS(Estructuras!E:E,Estructuras!B:B,A$2,Estructuras!C:C,A689),C689*D689))</f>
        <v/>
      </c>
      <c r="F689" s="36"/>
      <c r="G689" s="36"/>
      <c r="H689" s="36"/>
      <c r="I689" s="36" t="str">
        <f t="shared" si="2"/>
        <v/>
      </c>
      <c r="J689" s="37" t="str">
        <f t="shared" si="3"/>
        <v/>
      </c>
      <c r="K689" s="38" t="str">
        <f>IF(L689="","",SUMIF(Productos!E:E,L689,Productos!A:A))</f>
        <v/>
      </c>
      <c r="M689" s="39"/>
    </row>
    <row r="690">
      <c r="A690" s="2" t="str">
        <f>IF(B690="","",SUMIF(Productos!E:E,B690,Productos!A:A))</f>
        <v/>
      </c>
      <c r="B690" s="40"/>
      <c r="C690" s="26" t="str">
        <f>IF(B690="","",SUMIF(Prearmados!E:E,B690,Prearmados!G:G))</f>
        <v/>
      </c>
      <c r="D690" s="19"/>
      <c r="E690" s="26" t="str">
        <f>IF(A690="","",IF(SUMIFS(Estructuras!E:E,Estructuras!B:B,A$2,Estructuras!C:C,A690)&gt;0,SUMIFS(Estructuras!E:E,Estructuras!B:B,A$2,Estructuras!C:C,A690),C690*D690))</f>
        <v/>
      </c>
      <c r="F690" s="36"/>
      <c r="G690" s="36"/>
      <c r="H690" s="36"/>
      <c r="I690" s="36" t="str">
        <f t="shared" si="2"/>
        <v/>
      </c>
      <c r="J690" s="37" t="str">
        <f t="shared" si="3"/>
        <v/>
      </c>
      <c r="K690" s="38" t="str">
        <f>IF(L690="","",SUMIF(Productos!E:E,L690,Productos!A:A))</f>
        <v/>
      </c>
      <c r="M690" s="39"/>
    </row>
    <row r="691">
      <c r="A691" s="2" t="str">
        <f>IF(B691="","",SUMIF(Productos!E:E,B691,Productos!A:A))</f>
        <v/>
      </c>
      <c r="B691" s="40"/>
      <c r="C691" s="26" t="str">
        <f>IF(B691="","",SUMIF(Prearmados!E:E,B691,Prearmados!G:G))</f>
        <v/>
      </c>
      <c r="D691" s="19"/>
      <c r="E691" s="26" t="str">
        <f>IF(A691="","",IF(SUMIFS(Estructuras!E:E,Estructuras!B:B,A$2,Estructuras!C:C,A691)&gt;0,SUMIFS(Estructuras!E:E,Estructuras!B:B,A$2,Estructuras!C:C,A691),C691*D691))</f>
        <v/>
      </c>
      <c r="F691" s="36"/>
      <c r="G691" s="36"/>
      <c r="H691" s="36"/>
      <c r="I691" s="36" t="str">
        <f t="shared" si="2"/>
        <v/>
      </c>
      <c r="J691" s="37" t="str">
        <f t="shared" si="3"/>
        <v/>
      </c>
      <c r="K691" s="38" t="str">
        <f>IF(L691="","",SUMIF(Productos!E:E,L691,Productos!A:A))</f>
        <v/>
      </c>
      <c r="M691" s="39"/>
    </row>
    <row r="692">
      <c r="A692" s="2" t="str">
        <f>IF(B692="","",SUMIF(Productos!E:E,B692,Productos!A:A))</f>
        <v/>
      </c>
      <c r="B692" s="40"/>
      <c r="C692" s="26" t="str">
        <f>IF(B692="","",SUMIF(Prearmados!E:E,B692,Prearmados!G:G))</f>
        <v/>
      </c>
      <c r="D692" s="19"/>
      <c r="E692" s="26" t="str">
        <f>IF(A692="","",IF(SUMIFS(Estructuras!E:E,Estructuras!B:B,A$2,Estructuras!C:C,A692)&gt;0,SUMIFS(Estructuras!E:E,Estructuras!B:B,A$2,Estructuras!C:C,A692),C692*D692))</f>
        <v/>
      </c>
      <c r="F692" s="36"/>
      <c r="G692" s="36"/>
      <c r="H692" s="36"/>
      <c r="I692" s="36" t="str">
        <f t="shared" si="2"/>
        <v/>
      </c>
      <c r="J692" s="37" t="str">
        <f t="shared" si="3"/>
        <v/>
      </c>
      <c r="K692" s="38" t="str">
        <f>IF(L692="","",SUMIF(Productos!E:E,L692,Productos!A:A))</f>
        <v/>
      </c>
      <c r="M692" s="39"/>
    </row>
    <row r="693">
      <c r="A693" s="2" t="str">
        <f>IF(B693="","",SUMIF(Productos!E:E,B693,Productos!A:A))</f>
        <v/>
      </c>
      <c r="B693" s="40"/>
      <c r="C693" s="26" t="str">
        <f>IF(B693="","",SUMIF(Prearmados!E:E,B693,Prearmados!G:G))</f>
        <v/>
      </c>
      <c r="D693" s="19"/>
      <c r="E693" s="26" t="str">
        <f>IF(A693="","",IF(SUMIFS(Estructuras!E:E,Estructuras!B:B,A$2,Estructuras!C:C,A693)&gt;0,SUMIFS(Estructuras!E:E,Estructuras!B:B,A$2,Estructuras!C:C,A693),C693*D693))</f>
        <v/>
      </c>
      <c r="F693" s="36"/>
      <c r="G693" s="36"/>
      <c r="H693" s="36"/>
      <c r="I693" s="36" t="str">
        <f t="shared" si="2"/>
        <v/>
      </c>
      <c r="J693" s="37" t="str">
        <f t="shared" si="3"/>
        <v/>
      </c>
      <c r="K693" s="38" t="str">
        <f>IF(L693="","",SUMIF(Productos!E:E,L693,Productos!A:A))</f>
        <v/>
      </c>
      <c r="M693" s="39"/>
    </row>
    <row r="694">
      <c r="A694" s="2" t="str">
        <f>IF(B694="","",SUMIF(Productos!E:E,B694,Productos!A:A))</f>
        <v/>
      </c>
      <c r="B694" s="40"/>
      <c r="C694" s="26" t="str">
        <f>IF(B694="","",SUMIF(Prearmados!E:E,B694,Prearmados!G:G))</f>
        <v/>
      </c>
      <c r="D694" s="19"/>
      <c r="E694" s="26" t="str">
        <f>IF(A694="","",IF(SUMIFS(Estructuras!E:E,Estructuras!B:B,A$2,Estructuras!C:C,A694)&gt;0,SUMIFS(Estructuras!E:E,Estructuras!B:B,A$2,Estructuras!C:C,A694),C694*D694))</f>
        <v/>
      </c>
      <c r="F694" s="36"/>
      <c r="G694" s="36"/>
      <c r="H694" s="36"/>
      <c r="I694" s="36" t="str">
        <f t="shared" si="2"/>
        <v/>
      </c>
      <c r="J694" s="37" t="str">
        <f t="shared" si="3"/>
        <v/>
      </c>
      <c r="K694" s="38" t="str">
        <f>IF(L694="","",SUMIF(Productos!E:E,L694,Productos!A:A))</f>
        <v/>
      </c>
      <c r="M694" s="39"/>
    </row>
    <row r="695">
      <c r="A695" s="2" t="str">
        <f>IF(B695="","",SUMIF(Productos!E:E,B695,Productos!A:A))</f>
        <v/>
      </c>
      <c r="B695" s="40"/>
      <c r="C695" s="26" t="str">
        <f>IF(B695="","",SUMIF(Prearmados!E:E,B695,Prearmados!G:G))</f>
        <v/>
      </c>
      <c r="D695" s="19"/>
      <c r="E695" s="26" t="str">
        <f>IF(A695="","",IF(SUMIFS(Estructuras!E:E,Estructuras!B:B,A$2,Estructuras!C:C,A695)&gt;0,SUMIFS(Estructuras!E:E,Estructuras!B:B,A$2,Estructuras!C:C,A695),C695*D695))</f>
        <v/>
      </c>
      <c r="F695" s="36"/>
      <c r="G695" s="36"/>
      <c r="H695" s="36"/>
      <c r="I695" s="36" t="str">
        <f t="shared" si="2"/>
        <v/>
      </c>
      <c r="J695" s="37" t="str">
        <f t="shared" si="3"/>
        <v/>
      </c>
      <c r="K695" s="38" t="str">
        <f>IF(L695="","",SUMIF(Productos!E:E,L695,Productos!A:A))</f>
        <v/>
      </c>
      <c r="M695" s="39"/>
    </row>
    <row r="696">
      <c r="A696" s="2" t="str">
        <f>IF(B696="","",SUMIF(Productos!E:E,B696,Productos!A:A))</f>
        <v/>
      </c>
      <c r="B696" s="40"/>
      <c r="C696" s="26" t="str">
        <f>IF(B696="","",SUMIF(Prearmados!E:E,B696,Prearmados!G:G))</f>
        <v/>
      </c>
      <c r="D696" s="19"/>
      <c r="E696" s="26" t="str">
        <f>IF(A696="","",IF(SUMIFS(Estructuras!E:E,Estructuras!B:B,A$2,Estructuras!C:C,A696)&gt;0,SUMIFS(Estructuras!E:E,Estructuras!B:B,A$2,Estructuras!C:C,A696),C696*D696))</f>
        <v/>
      </c>
      <c r="F696" s="36"/>
      <c r="G696" s="36"/>
      <c r="H696" s="36"/>
      <c r="I696" s="36" t="str">
        <f t="shared" si="2"/>
        <v/>
      </c>
      <c r="J696" s="37" t="str">
        <f t="shared" si="3"/>
        <v/>
      </c>
      <c r="K696" s="38" t="str">
        <f>IF(L696="","",SUMIF(Productos!E:E,L696,Productos!A:A))</f>
        <v/>
      </c>
      <c r="M696" s="39"/>
    </row>
    <row r="697">
      <c r="A697" s="2" t="str">
        <f>IF(B697="","",SUMIF(Productos!E:E,B697,Productos!A:A))</f>
        <v/>
      </c>
      <c r="B697" s="40"/>
      <c r="C697" s="26" t="str">
        <f>IF(B697="","",SUMIF(Prearmados!E:E,B697,Prearmados!G:G))</f>
        <v/>
      </c>
      <c r="D697" s="19"/>
      <c r="E697" s="26" t="str">
        <f>IF(A697="","",IF(SUMIFS(Estructuras!E:E,Estructuras!B:B,A$2,Estructuras!C:C,A697)&gt;0,SUMIFS(Estructuras!E:E,Estructuras!B:B,A$2,Estructuras!C:C,A697),C697*D697))</f>
        <v/>
      </c>
      <c r="F697" s="36"/>
      <c r="G697" s="36"/>
      <c r="H697" s="36"/>
      <c r="I697" s="36" t="str">
        <f t="shared" si="2"/>
        <v/>
      </c>
      <c r="J697" s="37" t="str">
        <f t="shared" si="3"/>
        <v/>
      </c>
      <c r="K697" s="38" t="str">
        <f>IF(L697="","",SUMIF(Productos!E:E,L697,Productos!A:A))</f>
        <v/>
      </c>
      <c r="M697" s="39"/>
    </row>
    <row r="698">
      <c r="A698" s="2" t="str">
        <f>IF(B698="","",SUMIF(Productos!E:E,B698,Productos!A:A))</f>
        <v/>
      </c>
      <c r="B698" s="40"/>
      <c r="C698" s="26" t="str">
        <f>IF(B698="","",SUMIF(Prearmados!E:E,B698,Prearmados!G:G))</f>
        <v/>
      </c>
      <c r="D698" s="19"/>
      <c r="E698" s="26" t="str">
        <f>IF(A698="","",IF(SUMIFS(Estructuras!E:E,Estructuras!B:B,A$2,Estructuras!C:C,A698)&gt;0,SUMIFS(Estructuras!E:E,Estructuras!B:B,A$2,Estructuras!C:C,A698),C698*D698))</f>
        <v/>
      </c>
      <c r="F698" s="36"/>
      <c r="G698" s="36"/>
      <c r="H698" s="36"/>
      <c r="I698" s="36" t="str">
        <f t="shared" si="2"/>
        <v/>
      </c>
      <c r="J698" s="37" t="str">
        <f t="shared" si="3"/>
        <v/>
      </c>
      <c r="K698" s="38" t="str">
        <f>IF(L698="","",SUMIF(Productos!E:E,L698,Productos!A:A))</f>
        <v/>
      </c>
      <c r="M698" s="39"/>
    </row>
    <row r="699">
      <c r="A699" s="2" t="str">
        <f>IF(B699="","",SUMIF(Productos!E:E,B699,Productos!A:A))</f>
        <v/>
      </c>
      <c r="B699" s="40"/>
      <c r="C699" s="26" t="str">
        <f>IF(B699="","",SUMIF(Prearmados!E:E,B699,Prearmados!G:G))</f>
        <v/>
      </c>
      <c r="D699" s="19"/>
      <c r="E699" s="26" t="str">
        <f>IF(A699="","",IF(SUMIFS(Estructuras!E:E,Estructuras!B:B,A$2,Estructuras!C:C,A699)&gt;0,SUMIFS(Estructuras!E:E,Estructuras!B:B,A$2,Estructuras!C:C,A699),C699*D699))</f>
        <v/>
      </c>
      <c r="F699" s="36"/>
      <c r="G699" s="36"/>
      <c r="H699" s="36"/>
      <c r="I699" s="36" t="str">
        <f t="shared" si="2"/>
        <v/>
      </c>
      <c r="J699" s="37" t="str">
        <f t="shared" si="3"/>
        <v/>
      </c>
      <c r="K699" s="38" t="str">
        <f>IF(L699="","",SUMIF(Productos!E:E,L699,Productos!A:A))</f>
        <v/>
      </c>
      <c r="M699" s="39"/>
    </row>
    <row r="700">
      <c r="A700" s="2" t="str">
        <f>IF(B700="","",SUMIF(Productos!E:E,B700,Productos!A:A))</f>
        <v/>
      </c>
      <c r="B700" s="40"/>
      <c r="C700" s="26" t="str">
        <f>IF(B700="","",SUMIF(Prearmados!E:E,B700,Prearmados!G:G))</f>
        <v/>
      </c>
      <c r="D700" s="19"/>
      <c r="E700" s="26" t="str">
        <f>IF(A700="","",IF(SUMIFS(Estructuras!E:E,Estructuras!B:B,A$2,Estructuras!C:C,A700)&gt;0,SUMIFS(Estructuras!E:E,Estructuras!B:B,A$2,Estructuras!C:C,A700),C700*D700))</f>
        <v/>
      </c>
      <c r="F700" s="36"/>
      <c r="G700" s="36"/>
      <c r="H700" s="36"/>
      <c r="I700" s="36" t="str">
        <f t="shared" si="2"/>
        <v/>
      </c>
      <c r="J700" s="37" t="str">
        <f t="shared" si="3"/>
        <v/>
      </c>
      <c r="K700" s="38" t="str">
        <f>IF(L700="","",SUMIF(Productos!E:E,L700,Productos!A:A))</f>
        <v/>
      </c>
      <c r="M700" s="39"/>
    </row>
    <row r="701">
      <c r="A701" s="2" t="str">
        <f>IF(B701="","",SUMIF(Productos!E:E,B701,Productos!A:A))</f>
        <v/>
      </c>
      <c r="B701" s="40"/>
      <c r="C701" s="26" t="str">
        <f>IF(B701="","",SUMIF(Prearmados!E:E,B701,Prearmados!G:G))</f>
        <v/>
      </c>
      <c r="D701" s="19"/>
      <c r="E701" s="26" t="str">
        <f>IF(A701="","",IF(SUMIFS(Estructuras!E:E,Estructuras!B:B,A$2,Estructuras!C:C,A701)&gt;0,SUMIFS(Estructuras!E:E,Estructuras!B:B,A$2,Estructuras!C:C,A701),C701*D701))</f>
        <v/>
      </c>
      <c r="F701" s="36"/>
      <c r="G701" s="36"/>
      <c r="H701" s="36"/>
      <c r="I701" s="36" t="str">
        <f t="shared" si="2"/>
        <v/>
      </c>
      <c r="J701" s="37" t="str">
        <f t="shared" si="3"/>
        <v/>
      </c>
      <c r="K701" s="38" t="str">
        <f>IF(L701="","",SUMIF(Productos!E:E,L701,Productos!A:A))</f>
        <v/>
      </c>
      <c r="M701" s="39"/>
    </row>
    <row r="702">
      <c r="A702" s="2" t="str">
        <f>IF(B702="","",SUMIF(Productos!E:E,B702,Productos!A:A))</f>
        <v/>
      </c>
      <c r="B702" s="40"/>
      <c r="C702" s="26" t="str">
        <f>IF(B702="","",SUMIF(Prearmados!E:E,B702,Prearmados!G:G))</f>
        <v/>
      </c>
      <c r="D702" s="19"/>
      <c r="E702" s="26" t="str">
        <f>IF(A702="","",IF(SUMIFS(Estructuras!E:E,Estructuras!B:B,A$2,Estructuras!C:C,A702)&gt;0,SUMIFS(Estructuras!E:E,Estructuras!B:B,A$2,Estructuras!C:C,A702),C702*D702))</f>
        <v/>
      </c>
      <c r="F702" s="36"/>
      <c r="G702" s="36"/>
      <c r="H702" s="36"/>
      <c r="I702" s="36" t="str">
        <f t="shared" si="2"/>
        <v/>
      </c>
      <c r="J702" s="37" t="str">
        <f t="shared" si="3"/>
        <v/>
      </c>
      <c r="K702" s="38" t="str">
        <f>IF(L702="","",SUMIF(Productos!E:E,L702,Productos!A:A))</f>
        <v/>
      </c>
      <c r="M702" s="39"/>
    </row>
    <row r="703">
      <c r="A703" s="2" t="str">
        <f>IF(B703="","",SUMIF(Productos!E:E,B703,Productos!A:A))</f>
        <v/>
      </c>
      <c r="B703" s="40"/>
      <c r="C703" s="26" t="str">
        <f>IF(B703="","",SUMIF(Prearmados!E:E,B703,Prearmados!G:G))</f>
        <v/>
      </c>
      <c r="D703" s="19"/>
      <c r="E703" s="26" t="str">
        <f>IF(A703="","",IF(SUMIFS(Estructuras!E:E,Estructuras!B:B,A$2,Estructuras!C:C,A703)&gt;0,SUMIFS(Estructuras!E:E,Estructuras!B:B,A$2,Estructuras!C:C,A703),C703*D703))</f>
        <v/>
      </c>
      <c r="F703" s="36"/>
      <c r="G703" s="36"/>
      <c r="H703" s="36"/>
      <c r="I703" s="36" t="str">
        <f t="shared" si="2"/>
        <v/>
      </c>
      <c r="J703" s="37" t="str">
        <f t="shared" si="3"/>
        <v/>
      </c>
      <c r="K703" s="38" t="str">
        <f>IF(L703="","",SUMIF(Productos!E:E,L703,Productos!A:A))</f>
        <v/>
      </c>
      <c r="M703" s="39"/>
    </row>
    <row r="704">
      <c r="A704" s="2" t="str">
        <f>IF(B704="","",SUMIF(Productos!E:E,B704,Productos!A:A))</f>
        <v/>
      </c>
      <c r="B704" s="40"/>
      <c r="C704" s="26" t="str">
        <f>IF(B704="","",SUMIF(Prearmados!E:E,B704,Prearmados!G:G))</f>
        <v/>
      </c>
      <c r="D704" s="19"/>
      <c r="E704" s="26" t="str">
        <f>IF(A704="","",IF(SUMIFS(Estructuras!E:E,Estructuras!B:B,A$2,Estructuras!C:C,A704)&gt;0,SUMIFS(Estructuras!E:E,Estructuras!B:B,A$2,Estructuras!C:C,A704),C704*D704))</f>
        <v/>
      </c>
      <c r="F704" s="36"/>
      <c r="G704" s="36"/>
      <c r="H704" s="36"/>
      <c r="I704" s="36" t="str">
        <f t="shared" si="2"/>
        <v/>
      </c>
      <c r="J704" s="37" t="str">
        <f t="shared" si="3"/>
        <v/>
      </c>
      <c r="K704" s="38" t="str">
        <f>IF(L704="","",SUMIF(Productos!E:E,L704,Productos!A:A))</f>
        <v/>
      </c>
      <c r="M704" s="39"/>
    </row>
    <row r="705">
      <c r="A705" s="2" t="str">
        <f>IF(B705="","",SUMIF(Productos!E:E,B705,Productos!A:A))</f>
        <v/>
      </c>
      <c r="B705" s="40"/>
      <c r="C705" s="26" t="str">
        <f>IF(B705="","",SUMIF(Prearmados!E:E,B705,Prearmados!G:G))</f>
        <v/>
      </c>
      <c r="D705" s="19"/>
      <c r="E705" s="26" t="str">
        <f>IF(A705="","",IF(SUMIFS(Estructuras!E:E,Estructuras!B:B,A$2,Estructuras!C:C,A705)&gt;0,SUMIFS(Estructuras!E:E,Estructuras!B:B,A$2,Estructuras!C:C,A705),C705*D705))</f>
        <v/>
      </c>
      <c r="F705" s="36"/>
      <c r="G705" s="36"/>
      <c r="H705" s="36"/>
      <c r="I705" s="36" t="str">
        <f t="shared" si="2"/>
        <v/>
      </c>
      <c r="J705" s="37" t="str">
        <f t="shared" si="3"/>
        <v/>
      </c>
      <c r="K705" s="38" t="str">
        <f>IF(L705="","",SUMIF(Productos!E:E,L705,Productos!A:A))</f>
        <v/>
      </c>
      <c r="M705" s="39"/>
    </row>
    <row r="706">
      <c r="A706" s="2" t="str">
        <f>IF(B706="","",SUMIF(Productos!E:E,B706,Productos!A:A))</f>
        <v/>
      </c>
      <c r="B706" s="40"/>
      <c r="C706" s="26" t="str">
        <f>IF(B706="","",SUMIF(Prearmados!E:E,B706,Prearmados!G:G))</f>
        <v/>
      </c>
      <c r="D706" s="19"/>
      <c r="E706" s="26" t="str">
        <f>IF(A706="","",IF(SUMIFS(Estructuras!E:E,Estructuras!B:B,A$2,Estructuras!C:C,A706)&gt;0,SUMIFS(Estructuras!E:E,Estructuras!B:B,A$2,Estructuras!C:C,A706),C706*D706))</f>
        <v/>
      </c>
      <c r="F706" s="36"/>
      <c r="G706" s="36"/>
      <c r="H706" s="36"/>
      <c r="I706" s="36" t="str">
        <f t="shared" si="2"/>
        <v/>
      </c>
      <c r="J706" s="37" t="str">
        <f t="shared" si="3"/>
        <v/>
      </c>
      <c r="K706" s="38" t="str">
        <f>IF(L706="","",SUMIF(Productos!E:E,L706,Productos!A:A))</f>
        <v/>
      </c>
      <c r="M706" s="39"/>
    </row>
    <row r="707">
      <c r="A707" s="2" t="str">
        <f>IF(B707="","",SUMIF(Productos!E:E,B707,Productos!A:A))</f>
        <v/>
      </c>
      <c r="B707" s="40"/>
      <c r="C707" s="26" t="str">
        <f>IF(B707="","",SUMIF(Prearmados!E:E,B707,Prearmados!G:G))</f>
        <v/>
      </c>
      <c r="D707" s="19"/>
      <c r="E707" s="26" t="str">
        <f>IF(A707="","",IF(SUMIFS(Estructuras!E:E,Estructuras!B:B,A$2,Estructuras!C:C,A707)&gt;0,SUMIFS(Estructuras!E:E,Estructuras!B:B,A$2,Estructuras!C:C,A707),C707*D707))</f>
        <v/>
      </c>
      <c r="F707" s="36"/>
      <c r="G707" s="36"/>
      <c r="H707" s="36"/>
      <c r="I707" s="36" t="str">
        <f t="shared" si="2"/>
        <v/>
      </c>
      <c r="J707" s="37" t="str">
        <f t="shared" si="3"/>
        <v/>
      </c>
      <c r="K707" s="38" t="str">
        <f>IF(L707="","",SUMIF(Productos!E:E,L707,Productos!A:A))</f>
        <v/>
      </c>
      <c r="M707" s="39"/>
    </row>
    <row r="708">
      <c r="A708" s="2" t="str">
        <f>IF(B708="","",SUMIF(Productos!E:E,B708,Productos!A:A))</f>
        <v/>
      </c>
      <c r="B708" s="40"/>
      <c r="C708" s="26" t="str">
        <f>IF(B708="","",SUMIF(Prearmados!E:E,B708,Prearmados!G:G))</f>
        <v/>
      </c>
      <c r="D708" s="19"/>
      <c r="E708" s="26" t="str">
        <f>IF(A708="","",IF(SUMIFS(Estructuras!E:E,Estructuras!B:B,A$2,Estructuras!C:C,A708)&gt;0,SUMIFS(Estructuras!E:E,Estructuras!B:B,A$2,Estructuras!C:C,A708),C708*D708))</f>
        <v/>
      </c>
      <c r="F708" s="36"/>
      <c r="G708" s="36"/>
      <c r="H708" s="36"/>
      <c r="I708" s="36" t="str">
        <f t="shared" si="2"/>
        <v/>
      </c>
      <c r="J708" s="37" t="str">
        <f t="shared" si="3"/>
        <v/>
      </c>
      <c r="K708" s="38" t="str">
        <f>IF(L708="","",SUMIF(Productos!E:E,L708,Productos!A:A))</f>
        <v/>
      </c>
      <c r="M708" s="39"/>
    </row>
    <row r="709">
      <c r="A709" s="2" t="str">
        <f>IF(B709="","",SUMIF(Productos!E:E,B709,Productos!A:A))</f>
        <v/>
      </c>
      <c r="B709" s="40"/>
      <c r="C709" s="26" t="str">
        <f>IF(B709="","",SUMIF(Prearmados!E:E,B709,Prearmados!G:G))</f>
        <v/>
      </c>
      <c r="D709" s="19"/>
      <c r="E709" s="26" t="str">
        <f>IF(A709="","",IF(SUMIFS(Estructuras!E:E,Estructuras!B:B,A$2,Estructuras!C:C,A709)&gt;0,SUMIFS(Estructuras!E:E,Estructuras!B:B,A$2,Estructuras!C:C,A709),C709*D709))</f>
        <v/>
      </c>
      <c r="F709" s="36"/>
      <c r="G709" s="36"/>
      <c r="H709" s="36"/>
      <c r="I709" s="36" t="str">
        <f t="shared" si="2"/>
        <v/>
      </c>
      <c r="J709" s="37" t="str">
        <f t="shared" si="3"/>
        <v/>
      </c>
      <c r="K709" s="38" t="str">
        <f>IF(L709="","",SUMIF(Productos!E:E,L709,Productos!A:A))</f>
        <v/>
      </c>
      <c r="M709" s="39"/>
    </row>
    <row r="710">
      <c r="A710" s="2" t="str">
        <f>IF(B710="","",SUMIF(Productos!E:E,B710,Productos!A:A))</f>
        <v/>
      </c>
      <c r="B710" s="40"/>
      <c r="C710" s="26" t="str">
        <f>IF(B710="","",SUMIF(Prearmados!E:E,B710,Prearmados!G:G))</f>
        <v/>
      </c>
      <c r="D710" s="19"/>
      <c r="E710" s="26" t="str">
        <f>IF(A710="","",IF(SUMIFS(Estructuras!E:E,Estructuras!B:B,A$2,Estructuras!C:C,A710)&gt;0,SUMIFS(Estructuras!E:E,Estructuras!B:B,A$2,Estructuras!C:C,A710),C710*D710))</f>
        <v/>
      </c>
      <c r="F710" s="36"/>
      <c r="G710" s="36"/>
      <c r="H710" s="36"/>
      <c r="I710" s="36" t="str">
        <f t="shared" si="2"/>
        <v/>
      </c>
      <c r="J710" s="37" t="str">
        <f t="shared" si="3"/>
        <v/>
      </c>
      <c r="K710" s="38" t="str">
        <f>IF(L710="","",SUMIF(Productos!E:E,L710,Productos!A:A))</f>
        <v/>
      </c>
      <c r="M710" s="39"/>
    </row>
    <row r="711">
      <c r="A711" s="2" t="str">
        <f>IF(B711="","",SUMIF(Productos!E:E,B711,Productos!A:A))</f>
        <v/>
      </c>
      <c r="B711" s="40"/>
      <c r="C711" s="26" t="str">
        <f>IF(B711="","",SUMIF(Prearmados!E:E,B711,Prearmados!G:G))</f>
        <v/>
      </c>
      <c r="D711" s="19"/>
      <c r="E711" s="26" t="str">
        <f>IF(A711="","",IF(SUMIFS(Estructuras!E:E,Estructuras!B:B,A$2,Estructuras!C:C,A711)&gt;0,SUMIFS(Estructuras!E:E,Estructuras!B:B,A$2,Estructuras!C:C,A711),C711*D711))</f>
        <v/>
      </c>
      <c r="F711" s="36"/>
      <c r="G711" s="36"/>
      <c r="H711" s="36"/>
      <c r="I711" s="36" t="str">
        <f t="shared" si="2"/>
        <v/>
      </c>
      <c r="J711" s="37" t="str">
        <f t="shared" si="3"/>
        <v/>
      </c>
      <c r="K711" s="38" t="str">
        <f>IF(L711="","",SUMIF(Productos!E:E,L711,Productos!A:A))</f>
        <v/>
      </c>
      <c r="M711" s="39"/>
    </row>
    <row r="712">
      <c r="A712" s="2" t="str">
        <f>IF(B712="","",SUMIF(Productos!E:E,B712,Productos!A:A))</f>
        <v/>
      </c>
      <c r="B712" s="40"/>
      <c r="C712" s="26" t="str">
        <f>IF(B712="","",SUMIF(Prearmados!E:E,B712,Prearmados!G:G))</f>
        <v/>
      </c>
      <c r="D712" s="19"/>
      <c r="E712" s="26" t="str">
        <f>IF(A712="","",IF(SUMIFS(Estructuras!E:E,Estructuras!B:B,A$2,Estructuras!C:C,A712)&gt;0,SUMIFS(Estructuras!E:E,Estructuras!B:B,A$2,Estructuras!C:C,A712),C712*D712))</f>
        <v/>
      </c>
      <c r="F712" s="36"/>
      <c r="G712" s="36"/>
      <c r="H712" s="36"/>
      <c r="I712" s="36" t="str">
        <f t="shared" si="2"/>
        <v/>
      </c>
      <c r="J712" s="37" t="str">
        <f t="shared" si="3"/>
        <v/>
      </c>
      <c r="K712" s="38" t="str">
        <f>IF(L712="","",SUMIF(Productos!E:E,L712,Productos!A:A))</f>
        <v/>
      </c>
      <c r="M712" s="39"/>
    </row>
    <row r="713">
      <c r="A713" s="2" t="str">
        <f>IF(B713="","",SUMIF(Productos!E:E,B713,Productos!A:A))</f>
        <v/>
      </c>
      <c r="B713" s="40"/>
      <c r="C713" s="26" t="str">
        <f>IF(B713="","",SUMIF(Prearmados!E:E,B713,Prearmados!G:G))</f>
        <v/>
      </c>
      <c r="D713" s="19"/>
      <c r="E713" s="26" t="str">
        <f>IF(A713="","",IF(SUMIFS(Estructuras!E:E,Estructuras!B:B,A$2,Estructuras!C:C,A713)&gt;0,SUMIFS(Estructuras!E:E,Estructuras!B:B,A$2,Estructuras!C:C,A713),C713*D713))</f>
        <v/>
      </c>
      <c r="F713" s="36"/>
      <c r="G713" s="36"/>
      <c r="H713" s="36"/>
      <c r="I713" s="36" t="str">
        <f t="shared" si="2"/>
        <v/>
      </c>
      <c r="J713" s="37" t="str">
        <f t="shared" si="3"/>
        <v/>
      </c>
      <c r="K713" s="38" t="str">
        <f>IF(L713="","",SUMIF(Productos!E:E,L713,Productos!A:A))</f>
        <v/>
      </c>
      <c r="M713" s="39"/>
    </row>
    <row r="714">
      <c r="A714" s="2" t="str">
        <f>IF(B714="","",SUMIF(Productos!E:E,B714,Productos!A:A))</f>
        <v/>
      </c>
      <c r="B714" s="40"/>
      <c r="C714" s="26" t="str">
        <f>IF(B714="","",SUMIF(Prearmados!E:E,B714,Prearmados!G:G))</f>
        <v/>
      </c>
      <c r="D714" s="19"/>
      <c r="E714" s="26" t="str">
        <f>IF(A714="","",IF(SUMIFS(Estructuras!E:E,Estructuras!B:B,A$2,Estructuras!C:C,A714)&gt;0,SUMIFS(Estructuras!E:E,Estructuras!B:B,A$2,Estructuras!C:C,A714),C714*D714))</f>
        <v/>
      </c>
      <c r="F714" s="36"/>
      <c r="G714" s="36"/>
      <c r="H714" s="36"/>
      <c r="I714" s="36" t="str">
        <f t="shared" si="2"/>
        <v/>
      </c>
      <c r="J714" s="37" t="str">
        <f t="shared" si="3"/>
        <v/>
      </c>
      <c r="K714" s="38" t="str">
        <f>IF(L714="","",SUMIF(Productos!E:E,L714,Productos!A:A))</f>
        <v/>
      </c>
      <c r="M714" s="39"/>
    </row>
    <row r="715">
      <c r="A715" s="2" t="str">
        <f>IF(B715="","",SUMIF(Productos!E:E,B715,Productos!A:A))</f>
        <v/>
      </c>
      <c r="B715" s="40"/>
      <c r="C715" s="26" t="str">
        <f>IF(B715="","",SUMIF(Prearmados!E:E,B715,Prearmados!G:G))</f>
        <v/>
      </c>
      <c r="D715" s="19"/>
      <c r="E715" s="26" t="str">
        <f>IF(A715="","",IF(SUMIFS(Estructuras!E:E,Estructuras!B:B,A$2,Estructuras!C:C,A715)&gt;0,SUMIFS(Estructuras!E:E,Estructuras!B:B,A$2,Estructuras!C:C,A715),C715*D715))</f>
        <v/>
      </c>
      <c r="F715" s="36"/>
      <c r="G715" s="36"/>
      <c r="H715" s="36"/>
      <c r="I715" s="36" t="str">
        <f t="shared" si="2"/>
        <v/>
      </c>
      <c r="J715" s="37" t="str">
        <f t="shared" si="3"/>
        <v/>
      </c>
      <c r="K715" s="38" t="str">
        <f>IF(L715="","",SUMIF(Productos!E:E,L715,Productos!A:A))</f>
        <v/>
      </c>
      <c r="M715" s="39"/>
    </row>
    <row r="716">
      <c r="A716" s="2" t="str">
        <f>IF(B716="","",SUMIF(Productos!E:E,B716,Productos!A:A))</f>
        <v/>
      </c>
      <c r="B716" s="40"/>
      <c r="C716" s="26" t="str">
        <f>IF(B716="","",SUMIF(Prearmados!E:E,B716,Prearmados!G:G))</f>
        <v/>
      </c>
      <c r="D716" s="19"/>
      <c r="E716" s="26" t="str">
        <f>IF(A716="","",IF(SUMIFS(Estructuras!E:E,Estructuras!B:B,A$2,Estructuras!C:C,A716)&gt;0,SUMIFS(Estructuras!E:E,Estructuras!B:B,A$2,Estructuras!C:C,A716),C716*D716))</f>
        <v/>
      </c>
      <c r="F716" s="36"/>
      <c r="G716" s="36"/>
      <c r="H716" s="36"/>
      <c r="I716" s="36" t="str">
        <f t="shared" si="2"/>
        <v/>
      </c>
      <c r="J716" s="37" t="str">
        <f t="shared" si="3"/>
        <v/>
      </c>
      <c r="K716" s="38" t="str">
        <f>IF(L716="","",SUMIF(Productos!E:E,L716,Productos!A:A))</f>
        <v/>
      </c>
      <c r="M716" s="39"/>
    </row>
    <row r="717">
      <c r="A717" s="2" t="str">
        <f>IF(B717="","",SUMIF(Productos!E:E,B717,Productos!A:A))</f>
        <v/>
      </c>
      <c r="B717" s="40"/>
      <c r="C717" s="26" t="str">
        <f>IF(B717="","",SUMIF(Prearmados!E:E,B717,Prearmados!G:G))</f>
        <v/>
      </c>
      <c r="D717" s="19"/>
      <c r="E717" s="26" t="str">
        <f>IF(A717="","",IF(SUMIFS(Estructuras!E:E,Estructuras!B:B,A$2,Estructuras!C:C,A717)&gt;0,SUMIFS(Estructuras!E:E,Estructuras!B:B,A$2,Estructuras!C:C,A717),C717*D717))</f>
        <v/>
      </c>
      <c r="F717" s="36"/>
      <c r="G717" s="36"/>
      <c r="H717" s="36"/>
      <c r="I717" s="36" t="str">
        <f t="shared" si="2"/>
        <v/>
      </c>
      <c r="J717" s="37" t="str">
        <f t="shared" si="3"/>
        <v/>
      </c>
      <c r="K717" s="38" t="str">
        <f>IF(L717="","",SUMIF(Productos!E:E,L717,Productos!A:A))</f>
        <v/>
      </c>
      <c r="M717" s="39"/>
    </row>
    <row r="718">
      <c r="A718" s="2" t="str">
        <f>IF(B718="","",SUMIF(Productos!E:E,B718,Productos!A:A))</f>
        <v/>
      </c>
      <c r="B718" s="40"/>
      <c r="C718" s="26" t="str">
        <f>IF(B718="","",SUMIF(Prearmados!E:E,B718,Prearmados!G:G))</f>
        <v/>
      </c>
      <c r="D718" s="19"/>
      <c r="E718" s="26" t="str">
        <f>IF(A718="","",IF(SUMIFS(Estructuras!E:E,Estructuras!B:B,A$2,Estructuras!C:C,A718)&gt;0,SUMIFS(Estructuras!E:E,Estructuras!B:B,A$2,Estructuras!C:C,A718),C718*D718))</f>
        <v/>
      </c>
      <c r="F718" s="36"/>
      <c r="G718" s="36"/>
      <c r="H718" s="36"/>
      <c r="I718" s="36" t="str">
        <f t="shared" si="2"/>
        <v/>
      </c>
      <c r="J718" s="37" t="str">
        <f t="shared" si="3"/>
        <v/>
      </c>
      <c r="K718" s="38" t="str">
        <f>IF(L718="","",SUMIF(Productos!E:E,L718,Productos!A:A))</f>
        <v/>
      </c>
      <c r="M718" s="39"/>
    </row>
    <row r="719">
      <c r="A719" s="2" t="str">
        <f>IF(B719="","",SUMIF(Productos!E:E,B719,Productos!A:A))</f>
        <v/>
      </c>
      <c r="B719" s="40"/>
      <c r="C719" s="26" t="str">
        <f>IF(B719="","",SUMIF(Prearmados!E:E,B719,Prearmados!G:G))</f>
        <v/>
      </c>
      <c r="D719" s="19"/>
      <c r="E719" s="26" t="str">
        <f>IF(A719="","",IF(SUMIFS(Estructuras!E:E,Estructuras!B:B,A$2,Estructuras!C:C,A719)&gt;0,SUMIFS(Estructuras!E:E,Estructuras!B:B,A$2,Estructuras!C:C,A719),C719*D719))</f>
        <v/>
      </c>
      <c r="F719" s="36"/>
      <c r="G719" s="36"/>
      <c r="H719" s="36"/>
      <c r="I719" s="36" t="str">
        <f t="shared" si="2"/>
        <v/>
      </c>
      <c r="J719" s="37" t="str">
        <f t="shared" si="3"/>
        <v/>
      </c>
      <c r="K719" s="38" t="str">
        <f>IF(L719="","",SUMIF(Productos!E:E,L719,Productos!A:A))</f>
        <v/>
      </c>
      <c r="M719" s="39"/>
    </row>
    <row r="720">
      <c r="A720" s="2" t="str">
        <f>IF(B720="","",SUMIF(Productos!E:E,B720,Productos!A:A))</f>
        <v/>
      </c>
      <c r="B720" s="40"/>
      <c r="C720" s="26" t="str">
        <f>IF(B720="","",SUMIF(Prearmados!E:E,B720,Prearmados!G:G))</f>
        <v/>
      </c>
      <c r="D720" s="19"/>
      <c r="E720" s="26" t="str">
        <f>IF(A720="","",IF(SUMIFS(Estructuras!E:E,Estructuras!B:B,A$2,Estructuras!C:C,A720)&gt;0,SUMIFS(Estructuras!E:E,Estructuras!B:B,A$2,Estructuras!C:C,A720),C720*D720))</f>
        <v/>
      </c>
      <c r="F720" s="36"/>
      <c r="G720" s="36"/>
      <c r="H720" s="36"/>
      <c r="I720" s="36" t="str">
        <f t="shared" si="2"/>
        <v/>
      </c>
      <c r="J720" s="37" t="str">
        <f t="shared" si="3"/>
        <v/>
      </c>
      <c r="K720" s="38" t="str">
        <f>IF(L720="","",SUMIF(Productos!E:E,L720,Productos!A:A))</f>
        <v/>
      </c>
      <c r="M720" s="39"/>
    </row>
    <row r="721">
      <c r="A721" s="2" t="str">
        <f>IF(B721="","",SUMIF(Productos!E:E,B721,Productos!A:A))</f>
        <v/>
      </c>
      <c r="B721" s="40"/>
      <c r="C721" s="26" t="str">
        <f>IF(B721="","",SUMIF(Prearmados!E:E,B721,Prearmados!G:G))</f>
        <v/>
      </c>
      <c r="D721" s="19"/>
      <c r="E721" s="26" t="str">
        <f>IF(A721="","",IF(SUMIFS(Estructuras!E:E,Estructuras!B:B,A$2,Estructuras!C:C,A721)&gt;0,SUMIFS(Estructuras!E:E,Estructuras!B:B,A$2,Estructuras!C:C,A721),C721*D721))</f>
        <v/>
      </c>
      <c r="F721" s="36"/>
      <c r="G721" s="36"/>
      <c r="H721" s="36"/>
      <c r="I721" s="36" t="str">
        <f t="shared" si="2"/>
        <v/>
      </c>
      <c r="J721" s="37" t="str">
        <f t="shared" si="3"/>
        <v/>
      </c>
      <c r="K721" s="38" t="str">
        <f>IF(L721="","",SUMIF(Productos!E:E,L721,Productos!A:A))</f>
        <v/>
      </c>
      <c r="M721" s="39"/>
    </row>
    <row r="722">
      <c r="A722" s="2" t="str">
        <f>IF(B722="","",SUMIF(Productos!E:E,B722,Productos!A:A))</f>
        <v/>
      </c>
      <c r="B722" s="40"/>
      <c r="C722" s="26" t="str">
        <f>IF(B722="","",SUMIF(Prearmados!E:E,B722,Prearmados!G:G))</f>
        <v/>
      </c>
      <c r="D722" s="19"/>
      <c r="E722" s="26" t="str">
        <f>IF(A722="","",IF(SUMIFS(Estructuras!E:E,Estructuras!B:B,A$2,Estructuras!C:C,A722)&gt;0,SUMIFS(Estructuras!E:E,Estructuras!B:B,A$2,Estructuras!C:C,A722),C722*D722))</f>
        <v/>
      </c>
      <c r="F722" s="36"/>
      <c r="G722" s="36"/>
      <c r="H722" s="36"/>
      <c r="I722" s="36" t="str">
        <f t="shared" si="2"/>
        <v/>
      </c>
      <c r="J722" s="37" t="str">
        <f t="shared" si="3"/>
        <v/>
      </c>
      <c r="K722" s="38" t="str">
        <f>IF(L722="","",SUMIF(Productos!E:E,L722,Productos!A:A))</f>
        <v/>
      </c>
      <c r="M722" s="39"/>
    </row>
    <row r="723">
      <c r="A723" s="2" t="str">
        <f>IF(B723="","",SUMIF(Productos!E:E,B723,Productos!A:A))</f>
        <v/>
      </c>
      <c r="B723" s="40"/>
      <c r="C723" s="26" t="str">
        <f>IF(B723="","",SUMIF(Prearmados!E:E,B723,Prearmados!G:G))</f>
        <v/>
      </c>
      <c r="D723" s="19"/>
      <c r="E723" s="26" t="str">
        <f>IF(A723="","",IF(SUMIFS(Estructuras!E:E,Estructuras!B:B,A$2,Estructuras!C:C,A723)&gt;0,SUMIFS(Estructuras!E:E,Estructuras!B:B,A$2,Estructuras!C:C,A723),C723*D723))</f>
        <v/>
      </c>
      <c r="F723" s="36"/>
      <c r="G723" s="36"/>
      <c r="H723" s="36"/>
      <c r="I723" s="36" t="str">
        <f t="shared" si="2"/>
        <v/>
      </c>
      <c r="J723" s="37" t="str">
        <f t="shared" si="3"/>
        <v/>
      </c>
      <c r="K723" s="38" t="str">
        <f>IF(L723="","",SUMIF(Productos!E:E,L723,Productos!A:A))</f>
        <v/>
      </c>
      <c r="M723" s="39"/>
    </row>
    <row r="724">
      <c r="A724" s="2" t="str">
        <f>IF(B724="","",SUMIF(Productos!E:E,B724,Productos!A:A))</f>
        <v/>
      </c>
      <c r="B724" s="40"/>
      <c r="C724" s="26" t="str">
        <f>IF(B724="","",SUMIF(Prearmados!E:E,B724,Prearmados!G:G))</f>
        <v/>
      </c>
      <c r="D724" s="19"/>
      <c r="E724" s="26" t="str">
        <f>IF(A724="","",IF(SUMIFS(Estructuras!E:E,Estructuras!B:B,A$2,Estructuras!C:C,A724)&gt;0,SUMIFS(Estructuras!E:E,Estructuras!B:B,A$2,Estructuras!C:C,A724),C724*D724))</f>
        <v/>
      </c>
      <c r="F724" s="36"/>
      <c r="G724" s="36"/>
      <c r="H724" s="36"/>
      <c r="I724" s="36" t="str">
        <f t="shared" si="2"/>
        <v/>
      </c>
      <c r="J724" s="37" t="str">
        <f t="shared" si="3"/>
        <v/>
      </c>
      <c r="K724" s="38" t="str">
        <f>IF(L724="","",SUMIF(Productos!E:E,L724,Productos!A:A))</f>
        <v/>
      </c>
      <c r="M724" s="39"/>
    </row>
    <row r="725">
      <c r="A725" s="2" t="str">
        <f>IF(B725="","",SUMIF(Productos!E:E,B725,Productos!A:A))</f>
        <v/>
      </c>
      <c r="B725" s="40"/>
      <c r="C725" s="26" t="str">
        <f>IF(B725="","",SUMIF(Prearmados!E:E,B725,Prearmados!G:G))</f>
        <v/>
      </c>
      <c r="D725" s="19"/>
      <c r="E725" s="26" t="str">
        <f>IF(A725="","",IF(SUMIFS(Estructuras!E:E,Estructuras!B:B,A$2,Estructuras!C:C,A725)&gt;0,SUMIFS(Estructuras!E:E,Estructuras!B:B,A$2,Estructuras!C:C,A725),C725*D725))</f>
        <v/>
      </c>
      <c r="F725" s="36"/>
      <c r="G725" s="36"/>
      <c r="H725" s="36"/>
      <c r="I725" s="36" t="str">
        <f t="shared" si="2"/>
        <v/>
      </c>
      <c r="J725" s="37" t="str">
        <f t="shared" si="3"/>
        <v/>
      </c>
      <c r="K725" s="38" t="str">
        <f>IF(L725="","",SUMIF(Productos!E:E,L725,Productos!A:A))</f>
        <v/>
      </c>
      <c r="M725" s="39"/>
    </row>
    <row r="726">
      <c r="A726" s="2" t="str">
        <f>IF(B726="","",SUMIF(Productos!E:E,B726,Productos!A:A))</f>
        <v/>
      </c>
      <c r="B726" s="40"/>
      <c r="C726" s="26" t="str">
        <f>IF(B726="","",SUMIF(Prearmados!E:E,B726,Prearmados!G:G))</f>
        <v/>
      </c>
      <c r="D726" s="19"/>
      <c r="E726" s="26" t="str">
        <f>IF(A726="","",IF(SUMIFS(Estructuras!E:E,Estructuras!B:B,A$2,Estructuras!C:C,A726)&gt;0,SUMIFS(Estructuras!E:E,Estructuras!B:B,A$2,Estructuras!C:C,A726),C726*D726))</f>
        <v/>
      </c>
      <c r="F726" s="36"/>
      <c r="G726" s="36"/>
      <c r="H726" s="36"/>
      <c r="I726" s="36" t="str">
        <f t="shared" si="2"/>
        <v/>
      </c>
      <c r="J726" s="37" t="str">
        <f t="shared" si="3"/>
        <v/>
      </c>
      <c r="K726" s="38" t="str">
        <f>IF(L726="","",SUMIF(Productos!E:E,L726,Productos!A:A))</f>
        <v/>
      </c>
      <c r="M726" s="39"/>
    </row>
    <row r="727">
      <c r="A727" s="2" t="str">
        <f>IF(B727="","",SUMIF(Productos!E:E,B727,Productos!A:A))</f>
        <v/>
      </c>
      <c r="B727" s="40"/>
      <c r="C727" s="26" t="str">
        <f>IF(B727="","",SUMIF(Prearmados!E:E,B727,Prearmados!G:G))</f>
        <v/>
      </c>
      <c r="D727" s="19"/>
      <c r="E727" s="26" t="str">
        <f>IF(A727="","",IF(SUMIFS(Estructuras!E:E,Estructuras!B:B,A$2,Estructuras!C:C,A727)&gt;0,SUMIFS(Estructuras!E:E,Estructuras!B:B,A$2,Estructuras!C:C,A727),C727*D727))</f>
        <v/>
      </c>
      <c r="F727" s="36"/>
      <c r="G727" s="36"/>
      <c r="H727" s="36"/>
      <c r="I727" s="36" t="str">
        <f t="shared" si="2"/>
        <v/>
      </c>
      <c r="J727" s="37" t="str">
        <f t="shared" si="3"/>
        <v/>
      </c>
      <c r="K727" s="38" t="str">
        <f>IF(L727="","",SUMIF(Productos!E:E,L727,Productos!A:A))</f>
        <v/>
      </c>
      <c r="M727" s="39"/>
    </row>
    <row r="728">
      <c r="A728" s="2" t="str">
        <f>IF(B728="","",SUMIF(Productos!E:E,B728,Productos!A:A))</f>
        <v/>
      </c>
      <c r="B728" s="40"/>
      <c r="C728" s="26" t="str">
        <f>IF(B728="","",SUMIF(Prearmados!E:E,B728,Prearmados!G:G))</f>
        <v/>
      </c>
      <c r="D728" s="19"/>
      <c r="E728" s="26" t="str">
        <f>IF(A728="","",IF(SUMIFS(Estructuras!E:E,Estructuras!B:B,A$2,Estructuras!C:C,A728)&gt;0,SUMIFS(Estructuras!E:E,Estructuras!B:B,A$2,Estructuras!C:C,A728),C728*D728))</f>
        <v/>
      </c>
      <c r="F728" s="36"/>
      <c r="G728" s="36"/>
      <c r="H728" s="36"/>
      <c r="I728" s="36" t="str">
        <f t="shared" si="2"/>
        <v/>
      </c>
      <c r="J728" s="37" t="str">
        <f t="shared" si="3"/>
        <v/>
      </c>
      <c r="K728" s="38" t="str">
        <f>IF(L728="","",SUMIF(Productos!E:E,L728,Productos!A:A))</f>
        <v/>
      </c>
      <c r="M728" s="39"/>
    </row>
    <row r="729">
      <c r="A729" s="2" t="str">
        <f>IF(B729="","",SUMIF(Productos!E:E,B729,Productos!A:A))</f>
        <v/>
      </c>
      <c r="B729" s="40"/>
      <c r="C729" s="26" t="str">
        <f>IF(B729="","",SUMIF(Prearmados!E:E,B729,Prearmados!G:G))</f>
        <v/>
      </c>
      <c r="D729" s="19"/>
      <c r="E729" s="26" t="str">
        <f>IF(A729="","",IF(SUMIFS(Estructuras!E:E,Estructuras!B:B,A$2,Estructuras!C:C,A729)&gt;0,SUMIFS(Estructuras!E:E,Estructuras!B:B,A$2,Estructuras!C:C,A729),C729*D729))</f>
        <v/>
      </c>
      <c r="F729" s="36"/>
      <c r="G729" s="36"/>
      <c r="H729" s="36"/>
      <c r="I729" s="36" t="str">
        <f t="shared" si="2"/>
        <v/>
      </c>
      <c r="J729" s="37" t="str">
        <f t="shared" si="3"/>
        <v/>
      </c>
      <c r="K729" s="38" t="str">
        <f>IF(L729="","",SUMIF(Productos!E:E,L729,Productos!A:A))</f>
        <v/>
      </c>
      <c r="M729" s="39"/>
    </row>
    <row r="730">
      <c r="A730" s="2" t="str">
        <f>IF(B730="","",SUMIF(Productos!E:E,B730,Productos!A:A))</f>
        <v/>
      </c>
      <c r="B730" s="40"/>
      <c r="C730" s="26" t="str">
        <f>IF(B730="","",SUMIF(Prearmados!E:E,B730,Prearmados!G:G))</f>
        <v/>
      </c>
      <c r="D730" s="19"/>
      <c r="E730" s="26" t="str">
        <f>IF(A730="","",IF(SUMIFS(Estructuras!E:E,Estructuras!B:B,A$2,Estructuras!C:C,A730)&gt;0,SUMIFS(Estructuras!E:E,Estructuras!B:B,A$2,Estructuras!C:C,A730),C730*D730))</f>
        <v/>
      </c>
      <c r="F730" s="36"/>
      <c r="G730" s="36"/>
      <c r="H730" s="36"/>
      <c r="I730" s="36" t="str">
        <f t="shared" si="2"/>
        <v/>
      </c>
      <c r="J730" s="37" t="str">
        <f t="shared" si="3"/>
        <v/>
      </c>
      <c r="K730" s="38" t="str">
        <f>IF(L730="","",SUMIF(Productos!E:E,L730,Productos!A:A))</f>
        <v/>
      </c>
      <c r="M730" s="39"/>
    </row>
    <row r="731">
      <c r="A731" s="2" t="str">
        <f>IF(B731="","",SUMIF(Productos!E:E,B731,Productos!A:A))</f>
        <v/>
      </c>
      <c r="B731" s="40"/>
      <c r="C731" s="26" t="str">
        <f>IF(B731="","",SUMIF(Prearmados!E:E,B731,Prearmados!G:G))</f>
        <v/>
      </c>
      <c r="D731" s="19"/>
      <c r="E731" s="26" t="str">
        <f>IF(A731="","",IF(SUMIFS(Estructuras!E:E,Estructuras!B:B,A$2,Estructuras!C:C,A731)&gt;0,SUMIFS(Estructuras!E:E,Estructuras!B:B,A$2,Estructuras!C:C,A731),C731*D731))</f>
        <v/>
      </c>
      <c r="F731" s="36"/>
      <c r="G731" s="36"/>
      <c r="H731" s="36"/>
      <c r="I731" s="36" t="str">
        <f t="shared" si="2"/>
        <v/>
      </c>
      <c r="J731" s="37" t="str">
        <f t="shared" si="3"/>
        <v/>
      </c>
      <c r="K731" s="38" t="str">
        <f>IF(L731="","",SUMIF(Productos!E:E,L731,Productos!A:A))</f>
        <v/>
      </c>
      <c r="M731" s="39"/>
    </row>
    <row r="732">
      <c r="A732" s="2" t="str">
        <f>IF(B732="","",SUMIF(Productos!E:E,B732,Productos!A:A))</f>
        <v/>
      </c>
      <c r="B732" s="40"/>
      <c r="C732" s="26" t="str">
        <f>IF(B732="","",SUMIF(Prearmados!E:E,B732,Prearmados!G:G))</f>
        <v/>
      </c>
      <c r="D732" s="19"/>
      <c r="E732" s="26" t="str">
        <f>IF(A732="","",IF(SUMIFS(Estructuras!E:E,Estructuras!B:B,A$2,Estructuras!C:C,A732)&gt;0,SUMIFS(Estructuras!E:E,Estructuras!B:B,A$2,Estructuras!C:C,A732),C732*D732))</f>
        <v/>
      </c>
      <c r="F732" s="36"/>
      <c r="G732" s="36"/>
      <c r="H732" s="36"/>
      <c r="I732" s="36" t="str">
        <f t="shared" si="2"/>
        <v/>
      </c>
      <c r="J732" s="37" t="str">
        <f t="shared" si="3"/>
        <v/>
      </c>
      <c r="K732" s="38" t="str">
        <f>IF(L732="","",SUMIF(Productos!E:E,L732,Productos!A:A))</f>
        <v/>
      </c>
      <c r="M732" s="39"/>
    </row>
    <row r="733">
      <c r="A733" s="2" t="str">
        <f>IF(B733="","",SUMIF(Productos!E:E,B733,Productos!A:A))</f>
        <v/>
      </c>
      <c r="B733" s="40"/>
      <c r="C733" s="26" t="str">
        <f>IF(B733="","",SUMIF(Prearmados!E:E,B733,Prearmados!G:G))</f>
        <v/>
      </c>
      <c r="D733" s="19"/>
      <c r="E733" s="26" t="str">
        <f>IF(A733="","",IF(SUMIFS(Estructuras!E:E,Estructuras!B:B,A$2,Estructuras!C:C,A733)&gt;0,SUMIFS(Estructuras!E:E,Estructuras!B:B,A$2,Estructuras!C:C,A733),C733*D733))</f>
        <v/>
      </c>
      <c r="F733" s="36"/>
      <c r="G733" s="36"/>
      <c r="H733" s="36"/>
      <c r="I733" s="36" t="str">
        <f t="shared" si="2"/>
        <v/>
      </c>
      <c r="J733" s="37" t="str">
        <f t="shared" si="3"/>
        <v/>
      </c>
      <c r="K733" s="38" t="str">
        <f>IF(L733="","",SUMIF(Productos!E:E,L733,Productos!A:A))</f>
        <v/>
      </c>
      <c r="M733" s="39"/>
    </row>
    <row r="734">
      <c r="A734" s="2" t="str">
        <f>IF(B734="","",SUMIF(Productos!E:E,B734,Productos!A:A))</f>
        <v/>
      </c>
      <c r="B734" s="40"/>
      <c r="C734" s="26" t="str">
        <f>IF(B734="","",SUMIF(Prearmados!E:E,B734,Prearmados!G:G))</f>
        <v/>
      </c>
      <c r="D734" s="19"/>
      <c r="E734" s="26" t="str">
        <f>IF(A734="","",IF(SUMIFS(Estructuras!E:E,Estructuras!B:B,A$2,Estructuras!C:C,A734)&gt;0,SUMIFS(Estructuras!E:E,Estructuras!B:B,A$2,Estructuras!C:C,A734),C734*D734))</f>
        <v/>
      </c>
      <c r="F734" s="36"/>
      <c r="G734" s="36"/>
      <c r="H734" s="36"/>
      <c r="I734" s="36" t="str">
        <f t="shared" si="2"/>
        <v/>
      </c>
      <c r="J734" s="37" t="str">
        <f t="shared" si="3"/>
        <v/>
      </c>
      <c r="K734" s="38" t="str">
        <f>IF(L734="","",SUMIF(Productos!E:E,L734,Productos!A:A))</f>
        <v/>
      </c>
      <c r="M734" s="39"/>
    </row>
    <row r="735">
      <c r="A735" s="2" t="str">
        <f>IF(B735="","",SUMIF(Productos!E:E,B735,Productos!A:A))</f>
        <v/>
      </c>
      <c r="B735" s="40"/>
      <c r="C735" s="26" t="str">
        <f>IF(B735="","",SUMIF(Prearmados!E:E,B735,Prearmados!G:G))</f>
        <v/>
      </c>
      <c r="D735" s="19"/>
      <c r="E735" s="26" t="str">
        <f>IF(A735="","",IF(SUMIFS(Estructuras!E:E,Estructuras!B:B,A$2,Estructuras!C:C,A735)&gt;0,SUMIFS(Estructuras!E:E,Estructuras!B:B,A$2,Estructuras!C:C,A735),C735*D735))</f>
        <v/>
      </c>
      <c r="F735" s="36"/>
      <c r="G735" s="36"/>
      <c r="H735" s="36"/>
      <c r="I735" s="36" t="str">
        <f t="shared" si="2"/>
        <v/>
      </c>
      <c r="J735" s="37" t="str">
        <f t="shared" si="3"/>
        <v/>
      </c>
      <c r="K735" s="38" t="str">
        <f>IF(L735="","",SUMIF(Productos!E:E,L735,Productos!A:A))</f>
        <v/>
      </c>
      <c r="M735" s="39"/>
    </row>
    <row r="736">
      <c r="A736" s="2" t="str">
        <f>IF(B736="","",SUMIF(Productos!E:E,B736,Productos!A:A))</f>
        <v/>
      </c>
      <c r="B736" s="40"/>
      <c r="C736" s="26" t="str">
        <f>IF(B736="","",SUMIF(Prearmados!E:E,B736,Prearmados!G:G))</f>
        <v/>
      </c>
      <c r="D736" s="19"/>
      <c r="E736" s="26" t="str">
        <f>IF(A736="","",IF(SUMIFS(Estructuras!E:E,Estructuras!B:B,A$2,Estructuras!C:C,A736)&gt;0,SUMIFS(Estructuras!E:E,Estructuras!B:B,A$2,Estructuras!C:C,A736),C736*D736))</f>
        <v/>
      </c>
      <c r="F736" s="36"/>
      <c r="G736" s="36"/>
      <c r="H736" s="36"/>
      <c r="I736" s="36" t="str">
        <f t="shared" si="2"/>
        <v/>
      </c>
      <c r="J736" s="37" t="str">
        <f t="shared" si="3"/>
        <v/>
      </c>
      <c r="K736" s="38" t="str">
        <f>IF(L736="","",SUMIF(Productos!E:E,L736,Productos!A:A))</f>
        <v/>
      </c>
      <c r="M736" s="39"/>
    </row>
    <row r="737">
      <c r="A737" s="2" t="str">
        <f>IF(B737="","",SUMIF(Productos!E:E,B737,Productos!A:A))</f>
        <v/>
      </c>
      <c r="B737" s="40"/>
      <c r="C737" s="26" t="str">
        <f>IF(B737="","",SUMIF(Prearmados!E:E,B737,Prearmados!G:G))</f>
        <v/>
      </c>
      <c r="D737" s="19"/>
      <c r="E737" s="26" t="str">
        <f>IF(A737="","",IF(SUMIFS(Estructuras!E:E,Estructuras!B:B,A$2,Estructuras!C:C,A737)&gt;0,SUMIFS(Estructuras!E:E,Estructuras!B:B,A$2,Estructuras!C:C,A737),C737*D737))</f>
        <v/>
      </c>
      <c r="F737" s="36"/>
      <c r="G737" s="36"/>
      <c r="H737" s="36"/>
      <c r="I737" s="36" t="str">
        <f t="shared" si="2"/>
        <v/>
      </c>
      <c r="J737" s="37" t="str">
        <f t="shared" si="3"/>
        <v/>
      </c>
      <c r="K737" s="38" t="str">
        <f>IF(L737="","",SUMIF(Productos!E:E,L737,Productos!A:A))</f>
        <v/>
      </c>
      <c r="M737" s="39"/>
    </row>
    <row r="738">
      <c r="A738" s="2" t="str">
        <f>IF(B738="","",SUMIF(Productos!E:E,B738,Productos!A:A))</f>
        <v/>
      </c>
      <c r="B738" s="40"/>
      <c r="C738" s="26" t="str">
        <f>IF(B738="","",SUMIF(Prearmados!E:E,B738,Prearmados!G:G))</f>
        <v/>
      </c>
      <c r="D738" s="19"/>
      <c r="E738" s="26" t="str">
        <f>IF(A738="","",IF(SUMIFS(Estructuras!E:E,Estructuras!B:B,A$2,Estructuras!C:C,A738)&gt;0,SUMIFS(Estructuras!E:E,Estructuras!B:B,A$2,Estructuras!C:C,A738),C738*D738))</f>
        <v/>
      </c>
      <c r="F738" s="36"/>
      <c r="G738" s="36"/>
      <c r="H738" s="36"/>
      <c r="I738" s="36" t="str">
        <f t="shared" si="2"/>
        <v/>
      </c>
      <c r="J738" s="37" t="str">
        <f t="shared" si="3"/>
        <v/>
      </c>
      <c r="K738" s="38" t="str">
        <f>IF(L738="","",SUMIF(Productos!E:E,L738,Productos!A:A))</f>
        <v/>
      </c>
      <c r="M738" s="39"/>
    </row>
    <row r="739">
      <c r="A739" s="2" t="str">
        <f>IF(B739="","",SUMIF(Productos!E:E,B739,Productos!A:A))</f>
        <v/>
      </c>
      <c r="B739" s="40"/>
      <c r="C739" s="26" t="str">
        <f>IF(B739="","",SUMIF(Prearmados!E:E,B739,Prearmados!G:G))</f>
        <v/>
      </c>
      <c r="D739" s="19"/>
      <c r="E739" s="26" t="str">
        <f>IF(A739="","",IF(SUMIFS(Estructuras!E:E,Estructuras!B:B,A$2,Estructuras!C:C,A739)&gt;0,SUMIFS(Estructuras!E:E,Estructuras!B:B,A$2,Estructuras!C:C,A739),C739*D739))</f>
        <v/>
      </c>
      <c r="F739" s="36"/>
      <c r="G739" s="36"/>
      <c r="H739" s="36"/>
      <c r="I739" s="36" t="str">
        <f t="shared" si="2"/>
        <v/>
      </c>
      <c r="J739" s="37" t="str">
        <f t="shared" si="3"/>
        <v/>
      </c>
      <c r="K739" s="38" t="str">
        <f>IF(L739="","",SUMIF(Productos!E:E,L739,Productos!A:A))</f>
        <v/>
      </c>
      <c r="M739" s="39"/>
    </row>
    <row r="740">
      <c r="A740" s="2" t="str">
        <f>IF(B740="","",SUMIF(Productos!E:E,B740,Productos!A:A))</f>
        <v/>
      </c>
      <c r="B740" s="40"/>
      <c r="C740" s="26" t="str">
        <f>IF(B740="","",SUMIF(Prearmados!E:E,B740,Prearmados!G:G))</f>
        <v/>
      </c>
      <c r="D740" s="19"/>
      <c r="E740" s="26" t="str">
        <f>IF(A740="","",IF(SUMIFS(Estructuras!E:E,Estructuras!B:B,A$2,Estructuras!C:C,A740)&gt;0,SUMIFS(Estructuras!E:E,Estructuras!B:B,A$2,Estructuras!C:C,A740),C740*D740))</f>
        <v/>
      </c>
      <c r="F740" s="36"/>
      <c r="G740" s="36"/>
      <c r="H740" s="36"/>
      <c r="I740" s="36" t="str">
        <f t="shared" si="2"/>
        <v/>
      </c>
      <c r="J740" s="37" t="str">
        <f t="shared" si="3"/>
        <v/>
      </c>
      <c r="K740" s="38" t="str">
        <f>IF(L740="","",SUMIF(Productos!E:E,L740,Productos!A:A))</f>
        <v/>
      </c>
      <c r="M740" s="39"/>
    </row>
    <row r="741">
      <c r="A741" s="2" t="str">
        <f>IF(B741="","",SUMIF(Productos!E:E,B741,Productos!A:A))</f>
        <v/>
      </c>
      <c r="B741" s="40"/>
      <c r="C741" s="26" t="str">
        <f>IF(B741="","",SUMIF(Prearmados!E:E,B741,Prearmados!G:G))</f>
        <v/>
      </c>
      <c r="D741" s="19"/>
      <c r="E741" s="26" t="str">
        <f>IF(A741="","",IF(SUMIFS(Estructuras!E:E,Estructuras!B:B,A$2,Estructuras!C:C,A741)&gt;0,SUMIFS(Estructuras!E:E,Estructuras!B:B,A$2,Estructuras!C:C,A741),C741*D741))</f>
        <v/>
      </c>
      <c r="F741" s="36"/>
      <c r="G741" s="36"/>
      <c r="H741" s="36"/>
      <c r="I741" s="36" t="str">
        <f t="shared" si="2"/>
        <v/>
      </c>
      <c r="J741" s="37" t="str">
        <f t="shared" si="3"/>
        <v/>
      </c>
      <c r="K741" s="38" t="str">
        <f>IF(L741="","",SUMIF(Productos!E:E,L741,Productos!A:A))</f>
        <v/>
      </c>
      <c r="M741" s="39"/>
    </row>
    <row r="742">
      <c r="A742" s="2" t="str">
        <f>IF(B742="","",SUMIF(Productos!E:E,B742,Productos!A:A))</f>
        <v/>
      </c>
      <c r="B742" s="40"/>
      <c r="C742" s="26" t="str">
        <f>IF(B742="","",SUMIF(Prearmados!E:E,B742,Prearmados!G:G))</f>
        <v/>
      </c>
      <c r="D742" s="19"/>
      <c r="E742" s="26" t="str">
        <f>IF(A742="","",IF(SUMIFS(Estructuras!E:E,Estructuras!B:B,A$2,Estructuras!C:C,A742)&gt;0,SUMIFS(Estructuras!E:E,Estructuras!B:B,A$2,Estructuras!C:C,A742),C742*D742))</f>
        <v/>
      </c>
      <c r="F742" s="36"/>
      <c r="G742" s="36"/>
      <c r="H742" s="36"/>
      <c r="I742" s="36" t="str">
        <f t="shared" si="2"/>
        <v/>
      </c>
      <c r="J742" s="37" t="str">
        <f t="shared" si="3"/>
        <v/>
      </c>
      <c r="K742" s="38" t="str">
        <f>IF(L742="","",SUMIF(Productos!E:E,L742,Productos!A:A))</f>
        <v/>
      </c>
      <c r="M742" s="39"/>
    </row>
    <row r="743">
      <c r="A743" s="2" t="str">
        <f>IF(B743="","",SUMIF(Productos!E:E,B743,Productos!A:A))</f>
        <v/>
      </c>
      <c r="B743" s="40"/>
      <c r="C743" s="26" t="str">
        <f>IF(B743="","",SUMIF(Prearmados!E:E,B743,Prearmados!G:G))</f>
        <v/>
      </c>
      <c r="D743" s="19"/>
      <c r="E743" s="26" t="str">
        <f>IF(A743="","",IF(SUMIFS(Estructuras!E:E,Estructuras!B:B,A$2,Estructuras!C:C,A743)&gt;0,SUMIFS(Estructuras!E:E,Estructuras!B:B,A$2,Estructuras!C:C,A743),C743*D743))</f>
        <v/>
      </c>
      <c r="F743" s="36"/>
      <c r="G743" s="36"/>
      <c r="H743" s="36"/>
      <c r="I743" s="36" t="str">
        <f t="shared" si="2"/>
        <v/>
      </c>
      <c r="J743" s="37" t="str">
        <f t="shared" si="3"/>
        <v/>
      </c>
      <c r="K743" s="38" t="str">
        <f>IF(L743="","",SUMIF(Productos!E:E,L743,Productos!A:A))</f>
        <v/>
      </c>
      <c r="M743" s="39"/>
    </row>
    <row r="744">
      <c r="A744" s="2" t="str">
        <f>IF(B744="","",SUMIF(Productos!E:E,B744,Productos!A:A))</f>
        <v/>
      </c>
      <c r="B744" s="40"/>
      <c r="C744" s="26" t="str">
        <f>IF(B744="","",SUMIF(Prearmados!E:E,B744,Prearmados!G:G))</f>
        <v/>
      </c>
      <c r="D744" s="19"/>
      <c r="E744" s="26" t="str">
        <f>IF(A744="","",IF(SUMIFS(Estructuras!E:E,Estructuras!B:B,A$2,Estructuras!C:C,A744)&gt;0,SUMIFS(Estructuras!E:E,Estructuras!B:B,A$2,Estructuras!C:C,A744),C744*D744))</f>
        <v/>
      </c>
      <c r="F744" s="36"/>
      <c r="G744" s="36"/>
      <c r="H744" s="36"/>
      <c r="I744" s="36" t="str">
        <f t="shared" si="2"/>
        <v/>
      </c>
      <c r="J744" s="37" t="str">
        <f t="shared" si="3"/>
        <v/>
      </c>
      <c r="K744" s="38" t="str">
        <f>IF(L744="","",SUMIF(Productos!E:E,L744,Productos!A:A))</f>
        <v/>
      </c>
      <c r="M744" s="39"/>
    </row>
    <row r="745">
      <c r="A745" s="2" t="str">
        <f>IF(B745="","",SUMIF(Productos!E:E,B745,Productos!A:A))</f>
        <v/>
      </c>
      <c r="B745" s="40"/>
      <c r="C745" s="26" t="str">
        <f>IF(B745="","",SUMIF(Prearmados!E:E,B745,Prearmados!G:G))</f>
        <v/>
      </c>
      <c r="D745" s="19"/>
      <c r="E745" s="26" t="str">
        <f>IF(A745="","",IF(SUMIFS(Estructuras!E:E,Estructuras!B:B,A$2,Estructuras!C:C,A745)&gt;0,SUMIFS(Estructuras!E:E,Estructuras!B:B,A$2,Estructuras!C:C,A745),C745*D745))</f>
        <v/>
      </c>
      <c r="F745" s="36"/>
      <c r="G745" s="36"/>
      <c r="H745" s="36"/>
      <c r="I745" s="36" t="str">
        <f t="shared" si="2"/>
        <v/>
      </c>
      <c r="J745" s="37" t="str">
        <f t="shared" si="3"/>
        <v/>
      </c>
      <c r="K745" s="38" t="str">
        <f>IF(L745="","",SUMIF(Productos!E:E,L745,Productos!A:A))</f>
        <v/>
      </c>
      <c r="M745" s="39"/>
    </row>
    <row r="746">
      <c r="A746" s="2" t="str">
        <f>IF(B746="","",SUMIF(Productos!E:E,B746,Productos!A:A))</f>
        <v/>
      </c>
      <c r="B746" s="40"/>
      <c r="C746" s="26" t="str">
        <f>IF(B746="","",SUMIF(Prearmados!E:E,B746,Prearmados!G:G))</f>
        <v/>
      </c>
      <c r="D746" s="19"/>
      <c r="E746" s="26" t="str">
        <f>IF(A746="","",IF(SUMIFS(Estructuras!E:E,Estructuras!B:B,A$2,Estructuras!C:C,A746)&gt;0,SUMIFS(Estructuras!E:E,Estructuras!B:B,A$2,Estructuras!C:C,A746),C746*D746))</f>
        <v/>
      </c>
      <c r="F746" s="36"/>
      <c r="G746" s="36"/>
      <c r="H746" s="36"/>
      <c r="I746" s="36" t="str">
        <f t="shared" si="2"/>
        <v/>
      </c>
      <c r="J746" s="37" t="str">
        <f t="shared" si="3"/>
        <v/>
      </c>
      <c r="K746" s="38" t="str">
        <f>IF(L746="","",SUMIF(Productos!E:E,L746,Productos!A:A))</f>
        <v/>
      </c>
      <c r="M746" s="39"/>
    </row>
    <row r="747">
      <c r="A747" s="2" t="str">
        <f>IF(B747="","",SUMIF(Productos!E:E,B747,Productos!A:A))</f>
        <v/>
      </c>
      <c r="B747" s="40"/>
      <c r="C747" s="26" t="str">
        <f>IF(B747="","",SUMIF(Prearmados!E:E,B747,Prearmados!G:G))</f>
        <v/>
      </c>
      <c r="D747" s="19"/>
      <c r="E747" s="26" t="str">
        <f>IF(A747="","",IF(SUMIFS(Estructuras!E:E,Estructuras!B:B,A$2,Estructuras!C:C,A747)&gt;0,SUMIFS(Estructuras!E:E,Estructuras!B:B,A$2,Estructuras!C:C,A747),C747*D747))</f>
        <v/>
      </c>
      <c r="F747" s="36"/>
      <c r="G747" s="36"/>
      <c r="H747" s="36"/>
      <c r="I747" s="36" t="str">
        <f t="shared" si="2"/>
        <v/>
      </c>
      <c r="J747" s="37" t="str">
        <f t="shared" si="3"/>
        <v/>
      </c>
      <c r="K747" s="38" t="str">
        <f>IF(L747="","",SUMIF(Productos!E:E,L747,Productos!A:A))</f>
        <v/>
      </c>
      <c r="M747" s="39"/>
    </row>
    <row r="748">
      <c r="A748" s="2" t="str">
        <f>IF(B748="","",SUMIF(Productos!E:E,B748,Productos!A:A))</f>
        <v/>
      </c>
      <c r="B748" s="40"/>
      <c r="C748" s="26" t="str">
        <f>IF(B748="","",SUMIF(Prearmados!E:E,B748,Prearmados!G:G))</f>
        <v/>
      </c>
      <c r="D748" s="19"/>
      <c r="E748" s="26" t="str">
        <f>IF(A748="","",IF(SUMIFS(Estructuras!E:E,Estructuras!B:B,A$2,Estructuras!C:C,A748)&gt;0,SUMIFS(Estructuras!E:E,Estructuras!B:B,A$2,Estructuras!C:C,A748),C748*D748))</f>
        <v/>
      </c>
      <c r="F748" s="36"/>
      <c r="G748" s="36"/>
      <c r="H748" s="36"/>
      <c r="I748" s="36" t="str">
        <f t="shared" si="2"/>
        <v/>
      </c>
      <c r="J748" s="37" t="str">
        <f t="shared" si="3"/>
        <v/>
      </c>
      <c r="K748" s="38" t="str">
        <f>IF(L748="","",SUMIF(Productos!E:E,L748,Productos!A:A))</f>
        <v/>
      </c>
      <c r="M748" s="39"/>
    </row>
    <row r="749">
      <c r="A749" s="2" t="str">
        <f>IF(B749="","",SUMIF(Productos!E:E,B749,Productos!A:A))</f>
        <v/>
      </c>
      <c r="B749" s="40"/>
      <c r="C749" s="26" t="str">
        <f>IF(B749="","",SUMIF(Prearmados!E:E,B749,Prearmados!G:G))</f>
        <v/>
      </c>
      <c r="D749" s="19"/>
      <c r="E749" s="26" t="str">
        <f>IF(A749="","",IF(SUMIFS(Estructuras!E:E,Estructuras!B:B,A$2,Estructuras!C:C,A749)&gt;0,SUMIFS(Estructuras!E:E,Estructuras!B:B,A$2,Estructuras!C:C,A749),C749*D749))</f>
        <v/>
      </c>
      <c r="F749" s="36"/>
      <c r="G749" s="36"/>
      <c r="H749" s="36"/>
      <c r="I749" s="36" t="str">
        <f t="shared" si="2"/>
        <v/>
      </c>
      <c r="J749" s="37" t="str">
        <f t="shared" si="3"/>
        <v/>
      </c>
      <c r="K749" s="38" t="str">
        <f>IF(L749="","",SUMIF(Productos!E:E,L749,Productos!A:A))</f>
        <v/>
      </c>
      <c r="M749" s="39"/>
    </row>
    <row r="750">
      <c r="A750" s="2" t="str">
        <f>IF(B750="","",SUMIF(Productos!E:E,B750,Productos!A:A))</f>
        <v/>
      </c>
      <c r="B750" s="40"/>
      <c r="C750" s="26" t="str">
        <f>IF(B750="","",SUMIF(Prearmados!E:E,B750,Prearmados!G:G))</f>
        <v/>
      </c>
      <c r="D750" s="19"/>
      <c r="E750" s="26" t="str">
        <f>IF(A750="","",IF(SUMIFS(Estructuras!E:E,Estructuras!B:B,A$2,Estructuras!C:C,A750)&gt;0,SUMIFS(Estructuras!E:E,Estructuras!B:B,A$2,Estructuras!C:C,A750),C750*D750))</f>
        <v/>
      </c>
      <c r="F750" s="36"/>
      <c r="G750" s="36"/>
      <c r="H750" s="36"/>
      <c r="I750" s="36" t="str">
        <f t="shared" si="2"/>
        <v/>
      </c>
      <c r="J750" s="37" t="str">
        <f t="shared" si="3"/>
        <v/>
      </c>
      <c r="K750" s="38" t="str">
        <f>IF(L750="","",SUMIF(Productos!E:E,L750,Productos!A:A))</f>
        <v/>
      </c>
      <c r="M750" s="39"/>
    </row>
    <row r="751">
      <c r="A751" s="2" t="str">
        <f>IF(B751="","",SUMIF(Productos!E:E,B751,Productos!A:A))</f>
        <v/>
      </c>
      <c r="B751" s="40"/>
      <c r="C751" s="26" t="str">
        <f>IF(B751="","",SUMIF(Prearmados!E:E,B751,Prearmados!G:G))</f>
        <v/>
      </c>
      <c r="D751" s="19"/>
      <c r="E751" s="26" t="str">
        <f>IF(A751="","",IF(SUMIFS(Estructuras!E:E,Estructuras!B:B,A$2,Estructuras!C:C,A751)&gt;0,SUMIFS(Estructuras!E:E,Estructuras!B:B,A$2,Estructuras!C:C,A751),C751*D751))</f>
        <v/>
      </c>
      <c r="F751" s="36"/>
      <c r="G751" s="36"/>
      <c r="H751" s="36"/>
      <c r="I751" s="36" t="str">
        <f t="shared" si="2"/>
        <v/>
      </c>
      <c r="J751" s="37" t="str">
        <f t="shared" si="3"/>
        <v/>
      </c>
      <c r="K751" s="38" t="str">
        <f>IF(L751="","",SUMIF(Productos!E:E,L751,Productos!A:A))</f>
        <v/>
      </c>
      <c r="M751" s="39"/>
    </row>
    <row r="752">
      <c r="A752" s="2" t="str">
        <f>IF(B752="","",SUMIF(Productos!E:E,B752,Productos!A:A))</f>
        <v/>
      </c>
      <c r="B752" s="40"/>
      <c r="C752" s="26" t="str">
        <f>IF(B752="","",SUMIF(Prearmados!E:E,B752,Prearmados!G:G))</f>
        <v/>
      </c>
      <c r="D752" s="19"/>
      <c r="E752" s="26" t="str">
        <f>IF(A752="","",IF(SUMIFS(Estructuras!E:E,Estructuras!B:B,A$2,Estructuras!C:C,A752)&gt;0,SUMIFS(Estructuras!E:E,Estructuras!B:B,A$2,Estructuras!C:C,A752),C752*D752))</f>
        <v/>
      </c>
      <c r="F752" s="36"/>
      <c r="G752" s="36"/>
      <c r="H752" s="36"/>
      <c r="I752" s="36" t="str">
        <f t="shared" si="2"/>
        <v/>
      </c>
      <c r="J752" s="37" t="str">
        <f t="shared" si="3"/>
        <v/>
      </c>
      <c r="K752" s="38" t="str">
        <f>IF(L752="","",SUMIF(Productos!E:E,L752,Productos!A:A))</f>
        <v/>
      </c>
      <c r="M752" s="39"/>
    </row>
    <row r="753">
      <c r="A753" s="2" t="str">
        <f>IF(B753="","",SUMIF(Productos!E:E,B753,Productos!A:A))</f>
        <v/>
      </c>
      <c r="B753" s="40"/>
      <c r="C753" s="26" t="str">
        <f>IF(B753="","",SUMIF(Prearmados!E:E,B753,Prearmados!G:G))</f>
        <v/>
      </c>
      <c r="D753" s="19"/>
      <c r="E753" s="26" t="str">
        <f>IF(A753="","",IF(SUMIFS(Estructuras!E:E,Estructuras!B:B,A$2,Estructuras!C:C,A753)&gt;0,SUMIFS(Estructuras!E:E,Estructuras!B:B,A$2,Estructuras!C:C,A753),C753*D753))</f>
        <v/>
      </c>
      <c r="F753" s="36"/>
      <c r="G753" s="36"/>
      <c r="H753" s="36"/>
      <c r="I753" s="36" t="str">
        <f t="shared" si="2"/>
        <v/>
      </c>
      <c r="J753" s="37" t="str">
        <f t="shared" si="3"/>
        <v/>
      </c>
      <c r="K753" s="38" t="str">
        <f>IF(L753="","",SUMIF(Productos!E:E,L753,Productos!A:A))</f>
        <v/>
      </c>
      <c r="M753" s="39"/>
    </row>
    <row r="754">
      <c r="A754" s="2" t="str">
        <f>IF(B754="","",SUMIF(Productos!E:E,B754,Productos!A:A))</f>
        <v/>
      </c>
      <c r="B754" s="40"/>
      <c r="C754" s="26" t="str">
        <f>IF(B754="","",SUMIF(Prearmados!E:E,B754,Prearmados!G:G))</f>
        <v/>
      </c>
      <c r="D754" s="19"/>
      <c r="E754" s="26" t="str">
        <f>IF(A754="","",IF(SUMIFS(Estructuras!E:E,Estructuras!B:B,A$2,Estructuras!C:C,A754)&gt;0,SUMIFS(Estructuras!E:E,Estructuras!B:B,A$2,Estructuras!C:C,A754),C754*D754))</f>
        <v/>
      </c>
      <c r="F754" s="36"/>
      <c r="G754" s="36"/>
      <c r="H754" s="36"/>
      <c r="I754" s="36" t="str">
        <f t="shared" si="2"/>
        <v/>
      </c>
      <c r="J754" s="37" t="str">
        <f t="shared" si="3"/>
        <v/>
      </c>
      <c r="K754" s="38" t="str">
        <f>IF(L754="","",SUMIF(Productos!E:E,L754,Productos!A:A))</f>
        <v/>
      </c>
      <c r="M754" s="39"/>
    </row>
    <row r="755">
      <c r="A755" s="2" t="str">
        <f>IF(B755="","",SUMIF(Productos!E:E,B755,Productos!A:A))</f>
        <v/>
      </c>
      <c r="B755" s="40"/>
      <c r="C755" s="26" t="str">
        <f>IF(B755="","",SUMIF(Prearmados!E:E,B755,Prearmados!G:G))</f>
        <v/>
      </c>
      <c r="D755" s="19"/>
      <c r="E755" s="26" t="str">
        <f>IF(A755="","",IF(SUMIFS(Estructuras!E:E,Estructuras!B:B,A$2,Estructuras!C:C,A755)&gt;0,SUMIFS(Estructuras!E:E,Estructuras!B:B,A$2,Estructuras!C:C,A755),C755*D755))</f>
        <v/>
      </c>
      <c r="F755" s="36"/>
      <c r="G755" s="36"/>
      <c r="H755" s="36"/>
      <c r="I755" s="36" t="str">
        <f t="shared" si="2"/>
        <v/>
      </c>
      <c r="J755" s="37" t="str">
        <f t="shared" si="3"/>
        <v/>
      </c>
      <c r="K755" s="38" t="str">
        <f>IF(L755="","",SUMIF(Productos!E:E,L755,Productos!A:A))</f>
        <v/>
      </c>
      <c r="M755" s="39"/>
    </row>
    <row r="756">
      <c r="A756" s="2" t="str">
        <f>IF(B756="","",SUMIF(Productos!E:E,B756,Productos!A:A))</f>
        <v/>
      </c>
      <c r="B756" s="40"/>
      <c r="C756" s="26" t="str">
        <f>IF(B756="","",SUMIF(Prearmados!E:E,B756,Prearmados!G:G))</f>
        <v/>
      </c>
      <c r="D756" s="19"/>
      <c r="E756" s="26" t="str">
        <f>IF(A756="","",IF(SUMIFS(Estructuras!E:E,Estructuras!B:B,A$2,Estructuras!C:C,A756)&gt;0,SUMIFS(Estructuras!E:E,Estructuras!B:B,A$2,Estructuras!C:C,A756),C756*D756))</f>
        <v/>
      </c>
      <c r="F756" s="36"/>
      <c r="G756" s="36"/>
      <c r="H756" s="36"/>
      <c r="I756" s="36" t="str">
        <f t="shared" si="2"/>
        <v/>
      </c>
      <c r="J756" s="37" t="str">
        <f t="shared" si="3"/>
        <v/>
      </c>
      <c r="K756" s="38" t="str">
        <f>IF(L756="","",SUMIF(Productos!E:E,L756,Productos!A:A))</f>
        <v/>
      </c>
      <c r="M756" s="39"/>
    </row>
    <row r="757">
      <c r="A757" s="2" t="str">
        <f>IF(B757="","",SUMIF(Productos!E:E,B757,Productos!A:A))</f>
        <v/>
      </c>
      <c r="B757" s="40"/>
      <c r="C757" s="26" t="str">
        <f>IF(B757="","",SUMIF(Prearmados!E:E,B757,Prearmados!G:G))</f>
        <v/>
      </c>
      <c r="D757" s="19"/>
      <c r="E757" s="26" t="str">
        <f>IF(A757="","",IF(SUMIFS(Estructuras!E:E,Estructuras!B:B,A$2,Estructuras!C:C,A757)&gt;0,SUMIFS(Estructuras!E:E,Estructuras!B:B,A$2,Estructuras!C:C,A757),C757*D757))</f>
        <v/>
      </c>
      <c r="F757" s="36"/>
      <c r="G757" s="36"/>
      <c r="H757" s="36"/>
      <c r="I757" s="36" t="str">
        <f t="shared" si="2"/>
        <v/>
      </c>
      <c r="J757" s="37" t="str">
        <f t="shared" si="3"/>
        <v/>
      </c>
      <c r="K757" s="38" t="str">
        <f>IF(L757="","",SUMIF(Productos!E:E,L757,Productos!A:A))</f>
        <v/>
      </c>
      <c r="M757" s="39"/>
    </row>
    <row r="758">
      <c r="A758" s="2" t="str">
        <f>IF(B758="","",SUMIF(Productos!E:E,B758,Productos!A:A))</f>
        <v/>
      </c>
      <c r="B758" s="40"/>
      <c r="C758" s="26" t="str">
        <f>IF(B758="","",SUMIF(Prearmados!E:E,B758,Prearmados!G:G))</f>
        <v/>
      </c>
      <c r="D758" s="19"/>
      <c r="E758" s="26" t="str">
        <f>IF(A758="","",IF(SUMIFS(Estructuras!E:E,Estructuras!B:B,A$2,Estructuras!C:C,A758)&gt;0,SUMIFS(Estructuras!E:E,Estructuras!B:B,A$2,Estructuras!C:C,A758),C758*D758))</f>
        <v/>
      </c>
      <c r="F758" s="36"/>
      <c r="G758" s="36"/>
      <c r="H758" s="36"/>
      <c r="I758" s="36" t="str">
        <f t="shared" si="2"/>
        <v/>
      </c>
      <c r="J758" s="37" t="str">
        <f t="shared" si="3"/>
        <v/>
      </c>
      <c r="K758" s="38" t="str">
        <f>IF(L758="","",SUMIF(Productos!E:E,L758,Productos!A:A))</f>
        <v/>
      </c>
      <c r="M758" s="39"/>
    </row>
    <row r="759">
      <c r="A759" s="2" t="str">
        <f>IF(B759="","",SUMIF(Productos!E:E,B759,Productos!A:A))</f>
        <v/>
      </c>
      <c r="B759" s="40"/>
      <c r="C759" s="26" t="str">
        <f>IF(B759="","",SUMIF(Prearmados!E:E,B759,Prearmados!G:G))</f>
        <v/>
      </c>
      <c r="D759" s="19"/>
      <c r="E759" s="26" t="str">
        <f>IF(A759="","",IF(SUMIFS(Estructuras!E:E,Estructuras!B:B,A$2,Estructuras!C:C,A759)&gt;0,SUMIFS(Estructuras!E:E,Estructuras!B:B,A$2,Estructuras!C:C,A759),C759*D759))</f>
        <v/>
      </c>
      <c r="F759" s="36"/>
      <c r="G759" s="36"/>
      <c r="H759" s="36"/>
      <c r="I759" s="36" t="str">
        <f t="shared" si="2"/>
        <v/>
      </c>
      <c r="J759" s="37" t="str">
        <f t="shared" si="3"/>
        <v/>
      </c>
      <c r="K759" s="38" t="str">
        <f>IF(L759="","",SUMIF(Productos!E:E,L759,Productos!A:A))</f>
        <v/>
      </c>
      <c r="M759" s="39"/>
    </row>
    <row r="760">
      <c r="A760" s="2" t="str">
        <f>IF(B760="","",SUMIF(Productos!E:E,B760,Productos!A:A))</f>
        <v/>
      </c>
      <c r="B760" s="40"/>
      <c r="C760" s="26" t="str">
        <f>IF(B760="","",SUMIF(Prearmados!E:E,B760,Prearmados!G:G))</f>
        <v/>
      </c>
      <c r="D760" s="19"/>
      <c r="E760" s="26" t="str">
        <f>IF(A760="","",IF(SUMIFS(Estructuras!E:E,Estructuras!B:B,A$2,Estructuras!C:C,A760)&gt;0,SUMIFS(Estructuras!E:E,Estructuras!B:B,A$2,Estructuras!C:C,A760),C760*D760))</f>
        <v/>
      </c>
      <c r="F760" s="36"/>
      <c r="G760" s="36"/>
      <c r="H760" s="36"/>
      <c r="I760" s="36" t="str">
        <f t="shared" si="2"/>
        <v/>
      </c>
      <c r="J760" s="37" t="str">
        <f t="shared" si="3"/>
        <v/>
      </c>
      <c r="K760" s="38" t="str">
        <f>IF(L760="","",SUMIF(Productos!E:E,L760,Productos!A:A))</f>
        <v/>
      </c>
      <c r="M760" s="39"/>
    </row>
    <row r="761">
      <c r="A761" s="2" t="str">
        <f>IF(B761="","",SUMIF(Productos!E:E,B761,Productos!A:A))</f>
        <v/>
      </c>
      <c r="B761" s="40"/>
      <c r="C761" s="26" t="str">
        <f>IF(B761="","",SUMIF(Prearmados!E:E,B761,Prearmados!G:G))</f>
        <v/>
      </c>
      <c r="D761" s="19"/>
      <c r="E761" s="26" t="str">
        <f>IF(A761="","",IF(SUMIFS(Estructuras!E:E,Estructuras!B:B,A$2,Estructuras!C:C,A761)&gt;0,SUMIFS(Estructuras!E:E,Estructuras!B:B,A$2,Estructuras!C:C,A761),C761*D761))</f>
        <v/>
      </c>
      <c r="F761" s="36"/>
      <c r="G761" s="36"/>
      <c r="H761" s="36"/>
      <c r="I761" s="36" t="str">
        <f t="shared" si="2"/>
        <v/>
      </c>
      <c r="J761" s="37" t="str">
        <f t="shared" si="3"/>
        <v/>
      </c>
      <c r="K761" s="38" t="str">
        <f>IF(L761="","",SUMIF(Productos!E:E,L761,Productos!A:A))</f>
        <v/>
      </c>
      <c r="M761" s="39"/>
    </row>
    <row r="762">
      <c r="A762" s="2" t="str">
        <f>IF(B762="","",SUMIF(Productos!E:E,B762,Productos!A:A))</f>
        <v/>
      </c>
      <c r="B762" s="40"/>
      <c r="C762" s="26" t="str">
        <f>IF(B762="","",SUMIF(Prearmados!E:E,B762,Prearmados!G:G))</f>
        <v/>
      </c>
      <c r="D762" s="19"/>
      <c r="E762" s="26" t="str">
        <f>IF(A762="","",IF(SUMIFS(Estructuras!E:E,Estructuras!B:B,A$2,Estructuras!C:C,A762)&gt;0,SUMIFS(Estructuras!E:E,Estructuras!B:B,A$2,Estructuras!C:C,A762),C762*D762))</f>
        <v/>
      </c>
      <c r="F762" s="36"/>
      <c r="G762" s="36"/>
      <c r="H762" s="36"/>
      <c r="I762" s="36" t="str">
        <f t="shared" si="2"/>
        <v/>
      </c>
      <c r="J762" s="37" t="str">
        <f t="shared" si="3"/>
        <v/>
      </c>
      <c r="K762" s="38" t="str">
        <f>IF(L762="","",SUMIF(Productos!E:E,L762,Productos!A:A))</f>
        <v/>
      </c>
      <c r="M762" s="39"/>
    </row>
    <row r="763">
      <c r="A763" s="2" t="str">
        <f>IF(B763="","",SUMIF(Productos!E:E,B763,Productos!A:A))</f>
        <v/>
      </c>
      <c r="B763" s="40"/>
      <c r="C763" s="26" t="str">
        <f>IF(B763="","",SUMIF(Prearmados!E:E,B763,Prearmados!G:G))</f>
        <v/>
      </c>
      <c r="D763" s="19"/>
      <c r="E763" s="26" t="str">
        <f>IF(A763="","",IF(SUMIFS(Estructuras!E:E,Estructuras!B:B,A$2,Estructuras!C:C,A763)&gt;0,SUMIFS(Estructuras!E:E,Estructuras!B:B,A$2,Estructuras!C:C,A763),C763*D763))</f>
        <v/>
      </c>
      <c r="F763" s="36"/>
      <c r="G763" s="36"/>
      <c r="H763" s="36"/>
      <c r="I763" s="36" t="str">
        <f t="shared" si="2"/>
        <v/>
      </c>
      <c r="J763" s="37" t="str">
        <f t="shared" si="3"/>
        <v/>
      </c>
      <c r="K763" s="38" t="str">
        <f>IF(L763="","",SUMIF(Productos!E:E,L763,Productos!A:A))</f>
        <v/>
      </c>
      <c r="M763" s="39"/>
    </row>
    <row r="764">
      <c r="A764" s="2" t="str">
        <f>IF(B764="","",SUMIF(Productos!E:E,B764,Productos!A:A))</f>
        <v/>
      </c>
      <c r="B764" s="40"/>
      <c r="C764" s="26" t="str">
        <f>IF(B764="","",SUMIF(Prearmados!E:E,B764,Prearmados!G:G))</f>
        <v/>
      </c>
      <c r="D764" s="19"/>
      <c r="E764" s="26" t="str">
        <f>IF(A764="","",IF(SUMIFS(Estructuras!E:E,Estructuras!B:B,A$2,Estructuras!C:C,A764)&gt;0,SUMIFS(Estructuras!E:E,Estructuras!B:B,A$2,Estructuras!C:C,A764),C764*D764))</f>
        <v/>
      </c>
      <c r="F764" s="36"/>
      <c r="G764" s="36"/>
      <c r="H764" s="36"/>
      <c r="I764" s="36" t="str">
        <f t="shared" si="2"/>
        <v/>
      </c>
      <c r="J764" s="37" t="str">
        <f t="shared" si="3"/>
        <v/>
      </c>
      <c r="K764" s="38" t="str">
        <f>IF(L764="","",SUMIF(Productos!E:E,L764,Productos!A:A))</f>
        <v/>
      </c>
      <c r="M764" s="39"/>
    </row>
    <row r="765">
      <c r="A765" s="2" t="str">
        <f>IF(B765="","",SUMIF(Productos!E:E,B765,Productos!A:A))</f>
        <v/>
      </c>
      <c r="B765" s="40"/>
      <c r="C765" s="26" t="str">
        <f>IF(B765="","",SUMIF(Prearmados!E:E,B765,Prearmados!G:G))</f>
        <v/>
      </c>
      <c r="D765" s="19"/>
      <c r="E765" s="26" t="str">
        <f>IF(A765="","",IF(SUMIFS(Estructuras!E:E,Estructuras!B:B,A$2,Estructuras!C:C,A765)&gt;0,SUMIFS(Estructuras!E:E,Estructuras!B:B,A$2,Estructuras!C:C,A765),C765*D765))</f>
        <v/>
      </c>
      <c r="F765" s="36"/>
      <c r="G765" s="36"/>
      <c r="H765" s="36"/>
      <c r="I765" s="36" t="str">
        <f t="shared" si="2"/>
        <v/>
      </c>
      <c r="J765" s="37" t="str">
        <f t="shared" si="3"/>
        <v/>
      </c>
      <c r="K765" s="38" t="str">
        <f>IF(L765="","",SUMIF(Productos!E:E,L765,Productos!A:A))</f>
        <v/>
      </c>
      <c r="M765" s="39"/>
    </row>
    <row r="766">
      <c r="A766" s="2" t="str">
        <f>IF(B766="","",SUMIF(Productos!E:E,B766,Productos!A:A))</f>
        <v/>
      </c>
      <c r="B766" s="40"/>
      <c r="C766" s="26" t="str">
        <f>IF(B766="","",SUMIF(Prearmados!E:E,B766,Prearmados!G:G))</f>
        <v/>
      </c>
      <c r="D766" s="19"/>
      <c r="E766" s="26" t="str">
        <f>IF(A766="","",IF(SUMIFS(Estructuras!E:E,Estructuras!B:B,A$2,Estructuras!C:C,A766)&gt;0,SUMIFS(Estructuras!E:E,Estructuras!B:B,A$2,Estructuras!C:C,A766),C766*D766))</f>
        <v/>
      </c>
      <c r="F766" s="36"/>
      <c r="G766" s="36"/>
      <c r="H766" s="36"/>
      <c r="I766" s="36" t="str">
        <f t="shared" si="2"/>
        <v/>
      </c>
      <c r="J766" s="37" t="str">
        <f t="shared" si="3"/>
        <v/>
      </c>
      <c r="K766" s="38" t="str">
        <f>IF(L766="","",SUMIF(Productos!E:E,L766,Productos!A:A))</f>
        <v/>
      </c>
      <c r="M766" s="39"/>
    </row>
    <row r="767">
      <c r="A767" s="2" t="str">
        <f>IF(B767="","",SUMIF(Productos!E:E,B767,Productos!A:A))</f>
        <v/>
      </c>
      <c r="B767" s="40"/>
      <c r="C767" s="26" t="str">
        <f>IF(B767="","",SUMIF(Prearmados!E:E,B767,Prearmados!G:G))</f>
        <v/>
      </c>
      <c r="D767" s="19"/>
      <c r="E767" s="26" t="str">
        <f>IF(A767="","",IF(SUMIFS(Estructuras!E:E,Estructuras!B:B,A$2,Estructuras!C:C,A767)&gt;0,SUMIFS(Estructuras!E:E,Estructuras!B:B,A$2,Estructuras!C:C,A767),C767*D767))</f>
        <v/>
      </c>
      <c r="F767" s="36"/>
      <c r="G767" s="36"/>
      <c r="H767" s="36"/>
      <c r="I767" s="36" t="str">
        <f t="shared" si="2"/>
        <v/>
      </c>
      <c r="J767" s="37" t="str">
        <f t="shared" si="3"/>
        <v/>
      </c>
      <c r="K767" s="38" t="str">
        <f>IF(L767="","",SUMIF(Productos!E:E,L767,Productos!A:A))</f>
        <v/>
      </c>
      <c r="M767" s="39"/>
    </row>
    <row r="768">
      <c r="A768" s="2" t="str">
        <f>IF(B768="","",SUMIF(Productos!E:E,B768,Productos!A:A))</f>
        <v/>
      </c>
      <c r="B768" s="40"/>
      <c r="C768" s="26" t="str">
        <f>IF(B768="","",SUMIF(Prearmados!E:E,B768,Prearmados!G:G))</f>
        <v/>
      </c>
      <c r="D768" s="19"/>
      <c r="E768" s="26" t="str">
        <f>IF(A768="","",IF(SUMIFS(Estructuras!E:E,Estructuras!B:B,A$2,Estructuras!C:C,A768)&gt;0,SUMIFS(Estructuras!E:E,Estructuras!B:B,A$2,Estructuras!C:C,A768),C768*D768))</f>
        <v/>
      </c>
      <c r="F768" s="36"/>
      <c r="G768" s="36"/>
      <c r="H768" s="36"/>
      <c r="I768" s="36" t="str">
        <f t="shared" si="2"/>
        <v/>
      </c>
      <c r="J768" s="37" t="str">
        <f t="shared" si="3"/>
        <v/>
      </c>
      <c r="K768" s="38" t="str">
        <f>IF(L768="","",SUMIF(Productos!E:E,L768,Productos!A:A))</f>
        <v/>
      </c>
      <c r="M768" s="39"/>
    </row>
    <row r="769">
      <c r="A769" s="2" t="str">
        <f>IF(B769="","",SUMIF(Productos!E:E,B769,Productos!A:A))</f>
        <v/>
      </c>
      <c r="B769" s="40"/>
      <c r="C769" s="26" t="str">
        <f>IF(B769="","",SUMIF(Prearmados!E:E,B769,Prearmados!G:G))</f>
        <v/>
      </c>
      <c r="D769" s="19"/>
      <c r="E769" s="26" t="str">
        <f>IF(A769="","",IF(SUMIFS(Estructuras!E:E,Estructuras!B:B,A$2,Estructuras!C:C,A769)&gt;0,SUMIFS(Estructuras!E:E,Estructuras!B:B,A$2,Estructuras!C:C,A769),C769*D769))</f>
        <v/>
      </c>
      <c r="F769" s="36"/>
      <c r="G769" s="36"/>
      <c r="H769" s="36"/>
      <c r="I769" s="36" t="str">
        <f t="shared" si="2"/>
        <v/>
      </c>
      <c r="J769" s="37" t="str">
        <f t="shared" si="3"/>
        <v/>
      </c>
      <c r="K769" s="38" t="str">
        <f>IF(L769="","",SUMIF(Productos!E:E,L769,Productos!A:A))</f>
        <v/>
      </c>
      <c r="M769" s="39"/>
    </row>
    <row r="770">
      <c r="A770" s="2" t="str">
        <f>IF(B770="","",SUMIF(Productos!E:E,B770,Productos!A:A))</f>
        <v/>
      </c>
      <c r="B770" s="40"/>
      <c r="C770" s="26" t="str">
        <f>IF(B770="","",SUMIF(Prearmados!E:E,B770,Prearmados!G:G))</f>
        <v/>
      </c>
      <c r="D770" s="19"/>
      <c r="E770" s="26" t="str">
        <f>IF(A770="","",IF(SUMIFS(Estructuras!E:E,Estructuras!B:B,A$2,Estructuras!C:C,A770)&gt;0,SUMIFS(Estructuras!E:E,Estructuras!B:B,A$2,Estructuras!C:C,A770),C770*D770))</f>
        <v/>
      </c>
      <c r="F770" s="36"/>
      <c r="G770" s="36"/>
      <c r="H770" s="36"/>
      <c r="I770" s="36" t="str">
        <f t="shared" si="2"/>
        <v/>
      </c>
      <c r="J770" s="37" t="str">
        <f t="shared" si="3"/>
        <v/>
      </c>
      <c r="K770" s="38" t="str">
        <f>IF(L770="","",SUMIF(Productos!E:E,L770,Productos!A:A))</f>
        <v/>
      </c>
      <c r="M770" s="39"/>
    </row>
    <row r="771">
      <c r="A771" s="2" t="str">
        <f>IF(B771="","",SUMIF(Productos!E:E,B771,Productos!A:A))</f>
        <v/>
      </c>
      <c r="B771" s="40"/>
      <c r="C771" s="26" t="str">
        <f>IF(B771="","",SUMIF(Prearmados!E:E,B771,Prearmados!G:G))</f>
        <v/>
      </c>
      <c r="D771" s="19"/>
      <c r="E771" s="26" t="str">
        <f>IF(A771="","",IF(SUMIFS(Estructuras!E:E,Estructuras!B:B,A$2,Estructuras!C:C,A771)&gt;0,SUMIFS(Estructuras!E:E,Estructuras!B:B,A$2,Estructuras!C:C,A771),C771*D771))</f>
        <v/>
      </c>
      <c r="F771" s="36"/>
      <c r="G771" s="36"/>
      <c r="H771" s="36"/>
      <c r="I771" s="36" t="str">
        <f t="shared" si="2"/>
        <v/>
      </c>
      <c r="J771" s="37" t="str">
        <f t="shared" si="3"/>
        <v/>
      </c>
      <c r="K771" s="38" t="str">
        <f>IF(L771="","",SUMIF(Productos!E:E,L771,Productos!A:A))</f>
        <v/>
      </c>
      <c r="M771" s="39"/>
    </row>
    <row r="772">
      <c r="A772" s="2" t="str">
        <f>IF(B772="","",SUMIF(Productos!E:E,B772,Productos!A:A))</f>
        <v/>
      </c>
      <c r="B772" s="40"/>
      <c r="C772" s="26" t="str">
        <f>IF(B772="","",SUMIF(Prearmados!E:E,B772,Prearmados!G:G))</f>
        <v/>
      </c>
      <c r="D772" s="19"/>
      <c r="E772" s="26" t="str">
        <f>IF(A772="","",IF(SUMIFS(Estructuras!E:E,Estructuras!B:B,A$2,Estructuras!C:C,A772)&gt;0,SUMIFS(Estructuras!E:E,Estructuras!B:B,A$2,Estructuras!C:C,A772),C772*D772))</f>
        <v/>
      </c>
      <c r="F772" s="36"/>
      <c r="G772" s="36"/>
      <c r="H772" s="36"/>
      <c r="I772" s="36" t="str">
        <f t="shared" si="2"/>
        <v/>
      </c>
      <c r="J772" s="37" t="str">
        <f t="shared" si="3"/>
        <v/>
      </c>
      <c r="K772" s="38" t="str">
        <f>IF(L772="","",SUMIF(Productos!E:E,L772,Productos!A:A))</f>
        <v/>
      </c>
      <c r="M772" s="39"/>
    </row>
    <row r="773">
      <c r="A773" s="2" t="str">
        <f>IF(B773="","",SUMIF(Productos!E:E,B773,Productos!A:A))</f>
        <v/>
      </c>
      <c r="B773" s="40"/>
      <c r="C773" s="26" t="str">
        <f>IF(B773="","",SUMIF(Prearmados!E:E,B773,Prearmados!G:G))</f>
        <v/>
      </c>
      <c r="D773" s="19"/>
      <c r="E773" s="26" t="str">
        <f>IF(A773="","",IF(SUMIFS(Estructuras!E:E,Estructuras!B:B,A$2,Estructuras!C:C,A773)&gt;0,SUMIFS(Estructuras!E:E,Estructuras!B:B,A$2,Estructuras!C:C,A773),C773*D773))</f>
        <v/>
      </c>
      <c r="F773" s="36"/>
      <c r="G773" s="36"/>
      <c r="H773" s="36"/>
      <c r="I773" s="36" t="str">
        <f t="shared" si="2"/>
        <v/>
      </c>
      <c r="J773" s="37" t="str">
        <f t="shared" si="3"/>
        <v/>
      </c>
      <c r="K773" s="38" t="str">
        <f>IF(L773="","",SUMIF(Productos!E:E,L773,Productos!A:A))</f>
        <v/>
      </c>
      <c r="M773" s="39"/>
    </row>
    <row r="774">
      <c r="A774" s="2" t="str">
        <f>IF(B774="","",SUMIF(Productos!E:E,B774,Productos!A:A))</f>
        <v/>
      </c>
      <c r="B774" s="40"/>
      <c r="C774" s="26" t="str">
        <f>IF(B774="","",SUMIF(Prearmados!E:E,B774,Prearmados!G:G))</f>
        <v/>
      </c>
      <c r="D774" s="19"/>
      <c r="E774" s="26" t="str">
        <f>IF(A774="","",IF(SUMIFS(Estructuras!E:E,Estructuras!B:B,A$2,Estructuras!C:C,A774)&gt;0,SUMIFS(Estructuras!E:E,Estructuras!B:B,A$2,Estructuras!C:C,A774),C774*D774))</f>
        <v/>
      </c>
      <c r="F774" s="36"/>
      <c r="G774" s="36"/>
      <c r="H774" s="36"/>
      <c r="I774" s="36" t="str">
        <f t="shared" si="2"/>
        <v/>
      </c>
      <c r="J774" s="37" t="str">
        <f t="shared" si="3"/>
        <v/>
      </c>
      <c r="K774" s="38" t="str">
        <f>IF(L774="","",SUMIF(Productos!E:E,L774,Productos!A:A))</f>
        <v/>
      </c>
      <c r="M774" s="39"/>
    </row>
    <row r="775">
      <c r="A775" s="2" t="str">
        <f>IF(B775="","",SUMIF(Productos!E:E,B775,Productos!A:A))</f>
        <v/>
      </c>
      <c r="B775" s="40"/>
      <c r="C775" s="26" t="str">
        <f>IF(B775="","",SUMIF(Prearmados!E:E,B775,Prearmados!G:G))</f>
        <v/>
      </c>
      <c r="D775" s="19"/>
      <c r="E775" s="26" t="str">
        <f>IF(A775="","",IF(SUMIFS(Estructuras!E:E,Estructuras!B:B,A$2,Estructuras!C:C,A775)&gt;0,SUMIFS(Estructuras!E:E,Estructuras!B:B,A$2,Estructuras!C:C,A775),C775*D775))</f>
        <v/>
      </c>
      <c r="F775" s="36"/>
      <c r="G775" s="36"/>
      <c r="H775" s="36"/>
      <c r="I775" s="36" t="str">
        <f t="shared" si="2"/>
        <v/>
      </c>
      <c r="J775" s="37" t="str">
        <f t="shared" si="3"/>
        <v/>
      </c>
      <c r="K775" s="38" t="str">
        <f>IF(L775="","",SUMIF(Productos!E:E,L775,Productos!A:A))</f>
        <v/>
      </c>
      <c r="M775" s="39"/>
    </row>
    <row r="776">
      <c r="A776" s="2" t="str">
        <f>IF(B776="","",SUMIF(Productos!E:E,B776,Productos!A:A))</f>
        <v/>
      </c>
      <c r="B776" s="40"/>
      <c r="C776" s="26" t="str">
        <f>IF(B776="","",SUMIF(Prearmados!E:E,B776,Prearmados!G:G))</f>
        <v/>
      </c>
      <c r="D776" s="19"/>
      <c r="E776" s="26" t="str">
        <f>IF(A776="","",IF(SUMIFS(Estructuras!E:E,Estructuras!B:B,A$2,Estructuras!C:C,A776)&gt;0,SUMIFS(Estructuras!E:E,Estructuras!B:B,A$2,Estructuras!C:C,A776),C776*D776))</f>
        <v/>
      </c>
      <c r="F776" s="36"/>
      <c r="G776" s="36"/>
      <c r="H776" s="36"/>
      <c r="I776" s="36" t="str">
        <f t="shared" si="2"/>
        <v/>
      </c>
      <c r="J776" s="37" t="str">
        <f t="shared" si="3"/>
        <v/>
      </c>
      <c r="K776" s="38" t="str">
        <f>IF(L776="","",SUMIF(Productos!E:E,L776,Productos!A:A))</f>
        <v/>
      </c>
      <c r="M776" s="39"/>
    </row>
    <row r="777">
      <c r="A777" s="2" t="str">
        <f>IF(B777="","",SUMIF(Productos!E:E,B777,Productos!A:A))</f>
        <v/>
      </c>
      <c r="B777" s="40"/>
      <c r="C777" s="26" t="str">
        <f>IF(B777="","",SUMIF(Prearmados!E:E,B777,Prearmados!G:G))</f>
        <v/>
      </c>
      <c r="D777" s="19"/>
      <c r="E777" s="26" t="str">
        <f>IF(A777="","",IF(SUMIFS(Estructuras!E:E,Estructuras!B:B,A$2,Estructuras!C:C,A777)&gt;0,SUMIFS(Estructuras!E:E,Estructuras!B:B,A$2,Estructuras!C:C,A777),C777*D777))</f>
        <v/>
      </c>
      <c r="F777" s="36"/>
      <c r="G777" s="36"/>
      <c r="H777" s="36"/>
      <c r="I777" s="36" t="str">
        <f t="shared" si="2"/>
        <v/>
      </c>
      <c r="J777" s="37" t="str">
        <f t="shared" si="3"/>
        <v/>
      </c>
      <c r="K777" s="38" t="str">
        <f>IF(L777="","",SUMIF(Productos!E:E,L777,Productos!A:A))</f>
        <v/>
      </c>
      <c r="M777" s="39"/>
    </row>
    <row r="778">
      <c r="A778" s="2" t="str">
        <f>IF(B778="","",SUMIF(Productos!E:E,B778,Productos!A:A))</f>
        <v/>
      </c>
      <c r="B778" s="40"/>
      <c r="C778" s="26" t="str">
        <f>IF(B778="","",SUMIF(Prearmados!E:E,B778,Prearmados!G:G))</f>
        <v/>
      </c>
      <c r="D778" s="19"/>
      <c r="E778" s="26" t="str">
        <f>IF(A778="","",IF(SUMIFS(Estructuras!E:E,Estructuras!B:B,A$2,Estructuras!C:C,A778)&gt;0,SUMIFS(Estructuras!E:E,Estructuras!B:B,A$2,Estructuras!C:C,A778),C778*D778))</f>
        <v/>
      </c>
      <c r="F778" s="36"/>
      <c r="G778" s="36"/>
      <c r="H778" s="36"/>
      <c r="I778" s="36" t="str">
        <f t="shared" si="2"/>
        <v/>
      </c>
      <c r="J778" s="37" t="str">
        <f t="shared" si="3"/>
        <v/>
      </c>
      <c r="K778" s="38" t="str">
        <f>IF(L778="","",SUMIF(Productos!E:E,L778,Productos!A:A))</f>
        <v/>
      </c>
      <c r="M778" s="39"/>
    </row>
    <row r="779">
      <c r="A779" s="2" t="str">
        <f>IF(B779="","",SUMIF(Productos!E:E,B779,Productos!A:A))</f>
        <v/>
      </c>
      <c r="B779" s="40"/>
      <c r="C779" s="26" t="str">
        <f>IF(B779="","",SUMIF(Prearmados!E:E,B779,Prearmados!G:G))</f>
        <v/>
      </c>
      <c r="D779" s="19"/>
      <c r="E779" s="26" t="str">
        <f>IF(A779="","",IF(SUMIFS(Estructuras!E:E,Estructuras!B:B,A$2,Estructuras!C:C,A779)&gt;0,SUMIFS(Estructuras!E:E,Estructuras!B:B,A$2,Estructuras!C:C,A779),C779*D779))</f>
        <v/>
      </c>
      <c r="F779" s="36"/>
      <c r="G779" s="36"/>
      <c r="H779" s="36"/>
      <c r="I779" s="36" t="str">
        <f t="shared" si="2"/>
        <v/>
      </c>
      <c r="J779" s="37" t="str">
        <f t="shared" si="3"/>
        <v/>
      </c>
      <c r="K779" s="38" t="str">
        <f>IF(L779="","",SUMIF(Productos!E:E,L779,Productos!A:A))</f>
        <v/>
      </c>
      <c r="M779" s="39"/>
    </row>
    <row r="780">
      <c r="A780" s="2" t="str">
        <f>IF(B780="","",SUMIF(Productos!E:E,B780,Productos!A:A))</f>
        <v/>
      </c>
      <c r="B780" s="40"/>
      <c r="C780" s="26" t="str">
        <f>IF(B780="","",SUMIF(Prearmados!E:E,B780,Prearmados!G:G))</f>
        <v/>
      </c>
      <c r="D780" s="19"/>
      <c r="E780" s="26" t="str">
        <f>IF(A780="","",IF(SUMIFS(Estructuras!E:E,Estructuras!B:B,A$2,Estructuras!C:C,A780)&gt;0,SUMIFS(Estructuras!E:E,Estructuras!B:B,A$2,Estructuras!C:C,A780),C780*D780))</f>
        <v/>
      </c>
      <c r="F780" s="36"/>
      <c r="G780" s="36"/>
      <c r="H780" s="36"/>
      <c r="I780" s="36" t="str">
        <f t="shared" si="2"/>
        <v/>
      </c>
      <c r="J780" s="37" t="str">
        <f t="shared" si="3"/>
        <v/>
      </c>
      <c r="K780" s="38" t="str">
        <f>IF(L780="","",SUMIF(Productos!E:E,L780,Productos!A:A))</f>
        <v/>
      </c>
      <c r="M780" s="39"/>
    </row>
    <row r="781">
      <c r="A781" s="2" t="str">
        <f>IF(B781="","",SUMIF(Productos!E:E,B781,Productos!A:A))</f>
        <v/>
      </c>
      <c r="B781" s="40"/>
      <c r="C781" s="26" t="str">
        <f>IF(B781="","",SUMIF(Prearmados!E:E,B781,Prearmados!G:G))</f>
        <v/>
      </c>
      <c r="D781" s="19"/>
      <c r="E781" s="26" t="str">
        <f>IF(A781="","",IF(SUMIFS(Estructuras!E:E,Estructuras!B:B,A$2,Estructuras!C:C,A781)&gt;0,SUMIFS(Estructuras!E:E,Estructuras!B:B,A$2,Estructuras!C:C,A781),C781*D781))</f>
        <v/>
      </c>
      <c r="F781" s="36"/>
      <c r="G781" s="36"/>
      <c r="H781" s="36"/>
      <c r="I781" s="36" t="str">
        <f t="shared" si="2"/>
        <v/>
      </c>
      <c r="J781" s="37" t="str">
        <f t="shared" si="3"/>
        <v/>
      </c>
      <c r="K781" s="38" t="str">
        <f>IF(L781="","",SUMIF(Productos!E:E,L781,Productos!A:A))</f>
        <v/>
      </c>
      <c r="M781" s="39"/>
    </row>
    <row r="782">
      <c r="A782" s="2" t="str">
        <f>IF(B782="","",SUMIF(Productos!E:E,B782,Productos!A:A))</f>
        <v/>
      </c>
      <c r="B782" s="40"/>
      <c r="C782" s="26" t="str">
        <f>IF(B782="","",SUMIF(Prearmados!E:E,B782,Prearmados!G:G))</f>
        <v/>
      </c>
      <c r="D782" s="19"/>
      <c r="E782" s="26" t="str">
        <f>IF(A782="","",IF(SUMIFS(Estructuras!E:E,Estructuras!B:B,A$2,Estructuras!C:C,A782)&gt;0,SUMIFS(Estructuras!E:E,Estructuras!B:B,A$2,Estructuras!C:C,A782),C782*D782))</f>
        <v/>
      </c>
      <c r="F782" s="36"/>
      <c r="G782" s="36"/>
      <c r="H782" s="36"/>
      <c r="I782" s="36" t="str">
        <f t="shared" si="2"/>
        <v/>
      </c>
      <c r="J782" s="37" t="str">
        <f t="shared" si="3"/>
        <v/>
      </c>
      <c r="K782" s="38" t="str">
        <f>IF(L782="","",SUMIF(Productos!E:E,L782,Productos!A:A))</f>
        <v/>
      </c>
      <c r="M782" s="39"/>
    </row>
    <row r="783">
      <c r="A783" s="2" t="str">
        <f>IF(B783="","",SUMIF(Productos!E:E,B783,Productos!A:A))</f>
        <v/>
      </c>
      <c r="B783" s="40"/>
      <c r="C783" s="26" t="str">
        <f>IF(B783="","",SUMIF(Prearmados!E:E,B783,Prearmados!G:G))</f>
        <v/>
      </c>
      <c r="D783" s="19"/>
      <c r="E783" s="26" t="str">
        <f>IF(A783="","",IF(SUMIFS(Estructuras!E:E,Estructuras!B:B,A$2,Estructuras!C:C,A783)&gt;0,SUMIFS(Estructuras!E:E,Estructuras!B:B,A$2,Estructuras!C:C,A783),C783*D783))</f>
        <v/>
      </c>
      <c r="F783" s="36"/>
      <c r="G783" s="36"/>
      <c r="H783" s="36"/>
      <c r="I783" s="36" t="str">
        <f t="shared" si="2"/>
        <v/>
      </c>
      <c r="J783" s="37" t="str">
        <f t="shared" si="3"/>
        <v/>
      </c>
      <c r="K783" s="38" t="str">
        <f>IF(L783="","",SUMIF(Productos!E:E,L783,Productos!A:A))</f>
        <v/>
      </c>
      <c r="M783" s="39"/>
    </row>
    <row r="784">
      <c r="A784" s="2" t="str">
        <f>IF(B784="","",SUMIF(Productos!E:E,B784,Productos!A:A))</f>
        <v/>
      </c>
      <c r="B784" s="40"/>
      <c r="C784" s="26" t="str">
        <f>IF(B784="","",SUMIF(Prearmados!E:E,B784,Prearmados!G:G))</f>
        <v/>
      </c>
      <c r="D784" s="19"/>
      <c r="E784" s="26" t="str">
        <f>IF(A784="","",IF(SUMIFS(Estructuras!E:E,Estructuras!B:B,A$2,Estructuras!C:C,A784)&gt;0,SUMIFS(Estructuras!E:E,Estructuras!B:B,A$2,Estructuras!C:C,A784),C784*D784))</f>
        <v/>
      </c>
      <c r="F784" s="36"/>
      <c r="G784" s="36"/>
      <c r="H784" s="36"/>
      <c r="I784" s="36" t="str">
        <f t="shared" si="2"/>
        <v/>
      </c>
      <c r="J784" s="37" t="str">
        <f t="shared" si="3"/>
        <v/>
      </c>
      <c r="K784" s="38" t="str">
        <f>IF(L784="","",SUMIF(Productos!E:E,L784,Productos!A:A))</f>
        <v/>
      </c>
      <c r="M784" s="39"/>
    </row>
    <row r="785">
      <c r="A785" s="2" t="str">
        <f>IF(B785="","",SUMIF(Productos!E:E,B785,Productos!A:A))</f>
        <v/>
      </c>
      <c r="B785" s="40"/>
      <c r="C785" s="26" t="str">
        <f>IF(B785="","",SUMIF(Prearmados!E:E,B785,Prearmados!G:G))</f>
        <v/>
      </c>
      <c r="D785" s="19"/>
      <c r="E785" s="26" t="str">
        <f>IF(A785="","",IF(SUMIFS(Estructuras!E:E,Estructuras!B:B,A$2,Estructuras!C:C,A785)&gt;0,SUMIFS(Estructuras!E:E,Estructuras!B:B,A$2,Estructuras!C:C,A785),C785*D785))</f>
        <v/>
      </c>
      <c r="F785" s="36"/>
      <c r="G785" s="36"/>
      <c r="H785" s="36"/>
      <c r="I785" s="36" t="str">
        <f t="shared" si="2"/>
        <v/>
      </c>
      <c r="J785" s="37" t="str">
        <f t="shared" si="3"/>
        <v/>
      </c>
      <c r="K785" s="38" t="str">
        <f>IF(L785="","",SUMIF(Productos!E:E,L785,Productos!A:A))</f>
        <v/>
      </c>
      <c r="M785" s="39"/>
    </row>
    <row r="786">
      <c r="A786" s="2" t="str">
        <f>IF(B786="","",SUMIF(Productos!E:E,B786,Productos!A:A))</f>
        <v/>
      </c>
      <c r="B786" s="40"/>
      <c r="C786" s="26" t="str">
        <f>IF(B786="","",SUMIF(Prearmados!E:E,B786,Prearmados!G:G))</f>
        <v/>
      </c>
      <c r="D786" s="19"/>
      <c r="E786" s="26" t="str">
        <f>IF(A786="","",IF(SUMIFS(Estructuras!E:E,Estructuras!B:B,A$2,Estructuras!C:C,A786)&gt;0,SUMIFS(Estructuras!E:E,Estructuras!B:B,A$2,Estructuras!C:C,A786),C786*D786))</f>
        <v/>
      </c>
      <c r="F786" s="36"/>
      <c r="G786" s="36"/>
      <c r="H786" s="36"/>
      <c r="I786" s="36" t="str">
        <f t="shared" si="2"/>
        <v/>
      </c>
      <c r="J786" s="37" t="str">
        <f t="shared" si="3"/>
        <v/>
      </c>
      <c r="K786" s="38" t="str">
        <f>IF(L786="","",SUMIF(Productos!E:E,L786,Productos!A:A))</f>
        <v/>
      </c>
      <c r="M786" s="39"/>
    </row>
    <row r="787">
      <c r="A787" s="2" t="str">
        <f>IF(B787="","",SUMIF(Productos!E:E,B787,Productos!A:A))</f>
        <v/>
      </c>
      <c r="B787" s="40"/>
      <c r="C787" s="26" t="str">
        <f>IF(B787="","",SUMIF(Prearmados!E:E,B787,Prearmados!G:G))</f>
        <v/>
      </c>
      <c r="D787" s="19"/>
      <c r="E787" s="26" t="str">
        <f>IF(A787="","",IF(SUMIFS(Estructuras!E:E,Estructuras!B:B,A$2,Estructuras!C:C,A787)&gt;0,SUMIFS(Estructuras!E:E,Estructuras!B:B,A$2,Estructuras!C:C,A787),C787*D787))</f>
        <v/>
      </c>
      <c r="F787" s="36"/>
      <c r="G787" s="36"/>
      <c r="H787" s="36"/>
      <c r="I787" s="36" t="str">
        <f t="shared" si="2"/>
        <v/>
      </c>
      <c r="J787" s="37" t="str">
        <f t="shared" si="3"/>
        <v/>
      </c>
      <c r="K787" s="38" t="str">
        <f>IF(L787="","",SUMIF(Productos!E:E,L787,Productos!A:A))</f>
        <v/>
      </c>
      <c r="M787" s="39"/>
    </row>
    <row r="788">
      <c r="A788" s="2" t="str">
        <f>IF(B788="","",SUMIF(Productos!E:E,B788,Productos!A:A))</f>
        <v/>
      </c>
      <c r="B788" s="40"/>
      <c r="C788" s="26" t="str">
        <f>IF(B788="","",SUMIF(Prearmados!E:E,B788,Prearmados!G:G))</f>
        <v/>
      </c>
      <c r="D788" s="19"/>
      <c r="E788" s="26" t="str">
        <f>IF(A788="","",IF(SUMIFS(Estructuras!E:E,Estructuras!B:B,A$2,Estructuras!C:C,A788)&gt;0,SUMIFS(Estructuras!E:E,Estructuras!B:B,A$2,Estructuras!C:C,A788),C788*D788))</f>
        <v/>
      </c>
      <c r="F788" s="36"/>
      <c r="G788" s="36"/>
      <c r="H788" s="36"/>
      <c r="I788" s="36" t="str">
        <f t="shared" si="2"/>
        <v/>
      </c>
      <c r="J788" s="37" t="str">
        <f t="shared" si="3"/>
        <v/>
      </c>
      <c r="K788" s="38" t="str">
        <f>IF(L788="","",SUMIF(Productos!E:E,L788,Productos!A:A))</f>
        <v/>
      </c>
      <c r="M788" s="39"/>
    </row>
    <row r="789">
      <c r="A789" s="2" t="str">
        <f>IF(B789="","",SUMIF(Productos!E:E,B789,Productos!A:A))</f>
        <v/>
      </c>
      <c r="B789" s="40"/>
      <c r="C789" s="26" t="str">
        <f>IF(B789="","",SUMIF(Prearmados!E:E,B789,Prearmados!G:G))</f>
        <v/>
      </c>
      <c r="D789" s="19"/>
      <c r="E789" s="26" t="str">
        <f>IF(A789="","",IF(SUMIFS(Estructuras!E:E,Estructuras!B:B,A$2,Estructuras!C:C,A789)&gt;0,SUMIFS(Estructuras!E:E,Estructuras!B:B,A$2,Estructuras!C:C,A789),C789*D789))</f>
        <v/>
      </c>
      <c r="F789" s="36"/>
      <c r="G789" s="36"/>
      <c r="H789" s="36"/>
      <c r="I789" s="36" t="str">
        <f t="shared" si="2"/>
        <v/>
      </c>
      <c r="J789" s="37" t="str">
        <f t="shared" si="3"/>
        <v/>
      </c>
      <c r="K789" s="38" t="str">
        <f>IF(L789="","",SUMIF(Productos!E:E,L789,Productos!A:A))</f>
        <v/>
      </c>
      <c r="M789" s="39"/>
    </row>
    <row r="790">
      <c r="A790" s="2" t="str">
        <f>IF(B790="","",SUMIF(Productos!E:E,B790,Productos!A:A))</f>
        <v/>
      </c>
      <c r="B790" s="40"/>
      <c r="C790" s="26" t="str">
        <f>IF(B790="","",SUMIF(Prearmados!E:E,B790,Prearmados!G:G))</f>
        <v/>
      </c>
      <c r="D790" s="19"/>
      <c r="E790" s="26" t="str">
        <f>IF(A790="","",IF(SUMIFS(Estructuras!E:E,Estructuras!B:B,A$2,Estructuras!C:C,A790)&gt;0,SUMIFS(Estructuras!E:E,Estructuras!B:B,A$2,Estructuras!C:C,A790),C790*D790))</f>
        <v/>
      </c>
      <c r="F790" s="36"/>
      <c r="G790" s="36"/>
      <c r="H790" s="36"/>
      <c r="I790" s="36" t="str">
        <f t="shared" si="2"/>
        <v/>
      </c>
      <c r="J790" s="37" t="str">
        <f t="shared" si="3"/>
        <v/>
      </c>
      <c r="K790" s="38" t="str">
        <f>IF(L790="","",SUMIF(Productos!E:E,L790,Productos!A:A))</f>
        <v/>
      </c>
      <c r="M790" s="39"/>
    </row>
    <row r="791">
      <c r="A791" s="2" t="str">
        <f>IF(B791="","",SUMIF(Productos!E:E,B791,Productos!A:A))</f>
        <v/>
      </c>
      <c r="B791" s="40"/>
      <c r="C791" s="26" t="str">
        <f>IF(B791="","",SUMIF(Prearmados!E:E,B791,Prearmados!G:G))</f>
        <v/>
      </c>
      <c r="D791" s="19"/>
      <c r="E791" s="26" t="str">
        <f>IF(A791="","",IF(SUMIFS(Estructuras!E:E,Estructuras!B:B,A$2,Estructuras!C:C,A791)&gt;0,SUMIFS(Estructuras!E:E,Estructuras!B:B,A$2,Estructuras!C:C,A791),C791*D791))</f>
        <v/>
      </c>
      <c r="F791" s="36"/>
      <c r="G791" s="36"/>
      <c r="H791" s="36"/>
      <c r="I791" s="36" t="str">
        <f t="shared" si="2"/>
        <v/>
      </c>
      <c r="J791" s="37" t="str">
        <f t="shared" si="3"/>
        <v/>
      </c>
      <c r="K791" s="38" t="str">
        <f>IF(L791="","",SUMIF(Productos!E:E,L791,Productos!A:A))</f>
        <v/>
      </c>
      <c r="M791" s="39"/>
    </row>
    <row r="792">
      <c r="A792" s="2" t="str">
        <f>IF(B792="","",SUMIF(Productos!E:E,B792,Productos!A:A))</f>
        <v/>
      </c>
      <c r="B792" s="40"/>
      <c r="C792" s="26" t="str">
        <f>IF(B792="","",SUMIF(Prearmados!E:E,B792,Prearmados!G:G))</f>
        <v/>
      </c>
      <c r="D792" s="19"/>
      <c r="E792" s="26" t="str">
        <f>IF(A792="","",IF(SUMIFS(Estructuras!E:E,Estructuras!B:B,A$2,Estructuras!C:C,A792)&gt;0,SUMIFS(Estructuras!E:E,Estructuras!B:B,A$2,Estructuras!C:C,A792),C792*D792))</f>
        <v/>
      </c>
      <c r="F792" s="36"/>
      <c r="G792" s="36"/>
      <c r="H792" s="36"/>
      <c r="I792" s="36" t="str">
        <f t="shared" si="2"/>
        <v/>
      </c>
      <c r="J792" s="37" t="str">
        <f t="shared" si="3"/>
        <v/>
      </c>
      <c r="K792" s="38" t="str">
        <f>IF(L792="","",SUMIF(Productos!E:E,L792,Productos!A:A))</f>
        <v/>
      </c>
      <c r="M792" s="39"/>
    </row>
    <row r="793">
      <c r="A793" s="2" t="str">
        <f>IF(B793="","",SUMIF(Productos!E:E,B793,Productos!A:A))</f>
        <v/>
      </c>
      <c r="B793" s="40"/>
      <c r="C793" s="26" t="str">
        <f>IF(B793="","",SUMIF(Prearmados!E:E,B793,Prearmados!G:G))</f>
        <v/>
      </c>
      <c r="D793" s="19"/>
      <c r="E793" s="26" t="str">
        <f>IF(A793="","",IF(SUMIFS(Estructuras!E:E,Estructuras!B:B,A$2,Estructuras!C:C,A793)&gt;0,SUMIFS(Estructuras!E:E,Estructuras!B:B,A$2,Estructuras!C:C,A793),C793*D793))</f>
        <v/>
      </c>
      <c r="F793" s="36"/>
      <c r="G793" s="36"/>
      <c r="H793" s="36"/>
      <c r="I793" s="36" t="str">
        <f t="shared" si="2"/>
        <v/>
      </c>
      <c r="J793" s="37" t="str">
        <f t="shared" si="3"/>
        <v/>
      </c>
      <c r="K793" s="38" t="str">
        <f>IF(L793="","",SUMIF(Productos!E:E,L793,Productos!A:A))</f>
        <v/>
      </c>
      <c r="M793" s="39"/>
    </row>
    <row r="794">
      <c r="A794" s="2" t="str">
        <f>IF(B794="","",SUMIF(Productos!E:E,B794,Productos!A:A))</f>
        <v/>
      </c>
      <c r="B794" s="40"/>
      <c r="C794" s="26" t="str">
        <f>IF(B794="","",SUMIF(Prearmados!E:E,B794,Prearmados!G:G))</f>
        <v/>
      </c>
      <c r="D794" s="19"/>
      <c r="E794" s="26" t="str">
        <f>IF(A794="","",IF(SUMIFS(Estructuras!E:E,Estructuras!B:B,A$2,Estructuras!C:C,A794)&gt;0,SUMIFS(Estructuras!E:E,Estructuras!B:B,A$2,Estructuras!C:C,A794),C794*D794))</f>
        <v/>
      </c>
      <c r="F794" s="36"/>
      <c r="G794" s="36"/>
      <c r="H794" s="36"/>
      <c r="I794" s="36" t="str">
        <f t="shared" si="2"/>
        <v/>
      </c>
      <c r="J794" s="37" t="str">
        <f t="shared" si="3"/>
        <v/>
      </c>
      <c r="K794" s="38" t="str">
        <f>IF(L794="","",SUMIF(Productos!E:E,L794,Productos!A:A))</f>
        <v/>
      </c>
      <c r="M794" s="39"/>
    </row>
    <row r="795">
      <c r="A795" s="2" t="str">
        <f>IF(B795="","",SUMIF(Productos!E:E,B795,Productos!A:A))</f>
        <v/>
      </c>
      <c r="B795" s="40"/>
      <c r="C795" s="26" t="str">
        <f>IF(B795="","",SUMIF(Prearmados!E:E,B795,Prearmados!G:G))</f>
        <v/>
      </c>
      <c r="D795" s="19"/>
      <c r="E795" s="26" t="str">
        <f>IF(A795="","",IF(SUMIFS(Estructuras!E:E,Estructuras!B:B,A$2,Estructuras!C:C,A795)&gt;0,SUMIFS(Estructuras!E:E,Estructuras!B:B,A$2,Estructuras!C:C,A795),C795*D795))</f>
        <v/>
      </c>
      <c r="F795" s="36"/>
      <c r="G795" s="36"/>
      <c r="H795" s="36"/>
      <c r="I795" s="36" t="str">
        <f t="shared" si="2"/>
        <v/>
      </c>
      <c r="J795" s="37" t="str">
        <f t="shared" si="3"/>
        <v/>
      </c>
      <c r="K795" s="38" t="str">
        <f>IF(L795="","",SUMIF(Productos!E:E,L795,Productos!A:A))</f>
        <v/>
      </c>
      <c r="M795" s="39"/>
    </row>
    <row r="796">
      <c r="A796" s="2" t="str">
        <f>IF(B796="","",SUMIF(Productos!E:E,B796,Productos!A:A))</f>
        <v/>
      </c>
      <c r="B796" s="40"/>
      <c r="C796" s="26" t="str">
        <f>IF(B796="","",SUMIF(Prearmados!E:E,B796,Prearmados!G:G))</f>
        <v/>
      </c>
      <c r="D796" s="19"/>
      <c r="E796" s="26" t="str">
        <f>IF(A796="","",IF(SUMIFS(Estructuras!E:E,Estructuras!B:B,A$2,Estructuras!C:C,A796)&gt;0,SUMIFS(Estructuras!E:E,Estructuras!B:B,A$2,Estructuras!C:C,A796),C796*D796))</f>
        <v/>
      </c>
      <c r="F796" s="36"/>
      <c r="G796" s="36"/>
      <c r="H796" s="36"/>
      <c r="I796" s="36" t="str">
        <f t="shared" si="2"/>
        <v/>
      </c>
      <c r="J796" s="37" t="str">
        <f t="shared" si="3"/>
        <v/>
      </c>
      <c r="K796" s="38" t="str">
        <f>IF(L796="","",SUMIF(Productos!E:E,L796,Productos!A:A))</f>
        <v/>
      </c>
      <c r="M796" s="39"/>
    </row>
    <row r="797">
      <c r="A797" s="2" t="str">
        <f>IF(B797="","",SUMIF(Productos!E:E,B797,Productos!A:A))</f>
        <v/>
      </c>
      <c r="B797" s="40"/>
      <c r="C797" s="26" t="str">
        <f>IF(B797="","",SUMIF(Prearmados!E:E,B797,Prearmados!G:G))</f>
        <v/>
      </c>
      <c r="D797" s="19"/>
      <c r="E797" s="26" t="str">
        <f>IF(A797="","",IF(SUMIFS(Estructuras!E:E,Estructuras!B:B,A$2,Estructuras!C:C,A797)&gt;0,SUMIFS(Estructuras!E:E,Estructuras!B:B,A$2,Estructuras!C:C,A797),C797*D797))</f>
        <v/>
      </c>
      <c r="F797" s="36"/>
      <c r="G797" s="36"/>
      <c r="H797" s="36"/>
      <c r="I797" s="36" t="str">
        <f t="shared" si="2"/>
        <v/>
      </c>
      <c r="J797" s="37" t="str">
        <f t="shared" si="3"/>
        <v/>
      </c>
      <c r="K797" s="38" t="str">
        <f>IF(L797="","",SUMIF(Productos!E:E,L797,Productos!A:A))</f>
        <v/>
      </c>
      <c r="M797" s="39"/>
    </row>
    <row r="798">
      <c r="A798" s="2" t="str">
        <f>IF(B798="","",SUMIF(Productos!E:E,B798,Productos!A:A))</f>
        <v/>
      </c>
      <c r="B798" s="40"/>
      <c r="C798" s="26" t="str">
        <f>IF(B798="","",SUMIF(Prearmados!E:E,B798,Prearmados!G:G))</f>
        <v/>
      </c>
      <c r="D798" s="19"/>
      <c r="E798" s="26" t="str">
        <f>IF(A798="","",IF(SUMIFS(Estructuras!E:E,Estructuras!B:B,A$2,Estructuras!C:C,A798)&gt;0,SUMIFS(Estructuras!E:E,Estructuras!B:B,A$2,Estructuras!C:C,A798),C798*D798))</f>
        <v/>
      </c>
      <c r="F798" s="36"/>
      <c r="G798" s="36"/>
      <c r="H798" s="36"/>
      <c r="I798" s="36" t="str">
        <f t="shared" si="2"/>
        <v/>
      </c>
      <c r="J798" s="37" t="str">
        <f t="shared" si="3"/>
        <v/>
      </c>
      <c r="K798" s="38" t="str">
        <f>IF(L798="","",SUMIF(Productos!E:E,L798,Productos!A:A))</f>
        <v/>
      </c>
      <c r="M798" s="39"/>
    </row>
    <row r="799">
      <c r="A799" s="2" t="str">
        <f>IF(B799="","",SUMIF(Productos!E:E,B799,Productos!A:A))</f>
        <v/>
      </c>
      <c r="B799" s="40"/>
      <c r="C799" s="26" t="str">
        <f>IF(B799="","",SUMIF(Prearmados!E:E,B799,Prearmados!G:G))</f>
        <v/>
      </c>
      <c r="D799" s="19"/>
      <c r="E799" s="26" t="str">
        <f>IF(A799="","",IF(SUMIFS(Estructuras!E:E,Estructuras!B:B,A$2,Estructuras!C:C,A799)&gt;0,SUMIFS(Estructuras!E:E,Estructuras!B:B,A$2,Estructuras!C:C,A799),C799*D799))</f>
        <v/>
      </c>
      <c r="F799" s="36"/>
      <c r="G799" s="36"/>
      <c r="H799" s="36"/>
      <c r="I799" s="36" t="str">
        <f t="shared" si="2"/>
        <v/>
      </c>
      <c r="J799" s="37" t="str">
        <f t="shared" si="3"/>
        <v/>
      </c>
      <c r="K799" s="38" t="str">
        <f>IF(L799="","",SUMIF(Productos!E:E,L799,Productos!A:A))</f>
        <v/>
      </c>
      <c r="M799" s="39"/>
    </row>
    <row r="800">
      <c r="A800" s="2" t="str">
        <f>IF(B800="","",SUMIF(Productos!E:E,B800,Productos!A:A))</f>
        <v/>
      </c>
      <c r="B800" s="40"/>
      <c r="C800" s="26" t="str">
        <f>IF(B800="","",SUMIF(Prearmados!E:E,B800,Prearmados!G:G))</f>
        <v/>
      </c>
      <c r="D800" s="19"/>
      <c r="E800" s="26" t="str">
        <f>IF(A800="","",IF(SUMIFS(Estructuras!E:E,Estructuras!B:B,A$2,Estructuras!C:C,A800)&gt;0,SUMIFS(Estructuras!E:E,Estructuras!B:B,A$2,Estructuras!C:C,A800),C800*D800))</f>
        <v/>
      </c>
      <c r="F800" s="36"/>
      <c r="G800" s="36"/>
      <c r="H800" s="36"/>
      <c r="I800" s="36" t="str">
        <f t="shared" si="2"/>
        <v/>
      </c>
      <c r="J800" s="37" t="str">
        <f t="shared" si="3"/>
        <v/>
      </c>
      <c r="K800" s="38" t="str">
        <f>IF(L800="","",SUMIF(Productos!E:E,L800,Productos!A:A))</f>
        <v/>
      </c>
      <c r="M800" s="39"/>
    </row>
    <row r="801">
      <c r="A801" s="2" t="str">
        <f>IF(B801="","",SUMIF(Productos!E:E,B801,Productos!A:A))</f>
        <v/>
      </c>
      <c r="B801" s="40"/>
      <c r="C801" s="26" t="str">
        <f>IF(B801="","",SUMIF(Prearmados!E:E,B801,Prearmados!G:G))</f>
        <v/>
      </c>
      <c r="D801" s="19"/>
      <c r="E801" s="26" t="str">
        <f>IF(A801="","",IF(SUMIFS(Estructuras!E:E,Estructuras!B:B,A$2,Estructuras!C:C,A801)&gt;0,SUMIFS(Estructuras!E:E,Estructuras!B:B,A$2,Estructuras!C:C,A801),C801*D801))</f>
        <v/>
      </c>
      <c r="F801" s="36"/>
      <c r="G801" s="36"/>
      <c r="H801" s="36"/>
      <c r="I801" s="36" t="str">
        <f t="shared" si="2"/>
        <v/>
      </c>
      <c r="J801" s="37" t="str">
        <f t="shared" si="3"/>
        <v/>
      </c>
      <c r="K801" s="38" t="str">
        <f>IF(L801="","",SUMIF(Productos!E:E,L801,Productos!A:A))</f>
        <v/>
      </c>
      <c r="M801" s="39"/>
    </row>
    <row r="802">
      <c r="A802" s="2" t="str">
        <f>IF(B802="","",SUMIF(Productos!E:E,B802,Productos!A:A))</f>
        <v/>
      </c>
      <c r="B802" s="40"/>
      <c r="C802" s="26" t="str">
        <f>IF(B802="","",SUMIF(Prearmados!E:E,B802,Prearmados!G:G))</f>
        <v/>
      </c>
      <c r="D802" s="19"/>
      <c r="E802" s="26" t="str">
        <f>IF(A802="","",IF(SUMIFS(Estructuras!E:E,Estructuras!B:B,A$2,Estructuras!C:C,A802)&gt;0,SUMIFS(Estructuras!E:E,Estructuras!B:B,A$2,Estructuras!C:C,A802),C802*D802))</f>
        <v/>
      </c>
      <c r="F802" s="36"/>
      <c r="G802" s="36"/>
      <c r="H802" s="36"/>
      <c r="I802" s="36" t="str">
        <f t="shared" si="2"/>
        <v/>
      </c>
      <c r="J802" s="37" t="str">
        <f t="shared" si="3"/>
        <v/>
      </c>
      <c r="K802" s="38" t="str">
        <f>IF(L802="","",SUMIF(Productos!E:E,L802,Productos!A:A))</f>
        <v/>
      </c>
      <c r="M802" s="39"/>
    </row>
    <row r="803">
      <c r="A803" s="2" t="str">
        <f>IF(B803="","",SUMIF(Productos!E:E,B803,Productos!A:A))</f>
        <v/>
      </c>
      <c r="B803" s="40"/>
      <c r="C803" s="26" t="str">
        <f>IF(B803="","",SUMIF(Prearmados!E:E,B803,Prearmados!G:G))</f>
        <v/>
      </c>
      <c r="D803" s="19"/>
      <c r="E803" s="26" t="str">
        <f>IF(A803="","",IF(SUMIFS(Estructuras!E:E,Estructuras!B:B,A$2,Estructuras!C:C,A803)&gt;0,SUMIFS(Estructuras!E:E,Estructuras!B:B,A$2,Estructuras!C:C,A803),C803*D803))</f>
        <v/>
      </c>
      <c r="F803" s="36"/>
      <c r="G803" s="36"/>
      <c r="H803" s="36"/>
      <c r="I803" s="36" t="str">
        <f t="shared" si="2"/>
        <v/>
      </c>
      <c r="J803" s="37" t="str">
        <f t="shared" si="3"/>
        <v/>
      </c>
      <c r="K803" s="38" t="str">
        <f>IF(L803="","",SUMIF(Productos!E:E,L803,Productos!A:A))</f>
        <v/>
      </c>
      <c r="M803" s="39"/>
    </row>
    <row r="804">
      <c r="A804" s="2" t="str">
        <f>IF(B804="","",SUMIF(Productos!E:E,B804,Productos!A:A))</f>
        <v/>
      </c>
      <c r="B804" s="40"/>
      <c r="C804" s="26" t="str">
        <f>IF(B804="","",SUMIF(Prearmados!E:E,B804,Prearmados!G:G))</f>
        <v/>
      </c>
      <c r="D804" s="19"/>
      <c r="E804" s="26" t="str">
        <f>IF(A804="","",IF(SUMIFS(Estructuras!E:E,Estructuras!B:B,A$2,Estructuras!C:C,A804)&gt;0,SUMIFS(Estructuras!E:E,Estructuras!B:B,A$2,Estructuras!C:C,A804),C804*D804))</f>
        <v/>
      </c>
      <c r="F804" s="36"/>
      <c r="G804" s="36"/>
      <c r="H804" s="36"/>
      <c r="I804" s="36" t="str">
        <f t="shared" si="2"/>
        <v/>
      </c>
      <c r="J804" s="37" t="str">
        <f t="shared" si="3"/>
        <v/>
      </c>
      <c r="K804" s="38" t="str">
        <f>IF(L804="","",SUMIF(Productos!E:E,L804,Productos!A:A))</f>
        <v/>
      </c>
      <c r="M804" s="39"/>
    </row>
    <row r="805">
      <c r="A805" s="2" t="str">
        <f>IF(B805="","",SUMIF(Productos!E:E,B805,Productos!A:A))</f>
        <v/>
      </c>
      <c r="B805" s="40"/>
      <c r="C805" s="26" t="str">
        <f>IF(B805="","",SUMIF(Prearmados!E:E,B805,Prearmados!G:G))</f>
        <v/>
      </c>
      <c r="D805" s="19"/>
      <c r="E805" s="26" t="str">
        <f>IF(A805="","",IF(SUMIFS(Estructuras!E:E,Estructuras!B:B,A$2,Estructuras!C:C,A805)&gt;0,SUMIFS(Estructuras!E:E,Estructuras!B:B,A$2,Estructuras!C:C,A805),C805*D805))</f>
        <v/>
      </c>
      <c r="F805" s="36"/>
      <c r="G805" s="36"/>
      <c r="H805" s="36"/>
      <c r="I805" s="36" t="str">
        <f t="shared" si="2"/>
        <v/>
      </c>
      <c r="J805" s="37" t="str">
        <f t="shared" si="3"/>
        <v/>
      </c>
      <c r="K805" s="38" t="str">
        <f>IF(L805="","",SUMIF(Productos!E:E,L805,Productos!A:A))</f>
        <v/>
      </c>
      <c r="M805" s="39"/>
    </row>
    <row r="806">
      <c r="A806" s="2" t="str">
        <f>IF(B806="","",SUMIF(Productos!E:E,B806,Productos!A:A))</f>
        <v/>
      </c>
      <c r="B806" s="40"/>
      <c r="C806" s="26" t="str">
        <f>IF(B806="","",SUMIF(Prearmados!E:E,B806,Prearmados!G:G))</f>
        <v/>
      </c>
      <c r="D806" s="19"/>
      <c r="E806" s="26" t="str">
        <f>IF(A806="","",IF(SUMIFS(Estructuras!E:E,Estructuras!B:B,A$2,Estructuras!C:C,A806)&gt;0,SUMIFS(Estructuras!E:E,Estructuras!B:B,A$2,Estructuras!C:C,A806),C806*D806))</f>
        <v/>
      </c>
      <c r="F806" s="36"/>
      <c r="G806" s="36"/>
      <c r="H806" s="36"/>
      <c r="I806" s="36" t="str">
        <f t="shared" si="2"/>
        <v/>
      </c>
      <c r="J806" s="37" t="str">
        <f t="shared" si="3"/>
        <v/>
      </c>
      <c r="K806" s="38" t="str">
        <f>IF(L806="","",SUMIF(Productos!E:E,L806,Productos!A:A))</f>
        <v/>
      </c>
      <c r="M806" s="39"/>
    </row>
    <row r="807">
      <c r="A807" s="2" t="str">
        <f>IF(B807="","",SUMIF(Productos!E:E,B807,Productos!A:A))</f>
        <v/>
      </c>
      <c r="B807" s="40"/>
      <c r="C807" s="26" t="str">
        <f>IF(B807="","",SUMIF(Prearmados!E:E,B807,Prearmados!G:G))</f>
        <v/>
      </c>
      <c r="D807" s="19"/>
      <c r="E807" s="26" t="str">
        <f>IF(A807="","",IF(SUMIFS(Estructuras!E:E,Estructuras!B:B,A$2,Estructuras!C:C,A807)&gt;0,SUMIFS(Estructuras!E:E,Estructuras!B:B,A$2,Estructuras!C:C,A807),C807*D807))</f>
        <v/>
      </c>
      <c r="F807" s="36"/>
      <c r="G807" s="36"/>
      <c r="H807" s="36"/>
      <c r="I807" s="36" t="str">
        <f t="shared" si="2"/>
        <v/>
      </c>
      <c r="J807" s="37" t="str">
        <f t="shared" si="3"/>
        <v/>
      </c>
      <c r="K807" s="38" t="str">
        <f>IF(L807="","",SUMIF(Productos!E:E,L807,Productos!A:A))</f>
        <v/>
      </c>
      <c r="M807" s="39"/>
    </row>
    <row r="808">
      <c r="A808" s="2" t="str">
        <f>IF(B808="","",SUMIF(Productos!E:E,B808,Productos!A:A))</f>
        <v/>
      </c>
      <c r="B808" s="40"/>
      <c r="C808" s="26" t="str">
        <f>IF(B808="","",SUMIF(Prearmados!E:E,B808,Prearmados!G:G))</f>
        <v/>
      </c>
      <c r="D808" s="19"/>
      <c r="E808" s="26" t="str">
        <f>IF(A808="","",IF(SUMIFS(Estructuras!E:E,Estructuras!B:B,A$2,Estructuras!C:C,A808)&gt;0,SUMIFS(Estructuras!E:E,Estructuras!B:B,A$2,Estructuras!C:C,A808),C808*D808))</f>
        <v/>
      </c>
      <c r="F808" s="36"/>
      <c r="G808" s="36"/>
      <c r="H808" s="36"/>
      <c r="I808" s="36" t="str">
        <f t="shared" si="2"/>
        <v/>
      </c>
      <c r="J808" s="37" t="str">
        <f t="shared" si="3"/>
        <v/>
      </c>
      <c r="K808" s="38" t="str">
        <f>IF(L808="","",SUMIF(Productos!E:E,L808,Productos!A:A))</f>
        <v/>
      </c>
      <c r="M808" s="39"/>
    </row>
    <row r="809">
      <c r="A809" s="2" t="str">
        <f>IF(B809="","",SUMIF(Productos!E:E,B809,Productos!A:A))</f>
        <v/>
      </c>
      <c r="B809" s="40"/>
      <c r="C809" s="26" t="str">
        <f>IF(B809="","",SUMIF(Prearmados!E:E,B809,Prearmados!G:G))</f>
        <v/>
      </c>
      <c r="D809" s="19"/>
      <c r="E809" s="26" t="str">
        <f>IF(A809="","",IF(SUMIFS(Estructuras!E:E,Estructuras!B:B,A$2,Estructuras!C:C,A809)&gt;0,SUMIFS(Estructuras!E:E,Estructuras!B:B,A$2,Estructuras!C:C,A809),C809*D809))</f>
        <v/>
      </c>
      <c r="F809" s="36"/>
      <c r="G809" s="36"/>
      <c r="H809" s="36"/>
      <c r="I809" s="36" t="str">
        <f t="shared" si="2"/>
        <v/>
      </c>
      <c r="J809" s="37" t="str">
        <f t="shared" si="3"/>
        <v/>
      </c>
      <c r="K809" s="38" t="str">
        <f>IF(L809="","",SUMIF(Productos!E:E,L809,Productos!A:A))</f>
        <v/>
      </c>
      <c r="M809" s="39"/>
    </row>
    <row r="810">
      <c r="A810" s="2" t="str">
        <f>IF(B810="","",SUMIF(Productos!E:E,B810,Productos!A:A))</f>
        <v/>
      </c>
      <c r="B810" s="40"/>
      <c r="C810" s="26" t="str">
        <f>IF(B810="","",SUMIF(Prearmados!E:E,B810,Prearmados!G:G))</f>
        <v/>
      </c>
      <c r="D810" s="19"/>
      <c r="E810" s="26" t="str">
        <f>IF(A810="","",IF(SUMIFS(Estructuras!E:E,Estructuras!B:B,A$2,Estructuras!C:C,A810)&gt;0,SUMIFS(Estructuras!E:E,Estructuras!B:B,A$2,Estructuras!C:C,A810),C810*D810))</f>
        <v/>
      </c>
      <c r="F810" s="36"/>
      <c r="G810" s="36"/>
      <c r="H810" s="36"/>
      <c r="I810" s="36" t="str">
        <f t="shared" si="2"/>
        <v/>
      </c>
      <c r="J810" s="37" t="str">
        <f t="shared" si="3"/>
        <v/>
      </c>
      <c r="K810" s="38" t="str">
        <f>IF(L810="","",SUMIF(Productos!E:E,L810,Productos!A:A))</f>
        <v/>
      </c>
      <c r="M810" s="39"/>
    </row>
    <row r="811">
      <c r="A811" s="2" t="str">
        <f>IF(B811="","",SUMIF(Productos!E:E,B811,Productos!A:A))</f>
        <v/>
      </c>
      <c r="B811" s="40"/>
      <c r="C811" s="26" t="str">
        <f>IF(B811="","",SUMIF(Prearmados!E:E,B811,Prearmados!G:G))</f>
        <v/>
      </c>
      <c r="D811" s="19"/>
      <c r="E811" s="26" t="str">
        <f>IF(A811="","",IF(SUMIFS(Estructuras!E:E,Estructuras!B:B,A$2,Estructuras!C:C,A811)&gt;0,SUMIFS(Estructuras!E:E,Estructuras!B:B,A$2,Estructuras!C:C,A811),C811*D811))</f>
        <v/>
      </c>
      <c r="F811" s="36"/>
      <c r="G811" s="36"/>
      <c r="H811" s="36"/>
      <c r="I811" s="36" t="str">
        <f t="shared" si="2"/>
        <v/>
      </c>
      <c r="J811" s="37" t="str">
        <f t="shared" si="3"/>
        <v/>
      </c>
      <c r="K811" s="38" t="str">
        <f>IF(L811="","",SUMIF(Productos!E:E,L811,Productos!A:A))</f>
        <v/>
      </c>
      <c r="M811" s="39"/>
    </row>
    <row r="812">
      <c r="A812" s="2" t="str">
        <f>IF(B812="","",SUMIF(Productos!E:E,B812,Productos!A:A))</f>
        <v/>
      </c>
      <c r="B812" s="40"/>
      <c r="C812" s="26" t="str">
        <f>IF(B812="","",SUMIF(Prearmados!E:E,B812,Prearmados!G:G))</f>
        <v/>
      </c>
      <c r="D812" s="19"/>
      <c r="E812" s="26" t="str">
        <f>IF(A812="","",IF(SUMIFS(Estructuras!E:E,Estructuras!B:B,A$2,Estructuras!C:C,A812)&gt;0,SUMIFS(Estructuras!E:E,Estructuras!B:B,A$2,Estructuras!C:C,A812),C812*D812))</f>
        <v/>
      </c>
      <c r="F812" s="36"/>
      <c r="G812" s="36"/>
      <c r="H812" s="36"/>
      <c r="I812" s="36" t="str">
        <f t="shared" si="2"/>
        <v/>
      </c>
      <c r="J812" s="37" t="str">
        <f t="shared" si="3"/>
        <v/>
      </c>
      <c r="K812" s="38" t="str">
        <f>IF(L812="","",SUMIF(Productos!E:E,L812,Productos!A:A))</f>
        <v/>
      </c>
      <c r="M812" s="39"/>
    </row>
    <row r="813">
      <c r="A813" s="2" t="str">
        <f>IF(B813="","",SUMIF(Productos!E:E,B813,Productos!A:A))</f>
        <v/>
      </c>
      <c r="B813" s="40"/>
      <c r="C813" s="26" t="str">
        <f>IF(B813="","",SUMIF(Prearmados!E:E,B813,Prearmados!G:G))</f>
        <v/>
      </c>
      <c r="D813" s="19"/>
      <c r="E813" s="26" t="str">
        <f>IF(A813="","",IF(SUMIFS(Estructuras!E:E,Estructuras!B:B,A$2,Estructuras!C:C,A813)&gt;0,SUMIFS(Estructuras!E:E,Estructuras!B:B,A$2,Estructuras!C:C,A813),C813*D813))</f>
        <v/>
      </c>
      <c r="F813" s="36"/>
      <c r="G813" s="36"/>
      <c r="H813" s="36"/>
      <c r="I813" s="36" t="str">
        <f t="shared" si="2"/>
        <v/>
      </c>
      <c r="J813" s="37" t="str">
        <f t="shared" si="3"/>
        <v/>
      </c>
      <c r="K813" s="38" t="str">
        <f>IF(L813="","",SUMIF(Productos!E:E,L813,Productos!A:A))</f>
        <v/>
      </c>
      <c r="M813" s="39"/>
    </row>
    <row r="814">
      <c r="A814" s="2" t="str">
        <f>IF(B814="","",SUMIF(Productos!E:E,B814,Productos!A:A))</f>
        <v/>
      </c>
      <c r="B814" s="40"/>
      <c r="C814" s="26" t="str">
        <f>IF(B814="","",SUMIF(Prearmados!E:E,B814,Prearmados!G:G))</f>
        <v/>
      </c>
      <c r="D814" s="19"/>
      <c r="E814" s="26" t="str">
        <f>IF(A814="","",IF(SUMIFS(Estructuras!E:E,Estructuras!B:B,A$2,Estructuras!C:C,A814)&gt;0,SUMIFS(Estructuras!E:E,Estructuras!B:B,A$2,Estructuras!C:C,A814),C814*D814))</f>
        <v/>
      </c>
      <c r="F814" s="36"/>
      <c r="G814" s="36"/>
      <c r="H814" s="36"/>
      <c r="I814" s="36" t="str">
        <f t="shared" si="2"/>
        <v/>
      </c>
      <c r="J814" s="37" t="str">
        <f t="shared" si="3"/>
        <v/>
      </c>
      <c r="K814" s="38" t="str">
        <f>IF(L814="","",SUMIF(Productos!E:E,L814,Productos!A:A))</f>
        <v/>
      </c>
      <c r="M814" s="39"/>
    </row>
    <row r="815">
      <c r="A815" s="2" t="str">
        <f>IF(B815="","",SUMIF(Productos!E:E,B815,Productos!A:A))</f>
        <v/>
      </c>
      <c r="B815" s="40"/>
      <c r="C815" s="26" t="str">
        <f>IF(B815="","",SUMIF(Prearmados!E:E,B815,Prearmados!G:G))</f>
        <v/>
      </c>
      <c r="D815" s="19"/>
      <c r="E815" s="26" t="str">
        <f>IF(A815="","",IF(SUMIFS(Estructuras!E:E,Estructuras!B:B,A$2,Estructuras!C:C,A815)&gt;0,SUMIFS(Estructuras!E:E,Estructuras!B:B,A$2,Estructuras!C:C,A815),C815*D815))</f>
        <v/>
      </c>
      <c r="F815" s="36"/>
      <c r="G815" s="36"/>
      <c r="H815" s="36"/>
      <c r="I815" s="36" t="str">
        <f t="shared" si="2"/>
        <v/>
      </c>
      <c r="J815" s="37" t="str">
        <f t="shared" si="3"/>
        <v/>
      </c>
      <c r="K815" s="38" t="str">
        <f>IF(L815="","",SUMIF(Productos!E:E,L815,Productos!A:A))</f>
        <v/>
      </c>
      <c r="M815" s="39"/>
    </row>
    <row r="816">
      <c r="A816" s="2" t="str">
        <f>IF(B816="","",SUMIF(Productos!E:E,B816,Productos!A:A))</f>
        <v/>
      </c>
      <c r="B816" s="40"/>
      <c r="C816" s="26" t="str">
        <f>IF(B816="","",SUMIF(Prearmados!E:E,B816,Prearmados!G:G))</f>
        <v/>
      </c>
      <c r="D816" s="19"/>
      <c r="E816" s="26" t="str">
        <f>IF(A816="","",IF(SUMIFS(Estructuras!E:E,Estructuras!B:B,A$2,Estructuras!C:C,A816)&gt;0,SUMIFS(Estructuras!E:E,Estructuras!B:B,A$2,Estructuras!C:C,A816),C816*D816))</f>
        <v/>
      </c>
      <c r="F816" s="36"/>
      <c r="G816" s="36"/>
      <c r="H816" s="36"/>
      <c r="I816" s="36" t="str">
        <f t="shared" si="2"/>
        <v/>
      </c>
      <c r="J816" s="37" t="str">
        <f t="shared" si="3"/>
        <v/>
      </c>
      <c r="K816" s="38" t="str">
        <f>IF(L816="","",SUMIF(Productos!E:E,L816,Productos!A:A))</f>
        <v/>
      </c>
      <c r="M816" s="39"/>
    </row>
    <row r="817">
      <c r="A817" s="2" t="str">
        <f>IF(B817="","",SUMIF(Productos!E:E,B817,Productos!A:A))</f>
        <v/>
      </c>
      <c r="B817" s="40"/>
      <c r="C817" s="26" t="str">
        <f>IF(B817="","",SUMIF(Prearmados!E:E,B817,Prearmados!G:G))</f>
        <v/>
      </c>
      <c r="D817" s="19"/>
      <c r="E817" s="26" t="str">
        <f>IF(A817="","",IF(SUMIFS(Estructuras!E:E,Estructuras!B:B,A$2,Estructuras!C:C,A817)&gt;0,SUMIFS(Estructuras!E:E,Estructuras!B:B,A$2,Estructuras!C:C,A817),C817*D817))</f>
        <v/>
      </c>
      <c r="F817" s="36"/>
      <c r="G817" s="36"/>
      <c r="H817" s="36"/>
      <c r="I817" s="36" t="str">
        <f t="shared" si="2"/>
        <v/>
      </c>
      <c r="J817" s="37" t="str">
        <f t="shared" si="3"/>
        <v/>
      </c>
      <c r="K817" s="38" t="str">
        <f>IF(L817="","",SUMIF(Productos!E:E,L817,Productos!A:A))</f>
        <v/>
      </c>
      <c r="M817" s="39"/>
    </row>
    <row r="818">
      <c r="A818" s="2" t="str">
        <f>IF(B818="","",SUMIF(Productos!E:E,B818,Productos!A:A))</f>
        <v/>
      </c>
      <c r="B818" s="40"/>
      <c r="C818" s="26" t="str">
        <f>IF(B818="","",SUMIF(Prearmados!E:E,B818,Prearmados!G:G))</f>
        <v/>
      </c>
      <c r="D818" s="19"/>
      <c r="E818" s="26" t="str">
        <f>IF(A818="","",IF(SUMIFS(Estructuras!E:E,Estructuras!B:B,A$2,Estructuras!C:C,A818)&gt;0,SUMIFS(Estructuras!E:E,Estructuras!B:B,A$2,Estructuras!C:C,A818),C818*D818))</f>
        <v/>
      </c>
      <c r="F818" s="36"/>
      <c r="G818" s="36"/>
      <c r="H818" s="36"/>
      <c r="I818" s="36" t="str">
        <f t="shared" si="2"/>
        <v/>
      </c>
      <c r="J818" s="37" t="str">
        <f t="shared" si="3"/>
        <v/>
      </c>
      <c r="K818" s="38" t="str">
        <f>IF(L818="","",SUMIF(Productos!E:E,L818,Productos!A:A))</f>
        <v/>
      </c>
      <c r="M818" s="39"/>
    </row>
    <row r="819">
      <c r="A819" s="2" t="str">
        <f>IF(B819="","",SUMIF(Productos!E:E,B819,Productos!A:A))</f>
        <v/>
      </c>
      <c r="B819" s="40"/>
      <c r="C819" s="26" t="str">
        <f>IF(B819="","",SUMIF(Prearmados!E:E,B819,Prearmados!G:G))</f>
        <v/>
      </c>
      <c r="D819" s="19"/>
      <c r="E819" s="26" t="str">
        <f>IF(A819="","",IF(SUMIFS(Estructuras!E:E,Estructuras!B:B,A$2,Estructuras!C:C,A819)&gt;0,SUMIFS(Estructuras!E:E,Estructuras!B:B,A$2,Estructuras!C:C,A819),C819*D819))</f>
        <v/>
      </c>
      <c r="F819" s="36"/>
      <c r="G819" s="36"/>
      <c r="H819" s="36"/>
      <c r="I819" s="36" t="str">
        <f t="shared" si="2"/>
        <v/>
      </c>
      <c r="J819" s="37" t="str">
        <f t="shared" si="3"/>
        <v/>
      </c>
      <c r="K819" s="38" t="str">
        <f>IF(L819="","",SUMIF(Productos!E:E,L819,Productos!A:A))</f>
        <v/>
      </c>
      <c r="M819" s="39"/>
    </row>
    <row r="820">
      <c r="A820" s="2" t="str">
        <f>IF(B820="","",SUMIF(Productos!E:E,B820,Productos!A:A))</f>
        <v/>
      </c>
      <c r="B820" s="40"/>
      <c r="C820" s="26" t="str">
        <f>IF(B820="","",SUMIF(Prearmados!E:E,B820,Prearmados!G:G))</f>
        <v/>
      </c>
      <c r="D820" s="19"/>
      <c r="E820" s="26" t="str">
        <f>IF(A820="","",IF(SUMIFS(Estructuras!E:E,Estructuras!B:B,A$2,Estructuras!C:C,A820)&gt;0,SUMIFS(Estructuras!E:E,Estructuras!B:B,A$2,Estructuras!C:C,A820),C820*D820))</f>
        <v/>
      </c>
      <c r="F820" s="36"/>
      <c r="G820" s="36"/>
      <c r="H820" s="36"/>
      <c r="I820" s="36" t="str">
        <f t="shared" si="2"/>
        <v/>
      </c>
      <c r="J820" s="37" t="str">
        <f t="shared" si="3"/>
        <v/>
      </c>
      <c r="K820" s="38" t="str">
        <f>IF(L820="","",SUMIF(Productos!E:E,L820,Productos!A:A))</f>
        <v/>
      </c>
      <c r="M820" s="39"/>
    </row>
    <row r="821">
      <c r="A821" s="2" t="str">
        <f>IF(B821="","",SUMIF(Productos!E:E,B821,Productos!A:A))</f>
        <v/>
      </c>
      <c r="B821" s="40"/>
      <c r="C821" s="26" t="str">
        <f>IF(B821="","",SUMIF(Prearmados!E:E,B821,Prearmados!G:G))</f>
        <v/>
      </c>
      <c r="D821" s="19"/>
      <c r="E821" s="26" t="str">
        <f>IF(A821="","",IF(SUMIFS(Estructuras!E:E,Estructuras!B:B,A$2,Estructuras!C:C,A821)&gt;0,SUMIFS(Estructuras!E:E,Estructuras!B:B,A$2,Estructuras!C:C,A821),C821*D821))</f>
        <v/>
      </c>
      <c r="F821" s="36"/>
      <c r="G821" s="36"/>
      <c r="H821" s="36"/>
      <c r="I821" s="36" t="str">
        <f t="shared" si="2"/>
        <v/>
      </c>
      <c r="J821" s="37" t="str">
        <f t="shared" si="3"/>
        <v/>
      </c>
      <c r="K821" s="38" t="str">
        <f>IF(L821="","",SUMIF(Productos!E:E,L821,Productos!A:A))</f>
        <v/>
      </c>
      <c r="M821" s="39"/>
    </row>
    <row r="822">
      <c r="A822" s="2" t="str">
        <f>IF(B822="","",SUMIF(Productos!E:E,B822,Productos!A:A))</f>
        <v/>
      </c>
      <c r="B822" s="40"/>
      <c r="C822" s="26" t="str">
        <f>IF(B822="","",SUMIF(Prearmados!E:E,B822,Prearmados!G:G))</f>
        <v/>
      </c>
      <c r="D822" s="19"/>
      <c r="E822" s="26" t="str">
        <f>IF(A822="","",IF(SUMIFS(Estructuras!E:E,Estructuras!B:B,A$2,Estructuras!C:C,A822)&gt;0,SUMIFS(Estructuras!E:E,Estructuras!B:B,A$2,Estructuras!C:C,A822),C822*D822))</f>
        <v/>
      </c>
      <c r="F822" s="36"/>
      <c r="G822" s="36"/>
      <c r="H822" s="36"/>
      <c r="I822" s="36" t="str">
        <f t="shared" si="2"/>
        <v/>
      </c>
      <c r="J822" s="37" t="str">
        <f t="shared" si="3"/>
        <v/>
      </c>
      <c r="K822" s="38" t="str">
        <f>IF(L822="","",SUMIF(Productos!E:E,L822,Productos!A:A))</f>
        <v/>
      </c>
      <c r="M822" s="39"/>
    </row>
    <row r="823">
      <c r="A823" s="2" t="str">
        <f>IF(B823="","",SUMIF(Productos!E:E,B823,Productos!A:A))</f>
        <v/>
      </c>
      <c r="B823" s="40"/>
      <c r="C823" s="26" t="str">
        <f>IF(B823="","",SUMIF(Prearmados!E:E,B823,Prearmados!G:G))</f>
        <v/>
      </c>
      <c r="D823" s="19"/>
      <c r="E823" s="26" t="str">
        <f>IF(A823="","",IF(SUMIFS(Estructuras!E:E,Estructuras!B:B,A$2,Estructuras!C:C,A823)&gt;0,SUMIFS(Estructuras!E:E,Estructuras!B:B,A$2,Estructuras!C:C,A823),C823*D823))</f>
        <v/>
      </c>
      <c r="F823" s="36"/>
      <c r="G823" s="36"/>
      <c r="H823" s="36"/>
      <c r="I823" s="36" t="str">
        <f t="shared" si="2"/>
        <v/>
      </c>
      <c r="J823" s="37" t="str">
        <f t="shared" si="3"/>
        <v/>
      </c>
      <c r="K823" s="38" t="str">
        <f>IF(L823="","",SUMIF(Productos!E:E,L823,Productos!A:A))</f>
        <v/>
      </c>
      <c r="M823" s="39"/>
    </row>
    <row r="824">
      <c r="A824" s="2" t="str">
        <f>IF(B824="","",SUMIF(Productos!E:E,B824,Productos!A:A))</f>
        <v/>
      </c>
      <c r="B824" s="40"/>
      <c r="C824" s="26" t="str">
        <f>IF(B824="","",SUMIF(Prearmados!E:E,B824,Prearmados!G:G))</f>
        <v/>
      </c>
      <c r="D824" s="19"/>
      <c r="E824" s="26" t="str">
        <f>IF(A824="","",IF(SUMIFS(Estructuras!E:E,Estructuras!B:B,A$2,Estructuras!C:C,A824)&gt;0,SUMIFS(Estructuras!E:E,Estructuras!B:B,A$2,Estructuras!C:C,A824),C824*D824))</f>
        <v/>
      </c>
      <c r="F824" s="36"/>
      <c r="G824" s="36"/>
      <c r="H824" s="36"/>
      <c r="I824" s="36" t="str">
        <f t="shared" si="2"/>
        <v/>
      </c>
      <c r="J824" s="37" t="str">
        <f t="shared" si="3"/>
        <v/>
      </c>
      <c r="K824" s="38" t="str">
        <f>IF(L824="","",SUMIF(Productos!E:E,L824,Productos!A:A))</f>
        <v/>
      </c>
      <c r="M824" s="39"/>
    </row>
    <row r="825">
      <c r="A825" s="2" t="str">
        <f>IF(B825="","",SUMIF(Productos!E:E,B825,Productos!A:A))</f>
        <v/>
      </c>
      <c r="B825" s="40"/>
      <c r="C825" s="26" t="str">
        <f>IF(B825="","",SUMIF(Prearmados!E:E,B825,Prearmados!G:G))</f>
        <v/>
      </c>
      <c r="D825" s="19"/>
      <c r="E825" s="26" t="str">
        <f>IF(A825="","",IF(SUMIFS(Estructuras!E:E,Estructuras!B:B,A$2,Estructuras!C:C,A825)&gt;0,SUMIFS(Estructuras!E:E,Estructuras!B:B,A$2,Estructuras!C:C,A825),C825*D825))</f>
        <v/>
      </c>
      <c r="F825" s="36"/>
      <c r="G825" s="36"/>
      <c r="H825" s="36"/>
      <c r="I825" s="36" t="str">
        <f t="shared" si="2"/>
        <v/>
      </c>
      <c r="J825" s="37" t="str">
        <f t="shared" si="3"/>
        <v/>
      </c>
      <c r="K825" s="38" t="str">
        <f>IF(L825="","",SUMIF(Productos!E:E,L825,Productos!A:A))</f>
        <v/>
      </c>
      <c r="M825" s="39"/>
    </row>
    <row r="826">
      <c r="A826" s="2" t="str">
        <f>IF(B826="","",SUMIF(Productos!E:E,B826,Productos!A:A))</f>
        <v/>
      </c>
      <c r="B826" s="40"/>
      <c r="C826" s="26" t="str">
        <f>IF(B826="","",SUMIF(Prearmados!E:E,B826,Prearmados!G:G))</f>
        <v/>
      </c>
      <c r="D826" s="19"/>
      <c r="E826" s="26" t="str">
        <f>IF(A826="","",IF(SUMIFS(Estructuras!E:E,Estructuras!B:B,A$2,Estructuras!C:C,A826)&gt;0,SUMIFS(Estructuras!E:E,Estructuras!B:B,A$2,Estructuras!C:C,A826),C826*D826))</f>
        <v/>
      </c>
      <c r="F826" s="36"/>
      <c r="G826" s="36"/>
      <c r="H826" s="36"/>
      <c r="I826" s="36" t="str">
        <f t="shared" si="2"/>
        <v/>
      </c>
      <c r="J826" s="37" t="str">
        <f t="shared" si="3"/>
        <v/>
      </c>
      <c r="K826" s="38" t="str">
        <f>IF(L826="","",SUMIF(Productos!E:E,L826,Productos!A:A))</f>
        <v/>
      </c>
      <c r="M826" s="39"/>
    </row>
    <row r="827">
      <c r="A827" s="2" t="str">
        <f>IF(B827="","",SUMIF(Productos!E:E,B827,Productos!A:A))</f>
        <v/>
      </c>
      <c r="B827" s="40"/>
      <c r="C827" s="26" t="str">
        <f>IF(B827="","",SUMIF(Prearmados!E:E,B827,Prearmados!G:G))</f>
        <v/>
      </c>
      <c r="D827" s="19"/>
      <c r="E827" s="26" t="str">
        <f>IF(A827="","",IF(SUMIFS(Estructuras!E:E,Estructuras!B:B,A$2,Estructuras!C:C,A827)&gt;0,SUMIFS(Estructuras!E:E,Estructuras!B:B,A$2,Estructuras!C:C,A827),C827*D827))</f>
        <v/>
      </c>
      <c r="F827" s="36"/>
      <c r="G827" s="36"/>
      <c r="H827" s="36"/>
      <c r="I827" s="36" t="str">
        <f t="shared" si="2"/>
        <v/>
      </c>
      <c r="J827" s="37" t="str">
        <f t="shared" si="3"/>
        <v/>
      </c>
      <c r="K827" s="38" t="str">
        <f>IF(L827="","",SUMIF(Productos!E:E,L827,Productos!A:A))</f>
        <v/>
      </c>
      <c r="M827" s="39"/>
    </row>
    <row r="828">
      <c r="A828" s="2" t="str">
        <f>IF(B828="","",SUMIF(Productos!E:E,B828,Productos!A:A))</f>
        <v/>
      </c>
      <c r="B828" s="40"/>
      <c r="C828" s="26" t="str">
        <f>IF(B828="","",SUMIF(Prearmados!E:E,B828,Prearmados!G:G))</f>
        <v/>
      </c>
      <c r="D828" s="19"/>
      <c r="E828" s="26" t="str">
        <f>IF(A828="","",IF(SUMIFS(Estructuras!E:E,Estructuras!B:B,A$2,Estructuras!C:C,A828)&gt;0,SUMIFS(Estructuras!E:E,Estructuras!B:B,A$2,Estructuras!C:C,A828),C828*D828))</f>
        <v/>
      </c>
      <c r="F828" s="36"/>
      <c r="G828" s="36"/>
      <c r="H828" s="36"/>
      <c r="I828" s="36" t="str">
        <f t="shared" si="2"/>
        <v/>
      </c>
      <c r="J828" s="37" t="str">
        <f t="shared" si="3"/>
        <v/>
      </c>
      <c r="K828" s="38" t="str">
        <f>IF(L828="","",SUMIF(Productos!E:E,L828,Productos!A:A))</f>
        <v/>
      </c>
      <c r="M828" s="39"/>
    </row>
    <row r="829">
      <c r="A829" s="2" t="str">
        <f>IF(B829="","",SUMIF(Productos!E:E,B829,Productos!A:A))</f>
        <v/>
      </c>
      <c r="B829" s="40"/>
      <c r="C829" s="26" t="str">
        <f>IF(B829="","",SUMIF(Prearmados!E:E,B829,Prearmados!G:G))</f>
        <v/>
      </c>
      <c r="D829" s="19"/>
      <c r="E829" s="26" t="str">
        <f>IF(A829="","",IF(SUMIFS(Estructuras!E:E,Estructuras!B:B,A$2,Estructuras!C:C,A829)&gt;0,SUMIFS(Estructuras!E:E,Estructuras!B:B,A$2,Estructuras!C:C,A829),C829*D829))</f>
        <v/>
      </c>
      <c r="F829" s="36"/>
      <c r="G829" s="36"/>
      <c r="H829" s="36"/>
      <c r="I829" s="36" t="str">
        <f t="shared" si="2"/>
        <v/>
      </c>
      <c r="J829" s="37" t="str">
        <f t="shared" si="3"/>
        <v/>
      </c>
      <c r="K829" s="38" t="str">
        <f>IF(L829="","",SUMIF(Productos!E:E,L829,Productos!A:A))</f>
        <v/>
      </c>
      <c r="M829" s="39"/>
    </row>
    <row r="830">
      <c r="A830" s="2" t="str">
        <f>IF(B830="","",SUMIF(Productos!E:E,B830,Productos!A:A))</f>
        <v/>
      </c>
      <c r="B830" s="40"/>
      <c r="C830" s="26" t="str">
        <f>IF(B830="","",SUMIF(Prearmados!E:E,B830,Prearmados!G:G))</f>
        <v/>
      </c>
      <c r="D830" s="19"/>
      <c r="E830" s="26" t="str">
        <f>IF(A830="","",IF(SUMIFS(Estructuras!E:E,Estructuras!B:B,A$2,Estructuras!C:C,A830)&gt;0,SUMIFS(Estructuras!E:E,Estructuras!B:B,A$2,Estructuras!C:C,A830),C830*D830))</f>
        <v/>
      </c>
      <c r="F830" s="36"/>
      <c r="G830" s="36"/>
      <c r="H830" s="36"/>
      <c r="I830" s="36" t="str">
        <f t="shared" si="2"/>
        <v/>
      </c>
      <c r="J830" s="37" t="str">
        <f t="shared" si="3"/>
        <v/>
      </c>
      <c r="K830" s="38" t="str">
        <f>IF(L830="","",SUMIF(Productos!E:E,L830,Productos!A:A))</f>
        <v/>
      </c>
      <c r="M830" s="39"/>
    </row>
    <row r="831">
      <c r="A831" s="2" t="str">
        <f>IF(B831="","",SUMIF(Productos!E:E,B831,Productos!A:A))</f>
        <v/>
      </c>
      <c r="B831" s="40"/>
      <c r="C831" s="26" t="str">
        <f>IF(B831="","",SUMIF(Prearmados!E:E,B831,Prearmados!G:G))</f>
        <v/>
      </c>
      <c r="D831" s="19"/>
      <c r="E831" s="26" t="str">
        <f>IF(A831="","",IF(SUMIFS(Estructuras!E:E,Estructuras!B:B,A$2,Estructuras!C:C,A831)&gt;0,SUMIFS(Estructuras!E:E,Estructuras!B:B,A$2,Estructuras!C:C,A831),C831*D831))</f>
        <v/>
      </c>
      <c r="F831" s="36"/>
      <c r="G831" s="36"/>
      <c r="H831" s="36"/>
      <c r="I831" s="36" t="str">
        <f t="shared" si="2"/>
        <v/>
      </c>
      <c r="J831" s="37" t="str">
        <f t="shared" si="3"/>
        <v/>
      </c>
      <c r="K831" s="38" t="str">
        <f>IF(L831="","",SUMIF(Productos!E:E,L831,Productos!A:A))</f>
        <v/>
      </c>
      <c r="M831" s="39"/>
    </row>
    <row r="832">
      <c r="A832" s="2" t="str">
        <f>IF(B832="","",SUMIF(Productos!E:E,B832,Productos!A:A))</f>
        <v/>
      </c>
      <c r="B832" s="40"/>
      <c r="C832" s="26" t="str">
        <f>IF(B832="","",SUMIF(Prearmados!E:E,B832,Prearmados!G:G))</f>
        <v/>
      </c>
      <c r="D832" s="19"/>
      <c r="E832" s="26" t="str">
        <f>IF(A832="","",IF(SUMIFS(Estructuras!E:E,Estructuras!B:B,A$2,Estructuras!C:C,A832)&gt;0,SUMIFS(Estructuras!E:E,Estructuras!B:B,A$2,Estructuras!C:C,A832),C832*D832))</f>
        <v/>
      </c>
      <c r="F832" s="36"/>
      <c r="G832" s="36"/>
      <c r="H832" s="36"/>
      <c r="I832" s="36" t="str">
        <f t="shared" si="2"/>
        <v/>
      </c>
      <c r="J832" s="37" t="str">
        <f t="shared" si="3"/>
        <v/>
      </c>
      <c r="K832" s="38" t="str">
        <f>IF(L832="","",SUMIF(Productos!E:E,L832,Productos!A:A))</f>
        <v/>
      </c>
      <c r="M832" s="39"/>
    </row>
    <row r="833">
      <c r="A833" s="2" t="str">
        <f>IF(B833="","",SUMIF(Productos!E:E,B833,Productos!A:A))</f>
        <v/>
      </c>
      <c r="B833" s="40"/>
      <c r="C833" s="26" t="str">
        <f>IF(B833="","",SUMIF(Prearmados!E:E,B833,Prearmados!G:G))</f>
        <v/>
      </c>
      <c r="D833" s="19"/>
      <c r="E833" s="26" t="str">
        <f>IF(A833="","",IF(SUMIFS(Estructuras!E:E,Estructuras!B:B,A$2,Estructuras!C:C,A833)&gt;0,SUMIFS(Estructuras!E:E,Estructuras!B:B,A$2,Estructuras!C:C,A833),C833*D833))</f>
        <v/>
      </c>
      <c r="F833" s="36"/>
      <c r="G833" s="36"/>
      <c r="H833" s="36"/>
      <c r="I833" s="36" t="str">
        <f t="shared" si="2"/>
        <v/>
      </c>
      <c r="J833" s="37" t="str">
        <f t="shared" si="3"/>
        <v/>
      </c>
      <c r="K833" s="38" t="str">
        <f>IF(L833="","",SUMIF(Productos!E:E,L833,Productos!A:A))</f>
        <v/>
      </c>
      <c r="M833" s="39"/>
    </row>
    <row r="834">
      <c r="A834" s="2" t="str">
        <f>IF(B834="","",SUMIF(Productos!E:E,B834,Productos!A:A))</f>
        <v/>
      </c>
      <c r="B834" s="40"/>
      <c r="C834" s="26" t="str">
        <f>IF(B834="","",SUMIF(Prearmados!E:E,B834,Prearmados!G:G))</f>
        <v/>
      </c>
      <c r="D834" s="19"/>
      <c r="E834" s="26" t="str">
        <f>IF(A834="","",IF(SUMIFS(Estructuras!E:E,Estructuras!B:B,A$2,Estructuras!C:C,A834)&gt;0,SUMIFS(Estructuras!E:E,Estructuras!B:B,A$2,Estructuras!C:C,A834),C834*D834))</f>
        <v/>
      </c>
      <c r="F834" s="36"/>
      <c r="G834" s="36"/>
      <c r="H834" s="36"/>
      <c r="I834" s="36" t="str">
        <f t="shared" si="2"/>
        <v/>
      </c>
      <c r="J834" s="37" t="str">
        <f t="shared" si="3"/>
        <v/>
      </c>
      <c r="K834" s="38" t="str">
        <f>IF(L834="","",SUMIF(Productos!E:E,L834,Productos!A:A))</f>
        <v/>
      </c>
      <c r="M834" s="39"/>
    </row>
    <row r="835">
      <c r="A835" s="2" t="str">
        <f>IF(B835="","",SUMIF(Productos!E:E,B835,Productos!A:A))</f>
        <v/>
      </c>
      <c r="B835" s="40"/>
      <c r="C835" s="26" t="str">
        <f>IF(B835="","",SUMIF(Prearmados!E:E,B835,Prearmados!G:G))</f>
        <v/>
      </c>
      <c r="D835" s="19"/>
      <c r="E835" s="26" t="str">
        <f>IF(A835="","",IF(SUMIFS(Estructuras!E:E,Estructuras!B:B,A$2,Estructuras!C:C,A835)&gt;0,SUMIFS(Estructuras!E:E,Estructuras!B:B,A$2,Estructuras!C:C,A835),C835*D835))</f>
        <v/>
      </c>
      <c r="F835" s="36"/>
      <c r="G835" s="36"/>
      <c r="H835" s="36"/>
      <c r="I835" s="36" t="str">
        <f t="shared" si="2"/>
        <v/>
      </c>
      <c r="J835" s="37" t="str">
        <f t="shared" si="3"/>
        <v/>
      </c>
      <c r="K835" s="38" t="str">
        <f>IF(L835="","",SUMIF(Productos!E:E,L835,Productos!A:A))</f>
        <v/>
      </c>
      <c r="M835" s="39"/>
    </row>
    <row r="836">
      <c r="A836" s="2" t="str">
        <f>IF(B836="","",SUMIF(Productos!E:E,B836,Productos!A:A))</f>
        <v/>
      </c>
      <c r="B836" s="40"/>
      <c r="C836" s="26" t="str">
        <f>IF(B836="","",SUMIF(Prearmados!E:E,B836,Prearmados!G:G))</f>
        <v/>
      </c>
      <c r="D836" s="19"/>
      <c r="E836" s="26" t="str">
        <f>IF(A836="","",IF(SUMIFS(Estructuras!E:E,Estructuras!B:B,A$2,Estructuras!C:C,A836)&gt;0,SUMIFS(Estructuras!E:E,Estructuras!B:B,A$2,Estructuras!C:C,A836),C836*D836))</f>
        <v/>
      </c>
      <c r="F836" s="36"/>
      <c r="G836" s="36"/>
      <c r="H836" s="36"/>
      <c r="I836" s="36" t="str">
        <f t="shared" si="2"/>
        <v/>
      </c>
      <c r="J836" s="37" t="str">
        <f t="shared" si="3"/>
        <v/>
      </c>
      <c r="K836" s="38" t="str">
        <f>IF(L836="","",SUMIF(Productos!E:E,L836,Productos!A:A))</f>
        <v/>
      </c>
      <c r="M836" s="39"/>
    </row>
    <row r="837">
      <c r="A837" s="2" t="str">
        <f>IF(B837="","",SUMIF(Productos!E:E,B837,Productos!A:A))</f>
        <v/>
      </c>
      <c r="B837" s="40"/>
      <c r="C837" s="26" t="str">
        <f>IF(B837="","",SUMIF(Prearmados!E:E,B837,Prearmados!G:G))</f>
        <v/>
      </c>
      <c r="D837" s="19"/>
      <c r="E837" s="26" t="str">
        <f>IF(A837="","",IF(SUMIFS(Estructuras!E:E,Estructuras!B:B,A$2,Estructuras!C:C,A837)&gt;0,SUMIFS(Estructuras!E:E,Estructuras!B:B,A$2,Estructuras!C:C,A837),C837*D837))</f>
        <v/>
      </c>
      <c r="F837" s="36"/>
      <c r="G837" s="36"/>
      <c r="H837" s="36"/>
      <c r="I837" s="36" t="str">
        <f t="shared" si="2"/>
        <v/>
      </c>
      <c r="J837" s="37" t="str">
        <f t="shared" si="3"/>
        <v/>
      </c>
      <c r="K837" s="38" t="str">
        <f>IF(L837="","",SUMIF(Productos!E:E,L837,Productos!A:A))</f>
        <v/>
      </c>
      <c r="M837" s="39"/>
    </row>
    <row r="838">
      <c r="A838" s="2" t="str">
        <f>IF(B838="","",SUMIF(Productos!E:E,B838,Productos!A:A))</f>
        <v/>
      </c>
      <c r="B838" s="40"/>
      <c r="C838" s="26" t="str">
        <f>IF(B838="","",SUMIF(Prearmados!E:E,B838,Prearmados!G:G))</f>
        <v/>
      </c>
      <c r="D838" s="19"/>
      <c r="E838" s="26" t="str">
        <f>IF(A838="","",IF(SUMIFS(Estructuras!E:E,Estructuras!B:B,A$2,Estructuras!C:C,A838)&gt;0,SUMIFS(Estructuras!E:E,Estructuras!B:B,A$2,Estructuras!C:C,A838),C838*D838))</f>
        <v/>
      </c>
      <c r="F838" s="36"/>
      <c r="G838" s="36"/>
      <c r="H838" s="36"/>
      <c r="I838" s="36" t="str">
        <f t="shared" si="2"/>
        <v/>
      </c>
      <c r="J838" s="37" t="str">
        <f t="shared" si="3"/>
        <v/>
      </c>
      <c r="K838" s="38" t="str">
        <f>IF(L838="","",SUMIF(Productos!E:E,L838,Productos!A:A))</f>
        <v/>
      </c>
      <c r="M838" s="39"/>
    </row>
    <row r="839">
      <c r="A839" s="2" t="str">
        <f>IF(B839="","",SUMIF(Productos!E:E,B839,Productos!A:A))</f>
        <v/>
      </c>
      <c r="B839" s="40"/>
      <c r="C839" s="26" t="str">
        <f>IF(B839="","",SUMIF(Prearmados!E:E,B839,Prearmados!G:G))</f>
        <v/>
      </c>
      <c r="D839" s="19"/>
      <c r="E839" s="26" t="str">
        <f>IF(A839="","",IF(SUMIFS(Estructuras!E:E,Estructuras!B:B,A$2,Estructuras!C:C,A839)&gt;0,SUMIFS(Estructuras!E:E,Estructuras!B:B,A$2,Estructuras!C:C,A839),C839*D839))</f>
        <v/>
      </c>
      <c r="F839" s="36"/>
      <c r="G839" s="36"/>
      <c r="H839" s="36"/>
      <c r="I839" s="36" t="str">
        <f t="shared" si="2"/>
        <v/>
      </c>
      <c r="J839" s="37" t="str">
        <f t="shared" si="3"/>
        <v/>
      </c>
      <c r="K839" s="38" t="str">
        <f>IF(L839="","",SUMIF(Productos!E:E,L839,Productos!A:A))</f>
        <v/>
      </c>
      <c r="M839" s="39"/>
    </row>
    <row r="840">
      <c r="A840" s="2" t="str">
        <f>IF(B840="","",SUMIF(Productos!E:E,B840,Productos!A:A))</f>
        <v/>
      </c>
      <c r="B840" s="40"/>
      <c r="C840" s="26" t="str">
        <f>IF(B840="","",SUMIF(Prearmados!E:E,B840,Prearmados!G:G))</f>
        <v/>
      </c>
      <c r="D840" s="19"/>
      <c r="E840" s="26" t="str">
        <f>IF(A840="","",IF(SUMIFS(Estructuras!E:E,Estructuras!B:B,A$2,Estructuras!C:C,A840)&gt;0,SUMIFS(Estructuras!E:E,Estructuras!B:B,A$2,Estructuras!C:C,A840),C840*D840))</f>
        <v/>
      </c>
      <c r="F840" s="36"/>
      <c r="G840" s="36"/>
      <c r="H840" s="36"/>
      <c r="I840" s="36" t="str">
        <f t="shared" si="2"/>
        <v/>
      </c>
      <c r="J840" s="37" t="str">
        <f t="shared" si="3"/>
        <v/>
      </c>
      <c r="K840" s="38" t="str">
        <f>IF(L840="","",SUMIF(Productos!E:E,L840,Productos!A:A))</f>
        <v/>
      </c>
      <c r="M840" s="39"/>
    </row>
    <row r="841">
      <c r="A841" s="2" t="str">
        <f>IF(B841="","",SUMIF(Productos!E:E,B841,Productos!A:A))</f>
        <v/>
      </c>
      <c r="B841" s="40"/>
      <c r="C841" s="26" t="str">
        <f>IF(B841="","",SUMIF(Prearmados!E:E,B841,Prearmados!G:G))</f>
        <v/>
      </c>
      <c r="D841" s="19"/>
      <c r="E841" s="26" t="str">
        <f>IF(A841="","",IF(SUMIFS(Estructuras!E:E,Estructuras!B:B,A$2,Estructuras!C:C,A841)&gt;0,SUMIFS(Estructuras!E:E,Estructuras!B:B,A$2,Estructuras!C:C,A841),C841*D841))</f>
        <v/>
      </c>
      <c r="F841" s="36"/>
      <c r="G841" s="36"/>
      <c r="H841" s="36"/>
      <c r="I841" s="36" t="str">
        <f t="shared" si="2"/>
        <v/>
      </c>
      <c r="J841" s="37" t="str">
        <f t="shared" si="3"/>
        <v/>
      </c>
      <c r="K841" s="38" t="str">
        <f>IF(L841="","",SUMIF(Productos!E:E,L841,Productos!A:A))</f>
        <v/>
      </c>
      <c r="M841" s="39"/>
    </row>
    <row r="842">
      <c r="A842" s="2" t="str">
        <f>IF(B842="","",SUMIF(Productos!E:E,B842,Productos!A:A))</f>
        <v/>
      </c>
      <c r="B842" s="40"/>
      <c r="C842" s="26" t="str">
        <f>IF(B842="","",SUMIF(Prearmados!E:E,B842,Prearmados!G:G))</f>
        <v/>
      </c>
      <c r="D842" s="19"/>
      <c r="E842" s="26" t="str">
        <f>IF(A842="","",IF(SUMIFS(Estructuras!E:E,Estructuras!B:B,A$2,Estructuras!C:C,A842)&gt;0,SUMIFS(Estructuras!E:E,Estructuras!B:B,A$2,Estructuras!C:C,A842),C842*D842))</f>
        <v/>
      </c>
      <c r="F842" s="36"/>
      <c r="G842" s="36"/>
      <c r="H842" s="36"/>
      <c r="I842" s="36" t="str">
        <f t="shared" si="2"/>
        <v/>
      </c>
      <c r="J842" s="37" t="str">
        <f t="shared" si="3"/>
        <v/>
      </c>
      <c r="K842" s="38" t="str">
        <f>IF(L842="","",SUMIF(Productos!E:E,L842,Productos!A:A))</f>
        <v/>
      </c>
      <c r="M842" s="39"/>
    </row>
    <row r="843">
      <c r="A843" s="2" t="str">
        <f>IF(B843="","",SUMIF(Productos!E:E,B843,Productos!A:A))</f>
        <v/>
      </c>
      <c r="B843" s="40"/>
      <c r="C843" s="26" t="str">
        <f>IF(B843="","",SUMIF(Prearmados!E:E,B843,Prearmados!G:G))</f>
        <v/>
      </c>
      <c r="D843" s="19"/>
      <c r="E843" s="26" t="str">
        <f>IF(A843="","",IF(SUMIFS(Estructuras!E:E,Estructuras!B:B,A$2,Estructuras!C:C,A843)&gt;0,SUMIFS(Estructuras!E:E,Estructuras!B:B,A$2,Estructuras!C:C,A843),C843*D843))</f>
        <v/>
      </c>
      <c r="F843" s="36"/>
      <c r="G843" s="36"/>
      <c r="H843" s="36"/>
      <c r="I843" s="36" t="str">
        <f t="shared" si="2"/>
        <v/>
      </c>
      <c r="J843" s="37" t="str">
        <f t="shared" si="3"/>
        <v/>
      </c>
      <c r="K843" s="38" t="str">
        <f>IF(L843="","",SUMIF(Productos!E:E,L843,Productos!A:A))</f>
        <v/>
      </c>
      <c r="M843" s="39"/>
    </row>
    <row r="844">
      <c r="A844" s="2" t="str">
        <f>IF(B844="","",SUMIF(Productos!E:E,B844,Productos!A:A))</f>
        <v/>
      </c>
      <c r="B844" s="40"/>
      <c r="C844" s="26" t="str">
        <f>IF(B844="","",SUMIF(Prearmados!E:E,B844,Prearmados!G:G))</f>
        <v/>
      </c>
      <c r="D844" s="19"/>
      <c r="E844" s="26" t="str">
        <f>IF(A844="","",IF(SUMIFS(Estructuras!E:E,Estructuras!B:B,A$2,Estructuras!C:C,A844)&gt;0,SUMIFS(Estructuras!E:E,Estructuras!B:B,A$2,Estructuras!C:C,A844),C844*D844))</f>
        <v/>
      </c>
      <c r="F844" s="36"/>
      <c r="G844" s="36"/>
      <c r="H844" s="36"/>
      <c r="I844" s="36" t="str">
        <f t="shared" si="2"/>
        <v/>
      </c>
      <c r="J844" s="37" t="str">
        <f t="shared" si="3"/>
        <v/>
      </c>
      <c r="K844" s="38" t="str">
        <f>IF(L844="","",SUMIF(Productos!E:E,L844,Productos!A:A))</f>
        <v/>
      </c>
      <c r="M844" s="39"/>
    </row>
    <row r="845">
      <c r="A845" s="2" t="str">
        <f>IF(B845="","",SUMIF(Productos!E:E,B845,Productos!A:A))</f>
        <v/>
      </c>
      <c r="B845" s="40"/>
      <c r="C845" s="26" t="str">
        <f>IF(B845="","",SUMIF(Prearmados!E:E,B845,Prearmados!G:G))</f>
        <v/>
      </c>
      <c r="D845" s="19"/>
      <c r="E845" s="26" t="str">
        <f>IF(A845="","",IF(SUMIFS(Estructuras!E:E,Estructuras!B:B,A$2,Estructuras!C:C,A845)&gt;0,SUMIFS(Estructuras!E:E,Estructuras!B:B,A$2,Estructuras!C:C,A845),C845*D845))</f>
        <v/>
      </c>
      <c r="F845" s="36"/>
      <c r="G845" s="36"/>
      <c r="H845" s="36"/>
      <c r="I845" s="36" t="str">
        <f t="shared" si="2"/>
        <v/>
      </c>
      <c r="J845" s="37" t="str">
        <f t="shared" si="3"/>
        <v/>
      </c>
      <c r="K845" s="38" t="str">
        <f>IF(L845="","",SUMIF(Productos!E:E,L845,Productos!A:A))</f>
        <v/>
      </c>
      <c r="M845" s="39"/>
    </row>
    <row r="846">
      <c r="A846" s="2" t="str">
        <f>IF(B846="","",SUMIF(Productos!E:E,B846,Productos!A:A))</f>
        <v/>
      </c>
      <c r="B846" s="40"/>
      <c r="C846" s="26" t="str">
        <f>IF(B846="","",SUMIF(Prearmados!E:E,B846,Prearmados!G:G))</f>
        <v/>
      </c>
      <c r="D846" s="19"/>
      <c r="E846" s="26" t="str">
        <f>IF(A846="","",IF(SUMIFS(Estructuras!E:E,Estructuras!B:B,A$2,Estructuras!C:C,A846)&gt;0,SUMIFS(Estructuras!E:E,Estructuras!B:B,A$2,Estructuras!C:C,A846),C846*D846))</f>
        <v/>
      </c>
      <c r="F846" s="36"/>
      <c r="G846" s="36"/>
      <c r="H846" s="36"/>
      <c r="I846" s="36" t="str">
        <f t="shared" si="2"/>
        <v/>
      </c>
      <c r="J846" s="37" t="str">
        <f t="shared" si="3"/>
        <v/>
      </c>
      <c r="K846" s="38" t="str">
        <f>IF(L846="","",SUMIF(Productos!E:E,L846,Productos!A:A))</f>
        <v/>
      </c>
      <c r="M846" s="39"/>
    </row>
    <row r="847">
      <c r="A847" s="2" t="str">
        <f>IF(B847="","",SUMIF(Productos!E:E,B847,Productos!A:A))</f>
        <v/>
      </c>
      <c r="B847" s="40"/>
      <c r="C847" s="26" t="str">
        <f>IF(B847="","",SUMIF(Prearmados!E:E,B847,Prearmados!G:G))</f>
        <v/>
      </c>
      <c r="D847" s="19"/>
      <c r="E847" s="26" t="str">
        <f>IF(A847="","",IF(SUMIFS(Estructuras!E:E,Estructuras!B:B,A$2,Estructuras!C:C,A847)&gt;0,SUMIFS(Estructuras!E:E,Estructuras!B:B,A$2,Estructuras!C:C,A847),C847*D847))</f>
        <v/>
      </c>
      <c r="F847" s="36"/>
      <c r="G847" s="36"/>
      <c r="H847" s="36"/>
      <c r="I847" s="36" t="str">
        <f t="shared" si="2"/>
        <v/>
      </c>
      <c r="J847" s="37" t="str">
        <f t="shared" si="3"/>
        <v/>
      </c>
      <c r="K847" s="38" t="str">
        <f>IF(L847="","",SUMIF(Productos!E:E,L847,Productos!A:A))</f>
        <v/>
      </c>
      <c r="M847" s="39"/>
    </row>
    <row r="848">
      <c r="A848" s="2" t="str">
        <f>IF(B848="","",SUMIF(Productos!E:E,B848,Productos!A:A))</f>
        <v/>
      </c>
      <c r="B848" s="40"/>
      <c r="C848" s="26" t="str">
        <f>IF(B848="","",SUMIF(Prearmados!E:E,B848,Prearmados!G:G))</f>
        <v/>
      </c>
      <c r="D848" s="19"/>
      <c r="E848" s="26" t="str">
        <f>IF(A848="","",IF(SUMIFS(Estructuras!E:E,Estructuras!B:B,A$2,Estructuras!C:C,A848)&gt;0,SUMIFS(Estructuras!E:E,Estructuras!B:B,A$2,Estructuras!C:C,A848),C848*D848))</f>
        <v/>
      </c>
      <c r="F848" s="36"/>
      <c r="G848" s="36"/>
      <c r="H848" s="36"/>
      <c r="I848" s="36" t="str">
        <f t="shared" si="2"/>
        <v/>
      </c>
      <c r="J848" s="37" t="str">
        <f t="shared" si="3"/>
        <v/>
      </c>
      <c r="K848" s="38" t="str">
        <f>IF(L848="","",SUMIF(Productos!E:E,L848,Productos!A:A))</f>
        <v/>
      </c>
      <c r="M848" s="39"/>
    </row>
    <row r="849">
      <c r="A849" s="2" t="str">
        <f>IF(B849="","",SUMIF(Productos!E:E,B849,Productos!A:A))</f>
        <v/>
      </c>
      <c r="B849" s="40"/>
      <c r="C849" s="26" t="str">
        <f>IF(B849="","",SUMIF(Prearmados!E:E,B849,Prearmados!G:G))</f>
        <v/>
      </c>
      <c r="D849" s="19"/>
      <c r="E849" s="26" t="str">
        <f>IF(A849="","",IF(SUMIFS(Estructuras!E:E,Estructuras!B:B,A$2,Estructuras!C:C,A849)&gt;0,SUMIFS(Estructuras!E:E,Estructuras!B:B,A$2,Estructuras!C:C,A849),C849*D849))</f>
        <v/>
      </c>
      <c r="F849" s="36"/>
      <c r="G849" s="36"/>
      <c r="H849" s="36"/>
      <c r="I849" s="36" t="str">
        <f t="shared" si="2"/>
        <v/>
      </c>
      <c r="J849" s="37" t="str">
        <f t="shared" si="3"/>
        <v/>
      </c>
      <c r="K849" s="38" t="str">
        <f>IF(L849="","",SUMIF(Productos!E:E,L849,Productos!A:A))</f>
        <v/>
      </c>
      <c r="M849" s="39"/>
    </row>
    <row r="850">
      <c r="A850" s="2" t="str">
        <f>IF(B850="","",SUMIF(Productos!E:E,B850,Productos!A:A))</f>
        <v/>
      </c>
      <c r="B850" s="40"/>
      <c r="C850" s="26" t="str">
        <f>IF(B850="","",SUMIF(Prearmados!E:E,B850,Prearmados!G:G))</f>
        <v/>
      </c>
      <c r="D850" s="19"/>
      <c r="E850" s="26" t="str">
        <f>IF(A850="","",IF(SUMIFS(Estructuras!E:E,Estructuras!B:B,A$2,Estructuras!C:C,A850)&gt;0,SUMIFS(Estructuras!E:E,Estructuras!B:B,A$2,Estructuras!C:C,A850),C850*D850))</f>
        <v/>
      </c>
      <c r="F850" s="36"/>
      <c r="G850" s="36"/>
      <c r="H850" s="36"/>
      <c r="I850" s="36" t="str">
        <f t="shared" si="2"/>
        <v/>
      </c>
      <c r="J850" s="37" t="str">
        <f t="shared" si="3"/>
        <v/>
      </c>
      <c r="K850" s="38" t="str">
        <f>IF(L850="","",SUMIF(Productos!E:E,L850,Productos!A:A))</f>
        <v/>
      </c>
      <c r="M850" s="39"/>
    </row>
    <row r="851">
      <c r="A851" s="2" t="str">
        <f>IF(B851="","",SUMIF(Productos!E:E,B851,Productos!A:A))</f>
        <v/>
      </c>
      <c r="B851" s="40"/>
      <c r="C851" s="26" t="str">
        <f>IF(B851="","",SUMIF(Prearmados!E:E,B851,Prearmados!G:G))</f>
        <v/>
      </c>
      <c r="D851" s="19"/>
      <c r="E851" s="26" t="str">
        <f>IF(A851="","",IF(SUMIFS(Estructuras!E:E,Estructuras!B:B,A$2,Estructuras!C:C,A851)&gt;0,SUMIFS(Estructuras!E:E,Estructuras!B:B,A$2,Estructuras!C:C,A851),C851*D851))</f>
        <v/>
      </c>
      <c r="F851" s="36"/>
      <c r="G851" s="36"/>
      <c r="H851" s="36"/>
      <c r="I851" s="36" t="str">
        <f t="shared" si="2"/>
        <v/>
      </c>
      <c r="J851" s="37" t="str">
        <f t="shared" si="3"/>
        <v/>
      </c>
      <c r="K851" s="38" t="str">
        <f>IF(L851="","",SUMIF(Productos!E:E,L851,Productos!A:A))</f>
        <v/>
      </c>
      <c r="M851" s="39"/>
    </row>
    <row r="852">
      <c r="A852" s="2" t="str">
        <f>IF(B852="","",SUMIF(Productos!E:E,B852,Productos!A:A))</f>
        <v/>
      </c>
      <c r="B852" s="40"/>
      <c r="C852" s="26" t="str">
        <f>IF(B852="","",SUMIF(Prearmados!E:E,B852,Prearmados!G:G))</f>
        <v/>
      </c>
      <c r="D852" s="19"/>
      <c r="E852" s="26" t="str">
        <f>IF(A852="","",IF(SUMIFS(Estructuras!E:E,Estructuras!B:B,A$2,Estructuras!C:C,A852)&gt;0,SUMIFS(Estructuras!E:E,Estructuras!B:B,A$2,Estructuras!C:C,A852),C852*D852))</f>
        <v/>
      </c>
      <c r="F852" s="36"/>
      <c r="G852" s="36"/>
      <c r="H852" s="36"/>
      <c r="I852" s="36" t="str">
        <f t="shared" si="2"/>
        <v/>
      </c>
      <c r="J852" s="37" t="str">
        <f t="shared" si="3"/>
        <v/>
      </c>
      <c r="K852" s="38" t="str">
        <f>IF(L852="","",SUMIF(Productos!E:E,L852,Productos!A:A))</f>
        <v/>
      </c>
      <c r="M852" s="39"/>
    </row>
    <row r="853">
      <c r="A853" s="2" t="str">
        <f>IF(B853="","",SUMIF(Productos!E:E,B853,Productos!A:A))</f>
        <v/>
      </c>
      <c r="B853" s="40"/>
      <c r="C853" s="26" t="str">
        <f>IF(B853="","",SUMIF(Prearmados!E:E,B853,Prearmados!G:G))</f>
        <v/>
      </c>
      <c r="D853" s="19"/>
      <c r="E853" s="26" t="str">
        <f>IF(A853="","",IF(SUMIFS(Estructuras!E:E,Estructuras!B:B,A$2,Estructuras!C:C,A853)&gt;0,SUMIFS(Estructuras!E:E,Estructuras!B:B,A$2,Estructuras!C:C,A853),C853*D853))</f>
        <v/>
      </c>
      <c r="F853" s="36"/>
      <c r="G853" s="36"/>
      <c r="H853" s="36"/>
      <c r="I853" s="36" t="str">
        <f t="shared" si="2"/>
        <v/>
      </c>
      <c r="J853" s="37" t="str">
        <f t="shared" si="3"/>
        <v/>
      </c>
      <c r="K853" s="38" t="str">
        <f>IF(L853="","",SUMIF(Productos!E:E,L853,Productos!A:A))</f>
        <v/>
      </c>
      <c r="M853" s="39"/>
    </row>
    <row r="854">
      <c r="A854" s="2" t="str">
        <f>IF(B854="","",SUMIF(Productos!E:E,B854,Productos!A:A))</f>
        <v/>
      </c>
      <c r="B854" s="40"/>
      <c r="C854" s="26" t="str">
        <f>IF(B854="","",SUMIF(Prearmados!E:E,B854,Prearmados!G:G))</f>
        <v/>
      </c>
      <c r="D854" s="19"/>
      <c r="E854" s="26" t="str">
        <f>IF(A854="","",IF(SUMIFS(Estructuras!E:E,Estructuras!B:B,A$2,Estructuras!C:C,A854)&gt;0,SUMIFS(Estructuras!E:E,Estructuras!B:B,A$2,Estructuras!C:C,A854),C854*D854))</f>
        <v/>
      </c>
      <c r="F854" s="36"/>
      <c r="G854" s="36"/>
      <c r="H854" s="36"/>
      <c r="I854" s="36" t="str">
        <f t="shared" si="2"/>
        <v/>
      </c>
      <c r="J854" s="37" t="str">
        <f t="shared" si="3"/>
        <v/>
      </c>
      <c r="K854" s="38" t="str">
        <f>IF(L854="","",SUMIF(Productos!E:E,L854,Productos!A:A))</f>
        <v/>
      </c>
      <c r="M854" s="39"/>
    </row>
    <row r="855">
      <c r="A855" s="2" t="str">
        <f>IF(B855="","",SUMIF(Productos!E:E,B855,Productos!A:A))</f>
        <v/>
      </c>
      <c r="B855" s="40"/>
      <c r="C855" s="26" t="str">
        <f>IF(B855="","",SUMIF(Prearmados!E:E,B855,Prearmados!G:G))</f>
        <v/>
      </c>
      <c r="D855" s="19"/>
      <c r="E855" s="26" t="str">
        <f>IF(A855="","",IF(SUMIFS(Estructuras!E:E,Estructuras!B:B,A$2,Estructuras!C:C,A855)&gt;0,SUMIFS(Estructuras!E:E,Estructuras!B:B,A$2,Estructuras!C:C,A855),C855*D855))</f>
        <v/>
      </c>
      <c r="F855" s="36"/>
      <c r="G855" s="36"/>
      <c r="H855" s="36"/>
      <c r="I855" s="36" t="str">
        <f t="shared" si="2"/>
        <v/>
      </c>
      <c r="J855" s="37" t="str">
        <f t="shared" si="3"/>
        <v/>
      </c>
      <c r="K855" s="38" t="str">
        <f>IF(L855="","",SUMIF(Productos!E:E,L855,Productos!A:A))</f>
        <v/>
      </c>
      <c r="M855" s="39"/>
    </row>
    <row r="856">
      <c r="A856" s="2" t="str">
        <f>IF(B856="","",SUMIF(Productos!E:E,B856,Productos!A:A))</f>
        <v/>
      </c>
      <c r="B856" s="40"/>
      <c r="C856" s="26" t="str">
        <f>IF(B856="","",SUMIF(Prearmados!E:E,B856,Prearmados!G:G))</f>
        <v/>
      </c>
      <c r="D856" s="19"/>
      <c r="E856" s="26" t="str">
        <f>IF(A856="","",IF(SUMIFS(Estructuras!E:E,Estructuras!B:B,A$2,Estructuras!C:C,A856)&gt;0,SUMIFS(Estructuras!E:E,Estructuras!B:B,A$2,Estructuras!C:C,A856),C856*D856))</f>
        <v/>
      </c>
      <c r="F856" s="36"/>
      <c r="G856" s="36"/>
      <c r="H856" s="36"/>
      <c r="I856" s="36" t="str">
        <f t="shared" si="2"/>
        <v/>
      </c>
      <c r="J856" s="37" t="str">
        <f t="shared" si="3"/>
        <v/>
      </c>
      <c r="K856" s="38" t="str">
        <f>IF(L856="","",SUMIF(Productos!E:E,L856,Productos!A:A))</f>
        <v/>
      </c>
      <c r="M856" s="39"/>
    </row>
    <row r="857">
      <c r="A857" s="2" t="str">
        <f>IF(B857="","",SUMIF(Productos!E:E,B857,Productos!A:A))</f>
        <v/>
      </c>
      <c r="B857" s="40"/>
      <c r="C857" s="26" t="str">
        <f>IF(B857="","",SUMIF(Prearmados!E:E,B857,Prearmados!G:G))</f>
        <v/>
      </c>
      <c r="D857" s="19"/>
      <c r="E857" s="26" t="str">
        <f>IF(A857="","",IF(SUMIFS(Estructuras!E:E,Estructuras!B:B,A$2,Estructuras!C:C,A857)&gt;0,SUMIFS(Estructuras!E:E,Estructuras!B:B,A$2,Estructuras!C:C,A857),C857*D857))</f>
        <v/>
      </c>
      <c r="F857" s="36"/>
      <c r="G857" s="36"/>
      <c r="H857" s="36"/>
      <c r="I857" s="36" t="str">
        <f t="shared" si="2"/>
        <v/>
      </c>
      <c r="J857" s="37" t="str">
        <f t="shared" si="3"/>
        <v/>
      </c>
      <c r="K857" s="38" t="str">
        <f>IF(L857="","",SUMIF(Productos!E:E,L857,Productos!A:A))</f>
        <v/>
      </c>
      <c r="M857" s="39"/>
    </row>
    <row r="858">
      <c r="A858" s="2" t="str">
        <f>IF(B858="","",SUMIF(Productos!E:E,B858,Productos!A:A))</f>
        <v/>
      </c>
      <c r="B858" s="40"/>
      <c r="C858" s="26" t="str">
        <f>IF(B858="","",SUMIF(Prearmados!E:E,B858,Prearmados!G:G))</f>
        <v/>
      </c>
      <c r="D858" s="19"/>
      <c r="E858" s="26" t="str">
        <f>IF(A858="","",IF(SUMIFS(Estructuras!E:E,Estructuras!B:B,A$2,Estructuras!C:C,A858)&gt;0,SUMIFS(Estructuras!E:E,Estructuras!B:B,A$2,Estructuras!C:C,A858),C858*D858))</f>
        <v/>
      </c>
      <c r="F858" s="36"/>
      <c r="G858" s="36"/>
      <c r="H858" s="36"/>
      <c r="I858" s="36" t="str">
        <f t="shared" si="2"/>
        <v/>
      </c>
      <c r="J858" s="37" t="str">
        <f t="shared" si="3"/>
        <v/>
      </c>
      <c r="K858" s="38" t="str">
        <f>IF(L858="","",SUMIF(Productos!E:E,L858,Productos!A:A))</f>
        <v/>
      </c>
      <c r="M858" s="39"/>
    </row>
    <row r="859">
      <c r="A859" s="2" t="str">
        <f>IF(B859="","",SUMIF(Productos!E:E,B859,Productos!A:A))</f>
        <v/>
      </c>
      <c r="B859" s="40"/>
      <c r="C859" s="26" t="str">
        <f>IF(B859="","",SUMIF(Prearmados!E:E,B859,Prearmados!G:G))</f>
        <v/>
      </c>
      <c r="D859" s="19"/>
      <c r="E859" s="26" t="str">
        <f>IF(A859="","",IF(SUMIFS(Estructuras!E:E,Estructuras!B:B,A$2,Estructuras!C:C,A859)&gt;0,SUMIFS(Estructuras!E:E,Estructuras!B:B,A$2,Estructuras!C:C,A859),C859*D859))</f>
        <v/>
      </c>
      <c r="F859" s="36"/>
      <c r="G859" s="36"/>
      <c r="H859" s="36"/>
      <c r="I859" s="36" t="str">
        <f t="shared" si="2"/>
        <v/>
      </c>
      <c r="J859" s="37" t="str">
        <f t="shared" si="3"/>
        <v/>
      </c>
      <c r="K859" s="38" t="str">
        <f>IF(L859="","",SUMIF(Productos!E:E,L859,Productos!A:A))</f>
        <v/>
      </c>
      <c r="M859" s="39"/>
    </row>
    <row r="860">
      <c r="A860" s="2" t="str">
        <f>IF(B860="","",SUMIF(Productos!E:E,B860,Productos!A:A))</f>
        <v/>
      </c>
      <c r="B860" s="40"/>
      <c r="C860" s="26" t="str">
        <f>IF(B860="","",SUMIF(Prearmados!E:E,B860,Prearmados!G:G))</f>
        <v/>
      </c>
      <c r="D860" s="19"/>
      <c r="E860" s="26" t="str">
        <f>IF(A860="","",IF(SUMIFS(Estructuras!E:E,Estructuras!B:B,A$2,Estructuras!C:C,A860)&gt;0,SUMIFS(Estructuras!E:E,Estructuras!B:B,A$2,Estructuras!C:C,A860),C860*D860))</f>
        <v/>
      </c>
      <c r="F860" s="36"/>
      <c r="G860" s="36"/>
      <c r="H860" s="36"/>
      <c r="I860" s="36" t="str">
        <f t="shared" si="2"/>
        <v/>
      </c>
      <c r="J860" s="37" t="str">
        <f t="shared" si="3"/>
        <v/>
      </c>
      <c r="K860" s="38" t="str">
        <f>IF(L860="","",SUMIF(Productos!E:E,L860,Productos!A:A))</f>
        <v/>
      </c>
      <c r="M860" s="39"/>
    </row>
    <row r="861">
      <c r="A861" s="2" t="str">
        <f>IF(B861="","",SUMIF(Productos!E:E,B861,Productos!A:A))</f>
        <v/>
      </c>
      <c r="B861" s="40"/>
      <c r="C861" s="26" t="str">
        <f>IF(B861="","",SUMIF(Prearmados!E:E,B861,Prearmados!G:G))</f>
        <v/>
      </c>
      <c r="D861" s="19"/>
      <c r="E861" s="26" t="str">
        <f>IF(A861="","",IF(SUMIFS(Estructuras!E:E,Estructuras!B:B,A$2,Estructuras!C:C,A861)&gt;0,SUMIFS(Estructuras!E:E,Estructuras!B:B,A$2,Estructuras!C:C,A861),C861*D861))</f>
        <v/>
      </c>
      <c r="F861" s="36"/>
      <c r="G861" s="36"/>
      <c r="H861" s="36"/>
      <c r="I861" s="36" t="str">
        <f t="shared" si="2"/>
        <v/>
      </c>
      <c r="J861" s="37" t="str">
        <f t="shared" si="3"/>
        <v/>
      </c>
      <c r="K861" s="38" t="str">
        <f>IF(L861="","",SUMIF(Productos!E:E,L861,Productos!A:A))</f>
        <v/>
      </c>
      <c r="M861" s="39"/>
    </row>
    <row r="862">
      <c r="A862" s="2" t="str">
        <f>IF(B862="","",SUMIF(Productos!E:E,B862,Productos!A:A))</f>
        <v/>
      </c>
      <c r="B862" s="40"/>
      <c r="C862" s="26" t="str">
        <f>IF(B862="","",SUMIF(Prearmados!E:E,B862,Prearmados!G:G))</f>
        <v/>
      </c>
      <c r="D862" s="19"/>
      <c r="E862" s="26" t="str">
        <f>IF(A862="","",IF(SUMIFS(Estructuras!E:E,Estructuras!B:B,A$2,Estructuras!C:C,A862)&gt;0,SUMIFS(Estructuras!E:E,Estructuras!B:B,A$2,Estructuras!C:C,A862),C862*D862))</f>
        <v/>
      </c>
      <c r="F862" s="36"/>
      <c r="G862" s="36"/>
      <c r="H862" s="36"/>
      <c r="I862" s="36" t="str">
        <f t="shared" si="2"/>
        <v/>
      </c>
      <c r="J862" s="37" t="str">
        <f t="shared" si="3"/>
        <v/>
      </c>
      <c r="K862" s="38" t="str">
        <f>IF(L862="","",SUMIF(Productos!E:E,L862,Productos!A:A))</f>
        <v/>
      </c>
      <c r="M862" s="39"/>
    </row>
    <row r="863">
      <c r="A863" s="2" t="str">
        <f>IF(B863="","",SUMIF(Productos!E:E,B863,Productos!A:A))</f>
        <v/>
      </c>
      <c r="B863" s="40"/>
      <c r="C863" s="26" t="str">
        <f>IF(B863="","",SUMIF(Prearmados!E:E,B863,Prearmados!G:G))</f>
        <v/>
      </c>
      <c r="D863" s="19"/>
      <c r="E863" s="26" t="str">
        <f>IF(A863="","",IF(SUMIFS(Estructuras!E:E,Estructuras!B:B,A$2,Estructuras!C:C,A863)&gt;0,SUMIFS(Estructuras!E:E,Estructuras!B:B,A$2,Estructuras!C:C,A863),C863*D863))</f>
        <v/>
      </c>
      <c r="F863" s="36"/>
      <c r="G863" s="36"/>
      <c r="H863" s="36"/>
      <c r="I863" s="36" t="str">
        <f t="shared" si="2"/>
        <v/>
      </c>
      <c r="J863" s="37" t="str">
        <f t="shared" si="3"/>
        <v/>
      </c>
      <c r="K863" s="38" t="str">
        <f>IF(L863="","",SUMIF(Productos!E:E,L863,Productos!A:A))</f>
        <v/>
      </c>
      <c r="M863" s="39"/>
    </row>
    <row r="864">
      <c r="A864" s="2" t="str">
        <f>IF(B864="","",SUMIF(Productos!E:E,B864,Productos!A:A))</f>
        <v/>
      </c>
      <c r="B864" s="40"/>
      <c r="C864" s="26" t="str">
        <f>IF(B864="","",SUMIF(Prearmados!E:E,B864,Prearmados!G:G))</f>
        <v/>
      </c>
      <c r="D864" s="19"/>
      <c r="E864" s="26" t="str">
        <f>IF(A864="","",IF(SUMIFS(Estructuras!E:E,Estructuras!B:B,A$2,Estructuras!C:C,A864)&gt;0,SUMIFS(Estructuras!E:E,Estructuras!B:B,A$2,Estructuras!C:C,A864),C864*D864))</f>
        <v/>
      </c>
      <c r="F864" s="36"/>
      <c r="G864" s="36"/>
      <c r="H864" s="36"/>
      <c r="I864" s="36" t="str">
        <f t="shared" si="2"/>
        <v/>
      </c>
      <c r="J864" s="37" t="str">
        <f t="shared" si="3"/>
        <v/>
      </c>
      <c r="K864" s="38" t="str">
        <f>IF(L864="","",SUMIF(Productos!E:E,L864,Productos!A:A))</f>
        <v/>
      </c>
      <c r="M864" s="39"/>
    </row>
    <row r="865">
      <c r="A865" s="2" t="str">
        <f>IF(B865="","",SUMIF(Productos!E:E,B865,Productos!A:A))</f>
        <v/>
      </c>
      <c r="B865" s="40"/>
      <c r="C865" s="26" t="str">
        <f>IF(B865="","",SUMIF(Prearmados!E:E,B865,Prearmados!G:G))</f>
        <v/>
      </c>
      <c r="D865" s="19"/>
      <c r="E865" s="26" t="str">
        <f>IF(A865="","",IF(SUMIFS(Estructuras!E:E,Estructuras!B:B,A$2,Estructuras!C:C,A865)&gt;0,SUMIFS(Estructuras!E:E,Estructuras!B:B,A$2,Estructuras!C:C,A865),C865*D865))</f>
        <v/>
      </c>
      <c r="F865" s="36"/>
      <c r="G865" s="36"/>
      <c r="H865" s="36"/>
      <c r="I865" s="36" t="str">
        <f t="shared" si="2"/>
        <v/>
      </c>
      <c r="J865" s="37" t="str">
        <f t="shared" si="3"/>
        <v/>
      </c>
      <c r="K865" s="38" t="str">
        <f>IF(L865="","",SUMIF(Productos!E:E,L865,Productos!A:A))</f>
        <v/>
      </c>
      <c r="M865" s="39"/>
    </row>
    <row r="866">
      <c r="A866" s="2" t="str">
        <f>IF(B866="","",SUMIF(Productos!E:E,B866,Productos!A:A))</f>
        <v/>
      </c>
      <c r="B866" s="40"/>
      <c r="C866" s="26" t="str">
        <f>IF(B866="","",SUMIF(Prearmados!E:E,B866,Prearmados!G:G))</f>
        <v/>
      </c>
      <c r="D866" s="19"/>
      <c r="E866" s="26" t="str">
        <f>IF(A866="","",IF(SUMIFS(Estructuras!E:E,Estructuras!B:B,A$2,Estructuras!C:C,A866)&gt;0,SUMIFS(Estructuras!E:E,Estructuras!B:B,A$2,Estructuras!C:C,A866),C866*D866))</f>
        <v/>
      </c>
      <c r="F866" s="36"/>
      <c r="G866" s="36"/>
      <c r="H866" s="36"/>
      <c r="I866" s="36" t="str">
        <f t="shared" si="2"/>
        <v/>
      </c>
      <c r="J866" s="37" t="str">
        <f t="shared" si="3"/>
        <v/>
      </c>
      <c r="K866" s="38" t="str">
        <f>IF(L866="","",SUMIF(Productos!E:E,L866,Productos!A:A))</f>
        <v/>
      </c>
      <c r="M866" s="39"/>
    </row>
    <row r="867">
      <c r="A867" s="2" t="str">
        <f>IF(B867="","",SUMIF(Productos!E:E,B867,Productos!A:A))</f>
        <v/>
      </c>
      <c r="B867" s="40"/>
      <c r="C867" s="26" t="str">
        <f>IF(B867="","",SUMIF(Prearmados!E:E,B867,Prearmados!G:G))</f>
        <v/>
      </c>
      <c r="D867" s="19"/>
      <c r="E867" s="26" t="str">
        <f>IF(A867="","",IF(SUMIFS(Estructuras!E:E,Estructuras!B:B,A$2,Estructuras!C:C,A867)&gt;0,SUMIFS(Estructuras!E:E,Estructuras!B:B,A$2,Estructuras!C:C,A867),C867*D867))</f>
        <v/>
      </c>
      <c r="F867" s="36"/>
      <c r="G867" s="36"/>
      <c r="H867" s="36"/>
      <c r="I867" s="36" t="str">
        <f t="shared" si="2"/>
        <v/>
      </c>
      <c r="J867" s="37" t="str">
        <f t="shared" si="3"/>
        <v/>
      </c>
      <c r="K867" s="38" t="str">
        <f>IF(L867="","",SUMIF(Productos!E:E,L867,Productos!A:A))</f>
        <v/>
      </c>
      <c r="M867" s="39"/>
    </row>
    <row r="868">
      <c r="A868" s="2" t="str">
        <f>IF(B868="","",SUMIF(Productos!E:E,B868,Productos!A:A))</f>
        <v/>
      </c>
      <c r="B868" s="40"/>
      <c r="C868" s="26" t="str">
        <f>IF(B868="","",SUMIF(Prearmados!E:E,B868,Prearmados!G:G))</f>
        <v/>
      </c>
      <c r="D868" s="19"/>
      <c r="E868" s="26" t="str">
        <f>IF(A868="","",IF(SUMIFS(Estructuras!E:E,Estructuras!B:B,A$2,Estructuras!C:C,A868)&gt;0,SUMIFS(Estructuras!E:E,Estructuras!B:B,A$2,Estructuras!C:C,A868),C868*D868))</f>
        <v/>
      </c>
      <c r="F868" s="36"/>
      <c r="G868" s="36"/>
      <c r="H868" s="36"/>
      <c r="I868" s="36" t="str">
        <f t="shared" si="2"/>
        <v/>
      </c>
      <c r="J868" s="37" t="str">
        <f t="shared" si="3"/>
        <v/>
      </c>
      <c r="K868" s="38" t="str">
        <f>IF(L868="","",SUMIF(Productos!E:E,L868,Productos!A:A))</f>
        <v/>
      </c>
      <c r="M868" s="39"/>
    </row>
    <row r="869">
      <c r="A869" s="2" t="str">
        <f>IF(B869="","",SUMIF(Productos!E:E,B869,Productos!A:A))</f>
        <v/>
      </c>
      <c r="B869" s="40"/>
      <c r="C869" s="26" t="str">
        <f>IF(B869="","",SUMIF(Prearmados!E:E,B869,Prearmados!G:G))</f>
        <v/>
      </c>
      <c r="D869" s="19"/>
      <c r="E869" s="26" t="str">
        <f>IF(A869="","",IF(SUMIFS(Estructuras!E:E,Estructuras!B:B,A$2,Estructuras!C:C,A869)&gt;0,SUMIFS(Estructuras!E:E,Estructuras!B:B,A$2,Estructuras!C:C,A869),C869*D869))</f>
        <v/>
      </c>
      <c r="F869" s="36"/>
      <c r="G869" s="36"/>
      <c r="H869" s="36"/>
      <c r="I869" s="36" t="str">
        <f t="shared" si="2"/>
        <v/>
      </c>
      <c r="J869" s="37" t="str">
        <f t="shared" si="3"/>
        <v/>
      </c>
      <c r="K869" s="38" t="str">
        <f>IF(L869="","",SUMIF(Productos!E:E,L869,Productos!A:A))</f>
        <v/>
      </c>
      <c r="M869" s="39"/>
    </row>
    <row r="870">
      <c r="A870" s="2" t="str">
        <f>IF(B870="","",SUMIF(Productos!E:E,B870,Productos!A:A))</f>
        <v/>
      </c>
      <c r="B870" s="40"/>
      <c r="C870" s="26" t="str">
        <f>IF(B870="","",SUMIF(Prearmados!E:E,B870,Prearmados!G:G))</f>
        <v/>
      </c>
      <c r="D870" s="19"/>
      <c r="E870" s="26" t="str">
        <f>IF(A870="","",IF(SUMIFS(Estructuras!E:E,Estructuras!B:B,A$2,Estructuras!C:C,A870)&gt;0,SUMIFS(Estructuras!E:E,Estructuras!B:B,A$2,Estructuras!C:C,A870),C870*D870))</f>
        <v/>
      </c>
      <c r="F870" s="36"/>
      <c r="G870" s="36"/>
      <c r="H870" s="36"/>
      <c r="I870" s="36" t="str">
        <f t="shared" si="2"/>
        <v/>
      </c>
      <c r="J870" s="37" t="str">
        <f t="shared" si="3"/>
        <v/>
      </c>
      <c r="K870" s="38" t="str">
        <f>IF(L870="","",SUMIF(Productos!E:E,L870,Productos!A:A))</f>
        <v/>
      </c>
      <c r="M870" s="39"/>
    </row>
    <row r="871">
      <c r="A871" s="2" t="str">
        <f>IF(B871="","",SUMIF(Productos!E:E,B871,Productos!A:A))</f>
        <v/>
      </c>
      <c r="B871" s="40"/>
      <c r="C871" s="26" t="str">
        <f>IF(B871="","",SUMIF(Prearmados!E:E,B871,Prearmados!G:G))</f>
        <v/>
      </c>
      <c r="D871" s="19"/>
      <c r="E871" s="26" t="str">
        <f>IF(A871="","",IF(SUMIFS(Estructuras!E:E,Estructuras!B:B,A$2,Estructuras!C:C,A871)&gt;0,SUMIFS(Estructuras!E:E,Estructuras!B:B,A$2,Estructuras!C:C,A871),C871*D871))</f>
        <v/>
      </c>
      <c r="F871" s="36"/>
      <c r="G871" s="36"/>
      <c r="H871" s="36"/>
      <c r="I871" s="36" t="str">
        <f t="shared" si="2"/>
        <v/>
      </c>
      <c r="J871" s="37" t="str">
        <f t="shared" si="3"/>
        <v/>
      </c>
      <c r="K871" s="38" t="str">
        <f>IF(L871="","",SUMIF(Productos!E:E,L871,Productos!A:A))</f>
        <v/>
      </c>
      <c r="M871" s="39"/>
    </row>
    <row r="872">
      <c r="A872" s="2" t="str">
        <f>IF(B872="","",SUMIF(Productos!E:E,B872,Productos!A:A))</f>
        <v/>
      </c>
      <c r="B872" s="40"/>
      <c r="C872" s="26" t="str">
        <f>IF(B872="","",SUMIF(Prearmados!E:E,B872,Prearmados!G:G))</f>
        <v/>
      </c>
      <c r="D872" s="19"/>
      <c r="E872" s="26" t="str">
        <f>IF(A872="","",IF(SUMIFS(Estructuras!E:E,Estructuras!B:B,A$2,Estructuras!C:C,A872)&gt;0,SUMIFS(Estructuras!E:E,Estructuras!B:B,A$2,Estructuras!C:C,A872),C872*D872))</f>
        <v/>
      </c>
      <c r="F872" s="36"/>
      <c r="G872" s="36"/>
      <c r="H872" s="36"/>
      <c r="I872" s="36" t="str">
        <f t="shared" si="2"/>
        <v/>
      </c>
      <c r="J872" s="37" t="str">
        <f t="shared" si="3"/>
        <v/>
      </c>
      <c r="K872" s="38" t="str">
        <f>IF(L872="","",SUMIF(Productos!E:E,L872,Productos!A:A))</f>
        <v/>
      </c>
      <c r="M872" s="39"/>
    </row>
    <row r="873">
      <c r="A873" s="2" t="str">
        <f>IF(B873="","",SUMIF(Productos!E:E,B873,Productos!A:A))</f>
        <v/>
      </c>
      <c r="B873" s="40"/>
      <c r="C873" s="26" t="str">
        <f>IF(B873="","",SUMIF(Prearmados!E:E,B873,Prearmados!G:G))</f>
        <v/>
      </c>
      <c r="D873" s="19"/>
      <c r="E873" s="26" t="str">
        <f>IF(A873="","",IF(SUMIFS(Estructuras!E:E,Estructuras!B:B,A$2,Estructuras!C:C,A873)&gt;0,SUMIFS(Estructuras!E:E,Estructuras!B:B,A$2,Estructuras!C:C,A873),C873*D873))</f>
        <v/>
      </c>
      <c r="F873" s="36"/>
      <c r="G873" s="36"/>
      <c r="H873" s="36"/>
      <c r="I873" s="36" t="str">
        <f t="shared" si="2"/>
        <v/>
      </c>
      <c r="J873" s="37" t="str">
        <f t="shared" si="3"/>
        <v/>
      </c>
      <c r="K873" s="38" t="str">
        <f>IF(L873="","",SUMIF(Productos!E:E,L873,Productos!A:A))</f>
        <v/>
      </c>
      <c r="M873" s="39"/>
    </row>
    <row r="874">
      <c r="A874" s="2" t="str">
        <f>IF(B874="","",SUMIF(Productos!E:E,B874,Productos!A:A))</f>
        <v/>
      </c>
      <c r="B874" s="40"/>
      <c r="C874" s="26" t="str">
        <f>IF(B874="","",SUMIF(Prearmados!E:E,B874,Prearmados!G:G))</f>
        <v/>
      </c>
      <c r="D874" s="19"/>
      <c r="E874" s="26" t="str">
        <f>IF(A874="","",IF(SUMIFS(Estructuras!E:E,Estructuras!B:B,A$2,Estructuras!C:C,A874)&gt;0,SUMIFS(Estructuras!E:E,Estructuras!B:B,A$2,Estructuras!C:C,A874),C874*D874))</f>
        <v/>
      </c>
      <c r="F874" s="36"/>
      <c r="G874" s="36"/>
      <c r="H874" s="36"/>
      <c r="I874" s="36" t="str">
        <f t="shared" si="2"/>
        <v/>
      </c>
      <c r="J874" s="37" t="str">
        <f t="shared" si="3"/>
        <v/>
      </c>
      <c r="K874" s="38" t="str">
        <f>IF(L874="","",SUMIF(Productos!E:E,L874,Productos!A:A))</f>
        <v/>
      </c>
      <c r="M874" s="39"/>
    </row>
    <row r="875">
      <c r="A875" s="2" t="str">
        <f>IF(B875="","",SUMIF(Productos!E:E,B875,Productos!A:A))</f>
        <v/>
      </c>
      <c r="B875" s="40"/>
      <c r="C875" s="26" t="str">
        <f>IF(B875="","",SUMIF(Prearmados!E:E,B875,Prearmados!G:G))</f>
        <v/>
      </c>
      <c r="D875" s="19"/>
      <c r="E875" s="26" t="str">
        <f>IF(A875="","",IF(SUMIFS(Estructuras!E:E,Estructuras!B:B,A$2,Estructuras!C:C,A875)&gt;0,SUMIFS(Estructuras!E:E,Estructuras!B:B,A$2,Estructuras!C:C,A875),C875*D875))</f>
        <v/>
      </c>
      <c r="F875" s="36"/>
      <c r="G875" s="36"/>
      <c r="H875" s="36"/>
      <c r="I875" s="36" t="str">
        <f t="shared" si="2"/>
        <v/>
      </c>
      <c r="J875" s="37" t="str">
        <f t="shared" si="3"/>
        <v/>
      </c>
      <c r="K875" s="38" t="str">
        <f>IF(L875="","",SUMIF(Productos!E:E,L875,Productos!A:A))</f>
        <v/>
      </c>
      <c r="M875" s="39"/>
    </row>
    <row r="876">
      <c r="A876" s="2" t="str">
        <f>IF(B876="","",SUMIF(Productos!E:E,B876,Productos!A:A))</f>
        <v/>
      </c>
      <c r="B876" s="40"/>
      <c r="C876" s="26" t="str">
        <f>IF(B876="","",SUMIF(Prearmados!E:E,B876,Prearmados!G:G))</f>
        <v/>
      </c>
      <c r="D876" s="19"/>
      <c r="E876" s="26" t="str">
        <f>IF(A876="","",IF(SUMIFS(Estructuras!E:E,Estructuras!B:B,A$2,Estructuras!C:C,A876)&gt;0,SUMIFS(Estructuras!E:E,Estructuras!B:B,A$2,Estructuras!C:C,A876),C876*D876))</f>
        <v/>
      </c>
      <c r="F876" s="36"/>
      <c r="G876" s="36"/>
      <c r="H876" s="36"/>
      <c r="I876" s="36" t="str">
        <f t="shared" si="2"/>
        <v/>
      </c>
      <c r="J876" s="37" t="str">
        <f t="shared" si="3"/>
        <v/>
      </c>
      <c r="K876" s="38" t="str">
        <f>IF(L876="","",SUMIF(Productos!E:E,L876,Productos!A:A))</f>
        <v/>
      </c>
      <c r="M876" s="39"/>
    </row>
    <row r="877">
      <c r="A877" s="2" t="str">
        <f>IF(B877="","",SUMIF(Productos!E:E,B877,Productos!A:A))</f>
        <v/>
      </c>
      <c r="B877" s="40"/>
      <c r="C877" s="26" t="str">
        <f>IF(B877="","",SUMIF(Prearmados!E:E,B877,Prearmados!G:G))</f>
        <v/>
      </c>
      <c r="D877" s="19"/>
      <c r="E877" s="26" t="str">
        <f>IF(A877="","",IF(SUMIFS(Estructuras!E:E,Estructuras!B:B,A$2,Estructuras!C:C,A877)&gt;0,SUMIFS(Estructuras!E:E,Estructuras!B:B,A$2,Estructuras!C:C,A877),C877*D877))</f>
        <v/>
      </c>
      <c r="F877" s="36"/>
      <c r="G877" s="36"/>
      <c r="H877" s="36"/>
      <c r="I877" s="36" t="str">
        <f t="shared" si="2"/>
        <v/>
      </c>
      <c r="J877" s="37" t="str">
        <f t="shared" si="3"/>
        <v/>
      </c>
      <c r="K877" s="38" t="str">
        <f>IF(L877="","",SUMIF(Productos!E:E,L877,Productos!A:A))</f>
        <v/>
      </c>
      <c r="M877" s="39"/>
    </row>
    <row r="878">
      <c r="A878" s="2" t="str">
        <f>IF(B878="","",SUMIF(Productos!E:E,B878,Productos!A:A))</f>
        <v/>
      </c>
      <c r="B878" s="40"/>
      <c r="C878" s="26" t="str">
        <f>IF(B878="","",SUMIF(Prearmados!E:E,B878,Prearmados!G:G))</f>
        <v/>
      </c>
      <c r="D878" s="19"/>
      <c r="E878" s="26" t="str">
        <f>IF(A878="","",IF(SUMIFS(Estructuras!E:E,Estructuras!B:B,A$2,Estructuras!C:C,A878)&gt;0,SUMIFS(Estructuras!E:E,Estructuras!B:B,A$2,Estructuras!C:C,A878),C878*D878))</f>
        <v/>
      </c>
      <c r="F878" s="36"/>
      <c r="G878" s="36"/>
      <c r="H878" s="36"/>
      <c r="I878" s="36" t="str">
        <f t="shared" si="2"/>
        <v/>
      </c>
      <c r="J878" s="37" t="str">
        <f t="shared" si="3"/>
        <v/>
      </c>
      <c r="K878" s="38" t="str">
        <f>IF(L878="","",SUMIF(Productos!E:E,L878,Productos!A:A))</f>
        <v/>
      </c>
      <c r="M878" s="39"/>
    </row>
    <row r="879">
      <c r="A879" s="2" t="str">
        <f>IF(B879="","",SUMIF(Productos!E:E,B879,Productos!A:A))</f>
        <v/>
      </c>
      <c r="B879" s="40"/>
      <c r="C879" s="26" t="str">
        <f>IF(B879="","",SUMIF(Prearmados!E:E,B879,Prearmados!G:G))</f>
        <v/>
      </c>
      <c r="D879" s="19"/>
      <c r="E879" s="26" t="str">
        <f>IF(A879="","",IF(SUMIFS(Estructuras!E:E,Estructuras!B:B,A$2,Estructuras!C:C,A879)&gt;0,SUMIFS(Estructuras!E:E,Estructuras!B:B,A$2,Estructuras!C:C,A879),C879*D879))</f>
        <v/>
      </c>
      <c r="F879" s="36"/>
      <c r="G879" s="36"/>
      <c r="H879" s="36"/>
      <c r="I879" s="36" t="str">
        <f t="shared" si="2"/>
        <v/>
      </c>
      <c r="J879" s="37" t="str">
        <f t="shared" si="3"/>
        <v/>
      </c>
      <c r="K879" s="38" t="str">
        <f>IF(L879="","",SUMIF(Productos!E:E,L879,Productos!A:A))</f>
        <v/>
      </c>
      <c r="M879" s="39"/>
    </row>
    <row r="880">
      <c r="A880" s="2" t="str">
        <f>IF(B880="","",SUMIF(Productos!E:E,B880,Productos!A:A))</f>
        <v/>
      </c>
      <c r="B880" s="40"/>
      <c r="C880" s="26" t="str">
        <f>IF(B880="","",SUMIF(Prearmados!E:E,B880,Prearmados!G:G))</f>
        <v/>
      </c>
      <c r="D880" s="19"/>
      <c r="E880" s="26" t="str">
        <f>IF(A880="","",IF(SUMIFS(Estructuras!E:E,Estructuras!B:B,A$2,Estructuras!C:C,A880)&gt;0,SUMIFS(Estructuras!E:E,Estructuras!B:B,A$2,Estructuras!C:C,A880),C880*D880))</f>
        <v/>
      </c>
      <c r="F880" s="36"/>
      <c r="G880" s="36"/>
      <c r="H880" s="36"/>
      <c r="I880" s="36" t="str">
        <f t="shared" si="2"/>
        <v/>
      </c>
      <c r="J880" s="37" t="str">
        <f t="shared" si="3"/>
        <v/>
      </c>
      <c r="K880" s="38" t="str">
        <f>IF(L880="","",SUMIF(Productos!E:E,L880,Productos!A:A))</f>
        <v/>
      </c>
      <c r="M880" s="39"/>
    </row>
    <row r="881">
      <c r="A881" s="2" t="str">
        <f>IF(B881="","",SUMIF(Productos!E:E,B881,Productos!A:A))</f>
        <v/>
      </c>
      <c r="B881" s="40"/>
      <c r="C881" s="26" t="str">
        <f>IF(B881="","",SUMIF(Prearmados!E:E,B881,Prearmados!G:G))</f>
        <v/>
      </c>
      <c r="D881" s="19"/>
      <c r="E881" s="26" t="str">
        <f>IF(A881="","",IF(SUMIFS(Estructuras!E:E,Estructuras!B:B,A$2,Estructuras!C:C,A881)&gt;0,SUMIFS(Estructuras!E:E,Estructuras!B:B,A$2,Estructuras!C:C,A881),C881*D881))</f>
        <v/>
      </c>
      <c r="F881" s="36"/>
      <c r="G881" s="36"/>
      <c r="H881" s="36"/>
      <c r="I881" s="36" t="str">
        <f t="shared" si="2"/>
        <v/>
      </c>
      <c r="J881" s="37" t="str">
        <f t="shared" si="3"/>
        <v/>
      </c>
      <c r="K881" s="38" t="str">
        <f>IF(L881="","",SUMIF(Productos!E:E,L881,Productos!A:A))</f>
        <v/>
      </c>
      <c r="M881" s="39"/>
    </row>
    <row r="882">
      <c r="A882" s="2" t="str">
        <f>IF(B882="","",SUMIF(Productos!E:E,B882,Productos!A:A))</f>
        <v/>
      </c>
      <c r="B882" s="40"/>
      <c r="C882" s="26" t="str">
        <f>IF(B882="","",SUMIF(Prearmados!E:E,B882,Prearmados!G:G))</f>
        <v/>
      </c>
      <c r="D882" s="19"/>
      <c r="E882" s="26" t="str">
        <f>IF(A882="","",IF(SUMIFS(Estructuras!E:E,Estructuras!B:B,A$2,Estructuras!C:C,A882)&gt;0,SUMIFS(Estructuras!E:E,Estructuras!B:B,A$2,Estructuras!C:C,A882),C882*D882))</f>
        <v/>
      </c>
      <c r="F882" s="36"/>
      <c r="G882" s="36"/>
      <c r="H882" s="36"/>
      <c r="I882" s="36" t="str">
        <f t="shared" si="2"/>
        <v/>
      </c>
      <c r="J882" s="37" t="str">
        <f t="shared" si="3"/>
        <v/>
      </c>
      <c r="K882" s="38" t="str">
        <f>IF(L882="","",SUMIF(Productos!E:E,L882,Productos!A:A))</f>
        <v/>
      </c>
      <c r="M882" s="39"/>
    </row>
    <row r="883">
      <c r="A883" s="2" t="str">
        <f>IF(B883="","",SUMIF(Productos!E:E,B883,Productos!A:A))</f>
        <v/>
      </c>
      <c r="B883" s="40"/>
      <c r="C883" s="26" t="str">
        <f>IF(B883="","",SUMIF(Prearmados!E:E,B883,Prearmados!G:G))</f>
        <v/>
      </c>
      <c r="D883" s="19"/>
      <c r="E883" s="26" t="str">
        <f>IF(A883="","",IF(SUMIFS(Estructuras!E:E,Estructuras!B:B,A$2,Estructuras!C:C,A883)&gt;0,SUMIFS(Estructuras!E:E,Estructuras!B:B,A$2,Estructuras!C:C,A883),C883*D883))</f>
        <v/>
      </c>
      <c r="F883" s="36"/>
      <c r="G883" s="36"/>
      <c r="H883" s="36"/>
      <c r="I883" s="36" t="str">
        <f t="shared" si="2"/>
        <v/>
      </c>
      <c r="J883" s="37" t="str">
        <f t="shared" si="3"/>
        <v/>
      </c>
      <c r="K883" s="38" t="str">
        <f>IF(L883="","",SUMIF(Productos!E:E,L883,Productos!A:A))</f>
        <v/>
      </c>
      <c r="M883" s="39"/>
    </row>
    <row r="884">
      <c r="A884" s="2" t="str">
        <f>IF(B884="","",SUMIF(Productos!E:E,B884,Productos!A:A))</f>
        <v/>
      </c>
      <c r="B884" s="40"/>
      <c r="C884" s="26" t="str">
        <f>IF(B884="","",SUMIF(Prearmados!E:E,B884,Prearmados!G:G))</f>
        <v/>
      </c>
      <c r="D884" s="19"/>
      <c r="E884" s="26" t="str">
        <f>IF(A884="","",IF(SUMIFS(Estructuras!E:E,Estructuras!B:B,A$2,Estructuras!C:C,A884)&gt;0,SUMIFS(Estructuras!E:E,Estructuras!B:B,A$2,Estructuras!C:C,A884),C884*D884))</f>
        <v/>
      </c>
      <c r="F884" s="36"/>
      <c r="G884" s="36"/>
      <c r="H884" s="36"/>
      <c r="I884" s="36" t="str">
        <f t="shared" si="2"/>
        <v/>
      </c>
      <c r="J884" s="37" t="str">
        <f t="shared" si="3"/>
        <v/>
      </c>
      <c r="K884" s="38" t="str">
        <f>IF(L884="","",SUMIF(Productos!E:E,L884,Productos!A:A))</f>
        <v/>
      </c>
      <c r="M884" s="39"/>
    </row>
    <row r="885">
      <c r="A885" s="2" t="str">
        <f>IF(B885="","",SUMIF(Productos!E:E,B885,Productos!A:A))</f>
        <v/>
      </c>
      <c r="B885" s="40"/>
      <c r="C885" s="26" t="str">
        <f>IF(B885="","",SUMIF(Prearmados!E:E,B885,Prearmados!G:G))</f>
        <v/>
      </c>
      <c r="D885" s="19"/>
      <c r="E885" s="26" t="str">
        <f>IF(A885="","",IF(SUMIFS(Estructuras!E:E,Estructuras!B:B,A$2,Estructuras!C:C,A885)&gt;0,SUMIFS(Estructuras!E:E,Estructuras!B:B,A$2,Estructuras!C:C,A885),C885*D885))</f>
        <v/>
      </c>
      <c r="F885" s="36"/>
      <c r="G885" s="36"/>
      <c r="H885" s="36"/>
      <c r="I885" s="36" t="str">
        <f t="shared" si="2"/>
        <v/>
      </c>
      <c r="J885" s="37" t="str">
        <f t="shared" si="3"/>
        <v/>
      </c>
      <c r="K885" s="38" t="str">
        <f>IF(L885="","",SUMIF(Productos!E:E,L885,Productos!A:A))</f>
        <v/>
      </c>
      <c r="M885" s="39"/>
    </row>
    <row r="886">
      <c r="A886" s="2" t="str">
        <f>IF(B886="","",SUMIF(Productos!E:E,B886,Productos!A:A))</f>
        <v/>
      </c>
      <c r="B886" s="40"/>
      <c r="C886" s="26" t="str">
        <f>IF(B886="","",SUMIF(Prearmados!E:E,B886,Prearmados!G:G))</f>
        <v/>
      </c>
      <c r="D886" s="19"/>
      <c r="E886" s="26" t="str">
        <f>IF(A886="","",IF(SUMIFS(Estructuras!E:E,Estructuras!B:B,A$2,Estructuras!C:C,A886)&gt;0,SUMIFS(Estructuras!E:E,Estructuras!B:B,A$2,Estructuras!C:C,A886),C886*D886))</f>
        <v/>
      </c>
      <c r="F886" s="36"/>
      <c r="G886" s="36"/>
      <c r="H886" s="36"/>
      <c r="I886" s="36" t="str">
        <f t="shared" si="2"/>
        <v/>
      </c>
      <c r="J886" s="37" t="str">
        <f t="shared" si="3"/>
        <v/>
      </c>
      <c r="K886" s="38" t="str">
        <f>IF(L886="","",SUMIF(Productos!E:E,L886,Productos!A:A))</f>
        <v/>
      </c>
      <c r="M886" s="39"/>
    </row>
    <row r="887">
      <c r="A887" s="2" t="str">
        <f>IF(B887="","",SUMIF(Productos!E:E,B887,Productos!A:A))</f>
        <v/>
      </c>
      <c r="B887" s="40"/>
      <c r="C887" s="26" t="str">
        <f>IF(B887="","",SUMIF(Prearmados!E:E,B887,Prearmados!G:G))</f>
        <v/>
      </c>
      <c r="D887" s="19"/>
      <c r="E887" s="26" t="str">
        <f>IF(A887="","",IF(SUMIFS(Estructuras!E:E,Estructuras!B:B,A$2,Estructuras!C:C,A887)&gt;0,SUMIFS(Estructuras!E:E,Estructuras!B:B,A$2,Estructuras!C:C,A887),C887*D887))</f>
        <v/>
      </c>
      <c r="F887" s="36"/>
      <c r="G887" s="36"/>
      <c r="H887" s="36"/>
      <c r="I887" s="36" t="str">
        <f t="shared" si="2"/>
        <v/>
      </c>
      <c r="J887" s="37" t="str">
        <f t="shared" si="3"/>
        <v/>
      </c>
      <c r="K887" s="38" t="str">
        <f>IF(L887="","",SUMIF(Productos!E:E,L887,Productos!A:A))</f>
        <v/>
      </c>
      <c r="M887" s="39"/>
    </row>
    <row r="888">
      <c r="A888" s="2" t="str">
        <f>IF(B888="","",SUMIF(Productos!E:E,B888,Productos!A:A))</f>
        <v/>
      </c>
      <c r="B888" s="40"/>
      <c r="C888" s="26" t="str">
        <f>IF(B888="","",SUMIF(Prearmados!E:E,B888,Prearmados!G:G))</f>
        <v/>
      </c>
      <c r="D888" s="19"/>
      <c r="E888" s="26" t="str">
        <f>IF(A888="","",IF(SUMIFS(Estructuras!E:E,Estructuras!B:B,A$2,Estructuras!C:C,A888)&gt;0,SUMIFS(Estructuras!E:E,Estructuras!B:B,A$2,Estructuras!C:C,A888),C888*D888))</f>
        <v/>
      </c>
      <c r="F888" s="36"/>
      <c r="G888" s="36"/>
      <c r="H888" s="36"/>
      <c r="I888" s="36" t="str">
        <f t="shared" si="2"/>
        <v/>
      </c>
      <c r="J888" s="37" t="str">
        <f t="shared" si="3"/>
        <v/>
      </c>
      <c r="K888" s="38" t="str">
        <f>IF(L888="","",SUMIF(Productos!E:E,L888,Productos!A:A))</f>
        <v/>
      </c>
      <c r="M888" s="39"/>
    </row>
    <row r="889">
      <c r="A889" s="2" t="str">
        <f>IF(B889="","",SUMIF(Productos!E:E,B889,Productos!A:A))</f>
        <v/>
      </c>
      <c r="B889" s="40"/>
      <c r="C889" s="26" t="str">
        <f>IF(B889="","",SUMIF(Prearmados!E:E,B889,Prearmados!G:G))</f>
        <v/>
      </c>
      <c r="D889" s="19"/>
      <c r="E889" s="26" t="str">
        <f>IF(A889="","",IF(SUMIFS(Estructuras!E:E,Estructuras!B:B,A$2,Estructuras!C:C,A889)&gt;0,SUMIFS(Estructuras!E:E,Estructuras!B:B,A$2,Estructuras!C:C,A889),C889*D889))</f>
        <v/>
      </c>
      <c r="F889" s="36"/>
      <c r="G889" s="36"/>
      <c r="H889" s="36"/>
      <c r="I889" s="36" t="str">
        <f t="shared" si="2"/>
        <v/>
      </c>
      <c r="J889" s="37" t="str">
        <f t="shared" si="3"/>
        <v/>
      </c>
      <c r="K889" s="38" t="str">
        <f>IF(L889="","",SUMIF(Productos!E:E,L889,Productos!A:A))</f>
        <v/>
      </c>
      <c r="M889" s="39"/>
    </row>
    <row r="890">
      <c r="A890" s="2" t="str">
        <f>IF(B890="","",SUMIF(Productos!E:E,B890,Productos!A:A))</f>
        <v/>
      </c>
      <c r="B890" s="40"/>
      <c r="C890" s="26" t="str">
        <f>IF(B890="","",SUMIF(Prearmados!E:E,B890,Prearmados!G:G))</f>
        <v/>
      </c>
      <c r="D890" s="19"/>
      <c r="E890" s="26" t="str">
        <f>IF(A890="","",IF(SUMIFS(Estructuras!E:E,Estructuras!B:B,A$2,Estructuras!C:C,A890)&gt;0,SUMIFS(Estructuras!E:E,Estructuras!B:B,A$2,Estructuras!C:C,A890),C890*D890))</f>
        <v/>
      </c>
      <c r="F890" s="36"/>
      <c r="G890" s="36"/>
      <c r="H890" s="36"/>
      <c r="I890" s="36" t="str">
        <f t="shared" si="2"/>
        <v/>
      </c>
      <c r="J890" s="37" t="str">
        <f t="shared" si="3"/>
        <v/>
      </c>
      <c r="K890" s="38" t="str">
        <f>IF(L890="","",SUMIF(Productos!E:E,L890,Productos!A:A))</f>
        <v/>
      </c>
      <c r="M890" s="39"/>
    </row>
    <row r="891">
      <c r="A891" s="2" t="str">
        <f>IF(B891="","",SUMIF(Productos!E:E,B891,Productos!A:A))</f>
        <v/>
      </c>
      <c r="B891" s="40"/>
      <c r="C891" s="26" t="str">
        <f>IF(B891="","",SUMIF(Prearmados!E:E,B891,Prearmados!G:G))</f>
        <v/>
      </c>
      <c r="D891" s="19"/>
      <c r="E891" s="26" t="str">
        <f>IF(A891="","",IF(SUMIFS(Estructuras!E:E,Estructuras!B:B,A$2,Estructuras!C:C,A891)&gt;0,SUMIFS(Estructuras!E:E,Estructuras!B:B,A$2,Estructuras!C:C,A891),C891*D891))</f>
        <v/>
      </c>
      <c r="F891" s="36"/>
      <c r="G891" s="36"/>
      <c r="H891" s="36"/>
      <c r="I891" s="36" t="str">
        <f t="shared" si="2"/>
        <v/>
      </c>
      <c r="J891" s="37" t="str">
        <f t="shared" si="3"/>
        <v/>
      </c>
      <c r="K891" s="38" t="str">
        <f>IF(L891="","",SUMIF(Productos!E:E,L891,Productos!A:A))</f>
        <v/>
      </c>
      <c r="M891" s="39"/>
    </row>
    <row r="892">
      <c r="A892" s="2" t="str">
        <f>IF(B892="","",SUMIF(Productos!E:E,B892,Productos!A:A))</f>
        <v/>
      </c>
      <c r="B892" s="40"/>
      <c r="C892" s="26" t="str">
        <f>IF(B892="","",SUMIF(Prearmados!E:E,B892,Prearmados!G:G))</f>
        <v/>
      </c>
      <c r="D892" s="19"/>
      <c r="E892" s="26" t="str">
        <f>IF(A892="","",IF(SUMIFS(Estructuras!E:E,Estructuras!B:B,A$2,Estructuras!C:C,A892)&gt;0,SUMIFS(Estructuras!E:E,Estructuras!B:B,A$2,Estructuras!C:C,A892),C892*D892))</f>
        <v/>
      </c>
      <c r="F892" s="36"/>
      <c r="G892" s="36"/>
      <c r="H892" s="36"/>
      <c r="I892" s="36" t="str">
        <f t="shared" si="2"/>
        <v/>
      </c>
      <c r="J892" s="37" t="str">
        <f t="shared" si="3"/>
        <v/>
      </c>
      <c r="K892" s="38" t="str">
        <f>IF(L892="","",SUMIF(Productos!E:E,L892,Productos!A:A))</f>
        <v/>
      </c>
      <c r="M892" s="39"/>
    </row>
    <row r="893">
      <c r="A893" s="2" t="str">
        <f>IF(B893="","",SUMIF(Productos!E:E,B893,Productos!A:A))</f>
        <v/>
      </c>
      <c r="B893" s="40"/>
      <c r="C893" s="26" t="str">
        <f>IF(B893="","",SUMIF(Prearmados!E:E,B893,Prearmados!G:G))</f>
        <v/>
      </c>
      <c r="D893" s="19"/>
      <c r="E893" s="26" t="str">
        <f>IF(A893="","",IF(SUMIFS(Estructuras!E:E,Estructuras!B:B,A$2,Estructuras!C:C,A893)&gt;0,SUMIFS(Estructuras!E:E,Estructuras!B:B,A$2,Estructuras!C:C,A893),C893*D893))</f>
        <v/>
      </c>
      <c r="F893" s="36"/>
      <c r="G893" s="36"/>
      <c r="H893" s="36"/>
      <c r="I893" s="36" t="str">
        <f t="shared" si="2"/>
        <v/>
      </c>
      <c r="J893" s="37" t="str">
        <f t="shared" si="3"/>
        <v/>
      </c>
      <c r="K893" s="38" t="str">
        <f>IF(L893="","",SUMIF(Productos!E:E,L893,Productos!A:A))</f>
        <v/>
      </c>
      <c r="M893" s="39"/>
    </row>
    <row r="894">
      <c r="A894" s="2" t="str">
        <f>IF(B894="","",SUMIF(Productos!E:E,B894,Productos!A:A))</f>
        <v/>
      </c>
      <c r="B894" s="40"/>
      <c r="C894" s="26" t="str">
        <f>IF(B894="","",SUMIF(Prearmados!E:E,B894,Prearmados!G:G))</f>
        <v/>
      </c>
      <c r="D894" s="19"/>
      <c r="E894" s="26" t="str">
        <f>IF(A894="","",IF(SUMIFS(Estructuras!E:E,Estructuras!B:B,A$2,Estructuras!C:C,A894)&gt;0,SUMIFS(Estructuras!E:E,Estructuras!B:B,A$2,Estructuras!C:C,A894),C894*D894))</f>
        <v/>
      </c>
      <c r="F894" s="36"/>
      <c r="G894" s="36"/>
      <c r="H894" s="36"/>
      <c r="I894" s="36" t="str">
        <f t="shared" si="2"/>
        <v/>
      </c>
      <c r="J894" s="37" t="str">
        <f t="shared" si="3"/>
        <v/>
      </c>
      <c r="K894" s="38" t="str">
        <f>IF(L894="","",SUMIF(Productos!E:E,L894,Productos!A:A))</f>
        <v/>
      </c>
      <c r="M894" s="39"/>
    </row>
    <row r="895">
      <c r="A895" s="2" t="str">
        <f>IF(B895="","",SUMIF(Productos!E:E,B895,Productos!A:A))</f>
        <v/>
      </c>
      <c r="B895" s="40"/>
      <c r="C895" s="26" t="str">
        <f>IF(B895="","",SUMIF(Prearmados!E:E,B895,Prearmados!G:G))</f>
        <v/>
      </c>
      <c r="D895" s="19"/>
      <c r="E895" s="26" t="str">
        <f>IF(A895="","",IF(SUMIFS(Estructuras!E:E,Estructuras!B:B,A$2,Estructuras!C:C,A895)&gt;0,SUMIFS(Estructuras!E:E,Estructuras!B:B,A$2,Estructuras!C:C,A895),C895*D895))</f>
        <v/>
      </c>
      <c r="F895" s="36"/>
      <c r="G895" s="36"/>
      <c r="H895" s="36"/>
      <c r="I895" s="36" t="str">
        <f t="shared" si="2"/>
        <v/>
      </c>
      <c r="J895" s="37" t="str">
        <f t="shared" si="3"/>
        <v/>
      </c>
      <c r="K895" s="38" t="str">
        <f>IF(L895="","",SUMIF(Productos!E:E,L895,Productos!A:A))</f>
        <v/>
      </c>
      <c r="M895" s="39"/>
    </row>
    <row r="896">
      <c r="A896" s="2" t="str">
        <f>IF(B896="","",SUMIF(Productos!E:E,B896,Productos!A:A))</f>
        <v/>
      </c>
      <c r="B896" s="40"/>
      <c r="C896" s="26" t="str">
        <f>IF(B896="","",SUMIF(Prearmados!E:E,B896,Prearmados!G:G))</f>
        <v/>
      </c>
      <c r="D896" s="19"/>
      <c r="E896" s="26" t="str">
        <f>IF(A896="","",IF(SUMIFS(Estructuras!E:E,Estructuras!B:B,A$2,Estructuras!C:C,A896)&gt;0,SUMIFS(Estructuras!E:E,Estructuras!B:B,A$2,Estructuras!C:C,A896),C896*D896))</f>
        <v/>
      </c>
      <c r="F896" s="36"/>
      <c r="G896" s="36"/>
      <c r="H896" s="36"/>
      <c r="I896" s="36" t="str">
        <f t="shared" si="2"/>
        <v/>
      </c>
      <c r="J896" s="37" t="str">
        <f t="shared" si="3"/>
        <v/>
      </c>
      <c r="K896" s="38" t="str">
        <f>IF(L896="","",SUMIF(Productos!E:E,L896,Productos!A:A))</f>
        <v/>
      </c>
      <c r="M896" s="39"/>
    </row>
    <row r="897">
      <c r="A897" s="2" t="str">
        <f>IF(B897="","",SUMIF(Productos!E:E,B897,Productos!A:A))</f>
        <v/>
      </c>
      <c r="B897" s="40"/>
      <c r="C897" s="26" t="str">
        <f>IF(B897="","",SUMIF(Prearmados!E:E,B897,Prearmados!G:G))</f>
        <v/>
      </c>
      <c r="D897" s="19"/>
      <c r="E897" s="26" t="str">
        <f>IF(A897="","",IF(SUMIFS(Estructuras!E:E,Estructuras!B:B,A$2,Estructuras!C:C,A897)&gt;0,SUMIFS(Estructuras!E:E,Estructuras!B:B,A$2,Estructuras!C:C,A897),C897*D897))</f>
        <v/>
      </c>
      <c r="F897" s="36"/>
      <c r="G897" s="36"/>
      <c r="H897" s="36"/>
      <c r="I897" s="36" t="str">
        <f t="shared" si="2"/>
        <v/>
      </c>
      <c r="J897" s="37" t="str">
        <f t="shared" si="3"/>
        <v/>
      </c>
      <c r="K897" s="38" t="str">
        <f>IF(L897="","",SUMIF(Productos!E:E,L897,Productos!A:A))</f>
        <v/>
      </c>
      <c r="M897" s="39"/>
    </row>
    <row r="898">
      <c r="A898" s="2" t="str">
        <f>IF(B898="","",SUMIF(Productos!E:E,B898,Productos!A:A))</f>
        <v/>
      </c>
      <c r="B898" s="40"/>
      <c r="C898" s="26" t="str">
        <f>IF(B898="","",SUMIF(Prearmados!E:E,B898,Prearmados!G:G))</f>
        <v/>
      </c>
      <c r="D898" s="19"/>
      <c r="E898" s="26" t="str">
        <f>IF(A898="","",IF(SUMIFS(Estructuras!E:E,Estructuras!B:B,A$2,Estructuras!C:C,A898)&gt;0,SUMIFS(Estructuras!E:E,Estructuras!B:B,A$2,Estructuras!C:C,A898),C898*D898))</f>
        <v/>
      </c>
      <c r="F898" s="36"/>
      <c r="G898" s="36"/>
      <c r="H898" s="36"/>
      <c r="I898" s="36" t="str">
        <f t="shared" si="2"/>
        <v/>
      </c>
      <c r="J898" s="37" t="str">
        <f t="shared" si="3"/>
        <v/>
      </c>
      <c r="K898" s="38" t="str">
        <f>IF(L898="","",SUMIF(Productos!E:E,L898,Productos!A:A))</f>
        <v/>
      </c>
      <c r="M898" s="39"/>
    </row>
    <row r="899">
      <c r="A899" s="2" t="str">
        <f>IF(B899="","",SUMIF(Productos!E:E,B899,Productos!A:A))</f>
        <v/>
      </c>
      <c r="B899" s="40"/>
      <c r="C899" s="26" t="str">
        <f>IF(B899="","",SUMIF(Prearmados!E:E,B899,Prearmados!G:G))</f>
        <v/>
      </c>
      <c r="D899" s="19"/>
      <c r="E899" s="26" t="str">
        <f>IF(A899="","",IF(SUMIFS(Estructuras!E:E,Estructuras!B:B,A$2,Estructuras!C:C,A899)&gt;0,SUMIFS(Estructuras!E:E,Estructuras!B:B,A$2,Estructuras!C:C,A899),C899*D899))</f>
        <v/>
      </c>
      <c r="F899" s="36"/>
      <c r="G899" s="36"/>
      <c r="H899" s="36"/>
      <c r="I899" s="36" t="str">
        <f t="shared" si="2"/>
        <v/>
      </c>
      <c r="J899" s="37" t="str">
        <f t="shared" si="3"/>
        <v/>
      </c>
      <c r="K899" s="38" t="str">
        <f>IF(L899="","",SUMIF(Productos!E:E,L899,Productos!A:A))</f>
        <v/>
      </c>
      <c r="M899" s="39"/>
    </row>
    <row r="900">
      <c r="A900" s="2" t="str">
        <f>IF(B900="","",SUMIF(Productos!E:E,B900,Productos!A:A))</f>
        <v/>
      </c>
      <c r="B900" s="40"/>
      <c r="C900" s="26" t="str">
        <f>IF(B900="","",SUMIF(Prearmados!E:E,B900,Prearmados!G:G))</f>
        <v/>
      </c>
      <c r="D900" s="19"/>
      <c r="E900" s="26" t="str">
        <f>IF(A900="","",IF(SUMIFS(Estructuras!E:E,Estructuras!B:B,A$2,Estructuras!C:C,A900)&gt;0,SUMIFS(Estructuras!E:E,Estructuras!B:B,A$2,Estructuras!C:C,A900),C900*D900))</f>
        <v/>
      </c>
      <c r="F900" s="36"/>
      <c r="G900" s="36"/>
      <c r="H900" s="36"/>
      <c r="I900" s="36" t="str">
        <f t="shared" si="2"/>
        <v/>
      </c>
      <c r="J900" s="37" t="str">
        <f t="shared" si="3"/>
        <v/>
      </c>
      <c r="K900" s="38" t="str">
        <f>IF(L900="","",SUMIF(Productos!E:E,L900,Productos!A:A))</f>
        <v/>
      </c>
      <c r="M900" s="39"/>
    </row>
    <row r="901">
      <c r="A901" s="2" t="str">
        <f>IF(B901="","",SUMIF(Productos!E:E,B901,Productos!A:A))</f>
        <v/>
      </c>
      <c r="B901" s="40"/>
      <c r="C901" s="26" t="str">
        <f>IF(B901="","",SUMIF(Prearmados!E:E,B901,Prearmados!G:G))</f>
        <v/>
      </c>
      <c r="D901" s="19"/>
      <c r="E901" s="26" t="str">
        <f>IF(A901="","",IF(SUMIFS(Estructuras!E:E,Estructuras!B:B,A$2,Estructuras!C:C,A901)&gt;0,SUMIFS(Estructuras!E:E,Estructuras!B:B,A$2,Estructuras!C:C,A901),C901*D901))</f>
        <v/>
      </c>
      <c r="F901" s="36"/>
      <c r="G901" s="36"/>
      <c r="H901" s="36"/>
      <c r="I901" s="36" t="str">
        <f t="shared" si="2"/>
        <v/>
      </c>
      <c r="J901" s="37" t="str">
        <f t="shared" si="3"/>
        <v/>
      </c>
      <c r="K901" s="38" t="str">
        <f>IF(L901="","",SUMIF(Productos!E:E,L901,Productos!A:A))</f>
        <v/>
      </c>
      <c r="M901" s="39"/>
    </row>
    <row r="902">
      <c r="A902" s="2" t="str">
        <f>IF(B902="","",SUMIF(Productos!E:E,B902,Productos!A:A))</f>
        <v/>
      </c>
      <c r="B902" s="40"/>
      <c r="C902" s="26" t="str">
        <f>IF(B902="","",SUMIF(Prearmados!E:E,B902,Prearmados!G:G))</f>
        <v/>
      </c>
      <c r="D902" s="19"/>
      <c r="E902" s="26" t="str">
        <f>IF(A902="","",IF(SUMIFS(Estructuras!E:E,Estructuras!B:B,A$2,Estructuras!C:C,A902)&gt;0,SUMIFS(Estructuras!E:E,Estructuras!B:B,A$2,Estructuras!C:C,A902),C902*D902))</f>
        <v/>
      </c>
      <c r="F902" s="36"/>
      <c r="G902" s="36"/>
      <c r="H902" s="36"/>
      <c r="I902" s="36" t="str">
        <f t="shared" si="2"/>
        <v/>
      </c>
      <c r="J902" s="37" t="str">
        <f t="shared" si="3"/>
        <v/>
      </c>
      <c r="K902" s="38" t="str">
        <f>IF(L902="","",SUMIF(Productos!E:E,L902,Productos!A:A))</f>
        <v/>
      </c>
      <c r="M902" s="39"/>
    </row>
    <row r="903">
      <c r="A903" s="2" t="str">
        <f>IF(B903="","",SUMIF(Productos!E:E,B903,Productos!A:A))</f>
        <v/>
      </c>
      <c r="B903" s="40"/>
      <c r="C903" s="26" t="str">
        <f>IF(B903="","",SUMIF(Prearmados!E:E,B903,Prearmados!G:G))</f>
        <v/>
      </c>
      <c r="D903" s="19"/>
      <c r="E903" s="26" t="str">
        <f>IF(A903="","",IF(SUMIFS(Estructuras!E:E,Estructuras!B:B,A$2,Estructuras!C:C,A903)&gt;0,SUMIFS(Estructuras!E:E,Estructuras!B:B,A$2,Estructuras!C:C,A903),C903*D903))</f>
        <v/>
      </c>
      <c r="F903" s="36"/>
      <c r="G903" s="36"/>
      <c r="H903" s="36"/>
      <c r="I903" s="36" t="str">
        <f t="shared" si="2"/>
        <v/>
      </c>
      <c r="J903" s="37" t="str">
        <f t="shared" si="3"/>
        <v/>
      </c>
      <c r="K903" s="38" t="str">
        <f>IF(L903="","",SUMIF(Productos!E:E,L903,Productos!A:A))</f>
        <v/>
      </c>
      <c r="M903" s="39"/>
    </row>
    <row r="904">
      <c r="A904" s="2" t="str">
        <f>IF(B904="","",SUMIF(Productos!E:E,B904,Productos!A:A))</f>
        <v/>
      </c>
      <c r="B904" s="40"/>
      <c r="C904" s="26" t="str">
        <f>IF(B904="","",SUMIF(Prearmados!E:E,B904,Prearmados!G:G))</f>
        <v/>
      </c>
      <c r="D904" s="19"/>
      <c r="E904" s="26" t="str">
        <f>IF(A904="","",IF(SUMIFS(Estructuras!E:E,Estructuras!B:B,A$2,Estructuras!C:C,A904)&gt;0,SUMIFS(Estructuras!E:E,Estructuras!B:B,A$2,Estructuras!C:C,A904),C904*D904))</f>
        <v/>
      </c>
      <c r="F904" s="36"/>
      <c r="G904" s="36"/>
      <c r="H904" s="36"/>
      <c r="I904" s="36" t="str">
        <f t="shared" si="2"/>
        <v/>
      </c>
      <c r="J904" s="37" t="str">
        <f t="shared" si="3"/>
        <v/>
      </c>
      <c r="K904" s="38" t="str">
        <f>IF(L904="","",SUMIF(Productos!E:E,L904,Productos!A:A))</f>
        <v/>
      </c>
      <c r="M904" s="39"/>
    </row>
    <row r="905">
      <c r="A905" s="2" t="str">
        <f>IF(B905="","",SUMIF(Productos!E:E,B905,Productos!A:A))</f>
        <v/>
      </c>
      <c r="B905" s="40"/>
      <c r="C905" s="26" t="str">
        <f>IF(B905="","",SUMIF(Prearmados!E:E,B905,Prearmados!G:G))</f>
        <v/>
      </c>
      <c r="D905" s="19"/>
      <c r="E905" s="26" t="str">
        <f>IF(A905="","",IF(SUMIFS(Estructuras!E:E,Estructuras!B:B,A$2,Estructuras!C:C,A905)&gt;0,SUMIFS(Estructuras!E:E,Estructuras!B:B,A$2,Estructuras!C:C,A905),C905*D905))</f>
        <v/>
      </c>
      <c r="F905" s="36"/>
      <c r="G905" s="36"/>
      <c r="H905" s="36"/>
      <c r="I905" s="36" t="str">
        <f t="shared" si="2"/>
        <v/>
      </c>
      <c r="J905" s="37" t="str">
        <f t="shared" si="3"/>
        <v/>
      </c>
      <c r="K905" s="38" t="str">
        <f>IF(L905="","",SUMIF(Productos!E:E,L905,Productos!A:A))</f>
        <v/>
      </c>
      <c r="M905" s="39"/>
    </row>
    <row r="906">
      <c r="A906" s="2" t="str">
        <f>IF(B906="","",SUMIF(Productos!E:E,B906,Productos!A:A))</f>
        <v/>
      </c>
      <c r="B906" s="40"/>
      <c r="C906" s="26" t="str">
        <f>IF(B906="","",SUMIF(Prearmados!E:E,B906,Prearmados!G:G))</f>
        <v/>
      </c>
      <c r="D906" s="19"/>
      <c r="E906" s="26" t="str">
        <f>IF(A906="","",IF(SUMIFS(Estructuras!E:E,Estructuras!B:B,A$2,Estructuras!C:C,A906)&gt;0,SUMIFS(Estructuras!E:E,Estructuras!B:B,A$2,Estructuras!C:C,A906),C906*D906))</f>
        <v/>
      </c>
      <c r="F906" s="36"/>
      <c r="G906" s="36"/>
      <c r="H906" s="36"/>
      <c r="I906" s="36" t="str">
        <f t="shared" si="2"/>
        <v/>
      </c>
      <c r="J906" s="37" t="str">
        <f t="shared" si="3"/>
        <v/>
      </c>
      <c r="K906" s="38" t="str">
        <f>IF(L906="","",SUMIF(Productos!E:E,L906,Productos!A:A))</f>
        <v/>
      </c>
      <c r="M906" s="39"/>
    </row>
    <row r="907">
      <c r="A907" s="2" t="str">
        <f>IF(B907="","",SUMIF(Productos!E:E,B907,Productos!A:A))</f>
        <v/>
      </c>
      <c r="B907" s="40"/>
      <c r="C907" s="26" t="str">
        <f>IF(B907="","",SUMIF(Prearmados!E:E,B907,Prearmados!G:G))</f>
        <v/>
      </c>
      <c r="D907" s="19"/>
      <c r="E907" s="26" t="str">
        <f>IF(A907="","",IF(SUMIFS(Estructuras!E:E,Estructuras!B:B,A$2,Estructuras!C:C,A907)&gt;0,SUMIFS(Estructuras!E:E,Estructuras!B:B,A$2,Estructuras!C:C,A907),C907*D907))</f>
        <v/>
      </c>
      <c r="F907" s="36"/>
      <c r="G907" s="36"/>
      <c r="H907" s="36"/>
      <c r="I907" s="36" t="str">
        <f t="shared" si="2"/>
        <v/>
      </c>
      <c r="J907" s="37" t="str">
        <f t="shared" si="3"/>
        <v/>
      </c>
      <c r="K907" s="38" t="str">
        <f>IF(L907="","",SUMIF(Productos!E:E,L907,Productos!A:A))</f>
        <v/>
      </c>
      <c r="M907" s="39"/>
    </row>
    <row r="908">
      <c r="A908" s="2" t="str">
        <f>IF(B908="","",SUMIF(Productos!E:E,B908,Productos!A:A))</f>
        <v/>
      </c>
      <c r="B908" s="40"/>
      <c r="C908" s="26" t="str">
        <f>IF(B908="","",SUMIF(Prearmados!E:E,B908,Prearmados!G:G))</f>
        <v/>
      </c>
      <c r="D908" s="19"/>
      <c r="E908" s="26" t="str">
        <f>IF(A908="","",IF(SUMIFS(Estructuras!E:E,Estructuras!B:B,A$2,Estructuras!C:C,A908)&gt;0,SUMIFS(Estructuras!E:E,Estructuras!B:B,A$2,Estructuras!C:C,A908),C908*D908))</f>
        <v/>
      </c>
      <c r="F908" s="36"/>
      <c r="G908" s="36"/>
      <c r="H908" s="36"/>
      <c r="I908" s="36" t="str">
        <f t="shared" si="2"/>
        <v/>
      </c>
      <c r="J908" s="37" t="str">
        <f t="shared" si="3"/>
        <v/>
      </c>
      <c r="K908" s="38" t="str">
        <f>IF(L908="","",SUMIF(Productos!E:E,L908,Productos!A:A))</f>
        <v/>
      </c>
      <c r="M908" s="39"/>
    </row>
    <row r="909">
      <c r="A909" s="2" t="str">
        <f>IF(B909="","",SUMIF(Productos!E:E,B909,Productos!A:A))</f>
        <v/>
      </c>
      <c r="B909" s="40"/>
      <c r="C909" s="26" t="str">
        <f>IF(B909="","",SUMIF(Prearmados!E:E,B909,Prearmados!G:G))</f>
        <v/>
      </c>
      <c r="D909" s="19"/>
      <c r="E909" s="26" t="str">
        <f>IF(A909="","",IF(SUMIFS(Estructuras!E:E,Estructuras!B:B,A$2,Estructuras!C:C,A909)&gt;0,SUMIFS(Estructuras!E:E,Estructuras!B:B,A$2,Estructuras!C:C,A909),C909*D909))</f>
        <v/>
      </c>
      <c r="F909" s="36"/>
      <c r="G909" s="36"/>
      <c r="H909" s="36"/>
      <c r="I909" s="36" t="str">
        <f t="shared" si="2"/>
        <v/>
      </c>
      <c r="J909" s="37" t="str">
        <f t="shared" si="3"/>
        <v/>
      </c>
      <c r="K909" s="38" t="str">
        <f>IF(L909="","",SUMIF(Productos!E:E,L909,Productos!A:A))</f>
        <v/>
      </c>
      <c r="M909" s="39"/>
    </row>
    <row r="910">
      <c r="A910" s="2" t="str">
        <f>IF(B910="","",SUMIF(Productos!E:E,B910,Productos!A:A))</f>
        <v/>
      </c>
      <c r="B910" s="40"/>
      <c r="C910" s="26" t="str">
        <f>IF(B910="","",SUMIF(Prearmados!E:E,B910,Prearmados!G:G))</f>
        <v/>
      </c>
      <c r="D910" s="19"/>
      <c r="E910" s="26" t="str">
        <f>IF(A910="","",IF(SUMIFS(Estructuras!E:E,Estructuras!B:B,A$2,Estructuras!C:C,A910)&gt;0,SUMIFS(Estructuras!E:E,Estructuras!B:B,A$2,Estructuras!C:C,A910),C910*D910))</f>
        <v/>
      </c>
      <c r="F910" s="36"/>
      <c r="G910" s="36"/>
      <c r="H910" s="36"/>
      <c r="I910" s="36" t="str">
        <f t="shared" si="2"/>
        <v/>
      </c>
      <c r="J910" s="37" t="str">
        <f t="shared" si="3"/>
        <v/>
      </c>
      <c r="K910" s="38" t="str">
        <f>IF(L910="","",SUMIF(Productos!E:E,L910,Productos!A:A))</f>
        <v/>
      </c>
      <c r="M910" s="39"/>
    </row>
    <row r="911">
      <c r="A911" s="2" t="str">
        <f>IF(B911="","",SUMIF(Productos!E:E,B911,Productos!A:A))</f>
        <v/>
      </c>
      <c r="B911" s="40"/>
      <c r="C911" s="26" t="str">
        <f>IF(B911="","",SUMIF(Prearmados!E:E,B911,Prearmados!G:G))</f>
        <v/>
      </c>
      <c r="D911" s="19"/>
      <c r="E911" s="26" t="str">
        <f>IF(A911="","",IF(SUMIFS(Estructuras!E:E,Estructuras!B:B,A$2,Estructuras!C:C,A911)&gt;0,SUMIFS(Estructuras!E:E,Estructuras!B:B,A$2,Estructuras!C:C,A911),C911*D911))</f>
        <v/>
      </c>
      <c r="F911" s="36"/>
      <c r="G911" s="36"/>
      <c r="H911" s="36"/>
      <c r="I911" s="36" t="str">
        <f t="shared" si="2"/>
        <v/>
      </c>
      <c r="J911" s="37" t="str">
        <f t="shared" si="3"/>
        <v/>
      </c>
      <c r="K911" s="38" t="str">
        <f>IF(L911="","",SUMIF(Productos!E:E,L911,Productos!A:A))</f>
        <v/>
      </c>
      <c r="M911" s="39"/>
    </row>
    <row r="912">
      <c r="A912" s="2" t="str">
        <f>IF(B912="","",SUMIF(Productos!E:E,B912,Productos!A:A))</f>
        <v/>
      </c>
      <c r="B912" s="40"/>
      <c r="C912" s="26" t="str">
        <f>IF(B912="","",SUMIF(Prearmados!E:E,B912,Prearmados!G:G))</f>
        <v/>
      </c>
      <c r="D912" s="19"/>
      <c r="E912" s="26" t="str">
        <f>IF(A912="","",IF(SUMIFS(Estructuras!E:E,Estructuras!B:B,A$2,Estructuras!C:C,A912)&gt;0,SUMIFS(Estructuras!E:E,Estructuras!B:B,A$2,Estructuras!C:C,A912),C912*D912))</f>
        <v/>
      </c>
      <c r="F912" s="36"/>
      <c r="G912" s="36"/>
      <c r="H912" s="36"/>
      <c r="I912" s="36" t="str">
        <f t="shared" si="2"/>
        <v/>
      </c>
      <c r="J912" s="37" t="str">
        <f t="shared" si="3"/>
        <v/>
      </c>
      <c r="K912" s="38" t="str">
        <f>IF(L912="","",SUMIF(Productos!E:E,L912,Productos!A:A))</f>
        <v/>
      </c>
      <c r="M912" s="39"/>
    </row>
    <row r="913">
      <c r="A913" s="2" t="str">
        <f>IF(B913="","",SUMIF(Productos!E:E,B913,Productos!A:A))</f>
        <v/>
      </c>
      <c r="B913" s="40"/>
      <c r="C913" s="26" t="str">
        <f>IF(B913="","",SUMIF(Prearmados!E:E,B913,Prearmados!G:G))</f>
        <v/>
      </c>
      <c r="D913" s="19"/>
      <c r="E913" s="26" t="str">
        <f>IF(A913="","",IF(SUMIFS(Estructuras!E:E,Estructuras!B:B,A$2,Estructuras!C:C,A913)&gt;0,SUMIFS(Estructuras!E:E,Estructuras!B:B,A$2,Estructuras!C:C,A913),C913*D913))</f>
        <v/>
      </c>
      <c r="F913" s="36"/>
      <c r="G913" s="36"/>
      <c r="H913" s="36"/>
      <c r="I913" s="36" t="str">
        <f t="shared" si="2"/>
        <v/>
      </c>
      <c r="J913" s="37" t="str">
        <f t="shared" si="3"/>
        <v/>
      </c>
      <c r="K913" s="38" t="str">
        <f>IF(L913="","",SUMIF(Productos!E:E,L913,Productos!A:A))</f>
        <v/>
      </c>
      <c r="M913" s="39"/>
    </row>
    <row r="914">
      <c r="A914" s="2" t="str">
        <f>IF(B914="","",SUMIF(Productos!E:E,B914,Productos!A:A))</f>
        <v/>
      </c>
      <c r="B914" s="40"/>
      <c r="C914" s="26" t="str">
        <f>IF(B914="","",SUMIF(Prearmados!E:E,B914,Prearmados!G:G))</f>
        <v/>
      </c>
      <c r="D914" s="19"/>
      <c r="E914" s="26" t="str">
        <f>IF(A914="","",IF(SUMIFS(Estructuras!E:E,Estructuras!B:B,A$2,Estructuras!C:C,A914)&gt;0,SUMIFS(Estructuras!E:E,Estructuras!B:B,A$2,Estructuras!C:C,A914),C914*D914))</f>
        <v/>
      </c>
      <c r="F914" s="36"/>
      <c r="G914" s="36"/>
      <c r="H914" s="36"/>
      <c r="I914" s="36" t="str">
        <f t="shared" si="2"/>
        <v/>
      </c>
      <c r="J914" s="37" t="str">
        <f t="shared" si="3"/>
        <v/>
      </c>
      <c r="K914" s="38" t="str">
        <f>IF(L914="","",SUMIF(Productos!E:E,L914,Productos!A:A))</f>
        <v/>
      </c>
      <c r="M914" s="39"/>
    </row>
    <row r="915">
      <c r="A915" s="2" t="str">
        <f>IF(B915="","",SUMIF(Productos!E:E,B915,Productos!A:A))</f>
        <v/>
      </c>
      <c r="B915" s="40"/>
      <c r="C915" s="26" t="str">
        <f>IF(B915="","",SUMIF(Prearmados!E:E,B915,Prearmados!G:G))</f>
        <v/>
      </c>
      <c r="D915" s="19"/>
      <c r="E915" s="26" t="str">
        <f>IF(A915="","",IF(SUMIFS(Estructuras!E:E,Estructuras!B:B,A$2,Estructuras!C:C,A915)&gt;0,SUMIFS(Estructuras!E:E,Estructuras!B:B,A$2,Estructuras!C:C,A915),C915*D915))</f>
        <v/>
      </c>
      <c r="F915" s="36"/>
      <c r="G915" s="36"/>
      <c r="H915" s="36"/>
      <c r="I915" s="36" t="str">
        <f t="shared" si="2"/>
        <v/>
      </c>
      <c r="J915" s="37" t="str">
        <f t="shared" si="3"/>
        <v/>
      </c>
      <c r="K915" s="38" t="str">
        <f>IF(L915="","",SUMIF(Productos!E:E,L915,Productos!A:A))</f>
        <v/>
      </c>
      <c r="M915" s="39"/>
    </row>
    <row r="916">
      <c r="A916" s="2" t="str">
        <f>IF(B916="","",SUMIF(Productos!E:E,B916,Productos!A:A))</f>
        <v/>
      </c>
      <c r="B916" s="40"/>
      <c r="C916" s="26" t="str">
        <f>IF(B916="","",SUMIF(Prearmados!E:E,B916,Prearmados!G:G))</f>
        <v/>
      </c>
      <c r="D916" s="19"/>
      <c r="E916" s="26" t="str">
        <f>IF(A916="","",IF(SUMIFS(Estructuras!E:E,Estructuras!B:B,A$2,Estructuras!C:C,A916)&gt;0,SUMIFS(Estructuras!E:E,Estructuras!B:B,A$2,Estructuras!C:C,A916),C916*D916))</f>
        <v/>
      </c>
      <c r="F916" s="36"/>
      <c r="G916" s="36"/>
      <c r="H916" s="36"/>
      <c r="I916" s="36" t="str">
        <f t="shared" si="2"/>
        <v/>
      </c>
      <c r="J916" s="37" t="str">
        <f t="shared" si="3"/>
        <v/>
      </c>
      <c r="K916" s="38" t="str">
        <f>IF(L916="","",SUMIF(Productos!E:E,L916,Productos!A:A))</f>
        <v/>
      </c>
      <c r="M916" s="39"/>
    </row>
    <row r="917">
      <c r="A917" s="2" t="str">
        <f>IF(B917="","",SUMIF(Productos!E:E,B917,Productos!A:A))</f>
        <v/>
      </c>
      <c r="B917" s="40"/>
      <c r="C917" s="26" t="str">
        <f>IF(B917="","",SUMIF(Prearmados!E:E,B917,Prearmados!G:G))</f>
        <v/>
      </c>
      <c r="D917" s="19"/>
      <c r="E917" s="26" t="str">
        <f>IF(A917="","",IF(SUMIFS(Estructuras!E:E,Estructuras!B:B,A$2,Estructuras!C:C,A917)&gt;0,SUMIFS(Estructuras!E:E,Estructuras!B:B,A$2,Estructuras!C:C,A917),C917*D917))</f>
        <v/>
      </c>
      <c r="F917" s="36"/>
      <c r="G917" s="36"/>
      <c r="H917" s="36"/>
      <c r="I917" s="36" t="str">
        <f t="shared" si="2"/>
        <v/>
      </c>
      <c r="J917" s="37" t="str">
        <f t="shared" si="3"/>
        <v/>
      </c>
      <c r="K917" s="38" t="str">
        <f>IF(L917="","",SUMIF(Productos!E:E,L917,Productos!A:A))</f>
        <v/>
      </c>
      <c r="M917" s="39"/>
    </row>
    <row r="918">
      <c r="A918" s="2" t="str">
        <f>IF(B918="","",SUMIF(Productos!E:E,B918,Productos!A:A))</f>
        <v/>
      </c>
      <c r="B918" s="40"/>
      <c r="C918" s="26" t="str">
        <f>IF(B918="","",SUMIF(Prearmados!E:E,B918,Prearmados!G:G))</f>
        <v/>
      </c>
      <c r="D918" s="19"/>
      <c r="E918" s="26" t="str">
        <f>IF(A918="","",IF(SUMIFS(Estructuras!E:E,Estructuras!B:B,A$2,Estructuras!C:C,A918)&gt;0,SUMIFS(Estructuras!E:E,Estructuras!B:B,A$2,Estructuras!C:C,A918),C918*D918))</f>
        <v/>
      </c>
      <c r="F918" s="36"/>
      <c r="G918" s="36"/>
      <c r="H918" s="36"/>
      <c r="I918" s="36" t="str">
        <f t="shared" si="2"/>
        <v/>
      </c>
      <c r="J918" s="37" t="str">
        <f t="shared" si="3"/>
        <v/>
      </c>
      <c r="K918" s="38" t="str">
        <f>IF(L918="","",SUMIF(Productos!E:E,L918,Productos!A:A))</f>
        <v/>
      </c>
      <c r="M918" s="39"/>
    </row>
    <row r="919">
      <c r="A919" s="2" t="str">
        <f>IF(B919="","",SUMIF(Productos!E:E,B919,Productos!A:A))</f>
        <v/>
      </c>
      <c r="B919" s="40"/>
      <c r="C919" s="26" t="str">
        <f>IF(B919="","",SUMIF(Prearmados!E:E,B919,Prearmados!G:G))</f>
        <v/>
      </c>
      <c r="D919" s="19"/>
      <c r="E919" s="26" t="str">
        <f>IF(A919="","",IF(SUMIFS(Estructuras!E:E,Estructuras!B:B,A$2,Estructuras!C:C,A919)&gt;0,SUMIFS(Estructuras!E:E,Estructuras!B:B,A$2,Estructuras!C:C,A919),C919*D919))</f>
        <v/>
      </c>
      <c r="F919" s="36"/>
      <c r="G919" s="36"/>
      <c r="H919" s="36"/>
      <c r="I919" s="36" t="str">
        <f t="shared" si="2"/>
        <v/>
      </c>
      <c r="J919" s="37" t="str">
        <f t="shared" si="3"/>
        <v/>
      </c>
      <c r="K919" s="38" t="str">
        <f>IF(L919="","",SUMIF(Productos!E:E,L919,Productos!A:A))</f>
        <v/>
      </c>
      <c r="M919" s="39"/>
    </row>
    <row r="920">
      <c r="A920" s="2" t="str">
        <f>IF(B920="","",SUMIF(Productos!E:E,B920,Productos!A:A))</f>
        <v/>
      </c>
      <c r="B920" s="40"/>
      <c r="C920" s="26" t="str">
        <f>IF(B920="","",SUMIF(Prearmados!E:E,B920,Prearmados!G:G))</f>
        <v/>
      </c>
      <c r="D920" s="19"/>
      <c r="E920" s="26" t="str">
        <f>IF(A920="","",IF(SUMIFS(Estructuras!E:E,Estructuras!B:B,A$2,Estructuras!C:C,A920)&gt;0,SUMIFS(Estructuras!E:E,Estructuras!B:B,A$2,Estructuras!C:C,A920),C920*D920))</f>
        <v/>
      </c>
      <c r="F920" s="36"/>
      <c r="G920" s="36"/>
      <c r="H920" s="36"/>
      <c r="I920" s="36" t="str">
        <f t="shared" si="2"/>
        <v/>
      </c>
      <c r="J920" s="37" t="str">
        <f t="shared" si="3"/>
        <v/>
      </c>
      <c r="K920" s="38" t="str">
        <f>IF(L920="","",SUMIF(Productos!E:E,L920,Productos!A:A))</f>
        <v/>
      </c>
      <c r="M920" s="39"/>
    </row>
    <row r="921">
      <c r="A921" s="2" t="str">
        <f>IF(B921="","",SUMIF(Productos!E:E,B921,Productos!A:A))</f>
        <v/>
      </c>
      <c r="B921" s="40"/>
      <c r="C921" s="26" t="str">
        <f>IF(B921="","",SUMIF(Prearmados!E:E,B921,Prearmados!G:G))</f>
        <v/>
      </c>
      <c r="D921" s="19"/>
      <c r="E921" s="26" t="str">
        <f>IF(A921="","",IF(SUMIFS(Estructuras!E:E,Estructuras!B:B,A$2,Estructuras!C:C,A921)&gt;0,SUMIFS(Estructuras!E:E,Estructuras!B:B,A$2,Estructuras!C:C,A921),C921*D921))</f>
        <v/>
      </c>
      <c r="F921" s="36"/>
      <c r="G921" s="36"/>
      <c r="H921" s="36"/>
      <c r="I921" s="36" t="str">
        <f t="shared" si="2"/>
        <v/>
      </c>
      <c r="J921" s="37" t="str">
        <f t="shared" si="3"/>
        <v/>
      </c>
      <c r="K921" s="38" t="str">
        <f>IF(L921="","",SUMIF(Productos!E:E,L921,Productos!A:A))</f>
        <v/>
      </c>
      <c r="M921" s="39"/>
    </row>
    <row r="922">
      <c r="A922" s="2" t="str">
        <f>IF(B922="","",SUMIF(Productos!E:E,B922,Productos!A:A))</f>
        <v/>
      </c>
      <c r="B922" s="40"/>
      <c r="C922" s="26" t="str">
        <f>IF(B922="","",SUMIF(Prearmados!E:E,B922,Prearmados!G:G))</f>
        <v/>
      </c>
      <c r="D922" s="19"/>
      <c r="E922" s="26" t="str">
        <f>IF(A922="","",IF(SUMIFS(Estructuras!E:E,Estructuras!B:B,A$2,Estructuras!C:C,A922)&gt;0,SUMIFS(Estructuras!E:E,Estructuras!B:B,A$2,Estructuras!C:C,A922),C922*D922))</f>
        <v/>
      </c>
      <c r="F922" s="36"/>
      <c r="G922" s="36"/>
      <c r="H922" s="36"/>
      <c r="I922" s="36" t="str">
        <f t="shared" si="2"/>
        <v/>
      </c>
      <c r="J922" s="37" t="str">
        <f t="shared" si="3"/>
        <v/>
      </c>
      <c r="K922" s="38" t="str">
        <f>IF(L922="","",SUMIF(Productos!E:E,L922,Productos!A:A))</f>
        <v/>
      </c>
      <c r="M922" s="39"/>
    </row>
    <row r="923">
      <c r="A923" s="2" t="str">
        <f>IF(B923="","",SUMIF(Productos!E:E,B923,Productos!A:A))</f>
        <v/>
      </c>
      <c r="B923" s="40"/>
      <c r="C923" s="26" t="str">
        <f>IF(B923="","",SUMIF(Prearmados!E:E,B923,Prearmados!G:G))</f>
        <v/>
      </c>
      <c r="D923" s="19"/>
      <c r="E923" s="26" t="str">
        <f>IF(A923="","",IF(SUMIFS(Estructuras!E:E,Estructuras!B:B,A$2,Estructuras!C:C,A923)&gt;0,SUMIFS(Estructuras!E:E,Estructuras!B:B,A$2,Estructuras!C:C,A923),C923*D923))</f>
        <v/>
      </c>
      <c r="F923" s="36"/>
      <c r="G923" s="36"/>
      <c r="H923" s="36"/>
      <c r="I923" s="36" t="str">
        <f t="shared" si="2"/>
        <v/>
      </c>
      <c r="J923" s="37" t="str">
        <f t="shared" si="3"/>
        <v/>
      </c>
      <c r="K923" s="38" t="str">
        <f>IF(L923="","",SUMIF(Productos!E:E,L923,Productos!A:A))</f>
        <v/>
      </c>
      <c r="M923" s="39"/>
    </row>
    <row r="924">
      <c r="A924" s="2" t="str">
        <f>IF(B924="","",SUMIF(Productos!E:E,B924,Productos!A:A))</f>
        <v/>
      </c>
      <c r="B924" s="40"/>
      <c r="C924" s="26" t="str">
        <f>IF(B924="","",SUMIF(Prearmados!E:E,B924,Prearmados!G:G))</f>
        <v/>
      </c>
      <c r="D924" s="19"/>
      <c r="E924" s="26" t="str">
        <f>IF(A924="","",IF(SUMIFS(Estructuras!E:E,Estructuras!B:B,A$2,Estructuras!C:C,A924)&gt;0,SUMIFS(Estructuras!E:E,Estructuras!B:B,A$2,Estructuras!C:C,A924),C924*D924))</f>
        <v/>
      </c>
      <c r="F924" s="36"/>
      <c r="G924" s="36"/>
      <c r="H924" s="36"/>
      <c r="I924" s="36" t="str">
        <f t="shared" si="2"/>
        <v/>
      </c>
      <c r="J924" s="37" t="str">
        <f t="shared" si="3"/>
        <v/>
      </c>
      <c r="K924" s="38" t="str">
        <f>IF(L924="","",SUMIF(Productos!E:E,L924,Productos!A:A))</f>
        <v/>
      </c>
      <c r="M924" s="39"/>
    </row>
    <row r="925">
      <c r="A925" s="2" t="str">
        <f>IF(B925="","",SUMIF(Productos!E:E,B925,Productos!A:A))</f>
        <v/>
      </c>
      <c r="B925" s="40"/>
      <c r="C925" s="26" t="str">
        <f>IF(B925="","",SUMIF(Prearmados!E:E,B925,Prearmados!G:G))</f>
        <v/>
      </c>
      <c r="D925" s="19"/>
      <c r="E925" s="26" t="str">
        <f>IF(A925="","",IF(SUMIFS(Estructuras!E:E,Estructuras!B:B,A$2,Estructuras!C:C,A925)&gt;0,SUMIFS(Estructuras!E:E,Estructuras!B:B,A$2,Estructuras!C:C,A925),C925*D925))</f>
        <v/>
      </c>
      <c r="F925" s="36"/>
      <c r="G925" s="36"/>
      <c r="H925" s="36"/>
      <c r="I925" s="36" t="str">
        <f t="shared" si="2"/>
        <v/>
      </c>
      <c r="J925" s="37" t="str">
        <f t="shared" si="3"/>
        <v/>
      </c>
      <c r="K925" s="38" t="str">
        <f>IF(L925="","",SUMIF(Productos!E:E,L925,Productos!A:A))</f>
        <v/>
      </c>
      <c r="M925" s="39"/>
    </row>
    <row r="926">
      <c r="A926" s="2" t="str">
        <f>IF(B926="","",SUMIF(Productos!E:E,B926,Productos!A:A))</f>
        <v/>
      </c>
      <c r="B926" s="40"/>
      <c r="C926" s="26" t="str">
        <f>IF(B926="","",SUMIF(Prearmados!E:E,B926,Prearmados!G:G))</f>
        <v/>
      </c>
      <c r="D926" s="19"/>
      <c r="E926" s="26" t="str">
        <f>IF(A926="","",IF(SUMIFS(Estructuras!E:E,Estructuras!B:B,A$2,Estructuras!C:C,A926)&gt;0,SUMIFS(Estructuras!E:E,Estructuras!B:B,A$2,Estructuras!C:C,A926),C926*D926))</f>
        <v/>
      </c>
      <c r="F926" s="36"/>
      <c r="G926" s="36"/>
      <c r="H926" s="36"/>
      <c r="I926" s="36" t="str">
        <f t="shared" si="2"/>
        <v/>
      </c>
      <c r="J926" s="37" t="str">
        <f t="shared" si="3"/>
        <v/>
      </c>
      <c r="K926" s="38" t="str">
        <f>IF(L926="","",SUMIF(Productos!E:E,L926,Productos!A:A))</f>
        <v/>
      </c>
      <c r="M926" s="39"/>
    </row>
    <row r="927">
      <c r="A927" s="2" t="str">
        <f>IF(B927="","",SUMIF(Productos!E:E,B927,Productos!A:A))</f>
        <v/>
      </c>
      <c r="B927" s="40"/>
      <c r="C927" s="26" t="str">
        <f>IF(B927="","",SUMIF(Prearmados!E:E,B927,Prearmados!G:G))</f>
        <v/>
      </c>
      <c r="D927" s="19"/>
      <c r="E927" s="26" t="str">
        <f>IF(A927="","",IF(SUMIFS(Estructuras!E:E,Estructuras!B:B,A$2,Estructuras!C:C,A927)&gt;0,SUMIFS(Estructuras!E:E,Estructuras!B:B,A$2,Estructuras!C:C,A927),C927*D927))</f>
        <v/>
      </c>
      <c r="F927" s="36"/>
      <c r="G927" s="36"/>
      <c r="H927" s="36"/>
      <c r="I927" s="36" t="str">
        <f t="shared" si="2"/>
        <v/>
      </c>
      <c r="J927" s="37" t="str">
        <f t="shared" si="3"/>
        <v/>
      </c>
      <c r="K927" s="38" t="str">
        <f>IF(L927="","",SUMIF(Productos!E:E,L927,Productos!A:A))</f>
        <v/>
      </c>
      <c r="M927" s="39"/>
    </row>
    <row r="928">
      <c r="A928" s="2" t="str">
        <f>IF(B928="","",SUMIF(Productos!E:E,B928,Productos!A:A))</f>
        <v/>
      </c>
      <c r="B928" s="40"/>
      <c r="C928" s="26" t="str">
        <f>IF(B928="","",SUMIF(Prearmados!E:E,B928,Prearmados!G:G))</f>
        <v/>
      </c>
      <c r="D928" s="19"/>
      <c r="E928" s="26" t="str">
        <f>IF(A928="","",IF(SUMIFS(Estructuras!E:E,Estructuras!B:B,A$2,Estructuras!C:C,A928)&gt;0,SUMIFS(Estructuras!E:E,Estructuras!B:B,A$2,Estructuras!C:C,A928),C928*D928))</f>
        <v/>
      </c>
      <c r="F928" s="36"/>
      <c r="G928" s="36"/>
      <c r="H928" s="36"/>
      <c r="I928" s="36" t="str">
        <f t="shared" si="2"/>
        <v/>
      </c>
      <c r="J928" s="37" t="str">
        <f t="shared" si="3"/>
        <v/>
      </c>
      <c r="K928" s="38" t="str">
        <f>IF(L928="","",SUMIF(Productos!E:E,L928,Productos!A:A))</f>
        <v/>
      </c>
      <c r="M928" s="39"/>
    </row>
    <row r="929">
      <c r="A929" s="2" t="str">
        <f>IF(B929="","",SUMIF(Productos!E:E,B929,Productos!A:A))</f>
        <v/>
      </c>
      <c r="B929" s="40"/>
      <c r="C929" s="26" t="str">
        <f>IF(B929="","",SUMIF(Prearmados!E:E,B929,Prearmados!G:G))</f>
        <v/>
      </c>
      <c r="D929" s="19"/>
      <c r="E929" s="26" t="str">
        <f>IF(A929="","",IF(SUMIFS(Estructuras!E:E,Estructuras!B:B,A$2,Estructuras!C:C,A929)&gt;0,SUMIFS(Estructuras!E:E,Estructuras!B:B,A$2,Estructuras!C:C,A929),C929*D929))</f>
        <v/>
      </c>
      <c r="F929" s="36"/>
      <c r="G929" s="36"/>
      <c r="H929" s="36"/>
      <c r="I929" s="36" t="str">
        <f t="shared" si="2"/>
        <v/>
      </c>
      <c r="J929" s="37" t="str">
        <f t="shared" si="3"/>
        <v/>
      </c>
      <c r="K929" s="38" t="str">
        <f>IF(L929="","",SUMIF(Productos!E:E,L929,Productos!A:A))</f>
        <v/>
      </c>
      <c r="M929" s="39"/>
    </row>
    <row r="930">
      <c r="A930" s="2" t="str">
        <f>IF(B930="","",SUMIF(Productos!E:E,B930,Productos!A:A))</f>
        <v/>
      </c>
      <c r="B930" s="40"/>
      <c r="C930" s="26" t="str">
        <f>IF(B930="","",SUMIF(Prearmados!E:E,B930,Prearmados!G:G))</f>
        <v/>
      </c>
      <c r="D930" s="19"/>
      <c r="E930" s="26" t="str">
        <f>IF(A930="","",IF(SUMIFS(Estructuras!E:E,Estructuras!B:B,A$2,Estructuras!C:C,A930)&gt;0,SUMIFS(Estructuras!E:E,Estructuras!B:B,A$2,Estructuras!C:C,A930),C930*D930))</f>
        <v/>
      </c>
      <c r="F930" s="36"/>
      <c r="G930" s="36"/>
      <c r="H930" s="36"/>
      <c r="I930" s="36" t="str">
        <f t="shared" si="2"/>
        <v/>
      </c>
      <c r="J930" s="37" t="str">
        <f t="shared" si="3"/>
        <v/>
      </c>
      <c r="K930" s="38" t="str">
        <f>IF(L930="","",SUMIF(Productos!E:E,L930,Productos!A:A))</f>
        <v/>
      </c>
      <c r="M930" s="39"/>
    </row>
    <row r="931">
      <c r="A931" s="2" t="str">
        <f>IF(B931="","",SUMIF(Productos!E:E,B931,Productos!A:A))</f>
        <v/>
      </c>
      <c r="B931" s="40"/>
      <c r="C931" s="26" t="str">
        <f>IF(B931="","",SUMIF(Prearmados!E:E,B931,Prearmados!G:G))</f>
        <v/>
      </c>
      <c r="D931" s="19"/>
      <c r="E931" s="26" t="str">
        <f>IF(A931="","",IF(SUMIFS(Estructuras!E:E,Estructuras!B:B,A$2,Estructuras!C:C,A931)&gt;0,SUMIFS(Estructuras!E:E,Estructuras!B:B,A$2,Estructuras!C:C,A931),C931*D931))</f>
        <v/>
      </c>
      <c r="F931" s="36"/>
      <c r="G931" s="36"/>
      <c r="H931" s="36"/>
      <c r="I931" s="36" t="str">
        <f t="shared" si="2"/>
        <v/>
      </c>
      <c r="J931" s="37" t="str">
        <f t="shared" si="3"/>
        <v/>
      </c>
      <c r="K931" s="38" t="str">
        <f>IF(L931="","",SUMIF(Productos!E:E,L931,Productos!A:A))</f>
        <v/>
      </c>
      <c r="M931" s="39"/>
    </row>
    <row r="932">
      <c r="A932" s="2" t="str">
        <f>IF(B932="","",SUMIF(Productos!E:E,B932,Productos!A:A))</f>
        <v/>
      </c>
      <c r="B932" s="40"/>
      <c r="C932" s="26" t="str">
        <f>IF(B932="","",SUMIF(Prearmados!E:E,B932,Prearmados!G:G))</f>
        <v/>
      </c>
      <c r="D932" s="19"/>
      <c r="E932" s="26" t="str">
        <f>IF(A932="","",IF(SUMIFS(Estructuras!E:E,Estructuras!B:B,A$2,Estructuras!C:C,A932)&gt;0,SUMIFS(Estructuras!E:E,Estructuras!B:B,A$2,Estructuras!C:C,A932),C932*D932))</f>
        <v/>
      </c>
      <c r="F932" s="36"/>
      <c r="G932" s="36"/>
      <c r="H932" s="36"/>
      <c r="I932" s="36" t="str">
        <f t="shared" si="2"/>
        <v/>
      </c>
      <c r="J932" s="37" t="str">
        <f t="shared" si="3"/>
        <v/>
      </c>
      <c r="K932" s="38" t="str">
        <f>IF(L932="","",SUMIF(Productos!E:E,L932,Productos!A:A))</f>
        <v/>
      </c>
      <c r="M932" s="39"/>
    </row>
    <row r="933">
      <c r="A933" s="2" t="str">
        <f>IF(B933="","",SUMIF(Productos!E:E,B933,Productos!A:A))</f>
        <v/>
      </c>
      <c r="B933" s="40"/>
      <c r="C933" s="26" t="str">
        <f>IF(B933="","",SUMIF(Prearmados!E:E,B933,Prearmados!G:G))</f>
        <v/>
      </c>
      <c r="D933" s="19"/>
      <c r="E933" s="26" t="str">
        <f>IF(A933="","",IF(SUMIFS(Estructuras!E:E,Estructuras!B:B,A$2,Estructuras!C:C,A933)&gt;0,SUMIFS(Estructuras!E:E,Estructuras!B:B,A$2,Estructuras!C:C,A933),C933*D933))</f>
        <v/>
      </c>
      <c r="F933" s="36"/>
      <c r="G933" s="36"/>
      <c r="H933" s="36"/>
      <c r="I933" s="36" t="str">
        <f t="shared" si="2"/>
        <v/>
      </c>
      <c r="J933" s="37" t="str">
        <f t="shared" si="3"/>
        <v/>
      </c>
      <c r="K933" s="38" t="str">
        <f>IF(L933="","",SUMIF(Productos!E:E,L933,Productos!A:A))</f>
        <v/>
      </c>
      <c r="M933" s="39"/>
    </row>
    <row r="934">
      <c r="A934" s="2" t="str">
        <f>IF(B934="","",SUMIF(Productos!E:E,B934,Productos!A:A))</f>
        <v/>
      </c>
      <c r="B934" s="40"/>
      <c r="C934" s="26" t="str">
        <f>IF(B934="","",SUMIF(Prearmados!E:E,B934,Prearmados!G:G))</f>
        <v/>
      </c>
      <c r="D934" s="19"/>
      <c r="E934" s="26" t="str">
        <f>IF(A934="","",IF(SUMIFS(Estructuras!E:E,Estructuras!B:B,A$2,Estructuras!C:C,A934)&gt;0,SUMIFS(Estructuras!E:E,Estructuras!B:B,A$2,Estructuras!C:C,A934),C934*D934))</f>
        <v/>
      </c>
      <c r="F934" s="36"/>
      <c r="G934" s="36"/>
      <c r="H934" s="36"/>
      <c r="I934" s="36" t="str">
        <f t="shared" si="2"/>
        <v/>
      </c>
      <c r="J934" s="37" t="str">
        <f t="shared" si="3"/>
        <v/>
      </c>
      <c r="K934" s="38" t="str">
        <f>IF(L934="","",SUMIF(Productos!E:E,L934,Productos!A:A))</f>
        <v/>
      </c>
      <c r="M934" s="39"/>
    </row>
    <row r="935">
      <c r="A935" s="2" t="str">
        <f>IF(B935="","",SUMIF(Productos!E:E,B935,Productos!A:A))</f>
        <v/>
      </c>
      <c r="B935" s="40"/>
      <c r="C935" s="26" t="str">
        <f>IF(B935="","",SUMIF(Prearmados!E:E,B935,Prearmados!G:G))</f>
        <v/>
      </c>
      <c r="D935" s="19"/>
      <c r="E935" s="26" t="str">
        <f>IF(A935="","",IF(SUMIFS(Estructuras!E:E,Estructuras!B:B,A$2,Estructuras!C:C,A935)&gt;0,SUMIFS(Estructuras!E:E,Estructuras!B:B,A$2,Estructuras!C:C,A935),C935*D935))</f>
        <v/>
      </c>
      <c r="F935" s="36"/>
      <c r="G935" s="36"/>
      <c r="H935" s="36"/>
      <c r="I935" s="36" t="str">
        <f t="shared" si="2"/>
        <v/>
      </c>
      <c r="J935" s="37" t="str">
        <f t="shared" si="3"/>
        <v/>
      </c>
      <c r="K935" s="38" t="str">
        <f>IF(L935="","",SUMIF(Productos!E:E,L935,Productos!A:A))</f>
        <v/>
      </c>
      <c r="M935" s="39"/>
    </row>
    <row r="936">
      <c r="A936" s="2" t="str">
        <f>IF(B936="","",SUMIF(Productos!E:E,B936,Productos!A:A))</f>
        <v/>
      </c>
      <c r="B936" s="40"/>
      <c r="C936" s="26" t="str">
        <f>IF(B936="","",SUMIF(Prearmados!E:E,B936,Prearmados!G:G))</f>
        <v/>
      </c>
      <c r="D936" s="19"/>
      <c r="E936" s="26" t="str">
        <f>IF(A936="","",IF(SUMIFS(Estructuras!E:E,Estructuras!B:B,A$2,Estructuras!C:C,A936)&gt;0,SUMIFS(Estructuras!E:E,Estructuras!B:B,A$2,Estructuras!C:C,A936),C936*D936))</f>
        <v/>
      </c>
      <c r="F936" s="36"/>
      <c r="G936" s="36"/>
      <c r="H936" s="36"/>
      <c r="I936" s="36" t="str">
        <f t="shared" si="2"/>
        <v/>
      </c>
      <c r="J936" s="37" t="str">
        <f t="shared" si="3"/>
        <v/>
      </c>
      <c r="K936" s="38" t="str">
        <f>IF(L936="","",SUMIF(Productos!E:E,L936,Productos!A:A))</f>
        <v/>
      </c>
      <c r="M936" s="39"/>
    </row>
    <row r="937">
      <c r="A937" s="2" t="str">
        <f>IF(B937="","",SUMIF(Productos!E:E,B937,Productos!A:A))</f>
        <v/>
      </c>
      <c r="B937" s="40"/>
      <c r="C937" s="26" t="str">
        <f>IF(B937="","",SUMIF(Prearmados!E:E,B937,Prearmados!G:G))</f>
        <v/>
      </c>
      <c r="D937" s="19"/>
      <c r="E937" s="26" t="str">
        <f>IF(A937="","",IF(SUMIFS(Estructuras!E:E,Estructuras!B:B,A$2,Estructuras!C:C,A937)&gt;0,SUMIFS(Estructuras!E:E,Estructuras!B:B,A$2,Estructuras!C:C,A937),C937*D937))</f>
        <v/>
      </c>
      <c r="F937" s="36"/>
      <c r="G937" s="36"/>
      <c r="H937" s="36"/>
      <c r="I937" s="36" t="str">
        <f t="shared" si="2"/>
        <v/>
      </c>
      <c r="J937" s="37" t="str">
        <f t="shared" si="3"/>
        <v/>
      </c>
      <c r="K937" s="38" t="str">
        <f>IF(L937="","",SUMIF(Productos!E:E,L937,Productos!A:A))</f>
        <v/>
      </c>
      <c r="M937" s="39"/>
    </row>
    <row r="938">
      <c r="A938" s="2" t="str">
        <f>IF(B938="","",SUMIF(Productos!E:E,B938,Productos!A:A))</f>
        <v/>
      </c>
      <c r="B938" s="40"/>
      <c r="C938" s="26" t="str">
        <f>IF(B938="","",SUMIF(Prearmados!E:E,B938,Prearmados!G:G))</f>
        <v/>
      </c>
      <c r="D938" s="19"/>
      <c r="E938" s="26" t="str">
        <f>IF(A938="","",IF(SUMIFS(Estructuras!E:E,Estructuras!B:B,A$2,Estructuras!C:C,A938)&gt;0,SUMIFS(Estructuras!E:E,Estructuras!B:B,A$2,Estructuras!C:C,A938),C938*D938))</f>
        <v/>
      </c>
      <c r="F938" s="36"/>
      <c r="G938" s="36"/>
      <c r="H938" s="36"/>
      <c r="I938" s="36" t="str">
        <f t="shared" si="2"/>
        <v/>
      </c>
      <c r="J938" s="37" t="str">
        <f t="shared" si="3"/>
        <v/>
      </c>
      <c r="K938" s="38" t="str">
        <f>IF(L938="","",SUMIF(Productos!E:E,L938,Productos!A:A))</f>
        <v/>
      </c>
      <c r="M938" s="39"/>
    </row>
    <row r="939">
      <c r="A939" s="2" t="str">
        <f>IF(B939="","",SUMIF(Productos!E:E,B939,Productos!A:A))</f>
        <v/>
      </c>
      <c r="B939" s="40"/>
      <c r="C939" s="26" t="str">
        <f>IF(B939="","",SUMIF(Prearmados!E:E,B939,Prearmados!G:G))</f>
        <v/>
      </c>
      <c r="D939" s="19"/>
      <c r="E939" s="26" t="str">
        <f>IF(A939="","",IF(SUMIFS(Estructuras!E:E,Estructuras!B:B,A$2,Estructuras!C:C,A939)&gt;0,SUMIFS(Estructuras!E:E,Estructuras!B:B,A$2,Estructuras!C:C,A939),C939*D939))</f>
        <v/>
      </c>
      <c r="F939" s="36"/>
      <c r="G939" s="36"/>
      <c r="H939" s="36"/>
      <c r="I939" s="36" t="str">
        <f t="shared" si="2"/>
        <v/>
      </c>
      <c r="J939" s="37" t="str">
        <f t="shared" si="3"/>
        <v/>
      </c>
      <c r="K939" s="38" t="str">
        <f>IF(L939="","",SUMIF(Productos!E:E,L939,Productos!A:A))</f>
        <v/>
      </c>
      <c r="M939" s="39"/>
    </row>
    <row r="940">
      <c r="A940" s="2" t="str">
        <f>IF(B940="","",SUMIF(Productos!E:E,B940,Productos!A:A))</f>
        <v/>
      </c>
      <c r="B940" s="40"/>
      <c r="C940" s="26" t="str">
        <f>IF(B940="","",SUMIF(Prearmados!E:E,B940,Prearmados!G:G))</f>
        <v/>
      </c>
      <c r="D940" s="19"/>
      <c r="E940" s="26" t="str">
        <f>IF(A940="","",IF(SUMIFS(Estructuras!E:E,Estructuras!B:B,A$2,Estructuras!C:C,A940)&gt;0,SUMIFS(Estructuras!E:E,Estructuras!B:B,A$2,Estructuras!C:C,A940),C940*D940))</f>
        <v/>
      </c>
      <c r="F940" s="36"/>
      <c r="G940" s="36"/>
      <c r="H940" s="36"/>
      <c r="I940" s="36" t="str">
        <f t="shared" si="2"/>
        <v/>
      </c>
      <c r="J940" s="37" t="str">
        <f t="shared" si="3"/>
        <v/>
      </c>
      <c r="K940" s="38" t="str">
        <f>IF(L940="","",SUMIF(Productos!E:E,L940,Productos!A:A))</f>
        <v/>
      </c>
      <c r="M940" s="39"/>
    </row>
    <row r="941">
      <c r="A941" s="2" t="str">
        <f>IF(B941="","",SUMIF(Productos!E:E,B941,Productos!A:A))</f>
        <v/>
      </c>
      <c r="B941" s="40"/>
      <c r="C941" s="26" t="str">
        <f>IF(B941="","",SUMIF(Prearmados!E:E,B941,Prearmados!G:G))</f>
        <v/>
      </c>
      <c r="D941" s="19"/>
      <c r="E941" s="26" t="str">
        <f>IF(A941="","",IF(SUMIFS(Estructuras!E:E,Estructuras!B:B,A$2,Estructuras!C:C,A941)&gt;0,SUMIFS(Estructuras!E:E,Estructuras!B:B,A$2,Estructuras!C:C,A941),C941*D941))</f>
        <v/>
      </c>
      <c r="F941" s="36"/>
      <c r="G941" s="36"/>
      <c r="H941" s="36"/>
      <c r="I941" s="36" t="str">
        <f t="shared" si="2"/>
        <v/>
      </c>
      <c r="J941" s="37" t="str">
        <f t="shared" si="3"/>
        <v/>
      </c>
      <c r="K941" s="38" t="str">
        <f>IF(L941="","",SUMIF(Productos!E:E,L941,Productos!A:A))</f>
        <v/>
      </c>
      <c r="M941" s="39"/>
    </row>
    <row r="942">
      <c r="A942" s="2" t="str">
        <f>IF(B942="","",SUMIF(Productos!E:E,B942,Productos!A:A))</f>
        <v/>
      </c>
      <c r="B942" s="40"/>
      <c r="C942" s="26" t="str">
        <f>IF(B942="","",SUMIF(Prearmados!E:E,B942,Prearmados!G:G))</f>
        <v/>
      </c>
      <c r="D942" s="19"/>
      <c r="E942" s="26" t="str">
        <f>IF(A942="","",IF(SUMIFS(Estructuras!E:E,Estructuras!B:B,A$2,Estructuras!C:C,A942)&gt;0,SUMIFS(Estructuras!E:E,Estructuras!B:B,A$2,Estructuras!C:C,A942),C942*D942))</f>
        <v/>
      </c>
      <c r="F942" s="36"/>
      <c r="G942" s="36"/>
      <c r="H942" s="36"/>
      <c r="I942" s="36" t="str">
        <f t="shared" si="2"/>
        <v/>
      </c>
      <c r="J942" s="37" t="str">
        <f t="shared" si="3"/>
        <v/>
      </c>
      <c r="K942" s="38" t="str">
        <f>IF(L942="","",SUMIF(Productos!E:E,L942,Productos!A:A))</f>
        <v/>
      </c>
      <c r="M942" s="39"/>
    </row>
    <row r="943">
      <c r="A943" s="2" t="str">
        <f>IF(B943="","",SUMIF(Productos!E:E,B943,Productos!A:A))</f>
        <v/>
      </c>
      <c r="B943" s="40"/>
      <c r="C943" s="26" t="str">
        <f>IF(B943="","",SUMIF(Prearmados!E:E,B943,Prearmados!G:G))</f>
        <v/>
      </c>
      <c r="D943" s="19"/>
      <c r="E943" s="26" t="str">
        <f>IF(A943="","",IF(SUMIFS(Estructuras!E:E,Estructuras!B:B,A$2,Estructuras!C:C,A943)&gt;0,SUMIFS(Estructuras!E:E,Estructuras!B:B,A$2,Estructuras!C:C,A943),C943*D943))</f>
        <v/>
      </c>
      <c r="F943" s="36"/>
      <c r="G943" s="36"/>
      <c r="H943" s="36"/>
      <c r="I943" s="36" t="str">
        <f t="shared" si="2"/>
        <v/>
      </c>
      <c r="J943" s="37" t="str">
        <f t="shared" si="3"/>
        <v/>
      </c>
      <c r="K943" s="38" t="str">
        <f>IF(L943="","",SUMIF(Productos!E:E,L943,Productos!A:A))</f>
        <v/>
      </c>
      <c r="M943" s="39"/>
    </row>
    <row r="944">
      <c r="A944" s="2" t="str">
        <f>IF(B944="","",SUMIF(Productos!E:E,B944,Productos!A:A))</f>
        <v/>
      </c>
      <c r="B944" s="40"/>
      <c r="C944" s="26" t="str">
        <f>IF(B944="","",SUMIF(Prearmados!E:E,B944,Prearmados!G:G))</f>
        <v/>
      </c>
      <c r="D944" s="19"/>
      <c r="E944" s="26" t="str">
        <f>IF(A944="","",IF(SUMIFS(Estructuras!E:E,Estructuras!B:B,A$2,Estructuras!C:C,A944)&gt;0,SUMIFS(Estructuras!E:E,Estructuras!B:B,A$2,Estructuras!C:C,A944),C944*D944))</f>
        <v/>
      </c>
      <c r="F944" s="36"/>
      <c r="G944" s="36"/>
      <c r="H944" s="36"/>
      <c r="I944" s="36" t="str">
        <f t="shared" si="2"/>
        <v/>
      </c>
      <c r="J944" s="37" t="str">
        <f t="shared" si="3"/>
        <v/>
      </c>
      <c r="K944" s="38" t="str">
        <f>IF(L944="","",SUMIF(Productos!E:E,L944,Productos!A:A))</f>
        <v/>
      </c>
      <c r="M944" s="39"/>
    </row>
    <row r="945">
      <c r="A945" s="2" t="str">
        <f>IF(B945="","",SUMIF(Productos!E:E,B945,Productos!A:A))</f>
        <v/>
      </c>
      <c r="B945" s="40"/>
      <c r="C945" s="26" t="str">
        <f>IF(B945="","",SUMIF(Prearmados!E:E,B945,Prearmados!G:G))</f>
        <v/>
      </c>
      <c r="D945" s="19"/>
      <c r="E945" s="26" t="str">
        <f>IF(A945="","",IF(SUMIFS(Estructuras!E:E,Estructuras!B:B,A$2,Estructuras!C:C,A945)&gt;0,SUMIFS(Estructuras!E:E,Estructuras!B:B,A$2,Estructuras!C:C,A945),C945*D945))</f>
        <v/>
      </c>
      <c r="F945" s="36"/>
      <c r="G945" s="36"/>
      <c r="H945" s="36"/>
      <c r="I945" s="36" t="str">
        <f t="shared" si="2"/>
        <v/>
      </c>
      <c r="J945" s="37" t="str">
        <f t="shared" si="3"/>
        <v/>
      </c>
      <c r="K945" s="38" t="str">
        <f>IF(L945="","",SUMIF(Productos!E:E,L945,Productos!A:A))</f>
        <v/>
      </c>
      <c r="M945" s="39"/>
    </row>
    <row r="946">
      <c r="A946" s="2" t="str">
        <f>IF(B946="","",SUMIF(Productos!E:E,B946,Productos!A:A))</f>
        <v/>
      </c>
      <c r="B946" s="40"/>
      <c r="C946" s="26" t="str">
        <f>IF(B946="","",SUMIF(Prearmados!E:E,B946,Prearmados!G:G))</f>
        <v/>
      </c>
      <c r="D946" s="19"/>
      <c r="E946" s="26" t="str">
        <f>IF(A946="","",IF(SUMIFS(Estructuras!E:E,Estructuras!B:B,A$2,Estructuras!C:C,A946)&gt;0,SUMIFS(Estructuras!E:E,Estructuras!B:B,A$2,Estructuras!C:C,A946),C946*D946))</f>
        <v/>
      </c>
      <c r="F946" s="36"/>
      <c r="G946" s="36"/>
      <c r="H946" s="36"/>
      <c r="I946" s="36" t="str">
        <f t="shared" si="2"/>
        <v/>
      </c>
      <c r="J946" s="37" t="str">
        <f t="shared" si="3"/>
        <v/>
      </c>
      <c r="K946" s="38" t="str">
        <f>IF(L946="","",SUMIF(Productos!E:E,L946,Productos!A:A))</f>
        <v/>
      </c>
      <c r="M946" s="39"/>
    </row>
    <row r="947">
      <c r="A947" s="2" t="str">
        <f>IF(B947="","",SUMIF(Productos!E:E,B947,Productos!A:A))</f>
        <v/>
      </c>
      <c r="B947" s="40"/>
      <c r="C947" s="26" t="str">
        <f>IF(B947="","",SUMIF(Prearmados!E:E,B947,Prearmados!G:G))</f>
        <v/>
      </c>
      <c r="D947" s="19"/>
      <c r="E947" s="26" t="str">
        <f>IF(A947="","",IF(SUMIFS(Estructuras!E:E,Estructuras!B:B,A$2,Estructuras!C:C,A947)&gt;0,SUMIFS(Estructuras!E:E,Estructuras!B:B,A$2,Estructuras!C:C,A947),C947*D947))</f>
        <v/>
      </c>
      <c r="F947" s="36"/>
      <c r="G947" s="36"/>
      <c r="H947" s="36"/>
      <c r="I947" s="36" t="str">
        <f t="shared" si="2"/>
        <v/>
      </c>
      <c r="J947" s="37" t="str">
        <f t="shared" si="3"/>
        <v/>
      </c>
      <c r="K947" s="38" t="str">
        <f>IF(L947="","",SUMIF(Productos!E:E,L947,Productos!A:A))</f>
        <v/>
      </c>
      <c r="M947" s="39"/>
    </row>
    <row r="948">
      <c r="A948" s="2" t="str">
        <f>IF(B948="","",SUMIF(Productos!E:E,B948,Productos!A:A))</f>
        <v/>
      </c>
      <c r="B948" s="40"/>
      <c r="C948" s="26" t="str">
        <f>IF(B948="","",SUMIF(Prearmados!E:E,B948,Prearmados!G:G))</f>
        <v/>
      </c>
      <c r="D948" s="19"/>
      <c r="E948" s="26" t="str">
        <f>IF(A948="","",IF(SUMIFS(Estructuras!E:E,Estructuras!B:B,A$2,Estructuras!C:C,A948)&gt;0,SUMIFS(Estructuras!E:E,Estructuras!B:B,A$2,Estructuras!C:C,A948),C948*D948))</f>
        <v/>
      </c>
      <c r="F948" s="36"/>
      <c r="G948" s="36"/>
      <c r="H948" s="36"/>
      <c r="I948" s="36" t="str">
        <f t="shared" si="2"/>
        <v/>
      </c>
      <c r="J948" s="37" t="str">
        <f t="shared" si="3"/>
        <v/>
      </c>
      <c r="K948" s="38" t="str">
        <f>IF(L948="","",SUMIF(Productos!E:E,L948,Productos!A:A))</f>
        <v/>
      </c>
      <c r="M948" s="39"/>
    </row>
    <row r="949">
      <c r="A949" s="2" t="str">
        <f>IF(B949="","",SUMIF(Productos!E:E,B949,Productos!A:A))</f>
        <v/>
      </c>
      <c r="B949" s="40"/>
      <c r="C949" s="26" t="str">
        <f>IF(B949="","",SUMIF(Prearmados!E:E,B949,Prearmados!G:G))</f>
        <v/>
      </c>
      <c r="D949" s="19"/>
      <c r="E949" s="26" t="str">
        <f>IF(A949="","",IF(SUMIFS(Estructuras!E:E,Estructuras!B:B,A$2,Estructuras!C:C,A949)&gt;0,SUMIFS(Estructuras!E:E,Estructuras!B:B,A$2,Estructuras!C:C,A949),C949*D949))</f>
        <v/>
      </c>
      <c r="F949" s="36"/>
      <c r="G949" s="36"/>
      <c r="H949" s="36"/>
      <c r="I949" s="36" t="str">
        <f t="shared" si="2"/>
        <v/>
      </c>
      <c r="J949" s="37" t="str">
        <f t="shared" si="3"/>
        <v/>
      </c>
      <c r="K949" s="38" t="str">
        <f>IF(L949="","",SUMIF(Productos!E:E,L949,Productos!A:A))</f>
        <v/>
      </c>
      <c r="M949" s="39"/>
    </row>
    <row r="950">
      <c r="A950" s="2" t="str">
        <f>IF(B950="","",SUMIF(Productos!E:E,B950,Productos!A:A))</f>
        <v/>
      </c>
      <c r="B950" s="40"/>
      <c r="C950" s="26" t="str">
        <f>IF(B950="","",SUMIF(Prearmados!E:E,B950,Prearmados!G:G))</f>
        <v/>
      </c>
      <c r="D950" s="19"/>
      <c r="E950" s="26" t="str">
        <f>IF(A950="","",IF(SUMIFS(Estructuras!E:E,Estructuras!B:B,A$2,Estructuras!C:C,A950)&gt;0,SUMIFS(Estructuras!E:E,Estructuras!B:B,A$2,Estructuras!C:C,A950),C950*D950))</f>
        <v/>
      </c>
      <c r="F950" s="36"/>
      <c r="G950" s="36"/>
      <c r="H950" s="36"/>
      <c r="I950" s="36" t="str">
        <f t="shared" si="2"/>
        <v/>
      </c>
      <c r="J950" s="37" t="str">
        <f t="shared" si="3"/>
        <v/>
      </c>
      <c r="K950" s="38" t="str">
        <f>IF(L950="","",SUMIF(Productos!E:E,L950,Productos!A:A))</f>
        <v/>
      </c>
      <c r="M950" s="39"/>
    </row>
    <row r="951">
      <c r="A951" s="2" t="str">
        <f>IF(B951="","",SUMIF(Productos!E:E,B951,Productos!A:A))</f>
        <v/>
      </c>
      <c r="B951" s="40"/>
      <c r="C951" s="26" t="str">
        <f>IF(B951="","",SUMIF(Prearmados!E:E,B951,Prearmados!G:G))</f>
        <v/>
      </c>
      <c r="D951" s="19"/>
      <c r="E951" s="26" t="str">
        <f>IF(A951="","",IF(SUMIFS(Estructuras!E:E,Estructuras!B:B,A$2,Estructuras!C:C,A951)&gt;0,SUMIFS(Estructuras!E:E,Estructuras!B:B,A$2,Estructuras!C:C,A951),C951*D951))</f>
        <v/>
      </c>
      <c r="F951" s="36"/>
      <c r="G951" s="36"/>
      <c r="H951" s="36"/>
      <c r="I951" s="36" t="str">
        <f t="shared" si="2"/>
        <v/>
      </c>
      <c r="J951" s="37" t="str">
        <f t="shared" si="3"/>
        <v/>
      </c>
      <c r="K951" s="38" t="str">
        <f>IF(L951="","",SUMIF(Productos!E:E,L951,Productos!A:A))</f>
        <v/>
      </c>
      <c r="M951" s="39"/>
    </row>
    <row r="952">
      <c r="A952" s="2" t="str">
        <f>IF(B952="","",SUMIF(Productos!E:E,B952,Productos!A:A))</f>
        <v/>
      </c>
      <c r="B952" s="40"/>
      <c r="C952" s="26" t="str">
        <f>IF(B952="","",SUMIF(Prearmados!E:E,B952,Prearmados!G:G))</f>
        <v/>
      </c>
      <c r="D952" s="19"/>
      <c r="E952" s="26" t="str">
        <f>IF(A952="","",IF(SUMIFS(Estructuras!E:E,Estructuras!B:B,A$2,Estructuras!C:C,A952)&gt;0,SUMIFS(Estructuras!E:E,Estructuras!B:B,A$2,Estructuras!C:C,A952),C952*D952))</f>
        <v/>
      </c>
      <c r="F952" s="36"/>
      <c r="G952" s="36"/>
      <c r="H952" s="36"/>
      <c r="I952" s="36" t="str">
        <f t="shared" si="2"/>
        <v/>
      </c>
      <c r="J952" s="37" t="str">
        <f t="shared" si="3"/>
        <v/>
      </c>
      <c r="K952" s="38" t="str">
        <f>IF(L952="","",SUMIF(Productos!E:E,L952,Productos!A:A))</f>
        <v/>
      </c>
      <c r="M952" s="39"/>
    </row>
    <row r="953">
      <c r="A953" s="2" t="str">
        <f>IF(B953="","",SUMIF(Productos!E:E,B953,Productos!A:A))</f>
        <v/>
      </c>
      <c r="B953" s="40"/>
      <c r="C953" s="26" t="str">
        <f>IF(B953="","",SUMIF(Prearmados!E:E,B953,Prearmados!G:G))</f>
        <v/>
      </c>
      <c r="D953" s="19"/>
      <c r="E953" s="26" t="str">
        <f>IF(A953="","",IF(SUMIFS(Estructuras!E:E,Estructuras!B:B,A$2,Estructuras!C:C,A953)&gt;0,SUMIFS(Estructuras!E:E,Estructuras!B:B,A$2,Estructuras!C:C,A953),C953*D953))</f>
        <v/>
      </c>
      <c r="F953" s="36"/>
      <c r="G953" s="36"/>
      <c r="H953" s="36"/>
      <c r="I953" s="36" t="str">
        <f t="shared" si="2"/>
        <v/>
      </c>
      <c r="J953" s="37" t="str">
        <f t="shared" si="3"/>
        <v/>
      </c>
      <c r="K953" s="38" t="str">
        <f>IF(L953="","",SUMIF(Productos!E:E,L953,Productos!A:A))</f>
        <v/>
      </c>
      <c r="M953" s="39"/>
    </row>
    <row r="954">
      <c r="A954" s="2" t="str">
        <f>IF(B954="","",SUMIF(Productos!E:E,B954,Productos!A:A))</f>
        <v/>
      </c>
      <c r="B954" s="40"/>
      <c r="C954" s="26" t="str">
        <f>IF(B954="","",SUMIF(Prearmados!E:E,B954,Prearmados!G:G))</f>
        <v/>
      </c>
      <c r="D954" s="19"/>
      <c r="E954" s="26" t="str">
        <f>IF(A954="","",IF(SUMIFS(Estructuras!E:E,Estructuras!B:B,A$2,Estructuras!C:C,A954)&gt;0,SUMIFS(Estructuras!E:E,Estructuras!B:B,A$2,Estructuras!C:C,A954),C954*D954))</f>
        <v/>
      </c>
      <c r="F954" s="36"/>
      <c r="G954" s="36"/>
      <c r="H954" s="36"/>
      <c r="I954" s="36" t="str">
        <f t="shared" si="2"/>
        <v/>
      </c>
      <c r="J954" s="37" t="str">
        <f t="shared" si="3"/>
        <v/>
      </c>
      <c r="K954" s="38" t="str">
        <f>IF(L954="","",SUMIF(Productos!E:E,L954,Productos!A:A))</f>
        <v/>
      </c>
      <c r="M954" s="39"/>
    </row>
    <row r="955">
      <c r="A955" s="2" t="str">
        <f>IF(B955="","",SUMIF(Productos!E:E,B955,Productos!A:A))</f>
        <v/>
      </c>
      <c r="B955" s="40"/>
      <c r="C955" s="26" t="str">
        <f>IF(B955="","",SUMIF(Prearmados!E:E,B955,Prearmados!G:G))</f>
        <v/>
      </c>
      <c r="D955" s="19"/>
      <c r="E955" s="26" t="str">
        <f>IF(A955="","",IF(SUMIFS(Estructuras!E:E,Estructuras!B:B,A$2,Estructuras!C:C,A955)&gt;0,SUMIFS(Estructuras!E:E,Estructuras!B:B,A$2,Estructuras!C:C,A955),C955*D955))</f>
        <v/>
      </c>
      <c r="F955" s="36"/>
      <c r="G955" s="36"/>
      <c r="H955" s="36"/>
      <c r="I955" s="36" t="str">
        <f t="shared" si="2"/>
        <v/>
      </c>
      <c r="J955" s="37" t="str">
        <f t="shared" si="3"/>
        <v/>
      </c>
      <c r="K955" s="38" t="str">
        <f>IF(L955="","",SUMIF(Productos!E:E,L955,Productos!A:A))</f>
        <v/>
      </c>
      <c r="M955" s="39"/>
    </row>
    <row r="956">
      <c r="A956" s="2" t="str">
        <f>IF(B956="","",SUMIF(Productos!E:E,B956,Productos!A:A))</f>
        <v/>
      </c>
      <c r="B956" s="40"/>
      <c r="C956" s="26" t="str">
        <f>IF(B956="","",SUMIF(Prearmados!E:E,B956,Prearmados!G:G))</f>
        <v/>
      </c>
      <c r="D956" s="19"/>
      <c r="E956" s="26" t="str">
        <f>IF(A956="","",IF(SUMIFS(Estructuras!E:E,Estructuras!B:B,A$2,Estructuras!C:C,A956)&gt;0,SUMIFS(Estructuras!E:E,Estructuras!B:B,A$2,Estructuras!C:C,A956),C956*D956))</f>
        <v/>
      </c>
      <c r="F956" s="36"/>
      <c r="G956" s="36"/>
      <c r="H956" s="36"/>
      <c r="I956" s="36" t="str">
        <f t="shared" si="2"/>
        <v/>
      </c>
      <c r="J956" s="37" t="str">
        <f t="shared" si="3"/>
        <v/>
      </c>
      <c r="K956" s="38" t="str">
        <f>IF(L956="","",SUMIF(Productos!E:E,L956,Productos!A:A))</f>
        <v/>
      </c>
      <c r="M956" s="39"/>
    </row>
    <row r="957">
      <c r="A957" s="2" t="str">
        <f>IF(B957="","",SUMIF(Productos!E:E,B957,Productos!A:A))</f>
        <v/>
      </c>
      <c r="B957" s="40"/>
      <c r="C957" s="26" t="str">
        <f>IF(B957="","",SUMIF(Prearmados!E:E,B957,Prearmados!G:G))</f>
        <v/>
      </c>
      <c r="D957" s="19"/>
      <c r="E957" s="26" t="str">
        <f>IF(A957="","",IF(SUMIFS(Estructuras!E:E,Estructuras!B:B,A$2,Estructuras!C:C,A957)&gt;0,SUMIFS(Estructuras!E:E,Estructuras!B:B,A$2,Estructuras!C:C,A957),C957*D957))</f>
        <v/>
      </c>
      <c r="F957" s="36"/>
      <c r="G957" s="36"/>
      <c r="H957" s="36"/>
      <c r="I957" s="36" t="str">
        <f t="shared" si="2"/>
        <v/>
      </c>
      <c r="J957" s="37" t="str">
        <f t="shared" si="3"/>
        <v/>
      </c>
      <c r="K957" s="38" t="str">
        <f>IF(L957="","",SUMIF(Productos!E:E,L957,Productos!A:A))</f>
        <v/>
      </c>
      <c r="M957" s="39"/>
    </row>
    <row r="958">
      <c r="A958" s="2" t="str">
        <f>IF(B958="","",SUMIF(Productos!E:E,B958,Productos!A:A))</f>
        <v/>
      </c>
      <c r="B958" s="40"/>
      <c r="C958" s="26" t="str">
        <f>IF(B958="","",SUMIF(Prearmados!E:E,B958,Prearmados!G:G))</f>
        <v/>
      </c>
      <c r="D958" s="19"/>
      <c r="E958" s="26" t="str">
        <f>IF(A958="","",IF(SUMIFS(Estructuras!E:E,Estructuras!B:B,A$2,Estructuras!C:C,A958)&gt;0,SUMIFS(Estructuras!E:E,Estructuras!B:B,A$2,Estructuras!C:C,A958),C958*D958))</f>
        <v/>
      </c>
      <c r="F958" s="36"/>
      <c r="G958" s="36"/>
      <c r="H958" s="36"/>
      <c r="I958" s="36" t="str">
        <f t="shared" si="2"/>
        <v/>
      </c>
      <c r="J958" s="37" t="str">
        <f t="shared" si="3"/>
        <v/>
      </c>
      <c r="K958" s="38" t="str">
        <f>IF(L958="","",SUMIF(Productos!E:E,L958,Productos!A:A))</f>
        <v/>
      </c>
      <c r="M958" s="39"/>
    </row>
    <row r="959">
      <c r="A959" s="2" t="str">
        <f>IF(B959="","",SUMIF(Productos!E:E,B959,Productos!A:A))</f>
        <v/>
      </c>
      <c r="B959" s="40"/>
      <c r="C959" s="26" t="str">
        <f>IF(B959="","",SUMIF(Prearmados!E:E,B959,Prearmados!G:G))</f>
        <v/>
      </c>
      <c r="D959" s="19"/>
      <c r="E959" s="26" t="str">
        <f>IF(A959="","",IF(SUMIFS(Estructuras!E:E,Estructuras!B:B,A$2,Estructuras!C:C,A959)&gt;0,SUMIFS(Estructuras!E:E,Estructuras!B:B,A$2,Estructuras!C:C,A959),C959*D959))</f>
        <v/>
      </c>
      <c r="F959" s="36"/>
      <c r="G959" s="36"/>
      <c r="H959" s="36"/>
      <c r="I959" s="36" t="str">
        <f t="shared" si="2"/>
        <v/>
      </c>
      <c r="J959" s="37" t="str">
        <f t="shared" si="3"/>
        <v/>
      </c>
      <c r="K959" s="38" t="str">
        <f>IF(L959="","",SUMIF(Productos!E:E,L959,Productos!A:A))</f>
        <v/>
      </c>
      <c r="M959" s="39"/>
    </row>
    <row r="960">
      <c r="A960" s="2" t="str">
        <f>IF(B960="","",SUMIF(Productos!E:E,B960,Productos!A:A))</f>
        <v/>
      </c>
      <c r="B960" s="40"/>
      <c r="C960" s="26" t="str">
        <f>IF(B960="","",SUMIF(Prearmados!E:E,B960,Prearmados!G:G))</f>
        <v/>
      </c>
      <c r="D960" s="19"/>
      <c r="E960" s="26" t="str">
        <f>IF(A960="","",IF(SUMIFS(Estructuras!E:E,Estructuras!B:B,A$2,Estructuras!C:C,A960)&gt;0,SUMIFS(Estructuras!E:E,Estructuras!B:B,A$2,Estructuras!C:C,A960),C960*D960))</f>
        <v/>
      </c>
      <c r="F960" s="36"/>
      <c r="G960" s="36"/>
      <c r="H960" s="36"/>
      <c r="I960" s="36" t="str">
        <f t="shared" si="2"/>
        <v/>
      </c>
      <c r="J960" s="37" t="str">
        <f t="shared" si="3"/>
        <v/>
      </c>
      <c r="K960" s="38" t="str">
        <f>IF(L960="","",SUMIF(Productos!E:E,L960,Productos!A:A))</f>
        <v/>
      </c>
      <c r="M960" s="39"/>
    </row>
    <row r="961">
      <c r="A961" s="2" t="str">
        <f>IF(B961="","",SUMIF(Productos!E:E,B961,Productos!A:A))</f>
        <v/>
      </c>
      <c r="B961" s="40"/>
      <c r="C961" s="26" t="str">
        <f>IF(B961="","",SUMIF(Prearmados!E:E,B961,Prearmados!G:G))</f>
        <v/>
      </c>
      <c r="D961" s="19"/>
      <c r="E961" s="26" t="str">
        <f>IF(A961="","",IF(SUMIFS(Estructuras!E:E,Estructuras!B:B,A$2,Estructuras!C:C,A961)&gt;0,SUMIFS(Estructuras!E:E,Estructuras!B:B,A$2,Estructuras!C:C,A961),C961*D961))</f>
        <v/>
      </c>
      <c r="F961" s="36"/>
      <c r="G961" s="36"/>
      <c r="H961" s="36"/>
      <c r="I961" s="36" t="str">
        <f t="shared" si="2"/>
        <v/>
      </c>
      <c r="J961" s="37" t="str">
        <f t="shared" si="3"/>
        <v/>
      </c>
      <c r="K961" s="38" t="str">
        <f>IF(L961="","",SUMIF(Productos!E:E,L961,Productos!A:A))</f>
        <v/>
      </c>
      <c r="M961" s="39"/>
    </row>
    <row r="962">
      <c r="A962" s="2" t="str">
        <f>IF(B962="","",SUMIF(Productos!E:E,B962,Productos!A:A))</f>
        <v/>
      </c>
      <c r="B962" s="40"/>
      <c r="C962" s="26" t="str">
        <f>IF(B962="","",SUMIF(Prearmados!E:E,B962,Prearmados!G:G))</f>
        <v/>
      </c>
      <c r="D962" s="19"/>
      <c r="E962" s="26" t="str">
        <f>IF(A962="","",IF(SUMIFS(Estructuras!E:E,Estructuras!B:B,A$2,Estructuras!C:C,A962)&gt;0,SUMIFS(Estructuras!E:E,Estructuras!B:B,A$2,Estructuras!C:C,A962),C962*D962))</f>
        <v/>
      </c>
      <c r="F962" s="36"/>
      <c r="G962" s="36"/>
      <c r="H962" s="36"/>
      <c r="I962" s="36" t="str">
        <f t="shared" si="2"/>
        <v/>
      </c>
      <c r="J962" s="37" t="str">
        <f t="shared" si="3"/>
        <v/>
      </c>
      <c r="K962" s="38" t="str">
        <f>IF(L962="","",SUMIF(Productos!E:E,L962,Productos!A:A))</f>
        <v/>
      </c>
      <c r="M962" s="39"/>
    </row>
    <row r="963">
      <c r="A963" s="2" t="str">
        <f>IF(B963="","",SUMIF(Productos!E:E,B963,Productos!A:A))</f>
        <v/>
      </c>
      <c r="B963" s="40"/>
      <c r="C963" s="26" t="str">
        <f>IF(B963="","",SUMIF(Prearmados!E:E,B963,Prearmados!G:G))</f>
        <v/>
      </c>
      <c r="D963" s="19"/>
      <c r="E963" s="26" t="str">
        <f>IF(A963="","",IF(SUMIFS(Estructuras!E:E,Estructuras!B:B,A$2,Estructuras!C:C,A963)&gt;0,SUMIFS(Estructuras!E:E,Estructuras!B:B,A$2,Estructuras!C:C,A963),C963*D963))</f>
        <v/>
      </c>
      <c r="F963" s="36"/>
      <c r="G963" s="36"/>
      <c r="H963" s="36"/>
      <c r="I963" s="36" t="str">
        <f t="shared" si="2"/>
        <v/>
      </c>
      <c r="J963" s="37" t="str">
        <f t="shared" si="3"/>
        <v/>
      </c>
      <c r="K963" s="38" t="str">
        <f>IF(L963="","",SUMIF(Productos!E:E,L963,Productos!A:A))</f>
        <v/>
      </c>
      <c r="M963" s="39"/>
    </row>
    <row r="964">
      <c r="A964" s="2" t="str">
        <f>IF(B964="","",SUMIF(Productos!E:E,B964,Productos!A:A))</f>
        <v/>
      </c>
      <c r="B964" s="40"/>
      <c r="C964" s="26" t="str">
        <f>IF(B964="","",SUMIF(Prearmados!E:E,B964,Prearmados!G:G))</f>
        <v/>
      </c>
      <c r="D964" s="19"/>
      <c r="E964" s="26" t="str">
        <f>IF(A964="","",IF(SUMIFS(Estructuras!E:E,Estructuras!B:B,A$2,Estructuras!C:C,A964)&gt;0,SUMIFS(Estructuras!E:E,Estructuras!B:B,A$2,Estructuras!C:C,A964),C964*D964))</f>
        <v/>
      </c>
      <c r="F964" s="36"/>
      <c r="G964" s="36"/>
      <c r="H964" s="36"/>
      <c r="I964" s="36" t="str">
        <f t="shared" si="2"/>
        <v/>
      </c>
      <c r="J964" s="37" t="str">
        <f t="shared" si="3"/>
        <v/>
      </c>
      <c r="K964" s="38" t="str">
        <f>IF(L964="","",SUMIF(Productos!E:E,L964,Productos!A:A))</f>
        <v/>
      </c>
      <c r="M964" s="39"/>
    </row>
    <row r="965">
      <c r="A965" s="2" t="str">
        <f>IF(B965="","",SUMIF(Productos!E:E,B965,Productos!A:A))</f>
        <v/>
      </c>
      <c r="B965" s="40"/>
      <c r="C965" s="26" t="str">
        <f>IF(B965="","",SUMIF(Prearmados!E:E,B965,Prearmados!G:G))</f>
        <v/>
      </c>
      <c r="D965" s="19"/>
      <c r="E965" s="26" t="str">
        <f>IF(A965="","",IF(SUMIFS(Estructuras!E:E,Estructuras!B:B,A$2,Estructuras!C:C,A965)&gt;0,SUMIFS(Estructuras!E:E,Estructuras!B:B,A$2,Estructuras!C:C,A965),C965*D965))</f>
        <v/>
      </c>
      <c r="F965" s="36"/>
      <c r="G965" s="36"/>
      <c r="H965" s="36"/>
      <c r="I965" s="36" t="str">
        <f t="shared" si="2"/>
        <v/>
      </c>
      <c r="J965" s="37" t="str">
        <f t="shared" si="3"/>
        <v/>
      </c>
      <c r="K965" s="38" t="str">
        <f>IF(L965="","",SUMIF(Productos!E:E,L965,Productos!A:A))</f>
        <v/>
      </c>
      <c r="M965" s="39"/>
    </row>
    <row r="966">
      <c r="A966" s="2" t="str">
        <f>IF(B966="","",SUMIF(Productos!E:E,B966,Productos!A:A))</f>
        <v/>
      </c>
      <c r="B966" s="40"/>
      <c r="C966" s="26" t="str">
        <f>IF(B966="","",SUMIF(Prearmados!E:E,B966,Prearmados!G:G))</f>
        <v/>
      </c>
      <c r="D966" s="19"/>
      <c r="E966" s="26" t="str">
        <f>IF(A966="","",IF(SUMIFS(Estructuras!E:E,Estructuras!B:B,A$2,Estructuras!C:C,A966)&gt;0,SUMIFS(Estructuras!E:E,Estructuras!B:B,A$2,Estructuras!C:C,A966),C966*D966))</f>
        <v/>
      </c>
      <c r="F966" s="36"/>
      <c r="G966" s="36"/>
      <c r="H966" s="36"/>
      <c r="I966" s="36" t="str">
        <f t="shared" si="2"/>
        <v/>
      </c>
      <c r="J966" s="37" t="str">
        <f t="shared" si="3"/>
        <v/>
      </c>
      <c r="K966" s="38" t="str">
        <f>IF(L966="","",SUMIF(Productos!E:E,L966,Productos!A:A))</f>
        <v/>
      </c>
      <c r="M966" s="39"/>
    </row>
    <row r="967">
      <c r="A967" s="2" t="str">
        <f>IF(B967="","",SUMIF(Productos!E:E,B967,Productos!A:A))</f>
        <v/>
      </c>
      <c r="B967" s="40"/>
      <c r="C967" s="26" t="str">
        <f>IF(B967="","",SUMIF(Prearmados!E:E,B967,Prearmados!G:G))</f>
        <v/>
      </c>
      <c r="D967" s="19"/>
      <c r="E967" s="26" t="str">
        <f>IF(A967="","",IF(SUMIFS(Estructuras!E:E,Estructuras!B:B,A$2,Estructuras!C:C,A967)&gt;0,SUMIFS(Estructuras!E:E,Estructuras!B:B,A$2,Estructuras!C:C,A967),C967*D967))</f>
        <v/>
      </c>
      <c r="F967" s="36"/>
      <c r="G967" s="36"/>
      <c r="H967" s="36"/>
      <c r="I967" s="36" t="str">
        <f t="shared" si="2"/>
        <v/>
      </c>
      <c r="J967" s="37" t="str">
        <f t="shared" si="3"/>
        <v/>
      </c>
      <c r="K967" s="38" t="str">
        <f>IF(L967="","",SUMIF(Productos!E:E,L967,Productos!A:A))</f>
        <v/>
      </c>
      <c r="M967" s="39"/>
    </row>
    <row r="968">
      <c r="A968" s="2" t="str">
        <f>IF(B968="","",SUMIF(Productos!E:E,B968,Productos!A:A))</f>
        <v/>
      </c>
      <c r="B968" s="40"/>
      <c r="C968" s="26" t="str">
        <f>IF(B968="","",SUMIF(Prearmados!E:E,B968,Prearmados!G:G))</f>
        <v/>
      </c>
      <c r="D968" s="19"/>
      <c r="E968" s="26" t="str">
        <f>IF(A968="","",IF(SUMIFS(Estructuras!E:E,Estructuras!B:B,A$2,Estructuras!C:C,A968)&gt;0,SUMIFS(Estructuras!E:E,Estructuras!B:B,A$2,Estructuras!C:C,A968),C968*D968))</f>
        <v/>
      </c>
      <c r="F968" s="36"/>
      <c r="G968" s="36"/>
      <c r="H968" s="36"/>
      <c r="I968" s="36" t="str">
        <f t="shared" si="2"/>
        <v/>
      </c>
      <c r="J968" s="37" t="str">
        <f t="shared" si="3"/>
        <v/>
      </c>
      <c r="K968" s="38" t="str">
        <f>IF(L968="","",SUMIF(Productos!E:E,L968,Productos!A:A))</f>
        <v/>
      </c>
      <c r="M968" s="39"/>
    </row>
    <row r="969">
      <c r="A969" s="2" t="str">
        <f>IF(B969="","",SUMIF(Productos!E:E,B969,Productos!A:A))</f>
        <v/>
      </c>
      <c r="B969" s="40"/>
      <c r="C969" s="26" t="str">
        <f>IF(B969="","",SUMIF(Prearmados!E:E,B969,Prearmados!G:G))</f>
        <v/>
      </c>
      <c r="D969" s="19"/>
      <c r="E969" s="26" t="str">
        <f>IF(A969="","",IF(SUMIFS(Estructuras!E:E,Estructuras!B:B,A$2,Estructuras!C:C,A969)&gt;0,SUMIFS(Estructuras!E:E,Estructuras!B:B,A$2,Estructuras!C:C,A969),C969*D969))</f>
        <v/>
      </c>
      <c r="F969" s="36"/>
      <c r="G969" s="36"/>
      <c r="H969" s="36"/>
      <c r="I969" s="36" t="str">
        <f t="shared" si="2"/>
        <v/>
      </c>
      <c r="J969" s="37" t="str">
        <f t="shared" si="3"/>
        <v/>
      </c>
      <c r="K969" s="38" t="str">
        <f>IF(L969="","",SUMIF(Productos!E:E,L969,Productos!A:A))</f>
        <v/>
      </c>
      <c r="M969" s="39"/>
    </row>
    <row r="970">
      <c r="A970" s="2" t="str">
        <f>IF(B970="","",SUMIF(Productos!E:E,B970,Productos!A:A))</f>
        <v/>
      </c>
      <c r="B970" s="40"/>
      <c r="C970" s="26" t="str">
        <f>IF(B970="","",SUMIF(Prearmados!E:E,B970,Prearmados!G:G))</f>
        <v/>
      </c>
      <c r="D970" s="19"/>
      <c r="E970" s="26" t="str">
        <f>IF(A970="","",IF(SUMIFS(Estructuras!E:E,Estructuras!B:B,A$2,Estructuras!C:C,A970)&gt;0,SUMIFS(Estructuras!E:E,Estructuras!B:B,A$2,Estructuras!C:C,A970),C970*D970))</f>
        <v/>
      </c>
      <c r="F970" s="36"/>
      <c r="G970" s="36"/>
      <c r="H970" s="36"/>
      <c r="I970" s="36" t="str">
        <f t="shared" si="2"/>
        <v/>
      </c>
      <c r="J970" s="37" t="str">
        <f t="shared" si="3"/>
        <v/>
      </c>
      <c r="K970" s="38" t="str">
        <f>IF(L970="","",SUMIF(Productos!E:E,L970,Productos!A:A))</f>
        <v/>
      </c>
      <c r="M970" s="39"/>
    </row>
    <row r="971">
      <c r="A971" s="2" t="str">
        <f>IF(B971="","",SUMIF(Productos!E:E,B971,Productos!A:A))</f>
        <v/>
      </c>
      <c r="B971" s="40"/>
      <c r="C971" s="26" t="str">
        <f>IF(B971="","",SUMIF(Prearmados!E:E,B971,Prearmados!G:G))</f>
        <v/>
      </c>
      <c r="D971" s="19"/>
      <c r="E971" s="26" t="str">
        <f>IF(A971="","",IF(SUMIFS(Estructuras!E:E,Estructuras!B:B,A$2,Estructuras!C:C,A971)&gt;0,SUMIFS(Estructuras!E:E,Estructuras!B:B,A$2,Estructuras!C:C,A971),C971*D971))</f>
        <v/>
      </c>
      <c r="F971" s="36"/>
      <c r="G971" s="36"/>
      <c r="H971" s="36"/>
      <c r="I971" s="36" t="str">
        <f t="shared" si="2"/>
        <v/>
      </c>
      <c r="J971" s="37" t="str">
        <f t="shared" si="3"/>
        <v/>
      </c>
      <c r="K971" s="38" t="str">
        <f>IF(L971="","",SUMIF(Productos!E:E,L971,Productos!A:A))</f>
        <v/>
      </c>
      <c r="M971" s="39"/>
    </row>
    <row r="972">
      <c r="A972" s="2" t="str">
        <f>IF(B972="","",SUMIF(Productos!E:E,B972,Productos!A:A))</f>
        <v/>
      </c>
      <c r="B972" s="40"/>
      <c r="C972" s="26" t="str">
        <f>IF(B972="","",SUMIF(Prearmados!E:E,B972,Prearmados!G:G))</f>
        <v/>
      </c>
      <c r="D972" s="19"/>
      <c r="E972" s="26" t="str">
        <f>IF(A972="","",IF(SUMIFS(Estructuras!E:E,Estructuras!B:B,A$2,Estructuras!C:C,A972)&gt;0,SUMIFS(Estructuras!E:E,Estructuras!B:B,A$2,Estructuras!C:C,A972),C972*D972))</f>
        <v/>
      </c>
      <c r="F972" s="36"/>
      <c r="G972" s="36"/>
      <c r="H972" s="36"/>
      <c r="I972" s="36" t="str">
        <f t="shared" si="2"/>
        <v/>
      </c>
      <c r="J972" s="37" t="str">
        <f t="shared" si="3"/>
        <v/>
      </c>
      <c r="K972" s="38" t="str">
        <f>IF(L972="","",SUMIF(Productos!E:E,L972,Productos!A:A))</f>
        <v/>
      </c>
      <c r="M972" s="39"/>
    </row>
    <row r="973">
      <c r="A973" s="2" t="str">
        <f>IF(B973="","",SUMIF(Productos!E:E,B973,Productos!A:A))</f>
        <v/>
      </c>
      <c r="B973" s="40"/>
      <c r="C973" s="26" t="str">
        <f>IF(B973="","",SUMIF(Prearmados!E:E,B973,Prearmados!G:G))</f>
        <v/>
      </c>
      <c r="D973" s="19"/>
      <c r="E973" s="26" t="str">
        <f>IF(A973="","",IF(SUMIFS(Estructuras!E:E,Estructuras!B:B,A$2,Estructuras!C:C,A973)&gt;0,SUMIFS(Estructuras!E:E,Estructuras!B:B,A$2,Estructuras!C:C,A973),C973*D973))</f>
        <v/>
      </c>
      <c r="F973" s="36"/>
      <c r="G973" s="36"/>
      <c r="H973" s="36"/>
      <c r="I973" s="36" t="str">
        <f t="shared" si="2"/>
        <v/>
      </c>
      <c r="J973" s="37" t="str">
        <f t="shared" si="3"/>
        <v/>
      </c>
      <c r="K973" s="38" t="str">
        <f>IF(L973="","",SUMIF(Productos!E:E,L973,Productos!A:A))</f>
        <v/>
      </c>
      <c r="M973" s="39"/>
    </row>
    <row r="974">
      <c r="A974" s="2" t="str">
        <f>IF(B974="","",SUMIF(Productos!E:E,B974,Productos!A:A))</f>
        <v/>
      </c>
      <c r="B974" s="40"/>
      <c r="C974" s="26" t="str">
        <f>IF(B974="","",SUMIF(Prearmados!E:E,B974,Prearmados!G:G))</f>
        <v/>
      </c>
      <c r="D974" s="19"/>
      <c r="E974" s="26" t="str">
        <f>IF(A974="","",IF(SUMIFS(Estructuras!E:E,Estructuras!B:B,A$2,Estructuras!C:C,A974)&gt;0,SUMIFS(Estructuras!E:E,Estructuras!B:B,A$2,Estructuras!C:C,A974),C974*D974))</f>
        <v/>
      </c>
      <c r="F974" s="36"/>
      <c r="G974" s="36"/>
      <c r="H974" s="36"/>
      <c r="I974" s="36" t="str">
        <f t="shared" si="2"/>
        <v/>
      </c>
      <c r="J974" s="37" t="str">
        <f t="shared" si="3"/>
        <v/>
      </c>
      <c r="K974" s="38" t="str">
        <f>IF(L974="","",SUMIF(Productos!E:E,L974,Productos!A:A))</f>
        <v/>
      </c>
      <c r="M974" s="39"/>
    </row>
    <row r="975">
      <c r="A975" s="2" t="str">
        <f>IF(B975="","",SUMIF(Productos!E:E,B975,Productos!A:A))</f>
        <v/>
      </c>
      <c r="B975" s="40"/>
      <c r="C975" s="26" t="str">
        <f>IF(B975="","",SUMIF(Prearmados!E:E,B975,Prearmados!G:G))</f>
        <v/>
      </c>
      <c r="D975" s="19"/>
      <c r="E975" s="26" t="str">
        <f>IF(A975="","",IF(SUMIFS(Estructuras!E:E,Estructuras!B:B,A$2,Estructuras!C:C,A975)&gt;0,SUMIFS(Estructuras!E:E,Estructuras!B:B,A$2,Estructuras!C:C,A975),C975*D975))</f>
        <v/>
      </c>
      <c r="F975" s="36"/>
      <c r="G975" s="36"/>
      <c r="H975" s="36"/>
      <c r="I975" s="36" t="str">
        <f t="shared" si="2"/>
        <v/>
      </c>
      <c r="J975" s="37" t="str">
        <f t="shared" si="3"/>
        <v/>
      </c>
      <c r="K975" s="38" t="str">
        <f>IF(L975="","",SUMIF(Productos!E:E,L975,Productos!A:A))</f>
        <v/>
      </c>
      <c r="M975" s="39"/>
    </row>
    <row r="976">
      <c r="A976" s="2" t="str">
        <f>IF(B976="","",SUMIF(Productos!E:E,B976,Productos!A:A))</f>
        <v/>
      </c>
      <c r="B976" s="40"/>
      <c r="C976" s="26" t="str">
        <f>IF(B976="","",SUMIF(Prearmados!E:E,B976,Prearmados!G:G))</f>
        <v/>
      </c>
      <c r="D976" s="19"/>
      <c r="E976" s="26" t="str">
        <f>IF(A976="","",IF(SUMIFS(Estructuras!E:E,Estructuras!B:B,A$2,Estructuras!C:C,A976)&gt;0,SUMIFS(Estructuras!E:E,Estructuras!B:B,A$2,Estructuras!C:C,A976),C976*D976))</f>
        <v/>
      </c>
      <c r="F976" s="36"/>
      <c r="G976" s="36"/>
      <c r="H976" s="36"/>
      <c r="I976" s="36" t="str">
        <f t="shared" si="2"/>
        <v/>
      </c>
      <c r="J976" s="37" t="str">
        <f t="shared" si="3"/>
        <v/>
      </c>
      <c r="K976" s="38" t="str">
        <f>IF(L976="","",SUMIF(Productos!E:E,L976,Productos!A:A))</f>
        <v/>
      </c>
      <c r="M976" s="39"/>
    </row>
    <row r="977">
      <c r="A977" s="2" t="str">
        <f>IF(B977="","",SUMIF(Productos!E:E,B977,Productos!A:A))</f>
        <v/>
      </c>
      <c r="B977" s="40"/>
      <c r="C977" s="26" t="str">
        <f>IF(B977="","",SUMIF(Prearmados!E:E,B977,Prearmados!G:G))</f>
        <v/>
      </c>
      <c r="D977" s="19"/>
      <c r="E977" s="26" t="str">
        <f>IF(A977="","",IF(SUMIFS(Estructuras!E:E,Estructuras!B:B,A$2,Estructuras!C:C,A977)&gt;0,SUMIFS(Estructuras!E:E,Estructuras!B:B,A$2,Estructuras!C:C,A977),C977*D977))</f>
        <v/>
      </c>
      <c r="F977" s="36"/>
      <c r="G977" s="36"/>
      <c r="H977" s="36"/>
      <c r="I977" s="36" t="str">
        <f t="shared" si="2"/>
        <v/>
      </c>
      <c r="J977" s="37" t="str">
        <f t="shared" si="3"/>
        <v/>
      </c>
      <c r="K977" s="38" t="str">
        <f>IF(L977="","",SUMIF(Productos!E:E,L977,Productos!A:A))</f>
        <v/>
      </c>
      <c r="M977" s="39"/>
    </row>
    <row r="978">
      <c r="A978" s="2" t="str">
        <f>IF(B978="","",SUMIF(Productos!E:E,B978,Productos!A:A))</f>
        <v/>
      </c>
      <c r="B978" s="40"/>
      <c r="C978" s="26" t="str">
        <f>IF(B978="","",SUMIF(Prearmados!E:E,B978,Prearmados!G:G))</f>
        <v/>
      </c>
      <c r="D978" s="19"/>
      <c r="E978" s="26" t="str">
        <f>IF(A978="","",IF(SUMIFS(Estructuras!E:E,Estructuras!B:B,A$2,Estructuras!C:C,A978)&gt;0,SUMIFS(Estructuras!E:E,Estructuras!B:B,A$2,Estructuras!C:C,A978),C978*D978))</f>
        <v/>
      </c>
      <c r="F978" s="36"/>
      <c r="G978" s="36"/>
      <c r="H978" s="36"/>
      <c r="I978" s="36" t="str">
        <f t="shared" si="2"/>
        <v/>
      </c>
      <c r="J978" s="37" t="str">
        <f t="shared" si="3"/>
        <v/>
      </c>
      <c r="K978" s="38" t="str">
        <f>IF(L978="","",SUMIF(Productos!E:E,L978,Productos!A:A))</f>
        <v/>
      </c>
      <c r="M978" s="39"/>
    </row>
    <row r="979">
      <c r="A979" s="2" t="str">
        <f>IF(B979="","",SUMIF(Productos!E:E,B979,Productos!A:A))</f>
        <v/>
      </c>
      <c r="B979" s="40"/>
      <c r="C979" s="26" t="str">
        <f>IF(B979="","",SUMIF(Prearmados!E:E,B979,Prearmados!G:G))</f>
        <v/>
      </c>
      <c r="D979" s="19"/>
      <c r="E979" s="26" t="str">
        <f>IF(A979="","",IF(SUMIFS(Estructuras!E:E,Estructuras!B:B,A$2,Estructuras!C:C,A979)&gt;0,SUMIFS(Estructuras!E:E,Estructuras!B:B,A$2,Estructuras!C:C,A979),C979*D979))</f>
        <v/>
      </c>
      <c r="F979" s="36"/>
      <c r="G979" s="36"/>
      <c r="H979" s="36"/>
      <c r="I979" s="36" t="str">
        <f t="shared" si="2"/>
        <v/>
      </c>
      <c r="J979" s="37" t="str">
        <f t="shared" si="3"/>
        <v/>
      </c>
      <c r="K979" s="38" t="str">
        <f>IF(L979="","",SUMIF(Productos!E:E,L979,Productos!A:A))</f>
        <v/>
      </c>
      <c r="M979" s="39"/>
    </row>
    <row r="980">
      <c r="A980" s="2" t="str">
        <f>IF(B980="","",SUMIF(Productos!E:E,B980,Productos!A:A))</f>
        <v/>
      </c>
      <c r="B980" s="40"/>
      <c r="C980" s="26" t="str">
        <f>IF(B980="","",SUMIF(Prearmados!E:E,B980,Prearmados!G:G))</f>
        <v/>
      </c>
      <c r="D980" s="19"/>
      <c r="E980" s="26" t="str">
        <f>IF(A980="","",IF(SUMIFS(Estructuras!E:E,Estructuras!B:B,A$2,Estructuras!C:C,A980)&gt;0,SUMIFS(Estructuras!E:E,Estructuras!B:B,A$2,Estructuras!C:C,A980),C980*D980))</f>
        <v/>
      </c>
      <c r="F980" s="36"/>
      <c r="G980" s="36"/>
      <c r="H980" s="36"/>
      <c r="I980" s="36" t="str">
        <f t="shared" si="2"/>
        <v/>
      </c>
      <c r="J980" s="37" t="str">
        <f t="shared" si="3"/>
        <v/>
      </c>
      <c r="K980" s="38" t="str">
        <f>IF(L980="","",SUMIF(Productos!E:E,L980,Productos!A:A))</f>
        <v/>
      </c>
      <c r="M980" s="39"/>
    </row>
    <row r="981">
      <c r="A981" s="2" t="str">
        <f>IF(B981="","",SUMIF(Productos!E:E,B981,Productos!A:A))</f>
        <v/>
      </c>
      <c r="B981" s="40"/>
      <c r="C981" s="26" t="str">
        <f>IF(B981="","",SUMIF(Prearmados!E:E,B981,Prearmados!G:G))</f>
        <v/>
      </c>
      <c r="D981" s="19"/>
      <c r="E981" s="26" t="str">
        <f>IF(A981="","",IF(SUMIFS(Estructuras!E:E,Estructuras!B:B,A$2,Estructuras!C:C,A981)&gt;0,SUMIFS(Estructuras!E:E,Estructuras!B:B,A$2,Estructuras!C:C,A981),C981*D981))</f>
        <v/>
      </c>
      <c r="F981" s="36"/>
      <c r="G981" s="36"/>
      <c r="H981" s="36"/>
      <c r="I981" s="36" t="str">
        <f t="shared" si="2"/>
        <v/>
      </c>
      <c r="J981" s="37" t="str">
        <f t="shared" si="3"/>
        <v/>
      </c>
      <c r="K981" s="38" t="str">
        <f>IF(L981="","",SUMIF(Productos!E:E,L981,Productos!A:A))</f>
        <v/>
      </c>
      <c r="M981" s="39"/>
    </row>
    <row r="982">
      <c r="A982" s="2" t="str">
        <f>IF(B982="","",SUMIF(Productos!E:E,B982,Productos!A:A))</f>
        <v/>
      </c>
      <c r="B982" s="40"/>
      <c r="C982" s="26" t="str">
        <f>IF(B982="","",SUMIF(Prearmados!E:E,B982,Prearmados!G:G))</f>
        <v/>
      </c>
      <c r="D982" s="19"/>
      <c r="E982" s="26" t="str">
        <f>IF(A982="","",IF(SUMIFS(Estructuras!E:E,Estructuras!B:B,A$2,Estructuras!C:C,A982)&gt;0,SUMIFS(Estructuras!E:E,Estructuras!B:B,A$2,Estructuras!C:C,A982),C982*D982))</f>
        <v/>
      </c>
      <c r="F982" s="36"/>
      <c r="G982" s="36"/>
      <c r="H982" s="36"/>
      <c r="I982" s="36" t="str">
        <f t="shared" si="2"/>
        <v/>
      </c>
      <c r="J982" s="37" t="str">
        <f t="shared" si="3"/>
        <v/>
      </c>
      <c r="K982" s="38" t="str">
        <f>IF(L982="","",SUMIF(Productos!E:E,L982,Productos!A:A))</f>
        <v/>
      </c>
      <c r="M982" s="39"/>
    </row>
    <row r="983">
      <c r="A983" s="2" t="str">
        <f>IF(B983="","",SUMIF(Productos!E:E,B983,Productos!A:A))</f>
        <v/>
      </c>
      <c r="B983" s="40"/>
      <c r="C983" s="26" t="str">
        <f>IF(B983="","",SUMIF(Prearmados!E:E,B983,Prearmados!G:G))</f>
        <v/>
      </c>
      <c r="D983" s="19"/>
      <c r="E983" s="26" t="str">
        <f>IF(A983="","",IF(SUMIFS(Estructuras!E:E,Estructuras!B:B,A$2,Estructuras!C:C,A983)&gt;0,SUMIFS(Estructuras!E:E,Estructuras!B:B,A$2,Estructuras!C:C,A983),C983*D983))</f>
        <v/>
      </c>
      <c r="F983" s="36"/>
      <c r="G983" s="36"/>
      <c r="H983" s="36"/>
      <c r="I983" s="36" t="str">
        <f t="shared" si="2"/>
        <v/>
      </c>
      <c r="J983" s="37" t="str">
        <f t="shared" si="3"/>
        <v/>
      </c>
      <c r="K983" s="38" t="str">
        <f>IF(L983="","",SUMIF(Productos!E:E,L983,Productos!A:A))</f>
        <v/>
      </c>
      <c r="M983" s="39"/>
    </row>
    <row r="984">
      <c r="A984" s="2" t="str">
        <f>IF(B984="","",SUMIF(Productos!E:E,B984,Productos!A:A))</f>
        <v/>
      </c>
      <c r="B984" s="40"/>
      <c r="C984" s="26" t="str">
        <f>IF(B984="","",SUMIF(Prearmados!E:E,B984,Prearmados!G:G))</f>
        <v/>
      </c>
      <c r="D984" s="19"/>
      <c r="E984" s="26" t="str">
        <f>IF(A984="","",IF(SUMIFS(Estructuras!E:E,Estructuras!B:B,A$2,Estructuras!C:C,A984)&gt;0,SUMIFS(Estructuras!E:E,Estructuras!B:B,A$2,Estructuras!C:C,A984),C984*D984))</f>
        <v/>
      </c>
      <c r="F984" s="36"/>
      <c r="G984" s="36"/>
      <c r="H984" s="36"/>
      <c r="I984" s="36" t="str">
        <f t="shared" si="2"/>
        <v/>
      </c>
      <c r="J984" s="37" t="str">
        <f t="shared" si="3"/>
        <v/>
      </c>
      <c r="K984" s="38" t="str">
        <f>IF(L984="","",SUMIF(Productos!E:E,L984,Productos!A:A))</f>
        <v/>
      </c>
      <c r="M984" s="39"/>
    </row>
    <row r="985">
      <c r="A985" s="2" t="str">
        <f>IF(B985="","",SUMIF(Productos!E:E,B985,Productos!A:A))</f>
        <v/>
      </c>
      <c r="B985" s="40"/>
      <c r="C985" s="26" t="str">
        <f>IF(B985="","",SUMIF(Prearmados!E:E,B985,Prearmados!G:G))</f>
        <v/>
      </c>
      <c r="D985" s="19"/>
      <c r="E985" s="26" t="str">
        <f>IF(A985="","",IF(SUMIFS(Estructuras!E:E,Estructuras!B:B,A$2,Estructuras!C:C,A985)&gt;0,SUMIFS(Estructuras!E:E,Estructuras!B:B,A$2,Estructuras!C:C,A985),C985*D985))</f>
        <v/>
      </c>
      <c r="F985" s="36"/>
      <c r="G985" s="36"/>
      <c r="H985" s="36"/>
      <c r="I985" s="36" t="str">
        <f t="shared" si="2"/>
        <v/>
      </c>
      <c r="J985" s="37" t="str">
        <f t="shared" si="3"/>
        <v/>
      </c>
      <c r="K985" s="38" t="str">
        <f>IF(L985="","",SUMIF(Productos!E:E,L985,Productos!A:A))</f>
        <v/>
      </c>
      <c r="M985" s="39"/>
    </row>
    <row r="986">
      <c r="A986" s="2" t="str">
        <f>IF(B986="","",SUMIF(Productos!E:E,B986,Productos!A:A))</f>
        <v/>
      </c>
      <c r="B986" s="40"/>
      <c r="C986" s="26" t="str">
        <f>IF(B986="","",SUMIF(Prearmados!E:E,B986,Prearmados!G:G))</f>
        <v/>
      </c>
      <c r="D986" s="19"/>
      <c r="E986" s="26" t="str">
        <f>IF(A986="","",IF(SUMIFS(Estructuras!E:E,Estructuras!B:B,A$2,Estructuras!C:C,A986)&gt;0,SUMIFS(Estructuras!E:E,Estructuras!B:B,A$2,Estructuras!C:C,A986),C986*D986))</f>
        <v/>
      </c>
      <c r="F986" s="36"/>
      <c r="G986" s="36"/>
      <c r="H986" s="36"/>
      <c r="I986" s="36" t="str">
        <f t="shared" si="2"/>
        <v/>
      </c>
      <c r="J986" s="37" t="str">
        <f t="shared" si="3"/>
        <v/>
      </c>
      <c r="K986" s="38" t="str">
        <f>IF(L986="","",SUMIF(Productos!E:E,L986,Productos!A:A))</f>
        <v/>
      </c>
      <c r="M986" s="39"/>
    </row>
    <row r="987">
      <c r="A987" s="2" t="str">
        <f>IF(B987="","",SUMIF(Productos!E:E,B987,Productos!A:A))</f>
        <v/>
      </c>
      <c r="B987" s="40"/>
      <c r="C987" s="26" t="str">
        <f>IF(B987="","",SUMIF(Prearmados!E:E,B987,Prearmados!G:G))</f>
        <v/>
      </c>
      <c r="D987" s="19"/>
      <c r="E987" s="26" t="str">
        <f>IF(A987="","",IF(SUMIFS(Estructuras!E:E,Estructuras!B:B,A$2,Estructuras!C:C,A987)&gt;0,SUMIFS(Estructuras!E:E,Estructuras!B:B,A$2,Estructuras!C:C,A987),C987*D987))</f>
        <v/>
      </c>
      <c r="F987" s="36"/>
      <c r="G987" s="36"/>
      <c r="H987" s="36"/>
      <c r="I987" s="36" t="str">
        <f t="shared" si="2"/>
        <v/>
      </c>
      <c r="J987" s="37" t="str">
        <f t="shared" si="3"/>
        <v/>
      </c>
      <c r="K987" s="38" t="str">
        <f>IF(L987="","",SUMIF(Productos!E:E,L987,Productos!A:A))</f>
        <v/>
      </c>
      <c r="M987" s="39"/>
    </row>
    <row r="988">
      <c r="A988" s="2" t="str">
        <f>IF(B988="","",SUMIF(Productos!E:E,B988,Productos!A:A))</f>
        <v/>
      </c>
      <c r="B988" s="40"/>
      <c r="C988" s="26" t="str">
        <f>IF(B988="","",SUMIF(Prearmados!E:E,B988,Prearmados!G:G))</f>
        <v/>
      </c>
      <c r="D988" s="19"/>
      <c r="E988" s="26" t="str">
        <f>IF(A988="","",IF(SUMIFS(Estructuras!E:E,Estructuras!B:B,A$2,Estructuras!C:C,A988)&gt;0,SUMIFS(Estructuras!E:E,Estructuras!B:B,A$2,Estructuras!C:C,A988),C988*D988))</f>
        <v/>
      </c>
      <c r="F988" s="36"/>
      <c r="G988" s="36"/>
      <c r="H988" s="36"/>
      <c r="I988" s="36" t="str">
        <f t="shared" si="2"/>
        <v/>
      </c>
      <c r="J988" s="37" t="str">
        <f t="shared" si="3"/>
        <v/>
      </c>
      <c r="K988" s="38" t="str">
        <f>IF(L988="","",SUMIF(Productos!E:E,L988,Productos!A:A))</f>
        <v/>
      </c>
      <c r="M988" s="39"/>
    </row>
    <row r="989">
      <c r="A989" s="2" t="str">
        <f>IF(B989="","",SUMIF(Productos!E:E,B989,Productos!A:A))</f>
        <v/>
      </c>
      <c r="B989" s="40"/>
      <c r="C989" s="26" t="str">
        <f>IF(B989="","",SUMIF(Prearmados!E:E,B989,Prearmados!G:G))</f>
        <v/>
      </c>
      <c r="D989" s="19"/>
      <c r="E989" s="26" t="str">
        <f>IF(A989="","",IF(SUMIFS(Estructuras!E:E,Estructuras!B:B,A$2,Estructuras!C:C,A989)&gt;0,SUMIFS(Estructuras!E:E,Estructuras!B:B,A$2,Estructuras!C:C,A989),C989*D989))</f>
        <v/>
      </c>
      <c r="F989" s="36"/>
      <c r="G989" s="36"/>
      <c r="H989" s="36"/>
      <c r="I989" s="36" t="str">
        <f t="shared" si="2"/>
        <v/>
      </c>
      <c r="J989" s="37" t="str">
        <f t="shared" si="3"/>
        <v/>
      </c>
      <c r="K989" s="38" t="str">
        <f>IF(L989="","",SUMIF(Productos!E:E,L989,Productos!A:A))</f>
        <v/>
      </c>
      <c r="M989" s="39"/>
    </row>
    <row r="990">
      <c r="A990" s="2" t="str">
        <f>IF(B990="","",SUMIF(Productos!E:E,B990,Productos!A:A))</f>
        <v/>
      </c>
      <c r="B990" s="40"/>
      <c r="C990" s="26" t="str">
        <f>IF(B990="","",SUMIF(Prearmados!E:E,B990,Prearmados!G:G))</f>
        <v/>
      </c>
      <c r="D990" s="19"/>
      <c r="E990" s="26" t="str">
        <f>IF(A990="","",IF(SUMIFS(Estructuras!E:E,Estructuras!B:B,A$2,Estructuras!C:C,A990)&gt;0,SUMIFS(Estructuras!E:E,Estructuras!B:B,A$2,Estructuras!C:C,A990),C990*D990))</f>
        <v/>
      </c>
      <c r="F990" s="36"/>
      <c r="G990" s="36"/>
      <c r="H990" s="36"/>
      <c r="I990" s="36" t="str">
        <f t="shared" si="2"/>
        <v/>
      </c>
      <c r="J990" s="37" t="str">
        <f t="shared" si="3"/>
        <v/>
      </c>
      <c r="K990" s="38" t="str">
        <f>IF(L990="","",SUMIF(Productos!E:E,L990,Productos!A:A))</f>
        <v/>
      </c>
      <c r="M990" s="39"/>
    </row>
    <row r="991">
      <c r="A991" s="2" t="str">
        <f>IF(B991="","",SUMIF(Productos!E:E,B991,Productos!A:A))</f>
        <v/>
      </c>
      <c r="B991" s="40"/>
      <c r="C991" s="26" t="str">
        <f>IF(B991="","",SUMIF(Prearmados!E:E,B991,Prearmados!G:G))</f>
        <v/>
      </c>
      <c r="D991" s="19"/>
      <c r="E991" s="26" t="str">
        <f>IF(A991="","",IF(SUMIFS(Estructuras!E:E,Estructuras!B:B,A$2,Estructuras!C:C,A991)&gt;0,SUMIFS(Estructuras!E:E,Estructuras!B:B,A$2,Estructuras!C:C,A991),C991*D991))</f>
        <v/>
      </c>
      <c r="F991" s="36"/>
      <c r="G991" s="36"/>
      <c r="H991" s="36"/>
      <c r="I991" s="36" t="str">
        <f t="shared" si="2"/>
        <v/>
      </c>
      <c r="J991" s="37" t="str">
        <f t="shared" si="3"/>
        <v/>
      </c>
      <c r="K991" s="38" t="str">
        <f>IF(L991="","",SUMIF(Productos!E:E,L991,Productos!A:A))</f>
        <v/>
      </c>
      <c r="M991" s="39"/>
    </row>
    <row r="992">
      <c r="A992" s="2" t="str">
        <f>IF(B992="","",SUMIF(Productos!E:E,B992,Productos!A:A))</f>
        <v/>
      </c>
      <c r="B992" s="40"/>
      <c r="C992" s="26" t="str">
        <f>IF(B992="","",SUMIF(Prearmados!E:E,B992,Prearmados!G:G))</f>
        <v/>
      </c>
      <c r="D992" s="19"/>
      <c r="E992" s="26" t="str">
        <f>IF(A992="","",IF(SUMIFS(Estructuras!E:E,Estructuras!B:B,A$2,Estructuras!C:C,A992)&gt;0,SUMIFS(Estructuras!E:E,Estructuras!B:B,A$2,Estructuras!C:C,A992),C992*D992))</f>
        <v/>
      </c>
      <c r="F992" s="36"/>
      <c r="G992" s="36"/>
      <c r="H992" s="36"/>
      <c r="I992" s="36" t="str">
        <f t="shared" si="2"/>
        <v/>
      </c>
      <c r="J992" s="37" t="str">
        <f t="shared" si="3"/>
        <v/>
      </c>
      <c r="K992" s="38" t="str">
        <f>IF(L992="","",SUMIF(Productos!E:E,L992,Productos!A:A))</f>
        <v/>
      </c>
      <c r="M992" s="39"/>
    </row>
    <row r="993">
      <c r="A993" s="2" t="str">
        <f>IF(B993="","",SUMIF(Productos!E:E,B993,Productos!A:A))</f>
        <v/>
      </c>
      <c r="B993" s="40"/>
      <c r="C993" s="26" t="str">
        <f>IF(B993="","",SUMIF(Prearmados!E:E,B993,Prearmados!G:G))</f>
        <v/>
      </c>
      <c r="D993" s="19"/>
      <c r="E993" s="26" t="str">
        <f>IF(A993="","",IF(SUMIFS(Estructuras!E:E,Estructuras!B:B,A$2,Estructuras!C:C,A993)&gt;0,SUMIFS(Estructuras!E:E,Estructuras!B:B,A$2,Estructuras!C:C,A993),C993*D993))</f>
        <v/>
      </c>
      <c r="F993" s="36"/>
      <c r="G993" s="36"/>
      <c r="H993" s="36"/>
      <c r="I993" s="36" t="str">
        <f t="shared" si="2"/>
        <v/>
      </c>
      <c r="J993" s="37" t="str">
        <f t="shared" si="3"/>
        <v/>
      </c>
      <c r="K993" s="38" t="str">
        <f>IF(L993="","",SUMIF(Productos!E:E,L993,Productos!A:A))</f>
        <v/>
      </c>
      <c r="M993" s="39"/>
    </row>
    <row r="994">
      <c r="A994" s="2" t="str">
        <f>IF(B994="","",SUMIF(Productos!E:E,B994,Productos!A:A))</f>
        <v/>
      </c>
      <c r="B994" s="40"/>
      <c r="C994" s="26" t="str">
        <f>IF(B994="","",SUMIF(Prearmados!E:E,B994,Prearmados!G:G))</f>
        <v/>
      </c>
      <c r="D994" s="19"/>
      <c r="E994" s="26" t="str">
        <f>IF(A994="","",IF(SUMIFS(Estructuras!E:E,Estructuras!B:B,A$2,Estructuras!C:C,A994)&gt;0,SUMIFS(Estructuras!E:E,Estructuras!B:B,A$2,Estructuras!C:C,A994),C994*D994))</f>
        <v/>
      </c>
      <c r="F994" s="36"/>
      <c r="G994" s="36"/>
      <c r="H994" s="36"/>
      <c r="I994" s="36" t="str">
        <f t="shared" si="2"/>
        <v/>
      </c>
      <c r="J994" s="37" t="str">
        <f t="shared" si="3"/>
        <v/>
      </c>
      <c r="K994" s="38" t="str">
        <f>IF(L994="","",SUMIF(Productos!E:E,L994,Productos!A:A))</f>
        <v/>
      </c>
      <c r="M994" s="39"/>
    </row>
    <row r="995">
      <c r="A995" s="2" t="str">
        <f>IF(B995="","",SUMIF(Productos!E:E,B995,Productos!A:A))</f>
        <v/>
      </c>
      <c r="B995" s="40"/>
      <c r="C995" s="26" t="str">
        <f>IF(B995="","",SUMIF(Prearmados!E:E,B995,Prearmados!G:G))</f>
        <v/>
      </c>
      <c r="D995" s="19"/>
      <c r="E995" s="26" t="str">
        <f>IF(A995="","",IF(SUMIFS(Estructuras!E:E,Estructuras!B:B,A$2,Estructuras!C:C,A995)&gt;0,SUMIFS(Estructuras!E:E,Estructuras!B:B,A$2,Estructuras!C:C,A995),C995*D995))</f>
        <v/>
      </c>
      <c r="F995" s="36"/>
      <c r="G995" s="36"/>
      <c r="H995" s="36"/>
      <c r="I995" s="36" t="str">
        <f t="shared" si="2"/>
        <v/>
      </c>
      <c r="J995" s="37" t="str">
        <f t="shared" si="3"/>
        <v/>
      </c>
      <c r="K995" s="38" t="str">
        <f>IF(L995="","",SUMIF(Productos!E:E,L995,Productos!A:A))</f>
        <v/>
      </c>
      <c r="M995" s="39"/>
    </row>
    <row r="996">
      <c r="A996" s="2" t="str">
        <f>IF(B996="","",SUMIF(Productos!E:E,B996,Productos!A:A))</f>
        <v/>
      </c>
      <c r="B996" s="40"/>
      <c r="C996" s="26" t="str">
        <f>IF(B996="","",SUMIF(Prearmados!E:E,B996,Prearmados!G:G))</f>
        <v/>
      </c>
      <c r="D996" s="19"/>
      <c r="E996" s="26" t="str">
        <f>IF(A996="","",IF(SUMIFS(Estructuras!E:E,Estructuras!B:B,A$2,Estructuras!C:C,A996)&gt;0,SUMIFS(Estructuras!E:E,Estructuras!B:B,A$2,Estructuras!C:C,A996),C996*D996))</f>
        <v/>
      </c>
      <c r="F996" s="36"/>
      <c r="G996" s="36"/>
      <c r="H996" s="36"/>
      <c r="I996" s="36" t="str">
        <f t="shared" si="2"/>
        <v/>
      </c>
      <c r="J996" s="37" t="str">
        <f t="shared" si="3"/>
        <v/>
      </c>
      <c r="K996" s="38" t="str">
        <f>IF(L996="","",SUMIF(Productos!E:E,L996,Productos!A:A))</f>
        <v/>
      </c>
      <c r="M996" s="39"/>
    </row>
    <row r="997">
      <c r="A997" s="2" t="str">
        <f>IF(B997="","",SUMIF(Productos!E:E,B997,Productos!A:A))</f>
        <v/>
      </c>
      <c r="B997" s="40"/>
      <c r="C997" s="26" t="str">
        <f>IF(B997="","",SUMIF(Prearmados!E:E,B997,Prearmados!G:G))</f>
        <v/>
      </c>
      <c r="D997" s="19"/>
      <c r="E997" s="26" t="str">
        <f>IF(A997="","",IF(SUMIFS(Estructuras!E:E,Estructuras!B:B,A$2,Estructuras!C:C,A997)&gt;0,SUMIFS(Estructuras!E:E,Estructuras!B:B,A$2,Estructuras!C:C,A997),C997*D997))</f>
        <v/>
      </c>
      <c r="F997" s="36"/>
      <c r="G997" s="36"/>
      <c r="H997" s="36"/>
      <c r="I997" s="36" t="str">
        <f t="shared" si="2"/>
        <v/>
      </c>
      <c r="J997" s="37" t="str">
        <f t="shared" si="3"/>
        <v/>
      </c>
      <c r="K997" s="38" t="str">
        <f>IF(L997="","",SUMIF(Productos!E:E,L997,Productos!A:A))</f>
        <v/>
      </c>
      <c r="M997" s="39"/>
    </row>
    <row r="998">
      <c r="A998" s="2" t="str">
        <f>IF(B998="","",SUMIF(Productos!E:E,B998,Productos!A:A))</f>
        <v/>
      </c>
      <c r="B998" s="40"/>
      <c r="C998" s="26" t="str">
        <f>IF(B998="","",SUMIF(Prearmados!E:E,B998,Prearmados!G:G))</f>
        <v/>
      </c>
      <c r="D998" s="19"/>
      <c r="E998" s="26" t="str">
        <f>IF(A998="","",IF(SUMIFS(Estructuras!E:E,Estructuras!B:B,A$2,Estructuras!C:C,A998)&gt;0,SUMIFS(Estructuras!E:E,Estructuras!B:B,A$2,Estructuras!C:C,A998),C998*D998))</f>
        <v/>
      </c>
      <c r="F998" s="36"/>
      <c r="G998" s="36"/>
      <c r="H998" s="36"/>
      <c r="I998" s="36" t="str">
        <f t="shared" si="2"/>
        <v/>
      </c>
      <c r="J998" s="37" t="str">
        <f t="shared" si="3"/>
        <v/>
      </c>
      <c r="K998" s="38" t="str">
        <f>IF(L998="","",SUMIF(Productos!E:E,L998,Productos!A:A))</f>
        <v/>
      </c>
      <c r="M998" s="39"/>
    </row>
    <row r="999">
      <c r="A999" s="2" t="str">
        <f>IF(B999="","",SUMIF(Productos!E:E,B999,Productos!A:A))</f>
        <v/>
      </c>
      <c r="B999" s="40"/>
      <c r="C999" s="26" t="str">
        <f>IF(B999="","",SUMIF(Prearmados!E:E,B999,Prearmados!G:G))</f>
        <v/>
      </c>
      <c r="D999" s="19"/>
      <c r="E999" s="26" t="str">
        <f>IF(A999="","",IF(SUMIFS(Estructuras!E:E,Estructuras!B:B,A$2,Estructuras!C:C,A999)&gt;0,SUMIFS(Estructuras!E:E,Estructuras!B:B,A$2,Estructuras!C:C,A999),C999*D999))</f>
        <v/>
      </c>
      <c r="F999" s="36"/>
      <c r="G999" s="36"/>
      <c r="H999" s="36"/>
      <c r="I999" s="36" t="str">
        <f t="shared" si="2"/>
        <v/>
      </c>
      <c r="J999" s="37" t="str">
        <f t="shared" si="3"/>
        <v/>
      </c>
      <c r="K999" s="38" t="str">
        <f>IF(L999="","",SUMIF(Productos!E:E,L999,Productos!A:A))</f>
        <v/>
      </c>
      <c r="M999" s="39"/>
    </row>
    <row r="1000">
      <c r="A1000" s="2" t="str">
        <f>IF(B1000="","",SUMIF(Productos!E:E,B1000,Productos!A:A))</f>
        <v/>
      </c>
      <c r="B1000" s="40"/>
      <c r="C1000" s="26" t="str">
        <f>IF(B1000="","",SUMIF(Prearmados!E:E,B1000,Prearmados!G:G))</f>
        <v/>
      </c>
      <c r="D1000" s="19"/>
      <c r="E1000" s="26" t="str">
        <f>IF(A1000="","",IF(SUMIFS(Estructuras!E:E,Estructuras!B:B,A$2,Estructuras!C:C,A1000)&gt;0,SUMIFS(Estructuras!E:E,Estructuras!B:B,A$2,Estructuras!C:C,A1000),C1000*D1000))</f>
        <v/>
      </c>
      <c r="F1000" s="36"/>
      <c r="G1000" s="36"/>
      <c r="H1000" s="36"/>
      <c r="I1000" s="36" t="str">
        <f t="shared" si="2"/>
        <v/>
      </c>
      <c r="J1000" s="37" t="str">
        <f t="shared" si="3"/>
        <v/>
      </c>
      <c r="K1000" s="38" t="str">
        <f>IF(L1000="","",SUMIF(Productos!E:E,L1000,Productos!A:A))</f>
        <v/>
      </c>
      <c r="M1000" s="39"/>
    </row>
    <row r="1001">
      <c r="A1001" s="2" t="str">
        <f>IF(B1001="","",SUMIF(Productos!E:E,B1001,Productos!A:A))</f>
        <v/>
      </c>
      <c r="B1001" s="40"/>
      <c r="C1001" s="26" t="str">
        <f>IF(B1001="","",SUMIF(Prearmados!E:E,B1001,Prearmados!G:G))</f>
        <v/>
      </c>
      <c r="D1001" s="19"/>
      <c r="E1001" s="26" t="str">
        <f>IF(A1001="","",IF(SUMIFS(Estructuras!E:E,Estructuras!B:B,A$2,Estructuras!C:C,A1001)&gt;0,SUMIFS(Estructuras!E:E,Estructuras!B:B,A$2,Estructuras!C:C,A1001),C1001*D1001))</f>
        <v/>
      </c>
      <c r="F1001" s="36"/>
      <c r="G1001" s="36"/>
      <c r="H1001" s="36"/>
      <c r="I1001" s="36"/>
      <c r="J1001" s="37"/>
      <c r="K1001" s="38"/>
      <c r="M1001" s="39"/>
    </row>
  </sheetData>
  <mergeCells count="2">
    <mergeCell ref="K1:K2"/>
    <mergeCell ref="L1:L2"/>
  </mergeCells>
  <dataValidations>
    <dataValidation type="list" allowBlank="1" showErrorMessage="1" sqref="B2">
      <formula1>LMC!$B$2:$B$1000</formula1>
    </dataValidation>
    <dataValidation type="list" allowBlank="1" showErrorMessage="1" sqref="B18">
      <formula1>LMC!$D$2:$D$1000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5.38"/>
  </cols>
  <sheetData>
    <row r="1">
      <c r="A1" s="5" t="s">
        <v>209</v>
      </c>
      <c r="B1" s="5" t="s">
        <v>21</v>
      </c>
      <c r="C1" s="5" t="s">
        <v>210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2" t="s">
        <v>211</v>
      </c>
      <c r="B2" s="2" t="s">
        <v>212</v>
      </c>
      <c r="C2" s="2">
        <v>0.75</v>
      </c>
    </row>
    <row r="3">
      <c r="A3" s="2" t="s">
        <v>213</v>
      </c>
      <c r="B3" s="2" t="s">
        <v>214</v>
      </c>
      <c r="C3" s="2"/>
    </row>
    <row r="4">
      <c r="A4" s="2" t="s">
        <v>213</v>
      </c>
      <c r="B4" s="2">
        <v>770.0</v>
      </c>
      <c r="C4" s="2">
        <v>1100.0</v>
      </c>
    </row>
    <row r="5">
      <c r="A5" s="2" t="s">
        <v>213</v>
      </c>
      <c r="B5" s="2">
        <v>870.0</v>
      </c>
      <c r="C5" s="2">
        <v>1300.0</v>
      </c>
    </row>
    <row r="6">
      <c r="A6" s="2" t="s">
        <v>213</v>
      </c>
      <c r="B6" s="2">
        <v>1090.0</v>
      </c>
      <c r="C6" s="2">
        <v>1600.0</v>
      </c>
    </row>
    <row r="7">
      <c r="A7" s="2" t="s">
        <v>211</v>
      </c>
      <c r="B7" s="2" t="s">
        <v>215</v>
      </c>
      <c r="C7" s="2">
        <v>0.45</v>
      </c>
    </row>
    <row r="8">
      <c r="A8" s="2" t="s">
        <v>216</v>
      </c>
      <c r="B8" s="2">
        <v>500.0</v>
      </c>
      <c r="C8" s="2">
        <v>215.0</v>
      </c>
    </row>
    <row r="9">
      <c r="A9" s="2" t="s">
        <v>217</v>
      </c>
      <c r="B9" s="2">
        <v>1500.0</v>
      </c>
      <c r="C9" s="2">
        <v>2250.0</v>
      </c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  <row r="1001">
      <c r="A1001" s="4"/>
      <c r="B1001" s="4"/>
      <c r="C1001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56.38"/>
    <col customWidth="1" min="9" max="9" width="13.88"/>
    <col customWidth="1" min="10" max="10" width="9.88"/>
  </cols>
  <sheetData>
    <row r="1">
      <c r="A1" s="2" t="s">
        <v>36</v>
      </c>
      <c r="B1" s="2" t="s">
        <v>157</v>
      </c>
      <c r="C1" s="2" t="s">
        <v>16</v>
      </c>
      <c r="D1" s="1" t="s">
        <v>218</v>
      </c>
      <c r="E1" s="2" t="s">
        <v>214</v>
      </c>
      <c r="F1" s="2" t="s">
        <v>219</v>
      </c>
      <c r="G1" s="2" t="s">
        <v>220</v>
      </c>
      <c r="H1" s="2" t="s">
        <v>221</v>
      </c>
      <c r="I1" s="1" t="s">
        <v>222</v>
      </c>
      <c r="J1" s="1" t="s">
        <v>223</v>
      </c>
    </row>
    <row r="2">
      <c r="A2" s="4">
        <f t="shared" ref="A2:A996" si="1">IF(B2="","",max(A$1:A1)+1)</f>
        <v>1</v>
      </c>
      <c r="B2" s="2" t="s">
        <v>57</v>
      </c>
      <c r="C2" s="2" t="s">
        <v>64</v>
      </c>
      <c r="D2" s="1" t="s">
        <v>224</v>
      </c>
      <c r="E2" s="4"/>
      <c r="F2" s="4"/>
      <c r="G2" s="4"/>
      <c r="H2" s="4"/>
    </row>
    <row r="3">
      <c r="A3" s="4">
        <f t="shared" si="1"/>
        <v>2</v>
      </c>
      <c r="B3" s="2" t="s">
        <v>56</v>
      </c>
      <c r="C3" s="2" t="s">
        <v>63</v>
      </c>
      <c r="D3" s="1" t="s">
        <v>225</v>
      </c>
      <c r="E3" s="4"/>
      <c r="F3" s="4"/>
      <c r="G3" s="4"/>
      <c r="H3" s="4"/>
    </row>
    <row r="4">
      <c r="A4" s="4">
        <f t="shared" si="1"/>
        <v>3</v>
      </c>
      <c r="B4" s="2" t="s">
        <v>54</v>
      </c>
      <c r="C4" s="2" t="s">
        <v>62</v>
      </c>
      <c r="D4" s="1" t="s">
        <v>226</v>
      </c>
      <c r="E4" s="4"/>
      <c r="F4" s="4"/>
      <c r="G4" s="4"/>
      <c r="H4" s="4"/>
    </row>
    <row r="5">
      <c r="A5" s="4">
        <f t="shared" si="1"/>
        <v>4</v>
      </c>
      <c r="B5" s="2" t="s">
        <v>58</v>
      </c>
      <c r="C5" s="2" t="s">
        <v>227</v>
      </c>
      <c r="D5" s="1" t="s">
        <v>228</v>
      </c>
      <c r="E5" s="2">
        <v>650.0</v>
      </c>
      <c r="F5" s="2">
        <v>770.0</v>
      </c>
      <c r="G5" s="2">
        <v>870.0</v>
      </c>
      <c r="H5" s="2">
        <v>1090.0</v>
      </c>
      <c r="I5" s="2">
        <v>200.0</v>
      </c>
      <c r="J5" s="2">
        <v>800.0</v>
      </c>
    </row>
    <row r="6">
      <c r="A6" s="4">
        <f t="shared" si="1"/>
        <v>5</v>
      </c>
      <c r="B6" s="2" t="s">
        <v>229</v>
      </c>
      <c r="C6" s="2" t="s">
        <v>230</v>
      </c>
      <c r="D6" s="1" t="s">
        <v>231</v>
      </c>
      <c r="E6" s="4"/>
      <c r="F6" s="4"/>
      <c r="G6" s="4"/>
      <c r="H6" s="4"/>
    </row>
    <row r="7">
      <c r="A7" s="4">
        <f t="shared" si="1"/>
        <v>6</v>
      </c>
      <c r="B7" s="2" t="s">
        <v>80</v>
      </c>
      <c r="C7" s="2" t="s">
        <v>64</v>
      </c>
      <c r="D7" s="1" t="s">
        <v>232</v>
      </c>
      <c r="E7" s="4"/>
      <c r="F7" s="4"/>
      <c r="G7" s="4"/>
      <c r="H7" s="4"/>
    </row>
    <row r="8">
      <c r="A8" s="4">
        <f t="shared" si="1"/>
        <v>7</v>
      </c>
      <c r="B8" s="2" t="s">
        <v>98</v>
      </c>
      <c r="C8" s="2" t="s">
        <v>233</v>
      </c>
      <c r="D8" s="1" t="s">
        <v>234</v>
      </c>
      <c r="E8" s="4"/>
      <c r="F8" s="4"/>
      <c r="G8" s="4"/>
      <c r="H8" s="4"/>
    </row>
    <row r="9">
      <c r="A9" s="4">
        <f t="shared" si="1"/>
        <v>8</v>
      </c>
      <c r="B9" s="2" t="s">
        <v>119</v>
      </c>
      <c r="C9" s="2" t="s">
        <v>233</v>
      </c>
      <c r="D9" s="1" t="s">
        <v>235</v>
      </c>
      <c r="E9" s="4"/>
      <c r="F9" s="4"/>
      <c r="G9" s="4"/>
      <c r="H9" s="4"/>
    </row>
    <row r="10">
      <c r="A10" s="4">
        <f t="shared" si="1"/>
        <v>9</v>
      </c>
      <c r="B10" s="2" t="s">
        <v>118</v>
      </c>
      <c r="C10" s="2" t="s">
        <v>233</v>
      </c>
      <c r="D10" s="1" t="s">
        <v>236</v>
      </c>
      <c r="E10" s="4"/>
      <c r="F10" s="4"/>
      <c r="G10" s="4"/>
      <c r="H10" s="4"/>
    </row>
    <row r="11">
      <c r="A11" s="4">
        <f t="shared" si="1"/>
        <v>10</v>
      </c>
      <c r="B11" s="2" t="s">
        <v>143</v>
      </c>
      <c r="C11" s="2" t="s">
        <v>227</v>
      </c>
      <c r="D11" s="1" t="s">
        <v>237</v>
      </c>
      <c r="E11" s="4"/>
      <c r="F11" s="4"/>
      <c r="G11" s="4"/>
      <c r="H11" s="4"/>
    </row>
    <row r="12">
      <c r="A12" s="4" t="str">
        <f t="shared" si="1"/>
        <v/>
      </c>
      <c r="B12" s="4"/>
      <c r="C12" s="4"/>
      <c r="E12" s="4"/>
      <c r="F12" s="4"/>
      <c r="G12" s="4"/>
      <c r="H12" s="4"/>
    </row>
    <row r="13">
      <c r="A13" s="4" t="str">
        <f t="shared" si="1"/>
        <v/>
      </c>
      <c r="B13" s="4"/>
      <c r="C13" s="4"/>
      <c r="E13" s="4"/>
      <c r="F13" s="4"/>
      <c r="G13" s="4"/>
      <c r="H13" s="4"/>
    </row>
    <row r="14">
      <c r="A14" s="4" t="str">
        <f t="shared" si="1"/>
        <v/>
      </c>
      <c r="B14" s="4"/>
      <c r="C14" s="4"/>
      <c r="E14" s="4"/>
      <c r="F14" s="4"/>
      <c r="G14" s="4"/>
      <c r="H14" s="4"/>
    </row>
    <row r="15">
      <c r="A15" s="4" t="str">
        <f t="shared" si="1"/>
        <v/>
      </c>
      <c r="B15" s="4"/>
      <c r="C15" s="4"/>
      <c r="E15" s="4"/>
      <c r="F15" s="4"/>
      <c r="G15" s="4"/>
      <c r="H15" s="4"/>
    </row>
    <row r="16">
      <c r="A16" s="4" t="str">
        <f t="shared" si="1"/>
        <v/>
      </c>
      <c r="B16" s="4"/>
      <c r="C16" s="4"/>
      <c r="E16" s="4"/>
      <c r="F16" s="4"/>
      <c r="G16" s="4"/>
      <c r="H16" s="4"/>
    </row>
    <row r="17">
      <c r="A17" s="4" t="str">
        <f t="shared" si="1"/>
        <v/>
      </c>
      <c r="B17" s="4"/>
      <c r="C17" s="4"/>
      <c r="E17" s="4"/>
      <c r="F17" s="4"/>
      <c r="G17" s="4"/>
      <c r="H17" s="4"/>
    </row>
    <row r="18">
      <c r="A18" s="4" t="str">
        <f t="shared" si="1"/>
        <v/>
      </c>
      <c r="B18" s="4"/>
      <c r="C18" s="4"/>
      <c r="E18" s="4"/>
      <c r="F18" s="4"/>
      <c r="G18" s="4"/>
      <c r="H18" s="4"/>
    </row>
    <row r="19">
      <c r="A19" s="4" t="str">
        <f t="shared" si="1"/>
        <v/>
      </c>
      <c r="B19" s="4"/>
      <c r="C19" s="4"/>
      <c r="E19" s="4"/>
      <c r="F19" s="4"/>
      <c r="G19" s="4"/>
      <c r="H19" s="4"/>
    </row>
    <row r="20">
      <c r="A20" s="4" t="str">
        <f t="shared" si="1"/>
        <v/>
      </c>
      <c r="B20" s="4"/>
      <c r="C20" s="4"/>
      <c r="E20" s="4"/>
      <c r="F20" s="4"/>
      <c r="G20" s="4"/>
      <c r="H20" s="4"/>
    </row>
    <row r="21">
      <c r="A21" s="4" t="str">
        <f t="shared" si="1"/>
        <v/>
      </c>
      <c r="B21" s="4"/>
      <c r="C21" s="4"/>
      <c r="E21" s="4"/>
      <c r="F21" s="4"/>
      <c r="G21" s="4"/>
      <c r="H21" s="4"/>
    </row>
    <row r="22">
      <c r="A22" s="4" t="str">
        <f t="shared" si="1"/>
        <v/>
      </c>
      <c r="B22" s="4"/>
      <c r="C22" s="4"/>
      <c r="E22" s="4"/>
      <c r="F22" s="4"/>
      <c r="G22" s="4"/>
      <c r="H22" s="4"/>
    </row>
    <row r="23">
      <c r="A23" s="4" t="str">
        <f t="shared" si="1"/>
        <v/>
      </c>
      <c r="B23" s="4"/>
      <c r="C23" s="4"/>
      <c r="E23" s="4"/>
      <c r="F23" s="4"/>
      <c r="G23" s="4"/>
      <c r="H23" s="4"/>
    </row>
    <row r="24">
      <c r="A24" s="4" t="str">
        <f t="shared" si="1"/>
        <v/>
      </c>
      <c r="B24" s="4"/>
      <c r="C24" s="4"/>
      <c r="E24" s="4"/>
      <c r="F24" s="4"/>
      <c r="G24" s="4"/>
      <c r="H24" s="4"/>
    </row>
    <row r="25">
      <c r="A25" s="4" t="str">
        <f t="shared" si="1"/>
        <v/>
      </c>
      <c r="B25" s="4"/>
      <c r="C25" s="4"/>
      <c r="E25" s="4"/>
      <c r="F25" s="4"/>
      <c r="G25" s="4"/>
      <c r="H25" s="4"/>
    </row>
    <row r="26">
      <c r="A26" s="4" t="str">
        <f t="shared" si="1"/>
        <v/>
      </c>
      <c r="B26" s="4"/>
      <c r="C26" s="4"/>
      <c r="E26" s="4"/>
      <c r="F26" s="4"/>
      <c r="G26" s="4"/>
      <c r="H26" s="4"/>
    </row>
    <row r="27">
      <c r="A27" s="4" t="str">
        <f t="shared" si="1"/>
        <v/>
      </c>
      <c r="B27" s="4"/>
      <c r="C27" s="4"/>
      <c r="E27" s="4"/>
      <c r="F27" s="4"/>
      <c r="G27" s="4"/>
      <c r="H27" s="4"/>
    </row>
    <row r="28">
      <c r="A28" s="4" t="str">
        <f t="shared" si="1"/>
        <v/>
      </c>
      <c r="B28" s="4"/>
      <c r="C28" s="4"/>
      <c r="E28" s="4"/>
      <c r="F28" s="4"/>
      <c r="G28" s="4"/>
      <c r="H28" s="4"/>
    </row>
    <row r="29">
      <c r="A29" s="4" t="str">
        <f t="shared" si="1"/>
        <v/>
      </c>
      <c r="B29" s="4"/>
      <c r="C29" s="4"/>
      <c r="E29" s="4"/>
      <c r="F29" s="4"/>
      <c r="G29" s="4"/>
      <c r="H29" s="4"/>
    </row>
    <row r="30">
      <c r="A30" s="4" t="str">
        <f t="shared" si="1"/>
        <v/>
      </c>
      <c r="B30" s="4"/>
      <c r="C30" s="4"/>
      <c r="E30" s="4"/>
      <c r="F30" s="4"/>
      <c r="G30" s="4"/>
      <c r="H30" s="4"/>
    </row>
    <row r="31">
      <c r="A31" s="4" t="str">
        <f t="shared" si="1"/>
        <v/>
      </c>
      <c r="B31" s="4"/>
      <c r="C31" s="4"/>
      <c r="E31" s="4"/>
      <c r="F31" s="4"/>
      <c r="G31" s="4"/>
      <c r="H31" s="4"/>
    </row>
    <row r="32">
      <c r="A32" s="4" t="str">
        <f t="shared" si="1"/>
        <v/>
      </c>
      <c r="B32" s="4"/>
      <c r="C32" s="4"/>
      <c r="E32" s="4"/>
      <c r="F32" s="4"/>
      <c r="G32" s="4"/>
      <c r="H32" s="4"/>
    </row>
    <row r="33">
      <c r="A33" s="4" t="str">
        <f t="shared" si="1"/>
        <v/>
      </c>
      <c r="B33" s="4"/>
      <c r="C33" s="4"/>
      <c r="E33" s="4"/>
      <c r="F33" s="4"/>
      <c r="G33" s="4"/>
      <c r="H33" s="4"/>
    </row>
    <row r="34">
      <c r="A34" s="4" t="str">
        <f t="shared" si="1"/>
        <v/>
      </c>
      <c r="B34" s="4"/>
      <c r="C34" s="4"/>
      <c r="E34" s="4"/>
      <c r="F34" s="4"/>
      <c r="G34" s="4"/>
      <c r="H34" s="4"/>
    </row>
    <row r="35">
      <c r="A35" s="4" t="str">
        <f t="shared" si="1"/>
        <v/>
      </c>
      <c r="B35" s="4"/>
      <c r="C35" s="4"/>
      <c r="E35" s="4"/>
      <c r="F35" s="4"/>
      <c r="G35" s="4"/>
      <c r="H35" s="4"/>
    </row>
    <row r="36">
      <c r="A36" s="4" t="str">
        <f t="shared" si="1"/>
        <v/>
      </c>
      <c r="B36" s="4"/>
      <c r="C36" s="4"/>
      <c r="E36" s="4"/>
      <c r="F36" s="4"/>
      <c r="G36" s="4"/>
      <c r="H36" s="4"/>
    </row>
    <row r="37">
      <c r="A37" s="4" t="str">
        <f t="shared" si="1"/>
        <v/>
      </c>
      <c r="B37" s="4"/>
      <c r="C37" s="4"/>
      <c r="E37" s="4"/>
      <c r="F37" s="4"/>
      <c r="G37" s="4"/>
      <c r="H37" s="4"/>
    </row>
    <row r="38">
      <c r="A38" s="4" t="str">
        <f t="shared" si="1"/>
        <v/>
      </c>
      <c r="B38" s="4"/>
      <c r="C38" s="4"/>
      <c r="E38" s="4"/>
      <c r="F38" s="4"/>
      <c r="G38" s="4"/>
      <c r="H38" s="4"/>
    </row>
    <row r="39">
      <c r="A39" s="4" t="str">
        <f t="shared" si="1"/>
        <v/>
      </c>
      <c r="B39" s="4"/>
      <c r="C39" s="4"/>
      <c r="E39" s="4"/>
      <c r="F39" s="4"/>
      <c r="G39" s="4"/>
      <c r="H39" s="4"/>
    </row>
    <row r="40">
      <c r="A40" s="4" t="str">
        <f t="shared" si="1"/>
        <v/>
      </c>
      <c r="B40" s="4"/>
      <c r="C40" s="4"/>
      <c r="E40" s="4"/>
      <c r="F40" s="4"/>
      <c r="G40" s="4"/>
      <c r="H40" s="4"/>
    </row>
    <row r="41">
      <c r="A41" s="4" t="str">
        <f t="shared" si="1"/>
        <v/>
      </c>
      <c r="B41" s="4"/>
      <c r="C41" s="4"/>
      <c r="E41" s="4"/>
      <c r="F41" s="4"/>
      <c r="G41" s="4"/>
      <c r="H41" s="4"/>
    </row>
    <row r="42">
      <c r="A42" s="4" t="str">
        <f t="shared" si="1"/>
        <v/>
      </c>
      <c r="B42" s="4"/>
      <c r="C42" s="4"/>
      <c r="E42" s="4"/>
      <c r="F42" s="4"/>
      <c r="G42" s="4"/>
      <c r="H42" s="4"/>
    </row>
    <row r="43">
      <c r="A43" s="4" t="str">
        <f t="shared" si="1"/>
        <v/>
      </c>
      <c r="B43" s="4"/>
      <c r="C43" s="4"/>
      <c r="E43" s="4"/>
      <c r="F43" s="4"/>
      <c r="G43" s="4"/>
      <c r="H43" s="4"/>
    </row>
    <row r="44">
      <c r="A44" s="4" t="str">
        <f t="shared" si="1"/>
        <v/>
      </c>
      <c r="B44" s="4"/>
      <c r="C44" s="4"/>
      <c r="E44" s="4"/>
      <c r="F44" s="4"/>
      <c r="G44" s="4"/>
      <c r="H44" s="4"/>
    </row>
    <row r="45">
      <c r="A45" s="4" t="str">
        <f t="shared" si="1"/>
        <v/>
      </c>
      <c r="B45" s="4"/>
      <c r="C45" s="4"/>
      <c r="E45" s="4"/>
      <c r="F45" s="4"/>
      <c r="G45" s="4"/>
      <c r="H45" s="4"/>
    </row>
    <row r="46">
      <c r="A46" s="4" t="str">
        <f t="shared" si="1"/>
        <v/>
      </c>
      <c r="B46" s="4"/>
      <c r="C46" s="4"/>
      <c r="E46" s="4"/>
      <c r="F46" s="4"/>
      <c r="G46" s="4"/>
      <c r="H46" s="4"/>
    </row>
    <row r="47">
      <c r="A47" s="4" t="str">
        <f t="shared" si="1"/>
        <v/>
      </c>
      <c r="B47" s="4"/>
      <c r="C47" s="4"/>
      <c r="E47" s="4"/>
      <c r="F47" s="4"/>
      <c r="G47" s="4"/>
      <c r="H47" s="4"/>
    </row>
    <row r="48">
      <c r="A48" s="4" t="str">
        <f t="shared" si="1"/>
        <v/>
      </c>
      <c r="B48" s="4"/>
      <c r="C48" s="4"/>
      <c r="E48" s="4"/>
      <c r="F48" s="4"/>
      <c r="G48" s="4"/>
      <c r="H48" s="4"/>
    </row>
    <row r="49">
      <c r="A49" s="4" t="str">
        <f t="shared" si="1"/>
        <v/>
      </c>
      <c r="B49" s="4"/>
      <c r="C49" s="4"/>
      <c r="E49" s="4"/>
      <c r="F49" s="4"/>
      <c r="G49" s="4"/>
      <c r="H49" s="4"/>
    </row>
    <row r="50">
      <c r="A50" s="4" t="str">
        <f t="shared" si="1"/>
        <v/>
      </c>
      <c r="B50" s="4"/>
      <c r="C50" s="4"/>
      <c r="E50" s="4"/>
      <c r="F50" s="4"/>
      <c r="G50" s="4"/>
      <c r="H50" s="4"/>
    </row>
    <row r="51">
      <c r="A51" s="4" t="str">
        <f t="shared" si="1"/>
        <v/>
      </c>
      <c r="B51" s="4"/>
      <c r="C51" s="4"/>
      <c r="E51" s="4"/>
      <c r="F51" s="4"/>
      <c r="G51" s="4"/>
      <c r="H51" s="4"/>
    </row>
    <row r="52">
      <c r="A52" s="4" t="str">
        <f t="shared" si="1"/>
        <v/>
      </c>
      <c r="B52" s="4"/>
      <c r="C52" s="4"/>
      <c r="E52" s="4"/>
      <c r="F52" s="4"/>
      <c r="G52" s="4"/>
      <c r="H52" s="4"/>
    </row>
    <row r="53">
      <c r="A53" s="4" t="str">
        <f t="shared" si="1"/>
        <v/>
      </c>
      <c r="B53" s="4"/>
      <c r="C53" s="4"/>
      <c r="E53" s="4"/>
      <c r="F53" s="4"/>
      <c r="G53" s="4"/>
      <c r="H53" s="4"/>
    </row>
    <row r="54">
      <c r="A54" s="4" t="str">
        <f t="shared" si="1"/>
        <v/>
      </c>
      <c r="B54" s="4"/>
      <c r="C54" s="4"/>
      <c r="E54" s="4"/>
      <c r="F54" s="4"/>
      <c r="G54" s="4"/>
      <c r="H54" s="4"/>
    </row>
    <row r="55">
      <c r="A55" s="4" t="str">
        <f t="shared" si="1"/>
        <v/>
      </c>
      <c r="B55" s="4"/>
      <c r="C55" s="4"/>
      <c r="E55" s="4"/>
      <c r="F55" s="4"/>
      <c r="G55" s="4"/>
      <c r="H55" s="4"/>
    </row>
    <row r="56">
      <c r="A56" s="4" t="str">
        <f t="shared" si="1"/>
        <v/>
      </c>
      <c r="B56" s="4"/>
      <c r="C56" s="4"/>
      <c r="E56" s="4"/>
      <c r="F56" s="4"/>
      <c r="G56" s="4"/>
      <c r="H56" s="4"/>
    </row>
    <row r="57">
      <c r="A57" s="4" t="str">
        <f t="shared" si="1"/>
        <v/>
      </c>
      <c r="B57" s="4"/>
      <c r="C57" s="4"/>
      <c r="E57" s="4"/>
      <c r="F57" s="4"/>
      <c r="G57" s="4"/>
      <c r="H57" s="4"/>
    </row>
    <row r="58">
      <c r="A58" s="4" t="str">
        <f t="shared" si="1"/>
        <v/>
      </c>
      <c r="B58" s="4"/>
      <c r="C58" s="4"/>
      <c r="E58" s="4"/>
      <c r="F58" s="4"/>
      <c r="G58" s="4"/>
      <c r="H58" s="4"/>
    </row>
    <row r="59">
      <c r="A59" s="4" t="str">
        <f t="shared" si="1"/>
        <v/>
      </c>
      <c r="B59" s="4"/>
      <c r="C59" s="4"/>
      <c r="E59" s="4"/>
      <c r="F59" s="4"/>
      <c r="G59" s="4"/>
      <c r="H59" s="4"/>
    </row>
    <row r="60">
      <c r="A60" s="4" t="str">
        <f t="shared" si="1"/>
        <v/>
      </c>
      <c r="B60" s="4"/>
      <c r="C60" s="4"/>
      <c r="E60" s="4"/>
      <c r="F60" s="4"/>
      <c r="G60" s="4"/>
      <c r="H60" s="4"/>
    </row>
    <row r="61">
      <c r="A61" s="4" t="str">
        <f t="shared" si="1"/>
        <v/>
      </c>
      <c r="B61" s="4"/>
      <c r="C61" s="4"/>
      <c r="E61" s="4"/>
      <c r="F61" s="4"/>
      <c r="G61" s="4"/>
      <c r="H61" s="4"/>
    </row>
    <row r="62">
      <c r="A62" s="4" t="str">
        <f t="shared" si="1"/>
        <v/>
      </c>
      <c r="B62" s="4"/>
      <c r="C62" s="4"/>
      <c r="E62" s="4"/>
      <c r="F62" s="4"/>
      <c r="G62" s="4"/>
      <c r="H62" s="4"/>
    </row>
    <row r="63">
      <c r="A63" s="4" t="str">
        <f t="shared" si="1"/>
        <v/>
      </c>
      <c r="B63" s="4"/>
      <c r="C63" s="4"/>
      <c r="E63" s="4"/>
      <c r="F63" s="4"/>
      <c r="G63" s="4"/>
      <c r="H63" s="4"/>
    </row>
    <row r="64">
      <c r="A64" s="4" t="str">
        <f t="shared" si="1"/>
        <v/>
      </c>
      <c r="B64" s="4"/>
      <c r="C64" s="4"/>
      <c r="E64" s="4"/>
      <c r="F64" s="4"/>
      <c r="G64" s="4"/>
      <c r="H64" s="4"/>
    </row>
    <row r="65">
      <c r="A65" s="4" t="str">
        <f t="shared" si="1"/>
        <v/>
      </c>
      <c r="B65" s="4"/>
      <c r="C65" s="4"/>
      <c r="E65" s="4"/>
      <c r="F65" s="4"/>
      <c r="G65" s="4"/>
      <c r="H65" s="4"/>
    </row>
    <row r="66">
      <c r="A66" s="4" t="str">
        <f t="shared" si="1"/>
        <v/>
      </c>
      <c r="B66" s="4"/>
      <c r="C66" s="4"/>
      <c r="E66" s="4"/>
      <c r="F66" s="4"/>
      <c r="G66" s="4"/>
      <c r="H66" s="4"/>
    </row>
    <row r="67">
      <c r="A67" s="4" t="str">
        <f t="shared" si="1"/>
        <v/>
      </c>
      <c r="B67" s="4"/>
      <c r="C67" s="4"/>
      <c r="E67" s="4"/>
      <c r="F67" s="4"/>
      <c r="G67" s="4"/>
      <c r="H67" s="4"/>
    </row>
    <row r="68">
      <c r="A68" s="4" t="str">
        <f t="shared" si="1"/>
        <v/>
      </c>
      <c r="B68" s="4"/>
      <c r="C68" s="4"/>
      <c r="E68" s="4"/>
      <c r="F68" s="4"/>
      <c r="G68" s="4"/>
      <c r="H68" s="4"/>
    </row>
    <row r="69">
      <c r="A69" s="4" t="str">
        <f t="shared" si="1"/>
        <v/>
      </c>
      <c r="B69" s="4"/>
      <c r="C69" s="4"/>
      <c r="E69" s="4"/>
      <c r="F69" s="4"/>
      <c r="G69" s="4"/>
      <c r="H69" s="4"/>
    </row>
    <row r="70">
      <c r="A70" s="4" t="str">
        <f t="shared" si="1"/>
        <v/>
      </c>
      <c r="B70" s="4"/>
      <c r="C70" s="4"/>
      <c r="E70" s="4"/>
      <c r="F70" s="4"/>
      <c r="G70" s="4"/>
      <c r="H70" s="4"/>
    </row>
    <row r="71">
      <c r="A71" s="4" t="str">
        <f t="shared" si="1"/>
        <v/>
      </c>
      <c r="B71" s="4"/>
      <c r="C71" s="4"/>
      <c r="E71" s="4"/>
      <c r="F71" s="4"/>
      <c r="G71" s="4"/>
      <c r="H71" s="4"/>
    </row>
    <row r="72">
      <c r="A72" s="4" t="str">
        <f t="shared" si="1"/>
        <v/>
      </c>
      <c r="B72" s="4"/>
      <c r="C72" s="4"/>
      <c r="E72" s="4"/>
      <c r="F72" s="4"/>
      <c r="G72" s="4"/>
      <c r="H72" s="4"/>
    </row>
    <row r="73">
      <c r="A73" s="4" t="str">
        <f t="shared" si="1"/>
        <v/>
      </c>
      <c r="B73" s="4"/>
      <c r="C73" s="4"/>
      <c r="E73" s="4"/>
      <c r="F73" s="4"/>
      <c r="G73" s="4"/>
      <c r="H73" s="4"/>
    </row>
    <row r="74">
      <c r="A74" s="4" t="str">
        <f t="shared" si="1"/>
        <v/>
      </c>
      <c r="B74" s="4"/>
      <c r="C74" s="4"/>
      <c r="E74" s="4"/>
      <c r="F74" s="4"/>
      <c r="G74" s="4"/>
      <c r="H74" s="4"/>
    </row>
    <row r="75">
      <c r="A75" s="4" t="str">
        <f t="shared" si="1"/>
        <v/>
      </c>
      <c r="B75" s="4"/>
      <c r="C75" s="4"/>
      <c r="E75" s="4"/>
      <c r="F75" s="4"/>
      <c r="G75" s="4"/>
      <c r="H75" s="4"/>
    </row>
    <row r="76">
      <c r="A76" s="4" t="str">
        <f t="shared" si="1"/>
        <v/>
      </c>
      <c r="B76" s="4"/>
      <c r="C76" s="4"/>
      <c r="E76" s="4"/>
      <c r="F76" s="4"/>
      <c r="G76" s="4"/>
      <c r="H76" s="4"/>
    </row>
    <row r="77">
      <c r="A77" s="4" t="str">
        <f t="shared" si="1"/>
        <v/>
      </c>
      <c r="B77" s="4"/>
      <c r="C77" s="4"/>
      <c r="E77" s="4"/>
      <c r="F77" s="4"/>
      <c r="G77" s="4"/>
      <c r="H77" s="4"/>
    </row>
    <row r="78">
      <c r="A78" s="4" t="str">
        <f t="shared" si="1"/>
        <v/>
      </c>
      <c r="B78" s="4"/>
      <c r="C78" s="4"/>
      <c r="E78" s="4"/>
      <c r="F78" s="4"/>
      <c r="G78" s="4"/>
      <c r="H78" s="4"/>
    </row>
    <row r="79">
      <c r="A79" s="4" t="str">
        <f t="shared" si="1"/>
        <v/>
      </c>
      <c r="B79" s="4"/>
      <c r="C79" s="4"/>
      <c r="E79" s="4"/>
      <c r="F79" s="4"/>
      <c r="G79" s="4"/>
      <c r="H79" s="4"/>
    </row>
    <row r="80">
      <c r="A80" s="4" t="str">
        <f t="shared" si="1"/>
        <v/>
      </c>
      <c r="B80" s="4"/>
      <c r="C80" s="4"/>
      <c r="E80" s="4"/>
      <c r="F80" s="4"/>
      <c r="G80" s="4"/>
      <c r="H80" s="4"/>
    </row>
    <row r="81">
      <c r="A81" s="4" t="str">
        <f t="shared" si="1"/>
        <v/>
      </c>
      <c r="B81" s="4"/>
      <c r="C81" s="4"/>
      <c r="E81" s="4"/>
      <c r="F81" s="4"/>
      <c r="G81" s="4"/>
      <c r="H81" s="4"/>
    </row>
    <row r="82">
      <c r="A82" s="4" t="str">
        <f t="shared" si="1"/>
        <v/>
      </c>
      <c r="B82" s="4"/>
      <c r="C82" s="4"/>
      <c r="E82" s="4"/>
      <c r="F82" s="4"/>
      <c r="G82" s="4"/>
      <c r="H82" s="4"/>
    </row>
    <row r="83">
      <c r="A83" s="4" t="str">
        <f t="shared" si="1"/>
        <v/>
      </c>
      <c r="B83" s="4"/>
      <c r="C83" s="4"/>
      <c r="E83" s="4"/>
      <c r="F83" s="4"/>
      <c r="G83" s="4"/>
      <c r="H83" s="4"/>
    </row>
    <row r="84">
      <c r="A84" s="4" t="str">
        <f t="shared" si="1"/>
        <v/>
      </c>
      <c r="B84" s="4"/>
      <c r="C84" s="4"/>
      <c r="E84" s="4"/>
      <c r="F84" s="4"/>
      <c r="G84" s="4"/>
      <c r="H84" s="4"/>
    </row>
    <row r="85">
      <c r="A85" s="4" t="str">
        <f t="shared" si="1"/>
        <v/>
      </c>
      <c r="B85" s="4"/>
      <c r="C85" s="4"/>
      <c r="E85" s="4"/>
      <c r="F85" s="4"/>
      <c r="G85" s="4"/>
      <c r="H85" s="4"/>
    </row>
    <row r="86">
      <c r="A86" s="4" t="str">
        <f t="shared" si="1"/>
        <v/>
      </c>
      <c r="B86" s="4"/>
      <c r="C86" s="4"/>
      <c r="E86" s="4"/>
      <c r="F86" s="4"/>
      <c r="G86" s="4"/>
      <c r="H86" s="4"/>
    </row>
    <row r="87">
      <c r="A87" s="4" t="str">
        <f t="shared" si="1"/>
        <v/>
      </c>
      <c r="B87" s="4"/>
      <c r="C87" s="4"/>
      <c r="E87" s="4"/>
      <c r="F87" s="4"/>
      <c r="G87" s="4"/>
      <c r="H87" s="4"/>
    </row>
    <row r="88">
      <c r="A88" s="4" t="str">
        <f t="shared" si="1"/>
        <v/>
      </c>
      <c r="B88" s="4"/>
      <c r="C88" s="4"/>
      <c r="E88" s="4"/>
      <c r="F88" s="4"/>
      <c r="G88" s="4"/>
      <c r="H88" s="4"/>
    </row>
    <row r="89">
      <c r="A89" s="4" t="str">
        <f t="shared" si="1"/>
        <v/>
      </c>
      <c r="B89" s="4"/>
      <c r="C89" s="4"/>
      <c r="E89" s="4"/>
      <c r="F89" s="4"/>
      <c r="G89" s="4"/>
      <c r="H89" s="4"/>
    </row>
    <row r="90">
      <c r="A90" s="4" t="str">
        <f t="shared" si="1"/>
        <v/>
      </c>
      <c r="B90" s="4"/>
      <c r="C90" s="4"/>
      <c r="E90" s="4"/>
      <c r="F90" s="4"/>
      <c r="G90" s="4"/>
      <c r="H90" s="4"/>
    </row>
    <row r="91">
      <c r="A91" s="4" t="str">
        <f t="shared" si="1"/>
        <v/>
      </c>
      <c r="B91" s="4"/>
      <c r="C91" s="4"/>
      <c r="E91" s="4"/>
      <c r="F91" s="4"/>
      <c r="G91" s="4"/>
      <c r="H91" s="4"/>
    </row>
    <row r="92">
      <c r="A92" s="4" t="str">
        <f t="shared" si="1"/>
        <v/>
      </c>
      <c r="B92" s="4"/>
      <c r="C92" s="4"/>
      <c r="E92" s="4"/>
      <c r="F92" s="4"/>
      <c r="G92" s="4"/>
      <c r="H92" s="4"/>
    </row>
    <row r="93">
      <c r="A93" s="4" t="str">
        <f t="shared" si="1"/>
        <v/>
      </c>
      <c r="B93" s="4"/>
      <c r="C93" s="4"/>
      <c r="E93" s="4"/>
      <c r="F93" s="4"/>
      <c r="G93" s="4"/>
      <c r="H93" s="4"/>
    </row>
    <row r="94">
      <c r="A94" s="4" t="str">
        <f t="shared" si="1"/>
        <v/>
      </c>
      <c r="B94" s="4"/>
      <c r="C94" s="4"/>
      <c r="E94" s="4"/>
      <c r="F94" s="4"/>
      <c r="G94" s="4"/>
      <c r="H94" s="4"/>
    </row>
    <row r="95">
      <c r="A95" s="4" t="str">
        <f t="shared" si="1"/>
        <v/>
      </c>
      <c r="B95" s="4"/>
      <c r="C95" s="4"/>
      <c r="E95" s="4"/>
      <c r="F95" s="4"/>
      <c r="G95" s="4"/>
      <c r="H95" s="4"/>
    </row>
    <row r="96">
      <c r="A96" s="4" t="str">
        <f t="shared" si="1"/>
        <v/>
      </c>
      <c r="B96" s="4"/>
      <c r="C96" s="4"/>
      <c r="E96" s="4"/>
      <c r="F96" s="4"/>
      <c r="G96" s="4"/>
      <c r="H96" s="4"/>
    </row>
    <row r="97">
      <c r="A97" s="4" t="str">
        <f t="shared" si="1"/>
        <v/>
      </c>
      <c r="B97" s="4"/>
      <c r="C97" s="4"/>
      <c r="E97" s="4"/>
      <c r="F97" s="4"/>
      <c r="G97" s="4"/>
      <c r="H97" s="4"/>
    </row>
    <row r="98">
      <c r="A98" s="4" t="str">
        <f t="shared" si="1"/>
        <v/>
      </c>
      <c r="B98" s="4"/>
      <c r="C98" s="4"/>
      <c r="E98" s="4"/>
      <c r="F98" s="4"/>
      <c r="G98" s="4"/>
      <c r="H98" s="4"/>
    </row>
    <row r="99">
      <c r="A99" s="4" t="str">
        <f t="shared" si="1"/>
        <v/>
      </c>
      <c r="B99" s="4"/>
      <c r="C99" s="4"/>
      <c r="E99" s="4"/>
      <c r="F99" s="4"/>
      <c r="G99" s="4"/>
      <c r="H99" s="4"/>
    </row>
    <row r="100">
      <c r="A100" s="4" t="str">
        <f t="shared" si="1"/>
        <v/>
      </c>
      <c r="B100" s="4"/>
      <c r="C100" s="4"/>
      <c r="E100" s="4"/>
      <c r="F100" s="4"/>
      <c r="G100" s="4"/>
      <c r="H100" s="4"/>
    </row>
    <row r="101">
      <c r="A101" s="4" t="str">
        <f t="shared" si="1"/>
        <v/>
      </c>
      <c r="B101" s="4"/>
      <c r="C101" s="4"/>
      <c r="E101" s="4"/>
      <c r="F101" s="4"/>
      <c r="G101" s="4"/>
      <c r="H101" s="4"/>
    </row>
    <row r="102">
      <c r="A102" s="4" t="str">
        <f t="shared" si="1"/>
        <v/>
      </c>
      <c r="B102" s="4"/>
      <c r="C102" s="4"/>
      <c r="E102" s="4"/>
      <c r="F102" s="4"/>
      <c r="G102" s="4"/>
      <c r="H102" s="4"/>
    </row>
    <row r="103">
      <c r="A103" s="4" t="str">
        <f t="shared" si="1"/>
        <v/>
      </c>
      <c r="B103" s="4"/>
      <c r="C103" s="4"/>
      <c r="E103" s="4"/>
      <c r="F103" s="4"/>
      <c r="G103" s="4"/>
      <c r="H103" s="4"/>
    </row>
    <row r="104">
      <c r="A104" s="4" t="str">
        <f t="shared" si="1"/>
        <v/>
      </c>
      <c r="B104" s="4"/>
      <c r="C104" s="4"/>
      <c r="E104" s="4"/>
      <c r="F104" s="4"/>
      <c r="G104" s="4"/>
      <c r="H104" s="4"/>
    </row>
    <row r="105">
      <c r="A105" s="4" t="str">
        <f t="shared" si="1"/>
        <v/>
      </c>
      <c r="B105" s="4"/>
      <c r="C105" s="4"/>
      <c r="E105" s="4"/>
      <c r="F105" s="4"/>
      <c r="G105" s="4"/>
      <c r="H105" s="4"/>
    </row>
    <row r="106">
      <c r="A106" s="4" t="str">
        <f t="shared" si="1"/>
        <v/>
      </c>
      <c r="B106" s="4"/>
      <c r="C106" s="4"/>
      <c r="E106" s="4"/>
      <c r="F106" s="4"/>
      <c r="G106" s="4"/>
      <c r="H106" s="4"/>
    </row>
    <row r="107">
      <c r="A107" s="4" t="str">
        <f t="shared" si="1"/>
        <v/>
      </c>
      <c r="B107" s="4"/>
      <c r="C107" s="4"/>
      <c r="E107" s="4"/>
      <c r="F107" s="4"/>
      <c r="G107" s="4"/>
      <c r="H107" s="4"/>
    </row>
    <row r="108">
      <c r="A108" s="4" t="str">
        <f t="shared" si="1"/>
        <v/>
      </c>
      <c r="B108" s="4"/>
      <c r="C108" s="4"/>
      <c r="E108" s="4"/>
      <c r="F108" s="4"/>
      <c r="G108" s="4"/>
      <c r="H108" s="4"/>
    </row>
    <row r="109">
      <c r="A109" s="4" t="str">
        <f t="shared" si="1"/>
        <v/>
      </c>
      <c r="B109" s="4"/>
      <c r="C109" s="4"/>
      <c r="E109" s="4"/>
      <c r="F109" s="4"/>
      <c r="G109" s="4"/>
      <c r="H109" s="4"/>
    </row>
    <row r="110">
      <c r="A110" s="4" t="str">
        <f t="shared" si="1"/>
        <v/>
      </c>
      <c r="B110" s="4"/>
      <c r="C110" s="4"/>
      <c r="E110" s="4"/>
      <c r="F110" s="4"/>
      <c r="G110" s="4"/>
      <c r="H110" s="4"/>
    </row>
    <row r="111">
      <c r="A111" s="4" t="str">
        <f t="shared" si="1"/>
        <v/>
      </c>
      <c r="B111" s="4"/>
      <c r="C111" s="4"/>
      <c r="E111" s="4"/>
      <c r="F111" s="4"/>
      <c r="G111" s="4"/>
      <c r="H111" s="4"/>
    </row>
    <row r="112">
      <c r="A112" s="4" t="str">
        <f t="shared" si="1"/>
        <v/>
      </c>
      <c r="B112" s="4"/>
      <c r="C112" s="4"/>
      <c r="E112" s="4"/>
      <c r="F112" s="4"/>
      <c r="G112" s="4"/>
      <c r="H112" s="4"/>
    </row>
    <row r="113">
      <c r="A113" s="4" t="str">
        <f t="shared" si="1"/>
        <v/>
      </c>
      <c r="B113" s="4"/>
      <c r="C113" s="4"/>
      <c r="E113" s="4"/>
      <c r="F113" s="4"/>
      <c r="G113" s="4"/>
      <c r="H113" s="4"/>
    </row>
    <row r="114">
      <c r="A114" s="4" t="str">
        <f t="shared" si="1"/>
        <v/>
      </c>
      <c r="B114" s="4"/>
      <c r="C114" s="4"/>
      <c r="E114" s="4"/>
      <c r="F114" s="4"/>
      <c r="G114" s="4"/>
      <c r="H114" s="4"/>
    </row>
    <row r="115">
      <c r="A115" s="4" t="str">
        <f t="shared" si="1"/>
        <v/>
      </c>
      <c r="B115" s="4"/>
      <c r="C115" s="4"/>
      <c r="E115" s="4"/>
      <c r="F115" s="4"/>
      <c r="G115" s="4"/>
      <c r="H115" s="4"/>
    </row>
    <row r="116">
      <c r="A116" s="4" t="str">
        <f t="shared" si="1"/>
        <v/>
      </c>
      <c r="B116" s="4"/>
      <c r="C116" s="4"/>
      <c r="E116" s="4"/>
      <c r="F116" s="4"/>
      <c r="G116" s="4"/>
      <c r="H116" s="4"/>
    </row>
    <row r="117">
      <c r="A117" s="4" t="str">
        <f t="shared" si="1"/>
        <v/>
      </c>
      <c r="B117" s="4"/>
      <c r="C117" s="4"/>
      <c r="E117" s="4"/>
      <c r="F117" s="4"/>
      <c r="G117" s="4"/>
      <c r="H117" s="4"/>
    </row>
    <row r="118">
      <c r="A118" s="4" t="str">
        <f t="shared" si="1"/>
        <v/>
      </c>
      <c r="B118" s="4"/>
      <c r="C118" s="4"/>
      <c r="E118" s="4"/>
      <c r="F118" s="4"/>
      <c r="G118" s="4"/>
      <c r="H118" s="4"/>
    </row>
    <row r="119">
      <c r="A119" s="4" t="str">
        <f t="shared" si="1"/>
        <v/>
      </c>
      <c r="B119" s="4"/>
      <c r="C119" s="4"/>
      <c r="E119" s="4"/>
      <c r="F119" s="4"/>
      <c r="G119" s="4"/>
      <c r="H119" s="4"/>
    </row>
    <row r="120">
      <c r="A120" s="4" t="str">
        <f t="shared" si="1"/>
        <v/>
      </c>
      <c r="B120" s="4"/>
      <c r="C120" s="4"/>
      <c r="E120" s="4"/>
      <c r="F120" s="4"/>
      <c r="G120" s="4"/>
      <c r="H120" s="4"/>
    </row>
    <row r="121">
      <c r="A121" s="4" t="str">
        <f t="shared" si="1"/>
        <v/>
      </c>
      <c r="B121" s="4"/>
      <c r="C121" s="4"/>
      <c r="E121" s="4"/>
      <c r="F121" s="4"/>
      <c r="G121" s="4"/>
      <c r="H121" s="4"/>
    </row>
    <row r="122">
      <c r="A122" s="4" t="str">
        <f t="shared" si="1"/>
        <v/>
      </c>
      <c r="B122" s="4"/>
      <c r="C122" s="4"/>
      <c r="E122" s="4"/>
      <c r="F122" s="4"/>
      <c r="G122" s="4"/>
      <c r="H122" s="4"/>
    </row>
    <row r="123">
      <c r="A123" s="4" t="str">
        <f t="shared" si="1"/>
        <v/>
      </c>
      <c r="B123" s="4"/>
      <c r="C123" s="4"/>
      <c r="E123" s="4"/>
      <c r="F123" s="4"/>
      <c r="G123" s="4"/>
      <c r="H123" s="4"/>
    </row>
    <row r="124">
      <c r="A124" s="4" t="str">
        <f t="shared" si="1"/>
        <v/>
      </c>
      <c r="B124" s="4"/>
      <c r="C124" s="4"/>
      <c r="E124" s="4"/>
      <c r="F124" s="4"/>
      <c r="G124" s="4"/>
      <c r="H124" s="4"/>
    </row>
    <row r="125">
      <c r="A125" s="4" t="str">
        <f t="shared" si="1"/>
        <v/>
      </c>
      <c r="B125" s="4"/>
      <c r="C125" s="4"/>
      <c r="E125" s="4"/>
      <c r="F125" s="4"/>
      <c r="G125" s="4"/>
      <c r="H125" s="4"/>
    </row>
    <row r="126">
      <c r="A126" s="4" t="str">
        <f t="shared" si="1"/>
        <v/>
      </c>
      <c r="B126" s="4"/>
      <c r="C126" s="4"/>
      <c r="E126" s="4"/>
      <c r="F126" s="4"/>
      <c r="G126" s="4"/>
      <c r="H126" s="4"/>
    </row>
    <row r="127">
      <c r="A127" s="4" t="str">
        <f t="shared" si="1"/>
        <v/>
      </c>
      <c r="B127" s="4"/>
      <c r="C127" s="4"/>
      <c r="E127" s="4"/>
      <c r="F127" s="4"/>
      <c r="G127" s="4"/>
      <c r="H127" s="4"/>
    </row>
    <row r="128">
      <c r="A128" s="4" t="str">
        <f t="shared" si="1"/>
        <v/>
      </c>
      <c r="B128" s="4"/>
      <c r="C128" s="4"/>
      <c r="E128" s="4"/>
      <c r="F128" s="4"/>
      <c r="G128" s="4"/>
      <c r="H128" s="4"/>
    </row>
    <row r="129">
      <c r="A129" s="4" t="str">
        <f t="shared" si="1"/>
        <v/>
      </c>
      <c r="B129" s="4"/>
      <c r="C129" s="4"/>
      <c r="E129" s="4"/>
      <c r="F129" s="4"/>
      <c r="G129" s="4"/>
      <c r="H129" s="4"/>
    </row>
    <row r="130">
      <c r="A130" s="4" t="str">
        <f t="shared" si="1"/>
        <v/>
      </c>
      <c r="B130" s="4"/>
      <c r="C130" s="4"/>
      <c r="E130" s="4"/>
      <c r="F130" s="4"/>
      <c r="G130" s="4"/>
      <c r="H130" s="4"/>
    </row>
    <row r="131">
      <c r="A131" s="4" t="str">
        <f t="shared" si="1"/>
        <v/>
      </c>
      <c r="B131" s="4"/>
      <c r="C131" s="4"/>
      <c r="E131" s="4"/>
      <c r="F131" s="4"/>
      <c r="G131" s="4"/>
      <c r="H131" s="4"/>
    </row>
    <row r="132">
      <c r="A132" s="4" t="str">
        <f t="shared" si="1"/>
        <v/>
      </c>
      <c r="B132" s="4"/>
      <c r="C132" s="4"/>
      <c r="E132" s="4"/>
      <c r="F132" s="4"/>
      <c r="G132" s="4"/>
      <c r="H132" s="4"/>
    </row>
    <row r="133">
      <c r="A133" s="4" t="str">
        <f t="shared" si="1"/>
        <v/>
      </c>
      <c r="B133" s="4"/>
      <c r="C133" s="4"/>
      <c r="E133" s="4"/>
      <c r="F133" s="4"/>
      <c r="G133" s="4"/>
      <c r="H133" s="4"/>
    </row>
    <row r="134">
      <c r="A134" s="4" t="str">
        <f t="shared" si="1"/>
        <v/>
      </c>
      <c r="B134" s="4"/>
      <c r="C134" s="4"/>
      <c r="E134" s="4"/>
      <c r="F134" s="4"/>
      <c r="G134" s="4"/>
      <c r="H134" s="4"/>
    </row>
    <row r="135">
      <c r="A135" s="4" t="str">
        <f t="shared" si="1"/>
        <v/>
      </c>
      <c r="B135" s="4"/>
      <c r="C135" s="4"/>
      <c r="E135" s="4"/>
      <c r="F135" s="4"/>
      <c r="G135" s="4"/>
      <c r="H135" s="4"/>
    </row>
    <row r="136">
      <c r="A136" s="4" t="str">
        <f t="shared" si="1"/>
        <v/>
      </c>
      <c r="B136" s="4"/>
      <c r="C136" s="4"/>
      <c r="E136" s="4"/>
      <c r="F136" s="4"/>
      <c r="G136" s="4"/>
      <c r="H136" s="4"/>
    </row>
    <row r="137">
      <c r="A137" s="4" t="str">
        <f t="shared" si="1"/>
        <v/>
      </c>
      <c r="B137" s="4"/>
      <c r="C137" s="4"/>
      <c r="E137" s="4"/>
      <c r="F137" s="4"/>
      <c r="G137" s="4"/>
      <c r="H137" s="4"/>
    </row>
    <row r="138">
      <c r="A138" s="4" t="str">
        <f t="shared" si="1"/>
        <v/>
      </c>
      <c r="B138" s="4"/>
      <c r="C138" s="4"/>
      <c r="E138" s="4"/>
      <c r="F138" s="4"/>
      <c r="G138" s="4"/>
      <c r="H138" s="4"/>
    </row>
    <row r="139">
      <c r="A139" s="4" t="str">
        <f t="shared" si="1"/>
        <v/>
      </c>
      <c r="B139" s="4"/>
      <c r="C139" s="4"/>
      <c r="E139" s="4"/>
      <c r="F139" s="4"/>
      <c r="G139" s="4"/>
      <c r="H139" s="4"/>
    </row>
    <row r="140">
      <c r="A140" s="4" t="str">
        <f t="shared" si="1"/>
        <v/>
      </c>
      <c r="B140" s="4"/>
      <c r="C140" s="4"/>
      <c r="E140" s="4"/>
      <c r="F140" s="4"/>
      <c r="G140" s="4"/>
      <c r="H140" s="4"/>
    </row>
    <row r="141">
      <c r="A141" s="4" t="str">
        <f t="shared" si="1"/>
        <v/>
      </c>
      <c r="B141" s="4"/>
      <c r="C141" s="4"/>
      <c r="E141" s="4"/>
      <c r="F141" s="4"/>
      <c r="G141" s="4"/>
      <c r="H141" s="4"/>
    </row>
    <row r="142">
      <c r="A142" s="4" t="str">
        <f t="shared" si="1"/>
        <v/>
      </c>
      <c r="B142" s="4"/>
      <c r="C142" s="4"/>
      <c r="E142" s="4"/>
      <c r="F142" s="4"/>
      <c r="G142" s="4"/>
      <c r="H142" s="4"/>
    </row>
    <row r="143">
      <c r="A143" s="4" t="str">
        <f t="shared" si="1"/>
        <v/>
      </c>
      <c r="B143" s="4"/>
      <c r="C143" s="4"/>
      <c r="E143" s="4"/>
      <c r="F143" s="4"/>
      <c r="G143" s="4"/>
      <c r="H143" s="4"/>
    </row>
    <row r="144">
      <c r="A144" s="4" t="str">
        <f t="shared" si="1"/>
        <v/>
      </c>
      <c r="B144" s="4"/>
      <c r="C144" s="4"/>
      <c r="E144" s="4"/>
      <c r="F144" s="4"/>
      <c r="G144" s="4"/>
      <c r="H144" s="4"/>
    </row>
    <row r="145">
      <c r="A145" s="4" t="str">
        <f t="shared" si="1"/>
        <v/>
      </c>
      <c r="B145" s="4"/>
      <c r="C145" s="4"/>
      <c r="E145" s="4"/>
      <c r="F145" s="4"/>
      <c r="G145" s="4"/>
      <c r="H145" s="4"/>
    </row>
    <row r="146">
      <c r="A146" s="4" t="str">
        <f t="shared" si="1"/>
        <v/>
      </c>
      <c r="B146" s="4"/>
      <c r="C146" s="4"/>
      <c r="E146" s="4"/>
      <c r="F146" s="4"/>
      <c r="G146" s="4"/>
      <c r="H146" s="4"/>
    </row>
    <row r="147">
      <c r="A147" s="4" t="str">
        <f t="shared" si="1"/>
        <v/>
      </c>
      <c r="B147" s="4"/>
      <c r="C147" s="4"/>
      <c r="E147" s="4"/>
      <c r="F147" s="4"/>
      <c r="G147" s="4"/>
      <c r="H147" s="4"/>
    </row>
    <row r="148">
      <c r="A148" s="4" t="str">
        <f t="shared" si="1"/>
        <v/>
      </c>
      <c r="B148" s="4"/>
      <c r="C148" s="4"/>
      <c r="E148" s="4"/>
      <c r="F148" s="4"/>
      <c r="G148" s="4"/>
      <c r="H148" s="4"/>
    </row>
    <row r="149">
      <c r="A149" s="4" t="str">
        <f t="shared" si="1"/>
        <v/>
      </c>
      <c r="B149" s="4"/>
      <c r="C149" s="4"/>
      <c r="E149" s="4"/>
      <c r="F149" s="4"/>
      <c r="G149" s="4"/>
      <c r="H149" s="4"/>
    </row>
    <row r="150">
      <c r="A150" s="4" t="str">
        <f t="shared" si="1"/>
        <v/>
      </c>
      <c r="B150" s="4"/>
      <c r="C150" s="4"/>
      <c r="E150" s="4"/>
      <c r="F150" s="4"/>
      <c r="G150" s="4"/>
      <c r="H150" s="4"/>
    </row>
    <row r="151">
      <c r="A151" s="4" t="str">
        <f t="shared" si="1"/>
        <v/>
      </c>
      <c r="B151" s="4"/>
      <c r="C151" s="4"/>
      <c r="E151" s="4"/>
      <c r="F151" s="4"/>
      <c r="G151" s="4"/>
      <c r="H151" s="4"/>
    </row>
    <row r="152">
      <c r="A152" s="4" t="str">
        <f t="shared" si="1"/>
        <v/>
      </c>
      <c r="B152" s="4"/>
      <c r="C152" s="4"/>
      <c r="E152" s="4"/>
      <c r="F152" s="4"/>
      <c r="G152" s="4"/>
      <c r="H152" s="4"/>
    </row>
    <row r="153">
      <c r="A153" s="4" t="str">
        <f t="shared" si="1"/>
        <v/>
      </c>
      <c r="B153" s="4"/>
      <c r="C153" s="4"/>
      <c r="E153" s="4"/>
      <c r="F153" s="4"/>
      <c r="G153" s="4"/>
      <c r="H153" s="4"/>
    </row>
    <row r="154">
      <c r="A154" s="4" t="str">
        <f t="shared" si="1"/>
        <v/>
      </c>
      <c r="B154" s="4"/>
      <c r="C154" s="4"/>
      <c r="E154" s="4"/>
      <c r="F154" s="4"/>
      <c r="G154" s="4"/>
      <c r="H154" s="4"/>
    </row>
    <row r="155">
      <c r="A155" s="4" t="str">
        <f t="shared" si="1"/>
        <v/>
      </c>
      <c r="B155" s="4"/>
      <c r="C155" s="4"/>
      <c r="E155" s="4"/>
      <c r="F155" s="4"/>
      <c r="G155" s="4"/>
      <c r="H155" s="4"/>
    </row>
    <row r="156">
      <c r="A156" s="4" t="str">
        <f t="shared" si="1"/>
        <v/>
      </c>
      <c r="B156" s="4"/>
      <c r="C156" s="4"/>
      <c r="E156" s="4"/>
      <c r="F156" s="4"/>
      <c r="G156" s="4"/>
      <c r="H156" s="4"/>
    </row>
    <row r="157">
      <c r="A157" s="4" t="str">
        <f t="shared" si="1"/>
        <v/>
      </c>
      <c r="B157" s="4"/>
      <c r="C157" s="4"/>
      <c r="E157" s="4"/>
      <c r="F157" s="4"/>
      <c r="G157" s="4"/>
      <c r="H157" s="4"/>
    </row>
    <row r="158">
      <c r="A158" s="4" t="str">
        <f t="shared" si="1"/>
        <v/>
      </c>
      <c r="B158" s="4"/>
      <c r="C158" s="4"/>
      <c r="E158" s="4"/>
      <c r="F158" s="4"/>
      <c r="G158" s="4"/>
      <c r="H158" s="4"/>
    </row>
    <row r="159">
      <c r="A159" s="4" t="str">
        <f t="shared" si="1"/>
        <v/>
      </c>
      <c r="B159" s="4"/>
      <c r="C159" s="4"/>
      <c r="E159" s="4"/>
      <c r="F159" s="4"/>
      <c r="G159" s="4"/>
      <c r="H159" s="4"/>
    </row>
    <row r="160">
      <c r="A160" s="4" t="str">
        <f t="shared" si="1"/>
        <v/>
      </c>
      <c r="B160" s="4"/>
      <c r="C160" s="4"/>
      <c r="E160" s="4"/>
      <c r="F160" s="4"/>
      <c r="G160" s="4"/>
      <c r="H160" s="4"/>
    </row>
    <row r="161">
      <c r="A161" s="4" t="str">
        <f t="shared" si="1"/>
        <v/>
      </c>
      <c r="B161" s="4"/>
      <c r="C161" s="4"/>
      <c r="E161" s="4"/>
      <c r="F161" s="4"/>
      <c r="G161" s="4"/>
      <c r="H161" s="4"/>
    </row>
    <row r="162">
      <c r="A162" s="4" t="str">
        <f t="shared" si="1"/>
        <v/>
      </c>
      <c r="B162" s="4"/>
      <c r="C162" s="4"/>
      <c r="E162" s="4"/>
      <c r="F162" s="4"/>
      <c r="G162" s="4"/>
      <c r="H162" s="4"/>
    </row>
    <row r="163">
      <c r="A163" s="4" t="str">
        <f t="shared" si="1"/>
        <v/>
      </c>
      <c r="B163" s="4"/>
      <c r="C163" s="4"/>
      <c r="E163" s="4"/>
      <c r="F163" s="4"/>
      <c r="G163" s="4"/>
      <c r="H163" s="4"/>
    </row>
    <row r="164">
      <c r="A164" s="4" t="str">
        <f t="shared" si="1"/>
        <v/>
      </c>
      <c r="B164" s="4"/>
      <c r="C164" s="4"/>
      <c r="E164" s="4"/>
      <c r="F164" s="4"/>
      <c r="G164" s="4"/>
      <c r="H164" s="4"/>
    </row>
    <row r="165">
      <c r="A165" s="4" t="str">
        <f t="shared" si="1"/>
        <v/>
      </c>
      <c r="B165" s="4"/>
      <c r="C165" s="4"/>
      <c r="E165" s="4"/>
      <c r="F165" s="4"/>
      <c r="G165" s="4"/>
      <c r="H165" s="4"/>
    </row>
    <row r="166">
      <c r="A166" s="4" t="str">
        <f t="shared" si="1"/>
        <v/>
      </c>
      <c r="B166" s="4"/>
      <c r="C166" s="4"/>
      <c r="E166" s="4"/>
      <c r="F166" s="4"/>
      <c r="G166" s="4"/>
      <c r="H166" s="4"/>
    </row>
    <row r="167">
      <c r="A167" s="4" t="str">
        <f t="shared" si="1"/>
        <v/>
      </c>
      <c r="B167" s="4"/>
      <c r="C167" s="4"/>
      <c r="E167" s="4"/>
      <c r="F167" s="4"/>
      <c r="G167" s="4"/>
      <c r="H167" s="4"/>
    </row>
    <row r="168">
      <c r="A168" s="4" t="str">
        <f t="shared" si="1"/>
        <v/>
      </c>
      <c r="B168" s="4"/>
      <c r="C168" s="4"/>
      <c r="E168" s="4"/>
      <c r="F168" s="4"/>
      <c r="G168" s="4"/>
      <c r="H168" s="4"/>
    </row>
    <row r="169">
      <c r="A169" s="4" t="str">
        <f t="shared" si="1"/>
        <v/>
      </c>
      <c r="B169" s="4"/>
      <c r="C169" s="4"/>
      <c r="E169" s="4"/>
      <c r="F169" s="4"/>
      <c r="G169" s="4"/>
      <c r="H169" s="4"/>
    </row>
    <row r="170">
      <c r="A170" s="4" t="str">
        <f t="shared" si="1"/>
        <v/>
      </c>
      <c r="B170" s="4"/>
      <c r="C170" s="4"/>
      <c r="E170" s="4"/>
      <c r="F170" s="4"/>
      <c r="G170" s="4"/>
      <c r="H170" s="4"/>
    </row>
    <row r="171">
      <c r="A171" s="4" t="str">
        <f t="shared" si="1"/>
        <v/>
      </c>
      <c r="B171" s="4"/>
      <c r="C171" s="4"/>
      <c r="E171" s="4"/>
      <c r="F171" s="4"/>
      <c r="G171" s="4"/>
      <c r="H171" s="4"/>
    </row>
    <row r="172">
      <c r="A172" s="4" t="str">
        <f t="shared" si="1"/>
        <v/>
      </c>
      <c r="B172" s="4"/>
      <c r="C172" s="4"/>
      <c r="E172" s="4"/>
      <c r="F172" s="4"/>
      <c r="G172" s="4"/>
      <c r="H172" s="4"/>
    </row>
    <row r="173">
      <c r="A173" s="4" t="str">
        <f t="shared" si="1"/>
        <v/>
      </c>
      <c r="B173" s="4"/>
      <c r="C173" s="4"/>
      <c r="E173" s="4"/>
      <c r="F173" s="4"/>
      <c r="G173" s="4"/>
      <c r="H173" s="4"/>
    </row>
    <row r="174">
      <c r="A174" s="4" t="str">
        <f t="shared" si="1"/>
        <v/>
      </c>
      <c r="B174" s="4"/>
      <c r="C174" s="4"/>
      <c r="E174" s="4"/>
      <c r="F174" s="4"/>
      <c r="G174" s="4"/>
      <c r="H174" s="4"/>
    </row>
    <row r="175">
      <c r="A175" s="4" t="str">
        <f t="shared" si="1"/>
        <v/>
      </c>
      <c r="B175" s="4"/>
      <c r="C175" s="4"/>
      <c r="E175" s="4"/>
      <c r="F175" s="4"/>
      <c r="G175" s="4"/>
      <c r="H175" s="4"/>
    </row>
    <row r="176">
      <c r="A176" s="4" t="str">
        <f t="shared" si="1"/>
        <v/>
      </c>
      <c r="B176" s="4"/>
      <c r="C176" s="4"/>
      <c r="E176" s="4"/>
      <c r="F176" s="4"/>
      <c r="G176" s="4"/>
      <c r="H176" s="4"/>
    </row>
    <row r="177">
      <c r="A177" s="4" t="str">
        <f t="shared" si="1"/>
        <v/>
      </c>
      <c r="B177" s="4"/>
      <c r="C177" s="4"/>
      <c r="E177" s="4"/>
      <c r="F177" s="4"/>
      <c r="G177" s="4"/>
      <c r="H177" s="4"/>
    </row>
    <row r="178">
      <c r="A178" s="4" t="str">
        <f t="shared" si="1"/>
        <v/>
      </c>
      <c r="B178" s="4"/>
      <c r="C178" s="4"/>
      <c r="E178" s="4"/>
      <c r="F178" s="4"/>
      <c r="G178" s="4"/>
      <c r="H178" s="4"/>
    </row>
    <row r="179">
      <c r="A179" s="4" t="str">
        <f t="shared" si="1"/>
        <v/>
      </c>
      <c r="B179" s="4"/>
      <c r="C179" s="4"/>
      <c r="E179" s="4"/>
      <c r="F179" s="4"/>
      <c r="G179" s="4"/>
      <c r="H179" s="4"/>
    </row>
    <row r="180">
      <c r="A180" s="4" t="str">
        <f t="shared" si="1"/>
        <v/>
      </c>
      <c r="B180" s="4"/>
      <c r="C180" s="4"/>
      <c r="E180" s="4"/>
      <c r="F180" s="4"/>
      <c r="G180" s="4"/>
      <c r="H180" s="4"/>
    </row>
    <row r="181">
      <c r="A181" s="4" t="str">
        <f t="shared" si="1"/>
        <v/>
      </c>
      <c r="B181" s="4"/>
      <c r="C181" s="4"/>
      <c r="E181" s="4"/>
      <c r="F181" s="4"/>
      <c r="G181" s="4"/>
      <c r="H181" s="4"/>
    </row>
    <row r="182">
      <c r="A182" s="4" t="str">
        <f t="shared" si="1"/>
        <v/>
      </c>
      <c r="B182" s="4"/>
      <c r="C182" s="4"/>
      <c r="E182" s="4"/>
      <c r="F182" s="4"/>
      <c r="G182" s="4"/>
      <c r="H182" s="4"/>
    </row>
    <row r="183">
      <c r="A183" s="4" t="str">
        <f t="shared" si="1"/>
        <v/>
      </c>
      <c r="B183" s="4"/>
      <c r="C183" s="4"/>
      <c r="E183" s="4"/>
      <c r="F183" s="4"/>
      <c r="G183" s="4"/>
      <c r="H183" s="4"/>
    </row>
    <row r="184">
      <c r="A184" s="4" t="str">
        <f t="shared" si="1"/>
        <v/>
      </c>
      <c r="B184" s="4"/>
      <c r="C184" s="4"/>
      <c r="E184" s="4"/>
      <c r="F184" s="4"/>
      <c r="G184" s="4"/>
      <c r="H184" s="4"/>
    </row>
    <row r="185">
      <c r="A185" s="4" t="str">
        <f t="shared" si="1"/>
        <v/>
      </c>
      <c r="B185" s="4"/>
      <c r="C185" s="4"/>
      <c r="E185" s="4"/>
      <c r="F185" s="4"/>
      <c r="G185" s="4"/>
      <c r="H185" s="4"/>
    </row>
    <row r="186">
      <c r="A186" s="4" t="str">
        <f t="shared" si="1"/>
        <v/>
      </c>
      <c r="B186" s="4"/>
      <c r="C186" s="4"/>
      <c r="E186" s="4"/>
      <c r="F186" s="4"/>
      <c r="G186" s="4"/>
      <c r="H186" s="4"/>
    </row>
    <row r="187">
      <c r="A187" s="4" t="str">
        <f t="shared" si="1"/>
        <v/>
      </c>
      <c r="B187" s="4"/>
      <c r="C187" s="4"/>
      <c r="E187" s="4"/>
      <c r="F187" s="4"/>
      <c r="G187" s="4"/>
      <c r="H187" s="4"/>
    </row>
    <row r="188">
      <c r="A188" s="4" t="str">
        <f t="shared" si="1"/>
        <v/>
      </c>
      <c r="B188" s="4"/>
      <c r="C188" s="4"/>
      <c r="E188" s="4"/>
      <c r="F188" s="4"/>
      <c r="G188" s="4"/>
      <c r="H188" s="4"/>
    </row>
    <row r="189">
      <c r="A189" s="4" t="str">
        <f t="shared" si="1"/>
        <v/>
      </c>
      <c r="B189" s="4"/>
      <c r="C189" s="4"/>
      <c r="E189" s="4"/>
      <c r="F189" s="4"/>
      <c r="G189" s="4"/>
      <c r="H189" s="4"/>
    </row>
    <row r="190">
      <c r="A190" s="4" t="str">
        <f t="shared" si="1"/>
        <v/>
      </c>
      <c r="B190" s="4"/>
      <c r="C190" s="4"/>
      <c r="E190" s="4"/>
      <c r="F190" s="4"/>
      <c r="G190" s="4"/>
      <c r="H190" s="4"/>
    </row>
    <row r="191">
      <c r="A191" s="4" t="str">
        <f t="shared" si="1"/>
        <v/>
      </c>
      <c r="B191" s="4"/>
      <c r="C191" s="4"/>
      <c r="E191" s="4"/>
      <c r="F191" s="4"/>
      <c r="G191" s="4"/>
      <c r="H191" s="4"/>
    </row>
    <row r="192">
      <c r="A192" s="4" t="str">
        <f t="shared" si="1"/>
        <v/>
      </c>
      <c r="B192" s="4"/>
      <c r="C192" s="4"/>
      <c r="E192" s="4"/>
      <c r="F192" s="4"/>
      <c r="G192" s="4"/>
      <c r="H192" s="4"/>
    </row>
    <row r="193">
      <c r="A193" s="4" t="str">
        <f t="shared" si="1"/>
        <v/>
      </c>
      <c r="B193" s="4"/>
      <c r="C193" s="4"/>
      <c r="E193" s="4"/>
      <c r="F193" s="4"/>
      <c r="G193" s="4"/>
      <c r="H193" s="4"/>
    </row>
    <row r="194">
      <c r="A194" s="4" t="str">
        <f t="shared" si="1"/>
        <v/>
      </c>
      <c r="B194" s="4"/>
      <c r="C194" s="4"/>
      <c r="E194" s="4"/>
      <c r="F194" s="4"/>
      <c r="G194" s="4"/>
      <c r="H194" s="4"/>
    </row>
    <row r="195">
      <c r="A195" s="4" t="str">
        <f t="shared" si="1"/>
        <v/>
      </c>
      <c r="B195" s="4"/>
      <c r="C195" s="4"/>
      <c r="E195" s="4"/>
      <c r="F195" s="4"/>
      <c r="G195" s="4"/>
      <c r="H195" s="4"/>
    </row>
    <row r="196">
      <c r="A196" s="4" t="str">
        <f t="shared" si="1"/>
        <v/>
      </c>
      <c r="B196" s="4"/>
      <c r="C196" s="4"/>
      <c r="E196" s="4"/>
      <c r="F196" s="4"/>
      <c r="G196" s="4"/>
      <c r="H196" s="4"/>
    </row>
    <row r="197">
      <c r="A197" s="4" t="str">
        <f t="shared" si="1"/>
        <v/>
      </c>
      <c r="B197" s="4"/>
      <c r="C197" s="4"/>
      <c r="E197" s="4"/>
      <c r="F197" s="4"/>
      <c r="G197" s="4"/>
      <c r="H197" s="4"/>
    </row>
    <row r="198">
      <c r="A198" s="4" t="str">
        <f t="shared" si="1"/>
        <v/>
      </c>
      <c r="B198" s="4"/>
      <c r="C198" s="4"/>
      <c r="E198" s="4"/>
      <c r="F198" s="4"/>
      <c r="G198" s="4"/>
      <c r="H198" s="4"/>
    </row>
    <row r="199">
      <c r="A199" s="4" t="str">
        <f t="shared" si="1"/>
        <v/>
      </c>
      <c r="B199" s="4"/>
      <c r="C199" s="4"/>
      <c r="E199" s="4"/>
      <c r="F199" s="4"/>
      <c r="G199" s="4"/>
      <c r="H199" s="4"/>
    </row>
    <row r="200">
      <c r="A200" s="4" t="str">
        <f t="shared" si="1"/>
        <v/>
      </c>
      <c r="B200" s="4"/>
      <c r="C200" s="4"/>
      <c r="E200" s="4"/>
      <c r="F200" s="4"/>
      <c r="G200" s="4"/>
      <c r="H200" s="4"/>
    </row>
    <row r="201">
      <c r="A201" s="4" t="str">
        <f t="shared" si="1"/>
        <v/>
      </c>
      <c r="B201" s="4"/>
      <c r="C201" s="4"/>
      <c r="E201" s="4"/>
      <c r="F201" s="4"/>
      <c r="G201" s="4"/>
      <c r="H201" s="4"/>
    </row>
    <row r="202">
      <c r="A202" s="4" t="str">
        <f t="shared" si="1"/>
        <v/>
      </c>
      <c r="B202" s="4"/>
      <c r="C202" s="4"/>
      <c r="E202" s="4"/>
      <c r="F202" s="4"/>
      <c r="G202" s="4"/>
      <c r="H202" s="4"/>
    </row>
    <row r="203">
      <c r="A203" s="4" t="str">
        <f t="shared" si="1"/>
        <v/>
      </c>
      <c r="B203" s="4"/>
      <c r="C203" s="4"/>
      <c r="E203" s="4"/>
      <c r="F203" s="4"/>
      <c r="G203" s="4"/>
      <c r="H203" s="4"/>
    </row>
    <row r="204">
      <c r="A204" s="4" t="str">
        <f t="shared" si="1"/>
        <v/>
      </c>
      <c r="B204" s="4"/>
      <c r="C204" s="4"/>
      <c r="E204" s="4"/>
      <c r="F204" s="4"/>
      <c r="G204" s="4"/>
      <c r="H204" s="4"/>
    </row>
    <row r="205">
      <c r="A205" s="4" t="str">
        <f t="shared" si="1"/>
        <v/>
      </c>
      <c r="B205" s="4"/>
      <c r="C205" s="4"/>
      <c r="E205" s="4"/>
      <c r="F205" s="4"/>
      <c r="G205" s="4"/>
      <c r="H205" s="4"/>
    </row>
    <row r="206">
      <c r="A206" s="4" t="str">
        <f t="shared" si="1"/>
        <v/>
      </c>
      <c r="B206" s="4"/>
      <c r="C206" s="4"/>
      <c r="E206" s="4"/>
      <c r="F206" s="4"/>
      <c r="G206" s="4"/>
      <c r="H206" s="4"/>
    </row>
    <row r="207">
      <c r="A207" s="4" t="str">
        <f t="shared" si="1"/>
        <v/>
      </c>
      <c r="B207" s="4"/>
      <c r="C207" s="4"/>
      <c r="E207" s="4"/>
      <c r="F207" s="4"/>
      <c r="G207" s="4"/>
      <c r="H207" s="4"/>
    </row>
    <row r="208">
      <c r="A208" s="4" t="str">
        <f t="shared" si="1"/>
        <v/>
      </c>
      <c r="B208" s="4"/>
      <c r="C208" s="4"/>
      <c r="E208" s="4"/>
      <c r="F208" s="4"/>
      <c r="G208" s="4"/>
      <c r="H208" s="4"/>
    </row>
    <row r="209">
      <c r="A209" s="4" t="str">
        <f t="shared" si="1"/>
        <v/>
      </c>
      <c r="B209" s="4"/>
      <c r="C209" s="4"/>
      <c r="E209" s="4"/>
      <c r="F209" s="4"/>
      <c r="G209" s="4"/>
      <c r="H209" s="4"/>
    </row>
    <row r="210">
      <c r="A210" s="4" t="str">
        <f t="shared" si="1"/>
        <v/>
      </c>
      <c r="B210" s="4"/>
      <c r="C210" s="4"/>
      <c r="E210" s="4"/>
      <c r="F210" s="4"/>
      <c r="G210" s="4"/>
      <c r="H210" s="4"/>
    </row>
    <row r="211">
      <c r="A211" s="4" t="str">
        <f t="shared" si="1"/>
        <v/>
      </c>
      <c r="B211" s="4"/>
      <c r="C211" s="4"/>
      <c r="E211" s="4"/>
      <c r="F211" s="4"/>
      <c r="G211" s="4"/>
      <c r="H211" s="4"/>
    </row>
    <row r="212">
      <c r="A212" s="4" t="str">
        <f t="shared" si="1"/>
        <v/>
      </c>
      <c r="B212" s="4"/>
      <c r="C212" s="4"/>
      <c r="E212" s="4"/>
      <c r="F212" s="4"/>
      <c r="G212" s="4"/>
      <c r="H212" s="4"/>
    </row>
    <row r="213">
      <c r="A213" s="4" t="str">
        <f t="shared" si="1"/>
        <v/>
      </c>
      <c r="B213" s="4"/>
      <c r="C213" s="4"/>
      <c r="E213" s="4"/>
      <c r="F213" s="4"/>
      <c r="G213" s="4"/>
      <c r="H213" s="4"/>
    </row>
    <row r="214">
      <c r="A214" s="4" t="str">
        <f t="shared" si="1"/>
        <v/>
      </c>
      <c r="B214" s="4"/>
      <c r="C214" s="4"/>
      <c r="E214" s="4"/>
      <c r="F214" s="4"/>
      <c r="G214" s="4"/>
      <c r="H214" s="4"/>
    </row>
    <row r="215">
      <c r="A215" s="4" t="str">
        <f t="shared" si="1"/>
        <v/>
      </c>
      <c r="B215" s="4"/>
      <c r="C215" s="4"/>
      <c r="E215" s="4"/>
      <c r="F215" s="4"/>
      <c r="G215" s="4"/>
      <c r="H215" s="4"/>
    </row>
    <row r="216">
      <c r="A216" s="4" t="str">
        <f t="shared" si="1"/>
        <v/>
      </c>
      <c r="B216" s="4"/>
      <c r="C216" s="4"/>
      <c r="E216" s="4"/>
      <c r="F216" s="4"/>
      <c r="G216" s="4"/>
      <c r="H216" s="4"/>
    </row>
    <row r="217">
      <c r="A217" s="4" t="str">
        <f t="shared" si="1"/>
        <v/>
      </c>
      <c r="B217" s="4"/>
      <c r="C217" s="4"/>
      <c r="E217" s="4"/>
      <c r="F217" s="4"/>
      <c r="G217" s="4"/>
      <c r="H217" s="4"/>
    </row>
    <row r="218">
      <c r="A218" s="4" t="str">
        <f t="shared" si="1"/>
        <v/>
      </c>
      <c r="B218" s="4"/>
      <c r="C218" s="4"/>
      <c r="E218" s="4"/>
      <c r="F218" s="4"/>
      <c r="G218" s="4"/>
      <c r="H218" s="4"/>
    </row>
    <row r="219">
      <c r="A219" s="4" t="str">
        <f t="shared" si="1"/>
        <v/>
      </c>
      <c r="B219" s="4"/>
      <c r="C219" s="4"/>
      <c r="E219" s="4"/>
      <c r="F219" s="4"/>
      <c r="G219" s="4"/>
      <c r="H219" s="4"/>
    </row>
    <row r="220">
      <c r="A220" s="4" t="str">
        <f t="shared" si="1"/>
        <v/>
      </c>
      <c r="B220" s="4"/>
      <c r="C220" s="4"/>
      <c r="E220" s="4"/>
      <c r="F220" s="4"/>
      <c r="G220" s="4"/>
      <c r="H220" s="4"/>
    </row>
    <row r="221">
      <c r="A221" s="4" t="str">
        <f t="shared" si="1"/>
        <v/>
      </c>
      <c r="B221" s="4"/>
      <c r="C221" s="4"/>
      <c r="E221" s="4"/>
      <c r="F221" s="4"/>
      <c r="G221" s="4"/>
      <c r="H221" s="4"/>
    </row>
    <row r="222">
      <c r="A222" s="4" t="str">
        <f t="shared" si="1"/>
        <v/>
      </c>
      <c r="B222" s="4"/>
      <c r="C222" s="4"/>
      <c r="E222" s="4"/>
      <c r="F222" s="4"/>
      <c r="G222" s="4"/>
      <c r="H222" s="4"/>
    </row>
    <row r="223">
      <c r="A223" s="4" t="str">
        <f t="shared" si="1"/>
        <v/>
      </c>
      <c r="B223" s="4"/>
      <c r="C223" s="4"/>
      <c r="E223" s="4"/>
      <c r="F223" s="4"/>
      <c r="G223" s="4"/>
      <c r="H223" s="4"/>
    </row>
    <row r="224">
      <c r="A224" s="4" t="str">
        <f t="shared" si="1"/>
        <v/>
      </c>
      <c r="B224" s="4"/>
      <c r="C224" s="4"/>
      <c r="E224" s="4"/>
      <c r="F224" s="4"/>
      <c r="G224" s="4"/>
      <c r="H224" s="4"/>
    </row>
    <row r="225">
      <c r="A225" s="4" t="str">
        <f t="shared" si="1"/>
        <v/>
      </c>
      <c r="B225" s="4"/>
      <c r="C225" s="4"/>
      <c r="E225" s="4"/>
      <c r="F225" s="4"/>
      <c r="G225" s="4"/>
      <c r="H225" s="4"/>
    </row>
    <row r="226">
      <c r="A226" s="4" t="str">
        <f t="shared" si="1"/>
        <v/>
      </c>
      <c r="B226" s="4"/>
      <c r="C226" s="4"/>
      <c r="E226" s="4"/>
      <c r="F226" s="4"/>
      <c r="G226" s="4"/>
      <c r="H226" s="4"/>
    </row>
    <row r="227">
      <c r="A227" s="4" t="str">
        <f t="shared" si="1"/>
        <v/>
      </c>
      <c r="B227" s="4"/>
      <c r="C227" s="4"/>
      <c r="E227" s="4"/>
      <c r="F227" s="4"/>
      <c r="G227" s="4"/>
      <c r="H227" s="4"/>
    </row>
    <row r="228">
      <c r="A228" s="4" t="str">
        <f t="shared" si="1"/>
        <v/>
      </c>
      <c r="B228" s="4"/>
      <c r="C228" s="4"/>
      <c r="E228" s="4"/>
      <c r="F228" s="4"/>
      <c r="G228" s="4"/>
      <c r="H228" s="4"/>
    </row>
    <row r="229">
      <c r="A229" s="4" t="str">
        <f t="shared" si="1"/>
        <v/>
      </c>
      <c r="B229" s="4"/>
      <c r="C229" s="4"/>
      <c r="E229" s="4"/>
      <c r="F229" s="4"/>
      <c r="G229" s="4"/>
      <c r="H229" s="4"/>
    </row>
    <row r="230">
      <c r="A230" s="4" t="str">
        <f t="shared" si="1"/>
        <v/>
      </c>
      <c r="B230" s="4"/>
      <c r="C230" s="4"/>
      <c r="E230" s="4"/>
      <c r="F230" s="4"/>
      <c r="G230" s="4"/>
      <c r="H230" s="4"/>
    </row>
    <row r="231">
      <c r="A231" s="4" t="str">
        <f t="shared" si="1"/>
        <v/>
      </c>
      <c r="B231" s="4"/>
      <c r="C231" s="4"/>
      <c r="E231" s="4"/>
      <c r="F231" s="4"/>
      <c r="G231" s="4"/>
      <c r="H231" s="4"/>
    </row>
    <row r="232">
      <c r="A232" s="4" t="str">
        <f t="shared" si="1"/>
        <v/>
      </c>
      <c r="B232" s="4"/>
      <c r="C232" s="4"/>
      <c r="E232" s="4"/>
      <c r="F232" s="4"/>
      <c r="G232" s="4"/>
      <c r="H232" s="4"/>
    </row>
    <row r="233">
      <c r="A233" s="4" t="str">
        <f t="shared" si="1"/>
        <v/>
      </c>
      <c r="B233" s="4"/>
      <c r="C233" s="4"/>
      <c r="E233" s="4"/>
      <c r="F233" s="4"/>
      <c r="G233" s="4"/>
      <c r="H233" s="4"/>
    </row>
    <row r="234">
      <c r="A234" s="4" t="str">
        <f t="shared" si="1"/>
        <v/>
      </c>
      <c r="B234" s="4"/>
      <c r="C234" s="4"/>
      <c r="E234" s="4"/>
      <c r="F234" s="4"/>
      <c r="G234" s="4"/>
      <c r="H234" s="4"/>
    </row>
    <row r="235">
      <c r="A235" s="4" t="str">
        <f t="shared" si="1"/>
        <v/>
      </c>
      <c r="B235" s="4"/>
      <c r="C235" s="4"/>
      <c r="E235" s="4"/>
      <c r="F235" s="4"/>
      <c r="G235" s="4"/>
      <c r="H235" s="4"/>
    </row>
    <row r="236">
      <c r="A236" s="4" t="str">
        <f t="shared" si="1"/>
        <v/>
      </c>
      <c r="B236" s="4"/>
      <c r="C236" s="4"/>
      <c r="E236" s="4"/>
      <c r="F236" s="4"/>
      <c r="G236" s="4"/>
      <c r="H236" s="4"/>
    </row>
    <row r="237">
      <c r="A237" s="4" t="str">
        <f t="shared" si="1"/>
        <v/>
      </c>
      <c r="B237" s="4"/>
      <c r="C237" s="4"/>
      <c r="E237" s="4"/>
      <c r="F237" s="4"/>
      <c r="G237" s="4"/>
      <c r="H237" s="4"/>
    </row>
    <row r="238">
      <c r="A238" s="4" t="str">
        <f t="shared" si="1"/>
        <v/>
      </c>
      <c r="B238" s="4"/>
      <c r="C238" s="4"/>
      <c r="E238" s="4"/>
      <c r="F238" s="4"/>
      <c r="G238" s="4"/>
      <c r="H238" s="4"/>
    </row>
    <row r="239">
      <c r="A239" s="4" t="str">
        <f t="shared" si="1"/>
        <v/>
      </c>
      <c r="B239" s="4"/>
      <c r="C239" s="4"/>
      <c r="E239" s="4"/>
      <c r="F239" s="4"/>
      <c r="G239" s="4"/>
      <c r="H239" s="4"/>
    </row>
    <row r="240">
      <c r="A240" s="4" t="str">
        <f t="shared" si="1"/>
        <v/>
      </c>
      <c r="B240" s="4"/>
      <c r="C240" s="4"/>
      <c r="E240" s="4"/>
      <c r="F240" s="4"/>
      <c r="G240" s="4"/>
      <c r="H240" s="4"/>
    </row>
    <row r="241">
      <c r="A241" s="4" t="str">
        <f t="shared" si="1"/>
        <v/>
      </c>
      <c r="B241" s="4"/>
      <c r="C241" s="4"/>
      <c r="E241" s="4"/>
      <c r="F241" s="4"/>
      <c r="G241" s="4"/>
      <c r="H241" s="4"/>
    </row>
    <row r="242">
      <c r="A242" s="4" t="str">
        <f t="shared" si="1"/>
        <v/>
      </c>
      <c r="B242" s="4"/>
      <c r="C242" s="4"/>
      <c r="E242" s="4"/>
      <c r="F242" s="4"/>
      <c r="G242" s="4"/>
      <c r="H242" s="4"/>
    </row>
    <row r="243">
      <c r="A243" s="4" t="str">
        <f t="shared" si="1"/>
        <v/>
      </c>
      <c r="B243" s="4"/>
      <c r="C243" s="4"/>
      <c r="E243" s="4"/>
      <c r="F243" s="4"/>
      <c r="G243" s="4"/>
      <c r="H243" s="4"/>
    </row>
    <row r="244">
      <c r="A244" s="4" t="str">
        <f t="shared" si="1"/>
        <v/>
      </c>
      <c r="B244" s="4"/>
      <c r="C244" s="4"/>
      <c r="E244" s="4"/>
      <c r="F244" s="4"/>
      <c r="G244" s="4"/>
      <c r="H244" s="4"/>
    </row>
    <row r="245">
      <c r="A245" s="4" t="str">
        <f t="shared" si="1"/>
        <v/>
      </c>
      <c r="B245" s="4"/>
      <c r="C245" s="4"/>
      <c r="E245" s="4"/>
      <c r="F245" s="4"/>
      <c r="G245" s="4"/>
      <c r="H245" s="4"/>
    </row>
    <row r="246">
      <c r="A246" s="4" t="str">
        <f t="shared" si="1"/>
        <v/>
      </c>
      <c r="B246" s="4"/>
      <c r="C246" s="4"/>
      <c r="E246" s="4"/>
      <c r="F246" s="4"/>
      <c r="G246" s="4"/>
      <c r="H246" s="4"/>
    </row>
    <row r="247">
      <c r="A247" s="4" t="str">
        <f t="shared" si="1"/>
        <v/>
      </c>
      <c r="B247" s="4"/>
      <c r="C247" s="4"/>
      <c r="E247" s="4"/>
      <c r="F247" s="4"/>
      <c r="G247" s="4"/>
      <c r="H247" s="4"/>
    </row>
    <row r="248">
      <c r="A248" s="4" t="str">
        <f t="shared" si="1"/>
        <v/>
      </c>
      <c r="B248" s="4"/>
      <c r="C248" s="4"/>
      <c r="E248" s="4"/>
      <c r="F248" s="4"/>
      <c r="G248" s="4"/>
      <c r="H248" s="4"/>
    </row>
    <row r="249">
      <c r="A249" s="4" t="str">
        <f t="shared" si="1"/>
        <v/>
      </c>
      <c r="B249" s="4"/>
      <c r="C249" s="4"/>
      <c r="E249" s="4"/>
      <c r="F249" s="4"/>
      <c r="G249" s="4"/>
      <c r="H249" s="4"/>
    </row>
    <row r="250">
      <c r="A250" s="4" t="str">
        <f t="shared" si="1"/>
        <v/>
      </c>
      <c r="B250" s="4"/>
      <c r="C250" s="4"/>
      <c r="E250" s="4"/>
      <c r="F250" s="4"/>
      <c r="G250" s="4"/>
      <c r="H250" s="4"/>
    </row>
    <row r="251">
      <c r="A251" s="4" t="str">
        <f t="shared" si="1"/>
        <v/>
      </c>
      <c r="B251" s="4"/>
      <c r="C251" s="4"/>
      <c r="E251" s="4"/>
      <c r="F251" s="4"/>
      <c r="G251" s="4"/>
      <c r="H251" s="4"/>
    </row>
    <row r="252">
      <c r="A252" s="4" t="str">
        <f t="shared" si="1"/>
        <v/>
      </c>
      <c r="B252" s="4"/>
      <c r="C252" s="4"/>
      <c r="E252" s="4"/>
      <c r="F252" s="4"/>
      <c r="G252" s="4"/>
      <c r="H252" s="4"/>
    </row>
    <row r="253">
      <c r="A253" s="4" t="str">
        <f t="shared" si="1"/>
        <v/>
      </c>
      <c r="B253" s="4"/>
      <c r="C253" s="4"/>
      <c r="E253" s="4"/>
      <c r="F253" s="4"/>
      <c r="G253" s="4"/>
      <c r="H253" s="4"/>
    </row>
    <row r="254">
      <c r="A254" s="4" t="str">
        <f t="shared" si="1"/>
        <v/>
      </c>
      <c r="B254" s="4"/>
      <c r="C254" s="4"/>
      <c r="E254" s="4"/>
      <c r="F254" s="4"/>
      <c r="G254" s="4"/>
      <c r="H254" s="4"/>
    </row>
    <row r="255">
      <c r="A255" s="4" t="str">
        <f t="shared" si="1"/>
        <v/>
      </c>
      <c r="B255" s="4"/>
      <c r="C255" s="4"/>
      <c r="E255" s="4"/>
      <c r="F255" s="4"/>
      <c r="G255" s="4"/>
      <c r="H255" s="4"/>
    </row>
    <row r="256">
      <c r="A256" s="4" t="str">
        <f t="shared" si="1"/>
        <v/>
      </c>
      <c r="B256" s="4"/>
      <c r="C256" s="4"/>
      <c r="E256" s="4"/>
      <c r="F256" s="4"/>
      <c r="G256" s="4"/>
      <c r="H256" s="4"/>
    </row>
    <row r="257">
      <c r="A257" s="4" t="str">
        <f t="shared" si="1"/>
        <v/>
      </c>
      <c r="B257" s="4"/>
      <c r="C257" s="4"/>
      <c r="E257" s="4"/>
      <c r="F257" s="4"/>
      <c r="G257" s="4"/>
      <c r="H257" s="4"/>
    </row>
    <row r="258">
      <c r="A258" s="4" t="str">
        <f t="shared" si="1"/>
        <v/>
      </c>
      <c r="B258" s="4"/>
      <c r="C258" s="4"/>
      <c r="E258" s="4"/>
      <c r="F258" s="4"/>
      <c r="G258" s="4"/>
      <c r="H258" s="4"/>
    </row>
    <row r="259">
      <c r="A259" s="4" t="str">
        <f t="shared" si="1"/>
        <v/>
      </c>
      <c r="B259" s="4"/>
      <c r="C259" s="4"/>
      <c r="E259" s="4"/>
      <c r="F259" s="4"/>
      <c r="G259" s="4"/>
      <c r="H259" s="4"/>
    </row>
    <row r="260">
      <c r="A260" s="4" t="str">
        <f t="shared" si="1"/>
        <v/>
      </c>
      <c r="B260" s="4"/>
      <c r="C260" s="4"/>
      <c r="E260" s="4"/>
      <c r="F260" s="4"/>
      <c r="G260" s="4"/>
      <c r="H260" s="4"/>
    </row>
    <row r="261">
      <c r="A261" s="4" t="str">
        <f t="shared" si="1"/>
        <v/>
      </c>
      <c r="B261" s="4"/>
      <c r="C261" s="4"/>
      <c r="E261" s="4"/>
      <c r="F261" s="4"/>
      <c r="G261" s="4"/>
      <c r="H261" s="4"/>
    </row>
    <row r="262">
      <c r="A262" s="4" t="str">
        <f t="shared" si="1"/>
        <v/>
      </c>
      <c r="B262" s="4"/>
      <c r="C262" s="4"/>
      <c r="E262" s="4"/>
      <c r="F262" s="4"/>
      <c r="G262" s="4"/>
      <c r="H262" s="4"/>
    </row>
    <row r="263">
      <c r="A263" s="4" t="str">
        <f t="shared" si="1"/>
        <v/>
      </c>
      <c r="B263" s="4"/>
      <c r="C263" s="4"/>
      <c r="E263" s="4"/>
      <c r="F263" s="4"/>
      <c r="G263" s="4"/>
      <c r="H263" s="4"/>
    </row>
    <row r="264">
      <c r="A264" s="4" t="str">
        <f t="shared" si="1"/>
        <v/>
      </c>
      <c r="B264" s="4"/>
      <c r="C264" s="4"/>
      <c r="E264" s="4"/>
      <c r="F264" s="4"/>
      <c r="G264" s="4"/>
      <c r="H264" s="4"/>
    </row>
    <row r="265">
      <c r="A265" s="4" t="str">
        <f t="shared" si="1"/>
        <v/>
      </c>
      <c r="B265" s="4"/>
      <c r="C265" s="4"/>
      <c r="E265" s="4"/>
      <c r="F265" s="4"/>
      <c r="G265" s="4"/>
      <c r="H265" s="4"/>
    </row>
    <row r="266">
      <c r="A266" s="4" t="str">
        <f t="shared" si="1"/>
        <v/>
      </c>
      <c r="B266" s="4"/>
      <c r="C266" s="4"/>
      <c r="E266" s="4"/>
      <c r="F266" s="4"/>
      <c r="G266" s="4"/>
      <c r="H266" s="4"/>
    </row>
    <row r="267">
      <c r="A267" s="4" t="str">
        <f t="shared" si="1"/>
        <v/>
      </c>
      <c r="B267" s="4"/>
      <c r="C267" s="4"/>
      <c r="E267" s="4"/>
      <c r="F267" s="4"/>
      <c r="G267" s="4"/>
      <c r="H267" s="4"/>
    </row>
    <row r="268">
      <c r="A268" s="4" t="str">
        <f t="shared" si="1"/>
        <v/>
      </c>
      <c r="B268" s="4"/>
      <c r="C268" s="4"/>
      <c r="E268" s="4"/>
      <c r="F268" s="4"/>
      <c r="G268" s="4"/>
      <c r="H268" s="4"/>
    </row>
    <row r="269">
      <c r="A269" s="4" t="str">
        <f t="shared" si="1"/>
        <v/>
      </c>
      <c r="B269" s="4"/>
      <c r="C269" s="4"/>
      <c r="E269" s="4"/>
      <c r="F269" s="4"/>
      <c r="G269" s="4"/>
      <c r="H269" s="4"/>
    </row>
    <row r="270">
      <c r="A270" s="4" t="str">
        <f t="shared" si="1"/>
        <v/>
      </c>
      <c r="B270" s="4"/>
      <c r="C270" s="4"/>
      <c r="E270" s="4"/>
      <c r="F270" s="4"/>
      <c r="G270" s="4"/>
      <c r="H270" s="4"/>
    </row>
    <row r="271">
      <c r="A271" s="4" t="str">
        <f t="shared" si="1"/>
        <v/>
      </c>
      <c r="B271" s="4"/>
      <c r="C271" s="4"/>
      <c r="E271" s="4"/>
      <c r="F271" s="4"/>
      <c r="G271" s="4"/>
      <c r="H271" s="4"/>
    </row>
    <row r="272">
      <c r="A272" s="4" t="str">
        <f t="shared" si="1"/>
        <v/>
      </c>
      <c r="B272" s="4"/>
      <c r="C272" s="4"/>
      <c r="E272" s="4"/>
      <c r="F272" s="4"/>
      <c r="G272" s="4"/>
      <c r="H272" s="4"/>
    </row>
    <row r="273">
      <c r="A273" s="4" t="str">
        <f t="shared" si="1"/>
        <v/>
      </c>
      <c r="B273" s="4"/>
      <c r="C273" s="4"/>
      <c r="E273" s="4"/>
      <c r="F273" s="4"/>
      <c r="G273" s="4"/>
      <c r="H273" s="4"/>
    </row>
    <row r="274">
      <c r="A274" s="4" t="str">
        <f t="shared" si="1"/>
        <v/>
      </c>
      <c r="B274" s="4"/>
      <c r="C274" s="4"/>
      <c r="E274" s="4"/>
      <c r="F274" s="4"/>
      <c r="G274" s="4"/>
      <c r="H274" s="4"/>
    </row>
    <row r="275">
      <c r="A275" s="4" t="str">
        <f t="shared" si="1"/>
        <v/>
      </c>
      <c r="B275" s="4"/>
      <c r="C275" s="4"/>
      <c r="E275" s="4"/>
      <c r="F275" s="4"/>
      <c r="G275" s="4"/>
      <c r="H275" s="4"/>
    </row>
    <row r="276">
      <c r="A276" s="4" t="str">
        <f t="shared" si="1"/>
        <v/>
      </c>
      <c r="B276" s="4"/>
      <c r="C276" s="4"/>
      <c r="E276" s="4"/>
      <c r="F276" s="4"/>
      <c r="G276" s="4"/>
      <c r="H276" s="4"/>
    </row>
    <row r="277">
      <c r="A277" s="4" t="str">
        <f t="shared" si="1"/>
        <v/>
      </c>
      <c r="B277" s="4"/>
      <c r="C277" s="4"/>
      <c r="E277" s="4"/>
      <c r="F277" s="4"/>
      <c r="G277" s="4"/>
      <c r="H277" s="4"/>
    </row>
    <row r="278">
      <c r="A278" s="4" t="str">
        <f t="shared" si="1"/>
        <v/>
      </c>
      <c r="B278" s="4"/>
      <c r="C278" s="4"/>
      <c r="E278" s="4"/>
      <c r="F278" s="4"/>
      <c r="G278" s="4"/>
      <c r="H278" s="4"/>
    </row>
    <row r="279">
      <c r="A279" s="4" t="str">
        <f t="shared" si="1"/>
        <v/>
      </c>
      <c r="B279" s="4"/>
      <c r="C279" s="4"/>
      <c r="E279" s="4"/>
      <c r="F279" s="4"/>
      <c r="G279" s="4"/>
      <c r="H279" s="4"/>
    </row>
    <row r="280">
      <c r="A280" s="4" t="str">
        <f t="shared" si="1"/>
        <v/>
      </c>
      <c r="B280" s="4"/>
      <c r="C280" s="4"/>
      <c r="E280" s="4"/>
      <c r="F280" s="4"/>
      <c r="G280" s="4"/>
      <c r="H280" s="4"/>
    </row>
    <row r="281">
      <c r="A281" s="4" t="str">
        <f t="shared" si="1"/>
        <v/>
      </c>
      <c r="B281" s="4"/>
      <c r="C281" s="4"/>
      <c r="E281" s="4"/>
      <c r="F281" s="4"/>
      <c r="G281" s="4"/>
      <c r="H281" s="4"/>
    </row>
    <row r="282">
      <c r="A282" s="4" t="str">
        <f t="shared" si="1"/>
        <v/>
      </c>
      <c r="B282" s="4"/>
      <c r="C282" s="4"/>
      <c r="E282" s="4"/>
      <c r="F282" s="4"/>
      <c r="G282" s="4"/>
      <c r="H282" s="4"/>
    </row>
    <row r="283">
      <c r="A283" s="4" t="str">
        <f t="shared" si="1"/>
        <v/>
      </c>
      <c r="B283" s="4"/>
      <c r="C283" s="4"/>
      <c r="E283" s="4"/>
      <c r="F283" s="4"/>
      <c r="G283" s="4"/>
      <c r="H283" s="4"/>
    </row>
    <row r="284">
      <c r="A284" s="4" t="str">
        <f t="shared" si="1"/>
        <v/>
      </c>
      <c r="B284" s="4"/>
      <c r="C284" s="4"/>
      <c r="E284" s="4"/>
      <c r="F284" s="4"/>
      <c r="G284" s="4"/>
      <c r="H284" s="4"/>
    </row>
    <row r="285">
      <c r="A285" s="4" t="str">
        <f t="shared" si="1"/>
        <v/>
      </c>
      <c r="B285" s="4"/>
      <c r="C285" s="4"/>
      <c r="E285" s="4"/>
      <c r="F285" s="4"/>
      <c r="G285" s="4"/>
      <c r="H285" s="4"/>
    </row>
    <row r="286">
      <c r="A286" s="4" t="str">
        <f t="shared" si="1"/>
        <v/>
      </c>
      <c r="B286" s="4"/>
      <c r="C286" s="4"/>
      <c r="E286" s="4"/>
      <c r="F286" s="4"/>
      <c r="G286" s="4"/>
      <c r="H286" s="4"/>
    </row>
    <row r="287">
      <c r="A287" s="4" t="str">
        <f t="shared" si="1"/>
        <v/>
      </c>
      <c r="B287" s="4"/>
      <c r="C287" s="4"/>
      <c r="E287" s="4"/>
      <c r="F287" s="4"/>
      <c r="G287" s="4"/>
      <c r="H287" s="4"/>
    </row>
    <row r="288">
      <c r="A288" s="4" t="str">
        <f t="shared" si="1"/>
        <v/>
      </c>
      <c r="B288" s="4"/>
      <c r="C288" s="4"/>
      <c r="E288" s="4"/>
      <c r="F288" s="4"/>
      <c r="G288" s="4"/>
      <c r="H288" s="4"/>
    </row>
    <row r="289">
      <c r="A289" s="4" t="str">
        <f t="shared" si="1"/>
        <v/>
      </c>
      <c r="B289" s="4"/>
      <c r="C289" s="4"/>
      <c r="E289" s="4"/>
      <c r="F289" s="4"/>
      <c r="G289" s="4"/>
      <c r="H289" s="4"/>
    </row>
    <row r="290">
      <c r="A290" s="4" t="str">
        <f t="shared" si="1"/>
        <v/>
      </c>
      <c r="B290" s="4"/>
      <c r="C290" s="4"/>
      <c r="E290" s="4"/>
      <c r="F290" s="4"/>
      <c r="G290" s="4"/>
      <c r="H290" s="4"/>
    </row>
    <row r="291">
      <c r="A291" s="4" t="str">
        <f t="shared" si="1"/>
        <v/>
      </c>
      <c r="B291" s="4"/>
      <c r="C291" s="4"/>
      <c r="E291" s="4"/>
      <c r="F291" s="4"/>
      <c r="G291" s="4"/>
      <c r="H291" s="4"/>
    </row>
    <row r="292">
      <c r="A292" s="4" t="str">
        <f t="shared" si="1"/>
        <v/>
      </c>
      <c r="B292" s="4"/>
      <c r="C292" s="4"/>
      <c r="E292" s="4"/>
      <c r="F292" s="4"/>
      <c r="G292" s="4"/>
      <c r="H292" s="4"/>
    </row>
    <row r="293">
      <c r="A293" s="4" t="str">
        <f t="shared" si="1"/>
        <v/>
      </c>
      <c r="B293" s="4"/>
      <c r="C293" s="4"/>
      <c r="E293" s="4"/>
      <c r="F293" s="4"/>
      <c r="G293" s="4"/>
      <c r="H293" s="4"/>
    </row>
    <row r="294">
      <c r="A294" s="4" t="str">
        <f t="shared" si="1"/>
        <v/>
      </c>
      <c r="B294" s="4"/>
      <c r="C294" s="4"/>
      <c r="E294" s="4"/>
      <c r="F294" s="4"/>
      <c r="G294" s="4"/>
      <c r="H294" s="4"/>
    </row>
    <row r="295">
      <c r="A295" s="4" t="str">
        <f t="shared" si="1"/>
        <v/>
      </c>
      <c r="B295" s="4"/>
      <c r="C295" s="4"/>
      <c r="E295" s="4"/>
      <c r="F295" s="4"/>
      <c r="G295" s="4"/>
      <c r="H295" s="4"/>
    </row>
    <row r="296">
      <c r="A296" s="4" t="str">
        <f t="shared" si="1"/>
        <v/>
      </c>
      <c r="B296" s="4"/>
      <c r="C296" s="4"/>
      <c r="E296" s="4"/>
      <c r="F296" s="4"/>
      <c r="G296" s="4"/>
      <c r="H296" s="4"/>
    </row>
    <row r="297">
      <c r="A297" s="4" t="str">
        <f t="shared" si="1"/>
        <v/>
      </c>
      <c r="B297" s="4"/>
      <c r="C297" s="4"/>
      <c r="E297" s="4"/>
      <c r="F297" s="4"/>
      <c r="G297" s="4"/>
      <c r="H297" s="4"/>
    </row>
    <row r="298">
      <c r="A298" s="4" t="str">
        <f t="shared" si="1"/>
        <v/>
      </c>
      <c r="B298" s="4"/>
      <c r="C298" s="4"/>
      <c r="E298" s="4"/>
      <c r="F298" s="4"/>
      <c r="G298" s="4"/>
      <c r="H298" s="4"/>
    </row>
    <row r="299">
      <c r="A299" s="4" t="str">
        <f t="shared" si="1"/>
        <v/>
      </c>
      <c r="B299" s="4"/>
      <c r="C299" s="4"/>
      <c r="E299" s="4"/>
      <c r="F299" s="4"/>
      <c r="G299" s="4"/>
      <c r="H299" s="4"/>
    </row>
    <row r="300">
      <c r="A300" s="4" t="str">
        <f t="shared" si="1"/>
        <v/>
      </c>
      <c r="B300" s="4"/>
      <c r="C300" s="4"/>
      <c r="E300" s="4"/>
      <c r="F300" s="4"/>
      <c r="G300" s="4"/>
      <c r="H300" s="4"/>
    </row>
    <row r="301">
      <c r="A301" s="4" t="str">
        <f t="shared" si="1"/>
        <v/>
      </c>
      <c r="B301" s="4"/>
      <c r="C301" s="4"/>
      <c r="E301" s="4"/>
      <c r="F301" s="4"/>
      <c r="G301" s="4"/>
      <c r="H301" s="4"/>
    </row>
    <row r="302">
      <c r="A302" s="4" t="str">
        <f t="shared" si="1"/>
        <v/>
      </c>
      <c r="B302" s="4"/>
      <c r="C302" s="4"/>
      <c r="E302" s="4"/>
      <c r="F302" s="4"/>
      <c r="G302" s="4"/>
      <c r="H302" s="4"/>
    </row>
    <row r="303">
      <c r="A303" s="4" t="str">
        <f t="shared" si="1"/>
        <v/>
      </c>
      <c r="B303" s="4"/>
      <c r="C303" s="4"/>
      <c r="E303" s="4"/>
      <c r="F303" s="4"/>
      <c r="G303" s="4"/>
      <c r="H303" s="4"/>
    </row>
    <row r="304">
      <c r="A304" s="4" t="str">
        <f t="shared" si="1"/>
        <v/>
      </c>
      <c r="B304" s="4"/>
      <c r="C304" s="4"/>
      <c r="E304" s="4"/>
      <c r="F304" s="4"/>
      <c r="G304" s="4"/>
      <c r="H304" s="4"/>
    </row>
    <row r="305">
      <c r="A305" s="4" t="str">
        <f t="shared" si="1"/>
        <v/>
      </c>
      <c r="B305" s="4"/>
      <c r="C305" s="4"/>
      <c r="E305" s="4"/>
      <c r="F305" s="4"/>
      <c r="G305" s="4"/>
      <c r="H305" s="4"/>
    </row>
    <row r="306">
      <c r="A306" s="4" t="str">
        <f t="shared" si="1"/>
        <v/>
      </c>
      <c r="B306" s="4"/>
      <c r="C306" s="4"/>
      <c r="E306" s="4"/>
      <c r="F306" s="4"/>
      <c r="G306" s="4"/>
      <c r="H306" s="4"/>
    </row>
    <row r="307">
      <c r="A307" s="4" t="str">
        <f t="shared" si="1"/>
        <v/>
      </c>
      <c r="B307" s="4"/>
      <c r="C307" s="4"/>
      <c r="E307" s="4"/>
      <c r="F307" s="4"/>
      <c r="G307" s="4"/>
      <c r="H307" s="4"/>
    </row>
    <row r="308">
      <c r="A308" s="4" t="str">
        <f t="shared" si="1"/>
        <v/>
      </c>
      <c r="B308" s="4"/>
      <c r="C308" s="4"/>
      <c r="E308" s="4"/>
      <c r="F308" s="4"/>
      <c r="G308" s="4"/>
      <c r="H308" s="4"/>
    </row>
    <row r="309">
      <c r="A309" s="4" t="str">
        <f t="shared" si="1"/>
        <v/>
      </c>
      <c r="B309" s="4"/>
      <c r="C309" s="4"/>
      <c r="E309" s="4"/>
      <c r="F309" s="4"/>
      <c r="G309" s="4"/>
      <c r="H309" s="4"/>
    </row>
    <row r="310">
      <c r="A310" s="4" t="str">
        <f t="shared" si="1"/>
        <v/>
      </c>
      <c r="B310" s="4"/>
      <c r="C310" s="4"/>
      <c r="E310" s="4"/>
      <c r="F310" s="4"/>
      <c r="G310" s="4"/>
      <c r="H310" s="4"/>
    </row>
    <row r="311">
      <c r="A311" s="4" t="str">
        <f t="shared" si="1"/>
        <v/>
      </c>
      <c r="B311" s="4"/>
      <c r="C311" s="4"/>
      <c r="E311" s="4"/>
      <c r="F311" s="4"/>
      <c r="G311" s="4"/>
      <c r="H311" s="4"/>
    </row>
    <row r="312">
      <c r="A312" s="4" t="str">
        <f t="shared" si="1"/>
        <v/>
      </c>
      <c r="B312" s="4"/>
      <c r="C312" s="4"/>
      <c r="E312" s="4"/>
      <c r="F312" s="4"/>
      <c r="G312" s="4"/>
      <c r="H312" s="4"/>
    </row>
    <row r="313">
      <c r="A313" s="4" t="str">
        <f t="shared" si="1"/>
        <v/>
      </c>
      <c r="B313" s="4"/>
      <c r="C313" s="4"/>
      <c r="E313" s="4"/>
      <c r="F313" s="4"/>
      <c r="G313" s="4"/>
      <c r="H313" s="4"/>
    </row>
    <row r="314">
      <c r="A314" s="4" t="str">
        <f t="shared" si="1"/>
        <v/>
      </c>
      <c r="B314" s="4"/>
      <c r="C314" s="4"/>
      <c r="E314" s="4"/>
      <c r="F314" s="4"/>
      <c r="G314" s="4"/>
      <c r="H314" s="4"/>
    </row>
    <row r="315">
      <c r="A315" s="4" t="str">
        <f t="shared" si="1"/>
        <v/>
      </c>
      <c r="B315" s="4"/>
      <c r="C315" s="4"/>
      <c r="E315" s="4"/>
      <c r="F315" s="4"/>
      <c r="G315" s="4"/>
      <c r="H315" s="4"/>
    </row>
    <row r="316">
      <c r="A316" s="4" t="str">
        <f t="shared" si="1"/>
        <v/>
      </c>
      <c r="B316" s="4"/>
      <c r="C316" s="4"/>
      <c r="E316" s="4"/>
      <c r="F316" s="4"/>
      <c r="G316" s="4"/>
      <c r="H316" s="4"/>
    </row>
    <row r="317">
      <c r="A317" s="4" t="str">
        <f t="shared" si="1"/>
        <v/>
      </c>
      <c r="B317" s="4"/>
      <c r="C317" s="4"/>
      <c r="E317" s="4"/>
      <c r="F317" s="4"/>
      <c r="G317" s="4"/>
      <c r="H317" s="4"/>
    </row>
    <row r="318">
      <c r="A318" s="4" t="str">
        <f t="shared" si="1"/>
        <v/>
      </c>
      <c r="B318" s="4"/>
      <c r="C318" s="4"/>
      <c r="E318" s="4"/>
      <c r="F318" s="4"/>
      <c r="G318" s="4"/>
      <c r="H318" s="4"/>
    </row>
    <row r="319">
      <c r="A319" s="4" t="str">
        <f t="shared" si="1"/>
        <v/>
      </c>
      <c r="B319" s="4"/>
      <c r="C319" s="4"/>
      <c r="E319" s="4"/>
      <c r="F319" s="4"/>
      <c r="G319" s="4"/>
      <c r="H319" s="4"/>
    </row>
    <row r="320">
      <c r="A320" s="4" t="str">
        <f t="shared" si="1"/>
        <v/>
      </c>
      <c r="B320" s="4"/>
      <c r="C320" s="4"/>
      <c r="E320" s="4"/>
      <c r="F320" s="4"/>
      <c r="G320" s="4"/>
      <c r="H320" s="4"/>
    </row>
    <row r="321">
      <c r="A321" s="4" t="str">
        <f t="shared" si="1"/>
        <v/>
      </c>
      <c r="B321" s="4"/>
      <c r="C321" s="4"/>
      <c r="E321" s="4"/>
      <c r="F321" s="4"/>
      <c r="G321" s="4"/>
      <c r="H321" s="4"/>
    </row>
    <row r="322">
      <c r="A322" s="4" t="str">
        <f t="shared" si="1"/>
        <v/>
      </c>
      <c r="B322" s="4"/>
      <c r="C322" s="4"/>
      <c r="E322" s="4"/>
      <c r="F322" s="4"/>
      <c r="G322" s="4"/>
      <c r="H322" s="4"/>
    </row>
    <row r="323">
      <c r="A323" s="4" t="str">
        <f t="shared" si="1"/>
        <v/>
      </c>
      <c r="B323" s="4"/>
      <c r="C323" s="4"/>
      <c r="E323" s="4"/>
      <c r="F323" s="4"/>
      <c r="G323" s="4"/>
      <c r="H323" s="4"/>
    </row>
    <row r="324">
      <c r="A324" s="4" t="str">
        <f t="shared" si="1"/>
        <v/>
      </c>
      <c r="B324" s="4"/>
      <c r="C324" s="4"/>
      <c r="E324" s="4"/>
      <c r="F324" s="4"/>
      <c r="G324" s="4"/>
      <c r="H324" s="4"/>
    </row>
    <row r="325">
      <c r="A325" s="4" t="str">
        <f t="shared" si="1"/>
        <v/>
      </c>
      <c r="B325" s="4"/>
      <c r="C325" s="4"/>
      <c r="E325" s="4"/>
      <c r="F325" s="4"/>
      <c r="G325" s="4"/>
      <c r="H325" s="4"/>
    </row>
    <row r="326">
      <c r="A326" s="4" t="str">
        <f t="shared" si="1"/>
        <v/>
      </c>
      <c r="B326" s="4"/>
      <c r="C326" s="4"/>
      <c r="E326" s="4"/>
      <c r="F326" s="4"/>
      <c r="G326" s="4"/>
      <c r="H326" s="4"/>
    </row>
    <row r="327">
      <c r="A327" s="4" t="str">
        <f t="shared" si="1"/>
        <v/>
      </c>
      <c r="B327" s="4"/>
      <c r="C327" s="4"/>
      <c r="E327" s="4"/>
      <c r="F327" s="4"/>
      <c r="G327" s="4"/>
      <c r="H327" s="4"/>
    </row>
    <row r="328">
      <c r="A328" s="4" t="str">
        <f t="shared" si="1"/>
        <v/>
      </c>
      <c r="B328" s="4"/>
      <c r="C328" s="4"/>
      <c r="E328" s="4"/>
      <c r="F328" s="4"/>
      <c r="G328" s="4"/>
      <c r="H328" s="4"/>
    </row>
    <row r="329">
      <c r="A329" s="4" t="str">
        <f t="shared" si="1"/>
        <v/>
      </c>
      <c r="B329" s="4"/>
      <c r="C329" s="4"/>
      <c r="E329" s="4"/>
      <c r="F329" s="4"/>
      <c r="G329" s="4"/>
      <c r="H329" s="4"/>
    </row>
    <row r="330">
      <c r="A330" s="4" t="str">
        <f t="shared" si="1"/>
        <v/>
      </c>
      <c r="B330" s="4"/>
      <c r="C330" s="4"/>
      <c r="E330" s="4"/>
      <c r="F330" s="4"/>
      <c r="G330" s="4"/>
      <c r="H330" s="4"/>
    </row>
    <row r="331">
      <c r="A331" s="4" t="str">
        <f t="shared" si="1"/>
        <v/>
      </c>
      <c r="B331" s="4"/>
      <c r="C331" s="4"/>
      <c r="E331" s="4"/>
      <c r="F331" s="4"/>
      <c r="G331" s="4"/>
      <c r="H331" s="4"/>
    </row>
    <row r="332">
      <c r="A332" s="4" t="str">
        <f t="shared" si="1"/>
        <v/>
      </c>
      <c r="B332" s="4"/>
      <c r="C332" s="4"/>
      <c r="E332" s="4"/>
      <c r="F332" s="4"/>
      <c r="G332" s="4"/>
      <c r="H332" s="4"/>
    </row>
    <row r="333">
      <c r="A333" s="4" t="str">
        <f t="shared" si="1"/>
        <v/>
      </c>
      <c r="B333" s="4"/>
      <c r="C333" s="4"/>
      <c r="E333" s="4"/>
      <c r="F333" s="4"/>
      <c r="G333" s="4"/>
      <c r="H333" s="4"/>
    </row>
    <row r="334">
      <c r="A334" s="4" t="str">
        <f t="shared" si="1"/>
        <v/>
      </c>
      <c r="B334" s="4"/>
      <c r="C334" s="4"/>
      <c r="E334" s="4"/>
      <c r="F334" s="4"/>
      <c r="G334" s="4"/>
      <c r="H334" s="4"/>
    </row>
    <row r="335">
      <c r="A335" s="4" t="str">
        <f t="shared" si="1"/>
        <v/>
      </c>
      <c r="B335" s="4"/>
      <c r="C335" s="4"/>
      <c r="E335" s="4"/>
      <c r="F335" s="4"/>
      <c r="G335" s="4"/>
      <c r="H335" s="4"/>
    </row>
    <row r="336">
      <c r="A336" s="4" t="str">
        <f t="shared" si="1"/>
        <v/>
      </c>
      <c r="B336" s="4"/>
      <c r="C336" s="4"/>
      <c r="E336" s="4"/>
      <c r="F336" s="4"/>
      <c r="G336" s="4"/>
      <c r="H336" s="4"/>
    </row>
    <row r="337">
      <c r="A337" s="4" t="str">
        <f t="shared" si="1"/>
        <v/>
      </c>
      <c r="B337" s="4"/>
      <c r="C337" s="4"/>
      <c r="E337" s="4"/>
      <c r="F337" s="4"/>
      <c r="G337" s="4"/>
      <c r="H337" s="4"/>
    </row>
    <row r="338">
      <c r="A338" s="4" t="str">
        <f t="shared" si="1"/>
        <v/>
      </c>
      <c r="B338" s="4"/>
      <c r="C338" s="4"/>
      <c r="E338" s="4"/>
      <c r="F338" s="4"/>
      <c r="G338" s="4"/>
      <c r="H338" s="4"/>
    </row>
    <row r="339">
      <c r="A339" s="4" t="str">
        <f t="shared" si="1"/>
        <v/>
      </c>
      <c r="B339" s="4"/>
      <c r="C339" s="4"/>
      <c r="E339" s="4"/>
      <c r="F339" s="4"/>
      <c r="G339" s="4"/>
      <c r="H339" s="4"/>
    </row>
    <row r="340">
      <c r="A340" s="4" t="str">
        <f t="shared" si="1"/>
        <v/>
      </c>
      <c r="B340" s="4"/>
      <c r="C340" s="4"/>
      <c r="E340" s="4"/>
      <c r="F340" s="4"/>
      <c r="G340" s="4"/>
      <c r="H340" s="4"/>
    </row>
    <row r="341">
      <c r="A341" s="4" t="str">
        <f t="shared" si="1"/>
        <v/>
      </c>
      <c r="B341" s="4"/>
      <c r="C341" s="4"/>
      <c r="E341" s="4"/>
      <c r="F341" s="4"/>
      <c r="G341" s="4"/>
      <c r="H341" s="4"/>
    </row>
    <row r="342">
      <c r="A342" s="4" t="str">
        <f t="shared" si="1"/>
        <v/>
      </c>
      <c r="B342" s="4"/>
      <c r="C342" s="4"/>
      <c r="E342" s="4"/>
      <c r="F342" s="4"/>
      <c r="G342" s="4"/>
      <c r="H342" s="4"/>
    </row>
    <row r="343">
      <c r="A343" s="4" t="str">
        <f t="shared" si="1"/>
        <v/>
      </c>
      <c r="B343" s="4"/>
      <c r="C343" s="4"/>
      <c r="E343" s="4"/>
      <c r="F343" s="4"/>
      <c r="G343" s="4"/>
      <c r="H343" s="4"/>
    </row>
    <row r="344">
      <c r="A344" s="4" t="str">
        <f t="shared" si="1"/>
        <v/>
      </c>
      <c r="B344" s="4"/>
      <c r="C344" s="4"/>
      <c r="E344" s="4"/>
      <c r="F344" s="4"/>
      <c r="G344" s="4"/>
      <c r="H344" s="4"/>
    </row>
    <row r="345">
      <c r="A345" s="4" t="str">
        <f t="shared" si="1"/>
        <v/>
      </c>
      <c r="B345" s="4"/>
      <c r="C345" s="4"/>
      <c r="E345" s="4"/>
      <c r="F345" s="4"/>
      <c r="G345" s="4"/>
      <c r="H345" s="4"/>
    </row>
    <row r="346">
      <c r="A346" s="4" t="str">
        <f t="shared" si="1"/>
        <v/>
      </c>
      <c r="B346" s="4"/>
      <c r="C346" s="4"/>
      <c r="E346" s="4"/>
      <c r="F346" s="4"/>
      <c r="G346" s="4"/>
      <c r="H346" s="4"/>
    </row>
    <row r="347">
      <c r="A347" s="4" t="str">
        <f t="shared" si="1"/>
        <v/>
      </c>
      <c r="B347" s="4"/>
      <c r="C347" s="4"/>
      <c r="E347" s="4"/>
      <c r="F347" s="4"/>
      <c r="G347" s="4"/>
      <c r="H347" s="4"/>
    </row>
    <row r="348">
      <c r="A348" s="4" t="str">
        <f t="shared" si="1"/>
        <v/>
      </c>
      <c r="B348" s="4"/>
      <c r="C348" s="4"/>
      <c r="E348" s="4"/>
      <c r="F348" s="4"/>
      <c r="G348" s="4"/>
      <c r="H348" s="4"/>
    </row>
    <row r="349">
      <c r="A349" s="4" t="str">
        <f t="shared" si="1"/>
        <v/>
      </c>
      <c r="B349" s="4"/>
      <c r="C349" s="4"/>
      <c r="E349" s="4"/>
      <c r="F349" s="4"/>
      <c r="G349" s="4"/>
      <c r="H349" s="4"/>
    </row>
    <row r="350">
      <c r="A350" s="4" t="str">
        <f t="shared" si="1"/>
        <v/>
      </c>
      <c r="B350" s="4"/>
      <c r="C350" s="4"/>
      <c r="E350" s="4"/>
      <c r="F350" s="4"/>
      <c r="G350" s="4"/>
      <c r="H350" s="4"/>
    </row>
    <row r="351">
      <c r="A351" s="4" t="str">
        <f t="shared" si="1"/>
        <v/>
      </c>
      <c r="B351" s="4"/>
      <c r="C351" s="4"/>
      <c r="E351" s="4"/>
      <c r="F351" s="4"/>
      <c r="G351" s="4"/>
      <c r="H351" s="4"/>
    </row>
    <row r="352">
      <c r="A352" s="4" t="str">
        <f t="shared" si="1"/>
        <v/>
      </c>
      <c r="B352" s="4"/>
      <c r="C352" s="4"/>
      <c r="E352" s="4"/>
      <c r="F352" s="4"/>
      <c r="G352" s="4"/>
      <c r="H352" s="4"/>
    </row>
    <row r="353">
      <c r="A353" s="4" t="str">
        <f t="shared" si="1"/>
        <v/>
      </c>
      <c r="B353" s="4"/>
      <c r="C353" s="4"/>
      <c r="E353" s="4"/>
      <c r="F353" s="4"/>
      <c r="G353" s="4"/>
      <c r="H353" s="4"/>
    </row>
    <row r="354">
      <c r="A354" s="4" t="str">
        <f t="shared" si="1"/>
        <v/>
      </c>
      <c r="B354" s="4"/>
      <c r="C354" s="4"/>
      <c r="E354" s="4"/>
      <c r="F354" s="4"/>
      <c r="G354" s="4"/>
      <c r="H354" s="4"/>
    </row>
    <row r="355">
      <c r="A355" s="4" t="str">
        <f t="shared" si="1"/>
        <v/>
      </c>
      <c r="B355" s="4"/>
      <c r="C355" s="4"/>
      <c r="E355" s="4"/>
      <c r="F355" s="4"/>
      <c r="G355" s="4"/>
      <c r="H355" s="4"/>
    </row>
    <row r="356">
      <c r="A356" s="4" t="str">
        <f t="shared" si="1"/>
        <v/>
      </c>
      <c r="B356" s="4"/>
      <c r="C356" s="4"/>
      <c r="E356" s="4"/>
      <c r="F356" s="4"/>
      <c r="G356" s="4"/>
      <c r="H356" s="4"/>
    </row>
    <row r="357">
      <c r="A357" s="4" t="str">
        <f t="shared" si="1"/>
        <v/>
      </c>
      <c r="B357" s="4"/>
      <c r="C357" s="4"/>
      <c r="E357" s="4"/>
      <c r="F357" s="4"/>
      <c r="G357" s="4"/>
      <c r="H357" s="4"/>
    </row>
    <row r="358">
      <c r="A358" s="4" t="str">
        <f t="shared" si="1"/>
        <v/>
      </c>
      <c r="B358" s="4"/>
      <c r="C358" s="4"/>
      <c r="E358" s="4"/>
      <c r="F358" s="4"/>
      <c r="G358" s="4"/>
      <c r="H358" s="4"/>
    </row>
    <row r="359">
      <c r="A359" s="4" t="str">
        <f t="shared" si="1"/>
        <v/>
      </c>
      <c r="B359" s="4"/>
      <c r="C359" s="4"/>
      <c r="E359" s="4"/>
      <c r="F359" s="4"/>
      <c r="G359" s="4"/>
      <c r="H359" s="4"/>
    </row>
    <row r="360">
      <c r="A360" s="4" t="str">
        <f t="shared" si="1"/>
        <v/>
      </c>
      <c r="B360" s="4"/>
      <c r="C360" s="4"/>
      <c r="E360" s="4"/>
      <c r="F360" s="4"/>
      <c r="G360" s="4"/>
      <c r="H360" s="4"/>
    </row>
    <row r="361">
      <c r="A361" s="4" t="str">
        <f t="shared" si="1"/>
        <v/>
      </c>
      <c r="B361" s="4"/>
      <c r="C361" s="4"/>
      <c r="E361" s="4"/>
      <c r="F361" s="4"/>
      <c r="G361" s="4"/>
      <c r="H361" s="4"/>
    </row>
    <row r="362">
      <c r="A362" s="4" t="str">
        <f t="shared" si="1"/>
        <v/>
      </c>
      <c r="B362" s="4"/>
      <c r="C362" s="4"/>
      <c r="E362" s="4"/>
      <c r="F362" s="4"/>
      <c r="G362" s="4"/>
      <c r="H362" s="4"/>
    </row>
    <row r="363">
      <c r="A363" s="4" t="str">
        <f t="shared" si="1"/>
        <v/>
      </c>
      <c r="B363" s="4"/>
      <c r="C363" s="4"/>
      <c r="E363" s="4"/>
      <c r="F363" s="4"/>
      <c r="G363" s="4"/>
      <c r="H363" s="4"/>
    </row>
    <row r="364">
      <c r="A364" s="4" t="str">
        <f t="shared" si="1"/>
        <v/>
      </c>
      <c r="B364" s="4"/>
      <c r="C364" s="4"/>
      <c r="E364" s="4"/>
      <c r="F364" s="4"/>
      <c r="G364" s="4"/>
      <c r="H364" s="4"/>
    </row>
    <row r="365">
      <c r="A365" s="4" t="str">
        <f t="shared" si="1"/>
        <v/>
      </c>
      <c r="B365" s="4"/>
      <c r="C365" s="4"/>
      <c r="E365" s="4"/>
      <c r="F365" s="4"/>
      <c r="G365" s="4"/>
      <c r="H365" s="4"/>
    </row>
    <row r="366">
      <c r="A366" s="4" t="str">
        <f t="shared" si="1"/>
        <v/>
      </c>
      <c r="B366" s="4"/>
      <c r="C366" s="4"/>
      <c r="E366" s="4"/>
      <c r="F366" s="4"/>
      <c r="G366" s="4"/>
      <c r="H366" s="4"/>
    </row>
    <row r="367">
      <c r="A367" s="4" t="str">
        <f t="shared" si="1"/>
        <v/>
      </c>
      <c r="B367" s="4"/>
      <c r="C367" s="4"/>
      <c r="E367" s="4"/>
      <c r="F367" s="4"/>
      <c r="G367" s="4"/>
      <c r="H367" s="4"/>
    </row>
    <row r="368">
      <c r="A368" s="4" t="str">
        <f t="shared" si="1"/>
        <v/>
      </c>
      <c r="B368" s="4"/>
      <c r="C368" s="4"/>
      <c r="E368" s="4"/>
      <c r="F368" s="4"/>
      <c r="G368" s="4"/>
      <c r="H368" s="4"/>
    </row>
    <row r="369">
      <c r="A369" s="4" t="str">
        <f t="shared" si="1"/>
        <v/>
      </c>
      <c r="B369" s="4"/>
      <c r="C369" s="4"/>
      <c r="E369" s="4"/>
      <c r="F369" s="4"/>
      <c r="G369" s="4"/>
      <c r="H369" s="4"/>
    </row>
    <row r="370">
      <c r="A370" s="4" t="str">
        <f t="shared" si="1"/>
        <v/>
      </c>
      <c r="B370" s="4"/>
      <c r="C370" s="4"/>
      <c r="E370" s="4"/>
      <c r="F370" s="4"/>
      <c r="G370" s="4"/>
      <c r="H370" s="4"/>
    </row>
    <row r="371">
      <c r="A371" s="4" t="str">
        <f t="shared" si="1"/>
        <v/>
      </c>
      <c r="B371" s="4"/>
      <c r="C371" s="4"/>
      <c r="E371" s="4"/>
      <c r="F371" s="4"/>
      <c r="G371" s="4"/>
      <c r="H371" s="4"/>
    </row>
    <row r="372">
      <c r="A372" s="4" t="str">
        <f t="shared" si="1"/>
        <v/>
      </c>
      <c r="B372" s="4"/>
      <c r="C372" s="4"/>
      <c r="E372" s="4"/>
      <c r="F372" s="4"/>
      <c r="G372" s="4"/>
      <c r="H372" s="4"/>
    </row>
    <row r="373">
      <c r="A373" s="4" t="str">
        <f t="shared" si="1"/>
        <v/>
      </c>
      <c r="B373" s="4"/>
      <c r="C373" s="4"/>
      <c r="E373" s="4"/>
      <c r="F373" s="4"/>
      <c r="G373" s="4"/>
      <c r="H373" s="4"/>
    </row>
    <row r="374">
      <c r="A374" s="4" t="str">
        <f t="shared" si="1"/>
        <v/>
      </c>
      <c r="B374" s="4"/>
      <c r="C374" s="4"/>
      <c r="E374" s="4"/>
      <c r="F374" s="4"/>
      <c r="G374" s="4"/>
      <c r="H374" s="4"/>
    </row>
    <row r="375">
      <c r="A375" s="4" t="str">
        <f t="shared" si="1"/>
        <v/>
      </c>
      <c r="B375" s="4"/>
      <c r="C375" s="4"/>
      <c r="E375" s="4"/>
      <c r="F375" s="4"/>
      <c r="G375" s="4"/>
      <c r="H375" s="4"/>
    </row>
    <row r="376">
      <c r="A376" s="4" t="str">
        <f t="shared" si="1"/>
        <v/>
      </c>
      <c r="B376" s="4"/>
      <c r="C376" s="4"/>
      <c r="E376" s="4"/>
      <c r="F376" s="4"/>
      <c r="G376" s="4"/>
      <c r="H376" s="4"/>
    </row>
    <row r="377">
      <c r="A377" s="4" t="str">
        <f t="shared" si="1"/>
        <v/>
      </c>
      <c r="B377" s="4"/>
      <c r="C377" s="4"/>
      <c r="E377" s="4"/>
      <c r="F377" s="4"/>
      <c r="G377" s="4"/>
      <c r="H377" s="4"/>
    </row>
    <row r="378">
      <c r="A378" s="4" t="str">
        <f t="shared" si="1"/>
        <v/>
      </c>
      <c r="B378" s="4"/>
      <c r="C378" s="4"/>
      <c r="E378" s="4"/>
      <c r="F378" s="4"/>
      <c r="G378" s="4"/>
      <c r="H378" s="4"/>
    </row>
    <row r="379">
      <c r="A379" s="4" t="str">
        <f t="shared" si="1"/>
        <v/>
      </c>
      <c r="B379" s="4"/>
      <c r="C379" s="4"/>
      <c r="E379" s="4"/>
      <c r="F379" s="4"/>
      <c r="G379" s="4"/>
      <c r="H379" s="4"/>
    </row>
    <row r="380">
      <c r="A380" s="4" t="str">
        <f t="shared" si="1"/>
        <v/>
      </c>
      <c r="B380" s="4"/>
      <c r="C380" s="4"/>
      <c r="E380" s="4"/>
      <c r="F380" s="4"/>
      <c r="G380" s="4"/>
      <c r="H380" s="4"/>
    </row>
    <row r="381">
      <c r="A381" s="4" t="str">
        <f t="shared" si="1"/>
        <v/>
      </c>
      <c r="B381" s="4"/>
      <c r="C381" s="4"/>
      <c r="E381" s="4"/>
      <c r="F381" s="4"/>
      <c r="G381" s="4"/>
      <c r="H381" s="4"/>
    </row>
    <row r="382">
      <c r="A382" s="4" t="str">
        <f t="shared" si="1"/>
        <v/>
      </c>
      <c r="B382" s="4"/>
      <c r="C382" s="4"/>
      <c r="E382" s="4"/>
      <c r="F382" s="4"/>
      <c r="G382" s="4"/>
      <c r="H382" s="4"/>
    </row>
    <row r="383">
      <c r="A383" s="4" t="str">
        <f t="shared" si="1"/>
        <v/>
      </c>
      <c r="B383" s="4"/>
      <c r="C383" s="4"/>
      <c r="E383" s="4"/>
      <c r="F383" s="4"/>
      <c r="G383" s="4"/>
      <c r="H383" s="4"/>
    </row>
    <row r="384">
      <c r="A384" s="4" t="str">
        <f t="shared" si="1"/>
        <v/>
      </c>
      <c r="B384" s="4"/>
      <c r="C384" s="4"/>
      <c r="E384" s="4"/>
      <c r="F384" s="4"/>
      <c r="G384" s="4"/>
      <c r="H384" s="4"/>
    </row>
    <row r="385">
      <c r="A385" s="4" t="str">
        <f t="shared" si="1"/>
        <v/>
      </c>
      <c r="B385" s="4"/>
      <c r="C385" s="4"/>
      <c r="E385" s="4"/>
      <c r="F385" s="4"/>
      <c r="G385" s="4"/>
      <c r="H385" s="4"/>
    </row>
    <row r="386">
      <c r="A386" s="4" t="str">
        <f t="shared" si="1"/>
        <v/>
      </c>
      <c r="B386" s="4"/>
      <c r="C386" s="4"/>
      <c r="E386" s="4"/>
      <c r="F386" s="4"/>
      <c r="G386" s="4"/>
      <c r="H386" s="4"/>
    </row>
    <row r="387">
      <c r="A387" s="4" t="str">
        <f t="shared" si="1"/>
        <v/>
      </c>
      <c r="B387" s="4"/>
      <c r="C387" s="4"/>
      <c r="E387" s="4"/>
      <c r="F387" s="4"/>
      <c r="G387" s="4"/>
      <c r="H387" s="4"/>
    </row>
    <row r="388">
      <c r="A388" s="4" t="str">
        <f t="shared" si="1"/>
        <v/>
      </c>
      <c r="B388" s="4"/>
      <c r="C388" s="4"/>
      <c r="E388" s="4"/>
      <c r="F388" s="4"/>
      <c r="G388" s="4"/>
      <c r="H388" s="4"/>
    </row>
    <row r="389">
      <c r="A389" s="4" t="str">
        <f t="shared" si="1"/>
        <v/>
      </c>
      <c r="B389" s="4"/>
      <c r="C389" s="4"/>
      <c r="E389" s="4"/>
      <c r="F389" s="4"/>
      <c r="G389" s="4"/>
      <c r="H389" s="4"/>
    </row>
    <row r="390">
      <c r="A390" s="4" t="str">
        <f t="shared" si="1"/>
        <v/>
      </c>
      <c r="B390" s="4"/>
      <c r="C390" s="4"/>
      <c r="E390" s="4"/>
      <c r="F390" s="4"/>
      <c r="G390" s="4"/>
      <c r="H390" s="4"/>
    </row>
    <row r="391">
      <c r="A391" s="4" t="str">
        <f t="shared" si="1"/>
        <v/>
      </c>
      <c r="B391" s="4"/>
      <c r="C391" s="4"/>
      <c r="E391" s="4"/>
      <c r="F391" s="4"/>
      <c r="G391" s="4"/>
      <c r="H391" s="4"/>
    </row>
    <row r="392">
      <c r="A392" s="4" t="str">
        <f t="shared" si="1"/>
        <v/>
      </c>
      <c r="B392" s="4"/>
      <c r="C392" s="4"/>
      <c r="E392" s="4"/>
      <c r="F392" s="4"/>
      <c r="G392" s="4"/>
      <c r="H392" s="4"/>
    </row>
    <row r="393">
      <c r="A393" s="4" t="str">
        <f t="shared" si="1"/>
        <v/>
      </c>
      <c r="B393" s="4"/>
      <c r="C393" s="4"/>
      <c r="E393" s="4"/>
      <c r="F393" s="4"/>
      <c r="G393" s="4"/>
      <c r="H393" s="4"/>
    </row>
    <row r="394">
      <c r="A394" s="4" t="str">
        <f t="shared" si="1"/>
        <v/>
      </c>
      <c r="B394" s="4"/>
      <c r="C394" s="4"/>
      <c r="E394" s="4"/>
      <c r="F394" s="4"/>
      <c r="G394" s="4"/>
      <c r="H394" s="4"/>
    </row>
    <row r="395">
      <c r="A395" s="4" t="str">
        <f t="shared" si="1"/>
        <v/>
      </c>
      <c r="B395" s="4"/>
      <c r="C395" s="4"/>
      <c r="E395" s="4"/>
      <c r="F395" s="4"/>
      <c r="G395" s="4"/>
      <c r="H395" s="4"/>
    </row>
    <row r="396">
      <c r="A396" s="4" t="str">
        <f t="shared" si="1"/>
        <v/>
      </c>
      <c r="B396" s="4"/>
      <c r="C396" s="4"/>
      <c r="E396" s="4"/>
      <c r="F396" s="4"/>
      <c r="G396" s="4"/>
      <c r="H396" s="4"/>
    </row>
    <row r="397">
      <c r="A397" s="4" t="str">
        <f t="shared" si="1"/>
        <v/>
      </c>
      <c r="B397" s="4"/>
      <c r="C397" s="4"/>
      <c r="E397" s="4"/>
      <c r="F397" s="4"/>
      <c r="G397" s="4"/>
      <c r="H397" s="4"/>
    </row>
    <row r="398">
      <c r="A398" s="4" t="str">
        <f t="shared" si="1"/>
        <v/>
      </c>
      <c r="B398" s="4"/>
      <c r="C398" s="4"/>
      <c r="E398" s="4"/>
      <c r="F398" s="4"/>
      <c r="G398" s="4"/>
      <c r="H398" s="4"/>
    </row>
    <row r="399">
      <c r="A399" s="4" t="str">
        <f t="shared" si="1"/>
        <v/>
      </c>
      <c r="B399" s="4"/>
      <c r="C399" s="4"/>
      <c r="E399" s="4"/>
      <c r="F399" s="4"/>
      <c r="G399" s="4"/>
      <c r="H399" s="4"/>
    </row>
    <row r="400">
      <c r="A400" s="4" t="str">
        <f t="shared" si="1"/>
        <v/>
      </c>
      <c r="B400" s="4"/>
      <c r="C400" s="4"/>
      <c r="E400" s="4"/>
      <c r="F400" s="4"/>
      <c r="G400" s="4"/>
      <c r="H400" s="4"/>
    </row>
    <row r="401">
      <c r="A401" s="4" t="str">
        <f t="shared" si="1"/>
        <v/>
      </c>
      <c r="B401" s="4"/>
      <c r="C401" s="4"/>
      <c r="E401" s="4"/>
      <c r="F401" s="4"/>
      <c r="G401" s="4"/>
      <c r="H401" s="4"/>
    </row>
    <row r="402">
      <c r="A402" s="4" t="str">
        <f t="shared" si="1"/>
        <v/>
      </c>
      <c r="B402" s="4"/>
      <c r="C402" s="4"/>
      <c r="E402" s="4"/>
      <c r="F402" s="4"/>
      <c r="G402" s="4"/>
      <c r="H402" s="4"/>
    </row>
    <row r="403">
      <c r="A403" s="4" t="str">
        <f t="shared" si="1"/>
        <v/>
      </c>
      <c r="B403" s="4"/>
      <c r="C403" s="4"/>
      <c r="E403" s="4"/>
      <c r="F403" s="4"/>
      <c r="G403" s="4"/>
      <c r="H403" s="4"/>
    </row>
    <row r="404">
      <c r="A404" s="4" t="str">
        <f t="shared" si="1"/>
        <v/>
      </c>
      <c r="B404" s="4"/>
      <c r="C404" s="4"/>
      <c r="E404" s="4"/>
      <c r="F404" s="4"/>
      <c r="G404" s="4"/>
      <c r="H404" s="4"/>
    </row>
    <row r="405">
      <c r="A405" s="4" t="str">
        <f t="shared" si="1"/>
        <v/>
      </c>
      <c r="B405" s="4"/>
      <c r="C405" s="4"/>
      <c r="E405" s="4"/>
      <c r="F405" s="4"/>
      <c r="G405" s="4"/>
      <c r="H405" s="4"/>
    </row>
    <row r="406">
      <c r="A406" s="4" t="str">
        <f t="shared" si="1"/>
        <v/>
      </c>
      <c r="B406" s="4"/>
      <c r="C406" s="4"/>
      <c r="E406" s="4"/>
      <c r="F406" s="4"/>
      <c r="G406" s="4"/>
      <c r="H406" s="4"/>
    </row>
    <row r="407">
      <c r="A407" s="4" t="str">
        <f t="shared" si="1"/>
        <v/>
      </c>
      <c r="B407" s="4"/>
      <c r="C407" s="4"/>
      <c r="E407" s="4"/>
      <c r="F407" s="4"/>
      <c r="G407" s="4"/>
      <c r="H407" s="4"/>
    </row>
    <row r="408">
      <c r="A408" s="4" t="str">
        <f t="shared" si="1"/>
        <v/>
      </c>
      <c r="B408" s="4"/>
      <c r="C408" s="4"/>
      <c r="E408" s="4"/>
      <c r="F408" s="4"/>
      <c r="G408" s="4"/>
      <c r="H408" s="4"/>
    </row>
    <row r="409">
      <c r="A409" s="4" t="str">
        <f t="shared" si="1"/>
        <v/>
      </c>
      <c r="B409" s="4"/>
      <c r="C409" s="4"/>
      <c r="E409" s="4"/>
      <c r="F409" s="4"/>
      <c r="G409" s="4"/>
      <c r="H409" s="4"/>
    </row>
    <row r="410">
      <c r="A410" s="4" t="str">
        <f t="shared" si="1"/>
        <v/>
      </c>
      <c r="B410" s="4"/>
      <c r="C410" s="4"/>
      <c r="E410" s="4"/>
      <c r="F410" s="4"/>
      <c r="G410" s="4"/>
      <c r="H410" s="4"/>
    </row>
    <row r="411">
      <c r="A411" s="4" t="str">
        <f t="shared" si="1"/>
        <v/>
      </c>
      <c r="B411" s="4"/>
      <c r="C411" s="4"/>
      <c r="E411" s="4"/>
      <c r="F411" s="4"/>
      <c r="G411" s="4"/>
      <c r="H411" s="4"/>
    </row>
    <row r="412">
      <c r="A412" s="4" t="str">
        <f t="shared" si="1"/>
        <v/>
      </c>
      <c r="B412" s="4"/>
      <c r="C412" s="4"/>
      <c r="E412" s="4"/>
      <c r="F412" s="4"/>
      <c r="G412" s="4"/>
      <c r="H412" s="4"/>
    </row>
    <row r="413">
      <c r="A413" s="4" t="str">
        <f t="shared" si="1"/>
        <v/>
      </c>
      <c r="B413" s="4"/>
      <c r="C413" s="4"/>
      <c r="E413" s="4"/>
      <c r="F413" s="4"/>
      <c r="G413" s="4"/>
      <c r="H413" s="4"/>
    </row>
    <row r="414">
      <c r="A414" s="4" t="str">
        <f t="shared" si="1"/>
        <v/>
      </c>
      <c r="B414" s="4"/>
      <c r="C414" s="4"/>
      <c r="E414" s="4"/>
      <c r="F414" s="4"/>
      <c r="G414" s="4"/>
      <c r="H414" s="4"/>
    </row>
    <row r="415">
      <c r="A415" s="4" t="str">
        <f t="shared" si="1"/>
        <v/>
      </c>
      <c r="B415" s="4"/>
      <c r="C415" s="4"/>
      <c r="E415" s="4"/>
      <c r="F415" s="4"/>
      <c r="G415" s="4"/>
      <c r="H415" s="4"/>
    </row>
    <row r="416">
      <c r="A416" s="4" t="str">
        <f t="shared" si="1"/>
        <v/>
      </c>
      <c r="B416" s="4"/>
      <c r="C416" s="4"/>
      <c r="E416" s="4"/>
      <c r="F416" s="4"/>
      <c r="G416" s="4"/>
      <c r="H416" s="4"/>
    </row>
    <row r="417">
      <c r="A417" s="4" t="str">
        <f t="shared" si="1"/>
        <v/>
      </c>
      <c r="B417" s="4"/>
      <c r="C417" s="4"/>
      <c r="E417" s="4"/>
      <c r="F417" s="4"/>
      <c r="G417" s="4"/>
      <c r="H417" s="4"/>
    </row>
    <row r="418">
      <c r="A418" s="4" t="str">
        <f t="shared" si="1"/>
        <v/>
      </c>
      <c r="B418" s="4"/>
      <c r="C418" s="4"/>
      <c r="E418" s="4"/>
      <c r="F418" s="4"/>
      <c r="G418" s="4"/>
      <c r="H418" s="4"/>
    </row>
    <row r="419">
      <c r="A419" s="4" t="str">
        <f t="shared" si="1"/>
        <v/>
      </c>
      <c r="B419" s="4"/>
      <c r="C419" s="4"/>
      <c r="E419" s="4"/>
      <c r="F419" s="4"/>
      <c r="G419" s="4"/>
      <c r="H419" s="4"/>
    </row>
    <row r="420">
      <c r="A420" s="4" t="str">
        <f t="shared" si="1"/>
        <v/>
      </c>
      <c r="B420" s="4"/>
      <c r="C420" s="4"/>
      <c r="E420" s="4"/>
      <c r="F420" s="4"/>
      <c r="G420" s="4"/>
      <c r="H420" s="4"/>
    </row>
    <row r="421">
      <c r="A421" s="4" t="str">
        <f t="shared" si="1"/>
        <v/>
      </c>
      <c r="B421" s="4"/>
      <c r="C421" s="4"/>
      <c r="E421" s="4"/>
      <c r="F421" s="4"/>
      <c r="G421" s="4"/>
      <c r="H421" s="4"/>
    </row>
    <row r="422">
      <c r="A422" s="4" t="str">
        <f t="shared" si="1"/>
        <v/>
      </c>
      <c r="B422" s="4"/>
      <c r="C422" s="4"/>
      <c r="E422" s="4"/>
      <c r="F422" s="4"/>
      <c r="G422" s="4"/>
      <c r="H422" s="4"/>
    </row>
    <row r="423">
      <c r="A423" s="4" t="str">
        <f t="shared" si="1"/>
        <v/>
      </c>
      <c r="B423" s="4"/>
      <c r="C423" s="4"/>
      <c r="E423" s="4"/>
      <c r="F423" s="4"/>
      <c r="G423" s="4"/>
      <c r="H423" s="4"/>
    </row>
    <row r="424">
      <c r="A424" s="4" t="str">
        <f t="shared" si="1"/>
        <v/>
      </c>
      <c r="B424" s="4"/>
      <c r="C424" s="4"/>
      <c r="E424" s="4"/>
      <c r="F424" s="4"/>
      <c r="G424" s="4"/>
      <c r="H424" s="4"/>
    </row>
    <row r="425">
      <c r="A425" s="4" t="str">
        <f t="shared" si="1"/>
        <v/>
      </c>
      <c r="B425" s="4"/>
      <c r="C425" s="4"/>
      <c r="E425" s="4"/>
      <c r="F425" s="4"/>
      <c r="G425" s="4"/>
      <c r="H425" s="4"/>
    </row>
    <row r="426">
      <c r="A426" s="4" t="str">
        <f t="shared" si="1"/>
        <v/>
      </c>
      <c r="B426" s="4"/>
      <c r="C426" s="4"/>
      <c r="E426" s="4"/>
      <c r="F426" s="4"/>
      <c r="G426" s="4"/>
      <c r="H426" s="4"/>
    </row>
    <row r="427">
      <c r="A427" s="4" t="str">
        <f t="shared" si="1"/>
        <v/>
      </c>
      <c r="B427" s="4"/>
      <c r="C427" s="4"/>
      <c r="E427" s="4"/>
      <c r="F427" s="4"/>
      <c r="G427" s="4"/>
      <c r="H427" s="4"/>
    </row>
    <row r="428">
      <c r="A428" s="4" t="str">
        <f t="shared" si="1"/>
        <v/>
      </c>
      <c r="B428" s="4"/>
      <c r="C428" s="4"/>
      <c r="E428" s="4"/>
      <c r="F428" s="4"/>
      <c r="G428" s="4"/>
      <c r="H428" s="4"/>
    </row>
    <row r="429">
      <c r="A429" s="4" t="str">
        <f t="shared" si="1"/>
        <v/>
      </c>
      <c r="B429" s="4"/>
      <c r="C429" s="4"/>
      <c r="E429" s="4"/>
      <c r="F429" s="4"/>
      <c r="G429" s="4"/>
      <c r="H429" s="4"/>
    </row>
    <row r="430">
      <c r="A430" s="4" t="str">
        <f t="shared" si="1"/>
        <v/>
      </c>
      <c r="B430" s="4"/>
      <c r="C430" s="4"/>
      <c r="E430" s="4"/>
      <c r="F430" s="4"/>
      <c r="G430" s="4"/>
      <c r="H430" s="4"/>
    </row>
    <row r="431">
      <c r="A431" s="4" t="str">
        <f t="shared" si="1"/>
        <v/>
      </c>
      <c r="B431" s="4"/>
      <c r="C431" s="4"/>
      <c r="E431" s="4"/>
      <c r="F431" s="4"/>
      <c r="G431" s="4"/>
      <c r="H431" s="4"/>
    </row>
    <row r="432">
      <c r="A432" s="4" t="str">
        <f t="shared" si="1"/>
        <v/>
      </c>
      <c r="B432" s="4"/>
      <c r="C432" s="4"/>
      <c r="E432" s="4"/>
      <c r="F432" s="4"/>
      <c r="G432" s="4"/>
      <c r="H432" s="4"/>
    </row>
    <row r="433">
      <c r="A433" s="4" t="str">
        <f t="shared" si="1"/>
        <v/>
      </c>
      <c r="B433" s="4"/>
      <c r="C433" s="4"/>
      <c r="E433" s="4"/>
      <c r="F433" s="4"/>
      <c r="G433" s="4"/>
      <c r="H433" s="4"/>
    </row>
    <row r="434">
      <c r="A434" s="4" t="str">
        <f t="shared" si="1"/>
        <v/>
      </c>
      <c r="B434" s="4"/>
      <c r="C434" s="4"/>
      <c r="E434" s="4"/>
      <c r="F434" s="4"/>
      <c r="G434" s="4"/>
      <c r="H434" s="4"/>
    </row>
    <row r="435">
      <c r="A435" s="4" t="str">
        <f t="shared" si="1"/>
        <v/>
      </c>
      <c r="B435" s="4"/>
      <c r="C435" s="4"/>
      <c r="E435" s="4"/>
      <c r="F435" s="4"/>
      <c r="G435" s="4"/>
      <c r="H435" s="4"/>
    </row>
    <row r="436">
      <c r="A436" s="4" t="str">
        <f t="shared" si="1"/>
        <v/>
      </c>
      <c r="B436" s="4"/>
      <c r="C436" s="4"/>
      <c r="E436" s="4"/>
      <c r="F436" s="4"/>
      <c r="G436" s="4"/>
      <c r="H436" s="4"/>
    </row>
    <row r="437">
      <c r="A437" s="4" t="str">
        <f t="shared" si="1"/>
        <v/>
      </c>
      <c r="B437" s="4"/>
      <c r="C437" s="4"/>
      <c r="E437" s="4"/>
      <c r="F437" s="4"/>
      <c r="G437" s="4"/>
      <c r="H437" s="4"/>
    </row>
    <row r="438">
      <c r="A438" s="4" t="str">
        <f t="shared" si="1"/>
        <v/>
      </c>
      <c r="B438" s="4"/>
      <c r="C438" s="4"/>
      <c r="E438" s="4"/>
      <c r="F438" s="4"/>
      <c r="G438" s="4"/>
      <c r="H438" s="4"/>
    </row>
    <row r="439">
      <c r="A439" s="4" t="str">
        <f t="shared" si="1"/>
        <v/>
      </c>
      <c r="B439" s="4"/>
      <c r="C439" s="4"/>
      <c r="E439" s="4"/>
      <c r="F439" s="4"/>
      <c r="G439" s="4"/>
      <c r="H439" s="4"/>
    </row>
    <row r="440">
      <c r="A440" s="4" t="str">
        <f t="shared" si="1"/>
        <v/>
      </c>
      <c r="B440" s="4"/>
      <c r="C440" s="4"/>
      <c r="E440" s="4"/>
      <c r="F440" s="4"/>
      <c r="G440" s="4"/>
      <c r="H440" s="4"/>
    </row>
    <row r="441">
      <c r="A441" s="4" t="str">
        <f t="shared" si="1"/>
        <v/>
      </c>
      <c r="B441" s="4"/>
      <c r="C441" s="4"/>
      <c r="E441" s="4"/>
      <c r="F441" s="4"/>
      <c r="G441" s="4"/>
      <c r="H441" s="4"/>
    </row>
    <row r="442">
      <c r="A442" s="4" t="str">
        <f t="shared" si="1"/>
        <v/>
      </c>
      <c r="B442" s="4"/>
      <c r="C442" s="4"/>
      <c r="E442" s="4"/>
      <c r="F442" s="4"/>
      <c r="G442" s="4"/>
      <c r="H442" s="4"/>
    </row>
    <row r="443">
      <c r="A443" s="4" t="str">
        <f t="shared" si="1"/>
        <v/>
      </c>
      <c r="B443" s="4"/>
      <c r="C443" s="4"/>
      <c r="E443" s="4"/>
      <c r="F443" s="4"/>
      <c r="G443" s="4"/>
      <c r="H443" s="4"/>
    </row>
    <row r="444">
      <c r="A444" s="4" t="str">
        <f t="shared" si="1"/>
        <v/>
      </c>
      <c r="B444" s="4"/>
      <c r="C444" s="4"/>
      <c r="E444" s="4"/>
      <c r="F444" s="4"/>
      <c r="G444" s="4"/>
      <c r="H444" s="4"/>
    </row>
    <row r="445">
      <c r="A445" s="4" t="str">
        <f t="shared" si="1"/>
        <v/>
      </c>
      <c r="B445" s="4"/>
      <c r="C445" s="4"/>
      <c r="E445" s="4"/>
      <c r="F445" s="4"/>
      <c r="G445" s="4"/>
      <c r="H445" s="4"/>
    </row>
    <row r="446">
      <c r="A446" s="4" t="str">
        <f t="shared" si="1"/>
        <v/>
      </c>
      <c r="B446" s="4"/>
      <c r="C446" s="4"/>
      <c r="E446" s="4"/>
      <c r="F446" s="4"/>
      <c r="G446" s="4"/>
      <c r="H446" s="4"/>
    </row>
    <row r="447">
      <c r="A447" s="4" t="str">
        <f t="shared" si="1"/>
        <v/>
      </c>
      <c r="B447" s="4"/>
      <c r="C447" s="4"/>
      <c r="E447" s="4"/>
      <c r="F447" s="4"/>
      <c r="G447" s="4"/>
      <c r="H447" s="4"/>
    </row>
    <row r="448">
      <c r="A448" s="4" t="str">
        <f t="shared" si="1"/>
        <v/>
      </c>
      <c r="B448" s="4"/>
      <c r="C448" s="4"/>
      <c r="E448" s="4"/>
      <c r="F448" s="4"/>
      <c r="G448" s="4"/>
      <c r="H448" s="4"/>
    </row>
    <row r="449">
      <c r="A449" s="4" t="str">
        <f t="shared" si="1"/>
        <v/>
      </c>
      <c r="B449" s="4"/>
      <c r="C449" s="4"/>
      <c r="E449" s="4"/>
      <c r="F449" s="4"/>
      <c r="G449" s="4"/>
      <c r="H449" s="4"/>
    </row>
    <row r="450">
      <c r="A450" s="4" t="str">
        <f t="shared" si="1"/>
        <v/>
      </c>
      <c r="B450" s="4"/>
      <c r="C450" s="4"/>
      <c r="E450" s="4"/>
      <c r="F450" s="4"/>
      <c r="G450" s="4"/>
      <c r="H450" s="4"/>
    </row>
    <row r="451">
      <c r="A451" s="4" t="str">
        <f t="shared" si="1"/>
        <v/>
      </c>
      <c r="B451" s="4"/>
      <c r="C451" s="4"/>
      <c r="E451" s="4"/>
      <c r="F451" s="4"/>
      <c r="G451" s="4"/>
      <c r="H451" s="4"/>
    </row>
    <row r="452">
      <c r="A452" s="4" t="str">
        <f t="shared" si="1"/>
        <v/>
      </c>
      <c r="B452" s="4"/>
      <c r="C452" s="4"/>
      <c r="E452" s="4"/>
      <c r="F452" s="4"/>
      <c r="G452" s="4"/>
      <c r="H452" s="4"/>
    </row>
    <row r="453">
      <c r="A453" s="4" t="str">
        <f t="shared" si="1"/>
        <v/>
      </c>
      <c r="B453" s="4"/>
      <c r="C453" s="4"/>
      <c r="E453" s="4"/>
      <c r="F453" s="4"/>
      <c r="G453" s="4"/>
      <c r="H453" s="4"/>
    </row>
    <row r="454">
      <c r="A454" s="4" t="str">
        <f t="shared" si="1"/>
        <v/>
      </c>
      <c r="B454" s="4"/>
      <c r="C454" s="4"/>
      <c r="E454" s="4"/>
      <c r="F454" s="4"/>
      <c r="G454" s="4"/>
      <c r="H454" s="4"/>
    </row>
    <row r="455">
      <c r="A455" s="4" t="str">
        <f t="shared" si="1"/>
        <v/>
      </c>
      <c r="B455" s="4"/>
      <c r="C455" s="4"/>
      <c r="E455" s="4"/>
      <c r="F455" s="4"/>
      <c r="G455" s="4"/>
      <c r="H455" s="4"/>
    </row>
    <row r="456">
      <c r="A456" s="4" t="str">
        <f t="shared" si="1"/>
        <v/>
      </c>
      <c r="B456" s="4"/>
      <c r="C456" s="4"/>
      <c r="E456" s="4"/>
      <c r="F456" s="4"/>
      <c r="G456" s="4"/>
      <c r="H456" s="4"/>
    </row>
    <row r="457">
      <c r="A457" s="4" t="str">
        <f t="shared" si="1"/>
        <v/>
      </c>
      <c r="B457" s="4"/>
      <c r="C457" s="4"/>
      <c r="E457" s="4"/>
      <c r="F457" s="4"/>
      <c r="G457" s="4"/>
      <c r="H457" s="4"/>
    </row>
    <row r="458">
      <c r="A458" s="4" t="str">
        <f t="shared" si="1"/>
        <v/>
      </c>
      <c r="B458" s="4"/>
      <c r="C458" s="4"/>
      <c r="E458" s="4"/>
      <c r="F458" s="4"/>
      <c r="G458" s="4"/>
      <c r="H458" s="4"/>
    </row>
    <row r="459">
      <c r="A459" s="4" t="str">
        <f t="shared" si="1"/>
        <v/>
      </c>
      <c r="B459" s="4"/>
      <c r="C459" s="4"/>
      <c r="E459" s="4"/>
      <c r="F459" s="4"/>
      <c r="G459" s="4"/>
      <c r="H459" s="4"/>
    </row>
    <row r="460">
      <c r="A460" s="4" t="str">
        <f t="shared" si="1"/>
        <v/>
      </c>
      <c r="B460" s="4"/>
      <c r="C460" s="4"/>
      <c r="E460" s="4"/>
      <c r="F460" s="4"/>
      <c r="G460" s="4"/>
      <c r="H460" s="4"/>
    </row>
    <row r="461">
      <c r="A461" s="4" t="str">
        <f t="shared" si="1"/>
        <v/>
      </c>
      <c r="B461" s="4"/>
      <c r="C461" s="4"/>
      <c r="E461" s="4"/>
      <c r="F461" s="4"/>
      <c r="G461" s="4"/>
      <c r="H461" s="4"/>
    </row>
    <row r="462">
      <c r="A462" s="4" t="str">
        <f t="shared" si="1"/>
        <v/>
      </c>
      <c r="B462" s="4"/>
      <c r="C462" s="4"/>
      <c r="E462" s="4"/>
      <c r="F462" s="4"/>
      <c r="G462" s="4"/>
      <c r="H462" s="4"/>
    </row>
    <row r="463">
      <c r="A463" s="4" t="str">
        <f t="shared" si="1"/>
        <v/>
      </c>
      <c r="B463" s="4"/>
      <c r="C463" s="4"/>
      <c r="E463" s="4"/>
      <c r="F463" s="4"/>
      <c r="G463" s="4"/>
      <c r="H463" s="4"/>
    </row>
    <row r="464">
      <c r="A464" s="4" t="str">
        <f t="shared" si="1"/>
        <v/>
      </c>
      <c r="B464" s="4"/>
      <c r="C464" s="4"/>
      <c r="E464" s="4"/>
      <c r="F464" s="4"/>
      <c r="G464" s="4"/>
      <c r="H464" s="4"/>
    </row>
    <row r="465">
      <c r="A465" s="4" t="str">
        <f t="shared" si="1"/>
        <v/>
      </c>
      <c r="B465" s="4"/>
      <c r="C465" s="4"/>
      <c r="E465" s="4"/>
      <c r="F465" s="4"/>
      <c r="G465" s="4"/>
      <c r="H465" s="4"/>
    </row>
    <row r="466">
      <c r="A466" s="4" t="str">
        <f t="shared" si="1"/>
        <v/>
      </c>
      <c r="B466" s="4"/>
      <c r="C466" s="4"/>
      <c r="E466" s="4"/>
      <c r="F466" s="4"/>
      <c r="G466" s="4"/>
      <c r="H466" s="4"/>
    </row>
    <row r="467">
      <c r="A467" s="4" t="str">
        <f t="shared" si="1"/>
        <v/>
      </c>
      <c r="B467" s="4"/>
      <c r="C467" s="4"/>
      <c r="E467" s="4"/>
      <c r="F467" s="4"/>
      <c r="G467" s="4"/>
      <c r="H467" s="4"/>
    </row>
    <row r="468">
      <c r="A468" s="4" t="str">
        <f t="shared" si="1"/>
        <v/>
      </c>
      <c r="B468" s="4"/>
      <c r="C468" s="4"/>
      <c r="E468" s="4"/>
      <c r="F468" s="4"/>
      <c r="G468" s="4"/>
      <c r="H468" s="4"/>
    </row>
    <row r="469">
      <c r="A469" s="4" t="str">
        <f t="shared" si="1"/>
        <v/>
      </c>
      <c r="B469" s="4"/>
      <c r="C469" s="4"/>
      <c r="E469" s="4"/>
      <c r="F469" s="4"/>
      <c r="G469" s="4"/>
      <c r="H469" s="4"/>
    </row>
    <row r="470">
      <c r="A470" s="4" t="str">
        <f t="shared" si="1"/>
        <v/>
      </c>
      <c r="B470" s="4"/>
      <c r="C470" s="4"/>
      <c r="E470" s="4"/>
      <c r="F470" s="4"/>
      <c r="G470" s="4"/>
      <c r="H470" s="4"/>
    </row>
    <row r="471">
      <c r="A471" s="4" t="str">
        <f t="shared" si="1"/>
        <v/>
      </c>
      <c r="B471" s="4"/>
      <c r="C471" s="4"/>
      <c r="E471" s="4"/>
      <c r="F471" s="4"/>
      <c r="G471" s="4"/>
      <c r="H471" s="4"/>
    </row>
    <row r="472">
      <c r="A472" s="4" t="str">
        <f t="shared" si="1"/>
        <v/>
      </c>
      <c r="B472" s="4"/>
      <c r="C472" s="4"/>
      <c r="E472" s="4"/>
      <c r="F472" s="4"/>
      <c r="G472" s="4"/>
      <c r="H472" s="4"/>
    </row>
    <row r="473">
      <c r="A473" s="4" t="str">
        <f t="shared" si="1"/>
        <v/>
      </c>
      <c r="B473" s="4"/>
      <c r="C473" s="4"/>
      <c r="E473" s="4"/>
      <c r="F473" s="4"/>
      <c r="G473" s="4"/>
      <c r="H473" s="4"/>
    </row>
    <row r="474">
      <c r="A474" s="4" t="str">
        <f t="shared" si="1"/>
        <v/>
      </c>
      <c r="B474" s="4"/>
      <c r="C474" s="4"/>
      <c r="E474" s="4"/>
      <c r="F474" s="4"/>
      <c r="G474" s="4"/>
      <c r="H474" s="4"/>
    </row>
    <row r="475">
      <c r="A475" s="4" t="str">
        <f t="shared" si="1"/>
        <v/>
      </c>
      <c r="B475" s="4"/>
      <c r="C475" s="4"/>
      <c r="E475" s="4"/>
      <c r="F475" s="4"/>
      <c r="G475" s="4"/>
      <c r="H475" s="4"/>
    </row>
    <row r="476">
      <c r="A476" s="4" t="str">
        <f t="shared" si="1"/>
        <v/>
      </c>
      <c r="B476" s="4"/>
      <c r="C476" s="4"/>
      <c r="E476" s="4"/>
      <c r="F476" s="4"/>
      <c r="G476" s="4"/>
      <c r="H476" s="4"/>
    </row>
    <row r="477">
      <c r="A477" s="4" t="str">
        <f t="shared" si="1"/>
        <v/>
      </c>
      <c r="B477" s="4"/>
      <c r="C477" s="4"/>
      <c r="E477" s="4"/>
      <c r="F477" s="4"/>
      <c r="G477" s="4"/>
      <c r="H477" s="4"/>
    </row>
    <row r="478">
      <c r="A478" s="4" t="str">
        <f t="shared" si="1"/>
        <v/>
      </c>
      <c r="B478" s="4"/>
      <c r="C478" s="4"/>
      <c r="E478" s="4"/>
      <c r="F478" s="4"/>
      <c r="G478" s="4"/>
      <c r="H478" s="4"/>
    </row>
    <row r="479">
      <c r="A479" s="4" t="str">
        <f t="shared" si="1"/>
        <v/>
      </c>
      <c r="B479" s="4"/>
      <c r="C479" s="4"/>
      <c r="E479" s="4"/>
      <c r="F479" s="4"/>
      <c r="G479" s="4"/>
      <c r="H479" s="4"/>
    </row>
    <row r="480">
      <c r="A480" s="4" t="str">
        <f t="shared" si="1"/>
        <v/>
      </c>
      <c r="B480" s="4"/>
      <c r="C480" s="4"/>
      <c r="E480" s="4"/>
      <c r="F480" s="4"/>
      <c r="G480" s="4"/>
      <c r="H480" s="4"/>
    </row>
    <row r="481">
      <c r="A481" s="4" t="str">
        <f t="shared" si="1"/>
        <v/>
      </c>
      <c r="B481" s="4"/>
      <c r="C481" s="4"/>
      <c r="E481" s="4"/>
      <c r="F481" s="4"/>
      <c r="G481" s="4"/>
      <c r="H481" s="4"/>
    </row>
    <row r="482">
      <c r="A482" s="4" t="str">
        <f t="shared" si="1"/>
        <v/>
      </c>
      <c r="B482" s="4"/>
      <c r="C482" s="4"/>
      <c r="E482" s="4"/>
      <c r="F482" s="4"/>
      <c r="G482" s="4"/>
      <c r="H482" s="4"/>
    </row>
    <row r="483">
      <c r="A483" s="4" t="str">
        <f t="shared" si="1"/>
        <v/>
      </c>
      <c r="B483" s="4"/>
      <c r="C483" s="4"/>
      <c r="E483" s="4"/>
      <c r="F483" s="4"/>
      <c r="G483" s="4"/>
      <c r="H483" s="4"/>
    </row>
    <row r="484">
      <c r="A484" s="4" t="str">
        <f t="shared" si="1"/>
        <v/>
      </c>
      <c r="B484" s="4"/>
      <c r="C484" s="4"/>
      <c r="E484" s="4"/>
      <c r="F484" s="4"/>
      <c r="G484" s="4"/>
      <c r="H484" s="4"/>
    </row>
    <row r="485">
      <c r="A485" s="4" t="str">
        <f t="shared" si="1"/>
        <v/>
      </c>
      <c r="B485" s="4"/>
      <c r="C485" s="4"/>
      <c r="E485" s="4"/>
      <c r="F485" s="4"/>
      <c r="G485" s="4"/>
      <c r="H485" s="4"/>
    </row>
    <row r="486">
      <c r="A486" s="4" t="str">
        <f t="shared" si="1"/>
        <v/>
      </c>
      <c r="B486" s="4"/>
      <c r="C486" s="4"/>
      <c r="E486" s="4"/>
      <c r="F486" s="4"/>
      <c r="G486" s="4"/>
      <c r="H486" s="4"/>
    </row>
    <row r="487">
      <c r="A487" s="4" t="str">
        <f t="shared" si="1"/>
        <v/>
      </c>
      <c r="B487" s="4"/>
      <c r="C487" s="4"/>
      <c r="E487" s="4"/>
      <c r="F487" s="4"/>
      <c r="G487" s="4"/>
      <c r="H487" s="4"/>
    </row>
    <row r="488">
      <c r="A488" s="4" t="str">
        <f t="shared" si="1"/>
        <v/>
      </c>
      <c r="B488" s="4"/>
      <c r="C488" s="4"/>
      <c r="E488" s="4"/>
      <c r="F488" s="4"/>
      <c r="G488" s="4"/>
      <c r="H488" s="4"/>
    </row>
    <row r="489">
      <c r="A489" s="4" t="str">
        <f t="shared" si="1"/>
        <v/>
      </c>
      <c r="B489" s="4"/>
      <c r="C489" s="4"/>
      <c r="E489" s="4"/>
      <c r="F489" s="4"/>
      <c r="G489" s="4"/>
      <c r="H489" s="4"/>
    </row>
    <row r="490">
      <c r="A490" s="4" t="str">
        <f t="shared" si="1"/>
        <v/>
      </c>
      <c r="B490" s="4"/>
      <c r="C490" s="4"/>
      <c r="E490" s="4"/>
      <c r="F490" s="4"/>
      <c r="G490" s="4"/>
      <c r="H490" s="4"/>
    </row>
    <row r="491">
      <c r="A491" s="4" t="str">
        <f t="shared" si="1"/>
        <v/>
      </c>
      <c r="B491" s="4"/>
      <c r="C491" s="4"/>
      <c r="E491" s="4"/>
      <c r="F491" s="4"/>
      <c r="G491" s="4"/>
      <c r="H491" s="4"/>
    </row>
    <row r="492">
      <c r="A492" s="4" t="str">
        <f t="shared" si="1"/>
        <v/>
      </c>
      <c r="B492" s="4"/>
      <c r="C492" s="4"/>
      <c r="E492" s="4"/>
      <c r="F492" s="4"/>
      <c r="G492" s="4"/>
      <c r="H492" s="4"/>
    </row>
    <row r="493">
      <c r="A493" s="4" t="str">
        <f t="shared" si="1"/>
        <v/>
      </c>
      <c r="B493" s="4"/>
      <c r="C493" s="4"/>
      <c r="E493" s="4"/>
      <c r="F493" s="4"/>
      <c r="G493" s="4"/>
      <c r="H493" s="4"/>
    </row>
    <row r="494">
      <c r="A494" s="4" t="str">
        <f t="shared" si="1"/>
        <v/>
      </c>
      <c r="B494" s="4"/>
      <c r="C494" s="4"/>
      <c r="E494" s="4"/>
      <c r="F494" s="4"/>
      <c r="G494" s="4"/>
      <c r="H494" s="4"/>
    </row>
    <row r="495">
      <c r="A495" s="4" t="str">
        <f t="shared" si="1"/>
        <v/>
      </c>
      <c r="B495" s="4"/>
      <c r="C495" s="4"/>
      <c r="E495" s="4"/>
      <c r="F495" s="4"/>
      <c r="G495" s="4"/>
      <c r="H495" s="4"/>
    </row>
    <row r="496">
      <c r="A496" s="4" t="str">
        <f t="shared" si="1"/>
        <v/>
      </c>
      <c r="B496" s="4"/>
      <c r="C496" s="4"/>
      <c r="E496" s="4"/>
      <c r="F496" s="4"/>
      <c r="G496" s="4"/>
      <c r="H496" s="4"/>
    </row>
    <row r="497">
      <c r="A497" s="4" t="str">
        <f t="shared" si="1"/>
        <v/>
      </c>
      <c r="B497" s="4"/>
      <c r="C497" s="4"/>
      <c r="E497" s="4"/>
      <c r="F497" s="4"/>
      <c r="G497" s="4"/>
      <c r="H497" s="4"/>
    </row>
    <row r="498">
      <c r="A498" s="4" t="str">
        <f t="shared" si="1"/>
        <v/>
      </c>
      <c r="B498" s="4"/>
      <c r="C498" s="4"/>
      <c r="E498" s="4"/>
      <c r="F498" s="4"/>
      <c r="G498" s="4"/>
      <c r="H498" s="4"/>
    </row>
    <row r="499">
      <c r="A499" s="4" t="str">
        <f t="shared" si="1"/>
        <v/>
      </c>
      <c r="B499" s="4"/>
      <c r="C499" s="4"/>
      <c r="E499" s="4"/>
      <c r="F499" s="4"/>
      <c r="G499" s="4"/>
      <c r="H499" s="4"/>
    </row>
    <row r="500">
      <c r="A500" s="4" t="str">
        <f t="shared" si="1"/>
        <v/>
      </c>
      <c r="B500" s="4"/>
      <c r="C500" s="4"/>
      <c r="E500" s="4"/>
      <c r="F500" s="4"/>
      <c r="G500" s="4"/>
      <c r="H500" s="4"/>
    </row>
    <row r="501">
      <c r="A501" s="4" t="str">
        <f t="shared" si="1"/>
        <v/>
      </c>
      <c r="B501" s="4"/>
      <c r="C501" s="4"/>
      <c r="E501" s="4"/>
      <c r="F501" s="4"/>
      <c r="G501" s="4"/>
      <c r="H501" s="4"/>
    </row>
    <row r="502">
      <c r="A502" s="4" t="str">
        <f t="shared" si="1"/>
        <v/>
      </c>
      <c r="B502" s="4"/>
      <c r="C502" s="4"/>
      <c r="E502" s="4"/>
      <c r="F502" s="4"/>
      <c r="G502" s="4"/>
      <c r="H502" s="4"/>
    </row>
    <row r="503">
      <c r="A503" s="4" t="str">
        <f t="shared" si="1"/>
        <v/>
      </c>
      <c r="B503" s="4"/>
      <c r="C503" s="4"/>
      <c r="E503" s="4"/>
      <c r="F503" s="4"/>
      <c r="G503" s="4"/>
      <c r="H503" s="4"/>
    </row>
    <row r="504">
      <c r="A504" s="4" t="str">
        <f t="shared" si="1"/>
        <v/>
      </c>
      <c r="B504" s="4"/>
      <c r="C504" s="4"/>
      <c r="E504" s="4"/>
      <c r="F504" s="4"/>
      <c r="G504" s="4"/>
      <c r="H504" s="4"/>
    </row>
    <row r="505">
      <c r="A505" s="4" t="str">
        <f t="shared" si="1"/>
        <v/>
      </c>
      <c r="B505" s="4"/>
      <c r="C505" s="4"/>
      <c r="E505" s="4"/>
      <c r="F505" s="4"/>
      <c r="G505" s="4"/>
      <c r="H505" s="4"/>
    </row>
    <row r="506">
      <c r="A506" s="4" t="str">
        <f t="shared" si="1"/>
        <v/>
      </c>
      <c r="B506" s="4"/>
      <c r="C506" s="4"/>
      <c r="E506" s="4"/>
      <c r="F506" s="4"/>
      <c r="G506" s="4"/>
      <c r="H506" s="4"/>
    </row>
    <row r="507">
      <c r="A507" s="4" t="str">
        <f t="shared" si="1"/>
        <v/>
      </c>
      <c r="B507" s="4"/>
      <c r="C507" s="4"/>
      <c r="E507" s="4"/>
      <c r="F507" s="4"/>
      <c r="G507" s="4"/>
      <c r="H507" s="4"/>
    </row>
    <row r="508">
      <c r="A508" s="4" t="str">
        <f t="shared" si="1"/>
        <v/>
      </c>
      <c r="B508" s="4"/>
      <c r="C508" s="4"/>
      <c r="E508" s="4"/>
      <c r="F508" s="4"/>
      <c r="G508" s="4"/>
      <c r="H508" s="4"/>
    </row>
    <row r="509">
      <c r="A509" s="4" t="str">
        <f t="shared" si="1"/>
        <v/>
      </c>
      <c r="B509" s="4"/>
      <c r="C509" s="4"/>
      <c r="E509" s="4"/>
      <c r="F509" s="4"/>
      <c r="G509" s="4"/>
      <c r="H509" s="4"/>
    </row>
    <row r="510">
      <c r="A510" s="4" t="str">
        <f t="shared" si="1"/>
        <v/>
      </c>
      <c r="B510" s="4"/>
      <c r="C510" s="4"/>
      <c r="E510" s="4"/>
      <c r="F510" s="4"/>
      <c r="G510" s="4"/>
      <c r="H510" s="4"/>
    </row>
    <row r="511">
      <c r="A511" s="4" t="str">
        <f t="shared" si="1"/>
        <v/>
      </c>
      <c r="B511" s="4"/>
      <c r="C511" s="4"/>
      <c r="E511" s="4"/>
      <c r="F511" s="4"/>
      <c r="G511" s="4"/>
      <c r="H511" s="4"/>
    </row>
    <row r="512">
      <c r="A512" s="4" t="str">
        <f t="shared" si="1"/>
        <v/>
      </c>
      <c r="B512" s="4"/>
      <c r="C512" s="4"/>
      <c r="E512" s="4"/>
      <c r="F512" s="4"/>
      <c r="G512" s="4"/>
      <c r="H512" s="4"/>
    </row>
    <row r="513">
      <c r="A513" s="4" t="str">
        <f t="shared" si="1"/>
        <v/>
      </c>
      <c r="B513" s="4"/>
      <c r="C513" s="4"/>
      <c r="E513" s="4"/>
      <c r="F513" s="4"/>
      <c r="G513" s="4"/>
      <c r="H513" s="4"/>
    </row>
    <row r="514">
      <c r="A514" s="4" t="str">
        <f t="shared" si="1"/>
        <v/>
      </c>
      <c r="B514" s="4"/>
      <c r="C514" s="4"/>
      <c r="E514" s="4"/>
      <c r="F514" s="4"/>
      <c r="G514" s="4"/>
      <c r="H514" s="4"/>
    </row>
    <row r="515">
      <c r="A515" s="4" t="str">
        <f t="shared" si="1"/>
        <v/>
      </c>
      <c r="B515" s="4"/>
      <c r="C515" s="4"/>
      <c r="E515" s="4"/>
      <c r="F515" s="4"/>
      <c r="G515" s="4"/>
      <c r="H515" s="4"/>
    </row>
    <row r="516">
      <c r="A516" s="4" t="str">
        <f t="shared" si="1"/>
        <v/>
      </c>
      <c r="B516" s="4"/>
      <c r="C516" s="4"/>
      <c r="E516" s="4"/>
      <c r="F516" s="4"/>
      <c r="G516" s="4"/>
      <c r="H516" s="4"/>
    </row>
    <row r="517">
      <c r="A517" s="4" t="str">
        <f t="shared" si="1"/>
        <v/>
      </c>
      <c r="B517" s="4"/>
      <c r="C517" s="4"/>
      <c r="E517" s="4"/>
      <c r="F517" s="4"/>
      <c r="G517" s="4"/>
      <c r="H517" s="4"/>
    </row>
    <row r="518">
      <c r="A518" s="4" t="str">
        <f t="shared" si="1"/>
        <v/>
      </c>
      <c r="B518" s="4"/>
      <c r="C518" s="4"/>
      <c r="E518" s="4"/>
      <c r="F518" s="4"/>
      <c r="G518" s="4"/>
      <c r="H518" s="4"/>
    </row>
    <row r="519">
      <c r="A519" s="4" t="str">
        <f t="shared" si="1"/>
        <v/>
      </c>
      <c r="B519" s="4"/>
      <c r="C519" s="4"/>
      <c r="E519" s="4"/>
      <c r="F519" s="4"/>
      <c r="G519" s="4"/>
      <c r="H519" s="4"/>
    </row>
    <row r="520">
      <c r="A520" s="4" t="str">
        <f t="shared" si="1"/>
        <v/>
      </c>
      <c r="B520" s="4"/>
      <c r="C520" s="4"/>
      <c r="E520" s="4"/>
      <c r="F520" s="4"/>
      <c r="G520" s="4"/>
      <c r="H520" s="4"/>
    </row>
    <row r="521">
      <c r="A521" s="4" t="str">
        <f t="shared" si="1"/>
        <v/>
      </c>
      <c r="B521" s="4"/>
      <c r="C521" s="4"/>
      <c r="E521" s="4"/>
      <c r="F521" s="4"/>
      <c r="G521" s="4"/>
      <c r="H521" s="4"/>
    </row>
    <row r="522">
      <c r="A522" s="4" t="str">
        <f t="shared" si="1"/>
        <v/>
      </c>
      <c r="B522" s="4"/>
      <c r="C522" s="4"/>
      <c r="E522" s="4"/>
      <c r="F522" s="4"/>
      <c r="G522" s="4"/>
      <c r="H522" s="4"/>
    </row>
    <row r="523">
      <c r="A523" s="4" t="str">
        <f t="shared" si="1"/>
        <v/>
      </c>
      <c r="B523" s="4"/>
      <c r="C523" s="4"/>
      <c r="E523" s="4"/>
      <c r="F523" s="4"/>
      <c r="G523" s="4"/>
      <c r="H523" s="4"/>
    </row>
    <row r="524">
      <c r="A524" s="4" t="str">
        <f t="shared" si="1"/>
        <v/>
      </c>
      <c r="B524" s="4"/>
      <c r="C524" s="4"/>
      <c r="E524" s="4"/>
      <c r="F524" s="4"/>
      <c r="G524" s="4"/>
      <c r="H524" s="4"/>
    </row>
    <row r="525">
      <c r="A525" s="4" t="str">
        <f t="shared" si="1"/>
        <v/>
      </c>
      <c r="B525" s="4"/>
      <c r="C525" s="4"/>
      <c r="E525" s="4"/>
      <c r="F525" s="4"/>
      <c r="G525" s="4"/>
      <c r="H525" s="4"/>
    </row>
    <row r="526">
      <c r="A526" s="4" t="str">
        <f t="shared" si="1"/>
        <v/>
      </c>
      <c r="B526" s="4"/>
      <c r="C526" s="4"/>
      <c r="E526" s="4"/>
      <c r="F526" s="4"/>
      <c r="G526" s="4"/>
      <c r="H526" s="4"/>
    </row>
    <row r="527">
      <c r="A527" s="4" t="str">
        <f t="shared" si="1"/>
        <v/>
      </c>
      <c r="B527" s="4"/>
      <c r="C527" s="4"/>
      <c r="E527" s="4"/>
      <c r="F527" s="4"/>
      <c r="G527" s="4"/>
      <c r="H527" s="4"/>
    </row>
    <row r="528">
      <c r="A528" s="4" t="str">
        <f t="shared" si="1"/>
        <v/>
      </c>
      <c r="B528" s="4"/>
      <c r="C528" s="4"/>
      <c r="E528" s="4"/>
      <c r="F528" s="4"/>
      <c r="G528" s="4"/>
      <c r="H528" s="4"/>
    </row>
    <row r="529">
      <c r="A529" s="4" t="str">
        <f t="shared" si="1"/>
        <v/>
      </c>
      <c r="B529" s="4"/>
      <c r="C529" s="4"/>
      <c r="E529" s="4"/>
      <c r="F529" s="4"/>
      <c r="G529" s="4"/>
      <c r="H529" s="4"/>
    </row>
    <row r="530">
      <c r="A530" s="4" t="str">
        <f t="shared" si="1"/>
        <v/>
      </c>
      <c r="B530" s="4"/>
      <c r="C530" s="4"/>
      <c r="E530" s="4"/>
      <c r="F530" s="4"/>
      <c r="G530" s="4"/>
      <c r="H530" s="4"/>
    </row>
    <row r="531">
      <c r="A531" s="4" t="str">
        <f t="shared" si="1"/>
        <v/>
      </c>
      <c r="B531" s="4"/>
      <c r="C531" s="4"/>
      <c r="E531" s="4"/>
      <c r="F531" s="4"/>
      <c r="G531" s="4"/>
      <c r="H531" s="4"/>
    </row>
    <row r="532">
      <c r="A532" s="4" t="str">
        <f t="shared" si="1"/>
        <v/>
      </c>
      <c r="B532" s="4"/>
      <c r="C532" s="4"/>
      <c r="E532" s="4"/>
      <c r="F532" s="4"/>
      <c r="G532" s="4"/>
      <c r="H532" s="4"/>
    </row>
    <row r="533">
      <c r="A533" s="4" t="str">
        <f t="shared" si="1"/>
        <v/>
      </c>
      <c r="B533" s="4"/>
      <c r="C533" s="4"/>
      <c r="E533" s="4"/>
      <c r="F533" s="4"/>
      <c r="G533" s="4"/>
      <c r="H533" s="4"/>
    </row>
    <row r="534">
      <c r="A534" s="4" t="str">
        <f t="shared" si="1"/>
        <v/>
      </c>
      <c r="B534" s="4"/>
      <c r="C534" s="4"/>
      <c r="E534" s="4"/>
      <c r="F534" s="4"/>
      <c r="G534" s="4"/>
      <c r="H534" s="4"/>
    </row>
    <row r="535">
      <c r="A535" s="4" t="str">
        <f t="shared" si="1"/>
        <v/>
      </c>
      <c r="B535" s="4"/>
      <c r="C535" s="4"/>
      <c r="E535" s="4"/>
      <c r="F535" s="4"/>
      <c r="G535" s="4"/>
      <c r="H535" s="4"/>
    </row>
    <row r="536">
      <c r="A536" s="4" t="str">
        <f t="shared" si="1"/>
        <v/>
      </c>
      <c r="B536" s="4"/>
      <c r="C536" s="4"/>
      <c r="E536" s="4"/>
      <c r="F536" s="4"/>
      <c r="G536" s="4"/>
      <c r="H536" s="4"/>
    </row>
    <row r="537">
      <c r="A537" s="4" t="str">
        <f t="shared" si="1"/>
        <v/>
      </c>
      <c r="B537" s="4"/>
      <c r="C537" s="4"/>
      <c r="E537" s="4"/>
      <c r="F537" s="4"/>
      <c r="G537" s="4"/>
      <c r="H537" s="4"/>
    </row>
    <row r="538">
      <c r="A538" s="4" t="str">
        <f t="shared" si="1"/>
        <v/>
      </c>
      <c r="B538" s="4"/>
      <c r="C538" s="4"/>
      <c r="E538" s="4"/>
      <c r="F538" s="4"/>
      <c r="G538" s="4"/>
      <c r="H538" s="4"/>
    </row>
    <row r="539">
      <c r="A539" s="4" t="str">
        <f t="shared" si="1"/>
        <v/>
      </c>
      <c r="B539" s="4"/>
      <c r="C539" s="4"/>
      <c r="E539" s="4"/>
      <c r="F539" s="4"/>
      <c r="G539" s="4"/>
      <c r="H539" s="4"/>
    </row>
    <row r="540">
      <c r="A540" s="4" t="str">
        <f t="shared" si="1"/>
        <v/>
      </c>
      <c r="B540" s="4"/>
      <c r="C540" s="4"/>
      <c r="E540" s="4"/>
      <c r="F540" s="4"/>
      <c r="G540" s="4"/>
      <c r="H540" s="4"/>
    </row>
    <row r="541">
      <c r="A541" s="4" t="str">
        <f t="shared" si="1"/>
        <v/>
      </c>
      <c r="B541" s="4"/>
      <c r="C541" s="4"/>
      <c r="E541" s="4"/>
      <c r="F541" s="4"/>
      <c r="G541" s="4"/>
      <c r="H541" s="4"/>
    </row>
    <row r="542">
      <c r="A542" s="4" t="str">
        <f t="shared" si="1"/>
        <v/>
      </c>
      <c r="B542" s="4"/>
      <c r="C542" s="4"/>
      <c r="E542" s="4"/>
      <c r="F542" s="4"/>
      <c r="G542" s="4"/>
      <c r="H542" s="4"/>
    </row>
    <row r="543">
      <c r="A543" s="4" t="str">
        <f t="shared" si="1"/>
        <v/>
      </c>
      <c r="B543" s="4"/>
      <c r="C543" s="4"/>
      <c r="E543" s="4"/>
      <c r="F543" s="4"/>
      <c r="G543" s="4"/>
      <c r="H543" s="4"/>
    </row>
    <row r="544">
      <c r="A544" s="4" t="str">
        <f t="shared" si="1"/>
        <v/>
      </c>
      <c r="B544" s="4"/>
      <c r="C544" s="4"/>
      <c r="E544" s="4"/>
      <c r="F544" s="4"/>
      <c r="G544" s="4"/>
      <c r="H544" s="4"/>
    </row>
    <row r="545">
      <c r="A545" s="4" t="str">
        <f t="shared" si="1"/>
        <v/>
      </c>
      <c r="B545" s="4"/>
      <c r="C545" s="4"/>
      <c r="E545" s="4"/>
      <c r="F545" s="4"/>
      <c r="G545" s="4"/>
      <c r="H545" s="4"/>
    </row>
    <row r="546">
      <c r="A546" s="4" t="str">
        <f t="shared" si="1"/>
        <v/>
      </c>
      <c r="B546" s="4"/>
      <c r="C546" s="4"/>
      <c r="E546" s="4"/>
      <c r="F546" s="4"/>
      <c r="G546" s="4"/>
      <c r="H546" s="4"/>
    </row>
    <row r="547">
      <c r="A547" s="4" t="str">
        <f t="shared" si="1"/>
        <v/>
      </c>
      <c r="B547" s="4"/>
      <c r="C547" s="4"/>
      <c r="E547" s="4"/>
      <c r="F547" s="4"/>
      <c r="G547" s="4"/>
      <c r="H547" s="4"/>
    </row>
    <row r="548">
      <c r="A548" s="4" t="str">
        <f t="shared" si="1"/>
        <v/>
      </c>
      <c r="B548" s="4"/>
      <c r="C548" s="4"/>
      <c r="E548" s="4"/>
      <c r="F548" s="4"/>
      <c r="G548" s="4"/>
      <c r="H548" s="4"/>
    </row>
    <row r="549">
      <c r="A549" s="4" t="str">
        <f t="shared" si="1"/>
        <v/>
      </c>
      <c r="B549" s="4"/>
      <c r="C549" s="4"/>
      <c r="E549" s="4"/>
      <c r="F549" s="4"/>
      <c r="G549" s="4"/>
      <c r="H549" s="4"/>
    </row>
    <row r="550">
      <c r="A550" s="4" t="str">
        <f t="shared" si="1"/>
        <v/>
      </c>
      <c r="B550" s="4"/>
      <c r="C550" s="4"/>
      <c r="E550" s="4"/>
      <c r="F550" s="4"/>
      <c r="G550" s="4"/>
      <c r="H550" s="4"/>
    </row>
    <row r="551">
      <c r="A551" s="4" t="str">
        <f t="shared" si="1"/>
        <v/>
      </c>
      <c r="B551" s="4"/>
      <c r="C551" s="4"/>
      <c r="E551" s="4"/>
      <c r="F551" s="4"/>
      <c r="G551" s="4"/>
      <c r="H551" s="4"/>
    </row>
    <row r="552">
      <c r="A552" s="4" t="str">
        <f t="shared" si="1"/>
        <v/>
      </c>
      <c r="B552" s="4"/>
      <c r="C552" s="4"/>
      <c r="E552" s="4"/>
      <c r="F552" s="4"/>
      <c r="G552" s="4"/>
      <c r="H552" s="4"/>
    </row>
    <row r="553">
      <c r="A553" s="4" t="str">
        <f t="shared" si="1"/>
        <v/>
      </c>
      <c r="B553" s="4"/>
      <c r="C553" s="4"/>
      <c r="E553" s="4"/>
      <c r="F553" s="4"/>
      <c r="G553" s="4"/>
      <c r="H553" s="4"/>
    </row>
    <row r="554">
      <c r="A554" s="4" t="str">
        <f t="shared" si="1"/>
        <v/>
      </c>
      <c r="B554" s="4"/>
      <c r="C554" s="4"/>
      <c r="E554" s="4"/>
      <c r="F554" s="4"/>
      <c r="G554" s="4"/>
      <c r="H554" s="4"/>
    </row>
    <row r="555">
      <c r="A555" s="4" t="str">
        <f t="shared" si="1"/>
        <v/>
      </c>
      <c r="B555" s="4"/>
      <c r="C555" s="4"/>
      <c r="E555" s="4"/>
      <c r="F555" s="4"/>
      <c r="G555" s="4"/>
      <c r="H555" s="4"/>
    </row>
    <row r="556">
      <c r="A556" s="4" t="str">
        <f t="shared" si="1"/>
        <v/>
      </c>
      <c r="B556" s="4"/>
      <c r="C556" s="4"/>
      <c r="E556" s="4"/>
      <c r="F556" s="4"/>
      <c r="G556" s="4"/>
      <c r="H556" s="4"/>
    </row>
    <row r="557">
      <c r="A557" s="4" t="str">
        <f t="shared" si="1"/>
        <v/>
      </c>
      <c r="B557" s="4"/>
      <c r="C557" s="4"/>
      <c r="E557" s="4"/>
      <c r="F557" s="4"/>
      <c r="G557" s="4"/>
      <c r="H557" s="4"/>
    </row>
    <row r="558">
      <c r="A558" s="4" t="str">
        <f t="shared" si="1"/>
        <v/>
      </c>
      <c r="B558" s="4"/>
      <c r="C558" s="4"/>
      <c r="E558" s="4"/>
      <c r="F558" s="4"/>
      <c r="G558" s="4"/>
      <c r="H558" s="4"/>
    </row>
    <row r="559">
      <c r="A559" s="4" t="str">
        <f t="shared" si="1"/>
        <v/>
      </c>
      <c r="B559" s="4"/>
      <c r="C559" s="4"/>
      <c r="E559" s="4"/>
      <c r="F559" s="4"/>
      <c r="G559" s="4"/>
      <c r="H559" s="4"/>
    </row>
    <row r="560">
      <c r="A560" s="4" t="str">
        <f t="shared" si="1"/>
        <v/>
      </c>
      <c r="B560" s="4"/>
      <c r="C560" s="4"/>
      <c r="E560" s="4"/>
      <c r="F560" s="4"/>
      <c r="G560" s="4"/>
      <c r="H560" s="4"/>
    </row>
    <row r="561">
      <c r="A561" s="4" t="str">
        <f t="shared" si="1"/>
        <v/>
      </c>
      <c r="B561" s="4"/>
      <c r="C561" s="4"/>
      <c r="E561" s="4"/>
      <c r="F561" s="4"/>
      <c r="G561" s="4"/>
      <c r="H561" s="4"/>
    </row>
    <row r="562">
      <c r="A562" s="4" t="str">
        <f t="shared" si="1"/>
        <v/>
      </c>
      <c r="B562" s="4"/>
      <c r="C562" s="4"/>
      <c r="E562" s="4"/>
      <c r="F562" s="4"/>
      <c r="G562" s="4"/>
      <c r="H562" s="4"/>
    </row>
    <row r="563">
      <c r="A563" s="4" t="str">
        <f t="shared" si="1"/>
        <v/>
      </c>
      <c r="B563" s="4"/>
      <c r="C563" s="4"/>
      <c r="E563" s="4"/>
      <c r="F563" s="4"/>
      <c r="G563" s="4"/>
      <c r="H563" s="4"/>
    </row>
    <row r="564">
      <c r="A564" s="4" t="str">
        <f t="shared" si="1"/>
        <v/>
      </c>
      <c r="B564" s="4"/>
      <c r="C564" s="4"/>
      <c r="E564" s="4"/>
      <c r="F564" s="4"/>
      <c r="G564" s="4"/>
      <c r="H564" s="4"/>
    </row>
    <row r="565">
      <c r="A565" s="4" t="str">
        <f t="shared" si="1"/>
        <v/>
      </c>
      <c r="B565" s="4"/>
      <c r="C565" s="4"/>
      <c r="E565" s="4"/>
      <c r="F565" s="4"/>
      <c r="G565" s="4"/>
      <c r="H565" s="4"/>
    </row>
    <row r="566">
      <c r="A566" s="4" t="str">
        <f t="shared" si="1"/>
        <v/>
      </c>
      <c r="B566" s="4"/>
      <c r="C566" s="4"/>
      <c r="E566" s="4"/>
      <c r="F566" s="4"/>
      <c r="G566" s="4"/>
      <c r="H566" s="4"/>
    </row>
    <row r="567">
      <c r="A567" s="4" t="str">
        <f t="shared" si="1"/>
        <v/>
      </c>
      <c r="B567" s="4"/>
      <c r="C567" s="4"/>
      <c r="E567" s="4"/>
      <c r="F567" s="4"/>
      <c r="G567" s="4"/>
      <c r="H567" s="4"/>
    </row>
    <row r="568">
      <c r="A568" s="4" t="str">
        <f t="shared" si="1"/>
        <v/>
      </c>
      <c r="B568" s="4"/>
      <c r="C568" s="4"/>
      <c r="E568" s="4"/>
      <c r="F568" s="4"/>
      <c r="G568" s="4"/>
      <c r="H568" s="4"/>
    </row>
    <row r="569">
      <c r="A569" s="4" t="str">
        <f t="shared" si="1"/>
        <v/>
      </c>
      <c r="B569" s="4"/>
      <c r="C569" s="4"/>
      <c r="E569" s="4"/>
      <c r="F569" s="4"/>
      <c r="G569" s="4"/>
      <c r="H569" s="4"/>
    </row>
    <row r="570">
      <c r="A570" s="4" t="str">
        <f t="shared" si="1"/>
        <v/>
      </c>
      <c r="B570" s="4"/>
      <c r="C570" s="4"/>
      <c r="E570" s="4"/>
      <c r="F570" s="4"/>
      <c r="G570" s="4"/>
      <c r="H570" s="4"/>
    </row>
    <row r="571">
      <c r="A571" s="4" t="str">
        <f t="shared" si="1"/>
        <v/>
      </c>
      <c r="B571" s="4"/>
      <c r="C571" s="4"/>
      <c r="E571" s="4"/>
      <c r="F571" s="4"/>
      <c r="G571" s="4"/>
      <c r="H571" s="4"/>
    </row>
    <row r="572">
      <c r="A572" s="4" t="str">
        <f t="shared" si="1"/>
        <v/>
      </c>
      <c r="B572" s="4"/>
      <c r="C572" s="4"/>
      <c r="E572" s="4"/>
      <c r="F572" s="4"/>
      <c r="G572" s="4"/>
      <c r="H572" s="4"/>
    </row>
    <row r="573">
      <c r="A573" s="4" t="str">
        <f t="shared" si="1"/>
        <v/>
      </c>
      <c r="B573" s="4"/>
      <c r="C573" s="4"/>
      <c r="E573" s="4"/>
      <c r="F573" s="4"/>
      <c r="G573" s="4"/>
      <c r="H573" s="4"/>
    </row>
    <row r="574">
      <c r="A574" s="4" t="str">
        <f t="shared" si="1"/>
        <v/>
      </c>
      <c r="B574" s="4"/>
      <c r="C574" s="4"/>
      <c r="E574" s="4"/>
      <c r="F574" s="4"/>
      <c r="G574" s="4"/>
      <c r="H574" s="4"/>
    </row>
    <row r="575">
      <c r="A575" s="4" t="str">
        <f t="shared" si="1"/>
        <v/>
      </c>
      <c r="B575" s="4"/>
      <c r="C575" s="4"/>
      <c r="E575" s="4"/>
      <c r="F575" s="4"/>
      <c r="G575" s="4"/>
      <c r="H575" s="4"/>
    </row>
    <row r="576">
      <c r="A576" s="4" t="str">
        <f t="shared" si="1"/>
        <v/>
      </c>
      <c r="B576" s="4"/>
      <c r="C576" s="4"/>
      <c r="E576" s="4"/>
      <c r="F576" s="4"/>
      <c r="G576" s="4"/>
      <c r="H576" s="4"/>
    </row>
    <row r="577">
      <c r="A577" s="4" t="str">
        <f t="shared" si="1"/>
        <v/>
      </c>
      <c r="B577" s="4"/>
      <c r="C577" s="4"/>
      <c r="E577" s="4"/>
      <c r="F577" s="4"/>
      <c r="G577" s="4"/>
      <c r="H577" s="4"/>
    </row>
    <row r="578">
      <c r="A578" s="4" t="str">
        <f t="shared" si="1"/>
        <v/>
      </c>
      <c r="B578" s="4"/>
      <c r="C578" s="4"/>
      <c r="E578" s="4"/>
      <c r="F578" s="4"/>
      <c r="G578" s="4"/>
      <c r="H578" s="4"/>
    </row>
    <row r="579">
      <c r="A579" s="4" t="str">
        <f t="shared" si="1"/>
        <v/>
      </c>
      <c r="B579" s="4"/>
      <c r="C579" s="4"/>
      <c r="E579" s="4"/>
      <c r="F579" s="4"/>
      <c r="G579" s="4"/>
      <c r="H579" s="4"/>
    </row>
    <row r="580">
      <c r="A580" s="4" t="str">
        <f t="shared" si="1"/>
        <v/>
      </c>
      <c r="B580" s="4"/>
      <c r="C580" s="4"/>
      <c r="E580" s="4"/>
      <c r="F580" s="4"/>
      <c r="G580" s="4"/>
      <c r="H580" s="4"/>
    </row>
    <row r="581">
      <c r="A581" s="4" t="str">
        <f t="shared" si="1"/>
        <v/>
      </c>
      <c r="B581" s="4"/>
      <c r="C581" s="4"/>
      <c r="E581" s="4"/>
      <c r="F581" s="4"/>
      <c r="G581" s="4"/>
      <c r="H581" s="4"/>
    </row>
    <row r="582">
      <c r="A582" s="4" t="str">
        <f t="shared" si="1"/>
        <v/>
      </c>
      <c r="B582" s="4"/>
      <c r="C582" s="4"/>
      <c r="E582" s="4"/>
      <c r="F582" s="4"/>
      <c r="G582" s="4"/>
      <c r="H582" s="4"/>
    </row>
    <row r="583">
      <c r="A583" s="4" t="str">
        <f t="shared" si="1"/>
        <v/>
      </c>
      <c r="B583" s="4"/>
      <c r="C583" s="4"/>
      <c r="E583" s="4"/>
      <c r="F583" s="4"/>
      <c r="G583" s="4"/>
      <c r="H583" s="4"/>
    </row>
    <row r="584">
      <c r="A584" s="4" t="str">
        <f t="shared" si="1"/>
        <v/>
      </c>
      <c r="B584" s="4"/>
      <c r="C584" s="4"/>
      <c r="E584" s="4"/>
      <c r="F584" s="4"/>
      <c r="G584" s="4"/>
      <c r="H584" s="4"/>
    </row>
    <row r="585">
      <c r="A585" s="4" t="str">
        <f t="shared" si="1"/>
        <v/>
      </c>
      <c r="B585" s="4"/>
      <c r="C585" s="4"/>
      <c r="E585" s="4"/>
      <c r="F585" s="4"/>
      <c r="G585" s="4"/>
      <c r="H585" s="4"/>
    </row>
    <row r="586">
      <c r="A586" s="4" t="str">
        <f t="shared" si="1"/>
        <v/>
      </c>
      <c r="B586" s="4"/>
      <c r="C586" s="4"/>
      <c r="E586" s="4"/>
      <c r="F586" s="4"/>
      <c r="G586" s="4"/>
      <c r="H586" s="4"/>
    </row>
    <row r="587">
      <c r="A587" s="4" t="str">
        <f t="shared" si="1"/>
        <v/>
      </c>
      <c r="B587" s="4"/>
      <c r="C587" s="4"/>
      <c r="E587" s="4"/>
      <c r="F587" s="4"/>
      <c r="G587" s="4"/>
      <c r="H587" s="4"/>
    </row>
    <row r="588">
      <c r="A588" s="4" t="str">
        <f t="shared" si="1"/>
        <v/>
      </c>
      <c r="B588" s="4"/>
      <c r="C588" s="4"/>
      <c r="E588" s="4"/>
      <c r="F588" s="4"/>
      <c r="G588" s="4"/>
      <c r="H588" s="4"/>
    </row>
    <row r="589">
      <c r="A589" s="4" t="str">
        <f t="shared" si="1"/>
        <v/>
      </c>
      <c r="B589" s="4"/>
      <c r="C589" s="4"/>
      <c r="E589" s="4"/>
      <c r="F589" s="4"/>
      <c r="G589" s="4"/>
      <c r="H589" s="4"/>
    </row>
    <row r="590">
      <c r="A590" s="4" t="str">
        <f t="shared" si="1"/>
        <v/>
      </c>
      <c r="B590" s="4"/>
      <c r="C590" s="4"/>
      <c r="E590" s="4"/>
      <c r="F590" s="4"/>
      <c r="G590" s="4"/>
      <c r="H590" s="4"/>
    </row>
    <row r="591">
      <c r="A591" s="4" t="str">
        <f t="shared" si="1"/>
        <v/>
      </c>
      <c r="B591" s="4"/>
      <c r="C591" s="4"/>
      <c r="E591" s="4"/>
      <c r="F591" s="4"/>
      <c r="G591" s="4"/>
      <c r="H591" s="4"/>
    </row>
    <row r="592">
      <c r="A592" s="4" t="str">
        <f t="shared" si="1"/>
        <v/>
      </c>
      <c r="B592" s="4"/>
      <c r="C592" s="4"/>
      <c r="E592" s="4"/>
      <c r="F592" s="4"/>
      <c r="G592" s="4"/>
      <c r="H592" s="4"/>
    </row>
    <row r="593">
      <c r="A593" s="4" t="str">
        <f t="shared" si="1"/>
        <v/>
      </c>
      <c r="B593" s="4"/>
      <c r="C593" s="4"/>
      <c r="E593" s="4"/>
      <c r="F593" s="4"/>
      <c r="G593" s="4"/>
      <c r="H593" s="4"/>
    </row>
    <row r="594">
      <c r="A594" s="4" t="str">
        <f t="shared" si="1"/>
        <v/>
      </c>
      <c r="B594" s="4"/>
      <c r="C594" s="4"/>
      <c r="E594" s="4"/>
      <c r="F594" s="4"/>
      <c r="G594" s="4"/>
      <c r="H594" s="4"/>
    </row>
    <row r="595">
      <c r="A595" s="4" t="str">
        <f t="shared" si="1"/>
        <v/>
      </c>
      <c r="B595" s="4"/>
      <c r="C595" s="4"/>
      <c r="E595" s="4"/>
      <c r="F595" s="4"/>
      <c r="G595" s="4"/>
      <c r="H595" s="4"/>
    </row>
    <row r="596">
      <c r="A596" s="4" t="str">
        <f t="shared" si="1"/>
        <v/>
      </c>
      <c r="B596" s="4"/>
      <c r="C596" s="4"/>
      <c r="E596" s="4"/>
      <c r="F596" s="4"/>
      <c r="G596" s="4"/>
      <c r="H596" s="4"/>
    </row>
    <row r="597">
      <c r="A597" s="4" t="str">
        <f t="shared" si="1"/>
        <v/>
      </c>
      <c r="B597" s="4"/>
      <c r="C597" s="4"/>
      <c r="E597" s="4"/>
      <c r="F597" s="4"/>
      <c r="G597" s="4"/>
      <c r="H597" s="4"/>
    </row>
    <row r="598">
      <c r="A598" s="4" t="str">
        <f t="shared" si="1"/>
        <v/>
      </c>
      <c r="B598" s="4"/>
      <c r="C598" s="4"/>
      <c r="E598" s="4"/>
      <c r="F598" s="4"/>
      <c r="G598" s="4"/>
      <c r="H598" s="4"/>
    </row>
    <row r="599">
      <c r="A599" s="4" t="str">
        <f t="shared" si="1"/>
        <v/>
      </c>
      <c r="B599" s="4"/>
      <c r="C599" s="4"/>
      <c r="E599" s="4"/>
      <c r="F599" s="4"/>
      <c r="G599" s="4"/>
      <c r="H599" s="4"/>
    </row>
    <row r="600">
      <c r="A600" s="4" t="str">
        <f t="shared" si="1"/>
        <v/>
      </c>
      <c r="B600" s="4"/>
      <c r="C600" s="4"/>
      <c r="E600" s="4"/>
      <c r="F600" s="4"/>
      <c r="G600" s="4"/>
      <c r="H600" s="4"/>
    </row>
    <row r="601">
      <c r="A601" s="4" t="str">
        <f t="shared" si="1"/>
        <v/>
      </c>
      <c r="B601" s="4"/>
      <c r="C601" s="4"/>
      <c r="E601" s="4"/>
      <c r="F601" s="4"/>
      <c r="G601" s="4"/>
      <c r="H601" s="4"/>
    </row>
    <row r="602">
      <c r="A602" s="4" t="str">
        <f t="shared" si="1"/>
        <v/>
      </c>
      <c r="B602" s="4"/>
      <c r="C602" s="4"/>
      <c r="E602" s="4"/>
      <c r="F602" s="4"/>
      <c r="G602" s="4"/>
      <c r="H602" s="4"/>
    </row>
    <row r="603">
      <c r="A603" s="4" t="str">
        <f t="shared" si="1"/>
        <v/>
      </c>
      <c r="B603" s="4"/>
      <c r="C603" s="4"/>
      <c r="E603" s="4"/>
      <c r="F603" s="4"/>
      <c r="G603" s="4"/>
      <c r="H603" s="4"/>
    </row>
    <row r="604">
      <c r="A604" s="4" t="str">
        <f t="shared" si="1"/>
        <v/>
      </c>
      <c r="B604" s="4"/>
      <c r="C604" s="4"/>
      <c r="E604" s="4"/>
      <c r="F604" s="4"/>
      <c r="G604" s="4"/>
      <c r="H604" s="4"/>
    </row>
    <row r="605">
      <c r="A605" s="4" t="str">
        <f t="shared" si="1"/>
        <v/>
      </c>
      <c r="B605" s="4"/>
      <c r="C605" s="4"/>
      <c r="E605" s="4"/>
      <c r="F605" s="4"/>
      <c r="G605" s="4"/>
      <c r="H605" s="4"/>
    </row>
    <row r="606">
      <c r="A606" s="4" t="str">
        <f t="shared" si="1"/>
        <v/>
      </c>
      <c r="B606" s="4"/>
      <c r="C606" s="4"/>
      <c r="E606" s="4"/>
      <c r="F606" s="4"/>
      <c r="G606" s="4"/>
      <c r="H606" s="4"/>
    </row>
    <row r="607">
      <c r="A607" s="4" t="str">
        <f t="shared" si="1"/>
        <v/>
      </c>
      <c r="B607" s="4"/>
      <c r="C607" s="4"/>
      <c r="E607" s="4"/>
      <c r="F607" s="4"/>
      <c r="G607" s="4"/>
      <c r="H607" s="4"/>
    </row>
    <row r="608">
      <c r="A608" s="4" t="str">
        <f t="shared" si="1"/>
        <v/>
      </c>
      <c r="B608" s="4"/>
      <c r="C608" s="4"/>
      <c r="E608" s="4"/>
      <c r="F608" s="4"/>
      <c r="G608" s="4"/>
      <c r="H608" s="4"/>
    </row>
    <row r="609">
      <c r="A609" s="4" t="str">
        <f t="shared" si="1"/>
        <v/>
      </c>
      <c r="B609" s="4"/>
      <c r="C609" s="4"/>
      <c r="E609" s="4"/>
      <c r="F609" s="4"/>
      <c r="G609" s="4"/>
      <c r="H609" s="4"/>
    </row>
    <row r="610">
      <c r="A610" s="4" t="str">
        <f t="shared" si="1"/>
        <v/>
      </c>
      <c r="B610" s="4"/>
      <c r="C610" s="4"/>
      <c r="E610" s="4"/>
      <c r="F610" s="4"/>
      <c r="G610" s="4"/>
      <c r="H610" s="4"/>
    </row>
    <row r="611">
      <c r="A611" s="4" t="str">
        <f t="shared" si="1"/>
        <v/>
      </c>
      <c r="B611" s="4"/>
      <c r="C611" s="4"/>
      <c r="E611" s="4"/>
      <c r="F611" s="4"/>
      <c r="G611" s="4"/>
      <c r="H611" s="4"/>
    </row>
    <row r="612">
      <c r="A612" s="4" t="str">
        <f t="shared" si="1"/>
        <v/>
      </c>
      <c r="B612" s="4"/>
      <c r="C612" s="4"/>
      <c r="E612" s="4"/>
      <c r="F612" s="4"/>
      <c r="G612" s="4"/>
      <c r="H612" s="4"/>
    </row>
    <row r="613">
      <c r="A613" s="4" t="str">
        <f t="shared" si="1"/>
        <v/>
      </c>
      <c r="B613" s="4"/>
      <c r="C613" s="4"/>
      <c r="E613" s="4"/>
      <c r="F613" s="4"/>
      <c r="G613" s="4"/>
      <c r="H613" s="4"/>
    </row>
    <row r="614">
      <c r="A614" s="4" t="str">
        <f t="shared" si="1"/>
        <v/>
      </c>
      <c r="B614" s="4"/>
      <c r="C614" s="4"/>
      <c r="E614" s="4"/>
      <c r="F614" s="4"/>
      <c r="G614" s="4"/>
      <c r="H614" s="4"/>
    </row>
    <row r="615">
      <c r="A615" s="4" t="str">
        <f t="shared" si="1"/>
        <v/>
      </c>
      <c r="B615" s="4"/>
      <c r="C615" s="4"/>
      <c r="E615" s="4"/>
      <c r="F615" s="4"/>
      <c r="G615" s="4"/>
      <c r="H615" s="4"/>
    </row>
    <row r="616">
      <c r="A616" s="4" t="str">
        <f t="shared" si="1"/>
        <v/>
      </c>
      <c r="B616" s="4"/>
      <c r="C616" s="4"/>
      <c r="E616" s="4"/>
      <c r="F616" s="4"/>
      <c r="G616" s="4"/>
      <c r="H616" s="4"/>
    </row>
    <row r="617">
      <c r="A617" s="4" t="str">
        <f t="shared" si="1"/>
        <v/>
      </c>
      <c r="B617" s="4"/>
      <c r="C617" s="4"/>
      <c r="E617" s="4"/>
      <c r="F617" s="4"/>
      <c r="G617" s="4"/>
      <c r="H617" s="4"/>
    </row>
    <row r="618">
      <c r="A618" s="4" t="str">
        <f t="shared" si="1"/>
        <v/>
      </c>
      <c r="B618" s="4"/>
      <c r="C618" s="4"/>
      <c r="E618" s="4"/>
      <c r="F618" s="4"/>
      <c r="G618" s="4"/>
      <c r="H618" s="4"/>
    </row>
    <row r="619">
      <c r="A619" s="4" t="str">
        <f t="shared" si="1"/>
        <v/>
      </c>
      <c r="B619" s="4"/>
      <c r="C619" s="4"/>
      <c r="E619" s="4"/>
      <c r="F619" s="4"/>
      <c r="G619" s="4"/>
      <c r="H619" s="4"/>
    </row>
    <row r="620">
      <c r="A620" s="4" t="str">
        <f t="shared" si="1"/>
        <v/>
      </c>
      <c r="B620" s="4"/>
      <c r="C620" s="4"/>
      <c r="E620" s="4"/>
      <c r="F620" s="4"/>
      <c r="G620" s="4"/>
      <c r="H620" s="4"/>
    </row>
    <row r="621">
      <c r="A621" s="4" t="str">
        <f t="shared" si="1"/>
        <v/>
      </c>
      <c r="B621" s="4"/>
      <c r="C621" s="4"/>
      <c r="E621" s="4"/>
      <c r="F621" s="4"/>
      <c r="G621" s="4"/>
      <c r="H621" s="4"/>
    </row>
    <row r="622">
      <c r="A622" s="4" t="str">
        <f t="shared" si="1"/>
        <v/>
      </c>
      <c r="B622" s="4"/>
      <c r="C622" s="4"/>
      <c r="E622" s="4"/>
      <c r="F622" s="4"/>
      <c r="G622" s="4"/>
      <c r="H622" s="4"/>
    </row>
    <row r="623">
      <c r="A623" s="4" t="str">
        <f t="shared" si="1"/>
        <v/>
      </c>
      <c r="B623" s="4"/>
      <c r="C623" s="4"/>
      <c r="E623" s="4"/>
      <c r="F623" s="4"/>
      <c r="G623" s="4"/>
      <c r="H623" s="4"/>
    </row>
    <row r="624">
      <c r="A624" s="4" t="str">
        <f t="shared" si="1"/>
        <v/>
      </c>
      <c r="B624" s="4"/>
      <c r="C624" s="4"/>
      <c r="E624" s="4"/>
      <c r="F624" s="4"/>
      <c r="G624" s="4"/>
      <c r="H624" s="4"/>
    </row>
    <row r="625">
      <c r="A625" s="4" t="str">
        <f t="shared" si="1"/>
        <v/>
      </c>
      <c r="B625" s="4"/>
      <c r="C625" s="4"/>
      <c r="E625" s="4"/>
      <c r="F625" s="4"/>
      <c r="G625" s="4"/>
      <c r="H625" s="4"/>
    </row>
    <row r="626">
      <c r="A626" s="4" t="str">
        <f t="shared" si="1"/>
        <v/>
      </c>
      <c r="B626" s="4"/>
      <c r="C626" s="4"/>
      <c r="E626" s="4"/>
      <c r="F626" s="4"/>
      <c r="G626" s="4"/>
      <c r="H626" s="4"/>
    </row>
    <row r="627">
      <c r="A627" s="4" t="str">
        <f t="shared" si="1"/>
        <v/>
      </c>
      <c r="B627" s="4"/>
      <c r="C627" s="4"/>
      <c r="E627" s="4"/>
      <c r="F627" s="4"/>
      <c r="G627" s="4"/>
      <c r="H627" s="4"/>
    </row>
    <row r="628">
      <c r="A628" s="4" t="str">
        <f t="shared" si="1"/>
        <v/>
      </c>
      <c r="B628" s="4"/>
      <c r="C628" s="4"/>
      <c r="E628" s="4"/>
      <c r="F628" s="4"/>
      <c r="G628" s="4"/>
      <c r="H628" s="4"/>
    </row>
    <row r="629">
      <c r="A629" s="4" t="str">
        <f t="shared" si="1"/>
        <v/>
      </c>
      <c r="B629" s="4"/>
      <c r="C629" s="4"/>
      <c r="E629" s="4"/>
      <c r="F629" s="4"/>
      <c r="G629" s="4"/>
      <c r="H629" s="4"/>
    </row>
    <row r="630">
      <c r="A630" s="4" t="str">
        <f t="shared" si="1"/>
        <v/>
      </c>
      <c r="B630" s="4"/>
      <c r="C630" s="4"/>
      <c r="E630" s="4"/>
      <c r="F630" s="4"/>
      <c r="G630" s="4"/>
      <c r="H630" s="4"/>
    </row>
    <row r="631">
      <c r="A631" s="4" t="str">
        <f t="shared" si="1"/>
        <v/>
      </c>
      <c r="B631" s="4"/>
      <c r="C631" s="4"/>
      <c r="E631" s="4"/>
      <c r="F631" s="4"/>
      <c r="G631" s="4"/>
      <c r="H631" s="4"/>
    </row>
    <row r="632">
      <c r="A632" s="4" t="str">
        <f t="shared" si="1"/>
        <v/>
      </c>
      <c r="B632" s="4"/>
      <c r="C632" s="4"/>
      <c r="E632" s="4"/>
      <c r="F632" s="4"/>
      <c r="G632" s="4"/>
      <c r="H632" s="4"/>
    </row>
    <row r="633">
      <c r="A633" s="4" t="str">
        <f t="shared" si="1"/>
        <v/>
      </c>
      <c r="B633" s="4"/>
      <c r="C633" s="4"/>
      <c r="E633" s="4"/>
      <c r="F633" s="4"/>
      <c r="G633" s="4"/>
      <c r="H633" s="4"/>
    </row>
    <row r="634">
      <c r="A634" s="4" t="str">
        <f t="shared" si="1"/>
        <v/>
      </c>
      <c r="B634" s="4"/>
      <c r="C634" s="4"/>
      <c r="E634" s="4"/>
      <c r="F634" s="4"/>
      <c r="G634" s="4"/>
      <c r="H634" s="4"/>
    </row>
    <row r="635">
      <c r="A635" s="4" t="str">
        <f t="shared" si="1"/>
        <v/>
      </c>
      <c r="B635" s="4"/>
      <c r="C635" s="4"/>
      <c r="E635" s="4"/>
      <c r="F635" s="4"/>
      <c r="G635" s="4"/>
      <c r="H635" s="4"/>
    </row>
    <row r="636">
      <c r="A636" s="4" t="str">
        <f t="shared" si="1"/>
        <v/>
      </c>
      <c r="B636" s="4"/>
      <c r="C636" s="4"/>
      <c r="E636" s="4"/>
      <c r="F636" s="4"/>
      <c r="G636" s="4"/>
      <c r="H636" s="4"/>
    </row>
    <row r="637">
      <c r="A637" s="4" t="str">
        <f t="shared" si="1"/>
        <v/>
      </c>
      <c r="B637" s="4"/>
      <c r="C637" s="4"/>
      <c r="E637" s="4"/>
      <c r="F637" s="4"/>
      <c r="G637" s="4"/>
      <c r="H637" s="4"/>
    </row>
    <row r="638">
      <c r="A638" s="4" t="str">
        <f t="shared" si="1"/>
        <v/>
      </c>
      <c r="B638" s="4"/>
      <c r="C638" s="4"/>
      <c r="E638" s="4"/>
      <c r="F638" s="4"/>
      <c r="G638" s="4"/>
      <c r="H638" s="4"/>
    </row>
    <row r="639">
      <c r="A639" s="4" t="str">
        <f t="shared" si="1"/>
        <v/>
      </c>
      <c r="B639" s="4"/>
      <c r="C639" s="4"/>
      <c r="E639" s="4"/>
      <c r="F639" s="4"/>
      <c r="G639" s="4"/>
      <c r="H639" s="4"/>
    </row>
    <row r="640">
      <c r="A640" s="4" t="str">
        <f t="shared" si="1"/>
        <v/>
      </c>
      <c r="B640" s="4"/>
      <c r="C640" s="4"/>
      <c r="E640" s="4"/>
      <c r="F640" s="4"/>
      <c r="G640" s="4"/>
      <c r="H640" s="4"/>
    </row>
    <row r="641">
      <c r="A641" s="4" t="str">
        <f t="shared" si="1"/>
        <v/>
      </c>
      <c r="B641" s="4"/>
      <c r="C641" s="4"/>
      <c r="E641" s="4"/>
      <c r="F641" s="4"/>
      <c r="G641" s="4"/>
      <c r="H641" s="4"/>
    </row>
    <row r="642">
      <c r="A642" s="4" t="str">
        <f t="shared" si="1"/>
        <v/>
      </c>
      <c r="B642" s="4"/>
      <c r="C642" s="4"/>
      <c r="E642" s="4"/>
      <c r="F642" s="4"/>
      <c r="G642" s="4"/>
      <c r="H642" s="4"/>
    </row>
    <row r="643">
      <c r="A643" s="4" t="str">
        <f t="shared" si="1"/>
        <v/>
      </c>
      <c r="B643" s="4"/>
      <c r="C643" s="4"/>
      <c r="E643" s="4"/>
      <c r="F643" s="4"/>
      <c r="G643" s="4"/>
      <c r="H643" s="4"/>
    </row>
    <row r="644">
      <c r="A644" s="4" t="str">
        <f t="shared" si="1"/>
        <v/>
      </c>
      <c r="B644" s="4"/>
      <c r="C644" s="4"/>
      <c r="E644" s="4"/>
      <c r="F644" s="4"/>
      <c r="G644" s="4"/>
      <c r="H644" s="4"/>
    </row>
    <row r="645">
      <c r="A645" s="4" t="str">
        <f t="shared" si="1"/>
        <v/>
      </c>
      <c r="B645" s="4"/>
      <c r="C645" s="4"/>
      <c r="E645" s="4"/>
      <c r="F645" s="4"/>
      <c r="G645" s="4"/>
      <c r="H645" s="4"/>
    </row>
    <row r="646">
      <c r="A646" s="4" t="str">
        <f t="shared" si="1"/>
        <v/>
      </c>
      <c r="B646" s="4"/>
      <c r="C646" s="4"/>
      <c r="E646" s="4"/>
      <c r="F646" s="4"/>
      <c r="G646" s="4"/>
      <c r="H646" s="4"/>
    </row>
    <row r="647">
      <c r="A647" s="4" t="str">
        <f t="shared" si="1"/>
        <v/>
      </c>
      <c r="B647" s="4"/>
      <c r="C647" s="4"/>
      <c r="E647" s="4"/>
      <c r="F647" s="4"/>
      <c r="G647" s="4"/>
      <c r="H647" s="4"/>
    </row>
    <row r="648">
      <c r="A648" s="4" t="str">
        <f t="shared" si="1"/>
        <v/>
      </c>
      <c r="B648" s="4"/>
      <c r="C648" s="4"/>
      <c r="E648" s="4"/>
      <c r="F648" s="4"/>
      <c r="G648" s="4"/>
      <c r="H648" s="4"/>
    </row>
    <row r="649">
      <c r="A649" s="4" t="str">
        <f t="shared" si="1"/>
        <v/>
      </c>
      <c r="B649" s="4"/>
      <c r="C649" s="4"/>
      <c r="E649" s="4"/>
      <c r="F649" s="4"/>
      <c r="G649" s="4"/>
      <c r="H649" s="4"/>
    </row>
    <row r="650">
      <c r="A650" s="4" t="str">
        <f t="shared" si="1"/>
        <v/>
      </c>
      <c r="B650" s="4"/>
      <c r="C650" s="4"/>
      <c r="E650" s="4"/>
      <c r="F650" s="4"/>
      <c r="G650" s="4"/>
      <c r="H650" s="4"/>
    </row>
    <row r="651">
      <c r="A651" s="4" t="str">
        <f t="shared" si="1"/>
        <v/>
      </c>
      <c r="B651" s="4"/>
      <c r="C651" s="4"/>
      <c r="E651" s="4"/>
      <c r="F651" s="4"/>
      <c r="G651" s="4"/>
      <c r="H651" s="4"/>
    </row>
    <row r="652">
      <c r="A652" s="4" t="str">
        <f t="shared" si="1"/>
        <v/>
      </c>
      <c r="B652" s="4"/>
      <c r="C652" s="4"/>
      <c r="E652" s="4"/>
      <c r="F652" s="4"/>
      <c r="G652" s="4"/>
      <c r="H652" s="4"/>
    </row>
    <row r="653">
      <c r="A653" s="4" t="str">
        <f t="shared" si="1"/>
        <v/>
      </c>
      <c r="B653" s="4"/>
      <c r="C653" s="4"/>
      <c r="E653" s="4"/>
      <c r="F653" s="4"/>
      <c r="G653" s="4"/>
      <c r="H653" s="4"/>
    </row>
    <row r="654">
      <c r="A654" s="4" t="str">
        <f t="shared" si="1"/>
        <v/>
      </c>
      <c r="B654" s="4"/>
      <c r="C654" s="4"/>
      <c r="E654" s="4"/>
      <c r="F654" s="4"/>
      <c r="G654" s="4"/>
      <c r="H654" s="4"/>
    </row>
    <row r="655">
      <c r="A655" s="4" t="str">
        <f t="shared" si="1"/>
        <v/>
      </c>
      <c r="B655" s="4"/>
      <c r="C655" s="4"/>
      <c r="E655" s="4"/>
      <c r="F655" s="4"/>
      <c r="G655" s="4"/>
      <c r="H655" s="4"/>
    </row>
    <row r="656">
      <c r="A656" s="4" t="str">
        <f t="shared" si="1"/>
        <v/>
      </c>
      <c r="B656" s="4"/>
      <c r="C656" s="4"/>
      <c r="E656" s="4"/>
      <c r="F656" s="4"/>
      <c r="G656" s="4"/>
      <c r="H656" s="4"/>
    </row>
    <row r="657">
      <c r="A657" s="4" t="str">
        <f t="shared" si="1"/>
        <v/>
      </c>
      <c r="B657" s="4"/>
      <c r="C657" s="4"/>
      <c r="E657" s="4"/>
      <c r="F657" s="4"/>
      <c r="G657" s="4"/>
      <c r="H657" s="4"/>
    </row>
    <row r="658">
      <c r="A658" s="4" t="str">
        <f t="shared" si="1"/>
        <v/>
      </c>
      <c r="B658" s="4"/>
      <c r="C658" s="4"/>
      <c r="E658" s="4"/>
      <c r="F658" s="4"/>
      <c r="G658" s="4"/>
      <c r="H658" s="4"/>
    </row>
    <row r="659">
      <c r="A659" s="4" t="str">
        <f t="shared" si="1"/>
        <v/>
      </c>
      <c r="B659" s="4"/>
      <c r="C659" s="4"/>
      <c r="E659" s="4"/>
      <c r="F659" s="4"/>
      <c r="G659" s="4"/>
      <c r="H659" s="4"/>
    </row>
    <row r="660">
      <c r="A660" s="4" t="str">
        <f t="shared" si="1"/>
        <v/>
      </c>
      <c r="B660" s="4"/>
      <c r="C660" s="4"/>
      <c r="E660" s="4"/>
      <c r="F660" s="4"/>
      <c r="G660" s="4"/>
      <c r="H660" s="4"/>
    </row>
    <row r="661">
      <c r="A661" s="4" t="str">
        <f t="shared" si="1"/>
        <v/>
      </c>
      <c r="B661" s="4"/>
      <c r="C661" s="4"/>
      <c r="E661" s="4"/>
      <c r="F661" s="4"/>
      <c r="G661" s="4"/>
      <c r="H661" s="4"/>
    </row>
    <row r="662">
      <c r="A662" s="4" t="str">
        <f t="shared" si="1"/>
        <v/>
      </c>
      <c r="B662" s="4"/>
      <c r="C662" s="4"/>
      <c r="E662" s="4"/>
      <c r="F662" s="4"/>
      <c r="G662" s="4"/>
      <c r="H662" s="4"/>
    </row>
    <row r="663">
      <c r="A663" s="4" t="str">
        <f t="shared" si="1"/>
        <v/>
      </c>
      <c r="B663" s="4"/>
      <c r="C663" s="4"/>
      <c r="E663" s="4"/>
      <c r="F663" s="4"/>
      <c r="G663" s="4"/>
      <c r="H663" s="4"/>
    </row>
    <row r="664">
      <c r="A664" s="4" t="str">
        <f t="shared" si="1"/>
        <v/>
      </c>
      <c r="B664" s="4"/>
      <c r="C664" s="4"/>
      <c r="E664" s="4"/>
      <c r="F664" s="4"/>
      <c r="G664" s="4"/>
      <c r="H664" s="4"/>
    </row>
    <row r="665">
      <c r="A665" s="4" t="str">
        <f t="shared" si="1"/>
        <v/>
      </c>
      <c r="B665" s="4"/>
      <c r="C665" s="4"/>
      <c r="E665" s="4"/>
      <c r="F665" s="4"/>
      <c r="G665" s="4"/>
      <c r="H665" s="4"/>
    </row>
    <row r="666">
      <c r="A666" s="4" t="str">
        <f t="shared" si="1"/>
        <v/>
      </c>
      <c r="B666" s="4"/>
      <c r="C666" s="4"/>
      <c r="E666" s="4"/>
      <c r="F666" s="4"/>
      <c r="G666" s="4"/>
      <c r="H666" s="4"/>
    </row>
    <row r="667">
      <c r="A667" s="4" t="str">
        <f t="shared" si="1"/>
        <v/>
      </c>
      <c r="B667" s="4"/>
      <c r="C667" s="4"/>
      <c r="E667" s="4"/>
      <c r="F667" s="4"/>
      <c r="G667" s="4"/>
      <c r="H667" s="4"/>
    </row>
    <row r="668">
      <c r="A668" s="4" t="str">
        <f t="shared" si="1"/>
        <v/>
      </c>
      <c r="B668" s="4"/>
      <c r="C668" s="4"/>
      <c r="E668" s="4"/>
      <c r="F668" s="4"/>
      <c r="G668" s="4"/>
      <c r="H668" s="4"/>
    </row>
    <row r="669">
      <c r="A669" s="4" t="str">
        <f t="shared" si="1"/>
        <v/>
      </c>
      <c r="B669" s="4"/>
      <c r="C669" s="4"/>
      <c r="E669" s="4"/>
      <c r="F669" s="4"/>
      <c r="G669" s="4"/>
      <c r="H669" s="4"/>
    </row>
    <row r="670">
      <c r="A670" s="4" t="str">
        <f t="shared" si="1"/>
        <v/>
      </c>
      <c r="B670" s="4"/>
      <c r="C670" s="4"/>
      <c r="E670" s="4"/>
      <c r="F670" s="4"/>
      <c r="G670" s="4"/>
      <c r="H670" s="4"/>
    </row>
    <row r="671">
      <c r="A671" s="4" t="str">
        <f t="shared" si="1"/>
        <v/>
      </c>
      <c r="B671" s="4"/>
      <c r="C671" s="4"/>
      <c r="E671" s="4"/>
      <c r="F671" s="4"/>
      <c r="G671" s="4"/>
      <c r="H671" s="4"/>
    </row>
    <row r="672">
      <c r="A672" s="4" t="str">
        <f t="shared" si="1"/>
        <v/>
      </c>
      <c r="B672" s="4"/>
      <c r="C672" s="4"/>
      <c r="E672" s="4"/>
      <c r="F672" s="4"/>
      <c r="G672" s="4"/>
      <c r="H672" s="4"/>
    </row>
    <row r="673">
      <c r="A673" s="4" t="str">
        <f t="shared" si="1"/>
        <v/>
      </c>
      <c r="B673" s="4"/>
      <c r="C673" s="4"/>
      <c r="E673" s="4"/>
      <c r="F673" s="4"/>
      <c r="G673" s="4"/>
      <c r="H673" s="4"/>
    </row>
    <row r="674">
      <c r="A674" s="4" t="str">
        <f t="shared" si="1"/>
        <v/>
      </c>
      <c r="B674" s="4"/>
      <c r="C674" s="4"/>
      <c r="E674" s="4"/>
      <c r="F674" s="4"/>
      <c r="G674" s="4"/>
      <c r="H674" s="4"/>
    </row>
    <row r="675">
      <c r="A675" s="4" t="str">
        <f t="shared" si="1"/>
        <v/>
      </c>
      <c r="B675" s="4"/>
      <c r="C675" s="4"/>
      <c r="E675" s="4"/>
      <c r="F675" s="4"/>
      <c r="G675" s="4"/>
      <c r="H675" s="4"/>
    </row>
    <row r="676">
      <c r="A676" s="4" t="str">
        <f t="shared" si="1"/>
        <v/>
      </c>
      <c r="B676" s="4"/>
      <c r="C676" s="4"/>
      <c r="E676" s="4"/>
      <c r="F676" s="4"/>
      <c r="G676" s="4"/>
      <c r="H676" s="4"/>
    </row>
    <row r="677">
      <c r="A677" s="4" t="str">
        <f t="shared" si="1"/>
        <v/>
      </c>
      <c r="B677" s="4"/>
      <c r="C677" s="4"/>
      <c r="E677" s="4"/>
      <c r="F677" s="4"/>
      <c r="G677" s="4"/>
      <c r="H677" s="4"/>
    </row>
    <row r="678">
      <c r="A678" s="4" t="str">
        <f t="shared" si="1"/>
        <v/>
      </c>
      <c r="B678" s="4"/>
      <c r="C678" s="4"/>
      <c r="E678" s="4"/>
      <c r="F678" s="4"/>
      <c r="G678" s="4"/>
      <c r="H678" s="4"/>
    </row>
    <row r="679">
      <c r="A679" s="4" t="str">
        <f t="shared" si="1"/>
        <v/>
      </c>
      <c r="B679" s="4"/>
      <c r="C679" s="4"/>
      <c r="E679" s="4"/>
      <c r="F679" s="4"/>
      <c r="G679" s="4"/>
      <c r="H679" s="4"/>
    </row>
    <row r="680">
      <c r="A680" s="4" t="str">
        <f t="shared" si="1"/>
        <v/>
      </c>
      <c r="B680" s="4"/>
      <c r="C680" s="4"/>
      <c r="E680" s="4"/>
      <c r="F680" s="4"/>
      <c r="G680" s="4"/>
      <c r="H680" s="4"/>
    </row>
    <row r="681">
      <c r="A681" s="4" t="str">
        <f t="shared" si="1"/>
        <v/>
      </c>
      <c r="B681" s="4"/>
      <c r="C681" s="4"/>
      <c r="E681" s="4"/>
      <c r="F681" s="4"/>
      <c r="G681" s="4"/>
      <c r="H681" s="4"/>
    </row>
    <row r="682">
      <c r="A682" s="4" t="str">
        <f t="shared" si="1"/>
        <v/>
      </c>
      <c r="B682" s="4"/>
      <c r="C682" s="4"/>
      <c r="E682" s="4"/>
      <c r="F682" s="4"/>
      <c r="G682" s="4"/>
      <c r="H682" s="4"/>
    </row>
    <row r="683">
      <c r="A683" s="4" t="str">
        <f t="shared" si="1"/>
        <v/>
      </c>
      <c r="B683" s="4"/>
      <c r="C683" s="4"/>
      <c r="E683" s="4"/>
      <c r="F683" s="4"/>
      <c r="G683" s="4"/>
      <c r="H683" s="4"/>
    </row>
    <row r="684">
      <c r="A684" s="4" t="str">
        <f t="shared" si="1"/>
        <v/>
      </c>
      <c r="B684" s="4"/>
      <c r="C684" s="4"/>
      <c r="E684" s="4"/>
      <c r="F684" s="4"/>
      <c r="G684" s="4"/>
      <c r="H684" s="4"/>
    </row>
    <row r="685">
      <c r="A685" s="4" t="str">
        <f t="shared" si="1"/>
        <v/>
      </c>
      <c r="B685" s="4"/>
      <c r="C685" s="4"/>
      <c r="E685" s="4"/>
      <c r="F685" s="4"/>
      <c r="G685" s="4"/>
      <c r="H685" s="4"/>
    </row>
    <row r="686">
      <c r="A686" s="4" t="str">
        <f t="shared" si="1"/>
        <v/>
      </c>
      <c r="B686" s="4"/>
      <c r="C686" s="4"/>
      <c r="E686" s="4"/>
      <c r="F686" s="4"/>
      <c r="G686" s="4"/>
      <c r="H686" s="4"/>
    </row>
    <row r="687">
      <c r="A687" s="4" t="str">
        <f t="shared" si="1"/>
        <v/>
      </c>
      <c r="B687" s="4"/>
      <c r="C687" s="4"/>
      <c r="E687" s="4"/>
      <c r="F687" s="4"/>
      <c r="G687" s="4"/>
      <c r="H687" s="4"/>
    </row>
    <row r="688">
      <c r="A688" s="4" t="str">
        <f t="shared" si="1"/>
        <v/>
      </c>
      <c r="B688" s="4"/>
      <c r="C688" s="4"/>
      <c r="E688" s="4"/>
      <c r="F688" s="4"/>
      <c r="G688" s="4"/>
      <c r="H688" s="4"/>
    </row>
    <row r="689">
      <c r="A689" s="4" t="str">
        <f t="shared" si="1"/>
        <v/>
      </c>
      <c r="B689" s="4"/>
      <c r="C689" s="4"/>
      <c r="E689" s="4"/>
      <c r="F689" s="4"/>
      <c r="G689" s="4"/>
      <c r="H689" s="4"/>
    </row>
    <row r="690">
      <c r="A690" s="4" t="str">
        <f t="shared" si="1"/>
        <v/>
      </c>
      <c r="B690" s="4"/>
      <c r="C690" s="4"/>
      <c r="E690" s="4"/>
      <c r="F690" s="4"/>
      <c r="G690" s="4"/>
      <c r="H690" s="4"/>
    </row>
    <row r="691">
      <c r="A691" s="4" t="str">
        <f t="shared" si="1"/>
        <v/>
      </c>
      <c r="B691" s="4"/>
      <c r="C691" s="4"/>
      <c r="E691" s="4"/>
      <c r="F691" s="4"/>
      <c r="G691" s="4"/>
      <c r="H691" s="4"/>
    </row>
    <row r="692">
      <c r="A692" s="4" t="str">
        <f t="shared" si="1"/>
        <v/>
      </c>
      <c r="B692" s="4"/>
      <c r="C692" s="4"/>
      <c r="E692" s="4"/>
      <c r="F692" s="4"/>
      <c r="G692" s="4"/>
      <c r="H692" s="4"/>
    </row>
    <row r="693">
      <c r="A693" s="4" t="str">
        <f t="shared" si="1"/>
        <v/>
      </c>
      <c r="B693" s="4"/>
      <c r="C693" s="4"/>
      <c r="E693" s="4"/>
      <c r="F693" s="4"/>
      <c r="G693" s="4"/>
      <c r="H693" s="4"/>
    </row>
    <row r="694">
      <c r="A694" s="4" t="str">
        <f t="shared" si="1"/>
        <v/>
      </c>
      <c r="B694" s="4"/>
      <c r="C694" s="4"/>
      <c r="E694" s="4"/>
      <c r="F694" s="4"/>
      <c r="G694" s="4"/>
      <c r="H694" s="4"/>
    </row>
    <row r="695">
      <c r="A695" s="4" t="str">
        <f t="shared" si="1"/>
        <v/>
      </c>
      <c r="B695" s="4"/>
      <c r="C695" s="4"/>
      <c r="E695" s="4"/>
      <c r="F695" s="4"/>
      <c r="G695" s="4"/>
      <c r="H695" s="4"/>
    </row>
    <row r="696">
      <c r="A696" s="4" t="str">
        <f t="shared" si="1"/>
        <v/>
      </c>
      <c r="B696" s="4"/>
      <c r="C696" s="4"/>
      <c r="E696" s="4"/>
      <c r="F696" s="4"/>
      <c r="G696" s="4"/>
      <c r="H696" s="4"/>
    </row>
    <row r="697">
      <c r="A697" s="4" t="str">
        <f t="shared" si="1"/>
        <v/>
      </c>
      <c r="B697" s="4"/>
      <c r="C697" s="4"/>
      <c r="E697" s="4"/>
      <c r="F697" s="4"/>
      <c r="G697" s="4"/>
      <c r="H697" s="4"/>
    </row>
    <row r="698">
      <c r="A698" s="4" t="str">
        <f t="shared" si="1"/>
        <v/>
      </c>
      <c r="B698" s="4"/>
      <c r="C698" s="4"/>
      <c r="E698" s="4"/>
      <c r="F698" s="4"/>
      <c r="G698" s="4"/>
      <c r="H698" s="4"/>
    </row>
    <row r="699">
      <c r="A699" s="4" t="str">
        <f t="shared" si="1"/>
        <v/>
      </c>
      <c r="B699" s="4"/>
      <c r="C699" s="4"/>
      <c r="E699" s="4"/>
      <c r="F699" s="4"/>
      <c r="G699" s="4"/>
      <c r="H699" s="4"/>
    </row>
    <row r="700">
      <c r="A700" s="4" t="str">
        <f t="shared" si="1"/>
        <v/>
      </c>
      <c r="B700" s="4"/>
      <c r="C700" s="4"/>
      <c r="E700" s="4"/>
      <c r="F700" s="4"/>
      <c r="G700" s="4"/>
      <c r="H700" s="4"/>
    </row>
    <row r="701">
      <c r="A701" s="4" t="str">
        <f t="shared" si="1"/>
        <v/>
      </c>
      <c r="B701" s="4"/>
      <c r="C701" s="4"/>
      <c r="E701" s="4"/>
      <c r="F701" s="4"/>
      <c r="G701" s="4"/>
      <c r="H701" s="4"/>
    </row>
    <row r="702">
      <c r="A702" s="4" t="str">
        <f t="shared" si="1"/>
        <v/>
      </c>
      <c r="B702" s="4"/>
      <c r="C702" s="4"/>
      <c r="E702" s="4"/>
      <c r="F702" s="4"/>
      <c r="G702" s="4"/>
      <c r="H702" s="4"/>
    </row>
    <row r="703">
      <c r="A703" s="4" t="str">
        <f t="shared" si="1"/>
        <v/>
      </c>
      <c r="B703" s="4"/>
      <c r="C703" s="4"/>
      <c r="E703" s="4"/>
      <c r="F703" s="4"/>
      <c r="G703" s="4"/>
      <c r="H703" s="4"/>
    </row>
    <row r="704">
      <c r="A704" s="4" t="str">
        <f t="shared" si="1"/>
        <v/>
      </c>
      <c r="B704" s="4"/>
      <c r="C704" s="4"/>
      <c r="E704" s="4"/>
      <c r="F704" s="4"/>
      <c r="G704" s="4"/>
      <c r="H704" s="4"/>
    </row>
    <row r="705">
      <c r="A705" s="4" t="str">
        <f t="shared" si="1"/>
        <v/>
      </c>
      <c r="B705" s="4"/>
      <c r="C705" s="4"/>
      <c r="E705" s="4"/>
      <c r="F705" s="4"/>
      <c r="G705" s="4"/>
      <c r="H705" s="4"/>
    </row>
    <row r="706">
      <c r="A706" s="4" t="str">
        <f t="shared" si="1"/>
        <v/>
      </c>
      <c r="B706" s="4"/>
      <c r="C706" s="4"/>
      <c r="E706" s="4"/>
      <c r="F706" s="4"/>
      <c r="G706" s="4"/>
      <c r="H706" s="4"/>
    </row>
    <row r="707">
      <c r="A707" s="4" t="str">
        <f t="shared" si="1"/>
        <v/>
      </c>
      <c r="B707" s="4"/>
      <c r="C707" s="4"/>
      <c r="E707" s="4"/>
      <c r="F707" s="4"/>
      <c r="G707" s="4"/>
      <c r="H707" s="4"/>
    </row>
    <row r="708">
      <c r="A708" s="4" t="str">
        <f t="shared" si="1"/>
        <v/>
      </c>
      <c r="B708" s="4"/>
      <c r="C708" s="4"/>
      <c r="E708" s="4"/>
      <c r="F708" s="4"/>
      <c r="G708" s="4"/>
      <c r="H708" s="4"/>
    </row>
    <row r="709">
      <c r="A709" s="4" t="str">
        <f t="shared" si="1"/>
        <v/>
      </c>
      <c r="B709" s="4"/>
      <c r="C709" s="4"/>
      <c r="E709" s="4"/>
      <c r="F709" s="4"/>
      <c r="G709" s="4"/>
      <c r="H709" s="4"/>
    </row>
    <row r="710">
      <c r="A710" s="4" t="str">
        <f t="shared" si="1"/>
        <v/>
      </c>
      <c r="B710" s="4"/>
      <c r="C710" s="4"/>
      <c r="E710" s="4"/>
      <c r="F710" s="4"/>
      <c r="G710" s="4"/>
      <c r="H710" s="4"/>
    </row>
    <row r="711">
      <c r="A711" s="4" t="str">
        <f t="shared" si="1"/>
        <v/>
      </c>
      <c r="B711" s="4"/>
      <c r="C711" s="4"/>
      <c r="E711" s="4"/>
      <c r="F711" s="4"/>
      <c r="G711" s="4"/>
      <c r="H711" s="4"/>
    </row>
    <row r="712">
      <c r="A712" s="4" t="str">
        <f t="shared" si="1"/>
        <v/>
      </c>
      <c r="B712" s="4"/>
      <c r="C712" s="4"/>
      <c r="E712" s="4"/>
      <c r="F712" s="4"/>
      <c r="G712" s="4"/>
      <c r="H712" s="4"/>
    </row>
    <row r="713">
      <c r="A713" s="4" t="str">
        <f t="shared" si="1"/>
        <v/>
      </c>
      <c r="B713" s="4"/>
      <c r="C713" s="4"/>
      <c r="E713" s="4"/>
      <c r="F713" s="4"/>
      <c r="G713" s="4"/>
      <c r="H713" s="4"/>
    </row>
    <row r="714">
      <c r="A714" s="4" t="str">
        <f t="shared" si="1"/>
        <v/>
      </c>
      <c r="B714" s="4"/>
      <c r="C714" s="4"/>
      <c r="E714" s="4"/>
      <c r="F714" s="4"/>
      <c r="G714" s="4"/>
      <c r="H714" s="4"/>
    </row>
    <row r="715">
      <c r="A715" s="4" t="str">
        <f t="shared" si="1"/>
        <v/>
      </c>
      <c r="B715" s="4"/>
      <c r="C715" s="4"/>
      <c r="E715" s="4"/>
      <c r="F715" s="4"/>
      <c r="G715" s="4"/>
      <c r="H715" s="4"/>
    </row>
    <row r="716">
      <c r="A716" s="4" t="str">
        <f t="shared" si="1"/>
        <v/>
      </c>
      <c r="B716" s="4"/>
      <c r="C716" s="4"/>
      <c r="E716" s="4"/>
      <c r="F716" s="4"/>
      <c r="G716" s="4"/>
      <c r="H716" s="4"/>
    </row>
    <row r="717">
      <c r="A717" s="4" t="str">
        <f t="shared" si="1"/>
        <v/>
      </c>
      <c r="B717" s="4"/>
      <c r="C717" s="4"/>
      <c r="E717" s="4"/>
      <c r="F717" s="4"/>
      <c r="G717" s="4"/>
      <c r="H717" s="4"/>
    </row>
    <row r="718">
      <c r="A718" s="4" t="str">
        <f t="shared" si="1"/>
        <v/>
      </c>
      <c r="B718" s="4"/>
      <c r="C718" s="4"/>
      <c r="E718" s="4"/>
      <c r="F718" s="4"/>
      <c r="G718" s="4"/>
      <c r="H718" s="4"/>
    </row>
    <row r="719">
      <c r="A719" s="4" t="str">
        <f t="shared" si="1"/>
        <v/>
      </c>
      <c r="B719" s="4"/>
      <c r="C719" s="4"/>
      <c r="E719" s="4"/>
      <c r="F719" s="4"/>
      <c r="G719" s="4"/>
      <c r="H719" s="4"/>
    </row>
    <row r="720">
      <c r="A720" s="4" t="str">
        <f t="shared" si="1"/>
        <v/>
      </c>
      <c r="B720" s="4"/>
      <c r="C720" s="4"/>
      <c r="E720" s="4"/>
      <c r="F720" s="4"/>
      <c r="G720" s="4"/>
      <c r="H720" s="4"/>
    </row>
    <row r="721">
      <c r="A721" s="4" t="str">
        <f t="shared" si="1"/>
        <v/>
      </c>
      <c r="B721" s="4"/>
      <c r="C721" s="4"/>
      <c r="E721" s="4"/>
      <c r="F721" s="4"/>
      <c r="G721" s="4"/>
      <c r="H721" s="4"/>
    </row>
    <row r="722">
      <c r="A722" s="4" t="str">
        <f t="shared" si="1"/>
        <v/>
      </c>
      <c r="B722" s="4"/>
      <c r="C722" s="4"/>
      <c r="E722" s="4"/>
      <c r="F722" s="4"/>
      <c r="G722" s="4"/>
      <c r="H722" s="4"/>
    </row>
    <row r="723">
      <c r="A723" s="4" t="str">
        <f t="shared" si="1"/>
        <v/>
      </c>
      <c r="B723" s="4"/>
      <c r="C723" s="4"/>
      <c r="E723" s="4"/>
      <c r="F723" s="4"/>
      <c r="G723" s="4"/>
      <c r="H723" s="4"/>
    </row>
    <row r="724">
      <c r="A724" s="4" t="str">
        <f t="shared" si="1"/>
        <v/>
      </c>
      <c r="B724" s="4"/>
      <c r="C724" s="4"/>
      <c r="E724" s="4"/>
      <c r="F724" s="4"/>
      <c r="G724" s="4"/>
      <c r="H724" s="4"/>
    </row>
    <row r="725">
      <c r="A725" s="4" t="str">
        <f t="shared" si="1"/>
        <v/>
      </c>
      <c r="B725" s="4"/>
      <c r="C725" s="4"/>
      <c r="E725" s="4"/>
      <c r="F725" s="4"/>
      <c r="G725" s="4"/>
      <c r="H725" s="4"/>
    </row>
    <row r="726">
      <c r="A726" s="4" t="str">
        <f t="shared" si="1"/>
        <v/>
      </c>
      <c r="B726" s="4"/>
      <c r="C726" s="4"/>
      <c r="E726" s="4"/>
      <c r="F726" s="4"/>
      <c r="G726" s="4"/>
      <c r="H726" s="4"/>
    </row>
    <row r="727">
      <c r="A727" s="4" t="str">
        <f t="shared" si="1"/>
        <v/>
      </c>
      <c r="B727" s="4"/>
      <c r="C727" s="4"/>
      <c r="E727" s="4"/>
      <c r="F727" s="4"/>
      <c r="G727" s="4"/>
      <c r="H727" s="4"/>
    </row>
    <row r="728">
      <c r="A728" s="4" t="str">
        <f t="shared" si="1"/>
        <v/>
      </c>
      <c r="B728" s="4"/>
      <c r="C728" s="4"/>
      <c r="E728" s="4"/>
      <c r="F728" s="4"/>
      <c r="G728" s="4"/>
      <c r="H728" s="4"/>
    </row>
    <row r="729">
      <c r="A729" s="4" t="str">
        <f t="shared" si="1"/>
        <v/>
      </c>
      <c r="B729" s="4"/>
      <c r="C729" s="4"/>
      <c r="E729" s="4"/>
      <c r="F729" s="4"/>
      <c r="G729" s="4"/>
      <c r="H729" s="4"/>
    </row>
    <row r="730">
      <c r="A730" s="4" t="str">
        <f t="shared" si="1"/>
        <v/>
      </c>
      <c r="B730" s="4"/>
      <c r="C730" s="4"/>
      <c r="E730" s="4"/>
      <c r="F730" s="4"/>
      <c r="G730" s="4"/>
      <c r="H730" s="4"/>
    </row>
    <row r="731">
      <c r="A731" s="4" t="str">
        <f t="shared" si="1"/>
        <v/>
      </c>
      <c r="B731" s="4"/>
      <c r="C731" s="4"/>
      <c r="E731" s="4"/>
      <c r="F731" s="4"/>
      <c r="G731" s="4"/>
      <c r="H731" s="4"/>
    </row>
    <row r="732">
      <c r="A732" s="4" t="str">
        <f t="shared" si="1"/>
        <v/>
      </c>
      <c r="B732" s="4"/>
      <c r="C732" s="4"/>
      <c r="E732" s="4"/>
      <c r="F732" s="4"/>
      <c r="G732" s="4"/>
      <c r="H732" s="4"/>
    </row>
    <row r="733">
      <c r="A733" s="4" t="str">
        <f t="shared" si="1"/>
        <v/>
      </c>
      <c r="B733" s="4"/>
      <c r="C733" s="4"/>
      <c r="E733" s="4"/>
      <c r="F733" s="4"/>
      <c r="G733" s="4"/>
      <c r="H733" s="4"/>
    </row>
    <row r="734">
      <c r="A734" s="4" t="str">
        <f t="shared" si="1"/>
        <v/>
      </c>
      <c r="B734" s="4"/>
      <c r="C734" s="4"/>
      <c r="E734" s="4"/>
      <c r="F734" s="4"/>
      <c r="G734" s="4"/>
      <c r="H734" s="4"/>
    </row>
    <row r="735">
      <c r="A735" s="4" t="str">
        <f t="shared" si="1"/>
        <v/>
      </c>
      <c r="B735" s="4"/>
      <c r="C735" s="4"/>
      <c r="E735" s="4"/>
      <c r="F735" s="4"/>
      <c r="G735" s="4"/>
      <c r="H735" s="4"/>
    </row>
    <row r="736">
      <c r="A736" s="4" t="str">
        <f t="shared" si="1"/>
        <v/>
      </c>
      <c r="B736" s="4"/>
      <c r="C736" s="4"/>
      <c r="E736" s="4"/>
      <c r="F736" s="4"/>
      <c r="G736" s="4"/>
      <c r="H736" s="4"/>
    </row>
    <row r="737">
      <c r="A737" s="4" t="str">
        <f t="shared" si="1"/>
        <v/>
      </c>
      <c r="B737" s="4"/>
      <c r="C737" s="4"/>
      <c r="E737" s="4"/>
      <c r="F737" s="4"/>
      <c r="G737" s="4"/>
      <c r="H737" s="4"/>
    </row>
    <row r="738">
      <c r="A738" s="4" t="str">
        <f t="shared" si="1"/>
        <v/>
      </c>
      <c r="B738" s="4"/>
      <c r="C738" s="4"/>
      <c r="E738" s="4"/>
      <c r="F738" s="4"/>
      <c r="G738" s="4"/>
      <c r="H738" s="4"/>
    </row>
    <row r="739">
      <c r="A739" s="4" t="str">
        <f t="shared" si="1"/>
        <v/>
      </c>
      <c r="B739" s="4"/>
      <c r="C739" s="4"/>
      <c r="E739" s="4"/>
      <c r="F739" s="4"/>
      <c r="G739" s="4"/>
      <c r="H739" s="4"/>
    </row>
    <row r="740">
      <c r="A740" s="4" t="str">
        <f t="shared" si="1"/>
        <v/>
      </c>
      <c r="B740" s="4"/>
      <c r="C740" s="4"/>
      <c r="E740" s="4"/>
      <c r="F740" s="4"/>
      <c r="G740" s="4"/>
      <c r="H740" s="4"/>
    </row>
    <row r="741">
      <c r="A741" s="4" t="str">
        <f t="shared" si="1"/>
        <v/>
      </c>
      <c r="B741" s="4"/>
      <c r="C741" s="4"/>
      <c r="E741" s="4"/>
      <c r="F741" s="4"/>
      <c r="G741" s="4"/>
      <c r="H741" s="4"/>
    </row>
    <row r="742">
      <c r="A742" s="4" t="str">
        <f t="shared" si="1"/>
        <v/>
      </c>
      <c r="B742" s="4"/>
      <c r="C742" s="4"/>
      <c r="E742" s="4"/>
      <c r="F742" s="4"/>
      <c r="G742" s="4"/>
      <c r="H742" s="4"/>
    </row>
    <row r="743">
      <c r="A743" s="4" t="str">
        <f t="shared" si="1"/>
        <v/>
      </c>
      <c r="B743" s="4"/>
      <c r="C743" s="4"/>
      <c r="E743" s="4"/>
      <c r="F743" s="4"/>
      <c r="G743" s="4"/>
      <c r="H743" s="4"/>
    </row>
    <row r="744">
      <c r="A744" s="4" t="str">
        <f t="shared" si="1"/>
        <v/>
      </c>
      <c r="B744" s="4"/>
      <c r="C744" s="4"/>
      <c r="E744" s="4"/>
      <c r="F744" s="4"/>
      <c r="G744" s="4"/>
      <c r="H744" s="4"/>
    </row>
    <row r="745">
      <c r="A745" s="4" t="str">
        <f t="shared" si="1"/>
        <v/>
      </c>
      <c r="B745" s="4"/>
      <c r="C745" s="4"/>
      <c r="E745" s="4"/>
      <c r="F745" s="4"/>
      <c r="G745" s="4"/>
      <c r="H745" s="4"/>
    </row>
    <row r="746">
      <c r="A746" s="4" t="str">
        <f t="shared" si="1"/>
        <v/>
      </c>
      <c r="B746" s="4"/>
      <c r="C746" s="4"/>
      <c r="E746" s="4"/>
      <c r="F746" s="4"/>
      <c r="G746" s="4"/>
      <c r="H746" s="4"/>
    </row>
    <row r="747">
      <c r="A747" s="4" t="str">
        <f t="shared" si="1"/>
        <v/>
      </c>
      <c r="B747" s="4"/>
      <c r="C747" s="4"/>
      <c r="E747" s="4"/>
      <c r="F747" s="4"/>
      <c r="G747" s="4"/>
      <c r="H747" s="4"/>
    </row>
    <row r="748">
      <c r="A748" s="4" t="str">
        <f t="shared" si="1"/>
        <v/>
      </c>
      <c r="B748" s="4"/>
      <c r="C748" s="4"/>
      <c r="E748" s="4"/>
      <c r="F748" s="4"/>
      <c r="G748" s="4"/>
      <c r="H748" s="4"/>
    </row>
    <row r="749">
      <c r="A749" s="4" t="str">
        <f t="shared" si="1"/>
        <v/>
      </c>
      <c r="B749" s="4"/>
      <c r="C749" s="4"/>
      <c r="E749" s="4"/>
      <c r="F749" s="4"/>
      <c r="G749" s="4"/>
      <c r="H749" s="4"/>
    </row>
    <row r="750">
      <c r="A750" s="4" t="str">
        <f t="shared" si="1"/>
        <v/>
      </c>
      <c r="B750" s="4"/>
      <c r="C750" s="4"/>
      <c r="E750" s="4"/>
      <c r="F750" s="4"/>
      <c r="G750" s="4"/>
      <c r="H750" s="4"/>
    </row>
    <row r="751">
      <c r="A751" s="4" t="str">
        <f t="shared" si="1"/>
        <v/>
      </c>
      <c r="B751" s="4"/>
      <c r="C751" s="4"/>
      <c r="E751" s="4"/>
      <c r="F751" s="4"/>
      <c r="G751" s="4"/>
      <c r="H751" s="4"/>
    </row>
    <row r="752">
      <c r="A752" s="4" t="str">
        <f t="shared" si="1"/>
        <v/>
      </c>
      <c r="B752" s="4"/>
      <c r="C752" s="4"/>
      <c r="E752" s="4"/>
      <c r="F752" s="4"/>
      <c r="G752" s="4"/>
      <c r="H752" s="4"/>
    </row>
    <row r="753">
      <c r="A753" s="4" t="str">
        <f t="shared" si="1"/>
        <v/>
      </c>
      <c r="B753" s="4"/>
      <c r="C753" s="4"/>
      <c r="E753" s="4"/>
      <c r="F753" s="4"/>
      <c r="G753" s="4"/>
      <c r="H753" s="4"/>
    </row>
    <row r="754">
      <c r="A754" s="4" t="str">
        <f t="shared" si="1"/>
        <v/>
      </c>
      <c r="B754" s="4"/>
      <c r="C754" s="4"/>
      <c r="E754" s="4"/>
      <c r="F754" s="4"/>
      <c r="G754" s="4"/>
      <c r="H754" s="4"/>
    </row>
    <row r="755">
      <c r="A755" s="4" t="str">
        <f t="shared" si="1"/>
        <v/>
      </c>
      <c r="B755" s="4"/>
      <c r="C755" s="4"/>
      <c r="E755" s="4"/>
      <c r="F755" s="4"/>
      <c r="G755" s="4"/>
      <c r="H755" s="4"/>
    </row>
    <row r="756">
      <c r="A756" s="4" t="str">
        <f t="shared" si="1"/>
        <v/>
      </c>
      <c r="B756" s="4"/>
      <c r="C756" s="4"/>
      <c r="E756" s="4"/>
      <c r="F756" s="4"/>
      <c r="G756" s="4"/>
      <c r="H756" s="4"/>
    </row>
    <row r="757">
      <c r="A757" s="4" t="str">
        <f t="shared" si="1"/>
        <v/>
      </c>
      <c r="B757" s="4"/>
      <c r="C757" s="4"/>
      <c r="E757" s="4"/>
      <c r="F757" s="4"/>
      <c r="G757" s="4"/>
      <c r="H757" s="4"/>
    </row>
    <row r="758">
      <c r="A758" s="4" t="str">
        <f t="shared" si="1"/>
        <v/>
      </c>
      <c r="B758" s="4"/>
      <c r="C758" s="4"/>
      <c r="E758" s="4"/>
      <c r="F758" s="4"/>
      <c r="G758" s="4"/>
      <c r="H758" s="4"/>
    </row>
    <row r="759">
      <c r="A759" s="4" t="str">
        <f t="shared" si="1"/>
        <v/>
      </c>
      <c r="B759" s="4"/>
      <c r="C759" s="4"/>
      <c r="E759" s="4"/>
      <c r="F759" s="4"/>
      <c r="G759" s="4"/>
      <c r="H759" s="4"/>
    </row>
    <row r="760">
      <c r="A760" s="4" t="str">
        <f t="shared" si="1"/>
        <v/>
      </c>
      <c r="B760" s="4"/>
      <c r="C760" s="4"/>
      <c r="E760" s="4"/>
      <c r="F760" s="4"/>
      <c r="G760" s="4"/>
      <c r="H760" s="4"/>
    </row>
    <row r="761">
      <c r="A761" s="4" t="str">
        <f t="shared" si="1"/>
        <v/>
      </c>
      <c r="B761" s="4"/>
      <c r="C761" s="4"/>
      <c r="E761" s="4"/>
      <c r="F761" s="4"/>
      <c r="G761" s="4"/>
      <c r="H761" s="4"/>
    </row>
    <row r="762">
      <c r="A762" s="4" t="str">
        <f t="shared" si="1"/>
        <v/>
      </c>
      <c r="B762" s="4"/>
      <c r="C762" s="4"/>
      <c r="E762" s="4"/>
      <c r="F762" s="4"/>
      <c r="G762" s="4"/>
      <c r="H762" s="4"/>
    </row>
    <row r="763">
      <c r="A763" s="4" t="str">
        <f t="shared" si="1"/>
        <v/>
      </c>
      <c r="B763" s="4"/>
      <c r="C763" s="4"/>
      <c r="E763" s="4"/>
      <c r="F763" s="4"/>
      <c r="G763" s="4"/>
      <c r="H763" s="4"/>
    </row>
    <row r="764">
      <c r="A764" s="4" t="str">
        <f t="shared" si="1"/>
        <v/>
      </c>
      <c r="B764" s="4"/>
      <c r="C764" s="4"/>
      <c r="E764" s="4"/>
      <c r="F764" s="4"/>
      <c r="G764" s="4"/>
      <c r="H764" s="4"/>
    </row>
    <row r="765">
      <c r="A765" s="4" t="str">
        <f t="shared" si="1"/>
        <v/>
      </c>
      <c r="B765" s="4"/>
      <c r="C765" s="4"/>
      <c r="E765" s="4"/>
      <c r="F765" s="4"/>
      <c r="G765" s="4"/>
      <c r="H765" s="4"/>
    </row>
    <row r="766">
      <c r="A766" s="4" t="str">
        <f t="shared" si="1"/>
        <v/>
      </c>
      <c r="B766" s="4"/>
      <c r="C766" s="4"/>
      <c r="E766" s="4"/>
      <c r="F766" s="4"/>
      <c r="G766" s="4"/>
      <c r="H766" s="4"/>
    </row>
    <row r="767">
      <c r="A767" s="4" t="str">
        <f t="shared" si="1"/>
        <v/>
      </c>
      <c r="B767" s="4"/>
      <c r="C767" s="4"/>
      <c r="E767" s="4"/>
      <c r="F767" s="4"/>
      <c r="G767" s="4"/>
      <c r="H767" s="4"/>
    </row>
    <row r="768">
      <c r="A768" s="4" t="str">
        <f t="shared" si="1"/>
        <v/>
      </c>
      <c r="B768" s="4"/>
      <c r="C768" s="4"/>
      <c r="E768" s="4"/>
      <c r="F768" s="4"/>
      <c r="G768" s="4"/>
      <c r="H768" s="4"/>
    </row>
    <row r="769">
      <c r="A769" s="4" t="str">
        <f t="shared" si="1"/>
        <v/>
      </c>
      <c r="B769" s="4"/>
      <c r="C769" s="4"/>
      <c r="E769" s="4"/>
      <c r="F769" s="4"/>
      <c r="G769" s="4"/>
      <c r="H769" s="4"/>
    </row>
    <row r="770">
      <c r="A770" s="4" t="str">
        <f t="shared" si="1"/>
        <v/>
      </c>
      <c r="B770" s="4"/>
      <c r="C770" s="4"/>
      <c r="E770" s="4"/>
      <c r="F770" s="4"/>
      <c r="G770" s="4"/>
      <c r="H770" s="4"/>
    </row>
    <row r="771">
      <c r="A771" s="4" t="str">
        <f t="shared" si="1"/>
        <v/>
      </c>
      <c r="B771" s="4"/>
      <c r="C771" s="4"/>
      <c r="E771" s="4"/>
      <c r="F771" s="4"/>
      <c r="G771" s="4"/>
      <c r="H771" s="4"/>
    </row>
    <row r="772">
      <c r="A772" s="4" t="str">
        <f t="shared" si="1"/>
        <v/>
      </c>
      <c r="B772" s="4"/>
      <c r="C772" s="4"/>
      <c r="E772" s="4"/>
      <c r="F772" s="4"/>
      <c r="G772" s="4"/>
      <c r="H772" s="4"/>
    </row>
    <row r="773">
      <c r="A773" s="4" t="str">
        <f t="shared" si="1"/>
        <v/>
      </c>
      <c r="B773" s="4"/>
      <c r="C773" s="4"/>
      <c r="E773" s="4"/>
      <c r="F773" s="4"/>
      <c r="G773" s="4"/>
      <c r="H773" s="4"/>
    </row>
    <row r="774">
      <c r="A774" s="4" t="str">
        <f t="shared" si="1"/>
        <v/>
      </c>
      <c r="B774" s="4"/>
      <c r="C774" s="4"/>
      <c r="E774" s="4"/>
      <c r="F774" s="4"/>
      <c r="G774" s="4"/>
      <c r="H774" s="4"/>
    </row>
    <row r="775">
      <c r="A775" s="4" t="str">
        <f t="shared" si="1"/>
        <v/>
      </c>
      <c r="B775" s="4"/>
      <c r="C775" s="4"/>
      <c r="E775" s="4"/>
      <c r="F775" s="4"/>
      <c r="G775" s="4"/>
      <c r="H775" s="4"/>
    </row>
    <row r="776">
      <c r="A776" s="4" t="str">
        <f t="shared" si="1"/>
        <v/>
      </c>
      <c r="B776" s="4"/>
      <c r="C776" s="4"/>
      <c r="E776" s="4"/>
      <c r="F776" s="4"/>
      <c r="G776" s="4"/>
      <c r="H776" s="4"/>
    </row>
    <row r="777">
      <c r="A777" s="4" t="str">
        <f t="shared" si="1"/>
        <v/>
      </c>
      <c r="B777" s="4"/>
      <c r="C777" s="4"/>
      <c r="E777" s="4"/>
      <c r="F777" s="4"/>
      <c r="G777" s="4"/>
      <c r="H777" s="4"/>
    </row>
    <row r="778">
      <c r="A778" s="4" t="str">
        <f t="shared" si="1"/>
        <v/>
      </c>
      <c r="B778" s="4"/>
      <c r="C778" s="4"/>
      <c r="E778" s="4"/>
      <c r="F778" s="4"/>
      <c r="G778" s="4"/>
      <c r="H778" s="4"/>
    </row>
    <row r="779">
      <c r="A779" s="4" t="str">
        <f t="shared" si="1"/>
        <v/>
      </c>
      <c r="B779" s="4"/>
      <c r="C779" s="4"/>
      <c r="E779" s="4"/>
      <c r="F779" s="4"/>
      <c r="G779" s="4"/>
      <c r="H779" s="4"/>
    </row>
    <row r="780">
      <c r="A780" s="4" t="str">
        <f t="shared" si="1"/>
        <v/>
      </c>
      <c r="B780" s="4"/>
      <c r="C780" s="4"/>
      <c r="E780" s="4"/>
      <c r="F780" s="4"/>
      <c r="G780" s="4"/>
      <c r="H780" s="4"/>
    </row>
    <row r="781">
      <c r="A781" s="4" t="str">
        <f t="shared" si="1"/>
        <v/>
      </c>
      <c r="B781" s="4"/>
      <c r="C781" s="4"/>
      <c r="E781" s="4"/>
      <c r="F781" s="4"/>
      <c r="G781" s="4"/>
      <c r="H781" s="4"/>
    </row>
    <row r="782">
      <c r="A782" s="4" t="str">
        <f t="shared" si="1"/>
        <v/>
      </c>
      <c r="B782" s="4"/>
      <c r="C782" s="4"/>
      <c r="E782" s="4"/>
      <c r="F782" s="4"/>
      <c r="G782" s="4"/>
      <c r="H782" s="4"/>
    </row>
    <row r="783">
      <c r="A783" s="4" t="str">
        <f t="shared" si="1"/>
        <v/>
      </c>
      <c r="B783" s="4"/>
      <c r="C783" s="4"/>
      <c r="E783" s="4"/>
      <c r="F783" s="4"/>
      <c r="G783" s="4"/>
      <c r="H783" s="4"/>
    </row>
    <row r="784">
      <c r="A784" s="4" t="str">
        <f t="shared" si="1"/>
        <v/>
      </c>
      <c r="B784" s="4"/>
      <c r="C784" s="4"/>
      <c r="E784" s="4"/>
      <c r="F784" s="4"/>
      <c r="G784" s="4"/>
      <c r="H784" s="4"/>
    </row>
    <row r="785">
      <c r="A785" s="4" t="str">
        <f t="shared" si="1"/>
        <v/>
      </c>
      <c r="B785" s="4"/>
      <c r="C785" s="4"/>
      <c r="E785" s="4"/>
      <c r="F785" s="4"/>
      <c r="G785" s="4"/>
      <c r="H785" s="4"/>
    </row>
    <row r="786">
      <c r="A786" s="4" t="str">
        <f t="shared" si="1"/>
        <v/>
      </c>
      <c r="B786" s="4"/>
      <c r="C786" s="4"/>
      <c r="E786" s="4"/>
      <c r="F786" s="4"/>
      <c r="G786" s="4"/>
      <c r="H786" s="4"/>
    </row>
    <row r="787">
      <c r="A787" s="4" t="str">
        <f t="shared" si="1"/>
        <v/>
      </c>
      <c r="B787" s="4"/>
      <c r="C787" s="4"/>
      <c r="E787" s="4"/>
      <c r="F787" s="4"/>
      <c r="G787" s="4"/>
      <c r="H787" s="4"/>
    </row>
    <row r="788">
      <c r="A788" s="4" t="str">
        <f t="shared" si="1"/>
        <v/>
      </c>
      <c r="B788" s="4"/>
      <c r="C788" s="4"/>
      <c r="E788" s="4"/>
      <c r="F788" s="4"/>
      <c r="G788" s="4"/>
      <c r="H788" s="4"/>
    </row>
    <row r="789">
      <c r="A789" s="4" t="str">
        <f t="shared" si="1"/>
        <v/>
      </c>
      <c r="B789" s="4"/>
      <c r="C789" s="4"/>
      <c r="E789" s="4"/>
      <c r="F789" s="4"/>
      <c r="G789" s="4"/>
      <c r="H789" s="4"/>
    </row>
    <row r="790">
      <c r="A790" s="4" t="str">
        <f t="shared" si="1"/>
        <v/>
      </c>
      <c r="B790" s="4"/>
      <c r="C790" s="4"/>
      <c r="E790" s="4"/>
      <c r="F790" s="4"/>
      <c r="G790" s="4"/>
      <c r="H790" s="4"/>
    </row>
    <row r="791">
      <c r="A791" s="4" t="str">
        <f t="shared" si="1"/>
        <v/>
      </c>
      <c r="B791" s="4"/>
      <c r="C791" s="4"/>
      <c r="E791" s="4"/>
      <c r="F791" s="4"/>
      <c r="G791" s="4"/>
      <c r="H791" s="4"/>
    </row>
    <row r="792">
      <c r="A792" s="4" t="str">
        <f t="shared" si="1"/>
        <v/>
      </c>
      <c r="B792" s="4"/>
      <c r="C792" s="4"/>
      <c r="E792" s="4"/>
      <c r="F792" s="4"/>
      <c r="G792" s="4"/>
      <c r="H792" s="4"/>
    </row>
    <row r="793">
      <c r="A793" s="4" t="str">
        <f t="shared" si="1"/>
        <v/>
      </c>
      <c r="B793" s="4"/>
      <c r="C793" s="4"/>
      <c r="E793" s="4"/>
      <c r="F793" s="4"/>
      <c r="G793" s="4"/>
      <c r="H793" s="4"/>
    </row>
    <row r="794">
      <c r="A794" s="4" t="str">
        <f t="shared" si="1"/>
        <v/>
      </c>
      <c r="B794" s="4"/>
      <c r="C794" s="4"/>
      <c r="E794" s="4"/>
      <c r="F794" s="4"/>
      <c r="G794" s="4"/>
      <c r="H794" s="4"/>
    </row>
    <row r="795">
      <c r="A795" s="4" t="str">
        <f t="shared" si="1"/>
        <v/>
      </c>
      <c r="B795" s="4"/>
      <c r="C795" s="4"/>
      <c r="E795" s="4"/>
      <c r="F795" s="4"/>
      <c r="G795" s="4"/>
      <c r="H795" s="4"/>
    </row>
    <row r="796">
      <c r="A796" s="4" t="str">
        <f t="shared" si="1"/>
        <v/>
      </c>
      <c r="B796" s="4"/>
      <c r="C796" s="4"/>
      <c r="E796" s="4"/>
      <c r="F796" s="4"/>
      <c r="G796" s="4"/>
      <c r="H796" s="4"/>
    </row>
    <row r="797">
      <c r="A797" s="4" t="str">
        <f t="shared" si="1"/>
        <v/>
      </c>
      <c r="B797" s="4"/>
      <c r="C797" s="4"/>
      <c r="E797" s="4"/>
      <c r="F797" s="4"/>
      <c r="G797" s="4"/>
      <c r="H797" s="4"/>
    </row>
    <row r="798">
      <c r="A798" s="4" t="str">
        <f t="shared" si="1"/>
        <v/>
      </c>
      <c r="B798" s="4"/>
      <c r="C798" s="4"/>
      <c r="E798" s="4"/>
      <c r="F798" s="4"/>
      <c r="G798" s="4"/>
      <c r="H798" s="4"/>
    </row>
    <row r="799">
      <c r="A799" s="4" t="str">
        <f t="shared" si="1"/>
        <v/>
      </c>
      <c r="B799" s="4"/>
      <c r="C799" s="4"/>
      <c r="E799" s="4"/>
      <c r="F799" s="4"/>
      <c r="G799" s="4"/>
      <c r="H799" s="4"/>
    </row>
    <row r="800">
      <c r="A800" s="4" t="str">
        <f t="shared" si="1"/>
        <v/>
      </c>
      <c r="B800" s="4"/>
      <c r="C800" s="4"/>
      <c r="E800" s="4"/>
      <c r="F800" s="4"/>
      <c r="G800" s="4"/>
      <c r="H800" s="4"/>
    </row>
    <row r="801">
      <c r="A801" s="4" t="str">
        <f t="shared" si="1"/>
        <v/>
      </c>
      <c r="B801" s="4"/>
      <c r="C801" s="4"/>
      <c r="E801" s="4"/>
      <c r="F801" s="4"/>
      <c r="G801" s="4"/>
      <c r="H801" s="4"/>
    </row>
    <row r="802">
      <c r="A802" s="4" t="str">
        <f t="shared" si="1"/>
        <v/>
      </c>
      <c r="B802" s="4"/>
      <c r="C802" s="4"/>
      <c r="E802" s="4"/>
      <c r="F802" s="4"/>
      <c r="G802" s="4"/>
      <c r="H802" s="4"/>
    </row>
    <row r="803">
      <c r="A803" s="4" t="str">
        <f t="shared" si="1"/>
        <v/>
      </c>
      <c r="B803" s="4"/>
      <c r="C803" s="4"/>
      <c r="E803" s="4"/>
      <c r="F803" s="4"/>
      <c r="G803" s="4"/>
      <c r="H803" s="4"/>
    </row>
    <row r="804">
      <c r="A804" s="4" t="str">
        <f t="shared" si="1"/>
        <v/>
      </c>
      <c r="B804" s="4"/>
      <c r="C804" s="4"/>
      <c r="E804" s="4"/>
      <c r="F804" s="4"/>
      <c r="G804" s="4"/>
      <c r="H804" s="4"/>
    </row>
    <row r="805">
      <c r="A805" s="4" t="str">
        <f t="shared" si="1"/>
        <v/>
      </c>
      <c r="B805" s="4"/>
      <c r="C805" s="4"/>
      <c r="E805" s="4"/>
      <c r="F805" s="4"/>
      <c r="G805" s="4"/>
      <c r="H805" s="4"/>
    </row>
    <row r="806">
      <c r="A806" s="4" t="str">
        <f t="shared" si="1"/>
        <v/>
      </c>
      <c r="B806" s="4"/>
      <c r="C806" s="4"/>
      <c r="E806" s="4"/>
      <c r="F806" s="4"/>
      <c r="G806" s="4"/>
      <c r="H806" s="4"/>
    </row>
    <row r="807">
      <c r="A807" s="4" t="str">
        <f t="shared" si="1"/>
        <v/>
      </c>
      <c r="B807" s="4"/>
      <c r="C807" s="4"/>
      <c r="E807" s="4"/>
      <c r="F807" s="4"/>
      <c r="G807" s="4"/>
      <c r="H807" s="4"/>
    </row>
    <row r="808">
      <c r="A808" s="4" t="str">
        <f t="shared" si="1"/>
        <v/>
      </c>
      <c r="B808" s="4"/>
      <c r="C808" s="4"/>
      <c r="E808" s="4"/>
      <c r="F808" s="4"/>
      <c r="G808" s="4"/>
      <c r="H808" s="4"/>
    </row>
    <row r="809">
      <c r="A809" s="4" t="str">
        <f t="shared" si="1"/>
        <v/>
      </c>
      <c r="B809" s="4"/>
      <c r="C809" s="4"/>
      <c r="E809" s="4"/>
      <c r="F809" s="4"/>
      <c r="G809" s="4"/>
      <c r="H809" s="4"/>
    </row>
    <row r="810">
      <c r="A810" s="4" t="str">
        <f t="shared" si="1"/>
        <v/>
      </c>
      <c r="B810" s="4"/>
      <c r="C810" s="4"/>
      <c r="E810" s="4"/>
      <c r="F810" s="4"/>
      <c r="G810" s="4"/>
      <c r="H810" s="4"/>
    </row>
    <row r="811">
      <c r="A811" s="4" t="str">
        <f t="shared" si="1"/>
        <v/>
      </c>
      <c r="B811" s="4"/>
      <c r="C811" s="4"/>
      <c r="E811" s="4"/>
      <c r="F811" s="4"/>
      <c r="G811" s="4"/>
      <c r="H811" s="4"/>
    </row>
    <row r="812">
      <c r="A812" s="4" t="str">
        <f t="shared" si="1"/>
        <v/>
      </c>
      <c r="B812" s="4"/>
      <c r="C812" s="4"/>
      <c r="E812" s="4"/>
      <c r="F812" s="4"/>
      <c r="G812" s="4"/>
      <c r="H812" s="4"/>
    </row>
    <row r="813">
      <c r="A813" s="4" t="str">
        <f t="shared" si="1"/>
        <v/>
      </c>
      <c r="B813" s="4"/>
      <c r="C813" s="4"/>
      <c r="E813" s="4"/>
      <c r="F813" s="4"/>
      <c r="G813" s="4"/>
      <c r="H813" s="4"/>
    </row>
    <row r="814">
      <c r="A814" s="4" t="str">
        <f t="shared" si="1"/>
        <v/>
      </c>
      <c r="B814" s="4"/>
      <c r="C814" s="4"/>
      <c r="E814" s="4"/>
      <c r="F814" s="4"/>
      <c r="G814" s="4"/>
      <c r="H814" s="4"/>
    </row>
    <row r="815">
      <c r="A815" s="4" t="str">
        <f t="shared" si="1"/>
        <v/>
      </c>
      <c r="B815" s="4"/>
      <c r="C815" s="4"/>
      <c r="E815" s="4"/>
      <c r="F815" s="4"/>
      <c r="G815" s="4"/>
      <c r="H815" s="4"/>
    </row>
    <row r="816">
      <c r="A816" s="4" t="str">
        <f t="shared" si="1"/>
        <v/>
      </c>
      <c r="B816" s="4"/>
      <c r="C816" s="4"/>
      <c r="E816" s="4"/>
      <c r="F816" s="4"/>
      <c r="G816" s="4"/>
      <c r="H816" s="4"/>
    </row>
    <row r="817">
      <c r="A817" s="4" t="str">
        <f t="shared" si="1"/>
        <v/>
      </c>
      <c r="B817" s="4"/>
      <c r="C817" s="4"/>
      <c r="E817" s="4"/>
      <c r="F817" s="4"/>
      <c r="G817" s="4"/>
      <c r="H817" s="4"/>
    </row>
    <row r="818">
      <c r="A818" s="4" t="str">
        <f t="shared" si="1"/>
        <v/>
      </c>
      <c r="B818" s="4"/>
      <c r="C818" s="4"/>
      <c r="E818" s="4"/>
      <c r="F818" s="4"/>
      <c r="G818" s="4"/>
      <c r="H818" s="4"/>
    </row>
    <row r="819">
      <c r="A819" s="4" t="str">
        <f t="shared" si="1"/>
        <v/>
      </c>
      <c r="B819" s="4"/>
      <c r="C819" s="4"/>
      <c r="E819" s="4"/>
      <c r="F819" s="4"/>
      <c r="G819" s="4"/>
      <c r="H819" s="4"/>
    </row>
    <row r="820">
      <c r="A820" s="4" t="str">
        <f t="shared" si="1"/>
        <v/>
      </c>
      <c r="B820" s="4"/>
      <c r="C820" s="4"/>
      <c r="E820" s="4"/>
      <c r="F820" s="4"/>
      <c r="G820" s="4"/>
      <c r="H820" s="4"/>
    </row>
    <row r="821">
      <c r="A821" s="4" t="str">
        <f t="shared" si="1"/>
        <v/>
      </c>
      <c r="B821" s="4"/>
      <c r="C821" s="4"/>
      <c r="E821" s="4"/>
      <c r="F821" s="4"/>
      <c r="G821" s="4"/>
      <c r="H821" s="4"/>
    </row>
    <row r="822">
      <c r="A822" s="4" t="str">
        <f t="shared" si="1"/>
        <v/>
      </c>
      <c r="B822" s="4"/>
      <c r="C822" s="4"/>
      <c r="E822" s="4"/>
      <c r="F822" s="4"/>
      <c r="G822" s="4"/>
      <c r="H822" s="4"/>
    </row>
    <row r="823">
      <c r="A823" s="4" t="str">
        <f t="shared" si="1"/>
        <v/>
      </c>
      <c r="B823" s="4"/>
      <c r="C823" s="4"/>
      <c r="E823" s="4"/>
      <c r="F823" s="4"/>
      <c r="G823" s="4"/>
      <c r="H823" s="4"/>
    </row>
    <row r="824">
      <c r="A824" s="4" t="str">
        <f t="shared" si="1"/>
        <v/>
      </c>
      <c r="B824" s="4"/>
      <c r="C824" s="4"/>
      <c r="E824" s="4"/>
      <c r="F824" s="4"/>
      <c r="G824" s="4"/>
      <c r="H824" s="4"/>
    </row>
    <row r="825">
      <c r="A825" s="4" t="str">
        <f t="shared" si="1"/>
        <v/>
      </c>
      <c r="B825" s="4"/>
      <c r="C825" s="4"/>
      <c r="E825" s="4"/>
      <c r="F825" s="4"/>
      <c r="G825" s="4"/>
      <c r="H825" s="4"/>
    </row>
    <row r="826">
      <c r="A826" s="4" t="str">
        <f t="shared" si="1"/>
        <v/>
      </c>
      <c r="B826" s="4"/>
      <c r="C826" s="4"/>
      <c r="E826" s="4"/>
      <c r="F826" s="4"/>
      <c r="G826" s="4"/>
      <c r="H826" s="4"/>
    </row>
    <row r="827">
      <c r="A827" s="4" t="str">
        <f t="shared" si="1"/>
        <v/>
      </c>
      <c r="B827" s="4"/>
      <c r="C827" s="4"/>
      <c r="E827" s="4"/>
      <c r="F827" s="4"/>
      <c r="G827" s="4"/>
      <c r="H827" s="4"/>
    </row>
    <row r="828">
      <c r="A828" s="4" t="str">
        <f t="shared" si="1"/>
        <v/>
      </c>
      <c r="B828" s="4"/>
      <c r="C828" s="4"/>
      <c r="E828" s="4"/>
      <c r="F828" s="4"/>
      <c r="G828" s="4"/>
      <c r="H828" s="4"/>
    </row>
    <row r="829">
      <c r="A829" s="4" t="str">
        <f t="shared" si="1"/>
        <v/>
      </c>
      <c r="B829" s="4"/>
      <c r="C829" s="4"/>
      <c r="E829" s="4"/>
      <c r="F829" s="4"/>
      <c r="G829" s="4"/>
      <c r="H829" s="4"/>
    </row>
    <row r="830">
      <c r="A830" s="4" t="str">
        <f t="shared" si="1"/>
        <v/>
      </c>
      <c r="B830" s="4"/>
      <c r="C830" s="4"/>
      <c r="E830" s="4"/>
      <c r="F830" s="4"/>
      <c r="G830" s="4"/>
      <c r="H830" s="4"/>
    </row>
    <row r="831">
      <c r="A831" s="4" t="str">
        <f t="shared" si="1"/>
        <v/>
      </c>
      <c r="B831" s="4"/>
      <c r="C831" s="4"/>
      <c r="E831" s="4"/>
      <c r="F831" s="4"/>
      <c r="G831" s="4"/>
      <c r="H831" s="4"/>
    </row>
    <row r="832">
      <c r="A832" s="4" t="str">
        <f t="shared" si="1"/>
        <v/>
      </c>
      <c r="B832" s="4"/>
      <c r="C832" s="4"/>
      <c r="E832" s="4"/>
      <c r="F832" s="4"/>
      <c r="G832" s="4"/>
      <c r="H832" s="4"/>
    </row>
    <row r="833">
      <c r="A833" s="4" t="str">
        <f t="shared" si="1"/>
        <v/>
      </c>
      <c r="B833" s="4"/>
      <c r="C833" s="4"/>
      <c r="E833" s="4"/>
      <c r="F833" s="4"/>
      <c r="G833" s="4"/>
      <c r="H833" s="4"/>
    </row>
    <row r="834">
      <c r="A834" s="4" t="str">
        <f t="shared" si="1"/>
        <v/>
      </c>
      <c r="B834" s="4"/>
      <c r="C834" s="4"/>
      <c r="E834" s="4"/>
      <c r="F834" s="4"/>
      <c r="G834" s="4"/>
      <c r="H834" s="4"/>
    </row>
    <row r="835">
      <c r="A835" s="4" t="str">
        <f t="shared" si="1"/>
        <v/>
      </c>
      <c r="B835" s="4"/>
      <c r="C835" s="4"/>
      <c r="E835" s="4"/>
      <c r="F835" s="4"/>
      <c r="G835" s="4"/>
      <c r="H835" s="4"/>
    </row>
    <row r="836">
      <c r="A836" s="4" t="str">
        <f t="shared" si="1"/>
        <v/>
      </c>
      <c r="B836" s="4"/>
      <c r="C836" s="4"/>
      <c r="E836" s="4"/>
      <c r="F836" s="4"/>
      <c r="G836" s="4"/>
      <c r="H836" s="4"/>
    </row>
    <row r="837">
      <c r="A837" s="4" t="str">
        <f t="shared" si="1"/>
        <v/>
      </c>
      <c r="B837" s="4"/>
      <c r="C837" s="4"/>
      <c r="E837" s="4"/>
      <c r="F837" s="4"/>
      <c r="G837" s="4"/>
      <c r="H837" s="4"/>
    </row>
    <row r="838">
      <c r="A838" s="4" t="str">
        <f t="shared" si="1"/>
        <v/>
      </c>
      <c r="B838" s="4"/>
      <c r="C838" s="4"/>
      <c r="E838" s="4"/>
      <c r="F838" s="4"/>
      <c r="G838" s="4"/>
      <c r="H838" s="4"/>
    </row>
    <row r="839">
      <c r="A839" s="4" t="str">
        <f t="shared" si="1"/>
        <v/>
      </c>
      <c r="B839" s="4"/>
      <c r="C839" s="4"/>
      <c r="E839" s="4"/>
      <c r="F839" s="4"/>
      <c r="G839" s="4"/>
      <c r="H839" s="4"/>
    </row>
    <row r="840">
      <c r="A840" s="4" t="str">
        <f t="shared" si="1"/>
        <v/>
      </c>
      <c r="B840" s="4"/>
      <c r="C840" s="4"/>
      <c r="E840" s="4"/>
      <c r="F840" s="4"/>
      <c r="G840" s="4"/>
      <c r="H840" s="4"/>
    </row>
    <row r="841">
      <c r="A841" s="4" t="str">
        <f t="shared" si="1"/>
        <v/>
      </c>
      <c r="B841" s="4"/>
      <c r="C841" s="4"/>
      <c r="E841" s="4"/>
      <c r="F841" s="4"/>
      <c r="G841" s="4"/>
      <c r="H841" s="4"/>
    </row>
    <row r="842">
      <c r="A842" s="4" t="str">
        <f t="shared" si="1"/>
        <v/>
      </c>
      <c r="B842" s="4"/>
      <c r="C842" s="4"/>
      <c r="E842" s="4"/>
      <c r="F842" s="4"/>
      <c r="G842" s="4"/>
      <c r="H842" s="4"/>
    </row>
    <row r="843">
      <c r="A843" s="4" t="str">
        <f t="shared" si="1"/>
        <v/>
      </c>
      <c r="B843" s="4"/>
      <c r="C843" s="4"/>
      <c r="E843" s="4"/>
      <c r="F843" s="4"/>
      <c r="G843" s="4"/>
      <c r="H843" s="4"/>
    </row>
    <row r="844">
      <c r="A844" s="4" t="str">
        <f t="shared" si="1"/>
        <v/>
      </c>
      <c r="B844" s="4"/>
      <c r="C844" s="4"/>
      <c r="E844" s="4"/>
      <c r="F844" s="4"/>
      <c r="G844" s="4"/>
      <c r="H844" s="4"/>
    </row>
    <row r="845">
      <c r="A845" s="4" t="str">
        <f t="shared" si="1"/>
        <v/>
      </c>
      <c r="B845" s="4"/>
      <c r="C845" s="4"/>
      <c r="E845" s="4"/>
      <c r="F845" s="4"/>
      <c r="G845" s="4"/>
      <c r="H845" s="4"/>
    </row>
    <row r="846">
      <c r="A846" s="4" t="str">
        <f t="shared" si="1"/>
        <v/>
      </c>
      <c r="B846" s="4"/>
      <c r="C846" s="4"/>
      <c r="E846" s="4"/>
      <c r="F846" s="4"/>
      <c r="G846" s="4"/>
      <c r="H846" s="4"/>
    </row>
    <row r="847">
      <c r="A847" s="4" t="str">
        <f t="shared" si="1"/>
        <v/>
      </c>
      <c r="B847" s="4"/>
      <c r="C847" s="4"/>
      <c r="E847" s="4"/>
      <c r="F847" s="4"/>
      <c r="G847" s="4"/>
      <c r="H847" s="4"/>
    </row>
    <row r="848">
      <c r="A848" s="4" t="str">
        <f t="shared" si="1"/>
        <v/>
      </c>
      <c r="B848" s="4"/>
      <c r="C848" s="4"/>
      <c r="E848" s="4"/>
      <c r="F848" s="4"/>
      <c r="G848" s="4"/>
      <c r="H848" s="4"/>
    </row>
    <row r="849">
      <c r="A849" s="4" t="str">
        <f t="shared" si="1"/>
        <v/>
      </c>
      <c r="B849" s="4"/>
      <c r="C849" s="4"/>
      <c r="E849" s="4"/>
      <c r="F849" s="4"/>
      <c r="G849" s="4"/>
      <c r="H849" s="4"/>
    </row>
    <row r="850">
      <c r="A850" s="4" t="str">
        <f t="shared" si="1"/>
        <v/>
      </c>
      <c r="B850" s="4"/>
      <c r="C850" s="4"/>
      <c r="E850" s="4"/>
      <c r="F850" s="4"/>
      <c r="G850" s="4"/>
      <c r="H850" s="4"/>
    </row>
    <row r="851">
      <c r="A851" s="4" t="str">
        <f t="shared" si="1"/>
        <v/>
      </c>
      <c r="B851" s="4"/>
      <c r="C851" s="4"/>
      <c r="E851" s="4"/>
      <c r="F851" s="4"/>
      <c r="G851" s="4"/>
      <c r="H851" s="4"/>
    </row>
    <row r="852">
      <c r="A852" s="4" t="str">
        <f t="shared" si="1"/>
        <v/>
      </c>
      <c r="B852" s="4"/>
      <c r="C852" s="4"/>
      <c r="E852" s="4"/>
      <c r="F852" s="4"/>
      <c r="G852" s="4"/>
      <c r="H852" s="4"/>
    </row>
    <row r="853">
      <c r="A853" s="4" t="str">
        <f t="shared" si="1"/>
        <v/>
      </c>
      <c r="B853" s="4"/>
      <c r="C853" s="4"/>
      <c r="E853" s="4"/>
      <c r="F853" s="4"/>
      <c r="G853" s="4"/>
      <c r="H853" s="4"/>
    </row>
    <row r="854">
      <c r="A854" s="4" t="str">
        <f t="shared" si="1"/>
        <v/>
      </c>
      <c r="B854" s="4"/>
      <c r="C854" s="4"/>
      <c r="E854" s="4"/>
      <c r="F854" s="4"/>
      <c r="G854" s="4"/>
      <c r="H854" s="4"/>
    </row>
    <row r="855">
      <c r="A855" s="4" t="str">
        <f t="shared" si="1"/>
        <v/>
      </c>
      <c r="B855" s="4"/>
      <c r="C855" s="4"/>
      <c r="E855" s="4"/>
      <c r="F855" s="4"/>
      <c r="G855" s="4"/>
      <c r="H855" s="4"/>
    </row>
    <row r="856">
      <c r="A856" s="4" t="str">
        <f t="shared" si="1"/>
        <v/>
      </c>
      <c r="B856" s="4"/>
      <c r="C856" s="4"/>
      <c r="E856" s="4"/>
      <c r="F856" s="4"/>
      <c r="G856" s="4"/>
      <c r="H856" s="4"/>
    </row>
    <row r="857">
      <c r="A857" s="4" t="str">
        <f t="shared" si="1"/>
        <v/>
      </c>
      <c r="B857" s="4"/>
      <c r="C857" s="4"/>
      <c r="E857" s="4"/>
      <c r="F857" s="4"/>
      <c r="G857" s="4"/>
      <c r="H857" s="4"/>
    </row>
    <row r="858">
      <c r="A858" s="4" t="str">
        <f t="shared" si="1"/>
        <v/>
      </c>
      <c r="B858" s="4"/>
      <c r="C858" s="4"/>
      <c r="E858" s="4"/>
      <c r="F858" s="4"/>
      <c r="G858" s="4"/>
      <c r="H858" s="4"/>
    </row>
    <row r="859">
      <c r="A859" s="4" t="str">
        <f t="shared" si="1"/>
        <v/>
      </c>
      <c r="B859" s="4"/>
      <c r="C859" s="4"/>
      <c r="E859" s="4"/>
      <c r="F859" s="4"/>
      <c r="G859" s="4"/>
      <c r="H859" s="4"/>
    </row>
    <row r="860">
      <c r="A860" s="4" t="str">
        <f t="shared" si="1"/>
        <v/>
      </c>
      <c r="B860" s="4"/>
      <c r="C860" s="4"/>
      <c r="E860" s="4"/>
      <c r="F860" s="4"/>
      <c r="G860" s="4"/>
      <c r="H860" s="4"/>
    </row>
    <row r="861">
      <c r="A861" s="4" t="str">
        <f t="shared" si="1"/>
        <v/>
      </c>
      <c r="B861" s="4"/>
      <c r="C861" s="4"/>
      <c r="E861" s="4"/>
      <c r="F861" s="4"/>
      <c r="G861" s="4"/>
      <c r="H861" s="4"/>
    </row>
    <row r="862">
      <c r="A862" s="4" t="str">
        <f t="shared" si="1"/>
        <v/>
      </c>
      <c r="B862" s="4"/>
      <c r="C862" s="4"/>
      <c r="E862" s="4"/>
      <c r="F862" s="4"/>
      <c r="G862" s="4"/>
      <c r="H862" s="4"/>
    </row>
    <row r="863">
      <c r="A863" s="4" t="str">
        <f t="shared" si="1"/>
        <v/>
      </c>
      <c r="B863" s="4"/>
      <c r="C863" s="4"/>
      <c r="E863" s="4"/>
      <c r="F863" s="4"/>
      <c r="G863" s="4"/>
      <c r="H863" s="4"/>
    </row>
    <row r="864">
      <c r="A864" s="4" t="str">
        <f t="shared" si="1"/>
        <v/>
      </c>
      <c r="B864" s="4"/>
      <c r="C864" s="4"/>
      <c r="E864" s="4"/>
      <c r="F864" s="4"/>
      <c r="G864" s="4"/>
      <c r="H864" s="4"/>
    </row>
    <row r="865">
      <c r="A865" s="4" t="str">
        <f t="shared" si="1"/>
        <v/>
      </c>
      <c r="B865" s="4"/>
      <c r="C865" s="4"/>
      <c r="E865" s="4"/>
      <c r="F865" s="4"/>
      <c r="G865" s="4"/>
      <c r="H865" s="4"/>
    </row>
    <row r="866">
      <c r="A866" s="4" t="str">
        <f t="shared" si="1"/>
        <v/>
      </c>
      <c r="B866" s="4"/>
      <c r="C866" s="4"/>
      <c r="E866" s="4"/>
      <c r="F866" s="4"/>
      <c r="G866" s="4"/>
      <c r="H866" s="4"/>
    </row>
    <row r="867">
      <c r="A867" s="4" t="str">
        <f t="shared" si="1"/>
        <v/>
      </c>
      <c r="B867" s="4"/>
      <c r="C867" s="4"/>
      <c r="E867" s="4"/>
      <c r="F867" s="4"/>
      <c r="G867" s="4"/>
      <c r="H867" s="4"/>
    </row>
    <row r="868">
      <c r="A868" s="4" t="str">
        <f t="shared" si="1"/>
        <v/>
      </c>
      <c r="B868" s="4"/>
      <c r="C868" s="4"/>
      <c r="E868" s="4"/>
      <c r="F868" s="4"/>
      <c r="G868" s="4"/>
      <c r="H868" s="4"/>
    </row>
    <row r="869">
      <c r="A869" s="4" t="str">
        <f t="shared" si="1"/>
        <v/>
      </c>
      <c r="B869" s="4"/>
      <c r="C869" s="4"/>
      <c r="E869" s="4"/>
      <c r="F869" s="4"/>
      <c r="G869" s="4"/>
      <c r="H869" s="4"/>
    </row>
    <row r="870">
      <c r="A870" s="4" t="str">
        <f t="shared" si="1"/>
        <v/>
      </c>
      <c r="B870" s="4"/>
      <c r="C870" s="4"/>
      <c r="E870" s="4"/>
      <c r="F870" s="4"/>
      <c r="G870" s="4"/>
      <c r="H870" s="4"/>
    </row>
    <row r="871">
      <c r="A871" s="4" t="str">
        <f t="shared" si="1"/>
        <v/>
      </c>
      <c r="B871" s="4"/>
      <c r="C871" s="4"/>
      <c r="E871" s="4"/>
      <c r="F871" s="4"/>
      <c r="G871" s="4"/>
      <c r="H871" s="4"/>
    </row>
    <row r="872">
      <c r="A872" s="4" t="str">
        <f t="shared" si="1"/>
        <v/>
      </c>
      <c r="B872" s="4"/>
      <c r="C872" s="4"/>
      <c r="E872" s="4"/>
      <c r="F872" s="4"/>
      <c r="G872" s="4"/>
      <c r="H872" s="4"/>
    </row>
    <row r="873">
      <c r="A873" s="4" t="str">
        <f t="shared" si="1"/>
        <v/>
      </c>
      <c r="B873" s="4"/>
      <c r="C873" s="4"/>
      <c r="E873" s="4"/>
      <c r="F873" s="4"/>
      <c r="G873" s="4"/>
      <c r="H873" s="4"/>
    </row>
    <row r="874">
      <c r="A874" s="4" t="str">
        <f t="shared" si="1"/>
        <v/>
      </c>
      <c r="B874" s="4"/>
      <c r="C874" s="4"/>
      <c r="E874" s="4"/>
      <c r="F874" s="4"/>
      <c r="G874" s="4"/>
      <c r="H874" s="4"/>
    </row>
    <row r="875">
      <c r="A875" s="4" t="str">
        <f t="shared" si="1"/>
        <v/>
      </c>
      <c r="B875" s="4"/>
      <c r="C875" s="4"/>
      <c r="E875" s="4"/>
      <c r="F875" s="4"/>
      <c r="G875" s="4"/>
      <c r="H875" s="4"/>
    </row>
    <row r="876">
      <c r="A876" s="4" t="str">
        <f t="shared" si="1"/>
        <v/>
      </c>
      <c r="B876" s="4"/>
      <c r="C876" s="4"/>
      <c r="E876" s="4"/>
      <c r="F876" s="4"/>
      <c r="G876" s="4"/>
      <c r="H876" s="4"/>
    </row>
    <row r="877">
      <c r="A877" s="4" t="str">
        <f t="shared" si="1"/>
        <v/>
      </c>
      <c r="B877" s="4"/>
      <c r="C877" s="4"/>
      <c r="E877" s="4"/>
      <c r="F877" s="4"/>
      <c r="G877" s="4"/>
      <c r="H877" s="4"/>
    </row>
    <row r="878">
      <c r="A878" s="4" t="str">
        <f t="shared" si="1"/>
        <v/>
      </c>
      <c r="B878" s="4"/>
      <c r="C878" s="4"/>
      <c r="E878" s="4"/>
      <c r="F878" s="4"/>
      <c r="G878" s="4"/>
      <c r="H878" s="4"/>
    </row>
    <row r="879">
      <c r="A879" s="4" t="str">
        <f t="shared" si="1"/>
        <v/>
      </c>
      <c r="B879" s="4"/>
      <c r="C879" s="4"/>
      <c r="E879" s="4"/>
      <c r="F879" s="4"/>
      <c r="G879" s="4"/>
      <c r="H879" s="4"/>
    </row>
    <row r="880">
      <c r="A880" s="4" t="str">
        <f t="shared" si="1"/>
        <v/>
      </c>
      <c r="B880" s="4"/>
      <c r="C880" s="4"/>
      <c r="E880" s="4"/>
      <c r="F880" s="4"/>
      <c r="G880" s="4"/>
      <c r="H880" s="4"/>
    </row>
    <row r="881">
      <c r="A881" s="4" t="str">
        <f t="shared" si="1"/>
        <v/>
      </c>
      <c r="B881" s="4"/>
      <c r="C881" s="4"/>
      <c r="E881" s="4"/>
      <c r="F881" s="4"/>
      <c r="G881" s="4"/>
      <c r="H881" s="4"/>
    </row>
    <row r="882">
      <c r="A882" s="4" t="str">
        <f t="shared" si="1"/>
        <v/>
      </c>
      <c r="B882" s="4"/>
      <c r="C882" s="4"/>
      <c r="E882" s="4"/>
      <c r="F882" s="4"/>
      <c r="G882" s="4"/>
      <c r="H882" s="4"/>
    </row>
    <row r="883">
      <c r="A883" s="4" t="str">
        <f t="shared" si="1"/>
        <v/>
      </c>
      <c r="B883" s="4"/>
      <c r="C883" s="4"/>
      <c r="E883" s="4"/>
      <c r="F883" s="4"/>
      <c r="G883" s="4"/>
      <c r="H883" s="4"/>
    </row>
    <row r="884">
      <c r="A884" s="4" t="str">
        <f t="shared" si="1"/>
        <v/>
      </c>
      <c r="B884" s="4"/>
      <c r="C884" s="4"/>
      <c r="E884" s="4"/>
      <c r="F884" s="4"/>
      <c r="G884" s="4"/>
      <c r="H884" s="4"/>
    </row>
    <row r="885">
      <c r="A885" s="4" t="str">
        <f t="shared" si="1"/>
        <v/>
      </c>
      <c r="B885" s="4"/>
      <c r="C885" s="4"/>
      <c r="E885" s="4"/>
      <c r="F885" s="4"/>
      <c r="G885" s="4"/>
      <c r="H885" s="4"/>
    </row>
    <row r="886">
      <c r="A886" s="4" t="str">
        <f t="shared" si="1"/>
        <v/>
      </c>
      <c r="B886" s="4"/>
      <c r="C886" s="4"/>
      <c r="E886" s="4"/>
      <c r="F886" s="4"/>
      <c r="G886" s="4"/>
      <c r="H886" s="4"/>
    </row>
    <row r="887">
      <c r="A887" s="4" t="str">
        <f t="shared" si="1"/>
        <v/>
      </c>
      <c r="B887" s="4"/>
      <c r="C887" s="4"/>
      <c r="E887" s="4"/>
      <c r="F887" s="4"/>
      <c r="G887" s="4"/>
      <c r="H887" s="4"/>
    </row>
    <row r="888">
      <c r="A888" s="4" t="str">
        <f t="shared" si="1"/>
        <v/>
      </c>
      <c r="B888" s="4"/>
      <c r="C888" s="4"/>
      <c r="E888" s="4"/>
      <c r="F888" s="4"/>
      <c r="G888" s="4"/>
      <c r="H888" s="4"/>
    </row>
    <row r="889">
      <c r="A889" s="4" t="str">
        <f t="shared" si="1"/>
        <v/>
      </c>
      <c r="B889" s="4"/>
      <c r="C889" s="4"/>
      <c r="E889" s="4"/>
      <c r="F889" s="4"/>
      <c r="G889" s="4"/>
      <c r="H889" s="4"/>
    </row>
    <row r="890">
      <c r="A890" s="4" t="str">
        <f t="shared" si="1"/>
        <v/>
      </c>
      <c r="B890" s="4"/>
      <c r="C890" s="4"/>
      <c r="E890" s="4"/>
      <c r="F890" s="4"/>
      <c r="G890" s="4"/>
      <c r="H890" s="4"/>
    </row>
    <row r="891">
      <c r="A891" s="4" t="str">
        <f t="shared" si="1"/>
        <v/>
      </c>
      <c r="B891" s="4"/>
      <c r="C891" s="4"/>
      <c r="E891" s="4"/>
      <c r="F891" s="4"/>
      <c r="G891" s="4"/>
      <c r="H891" s="4"/>
    </row>
    <row r="892">
      <c r="A892" s="4" t="str">
        <f t="shared" si="1"/>
        <v/>
      </c>
      <c r="B892" s="4"/>
      <c r="C892" s="4"/>
      <c r="E892" s="4"/>
      <c r="F892" s="4"/>
      <c r="G892" s="4"/>
      <c r="H892" s="4"/>
    </row>
    <row r="893">
      <c r="A893" s="4" t="str">
        <f t="shared" si="1"/>
        <v/>
      </c>
      <c r="B893" s="4"/>
      <c r="C893" s="4"/>
      <c r="E893" s="4"/>
      <c r="F893" s="4"/>
      <c r="G893" s="4"/>
      <c r="H893" s="4"/>
    </row>
    <row r="894">
      <c r="A894" s="4" t="str">
        <f t="shared" si="1"/>
        <v/>
      </c>
      <c r="B894" s="4"/>
      <c r="C894" s="4"/>
      <c r="E894" s="4"/>
      <c r="F894" s="4"/>
      <c r="G894" s="4"/>
      <c r="H894" s="4"/>
    </row>
    <row r="895">
      <c r="A895" s="4" t="str">
        <f t="shared" si="1"/>
        <v/>
      </c>
      <c r="B895" s="4"/>
      <c r="C895" s="4"/>
      <c r="E895" s="4"/>
      <c r="F895" s="4"/>
      <c r="G895" s="4"/>
      <c r="H895" s="4"/>
    </row>
    <row r="896">
      <c r="A896" s="4" t="str">
        <f t="shared" si="1"/>
        <v/>
      </c>
      <c r="B896" s="4"/>
      <c r="C896" s="4"/>
      <c r="E896" s="4"/>
      <c r="F896" s="4"/>
      <c r="G896" s="4"/>
      <c r="H896" s="4"/>
    </row>
    <row r="897">
      <c r="A897" s="4" t="str">
        <f t="shared" si="1"/>
        <v/>
      </c>
      <c r="B897" s="4"/>
      <c r="C897" s="4"/>
      <c r="E897" s="4"/>
      <c r="F897" s="4"/>
      <c r="G897" s="4"/>
      <c r="H897" s="4"/>
    </row>
    <row r="898">
      <c r="A898" s="4" t="str">
        <f t="shared" si="1"/>
        <v/>
      </c>
      <c r="B898" s="4"/>
      <c r="C898" s="4"/>
      <c r="E898" s="4"/>
      <c r="F898" s="4"/>
      <c r="G898" s="4"/>
      <c r="H898" s="4"/>
    </row>
    <row r="899">
      <c r="A899" s="4" t="str">
        <f t="shared" si="1"/>
        <v/>
      </c>
      <c r="B899" s="4"/>
      <c r="C899" s="4"/>
      <c r="E899" s="4"/>
      <c r="F899" s="4"/>
      <c r="G899" s="4"/>
      <c r="H899" s="4"/>
    </row>
    <row r="900">
      <c r="A900" s="4" t="str">
        <f t="shared" si="1"/>
        <v/>
      </c>
      <c r="B900" s="4"/>
      <c r="C900" s="4"/>
      <c r="E900" s="4"/>
      <c r="F900" s="4"/>
      <c r="G900" s="4"/>
      <c r="H900" s="4"/>
    </row>
    <row r="901">
      <c r="A901" s="4" t="str">
        <f t="shared" si="1"/>
        <v/>
      </c>
      <c r="B901" s="4"/>
      <c r="C901" s="4"/>
      <c r="E901" s="4"/>
      <c r="F901" s="4"/>
      <c r="G901" s="4"/>
      <c r="H901" s="4"/>
    </row>
    <row r="902">
      <c r="A902" s="4" t="str">
        <f t="shared" si="1"/>
        <v/>
      </c>
      <c r="B902" s="4"/>
      <c r="C902" s="4"/>
      <c r="E902" s="4"/>
      <c r="F902" s="4"/>
      <c r="G902" s="4"/>
      <c r="H902" s="4"/>
    </row>
    <row r="903">
      <c r="A903" s="4" t="str">
        <f t="shared" si="1"/>
        <v/>
      </c>
      <c r="B903" s="4"/>
      <c r="C903" s="4"/>
      <c r="E903" s="4"/>
      <c r="F903" s="4"/>
      <c r="G903" s="4"/>
      <c r="H903" s="4"/>
    </row>
    <row r="904">
      <c r="A904" s="4" t="str">
        <f t="shared" si="1"/>
        <v/>
      </c>
      <c r="B904" s="4"/>
      <c r="C904" s="4"/>
      <c r="E904" s="4"/>
      <c r="F904" s="4"/>
      <c r="G904" s="4"/>
      <c r="H904" s="4"/>
    </row>
    <row r="905">
      <c r="A905" s="4" t="str">
        <f t="shared" si="1"/>
        <v/>
      </c>
      <c r="B905" s="4"/>
      <c r="C905" s="4"/>
      <c r="E905" s="4"/>
      <c r="F905" s="4"/>
      <c r="G905" s="4"/>
      <c r="H905" s="4"/>
    </row>
    <row r="906">
      <c r="A906" s="4" t="str">
        <f t="shared" si="1"/>
        <v/>
      </c>
      <c r="B906" s="4"/>
      <c r="C906" s="4"/>
      <c r="E906" s="4"/>
      <c r="F906" s="4"/>
      <c r="G906" s="4"/>
      <c r="H906" s="4"/>
    </row>
    <row r="907">
      <c r="A907" s="4" t="str">
        <f t="shared" si="1"/>
        <v/>
      </c>
      <c r="B907" s="4"/>
      <c r="C907" s="4"/>
      <c r="E907" s="4"/>
      <c r="F907" s="4"/>
      <c r="G907" s="4"/>
      <c r="H907" s="4"/>
    </row>
    <row r="908">
      <c r="A908" s="4" t="str">
        <f t="shared" si="1"/>
        <v/>
      </c>
      <c r="B908" s="4"/>
      <c r="C908" s="4"/>
      <c r="E908" s="4"/>
      <c r="F908" s="4"/>
      <c r="G908" s="4"/>
      <c r="H908" s="4"/>
    </row>
    <row r="909">
      <c r="A909" s="4" t="str">
        <f t="shared" si="1"/>
        <v/>
      </c>
      <c r="B909" s="4"/>
      <c r="C909" s="4"/>
      <c r="E909" s="4"/>
      <c r="F909" s="4"/>
      <c r="G909" s="4"/>
      <c r="H909" s="4"/>
    </row>
    <row r="910">
      <c r="A910" s="4" t="str">
        <f t="shared" si="1"/>
        <v/>
      </c>
      <c r="B910" s="4"/>
      <c r="C910" s="4"/>
      <c r="E910" s="4"/>
      <c r="F910" s="4"/>
      <c r="G910" s="4"/>
      <c r="H910" s="4"/>
    </row>
    <row r="911">
      <c r="A911" s="4" t="str">
        <f t="shared" si="1"/>
        <v/>
      </c>
      <c r="B911" s="4"/>
      <c r="C911" s="4"/>
      <c r="E911" s="4"/>
      <c r="F911" s="4"/>
      <c r="G911" s="4"/>
      <c r="H911" s="4"/>
    </row>
    <row r="912">
      <c r="A912" s="4" t="str">
        <f t="shared" si="1"/>
        <v/>
      </c>
      <c r="B912" s="4"/>
      <c r="C912" s="4"/>
      <c r="E912" s="4"/>
      <c r="F912" s="4"/>
      <c r="G912" s="4"/>
      <c r="H912" s="4"/>
    </row>
    <row r="913">
      <c r="A913" s="4" t="str">
        <f t="shared" si="1"/>
        <v/>
      </c>
      <c r="B913" s="4"/>
      <c r="C913" s="4"/>
      <c r="E913" s="4"/>
      <c r="F913" s="4"/>
      <c r="G913" s="4"/>
      <c r="H913" s="4"/>
    </row>
    <row r="914">
      <c r="A914" s="4" t="str">
        <f t="shared" si="1"/>
        <v/>
      </c>
      <c r="B914" s="4"/>
      <c r="C914" s="4"/>
      <c r="E914" s="4"/>
      <c r="F914" s="4"/>
      <c r="G914" s="4"/>
      <c r="H914" s="4"/>
    </row>
    <row r="915">
      <c r="A915" s="4" t="str">
        <f t="shared" si="1"/>
        <v/>
      </c>
      <c r="B915" s="4"/>
      <c r="C915" s="4"/>
      <c r="E915" s="4"/>
      <c r="F915" s="4"/>
      <c r="G915" s="4"/>
      <c r="H915" s="4"/>
    </row>
    <row r="916">
      <c r="A916" s="4" t="str">
        <f t="shared" si="1"/>
        <v/>
      </c>
      <c r="B916" s="4"/>
      <c r="C916" s="4"/>
      <c r="E916" s="4"/>
      <c r="F916" s="4"/>
      <c r="G916" s="4"/>
      <c r="H916" s="4"/>
    </row>
    <row r="917">
      <c r="A917" s="4" t="str">
        <f t="shared" si="1"/>
        <v/>
      </c>
      <c r="B917" s="4"/>
      <c r="C917" s="4"/>
      <c r="E917" s="4"/>
      <c r="F917" s="4"/>
      <c r="G917" s="4"/>
      <c r="H917" s="4"/>
    </row>
    <row r="918">
      <c r="A918" s="4" t="str">
        <f t="shared" si="1"/>
        <v/>
      </c>
      <c r="B918" s="4"/>
      <c r="C918" s="4"/>
      <c r="E918" s="4"/>
      <c r="F918" s="4"/>
      <c r="G918" s="4"/>
      <c r="H918" s="4"/>
    </row>
    <row r="919">
      <c r="A919" s="4" t="str">
        <f t="shared" si="1"/>
        <v/>
      </c>
      <c r="B919" s="4"/>
      <c r="C919" s="4"/>
      <c r="E919" s="4"/>
      <c r="F919" s="4"/>
      <c r="G919" s="4"/>
      <c r="H919" s="4"/>
    </row>
    <row r="920">
      <c r="A920" s="4" t="str">
        <f t="shared" si="1"/>
        <v/>
      </c>
      <c r="B920" s="4"/>
      <c r="C920" s="4"/>
      <c r="E920" s="4"/>
      <c r="F920" s="4"/>
      <c r="G920" s="4"/>
      <c r="H920" s="4"/>
    </row>
    <row r="921">
      <c r="A921" s="4" t="str">
        <f t="shared" si="1"/>
        <v/>
      </c>
      <c r="B921" s="4"/>
      <c r="C921" s="4"/>
      <c r="E921" s="4"/>
      <c r="F921" s="4"/>
      <c r="G921" s="4"/>
      <c r="H921" s="4"/>
    </row>
    <row r="922">
      <c r="A922" s="4" t="str">
        <f t="shared" si="1"/>
        <v/>
      </c>
      <c r="B922" s="4"/>
      <c r="C922" s="4"/>
      <c r="E922" s="4"/>
      <c r="F922" s="4"/>
      <c r="G922" s="4"/>
      <c r="H922" s="4"/>
    </row>
    <row r="923">
      <c r="A923" s="4" t="str">
        <f t="shared" si="1"/>
        <v/>
      </c>
      <c r="B923" s="4"/>
      <c r="C923" s="4"/>
      <c r="E923" s="4"/>
      <c r="F923" s="4"/>
      <c r="G923" s="4"/>
      <c r="H923" s="4"/>
    </row>
    <row r="924">
      <c r="A924" s="4" t="str">
        <f t="shared" si="1"/>
        <v/>
      </c>
      <c r="B924" s="4"/>
      <c r="C924" s="4"/>
      <c r="E924" s="4"/>
      <c r="F924" s="4"/>
      <c r="G924" s="4"/>
      <c r="H924" s="4"/>
    </row>
    <row r="925">
      <c r="A925" s="4" t="str">
        <f t="shared" si="1"/>
        <v/>
      </c>
      <c r="B925" s="4"/>
      <c r="C925" s="4"/>
      <c r="E925" s="4"/>
      <c r="F925" s="4"/>
      <c r="G925" s="4"/>
      <c r="H925" s="4"/>
    </row>
    <row r="926">
      <c r="A926" s="4" t="str">
        <f t="shared" si="1"/>
        <v/>
      </c>
      <c r="B926" s="4"/>
      <c r="C926" s="4"/>
      <c r="E926" s="4"/>
      <c r="F926" s="4"/>
      <c r="G926" s="4"/>
      <c r="H926" s="4"/>
    </row>
    <row r="927">
      <c r="A927" s="4" t="str">
        <f t="shared" si="1"/>
        <v/>
      </c>
      <c r="B927" s="4"/>
      <c r="C927" s="4"/>
      <c r="E927" s="4"/>
      <c r="F927" s="4"/>
      <c r="G927" s="4"/>
      <c r="H927" s="4"/>
    </row>
    <row r="928">
      <c r="A928" s="4" t="str">
        <f t="shared" si="1"/>
        <v/>
      </c>
      <c r="B928" s="4"/>
      <c r="C928" s="4"/>
      <c r="E928" s="4"/>
      <c r="F928" s="4"/>
      <c r="G928" s="4"/>
      <c r="H928" s="4"/>
    </row>
    <row r="929">
      <c r="A929" s="4" t="str">
        <f t="shared" si="1"/>
        <v/>
      </c>
      <c r="B929" s="4"/>
      <c r="C929" s="4"/>
      <c r="E929" s="4"/>
      <c r="F929" s="4"/>
      <c r="G929" s="4"/>
      <c r="H929" s="4"/>
    </row>
    <row r="930">
      <c r="A930" s="4" t="str">
        <f t="shared" si="1"/>
        <v/>
      </c>
      <c r="B930" s="4"/>
      <c r="C930" s="4"/>
      <c r="E930" s="4"/>
      <c r="F930" s="4"/>
      <c r="G930" s="4"/>
      <c r="H930" s="4"/>
    </row>
    <row r="931">
      <c r="A931" s="4" t="str">
        <f t="shared" si="1"/>
        <v/>
      </c>
      <c r="B931" s="4"/>
      <c r="C931" s="4"/>
      <c r="E931" s="4"/>
      <c r="F931" s="4"/>
      <c r="G931" s="4"/>
      <c r="H931" s="4"/>
    </row>
    <row r="932">
      <c r="A932" s="4" t="str">
        <f t="shared" si="1"/>
        <v/>
      </c>
      <c r="B932" s="4"/>
      <c r="C932" s="4"/>
      <c r="E932" s="4"/>
      <c r="F932" s="4"/>
      <c r="G932" s="4"/>
      <c r="H932" s="4"/>
    </row>
    <row r="933">
      <c r="A933" s="4" t="str">
        <f t="shared" si="1"/>
        <v/>
      </c>
      <c r="B933" s="4"/>
      <c r="C933" s="4"/>
      <c r="E933" s="4"/>
      <c r="F933" s="4"/>
      <c r="G933" s="4"/>
      <c r="H933" s="4"/>
    </row>
    <row r="934">
      <c r="A934" s="4" t="str">
        <f t="shared" si="1"/>
        <v/>
      </c>
      <c r="B934" s="4"/>
      <c r="C934" s="4"/>
      <c r="E934" s="4"/>
      <c r="F934" s="4"/>
      <c r="G934" s="4"/>
      <c r="H934" s="4"/>
    </row>
    <row r="935">
      <c r="A935" s="4" t="str">
        <f t="shared" si="1"/>
        <v/>
      </c>
      <c r="B935" s="4"/>
      <c r="C935" s="4"/>
      <c r="E935" s="4"/>
      <c r="F935" s="4"/>
      <c r="G935" s="4"/>
      <c r="H935" s="4"/>
    </row>
    <row r="936">
      <c r="A936" s="4" t="str">
        <f t="shared" si="1"/>
        <v/>
      </c>
      <c r="B936" s="4"/>
      <c r="C936" s="4"/>
      <c r="E936" s="4"/>
      <c r="F936" s="4"/>
      <c r="G936" s="4"/>
      <c r="H936" s="4"/>
    </row>
    <row r="937">
      <c r="A937" s="4" t="str">
        <f t="shared" si="1"/>
        <v/>
      </c>
      <c r="B937" s="4"/>
      <c r="C937" s="4"/>
      <c r="E937" s="4"/>
      <c r="F937" s="4"/>
      <c r="G937" s="4"/>
      <c r="H937" s="4"/>
    </row>
    <row r="938">
      <c r="A938" s="4" t="str">
        <f t="shared" si="1"/>
        <v/>
      </c>
      <c r="B938" s="4"/>
      <c r="C938" s="4"/>
      <c r="E938" s="4"/>
      <c r="F938" s="4"/>
      <c r="G938" s="4"/>
      <c r="H938" s="4"/>
    </row>
    <row r="939">
      <c r="A939" s="4" t="str">
        <f t="shared" si="1"/>
        <v/>
      </c>
      <c r="B939" s="4"/>
      <c r="C939" s="4"/>
      <c r="E939" s="4"/>
      <c r="F939" s="4"/>
      <c r="G939" s="4"/>
      <c r="H939" s="4"/>
    </row>
    <row r="940">
      <c r="A940" s="4" t="str">
        <f t="shared" si="1"/>
        <v/>
      </c>
      <c r="B940" s="4"/>
      <c r="C940" s="4"/>
      <c r="E940" s="4"/>
      <c r="F940" s="4"/>
      <c r="G940" s="4"/>
      <c r="H940" s="4"/>
    </row>
    <row r="941">
      <c r="A941" s="4" t="str">
        <f t="shared" si="1"/>
        <v/>
      </c>
      <c r="B941" s="4"/>
      <c r="C941" s="4"/>
      <c r="E941" s="4"/>
      <c r="F941" s="4"/>
      <c r="G941" s="4"/>
      <c r="H941" s="4"/>
    </row>
    <row r="942">
      <c r="A942" s="4" t="str">
        <f t="shared" si="1"/>
        <v/>
      </c>
      <c r="B942" s="4"/>
      <c r="C942" s="4"/>
      <c r="E942" s="4"/>
      <c r="F942" s="4"/>
      <c r="G942" s="4"/>
      <c r="H942" s="4"/>
    </row>
    <row r="943">
      <c r="A943" s="4" t="str">
        <f t="shared" si="1"/>
        <v/>
      </c>
      <c r="B943" s="4"/>
      <c r="C943" s="4"/>
      <c r="E943" s="4"/>
      <c r="F943" s="4"/>
      <c r="G943" s="4"/>
      <c r="H943" s="4"/>
    </row>
    <row r="944">
      <c r="A944" s="4" t="str">
        <f t="shared" si="1"/>
        <v/>
      </c>
      <c r="B944" s="4"/>
      <c r="C944" s="4"/>
      <c r="E944" s="4"/>
      <c r="F944" s="4"/>
      <c r="G944" s="4"/>
      <c r="H944" s="4"/>
    </row>
    <row r="945">
      <c r="A945" s="4" t="str">
        <f t="shared" si="1"/>
        <v/>
      </c>
      <c r="B945" s="4"/>
      <c r="C945" s="4"/>
      <c r="E945" s="4"/>
      <c r="F945" s="4"/>
      <c r="G945" s="4"/>
      <c r="H945" s="4"/>
    </row>
    <row r="946">
      <c r="A946" s="4" t="str">
        <f t="shared" si="1"/>
        <v/>
      </c>
      <c r="B946" s="4"/>
      <c r="C946" s="4"/>
      <c r="E946" s="4"/>
      <c r="F946" s="4"/>
      <c r="G946" s="4"/>
      <c r="H946" s="4"/>
    </row>
    <row r="947">
      <c r="A947" s="4" t="str">
        <f t="shared" si="1"/>
        <v/>
      </c>
      <c r="B947" s="4"/>
      <c r="C947" s="4"/>
      <c r="E947" s="4"/>
      <c r="F947" s="4"/>
      <c r="G947" s="4"/>
      <c r="H947" s="4"/>
    </row>
    <row r="948">
      <c r="A948" s="4" t="str">
        <f t="shared" si="1"/>
        <v/>
      </c>
      <c r="B948" s="4"/>
      <c r="C948" s="4"/>
      <c r="E948" s="4"/>
      <c r="F948" s="4"/>
      <c r="G948" s="4"/>
      <c r="H948" s="4"/>
    </row>
    <row r="949">
      <c r="A949" s="4" t="str">
        <f t="shared" si="1"/>
        <v/>
      </c>
      <c r="B949" s="4"/>
      <c r="C949" s="4"/>
      <c r="E949" s="4"/>
      <c r="F949" s="4"/>
      <c r="G949" s="4"/>
      <c r="H949" s="4"/>
    </row>
    <row r="950">
      <c r="A950" s="4" t="str">
        <f t="shared" si="1"/>
        <v/>
      </c>
      <c r="B950" s="4"/>
      <c r="C950" s="4"/>
      <c r="E950" s="4"/>
      <c r="F950" s="4"/>
      <c r="G950" s="4"/>
      <c r="H950" s="4"/>
    </row>
    <row r="951">
      <c r="A951" s="4" t="str">
        <f t="shared" si="1"/>
        <v/>
      </c>
      <c r="B951" s="4"/>
      <c r="C951" s="4"/>
      <c r="E951" s="4"/>
      <c r="F951" s="4"/>
      <c r="G951" s="4"/>
      <c r="H951" s="4"/>
    </row>
    <row r="952">
      <c r="A952" s="4" t="str">
        <f t="shared" si="1"/>
        <v/>
      </c>
      <c r="B952" s="4"/>
      <c r="C952" s="4"/>
      <c r="E952" s="4"/>
      <c r="F952" s="4"/>
      <c r="G952" s="4"/>
      <c r="H952" s="4"/>
    </row>
    <row r="953">
      <c r="A953" s="4" t="str">
        <f t="shared" si="1"/>
        <v/>
      </c>
      <c r="B953" s="4"/>
      <c r="C953" s="4"/>
      <c r="E953" s="4"/>
      <c r="F953" s="4"/>
      <c r="G953" s="4"/>
      <c r="H953" s="4"/>
    </row>
    <row r="954">
      <c r="A954" s="4" t="str">
        <f t="shared" si="1"/>
        <v/>
      </c>
      <c r="B954" s="4"/>
      <c r="C954" s="4"/>
      <c r="E954" s="4"/>
      <c r="F954" s="4"/>
      <c r="G954" s="4"/>
      <c r="H954" s="4"/>
    </row>
    <row r="955">
      <c r="A955" s="4" t="str">
        <f t="shared" si="1"/>
        <v/>
      </c>
      <c r="B955" s="4"/>
      <c r="C955" s="4"/>
      <c r="E955" s="4"/>
      <c r="F955" s="4"/>
      <c r="G955" s="4"/>
      <c r="H955" s="4"/>
    </row>
    <row r="956">
      <c r="A956" s="4" t="str">
        <f t="shared" si="1"/>
        <v/>
      </c>
      <c r="B956" s="4"/>
      <c r="C956" s="4"/>
      <c r="E956" s="4"/>
      <c r="F956" s="4"/>
      <c r="G956" s="4"/>
      <c r="H956" s="4"/>
    </row>
    <row r="957">
      <c r="A957" s="4" t="str">
        <f t="shared" si="1"/>
        <v/>
      </c>
      <c r="B957" s="4"/>
      <c r="C957" s="4"/>
      <c r="E957" s="4"/>
      <c r="F957" s="4"/>
      <c r="G957" s="4"/>
      <c r="H957" s="4"/>
    </row>
    <row r="958">
      <c r="A958" s="4" t="str">
        <f t="shared" si="1"/>
        <v/>
      </c>
      <c r="B958" s="4"/>
      <c r="C958" s="4"/>
      <c r="E958" s="4"/>
      <c r="F958" s="4"/>
      <c r="G958" s="4"/>
      <c r="H958" s="4"/>
    </row>
    <row r="959">
      <c r="A959" s="4" t="str">
        <f t="shared" si="1"/>
        <v/>
      </c>
      <c r="B959" s="4"/>
      <c r="C959" s="4"/>
      <c r="E959" s="4"/>
      <c r="F959" s="4"/>
      <c r="G959" s="4"/>
      <c r="H959" s="4"/>
    </row>
    <row r="960">
      <c r="A960" s="4" t="str">
        <f t="shared" si="1"/>
        <v/>
      </c>
      <c r="B960" s="4"/>
      <c r="C960" s="4"/>
      <c r="E960" s="4"/>
      <c r="F960" s="4"/>
      <c r="G960" s="4"/>
      <c r="H960" s="4"/>
    </row>
    <row r="961">
      <c r="A961" s="4" t="str">
        <f t="shared" si="1"/>
        <v/>
      </c>
      <c r="B961" s="4"/>
      <c r="C961" s="4"/>
      <c r="E961" s="4"/>
      <c r="F961" s="4"/>
      <c r="G961" s="4"/>
      <c r="H961" s="4"/>
    </row>
    <row r="962">
      <c r="A962" s="4" t="str">
        <f t="shared" si="1"/>
        <v/>
      </c>
      <c r="B962" s="4"/>
      <c r="C962" s="4"/>
      <c r="E962" s="4"/>
      <c r="F962" s="4"/>
      <c r="G962" s="4"/>
      <c r="H962" s="4"/>
    </row>
    <row r="963">
      <c r="A963" s="4" t="str">
        <f t="shared" si="1"/>
        <v/>
      </c>
      <c r="B963" s="4"/>
      <c r="C963" s="4"/>
      <c r="E963" s="4"/>
      <c r="F963" s="4"/>
      <c r="G963" s="4"/>
      <c r="H963" s="4"/>
    </row>
    <row r="964">
      <c r="A964" s="4" t="str">
        <f t="shared" si="1"/>
        <v/>
      </c>
      <c r="B964" s="4"/>
      <c r="C964" s="4"/>
      <c r="E964" s="4"/>
      <c r="F964" s="4"/>
      <c r="G964" s="4"/>
      <c r="H964" s="4"/>
    </row>
    <row r="965">
      <c r="A965" s="4" t="str">
        <f t="shared" si="1"/>
        <v/>
      </c>
      <c r="B965" s="4"/>
      <c r="C965" s="4"/>
      <c r="E965" s="4"/>
      <c r="F965" s="4"/>
      <c r="G965" s="4"/>
      <c r="H965" s="4"/>
    </row>
    <row r="966">
      <c r="A966" s="4" t="str">
        <f t="shared" si="1"/>
        <v/>
      </c>
      <c r="B966" s="4"/>
      <c r="C966" s="4"/>
      <c r="E966" s="4"/>
      <c r="F966" s="4"/>
      <c r="G966" s="4"/>
      <c r="H966" s="4"/>
    </row>
    <row r="967">
      <c r="A967" s="4" t="str">
        <f t="shared" si="1"/>
        <v/>
      </c>
      <c r="B967" s="4"/>
      <c r="C967" s="4"/>
      <c r="E967" s="4"/>
      <c r="F967" s="4"/>
      <c r="G967" s="4"/>
      <c r="H967" s="4"/>
    </row>
    <row r="968">
      <c r="A968" s="4" t="str">
        <f t="shared" si="1"/>
        <v/>
      </c>
      <c r="B968" s="4"/>
      <c r="C968" s="4"/>
      <c r="E968" s="4"/>
      <c r="F968" s="4"/>
      <c r="G968" s="4"/>
      <c r="H968" s="4"/>
    </row>
    <row r="969">
      <c r="A969" s="4" t="str">
        <f t="shared" si="1"/>
        <v/>
      </c>
      <c r="B969" s="4"/>
      <c r="C969" s="4"/>
      <c r="E969" s="4"/>
      <c r="F969" s="4"/>
      <c r="G969" s="4"/>
      <c r="H969" s="4"/>
    </row>
    <row r="970">
      <c r="A970" s="4" t="str">
        <f t="shared" si="1"/>
        <v/>
      </c>
      <c r="B970" s="4"/>
      <c r="C970" s="4"/>
      <c r="E970" s="4"/>
      <c r="F970" s="4"/>
      <c r="G970" s="4"/>
      <c r="H970" s="4"/>
    </row>
    <row r="971">
      <c r="A971" s="4" t="str">
        <f t="shared" si="1"/>
        <v/>
      </c>
      <c r="B971" s="4"/>
      <c r="C971" s="4"/>
      <c r="E971" s="4"/>
      <c r="F971" s="4"/>
      <c r="G971" s="4"/>
      <c r="H971" s="4"/>
    </row>
    <row r="972">
      <c r="A972" s="4" t="str">
        <f t="shared" si="1"/>
        <v/>
      </c>
      <c r="B972" s="4"/>
      <c r="C972" s="4"/>
      <c r="E972" s="4"/>
      <c r="F972" s="4"/>
      <c r="G972" s="4"/>
      <c r="H972" s="4"/>
    </row>
    <row r="973">
      <c r="A973" s="4" t="str">
        <f t="shared" si="1"/>
        <v/>
      </c>
      <c r="B973" s="4"/>
      <c r="C973" s="4"/>
      <c r="E973" s="4"/>
      <c r="F973" s="4"/>
      <c r="G973" s="4"/>
      <c r="H973" s="4"/>
    </row>
    <row r="974">
      <c r="A974" s="4" t="str">
        <f t="shared" si="1"/>
        <v/>
      </c>
      <c r="B974" s="4"/>
      <c r="C974" s="4"/>
      <c r="E974" s="4"/>
      <c r="F974" s="4"/>
      <c r="G974" s="4"/>
      <c r="H974" s="4"/>
    </row>
    <row r="975">
      <c r="A975" s="4" t="str">
        <f t="shared" si="1"/>
        <v/>
      </c>
      <c r="B975" s="4"/>
      <c r="C975" s="4"/>
      <c r="E975" s="4"/>
      <c r="F975" s="4"/>
      <c r="G975" s="4"/>
      <c r="H975" s="4"/>
    </row>
    <row r="976">
      <c r="A976" s="4" t="str">
        <f t="shared" si="1"/>
        <v/>
      </c>
      <c r="B976" s="4"/>
      <c r="C976" s="4"/>
      <c r="E976" s="4"/>
      <c r="F976" s="4"/>
      <c r="G976" s="4"/>
      <c r="H976" s="4"/>
    </row>
    <row r="977">
      <c r="A977" s="4" t="str">
        <f t="shared" si="1"/>
        <v/>
      </c>
      <c r="B977" s="4"/>
      <c r="C977" s="4"/>
      <c r="E977" s="4"/>
      <c r="F977" s="4"/>
      <c r="G977" s="4"/>
      <c r="H977" s="4"/>
    </row>
    <row r="978">
      <c r="A978" s="4" t="str">
        <f t="shared" si="1"/>
        <v/>
      </c>
      <c r="B978" s="4"/>
      <c r="C978" s="4"/>
      <c r="E978" s="4"/>
      <c r="F978" s="4"/>
      <c r="G978" s="4"/>
      <c r="H978" s="4"/>
    </row>
    <row r="979">
      <c r="A979" s="4" t="str">
        <f t="shared" si="1"/>
        <v/>
      </c>
      <c r="B979" s="4"/>
      <c r="C979" s="4"/>
      <c r="E979" s="4"/>
      <c r="F979" s="4"/>
      <c r="G979" s="4"/>
      <c r="H979" s="4"/>
    </row>
    <row r="980">
      <c r="A980" s="4" t="str">
        <f t="shared" si="1"/>
        <v/>
      </c>
      <c r="B980" s="4"/>
      <c r="C980" s="4"/>
      <c r="E980" s="4"/>
      <c r="F980" s="4"/>
      <c r="G980" s="4"/>
      <c r="H980" s="4"/>
    </row>
    <row r="981">
      <c r="A981" s="4" t="str">
        <f t="shared" si="1"/>
        <v/>
      </c>
      <c r="B981" s="4"/>
      <c r="C981" s="4"/>
      <c r="E981" s="4"/>
      <c r="F981" s="4"/>
      <c r="G981" s="4"/>
      <c r="H981" s="4"/>
    </row>
    <row r="982">
      <c r="A982" s="4" t="str">
        <f t="shared" si="1"/>
        <v/>
      </c>
      <c r="B982" s="4"/>
      <c r="C982" s="4"/>
      <c r="E982" s="4"/>
      <c r="F982" s="4"/>
      <c r="G982" s="4"/>
      <c r="H982" s="4"/>
    </row>
    <row r="983">
      <c r="A983" s="4" t="str">
        <f t="shared" si="1"/>
        <v/>
      </c>
      <c r="B983" s="4"/>
      <c r="C983" s="4"/>
      <c r="E983" s="4"/>
      <c r="F983" s="4"/>
      <c r="G983" s="4"/>
      <c r="H983" s="4"/>
    </row>
    <row r="984">
      <c r="A984" s="4" t="str">
        <f t="shared" si="1"/>
        <v/>
      </c>
      <c r="B984" s="4"/>
      <c r="C984" s="4"/>
      <c r="E984" s="4"/>
      <c r="F984" s="4"/>
      <c r="G984" s="4"/>
      <c r="H984" s="4"/>
    </row>
    <row r="985">
      <c r="A985" s="4" t="str">
        <f t="shared" si="1"/>
        <v/>
      </c>
      <c r="B985" s="4"/>
      <c r="C985" s="4"/>
      <c r="E985" s="4"/>
      <c r="F985" s="4"/>
      <c r="G985" s="4"/>
      <c r="H985" s="4"/>
    </row>
    <row r="986">
      <c r="A986" s="4" t="str">
        <f t="shared" si="1"/>
        <v/>
      </c>
      <c r="B986" s="4"/>
      <c r="C986" s="4"/>
      <c r="E986" s="4"/>
      <c r="F986" s="4"/>
      <c r="G986" s="4"/>
      <c r="H986" s="4"/>
    </row>
    <row r="987">
      <c r="A987" s="4" t="str">
        <f t="shared" si="1"/>
        <v/>
      </c>
      <c r="B987" s="4"/>
      <c r="C987" s="4"/>
      <c r="E987" s="4"/>
      <c r="F987" s="4"/>
      <c r="G987" s="4"/>
      <c r="H987" s="4"/>
    </row>
    <row r="988">
      <c r="A988" s="4" t="str">
        <f t="shared" si="1"/>
        <v/>
      </c>
      <c r="B988" s="4"/>
      <c r="C988" s="4"/>
      <c r="E988" s="4"/>
      <c r="F988" s="4"/>
      <c r="G988" s="4"/>
      <c r="H988" s="4"/>
    </row>
    <row r="989">
      <c r="A989" s="4" t="str">
        <f t="shared" si="1"/>
        <v/>
      </c>
      <c r="B989" s="4"/>
      <c r="C989" s="4"/>
      <c r="E989" s="4"/>
      <c r="F989" s="4"/>
      <c r="G989" s="4"/>
      <c r="H989" s="4"/>
    </row>
    <row r="990">
      <c r="A990" s="4" t="str">
        <f t="shared" si="1"/>
        <v/>
      </c>
      <c r="B990" s="4"/>
      <c r="C990" s="4"/>
      <c r="E990" s="4"/>
      <c r="F990" s="4"/>
      <c r="G990" s="4"/>
      <c r="H990" s="4"/>
    </row>
    <row r="991">
      <c r="A991" s="4" t="str">
        <f t="shared" si="1"/>
        <v/>
      </c>
      <c r="B991" s="4"/>
      <c r="C991" s="4"/>
      <c r="E991" s="4"/>
      <c r="F991" s="4"/>
      <c r="G991" s="4"/>
      <c r="H991" s="4"/>
    </row>
    <row r="992">
      <c r="A992" s="4" t="str">
        <f t="shared" si="1"/>
        <v/>
      </c>
      <c r="B992" s="4"/>
      <c r="C992" s="4"/>
      <c r="E992" s="4"/>
      <c r="F992" s="4"/>
      <c r="G992" s="4"/>
      <c r="H992" s="4"/>
    </row>
    <row r="993">
      <c r="A993" s="4" t="str">
        <f t="shared" si="1"/>
        <v/>
      </c>
      <c r="B993" s="4"/>
      <c r="C993" s="4"/>
      <c r="E993" s="4"/>
      <c r="F993" s="4"/>
      <c r="G993" s="4"/>
      <c r="H993" s="4"/>
    </row>
    <row r="994">
      <c r="A994" s="4" t="str">
        <f t="shared" si="1"/>
        <v/>
      </c>
      <c r="B994" s="4"/>
      <c r="C994" s="4"/>
      <c r="E994" s="4"/>
      <c r="F994" s="4"/>
      <c r="G994" s="4"/>
      <c r="H994" s="4"/>
    </row>
    <row r="995">
      <c r="A995" s="4" t="str">
        <f t="shared" si="1"/>
        <v/>
      </c>
      <c r="B995" s="4"/>
      <c r="C995" s="4"/>
      <c r="E995" s="4"/>
      <c r="F995" s="4"/>
      <c r="G995" s="4"/>
      <c r="H995" s="4"/>
    </row>
    <row r="996">
      <c r="A996" s="4" t="str">
        <f t="shared" si="1"/>
        <v/>
      </c>
      <c r="B996" s="4"/>
      <c r="C996" s="4"/>
      <c r="E996" s="4"/>
      <c r="F996" s="4"/>
      <c r="G996" s="4"/>
      <c r="H996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</cols>
  <sheetData>
    <row r="1">
      <c r="A1" s="46" t="s">
        <v>238</v>
      </c>
      <c r="B1" s="47" t="s">
        <v>239</v>
      </c>
      <c r="C1" s="48"/>
      <c r="D1" s="49" t="s">
        <v>240</v>
      </c>
    </row>
    <row r="2">
      <c r="A2" s="50">
        <v>1001.0</v>
      </c>
      <c r="B2" s="51" t="s">
        <v>241</v>
      </c>
      <c r="C2" s="52">
        <v>4926844.0</v>
      </c>
      <c r="D2" s="53">
        <v>4395949.0</v>
      </c>
    </row>
    <row r="3">
      <c r="A3" s="50">
        <v>1002.0</v>
      </c>
      <c r="B3" s="51" t="s">
        <v>242</v>
      </c>
      <c r="C3" s="54">
        <v>5721437.0</v>
      </c>
      <c r="D3" s="53">
        <v>5104920.0</v>
      </c>
    </row>
    <row r="4">
      <c r="A4" s="50">
        <v>1003.0</v>
      </c>
      <c r="B4" s="51" t="s">
        <v>243</v>
      </c>
      <c r="C4" s="54">
        <v>6116654.0</v>
      </c>
      <c r="D4" s="53">
        <v>5457550.0</v>
      </c>
    </row>
    <row r="5">
      <c r="A5" s="50">
        <v>1004.0</v>
      </c>
      <c r="B5" s="45" t="s">
        <v>244</v>
      </c>
      <c r="C5" s="54">
        <v>6786294.0</v>
      </c>
      <c r="D5" s="53">
        <v>6055032.0</v>
      </c>
    </row>
    <row r="6">
      <c r="A6" s="50">
        <v>1000.0</v>
      </c>
      <c r="B6" s="51" t="s">
        <v>245</v>
      </c>
      <c r="C6" s="54">
        <v>4304021.0</v>
      </c>
      <c r="D6" s="53">
        <v>3840238.0</v>
      </c>
    </row>
    <row r="7">
      <c r="A7" s="55"/>
      <c r="B7" s="45" t="s">
        <v>202</v>
      </c>
      <c r="C7" s="54">
        <v>710000.0</v>
      </c>
      <c r="D7" s="53">
        <v>633493.0</v>
      </c>
    </row>
    <row r="8">
      <c r="A8" s="55"/>
      <c r="B8" s="56"/>
      <c r="C8" s="57"/>
      <c r="D8" s="56"/>
    </row>
    <row r="9">
      <c r="A9" s="55"/>
      <c r="B9" s="51" t="s">
        <v>168</v>
      </c>
      <c r="C9" s="53">
        <v>726317.0</v>
      </c>
      <c r="D9" s="53">
        <v>648052.0</v>
      </c>
    </row>
    <row r="10">
      <c r="A10" s="55"/>
      <c r="B10" s="51" t="s">
        <v>192</v>
      </c>
      <c r="C10" s="53">
        <v>895027.0</v>
      </c>
      <c r="D10" s="53">
        <v>798582.0</v>
      </c>
    </row>
    <row r="11">
      <c r="A11" s="55"/>
      <c r="B11" s="51" t="s">
        <v>193</v>
      </c>
      <c r="C11" s="53">
        <v>1100000.0</v>
      </c>
      <c r="D11" s="53">
        <v>981469.0</v>
      </c>
    </row>
    <row r="12">
      <c r="A12" s="55"/>
      <c r="B12" s="51" t="s">
        <v>194</v>
      </c>
      <c r="C12" s="53">
        <v>1450000.0</v>
      </c>
      <c r="D12" s="53">
        <v>1293754.0</v>
      </c>
    </row>
    <row r="13">
      <c r="A13" s="55"/>
      <c r="B13" s="51" t="s">
        <v>195</v>
      </c>
      <c r="C13" s="53">
        <v>1700000.0</v>
      </c>
      <c r="D13" s="53">
        <v>1516815.0</v>
      </c>
    </row>
    <row r="14">
      <c r="A14" s="55"/>
      <c r="B14" s="58" t="s">
        <v>246</v>
      </c>
      <c r="C14" s="54">
        <v>0.0</v>
      </c>
      <c r="D14" s="56"/>
    </row>
    <row r="15">
      <c r="A15" s="59">
        <v>6004.0</v>
      </c>
      <c r="B15" s="51" t="s">
        <v>208</v>
      </c>
      <c r="C15" s="54">
        <v>630897.0</v>
      </c>
      <c r="D15" s="53">
        <v>562914.0</v>
      </c>
    </row>
    <row r="16">
      <c r="A16" s="60"/>
      <c r="B16" s="51" t="s">
        <v>247</v>
      </c>
      <c r="C16" s="54">
        <v>1009015.0</v>
      </c>
      <c r="D16" s="53">
        <v>900288.0</v>
      </c>
    </row>
    <row r="17">
      <c r="A17" s="60"/>
      <c r="B17" s="51" t="s">
        <v>185</v>
      </c>
      <c r="C17" s="54">
        <v>1009015.0</v>
      </c>
      <c r="D17" s="53">
        <v>900288.0</v>
      </c>
    </row>
    <row r="18">
      <c r="A18" s="60"/>
      <c r="B18" s="51" t="s">
        <v>186</v>
      </c>
      <c r="C18" s="54">
        <v>287100.0</v>
      </c>
      <c r="D18" s="53">
        <v>256163.0</v>
      </c>
    </row>
    <row r="19">
      <c r="A19" s="60"/>
      <c r="B19" s="51" t="s">
        <v>187</v>
      </c>
      <c r="C19" s="54">
        <v>334798.0</v>
      </c>
      <c r="D19" s="53">
        <v>298721.0</v>
      </c>
    </row>
    <row r="20">
      <c r="A20" s="59">
        <v>6002.0</v>
      </c>
      <c r="B20" s="51" t="s">
        <v>203</v>
      </c>
      <c r="C20" s="54">
        <v>551269.0</v>
      </c>
      <c r="D20" s="53">
        <v>491867.0</v>
      </c>
    </row>
    <row r="21">
      <c r="A21" s="60"/>
      <c r="B21" s="51" t="s">
        <v>204</v>
      </c>
      <c r="C21" s="54">
        <v>796278.0</v>
      </c>
      <c r="D21" s="53">
        <v>710474.0</v>
      </c>
    </row>
    <row r="22">
      <c r="A22" s="60"/>
      <c r="B22" s="51" t="s">
        <v>205</v>
      </c>
      <c r="C22" s="54">
        <v>956265.0</v>
      </c>
      <c r="D22" s="53">
        <v>853222.0</v>
      </c>
    </row>
    <row r="23">
      <c r="A23" s="60"/>
      <c r="B23" s="51" t="s">
        <v>206</v>
      </c>
      <c r="C23" s="54">
        <v>1195893.0</v>
      </c>
      <c r="D23" s="53">
        <v>1067029.0</v>
      </c>
    </row>
    <row r="24">
      <c r="A24" s="60"/>
      <c r="B24" s="51" t="s">
        <v>248</v>
      </c>
      <c r="C24" s="54">
        <v>341000.0</v>
      </c>
      <c r="D24" s="53">
        <v>304255.0</v>
      </c>
    </row>
    <row r="25">
      <c r="A25" s="55"/>
      <c r="B25" s="56"/>
      <c r="C25" s="54">
        <v>0.0</v>
      </c>
      <c r="D25" s="56"/>
    </row>
    <row r="26">
      <c r="A26" s="59">
        <v>6010.0</v>
      </c>
      <c r="B26" s="51" t="s">
        <v>249</v>
      </c>
      <c r="C26" s="54">
        <v>194633.0</v>
      </c>
      <c r="D26" s="53">
        <v>173660.0</v>
      </c>
    </row>
    <row r="27">
      <c r="A27" s="59">
        <v>6011.0</v>
      </c>
      <c r="B27" s="51" t="s">
        <v>250</v>
      </c>
      <c r="C27" s="54">
        <v>352629.0</v>
      </c>
      <c r="D27" s="53">
        <v>314631.0</v>
      </c>
    </row>
    <row r="28">
      <c r="A28" s="60"/>
      <c r="B28" s="51" t="s">
        <v>251</v>
      </c>
      <c r="C28" s="54">
        <v>725000.0</v>
      </c>
      <c r="D28" s="56"/>
    </row>
    <row r="29">
      <c r="A29" s="60"/>
      <c r="B29" s="51" t="s">
        <v>252</v>
      </c>
      <c r="C29" s="54">
        <v>973600.0</v>
      </c>
      <c r="D29" s="56"/>
    </row>
    <row r="30">
      <c r="A30" s="59">
        <v>6003.0</v>
      </c>
      <c r="B30" s="51" t="s">
        <v>196</v>
      </c>
      <c r="C30" s="54">
        <v>761931.0</v>
      </c>
      <c r="D30" s="53">
        <v>679829.0</v>
      </c>
    </row>
    <row r="31">
      <c r="A31" s="60"/>
      <c r="B31" s="51" t="s">
        <v>197</v>
      </c>
      <c r="C31" s="54">
        <v>1083075.0</v>
      </c>
      <c r="D31" s="53">
        <v>966368.0</v>
      </c>
    </row>
    <row r="32">
      <c r="A32" s="60"/>
      <c r="B32" s="51" t="s">
        <v>188</v>
      </c>
      <c r="C32" s="54">
        <v>62484.0</v>
      </c>
      <c r="D32" s="53">
        <v>55751.0</v>
      </c>
    </row>
    <row r="33">
      <c r="A33" s="60"/>
      <c r="B33" s="51" t="s">
        <v>189</v>
      </c>
      <c r="C33" s="54">
        <v>71951.0</v>
      </c>
      <c r="D33" s="53">
        <v>64198.0</v>
      </c>
    </row>
    <row r="34">
      <c r="A34" s="60"/>
      <c r="B34" s="51" t="s">
        <v>190</v>
      </c>
      <c r="C34" s="54">
        <v>81418.0</v>
      </c>
      <c r="D34" s="53">
        <v>72645.0</v>
      </c>
    </row>
    <row r="35">
      <c r="A35" s="60"/>
      <c r="B35" s="51" t="s">
        <v>198</v>
      </c>
      <c r="C35" s="57"/>
      <c r="D35" s="56"/>
    </row>
    <row r="36">
      <c r="A36" s="60"/>
      <c r="B36" s="51" t="s">
        <v>199</v>
      </c>
      <c r="C36" s="57"/>
      <c r="D36" s="56"/>
    </row>
    <row r="37">
      <c r="A37" s="60"/>
      <c r="B37" s="51" t="s">
        <v>200</v>
      </c>
      <c r="C37" s="57"/>
      <c r="D37" s="56"/>
    </row>
    <row r="38">
      <c r="A38" s="61"/>
      <c r="B38" s="62" t="s">
        <v>201</v>
      </c>
      <c r="C38" s="63">
        <v>932248.0</v>
      </c>
      <c r="D38" s="53">
        <v>831793.0</v>
      </c>
    </row>
    <row r="39">
      <c r="A39" s="64"/>
      <c r="B39" s="65" t="s">
        <v>253</v>
      </c>
      <c r="C39" s="66"/>
      <c r="D39" s="56"/>
    </row>
    <row r="40">
      <c r="A40" s="64"/>
      <c r="B40" s="67"/>
      <c r="C40" s="66"/>
      <c r="D40" s="56"/>
    </row>
    <row r="41">
      <c r="A41" s="64"/>
      <c r="B41" s="67"/>
      <c r="C41" s="66"/>
      <c r="D41" s="56"/>
    </row>
    <row r="42">
      <c r="A42" s="64"/>
      <c r="B42" s="67"/>
      <c r="C42" s="66"/>
      <c r="D42" s="56"/>
    </row>
    <row r="43">
      <c r="A43" s="64"/>
      <c r="B43" s="67"/>
      <c r="C43" s="66"/>
      <c r="D43" s="56"/>
    </row>
    <row r="44">
      <c r="A44" s="64"/>
      <c r="B44" s="67"/>
      <c r="C44" s="66"/>
      <c r="D44" s="56"/>
    </row>
    <row r="45">
      <c r="A45" s="64"/>
      <c r="B45" s="67"/>
      <c r="C45" s="66"/>
      <c r="D45" s="56"/>
    </row>
    <row r="46">
      <c r="A46" s="64"/>
      <c r="B46" s="67"/>
      <c r="C46" s="66"/>
      <c r="D46" s="56"/>
    </row>
    <row r="47">
      <c r="A47" s="64"/>
      <c r="B47" s="67"/>
      <c r="C47" s="66"/>
      <c r="D47" s="56"/>
    </row>
    <row r="48">
      <c r="A48" s="64"/>
      <c r="B48" s="68" t="s">
        <v>254</v>
      </c>
      <c r="C48" s="69">
        <v>4130000.0</v>
      </c>
      <c r="D48" s="53">
        <v>3684969.0</v>
      </c>
    </row>
    <row r="49">
      <c r="A49" s="64"/>
      <c r="B49" s="68" t="s">
        <v>255</v>
      </c>
      <c r="C49" s="69">
        <v>3520000.0</v>
      </c>
      <c r="D49" s="53">
        <v>3140700.0</v>
      </c>
    </row>
    <row r="50">
      <c r="A50" s="64"/>
      <c r="B50" s="68" t="s">
        <v>96</v>
      </c>
      <c r="C50" s="69">
        <v>315920.0</v>
      </c>
      <c r="D50" s="53">
        <v>281878.0</v>
      </c>
    </row>
    <row r="51">
      <c r="A51" s="55"/>
      <c r="B51" s="51" t="s">
        <v>95</v>
      </c>
      <c r="C51" s="69">
        <v>457084.0</v>
      </c>
      <c r="D51" s="53">
        <v>407831.0</v>
      </c>
    </row>
    <row r="52">
      <c r="A52" s="55"/>
      <c r="B52" s="51" t="s">
        <v>191</v>
      </c>
      <c r="C52" s="69">
        <v>40000.0</v>
      </c>
      <c r="D52" s="53">
        <v>3569.0</v>
      </c>
    </row>
    <row r="53">
      <c r="A53" s="55"/>
      <c r="B53" s="51" t="s">
        <v>256</v>
      </c>
      <c r="C53" s="69">
        <v>7845179.0</v>
      </c>
      <c r="D53" s="53">
        <v>6999816.0</v>
      </c>
    </row>
    <row r="54">
      <c r="A54" s="55"/>
      <c r="B54" s="51" t="s">
        <v>257</v>
      </c>
      <c r="C54" s="69">
        <v>6844932.0</v>
      </c>
      <c r="D54" s="53">
        <v>6107352.0</v>
      </c>
    </row>
    <row r="55">
      <c r="A55" s="55"/>
      <c r="B55" s="56"/>
      <c r="C55" s="66"/>
      <c r="D55" s="56"/>
    </row>
    <row r="56">
      <c r="A56" s="50">
        <v>4001.0</v>
      </c>
      <c r="B56" s="70" t="s">
        <v>258</v>
      </c>
      <c r="C56" s="52">
        <v>6357302.0</v>
      </c>
      <c r="D56" s="53">
        <v>5672266.0</v>
      </c>
    </row>
    <row r="57">
      <c r="A57" s="50">
        <v>4002.0</v>
      </c>
      <c r="B57" s="70" t="s">
        <v>259</v>
      </c>
      <c r="C57" s="54">
        <v>6997175.0</v>
      </c>
      <c r="D57" s="53">
        <v>6243190.0</v>
      </c>
    </row>
    <row r="58">
      <c r="A58" s="50">
        <v>4005.0</v>
      </c>
      <c r="B58" s="70" t="s">
        <v>260</v>
      </c>
      <c r="C58" s="54">
        <v>6917208.0</v>
      </c>
      <c r="D58" s="53">
        <v>6171839.0</v>
      </c>
    </row>
    <row r="59">
      <c r="A59" s="50">
        <v>4006.0</v>
      </c>
      <c r="B59" s="70" t="s">
        <v>261</v>
      </c>
      <c r="C59" s="54">
        <v>7157026.0</v>
      </c>
      <c r="D59" s="53">
        <v>6385816.0</v>
      </c>
    </row>
    <row r="60">
      <c r="A60" s="55"/>
      <c r="B60" s="56"/>
      <c r="C60" s="57"/>
      <c r="D60" s="56"/>
    </row>
    <row r="61">
      <c r="A61" s="55"/>
      <c r="B61" s="70" t="s">
        <v>262</v>
      </c>
      <c r="C61" s="54">
        <v>2750000.0</v>
      </c>
      <c r="D61" s="53">
        <v>2453672.0</v>
      </c>
    </row>
    <row r="62">
      <c r="A62" s="50">
        <v>5001.0</v>
      </c>
      <c r="B62" s="70" t="s">
        <v>263</v>
      </c>
      <c r="C62" s="54">
        <v>3220396.0</v>
      </c>
      <c r="D62" s="53">
        <v>2873380.0</v>
      </c>
    </row>
    <row r="63">
      <c r="A63" s="55"/>
      <c r="B63" s="70" t="s">
        <v>264</v>
      </c>
      <c r="C63" s="54">
        <v>4889318.0</v>
      </c>
      <c r="D63" s="53">
        <v>4362466.0</v>
      </c>
    </row>
    <row r="64">
      <c r="A64" s="55"/>
      <c r="B64" s="70" t="s">
        <v>265</v>
      </c>
      <c r="C64" s="54">
        <v>6152500.0</v>
      </c>
      <c r="D64" s="53">
        <v>5489533.0</v>
      </c>
    </row>
    <row r="65">
      <c r="A65" s="50">
        <v>5002.0</v>
      </c>
      <c r="B65" s="70" t="s">
        <v>266</v>
      </c>
      <c r="C65" s="54">
        <v>6495389.0</v>
      </c>
      <c r="D65" s="53">
        <v>5795474.0</v>
      </c>
    </row>
    <row r="66">
      <c r="A66" s="55"/>
      <c r="B66" s="70" t="s">
        <v>267</v>
      </c>
      <c r="C66" s="57"/>
      <c r="D66" s="56"/>
    </row>
    <row r="67">
      <c r="A67" s="55"/>
      <c r="B67" s="70" t="s">
        <v>268</v>
      </c>
      <c r="C67" s="57"/>
      <c r="D67" s="56"/>
    </row>
    <row r="68">
      <c r="A68" s="50">
        <v>5006.0</v>
      </c>
      <c r="B68" s="70" t="s">
        <v>269</v>
      </c>
      <c r="C68" s="54">
        <v>8808059.0</v>
      </c>
      <c r="D68" s="53">
        <v>7858941.0</v>
      </c>
    </row>
    <row r="69">
      <c r="A69" s="50">
        <v>5003.0</v>
      </c>
      <c r="B69" s="70" t="s">
        <v>270</v>
      </c>
      <c r="C69" s="54">
        <v>9752616.0</v>
      </c>
      <c r="D69" s="53">
        <v>8701717.0</v>
      </c>
    </row>
    <row r="70">
      <c r="A70" s="50">
        <v>5005.0</v>
      </c>
      <c r="B70" s="70" t="s">
        <v>271</v>
      </c>
      <c r="C70" s="54">
        <v>1.008872E7</v>
      </c>
      <c r="D70" s="53">
        <v>9001603.0</v>
      </c>
    </row>
    <row r="71">
      <c r="A71" s="55"/>
      <c r="B71" s="70" t="s">
        <v>272</v>
      </c>
      <c r="C71" s="54">
        <v>1.1485754E7</v>
      </c>
      <c r="D71" s="53">
        <v>1.0248099E7</v>
      </c>
    </row>
    <row r="72">
      <c r="A72" s="55"/>
      <c r="B72" s="70" t="s">
        <v>273</v>
      </c>
      <c r="C72" s="54">
        <v>1.3196072E7</v>
      </c>
      <c r="D72" s="53">
        <v>1.1774121E7</v>
      </c>
    </row>
    <row r="73">
      <c r="A73" s="55"/>
      <c r="B73" s="70" t="s">
        <v>274</v>
      </c>
      <c r="C73" s="54">
        <v>7509514.0</v>
      </c>
      <c r="D73" s="53">
        <v>6700321.0</v>
      </c>
    </row>
    <row r="74">
      <c r="A74" s="55"/>
      <c r="B74" s="70" t="s">
        <v>275</v>
      </c>
      <c r="C74" s="54">
        <v>6686123.0</v>
      </c>
      <c r="D74" s="53">
        <v>5965655.0</v>
      </c>
    </row>
    <row r="75">
      <c r="A75" s="50">
        <v>5010.0</v>
      </c>
      <c r="B75" s="70" t="s">
        <v>276</v>
      </c>
      <c r="C75" s="54">
        <v>8943506.0</v>
      </c>
      <c r="D75" s="53">
        <v>7979792.0</v>
      </c>
    </row>
    <row r="76">
      <c r="A76" s="50">
        <v>5004.0</v>
      </c>
      <c r="B76" s="70" t="s">
        <v>277</v>
      </c>
      <c r="C76" s="54">
        <v>1.0741195E7</v>
      </c>
      <c r="D76" s="53">
        <v>9583770.0</v>
      </c>
    </row>
    <row r="77">
      <c r="A77" s="55"/>
      <c r="B77" s="70" t="s">
        <v>278</v>
      </c>
      <c r="C77" s="54">
        <v>1.4189325E7</v>
      </c>
      <c r="D77" s="53">
        <v>1.2660345E7</v>
      </c>
    </row>
    <row r="78">
      <c r="A78" s="55"/>
      <c r="B78" s="70" t="s">
        <v>279</v>
      </c>
      <c r="C78" s="54">
        <v>1.5515E7</v>
      </c>
      <c r="D78" s="53">
        <v>1.3843171E7</v>
      </c>
    </row>
    <row r="79">
      <c r="A79" s="55"/>
      <c r="B79" s="70" t="s">
        <v>280</v>
      </c>
      <c r="C79" s="54">
        <v>1.79225E7</v>
      </c>
      <c r="D79" s="53">
        <v>1.5991249E7</v>
      </c>
    </row>
    <row r="80">
      <c r="A80" s="55"/>
      <c r="B80" s="56"/>
      <c r="C80" s="57"/>
      <c r="D80" s="56"/>
    </row>
    <row r="81">
      <c r="A81" s="55"/>
      <c r="B81" s="70" t="s">
        <v>281</v>
      </c>
      <c r="C81" s="54">
        <v>1.0346223E7</v>
      </c>
      <c r="D81" s="53">
        <v>9231359.0</v>
      </c>
    </row>
    <row r="82">
      <c r="A82" s="55"/>
      <c r="B82" s="70" t="s">
        <v>282</v>
      </c>
      <c r="C82" s="54">
        <v>1.0965106E7</v>
      </c>
      <c r="D82" s="53">
        <v>9783554.0</v>
      </c>
    </row>
    <row r="83">
      <c r="A83" s="55"/>
      <c r="B83" s="56"/>
      <c r="C83" s="57"/>
      <c r="D83" s="56"/>
    </row>
    <row r="84">
      <c r="A84" s="55"/>
      <c r="B84" s="70" t="s">
        <v>283</v>
      </c>
      <c r="C84" s="54">
        <v>551269.0</v>
      </c>
      <c r="D84" s="53">
        <v>491867.0</v>
      </c>
    </row>
    <row r="85">
      <c r="A85" s="55"/>
      <c r="B85" s="70" t="s">
        <v>284</v>
      </c>
      <c r="C85" s="54">
        <v>44163.0</v>
      </c>
      <c r="D85" s="53">
        <v>39404.0</v>
      </c>
    </row>
    <row r="86">
      <c r="A86" s="55"/>
      <c r="B86" s="70" t="s">
        <v>285</v>
      </c>
      <c r="C86" s="54">
        <v>306261.0</v>
      </c>
      <c r="D86" s="53">
        <v>273259.0</v>
      </c>
    </row>
    <row r="87">
      <c r="A87" s="55"/>
      <c r="B87" s="70" t="s">
        <v>286</v>
      </c>
      <c r="C87" s="54">
        <v>221434.0</v>
      </c>
      <c r="D87" s="53">
        <v>197573.0</v>
      </c>
    </row>
    <row r="88">
      <c r="A88" s="55"/>
      <c r="B88" s="70" t="s">
        <v>287</v>
      </c>
      <c r="C88" s="54">
        <v>604208.0</v>
      </c>
      <c r="D88" s="53">
        <v>539101.0</v>
      </c>
    </row>
    <row r="89">
      <c r="A89" s="55"/>
      <c r="B89" s="56"/>
      <c r="C89" s="54">
        <v>0.0</v>
      </c>
      <c r="D89" s="56"/>
    </row>
    <row r="90">
      <c r="A90" s="55"/>
      <c r="B90" s="56"/>
      <c r="C90" s="54">
        <v>0.0</v>
      </c>
      <c r="D90" s="56"/>
    </row>
    <row r="91">
      <c r="A91" s="55"/>
      <c r="B91" s="56"/>
      <c r="C91" s="57"/>
      <c r="D91" s="56"/>
    </row>
    <row r="92">
      <c r="A92" s="55"/>
      <c r="B92" s="56"/>
      <c r="C92" s="57"/>
      <c r="D92" s="56"/>
    </row>
    <row r="93">
      <c r="A93" s="55"/>
      <c r="B93" s="56"/>
      <c r="C93" s="56"/>
      <c r="D93" s="56"/>
    </row>
    <row r="94">
      <c r="A94" s="55"/>
      <c r="B94" s="70" t="s">
        <v>288</v>
      </c>
      <c r="C94" s="53">
        <v>2.6851853E7</v>
      </c>
      <c r="D94" s="53">
        <v>2.3958413E7</v>
      </c>
    </row>
    <row r="95">
      <c r="A95" s="55"/>
      <c r="B95" s="70" t="s">
        <v>289</v>
      </c>
      <c r="C95" s="53">
        <v>1.868661E7</v>
      </c>
      <c r="D95" s="53">
        <v>1.6673022E7</v>
      </c>
    </row>
    <row r="96">
      <c r="A96" s="55"/>
      <c r="B96" s="70" t="s">
        <v>290</v>
      </c>
      <c r="C96" s="53">
        <v>2.1102982E7</v>
      </c>
      <c r="D96" s="53">
        <v>1.8829016E7</v>
      </c>
    </row>
    <row r="97">
      <c r="A97" s="55"/>
      <c r="B97" s="56"/>
      <c r="C97" s="56"/>
      <c r="D97" s="56"/>
    </row>
    <row r="98">
      <c r="A98" s="50">
        <v>8001.0</v>
      </c>
      <c r="B98" s="70" t="s">
        <v>291</v>
      </c>
      <c r="C98" s="53">
        <v>8563421.0</v>
      </c>
      <c r="D98" s="53">
        <v>7640664.0</v>
      </c>
    </row>
    <row r="99">
      <c r="A99" s="55"/>
      <c r="B99" s="70" t="s">
        <v>292</v>
      </c>
      <c r="C99" s="53">
        <v>1824759.0</v>
      </c>
      <c r="D99" s="53">
        <v>1628131.0</v>
      </c>
    </row>
    <row r="100">
      <c r="A100" s="55"/>
      <c r="B100" s="70" t="s">
        <v>293</v>
      </c>
      <c r="C100" s="53">
        <v>1903127.0</v>
      </c>
      <c r="D100" s="53">
        <v>1698055.0</v>
      </c>
    </row>
    <row r="101">
      <c r="A101" s="55"/>
      <c r="B101" s="70" t="s">
        <v>294</v>
      </c>
      <c r="C101" s="53">
        <v>1627301.0</v>
      </c>
      <c r="D101" s="53">
        <v>1451950.0</v>
      </c>
    </row>
    <row r="102">
      <c r="A102" s="55"/>
      <c r="B102" s="56"/>
      <c r="C102" s="56"/>
      <c r="D102" s="56"/>
    </row>
    <row r="103">
      <c r="A103" s="55"/>
      <c r="B103" s="56"/>
      <c r="C103" s="56"/>
      <c r="D103" s="56"/>
    </row>
    <row r="104">
      <c r="A104" s="50">
        <v>9001.0</v>
      </c>
      <c r="B104" s="70" t="s">
        <v>295</v>
      </c>
      <c r="C104" s="53">
        <v>7086578.0</v>
      </c>
      <c r="D104" s="53">
        <v>6322959.0</v>
      </c>
    </row>
    <row r="105">
      <c r="A105" s="50">
        <v>9002.0</v>
      </c>
      <c r="B105" s="70" t="s">
        <v>296</v>
      </c>
      <c r="C105" s="53">
        <v>1.05E7</v>
      </c>
      <c r="D105" s="53">
        <v>9368566.0</v>
      </c>
    </row>
    <row r="106">
      <c r="A106" s="55"/>
      <c r="B106" s="70" t="s">
        <v>297</v>
      </c>
      <c r="C106" s="53">
        <v>176652.0</v>
      </c>
      <c r="D106" s="53">
        <v>157617.0</v>
      </c>
    </row>
    <row r="107">
      <c r="A107" s="55"/>
      <c r="B107" s="70" t="s">
        <v>298</v>
      </c>
      <c r="C107" s="53">
        <v>1577629.0</v>
      </c>
      <c r="D107" s="53">
        <v>1407630.0</v>
      </c>
    </row>
    <row r="108">
      <c r="A108" s="55"/>
      <c r="B108" s="70" t="s">
        <v>299</v>
      </c>
      <c r="C108" s="53">
        <v>1080104.0</v>
      </c>
      <c r="D108" s="53">
        <v>963717.0</v>
      </c>
    </row>
    <row r="109">
      <c r="A109" s="55"/>
      <c r="B109" s="70" t="s">
        <v>300</v>
      </c>
      <c r="C109" s="53">
        <v>2442810.0</v>
      </c>
      <c r="D109" s="53">
        <v>2179583.0</v>
      </c>
    </row>
    <row r="110">
      <c r="A110" s="55"/>
      <c r="B110" s="70" t="s">
        <v>301</v>
      </c>
      <c r="C110" s="53">
        <v>1072240.0</v>
      </c>
      <c r="D110" s="53">
        <v>9567.0</v>
      </c>
    </row>
    <row r="111">
      <c r="A111" s="55"/>
      <c r="B111" s="56"/>
      <c r="C111" s="56"/>
      <c r="D111" s="56"/>
    </row>
    <row r="112">
      <c r="A112" s="55"/>
      <c r="B112" s="70" t="s">
        <v>302</v>
      </c>
      <c r="C112" s="53">
        <v>8254729.0</v>
      </c>
      <c r="D112" s="53">
        <v>7365235.0</v>
      </c>
    </row>
    <row r="113">
      <c r="A113" s="55"/>
      <c r="B113" s="70" t="s">
        <v>303</v>
      </c>
      <c r="C113" s="53">
        <v>1.058689E7</v>
      </c>
      <c r="D113" s="53">
        <v>9446093.0</v>
      </c>
    </row>
    <row r="114">
      <c r="A114" s="55"/>
      <c r="B114" s="70" t="s">
        <v>304</v>
      </c>
      <c r="C114" s="53">
        <v>1.1206281E7</v>
      </c>
      <c r="D114" s="53">
        <v>9998741.0</v>
      </c>
    </row>
    <row r="115">
      <c r="A115" s="55"/>
      <c r="B115" s="70" t="s">
        <v>305</v>
      </c>
      <c r="C115" s="53">
        <v>1.5500801E7</v>
      </c>
      <c r="D115" s="53">
        <v>1.3830502E7</v>
      </c>
    </row>
    <row r="116">
      <c r="A116" s="55"/>
      <c r="B116" s="70" t="s">
        <v>306</v>
      </c>
      <c r="C116" s="53">
        <v>6841922.0</v>
      </c>
      <c r="D116" s="53">
        <v>6104667.0</v>
      </c>
    </row>
    <row r="117">
      <c r="A117" s="55"/>
      <c r="B117" s="70" t="s">
        <v>307</v>
      </c>
      <c r="C117" s="53">
        <v>1488370.0</v>
      </c>
      <c r="D117" s="53">
        <v>1327990.0</v>
      </c>
    </row>
    <row r="118">
      <c r="A118" s="55"/>
      <c r="B118" s="56"/>
      <c r="C118" s="56"/>
      <c r="D118" s="56"/>
    </row>
    <row r="119">
      <c r="A119" s="55"/>
      <c r="B119" s="70" t="s">
        <v>308</v>
      </c>
      <c r="C119" s="56"/>
      <c r="D119" s="56"/>
    </row>
    <row r="120">
      <c r="A120" s="55"/>
      <c r="B120" s="70" t="s">
        <v>309</v>
      </c>
      <c r="C120" s="56"/>
      <c r="D120" s="56"/>
    </row>
    <row r="121">
      <c r="A121" s="55"/>
      <c r="B121" s="70" t="s">
        <v>310</v>
      </c>
      <c r="C121" s="56"/>
      <c r="D121" s="56"/>
    </row>
    <row r="122">
      <c r="A122" s="55"/>
      <c r="B122" s="56"/>
      <c r="C122" s="56"/>
      <c r="D122" s="56"/>
    </row>
    <row r="123">
      <c r="A123" s="71"/>
      <c r="B123" s="48"/>
      <c r="C123" s="48"/>
      <c r="D123" s="48"/>
    </row>
    <row r="124">
      <c r="A124" s="71"/>
      <c r="B124" s="48"/>
      <c r="C124" s="48"/>
      <c r="D124" s="48"/>
    </row>
    <row r="125">
      <c r="A125" s="72"/>
      <c r="B125" s="73" t="s">
        <v>311</v>
      </c>
      <c r="C125" s="74"/>
      <c r="D125" s="48"/>
    </row>
    <row r="126">
      <c r="A126" s="72"/>
      <c r="B126" s="75" t="s">
        <v>312</v>
      </c>
      <c r="C126" s="74"/>
      <c r="D126" s="48"/>
    </row>
    <row r="127">
      <c r="A127" s="72"/>
      <c r="B127" s="75" t="s">
        <v>313</v>
      </c>
      <c r="C127" s="74"/>
      <c r="D127" s="48"/>
    </row>
    <row r="128">
      <c r="A128" s="72"/>
      <c r="B128" s="75" t="s">
        <v>314</v>
      </c>
      <c r="C128" s="74"/>
      <c r="D128" s="4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1.25"/>
    <col customWidth="1" min="6" max="6" width="20.88"/>
    <col customWidth="1" min="7" max="7" width="15.25"/>
    <col customWidth="1" min="8" max="8" width="14.75"/>
    <col customWidth="1" min="9" max="11" width="16.5"/>
    <col customWidth="1" min="12" max="12" width="11.0"/>
    <col customWidth="1" min="13" max="13" width="30.63"/>
    <col customWidth="1" min="14" max="14" width="29.63"/>
    <col customWidth="1" min="15" max="15" width="39.88"/>
    <col customWidth="1" min="16" max="16" width="28.5"/>
    <col customWidth="1" min="17" max="17" width="38.5"/>
    <col customWidth="1" min="18" max="25" width="29.63"/>
  </cols>
  <sheetData>
    <row r="1">
      <c r="A1" s="2"/>
      <c r="B1" s="2"/>
      <c r="C1" s="2"/>
      <c r="D1" s="2"/>
      <c r="E1" s="2"/>
      <c r="F1" s="36"/>
      <c r="G1" s="36"/>
      <c r="H1" s="76">
        <f>Precio_Productos!J1</f>
        <v>81</v>
      </c>
      <c r="I1" s="77" t="s">
        <v>315</v>
      </c>
      <c r="J1" s="77" t="s">
        <v>316</v>
      </c>
      <c r="K1" s="77" t="s">
        <v>317</v>
      </c>
      <c r="L1" s="77" t="s">
        <v>318</v>
      </c>
    </row>
    <row r="2">
      <c r="A2" s="2" t="s">
        <v>319</v>
      </c>
      <c r="B2" s="2" t="s">
        <v>320</v>
      </c>
      <c r="C2" s="2" t="s">
        <v>321</v>
      </c>
      <c r="D2" s="2" t="s">
        <v>322</v>
      </c>
      <c r="E2" s="2" t="s">
        <v>151</v>
      </c>
      <c r="F2" s="36" t="s">
        <v>5</v>
      </c>
      <c r="G2" s="36" t="s">
        <v>323</v>
      </c>
      <c r="H2" s="78">
        <f>Precio_Productos!J2</f>
        <v>45931</v>
      </c>
    </row>
    <row r="3">
      <c r="A3" s="4">
        <f t="shared" ref="A3:A1001" si="1">IF(E3="","",max(A$2:A2)+1)</f>
        <v>1</v>
      </c>
      <c r="E3" s="1" t="s">
        <v>324</v>
      </c>
      <c r="F3" s="36" t="s">
        <v>28</v>
      </c>
      <c r="G3" s="36">
        <v>2750000.0</v>
      </c>
      <c r="H3" s="11">
        <f>IF(E3="","",SUMIF(Estructuras!B:B,A3,Estructuras!E:E))</f>
        <v>2750000</v>
      </c>
      <c r="I3" s="8" t="str">
        <f>IF(E3="","",IF(COUNTIF(Estructuras!F:F,E3)=0,"Falta Estructura",IF(COUNTIFS(Estructuras!F:F,E3,Estructuras!E:E,0)&gt;0,"Faltan Precios","OK")))</f>
        <v>OK</v>
      </c>
      <c r="J3" s="10" t="str">
        <f>IF(I3="Faltan Precios",COUNTIFS(Estructuras!B:B,A3,Estructuras!E:E,0),"")</f>
        <v/>
      </c>
      <c r="K3" s="8" t="str">
        <f t="shared" ref="K3:K1001" si="2">IF(G3="","", IF(H3=G3,"OK",H3-G3))</f>
        <v>OK</v>
      </c>
      <c r="L3" s="79" t="str">
        <f t="shared" ref="L3:L23" si="3">IF(I3="OK",IFERROR(K3/H3,""),"")</f>
        <v/>
      </c>
    </row>
    <row r="4">
      <c r="A4" s="4">
        <f t="shared" si="1"/>
        <v>2</v>
      </c>
      <c r="E4" s="1" t="s">
        <v>325</v>
      </c>
      <c r="F4" s="36" t="s">
        <v>28</v>
      </c>
      <c r="G4" s="36">
        <v>3220396.0</v>
      </c>
      <c r="H4" s="11">
        <f>IF(E4="","",SUMIF(Estructuras!B:B,A4,Estructuras!E:E))</f>
        <v>3220396</v>
      </c>
      <c r="I4" s="8" t="str">
        <f>IF(E4="","",IF(COUNTIF(Estructuras!F:F,E4)=0,"Falta Estructura",IF(COUNTIFS(Estructuras!F:F,E4,Estructuras!E:E,0)&gt;0,"Faltan Precios","OK")))</f>
        <v>OK</v>
      </c>
      <c r="J4" s="10" t="str">
        <f>IF(I4="Faltan Precios",COUNTIFS(Estructuras!B:B,A4,Estructuras!E:E,0),"")</f>
        <v/>
      </c>
      <c r="K4" s="8" t="str">
        <f t="shared" si="2"/>
        <v>OK</v>
      </c>
      <c r="L4" s="79" t="str">
        <f t="shared" si="3"/>
        <v/>
      </c>
    </row>
    <row r="5">
      <c r="A5" s="4">
        <f t="shared" si="1"/>
        <v>3</v>
      </c>
      <c r="E5" s="1" t="s">
        <v>326</v>
      </c>
      <c r="F5" s="36" t="s">
        <v>28</v>
      </c>
      <c r="G5" s="36">
        <v>4889318.0</v>
      </c>
      <c r="H5" s="11">
        <f>IF(E5="","",SUMIF(Estructuras!B:B,A5,Estructuras!E:E))</f>
        <v>4889318</v>
      </c>
      <c r="I5" s="8" t="str">
        <f>IF(E5="","",IF(COUNTIF(Estructuras!F:F,E5)=0,"Falta Estructura",IF(COUNTIFS(Estructuras!F:F,E5,Estructuras!E:E,0)&gt;0,"Faltan Precios","OK")))</f>
        <v>OK</v>
      </c>
      <c r="J5" s="10" t="str">
        <f>IF(I5="Faltan Precios",COUNTIFS(Estructuras!B:B,A5,Estructuras!E:E,0),"")</f>
        <v/>
      </c>
      <c r="K5" s="8" t="str">
        <f t="shared" si="2"/>
        <v>OK</v>
      </c>
      <c r="L5" s="79" t="str">
        <f t="shared" si="3"/>
        <v/>
      </c>
    </row>
    <row r="6">
      <c r="A6" s="4">
        <f t="shared" si="1"/>
        <v>4</v>
      </c>
      <c r="E6" s="1" t="s">
        <v>327</v>
      </c>
      <c r="F6" s="36" t="s">
        <v>28</v>
      </c>
      <c r="G6" s="36">
        <v>6152500.0</v>
      </c>
      <c r="H6" s="11">
        <f>IF(E6="","",SUMIF(Estructuras!B:B,A6,Estructuras!E:E))</f>
        <v>6152500</v>
      </c>
      <c r="I6" s="8" t="str">
        <f>IF(E6="","",IF(COUNTIF(Estructuras!F:F,E6)=0,"Falta Estructura",IF(COUNTIFS(Estructuras!F:F,E6,Estructuras!E:E,0)&gt;0,"Faltan Precios","OK")))</f>
        <v>OK</v>
      </c>
      <c r="J6" s="10" t="str">
        <f>IF(I6="Faltan Precios",COUNTIFS(Estructuras!B:B,A6,Estructuras!E:E,0),"")</f>
        <v/>
      </c>
      <c r="K6" s="8" t="str">
        <f t="shared" si="2"/>
        <v>OK</v>
      </c>
      <c r="L6" s="79" t="str">
        <f t="shared" si="3"/>
        <v/>
      </c>
    </row>
    <row r="7">
      <c r="A7" s="4">
        <f t="shared" si="1"/>
        <v>5</v>
      </c>
      <c r="E7" s="1" t="s">
        <v>328</v>
      </c>
      <c r="F7" s="36" t="s">
        <v>28</v>
      </c>
      <c r="G7" s="36">
        <v>6495389.0</v>
      </c>
      <c r="H7" s="11">
        <f>IF(E7="","",SUMIF(Estructuras!B:B,A7,Estructuras!E:E))</f>
        <v>6495389</v>
      </c>
      <c r="I7" s="8" t="str">
        <f>IF(E7="","",IF(COUNTIF(Estructuras!F:F,E7)=0,"Falta Estructura",IF(COUNTIFS(Estructuras!F:F,E7,Estructuras!E:E,0)&gt;0,"Faltan Precios","OK")))</f>
        <v>OK</v>
      </c>
      <c r="J7" s="10" t="str">
        <f>IF(I7="Faltan Precios",COUNTIFS(Estructuras!B:B,A7,Estructuras!E:E,0),"")</f>
        <v/>
      </c>
      <c r="K7" s="8" t="str">
        <f t="shared" si="2"/>
        <v>OK</v>
      </c>
      <c r="L7" s="79" t="str">
        <f t="shared" si="3"/>
        <v/>
      </c>
    </row>
    <row r="8">
      <c r="A8" s="4">
        <f t="shared" si="1"/>
        <v>6</v>
      </c>
      <c r="E8" s="1" t="s">
        <v>329</v>
      </c>
      <c r="F8" s="36" t="s">
        <v>28</v>
      </c>
      <c r="G8" s="11"/>
      <c r="H8" s="11">
        <f>IF(E8="","",SUMIF(Estructuras!B:B,A8,Estructuras!E:E))</f>
        <v>0</v>
      </c>
      <c r="I8" s="8" t="str">
        <f>IF(E8="","",IF(COUNTIF(Estructuras!F:F,E8)=0,"Falta Estructura",IF(COUNTIFS(Estructuras!F:F,E8,Estructuras!E:E,0)&gt;0,"Faltan Precios","OK")))</f>
        <v>Falta Estructura</v>
      </c>
      <c r="J8" s="10" t="str">
        <f>IF(I8="Faltan Precios",COUNTIFS(Estructuras!B:B,A8,Estructuras!E:E,0),"")</f>
        <v/>
      </c>
      <c r="K8" s="8" t="str">
        <f t="shared" si="2"/>
        <v/>
      </c>
      <c r="L8" s="79" t="str">
        <f t="shared" si="3"/>
        <v/>
      </c>
    </row>
    <row r="9">
      <c r="A9" s="4">
        <f t="shared" si="1"/>
        <v>7</v>
      </c>
      <c r="E9" s="1" t="s">
        <v>330</v>
      </c>
      <c r="F9" s="36" t="s">
        <v>28</v>
      </c>
      <c r="G9" s="11"/>
      <c r="H9" s="11">
        <f>IF(E9="","",SUMIF(Estructuras!B:B,A9,Estructuras!E:E))</f>
        <v>0</v>
      </c>
      <c r="I9" s="8" t="str">
        <f>IF(E9="","",IF(COUNTIF(Estructuras!F:F,E9)=0,"Falta Estructura",IF(COUNTIFS(Estructuras!F:F,E9,Estructuras!E:E,0)&gt;0,"Faltan Precios","OK")))</f>
        <v>Falta Estructura</v>
      </c>
      <c r="J9" s="10" t="str">
        <f>IF(I9="Faltan Precios",COUNTIFS(Estructuras!B:B,A9,Estructuras!E:E,0),"")</f>
        <v/>
      </c>
      <c r="K9" s="8" t="str">
        <f t="shared" si="2"/>
        <v/>
      </c>
      <c r="L9" s="79" t="str">
        <f t="shared" si="3"/>
        <v/>
      </c>
    </row>
    <row r="10">
      <c r="A10" s="4">
        <f t="shared" si="1"/>
        <v>8</v>
      </c>
      <c r="E10" s="1" t="s">
        <v>331</v>
      </c>
      <c r="F10" s="36" t="s">
        <v>28</v>
      </c>
      <c r="G10" s="36">
        <v>8808059.0</v>
      </c>
      <c r="H10" s="11">
        <f>IF(E10="","",SUMIF(Estructuras!B:B,A10,Estructuras!E:E))</f>
        <v>9000072</v>
      </c>
      <c r="I10" s="8" t="str">
        <f>IF(E10="","",IF(COUNTIF(Estructuras!F:F,E10)=0,"Falta Estructura",IF(COUNTIFS(Estructuras!F:F,E10,Estructuras!E:E,0)&gt;0,"Faltan Precios","OK")))</f>
        <v>OK</v>
      </c>
      <c r="J10" s="10" t="str">
        <f>IF(I10="Faltan Precios",COUNTIFS(Estructuras!B:B,A10,Estructuras!E:E,0),"")</f>
        <v/>
      </c>
      <c r="K10" s="8">
        <f t="shared" si="2"/>
        <v>192013</v>
      </c>
      <c r="L10" s="79">
        <f t="shared" si="3"/>
        <v>0.0213346071</v>
      </c>
    </row>
    <row r="11">
      <c r="A11" s="4">
        <f t="shared" si="1"/>
        <v>9</v>
      </c>
      <c r="E11" s="1" t="s">
        <v>332</v>
      </c>
      <c r="F11" s="36" t="s">
        <v>28</v>
      </c>
      <c r="G11" s="36">
        <v>9752616.0</v>
      </c>
      <c r="H11" s="11">
        <f>IF(E11="","",SUMIF(Estructuras!B:B,A11,Estructuras!E:E))</f>
        <v>9752616</v>
      </c>
      <c r="I11" s="8" t="str">
        <f>IF(E11="","",IF(COUNTIF(Estructuras!F:F,E11)=0,"Falta Estructura",IF(COUNTIFS(Estructuras!F:F,E11,Estructuras!E:E,0)&gt;0,"Faltan Precios","OK")))</f>
        <v>OK</v>
      </c>
      <c r="J11" s="10" t="str">
        <f>IF(I11="Faltan Precios",COUNTIFS(Estructuras!B:B,A11,Estructuras!E:E,0),"")</f>
        <v/>
      </c>
      <c r="K11" s="8" t="str">
        <f t="shared" si="2"/>
        <v>OK</v>
      </c>
      <c r="L11" s="79" t="str">
        <f t="shared" si="3"/>
        <v/>
      </c>
    </row>
    <row r="12">
      <c r="A12" s="4">
        <f t="shared" si="1"/>
        <v>10</v>
      </c>
      <c r="E12" s="1" t="s">
        <v>333</v>
      </c>
      <c r="F12" s="36" t="s">
        <v>28</v>
      </c>
      <c r="G12" s="36">
        <v>1.008872E7</v>
      </c>
      <c r="H12" s="11">
        <f>IF(E12="","",SUMIF(Estructuras!B:B,A12,Estructuras!E:E))</f>
        <v>0</v>
      </c>
      <c r="I12" s="8" t="str">
        <f>IF(E12="","",IF(COUNTIF(Estructuras!F:F,E12)=0,"Falta Estructura",IF(COUNTIFS(Estructuras!F:F,E12,Estructuras!E:E,0)&gt;0,"Faltan Precios","OK")))</f>
        <v>Falta Estructura</v>
      </c>
      <c r="J12" s="10" t="str">
        <f>IF(I12="Faltan Precios",COUNTIFS(Estructuras!B:B,A12,Estructuras!E:E,0),"")</f>
        <v/>
      </c>
      <c r="K12" s="8">
        <f t="shared" si="2"/>
        <v>-10088720</v>
      </c>
      <c r="L12" s="79" t="str">
        <f t="shared" si="3"/>
        <v/>
      </c>
    </row>
    <row r="13">
      <c r="A13" s="4">
        <f t="shared" si="1"/>
        <v>11</v>
      </c>
      <c r="E13" s="1" t="s">
        <v>334</v>
      </c>
      <c r="F13" s="36" t="s">
        <v>28</v>
      </c>
      <c r="G13" s="36">
        <v>1.1485754E7</v>
      </c>
      <c r="H13" s="11">
        <f>IF(E13="","",SUMIF(Estructuras!B:B,A13,Estructuras!E:E))</f>
        <v>12413859</v>
      </c>
      <c r="I13" s="8" t="str">
        <f>IF(E13="","",IF(COUNTIF(Estructuras!F:F,E13)=0,"Falta Estructura",IF(COUNTIFS(Estructuras!F:F,E13,Estructuras!E:E,0)&gt;0,"Faltan Precios","OK")))</f>
        <v>OK</v>
      </c>
      <c r="J13" s="10" t="str">
        <f>IF(I13="Faltan Precios",COUNTIFS(Estructuras!B:B,A13,Estructuras!E:E,0),"")</f>
        <v/>
      </c>
      <c r="K13" s="8">
        <f t="shared" si="2"/>
        <v>928105</v>
      </c>
      <c r="L13" s="79">
        <f t="shared" si="3"/>
        <v>0.07476361702</v>
      </c>
    </row>
    <row r="14">
      <c r="A14" s="4">
        <f t="shared" si="1"/>
        <v>12</v>
      </c>
      <c r="E14" s="1" t="s">
        <v>335</v>
      </c>
      <c r="F14" s="36" t="s">
        <v>28</v>
      </c>
      <c r="G14" s="36">
        <v>1.3196072E7</v>
      </c>
      <c r="H14" s="11">
        <f>IF(E14="","",SUMIF(Estructuras!B:B,A14,Estructuras!E:E))</f>
        <v>13196072</v>
      </c>
      <c r="I14" s="8" t="str">
        <f>IF(E14="","",IF(COUNTIF(Estructuras!F:F,E14)=0,"Falta Estructura",IF(COUNTIFS(Estructuras!F:F,E14,Estructuras!E:E,0)&gt;0,"Faltan Precios","OK")))</f>
        <v>OK</v>
      </c>
      <c r="J14" s="10" t="str">
        <f>IF(I14="Faltan Precios",COUNTIFS(Estructuras!B:B,A14,Estructuras!E:E,0),"")</f>
        <v/>
      </c>
      <c r="K14" s="8" t="str">
        <f t="shared" si="2"/>
        <v>OK</v>
      </c>
      <c r="L14" s="79" t="str">
        <f t="shared" si="3"/>
        <v/>
      </c>
    </row>
    <row r="15">
      <c r="A15" s="4">
        <f t="shared" si="1"/>
        <v>13</v>
      </c>
      <c r="E15" s="1" t="s">
        <v>336</v>
      </c>
      <c r="F15" s="36" t="s">
        <v>28</v>
      </c>
      <c r="G15" s="36">
        <v>7509514.0</v>
      </c>
      <c r="H15" s="11">
        <f>IF(E15="","",SUMIF(Estructuras!B:B,A15,Estructuras!E:E))</f>
        <v>7660712</v>
      </c>
      <c r="I15" s="8" t="str">
        <f>IF(E15="","",IF(COUNTIF(Estructuras!F:F,E15)=0,"Falta Estructura",IF(COUNTIFS(Estructuras!F:F,E15,Estructuras!E:E,0)&gt;0,"Faltan Precios","OK")))</f>
        <v>OK</v>
      </c>
      <c r="J15" s="10" t="str">
        <f>IF(I15="Faltan Precios",COUNTIFS(Estructuras!B:B,A15,Estructuras!E:E,0),"")</f>
        <v/>
      </c>
      <c r="K15" s="8">
        <f t="shared" si="2"/>
        <v>151198</v>
      </c>
      <c r="L15" s="79">
        <f t="shared" si="3"/>
        <v>0.01973680775</v>
      </c>
    </row>
    <row r="16">
      <c r="A16" s="4">
        <f t="shared" si="1"/>
        <v>14</v>
      </c>
      <c r="E16" s="1" t="s">
        <v>337</v>
      </c>
      <c r="F16" s="36" t="s">
        <v>28</v>
      </c>
      <c r="G16" s="36">
        <v>6686123.0</v>
      </c>
      <c r="H16" s="11">
        <f>IF(E16="","",SUMIF(Estructuras!B:B,A16,Estructuras!E:E))</f>
        <v>5846838</v>
      </c>
      <c r="I16" s="8" t="str">
        <f>IF(E16="","",IF(COUNTIF(Estructuras!F:F,E16)=0,"Falta Estructura",IF(COUNTIFS(Estructuras!F:F,E16,Estructuras!E:E,0)&gt;0,"Faltan Precios","OK")))</f>
        <v>OK</v>
      </c>
      <c r="J16" s="10" t="str">
        <f>IF(I16="Faltan Precios",COUNTIFS(Estructuras!B:B,A16,Estructuras!E:E,0),"")</f>
        <v/>
      </c>
      <c r="K16" s="8">
        <f t="shared" si="2"/>
        <v>-839285</v>
      </c>
      <c r="L16" s="79">
        <f t="shared" si="3"/>
        <v>-0.1435451093</v>
      </c>
    </row>
    <row r="17">
      <c r="A17" s="4">
        <f t="shared" si="1"/>
        <v>15</v>
      </c>
      <c r="E17" s="1" t="s">
        <v>338</v>
      </c>
      <c r="F17" s="36" t="s">
        <v>28</v>
      </c>
      <c r="G17" s="36">
        <v>8943506.0</v>
      </c>
      <c r="H17" s="11">
        <f>IF(E17="","",SUMIF(Estructuras!B:B,A17,Estructuras!E:E))</f>
        <v>8943506</v>
      </c>
      <c r="I17" s="8" t="str">
        <f>IF(E17="","",IF(COUNTIF(Estructuras!F:F,E17)=0,"Falta Estructura",IF(COUNTIFS(Estructuras!F:F,E17,Estructuras!E:E,0)&gt;0,"Faltan Precios","OK")))</f>
        <v>OK</v>
      </c>
      <c r="J17" s="10" t="str">
        <f>IF(I17="Faltan Precios",COUNTIFS(Estructuras!B:B,A17,Estructuras!E:E,0),"")</f>
        <v/>
      </c>
      <c r="K17" s="8" t="str">
        <f t="shared" si="2"/>
        <v>OK</v>
      </c>
      <c r="L17" s="79" t="str">
        <f t="shared" si="3"/>
        <v/>
      </c>
    </row>
    <row r="18">
      <c r="A18" s="4">
        <f t="shared" si="1"/>
        <v>16</v>
      </c>
      <c r="E18" s="1" t="s">
        <v>339</v>
      </c>
      <c r="F18" s="36" t="s">
        <v>28</v>
      </c>
      <c r="G18" s="36">
        <v>1.0741195E7</v>
      </c>
      <c r="H18" s="11">
        <f>IF(E18="","",SUMIF(Estructuras!B:B,A18,Estructuras!E:E))</f>
        <v>10741195</v>
      </c>
      <c r="I18" s="8" t="str">
        <f>IF(E18="","",IF(COUNTIF(Estructuras!F:F,E18)=0,"Falta Estructura",IF(COUNTIFS(Estructuras!F:F,E18,Estructuras!E:E,0)&gt;0,"Faltan Precios","OK")))</f>
        <v>OK</v>
      </c>
      <c r="J18" s="10" t="str">
        <f>IF(I18="Faltan Precios",COUNTIFS(Estructuras!B:B,A18,Estructuras!E:E,0),"")</f>
        <v/>
      </c>
      <c r="K18" s="8" t="str">
        <f t="shared" si="2"/>
        <v>OK</v>
      </c>
      <c r="L18" s="79" t="str">
        <f t="shared" si="3"/>
        <v/>
      </c>
    </row>
    <row r="19">
      <c r="A19" s="4">
        <f t="shared" si="1"/>
        <v>17</v>
      </c>
      <c r="E19" s="1" t="s">
        <v>340</v>
      </c>
      <c r="F19" s="36" t="s">
        <v>28</v>
      </c>
      <c r="G19" s="36">
        <v>1.4189325E7</v>
      </c>
      <c r="H19" s="11">
        <f>IF(E19="","",SUMIF(Estructuras!B:B,A19,Estructuras!E:E))</f>
        <v>0</v>
      </c>
      <c r="I19" s="8" t="str">
        <f>IF(E19="","",IF(COUNTIF(Estructuras!F:F,E19)=0,"Falta Estructura",IF(COUNTIFS(Estructuras!F:F,E19,Estructuras!E:E,0)&gt;0,"Faltan Precios","OK")))</f>
        <v>Falta Estructura</v>
      </c>
      <c r="J19" s="10" t="str">
        <f>IF(I19="Faltan Precios",COUNTIFS(Estructuras!B:B,A19,Estructuras!E:E,0),"")</f>
        <v/>
      </c>
      <c r="K19" s="8">
        <f t="shared" si="2"/>
        <v>-14189325</v>
      </c>
      <c r="L19" s="79" t="str">
        <f t="shared" si="3"/>
        <v/>
      </c>
    </row>
    <row r="20">
      <c r="A20" s="4">
        <f t="shared" si="1"/>
        <v>18</v>
      </c>
      <c r="E20" s="1" t="s">
        <v>341</v>
      </c>
      <c r="F20" s="36" t="s">
        <v>28</v>
      </c>
      <c r="G20" s="36">
        <v>1.5515E7</v>
      </c>
      <c r="H20" s="11">
        <f>IF(E20="","",SUMIF(Estructuras!B:B,A20,Estructuras!E:E))</f>
        <v>15515000</v>
      </c>
      <c r="I20" s="8" t="str">
        <f>IF(E20="","",IF(COUNTIF(Estructuras!F:F,E20)=0,"Falta Estructura",IF(COUNTIFS(Estructuras!F:F,E20,Estructuras!E:E,0)&gt;0,"Faltan Precios","OK")))</f>
        <v>OK</v>
      </c>
      <c r="J20" s="10" t="str">
        <f>IF(I20="Faltan Precios",COUNTIFS(Estructuras!B:B,A20,Estructuras!E:E,0),"")</f>
        <v/>
      </c>
      <c r="K20" s="8" t="str">
        <f t="shared" si="2"/>
        <v>OK</v>
      </c>
      <c r="L20" s="79" t="str">
        <f t="shared" si="3"/>
        <v/>
      </c>
    </row>
    <row r="21">
      <c r="A21" s="4">
        <f t="shared" si="1"/>
        <v>19</v>
      </c>
      <c r="E21" s="1" t="s">
        <v>342</v>
      </c>
      <c r="F21" s="36" t="s">
        <v>28</v>
      </c>
      <c r="G21" s="36">
        <v>1.79225E7</v>
      </c>
      <c r="H21" s="11">
        <f>IF(E21="","",SUMIF(Estructuras!B:B,A21,Estructuras!E:E))</f>
        <v>16353592</v>
      </c>
      <c r="I21" s="8" t="str">
        <f>IF(E21="","",IF(COUNTIF(Estructuras!F:F,E21)=0,"Falta Estructura",IF(COUNTIFS(Estructuras!F:F,E21,Estructuras!E:E,0)&gt;0,"Faltan Precios","OK")))</f>
        <v>OK</v>
      </c>
      <c r="J21" s="10" t="str">
        <f>IF(I21="Faltan Precios",COUNTIFS(Estructuras!B:B,A21,Estructuras!E:E,0),"")</f>
        <v/>
      </c>
      <c r="K21" s="8">
        <f t="shared" si="2"/>
        <v>-1568908</v>
      </c>
      <c r="L21" s="79">
        <f t="shared" si="3"/>
        <v>-0.09593659913</v>
      </c>
    </row>
    <row r="22">
      <c r="A22" s="4">
        <f t="shared" si="1"/>
        <v>20</v>
      </c>
      <c r="E22" s="1" t="s">
        <v>343</v>
      </c>
      <c r="F22" s="36" t="s">
        <v>28</v>
      </c>
      <c r="G22" s="36">
        <v>1.0635019E7</v>
      </c>
      <c r="H22" s="11">
        <f>IF(E22="","",SUMIF(Estructuras!B:B,A22,Estructuras!E:E))</f>
        <v>11395019</v>
      </c>
      <c r="I22" s="8" t="str">
        <f>IF(E22="","",IF(COUNTIF(Estructuras!F:F,E22)=0,"Falta Estructura",IF(COUNTIFS(Estructuras!F:F,E22,Estructuras!E:E,0)&gt;0,"Faltan Precios","OK")))</f>
        <v>OK</v>
      </c>
      <c r="J22" s="10" t="str">
        <f>IF(I22="Faltan Precios",COUNTIFS(Estructuras!B:B,A22,Estructuras!E:E,0),"")</f>
        <v/>
      </c>
      <c r="K22" s="8">
        <f t="shared" si="2"/>
        <v>760000</v>
      </c>
      <c r="L22" s="79">
        <f t="shared" si="3"/>
        <v>0.06669580805</v>
      </c>
    </row>
    <row r="23">
      <c r="A23" s="4">
        <f t="shared" si="1"/>
        <v>21</v>
      </c>
      <c r="E23" s="1" t="s">
        <v>344</v>
      </c>
      <c r="F23" s="36" t="s">
        <v>28</v>
      </c>
      <c r="G23" s="36">
        <v>6357302.0</v>
      </c>
      <c r="H23" s="11">
        <f>IF(E23="","",SUMIF(Estructuras!B:B,A23,Estructuras!E:E))</f>
        <v>6357302</v>
      </c>
      <c r="I23" s="8" t="str">
        <f>IF(E23="","",IF(COUNTIF(Estructuras!F:F,E23)=0,"Falta Estructura",IF(COUNTIFS(Estructuras!F:F,E23,Estructuras!E:E,0)&gt;0,"Faltan Precios","OK")))</f>
        <v>OK</v>
      </c>
      <c r="J23" s="10" t="str">
        <f>IF(I23="Faltan Precios",COUNTIFS(Estructuras!B:B,A23,Estructuras!E:E,0),"")</f>
        <v/>
      </c>
      <c r="K23" s="8" t="str">
        <f t="shared" si="2"/>
        <v>OK</v>
      </c>
      <c r="L23" s="79" t="str">
        <f t="shared" si="3"/>
        <v/>
      </c>
    </row>
    <row r="24">
      <c r="A24" s="4">
        <f t="shared" si="1"/>
        <v>22</v>
      </c>
      <c r="E24" s="1" t="s">
        <v>345</v>
      </c>
      <c r="F24" s="36" t="s">
        <v>28</v>
      </c>
      <c r="G24" s="36">
        <v>6997175.0</v>
      </c>
      <c r="H24" s="11">
        <f>IF(E24="","",SUMIF(Estructuras!B:B,A24,Estructuras!E:E))</f>
        <v>6997175</v>
      </c>
      <c r="I24" s="8" t="str">
        <f>IF(E24="","",IF(COUNTIF(Estructuras!F:F,E24)=0,"Falta Estructura",IF(COUNTIFS(Estructuras!F:F,E24,Estructuras!E:E,0)&gt;0,"Faltan Precios","OK")))</f>
        <v>OK</v>
      </c>
      <c r="J24" s="10" t="str">
        <f>IF(I24="Faltan Precios",COUNTIFS(Estructuras!B:B,A24,Estructuras!E:E,0),"")</f>
        <v/>
      </c>
      <c r="K24" s="8" t="str">
        <f t="shared" si="2"/>
        <v>OK</v>
      </c>
    </row>
    <row r="25">
      <c r="A25" s="4">
        <f t="shared" si="1"/>
        <v>23</v>
      </c>
      <c r="E25" s="1" t="s">
        <v>346</v>
      </c>
      <c r="F25" s="36" t="s">
        <v>28</v>
      </c>
      <c r="G25" s="36">
        <v>6917208.0</v>
      </c>
      <c r="H25" s="11">
        <f>IF(E25="","",SUMIF(Estructuras!B:B,A25,Estructuras!E:E))</f>
        <v>6917208</v>
      </c>
      <c r="I25" s="8" t="str">
        <f>IF(E25="","",IF(COUNTIF(Estructuras!F:F,E25)=0,"Falta Estructura",IF(COUNTIFS(Estructuras!F:F,E25,Estructuras!E:E,0)&gt;0,"Faltan Precios","OK")))</f>
        <v>OK</v>
      </c>
      <c r="J25" s="10" t="str">
        <f>IF(I25="Faltan Precios",COUNTIFS(Estructuras!B:B,A25,Estructuras!E:E,0),"")</f>
        <v/>
      </c>
      <c r="K25" s="8" t="str">
        <f t="shared" si="2"/>
        <v>OK</v>
      </c>
    </row>
    <row r="26">
      <c r="A26" s="4">
        <f t="shared" si="1"/>
        <v>24</v>
      </c>
      <c r="E26" s="1" t="s">
        <v>347</v>
      </c>
      <c r="F26" s="36" t="s">
        <v>28</v>
      </c>
      <c r="G26" s="36">
        <v>7157026.0</v>
      </c>
      <c r="H26" s="11">
        <f>IF(E26="","",SUMIF(Estructuras!B:B,A26,Estructuras!E:E))</f>
        <v>7157026</v>
      </c>
      <c r="I26" s="8" t="str">
        <f>IF(E26="","",IF(COUNTIF(Estructuras!F:F,E26)=0,"Falta Estructura",IF(COUNTIFS(Estructuras!F:F,E26,Estructuras!E:E,0)&gt;0,"Faltan Precios","OK")))</f>
        <v>OK</v>
      </c>
      <c r="J26" s="10" t="str">
        <f>IF(I26="Faltan Precios",COUNTIFS(Estructuras!B:B,A26,Estructuras!E:E,0),"")</f>
        <v/>
      </c>
      <c r="K26" s="8" t="str">
        <f t="shared" si="2"/>
        <v>OK</v>
      </c>
    </row>
    <row r="27">
      <c r="A27" s="4">
        <f t="shared" si="1"/>
        <v>25</v>
      </c>
      <c r="E27" s="1" t="s">
        <v>348</v>
      </c>
      <c r="F27" s="36" t="s">
        <v>349</v>
      </c>
      <c r="G27" s="36">
        <v>4304021.0</v>
      </c>
      <c r="H27" s="11">
        <f>IF(E27="","",SUMIF(Estructuras!B:B,A27,Estructuras!E:E))</f>
        <v>4304021</v>
      </c>
      <c r="I27" s="8" t="str">
        <f>IF(E27="","",IF(COUNTIF(Estructuras!F:F,E27)=0,"Falta Estructura",IF(COUNTIFS(Estructuras!F:F,E27,Estructuras!E:E,0)&gt;0,"Faltan Precios","OK")))</f>
        <v>OK</v>
      </c>
      <c r="J27" s="10" t="str">
        <f>IF(I27="Faltan Precios",COUNTIFS(Estructuras!B:B,A27,Estructuras!E:E,0),"")</f>
        <v/>
      </c>
      <c r="K27" s="8" t="str">
        <f t="shared" si="2"/>
        <v>OK</v>
      </c>
    </row>
    <row r="28">
      <c r="A28" s="4">
        <f t="shared" si="1"/>
        <v>26</v>
      </c>
      <c r="E28" s="1" t="s">
        <v>350</v>
      </c>
      <c r="F28" s="36" t="s">
        <v>349</v>
      </c>
      <c r="G28" s="36">
        <v>4700000.0</v>
      </c>
      <c r="H28" s="11">
        <f>IF(E28="","",SUMIF(Estructuras!B:B,A28,Estructuras!E:E))</f>
        <v>4700000</v>
      </c>
      <c r="I28" s="8" t="str">
        <f>IF(E28="","",IF(COUNTIF(Estructuras!F:F,E28)=0,"Falta Estructura",IF(COUNTIFS(Estructuras!F:F,E28,Estructuras!E:E,0)&gt;0,"Faltan Precios","OK")))</f>
        <v>OK</v>
      </c>
      <c r="J28" s="10" t="str">
        <f>IF(I28="Faltan Precios",COUNTIFS(Estructuras!B:B,A28,Estructuras!E:E,0),"")</f>
        <v/>
      </c>
      <c r="K28" s="8" t="str">
        <f t="shared" si="2"/>
        <v>OK</v>
      </c>
    </row>
    <row r="29">
      <c r="A29" s="4">
        <f t="shared" si="1"/>
        <v>27</v>
      </c>
      <c r="E29" s="1" t="s">
        <v>351</v>
      </c>
      <c r="F29" s="36" t="s">
        <v>349</v>
      </c>
      <c r="G29" s="36">
        <v>4926844.0</v>
      </c>
      <c r="H29" s="11">
        <f>IF(E29="","",SUMIF(Estructuras!B:B,A29,Estructuras!E:E))</f>
        <v>4926844</v>
      </c>
      <c r="I29" s="8" t="str">
        <f>IF(E29="","",IF(COUNTIF(Estructuras!F:F,E29)=0,"Falta Estructura",IF(COUNTIFS(Estructuras!F:F,E29,Estructuras!E:E,0)&gt;0,"Faltan Precios","OK")))</f>
        <v>OK</v>
      </c>
      <c r="J29" s="10" t="str">
        <f>IF(I29="Faltan Precios",COUNTIFS(Estructuras!B:B,A29,Estructuras!E:E,0),"")</f>
        <v/>
      </c>
      <c r="K29" s="8" t="str">
        <f t="shared" si="2"/>
        <v>OK</v>
      </c>
    </row>
    <row r="30">
      <c r="A30" s="4">
        <f t="shared" si="1"/>
        <v>28</v>
      </c>
      <c r="E30" s="1" t="s">
        <v>352</v>
      </c>
      <c r="F30" s="36" t="s">
        <v>349</v>
      </c>
      <c r="G30" s="36">
        <v>5721437.0</v>
      </c>
      <c r="H30" s="11">
        <f>IF(E30="","",SUMIF(Estructuras!B:B,A30,Estructuras!E:E))</f>
        <v>5721437</v>
      </c>
      <c r="I30" s="8" t="str">
        <f>IF(E30="","",IF(COUNTIF(Estructuras!F:F,E30)=0,"Falta Estructura",IF(COUNTIFS(Estructuras!F:F,E30,Estructuras!E:E,0)&gt;0,"Faltan Precios","OK")))</f>
        <v>OK</v>
      </c>
      <c r="J30" s="10" t="str">
        <f>IF(I30="Faltan Precios",COUNTIFS(Estructuras!B:B,A30,Estructuras!E:E,0),"")</f>
        <v/>
      </c>
      <c r="K30" s="8" t="str">
        <f t="shared" si="2"/>
        <v>OK</v>
      </c>
    </row>
    <row r="31">
      <c r="A31" s="4">
        <f t="shared" si="1"/>
        <v>29</v>
      </c>
      <c r="E31" s="1" t="s">
        <v>353</v>
      </c>
      <c r="F31" s="36" t="s">
        <v>349</v>
      </c>
      <c r="G31" s="36">
        <v>6116654.0</v>
      </c>
      <c r="H31" s="11">
        <f>IF(E31="","",SUMIF(Estructuras!B:B,A31,Estructuras!E:E))</f>
        <v>6116654</v>
      </c>
      <c r="I31" s="8" t="str">
        <f>IF(E31="","",IF(COUNTIF(Estructuras!F:F,E31)=0,"Falta Estructura",IF(COUNTIFS(Estructuras!F:F,E31,Estructuras!E:E,0)&gt;0,"Faltan Precios","OK")))</f>
        <v>OK</v>
      </c>
      <c r="J31" s="10" t="str">
        <f>IF(I31="Faltan Precios",COUNTIFS(Estructuras!B:B,A31,Estructuras!E:E,0),"")</f>
        <v/>
      </c>
      <c r="K31" s="8" t="str">
        <f t="shared" si="2"/>
        <v>OK</v>
      </c>
    </row>
    <row r="32">
      <c r="A32" s="4">
        <f t="shared" si="1"/>
        <v>30</v>
      </c>
      <c r="E32" s="1" t="s">
        <v>354</v>
      </c>
      <c r="F32" s="36" t="s">
        <v>349</v>
      </c>
      <c r="G32" s="36">
        <v>6786294.0</v>
      </c>
      <c r="H32" s="11">
        <f>IF(E32="","",SUMIF(Estructuras!B:B,A32,Estructuras!E:E))</f>
        <v>6786294</v>
      </c>
      <c r="I32" s="8" t="str">
        <f>IF(E32="","",IF(COUNTIF(Estructuras!F:F,E32)=0,"Falta Estructura",IF(COUNTIFS(Estructuras!F:F,E32,Estructuras!E:E,0)&gt;0,"Faltan Precios","OK")))</f>
        <v>OK</v>
      </c>
      <c r="J32" s="10" t="str">
        <f>IF(I32="Faltan Precios",COUNTIFS(Estructuras!B:B,A32,Estructuras!E:E,0),"")</f>
        <v/>
      </c>
      <c r="K32" s="8" t="str">
        <f t="shared" si="2"/>
        <v>OK</v>
      </c>
    </row>
    <row r="33">
      <c r="A33" s="4">
        <f t="shared" si="1"/>
        <v>31</v>
      </c>
      <c r="E33" s="1" t="s">
        <v>355</v>
      </c>
      <c r="F33" s="36" t="s">
        <v>349</v>
      </c>
      <c r="G33" s="11">
        <v>5636844.0</v>
      </c>
      <c r="H33" s="11">
        <f>IF(E33="","",SUMIF(Estructuras!B:B,A33,Estructuras!E:E))</f>
        <v>0</v>
      </c>
      <c r="I33" s="8" t="str">
        <f>IF(E33="","",IF(COUNTIF(Estructuras!F:F,E33)=0,"Falta Estructura",IF(COUNTIFS(Estructuras!F:F,E33,Estructuras!E:E,0)&gt;0,"Faltan Precios","OK")))</f>
        <v>Falta Estructura</v>
      </c>
      <c r="J33" s="10" t="str">
        <f>IF(I33="Faltan Precios",COUNTIFS(Estructuras!B:B,A33,Estructuras!E:E,0),"")</f>
        <v/>
      </c>
      <c r="K33" s="8">
        <f t="shared" si="2"/>
        <v>-5636844</v>
      </c>
    </row>
    <row r="34">
      <c r="A34" s="4">
        <f t="shared" si="1"/>
        <v>32</v>
      </c>
      <c r="E34" s="1" t="s">
        <v>356</v>
      </c>
      <c r="F34" s="36" t="s">
        <v>349</v>
      </c>
      <c r="G34" s="11">
        <v>6431437.0</v>
      </c>
      <c r="H34" s="11">
        <f>IF(E34="","",SUMIF(Estructuras!B:B,A34,Estructuras!E:E))</f>
        <v>0</v>
      </c>
      <c r="I34" s="8" t="str">
        <f>IF(E34="","",IF(COUNTIF(Estructuras!F:F,E34)=0,"Falta Estructura",IF(COUNTIFS(Estructuras!F:F,E34,Estructuras!E:E,0)&gt;0,"Faltan Precios","OK")))</f>
        <v>Falta Estructura</v>
      </c>
      <c r="J34" s="10" t="str">
        <f>IF(I34="Faltan Precios",COUNTIFS(Estructuras!B:B,A34,Estructuras!E:E,0),"")</f>
        <v/>
      </c>
      <c r="K34" s="8">
        <f t="shared" si="2"/>
        <v>-6431437</v>
      </c>
    </row>
    <row r="35">
      <c r="A35" s="4">
        <f t="shared" si="1"/>
        <v>33</v>
      </c>
      <c r="E35" s="1" t="s">
        <v>357</v>
      </c>
      <c r="F35" s="36" t="s">
        <v>358</v>
      </c>
      <c r="G35" s="11">
        <v>7086578.0</v>
      </c>
      <c r="H35" s="11">
        <f>IF(E35="","",SUMIF(Estructuras!B:B,A35,Estructuras!E:E))</f>
        <v>7086578</v>
      </c>
      <c r="I35" s="8" t="str">
        <f>IF(E35="","",IF(COUNTIF(Estructuras!F:F,E35)=0,"Falta Estructura",IF(COUNTIFS(Estructuras!F:F,E35,Estructuras!E:E,0)&gt;0,"Faltan Precios","OK")))</f>
        <v>OK</v>
      </c>
      <c r="J35" s="10" t="str">
        <f>IF(I35="Faltan Precios",COUNTIFS(Estructuras!B:B,A35,Estructuras!E:E,0),"")</f>
        <v/>
      </c>
      <c r="K35" s="8" t="str">
        <f t="shared" si="2"/>
        <v>OK</v>
      </c>
    </row>
    <row r="36">
      <c r="A36" s="4">
        <f t="shared" si="1"/>
        <v>34</v>
      </c>
      <c r="E36" s="1" t="s">
        <v>359</v>
      </c>
      <c r="F36" s="36" t="s">
        <v>358</v>
      </c>
      <c r="G36" s="11">
        <v>1.05E7</v>
      </c>
      <c r="H36" s="11">
        <f>IF(E36="","",SUMIF(Estructuras!B:B,A36,Estructuras!E:E))</f>
        <v>10500000</v>
      </c>
      <c r="I36" s="8" t="str">
        <f>IF(E36="","",IF(COUNTIF(Estructuras!F:F,E36)=0,"Falta Estructura",IF(COUNTIFS(Estructuras!F:F,E36,Estructuras!E:E,0)&gt;0,"Faltan Precios","OK")))</f>
        <v>OK</v>
      </c>
      <c r="J36" s="10" t="str">
        <f>IF(I36="Faltan Precios",COUNTIFS(Estructuras!B:B,A36,Estructuras!E:E,0),"")</f>
        <v/>
      </c>
      <c r="K36" s="8" t="str">
        <f t="shared" si="2"/>
        <v>OK</v>
      </c>
    </row>
    <row r="37">
      <c r="A37" s="4">
        <f t="shared" si="1"/>
        <v>35</v>
      </c>
      <c r="E37" s="1" t="s">
        <v>360</v>
      </c>
      <c r="F37" s="36" t="s">
        <v>358</v>
      </c>
      <c r="G37" s="36">
        <v>1.294281E7</v>
      </c>
      <c r="H37" s="11">
        <f>IF(E37="","",SUMIF(Estructuras!B:B,A37,Estructuras!E:E))</f>
        <v>12942810</v>
      </c>
      <c r="I37" s="8" t="str">
        <f>IF(E37="","",IF(COUNTIF(Estructuras!F:F,E37)=0,"Falta Estructura",IF(COUNTIFS(Estructuras!F:F,E37,Estructuras!E:E,0)&gt;0,"Faltan Precios","OK")))</f>
        <v>OK</v>
      </c>
      <c r="J37" s="10" t="str">
        <f>IF(I37="Faltan Precios",COUNTIFS(Estructuras!B:B,A37,Estructuras!E:E,0),"")</f>
        <v/>
      </c>
      <c r="K37" s="8" t="str">
        <f t="shared" si="2"/>
        <v>OK</v>
      </c>
    </row>
    <row r="38">
      <c r="A38" s="4">
        <f t="shared" si="1"/>
        <v>36</v>
      </c>
      <c r="E38" s="1" t="s">
        <v>361</v>
      </c>
      <c r="F38" s="36" t="s">
        <v>358</v>
      </c>
      <c r="G38" s="36">
        <v>1.1756756E7</v>
      </c>
      <c r="H38" s="11">
        <f>IF(E38="","",SUMIF(Estructuras!B:B,A38,Estructuras!E:E))</f>
        <v>11756756</v>
      </c>
      <c r="I38" s="8" t="str">
        <f>IF(E38="","",IF(COUNTIF(Estructuras!F:F,E38)=0,"Falta Estructura",IF(COUNTIFS(Estructuras!F:F,E38,Estructuras!E:E,0)&gt;0,"Faltan Precios","OK")))</f>
        <v>OK</v>
      </c>
      <c r="J38" s="10" t="str">
        <f>IF(I38="Faltan Precios",COUNTIFS(Estructuras!B:B,A38,Estructuras!E:E,0),"")</f>
        <v/>
      </c>
      <c r="K38" s="8" t="str">
        <f t="shared" si="2"/>
        <v>OK</v>
      </c>
    </row>
    <row r="39">
      <c r="A39" s="4">
        <f t="shared" si="1"/>
        <v>37</v>
      </c>
      <c r="E39" s="1" t="s">
        <v>362</v>
      </c>
      <c r="F39" s="36" t="s">
        <v>358</v>
      </c>
      <c r="G39" s="36">
        <v>1.4199566E7</v>
      </c>
      <c r="H39" s="11">
        <f>IF(E39="","",SUMIF(Estructuras!B:B,A39,Estructuras!E:E))</f>
        <v>14124914</v>
      </c>
      <c r="I39" s="8" t="str">
        <f>IF(E39="","",IF(COUNTIF(Estructuras!F:F,E39)=0,"Falta Estructura",IF(COUNTIFS(Estructuras!F:F,E39,Estructuras!E:E,0)&gt;0,"Faltan Precios","OK")))</f>
        <v>OK</v>
      </c>
      <c r="J39" s="10" t="str">
        <f>IF(I39="Faltan Precios",COUNTIFS(Estructuras!B:B,A39,Estructuras!E:E,0),"")</f>
        <v/>
      </c>
      <c r="K39" s="8">
        <f t="shared" si="2"/>
        <v>-74652</v>
      </c>
    </row>
    <row r="40">
      <c r="A40" s="4">
        <f t="shared" si="1"/>
        <v>38</v>
      </c>
      <c r="E40" s="1" t="s">
        <v>363</v>
      </c>
      <c r="F40" s="36" t="s">
        <v>364</v>
      </c>
      <c r="G40" s="36">
        <v>4130000.0</v>
      </c>
      <c r="H40" s="11">
        <f>IF(E40="","",SUMIF(Estructuras!B:B,A40,Estructuras!E:E))</f>
        <v>4130000</v>
      </c>
      <c r="I40" s="8" t="str">
        <f>IF(E40="","",IF(COUNTIF(Estructuras!F:F,E40)=0,"Falta Estructura",IF(COUNTIFS(Estructuras!F:F,E40,Estructuras!E:E,0)&gt;0,"Faltan Precios","OK")))</f>
        <v>OK</v>
      </c>
      <c r="J40" s="10" t="str">
        <f>IF(I40="Faltan Precios",COUNTIFS(Estructuras!B:B,A40,Estructuras!E:E,0),"")</f>
        <v/>
      </c>
      <c r="K40" s="8" t="str">
        <f t="shared" si="2"/>
        <v>OK</v>
      </c>
    </row>
    <row r="41">
      <c r="A41" s="4">
        <f t="shared" si="1"/>
        <v>39</v>
      </c>
      <c r="E41" s="1" t="s">
        <v>365</v>
      </c>
      <c r="F41" s="36" t="s">
        <v>364</v>
      </c>
      <c r="G41" s="36">
        <v>3520000.0</v>
      </c>
      <c r="H41" s="11">
        <f>IF(E41="","",SUMIF(Estructuras!B:B,A41,Estructuras!E:E))</f>
        <v>3520000</v>
      </c>
      <c r="I41" s="8" t="str">
        <f>IF(E41="","",IF(COUNTIF(Estructuras!F:F,E41)=0,"Falta Estructura",IF(COUNTIFS(Estructuras!F:F,E41,Estructuras!E:E,0)&gt;0,"Faltan Precios","OK")))</f>
        <v>OK</v>
      </c>
      <c r="J41" s="10" t="str">
        <f>IF(I41="Faltan Precios",COUNTIFS(Estructuras!B:B,A41,Estructuras!E:E,0),"")</f>
        <v/>
      </c>
      <c r="K41" s="8" t="str">
        <f t="shared" si="2"/>
        <v>OK</v>
      </c>
    </row>
    <row r="42">
      <c r="A42" s="4">
        <f t="shared" si="1"/>
        <v>40</v>
      </c>
      <c r="E42" s="1" t="s">
        <v>366</v>
      </c>
      <c r="F42" s="36" t="s">
        <v>364</v>
      </c>
      <c r="G42" s="36">
        <v>0.0</v>
      </c>
      <c r="H42" s="11">
        <f>IF(E42="","",SUMIF(Estructuras!B:B,A42,Estructuras!E:E))</f>
        <v>0</v>
      </c>
      <c r="I42" s="8" t="str">
        <f>IF(E42="","",IF(COUNTIF(Estructuras!F:F,E42)=0,"Falta Estructura",IF(COUNTIFS(Estructuras!F:F,E42,Estructuras!E:E,0)&gt;0,"Faltan Precios","OK")))</f>
        <v>Falta Estructura</v>
      </c>
      <c r="J42" s="10" t="str">
        <f>IF(I42="Faltan Precios",COUNTIFS(Estructuras!B:B,A42,Estructuras!E:E,0),"")</f>
        <v/>
      </c>
      <c r="K42" s="8" t="str">
        <f t="shared" si="2"/>
        <v>OK</v>
      </c>
    </row>
    <row r="43">
      <c r="A43" s="4">
        <f t="shared" si="1"/>
        <v>41</v>
      </c>
      <c r="E43" s="1" t="s">
        <v>367</v>
      </c>
      <c r="F43" s="36" t="s">
        <v>364</v>
      </c>
      <c r="G43" s="36">
        <v>6844932.0</v>
      </c>
      <c r="H43" s="11">
        <f>IF(E43="","",SUMIF(Estructuras!B:B,A43,Estructuras!E:E))</f>
        <v>575700</v>
      </c>
      <c r="I43" s="8" t="str">
        <f>IF(E43="","",IF(COUNTIF(Estructuras!F:F,E43)=0,"Falta Estructura",IF(COUNTIFS(Estructuras!F:F,E43,Estructuras!E:E,0)&gt;0,"Faltan Precios","OK")))</f>
        <v>OK</v>
      </c>
      <c r="J43" s="10" t="str">
        <f>IF(I43="Faltan Precios",COUNTIFS(Estructuras!B:B,A43,Estructuras!E:E,0),"")</f>
        <v/>
      </c>
      <c r="K43" s="8">
        <f t="shared" si="2"/>
        <v>-6269232</v>
      </c>
    </row>
    <row r="44">
      <c r="A44" s="4">
        <f t="shared" si="1"/>
        <v>42</v>
      </c>
      <c r="E44" s="80" t="s">
        <v>368</v>
      </c>
      <c r="F44" s="36" t="s">
        <v>364</v>
      </c>
      <c r="G44" s="36">
        <v>3835920.0</v>
      </c>
      <c r="H44" s="11">
        <f>IF(E44="","",SUMIF(Estructuras!B:B,A44,Estructuras!E:E))</f>
        <v>3835920</v>
      </c>
      <c r="I44" s="8" t="str">
        <f>IF(E44="","",IF(COUNTIF(Estructuras!F:F,E44)=0,"Falta Estructura",IF(COUNTIFS(Estructuras!F:F,E44,Estructuras!E:E,0)&gt;0,"Faltan Precios","OK")))</f>
        <v>OK</v>
      </c>
      <c r="J44" s="10" t="str">
        <f>IF(I44="Faltan Precios",COUNTIFS(Estructuras!B:B,A44,Estructuras!E:E,0),"")</f>
        <v/>
      </c>
      <c r="K44" s="8" t="str">
        <f t="shared" si="2"/>
        <v>OK</v>
      </c>
    </row>
    <row r="45">
      <c r="A45" s="4">
        <f t="shared" si="1"/>
        <v>43</v>
      </c>
      <c r="E45" s="80" t="s">
        <v>369</v>
      </c>
      <c r="F45" s="36" t="s">
        <v>364</v>
      </c>
      <c r="G45" s="36">
        <v>7160000.0</v>
      </c>
      <c r="H45" s="11">
        <f>IF(E45="","",SUMIF(Estructuras!B:B,A45,Estructuras!E:E))</f>
        <v>891620</v>
      </c>
      <c r="I45" s="8" t="str">
        <f>IF(E45="","",IF(COUNTIF(Estructuras!F:F,E45)=0,"Falta Estructura",IF(COUNTIFS(Estructuras!F:F,E45,Estructuras!E:E,0)&gt;0,"Faltan Precios","OK")))</f>
        <v>OK</v>
      </c>
      <c r="J45" s="10" t="str">
        <f>IF(I45="Faltan Precios",COUNTIFS(Estructuras!B:B,A45,Estructuras!E:E,0),"")</f>
        <v/>
      </c>
      <c r="K45" s="8">
        <f t="shared" si="2"/>
        <v>-6268380</v>
      </c>
    </row>
    <row r="46">
      <c r="A46" s="4">
        <f t="shared" si="1"/>
        <v>44</v>
      </c>
      <c r="E46" s="80" t="s">
        <v>370</v>
      </c>
      <c r="F46" s="36" t="s">
        <v>364</v>
      </c>
      <c r="G46" s="36">
        <v>4587084.0</v>
      </c>
      <c r="H46" s="11">
        <f>IF(E46="","",SUMIF(Estructuras!B:B,A46,Estructuras!E:E))</f>
        <v>4587084</v>
      </c>
      <c r="I46" s="8" t="str">
        <f>IF(E46="","",IF(COUNTIF(Estructuras!F:F,E46)=0,"Falta Estructura",IF(COUNTIFS(Estructuras!F:F,E46,Estructuras!E:E,0)&gt;0,"Faltan Precios","OK")))</f>
        <v>OK</v>
      </c>
      <c r="J46" s="10" t="str">
        <f>IF(I46="Faltan Precios",COUNTIFS(Estructuras!B:B,A46,Estructuras!E:E,0),"")</f>
        <v/>
      </c>
      <c r="K46" s="8" t="str">
        <f t="shared" si="2"/>
        <v>OK</v>
      </c>
    </row>
    <row r="47">
      <c r="A47" s="4">
        <f t="shared" si="1"/>
        <v>45</v>
      </c>
      <c r="E47" s="80" t="s">
        <v>371</v>
      </c>
      <c r="F47" s="36" t="s">
        <v>364</v>
      </c>
      <c r="G47" s="36">
        <v>7845179.0</v>
      </c>
      <c r="H47" s="11">
        <f>IF(E47="","",SUMIF(Estructuras!B:B,A47,Estructuras!E:E))</f>
        <v>1575947</v>
      </c>
      <c r="I47" s="8" t="str">
        <f>IF(E47="","",IF(COUNTIF(Estructuras!F:F,E47)=0,"Falta Estructura",IF(COUNTIFS(Estructuras!F:F,E47,Estructuras!E:E,0)&gt;0,"Faltan Precios","OK")))</f>
        <v>OK</v>
      </c>
      <c r="J47" s="10" t="str">
        <f>IF(I47="Faltan Precios",COUNTIFS(Estructuras!B:B,A47,Estructuras!E:E,0),"")</f>
        <v/>
      </c>
      <c r="K47" s="8">
        <f t="shared" si="2"/>
        <v>-6269232</v>
      </c>
    </row>
    <row r="48">
      <c r="A48" s="4">
        <f t="shared" si="1"/>
        <v>46</v>
      </c>
      <c r="E48" s="1" t="s">
        <v>372</v>
      </c>
      <c r="F48" s="36" t="s">
        <v>373</v>
      </c>
      <c r="G48" s="36">
        <v>8563421.0</v>
      </c>
      <c r="H48" s="11">
        <f>IF(E48="","",SUMIF(Estructuras!B:B,A48,Estructuras!E:E))</f>
        <v>8914821</v>
      </c>
      <c r="I48" s="8" t="str">
        <f>IF(E48="","",IF(COUNTIF(Estructuras!F:F,E48)=0,"Falta Estructura",IF(COUNTIFS(Estructuras!F:F,E48,Estructuras!E:E,0)&gt;0,"Faltan Precios","OK")))</f>
        <v>OK</v>
      </c>
      <c r="J48" s="10" t="str">
        <f>IF(I48="Faltan Precios",COUNTIFS(Estructuras!B:B,A48,Estructuras!E:E,0),"")</f>
        <v/>
      </c>
      <c r="K48" s="8">
        <f t="shared" si="2"/>
        <v>351400</v>
      </c>
    </row>
    <row r="49">
      <c r="A49" s="4">
        <f t="shared" si="1"/>
        <v>47</v>
      </c>
      <c r="E49" s="1" t="s">
        <v>374</v>
      </c>
      <c r="F49" s="36" t="s">
        <v>373</v>
      </c>
      <c r="G49" s="36">
        <v>1.0190722E7</v>
      </c>
      <c r="H49" s="11">
        <f>IF(E49="","",SUMIF(Estructuras!B:B,A49,Estructuras!E:E))</f>
        <v>10542122</v>
      </c>
      <c r="I49" s="8" t="str">
        <f>IF(E49="","",IF(COUNTIF(Estructuras!F:F,E49)=0,"Falta Estructura",IF(COUNTIFS(Estructuras!F:F,E49,Estructuras!E:E,0)&gt;0,"Faltan Precios","OK")))</f>
        <v>OK</v>
      </c>
      <c r="J49" s="10" t="str">
        <f>IF(I49="Faltan Precios",COUNTIFS(Estructuras!B:B,A49,Estructuras!E:E,0),"")</f>
        <v/>
      </c>
      <c r="K49" s="8">
        <f t="shared" si="2"/>
        <v>351400</v>
      </c>
    </row>
    <row r="50">
      <c r="A50" s="4">
        <f t="shared" si="1"/>
        <v>48</v>
      </c>
      <c r="E50" s="1" t="s">
        <v>375</v>
      </c>
      <c r="F50" s="36" t="s">
        <v>376</v>
      </c>
      <c r="G50" s="36">
        <v>8254729.0</v>
      </c>
      <c r="H50" s="11">
        <f>IF(E50="","",SUMIF(Estructuras!B:B,A50,Estructuras!E:E))</f>
        <v>8254729</v>
      </c>
      <c r="I50" s="8" t="str">
        <f>IF(E50="","",IF(COUNTIF(Estructuras!F:F,E50)=0,"Falta Estructura",IF(COUNTIFS(Estructuras!F:F,E50,Estructuras!E:E,0)&gt;0,"Faltan Precios","OK")))</f>
        <v>OK</v>
      </c>
      <c r="J50" s="10" t="str">
        <f>IF(I50="Faltan Precios",COUNTIFS(Estructuras!B:B,A50,Estructuras!E:E,0),"")</f>
        <v/>
      </c>
      <c r="K50" s="8" t="str">
        <f t="shared" si="2"/>
        <v>OK</v>
      </c>
    </row>
    <row r="51">
      <c r="A51" s="4">
        <f t="shared" si="1"/>
        <v>49</v>
      </c>
      <c r="E51" s="1" t="s">
        <v>377</v>
      </c>
      <c r="F51" s="36" t="s">
        <v>376</v>
      </c>
      <c r="G51" s="36">
        <v>8254729.0</v>
      </c>
      <c r="H51" s="11">
        <f>IF(E51="","",SUMIF(Estructuras!B:B,A51,Estructuras!E:E))</f>
        <v>8254729</v>
      </c>
      <c r="I51" s="8" t="str">
        <f>IF(E51="","",IF(COUNTIF(Estructuras!F:F,E51)=0,"Falta Estructura",IF(COUNTIFS(Estructuras!F:F,E51,Estructuras!E:E,0)&gt;0,"Faltan Precios","OK")))</f>
        <v>OK</v>
      </c>
      <c r="J51" s="10" t="str">
        <f>IF(I51="Faltan Precios",COUNTIFS(Estructuras!B:B,A51,Estructuras!E:E,0),"")</f>
        <v/>
      </c>
      <c r="K51" s="8" t="str">
        <f t="shared" si="2"/>
        <v>OK</v>
      </c>
    </row>
    <row r="52">
      <c r="A52" s="4">
        <f t="shared" si="1"/>
        <v>50</v>
      </c>
      <c r="E52" s="1" t="s">
        <v>378</v>
      </c>
      <c r="F52" s="36" t="s">
        <v>376</v>
      </c>
      <c r="G52" s="36">
        <v>1.058689E7</v>
      </c>
      <c r="H52" s="11">
        <f>IF(E52="","",SUMIF(Estructuras!B:B,A52,Estructuras!E:E))</f>
        <v>10586890</v>
      </c>
      <c r="I52" s="8" t="str">
        <f>IF(E52="","",IF(COUNTIF(Estructuras!F:F,E52)=0,"Falta Estructura",IF(COUNTIFS(Estructuras!F:F,E52,Estructuras!E:E,0)&gt;0,"Faltan Precios","OK")))</f>
        <v>OK</v>
      </c>
      <c r="J52" s="10" t="str">
        <f>IF(I52="Faltan Precios",COUNTIFS(Estructuras!B:B,A52,Estructuras!E:E,0),"")</f>
        <v/>
      </c>
      <c r="K52" s="8" t="str">
        <f t="shared" si="2"/>
        <v>OK</v>
      </c>
    </row>
    <row r="53">
      <c r="A53" s="4">
        <f t="shared" si="1"/>
        <v>51</v>
      </c>
      <c r="E53" s="1" t="s">
        <v>158</v>
      </c>
      <c r="F53" s="36" t="s">
        <v>376</v>
      </c>
      <c r="G53" s="36">
        <v>1.1206281E7</v>
      </c>
      <c r="H53" s="11">
        <f>IF(E53="","",SUMIF(Estructuras!B:B,A53,Estructuras!E:E))</f>
        <v>11206281</v>
      </c>
      <c r="I53" s="8" t="str">
        <f>IF(E53="","",IF(COUNTIF(Estructuras!F:F,E53)=0,"Falta Estructura",IF(COUNTIFS(Estructuras!F:F,E53,Estructuras!E:E,0)&gt;0,"Faltan Precios","OK")))</f>
        <v>OK</v>
      </c>
      <c r="J53" s="10" t="str">
        <f>IF(I53="Faltan Precios",COUNTIFS(Estructuras!B:B,A53,Estructuras!E:E,0),"")</f>
        <v/>
      </c>
      <c r="K53" s="8" t="str">
        <f t="shared" si="2"/>
        <v>OK</v>
      </c>
    </row>
    <row r="54">
      <c r="A54" s="4" t="str">
        <f t="shared" si="1"/>
        <v/>
      </c>
      <c r="F54" s="36" t="str">
        <f t="shared" ref="F54:F1001" si="4">IF(OR(A54="",A54="Seleccionar.."),"","Seleccionar..")</f>
        <v/>
      </c>
      <c r="G54" s="11"/>
      <c r="H54" s="11" t="str">
        <f>IF(E54="","",SUMIF(Estructuras!B:B,A54,Estructuras!E:E))</f>
        <v/>
      </c>
      <c r="I54" s="8" t="str">
        <f>IF(E54="","",IF(COUNTIF(Estructuras!F:F,E54)=0,"Falta Estructura",IF(COUNTIFS(Estructuras!F:F,E54,Estructuras!E:E,0)&gt;0,"Faltan Precios","OK")))</f>
        <v/>
      </c>
      <c r="J54" s="10" t="str">
        <f>IF(I54="Faltan Precios",COUNTIFS(Estructuras!B:B,A54,Estructuras!E:E,0),"")</f>
        <v/>
      </c>
      <c r="K54" s="8" t="str">
        <f t="shared" si="2"/>
        <v/>
      </c>
    </row>
    <row r="55">
      <c r="A55" s="4" t="str">
        <f t="shared" si="1"/>
        <v/>
      </c>
      <c r="F55" s="36" t="str">
        <f t="shared" si="4"/>
        <v/>
      </c>
      <c r="G55" s="11"/>
      <c r="H55" s="11" t="str">
        <f>IF(E55="","",SUMIF(Estructuras!B:B,A55,Estructuras!E:E))</f>
        <v/>
      </c>
      <c r="I55" s="8" t="str">
        <f>IF(E55="","",IF(COUNTIF(Estructuras!F:F,E55)=0,"Falta Estructura",IF(COUNTIFS(Estructuras!F:F,E55,Estructuras!E:E,0)&gt;0,"Faltan Precios","OK")))</f>
        <v/>
      </c>
      <c r="J55" s="10" t="str">
        <f>IF(I55="Faltan Precios",COUNTIFS(Estructuras!B:B,A55,Estructuras!E:E,0),"")</f>
        <v/>
      </c>
      <c r="K55" s="8" t="str">
        <f t="shared" si="2"/>
        <v/>
      </c>
    </row>
    <row r="56">
      <c r="A56" s="4" t="str">
        <f t="shared" si="1"/>
        <v/>
      </c>
      <c r="F56" s="36" t="str">
        <f t="shared" si="4"/>
        <v/>
      </c>
      <c r="G56" s="11"/>
      <c r="H56" s="11" t="str">
        <f>IF(E56="","",SUMIF(Estructuras!B:B,A56,Estructuras!E:E))</f>
        <v/>
      </c>
      <c r="I56" s="8" t="str">
        <f>IF(E56="","",IF(COUNTIF(Estructuras!F:F,E56)=0,"Falta Estructura",IF(COUNTIFS(Estructuras!F:F,E56,Estructuras!E:E,0)&gt;0,"Faltan Precios","OK")))</f>
        <v/>
      </c>
      <c r="J56" s="10" t="str">
        <f>IF(I56="Faltan Precios",COUNTIFS(Estructuras!B:B,A56,Estructuras!E:E,0),"")</f>
        <v/>
      </c>
      <c r="K56" s="8" t="str">
        <f t="shared" si="2"/>
        <v/>
      </c>
    </row>
    <row r="57">
      <c r="A57" s="4" t="str">
        <f t="shared" si="1"/>
        <v/>
      </c>
      <c r="F57" s="36" t="str">
        <f t="shared" si="4"/>
        <v/>
      </c>
      <c r="G57" s="11"/>
      <c r="H57" s="11" t="str">
        <f>IF(E57="","",SUMIF(Estructuras!B:B,A57,Estructuras!E:E))</f>
        <v/>
      </c>
      <c r="I57" s="8" t="str">
        <f>IF(E57="","",IF(COUNTIF(Estructuras!F:F,E57)=0,"Falta Estructura",IF(COUNTIFS(Estructuras!F:F,E57,Estructuras!E:E,0)&gt;0,"Faltan Precios","OK")))</f>
        <v/>
      </c>
      <c r="J57" s="10" t="str">
        <f>IF(I57="Faltan Precios",COUNTIFS(Estructuras!B:B,A57,Estructuras!E:E,0),"")</f>
        <v/>
      </c>
      <c r="K57" s="8" t="str">
        <f t="shared" si="2"/>
        <v/>
      </c>
    </row>
    <row r="58">
      <c r="A58" s="4" t="str">
        <f t="shared" si="1"/>
        <v/>
      </c>
      <c r="F58" s="36" t="str">
        <f t="shared" si="4"/>
        <v/>
      </c>
      <c r="G58" s="11"/>
      <c r="H58" s="11" t="str">
        <f>IF(E58="","",SUMIF(Estructuras!B:B,A58,Estructuras!E:E))</f>
        <v/>
      </c>
      <c r="I58" s="8" t="str">
        <f>IF(E58="","",IF(COUNTIF(Estructuras!F:F,E58)=0,"Falta Estructura",IF(COUNTIFS(Estructuras!F:F,E58,Estructuras!E:E,0)&gt;0,"Faltan Precios","OK")))</f>
        <v/>
      </c>
      <c r="J58" s="10" t="str">
        <f>IF(I58="Faltan Precios",COUNTIFS(Estructuras!B:B,A58,Estructuras!E:E,0),"")</f>
        <v/>
      </c>
      <c r="K58" s="8" t="str">
        <f t="shared" si="2"/>
        <v/>
      </c>
    </row>
    <row r="59">
      <c r="A59" s="4" t="str">
        <f t="shared" si="1"/>
        <v/>
      </c>
      <c r="F59" s="36" t="str">
        <f t="shared" si="4"/>
        <v/>
      </c>
      <c r="G59" s="11"/>
      <c r="H59" s="11" t="str">
        <f>IF(E59="","",SUMIF(Estructuras!B:B,A59,Estructuras!E:E))</f>
        <v/>
      </c>
      <c r="I59" s="8" t="str">
        <f>IF(E59="","",IF(COUNTIF(Estructuras!F:F,E59)=0,"Falta Estructura",IF(COUNTIFS(Estructuras!F:F,E59,Estructuras!E:E,0)&gt;0,"Faltan Precios","OK")))</f>
        <v/>
      </c>
      <c r="J59" s="10" t="str">
        <f>IF(I59="Faltan Precios",COUNTIFS(Estructuras!B:B,A59,Estructuras!E:E,0),"")</f>
        <v/>
      </c>
      <c r="K59" s="8" t="str">
        <f t="shared" si="2"/>
        <v/>
      </c>
    </row>
    <row r="60">
      <c r="A60" s="4" t="str">
        <f t="shared" si="1"/>
        <v/>
      </c>
      <c r="F60" s="36" t="str">
        <f t="shared" si="4"/>
        <v/>
      </c>
      <c r="G60" s="11"/>
      <c r="H60" s="11" t="str">
        <f>IF(E60="","",SUMIF(Estructuras!B:B,A60,Estructuras!E:E))</f>
        <v/>
      </c>
      <c r="I60" s="8" t="str">
        <f>IF(E60="","",IF(COUNTIF(Estructuras!F:F,E60)=0,"Falta Estructura",IF(COUNTIFS(Estructuras!F:F,E60,Estructuras!E:E,0)&gt;0,"Faltan Precios","OK")))</f>
        <v/>
      </c>
      <c r="J60" s="10" t="str">
        <f>IF(I60="Faltan Precios",COUNTIFS(Estructuras!B:B,A60,Estructuras!E:E,0),"")</f>
        <v/>
      </c>
      <c r="K60" s="8" t="str">
        <f t="shared" si="2"/>
        <v/>
      </c>
    </row>
    <row r="61">
      <c r="A61" s="4" t="str">
        <f t="shared" si="1"/>
        <v/>
      </c>
      <c r="F61" s="36" t="str">
        <f t="shared" si="4"/>
        <v/>
      </c>
      <c r="G61" s="11"/>
      <c r="H61" s="11" t="str">
        <f>IF(E61="","",SUMIF(Estructuras!B:B,A61,Estructuras!E:E))</f>
        <v/>
      </c>
      <c r="I61" s="8" t="str">
        <f>IF(E61="","",IF(COUNTIF(Estructuras!F:F,E61)=0,"Falta Estructura",IF(COUNTIFS(Estructuras!F:F,E61,Estructuras!E:E,0)&gt;0,"Faltan Precios","OK")))</f>
        <v/>
      </c>
      <c r="J61" s="10" t="str">
        <f>IF(I61="Faltan Precios",COUNTIFS(Estructuras!B:B,A61,Estructuras!E:E,0),"")</f>
        <v/>
      </c>
      <c r="K61" s="8" t="str">
        <f t="shared" si="2"/>
        <v/>
      </c>
    </row>
    <row r="62">
      <c r="A62" s="4" t="str">
        <f t="shared" si="1"/>
        <v/>
      </c>
      <c r="F62" s="36" t="str">
        <f t="shared" si="4"/>
        <v/>
      </c>
      <c r="G62" s="11"/>
      <c r="H62" s="11" t="str">
        <f>IF(E62="","",SUMIF(Estructuras!B:B,A62,Estructuras!E:E))</f>
        <v/>
      </c>
      <c r="I62" s="8" t="str">
        <f>IF(E62="","",IF(COUNTIF(Estructuras!F:F,E62)=0,"Falta Estructura",IF(COUNTIFS(Estructuras!F:F,E62,Estructuras!E:E,0)&gt;0,"Faltan Precios","OK")))</f>
        <v/>
      </c>
      <c r="J62" s="10" t="str">
        <f>IF(I62="Faltan Precios",COUNTIFS(Estructuras!B:B,A62,Estructuras!E:E,0),"")</f>
        <v/>
      </c>
      <c r="K62" s="8" t="str">
        <f t="shared" si="2"/>
        <v/>
      </c>
    </row>
    <row r="63">
      <c r="A63" s="4" t="str">
        <f t="shared" si="1"/>
        <v/>
      </c>
      <c r="F63" s="36" t="str">
        <f t="shared" si="4"/>
        <v/>
      </c>
      <c r="G63" s="11"/>
      <c r="H63" s="11" t="str">
        <f>IF(E63="","",SUMIF(Estructuras!B:B,A63,Estructuras!E:E))</f>
        <v/>
      </c>
      <c r="I63" s="8" t="str">
        <f>IF(E63="","",IF(COUNTIF(Estructuras!F:F,E63)=0,"Falta Estructura",IF(COUNTIFS(Estructuras!F:F,E63,Estructuras!E:E,0)&gt;0,"Faltan Precios","OK")))</f>
        <v/>
      </c>
      <c r="J63" s="10" t="str">
        <f>IF(I63="Faltan Precios",COUNTIFS(Estructuras!B:B,A63,Estructuras!E:E,0),"")</f>
        <v/>
      </c>
      <c r="K63" s="8" t="str">
        <f t="shared" si="2"/>
        <v/>
      </c>
    </row>
    <row r="64">
      <c r="A64" s="4" t="str">
        <f t="shared" si="1"/>
        <v/>
      </c>
      <c r="F64" s="36" t="str">
        <f t="shared" si="4"/>
        <v/>
      </c>
      <c r="G64" s="11"/>
      <c r="H64" s="11" t="str">
        <f>IF(E64="","",SUMIF(Estructuras!B:B,A64,Estructuras!E:E))</f>
        <v/>
      </c>
      <c r="I64" s="8" t="str">
        <f>IF(E64="","",IF(COUNTIF(Estructuras!F:F,E64)=0,"Falta Estructura",IF(COUNTIFS(Estructuras!F:F,E64,Estructuras!E:E,0)&gt;0,"Faltan Precios","OK")))</f>
        <v/>
      </c>
      <c r="J64" s="10" t="str">
        <f>IF(I64="Faltan Precios",COUNTIFS(Estructuras!B:B,A64,Estructuras!E:E,0),"")</f>
        <v/>
      </c>
      <c r="K64" s="8" t="str">
        <f t="shared" si="2"/>
        <v/>
      </c>
    </row>
    <row r="65">
      <c r="A65" s="4" t="str">
        <f t="shared" si="1"/>
        <v/>
      </c>
      <c r="F65" s="36" t="str">
        <f t="shared" si="4"/>
        <v/>
      </c>
      <c r="G65" s="11"/>
      <c r="H65" s="11" t="str">
        <f>IF(E65="","",SUMIF(Estructuras!B:B,A65,Estructuras!E:E))</f>
        <v/>
      </c>
      <c r="I65" s="8" t="str">
        <f>IF(E65="","",IF(COUNTIF(Estructuras!F:F,E65)=0,"Falta Estructura",IF(COUNTIFS(Estructuras!F:F,E65,Estructuras!E:E,0)&gt;0,"Faltan Precios","OK")))</f>
        <v/>
      </c>
      <c r="J65" s="10" t="str">
        <f>IF(I65="Faltan Precios",COUNTIFS(Estructuras!B:B,A65,Estructuras!E:E,0),"")</f>
        <v/>
      </c>
      <c r="K65" s="8" t="str">
        <f t="shared" si="2"/>
        <v/>
      </c>
    </row>
    <row r="66">
      <c r="A66" s="4" t="str">
        <f t="shared" si="1"/>
        <v/>
      </c>
      <c r="F66" s="36" t="str">
        <f t="shared" si="4"/>
        <v/>
      </c>
      <c r="G66" s="11"/>
      <c r="H66" s="11" t="str">
        <f>IF(E66="","",SUMIF(Estructuras!B:B,A66,Estructuras!E:E))</f>
        <v/>
      </c>
      <c r="I66" s="8" t="str">
        <f>IF(E66="","",IF(COUNTIF(Estructuras!F:F,E66)=0,"Falta Estructura",IF(COUNTIFS(Estructuras!F:F,E66,Estructuras!E:E,0)&gt;0,"Faltan Precios","OK")))</f>
        <v/>
      </c>
      <c r="J66" s="10" t="str">
        <f>IF(I66="Faltan Precios",COUNTIFS(Estructuras!B:B,A66,Estructuras!E:E,0),"")</f>
        <v/>
      </c>
      <c r="K66" s="8" t="str">
        <f t="shared" si="2"/>
        <v/>
      </c>
    </row>
    <row r="67">
      <c r="A67" s="4" t="str">
        <f t="shared" si="1"/>
        <v/>
      </c>
      <c r="F67" s="36" t="str">
        <f t="shared" si="4"/>
        <v/>
      </c>
      <c r="G67" s="11"/>
      <c r="H67" s="11" t="str">
        <f>IF(E67="","",SUMIF(Estructuras!B:B,A67,Estructuras!E:E))</f>
        <v/>
      </c>
      <c r="I67" s="8" t="str">
        <f>IF(E67="","",IF(COUNTIF(Estructuras!F:F,E67)=0,"Falta Estructura",IF(COUNTIFS(Estructuras!F:F,E67,Estructuras!E:E,0)&gt;0,"Faltan Precios","OK")))</f>
        <v/>
      </c>
      <c r="J67" s="10" t="str">
        <f>IF(I67="Faltan Precios",COUNTIFS(Estructuras!B:B,A67,Estructuras!E:E,0),"")</f>
        <v/>
      </c>
      <c r="K67" s="8" t="str">
        <f t="shared" si="2"/>
        <v/>
      </c>
    </row>
    <row r="68">
      <c r="A68" s="4" t="str">
        <f t="shared" si="1"/>
        <v/>
      </c>
      <c r="F68" s="36" t="str">
        <f t="shared" si="4"/>
        <v/>
      </c>
      <c r="G68" s="11"/>
      <c r="H68" s="11" t="str">
        <f>IF(E68="","",SUMIF(Estructuras!B:B,A68,Estructuras!E:E))</f>
        <v/>
      </c>
      <c r="I68" s="8" t="str">
        <f>IF(E68="","",IF(COUNTIF(Estructuras!F:F,E68)=0,"Falta Estructura",IF(COUNTIFS(Estructuras!F:F,E68,Estructuras!E:E,0)&gt;0,"Faltan Precios","OK")))</f>
        <v/>
      </c>
      <c r="J68" s="10" t="str">
        <f>IF(I68="Faltan Precios",COUNTIFS(Estructuras!B:B,A68,Estructuras!E:E,0),"")</f>
        <v/>
      </c>
      <c r="K68" s="8" t="str">
        <f t="shared" si="2"/>
        <v/>
      </c>
    </row>
    <row r="69">
      <c r="A69" s="4" t="str">
        <f t="shared" si="1"/>
        <v/>
      </c>
      <c r="F69" s="36" t="str">
        <f t="shared" si="4"/>
        <v/>
      </c>
      <c r="G69" s="11"/>
      <c r="H69" s="11" t="str">
        <f>IF(E69="","",SUMIF(Estructuras!B:B,A69,Estructuras!E:E))</f>
        <v/>
      </c>
      <c r="I69" s="8" t="str">
        <f>IF(E69="","",IF(COUNTIF(Estructuras!F:F,E69)=0,"Falta Estructura",IF(COUNTIFS(Estructuras!F:F,E69,Estructuras!E:E,0)&gt;0,"Faltan Precios","OK")))</f>
        <v/>
      </c>
      <c r="J69" s="10" t="str">
        <f>IF(I69="Faltan Precios",COUNTIFS(Estructuras!B:B,A69,Estructuras!E:E,0),"")</f>
        <v/>
      </c>
      <c r="K69" s="8" t="str">
        <f t="shared" si="2"/>
        <v/>
      </c>
    </row>
    <row r="70">
      <c r="A70" s="4" t="str">
        <f t="shared" si="1"/>
        <v/>
      </c>
      <c r="F70" s="36" t="str">
        <f t="shared" si="4"/>
        <v/>
      </c>
      <c r="G70" s="11"/>
      <c r="H70" s="11" t="str">
        <f>IF(E70="","",SUMIF(Estructuras!B:B,A70,Estructuras!E:E))</f>
        <v/>
      </c>
      <c r="I70" s="8" t="str">
        <f>IF(E70="","",IF(COUNTIF(Estructuras!F:F,E70)=0,"Falta Estructura",IF(COUNTIFS(Estructuras!F:F,E70,Estructuras!E:E,0)&gt;0,"Faltan Precios","OK")))</f>
        <v/>
      </c>
      <c r="J70" s="10" t="str">
        <f>IF(I70="Faltan Precios",COUNTIFS(Estructuras!B:B,A70,Estructuras!E:E,0),"")</f>
        <v/>
      </c>
      <c r="K70" s="8" t="str">
        <f t="shared" si="2"/>
        <v/>
      </c>
    </row>
    <row r="71">
      <c r="A71" s="4" t="str">
        <f t="shared" si="1"/>
        <v/>
      </c>
      <c r="F71" s="36" t="str">
        <f t="shared" si="4"/>
        <v/>
      </c>
      <c r="G71" s="11"/>
      <c r="H71" s="11" t="str">
        <f>IF(E71="","",SUMIF(Estructuras!B:B,A71,Estructuras!E:E))</f>
        <v/>
      </c>
      <c r="I71" s="8" t="str">
        <f>IF(E71="","",IF(COUNTIF(Estructuras!F:F,E71)=0,"Falta Estructura",IF(COUNTIFS(Estructuras!F:F,E71,Estructuras!E:E,0)&gt;0,"Faltan Precios","OK")))</f>
        <v/>
      </c>
      <c r="J71" s="10" t="str">
        <f>IF(I71="Faltan Precios",COUNTIFS(Estructuras!B:B,A71,Estructuras!E:E,0),"")</f>
        <v/>
      </c>
      <c r="K71" s="8" t="str">
        <f t="shared" si="2"/>
        <v/>
      </c>
    </row>
    <row r="72">
      <c r="A72" s="4" t="str">
        <f t="shared" si="1"/>
        <v/>
      </c>
      <c r="F72" s="36" t="str">
        <f t="shared" si="4"/>
        <v/>
      </c>
      <c r="G72" s="11"/>
      <c r="H72" s="11" t="str">
        <f>IF(E72="","",SUMIF(Estructuras!B:B,A72,Estructuras!E:E))</f>
        <v/>
      </c>
      <c r="I72" s="8" t="str">
        <f>IF(E72="","",IF(COUNTIF(Estructuras!F:F,E72)=0,"Falta Estructura",IF(COUNTIFS(Estructuras!F:F,E72,Estructuras!E:E,0)&gt;0,"Faltan Precios","OK")))</f>
        <v/>
      </c>
      <c r="J72" s="10" t="str">
        <f>IF(I72="Faltan Precios",COUNTIFS(Estructuras!B:B,A72,Estructuras!E:E,0),"")</f>
        <v/>
      </c>
      <c r="K72" s="8" t="str">
        <f t="shared" si="2"/>
        <v/>
      </c>
    </row>
    <row r="73">
      <c r="A73" s="4" t="str">
        <f t="shared" si="1"/>
        <v/>
      </c>
      <c r="F73" s="36" t="str">
        <f t="shared" si="4"/>
        <v/>
      </c>
      <c r="G73" s="11"/>
      <c r="H73" s="11" t="str">
        <f>IF(E73="","",SUMIF(Estructuras!B:B,A73,Estructuras!E:E))</f>
        <v/>
      </c>
      <c r="I73" s="8" t="str">
        <f>IF(E73="","",IF(COUNTIF(Estructuras!F:F,E73)=0,"Falta Estructura",IF(COUNTIFS(Estructuras!F:F,E73,Estructuras!E:E,0)&gt;0,"Faltan Precios","OK")))</f>
        <v/>
      </c>
      <c r="J73" s="10" t="str">
        <f>IF(I73="Faltan Precios",COUNTIFS(Estructuras!B:B,A73,Estructuras!E:E,0),"")</f>
        <v/>
      </c>
      <c r="K73" s="8" t="str">
        <f t="shared" si="2"/>
        <v/>
      </c>
    </row>
    <row r="74">
      <c r="A74" s="4" t="str">
        <f t="shared" si="1"/>
        <v/>
      </c>
      <c r="F74" s="36" t="str">
        <f t="shared" si="4"/>
        <v/>
      </c>
      <c r="G74" s="11"/>
      <c r="H74" s="11" t="str">
        <f>IF(E74="","",SUMIF(Estructuras!B:B,A74,Estructuras!E:E))</f>
        <v/>
      </c>
      <c r="I74" s="8" t="str">
        <f>IF(E74="","",IF(COUNTIF(Estructuras!F:F,E74)=0,"Falta Estructura",IF(COUNTIFS(Estructuras!F:F,E74,Estructuras!E:E,0)&gt;0,"Faltan Precios","OK")))</f>
        <v/>
      </c>
      <c r="J74" s="10" t="str">
        <f>IF(I74="Faltan Precios",COUNTIFS(Estructuras!B:B,A74,Estructuras!E:E,0),"")</f>
        <v/>
      </c>
      <c r="K74" s="8" t="str">
        <f t="shared" si="2"/>
        <v/>
      </c>
    </row>
    <row r="75">
      <c r="A75" s="4" t="str">
        <f t="shared" si="1"/>
        <v/>
      </c>
      <c r="F75" s="36" t="str">
        <f t="shared" si="4"/>
        <v/>
      </c>
      <c r="G75" s="11"/>
      <c r="H75" s="11" t="str">
        <f>IF(E75="","",SUMIF(Estructuras!B:B,A75,Estructuras!E:E))</f>
        <v/>
      </c>
      <c r="I75" s="8" t="str">
        <f>IF(E75="","",IF(COUNTIF(Estructuras!F:F,E75)=0,"Falta Estructura",IF(COUNTIFS(Estructuras!F:F,E75,Estructuras!E:E,0)&gt;0,"Faltan Precios","OK")))</f>
        <v/>
      </c>
      <c r="J75" s="10" t="str">
        <f>IF(I75="Faltan Precios",COUNTIFS(Estructuras!B:B,A75,Estructuras!E:E,0),"")</f>
        <v/>
      </c>
      <c r="K75" s="8" t="str">
        <f t="shared" si="2"/>
        <v/>
      </c>
    </row>
    <row r="76">
      <c r="A76" s="4" t="str">
        <f t="shared" si="1"/>
        <v/>
      </c>
      <c r="F76" s="36" t="str">
        <f t="shared" si="4"/>
        <v/>
      </c>
      <c r="G76" s="11"/>
      <c r="H76" s="11" t="str">
        <f>IF(E76="","",SUMIF(Estructuras!B:B,A76,Estructuras!E:E))</f>
        <v/>
      </c>
      <c r="I76" s="8" t="str">
        <f>IF(E76="","",IF(COUNTIF(Estructuras!F:F,E76)=0,"Falta Estructura",IF(COUNTIFS(Estructuras!F:F,E76,Estructuras!E:E,0)&gt;0,"Faltan Precios","OK")))</f>
        <v/>
      </c>
      <c r="J76" s="10" t="str">
        <f>IF(I76="Faltan Precios",COUNTIFS(Estructuras!B:B,A76,Estructuras!E:E,0),"")</f>
        <v/>
      </c>
      <c r="K76" s="8" t="str">
        <f t="shared" si="2"/>
        <v/>
      </c>
    </row>
    <row r="77">
      <c r="A77" s="4" t="str">
        <f t="shared" si="1"/>
        <v/>
      </c>
      <c r="F77" s="36" t="str">
        <f t="shared" si="4"/>
        <v/>
      </c>
      <c r="G77" s="11"/>
      <c r="H77" s="11" t="str">
        <f>IF(E77="","",SUMIF(Estructuras!B:B,A77,Estructuras!E:E))</f>
        <v/>
      </c>
      <c r="I77" s="8" t="str">
        <f>IF(E77="","",IF(COUNTIF(Estructuras!F:F,E77)=0,"Falta Estructura",IF(COUNTIFS(Estructuras!F:F,E77,Estructuras!E:E,0)&gt;0,"Faltan Precios","OK")))</f>
        <v/>
      </c>
      <c r="J77" s="10" t="str">
        <f>IF(I77="Faltan Precios",COUNTIFS(Estructuras!B:B,A77,Estructuras!E:E,0),"")</f>
        <v/>
      </c>
      <c r="K77" s="8" t="str">
        <f t="shared" si="2"/>
        <v/>
      </c>
    </row>
    <row r="78">
      <c r="A78" s="4" t="str">
        <f t="shared" si="1"/>
        <v/>
      </c>
      <c r="F78" s="36" t="str">
        <f t="shared" si="4"/>
        <v/>
      </c>
      <c r="G78" s="11"/>
      <c r="H78" s="11" t="str">
        <f>IF(E78="","",SUMIF(Estructuras!B:B,A78,Estructuras!E:E))</f>
        <v/>
      </c>
      <c r="I78" s="8" t="str">
        <f>IF(E78="","",IF(COUNTIF(Estructuras!F:F,E78)=0,"Falta Estructura",IF(COUNTIFS(Estructuras!F:F,E78,Estructuras!E:E,0)&gt;0,"Faltan Precios","OK")))</f>
        <v/>
      </c>
      <c r="J78" s="10" t="str">
        <f>IF(I78="Faltan Precios",COUNTIFS(Estructuras!B:B,A78,Estructuras!E:E,0),"")</f>
        <v/>
      </c>
      <c r="K78" s="8" t="str">
        <f t="shared" si="2"/>
        <v/>
      </c>
    </row>
    <row r="79">
      <c r="A79" s="4" t="str">
        <f t="shared" si="1"/>
        <v/>
      </c>
      <c r="F79" s="36" t="str">
        <f t="shared" si="4"/>
        <v/>
      </c>
      <c r="G79" s="11"/>
      <c r="H79" s="11" t="str">
        <f>IF(E79="","",SUMIF(Estructuras!B:B,A79,Estructuras!E:E))</f>
        <v/>
      </c>
      <c r="I79" s="8" t="str">
        <f>IF(E79="","",IF(COUNTIF(Estructuras!F:F,E79)=0,"Falta Estructura",IF(COUNTIFS(Estructuras!F:F,E79,Estructuras!E:E,0)&gt;0,"Faltan Precios","OK")))</f>
        <v/>
      </c>
      <c r="J79" s="10" t="str">
        <f>IF(I79="Faltan Precios",COUNTIFS(Estructuras!B:B,A79,Estructuras!E:E,0),"")</f>
        <v/>
      </c>
      <c r="K79" s="8" t="str">
        <f t="shared" si="2"/>
        <v/>
      </c>
    </row>
    <row r="80">
      <c r="A80" s="4" t="str">
        <f t="shared" si="1"/>
        <v/>
      </c>
      <c r="F80" s="36" t="str">
        <f t="shared" si="4"/>
        <v/>
      </c>
      <c r="G80" s="11"/>
      <c r="H80" s="11" t="str">
        <f>IF(E80="","",SUMIF(Estructuras!B:B,A80,Estructuras!E:E))</f>
        <v/>
      </c>
      <c r="I80" s="8" t="str">
        <f>IF(E80="","",IF(COUNTIF(Estructuras!F:F,E80)=0,"Falta Estructura",IF(COUNTIFS(Estructuras!F:F,E80,Estructuras!E:E,0)&gt;0,"Faltan Precios","OK")))</f>
        <v/>
      </c>
      <c r="J80" s="10" t="str">
        <f>IF(I80="Faltan Precios",COUNTIFS(Estructuras!B:B,A80,Estructuras!E:E,0),"")</f>
        <v/>
      </c>
      <c r="K80" s="8" t="str">
        <f t="shared" si="2"/>
        <v/>
      </c>
    </row>
    <row r="81">
      <c r="A81" s="4" t="str">
        <f t="shared" si="1"/>
        <v/>
      </c>
      <c r="F81" s="36" t="str">
        <f t="shared" si="4"/>
        <v/>
      </c>
      <c r="G81" s="11"/>
      <c r="H81" s="11" t="str">
        <f>IF(E81="","",SUMIF(Estructuras!B:B,A81,Estructuras!E:E))</f>
        <v/>
      </c>
      <c r="I81" s="8" t="str">
        <f>IF(E81="","",IF(COUNTIF(Estructuras!F:F,E81)=0,"Falta Estructura",IF(COUNTIFS(Estructuras!F:F,E81,Estructuras!E:E,0)&gt;0,"Faltan Precios","OK")))</f>
        <v/>
      </c>
      <c r="J81" s="10" t="str">
        <f>IF(I81="Faltan Precios",COUNTIFS(Estructuras!B:B,A81,Estructuras!E:E,0),"")</f>
        <v/>
      </c>
      <c r="K81" s="8" t="str">
        <f t="shared" si="2"/>
        <v/>
      </c>
    </row>
    <row r="82">
      <c r="A82" s="4" t="str">
        <f t="shared" si="1"/>
        <v/>
      </c>
      <c r="F82" s="36" t="str">
        <f t="shared" si="4"/>
        <v/>
      </c>
      <c r="G82" s="11"/>
      <c r="H82" s="11" t="str">
        <f>IF(E82="","",SUMIF(Estructuras!B:B,A82,Estructuras!E:E))</f>
        <v/>
      </c>
      <c r="I82" s="8" t="str">
        <f>IF(E82="","",IF(COUNTIF(Estructuras!F:F,E82)=0,"Falta Estructura",IF(COUNTIFS(Estructuras!F:F,E82,Estructuras!E:E,0)&gt;0,"Faltan Precios","OK")))</f>
        <v/>
      </c>
      <c r="J82" s="10" t="str">
        <f>IF(I82="Faltan Precios",COUNTIFS(Estructuras!B:B,A82,Estructuras!E:E,0),"")</f>
        <v/>
      </c>
      <c r="K82" s="8" t="str">
        <f t="shared" si="2"/>
        <v/>
      </c>
    </row>
    <row r="83">
      <c r="A83" s="4" t="str">
        <f t="shared" si="1"/>
        <v/>
      </c>
      <c r="F83" s="36" t="str">
        <f t="shared" si="4"/>
        <v/>
      </c>
      <c r="G83" s="11"/>
      <c r="H83" s="11" t="str">
        <f>IF(E83="","",SUMIF(Estructuras!B:B,A83,Estructuras!E:E))</f>
        <v/>
      </c>
      <c r="I83" s="8" t="str">
        <f>IF(E83="","",IF(COUNTIF(Estructuras!F:F,E83)=0,"Falta Estructura",IF(COUNTIFS(Estructuras!F:F,E83,Estructuras!E:E,0)&gt;0,"Faltan Precios","OK")))</f>
        <v/>
      </c>
      <c r="J83" s="10" t="str">
        <f>IF(I83="Faltan Precios",COUNTIFS(Estructuras!B:B,A83,Estructuras!E:E,0),"")</f>
        <v/>
      </c>
      <c r="K83" s="8" t="str">
        <f t="shared" si="2"/>
        <v/>
      </c>
    </row>
    <row r="84">
      <c r="A84" s="4" t="str">
        <f t="shared" si="1"/>
        <v/>
      </c>
      <c r="F84" s="36" t="str">
        <f t="shared" si="4"/>
        <v/>
      </c>
      <c r="G84" s="11"/>
      <c r="H84" s="11" t="str">
        <f>IF(E84="","",SUMIF(Estructuras!B:B,A84,Estructuras!E:E))</f>
        <v/>
      </c>
      <c r="I84" s="8" t="str">
        <f>IF(E84="","",IF(COUNTIF(Estructuras!F:F,E84)=0,"Falta Estructura",IF(COUNTIFS(Estructuras!F:F,E84,Estructuras!E:E,0)&gt;0,"Faltan Precios","OK")))</f>
        <v/>
      </c>
      <c r="J84" s="10" t="str">
        <f>IF(I84="Faltan Precios",COUNTIFS(Estructuras!B:B,A84,Estructuras!E:E,0),"")</f>
        <v/>
      </c>
      <c r="K84" s="8" t="str">
        <f t="shared" si="2"/>
        <v/>
      </c>
    </row>
    <row r="85">
      <c r="A85" s="4" t="str">
        <f t="shared" si="1"/>
        <v/>
      </c>
      <c r="F85" s="36" t="str">
        <f t="shared" si="4"/>
        <v/>
      </c>
      <c r="G85" s="11"/>
      <c r="H85" s="11" t="str">
        <f>IF(E85="","",SUMIF(Estructuras!B:B,A85,Estructuras!E:E))</f>
        <v/>
      </c>
      <c r="I85" s="8" t="str">
        <f>IF(E85="","",IF(COUNTIF(Estructuras!F:F,E85)=0,"Falta Estructura",IF(COUNTIFS(Estructuras!F:F,E85,Estructuras!E:E,0)&gt;0,"Faltan Precios","OK")))</f>
        <v/>
      </c>
      <c r="J85" s="10" t="str">
        <f>IF(I85="Faltan Precios",COUNTIFS(Estructuras!B:B,A85,Estructuras!E:E,0),"")</f>
        <v/>
      </c>
      <c r="K85" s="8" t="str">
        <f t="shared" si="2"/>
        <v/>
      </c>
    </row>
    <row r="86">
      <c r="A86" s="4" t="str">
        <f t="shared" si="1"/>
        <v/>
      </c>
      <c r="F86" s="36" t="str">
        <f t="shared" si="4"/>
        <v/>
      </c>
      <c r="G86" s="11"/>
      <c r="H86" s="11" t="str">
        <f>IF(E86="","",SUMIF(Estructuras!B:B,A86,Estructuras!E:E))</f>
        <v/>
      </c>
      <c r="I86" s="8" t="str">
        <f>IF(E86="","",IF(COUNTIF(Estructuras!F:F,E86)=0,"Falta Estructura",IF(COUNTIFS(Estructuras!F:F,E86,Estructuras!E:E,0)&gt;0,"Faltan Precios","OK")))</f>
        <v/>
      </c>
      <c r="J86" s="10" t="str">
        <f>IF(I86="Faltan Precios",COUNTIFS(Estructuras!B:B,A86,Estructuras!E:E,0),"")</f>
        <v/>
      </c>
      <c r="K86" s="8" t="str">
        <f t="shared" si="2"/>
        <v/>
      </c>
    </row>
    <row r="87">
      <c r="A87" s="4" t="str">
        <f t="shared" si="1"/>
        <v/>
      </c>
      <c r="F87" s="36" t="str">
        <f t="shared" si="4"/>
        <v/>
      </c>
      <c r="G87" s="11"/>
      <c r="H87" s="11" t="str">
        <f>IF(E87="","",SUMIF(Estructuras!B:B,A87,Estructuras!E:E))</f>
        <v/>
      </c>
      <c r="I87" s="8" t="str">
        <f>IF(E87="","",IF(COUNTIF(Estructuras!F:F,E87)=0,"Falta Estructura",IF(COUNTIFS(Estructuras!F:F,E87,Estructuras!E:E,0)&gt;0,"Faltan Precios","OK")))</f>
        <v/>
      </c>
      <c r="J87" s="10" t="str">
        <f>IF(I87="Faltan Precios",COUNTIFS(Estructuras!B:B,A87,Estructuras!E:E,0),"")</f>
        <v/>
      </c>
      <c r="K87" s="8" t="str">
        <f t="shared" si="2"/>
        <v/>
      </c>
    </row>
    <row r="88">
      <c r="A88" s="4" t="str">
        <f t="shared" si="1"/>
        <v/>
      </c>
      <c r="F88" s="36" t="str">
        <f t="shared" si="4"/>
        <v/>
      </c>
      <c r="G88" s="11"/>
      <c r="H88" s="11" t="str">
        <f>IF(E88="","",SUMIF(Estructuras!B:B,A88,Estructuras!E:E))</f>
        <v/>
      </c>
      <c r="I88" s="8" t="str">
        <f>IF(E88="","",IF(COUNTIF(Estructuras!F:F,E88)=0,"Falta Estructura",IF(COUNTIFS(Estructuras!F:F,E88,Estructuras!E:E,0)&gt;0,"Faltan Precios","OK")))</f>
        <v/>
      </c>
      <c r="J88" s="10" t="str">
        <f>IF(I88="Faltan Precios",COUNTIFS(Estructuras!B:B,A88,Estructuras!E:E,0),"")</f>
        <v/>
      </c>
      <c r="K88" s="8" t="str">
        <f t="shared" si="2"/>
        <v/>
      </c>
    </row>
    <row r="89">
      <c r="A89" s="4" t="str">
        <f t="shared" si="1"/>
        <v/>
      </c>
      <c r="F89" s="36" t="str">
        <f t="shared" si="4"/>
        <v/>
      </c>
      <c r="G89" s="11"/>
      <c r="H89" s="11" t="str">
        <f>IF(E89="","",SUMIF(Estructuras!B:B,A89,Estructuras!E:E))</f>
        <v/>
      </c>
      <c r="I89" s="8" t="str">
        <f>IF(E89="","",IF(COUNTIF(Estructuras!F:F,E89)=0,"Falta Estructura",IF(COUNTIFS(Estructuras!F:F,E89,Estructuras!E:E,0)&gt;0,"Faltan Precios","OK")))</f>
        <v/>
      </c>
      <c r="J89" s="10" t="str">
        <f>IF(I89="Faltan Precios",COUNTIFS(Estructuras!B:B,A89,Estructuras!E:E,0),"")</f>
        <v/>
      </c>
      <c r="K89" s="8" t="str">
        <f t="shared" si="2"/>
        <v/>
      </c>
    </row>
    <row r="90">
      <c r="A90" s="4" t="str">
        <f t="shared" si="1"/>
        <v/>
      </c>
      <c r="F90" s="36" t="str">
        <f t="shared" si="4"/>
        <v/>
      </c>
      <c r="G90" s="11"/>
      <c r="H90" s="11" t="str">
        <f>IF(E90="","",SUMIF(Estructuras!B:B,A90,Estructuras!E:E))</f>
        <v/>
      </c>
      <c r="I90" s="8" t="str">
        <f>IF(E90="","",IF(COUNTIF(Estructuras!F:F,E90)=0,"Falta Estructura",IF(COUNTIFS(Estructuras!F:F,E90,Estructuras!E:E,0)&gt;0,"Faltan Precios","OK")))</f>
        <v/>
      </c>
      <c r="J90" s="10" t="str">
        <f>IF(I90="Faltan Precios",COUNTIFS(Estructuras!B:B,A90,Estructuras!E:E,0),"")</f>
        <v/>
      </c>
      <c r="K90" s="8" t="str">
        <f t="shared" si="2"/>
        <v/>
      </c>
    </row>
    <row r="91">
      <c r="A91" s="4" t="str">
        <f t="shared" si="1"/>
        <v/>
      </c>
      <c r="F91" s="36" t="str">
        <f t="shared" si="4"/>
        <v/>
      </c>
      <c r="G91" s="11"/>
      <c r="H91" s="11" t="str">
        <f>IF(E91="","",SUMIF(Estructuras!B:B,A91,Estructuras!E:E))</f>
        <v/>
      </c>
      <c r="I91" s="8" t="str">
        <f>IF(E91="","",IF(COUNTIF(Estructuras!F:F,E91)=0,"Falta Estructura",IF(COUNTIFS(Estructuras!F:F,E91,Estructuras!E:E,0)&gt;0,"Faltan Precios","OK")))</f>
        <v/>
      </c>
      <c r="J91" s="10" t="str">
        <f>IF(I91="Faltan Precios",COUNTIFS(Estructuras!B:B,A91,Estructuras!E:E,0),"")</f>
        <v/>
      </c>
      <c r="K91" s="8" t="str">
        <f t="shared" si="2"/>
        <v/>
      </c>
    </row>
    <row r="92">
      <c r="A92" s="4" t="str">
        <f t="shared" si="1"/>
        <v/>
      </c>
      <c r="F92" s="36" t="str">
        <f t="shared" si="4"/>
        <v/>
      </c>
      <c r="G92" s="11"/>
      <c r="H92" s="11" t="str">
        <f>IF(E92="","",SUMIF(Estructuras!B:B,A92,Estructuras!E:E))</f>
        <v/>
      </c>
      <c r="I92" s="8" t="str">
        <f>IF(E92="","",IF(COUNTIF(Estructuras!F:F,E92)=0,"Falta Estructura",IF(COUNTIFS(Estructuras!F:F,E92,Estructuras!E:E,0)&gt;0,"Faltan Precios","OK")))</f>
        <v/>
      </c>
      <c r="J92" s="10" t="str">
        <f>IF(I92="Faltan Precios",COUNTIFS(Estructuras!B:B,A92,Estructuras!E:E,0),"")</f>
        <v/>
      </c>
      <c r="K92" s="8" t="str">
        <f t="shared" si="2"/>
        <v/>
      </c>
    </row>
    <row r="93">
      <c r="A93" s="4" t="str">
        <f t="shared" si="1"/>
        <v/>
      </c>
      <c r="F93" s="36" t="str">
        <f t="shared" si="4"/>
        <v/>
      </c>
      <c r="G93" s="11"/>
      <c r="H93" s="11" t="str">
        <f>IF(E93="","",SUMIF(Estructuras!B:B,A93,Estructuras!E:E))</f>
        <v/>
      </c>
      <c r="I93" s="8" t="str">
        <f>IF(E93="","",IF(COUNTIF(Estructuras!F:F,E93)=0,"Falta Estructura",IF(COUNTIFS(Estructuras!F:F,E93,Estructuras!E:E,0)&gt;0,"Faltan Precios","OK")))</f>
        <v/>
      </c>
      <c r="J93" s="10" t="str">
        <f>IF(I93="Faltan Precios",COUNTIFS(Estructuras!B:B,A93,Estructuras!E:E,0),"")</f>
        <v/>
      </c>
      <c r="K93" s="8" t="str">
        <f t="shared" si="2"/>
        <v/>
      </c>
    </row>
    <row r="94">
      <c r="A94" s="4" t="str">
        <f t="shared" si="1"/>
        <v/>
      </c>
      <c r="F94" s="36" t="str">
        <f t="shared" si="4"/>
        <v/>
      </c>
      <c r="G94" s="11"/>
      <c r="H94" s="11" t="str">
        <f>IF(E94="","",SUMIF(Estructuras!B:B,A94,Estructuras!E:E))</f>
        <v/>
      </c>
      <c r="I94" s="8" t="str">
        <f>IF(E94="","",IF(COUNTIF(Estructuras!F:F,E94)=0,"Falta Estructura",IF(COUNTIFS(Estructuras!F:F,E94,Estructuras!E:E,0)&gt;0,"Faltan Precios","OK")))</f>
        <v/>
      </c>
      <c r="J94" s="10" t="str">
        <f>IF(I94="Faltan Precios",COUNTIFS(Estructuras!B:B,A94,Estructuras!E:E,0),"")</f>
        <v/>
      </c>
      <c r="K94" s="8" t="str">
        <f t="shared" si="2"/>
        <v/>
      </c>
    </row>
    <row r="95">
      <c r="A95" s="4" t="str">
        <f t="shared" si="1"/>
        <v/>
      </c>
      <c r="F95" s="36" t="str">
        <f t="shared" si="4"/>
        <v/>
      </c>
      <c r="G95" s="11"/>
      <c r="H95" s="11" t="str">
        <f>IF(E95="","",SUMIF(Estructuras!B:B,A95,Estructuras!E:E))</f>
        <v/>
      </c>
      <c r="I95" s="8" t="str">
        <f>IF(E95="","",IF(COUNTIF(Estructuras!F:F,E95)=0,"Falta Estructura",IF(COUNTIFS(Estructuras!F:F,E95,Estructuras!E:E,0)&gt;0,"Faltan Precios","OK")))</f>
        <v/>
      </c>
      <c r="J95" s="10" t="str">
        <f>IF(I95="Faltan Precios",COUNTIFS(Estructuras!B:B,A95,Estructuras!E:E,0),"")</f>
        <v/>
      </c>
      <c r="K95" s="8" t="str">
        <f t="shared" si="2"/>
        <v/>
      </c>
    </row>
    <row r="96">
      <c r="A96" s="4" t="str">
        <f t="shared" si="1"/>
        <v/>
      </c>
      <c r="F96" s="36" t="str">
        <f t="shared" si="4"/>
        <v/>
      </c>
      <c r="G96" s="11"/>
      <c r="H96" s="11" t="str">
        <f>IF(E96="","",SUMIF(Estructuras!B:B,A96,Estructuras!E:E))</f>
        <v/>
      </c>
      <c r="I96" s="8" t="str">
        <f>IF(E96="","",IF(COUNTIF(Estructuras!F:F,E96)=0,"Falta Estructura",IF(COUNTIFS(Estructuras!F:F,E96,Estructuras!E:E,0)&gt;0,"Faltan Precios","OK")))</f>
        <v/>
      </c>
      <c r="J96" s="10" t="str">
        <f>IF(I96="Faltan Precios",COUNTIFS(Estructuras!B:B,A96,Estructuras!E:E,0),"")</f>
        <v/>
      </c>
      <c r="K96" s="8" t="str">
        <f t="shared" si="2"/>
        <v/>
      </c>
    </row>
    <row r="97">
      <c r="A97" s="4" t="str">
        <f t="shared" si="1"/>
        <v/>
      </c>
      <c r="F97" s="36" t="str">
        <f t="shared" si="4"/>
        <v/>
      </c>
      <c r="G97" s="11"/>
      <c r="H97" s="11" t="str">
        <f>IF(E97="","",SUMIF(Estructuras!B:B,A97,Estructuras!E:E))</f>
        <v/>
      </c>
      <c r="I97" s="8" t="str">
        <f>IF(E97="","",IF(COUNTIF(Estructuras!F:F,E97)=0,"Falta Estructura",IF(COUNTIFS(Estructuras!F:F,E97,Estructuras!E:E,0)&gt;0,"Faltan Precios","OK")))</f>
        <v/>
      </c>
      <c r="J97" s="10" t="str">
        <f>IF(I97="Faltan Precios",COUNTIFS(Estructuras!B:B,A97,Estructuras!E:E,0),"")</f>
        <v/>
      </c>
      <c r="K97" s="8" t="str">
        <f t="shared" si="2"/>
        <v/>
      </c>
    </row>
    <row r="98">
      <c r="A98" s="4" t="str">
        <f t="shared" si="1"/>
        <v/>
      </c>
      <c r="F98" s="36" t="str">
        <f t="shared" si="4"/>
        <v/>
      </c>
      <c r="G98" s="11"/>
      <c r="H98" s="11" t="str">
        <f>IF(E98="","",SUMIF(Estructuras!B:B,A98,Estructuras!E:E))</f>
        <v/>
      </c>
      <c r="I98" s="8" t="str">
        <f>IF(E98="","",IF(COUNTIF(Estructuras!F:F,E98)=0,"Falta Estructura",IF(COUNTIFS(Estructuras!F:F,E98,Estructuras!E:E,0)&gt;0,"Faltan Precios","OK")))</f>
        <v/>
      </c>
      <c r="J98" s="10" t="str">
        <f>IF(I98="Faltan Precios",COUNTIFS(Estructuras!B:B,A98,Estructuras!E:E,0),"")</f>
        <v/>
      </c>
      <c r="K98" s="8" t="str">
        <f t="shared" si="2"/>
        <v/>
      </c>
    </row>
    <row r="99">
      <c r="A99" s="4" t="str">
        <f t="shared" si="1"/>
        <v/>
      </c>
      <c r="F99" s="36" t="str">
        <f t="shared" si="4"/>
        <v/>
      </c>
      <c r="G99" s="11"/>
      <c r="H99" s="11" t="str">
        <f>IF(E99="","",SUMIF(Estructuras!B:B,A99,Estructuras!E:E))</f>
        <v/>
      </c>
      <c r="I99" s="8" t="str">
        <f>IF(E99="","",IF(COUNTIF(Estructuras!F:F,E99)=0,"Falta Estructura",IF(COUNTIFS(Estructuras!F:F,E99,Estructuras!E:E,0)&gt;0,"Faltan Precios","OK")))</f>
        <v/>
      </c>
      <c r="J99" s="10" t="str">
        <f>IF(I99="Faltan Precios",COUNTIFS(Estructuras!B:B,A99,Estructuras!E:E,0),"")</f>
        <v/>
      </c>
      <c r="K99" s="8" t="str">
        <f t="shared" si="2"/>
        <v/>
      </c>
    </row>
    <row r="100">
      <c r="A100" s="4" t="str">
        <f t="shared" si="1"/>
        <v/>
      </c>
      <c r="F100" s="36" t="str">
        <f t="shared" si="4"/>
        <v/>
      </c>
      <c r="G100" s="11"/>
      <c r="H100" s="11" t="str">
        <f>IF(E100="","",SUMIF(Estructuras!B:B,A100,Estructuras!E:E))</f>
        <v/>
      </c>
      <c r="I100" s="8" t="str">
        <f>IF(E100="","",IF(COUNTIF(Estructuras!F:F,E100)=0,"Falta Estructura",IF(COUNTIFS(Estructuras!F:F,E100,Estructuras!E:E,0)&gt;0,"Faltan Precios","OK")))</f>
        <v/>
      </c>
      <c r="J100" s="10" t="str">
        <f>IF(I100="Faltan Precios",COUNTIFS(Estructuras!B:B,A100,Estructuras!E:E,0),"")</f>
        <v/>
      </c>
      <c r="K100" s="8" t="str">
        <f t="shared" si="2"/>
        <v/>
      </c>
    </row>
    <row r="101">
      <c r="A101" s="4" t="str">
        <f t="shared" si="1"/>
        <v/>
      </c>
      <c r="F101" s="36" t="str">
        <f t="shared" si="4"/>
        <v/>
      </c>
      <c r="G101" s="11"/>
      <c r="H101" s="11" t="str">
        <f>IF(E101="","",SUMIF(Estructuras!B:B,A101,Estructuras!E:E))</f>
        <v/>
      </c>
      <c r="I101" s="8" t="str">
        <f>IF(E101="","",IF(COUNTIF(Estructuras!F:F,E101)=0,"Falta Estructura",IF(COUNTIFS(Estructuras!F:F,E101,Estructuras!E:E,0)&gt;0,"Faltan Precios","OK")))</f>
        <v/>
      </c>
      <c r="J101" s="10" t="str">
        <f>IF(I101="Faltan Precios",COUNTIFS(Estructuras!B:B,A101,Estructuras!E:E,0),"")</f>
        <v/>
      </c>
      <c r="K101" s="8" t="str">
        <f t="shared" si="2"/>
        <v/>
      </c>
    </row>
    <row r="102">
      <c r="A102" s="4" t="str">
        <f t="shared" si="1"/>
        <v/>
      </c>
      <c r="F102" s="36" t="str">
        <f t="shared" si="4"/>
        <v/>
      </c>
      <c r="G102" s="11"/>
      <c r="H102" s="11" t="str">
        <f>IF(E102="","",SUMIF(Estructuras!B:B,A102,Estructuras!E:E))</f>
        <v/>
      </c>
      <c r="I102" s="8" t="str">
        <f>IF(E102="","",IF(COUNTIF(Estructuras!F:F,E102)=0,"Falta Estructura",IF(COUNTIFS(Estructuras!F:F,E102,Estructuras!E:E,0)&gt;0,"Faltan Precios","OK")))</f>
        <v/>
      </c>
      <c r="J102" s="10" t="str">
        <f>IF(I102="Faltan Precios",COUNTIFS(Estructuras!B:B,A102,Estructuras!E:E,0),"")</f>
        <v/>
      </c>
      <c r="K102" s="8" t="str">
        <f t="shared" si="2"/>
        <v/>
      </c>
    </row>
    <row r="103">
      <c r="A103" s="4" t="str">
        <f t="shared" si="1"/>
        <v/>
      </c>
      <c r="F103" s="36" t="str">
        <f t="shared" si="4"/>
        <v/>
      </c>
      <c r="G103" s="11"/>
      <c r="H103" s="11" t="str">
        <f>IF(E103="","",SUMIF(Estructuras!B:B,A103,Estructuras!E:E))</f>
        <v/>
      </c>
      <c r="I103" s="8" t="str">
        <f>IF(E103="","",IF(COUNTIF(Estructuras!F:F,E103)=0,"Falta Estructura",IF(COUNTIFS(Estructuras!F:F,E103,Estructuras!E:E,0)&gt;0,"Faltan Precios","OK")))</f>
        <v/>
      </c>
      <c r="J103" s="10" t="str">
        <f>IF(I103="Faltan Precios",COUNTIFS(Estructuras!B:B,A103,Estructuras!E:E,0),"")</f>
        <v/>
      </c>
      <c r="K103" s="8" t="str">
        <f t="shared" si="2"/>
        <v/>
      </c>
    </row>
    <row r="104">
      <c r="A104" s="4" t="str">
        <f t="shared" si="1"/>
        <v/>
      </c>
      <c r="F104" s="36" t="str">
        <f t="shared" si="4"/>
        <v/>
      </c>
      <c r="G104" s="11"/>
      <c r="H104" s="11" t="str">
        <f>IF(E104="","",SUMIF(Estructuras!B:B,A104,Estructuras!E:E))</f>
        <v/>
      </c>
      <c r="I104" s="8" t="str">
        <f>IF(E104="","",IF(COUNTIF(Estructuras!F:F,E104)=0,"Falta Estructura",IF(COUNTIFS(Estructuras!F:F,E104,Estructuras!E:E,0)&gt;0,"Faltan Precios","OK")))</f>
        <v/>
      </c>
      <c r="J104" s="10" t="str">
        <f>IF(I104="Faltan Precios",COUNTIFS(Estructuras!B:B,A104,Estructuras!E:E,0),"")</f>
        <v/>
      </c>
      <c r="K104" s="8" t="str">
        <f t="shared" si="2"/>
        <v/>
      </c>
    </row>
    <row r="105">
      <c r="A105" s="4" t="str">
        <f t="shared" si="1"/>
        <v/>
      </c>
      <c r="F105" s="36" t="str">
        <f t="shared" si="4"/>
        <v/>
      </c>
      <c r="G105" s="11"/>
      <c r="H105" s="11" t="str">
        <f>IF(E105="","",SUMIF(Estructuras!B:B,A105,Estructuras!E:E))</f>
        <v/>
      </c>
      <c r="I105" s="8" t="str">
        <f>IF(E105="","",IF(COUNTIF(Estructuras!F:F,E105)=0,"Falta Estructura",IF(COUNTIFS(Estructuras!F:F,E105,Estructuras!E:E,0)&gt;0,"Faltan Precios","OK")))</f>
        <v/>
      </c>
      <c r="J105" s="10" t="str">
        <f>IF(I105="Faltan Precios",COUNTIFS(Estructuras!B:B,A105,Estructuras!E:E,0),"")</f>
        <v/>
      </c>
      <c r="K105" s="8" t="str">
        <f t="shared" si="2"/>
        <v/>
      </c>
    </row>
    <row r="106">
      <c r="A106" s="4" t="str">
        <f t="shared" si="1"/>
        <v/>
      </c>
      <c r="F106" s="36" t="str">
        <f t="shared" si="4"/>
        <v/>
      </c>
      <c r="G106" s="11"/>
      <c r="H106" s="11" t="str">
        <f>IF(E106="","",SUMIF(Estructuras!B:B,A106,Estructuras!E:E))</f>
        <v/>
      </c>
      <c r="I106" s="8" t="str">
        <f>IF(E106="","",IF(COUNTIF(Estructuras!F:F,E106)=0,"Falta Estructura",IF(COUNTIFS(Estructuras!F:F,E106,Estructuras!E:E,0)&gt;0,"Faltan Precios","OK")))</f>
        <v/>
      </c>
      <c r="J106" s="10" t="str">
        <f>IF(I106="Faltan Precios",COUNTIFS(Estructuras!B:B,A106,Estructuras!E:E,0),"")</f>
        <v/>
      </c>
      <c r="K106" s="8" t="str">
        <f t="shared" si="2"/>
        <v/>
      </c>
    </row>
    <row r="107">
      <c r="A107" s="4" t="str">
        <f t="shared" si="1"/>
        <v/>
      </c>
      <c r="F107" s="36" t="str">
        <f t="shared" si="4"/>
        <v/>
      </c>
      <c r="G107" s="11"/>
      <c r="H107" s="11" t="str">
        <f>IF(E107="","",SUMIF(Estructuras!B:B,A107,Estructuras!E:E))</f>
        <v/>
      </c>
      <c r="I107" s="8" t="str">
        <f>IF(E107="","",IF(COUNTIF(Estructuras!F:F,E107)=0,"Falta Estructura",IF(COUNTIFS(Estructuras!F:F,E107,Estructuras!E:E,0)&gt;0,"Faltan Precios","OK")))</f>
        <v/>
      </c>
      <c r="J107" s="10" t="str">
        <f>IF(I107="Faltan Precios",COUNTIFS(Estructuras!B:B,A107,Estructuras!E:E,0),"")</f>
        <v/>
      </c>
      <c r="K107" s="8" t="str">
        <f t="shared" si="2"/>
        <v/>
      </c>
    </row>
    <row r="108">
      <c r="A108" s="4" t="str">
        <f t="shared" si="1"/>
        <v/>
      </c>
      <c r="F108" s="36" t="str">
        <f t="shared" si="4"/>
        <v/>
      </c>
      <c r="G108" s="11"/>
      <c r="H108" s="11" t="str">
        <f>IF(E108="","",SUMIF(Estructuras!B:B,A108,Estructuras!E:E))</f>
        <v/>
      </c>
      <c r="I108" s="8" t="str">
        <f>IF(E108="","",IF(COUNTIF(Estructuras!F:F,E108)=0,"Falta Estructura",IF(COUNTIFS(Estructuras!F:F,E108,Estructuras!E:E,0)&gt;0,"Faltan Precios","OK")))</f>
        <v/>
      </c>
      <c r="J108" s="10" t="str">
        <f>IF(I108="Faltan Precios",COUNTIFS(Estructuras!B:B,A108,Estructuras!E:E,0),"")</f>
        <v/>
      </c>
      <c r="K108" s="8" t="str">
        <f t="shared" si="2"/>
        <v/>
      </c>
    </row>
    <row r="109">
      <c r="A109" s="4" t="str">
        <f t="shared" si="1"/>
        <v/>
      </c>
      <c r="F109" s="36" t="str">
        <f t="shared" si="4"/>
        <v/>
      </c>
      <c r="G109" s="11"/>
      <c r="H109" s="11" t="str">
        <f>IF(E109="","",SUMIF(Estructuras!B:B,A109,Estructuras!E:E))</f>
        <v/>
      </c>
      <c r="I109" s="8" t="str">
        <f>IF(E109="","",IF(COUNTIF(Estructuras!F:F,E109)=0,"Falta Estructura",IF(COUNTIFS(Estructuras!F:F,E109,Estructuras!E:E,0)&gt;0,"Faltan Precios","OK")))</f>
        <v/>
      </c>
      <c r="J109" s="10" t="str">
        <f>IF(I109="Faltan Precios",COUNTIFS(Estructuras!B:B,A109,Estructuras!E:E,0),"")</f>
        <v/>
      </c>
      <c r="K109" s="8" t="str">
        <f t="shared" si="2"/>
        <v/>
      </c>
    </row>
    <row r="110">
      <c r="A110" s="4" t="str">
        <f t="shared" si="1"/>
        <v/>
      </c>
      <c r="F110" s="36" t="str">
        <f t="shared" si="4"/>
        <v/>
      </c>
      <c r="G110" s="11"/>
      <c r="H110" s="11" t="str">
        <f>IF(E110="","",SUMIF(Estructuras!B:B,A110,Estructuras!E:E))</f>
        <v/>
      </c>
      <c r="I110" s="8" t="str">
        <f>IF(E110="","",IF(COUNTIF(Estructuras!F:F,E110)=0,"Falta Estructura",IF(COUNTIFS(Estructuras!F:F,E110,Estructuras!E:E,0)&gt;0,"Faltan Precios","OK")))</f>
        <v/>
      </c>
      <c r="J110" s="10" t="str">
        <f>IF(I110="Faltan Precios",COUNTIFS(Estructuras!B:B,A110,Estructuras!E:E,0),"")</f>
        <v/>
      </c>
      <c r="K110" s="8" t="str">
        <f t="shared" si="2"/>
        <v/>
      </c>
    </row>
    <row r="111">
      <c r="A111" s="4" t="str">
        <f t="shared" si="1"/>
        <v/>
      </c>
      <c r="F111" s="36" t="str">
        <f t="shared" si="4"/>
        <v/>
      </c>
      <c r="G111" s="11"/>
      <c r="H111" s="11" t="str">
        <f>IF(E111="","",SUMIF(Estructuras!B:B,A111,Estructuras!E:E))</f>
        <v/>
      </c>
      <c r="I111" s="8" t="str">
        <f>IF(E111="","",IF(COUNTIF(Estructuras!F:F,E111)=0,"Falta Estructura",IF(COUNTIFS(Estructuras!F:F,E111,Estructuras!E:E,0)&gt;0,"Faltan Precios","OK")))</f>
        <v/>
      </c>
      <c r="J111" s="10" t="str">
        <f>IF(I111="Faltan Precios",COUNTIFS(Estructuras!B:B,A111,Estructuras!E:E,0),"")</f>
        <v/>
      </c>
      <c r="K111" s="8" t="str">
        <f t="shared" si="2"/>
        <v/>
      </c>
    </row>
    <row r="112">
      <c r="A112" s="4" t="str">
        <f t="shared" si="1"/>
        <v/>
      </c>
      <c r="F112" s="36" t="str">
        <f t="shared" si="4"/>
        <v/>
      </c>
      <c r="G112" s="11"/>
      <c r="H112" s="11" t="str">
        <f>IF(E112="","",SUMIF(Estructuras!B:B,A112,Estructuras!E:E))</f>
        <v/>
      </c>
      <c r="I112" s="8" t="str">
        <f>IF(E112="","",IF(COUNTIF(Estructuras!F:F,E112)=0,"Falta Estructura",IF(COUNTIFS(Estructuras!F:F,E112,Estructuras!E:E,0)&gt;0,"Faltan Precios","OK")))</f>
        <v/>
      </c>
      <c r="J112" s="10" t="str">
        <f>IF(I112="Faltan Precios",COUNTIFS(Estructuras!B:B,A112,Estructuras!E:E,0),"")</f>
        <v/>
      </c>
      <c r="K112" s="8" t="str">
        <f t="shared" si="2"/>
        <v/>
      </c>
    </row>
    <row r="113">
      <c r="A113" s="4" t="str">
        <f t="shared" si="1"/>
        <v/>
      </c>
      <c r="F113" s="36" t="str">
        <f t="shared" si="4"/>
        <v/>
      </c>
      <c r="G113" s="11"/>
      <c r="H113" s="11" t="str">
        <f>IF(E113="","",SUMIF(Estructuras!B:B,A113,Estructuras!E:E))</f>
        <v/>
      </c>
      <c r="I113" s="8" t="str">
        <f>IF(E113="","",IF(COUNTIF(Estructuras!F:F,E113)=0,"Falta Estructura",IF(COUNTIFS(Estructuras!F:F,E113,Estructuras!E:E,0)&gt;0,"Faltan Precios","OK")))</f>
        <v/>
      </c>
      <c r="J113" s="10" t="str">
        <f>IF(I113="Faltan Precios",COUNTIFS(Estructuras!B:B,A113,Estructuras!E:E,0),"")</f>
        <v/>
      </c>
      <c r="K113" s="8" t="str">
        <f t="shared" si="2"/>
        <v/>
      </c>
    </row>
    <row r="114">
      <c r="A114" s="4" t="str">
        <f t="shared" si="1"/>
        <v/>
      </c>
      <c r="F114" s="36" t="str">
        <f t="shared" si="4"/>
        <v/>
      </c>
      <c r="G114" s="11"/>
      <c r="H114" s="11" t="str">
        <f>IF(E114="","",SUMIF(Estructuras!B:B,A114,Estructuras!E:E))</f>
        <v/>
      </c>
      <c r="I114" s="8" t="str">
        <f>IF(E114="","",IF(COUNTIF(Estructuras!F:F,E114)=0,"Falta Estructura",IF(COUNTIFS(Estructuras!F:F,E114,Estructuras!E:E,0)&gt;0,"Faltan Precios","OK")))</f>
        <v/>
      </c>
      <c r="J114" s="10" t="str">
        <f>IF(I114="Faltan Precios",COUNTIFS(Estructuras!B:B,A114,Estructuras!E:E,0),"")</f>
        <v/>
      </c>
      <c r="K114" s="8" t="str">
        <f t="shared" si="2"/>
        <v/>
      </c>
    </row>
    <row r="115">
      <c r="A115" s="4" t="str">
        <f t="shared" si="1"/>
        <v/>
      </c>
      <c r="F115" s="36" t="str">
        <f t="shared" si="4"/>
        <v/>
      </c>
      <c r="G115" s="11"/>
      <c r="H115" s="11" t="str">
        <f>IF(E115="","",SUMIF(Estructuras!B:B,A115,Estructuras!E:E))</f>
        <v/>
      </c>
      <c r="I115" s="8" t="str">
        <f>IF(E115="","",IF(COUNTIF(Estructuras!F:F,E115)=0,"Falta Estructura",IF(COUNTIFS(Estructuras!F:F,E115,Estructuras!E:E,0)&gt;0,"Faltan Precios","OK")))</f>
        <v/>
      </c>
      <c r="J115" s="10" t="str">
        <f>IF(I115="Faltan Precios",COUNTIFS(Estructuras!B:B,A115,Estructuras!E:E,0),"")</f>
        <v/>
      </c>
      <c r="K115" s="8" t="str">
        <f t="shared" si="2"/>
        <v/>
      </c>
    </row>
    <row r="116">
      <c r="A116" s="4" t="str">
        <f t="shared" si="1"/>
        <v/>
      </c>
      <c r="F116" s="36" t="str">
        <f t="shared" si="4"/>
        <v/>
      </c>
      <c r="G116" s="11"/>
      <c r="H116" s="11" t="str">
        <f>IF(E116="","",SUMIF(Estructuras!B:B,A116,Estructuras!E:E))</f>
        <v/>
      </c>
      <c r="I116" s="8" t="str">
        <f>IF(E116="","",IF(COUNTIF(Estructuras!F:F,E116)=0,"Falta Estructura",IF(COUNTIFS(Estructuras!F:F,E116,Estructuras!E:E,0)&gt;0,"Faltan Precios","OK")))</f>
        <v/>
      </c>
      <c r="J116" s="10" t="str">
        <f>IF(I116="Faltan Precios",COUNTIFS(Estructuras!B:B,A116,Estructuras!E:E,0),"")</f>
        <v/>
      </c>
      <c r="K116" s="8" t="str">
        <f t="shared" si="2"/>
        <v/>
      </c>
    </row>
    <row r="117">
      <c r="A117" s="4" t="str">
        <f t="shared" si="1"/>
        <v/>
      </c>
      <c r="F117" s="36" t="str">
        <f t="shared" si="4"/>
        <v/>
      </c>
      <c r="G117" s="11"/>
      <c r="H117" s="11" t="str">
        <f>IF(E117="","",SUMIF(Estructuras!B:B,A117,Estructuras!E:E))</f>
        <v/>
      </c>
      <c r="I117" s="8" t="str">
        <f>IF(E117="","",IF(COUNTIF(Estructuras!F:F,E117)=0,"Falta Estructura",IF(COUNTIFS(Estructuras!F:F,E117,Estructuras!E:E,0)&gt;0,"Faltan Precios","OK")))</f>
        <v/>
      </c>
      <c r="J117" s="10" t="str">
        <f>IF(I117="Faltan Precios",COUNTIFS(Estructuras!B:B,A117,Estructuras!E:E,0),"")</f>
        <v/>
      </c>
      <c r="K117" s="8" t="str">
        <f t="shared" si="2"/>
        <v/>
      </c>
    </row>
    <row r="118">
      <c r="A118" s="4" t="str">
        <f t="shared" si="1"/>
        <v/>
      </c>
      <c r="F118" s="36" t="str">
        <f t="shared" si="4"/>
        <v/>
      </c>
      <c r="G118" s="11"/>
      <c r="H118" s="11" t="str">
        <f>IF(E118="","",SUMIF(Estructuras!B:B,A118,Estructuras!E:E))</f>
        <v/>
      </c>
      <c r="I118" s="8" t="str">
        <f>IF(E118="","",IF(COUNTIF(Estructuras!F:F,E118)=0,"Falta Estructura",IF(COUNTIFS(Estructuras!F:F,E118,Estructuras!E:E,0)&gt;0,"Faltan Precios","OK")))</f>
        <v/>
      </c>
      <c r="J118" s="10" t="str">
        <f>IF(I118="Faltan Precios",COUNTIFS(Estructuras!B:B,A118,Estructuras!E:E,0),"")</f>
        <v/>
      </c>
      <c r="K118" s="8" t="str">
        <f t="shared" si="2"/>
        <v/>
      </c>
    </row>
    <row r="119">
      <c r="A119" s="4" t="str">
        <f t="shared" si="1"/>
        <v/>
      </c>
      <c r="F119" s="36" t="str">
        <f t="shared" si="4"/>
        <v/>
      </c>
      <c r="G119" s="11"/>
      <c r="H119" s="11" t="str">
        <f>IF(E119="","",SUMIF(Estructuras!B:B,A119,Estructuras!E:E))</f>
        <v/>
      </c>
      <c r="I119" s="8" t="str">
        <f>IF(E119="","",IF(COUNTIF(Estructuras!F:F,E119)=0,"Falta Estructura",IF(COUNTIFS(Estructuras!F:F,E119,Estructuras!E:E,0)&gt;0,"Faltan Precios","OK")))</f>
        <v/>
      </c>
      <c r="J119" s="10" t="str">
        <f>IF(I119="Faltan Precios",COUNTIFS(Estructuras!B:B,A119,Estructuras!E:E,0),"")</f>
        <v/>
      </c>
      <c r="K119" s="8" t="str">
        <f t="shared" si="2"/>
        <v/>
      </c>
    </row>
    <row r="120">
      <c r="A120" s="4" t="str">
        <f t="shared" si="1"/>
        <v/>
      </c>
      <c r="F120" s="36" t="str">
        <f t="shared" si="4"/>
        <v/>
      </c>
      <c r="G120" s="11"/>
      <c r="H120" s="11" t="str">
        <f>IF(E120="","",SUMIF(Estructuras!B:B,A120,Estructuras!E:E))</f>
        <v/>
      </c>
      <c r="I120" s="8" t="str">
        <f>IF(E120="","",IF(COUNTIF(Estructuras!F:F,E120)=0,"Falta Estructura",IF(COUNTIFS(Estructuras!F:F,E120,Estructuras!E:E,0)&gt;0,"Faltan Precios","OK")))</f>
        <v/>
      </c>
      <c r="J120" s="10" t="str">
        <f>IF(I120="Faltan Precios",COUNTIFS(Estructuras!B:B,A120,Estructuras!E:E,0),"")</f>
        <v/>
      </c>
      <c r="K120" s="8" t="str">
        <f t="shared" si="2"/>
        <v/>
      </c>
    </row>
    <row r="121">
      <c r="A121" s="4" t="str">
        <f t="shared" si="1"/>
        <v/>
      </c>
      <c r="F121" s="36" t="str">
        <f t="shared" si="4"/>
        <v/>
      </c>
      <c r="G121" s="11"/>
      <c r="H121" s="11" t="str">
        <f>IF(E121="","",SUMIF(Estructuras!B:B,A121,Estructuras!E:E))</f>
        <v/>
      </c>
      <c r="I121" s="8" t="str">
        <f>IF(E121="","",IF(COUNTIF(Estructuras!F:F,E121)=0,"Falta Estructura",IF(COUNTIFS(Estructuras!F:F,E121,Estructuras!E:E,0)&gt;0,"Faltan Precios","OK")))</f>
        <v/>
      </c>
      <c r="J121" s="10" t="str">
        <f>IF(I121="Faltan Precios",COUNTIFS(Estructuras!B:B,A121,Estructuras!E:E,0),"")</f>
        <v/>
      </c>
      <c r="K121" s="8" t="str">
        <f t="shared" si="2"/>
        <v/>
      </c>
    </row>
    <row r="122">
      <c r="A122" s="4" t="str">
        <f t="shared" si="1"/>
        <v/>
      </c>
      <c r="F122" s="36" t="str">
        <f t="shared" si="4"/>
        <v/>
      </c>
      <c r="G122" s="11"/>
      <c r="H122" s="11" t="str">
        <f>IF(E122="","",SUMIF(Estructuras!B:B,A122,Estructuras!E:E))</f>
        <v/>
      </c>
      <c r="I122" s="8" t="str">
        <f>IF(E122="","",IF(COUNTIF(Estructuras!F:F,E122)=0,"Falta Estructura",IF(COUNTIFS(Estructuras!F:F,E122,Estructuras!E:E,0)&gt;0,"Faltan Precios","OK")))</f>
        <v/>
      </c>
      <c r="J122" s="10" t="str">
        <f>IF(I122="Faltan Precios",COUNTIFS(Estructuras!B:B,A122,Estructuras!E:E,0),"")</f>
        <v/>
      </c>
      <c r="K122" s="8" t="str">
        <f t="shared" si="2"/>
        <v/>
      </c>
    </row>
    <row r="123">
      <c r="A123" s="4" t="str">
        <f t="shared" si="1"/>
        <v/>
      </c>
      <c r="F123" s="36" t="str">
        <f t="shared" si="4"/>
        <v/>
      </c>
      <c r="G123" s="11"/>
      <c r="H123" s="11" t="str">
        <f>IF(E123="","",SUMIF(Estructuras!B:B,A123,Estructuras!E:E))</f>
        <v/>
      </c>
      <c r="I123" s="8" t="str">
        <f>IF(E123="","",IF(COUNTIF(Estructuras!F:F,E123)=0,"Falta Estructura",IF(COUNTIFS(Estructuras!F:F,E123,Estructuras!E:E,0)&gt;0,"Faltan Precios","OK")))</f>
        <v/>
      </c>
      <c r="J123" s="10" t="str">
        <f>IF(I123="Faltan Precios",COUNTIFS(Estructuras!B:B,A123,Estructuras!E:E,0),"")</f>
        <v/>
      </c>
      <c r="K123" s="8" t="str">
        <f t="shared" si="2"/>
        <v/>
      </c>
    </row>
    <row r="124">
      <c r="A124" s="4" t="str">
        <f t="shared" si="1"/>
        <v/>
      </c>
      <c r="F124" s="36" t="str">
        <f t="shared" si="4"/>
        <v/>
      </c>
      <c r="G124" s="11"/>
      <c r="H124" s="11" t="str">
        <f>IF(E124="","",SUMIF(Estructuras!B:B,A124,Estructuras!E:E))</f>
        <v/>
      </c>
      <c r="I124" s="8" t="str">
        <f>IF(E124="","",IF(COUNTIF(Estructuras!F:F,E124)=0,"Falta Estructura",IF(COUNTIFS(Estructuras!F:F,E124,Estructuras!E:E,0)&gt;0,"Faltan Precios","OK")))</f>
        <v/>
      </c>
      <c r="J124" s="10" t="str">
        <f>IF(I124="Faltan Precios",COUNTIFS(Estructuras!B:B,A124,Estructuras!E:E,0),"")</f>
        <v/>
      </c>
      <c r="K124" s="8" t="str">
        <f t="shared" si="2"/>
        <v/>
      </c>
    </row>
    <row r="125">
      <c r="A125" s="4" t="str">
        <f t="shared" si="1"/>
        <v/>
      </c>
      <c r="F125" s="36" t="str">
        <f t="shared" si="4"/>
        <v/>
      </c>
      <c r="G125" s="11"/>
      <c r="H125" s="11" t="str">
        <f>IF(E125="","",SUMIF(Estructuras!B:B,A125,Estructuras!E:E))</f>
        <v/>
      </c>
      <c r="I125" s="8" t="str">
        <f>IF(E125="","",IF(COUNTIF(Estructuras!F:F,E125)=0,"Falta Estructura",IF(COUNTIFS(Estructuras!F:F,E125,Estructuras!E:E,0)&gt;0,"Faltan Precios","OK")))</f>
        <v/>
      </c>
      <c r="J125" s="10" t="str">
        <f>IF(I125="Faltan Precios",COUNTIFS(Estructuras!B:B,A125,Estructuras!E:E,0),"")</f>
        <v/>
      </c>
      <c r="K125" s="8" t="str">
        <f t="shared" si="2"/>
        <v/>
      </c>
    </row>
    <row r="126">
      <c r="A126" s="4" t="str">
        <f t="shared" si="1"/>
        <v/>
      </c>
      <c r="F126" s="36" t="str">
        <f t="shared" si="4"/>
        <v/>
      </c>
      <c r="G126" s="11"/>
      <c r="H126" s="11" t="str">
        <f>IF(E126="","",SUMIF(Estructuras!B:B,A126,Estructuras!E:E))</f>
        <v/>
      </c>
      <c r="I126" s="8" t="str">
        <f>IF(E126="","",IF(COUNTIF(Estructuras!F:F,E126)=0,"Falta Estructura",IF(COUNTIFS(Estructuras!F:F,E126,Estructuras!E:E,0)&gt;0,"Faltan Precios","OK")))</f>
        <v/>
      </c>
      <c r="J126" s="10" t="str">
        <f>IF(I126="Faltan Precios",COUNTIFS(Estructuras!B:B,A126,Estructuras!E:E,0),"")</f>
        <v/>
      </c>
      <c r="K126" s="8" t="str">
        <f t="shared" si="2"/>
        <v/>
      </c>
    </row>
    <row r="127">
      <c r="A127" s="4" t="str">
        <f t="shared" si="1"/>
        <v/>
      </c>
      <c r="F127" s="36" t="str">
        <f t="shared" si="4"/>
        <v/>
      </c>
      <c r="G127" s="11"/>
      <c r="H127" s="11" t="str">
        <f>IF(E127="","",SUMIF(Estructuras!B:B,A127,Estructuras!E:E))</f>
        <v/>
      </c>
      <c r="I127" s="8" t="str">
        <f>IF(E127="","",IF(COUNTIF(Estructuras!F:F,E127)=0,"Falta Estructura",IF(COUNTIFS(Estructuras!F:F,E127,Estructuras!E:E,0)&gt;0,"Faltan Precios","OK")))</f>
        <v/>
      </c>
      <c r="J127" s="10" t="str">
        <f>IF(I127="Faltan Precios",COUNTIFS(Estructuras!B:B,A127,Estructuras!E:E,0),"")</f>
        <v/>
      </c>
      <c r="K127" s="8" t="str">
        <f t="shared" si="2"/>
        <v/>
      </c>
    </row>
    <row r="128">
      <c r="A128" s="4" t="str">
        <f t="shared" si="1"/>
        <v/>
      </c>
      <c r="F128" s="36" t="str">
        <f t="shared" si="4"/>
        <v/>
      </c>
      <c r="G128" s="11"/>
      <c r="H128" s="11" t="str">
        <f>IF(E128="","",SUMIF(Estructuras!B:B,A128,Estructuras!E:E))</f>
        <v/>
      </c>
      <c r="I128" s="8" t="str">
        <f>IF(E128="","",IF(COUNTIF(Estructuras!F:F,E128)=0,"Falta Estructura",IF(COUNTIFS(Estructuras!F:F,E128,Estructuras!E:E,0)&gt;0,"Faltan Precios","OK")))</f>
        <v/>
      </c>
      <c r="J128" s="10" t="str">
        <f>IF(I128="Faltan Precios",COUNTIFS(Estructuras!B:B,A128,Estructuras!E:E,0),"")</f>
        <v/>
      </c>
      <c r="K128" s="8" t="str">
        <f t="shared" si="2"/>
        <v/>
      </c>
    </row>
    <row r="129">
      <c r="A129" s="4" t="str">
        <f t="shared" si="1"/>
        <v/>
      </c>
      <c r="F129" s="36" t="str">
        <f t="shared" si="4"/>
        <v/>
      </c>
      <c r="G129" s="11"/>
      <c r="H129" s="11" t="str">
        <f>IF(E129="","",SUMIF(Estructuras!B:B,A129,Estructuras!E:E))</f>
        <v/>
      </c>
      <c r="I129" s="8" t="str">
        <f>IF(E129="","",IF(COUNTIF(Estructuras!F:F,E129)=0,"Falta Estructura",IF(COUNTIFS(Estructuras!F:F,E129,Estructuras!E:E,0)&gt;0,"Faltan Precios","OK")))</f>
        <v/>
      </c>
      <c r="J129" s="10" t="str">
        <f>IF(I129="Faltan Precios",COUNTIFS(Estructuras!B:B,A129,Estructuras!E:E,0),"")</f>
        <v/>
      </c>
      <c r="K129" s="8" t="str">
        <f t="shared" si="2"/>
        <v/>
      </c>
    </row>
    <row r="130">
      <c r="A130" s="4" t="str">
        <f t="shared" si="1"/>
        <v/>
      </c>
      <c r="F130" s="36" t="str">
        <f t="shared" si="4"/>
        <v/>
      </c>
      <c r="G130" s="11"/>
      <c r="H130" s="11" t="str">
        <f>IF(E130="","",SUMIF(Estructuras!B:B,A130,Estructuras!E:E))</f>
        <v/>
      </c>
      <c r="I130" s="8" t="str">
        <f>IF(E130="","",IF(COUNTIF(Estructuras!F:F,E130)=0,"Falta Estructura",IF(COUNTIFS(Estructuras!F:F,E130,Estructuras!E:E,0)&gt;0,"Faltan Precios","OK")))</f>
        <v/>
      </c>
      <c r="J130" s="10" t="str">
        <f>IF(I130="Faltan Precios",COUNTIFS(Estructuras!B:B,A130,Estructuras!E:E,0),"")</f>
        <v/>
      </c>
      <c r="K130" s="8" t="str">
        <f t="shared" si="2"/>
        <v/>
      </c>
    </row>
    <row r="131">
      <c r="A131" s="4" t="str">
        <f t="shared" si="1"/>
        <v/>
      </c>
      <c r="F131" s="36" t="str">
        <f t="shared" si="4"/>
        <v/>
      </c>
      <c r="G131" s="11"/>
      <c r="H131" s="11" t="str">
        <f>IF(E131="","",SUMIF(Estructuras!B:B,A131,Estructuras!E:E))</f>
        <v/>
      </c>
      <c r="I131" s="8" t="str">
        <f>IF(E131="","",IF(COUNTIF(Estructuras!F:F,E131)=0,"Falta Estructura",IF(COUNTIFS(Estructuras!F:F,E131,Estructuras!E:E,0)&gt;0,"Faltan Precios","OK")))</f>
        <v/>
      </c>
      <c r="J131" s="10" t="str">
        <f>IF(I131="Faltan Precios",COUNTIFS(Estructuras!B:B,A131,Estructuras!E:E,0),"")</f>
        <v/>
      </c>
      <c r="K131" s="8" t="str">
        <f t="shared" si="2"/>
        <v/>
      </c>
    </row>
    <row r="132">
      <c r="A132" s="4" t="str">
        <f t="shared" si="1"/>
        <v/>
      </c>
      <c r="F132" s="36" t="str">
        <f t="shared" si="4"/>
        <v/>
      </c>
      <c r="G132" s="11"/>
      <c r="H132" s="11" t="str">
        <f>IF(E132="","",SUMIF(Estructuras!B:B,A132,Estructuras!E:E))</f>
        <v/>
      </c>
      <c r="I132" s="8" t="str">
        <f>IF(E132="","",IF(COUNTIF(Estructuras!F:F,E132)=0,"Falta Estructura",IF(COUNTIFS(Estructuras!F:F,E132,Estructuras!E:E,0)&gt;0,"Faltan Precios","OK")))</f>
        <v/>
      </c>
      <c r="J132" s="10" t="str">
        <f>IF(I132="Faltan Precios",COUNTIFS(Estructuras!B:B,A132,Estructuras!E:E,0),"")</f>
        <v/>
      </c>
      <c r="K132" s="8" t="str">
        <f t="shared" si="2"/>
        <v/>
      </c>
    </row>
    <row r="133">
      <c r="A133" s="4" t="str">
        <f t="shared" si="1"/>
        <v/>
      </c>
      <c r="F133" s="36" t="str">
        <f t="shared" si="4"/>
        <v/>
      </c>
      <c r="G133" s="11"/>
      <c r="H133" s="11" t="str">
        <f>IF(E133="","",SUMIF(Estructuras!B:B,A133,Estructuras!E:E))</f>
        <v/>
      </c>
      <c r="I133" s="8" t="str">
        <f>IF(E133="","",IF(COUNTIF(Estructuras!F:F,E133)=0,"Falta Estructura",IF(COUNTIFS(Estructuras!F:F,E133,Estructuras!E:E,0)&gt;0,"Faltan Precios","OK")))</f>
        <v/>
      </c>
      <c r="J133" s="10" t="str">
        <f>IF(I133="Faltan Precios",COUNTIFS(Estructuras!B:B,A133,Estructuras!E:E,0),"")</f>
        <v/>
      </c>
      <c r="K133" s="8" t="str">
        <f t="shared" si="2"/>
        <v/>
      </c>
    </row>
    <row r="134">
      <c r="A134" s="4" t="str">
        <f t="shared" si="1"/>
        <v/>
      </c>
      <c r="F134" s="36" t="str">
        <f t="shared" si="4"/>
        <v/>
      </c>
      <c r="G134" s="11"/>
      <c r="H134" s="11" t="str">
        <f>IF(E134="","",SUMIF(Estructuras!B:B,A134,Estructuras!E:E))</f>
        <v/>
      </c>
      <c r="I134" s="8" t="str">
        <f>IF(E134="","",IF(COUNTIF(Estructuras!F:F,E134)=0,"Falta Estructura",IF(COUNTIFS(Estructuras!F:F,E134,Estructuras!E:E,0)&gt;0,"Faltan Precios","OK")))</f>
        <v/>
      </c>
      <c r="J134" s="10" t="str">
        <f>IF(I134="Faltan Precios",COUNTIFS(Estructuras!B:B,A134,Estructuras!E:E,0),"")</f>
        <v/>
      </c>
      <c r="K134" s="8" t="str">
        <f t="shared" si="2"/>
        <v/>
      </c>
    </row>
    <row r="135">
      <c r="A135" s="4" t="str">
        <f t="shared" si="1"/>
        <v/>
      </c>
      <c r="F135" s="36" t="str">
        <f t="shared" si="4"/>
        <v/>
      </c>
      <c r="G135" s="11"/>
      <c r="H135" s="11" t="str">
        <f>IF(E135="","",SUMIF(Estructuras!B:B,A135,Estructuras!E:E))</f>
        <v/>
      </c>
      <c r="I135" s="8" t="str">
        <f>IF(E135="","",IF(COUNTIF(Estructuras!F:F,E135)=0,"Falta Estructura",IF(COUNTIFS(Estructuras!F:F,E135,Estructuras!E:E,0)&gt;0,"Faltan Precios","OK")))</f>
        <v/>
      </c>
      <c r="J135" s="10" t="str">
        <f>IF(I135="Faltan Precios",COUNTIFS(Estructuras!B:B,A135,Estructuras!E:E,0),"")</f>
        <v/>
      </c>
      <c r="K135" s="8" t="str">
        <f t="shared" si="2"/>
        <v/>
      </c>
    </row>
    <row r="136">
      <c r="A136" s="4" t="str">
        <f t="shared" si="1"/>
        <v/>
      </c>
      <c r="F136" s="36" t="str">
        <f t="shared" si="4"/>
        <v/>
      </c>
      <c r="G136" s="11"/>
      <c r="H136" s="11" t="str">
        <f>IF(E136="","",SUMIF(Estructuras!B:B,A136,Estructuras!E:E))</f>
        <v/>
      </c>
      <c r="I136" s="8" t="str">
        <f>IF(E136="","",IF(COUNTIF(Estructuras!F:F,E136)=0,"Falta Estructura",IF(COUNTIFS(Estructuras!F:F,E136,Estructuras!E:E,0)&gt;0,"Faltan Precios","OK")))</f>
        <v/>
      </c>
      <c r="J136" s="10" t="str">
        <f>IF(I136="Faltan Precios",COUNTIFS(Estructuras!B:B,A136,Estructuras!E:E,0),"")</f>
        <v/>
      </c>
      <c r="K136" s="8" t="str">
        <f t="shared" si="2"/>
        <v/>
      </c>
    </row>
    <row r="137">
      <c r="A137" s="4" t="str">
        <f t="shared" si="1"/>
        <v/>
      </c>
      <c r="F137" s="36" t="str">
        <f t="shared" si="4"/>
        <v/>
      </c>
      <c r="G137" s="11"/>
      <c r="H137" s="11" t="str">
        <f>IF(E137="","",SUMIF(Estructuras!B:B,A137,Estructuras!E:E))</f>
        <v/>
      </c>
      <c r="I137" s="8" t="str">
        <f>IF(E137="","",IF(COUNTIF(Estructuras!F:F,E137)=0,"Falta Estructura",IF(COUNTIFS(Estructuras!F:F,E137,Estructuras!E:E,0)&gt;0,"Faltan Precios","OK")))</f>
        <v/>
      </c>
      <c r="J137" s="10" t="str">
        <f>IF(I137="Faltan Precios",COUNTIFS(Estructuras!B:B,A137,Estructuras!E:E,0),"")</f>
        <v/>
      </c>
      <c r="K137" s="8" t="str">
        <f t="shared" si="2"/>
        <v/>
      </c>
    </row>
    <row r="138">
      <c r="A138" s="4" t="str">
        <f t="shared" si="1"/>
        <v/>
      </c>
      <c r="F138" s="36" t="str">
        <f t="shared" si="4"/>
        <v/>
      </c>
      <c r="G138" s="11"/>
      <c r="H138" s="11" t="str">
        <f>IF(E138="","",SUMIF(Estructuras!B:B,A138,Estructuras!E:E))</f>
        <v/>
      </c>
      <c r="I138" s="8" t="str">
        <f>IF(E138="","",IF(COUNTIF(Estructuras!F:F,E138)=0,"Falta Estructura",IF(COUNTIFS(Estructuras!F:F,E138,Estructuras!E:E,0)&gt;0,"Faltan Precios","OK")))</f>
        <v/>
      </c>
      <c r="J138" s="10" t="str">
        <f>IF(I138="Faltan Precios",COUNTIFS(Estructuras!B:B,A138,Estructuras!E:E,0),"")</f>
        <v/>
      </c>
      <c r="K138" s="8" t="str">
        <f t="shared" si="2"/>
        <v/>
      </c>
    </row>
    <row r="139">
      <c r="A139" s="4" t="str">
        <f t="shared" si="1"/>
        <v/>
      </c>
      <c r="F139" s="36" t="str">
        <f t="shared" si="4"/>
        <v/>
      </c>
      <c r="G139" s="11"/>
      <c r="H139" s="11" t="str">
        <f>IF(E139="","",SUMIF(Estructuras!B:B,A139,Estructuras!E:E))</f>
        <v/>
      </c>
      <c r="I139" s="8" t="str">
        <f>IF(E139="","",IF(COUNTIF(Estructuras!F:F,E139)=0,"Falta Estructura",IF(COUNTIFS(Estructuras!F:F,E139,Estructuras!E:E,0)&gt;0,"Faltan Precios","OK")))</f>
        <v/>
      </c>
      <c r="J139" s="10" t="str">
        <f>IF(I139="Faltan Precios",COUNTIFS(Estructuras!B:B,A139,Estructuras!E:E,0),"")</f>
        <v/>
      </c>
      <c r="K139" s="8" t="str">
        <f t="shared" si="2"/>
        <v/>
      </c>
    </row>
    <row r="140">
      <c r="A140" s="4" t="str">
        <f t="shared" si="1"/>
        <v/>
      </c>
      <c r="F140" s="36" t="str">
        <f t="shared" si="4"/>
        <v/>
      </c>
      <c r="G140" s="11"/>
      <c r="H140" s="11" t="str">
        <f>IF(E140="","",SUMIF(Estructuras!B:B,A140,Estructuras!E:E))</f>
        <v/>
      </c>
      <c r="I140" s="8" t="str">
        <f>IF(E140="","",IF(COUNTIF(Estructuras!F:F,E140)=0,"Falta Estructura",IF(COUNTIFS(Estructuras!F:F,E140,Estructuras!E:E,0)&gt;0,"Faltan Precios","OK")))</f>
        <v/>
      </c>
      <c r="J140" s="10" t="str">
        <f>IF(I140="Faltan Precios",COUNTIFS(Estructuras!B:B,A140,Estructuras!E:E,0),"")</f>
        <v/>
      </c>
      <c r="K140" s="8" t="str">
        <f t="shared" si="2"/>
        <v/>
      </c>
    </row>
    <row r="141">
      <c r="A141" s="4" t="str">
        <f t="shared" si="1"/>
        <v/>
      </c>
      <c r="F141" s="36" t="str">
        <f t="shared" si="4"/>
        <v/>
      </c>
      <c r="G141" s="11"/>
      <c r="H141" s="11" t="str">
        <f>IF(E141="","",SUMIF(Estructuras!B:B,A141,Estructuras!E:E))</f>
        <v/>
      </c>
      <c r="I141" s="8" t="str">
        <f>IF(E141="","",IF(COUNTIF(Estructuras!F:F,E141)=0,"Falta Estructura",IF(COUNTIFS(Estructuras!F:F,E141,Estructuras!E:E,0)&gt;0,"Faltan Precios","OK")))</f>
        <v/>
      </c>
      <c r="J141" s="10" t="str">
        <f>IF(I141="Faltan Precios",COUNTIFS(Estructuras!B:B,A141,Estructuras!E:E,0),"")</f>
        <v/>
      </c>
      <c r="K141" s="8" t="str">
        <f t="shared" si="2"/>
        <v/>
      </c>
    </row>
    <row r="142">
      <c r="A142" s="4" t="str">
        <f t="shared" si="1"/>
        <v/>
      </c>
      <c r="F142" s="36" t="str">
        <f t="shared" si="4"/>
        <v/>
      </c>
      <c r="G142" s="11"/>
      <c r="H142" s="11" t="str">
        <f>IF(E142="","",SUMIF(Estructuras!B:B,A142,Estructuras!E:E))</f>
        <v/>
      </c>
      <c r="I142" s="8" t="str">
        <f>IF(E142="","",IF(COUNTIF(Estructuras!F:F,E142)=0,"Falta Estructura",IF(COUNTIFS(Estructuras!F:F,E142,Estructuras!E:E,0)&gt;0,"Faltan Precios","OK")))</f>
        <v/>
      </c>
      <c r="J142" s="10" t="str">
        <f>IF(I142="Faltan Precios",COUNTIFS(Estructuras!B:B,A142,Estructuras!E:E,0),"")</f>
        <v/>
      </c>
      <c r="K142" s="8" t="str">
        <f t="shared" si="2"/>
        <v/>
      </c>
    </row>
    <row r="143">
      <c r="A143" s="4" t="str">
        <f t="shared" si="1"/>
        <v/>
      </c>
      <c r="F143" s="36" t="str">
        <f t="shared" si="4"/>
        <v/>
      </c>
      <c r="G143" s="11"/>
      <c r="H143" s="11" t="str">
        <f>IF(E143="","",SUMIF(Estructuras!B:B,A143,Estructuras!E:E))</f>
        <v/>
      </c>
      <c r="I143" s="8" t="str">
        <f>IF(E143="","",IF(COUNTIF(Estructuras!F:F,E143)=0,"Falta Estructura",IF(COUNTIFS(Estructuras!F:F,E143,Estructuras!E:E,0)&gt;0,"Faltan Precios","OK")))</f>
        <v/>
      </c>
      <c r="J143" s="10" t="str">
        <f>IF(I143="Faltan Precios",COUNTIFS(Estructuras!B:B,A143,Estructuras!E:E,0),"")</f>
        <v/>
      </c>
      <c r="K143" s="8" t="str">
        <f t="shared" si="2"/>
        <v/>
      </c>
    </row>
    <row r="144">
      <c r="A144" s="4" t="str">
        <f t="shared" si="1"/>
        <v/>
      </c>
      <c r="F144" s="36" t="str">
        <f t="shared" si="4"/>
        <v/>
      </c>
      <c r="G144" s="11"/>
      <c r="H144" s="11" t="str">
        <f>IF(E144="","",SUMIF(Estructuras!B:B,A144,Estructuras!E:E))</f>
        <v/>
      </c>
      <c r="I144" s="8" t="str">
        <f>IF(E144="","",IF(COUNTIF(Estructuras!F:F,E144)=0,"Falta Estructura",IF(COUNTIFS(Estructuras!F:F,E144,Estructuras!E:E,0)&gt;0,"Faltan Precios","OK")))</f>
        <v/>
      </c>
      <c r="J144" s="10" t="str">
        <f>IF(I144="Faltan Precios",COUNTIFS(Estructuras!B:B,A144,Estructuras!E:E,0),"")</f>
        <v/>
      </c>
      <c r="K144" s="8" t="str">
        <f t="shared" si="2"/>
        <v/>
      </c>
    </row>
    <row r="145">
      <c r="A145" s="4" t="str">
        <f t="shared" si="1"/>
        <v/>
      </c>
      <c r="F145" s="36" t="str">
        <f t="shared" si="4"/>
        <v/>
      </c>
      <c r="G145" s="11"/>
      <c r="H145" s="11" t="str">
        <f>IF(E145="","",SUMIF(Estructuras!B:B,A145,Estructuras!E:E))</f>
        <v/>
      </c>
      <c r="I145" s="8" t="str">
        <f>IF(E145="","",IF(COUNTIF(Estructuras!F:F,E145)=0,"Falta Estructura",IF(COUNTIFS(Estructuras!F:F,E145,Estructuras!E:E,0)&gt;0,"Faltan Precios","OK")))</f>
        <v/>
      </c>
      <c r="J145" s="10" t="str">
        <f>IF(I145="Faltan Precios",COUNTIFS(Estructuras!B:B,A145,Estructuras!E:E,0),"")</f>
        <v/>
      </c>
      <c r="K145" s="8" t="str">
        <f t="shared" si="2"/>
        <v/>
      </c>
    </row>
    <row r="146">
      <c r="A146" s="4" t="str">
        <f t="shared" si="1"/>
        <v/>
      </c>
      <c r="F146" s="36" t="str">
        <f t="shared" si="4"/>
        <v/>
      </c>
      <c r="G146" s="11"/>
      <c r="H146" s="11" t="str">
        <f>IF(E146="","",SUMIF(Estructuras!B:B,A146,Estructuras!E:E))</f>
        <v/>
      </c>
      <c r="I146" s="8" t="str">
        <f>IF(E146="","",IF(COUNTIF(Estructuras!F:F,E146)=0,"Falta Estructura",IF(COUNTIFS(Estructuras!F:F,E146,Estructuras!E:E,0)&gt;0,"Faltan Precios","OK")))</f>
        <v/>
      </c>
      <c r="J146" s="10" t="str">
        <f>IF(I146="Faltan Precios",COUNTIFS(Estructuras!B:B,A146,Estructuras!E:E,0),"")</f>
        <v/>
      </c>
      <c r="K146" s="8" t="str">
        <f t="shared" si="2"/>
        <v/>
      </c>
    </row>
    <row r="147">
      <c r="A147" s="4" t="str">
        <f t="shared" si="1"/>
        <v/>
      </c>
      <c r="F147" s="36" t="str">
        <f t="shared" si="4"/>
        <v/>
      </c>
      <c r="G147" s="11"/>
      <c r="H147" s="11" t="str">
        <f>IF(E147="","",SUMIF(Estructuras!B:B,A147,Estructuras!E:E))</f>
        <v/>
      </c>
      <c r="I147" s="8" t="str">
        <f>IF(E147="","",IF(COUNTIF(Estructuras!F:F,E147)=0,"Falta Estructura",IF(COUNTIFS(Estructuras!F:F,E147,Estructuras!E:E,0)&gt;0,"Faltan Precios","OK")))</f>
        <v/>
      </c>
      <c r="J147" s="10" t="str">
        <f>IF(I147="Faltan Precios",COUNTIFS(Estructuras!B:B,A147,Estructuras!E:E,0),"")</f>
        <v/>
      </c>
      <c r="K147" s="8" t="str">
        <f t="shared" si="2"/>
        <v/>
      </c>
    </row>
    <row r="148">
      <c r="A148" s="4" t="str">
        <f t="shared" si="1"/>
        <v/>
      </c>
      <c r="F148" s="36" t="str">
        <f t="shared" si="4"/>
        <v/>
      </c>
      <c r="G148" s="11"/>
      <c r="H148" s="11" t="str">
        <f>IF(E148="","",SUMIF(Estructuras!B:B,A148,Estructuras!E:E))</f>
        <v/>
      </c>
      <c r="I148" s="8" t="str">
        <f>IF(E148="","",IF(COUNTIF(Estructuras!F:F,E148)=0,"Falta Estructura",IF(COUNTIFS(Estructuras!F:F,E148,Estructuras!E:E,0)&gt;0,"Faltan Precios","OK")))</f>
        <v/>
      </c>
      <c r="J148" s="10" t="str">
        <f>IF(I148="Faltan Precios",COUNTIFS(Estructuras!B:B,A148,Estructuras!E:E,0),"")</f>
        <v/>
      </c>
      <c r="K148" s="8" t="str">
        <f t="shared" si="2"/>
        <v/>
      </c>
    </row>
    <row r="149">
      <c r="A149" s="4" t="str">
        <f t="shared" si="1"/>
        <v/>
      </c>
      <c r="F149" s="36" t="str">
        <f t="shared" si="4"/>
        <v/>
      </c>
      <c r="G149" s="11"/>
      <c r="H149" s="11" t="str">
        <f>IF(E149="","",SUMIF(Estructuras!B:B,A149,Estructuras!E:E))</f>
        <v/>
      </c>
      <c r="I149" s="8" t="str">
        <f>IF(E149="","",IF(COUNTIF(Estructuras!F:F,E149)=0,"Falta Estructura",IF(COUNTIFS(Estructuras!F:F,E149,Estructuras!E:E,0)&gt;0,"Faltan Precios","OK")))</f>
        <v/>
      </c>
      <c r="J149" s="10" t="str">
        <f>IF(I149="Faltan Precios",COUNTIFS(Estructuras!B:B,A149,Estructuras!E:E,0),"")</f>
        <v/>
      </c>
      <c r="K149" s="8" t="str">
        <f t="shared" si="2"/>
        <v/>
      </c>
    </row>
    <row r="150">
      <c r="A150" s="4" t="str">
        <f t="shared" si="1"/>
        <v/>
      </c>
      <c r="F150" s="36" t="str">
        <f t="shared" si="4"/>
        <v/>
      </c>
      <c r="G150" s="11"/>
      <c r="H150" s="11" t="str">
        <f>IF(E150="","",SUMIF(Estructuras!B:B,A150,Estructuras!E:E))</f>
        <v/>
      </c>
      <c r="I150" s="8" t="str">
        <f>IF(E150="","",IF(COUNTIF(Estructuras!F:F,E150)=0,"Falta Estructura",IF(COUNTIFS(Estructuras!F:F,E150,Estructuras!E:E,0)&gt;0,"Faltan Precios","OK")))</f>
        <v/>
      </c>
      <c r="J150" s="10" t="str">
        <f>IF(I150="Faltan Precios",COUNTIFS(Estructuras!B:B,A150,Estructuras!E:E,0),"")</f>
        <v/>
      </c>
      <c r="K150" s="8" t="str">
        <f t="shared" si="2"/>
        <v/>
      </c>
    </row>
    <row r="151">
      <c r="A151" s="4" t="str">
        <f t="shared" si="1"/>
        <v/>
      </c>
      <c r="F151" s="36" t="str">
        <f t="shared" si="4"/>
        <v/>
      </c>
      <c r="G151" s="11"/>
      <c r="H151" s="11" t="str">
        <f>IF(E151="","",SUMIF(Estructuras!B:B,A151,Estructuras!E:E))</f>
        <v/>
      </c>
      <c r="I151" s="8" t="str">
        <f>IF(E151="","",IF(COUNTIF(Estructuras!F:F,E151)=0,"Falta Estructura",IF(COUNTIFS(Estructuras!F:F,E151,Estructuras!E:E,0)&gt;0,"Faltan Precios","OK")))</f>
        <v/>
      </c>
      <c r="J151" s="10" t="str">
        <f>IF(I151="Faltan Precios",COUNTIFS(Estructuras!B:B,A151,Estructuras!E:E,0),"")</f>
        <v/>
      </c>
      <c r="K151" s="8" t="str">
        <f t="shared" si="2"/>
        <v/>
      </c>
    </row>
    <row r="152">
      <c r="A152" s="4" t="str">
        <f t="shared" si="1"/>
        <v/>
      </c>
      <c r="F152" s="36" t="str">
        <f t="shared" si="4"/>
        <v/>
      </c>
      <c r="G152" s="11"/>
      <c r="H152" s="11" t="str">
        <f>IF(E152="","",SUMIF(Estructuras!B:B,A152,Estructuras!E:E))</f>
        <v/>
      </c>
      <c r="I152" s="8" t="str">
        <f>IF(E152="","",IF(COUNTIF(Estructuras!F:F,E152)=0,"Falta Estructura",IF(COUNTIFS(Estructuras!F:F,E152,Estructuras!E:E,0)&gt;0,"Faltan Precios","OK")))</f>
        <v/>
      </c>
      <c r="J152" s="10" t="str">
        <f>IF(I152="Faltan Precios",COUNTIFS(Estructuras!B:B,A152,Estructuras!E:E,0),"")</f>
        <v/>
      </c>
      <c r="K152" s="8" t="str">
        <f t="shared" si="2"/>
        <v/>
      </c>
    </row>
    <row r="153">
      <c r="A153" s="4" t="str">
        <f t="shared" si="1"/>
        <v/>
      </c>
      <c r="F153" s="36" t="str">
        <f t="shared" si="4"/>
        <v/>
      </c>
      <c r="G153" s="11"/>
      <c r="H153" s="11" t="str">
        <f>IF(E153="","",SUMIF(Estructuras!B:B,A153,Estructuras!E:E))</f>
        <v/>
      </c>
      <c r="I153" s="8" t="str">
        <f>IF(E153="","",IF(COUNTIF(Estructuras!F:F,E153)=0,"Falta Estructura",IF(COUNTIFS(Estructuras!F:F,E153,Estructuras!E:E,0)&gt;0,"Faltan Precios","OK")))</f>
        <v/>
      </c>
      <c r="J153" s="10" t="str">
        <f>IF(I153="Faltan Precios",COUNTIFS(Estructuras!B:B,A153,Estructuras!E:E,0),"")</f>
        <v/>
      </c>
      <c r="K153" s="8" t="str">
        <f t="shared" si="2"/>
        <v/>
      </c>
    </row>
    <row r="154">
      <c r="A154" s="4" t="str">
        <f t="shared" si="1"/>
        <v/>
      </c>
      <c r="F154" s="36" t="str">
        <f t="shared" si="4"/>
        <v/>
      </c>
      <c r="G154" s="11"/>
      <c r="H154" s="11" t="str">
        <f>IF(E154="","",SUMIF(Estructuras!B:B,A154,Estructuras!E:E))</f>
        <v/>
      </c>
      <c r="I154" s="8" t="str">
        <f>IF(E154="","",IF(COUNTIF(Estructuras!F:F,E154)=0,"Falta Estructura",IF(COUNTIFS(Estructuras!F:F,E154,Estructuras!E:E,0)&gt;0,"Faltan Precios","OK")))</f>
        <v/>
      </c>
      <c r="J154" s="10" t="str">
        <f>IF(I154="Faltan Precios",COUNTIFS(Estructuras!B:B,A154,Estructuras!E:E,0),"")</f>
        <v/>
      </c>
      <c r="K154" s="8" t="str">
        <f t="shared" si="2"/>
        <v/>
      </c>
    </row>
    <row r="155">
      <c r="A155" s="4" t="str">
        <f t="shared" si="1"/>
        <v/>
      </c>
      <c r="F155" s="36" t="str">
        <f t="shared" si="4"/>
        <v/>
      </c>
      <c r="G155" s="11"/>
      <c r="H155" s="11" t="str">
        <f>IF(E155="","",SUMIF(Estructuras!B:B,A155,Estructuras!E:E))</f>
        <v/>
      </c>
      <c r="I155" s="8" t="str">
        <f>IF(E155="","",IF(COUNTIF(Estructuras!F:F,E155)=0,"Falta Estructura",IF(COUNTIFS(Estructuras!F:F,E155,Estructuras!E:E,0)&gt;0,"Faltan Precios","OK")))</f>
        <v/>
      </c>
      <c r="J155" s="10" t="str">
        <f>IF(I155="Faltan Precios",COUNTIFS(Estructuras!B:B,A155,Estructuras!E:E,0),"")</f>
        <v/>
      </c>
      <c r="K155" s="8" t="str">
        <f t="shared" si="2"/>
        <v/>
      </c>
    </row>
    <row r="156">
      <c r="A156" s="4" t="str">
        <f t="shared" si="1"/>
        <v/>
      </c>
      <c r="F156" s="36" t="str">
        <f t="shared" si="4"/>
        <v/>
      </c>
      <c r="G156" s="11"/>
      <c r="H156" s="11" t="str">
        <f>IF(E156="","",SUMIF(Estructuras!B:B,A156,Estructuras!E:E))</f>
        <v/>
      </c>
      <c r="I156" s="8" t="str">
        <f>IF(E156="","",IF(COUNTIF(Estructuras!F:F,E156)=0,"Falta Estructura",IF(COUNTIFS(Estructuras!F:F,E156,Estructuras!E:E,0)&gt;0,"Faltan Precios","OK")))</f>
        <v/>
      </c>
      <c r="J156" s="10" t="str">
        <f>IF(I156="Faltan Precios",COUNTIFS(Estructuras!B:B,A156,Estructuras!E:E,0),"")</f>
        <v/>
      </c>
      <c r="K156" s="8" t="str">
        <f t="shared" si="2"/>
        <v/>
      </c>
    </row>
    <row r="157">
      <c r="A157" s="4" t="str">
        <f t="shared" si="1"/>
        <v/>
      </c>
      <c r="F157" s="36" t="str">
        <f t="shared" si="4"/>
        <v/>
      </c>
      <c r="G157" s="11"/>
      <c r="H157" s="11" t="str">
        <f>IF(E157="","",SUMIF(Estructuras!B:B,A157,Estructuras!E:E))</f>
        <v/>
      </c>
      <c r="I157" s="8" t="str">
        <f>IF(E157="","",IF(COUNTIF(Estructuras!F:F,E157)=0,"Falta Estructura",IF(COUNTIFS(Estructuras!F:F,E157,Estructuras!E:E,0)&gt;0,"Faltan Precios","OK")))</f>
        <v/>
      </c>
      <c r="J157" s="10" t="str">
        <f>IF(I157="Faltan Precios",COUNTIFS(Estructuras!B:B,A157,Estructuras!E:E,0),"")</f>
        <v/>
      </c>
      <c r="K157" s="8" t="str">
        <f t="shared" si="2"/>
        <v/>
      </c>
    </row>
    <row r="158">
      <c r="A158" s="4" t="str">
        <f t="shared" si="1"/>
        <v/>
      </c>
      <c r="F158" s="36" t="str">
        <f t="shared" si="4"/>
        <v/>
      </c>
      <c r="G158" s="11"/>
      <c r="H158" s="11" t="str">
        <f>IF(E158="","",SUMIF(Estructuras!B:B,A158,Estructuras!E:E))</f>
        <v/>
      </c>
      <c r="I158" s="8" t="str">
        <f>IF(E158="","",IF(COUNTIF(Estructuras!F:F,E158)=0,"Falta Estructura",IF(COUNTIFS(Estructuras!F:F,E158,Estructuras!E:E,0)&gt;0,"Faltan Precios","OK")))</f>
        <v/>
      </c>
      <c r="J158" s="10" t="str">
        <f>IF(I158="Faltan Precios",COUNTIFS(Estructuras!B:B,A158,Estructuras!E:E,0),"")</f>
        <v/>
      </c>
      <c r="K158" s="8" t="str">
        <f t="shared" si="2"/>
        <v/>
      </c>
    </row>
    <row r="159">
      <c r="A159" s="4" t="str">
        <f t="shared" si="1"/>
        <v/>
      </c>
      <c r="F159" s="36" t="str">
        <f t="shared" si="4"/>
        <v/>
      </c>
      <c r="G159" s="11"/>
      <c r="H159" s="11" t="str">
        <f>IF(E159="","",SUMIF(Estructuras!B:B,A159,Estructuras!E:E))</f>
        <v/>
      </c>
      <c r="I159" s="8" t="str">
        <f>IF(E159="","",IF(COUNTIF(Estructuras!F:F,E159)=0,"Falta Estructura",IF(COUNTIFS(Estructuras!F:F,E159,Estructuras!E:E,0)&gt;0,"Faltan Precios","OK")))</f>
        <v/>
      </c>
      <c r="J159" s="10" t="str">
        <f>IF(I159="Faltan Precios",COUNTIFS(Estructuras!B:B,A159,Estructuras!E:E,0),"")</f>
        <v/>
      </c>
      <c r="K159" s="8" t="str">
        <f t="shared" si="2"/>
        <v/>
      </c>
    </row>
    <row r="160">
      <c r="A160" s="4" t="str">
        <f t="shared" si="1"/>
        <v/>
      </c>
      <c r="F160" s="36" t="str">
        <f t="shared" si="4"/>
        <v/>
      </c>
      <c r="G160" s="11"/>
      <c r="H160" s="11" t="str">
        <f>IF(E160="","",SUMIF(Estructuras!B:B,A160,Estructuras!E:E))</f>
        <v/>
      </c>
      <c r="I160" s="8" t="str">
        <f>IF(E160="","",IF(COUNTIF(Estructuras!F:F,E160)=0,"Falta Estructura",IF(COUNTIFS(Estructuras!F:F,E160,Estructuras!E:E,0)&gt;0,"Faltan Precios","OK")))</f>
        <v/>
      </c>
      <c r="J160" s="10" t="str">
        <f>IF(I160="Faltan Precios",COUNTIFS(Estructuras!B:B,A160,Estructuras!E:E,0),"")</f>
        <v/>
      </c>
      <c r="K160" s="8" t="str">
        <f t="shared" si="2"/>
        <v/>
      </c>
    </row>
    <row r="161">
      <c r="A161" s="4" t="str">
        <f t="shared" si="1"/>
        <v/>
      </c>
      <c r="F161" s="36" t="str">
        <f t="shared" si="4"/>
        <v/>
      </c>
      <c r="G161" s="11"/>
      <c r="H161" s="11" t="str">
        <f>IF(E161="","",SUMIF(Estructuras!B:B,A161,Estructuras!E:E))</f>
        <v/>
      </c>
      <c r="I161" s="8" t="str">
        <f>IF(E161="","",IF(COUNTIF(Estructuras!F:F,E161)=0,"Falta Estructura",IF(COUNTIFS(Estructuras!F:F,E161,Estructuras!E:E,0)&gt;0,"Faltan Precios","OK")))</f>
        <v/>
      </c>
      <c r="J161" s="10" t="str">
        <f>IF(I161="Faltan Precios",COUNTIFS(Estructuras!B:B,A161,Estructuras!E:E,0),"")</f>
        <v/>
      </c>
      <c r="K161" s="8" t="str">
        <f t="shared" si="2"/>
        <v/>
      </c>
    </row>
    <row r="162">
      <c r="A162" s="4" t="str">
        <f t="shared" si="1"/>
        <v/>
      </c>
      <c r="F162" s="36" t="str">
        <f t="shared" si="4"/>
        <v/>
      </c>
      <c r="G162" s="11"/>
      <c r="H162" s="11" t="str">
        <f>IF(E162="","",SUMIF(Estructuras!B:B,A162,Estructuras!E:E))</f>
        <v/>
      </c>
      <c r="I162" s="8" t="str">
        <f>IF(E162="","",IF(COUNTIF(Estructuras!F:F,E162)=0,"Falta Estructura",IF(COUNTIFS(Estructuras!F:F,E162,Estructuras!E:E,0)&gt;0,"Faltan Precios","OK")))</f>
        <v/>
      </c>
      <c r="J162" s="10" t="str">
        <f>IF(I162="Faltan Precios",COUNTIFS(Estructuras!B:B,A162,Estructuras!E:E,0),"")</f>
        <v/>
      </c>
      <c r="K162" s="8" t="str">
        <f t="shared" si="2"/>
        <v/>
      </c>
    </row>
    <row r="163">
      <c r="A163" s="4" t="str">
        <f t="shared" si="1"/>
        <v/>
      </c>
      <c r="F163" s="36" t="str">
        <f t="shared" si="4"/>
        <v/>
      </c>
      <c r="G163" s="11"/>
      <c r="H163" s="11" t="str">
        <f>IF(E163="","",SUMIF(Estructuras!B:B,A163,Estructuras!E:E))</f>
        <v/>
      </c>
      <c r="I163" s="8" t="str">
        <f>IF(E163="","",IF(COUNTIF(Estructuras!F:F,E163)=0,"Falta Estructura",IF(COUNTIFS(Estructuras!F:F,E163,Estructuras!E:E,0)&gt;0,"Faltan Precios","OK")))</f>
        <v/>
      </c>
      <c r="J163" s="10" t="str">
        <f>IF(I163="Faltan Precios",COUNTIFS(Estructuras!B:B,A163,Estructuras!E:E,0),"")</f>
        <v/>
      </c>
      <c r="K163" s="8" t="str">
        <f t="shared" si="2"/>
        <v/>
      </c>
    </row>
    <row r="164">
      <c r="A164" s="4" t="str">
        <f t="shared" si="1"/>
        <v/>
      </c>
      <c r="F164" s="36" t="str">
        <f t="shared" si="4"/>
        <v/>
      </c>
      <c r="G164" s="11"/>
      <c r="H164" s="11" t="str">
        <f>IF(E164="","",SUMIF(Estructuras!B:B,A164,Estructuras!E:E))</f>
        <v/>
      </c>
      <c r="I164" s="8" t="str">
        <f>IF(E164="","",IF(COUNTIF(Estructuras!F:F,E164)=0,"Falta Estructura",IF(COUNTIFS(Estructuras!F:F,E164,Estructuras!E:E,0)&gt;0,"Faltan Precios","OK")))</f>
        <v/>
      </c>
      <c r="J164" s="10" t="str">
        <f>IF(I164="Faltan Precios",COUNTIFS(Estructuras!B:B,A164,Estructuras!E:E,0),"")</f>
        <v/>
      </c>
      <c r="K164" s="8" t="str">
        <f t="shared" si="2"/>
        <v/>
      </c>
    </row>
    <row r="165">
      <c r="A165" s="4" t="str">
        <f t="shared" si="1"/>
        <v/>
      </c>
      <c r="F165" s="36" t="str">
        <f t="shared" si="4"/>
        <v/>
      </c>
      <c r="G165" s="11"/>
      <c r="H165" s="11" t="str">
        <f>IF(E165="","",SUMIF(Estructuras!B:B,A165,Estructuras!E:E))</f>
        <v/>
      </c>
      <c r="I165" s="8" t="str">
        <f>IF(E165="","",IF(COUNTIF(Estructuras!F:F,E165)=0,"Falta Estructura",IF(COUNTIFS(Estructuras!F:F,E165,Estructuras!E:E,0)&gt;0,"Faltan Precios","OK")))</f>
        <v/>
      </c>
      <c r="J165" s="10" t="str">
        <f>IF(I165="Faltan Precios",COUNTIFS(Estructuras!B:B,A165,Estructuras!E:E,0),"")</f>
        <v/>
      </c>
      <c r="K165" s="8" t="str">
        <f t="shared" si="2"/>
        <v/>
      </c>
    </row>
    <row r="166">
      <c r="A166" s="4" t="str">
        <f t="shared" si="1"/>
        <v/>
      </c>
      <c r="F166" s="36" t="str">
        <f t="shared" si="4"/>
        <v/>
      </c>
      <c r="G166" s="11"/>
      <c r="H166" s="11" t="str">
        <f>IF(E166="","",SUMIF(Estructuras!B:B,A166,Estructuras!E:E))</f>
        <v/>
      </c>
      <c r="I166" s="8" t="str">
        <f>IF(E166="","",IF(COUNTIF(Estructuras!F:F,E166)=0,"Falta Estructura",IF(COUNTIFS(Estructuras!F:F,E166,Estructuras!E:E,0)&gt;0,"Faltan Precios","OK")))</f>
        <v/>
      </c>
      <c r="J166" s="10" t="str">
        <f>IF(I166="Faltan Precios",COUNTIFS(Estructuras!B:B,A166,Estructuras!E:E,0),"")</f>
        <v/>
      </c>
      <c r="K166" s="8" t="str">
        <f t="shared" si="2"/>
        <v/>
      </c>
    </row>
    <row r="167">
      <c r="A167" s="4" t="str">
        <f t="shared" si="1"/>
        <v/>
      </c>
      <c r="F167" s="36" t="str">
        <f t="shared" si="4"/>
        <v/>
      </c>
      <c r="G167" s="11"/>
      <c r="H167" s="11" t="str">
        <f>IF(E167="","",SUMIF(Estructuras!B:B,A167,Estructuras!E:E))</f>
        <v/>
      </c>
      <c r="I167" s="8" t="str">
        <f>IF(E167="","",IF(COUNTIF(Estructuras!F:F,E167)=0,"Falta Estructura",IF(COUNTIFS(Estructuras!F:F,E167,Estructuras!E:E,0)&gt;0,"Faltan Precios","OK")))</f>
        <v/>
      </c>
      <c r="J167" s="10" t="str">
        <f>IF(I167="Faltan Precios",COUNTIFS(Estructuras!B:B,A167,Estructuras!E:E,0),"")</f>
        <v/>
      </c>
      <c r="K167" s="8" t="str">
        <f t="shared" si="2"/>
        <v/>
      </c>
    </row>
    <row r="168">
      <c r="A168" s="4" t="str">
        <f t="shared" si="1"/>
        <v/>
      </c>
      <c r="F168" s="36" t="str">
        <f t="shared" si="4"/>
        <v/>
      </c>
      <c r="G168" s="11"/>
      <c r="H168" s="11" t="str">
        <f>IF(E168="","",SUMIF(Estructuras!B:B,A168,Estructuras!E:E))</f>
        <v/>
      </c>
      <c r="I168" s="8" t="str">
        <f>IF(E168="","",IF(COUNTIF(Estructuras!F:F,E168)=0,"Falta Estructura",IF(COUNTIFS(Estructuras!F:F,E168,Estructuras!E:E,0)&gt;0,"Faltan Precios","OK")))</f>
        <v/>
      </c>
      <c r="J168" s="10" t="str">
        <f>IF(I168="Faltan Precios",COUNTIFS(Estructuras!B:B,A168,Estructuras!E:E,0),"")</f>
        <v/>
      </c>
      <c r="K168" s="8" t="str">
        <f t="shared" si="2"/>
        <v/>
      </c>
    </row>
    <row r="169">
      <c r="A169" s="4" t="str">
        <f t="shared" si="1"/>
        <v/>
      </c>
      <c r="F169" s="36" t="str">
        <f t="shared" si="4"/>
        <v/>
      </c>
      <c r="G169" s="11"/>
      <c r="H169" s="11" t="str">
        <f>IF(E169="","",SUMIF(Estructuras!B:B,A169,Estructuras!E:E))</f>
        <v/>
      </c>
      <c r="I169" s="8" t="str">
        <f>IF(E169="","",IF(COUNTIF(Estructuras!F:F,E169)=0,"Falta Estructura",IF(COUNTIFS(Estructuras!F:F,E169,Estructuras!E:E,0)&gt;0,"Faltan Precios","OK")))</f>
        <v/>
      </c>
      <c r="J169" s="10" t="str">
        <f>IF(I169="Faltan Precios",COUNTIFS(Estructuras!B:B,A169,Estructuras!E:E,0),"")</f>
        <v/>
      </c>
      <c r="K169" s="8" t="str">
        <f t="shared" si="2"/>
        <v/>
      </c>
    </row>
    <row r="170">
      <c r="A170" s="4" t="str">
        <f t="shared" si="1"/>
        <v/>
      </c>
      <c r="F170" s="36" t="str">
        <f t="shared" si="4"/>
        <v/>
      </c>
      <c r="G170" s="11"/>
      <c r="H170" s="11" t="str">
        <f>IF(E170="","",SUMIF(Estructuras!B:B,A170,Estructuras!E:E))</f>
        <v/>
      </c>
      <c r="I170" s="8" t="str">
        <f>IF(E170="","",IF(COUNTIF(Estructuras!F:F,E170)=0,"Falta Estructura",IF(COUNTIFS(Estructuras!F:F,E170,Estructuras!E:E,0)&gt;0,"Faltan Precios","OK")))</f>
        <v/>
      </c>
      <c r="J170" s="10" t="str">
        <f>IF(I170="Faltan Precios",COUNTIFS(Estructuras!B:B,A170,Estructuras!E:E,0),"")</f>
        <v/>
      </c>
      <c r="K170" s="8" t="str">
        <f t="shared" si="2"/>
        <v/>
      </c>
    </row>
    <row r="171">
      <c r="A171" s="4" t="str">
        <f t="shared" si="1"/>
        <v/>
      </c>
      <c r="F171" s="36" t="str">
        <f t="shared" si="4"/>
        <v/>
      </c>
      <c r="G171" s="11"/>
      <c r="H171" s="11" t="str">
        <f>IF(E171="","",SUMIF(Estructuras!B:B,A171,Estructuras!E:E))</f>
        <v/>
      </c>
      <c r="I171" s="8" t="str">
        <f>IF(E171="","",IF(COUNTIF(Estructuras!F:F,E171)=0,"Falta Estructura",IF(COUNTIFS(Estructuras!F:F,E171,Estructuras!E:E,0)&gt;0,"Faltan Precios","OK")))</f>
        <v/>
      </c>
      <c r="J171" s="10" t="str">
        <f>IF(I171="Faltan Precios",COUNTIFS(Estructuras!B:B,A171,Estructuras!E:E,0),"")</f>
        <v/>
      </c>
      <c r="K171" s="8" t="str">
        <f t="shared" si="2"/>
        <v/>
      </c>
    </row>
    <row r="172">
      <c r="A172" s="4" t="str">
        <f t="shared" si="1"/>
        <v/>
      </c>
      <c r="F172" s="36" t="str">
        <f t="shared" si="4"/>
        <v/>
      </c>
      <c r="G172" s="11"/>
      <c r="H172" s="11" t="str">
        <f>IF(E172="","",SUMIF(Estructuras!B:B,A172,Estructuras!E:E))</f>
        <v/>
      </c>
      <c r="I172" s="8" t="str">
        <f>IF(E172="","",IF(COUNTIF(Estructuras!F:F,E172)=0,"Falta Estructura",IF(COUNTIFS(Estructuras!F:F,E172,Estructuras!E:E,0)&gt;0,"Faltan Precios","OK")))</f>
        <v/>
      </c>
      <c r="J172" s="10" t="str">
        <f>IF(I172="Faltan Precios",COUNTIFS(Estructuras!B:B,A172,Estructuras!E:E,0),"")</f>
        <v/>
      </c>
      <c r="K172" s="8" t="str">
        <f t="shared" si="2"/>
        <v/>
      </c>
    </row>
    <row r="173">
      <c r="A173" s="4" t="str">
        <f t="shared" si="1"/>
        <v/>
      </c>
      <c r="F173" s="36" t="str">
        <f t="shared" si="4"/>
        <v/>
      </c>
      <c r="G173" s="11"/>
      <c r="H173" s="11" t="str">
        <f>IF(E173="","",SUMIF(Estructuras!B:B,A173,Estructuras!E:E))</f>
        <v/>
      </c>
      <c r="I173" s="8" t="str">
        <f>IF(E173="","",IF(COUNTIF(Estructuras!F:F,E173)=0,"Falta Estructura",IF(COUNTIFS(Estructuras!F:F,E173,Estructuras!E:E,0)&gt;0,"Faltan Precios","OK")))</f>
        <v/>
      </c>
      <c r="J173" s="10" t="str">
        <f>IF(I173="Faltan Precios",COUNTIFS(Estructuras!B:B,A173,Estructuras!E:E,0),"")</f>
        <v/>
      </c>
      <c r="K173" s="8" t="str">
        <f t="shared" si="2"/>
        <v/>
      </c>
    </row>
    <row r="174">
      <c r="A174" s="4" t="str">
        <f t="shared" si="1"/>
        <v/>
      </c>
      <c r="F174" s="36" t="str">
        <f t="shared" si="4"/>
        <v/>
      </c>
      <c r="G174" s="11"/>
      <c r="H174" s="11" t="str">
        <f>IF(E174="","",SUMIF(Estructuras!B:B,A174,Estructuras!E:E))</f>
        <v/>
      </c>
      <c r="I174" s="8" t="str">
        <f>IF(E174="","",IF(COUNTIF(Estructuras!F:F,E174)=0,"Falta Estructura",IF(COUNTIFS(Estructuras!F:F,E174,Estructuras!E:E,0)&gt;0,"Faltan Precios","OK")))</f>
        <v/>
      </c>
      <c r="J174" s="10" t="str">
        <f>IF(I174="Faltan Precios",COUNTIFS(Estructuras!B:B,A174,Estructuras!E:E,0),"")</f>
        <v/>
      </c>
      <c r="K174" s="8" t="str">
        <f t="shared" si="2"/>
        <v/>
      </c>
    </row>
    <row r="175">
      <c r="A175" s="4" t="str">
        <f t="shared" si="1"/>
        <v/>
      </c>
      <c r="F175" s="36" t="str">
        <f t="shared" si="4"/>
        <v/>
      </c>
      <c r="G175" s="11"/>
      <c r="H175" s="11" t="str">
        <f>IF(E175="","",SUMIF(Estructuras!B:B,A175,Estructuras!E:E))</f>
        <v/>
      </c>
      <c r="I175" s="8" t="str">
        <f>IF(E175="","",IF(COUNTIF(Estructuras!F:F,E175)=0,"Falta Estructura",IF(COUNTIFS(Estructuras!F:F,E175,Estructuras!E:E,0)&gt;0,"Faltan Precios","OK")))</f>
        <v/>
      </c>
      <c r="J175" s="10" t="str">
        <f>IF(I175="Faltan Precios",COUNTIFS(Estructuras!B:B,A175,Estructuras!E:E,0),"")</f>
        <v/>
      </c>
      <c r="K175" s="8" t="str">
        <f t="shared" si="2"/>
        <v/>
      </c>
    </row>
    <row r="176">
      <c r="A176" s="4" t="str">
        <f t="shared" si="1"/>
        <v/>
      </c>
      <c r="F176" s="36" t="str">
        <f t="shared" si="4"/>
        <v/>
      </c>
      <c r="G176" s="11"/>
      <c r="H176" s="11" t="str">
        <f>IF(E176="","",SUMIF(Estructuras!B:B,A176,Estructuras!E:E))</f>
        <v/>
      </c>
      <c r="I176" s="8" t="str">
        <f>IF(E176="","",IF(COUNTIF(Estructuras!F:F,E176)=0,"Falta Estructura",IF(COUNTIFS(Estructuras!F:F,E176,Estructuras!E:E,0)&gt;0,"Faltan Precios","OK")))</f>
        <v/>
      </c>
      <c r="J176" s="10" t="str">
        <f>IF(I176="Faltan Precios",COUNTIFS(Estructuras!B:B,A176,Estructuras!E:E,0),"")</f>
        <v/>
      </c>
      <c r="K176" s="8" t="str">
        <f t="shared" si="2"/>
        <v/>
      </c>
    </row>
    <row r="177">
      <c r="A177" s="4" t="str">
        <f t="shared" si="1"/>
        <v/>
      </c>
      <c r="F177" s="36" t="str">
        <f t="shared" si="4"/>
        <v/>
      </c>
      <c r="G177" s="11"/>
      <c r="H177" s="11" t="str">
        <f>IF(E177="","",SUMIF(Estructuras!B:B,A177,Estructuras!E:E))</f>
        <v/>
      </c>
      <c r="I177" s="8" t="str">
        <f>IF(E177="","",IF(COUNTIF(Estructuras!F:F,E177)=0,"Falta Estructura",IF(COUNTIFS(Estructuras!F:F,E177,Estructuras!E:E,0)&gt;0,"Faltan Precios","OK")))</f>
        <v/>
      </c>
      <c r="J177" s="10" t="str">
        <f>IF(I177="Faltan Precios",COUNTIFS(Estructuras!B:B,A177,Estructuras!E:E,0),"")</f>
        <v/>
      </c>
      <c r="K177" s="8" t="str">
        <f t="shared" si="2"/>
        <v/>
      </c>
    </row>
    <row r="178">
      <c r="A178" s="4" t="str">
        <f t="shared" si="1"/>
        <v/>
      </c>
      <c r="F178" s="36" t="str">
        <f t="shared" si="4"/>
        <v/>
      </c>
      <c r="G178" s="11"/>
      <c r="H178" s="11" t="str">
        <f>IF(E178="","",SUMIF(Estructuras!B:B,A178,Estructuras!E:E))</f>
        <v/>
      </c>
      <c r="I178" s="8" t="str">
        <f>IF(E178="","",IF(COUNTIF(Estructuras!F:F,E178)=0,"Falta Estructura",IF(COUNTIFS(Estructuras!F:F,E178,Estructuras!E:E,0)&gt;0,"Faltan Precios","OK")))</f>
        <v/>
      </c>
      <c r="J178" s="10" t="str">
        <f>IF(I178="Faltan Precios",COUNTIFS(Estructuras!B:B,A178,Estructuras!E:E,0),"")</f>
        <v/>
      </c>
      <c r="K178" s="8" t="str">
        <f t="shared" si="2"/>
        <v/>
      </c>
    </row>
    <row r="179">
      <c r="A179" s="4" t="str">
        <f t="shared" si="1"/>
        <v/>
      </c>
      <c r="F179" s="36" t="str">
        <f t="shared" si="4"/>
        <v/>
      </c>
      <c r="G179" s="11"/>
      <c r="H179" s="11" t="str">
        <f>IF(E179="","",SUMIF(Estructuras!B:B,A179,Estructuras!E:E))</f>
        <v/>
      </c>
      <c r="I179" s="8" t="str">
        <f>IF(E179="","",IF(COUNTIF(Estructuras!F:F,E179)=0,"Falta Estructura",IF(COUNTIFS(Estructuras!F:F,E179,Estructuras!E:E,0)&gt;0,"Faltan Precios","OK")))</f>
        <v/>
      </c>
      <c r="J179" s="10" t="str">
        <f>IF(I179="Faltan Precios",COUNTIFS(Estructuras!B:B,A179,Estructuras!E:E,0),"")</f>
        <v/>
      </c>
      <c r="K179" s="8" t="str">
        <f t="shared" si="2"/>
        <v/>
      </c>
    </row>
    <row r="180">
      <c r="A180" s="4" t="str">
        <f t="shared" si="1"/>
        <v/>
      </c>
      <c r="F180" s="36" t="str">
        <f t="shared" si="4"/>
        <v/>
      </c>
      <c r="G180" s="11"/>
      <c r="H180" s="11" t="str">
        <f>IF(E180="","",SUMIF(Estructuras!B:B,A180,Estructuras!E:E))</f>
        <v/>
      </c>
      <c r="I180" s="8" t="str">
        <f>IF(E180="","",IF(COUNTIF(Estructuras!F:F,E180)=0,"Falta Estructura",IF(COUNTIFS(Estructuras!F:F,E180,Estructuras!E:E,0)&gt;0,"Faltan Precios","OK")))</f>
        <v/>
      </c>
      <c r="J180" s="10" t="str">
        <f>IF(I180="Faltan Precios",COUNTIFS(Estructuras!B:B,A180,Estructuras!E:E,0),"")</f>
        <v/>
      </c>
      <c r="K180" s="8" t="str">
        <f t="shared" si="2"/>
        <v/>
      </c>
    </row>
    <row r="181">
      <c r="A181" s="4" t="str">
        <f t="shared" si="1"/>
        <v/>
      </c>
      <c r="F181" s="36" t="str">
        <f t="shared" si="4"/>
        <v/>
      </c>
      <c r="G181" s="11"/>
      <c r="H181" s="11" t="str">
        <f>IF(E181="","",SUMIF(Estructuras!B:B,A181,Estructuras!E:E))</f>
        <v/>
      </c>
      <c r="I181" s="8" t="str">
        <f>IF(E181="","",IF(COUNTIF(Estructuras!F:F,E181)=0,"Falta Estructura",IF(COUNTIFS(Estructuras!F:F,E181,Estructuras!E:E,0)&gt;0,"Faltan Precios","OK")))</f>
        <v/>
      </c>
      <c r="J181" s="10" t="str">
        <f>IF(I181="Faltan Precios",COUNTIFS(Estructuras!B:B,A181,Estructuras!E:E,0),"")</f>
        <v/>
      </c>
      <c r="K181" s="8" t="str">
        <f t="shared" si="2"/>
        <v/>
      </c>
    </row>
    <row r="182">
      <c r="A182" s="4" t="str">
        <f t="shared" si="1"/>
        <v/>
      </c>
      <c r="F182" s="36" t="str">
        <f t="shared" si="4"/>
        <v/>
      </c>
      <c r="G182" s="11"/>
      <c r="H182" s="11" t="str">
        <f>IF(E182="","",SUMIF(Estructuras!B:B,A182,Estructuras!E:E))</f>
        <v/>
      </c>
      <c r="I182" s="8" t="str">
        <f>IF(E182="","",IF(COUNTIF(Estructuras!F:F,E182)=0,"Falta Estructura",IF(COUNTIFS(Estructuras!F:F,E182,Estructuras!E:E,0)&gt;0,"Faltan Precios","OK")))</f>
        <v/>
      </c>
      <c r="J182" s="10" t="str">
        <f>IF(I182="Faltan Precios",COUNTIFS(Estructuras!B:B,A182,Estructuras!E:E,0),"")</f>
        <v/>
      </c>
      <c r="K182" s="8" t="str">
        <f t="shared" si="2"/>
        <v/>
      </c>
    </row>
    <row r="183">
      <c r="A183" s="4" t="str">
        <f t="shared" si="1"/>
        <v/>
      </c>
      <c r="F183" s="36" t="str">
        <f t="shared" si="4"/>
        <v/>
      </c>
      <c r="G183" s="11"/>
      <c r="H183" s="11" t="str">
        <f>IF(E183="","",SUMIF(Estructuras!B:B,A183,Estructuras!E:E))</f>
        <v/>
      </c>
      <c r="I183" s="8" t="str">
        <f>IF(E183="","",IF(COUNTIF(Estructuras!F:F,E183)=0,"Falta Estructura",IF(COUNTIFS(Estructuras!F:F,E183,Estructuras!E:E,0)&gt;0,"Faltan Precios","OK")))</f>
        <v/>
      </c>
      <c r="J183" s="10" t="str">
        <f>IF(I183="Faltan Precios",COUNTIFS(Estructuras!B:B,A183,Estructuras!E:E,0),"")</f>
        <v/>
      </c>
      <c r="K183" s="8" t="str">
        <f t="shared" si="2"/>
        <v/>
      </c>
    </row>
    <row r="184">
      <c r="A184" s="4" t="str">
        <f t="shared" si="1"/>
        <v/>
      </c>
      <c r="F184" s="36" t="str">
        <f t="shared" si="4"/>
        <v/>
      </c>
      <c r="G184" s="11"/>
      <c r="H184" s="11" t="str">
        <f>IF(E184="","",SUMIF(Estructuras!B:B,A184,Estructuras!E:E))</f>
        <v/>
      </c>
      <c r="I184" s="8" t="str">
        <f>IF(E184="","",IF(COUNTIF(Estructuras!F:F,E184)=0,"Falta Estructura",IF(COUNTIFS(Estructuras!F:F,E184,Estructuras!E:E,0)&gt;0,"Faltan Precios","OK")))</f>
        <v/>
      </c>
      <c r="J184" s="10" t="str">
        <f>IF(I184="Faltan Precios",COUNTIFS(Estructuras!B:B,A184,Estructuras!E:E,0),"")</f>
        <v/>
      </c>
      <c r="K184" s="8" t="str">
        <f t="shared" si="2"/>
        <v/>
      </c>
    </row>
    <row r="185">
      <c r="A185" s="4" t="str">
        <f t="shared" si="1"/>
        <v/>
      </c>
      <c r="F185" s="36" t="str">
        <f t="shared" si="4"/>
        <v/>
      </c>
      <c r="G185" s="11"/>
      <c r="H185" s="11" t="str">
        <f>IF(E185="","",SUMIF(Estructuras!B:B,A185,Estructuras!E:E))</f>
        <v/>
      </c>
      <c r="I185" s="8" t="str">
        <f>IF(E185="","",IF(COUNTIF(Estructuras!F:F,E185)=0,"Falta Estructura",IF(COUNTIFS(Estructuras!F:F,E185,Estructuras!E:E,0)&gt;0,"Faltan Precios","OK")))</f>
        <v/>
      </c>
      <c r="J185" s="10" t="str">
        <f>IF(I185="Faltan Precios",COUNTIFS(Estructuras!B:B,A185,Estructuras!E:E,0),"")</f>
        <v/>
      </c>
      <c r="K185" s="8" t="str">
        <f t="shared" si="2"/>
        <v/>
      </c>
    </row>
    <row r="186">
      <c r="A186" s="4" t="str">
        <f t="shared" si="1"/>
        <v/>
      </c>
      <c r="F186" s="36" t="str">
        <f t="shared" si="4"/>
        <v/>
      </c>
      <c r="G186" s="11"/>
      <c r="H186" s="11" t="str">
        <f>IF(E186="","",SUMIF(Estructuras!B:B,A186,Estructuras!E:E))</f>
        <v/>
      </c>
      <c r="I186" s="8" t="str">
        <f>IF(E186="","",IF(COUNTIF(Estructuras!F:F,E186)=0,"Falta Estructura",IF(COUNTIFS(Estructuras!F:F,E186,Estructuras!E:E,0)&gt;0,"Faltan Precios","OK")))</f>
        <v/>
      </c>
      <c r="J186" s="10" t="str">
        <f>IF(I186="Faltan Precios",COUNTIFS(Estructuras!B:B,A186,Estructuras!E:E,0),"")</f>
        <v/>
      </c>
      <c r="K186" s="8" t="str">
        <f t="shared" si="2"/>
        <v/>
      </c>
    </row>
    <row r="187">
      <c r="A187" s="4" t="str">
        <f t="shared" si="1"/>
        <v/>
      </c>
      <c r="F187" s="36" t="str">
        <f t="shared" si="4"/>
        <v/>
      </c>
      <c r="G187" s="11"/>
      <c r="H187" s="11" t="str">
        <f>IF(E187="","",SUMIF(Estructuras!B:B,A187,Estructuras!E:E))</f>
        <v/>
      </c>
      <c r="I187" s="8" t="str">
        <f>IF(E187="","",IF(COUNTIF(Estructuras!F:F,E187)=0,"Falta Estructura",IF(COUNTIFS(Estructuras!F:F,E187,Estructuras!E:E,0)&gt;0,"Faltan Precios","OK")))</f>
        <v/>
      </c>
      <c r="J187" s="10" t="str">
        <f>IF(I187="Faltan Precios",COUNTIFS(Estructuras!B:B,A187,Estructuras!E:E,0),"")</f>
        <v/>
      </c>
      <c r="K187" s="8" t="str">
        <f t="shared" si="2"/>
        <v/>
      </c>
    </row>
    <row r="188">
      <c r="A188" s="4" t="str">
        <f t="shared" si="1"/>
        <v/>
      </c>
      <c r="F188" s="36" t="str">
        <f t="shared" si="4"/>
        <v/>
      </c>
      <c r="G188" s="11"/>
      <c r="H188" s="11" t="str">
        <f>IF(E188="","",SUMIF(Estructuras!B:B,A188,Estructuras!E:E))</f>
        <v/>
      </c>
      <c r="I188" s="8" t="str">
        <f>IF(E188="","",IF(COUNTIF(Estructuras!F:F,E188)=0,"Falta Estructura",IF(COUNTIFS(Estructuras!F:F,E188,Estructuras!E:E,0)&gt;0,"Faltan Precios","OK")))</f>
        <v/>
      </c>
      <c r="J188" s="10" t="str">
        <f>IF(I188="Faltan Precios",COUNTIFS(Estructuras!B:B,A188,Estructuras!E:E,0),"")</f>
        <v/>
      </c>
      <c r="K188" s="8" t="str">
        <f t="shared" si="2"/>
        <v/>
      </c>
    </row>
    <row r="189">
      <c r="A189" s="4" t="str">
        <f t="shared" si="1"/>
        <v/>
      </c>
      <c r="F189" s="36" t="str">
        <f t="shared" si="4"/>
        <v/>
      </c>
      <c r="G189" s="11"/>
      <c r="H189" s="11" t="str">
        <f>IF(E189="","",SUMIF(Estructuras!B:B,A189,Estructuras!E:E))</f>
        <v/>
      </c>
      <c r="I189" s="8" t="str">
        <f>IF(E189="","",IF(COUNTIF(Estructuras!F:F,E189)=0,"Falta Estructura",IF(COUNTIFS(Estructuras!F:F,E189,Estructuras!E:E,0)&gt;0,"Faltan Precios","OK")))</f>
        <v/>
      </c>
      <c r="J189" s="10" t="str">
        <f>IF(I189="Faltan Precios",COUNTIFS(Estructuras!B:B,A189,Estructuras!E:E,0),"")</f>
        <v/>
      </c>
      <c r="K189" s="8" t="str">
        <f t="shared" si="2"/>
        <v/>
      </c>
    </row>
    <row r="190">
      <c r="A190" s="4" t="str">
        <f t="shared" si="1"/>
        <v/>
      </c>
      <c r="F190" s="36" t="str">
        <f t="shared" si="4"/>
        <v/>
      </c>
      <c r="G190" s="11"/>
      <c r="H190" s="11" t="str">
        <f>IF(E190="","",SUMIF(Estructuras!B:B,A190,Estructuras!E:E))</f>
        <v/>
      </c>
      <c r="I190" s="8" t="str">
        <f>IF(E190="","",IF(COUNTIF(Estructuras!F:F,E190)=0,"Falta Estructura",IF(COUNTIFS(Estructuras!F:F,E190,Estructuras!E:E,0)&gt;0,"Faltan Precios","OK")))</f>
        <v/>
      </c>
      <c r="J190" s="10" t="str">
        <f>IF(I190="Faltan Precios",COUNTIFS(Estructuras!B:B,A190,Estructuras!E:E,0),"")</f>
        <v/>
      </c>
      <c r="K190" s="8" t="str">
        <f t="shared" si="2"/>
        <v/>
      </c>
    </row>
    <row r="191">
      <c r="A191" s="4" t="str">
        <f t="shared" si="1"/>
        <v/>
      </c>
      <c r="F191" s="36" t="str">
        <f t="shared" si="4"/>
        <v/>
      </c>
      <c r="G191" s="11"/>
      <c r="H191" s="11" t="str">
        <f>IF(E191="","",SUMIF(Estructuras!B:B,A191,Estructuras!E:E))</f>
        <v/>
      </c>
      <c r="I191" s="8" t="str">
        <f>IF(E191="","",IF(COUNTIF(Estructuras!F:F,E191)=0,"Falta Estructura",IF(COUNTIFS(Estructuras!F:F,E191,Estructuras!E:E,0)&gt;0,"Faltan Precios","OK")))</f>
        <v/>
      </c>
      <c r="J191" s="10" t="str">
        <f>IF(I191="Faltan Precios",COUNTIFS(Estructuras!B:B,A191,Estructuras!E:E,0),"")</f>
        <v/>
      </c>
      <c r="K191" s="8" t="str">
        <f t="shared" si="2"/>
        <v/>
      </c>
    </row>
    <row r="192">
      <c r="A192" s="4" t="str">
        <f t="shared" si="1"/>
        <v/>
      </c>
      <c r="F192" s="36" t="str">
        <f t="shared" si="4"/>
        <v/>
      </c>
      <c r="G192" s="11"/>
      <c r="H192" s="11" t="str">
        <f>IF(E192="","",SUMIF(Estructuras!B:B,A192,Estructuras!E:E))</f>
        <v/>
      </c>
      <c r="I192" s="8" t="str">
        <f>IF(E192="","",IF(COUNTIF(Estructuras!F:F,E192)=0,"Falta Estructura",IF(COUNTIFS(Estructuras!F:F,E192,Estructuras!E:E,0)&gt;0,"Faltan Precios","OK")))</f>
        <v/>
      </c>
      <c r="J192" s="10" t="str">
        <f>IF(I192="Faltan Precios",COUNTIFS(Estructuras!B:B,A192,Estructuras!E:E,0),"")</f>
        <v/>
      </c>
      <c r="K192" s="8" t="str">
        <f t="shared" si="2"/>
        <v/>
      </c>
    </row>
    <row r="193">
      <c r="A193" s="4" t="str">
        <f t="shared" si="1"/>
        <v/>
      </c>
      <c r="F193" s="36" t="str">
        <f t="shared" si="4"/>
        <v/>
      </c>
      <c r="G193" s="11"/>
      <c r="H193" s="11" t="str">
        <f>IF(E193="","",SUMIF(Estructuras!B:B,A193,Estructuras!E:E))</f>
        <v/>
      </c>
      <c r="I193" s="8" t="str">
        <f>IF(E193="","",IF(COUNTIF(Estructuras!F:F,E193)=0,"Falta Estructura",IF(COUNTIFS(Estructuras!F:F,E193,Estructuras!E:E,0)&gt;0,"Faltan Precios","OK")))</f>
        <v/>
      </c>
      <c r="J193" s="10" t="str">
        <f>IF(I193="Faltan Precios",COUNTIFS(Estructuras!B:B,A193,Estructuras!E:E,0),"")</f>
        <v/>
      </c>
      <c r="K193" s="8" t="str">
        <f t="shared" si="2"/>
        <v/>
      </c>
    </row>
    <row r="194">
      <c r="A194" s="4" t="str">
        <f t="shared" si="1"/>
        <v/>
      </c>
      <c r="F194" s="36" t="str">
        <f t="shared" si="4"/>
        <v/>
      </c>
      <c r="G194" s="11"/>
      <c r="H194" s="11" t="str">
        <f>IF(E194="","",SUMIF(Estructuras!B:B,A194,Estructuras!E:E))</f>
        <v/>
      </c>
      <c r="I194" s="8" t="str">
        <f>IF(E194="","",IF(COUNTIF(Estructuras!F:F,E194)=0,"Falta Estructura",IF(COUNTIFS(Estructuras!F:F,E194,Estructuras!E:E,0)&gt;0,"Faltan Precios","OK")))</f>
        <v/>
      </c>
      <c r="J194" s="10" t="str">
        <f>IF(I194="Faltan Precios",COUNTIFS(Estructuras!B:B,A194,Estructuras!E:E,0),"")</f>
        <v/>
      </c>
      <c r="K194" s="8" t="str">
        <f t="shared" si="2"/>
        <v/>
      </c>
    </row>
    <row r="195">
      <c r="A195" s="4" t="str">
        <f t="shared" si="1"/>
        <v/>
      </c>
      <c r="F195" s="36" t="str">
        <f t="shared" si="4"/>
        <v/>
      </c>
      <c r="G195" s="11"/>
      <c r="H195" s="11" t="str">
        <f>IF(E195="","",SUMIF(Estructuras!B:B,A195,Estructuras!E:E))</f>
        <v/>
      </c>
      <c r="I195" s="8" t="str">
        <f>IF(E195="","",IF(COUNTIF(Estructuras!F:F,E195)=0,"Falta Estructura",IF(COUNTIFS(Estructuras!F:F,E195,Estructuras!E:E,0)&gt;0,"Faltan Precios","OK")))</f>
        <v/>
      </c>
      <c r="J195" s="10" t="str">
        <f>IF(I195="Faltan Precios",COUNTIFS(Estructuras!B:B,A195,Estructuras!E:E,0),"")</f>
        <v/>
      </c>
      <c r="K195" s="8" t="str">
        <f t="shared" si="2"/>
        <v/>
      </c>
    </row>
    <row r="196">
      <c r="A196" s="4" t="str">
        <f t="shared" si="1"/>
        <v/>
      </c>
      <c r="F196" s="36" t="str">
        <f t="shared" si="4"/>
        <v/>
      </c>
      <c r="G196" s="11"/>
      <c r="H196" s="11" t="str">
        <f>IF(E196="","",SUMIF(Estructuras!B:B,A196,Estructuras!E:E))</f>
        <v/>
      </c>
      <c r="I196" s="8" t="str">
        <f>IF(E196="","",IF(COUNTIF(Estructuras!F:F,E196)=0,"Falta Estructura",IF(COUNTIFS(Estructuras!F:F,E196,Estructuras!E:E,0)&gt;0,"Faltan Precios","OK")))</f>
        <v/>
      </c>
      <c r="J196" s="10" t="str">
        <f>IF(I196="Faltan Precios",COUNTIFS(Estructuras!B:B,A196,Estructuras!E:E,0),"")</f>
        <v/>
      </c>
      <c r="K196" s="8" t="str">
        <f t="shared" si="2"/>
        <v/>
      </c>
    </row>
    <row r="197">
      <c r="A197" s="4" t="str">
        <f t="shared" si="1"/>
        <v/>
      </c>
      <c r="F197" s="36" t="str">
        <f t="shared" si="4"/>
        <v/>
      </c>
      <c r="G197" s="11"/>
      <c r="H197" s="11" t="str">
        <f>IF(E197="","",SUMIF(Estructuras!B:B,A197,Estructuras!E:E))</f>
        <v/>
      </c>
      <c r="I197" s="8" t="str">
        <f>IF(E197="","",IF(COUNTIF(Estructuras!F:F,E197)=0,"Falta Estructura",IF(COUNTIFS(Estructuras!F:F,E197,Estructuras!E:E,0)&gt;0,"Faltan Precios","OK")))</f>
        <v/>
      </c>
      <c r="J197" s="10" t="str">
        <f>IF(I197="Faltan Precios",COUNTIFS(Estructuras!B:B,A197,Estructuras!E:E,0),"")</f>
        <v/>
      </c>
      <c r="K197" s="8" t="str">
        <f t="shared" si="2"/>
        <v/>
      </c>
    </row>
    <row r="198">
      <c r="A198" s="4" t="str">
        <f t="shared" si="1"/>
        <v/>
      </c>
      <c r="F198" s="36" t="str">
        <f t="shared" si="4"/>
        <v/>
      </c>
      <c r="G198" s="11"/>
      <c r="H198" s="11" t="str">
        <f>IF(E198="","",SUMIF(Estructuras!B:B,A198,Estructuras!E:E))</f>
        <v/>
      </c>
      <c r="I198" s="8" t="str">
        <f>IF(E198="","",IF(COUNTIF(Estructuras!F:F,E198)=0,"Falta Estructura",IF(COUNTIFS(Estructuras!F:F,E198,Estructuras!E:E,0)&gt;0,"Faltan Precios","OK")))</f>
        <v/>
      </c>
      <c r="J198" s="10" t="str">
        <f>IF(I198="Faltan Precios",COUNTIFS(Estructuras!B:B,A198,Estructuras!E:E,0),"")</f>
        <v/>
      </c>
      <c r="K198" s="8" t="str">
        <f t="shared" si="2"/>
        <v/>
      </c>
    </row>
    <row r="199">
      <c r="A199" s="4" t="str">
        <f t="shared" si="1"/>
        <v/>
      </c>
      <c r="F199" s="36" t="str">
        <f t="shared" si="4"/>
        <v/>
      </c>
      <c r="G199" s="11"/>
      <c r="H199" s="11" t="str">
        <f>IF(E199="","",SUMIF(Estructuras!B:B,A199,Estructuras!E:E))</f>
        <v/>
      </c>
      <c r="I199" s="8" t="str">
        <f>IF(E199="","",IF(COUNTIF(Estructuras!F:F,E199)=0,"Falta Estructura",IF(COUNTIFS(Estructuras!F:F,E199,Estructuras!E:E,0)&gt;0,"Faltan Precios","OK")))</f>
        <v/>
      </c>
      <c r="J199" s="10" t="str">
        <f>IF(I199="Faltan Precios",COUNTIFS(Estructuras!B:B,A199,Estructuras!E:E,0),"")</f>
        <v/>
      </c>
      <c r="K199" s="8" t="str">
        <f t="shared" si="2"/>
        <v/>
      </c>
    </row>
    <row r="200">
      <c r="A200" s="4" t="str">
        <f t="shared" si="1"/>
        <v/>
      </c>
      <c r="F200" s="36" t="str">
        <f t="shared" si="4"/>
        <v/>
      </c>
      <c r="G200" s="11"/>
      <c r="H200" s="11" t="str">
        <f>IF(E200="","",SUMIF(Estructuras!B:B,A200,Estructuras!E:E))</f>
        <v/>
      </c>
      <c r="I200" s="8" t="str">
        <f>IF(E200="","",IF(COUNTIF(Estructuras!F:F,E200)=0,"Falta Estructura",IF(COUNTIFS(Estructuras!F:F,E200,Estructuras!E:E,0)&gt;0,"Faltan Precios","OK")))</f>
        <v/>
      </c>
      <c r="J200" s="10" t="str">
        <f>IF(I200="Faltan Precios",COUNTIFS(Estructuras!B:B,A200,Estructuras!E:E,0),"")</f>
        <v/>
      </c>
      <c r="K200" s="8" t="str">
        <f t="shared" si="2"/>
        <v/>
      </c>
    </row>
    <row r="201">
      <c r="A201" s="4" t="str">
        <f t="shared" si="1"/>
        <v/>
      </c>
      <c r="F201" s="36" t="str">
        <f t="shared" si="4"/>
        <v/>
      </c>
      <c r="G201" s="11"/>
      <c r="H201" s="11" t="str">
        <f>IF(E201="","",SUMIF(Estructuras!B:B,A201,Estructuras!E:E))</f>
        <v/>
      </c>
      <c r="I201" s="8" t="str">
        <f>IF(E201="","",IF(COUNTIF(Estructuras!F:F,E201)=0,"Falta Estructura",IF(COUNTIFS(Estructuras!F:F,E201,Estructuras!E:E,0)&gt;0,"Faltan Precios","OK")))</f>
        <v/>
      </c>
      <c r="J201" s="10" t="str">
        <f>IF(I201="Faltan Precios",COUNTIFS(Estructuras!B:B,A201,Estructuras!E:E,0),"")</f>
        <v/>
      </c>
      <c r="K201" s="8" t="str">
        <f t="shared" si="2"/>
        <v/>
      </c>
    </row>
    <row r="202">
      <c r="A202" s="4" t="str">
        <f t="shared" si="1"/>
        <v/>
      </c>
      <c r="F202" s="36" t="str">
        <f t="shared" si="4"/>
        <v/>
      </c>
      <c r="G202" s="11"/>
      <c r="H202" s="11" t="str">
        <f>IF(E202="","",SUMIF(Estructuras!B:B,A202,Estructuras!E:E))</f>
        <v/>
      </c>
      <c r="I202" s="8" t="str">
        <f>IF(E202="","",IF(COUNTIF(Estructuras!F:F,E202)=0,"Falta Estructura",IF(COUNTIFS(Estructuras!F:F,E202,Estructuras!E:E,0)&gt;0,"Faltan Precios","OK")))</f>
        <v/>
      </c>
      <c r="J202" s="10" t="str">
        <f>IF(I202="Faltan Precios",COUNTIFS(Estructuras!B:B,A202,Estructuras!E:E,0),"")</f>
        <v/>
      </c>
      <c r="K202" s="8" t="str">
        <f t="shared" si="2"/>
        <v/>
      </c>
    </row>
    <row r="203">
      <c r="A203" s="4" t="str">
        <f t="shared" si="1"/>
        <v/>
      </c>
      <c r="F203" s="36" t="str">
        <f t="shared" si="4"/>
        <v/>
      </c>
      <c r="G203" s="11"/>
      <c r="H203" s="11" t="str">
        <f>IF(E203="","",SUMIF(Estructuras!B:B,A203,Estructuras!E:E))</f>
        <v/>
      </c>
      <c r="I203" s="8" t="str">
        <f>IF(E203="","",IF(COUNTIF(Estructuras!F:F,E203)=0,"Falta Estructura",IF(COUNTIFS(Estructuras!F:F,E203,Estructuras!E:E,0)&gt;0,"Faltan Precios","OK")))</f>
        <v/>
      </c>
      <c r="J203" s="10" t="str">
        <f>IF(I203="Faltan Precios",COUNTIFS(Estructuras!B:B,A203,Estructuras!E:E,0),"")</f>
        <v/>
      </c>
      <c r="K203" s="8" t="str">
        <f t="shared" si="2"/>
        <v/>
      </c>
    </row>
    <row r="204">
      <c r="A204" s="4" t="str">
        <f t="shared" si="1"/>
        <v/>
      </c>
      <c r="F204" s="36" t="str">
        <f t="shared" si="4"/>
        <v/>
      </c>
      <c r="G204" s="11"/>
      <c r="H204" s="11" t="str">
        <f>IF(E204="","",SUMIF(Estructuras!B:B,A204,Estructuras!E:E))</f>
        <v/>
      </c>
      <c r="I204" s="8" t="str">
        <f>IF(E204="","",IF(COUNTIF(Estructuras!F:F,E204)=0,"Falta Estructura",IF(COUNTIFS(Estructuras!F:F,E204,Estructuras!E:E,0)&gt;0,"Faltan Precios","OK")))</f>
        <v/>
      </c>
      <c r="J204" s="10" t="str">
        <f>IF(I204="Faltan Precios",COUNTIFS(Estructuras!B:B,A204,Estructuras!E:E,0),"")</f>
        <v/>
      </c>
      <c r="K204" s="8" t="str">
        <f t="shared" si="2"/>
        <v/>
      </c>
    </row>
    <row r="205">
      <c r="A205" s="4" t="str">
        <f t="shared" si="1"/>
        <v/>
      </c>
      <c r="F205" s="36" t="str">
        <f t="shared" si="4"/>
        <v/>
      </c>
      <c r="G205" s="11"/>
      <c r="H205" s="11" t="str">
        <f>IF(E205="","",SUMIF(Estructuras!B:B,A205,Estructuras!E:E))</f>
        <v/>
      </c>
      <c r="I205" s="8" t="str">
        <f>IF(E205="","",IF(COUNTIF(Estructuras!F:F,E205)=0,"Falta Estructura",IF(COUNTIFS(Estructuras!F:F,E205,Estructuras!E:E,0)&gt;0,"Faltan Precios","OK")))</f>
        <v/>
      </c>
      <c r="J205" s="10" t="str">
        <f>IF(I205="Faltan Precios",COUNTIFS(Estructuras!B:B,A205,Estructuras!E:E,0),"")</f>
        <v/>
      </c>
      <c r="K205" s="8" t="str">
        <f t="shared" si="2"/>
        <v/>
      </c>
    </row>
    <row r="206">
      <c r="A206" s="4" t="str">
        <f t="shared" si="1"/>
        <v/>
      </c>
      <c r="F206" s="36" t="str">
        <f t="shared" si="4"/>
        <v/>
      </c>
      <c r="G206" s="11"/>
      <c r="H206" s="11" t="str">
        <f>IF(E206="","",SUMIF(Estructuras!B:B,A206,Estructuras!E:E))</f>
        <v/>
      </c>
      <c r="I206" s="8" t="str">
        <f>IF(E206="","",IF(COUNTIF(Estructuras!F:F,E206)=0,"Falta Estructura",IF(COUNTIFS(Estructuras!F:F,E206,Estructuras!E:E,0)&gt;0,"Faltan Precios","OK")))</f>
        <v/>
      </c>
      <c r="J206" s="10" t="str">
        <f>IF(I206="Faltan Precios",COUNTIFS(Estructuras!B:B,A206,Estructuras!E:E,0),"")</f>
        <v/>
      </c>
      <c r="K206" s="8" t="str">
        <f t="shared" si="2"/>
        <v/>
      </c>
    </row>
    <row r="207">
      <c r="A207" s="4" t="str">
        <f t="shared" si="1"/>
        <v/>
      </c>
      <c r="F207" s="36" t="str">
        <f t="shared" si="4"/>
        <v/>
      </c>
      <c r="G207" s="11"/>
      <c r="H207" s="11" t="str">
        <f>IF(E207="","",SUMIF(Estructuras!B:B,A207,Estructuras!E:E))</f>
        <v/>
      </c>
      <c r="I207" s="8" t="str">
        <f>IF(E207="","",IF(COUNTIF(Estructuras!F:F,E207)=0,"Falta Estructura",IF(COUNTIFS(Estructuras!F:F,E207,Estructuras!E:E,0)&gt;0,"Faltan Precios","OK")))</f>
        <v/>
      </c>
      <c r="J207" s="10" t="str">
        <f>IF(I207="Faltan Precios",COUNTIFS(Estructuras!B:B,A207,Estructuras!E:E,0),"")</f>
        <v/>
      </c>
      <c r="K207" s="8" t="str">
        <f t="shared" si="2"/>
        <v/>
      </c>
    </row>
    <row r="208">
      <c r="A208" s="4" t="str">
        <f t="shared" si="1"/>
        <v/>
      </c>
      <c r="F208" s="36" t="str">
        <f t="shared" si="4"/>
        <v/>
      </c>
      <c r="G208" s="11"/>
      <c r="H208" s="11" t="str">
        <f>IF(E208="","",SUMIF(Estructuras!B:B,A208,Estructuras!E:E))</f>
        <v/>
      </c>
      <c r="I208" s="8" t="str">
        <f>IF(E208="","",IF(COUNTIF(Estructuras!F:F,E208)=0,"Falta Estructura",IF(COUNTIFS(Estructuras!F:F,E208,Estructuras!E:E,0)&gt;0,"Faltan Precios","OK")))</f>
        <v/>
      </c>
      <c r="J208" s="10" t="str">
        <f>IF(I208="Faltan Precios",COUNTIFS(Estructuras!B:B,A208,Estructuras!E:E,0),"")</f>
        <v/>
      </c>
      <c r="K208" s="8" t="str">
        <f t="shared" si="2"/>
        <v/>
      </c>
    </row>
    <row r="209">
      <c r="A209" s="4" t="str">
        <f t="shared" si="1"/>
        <v/>
      </c>
      <c r="F209" s="36" t="str">
        <f t="shared" si="4"/>
        <v/>
      </c>
      <c r="G209" s="11"/>
      <c r="H209" s="11" t="str">
        <f>IF(E209="","",SUMIF(Estructuras!B:B,A209,Estructuras!E:E))</f>
        <v/>
      </c>
      <c r="I209" s="8" t="str">
        <f>IF(E209="","",IF(COUNTIF(Estructuras!F:F,E209)=0,"Falta Estructura",IF(COUNTIFS(Estructuras!F:F,E209,Estructuras!E:E,0)&gt;0,"Faltan Precios","OK")))</f>
        <v/>
      </c>
      <c r="J209" s="10" t="str">
        <f>IF(I209="Faltan Precios",COUNTIFS(Estructuras!B:B,A209,Estructuras!E:E,0),"")</f>
        <v/>
      </c>
      <c r="K209" s="8" t="str">
        <f t="shared" si="2"/>
        <v/>
      </c>
    </row>
    <row r="210">
      <c r="A210" s="4" t="str">
        <f t="shared" si="1"/>
        <v/>
      </c>
      <c r="F210" s="36" t="str">
        <f t="shared" si="4"/>
        <v/>
      </c>
      <c r="G210" s="11"/>
      <c r="H210" s="11" t="str">
        <f>IF(E210="","",SUMIF(Estructuras!B:B,A210,Estructuras!E:E))</f>
        <v/>
      </c>
      <c r="I210" s="8" t="str">
        <f>IF(E210="","",IF(COUNTIF(Estructuras!F:F,E210)=0,"Falta Estructura",IF(COUNTIFS(Estructuras!F:F,E210,Estructuras!E:E,0)&gt;0,"Faltan Precios","OK")))</f>
        <v/>
      </c>
      <c r="J210" s="10" t="str">
        <f>IF(I210="Faltan Precios",COUNTIFS(Estructuras!B:B,A210,Estructuras!E:E,0),"")</f>
        <v/>
      </c>
      <c r="K210" s="8" t="str">
        <f t="shared" si="2"/>
        <v/>
      </c>
    </row>
    <row r="211">
      <c r="A211" s="4" t="str">
        <f t="shared" si="1"/>
        <v/>
      </c>
      <c r="F211" s="36" t="str">
        <f t="shared" si="4"/>
        <v/>
      </c>
      <c r="G211" s="11"/>
      <c r="H211" s="11" t="str">
        <f>IF(E211="","",SUMIF(Estructuras!B:B,A211,Estructuras!E:E))</f>
        <v/>
      </c>
      <c r="I211" s="8" t="str">
        <f>IF(E211="","",IF(COUNTIF(Estructuras!F:F,E211)=0,"Falta Estructura",IF(COUNTIFS(Estructuras!F:F,E211,Estructuras!E:E,0)&gt;0,"Faltan Precios","OK")))</f>
        <v/>
      </c>
      <c r="J211" s="10" t="str">
        <f>IF(I211="Faltan Precios",COUNTIFS(Estructuras!B:B,A211,Estructuras!E:E,0),"")</f>
        <v/>
      </c>
      <c r="K211" s="8" t="str">
        <f t="shared" si="2"/>
        <v/>
      </c>
    </row>
    <row r="212">
      <c r="A212" s="4" t="str">
        <f t="shared" si="1"/>
        <v/>
      </c>
      <c r="F212" s="36" t="str">
        <f t="shared" si="4"/>
        <v/>
      </c>
      <c r="G212" s="11"/>
      <c r="H212" s="11" t="str">
        <f>IF(E212="","",SUMIF(Estructuras!B:B,A212,Estructuras!E:E))</f>
        <v/>
      </c>
      <c r="I212" s="8" t="str">
        <f>IF(E212="","",IF(COUNTIF(Estructuras!F:F,E212)=0,"Falta Estructura",IF(COUNTIFS(Estructuras!F:F,E212,Estructuras!E:E,0)&gt;0,"Faltan Precios","OK")))</f>
        <v/>
      </c>
      <c r="J212" s="10" t="str">
        <f>IF(I212="Faltan Precios",COUNTIFS(Estructuras!B:B,A212,Estructuras!E:E,0),"")</f>
        <v/>
      </c>
      <c r="K212" s="8" t="str">
        <f t="shared" si="2"/>
        <v/>
      </c>
    </row>
    <row r="213">
      <c r="A213" s="4" t="str">
        <f t="shared" si="1"/>
        <v/>
      </c>
      <c r="F213" s="36" t="str">
        <f t="shared" si="4"/>
        <v/>
      </c>
      <c r="G213" s="11"/>
      <c r="H213" s="11" t="str">
        <f>IF(E213="","",SUMIF(Estructuras!B:B,A213,Estructuras!E:E))</f>
        <v/>
      </c>
      <c r="I213" s="8" t="str">
        <f>IF(E213="","",IF(COUNTIF(Estructuras!F:F,E213)=0,"Falta Estructura",IF(COUNTIFS(Estructuras!F:F,E213,Estructuras!E:E,0)&gt;0,"Faltan Precios","OK")))</f>
        <v/>
      </c>
      <c r="J213" s="10" t="str">
        <f>IF(I213="Faltan Precios",COUNTIFS(Estructuras!B:B,A213,Estructuras!E:E,0),"")</f>
        <v/>
      </c>
      <c r="K213" s="8" t="str">
        <f t="shared" si="2"/>
        <v/>
      </c>
    </row>
    <row r="214">
      <c r="A214" s="4" t="str">
        <f t="shared" si="1"/>
        <v/>
      </c>
      <c r="F214" s="36" t="str">
        <f t="shared" si="4"/>
        <v/>
      </c>
      <c r="G214" s="11"/>
      <c r="H214" s="11" t="str">
        <f>IF(E214="","",SUMIF(Estructuras!B:B,A214,Estructuras!E:E))</f>
        <v/>
      </c>
      <c r="I214" s="8" t="str">
        <f>IF(E214="","",IF(COUNTIF(Estructuras!F:F,E214)=0,"Falta Estructura",IF(COUNTIFS(Estructuras!F:F,E214,Estructuras!E:E,0)&gt;0,"Faltan Precios","OK")))</f>
        <v/>
      </c>
      <c r="J214" s="10" t="str">
        <f>IF(I214="Faltan Precios",COUNTIFS(Estructuras!B:B,A214,Estructuras!E:E,0),"")</f>
        <v/>
      </c>
      <c r="K214" s="8" t="str">
        <f t="shared" si="2"/>
        <v/>
      </c>
    </row>
    <row r="215">
      <c r="A215" s="4" t="str">
        <f t="shared" si="1"/>
        <v/>
      </c>
      <c r="F215" s="36" t="str">
        <f t="shared" si="4"/>
        <v/>
      </c>
      <c r="G215" s="11"/>
      <c r="H215" s="11" t="str">
        <f>IF(E215="","",SUMIF(Estructuras!B:B,A215,Estructuras!E:E))</f>
        <v/>
      </c>
      <c r="I215" s="8" t="str">
        <f>IF(E215="","",IF(COUNTIF(Estructuras!F:F,E215)=0,"Falta Estructura",IF(COUNTIFS(Estructuras!F:F,E215,Estructuras!E:E,0)&gt;0,"Faltan Precios","OK")))</f>
        <v/>
      </c>
      <c r="J215" s="10" t="str">
        <f>IF(I215="Faltan Precios",COUNTIFS(Estructuras!B:B,A215,Estructuras!E:E,0),"")</f>
        <v/>
      </c>
      <c r="K215" s="8" t="str">
        <f t="shared" si="2"/>
        <v/>
      </c>
    </row>
    <row r="216">
      <c r="A216" s="4" t="str">
        <f t="shared" si="1"/>
        <v/>
      </c>
      <c r="F216" s="36" t="str">
        <f t="shared" si="4"/>
        <v/>
      </c>
      <c r="G216" s="11"/>
      <c r="H216" s="11" t="str">
        <f>IF(E216="","",SUMIF(Estructuras!B:B,A216,Estructuras!E:E))</f>
        <v/>
      </c>
      <c r="I216" s="8" t="str">
        <f>IF(E216="","",IF(COUNTIF(Estructuras!F:F,E216)=0,"Falta Estructura",IF(COUNTIFS(Estructuras!F:F,E216,Estructuras!E:E,0)&gt;0,"Faltan Precios","OK")))</f>
        <v/>
      </c>
      <c r="J216" s="10" t="str">
        <f>IF(I216="Faltan Precios",COUNTIFS(Estructuras!B:B,A216,Estructuras!E:E,0),"")</f>
        <v/>
      </c>
      <c r="K216" s="8" t="str">
        <f t="shared" si="2"/>
        <v/>
      </c>
    </row>
    <row r="217">
      <c r="A217" s="4" t="str">
        <f t="shared" si="1"/>
        <v/>
      </c>
      <c r="F217" s="36" t="str">
        <f t="shared" si="4"/>
        <v/>
      </c>
      <c r="G217" s="11"/>
      <c r="H217" s="11" t="str">
        <f>IF(E217="","",SUMIF(Estructuras!B:B,A217,Estructuras!E:E))</f>
        <v/>
      </c>
      <c r="I217" s="8" t="str">
        <f>IF(E217="","",IF(COUNTIF(Estructuras!F:F,E217)=0,"Falta Estructura",IF(COUNTIFS(Estructuras!F:F,E217,Estructuras!E:E,0)&gt;0,"Faltan Precios","OK")))</f>
        <v/>
      </c>
      <c r="J217" s="10" t="str">
        <f>IF(I217="Faltan Precios",COUNTIFS(Estructuras!B:B,A217,Estructuras!E:E,0),"")</f>
        <v/>
      </c>
      <c r="K217" s="8" t="str">
        <f t="shared" si="2"/>
        <v/>
      </c>
    </row>
    <row r="218">
      <c r="A218" s="4" t="str">
        <f t="shared" si="1"/>
        <v/>
      </c>
      <c r="F218" s="36" t="str">
        <f t="shared" si="4"/>
        <v/>
      </c>
      <c r="G218" s="11"/>
      <c r="H218" s="11" t="str">
        <f>IF(E218="","",SUMIF(Estructuras!B:B,A218,Estructuras!E:E))</f>
        <v/>
      </c>
      <c r="I218" s="8" t="str">
        <f>IF(E218="","",IF(COUNTIF(Estructuras!F:F,E218)=0,"Falta Estructura",IF(COUNTIFS(Estructuras!F:F,E218,Estructuras!E:E,0)&gt;0,"Faltan Precios","OK")))</f>
        <v/>
      </c>
      <c r="J218" s="10" t="str">
        <f>IF(I218="Faltan Precios",COUNTIFS(Estructuras!B:B,A218,Estructuras!E:E,0),"")</f>
        <v/>
      </c>
      <c r="K218" s="8" t="str">
        <f t="shared" si="2"/>
        <v/>
      </c>
    </row>
    <row r="219">
      <c r="A219" s="4" t="str">
        <f t="shared" si="1"/>
        <v/>
      </c>
      <c r="F219" s="36" t="str">
        <f t="shared" si="4"/>
        <v/>
      </c>
      <c r="G219" s="11"/>
      <c r="H219" s="11" t="str">
        <f>IF(E219="","",SUMIF(Estructuras!B:B,A219,Estructuras!E:E))</f>
        <v/>
      </c>
      <c r="I219" s="8" t="str">
        <f>IF(E219="","",IF(COUNTIF(Estructuras!F:F,E219)=0,"Falta Estructura",IF(COUNTIFS(Estructuras!F:F,E219,Estructuras!E:E,0)&gt;0,"Faltan Precios","OK")))</f>
        <v/>
      </c>
      <c r="J219" s="10" t="str">
        <f>IF(I219="Faltan Precios",COUNTIFS(Estructuras!B:B,A219,Estructuras!E:E,0),"")</f>
        <v/>
      </c>
      <c r="K219" s="8" t="str">
        <f t="shared" si="2"/>
        <v/>
      </c>
    </row>
    <row r="220">
      <c r="A220" s="4" t="str">
        <f t="shared" si="1"/>
        <v/>
      </c>
      <c r="F220" s="36" t="str">
        <f t="shared" si="4"/>
        <v/>
      </c>
      <c r="G220" s="11"/>
      <c r="H220" s="11" t="str">
        <f>IF(E220="","",SUMIF(Estructuras!B:B,A220,Estructuras!E:E))</f>
        <v/>
      </c>
      <c r="I220" s="8" t="str">
        <f>IF(E220="","",IF(COUNTIF(Estructuras!F:F,E220)=0,"Falta Estructura",IF(COUNTIFS(Estructuras!F:F,E220,Estructuras!E:E,0)&gt;0,"Faltan Precios","OK")))</f>
        <v/>
      </c>
      <c r="J220" s="10" t="str">
        <f>IF(I220="Faltan Precios",COUNTIFS(Estructuras!B:B,A220,Estructuras!E:E,0),"")</f>
        <v/>
      </c>
      <c r="K220" s="8" t="str">
        <f t="shared" si="2"/>
        <v/>
      </c>
    </row>
    <row r="221">
      <c r="A221" s="4" t="str">
        <f t="shared" si="1"/>
        <v/>
      </c>
      <c r="F221" s="36" t="str">
        <f t="shared" si="4"/>
        <v/>
      </c>
      <c r="G221" s="11"/>
      <c r="H221" s="11" t="str">
        <f>IF(E221="","",SUMIF(Estructuras!B:B,A221,Estructuras!E:E))</f>
        <v/>
      </c>
      <c r="I221" s="8" t="str">
        <f>IF(E221="","",IF(COUNTIF(Estructuras!F:F,E221)=0,"Falta Estructura",IF(COUNTIFS(Estructuras!F:F,E221,Estructuras!E:E,0)&gt;0,"Faltan Precios","OK")))</f>
        <v/>
      </c>
      <c r="J221" s="10" t="str">
        <f>IF(I221="Faltan Precios",COUNTIFS(Estructuras!B:B,A221,Estructuras!E:E,0),"")</f>
        <v/>
      </c>
      <c r="K221" s="8" t="str">
        <f t="shared" si="2"/>
        <v/>
      </c>
    </row>
    <row r="222">
      <c r="A222" s="4" t="str">
        <f t="shared" si="1"/>
        <v/>
      </c>
      <c r="F222" s="36" t="str">
        <f t="shared" si="4"/>
        <v/>
      </c>
      <c r="G222" s="11"/>
      <c r="H222" s="11" t="str">
        <f>IF(E222="","",SUMIF(Estructuras!B:B,A222,Estructuras!E:E))</f>
        <v/>
      </c>
      <c r="I222" s="8" t="str">
        <f>IF(E222="","",IF(COUNTIF(Estructuras!F:F,E222)=0,"Falta Estructura",IF(COUNTIFS(Estructuras!F:F,E222,Estructuras!E:E,0)&gt;0,"Faltan Precios","OK")))</f>
        <v/>
      </c>
      <c r="J222" s="10" t="str">
        <f>IF(I222="Faltan Precios",COUNTIFS(Estructuras!B:B,A222,Estructuras!E:E,0),"")</f>
        <v/>
      </c>
      <c r="K222" s="8" t="str">
        <f t="shared" si="2"/>
        <v/>
      </c>
    </row>
    <row r="223">
      <c r="A223" s="4" t="str">
        <f t="shared" si="1"/>
        <v/>
      </c>
      <c r="F223" s="36" t="str">
        <f t="shared" si="4"/>
        <v/>
      </c>
      <c r="G223" s="11"/>
      <c r="H223" s="11" t="str">
        <f>IF(E223="","",SUMIF(Estructuras!B:B,A223,Estructuras!E:E))</f>
        <v/>
      </c>
      <c r="I223" s="8" t="str">
        <f>IF(E223="","",IF(COUNTIF(Estructuras!F:F,E223)=0,"Falta Estructura",IF(COUNTIFS(Estructuras!F:F,E223,Estructuras!E:E,0)&gt;0,"Faltan Precios","OK")))</f>
        <v/>
      </c>
      <c r="J223" s="10" t="str">
        <f>IF(I223="Faltan Precios",COUNTIFS(Estructuras!B:B,A223,Estructuras!E:E,0),"")</f>
        <v/>
      </c>
      <c r="K223" s="8" t="str">
        <f t="shared" si="2"/>
        <v/>
      </c>
    </row>
    <row r="224">
      <c r="A224" s="4" t="str">
        <f t="shared" si="1"/>
        <v/>
      </c>
      <c r="F224" s="36" t="str">
        <f t="shared" si="4"/>
        <v/>
      </c>
      <c r="G224" s="11"/>
      <c r="H224" s="11" t="str">
        <f>IF(E224="","",SUMIF(Estructuras!B:B,A224,Estructuras!E:E))</f>
        <v/>
      </c>
      <c r="I224" s="8" t="str">
        <f>IF(E224="","",IF(COUNTIF(Estructuras!F:F,E224)=0,"Falta Estructura",IF(COUNTIFS(Estructuras!F:F,E224,Estructuras!E:E,0)&gt;0,"Faltan Precios","OK")))</f>
        <v/>
      </c>
      <c r="J224" s="10" t="str">
        <f>IF(I224="Faltan Precios",COUNTIFS(Estructuras!B:B,A224,Estructuras!E:E,0),"")</f>
        <v/>
      </c>
      <c r="K224" s="8" t="str">
        <f t="shared" si="2"/>
        <v/>
      </c>
    </row>
    <row r="225">
      <c r="A225" s="4" t="str">
        <f t="shared" si="1"/>
        <v/>
      </c>
      <c r="F225" s="36" t="str">
        <f t="shared" si="4"/>
        <v/>
      </c>
      <c r="G225" s="11"/>
      <c r="H225" s="11" t="str">
        <f>IF(E225="","",SUMIF(Estructuras!B:B,A225,Estructuras!E:E))</f>
        <v/>
      </c>
      <c r="I225" s="8" t="str">
        <f>IF(E225="","",IF(COUNTIF(Estructuras!F:F,E225)=0,"Falta Estructura",IF(COUNTIFS(Estructuras!F:F,E225,Estructuras!E:E,0)&gt;0,"Faltan Precios","OK")))</f>
        <v/>
      </c>
      <c r="J225" s="10" t="str">
        <f>IF(I225="Faltan Precios",COUNTIFS(Estructuras!B:B,A225,Estructuras!E:E,0),"")</f>
        <v/>
      </c>
      <c r="K225" s="8" t="str">
        <f t="shared" si="2"/>
        <v/>
      </c>
    </row>
    <row r="226">
      <c r="A226" s="4" t="str">
        <f t="shared" si="1"/>
        <v/>
      </c>
      <c r="F226" s="36" t="str">
        <f t="shared" si="4"/>
        <v/>
      </c>
      <c r="G226" s="11"/>
      <c r="H226" s="11" t="str">
        <f>IF(E226="","",SUMIF(Estructuras!B:B,A226,Estructuras!E:E))</f>
        <v/>
      </c>
      <c r="I226" s="8" t="str">
        <f>IF(E226="","",IF(COUNTIF(Estructuras!F:F,E226)=0,"Falta Estructura",IF(COUNTIFS(Estructuras!F:F,E226,Estructuras!E:E,0)&gt;0,"Faltan Precios","OK")))</f>
        <v/>
      </c>
      <c r="J226" s="10" t="str">
        <f>IF(I226="Faltan Precios",COUNTIFS(Estructuras!B:B,A226,Estructuras!E:E,0),"")</f>
        <v/>
      </c>
      <c r="K226" s="8" t="str">
        <f t="shared" si="2"/>
        <v/>
      </c>
    </row>
    <row r="227">
      <c r="A227" s="4" t="str">
        <f t="shared" si="1"/>
        <v/>
      </c>
      <c r="F227" s="36" t="str">
        <f t="shared" si="4"/>
        <v/>
      </c>
      <c r="G227" s="11"/>
      <c r="H227" s="11" t="str">
        <f>IF(E227="","",SUMIF(Estructuras!B:B,A227,Estructuras!E:E))</f>
        <v/>
      </c>
      <c r="I227" s="8" t="str">
        <f>IF(E227="","",IF(COUNTIF(Estructuras!F:F,E227)=0,"Falta Estructura",IF(COUNTIFS(Estructuras!F:F,E227,Estructuras!E:E,0)&gt;0,"Faltan Precios","OK")))</f>
        <v/>
      </c>
      <c r="J227" s="10" t="str">
        <f>IF(I227="Faltan Precios",COUNTIFS(Estructuras!B:B,A227,Estructuras!E:E,0),"")</f>
        <v/>
      </c>
      <c r="K227" s="8" t="str">
        <f t="shared" si="2"/>
        <v/>
      </c>
    </row>
    <row r="228">
      <c r="A228" s="4" t="str">
        <f t="shared" si="1"/>
        <v/>
      </c>
      <c r="F228" s="36" t="str">
        <f t="shared" si="4"/>
        <v/>
      </c>
      <c r="G228" s="11"/>
      <c r="H228" s="11" t="str">
        <f>IF(E228="","",SUMIF(Estructuras!B:B,A228,Estructuras!E:E))</f>
        <v/>
      </c>
      <c r="I228" s="8" t="str">
        <f>IF(E228="","",IF(COUNTIF(Estructuras!F:F,E228)=0,"Falta Estructura",IF(COUNTIFS(Estructuras!F:F,E228,Estructuras!E:E,0)&gt;0,"Faltan Precios","OK")))</f>
        <v/>
      </c>
      <c r="J228" s="10" t="str">
        <f>IF(I228="Faltan Precios",COUNTIFS(Estructuras!B:B,A228,Estructuras!E:E,0),"")</f>
        <v/>
      </c>
      <c r="K228" s="8" t="str">
        <f t="shared" si="2"/>
        <v/>
      </c>
    </row>
    <row r="229">
      <c r="A229" s="4" t="str">
        <f t="shared" si="1"/>
        <v/>
      </c>
      <c r="F229" s="36" t="str">
        <f t="shared" si="4"/>
        <v/>
      </c>
      <c r="G229" s="11"/>
      <c r="H229" s="11" t="str">
        <f>IF(E229="","",SUMIF(Estructuras!B:B,A229,Estructuras!E:E))</f>
        <v/>
      </c>
      <c r="I229" s="8" t="str">
        <f>IF(E229="","",IF(COUNTIF(Estructuras!F:F,E229)=0,"Falta Estructura",IF(COUNTIFS(Estructuras!F:F,E229,Estructuras!E:E,0)&gt;0,"Faltan Precios","OK")))</f>
        <v/>
      </c>
      <c r="J229" s="10" t="str">
        <f>IF(I229="Faltan Precios",COUNTIFS(Estructuras!B:B,A229,Estructuras!E:E,0),"")</f>
        <v/>
      </c>
      <c r="K229" s="8" t="str">
        <f t="shared" si="2"/>
        <v/>
      </c>
    </row>
    <row r="230">
      <c r="A230" s="4" t="str">
        <f t="shared" si="1"/>
        <v/>
      </c>
      <c r="F230" s="36" t="str">
        <f t="shared" si="4"/>
        <v/>
      </c>
      <c r="G230" s="11"/>
      <c r="H230" s="11" t="str">
        <f>IF(E230="","",SUMIF(Estructuras!B:B,A230,Estructuras!E:E))</f>
        <v/>
      </c>
      <c r="I230" s="8" t="str">
        <f>IF(E230="","",IF(COUNTIF(Estructuras!F:F,E230)=0,"Falta Estructura",IF(COUNTIFS(Estructuras!F:F,E230,Estructuras!E:E,0)&gt;0,"Faltan Precios","OK")))</f>
        <v/>
      </c>
      <c r="J230" s="10" t="str">
        <f>IF(I230="Faltan Precios",COUNTIFS(Estructuras!B:B,A230,Estructuras!E:E,0),"")</f>
        <v/>
      </c>
      <c r="K230" s="8" t="str">
        <f t="shared" si="2"/>
        <v/>
      </c>
    </row>
    <row r="231">
      <c r="A231" s="4" t="str">
        <f t="shared" si="1"/>
        <v/>
      </c>
      <c r="F231" s="36" t="str">
        <f t="shared" si="4"/>
        <v/>
      </c>
      <c r="G231" s="11"/>
      <c r="H231" s="11" t="str">
        <f>IF(E231="","",SUMIF(Estructuras!B:B,A231,Estructuras!E:E))</f>
        <v/>
      </c>
      <c r="I231" s="8" t="str">
        <f>IF(E231="","",IF(COUNTIF(Estructuras!F:F,E231)=0,"Falta Estructura",IF(COUNTIFS(Estructuras!F:F,E231,Estructuras!E:E,0)&gt;0,"Faltan Precios","OK")))</f>
        <v/>
      </c>
      <c r="J231" s="10" t="str">
        <f>IF(I231="Faltan Precios",COUNTIFS(Estructuras!B:B,A231,Estructuras!E:E,0),"")</f>
        <v/>
      </c>
      <c r="K231" s="8" t="str">
        <f t="shared" si="2"/>
        <v/>
      </c>
    </row>
    <row r="232">
      <c r="A232" s="4" t="str">
        <f t="shared" si="1"/>
        <v/>
      </c>
      <c r="F232" s="36" t="str">
        <f t="shared" si="4"/>
        <v/>
      </c>
      <c r="G232" s="11"/>
      <c r="H232" s="11" t="str">
        <f>IF(E232="","",SUMIF(Estructuras!B:B,A232,Estructuras!E:E))</f>
        <v/>
      </c>
      <c r="I232" s="8" t="str">
        <f>IF(E232="","",IF(COUNTIF(Estructuras!F:F,E232)=0,"Falta Estructura",IF(COUNTIFS(Estructuras!F:F,E232,Estructuras!E:E,0)&gt;0,"Faltan Precios","OK")))</f>
        <v/>
      </c>
      <c r="J232" s="10" t="str">
        <f>IF(I232="Faltan Precios",COUNTIFS(Estructuras!B:B,A232,Estructuras!E:E,0),"")</f>
        <v/>
      </c>
      <c r="K232" s="8" t="str">
        <f t="shared" si="2"/>
        <v/>
      </c>
    </row>
    <row r="233">
      <c r="A233" s="4" t="str">
        <f t="shared" si="1"/>
        <v/>
      </c>
      <c r="F233" s="36" t="str">
        <f t="shared" si="4"/>
        <v/>
      </c>
      <c r="G233" s="11"/>
      <c r="H233" s="11" t="str">
        <f>IF(E233="","",SUMIF(Estructuras!B:B,A233,Estructuras!E:E))</f>
        <v/>
      </c>
      <c r="I233" s="8" t="str">
        <f>IF(E233="","",IF(COUNTIF(Estructuras!F:F,E233)=0,"Falta Estructura",IF(COUNTIFS(Estructuras!F:F,E233,Estructuras!E:E,0)&gt;0,"Faltan Precios","OK")))</f>
        <v/>
      </c>
      <c r="J233" s="10" t="str">
        <f>IF(I233="Faltan Precios",COUNTIFS(Estructuras!B:B,A233,Estructuras!E:E,0),"")</f>
        <v/>
      </c>
      <c r="K233" s="8" t="str">
        <f t="shared" si="2"/>
        <v/>
      </c>
    </row>
    <row r="234">
      <c r="A234" s="4" t="str">
        <f t="shared" si="1"/>
        <v/>
      </c>
      <c r="F234" s="36" t="str">
        <f t="shared" si="4"/>
        <v/>
      </c>
      <c r="G234" s="11"/>
      <c r="H234" s="11" t="str">
        <f>IF(E234="","",SUMIF(Estructuras!B:B,A234,Estructuras!E:E))</f>
        <v/>
      </c>
      <c r="I234" s="8" t="str">
        <f>IF(E234="","",IF(COUNTIF(Estructuras!F:F,E234)=0,"Falta Estructura",IF(COUNTIFS(Estructuras!F:F,E234,Estructuras!E:E,0)&gt;0,"Faltan Precios","OK")))</f>
        <v/>
      </c>
      <c r="J234" s="10" t="str">
        <f>IF(I234="Faltan Precios",COUNTIFS(Estructuras!B:B,A234,Estructuras!E:E,0),"")</f>
        <v/>
      </c>
      <c r="K234" s="8" t="str">
        <f t="shared" si="2"/>
        <v/>
      </c>
    </row>
    <row r="235">
      <c r="A235" s="4" t="str">
        <f t="shared" si="1"/>
        <v/>
      </c>
      <c r="F235" s="36" t="str">
        <f t="shared" si="4"/>
        <v/>
      </c>
      <c r="G235" s="11"/>
      <c r="H235" s="11" t="str">
        <f>IF(E235="","",SUMIF(Estructuras!B:B,A235,Estructuras!E:E))</f>
        <v/>
      </c>
      <c r="I235" s="8" t="str">
        <f>IF(E235="","",IF(COUNTIF(Estructuras!F:F,E235)=0,"Falta Estructura",IF(COUNTIFS(Estructuras!F:F,E235,Estructuras!E:E,0)&gt;0,"Faltan Precios","OK")))</f>
        <v/>
      </c>
      <c r="J235" s="10" t="str">
        <f>IF(I235="Faltan Precios",COUNTIFS(Estructuras!B:B,A235,Estructuras!E:E,0),"")</f>
        <v/>
      </c>
      <c r="K235" s="8" t="str">
        <f t="shared" si="2"/>
        <v/>
      </c>
    </row>
    <row r="236">
      <c r="A236" s="4" t="str">
        <f t="shared" si="1"/>
        <v/>
      </c>
      <c r="F236" s="36" t="str">
        <f t="shared" si="4"/>
        <v/>
      </c>
      <c r="G236" s="11"/>
      <c r="H236" s="11" t="str">
        <f>IF(E236="","",SUMIF(Estructuras!B:B,A236,Estructuras!E:E))</f>
        <v/>
      </c>
      <c r="I236" s="8" t="str">
        <f>IF(E236="","",IF(COUNTIF(Estructuras!F:F,E236)=0,"Falta Estructura",IF(COUNTIFS(Estructuras!F:F,E236,Estructuras!E:E,0)&gt;0,"Faltan Precios","OK")))</f>
        <v/>
      </c>
      <c r="J236" s="10" t="str">
        <f>IF(I236="Faltan Precios",COUNTIFS(Estructuras!B:B,A236,Estructuras!E:E,0),"")</f>
        <v/>
      </c>
      <c r="K236" s="8" t="str">
        <f t="shared" si="2"/>
        <v/>
      </c>
    </row>
    <row r="237">
      <c r="A237" s="4" t="str">
        <f t="shared" si="1"/>
        <v/>
      </c>
      <c r="F237" s="36" t="str">
        <f t="shared" si="4"/>
        <v/>
      </c>
      <c r="G237" s="11"/>
      <c r="H237" s="11" t="str">
        <f>IF(E237="","",SUMIF(Estructuras!B:B,A237,Estructuras!E:E))</f>
        <v/>
      </c>
      <c r="I237" s="8" t="str">
        <f>IF(E237="","",IF(COUNTIF(Estructuras!F:F,E237)=0,"Falta Estructura",IF(COUNTIFS(Estructuras!F:F,E237,Estructuras!E:E,0)&gt;0,"Faltan Precios","OK")))</f>
        <v/>
      </c>
      <c r="J237" s="10" t="str">
        <f>IF(I237="Faltan Precios",COUNTIFS(Estructuras!B:B,A237,Estructuras!E:E,0),"")</f>
        <v/>
      </c>
      <c r="K237" s="8" t="str">
        <f t="shared" si="2"/>
        <v/>
      </c>
    </row>
    <row r="238">
      <c r="A238" s="4" t="str">
        <f t="shared" si="1"/>
        <v/>
      </c>
      <c r="F238" s="36" t="str">
        <f t="shared" si="4"/>
        <v/>
      </c>
      <c r="G238" s="11"/>
      <c r="H238" s="11" t="str">
        <f>IF(E238="","",SUMIF(Estructuras!B:B,A238,Estructuras!E:E))</f>
        <v/>
      </c>
      <c r="I238" s="8" t="str">
        <f>IF(E238="","",IF(COUNTIF(Estructuras!F:F,E238)=0,"Falta Estructura",IF(COUNTIFS(Estructuras!F:F,E238,Estructuras!E:E,0)&gt;0,"Faltan Precios","OK")))</f>
        <v/>
      </c>
      <c r="J238" s="10" t="str">
        <f>IF(I238="Faltan Precios",COUNTIFS(Estructuras!B:B,A238,Estructuras!E:E,0),"")</f>
        <v/>
      </c>
      <c r="K238" s="8" t="str">
        <f t="shared" si="2"/>
        <v/>
      </c>
    </row>
    <row r="239">
      <c r="A239" s="4" t="str">
        <f t="shared" si="1"/>
        <v/>
      </c>
      <c r="F239" s="36" t="str">
        <f t="shared" si="4"/>
        <v/>
      </c>
      <c r="G239" s="11"/>
      <c r="H239" s="11" t="str">
        <f>IF(E239="","",SUMIF(Estructuras!B:B,A239,Estructuras!E:E))</f>
        <v/>
      </c>
      <c r="I239" s="8" t="str">
        <f>IF(E239="","",IF(COUNTIF(Estructuras!F:F,E239)=0,"Falta Estructura",IF(COUNTIFS(Estructuras!F:F,E239,Estructuras!E:E,0)&gt;0,"Faltan Precios","OK")))</f>
        <v/>
      </c>
      <c r="J239" s="10" t="str">
        <f>IF(I239="Faltan Precios",COUNTIFS(Estructuras!B:B,A239,Estructuras!E:E,0),"")</f>
        <v/>
      </c>
      <c r="K239" s="8" t="str">
        <f t="shared" si="2"/>
        <v/>
      </c>
    </row>
    <row r="240">
      <c r="A240" s="4" t="str">
        <f t="shared" si="1"/>
        <v/>
      </c>
      <c r="F240" s="36" t="str">
        <f t="shared" si="4"/>
        <v/>
      </c>
      <c r="G240" s="11"/>
      <c r="H240" s="11" t="str">
        <f>IF(E240="","",SUMIF(Estructuras!B:B,A240,Estructuras!E:E))</f>
        <v/>
      </c>
      <c r="I240" s="8" t="str">
        <f>IF(E240="","",IF(COUNTIF(Estructuras!F:F,E240)=0,"Falta Estructura",IF(COUNTIFS(Estructuras!F:F,E240,Estructuras!E:E,0)&gt;0,"Faltan Precios","OK")))</f>
        <v/>
      </c>
      <c r="J240" s="10" t="str">
        <f>IF(I240="Faltan Precios",COUNTIFS(Estructuras!B:B,A240,Estructuras!E:E,0),"")</f>
        <v/>
      </c>
      <c r="K240" s="8" t="str">
        <f t="shared" si="2"/>
        <v/>
      </c>
    </row>
    <row r="241">
      <c r="A241" s="4" t="str">
        <f t="shared" si="1"/>
        <v/>
      </c>
      <c r="F241" s="36" t="str">
        <f t="shared" si="4"/>
        <v/>
      </c>
      <c r="G241" s="11"/>
      <c r="H241" s="11" t="str">
        <f>IF(E241="","",SUMIF(Estructuras!B:B,A241,Estructuras!E:E))</f>
        <v/>
      </c>
      <c r="I241" s="8" t="str">
        <f>IF(E241="","",IF(COUNTIF(Estructuras!F:F,E241)=0,"Falta Estructura",IF(COUNTIFS(Estructuras!F:F,E241,Estructuras!E:E,0)&gt;0,"Faltan Precios","OK")))</f>
        <v/>
      </c>
      <c r="J241" s="10" t="str">
        <f>IF(I241="Faltan Precios",COUNTIFS(Estructuras!B:B,A241,Estructuras!E:E,0),"")</f>
        <v/>
      </c>
      <c r="K241" s="8" t="str">
        <f t="shared" si="2"/>
        <v/>
      </c>
    </row>
    <row r="242">
      <c r="A242" s="4" t="str">
        <f t="shared" si="1"/>
        <v/>
      </c>
      <c r="F242" s="36" t="str">
        <f t="shared" si="4"/>
        <v/>
      </c>
      <c r="G242" s="11"/>
      <c r="H242" s="11" t="str">
        <f>IF(E242="","",SUMIF(Estructuras!B:B,A242,Estructuras!E:E))</f>
        <v/>
      </c>
      <c r="I242" s="8" t="str">
        <f>IF(E242="","",IF(COUNTIF(Estructuras!F:F,E242)=0,"Falta Estructura",IF(COUNTIFS(Estructuras!F:F,E242,Estructuras!E:E,0)&gt;0,"Faltan Precios","OK")))</f>
        <v/>
      </c>
      <c r="J242" s="10" t="str">
        <f>IF(I242="Faltan Precios",COUNTIFS(Estructuras!B:B,A242,Estructuras!E:E,0),"")</f>
        <v/>
      </c>
      <c r="K242" s="8" t="str">
        <f t="shared" si="2"/>
        <v/>
      </c>
    </row>
    <row r="243">
      <c r="A243" s="4" t="str">
        <f t="shared" si="1"/>
        <v/>
      </c>
      <c r="F243" s="36" t="str">
        <f t="shared" si="4"/>
        <v/>
      </c>
      <c r="G243" s="11"/>
      <c r="H243" s="11" t="str">
        <f>IF(E243="","",SUMIF(Estructuras!B:B,A243,Estructuras!E:E))</f>
        <v/>
      </c>
      <c r="I243" s="8" t="str">
        <f>IF(E243="","",IF(COUNTIF(Estructuras!F:F,E243)=0,"Falta Estructura",IF(COUNTIFS(Estructuras!F:F,E243,Estructuras!E:E,0)&gt;0,"Faltan Precios","OK")))</f>
        <v/>
      </c>
      <c r="J243" s="10" t="str">
        <f>IF(I243="Faltan Precios",COUNTIFS(Estructuras!B:B,A243,Estructuras!E:E,0),"")</f>
        <v/>
      </c>
      <c r="K243" s="8" t="str">
        <f t="shared" si="2"/>
        <v/>
      </c>
    </row>
    <row r="244">
      <c r="A244" s="4" t="str">
        <f t="shared" si="1"/>
        <v/>
      </c>
      <c r="F244" s="36" t="str">
        <f t="shared" si="4"/>
        <v/>
      </c>
      <c r="G244" s="11"/>
      <c r="H244" s="11" t="str">
        <f>IF(E244="","",SUMIF(Estructuras!B:B,A244,Estructuras!E:E))</f>
        <v/>
      </c>
      <c r="I244" s="8" t="str">
        <f>IF(E244="","",IF(COUNTIF(Estructuras!F:F,E244)=0,"Falta Estructura",IF(COUNTIFS(Estructuras!F:F,E244,Estructuras!E:E,0)&gt;0,"Faltan Precios","OK")))</f>
        <v/>
      </c>
      <c r="J244" s="10" t="str">
        <f>IF(I244="Faltan Precios",COUNTIFS(Estructuras!B:B,A244,Estructuras!E:E,0),"")</f>
        <v/>
      </c>
      <c r="K244" s="8" t="str">
        <f t="shared" si="2"/>
        <v/>
      </c>
    </row>
    <row r="245">
      <c r="A245" s="4" t="str">
        <f t="shared" si="1"/>
        <v/>
      </c>
      <c r="F245" s="36" t="str">
        <f t="shared" si="4"/>
        <v/>
      </c>
      <c r="G245" s="11"/>
      <c r="H245" s="11" t="str">
        <f>IF(E245="","",SUMIF(Estructuras!B:B,A245,Estructuras!E:E))</f>
        <v/>
      </c>
      <c r="I245" s="8" t="str">
        <f>IF(E245="","",IF(COUNTIF(Estructuras!F:F,E245)=0,"Falta Estructura",IF(COUNTIFS(Estructuras!F:F,E245,Estructuras!E:E,0)&gt;0,"Faltan Precios","OK")))</f>
        <v/>
      </c>
      <c r="J245" s="10" t="str">
        <f>IF(I245="Faltan Precios",COUNTIFS(Estructuras!B:B,A245,Estructuras!E:E,0),"")</f>
        <v/>
      </c>
      <c r="K245" s="8" t="str">
        <f t="shared" si="2"/>
        <v/>
      </c>
    </row>
    <row r="246">
      <c r="A246" s="4" t="str">
        <f t="shared" si="1"/>
        <v/>
      </c>
      <c r="F246" s="36" t="str">
        <f t="shared" si="4"/>
        <v/>
      </c>
      <c r="G246" s="11"/>
      <c r="H246" s="11" t="str">
        <f>IF(E246="","",SUMIF(Estructuras!B:B,A246,Estructuras!E:E))</f>
        <v/>
      </c>
      <c r="I246" s="8" t="str">
        <f>IF(E246="","",IF(COUNTIF(Estructuras!F:F,E246)=0,"Falta Estructura",IF(COUNTIFS(Estructuras!F:F,E246,Estructuras!E:E,0)&gt;0,"Faltan Precios","OK")))</f>
        <v/>
      </c>
      <c r="J246" s="10" t="str">
        <f>IF(I246="Faltan Precios",COUNTIFS(Estructuras!B:B,A246,Estructuras!E:E,0),"")</f>
        <v/>
      </c>
      <c r="K246" s="8" t="str">
        <f t="shared" si="2"/>
        <v/>
      </c>
    </row>
    <row r="247">
      <c r="A247" s="4" t="str">
        <f t="shared" si="1"/>
        <v/>
      </c>
      <c r="F247" s="36" t="str">
        <f t="shared" si="4"/>
        <v/>
      </c>
      <c r="G247" s="11"/>
      <c r="H247" s="11" t="str">
        <f>IF(E247="","",SUMIF(Estructuras!B:B,A247,Estructuras!E:E))</f>
        <v/>
      </c>
      <c r="I247" s="8" t="str">
        <f>IF(E247="","",IF(COUNTIF(Estructuras!F:F,E247)=0,"Falta Estructura",IF(COUNTIFS(Estructuras!F:F,E247,Estructuras!E:E,0)&gt;0,"Faltan Precios","OK")))</f>
        <v/>
      </c>
      <c r="J247" s="10" t="str">
        <f>IF(I247="Faltan Precios",COUNTIFS(Estructuras!B:B,A247,Estructuras!E:E,0),"")</f>
        <v/>
      </c>
      <c r="K247" s="8" t="str">
        <f t="shared" si="2"/>
        <v/>
      </c>
    </row>
    <row r="248">
      <c r="A248" s="4" t="str">
        <f t="shared" si="1"/>
        <v/>
      </c>
      <c r="F248" s="36" t="str">
        <f t="shared" si="4"/>
        <v/>
      </c>
      <c r="G248" s="11"/>
      <c r="H248" s="11" t="str">
        <f>IF(E248="","",SUMIF(Estructuras!B:B,A248,Estructuras!E:E))</f>
        <v/>
      </c>
      <c r="I248" s="8" t="str">
        <f>IF(E248="","",IF(COUNTIF(Estructuras!F:F,E248)=0,"Falta Estructura",IF(COUNTIFS(Estructuras!F:F,E248,Estructuras!E:E,0)&gt;0,"Faltan Precios","OK")))</f>
        <v/>
      </c>
      <c r="J248" s="10" t="str">
        <f>IF(I248="Faltan Precios",COUNTIFS(Estructuras!B:B,A248,Estructuras!E:E,0),"")</f>
        <v/>
      </c>
      <c r="K248" s="8" t="str">
        <f t="shared" si="2"/>
        <v/>
      </c>
    </row>
    <row r="249">
      <c r="A249" s="4" t="str">
        <f t="shared" si="1"/>
        <v/>
      </c>
      <c r="F249" s="36" t="str">
        <f t="shared" si="4"/>
        <v/>
      </c>
      <c r="G249" s="11"/>
      <c r="H249" s="11" t="str">
        <f>IF(E249="","",SUMIF(Estructuras!B:B,A249,Estructuras!E:E))</f>
        <v/>
      </c>
      <c r="I249" s="8" t="str">
        <f>IF(E249="","",IF(COUNTIF(Estructuras!F:F,E249)=0,"Falta Estructura",IF(COUNTIFS(Estructuras!F:F,E249,Estructuras!E:E,0)&gt;0,"Faltan Precios","OK")))</f>
        <v/>
      </c>
      <c r="J249" s="10" t="str">
        <f>IF(I249="Faltan Precios",COUNTIFS(Estructuras!B:B,A249,Estructuras!E:E,0),"")</f>
        <v/>
      </c>
      <c r="K249" s="8" t="str">
        <f t="shared" si="2"/>
        <v/>
      </c>
    </row>
    <row r="250">
      <c r="A250" s="4" t="str">
        <f t="shared" si="1"/>
        <v/>
      </c>
      <c r="F250" s="36" t="str">
        <f t="shared" si="4"/>
        <v/>
      </c>
      <c r="G250" s="11"/>
      <c r="H250" s="11" t="str">
        <f>IF(E250="","",SUMIF(Estructuras!B:B,A250,Estructuras!E:E))</f>
        <v/>
      </c>
      <c r="I250" s="8" t="str">
        <f>IF(E250="","",IF(COUNTIF(Estructuras!F:F,E250)=0,"Falta Estructura",IF(COUNTIFS(Estructuras!F:F,E250,Estructuras!E:E,0)&gt;0,"Faltan Precios","OK")))</f>
        <v/>
      </c>
      <c r="J250" s="10" t="str">
        <f>IF(I250="Faltan Precios",COUNTIFS(Estructuras!B:B,A250,Estructuras!E:E,0),"")</f>
        <v/>
      </c>
      <c r="K250" s="8" t="str">
        <f t="shared" si="2"/>
        <v/>
      </c>
    </row>
    <row r="251">
      <c r="A251" s="4" t="str">
        <f t="shared" si="1"/>
        <v/>
      </c>
      <c r="F251" s="36" t="str">
        <f t="shared" si="4"/>
        <v/>
      </c>
      <c r="G251" s="11"/>
      <c r="H251" s="11" t="str">
        <f>IF(E251="","",SUMIF(Estructuras!B:B,A251,Estructuras!E:E))</f>
        <v/>
      </c>
      <c r="I251" s="8" t="str">
        <f>IF(E251="","",IF(COUNTIF(Estructuras!F:F,E251)=0,"Falta Estructura",IF(COUNTIFS(Estructuras!F:F,E251,Estructuras!E:E,0)&gt;0,"Faltan Precios","OK")))</f>
        <v/>
      </c>
      <c r="J251" s="10" t="str">
        <f>IF(I251="Faltan Precios",COUNTIFS(Estructuras!B:B,A251,Estructuras!E:E,0),"")</f>
        <v/>
      </c>
      <c r="K251" s="8" t="str">
        <f t="shared" si="2"/>
        <v/>
      </c>
    </row>
    <row r="252">
      <c r="A252" s="4" t="str">
        <f t="shared" si="1"/>
        <v/>
      </c>
      <c r="F252" s="36" t="str">
        <f t="shared" si="4"/>
        <v/>
      </c>
      <c r="G252" s="11"/>
      <c r="H252" s="11" t="str">
        <f>IF(E252="","",SUMIF(Estructuras!B:B,A252,Estructuras!E:E))</f>
        <v/>
      </c>
      <c r="I252" s="8" t="str">
        <f>IF(E252="","",IF(COUNTIF(Estructuras!F:F,E252)=0,"Falta Estructura",IF(COUNTIFS(Estructuras!F:F,E252,Estructuras!E:E,0)&gt;0,"Faltan Precios","OK")))</f>
        <v/>
      </c>
      <c r="J252" s="10" t="str">
        <f>IF(I252="Faltan Precios",COUNTIFS(Estructuras!B:B,A252,Estructuras!E:E,0),"")</f>
        <v/>
      </c>
      <c r="K252" s="8" t="str">
        <f t="shared" si="2"/>
        <v/>
      </c>
    </row>
    <row r="253">
      <c r="A253" s="4" t="str">
        <f t="shared" si="1"/>
        <v/>
      </c>
      <c r="F253" s="36" t="str">
        <f t="shared" si="4"/>
        <v/>
      </c>
      <c r="G253" s="11"/>
      <c r="H253" s="11" t="str">
        <f>IF(E253="","",SUMIF(Estructuras!B:B,A253,Estructuras!E:E))</f>
        <v/>
      </c>
      <c r="I253" s="8" t="str">
        <f>IF(E253="","",IF(COUNTIF(Estructuras!F:F,E253)=0,"Falta Estructura",IF(COUNTIFS(Estructuras!F:F,E253,Estructuras!E:E,0)&gt;0,"Faltan Precios","OK")))</f>
        <v/>
      </c>
      <c r="J253" s="10" t="str">
        <f>IF(I253="Faltan Precios",COUNTIFS(Estructuras!B:B,A253,Estructuras!E:E,0),"")</f>
        <v/>
      </c>
      <c r="K253" s="8" t="str">
        <f t="shared" si="2"/>
        <v/>
      </c>
    </row>
    <row r="254">
      <c r="A254" s="4" t="str">
        <f t="shared" si="1"/>
        <v/>
      </c>
      <c r="F254" s="36" t="str">
        <f t="shared" si="4"/>
        <v/>
      </c>
      <c r="G254" s="11"/>
      <c r="H254" s="11" t="str">
        <f>IF(E254="","",SUMIF(Estructuras!B:B,A254,Estructuras!E:E))</f>
        <v/>
      </c>
      <c r="I254" s="8" t="str">
        <f>IF(E254="","",IF(COUNTIF(Estructuras!F:F,E254)=0,"Falta Estructura",IF(COUNTIFS(Estructuras!F:F,E254,Estructuras!E:E,0)&gt;0,"Faltan Precios","OK")))</f>
        <v/>
      </c>
      <c r="J254" s="10" t="str">
        <f>IF(I254="Faltan Precios",COUNTIFS(Estructuras!B:B,A254,Estructuras!E:E,0),"")</f>
        <v/>
      </c>
      <c r="K254" s="8" t="str">
        <f t="shared" si="2"/>
        <v/>
      </c>
    </row>
    <row r="255">
      <c r="A255" s="4" t="str">
        <f t="shared" si="1"/>
        <v/>
      </c>
      <c r="F255" s="36" t="str">
        <f t="shared" si="4"/>
        <v/>
      </c>
      <c r="G255" s="11"/>
      <c r="H255" s="11" t="str">
        <f>IF(E255="","",SUMIF(Estructuras!B:B,A255,Estructuras!E:E))</f>
        <v/>
      </c>
      <c r="I255" s="8" t="str">
        <f>IF(E255="","",IF(COUNTIF(Estructuras!F:F,E255)=0,"Falta Estructura",IF(COUNTIFS(Estructuras!F:F,E255,Estructuras!E:E,0)&gt;0,"Faltan Precios","OK")))</f>
        <v/>
      </c>
      <c r="J255" s="10" t="str">
        <f>IF(I255="Faltan Precios",COUNTIFS(Estructuras!B:B,A255,Estructuras!E:E,0),"")</f>
        <v/>
      </c>
      <c r="K255" s="8" t="str">
        <f t="shared" si="2"/>
        <v/>
      </c>
    </row>
    <row r="256">
      <c r="A256" s="4" t="str">
        <f t="shared" si="1"/>
        <v/>
      </c>
      <c r="F256" s="36" t="str">
        <f t="shared" si="4"/>
        <v/>
      </c>
      <c r="G256" s="11"/>
      <c r="H256" s="11" t="str">
        <f>IF(E256="","",SUMIF(Estructuras!B:B,A256,Estructuras!E:E))</f>
        <v/>
      </c>
      <c r="I256" s="8" t="str">
        <f>IF(E256="","",IF(COUNTIF(Estructuras!F:F,E256)=0,"Falta Estructura",IF(COUNTIFS(Estructuras!F:F,E256,Estructuras!E:E,0)&gt;0,"Faltan Precios","OK")))</f>
        <v/>
      </c>
      <c r="J256" s="10" t="str">
        <f>IF(I256="Faltan Precios",COUNTIFS(Estructuras!B:B,A256,Estructuras!E:E,0),"")</f>
        <v/>
      </c>
      <c r="K256" s="8" t="str">
        <f t="shared" si="2"/>
        <v/>
      </c>
    </row>
    <row r="257">
      <c r="A257" s="4" t="str">
        <f t="shared" si="1"/>
        <v/>
      </c>
      <c r="F257" s="36" t="str">
        <f t="shared" si="4"/>
        <v/>
      </c>
      <c r="G257" s="11"/>
      <c r="H257" s="11" t="str">
        <f>IF(E257="","",SUMIF(Estructuras!B:B,A257,Estructuras!E:E))</f>
        <v/>
      </c>
      <c r="I257" s="8" t="str">
        <f>IF(E257="","",IF(COUNTIF(Estructuras!F:F,E257)=0,"Falta Estructura",IF(COUNTIFS(Estructuras!F:F,E257,Estructuras!E:E,0)&gt;0,"Faltan Precios","OK")))</f>
        <v/>
      </c>
      <c r="J257" s="10" t="str">
        <f>IF(I257="Faltan Precios",COUNTIFS(Estructuras!B:B,A257,Estructuras!E:E,0),"")</f>
        <v/>
      </c>
      <c r="K257" s="8" t="str">
        <f t="shared" si="2"/>
        <v/>
      </c>
    </row>
    <row r="258">
      <c r="A258" s="4" t="str">
        <f t="shared" si="1"/>
        <v/>
      </c>
      <c r="F258" s="36" t="str">
        <f t="shared" si="4"/>
        <v/>
      </c>
      <c r="G258" s="11"/>
      <c r="H258" s="11" t="str">
        <f>IF(E258="","",SUMIF(Estructuras!B:B,A258,Estructuras!E:E))</f>
        <v/>
      </c>
      <c r="I258" s="8" t="str">
        <f>IF(E258="","",IF(COUNTIF(Estructuras!F:F,E258)=0,"Falta Estructura",IF(COUNTIFS(Estructuras!F:F,E258,Estructuras!E:E,0)&gt;0,"Faltan Precios","OK")))</f>
        <v/>
      </c>
      <c r="J258" s="10" t="str">
        <f>IF(I258="Faltan Precios",COUNTIFS(Estructuras!B:B,A258,Estructuras!E:E,0),"")</f>
        <v/>
      </c>
      <c r="K258" s="8" t="str">
        <f t="shared" si="2"/>
        <v/>
      </c>
    </row>
    <row r="259">
      <c r="A259" s="4" t="str">
        <f t="shared" si="1"/>
        <v/>
      </c>
      <c r="F259" s="36" t="str">
        <f t="shared" si="4"/>
        <v/>
      </c>
      <c r="G259" s="11"/>
      <c r="H259" s="11" t="str">
        <f>IF(E259="","",SUMIF(Estructuras!B:B,A259,Estructuras!E:E))</f>
        <v/>
      </c>
      <c r="I259" s="8" t="str">
        <f>IF(E259="","",IF(COUNTIF(Estructuras!F:F,E259)=0,"Falta Estructura",IF(COUNTIFS(Estructuras!F:F,E259,Estructuras!E:E,0)&gt;0,"Faltan Precios","OK")))</f>
        <v/>
      </c>
      <c r="J259" s="10" t="str">
        <f>IF(I259="Faltan Precios",COUNTIFS(Estructuras!B:B,A259,Estructuras!E:E,0),"")</f>
        <v/>
      </c>
      <c r="K259" s="8" t="str">
        <f t="shared" si="2"/>
        <v/>
      </c>
    </row>
    <row r="260">
      <c r="A260" s="4" t="str">
        <f t="shared" si="1"/>
        <v/>
      </c>
      <c r="F260" s="36" t="str">
        <f t="shared" si="4"/>
        <v/>
      </c>
      <c r="G260" s="11"/>
      <c r="H260" s="11" t="str">
        <f>IF(E260="","",SUMIF(Estructuras!B:B,A260,Estructuras!E:E))</f>
        <v/>
      </c>
      <c r="I260" s="8" t="str">
        <f>IF(E260="","",IF(COUNTIF(Estructuras!F:F,E260)=0,"Falta Estructura",IF(COUNTIFS(Estructuras!F:F,E260,Estructuras!E:E,0)&gt;0,"Faltan Precios","OK")))</f>
        <v/>
      </c>
      <c r="J260" s="10" t="str">
        <f>IF(I260="Faltan Precios",COUNTIFS(Estructuras!B:B,A260,Estructuras!E:E,0),"")</f>
        <v/>
      </c>
      <c r="K260" s="8" t="str">
        <f t="shared" si="2"/>
        <v/>
      </c>
    </row>
    <row r="261">
      <c r="A261" s="4" t="str">
        <f t="shared" si="1"/>
        <v/>
      </c>
      <c r="F261" s="36" t="str">
        <f t="shared" si="4"/>
        <v/>
      </c>
      <c r="G261" s="11"/>
      <c r="H261" s="11" t="str">
        <f>IF(E261="","",SUMIF(Estructuras!B:B,A261,Estructuras!E:E))</f>
        <v/>
      </c>
      <c r="I261" s="8" t="str">
        <f>IF(E261="","",IF(COUNTIF(Estructuras!F:F,E261)=0,"Falta Estructura",IF(COUNTIFS(Estructuras!F:F,E261,Estructuras!E:E,0)&gt;0,"Faltan Precios","OK")))</f>
        <v/>
      </c>
      <c r="J261" s="10" t="str">
        <f>IF(I261="Faltan Precios",COUNTIFS(Estructuras!B:B,A261,Estructuras!E:E,0),"")</f>
        <v/>
      </c>
      <c r="K261" s="8" t="str">
        <f t="shared" si="2"/>
        <v/>
      </c>
    </row>
    <row r="262">
      <c r="A262" s="4" t="str">
        <f t="shared" si="1"/>
        <v/>
      </c>
      <c r="F262" s="36" t="str">
        <f t="shared" si="4"/>
        <v/>
      </c>
      <c r="G262" s="11"/>
      <c r="H262" s="11" t="str">
        <f>IF(E262="","",SUMIF(Estructuras!B:B,A262,Estructuras!E:E))</f>
        <v/>
      </c>
      <c r="I262" s="8" t="str">
        <f>IF(E262="","",IF(COUNTIF(Estructuras!F:F,E262)=0,"Falta Estructura",IF(COUNTIFS(Estructuras!F:F,E262,Estructuras!E:E,0)&gt;0,"Faltan Precios","OK")))</f>
        <v/>
      </c>
      <c r="J262" s="10" t="str">
        <f>IF(I262="Faltan Precios",COUNTIFS(Estructuras!B:B,A262,Estructuras!E:E,0),"")</f>
        <v/>
      </c>
      <c r="K262" s="8" t="str">
        <f t="shared" si="2"/>
        <v/>
      </c>
    </row>
    <row r="263">
      <c r="A263" s="4" t="str">
        <f t="shared" si="1"/>
        <v/>
      </c>
      <c r="F263" s="36" t="str">
        <f t="shared" si="4"/>
        <v/>
      </c>
      <c r="G263" s="11"/>
      <c r="H263" s="11" t="str">
        <f>IF(E263="","",SUMIF(Estructuras!B:B,A263,Estructuras!E:E))</f>
        <v/>
      </c>
      <c r="I263" s="8" t="str">
        <f>IF(E263="","",IF(COUNTIF(Estructuras!F:F,E263)=0,"Falta Estructura",IF(COUNTIFS(Estructuras!F:F,E263,Estructuras!E:E,0)&gt;0,"Faltan Precios","OK")))</f>
        <v/>
      </c>
      <c r="J263" s="10" t="str">
        <f>IF(I263="Faltan Precios",COUNTIFS(Estructuras!B:B,A263,Estructuras!E:E,0),"")</f>
        <v/>
      </c>
      <c r="K263" s="8" t="str">
        <f t="shared" si="2"/>
        <v/>
      </c>
    </row>
    <row r="264">
      <c r="A264" s="4" t="str">
        <f t="shared" si="1"/>
        <v/>
      </c>
      <c r="F264" s="36" t="str">
        <f t="shared" si="4"/>
        <v/>
      </c>
      <c r="G264" s="11"/>
      <c r="H264" s="11" t="str">
        <f>IF(E264="","",SUMIF(Estructuras!B:B,A264,Estructuras!E:E))</f>
        <v/>
      </c>
      <c r="I264" s="8" t="str">
        <f>IF(E264="","",IF(COUNTIF(Estructuras!F:F,E264)=0,"Falta Estructura",IF(COUNTIFS(Estructuras!F:F,E264,Estructuras!E:E,0)&gt;0,"Faltan Precios","OK")))</f>
        <v/>
      </c>
      <c r="J264" s="10" t="str">
        <f>IF(I264="Faltan Precios",COUNTIFS(Estructuras!B:B,A264,Estructuras!E:E,0),"")</f>
        <v/>
      </c>
      <c r="K264" s="8" t="str">
        <f t="shared" si="2"/>
        <v/>
      </c>
    </row>
    <row r="265">
      <c r="A265" s="4" t="str">
        <f t="shared" si="1"/>
        <v/>
      </c>
      <c r="F265" s="36" t="str">
        <f t="shared" si="4"/>
        <v/>
      </c>
      <c r="G265" s="11"/>
      <c r="H265" s="11" t="str">
        <f>IF(E265="","",SUMIF(Estructuras!B:B,A265,Estructuras!E:E))</f>
        <v/>
      </c>
      <c r="I265" s="8" t="str">
        <f>IF(E265="","",IF(COUNTIF(Estructuras!F:F,E265)=0,"Falta Estructura",IF(COUNTIFS(Estructuras!F:F,E265,Estructuras!E:E,0)&gt;0,"Faltan Precios","OK")))</f>
        <v/>
      </c>
      <c r="J265" s="10" t="str">
        <f>IF(I265="Faltan Precios",COUNTIFS(Estructuras!B:B,A265,Estructuras!E:E,0),"")</f>
        <v/>
      </c>
      <c r="K265" s="8" t="str">
        <f t="shared" si="2"/>
        <v/>
      </c>
    </row>
    <row r="266">
      <c r="A266" s="4" t="str">
        <f t="shared" si="1"/>
        <v/>
      </c>
      <c r="F266" s="36" t="str">
        <f t="shared" si="4"/>
        <v/>
      </c>
      <c r="G266" s="11"/>
      <c r="H266" s="11" t="str">
        <f>IF(E266="","",SUMIF(Estructuras!B:B,A266,Estructuras!E:E))</f>
        <v/>
      </c>
      <c r="I266" s="8" t="str">
        <f>IF(E266="","",IF(COUNTIF(Estructuras!F:F,E266)=0,"Falta Estructura",IF(COUNTIFS(Estructuras!F:F,E266,Estructuras!E:E,0)&gt;0,"Faltan Precios","OK")))</f>
        <v/>
      </c>
      <c r="J266" s="10" t="str">
        <f>IF(I266="Faltan Precios",COUNTIFS(Estructuras!B:B,A266,Estructuras!E:E,0),"")</f>
        <v/>
      </c>
      <c r="K266" s="8" t="str">
        <f t="shared" si="2"/>
        <v/>
      </c>
    </row>
    <row r="267">
      <c r="A267" s="4" t="str">
        <f t="shared" si="1"/>
        <v/>
      </c>
      <c r="F267" s="36" t="str">
        <f t="shared" si="4"/>
        <v/>
      </c>
      <c r="G267" s="11"/>
      <c r="H267" s="11" t="str">
        <f>IF(E267="","",SUMIF(Estructuras!B:B,A267,Estructuras!E:E))</f>
        <v/>
      </c>
      <c r="I267" s="8" t="str">
        <f>IF(E267="","",IF(COUNTIF(Estructuras!F:F,E267)=0,"Falta Estructura",IF(COUNTIFS(Estructuras!F:F,E267,Estructuras!E:E,0)&gt;0,"Faltan Precios","OK")))</f>
        <v/>
      </c>
      <c r="J267" s="10" t="str">
        <f>IF(I267="Faltan Precios",COUNTIFS(Estructuras!B:B,A267,Estructuras!E:E,0),"")</f>
        <v/>
      </c>
      <c r="K267" s="8" t="str">
        <f t="shared" si="2"/>
        <v/>
      </c>
    </row>
    <row r="268">
      <c r="A268" s="4" t="str">
        <f t="shared" si="1"/>
        <v/>
      </c>
      <c r="F268" s="36" t="str">
        <f t="shared" si="4"/>
        <v/>
      </c>
      <c r="G268" s="11"/>
      <c r="H268" s="11" t="str">
        <f>IF(E268="","",SUMIF(Estructuras!B:B,A268,Estructuras!E:E))</f>
        <v/>
      </c>
      <c r="I268" s="8" t="str">
        <f>IF(E268="","",IF(COUNTIF(Estructuras!F:F,E268)=0,"Falta Estructura",IF(COUNTIFS(Estructuras!F:F,E268,Estructuras!E:E,0)&gt;0,"Faltan Precios","OK")))</f>
        <v/>
      </c>
      <c r="J268" s="10" t="str">
        <f>IF(I268="Faltan Precios",COUNTIFS(Estructuras!B:B,A268,Estructuras!E:E,0),"")</f>
        <v/>
      </c>
      <c r="K268" s="8" t="str">
        <f t="shared" si="2"/>
        <v/>
      </c>
    </row>
    <row r="269">
      <c r="A269" s="4" t="str">
        <f t="shared" si="1"/>
        <v/>
      </c>
      <c r="F269" s="36" t="str">
        <f t="shared" si="4"/>
        <v/>
      </c>
      <c r="G269" s="11"/>
      <c r="H269" s="11" t="str">
        <f>IF(E269="","",SUMIF(Estructuras!B:B,A269,Estructuras!E:E))</f>
        <v/>
      </c>
      <c r="I269" s="8" t="str">
        <f>IF(E269="","",IF(COUNTIF(Estructuras!F:F,E269)=0,"Falta Estructura",IF(COUNTIFS(Estructuras!F:F,E269,Estructuras!E:E,0)&gt;0,"Faltan Precios","OK")))</f>
        <v/>
      </c>
      <c r="J269" s="10" t="str">
        <f>IF(I269="Faltan Precios",COUNTIFS(Estructuras!B:B,A269,Estructuras!E:E,0),"")</f>
        <v/>
      </c>
      <c r="K269" s="8" t="str">
        <f t="shared" si="2"/>
        <v/>
      </c>
    </row>
    <row r="270">
      <c r="A270" s="4" t="str">
        <f t="shared" si="1"/>
        <v/>
      </c>
      <c r="F270" s="36" t="str">
        <f t="shared" si="4"/>
        <v/>
      </c>
      <c r="G270" s="11"/>
      <c r="H270" s="11" t="str">
        <f>IF(E270="","",SUMIF(Estructuras!B:B,A270,Estructuras!E:E))</f>
        <v/>
      </c>
      <c r="I270" s="8" t="str">
        <f>IF(E270="","",IF(COUNTIF(Estructuras!F:F,E270)=0,"Falta Estructura",IF(COUNTIFS(Estructuras!F:F,E270,Estructuras!E:E,0)&gt;0,"Faltan Precios","OK")))</f>
        <v/>
      </c>
      <c r="J270" s="10" t="str">
        <f>IF(I270="Faltan Precios",COUNTIFS(Estructuras!B:B,A270,Estructuras!E:E,0),"")</f>
        <v/>
      </c>
      <c r="K270" s="8" t="str">
        <f t="shared" si="2"/>
        <v/>
      </c>
    </row>
    <row r="271">
      <c r="A271" s="4" t="str">
        <f t="shared" si="1"/>
        <v/>
      </c>
      <c r="F271" s="36" t="str">
        <f t="shared" si="4"/>
        <v/>
      </c>
      <c r="G271" s="11"/>
      <c r="H271" s="11" t="str">
        <f>IF(E271="","",SUMIF(Estructuras!B:B,A271,Estructuras!E:E))</f>
        <v/>
      </c>
      <c r="I271" s="8" t="str">
        <f>IF(E271="","",IF(COUNTIF(Estructuras!F:F,E271)=0,"Falta Estructura",IF(COUNTIFS(Estructuras!F:F,E271,Estructuras!E:E,0)&gt;0,"Faltan Precios","OK")))</f>
        <v/>
      </c>
      <c r="J271" s="10" t="str">
        <f>IF(I271="Faltan Precios",COUNTIFS(Estructuras!B:B,A271,Estructuras!E:E,0),"")</f>
        <v/>
      </c>
      <c r="K271" s="8" t="str">
        <f t="shared" si="2"/>
        <v/>
      </c>
    </row>
    <row r="272">
      <c r="A272" s="4" t="str">
        <f t="shared" si="1"/>
        <v/>
      </c>
      <c r="F272" s="36" t="str">
        <f t="shared" si="4"/>
        <v/>
      </c>
      <c r="G272" s="11"/>
      <c r="H272" s="11" t="str">
        <f>IF(E272="","",SUMIF(Estructuras!B:B,A272,Estructuras!E:E))</f>
        <v/>
      </c>
      <c r="I272" s="8" t="str">
        <f>IF(E272="","",IF(COUNTIF(Estructuras!F:F,E272)=0,"Falta Estructura",IF(COUNTIFS(Estructuras!F:F,E272,Estructuras!E:E,0)&gt;0,"Faltan Precios","OK")))</f>
        <v/>
      </c>
      <c r="J272" s="10" t="str">
        <f>IF(I272="Faltan Precios",COUNTIFS(Estructuras!B:B,A272,Estructuras!E:E,0),"")</f>
        <v/>
      </c>
      <c r="K272" s="8" t="str">
        <f t="shared" si="2"/>
        <v/>
      </c>
    </row>
    <row r="273">
      <c r="A273" s="4" t="str">
        <f t="shared" si="1"/>
        <v/>
      </c>
      <c r="F273" s="36" t="str">
        <f t="shared" si="4"/>
        <v/>
      </c>
      <c r="G273" s="11"/>
      <c r="H273" s="11" t="str">
        <f>IF(E273="","",SUMIF(Estructuras!B:B,A273,Estructuras!E:E))</f>
        <v/>
      </c>
      <c r="I273" s="8" t="str">
        <f>IF(E273="","",IF(COUNTIF(Estructuras!F:F,E273)=0,"Falta Estructura",IF(COUNTIFS(Estructuras!F:F,E273,Estructuras!E:E,0)&gt;0,"Faltan Precios","OK")))</f>
        <v/>
      </c>
      <c r="J273" s="10" t="str">
        <f>IF(I273="Faltan Precios",COUNTIFS(Estructuras!B:B,A273,Estructuras!E:E,0),"")</f>
        <v/>
      </c>
      <c r="K273" s="8" t="str">
        <f t="shared" si="2"/>
        <v/>
      </c>
    </row>
    <row r="274">
      <c r="A274" s="4" t="str">
        <f t="shared" si="1"/>
        <v/>
      </c>
      <c r="F274" s="36" t="str">
        <f t="shared" si="4"/>
        <v/>
      </c>
      <c r="G274" s="11"/>
      <c r="H274" s="11" t="str">
        <f>IF(E274="","",SUMIF(Estructuras!B:B,A274,Estructuras!E:E))</f>
        <v/>
      </c>
      <c r="I274" s="8" t="str">
        <f>IF(E274="","",IF(COUNTIF(Estructuras!F:F,E274)=0,"Falta Estructura",IF(COUNTIFS(Estructuras!F:F,E274,Estructuras!E:E,0)&gt;0,"Faltan Precios","OK")))</f>
        <v/>
      </c>
      <c r="J274" s="10" t="str">
        <f>IF(I274="Faltan Precios",COUNTIFS(Estructuras!B:B,A274,Estructuras!E:E,0),"")</f>
        <v/>
      </c>
      <c r="K274" s="8" t="str">
        <f t="shared" si="2"/>
        <v/>
      </c>
    </row>
    <row r="275">
      <c r="A275" s="4" t="str">
        <f t="shared" si="1"/>
        <v/>
      </c>
      <c r="F275" s="36" t="str">
        <f t="shared" si="4"/>
        <v/>
      </c>
      <c r="G275" s="11"/>
      <c r="H275" s="11" t="str">
        <f>IF(E275="","",SUMIF(Estructuras!B:B,A275,Estructuras!E:E))</f>
        <v/>
      </c>
      <c r="I275" s="8" t="str">
        <f>IF(E275="","",IF(COUNTIF(Estructuras!F:F,E275)=0,"Falta Estructura",IF(COUNTIFS(Estructuras!F:F,E275,Estructuras!E:E,0)&gt;0,"Faltan Precios","OK")))</f>
        <v/>
      </c>
      <c r="J275" s="10" t="str">
        <f>IF(I275="Faltan Precios",COUNTIFS(Estructuras!B:B,A275,Estructuras!E:E,0),"")</f>
        <v/>
      </c>
      <c r="K275" s="8" t="str">
        <f t="shared" si="2"/>
        <v/>
      </c>
    </row>
    <row r="276">
      <c r="A276" s="4" t="str">
        <f t="shared" si="1"/>
        <v/>
      </c>
      <c r="F276" s="36" t="str">
        <f t="shared" si="4"/>
        <v/>
      </c>
      <c r="G276" s="11"/>
      <c r="H276" s="11" t="str">
        <f>IF(E276="","",SUMIF(Estructuras!B:B,A276,Estructuras!E:E))</f>
        <v/>
      </c>
      <c r="I276" s="8" t="str">
        <f>IF(E276="","",IF(COUNTIF(Estructuras!F:F,E276)=0,"Falta Estructura",IF(COUNTIFS(Estructuras!F:F,E276,Estructuras!E:E,0)&gt;0,"Faltan Precios","OK")))</f>
        <v/>
      </c>
      <c r="J276" s="10" t="str">
        <f>IF(I276="Faltan Precios",COUNTIFS(Estructuras!B:B,A276,Estructuras!E:E,0),"")</f>
        <v/>
      </c>
      <c r="K276" s="8" t="str">
        <f t="shared" si="2"/>
        <v/>
      </c>
    </row>
    <row r="277">
      <c r="A277" s="4" t="str">
        <f t="shared" si="1"/>
        <v/>
      </c>
      <c r="F277" s="36" t="str">
        <f t="shared" si="4"/>
        <v/>
      </c>
      <c r="G277" s="11"/>
      <c r="H277" s="11" t="str">
        <f>IF(E277="","",SUMIF(Estructuras!B:B,A277,Estructuras!E:E))</f>
        <v/>
      </c>
      <c r="I277" s="8" t="str">
        <f>IF(E277="","",IF(COUNTIF(Estructuras!F:F,E277)=0,"Falta Estructura",IF(COUNTIFS(Estructuras!F:F,E277,Estructuras!E:E,0)&gt;0,"Faltan Precios","OK")))</f>
        <v/>
      </c>
      <c r="J277" s="10" t="str">
        <f>IF(I277="Faltan Precios",COUNTIFS(Estructuras!B:B,A277,Estructuras!E:E,0),"")</f>
        <v/>
      </c>
      <c r="K277" s="8" t="str">
        <f t="shared" si="2"/>
        <v/>
      </c>
    </row>
    <row r="278">
      <c r="A278" s="4" t="str">
        <f t="shared" si="1"/>
        <v/>
      </c>
      <c r="F278" s="36" t="str">
        <f t="shared" si="4"/>
        <v/>
      </c>
      <c r="G278" s="11"/>
      <c r="H278" s="11" t="str">
        <f>IF(E278="","",SUMIF(Estructuras!B:B,A278,Estructuras!E:E))</f>
        <v/>
      </c>
      <c r="I278" s="8" t="str">
        <f>IF(E278="","",IF(COUNTIF(Estructuras!F:F,E278)=0,"Falta Estructura",IF(COUNTIFS(Estructuras!F:F,E278,Estructuras!E:E,0)&gt;0,"Faltan Precios","OK")))</f>
        <v/>
      </c>
      <c r="J278" s="10" t="str">
        <f>IF(I278="Faltan Precios",COUNTIFS(Estructuras!B:B,A278,Estructuras!E:E,0),"")</f>
        <v/>
      </c>
      <c r="K278" s="8" t="str">
        <f t="shared" si="2"/>
        <v/>
      </c>
    </row>
    <row r="279">
      <c r="A279" s="4" t="str">
        <f t="shared" si="1"/>
        <v/>
      </c>
      <c r="F279" s="36" t="str">
        <f t="shared" si="4"/>
        <v/>
      </c>
      <c r="G279" s="11"/>
      <c r="H279" s="11" t="str">
        <f>IF(E279="","",SUMIF(Estructuras!B:B,A279,Estructuras!E:E))</f>
        <v/>
      </c>
      <c r="I279" s="8" t="str">
        <f>IF(E279="","",IF(COUNTIF(Estructuras!F:F,E279)=0,"Falta Estructura",IF(COUNTIFS(Estructuras!F:F,E279,Estructuras!E:E,0)&gt;0,"Faltan Precios","OK")))</f>
        <v/>
      </c>
      <c r="J279" s="10" t="str">
        <f>IF(I279="Faltan Precios",COUNTIFS(Estructuras!B:B,A279,Estructuras!E:E,0),"")</f>
        <v/>
      </c>
      <c r="K279" s="8" t="str">
        <f t="shared" si="2"/>
        <v/>
      </c>
    </row>
    <row r="280">
      <c r="A280" s="4" t="str">
        <f t="shared" si="1"/>
        <v/>
      </c>
      <c r="F280" s="36" t="str">
        <f t="shared" si="4"/>
        <v/>
      </c>
      <c r="G280" s="11"/>
      <c r="H280" s="11" t="str">
        <f>IF(E280="","",SUMIF(Estructuras!B:B,A280,Estructuras!E:E))</f>
        <v/>
      </c>
      <c r="I280" s="8" t="str">
        <f>IF(E280="","",IF(COUNTIF(Estructuras!F:F,E280)=0,"Falta Estructura",IF(COUNTIFS(Estructuras!F:F,E280,Estructuras!E:E,0)&gt;0,"Faltan Precios","OK")))</f>
        <v/>
      </c>
      <c r="J280" s="10" t="str">
        <f>IF(I280="Faltan Precios",COUNTIFS(Estructuras!B:B,A280,Estructuras!E:E,0),"")</f>
        <v/>
      </c>
      <c r="K280" s="8" t="str">
        <f t="shared" si="2"/>
        <v/>
      </c>
    </row>
    <row r="281">
      <c r="A281" s="4" t="str">
        <f t="shared" si="1"/>
        <v/>
      </c>
      <c r="F281" s="36" t="str">
        <f t="shared" si="4"/>
        <v/>
      </c>
      <c r="G281" s="11"/>
      <c r="H281" s="11" t="str">
        <f>IF(E281="","",SUMIF(Estructuras!B:B,A281,Estructuras!E:E))</f>
        <v/>
      </c>
      <c r="I281" s="8" t="str">
        <f>IF(E281="","",IF(COUNTIF(Estructuras!F:F,E281)=0,"Falta Estructura",IF(COUNTIFS(Estructuras!F:F,E281,Estructuras!E:E,0)&gt;0,"Faltan Precios","OK")))</f>
        <v/>
      </c>
      <c r="J281" s="10" t="str">
        <f>IF(I281="Faltan Precios",COUNTIFS(Estructuras!B:B,A281,Estructuras!E:E,0),"")</f>
        <v/>
      </c>
      <c r="K281" s="8" t="str">
        <f t="shared" si="2"/>
        <v/>
      </c>
    </row>
    <row r="282">
      <c r="A282" s="4" t="str">
        <f t="shared" si="1"/>
        <v/>
      </c>
      <c r="F282" s="36" t="str">
        <f t="shared" si="4"/>
        <v/>
      </c>
      <c r="G282" s="11"/>
      <c r="H282" s="11" t="str">
        <f>IF(E282="","",SUMIF(Estructuras!B:B,A282,Estructuras!E:E))</f>
        <v/>
      </c>
      <c r="I282" s="8" t="str">
        <f>IF(E282="","",IF(COUNTIF(Estructuras!F:F,E282)=0,"Falta Estructura",IF(COUNTIFS(Estructuras!F:F,E282,Estructuras!E:E,0)&gt;0,"Faltan Precios","OK")))</f>
        <v/>
      </c>
      <c r="J282" s="10" t="str">
        <f>IF(I282="Faltan Precios",COUNTIFS(Estructuras!B:B,A282,Estructuras!E:E,0),"")</f>
        <v/>
      </c>
      <c r="K282" s="8" t="str">
        <f t="shared" si="2"/>
        <v/>
      </c>
    </row>
    <row r="283">
      <c r="A283" s="4" t="str">
        <f t="shared" si="1"/>
        <v/>
      </c>
      <c r="F283" s="36" t="str">
        <f t="shared" si="4"/>
        <v/>
      </c>
      <c r="G283" s="11"/>
      <c r="H283" s="11" t="str">
        <f>IF(E283="","",SUMIF(Estructuras!B:B,A283,Estructuras!E:E))</f>
        <v/>
      </c>
      <c r="I283" s="8" t="str">
        <f>IF(E283="","",IF(COUNTIF(Estructuras!F:F,E283)=0,"Falta Estructura",IF(COUNTIFS(Estructuras!F:F,E283,Estructuras!E:E,0)&gt;0,"Faltan Precios","OK")))</f>
        <v/>
      </c>
      <c r="J283" s="10" t="str">
        <f>IF(I283="Faltan Precios",COUNTIFS(Estructuras!B:B,A283,Estructuras!E:E,0),"")</f>
        <v/>
      </c>
      <c r="K283" s="8" t="str">
        <f t="shared" si="2"/>
        <v/>
      </c>
    </row>
    <row r="284">
      <c r="A284" s="4" t="str">
        <f t="shared" si="1"/>
        <v/>
      </c>
      <c r="F284" s="36" t="str">
        <f t="shared" si="4"/>
        <v/>
      </c>
      <c r="G284" s="11"/>
      <c r="H284" s="11" t="str">
        <f>IF(E284="","",SUMIF(Estructuras!B:B,A284,Estructuras!E:E))</f>
        <v/>
      </c>
      <c r="I284" s="8" t="str">
        <f>IF(E284="","",IF(COUNTIF(Estructuras!F:F,E284)=0,"Falta Estructura",IF(COUNTIFS(Estructuras!F:F,E284,Estructuras!E:E,0)&gt;0,"Faltan Precios","OK")))</f>
        <v/>
      </c>
      <c r="J284" s="10" t="str">
        <f>IF(I284="Faltan Precios",COUNTIFS(Estructuras!B:B,A284,Estructuras!E:E,0),"")</f>
        <v/>
      </c>
      <c r="K284" s="8" t="str">
        <f t="shared" si="2"/>
        <v/>
      </c>
    </row>
    <row r="285">
      <c r="A285" s="4" t="str">
        <f t="shared" si="1"/>
        <v/>
      </c>
      <c r="F285" s="36" t="str">
        <f t="shared" si="4"/>
        <v/>
      </c>
      <c r="G285" s="11"/>
      <c r="H285" s="11" t="str">
        <f>IF(E285="","",SUMIF(Estructuras!B:B,A285,Estructuras!E:E))</f>
        <v/>
      </c>
      <c r="I285" s="8" t="str">
        <f>IF(E285="","",IF(COUNTIF(Estructuras!F:F,E285)=0,"Falta Estructura",IF(COUNTIFS(Estructuras!F:F,E285,Estructuras!E:E,0)&gt;0,"Faltan Precios","OK")))</f>
        <v/>
      </c>
      <c r="J285" s="10" t="str">
        <f>IF(I285="Faltan Precios",COUNTIFS(Estructuras!B:B,A285,Estructuras!E:E,0),"")</f>
        <v/>
      </c>
      <c r="K285" s="8" t="str">
        <f t="shared" si="2"/>
        <v/>
      </c>
    </row>
    <row r="286">
      <c r="A286" s="4" t="str">
        <f t="shared" si="1"/>
        <v/>
      </c>
      <c r="F286" s="36" t="str">
        <f t="shared" si="4"/>
        <v/>
      </c>
      <c r="G286" s="11"/>
      <c r="H286" s="11" t="str">
        <f>IF(E286="","",SUMIF(Estructuras!B:B,A286,Estructuras!E:E))</f>
        <v/>
      </c>
      <c r="I286" s="8" t="str">
        <f>IF(E286="","",IF(COUNTIF(Estructuras!F:F,E286)=0,"Falta Estructura",IF(COUNTIFS(Estructuras!F:F,E286,Estructuras!E:E,0)&gt;0,"Faltan Precios","OK")))</f>
        <v/>
      </c>
      <c r="J286" s="10" t="str">
        <f>IF(I286="Faltan Precios",COUNTIFS(Estructuras!B:B,A286,Estructuras!E:E,0),"")</f>
        <v/>
      </c>
      <c r="K286" s="8" t="str">
        <f t="shared" si="2"/>
        <v/>
      </c>
    </row>
    <row r="287">
      <c r="A287" s="4" t="str">
        <f t="shared" si="1"/>
        <v/>
      </c>
      <c r="F287" s="36" t="str">
        <f t="shared" si="4"/>
        <v/>
      </c>
      <c r="G287" s="11"/>
      <c r="H287" s="11" t="str">
        <f>IF(E287="","",SUMIF(Estructuras!B:B,A287,Estructuras!E:E))</f>
        <v/>
      </c>
      <c r="I287" s="8" t="str">
        <f>IF(E287="","",IF(COUNTIF(Estructuras!F:F,E287)=0,"Falta Estructura",IF(COUNTIFS(Estructuras!F:F,E287,Estructuras!E:E,0)&gt;0,"Faltan Precios","OK")))</f>
        <v/>
      </c>
      <c r="J287" s="10" t="str">
        <f>IF(I287="Faltan Precios",COUNTIFS(Estructuras!B:B,A287,Estructuras!E:E,0),"")</f>
        <v/>
      </c>
      <c r="K287" s="8" t="str">
        <f t="shared" si="2"/>
        <v/>
      </c>
    </row>
    <row r="288">
      <c r="A288" s="4" t="str">
        <f t="shared" si="1"/>
        <v/>
      </c>
      <c r="F288" s="36" t="str">
        <f t="shared" si="4"/>
        <v/>
      </c>
      <c r="G288" s="11"/>
      <c r="H288" s="11" t="str">
        <f>IF(E288="","",SUMIF(Estructuras!B:B,A288,Estructuras!E:E))</f>
        <v/>
      </c>
      <c r="I288" s="8" t="str">
        <f>IF(E288="","",IF(COUNTIF(Estructuras!F:F,E288)=0,"Falta Estructura",IF(COUNTIFS(Estructuras!F:F,E288,Estructuras!E:E,0)&gt;0,"Faltan Precios","OK")))</f>
        <v/>
      </c>
      <c r="J288" s="10" t="str">
        <f>IF(I288="Faltan Precios",COUNTIFS(Estructuras!B:B,A288,Estructuras!E:E,0),"")</f>
        <v/>
      </c>
      <c r="K288" s="8" t="str">
        <f t="shared" si="2"/>
        <v/>
      </c>
    </row>
    <row r="289">
      <c r="A289" s="4" t="str">
        <f t="shared" si="1"/>
        <v/>
      </c>
      <c r="F289" s="36" t="str">
        <f t="shared" si="4"/>
        <v/>
      </c>
      <c r="G289" s="11"/>
      <c r="H289" s="11" t="str">
        <f>IF(E289="","",SUMIF(Estructuras!B:B,A289,Estructuras!E:E))</f>
        <v/>
      </c>
      <c r="I289" s="8" t="str">
        <f>IF(E289="","",IF(COUNTIF(Estructuras!F:F,E289)=0,"Falta Estructura",IF(COUNTIFS(Estructuras!F:F,E289,Estructuras!E:E,0)&gt;0,"Faltan Precios","OK")))</f>
        <v/>
      </c>
      <c r="J289" s="10" t="str">
        <f>IF(I289="Faltan Precios",COUNTIFS(Estructuras!B:B,A289,Estructuras!E:E,0),"")</f>
        <v/>
      </c>
      <c r="K289" s="8" t="str">
        <f t="shared" si="2"/>
        <v/>
      </c>
    </row>
    <row r="290">
      <c r="A290" s="4" t="str">
        <f t="shared" si="1"/>
        <v/>
      </c>
      <c r="F290" s="36" t="str">
        <f t="shared" si="4"/>
        <v/>
      </c>
      <c r="G290" s="11"/>
      <c r="H290" s="11" t="str">
        <f>IF(E290="","",SUMIF(Estructuras!B:B,A290,Estructuras!E:E))</f>
        <v/>
      </c>
      <c r="I290" s="8" t="str">
        <f>IF(E290="","",IF(COUNTIF(Estructuras!F:F,E290)=0,"Falta Estructura",IF(COUNTIFS(Estructuras!F:F,E290,Estructuras!E:E,0)&gt;0,"Faltan Precios","OK")))</f>
        <v/>
      </c>
      <c r="J290" s="10" t="str">
        <f>IF(I290="Faltan Precios",COUNTIFS(Estructuras!B:B,A290,Estructuras!E:E,0),"")</f>
        <v/>
      </c>
      <c r="K290" s="8" t="str">
        <f t="shared" si="2"/>
        <v/>
      </c>
    </row>
    <row r="291">
      <c r="A291" s="4" t="str">
        <f t="shared" si="1"/>
        <v/>
      </c>
      <c r="F291" s="36" t="str">
        <f t="shared" si="4"/>
        <v/>
      </c>
      <c r="G291" s="11"/>
      <c r="H291" s="11" t="str">
        <f>IF(E291="","",SUMIF(Estructuras!B:B,A291,Estructuras!E:E))</f>
        <v/>
      </c>
      <c r="I291" s="8" t="str">
        <f>IF(E291="","",IF(COUNTIF(Estructuras!F:F,E291)=0,"Falta Estructura",IF(COUNTIFS(Estructuras!F:F,E291,Estructuras!E:E,0)&gt;0,"Faltan Precios","OK")))</f>
        <v/>
      </c>
      <c r="J291" s="10" t="str">
        <f>IF(I291="Faltan Precios",COUNTIFS(Estructuras!B:B,A291,Estructuras!E:E,0),"")</f>
        <v/>
      </c>
      <c r="K291" s="8" t="str">
        <f t="shared" si="2"/>
        <v/>
      </c>
    </row>
    <row r="292">
      <c r="A292" s="4" t="str">
        <f t="shared" si="1"/>
        <v/>
      </c>
      <c r="F292" s="36" t="str">
        <f t="shared" si="4"/>
        <v/>
      </c>
      <c r="G292" s="11"/>
      <c r="H292" s="11" t="str">
        <f>IF(E292="","",SUMIF(Estructuras!B:B,A292,Estructuras!E:E))</f>
        <v/>
      </c>
      <c r="I292" s="8" t="str">
        <f>IF(E292="","",IF(COUNTIF(Estructuras!F:F,E292)=0,"Falta Estructura",IF(COUNTIFS(Estructuras!F:F,E292,Estructuras!E:E,0)&gt;0,"Faltan Precios","OK")))</f>
        <v/>
      </c>
      <c r="J292" s="10" t="str">
        <f>IF(I292="Faltan Precios",COUNTIFS(Estructuras!B:B,A292,Estructuras!E:E,0),"")</f>
        <v/>
      </c>
      <c r="K292" s="8" t="str">
        <f t="shared" si="2"/>
        <v/>
      </c>
    </row>
    <row r="293">
      <c r="A293" s="4" t="str">
        <f t="shared" si="1"/>
        <v/>
      </c>
      <c r="F293" s="36" t="str">
        <f t="shared" si="4"/>
        <v/>
      </c>
      <c r="G293" s="11"/>
      <c r="H293" s="11" t="str">
        <f>IF(E293="","",SUMIF(Estructuras!B:B,A293,Estructuras!E:E))</f>
        <v/>
      </c>
      <c r="I293" s="8" t="str">
        <f>IF(E293="","",IF(COUNTIF(Estructuras!F:F,E293)=0,"Falta Estructura",IF(COUNTIFS(Estructuras!F:F,E293,Estructuras!E:E,0)&gt;0,"Faltan Precios","OK")))</f>
        <v/>
      </c>
      <c r="J293" s="10" t="str">
        <f>IF(I293="Faltan Precios",COUNTIFS(Estructuras!B:B,A293,Estructuras!E:E,0),"")</f>
        <v/>
      </c>
      <c r="K293" s="8" t="str">
        <f t="shared" si="2"/>
        <v/>
      </c>
    </row>
    <row r="294">
      <c r="A294" s="4" t="str">
        <f t="shared" si="1"/>
        <v/>
      </c>
      <c r="F294" s="36" t="str">
        <f t="shared" si="4"/>
        <v/>
      </c>
      <c r="G294" s="11"/>
      <c r="H294" s="11" t="str">
        <f>IF(E294="","",SUMIF(Estructuras!B:B,A294,Estructuras!E:E))</f>
        <v/>
      </c>
      <c r="I294" s="8" t="str">
        <f>IF(E294="","",IF(COUNTIF(Estructuras!F:F,E294)=0,"Falta Estructura",IF(COUNTIFS(Estructuras!F:F,E294,Estructuras!E:E,0)&gt;0,"Faltan Precios","OK")))</f>
        <v/>
      </c>
      <c r="J294" s="10" t="str">
        <f>IF(I294="Faltan Precios",COUNTIFS(Estructuras!B:B,A294,Estructuras!E:E,0),"")</f>
        <v/>
      </c>
      <c r="K294" s="8" t="str">
        <f t="shared" si="2"/>
        <v/>
      </c>
    </row>
    <row r="295">
      <c r="A295" s="4" t="str">
        <f t="shared" si="1"/>
        <v/>
      </c>
      <c r="F295" s="36" t="str">
        <f t="shared" si="4"/>
        <v/>
      </c>
      <c r="G295" s="11"/>
      <c r="H295" s="11" t="str">
        <f>IF(E295="","",SUMIF(Estructuras!B:B,A295,Estructuras!E:E))</f>
        <v/>
      </c>
      <c r="I295" s="8" t="str">
        <f>IF(E295="","",IF(COUNTIF(Estructuras!F:F,E295)=0,"Falta Estructura",IF(COUNTIFS(Estructuras!F:F,E295,Estructuras!E:E,0)&gt;0,"Faltan Precios","OK")))</f>
        <v/>
      </c>
      <c r="J295" s="10" t="str">
        <f>IF(I295="Faltan Precios",COUNTIFS(Estructuras!B:B,A295,Estructuras!E:E,0),"")</f>
        <v/>
      </c>
      <c r="K295" s="8" t="str">
        <f t="shared" si="2"/>
        <v/>
      </c>
    </row>
    <row r="296">
      <c r="A296" s="4" t="str">
        <f t="shared" si="1"/>
        <v/>
      </c>
      <c r="F296" s="36" t="str">
        <f t="shared" si="4"/>
        <v/>
      </c>
      <c r="G296" s="11"/>
      <c r="H296" s="11" t="str">
        <f>IF(E296="","",SUMIF(Estructuras!B:B,A296,Estructuras!E:E))</f>
        <v/>
      </c>
      <c r="I296" s="8" t="str">
        <f>IF(E296="","",IF(COUNTIF(Estructuras!F:F,E296)=0,"Falta Estructura",IF(COUNTIFS(Estructuras!F:F,E296,Estructuras!E:E,0)&gt;0,"Faltan Precios","OK")))</f>
        <v/>
      </c>
      <c r="J296" s="10" t="str">
        <f>IF(I296="Faltan Precios",COUNTIFS(Estructuras!B:B,A296,Estructuras!E:E,0),"")</f>
        <v/>
      </c>
      <c r="K296" s="8" t="str">
        <f t="shared" si="2"/>
        <v/>
      </c>
    </row>
    <row r="297">
      <c r="A297" s="4" t="str">
        <f t="shared" si="1"/>
        <v/>
      </c>
      <c r="F297" s="36" t="str">
        <f t="shared" si="4"/>
        <v/>
      </c>
      <c r="G297" s="11"/>
      <c r="H297" s="11" t="str">
        <f>IF(E297="","",SUMIF(Estructuras!B:B,A297,Estructuras!E:E))</f>
        <v/>
      </c>
      <c r="I297" s="8" t="str">
        <f>IF(E297="","",IF(COUNTIF(Estructuras!F:F,E297)=0,"Falta Estructura",IF(COUNTIFS(Estructuras!F:F,E297,Estructuras!E:E,0)&gt;0,"Faltan Precios","OK")))</f>
        <v/>
      </c>
      <c r="J297" s="10" t="str">
        <f>IF(I297="Faltan Precios",COUNTIFS(Estructuras!B:B,A297,Estructuras!E:E,0),"")</f>
        <v/>
      </c>
      <c r="K297" s="8" t="str">
        <f t="shared" si="2"/>
        <v/>
      </c>
    </row>
    <row r="298">
      <c r="A298" s="4" t="str">
        <f t="shared" si="1"/>
        <v/>
      </c>
      <c r="F298" s="36" t="str">
        <f t="shared" si="4"/>
        <v/>
      </c>
      <c r="G298" s="11"/>
      <c r="H298" s="11" t="str">
        <f>IF(E298="","",SUMIF(Estructuras!B:B,A298,Estructuras!E:E))</f>
        <v/>
      </c>
      <c r="I298" s="8" t="str">
        <f>IF(E298="","",IF(COUNTIF(Estructuras!F:F,E298)=0,"Falta Estructura",IF(COUNTIFS(Estructuras!F:F,E298,Estructuras!E:E,0)&gt;0,"Faltan Precios","OK")))</f>
        <v/>
      </c>
      <c r="J298" s="10" t="str">
        <f>IF(I298="Faltan Precios",COUNTIFS(Estructuras!B:B,A298,Estructuras!E:E,0),"")</f>
        <v/>
      </c>
      <c r="K298" s="8" t="str">
        <f t="shared" si="2"/>
        <v/>
      </c>
    </row>
    <row r="299">
      <c r="A299" s="4" t="str">
        <f t="shared" si="1"/>
        <v/>
      </c>
      <c r="F299" s="36" t="str">
        <f t="shared" si="4"/>
        <v/>
      </c>
      <c r="G299" s="11"/>
      <c r="H299" s="11" t="str">
        <f>IF(E299="","",SUMIF(Estructuras!B:B,A299,Estructuras!E:E))</f>
        <v/>
      </c>
      <c r="I299" s="8" t="str">
        <f>IF(E299="","",IF(COUNTIF(Estructuras!F:F,E299)=0,"Falta Estructura",IF(COUNTIFS(Estructuras!F:F,E299,Estructuras!E:E,0)&gt;0,"Faltan Precios","OK")))</f>
        <v/>
      </c>
      <c r="J299" s="10" t="str">
        <f>IF(I299="Faltan Precios",COUNTIFS(Estructuras!B:B,A299,Estructuras!E:E,0),"")</f>
        <v/>
      </c>
      <c r="K299" s="8" t="str">
        <f t="shared" si="2"/>
        <v/>
      </c>
    </row>
    <row r="300">
      <c r="A300" s="4" t="str">
        <f t="shared" si="1"/>
        <v/>
      </c>
      <c r="F300" s="36" t="str">
        <f t="shared" si="4"/>
        <v/>
      </c>
      <c r="G300" s="11"/>
      <c r="H300" s="11" t="str">
        <f>IF(E300="","",SUMIF(Estructuras!B:B,A300,Estructuras!E:E))</f>
        <v/>
      </c>
      <c r="I300" s="8" t="str">
        <f>IF(E300="","",IF(COUNTIF(Estructuras!F:F,E300)=0,"Falta Estructura",IF(COUNTIFS(Estructuras!F:F,E300,Estructuras!E:E,0)&gt;0,"Faltan Precios","OK")))</f>
        <v/>
      </c>
      <c r="J300" s="10" t="str">
        <f>IF(I300="Faltan Precios",COUNTIFS(Estructuras!B:B,A300,Estructuras!E:E,0),"")</f>
        <v/>
      </c>
      <c r="K300" s="8" t="str">
        <f t="shared" si="2"/>
        <v/>
      </c>
    </row>
    <row r="301">
      <c r="A301" s="4" t="str">
        <f t="shared" si="1"/>
        <v/>
      </c>
      <c r="F301" s="36" t="str">
        <f t="shared" si="4"/>
        <v/>
      </c>
      <c r="G301" s="11"/>
      <c r="H301" s="11" t="str">
        <f>IF(E301="","",SUMIF(Estructuras!B:B,A301,Estructuras!E:E))</f>
        <v/>
      </c>
      <c r="I301" s="8" t="str">
        <f>IF(E301="","",IF(COUNTIF(Estructuras!F:F,E301)=0,"Falta Estructura",IF(COUNTIFS(Estructuras!F:F,E301,Estructuras!E:E,0)&gt;0,"Faltan Precios","OK")))</f>
        <v/>
      </c>
      <c r="J301" s="10" t="str">
        <f>IF(I301="Faltan Precios",COUNTIFS(Estructuras!B:B,A301,Estructuras!E:E,0),"")</f>
        <v/>
      </c>
      <c r="K301" s="8" t="str">
        <f t="shared" si="2"/>
        <v/>
      </c>
    </row>
    <row r="302">
      <c r="A302" s="4" t="str">
        <f t="shared" si="1"/>
        <v/>
      </c>
      <c r="F302" s="36" t="str">
        <f t="shared" si="4"/>
        <v/>
      </c>
      <c r="G302" s="11"/>
      <c r="H302" s="11" t="str">
        <f>IF(E302="","",SUMIF(Estructuras!B:B,A302,Estructuras!E:E))</f>
        <v/>
      </c>
      <c r="I302" s="8" t="str">
        <f>IF(E302="","",IF(COUNTIF(Estructuras!F:F,E302)=0,"Falta Estructura",IF(COUNTIFS(Estructuras!F:F,E302,Estructuras!E:E,0)&gt;0,"Faltan Precios","OK")))</f>
        <v/>
      </c>
      <c r="J302" s="10" t="str">
        <f>IF(I302="Faltan Precios",COUNTIFS(Estructuras!B:B,A302,Estructuras!E:E,0),"")</f>
        <v/>
      </c>
      <c r="K302" s="8" t="str">
        <f t="shared" si="2"/>
        <v/>
      </c>
    </row>
    <row r="303">
      <c r="A303" s="4" t="str">
        <f t="shared" si="1"/>
        <v/>
      </c>
      <c r="F303" s="36" t="str">
        <f t="shared" si="4"/>
        <v/>
      </c>
      <c r="G303" s="11"/>
      <c r="H303" s="11" t="str">
        <f>IF(E303="","",SUMIF(Estructuras!B:B,A303,Estructuras!E:E))</f>
        <v/>
      </c>
      <c r="I303" s="8" t="str">
        <f>IF(E303="","",IF(COUNTIF(Estructuras!F:F,E303)=0,"Falta Estructura",IF(COUNTIFS(Estructuras!F:F,E303,Estructuras!E:E,0)&gt;0,"Faltan Precios","OK")))</f>
        <v/>
      </c>
      <c r="J303" s="10" t="str">
        <f>IF(I303="Faltan Precios",COUNTIFS(Estructuras!B:B,A303,Estructuras!E:E,0),"")</f>
        <v/>
      </c>
      <c r="K303" s="8" t="str">
        <f t="shared" si="2"/>
        <v/>
      </c>
    </row>
    <row r="304">
      <c r="A304" s="4" t="str">
        <f t="shared" si="1"/>
        <v/>
      </c>
      <c r="F304" s="36" t="str">
        <f t="shared" si="4"/>
        <v/>
      </c>
      <c r="G304" s="11"/>
      <c r="H304" s="11" t="str">
        <f>IF(E304="","",SUMIF(Estructuras!B:B,A304,Estructuras!E:E))</f>
        <v/>
      </c>
      <c r="I304" s="8" t="str">
        <f>IF(E304="","",IF(COUNTIF(Estructuras!F:F,E304)=0,"Falta Estructura",IF(COUNTIFS(Estructuras!F:F,E304,Estructuras!E:E,0)&gt;0,"Faltan Precios","OK")))</f>
        <v/>
      </c>
      <c r="J304" s="10" t="str">
        <f>IF(I304="Faltan Precios",COUNTIFS(Estructuras!B:B,A304,Estructuras!E:E,0),"")</f>
        <v/>
      </c>
      <c r="K304" s="8" t="str">
        <f t="shared" si="2"/>
        <v/>
      </c>
    </row>
    <row r="305">
      <c r="A305" s="4" t="str">
        <f t="shared" si="1"/>
        <v/>
      </c>
      <c r="F305" s="36" t="str">
        <f t="shared" si="4"/>
        <v/>
      </c>
      <c r="G305" s="11"/>
      <c r="H305" s="11" t="str">
        <f>IF(E305="","",SUMIF(Estructuras!B:B,A305,Estructuras!E:E))</f>
        <v/>
      </c>
      <c r="I305" s="8" t="str">
        <f>IF(E305="","",IF(COUNTIF(Estructuras!F:F,E305)=0,"Falta Estructura",IF(COUNTIFS(Estructuras!F:F,E305,Estructuras!E:E,0)&gt;0,"Faltan Precios","OK")))</f>
        <v/>
      </c>
      <c r="J305" s="10" t="str">
        <f>IF(I305="Faltan Precios",COUNTIFS(Estructuras!B:B,A305,Estructuras!E:E,0),"")</f>
        <v/>
      </c>
      <c r="K305" s="8" t="str">
        <f t="shared" si="2"/>
        <v/>
      </c>
    </row>
    <row r="306">
      <c r="A306" s="4" t="str">
        <f t="shared" si="1"/>
        <v/>
      </c>
      <c r="F306" s="36" t="str">
        <f t="shared" si="4"/>
        <v/>
      </c>
      <c r="G306" s="11"/>
      <c r="H306" s="11" t="str">
        <f>IF(E306="","",SUMIF(Estructuras!B:B,A306,Estructuras!E:E))</f>
        <v/>
      </c>
      <c r="I306" s="8" t="str">
        <f>IF(E306="","",IF(COUNTIF(Estructuras!F:F,E306)=0,"Falta Estructura",IF(COUNTIFS(Estructuras!F:F,E306,Estructuras!E:E,0)&gt;0,"Faltan Precios","OK")))</f>
        <v/>
      </c>
      <c r="J306" s="10" t="str">
        <f>IF(I306="Faltan Precios",COUNTIFS(Estructuras!B:B,A306,Estructuras!E:E,0),"")</f>
        <v/>
      </c>
      <c r="K306" s="8" t="str">
        <f t="shared" si="2"/>
        <v/>
      </c>
    </row>
    <row r="307">
      <c r="A307" s="4" t="str">
        <f t="shared" si="1"/>
        <v/>
      </c>
      <c r="F307" s="36" t="str">
        <f t="shared" si="4"/>
        <v/>
      </c>
      <c r="G307" s="11"/>
      <c r="H307" s="11" t="str">
        <f>IF(E307="","",SUMIF(Estructuras!B:B,A307,Estructuras!E:E))</f>
        <v/>
      </c>
      <c r="I307" s="8" t="str">
        <f>IF(E307="","",IF(COUNTIF(Estructuras!F:F,E307)=0,"Falta Estructura",IF(COUNTIFS(Estructuras!F:F,E307,Estructuras!E:E,0)&gt;0,"Faltan Precios","OK")))</f>
        <v/>
      </c>
      <c r="J307" s="10" t="str">
        <f>IF(I307="Faltan Precios",COUNTIFS(Estructuras!B:B,A307,Estructuras!E:E,0),"")</f>
        <v/>
      </c>
      <c r="K307" s="8" t="str">
        <f t="shared" si="2"/>
        <v/>
      </c>
    </row>
    <row r="308">
      <c r="A308" s="4" t="str">
        <f t="shared" si="1"/>
        <v/>
      </c>
      <c r="F308" s="36" t="str">
        <f t="shared" si="4"/>
        <v/>
      </c>
      <c r="G308" s="11"/>
      <c r="H308" s="11" t="str">
        <f>IF(E308="","",SUMIF(Estructuras!B:B,A308,Estructuras!E:E))</f>
        <v/>
      </c>
      <c r="I308" s="8" t="str">
        <f>IF(E308="","",IF(COUNTIF(Estructuras!F:F,E308)=0,"Falta Estructura",IF(COUNTIFS(Estructuras!F:F,E308,Estructuras!E:E,0)&gt;0,"Faltan Precios","OK")))</f>
        <v/>
      </c>
      <c r="J308" s="10" t="str">
        <f>IF(I308="Faltan Precios",COUNTIFS(Estructuras!B:B,A308,Estructuras!E:E,0),"")</f>
        <v/>
      </c>
      <c r="K308" s="8" t="str">
        <f t="shared" si="2"/>
        <v/>
      </c>
    </row>
    <row r="309">
      <c r="A309" s="4" t="str">
        <f t="shared" si="1"/>
        <v/>
      </c>
      <c r="F309" s="36" t="str">
        <f t="shared" si="4"/>
        <v/>
      </c>
      <c r="G309" s="11"/>
      <c r="H309" s="11" t="str">
        <f>IF(E309="","",SUMIF(Estructuras!B:B,A309,Estructuras!E:E))</f>
        <v/>
      </c>
      <c r="I309" s="8" t="str">
        <f>IF(E309="","",IF(COUNTIF(Estructuras!F:F,E309)=0,"Falta Estructura",IF(COUNTIFS(Estructuras!F:F,E309,Estructuras!E:E,0)&gt;0,"Faltan Precios","OK")))</f>
        <v/>
      </c>
      <c r="J309" s="10" t="str">
        <f>IF(I309="Faltan Precios",COUNTIFS(Estructuras!B:B,A309,Estructuras!E:E,0),"")</f>
        <v/>
      </c>
      <c r="K309" s="8" t="str">
        <f t="shared" si="2"/>
        <v/>
      </c>
    </row>
    <row r="310">
      <c r="A310" s="4" t="str">
        <f t="shared" si="1"/>
        <v/>
      </c>
      <c r="F310" s="36" t="str">
        <f t="shared" si="4"/>
        <v/>
      </c>
      <c r="G310" s="11"/>
      <c r="H310" s="11" t="str">
        <f>IF(E310="","",SUMIF(Estructuras!B:B,A310,Estructuras!E:E))</f>
        <v/>
      </c>
      <c r="I310" s="8" t="str">
        <f>IF(E310="","",IF(COUNTIF(Estructuras!F:F,E310)=0,"Falta Estructura",IF(COUNTIFS(Estructuras!F:F,E310,Estructuras!E:E,0)&gt;0,"Faltan Precios","OK")))</f>
        <v/>
      </c>
      <c r="J310" s="10" t="str">
        <f>IF(I310="Faltan Precios",COUNTIFS(Estructuras!B:B,A310,Estructuras!E:E,0),"")</f>
        <v/>
      </c>
      <c r="K310" s="8" t="str">
        <f t="shared" si="2"/>
        <v/>
      </c>
    </row>
    <row r="311">
      <c r="A311" s="4" t="str">
        <f t="shared" si="1"/>
        <v/>
      </c>
      <c r="F311" s="36" t="str">
        <f t="shared" si="4"/>
        <v/>
      </c>
      <c r="G311" s="11"/>
      <c r="H311" s="11" t="str">
        <f>IF(E311="","",SUMIF(Estructuras!B:B,A311,Estructuras!E:E))</f>
        <v/>
      </c>
      <c r="I311" s="8" t="str">
        <f>IF(E311="","",IF(COUNTIF(Estructuras!F:F,E311)=0,"Falta Estructura",IF(COUNTIFS(Estructuras!F:F,E311,Estructuras!E:E,0)&gt;0,"Faltan Precios","OK")))</f>
        <v/>
      </c>
      <c r="J311" s="10" t="str">
        <f>IF(I311="Faltan Precios",COUNTIFS(Estructuras!B:B,A311,Estructuras!E:E,0),"")</f>
        <v/>
      </c>
      <c r="K311" s="8" t="str">
        <f t="shared" si="2"/>
        <v/>
      </c>
    </row>
    <row r="312">
      <c r="A312" s="4" t="str">
        <f t="shared" si="1"/>
        <v/>
      </c>
      <c r="F312" s="36" t="str">
        <f t="shared" si="4"/>
        <v/>
      </c>
      <c r="G312" s="11"/>
      <c r="H312" s="11" t="str">
        <f>IF(E312="","",SUMIF(Estructuras!B:B,A312,Estructuras!E:E))</f>
        <v/>
      </c>
      <c r="I312" s="8" t="str">
        <f>IF(E312="","",IF(COUNTIF(Estructuras!F:F,E312)=0,"Falta Estructura",IF(COUNTIFS(Estructuras!F:F,E312,Estructuras!E:E,0)&gt;0,"Faltan Precios","OK")))</f>
        <v/>
      </c>
      <c r="J312" s="10" t="str">
        <f>IF(I312="Faltan Precios",COUNTIFS(Estructuras!B:B,A312,Estructuras!E:E,0),"")</f>
        <v/>
      </c>
      <c r="K312" s="8" t="str">
        <f t="shared" si="2"/>
        <v/>
      </c>
    </row>
    <row r="313">
      <c r="A313" s="4" t="str">
        <f t="shared" si="1"/>
        <v/>
      </c>
      <c r="F313" s="36" t="str">
        <f t="shared" si="4"/>
        <v/>
      </c>
      <c r="G313" s="11"/>
      <c r="H313" s="11" t="str">
        <f>IF(E313="","",SUMIF(Estructuras!B:B,A313,Estructuras!E:E))</f>
        <v/>
      </c>
      <c r="I313" s="8" t="str">
        <f>IF(E313="","",IF(COUNTIF(Estructuras!F:F,E313)=0,"Falta Estructura",IF(COUNTIFS(Estructuras!F:F,E313,Estructuras!E:E,0)&gt;0,"Faltan Precios","OK")))</f>
        <v/>
      </c>
      <c r="J313" s="10" t="str">
        <f>IF(I313="Faltan Precios",COUNTIFS(Estructuras!B:B,A313,Estructuras!E:E,0),"")</f>
        <v/>
      </c>
      <c r="K313" s="8" t="str">
        <f t="shared" si="2"/>
        <v/>
      </c>
    </row>
    <row r="314">
      <c r="A314" s="4" t="str">
        <f t="shared" si="1"/>
        <v/>
      </c>
      <c r="F314" s="36" t="str">
        <f t="shared" si="4"/>
        <v/>
      </c>
      <c r="G314" s="11"/>
      <c r="H314" s="11" t="str">
        <f>IF(E314="","",SUMIF(Estructuras!B:B,A314,Estructuras!E:E))</f>
        <v/>
      </c>
      <c r="I314" s="8" t="str">
        <f>IF(E314="","",IF(COUNTIF(Estructuras!F:F,E314)=0,"Falta Estructura",IF(COUNTIFS(Estructuras!F:F,E314,Estructuras!E:E,0)&gt;0,"Faltan Precios","OK")))</f>
        <v/>
      </c>
      <c r="J314" s="10" t="str">
        <f>IF(I314="Faltan Precios",COUNTIFS(Estructuras!B:B,A314,Estructuras!E:E,0),"")</f>
        <v/>
      </c>
      <c r="K314" s="8" t="str">
        <f t="shared" si="2"/>
        <v/>
      </c>
    </row>
    <row r="315">
      <c r="A315" s="4" t="str">
        <f t="shared" si="1"/>
        <v/>
      </c>
      <c r="F315" s="36" t="str">
        <f t="shared" si="4"/>
        <v/>
      </c>
      <c r="G315" s="11"/>
      <c r="H315" s="11" t="str">
        <f>IF(E315="","",SUMIF(Estructuras!B:B,A315,Estructuras!E:E))</f>
        <v/>
      </c>
      <c r="I315" s="8" t="str">
        <f>IF(E315="","",IF(COUNTIF(Estructuras!F:F,E315)=0,"Falta Estructura",IF(COUNTIFS(Estructuras!F:F,E315,Estructuras!E:E,0)&gt;0,"Faltan Precios","OK")))</f>
        <v/>
      </c>
      <c r="J315" s="10" t="str">
        <f>IF(I315="Faltan Precios",COUNTIFS(Estructuras!B:B,A315,Estructuras!E:E,0),"")</f>
        <v/>
      </c>
      <c r="K315" s="8" t="str">
        <f t="shared" si="2"/>
        <v/>
      </c>
    </row>
    <row r="316">
      <c r="A316" s="4" t="str">
        <f t="shared" si="1"/>
        <v/>
      </c>
      <c r="F316" s="36" t="str">
        <f t="shared" si="4"/>
        <v/>
      </c>
      <c r="G316" s="11"/>
      <c r="H316" s="11" t="str">
        <f>IF(E316="","",SUMIF(Estructuras!B:B,A316,Estructuras!E:E))</f>
        <v/>
      </c>
      <c r="I316" s="8" t="str">
        <f>IF(E316="","",IF(COUNTIF(Estructuras!F:F,E316)=0,"Falta Estructura",IF(COUNTIFS(Estructuras!F:F,E316,Estructuras!E:E,0)&gt;0,"Faltan Precios","OK")))</f>
        <v/>
      </c>
      <c r="J316" s="10" t="str">
        <f>IF(I316="Faltan Precios",COUNTIFS(Estructuras!B:B,A316,Estructuras!E:E,0),"")</f>
        <v/>
      </c>
      <c r="K316" s="8" t="str">
        <f t="shared" si="2"/>
        <v/>
      </c>
    </row>
    <row r="317">
      <c r="A317" s="4" t="str">
        <f t="shared" si="1"/>
        <v/>
      </c>
      <c r="F317" s="36" t="str">
        <f t="shared" si="4"/>
        <v/>
      </c>
      <c r="G317" s="11"/>
      <c r="H317" s="11" t="str">
        <f>IF(E317="","",SUMIF(Estructuras!B:B,A317,Estructuras!E:E))</f>
        <v/>
      </c>
      <c r="I317" s="8" t="str">
        <f>IF(E317="","",IF(COUNTIF(Estructuras!F:F,E317)=0,"Falta Estructura",IF(COUNTIFS(Estructuras!F:F,E317,Estructuras!E:E,0)&gt;0,"Faltan Precios","OK")))</f>
        <v/>
      </c>
      <c r="J317" s="10" t="str">
        <f>IF(I317="Faltan Precios",COUNTIFS(Estructuras!B:B,A317,Estructuras!E:E,0),"")</f>
        <v/>
      </c>
      <c r="K317" s="8" t="str">
        <f t="shared" si="2"/>
        <v/>
      </c>
    </row>
    <row r="318">
      <c r="A318" s="4" t="str">
        <f t="shared" si="1"/>
        <v/>
      </c>
      <c r="F318" s="36" t="str">
        <f t="shared" si="4"/>
        <v/>
      </c>
      <c r="G318" s="11"/>
      <c r="H318" s="11" t="str">
        <f>IF(E318="","",SUMIF(Estructuras!B:B,A318,Estructuras!E:E))</f>
        <v/>
      </c>
      <c r="I318" s="8" t="str">
        <f>IF(E318="","",IF(COUNTIF(Estructuras!F:F,E318)=0,"Falta Estructura",IF(COUNTIFS(Estructuras!F:F,E318,Estructuras!E:E,0)&gt;0,"Faltan Precios","OK")))</f>
        <v/>
      </c>
      <c r="J318" s="10" t="str">
        <f>IF(I318="Faltan Precios",COUNTIFS(Estructuras!B:B,A318,Estructuras!E:E,0),"")</f>
        <v/>
      </c>
      <c r="K318" s="8" t="str">
        <f t="shared" si="2"/>
        <v/>
      </c>
    </row>
    <row r="319">
      <c r="A319" s="4" t="str">
        <f t="shared" si="1"/>
        <v/>
      </c>
      <c r="F319" s="36" t="str">
        <f t="shared" si="4"/>
        <v/>
      </c>
      <c r="G319" s="11"/>
      <c r="H319" s="11" t="str">
        <f>IF(E319="","",SUMIF(Estructuras!B:B,A319,Estructuras!E:E))</f>
        <v/>
      </c>
      <c r="I319" s="8" t="str">
        <f>IF(E319="","",IF(COUNTIF(Estructuras!F:F,E319)=0,"Falta Estructura",IF(COUNTIFS(Estructuras!F:F,E319,Estructuras!E:E,0)&gt;0,"Faltan Precios","OK")))</f>
        <v/>
      </c>
      <c r="J319" s="10" t="str">
        <f>IF(I319="Faltan Precios",COUNTIFS(Estructuras!B:B,A319,Estructuras!E:E,0),"")</f>
        <v/>
      </c>
      <c r="K319" s="8" t="str">
        <f t="shared" si="2"/>
        <v/>
      </c>
    </row>
    <row r="320">
      <c r="A320" s="4" t="str">
        <f t="shared" si="1"/>
        <v/>
      </c>
      <c r="F320" s="36" t="str">
        <f t="shared" si="4"/>
        <v/>
      </c>
      <c r="G320" s="11"/>
      <c r="H320" s="11" t="str">
        <f>IF(E320="","",SUMIF(Estructuras!B:B,A320,Estructuras!E:E))</f>
        <v/>
      </c>
      <c r="I320" s="8" t="str">
        <f>IF(E320="","",IF(COUNTIF(Estructuras!F:F,E320)=0,"Falta Estructura",IF(COUNTIFS(Estructuras!F:F,E320,Estructuras!E:E,0)&gt;0,"Faltan Precios","OK")))</f>
        <v/>
      </c>
      <c r="J320" s="10" t="str">
        <f>IF(I320="Faltan Precios",COUNTIFS(Estructuras!B:B,A320,Estructuras!E:E,0),"")</f>
        <v/>
      </c>
      <c r="K320" s="8" t="str">
        <f t="shared" si="2"/>
        <v/>
      </c>
    </row>
    <row r="321">
      <c r="A321" s="4" t="str">
        <f t="shared" si="1"/>
        <v/>
      </c>
      <c r="F321" s="36" t="str">
        <f t="shared" si="4"/>
        <v/>
      </c>
      <c r="G321" s="11"/>
      <c r="H321" s="11" t="str">
        <f>IF(E321="","",SUMIF(Estructuras!B:B,A321,Estructuras!E:E))</f>
        <v/>
      </c>
      <c r="I321" s="8" t="str">
        <f>IF(E321="","",IF(COUNTIF(Estructuras!F:F,E321)=0,"Falta Estructura",IF(COUNTIFS(Estructuras!F:F,E321,Estructuras!E:E,0)&gt;0,"Faltan Precios","OK")))</f>
        <v/>
      </c>
      <c r="J321" s="10" t="str">
        <f>IF(I321="Faltan Precios",COUNTIFS(Estructuras!B:B,A321,Estructuras!E:E,0),"")</f>
        <v/>
      </c>
      <c r="K321" s="8" t="str">
        <f t="shared" si="2"/>
        <v/>
      </c>
    </row>
    <row r="322">
      <c r="A322" s="4" t="str">
        <f t="shared" si="1"/>
        <v/>
      </c>
      <c r="F322" s="36" t="str">
        <f t="shared" si="4"/>
        <v/>
      </c>
      <c r="G322" s="11"/>
      <c r="H322" s="11" t="str">
        <f>IF(E322="","",SUMIF(Estructuras!B:B,A322,Estructuras!E:E))</f>
        <v/>
      </c>
      <c r="I322" s="8" t="str">
        <f>IF(E322="","",IF(COUNTIF(Estructuras!F:F,E322)=0,"Falta Estructura",IF(COUNTIFS(Estructuras!F:F,E322,Estructuras!E:E,0)&gt;0,"Faltan Precios","OK")))</f>
        <v/>
      </c>
      <c r="J322" s="10" t="str">
        <f>IF(I322="Faltan Precios",COUNTIFS(Estructuras!B:B,A322,Estructuras!E:E,0),"")</f>
        <v/>
      </c>
      <c r="K322" s="8" t="str">
        <f t="shared" si="2"/>
        <v/>
      </c>
    </row>
    <row r="323">
      <c r="A323" s="4" t="str">
        <f t="shared" si="1"/>
        <v/>
      </c>
      <c r="F323" s="36" t="str">
        <f t="shared" si="4"/>
        <v/>
      </c>
      <c r="G323" s="11"/>
      <c r="H323" s="11" t="str">
        <f>IF(E323="","",SUMIF(Estructuras!B:B,A323,Estructuras!E:E))</f>
        <v/>
      </c>
      <c r="I323" s="8" t="str">
        <f>IF(E323="","",IF(COUNTIF(Estructuras!F:F,E323)=0,"Falta Estructura",IF(COUNTIFS(Estructuras!F:F,E323,Estructuras!E:E,0)&gt;0,"Faltan Precios","OK")))</f>
        <v/>
      </c>
      <c r="J323" s="10" t="str">
        <f>IF(I323="Faltan Precios",COUNTIFS(Estructuras!B:B,A323,Estructuras!E:E,0),"")</f>
        <v/>
      </c>
      <c r="K323" s="8" t="str">
        <f t="shared" si="2"/>
        <v/>
      </c>
    </row>
    <row r="324">
      <c r="A324" s="4" t="str">
        <f t="shared" si="1"/>
        <v/>
      </c>
      <c r="F324" s="36" t="str">
        <f t="shared" si="4"/>
        <v/>
      </c>
      <c r="G324" s="11"/>
      <c r="H324" s="11" t="str">
        <f>IF(E324="","",SUMIF(Estructuras!B:B,A324,Estructuras!E:E))</f>
        <v/>
      </c>
      <c r="I324" s="8" t="str">
        <f>IF(E324="","",IF(COUNTIF(Estructuras!F:F,E324)=0,"Falta Estructura",IF(COUNTIFS(Estructuras!F:F,E324,Estructuras!E:E,0)&gt;0,"Faltan Precios","OK")))</f>
        <v/>
      </c>
      <c r="J324" s="10" t="str">
        <f>IF(I324="Faltan Precios",COUNTIFS(Estructuras!B:B,A324,Estructuras!E:E,0),"")</f>
        <v/>
      </c>
      <c r="K324" s="8" t="str">
        <f t="shared" si="2"/>
        <v/>
      </c>
    </row>
    <row r="325">
      <c r="A325" s="4" t="str">
        <f t="shared" si="1"/>
        <v/>
      </c>
      <c r="F325" s="36" t="str">
        <f t="shared" si="4"/>
        <v/>
      </c>
      <c r="G325" s="11"/>
      <c r="H325" s="11" t="str">
        <f>IF(E325="","",SUMIF(Estructuras!B:B,A325,Estructuras!E:E))</f>
        <v/>
      </c>
      <c r="I325" s="8" t="str">
        <f>IF(E325="","",IF(COUNTIF(Estructuras!F:F,E325)=0,"Falta Estructura",IF(COUNTIFS(Estructuras!F:F,E325,Estructuras!E:E,0)&gt;0,"Faltan Precios","OK")))</f>
        <v/>
      </c>
      <c r="J325" s="10" t="str">
        <f>IF(I325="Faltan Precios",COUNTIFS(Estructuras!B:B,A325,Estructuras!E:E,0),"")</f>
        <v/>
      </c>
      <c r="K325" s="8" t="str">
        <f t="shared" si="2"/>
        <v/>
      </c>
    </row>
    <row r="326">
      <c r="A326" s="4" t="str">
        <f t="shared" si="1"/>
        <v/>
      </c>
      <c r="F326" s="36" t="str">
        <f t="shared" si="4"/>
        <v/>
      </c>
      <c r="G326" s="11"/>
      <c r="H326" s="11" t="str">
        <f>IF(E326="","",SUMIF(Estructuras!B:B,A326,Estructuras!E:E))</f>
        <v/>
      </c>
      <c r="I326" s="8" t="str">
        <f>IF(E326="","",IF(COUNTIF(Estructuras!F:F,E326)=0,"Falta Estructura",IF(COUNTIFS(Estructuras!F:F,E326,Estructuras!E:E,0)&gt;0,"Faltan Precios","OK")))</f>
        <v/>
      </c>
      <c r="J326" s="10" t="str">
        <f>IF(I326="Faltan Precios",COUNTIFS(Estructuras!B:B,A326,Estructuras!E:E,0),"")</f>
        <v/>
      </c>
      <c r="K326" s="8" t="str">
        <f t="shared" si="2"/>
        <v/>
      </c>
    </row>
    <row r="327">
      <c r="A327" s="4" t="str">
        <f t="shared" si="1"/>
        <v/>
      </c>
      <c r="F327" s="36" t="str">
        <f t="shared" si="4"/>
        <v/>
      </c>
      <c r="G327" s="11"/>
      <c r="H327" s="11" t="str">
        <f>IF(E327="","",SUMIF(Estructuras!B:B,A327,Estructuras!E:E))</f>
        <v/>
      </c>
      <c r="I327" s="8" t="str">
        <f>IF(E327="","",IF(COUNTIF(Estructuras!F:F,E327)=0,"Falta Estructura",IF(COUNTIFS(Estructuras!F:F,E327,Estructuras!E:E,0)&gt;0,"Faltan Precios","OK")))</f>
        <v/>
      </c>
      <c r="J327" s="10" t="str">
        <f>IF(I327="Faltan Precios",COUNTIFS(Estructuras!B:B,A327,Estructuras!E:E,0),"")</f>
        <v/>
      </c>
      <c r="K327" s="8" t="str">
        <f t="shared" si="2"/>
        <v/>
      </c>
    </row>
    <row r="328">
      <c r="A328" s="4" t="str">
        <f t="shared" si="1"/>
        <v/>
      </c>
      <c r="F328" s="36" t="str">
        <f t="shared" si="4"/>
        <v/>
      </c>
      <c r="G328" s="11"/>
      <c r="H328" s="11" t="str">
        <f>IF(E328="","",SUMIF(Estructuras!B:B,A328,Estructuras!E:E))</f>
        <v/>
      </c>
      <c r="I328" s="8" t="str">
        <f>IF(E328="","",IF(COUNTIF(Estructuras!F:F,E328)=0,"Falta Estructura",IF(COUNTIFS(Estructuras!F:F,E328,Estructuras!E:E,0)&gt;0,"Faltan Precios","OK")))</f>
        <v/>
      </c>
      <c r="J328" s="10" t="str">
        <f>IF(I328="Faltan Precios",COUNTIFS(Estructuras!B:B,A328,Estructuras!E:E,0),"")</f>
        <v/>
      </c>
      <c r="K328" s="8" t="str">
        <f t="shared" si="2"/>
        <v/>
      </c>
    </row>
    <row r="329">
      <c r="A329" s="4" t="str">
        <f t="shared" si="1"/>
        <v/>
      </c>
      <c r="F329" s="36" t="str">
        <f t="shared" si="4"/>
        <v/>
      </c>
      <c r="G329" s="11"/>
      <c r="H329" s="11" t="str">
        <f>IF(E329="","",SUMIF(Estructuras!B:B,A329,Estructuras!E:E))</f>
        <v/>
      </c>
      <c r="I329" s="8" t="str">
        <f>IF(E329="","",IF(COUNTIF(Estructuras!F:F,E329)=0,"Falta Estructura",IF(COUNTIFS(Estructuras!F:F,E329,Estructuras!E:E,0)&gt;0,"Faltan Precios","OK")))</f>
        <v/>
      </c>
      <c r="J329" s="10" t="str">
        <f>IF(I329="Faltan Precios",COUNTIFS(Estructuras!B:B,A329,Estructuras!E:E,0),"")</f>
        <v/>
      </c>
      <c r="K329" s="8" t="str">
        <f t="shared" si="2"/>
        <v/>
      </c>
    </row>
    <row r="330">
      <c r="A330" s="4" t="str">
        <f t="shared" si="1"/>
        <v/>
      </c>
      <c r="F330" s="36" t="str">
        <f t="shared" si="4"/>
        <v/>
      </c>
      <c r="G330" s="11"/>
      <c r="H330" s="11" t="str">
        <f>IF(E330="","",SUMIF(Estructuras!B:B,A330,Estructuras!E:E))</f>
        <v/>
      </c>
      <c r="I330" s="8" t="str">
        <f>IF(E330="","",IF(COUNTIF(Estructuras!F:F,E330)=0,"Falta Estructura",IF(COUNTIFS(Estructuras!F:F,E330,Estructuras!E:E,0)&gt;0,"Faltan Precios","OK")))</f>
        <v/>
      </c>
      <c r="J330" s="10" t="str">
        <f>IF(I330="Faltan Precios",COUNTIFS(Estructuras!B:B,A330,Estructuras!E:E,0),"")</f>
        <v/>
      </c>
      <c r="K330" s="8" t="str">
        <f t="shared" si="2"/>
        <v/>
      </c>
    </row>
    <row r="331">
      <c r="A331" s="4" t="str">
        <f t="shared" si="1"/>
        <v/>
      </c>
      <c r="F331" s="36" t="str">
        <f t="shared" si="4"/>
        <v/>
      </c>
      <c r="G331" s="11"/>
      <c r="H331" s="11" t="str">
        <f>IF(E331="","",SUMIF(Estructuras!B:B,A331,Estructuras!E:E))</f>
        <v/>
      </c>
      <c r="I331" s="8" t="str">
        <f>IF(E331="","",IF(COUNTIF(Estructuras!F:F,E331)=0,"Falta Estructura",IF(COUNTIFS(Estructuras!F:F,E331,Estructuras!E:E,0)&gt;0,"Faltan Precios","OK")))</f>
        <v/>
      </c>
      <c r="J331" s="10" t="str">
        <f>IF(I331="Faltan Precios",COUNTIFS(Estructuras!B:B,A331,Estructuras!E:E,0),"")</f>
        <v/>
      </c>
      <c r="K331" s="8" t="str">
        <f t="shared" si="2"/>
        <v/>
      </c>
    </row>
    <row r="332">
      <c r="A332" s="4" t="str">
        <f t="shared" si="1"/>
        <v/>
      </c>
      <c r="F332" s="36" t="str">
        <f t="shared" si="4"/>
        <v/>
      </c>
      <c r="G332" s="11"/>
      <c r="H332" s="11" t="str">
        <f>IF(E332="","",SUMIF(Estructuras!B:B,A332,Estructuras!E:E))</f>
        <v/>
      </c>
      <c r="I332" s="8" t="str">
        <f>IF(E332="","",IF(COUNTIF(Estructuras!F:F,E332)=0,"Falta Estructura",IF(COUNTIFS(Estructuras!F:F,E332,Estructuras!E:E,0)&gt;0,"Faltan Precios","OK")))</f>
        <v/>
      </c>
      <c r="J332" s="10" t="str">
        <f>IF(I332="Faltan Precios",COUNTIFS(Estructuras!B:B,A332,Estructuras!E:E,0),"")</f>
        <v/>
      </c>
      <c r="K332" s="8" t="str">
        <f t="shared" si="2"/>
        <v/>
      </c>
    </row>
    <row r="333">
      <c r="A333" s="4" t="str">
        <f t="shared" si="1"/>
        <v/>
      </c>
      <c r="F333" s="36" t="str">
        <f t="shared" si="4"/>
        <v/>
      </c>
      <c r="G333" s="11"/>
      <c r="H333" s="11" t="str">
        <f>IF(E333="","",SUMIF(Estructuras!B:B,A333,Estructuras!E:E))</f>
        <v/>
      </c>
      <c r="I333" s="8" t="str">
        <f>IF(E333="","",IF(COUNTIF(Estructuras!F:F,E333)=0,"Falta Estructura",IF(COUNTIFS(Estructuras!F:F,E333,Estructuras!E:E,0)&gt;0,"Faltan Precios","OK")))</f>
        <v/>
      </c>
      <c r="J333" s="10" t="str">
        <f>IF(I333="Faltan Precios",COUNTIFS(Estructuras!B:B,A333,Estructuras!E:E,0),"")</f>
        <v/>
      </c>
      <c r="K333" s="8" t="str">
        <f t="shared" si="2"/>
        <v/>
      </c>
    </row>
    <row r="334">
      <c r="A334" s="4" t="str">
        <f t="shared" si="1"/>
        <v/>
      </c>
      <c r="F334" s="36" t="str">
        <f t="shared" si="4"/>
        <v/>
      </c>
      <c r="G334" s="11"/>
      <c r="H334" s="11" t="str">
        <f>IF(E334="","",SUMIF(Estructuras!B:B,A334,Estructuras!E:E))</f>
        <v/>
      </c>
      <c r="I334" s="8" t="str">
        <f>IF(E334="","",IF(COUNTIF(Estructuras!F:F,E334)=0,"Falta Estructura",IF(COUNTIFS(Estructuras!F:F,E334,Estructuras!E:E,0)&gt;0,"Faltan Precios","OK")))</f>
        <v/>
      </c>
      <c r="J334" s="10" t="str">
        <f>IF(I334="Faltan Precios",COUNTIFS(Estructuras!B:B,A334,Estructuras!E:E,0),"")</f>
        <v/>
      </c>
      <c r="K334" s="8" t="str">
        <f t="shared" si="2"/>
        <v/>
      </c>
    </row>
    <row r="335">
      <c r="A335" s="4" t="str">
        <f t="shared" si="1"/>
        <v/>
      </c>
      <c r="F335" s="36" t="str">
        <f t="shared" si="4"/>
        <v/>
      </c>
      <c r="G335" s="11"/>
      <c r="H335" s="11" t="str">
        <f>IF(E335="","",SUMIF(Estructuras!B:B,A335,Estructuras!E:E))</f>
        <v/>
      </c>
      <c r="I335" s="8" t="str">
        <f>IF(E335="","",IF(COUNTIF(Estructuras!F:F,E335)=0,"Falta Estructura",IF(COUNTIFS(Estructuras!F:F,E335,Estructuras!E:E,0)&gt;0,"Faltan Precios","OK")))</f>
        <v/>
      </c>
      <c r="J335" s="10" t="str">
        <f>IF(I335="Faltan Precios",COUNTIFS(Estructuras!B:B,A335,Estructuras!E:E,0),"")</f>
        <v/>
      </c>
      <c r="K335" s="8" t="str">
        <f t="shared" si="2"/>
        <v/>
      </c>
    </row>
    <row r="336">
      <c r="A336" s="4" t="str">
        <f t="shared" si="1"/>
        <v/>
      </c>
      <c r="F336" s="36" t="str">
        <f t="shared" si="4"/>
        <v/>
      </c>
      <c r="G336" s="11"/>
      <c r="H336" s="11" t="str">
        <f>IF(E336="","",SUMIF(Estructuras!B:B,A336,Estructuras!E:E))</f>
        <v/>
      </c>
      <c r="I336" s="8" t="str">
        <f>IF(E336="","",IF(COUNTIF(Estructuras!F:F,E336)=0,"Falta Estructura",IF(COUNTIFS(Estructuras!F:F,E336,Estructuras!E:E,0)&gt;0,"Faltan Precios","OK")))</f>
        <v/>
      </c>
      <c r="J336" s="10" t="str">
        <f>IF(I336="Faltan Precios",COUNTIFS(Estructuras!B:B,A336,Estructuras!E:E,0),"")</f>
        <v/>
      </c>
      <c r="K336" s="8" t="str">
        <f t="shared" si="2"/>
        <v/>
      </c>
    </row>
    <row r="337">
      <c r="A337" s="4" t="str">
        <f t="shared" si="1"/>
        <v/>
      </c>
      <c r="F337" s="36" t="str">
        <f t="shared" si="4"/>
        <v/>
      </c>
      <c r="G337" s="11"/>
      <c r="H337" s="11" t="str">
        <f>IF(E337="","",SUMIF(Estructuras!B:B,A337,Estructuras!E:E))</f>
        <v/>
      </c>
      <c r="I337" s="8" t="str">
        <f>IF(E337="","",IF(COUNTIF(Estructuras!F:F,E337)=0,"Falta Estructura",IF(COUNTIFS(Estructuras!F:F,E337,Estructuras!E:E,0)&gt;0,"Faltan Precios","OK")))</f>
        <v/>
      </c>
      <c r="J337" s="10" t="str">
        <f>IF(I337="Faltan Precios",COUNTIFS(Estructuras!B:B,A337,Estructuras!E:E,0),"")</f>
        <v/>
      </c>
      <c r="K337" s="8" t="str">
        <f t="shared" si="2"/>
        <v/>
      </c>
    </row>
    <row r="338">
      <c r="A338" s="4" t="str">
        <f t="shared" si="1"/>
        <v/>
      </c>
      <c r="F338" s="36" t="str">
        <f t="shared" si="4"/>
        <v/>
      </c>
      <c r="G338" s="11"/>
      <c r="H338" s="11" t="str">
        <f>IF(E338="","",SUMIF(Estructuras!B:B,A338,Estructuras!E:E))</f>
        <v/>
      </c>
      <c r="I338" s="8" t="str">
        <f>IF(E338="","",IF(COUNTIF(Estructuras!F:F,E338)=0,"Falta Estructura",IF(COUNTIFS(Estructuras!F:F,E338,Estructuras!E:E,0)&gt;0,"Faltan Precios","OK")))</f>
        <v/>
      </c>
      <c r="J338" s="10" t="str">
        <f>IF(I338="Faltan Precios",COUNTIFS(Estructuras!B:B,A338,Estructuras!E:E,0),"")</f>
        <v/>
      </c>
      <c r="K338" s="8" t="str">
        <f t="shared" si="2"/>
        <v/>
      </c>
    </row>
    <row r="339">
      <c r="A339" s="4" t="str">
        <f t="shared" si="1"/>
        <v/>
      </c>
      <c r="F339" s="36" t="str">
        <f t="shared" si="4"/>
        <v/>
      </c>
      <c r="G339" s="11"/>
      <c r="H339" s="11" t="str">
        <f>IF(E339="","",SUMIF(Estructuras!B:B,A339,Estructuras!E:E))</f>
        <v/>
      </c>
      <c r="I339" s="8" t="str">
        <f>IF(E339="","",IF(COUNTIF(Estructuras!F:F,E339)=0,"Falta Estructura",IF(COUNTIFS(Estructuras!F:F,E339,Estructuras!E:E,0)&gt;0,"Faltan Precios","OK")))</f>
        <v/>
      </c>
      <c r="J339" s="10" t="str">
        <f>IF(I339="Faltan Precios",COUNTIFS(Estructuras!B:B,A339,Estructuras!E:E,0),"")</f>
        <v/>
      </c>
      <c r="K339" s="8" t="str">
        <f t="shared" si="2"/>
        <v/>
      </c>
    </row>
    <row r="340">
      <c r="A340" s="4" t="str">
        <f t="shared" si="1"/>
        <v/>
      </c>
      <c r="F340" s="36" t="str">
        <f t="shared" si="4"/>
        <v/>
      </c>
      <c r="G340" s="11"/>
      <c r="H340" s="11" t="str">
        <f>IF(E340="","",SUMIF(Estructuras!B:B,A340,Estructuras!E:E))</f>
        <v/>
      </c>
      <c r="I340" s="8" t="str">
        <f>IF(E340="","",IF(COUNTIF(Estructuras!F:F,E340)=0,"Falta Estructura",IF(COUNTIFS(Estructuras!F:F,E340,Estructuras!E:E,0)&gt;0,"Faltan Precios","OK")))</f>
        <v/>
      </c>
      <c r="J340" s="10" t="str">
        <f>IF(I340="Faltan Precios",COUNTIFS(Estructuras!B:B,A340,Estructuras!E:E,0),"")</f>
        <v/>
      </c>
      <c r="K340" s="8" t="str">
        <f t="shared" si="2"/>
        <v/>
      </c>
    </row>
    <row r="341">
      <c r="A341" s="4" t="str">
        <f t="shared" si="1"/>
        <v/>
      </c>
      <c r="F341" s="36" t="str">
        <f t="shared" si="4"/>
        <v/>
      </c>
      <c r="G341" s="11"/>
      <c r="H341" s="11" t="str">
        <f>IF(E341="","",SUMIF(Estructuras!B:B,A341,Estructuras!E:E))</f>
        <v/>
      </c>
      <c r="I341" s="8" t="str">
        <f>IF(E341="","",IF(COUNTIF(Estructuras!F:F,E341)=0,"Falta Estructura",IF(COUNTIFS(Estructuras!F:F,E341,Estructuras!E:E,0)&gt;0,"Faltan Precios","OK")))</f>
        <v/>
      </c>
      <c r="J341" s="10" t="str">
        <f>IF(I341="Faltan Precios",COUNTIFS(Estructuras!B:B,A341,Estructuras!E:E,0),"")</f>
        <v/>
      </c>
      <c r="K341" s="8" t="str">
        <f t="shared" si="2"/>
        <v/>
      </c>
    </row>
    <row r="342">
      <c r="A342" s="4" t="str">
        <f t="shared" si="1"/>
        <v/>
      </c>
      <c r="F342" s="36" t="str">
        <f t="shared" si="4"/>
        <v/>
      </c>
      <c r="G342" s="11"/>
      <c r="H342" s="11" t="str">
        <f>IF(E342="","",SUMIF(Estructuras!B:B,A342,Estructuras!E:E))</f>
        <v/>
      </c>
      <c r="I342" s="8" t="str">
        <f>IF(E342="","",IF(COUNTIF(Estructuras!F:F,E342)=0,"Falta Estructura",IF(COUNTIFS(Estructuras!F:F,E342,Estructuras!E:E,0)&gt;0,"Faltan Precios","OK")))</f>
        <v/>
      </c>
      <c r="J342" s="10" t="str">
        <f>IF(I342="Faltan Precios",COUNTIFS(Estructuras!B:B,A342,Estructuras!E:E,0),"")</f>
        <v/>
      </c>
      <c r="K342" s="8" t="str">
        <f t="shared" si="2"/>
        <v/>
      </c>
    </row>
    <row r="343">
      <c r="A343" s="4" t="str">
        <f t="shared" si="1"/>
        <v/>
      </c>
      <c r="F343" s="36" t="str">
        <f t="shared" si="4"/>
        <v/>
      </c>
      <c r="G343" s="11"/>
      <c r="H343" s="11" t="str">
        <f>IF(E343="","",SUMIF(Estructuras!B:B,A343,Estructuras!E:E))</f>
        <v/>
      </c>
      <c r="I343" s="8" t="str">
        <f>IF(E343="","",IF(COUNTIF(Estructuras!F:F,E343)=0,"Falta Estructura",IF(COUNTIFS(Estructuras!F:F,E343,Estructuras!E:E,0)&gt;0,"Faltan Precios","OK")))</f>
        <v/>
      </c>
      <c r="J343" s="10" t="str">
        <f>IF(I343="Faltan Precios",COUNTIFS(Estructuras!B:B,A343,Estructuras!E:E,0),"")</f>
        <v/>
      </c>
      <c r="K343" s="8" t="str">
        <f t="shared" si="2"/>
        <v/>
      </c>
    </row>
    <row r="344">
      <c r="A344" s="4" t="str">
        <f t="shared" si="1"/>
        <v/>
      </c>
      <c r="F344" s="36" t="str">
        <f t="shared" si="4"/>
        <v/>
      </c>
      <c r="G344" s="11"/>
      <c r="H344" s="11" t="str">
        <f>IF(E344="","",SUMIF(Estructuras!B:B,A344,Estructuras!E:E))</f>
        <v/>
      </c>
      <c r="I344" s="8" t="str">
        <f>IF(E344="","",IF(COUNTIF(Estructuras!F:F,E344)=0,"Falta Estructura",IF(COUNTIFS(Estructuras!F:F,E344,Estructuras!E:E,0)&gt;0,"Faltan Precios","OK")))</f>
        <v/>
      </c>
      <c r="J344" s="10" t="str">
        <f>IF(I344="Faltan Precios",COUNTIFS(Estructuras!B:B,A344,Estructuras!E:E,0),"")</f>
        <v/>
      </c>
      <c r="K344" s="8" t="str">
        <f t="shared" si="2"/>
        <v/>
      </c>
    </row>
    <row r="345">
      <c r="A345" s="4" t="str">
        <f t="shared" si="1"/>
        <v/>
      </c>
      <c r="F345" s="36" t="str">
        <f t="shared" si="4"/>
        <v/>
      </c>
      <c r="G345" s="11"/>
      <c r="H345" s="11" t="str">
        <f>IF(E345="","",SUMIF(Estructuras!B:B,A345,Estructuras!E:E))</f>
        <v/>
      </c>
      <c r="I345" s="8" t="str">
        <f>IF(E345="","",IF(COUNTIF(Estructuras!F:F,E345)=0,"Falta Estructura",IF(COUNTIFS(Estructuras!F:F,E345,Estructuras!E:E,0)&gt;0,"Faltan Precios","OK")))</f>
        <v/>
      </c>
      <c r="J345" s="10" t="str">
        <f>IF(I345="Faltan Precios",COUNTIFS(Estructuras!B:B,A345,Estructuras!E:E,0),"")</f>
        <v/>
      </c>
      <c r="K345" s="8" t="str">
        <f t="shared" si="2"/>
        <v/>
      </c>
    </row>
    <row r="346">
      <c r="A346" s="4" t="str">
        <f t="shared" si="1"/>
        <v/>
      </c>
      <c r="F346" s="36" t="str">
        <f t="shared" si="4"/>
        <v/>
      </c>
      <c r="G346" s="11"/>
      <c r="H346" s="11" t="str">
        <f>IF(E346="","",SUMIF(Estructuras!B:B,A346,Estructuras!E:E))</f>
        <v/>
      </c>
      <c r="I346" s="8" t="str">
        <f>IF(E346="","",IF(COUNTIF(Estructuras!F:F,E346)=0,"Falta Estructura",IF(COUNTIFS(Estructuras!F:F,E346,Estructuras!E:E,0)&gt;0,"Faltan Precios","OK")))</f>
        <v/>
      </c>
      <c r="J346" s="10" t="str">
        <f>IF(I346="Faltan Precios",COUNTIFS(Estructuras!B:B,A346,Estructuras!E:E,0),"")</f>
        <v/>
      </c>
      <c r="K346" s="8" t="str">
        <f t="shared" si="2"/>
        <v/>
      </c>
    </row>
    <row r="347">
      <c r="A347" s="4" t="str">
        <f t="shared" si="1"/>
        <v/>
      </c>
      <c r="F347" s="36" t="str">
        <f t="shared" si="4"/>
        <v/>
      </c>
      <c r="G347" s="11"/>
      <c r="H347" s="11" t="str">
        <f>IF(E347="","",SUMIF(Estructuras!B:B,A347,Estructuras!E:E))</f>
        <v/>
      </c>
      <c r="I347" s="8" t="str">
        <f>IF(E347="","",IF(COUNTIF(Estructuras!F:F,E347)=0,"Falta Estructura",IF(COUNTIFS(Estructuras!F:F,E347,Estructuras!E:E,0)&gt;0,"Faltan Precios","OK")))</f>
        <v/>
      </c>
      <c r="J347" s="10" t="str">
        <f>IF(I347="Faltan Precios",COUNTIFS(Estructuras!B:B,A347,Estructuras!E:E,0),"")</f>
        <v/>
      </c>
      <c r="K347" s="8" t="str">
        <f t="shared" si="2"/>
        <v/>
      </c>
    </row>
    <row r="348">
      <c r="A348" s="4" t="str">
        <f t="shared" si="1"/>
        <v/>
      </c>
      <c r="F348" s="36" t="str">
        <f t="shared" si="4"/>
        <v/>
      </c>
      <c r="G348" s="11"/>
      <c r="H348" s="11" t="str">
        <f>IF(E348="","",SUMIF(Estructuras!B:B,A348,Estructuras!E:E))</f>
        <v/>
      </c>
      <c r="I348" s="8" t="str">
        <f>IF(E348="","",IF(COUNTIF(Estructuras!F:F,E348)=0,"Falta Estructura",IF(COUNTIFS(Estructuras!F:F,E348,Estructuras!E:E,0)&gt;0,"Faltan Precios","OK")))</f>
        <v/>
      </c>
      <c r="J348" s="10" t="str">
        <f>IF(I348="Faltan Precios",COUNTIFS(Estructuras!B:B,A348,Estructuras!E:E,0),"")</f>
        <v/>
      </c>
      <c r="K348" s="8" t="str">
        <f t="shared" si="2"/>
        <v/>
      </c>
    </row>
    <row r="349">
      <c r="A349" s="4" t="str">
        <f t="shared" si="1"/>
        <v/>
      </c>
      <c r="F349" s="36" t="str">
        <f t="shared" si="4"/>
        <v/>
      </c>
      <c r="G349" s="11"/>
      <c r="H349" s="11" t="str">
        <f>IF(E349="","",SUMIF(Estructuras!B:B,A349,Estructuras!E:E))</f>
        <v/>
      </c>
      <c r="I349" s="8" t="str">
        <f>IF(E349="","",IF(COUNTIF(Estructuras!F:F,E349)=0,"Falta Estructura",IF(COUNTIFS(Estructuras!F:F,E349,Estructuras!E:E,0)&gt;0,"Faltan Precios","OK")))</f>
        <v/>
      </c>
      <c r="J349" s="10" t="str">
        <f>IF(I349="Faltan Precios",COUNTIFS(Estructuras!B:B,A349,Estructuras!E:E,0),"")</f>
        <v/>
      </c>
      <c r="K349" s="8" t="str">
        <f t="shared" si="2"/>
        <v/>
      </c>
    </row>
    <row r="350">
      <c r="A350" s="4" t="str">
        <f t="shared" si="1"/>
        <v/>
      </c>
      <c r="F350" s="36" t="str">
        <f t="shared" si="4"/>
        <v/>
      </c>
      <c r="G350" s="11"/>
      <c r="H350" s="11" t="str">
        <f>IF(E350="","",SUMIF(Estructuras!B:B,A350,Estructuras!E:E))</f>
        <v/>
      </c>
      <c r="I350" s="8" t="str">
        <f>IF(E350="","",IF(COUNTIF(Estructuras!F:F,E350)=0,"Falta Estructura",IF(COUNTIFS(Estructuras!F:F,E350,Estructuras!E:E,0)&gt;0,"Faltan Precios","OK")))</f>
        <v/>
      </c>
      <c r="J350" s="10" t="str">
        <f>IF(I350="Faltan Precios",COUNTIFS(Estructuras!B:B,A350,Estructuras!E:E,0),"")</f>
        <v/>
      </c>
      <c r="K350" s="8" t="str">
        <f t="shared" si="2"/>
        <v/>
      </c>
    </row>
    <row r="351">
      <c r="A351" s="4" t="str">
        <f t="shared" si="1"/>
        <v/>
      </c>
      <c r="F351" s="36" t="str">
        <f t="shared" si="4"/>
        <v/>
      </c>
      <c r="G351" s="11"/>
      <c r="H351" s="11" t="str">
        <f>IF(E351="","",SUMIF(Estructuras!B:B,A351,Estructuras!E:E))</f>
        <v/>
      </c>
      <c r="I351" s="8" t="str">
        <f>IF(E351="","",IF(COUNTIF(Estructuras!F:F,E351)=0,"Falta Estructura",IF(COUNTIFS(Estructuras!F:F,E351,Estructuras!E:E,0)&gt;0,"Faltan Precios","OK")))</f>
        <v/>
      </c>
      <c r="J351" s="10" t="str">
        <f>IF(I351="Faltan Precios",COUNTIFS(Estructuras!B:B,A351,Estructuras!E:E,0),"")</f>
        <v/>
      </c>
      <c r="K351" s="8" t="str">
        <f t="shared" si="2"/>
        <v/>
      </c>
    </row>
    <row r="352">
      <c r="A352" s="4" t="str">
        <f t="shared" si="1"/>
        <v/>
      </c>
      <c r="F352" s="36" t="str">
        <f t="shared" si="4"/>
        <v/>
      </c>
      <c r="G352" s="11"/>
      <c r="H352" s="11" t="str">
        <f>IF(E352="","",SUMIF(Estructuras!B:B,A352,Estructuras!E:E))</f>
        <v/>
      </c>
      <c r="I352" s="8" t="str">
        <f>IF(E352="","",IF(COUNTIF(Estructuras!F:F,E352)=0,"Falta Estructura",IF(COUNTIFS(Estructuras!F:F,E352,Estructuras!E:E,0)&gt;0,"Faltan Precios","OK")))</f>
        <v/>
      </c>
      <c r="J352" s="10" t="str">
        <f>IF(I352="Faltan Precios",COUNTIFS(Estructuras!B:B,A352,Estructuras!E:E,0),"")</f>
        <v/>
      </c>
      <c r="K352" s="8" t="str">
        <f t="shared" si="2"/>
        <v/>
      </c>
    </row>
    <row r="353">
      <c r="A353" s="4" t="str">
        <f t="shared" si="1"/>
        <v/>
      </c>
      <c r="F353" s="36" t="str">
        <f t="shared" si="4"/>
        <v/>
      </c>
      <c r="G353" s="11"/>
      <c r="H353" s="11" t="str">
        <f>IF(E353="","",SUMIF(Estructuras!B:B,A353,Estructuras!E:E))</f>
        <v/>
      </c>
      <c r="I353" s="8" t="str">
        <f>IF(E353="","",IF(COUNTIF(Estructuras!F:F,E353)=0,"Falta Estructura",IF(COUNTIFS(Estructuras!F:F,E353,Estructuras!E:E,0)&gt;0,"Faltan Precios","OK")))</f>
        <v/>
      </c>
      <c r="J353" s="10" t="str">
        <f>IF(I353="Faltan Precios",COUNTIFS(Estructuras!B:B,A353,Estructuras!E:E,0),"")</f>
        <v/>
      </c>
      <c r="K353" s="8" t="str">
        <f t="shared" si="2"/>
        <v/>
      </c>
    </row>
    <row r="354">
      <c r="A354" s="4" t="str">
        <f t="shared" si="1"/>
        <v/>
      </c>
      <c r="F354" s="36" t="str">
        <f t="shared" si="4"/>
        <v/>
      </c>
      <c r="G354" s="11"/>
      <c r="H354" s="11" t="str">
        <f>IF(E354="","",SUMIF(Estructuras!B:B,A354,Estructuras!E:E))</f>
        <v/>
      </c>
      <c r="I354" s="8" t="str">
        <f>IF(E354="","",IF(COUNTIF(Estructuras!F:F,E354)=0,"Falta Estructura",IF(COUNTIFS(Estructuras!F:F,E354,Estructuras!E:E,0)&gt;0,"Faltan Precios","OK")))</f>
        <v/>
      </c>
      <c r="J354" s="10" t="str">
        <f>IF(I354="Faltan Precios",COUNTIFS(Estructuras!B:B,A354,Estructuras!E:E,0),"")</f>
        <v/>
      </c>
      <c r="K354" s="8" t="str">
        <f t="shared" si="2"/>
        <v/>
      </c>
    </row>
    <row r="355">
      <c r="A355" s="4" t="str">
        <f t="shared" si="1"/>
        <v/>
      </c>
      <c r="F355" s="36" t="str">
        <f t="shared" si="4"/>
        <v/>
      </c>
      <c r="G355" s="11"/>
      <c r="H355" s="11" t="str">
        <f>IF(E355="","",SUMIF(Estructuras!B:B,A355,Estructuras!E:E))</f>
        <v/>
      </c>
      <c r="I355" s="8" t="str">
        <f>IF(E355="","",IF(COUNTIF(Estructuras!F:F,E355)=0,"Falta Estructura",IF(COUNTIFS(Estructuras!F:F,E355,Estructuras!E:E,0)&gt;0,"Faltan Precios","OK")))</f>
        <v/>
      </c>
      <c r="J355" s="10" t="str">
        <f>IF(I355="Faltan Precios",COUNTIFS(Estructuras!B:B,A355,Estructuras!E:E,0),"")</f>
        <v/>
      </c>
      <c r="K355" s="8" t="str">
        <f t="shared" si="2"/>
        <v/>
      </c>
    </row>
    <row r="356">
      <c r="A356" s="4" t="str">
        <f t="shared" si="1"/>
        <v/>
      </c>
      <c r="F356" s="36" t="str">
        <f t="shared" si="4"/>
        <v/>
      </c>
      <c r="G356" s="11"/>
      <c r="H356" s="11" t="str">
        <f>IF(E356="","",SUMIF(Estructuras!B:B,A356,Estructuras!E:E))</f>
        <v/>
      </c>
      <c r="I356" s="8" t="str">
        <f>IF(E356="","",IF(COUNTIF(Estructuras!F:F,E356)=0,"Falta Estructura",IF(COUNTIFS(Estructuras!F:F,E356,Estructuras!E:E,0)&gt;0,"Faltan Precios","OK")))</f>
        <v/>
      </c>
      <c r="J356" s="10" t="str">
        <f>IF(I356="Faltan Precios",COUNTIFS(Estructuras!B:B,A356,Estructuras!E:E,0),"")</f>
        <v/>
      </c>
      <c r="K356" s="8" t="str">
        <f t="shared" si="2"/>
        <v/>
      </c>
    </row>
    <row r="357">
      <c r="A357" s="4" t="str">
        <f t="shared" si="1"/>
        <v/>
      </c>
      <c r="F357" s="36" t="str">
        <f t="shared" si="4"/>
        <v/>
      </c>
      <c r="G357" s="11"/>
      <c r="H357" s="11" t="str">
        <f>IF(E357="","",SUMIF(Estructuras!B:B,A357,Estructuras!E:E))</f>
        <v/>
      </c>
      <c r="I357" s="8" t="str">
        <f>IF(E357="","",IF(COUNTIF(Estructuras!F:F,E357)=0,"Falta Estructura",IF(COUNTIFS(Estructuras!F:F,E357,Estructuras!E:E,0)&gt;0,"Faltan Precios","OK")))</f>
        <v/>
      </c>
      <c r="J357" s="10" t="str">
        <f>IF(I357="Faltan Precios",COUNTIFS(Estructuras!B:B,A357,Estructuras!E:E,0),"")</f>
        <v/>
      </c>
      <c r="K357" s="8" t="str">
        <f t="shared" si="2"/>
        <v/>
      </c>
    </row>
    <row r="358">
      <c r="A358" s="4" t="str">
        <f t="shared" si="1"/>
        <v/>
      </c>
      <c r="F358" s="36" t="str">
        <f t="shared" si="4"/>
        <v/>
      </c>
      <c r="G358" s="11"/>
      <c r="H358" s="11" t="str">
        <f>IF(E358="","",SUMIF(Estructuras!B:B,A358,Estructuras!E:E))</f>
        <v/>
      </c>
      <c r="I358" s="8" t="str">
        <f>IF(E358="","",IF(COUNTIF(Estructuras!F:F,E358)=0,"Falta Estructura",IF(COUNTIFS(Estructuras!F:F,E358,Estructuras!E:E,0)&gt;0,"Faltan Precios","OK")))</f>
        <v/>
      </c>
      <c r="J358" s="10" t="str">
        <f>IF(I358="Faltan Precios",COUNTIFS(Estructuras!B:B,A358,Estructuras!E:E,0),"")</f>
        <v/>
      </c>
      <c r="K358" s="8" t="str">
        <f t="shared" si="2"/>
        <v/>
      </c>
    </row>
    <row r="359">
      <c r="A359" s="4" t="str">
        <f t="shared" si="1"/>
        <v/>
      </c>
      <c r="F359" s="36" t="str">
        <f t="shared" si="4"/>
        <v/>
      </c>
      <c r="G359" s="11"/>
      <c r="H359" s="11" t="str">
        <f>IF(E359="","",SUMIF(Estructuras!B:B,A359,Estructuras!E:E))</f>
        <v/>
      </c>
      <c r="I359" s="8" t="str">
        <f>IF(E359="","",IF(COUNTIF(Estructuras!F:F,E359)=0,"Falta Estructura",IF(COUNTIFS(Estructuras!F:F,E359,Estructuras!E:E,0)&gt;0,"Faltan Precios","OK")))</f>
        <v/>
      </c>
      <c r="J359" s="10" t="str">
        <f>IF(I359="Faltan Precios",COUNTIFS(Estructuras!B:B,A359,Estructuras!E:E,0),"")</f>
        <v/>
      </c>
      <c r="K359" s="8" t="str">
        <f t="shared" si="2"/>
        <v/>
      </c>
    </row>
    <row r="360">
      <c r="A360" s="4" t="str">
        <f t="shared" si="1"/>
        <v/>
      </c>
      <c r="F360" s="36" t="str">
        <f t="shared" si="4"/>
        <v/>
      </c>
      <c r="G360" s="11"/>
      <c r="H360" s="11" t="str">
        <f>IF(E360="","",SUMIF(Estructuras!B:B,A360,Estructuras!E:E))</f>
        <v/>
      </c>
      <c r="I360" s="8" t="str">
        <f>IF(E360="","",IF(COUNTIF(Estructuras!F:F,E360)=0,"Falta Estructura",IF(COUNTIFS(Estructuras!F:F,E360,Estructuras!E:E,0)&gt;0,"Faltan Precios","OK")))</f>
        <v/>
      </c>
      <c r="J360" s="10" t="str">
        <f>IF(I360="Faltan Precios",COUNTIFS(Estructuras!B:B,A360,Estructuras!E:E,0),"")</f>
        <v/>
      </c>
      <c r="K360" s="8" t="str">
        <f t="shared" si="2"/>
        <v/>
      </c>
    </row>
    <row r="361">
      <c r="A361" s="4" t="str">
        <f t="shared" si="1"/>
        <v/>
      </c>
      <c r="F361" s="36" t="str">
        <f t="shared" si="4"/>
        <v/>
      </c>
      <c r="G361" s="11"/>
      <c r="H361" s="11" t="str">
        <f>IF(E361="","",SUMIF(Estructuras!B:B,A361,Estructuras!E:E))</f>
        <v/>
      </c>
      <c r="I361" s="8" t="str">
        <f>IF(E361="","",IF(COUNTIF(Estructuras!F:F,E361)=0,"Falta Estructura",IF(COUNTIFS(Estructuras!F:F,E361,Estructuras!E:E,0)&gt;0,"Faltan Precios","OK")))</f>
        <v/>
      </c>
      <c r="J361" s="10" t="str">
        <f>IF(I361="Faltan Precios",COUNTIFS(Estructuras!B:B,A361,Estructuras!E:E,0),"")</f>
        <v/>
      </c>
      <c r="K361" s="8" t="str">
        <f t="shared" si="2"/>
        <v/>
      </c>
    </row>
    <row r="362">
      <c r="A362" s="4" t="str">
        <f t="shared" si="1"/>
        <v/>
      </c>
      <c r="F362" s="36" t="str">
        <f t="shared" si="4"/>
        <v/>
      </c>
      <c r="G362" s="11"/>
      <c r="H362" s="11" t="str">
        <f>IF(E362="","",SUMIF(Estructuras!B:B,A362,Estructuras!E:E))</f>
        <v/>
      </c>
      <c r="I362" s="8" t="str">
        <f>IF(E362="","",IF(COUNTIF(Estructuras!F:F,E362)=0,"Falta Estructura",IF(COUNTIFS(Estructuras!F:F,E362,Estructuras!E:E,0)&gt;0,"Faltan Precios","OK")))</f>
        <v/>
      </c>
      <c r="J362" s="10" t="str">
        <f>IF(I362="Faltan Precios",COUNTIFS(Estructuras!B:B,A362,Estructuras!E:E,0),"")</f>
        <v/>
      </c>
      <c r="K362" s="8" t="str">
        <f t="shared" si="2"/>
        <v/>
      </c>
    </row>
    <row r="363">
      <c r="A363" s="4" t="str">
        <f t="shared" si="1"/>
        <v/>
      </c>
      <c r="F363" s="36" t="str">
        <f t="shared" si="4"/>
        <v/>
      </c>
      <c r="G363" s="11"/>
      <c r="H363" s="11" t="str">
        <f>IF(E363="","",SUMIF(Estructuras!B:B,A363,Estructuras!E:E))</f>
        <v/>
      </c>
      <c r="I363" s="8" t="str">
        <f>IF(E363="","",IF(COUNTIF(Estructuras!F:F,E363)=0,"Falta Estructura",IF(COUNTIFS(Estructuras!F:F,E363,Estructuras!E:E,0)&gt;0,"Faltan Precios","OK")))</f>
        <v/>
      </c>
      <c r="J363" s="10" t="str">
        <f>IF(I363="Faltan Precios",COUNTIFS(Estructuras!B:B,A363,Estructuras!E:E,0),"")</f>
        <v/>
      </c>
      <c r="K363" s="8" t="str">
        <f t="shared" si="2"/>
        <v/>
      </c>
    </row>
    <row r="364">
      <c r="A364" s="4" t="str">
        <f t="shared" si="1"/>
        <v/>
      </c>
      <c r="F364" s="36" t="str">
        <f t="shared" si="4"/>
        <v/>
      </c>
      <c r="G364" s="11"/>
      <c r="H364" s="11" t="str">
        <f>IF(E364="","",SUMIF(Estructuras!B:B,A364,Estructuras!E:E))</f>
        <v/>
      </c>
      <c r="I364" s="8" t="str">
        <f>IF(E364="","",IF(COUNTIF(Estructuras!F:F,E364)=0,"Falta Estructura",IF(COUNTIFS(Estructuras!F:F,E364,Estructuras!E:E,0)&gt;0,"Faltan Precios","OK")))</f>
        <v/>
      </c>
      <c r="J364" s="10" t="str">
        <f>IF(I364="Faltan Precios",COUNTIFS(Estructuras!B:B,A364,Estructuras!E:E,0),"")</f>
        <v/>
      </c>
      <c r="K364" s="8" t="str">
        <f t="shared" si="2"/>
        <v/>
      </c>
    </row>
    <row r="365">
      <c r="A365" s="4" t="str">
        <f t="shared" si="1"/>
        <v/>
      </c>
      <c r="F365" s="36" t="str">
        <f t="shared" si="4"/>
        <v/>
      </c>
      <c r="G365" s="11"/>
      <c r="H365" s="11" t="str">
        <f>IF(E365="","",SUMIF(Estructuras!B:B,A365,Estructuras!E:E))</f>
        <v/>
      </c>
      <c r="I365" s="8" t="str">
        <f>IF(E365="","",IF(COUNTIF(Estructuras!F:F,E365)=0,"Falta Estructura",IF(COUNTIFS(Estructuras!F:F,E365,Estructuras!E:E,0)&gt;0,"Faltan Precios","OK")))</f>
        <v/>
      </c>
      <c r="J365" s="10" t="str">
        <f>IF(I365="Faltan Precios",COUNTIFS(Estructuras!B:B,A365,Estructuras!E:E,0),"")</f>
        <v/>
      </c>
      <c r="K365" s="8" t="str">
        <f t="shared" si="2"/>
        <v/>
      </c>
    </row>
    <row r="366">
      <c r="A366" s="4" t="str">
        <f t="shared" si="1"/>
        <v/>
      </c>
      <c r="F366" s="36" t="str">
        <f t="shared" si="4"/>
        <v/>
      </c>
      <c r="G366" s="11"/>
      <c r="H366" s="11" t="str">
        <f>IF(E366="","",SUMIF(Estructuras!B:B,A366,Estructuras!E:E))</f>
        <v/>
      </c>
      <c r="I366" s="8" t="str">
        <f>IF(E366="","",IF(COUNTIF(Estructuras!F:F,E366)=0,"Falta Estructura",IF(COUNTIFS(Estructuras!F:F,E366,Estructuras!E:E,0)&gt;0,"Faltan Precios","OK")))</f>
        <v/>
      </c>
      <c r="J366" s="10" t="str">
        <f>IF(I366="Faltan Precios",COUNTIFS(Estructuras!B:B,A366,Estructuras!E:E,0),"")</f>
        <v/>
      </c>
      <c r="K366" s="8" t="str">
        <f t="shared" si="2"/>
        <v/>
      </c>
    </row>
    <row r="367">
      <c r="A367" s="4" t="str">
        <f t="shared" si="1"/>
        <v/>
      </c>
      <c r="F367" s="36" t="str">
        <f t="shared" si="4"/>
        <v/>
      </c>
      <c r="G367" s="11"/>
      <c r="H367" s="11" t="str">
        <f>IF(E367="","",SUMIF(Estructuras!B:B,A367,Estructuras!E:E))</f>
        <v/>
      </c>
      <c r="I367" s="8" t="str">
        <f>IF(E367="","",IF(COUNTIF(Estructuras!F:F,E367)=0,"Falta Estructura",IF(COUNTIFS(Estructuras!F:F,E367,Estructuras!E:E,0)&gt;0,"Faltan Precios","OK")))</f>
        <v/>
      </c>
      <c r="J367" s="10" t="str">
        <f>IF(I367="Faltan Precios",COUNTIFS(Estructuras!B:B,A367,Estructuras!E:E,0),"")</f>
        <v/>
      </c>
      <c r="K367" s="8" t="str">
        <f t="shared" si="2"/>
        <v/>
      </c>
    </row>
    <row r="368">
      <c r="A368" s="4" t="str">
        <f t="shared" si="1"/>
        <v/>
      </c>
      <c r="F368" s="36" t="str">
        <f t="shared" si="4"/>
        <v/>
      </c>
      <c r="G368" s="11"/>
      <c r="H368" s="11" t="str">
        <f>IF(E368="","",SUMIF(Estructuras!B:B,A368,Estructuras!E:E))</f>
        <v/>
      </c>
      <c r="I368" s="8" t="str">
        <f>IF(E368="","",IF(COUNTIF(Estructuras!F:F,E368)=0,"Falta Estructura",IF(COUNTIFS(Estructuras!F:F,E368,Estructuras!E:E,0)&gt;0,"Faltan Precios","OK")))</f>
        <v/>
      </c>
      <c r="J368" s="10" t="str">
        <f>IF(I368="Faltan Precios",COUNTIFS(Estructuras!B:B,A368,Estructuras!E:E,0),"")</f>
        <v/>
      </c>
      <c r="K368" s="8" t="str">
        <f t="shared" si="2"/>
        <v/>
      </c>
    </row>
    <row r="369">
      <c r="A369" s="4" t="str">
        <f t="shared" si="1"/>
        <v/>
      </c>
      <c r="F369" s="36" t="str">
        <f t="shared" si="4"/>
        <v/>
      </c>
      <c r="G369" s="11"/>
      <c r="H369" s="11" t="str">
        <f>IF(E369="","",SUMIF(Estructuras!B:B,A369,Estructuras!E:E))</f>
        <v/>
      </c>
      <c r="I369" s="8" t="str">
        <f>IF(E369="","",IF(COUNTIF(Estructuras!F:F,E369)=0,"Falta Estructura",IF(COUNTIFS(Estructuras!F:F,E369,Estructuras!E:E,0)&gt;0,"Faltan Precios","OK")))</f>
        <v/>
      </c>
      <c r="J369" s="10" t="str">
        <f>IF(I369="Faltan Precios",COUNTIFS(Estructuras!B:B,A369,Estructuras!E:E,0),"")</f>
        <v/>
      </c>
      <c r="K369" s="8" t="str">
        <f t="shared" si="2"/>
        <v/>
      </c>
    </row>
    <row r="370">
      <c r="A370" s="4" t="str">
        <f t="shared" si="1"/>
        <v/>
      </c>
      <c r="F370" s="36" t="str">
        <f t="shared" si="4"/>
        <v/>
      </c>
      <c r="G370" s="11"/>
      <c r="H370" s="11" t="str">
        <f>IF(E370="","",SUMIF(Estructuras!B:B,A370,Estructuras!E:E))</f>
        <v/>
      </c>
      <c r="I370" s="8" t="str">
        <f>IF(E370="","",IF(COUNTIF(Estructuras!F:F,E370)=0,"Falta Estructura",IF(COUNTIFS(Estructuras!F:F,E370,Estructuras!E:E,0)&gt;0,"Faltan Precios","OK")))</f>
        <v/>
      </c>
      <c r="J370" s="10" t="str">
        <f>IF(I370="Faltan Precios",COUNTIFS(Estructuras!B:B,A370,Estructuras!E:E,0),"")</f>
        <v/>
      </c>
      <c r="K370" s="8" t="str">
        <f t="shared" si="2"/>
        <v/>
      </c>
    </row>
    <row r="371">
      <c r="A371" s="4" t="str">
        <f t="shared" si="1"/>
        <v/>
      </c>
      <c r="F371" s="36" t="str">
        <f t="shared" si="4"/>
        <v/>
      </c>
      <c r="G371" s="11"/>
      <c r="H371" s="11" t="str">
        <f>IF(E371="","",SUMIF(Estructuras!B:B,A371,Estructuras!E:E))</f>
        <v/>
      </c>
      <c r="I371" s="8" t="str">
        <f>IF(E371="","",IF(COUNTIF(Estructuras!F:F,E371)=0,"Falta Estructura",IF(COUNTIFS(Estructuras!F:F,E371,Estructuras!E:E,0)&gt;0,"Faltan Precios","OK")))</f>
        <v/>
      </c>
      <c r="J371" s="10" t="str">
        <f>IF(I371="Faltan Precios",COUNTIFS(Estructuras!B:B,A371,Estructuras!E:E,0),"")</f>
        <v/>
      </c>
      <c r="K371" s="8" t="str">
        <f t="shared" si="2"/>
        <v/>
      </c>
    </row>
    <row r="372">
      <c r="A372" s="4" t="str">
        <f t="shared" si="1"/>
        <v/>
      </c>
      <c r="F372" s="36" t="str">
        <f t="shared" si="4"/>
        <v/>
      </c>
      <c r="G372" s="11"/>
      <c r="H372" s="11" t="str">
        <f>IF(E372="","",SUMIF(Estructuras!B:B,A372,Estructuras!E:E))</f>
        <v/>
      </c>
      <c r="I372" s="8" t="str">
        <f>IF(E372="","",IF(COUNTIF(Estructuras!F:F,E372)=0,"Falta Estructura",IF(COUNTIFS(Estructuras!F:F,E372,Estructuras!E:E,0)&gt;0,"Faltan Precios","OK")))</f>
        <v/>
      </c>
      <c r="J372" s="10" t="str">
        <f>IF(I372="Faltan Precios",COUNTIFS(Estructuras!B:B,A372,Estructuras!E:E,0),"")</f>
        <v/>
      </c>
      <c r="K372" s="8" t="str">
        <f t="shared" si="2"/>
        <v/>
      </c>
    </row>
    <row r="373">
      <c r="A373" s="4" t="str">
        <f t="shared" si="1"/>
        <v/>
      </c>
      <c r="F373" s="36" t="str">
        <f t="shared" si="4"/>
        <v/>
      </c>
      <c r="G373" s="11"/>
      <c r="H373" s="11" t="str">
        <f>IF(E373="","",SUMIF(Estructuras!B:B,A373,Estructuras!E:E))</f>
        <v/>
      </c>
      <c r="I373" s="8" t="str">
        <f>IF(E373="","",IF(COUNTIF(Estructuras!F:F,E373)=0,"Falta Estructura",IF(COUNTIFS(Estructuras!F:F,E373,Estructuras!E:E,0)&gt;0,"Faltan Precios","OK")))</f>
        <v/>
      </c>
      <c r="J373" s="10" t="str">
        <f>IF(I373="Faltan Precios",COUNTIFS(Estructuras!B:B,A373,Estructuras!E:E,0),"")</f>
        <v/>
      </c>
      <c r="K373" s="8" t="str">
        <f t="shared" si="2"/>
        <v/>
      </c>
    </row>
    <row r="374">
      <c r="A374" s="4" t="str">
        <f t="shared" si="1"/>
        <v/>
      </c>
      <c r="F374" s="36" t="str">
        <f t="shared" si="4"/>
        <v/>
      </c>
      <c r="G374" s="11"/>
      <c r="H374" s="11" t="str">
        <f>IF(E374="","",SUMIF(Estructuras!B:B,A374,Estructuras!E:E))</f>
        <v/>
      </c>
      <c r="I374" s="8" t="str">
        <f>IF(E374="","",IF(COUNTIF(Estructuras!F:F,E374)=0,"Falta Estructura",IF(COUNTIFS(Estructuras!F:F,E374,Estructuras!E:E,0)&gt;0,"Faltan Precios","OK")))</f>
        <v/>
      </c>
      <c r="J374" s="10" t="str">
        <f>IF(I374="Faltan Precios",COUNTIFS(Estructuras!B:B,A374,Estructuras!E:E,0),"")</f>
        <v/>
      </c>
      <c r="K374" s="8" t="str">
        <f t="shared" si="2"/>
        <v/>
      </c>
    </row>
    <row r="375">
      <c r="A375" s="4" t="str">
        <f t="shared" si="1"/>
        <v/>
      </c>
      <c r="F375" s="36" t="str">
        <f t="shared" si="4"/>
        <v/>
      </c>
      <c r="G375" s="11"/>
      <c r="H375" s="11" t="str">
        <f>IF(E375="","",SUMIF(Estructuras!B:B,A375,Estructuras!E:E))</f>
        <v/>
      </c>
      <c r="I375" s="8" t="str">
        <f>IF(E375="","",IF(COUNTIF(Estructuras!F:F,E375)=0,"Falta Estructura",IF(COUNTIFS(Estructuras!F:F,E375,Estructuras!E:E,0)&gt;0,"Faltan Precios","OK")))</f>
        <v/>
      </c>
      <c r="J375" s="10" t="str">
        <f>IF(I375="Faltan Precios",COUNTIFS(Estructuras!B:B,A375,Estructuras!E:E,0),"")</f>
        <v/>
      </c>
      <c r="K375" s="8" t="str">
        <f t="shared" si="2"/>
        <v/>
      </c>
    </row>
    <row r="376">
      <c r="A376" s="4" t="str">
        <f t="shared" si="1"/>
        <v/>
      </c>
      <c r="F376" s="36" t="str">
        <f t="shared" si="4"/>
        <v/>
      </c>
      <c r="G376" s="11"/>
      <c r="H376" s="11" t="str">
        <f>IF(E376="","",SUMIF(Estructuras!B:B,A376,Estructuras!E:E))</f>
        <v/>
      </c>
      <c r="I376" s="8" t="str">
        <f>IF(E376="","",IF(COUNTIF(Estructuras!F:F,E376)=0,"Falta Estructura",IF(COUNTIFS(Estructuras!F:F,E376,Estructuras!E:E,0)&gt;0,"Faltan Precios","OK")))</f>
        <v/>
      </c>
      <c r="J376" s="10" t="str">
        <f>IF(I376="Faltan Precios",COUNTIFS(Estructuras!B:B,A376,Estructuras!E:E,0),"")</f>
        <v/>
      </c>
      <c r="K376" s="8" t="str">
        <f t="shared" si="2"/>
        <v/>
      </c>
    </row>
    <row r="377">
      <c r="A377" s="4" t="str">
        <f t="shared" si="1"/>
        <v/>
      </c>
      <c r="F377" s="36" t="str">
        <f t="shared" si="4"/>
        <v/>
      </c>
      <c r="G377" s="11"/>
      <c r="H377" s="11" t="str">
        <f>IF(E377="","",SUMIF(Estructuras!B:B,A377,Estructuras!E:E))</f>
        <v/>
      </c>
      <c r="I377" s="8" t="str">
        <f>IF(E377="","",IF(COUNTIF(Estructuras!F:F,E377)=0,"Falta Estructura",IF(COUNTIFS(Estructuras!F:F,E377,Estructuras!E:E,0)&gt;0,"Faltan Precios","OK")))</f>
        <v/>
      </c>
      <c r="J377" s="10" t="str">
        <f>IF(I377="Faltan Precios",COUNTIFS(Estructuras!B:B,A377,Estructuras!E:E,0),"")</f>
        <v/>
      </c>
      <c r="K377" s="8" t="str">
        <f t="shared" si="2"/>
        <v/>
      </c>
    </row>
    <row r="378">
      <c r="A378" s="4" t="str">
        <f t="shared" si="1"/>
        <v/>
      </c>
      <c r="F378" s="36" t="str">
        <f t="shared" si="4"/>
        <v/>
      </c>
      <c r="G378" s="11"/>
      <c r="H378" s="11" t="str">
        <f>IF(E378="","",SUMIF(Estructuras!B:B,A378,Estructuras!E:E))</f>
        <v/>
      </c>
      <c r="I378" s="8" t="str">
        <f>IF(E378="","",IF(COUNTIF(Estructuras!F:F,E378)=0,"Falta Estructura",IF(COUNTIFS(Estructuras!F:F,E378,Estructuras!E:E,0)&gt;0,"Faltan Precios","OK")))</f>
        <v/>
      </c>
      <c r="J378" s="10" t="str">
        <f>IF(I378="Faltan Precios",COUNTIFS(Estructuras!B:B,A378,Estructuras!E:E,0),"")</f>
        <v/>
      </c>
      <c r="K378" s="8" t="str">
        <f t="shared" si="2"/>
        <v/>
      </c>
    </row>
    <row r="379">
      <c r="A379" s="4" t="str">
        <f t="shared" si="1"/>
        <v/>
      </c>
      <c r="F379" s="36" t="str">
        <f t="shared" si="4"/>
        <v/>
      </c>
      <c r="G379" s="11"/>
      <c r="H379" s="11" t="str">
        <f>IF(E379="","",SUMIF(Estructuras!B:B,A379,Estructuras!E:E))</f>
        <v/>
      </c>
      <c r="I379" s="8" t="str">
        <f>IF(E379="","",IF(COUNTIF(Estructuras!F:F,E379)=0,"Falta Estructura",IF(COUNTIFS(Estructuras!F:F,E379,Estructuras!E:E,0)&gt;0,"Faltan Precios","OK")))</f>
        <v/>
      </c>
      <c r="J379" s="10" t="str">
        <f>IF(I379="Faltan Precios",COUNTIFS(Estructuras!B:B,A379,Estructuras!E:E,0),"")</f>
        <v/>
      </c>
      <c r="K379" s="8" t="str">
        <f t="shared" si="2"/>
        <v/>
      </c>
    </row>
    <row r="380">
      <c r="A380" s="4" t="str">
        <f t="shared" si="1"/>
        <v/>
      </c>
      <c r="F380" s="36" t="str">
        <f t="shared" si="4"/>
        <v/>
      </c>
      <c r="G380" s="11"/>
      <c r="H380" s="11" t="str">
        <f>IF(E380="","",SUMIF(Estructuras!B:B,A380,Estructuras!E:E))</f>
        <v/>
      </c>
      <c r="I380" s="8" t="str">
        <f>IF(E380="","",IF(COUNTIF(Estructuras!F:F,E380)=0,"Falta Estructura",IF(COUNTIFS(Estructuras!F:F,E380,Estructuras!E:E,0)&gt;0,"Faltan Precios","OK")))</f>
        <v/>
      </c>
      <c r="J380" s="10" t="str">
        <f>IF(I380="Faltan Precios",COUNTIFS(Estructuras!B:B,A380,Estructuras!E:E,0),"")</f>
        <v/>
      </c>
      <c r="K380" s="8" t="str">
        <f t="shared" si="2"/>
        <v/>
      </c>
    </row>
    <row r="381">
      <c r="A381" s="4" t="str">
        <f t="shared" si="1"/>
        <v/>
      </c>
      <c r="F381" s="36" t="str">
        <f t="shared" si="4"/>
        <v/>
      </c>
      <c r="G381" s="11"/>
      <c r="H381" s="11" t="str">
        <f>IF(E381="","",SUMIF(Estructuras!B:B,A381,Estructuras!E:E))</f>
        <v/>
      </c>
      <c r="I381" s="8" t="str">
        <f>IF(E381="","",IF(COUNTIF(Estructuras!F:F,E381)=0,"Falta Estructura",IF(COUNTIFS(Estructuras!F:F,E381,Estructuras!E:E,0)&gt;0,"Faltan Precios","OK")))</f>
        <v/>
      </c>
      <c r="J381" s="10" t="str">
        <f>IF(I381="Faltan Precios",COUNTIFS(Estructuras!B:B,A381,Estructuras!E:E,0),"")</f>
        <v/>
      </c>
      <c r="K381" s="8" t="str">
        <f t="shared" si="2"/>
        <v/>
      </c>
    </row>
    <row r="382">
      <c r="A382" s="4" t="str">
        <f t="shared" si="1"/>
        <v/>
      </c>
      <c r="F382" s="36" t="str">
        <f t="shared" si="4"/>
        <v/>
      </c>
      <c r="G382" s="11"/>
      <c r="H382" s="11" t="str">
        <f>IF(E382="","",SUMIF(Estructuras!B:B,A382,Estructuras!E:E))</f>
        <v/>
      </c>
      <c r="I382" s="8" t="str">
        <f>IF(E382="","",IF(COUNTIF(Estructuras!F:F,E382)=0,"Falta Estructura",IF(COUNTIFS(Estructuras!F:F,E382,Estructuras!E:E,0)&gt;0,"Faltan Precios","OK")))</f>
        <v/>
      </c>
      <c r="J382" s="10" t="str">
        <f>IF(I382="Faltan Precios",COUNTIFS(Estructuras!B:B,A382,Estructuras!E:E,0),"")</f>
        <v/>
      </c>
      <c r="K382" s="8" t="str">
        <f t="shared" si="2"/>
        <v/>
      </c>
    </row>
    <row r="383">
      <c r="A383" s="4" t="str">
        <f t="shared" si="1"/>
        <v/>
      </c>
      <c r="F383" s="36" t="str">
        <f t="shared" si="4"/>
        <v/>
      </c>
      <c r="G383" s="11"/>
      <c r="H383" s="11" t="str">
        <f>IF(E383="","",SUMIF(Estructuras!B:B,A383,Estructuras!E:E))</f>
        <v/>
      </c>
      <c r="I383" s="8" t="str">
        <f>IF(E383="","",IF(COUNTIF(Estructuras!F:F,E383)=0,"Falta Estructura",IF(COUNTIFS(Estructuras!F:F,E383,Estructuras!E:E,0)&gt;0,"Faltan Precios","OK")))</f>
        <v/>
      </c>
      <c r="J383" s="10" t="str">
        <f>IF(I383="Faltan Precios",COUNTIFS(Estructuras!B:B,A383,Estructuras!E:E,0),"")</f>
        <v/>
      </c>
      <c r="K383" s="8" t="str">
        <f t="shared" si="2"/>
        <v/>
      </c>
    </row>
    <row r="384">
      <c r="A384" s="4" t="str">
        <f t="shared" si="1"/>
        <v/>
      </c>
      <c r="F384" s="36" t="str">
        <f t="shared" si="4"/>
        <v/>
      </c>
      <c r="G384" s="11"/>
      <c r="H384" s="11" t="str">
        <f>IF(E384="","",SUMIF(Estructuras!B:B,A384,Estructuras!E:E))</f>
        <v/>
      </c>
      <c r="I384" s="8" t="str">
        <f>IF(E384="","",IF(COUNTIF(Estructuras!F:F,E384)=0,"Falta Estructura",IF(COUNTIFS(Estructuras!F:F,E384,Estructuras!E:E,0)&gt;0,"Faltan Precios","OK")))</f>
        <v/>
      </c>
      <c r="J384" s="10" t="str">
        <f>IF(I384="Faltan Precios",COUNTIFS(Estructuras!B:B,A384,Estructuras!E:E,0),"")</f>
        <v/>
      </c>
      <c r="K384" s="8" t="str">
        <f t="shared" si="2"/>
        <v/>
      </c>
    </row>
    <row r="385">
      <c r="A385" s="4" t="str">
        <f t="shared" si="1"/>
        <v/>
      </c>
      <c r="F385" s="36" t="str">
        <f t="shared" si="4"/>
        <v/>
      </c>
      <c r="G385" s="11"/>
      <c r="H385" s="11" t="str">
        <f>IF(E385="","",SUMIF(Estructuras!B:B,A385,Estructuras!E:E))</f>
        <v/>
      </c>
      <c r="I385" s="8" t="str">
        <f>IF(E385="","",IF(COUNTIF(Estructuras!F:F,E385)=0,"Falta Estructura",IF(COUNTIFS(Estructuras!F:F,E385,Estructuras!E:E,0)&gt;0,"Faltan Precios","OK")))</f>
        <v/>
      </c>
      <c r="J385" s="10" t="str">
        <f>IF(I385="Faltan Precios",COUNTIFS(Estructuras!B:B,A385,Estructuras!E:E,0),"")</f>
        <v/>
      </c>
      <c r="K385" s="8" t="str">
        <f t="shared" si="2"/>
        <v/>
      </c>
    </row>
    <row r="386">
      <c r="A386" s="4" t="str">
        <f t="shared" si="1"/>
        <v/>
      </c>
      <c r="F386" s="36" t="str">
        <f t="shared" si="4"/>
        <v/>
      </c>
      <c r="G386" s="11"/>
      <c r="H386" s="11" t="str">
        <f>IF(E386="","",SUMIF(Estructuras!B:B,A386,Estructuras!E:E))</f>
        <v/>
      </c>
      <c r="I386" s="8" t="str">
        <f>IF(E386="","",IF(COUNTIF(Estructuras!F:F,E386)=0,"Falta Estructura",IF(COUNTIFS(Estructuras!F:F,E386,Estructuras!E:E,0)&gt;0,"Faltan Precios","OK")))</f>
        <v/>
      </c>
      <c r="J386" s="10" t="str">
        <f>IF(I386="Faltan Precios",COUNTIFS(Estructuras!B:B,A386,Estructuras!E:E,0),"")</f>
        <v/>
      </c>
      <c r="K386" s="8" t="str">
        <f t="shared" si="2"/>
        <v/>
      </c>
    </row>
    <row r="387">
      <c r="A387" s="4" t="str">
        <f t="shared" si="1"/>
        <v/>
      </c>
      <c r="F387" s="36" t="str">
        <f t="shared" si="4"/>
        <v/>
      </c>
      <c r="G387" s="11"/>
      <c r="H387" s="11" t="str">
        <f>IF(E387="","",SUMIF(Estructuras!B:B,A387,Estructuras!E:E))</f>
        <v/>
      </c>
      <c r="I387" s="8" t="str">
        <f>IF(E387="","",IF(COUNTIF(Estructuras!F:F,E387)=0,"Falta Estructura",IF(COUNTIFS(Estructuras!F:F,E387,Estructuras!E:E,0)&gt;0,"Faltan Precios","OK")))</f>
        <v/>
      </c>
      <c r="J387" s="10" t="str">
        <f>IF(I387="Faltan Precios",COUNTIFS(Estructuras!B:B,A387,Estructuras!E:E,0),"")</f>
        <v/>
      </c>
      <c r="K387" s="8" t="str">
        <f t="shared" si="2"/>
        <v/>
      </c>
    </row>
    <row r="388">
      <c r="A388" s="4" t="str">
        <f t="shared" si="1"/>
        <v/>
      </c>
      <c r="F388" s="36" t="str">
        <f t="shared" si="4"/>
        <v/>
      </c>
      <c r="G388" s="11"/>
      <c r="H388" s="11" t="str">
        <f>IF(E388="","",SUMIF(Estructuras!B:B,A388,Estructuras!E:E))</f>
        <v/>
      </c>
      <c r="I388" s="8" t="str">
        <f>IF(E388="","",IF(COUNTIF(Estructuras!F:F,E388)=0,"Falta Estructura",IF(COUNTIFS(Estructuras!F:F,E388,Estructuras!E:E,0)&gt;0,"Faltan Precios","OK")))</f>
        <v/>
      </c>
      <c r="J388" s="10" t="str">
        <f>IF(I388="Faltan Precios",COUNTIFS(Estructuras!B:B,A388,Estructuras!E:E,0),"")</f>
        <v/>
      </c>
      <c r="K388" s="8" t="str">
        <f t="shared" si="2"/>
        <v/>
      </c>
    </row>
    <row r="389">
      <c r="A389" s="4" t="str">
        <f t="shared" si="1"/>
        <v/>
      </c>
      <c r="F389" s="36" t="str">
        <f t="shared" si="4"/>
        <v/>
      </c>
      <c r="G389" s="11"/>
      <c r="H389" s="11" t="str">
        <f>IF(E389="","",SUMIF(Estructuras!B:B,A389,Estructuras!E:E))</f>
        <v/>
      </c>
      <c r="I389" s="8" t="str">
        <f>IF(E389="","",IF(COUNTIF(Estructuras!F:F,E389)=0,"Falta Estructura",IF(COUNTIFS(Estructuras!F:F,E389,Estructuras!E:E,0)&gt;0,"Faltan Precios","OK")))</f>
        <v/>
      </c>
      <c r="J389" s="10" t="str">
        <f>IF(I389="Faltan Precios",COUNTIFS(Estructuras!B:B,A389,Estructuras!E:E,0),"")</f>
        <v/>
      </c>
      <c r="K389" s="8" t="str">
        <f t="shared" si="2"/>
        <v/>
      </c>
    </row>
    <row r="390">
      <c r="A390" s="4" t="str">
        <f t="shared" si="1"/>
        <v/>
      </c>
      <c r="F390" s="36" t="str">
        <f t="shared" si="4"/>
        <v/>
      </c>
      <c r="G390" s="11"/>
      <c r="H390" s="11" t="str">
        <f>IF(E390="","",SUMIF(Estructuras!B:B,A390,Estructuras!E:E))</f>
        <v/>
      </c>
      <c r="I390" s="8" t="str">
        <f>IF(E390="","",IF(COUNTIF(Estructuras!F:F,E390)=0,"Falta Estructura",IF(COUNTIFS(Estructuras!F:F,E390,Estructuras!E:E,0)&gt;0,"Faltan Precios","OK")))</f>
        <v/>
      </c>
      <c r="J390" s="10" t="str">
        <f>IF(I390="Faltan Precios",COUNTIFS(Estructuras!B:B,A390,Estructuras!E:E,0),"")</f>
        <v/>
      </c>
      <c r="K390" s="8" t="str">
        <f t="shared" si="2"/>
        <v/>
      </c>
    </row>
    <row r="391">
      <c r="A391" s="4" t="str">
        <f t="shared" si="1"/>
        <v/>
      </c>
      <c r="F391" s="36" t="str">
        <f t="shared" si="4"/>
        <v/>
      </c>
      <c r="G391" s="11"/>
      <c r="H391" s="11" t="str">
        <f>IF(E391="","",SUMIF(Estructuras!B:B,A391,Estructuras!E:E))</f>
        <v/>
      </c>
      <c r="I391" s="8" t="str">
        <f>IF(E391="","",IF(COUNTIF(Estructuras!F:F,E391)=0,"Falta Estructura",IF(COUNTIFS(Estructuras!F:F,E391,Estructuras!E:E,0)&gt;0,"Faltan Precios","OK")))</f>
        <v/>
      </c>
      <c r="J391" s="10" t="str">
        <f>IF(I391="Faltan Precios",COUNTIFS(Estructuras!B:B,A391,Estructuras!E:E,0),"")</f>
        <v/>
      </c>
      <c r="K391" s="8" t="str">
        <f t="shared" si="2"/>
        <v/>
      </c>
    </row>
    <row r="392">
      <c r="A392" s="4" t="str">
        <f t="shared" si="1"/>
        <v/>
      </c>
      <c r="F392" s="36" t="str">
        <f t="shared" si="4"/>
        <v/>
      </c>
      <c r="G392" s="11"/>
      <c r="H392" s="11" t="str">
        <f>IF(E392="","",SUMIF(Estructuras!B:B,A392,Estructuras!E:E))</f>
        <v/>
      </c>
      <c r="I392" s="8" t="str">
        <f>IF(E392="","",IF(COUNTIF(Estructuras!F:F,E392)=0,"Falta Estructura",IF(COUNTIFS(Estructuras!F:F,E392,Estructuras!E:E,0)&gt;0,"Faltan Precios","OK")))</f>
        <v/>
      </c>
      <c r="J392" s="10" t="str">
        <f>IF(I392="Faltan Precios",COUNTIFS(Estructuras!B:B,A392,Estructuras!E:E,0),"")</f>
        <v/>
      </c>
      <c r="K392" s="8" t="str">
        <f t="shared" si="2"/>
        <v/>
      </c>
    </row>
    <row r="393">
      <c r="A393" s="4" t="str">
        <f t="shared" si="1"/>
        <v/>
      </c>
      <c r="F393" s="36" t="str">
        <f t="shared" si="4"/>
        <v/>
      </c>
      <c r="G393" s="11"/>
      <c r="H393" s="11" t="str">
        <f>IF(E393="","",SUMIF(Estructuras!B:B,A393,Estructuras!E:E))</f>
        <v/>
      </c>
      <c r="I393" s="8" t="str">
        <f>IF(E393="","",IF(COUNTIF(Estructuras!F:F,E393)=0,"Falta Estructura",IF(COUNTIFS(Estructuras!F:F,E393,Estructuras!E:E,0)&gt;0,"Faltan Precios","OK")))</f>
        <v/>
      </c>
      <c r="J393" s="10" t="str">
        <f>IF(I393="Faltan Precios",COUNTIFS(Estructuras!B:B,A393,Estructuras!E:E,0),"")</f>
        <v/>
      </c>
      <c r="K393" s="8" t="str">
        <f t="shared" si="2"/>
        <v/>
      </c>
    </row>
    <row r="394">
      <c r="A394" s="4" t="str">
        <f t="shared" si="1"/>
        <v/>
      </c>
      <c r="F394" s="36" t="str">
        <f t="shared" si="4"/>
        <v/>
      </c>
      <c r="G394" s="11"/>
      <c r="H394" s="11" t="str">
        <f>IF(E394="","",SUMIF(Estructuras!B:B,A394,Estructuras!E:E))</f>
        <v/>
      </c>
      <c r="I394" s="8" t="str">
        <f>IF(E394="","",IF(COUNTIF(Estructuras!F:F,E394)=0,"Falta Estructura",IF(COUNTIFS(Estructuras!F:F,E394,Estructuras!E:E,0)&gt;0,"Faltan Precios","OK")))</f>
        <v/>
      </c>
      <c r="J394" s="10" t="str">
        <f>IF(I394="Faltan Precios",COUNTIFS(Estructuras!B:B,A394,Estructuras!E:E,0),"")</f>
        <v/>
      </c>
      <c r="K394" s="8" t="str">
        <f t="shared" si="2"/>
        <v/>
      </c>
    </row>
    <row r="395">
      <c r="A395" s="4" t="str">
        <f t="shared" si="1"/>
        <v/>
      </c>
      <c r="F395" s="36" t="str">
        <f t="shared" si="4"/>
        <v/>
      </c>
      <c r="G395" s="11"/>
      <c r="H395" s="11" t="str">
        <f>IF(E395="","",SUMIF(Estructuras!B:B,A395,Estructuras!E:E))</f>
        <v/>
      </c>
      <c r="I395" s="8" t="str">
        <f>IF(E395="","",IF(COUNTIF(Estructuras!F:F,E395)=0,"Falta Estructura",IF(COUNTIFS(Estructuras!F:F,E395,Estructuras!E:E,0)&gt;0,"Faltan Precios","OK")))</f>
        <v/>
      </c>
      <c r="J395" s="10" t="str">
        <f>IF(I395="Faltan Precios",COUNTIFS(Estructuras!B:B,A395,Estructuras!E:E,0),"")</f>
        <v/>
      </c>
      <c r="K395" s="8" t="str">
        <f t="shared" si="2"/>
        <v/>
      </c>
    </row>
    <row r="396">
      <c r="A396" s="4" t="str">
        <f t="shared" si="1"/>
        <v/>
      </c>
      <c r="F396" s="36" t="str">
        <f t="shared" si="4"/>
        <v/>
      </c>
      <c r="G396" s="11"/>
      <c r="H396" s="11" t="str">
        <f>IF(E396="","",SUMIF(Estructuras!B:B,A396,Estructuras!E:E))</f>
        <v/>
      </c>
      <c r="I396" s="8" t="str">
        <f>IF(E396="","",IF(COUNTIF(Estructuras!F:F,E396)=0,"Falta Estructura",IF(COUNTIFS(Estructuras!F:F,E396,Estructuras!E:E,0)&gt;0,"Faltan Precios","OK")))</f>
        <v/>
      </c>
      <c r="J396" s="10" t="str">
        <f>IF(I396="Faltan Precios",COUNTIFS(Estructuras!B:B,A396,Estructuras!E:E,0),"")</f>
        <v/>
      </c>
      <c r="K396" s="8" t="str">
        <f t="shared" si="2"/>
        <v/>
      </c>
    </row>
    <row r="397">
      <c r="A397" s="4" t="str">
        <f t="shared" si="1"/>
        <v/>
      </c>
      <c r="F397" s="36" t="str">
        <f t="shared" si="4"/>
        <v/>
      </c>
      <c r="G397" s="11"/>
      <c r="H397" s="11" t="str">
        <f>IF(E397="","",SUMIF(Estructuras!B:B,A397,Estructuras!E:E))</f>
        <v/>
      </c>
      <c r="I397" s="8" t="str">
        <f>IF(E397="","",IF(COUNTIF(Estructuras!F:F,E397)=0,"Falta Estructura",IF(COUNTIFS(Estructuras!F:F,E397,Estructuras!E:E,0)&gt;0,"Faltan Precios","OK")))</f>
        <v/>
      </c>
      <c r="J397" s="10" t="str">
        <f>IF(I397="Faltan Precios",COUNTIFS(Estructuras!B:B,A397,Estructuras!E:E,0),"")</f>
        <v/>
      </c>
      <c r="K397" s="8" t="str">
        <f t="shared" si="2"/>
        <v/>
      </c>
    </row>
    <row r="398">
      <c r="A398" s="4" t="str">
        <f t="shared" si="1"/>
        <v/>
      </c>
      <c r="F398" s="36" t="str">
        <f t="shared" si="4"/>
        <v/>
      </c>
      <c r="G398" s="11"/>
      <c r="H398" s="11" t="str">
        <f>IF(E398="","",SUMIF(Estructuras!B:B,A398,Estructuras!E:E))</f>
        <v/>
      </c>
      <c r="I398" s="8" t="str">
        <f>IF(E398="","",IF(COUNTIF(Estructuras!F:F,E398)=0,"Falta Estructura",IF(COUNTIFS(Estructuras!F:F,E398,Estructuras!E:E,0)&gt;0,"Faltan Precios","OK")))</f>
        <v/>
      </c>
      <c r="J398" s="10" t="str">
        <f>IF(I398="Faltan Precios",COUNTIFS(Estructuras!B:B,A398,Estructuras!E:E,0),"")</f>
        <v/>
      </c>
      <c r="K398" s="8" t="str">
        <f t="shared" si="2"/>
        <v/>
      </c>
    </row>
    <row r="399">
      <c r="A399" s="4" t="str">
        <f t="shared" si="1"/>
        <v/>
      </c>
      <c r="F399" s="36" t="str">
        <f t="shared" si="4"/>
        <v/>
      </c>
      <c r="G399" s="11"/>
      <c r="H399" s="11" t="str">
        <f>IF(E399="","",SUMIF(Estructuras!B:B,A399,Estructuras!E:E))</f>
        <v/>
      </c>
      <c r="I399" s="8" t="str">
        <f>IF(E399="","",IF(COUNTIF(Estructuras!F:F,E399)=0,"Falta Estructura",IF(COUNTIFS(Estructuras!F:F,E399,Estructuras!E:E,0)&gt;0,"Faltan Precios","OK")))</f>
        <v/>
      </c>
      <c r="J399" s="10" t="str">
        <f>IF(I399="Faltan Precios",COUNTIFS(Estructuras!B:B,A399,Estructuras!E:E,0),"")</f>
        <v/>
      </c>
      <c r="K399" s="8" t="str">
        <f t="shared" si="2"/>
        <v/>
      </c>
    </row>
    <row r="400">
      <c r="A400" s="4" t="str">
        <f t="shared" si="1"/>
        <v/>
      </c>
      <c r="F400" s="36" t="str">
        <f t="shared" si="4"/>
        <v/>
      </c>
      <c r="G400" s="11"/>
      <c r="H400" s="11" t="str">
        <f>IF(E400="","",SUMIF(Estructuras!B:B,A400,Estructuras!E:E))</f>
        <v/>
      </c>
      <c r="I400" s="8" t="str">
        <f>IF(E400="","",IF(COUNTIF(Estructuras!F:F,E400)=0,"Falta Estructura",IF(COUNTIFS(Estructuras!F:F,E400,Estructuras!E:E,0)&gt;0,"Faltan Precios","OK")))</f>
        <v/>
      </c>
      <c r="J400" s="10" t="str">
        <f>IF(I400="Faltan Precios",COUNTIFS(Estructuras!B:B,A400,Estructuras!E:E,0),"")</f>
        <v/>
      </c>
      <c r="K400" s="8" t="str">
        <f t="shared" si="2"/>
        <v/>
      </c>
    </row>
    <row r="401">
      <c r="A401" s="4" t="str">
        <f t="shared" si="1"/>
        <v/>
      </c>
      <c r="F401" s="36" t="str">
        <f t="shared" si="4"/>
        <v/>
      </c>
      <c r="G401" s="11"/>
      <c r="H401" s="11" t="str">
        <f>IF(E401="","",SUMIF(Estructuras!B:B,A401,Estructuras!E:E))</f>
        <v/>
      </c>
      <c r="I401" s="8" t="str">
        <f>IF(E401="","",IF(COUNTIF(Estructuras!F:F,E401)=0,"Falta Estructura",IF(COUNTIFS(Estructuras!F:F,E401,Estructuras!E:E,0)&gt;0,"Faltan Precios","OK")))</f>
        <v/>
      </c>
      <c r="J401" s="10" t="str">
        <f>IF(I401="Faltan Precios",COUNTIFS(Estructuras!B:B,A401,Estructuras!E:E,0),"")</f>
        <v/>
      </c>
      <c r="K401" s="8" t="str">
        <f t="shared" si="2"/>
        <v/>
      </c>
    </row>
    <row r="402">
      <c r="A402" s="4" t="str">
        <f t="shared" si="1"/>
        <v/>
      </c>
      <c r="F402" s="36" t="str">
        <f t="shared" si="4"/>
        <v/>
      </c>
      <c r="G402" s="11"/>
      <c r="H402" s="11" t="str">
        <f>IF(E402="","",SUMIF(Estructuras!B:B,A402,Estructuras!E:E))</f>
        <v/>
      </c>
      <c r="I402" s="8" t="str">
        <f>IF(E402="","",IF(COUNTIF(Estructuras!F:F,E402)=0,"Falta Estructura",IF(COUNTIFS(Estructuras!F:F,E402,Estructuras!E:E,0)&gt;0,"Faltan Precios","OK")))</f>
        <v/>
      </c>
      <c r="J402" s="10" t="str">
        <f>IF(I402="Faltan Precios",COUNTIFS(Estructuras!B:B,A402,Estructuras!E:E,0),"")</f>
        <v/>
      </c>
      <c r="K402" s="8" t="str">
        <f t="shared" si="2"/>
        <v/>
      </c>
    </row>
    <row r="403">
      <c r="A403" s="4" t="str">
        <f t="shared" si="1"/>
        <v/>
      </c>
      <c r="F403" s="36" t="str">
        <f t="shared" si="4"/>
        <v/>
      </c>
      <c r="G403" s="11"/>
      <c r="H403" s="11" t="str">
        <f>IF(E403="","",SUMIF(Estructuras!B:B,A403,Estructuras!E:E))</f>
        <v/>
      </c>
      <c r="I403" s="8" t="str">
        <f>IF(E403="","",IF(COUNTIF(Estructuras!F:F,E403)=0,"Falta Estructura",IF(COUNTIFS(Estructuras!F:F,E403,Estructuras!E:E,0)&gt;0,"Faltan Precios","OK")))</f>
        <v/>
      </c>
      <c r="J403" s="10" t="str">
        <f>IF(I403="Faltan Precios",COUNTIFS(Estructuras!B:B,A403,Estructuras!E:E,0),"")</f>
        <v/>
      </c>
      <c r="K403" s="8" t="str">
        <f t="shared" si="2"/>
        <v/>
      </c>
    </row>
    <row r="404">
      <c r="A404" s="4" t="str">
        <f t="shared" si="1"/>
        <v/>
      </c>
      <c r="F404" s="36" t="str">
        <f t="shared" si="4"/>
        <v/>
      </c>
      <c r="G404" s="11"/>
      <c r="H404" s="11" t="str">
        <f>IF(E404="","",SUMIF(Estructuras!B:B,A404,Estructuras!E:E))</f>
        <v/>
      </c>
      <c r="I404" s="8" t="str">
        <f>IF(E404="","",IF(COUNTIF(Estructuras!F:F,E404)=0,"Falta Estructura",IF(COUNTIFS(Estructuras!F:F,E404,Estructuras!E:E,0)&gt;0,"Faltan Precios","OK")))</f>
        <v/>
      </c>
      <c r="J404" s="10" t="str">
        <f>IF(I404="Faltan Precios",COUNTIFS(Estructuras!B:B,A404,Estructuras!E:E,0),"")</f>
        <v/>
      </c>
      <c r="K404" s="8" t="str">
        <f t="shared" si="2"/>
        <v/>
      </c>
    </row>
    <row r="405">
      <c r="A405" s="4" t="str">
        <f t="shared" si="1"/>
        <v/>
      </c>
      <c r="F405" s="36" t="str">
        <f t="shared" si="4"/>
        <v/>
      </c>
      <c r="G405" s="11"/>
      <c r="H405" s="11" t="str">
        <f>IF(E405="","",SUMIF(Estructuras!B:B,A405,Estructuras!E:E))</f>
        <v/>
      </c>
      <c r="I405" s="8" t="str">
        <f>IF(E405="","",IF(COUNTIF(Estructuras!F:F,E405)=0,"Falta Estructura",IF(COUNTIFS(Estructuras!F:F,E405,Estructuras!E:E,0)&gt;0,"Faltan Precios","OK")))</f>
        <v/>
      </c>
      <c r="J405" s="10" t="str">
        <f>IF(I405="Faltan Precios",COUNTIFS(Estructuras!B:B,A405,Estructuras!E:E,0),"")</f>
        <v/>
      </c>
      <c r="K405" s="8" t="str">
        <f t="shared" si="2"/>
        <v/>
      </c>
    </row>
    <row r="406">
      <c r="A406" s="4" t="str">
        <f t="shared" si="1"/>
        <v/>
      </c>
      <c r="F406" s="36" t="str">
        <f t="shared" si="4"/>
        <v/>
      </c>
      <c r="G406" s="11"/>
      <c r="H406" s="11" t="str">
        <f>IF(E406="","",SUMIF(Estructuras!B:B,A406,Estructuras!E:E))</f>
        <v/>
      </c>
      <c r="I406" s="8" t="str">
        <f>IF(E406="","",IF(COUNTIF(Estructuras!F:F,E406)=0,"Falta Estructura",IF(COUNTIFS(Estructuras!F:F,E406,Estructuras!E:E,0)&gt;0,"Faltan Precios","OK")))</f>
        <v/>
      </c>
      <c r="J406" s="10" t="str">
        <f>IF(I406="Faltan Precios",COUNTIFS(Estructuras!B:B,A406,Estructuras!E:E,0),"")</f>
        <v/>
      </c>
      <c r="K406" s="8" t="str">
        <f t="shared" si="2"/>
        <v/>
      </c>
    </row>
    <row r="407">
      <c r="A407" s="4" t="str">
        <f t="shared" si="1"/>
        <v/>
      </c>
      <c r="F407" s="36" t="str">
        <f t="shared" si="4"/>
        <v/>
      </c>
      <c r="G407" s="11"/>
      <c r="H407" s="11" t="str">
        <f>IF(E407="","",SUMIF(Estructuras!B:B,A407,Estructuras!E:E))</f>
        <v/>
      </c>
      <c r="I407" s="8" t="str">
        <f>IF(E407="","",IF(COUNTIF(Estructuras!F:F,E407)=0,"Falta Estructura",IF(COUNTIFS(Estructuras!F:F,E407,Estructuras!E:E,0)&gt;0,"Faltan Precios","OK")))</f>
        <v/>
      </c>
      <c r="J407" s="10" t="str">
        <f>IF(I407="Faltan Precios",COUNTIFS(Estructuras!B:B,A407,Estructuras!E:E,0),"")</f>
        <v/>
      </c>
      <c r="K407" s="8" t="str">
        <f t="shared" si="2"/>
        <v/>
      </c>
    </row>
    <row r="408">
      <c r="A408" s="4" t="str">
        <f t="shared" si="1"/>
        <v/>
      </c>
      <c r="F408" s="36" t="str">
        <f t="shared" si="4"/>
        <v/>
      </c>
      <c r="G408" s="11"/>
      <c r="H408" s="11" t="str">
        <f>IF(E408="","",SUMIF(Estructuras!B:B,A408,Estructuras!E:E))</f>
        <v/>
      </c>
      <c r="I408" s="8" t="str">
        <f>IF(E408="","",IF(COUNTIF(Estructuras!F:F,E408)=0,"Falta Estructura",IF(COUNTIFS(Estructuras!F:F,E408,Estructuras!E:E,0)&gt;0,"Faltan Precios","OK")))</f>
        <v/>
      </c>
      <c r="J408" s="10" t="str">
        <f>IF(I408="Faltan Precios",COUNTIFS(Estructuras!B:B,A408,Estructuras!E:E,0),"")</f>
        <v/>
      </c>
      <c r="K408" s="8" t="str">
        <f t="shared" si="2"/>
        <v/>
      </c>
    </row>
    <row r="409">
      <c r="A409" s="4" t="str">
        <f t="shared" si="1"/>
        <v/>
      </c>
      <c r="F409" s="36" t="str">
        <f t="shared" si="4"/>
        <v/>
      </c>
      <c r="G409" s="11"/>
      <c r="H409" s="11" t="str">
        <f>IF(E409="","",SUMIF(Estructuras!B:B,A409,Estructuras!E:E))</f>
        <v/>
      </c>
      <c r="I409" s="8" t="str">
        <f>IF(E409="","",IF(COUNTIF(Estructuras!F:F,E409)=0,"Falta Estructura",IF(COUNTIFS(Estructuras!F:F,E409,Estructuras!E:E,0)&gt;0,"Faltan Precios","OK")))</f>
        <v/>
      </c>
      <c r="J409" s="10" t="str">
        <f>IF(I409="Faltan Precios",COUNTIFS(Estructuras!B:B,A409,Estructuras!E:E,0),"")</f>
        <v/>
      </c>
      <c r="K409" s="8" t="str">
        <f t="shared" si="2"/>
        <v/>
      </c>
    </row>
    <row r="410">
      <c r="A410" s="4" t="str">
        <f t="shared" si="1"/>
        <v/>
      </c>
      <c r="F410" s="36" t="str">
        <f t="shared" si="4"/>
        <v/>
      </c>
      <c r="G410" s="11"/>
      <c r="H410" s="11" t="str">
        <f>IF(E410="","",SUMIF(Estructuras!B:B,A410,Estructuras!E:E))</f>
        <v/>
      </c>
      <c r="I410" s="8" t="str">
        <f>IF(E410="","",IF(COUNTIF(Estructuras!F:F,E410)=0,"Falta Estructura",IF(COUNTIFS(Estructuras!F:F,E410,Estructuras!E:E,0)&gt;0,"Faltan Precios","OK")))</f>
        <v/>
      </c>
      <c r="J410" s="10" t="str">
        <f>IF(I410="Faltan Precios",COUNTIFS(Estructuras!B:B,A410,Estructuras!E:E,0),"")</f>
        <v/>
      </c>
      <c r="K410" s="8" t="str">
        <f t="shared" si="2"/>
        <v/>
      </c>
    </row>
    <row r="411">
      <c r="A411" s="4" t="str">
        <f t="shared" si="1"/>
        <v/>
      </c>
      <c r="F411" s="36" t="str">
        <f t="shared" si="4"/>
        <v/>
      </c>
      <c r="G411" s="11"/>
      <c r="H411" s="11" t="str">
        <f>IF(E411="","",SUMIF(Estructuras!B:B,A411,Estructuras!E:E))</f>
        <v/>
      </c>
      <c r="I411" s="8" t="str">
        <f>IF(E411="","",IF(COUNTIF(Estructuras!F:F,E411)=0,"Falta Estructura",IF(COUNTIFS(Estructuras!F:F,E411,Estructuras!E:E,0)&gt;0,"Faltan Precios","OK")))</f>
        <v/>
      </c>
      <c r="J411" s="10" t="str">
        <f>IF(I411="Faltan Precios",COUNTIFS(Estructuras!B:B,A411,Estructuras!E:E,0),"")</f>
        <v/>
      </c>
      <c r="K411" s="8" t="str">
        <f t="shared" si="2"/>
        <v/>
      </c>
    </row>
    <row r="412">
      <c r="A412" s="4" t="str">
        <f t="shared" si="1"/>
        <v/>
      </c>
      <c r="F412" s="36" t="str">
        <f t="shared" si="4"/>
        <v/>
      </c>
      <c r="G412" s="11"/>
      <c r="H412" s="11" t="str">
        <f>IF(E412="","",SUMIF(Estructuras!B:B,A412,Estructuras!E:E))</f>
        <v/>
      </c>
      <c r="I412" s="8" t="str">
        <f>IF(E412="","",IF(COUNTIF(Estructuras!F:F,E412)=0,"Falta Estructura",IF(COUNTIFS(Estructuras!F:F,E412,Estructuras!E:E,0)&gt;0,"Faltan Precios","OK")))</f>
        <v/>
      </c>
      <c r="J412" s="10" t="str">
        <f>IF(I412="Faltan Precios",COUNTIFS(Estructuras!B:B,A412,Estructuras!E:E,0),"")</f>
        <v/>
      </c>
      <c r="K412" s="8" t="str">
        <f t="shared" si="2"/>
        <v/>
      </c>
    </row>
    <row r="413">
      <c r="A413" s="4" t="str">
        <f t="shared" si="1"/>
        <v/>
      </c>
      <c r="F413" s="36" t="str">
        <f t="shared" si="4"/>
        <v/>
      </c>
      <c r="G413" s="11"/>
      <c r="H413" s="11" t="str">
        <f>IF(E413="","",SUMIF(Estructuras!B:B,A413,Estructuras!E:E))</f>
        <v/>
      </c>
      <c r="I413" s="8" t="str">
        <f>IF(E413="","",IF(COUNTIF(Estructuras!F:F,E413)=0,"Falta Estructura",IF(COUNTIFS(Estructuras!F:F,E413,Estructuras!E:E,0)&gt;0,"Faltan Precios","OK")))</f>
        <v/>
      </c>
      <c r="J413" s="10" t="str">
        <f>IF(I413="Faltan Precios",COUNTIFS(Estructuras!B:B,A413,Estructuras!E:E,0),"")</f>
        <v/>
      </c>
      <c r="K413" s="8" t="str">
        <f t="shared" si="2"/>
        <v/>
      </c>
    </row>
    <row r="414">
      <c r="A414" s="4" t="str">
        <f t="shared" si="1"/>
        <v/>
      </c>
      <c r="F414" s="36" t="str">
        <f t="shared" si="4"/>
        <v/>
      </c>
      <c r="G414" s="11"/>
      <c r="H414" s="11" t="str">
        <f>IF(E414="","",SUMIF(Estructuras!B:B,A414,Estructuras!E:E))</f>
        <v/>
      </c>
      <c r="I414" s="8" t="str">
        <f>IF(E414="","",IF(COUNTIF(Estructuras!F:F,E414)=0,"Falta Estructura",IF(COUNTIFS(Estructuras!F:F,E414,Estructuras!E:E,0)&gt;0,"Faltan Precios","OK")))</f>
        <v/>
      </c>
      <c r="J414" s="10" t="str">
        <f>IF(I414="Faltan Precios",COUNTIFS(Estructuras!B:B,A414,Estructuras!E:E,0),"")</f>
        <v/>
      </c>
      <c r="K414" s="8" t="str">
        <f t="shared" si="2"/>
        <v/>
      </c>
    </row>
    <row r="415">
      <c r="A415" s="4" t="str">
        <f t="shared" si="1"/>
        <v/>
      </c>
      <c r="F415" s="36" t="str">
        <f t="shared" si="4"/>
        <v/>
      </c>
      <c r="G415" s="11"/>
      <c r="H415" s="11" t="str">
        <f>IF(E415="","",SUMIF(Estructuras!B:B,A415,Estructuras!E:E))</f>
        <v/>
      </c>
      <c r="I415" s="8" t="str">
        <f>IF(E415="","",IF(COUNTIF(Estructuras!F:F,E415)=0,"Falta Estructura",IF(COUNTIFS(Estructuras!F:F,E415,Estructuras!E:E,0)&gt;0,"Faltan Precios","OK")))</f>
        <v/>
      </c>
      <c r="J415" s="10" t="str">
        <f>IF(I415="Faltan Precios",COUNTIFS(Estructuras!B:B,A415,Estructuras!E:E,0),"")</f>
        <v/>
      </c>
      <c r="K415" s="8" t="str">
        <f t="shared" si="2"/>
        <v/>
      </c>
    </row>
    <row r="416">
      <c r="A416" s="4" t="str">
        <f t="shared" si="1"/>
        <v/>
      </c>
      <c r="F416" s="36" t="str">
        <f t="shared" si="4"/>
        <v/>
      </c>
      <c r="G416" s="11"/>
      <c r="H416" s="11" t="str">
        <f>IF(E416="","",SUMIF(Estructuras!B:B,A416,Estructuras!E:E))</f>
        <v/>
      </c>
      <c r="I416" s="8" t="str">
        <f>IF(E416="","",IF(COUNTIF(Estructuras!F:F,E416)=0,"Falta Estructura",IF(COUNTIFS(Estructuras!F:F,E416,Estructuras!E:E,0)&gt;0,"Faltan Precios","OK")))</f>
        <v/>
      </c>
      <c r="J416" s="10" t="str">
        <f>IF(I416="Faltan Precios",COUNTIFS(Estructuras!B:B,A416,Estructuras!E:E,0),"")</f>
        <v/>
      </c>
      <c r="K416" s="8" t="str">
        <f t="shared" si="2"/>
        <v/>
      </c>
    </row>
    <row r="417">
      <c r="A417" s="4" t="str">
        <f t="shared" si="1"/>
        <v/>
      </c>
      <c r="F417" s="36" t="str">
        <f t="shared" si="4"/>
        <v/>
      </c>
      <c r="G417" s="11"/>
      <c r="H417" s="11" t="str">
        <f>IF(E417="","",SUMIF(Estructuras!B:B,A417,Estructuras!E:E))</f>
        <v/>
      </c>
      <c r="I417" s="8" t="str">
        <f>IF(E417="","",IF(COUNTIF(Estructuras!F:F,E417)=0,"Falta Estructura",IF(COUNTIFS(Estructuras!F:F,E417,Estructuras!E:E,0)&gt;0,"Faltan Precios","OK")))</f>
        <v/>
      </c>
      <c r="J417" s="10" t="str">
        <f>IF(I417="Faltan Precios",COUNTIFS(Estructuras!B:B,A417,Estructuras!E:E,0),"")</f>
        <v/>
      </c>
      <c r="K417" s="8" t="str">
        <f t="shared" si="2"/>
        <v/>
      </c>
    </row>
    <row r="418">
      <c r="A418" s="4" t="str">
        <f t="shared" si="1"/>
        <v/>
      </c>
      <c r="F418" s="36" t="str">
        <f t="shared" si="4"/>
        <v/>
      </c>
      <c r="G418" s="11"/>
      <c r="H418" s="11" t="str">
        <f>IF(E418="","",SUMIF(Estructuras!B:B,A418,Estructuras!E:E))</f>
        <v/>
      </c>
      <c r="I418" s="8" t="str">
        <f>IF(E418="","",IF(COUNTIF(Estructuras!F:F,E418)=0,"Falta Estructura",IF(COUNTIFS(Estructuras!F:F,E418,Estructuras!E:E,0)&gt;0,"Faltan Precios","OK")))</f>
        <v/>
      </c>
      <c r="J418" s="10" t="str">
        <f>IF(I418="Faltan Precios",COUNTIFS(Estructuras!B:B,A418,Estructuras!E:E,0),"")</f>
        <v/>
      </c>
      <c r="K418" s="8" t="str">
        <f t="shared" si="2"/>
        <v/>
      </c>
    </row>
    <row r="419">
      <c r="A419" s="4" t="str">
        <f t="shared" si="1"/>
        <v/>
      </c>
      <c r="F419" s="36" t="str">
        <f t="shared" si="4"/>
        <v/>
      </c>
      <c r="G419" s="11"/>
      <c r="H419" s="11" t="str">
        <f>IF(E419="","",SUMIF(Estructuras!B:B,A419,Estructuras!E:E))</f>
        <v/>
      </c>
      <c r="I419" s="8" t="str">
        <f>IF(E419="","",IF(COUNTIF(Estructuras!F:F,E419)=0,"Falta Estructura",IF(COUNTIFS(Estructuras!F:F,E419,Estructuras!E:E,0)&gt;0,"Faltan Precios","OK")))</f>
        <v/>
      </c>
      <c r="J419" s="10" t="str">
        <f>IF(I419="Faltan Precios",COUNTIFS(Estructuras!B:B,A419,Estructuras!E:E,0),"")</f>
        <v/>
      </c>
      <c r="K419" s="8" t="str">
        <f t="shared" si="2"/>
        <v/>
      </c>
    </row>
    <row r="420">
      <c r="A420" s="4" t="str">
        <f t="shared" si="1"/>
        <v/>
      </c>
      <c r="F420" s="36" t="str">
        <f t="shared" si="4"/>
        <v/>
      </c>
      <c r="G420" s="11"/>
      <c r="H420" s="11" t="str">
        <f>IF(E420="","",SUMIF(Estructuras!B:B,A420,Estructuras!E:E))</f>
        <v/>
      </c>
      <c r="I420" s="8" t="str">
        <f>IF(E420="","",IF(COUNTIF(Estructuras!F:F,E420)=0,"Falta Estructura",IF(COUNTIFS(Estructuras!F:F,E420,Estructuras!E:E,0)&gt;0,"Faltan Precios","OK")))</f>
        <v/>
      </c>
      <c r="J420" s="10" t="str">
        <f>IF(I420="Faltan Precios",COUNTIFS(Estructuras!B:B,A420,Estructuras!E:E,0),"")</f>
        <v/>
      </c>
      <c r="K420" s="8" t="str">
        <f t="shared" si="2"/>
        <v/>
      </c>
    </row>
    <row r="421">
      <c r="A421" s="4" t="str">
        <f t="shared" si="1"/>
        <v/>
      </c>
      <c r="F421" s="36" t="str">
        <f t="shared" si="4"/>
        <v/>
      </c>
      <c r="G421" s="11"/>
      <c r="H421" s="11" t="str">
        <f>IF(E421="","",SUMIF(Estructuras!B:B,A421,Estructuras!E:E))</f>
        <v/>
      </c>
      <c r="I421" s="8" t="str">
        <f>IF(E421="","",IF(COUNTIF(Estructuras!F:F,E421)=0,"Falta Estructura",IF(COUNTIFS(Estructuras!F:F,E421,Estructuras!E:E,0)&gt;0,"Faltan Precios","OK")))</f>
        <v/>
      </c>
      <c r="J421" s="10" t="str">
        <f>IF(I421="Faltan Precios",COUNTIFS(Estructuras!B:B,A421,Estructuras!E:E,0),"")</f>
        <v/>
      </c>
      <c r="K421" s="8" t="str">
        <f t="shared" si="2"/>
        <v/>
      </c>
    </row>
    <row r="422">
      <c r="A422" s="4" t="str">
        <f t="shared" si="1"/>
        <v/>
      </c>
      <c r="F422" s="36" t="str">
        <f t="shared" si="4"/>
        <v/>
      </c>
      <c r="G422" s="11"/>
      <c r="H422" s="11" t="str">
        <f>IF(E422="","",SUMIF(Estructuras!B:B,A422,Estructuras!E:E))</f>
        <v/>
      </c>
      <c r="I422" s="8" t="str">
        <f>IF(E422="","",IF(COUNTIF(Estructuras!F:F,E422)=0,"Falta Estructura",IF(COUNTIFS(Estructuras!F:F,E422,Estructuras!E:E,0)&gt;0,"Faltan Precios","OK")))</f>
        <v/>
      </c>
      <c r="J422" s="10" t="str">
        <f>IF(I422="Faltan Precios",COUNTIFS(Estructuras!B:B,A422,Estructuras!E:E,0),"")</f>
        <v/>
      </c>
      <c r="K422" s="8" t="str">
        <f t="shared" si="2"/>
        <v/>
      </c>
    </row>
    <row r="423">
      <c r="A423" s="4" t="str">
        <f t="shared" si="1"/>
        <v/>
      </c>
      <c r="F423" s="36" t="str">
        <f t="shared" si="4"/>
        <v/>
      </c>
      <c r="G423" s="11"/>
      <c r="H423" s="11" t="str">
        <f>IF(E423="","",SUMIF(Estructuras!B:B,A423,Estructuras!E:E))</f>
        <v/>
      </c>
      <c r="I423" s="8" t="str">
        <f>IF(E423="","",IF(COUNTIF(Estructuras!F:F,E423)=0,"Falta Estructura",IF(COUNTIFS(Estructuras!F:F,E423,Estructuras!E:E,0)&gt;0,"Faltan Precios","OK")))</f>
        <v/>
      </c>
      <c r="J423" s="10" t="str">
        <f>IF(I423="Faltan Precios",COUNTIFS(Estructuras!B:B,A423,Estructuras!E:E,0),"")</f>
        <v/>
      </c>
      <c r="K423" s="8" t="str">
        <f t="shared" si="2"/>
        <v/>
      </c>
    </row>
    <row r="424">
      <c r="A424" s="4" t="str">
        <f t="shared" si="1"/>
        <v/>
      </c>
      <c r="F424" s="36" t="str">
        <f t="shared" si="4"/>
        <v/>
      </c>
      <c r="G424" s="11"/>
      <c r="H424" s="11" t="str">
        <f>IF(E424="","",SUMIF(Estructuras!B:B,A424,Estructuras!E:E))</f>
        <v/>
      </c>
      <c r="I424" s="8" t="str">
        <f>IF(E424="","",IF(COUNTIF(Estructuras!F:F,E424)=0,"Falta Estructura",IF(COUNTIFS(Estructuras!F:F,E424,Estructuras!E:E,0)&gt;0,"Faltan Precios","OK")))</f>
        <v/>
      </c>
      <c r="J424" s="10" t="str">
        <f>IF(I424="Faltan Precios",COUNTIFS(Estructuras!B:B,A424,Estructuras!E:E,0),"")</f>
        <v/>
      </c>
      <c r="K424" s="8" t="str">
        <f t="shared" si="2"/>
        <v/>
      </c>
    </row>
    <row r="425">
      <c r="A425" s="4" t="str">
        <f t="shared" si="1"/>
        <v/>
      </c>
      <c r="F425" s="36" t="str">
        <f t="shared" si="4"/>
        <v/>
      </c>
      <c r="G425" s="11"/>
      <c r="H425" s="11" t="str">
        <f>IF(E425="","",SUMIF(Estructuras!B:B,A425,Estructuras!E:E))</f>
        <v/>
      </c>
      <c r="I425" s="8" t="str">
        <f>IF(E425="","",IF(COUNTIF(Estructuras!F:F,E425)=0,"Falta Estructura",IF(COUNTIFS(Estructuras!F:F,E425,Estructuras!E:E,0)&gt;0,"Faltan Precios","OK")))</f>
        <v/>
      </c>
      <c r="J425" s="10" t="str">
        <f>IF(I425="Faltan Precios",COUNTIFS(Estructuras!B:B,A425,Estructuras!E:E,0),"")</f>
        <v/>
      </c>
      <c r="K425" s="8" t="str">
        <f t="shared" si="2"/>
        <v/>
      </c>
    </row>
    <row r="426">
      <c r="A426" s="4" t="str">
        <f t="shared" si="1"/>
        <v/>
      </c>
      <c r="F426" s="36" t="str">
        <f t="shared" si="4"/>
        <v/>
      </c>
      <c r="G426" s="11"/>
      <c r="H426" s="11" t="str">
        <f>IF(E426="","",SUMIF(Estructuras!B:B,A426,Estructuras!E:E))</f>
        <v/>
      </c>
      <c r="I426" s="8" t="str">
        <f>IF(E426="","",IF(COUNTIF(Estructuras!F:F,E426)=0,"Falta Estructura",IF(COUNTIFS(Estructuras!F:F,E426,Estructuras!E:E,0)&gt;0,"Faltan Precios","OK")))</f>
        <v/>
      </c>
      <c r="J426" s="10" t="str">
        <f>IF(I426="Faltan Precios",COUNTIFS(Estructuras!B:B,A426,Estructuras!E:E,0),"")</f>
        <v/>
      </c>
      <c r="K426" s="8" t="str">
        <f t="shared" si="2"/>
        <v/>
      </c>
    </row>
    <row r="427">
      <c r="A427" s="4" t="str">
        <f t="shared" si="1"/>
        <v/>
      </c>
      <c r="F427" s="36" t="str">
        <f t="shared" si="4"/>
        <v/>
      </c>
      <c r="G427" s="11"/>
      <c r="H427" s="11" t="str">
        <f>IF(E427="","",SUMIF(Estructuras!B:B,A427,Estructuras!E:E))</f>
        <v/>
      </c>
      <c r="I427" s="8" t="str">
        <f>IF(E427="","",IF(COUNTIF(Estructuras!F:F,E427)=0,"Falta Estructura",IF(COUNTIFS(Estructuras!F:F,E427,Estructuras!E:E,0)&gt;0,"Faltan Precios","OK")))</f>
        <v/>
      </c>
      <c r="J427" s="10" t="str">
        <f>IF(I427="Faltan Precios",COUNTIFS(Estructuras!B:B,A427,Estructuras!E:E,0),"")</f>
        <v/>
      </c>
      <c r="K427" s="8" t="str">
        <f t="shared" si="2"/>
        <v/>
      </c>
    </row>
    <row r="428">
      <c r="A428" s="4" t="str">
        <f t="shared" si="1"/>
        <v/>
      </c>
      <c r="F428" s="36" t="str">
        <f t="shared" si="4"/>
        <v/>
      </c>
      <c r="G428" s="11"/>
      <c r="H428" s="11" t="str">
        <f>IF(E428="","",SUMIF(Estructuras!B:B,A428,Estructuras!E:E))</f>
        <v/>
      </c>
      <c r="I428" s="8" t="str">
        <f>IF(E428="","",IF(COUNTIF(Estructuras!F:F,E428)=0,"Falta Estructura",IF(COUNTIFS(Estructuras!F:F,E428,Estructuras!E:E,0)&gt;0,"Faltan Precios","OK")))</f>
        <v/>
      </c>
      <c r="J428" s="10" t="str">
        <f>IF(I428="Faltan Precios",COUNTIFS(Estructuras!B:B,A428,Estructuras!E:E,0),"")</f>
        <v/>
      </c>
      <c r="K428" s="8" t="str">
        <f t="shared" si="2"/>
        <v/>
      </c>
    </row>
    <row r="429">
      <c r="A429" s="4" t="str">
        <f t="shared" si="1"/>
        <v/>
      </c>
      <c r="F429" s="36" t="str">
        <f t="shared" si="4"/>
        <v/>
      </c>
      <c r="G429" s="11"/>
      <c r="H429" s="11" t="str">
        <f>IF(E429="","",SUMIF(Estructuras!B:B,A429,Estructuras!E:E))</f>
        <v/>
      </c>
      <c r="I429" s="8" t="str">
        <f>IF(E429="","",IF(COUNTIF(Estructuras!F:F,E429)=0,"Falta Estructura",IF(COUNTIFS(Estructuras!F:F,E429,Estructuras!E:E,0)&gt;0,"Faltan Precios","OK")))</f>
        <v/>
      </c>
      <c r="J429" s="10" t="str">
        <f>IF(I429="Faltan Precios",COUNTIFS(Estructuras!B:B,A429,Estructuras!E:E,0),"")</f>
        <v/>
      </c>
      <c r="K429" s="8" t="str">
        <f t="shared" si="2"/>
        <v/>
      </c>
    </row>
    <row r="430">
      <c r="A430" s="4" t="str">
        <f t="shared" si="1"/>
        <v/>
      </c>
      <c r="F430" s="36" t="str">
        <f t="shared" si="4"/>
        <v/>
      </c>
      <c r="G430" s="11"/>
      <c r="H430" s="11" t="str">
        <f>IF(E430="","",SUMIF(Estructuras!B:B,A430,Estructuras!E:E))</f>
        <v/>
      </c>
      <c r="I430" s="8" t="str">
        <f>IF(E430="","",IF(COUNTIF(Estructuras!F:F,E430)=0,"Falta Estructura",IF(COUNTIFS(Estructuras!F:F,E430,Estructuras!E:E,0)&gt;0,"Faltan Precios","OK")))</f>
        <v/>
      </c>
      <c r="J430" s="10" t="str">
        <f>IF(I430="Faltan Precios",COUNTIFS(Estructuras!B:B,A430,Estructuras!E:E,0),"")</f>
        <v/>
      </c>
      <c r="K430" s="8" t="str">
        <f t="shared" si="2"/>
        <v/>
      </c>
    </row>
    <row r="431">
      <c r="A431" s="4" t="str">
        <f t="shared" si="1"/>
        <v/>
      </c>
      <c r="F431" s="36" t="str">
        <f t="shared" si="4"/>
        <v/>
      </c>
      <c r="G431" s="11"/>
      <c r="H431" s="11" t="str">
        <f>IF(E431="","",SUMIF(Estructuras!B:B,A431,Estructuras!E:E))</f>
        <v/>
      </c>
      <c r="I431" s="8" t="str">
        <f>IF(E431="","",IF(COUNTIF(Estructuras!F:F,E431)=0,"Falta Estructura",IF(COUNTIFS(Estructuras!F:F,E431,Estructuras!E:E,0)&gt;0,"Faltan Precios","OK")))</f>
        <v/>
      </c>
      <c r="J431" s="10" t="str">
        <f>IF(I431="Faltan Precios",COUNTIFS(Estructuras!B:B,A431,Estructuras!E:E,0),"")</f>
        <v/>
      </c>
      <c r="K431" s="8" t="str">
        <f t="shared" si="2"/>
        <v/>
      </c>
    </row>
    <row r="432">
      <c r="A432" s="4" t="str">
        <f t="shared" si="1"/>
        <v/>
      </c>
      <c r="F432" s="36" t="str">
        <f t="shared" si="4"/>
        <v/>
      </c>
      <c r="G432" s="11"/>
      <c r="H432" s="11" t="str">
        <f>IF(E432="","",SUMIF(Estructuras!B:B,A432,Estructuras!E:E))</f>
        <v/>
      </c>
      <c r="I432" s="8" t="str">
        <f>IF(E432="","",IF(COUNTIF(Estructuras!F:F,E432)=0,"Falta Estructura",IF(COUNTIFS(Estructuras!F:F,E432,Estructuras!E:E,0)&gt;0,"Faltan Precios","OK")))</f>
        <v/>
      </c>
      <c r="J432" s="10" t="str">
        <f>IF(I432="Faltan Precios",COUNTIFS(Estructuras!B:B,A432,Estructuras!E:E,0),"")</f>
        <v/>
      </c>
      <c r="K432" s="8" t="str">
        <f t="shared" si="2"/>
        <v/>
      </c>
    </row>
    <row r="433">
      <c r="A433" s="4" t="str">
        <f t="shared" si="1"/>
        <v/>
      </c>
      <c r="F433" s="36" t="str">
        <f t="shared" si="4"/>
        <v/>
      </c>
      <c r="G433" s="11"/>
      <c r="H433" s="11" t="str">
        <f>IF(E433="","",SUMIF(Estructuras!B:B,A433,Estructuras!E:E))</f>
        <v/>
      </c>
      <c r="I433" s="8" t="str">
        <f>IF(E433="","",IF(COUNTIF(Estructuras!F:F,E433)=0,"Falta Estructura",IF(COUNTIFS(Estructuras!F:F,E433,Estructuras!E:E,0)&gt;0,"Faltan Precios","OK")))</f>
        <v/>
      </c>
      <c r="J433" s="10" t="str">
        <f>IF(I433="Faltan Precios",COUNTIFS(Estructuras!B:B,A433,Estructuras!E:E,0),"")</f>
        <v/>
      </c>
      <c r="K433" s="8" t="str">
        <f t="shared" si="2"/>
        <v/>
      </c>
    </row>
    <row r="434">
      <c r="A434" s="4" t="str">
        <f t="shared" si="1"/>
        <v/>
      </c>
      <c r="F434" s="36" t="str">
        <f t="shared" si="4"/>
        <v/>
      </c>
      <c r="G434" s="11"/>
      <c r="H434" s="11" t="str">
        <f>IF(E434="","",SUMIF(Estructuras!B:B,A434,Estructuras!E:E))</f>
        <v/>
      </c>
      <c r="I434" s="8" t="str">
        <f>IF(E434="","",IF(COUNTIF(Estructuras!F:F,E434)=0,"Falta Estructura",IF(COUNTIFS(Estructuras!F:F,E434,Estructuras!E:E,0)&gt;0,"Faltan Precios","OK")))</f>
        <v/>
      </c>
      <c r="J434" s="10" t="str">
        <f>IF(I434="Faltan Precios",COUNTIFS(Estructuras!B:B,A434,Estructuras!E:E,0),"")</f>
        <v/>
      </c>
      <c r="K434" s="8" t="str">
        <f t="shared" si="2"/>
        <v/>
      </c>
    </row>
    <row r="435">
      <c r="A435" s="4" t="str">
        <f t="shared" si="1"/>
        <v/>
      </c>
      <c r="F435" s="36" t="str">
        <f t="shared" si="4"/>
        <v/>
      </c>
      <c r="G435" s="11"/>
      <c r="H435" s="11" t="str">
        <f>IF(E435="","",SUMIF(Estructuras!B:B,A435,Estructuras!E:E))</f>
        <v/>
      </c>
      <c r="I435" s="8" t="str">
        <f>IF(E435="","",IF(COUNTIF(Estructuras!F:F,E435)=0,"Falta Estructura",IF(COUNTIFS(Estructuras!F:F,E435,Estructuras!E:E,0)&gt;0,"Faltan Precios","OK")))</f>
        <v/>
      </c>
      <c r="J435" s="10" t="str">
        <f>IF(I435="Faltan Precios",COUNTIFS(Estructuras!B:B,A435,Estructuras!E:E,0),"")</f>
        <v/>
      </c>
      <c r="K435" s="8" t="str">
        <f t="shared" si="2"/>
        <v/>
      </c>
    </row>
    <row r="436">
      <c r="A436" s="4" t="str">
        <f t="shared" si="1"/>
        <v/>
      </c>
      <c r="F436" s="36" t="str">
        <f t="shared" si="4"/>
        <v/>
      </c>
      <c r="G436" s="11"/>
      <c r="H436" s="11" t="str">
        <f>IF(E436="","",SUMIF(Estructuras!B:B,A436,Estructuras!E:E))</f>
        <v/>
      </c>
      <c r="I436" s="8" t="str">
        <f>IF(E436="","",IF(COUNTIF(Estructuras!F:F,E436)=0,"Falta Estructura",IF(COUNTIFS(Estructuras!F:F,E436,Estructuras!E:E,0)&gt;0,"Faltan Precios","OK")))</f>
        <v/>
      </c>
      <c r="J436" s="10" t="str">
        <f>IF(I436="Faltan Precios",COUNTIFS(Estructuras!B:B,A436,Estructuras!E:E,0),"")</f>
        <v/>
      </c>
      <c r="K436" s="8" t="str">
        <f t="shared" si="2"/>
        <v/>
      </c>
    </row>
    <row r="437">
      <c r="A437" s="4" t="str">
        <f t="shared" si="1"/>
        <v/>
      </c>
      <c r="F437" s="36" t="str">
        <f t="shared" si="4"/>
        <v/>
      </c>
      <c r="G437" s="11"/>
      <c r="H437" s="11" t="str">
        <f>IF(E437="","",SUMIF(Estructuras!B:B,A437,Estructuras!E:E))</f>
        <v/>
      </c>
      <c r="I437" s="8" t="str">
        <f>IF(E437="","",IF(COUNTIF(Estructuras!F:F,E437)=0,"Falta Estructura",IF(COUNTIFS(Estructuras!F:F,E437,Estructuras!E:E,0)&gt;0,"Faltan Precios","OK")))</f>
        <v/>
      </c>
      <c r="J437" s="10" t="str">
        <f>IF(I437="Faltan Precios",COUNTIFS(Estructuras!B:B,A437,Estructuras!E:E,0),"")</f>
        <v/>
      </c>
      <c r="K437" s="8" t="str">
        <f t="shared" si="2"/>
        <v/>
      </c>
    </row>
    <row r="438">
      <c r="A438" s="4" t="str">
        <f t="shared" si="1"/>
        <v/>
      </c>
      <c r="F438" s="36" t="str">
        <f t="shared" si="4"/>
        <v/>
      </c>
      <c r="G438" s="11"/>
      <c r="H438" s="11" t="str">
        <f>IF(E438="","",SUMIF(Estructuras!B:B,A438,Estructuras!E:E))</f>
        <v/>
      </c>
      <c r="I438" s="8" t="str">
        <f>IF(E438="","",IF(COUNTIF(Estructuras!F:F,E438)=0,"Falta Estructura",IF(COUNTIFS(Estructuras!F:F,E438,Estructuras!E:E,0)&gt;0,"Faltan Precios","OK")))</f>
        <v/>
      </c>
      <c r="J438" s="10" t="str">
        <f>IF(I438="Faltan Precios",COUNTIFS(Estructuras!B:B,A438,Estructuras!E:E,0),"")</f>
        <v/>
      </c>
      <c r="K438" s="8" t="str">
        <f t="shared" si="2"/>
        <v/>
      </c>
    </row>
    <row r="439">
      <c r="A439" s="4" t="str">
        <f t="shared" si="1"/>
        <v/>
      </c>
      <c r="F439" s="36" t="str">
        <f t="shared" si="4"/>
        <v/>
      </c>
      <c r="G439" s="11"/>
      <c r="H439" s="11" t="str">
        <f>IF(E439="","",SUMIF(Estructuras!B:B,A439,Estructuras!E:E))</f>
        <v/>
      </c>
      <c r="I439" s="8" t="str">
        <f>IF(E439="","",IF(COUNTIF(Estructuras!F:F,E439)=0,"Falta Estructura",IF(COUNTIFS(Estructuras!F:F,E439,Estructuras!E:E,0)&gt;0,"Faltan Precios","OK")))</f>
        <v/>
      </c>
      <c r="J439" s="10" t="str">
        <f>IF(I439="Faltan Precios",COUNTIFS(Estructuras!B:B,A439,Estructuras!E:E,0),"")</f>
        <v/>
      </c>
      <c r="K439" s="8" t="str">
        <f t="shared" si="2"/>
        <v/>
      </c>
    </row>
    <row r="440">
      <c r="A440" s="4" t="str">
        <f t="shared" si="1"/>
        <v/>
      </c>
      <c r="F440" s="36" t="str">
        <f t="shared" si="4"/>
        <v/>
      </c>
      <c r="G440" s="11"/>
      <c r="H440" s="11" t="str">
        <f>IF(E440="","",SUMIF(Estructuras!B:B,A440,Estructuras!E:E))</f>
        <v/>
      </c>
      <c r="I440" s="8" t="str">
        <f>IF(E440="","",IF(COUNTIF(Estructuras!F:F,E440)=0,"Falta Estructura",IF(COUNTIFS(Estructuras!F:F,E440,Estructuras!E:E,0)&gt;0,"Faltan Precios","OK")))</f>
        <v/>
      </c>
      <c r="J440" s="10" t="str">
        <f>IF(I440="Faltan Precios",COUNTIFS(Estructuras!B:B,A440,Estructuras!E:E,0),"")</f>
        <v/>
      </c>
      <c r="K440" s="8" t="str">
        <f t="shared" si="2"/>
        <v/>
      </c>
    </row>
    <row r="441">
      <c r="A441" s="4" t="str">
        <f t="shared" si="1"/>
        <v/>
      </c>
      <c r="F441" s="36" t="str">
        <f t="shared" si="4"/>
        <v/>
      </c>
      <c r="G441" s="11"/>
      <c r="H441" s="11" t="str">
        <f>IF(E441="","",SUMIF(Estructuras!B:B,A441,Estructuras!E:E))</f>
        <v/>
      </c>
      <c r="I441" s="8" t="str">
        <f>IF(E441="","",IF(COUNTIF(Estructuras!F:F,E441)=0,"Falta Estructura",IF(COUNTIFS(Estructuras!F:F,E441,Estructuras!E:E,0)&gt;0,"Faltan Precios","OK")))</f>
        <v/>
      </c>
      <c r="J441" s="10" t="str">
        <f>IF(I441="Faltan Precios",COUNTIFS(Estructuras!B:B,A441,Estructuras!E:E,0),"")</f>
        <v/>
      </c>
      <c r="K441" s="8" t="str">
        <f t="shared" si="2"/>
        <v/>
      </c>
    </row>
    <row r="442">
      <c r="A442" s="4" t="str">
        <f t="shared" si="1"/>
        <v/>
      </c>
      <c r="F442" s="36" t="str">
        <f t="shared" si="4"/>
        <v/>
      </c>
      <c r="G442" s="11"/>
      <c r="H442" s="11" t="str">
        <f>IF(E442="","",SUMIF(Estructuras!B:B,A442,Estructuras!E:E))</f>
        <v/>
      </c>
      <c r="I442" s="8" t="str">
        <f>IF(E442="","",IF(COUNTIF(Estructuras!F:F,E442)=0,"Falta Estructura",IF(COUNTIFS(Estructuras!F:F,E442,Estructuras!E:E,0)&gt;0,"Faltan Precios","OK")))</f>
        <v/>
      </c>
      <c r="J442" s="10" t="str">
        <f>IF(I442="Faltan Precios",COUNTIFS(Estructuras!B:B,A442,Estructuras!E:E,0),"")</f>
        <v/>
      </c>
      <c r="K442" s="8" t="str">
        <f t="shared" si="2"/>
        <v/>
      </c>
    </row>
    <row r="443">
      <c r="A443" s="4" t="str">
        <f t="shared" si="1"/>
        <v/>
      </c>
      <c r="F443" s="36" t="str">
        <f t="shared" si="4"/>
        <v/>
      </c>
      <c r="G443" s="11"/>
      <c r="H443" s="11" t="str">
        <f>IF(E443="","",SUMIF(Estructuras!B:B,A443,Estructuras!E:E))</f>
        <v/>
      </c>
      <c r="I443" s="8" t="str">
        <f>IF(E443="","",IF(COUNTIF(Estructuras!F:F,E443)=0,"Falta Estructura",IF(COUNTIFS(Estructuras!F:F,E443,Estructuras!E:E,0)&gt;0,"Faltan Precios","OK")))</f>
        <v/>
      </c>
      <c r="J443" s="10" t="str">
        <f>IF(I443="Faltan Precios",COUNTIFS(Estructuras!B:B,A443,Estructuras!E:E,0),"")</f>
        <v/>
      </c>
      <c r="K443" s="8" t="str">
        <f t="shared" si="2"/>
        <v/>
      </c>
    </row>
    <row r="444">
      <c r="A444" s="4" t="str">
        <f t="shared" si="1"/>
        <v/>
      </c>
      <c r="F444" s="36" t="str">
        <f t="shared" si="4"/>
        <v/>
      </c>
      <c r="G444" s="11"/>
      <c r="H444" s="11" t="str">
        <f>IF(E444="","",SUMIF(Estructuras!B:B,A444,Estructuras!E:E))</f>
        <v/>
      </c>
      <c r="I444" s="8" t="str">
        <f>IF(E444="","",IF(COUNTIF(Estructuras!F:F,E444)=0,"Falta Estructura",IF(COUNTIFS(Estructuras!F:F,E444,Estructuras!E:E,0)&gt;0,"Faltan Precios","OK")))</f>
        <v/>
      </c>
      <c r="J444" s="10" t="str">
        <f>IF(I444="Faltan Precios",COUNTIFS(Estructuras!B:B,A444,Estructuras!E:E,0),"")</f>
        <v/>
      </c>
      <c r="K444" s="8" t="str">
        <f t="shared" si="2"/>
        <v/>
      </c>
    </row>
    <row r="445">
      <c r="A445" s="4" t="str">
        <f t="shared" si="1"/>
        <v/>
      </c>
      <c r="F445" s="36" t="str">
        <f t="shared" si="4"/>
        <v/>
      </c>
      <c r="G445" s="11"/>
      <c r="H445" s="11" t="str">
        <f>IF(E445="","",SUMIF(Estructuras!B:B,A445,Estructuras!E:E))</f>
        <v/>
      </c>
      <c r="I445" s="8" t="str">
        <f>IF(E445="","",IF(COUNTIF(Estructuras!F:F,E445)=0,"Falta Estructura",IF(COUNTIFS(Estructuras!F:F,E445,Estructuras!E:E,0)&gt;0,"Faltan Precios","OK")))</f>
        <v/>
      </c>
      <c r="J445" s="10" t="str">
        <f>IF(I445="Faltan Precios",COUNTIFS(Estructuras!B:B,A445,Estructuras!E:E,0),"")</f>
        <v/>
      </c>
      <c r="K445" s="8" t="str">
        <f t="shared" si="2"/>
        <v/>
      </c>
    </row>
    <row r="446">
      <c r="A446" s="4" t="str">
        <f t="shared" si="1"/>
        <v/>
      </c>
      <c r="F446" s="36" t="str">
        <f t="shared" si="4"/>
        <v/>
      </c>
      <c r="G446" s="11"/>
      <c r="H446" s="11" t="str">
        <f>IF(E446="","",SUMIF(Estructuras!B:B,A446,Estructuras!E:E))</f>
        <v/>
      </c>
      <c r="I446" s="8" t="str">
        <f>IF(E446="","",IF(COUNTIF(Estructuras!F:F,E446)=0,"Falta Estructura",IF(COUNTIFS(Estructuras!F:F,E446,Estructuras!E:E,0)&gt;0,"Faltan Precios","OK")))</f>
        <v/>
      </c>
      <c r="J446" s="10" t="str">
        <f>IF(I446="Faltan Precios",COUNTIFS(Estructuras!B:B,A446,Estructuras!E:E,0),"")</f>
        <v/>
      </c>
      <c r="K446" s="8" t="str">
        <f t="shared" si="2"/>
        <v/>
      </c>
    </row>
    <row r="447">
      <c r="A447" s="4" t="str">
        <f t="shared" si="1"/>
        <v/>
      </c>
      <c r="F447" s="36" t="str">
        <f t="shared" si="4"/>
        <v/>
      </c>
      <c r="G447" s="11"/>
      <c r="H447" s="11" t="str">
        <f>IF(E447="","",SUMIF(Estructuras!B:B,A447,Estructuras!E:E))</f>
        <v/>
      </c>
      <c r="I447" s="8" t="str">
        <f>IF(E447="","",IF(COUNTIF(Estructuras!F:F,E447)=0,"Falta Estructura",IF(COUNTIFS(Estructuras!F:F,E447,Estructuras!E:E,0)&gt;0,"Faltan Precios","OK")))</f>
        <v/>
      </c>
      <c r="J447" s="10" t="str">
        <f>IF(I447="Faltan Precios",COUNTIFS(Estructuras!B:B,A447,Estructuras!E:E,0),"")</f>
        <v/>
      </c>
      <c r="K447" s="8" t="str">
        <f t="shared" si="2"/>
        <v/>
      </c>
    </row>
    <row r="448">
      <c r="A448" s="4" t="str">
        <f t="shared" si="1"/>
        <v/>
      </c>
      <c r="F448" s="36" t="str">
        <f t="shared" si="4"/>
        <v/>
      </c>
      <c r="G448" s="11"/>
      <c r="H448" s="11" t="str">
        <f>IF(E448="","",SUMIF(Estructuras!B:B,A448,Estructuras!E:E))</f>
        <v/>
      </c>
      <c r="I448" s="8" t="str">
        <f>IF(E448="","",IF(COUNTIF(Estructuras!F:F,E448)=0,"Falta Estructura",IF(COUNTIFS(Estructuras!F:F,E448,Estructuras!E:E,0)&gt;0,"Faltan Precios","OK")))</f>
        <v/>
      </c>
      <c r="J448" s="10" t="str">
        <f>IF(I448="Faltan Precios",COUNTIFS(Estructuras!B:B,A448,Estructuras!E:E,0),"")</f>
        <v/>
      </c>
      <c r="K448" s="8" t="str">
        <f t="shared" si="2"/>
        <v/>
      </c>
    </row>
    <row r="449">
      <c r="A449" s="4" t="str">
        <f t="shared" si="1"/>
        <v/>
      </c>
      <c r="F449" s="36" t="str">
        <f t="shared" si="4"/>
        <v/>
      </c>
      <c r="G449" s="11"/>
      <c r="H449" s="11" t="str">
        <f>IF(E449="","",SUMIF(Estructuras!B:B,A449,Estructuras!E:E))</f>
        <v/>
      </c>
      <c r="I449" s="8" t="str">
        <f>IF(E449="","",IF(COUNTIF(Estructuras!F:F,E449)=0,"Falta Estructura",IF(COUNTIFS(Estructuras!F:F,E449,Estructuras!E:E,0)&gt;0,"Faltan Precios","OK")))</f>
        <v/>
      </c>
      <c r="J449" s="10" t="str">
        <f>IF(I449="Faltan Precios",COUNTIFS(Estructuras!B:B,A449,Estructuras!E:E,0),"")</f>
        <v/>
      </c>
      <c r="K449" s="8" t="str">
        <f t="shared" si="2"/>
        <v/>
      </c>
    </row>
    <row r="450">
      <c r="A450" s="4" t="str">
        <f t="shared" si="1"/>
        <v/>
      </c>
      <c r="F450" s="36" t="str">
        <f t="shared" si="4"/>
        <v/>
      </c>
      <c r="G450" s="11"/>
      <c r="H450" s="11" t="str">
        <f>IF(E450="","",SUMIF(Estructuras!B:B,A450,Estructuras!E:E))</f>
        <v/>
      </c>
      <c r="I450" s="8" t="str">
        <f>IF(E450="","",IF(COUNTIF(Estructuras!F:F,E450)=0,"Falta Estructura",IF(COUNTIFS(Estructuras!F:F,E450,Estructuras!E:E,0)&gt;0,"Faltan Precios","OK")))</f>
        <v/>
      </c>
      <c r="J450" s="10" t="str">
        <f>IF(I450="Faltan Precios",COUNTIFS(Estructuras!B:B,A450,Estructuras!E:E,0),"")</f>
        <v/>
      </c>
      <c r="K450" s="8" t="str">
        <f t="shared" si="2"/>
        <v/>
      </c>
    </row>
    <row r="451">
      <c r="A451" s="4" t="str">
        <f t="shared" si="1"/>
        <v/>
      </c>
      <c r="F451" s="36" t="str">
        <f t="shared" si="4"/>
        <v/>
      </c>
      <c r="G451" s="11"/>
      <c r="H451" s="11" t="str">
        <f>IF(E451="","",SUMIF(Estructuras!B:B,A451,Estructuras!E:E))</f>
        <v/>
      </c>
      <c r="I451" s="8" t="str">
        <f>IF(E451="","",IF(COUNTIF(Estructuras!F:F,E451)=0,"Falta Estructura",IF(COUNTIFS(Estructuras!F:F,E451,Estructuras!E:E,0)&gt;0,"Faltan Precios","OK")))</f>
        <v/>
      </c>
      <c r="J451" s="10" t="str">
        <f>IF(I451="Faltan Precios",COUNTIFS(Estructuras!B:B,A451,Estructuras!E:E,0),"")</f>
        <v/>
      </c>
      <c r="K451" s="8" t="str">
        <f t="shared" si="2"/>
        <v/>
      </c>
    </row>
    <row r="452">
      <c r="A452" s="4" t="str">
        <f t="shared" si="1"/>
        <v/>
      </c>
      <c r="F452" s="36" t="str">
        <f t="shared" si="4"/>
        <v/>
      </c>
      <c r="G452" s="11"/>
      <c r="H452" s="11" t="str">
        <f>IF(E452="","",SUMIF(Estructuras!B:B,A452,Estructuras!E:E))</f>
        <v/>
      </c>
      <c r="I452" s="8" t="str">
        <f>IF(E452="","",IF(COUNTIF(Estructuras!F:F,E452)=0,"Falta Estructura",IF(COUNTIFS(Estructuras!F:F,E452,Estructuras!E:E,0)&gt;0,"Faltan Precios","OK")))</f>
        <v/>
      </c>
      <c r="J452" s="10" t="str">
        <f>IF(I452="Faltan Precios",COUNTIFS(Estructuras!B:B,A452,Estructuras!E:E,0),"")</f>
        <v/>
      </c>
      <c r="K452" s="8" t="str">
        <f t="shared" si="2"/>
        <v/>
      </c>
    </row>
    <row r="453">
      <c r="A453" s="4" t="str">
        <f t="shared" si="1"/>
        <v/>
      </c>
      <c r="F453" s="36" t="str">
        <f t="shared" si="4"/>
        <v/>
      </c>
      <c r="G453" s="11"/>
      <c r="H453" s="11" t="str">
        <f>IF(E453="","",SUMIF(Estructuras!B:B,A453,Estructuras!E:E))</f>
        <v/>
      </c>
      <c r="I453" s="8" t="str">
        <f>IF(E453="","",IF(COUNTIF(Estructuras!F:F,E453)=0,"Falta Estructura",IF(COUNTIFS(Estructuras!F:F,E453,Estructuras!E:E,0)&gt;0,"Faltan Precios","OK")))</f>
        <v/>
      </c>
      <c r="J453" s="10" t="str">
        <f>IF(I453="Faltan Precios",COUNTIFS(Estructuras!B:B,A453,Estructuras!E:E,0),"")</f>
        <v/>
      </c>
      <c r="K453" s="8" t="str">
        <f t="shared" si="2"/>
        <v/>
      </c>
    </row>
    <row r="454">
      <c r="A454" s="4" t="str">
        <f t="shared" si="1"/>
        <v/>
      </c>
      <c r="F454" s="36" t="str">
        <f t="shared" si="4"/>
        <v/>
      </c>
      <c r="G454" s="11"/>
      <c r="H454" s="11" t="str">
        <f>IF(E454="","",SUMIF(Estructuras!B:B,A454,Estructuras!E:E))</f>
        <v/>
      </c>
      <c r="I454" s="8" t="str">
        <f>IF(E454="","",IF(COUNTIF(Estructuras!F:F,E454)=0,"Falta Estructura",IF(COUNTIFS(Estructuras!F:F,E454,Estructuras!E:E,0)&gt;0,"Faltan Precios","OK")))</f>
        <v/>
      </c>
      <c r="J454" s="10" t="str">
        <f>IF(I454="Faltan Precios",COUNTIFS(Estructuras!B:B,A454,Estructuras!E:E,0),"")</f>
        <v/>
      </c>
      <c r="K454" s="8" t="str">
        <f t="shared" si="2"/>
        <v/>
      </c>
    </row>
    <row r="455">
      <c r="A455" s="4" t="str">
        <f t="shared" si="1"/>
        <v/>
      </c>
      <c r="F455" s="36" t="str">
        <f t="shared" si="4"/>
        <v/>
      </c>
      <c r="G455" s="11"/>
      <c r="H455" s="11" t="str">
        <f>IF(E455="","",SUMIF(Estructuras!B:B,A455,Estructuras!E:E))</f>
        <v/>
      </c>
      <c r="I455" s="8" t="str">
        <f>IF(E455="","",IF(COUNTIF(Estructuras!F:F,E455)=0,"Falta Estructura",IF(COUNTIFS(Estructuras!F:F,E455,Estructuras!E:E,0)&gt;0,"Faltan Precios","OK")))</f>
        <v/>
      </c>
      <c r="J455" s="10" t="str">
        <f>IF(I455="Faltan Precios",COUNTIFS(Estructuras!B:B,A455,Estructuras!E:E,0),"")</f>
        <v/>
      </c>
      <c r="K455" s="8" t="str">
        <f t="shared" si="2"/>
        <v/>
      </c>
    </row>
    <row r="456">
      <c r="A456" s="4" t="str">
        <f t="shared" si="1"/>
        <v/>
      </c>
      <c r="F456" s="36" t="str">
        <f t="shared" si="4"/>
        <v/>
      </c>
      <c r="G456" s="11"/>
      <c r="H456" s="11" t="str">
        <f>IF(E456="","",SUMIF(Estructuras!B:B,A456,Estructuras!E:E))</f>
        <v/>
      </c>
      <c r="I456" s="8" t="str">
        <f>IF(E456="","",IF(COUNTIF(Estructuras!F:F,E456)=0,"Falta Estructura",IF(COUNTIFS(Estructuras!F:F,E456,Estructuras!E:E,0)&gt;0,"Faltan Precios","OK")))</f>
        <v/>
      </c>
      <c r="J456" s="10" t="str">
        <f>IF(I456="Faltan Precios",COUNTIFS(Estructuras!B:B,A456,Estructuras!E:E,0),"")</f>
        <v/>
      </c>
      <c r="K456" s="8" t="str">
        <f t="shared" si="2"/>
        <v/>
      </c>
    </row>
    <row r="457">
      <c r="A457" s="4" t="str">
        <f t="shared" si="1"/>
        <v/>
      </c>
      <c r="F457" s="36" t="str">
        <f t="shared" si="4"/>
        <v/>
      </c>
      <c r="G457" s="11"/>
      <c r="H457" s="11" t="str">
        <f>IF(E457="","",SUMIF(Estructuras!B:B,A457,Estructuras!E:E))</f>
        <v/>
      </c>
      <c r="I457" s="8" t="str">
        <f>IF(E457="","",IF(COUNTIF(Estructuras!F:F,E457)=0,"Falta Estructura",IF(COUNTIFS(Estructuras!F:F,E457,Estructuras!E:E,0)&gt;0,"Faltan Precios","OK")))</f>
        <v/>
      </c>
      <c r="J457" s="10" t="str">
        <f>IF(I457="Faltan Precios",COUNTIFS(Estructuras!B:B,A457,Estructuras!E:E,0),"")</f>
        <v/>
      </c>
      <c r="K457" s="8" t="str">
        <f t="shared" si="2"/>
        <v/>
      </c>
    </row>
    <row r="458">
      <c r="A458" s="4" t="str">
        <f t="shared" si="1"/>
        <v/>
      </c>
      <c r="F458" s="36" t="str">
        <f t="shared" si="4"/>
        <v/>
      </c>
      <c r="G458" s="11"/>
      <c r="H458" s="11" t="str">
        <f>IF(E458="","",SUMIF(Estructuras!B:B,A458,Estructuras!E:E))</f>
        <v/>
      </c>
      <c r="I458" s="8" t="str">
        <f>IF(E458="","",IF(COUNTIF(Estructuras!F:F,E458)=0,"Falta Estructura",IF(COUNTIFS(Estructuras!F:F,E458,Estructuras!E:E,0)&gt;0,"Faltan Precios","OK")))</f>
        <v/>
      </c>
      <c r="J458" s="10" t="str">
        <f>IF(I458="Faltan Precios",COUNTIFS(Estructuras!B:B,A458,Estructuras!E:E,0),"")</f>
        <v/>
      </c>
      <c r="K458" s="8" t="str">
        <f t="shared" si="2"/>
        <v/>
      </c>
    </row>
    <row r="459">
      <c r="A459" s="4" t="str">
        <f t="shared" si="1"/>
        <v/>
      </c>
      <c r="F459" s="36" t="str">
        <f t="shared" si="4"/>
        <v/>
      </c>
      <c r="G459" s="11"/>
      <c r="H459" s="11" t="str">
        <f>IF(E459="","",SUMIF(Estructuras!B:B,A459,Estructuras!E:E))</f>
        <v/>
      </c>
      <c r="I459" s="8" t="str">
        <f>IF(E459="","",IF(COUNTIF(Estructuras!F:F,E459)=0,"Falta Estructura",IF(COUNTIFS(Estructuras!F:F,E459,Estructuras!E:E,0)&gt;0,"Faltan Precios","OK")))</f>
        <v/>
      </c>
      <c r="J459" s="10" t="str">
        <f>IF(I459="Faltan Precios",COUNTIFS(Estructuras!B:B,A459,Estructuras!E:E,0),"")</f>
        <v/>
      </c>
      <c r="K459" s="8" t="str">
        <f t="shared" si="2"/>
        <v/>
      </c>
    </row>
    <row r="460">
      <c r="A460" s="4" t="str">
        <f t="shared" si="1"/>
        <v/>
      </c>
      <c r="F460" s="36" t="str">
        <f t="shared" si="4"/>
        <v/>
      </c>
      <c r="G460" s="11"/>
      <c r="H460" s="11" t="str">
        <f>IF(E460="","",SUMIF(Estructuras!B:B,A460,Estructuras!E:E))</f>
        <v/>
      </c>
      <c r="I460" s="8" t="str">
        <f>IF(E460="","",IF(COUNTIF(Estructuras!F:F,E460)=0,"Falta Estructura",IF(COUNTIFS(Estructuras!F:F,E460,Estructuras!E:E,0)&gt;0,"Faltan Precios","OK")))</f>
        <v/>
      </c>
      <c r="J460" s="10" t="str">
        <f>IF(I460="Faltan Precios",COUNTIFS(Estructuras!B:B,A460,Estructuras!E:E,0),"")</f>
        <v/>
      </c>
      <c r="K460" s="8" t="str">
        <f t="shared" si="2"/>
        <v/>
      </c>
    </row>
    <row r="461">
      <c r="A461" s="4" t="str">
        <f t="shared" si="1"/>
        <v/>
      </c>
      <c r="F461" s="36" t="str">
        <f t="shared" si="4"/>
        <v/>
      </c>
      <c r="G461" s="11"/>
      <c r="H461" s="11" t="str">
        <f>IF(E461="","",SUMIF(Estructuras!B:B,A461,Estructuras!E:E))</f>
        <v/>
      </c>
      <c r="I461" s="8" t="str">
        <f>IF(E461="","",IF(COUNTIF(Estructuras!F:F,E461)=0,"Falta Estructura",IF(COUNTIFS(Estructuras!F:F,E461,Estructuras!E:E,0)&gt;0,"Faltan Precios","OK")))</f>
        <v/>
      </c>
      <c r="J461" s="10" t="str">
        <f>IF(I461="Faltan Precios",COUNTIFS(Estructuras!B:B,A461,Estructuras!E:E,0),"")</f>
        <v/>
      </c>
      <c r="K461" s="8" t="str">
        <f t="shared" si="2"/>
        <v/>
      </c>
    </row>
    <row r="462">
      <c r="A462" s="4" t="str">
        <f t="shared" si="1"/>
        <v/>
      </c>
      <c r="F462" s="36" t="str">
        <f t="shared" si="4"/>
        <v/>
      </c>
      <c r="G462" s="11"/>
      <c r="H462" s="11" t="str">
        <f>IF(E462="","",SUMIF(Estructuras!B:B,A462,Estructuras!E:E))</f>
        <v/>
      </c>
      <c r="I462" s="8" t="str">
        <f>IF(E462="","",IF(COUNTIF(Estructuras!F:F,E462)=0,"Falta Estructura",IF(COUNTIFS(Estructuras!F:F,E462,Estructuras!E:E,0)&gt;0,"Faltan Precios","OK")))</f>
        <v/>
      </c>
      <c r="J462" s="10" t="str">
        <f>IF(I462="Faltan Precios",COUNTIFS(Estructuras!B:B,A462,Estructuras!E:E,0),"")</f>
        <v/>
      </c>
      <c r="K462" s="8" t="str">
        <f t="shared" si="2"/>
        <v/>
      </c>
    </row>
    <row r="463">
      <c r="A463" s="4" t="str">
        <f t="shared" si="1"/>
        <v/>
      </c>
      <c r="F463" s="36" t="str">
        <f t="shared" si="4"/>
        <v/>
      </c>
      <c r="G463" s="11"/>
      <c r="H463" s="11" t="str">
        <f>IF(E463="","",SUMIF(Estructuras!B:B,A463,Estructuras!E:E))</f>
        <v/>
      </c>
      <c r="I463" s="8" t="str">
        <f>IF(E463="","",IF(COUNTIF(Estructuras!F:F,E463)=0,"Falta Estructura",IF(COUNTIFS(Estructuras!F:F,E463,Estructuras!E:E,0)&gt;0,"Faltan Precios","OK")))</f>
        <v/>
      </c>
      <c r="J463" s="10" t="str">
        <f>IF(I463="Faltan Precios",COUNTIFS(Estructuras!B:B,A463,Estructuras!E:E,0),"")</f>
        <v/>
      </c>
      <c r="K463" s="8" t="str">
        <f t="shared" si="2"/>
        <v/>
      </c>
    </row>
    <row r="464">
      <c r="A464" s="4" t="str">
        <f t="shared" si="1"/>
        <v/>
      </c>
      <c r="F464" s="36" t="str">
        <f t="shared" si="4"/>
        <v/>
      </c>
      <c r="G464" s="11"/>
      <c r="H464" s="11" t="str">
        <f>IF(E464="","",SUMIF(Estructuras!B:B,A464,Estructuras!E:E))</f>
        <v/>
      </c>
      <c r="I464" s="8" t="str">
        <f>IF(E464="","",IF(COUNTIF(Estructuras!F:F,E464)=0,"Falta Estructura",IF(COUNTIFS(Estructuras!F:F,E464,Estructuras!E:E,0)&gt;0,"Faltan Precios","OK")))</f>
        <v/>
      </c>
      <c r="J464" s="10" t="str">
        <f>IF(I464="Faltan Precios",COUNTIFS(Estructuras!B:B,A464,Estructuras!E:E,0),"")</f>
        <v/>
      </c>
      <c r="K464" s="8" t="str">
        <f t="shared" si="2"/>
        <v/>
      </c>
    </row>
    <row r="465">
      <c r="A465" s="4" t="str">
        <f t="shared" si="1"/>
        <v/>
      </c>
      <c r="F465" s="36" t="str">
        <f t="shared" si="4"/>
        <v/>
      </c>
      <c r="G465" s="11"/>
      <c r="H465" s="11" t="str">
        <f>IF(E465="","",SUMIF(Estructuras!B:B,A465,Estructuras!E:E))</f>
        <v/>
      </c>
      <c r="I465" s="8" t="str">
        <f>IF(E465="","",IF(COUNTIF(Estructuras!F:F,E465)=0,"Falta Estructura",IF(COUNTIFS(Estructuras!F:F,E465,Estructuras!E:E,0)&gt;0,"Faltan Precios","OK")))</f>
        <v/>
      </c>
      <c r="J465" s="10" t="str">
        <f>IF(I465="Faltan Precios",COUNTIFS(Estructuras!B:B,A465,Estructuras!E:E,0),"")</f>
        <v/>
      </c>
      <c r="K465" s="8" t="str">
        <f t="shared" si="2"/>
        <v/>
      </c>
    </row>
    <row r="466">
      <c r="A466" s="4" t="str">
        <f t="shared" si="1"/>
        <v/>
      </c>
      <c r="F466" s="36" t="str">
        <f t="shared" si="4"/>
        <v/>
      </c>
      <c r="G466" s="11"/>
      <c r="H466" s="11" t="str">
        <f>IF(E466="","",SUMIF(Estructuras!B:B,A466,Estructuras!E:E))</f>
        <v/>
      </c>
      <c r="I466" s="8" t="str">
        <f>IF(E466="","",IF(COUNTIF(Estructuras!F:F,E466)=0,"Falta Estructura",IF(COUNTIFS(Estructuras!F:F,E466,Estructuras!E:E,0)&gt;0,"Faltan Precios","OK")))</f>
        <v/>
      </c>
      <c r="J466" s="10" t="str">
        <f>IF(I466="Faltan Precios",COUNTIFS(Estructuras!B:B,A466,Estructuras!E:E,0),"")</f>
        <v/>
      </c>
      <c r="K466" s="8" t="str">
        <f t="shared" si="2"/>
        <v/>
      </c>
    </row>
    <row r="467">
      <c r="A467" s="4" t="str">
        <f t="shared" si="1"/>
        <v/>
      </c>
      <c r="F467" s="36" t="str">
        <f t="shared" si="4"/>
        <v/>
      </c>
      <c r="G467" s="11"/>
      <c r="H467" s="11" t="str">
        <f>IF(E467="","",SUMIF(Estructuras!B:B,A467,Estructuras!E:E))</f>
        <v/>
      </c>
      <c r="I467" s="8" t="str">
        <f>IF(E467="","",IF(COUNTIF(Estructuras!F:F,E467)=0,"Falta Estructura",IF(COUNTIFS(Estructuras!F:F,E467,Estructuras!E:E,0)&gt;0,"Faltan Precios","OK")))</f>
        <v/>
      </c>
      <c r="J467" s="10" t="str">
        <f>IF(I467="Faltan Precios",COUNTIFS(Estructuras!B:B,A467,Estructuras!E:E,0),"")</f>
        <v/>
      </c>
      <c r="K467" s="8" t="str">
        <f t="shared" si="2"/>
        <v/>
      </c>
    </row>
    <row r="468">
      <c r="A468" s="4" t="str">
        <f t="shared" si="1"/>
        <v/>
      </c>
      <c r="F468" s="36" t="str">
        <f t="shared" si="4"/>
        <v/>
      </c>
      <c r="G468" s="11"/>
      <c r="H468" s="11" t="str">
        <f>IF(E468="","",SUMIF(Estructuras!B:B,A468,Estructuras!E:E))</f>
        <v/>
      </c>
      <c r="I468" s="8" t="str">
        <f>IF(E468="","",IF(COUNTIF(Estructuras!F:F,E468)=0,"Falta Estructura",IF(COUNTIFS(Estructuras!F:F,E468,Estructuras!E:E,0)&gt;0,"Faltan Precios","OK")))</f>
        <v/>
      </c>
      <c r="J468" s="10" t="str">
        <f>IF(I468="Faltan Precios",COUNTIFS(Estructuras!B:B,A468,Estructuras!E:E,0),"")</f>
        <v/>
      </c>
      <c r="K468" s="8" t="str">
        <f t="shared" si="2"/>
        <v/>
      </c>
    </row>
    <row r="469">
      <c r="A469" s="4" t="str">
        <f t="shared" si="1"/>
        <v/>
      </c>
      <c r="F469" s="36" t="str">
        <f t="shared" si="4"/>
        <v/>
      </c>
      <c r="G469" s="11"/>
      <c r="H469" s="11" t="str">
        <f>IF(E469="","",SUMIF(Estructuras!B:B,A469,Estructuras!E:E))</f>
        <v/>
      </c>
      <c r="I469" s="8" t="str">
        <f>IF(E469="","",IF(COUNTIF(Estructuras!F:F,E469)=0,"Falta Estructura",IF(COUNTIFS(Estructuras!F:F,E469,Estructuras!E:E,0)&gt;0,"Faltan Precios","OK")))</f>
        <v/>
      </c>
      <c r="J469" s="10" t="str">
        <f>IF(I469="Faltan Precios",COUNTIFS(Estructuras!B:B,A469,Estructuras!E:E,0),"")</f>
        <v/>
      </c>
      <c r="K469" s="8" t="str">
        <f t="shared" si="2"/>
        <v/>
      </c>
    </row>
    <row r="470">
      <c r="A470" s="4" t="str">
        <f t="shared" si="1"/>
        <v/>
      </c>
      <c r="F470" s="36" t="str">
        <f t="shared" si="4"/>
        <v/>
      </c>
      <c r="G470" s="11"/>
      <c r="H470" s="11" t="str">
        <f>IF(E470="","",SUMIF(Estructuras!B:B,A470,Estructuras!E:E))</f>
        <v/>
      </c>
      <c r="I470" s="8" t="str">
        <f>IF(E470="","",IF(COUNTIF(Estructuras!F:F,E470)=0,"Falta Estructura",IF(COUNTIFS(Estructuras!F:F,E470,Estructuras!E:E,0)&gt;0,"Faltan Precios","OK")))</f>
        <v/>
      </c>
      <c r="J470" s="10" t="str">
        <f>IF(I470="Faltan Precios",COUNTIFS(Estructuras!B:B,A470,Estructuras!E:E,0),"")</f>
        <v/>
      </c>
      <c r="K470" s="8" t="str">
        <f t="shared" si="2"/>
        <v/>
      </c>
    </row>
    <row r="471">
      <c r="A471" s="4" t="str">
        <f t="shared" si="1"/>
        <v/>
      </c>
      <c r="F471" s="36" t="str">
        <f t="shared" si="4"/>
        <v/>
      </c>
      <c r="G471" s="11"/>
      <c r="H471" s="11" t="str">
        <f>IF(E471="","",SUMIF(Estructuras!B:B,A471,Estructuras!E:E))</f>
        <v/>
      </c>
      <c r="I471" s="8" t="str">
        <f>IF(E471="","",IF(COUNTIF(Estructuras!F:F,E471)=0,"Falta Estructura",IF(COUNTIFS(Estructuras!F:F,E471,Estructuras!E:E,0)&gt;0,"Faltan Precios","OK")))</f>
        <v/>
      </c>
      <c r="J471" s="10" t="str">
        <f>IF(I471="Faltan Precios",COUNTIFS(Estructuras!B:B,A471,Estructuras!E:E,0),"")</f>
        <v/>
      </c>
      <c r="K471" s="8" t="str">
        <f t="shared" si="2"/>
        <v/>
      </c>
    </row>
    <row r="472">
      <c r="A472" s="4" t="str">
        <f t="shared" si="1"/>
        <v/>
      </c>
      <c r="F472" s="36" t="str">
        <f t="shared" si="4"/>
        <v/>
      </c>
      <c r="G472" s="11"/>
      <c r="H472" s="11" t="str">
        <f>IF(E472="","",SUMIF(Estructuras!B:B,A472,Estructuras!E:E))</f>
        <v/>
      </c>
      <c r="I472" s="8" t="str">
        <f>IF(E472="","",IF(COUNTIF(Estructuras!F:F,E472)=0,"Falta Estructura",IF(COUNTIFS(Estructuras!F:F,E472,Estructuras!E:E,0)&gt;0,"Faltan Precios","OK")))</f>
        <v/>
      </c>
      <c r="J472" s="10" t="str">
        <f>IF(I472="Faltan Precios",COUNTIFS(Estructuras!B:B,A472,Estructuras!E:E,0),"")</f>
        <v/>
      </c>
      <c r="K472" s="8" t="str">
        <f t="shared" si="2"/>
        <v/>
      </c>
    </row>
    <row r="473">
      <c r="A473" s="4" t="str">
        <f t="shared" si="1"/>
        <v/>
      </c>
      <c r="F473" s="36" t="str">
        <f t="shared" si="4"/>
        <v/>
      </c>
      <c r="G473" s="11"/>
      <c r="H473" s="11" t="str">
        <f>IF(E473="","",SUMIF(Estructuras!B:B,A473,Estructuras!E:E))</f>
        <v/>
      </c>
      <c r="I473" s="8" t="str">
        <f>IF(E473="","",IF(COUNTIF(Estructuras!F:F,E473)=0,"Falta Estructura",IF(COUNTIFS(Estructuras!F:F,E473,Estructuras!E:E,0)&gt;0,"Faltan Precios","OK")))</f>
        <v/>
      </c>
      <c r="J473" s="10" t="str">
        <f>IF(I473="Faltan Precios",COUNTIFS(Estructuras!B:B,A473,Estructuras!E:E,0),"")</f>
        <v/>
      </c>
      <c r="K473" s="8" t="str">
        <f t="shared" si="2"/>
        <v/>
      </c>
    </row>
    <row r="474">
      <c r="A474" s="4" t="str">
        <f t="shared" si="1"/>
        <v/>
      </c>
      <c r="F474" s="36" t="str">
        <f t="shared" si="4"/>
        <v/>
      </c>
      <c r="G474" s="11"/>
      <c r="H474" s="11" t="str">
        <f>IF(E474="","",SUMIF(Estructuras!B:B,A474,Estructuras!E:E))</f>
        <v/>
      </c>
      <c r="I474" s="8" t="str">
        <f>IF(E474="","",IF(COUNTIF(Estructuras!F:F,E474)=0,"Falta Estructura",IF(COUNTIFS(Estructuras!F:F,E474,Estructuras!E:E,0)&gt;0,"Faltan Precios","OK")))</f>
        <v/>
      </c>
      <c r="J474" s="10" t="str">
        <f>IF(I474="Faltan Precios",COUNTIFS(Estructuras!B:B,A474,Estructuras!E:E,0),"")</f>
        <v/>
      </c>
      <c r="K474" s="8" t="str">
        <f t="shared" si="2"/>
        <v/>
      </c>
    </row>
    <row r="475">
      <c r="A475" s="4" t="str">
        <f t="shared" si="1"/>
        <v/>
      </c>
      <c r="F475" s="36" t="str">
        <f t="shared" si="4"/>
        <v/>
      </c>
      <c r="G475" s="11"/>
      <c r="H475" s="11" t="str">
        <f>IF(E475="","",SUMIF(Estructuras!B:B,A475,Estructuras!E:E))</f>
        <v/>
      </c>
      <c r="I475" s="8" t="str">
        <f>IF(E475="","",IF(COUNTIF(Estructuras!F:F,E475)=0,"Falta Estructura",IF(COUNTIFS(Estructuras!F:F,E475,Estructuras!E:E,0)&gt;0,"Faltan Precios","OK")))</f>
        <v/>
      </c>
      <c r="J475" s="10" t="str">
        <f>IF(I475="Faltan Precios",COUNTIFS(Estructuras!B:B,A475,Estructuras!E:E,0),"")</f>
        <v/>
      </c>
      <c r="K475" s="8" t="str">
        <f t="shared" si="2"/>
        <v/>
      </c>
    </row>
    <row r="476">
      <c r="A476" s="4" t="str">
        <f t="shared" si="1"/>
        <v/>
      </c>
      <c r="F476" s="36" t="str">
        <f t="shared" si="4"/>
        <v/>
      </c>
      <c r="G476" s="11"/>
      <c r="H476" s="11" t="str">
        <f>IF(E476="","",SUMIF(Estructuras!B:B,A476,Estructuras!E:E))</f>
        <v/>
      </c>
      <c r="I476" s="8" t="str">
        <f>IF(E476="","",IF(COUNTIF(Estructuras!F:F,E476)=0,"Falta Estructura",IF(COUNTIFS(Estructuras!F:F,E476,Estructuras!E:E,0)&gt;0,"Faltan Precios","OK")))</f>
        <v/>
      </c>
      <c r="J476" s="10" t="str">
        <f>IF(I476="Faltan Precios",COUNTIFS(Estructuras!B:B,A476,Estructuras!E:E,0),"")</f>
        <v/>
      </c>
      <c r="K476" s="8" t="str">
        <f t="shared" si="2"/>
        <v/>
      </c>
    </row>
    <row r="477">
      <c r="A477" s="4" t="str">
        <f t="shared" si="1"/>
        <v/>
      </c>
      <c r="F477" s="36" t="str">
        <f t="shared" si="4"/>
        <v/>
      </c>
      <c r="G477" s="11"/>
      <c r="H477" s="11" t="str">
        <f>IF(E477="","",SUMIF(Estructuras!B:B,A477,Estructuras!E:E))</f>
        <v/>
      </c>
      <c r="I477" s="8" t="str">
        <f>IF(E477="","",IF(COUNTIF(Estructuras!F:F,E477)=0,"Falta Estructura",IF(COUNTIFS(Estructuras!F:F,E477,Estructuras!E:E,0)&gt;0,"Faltan Precios","OK")))</f>
        <v/>
      </c>
      <c r="J477" s="10" t="str">
        <f>IF(I477="Faltan Precios",COUNTIFS(Estructuras!B:B,A477,Estructuras!E:E,0),"")</f>
        <v/>
      </c>
      <c r="K477" s="8" t="str">
        <f t="shared" si="2"/>
        <v/>
      </c>
    </row>
    <row r="478">
      <c r="A478" s="4" t="str">
        <f t="shared" si="1"/>
        <v/>
      </c>
      <c r="F478" s="36" t="str">
        <f t="shared" si="4"/>
        <v/>
      </c>
      <c r="G478" s="11"/>
      <c r="H478" s="11" t="str">
        <f>IF(E478="","",SUMIF(Estructuras!B:B,A478,Estructuras!E:E))</f>
        <v/>
      </c>
      <c r="I478" s="8" t="str">
        <f>IF(E478="","",IF(COUNTIF(Estructuras!F:F,E478)=0,"Falta Estructura",IF(COUNTIFS(Estructuras!F:F,E478,Estructuras!E:E,0)&gt;0,"Faltan Precios","OK")))</f>
        <v/>
      </c>
      <c r="J478" s="10" t="str">
        <f>IF(I478="Faltan Precios",COUNTIFS(Estructuras!B:B,A478,Estructuras!E:E,0),"")</f>
        <v/>
      </c>
      <c r="K478" s="8" t="str">
        <f t="shared" si="2"/>
        <v/>
      </c>
    </row>
    <row r="479">
      <c r="A479" s="4" t="str">
        <f t="shared" si="1"/>
        <v/>
      </c>
      <c r="F479" s="36" t="str">
        <f t="shared" si="4"/>
        <v/>
      </c>
      <c r="G479" s="11"/>
      <c r="H479" s="11" t="str">
        <f>IF(E479="","",SUMIF(Estructuras!B:B,A479,Estructuras!E:E))</f>
        <v/>
      </c>
      <c r="I479" s="8" t="str">
        <f>IF(E479="","",IF(COUNTIF(Estructuras!F:F,E479)=0,"Falta Estructura",IF(COUNTIFS(Estructuras!F:F,E479,Estructuras!E:E,0)&gt;0,"Faltan Precios","OK")))</f>
        <v/>
      </c>
      <c r="J479" s="10" t="str">
        <f>IF(I479="Faltan Precios",COUNTIFS(Estructuras!B:B,A479,Estructuras!E:E,0),"")</f>
        <v/>
      </c>
      <c r="K479" s="8" t="str">
        <f t="shared" si="2"/>
        <v/>
      </c>
    </row>
    <row r="480">
      <c r="A480" s="4" t="str">
        <f t="shared" si="1"/>
        <v/>
      </c>
      <c r="F480" s="36" t="str">
        <f t="shared" si="4"/>
        <v/>
      </c>
      <c r="G480" s="11"/>
      <c r="H480" s="11" t="str">
        <f>IF(E480="","",SUMIF(Estructuras!B:B,A480,Estructuras!E:E))</f>
        <v/>
      </c>
      <c r="I480" s="8" t="str">
        <f>IF(E480="","",IF(COUNTIF(Estructuras!F:F,E480)=0,"Falta Estructura",IF(COUNTIFS(Estructuras!F:F,E480,Estructuras!E:E,0)&gt;0,"Faltan Precios","OK")))</f>
        <v/>
      </c>
      <c r="J480" s="10" t="str">
        <f>IF(I480="Faltan Precios",COUNTIFS(Estructuras!B:B,A480,Estructuras!E:E,0),"")</f>
        <v/>
      </c>
      <c r="K480" s="8" t="str">
        <f t="shared" si="2"/>
        <v/>
      </c>
    </row>
    <row r="481">
      <c r="A481" s="4" t="str">
        <f t="shared" si="1"/>
        <v/>
      </c>
      <c r="F481" s="36" t="str">
        <f t="shared" si="4"/>
        <v/>
      </c>
      <c r="G481" s="11"/>
      <c r="H481" s="11" t="str">
        <f>IF(E481="","",SUMIF(Estructuras!B:B,A481,Estructuras!E:E))</f>
        <v/>
      </c>
      <c r="I481" s="8" t="str">
        <f>IF(E481="","",IF(COUNTIF(Estructuras!F:F,E481)=0,"Falta Estructura",IF(COUNTIFS(Estructuras!F:F,E481,Estructuras!E:E,0)&gt;0,"Faltan Precios","OK")))</f>
        <v/>
      </c>
      <c r="J481" s="10" t="str">
        <f>IF(I481="Faltan Precios",COUNTIFS(Estructuras!B:B,A481,Estructuras!E:E,0),"")</f>
        <v/>
      </c>
      <c r="K481" s="8" t="str">
        <f t="shared" si="2"/>
        <v/>
      </c>
    </row>
    <row r="482">
      <c r="A482" s="4" t="str">
        <f t="shared" si="1"/>
        <v/>
      </c>
      <c r="F482" s="36" t="str">
        <f t="shared" si="4"/>
        <v/>
      </c>
      <c r="G482" s="11"/>
      <c r="H482" s="11" t="str">
        <f>IF(E482="","",SUMIF(Estructuras!B:B,A482,Estructuras!E:E))</f>
        <v/>
      </c>
      <c r="I482" s="8" t="str">
        <f>IF(E482="","",IF(COUNTIF(Estructuras!F:F,E482)=0,"Falta Estructura",IF(COUNTIFS(Estructuras!F:F,E482,Estructuras!E:E,0)&gt;0,"Faltan Precios","OK")))</f>
        <v/>
      </c>
      <c r="J482" s="10" t="str">
        <f>IF(I482="Faltan Precios",COUNTIFS(Estructuras!B:B,A482,Estructuras!E:E,0),"")</f>
        <v/>
      </c>
      <c r="K482" s="8" t="str">
        <f t="shared" si="2"/>
        <v/>
      </c>
    </row>
    <row r="483">
      <c r="A483" s="4" t="str">
        <f t="shared" si="1"/>
        <v/>
      </c>
      <c r="F483" s="36" t="str">
        <f t="shared" si="4"/>
        <v/>
      </c>
      <c r="G483" s="11"/>
      <c r="H483" s="11" t="str">
        <f>IF(E483="","",SUMIF(Estructuras!B:B,A483,Estructuras!E:E))</f>
        <v/>
      </c>
      <c r="I483" s="8" t="str">
        <f>IF(E483="","",IF(COUNTIF(Estructuras!F:F,E483)=0,"Falta Estructura",IF(COUNTIFS(Estructuras!F:F,E483,Estructuras!E:E,0)&gt;0,"Faltan Precios","OK")))</f>
        <v/>
      </c>
      <c r="J483" s="10" t="str">
        <f>IF(I483="Faltan Precios",COUNTIFS(Estructuras!B:B,A483,Estructuras!E:E,0),"")</f>
        <v/>
      </c>
      <c r="K483" s="8" t="str">
        <f t="shared" si="2"/>
        <v/>
      </c>
    </row>
    <row r="484">
      <c r="A484" s="4" t="str">
        <f t="shared" si="1"/>
        <v/>
      </c>
      <c r="F484" s="36" t="str">
        <f t="shared" si="4"/>
        <v/>
      </c>
      <c r="G484" s="11"/>
      <c r="H484" s="11" t="str">
        <f>IF(E484="","",SUMIF(Estructuras!B:B,A484,Estructuras!E:E))</f>
        <v/>
      </c>
      <c r="I484" s="8" t="str">
        <f>IF(E484="","",IF(COUNTIF(Estructuras!F:F,E484)=0,"Falta Estructura",IF(COUNTIFS(Estructuras!F:F,E484,Estructuras!E:E,0)&gt;0,"Faltan Precios","OK")))</f>
        <v/>
      </c>
      <c r="J484" s="10" t="str">
        <f>IF(I484="Faltan Precios",COUNTIFS(Estructuras!B:B,A484,Estructuras!E:E,0),"")</f>
        <v/>
      </c>
      <c r="K484" s="8" t="str">
        <f t="shared" si="2"/>
        <v/>
      </c>
    </row>
    <row r="485">
      <c r="A485" s="4" t="str">
        <f t="shared" si="1"/>
        <v/>
      </c>
      <c r="F485" s="36" t="str">
        <f t="shared" si="4"/>
        <v/>
      </c>
      <c r="G485" s="11"/>
      <c r="H485" s="11" t="str">
        <f>IF(E485="","",SUMIF(Estructuras!B:B,A485,Estructuras!E:E))</f>
        <v/>
      </c>
      <c r="I485" s="8" t="str">
        <f>IF(E485="","",IF(COUNTIF(Estructuras!F:F,E485)=0,"Falta Estructura",IF(COUNTIFS(Estructuras!F:F,E485,Estructuras!E:E,0)&gt;0,"Faltan Precios","OK")))</f>
        <v/>
      </c>
      <c r="J485" s="10" t="str">
        <f>IF(I485="Faltan Precios",COUNTIFS(Estructuras!B:B,A485,Estructuras!E:E,0),"")</f>
        <v/>
      </c>
      <c r="K485" s="8" t="str">
        <f t="shared" si="2"/>
        <v/>
      </c>
    </row>
    <row r="486">
      <c r="A486" s="4" t="str">
        <f t="shared" si="1"/>
        <v/>
      </c>
      <c r="F486" s="36" t="str">
        <f t="shared" si="4"/>
        <v/>
      </c>
      <c r="G486" s="11"/>
      <c r="H486" s="11" t="str">
        <f>IF(E486="","",SUMIF(Estructuras!B:B,A486,Estructuras!E:E))</f>
        <v/>
      </c>
      <c r="I486" s="8" t="str">
        <f>IF(E486="","",IF(COUNTIF(Estructuras!F:F,E486)=0,"Falta Estructura",IF(COUNTIFS(Estructuras!F:F,E486,Estructuras!E:E,0)&gt;0,"Faltan Precios","OK")))</f>
        <v/>
      </c>
      <c r="J486" s="10" t="str">
        <f>IF(I486="Faltan Precios",COUNTIFS(Estructuras!B:B,A486,Estructuras!E:E,0),"")</f>
        <v/>
      </c>
      <c r="K486" s="8" t="str">
        <f t="shared" si="2"/>
        <v/>
      </c>
    </row>
    <row r="487">
      <c r="A487" s="4" t="str">
        <f t="shared" si="1"/>
        <v/>
      </c>
      <c r="F487" s="36" t="str">
        <f t="shared" si="4"/>
        <v/>
      </c>
      <c r="G487" s="11"/>
      <c r="H487" s="11" t="str">
        <f>IF(E487="","",SUMIF(Estructuras!B:B,A487,Estructuras!E:E))</f>
        <v/>
      </c>
      <c r="I487" s="8" t="str">
        <f>IF(E487="","",IF(COUNTIF(Estructuras!F:F,E487)=0,"Falta Estructura",IF(COUNTIFS(Estructuras!F:F,E487,Estructuras!E:E,0)&gt;0,"Faltan Precios","OK")))</f>
        <v/>
      </c>
      <c r="J487" s="10" t="str">
        <f>IF(I487="Faltan Precios",COUNTIFS(Estructuras!B:B,A487,Estructuras!E:E,0),"")</f>
        <v/>
      </c>
      <c r="K487" s="8" t="str">
        <f t="shared" si="2"/>
        <v/>
      </c>
    </row>
    <row r="488">
      <c r="A488" s="4" t="str">
        <f t="shared" si="1"/>
        <v/>
      </c>
      <c r="F488" s="36" t="str">
        <f t="shared" si="4"/>
        <v/>
      </c>
      <c r="G488" s="11"/>
      <c r="H488" s="11" t="str">
        <f>IF(E488="","",SUMIF(Estructuras!B:B,A488,Estructuras!E:E))</f>
        <v/>
      </c>
      <c r="I488" s="8" t="str">
        <f>IF(E488="","",IF(COUNTIF(Estructuras!F:F,E488)=0,"Falta Estructura",IF(COUNTIFS(Estructuras!F:F,E488,Estructuras!E:E,0)&gt;0,"Faltan Precios","OK")))</f>
        <v/>
      </c>
      <c r="J488" s="10" t="str">
        <f>IF(I488="Faltan Precios",COUNTIFS(Estructuras!B:B,A488,Estructuras!E:E,0),"")</f>
        <v/>
      </c>
      <c r="K488" s="8" t="str">
        <f t="shared" si="2"/>
        <v/>
      </c>
    </row>
    <row r="489">
      <c r="A489" s="4" t="str">
        <f t="shared" si="1"/>
        <v/>
      </c>
      <c r="F489" s="36" t="str">
        <f t="shared" si="4"/>
        <v/>
      </c>
      <c r="G489" s="11"/>
      <c r="H489" s="11" t="str">
        <f>IF(E489="","",SUMIF(Estructuras!B:B,A489,Estructuras!E:E))</f>
        <v/>
      </c>
      <c r="I489" s="8" t="str">
        <f>IF(E489="","",IF(COUNTIF(Estructuras!F:F,E489)=0,"Falta Estructura",IF(COUNTIFS(Estructuras!F:F,E489,Estructuras!E:E,0)&gt;0,"Faltan Precios","OK")))</f>
        <v/>
      </c>
      <c r="J489" s="10" t="str">
        <f>IF(I489="Faltan Precios",COUNTIFS(Estructuras!B:B,A489,Estructuras!E:E,0),"")</f>
        <v/>
      </c>
      <c r="K489" s="8" t="str">
        <f t="shared" si="2"/>
        <v/>
      </c>
    </row>
    <row r="490">
      <c r="A490" s="4" t="str">
        <f t="shared" si="1"/>
        <v/>
      </c>
      <c r="F490" s="36" t="str">
        <f t="shared" si="4"/>
        <v/>
      </c>
      <c r="G490" s="11"/>
      <c r="H490" s="11" t="str">
        <f>IF(E490="","",SUMIF(Estructuras!B:B,A490,Estructuras!E:E))</f>
        <v/>
      </c>
      <c r="I490" s="8" t="str">
        <f>IF(E490="","",IF(COUNTIF(Estructuras!F:F,E490)=0,"Falta Estructura",IF(COUNTIFS(Estructuras!F:F,E490,Estructuras!E:E,0)&gt;0,"Faltan Precios","OK")))</f>
        <v/>
      </c>
      <c r="J490" s="10" t="str">
        <f>IF(I490="Faltan Precios",COUNTIFS(Estructuras!B:B,A490,Estructuras!E:E,0),"")</f>
        <v/>
      </c>
      <c r="K490" s="8" t="str">
        <f t="shared" si="2"/>
        <v/>
      </c>
    </row>
    <row r="491">
      <c r="A491" s="4" t="str">
        <f t="shared" si="1"/>
        <v/>
      </c>
      <c r="F491" s="36" t="str">
        <f t="shared" si="4"/>
        <v/>
      </c>
      <c r="G491" s="11"/>
      <c r="H491" s="11" t="str">
        <f>IF(E491="","",SUMIF(Estructuras!B:B,A491,Estructuras!E:E))</f>
        <v/>
      </c>
      <c r="I491" s="8" t="str">
        <f>IF(E491="","",IF(COUNTIF(Estructuras!F:F,E491)=0,"Falta Estructura",IF(COUNTIFS(Estructuras!F:F,E491,Estructuras!E:E,0)&gt;0,"Faltan Precios","OK")))</f>
        <v/>
      </c>
      <c r="J491" s="10" t="str">
        <f>IF(I491="Faltan Precios",COUNTIFS(Estructuras!B:B,A491,Estructuras!E:E,0),"")</f>
        <v/>
      </c>
      <c r="K491" s="8" t="str">
        <f t="shared" si="2"/>
        <v/>
      </c>
    </row>
    <row r="492">
      <c r="A492" s="4" t="str">
        <f t="shared" si="1"/>
        <v/>
      </c>
      <c r="F492" s="36" t="str">
        <f t="shared" si="4"/>
        <v/>
      </c>
      <c r="G492" s="11"/>
      <c r="H492" s="11" t="str">
        <f>IF(E492="","",SUMIF(Estructuras!B:B,A492,Estructuras!E:E))</f>
        <v/>
      </c>
      <c r="I492" s="8" t="str">
        <f>IF(E492="","",IF(COUNTIF(Estructuras!F:F,E492)=0,"Falta Estructura",IF(COUNTIFS(Estructuras!F:F,E492,Estructuras!E:E,0)&gt;0,"Faltan Precios","OK")))</f>
        <v/>
      </c>
      <c r="J492" s="10" t="str">
        <f>IF(I492="Faltan Precios",COUNTIFS(Estructuras!B:B,A492,Estructuras!E:E,0),"")</f>
        <v/>
      </c>
      <c r="K492" s="8" t="str">
        <f t="shared" si="2"/>
        <v/>
      </c>
    </row>
    <row r="493">
      <c r="A493" s="4" t="str">
        <f t="shared" si="1"/>
        <v/>
      </c>
      <c r="F493" s="36" t="str">
        <f t="shared" si="4"/>
        <v/>
      </c>
      <c r="G493" s="11"/>
      <c r="H493" s="11" t="str">
        <f>IF(E493="","",SUMIF(Estructuras!B:B,A493,Estructuras!E:E))</f>
        <v/>
      </c>
      <c r="I493" s="8" t="str">
        <f>IF(E493="","",IF(COUNTIF(Estructuras!F:F,E493)=0,"Falta Estructura",IF(COUNTIFS(Estructuras!F:F,E493,Estructuras!E:E,0)&gt;0,"Faltan Precios","OK")))</f>
        <v/>
      </c>
      <c r="J493" s="10" t="str">
        <f>IF(I493="Faltan Precios",COUNTIFS(Estructuras!B:B,A493,Estructuras!E:E,0),"")</f>
        <v/>
      </c>
      <c r="K493" s="8" t="str">
        <f t="shared" si="2"/>
        <v/>
      </c>
    </row>
    <row r="494">
      <c r="A494" s="4" t="str">
        <f t="shared" si="1"/>
        <v/>
      </c>
      <c r="F494" s="36" t="str">
        <f t="shared" si="4"/>
        <v/>
      </c>
      <c r="G494" s="11"/>
      <c r="H494" s="11" t="str">
        <f>IF(E494="","",SUMIF(Estructuras!B:B,A494,Estructuras!E:E))</f>
        <v/>
      </c>
      <c r="I494" s="8" t="str">
        <f>IF(E494="","",IF(COUNTIF(Estructuras!F:F,E494)=0,"Falta Estructura",IF(COUNTIFS(Estructuras!F:F,E494,Estructuras!E:E,0)&gt;0,"Faltan Precios","OK")))</f>
        <v/>
      </c>
      <c r="J494" s="10" t="str">
        <f>IF(I494="Faltan Precios",COUNTIFS(Estructuras!B:B,A494,Estructuras!E:E,0),"")</f>
        <v/>
      </c>
      <c r="K494" s="8" t="str">
        <f t="shared" si="2"/>
        <v/>
      </c>
    </row>
    <row r="495">
      <c r="A495" s="4" t="str">
        <f t="shared" si="1"/>
        <v/>
      </c>
      <c r="F495" s="36" t="str">
        <f t="shared" si="4"/>
        <v/>
      </c>
      <c r="G495" s="11"/>
      <c r="H495" s="11" t="str">
        <f>IF(E495="","",SUMIF(Estructuras!B:B,A495,Estructuras!E:E))</f>
        <v/>
      </c>
      <c r="I495" s="8" t="str">
        <f>IF(E495="","",IF(COUNTIF(Estructuras!F:F,E495)=0,"Falta Estructura",IF(COUNTIFS(Estructuras!F:F,E495,Estructuras!E:E,0)&gt;0,"Faltan Precios","OK")))</f>
        <v/>
      </c>
      <c r="J495" s="10" t="str">
        <f>IF(I495="Faltan Precios",COUNTIFS(Estructuras!B:B,A495,Estructuras!E:E,0),"")</f>
        <v/>
      </c>
      <c r="K495" s="8" t="str">
        <f t="shared" si="2"/>
        <v/>
      </c>
    </row>
    <row r="496">
      <c r="A496" s="4" t="str">
        <f t="shared" si="1"/>
        <v/>
      </c>
      <c r="F496" s="36" t="str">
        <f t="shared" si="4"/>
        <v/>
      </c>
      <c r="G496" s="11"/>
      <c r="H496" s="11" t="str">
        <f>IF(E496="","",SUMIF(Estructuras!B:B,A496,Estructuras!E:E))</f>
        <v/>
      </c>
      <c r="I496" s="8" t="str">
        <f>IF(E496="","",IF(COUNTIF(Estructuras!F:F,E496)=0,"Falta Estructura",IF(COUNTIFS(Estructuras!F:F,E496,Estructuras!E:E,0)&gt;0,"Faltan Precios","OK")))</f>
        <v/>
      </c>
      <c r="J496" s="10" t="str">
        <f>IF(I496="Faltan Precios",COUNTIFS(Estructuras!B:B,A496,Estructuras!E:E,0),"")</f>
        <v/>
      </c>
      <c r="K496" s="8" t="str">
        <f t="shared" si="2"/>
        <v/>
      </c>
    </row>
    <row r="497">
      <c r="A497" s="4" t="str">
        <f t="shared" si="1"/>
        <v/>
      </c>
      <c r="F497" s="36" t="str">
        <f t="shared" si="4"/>
        <v/>
      </c>
      <c r="G497" s="11"/>
      <c r="H497" s="11" t="str">
        <f>IF(E497="","",SUMIF(Estructuras!B:B,A497,Estructuras!E:E))</f>
        <v/>
      </c>
      <c r="I497" s="8" t="str">
        <f>IF(E497="","",IF(COUNTIF(Estructuras!F:F,E497)=0,"Falta Estructura",IF(COUNTIFS(Estructuras!F:F,E497,Estructuras!E:E,0)&gt;0,"Faltan Precios","OK")))</f>
        <v/>
      </c>
      <c r="J497" s="10" t="str">
        <f>IF(I497="Faltan Precios",COUNTIFS(Estructuras!B:B,A497,Estructuras!E:E,0),"")</f>
        <v/>
      </c>
      <c r="K497" s="8" t="str">
        <f t="shared" si="2"/>
        <v/>
      </c>
    </row>
    <row r="498">
      <c r="A498" s="4" t="str">
        <f t="shared" si="1"/>
        <v/>
      </c>
      <c r="F498" s="36" t="str">
        <f t="shared" si="4"/>
        <v/>
      </c>
      <c r="G498" s="11"/>
      <c r="H498" s="11" t="str">
        <f>IF(E498="","",SUMIF(Estructuras!B:B,A498,Estructuras!E:E))</f>
        <v/>
      </c>
      <c r="I498" s="8" t="str">
        <f>IF(E498="","",IF(COUNTIF(Estructuras!F:F,E498)=0,"Falta Estructura",IF(COUNTIFS(Estructuras!F:F,E498,Estructuras!E:E,0)&gt;0,"Faltan Precios","OK")))</f>
        <v/>
      </c>
      <c r="J498" s="10" t="str">
        <f>IF(I498="Faltan Precios",COUNTIFS(Estructuras!B:B,A498,Estructuras!E:E,0),"")</f>
        <v/>
      </c>
      <c r="K498" s="8" t="str">
        <f t="shared" si="2"/>
        <v/>
      </c>
    </row>
    <row r="499">
      <c r="A499" s="4" t="str">
        <f t="shared" si="1"/>
        <v/>
      </c>
      <c r="F499" s="36" t="str">
        <f t="shared" si="4"/>
        <v/>
      </c>
      <c r="G499" s="11"/>
      <c r="H499" s="11" t="str">
        <f>IF(E499="","",SUMIF(Estructuras!B:B,A499,Estructuras!E:E))</f>
        <v/>
      </c>
      <c r="I499" s="8" t="str">
        <f>IF(E499="","",IF(COUNTIF(Estructuras!F:F,E499)=0,"Falta Estructura",IF(COUNTIFS(Estructuras!F:F,E499,Estructuras!E:E,0)&gt;0,"Faltan Precios","OK")))</f>
        <v/>
      </c>
      <c r="J499" s="10" t="str">
        <f>IF(I499="Faltan Precios",COUNTIFS(Estructuras!B:B,A499,Estructuras!E:E,0),"")</f>
        <v/>
      </c>
      <c r="K499" s="8" t="str">
        <f t="shared" si="2"/>
        <v/>
      </c>
    </row>
    <row r="500">
      <c r="A500" s="4" t="str">
        <f t="shared" si="1"/>
        <v/>
      </c>
      <c r="F500" s="36" t="str">
        <f t="shared" si="4"/>
        <v/>
      </c>
      <c r="G500" s="11"/>
      <c r="H500" s="11" t="str">
        <f>IF(E500="","",SUMIF(Estructuras!B:B,A500,Estructuras!E:E))</f>
        <v/>
      </c>
      <c r="I500" s="8" t="str">
        <f>IF(E500="","",IF(COUNTIF(Estructuras!F:F,E500)=0,"Falta Estructura",IF(COUNTIFS(Estructuras!F:F,E500,Estructuras!E:E,0)&gt;0,"Faltan Precios","OK")))</f>
        <v/>
      </c>
      <c r="J500" s="10" t="str">
        <f>IF(I500="Faltan Precios",COUNTIFS(Estructuras!B:B,A500,Estructuras!E:E,0),"")</f>
        <v/>
      </c>
      <c r="K500" s="8" t="str">
        <f t="shared" si="2"/>
        <v/>
      </c>
    </row>
    <row r="501">
      <c r="A501" s="4" t="str">
        <f t="shared" si="1"/>
        <v/>
      </c>
      <c r="F501" s="36" t="str">
        <f t="shared" si="4"/>
        <v/>
      </c>
      <c r="G501" s="11"/>
      <c r="H501" s="11" t="str">
        <f>IF(E501="","",SUMIF(Estructuras!B:B,A501,Estructuras!E:E))</f>
        <v/>
      </c>
      <c r="I501" s="8" t="str">
        <f>IF(E501="","",IF(COUNTIF(Estructuras!F:F,E501)=0,"Falta Estructura",IF(COUNTIFS(Estructuras!F:F,E501,Estructuras!E:E,0)&gt;0,"Faltan Precios","OK")))</f>
        <v/>
      </c>
      <c r="J501" s="10" t="str">
        <f>IF(I501="Faltan Precios",COUNTIFS(Estructuras!B:B,A501,Estructuras!E:E,0),"")</f>
        <v/>
      </c>
      <c r="K501" s="8" t="str">
        <f t="shared" si="2"/>
        <v/>
      </c>
    </row>
    <row r="502">
      <c r="A502" s="4" t="str">
        <f t="shared" si="1"/>
        <v/>
      </c>
      <c r="F502" s="36" t="str">
        <f t="shared" si="4"/>
        <v/>
      </c>
      <c r="G502" s="11"/>
      <c r="H502" s="11" t="str">
        <f>IF(E502="","",SUMIF(Estructuras!B:B,A502,Estructuras!E:E))</f>
        <v/>
      </c>
      <c r="I502" s="8" t="str">
        <f>IF(E502="","",IF(COUNTIF(Estructuras!F:F,E502)=0,"Falta Estructura",IF(COUNTIFS(Estructuras!F:F,E502,Estructuras!E:E,0)&gt;0,"Faltan Precios","OK")))</f>
        <v/>
      </c>
      <c r="J502" s="10" t="str">
        <f>IF(I502="Faltan Precios",COUNTIFS(Estructuras!B:B,A502,Estructuras!E:E,0),"")</f>
        <v/>
      </c>
      <c r="K502" s="8" t="str">
        <f t="shared" si="2"/>
        <v/>
      </c>
    </row>
    <row r="503">
      <c r="A503" s="4" t="str">
        <f t="shared" si="1"/>
        <v/>
      </c>
      <c r="F503" s="36" t="str">
        <f t="shared" si="4"/>
        <v/>
      </c>
      <c r="G503" s="11"/>
      <c r="H503" s="11" t="str">
        <f>IF(E503="","",SUMIF(Estructuras!B:B,A503,Estructuras!E:E))</f>
        <v/>
      </c>
      <c r="I503" s="8" t="str">
        <f>IF(E503="","",IF(COUNTIF(Estructuras!F:F,E503)=0,"Falta Estructura",IF(COUNTIFS(Estructuras!F:F,E503,Estructuras!E:E,0)&gt;0,"Faltan Precios","OK")))</f>
        <v/>
      </c>
      <c r="J503" s="10" t="str">
        <f>IF(I503="Faltan Precios",COUNTIFS(Estructuras!B:B,A503,Estructuras!E:E,0),"")</f>
        <v/>
      </c>
      <c r="K503" s="8" t="str">
        <f t="shared" si="2"/>
        <v/>
      </c>
    </row>
    <row r="504">
      <c r="A504" s="4" t="str">
        <f t="shared" si="1"/>
        <v/>
      </c>
      <c r="F504" s="36" t="str">
        <f t="shared" si="4"/>
        <v/>
      </c>
      <c r="G504" s="11"/>
      <c r="H504" s="11" t="str">
        <f>IF(E504="","",SUMIF(Estructuras!B:B,A504,Estructuras!E:E))</f>
        <v/>
      </c>
      <c r="I504" s="8" t="str">
        <f>IF(E504="","",IF(COUNTIF(Estructuras!F:F,E504)=0,"Falta Estructura",IF(COUNTIFS(Estructuras!F:F,E504,Estructuras!E:E,0)&gt;0,"Faltan Precios","OK")))</f>
        <v/>
      </c>
      <c r="J504" s="10" t="str">
        <f>IF(I504="Faltan Precios",COUNTIFS(Estructuras!B:B,A504,Estructuras!E:E,0),"")</f>
        <v/>
      </c>
      <c r="K504" s="8" t="str">
        <f t="shared" si="2"/>
        <v/>
      </c>
    </row>
    <row r="505">
      <c r="A505" s="4" t="str">
        <f t="shared" si="1"/>
        <v/>
      </c>
      <c r="F505" s="36" t="str">
        <f t="shared" si="4"/>
        <v/>
      </c>
      <c r="G505" s="11"/>
      <c r="H505" s="11" t="str">
        <f>IF(E505="","",SUMIF(Estructuras!B:B,A505,Estructuras!E:E))</f>
        <v/>
      </c>
      <c r="I505" s="8" t="str">
        <f>IF(E505="","",IF(COUNTIF(Estructuras!F:F,E505)=0,"Falta Estructura",IF(COUNTIFS(Estructuras!F:F,E505,Estructuras!E:E,0)&gt;0,"Faltan Precios","OK")))</f>
        <v/>
      </c>
      <c r="J505" s="10" t="str">
        <f>IF(I505="Faltan Precios",COUNTIFS(Estructuras!B:B,A505,Estructuras!E:E,0),"")</f>
        <v/>
      </c>
      <c r="K505" s="8" t="str">
        <f t="shared" si="2"/>
        <v/>
      </c>
    </row>
    <row r="506">
      <c r="A506" s="4" t="str">
        <f t="shared" si="1"/>
        <v/>
      </c>
      <c r="F506" s="36" t="str">
        <f t="shared" si="4"/>
        <v/>
      </c>
      <c r="G506" s="11"/>
      <c r="H506" s="11" t="str">
        <f>IF(E506="","",SUMIF(Estructuras!B:B,A506,Estructuras!E:E))</f>
        <v/>
      </c>
      <c r="I506" s="8" t="str">
        <f>IF(E506="","",IF(COUNTIF(Estructuras!F:F,E506)=0,"Falta Estructura",IF(COUNTIFS(Estructuras!F:F,E506,Estructuras!E:E,0)&gt;0,"Faltan Precios","OK")))</f>
        <v/>
      </c>
      <c r="J506" s="10" t="str">
        <f>IF(I506="Faltan Precios",COUNTIFS(Estructuras!B:B,A506,Estructuras!E:E,0),"")</f>
        <v/>
      </c>
      <c r="K506" s="8" t="str">
        <f t="shared" si="2"/>
        <v/>
      </c>
    </row>
    <row r="507">
      <c r="A507" s="4" t="str">
        <f t="shared" si="1"/>
        <v/>
      </c>
      <c r="F507" s="36" t="str">
        <f t="shared" si="4"/>
        <v/>
      </c>
      <c r="G507" s="11"/>
      <c r="H507" s="11" t="str">
        <f>IF(E507="","",SUMIF(Estructuras!B:B,A507,Estructuras!E:E))</f>
        <v/>
      </c>
      <c r="I507" s="8" t="str">
        <f>IF(E507="","",IF(COUNTIF(Estructuras!F:F,E507)=0,"Falta Estructura",IF(COUNTIFS(Estructuras!F:F,E507,Estructuras!E:E,0)&gt;0,"Faltan Precios","OK")))</f>
        <v/>
      </c>
      <c r="J507" s="10" t="str">
        <f>IF(I507="Faltan Precios",COUNTIFS(Estructuras!B:B,A507,Estructuras!E:E,0),"")</f>
        <v/>
      </c>
      <c r="K507" s="8" t="str">
        <f t="shared" si="2"/>
        <v/>
      </c>
    </row>
    <row r="508">
      <c r="A508" s="4" t="str">
        <f t="shared" si="1"/>
        <v/>
      </c>
      <c r="F508" s="36" t="str">
        <f t="shared" si="4"/>
        <v/>
      </c>
      <c r="G508" s="11"/>
      <c r="H508" s="11" t="str">
        <f>IF(E508="","",SUMIF(Estructuras!B:B,A508,Estructuras!E:E))</f>
        <v/>
      </c>
      <c r="I508" s="8" t="str">
        <f>IF(E508="","",IF(COUNTIF(Estructuras!F:F,E508)=0,"Falta Estructura",IF(COUNTIFS(Estructuras!F:F,E508,Estructuras!E:E,0)&gt;0,"Faltan Precios","OK")))</f>
        <v/>
      </c>
      <c r="J508" s="10" t="str">
        <f>IF(I508="Faltan Precios",COUNTIFS(Estructuras!B:B,A508,Estructuras!E:E,0),"")</f>
        <v/>
      </c>
      <c r="K508" s="8" t="str">
        <f t="shared" si="2"/>
        <v/>
      </c>
    </row>
    <row r="509">
      <c r="A509" s="4" t="str">
        <f t="shared" si="1"/>
        <v/>
      </c>
      <c r="F509" s="36" t="str">
        <f t="shared" si="4"/>
        <v/>
      </c>
      <c r="G509" s="11"/>
      <c r="H509" s="11" t="str">
        <f>IF(E509="","",SUMIF(Estructuras!B:B,A509,Estructuras!E:E))</f>
        <v/>
      </c>
      <c r="I509" s="8" t="str">
        <f>IF(E509="","",IF(COUNTIF(Estructuras!F:F,E509)=0,"Falta Estructura",IF(COUNTIFS(Estructuras!F:F,E509,Estructuras!E:E,0)&gt;0,"Faltan Precios","OK")))</f>
        <v/>
      </c>
      <c r="J509" s="10" t="str">
        <f>IF(I509="Faltan Precios",COUNTIFS(Estructuras!B:B,A509,Estructuras!E:E,0),"")</f>
        <v/>
      </c>
      <c r="K509" s="8" t="str">
        <f t="shared" si="2"/>
        <v/>
      </c>
    </row>
    <row r="510">
      <c r="A510" s="4" t="str">
        <f t="shared" si="1"/>
        <v/>
      </c>
      <c r="F510" s="36" t="str">
        <f t="shared" si="4"/>
        <v/>
      </c>
      <c r="G510" s="11"/>
      <c r="H510" s="11" t="str">
        <f>IF(E510="","",SUMIF(Estructuras!B:B,A510,Estructuras!E:E))</f>
        <v/>
      </c>
      <c r="I510" s="8" t="str">
        <f>IF(E510="","",IF(COUNTIF(Estructuras!F:F,E510)=0,"Falta Estructura",IF(COUNTIFS(Estructuras!F:F,E510,Estructuras!E:E,0)&gt;0,"Faltan Precios","OK")))</f>
        <v/>
      </c>
      <c r="J510" s="10" t="str">
        <f>IF(I510="Faltan Precios",COUNTIFS(Estructuras!B:B,A510,Estructuras!E:E,0),"")</f>
        <v/>
      </c>
      <c r="K510" s="8" t="str">
        <f t="shared" si="2"/>
        <v/>
      </c>
    </row>
    <row r="511">
      <c r="A511" s="4" t="str">
        <f t="shared" si="1"/>
        <v/>
      </c>
      <c r="F511" s="36" t="str">
        <f t="shared" si="4"/>
        <v/>
      </c>
      <c r="G511" s="11"/>
      <c r="H511" s="11" t="str">
        <f>IF(E511="","",SUMIF(Estructuras!B:B,A511,Estructuras!E:E))</f>
        <v/>
      </c>
      <c r="I511" s="8" t="str">
        <f>IF(E511="","",IF(COUNTIF(Estructuras!F:F,E511)=0,"Falta Estructura",IF(COUNTIFS(Estructuras!F:F,E511,Estructuras!E:E,0)&gt;0,"Faltan Precios","OK")))</f>
        <v/>
      </c>
      <c r="J511" s="10" t="str">
        <f>IF(I511="Faltan Precios",COUNTIFS(Estructuras!B:B,A511,Estructuras!E:E,0),"")</f>
        <v/>
      </c>
      <c r="K511" s="8" t="str">
        <f t="shared" si="2"/>
        <v/>
      </c>
    </row>
    <row r="512">
      <c r="A512" s="4" t="str">
        <f t="shared" si="1"/>
        <v/>
      </c>
      <c r="F512" s="36" t="str">
        <f t="shared" si="4"/>
        <v/>
      </c>
      <c r="G512" s="11"/>
      <c r="H512" s="11" t="str">
        <f>IF(E512="","",SUMIF(Estructuras!B:B,A512,Estructuras!E:E))</f>
        <v/>
      </c>
      <c r="I512" s="8" t="str">
        <f>IF(E512="","",IF(COUNTIF(Estructuras!F:F,E512)=0,"Falta Estructura",IF(COUNTIFS(Estructuras!F:F,E512,Estructuras!E:E,0)&gt;0,"Faltan Precios","OK")))</f>
        <v/>
      </c>
      <c r="J512" s="10" t="str">
        <f>IF(I512="Faltan Precios",COUNTIFS(Estructuras!B:B,A512,Estructuras!E:E,0),"")</f>
        <v/>
      </c>
      <c r="K512" s="8" t="str">
        <f t="shared" si="2"/>
        <v/>
      </c>
    </row>
    <row r="513">
      <c r="A513" s="4" t="str">
        <f t="shared" si="1"/>
        <v/>
      </c>
      <c r="F513" s="36" t="str">
        <f t="shared" si="4"/>
        <v/>
      </c>
      <c r="G513" s="11"/>
      <c r="H513" s="11" t="str">
        <f>IF(E513="","",SUMIF(Estructuras!B:B,A513,Estructuras!E:E))</f>
        <v/>
      </c>
      <c r="I513" s="8" t="str">
        <f>IF(E513="","",IF(COUNTIF(Estructuras!F:F,E513)=0,"Falta Estructura",IF(COUNTIFS(Estructuras!F:F,E513,Estructuras!E:E,0)&gt;0,"Faltan Precios","OK")))</f>
        <v/>
      </c>
      <c r="J513" s="10" t="str">
        <f>IF(I513="Faltan Precios",COUNTIFS(Estructuras!B:B,A513,Estructuras!E:E,0),"")</f>
        <v/>
      </c>
      <c r="K513" s="8" t="str">
        <f t="shared" si="2"/>
        <v/>
      </c>
    </row>
    <row r="514">
      <c r="A514" s="4" t="str">
        <f t="shared" si="1"/>
        <v/>
      </c>
      <c r="F514" s="36" t="str">
        <f t="shared" si="4"/>
        <v/>
      </c>
      <c r="G514" s="11"/>
      <c r="H514" s="11" t="str">
        <f>IF(E514="","",SUMIF(Estructuras!B:B,A514,Estructuras!E:E))</f>
        <v/>
      </c>
      <c r="I514" s="8" t="str">
        <f>IF(E514="","",IF(COUNTIF(Estructuras!F:F,E514)=0,"Falta Estructura",IF(COUNTIFS(Estructuras!F:F,E514,Estructuras!E:E,0)&gt;0,"Faltan Precios","OK")))</f>
        <v/>
      </c>
      <c r="J514" s="10" t="str">
        <f>IF(I514="Faltan Precios",COUNTIFS(Estructuras!B:B,A514,Estructuras!E:E,0),"")</f>
        <v/>
      </c>
      <c r="K514" s="8" t="str">
        <f t="shared" si="2"/>
        <v/>
      </c>
    </row>
    <row r="515">
      <c r="A515" s="4" t="str">
        <f t="shared" si="1"/>
        <v/>
      </c>
      <c r="F515" s="36" t="str">
        <f t="shared" si="4"/>
        <v/>
      </c>
      <c r="G515" s="11"/>
      <c r="H515" s="11" t="str">
        <f>IF(E515="","",SUMIF(Estructuras!B:B,A515,Estructuras!E:E))</f>
        <v/>
      </c>
      <c r="I515" s="8" t="str">
        <f>IF(E515="","",IF(COUNTIF(Estructuras!F:F,E515)=0,"Falta Estructura",IF(COUNTIFS(Estructuras!F:F,E515,Estructuras!E:E,0)&gt;0,"Faltan Precios","OK")))</f>
        <v/>
      </c>
      <c r="J515" s="10" t="str">
        <f>IF(I515="Faltan Precios",COUNTIFS(Estructuras!B:B,A515,Estructuras!E:E,0),"")</f>
        <v/>
      </c>
      <c r="K515" s="8" t="str">
        <f t="shared" si="2"/>
        <v/>
      </c>
    </row>
    <row r="516">
      <c r="A516" s="4" t="str">
        <f t="shared" si="1"/>
        <v/>
      </c>
      <c r="F516" s="36" t="str">
        <f t="shared" si="4"/>
        <v/>
      </c>
      <c r="G516" s="11"/>
      <c r="H516" s="11" t="str">
        <f>IF(E516="","",SUMIF(Estructuras!B:B,A516,Estructuras!E:E))</f>
        <v/>
      </c>
      <c r="I516" s="8" t="str">
        <f>IF(E516="","",IF(COUNTIF(Estructuras!F:F,E516)=0,"Falta Estructura",IF(COUNTIFS(Estructuras!F:F,E516,Estructuras!E:E,0)&gt;0,"Faltan Precios","OK")))</f>
        <v/>
      </c>
      <c r="J516" s="10" t="str">
        <f>IF(I516="Faltan Precios",COUNTIFS(Estructuras!B:B,A516,Estructuras!E:E,0),"")</f>
        <v/>
      </c>
      <c r="K516" s="8" t="str">
        <f t="shared" si="2"/>
        <v/>
      </c>
    </row>
    <row r="517">
      <c r="A517" s="4" t="str">
        <f t="shared" si="1"/>
        <v/>
      </c>
      <c r="F517" s="36" t="str">
        <f t="shared" si="4"/>
        <v/>
      </c>
      <c r="G517" s="11"/>
      <c r="H517" s="11" t="str">
        <f>IF(E517="","",SUMIF(Estructuras!B:B,A517,Estructuras!E:E))</f>
        <v/>
      </c>
      <c r="I517" s="8" t="str">
        <f>IF(E517="","",IF(COUNTIF(Estructuras!F:F,E517)=0,"Falta Estructura",IF(COUNTIFS(Estructuras!F:F,E517,Estructuras!E:E,0)&gt;0,"Faltan Precios","OK")))</f>
        <v/>
      </c>
      <c r="J517" s="10" t="str">
        <f>IF(I517="Faltan Precios",COUNTIFS(Estructuras!B:B,A517,Estructuras!E:E,0),"")</f>
        <v/>
      </c>
      <c r="K517" s="8" t="str">
        <f t="shared" si="2"/>
        <v/>
      </c>
    </row>
    <row r="518">
      <c r="A518" s="4" t="str">
        <f t="shared" si="1"/>
        <v/>
      </c>
      <c r="F518" s="36" t="str">
        <f t="shared" si="4"/>
        <v/>
      </c>
      <c r="G518" s="11"/>
      <c r="H518" s="11" t="str">
        <f>IF(E518="","",SUMIF(Estructuras!B:B,A518,Estructuras!E:E))</f>
        <v/>
      </c>
      <c r="I518" s="8" t="str">
        <f>IF(E518="","",IF(COUNTIF(Estructuras!F:F,E518)=0,"Falta Estructura",IF(COUNTIFS(Estructuras!F:F,E518,Estructuras!E:E,0)&gt;0,"Faltan Precios","OK")))</f>
        <v/>
      </c>
      <c r="J518" s="10" t="str">
        <f>IF(I518="Faltan Precios",COUNTIFS(Estructuras!B:B,A518,Estructuras!E:E,0),"")</f>
        <v/>
      </c>
      <c r="K518" s="8" t="str">
        <f t="shared" si="2"/>
        <v/>
      </c>
    </row>
    <row r="519">
      <c r="A519" s="4" t="str">
        <f t="shared" si="1"/>
        <v/>
      </c>
      <c r="F519" s="36" t="str">
        <f t="shared" si="4"/>
        <v/>
      </c>
      <c r="G519" s="11"/>
      <c r="H519" s="11" t="str">
        <f>IF(E519="","",SUMIF(Estructuras!B:B,A519,Estructuras!E:E))</f>
        <v/>
      </c>
      <c r="I519" s="8" t="str">
        <f>IF(E519="","",IF(COUNTIF(Estructuras!F:F,E519)=0,"Falta Estructura",IF(COUNTIFS(Estructuras!F:F,E519,Estructuras!E:E,0)&gt;0,"Faltan Precios","OK")))</f>
        <v/>
      </c>
      <c r="J519" s="10" t="str">
        <f>IF(I519="Faltan Precios",COUNTIFS(Estructuras!B:B,A519,Estructuras!E:E,0),"")</f>
        <v/>
      </c>
      <c r="K519" s="8" t="str">
        <f t="shared" si="2"/>
        <v/>
      </c>
    </row>
    <row r="520">
      <c r="A520" s="4" t="str">
        <f t="shared" si="1"/>
        <v/>
      </c>
      <c r="F520" s="36" t="str">
        <f t="shared" si="4"/>
        <v/>
      </c>
      <c r="G520" s="11"/>
      <c r="H520" s="11" t="str">
        <f>IF(E520="","",SUMIF(Estructuras!B:B,A520,Estructuras!E:E))</f>
        <v/>
      </c>
      <c r="I520" s="8" t="str">
        <f>IF(E520="","",IF(COUNTIF(Estructuras!F:F,E520)=0,"Falta Estructura",IF(COUNTIFS(Estructuras!F:F,E520,Estructuras!E:E,0)&gt;0,"Faltan Precios","OK")))</f>
        <v/>
      </c>
      <c r="J520" s="10" t="str">
        <f>IF(I520="Faltan Precios",COUNTIFS(Estructuras!B:B,A520,Estructuras!E:E,0),"")</f>
        <v/>
      </c>
      <c r="K520" s="8" t="str">
        <f t="shared" si="2"/>
        <v/>
      </c>
    </row>
    <row r="521">
      <c r="A521" s="4" t="str">
        <f t="shared" si="1"/>
        <v/>
      </c>
      <c r="F521" s="36" t="str">
        <f t="shared" si="4"/>
        <v/>
      </c>
      <c r="G521" s="11"/>
      <c r="H521" s="11" t="str">
        <f>IF(E521="","",SUMIF(Estructuras!B:B,A521,Estructuras!E:E))</f>
        <v/>
      </c>
      <c r="I521" s="8" t="str">
        <f>IF(E521="","",IF(COUNTIF(Estructuras!F:F,E521)=0,"Falta Estructura",IF(COUNTIFS(Estructuras!F:F,E521,Estructuras!E:E,0)&gt;0,"Faltan Precios","OK")))</f>
        <v/>
      </c>
      <c r="J521" s="10" t="str">
        <f>IF(I521="Faltan Precios",COUNTIFS(Estructuras!B:B,A521,Estructuras!E:E,0),"")</f>
        <v/>
      </c>
      <c r="K521" s="8" t="str">
        <f t="shared" si="2"/>
        <v/>
      </c>
    </row>
    <row r="522">
      <c r="A522" s="4" t="str">
        <f t="shared" si="1"/>
        <v/>
      </c>
      <c r="F522" s="36" t="str">
        <f t="shared" si="4"/>
        <v/>
      </c>
      <c r="G522" s="11"/>
      <c r="H522" s="11" t="str">
        <f>IF(E522="","",SUMIF(Estructuras!B:B,A522,Estructuras!E:E))</f>
        <v/>
      </c>
      <c r="I522" s="8" t="str">
        <f>IF(E522="","",IF(COUNTIF(Estructuras!F:F,E522)=0,"Falta Estructura",IF(COUNTIFS(Estructuras!F:F,E522,Estructuras!E:E,0)&gt;0,"Faltan Precios","OK")))</f>
        <v/>
      </c>
      <c r="J522" s="10" t="str">
        <f>IF(I522="Faltan Precios",COUNTIFS(Estructuras!B:B,A522,Estructuras!E:E,0),"")</f>
        <v/>
      </c>
      <c r="K522" s="8" t="str">
        <f t="shared" si="2"/>
        <v/>
      </c>
    </row>
    <row r="523">
      <c r="A523" s="4" t="str">
        <f t="shared" si="1"/>
        <v/>
      </c>
      <c r="F523" s="36" t="str">
        <f t="shared" si="4"/>
        <v/>
      </c>
      <c r="G523" s="11"/>
      <c r="H523" s="11" t="str">
        <f>IF(E523="","",SUMIF(Estructuras!B:B,A523,Estructuras!E:E))</f>
        <v/>
      </c>
      <c r="I523" s="8" t="str">
        <f>IF(E523="","",IF(COUNTIF(Estructuras!F:F,E523)=0,"Falta Estructura",IF(COUNTIFS(Estructuras!F:F,E523,Estructuras!E:E,0)&gt;0,"Faltan Precios","OK")))</f>
        <v/>
      </c>
      <c r="J523" s="10" t="str">
        <f>IF(I523="Faltan Precios",COUNTIFS(Estructuras!B:B,A523,Estructuras!E:E,0),"")</f>
        <v/>
      </c>
      <c r="K523" s="8" t="str">
        <f t="shared" si="2"/>
        <v/>
      </c>
    </row>
    <row r="524">
      <c r="A524" s="4" t="str">
        <f t="shared" si="1"/>
        <v/>
      </c>
      <c r="F524" s="36" t="str">
        <f t="shared" si="4"/>
        <v/>
      </c>
      <c r="G524" s="11"/>
      <c r="H524" s="11" t="str">
        <f>IF(E524="","",SUMIF(Estructuras!B:B,A524,Estructuras!E:E))</f>
        <v/>
      </c>
      <c r="I524" s="8" t="str">
        <f>IF(E524="","",IF(COUNTIF(Estructuras!F:F,E524)=0,"Falta Estructura",IF(COUNTIFS(Estructuras!F:F,E524,Estructuras!E:E,0)&gt;0,"Faltan Precios","OK")))</f>
        <v/>
      </c>
      <c r="J524" s="10" t="str">
        <f>IF(I524="Faltan Precios",COUNTIFS(Estructuras!B:B,A524,Estructuras!E:E,0),"")</f>
        <v/>
      </c>
      <c r="K524" s="8" t="str">
        <f t="shared" si="2"/>
        <v/>
      </c>
    </row>
    <row r="525">
      <c r="A525" s="4" t="str">
        <f t="shared" si="1"/>
        <v/>
      </c>
      <c r="F525" s="36" t="str">
        <f t="shared" si="4"/>
        <v/>
      </c>
      <c r="G525" s="11"/>
      <c r="H525" s="11" t="str">
        <f>IF(E525="","",SUMIF(Estructuras!B:B,A525,Estructuras!E:E))</f>
        <v/>
      </c>
      <c r="I525" s="8" t="str">
        <f>IF(E525="","",IF(COUNTIF(Estructuras!F:F,E525)=0,"Falta Estructura",IF(COUNTIFS(Estructuras!F:F,E525,Estructuras!E:E,0)&gt;0,"Faltan Precios","OK")))</f>
        <v/>
      </c>
      <c r="J525" s="10" t="str">
        <f>IF(I525="Faltan Precios",COUNTIFS(Estructuras!B:B,A525,Estructuras!E:E,0),"")</f>
        <v/>
      </c>
      <c r="K525" s="8" t="str">
        <f t="shared" si="2"/>
        <v/>
      </c>
    </row>
    <row r="526">
      <c r="A526" s="4" t="str">
        <f t="shared" si="1"/>
        <v/>
      </c>
      <c r="F526" s="36" t="str">
        <f t="shared" si="4"/>
        <v/>
      </c>
      <c r="G526" s="11"/>
      <c r="H526" s="11" t="str">
        <f>IF(E526="","",SUMIF(Estructuras!B:B,A526,Estructuras!E:E))</f>
        <v/>
      </c>
      <c r="I526" s="8" t="str">
        <f>IF(E526="","",IF(COUNTIF(Estructuras!F:F,E526)=0,"Falta Estructura",IF(COUNTIFS(Estructuras!F:F,E526,Estructuras!E:E,0)&gt;0,"Faltan Precios","OK")))</f>
        <v/>
      </c>
      <c r="J526" s="10" t="str">
        <f>IF(I526="Faltan Precios",COUNTIFS(Estructuras!B:B,A526,Estructuras!E:E,0),"")</f>
        <v/>
      </c>
      <c r="K526" s="8" t="str">
        <f t="shared" si="2"/>
        <v/>
      </c>
    </row>
    <row r="527">
      <c r="A527" s="4" t="str">
        <f t="shared" si="1"/>
        <v/>
      </c>
      <c r="F527" s="36" t="str">
        <f t="shared" si="4"/>
        <v/>
      </c>
      <c r="G527" s="11"/>
      <c r="H527" s="11" t="str">
        <f>IF(E527="","",SUMIF(Estructuras!B:B,A527,Estructuras!E:E))</f>
        <v/>
      </c>
      <c r="I527" s="8" t="str">
        <f>IF(E527="","",IF(COUNTIF(Estructuras!F:F,E527)=0,"Falta Estructura",IF(COUNTIFS(Estructuras!F:F,E527,Estructuras!E:E,0)&gt;0,"Faltan Precios","OK")))</f>
        <v/>
      </c>
      <c r="J527" s="10" t="str">
        <f>IF(I527="Faltan Precios",COUNTIFS(Estructuras!B:B,A527,Estructuras!E:E,0),"")</f>
        <v/>
      </c>
      <c r="K527" s="8" t="str">
        <f t="shared" si="2"/>
        <v/>
      </c>
    </row>
    <row r="528">
      <c r="A528" s="4" t="str">
        <f t="shared" si="1"/>
        <v/>
      </c>
      <c r="F528" s="36" t="str">
        <f t="shared" si="4"/>
        <v/>
      </c>
      <c r="G528" s="11"/>
      <c r="H528" s="11" t="str">
        <f>IF(E528="","",SUMIF(Estructuras!B:B,A528,Estructuras!E:E))</f>
        <v/>
      </c>
      <c r="I528" s="8" t="str">
        <f>IF(E528="","",IF(COUNTIF(Estructuras!F:F,E528)=0,"Falta Estructura",IF(COUNTIFS(Estructuras!F:F,E528,Estructuras!E:E,0)&gt;0,"Faltan Precios","OK")))</f>
        <v/>
      </c>
      <c r="J528" s="10" t="str">
        <f>IF(I528="Faltan Precios",COUNTIFS(Estructuras!B:B,A528,Estructuras!E:E,0),"")</f>
        <v/>
      </c>
      <c r="K528" s="8" t="str">
        <f t="shared" si="2"/>
        <v/>
      </c>
    </row>
    <row r="529">
      <c r="A529" s="4" t="str">
        <f t="shared" si="1"/>
        <v/>
      </c>
      <c r="F529" s="36" t="str">
        <f t="shared" si="4"/>
        <v/>
      </c>
      <c r="G529" s="11"/>
      <c r="H529" s="11" t="str">
        <f>IF(E529="","",SUMIF(Estructuras!B:B,A529,Estructuras!E:E))</f>
        <v/>
      </c>
      <c r="I529" s="8" t="str">
        <f>IF(E529="","",IF(COUNTIF(Estructuras!F:F,E529)=0,"Falta Estructura",IF(COUNTIFS(Estructuras!F:F,E529,Estructuras!E:E,0)&gt;0,"Faltan Precios","OK")))</f>
        <v/>
      </c>
      <c r="J529" s="10" t="str">
        <f>IF(I529="Faltan Precios",COUNTIFS(Estructuras!B:B,A529,Estructuras!E:E,0),"")</f>
        <v/>
      </c>
      <c r="K529" s="8" t="str">
        <f t="shared" si="2"/>
        <v/>
      </c>
    </row>
    <row r="530">
      <c r="A530" s="4" t="str">
        <f t="shared" si="1"/>
        <v/>
      </c>
      <c r="F530" s="36" t="str">
        <f t="shared" si="4"/>
        <v/>
      </c>
      <c r="G530" s="11"/>
      <c r="H530" s="11" t="str">
        <f>IF(E530="","",SUMIF(Estructuras!B:B,A530,Estructuras!E:E))</f>
        <v/>
      </c>
      <c r="I530" s="8" t="str">
        <f>IF(E530="","",IF(COUNTIF(Estructuras!F:F,E530)=0,"Falta Estructura",IF(COUNTIFS(Estructuras!F:F,E530,Estructuras!E:E,0)&gt;0,"Faltan Precios","OK")))</f>
        <v/>
      </c>
      <c r="J530" s="10" t="str">
        <f>IF(I530="Faltan Precios",COUNTIFS(Estructuras!B:B,A530,Estructuras!E:E,0),"")</f>
        <v/>
      </c>
      <c r="K530" s="8" t="str">
        <f t="shared" si="2"/>
        <v/>
      </c>
    </row>
    <row r="531">
      <c r="A531" s="4" t="str">
        <f t="shared" si="1"/>
        <v/>
      </c>
      <c r="F531" s="36" t="str">
        <f t="shared" si="4"/>
        <v/>
      </c>
      <c r="G531" s="11"/>
      <c r="H531" s="11" t="str">
        <f>IF(E531="","",SUMIF(Estructuras!B:B,A531,Estructuras!E:E))</f>
        <v/>
      </c>
      <c r="I531" s="8" t="str">
        <f>IF(E531="","",IF(COUNTIF(Estructuras!F:F,E531)=0,"Falta Estructura",IF(COUNTIFS(Estructuras!F:F,E531,Estructuras!E:E,0)&gt;0,"Faltan Precios","OK")))</f>
        <v/>
      </c>
      <c r="J531" s="10" t="str">
        <f>IF(I531="Faltan Precios",COUNTIFS(Estructuras!B:B,A531,Estructuras!E:E,0),"")</f>
        <v/>
      </c>
      <c r="K531" s="8" t="str">
        <f t="shared" si="2"/>
        <v/>
      </c>
    </row>
    <row r="532">
      <c r="A532" s="4" t="str">
        <f t="shared" si="1"/>
        <v/>
      </c>
      <c r="F532" s="36" t="str">
        <f t="shared" si="4"/>
        <v/>
      </c>
      <c r="G532" s="11"/>
      <c r="H532" s="11" t="str">
        <f>IF(E532="","",SUMIF(Estructuras!B:B,A532,Estructuras!E:E))</f>
        <v/>
      </c>
      <c r="I532" s="8" t="str">
        <f>IF(E532="","",IF(COUNTIF(Estructuras!F:F,E532)=0,"Falta Estructura",IF(COUNTIFS(Estructuras!F:F,E532,Estructuras!E:E,0)&gt;0,"Faltan Precios","OK")))</f>
        <v/>
      </c>
      <c r="J532" s="10" t="str">
        <f>IF(I532="Faltan Precios",COUNTIFS(Estructuras!B:B,A532,Estructuras!E:E,0),"")</f>
        <v/>
      </c>
      <c r="K532" s="8" t="str">
        <f t="shared" si="2"/>
        <v/>
      </c>
    </row>
    <row r="533">
      <c r="A533" s="4" t="str">
        <f t="shared" si="1"/>
        <v/>
      </c>
      <c r="F533" s="36" t="str">
        <f t="shared" si="4"/>
        <v/>
      </c>
      <c r="G533" s="11"/>
      <c r="H533" s="11" t="str">
        <f>IF(E533="","",SUMIF(Estructuras!B:B,A533,Estructuras!E:E))</f>
        <v/>
      </c>
      <c r="I533" s="8" t="str">
        <f>IF(E533="","",IF(COUNTIF(Estructuras!F:F,E533)=0,"Falta Estructura",IF(COUNTIFS(Estructuras!F:F,E533,Estructuras!E:E,0)&gt;0,"Faltan Precios","OK")))</f>
        <v/>
      </c>
      <c r="J533" s="10" t="str">
        <f>IF(I533="Faltan Precios",COUNTIFS(Estructuras!B:B,A533,Estructuras!E:E,0),"")</f>
        <v/>
      </c>
      <c r="K533" s="8" t="str">
        <f t="shared" si="2"/>
        <v/>
      </c>
    </row>
    <row r="534">
      <c r="A534" s="4" t="str">
        <f t="shared" si="1"/>
        <v/>
      </c>
      <c r="F534" s="36" t="str">
        <f t="shared" si="4"/>
        <v/>
      </c>
      <c r="G534" s="11"/>
      <c r="H534" s="11" t="str">
        <f>IF(E534="","",SUMIF(Estructuras!B:B,A534,Estructuras!E:E))</f>
        <v/>
      </c>
      <c r="I534" s="8" t="str">
        <f>IF(E534="","",IF(COUNTIF(Estructuras!F:F,E534)=0,"Falta Estructura",IF(COUNTIFS(Estructuras!F:F,E534,Estructuras!E:E,0)&gt;0,"Faltan Precios","OK")))</f>
        <v/>
      </c>
      <c r="J534" s="10" t="str">
        <f>IF(I534="Faltan Precios",COUNTIFS(Estructuras!B:B,A534,Estructuras!E:E,0),"")</f>
        <v/>
      </c>
      <c r="K534" s="8" t="str">
        <f t="shared" si="2"/>
        <v/>
      </c>
    </row>
    <row r="535">
      <c r="A535" s="4" t="str">
        <f t="shared" si="1"/>
        <v/>
      </c>
      <c r="F535" s="36" t="str">
        <f t="shared" si="4"/>
        <v/>
      </c>
      <c r="G535" s="11"/>
      <c r="H535" s="11" t="str">
        <f>IF(E535="","",SUMIF(Estructuras!B:B,A535,Estructuras!E:E))</f>
        <v/>
      </c>
      <c r="I535" s="8" t="str">
        <f>IF(E535="","",IF(COUNTIF(Estructuras!F:F,E535)=0,"Falta Estructura",IF(COUNTIFS(Estructuras!F:F,E535,Estructuras!E:E,0)&gt;0,"Faltan Precios","OK")))</f>
        <v/>
      </c>
      <c r="J535" s="10" t="str">
        <f>IF(I535="Faltan Precios",COUNTIFS(Estructuras!B:B,A535,Estructuras!E:E,0),"")</f>
        <v/>
      </c>
      <c r="K535" s="8" t="str">
        <f t="shared" si="2"/>
        <v/>
      </c>
    </row>
    <row r="536">
      <c r="A536" s="4" t="str">
        <f t="shared" si="1"/>
        <v/>
      </c>
      <c r="F536" s="36" t="str">
        <f t="shared" si="4"/>
        <v/>
      </c>
      <c r="G536" s="11"/>
      <c r="H536" s="11" t="str">
        <f>IF(E536="","",SUMIF(Estructuras!B:B,A536,Estructuras!E:E))</f>
        <v/>
      </c>
      <c r="I536" s="8" t="str">
        <f>IF(E536="","",IF(COUNTIF(Estructuras!F:F,E536)=0,"Falta Estructura",IF(COUNTIFS(Estructuras!F:F,E536,Estructuras!E:E,0)&gt;0,"Faltan Precios","OK")))</f>
        <v/>
      </c>
      <c r="J536" s="10" t="str">
        <f>IF(I536="Faltan Precios",COUNTIFS(Estructuras!B:B,A536,Estructuras!E:E,0),"")</f>
        <v/>
      </c>
      <c r="K536" s="8" t="str">
        <f t="shared" si="2"/>
        <v/>
      </c>
    </row>
    <row r="537">
      <c r="A537" s="4" t="str">
        <f t="shared" si="1"/>
        <v/>
      </c>
      <c r="F537" s="36" t="str">
        <f t="shared" si="4"/>
        <v/>
      </c>
      <c r="G537" s="11"/>
      <c r="H537" s="11" t="str">
        <f>IF(E537="","",SUMIF(Estructuras!B:B,A537,Estructuras!E:E))</f>
        <v/>
      </c>
      <c r="I537" s="8" t="str">
        <f>IF(E537="","",IF(COUNTIF(Estructuras!F:F,E537)=0,"Falta Estructura",IF(COUNTIFS(Estructuras!F:F,E537,Estructuras!E:E,0)&gt;0,"Faltan Precios","OK")))</f>
        <v/>
      </c>
      <c r="J537" s="10" t="str">
        <f>IF(I537="Faltan Precios",COUNTIFS(Estructuras!B:B,A537,Estructuras!E:E,0),"")</f>
        <v/>
      </c>
      <c r="K537" s="8" t="str">
        <f t="shared" si="2"/>
        <v/>
      </c>
    </row>
    <row r="538">
      <c r="A538" s="4" t="str">
        <f t="shared" si="1"/>
        <v/>
      </c>
      <c r="F538" s="36" t="str">
        <f t="shared" si="4"/>
        <v/>
      </c>
      <c r="G538" s="11"/>
      <c r="H538" s="11" t="str">
        <f>IF(E538="","",SUMIF(Estructuras!B:B,A538,Estructuras!E:E))</f>
        <v/>
      </c>
      <c r="I538" s="8" t="str">
        <f>IF(E538="","",IF(COUNTIF(Estructuras!F:F,E538)=0,"Falta Estructura",IF(COUNTIFS(Estructuras!F:F,E538,Estructuras!E:E,0)&gt;0,"Faltan Precios","OK")))</f>
        <v/>
      </c>
      <c r="J538" s="10" t="str">
        <f>IF(I538="Faltan Precios",COUNTIFS(Estructuras!B:B,A538,Estructuras!E:E,0),"")</f>
        <v/>
      </c>
      <c r="K538" s="8" t="str">
        <f t="shared" si="2"/>
        <v/>
      </c>
    </row>
    <row r="539">
      <c r="A539" s="4" t="str">
        <f t="shared" si="1"/>
        <v/>
      </c>
      <c r="F539" s="36" t="str">
        <f t="shared" si="4"/>
        <v/>
      </c>
      <c r="G539" s="11"/>
      <c r="H539" s="11" t="str">
        <f>IF(E539="","",SUMIF(Estructuras!B:B,A539,Estructuras!E:E))</f>
        <v/>
      </c>
      <c r="I539" s="8" t="str">
        <f>IF(E539="","",IF(COUNTIF(Estructuras!F:F,E539)=0,"Falta Estructura",IF(COUNTIFS(Estructuras!F:F,E539,Estructuras!E:E,0)&gt;0,"Faltan Precios","OK")))</f>
        <v/>
      </c>
      <c r="J539" s="10" t="str">
        <f>IF(I539="Faltan Precios",COUNTIFS(Estructuras!B:B,A539,Estructuras!E:E,0),"")</f>
        <v/>
      </c>
      <c r="K539" s="8" t="str">
        <f t="shared" si="2"/>
        <v/>
      </c>
    </row>
    <row r="540">
      <c r="A540" s="4" t="str">
        <f t="shared" si="1"/>
        <v/>
      </c>
      <c r="F540" s="36" t="str">
        <f t="shared" si="4"/>
        <v/>
      </c>
      <c r="G540" s="11"/>
      <c r="H540" s="11" t="str">
        <f>IF(E540="","",SUMIF(Estructuras!B:B,A540,Estructuras!E:E))</f>
        <v/>
      </c>
      <c r="I540" s="8" t="str">
        <f>IF(E540="","",IF(COUNTIF(Estructuras!F:F,E540)=0,"Falta Estructura",IF(COUNTIFS(Estructuras!F:F,E540,Estructuras!E:E,0)&gt;0,"Faltan Precios","OK")))</f>
        <v/>
      </c>
      <c r="J540" s="10" t="str">
        <f>IF(I540="Faltan Precios",COUNTIFS(Estructuras!B:B,A540,Estructuras!E:E,0),"")</f>
        <v/>
      </c>
      <c r="K540" s="8" t="str">
        <f t="shared" si="2"/>
        <v/>
      </c>
    </row>
    <row r="541">
      <c r="A541" s="4" t="str">
        <f t="shared" si="1"/>
        <v/>
      </c>
      <c r="F541" s="36" t="str">
        <f t="shared" si="4"/>
        <v/>
      </c>
      <c r="G541" s="11"/>
      <c r="H541" s="11" t="str">
        <f>IF(E541="","",SUMIF(Estructuras!B:B,A541,Estructuras!E:E))</f>
        <v/>
      </c>
      <c r="I541" s="8" t="str">
        <f>IF(E541="","",IF(COUNTIF(Estructuras!F:F,E541)=0,"Falta Estructura",IF(COUNTIFS(Estructuras!F:F,E541,Estructuras!E:E,0)&gt;0,"Faltan Precios","OK")))</f>
        <v/>
      </c>
      <c r="J541" s="10" t="str">
        <f>IF(I541="Faltan Precios",COUNTIFS(Estructuras!B:B,A541,Estructuras!E:E,0),"")</f>
        <v/>
      </c>
      <c r="K541" s="8" t="str">
        <f t="shared" si="2"/>
        <v/>
      </c>
    </row>
    <row r="542">
      <c r="A542" s="4" t="str">
        <f t="shared" si="1"/>
        <v/>
      </c>
      <c r="F542" s="36" t="str">
        <f t="shared" si="4"/>
        <v/>
      </c>
      <c r="G542" s="11"/>
      <c r="H542" s="11" t="str">
        <f>IF(E542="","",SUMIF(Estructuras!B:B,A542,Estructuras!E:E))</f>
        <v/>
      </c>
      <c r="I542" s="8" t="str">
        <f>IF(E542="","",IF(COUNTIF(Estructuras!F:F,E542)=0,"Falta Estructura",IF(COUNTIFS(Estructuras!F:F,E542,Estructuras!E:E,0)&gt;0,"Faltan Precios","OK")))</f>
        <v/>
      </c>
      <c r="J542" s="10" t="str">
        <f>IF(I542="Faltan Precios",COUNTIFS(Estructuras!B:B,A542,Estructuras!E:E,0),"")</f>
        <v/>
      </c>
      <c r="K542" s="8" t="str">
        <f t="shared" si="2"/>
        <v/>
      </c>
    </row>
    <row r="543">
      <c r="A543" s="4" t="str">
        <f t="shared" si="1"/>
        <v/>
      </c>
      <c r="F543" s="36" t="str">
        <f t="shared" si="4"/>
        <v/>
      </c>
      <c r="G543" s="11"/>
      <c r="H543" s="11" t="str">
        <f>IF(E543="","",SUMIF(Estructuras!B:B,A543,Estructuras!E:E))</f>
        <v/>
      </c>
      <c r="I543" s="8" t="str">
        <f>IF(E543="","",IF(COUNTIF(Estructuras!F:F,E543)=0,"Falta Estructura",IF(COUNTIFS(Estructuras!F:F,E543,Estructuras!E:E,0)&gt;0,"Faltan Precios","OK")))</f>
        <v/>
      </c>
      <c r="J543" s="10" t="str">
        <f>IF(I543="Faltan Precios",COUNTIFS(Estructuras!B:B,A543,Estructuras!E:E,0),"")</f>
        <v/>
      </c>
      <c r="K543" s="8" t="str">
        <f t="shared" si="2"/>
        <v/>
      </c>
    </row>
    <row r="544">
      <c r="A544" s="4" t="str">
        <f t="shared" si="1"/>
        <v/>
      </c>
      <c r="F544" s="36" t="str">
        <f t="shared" si="4"/>
        <v/>
      </c>
      <c r="G544" s="11"/>
      <c r="H544" s="11" t="str">
        <f>IF(E544="","",SUMIF(Estructuras!B:B,A544,Estructuras!E:E))</f>
        <v/>
      </c>
      <c r="I544" s="8" t="str">
        <f>IF(E544="","",IF(COUNTIF(Estructuras!F:F,E544)=0,"Falta Estructura",IF(COUNTIFS(Estructuras!F:F,E544,Estructuras!E:E,0)&gt;0,"Faltan Precios","OK")))</f>
        <v/>
      </c>
      <c r="J544" s="10" t="str">
        <f>IF(I544="Faltan Precios",COUNTIFS(Estructuras!B:B,A544,Estructuras!E:E,0),"")</f>
        <v/>
      </c>
      <c r="K544" s="8" t="str">
        <f t="shared" si="2"/>
        <v/>
      </c>
    </row>
    <row r="545">
      <c r="A545" s="4" t="str">
        <f t="shared" si="1"/>
        <v/>
      </c>
      <c r="F545" s="36" t="str">
        <f t="shared" si="4"/>
        <v/>
      </c>
      <c r="G545" s="11"/>
      <c r="H545" s="11" t="str">
        <f>IF(E545="","",SUMIF(Estructuras!B:B,A545,Estructuras!E:E))</f>
        <v/>
      </c>
      <c r="I545" s="8" t="str">
        <f>IF(E545="","",IF(COUNTIF(Estructuras!F:F,E545)=0,"Falta Estructura",IF(COUNTIFS(Estructuras!F:F,E545,Estructuras!E:E,0)&gt;0,"Faltan Precios","OK")))</f>
        <v/>
      </c>
      <c r="J545" s="10" t="str">
        <f>IF(I545="Faltan Precios",COUNTIFS(Estructuras!B:B,A545,Estructuras!E:E,0),"")</f>
        <v/>
      </c>
      <c r="K545" s="8" t="str">
        <f t="shared" si="2"/>
        <v/>
      </c>
    </row>
    <row r="546">
      <c r="A546" s="4" t="str">
        <f t="shared" si="1"/>
        <v/>
      </c>
      <c r="F546" s="36" t="str">
        <f t="shared" si="4"/>
        <v/>
      </c>
      <c r="G546" s="11"/>
      <c r="H546" s="11" t="str">
        <f>IF(E546="","",SUMIF(Estructuras!B:B,A546,Estructuras!E:E))</f>
        <v/>
      </c>
      <c r="I546" s="8" t="str">
        <f>IF(E546="","",IF(COUNTIF(Estructuras!F:F,E546)=0,"Falta Estructura",IF(COUNTIFS(Estructuras!F:F,E546,Estructuras!E:E,0)&gt;0,"Faltan Precios","OK")))</f>
        <v/>
      </c>
      <c r="J546" s="10" t="str">
        <f>IF(I546="Faltan Precios",COUNTIFS(Estructuras!B:B,A546,Estructuras!E:E,0),"")</f>
        <v/>
      </c>
      <c r="K546" s="8" t="str">
        <f t="shared" si="2"/>
        <v/>
      </c>
    </row>
    <row r="547">
      <c r="A547" s="4" t="str">
        <f t="shared" si="1"/>
        <v/>
      </c>
      <c r="F547" s="36" t="str">
        <f t="shared" si="4"/>
        <v/>
      </c>
      <c r="G547" s="11"/>
      <c r="H547" s="11" t="str">
        <f>IF(E547="","",SUMIF(Estructuras!B:B,A547,Estructuras!E:E))</f>
        <v/>
      </c>
      <c r="I547" s="8" t="str">
        <f>IF(E547="","",IF(COUNTIF(Estructuras!F:F,E547)=0,"Falta Estructura",IF(COUNTIFS(Estructuras!F:F,E547,Estructuras!E:E,0)&gt;0,"Faltan Precios","OK")))</f>
        <v/>
      </c>
      <c r="J547" s="10" t="str">
        <f>IF(I547="Faltan Precios",COUNTIFS(Estructuras!B:B,A547,Estructuras!E:E,0),"")</f>
        <v/>
      </c>
      <c r="K547" s="8" t="str">
        <f t="shared" si="2"/>
        <v/>
      </c>
    </row>
    <row r="548">
      <c r="A548" s="4" t="str">
        <f t="shared" si="1"/>
        <v/>
      </c>
      <c r="F548" s="36" t="str">
        <f t="shared" si="4"/>
        <v/>
      </c>
      <c r="G548" s="11"/>
      <c r="H548" s="11" t="str">
        <f>IF(E548="","",SUMIF(Estructuras!B:B,A548,Estructuras!E:E))</f>
        <v/>
      </c>
      <c r="I548" s="8" t="str">
        <f>IF(E548="","",IF(COUNTIF(Estructuras!F:F,E548)=0,"Falta Estructura",IF(COUNTIFS(Estructuras!F:F,E548,Estructuras!E:E,0)&gt;0,"Faltan Precios","OK")))</f>
        <v/>
      </c>
      <c r="J548" s="10" t="str">
        <f>IF(I548="Faltan Precios",COUNTIFS(Estructuras!B:B,A548,Estructuras!E:E,0),"")</f>
        <v/>
      </c>
      <c r="K548" s="8" t="str">
        <f t="shared" si="2"/>
        <v/>
      </c>
    </row>
    <row r="549">
      <c r="A549" s="4" t="str">
        <f t="shared" si="1"/>
        <v/>
      </c>
      <c r="F549" s="36" t="str">
        <f t="shared" si="4"/>
        <v/>
      </c>
      <c r="G549" s="11"/>
      <c r="H549" s="11" t="str">
        <f>IF(E549="","",SUMIF(Estructuras!B:B,A549,Estructuras!E:E))</f>
        <v/>
      </c>
      <c r="I549" s="8" t="str">
        <f>IF(E549="","",IF(COUNTIF(Estructuras!F:F,E549)=0,"Falta Estructura",IF(COUNTIFS(Estructuras!F:F,E549,Estructuras!E:E,0)&gt;0,"Faltan Precios","OK")))</f>
        <v/>
      </c>
      <c r="J549" s="10" t="str">
        <f>IF(I549="Faltan Precios",COUNTIFS(Estructuras!B:B,A549,Estructuras!E:E,0),"")</f>
        <v/>
      </c>
      <c r="K549" s="8" t="str">
        <f t="shared" si="2"/>
        <v/>
      </c>
    </row>
    <row r="550">
      <c r="A550" s="4" t="str">
        <f t="shared" si="1"/>
        <v/>
      </c>
      <c r="F550" s="36" t="str">
        <f t="shared" si="4"/>
        <v/>
      </c>
      <c r="G550" s="11"/>
      <c r="H550" s="11" t="str">
        <f>IF(E550="","",SUMIF(Estructuras!B:B,A550,Estructuras!E:E))</f>
        <v/>
      </c>
      <c r="I550" s="8" t="str">
        <f>IF(E550="","",IF(COUNTIF(Estructuras!F:F,E550)=0,"Falta Estructura",IF(COUNTIFS(Estructuras!F:F,E550,Estructuras!E:E,0)&gt;0,"Faltan Precios","OK")))</f>
        <v/>
      </c>
      <c r="J550" s="10" t="str">
        <f>IF(I550="Faltan Precios",COUNTIFS(Estructuras!B:B,A550,Estructuras!E:E,0),"")</f>
        <v/>
      </c>
      <c r="K550" s="8" t="str">
        <f t="shared" si="2"/>
        <v/>
      </c>
    </row>
    <row r="551">
      <c r="A551" s="4" t="str">
        <f t="shared" si="1"/>
        <v/>
      </c>
      <c r="F551" s="36" t="str">
        <f t="shared" si="4"/>
        <v/>
      </c>
      <c r="G551" s="11"/>
      <c r="H551" s="11" t="str">
        <f>IF(E551="","",SUMIF(Estructuras!B:B,A551,Estructuras!E:E))</f>
        <v/>
      </c>
      <c r="I551" s="8" t="str">
        <f>IF(E551="","",IF(COUNTIF(Estructuras!F:F,E551)=0,"Falta Estructura",IF(COUNTIFS(Estructuras!F:F,E551,Estructuras!E:E,0)&gt;0,"Faltan Precios","OK")))</f>
        <v/>
      </c>
      <c r="J551" s="10" t="str">
        <f>IF(I551="Faltan Precios",COUNTIFS(Estructuras!B:B,A551,Estructuras!E:E,0),"")</f>
        <v/>
      </c>
      <c r="K551" s="8" t="str">
        <f t="shared" si="2"/>
        <v/>
      </c>
    </row>
    <row r="552">
      <c r="A552" s="4" t="str">
        <f t="shared" si="1"/>
        <v/>
      </c>
      <c r="F552" s="36" t="str">
        <f t="shared" si="4"/>
        <v/>
      </c>
      <c r="G552" s="11"/>
      <c r="H552" s="11" t="str">
        <f>IF(E552="","",SUMIF(Estructuras!B:B,A552,Estructuras!E:E))</f>
        <v/>
      </c>
      <c r="I552" s="8" t="str">
        <f>IF(E552="","",IF(COUNTIF(Estructuras!F:F,E552)=0,"Falta Estructura",IF(COUNTIFS(Estructuras!F:F,E552,Estructuras!E:E,0)&gt;0,"Faltan Precios","OK")))</f>
        <v/>
      </c>
      <c r="J552" s="10" t="str">
        <f>IF(I552="Faltan Precios",COUNTIFS(Estructuras!B:B,A552,Estructuras!E:E,0),"")</f>
        <v/>
      </c>
      <c r="K552" s="8" t="str">
        <f t="shared" si="2"/>
        <v/>
      </c>
    </row>
    <row r="553">
      <c r="A553" s="4" t="str">
        <f t="shared" si="1"/>
        <v/>
      </c>
      <c r="F553" s="36" t="str">
        <f t="shared" si="4"/>
        <v/>
      </c>
      <c r="G553" s="11"/>
      <c r="H553" s="11" t="str">
        <f>IF(E553="","",SUMIF(Estructuras!B:B,A553,Estructuras!E:E))</f>
        <v/>
      </c>
      <c r="I553" s="8" t="str">
        <f>IF(E553="","",IF(COUNTIF(Estructuras!F:F,E553)=0,"Falta Estructura",IF(COUNTIFS(Estructuras!F:F,E553,Estructuras!E:E,0)&gt;0,"Faltan Precios","OK")))</f>
        <v/>
      </c>
      <c r="J553" s="10" t="str">
        <f>IF(I553="Faltan Precios",COUNTIFS(Estructuras!B:B,A553,Estructuras!E:E,0),"")</f>
        <v/>
      </c>
      <c r="K553" s="8" t="str">
        <f t="shared" si="2"/>
        <v/>
      </c>
    </row>
    <row r="554">
      <c r="A554" s="4" t="str">
        <f t="shared" si="1"/>
        <v/>
      </c>
      <c r="F554" s="36" t="str">
        <f t="shared" si="4"/>
        <v/>
      </c>
      <c r="G554" s="11"/>
      <c r="H554" s="11" t="str">
        <f>IF(E554="","",SUMIF(Estructuras!B:B,A554,Estructuras!E:E))</f>
        <v/>
      </c>
      <c r="I554" s="8" t="str">
        <f>IF(E554="","",IF(COUNTIF(Estructuras!F:F,E554)=0,"Falta Estructura",IF(COUNTIFS(Estructuras!F:F,E554,Estructuras!E:E,0)&gt;0,"Faltan Precios","OK")))</f>
        <v/>
      </c>
      <c r="J554" s="10" t="str">
        <f>IF(I554="Faltan Precios",COUNTIFS(Estructuras!B:B,A554,Estructuras!E:E,0),"")</f>
        <v/>
      </c>
      <c r="K554" s="8" t="str">
        <f t="shared" si="2"/>
        <v/>
      </c>
    </row>
    <row r="555">
      <c r="A555" s="4" t="str">
        <f t="shared" si="1"/>
        <v/>
      </c>
      <c r="F555" s="36" t="str">
        <f t="shared" si="4"/>
        <v/>
      </c>
      <c r="G555" s="11"/>
      <c r="H555" s="11" t="str">
        <f>IF(E555="","",SUMIF(Estructuras!B:B,A555,Estructuras!E:E))</f>
        <v/>
      </c>
      <c r="I555" s="8" t="str">
        <f>IF(E555="","",IF(COUNTIF(Estructuras!F:F,E555)=0,"Falta Estructura",IF(COUNTIFS(Estructuras!F:F,E555,Estructuras!E:E,0)&gt;0,"Faltan Precios","OK")))</f>
        <v/>
      </c>
      <c r="J555" s="10" t="str">
        <f>IF(I555="Faltan Precios",COUNTIFS(Estructuras!B:B,A555,Estructuras!E:E,0),"")</f>
        <v/>
      </c>
      <c r="K555" s="8" t="str">
        <f t="shared" si="2"/>
        <v/>
      </c>
    </row>
    <row r="556">
      <c r="A556" s="4" t="str">
        <f t="shared" si="1"/>
        <v/>
      </c>
      <c r="F556" s="36" t="str">
        <f t="shared" si="4"/>
        <v/>
      </c>
      <c r="G556" s="11"/>
      <c r="H556" s="11" t="str">
        <f>IF(E556="","",SUMIF(Estructuras!B:B,A556,Estructuras!E:E))</f>
        <v/>
      </c>
      <c r="I556" s="8" t="str">
        <f>IF(E556="","",IF(COUNTIF(Estructuras!F:F,E556)=0,"Falta Estructura",IF(COUNTIFS(Estructuras!F:F,E556,Estructuras!E:E,0)&gt;0,"Faltan Precios","OK")))</f>
        <v/>
      </c>
      <c r="J556" s="10" t="str">
        <f>IF(I556="Faltan Precios",COUNTIFS(Estructuras!B:B,A556,Estructuras!E:E,0),"")</f>
        <v/>
      </c>
      <c r="K556" s="8" t="str">
        <f t="shared" si="2"/>
        <v/>
      </c>
    </row>
    <row r="557">
      <c r="A557" s="4" t="str">
        <f t="shared" si="1"/>
        <v/>
      </c>
      <c r="F557" s="36" t="str">
        <f t="shared" si="4"/>
        <v/>
      </c>
      <c r="G557" s="11"/>
      <c r="H557" s="11" t="str">
        <f>IF(E557="","",SUMIF(Estructuras!B:B,A557,Estructuras!E:E))</f>
        <v/>
      </c>
      <c r="I557" s="8" t="str">
        <f>IF(E557="","",IF(COUNTIF(Estructuras!F:F,E557)=0,"Falta Estructura",IF(COUNTIFS(Estructuras!F:F,E557,Estructuras!E:E,0)&gt;0,"Faltan Precios","OK")))</f>
        <v/>
      </c>
      <c r="J557" s="10" t="str">
        <f>IF(I557="Faltan Precios",COUNTIFS(Estructuras!B:B,A557,Estructuras!E:E,0),"")</f>
        <v/>
      </c>
      <c r="K557" s="8" t="str">
        <f t="shared" si="2"/>
        <v/>
      </c>
    </row>
    <row r="558">
      <c r="A558" s="4" t="str">
        <f t="shared" si="1"/>
        <v/>
      </c>
      <c r="F558" s="36" t="str">
        <f t="shared" si="4"/>
        <v/>
      </c>
      <c r="G558" s="11"/>
      <c r="H558" s="11" t="str">
        <f>IF(E558="","",SUMIF(Estructuras!B:B,A558,Estructuras!E:E))</f>
        <v/>
      </c>
      <c r="I558" s="8" t="str">
        <f>IF(E558="","",IF(COUNTIF(Estructuras!F:F,E558)=0,"Falta Estructura",IF(COUNTIFS(Estructuras!F:F,E558,Estructuras!E:E,0)&gt;0,"Faltan Precios","OK")))</f>
        <v/>
      </c>
      <c r="J558" s="10" t="str">
        <f>IF(I558="Faltan Precios",COUNTIFS(Estructuras!B:B,A558,Estructuras!E:E,0),"")</f>
        <v/>
      </c>
      <c r="K558" s="8" t="str">
        <f t="shared" si="2"/>
        <v/>
      </c>
    </row>
    <row r="559">
      <c r="A559" s="4" t="str">
        <f t="shared" si="1"/>
        <v/>
      </c>
      <c r="F559" s="36" t="str">
        <f t="shared" si="4"/>
        <v/>
      </c>
      <c r="G559" s="11"/>
      <c r="H559" s="11" t="str">
        <f>IF(E559="","",SUMIF(Estructuras!B:B,A559,Estructuras!E:E))</f>
        <v/>
      </c>
      <c r="I559" s="8" t="str">
        <f>IF(E559="","",IF(COUNTIF(Estructuras!F:F,E559)=0,"Falta Estructura",IF(COUNTIFS(Estructuras!F:F,E559,Estructuras!E:E,0)&gt;0,"Faltan Precios","OK")))</f>
        <v/>
      </c>
      <c r="J559" s="10" t="str">
        <f>IF(I559="Faltan Precios",COUNTIFS(Estructuras!B:B,A559,Estructuras!E:E,0),"")</f>
        <v/>
      </c>
      <c r="K559" s="8" t="str">
        <f t="shared" si="2"/>
        <v/>
      </c>
    </row>
    <row r="560">
      <c r="A560" s="4" t="str">
        <f t="shared" si="1"/>
        <v/>
      </c>
      <c r="F560" s="36" t="str">
        <f t="shared" si="4"/>
        <v/>
      </c>
      <c r="G560" s="11"/>
      <c r="H560" s="11" t="str">
        <f>IF(E560="","",SUMIF(Estructuras!B:B,A560,Estructuras!E:E))</f>
        <v/>
      </c>
      <c r="I560" s="8" t="str">
        <f>IF(E560="","",IF(COUNTIF(Estructuras!F:F,E560)=0,"Falta Estructura",IF(COUNTIFS(Estructuras!F:F,E560,Estructuras!E:E,0)&gt;0,"Faltan Precios","OK")))</f>
        <v/>
      </c>
      <c r="J560" s="10" t="str">
        <f>IF(I560="Faltan Precios",COUNTIFS(Estructuras!B:B,A560,Estructuras!E:E,0),"")</f>
        <v/>
      </c>
      <c r="K560" s="8" t="str">
        <f t="shared" si="2"/>
        <v/>
      </c>
    </row>
    <row r="561">
      <c r="A561" s="4" t="str">
        <f t="shared" si="1"/>
        <v/>
      </c>
      <c r="F561" s="36" t="str">
        <f t="shared" si="4"/>
        <v/>
      </c>
      <c r="G561" s="11"/>
      <c r="H561" s="11" t="str">
        <f>IF(E561="","",SUMIF(Estructuras!B:B,A561,Estructuras!E:E))</f>
        <v/>
      </c>
      <c r="I561" s="8" t="str">
        <f>IF(E561="","",IF(COUNTIF(Estructuras!F:F,E561)=0,"Falta Estructura",IF(COUNTIFS(Estructuras!F:F,E561,Estructuras!E:E,0)&gt;0,"Faltan Precios","OK")))</f>
        <v/>
      </c>
      <c r="J561" s="10" t="str">
        <f>IF(I561="Faltan Precios",COUNTIFS(Estructuras!B:B,A561,Estructuras!E:E,0),"")</f>
        <v/>
      </c>
      <c r="K561" s="8" t="str">
        <f t="shared" si="2"/>
        <v/>
      </c>
    </row>
    <row r="562">
      <c r="A562" s="4" t="str">
        <f t="shared" si="1"/>
        <v/>
      </c>
      <c r="F562" s="36" t="str">
        <f t="shared" si="4"/>
        <v/>
      </c>
      <c r="G562" s="11"/>
      <c r="H562" s="11" t="str">
        <f>IF(E562="","",SUMIF(Estructuras!B:B,A562,Estructuras!E:E))</f>
        <v/>
      </c>
      <c r="I562" s="8" t="str">
        <f>IF(E562="","",IF(COUNTIF(Estructuras!F:F,E562)=0,"Falta Estructura",IF(COUNTIFS(Estructuras!F:F,E562,Estructuras!E:E,0)&gt;0,"Faltan Precios","OK")))</f>
        <v/>
      </c>
      <c r="J562" s="10" t="str">
        <f>IF(I562="Faltan Precios",COUNTIFS(Estructuras!B:B,A562,Estructuras!E:E,0),"")</f>
        <v/>
      </c>
      <c r="K562" s="8" t="str">
        <f t="shared" si="2"/>
        <v/>
      </c>
    </row>
    <row r="563">
      <c r="A563" s="4" t="str">
        <f t="shared" si="1"/>
        <v/>
      </c>
      <c r="F563" s="36" t="str">
        <f t="shared" si="4"/>
        <v/>
      </c>
      <c r="G563" s="11"/>
      <c r="H563" s="11" t="str">
        <f>IF(E563="","",SUMIF(Estructuras!B:B,A563,Estructuras!E:E))</f>
        <v/>
      </c>
      <c r="I563" s="8" t="str">
        <f>IF(E563="","",IF(COUNTIF(Estructuras!F:F,E563)=0,"Falta Estructura",IF(COUNTIFS(Estructuras!F:F,E563,Estructuras!E:E,0)&gt;0,"Faltan Precios","OK")))</f>
        <v/>
      </c>
      <c r="J563" s="10" t="str">
        <f>IF(I563="Faltan Precios",COUNTIFS(Estructuras!B:B,A563,Estructuras!E:E,0),"")</f>
        <v/>
      </c>
      <c r="K563" s="8" t="str">
        <f t="shared" si="2"/>
        <v/>
      </c>
    </row>
    <row r="564">
      <c r="A564" s="4" t="str">
        <f t="shared" si="1"/>
        <v/>
      </c>
      <c r="F564" s="36" t="str">
        <f t="shared" si="4"/>
        <v/>
      </c>
      <c r="G564" s="11"/>
      <c r="H564" s="11" t="str">
        <f>IF(E564="","",SUMIF(Estructuras!B:B,A564,Estructuras!E:E))</f>
        <v/>
      </c>
      <c r="I564" s="8" t="str">
        <f>IF(E564="","",IF(COUNTIF(Estructuras!F:F,E564)=0,"Falta Estructura",IF(COUNTIFS(Estructuras!F:F,E564,Estructuras!E:E,0)&gt;0,"Faltan Precios","OK")))</f>
        <v/>
      </c>
      <c r="J564" s="10" t="str">
        <f>IF(I564="Faltan Precios",COUNTIFS(Estructuras!B:B,A564,Estructuras!E:E,0),"")</f>
        <v/>
      </c>
      <c r="K564" s="8" t="str">
        <f t="shared" si="2"/>
        <v/>
      </c>
    </row>
    <row r="565">
      <c r="A565" s="4" t="str">
        <f t="shared" si="1"/>
        <v/>
      </c>
      <c r="F565" s="36" t="str">
        <f t="shared" si="4"/>
        <v/>
      </c>
      <c r="G565" s="11"/>
      <c r="H565" s="11" t="str">
        <f>IF(E565="","",SUMIF(Estructuras!B:B,A565,Estructuras!E:E))</f>
        <v/>
      </c>
      <c r="I565" s="8" t="str">
        <f>IF(E565="","",IF(COUNTIF(Estructuras!F:F,E565)=0,"Falta Estructura",IF(COUNTIFS(Estructuras!F:F,E565,Estructuras!E:E,0)&gt;0,"Faltan Precios","OK")))</f>
        <v/>
      </c>
      <c r="J565" s="10" t="str">
        <f>IF(I565="Faltan Precios",COUNTIFS(Estructuras!B:B,A565,Estructuras!E:E,0),"")</f>
        <v/>
      </c>
      <c r="K565" s="8" t="str">
        <f t="shared" si="2"/>
        <v/>
      </c>
    </row>
    <row r="566">
      <c r="A566" s="4" t="str">
        <f t="shared" si="1"/>
        <v/>
      </c>
      <c r="F566" s="36" t="str">
        <f t="shared" si="4"/>
        <v/>
      </c>
      <c r="G566" s="11"/>
      <c r="H566" s="11" t="str">
        <f>IF(E566="","",SUMIF(Estructuras!B:B,A566,Estructuras!E:E))</f>
        <v/>
      </c>
      <c r="I566" s="8" t="str">
        <f>IF(E566="","",IF(COUNTIF(Estructuras!F:F,E566)=0,"Falta Estructura",IF(COUNTIFS(Estructuras!F:F,E566,Estructuras!E:E,0)&gt;0,"Faltan Precios","OK")))</f>
        <v/>
      </c>
      <c r="J566" s="10" t="str">
        <f>IF(I566="Faltan Precios",COUNTIFS(Estructuras!B:B,A566,Estructuras!E:E,0),"")</f>
        <v/>
      </c>
      <c r="K566" s="8" t="str">
        <f t="shared" si="2"/>
        <v/>
      </c>
    </row>
    <row r="567">
      <c r="A567" s="4" t="str">
        <f t="shared" si="1"/>
        <v/>
      </c>
      <c r="F567" s="36" t="str">
        <f t="shared" si="4"/>
        <v/>
      </c>
      <c r="G567" s="11"/>
      <c r="H567" s="11" t="str">
        <f>IF(E567="","",SUMIF(Estructuras!B:B,A567,Estructuras!E:E))</f>
        <v/>
      </c>
      <c r="I567" s="8" t="str">
        <f>IF(E567="","",IF(COUNTIF(Estructuras!F:F,E567)=0,"Falta Estructura",IF(COUNTIFS(Estructuras!F:F,E567,Estructuras!E:E,0)&gt;0,"Faltan Precios","OK")))</f>
        <v/>
      </c>
      <c r="J567" s="10" t="str">
        <f>IF(I567="Faltan Precios",COUNTIFS(Estructuras!B:B,A567,Estructuras!E:E,0),"")</f>
        <v/>
      </c>
      <c r="K567" s="8" t="str">
        <f t="shared" si="2"/>
        <v/>
      </c>
    </row>
    <row r="568">
      <c r="A568" s="4" t="str">
        <f t="shared" si="1"/>
        <v/>
      </c>
      <c r="F568" s="36" t="str">
        <f t="shared" si="4"/>
        <v/>
      </c>
      <c r="G568" s="11"/>
      <c r="H568" s="11" t="str">
        <f>IF(E568="","",SUMIF(Estructuras!B:B,A568,Estructuras!E:E))</f>
        <v/>
      </c>
      <c r="I568" s="8" t="str">
        <f>IF(E568="","",IF(COUNTIF(Estructuras!F:F,E568)=0,"Falta Estructura",IF(COUNTIFS(Estructuras!F:F,E568,Estructuras!E:E,0)&gt;0,"Faltan Precios","OK")))</f>
        <v/>
      </c>
      <c r="J568" s="10" t="str">
        <f>IF(I568="Faltan Precios",COUNTIFS(Estructuras!B:B,A568,Estructuras!E:E,0),"")</f>
        <v/>
      </c>
      <c r="K568" s="8" t="str">
        <f t="shared" si="2"/>
        <v/>
      </c>
    </row>
    <row r="569">
      <c r="A569" s="4" t="str">
        <f t="shared" si="1"/>
        <v/>
      </c>
      <c r="F569" s="36" t="str">
        <f t="shared" si="4"/>
        <v/>
      </c>
      <c r="G569" s="11"/>
      <c r="H569" s="11" t="str">
        <f>IF(E569="","",SUMIF(Estructuras!B:B,A569,Estructuras!E:E))</f>
        <v/>
      </c>
      <c r="I569" s="8" t="str">
        <f>IF(E569="","",IF(COUNTIF(Estructuras!F:F,E569)=0,"Falta Estructura",IF(COUNTIFS(Estructuras!F:F,E569,Estructuras!E:E,0)&gt;0,"Faltan Precios","OK")))</f>
        <v/>
      </c>
      <c r="J569" s="10" t="str">
        <f>IF(I569="Faltan Precios",COUNTIFS(Estructuras!B:B,A569,Estructuras!E:E,0),"")</f>
        <v/>
      </c>
      <c r="K569" s="8" t="str">
        <f t="shared" si="2"/>
        <v/>
      </c>
    </row>
    <row r="570">
      <c r="A570" s="4" t="str">
        <f t="shared" si="1"/>
        <v/>
      </c>
      <c r="F570" s="36" t="str">
        <f t="shared" si="4"/>
        <v/>
      </c>
      <c r="G570" s="11"/>
      <c r="H570" s="11" t="str">
        <f>IF(E570="","",SUMIF(Estructuras!B:B,A570,Estructuras!E:E))</f>
        <v/>
      </c>
      <c r="I570" s="8" t="str">
        <f>IF(E570="","",IF(COUNTIF(Estructuras!F:F,E570)=0,"Falta Estructura",IF(COUNTIFS(Estructuras!F:F,E570,Estructuras!E:E,0)&gt;0,"Faltan Precios","OK")))</f>
        <v/>
      </c>
      <c r="J570" s="10" t="str">
        <f>IF(I570="Faltan Precios",COUNTIFS(Estructuras!B:B,A570,Estructuras!E:E,0),"")</f>
        <v/>
      </c>
      <c r="K570" s="8" t="str">
        <f t="shared" si="2"/>
        <v/>
      </c>
    </row>
    <row r="571">
      <c r="A571" s="4" t="str">
        <f t="shared" si="1"/>
        <v/>
      </c>
      <c r="F571" s="36" t="str">
        <f t="shared" si="4"/>
        <v/>
      </c>
      <c r="G571" s="11"/>
      <c r="H571" s="11" t="str">
        <f>IF(E571="","",SUMIF(Estructuras!B:B,A571,Estructuras!E:E))</f>
        <v/>
      </c>
      <c r="I571" s="8" t="str">
        <f>IF(E571="","",IF(COUNTIF(Estructuras!F:F,E571)=0,"Falta Estructura",IF(COUNTIFS(Estructuras!F:F,E571,Estructuras!E:E,0)&gt;0,"Faltan Precios","OK")))</f>
        <v/>
      </c>
      <c r="J571" s="10" t="str">
        <f>IF(I571="Faltan Precios",COUNTIFS(Estructuras!B:B,A571,Estructuras!E:E,0),"")</f>
        <v/>
      </c>
      <c r="K571" s="8" t="str">
        <f t="shared" si="2"/>
        <v/>
      </c>
    </row>
    <row r="572">
      <c r="A572" s="4" t="str">
        <f t="shared" si="1"/>
        <v/>
      </c>
      <c r="F572" s="36" t="str">
        <f t="shared" si="4"/>
        <v/>
      </c>
      <c r="G572" s="11"/>
      <c r="H572" s="11" t="str">
        <f>IF(E572="","",SUMIF(Estructuras!B:B,A572,Estructuras!E:E))</f>
        <v/>
      </c>
      <c r="I572" s="8" t="str">
        <f>IF(E572="","",IF(COUNTIF(Estructuras!F:F,E572)=0,"Falta Estructura",IF(COUNTIFS(Estructuras!F:F,E572,Estructuras!E:E,0)&gt;0,"Faltan Precios","OK")))</f>
        <v/>
      </c>
      <c r="J572" s="10" t="str">
        <f>IF(I572="Faltan Precios",COUNTIFS(Estructuras!B:B,A572,Estructuras!E:E,0),"")</f>
        <v/>
      </c>
      <c r="K572" s="8" t="str">
        <f t="shared" si="2"/>
        <v/>
      </c>
    </row>
    <row r="573">
      <c r="A573" s="4" t="str">
        <f t="shared" si="1"/>
        <v/>
      </c>
      <c r="F573" s="36" t="str">
        <f t="shared" si="4"/>
        <v/>
      </c>
      <c r="G573" s="11"/>
      <c r="H573" s="11" t="str">
        <f>IF(E573="","",SUMIF(Estructuras!B:B,A573,Estructuras!E:E))</f>
        <v/>
      </c>
      <c r="I573" s="8" t="str">
        <f>IF(E573="","",IF(COUNTIF(Estructuras!F:F,E573)=0,"Falta Estructura",IF(COUNTIFS(Estructuras!F:F,E573,Estructuras!E:E,0)&gt;0,"Faltan Precios","OK")))</f>
        <v/>
      </c>
      <c r="J573" s="10" t="str">
        <f>IF(I573="Faltan Precios",COUNTIFS(Estructuras!B:B,A573,Estructuras!E:E,0),"")</f>
        <v/>
      </c>
      <c r="K573" s="8" t="str">
        <f t="shared" si="2"/>
        <v/>
      </c>
    </row>
    <row r="574">
      <c r="A574" s="4" t="str">
        <f t="shared" si="1"/>
        <v/>
      </c>
      <c r="F574" s="36" t="str">
        <f t="shared" si="4"/>
        <v/>
      </c>
      <c r="G574" s="11"/>
      <c r="H574" s="11" t="str">
        <f>IF(E574="","",SUMIF(Estructuras!B:B,A574,Estructuras!E:E))</f>
        <v/>
      </c>
      <c r="I574" s="8" t="str">
        <f>IF(E574="","",IF(COUNTIF(Estructuras!F:F,E574)=0,"Falta Estructura",IF(COUNTIFS(Estructuras!F:F,E574,Estructuras!E:E,0)&gt;0,"Faltan Precios","OK")))</f>
        <v/>
      </c>
      <c r="J574" s="10" t="str">
        <f>IF(I574="Faltan Precios",COUNTIFS(Estructuras!B:B,A574,Estructuras!E:E,0),"")</f>
        <v/>
      </c>
      <c r="K574" s="8" t="str">
        <f t="shared" si="2"/>
        <v/>
      </c>
    </row>
    <row r="575">
      <c r="A575" s="4" t="str">
        <f t="shared" si="1"/>
        <v/>
      </c>
      <c r="F575" s="36" t="str">
        <f t="shared" si="4"/>
        <v/>
      </c>
      <c r="G575" s="11"/>
      <c r="H575" s="11" t="str">
        <f>IF(E575="","",SUMIF(Estructuras!B:B,A575,Estructuras!E:E))</f>
        <v/>
      </c>
      <c r="I575" s="8" t="str">
        <f>IF(E575="","",IF(COUNTIF(Estructuras!F:F,E575)=0,"Falta Estructura",IF(COUNTIFS(Estructuras!F:F,E575,Estructuras!E:E,0)&gt;0,"Faltan Precios","OK")))</f>
        <v/>
      </c>
      <c r="J575" s="10" t="str">
        <f>IF(I575="Faltan Precios",COUNTIFS(Estructuras!B:B,A575,Estructuras!E:E,0),"")</f>
        <v/>
      </c>
      <c r="K575" s="8" t="str">
        <f t="shared" si="2"/>
        <v/>
      </c>
    </row>
    <row r="576">
      <c r="A576" s="4" t="str">
        <f t="shared" si="1"/>
        <v/>
      </c>
      <c r="F576" s="36" t="str">
        <f t="shared" si="4"/>
        <v/>
      </c>
      <c r="G576" s="11"/>
      <c r="H576" s="11" t="str">
        <f>IF(E576="","",SUMIF(Estructuras!B:B,A576,Estructuras!E:E))</f>
        <v/>
      </c>
      <c r="I576" s="8" t="str">
        <f>IF(E576="","",IF(COUNTIF(Estructuras!F:F,E576)=0,"Falta Estructura",IF(COUNTIFS(Estructuras!F:F,E576,Estructuras!E:E,0)&gt;0,"Faltan Precios","OK")))</f>
        <v/>
      </c>
      <c r="J576" s="10" t="str">
        <f>IF(I576="Faltan Precios",COUNTIFS(Estructuras!B:B,A576,Estructuras!E:E,0),"")</f>
        <v/>
      </c>
      <c r="K576" s="8" t="str">
        <f t="shared" si="2"/>
        <v/>
      </c>
    </row>
    <row r="577">
      <c r="A577" s="4" t="str">
        <f t="shared" si="1"/>
        <v/>
      </c>
      <c r="F577" s="36" t="str">
        <f t="shared" si="4"/>
        <v/>
      </c>
      <c r="G577" s="11"/>
      <c r="H577" s="11" t="str">
        <f>IF(E577="","",SUMIF(Estructuras!B:B,A577,Estructuras!E:E))</f>
        <v/>
      </c>
      <c r="I577" s="8" t="str">
        <f>IF(E577="","",IF(COUNTIF(Estructuras!F:F,E577)=0,"Falta Estructura",IF(COUNTIFS(Estructuras!F:F,E577,Estructuras!E:E,0)&gt;0,"Faltan Precios","OK")))</f>
        <v/>
      </c>
      <c r="J577" s="10" t="str">
        <f>IF(I577="Faltan Precios",COUNTIFS(Estructuras!B:B,A577,Estructuras!E:E,0),"")</f>
        <v/>
      </c>
      <c r="K577" s="8" t="str">
        <f t="shared" si="2"/>
        <v/>
      </c>
    </row>
    <row r="578">
      <c r="A578" s="4" t="str">
        <f t="shared" si="1"/>
        <v/>
      </c>
      <c r="F578" s="36" t="str">
        <f t="shared" si="4"/>
        <v/>
      </c>
      <c r="G578" s="11"/>
      <c r="H578" s="11" t="str">
        <f>IF(E578="","",SUMIF(Estructuras!B:B,A578,Estructuras!E:E))</f>
        <v/>
      </c>
      <c r="I578" s="8" t="str">
        <f>IF(E578="","",IF(COUNTIF(Estructuras!F:F,E578)=0,"Falta Estructura",IF(COUNTIFS(Estructuras!F:F,E578,Estructuras!E:E,0)&gt;0,"Faltan Precios","OK")))</f>
        <v/>
      </c>
      <c r="J578" s="10" t="str">
        <f>IF(I578="Faltan Precios",COUNTIFS(Estructuras!B:B,A578,Estructuras!E:E,0),"")</f>
        <v/>
      </c>
      <c r="K578" s="8" t="str">
        <f t="shared" si="2"/>
        <v/>
      </c>
    </row>
    <row r="579">
      <c r="A579" s="4" t="str">
        <f t="shared" si="1"/>
        <v/>
      </c>
      <c r="F579" s="36" t="str">
        <f t="shared" si="4"/>
        <v/>
      </c>
      <c r="G579" s="11"/>
      <c r="H579" s="11" t="str">
        <f>IF(E579="","",SUMIF(Estructuras!B:B,A579,Estructuras!E:E))</f>
        <v/>
      </c>
      <c r="I579" s="8" t="str">
        <f>IF(E579="","",IF(COUNTIF(Estructuras!F:F,E579)=0,"Falta Estructura",IF(COUNTIFS(Estructuras!F:F,E579,Estructuras!E:E,0)&gt;0,"Faltan Precios","OK")))</f>
        <v/>
      </c>
      <c r="J579" s="10" t="str">
        <f>IF(I579="Faltan Precios",COUNTIFS(Estructuras!B:B,A579,Estructuras!E:E,0),"")</f>
        <v/>
      </c>
      <c r="K579" s="8" t="str">
        <f t="shared" si="2"/>
        <v/>
      </c>
    </row>
    <row r="580">
      <c r="A580" s="4" t="str">
        <f t="shared" si="1"/>
        <v/>
      </c>
      <c r="F580" s="36" t="str">
        <f t="shared" si="4"/>
        <v/>
      </c>
      <c r="G580" s="11"/>
      <c r="H580" s="11" t="str">
        <f>IF(E580="","",SUMIF(Estructuras!B:B,A580,Estructuras!E:E))</f>
        <v/>
      </c>
      <c r="I580" s="8" t="str">
        <f>IF(E580="","",IF(COUNTIF(Estructuras!F:F,E580)=0,"Falta Estructura",IF(COUNTIFS(Estructuras!F:F,E580,Estructuras!E:E,0)&gt;0,"Faltan Precios","OK")))</f>
        <v/>
      </c>
      <c r="J580" s="10" t="str">
        <f>IF(I580="Faltan Precios",COUNTIFS(Estructuras!B:B,A580,Estructuras!E:E,0),"")</f>
        <v/>
      </c>
      <c r="K580" s="8" t="str">
        <f t="shared" si="2"/>
        <v/>
      </c>
    </row>
    <row r="581">
      <c r="A581" s="4" t="str">
        <f t="shared" si="1"/>
        <v/>
      </c>
      <c r="F581" s="36" t="str">
        <f t="shared" si="4"/>
        <v/>
      </c>
      <c r="G581" s="11"/>
      <c r="H581" s="11" t="str">
        <f>IF(E581="","",SUMIF(Estructuras!B:B,A581,Estructuras!E:E))</f>
        <v/>
      </c>
      <c r="I581" s="8" t="str">
        <f>IF(E581="","",IF(COUNTIF(Estructuras!F:F,E581)=0,"Falta Estructura",IF(COUNTIFS(Estructuras!F:F,E581,Estructuras!E:E,0)&gt;0,"Faltan Precios","OK")))</f>
        <v/>
      </c>
      <c r="J581" s="10" t="str">
        <f>IF(I581="Faltan Precios",COUNTIFS(Estructuras!B:B,A581,Estructuras!E:E,0),"")</f>
        <v/>
      </c>
      <c r="K581" s="8" t="str">
        <f t="shared" si="2"/>
        <v/>
      </c>
    </row>
    <row r="582">
      <c r="A582" s="4" t="str">
        <f t="shared" si="1"/>
        <v/>
      </c>
      <c r="F582" s="36" t="str">
        <f t="shared" si="4"/>
        <v/>
      </c>
      <c r="G582" s="11"/>
      <c r="H582" s="11" t="str">
        <f>IF(E582="","",SUMIF(Estructuras!B:B,A582,Estructuras!E:E))</f>
        <v/>
      </c>
      <c r="I582" s="8" t="str">
        <f>IF(E582="","",IF(COUNTIF(Estructuras!F:F,E582)=0,"Falta Estructura",IF(COUNTIFS(Estructuras!F:F,E582,Estructuras!E:E,0)&gt;0,"Faltan Precios","OK")))</f>
        <v/>
      </c>
      <c r="J582" s="10" t="str">
        <f>IF(I582="Faltan Precios",COUNTIFS(Estructuras!B:B,A582,Estructuras!E:E,0),"")</f>
        <v/>
      </c>
      <c r="K582" s="8" t="str">
        <f t="shared" si="2"/>
        <v/>
      </c>
    </row>
    <row r="583">
      <c r="A583" s="4" t="str">
        <f t="shared" si="1"/>
        <v/>
      </c>
      <c r="F583" s="36" t="str">
        <f t="shared" si="4"/>
        <v/>
      </c>
      <c r="G583" s="11"/>
      <c r="H583" s="11" t="str">
        <f>IF(E583="","",SUMIF(Estructuras!B:B,A583,Estructuras!E:E))</f>
        <v/>
      </c>
      <c r="I583" s="8" t="str">
        <f>IF(E583="","",IF(COUNTIF(Estructuras!F:F,E583)=0,"Falta Estructura",IF(COUNTIFS(Estructuras!F:F,E583,Estructuras!E:E,0)&gt;0,"Faltan Precios","OK")))</f>
        <v/>
      </c>
      <c r="J583" s="10" t="str">
        <f>IF(I583="Faltan Precios",COUNTIFS(Estructuras!B:B,A583,Estructuras!E:E,0),"")</f>
        <v/>
      </c>
      <c r="K583" s="8" t="str">
        <f t="shared" si="2"/>
        <v/>
      </c>
    </row>
    <row r="584">
      <c r="A584" s="4" t="str">
        <f t="shared" si="1"/>
        <v/>
      </c>
      <c r="F584" s="36" t="str">
        <f t="shared" si="4"/>
        <v/>
      </c>
      <c r="G584" s="11"/>
      <c r="H584" s="11" t="str">
        <f>IF(E584="","",SUMIF(Estructuras!B:B,A584,Estructuras!E:E))</f>
        <v/>
      </c>
      <c r="I584" s="8" t="str">
        <f>IF(E584="","",IF(COUNTIF(Estructuras!F:F,E584)=0,"Falta Estructura",IF(COUNTIFS(Estructuras!F:F,E584,Estructuras!E:E,0)&gt;0,"Faltan Precios","OK")))</f>
        <v/>
      </c>
      <c r="J584" s="10" t="str">
        <f>IF(I584="Faltan Precios",COUNTIFS(Estructuras!B:B,A584,Estructuras!E:E,0),"")</f>
        <v/>
      </c>
      <c r="K584" s="8" t="str">
        <f t="shared" si="2"/>
        <v/>
      </c>
    </row>
    <row r="585">
      <c r="A585" s="4" t="str">
        <f t="shared" si="1"/>
        <v/>
      </c>
      <c r="F585" s="36" t="str">
        <f t="shared" si="4"/>
        <v/>
      </c>
      <c r="G585" s="11"/>
      <c r="H585" s="11" t="str">
        <f>IF(E585="","",SUMIF(Estructuras!B:B,A585,Estructuras!E:E))</f>
        <v/>
      </c>
      <c r="I585" s="8" t="str">
        <f>IF(E585="","",IF(COUNTIF(Estructuras!F:F,E585)=0,"Falta Estructura",IF(COUNTIFS(Estructuras!F:F,E585,Estructuras!E:E,0)&gt;0,"Faltan Precios","OK")))</f>
        <v/>
      </c>
      <c r="J585" s="10" t="str">
        <f>IF(I585="Faltan Precios",COUNTIFS(Estructuras!B:B,A585,Estructuras!E:E,0),"")</f>
        <v/>
      </c>
      <c r="K585" s="8" t="str">
        <f t="shared" si="2"/>
        <v/>
      </c>
    </row>
    <row r="586">
      <c r="A586" s="4" t="str">
        <f t="shared" si="1"/>
        <v/>
      </c>
      <c r="F586" s="36" t="str">
        <f t="shared" si="4"/>
        <v/>
      </c>
      <c r="G586" s="11"/>
      <c r="H586" s="11" t="str">
        <f>IF(E586="","",SUMIF(Estructuras!B:B,A586,Estructuras!E:E))</f>
        <v/>
      </c>
      <c r="I586" s="8" t="str">
        <f>IF(E586="","",IF(COUNTIF(Estructuras!F:F,E586)=0,"Falta Estructura",IF(COUNTIFS(Estructuras!F:F,E586,Estructuras!E:E,0)&gt;0,"Faltan Precios","OK")))</f>
        <v/>
      </c>
      <c r="J586" s="10" t="str">
        <f>IF(I586="Faltan Precios",COUNTIFS(Estructuras!B:B,A586,Estructuras!E:E,0),"")</f>
        <v/>
      </c>
      <c r="K586" s="8" t="str">
        <f t="shared" si="2"/>
        <v/>
      </c>
    </row>
    <row r="587">
      <c r="A587" s="4" t="str">
        <f t="shared" si="1"/>
        <v/>
      </c>
      <c r="F587" s="36" t="str">
        <f t="shared" si="4"/>
        <v/>
      </c>
      <c r="G587" s="11"/>
      <c r="H587" s="11" t="str">
        <f>IF(E587="","",SUMIF(Estructuras!B:B,A587,Estructuras!E:E))</f>
        <v/>
      </c>
      <c r="I587" s="8" t="str">
        <f>IF(E587="","",IF(COUNTIF(Estructuras!F:F,E587)=0,"Falta Estructura",IF(COUNTIFS(Estructuras!F:F,E587,Estructuras!E:E,0)&gt;0,"Faltan Precios","OK")))</f>
        <v/>
      </c>
      <c r="J587" s="10" t="str">
        <f>IF(I587="Faltan Precios",COUNTIFS(Estructuras!B:B,A587,Estructuras!E:E,0),"")</f>
        <v/>
      </c>
      <c r="K587" s="8" t="str">
        <f t="shared" si="2"/>
        <v/>
      </c>
    </row>
    <row r="588">
      <c r="A588" s="4" t="str">
        <f t="shared" si="1"/>
        <v/>
      </c>
      <c r="F588" s="36" t="str">
        <f t="shared" si="4"/>
        <v/>
      </c>
      <c r="G588" s="11"/>
      <c r="H588" s="11" t="str">
        <f>IF(E588="","",SUMIF(Estructuras!B:B,A588,Estructuras!E:E))</f>
        <v/>
      </c>
      <c r="I588" s="8" t="str">
        <f>IF(E588="","",IF(COUNTIF(Estructuras!F:F,E588)=0,"Falta Estructura",IF(COUNTIFS(Estructuras!F:F,E588,Estructuras!E:E,0)&gt;0,"Faltan Precios","OK")))</f>
        <v/>
      </c>
      <c r="J588" s="10" t="str">
        <f>IF(I588="Faltan Precios",COUNTIFS(Estructuras!B:B,A588,Estructuras!E:E,0),"")</f>
        <v/>
      </c>
      <c r="K588" s="8" t="str">
        <f t="shared" si="2"/>
        <v/>
      </c>
    </row>
    <row r="589">
      <c r="A589" s="4" t="str">
        <f t="shared" si="1"/>
        <v/>
      </c>
      <c r="F589" s="36" t="str">
        <f t="shared" si="4"/>
        <v/>
      </c>
      <c r="G589" s="11"/>
      <c r="H589" s="11" t="str">
        <f>IF(E589="","",SUMIF(Estructuras!B:B,A589,Estructuras!E:E))</f>
        <v/>
      </c>
      <c r="I589" s="8" t="str">
        <f>IF(E589="","",IF(COUNTIF(Estructuras!F:F,E589)=0,"Falta Estructura",IF(COUNTIFS(Estructuras!F:F,E589,Estructuras!E:E,0)&gt;0,"Faltan Precios","OK")))</f>
        <v/>
      </c>
      <c r="J589" s="10" t="str">
        <f>IF(I589="Faltan Precios",COUNTIFS(Estructuras!B:B,A589,Estructuras!E:E,0),"")</f>
        <v/>
      </c>
      <c r="K589" s="8" t="str">
        <f t="shared" si="2"/>
        <v/>
      </c>
    </row>
    <row r="590">
      <c r="A590" s="4" t="str">
        <f t="shared" si="1"/>
        <v/>
      </c>
      <c r="F590" s="36" t="str">
        <f t="shared" si="4"/>
        <v/>
      </c>
      <c r="G590" s="11"/>
      <c r="H590" s="11" t="str">
        <f>IF(E590="","",SUMIF(Estructuras!B:B,A590,Estructuras!E:E))</f>
        <v/>
      </c>
      <c r="I590" s="8" t="str">
        <f>IF(E590="","",IF(COUNTIF(Estructuras!F:F,E590)=0,"Falta Estructura",IF(COUNTIFS(Estructuras!F:F,E590,Estructuras!E:E,0)&gt;0,"Faltan Precios","OK")))</f>
        <v/>
      </c>
      <c r="J590" s="10" t="str">
        <f>IF(I590="Faltan Precios",COUNTIFS(Estructuras!B:B,A590,Estructuras!E:E,0),"")</f>
        <v/>
      </c>
      <c r="K590" s="8" t="str">
        <f t="shared" si="2"/>
        <v/>
      </c>
    </row>
    <row r="591">
      <c r="A591" s="4" t="str">
        <f t="shared" si="1"/>
        <v/>
      </c>
      <c r="F591" s="36" t="str">
        <f t="shared" si="4"/>
        <v/>
      </c>
      <c r="G591" s="11"/>
      <c r="H591" s="11" t="str">
        <f>IF(E591="","",SUMIF(Estructuras!B:B,A591,Estructuras!E:E))</f>
        <v/>
      </c>
      <c r="I591" s="8" t="str">
        <f>IF(E591="","",IF(COUNTIF(Estructuras!F:F,E591)=0,"Falta Estructura",IF(COUNTIFS(Estructuras!F:F,E591,Estructuras!E:E,0)&gt;0,"Faltan Precios","OK")))</f>
        <v/>
      </c>
      <c r="J591" s="10" t="str">
        <f>IF(I591="Faltan Precios",COUNTIFS(Estructuras!B:B,A591,Estructuras!E:E,0),"")</f>
        <v/>
      </c>
      <c r="K591" s="8" t="str">
        <f t="shared" si="2"/>
        <v/>
      </c>
    </row>
    <row r="592">
      <c r="A592" s="4" t="str">
        <f t="shared" si="1"/>
        <v/>
      </c>
      <c r="F592" s="36" t="str">
        <f t="shared" si="4"/>
        <v/>
      </c>
      <c r="G592" s="11"/>
      <c r="H592" s="11" t="str">
        <f>IF(E592="","",SUMIF(Estructuras!B:B,A592,Estructuras!E:E))</f>
        <v/>
      </c>
      <c r="I592" s="8" t="str">
        <f>IF(E592="","",IF(COUNTIF(Estructuras!F:F,E592)=0,"Falta Estructura",IF(COUNTIFS(Estructuras!F:F,E592,Estructuras!E:E,0)&gt;0,"Faltan Precios","OK")))</f>
        <v/>
      </c>
      <c r="J592" s="10" t="str">
        <f>IF(I592="Faltan Precios",COUNTIFS(Estructuras!B:B,A592,Estructuras!E:E,0),"")</f>
        <v/>
      </c>
      <c r="K592" s="8" t="str">
        <f t="shared" si="2"/>
        <v/>
      </c>
    </row>
    <row r="593">
      <c r="A593" s="4" t="str">
        <f t="shared" si="1"/>
        <v/>
      </c>
      <c r="F593" s="36" t="str">
        <f t="shared" si="4"/>
        <v/>
      </c>
      <c r="G593" s="11"/>
      <c r="H593" s="11" t="str">
        <f>IF(E593="","",SUMIF(Estructuras!B:B,A593,Estructuras!E:E))</f>
        <v/>
      </c>
      <c r="I593" s="8" t="str">
        <f>IF(E593="","",IF(COUNTIF(Estructuras!F:F,E593)=0,"Falta Estructura",IF(COUNTIFS(Estructuras!F:F,E593,Estructuras!E:E,0)&gt;0,"Faltan Precios","OK")))</f>
        <v/>
      </c>
      <c r="J593" s="10" t="str">
        <f>IF(I593="Faltan Precios",COUNTIFS(Estructuras!B:B,A593,Estructuras!E:E,0),"")</f>
        <v/>
      </c>
      <c r="K593" s="8" t="str">
        <f t="shared" si="2"/>
        <v/>
      </c>
    </row>
    <row r="594">
      <c r="A594" s="4" t="str">
        <f t="shared" si="1"/>
        <v/>
      </c>
      <c r="F594" s="36" t="str">
        <f t="shared" si="4"/>
        <v/>
      </c>
      <c r="G594" s="11"/>
      <c r="H594" s="11" t="str">
        <f>IF(E594="","",SUMIF(Estructuras!B:B,A594,Estructuras!E:E))</f>
        <v/>
      </c>
      <c r="I594" s="8" t="str">
        <f>IF(E594="","",IF(COUNTIF(Estructuras!F:F,E594)=0,"Falta Estructura",IF(COUNTIFS(Estructuras!F:F,E594,Estructuras!E:E,0)&gt;0,"Faltan Precios","OK")))</f>
        <v/>
      </c>
      <c r="J594" s="10" t="str">
        <f>IF(I594="Faltan Precios",COUNTIFS(Estructuras!B:B,A594,Estructuras!E:E,0),"")</f>
        <v/>
      </c>
      <c r="K594" s="8" t="str">
        <f t="shared" si="2"/>
        <v/>
      </c>
    </row>
    <row r="595">
      <c r="A595" s="4" t="str">
        <f t="shared" si="1"/>
        <v/>
      </c>
      <c r="F595" s="36" t="str">
        <f t="shared" si="4"/>
        <v/>
      </c>
      <c r="G595" s="11"/>
      <c r="H595" s="11" t="str">
        <f>IF(E595="","",SUMIF(Estructuras!B:B,A595,Estructuras!E:E))</f>
        <v/>
      </c>
      <c r="I595" s="8" t="str">
        <f>IF(E595="","",IF(COUNTIF(Estructuras!F:F,E595)=0,"Falta Estructura",IF(COUNTIFS(Estructuras!F:F,E595,Estructuras!E:E,0)&gt;0,"Faltan Precios","OK")))</f>
        <v/>
      </c>
      <c r="J595" s="10" t="str">
        <f>IF(I595="Faltan Precios",COUNTIFS(Estructuras!B:B,A595,Estructuras!E:E,0),"")</f>
        <v/>
      </c>
      <c r="K595" s="8" t="str">
        <f t="shared" si="2"/>
        <v/>
      </c>
    </row>
    <row r="596">
      <c r="A596" s="4" t="str">
        <f t="shared" si="1"/>
        <v/>
      </c>
      <c r="F596" s="36" t="str">
        <f t="shared" si="4"/>
        <v/>
      </c>
      <c r="G596" s="11"/>
      <c r="H596" s="11" t="str">
        <f>IF(E596="","",SUMIF(Estructuras!B:B,A596,Estructuras!E:E))</f>
        <v/>
      </c>
      <c r="I596" s="8" t="str">
        <f>IF(E596="","",IF(COUNTIF(Estructuras!F:F,E596)=0,"Falta Estructura",IF(COUNTIFS(Estructuras!F:F,E596,Estructuras!E:E,0)&gt;0,"Faltan Precios","OK")))</f>
        <v/>
      </c>
      <c r="J596" s="10" t="str">
        <f>IF(I596="Faltan Precios",COUNTIFS(Estructuras!B:B,A596,Estructuras!E:E,0),"")</f>
        <v/>
      </c>
      <c r="K596" s="8" t="str">
        <f t="shared" si="2"/>
        <v/>
      </c>
    </row>
    <row r="597">
      <c r="A597" s="4" t="str">
        <f t="shared" si="1"/>
        <v/>
      </c>
      <c r="F597" s="36" t="str">
        <f t="shared" si="4"/>
        <v/>
      </c>
      <c r="G597" s="11"/>
      <c r="H597" s="11" t="str">
        <f>IF(E597="","",SUMIF(Estructuras!B:B,A597,Estructuras!E:E))</f>
        <v/>
      </c>
      <c r="I597" s="8" t="str">
        <f>IF(E597="","",IF(COUNTIF(Estructuras!F:F,E597)=0,"Falta Estructura",IF(COUNTIFS(Estructuras!F:F,E597,Estructuras!E:E,0)&gt;0,"Faltan Precios","OK")))</f>
        <v/>
      </c>
      <c r="J597" s="10" t="str">
        <f>IF(I597="Faltan Precios",COUNTIFS(Estructuras!B:B,A597,Estructuras!E:E,0),"")</f>
        <v/>
      </c>
      <c r="K597" s="8" t="str">
        <f t="shared" si="2"/>
        <v/>
      </c>
    </row>
    <row r="598">
      <c r="A598" s="4" t="str">
        <f t="shared" si="1"/>
        <v/>
      </c>
      <c r="F598" s="36" t="str">
        <f t="shared" si="4"/>
        <v/>
      </c>
      <c r="G598" s="11"/>
      <c r="H598" s="11" t="str">
        <f>IF(E598="","",SUMIF(Estructuras!B:B,A598,Estructuras!E:E))</f>
        <v/>
      </c>
      <c r="I598" s="8" t="str">
        <f>IF(E598="","",IF(COUNTIF(Estructuras!F:F,E598)=0,"Falta Estructura",IF(COUNTIFS(Estructuras!F:F,E598,Estructuras!E:E,0)&gt;0,"Faltan Precios","OK")))</f>
        <v/>
      </c>
      <c r="J598" s="10" t="str">
        <f>IF(I598="Faltan Precios",COUNTIFS(Estructuras!B:B,A598,Estructuras!E:E,0),"")</f>
        <v/>
      </c>
      <c r="K598" s="8" t="str">
        <f t="shared" si="2"/>
        <v/>
      </c>
    </row>
    <row r="599">
      <c r="A599" s="4" t="str">
        <f t="shared" si="1"/>
        <v/>
      </c>
      <c r="F599" s="36" t="str">
        <f t="shared" si="4"/>
        <v/>
      </c>
      <c r="G599" s="11"/>
      <c r="H599" s="11" t="str">
        <f>IF(E599="","",SUMIF(Estructuras!B:B,A599,Estructuras!E:E))</f>
        <v/>
      </c>
      <c r="I599" s="8" t="str">
        <f>IF(E599="","",IF(COUNTIF(Estructuras!F:F,E599)=0,"Falta Estructura",IF(COUNTIFS(Estructuras!F:F,E599,Estructuras!E:E,0)&gt;0,"Faltan Precios","OK")))</f>
        <v/>
      </c>
      <c r="J599" s="10" t="str">
        <f>IF(I599="Faltan Precios",COUNTIFS(Estructuras!B:B,A599,Estructuras!E:E,0),"")</f>
        <v/>
      </c>
      <c r="K599" s="8" t="str">
        <f t="shared" si="2"/>
        <v/>
      </c>
    </row>
    <row r="600">
      <c r="A600" s="4" t="str">
        <f t="shared" si="1"/>
        <v/>
      </c>
      <c r="F600" s="36" t="str">
        <f t="shared" si="4"/>
        <v/>
      </c>
      <c r="G600" s="11"/>
      <c r="H600" s="11" t="str">
        <f>IF(E600="","",SUMIF(Estructuras!B:B,A600,Estructuras!E:E))</f>
        <v/>
      </c>
      <c r="I600" s="8" t="str">
        <f>IF(E600="","",IF(COUNTIF(Estructuras!F:F,E600)=0,"Falta Estructura",IF(COUNTIFS(Estructuras!F:F,E600,Estructuras!E:E,0)&gt;0,"Faltan Precios","OK")))</f>
        <v/>
      </c>
      <c r="J600" s="10" t="str">
        <f>IF(I600="Faltan Precios",COUNTIFS(Estructuras!B:B,A600,Estructuras!E:E,0),"")</f>
        <v/>
      </c>
      <c r="K600" s="8" t="str">
        <f t="shared" si="2"/>
        <v/>
      </c>
    </row>
    <row r="601">
      <c r="A601" s="4" t="str">
        <f t="shared" si="1"/>
        <v/>
      </c>
      <c r="F601" s="36" t="str">
        <f t="shared" si="4"/>
        <v/>
      </c>
      <c r="G601" s="11"/>
      <c r="H601" s="11" t="str">
        <f>IF(E601="","",SUMIF(Estructuras!B:B,A601,Estructuras!E:E))</f>
        <v/>
      </c>
      <c r="I601" s="8" t="str">
        <f>IF(E601="","",IF(COUNTIF(Estructuras!F:F,E601)=0,"Falta Estructura",IF(COUNTIFS(Estructuras!F:F,E601,Estructuras!E:E,0)&gt;0,"Faltan Precios","OK")))</f>
        <v/>
      </c>
      <c r="J601" s="10" t="str">
        <f>IF(I601="Faltan Precios",COUNTIFS(Estructuras!B:B,A601,Estructuras!E:E,0),"")</f>
        <v/>
      </c>
      <c r="K601" s="8" t="str">
        <f t="shared" si="2"/>
        <v/>
      </c>
    </row>
    <row r="602">
      <c r="A602" s="4" t="str">
        <f t="shared" si="1"/>
        <v/>
      </c>
      <c r="F602" s="36" t="str">
        <f t="shared" si="4"/>
        <v/>
      </c>
      <c r="G602" s="11"/>
      <c r="H602" s="11" t="str">
        <f>IF(E602="","",SUMIF(Estructuras!B:B,A602,Estructuras!E:E))</f>
        <v/>
      </c>
      <c r="I602" s="8" t="str">
        <f>IF(E602="","",IF(COUNTIF(Estructuras!F:F,E602)=0,"Falta Estructura",IF(COUNTIFS(Estructuras!F:F,E602,Estructuras!E:E,0)&gt;0,"Faltan Precios","OK")))</f>
        <v/>
      </c>
      <c r="J602" s="10" t="str">
        <f>IF(I602="Faltan Precios",COUNTIFS(Estructuras!B:B,A602,Estructuras!E:E,0),"")</f>
        <v/>
      </c>
      <c r="K602" s="8" t="str">
        <f t="shared" si="2"/>
        <v/>
      </c>
    </row>
    <row r="603">
      <c r="A603" s="4" t="str">
        <f t="shared" si="1"/>
        <v/>
      </c>
      <c r="F603" s="36" t="str">
        <f t="shared" si="4"/>
        <v/>
      </c>
      <c r="G603" s="11"/>
      <c r="H603" s="11" t="str">
        <f>IF(E603="","",SUMIF(Estructuras!B:B,A603,Estructuras!E:E))</f>
        <v/>
      </c>
      <c r="I603" s="8" t="str">
        <f>IF(E603="","",IF(COUNTIF(Estructuras!F:F,E603)=0,"Falta Estructura",IF(COUNTIFS(Estructuras!F:F,E603,Estructuras!E:E,0)&gt;0,"Faltan Precios","OK")))</f>
        <v/>
      </c>
      <c r="J603" s="10" t="str">
        <f>IF(I603="Faltan Precios",COUNTIFS(Estructuras!B:B,A603,Estructuras!E:E,0),"")</f>
        <v/>
      </c>
      <c r="K603" s="8" t="str">
        <f t="shared" si="2"/>
        <v/>
      </c>
    </row>
    <row r="604">
      <c r="A604" s="4" t="str">
        <f t="shared" si="1"/>
        <v/>
      </c>
      <c r="F604" s="36" t="str">
        <f t="shared" si="4"/>
        <v/>
      </c>
      <c r="G604" s="11"/>
      <c r="H604" s="11" t="str">
        <f>IF(E604="","",SUMIF(Estructuras!B:B,A604,Estructuras!E:E))</f>
        <v/>
      </c>
      <c r="I604" s="8" t="str">
        <f>IF(E604="","",IF(COUNTIF(Estructuras!F:F,E604)=0,"Falta Estructura",IF(COUNTIFS(Estructuras!F:F,E604,Estructuras!E:E,0)&gt;0,"Faltan Precios","OK")))</f>
        <v/>
      </c>
      <c r="J604" s="10" t="str">
        <f>IF(I604="Faltan Precios",COUNTIFS(Estructuras!B:B,A604,Estructuras!E:E,0),"")</f>
        <v/>
      </c>
      <c r="K604" s="8" t="str">
        <f t="shared" si="2"/>
        <v/>
      </c>
    </row>
    <row r="605">
      <c r="A605" s="4" t="str">
        <f t="shared" si="1"/>
        <v/>
      </c>
      <c r="F605" s="36" t="str">
        <f t="shared" si="4"/>
        <v/>
      </c>
      <c r="G605" s="11"/>
      <c r="H605" s="11" t="str">
        <f>IF(E605="","",SUMIF(Estructuras!B:B,A605,Estructuras!E:E))</f>
        <v/>
      </c>
      <c r="I605" s="8" t="str">
        <f>IF(E605="","",IF(COUNTIF(Estructuras!F:F,E605)=0,"Falta Estructura",IF(COUNTIFS(Estructuras!F:F,E605,Estructuras!E:E,0)&gt;0,"Faltan Precios","OK")))</f>
        <v/>
      </c>
      <c r="J605" s="10" t="str">
        <f>IF(I605="Faltan Precios",COUNTIFS(Estructuras!B:B,A605,Estructuras!E:E,0),"")</f>
        <v/>
      </c>
      <c r="K605" s="8" t="str">
        <f t="shared" si="2"/>
        <v/>
      </c>
    </row>
    <row r="606">
      <c r="A606" s="4" t="str">
        <f t="shared" si="1"/>
        <v/>
      </c>
      <c r="F606" s="36" t="str">
        <f t="shared" si="4"/>
        <v/>
      </c>
      <c r="G606" s="11"/>
      <c r="H606" s="11" t="str">
        <f>IF(E606="","",SUMIF(Estructuras!B:B,A606,Estructuras!E:E))</f>
        <v/>
      </c>
      <c r="I606" s="8" t="str">
        <f>IF(E606="","",IF(COUNTIF(Estructuras!F:F,E606)=0,"Falta Estructura",IF(COUNTIFS(Estructuras!F:F,E606,Estructuras!E:E,0)&gt;0,"Faltan Precios","OK")))</f>
        <v/>
      </c>
      <c r="J606" s="10" t="str">
        <f>IF(I606="Faltan Precios",COUNTIFS(Estructuras!B:B,A606,Estructuras!E:E,0),"")</f>
        <v/>
      </c>
      <c r="K606" s="8" t="str">
        <f t="shared" si="2"/>
        <v/>
      </c>
    </row>
    <row r="607">
      <c r="A607" s="4" t="str">
        <f t="shared" si="1"/>
        <v/>
      </c>
      <c r="F607" s="36" t="str">
        <f t="shared" si="4"/>
        <v/>
      </c>
      <c r="G607" s="11"/>
      <c r="H607" s="11" t="str">
        <f>IF(E607="","",SUMIF(Estructuras!B:B,A607,Estructuras!E:E))</f>
        <v/>
      </c>
      <c r="I607" s="8" t="str">
        <f>IF(E607="","",IF(COUNTIF(Estructuras!F:F,E607)=0,"Falta Estructura",IF(COUNTIFS(Estructuras!F:F,E607,Estructuras!E:E,0)&gt;0,"Faltan Precios","OK")))</f>
        <v/>
      </c>
      <c r="J607" s="10" t="str">
        <f>IF(I607="Faltan Precios",COUNTIFS(Estructuras!B:B,A607,Estructuras!E:E,0),"")</f>
        <v/>
      </c>
      <c r="K607" s="8" t="str">
        <f t="shared" si="2"/>
        <v/>
      </c>
    </row>
    <row r="608">
      <c r="A608" s="4" t="str">
        <f t="shared" si="1"/>
        <v/>
      </c>
      <c r="F608" s="36" t="str">
        <f t="shared" si="4"/>
        <v/>
      </c>
      <c r="G608" s="11"/>
      <c r="H608" s="11" t="str">
        <f>IF(E608="","",SUMIF(Estructuras!B:B,A608,Estructuras!E:E))</f>
        <v/>
      </c>
      <c r="I608" s="8" t="str">
        <f>IF(E608="","",IF(COUNTIF(Estructuras!F:F,E608)=0,"Falta Estructura",IF(COUNTIFS(Estructuras!F:F,E608,Estructuras!E:E,0)&gt;0,"Faltan Precios","OK")))</f>
        <v/>
      </c>
      <c r="J608" s="10" t="str">
        <f>IF(I608="Faltan Precios",COUNTIFS(Estructuras!B:B,A608,Estructuras!E:E,0),"")</f>
        <v/>
      </c>
      <c r="K608" s="8" t="str">
        <f t="shared" si="2"/>
        <v/>
      </c>
    </row>
    <row r="609">
      <c r="A609" s="4" t="str">
        <f t="shared" si="1"/>
        <v/>
      </c>
      <c r="F609" s="36" t="str">
        <f t="shared" si="4"/>
        <v/>
      </c>
      <c r="G609" s="11"/>
      <c r="H609" s="11" t="str">
        <f>IF(E609="","",SUMIF(Estructuras!B:B,A609,Estructuras!E:E))</f>
        <v/>
      </c>
      <c r="I609" s="8" t="str">
        <f>IF(E609="","",IF(COUNTIF(Estructuras!F:F,E609)=0,"Falta Estructura",IF(COUNTIFS(Estructuras!F:F,E609,Estructuras!E:E,0)&gt;0,"Faltan Precios","OK")))</f>
        <v/>
      </c>
      <c r="J609" s="10" t="str">
        <f>IF(I609="Faltan Precios",COUNTIFS(Estructuras!B:B,A609,Estructuras!E:E,0),"")</f>
        <v/>
      </c>
      <c r="K609" s="8" t="str">
        <f t="shared" si="2"/>
        <v/>
      </c>
    </row>
    <row r="610">
      <c r="A610" s="4" t="str">
        <f t="shared" si="1"/>
        <v/>
      </c>
      <c r="F610" s="36" t="str">
        <f t="shared" si="4"/>
        <v/>
      </c>
      <c r="G610" s="11"/>
      <c r="H610" s="11" t="str">
        <f>IF(E610="","",SUMIF(Estructuras!B:B,A610,Estructuras!E:E))</f>
        <v/>
      </c>
      <c r="I610" s="8" t="str">
        <f>IF(E610="","",IF(COUNTIF(Estructuras!F:F,E610)=0,"Falta Estructura",IF(COUNTIFS(Estructuras!F:F,E610,Estructuras!E:E,0)&gt;0,"Faltan Precios","OK")))</f>
        <v/>
      </c>
      <c r="J610" s="10" t="str">
        <f>IF(I610="Faltan Precios",COUNTIFS(Estructuras!B:B,A610,Estructuras!E:E,0),"")</f>
        <v/>
      </c>
      <c r="K610" s="8" t="str">
        <f t="shared" si="2"/>
        <v/>
      </c>
    </row>
    <row r="611">
      <c r="A611" s="4" t="str">
        <f t="shared" si="1"/>
        <v/>
      </c>
      <c r="F611" s="36" t="str">
        <f t="shared" si="4"/>
        <v/>
      </c>
      <c r="G611" s="11"/>
      <c r="H611" s="11" t="str">
        <f>IF(E611="","",SUMIF(Estructuras!B:B,A611,Estructuras!E:E))</f>
        <v/>
      </c>
      <c r="I611" s="8" t="str">
        <f>IF(E611="","",IF(COUNTIF(Estructuras!F:F,E611)=0,"Falta Estructura",IF(COUNTIFS(Estructuras!F:F,E611,Estructuras!E:E,0)&gt;0,"Faltan Precios","OK")))</f>
        <v/>
      </c>
      <c r="J611" s="10" t="str">
        <f>IF(I611="Faltan Precios",COUNTIFS(Estructuras!B:B,A611,Estructuras!E:E,0),"")</f>
        <v/>
      </c>
      <c r="K611" s="8" t="str">
        <f t="shared" si="2"/>
        <v/>
      </c>
    </row>
    <row r="612">
      <c r="A612" s="4" t="str">
        <f t="shared" si="1"/>
        <v/>
      </c>
      <c r="F612" s="36" t="str">
        <f t="shared" si="4"/>
        <v/>
      </c>
      <c r="G612" s="11"/>
      <c r="H612" s="11" t="str">
        <f>IF(E612="","",SUMIF(Estructuras!B:B,A612,Estructuras!E:E))</f>
        <v/>
      </c>
      <c r="I612" s="8" t="str">
        <f>IF(E612="","",IF(COUNTIF(Estructuras!F:F,E612)=0,"Falta Estructura",IF(COUNTIFS(Estructuras!F:F,E612,Estructuras!E:E,0)&gt;0,"Faltan Precios","OK")))</f>
        <v/>
      </c>
      <c r="J612" s="10" t="str">
        <f>IF(I612="Faltan Precios",COUNTIFS(Estructuras!B:B,A612,Estructuras!E:E,0),"")</f>
        <v/>
      </c>
      <c r="K612" s="8" t="str">
        <f t="shared" si="2"/>
        <v/>
      </c>
    </row>
    <row r="613">
      <c r="A613" s="4" t="str">
        <f t="shared" si="1"/>
        <v/>
      </c>
      <c r="F613" s="36" t="str">
        <f t="shared" si="4"/>
        <v/>
      </c>
      <c r="G613" s="11"/>
      <c r="H613" s="11" t="str">
        <f>IF(E613="","",SUMIF(Estructuras!B:B,A613,Estructuras!E:E))</f>
        <v/>
      </c>
      <c r="I613" s="8" t="str">
        <f>IF(E613="","",IF(COUNTIF(Estructuras!F:F,E613)=0,"Falta Estructura",IF(COUNTIFS(Estructuras!F:F,E613,Estructuras!E:E,0)&gt;0,"Faltan Precios","OK")))</f>
        <v/>
      </c>
      <c r="J613" s="10" t="str">
        <f>IF(I613="Faltan Precios",COUNTIFS(Estructuras!B:B,A613,Estructuras!E:E,0),"")</f>
        <v/>
      </c>
      <c r="K613" s="8" t="str">
        <f t="shared" si="2"/>
        <v/>
      </c>
    </row>
    <row r="614">
      <c r="A614" s="4" t="str">
        <f t="shared" si="1"/>
        <v/>
      </c>
      <c r="F614" s="36" t="str">
        <f t="shared" si="4"/>
        <v/>
      </c>
      <c r="G614" s="11"/>
      <c r="H614" s="11" t="str">
        <f>IF(E614="","",SUMIF(Estructuras!B:B,A614,Estructuras!E:E))</f>
        <v/>
      </c>
      <c r="I614" s="8" t="str">
        <f>IF(E614="","",IF(COUNTIF(Estructuras!F:F,E614)=0,"Falta Estructura",IF(COUNTIFS(Estructuras!F:F,E614,Estructuras!E:E,0)&gt;0,"Faltan Precios","OK")))</f>
        <v/>
      </c>
      <c r="J614" s="10" t="str">
        <f>IF(I614="Faltan Precios",COUNTIFS(Estructuras!B:B,A614,Estructuras!E:E,0),"")</f>
        <v/>
      </c>
      <c r="K614" s="8" t="str">
        <f t="shared" si="2"/>
        <v/>
      </c>
    </row>
    <row r="615">
      <c r="A615" s="4" t="str">
        <f t="shared" si="1"/>
        <v/>
      </c>
      <c r="F615" s="36" t="str">
        <f t="shared" si="4"/>
        <v/>
      </c>
      <c r="G615" s="11"/>
      <c r="H615" s="11" t="str">
        <f>IF(E615="","",SUMIF(Estructuras!B:B,A615,Estructuras!E:E))</f>
        <v/>
      </c>
      <c r="I615" s="8" t="str">
        <f>IF(E615="","",IF(COUNTIF(Estructuras!F:F,E615)=0,"Falta Estructura",IF(COUNTIFS(Estructuras!F:F,E615,Estructuras!E:E,0)&gt;0,"Faltan Precios","OK")))</f>
        <v/>
      </c>
      <c r="J615" s="10" t="str">
        <f>IF(I615="Faltan Precios",COUNTIFS(Estructuras!B:B,A615,Estructuras!E:E,0),"")</f>
        <v/>
      </c>
      <c r="K615" s="8" t="str">
        <f t="shared" si="2"/>
        <v/>
      </c>
    </row>
    <row r="616">
      <c r="A616" s="4" t="str">
        <f t="shared" si="1"/>
        <v/>
      </c>
      <c r="F616" s="36" t="str">
        <f t="shared" si="4"/>
        <v/>
      </c>
      <c r="G616" s="11"/>
      <c r="H616" s="11" t="str">
        <f>IF(E616="","",SUMIF(Estructuras!B:B,A616,Estructuras!E:E))</f>
        <v/>
      </c>
      <c r="I616" s="8" t="str">
        <f>IF(E616="","",IF(COUNTIF(Estructuras!F:F,E616)=0,"Falta Estructura",IF(COUNTIFS(Estructuras!F:F,E616,Estructuras!E:E,0)&gt;0,"Faltan Precios","OK")))</f>
        <v/>
      </c>
      <c r="J616" s="10" t="str">
        <f>IF(I616="Faltan Precios",COUNTIFS(Estructuras!B:B,A616,Estructuras!E:E,0),"")</f>
        <v/>
      </c>
      <c r="K616" s="8" t="str">
        <f t="shared" si="2"/>
        <v/>
      </c>
    </row>
    <row r="617">
      <c r="A617" s="4" t="str">
        <f t="shared" si="1"/>
        <v/>
      </c>
      <c r="F617" s="36" t="str">
        <f t="shared" si="4"/>
        <v/>
      </c>
      <c r="G617" s="11"/>
      <c r="H617" s="11" t="str">
        <f>IF(E617="","",SUMIF(Estructuras!B:B,A617,Estructuras!E:E))</f>
        <v/>
      </c>
      <c r="I617" s="8" t="str">
        <f>IF(E617="","",IF(COUNTIF(Estructuras!F:F,E617)=0,"Falta Estructura",IF(COUNTIFS(Estructuras!F:F,E617,Estructuras!E:E,0)&gt;0,"Faltan Precios","OK")))</f>
        <v/>
      </c>
      <c r="J617" s="10" t="str">
        <f>IF(I617="Faltan Precios",COUNTIFS(Estructuras!B:B,A617,Estructuras!E:E,0),"")</f>
        <v/>
      </c>
      <c r="K617" s="8" t="str">
        <f t="shared" si="2"/>
        <v/>
      </c>
    </row>
    <row r="618">
      <c r="A618" s="4" t="str">
        <f t="shared" si="1"/>
        <v/>
      </c>
      <c r="F618" s="36" t="str">
        <f t="shared" si="4"/>
        <v/>
      </c>
      <c r="G618" s="11"/>
      <c r="H618" s="11" t="str">
        <f>IF(E618="","",SUMIF(Estructuras!B:B,A618,Estructuras!E:E))</f>
        <v/>
      </c>
      <c r="I618" s="8" t="str">
        <f>IF(E618="","",IF(COUNTIF(Estructuras!F:F,E618)=0,"Falta Estructura",IF(COUNTIFS(Estructuras!F:F,E618,Estructuras!E:E,0)&gt;0,"Faltan Precios","OK")))</f>
        <v/>
      </c>
      <c r="J618" s="10" t="str">
        <f>IF(I618="Faltan Precios",COUNTIFS(Estructuras!B:B,A618,Estructuras!E:E,0),"")</f>
        <v/>
      </c>
      <c r="K618" s="8" t="str">
        <f t="shared" si="2"/>
        <v/>
      </c>
    </row>
    <row r="619">
      <c r="A619" s="4" t="str">
        <f t="shared" si="1"/>
        <v/>
      </c>
      <c r="F619" s="36" t="str">
        <f t="shared" si="4"/>
        <v/>
      </c>
      <c r="G619" s="11"/>
      <c r="H619" s="11" t="str">
        <f>IF(E619="","",SUMIF(Estructuras!B:B,A619,Estructuras!E:E))</f>
        <v/>
      </c>
      <c r="I619" s="8" t="str">
        <f>IF(E619="","",IF(COUNTIF(Estructuras!F:F,E619)=0,"Falta Estructura",IF(COUNTIFS(Estructuras!F:F,E619,Estructuras!E:E,0)&gt;0,"Faltan Precios","OK")))</f>
        <v/>
      </c>
      <c r="J619" s="10" t="str">
        <f>IF(I619="Faltan Precios",COUNTIFS(Estructuras!B:B,A619,Estructuras!E:E,0),"")</f>
        <v/>
      </c>
      <c r="K619" s="8" t="str">
        <f t="shared" si="2"/>
        <v/>
      </c>
    </row>
    <row r="620">
      <c r="A620" s="4" t="str">
        <f t="shared" si="1"/>
        <v/>
      </c>
      <c r="F620" s="36" t="str">
        <f t="shared" si="4"/>
        <v/>
      </c>
      <c r="G620" s="11"/>
      <c r="H620" s="11" t="str">
        <f>IF(E620="","",SUMIF(Estructuras!B:B,A620,Estructuras!E:E))</f>
        <v/>
      </c>
      <c r="I620" s="8" t="str">
        <f>IF(E620="","",IF(COUNTIF(Estructuras!F:F,E620)=0,"Falta Estructura",IF(COUNTIFS(Estructuras!F:F,E620,Estructuras!E:E,0)&gt;0,"Faltan Precios","OK")))</f>
        <v/>
      </c>
      <c r="J620" s="10" t="str">
        <f>IF(I620="Faltan Precios",COUNTIFS(Estructuras!B:B,A620,Estructuras!E:E,0),"")</f>
        <v/>
      </c>
      <c r="K620" s="8" t="str">
        <f t="shared" si="2"/>
        <v/>
      </c>
    </row>
    <row r="621">
      <c r="A621" s="4" t="str">
        <f t="shared" si="1"/>
        <v/>
      </c>
      <c r="F621" s="36" t="str">
        <f t="shared" si="4"/>
        <v/>
      </c>
      <c r="G621" s="11"/>
      <c r="H621" s="11" t="str">
        <f>IF(E621="","",SUMIF(Estructuras!B:B,A621,Estructuras!E:E))</f>
        <v/>
      </c>
      <c r="I621" s="8" t="str">
        <f>IF(E621="","",IF(COUNTIF(Estructuras!F:F,E621)=0,"Falta Estructura",IF(COUNTIFS(Estructuras!F:F,E621,Estructuras!E:E,0)&gt;0,"Faltan Precios","OK")))</f>
        <v/>
      </c>
      <c r="J621" s="10" t="str">
        <f>IF(I621="Faltan Precios",COUNTIFS(Estructuras!B:B,A621,Estructuras!E:E,0),"")</f>
        <v/>
      </c>
      <c r="K621" s="8" t="str">
        <f t="shared" si="2"/>
        <v/>
      </c>
    </row>
    <row r="622">
      <c r="A622" s="4" t="str">
        <f t="shared" si="1"/>
        <v/>
      </c>
      <c r="F622" s="36" t="str">
        <f t="shared" si="4"/>
        <v/>
      </c>
      <c r="G622" s="11"/>
      <c r="H622" s="11" t="str">
        <f>IF(E622="","",SUMIF(Estructuras!B:B,A622,Estructuras!E:E))</f>
        <v/>
      </c>
      <c r="I622" s="8" t="str">
        <f>IF(E622="","",IF(COUNTIF(Estructuras!F:F,E622)=0,"Falta Estructura",IF(COUNTIFS(Estructuras!F:F,E622,Estructuras!E:E,0)&gt;0,"Faltan Precios","OK")))</f>
        <v/>
      </c>
      <c r="J622" s="10" t="str">
        <f>IF(I622="Faltan Precios",COUNTIFS(Estructuras!B:B,A622,Estructuras!E:E,0),"")</f>
        <v/>
      </c>
      <c r="K622" s="8" t="str">
        <f t="shared" si="2"/>
        <v/>
      </c>
    </row>
    <row r="623">
      <c r="A623" s="4" t="str">
        <f t="shared" si="1"/>
        <v/>
      </c>
      <c r="F623" s="36" t="str">
        <f t="shared" si="4"/>
        <v/>
      </c>
      <c r="G623" s="11"/>
      <c r="H623" s="11" t="str">
        <f>IF(E623="","",SUMIF(Estructuras!B:B,A623,Estructuras!E:E))</f>
        <v/>
      </c>
      <c r="I623" s="8" t="str">
        <f>IF(E623="","",IF(COUNTIF(Estructuras!F:F,E623)=0,"Falta Estructura",IF(COUNTIFS(Estructuras!F:F,E623,Estructuras!E:E,0)&gt;0,"Faltan Precios","OK")))</f>
        <v/>
      </c>
      <c r="J623" s="10" t="str">
        <f>IF(I623="Faltan Precios",COUNTIFS(Estructuras!B:B,A623,Estructuras!E:E,0),"")</f>
        <v/>
      </c>
      <c r="K623" s="8" t="str">
        <f t="shared" si="2"/>
        <v/>
      </c>
    </row>
    <row r="624">
      <c r="A624" s="4" t="str">
        <f t="shared" si="1"/>
        <v/>
      </c>
      <c r="F624" s="36" t="str">
        <f t="shared" si="4"/>
        <v/>
      </c>
      <c r="G624" s="11"/>
      <c r="H624" s="11" t="str">
        <f>IF(E624="","",SUMIF(Estructuras!B:B,A624,Estructuras!E:E))</f>
        <v/>
      </c>
      <c r="I624" s="8" t="str">
        <f>IF(E624="","",IF(COUNTIF(Estructuras!F:F,E624)=0,"Falta Estructura",IF(COUNTIFS(Estructuras!F:F,E624,Estructuras!E:E,0)&gt;0,"Faltan Precios","OK")))</f>
        <v/>
      </c>
      <c r="J624" s="10" t="str">
        <f>IF(I624="Faltan Precios",COUNTIFS(Estructuras!B:B,A624,Estructuras!E:E,0),"")</f>
        <v/>
      </c>
      <c r="K624" s="8" t="str">
        <f t="shared" si="2"/>
        <v/>
      </c>
    </row>
    <row r="625">
      <c r="A625" s="4" t="str">
        <f t="shared" si="1"/>
        <v/>
      </c>
      <c r="F625" s="36" t="str">
        <f t="shared" si="4"/>
        <v/>
      </c>
      <c r="G625" s="11"/>
      <c r="H625" s="11" t="str">
        <f>IF(E625="","",SUMIF(Estructuras!B:B,A625,Estructuras!E:E))</f>
        <v/>
      </c>
      <c r="I625" s="8" t="str">
        <f>IF(E625="","",IF(COUNTIF(Estructuras!F:F,E625)=0,"Falta Estructura",IF(COUNTIFS(Estructuras!F:F,E625,Estructuras!E:E,0)&gt;0,"Faltan Precios","OK")))</f>
        <v/>
      </c>
      <c r="J625" s="10" t="str">
        <f>IF(I625="Faltan Precios",COUNTIFS(Estructuras!B:B,A625,Estructuras!E:E,0),"")</f>
        <v/>
      </c>
      <c r="K625" s="8" t="str">
        <f t="shared" si="2"/>
        <v/>
      </c>
    </row>
    <row r="626">
      <c r="A626" s="4" t="str">
        <f t="shared" si="1"/>
        <v/>
      </c>
      <c r="F626" s="36" t="str">
        <f t="shared" si="4"/>
        <v/>
      </c>
      <c r="G626" s="11"/>
      <c r="H626" s="11" t="str">
        <f>IF(E626="","",SUMIF(Estructuras!B:B,A626,Estructuras!E:E))</f>
        <v/>
      </c>
      <c r="I626" s="8" t="str">
        <f>IF(E626="","",IF(COUNTIF(Estructuras!F:F,E626)=0,"Falta Estructura",IF(COUNTIFS(Estructuras!F:F,E626,Estructuras!E:E,0)&gt;0,"Faltan Precios","OK")))</f>
        <v/>
      </c>
      <c r="J626" s="10" t="str">
        <f>IF(I626="Faltan Precios",COUNTIFS(Estructuras!B:B,A626,Estructuras!E:E,0),"")</f>
        <v/>
      </c>
      <c r="K626" s="8" t="str">
        <f t="shared" si="2"/>
        <v/>
      </c>
    </row>
    <row r="627">
      <c r="A627" s="4" t="str">
        <f t="shared" si="1"/>
        <v/>
      </c>
      <c r="F627" s="36" t="str">
        <f t="shared" si="4"/>
        <v/>
      </c>
      <c r="G627" s="11"/>
      <c r="H627" s="11" t="str">
        <f>IF(E627="","",SUMIF(Estructuras!B:B,A627,Estructuras!E:E))</f>
        <v/>
      </c>
      <c r="I627" s="8" t="str">
        <f>IF(E627="","",IF(COUNTIF(Estructuras!F:F,E627)=0,"Falta Estructura",IF(COUNTIFS(Estructuras!F:F,E627,Estructuras!E:E,0)&gt;0,"Faltan Precios","OK")))</f>
        <v/>
      </c>
      <c r="J627" s="10" t="str">
        <f>IF(I627="Faltan Precios",COUNTIFS(Estructuras!B:B,A627,Estructuras!E:E,0),"")</f>
        <v/>
      </c>
      <c r="K627" s="8" t="str">
        <f t="shared" si="2"/>
        <v/>
      </c>
    </row>
    <row r="628">
      <c r="A628" s="4" t="str">
        <f t="shared" si="1"/>
        <v/>
      </c>
      <c r="F628" s="36" t="str">
        <f t="shared" si="4"/>
        <v/>
      </c>
      <c r="G628" s="11"/>
      <c r="H628" s="11" t="str">
        <f>IF(E628="","",SUMIF(Estructuras!B:B,A628,Estructuras!E:E))</f>
        <v/>
      </c>
      <c r="I628" s="8" t="str">
        <f>IF(E628="","",IF(COUNTIF(Estructuras!F:F,E628)=0,"Falta Estructura",IF(COUNTIFS(Estructuras!F:F,E628,Estructuras!E:E,0)&gt;0,"Faltan Precios","OK")))</f>
        <v/>
      </c>
      <c r="J628" s="10" t="str">
        <f>IF(I628="Faltan Precios",COUNTIFS(Estructuras!B:B,A628,Estructuras!E:E,0),"")</f>
        <v/>
      </c>
      <c r="K628" s="8" t="str">
        <f t="shared" si="2"/>
        <v/>
      </c>
    </row>
    <row r="629">
      <c r="A629" s="4" t="str">
        <f t="shared" si="1"/>
        <v/>
      </c>
      <c r="F629" s="36" t="str">
        <f t="shared" si="4"/>
        <v/>
      </c>
      <c r="G629" s="11"/>
      <c r="H629" s="11" t="str">
        <f>IF(E629="","",SUMIF(Estructuras!B:B,A629,Estructuras!E:E))</f>
        <v/>
      </c>
      <c r="I629" s="8" t="str">
        <f>IF(E629="","",IF(COUNTIF(Estructuras!F:F,E629)=0,"Falta Estructura",IF(COUNTIFS(Estructuras!F:F,E629,Estructuras!E:E,0)&gt;0,"Faltan Precios","OK")))</f>
        <v/>
      </c>
      <c r="J629" s="10" t="str">
        <f>IF(I629="Faltan Precios",COUNTIFS(Estructuras!B:B,A629,Estructuras!E:E,0),"")</f>
        <v/>
      </c>
      <c r="K629" s="8" t="str">
        <f t="shared" si="2"/>
        <v/>
      </c>
    </row>
    <row r="630">
      <c r="A630" s="4" t="str">
        <f t="shared" si="1"/>
        <v/>
      </c>
      <c r="F630" s="36" t="str">
        <f t="shared" si="4"/>
        <v/>
      </c>
      <c r="G630" s="11"/>
      <c r="H630" s="11" t="str">
        <f>IF(E630="","",SUMIF(Estructuras!B:B,A630,Estructuras!E:E))</f>
        <v/>
      </c>
      <c r="I630" s="8" t="str">
        <f>IF(E630="","",IF(COUNTIF(Estructuras!F:F,E630)=0,"Falta Estructura",IF(COUNTIFS(Estructuras!F:F,E630,Estructuras!E:E,0)&gt;0,"Faltan Precios","OK")))</f>
        <v/>
      </c>
      <c r="J630" s="10" t="str">
        <f>IF(I630="Faltan Precios",COUNTIFS(Estructuras!B:B,A630,Estructuras!E:E,0),"")</f>
        <v/>
      </c>
      <c r="K630" s="8" t="str">
        <f t="shared" si="2"/>
        <v/>
      </c>
    </row>
    <row r="631">
      <c r="A631" s="4" t="str">
        <f t="shared" si="1"/>
        <v/>
      </c>
      <c r="F631" s="36" t="str">
        <f t="shared" si="4"/>
        <v/>
      </c>
      <c r="G631" s="11"/>
      <c r="H631" s="11" t="str">
        <f>IF(E631="","",SUMIF(Estructuras!B:B,A631,Estructuras!E:E))</f>
        <v/>
      </c>
      <c r="I631" s="8" t="str">
        <f>IF(E631="","",IF(COUNTIF(Estructuras!F:F,E631)=0,"Falta Estructura",IF(COUNTIFS(Estructuras!F:F,E631,Estructuras!E:E,0)&gt;0,"Faltan Precios","OK")))</f>
        <v/>
      </c>
      <c r="J631" s="10" t="str">
        <f>IF(I631="Faltan Precios",COUNTIFS(Estructuras!B:B,A631,Estructuras!E:E,0),"")</f>
        <v/>
      </c>
      <c r="K631" s="8" t="str">
        <f t="shared" si="2"/>
        <v/>
      </c>
    </row>
    <row r="632">
      <c r="A632" s="4" t="str">
        <f t="shared" si="1"/>
        <v/>
      </c>
      <c r="F632" s="36" t="str">
        <f t="shared" si="4"/>
        <v/>
      </c>
      <c r="G632" s="11"/>
      <c r="H632" s="11" t="str">
        <f>IF(E632="","",SUMIF(Estructuras!B:B,A632,Estructuras!E:E))</f>
        <v/>
      </c>
      <c r="I632" s="8" t="str">
        <f>IF(E632="","",IF(COUNTIF(Estructuras!F:F,E632)=0,"Falta Estructura",IF(COUNTIFS(Estructuras!F:F,E632,Estructuras!E:E,0)&gt;0,"Faltan Precios","OK")))</f>
        <v/>
      </c>
      <c r="J632" s="10" t="str">
        <f>IF(I632="Faltan Precios",COUNTIFS(Estructuras!B:B,A632,Estructuras!E:E,0),"")</f>
        <v/>
      </c>
      <c r="K632" s="8" t="str">
        <f t="shared" si="2"/>
        <v/>
      </c>
    </row>
    <row r="633">
      <c r="A633" s="4" t="str">
        <f t="shared" si="1"/>
        <v/>
      </c>
      <c r="F633" s="36" t="str">
        <f t="shared" si="4"/>
        <v/>
      </c>
      <c r="G633" s="11"/>
      <c r="H633" s="11" t="str">
        <f>IF(E633="","",SUMIF(Estructuras!B:B,A633,Estructuras!E:E))</f>
        <v/>
      </c>
      <c r="I633" s="8" t="str">
        <f>IF(E633="","",IF(COUNTIF(Estructuras!F:F,E633)=0,"Falta Estructura",IF(COUNTIFS(Estructuras!F:F,E633,Estructuras!E:E,0)&gt;0,"Faltan Precios","OK")))</f>
        <v/>
      </c>
      <c r="J633" s="10" t="str">
        <f>IF(I633="Faltan Precios",COUNTIFS(Estructuras!B:B,A633,Estructuras!E:E,0),"")</f>
        <v/>
      </c>
      <c r="K633" s="8" t="str">
        <f t="shared" si="2"/>
        <v/>
      </c>
    </row>
    <row r="634">
      <c r="A634" s="4" t="str">
        <f t="shared" si="1"/>
        <v/>
      </c>
      <c r="F634" s="36" t="str">
        <f t="shared" si="4"/>
        <v/>
      </c>
      <c r="G634" s="11"/>
      <c r="H634" s="11" t="str">
        <f>IF(E634="","",SUMIF(Estructuras!B:B,A634,Estructuras!E:E))</f>
        <v/>
      </c>
      <c r="I634" s="8" t="str">
        <f>IF(E634="","",IF(COUNTIF(Estructuras!F:F,E634)=0,"Falta Estructura",IF(COUNTIFS(Estructuras!F:F,E634,Estructuras!E:E,0)&gt;0,"Faltan Precios","OK")))</f>
        <v/>
      </c>
      <c r="J634" s="10" t="str">
        <f>IF(I634="Faltan Precios",COUNTIFS(Estructuras!B:B,A634,Estructuras!E:E,0),"")</f>
        <v/>
      </c>
      <c r="K634" s="8" t="str">
        <f t="shared" si="2"/>
        <v/>
      </c>
    </row>
    <row r="635">
      <c r="A635" s="4" t="str">
        <f t="shared" si="1"/>
        <v/>
      </c>
      <c r="F635" s="36" t="str">
        <f t="shared" si="4"/>
        <v/>
      </c>
      <c r="G635" s="11"/>
      <c r="H635" s="11" t="str">
        <f>IF(E635="","",SUMIF(Estructuras!B:B,A635,Estructuras!E:E))</f>
        <v/>
      </c>
      <c r="I635" s="8" t="str">
        <f>IF(E635="","",IF(COUNTIF(Estructuras!F:F,E635)=0,"Falta Estructura",IF(COUNTIFS(Estructuras!F:F,E635,Estructuras!E:E,0)&gt;0,"Faltan Precios","OK")))</f>
        <v/>
      </c>
      <c r="J635" s="10" t="str">
        <f>IF(I635="Faltan Precios",COUNTIFS(Estructuras!B:B,A635,Estructuras!E:E,0),"")</f>
        <v/>
      </c>
      <c r="K635" s="8" t="str">
        <f t="shared" si="2"/>
        <v/>
      </c>
    </row>
    <row r="636">
      <c r="A636" s="4" t="str">
        <f t="shared" si="1"/>
        <v/>
      </c>
      <c r="F636" s="36" t="str">
        <f t="shared" si="4"/>
        <v/>
      </c>
      <c r="G636" s="11"/>
      <c r="H636" s="11" t="str">
        <f>IF(E636="","",SUMIF(Estructuras!B:B,A636,Estructuras!E:E))</f>
        <v/>
      </c>
      <c r="I636" s="8" t="str">
        <f>IF(E636="","",IF(COUNTIF(Estructuras!F:F,E636)=0,"Falta Estructura",IF(COUNTIFS(Estructuras!F:F,E636,Estructuras!E:E,0)&gt;0,"Faltan Precios","OK")))</f>
        <v/>
      </c>
      <c r="J636" s="10" t="str">
        <f>IF(I636="Faltan Precios",COUNTIFS(Estructuras!B:B,A636,Estructuras!E:E,0),"")</f>
        <v/>
      </c>
      <c r="K636" s="8" t="str">
        <f t="shared" si="2"/>
        <v/>
      </c>
    </row>
    <row r="637">
      <c r="A637" s="4" t="str">
        <f t="shared" si="1"/>
        <v/>
      </c>
      <c r="F637" s="36" t="str">
        <f t="shared" si="4"/>
        <v/>
      </c>
      <c r="G637" s="11"/>
      <c r="H637" s="11" t="str">
        <f>IF(E637="","",SUMIF(Estructuras!B:B,A637,Estructuras!E:E))</f>
        <v/>
      </c>
      <c r="I637" s="8" t="str">
        <f>IF(E637="","",IF(COUNTIF(Estructuras!F:F,E637)=0,"Falta Estructura",IF(COUNTIFS(Estructuras!F:F,E637,Estructuras!E:E,0)&gt;0,"Faltan Precios","OK")))</f>
        <v/>
      </c>
      <c r="J637" s="10" t="str">
        <f>IF(I637="Faltan Precios",COUNTIFS(Estructuras!B:B,A637,Estructuras!E:E,0),"")</f>
        <v/>
      </c>
      <c r="K637" s="8" t="str">
        <f t="shared" si="2"/>
        <v/>
      </c>
    </row>
    <row r="638">
      <c r="A638" s="4" t="str">
        <f t="shared" si="1"/>
        <v/>
      </c>
      <c r="F638" s="36" t="str">
        <f t="shared" si="4"/>
        <v/>
      </c>
      <c r="G638" s="11"/>
      <c r="H638" s="11" t="str">
        <f>IF(E638="","",SUMIF(Estructuras!B:B,A638,Estructuras!E:E))</f>
        <v/>
      </c>
      <c r="I638" s="8" t="str">
        <f>IF(E638="","",IF(COUNTIF(Estructuras!F:F,E638)=0,"Falta Estructura",IF(COUNTIFS(Estructuras!F:F,E638,Estructuras!E:E,0)&gt;0,"Faltan Precios","OK")))</f>
        <v/>
      </c>
      <c r="J638" s="10" t="str">
        <f>IF(I638="Faltan Precios",COUNTIFS(Estructuras!B:B,A638,Estructuras!E:E,0),"")</f>
        <v/>
      </c>
      <c r="K638" s="8" t="str">
        <f t="shared" si="2"/>
        <v/>
      </c>
    </row>
    <row r="639">
      <c r="A639" s="4" t="str">
        <f t="shared" si="1"/>
        <v/>
      </c>
      <c r="F639" s="36" t="str">
        <f t="shared" si="4"/>
        <v/>
      </c>
      <c r="G639" s="11"/>
      <c r="H639" s="11" t="str">
        <f>IF(E639="","",SUMIF(Estructuras!B:B,A639,Estructuras!E:E))</f>
        <v/>
      </c>
      <c r="I639" s="8" t="str">
        <f>IF(E639="","",IF(COUNTIF(Estructuras!F:F,E639)=0,"Falta Estructura",IF(COUNTIFS(Estructuras!F:F,E639,Estructuras!E:E,0)&gt;0,"Faltan Precios","OK")))</f>
        <v/>
      </c>
      <c r="J639" s="10" t="str">
        <f>IF(I639="Faltan Precios",COUNTIFS(Estructuras!B:B,A639,Estructuras!E:E,0),"")</f>
        <v/>
      </c>
      <c r="K639" s="8" t="str">
        <f t="shared" si="2"/>
        <v/>
      </c>
    </row>
    <row r="640">
      <c r="A640" s="4" t="str">
        <f t="shared" si="1"/>
        <v/>
      </c>
      <c r="F640" s="36" t="str">
        <f t="shared" si="4"/>
        <v/>
      </c>
      <c r="G640" s="11"/>
      <c r="H640" s="11" t="str">
        <f>IF(E640="","",SUMIF(Estructuras!B:B,A640,Estructuras!E:E))</f>
        <v/>
      </c>
      <c r="I640" s="8" t="str">
        <f>IF(E640="","",IF(COUNTIF(Estructuras!F:F,E640)=0,"Falta Estructura",IF(COUNTIFS(Estructuras!F:F,E640,Estructuras!E:E,0)&gt;0,"Faltan Precios","OK")))</f>
        <v/>
      </c>
      <c r="J640" s="10" t="str">
        <f>IF(I640="Faltan Precios",COUNTIFS(Estructuras!B:B,A640,Estructuras!E:E,0),"")</f>
        <v/>
      </c>
      <c r="K640" s="8" t="str">
        <f t="shared" si="2"/>
        <v/>
      </c>
    </row>
    <row r="641">
      <c r="A641" s="4" t="str">
        <f t="shared" si="1"/>
        <v/>
      </c>
      <c r="F641" s="36" t="str">
        <f t="shared" si="4"/>
        <v/>
      </c>
      <c r="G641" s="11"/>
      <c r="H641" s="11" t="str">
        <f>IF(E641="","",SUMIF(Estructuras!B:B,A641,Estructuras!E:E))</f>
        <v/>
      </c>
      <c r="I641" s="8" t="str">
        <f>IF(E641="","",IF(COUNTIF(Estructuras!F:F,E641)=0,"Falta Estructura",IF(COUNTIFS(Estructuras!F:F,E641,Estructuras!E:E,0)&gt;0,"Faltan Precios","OK")))</f>
        <v/>
      </c>
      <c r="J641" s="10" t="str">
        <f>IF(I641="Faltan Precios",COUNTIFS(Estructuras!B:B,A641,Estructuras!E:E,0),"")</f>
        <v/>
      </c>
      <c r="K641" s="8" t="str">
        <f t="shared" si="2"/>
        <v/>
      </c>
    </row>
    <row r="642">
      <c r="A642" s="4" t="str">
        <f t="shared" si="1"/>
        <v/>
      </c>
      <c r="F642" s="36" t="str">
        <f t="shared" si="4"/>
        <v/>
      </c>
      <c r="G642" s="11"/>
      <c r="H642" s="11" t="str">
        <f>IF(E642="","",SUMIF(Estructuras!B:B,A642,Estructuras!E:E))</f>
        <v/>
      </c>
      <c r="I642" s="8" t="str">
        <f>IF(E642="","",IF(COUNTIF(Estructuras!F:F,E642)=0,"Falta Estructura",IF(COUNTIFS(Estructuras!F:F,E642,Estructuras!E:E,0)&gt;0,"Faltan Precios","OK")))</f>
        <v/>
      </c>
      <c r="J642" s="10" t="str">
        <f>IF(I642="Faltan Precios",COUNTIFS(Estructuras!B:B,A642,Estructuras!E:E,0),"")</f>
        <v/>
      </c>
      <c r="K642" s="8" t="str">
        <f t="shared" si="2"/>
        <v/>
      </c>
    </row>
    <row r="643">
      <c r="A643" s="4" t="str">
        <f t="shared" si="1"/>
        <v/>
      </c>
      <c r="F643" s="36" t="str">
        <f t="shared" si="4"/>
        <v/>
      </c>
      <c r="G643" s="11"/>
      <c r="H643" s="11" t="str">
        <f>IF(E643="","",SUMIF(Estructuras!B:B,A643,Estructuras!E:E))</f>
        <v/>
      </c>
      <c r="I643" s="8" t="str">
        <f>IF(E643="","",IF(COUNTIF(Estructuras!F:F,E643)=0,"Falta Estructura",IF(COUNTIFS(Estructuras!F:F,E643,Estructuras!E:E,0)&gt;0,"Faltan Precios","OK")))</f>
        <v/>
      </c>
      <c r="J643" s="10" t="str">
        <f>IF(I643="Faltan Precios",COUNTIFS(Estructuras!B:B,A643,Estructuras!E:E,0),"")</f>
        <v/>
      </c>
      <c r="K643" s="8" t="str">
        <f t="shared" si="2"/>
        <v/>
      </c>
    </row>
    <row r="644">
      <c r="A644" s="4" t="str">
        <f t="shared" si="1"/>
        <v/>
      </c>
      <c r="F644" s="36" t="str">
        <f t="shared" si="4"/>
        <v/>
      </c>
      <c r="G644" s="11"/>
      <c r="H644" s="11" t="str">
        <f>IF(E644="","",SUMIF(Estructuras!B:B,A644,Estructuras!E:E))</f>
        <v/>
      </c>
      <c r="I644" s="8" t="str">
        <f>IF(E644="","",IF(COUNTIF(Estructuras!F:F,E644)=0,"Falta Estructura",IF(COUNTIFS(Estructuras!F:F,E644,Estructuras!E:E,0)&gt;0,"Faltan Precios","OK")))</f>
        <v/>
      </c>
      <c r="J644" s="10" t="str">
        <f>IF(I644="Faltan Precios",COUNTIFS(Estructuras!B:B,A644,Estructuras!E:E,0),"")</f>
        <v/>
      </c>
      <c r="K644" s="8" t="str">
        <f t="shared" si="2"/>
        <v/>
      </c>
    </row>
    <row r="645">
      <c r="A645" s="4" t="str">
        <f t="shared" si="1"/>
        <v/>
      </c>
      <c r="F645" s="36" t="str">
        <f t="shared" si="4"/>
        <v/>
      </c>
      <c r="G645" s="11"/>
      <c r="H645" s="11" t="str">
        <f>IF(E645="","",SUMIF(Estructuras!B:B,A645,Estructuras!E:E))</f>
        <v/>
      </c>
      <c r="I645" s="8" t="str">
        <f>IF(E645="","",IF(COUNTIF(Estructuras!F:F,E645)=0,"Falta Estructura",IF(COUNTIFS(Estructuras!F:F,E645,Estructuras!E:E,0)&gt;0,"Faltan Precios","OK")))</f>
        <v/>
      </c>
      <c r="J645" s="10" t="str">
        <f>IF(I645="Faltan Precios",COUNTIFS(Estructuras!B:B,A645,Estructuras!E:E,0),"")</f>
        <v/>
      </c>
      <c r="K645" s="8" t="str">
        <f t="shared" si="2"/>
        <v/>
      </c>
    </row>
    <row r="646">
      <c r="A646" s="4" t="str">
        <f t="shared" si="1"/>
        <v/>
      </c>
      <c r="F646" s="36" t="str">
        <f t="shared" si="4"/>
        <v/>
      </c>
      <c r="G646" s="11"/>
      <c r="H646" s="11" t="str">
        <f>IF(E646="","",SUMIF(Estructuras!B:B,A646,Estructuras!E:E))</f>
        <v/>
      </c>
      <c r="I646" s="8" t="str">
        <f>IF(E646="","",IF(COUNTIF(Estructuras!F:F,E646)=0,"Falta Estructura",IF(COUNTIFS(Estructuras!F:F,E646,Estructuras!E:E,0)&gt;0,"Faltan Precios","OK")))</f>
        <v/>
      </c>
      <c r="J646" s="10" t="str">
        <f>IF(I646="Faltan Precios",COUNTIFS(Estructuras!B:B,A646,Estructuras!E:E,0),"")</f>
        <v/>
      </c>
      <c r="K646" s="8" t="str">
        <f t="shared" si="2"/>
        <v/>
      </c>
    </row>
    <row r="647">
      <c r="A647" s="4" t="str">
        <f t="shared" si="1"/>
        <v/>
      </c>
      <c r="F647" s="36" t="str">
        <f t="shared" si="4"/>
        <v/>
      </c>
      <c r="G647" s="11"/>
      <c r="H647" s="11" t="str">
        <f>IF(E647="","",SUMIF(Estructuras!B:B,A647,Estructuras!E:E))</f>
        <v/>
      </c>
      <c r="I647" s="8" t="str">
        <f>IF(E647="","",IF(COUNTIF(Estructuras!F:F,E647)=0,"Falta Estructura",IF(COUNTIFS(Estructuras!F:F,E647,Estructuras!E:E,0)&gt;0,"Faltan Precios","OK")))</f>
        <v/>
      </c>
      <c r="J647" s="10" t="str">
        <f>IF(I647="Faltan Precios",COUNTIFS(Estructuras!B:B,A647,Estructuras!E:E,0),"")</f>
        <v/>
      </c>
      <c r="K647" s="8" t="str">
        <f t="shared" si="2"/>
        <v/>
      </c>
    </row>
    <row r="648">
      <c r="A648" s="4" t="str">
        <f t="shared" si="1"/>
        <v/>
      </c>
      <c r="F648" s="36" t="str">
        <f t="shared" si="4"/>
        <v/>
      </c>
      <c r="G648" s="11"/>
      <c r="H648" s="11" t="str">
        <f>IF(E648="","",SUMIF(Estructuras!B:B,A648,Estructuras!E:E))</f>
        <v/>
      </c>
      <c r="I648" s="8" t="str">
        <f>IF(E648="","",IF(COUNTIF(Estructuras!F:F,E648)=0,"Falta Estructura",IF(COUNTIFS(Estructuras!F:F,E648,Estructuras!E:E,0)&gt;0,"Faltan Precios","OK")))</f>
        <v/>
      </c>
      <c r="J648" s="10" t="str">
        <f>IF(I648="Faltan Precios",COUNTIFS(Estructuras!B:B,A648,Estructuras!E:E,0),"")</f>
        <v/>
      </c>
      <c r="K648" s="8" t="str">
        <f t="shared" si="2"/>
        <v/>
      </c>
    </row>
    <row r="649">
      <c r="A649" s="4" t="str">
        <f t="shared" si="1"/>
        <v/>
      </c>
      <c r="F649" s="36" t="str">
        <f t="shared" si="4"/>
        <v/>
      </c>
      <c r="G649" s="11"/>
      <c r="H649" s="11" t="str">
        <f>IF(E649="","",SUMIF(Estructuras!B:B,A649,Estructuras!E:E))</f>
        <v/>
      </c>
      <c r="I649" s="8" t="str">
        <f>IF(E649="","",IF(COUNTIF(Estructuras!F:F,E649)=0,"Falta Estructura",IF(COUNTIFS(Estructuras!F:F,E649,Estructuras!E:E,0)&gt;0,"Faltan Precios","OK")))</f>
        <v/>
      </c>
      <c r="J649" s="10" t="str">
        <f>IF(I649="Faltan Precios",COUNTIFS(Estructuras!B:B,A649,Estructuras!E:E,0),"")</f>
        <v/>
      </c>
      <c r="K649" s="8" t="str">
        <f t="shared" si="2"/>
        <v/>
      </c>
    </row>
    <row r="650">
      <c r="A650" s="4" t="str">
        <f t="shared" si="1"/>
        <v/>
      </c>
      <c r="F650" s="36" t="str">
        <f t="shared" si="4"/>
        <v/>
      </c>
      <c r="G650" s="11"/>
      <c r="H650" s="11" t="str">
        <f>IF(E650="","",SUMIF(Estructuras!B:B,A650,Estructuras!E:E))</f>
        <v/>
      </c>
      <c r="I650" s="8" t="str">
        <f>IF(E650="","",IF(COUNTIF(Estructuras!F:F,E650)=0,"Falta Estructura",IF(COUNTIFS(Estructuras!F:F,E650,Estructuras!E:E,0)&gt;0,"Faltan Precios","OK")))</f>
        <v/>
      </c>
      <c r="J650" s="10" t="str">
        <f>IF(I650="Faltan Precios",COUNTIFS(Estructuras!B:B,A650,Estructuras!E:E,0),"")</f>
        <v/>
      </c>
      <c r="K650" s="8" t="str">
        <f t="shared" si="2"/>
        <v/>
      </c>
    </row>
    <row r="651">
      <c r="A651" s="4" t="str">
        <f t="shared" si="1"/>
        <v/>
      </c>
      <c r="F651" s="36" t="str">
        <f t="shared" si="4"/>
        <v/>
      </c>
      <c r="G651" s="11"/>
      <c r="H651" s="11" t="str">
        <f>IF(E651="","",SUMIF(Estructuras!B:B,A651,Estructuras!E:E))</f>
        <v/>
      </c>
      <c r="I651" s="8" t="str">
        <f>IF(E651="","",IF(COUNTIF(Estructuras!F:F,E651)=0,"Falta Estructura",IF(COUNTIFS(Estructuras!F:F,E651,Estructuras!E:E,0)&gt;0,"Faltan Precios","OK")))</f>
        <v/>
      </c>
      <c r="J651" s="10" t="str">
        <f>IF(I651="Faltan Precios",COUNTIFS(Estructuras!B:B,A651,Estructuras!E:E,0),"")</f>
        <v/>
      </c>
      <c r="K651" s="8" t="str">
        <f t="shared" si="2"/>
        <v/>
      </c>
    </row>
    <row r="652">
      <c r="A652" s="4" t="str">
        <f t="shared" si="1"/>
        <v/>
      </c>
      <c r="F652" s="36" t="str">
        <f t="shared" si="4"/>
        <v/>
      </c>
      <c r="G652" s="11"/>
      <c r="H652" s="11" t="str">
        <f>IF(E652="","",SUMIF(Estructuras!B:B,A652,Estructuras!E:E))</f>
        <v/>
      </c>
      <c r="I652" s="8" t="str">
        <f>IF(E652="","",IF(COUNTIF(Estructuras!F:F,E652)=0,"Falta Estructura",IF(COUNTIFS(Estructuras!F:F,E652,Estructuras!E:E,0)&gt;0,"Faltan Precios","OK")))</f>
        <v/>
      </c>
      <c r="J652" s="10" t="str">
        <f>IF(I652="Faltan Precios",COUNTIFS(Estructuras!B:B,A652,Estructuras!E:E,0),"")</f>
        <v/>
      </c>
      <c r="K652" s="8" t="str">
        <f t="shared" si="2"/>
        <v/>
      </c>
    </row>
    <row r="653">
      <c r="A653" s="4" t="str">
        <f t="shared" si="1"/>
        <v/>
      </c>
      <c r="F653" s="36" t="str">
        <f t="shared" si="4"/>
        <v/>
      </c>
      <c r="G653" s="11"/>
      <c r="H653" s="11" t="str">
        <f>IF(E653="","",SUMIF(Estructuras!B:B,A653,Estructuras!E:E))</f>
        <v/>
      </c>
      <c r="I653" s="8" t="str">
        <f>IF(E653="","",IF(COUNTIF(Estructuras!F:F,E653)=0,"Falta Estructura",IF(COUNTIFS(Estructuras!F:F,E653,Estructuras!E:E,0)&gt;0,"Faltan Precios","OK")))</f>
        <v/>
      </c>
      <c r="J653" s="10" t="str">
        <f>IF(I653="Faltan Precios",COUNTIFS(Estructuras!B:B,A653,Estructuras!E:E,0),"")</f>
        <v/>
      </c>
      <c r="K653" s="8" t="str">
        <f t="shared" si="2"/>
        <v/>
      </c>
    </row>
    <row r="654">
      <c r="A654" s="4" t="str">
        <f t="shared" si="1"/>
        <v/>
      </c>
      <c r="F654" s="36" t="str">
        <f t="shared" si="4"/>
        <v/>
      </c>
      <c r="G654" s="11"/>
      <c r="H654" s="11" t="str">
        <f>IF(E654="","",SUMIF(Estructuras!B:B,A654,Estructuras!E:E))</f>
        <v/>
      </c>
      <c r="I654" s="8" t="str">
        <f>IF(E654="","",IF(COUNTIF(Estructuras!F:F,E654)=0,"Falta Estructura",IF(COUNTIFS(Estructuras!F:F,E654,Estructuras!E:E,0)&gt;0,"Faltan Precios","OK")))</f>
        <v/>
      </c>
      <c r="J654" s="10" t="str">
        <f>IF(I654="Faltan Precios",COUNTIFS(Estructuras!B:B,A654,Estructuras!E:E,0),"")</f>
        <v/>
      </c>
      <c r="K654" s="8" t="str">
        <f t="shared" si="2"/>
        <v/>
      </c>
    </row>
    <row r="655">
      <c r="A655" s="4" t="str">
        <f t="shared" si="1"/>
        <v/>
      </c>
      <c r="F655" s="36" t="str">
        <f t="shared" si="4"/>
        <v/>
      </c>
      <c r="G655" s="11"/>
      <c r="H655" s="11" t="str">
        <f>IF(E655="","",SUMIF(Estructuras!B:B,A655,Estructuras!E:E))</f>
        <v/>
      </c>
      <c r="I655" s="8" t="str">
        <f>IF(E655="","",IF(COUNTIF(Estructuras!F:F,E655)=0,"Falta Estructura",IF(COUNTIFS(Estructuras!F:F,E655,Estructuras!E:E,0)&gt;0,"Faltan Precios","OK")))</f>
        <v/>
      </c>
      <c r="J655" s="10" t="str">
        <f>IF(I655="Faltan Precios",COUNTIFS(Estructuras!B:B,A655,Estructuras!E:E,0),"")</f>
        <v/>
      </c>
      <c r="K655" s="8" t="str">
        <f t="shared" si="2"/>
        <v/>
      </c>
    </row>
    <row r="656">
      <c r="A656" s="4" t="str">
        <f t="shared" si="1"/>
        <v/>
      </c>
      <c r="F656" s="36" t="str">
        <f t="shared" si="4"/>
        <v/>
      </c>
      <c r="G656" s="11"/>
      <c r="H656" s="11" t="str">
        <f>IF(E656="","",SUMIF(Estructuras!B:B,A656,Estructuras!E:E))</f>
        <v/>
      </c>
      <c r="I656" s="8" t="str">
        <f>IF(E656="","",IF(COUNTIF(Estructuras!F:F,E656)=0,"Falta Estructura",IF(COUNTIFS(Estructuras!F:F,E656,Estructuras!E:E,0)&gt;0,"Faltan Precios","OK")))</f>
        <v/>
      </c>
      <c r="J656" s="10" t="str">
        <f>IF(I656="Faltan Precios",COUNTIFS(Estructuras!B:B,A656,Estructuras!E:E,0),"")</f>
        <v/>
      </c>
      <c r="K656" s="8" t="str">
        <f t="shared" si="2"/>
        <v/>
      </c>
    </row>
    <row r="657">
      <c r="A657" s="4" t="str">
        <f t="shared" si="1"/>
        <v/>
      </c>
      <c r="F657" s="36" t="str">
        <f t="shared" si="4"/>
        <v/>
      </c>
      <c r="G657" s="11"/>
      <c r="H657" s="11" t="str">
        <f>IF(E657="","",SUMIF(Estructuras!B:B,A657,Estructuras!E:E))</f>
        <v/>
      </c>
      <c r="I657" s="8" t="str">
        <f>IF(E657="","",IF(COUNTIF(Estructuras!F:F,E657)=0,"Falta Estructura",IF(COUNTIFS(Estructuras!F:F,E657,Estructuras!E:E,0)&gt;0,"Faltan Precios","OK")))</f>
        <v/>
      </c>
      <c r="J657" s="10" t="str">
        <f>IF(I657="Faltan Precios",COUNTIFS(Estructuras!B:B,A657,Estructuras!E:E,0),"")</f>
        <v/>
      </c>
      <c r="K657" s="8" t="str">
        <f t="shared" si="2"/>
        <v/>
      </c>
    </row>
    <row r="658">
      <c r="A658" s="4" t="str">
        <f t="shared" si="1"/>
        <v/>
      </c>
      <c r="F658" s="36" t="str">
        <f t="shared" si="4"/>
        <v/>
      </c>
      <c r="G658" s="11"/>
      <c r="H658" s="11" t="str">
        <f>IF(E658="","",SUMIF(Estructuras!B:B,A658,Estructuras!E:E))</f>
        <v/>
      </c>
      <c r="I658" s="8" t="str">
        <f>IF(E658="","",IF(COUNTIF(Estructuras!F:F,E658)=0,"Falta Estructura",IF(COUNTIFS(Estructuras!F:F,E658,Estructuras!E:E,0)&gt;0,"Faltan Precios","OK")))</f>
        <v/>
      </c>
      <c r="J658" s="10" t="str">
        <f>IF(I658="Faltan Precios",COUNTIFS(Estructuras!B:B,A658,Estructuras!E:E,0),"")</f>
        <v/>
      </c>
      <c r="K658" s="8" t="str">
        <f t="shared" si="2"/>
        <v/>
      </c>
    </row>
    <row r="659">
      <c r="A659" s="4" t="str">
        <f t="shared" si="1"/>
        <v/>
      </c>
      <c r="F659" s="36" t="str">
        <f t="shared" si="4"/>
        <v/>
      </c>
      <c r="G659" s="11"/>
      <c r="H659" s="11" t="str">
        <f>IF(E659="","",SUMIF(Estructuras!B:B,A659,Estructuras!E:E))</f>
        <v/>
      </c>
      <c r="I659" s="8" t="str">
        <f>IF(E659="","",IF(COUNTIF(Estructuras!F:F,E659)=0,"Falta Estructura",IF(COUNTIFS(Estructuras!F:F,E659,Estructuras!E:E,0)&gt;0,"Faltan Precios","OK")))</f>
        <v/>
      </c>
      <c r="J659" s="10" t="str">
        <f>IF(I659="Faltan Precios",COUNTIFS(Estructuras!B:B,A659,Estructuras!E:E,0),"")</f>
        <v/>
      </c>
      <c r="K659" s="8" t="str">
        <f t="shared" si="2"/>
        <v/>
      </c>
    </row>
    <row r="660">
      <c r="A660" s="4" t="str">
        <f t="shared" si="1"/>
        <v/>
      </c>
      <c r="F660" s="36" t="str">
        <f t="shared" si="4"/>
        <v/>
      </c>
      <c r="G660" s="11"/>
      <c r="H660" s="11" t="str">
        <f>IF(E660="","",SUMIF(Estructuras!B:B,A660,Estructuras!E:E))</f>
        <v/>
      </c>
      <c r="I660" s="8" t="str">
        <f>IF(E660="","",IF(COUNTIF(Estructuras!F:F,E660)=0,"Falta Estructura",IF(COUNTIFS(Estructuras!F:F,E660,Estructuras!E:E,0)&gt;0,"Faltan Precios","OK")))</f>
        <v/>
      </c>
      <c r="J660" s="10" t="str">
        <f>IF(I660="Faltan Precios",COUNTIFS(Estructuras!B:B,A660,Estructuras!E:E,0),"")</f>
        <v/>
      </c>
      <c r="K660" s="8" t="str">
        <f t="shared" si="2"/>
        <v/>
      </c>
    </row>
    <row r="661">
      <c r="A661" s="4" t="str">
        <f t="shared" si="1"/>
        <v/>
      </c>
      <c r="F661" s="36" t="str">
        <f t="shared" si="4"/>
        <v/>
      </c>
      <c r="G661" s="11"/>
      <c r="H661" s="11" t="str">
        <f>IF(E661="","",SUMIF(Estructuras!B:B,A661,Estructuras!E:E))</f>
        <v/>
      </c>
      <c r="I661" s="8" t="str">
        <f>IF(E661="","",IF(COUNTIF(Estructuras!F:F,E661)=0,"Falta Estructura",IF(COUNTIFS(Estructuras!F:F,E661,Estructuras!E:E,0)&gt;0,"Faltan Precios","OK")))</f>
        <v/>
      </c>
      <c r="J661" s="10" t="str">
        <f>IF(I661="Faltan Precios",COUNTIFS(Estructuras!B:B,A661,Estructuras!E:E,0),"")</f>
        <v/>
      </c>
      <c r="K661" s="8" t="str">
        <f t="shared" si="2"/>
        <v/>
      </c>
    </row>
    <row r="662">
      <c r="A662" s="4" t="str">
        <f t="shared" si="1"/>
        <v/>
      </c>
      <c r="F662" s="36" t="str">
        <f t="shared" si="4"/>
        <v/>
      </c>
      <c r="G662" s="11"/>
      <c r="H662" s="11" t="str">
        <f>IF(E662="","",SUMIF(Estructuras!B:B,A662,Estructuras!E:E))</f>
        <v/>
      </c>
      <c r="I662" s="8" t="str">
        <f>IF(E662="","",IF(COUNTIF(Estructuras!F:F,E662)=0,"Falta Estructura",IF(COUNTIFS(Estructuras!F:F,E662,Estructuras!E:E,0)&gt;0,"Faltan Precios","OK")))</f>
        <v/>
      </c>
      <c r="J662" s="10" t="str">
        <f>IF(I662="Faltan Precios",COUNTIFS(Estructuras!B:B,A662,Estructuras!E:E,0),"")</f>
        <v/>
      </c>
      <c r="K662" s="8" t="str">
        <f t="shared" si="2"/>
        <v/>
      </c>
    </row>
    <row r="663">
      <c r="A663" s="4" t="str">
        <f t="shared" si="1"/>
        <v/>
      </c>
      <c r="F663" s="36" t="str">
        <f t="shared" si="4"/>
        <v/>
      </c>
      <c r="G663" s="11"/>
      <c r="H663" s="11" t="str">
        <f>IF(E663="","",SUMIF(Estructuras!B:B,A663,Estructuras!E:E))</f>
        <v/>
      </c>
      <c r="I663" s="8" t="str">
        <f>IF(E663="","",IF(COUNTIF(Estructuras!F:F,E663)=0,"Falta Estructura",IF(COUNTIFS(Estructuras!F:F,E663,Estructuras!E:E,0)&gt;0,"Faltan Precios","OK")))</f>
        <v/>
      </c>
      <c r="J663" s="10" t="str">
        <f>IF(I663="Faltan Precios",COUNTIFS(Estructuras!B:B,A663,Estructuras!E:E,0),"")</f>
        <v/>
      </c>
      <c r="K663" s="8" t="str">
        <f t="shared" si="2"/>
        <v/>
      </c>
    </row>
    <row r="664">
      <c r="A664" s="4" t="str">
        <f t="shared" si="1"/>
        <v/>
      </c>
      <c r="F664" s="36" t="str">
        <f t="shared" si="4"/>
        <v/>
      </c>
      <c r="G664" s="11"/>
      <c r="H664" s="11" t="str">
        <f>IF(E664="","",SUMIF(Estructuras!B:B,A664,Estructuras!E:E))</f>
        <v/>
      </c>
      <c r="I664" s="8" t="str">
        <f>IF(E664="","",IF(COUNTIF(Estructuras!F:F,E664)=0,"Falta Estructura",IF(COUNTIFS(Estructuras!F:F,E664,Estructuras!E:E,0)&gt;0,"Faltan Precios","OK")))</f>
        <v/>
      </c>
      <c r="J664" s="10" t="str">
        <f>IF(I664="Faltan Precios",COUNTIFS(Estructuras!B:B,A664,Estructuras!E:E,0),"")</f>
        <v/>
      </c>
      <c r="K664" s="8" t="str">
        <f t="shared" si="2"/>
        <v/>
      </c>
    </row>
    <row r="665">
      <c r="A665" s="4" t="str">
        <f t="shared" si="1"/>
        <v/>
      </c>
      <c r="F665" s="36" t="str">
        <f t="shared" si="4"/>
        <v/>
      </c>
      <c r="G665" s="11"/>
      <c r="H665" s="11" t="str">
        <f>IF(E665="","",SUMIF(Estructuras!B:B,A665,Estructuras!E:E))</f>
        <v/>
      </c>
      <c r="I665" s="8" t="str">
        <f>IF(E665="","",IF(COUNTIF(Estructuras!F:F,E665)=0,"Falta Estructura",IF(COUNTIFS(Estructuras!F:F,E665,Estructuras!E:E,0)&gt;0,"Faltan Precios","OK")))</f>
        <v/>
      </c>
      <c r="J665" s="10" t="str">
        <f>IF(I665="Faltan Precios",COUNTIFS(Estructuras!B:B,A665,Estructuras!E:E,0),"")</f>
        <v/>
      </c>
      <c r="K665" s="8" t="str">
        <f t="shared" si="2"/>
        <v/>
      </c>
    </row>
    <row r="666">
      <c r="A666" s="4" t="str">
        <f t="shared" si="1"/>
        <v/>
      </c>
      <c r="F666" s="36" t="str">
        <f t="shared" si="4"/>
        <v/>
      </c>
      <c r="G666" s="11"/>
      <c r="H666" s="11" t="str">
        <f>IF(E666="","",SUMIF(Estructuras!B:B,A666,Estructuras!E:E))</f>
        <v/>
      </c>
      <c r="I666" s="8" t="str">
        <f>IF(E666="","",IF(COUNTIF(Estructuras!F:F,E666)=0,"Falta Estructura",IF(COUNTIFS(Estructuras!F:F,E666,Estructuras!E:E,0)&gt;0,"Faltan Precios","OK")))</f>
        <v/>
      </c>
      <c r="J666" s="10" t="str">
        <f>IF(I666="Faltan Precios",COUNTIFS(Estructuras!B:B,A666,Estructuras!E:E,0),"")</f>
        <v/>
      </c>
      <c r="K666" s="8" t="str">
        <f t="shared" si="2"/>
        <v/>
      </c>
    </row>
    <row r="667">
      <c r="A667" s="4" t="str">
        <f t="shared" si="1"/>
        <v/>
      </c>
      <c r="F667" s="36" t="str">
        <f t="shared" si="4"/>
        <v/>
      </c>
      <c r="G667" s="11"/>
      <c r="H667" s="11" t="str">
        <f>IF(E667="","",SUMIF(Estructuras!B:B,A667,Estructuras!E:E))</f>
        <v/>
      </c>
      <c r="I667" s="8" t="str">
        <f>IF(E667="","",IF(COUNTIF(Estructuras!F:F,E667)=0,"Falta Estructura",IF(COUNTIFS(Estructuras!F:F,E667,Estructuras!E:E,0)&gt;0,"Faltan Precios","OK")))</f>
        <v/>
      </c>
      <c r="J667" s="10" t="str">
        <f>IF(I667="Faltan Precios",COUNTIFS(Estructuras!B:B,A667,Estructuras!E:E,0),"")</f>
        <v/>
      </c>
      <c r="K667" s="8" t="str">
        <f t="shared" si="2"/>
        <v/>
      </c>
    </row>
    <row r="668">
      <c r="A668" s="4" t="str">
        <f t="shared" si="1"/>
        <v/>
      </c>
      <c r="F668" s="36" t="str">
        <f t="shared" si="4"/>
        <v/>
      </c>
      <c r="G668" s="11"/>
      <c r="H668" s="11" t="str">
        <f>IF(E668="","",SUMIF(Estructuras!B:B,A668,Estructuras!E:E))</f>
        <v/>
      </c>
      <c r="I668" s="8" t="str">
        <f>IF(E668="","",IF(COUNTIF(Estructuras!F:F,E668)=0,"Falta Estructura",IF(COUNTIFS(Estructuras!F:F,E668,Estructuras!E:E,0)&gt;0,"Faltan Precios","OK")))</f>
        <v/>
      </c>
      <c r="J668" s="10" t="str">
        <f>IF(I668="Faltan Precios",COUNTIFS(Estructuras!B:B,A668,Estructuras!E:E,0),"")</f>
        <v/>
      </c>
      <c r="K668" s="8" t="str">
        <f t="shared" si="2"/>
        <v/>
      </c>
    </row>
    <row r="669">
      <c r="A669" s="4" t="str">
        <f t="shared" si="1"/>
        <v/>
      </c>
      <c r="F669" s="36" t="str">
        <f t="shared" si="4"/>
        <v/>
      </c>
      <c r="G669" s="11"/>
      <c r="H669" s="11" t="str">
        <f>IF(E669="","",SUMIF(Estructuras!B:B,A669,Estructuras!E:E))</f>
        <v/>
      </c>
      <c r="I669" s="8" t="str">
        <f>IF(E669="","",IF(COUNTIF(Estructuras!F:F,E669)=0,"Falta Estructura",IF(COUNTIFS(Estructuras!F:F,E669,Estructuras!E:E,0)&gt;0,"Faltan Precios","OK")))</f>
        <v/>
      </c>
      <c r="J669" s="10" t="str">
        <f>IF(I669="Faltan Precios",COUNTIFS(Estructuras!B:B,A669,Estructuras!E:E,0),"")</f>
        <v/>
      </c>
      <c r="K669" s="8" t="str">
        <f t="shared" si="2"/>
        <v/>
      </c>
    </row>
    <row r="670">
      <c r="A670" s="4" t="str">
        <f t="shared" si="1"/>
        <v/>
      </c>
      <c r="F670" s="36" t="str">
        <f t="shared" si="4"/>
        <v/>
      </c>
      <c r="G670" s="11"/>
      <c r="H670" s="11" t="str">
        <f>IF(E670="","",SUMIF(Estructuras!B:B,A670,Estructuras!E:E))</f>
        <v/>
      </c>
      <c r="I670" s="8" t="str">
        <f>IF(E670="","",IF(COUNTIF(Estructuras!F:F,E670)=0,"Falta Estructura",IF(COUNTIFS(Estructuras!F:F,E670,Estructuras!E:E,0)&gt;0,"Faltan Precios","OK")))</f>
        <v/>
      </c>
      <c r="J670" s="10" t="str">
        <f>IF(I670="Faltan Precios",COUNTIFS(Estructuras!B:B,A670,Estructuras!E:E,0),"")</f>
        <v/>
      </c>
      <c r="K670" s="8" t="str">
        <f t="shared" si="2"/>
        <v/>
      </c>
    </row>
    <row r="671">
      <c r="A671" s="4" t="str">
        <f t="shared" si="1"/>
        <v/>
      </c>
      <c r="F671" s="36" t="str">
        <f t="shared" si="4"/>
        <v/>
      </c>
      <c r="G671" s="11"/>
      <c r="H671" s="11" t="str">
        <f>IF(E671="","",SUMIF(Estructuras!B:B,A671,Estructuras!E:E))</f>
        <v/>
      </c>
      <c r="I671" s="8" t="str">
        <f>IF(E671="","",IF(COUNTIF(Estructuras!F:F,E671)=0,"Falta Estructura",IF(COUNTIFS(Estructuras!F:F,E671,Estructuras!E:E,0)&gt;0,"Faltan Precios","OK")))</f>
        <v/>
      </c>
      <c r="J671" s="10" t="str">
        <f>IF(I671="Faltan Precios",COUNTIFS(Estructuras!B:B,A671,Estructuras!E:E,0),"")</f>
        <v/>
      </c>
      <c r="K671" s="8" t="str">
        <f t="shared" si="2"/>
        <v/>
      </c>
    </row>
    <row r="672">
      <c r="A672" s="4" t="str">
        <f t="shared" si="1"/>
        <v/>
      </c>
      <c r="F672" s="36" t="str">
        <f t="shared" si="4"/>
        <v/>
      </c>
      <c r="G672" s="11"/>
      <c r="H672" s="11" t="str">
        <f>IF(E672="","",SUMIF(Estructuras!B:B,A672,Estructuras!E:E))</f>
        <v/>
      </c>
      <c r="I672" s="8" t="str">
        <f>IF(E672="","",IF(COUNTIF(Estructuras!F:F,E672)=0,"Falta Estructura",IF(COUNTIFS(Estructuras!F:F,E672,Estructuras!E:E,0)&gt;0,"Faltan Precios","OK")))</f>
        <v/>
      </c>
      <c r="J672" s="10" t="str">
        <f>IF(I672="Faltan Precios",COUNTIFS(Estructuras!B:B,A672,Estructuras!E:E,0),"")</f>
        <v/>
      </c>
      <c r="K672" s="8" t="str">
        <f t="shared" si="2"/>
        <v/>
      </c>
    </row>
    <row r="673">
      <c r="A673" s="4" t="str">
        <f t="shared" si="1"/>
        <v/>
      </c>
      <c r="F673" s="36" t="str">
        <f t="shared" si="4"/>
        <v/>
      </c>
      <c r="G673" s="11"/>
      <c r="H673" s="11" t="str">
        <f>IF(E673="","",SUMIF(Estructuras!B:B,A673,Estructuras!E:E))</f>
        <v/>
      </c>
      <c r="I673" s="8" t="str">
        <f>IF(E673="","",IF(COUNTIF(Estructuras!F:F,E673)=0,"Falta Estructura",IF(COUNTIFS(Estructuras!F:F,E673,Estructuras!E:E,0)&gt;0,"Faltan Precios","OK")))</f>
        <v/>
      </c>
      <c r="J673" s="10" t="str">
        <f>IF(I673="Faltan Precios",COUNTIFS(Estructuras!B:B,A673,Estructuras!E:E,0),"")</f>
        <v/>
      </c>
      <c r="K673" s="8" t="str">
        <f t="shared" si="2"/>
        <v/>
      </c>
    </row>
    <row r="674">
      <c r="A674" s="4" t="str">
        <f t="shared" si="1"/>
        <v/>
      </c>
      <c r="F674" s="36" t="str">
        <f t="shared" si="4"/>
        <v/>
      </c>
      <c r="G674" s="11"/>
      <c r="H674" s="11" t="str">
        <f>IF(E674="","",SUMIF(Estructuras!B:B,A674,Estructuras!E:E))</f>
        <v/>
      </c>
      <c r="I674" s="8" t="str">
        <f>IF(E674="","",IF(COUNTIF(Estructuras!F:F,E674)=0,"Falta Estructura",IF(COUNTIFS(Estructuras!F:F,E674,Estructuras!E:E,0)&gt;0,"Faltan Precios","OK")))</f>
        <v/>
      </c>
      <c r="J674" s="10" t="str">
        <f>IF(I674="Faltan Precios",COUNTIFS(Estructuras!B:B,A674,Estructuras!E:E,0),"")</f>
        <v/>
      </c>
      <c r="K674" s="8" t="str">
        <f t="shared" si="2"/>
        <v/>
      </c>
    </row>
    <row r="675">
      <c r="A675" s="4" t="str">
        <f t="shared" si="1"/>
        <v/>
      </c>
      <c r="F675" s="36" t="str">
        <f t="shared" si="4"/>
        <v/>
      </c>
      <c r="G675" s="11"/>
      <c r="H675" s="11" t="str">
        <f>IF(E675="","",SUMIF(Estructuras!B:B,A675,Estructuras!E:E))</f>
        <v/>
      </c>
      <c r="I675" s="8" t="str">
        <f>IF(E675="","",IF(COUNTIF(Estructuras!F:F,E675)=0,"Falta Estructura",IF(COUNTIFS(Estructuras!F:F,E675,Estructuras!E:E,0)&gt;0,"Faltan Precios","OK")))</f>
        <v/>
      </c>
      <c r="J675" s="10" t="str">
        <f>IF(I675="Faltan Precios",COUNTIFS(Estructuras!B:B,A675,Estructuras!E:E,0),"")</f>
        <v/>
      </c>
      <c r="K675" s="8" t="str">
        <f t="shared" si="2"/>
        <v/>
      </c>
    </row>
    <row r="676">
      <c r="A676" s="4" t="str">
        <f t="shared" si="1"/>
        <v/>
      </c>
      <c r="F676" s="36" t="str">
        <f t="shared" si="4"/>
        <v/>
      </c>
      <c r="G676" s="11"/>
      <c r="H676" s="11" t="str">
        <f>IF(E676="","",SUMIF(Estructuras!B:B,A676,Estructuras!E:E))</f>
        <v/>
      </c>
      <c r="I676" s="8" t="str">
        <f>IF(E676="","",IF(COUNTIF(Estructuras!F:F,E676)=0,"Falta Estructura",IF(COUNTIFS(Estructuras!F:F,E676,Estructuras!E:E,0)&gt;0,"Faltan Precios","OK")))</f>
        <v/>
      </c>
      <c r="J676" s="10" t="str">
        <f>IF(I676="Faltan Precios",COUNTIFS(Estructuras!B:B,A676,Estructuras!E:E,0),"")</f>
        <v/>
      </c>
      <c r="K676" s="8" t="str">
        <f t="shared" si="2"/>
        <v/>
      </c>
    </row>
    <row r="677">
      <c r="A677" s="4" t="str">
        <f t="shared" si="1"/>
        <v/>
      </c>
      <c r="F677" s="36" t="str">
        <f t="shared" si="4"/>
        <v/>
      </c>
      <c r="G677" s="11"/>
      <c r="H677" s="11" t="str">
        <f>IF(E677="","",SUMIF(Estructuras!B:B,A677,Estructuras!E:E))</f>
        <v/>
      </c>
      <c r="I677" s="8" t="str">
        <f>IF(E677="","",IF(COUNTIF(Estructuras!F:F,E677)=0,"Falta Estructura",IF(COUNTIFS(Estructuras!F:F,E677,Estructuras!E:E,0)&gt;0,"Faltan Precios","OK")))</f>
        <v/>
      </c>
      <c r="J677" s="10" t="str">
        <f>IF(I677="Faltan Precios",COUNTIFS(Estructuras!B:B,A677,Estructuras!E:E,0),"")</f>
        <v/>
      </c>
      <c r="K677" s="8" t="str">
        <f t="shared" si="2"/>
        <v/>
      </c>
    </row>
    <row r="678">
      <c r="A678" s="4" t="str">
        <f t="shared" si="1"/>
        <v/>
      </c>
      <c r="F678" s="36" t="str">
        <f t="shared" si="4"/>
        <v/>
      </c>
      <c r="G678" s="11"/>
      <c r="H678" s="11" t="str">
        <f>IF(E678="","",SUMIF(Estructuras!B:B,A678,Estructuras!E:E))</f>
        <v/>
      </c>
      <c r="I678" s="8" t="str">
        <f>IF(E678="","",IF(COUNTIF(Estructuras!F:F,E678)=0,"Falta Estructura",IF(COUNTIFS(Estructuras!F:F,E678,Estructuras!E:E,0)&gt;0,"Faltan Precios","OK")))</f>
        <v/>
      </c>
      <c r="J678" s="10" t="str">
        <f>IF(I678="Faltan Precios",COUNTIFS(Estructuras!B:B,A678,Estructuras!E:E,0),"")</f>
        <v/>
      </c>
      <c r="K678" s="8" t="str">
        <f t="shared" si="2"/>
        <v/>
      </c>
    </row>
    <row r="679">
      <c r="A679" s="4" t="str">
        <f t="shared" si="1"/>
        <v/>
      </c>
      <c r="F679" s="36" t="str">
        <f t="shared" si="4"/>
        <v/>
      </c>
      <c r="G679" s="11"/>
      <c r="H679" s="11" t="str">
        <f>IF(E679="","",SUMIF(Estructuras!B:B,A679,Estructuras!E:E))</f>
        <v/>
      </c>
      <c r="I679" s="8" t="str">
        <f>IF(E679="","",IF(COUNTIF(Estructuras!F:F,E679)=0,"Falta Estructura",IF(COUNTIFS(Estructuras!F:F,E679,Estructuras!E:E,0)&gt;0,"Faltan Precios","OK")))</f>
        <v/>
      </c>
      <c r="J679" s="10" t="str">
        <f>IF(I679="Faltan Precios",COUNTIFS(Estructuras!B:B,A679,Estructuras!E:E,0),"")</f>
        <v/>
      </c>
      <c r="K679" s="8" t="str">
        <f t="shared" si="2"/>
        <v/>
      </c>
    </row>
    <row r="680">
      <c r="A680" s="4" t="str">
        <f t="shared" si="1"/>
        <v/>
      </c>
      <c r="F680" s="36" t="str">
        <f t="shared" si="4"/>
        <v/>
      </c>
      <c r="G680" s="11"/>
      <c r="H680" s="11" t="str">
        <f>IF(E680="","",SUMIF(Estructuras!B:B,A680,Estructuras!E:E))</f>
        <v/>
      </c>
      <c r="I680" s="8" t="str">
        <f>IF(E680="","",IF(COUNTIF(Estructuras!F:F,E680)=0,"Falta Estructura",IF(COUNTIFS(Estructuras!F:F,E680,Estructuras!E:E,0)&gt;0,"Faltan Precios","OK")))</f>
        <v/>
      </c>
      <c r="J680" s="10" t="str">
        <f>IF(I680="Faltan Precios",COUNTIFS(Estructuras!B:B,A680,Estructuras!E:E,0),"")</f>
        <v/>
      </c>
      <c r="K680" s="8" t="str">
        <f t="shared" si="2"/>
        <v/>
      </c>
    </row>
    <row r="681">
      <c r="A681" s="4" t="str">
        <f t="shared" si="1"/>
        <v/>
      </c>
      <c r="F681" s="36" t="str">
        <f t="shared" si="4"/>
        <v/>
      </c>
      <c r="G681" s="11"/>
      <c r="H681" s="11" t="str">
        <f>IF(E681="","",SUMIF(Estructuras!B:B,A681,Estructuras!E:E))</f>
        <v/>
      </c>
      <c r="I681" s="8" t="str">
        <f>IF(E681="","",IF(COUNTIF(Estructuras!F:F,E681)=0,"Falta Estructura",IF(COUNTIFS(Estructuras!F:F,E681,Estructuras!E:E,0)&gt;0,"Faltan Precios","OK")))</f>
        <v/>
      </c>
      <c r="J681" s="10" t="str">
        <f>IF(I681="Faltan Precios",COUNTIFS(Estructuras!B:B,A681,Estructuras!E:E,0),"")</f>
        <v/>
      </c>
      <c r="K681" s="8" t="str">
        <f t="shared" si="2"/>
        <v/>
      </c>
    </row>
    <row r="682">
      <c r="A682" s="4" t="str">
        <f t="shared" si="1"/>
        <v/>
      </c>
      <c r="F682" s="36" t="str">
        <f t="shared" si="4"/>
        <v/>
      </c>
      <c r="G682" s="11"/>
      <c r="H682" s="11" t="str">
        <f>IF(E682="","",SUMIF(Estructuras!B:B,A682,Estructuras!E:E))</f>
        <v/>
      </c>
      <c r="I682" s="8" t="str">
        <f>IF(E682="","",IF(COUNTIF(Estructuras!F:F,E682)=0,"Falta Estructura",IF(COUNTIFS(Estructuras!F:F,E682,Estructuras!E:E,0)&gt;0,"Faltan Precios","OK")))</f>
        <v/>
      </c>
      <c r="J682" s="10" t="str">
        <f>IF(I682="Faltan Precios",COUNTIFS(Estructuras!B:B,A682,Estructuras!E:E,0),"")</f>
        <v/>
      </c>
      <c r="K682" s="8" t="str">
        <f t="shared" si="2"/>
        <v/>
      </c>
    </row>
    <row r="683">
      <c r="A683" s="4" t="str">
        <f t="shared" si="1"/>
        <v/>
      </c>
      <c r="F683" s="36" t="str">
        <f t="shared" si="4"/>
        <v/>
      </c>
      <c r="G683" s="11"/>
      <c r="H683" s="11" t="str">
        <f>IF(E683="","",SUMIF(Estructuras!B:B,A683,Estructuras!E:E))</f>
        <v/>
      </c>
      <c r="I683" s="8" t="str">
        <f>IF(E683="","",IF(COUNTIF(Estructuras!F:F,E683)=0,"Falta Estructura",IF(COUNTIFS(Estructuras!F:F,E683,Estructuras!E:E,0)&gt;0,"Faltan Precios","OK")))</f>
        <v/>
      </c>
      <c r="J683" s="10" t="str">
        <f>IF(I683="Faltan Precios",COUNTIFS(Estructuras!B:B,A683,Estructuras!E:E,0),"")</f>
        <v/>
      </c>
      <c r="K683" s="8" t="str">
        <f t="shared" si="2"/>
        <v/>
      </c>
    </row>
    <row r="684">
      <c r="A684" s="4" t="str">
        <f t="shared" si="1"/>
        <v/>
      </c>
      <c r="F684" s="36" t="str">
        <f t="shared" si="4"/>
        <v/>
      </c>
      <c r="G684" s="11"/>
      <c r="H684" s="11" t="str">
        <f>IF(E684="","",SUMIF(Estructuras!B:B,A684,Estructuras!E:E))</f>
        <v/>
      </c>
      <c r="I684" s="8" t="str">
        <f>IF(E684="","",IF(COUNTIF(Estructuras!F:F,E684)=0,"Falta Estructura",IF(COUNTIFS(Estructuras!F:F,E684,Estructuras!E:E,0)&gt;0,"Faltan Precios","OK")))</f>
        <v/>
      </c>
      <c r="J684" s="10" t="str">
        <f>IF(I684="Faltan Precios",COUNTIFS(Estructuras!B:B,A684,Estructuras!E:E,0),"")</f>
        <v/>
      </c>
      <c r="K684" s="8" t="str">
        <f t="shared" si="2"/>
        <v/>
      </c>
    </row>
    <row r="685">
      <c r="A685" s="4" t="str">
        <f t="shared" si="1"/>
        <v/>
      </c>
      <c r="F685" s="36" t="str">
        <f t="shared" si="4"/>
        <v/>
      </c>
      <c r="G685" s="11"/>
      <c r="H685" s="11" t="str">
        <f>IF(E685="","",SUMIF(Estructuras!B:B,A685,Estructuras!E:E))</f>
        <v/>
      </c>
      <c r="I685" s="8" t="str">
        <f>IF(E685="","",IF(COUNTIF(Estructuras!F:F,E685)=0,"Falta Estructura",IF(COUNTIFS(Estructuras!F:F,E685,Estructuras!E:E,0)&gt;0,"Faltan Precios","OK")))</f>
        <v/>
      </c>
      <c r="J685" s="10" t="str">
        <f>IF(I685="Faltan Precios",COUNTIFS(Estructuras!B:B,A685,Estructuras!E:E,0),"")</f>
        <v/>
      </c>
      <c r="K685" s="8" t="str">
        <f t="shared" si="2"/>
        <v/>
      </c>
    </row>
    <row r="686">
      <c r="A686" s="4" t="str">
        <f t="shared" si="1"/>
        <v/>
      </c>
      <c r="F686" s="36" t="str">
        <f t="shared" si="4"/>
        <v/>
      </c>
      <c r="G686" s="11"/>
      <c r="H686" s="11" t="str">
        <f>IF(E686="","",SUMIF(Estructuras!B:B,A686,Estructuras!E:E))</f>
        <v/>
      </c>
      <c r="I686" s="8" t="str">
        <f>IF(E686="","",IF(COUNTIF(Estructuras!F:F,E686)=0,"Falta Estructura",IF(COUNTIFS(Estructuras!F:F,E686,Estructuras!E:E,0)&gt;0,"Faltan Precios","OK")))</f>
        <v/>
      </c>
      <c r="J686" s="10" t="str">
        <f>IF(I686="Faltan Precios",COUNTIFS(Estructuras!B:B,A686,Estructuras!E:E,0),"")</f>
        <v/>
      </c>
      <c r="K686" s="8" t="str">
        <f t="shared" si="2"/>
        <v/>
      </c>
    </row>
    <row r="687">
      <c r="A687" s="4" t="str">
        <f t="shared" si="1"/>
        <v/>
      </c>
      <c r="F687" s="36" t="str">
        <f t="shared" si="4"/>
        <v/>
      </c>
      <c r="G687" s="11"/>
      <c r="H687" s="11" t="str">
        <f>IF(E687="","",SUMIF(Estructuras!B:B,A687,Estructuras!E:E))</f>
        <v/>
      </c>
      <c r="I687" s="8" t="str">
        <f>IF(E687="","",IF(COUNTIF(Estructuras!F:F,E687)=0,"Falta Estructura",IF(COUNTIFS(Estructuras!F:F,E687,Estructuras!E:E,0)&gt;0,"Faltan Precios","OK")))</f>
        <v/>
      </c>
      <c r="J687" s="10" t="str">
        <f>IF(I687="Faltan Precios",COUNTIFS(Estructuras!B:B,A687,Estructuras!E:E,0),"")</f>
        <v/>
      </c>
      <c r="K687" s="8" t="str">
        <f t="shared" si="2"/>
        <v/>
      </c>
    </row>
    <row r="688">
      <c r="A688" s="4" t="str">
        <f t="shared" si="1"/>
        <v/>
      </c>
      <c r="F688" s="36" t="str">
        <f t="shared" si="4"/>
        <v/>
      </c>
      <c r="G688" s="11"/>
      <c r="H688" s="11" t="str">
        <f>IF(E688="","",SUMIF(Estructuras!B:B,A688,Estructuras!E:E))</f>
        <v/>
      </c>
      <c r="I688" s="8" t="str">
        <f>IF(E688="","",IF(COUNTIF(Estructuras!F:F,E688)=0,"Falta Estructura",IF(COUNTIFS(Estructuras!F:F,E688,Estructuras!E:E,0)&gt;0,"Faltan Precios","OK")))</f>
        <v/>
      </c>
      <c r="J688" s="10" t="str">
        <f>IF(I688="Faltan Precios",COUNTIFS(Estructuras!B:B,A688,Estructuras!E:E,0),"")</f>
        <v/>
      </c>
      <c r="K688" s="8" t="str">
        <f t="shared" si="2"/>
        <v/>
      </c>
    </row>
    <row r="689">
      <c r="A689" s="4" t="str">
        <f t="shared" si="1"/>
        <v/>
      </c>
      <c r="F689" s="36" t="str">
        <f t="shared" si="4"/>
        <v/>
      </c>
      <c r="G689" s="11"/>
      <c r="H689" s="11" t="str">
        <f>IF(E689="","",SUMIF(Estructuras!B:B,A689,Estructuras!E:E))</f>
        <v/>
      </c>
      <c r="I689" s="8" t="str">
        <f>IF(E689="","",IF(COUNTIF(Estructuras!F:F,E689)=0,"Falta Estructura",IF(COUNTIFS(Estructuras!F:F,E689,Estructuras!E:E,0)&gt;0,"Faltan Precios","OK")))</f>
        <v/>
      </c>
      <c r="J689" s="10" t="str">
        <f>IF(I689="Faltan Precios",COUNTIFS(Estructuras!B:B,A689,Estructuras!E:E,0),"")</f>
        <v/>
      </c>
      <c r="K689" s="8" t="str">
        <f t="shared" si="2"/>
        <v/>
      </c>
    </row>
    <row r="690">
      <c r="A690" s="4" t="str">
        <f t="shared" si="1"/>
        <v/>
      </c>
      <c r="F690" s="36" t="str">
        <f t="shared" si="4"/>
        <v/>
      </c>
      <c r="G690" s="11"/>
      <c r="H690" s="11" t="str">
        <f>IF(E690="","",SUMIF(Estructuras!B:B,A690,Estructuras!E:E))</f>
        <v/>
      </c>
      <c r="I690" s="8" t="str">
        <f>IF(E690="","",IF(COUNTIF(Estructuras!F:F,E690)=0,"Falta Estructura",IF(COUNTIFS(Estructuras!F:F,E690,Estructuras!E:E,0)&gt;0,"Faltan Precios","OK")))</f>
        <v/>
      </c>
      <c r="J690" s="10" t="str">
        <f>IF(I690="Faltan Precios",COUNTIFS(Estructuras!B:B,A690,Estructuras!E:E,0),"")</f>
        <v/>
      </c>
      <c r="K690" s="8" t="str">
        <f t="shared" si="2"/>
        <v/>
      </c>
    </row>
    <row r="691">
      <c r="A691" s="4" t="str">
        <f t="shared" si="1"/>
        <v/>
      </c>
      <c r="F691" s="36" t="str">
        <f t="shared" si="4"/>
        <v/>
      </c>
      <c r="G691" s="11"/>
      <c r="H691" s="11" t="str">
        <f>IF(E691="","",SUMIF(Estructuras!B:B,A691,Estructuras!E:E))</f>
        <v/>
      </c>
      <c r="I691" s="8" t="str">
        <f>IF(E691="","",IF(COUNTIF(Estructuras!F:F,E691)=0,"Falta Estructura",IF(COUNTIFS(Estructuras!F:F,E691,Estructuras!E:E,0)&gt;0,"Faltan Precios","OK")))</f>
        <v/>
      </c>
      <c r="J691" s="10" t="str">
        <f>IF(I691="Faltan Precios",COUNTIFS(Estructuras!B:B,A691,Estructuras!E:E,0),"")</f>
        <v/>
      </c>
      <c r="K691" s="8" t="str">
        <f t="shared" si="2"/>
        <v/>
      </c>
    </row>
    <row r="692">
      <c r="A692" s="4" t="str">
        <f t="shared" si="1"/>
        <v/>
      </c>
      <c r="F692" s="36" t="str">
        <f t="shared" si="4"/>
        <v/>
      </c>
      <c r="G692" s="11"/>
      <c r="H692" s="11" t="str">
        <f>IF(E692="","",SUMIF(Estructuras!B:B,A692,Estructuras!E:E))</f>
        <v/>
      </c>
      <c r="I692" s="8" t="str">
        <f>IF(E692="","",IF(COUNTIF(Estructuras!F:F,E692)=0,"Falta Estructura",IF(COUNTIFS(Estructuras!F:F,E692,Estructuras!E:E,0)&gt;0,"Faltan Precios","OK")))</f>
        <v/>
      </c>
      <c r="J692" s="10" t="str">
        <f>IF(I692="Faltan Precios",COUNTIFS(Estructuras!B:B,A692,Estructuras!E:E,0),"")</f>
        <v/>
      </c>
      <c r="K692" s="8" t="str">
        <f t="shared" si="2"/>
        <v/>
      </c>
    </row>
    <row r="693">
      <c r="A693" s="4" t="str">
        <f t="shared" si="1"/>
        <v/>
      </c>
      <c r="F693" s="36" t="str">
        <f t="shared" si="4"/>
        <v/>
      </c>
      <c r="G693" s="11"/>
      <c r="H693" s="11" t="str">
        <f>IF(E693="","",SUMIF(Estructuras!B:B,A693,Estructuras!E:E))</f>
        <v/>
      </c>
      <c r="I693" s="8" t="str">
        <f>IF(E693="","",IF(COUNTIF(Estructuras!F:F,E693)=0,"Falta Estructura",IF(COUNTIFS(Estructuras!F:F,E693,Estructuras!E:E,0)&gt;0,"Faltan Precios","OK")))</f>
        <v/>
      </c>
      <c r="J693" s="10" t="str">
        <f>IF(I693="Faltan Precios",COUNTIFS(Estructuras!B:B,A693,Estructuras!E:E,0),"")</f>
        <v/>
      </c>
      <c r="K693" s="8" t="str">
        <f t="shared" si="2"/>
        <v/>
      </c>
    </row>
    <row r="694">
      <c r="A694" s="4" t="str">
        <f t="shared" si="1"/>
        <v/>
      </c>
      <c r="F694" s="36" t="str">
        <f t="shared" si="4"/>
        <v/>
      </c>
      <c r="G694" s="11"/>
      <c r="H694" s="11" t="str">
        <f>IF(E694="","",SUMIF(Estructuras!B:B,A694,Estructuras!E:E))</f>
        <v/>
      </c>
      <c r="I694" s="8" t="str">
        <f>IF(E694="","",IF(COUNTIF(Estructuras!F:F,E694)=0,"Falta Estructura",IF(COUNTIFS(Estructuras!F:F,E694,Estructuras!E:E,0)&gt;0,"Faltan Precios","OK")))</f>
        <v/>
      </c>
      <c r="J694" s="10" t="str">
        <f>IF(I694="Faltan Precios",COUNTIFS(Estructuras!B:B,A694,Estructuras!E:E,0),"")</f>
        <v/>
      </c>
      <c r="K694" s="8" t="str">
        <f t="shared" si="2"/>
        <v/>
      </c>
    </row>
    <row r="695">
      <c r="A695" s="4" t="str">
        <f t="shared" si="1"/>
        <v/>
      </c>
      <c r="F695" s="36" t="str">
        <f t="shared" si="4"/>
        <v/>
      </c>
      <c r="G695" s="11"/>
      <c r="H695" s="11" t="str">
        <f>IF(E695="","",SUMIF(Estructuras!B:B,A695,Estructuras!E:E))</f>
        <v/>
      </c>
      <c r="I695" s="8" t="str">
        <f>IF(E695="","",IF(COUNTIF(Estructuras!F:F,E695)=0,"Falta Estructura",IF(COUNTIFS(Estructuras!F:F,E695,Estructuras!E:E,0)&gt;0,"Faltan Precios","OK")))</f>
        <v/>
      </c>
      <c r="J695" s="10" t="str">
        <f>IF(I695="Faltan Precios",COUNTIFS(Estructuras!B:B,A695,Estructuras!E:E,0),"")</f>
        <v/>
      </c>
      <c r="K695" s="8" t="str">
        <f t="shared" si="2"/>
        <v/>
      </c>
    </row>
    <row r="696">
      <c r="A696" s="4" t="str">
        <f t="shared" si="1"/>
        <v/>
      </c>
      <c r="F696" s="36" t="str">
        <f t="shared" si="4"/>
        <v/>
      </c>
      <c r="G696" s="11"/>
      <c r="H696" s="11" t="str">
        <f>IF(E696="","",SUMIF(Estructuras!B:B,A696,Estructuras!E:E))</f>
        <v/>
      </c>
      <c r="I696" s="8" t="str">
        <f>IF(E696="","",IF(COUNTIF(Estructuras!F:F,E696)=0,"Falta Estructura",IF(COUNTIFS(Estructuras!F:F,E696,Estructuras!E:E,0)&gt;0,"Faltan Precios","OK")))</f>
        <v/>
      </c>
      <c r="J696" s="10" t="str">
        <f>IF(I696="Faltan Precios",COUNTIFS(Estructuras!B:B,A696,Estructuras!E:E,0),"")</f>
        <v/>
      </c>
      <c r="K696" s="8" t="str">
        <f t="shared" si="2"/>
        <v/>
      </c>
    </row>
    <row r="697">
      <c r="A697" s="4" t="str">
        <f t="shared" si="1"/>
        <v/>
      </c>
      <c r="F697" s="36" t="str">
        <f t="shared" si="4"/>
        <v/>
      </c>
      <c r="G697" s="11"/>
      <c r="H697" s="11" t="str">
        <f>IF(E697="","",SUMIF(Estructuras!B:B,A697,Estructuras!E:E))</f>
        <v/>
      </c>
      <c r="I697" s="8" t="str">
        <f>IF(E697="","",IF(COUNTIF(Estructuras!F:F,E697)=0,"Falta Estructura",IF(COUNTIFS(Estructuras!F:F,E697,Estructuras!E:E,0)&gt;0,"Faltan Precios","OK")))</f>
        <v/>
      </c>
      <c r="J697" s="10" t="str">
        <f>IF(I697="Faltan Precios",COUNTIFS(Estructuras!B:B,A697,Estructuras!E:E,0),"")</f>
        <v/>
      </c>
      <c r="K697" s="8" t="str">
        <f t="shared" si="2"/>
        <v/>
      </c>
    </row>
    <row r="698">
      <c r="A698" s="4" t="str">
        <f t="shared" si="1"/>
        <v/>
      </c>
      <c r="F698" s="36" t="str">
        <f t="shared" si="4"/>
        <v/>
      </c>
      <c r="G698" s="11"/>
      <c r="H698" s="11" t="str">
        <f>IF(E698="","",SUMIF(Estructuras!B:B,A698,Estructuras!E:E))</f>
        <v/>
      </c>
      <c r="I698" s="8" t="str">
        <f>IF(E698="","",IF(COUNTIF(Estructuras!F:F,E698)=0,"Falta Estructura",IF(COUNTIFS(Estructuras!F:F,E698,Estructuras!E:E,0)&gt;0,"Faltan Precios","OK")))</f>
        <v/>
      </c>
      <c r="J698" s="10" t="str">
        <f>IF(I698="Faltan Precios",COUNTIFS(Estructuras!B:B,A698,Estructuras!E:E,0),"")</f>
        <v/>
      </c>
      <c r="K698" s="8" t="str">
        <f t="shared" si="2"/>
        <v/>
      </c>
    </row>
    <row r="699">
      <c r="A699" s="4" t="str">
        <f t="shared" si="1"/>
        <v/>
      </c>
      <c r="F699" s="36" t="str">
        <f t="shared" si="4"/>
        <v/>
      </c>
      <c r="G699" s="11"/>
      <c r="H699" s="11" t="str">
        <f>IF(E699="","",SUMIF(Estructuras!B:B,A699,Estructuras!E:E))</f>
        <v/>
      </c>
      <c r="I699" s="8" t="str">
        <f>IF(E699="","",IF(COUNTIF(Estructuras!F:F,E699)=0,"Falta Estructura",IF(COUNTIFS(Estructuras!F:F,E699,Estructuras!E:E,0)&gt;0,"Faltan Precios","OK")))</f>
        <v/>
      </c>
      <c r="J699" s="10" t="str">
        <f>IF(I699="Faltan Precios",COUNTIFS(Estructuras!B:B,A699,Estructuras!E:E,0),"")</f>
        <v/>
      </c>
      <c r="K699" s="8" t="str">
        <f t="shared" si="2"/>
        <v/>
      </c>
    </row>
    <row r="700">
      <c r="A700" s="4" t="str">
        <f t="shared" si="1"/>
        <v/>
      </c>
      <c r="F700" s="36" t="str">
        <f t="shared" si="4"/>
        <v/>
      </c>
      <c r="G700" s="11"/>
      <c r="H700" s="11" t="str">
        <f>IF(E700="","",SUMIF(Estructuras!B:B,A700,Estructuras!E:E))</f>
        <v/>
      </c>
      <c r="I700" s="8" t="str">
        <f>IF(E700="","",IF(COUNTIF(Estructuras!F:F,E700)=0,"Falta Estructura",IF(COUNTIFS(Estructuras!F:F,E700,Estructuras!E:E,0)&gt;0,"Faltan Precios","OK")))</f>
        <v/>
      </c>
      <c r="J700" s="10" t="str">
        <f>IF(I700="Faltan Precios",COUNTIFS(Estructuras!B:B,A700,Estructuras!E:E,0),"")</f>
        <v/>
      </c>
      <c r="K700" s="8" t="str">
        <f t="shared" si="2"/>
        <v/>
      </c>
    </row>
    <row r="701">
      <c r="A701" s="4" t="str">
        <f t="shared" si="1"/>
        <v/>
      </c>
      <c r="F701" s="36" t="str">
        <f t="shared" si="4"/>
        <v/>
      </c>
      <c r="G701" s="11"/>
      <c r="H701" s="11" t="str">
        <f>IF(E701="","",SUMIF(Estructuras!B:B,A701,Estructuras!E:E))</f>
        <v/>
      </c>
      <c r="I701" s="8" t="str">
        <f>IF(E701="","",IF(COUNTIF(Estructuras!F:F,E701)=0,"Falta Estructura",IF(COUNTIFS(Estructuras!F:F,E701,Estructuras!E:E,0)&gt;0,"Faltan Precios","OK")))</f>
        <v/>
      </c>
      <c r="J701" s="10" t="str">
        <f>IF(I701="Faltan Precios",COUNTIFS(Estructuras!B:B,A701,Estructuras!E:E,0),"")</f>
        <v/>
      </c>
      <c r="K701" s="8" t="str">
        <f t="shared" si="2"/>
        <v/>
      </c>
    </row>
    <row r="702">
      <c r="A702" s="4" t="str">
        <f t="shared" si="1"/>
        <v/>
      </c>
      <c r="F702" s="36" t="str">
        <f t="shared" si="4"/>
        <v/>
      </c>
      <c r="G702" s="11"/>
      <c r="H702" s="11" t="str">
        <f>IF(E702="","",SUMIF(Estructuras!B:B,A702,Estructuras!E:E))</f>
        <v/>
      </c>
      <c r="I702" s="8" t="str">
        <f>IF(E702="","",IF(COUNTIF(Estructuras!F:F,E702)=0,"Falta Estructura",IF(COUNTIFS(Estructuras!F:F,E702,Estructuras!E:E,0)&gt;0,"Faltan Precios","OK")))</f>
        <v/>
      </c>
      <c r="J702" s="10" t="str">
        <f>IF(I702="Faltan Precios",COUNTIFS(Estructuras!B:B,A702,Estructuras!E:E,0),"")</f>
        <v/>
      </c>
      <c r="K702" s="8" t="str">
        <f t="shared" si="2"/>
        <v/>
      </c>
    </row>
    <row r="703">
      <c r="A703" s="4" t="str">
        <f t="shared" si="1"/>
        <v/>
      </c>
      <c r="F703" s="36" t="str">
        <f t="shared" si="4"/>
        <v/>
      </c>
      <c r="G703" s="11"/>
      <c r="H703" s="11" t="str">
        <f>IF(E703="","",SUMIF(Estructuras!B:B,A703,Estructuras!E:E))</f>
        <v/>
      </c>
      <c r="I703" s="8" t="str">
        <f>IF(E703="","",IF(COUNTIF(Estructuras!F:F,E703)=0,"Falta Estructura",IF(COUNTIFS(Estructuras!F:F,E703,Estructuras!E:E,0)&gt;0,"Faltan Precios","OK")))</f>
        <v/>
      </c>
      <c r="J703" s="10" t="str">
        <f>IF(I703="Faltan Precios",COUNTIFS(Estructuras!B:B,A703,Estructuras!E:E,0),"")</f>
        <v/>
      </c>
      <c r="K703" s="8" t="str">
        <f t="shared" si="2"/>
        <v/>
      </c>
    </row>
    <row r="704">
      <c r="A704" s="4" t="str">
        <f t="shared" si="1"/>
        <v/>
      </c>
      <c r="F704" s="36" t="str">
        <f t="shared" si="4"/>
        <v/>
      </c>
      <c r="G704" s="11"/>
      <c r="H704" s="11" t="str">
        <f>IF(E704="","",SUMIF(Estructuras!B:B,A704,Estructuras!E:E))</f>
        <v/>
      </c>
      <c r="I704" s="8" t="str">
        <f>IF(E704="","",IF(COUNTIF(Estructuras!F:F,E704)=0,"Falta Estructura",IF(COUNTIFS(Estructuras!F:F,E704,Estructuras!E:E,0)&gt;0,"Faltan Precios","OK")))</f>
        <v/>
      </c>
      <c r="J704" s="10" t="str">
        <f>IF(I704="Faltan Precios",COUNTIFS(Estructuras!B:B,A704,Estructuras!E:E,0),"")</f>
        <v/>
      </c>
      <c r="K704" s="8" t="str">
        <f t="shared" si="2"/>
        <v/>
      </c>
    </row>
    <row r="705">
      <c r="A705" s="4" t="str">
        <f t="shared" si="1"/>
        <v/>
      </c>
      <c r="F705" s="36" t="str">
        <f t="shared" si="4"/>
        <v/>
      </c>
      <c r="G705" s="11"/>
      <c r="H705" s="11" t="str">
        <f>IF(E705="","",SUMIF(Estructuras!B:B,A705,Estructuras!E:E))</f>
        <v/>
      </c>
      <c r="I705" s="8" t="str">
        <f>IF(E705="","",IF(COUNTIF(Estructuras!F:F,E705)=0,"Falta Estructura",IF(COUNTIFS(Estructuras!F:F,E705,Estructuras!E:E,0)&gt;0,"Faltan Precios","OK")))</f>
        <v/>
      </c>
      <c r="J705" s="10" t="str">
        <f>IF(I705="Faltan Precios",COUNTIFS(Estructuras!B:B,A705,Estructuras!E:E,0),"")</f>
        <v/>
      </c>
      <c r="K705" s="8" t="str">
        <f t="shared" si="2"/>
        <v/>
      </c>
    </row>
    <row r="706">
      <c r="A706" s="4" t="str">
        <f t="shared" si="1"/>
        <v/>
      </c>
      <c r="F706" s="36" t="str">
        <f t="shared" si="4"/>
        <v/>
      </c>
      <c r="G706" s="11"/>
      <c r="H706" s="11" t="str">
        <f>IF(E706="","",SUMIF(Estructuras!B:B,A706,Estructuras!E:E))</f>
        <v/>
      </c>
      <c r="I706" s="8" t="str">
        <f>IF(E706="","",IF(COUNTIF(Estructuras!F:F,E706)=0,"Falta Estructura",IF(COUNTIFS(Estructuras!F:F,E706,Estructuras!E:E,0)&gt;0,"Faltan Precios","OK")))</f>
        <v/>
      </c>
      <c r="J706" s="10" t="str">
        <f>IF(I706="Faltan Precios",COUNTIFS(Estructuras!B:B,A706,Estructuras!E:E,0),"")</f>
        <v/>
      </c>
      <c r="K706" s="8" t="str">
        <f t="shared" si="2"/>
        <v/>
      </c>
    </row>
    <row r="707">
      <c r="A707" s="4" t="str">
        <f t="shared" si="1"/>
        <v/>
      </c>
      <c r="F707" s="36" t="str">
        <f t="shared" si="4"/>
        <v/>
      </c>
      <c r="G707" s="11"/>
      <c r="H707" s="11" t="str">
        <f>IF(E707="","",SUMIF(Estructuras!B:B,A707,Estructuras!E:E))</f>
        <v/>
      </c>
      <c r="I707" s="8" t="str">
        <f>IF(E707="","",IF(COUNTIF(Estructuras!F:F,E707)=0,"Falta Estructura",IF(COUNTIFS(Estructuras!F:F,E707,Estructuras!E:E,0)&gt;0,"Faltan Precios","OK")))</f>
        <v/>
      </c>
      <c r="J707" s="10" t="str">
        <f>IF(I707="Faltan Precios",COUNTIFS(Estructuras!B:B,A707,Estructuras!E:E,0),"")</f>
        <v/>
      </c>
      <c r="K707" s="8" t="str">
        <f t="shared" si="2"/>
        <v/>
      </c>
    </row>
    <row r="708">
      <c r="A708" s="4" t="str">
        <f t="shared" si="1"/>
        <v/>
      </c>
      <c r="F708" s="36" t="str">
        <f t="shared" si="4"/>
        <v/>
      </c>
      <c r="G708" s="11"/>
      <c r="H708" s="11" t="str">
        <f>IF(E708="","",SUMIF(Estructuras!B:B,A708,Estructuras!E:E))</f>
        <v/>
      </c>
      <c r="I708" s="8" t="str">
        <f>IF(E708="","",IF(COUNTIF(Estructuras!F:F,E708)=0,"Falta Estructura",IF(COUNTIFS(Estructuras!F:F,E708,Estructuras!E:E,0)&gt;0,"Faltan Precios","OK")))</f>
        <v/>
      </c>
      <c r="J708" s="10" t="str">
        <f>IF(I708="Faltan Precios",COUNTIFS(Estructuras!B:B,A708,Estructuras!E:E,0),"")</f>
        <v/>
      </c>
      <c r="K708" s="8" t="str">
        <f t="shared" si="2"/>
        <v/>
      </c>
    </row>
    <row r="709">
      <c r="A709" s="4" t="str">
        <f t="shared" si="1"/>
        <v/>
      </c>
      <c r="F709" s="36" t="str">
        <f t="shared" si="4"/>
        <v/>
      </c>
      <c r="G709" s="11"/>
      <c r="H709" s="11" t="str">
        <f>IF(E709="","",SUMIF(Estructuras!B:B,A709,Estructuras!E:E))</f>
        <v/>
      </c>
      <c r="I709" s="8" t="str">
        <f>IF(E709="","",IF(COUNTIF(Estructuras!F:F,E709)=0,"Falta Estructura",IF(COUNTIFS(Estructuras!F:F,E709,Estructuras!E:E,0)&gt;0,"Faltan Precios","OK")))</f>
        <v/>
      </c>
      <c r="J709" s="10" t="str">
        <f>IF(I709="Faltan Precios",COUNTIFS(Estructuras!B:B,A709,Estructuras!E:E,0),"")</f>
        <v/>
      </c>
      <c r="K709" s="8" t="str">
        <f t="shared" si="2"/>
        <v/>
      </c>
    </row>
    <row r="710">
      <c r="A710" s="4" t="str">
        <f t="shared" si="1"/>
        <v/>
      </c>
      <c r="F710" s="36" t="str">
        <f t="shared" si="4"/>
        <v/>
      </c>
      <c r="G710" s="11"/>
      <c r="H710" s="11" t="str">
        <f>IF(E710="","",SUMIF(Estructuras!B:B,A710,Estructuras!E:E))</f>
        <v/>
      </c>
      <c r="I710" s="8" t="str">
        <f>IF(E710="","",IF(COUNTIF(Estructuras!F:F,E710)=0,"Falta Estructura",IF(COUNTIFS(Estructuras!F:F,E710,Estructuras!E:E,0)&gt;0,"Faltan Precios","OK")))</f>
        <v/>
      </c>
      <c r="J710" s="10" t="str">
        <f>IF(I710="Faltan Precios",COUNTIFS(Estructuras!B:B,A710,Estructuras!E:E,0),"")</f>
        <v/>
      </c>
      <c r="K710" s="8" t="str">
        <f t="shared" si="2"/>
        <v/>
      </c>
    </row>
    <row r="711">
      <c r="A711" s="4" t="str">
        <f t="shared" si="1"/>
        <v/>
      </c>
      <c r="F711" s="36" t="str">
        <f t="shared" si="4"/>
        <v/>
      </c>
      <c r="G711" s="11"/>
      <c r="H711" s="11" t="str">
        <f>IF(E711="","",SUMIF(Estructuras!B:B,A711,Estructuras!E:E))</f>
        <v/>
      </c>
      <c r="I711" s="8" t="str">
        <f>IF(E711="","",IF(COUNTIF(Estructuras!F:F,E711)=0,"Falta Estructura",IF(COUNTIFS(Estructuras!F:F,E711,Estructuras!E:E,0)&gt;0,"Faltan Precios","OK")))</f>
        <v/>
      </c>
      <c r="J711" s="10" t="str">
        <f>IF(I711="Faltan Precios",COUNTIFS(Estructuras!B:B,A711,Estructuras!E:E,0),"")</f>
        <v/>
      </c>
      <c r="K711" s="8" t="str">
        <f t="shared" si="2"/>
        <v/>
      </c>
    </row>
    <row r="712">
      <c r="A712" s="4" t="str">
        <f t="shared" si="1"/>
        <v/>
      </c>
      <c r="F712" s="36" t="str">
        <f t="shared" si="4"/>
        <v/>
      </c>
      <c r="G712" s="11"/>
      <c r="H712" s="11" t="str">
        <f>IF(E712="","",SUMIF(Estructuras!B:B,A712,Estructuras!E:E))</f>
        <v/>
      </c>
      <c r="I712" s="8" t="str">
        <f>IF(E712="","",IF(COUNTIF(Estructuras!F:F,E712)=0,"Falta Estructura",IF(COUNTIFS(Estructuras!F:F,E712,Estructuras!E:E,0)&gt;0,"Faltan Precios","OK")))</f>
        <v/>
      </c>
      <c r="J712" s="10" t="str">
        <f>IF(I712="Faltan Precios",COUNTIFS(Estructuras!B:B,A712,Estructuras!E:E,0),"")</f>
        <v/>
      </c>
      <c r="K712" s="8" t="str">
        <f t="shared" si="2"/>
        <v/>
      </c>
    </row>
    <row r="713">
      <c r="A713" s="4" t="str">
        <f t="shared" si="1"/>
        <v/>
      </c>
      <c r="F713" s="36" t="str">
        <f t="shared" si="4"/>
        <v/>
      </c>
      <c r="G713" s="11"/>
      <c r="H713" s="11" t="str">
        <f>IF(E713="","",SUMIF(Estructuras!B:B,A713,Estructuras!E:E))</f>
        <v/>
      </c>
      <c r="I713" s="8" t="str">
        <f>IF(E713="","",IF(COUNTIF(Estructuras!F:F,E713)=0,"Falta Estructura",IF(COUNTIFS(Estructuras!F:F,E713,Estructuras!E:E,0)&gt;0,"Faltan Precios","OK")))</f>
        <v/>
      </c>
      <c r="J713" s="10" t="str">
        <f>IF(I713="Faltan Precios",COUNTIFS(Estructuras!B:B,A713,Estructuras!E:E,0),"")</f>
        <v/>
      </c>
      <c r="K713" s="8" t="str">
        <f t="shared" si="2"/>
        <v/>
      </c>
    </row>
    <row r="714">
      <c r="A714" s="4" t="str">
        <f t="shared" si="1"/>
        <v/>
      </c>
      <c r="F714" s="36" t="str">
        <f t="shared" si="4"/>
        <v/>
      </c>
      <c r="G714" s="11"/>
      <c r="H714" s="11" t="str">
        <f>IF(E714="","",SUMIF(Estructuras!B:B,A714,Estructuras!E:E))</f>
        <v/>
      </c>
      <c r="I714" s="8" t="str">
        <f>IF(E714="","",IF(COUNTIF(Estructuras!F:F,E714)=0,"Falta Estructura",IF(COUNTIFS(Estructuras!F:F,E714,Estructuras!E:E,0)&gt;0,"Faltan Precios","OK")))</f>
        <v/>
      </c>
      <c r="J714" s="10" t="str">
        <f>IF(I714="Faltan Precios",COUNTIFS(Estructuras!B:B,A714,Estructuras!E:E,0),"")</f>
        <v/>
      </c>
      <c r="K714" s="8" t="str">
        <f t="shared" si="2"/>
        <v/>
      </c>
    </row>
    <row r="715">
      <c r="A715" s="4" t="str">
        <f t="shared" si="1"/>
        <v/>
      </c>
      <c r="F715" s="36" t="str">
        <f t="shared" si="4"/>
        <v/>
      </c>
      <c r="G715" s="11"/>
      <c r="H715" s="11" t="str">
        <f>IF(E715="","",SUMIF(Estructuras!B:B,A715,Estructuras!E:E))</f>
        <v/>
      </c>
      <c r="I715" s="8" t="str">
        <f>IF(E715="","",IF(COUNTIF(Estructuras!F:F,E715)=0,"Falta Estructura",IF(COUNTIFS(Estructuras!F:F,E715,Estructuras!E:E,0)&gt;0,"Faltan Precios","OK")))</f>
        <v/>
      </c>
      <c r="J715" s="10" t="str">
        <f>IF(I715="Faltan Precios",COUNTIFS(Estructuras!B:B,A715,Estructuras!E:E,0),"")</f>
        <v/>
      </c>
      <c r="K715" s="8" t="str">
        <f t="shared" si="2"/>
        <v/>
      </c>
    </row>
    <row r="716">
      <c r="A716" s="4" t="str">
        <f t="shared" si="1"/>
        <v/>
      </c>
      <c r="F716" s="36" t="str">
        <f t="shared" si="4"/>
        <v/>
      </c>
      <c r="G716" s="11"/>
      <c r="H716" s="11" t="str">
        <f>IF(E716="","",SUMIF(Estructuras!B:B,A716,Estructuras!E:E))</f>
        <v/>
      </c>
      <c r="I716" s="8" t="str">
        <f>IF(E716="","",IF(COUNTIF(Estructuras!F:F,E716)=0,"Falta Estructura",IF(COUNTIFS(Estructuras!F:F,E716,Estructuras!E:E,0)&gt;0,"Faltan Precios","OK")))</f>
        <v/>
      </c>
      <c r="J716" s="10" t="str">
        <f>IF(I716="Faltan Precios",COUNTIFS(Estructuras!B:B,A716,Estructuras!E:E,0),"")</f>
        <v/>
      </c>
      <c r="K716" s="8" t="str">
        <f t="shared" si="2"/>
        <v/>
      </c>
    </row>
    <row r="717">
      <c r="A717" s="4" t="str">
        <f t="shared" si="1"/>
        <v/>
      </c>
      <c r="F717" s="36" t="str">
        <f t="shared" si="4"/>
        <v/>
      </c>
      <c r="G717" s="11"/>
      <c r="H717" s="11" t="str">
        <f>IF(E717="","",SUMIF(Estructuras!B:B,A717,Estructuras!E:E))</f>
        <v/>
      </c>
      <c r="I717" s="8" t="str">
        <f>IF(E717="","",IF(COUNTIF(Estructuras!F:F,E717)=0,"Falta Estructura",IF(COUNTIFS(Estructuras!F:F,E717,Estructuras!E:E,0)&gt;0,"Faltan Precios","OK")))</f>
        <v/>
      </c>
      <c r="J717" s="10" t="str">
        <f>IF(I717="Faltan Precios",COUNTIFS(Estructuras!B:B,A717,Estructuras!E:E,0),"")</f>
        <v/>
      </c>
      <c r="K717" s="8" t="str">
        <f t="shared" si="2"/>
        <v/>
      </c>
    </row>
    <row r="718">
      <c r="A718" s="4" t="str">
        <f t="shared" si="1"/>
        <v/>
      </c>
      <c r="F718" s="36" t="str">
        <f t="shared" si="4"/>
        <v/>
      </c>
      <c r="G718" s="11"/>
      <c r="H718" s="11" t="str">
        <f>IF(E718="","",SUMIF(Estructuras!B:B,A718,Estructuras!E:E))</f>
        <v/>
      </c>
      <c r="I718" s="8" t="str">
        <f>IF(E718="","",IF(COUNTIF(Estructuras!F:F,E718)=0,"Falta Estructura",IF(COUNTIFS(Estructuras!F:F,E718,Estructuras!E:E,0)&gt;0,"Faltan Precios","OK")))</f>
        <v/>
      </c>
      <c r="J718" s="10" t="str">
        <f>IF(I718="Faltan Precios",COUNTIFS(Estructuras!B:B,A718,Estructuras!E:E,0),"")</f>
        <v/>
      </c>
      <c r="K718" s="8" t="str">
        <f t="shared" si="2"/>
        <v/>
      </c>
    </row>
    <row r="719">
      <c r="A719" s="4" t="str">
        <f t="shared" si="1"/>
        <v/>
      </c>
      <c r="F719" s="36" t="str">
        <f t="shared" si="4"/>
        <v/>
      </c>
      <c r="G719" s="11"/>
      <c r="H719" s="11" t="str">
        <f>IF(E719="","",SUMIF(Estructuras!B:B,A719,Estructuras!E:E))</f>
        <v/>
      </c>
      <c r="I719" s="8" t="str">
        <f>IF(E719="","",IF(COUNTIF(Estructuras!F:F,E719)=0,"Falta Estructura",IF(COUNTIFS(Estructuras!F:F,E719,Estructuras!E:E,0)&gt;0,"Faltan Precios","OK")))</f>
        <v/>
      </c>
      <c r="J719" s="10" t="str">
        <f>IF(I719="Faltan Precios",COUNTIFS(Estructuras!B:B,A719,Estructuras!E:E,0),"")</f>
        <v/>
      </c>
      <c r="K719" s="8" t="str">
        <f t="shared" si="2"/>
        <v/>
      </c>
    </row>
    <row r="720">
      <c r="A720" s="4" t="str">
        <f t="shared" si="1"/>
        <v/>
      </c>
      <c r="F720" s="36" t="str">
        <f t="shared" si="4"/>
        <v/>
      </c>
      <c r="G720" s="11"/>
      <c r="H720" s="11" t="str">
        <f>IF(E720="","",SUMIF(Estructuras!B:B,A720,Estructuras!E:E))</f>
        <v/>
      </c>
      <c r="I720" s="8" t="str">
        <f>IF(E720="","",IF(COUNTIF(Estructuras!F:F,E720)=0,"Falta Estructura",IF(COUNTIFS(Estructuras!F:F,E720,Estructuras!E:E,0)&gt;0,"Faltan Precios","OK")))</f>
        <v/>
      </c>
      <c r="J720" s="10" t="str">
        <f>IF(I720="Faltan Precios",COUNTIFS(Estructuras!B:B,A720,Estructuras!E:E,0),"")</f>
        <v/>
      </c>
      <c r="K720" s="8" t="str">
        <f t="shared" si="2"/>
        <v/>
      </c>
    </row>
    <row r="721">
      <c r="A721" s="4" t="str">
        <f t="shared" si="1"/>
        <v/>
      </c>
      <c r="F721" s="36" t="str">
        <f t="shared" si="4"/>
        <v/>
      </c>
      <c r="G721" s="11"/>
      <c r="H721" s="11" t="str">
        <f>IF(E721="","",SUMIF(Estructuras!B:B,A721,Estructuras!E:E))</f>
        <v/>
      </c>
      <c r="I721" s="8" t="str">
        <f>IF(E721="","",IF(COUNTIF(Estructuras!F:F,E721)=0,"Falta Estructura",IF(COUNTIFS(Estructuras!F:F,E721,Estructuras!E:E,0)&gt;0,"Faltan Precios","OK")))</f>
        <v/>
      </c>
      <c r="J721" s="10" t="str">
        <f>IF(I721="Faltan Precios",COUNTIFS(Estructuras!B:B,A721,Estructuras!E:E,0),"")</f>
        <v/>
      </c>
      <c r="K721" s="8" t="str">
        <f t="shared" si="2"/>
        <v/>
      </c>
    </row>
    <row r="722">
      <c r="A722" s="4" t="str">
        <f t="shared" si="1"/>
        <v/>
      </c>
      <c r="F722" s="36" t="str">
        <f t="shared" si="4"/>
        <v/>
      </c>
      <c r="G722" s="11"/>
      <c r="H722" s="11" t="str">
        <f>IF(E722="","",SUMIF(Estructuras!B:B,A722,Estructuras!E:E))</f>
        <v/>
      </c>
      <c r="I722" s="8" t="str">
        <f>IF(E722="","",IF(COUNTIF(Estructuras!F:F,E722)=0,"Falta Estructura",IF(COUNTIFS(Estructuras!F:F,E722,Estructuras!E:E,0)&gt;0,"Faltan Precios","OK")))</f>
        <v/>
      </c>
      <c r="J722" s="10" t="str">
        <f>IF(I722="Faltan Precios",COUNTIFS(Estructuras!B:B,A722,Estructuras!E:E,0),"")</f>
        <v/>
      </c>
      <c r="K722" s="8" t="str">
        <f t="shared" si="2"/>
        <v/>
      </c>
    </row>
    <row r="723">
      <c r="A723" s="4" t="str">
        <f t="shared" si="1"/>
        <v/>
      </c>
      <c r="F723" s="36" t="str">
        <f t="shared" si="4"/>
        <v/>
      </c>
      <c r="G723" s="11"/>
      <c r="H723" s="11" t="str">
        <f>IF(E723="","",SUMIF(Estructuras!B:B,A723,Estructuras!E:E))</f>
        <v/>
      </c>
      <c r="I723" s="8" t="str">
        <f>IF(E723="","",IF(COUNTIF(Estructuras!F:F,E723)=0,"Falta Estructura",IF(COUNTIFS(Estructuras!F:F,E723,Estructuras!E:E,0)&gt;0,"Faltan Precios","OK")))</f>
        <v/>
      </c>
      <c r="J723" s="10" t="str">
        <f>IF(I723="Faltan Precios",COUNTIFS(Estructuras!B:B,A723,Estructuras!E:E,0),"")</f>
        <v/>
      </c>
      <c r="K723" s="8" t="str">
        <f t="shared" si="2"/>
        <v/>
      </c>
    </row>
    <row r="724">
      <c r="A724" s="4" t="str">
        <f t="shared" si="1"/>
        <v/>
      </c>
      <c r="F724" s="36" t="str">
        <f t="shared" si="4"/>
        <v/>
      </c>
      <c r="G724" s="11"/>
      <c r="H724" s="11" t="str">
        <f>IF(E724="","",SUMIF(Estructuras!B:B,A724,Estructuras!E:E))</f>
        <v/>
      </c>
      <c r="I724" s="8" t="str">
        <f>IF(E724="","",IF(COUNTIF(Estructuras!F:F,E724)=0,"Falta Estructura",IF(COUNTIFS(Estructuras!F:F,E724,Estructuras!E:E,0)&gt;0,"Faltan Precios","OK")))</f>
        <v/>
      </c>
      <c r="J724" s="10" t="str">
        <f>IF(I724="Faltan Precios",COUNTIFS(Estructuras!B:B,A724,Estructuras!E:E,0),"")</f>
        <v/>
      </c>
      <c r="K724" s="8" t="str">
        <f t="shared" si="2"/>
        <v/>
      </c>
    </row>
    <row r="725">
      <c r="A725" s="4" t="str">
        <f t="shared" si="1"/>
        <v/>
      </c>
      <c r="F725" s="36" t="str">
        <f t="shared" si="4"/>
        <v/>
      </c>
      <c r="G725" s="11"/>
      <c r="H725" s="11" t="str">
        <f>IF(E725="","",SUMIF(Estructuras!B:B,A725,Estructuras!E:E))</f>
        <v/>
      </c>
      <c r="I725" s="8" t="str">
        <f>IF(E725="","",IF(COUNTIF(Estructuras!F:F,E725)=0,"Falta Estructura",IF(COUNTIFS(Estructuras!F:F,E725,Estructuras!E:E,0)&gt;0,"Faltan Precios","OK")))</f>
        <v/>
      </c>
      <c r="J725" s="10" t="str">
        <f>IF(I725="Faltan Precios",COUNTIFS(Estructuras!B:B,A725,Estructuras!E:E,0),"")</f>
        <v/>
      </c>
      <c r="K725" s="8" t="str">
        <f t="shared" si="2"/>
        <v/>
      </c>
    </row>
    <row r="726">
      <c r="A726" s="4" t="str">
        <f t="shared" si="1"/>
        <v/>
      </c>
      <c r="F726" s="36" t="str">
        <f t="shared" si="4"/>
        <v/>
      </c>
      <c r="G726" s="11"/>
      <c r="H726" s="11" t="str">
        <f>IF(E726="","",SUMIF(Estructuras!B:B,A726,Estructuras!E:E))</f>
        <v/>
      </c>
      <c r="I726" s="8" t="str">
        <f>IF(E726="","",IF(COUNTIF(Estructuras!F:F,E726)=0,"Falta Estructura",IF(COUNTIFS(Estructuras!F:F,E726,Estructuras!E:E,0)&gt;0,"Faltan Precios","OK")))</f>
        <v/>
      </c>
      <c r="J726" s="10" t="str">
        <f>IF(I726="Faltan Precios",COUNTIFS(Estructuras!B:B,A726,Estructuras!E:E,0),"")</f>
        <v/>
      </c>
      <c r="K726" s="8" t="str">
        <f t="shared" si="2"/>
        <v/>
      </c>
    </row>
    <row r="727">
      <c r="A727" s="4" t="str">
        <f t="shared" si="1"/>
        <v/>
      </c>
      <c r="F727" s="36" t="str">
        <f t="shared" si="4"/>
        <v/>
      </c>
      <c r="G727" s="11"/>
      <c r="H727" s="11" t="str">
        <f>IF(E727="","",SUMIF(Estructuras!B:B,A727,Estructuras!E:E))</f>
        <v/>
      </c>
      <c r="I727" s="8" t="str">
        <f>IF(E727="","",IF(COUNTIF(Estructuras!F:F,E727)=0,"Falta Estructura",IF(COUNTIFS(Estructuras!F:F,E727,Estructuras!E:E,0)&gt;0,"Faltan Precios","OK")))</f>
        <v/>
      </c>
      <c r="J727" s="10" t="str">
        <f>IF(I727="Faltan Precios",COUNTIFS(Estructuras!B:B,A727,Estructuras!E:E,0),"")</f>
        <v/>
      </c>
      <c r="K727" s="8" t="str">
        <f t="shared" si="2"/>
        <v/>
      </c>
    </row>
    <row r="728">
      <c r="A728" s="4" t="str">
        <f t="shared" si="1"/>
        <v/>
      </c>
      <c r="F728" s="36" t="str">
        <f t="shared" si="4"/>
        <v/>
      </c>
      <c r="G728" s="11"/>
      <c r="H728" s="11" t="str">
        <f>IF(E728="","",SUMIF(Estructuras!B:B,A728,Estructuras!E:E))</f>
        <v/>
      </c>
      <c r="I728" s="8" t="str">
        <f>IF(E728="","",IF(COUNTIF(Estructuras!F:F,E728)=0,"Falta Estructura",IF(COUNTIFS(Estructuras!F:F,E728,Estructuras!E:E,0)&gt;0,"Faltan Precios","OK")))</f>
        <v/>
      </c>
      <c r="J728" s="10" t="str">
        <f>IF(I728="Faltan Precios",COUNTIFS(Estructuras!B:B,A728,Estructuras!E:E,0),"")</f>
        <v/>
      </c>
      <c r="K728" s="8" t="str">
        <f t="shared" si="2"/>
        <v/>
      </c>
    </row>
    <row r="729">
      <c r="A729" s="4" t="str">
        <f t="shared" si="1"/>
        <v/>
      </c>
      <c r="F729" s="36" t="str">
        <f t="shared" si="4"/>
        <v/>
      </c>
      <c r="G729" s="11"/>
      <c r="H729" s="11" t="str">
        <f>IF(E729="","",SUMIF(Estructuras!B:B,A729,Estructuras!E:E))</f>
        <v/>
      </c>
      <c r="I729" s="8" t="str">
        <f>IF(E729="","",IF(COUNTIF(Estructuras!F:F,E729)=0,"Falta Estructura",IF(COUNTIFS(Estructuras!F:F,E729,Estructuras!E:E,0)&gt;0,"Faltan Precios","OK")))</f>
        <v/>
      </c>
      <c r="J729" s="10" t="str">
        <f>IF(I729="Faltan Precios",COUNTIFS(Estructuras!B:B,A729,Estructuras!E:E,0),"")</f>
        <v/>
      </c>
      <c r="K729" s="8" t="str">
        <f t="shared" si="2"/>
        <v/>
      </c>
    </row>
    <row r="730">
      <c r="A730" s="4" t="str">
        <f t="shared" si="1"/>
        <v/>
      </c>
      <c r="F730" s="36" t="str">
        <f t="shared" si="4"/>
        <v/>
      </c>
      <c r="G730" s="11"/>
      <c r="H730" s="11" t="str">
        <f>IF(E730="","",SUMIF(Estructuras!B:B,A730,Estructuras!E:E))</f>
        <v/>
      </c>
      <c r="I730" s="8" t="str">
        <f>IF(E730="","",IF(COUNTIF(Estructuras!F:F,E730)=0,"Falta Estructura",IF(COUNTIFS(Estructuras!F:F,E730,Estructuras!E:E,0)&gt;0,"Faltan Precios","OK")))</f>
        <v/>
      </c>
      <c r="J730" s="10" t="str">
        <f>IF(I730="Faltan Precios",COUNTIFS(Estructuras!B:B,A730,Estructuras!E:E,0),"")</f>
        <v/>
      </c>
      <c r="K730" s="8" t="str">
        <f t="shared" si="2"/>
        <v/>
      </c>
    </row>
    <row r="731">
      <c r="A731" s="4" t="str">
        <f t="shared" si="1"/>
        <v/>
      </c>
      <c r="F731" s="36" t="str">
        <f t="shared" si="4"/>
        <v/>
      </c>
      <c r="G731" s="11"/>
      <c r="H731" s="11" t="str">
        <f>IF(E731="","",SUMIF(Estructuras!B:B,A731,Estructuras!E:E))</f>
        <v/>
      </c>
      <c r="I731" s="8" t="str">
        <f>IF(E731="","",IF(COUNTIF(Estructuras!F:F,E731)=0,"Falta Estructura",IF(COUNTIFS(Estructuras!F:F,E731,Estructuras!E:E,0)&gt;0,"Faltan Precios","OK")))</f>
        <v/>
      </c>
      <c r="J731" s="10" t="str">
        <f>IF(I731="Faltan Precios",COUNTIFS(Estructuras!B:B,A731,Estructuras!E:E,0),"")</f>
        <v/>
      </c>
      <c r="K731" s="8" t="str">
        <f t="shared" si="2"/>
        <v/>
      </c>
    </row>
    <row r="732">
      <c r="A732" s="4" t="str">
        <f t="shared" si="1"/>
        <v/>
      </c>
      <c r="F732" s="36" t="str">
        <f t="shared" si="4"/>
        <v/>
      </c>
      <c r="G732" s="11"/>
      <c r="H732" s="11" t="str">
        <f>IF(E732="","",SUMIF(Estructuras!B:B,A732,Estructuras!E:E))</f>
        <v/>
      </c>
      <c r="I732" s="8" t="str">
        <f>IF(E732="","",IF(COUNTIF(Estructuras!F:F,E732)=0,"Falta Estructura",IF(COUNTIFS(Estructuras!F:F,E732,Estructuras!E:E,0)&gt;0,"Faltan Precios","OK")))</f>
        <v/>
      </c>
      <c r="J732" s="10" t="str">
        <f>IF(I732="Faltan Precios",COUNTIFS(Estructuras!B:B,A732,Estructuras!E:E,0),"")</f>
        <v/>
      </c>
      <c r="K732" s="8" t="str">
        <f t="shared" si="2"/>
        <v/>
      </c>
    </row>
    <row r="733">
      <c r="A733" s="4" t="str">
        <f t="shared" si="1"/>
        <v/>
      </c>
      <c r="F733" s="36" t="str">
        <f t="shared" si="4"/>
        <v/>
      </c>
      <c r="G733" s="11"/>
      <c r="H733" s="11" t="str">
        <f>IF(E733="","",SUMIF(Estructuras!B:B,A733,Estructuras!E:E))</f>
        <v/>
      </c>
      <c r="I733" s="8" t="str">
        <f>IF(E733="","",IF(COUNTIF(Estructuras!F:F,E733)=0,"Falta Estructura",IF(COUNTIFS(Estructuras!F:F,E733,Estructuras!E:E,0)&gt;0,"Faltan Precios","OK")))</f>
        <v/>
      </c>
      <c r="J733" s="10" t="str">
        <f>IF(I733="Faltan Precios",COUNTIFS(Estructuras!B:B,A733,Estructuras!E:E,0),"")</f>
        <v/>
      </c>
      <c r="K733" s="8" t="str">
        <f t="shared" si="2"/>
        <v/>
      </c>
    </row>
    <row r="734">
      <c r="A734" s="4" t="str">
        <f t="shared" si="1"/>
        <v/>
      </c>
      <c r="F734" s="36" t="str">
        <f t="shared" si="4"/>
        <v/>
      </c>
      <c r="G734" s="11"/>
      <c r="H734" s="11" t="str">
        <f>IF(E734="","",SUMIF(Estructuras!B:B,A734,Estructuras!E:E))</f>
        <v/>
      </c>
      <c r="I734" s="8" t="str">
        <f>IF(E734="","",IF(COUNTIF(Estructuras!F:F,E734)=0,"Falta Estructura",IF(COUNTIFS(Estructuras!F:F,E734,Estructuras!E:E,0)&gt;0,"Faltan Precios","OK")))</f>
        <v/>
      </c>
      <c r="J734" s="10" t="str">
        <f>IF(I734="Faltan Precios",COUNTIFS(Estructuras!B:B,A734,Estructuras!E:E,0),"")</f>
        <v/>
      </c>
      <c r="K734" s="8" t="str">
        <f t="shared" si="2"/>
        <v/>
      </c>
    </row>
    <row r="735">
      <c r="A735" s="4" t="str">
        <f t="shared" si="1"/>
        <v/>
      </c>
      <c r="F735" s="36" t="str">
        <f t="shared" si="4"/>
        <v/>
      </c>
      <c r="G735" s="11"/>
      <c r="H735" s="11" t="str">
        <f>IF(E735="","",SUMIF(Estructuras!B:B,A735,Estructuras!E:E))</f>
        <v/>
      </c>
      <c r="I735" s="8" t="str">
        <f>IF(E735="","",IF(COUNTIF(Estructuras!F:F,E735)=0,"Falta Estructura",IF(COUNTIFS(Estructuras!F:F,E735,Estructuras!E:E,0)&gt;0,"Faltan Precios","OK")))</f>
        <v/>
      </c>
      <c r="J735" s="10" t="str">
        <f>IF(I735="Faltan Precios",COUNTIFS(Estructuras!B:B,A735,Estructuras!E:E,0),"")</f>
        <v/>
      </c>
      <c r="K735" s="8" t="str">
        <f t="shared" si="2"/>
        <v/>
      </c>
    </row>
    <row r="736">
      <c r="A736" s="4" t="str">
        <f t="shared" si="1"/>
        <v/>
      </c>
      <c r="F736" s="36" t="str">
        <f t="shared" si="4"/>
        <v/>
      </c>
      <c r="G736" s="11"/>
      <c r="H736" s="11" t="str">
        <f>IF(E736="","",SUMIF(Estructuras!B:B,A736,Estructuras!E:E))</f>
        <v/>
      </c>
      <c r="I736" s="8" t="str">
        <f>IF(E736="","",IF(COUNTIF(Estructuras!F:F,E736)=0,"Falta Estructura",IF(COUNTIFS(Estructuras!F:F,E736,Estructuras!E:E,0)&gt;0,"Faltan Precios","OK")))</f>
        <v/>
      </c>
      <c r="J736" s="10" t="str">
        <f>IF(I736="Faltan Precios",COUNTIFS(Estructuras!B:B,A736,Estructuras!E:E,0),"")</f>
        <v/>
      </c>
      <c r="K736" s="8" t="str">
        <f t="shared" si="2"/>
        <v/>
      </c>
    </row>
    <row r="737">
      <c r="A737" s="4" t="str">
        <f t="shared" si="1"/>
        <v/>
      </c>
      <c r="F737" s="36" t="str">
        <f t="shared" si="4"/>
        <v/>
      </c>
      <c r="G737" s="11"/>
      <c r="H737" s="11" t="str">
        <f>IF(E737="","",SUMIF(Estructuras!B:B,A737,Estructuras!E:E))</f>
        <v/>
      </c>
      <c r="I737" s="8" t="str">
        <f>IF(E737="","",IF(COUNTIF(Estructuras!F:F,E737)=0,"Falta Estructura",IF(COUNTIFS(Estructuras!F:F,E737,Estructuras!E:E,0)&gt;0,"Faltan Precios","OK")))</f>
        <v/>
      </c>
      <c r="J737" s="10" t="str">
        <f>IF(I737="Faltan Precios",COUNTIFS(Estructuras!B:B,A737,Estructuras!E:E,0),"")</f>
        <v/>
      </c>
      <c r="K737" s="8" t="str">
        <f t="shared" si="2"/>
        <v/>
      </c>
    </row>
    <row r="738">
      <c r="A738" s="4" t="str">
        <f t="shared" si="1"/>
        <v/>
      </c>
      <c r="F738" s="36" t="str">
        <f t="shared" si="4"/>
        <v/>
      </c>
      <c r="G738" s="11"/>
      <c r="H738" s="11" t="str">
        <f>IF(E738="","",SUMIF(Estructuras!B:B,A738,Estructuras!E:E))</f>
        <v/>
      </c>
      <c r="I738" s="8" t="str">
        <f>IF(E738="","",IF(COUNTIF(Estructuras!F:F,E738)=0,"Falta Estructura",IF(COUNTIFS(Estructuras!F:F,E738,Estructuras!E:E,0)&gt;0,"Faltan Precios","OK")))</f>
        <v/>
      </c>
      <c r="J738" s="10" t="str">
        <f>IF(I738="Faltan Precios",COUNTIFS(Estructuras!B:B,A738,Estructuras!E:E,0),"")</f>
        <v/>
      </c>
      <c r="K738" s="8" t="str">
        <f t="shared" si="2"/>
        <v/>
      </c>
    </row>
    <row r="739">
      <c r="A739" s="4" t="str">
        <f t="shared" si="1"/>
        <v/>
      </c>
      <c r="F739" s="36" t="str">
        <f t="shared" si="4"/>
        <v/>
      </c>
      <c r="G739" s="11"/>
      <c r="H739" s="11" t="str">
        <f>IF(E739="","",SUMIF(Estructuras!B:B,A739,Estructuras!E:E))</f>
        <v/>
      </c>
      <c r="I739" s="8" t="str">
        <f>IF(E739="","",IF(COUNTIF(Estructuras!F:F,E739)=0,"Falta Estructura",IF(COUNTIFS(Estructuras!F:F,E739,Estructuras!E:E,0)&gt;0,"Faltan Precios","OK")))</f>
        <v/>
      </c>
      <c r="J739" s="10" t="str">
        <f>IF(I739="Faltan Precios",COUNTIFS(Estructuras!B:B,A739,Estructuras!E:E,0),"")</f>
        <v/>
      </c>
      <c r="K739" s="8" t="str">
        <f t="shared" si="2"/>
        <v/>
      </c>
    </row>
    <row r="740">
      <c r="A740" s="4" t="str">
        <f t="shared" si="1"/>
        <v/>
      </c>
      <c r="F740" s="36" t="str">
        <f t="shared" si="4"/>
        <v/>
      </c>
      <c r="G740" s="11"/>
      <c r="H740" s="11" t="str">
        <f>IF(E740="","",SUMIF(Estructuras!B:B,A740,Estructuras!E:E))</f>
        <v/>
      </c>
      <c r="I740" s="8" t="str">
        <f>IF(E740="","",IF(COUNTIF(Estructuras!F:F,E740)=0,"Falta Estructura",IF(COUNTIFS(Estructuras!F:F,E740,Estructuras!E:E,0)&gt;0,"Faltan Precios","OK")))</f>
        <v/>
      </c>
      <c r="J740" s="10" t="str">
        <f>IF(I740="Faltan Precios",COUNTIFS(Estructuras!B:B,A740,Estructuras!E:E,0),"")</f>
        <v/>
      </c>
      <c r="K740" s="8" t="str">
        <f t="shared" si="2"/>
        <v/>
      </c>
    </row>
    <row r="741">
      <c r="A741" s="4" t="str">
        <f t="shared" si="1"/>
        <v/>
      </c>
      <c r="F741" s="36" t="str">
        <f t="shared" si="4"/>
        <v/>
      </c>
      <c r="G741" s="11"/>
      <c r="H741" s="11" t="str">
        <f>IF(E741="","",SUMIF(Estructuras!B:B,A741,Estructuras!E:E))</f>
        <v/>
      </c>
      <c r="I741" s="8" t="str">
        <f>IF(E741="","",IF(COUNTIF(Estructuras!F:F,E741)=0,"Falta Estructura",IF(COUNTIFS(Estructuras!F:F,E741,Estructuras!E:E,0)&gt;0,"Faltan Precios","OK")))</f>
        <v/>
      </c>
      <c r="J741" s="10" t="str">
        <f>IF(I741="Faltan Precios",COUNTIFS(Estructuras!B:B,A741,Estructuras!E:E,0),"")</f>
        <v/>
      </c>
      <c r="K741" s="8" t="str">
        <f t="shared" si="2"/>
        <v/>
      </c>
    </row>
    <row r="742">
      <c r="A742" s="4" t="str">
        <f t="shared" si="1"/>
        <v/>
      </c>
      <c r="F742" s="36" t="str">
        <f t="shared" si="4"/>
        <v/>
      </c>
      <c r="G742" s="11"/>
      <c r="H742" s="11" t="str">
        <f>IF(E742="","",SUMIF(Estructuras!B:B,A742,Estructuras!E:E))</f>
        <v/>
      </c>
      <c r="I742" s="8" t="str">
        <f>IF(E742="","",IF(COUNTIF(Estructuras!F:F,E742)=0,"Falta Estructura",IF(COUNTIFS(Estructuras!F:F,E742,Estructuras!E:E,0)&gt;0,"Faltan Precios","OK")))</f>
        <v/>
      </c>
      <c r="J742" s="10" t="str">
        <f>IF(I742="Faltan Precios",COUNTIFS(Estructuras!B:B,A742,Estructuras!E:E,0),"")</f>
        <v/>
      </c>
      <c r="K742" s="8" t="str">
        <f t="shared" si="2"/>
        <v/>
      </c>
    </row>
    <row r="743">
      <c r="A743" s="4" t="str">
        <f t="shared" si="1"/>
        <v/>
      </c>
      <c r="F743" s="36" t="str">
        <f t="shared" si="4"/>
        <v/>
      </c>
      <c r="G743" s="11"/>
      <c r="H743" s="11" t="str">
        <f>IF(E743="","",SUMIF(Estructuras!B:B,A743,Estructuras!E:E))</f>
        <v/>
      </c>
      <c r="I743" s="8" t="str">
        <f>IF(E743="","",IF(COUNTIF(Estructuras!F:F,E743)=0,"Falta Estructura",IF(COUNTIFS(Estructuras!F:F,E743,Estructuras!E:E,0)&gt;0,"Faltan Precios","OK")))</f>
        <v/>
      </c>
      <c r="J743" s="10" t="str">
        <f>IF(I743="Faltan Precios",COUNTIFS(Estructuras!B:B,A743,Estructuras!E:E,0),"")</f>
        <v/>
      </c>
      <c r="K743" s="8" t="str">
        <f t="shared" si="2"/>
        <v/>
      </c>
    </row>
    <row r="744">
      <c r="A744" s="4" t="str">
        <f t="shared" si="1"/>
        <v/>
      </c>
      <c r="F744" s="36" t="str">
        <f t="shared" si="4"/>
        <v/>
      </c>
      <c r="G744" s="11"/>
      <c r="H744" s="11" t="str">
        <f>IF(E744="","",SUMIF(Estructuras!B:B,A744,Estructuras!E:E))</f>
        <v/>
      </c>
      <c r="I744" s="8" t="str">
        <f>IF(E744="","",IF(COUNTIF(Estructuras!F:F,E744)=0,"Falta Estructura",IF(COUNTIFS(Estructuras!F:F,E744,Estructuras!E:E,0)&gt;0,"Faltan Precios","OK")))</f>
        <v/>
      </c>
      <c r="J744" s="10" t="str">
        <f>IF(I744="Faltan Precios",COUNTIFS(Estructuras!B:B,A744,Estructuras!E:E,0),"")</f>
        <v/>
      </c>
      <c r="K744" s="8" t="str">
        <f t="shared" si="2"/>
        <v/>
      </c>
    </row>
    <row r="745">
      <c r="A745" s="4" t="str">
        <f t="shared" si="1"/>
        <v/>
      </c>
      <c r="F745" s="36" t="str">
        <f t="shared" si="4"/>
        <v/>
      </c>
      <c r="G745" s="11"/>
      <c r="H745" s="11" t="str">
        <f>IF(E745="","",SUMIF(Estructuras!B:B,A745,Estructuras!E:E))</f>
        <v/>
      </c>
      <c r="I745" s="8" t="str">
        <f>IF(E745="","",IF(COUNTIF(Estructuras!F:F,E745)=0,"Falta Estructura",IF(COUNTIFS(Estructuras!F:F,E745,Estructuras!E:E,0)&gt;0,"Faltan Precios","OK")))</f>
        <v/>
      </c>
      <c r="J745" s="10" t="str">
        <f>IF(I745="Faltan Precios",COUNTIFS(Estructuras!B:B,A745,Estructuras!E:E,0),"")</f>
        <v/>
      </c>
      <c r="K745" s="8" t="str">
        <f t="shared" si="2"/>
        <v/>
      </c>
    </row>
    <row r="746">
      <c r="A746" s="4" t="str">
        <f t="shared" si="1"/>
        <v/>
      </c>
      <c r="F746" s="36" t="str">
        <f t="shared" si="4"/>
        <v/>
      </c>
      <c r="G746" s="11"/>
      <c r="H746" s="11" t="str">
        <f>IF(E746="","",SUMIF(Estructuras!B:B,A746,Estructuras!E:E))</f>
        <v/>
      </c>
      <c r="I746" s="8" t="str">
        <f>IF(E746="","",IF(COUNTIF(Estructuras!F:F,E746)=0,"Falta Estructura",IF(COUNTIFS(Estructuras!F:F,E746,Estructuras!E:E,0)&gt;0,"Faltan Precios","OK")))</f>
        <v/>
      </c>
      <c r="J746" s="10" t="str">
        <f>IF(I746="Faltan Precios",COUNTIFS(Estructuras!B:B,A746,Estructuras!E:E,0),"")</f>
        <v/>
      </c>
      <c r="K746" s="8" t="str">
        <f t="shared" si="2"/>
        <v/>
      </c>
    </row>
    <row r="747">
      <c r="A747" s="4" t="str">
        <f t="shared" si="1"/>
        <v/>
      </c>
      <c r="F747" s="36" t="str">
        <f t="shared" si="4"/>
        <v/>
      </c>
      <c r="G747" s="11"/>
      <c r="H747" s="11" t="str">
        <f>IF(E747="","",SUMIF(Estructuras!B:B,A747,Estructuras!E:E))</f>
        <v/>
      </c>
      <c r="I747" s="8" t="str">
        <f>IF(E747="","",IF(COUNTIF(Estructuras!F:F,E747)=0,"Falta Estructura",IF(COUNTIFS(Estructuras!F:F,E747,Estructuras!E:E,0)&gt;0,"Faltan Precios","OK")))</f>
        <v/>
      </c>
      <c r="J747" s="10" t="str">
        <f>IF(I747="Faltan Precios",COUNTIFS(Estructuras!B:B,A747,Estructuras!E:E,0),"")</f>
        <v/>
      </c>
      <c r="K747" s="8" t="str">
        <f t="shared" si="2"/>
        <v/>
      </c>
    </row>
    <row r="748">
      <c r="A748" s="4" t="str">
        <f t="shared" si="1"/>
        <v/>
      </c>
      <c r="F748" s="36" t="str">
        <f t="shared" si="4"/>
        <v/>
      </c>
      <c r="G748" s="11"/>
      <c r="H748" s="11" t="str">
        <f>IF(E748="","",SUMIF(Estructuras!B:B,A748,Estructuras!E:E))</f>
        <v/>
      </c>
      <c r="I748" s="8" t="str">
        <f>IF(E748="","",IF(COUNTIF(Estructuras!F:F,E748)=0,"Falta Estructura",IF(COUNTIFS(Estructuras!F:F,E748,Estructuras!E:E,0)&gt;0,"Faltan Precios","OK")))</f>
        <v/>
      </c>
      <c r="J748" s="10" t="str">
        <f>IF(I748="Faltan Precios",COUNTIFS(Estructuras!B:B,A748,Estructuras!E:E,0),"")</f>
        <v/>
      </c>
      <c r="K748" s="8" t="str">
        <f t="shared" si="2"/>
        <v/>
      </c>
    </row>
    <row r="749">
      <c r="A749" s="4" t="str">
        <f t="shared" si="1"/>
        <v/>
      </c>
      <c r="F749" s="36" t="str">
        <f t="shared" si="4"/>
        <v/>
      </c>
      <c r="G749" s="11"/>
      <c r="H749" s="11" t="str">
        <f>IF(E749="","",SUMIF(Estructuras!B:B,A749,Estructuras!E:E))</f>
        <v/>
      </c>
      <c r="I749" s="8" t="str">
        <f>IF(E749="","",IF(COUNTIF(Estructuras!F:F,E749)=0,"Falta Estructura",IF(COUNTIFS(Estructuras!F:F,E749,Estructuras!E:E,0)&gt;0,"Faltan Precios","OK")))</f>
        <v/>
      </c>
      <c r="J749" s="10" t="str">
        <f>IF(I749="Faltan Precios",COUNTIFS(Estructuras!B:B,A749,Estructuras!E:E,0),"")</f>
        <v/>
      </c>
      <c r="K749" s="8" t="str">
        <f t="shared" si="2"/>
        <v/>
      </c>
    </row>
    <row r="750">
      <c r="A750" s="4" t="str">
        <f t="shared" si="1"/>
        <v/>
      </c>
      <c r="F750" s="36" t="str">
        <f t="shared" si="4"/>
        <v/>
      </c>
      <c r="G750" s="11"/>
      <c r="H750" s="11" t="str">
        <f>IF(E750="","",SUMIF(Estructuras!B:B,A750,Estructuras!E:E))</f>
        <v/>
      </c>
      <c r="I750" s="8" t="str">
        <f>IF(E750="","",IF(COUNTIF(Estructuras!F:F,E750)=0,"Falta Estructura",IF(COUNTIFS(Estructuras!F:F,E750,Estructuras!E:E,0)&gt;0,"Faltan Precios","OK")))</f>
        <v/>
      </c>
      <c r="J750" s="10" t="str">
        <f>IF(I750="Faltan Precios",COUNTIFS(Estructuras!B:B,A750,Estructuras!E:E,0),"")</f>
        <v/>
      </c>
      <c r="K750" s="8" t="str">
        <f t="shared" si="2"/>
        <v/>
      </c>
    </row>
    <row r="751">
      <c r="A751" s="4" t="str">
        <f t="shared" si="1"/>
        <v/>
      </c>
      <c r="F751" s="36" t="str">
        <f t="shared" si="4"/>
        <v/>
      </c>
      <c r="G751" s="11"/>
      <c r="H751" s="11" t="str">
        <f>IF(E751="","",SUMIF(Estructuras!B:B,A751,Estructuras!E:E))</f>
        <v/>
      </c>
      <c r="I751" s="8" t="str">
        <f>IF(E751="","",IF(COUNTIF(Estructuras!F:F,E751)=0,"Falta Estructura",IF(COUNTIFS(Estructuras!F:F,E751,Estructuras!E:E,0)&gt;0,"Faltan Precios","OK")))</f>
        <v/>
      </c>
      <c r="J751" s="10" t="str">
        <f>IF(I751="Faltan Precios",COUNTIFS(Estructuras!B:B,A751,Estructuras!E:E,0),"")</f>
        <v/>
      </c>
      <c r="K751" s="8" t="str">
        <f t="shared" si="2"/>
        <v/>
      </c>
    </row>
    <row r="752">
      <c r="A752" s="4" t="str">
        <f t="shared" si="1"/>
        <v/>
      </c>
      <c r="F752" s="36" t="str">
        <f t="shared" si="4"/>
        <v/>
      </c>
      <c r="G752" s="11"/>
      <c r="H752" s="11" t="str">
        <f>IF(E752="","",SUMIF(Estructuras!B:B,A752,Estructuras!E:E))</f>
        <v/>
      </c>
      <c r="I752" s="8" t="str">
        <f>IF(E752="","",IF(COUNTIF(Estructuras!F:F,E752)=0,"Falta Estructura",IF(COUNTIFS(Estructuras!F:F,E752,Estructuras!E:E,0)&gt;0,"Faltan Precios","OK")))</f>
        <v/>
      </c>
      <c r="J752" s="10" t="str">
        <f>IF(I752="Faltan Precios",COUNTIFS(Estructuras!B:B,A752,Estructuras!E:E,0),"")</f>
        <v/>
      </c>
      <c r="K752" s="8" t="str">
        <f t="shared" si="2"/>
        <v/>
      </c>
    </row>
    <row r="753">
      <c r="A753" s="4" t="str">
        <f t="shared" si="1"/>
        <v/>
      </c>
      <c r="F753" s="36" t="str">
        <f t="shared" si="4"/>
        <v/>
      </c>
      <c r="G753" s="11"/>
      <c r="H753" s="11" t="str">
        <f>IF(E753="","",SUMIF(Estructuras!B:B,A753,Estructuras!E:E))</f>
        <v/>
      </c>
      <c r="I753" s="8" t="str">
        <f>IF(E753="","",IF(COUNTIF(Estructuras!F:F,E753)=0,"Falta Estructura",IF(COUNTIFS(Estructuras!F:F,E753,Estructuras!E:E,0)&gt;0,"Faltan Precios","OK")))</f>
        <v/>
      </c>
      <c r="J753" s="10" t="str">
        <f>IF(I753="Faltan Precios",COUNTIFS(Estructuras!B:B,A753,Estructuras!E:E,0),"")</f>
        <v/>
      </c>
      <c r="K753" s="8" t="str">
        <f t="shared" si="2"/>
        <v/>
      </c>
    </row>
    <row r="754">
      <c r="A754" s="4" t="str">
        <f t="shared" si="1"/>
        <v/>
      </c>
      <c r="F754" s="36" t="str">
        <f t="shared" si="4"/>
        <v/>
      </c>
      <c r="G754" s="11"/>
      <c r="H754" s="11" t="str">
        <f>IF(E754="","",SUMIF(Estructuras!B:B,A754,Estructuras!E:E))</f>
        <v/>
      </c>
      <c r="I754" s="8" t="str">
        <f>IF(E754="","",IF(COUNTIF(Estructuras!F:F,E754)=0,"Falta Estructura",IF(COUNTIFS(Estructuras!F:F,E754,Estructuras!E:E,0)&gt;0,"Faltan Precios","OK")))</f>
        <v/>
      </c>
      <c r="J754" s="10" t="str">
        <f>IF(I754="Faltan Precios",COUNTIFS(Estructuras!B:B,A754,Estructuras!E:E,0),"")</f>
        <v/>
      </c>
      <c r="K754" s="8" t="str">
        <f t="shared" si="2"/>
        <v/>
      </c>
    </row>
    <row r="755">
      <c r="A755" s="4" t="str">
        <f t="shared" si="1"/>
        <v/>
      </c>
      <c r="F755" s="36" t="str">
        <f t="shared" si="4"/>
        <v/>
      </c>
      <c r="G755" s="11"/>
      <c r="H755" s="11" t="str">
        <f>IF(E755="","",SUMIF(Estructuras!B:B,A755,Estructuras!E:E))</f>
        <v/>
      </c>
      <c r="I755" s="8" t="str">
        <f>IF(E755="","",IF(COUNTIF(Estructuras!F:F,E755)=0,"Falta Estructura",IF(COUNTIFS(Estructuras!F:F,E755,Estructuras!E:E,0)&gt;0,"Faltan Precios","OK")))</f>
        <v/>
      </c>
      <c r="J755" s="10" t="str">
        <f>IF(I755="Faltan Precios",COUNTIFS(Estructuras!B:B,A755,Estructuras!E:E,0),"")</f>
        <v/>
      </c>
      <c r="K755" s="8" t="str">
        <f t="shared" si="2"/>
        <v/>
      </c>
    </row>
    <row r="756">
      <c r="A756" s="4" t="str">
        <f t="shared" si="1"/>
        <v/>
      </c>
      <c r="F756" s="36" t="str">
        <f t="shared" si="4"/>
        <v/>
      </c>
      <c r="G756" s="11"/>
      <c r="H756" s="11" t="str">
        <f>IF(E756="","",SUMIF(Estructuras!B:B,A756,Estructuras!E:E))</f>
        <v/>
      </c>
      <c r="I756" s="8" t="str">
        <f>IF(E756="","",IF(COUNTIF(Estructuras!F:F,E756)=0,"Falta Estructura",IF(COUNTIFS(Estructuras!F:F,E756,Estructuras!E:E,0)&gt;0,"Faltan Precios","OK")))</f>
        <v/>
      </c>
      <c r="J756" s="10" t="str">
        <f>IF(I756="Faltan Precios",COUNTIFS(Estructuras!B:B,A756,Estructuras!E:E,0),"")</f>
        <v/>
      </c>
      <c r="K756" s="8" t="str">
        <f t="shared" si="2"/>
        <v/>
      </c>
    </row>
    <row r="757">
      <c r="A757" s="4" t="str">
        <f t="shared" si="1"/>
        <v/>
      </c>
      <c r="F757" s="36" t="str">
        <f t="shared" si="4"/>
        <v/>
      </c>
      <c r="G757" s="11"/>
      <c r="H757" s="11" t="str">
        <f>IF(E757="","",SUMIF(Estructuras!B:B,A757,Estructuras!E:E))</f>
        <v/>
      </c>
      <c r="I757" s="8" t="str">
        <f>IF(E757="","",IF(COUNTIF(Estructuras!F:F,E757)=0,"Falta Estructura",IF(COUNTIFS(Estructuras!F:F,E757,Estructuras!E:E,0)&gt;0,"Faltan Precios","OK")))</f>
        <v/>
      </c>
      <c r="J757" s="10" t="str">
        <f>IF(I757="Faltan Precios",COUNTIFS(Estructuras!B:B,A757,Estructuras!E:E,0),"")</f>
        <v/>
      </c>
      <c r="K757" s="8" t="str">
        <f t="shared" si="2"/>
        <v/>
      </c>
    </row>
    <row r="758">
      <c r="A758" s="4" t="str">
        <f t="shared" si="1"/>
        <v/>
      </c>
      <c r="F758" s="36" t="str">
        <f t="shared" si="4"/>
        <v/>
      </c>
      <c r="G758" s="11"/>
      <c r="H758" s="11" t="str">
        <f>IF(E758="","",SUMIF(Estructuras!B:B,A758,Estructuras!E:E))</f>
        <v/>
      </c>
      <c r="I758" s="8" t="str">
        <f>IF(E758="","",IF(COUNTIF(Estructuras!F:F,E758)=0,"Falta Estructura",IF(COUNTIFS(Estructuras!F:F,E758,Estructuras!E:E,0)&gt;0,"Faltan Precios","OK")))</f>
        <v/>
      </c>
      <c r="J758" s="10" t="str">
        <f>IF(I758="Faltan Precios",COUNTIFS(Estructuras!B:B,A758,Estructuras!E:E,0),"")</f>
        <v/>
      </c>
      <c r="K758" s="8" t="str">
        <f t="shared" si="2"/>
        <v/>
      </c>
    </row>
    <row r="759">
      <c r="A759" s="4" t="str">
        <f t="shared" si="1"/>
        <v/>
      </c>
      <c r="F759" s="36" t="str">
        <f t="shared" si="4"/>
        <v/>
      </c>
      <c r="G759" s="11"/>
      <c r="H759" s="11" t="str">
        <f>IF(E759="","",SUMIF(Estructuras!B:B,A759,Estructuras!E:E))</f>
        <v/>
      </c>
      <c r="I759" s="8" t="str">
        <f>IF(E759="","",IF(COUNTIF(Estructuras!F:F,E759)=0,"Falta Estructura",IF(COUNTIFS(Estructuras!F:F,E759,Estructuras!E:E,0)&gt;0,"Faltan Precios","OK")))</f>
        <v/>
      </c>
      <c r="J759" s="10" t="str">
        <f>IF(I759="Faltan Precios",COUNTIFS(Estructuras!B:B,A759,Estructuras!E:E,0),"")</f>
        <v/>
      </c>
      <c r="K759" s="8" t="str">
        <f t="shared" si="2"/>
        <v/>
      </c>
    </row>
    <row r="760">
      <c r="A760" s="4" t="str">
        <f t="shared" si="1"/>
        <v/>
      </c>
      <c r="F760" s="36" t="str">
        <f t="shared" si="4"/>
        <v/>
      </c>
      <c r="G760" s="11"/>
      <c r="H760" s="11" t="str">
        <f>IF(E760="","",SUMIF(Estructuras!B:B,A760,Estructuras!E:E))</f>
        <v/>
      </c>
      <c r="I760" s="8" t="str">
        <f>IF(E760="","",IF(COUNTIF(Estructuras!F:F,E760)=0,"Falta Estructura",IF(COUNTIFS(Estructuras!F:F,E760,Estructuras!E:E,0)&gt;0,"Faltan Precios","OK")))</f>
        <v/>
      </c>
      <c r="J760" s="10" t="str">
        <f>IF(I760="Faltan Precios",COUNTIFS(Estructuras!B:B,A760,Estructuras!E:E,0),"")</f>
        <v/>
      </c>
      <c r="K760" s="8" t="str">
        <f t="shared" si="2"/>
        <v/>
      </c>
    </row>
    <row r="761">
      <c r="A761" s="4" t="str">
        <f t="shared" si="1"/>
        <v/>
      </c>
      <c r="F761" s="36" t="str">
        <f t="shared" si="4"/>
        <v/>
      </c>
      <c r="G761" s="11"/>
      <c r="H761" s="11" t="str">
        <f>IF(E761="","",SUMIF(Estructuras!B:B,A761,Estructuras!E:E))</f>
        <v/>
      </c>
      <c r="I761" s="8" t="str">
        <f>IF(E761="","",IF(COUNTIF(Estructuras!F:F,E761)=0,"Falta Estructura",IF(COUNTIFS(Estructuras!F:F,E761,Estructuras!E:E,0)&gt;0,"Faltan Precios","OK")))</f>
        <v/>
      </c>
      <c r="J761" s="10" t="str">
        <f>IF(I761="Faltan Precios",COUNTIFS(Estructuras!B:B,A761,Estructuras!E:E,0),"")</f>
        <v/>
      </c>
      <c r="K761" s="8" t="str">
        <f t="shared" si="2"/>
        <v/>
      </c>
    </row>
    <row r="762">
      <c r="A762" s="4" t="str">
        <f t="shared" si="1"/>
        <v/>
      </c>
      <c r="F762" s="36" t="str">
        <f t="shared" si="4"/>
        <v/>
      </c>
      <c r="G762" s="11"/>
      <c r="H762" s="11" t="str">
        <f>IF(E762="","",SUMIF(Estructuras!B:B,A762,Estructuras!E:E))</f>
        <v/>
      </c>
      <c r="I762" s="8" t="str">
        <f>IF(E762="","",IF(COUNTIF(Estructuras!F:F,E762)=0,"Falta Estructura",IF(COUNTIFS(Estructuras!F:F,E762,Estructuras!E:E,0)&gt;0,"Faltan Precios","OK")))</f>
        <v/>
      </c>
      <c r="J762" s="10" t="str">
        <f>IF(I762="Faltan Precios",COUNTIFS(Estructuras!B:B,A762,Estructuras!E:E,0),"")</f>
        <v/>
      </c>
      <c r="K762" s="8" t="str">
        <f t="shared" si="2"/>
        <v/>
      </c>
    </row>
    <row r="763">
      <c r="A763" s="4" t="str">
        <f t="shared" si="1"/>
        <v/>
      </c>
      <c r="F763" s="36" t="str">
        <f t="shared" si="4"/>
        <v/>
      </c>
      <c r="G763" s="11"/>
      <c r="H763" s="11" t="str">
        <f>IF(E763="","",SUMIF(Estructuras!B:B,A763,Estructuras!E:E))</f>
        <v/>
      </c>
      <c r="I763" s="8" t="str">
        <f>IF(E763="","",IF(COUNTIF(Estructuras!F:F,E763)=0,"Falta Estructura",IF(COUNTIFS(Estructuras!F:F,E763,Estructuras!E:E,0)&gt;0,"Faltan Precios","OK")))</f>
        <v/>
      </c>
      <c r="J763" s="10" t="str">
        <f>IF(I763="Faltan Precios",COUNTIFS(Estructuras!B:B,A763,Estructuras!E:E,0),"")</f>
        <v/>
      </c>
      <c r="K763" s="8" t="str">
        <f t="shared" si="2"/>
        <v/>
      </c>
    </row>
    <row r="764">
      <c r="A764" s="4" t="str">
        <f t="shared" si="1"/>
        <v/>
      </c>
      <c r="F764" s="36" t="str">
        <f t="shared" si="4"/>
        <v/>
      </c>
      <c r="G764" s="11"/>
      <c r="H764" s="11" t="str">
        <f>IF(E764="","",SUMIF(Estructuras!B:B,A764,Estructuras!E:E))</f>
        <v/>
      </c>
      <c r="I764" s="8" t="str">
        <f>IF(E764="","",IF(COUNTIF(Estructuras!F:F,E764)=0,"Falta Estructura",IF(COUNTIFS(Estructuras!F:F,E764,Estructuras!E:E,0)&gt;0,"Faltan Precios","OK")))</f>
        <v/>
      </c>
      <c r="J764" s="10" t="str">
        <f>IF(I764="Faltan Precios",COUNTIFS(Estructuras!B:B,A764,Estructuras!E:E,0),"")</f>
        <v/>
      </c>
      <c r="K764" s="8" t="str">
        <f t="shared" si="2"/>
        <v/>
      </c>
    </row>
    <row r="765">
      <c r="A765" s="4" t="str">
        <f t="shared" si="1"/>
        <v/>
      </c>
      <c r="F765" s="36" t="str">
        <f t="shared" si="4"/>
        <v/>
      </c>
      <c r="G765" s="11"/>
      <c r="H765" s="11" t="str">
        <f>IF(E765="","",SUMIF(Estructuras!B:B,A765,Estructuras!E:E))</f>
        <v/>
      </c>
      <c r="I765" s="8" t="str">
        <f>IF(E765="","",IF(COUNTIF(Estructuras!F:F,E765)=0,"Falta Estructura",IF(COUNTIFS(Estructuras!F:F,E765,Estructuras!E:E,0)&gt;0,"Faltan Precios","OK")))</f>
        <v/>
      </c>
      <c r="J765" s="10" t="str">
        <f>IF(I765="Faltan Precios",COUNTIFS(Estructuras!B:B,A765,Estructuras!E:E,0),"")</f>
        <v/>
      </c>
      <c r="K765" s="8" t="str">
        <f t="shared" si="2"/>
        <v/>
      </c>
    </row>
    <row r="766">
      <c r="A766" s="4" t="str">
        <f t="shared" si="1"/>
        <v/>
      </c>
      <c r="F766" s="36" t="str">
        <f t="shared" si="4"/>
        <v/>
      </c>
      <c r="G766" s="11"/>
      <c r="H766" s="11" t="str">
        <f>IF(E766="","",SUMIF(Estructuras!B:B,A766,Estructuras!E:E))</f>
        <v/>
      </c>
      <c r="I766" s="8" t="str">
        <f>IF(E766="","",IF(COUNTIF(Estructuras!F:F,E766)=0,"Falta Estructura",IF(COUNTIFS(Estructuras!F:F,E766,Estructuras!E:E,0)&gt;0,"Faltan Precios","OK")))</f>
        <v/>
      </c>
      <c r="J766" s="10" t="str">
        <f>IF(I766="Faltan Precios",COUNTIFS(Estructuras!B:B,A766,Estructuras!E:E,0),"")</f>
        <v/>
      </c>
      <c r="K766" s="8" t="str">
        <f t="shared" si="2"/>
        <v/>
      </c>
    </row>
    <row r="767">
      <c r="A767" s="4" t="str">
        <f t="shared" si="1"/>
        <v/>
      </c>
      <c r="F767" s="36" t="str">
        <f t="shared" si="4"/>
        <v/>
      </c>
      <c r="G767" s="11"/>
      <c r="H767" s="11" t="str">
        <f>IF(E767="","",SUMIF(Estructuras!B:B,A767,Estructuras!E:E))</f>
        <v/>
      </c>
      <c r="I767" s="8" t="str">
        <f>IF(E767="","",IF(COUNTIF(Estructuras!F:F,E767)=0,"Falta Estructura",IF(COUNTIFS(Estructuras!F:F,E767,Estructuras!E:E,0)&gt;0,"Faltan Precios","OK")))</f>
        <v/>
      </c>
      <c r="J767" s="10" t="str">
        <f>IF(I767="Faltan Precios",COUNTIFS(Estructuras!B:B,A767,Estructuras!E:E,0),"")</f>
        <v/>
      </c>
      <c r="K767" s="8" t="str">
        <f t="shared" si="2"/>
        <v/>
      </c>
    </row>
    <row r="768">
      <c r="A768" s="4" t="str">
        <f t="shared" si="1"/>
        <v/>
      </c>
      <c r="F768" s="36" t="str">
        <f t="shared" si="4"/>
        <v/>
      </c>
      <c r="G768" s="11"/>
      <c r="H768" s="11" t="str">
        <f>IF(E768="","",SUMIF(Estructuras!B:B,A768,Estructuras!E:E))</f>
        <v/>
      </c>
      <c r="I768" s="8" t="str">
        <f>IF(E768="","",IF(COUNTIF(Estructuras!F:F,E768)=0,"Falta Estructura",IF(COUNTIFS(Estructuras!F:F,E768,Estructuras!E:E,0)&gt;0,"Faltan Precios","OK")))</f>
        <v/>
      </c>
      <c r="J768" s="10" t="str">
        <f>IF(I768="Faltan Precios",COUNTIFS(Estructuras!B:B,A768,Estructuras!E:E,0),"")</f>
        <v/>
      </c>
      <c r="K768" s="8" t="str">
        <f t="shared" si="2"/>
        <v/>
      </c>
    </row>
    <row r="769">
      <c r="A769" s="4" t="str">
        <f t="shared" si="1"/>
        <v/>
      </c>
      <c r="F769" s="36" t="str">
        <f t="shared" si="4"/>
        <v/>
      </c>
      <c r="G769" s="11"/>
      <c r="H769" s="11" t="str">
        <f>IF(E769="","",SUMIF(Estructuras!B:B,A769,Estructuras!E:E))</f>
        <v/>
      </c>
      <c r="I769" s="8" t="str">
        <f>IF(E769="","",IF(COUNTIF(Estructuras!F:F,E769)=0,"Falta Estructura",IF(COUNTIFS(Estructuras!F:F,E769,Estructuras!E:E,0)&gt;0,"Faltan Precios","OK")))</f>
        <v/>
      </c>
      <c r="J769" s="10" t="str">
        <f>IF(I769="Faltan Precios",COUNTIFS(Estructuras!B:B,A769,Estructuras!E:E,0),"")</f>
        <v/>
      </c>
      <c r="K769" s="8" t="str">
        <f t="shared" si="2"/>
        <v/>
      </c>
    </row>
    <row r="770">
      <c r="A770" s="4" t="str">
        <f t="shared" si="1"/>
        <v/>
      </c>
      <c r="F770" s="36" t="str">
        <f t="shared" si="4"/>
        <v/>
      </c>
      <c r="G770" s="11"/>
      <c r="H770" s="11" t="str">
        <f>IF(E770="","",SUMIF(Estructuras!B:B,A770,Estructuras!E:E))</f>
        <v/>
      </c>
      <c r="I770" s="8" t="str">
        <f>IF(E770="","",IF(COUNTIF(Estructuras!F:F,E770)=0,"Falta Estructura",IF(COUNTIFS(Estructuras!F:F,E770,Estructuras!E:E,0)&gt;0,"Faltan Precios","OK")))</f>
        <v/>
      </c>
      <c r="J770" s="10" t="str">
        <f>IF(I770="Faltan Precios",COUNTIFS(Estructuras!B:B,A770,Estructuras!E:E,0),"")</f>
        <v/>
      </c>
      <c r="K770" s="8" t="str">
        <f t="shared" si="2"/>
        <v/>
      </c>
    </row>
    <row r="771">
      <c r="A771" s="4" t="str">
        <f t="shared" si="1"/>
        <v/>
      </c>
      <c r="F771" s="36" t="str">
        <f t="shared" si="4"/>
        <v/>
      </c>
      <c r="G771" s="11"/>
      <c r="H771" s="11" t="str">
        <f>IF(E771="","",SUMIF(Estructuras!B:B,A771,Estructuras!E:E))</f>
        <v/>
      </c>
      <c r="I771" s="8" t="str">
        <f>IF(E771="","",IF(COUNTIF(Estructuras!F:F,E771)=0,"Falta Estructura",IF(COUNTIFS(Estructuras!F:F,E771,Estructuras!E:E,0)&gt;0,"Faltan Precios","OK")))</f>
        <v/>
      </c>
      <c r="J771" s="10" t="str">
        <f>IF(I771="Faltan Precios",COUNTIFS(Estructuras!B:B,A771,Estructuras!E:E,0),"")</f>
        <v/>
      </c>
      <c r="K771" s="8" t="str">
        <f t="shared" si="2"/>
        <v/>
      </c>
    </row>
    <row r="772">
      <c r="A772" s="4" t="str">
        <f t="shared" si="1"/>
        <v/>
      </c>
      <c r="F772" s="36" t="str">
        <f t="shared" si="4"/>
        <v/>
      </c>
      <c r="G772" s="11"/>
      <c r="H772" s="11" t="str">
        <f>IF(E772="","",SUMIF(Estructuras!B:B,A772,Estructuras!E:E))</f>
        <v/>
      </c>
      <c r="I772" s="8" t="str">
        <f>IF(E772="","",IF(COUNTIF(Estructuras!F:F,E772)=0,"Falta Estructura",IF(COUNTIFS(Estructuras!F:F,E772,Estructuras!E:E,0)&gt;0,"Faltan Precios","OK")))</f>
        <v/>
      </c>
      <c r="J772" s="10" t="str">
        <f>IF(I772="Faltan Precios",COUNTIFS(Estructuras!B:B,A772,Estructuras!E:E,0),"")</f>
        <v/>
      </c>
      <c r="K772" s="8" t="str">
        <f t="shared" si="2"/>
        <v/>
      </c>
    </row>
    <row r="773">
      <c r="A773" s="4" t="str">
        <f t="shared" si="1"/>
        <v/>
      </c>
      <c r="F773" s="36" t="str">
        <f t="shared" si="4"/>
        <v/>
      </c>
      <c r="G773" s="11"/>
      <c r="H773" s="11" t="str">
        <f>IF(E773="","",SUMIF(Estructuras!B:B,A773,Estructuras!E:E))</f>
        <v/>
      </c>
      <c r="I773" s="8" t="str">
        <f>IF(E773="","",IF(COUNTIF(Estructuras!F:F,E773)=0,"Falta Estructura",IF(COUNTIFS(Estructuras!F:F,E773,Estructuras!E:E,0)&gt;0,"Faltan Precios","OK")))</f>
        <v/>
      </c>
      <c r="J773" s="10" t="str">
        <f>IF(I773="Faltan Precios",COUNTIFS(Estructuras!B:B,A773,Estructuras!E:E,0),"")</f>
        <v/>
      </c>
      <c r="K773" s="8" t="str">
        <f t="shared" si="2"/>
        <v/>
      </c>
    </row>
    <row r="774">
      <c r="A774" s="4" t="str">
        <f t="shared" si="1"/>
        <v/>
      </c>
      <c r="F774" s="36" t="str">
        <f t="shared" si="4"/>
        <v/>
      </c>
      <c r="G774" s="11"/>
      <c r="H774" s="11" t="str">
        <f>IF(E774="","",SUMIF(Estructuras!B:B,A774,Estructuras!E:E))</f>
        <v/>
      </c>
      <c r="I774" s="8" t="str">
        <f>IF(E774="","",IF(COUNTIF(Estructuras!F:F,E774)=0,"Falta Estructura",IF(COUNTIFS(Estructuras!F:F,E774,Estructuras!E:E,0)&gt;0,"Faltan Precios","OK")))</f>
        <v/>
      </c>
      <c r="J774" s="10" t="str">
        <f>IF(I774="Faltan Precios",COUNTIFS(Estructuras!B:B,A774,Estructuras!E:E,0),"")</f>
        <v/>
      </c>
      <c r="K774" s="8" t="str">
        <f t="shared" si="2"/>
        <v/>
      </c>
    </row>
    <row r="775">
      <c r="A775" s="4" t="str">
        <f t="shared" si="1"/>
        <v/>
      </c>
      <c r="F775" s="36" t="str">
        <f t="shared" si="4"/>
        <v/>
      </c>
      <c r="G775" s="11"/>
      <c r="H775" s="11" t="str">
        <f>IF(E775="","",SUMIF(Estructuras!B:B,A775,Estructuras!E:E))</f>
        <v/>
      </c>
      <c r="I775" s="8" t="str">
        <f>IF(E775="","",IF(COUNTIF(Estructuras!F:F,E775)=0,"Falta Estructura",IF(COUNTIFS(Estructuras!F:F,E775,Estructuras!E:E,0)&gt;0,"Faltan Precios","OK")))</f>
        <v/>
      </c>
      <c r="J775" s="10" t="str">
        <f>IF(I775="Faltan Precios",COUNTIFS(Estructuras!B:B,A775,Estructuras!E:E,0),"")</f>
        <v/>
      </c>
      <c r="K775" s="8" t="str">
        <f t="shared" si="2"/>
        <v/>
      </c>
    </row>
    <row r="776">
      <c r="A776" s="4" t="str">
        <f t="shared" si="1"/>
        <v/>
      </c>
      <c r="F776" s="36" t="str">
        <f t="shared" si="4"/>
        <v/>
      </c>
      <c r="G776" s="11"/>
      <c r="H776" s="11" t="str">
        <f>IF(E776="","",SUMIF(Estructuras!B:B,A776,Estructuras!E:E))</f>
        <v/>
      </c>
      <c r="I776" s="8" t="str">
        <f>IF(E776="","",IF(COUNTIF(Estructuras!F:F,E776)=0,"Falta Estructura",IF(COUNTIFS(Estructuras!F:F,E776,Estructuras!E:E,0)&gt;0,"Faltan Precios","OK")))</f>
        <v/>
      </c>
      <c r="J776" s="10" t="str">
        <f>IF(I776="Faltan Precios",COUNTIFS(Estructuras!B:B,A776,Estructuras!E:E,0),"")</f>
        <v/>
      </c>
      <c r="K776" s="8" t="str">
        <f t="shared" si="2"/>
        <v/>
      </c>
    </row>
    <row r="777">
      <c r="A777" s="4" t="str">
        <f t="shared" si="1"/>
        <v/>
      </c>
      <c r="F777" s="36" t="str">
        <f t="shared" si="4"/>
        <v/>
      </c>
      <c r="G777" s="11"/>
      <c r="H777" s="11" t="str">
        <f>IF(E777="","",SUMIF(Estructuras!B:B,A777,Estructuras!E:E))</f>
        <v/>
      </c>
      <c r="I777" s="8" t="str">
        <f>IF(E777="","",IF(COUNTIF(Estructuras!F:F,E777)=0,"Falta Estructura",IF(COUNTIFS(Estructuras!F:F,E777,Estructuras!E:E,0)&gt;0,"Faltan Precios","OK")))</f>
        <v/>
      </c>
      <c r="J777" s="10" t="str">
        <f>IF(I777="Faltan Precios",COUNTIFS(Estructuras!B:B,A777,Estructuras!E:E,0),"")</f>
        <v/>
      </c>
      <c r="K777" s="8" t="str">
        <f t="shared" si="2"/>
        <v/>
      </c>
    </row>
    <row r="778">
      <c r="A778" s="4" t="str">
        <f t="shared" si="1"/>
        <v/>
      </c>
      <c r="F778" s="36" t="str">
        <f t="shared" si="4"/>
        <v/>
      </c>
      <c r="G778" s="11"/>
      <c r="H778" s="11" t="str">
        <f>IF(E778="","",SUMIF(Estructuras!B:B,A778,Estructuras!E:E))</f>
        <v/>
      </c>
      <c r="I778" s="8" t="str">
        <f>IF(E778="","",IF(COUNTIF(Estructuras!F:F,E778)=0,"Falta Estructura",IF(COUNTIFS(Estructuras!F:F,E778,Estructuras!E:E,0)&gt;0,"Faltan Precios","OK")))</f>
        <v/>
      </c>
      <c r="J778" s="10" t="str">
        <f>IF(I778="Faltan Precios",COUNTIFS(Estructuras!B:B,A778,Estructuras!E:E,0),"")</f>
        <v/>
      </c>
      <c r="K778" s="8" t="str">
        <f t="shared" si="2"/>
        <v/>
      </c>
    </row>
    <row r="779">
      <c r="A779" s="4" t="str">
        <f t="shared" si="1"/>
        <v/>
      </c>
      <c r="F779" s="36" t="str">
        <f t="shared" si="4"/>
        <v/>
      </c>
      <c r="G779" s="11"/>
      <c r="H779" s="11" t="str">
        <f>IF(E779="","",SUMIF(Estructuras!B:B,A779,Estructuras!E:E))</f>
        <v/>
      </c>
      <c r="I779" s="8" t="str">
        <f>IF(E779="","",IF(COUNTIF(Estructuras!F:F,E779)=0,"Falta Estructura",IF(COUNTIFS(Estructuras!F:F,E779,Estructuras!E:E,0)&gt;0,"Faltan Precios","OK")))</f>
        <v/>
      </c>
      <c r="J779" s="10" t="str">
        <f>IF(I779="Faltan Precios",COUNTIFS(Estructuras!B:B,A779,Estructuras!E:E,0),"")</f>
        <v/>
      </c>
      <c r="K779" s="8" t="str">
        <f t="shared" si="2"/>
        <v/>
      </c>
    </row>
    <row r="780">
      <c r="A780" s="4" t="str">
        <f t="shared" si="1"/>
        <v/>
      </c>
      <c r="F780" s="36" t="str">
        <f t="shared" si="4"/>
        <v/>
      </c>
      <c r="G780" s="11"/>
      <c r="H780" s="11" t="str">
        <f>IF(E780="","",SUMIF(Estructuras!B:B,A780,Estructuras!E:E))</f>
        <v/>
      </c>
      <c r="I780" s="8" t="str">
        <f>IF(E780="","",IF(COUNTIF(Estructuras!F:F,E780)=0,"Falta Estructura",IF(COUNTIFS(Estructuras!F:F,E780,Estructuras!E:E,0)&gt;0,"Faltan Precios","OK")))</f>
        <v/>
      </c>
      <c r="J780" s="10" t="str">
        <f>IF(I780="Faltan Precios",COUNTIFS(Estructuras!B:B,A780,Estructuras!E:E,0),"")</f>
        <v/>
      </c>
      <c r="K780" s="8" t="str">
        <f t="shared" si="2"/>
        <v/>
      </c>
    </row>
    <row r="781">
      <c r="A781" s="4" t="str">
        <f t="shared" si="1"/>
        <v/>
      </c>
      <c r="F781" s="36" t="str">
        <f t="shared" si="4"/>
        <v/>
      </c>
      <c r="G781" s="11"/>
      <c r="H781" s="11" t="str">
        <f>IF(E781="","",SUMIF(Estructuras!B:B,A781,Estructuras!E:E))</f>
        <v/>
      </c>
      <c r="I781" s="8" t="str">
        <f>IF(E781="","",IF(COUNTIF(Estructuras!F:F,E781)=0,"Falta Estructura",IF(COUNTIFS(Estructuras!F:F,E781,Estructuras!E:E,0)&gt;0,"Faltan Precios","OK")))</f>
        <v/>
      </c>
      <c r="J781" s="10" t="str">
        <f>IF(I781="Faltan Precios",COUNTIFS(Estructuras!B:B,A781,Estructuras!E:E,0),"")</f>
        <v/>
      </c>
      <c r="K781" s="8" t="str">
        <f t="shared" si="2"/>
        <v/>
      </c>
    </row>
    <row r="782">
      <c r="A782" s="4" t="str">
        <f t="shared" si="1"/>
        <v/>
      </c>
      <c r="F782" s="36" t="str">
        <f t="shared" si="4"/>
        <v/>
      </c>
      <c r="G782" s="11"/>
      <c r="H782" s="11" t="str">
        <f>IF(E782="","",SUMIF(Estructuras!B:B,A782,Estructuras!E:E))</f>
        <v/>
      </c>
      <c r="I782" s="8" t="str">
        <f>IF(E782="","",IF(COUNTIF(Estructuras!F:F,E782)=0,"Falta Estructura",IF(COUNTIFS(Estructuras!F:F,E782,Estructuras!E:E,0)&gt;0,"Faltan Precios","OK")))</f>
        <v/>
      </c>
      <c r="J782" s="10" t="str">
        <f>IF(I782="Faltan Precios",COUNTIFS(Estructuras!B:B,A782,Estructuras!E:E,0),"")</f>
        <v/>
      </c>
      <c r="K782" s="8" t="str">
        <f t="shared" si="2"/>
        <v/>
      </c>
    </row>
    <row r="783">
      <c r="A783" s="4" t="str">
        <f t="shared" si="1"/>
        <v/>
      </c>
      <c r="F783" s="36" t="str">
        <f t="shared" si="4"/>
        <v/>
      </c>
      <c r="G783" s="11"/>
      <c r="H783" s="11" t="str">
        <f>IF(E783="","",SUMIF(Estructuras!B:B,A783,Estructuras!E:E))</f>
        <v/>
      </c>
      <c r="I783" s="8" t="str">
        <f>IF(E783="","",IF(COUNTIF(Estructuras!F:F,E783)=0,"Falta Estructura",IF(COUNTIFS(Estructuras!F:F,E783,Estructuras!E:E,0)&gt;0,"Faltan Precios","OK")))</f>
        <v/>
      </c>
      <c r="J783" s="10" t="str">
        <f>IF(I783="Faltan Precios",COUNTIFS(Estructuras!B:B,A783,Estructuras!E:E,0),"")</f>
        <v/>
      </c>
      <c r="K783" s="8" t="str">
        <f t="shared" si="2"/>
        <v/>
      </c>
    </row>
    <row r="784">
      <c r="A784" s="4" t="str">
        <f t="shared" si="1"/>
        <v/>
      </c>
      <c r="F784" s="36" t="str">
        <f t="shared" si="4"/>
        <v/>
      </c>
      <c r="G784" s="11"/>
      <c r="H784" s="11" t="str">
        <f>IF(E784="","",SUMIF(Estructuras!B:B,A784,Estructuras!E:E))</f>
        <v/>
      </c>
      <c r="I784" s="8" t="str">
        <f>IF(E784="","",IF(COUNTIF(Estructuras!F:F,E784)=0,"Falta Estructura",IF(COUNTIFS(Estructuras!F:F,E784,Estructuras!E:E,0)&gt;0,"Faltan Precios","OK")))</f>
        <v/>
      </c>
      <c r="J784" s="10" t="str">
        <f>IF(I784="Faltan Precios",COUNTIFS(Estructuras!B:B,A784,Estructuras!E:E,0),"")</f>
        <v/>
      </c>
      <c r="K784" s="8" t="str">
        <f t="shared" si="2"/>
        <v/>
      </c>
    </row>
    <row r="785">
      <c r="A785" s="4" t="str">
        <f t="shared" si="1"/>
        <v/>
      </c>
      <c r="F785" s="36" t="str">
        <f t="shared" si="4"/>
        <v/>
      </c>
      <c r="G785" s="11"/>
      <c r="H785" s="11" t="str">
        <f>IF(E785="","",SUMIF(Estructuras!B:B,A785,Estructuras!E:E))</f>
        <v/>
      </c>
      <c r="I785" s="8" t="str">
        <f>IF(E785="","",IF(COUNTIF(Estructuras!F:F,E785)=0,"Falta Estructura",IF(COUNTIFS(Estructuras!F:F,E785,Estructuras!E:E,0)&gt;0,"Faltan Precios","OK")))</f>
        <v/>
      </c>
      <c r="J785" s="10" t="str">
        <f>IF(I785="Faltan Precios",COUNTIFS(Estructuras!B:B,A785,Estructuras!E:E,0),"")</f>
        <v/>
      </c>
      <c r="K785" s="8" t="str">
        <f t="shared" si="2"/>
        <v/>
      </c>
    </row>
    <row r="786">
      <c r="A786" s="4" t="str">
        <f t="shared" si="1"/>
        <v/>
      </c>
      <c r="F786" s="36" t="str">
        <f t="shared" si="4"/>
        <v/>
      </c>
      <c r="G786" s="11"/>
      <c r="H786" s="11" t="str">
        <f>IF(E786="","",SUMIF(Estructuras!B:B,A786,Estructuras!E:E))</f>
        <v/>
      </c>
      <c r="I786" s="8" t="str">
        <f>IF(E786="","",IF(COUNTIF(Estructuras!F:F,E786)=0,"Falta Estructura",IF(COUNTIFS(Estructuras!F:F,E786,Estructuras!E:E,0)&gt;0,"Faltan Precios","OK")))</f>
        <v/>
      </c>
      <c r="J786" s="10" t="str">
        <f>IF(I786="Faltan Precios",COUNTIFS(Estructuras!B:B,A786,Estructuras!E:E,0),"")</f>
        <v/>
      </c>
      <c r="K786" s="8" t="str">
        <f t="shared" si="2"/>
        <v/>
      </c>
    </row>
    <row r="787">
      <c r="A787" s="4" t="str">
        <f t="shared" si="1"/>
        <v/>
      </c>
      <c r="F787" s="36" t="str">
        <f t="shared" si="4"/>
        <v/>
      </c>
      <c r="G787" s="11"/>
      <c r="H787" s="11" t="str">
        <f>IF(E787="","",SUMIF(Estructuras!B:B,A787,Estructuras!E:E))</f>
        <v/>
      </c>
      <c r="I787" s="8" t="str">
        <f>IF(E787="","",IF(COUNTIF(Estructuras!F:F,E787)=0,"Falta Estructura",IF(COUNTIFS(Estructuras!F:F,E787,Estructuras!E:E,0)&gt;0,"Faltan Precios","OK")))</f>
        <v/>
      </c>
      <c r="J787" s="10" t="str">
        <f>IF(I787="Faltan Precios",COUNTIFS(Estructuras!B:B,A787,Estructuras!E:E,0),"")</f>
        <v/>
      </c>
      <c r="K787" s="8" t="str">
        <f t="shared" si="2"/>
        <v/>
      </c>
    </row>
    <row r="788">
      <c r="A788" s="4" t="str">
        <f t="shared" si="1"/>
        <v/>
      </c>
      <c r="F788" s="36" t="str">
        <f t="shared" si="4"/>
        <v/>
      </c>
      <c r="G788" s="11"/>
      <c r="H788" s="11" t="str">
        <f>IF(E788="","",SUMIF(Estructuras!B:B,A788,Estructuras!E:E))</f>
        <v/>
      </c>
      <c r="I788" s="8" t="str">
        <f>IF(E788="","",IF(COUNTIF(Estructuras!F:F,E788)=0,"Falta Estructura",IF(COUNTIFS(Estructuras!F:F,E788,Estructuras!E:E,0)&gt;0,"Faltan Precios","OK")))</f>
        <v/>
      </c>
      <c r="J788" s="10" t="str">
        <f>IF(I788="Faltan Precios",COUNTIFS(Estructuras!B:B,A788,Estructuras!E:E,0),"")</f>
        <v/>
      </c>
      <c r="K788" s="8" t="str">
        <f t="shared" si="2"/>
        <v/>
      </c>
    </row>
    <row r="789">
      <c r="A789" s="4" t="str">
        <f t="shared" si="1"/>
        <v/>
      </c>
      <c r="F789" s="36" t="str">
        <f t="shared" si="4"/>
        <v/>
      </c>
      <c r="G789" s="11"/>
      <c r="H789" s="11" t="str">
        <f>IF(E789="","",SUMIF(Estructuras!B:B,A789,Estructuras!E:E))</f>
        <v/>
      </c>
      <c r="I789" s="8" t="str">
        <f>IF(E789="","",IF(COUNTIF(Estructuras!F:F,E789)=0,"Falta Estructura",IF(COUNTIFS(Estructuras!F:F,E789,Estructuras!E:E,0)&gt;0,"Faltan Precios","OK")))</f>
        <v/>
      </c>
      <c r="J789" s="10" t="str">
        <f>IF(I789="Faltan Precios",COUNTIFS(Estructuras!B:B,A789,Estructuras!E:E,0),"")</f>
        <v/>
      </c>
      <c r="K789" s="8" t="str">
        <f t="shared" si="2"/>
        <v/>
      </c>
    </row>
    <row r="790">
      <c r="A790" s="4" t="str">
        <f t="shared" si="1"/>
        <v/>
      </c>
      <c r="F790" s="36" t="str">
        <f t="shared" si="4"/>
        <v/>
      </c>
      <c r="G790" s="11"/>
      <c r="H790" s="11" t="str">
        <f>IF(E790="","",SUMIF(Estructuras!B:B,A790,Estructuras!E:E))</f>
        <v/>
      </c>
      <c r="I790" s="8" t="str">
        <f>IF(E790="","",IF(COUNTIF(Estructuras!F:F,E790)=0,"Falta Estructura",IF(COUNTIFS(Estructuras!F:F,E790,Estructuras!E:E,0)&gt;0,"Faltan Precios","OK")))</f>
        <v/>
      </c>
      <c r="J790" s="10" t="str">
        <f>IF(I790="Faltan Precios",COUNTIFS(Estructuras!B:B,A790,Estructuras!E:E,0),"")</f>
        <v/>
      </c>
      <c r="K790" s="8" t="str">
        <f t="shared" si="2"/>
        <v/>
      </c>
    </row>
    <row r="791">
      <c r="A791" s="4" t="str">
        <f t="shared" si="1"/>
        <v/>
      </c>
      <c r="F791" s="36" t="str">
        <f t="shared" si="4"/>
        <v/>
      </c>
      <c r="G791" s="11"/>
      <c r="H791" s="11" t="str">
        <f>IF(E791="","",SUMIF(Estructuras!B:B,A791,Estructuras!E:E))</f>
        <v/>
      </c>
      <c r="I791" s="8" t="str">
        <f>IF(E791="","",IF(COUNTIF(Estructuras!F:F,E791)=0,"Falta Estructura",IF(COUNTIFS(Estructuras!F:F,E791,Estructuras!E:E,0)&gt;0,"Faltan Precios","OK")))</f>
        <v/>
      </c>
      <c r="J791" s="10" t="str">
        <f>IF(I791="Faltan Precios",COUNTIFS(Estructuras!B:B,A791,Estructuras!E:E,0),"")</f>
        <v/>
      </c>
      <c r="K791" s="8" t="str">
        <f t="shared" si="2"/>
        <v/>
      </c>
    </row>
    <row r="792">
      <c r="A792" s="4" t="str">
        <f t="shared" si="1"/>
        <v/>
      </c>
      <c r="F792" s="36" t="str">
        <f t="shared" si="4"/>
        <v/>
      </c>
      <c r="G792" s="11"/>
      <c r="H792" s="11" t="str">
        <f>IF(E792="","",SUMIF(Estructuras!B:B,A792,Estructuras!E:E))</f>
        <v/>
      </c>
      <c r="I792" s="8" t="str">
        <f>IF(E792="","",IF(COUNTIF(Estructuras!F:F,E792)=0,"Falta Estructura",IF(COUNTIFS(Estructuras!F:F,E792,Estructuras!E:E,0)&gt;0,"Faltan Precios","OK")))</f>
        <v/>
      </c>
      <c r="J792" s="10" t="str">
        <f>IF(I792="Faltan Precios",COUNTIFS(Estructuras!B:B,A792,Estructuras!E:E,0),"")</f>
        <v/>
      </c>
      <c r="K792" s="8" t="str">
        <f t="shared" si="2"/>
        <v/>
      </c>
    </row>
    <row r="793">
      <c r="A793" s="4" t="str">
        <f t="shared" si="1"/>
        <v/>
      </c>
      <c r="F793" s="36" t="str">
        <f t="shared" si="4"/>
        <v/>
      </c>
      <c r="G793" s="11"/>
      <c r="H793" s="11" t="str">
        <f>IF(E793="","",SUMIF(Estructuras!B:B,A793,Estructuras!E:E))</f>
        <v/>
      </c>
      <c r="I793" s="8" t="str">
        <f>IF(E793="","",IF(COUNTIF(Estructuras!F:F,E793)=0,"Falta Estructura",IF(COUNTIFS(Estructuras!F:F,E793,Estructuras!E:E,0)&gt;0,"Faltan Precios","OK")))</f>
        <v/>
      </c>
      <c r="J793" s="10" t="str">
        <f>IF(I793="Faltan Precios",COUNTIFS(Estructuras!B:B,A793,Estructuras!E:E,0),"")</f>
        <v/>
      </c>
      <c r="K793" s="8" t="str">
        <f t="shared" si="2"/>
        <v/>
      </c>
    </row>
    <row r="794">
      <c r="A794" s="4" t="str">
        <f t="shared" si="1"/>
        <v/>
      </c>
      <c r="F794" s="36" t="str">
        <f t="shared" si="4"/>
        <v/>
      </c>
      <c r="G794" s="11"/>
      <c r="H794" s="11" t="str">
        <f>IF(E794="","",SUMIF(Estructuras!B:B,A794,Estructuras!E:E))</f>
        <v/>
      </c>
      <c r="I794" s="8" t="str">
        <f>IF(E794="","",IF(COUNTIF(Estructuras!F:F,E794)=0,"Falta Estructura",IF(COUNTIFS(Estructuras!F:F,E794,Estructuras!E:E,0)&gt;0,"Faltan Precios","OK")))</f>
        <v/>
      </c>
      <c r="J794" s="10" t="str">
        <f>IF(I794="Faltan Precios",COUNTIFS(Estructuras!B:B,A794,Estructuras!E:E,0),"")</f>
        <v/>
      </c>
      <c r="K794" s="8" t="str">
        <f t="shared" si="2"/>
        <v/>
      </c>
    </row>
    <row r="795">
      <c r="A795" s="4" t="str">
        <f t="shared" si="1"/>
        <v/>
      </c>
      <c r="F795" s="36" t="str">
        <f t="shared" si="4"/>
        <v/>
      </c>
      <c r="G795" s="11"/>
      <c r="H795" s="11" t="str">
        <f>IF(E795="","",SUMIF(Estructuras!B:B,A795,Estructuras!E:E))</f>
        <v/>
      </c>
      <c r="I795" s="8" t="str">
        <f>IF(E795="","",IF(COUNTIF(Estructuras!F:F,E795)=0,"Falta Estructura",IF(COUNTIFS(Estructuras!F:F,E795,Estructuras!E:E,0)&gt;0,"Faltan Precios","OK")))</f>
        <v/>
      </c>
      <c r="J795" s="10" t="str">
        <f>IF(I795="Faltan Precios",COUNTIFS(Estructuras!B:B,A795,Estructuras!E:E,0),"")</f>
        <v/>
      </c>
      <c r="K795" s="8" t="str">
        <f t="shared" si="2"/>
        <v/>
      </c>
    </row>
    <row r="796">
      <c r="A796" s="4" t="str">
        <f t="shared" si="1"/>
        <v/>
      </c>
      <c r="F796" s="36" t="str">
        <f t="shared" si="4"/>
        <v/>
      </c>
      <c r="G796" s="11"/>
      <c r="H796" s="11" t="str">
        <f>IF(E796="","",SUMIF(Estructuras!B:B,A796,Estructuras!E:E))</f>
        <v/>
      </c>
      <c r="I796" s="8" t="str">
        <f>IF(E796="","",IF(COUNTIF(Estructuras!F:F,E796)=0,"Falta Estructura",IF(COUNTIFS(Estructuras!F:F,E796,Estructuras!E:E,0)&gt;0,"Faltan Precios","OK")))</f>
        <v/>
      </c>
      <c r="J796" s="10" t="str">
        <f>IF(I796="Faltan Precios",COUNTIFS(Estructuras!B:B,A796,Estructuras!E:E,0),"")</f>
        <v/>
      </c>
      <c r="K796" s="8" t="str">
        <f t="shared" si="2"/>
        <v/>
      </c>
    </row>
    <row r="797">
      <c r="A797" s="4" t="str">
        <f t="shared" si="1"/>
        <v/>
      </c>
      <c r="F797" s="36" t="str">
        <f t="shared" si="4"/>
        <v/>
      </c>
      <c r="G797" s="11"/>
      <c r="H797" s="11" t="str">
        <f>IF(E797="","",SUMIF(Estructuras!B:B,A797,Estructuras!E:E))</f>
        <v/>
      </c>
      <c r="I797" s="8" t="str">
        <f>IF(E797="","",IF(COUNTIF(Estructuras!F:F,E797)=0,"Falta Estructura",IF(COUNTIFS(Estructuras!F:F,E797,Estructuras!E:E,0)&gt;0,"Faltan Precios","OK")))</f>
        <v/>
      </c>
      <c r="J797" s="10" t="str">
        <f>IF(I797="Faltan Precios",COUNTIFS(Estructuras!B:B,A797,Estructuras!E:E,0),"")</f>
        <v/>
      </c>
      <c r="K797" s="8" t="str">
        <f t="shared" si="2"/>
        <v/>
      </c>
    </row>
    <row r="798">
      <c r="A798" s="4" t="str">
        <f t="shared" si="1"/>
        <v/>
      </c>
      <c r="F798" s="36" t="str">
        <f t="shared" si="4"/>
        <v/>
      </c>
      <c r="G798" s="11"/>
      <c r="H798" s="11" t="str">
        <f>IF(E798="","",SUMIF(Estructuras!B:B,A798,Estructuras!E:E))</f>
        <v/>
      </c>
      <c r="I798" s="8" t="str">
        <f>IF(E798="","",IF(COUNTIF(Estructuras!F:F,E798)=0,"Falta Estructura",IF(COUNTIFS(Estructuras!F:F,E798,Estructuras!E:E,0)&gt;0,"Faltan Precios","OK")))</f>
        <v/>
      </c>
      <c r="J798" s="10" t="str">
        <f>IF(I798="Faltan Precios",COUNTIFS(Estructuras!B:B,A798,Estructuras!E:E,0),"")</f>
        <v/>
      </c>
      <c r="K798" s="8" t="str">
        <f t="shared" si="2"/>
        <v/>
      </c>
    </row>
    <row r="799">
      <c r="A799" s="4" t="str">
        <f t="shared" si="1"/>
        <v/>
      </c>
      <c r="F799" s="36" t="str">
        <f t="shared" si="4"/>
        <v/>
      </c>
      <c r="G799" s="11"/>
      <c r="H799" s="11" t="str">
        <f>IF(E799="","",SUMIF(Estructuras!B:B,A799,Estructuras!E:E))</f>
        <v/>
      </c>
      <c r="I799" s="8" t="str">
        <f>IF(E799="","",IF(COUNTIF(Estructuras!F:F,E799)=0,"Falta Estructura",IF(COUNTIFS(Estructuras!F:F,E799,Estructuras!E:E,0)&gt;0,"Faltan Precios","OK")))</f>
        <v/>
      </c>
      <c r="J799" s="10" t="str">
        <f>IF(I799="Faltan Precios",COUNTIFS(Estructuras!B:B,A799,Estructuras!E:E,0),"")</f>
        <v/>
      </c>
      <c r="K799" s="8" t="str">
        <f t="shared" si="2"/>
        <v/>
      </c>
    </row>
    <row r="800">
      <c r="A800" s="4" t="str">
        <f t="shared" si="1"/>
        <v/>
      </c>
      <c r="F800" s="36" t="str">
        <f t="shared" si="4"/>
        <v/>
      </c>
      <c r="G800" s="11"/>
      <c r="H800" s="11" t="str">
        <f>IF(E800="","",SUMIF(Estructuras!B:B,A800,Estructuras!E:E))</f>
        <v/>
      </c>
      <c r="I800" s="8" t="str">
        <f>IF(E800="","",IF(COUNTIF(Estructuras!F:F,E800)=0,"Falta Estructura",IF(COUNTIFS(Estructuras!F:F,E800,Estructuras!E:E,0)&gt;0,"Faltan Precios","OK")))</f>
        <v/>
      </c>
      <c r="J800" s="10" t="str">
        <f>IF(I800="Faltan Precios",COUNTIFS(Estructuras!B:B,A800,Estructuras!E:E,0),"")</f>
        <v/>
      </c>
      <c r="K800" s="8" t="str">
        <f t="shared" si="2"/>
        <v/>
      </c>
    </row>
    <row r="801">
      <c r="A801" s="4" t="str">
        <f t="shared" si="1"/>
        <v/>
      </c>
      <c r="F801" s="36" t="str">
        <f t="shared" si="4"/>
        <v/>
      </c>
      <c r="G801" s="11"/>
      <c r="H801" s="11" t="str">
        <f>IF(E801="","",SUMIF(Estructuras!B:B,A801,Estructuras!E:E))</f>
        <v/>
      </c>
      <c r="I801" s="8" t="str">
        <f>IF(E801="","",IF(COUNTIF(Estructuras!F:F,E801)=0,"Falta Estructura",IF(COUNTIFS(Estructuras!F:F,E801,Estructuras!E:E,0)&gt;0,"Faltan Precios","OK")))</f>
        <v/>
      </c>
      <c r="J801" s="10" t="str">
        <f>IF(I801="Faltan Precios",COUNTIFS(Estructuras!B:B,A801,Estructuras!E:E,0),"")</f>
        <v/>
      </c>
      <c r="K801" s="8" t="str">
        <f t="shared" si="2"/>
        <v/>
      </c>
    </row>
    <row r="802">
      <c r="A802" s="4" t="str">
        <f t="shared" si="1"/>
        <v/>
      </c>
      <c r="F802" s="36" t="str">
        <f t="shared" si="4"/>
        <v/>
      </c>
      <c r="G802" s="11"/>
      <c r="H802" s="11" t="str">
        <f>IF(E802="","",SUMIF(Estructuras!B:B,A802,Estructuras!E:E))</f>
        <v/>
      </c>
      <c r="I802" s="8" t="str">
        <f>IF(E802="","",IF(COUNTIF(Estructuras!F:F,E802)=0,"Falta Estructura",IF(COUNTIFS(Estructuras!F:F,E802,Estructuras!E:E,0)&gt;0,"Faltan Precios","OK")))</f>
        <v/>
      </c>
      <c r="J802" s="10" t="str">
        <f>IF(I802="Faltan Precios",COUNTIFS(Estructuras!B:B,A802,Estructuras!E:E,0),"")</f>
        <v/>
      </c>
      <c r="K802" s="8" t="str">
        <f t="shared" si="2"/>
        <v/>
      </c>
    </row>
    <row r="803">
      <c r="A803" s="4" t="str">
        <f t="shared" si="1"/>
        <v/>
      </c>
      <c r="F803" s="36" t="str">
        <f t="shared" si="4"/>
        <v/>
      </c>
      <c r="G803" s="11"/>
      <c r="H803" s="11" t="str">
        <f>IF(E803="","",SUMIF(Estructuras!B:B,A803,Estructuras!E:E))</f>
        <v/>
      </c>
      <c r="I803" s="8" t="str">
        <f>IF(E803="","",IF(COUNTIF(Estructuras!F:F,E803)=0,"Falta Estructura",IF(COUNTIFS(Estructuras!F:F,E803,Estructuras!E:E,0)&gt;0,"Faltan Precios","OK")))</f>
        <v/>
      </c>
      <c r="J803" s="10" t="str">
        <f>IF(I803="Faltan Precios",COUNTIFS(Estructuras!B:B,A803,Estructuras!E:E,0),"")</f>
        <v/>
      </c>
      <c r="K803" s="8" t="str">
        <f t="shared" si="2"/>
        <v/>
      </c>
    </row>
    <row r="804">
      <c r="A804" s="4" t="str">
        <f t="shared" si="1"/>
        <v/>
      </c>
      <c r="F804" s="36" t="str">
        <f t="shared" si="4"/>
        <v/>
      </c>
      <c r="G804" s="11"/>
      <c r="H804" s="11" t="str">
        <f>IF(E804="","",SUMIF(Estructuras!B:B,A804,Estructuras!E:E))</f>
        <v/>
      </c>
      <c r="I804" s="8" t="str">
        <f>IF(E804="","",IF(COUNTIF(Estructuras!F:F,E804)=0,"Falta Estructura",IF(COUNTIFS(Estructuras!F:F,E804,Estructuras!E:E,0)&gt;0,"Faltan Precios","OK")))</f>
        <v/>
      </c>
      <c r="J804" s="10" t="str">
        <f>IF(I804="Faltan Precios",COUNTIFS(Estructuras!B:B,A804,Estructuras!E:E,0),"")</f>
        <v/>
      </c>
      <c r="K804" s="8" t="str">
        <f t="shared" si="2"/>
        <v/>
      </c>
    </row>
    <row r="805">
      <c r="A805" s="4" t="str">
        <f t="shared" si="1"/>
        <v/>
      </c>
      <c r="F805" s="36" t="str">
        <f t="shared" si="4"/>
        <v/>
      </c>
      <c r="G805" s="11"/>
      <c r="H805" s="11" t="str">
        <f>IF(E805="","",SUMIF(Estructuras!B:B,A805,Estructuras!E:E))</f>
        <v/>
      </c>
      <c r="I805" s="8" t="str">
        <f>IF(E805="","",IF(COUNTIF(Estructuras!F:F,E805)=0,"Falta Estructura",IF(COUNTIFS(Estructuras!F:F,E805,Estructuras!E:E,0)&gt;0,"Faltan Precios","OK")))</f>
        <v/>
      </c>
      <c r="J805" s="10" t="str">
        <f>IF(I805="Faltan Precios",COUNTIFS(Estructuras!B:B,A805,Estructuras!E:E,0),"")</f>
        <v/>
      </c>
      <c r="K805" s="8" t="str">
        <f t="shared" si="2"/>
        <v/>
      </c>
    </row>
    <row r="806">
      <c r="A806" s="4" t="str">
        <f t="shared" si="1"/>
        <v/>
      </c>
      <c r="F806" s="36" t="str">
        <f t="shared" si="4"/>
        <v/>
      </c>
      <c r="G806" s="11"/>
      <c r="H806" s="11" t="str">
        <f>IF(E806="","",SUMIF(Estructuras!B:B,A806,Estructuras!E:E))</f>
        <v/>
      </c>
      <c r="I806" s="8" t="str">
        <f>IF(E806="","",IF(COUNTIF(Estructuras!F:F,E806)=0,"Falta Estructura",IF(COUNTIFS(Estructuras!F:F,E806,Estructuras!E:E,0)&gt;0,"Faltan Precios","OK")))</f>
        <v/>
      </c>
      <c r="J806" s="10" t="str">
        <f>IF(I806="Faltan Precios",COUNTIFS(Estructuras!B:B,A806,Estructuras!E:E,0),"")</f>
        <v/>
      </c>
      <c r="K806" s="8" t="str">
        <f t="shared" si="2"/>
        <v/>
      </c>
    </row>
    <row r="807">
      <c r="A807" s="4" t="str">
        <f t="shared" si="1"/>
        <v/>
      </c>
      <c r="F807" s="36" t="str">
        <f t="shared" si="4"/>
        <v/>
      </c>
      <c r="G807" s="11"/>
      <c r="H807" s="11" t="str">
        <f>IF(E807="","",SUMIF(Estructuras!B:B,A807,Estructuras!E:E))</f>
        <v/>
      </c>
      <c r="I807" s="8" t="str">
        <f>IF(E807="","",IF(COUNTIF(Estructuras!F:F,E807)=0,"Falta Estructura",IF(COUNTIFS(Estructuras!F:F,E807,Estructuras!E:E,0)&gt;0,"Faltan Precios","OK")))</f>
        <v/>
      </c>
      <c r="J807" s="10" t="str">
        <f>IF(I807="Faltan Precios",COUNTIFS(Estructuras!B:B,A807,Estructuras!E:E,0),"")</f>
        <v/>
      </c>
      <c r="K807" s="8" t="str">
        <f t="shared" si="2"/>
        <v/>
      </c>
    </row>
    <row r="808">
      <c r="A808" s="4" t="str">
        <f t="shared" si="1"/>
        <v/>
      </c>
      <c r="F808" s="36" t="str">
        <f t="shared" si="4"/>
        <v/>
      </c>
      <c r="G808" s="11"/>
      <c r="H808" s="11" t="str">
        <f>IF(E808="","",SUMIF(Estructuras!B:B,A808,Estructuras!E:E))</f>
        <v/>
      </c>
      <c r="I808" s="8" t="str">
        <f>IF(E808="","",IF(COUNTIF(Estructuras!F:F,E808)=0,"Falta Estructura",IF(COUNTIFS(Estructuras!F:F,E808,Estructuras!E:E,0)&gt;0,"Faltan Precios","OK")))</f>
        <v/>
      </c>
      <c r="J808" s="10" t="str">
        <f>IF(I808="Faltan Precios",COUNTIFS(Estructuras!B:B,A808,Estructuras!E:E,0),"")</f>
        <v/>
      </c>
      <c r="K808" s="8" t="str">
        <f t="shared" si="2"/>
        <v/>
      </c>
    </row>
    <row r="809">
      <c r="A809" s="4" t="str">
        <f t="shared" si="1"/>
        <v/>
      </c>
      <c r="F809" s="36" t="str">
        <f t="shared" si="4"/>
        <v/>
      </c>
      <c r="G809" s="11"/>
      <c r="H809" s="11" t="str">
        <f>IF(E809="","",SUMIF(Estructuras!B:B,A809,Estructuras!E:E))</f>
        <v/>
      </c>
      <c r="I809" s="8" t="str">
        <f>IF(E809="","",IF(COUNTIF(Estructuras!F:F,E809)=0,"Falta Estructura",IF(COUNTIFS(Estructuras!F:F,E809,Estructuras!E:E,0)&gt;0,"Faltan Precios","OK")))</f>
        <v/>
      </c>
      <c r="J809" s="10" t="str">
        <f>IF(I809="Faltan Precios",COUNTIFS(Estructuras!B:B,A809,Estructuras!E:E,0),"")</f>
        <v/>
      </c>
      <c r="K809" s="8" t="str">
        <f t="shared" si="2"/>
        <v/>
      </c>
    </row>
    <row r="810">
      <c r="A810" s="4" t="str">
        <f t="shared" si="1"/>
        <v/>
      </c>
      <c r="F810" s="36" t="str">
        <f t="shared" si="4"/>
        <v/>
      </c>
      <c r="G810" s="11"/>
      <c r="H810" s="11" t="str">
        <f>IF(E810="","",SUMIF(Estructuras!B:B,A810,Estructuras!E:E))</f>
        <v/>
      </c>
      <c r="I810" s="8" t="str">
        <f>IF(E810="","",IF(COUNTIF(Estructuras!F:F,E810)=0,"Falta Estructura",IF(COUNTIFS(Estructuras!F:F,E810,Estructuras!E:E,0)&gt;0,"Faltan Precios","OK")))</f>
        <v/>
      </c>
      <c r="J810" s="10" t="str">
        <f>IF(I810="Faltan Precios",COUNTIFS(Estructuras!B:B,A810,Estructuras!E:E,0),"")</f>
        <v/>
      </c>
      <c r="K810" s="8" t="str">
        <f t="shared" si="2"/>
        <v/>
      </c>
    </row>
    <row r="811">
      <c r="A811" s="4" t="str">
        <f t="shared" si="1"/>
        <v/>
      </c>
      <c r="F811" s="36" t="str">
        <f t="shared" si="4"/>
        <v/>
      </c>
      <c r="G811" s="11"/>
      <c r="H811" s="11" t="str">
        <f>IF(E811="","",SUMIF(Estructuras!B:B,A811,Estructuras!E:E))</f>
        <v/>
      </c>
      <c r="I811" s="8" t="str">
        <f>IF(E811="","",IF(COUNTIF(Estructuras!F:F,E811)=0,"Falta Estructura",IF(COUNTIFS(Estructuras!F:F,E811,Estructuras!E:E,0)&gt;0,"Faltan Precios","OK")))</f>
        <v/>
      </c>
      <c r="J811" s="10" t="str">
        <f>IF(I811="Faltan Precios",COUNTIFS(Estructuras!B:B,A811,Estructuras!E:E,0),"")</f>
        <v/>
      </c>
      <c r="K811" s="8" t="str">
        <f t="shared" si="2"/>
        <v/>
      </c>
    </row>
    <row r="812">
      <c r="A812" s="4" t="str">
        <f t="shared" si="1"/>
        <v/>
      </c>
      <c r="F812" s="36" t="str">
        <f t="shared" si="4"/>
        <v/>
      </c>
      <c r="G812" s="11"/>
      <c r="H812" s="11" t="str">
        <f>IF(E812="","",SUMIF(Estructuras!B:B,A812,Estructuras!E:E))</f>
        <v/>
      </c>
      <c r="I812" s="8" t="str">
        <f>IF(E812="","",IF(COUNTIF(Estructuras!F:F,E812)=0,"Falta Estructura",IF(COUNTIFS(Estructuras!F:F,E812,Estructuras!E:E,0)&gt;0,"Faltan Precios","OK")))</f>
        <v/>
      </c>
      <c r="J812" s="10" t="str">
        <f>IF(I812="Faltan Precios",COUNTIFS(Estructuras!B:B,A812,Estructuras!E:E,0),"")</f>
        <v/>
      </c>
      <c r="K812" s="8" t="str">
        <f t="shared" si="2"/>
        <v/>
      </c>
    </row>
    <row r="813">
      <c r="A813" s="4" t="str">
        <f t="shared" si="1"/>
        <v/>
      </c>
      <c r="F813" s="36" t="str">
        <f t="shared" si="4"/>
        <v/>
      </c>
      <c r="G813" s="11"/>
      <c r="H813" s="11" t="str">
        <f>IF(E813="","",SUMIF(Estructuras!B:B,A813,Estructuras!E:E))</f>
        <v/>
      </c>
      <c r="I813" s="8" t="str">
        <f>IF(E813="","",IF(COUNTIF(Estructuras!F:F,E813)=0,"Falta Estructura",IF(COUNTIFS(Estructuras!F:F,E813,Estructuras!E:E,0)&gt;0,"Faltan Precios","OK")))</f>
        <v/>
      </c>
      <c r="J813" s="10" t="str">
        <f>IF(I813="Faltan Precios",COUNTIFS(Estructuras!B:B,A813,Estructuras!E:E,0),"")</f>
        <v/>
      </c>
      <c r="K813" s="8" t="str">
        <f t="shared" si="2"/>
        <v/>
      </c>
    </row>
    <row r="814">
      <c r="A814" s="4" t="str">
        <f t="shared" si="1"/>
        <v/>
      </c>
      <c r="F814" s="36" t="str">
        <f t="shared" si="4"/>
        <v/>
      </c>
      <c r="G814" s="11"/>
      <c r="H814" s="11" t="str">
        <f>IF(E814="","",SUMIF(Estructuras!B:B,A814,Estructuras!E:E))</f>
        <v/>
      </c>
      <c r="I814" s="8" t="str">
        <f>IF(E814="","",IF(COUNTIF(Estructuras!F:F,E814)=0,"Falta Estructura",IF(COUNTIFS(Estructuras!F:F,E814,Estructuras!E:E,0)&gt;0,"Faltan Precios","OK")))</f>
        <v/>
      </c>
      <c r="J814" s="10" t="str">
        <f>IF(I814="Faltan Precios",COUNTIFS(Estructuras!B:B,A814,Estructuras!E:E,0),"")</f>
        <v/>
      </c>
      <c r="K814" s="8" t="str">
        <f t="shared" si="2"/>
        <v/>
      </c>
    </row>
    <row r="815">
      <c r="A815" s="4" t="str">
        <f t="shared" si="1"/>
        <v/>
      </c>
      <c r="F815" s="36" t="str">
        <f t="shared" si="4"/>
        <v/>
      </c>
      <c r="G815" s="11"/>
      <c r="H815" s="11" t="str">
        <f>IF(E815="","",SUMIF(Estructuras!B:B,A815,Estructuras!E:E))</f>
        <v/>
      </c>
      <c r="I815" s="8" t="str">
        <f>IF(E815="","",IF(COUNTIF(Estructuras!F:F,E815)=0,"Falta Estructura",IF(COUNTIFS(Estructuras!F:F,E815,Estructuras!E:E,0)&gt;0,"Faltan Precios","OK")))</f>
        <v/>
      </c>
      <c r="J815" s="10" t="str">
        <f>IF(I815="Faltan Precios",COUNTIFS(Estructuras!B:B,A815,Estructuras!E:E,0),"")</f>
        <v/>
      </c>
      <c r="K815" s="8" t="str">
        <f t="shared" si="2"/>
        <v/>
      </c>
    </row>
    <row r="816">
      <c r="A816" s="4" t="str">
        <f t="shared" si="1"/>
        <v/>
      </c>
      <c r="F816" s="36" t="str">
        <f t="shared" si="4"/>
        <v/>
      </c>
      <c r="G816" s="11"/>
      <c r="H816" s="11" t="str">
        <f>IF(E816="","",SUMIF(Estructuras!B:B,A816,Estructuras!E:E))</f>
        <v/>
      </c>
      <c r="I816" s="8" t="str">
        <f>IF(E816="","",IF(COUNTIF(Estructuras!F:F,E816)=0,"Falta Estructura",IF(COUNTIFS(Estructuras!F:F,E816,Estructuras!E:E,0)&gt;0,"Faltan Precios","OK")))</f>
        <v/>
      </c>
      <c r="J816" s="10" t="str">
        <f>IF(I816="Faltan Precios",COUNTIFS(Estructuras!B:B,A816,Estructuras!E:E,0),"")</f>
        <v/>
      </c>
      <c r="K816" s="8" t="str">
        <f t="shared" si="2"/>
        <v/>
      </c>
    </row>
    <row r="817">
      <c r="A817" s="4" t="str">
        <f t="shared" si="1"/>
        <v/>
      </c>
      <c r="F817" s="36" t="str">
        <f t="shared" si="4"/>
        <v/>
      </c>
      <c r="G817" s="11"/>
      <c r="H817" s="11" t="str">
        <f>IF(E817="","",SUMIF(Estructuras!B:B,A817,Estructuras!E:E))</f>
        <v/>
      </c>
      <c r="I817" s="8" t="str">
        <f>IF(E817="","",IF(COUNTIF(Estructuras!F:F,E817)=0,"Falta Estructura",IF(COUNTIFS(Estructuras!F:F,E817,Estructuras!E:E,0)&gt;0,"Faltan Precios","OK")))</f>
        <v/>
      </c>
      <c r="J817" s="10" t="str">
        <f>IF(I817="Faltan Precios",COUNTIFS(Estructuras!B:B,A817,Estructuras!E:E,0),"")</f>
        <v/>
      </c>
      <c r="K817" s="8" t="str">
        <f t="shared" si="2"/>
        <v/>
      </c>
    </row>
    <row r="818">
      <c r="A818" s="4" t="str">
        <f t="shared" si="1"/>
        <v/>
      </c>
      <c r="F818" s="36" t="str">
        <f t="shared" si="4"/>
        <v/>
      </c>
      <c r="G818" s="11"/>
      <c r="H818" s="11" t="str">
        <f>IF(E818="","",SUMIF(Estructuras!B:B,A818,Estructuras!E:E))</f>
        <v/>
      </c>
      <c r="I818" s="8" t="str">
        <f>IF(E818="","",IF(COUNTIF(Estructuras!F:F,E818)=0,"Falta Estructura",IF(COUNTIFS(Estructuras!F:F,E818,Estructuras!E:E,0)&gt;0,"Faltan Precios","OK")))</f>
        <v/>
      </c>
      <c r="J818" s="10" t="str">
        <f>IF(I818="Faltan Precios",COUNTIFS(Estructuras!B:B,A818,Estructuras!E:E,0),"")</f>
        <v/>
      </c>
      <c r="K818" s="8" t="str">
        <f t="shared" si="2"/>
        <v/>
      </c>
    </row>
    <row r="819">
      <c r="A819" s="4" t="str">
        <f t="shared" si="1"/>
        <v/>
      </c>
      <c r="F819" s="36" t="str">
        <f t="shared" si="4"/>
        <v/>
      </c>
      <c r="G819" s="11"/>
      <c r="H819" s="11" t="str">
        <f>IF(E819="","",SUMIF(Estructuras!B:B,A819,Estructuras!E:E))</f>
        <v/>
      </c>
      <c r="I819" s="8" t="str">
        <f>IF(E819="","",IF(COUNTIF(Estructuras!F:F,E819)=0,"Falta Estructura",IF(COUNTIFS(Estructuras!F:F,E819,Estructuras!E:E,0)&gt;0,"Faltan Precios","OK")))</f>
        <v/>
      </c>
      <c r="J819" s="10" t="str">
        <f>IF(I819="Faltan Precios",COUNTIFS(Estructuras!B:B,A819,Estructuras!E:E,0),"")</f>
        <v/>
      </c>
      <c r="K819" s="8" t="str">
        <f t="shared" si="2"/>
        <v/>
      </c>
    </row>
    <row r="820">
      <c r="A820" s="4" t="str">
        <f t="shared" si="1"/>
        <v/>
      </c>
      <c r="F820" s="36" t="str">
        <f t="shared" si="4"/>
        <v/>
      </c>
      <c r="G820" s="11"/>
      <c r="H820" s="11" t="str">
        <f>IF(E820="","",SUMIF(Estructuras!B:B,A820,Estructuras!E:E))</f>
        <v/>
      </c>
      <c r="I820" s="8" t="str">
        <f>IF(E820="","",IF(COUNTIF(Estructuras!F:F,E820)=0,"Falta Estructura",IF(COUNTIFS(Estructuras!F:F,E820,Estructuras!E:E,0)&gt;0,"Faltan Precios","OK")))</f>
        <v/>
      </c>
      <c r="J820" s="10" t="str">
        <f>IF(I820="Faltan Precios",COUNTIFS(Estructuras!B:B,A820,Estructuras!E:E,0),"")</f>
        <v/>
      </c>
      <c r="K820" s="8" t="str">
        <f t="shared" si="2"/>
        <v/>
      </c>
    </row>
    <row r="821">
      <c r="A821" s="4" t="str">
        <f t="shared" si="1"/>
        <v/>
      </c>
      <c r="F821" s="36" t="str">
        <f t="shared" si="4"/>
        <v/>
      </c>
      <c r="G821" s="11"/>
      <c r="H821" s="11" t="str">
        <f>IF(E821="","",SUMIF(Estructuras!B:B,A821,Estructuras!E:E))</f>
        <v/>
      </c>
      <c r="I821" s="8" t="str">
        <f>IF(E821="","",IF(COUNTIF(Estructuras!F:F,E821)=0,"Falta Estructura",IF(COUNTIFS(Estructuras!F:F,E821,Estructuras!E:E,0)&gt;0,"Faltan Precios","OK")))</f>
        <v/>
      </c>
      <c r="J821" s="10" t="str">
        <f>IF(I821="Faltan Precios",COUNTIFS(Estructuras!B:B,A821,Estructuras!E:E,0),"")</f>
        <v/>
      </c>
      <c r="K821" s="8" t="str">
        <f t="shared" si="2"/>
        <v/>
      </c>
    </row>
    <row r="822">
      <c r="A822" s="4" t="str">
        <f t="shared" si="1"/>
        <v/>
      </c>
      <c r="F822" s="36" t="str">
        <f t="shared" si="4"/>
        <v/>
      </c>
      <c r="G822" s="11"/>
      <c r="H822" s="11" t="str">
        <f>IF(E822="","",SUMIF(Estructuras!B:B,A822,Estructuras!E:E))</f>
        <v/>
      </c>
      <c r="I822" s="8" t="str">
        <f>IF(E822="","",IF(COUNTIF(Estructuras!F:F,E822)=0,"Falta Estructura",IF(COUNTIFS(Estructuras!F:F,E822,Estructuras!E:E,0)&gt;0,"Faltan Precios","OK")))</f>
        <v/>
      </c>
      <c r="J822" s="10" t="str">
        <f>IF(I822="Faltan Precios",COUNTIFS(Estructuras!B:B,A822,Estructuras!E:E,0),"")</f>
        <v/>
      </c>
      <c r="K822" s="8" t="str">
        <f t="shared" si="2"/>
        <v/>
      </c>
    </row>
    <row r="823">
      <c r="A823" s="4" t="str">
        <f t="shared" si="1"/>
        <v/>
      </c>
      <c r="F823" s="36" t="str">
        <f t="shared" si="4"/>
        <v/>
      </c>
      <c r="G823" s="11"/>
      <c r="H823" s="11" t="str">
        <f>IF(E823="","",SUMIF(Estructuras!B:B,A823,Estructuras!E:E))</f>
        <v/>
      </c>
      <c r="I823" s="8" t="str">
        <f>IF(E823="","",IF(COUNTIF(Estructuras!F:F,E823)=0,"Falta Estructura",IF(COUNTIFS(Estructuras!F:F,E823,Estructuras!E:E,0)&gt;0,"Faltan Precios","OK")))</f>
        <v/>
      </c>
      <c r="J823" s="10" t="str">
        <f>IF(I823="Faltan Precios",COUNTIFS(Estructuras!B:B,A823,Estructuras!E:E,0),"")</f>
        <v/>
      </c>
      <c r="K823" s="8" t="str">
        <f t="shared" si="2"/>
        <v/>
      </c>
    </row>
    <row r="824">
      <c r="A824" s="4" t="str">
        <f t="shared" si="1"/>
        <v/>
      </c>
      <c r="F824" s="36" t="str">
        <f t="shared" si="4"/>
        <v/>
      </c>
      <c r="G824" s="11"/>
      <c r="H824" s="11" t="str">
        <f>IF(E824="","",SUMIF(Estructuras!B:B,A824,Estructuras!E:E))</f>
        <v/>
      </c>
      <c r="I824" s="8" t="str">
        <f>IF(E824="","",IF(COUNTIF(Estructuras!F:F,E824)=0,"Falta Estructura",IF(COUNTIFS(Estructuras!F:F,E824,Estructuras!E:E,0)&gt;0,"Faltan Precios","OK")))</f>
        <v/>
      </c>
      <c r="J824" s="10" t="str">
        <f>IF(I824="Faltan Precios",COUNTIFS(Estructuras!B:B,A824,Estructuras!E:E,0),"")</f>
        <v/>
      </c>
      <c r="K824" s="8" t="str">
        <f t="shared" si="2"/>
        <v/>
      </c>
    </row>
    <row r="825">
      <c r="A825" s="4" t="str">
        <f t="shared" si="1"/>
        <v/>
      </c>
      <c r="F825" s="36" t="str">
        <f t="shared" si="4"/>
        <v/>
      </c>
      <c r="G825" s="11"/>
      <c r="H825" s="11" t="str">
        <f>IF(E825="","",SUMIF(Estructuras!B:B,A825,Estructuras!E:E))</f>
        <v/>
      </c>
      <c r="I825" s="8" t="str">
        <f>IF(E825="","",IF(COUNTIF(Estructuras!F:F,E825)=0,"Falta Estructura",IF(COUNTIFS(Estructuras!F:F,E825,Estructuras!E:E,0)&gt;0,"Faltan Precios","OK")))</f>
        <v/>
      </c>
      <c r="J825" s="10" t="str">
        <f>IF(I825="Faltan Precios",COUNTIFS(Estructuras!B:B,A825,Estructuras!E:E,0),"")</f>
        <v/>
      </c>
      <c r="K825" s="8" t="str">
        <f t="shared" si="2"/>
        <v/>
      </c>
    </row>
    <row r="826">
      <c r="A826" s="4" t="str">
        <f t="shared" si="1"/>
        <v/>
      </c>
      <c r="F826" s="36" t="str">
        <f t="shared" si="4"/>
        <v/>
      </c>
      <c r="G826" s="11"/>
      <c r="H826" s="11" t="str">
        <f>IF(E826="","",SUMIF(Estructuras!B:B,A826,Estructuras!E:E))</f>
        <v/>
      </c>
      <c r="I826" s="8" t="str">
        <f>IF(E826="","",IF(COUNTIF(Estructuras!F:F,E826)=0,"Falta Estructura",IF(COUNTIFS(Estructuras!F:F,E826,Estructuras!E:E,0)&gt;0,"Faltan Precios","OK")))</f>
        <v/>
      </c>
      <c r="J826" s="10" t="str">
        <f>IF(I826="Faltan Precios",COUNTIFS(Estructuras!B:B,A826,Estructuras!E:E,0),"")</f>
        <v/>
      </c>
      <c r="K826" s="8" t="str">
        <f t="shared" si="2"/>
        <v/>
      </c>
    </row>
    <row r="827">
      <c r="A827" s="4" t="str">
        <f t="shared" si="1"/>
        <v/>
      </c>
      <c r="F827" s="36" t="str">
        <f t="shared" si="4"/>
        <v/>
      </c>
      <c r="G827" s="11"/>
      <c r="H827" s="11" t="str">
        <f>IF(E827="","",SUMIF(Estructuras!B:B,A827,Estructuras!E:E))</f>
        <v/>
      </c>
      <c r="I827" s="8" t="str">
        <f>IF(E827="","",IF(COUNTIF(Estructuras!F:F,E827)=0,"Falta Estructura",IF(COUNTIFS(Estructuras!F:F,E827,Estructuras!E:E,0)&gt;0,"Faltan Precios","OK")))</f>
        <v/>
      </c>
      <c r="J827" s="10" t="str">
        <f>IF(I827="Faltan Precios",COUNTIFS(Estructuras!B:B,A827,Estructuras!E:E,0),"")</f>
        <v/>
      </c>
      <c r="K827" s="8" t="str">
        <f t="shared" si="2"/>
        <v/>
      </c>
    </row>
    <row r="828">
      <c r="A828" s="4" t="str">
        <f t="shared" si="1"/>
        <v/>
      </c>
      <c r="F828" s="36" t="str">
        <f t="shared" si="4"/>
        <v/>
      </c>
      <c r="G828" s="11"/>
      <c r="H828" s="11" t="str">
        <f>IF(E828="","",SUMIF(Estructuras!B:B,A828,Estructuras!E:E))</f>
        <v/>
      </c>
      <c r="I828" s="8" t="str">
        <f>IF(E828="","",IF(COUNTIF(Estructuras!F:F,E828)=0,"Falta Estructura",IF(COUNTIFS(Estructuras!F:F,E828,Estructuras!E:E,0)&gt;0,"Faltan Precios","OK")))</f>
        <v/>
      </c>
      <c r="J828" s="10" t="str">
        <f>IF(I828="Faltan Precios",COUNTIFS(Estructuras!B:B,A828,Estructuras!E:E,0),"")</f>
        <v/>
      </c>
      <c r="K828" s="8" t="str">
        <f t="shared" si="2"/>
        <v/>
      </c>
    </row>
    <row r="829">
      <c r="A829" s="4" t="str">
        <f t="shared" si="1"/>
        <v/>
      </c>
      <c r="F829" s="36" t="str">
        <f t="shared" si="4"/>
        <v/>
      </c>
      <c r="G829" s="11"/>
      <c r="H829" s="11" t="str">
        <f>IF(E829="","",SUMIF(Estructuras!B:B,A829,Estructuras!E:E))</f>
        <v/>
      </c>
      <c r="I829" s="8" t="str">
        <f>IF(E829="","",IF(COUNTIF(Estructuras!F:F,E829)=0,"Falta Estructura",IF(COUNTIFS(Estructuras!F:F,E829,Estructuras!E:E,0)&gt;0,"Faltan Precios","OK")))</f>
        <v/>
      </c>
      <c r="J829" s="10" t="str">
        <f>IF(I829="Faltan Precios",COUNTIFS(Estructuras!B:B,A829,Estructuras!E:E,0),"")</f>
        <v/>
      </c>
      <c r="K829" s="8" t="str">
        <f t="shared" si="2"/>
        <v/>
      </c>
    </row>
    <row r="830">
      <c r="A830" s="4" t="str">
        <f t="shared" si="1"/>
        <v/>
      </c>
      <c r="F830" s="36" t="str">
        <f t="shared" si="4"/>
        <v/>
      </c>
      <c r="G830" s="11"/>
      <c r="H830" s="11" t="str">
        <f>IF(E830="","",SUMIF(Estructuras!B:B,A830,Estructuras!E:E))</f>
        <v/>
      </c>
      <c r="I830" s="8" t="str">
        <f>IF(E830="","",IF(COUNTIF(Estructuras!F:F,E830)=0,"Falta Estructura",IF(COUNTIFS(Estructuras!F:F,E830,Estructuras!E:E,0)&gt;0,"Faltan Precios","OK")))</f>
        <v/>
      </c>
      <c r="J830" s="10" t="str">
        <f>IF(I830="Faltan Precios",COUNTIFS(Estructuras!B:B,A830,Estructuras!E:E,0),"")</f>
        <v/>
      </c>
      <c r="K830" s="8" t="str">
        <f t="shared" si="2"/>
        <v/>
      </c>
    </row>
    <row r="831">
      <c r="A831" s="4" t="str">
        <f t="shared" si="1"/>
        <v/>
      </c>
      <c r="F831" s="36" t="str">
        <f t="shared" si="4"/>
        <v/>
      </c>
      <c r="G831" s="11"/>
      <c r="H831" s="11" t="str">
        <f>IF(E831="","",SUMIF(Estructuras!B:B,A831,Estructuras!E:E))</f>
        <v/>
      </c>
      <c r="I831" s="8" t="str">
        <f>IF(E831="","",IF(COUNTIF(Estructuras!F:F,E831)=0,"Falta Estructura",IF(COUNTIFS(Estructuras!F:F,E831,Estructuras!E:E,0)&gt;0,"Faltan Precios","OK")))</f>
        <v/>
      </c>
      <c r="J831" s="10" t="str">
        <f>IF(I831="Faltan Precios",COUNTIFS(Estructuras!B:B,A831,Estructuras!E:E,0),"")</f>
        <v/>
      </c>
      <c r="K831" s="8" t="str">
        <f t="shared" si="2"/>
        <v/>
      </c>
    </row>
    <row r="832">
      <c r="A832" s="4" t="str">
        <f t="shared" si="1"/>
        <v/>
      </c>
      <c r="F832" s="36" t="str">
        <f t="shared" si="4"/>
        <v/>
      </c>
      <c r="G832" s="11"/>
      <c r="H832" s="11" t="str">
        <f>IF(E832="","",SUMIF(Estructuras!B:B,A832,Estructuras!E:E))</f>
        <v/>
      </c>
      <c r="I832" s="8" t="str">
        <f>IF(E832="","",IF(COUNTIF(Estructuras!F:F,E832)=0,"Falta Estructura",IF(COUNTIFS(Estructuras!F:F,E832,Estructuras!E:E,0)&gt;0,"Faltan Precios","OK")))</f>
        <v/>
      </c>
      <c r="J832" s="10" t="str">
        <f>IF(I832="Faltan Precios",COUNTIFS(Estructuras!B:B,A832,Estructuras!E:E,0),"")</f>
        <v/>
      </c>
      <c r="K832" s="8" t="str">
        <f t="shared" si="2"/>
        <v/>
      </c>
    </row>
    <row r="833">
      <c r="A833" s="4" t="str">
        <f t="shared" si="1"/>
        <v/>
      </c>
      <c r="F833" s="36" t="str">
        <f t="shared" si="4"/>
        <v/>
      </c>
      <c r="G833" s="11"/>
      <c r="H833" s="11" t="str">
        <f>IF(E833="","",SUMIF(Estructuras!B:B,A833,Estructuras!E:E))</f>
        <v/>
      </c>
      <c r="I833" s="8" t="str">
        <f>IF(E833="","",IF(COUNTIF(Estructuras!F:F,E833)=0,"Falta Estructura",IF(COUNTIFS(Estructuras!F:F,E833,Estructuras!E:E,0)&gt;0,"Faltan Precios","OK")))</f>
        <v/>
      </c>
      <c r="J833" s="10" t="str">
        <f>IF(I833="Faltan Precios",COUNTIFS(Estructuras!B:B,A833,Estructuras!E:E,0),"")</f>
        <v/>
      </c>
      <c r="K833" s="8" t="str">
        <f t="shared" si="2"/>
        <v/>
      </c>
    </row>
    <row r="834">
      <c r="A834" s="4" t="str">
        <f t="shared" si="1"/>
        <v/>
      </c>
      <c r="F834" s="36" t="str">
        <f t="shared" si="4"/>
        <v/>
      </c>
      <c r="G834" s="11"/>
      <c r="H834" s="11" t="str">
        <f>IF(E834="","",SUMIF(Estructuras!B:B,A834,Estructuras!E:E))</f>
        <v/>
      </c>
      <c r="I834" s="8" t="str">
        <f>IF(E834="","",IF(COUNTIF(Estructuras!F:F,E834)=0,"Falta Estructura",IF(COUNTIFS(Estructuras!F:F,E834,Estructuras!E:E,0)&gt;0,"Faltan Precios","OK")))</f>
        <v/>
      </c>
      <c r="J834" s="10" t="str">
        <f>IF(I834="Faltan Precios",COUNTIFS(Estructuras!B:B,A834,Estructuras!E:E,0),"")</f>
        <v/>
      </c>
      <c r="K834" s="8" t="str">
        <f t="shared" si="2"/>
        <v/>
      </c>
    </row>
    <row r="835">
      <c r="A835" s="4" t="str">
        <f t="shared" si="1"/>
        <v/>
      </c>
      <c r="F835" s="36" t="str">
        <f t="shared" si="4"/>
        <v/>
      </c>
      <c r="G835" s="11"/>
      <c r="H835" s="11" t="str">
        <f>IF(E835="","",SUMIF(Estructuras!B:B,A835,Estructuras!E:E))</f>
        <v/>
      </c>
      <c r="I835" s="8" t="str">
        <f>IF(E835="","",IF(COUNTIF(Estructuras!F:F,E835)=0,"Falta Estructura",IF(COUNTIFS(Estructuras!F:F,E835,Estructuras!E:E,0)&gt;0,"Faltan Precios","OK")))</f>
        <v/>
      </c>
      <c r="J835" s="10" t="str">
        <f>IF(I835="Faltan Precios",COUNTIFS(Estructuras!B:B,A835,Estructuras!E:E,0),"")</f>
        <v/>
      </c>
      <c r="K835" s="8" t="str">
        <f t="shared" si="2"/>
        <v/>
      </c>
    </row>
    <row r="836">
      <c r="A836" s="4" t="str">
        <f t="shared" si="1"/>
        <v/>
      </c>
      <c r="F836" s="36" t="str">
        <f t="shared" si="4"/>
        <v/>
      </c>
      <c r="G836" s="11"/>
      <c r="H836" s="11" t="str">
        <f>IF(E836="","",SUMIF(Estructuras!B:B,A836,Estructuras!E:E))</f>
        <v/>
      </c>
      <c r="I836" s="8" t="str">
        <f>IF(E836="","",IF(COUNTIF(Estructuras!F:F,E836)=0,"Falta Estructura",IF(COUNTIFS(Estructuras!F:F,E836,Estructuras!E:E,0)&gt;0,"Faltan Precios","OK")))</f>
        <v/>
      </c>
      <c r="J836" s="10" t="str">
        <f>IF(I836="Faltan Precios",COUNTIFS(Estructuras!B:B,A836,Estructuras!E:E,0),"")</f>
        <v/>
      </c>
      <c r="K836" s="8" t="str">
        <f t="shared" si="2"/>
        <v/>
      </c>
    </row>
    <row r="837">
      <c r="A837" s="4" t="str">
        <f t="shared" si="1"/>
        <v/>
      </c>
      <c r="F837" s="36" t="str">
        <f t="shared" si="4"/>
        <v/>
      </c>
      <c r="G837" s="11"/>
      <c r="H837" s="11" t="str">
        <f>IF(E837="","",SUMIF(Estructuras!B:B,A837,Estructuras!E:E))</f>
        <v/>
      </c>
      <c r="I837" s="8" t="str">
        <f>IF(E837="","",IF(COUNTIF(Estructuras!F:F,E837)=0,"Falta Estructura",IF(COUNTIFS(Estructuras!F:F,E837,Estructuras!E:E,0)&gt;0,"Faltan Precios","OK")))</f>
        <v/>
      </c>
      <c r="J837" s="10" t="str">
        <f>IF(I837="Faltan Precios",COUNTIFS(Estructuras!B:B,A837,Estructuras!E:E,0),"")</f>
        <v/>
      </c>
      <c r="K837" s="8" t="str">
        <f t="shared" si="2"/>
        <v/>
      </c>
    </row>
    <row r="838">
      <c r="A838" s="4" t="str">
        <f t="shared" si="1"/>
        <v/>
      </c>
      <c r="F838" s="36" t="str">
        <f t="shared" si="4"/>
        <v/>
      </c>
      <c r="G838" s="11"/>
      <c r="H838" s="11" t="str">
        <f>IF(E838="","",SUMIF(Estructuras!B:B,A838,Estructuras!E:E))</f>
        <v/>
      </c>
      <c r="I838" s="8" t="str">
        <f>IF(E838="","",IF(COUNTIF(Estructuras!F:F,E838)=0,"Falta Estructura",IF(COUNTIFS(Estructuras!F:F,E838,Estructuras!E:E,0)&gt;0,"Faltan Precios","OK")))</f>
        <v/>
      </c>
      <c r="J838" s="10" t="str">
        <f>IF(I838="Faltan Precios",COUNTIFS(Estructuras!B:B,A838,Estructuras!E:E,0),"")</f>
        <v/>
      </c>
      <c r="K838" s="8" t="str">
        <f t="shared" si="2"/>
        <v/>
      </c>
    </row>
    <row r="839">
      <c r="A839" s="4" t="str">
        <f t="shared" si="1"/>
        <v/>
      </c>
      <c r="F839" s="36" t="str">
        <f t="shared" si="4"/>
        <v/>
      </c>
      <c r="G839" s="11"/>
      <c r="H839" s="11" t="str">
        <f>IF(E839="","",SUMIF(Estructuras!B:B,A839,Estructuras!E:E))</f>
        <v/>
      </c>
      <c r="I839" s="8" t="str">
        <f>IF(E839="","",IF(COUNTIF(Estructuras!F:F,E839)=0,"Falta Estructura",IF(COUNTIFS(Estructuras!F:F,E839,Estructuras!E:E,0)&gt;0,"Faltan Precios","OK")))</f>
        <v/>
      </c>
      <c r="J839" s="10" t="str">
        <f>IF(I839="Faltan Precios",COUNTIFS(Estructuras!B:B,A839,Estructuras!E:E,0),"")</f>
        <v/>
      </c>
      <c r="K839" s="8" t="str">
        <f t="shared" si="2"/>
        <v/>
      </c>
    </row>
    <row r="840">
      <c r="A840" s="4" t="str">
        <f t="shared" si="1"/>
        <v/>
      </c>
      <c r="F840" s="36" t="str">
        <f t="shared" si="4"/>
        <v/>
      </c>
      <c r="G840" s="11"/>
      <c r="H840" s="11" t="str">
        <f>IF(E840="","",SUMIF(Estructuras!B:B,A840,Estructuras!E:E))</f>
        <v/>
      </c>
      <c r="I840" s="8" t="str">
        <f>IF(E840="","",IF(COUNTIF(Estructuras!F:F,E840)=0,"Falta Estructura",IF(COUNTIFS(Estructuras!F:F,E840,Estructuras!E:E,0)&gt;0,"Faltan Precios","OK")))</f>
        <v/>
      </c>
      <c r="J840" s="10" t="str">
        <f>IF(I840="Faltan Precios",COUNTIFS(Estructuras!B:B,A840,Estructuras!E:E,0),"")</f>
        <v/>
      </c>
      <c r="K840" s="8" t="str">
        <f t="shared" si="2"/>
        <v/>
      </c>
    </row>
    <row r="841">
      <c r="A841" s="4" t="str">
        <f t="shared" si="1"/>
        <v/>
      </c>
      <c r="F841" s="36" t="str">
        <f t="shared" si="4"/>
        <v/>
      </c>
      <c r="G841" s="11"/>
      <c r="H841" s="11" t="str">
        <f>IF(E841="","",SUMIF(Estructuras!B:B,A841,Estructuras!E:E))</f>
        <v/>
      </c>
      <c r="I841" s="8" t="str">
        <f>IF(E841="","",IF(COUNTIF(Estructuras!F:F,E841)=0,"Falta Estructura",IF(COUNTIFS(Estructuras!F:F,E841,Estructuras!E:E,0)&gt;0,"Faltan Precios","OK")))</f>
        <v/>
      </c>
      <c r="J841" s="10" t="str">
        <f>IF(I841="Faltan Precios",COUNTIFS(Estructuras!B:B,A841,Estructuras!E:E,0),"")</f>
        <v/>
      </c>
      <c r="K841" s="8" t="str">
        <f t="shared" si="2"/>
        <v/>
      </c>
    </row>
    <row r="842">
      <c r="A842" s="4" t="str">
        <f t="shared" si="1"/>
        <v/>
      </c>
      <c r="F842" s="36" t="str">
        <f t="shared" si="4"/>
        <v/>
      </c>
      <c r="G842" s="11"/>
      <c r="H842" s="11" t="str">
        <f>IF(E842="","",SUMIF(Estructuras!B:B,A842,Estructuras!E:E))</f>
        <v/>
      </c>
      <c r="I842" s="8" t="str">
        <f>IF(E842="","",IF(COUNTIF(Estructuras!F:F,E842)=0,"Falta Estructura",IF(COUNTIFS(Estructuras!F:F,E842,Estructuras!E:E,0)&gt;0,"Faltan Precios","OK")))</f>
        <v/>
      </c>
      <c r="J842" s="10" t="str">
        <f>IF(I842="Faltan Precios",COUNTIFS(Estructuras!B:B,A842,Estructuras!E:E,0),"")</f>
        <v/>
      </c>
      <c r="K842" s="8" t="str">
        <f t="shared" si="2"/>
        <v/>
      </c>
    </row>
    <row r="843">
      <c r="A843" s="4" t="str">
        <f t="shared" si="1"/>
        <v/>
      </c>
      <c r="F843" s="36" t="str">
        <f t="shared" si="4"/>
        <v/>
      </c>
      <c r="G843" s="11"/>
      <c r="H843" s="11" t="str">
        <f>IF(E843="","",SUMIF(Estructuras!B:B,A843,Estructuras!E:E))</f>
        <v/>
      </c>
      <c r="I843" s="8" t="str">
        <f>IF(E843="","",IF(COUNTIF(Estructuras!F:F,E843)=0,"Falta Estructura",IF(COUNTIFS(Estructuras!F:F,E843,Estructuras!E:E,0)&gt;0,"Faltan Precios","OK")))</f>
        <v/>
      </c>
      <c r="J843" s="10" t="str">
        <f>IF(I843="Faltan Precios",COUNTIFS(Estructuras!B:B,A843,Estructuras!E:E,0),"")</f>
        <v/>
      </c>
      <c r="K843" s="8" t="str">
        <f t="shared" si="2"/>
        <v/>
      </c>
    </row>
    <row r="844">
      <c r="A844" s="4" t="str">
        <f t="shared" si="1"/>
        <v/>
      </c>
      <c r="F844" s="36" t="str">
        <f t="shared" si="4"/>
        <v/>
      </c>
      <c r="G844" s="11"/>
      <c r="H844" s="11" t="str">
        <f>IF(E844="","",SUMIF(Estructuras!B:B,A844,Estructuras!E:E))</f>
        <v/>
      </c>
      <c r="I844" s="8" t="str">
        <f>IF(E844="","",IF(COUNTIF(Estructuras!F:F,E844)=0,"Falta Estructura",IF(COUNTIFS(Estructuras!F:F,E844,Estructuras!E:E,0)&gt;0,"Faltan Precios","OK")))</f>
        <v/>
      </c>
      <c r="J844" s="10" t="str">
        <f>IF(I844="Faltan Precios",COUNTIFS(Estructuras!B:B,A844,Estructuras!E:E,0),"")</f>
        <v/>
      </c>
      <c r="K844" s="8" t="str">
        <f t="shared" si="2"/>
        <v/>
      </c>
    </row>
    <row r="845">
      <c r="A845" s="4" t="str">
        <f t="shared" si="1"/>
        <v/>
      </c>
      <c r="F845" s="36" t="str">
        <f t="shared" si="4"/>
        <v/>
      </c>
      <c r="G845" s="11"/>
      <c r="H845" s="11" t="str">
        <f>IF(E845="","",SUMIF(Estructuras!B:B,A845,Estructuras!E:E))</f>
        <v/>
      </c>
      <c r="I845" s="8" t="str">
        <f>IF(E845="","",IF(COUNTIF(Estructuras!F:F,E845)=0,"Falta Estructura",IF(COUNTIFS(Estructuras!F:F,E845,Estructuras!E:E,0)&gt;0,"Faltan Precios","OK")))</f>
        <v/>
      </c>
      <c r="J845" s="10" t="str">
        <f>IF(I845="Faltan Precios",COUNTIFS(Estructuras!B:B,A845,Estructuras!E:E,0),"")</f>
        <v/>
      </c>
      <c r="K845" s="8" t="str">
        <f t="shared" si="2"/>
        <v/>
      </c>
    </row>
    <row r="846">
      <c r="A846" s="4" t="str">
        <f t="shared" si="1"/>
        <v/>
      </c>
      <c r="F846" s="36" t="str">
        <f t="shared" si="4"/>
        <v/>
      </c>
      <c r="G846" s="11"/>
      <c r="H846" s="11" t="str">
        <f>IF(E846="","",SUMIF(Estructuras!B:B,A846,Estructuras!E:E))</f>
        <v/>
      </c>
      <c r="I846" s="8" t="str">
        <f>IF(E846="","",IF(COUNTIF(Estructuras!F:F,E846)=0,"Falta Estructura",IF(COUNTIFS(Estructuras!F:F,E846,Estructuras!E:E,0)&gt;0,"Faltan Precios","OK")))</f>
        <v/>
      </c>
      <c r="J846" s="10" t="str">
        <f>IF(I846="Faltan Precios",COUNTIFS(Estructuras!B:B,A846,Estructuras!E:E,0),"")</f>
        <v/>
      </c>
      <c r="K846" s="8" t="str">
        <f t="shared" si="2"/>
        <v/>
      </c>
    </row>
    <row r="847">
      <c r="A847" s="4" t="str">
        <f t="shared" si="1"/>
        <v/>
      </c>
      <c r="F847" s="36" t="str">
        <f t="shared" si="4"/>
        <v/>
      </c>
      <c r="G847" s="11"/>
      <c r="H847" s="11" t="str">
        <f>IF(E847="","",SUMIF(Estructuras!B:B,A847,Estructuras!E:E))</f>
        <v/>
      </c>
      <c r="I847" s="8" t="str">
        <f>IF(E847="","",IF(COUNTIF(Estructuras!F:F,E847)=0,"Falta Estructura",IF(COUNTIFS(Estructuras!F:F,E847,Estructuras!E:E,0)&gt;0,"Faltan Precios","OK")))</f>
        <v/>
      </c>
      <c r="J847" s="10" t="str">
        <f>IF(I847="Faltan Precios",COUNTIFS(Estructuras!B:B,A847,Estructuras!E:E,0),"")</f>
        <v/>
      </c>
      <c r="K847" s="8" t="str">
        <f t="shared" si="2"/>
        <v/>
      </c>
    </row>
    <row r="848">
      <c r="A848" s="4" t="str">
        <f t="shared" si="1"/>
        <v/>
      </c>
      <c r="F848" s="36" t="str">
        <f t="shared" si="4"/>
        <v/>
      </c>
      <c r="G848" s="11"/>
      <c r="H848" s="11" t="str">
        <f>IF(E848="","",SUMIF(Estructuras!B:B,A848,Estructuras!E:E))</f>
        <v/>
      </c>
      <c r="I848" s="8" t="str">
        <f>IF(E848="","",IF(COUNTIF(Estructuras!F:F,E848)=0,"Falta Estructura",IF(COUNTIFS(Estructuras!F:F,E848,Estructuras!E:E,0)&gt;0,"Faltan Precios","OK")))</f>
        <v/>
      </c>
      <c r="J848" s="10" t="str">
        <f>IF(I848="Faltan Precios",COUNTIFS(Estructuras!B:B,A848,Estructuras!E:E,0),"")</f>
        <v/>
      </c>
      <c r="K848" s="8" t="str">
        <f t="shared" si="2"/>
        <v/>
      </c>
    </row>
    <row r="849">
      <c r="A849" s="4" t="str">
        <f t="shared" si="1"/>
        <v/>
      </c>
      <c r="F849" s="36" t="str">
        <f t="shared" si="4"/>
        <v/>
      </c>
      <c r="G849" s="11"/>
      <c r="H849" s="11" t="str">
        <f>IF(E849="","",SUMIF(Estructuras!B:B,A849,Estructuras!E:E))</f>
        <v/>
      </c>
      <c r="I849" s="8" t="str">
        <f>IF(E849="","",IF(COUNTIF(Estructuras!F:F,E849)=0,"Falta Estructura",IF(COUNTIFS(Estructuras!F:F,E849,Estructuras!E:E,0)&gt;0,"Faltan Precios","OK")))</f>
        <v/>
      </c>
      <c r="J849" s="10" t="str">
        <f>IF(I849="Faltan Precios",COUNTIFS(Estructuras!B:B,A849,Estructuras!E:E,0),"")</f>
        <v/>
      </c>
      <c r="K849" s="8" t="str">
        <f t="shared" si="2"/>
        <v/>
      </c>
    </row>
    <row r="850">
      <c r="A850" s="4" t="str">
        <f t="shared" si="1"/>
        <v/>
      </c>
      <c r="F850" s="36" t="str">
        <f t="shared" si="4"/>
        <v/>
      </c>
      <c r="G850" s="11"/>
      <c r="H850" s="11" t="str">
        <f>IF(E850="","",SUMIF(Estructuras!B:B,A850,Estructuras!E:E))</f>
        <v/>
      </c>
      <c r="I850" s="8" t="str">
        <f>IF(E850="","",IF(COUNTIF(Estructuras!F:F,E850)=0,"Falta Estructura",IF(COUNTIFS(Estructuras!F:F,E850,Estructuras!E:E,0)&gt;0,"Faltan Precios","OK")))</f>
        <v/>
      </c>
      <c r="J850" s="10" t="str">
        <f>IF(I850="Faltan Precios",COUNTIFS(Estructuras!B:B,A850,Estructuras!E:E,0),"")</f>
        <v/>
      </c>
      <c r="K850" s="8" t="str">
        <f t="shared" si="2"/>
        <v/>
      </c>
    </row>
    <row r="851">
      <c r="A851" s="4" t="str">
        <f t="shared" si="1"/>
        <v/>
      </c>
      <c r="F851" s="36" t="str">
        <f t="shared" si="4"/>
        <v/>
      </c>
      <c r="G851" s="11"/>
      <c r="H851" s="11" t="str">
        <f>IF(E851="","",SUMIF(Estructuras!B:B,A851,Estructuras!E:E))</f>
        <v/>
      </c>
      <c r="I851" s="8" t="str">
        <f>IF(E851="","",IF(COUNTIF(Estructuras!F:F,E851)=0,"Falta Estructura",IF(COUNTIFS(Estructuras!F:F,E851,Estructuras!E:E,0)&gt;0,"Faltan Precios","OK")))</f>
        <v/>
      </c>
      <c r="J851" s="10" t="str">
        <f>IF(I851="Faltan Precios",COUNTIFS(Estructuras!B:B,A851,Estructuras!E:E,0),"")</f>
        <v/>
      </c>
      <c r="K851" s="8" t="str">
        <f t="shared" si="2"/>
        <v/>
      </c>
    </row>
    <row r="852">
      <c r="A852" s="4" t="str">
        <f t="shared" si="1"/>
        <v/>
      </c>
      <c r="F852" s="36" t="str">
        <f t="shared" si="4"/>
        <v/>
      </c>
      <c r="G852" s="11"/>
      <c r="H852" s="11" t="str">
        <f>IF(E852="","",SUMIF(Estructuras!B:B,A852,Estructuras!E:E))</f>
        <v/>
      </c>
      <c r="I852" s="8" t="str">
        <f>IF(E852="","",IF(COUNTIF(Estructuras!F:F,E852)=0,"Falta Estructura",IF(COUNTIFS(Estructuras!F:F,E852,Estructuras!E:E,0)&gt;0,"Faltan Precios","OK")))</f>
        <v/>
      </c>
      <c r="J852" s="10" t="str">
        <f>IF(I852="Faltan Precios",COUNTIFS(Estructuras!B:B,A852,Estructuras!E:E,0),"")</f>
        <v/>
      </c>
      <c r="K852" s="8" t="str">
        <f t="shared" si="2"/>
        <v/>
      </c>
    </row>
    <row r="853">
      <c r="A853" s="4" t="str">
        <f t="shared" si="1"/>
        <v/>
      </c>
      <c r="F853" s="36" t="str">
        <f t="shared" si="4"/>
        <v/>
      </c>
      <c r="G853" s="11"/>
      <c r="H853" s="11" t="str">
        <f>IF(E853="","",SUMIF(Estructuras!B:B,A853,Estructuras!E:E))</f>
        <v/>
      </c>
      <c r="I853" s="8" t="str">
        <f>IF(E853="","",IF(COUNTIF(Estructuras!F:F,E853)=0,"Falta Estructura",IF(COUNTIFS(Estructuras!F:F,E853,Estructuras!E:E,0)&gt;0,"Faltan Precios","OK")))</f>
        <v/>
      </c>
      <c r="J853" s="10" t="str">
        <f>IF(I853="Faltan Precios",COUNTIFS(Estructuras!B:B,A853,Estructuras!E:E,0),"")</f>
        <v/>
      </c>
      <c r="K853" s="8" t="str">
        <f t="shared" si="2"/>
        <v/>
      </c>
    </row>
    <row r="854">
      <c r="A854" s="4" t="str">
        <f t="shared" si="1"/>
        <v/>
      </c>
      <c r="F854" s="36" t="str">
        <f t="shared" si="4"/>
        <v/>
      </c>
      <c r="G854" s="11"/>
      <c r="H854" s="11" t="str">
        <f>IF(E854="","",SUMIF(Estructuras!B:B,A854,Estructuras!E:E))</f>
        <v/>
      </c>
      <c r="I854" s="8" t="str">
        <f>IF(E854="","",IF(COUNTIF(Estructuras!F:F,E854)=0,"Falta Estructura",IF(COUNTIFS(Estructuras!F:F,E854,Estructuras!E:E,0)&gt;0,"Faltan Precios","OK")))</f>
        <v/>
      </c>
      <c r="J854" s="10" t="str">
        <f>IF(I854="Faltan Precios",COUNTIFS(Estructuras!B:B,A854,Estructuras!E:E,0),"")</f>
        <v/>
      </c>
      <c r="K854" s="8" t="str">
        <f t="shared" si="2"/>
        <v/>
      </c>
    </row>
    <row r="855">
      <c r="A855" s="4" t="str">
        <f t="shared" si="1"/>
        <v/>
      </c>
      <c r="F855" s="36" t="str">
        <f t="shared" si="4"/>
        <v/>
      </c>
      <c r="G855" s="11"/>
      <c r="H855" s="11" t="str">
        <f>IF(E855="","",SUMIF(Estructuras!B:B,A855,Estructuras!E:E))</f>
        <v/>
      </c>
      <c r="I855" s="8" t="str">
        <f>IF(E855="","",IF(COUNTIF(Estructuras!F:F,E855)=0,"Falta Estructura",IF(COUNTIFS(Estructuras!F:F,E855,Estructuras!E:E,0)&gt;0,"Faltan Precios","OK")))</f>
        <v/>
      </c>
      <c r="J855" s="10" t="str">
        <f>IF(I855="Faltan Precios",COUNTIFS(Estructuras!B:B,A855,Estructuras!E:E,0),"")</f>
        <v/>
      </c>
      <c r="K855" s="8" t="str">
        <f t="shared" si="2"/>
        <v/>
      </c>
    </row>
    <row r="856">
      <c r="A856" s="4" t="str">
        <f t="shared" si="1"/>
        <v/>
      </c>
      <c r="F856" s="36" t="str">
        <f t="shared" si="4"/>
        <v/>
      </c>
      <c r="G856" s="11"/>
      <c r="H856" s="11" t="str">
        <f>IF(E856="","",SUMIF(Estructuras!B:B,A856,Estructuras!E:E))</f>
        <v/>
      </c>
      <c r="I856" s="8" t="str">
        <f>IF(E856="","",IF(COUNTIF(Estructuras!F:F,E856)=0,"Falta Estructura",IF(COUNTIFS(Estructuras!F:F,E856,Estructuras!E:E,0)&gt;0,"Faltan Precios","OK")))</f>
        <v/>
      </c>
      <c r="J856" s="10" t="str">
        <f>IF(I856="Faltan Precios",COUNTIFS(Estructuras!B:B,A856,Estructuras!E:E,0),"")</f>
        <v/>
      </c>
      <c r="K856" s="8" t="str">
        <f t="shared" si="2"/>
        <v/>
      </c>
    </row>
    <row r="857">
      <c r="A857" s="4" t="str">
        <f t="shared" si="1"/>
        <v/>
      </c>
      <c r="F857" s="36" t="str">
        <f t="shared" si="4"/>
        <v/>
      </c>
      <c r="G857" s="11"/>
      <c r="H857" s="11" t="str">
        <f>IF(E857="","",SUMIF(Estructuras!B:B,A857,Estructuras!E:E))</f>
        <v/>
      </c>
      <c r="I857" s="8" t="str">
        <f>IF(E857="","",IF(COUNTIF(Estructuras!F:F,E857)=0,"Falta Estructura",IF(COUNTIFS(Estructuras!F:F,E857,Estructuras!E:E,0)&gt;0,"Faltan Precios","OK")))</f>
        <v/>
      </c>
      <c r="J857" s="10" t="str">
        <f>IF(I857="Faltan Precios",COUNTIFS(Estructuras!B:B,A857,Estructuras!E:E,0),"")</f>
        <v/>
      </c>
      <c r="K857" s="8" t="str">
        <f t="shared" si="2"/>
        <v/>
      </c>
    </row>
    <row r="858">
      <c r="A858" s="4" t="str">
        <f t="shared" si="1"/>
        <v/>
      </c>
      <c r="F858" s="36" t="str">
        <f t="shared" si="4"/>
        <v/>
      </c>
      <c r="G858" s="11"/>
      <c r="H858" s="11" t="str">
        <f>IF(E858="","",SUMIF(Estructuras!B:B,A858,Estructuras!E:E))</f>
        <v/>
      </c>
      <c r="I858" s="8" t="str">
        <f>IF(E858="","",IF(COUNTIF(Estructuras!F:F,E858)=0,"Falta Estructura",IF(COUNTIFS(Estructuras!F:F,E858,Estructuras!E:E,0)&gt;0,"Faltan Precios","OK")))</f>
        <v/>
      </c>
      <c r="J858" s="10" t="str">
        <f>IF(I858="Faltan Precios",COUNTIFS(Estructuras!B:B,A858,Estructuras!E:E,0),"")</f>
        <v/>
      </c>
      <c r="K858" s="8" t="str">
        <f t="shared" si="2"/>
        <v/>
      </c>
    </row>
    <row r="859">
      <c r="A859" s="4" t="str">
        <f t="shared" si="1"/>
        <v/>
      </c>
      <c r="F859" s="36" t="str">
        <f t="shared" si="4"/>
        <v/>
      </c>
      <c r="G859" s="11"/>
      <c r="H859" s="11" t="str">
        <f>IF(E859="","",SUMIF(Estructuras!B:B,A859,Estructuras!E:E))</f>
        <v/>
      </c>
      <c r="I859" s="8" t="str">
        <f>IF(E859="","",IF(COUNTIF(Estructuras!F:F,E859)=0,"Falta Estructura",IF(COUNTIFS(Estructuras!F:F,E859,Estructuras!E:E,0)&gt;0,"Faltan Precios","OK")))</f>
        <v/>
      </c>
      <c r="J859" s="10" t="str">
        <f>IF(I859="Faltan Precios",COUNTIFS(Estructuras!B:B,A859,Estructuras!E:E,0),"")</f>
        <v/>
      </c>
      <c r="K859" s="8" t="str">
        <f t="shared" si="2"/>
        <v/>
      </c>
    </row>
    <row r="860">
      <c r="A860" s="4" t="str">
        <f t="shared" si="1"/>
        <v/>
      </c>
      <c r="F860" s="36" t="str">
        <f t="shared" si="4"/>
        <v/>
      </c>
      <c r="G860" s="11"/>
      <c r="H860" s="11" t="str">
        <f>IF(E860="","",SUMIF(Estructuras!B:B,A860,Estructuras!E:E))</f>
        <v/>
      </c>
      <c r="I860" s="8" t="str">
        <f>IF(E860="","",IF(COUNTIF(Estructuras!F:F,E860)=0,"Falta Estructura",IF(COUNTIFS(Estructuras!F:F,E860,Estructuras!E:E,0)&gt;0,"Faltan Precios","OK")))</f>
        <v/>
      </c>
      <c r="J860" s="10" t="str">
        <f>IF(I860="Faltan Precios",COUNTIFS(Estructuras!B:B,A860,Estructuras!E:E,0),"")</f>
        <v/>
      </c>
      <c r="K860" s="8" t="str">
        <f t="shared" si="2"/>
        <v/>
      </c>
    </row>
    <row r="861">
      <c r="A861" s="4" t="str">
        <f t="shared" si="1"/>
        <v/>
      </c>
      <c r="F861" s="36" t="str">
        <f t="shared" si="4"/>
        <v/>
      </c>
      <c r="G861" s="11"/>
      <c r="H861" s="11" t="str">
        <f>IF(E861="","",SUMIF(Estructuras!B:B,A861,Estructuras!E:E))</f>
        <v/>
      </c>
      <c r="I861" s="8" t="str">
        <f>IF(E861="","",IF(COUNTIF(Estructuras!F:F,E861)=0,"Falta Estructura",IF(COUNTIFS(Estructuras!F:F,E861,Estructuras!E:E,0)&gt;0,"Faltan Precios","OK")))</f>
        <v/>
      </c>
      <c r="J861" s="10" t="str">
        <f>IF(I861="Faltan Precios",COUNTIFS(Estructuras!B:B,A861,Estructuras!E:E,0),"")</f>
        <v/>
      </c>
      <c r="K861" s="8" t="str">
        <f t="shared" si="2"/>
        <v/>
      </c>
    </row>
    <row r="862">
      <c r="A862" s="4" t="str">
        <f t="shared" si="1"/>
        <v/>
      </c>
      <c r="F862" s="36" t="str">
        <f t="shared" si="4"/>
        <v/>
      </c>
      <c r="G862" s="11"/>
      <c r="H862" s="11" t="str">
        <f>IF(E862="","",SUMIF(Estructuras!B:B,A862,Estructuras!E:E))</f>
        <v/>
      </c>
      <c r="I862" s="8" t="str">
        <f>IF(E862="","",IF(COUNTIF(Estructuras!F:F,E862)=0,"Falta Estructura",IF(COUNTIFS(Estructuras!F:F,E862,Estructuras!E:E,0)&gt;0,"Faltan Precios","OK")))</f>
        <v/>
      </c>
      <c r="J862" s="10" t="str">
        <f>IF(I862="Faltan Precios",COUNTIFS(Estructuras!B:B,A862,Estructuras!E:E,0),"")</f>
        <v/>
      </c>
      <c r="K862" s="8" t="str">
        <f t="shared" si="2"/>
        <v/>
      </c>
    </row>
    <row r="863">
      <c r="A863" s="4" t="str">
        <f t="shared" si="1"/>
        <v/>
      </c>
      <c r="F863" s="36" t="str">
        <f t="shared" si="4"/>
        <v/>
      </c>
      <c r="G863" s="11"/>
      <c r="H863" s="11" t="str">
        <f>IF(E863="","",SUMIF(Estructuras!B:B,A863,Estructuras!E:E))</f>
        <v/>
      </c>
      <c r="I863" s="8" t="str">
        <f>IF(E863="","",IF(COUNTIF(Estructuras!F:F,E863)=0,"Falta Estructura",IF(COUNTIFS(Estructuras!F:F,E863,Estructuras!E:E,0)&gt;0,"Faltan Precios","OK")))</f>
        <v/>
      </c>
      <c r="J863" s="10" t="str">
        <f>IF(I863="Faltan Precios",COUNTIFS(Estructuras!B:B,A863,Estructuras!E:E,0),"")</f>
        <v/>
      </c>
      <c r="K863" s="8" t="str">
        <f t="shared" si="2"/>
        <v/>
      </c>
    </row>
    <row r="864">
      <c r="A864" s="4" t="str">
        <f t="shared" si="1"/>
        <v/>
      </c>
      <c r="F864" s="36" t="str">
        <f t="shared" si="4"/>
        <v/>
      </c>
      <c r="G864" s="11"/>
      <c r="H864" s="11" t="str">
        <f>IF(E864="","",SUMIF(Estructuras!B:B,A864,Estructuras!E:E))</f>
        <v/>
      </c>
      <c r="I864" s="8" t="str">
        <f>IF(E864="","",IF(COUNTIF(Estructuras!F:F,E864)=0,"Falta Estructura",IF(COUNTIFS(Estructuras!F:F,E864,Estructuras!E:E,0)&gt;0,"Faltan Precios","OK")))</f>
        <v/>
      </c>
      <c r="J864" s="10" t="str">
        <f>IF(I864="Faltan Precios",COUNTIFS(Estructuras!B:B,A864,Estructuras!E:E,0),"")</f>
        <v/>
      </c>
      <c r="K864" s="8" t="str">
        <f t="shared" si="2"/>
        <v/>
      </c>
    </row>
    <row r="865">
      <c r="A865" s="4" t="str">
        <f t="shared" si="1"/>
        <v/>
      </c>
      <c r="F865" s="36" t="str">
        <f t="shared" si="4"/>
        <v/>
      </c>
      <c r="G865" s="11"/>
      <c r="H865" s="11" t="str">
        <f>IF(E865="","",SUMIF(Estructuras!B:B,A865,Estructuras!E:E))</f>
        <v/>
      </c>
      <c r="I865" s="8" t="str">
        <f>IF(E865="","",IF(COUNTIF(Estructuras!F:F,E865)=0,"Falta Estructura",IF(COUNTIFS(Estructuras!F:F,E865,Estructuras!E:E,0)&gt;0,"Faltan Precios","OK")))</f>
        <v/>
      </c>
      <c r="J865" s="10" t="str">
        <f>IF(I865="Faltan Precios",COUNTIFS(Estructuras!B:B,A865,Estructuras!E:E,0),"")</f>
        <v/>
      </c>
      <c r="K865" s="8" t="str">
        <f t="shared" si="2"/>
        <v/>
      </c>
    </row>
    <row r="866">
      <c r="A866" s="4" t="str">
        <f t="shared" si="1"/>
        <v/>
      </c>
      <c r="F866" s="36" t="str">
        <f t="shared" si="4"/>
        <v/>
      </c>
      <c r="G866" s="11"/>
      <c r="H866" s="11" t="str">
        <f>IF(E866="","",SUMIF(Estructuras!B:B,A866,Estructuras!E:E))</f>
        <v/>
      </c>
      <c r="I866" s="8" t="str">
        <f>IF(E866="","",IF(COUNTIF(Estructuras!F:F,E866)=0,"Falta Estructura",IF(COUNTIFS(Estructuras!F:F,E866,Estructuras!E:E,0)&gt;0,"Faltan Precios","OK")))</f>
        <v/>
      </c>
      <c r="J866" s="10" t="str">
        <f>IF(I866="Faltan Precios",COUNTIFS(Estructuras!B:B,A866,Estructuras!E:E,0),"")</f>
        <v/>
      </c>
      <c r="K866" s="8" t="str">
        <f t="shared" si="2"/>
        <v/>
      </c>
    </row>
    <row r="867">
      <c r="A867" s="4" t="str">
        <f t="shared" si="1"/>
        <v/>
      </c>
      <c r="F867" s="36" t="str">
        <f t="shared" si="4"/>
        <v/>
      </c>
      <c r="G867" s="11"/>
      <c r="H867" s="11" t="str">
        <f>IF(E867="","",SUMIF(Estructuras!B:B,A867,Estructuras!E:E))</f>
        <v/>
      </c>
      <c r="I867" s="8" t="str">
        <f>IF(E867="","",IF(COUNTIF(Estructuras!F:F,E867)=0,"Falta Estructura",IF(COUNTIFS(Estructuras!F:F,E867,Estructuras!E:E,0)&gt;0,"Faltan Precios","OK")))</f>
        <v/>
      </c>
      <c r="J867" s="10" t="str">
        <f>IF(I867="Faltan Precios",COUNTIFS(Estructuras!B:B,A867,Estructuras!E:E,0),"")</f>
        <v/>
      </c>
      <c r="K867" s="8" t="str">
        <f t="shared" si="2"/>
        <v/>
      </c>
    </row>
    <row r="868">
      <c r="A868" s="4" t="str">
        <f t="shared" si="1"/>
        <v/>
      </c>
      <c r="F868" s="36" t="str">
        <f t="shared" si="4"/>
        <v/>
      </c>
      <c r="G868" s="11"/>
      <c r="H868" s="11" t="str">
        <f>IF(E868="","",SUMIF(Estructuras!B:B,A868,Estructuras!E:E))</f>
        <v/>
      </c>
      <c r="I868" s="8" t="str">
        <f>IF(E868="","",IF(COUNTIF(Estructuras!F:F,E868)=0,"Falta Estructura",IF(COUNTIFS(Estructuras!F:F,E868,Estructuras!E:E,0)&gt;0,"Faltan Precios","OK")))</f>
        <v/>
      </c>
      <c r="J868" s="10" t="str">
        <f>IF(I868="Faltan Precios",COUNTIFS(Estructuras!B:B,A868,Estructuras!E:E,0),"")</f>
        <v/>
      </c>
      <c r="K868" s="8" t="str">
        <f t="shared" si="2"/>
        <v/>
      </c>
    </row>
    <row r="869">
      <c r="A869" s="4" t="str">
        <f t="shared" si="1"/>
        <v/>
      </c>
      <c r="F869" s="36" t="str">
        <f t="shared" si="4"/>
        <v/>
      </c>
      <c r="G869" s="11"/>
      <c r="H869" s="11" t="str">
        <f>IF(E869="","",SUMIF(Estructuras!B:B,A869,Estructuras!E:E))</f>
        <v/>
      </c>
      <c r="I869" s="8" t="str">
        <f>IF(E869="","",IF(COUNTIF(Estructuras!F:F,E869)=0,"Falta Estructura",IF(COUNTIFS(Estructuras!F:F,E869,Estructuras!E:E,0)&gt;0,"Faltan Precios","OK")))</f>
        <v/>
      </c>
      <c r="J869" s="10" t="str">
        <f>IF(I869="Faltan Precios",COUNTIFS(Estructuras!B:B,A869,Estructuras!E:E,0),"")</f>
        <v/>
      </c>
      <c r="K869" s="8" t="str">
        <f t="shared" si="2"/>
        <v/>
      </c>
    </row>
    <row r="870">
      <c r="A870" s="4" t="str">
        <f t="shared" si="1"/>
        <v/>
      </c>
      <c r="F870" s="36" t="str">
        <f t="shared" si="4"/>
        <v/>
      </c>
      <c r="G870" s="11"/>
      <c r="H870" s="11" t="str">
        <f>IF(E870="","",SUMIF(Estructuras!B:B,A870,Estructuras!E:E))</f>
        <v/>
      </c>
      <c r="I870" s="8" t="str">
        <f>IF(E870="","",IF(COUNTIF(Estructuras!F:F,E870)=0,"Falta Estructura",IF(COUNTIFS(Estructuras!F:F,E870,Estructuras!E:E,0)&gt;0,"Faltan Precios","OK")))</f>
        <v/>
      </c>
      <c r="J870" s="10" t="str">
        <f>IF(I870="Faltan Precios",COUNTIFS(Estructuras!B:B,A870,Estructuras!E:E,0),"")</f>
        <v/>
      </c>
      <c r="K870" s="8" t="str">
        <f t="shared" si="2"/>
        <v/>
      </c>
    </row>
    <row r="871">
      <c r="A871" s="4" t="str">
        <f t="shared" si="1"/>
        <v/>
      </c>
      <c r="F871" s="36" t="str">
        <f t="shared" si="4"/>
        <v/>
      </c>
      <c r="G871" s="11"/>
      <c r="H871" s="11" t="str">
        <f>IF(E871="","",SUMIF(Estructuras!B:B,A871,Estructuras!E:E))</f>
        <v/>
      </c>
      <c r="I871" s="8" t="str">
        <f>IF(E871="","",IF(COUNTIF(Estructuras!F:F,E871)=0,"Falta Estructura",IF(COUNTIFS(Estructuras!F:F,E871,Estructuras!E:E,0)&gt;0,"Faltan Precios","OK")))</f>
        <v/>
      </c>
      <c r="J871" s="10" t="str">
        <f>IF(I871="Faltan Precios",COUNTIFS(Estructuras!B:B,A871,Estructuras!E:E,0),"")</f>
        <v/>
      </c>
      <c r="K871" s="8" t="str">
        <f t="shared" si="2"/>
        <v/>
      </c>
    </row>
    <row r="872">
      <c r="A872" s="4" t="str">
        <f t="shared" si="1"/>
        <v/>
      </c>
      <c r="F872" s="36" t="str">
        <f t="shared" si="4"/>
        <v/>
      </c>
      <c r="G872" s="11"/>
      <c r="H872" s="11" t="str">
        <f>IF(E872="","",SUMIF(Estructuras!B:B,A872,Estructuras!E:E))</f>
        <v/>
      </c>
      <c r="I872" s="8" t="str">
        <f>IF(E872="","",IF(COUNTIF(Estructuras!F:F,E872)=0,"Falta Estructura",IF(COUNTIFS(Estructuras!F:F,E872,Estructuras!E:E,0)&gt;0,"Faltan Precios","OK")))</f>
        <v/>
      </c>
      <c r="J872" s="10" t="str">
        <f>IF(I872="Faltan Precios",COUNTIFS(Estructuras!B:B,A872,Estructuras!E:E,0),"")</f>
        <v/>
      </c>
      <c r="K872" s="8" t="str">
        <f t="shared" si="2"/>
        <v/>
      </c>
    </row>
    <row r="873">
      <c r="A873" s="4" t="str">
        <f t="shared" si="1"/>
        <v/>
      </c>
      <c r="F873" s="36" t="str">
        <f t="shared" si="4"/>
        <v/>
      </c>
      <c r="G873" s="11"/>
      <c r="H873" s="11" t="str">
        <f>IF(E873="","",SUMIF(Estructuras!B:B,A873,Estructuras!E:E))</f>
        <v/>
      </c>
      <c r="I873" s="8" t="str">
        <f>IF(E873="","",IF(COUNTIF(Estructuras!F:F,E873)=0,"Falta Estructura",IF(COUNTIFS(Estructuras!F:F,E873,Estructuras!E:E,0)&gt;0,"Faltan Precios","OK")))</f>
        <v/>
      </c>
      <c r="J873" s="10" t="str">
        <f>IF(I873="Faltan Precios",COUNTIFS(Estructuras!B:B,A873,Estructuras!E:E,0),"")</f>
        <v/>
      </c>
      <c r="K873" s="8" t="str">
        <f t="shared" si="2"/>
        <v/>
      </c>
    </row>
    <row r="874">
      <c r="A874" s="4" t="str">
        <f t="shared" si="1"/>
        <v/>
      </c>
      <c r="F874" s="36" t="str">
        <f t="shared" si="4"/>
        <v/>
      </c>
      <c r="G874" s="11"/>
      <c r="H874" s="11" t="str">
        <f>IF(E874="","",SUMIF(Estructuras!B:B,A874,Estructuras!E:E))</f>
        <v/>
      </c>
      <c r="I874" s="8" t="str">
        <f>IF(E874="","",IF(COUNTIF(Estructuras!F:F,E874)=0,"Falta Estructura",IF(COUNTIFS(Estructuras!F:F,E874,Estructuras!E:E,0)&gt;0,"Faltan Precios","OK")))</f>
        <v/>
      </c>
      <c r="J874" s="10" t="str">
        <f>IF(I874="Faltan Precios",COUNTIFS(Estructuras!B:B,A874,Estructuras!E:E,0),"")</f>
        <v/>
      </c>
      <c r="K874" s="8" t="str">
        <f t="shared" si="2"/>
        <v/>
      </c>
    </row>
    <row r="875">
      <c r="A875" s="4" t="str">
        <f t="shared" si="1"/>
        <v/>
      </c>
      <c r="F875" s="36" t="str">
        <f t="shared" si="4"/>
        <v/>
      </c>
      <c r="G875" s="11"/>
      <c r="H875" s="11" t="str">
        <f>IF(E875="","",SUMIF(Estructuras!B:B,A875,Estructuras!E:E))</f>
        <v/>
      </c>
      <c r="I875" s="8" t="str">
        <f>IF(E875="","",IF(COUNTIF(Estructuras!F:F,E875)=0,"Falta Estructura",IF(COUNTIFS(Estructuras!F:F,E875,Estructuras!E:E,0)&gt;0,"Faltan Precios","OK")))</f>
        <v/>
      </c>
      <c r="J875" s="10" t="str">
        <f>IF(I875="Faltan Precios",COUNTIFS(Estructuras!B:B,A875,Estructuras!E:E,0),"")</f>
        <v/>
      </c>
      <c r="K875" s="8" t="str">
        <f t="shared" si="2"/>
        <v/>
      </c>
    </row>
    <row r="876">
      <c r="A876" s="4" t="str">
        <f t="shared" si="1"/>
        <v/>
      </c>
      <c r="F876" s="36" t="str">
        <f t="shared" si="4"/>
        <v/>
      </c>
      <c r="G876" s="11"/>
      <c r="H876" s="11" t="str">
        <f>IF(E876="","",SUMIF(Estructuras!B:B,A876,Estructuras!E:E))</f>
        <v/>
      </c>
      <c r="I876" s="8" t="str">
        <f>IF(E876="","",IF(COUNTIF(Estructuras!F:F,E876)=0,"Falta Estructura",IF(COUNTIFS(Estructuras!F:F,E876,Estructuras!E:E,0)&gt;0,"Faltan Precios","OK")))</f>
        <v/>
      </c>
      <c r="J876" s="10" t="str">
        <f>IF(I876="Faltan Precios",COUNTIFS(Estructuras!B:B,A876,Estructuras!E:E,0),"")</f>
        <v/>
      </c>
      <c r="K876" s="8" t="str">
        <f t="shared" si="2"/>
        <v/>
      </c>
    </row>
    <row r="877">
      <c r="A877" s="4" t="str">
        <f t="shared" si="1"/>
        <v/>
      </c>
      <c r="F877" s="36" t="str">
        <f t="shared" si="4"/>
        <v/>
      </c>
      <c r="G877" s="11"/>
      <c r="H877" s="11" t="str">
        <f>IF(E877="","",SUMIF(Estructuras!B:B,A877,Estructuras!E:E))</f>
        <v/>
      </c>
      <c r="I877" s="8" t="str">
        <f>IF(E877="","",IF(COUNTIF(Estructuras!F:F,E877)=0,"Falta Estructura",IF(COUNTIFS(Estructuras!F:F,E877,Estructuras!E:E,0)&gt;0,"Faltan Precios","OK")))</f>
        <v/>
      </c>
      <c r="J877" s="10" t="str">
        <f>IF(I877="Faltan Precios",COUNTIFS(Estructuras!B:B,A877,Estructuras!E:E,0),"")</f>
        <v/>
      </c>
      <c r="K877" s="8" t="str">
        <f t="shared" si="2"/>
        <v/>
      </c>
    </row>
    <row r="878">
      <c r="A878" s="4" t="str">
        <f t="shared" si="1"/>
        <v/>
      </c>
      <c r="F878" s="36" t="str">
        <f t="shared" si="4"/>
        <v/>
      </c>
      <c r="G878" s="11"/>
      <c r="H878" s="11" t="str">
        <f>IF(E878="","",SUMIF(Estructuras!B:B,A878,Estructuras!E:E))</f>
        <v/>
      </c>
      <c r="I878" s="8" t="str">
        <f>IF(E878="","",IF(COUNTIF(Estructuras!F:F,E878)=0,"Falta Estructura",IF(COUNTIFS(Estructuras!F:F,E878,Estructuras!E:E,0)&gt;0,"Faltan Precios","OK")))</f>
        <v/>
      </c>
      <c r="J878" s="10" t="str">
        <f>IF(I878="Faltan Precios",COUNTIFS(Estructuras!B:B,A878,Estructuras!E:E,0),"")</f>
        <v/>
      </c>
      <c r="K878" s="8" t="str">
        <f t="shared" si="2"/>
        <v/>
      </c>
    </row>
    <row r="879">
      <c r="A879" s="4" t="str">
        <f t="shared" si="1"/>
        <v/>
      </c>
      <c r="F879" s="36" t="str">
        <f t="shared" si="4"/>
        <v/>
      </c>
      <c r="G879" s="11"/>
      <c r="H879" s="11" t="str">
        <f>IF(E879="","",SUMIF(Estructuras!B:B,A879,Estructuras!E:E))</f>
        <v/>
      </c>
      <c r="I879" s="8" t="str">
        <f>IF(E879="","",IF(COUNTIF(Estructuras!F:F,E879)=0,"Falta Estructura",IF(COUNTIFS(Estructuras!F:F,E879,Estructuras!E:E,0)&gt;0,"Faltan Precios","OK")))</f>
        <v/>
      </c>
      <c r="J879" s="10" t="str">
        <f>IF(I879="Faltan Precios",COUNTIFS(Estructuras!B:B,A879,Estructuras!E:E,0),"")</f>
        <v/>
      </c>
      <c r="K879" s="8" t="str">
        <f t="shared" si="2"/>
        <v/>
      </c>
    </row>
    <row r="880">
      <c r="A880" s="4" t="str">
        <f t="shared" si="1"/>
        <v/>
      </c>
      <c r="F880" s="36" t="str">
        <f t="shared" si="4"/>
        <v/>
      </c>
      <c r="G880" s="11"/>
      <c r="H880" s="11" t="str">
        <f>IF(E880="","",SUMIF(Estructuras!B:B,A880,Estructuras!E:E))</f>
        <v/>
      </c>
      <c r="I880" s="8" t="str">
        <f>IF(E880="","",IF(COUNTIF(Estructuras!F:F,E880)=0,"Falta Estructura",IF(COUNTIFS(Estructuras!F:F,E880,Estructuras!E:E,0)&gt;0,"Faltan Precios","OK")))</f>
        <v/>
      </c>
      <c r="J880" s="10" t="str">
        <f>IF(I880="Faltan Precios",COUNTIFS(Estructuras!B:B,A880,Estructuras!E:E,0),"")</f>
        <v/>
      </c>
      <c r="K880" s="8" t="str">
        <f t="shared" si="2"/>
        <v/>
      </c>
    </row>
    <row r="881">
      <c r="A881" s="4" t="str">
        <f t="shared" si="1"/>
        <v/>
      </c>
      <c r="F881" s="36" t="str">
        <f t="shared" si="4"/>
        <v/>
      </c>
      <c r="G881" s="11"/>
      <c r="H881" s="11" t="str">
        <f>IF(E881="","",SUMIF(Estructuras!B:B,A881,Estructuras!E:E))</f>
        <v/>
      </c>
      <c r="I881" s="8" t="str">
        <f>IF(E881="","",IF(COUNTIF(Estructuras!F:F,E881)=0,"Falta Estructura",IF(COUNTIFS(Estructuras!F:F,E881,Estructuras!E:E,0)&gt;0,"Faltan Precios","OK")))</f>
        <v/>
      </c>
      <c r="J881" s="10" t="str">
        <f>IF(I881="Faltan Precios",COUNTIFS(Estructuras!B:B,A881,Estructuras!E:E,0),"")</f>
        <v/>
      </c>
      <c r="K881" s="8" t="str">
        <f t="shared" si="2"/>
        <v/>
      </c>
    </row>
    <row r="882">
      <c r="A882" s="4" t="str">
        <f t="shared" si="1"/>
        <v/>
      </c>
      <c r="F882" s="36" t="str">
        <f t="shared" si="4"/>
        <v/>
      </c>
      <c r="G882" s="11"/>
      <c r="H882" s="11" t="str">
        <f>IF(E882="","",SUMIF(Estructuras!B:B,A882,Estructuras!E:E))</f>
        <v/>
      </c>
      <c r="I882" s="8" t="str">
        <f>IF(E882="","",IF(COUNTIF(Estructuras!F:F,E882)=0,"Falta Estructura",IF(COUNTIFS(Estructuras!F:F,E882,Estructuras!E:E,0)&gt;0,"Faltan Precios","OK")))</f>
        <v/>
      </c>
      <c r="J882" s="10" t="str">
        <f>IF(I882="Faltan Precios",COUNTIFS(Estructuras!B:B,A882,Estructuras!E:E,0),"")</f>
        <v/>
      </c>
      <c r="K882" s="8" t="str">
        <f t="shared" si="2"/>
        <v/>
      </c>
    </row>
    <row r="883">
      <c r="A883" s="4" t="str">
        <f t="shared" si="1"/>
        <v/>
      </c>
      <c r="F883" s="36" t="str">
        <f t="shared" si="4"/>
        <v/>
      </c>
      <c r="G883" s="11"/>
      <c r="H883" s="11" t="str">
        <f>IF(E883="","",SUMIF(Estructuras!B:B,A883,Estructuras!E:E))</f>
        <v/>
      </c>
      <c r="I883" s="8" t="str">
        <f>IF(E883="","",IF(COUNTIF(Estructuras!F:F,E883)=0,"Falta Estructura",IF(COUNTIFS(Estructuras!F:F,E883,Estructuras!E:E,0)&gt;0,"Faltan Precios","OK")))</f>
        <v/>
      </c>
      <c r="J883" s="10" t="str">
        <f>IF(I883="Faltan Precios",COUNTIFS(Estructuras!B:B,A883,Estructuras!E:E,0),"")</f>
        <v/>
      </c>
      <c r="K883" s="8" t="str">
        <f t="shared" si="2"/>
        <v/>
      </c>
    </row>
    <row r="884">
      <c r="A884" s="4" t="str">
        <f t="shared" si="1"/>
        <v/>
      </c>
      <c r="F884" s="36" t="str">
        <f t="shared" si="4"/>
        <v/>
      </c>
      <c r="G884" s="11"/>
      <c r="H884" s="11" t="str">
        <f>IF(E884="","",SUMIF(Estructuras!B:B,A884,Estructuras!E:E))</f>
        <v/>
      </c>
      <c r="I884" s="8" t="str">
        <f>IF(E884="","",IF(COUNTIF(Estructuras!F:F,E884)=0,"Falta Estructura",IF(COUNTIFS(Estructuras!F:F,E884,Estructuras!E:E,0)&gt;0,"Faltan Precios","OK")))</f>
        <v/>
      </c>
      <c r="J884" s="10" t="str">
        <f>IF(I884="Faltan Precios",COUNTIFS(Estructuras!B:B,A884,Estructuras!E:E,0),"")</f>
        <v/>
      </c>
      <c r="K884" s="8" t="str">
        <f t="shared" si="2"/>
        <v/>
      </c>
    </row>
    <row r="885">
      <c r="A885" s="4" t="str">
        <f t="shared" si="1"/>
        <v/>
      </c>
      <c r="F885" s="36" t="str">
        <f t="shared" si="4"/>
        <v/>
      </c>
      <c r="G885" s="11"/>
      <c r="H885" s="11" t="str">
        <f>IF(E885="","",SUMIF(Estructuras!B:B,A885,Estructuras!E:E))</f>
        <v/>
      </c>
      <c r="I885" s="8" t="str">
        <f>IF(E885="","",IF(COUNTIF(Estructuras!F:F,E885)=0,"Falta Estructura",IF(COUNTIFS(Estructuras!F:F,E885,Estructuras!E:E,0)&gt;0,"Faltan Precios","OK")))</f>
        <v/>
      </c>
      <c r="J885" s="10" t="str">
        <f>IF(I885="Faltan Precios",COUNTIFS(Estructuras!B:B,A885,Estructuras!E:E,0),"")</f>
        <v/>
      </c>
      <c r="K885" s="8" t="str">
        <f t="shared" si="2"/>
        <v/>
      </c>
    </row>
    <row r="886">
      <c r="A886" s="4" t="str">
        <f t="shared" si="1"/>
        <v/>
      </c>
      <c r="F886" s="36" t="str">
        <f t="shared" si="4"/>
        <v/>
      </c>
      <c r="G886" s="11"/>
      <c r="H886" s="11" t="str">
        <f>IF(E886="","",SUMIF(Estructuras!B:B,A886,Estructuras!E:E))</f>
        <v/>
      </c>
      <c r="I886" s="8" t="str">
        <f>IF(E886="","",IF(COUNTIF(Estructuras!F:F,E886)=0,"Falta Estructura",IF(COUNTIFS(Estructuras!F:F,E886,Estructuras!E:E,0)&gt;0,"Faltan Precios","OK")))</f>
        <v/>
      </c>
      <c r="J886" s="10" t="str">
        <f>IF(I886="Faltan Precios",COUNTIFS(Estructuras!B:B,A886,Estructuras!E:E,0),"")</f>
        <v/>
      </c>
      <c r="K886" s="8" t="str">
        <f t="shared" si="2"/>
        <v/>
      </c>
    </row>
    <row r="887">
      <c r="A887" s="4" t="str">
        <f t="shared" si="1"/>
        <v/>
      </c>
      <c r="F887" s="36" t="str">
        <f t="shared" si="4"/>
        <v/>
      </c>
      <c r="G887" s="11"/>
      <c r="H887" s="11" t="str">
        <f>IF(E887="","",SUMIF(Estructuras!B:B,A887,Estructuras!E:E))</f>
        <v/>
      </c>
      <c r="I887" s="8" t="str">
        <f>IF(E887="","",IF(COUNTIF(Estructuras!F:F,E887)=0,"Falta Estructura",IF(COUNTIFS(Estructuras!F:F,E887,Estructuras!E:E,0)&gt;0,"Faltan Precios","OK")))</f>
        <v/>
      </c>
      <c r="J887" s="10" t="str">
        <f>IF(I887="Faltan Precios",COUNTIFS(Estructuras!B:B,A887,Estructuras!E:E,0),"")</f>
        <v/>
      </c>
      <c r="K887" s="8" t="str">
        <f t="shared" si="2"/>
        <v/>
      </c>
    </row>
    <row r="888">
      <c r="A888" s="4" t="str">
        <f t="shared" si="1"/>
        <v/>
      </c>
      <c r="F888" s="36" t="str">
        <f t="shared" si="4"/>
        <v/>
      </c>
      <c r="G888" s="11"/>
      <c r="H888" s="11" t="str">
        <f>IF(E888="","",SUMIF(Estructuras!B:B,A888,Estructuras!E:E))</f>
        <v/>
      </c>
      <c r="I888" s="8" t="str">
        <f>IF(E888="","",IF(COUNTIF(Estructuras!F:F,E888)=0,"Falta Estructura",IF(COUNTIFS(Estructuras!F:F,E888,Estructuras!E:E,0)&gt;0,"Faltan Precios","OK")))</f>
        <v/>
      </c>
      <c r="J888" s="10" t="str">
        <f>IF(I888="Faltan Precios",COUNTIFS(Estructuras!B:B,A888,Estructuras!E:E,0),"")</f>
        <v/>
      </c>
      <c r="K888" s="8" t="str">
        <f t="shared" si="2"/>
        <v/>
      </c>
    </row>
    <row r="889">
      <c r="A889" s="4" t="str">
        <f t="shared" si="1"/>
        <v/>
      </c>
      <c r="F889" s="36" t="str">
        <f t="shared" si="4"/>
        <v/>
      </c>
      <c r="G889" s="11"/>
      <c r="H889" s="11" t="str">
        <f>IF(E889="","",SUMIF(Estructuras!B:B,A889,Estructuras!E:E))</f>
        <v/>
      </c>
      <c r="I889" s="8" t="str">
        <f>IF(E889="","",IF(COUNTIF(Estructuras!F:F,E889)=0,"Falta Estructura",IF(COUNTIFS(Estructuras!F:F,E889,Estructuras!E:E,0)&gt;0,"Faltan Precios","OK")))</f>
        <v/>
      </c>
      <c r="J889" s="10" t="str">
        <f>IF(I889="Faltan Precios",COUNTIFS(Estructuras!B:B,A889,Estructuras!E:E,0),"")</f>
        <v/>
      </c>
      <c r="K889" s="8" t="str">
        <f t="shared" si="2"/>
        <v/>
      </c>
    </row>
    <row r="890">
      <c r="A890" s="4" t="str">
        <f t="shared" si="1"/>
        <v/>
      </c>
      <c r="F890" s="36" t="str">
        <f t="shared" si="4"/>
        <v/>
      </c>
      <c r="G890" s="11"/>
      <c r="H890" s="11" t="str">
        <f>IF(E890="","",SUMIF(Estructuras!B:B,A890,Estructuras!E:E))</f>
        <v/>
      </c>
      <c r="I890" s="8" t="str">
        <f>IF(E890="","",IF(COUNTIF(Estructuras!F:F,E890)=0,"Falta Estructura",IF(COUNTIFS(Estructuras!F:F,E890,Estructuras!E:E,0)&gt;0,"Faltan Precios","OK")))</f>
        <v/>
      </c>
      <c r="J890" s="10" t="str">
        <f>IF(I890="Faltan Precios",COUNTIFS(Estructuras!B:B,A890,Estructuras!E:E,0),"")</f>
        <v/>
      </c>
      <c r="K890" s="8" t="str">
        <f t="shared" si="2"/>
        <v/>
      </c>
    </row>
    <row r="891">
      <c r="A891" s="4" t="str">
        <f t="shared" si="1"/>
        <v/>
      </c>
      <c r="F891" s="36" t="str">
        <f t="shared" si="4"/>
        <v/>
      </c>
      <c r="G891" s="11"/>
      <c r="H891" s="11" t="str">
        <f>IF(E891="","",SUMIF(Estructuras!B:B,A891,Estructuras!E:E))</f>
        <v/>
      </c>
      <c r="I891" s="8" t="str">
        <f>IF(E891="","",IF(COUNTIF(Estructuras!F:F,E891)=0,"Falta Estructura",IF(COUNTIFS(Estructuras!F:F,E891,Estructuras!E:E,0)&gt;0,"Faltan Precios","OK")))</f>
        <v/>
      </c>
      <c r="J891" s="10" t="str">
        <f>IF(I891="Faltan Precios",COUNTIFS(Estructuras!B:B,A891,Estructuras!E:E,0),"")</f>
        <v/>
      </c>
      <c r="K891" s="8" t="str">
        <f t="shared" si="2"/>
        <v/>
      </c>
    </row>
    <row r="892">
      <c r="A892" s="4" t="str">
        <f t="shared" si="1"/>
        <v/>
      </c>
      <c r="F892" s="36" t="str">
        <f t="shared" si="4"/>
        <v/>
      </c>
      <c r="G892" s="11"/>
      <c r="H892" s="11" t="str">
        <f>IF(E892="","",SUMIF(Estructuras!B:B,A892,Estructuras!E:E))</f>
        <v/>
      </c>
      <c r="I892" s="8" t="str">
        <f>IF(E892="","",IF(COUNTIF(Estructuras!F:F,E892)=0,"Falta Estructura",IF(COUNTIFS(Estructuras!F:F,E892,Estructuras!E:E,0)&gt;0,"Faltan Precios","OK")))</f>
        <v/>
      </c>
      <c r="J892" s="10" t="str">
        <f>IF(I892="Faltan Precios",COUNTIFS(Estructuras!B:B,A892,Estructuras!E:E,0),"")</f>
        <v/>
      </c>
      <c r="K892" s="8" t="str">
        <f t="shared" si="2"/>
        <v/>
      </c>
    </row>
    <row r="893">
      <c r="A893" s="4" t="str">
        <f t="shared" si="1"/>
        <v/>
      </c>
      <c r="F893" s="36" t="str">
        <f t="shared" si="4"/>
        <v/>
      </c>
      <c r="G893" s="11"/>
      <c r="H893" s="11" t="str">
        <f>IF(E893="","",SUMIF(Estructuras!B:B,A893,Estructuras!E:E))</f>
        <v/>
      </c>
      <c r="I893" s="8" t="str">
        <f>IF(E893="","",IF(COUNTIF(Estructuras!F:F,E893)=0,"Falta Estructura",IF(COUNTIFS(Estructuras!F:F,E893,Estructuras!E:E,0)&gt;0,"Faltan Precios","OK")))</f>
        <v/>
      </c>
      <c r="J893" s="10" t="str">
        <f>IF(I893="Faltan Precios",COUNTIFS(Estructuras!B:B,A893,Estructuras!E:E,0),"")</f>
        <v/>
      </c>
      <c r="K893" s="8" t="str">
        <f t="shared" si="2"/>
        <v/>
      </c>
    </row>
    <row r="894">
      <c r="A894" s="4" t="str">
        <f t="shared" si="1"/>
        <v/>
      </c>
      <c r="F894" s="36" t="str">
        <f t="shared" si="4"/>
        <v/>
      </c>
      <c r="G894" s="11"/>
      <c r="H894" s="11" t="str">
        <f>IF(E894="","",SUMIF(Estructuras!B:B,A894,Estructuras!E:E))</f>
        <v/>
      </c>
      <c r="I894" s="8" t="str">
        <f>IF(E894="","",IF(COUNTIF(Estructuras!F:F,E894)=0,"Falta Estructura",IF(COUNTIFS(Estructuras!F:F,E894,Estructuras!E:E,0)&gt;0,"Faltan Precios","OK")))</f>
        <v/>
      </c>
      <c r="J894" s="10" t="str">
        <f>IF(I894="Faltan Precios",COUNTIFS(Estructuras!B:B,A894,Estructuras!E:E,0),"")</f>
        <v/>
      </c>
      <c r="K894" s="8" t="str">
        <f t="shared" si="2"/>
        <v/>
      </c>
    </row>
    <row r="895">
      <c r="A895" s="4" t="str">
        <f t="shared" si="1"/>
        <v/>
      </c>
      <c r="F895" s="36" t="str">
        <f t="shared" si="4"/>
        <v/>
      </c>
      <c r="G895" s="11"/>
      <c r="H895" s="11" t="str">
        <f>IF(E895="","",SUMIF(Estructuras!B:B,A895,Estructuras!E:E))</f>
        <v/>
      </c>
      <c r="I895" s="8" t="str">
        <f>IF(E895="","",IF(COUNTIF(Estructuras!F:F,E895)=0,"Falta Estructura",IF(COUNTIFS(Estructuras!F:F,E895,Estructuras!E:E,0)&gt;0,"Faltan Precios","OK")))</f>
        <v/>
      </c>
      <c r="J895" s="10" t="str">
        <f>IF(I895="Faltan Precios",COUNTIFS(Estructuras!B:B,A895,Estructuras!E:E,0),"")</f>
        <v/>
      </c>
      <c r="K895" s="8" t="str">
        <f t="shared" si="2"/>
        <v/>
      </c>
    </row>
    <row r="896">
      <c r="A896" s="4" t="str">
        <f t="shared" si="1"/>
        <v/>
      </c>
      <c r="F896" s="36" t="str">
        <f t="shared" si="4"/>
        <v/>
      </c>
      <c r="G896" s="11"/>
      <c r="H896" s="11" t="str">
        <f>IF(E896="","",SUMIF(Estructuras!B:B,A896,Estructuras!E:E))</f>
        <v/>
      </c>
      <c r="I896" s="8" t="str">
        <f>IF(E896="","",IF(COUNTIF(Estructuras!F:F,E896)=0,"Falta Estructura",IF(COUNTIFS(Estructuras!F:F,E896,Estructuras!E:E,0)&gt;0,"Faltan Precios","OK")))</f>
        <v/>
      </c>
      <c r="J896" s="10" t="str">
        <f>IF(I896="Faltan Precios",COUNTIFS(Estructuras!B:B,A896,Estructuras!E:E,0),"")</f>
        <v/>
      </c>
      <c r="K896" s="8" t="str">
        <f t="shared" si="2"/>
        <v/>
      </c>
    </row>
    <row r="897">
      <c r="A897" s="4" t="str">
        <f t="shared" si="1"/>
        <v/>
      </c>
      <c r="F897" s="36" t="str">
        <f t="shared" si="4"/>
        <v/>
      </c>
      <c r="G897" s="11"/>
      <c r="H897" s="11" t="str">
        <f>IF(E897="","",SUMIF(Estructuras!B:B,A897,Estructuras!E:E))</f>
        <v/>
      </c>
      <c r="I897" s="8" t="str">
        <f>IF(E897="","",IF(COUNTIF(Estructuras!F:F,E897)=0,"Falta Estructura",IF(COUNTIFS(Estructuras!F:F,E897,Estructuras!E:E,0)&gt;0,"Faltan Precios","OK")))</f>
        <v/>
      </c>
      <c r="J897" s="10" t="str">
        <f>IF(I897="Faltan Precios",COUNTIFS(Estructuras!B:B,A897,Estructuras!E:E,0),"")</f>
        <v/>
      </c>
      <c r="K897" s="8" t="str">
        <f t="shared" si="2"/>
        <v/>
      </c>
    </row>
    <row r="898">
      <c r="A898" s="4" t="str">
        <f t="shared" si="1"/>
        <v/>
      </c>
      <c r="F898" s="36" t="str">
        <f t="shared" si="4"/>
        <v/>
      </c>
      <c r="G898" s="11"/>
      <c r="H898" s="11" t="str">
        <f>IF(E898="","",SUMIF(Estructuras!B:B,A898,Estructuras!E:E))</f>
        <v/>
      </c>
      <c r="I898" s="8" t="str">
        <f>IF(E898="","",IF(COUNTIF(Estructuras!F:F,E898)=0,"Falta Estructura",IF(COUNTIFS(Estructuras!F:F,E898,Estructuras!E:E,0)&gt;0,"Faltan Precios","OK")))</f>
        <v/>
      </c>
      <c r="J898" s="10" t="str">
        <f>IF(I898="Faltan Precios",COUNTIFS(Estructuras!B:B,A898,Estructuras!E:E,0),"")</f>
        <v/>
      </c>
      <c r="K898" s="8" t="str">
        <f t="shared" si="2"/>
        <v/>
      </c>
    </row>
    <row r="899">
      <c r="A899" s="4" t="str">
        <f t="shared" si="1"/>
        <v/>
      </c>
      <c r="F899" s="36" t="str">
        <f t="shared" si="4"/>
        <v/>
      </c>
      <c r="G899" s="11"/>
      <c r="H899" s="11" t="str">
        <f>IF(E899="","",SUMIF(Estructuras!B:B,A899,Estructuras!E:E))</f>
        <v/>
      </c>
      <c r="I899" s="8" t="str">
        <f>IF(E899="","",IF(COUNTIF(Estructuras!F:F,E899)=0,"Falta Estructura",IF(COUNTIFS(Estructuras!F:F,E899,Estructuras!E:E,0)&gt;0,"Faltan Precios","OK")))</f>
        <v/>
      </c>
      <c r="J899" s="10" t="str">
        <f>IF(I899="Faltan Precios",COUNTIFS(Estructuras!B:B,A899,Estructuras!E:E,0),"")</f>
        <v/>
      </c>
      <c r="K899" s="8" t="str">
        <f t="shared" si="2"/>
        <v/>
      </c>
    </row>
    <row r="900">
      <c r="A900" s="4" t="str">
        <f t="shared" si="1"/>
        <v/>
      </c>
      <c r="F900" s="36" t="str">
        <f t="shared" si="4"/>
        <v/>
      </c>
      <c r="G900" s="11"/>
      <c r="H900" s="11" t="str">
        <f>IF(E900="","",SUMIF(Estructuras!B:B,A900,Estructuras!E:E))</f>
        <v/>
      </c>
      <c r="I900" s="8" t="str">
        <f>IF(E900="","",IF(COUNTIF(Estructuras!F:F,E900)=0,"Falta Estructura",IF(COUNTIFS(Estructuras!F:F,E900,Estructuras!E:E,0)&gt;0,"Faltan Precios","OK")))</f>
        <v/>
      </c>
      <c r="J900" s="10" t="str">
        <f>IF(I900="Faltan Precios",COUNTIFS(Estructuras!B:B,A900,Estructuras!E:E,0),"")</f>
        <v/>
      </c>
      <c r="K900" s="8" t="str">
        <f t="shared" si="2"/>
        <v/>
      </c>
    </row>
    <row r="901">
      <c r="A901" s="4" t="str">
        <f t="shared" si="1"/>
        <v/>
      </c>
      <c r="F901" s="36" t="str">
        <f t="shared" si="4"/>
        <v/>
      </c>
      <c r="G901" s="11"/>
      <c r="H901" s="11" t="str">
        <f>IF(E901="","",SUMIF(Estructuras!B:B,A901,Estructuras!E:E))</f>
        <v/>
      </c>
      <c r="I901" s="8" t="str">
        <f>IF(E901="","",IF(COUNTIF(Estructuras!F:F,E901)=0,"Falta Estructura",IF(COUNTIFS(Estructuras!F:F,E901,Estructuras!E:E,0)&gt;0,"Faltan Precios","OK")))</f>
        <v/>
      </c>
      <c r="J901" s="10" t="str">
        <f>IF(I901="Faltan Precios",COUNTIFS(Estructuras!B:B,A901,Estructuras!E:E,0),"")</f>
        <v/>
      </c>
      <c r="K901" s="8" t="str">
        <f t="shared" si="2"/>
        <v/>
      </c>
    </row>
    <row r="902">
      <c r="A902" s="4" t="str">
        <f t="shared" si="1"/>
        <v/>
      </c>
      <c r="F902" s="36" t="str">
        <f t="shared" si="4"/>
        <v/>
      </c>
      <c r="G902" s="11"/>
      <c r="H902" s="11" t="str">
        <f>IF(E902="","",SUMIF(Estructuras!B:B,A902,Estructuras!E:E))</f>
        <v/>
      </c>
      <c r="I902" s="8" t="str">
        <f>IF(E902="","",IF(COUNTIF(Estructuras!F:F,E902)=0,"Falta Estructura",IF(COUNTIFS(Estructuras!F:F,E902,Estructuras!E:E,0)&gt;0,"Faltan Precios","OK")))</f>
        <v/>
      </c>
      <c r="J902" s="10" t="str">
        <f>IF(I902="Faltan Precios",COUNTIFS(Estructuras!B:B,A902,Estructuras!E:E,0),"")</f>
        <v/>
      </c>
      <c r="K902" s="8" t="str">
        <f t="shared" si="2"/>
        <v/>
      </c>
    </row>
    <row r="903">
      <c r="A903" s="4" t="str">
        <f t="shared" si="1"/>
        <v/>
      </c>
      <c r="F903" s="36" t="str">
        <f t="shared" si="4"/>
        <v/>
      </c>
      <c r="G903" s="11"/>
      <c r="H903" s="11" t="str">
        <f>IF(E903="","",SUMIF(Estructuras!B:B,A903,Estructuras!E:E))</f>
        <v/>
      </c>
      <c r="I903" s="8" t="str">
        <f>IF(E903="","",IF(COUNTIF(Estructuras!F:F,E903)=0,"Falta Estructura",IF(COUNTIFS(Estructuras!F:F,E903,Estructuras!E:E,0)&gt;0,"Faltan Precios","OK")))</f>
        <v/>
      </c>
      <c r="J903" s="10" t="str">
        <f>IF(I903="Faltan Precios",COUNTIFS(Estructuras!B:B,A903,Estructuras!E:E,0),"")</f>
        <v/>
      </c>
      <c r="K903" s="8" t="str">
        <f t="shared" si="2"/>
        <v/>
      </c>
    </row>
    <row r="904">
      <c r="A904" s="4" t="str">
        <f t="shared" si="1"/>
        <v/>
      </c>
      <c r="F904" s="36" t="str">
        <f t="shared" si="4"/>
        <v/>
      </c>
      <c r="G904" s="11"/>
      <c r="H904" s="11" t="str">
        <f>IF(E904="","",SUMIF(Estructuras!B:B,A904,Estructuras!E:E))</f>
        <v/>
      </c>
      <c r="I904" s="8" t="str">
        <f>IF(E904="","",IF(COUNTIF(Estructuras!F:F,E904)=0,"Falta Estructura",IF(COUNTIFS(Estructuras!F:F,E904,Estructuras!E:E,0)&gt;0,"Faltan Precios","OK")))</f>
        <v/>
      </c>
      <c r="J904" s="10" t="str">
        <f>IF(I904="Faltan Precios",COUNTIFS(Estructuras!B:B,A904,Estructuras!E:E,0),"")</f>
        <v/>
      </c>
      <c r="K904" s="8" t="str">
        <f t="shared" si="2"/>
        <v/>
      </c>
    </row>
    <row r="905">
      <c r="A905" s="4" t="str">
        <f t="shared" si="1"/>
        <v/>
      </c>
      <c r="F905" s="36" t="str">
        <f t="shared" si="4"/>
        <v/>
      </c>
      <c r="G905" s="11"/>
      <c r="H905" s="11" t="str">
        <f>IF(E905="","",SUMIF(Estructuras!B:B,A905,Estructuras!E:E))</f>
        <v/>
      </c>
      <c r="I905" s="8" t="str">
        <f>IF(E905="","",IF(COUNTIF(Estructuras!F:F,E905)=0,"Falta Estructura",IF(COUNTIFS(Estructuras!F:F,E905,Estructuras!E:E,0)&gt;0,"Faltan Precios","OK")))</f>
        <v/>
      </c>
      <c r="J905" s="10" t="str">
        <f>IF(I905="Faltan Precios",COUNTIFS(Estructuras!B:B,A905,Estructuras!E:E,0),"")</f>
        <v/>
      </c>
      <c r="K905" s="8" t="str">
        <f t="shared" si="2"/>
        <v/>
      </c>
    </row>
    <row r="906">
      <c r="A906" s="4" t="str">
        <f t="shared" si="1"/>
        <v/>
      </c>
      <c r="F906" s="36" t="str">
        <f t="shared" si="4"/>
        <v/>
      </c>
      <c r="G906" s="11"/>
      <c r="H906" s="11" t="str">
        <f>IF(E906="","",SUMIF(Estructuras!B:B,A906,Estructuras!E:E))</f>
        <v/>
      </c>
      <c r="I906" s="8" t="str">
        <f>IF(E906="","",IF(COUNTIF(Estructuras!F:F,E906)=0,"Falta Estructura",IF(COUNTIFS(Estructuras!F:F,E906,Estructuras!E:E,0)&gt;0,"Faltan Precios","OK")))</f>
        <v/>
      </c>
      <c r="J906" s="10" t="str">
        <f>IF(I906="Faltan Precios",COUNTIFS(Estructuras!B:B,A906,Estructuras!E:E,0),"")</f>
        <v/>
      </c>
      <c r="K906" s="8" t="str">
        <f t="shared" si="2"/>
        <v/>
      </c>
    </row>
    <row r="907">
      <c r="A907" s="4" t="str">
        <f t="shared" si="1"/>
        <v/>
      </c>
      <c r="F907" s="36" t="str">
        <f t="shared" si="4"/>
        <v/>
      </c>
      <c r="G907" s="11"/>
      <c r="H907" s="11" t="str">
        <f>IF(E907="","",SUMIF(Estructuras!B:B,A907,Estructuras!E:E))</f>
        <v/>
      </c>
      <c r="I907" s="8" t="str">
        <f>IF(E907="","",IF(COUNTIF(Estructuras!F:F,E907)=0,"Falta Estructura",IF(COUNTIFS(Estructuras!F:F,E907,Estructuras!E:E,0)&gt;0,"Faltan Precios","OK")))</f>
        <v/>
      </c>
      <c r="J907" s="10" t="str">
        <f>IF(I907="Faltan Precios",COUNTIFS(Estructuras!B:B,A907,Estructuras!E:E,0),"")</f>
        <v/>
      </c>
      <c r="K907" s="8" t="str">
        <f t="shared" si="2"/>
        <v/>
      </c>
    </row>
    <row r="908">
      <c r="A908" s="4" t="str">
        <f t="shared" si="1"/>
        <v/>
      </c>
      <c r="F908" s="36" t="str">
        <f t="shared" si="4"/>
        <v/>
      </c>
      <c r="G908" s="11"/>
      <c r="H908" s="11" t="str">
        <f>IF(E908="","",SUMIF(Estructuras!B:B,A908,Estructuras!E:E))</f>
        <v/>
      </c>
      <c r="I908" s="8" t="str">
        <f>IF(E908="","",IF(COUNTIF(Estructuras!F:F,E908)=0,"Falta Estructura",IF(COUNTIFS(Estructuras!F:F,E908,Estructuras!E:E,0)&gt;0,"Faltan Precios","OK")))</f>
        <v/>
      </c>
      <c r="J908" s="10" t="str">
        <f>IF(I908="Faltan Precios",COUNTIFS(Estructuras!B:B,A908,Estructuras!E:E,0),"")</f>
        <v/>
      </c>
      <c r="K908" s="8" t="str">
        <f t="shared" si="2"/>
        <v/>
      </c>
    </row>
    <row r="909">
      <c r="A909" s="4" t="str">
        <f t="shared" si="1"/>
        <v/>
      </c>
      <c r="F909" s="36" t="str">
        <f t="shared" si="4"/>
        <v/>
      </c>
      <c r="G909" s="11"/>
      <c r="H909" s="11" t="str">
        <f>IF(E909="","",SUMIF(Estructuras!B:B,A909,Estructuras!E:E))</f>
        <v/>
      </c>
      <c r="I909" s="8" t="str">
        <f>IF(E909="","",IF(COUNTIF(Estructuras!F:F,E909)=0,"Falta Estructura",IF(COUNTIFS(Estructuras!F:F,E909,Estructuras!E:E,0)&gt;0,"Faltan Precios","OK")))</f>
        <v/>
      </c>
      <c r="J909" s="10" t="str">
        <f>IF(I909="Faltan Precios",COUNTIFS(Estructuras!B:B,A909,Estructuras!E:E,0),"")</f>
        <v/>
      </c>
      <c r="K909" s="8" t="str">
        <f t="shared" si="2"/>
        <v/>
      </c>
    </row>
    <row r="910">
      <c r="A910" s="4" t="str">
        <f t="shared" si="1"/>
        <v/>
      </c>
      <c r="F910" s="36" t="str">
        <f t="shared" si="4"/>
        <v/>
      </c>
      <c r="G910" s="11"/>
      <c r="H910" s="11" t="str">
        <f>IF(E910="","",SUMIF(Estructuras!B:B,A910,Estructuras!E:E))</f>
        <v/>
      </c>
      <c r="I910" s="8" t="str">
        <f>IF(E910="","",IF(COUNTIF(Estructuras!F:F,E910)=0,"Falta Estructura",IF(COUNTIFS(Estructuras!F:F,E910,Estructuras!E:E,0)&gt;0,"Faltan Precios","OK")))</f>
        <v/>
      </c>
      <c r="J910" s="10" t="str">
        <f>IF(I910="Faltan Precios",COUNTIFS(Estructuras!B:B,A910,Estructuras!E:E,0),"")</f>
        <v/>
      </c>
      <c r="K910" s="8" t="str">
        <f t="shared" si="2"/>
        <v/>
      </c>
    </row>
    <row r="911">
      <c r="A911" s="4" t="str">
        <f t="shared" si="1"/>
        <v/>
      </c>
      <c r="F911" s="36" t="str">
        <f t="shared" si="4"/>
        <v/>
      </c>
      <c r="G911" s="11"/>
      <c r="H911" s="11" t="str">
        <f>IF(E911="","",SUMIF(Estructuras!B:B,A911,Estructuras!E:E))</f>
        <v/>
      </c>
      <c r="I911" s="8" t="str">
        <f>IF(E911="","",IF(COUNTIF(Estructuras!F:F,E911)=0,"Falta Estructura",IF(COUNTIFS(Estructuras!F:F,E911,Estructuras!E:E,0)&gt;0,"Faltan Precios","OK")))</f>
        <v/>
      </c>
      <c r="J911" s="10" t="str">
        <f>IF(I911="Faltan Precios",COUNTIFS(Estructuras!B:B,A911,Estructuras!E:E,0),"")</f>
        <v/>
      </c>
      <c r="K911" s="8" t="str">
        <f t="shared" si="2"/>
        <v/>
      </c>
    </row>
    <row r="912">
      <c r="A912" s="4" t="str">
        <f t="shared" si="1"/>
        <v/>
      </c>
      <c r="F912" s="36" t="str">
        <f t="shared" si="4"/>
        <v/>
      </c>
      <c r="G912" s="11"/>
      <c r="H912" s="11" t="str">
        <f>IF(E912="","",SUMIF(Estructuras!B:B,A912,Estructuras!E:E))</f>
        <v/>
      </c>
      <c r="I912" s="8" t="str">
        <f>IF(E912="","",IF(COUNTIF(Estructuras!F:F,E912)=0,"Falta Estructura",IF(COUNTIFS(Estructuras!F:F,E912,Estructuras!E:E,0)&gt;0,"Faltan Precios","OK")))</f>
        <v/>
      </c>
      <c r="J912" s="10" t="str">
        <f>IF(I912="Faltan Precios",COUNTIFS(Estructuras!B:B,A912,Estructuras!E:E,0),"")</f>
        <v/>
      </c>
      <c r="K912" s="8" t="str">
        <f t="shared" si="2"/>
        <v/>
      </c>
    </row>
    <row r="913">
      <c r="A913" s="4" t="str">
        <f t="shared" si="1"/>
        <v/>
      </c>
      <c r="F913" s="36" t="str">
        <f t="shared" si="4"/>
        <v/>
      </c>
      <c r="G913" s="11"/>
      <c r="H913" s="11" t="str">
        <f>IF(E913="","",SUMIF(Estructuras!B:B,A913,Estructuras!E:E))</f>
        <v/>
      </c>
      <c r="I913" s="8" t="str">
        <f>IF(E913="","",IF(COUNTIF(Estructuras!F:F,E913)=0,"Falta Estructura",IF(COUNTIFS(Estructuras!F:F,E913,Estructuras!E:E,0)&gt;0,"Faltan Precios","OK")))</f>
        <v/>
      </c>
      <c r="J913" s="10" t="str">
        <f>IF(I913="Faltan Precios",COUNTIFS(Estructuras!B:B,A913,Estructuras!E:E,0),"")</f>
        <v/>
      </c>
      <c r="K913" s="8" t="str">
        <f t="shared" si="2"/>
        <v/>
      </c>
    </row>
    <row r="914">
      <c r="A914" s="4" t="str">
        <f t="shared" si="1"/>
        <v/>
      </c>
      <c r="F914" s="36" t="str">
        <f t="shared" si="4"/>
        <v/>
      </c>
      <c r="G914" s="11"/>
      <c r="H914" s="11" t="str">
        <f>IF(E914="","",SUMIF(Estructuras!B:B,A914,Estructuras!E:E))</f>
        <v/>
      </c>
      <c r="I914" s="8" t="str">
        <f>IF(E914="","",IF(COUNTIF(Estructuras!F:F,E914)=0,"Falta Estructura",IF(COUNTIFS(Estructuras!F:F,E914,Estructuras!E:E,0)&gt;0,"Faltan Precios","OK")))</f>
        <v/>
      </c>
      <c r="J914" s="10" t="str">
        <f>IF(I914="Faltan Precios",COUNTIFS(Estructuras!B:B,A914,Estructuras!E:E,0),"")</f>
        <v/>
      </c>
      <c r="K914" s="8" t="str">
        <f t="shared" si="2"/>
        <v/>
      </c>
    </row>
    <row r="915">
      <c r="A915" s="4" t="str">
        <f t="shared" si="1"/>
        <v/>
      </c>
      <c r="F915" s="36" t="str">
        <f t="shared" si="4"/>
        <v/>
      </c>
      <c r="G915" s="11"/>
      <c r="H915" s="11" t="str">
        <f>IF(E915="","",SUMIF(Estructuras!B:B,A915,Estructuras!E:E))</f>
        <v/>
      </c>
      <c r="I915" s="8" t="str">
        <f>IF(E915="","",IF(COUNTIF(Estructuras!F:F,E915)=0,"Falta Estructura",IF(COUNTIFS(Estructuras!F:F,E915,Estructuras!E:E,0)&gt;0,"Faltan Precios","OK")))</f>
        <v/>
      </c>
      <c r="J915" s="10" t="str">
        <f>IF(I915="Faltan Precios",COUNTIFS(Estructuras!B:B,A915,Estructuras!E:E,0),"")</f>
        <v/>
      </c>
      <c r="K915" s="8" t="str">
        <f t="shared" si="2"/>
        <v/>
      </c>
    </row>
    <row r="916">
      <c r="A916" s="4" t="str">
        <f t="shared" si="1"/>
        <v/>
      </c>
      <c r="F916" s="36" t="str">
        <f t="shared" si="4"/>
        <v/>
      </c>
      <c r="G916" s="11"/>
      <c r="H916" s="11" t="str">
        <f>IF(E916="","",SUMIF(Estructuras!B:B,A916,Estructuras!E:E))</f>
        <v/>
      </c>
      <c r="I916" s="8" t="str">
        <f>IF(E916="","",IF(COUNTIF(Estructuras!F:F,E916)=0,"Falta Estructura",IF(COUNTIFS(Estructuras!F:F,E916,Estructuras!E:E,0)&gt;0,"Faltan Precios","OK")))</f>
        <v/>
      </c>
      <c r="J916" s="10" t="str">
        <f>IF(I916="Faltan Precios",COUNTIFS(Estructuras!B:B,A916,Estructuras!E:E,0),"")</f>
        <v/>
      </c>
      <c r="K916" s="8" t="str">
        <f t="shared" si="2"/>
        <v/>
      </c>
    </row>
    <row r="917">
      <c r="A917" s="4" t="str">
        <f t="shared" si="1"/>
        <v/>
      </c>
      <c r="F917" s="36" t="str">
        <f t="shared" si="4"/>
        <v/>
      </c>
      <c r="G917" s="11"/>
      <c r="H917" s="11" t="str">
        <f>IF(E917="","",SUMIF(Estructuras!B:B,A917,Estructuras!E:E))</f>
        <v/>
      </c>
      <c r="I917" s="8" t="str">
        <f>IF(E917="","",IF(COUNTIF(Estructuras!F:F,E917)=0,"Falta Estructura",IF(COUNTIFS(Estructuras!F:F,E917,Estructuras!E:E,0)&gt;0,"Faltan Precios","OK")))</f>
        <v/>
      </c>
      <c r="J917" s="10" t="str">
        <f>IF(I917="Faltan Precios",COUNTIFS(Estructuras!B:B,A917,Estructuras!E:E,0),"")</f>
        <v/>
      </c>
      <c r="K917" s="8" t="str">
        <f t="shared" si="2"/>
        <v/>
      </c>
    </row>
    <row r="918">
      <c r="A918" s="4" t="str">
        <f t="shared" si="1"/>
        <v/>
      </c>
      <c r="F918" s="36" t="str">
        <f t="shared" si="4"/>
        <v/>
      </c>
      <c r="G918" s="11"/>
      <c r="H918" s="11" t="str">
        <f>IF(E918="","",SUMIF(Estructuras!B:B,A918,Estructuras!E:E))</f>
        <v/>
      </c>
      <c r="I918" s="8" t="str">
        <f>IF(E918="","",IF(COUNTIF(Estructuras!F:F,E918)=0,"Falta Estructura",IF(COUNTIFS(Estructuras!F:F,E918,Estructuras!E:E,0)&gt;0,"Faltan Precios","OK")))</f>
        <v/>
      </c>
      <c r="J918" s="10" t="str">
        <f>IF(I918="Faltan Precios",COUNTIFS(Estructuras!B:B,A918,Estructuras!E:E,0),"")</f>
        <v/>
      </c>
      <c r="K918" s="8" t="str">
        <f t="shared" si="2"/>
        <v/>
      </c>
    </row>
    <row r="919">
      <c r="A919" s="4" t="str">
        <f t="shared" si="1"/>
        <v/>
      </c>
      <c r="F919" s="36" t="str">
        <f t="shared" si="4"/>
        <v/>
      </c>
      <c r="G919" s="11"/>
      <c r="H919" s="11" t="str">
        <f>IF(E919="","",SUMIF(Estructuras!B:B,A919,Estructuras!E:E))</f>
        <v/>
      </c>
      <c r="I919" s="8" t="str">
        <f>IF(E919="","",IF(COUNTIF(Estructuras!F:F,E919)=0,"Falta Estructura",IF(COUNTIFS(Estructuras!F:F,E919,Estructuras!E:E,0)&gt;0,"Faltan Precios","OK")))</f>
        <v/>
      </c>
      <c r="J919" s="10" t="str">
        <f>IF(I919="Faltan Precios",COUNTIFS(Estructuras!B:B,A919,Estructuras!E:E,0),"")</f>
        <v/>
      </c>
      <c r="K919" s="8" t="str">
        <f t="shared" si="2"/>
        <v/>
      </c>
    </row>
    <row r="920">
      <c r="A920" s="4" t="str">
        <f t="shared" si="1"/>
        <v/>
      </c>
      <c r="F920" s="36" t="str">
        <f t="shared" si="4"/>
        <v/>
      </c>
      <c r="G920" s="11"/>
      <c r="H920" s="11" t="str">
        <f>IF(E920="","",SUMIF(Estructuras!B:B,A920,Estructuras!E:E))</f>
        <v/>
      </c>
      <c r="I920" s="8" t="str">
        <f>IF(E920="","",IF(COUNTIF(Estructuras!F:F,E920)=0,"Falta Estructura",IF(COUNTIFS(Estructuras!F:F,E920,Estructuras!E:E,0)&gt;0,"Faltan Precios","OK")))</f>
        <v/>
      </c>
      <c r="J920" s="10" t="str">
        <f>IF(I920="Faltan Precios",COUNTIFS(Estructuras!B:B,A920,Estructuras!E:E,0),"")</f>
        <v/>
      </c>
      <c r="K920" s="8" t="str">
        <f t="shared" si="2"/>
        <v/>
      </c>
    </row>
    <row r="921">
      <c r="A921" s="4" t="str">
        <f t="shared" si="1"/>
        <v/>
      </c>
      <c r="F921" s="36" t="str">
        <f t="shared" si="4"/>
        <v/>
      </c>
      <c r="G921" s="11"/>
      <c r="H921" s="11" t="str">
        <f>IF(E921="","",SUMIF(Estructuras!B:B,A921,Estructuras!E:E))</f>
        <v/>
      </c>
      <c r="I921" s="8" t="str">
        <f>IF(E921="","",IF(COUNTIF(Estructuras!F:F,E921)=0,"Falta Estructura",IF(COUNTIFS(Estructuras!F:F,E921,Estructuras!E:E,0)&gt;0,"Faltan Precios","OK")))</f>
        <v/>
      </c>
      <c r="J921" s="10" t="str">
        <f>IF(I921="Faltan Precios",COUNTIFS(Estructuras!B:B,A921,Estructuras!E:E,0),"")</f>
        <v/>
      </c>
      <c r="K921" s="8" t="str">
        <f t="shared" si="2"/>
        <v/>
      </c>
    </row>
    <row r="922">
      <c r="A922" s="4" t="str">
        <f t="shared" si="1"/>
        <v/>
      </c>
      <c r="F922" s="36" t="str">
        <f t="shared" si="4"/>
        <v/>
      </c>
      <c r="G922" s="11"/>
      <c r="H922" s="11" t="str">
        <f>IF(E922="","",SUMIF(Estructuras!B:B,A922,Estructuras!E:E))</f>
        <v/>
      </c>
      <c r="I922" s="8" t="str">
        <f>IF(E922="","",IF(COUNTIF(Estructuras!F:F,E922)=0,"Falta Estructura",IF(COUNTIFS(Estructuras!F:F,E922,Estructuras!E:E,0)&gt;0,"Faltan Precios","OK")))</f>
        <v/>
      </c>
      <c r="J922" s="10" t="str">
        <f>IF(I922="Faltan Precios",COUNTIFS(Estructuras!B:B,A922,Estructuras!E:E,0),"")</f>
        <v/>
      </c>
      <c r="K922" s="8" t="str">
        <f t="shared" si="2"/>
        <v/>
      </c>
    </row>
    <row r="923">
      <c r="A923" s="4" t="str">
        <f t="shared" si="1"/>
        <v/>
      </c>
      <c r="F923" s="36" t="str">
        <f t="shared" si="4"/>
        <v/>
      </c>
      <c r="G923" s="11"/>
      <c r="H923" s="11" t="str">
        <f>IF(E923="","",SUMIF(Estructuras!B:B,A923,Estructuras!E:E))</f>
        <v/>
      </c>
      <c r="I923" s="8" t="str">
        <f>IF(E923="","",IF(COUNTIF(Estructuras!F:F,E923)=0,"Falta Estructura",IF(COUNTIFS(Estructuras!F:F,E923,Estructuras!E:E,0)&gt;0,"Faltan Precios","OK")))</f>
        <v/>
      </c>
      <c r="J923" s="10" t="str">
        <f>IF(I923="Faltan Precios",COUNTIFS(Estructuras!B:B,A923,Estructuras!E:E,0),"")</f>
        <v/>
      </c>
      <c r="K923" s="8" t="str">
        <f t="shared" si="2"/>
        <v/>
      </c>
    </row>
    <row r="924">
      <c r="A924" s="4" t="str">
        <f t="shared" si="1"/>
        <v/>
      </c>
      <c r="F924" s="36" t="str">
        <f t="shared" si="4"/>
        <v/>
      </c>
      <c r="G924" s="11"/>
      <c r="H924" s="11" t="str">
        <f>IF(E924="","",SUMIF(Estructuras!B:B,A924,Estructuras!E:E))</f>
        <v/>
      </c>
      <c r="I924" s="8" t="str">
        <f>IF(E924="","",IF(COUNTIF(Estructuras!F:F,E924)=0,"Falta Estructura",IF(COUNTIFS(Estructuras!F:F,E924,Estructuras!E:E,0)&gt;0,"Faltan Precios","OK")))</f>
        <v/>
      </c>
      <c r="J924" s="10" t="str">
        <f>IF(I924="Faltan Precios",COUNTIFS(Estructuras!B:B,A924,Estructuras!E:E,0),"")</f>
        <v/>
      </c>
      <c r="K924" s="8" t="str">
        <f t="shared" si="2"/>
        <v/>
      </c>
    </row>
    <row r="925">
      <c r="A925" s="4" t="str">
        <f t="shared" si="1"/>
        <v/>
      </c>
      <c r="F925" s="36" t="str">
        <f t="shared" si="4"/>
        <v/>
      </c>
      <c r="G925" s="11"/>
      <c r="H925" s="11" t="str">
        <f>IF(E925="","",SUMIF(Estructuras!B:B,A925,Estructuras!E:E))</f>
        <v/>
      </c>
      <c r="I925" s="8" t="str">
        <f>IF(E925="","",IF(COUNTIF(Estructuras!F:F,E925)=0,"Falta Estructura",IF(COUNTIFS(Estructuras!F:F,E925,Estructuras!E:E,0)&gt;0,"Faltan Precios","OK")))</f>
        <v/>
      </c>
      <c r="J925" s="10" t="str">
        <f>IF(I925="Faltan Precios",COUNTIFS(Estructuras!B:B,A925,Estructuras!E:E,0),"")</f>
        <v/>
      </c>
      <c r="K925" s="8" t="str">
        <f t="shared" si="2"/>
        <v/>
      </c>
    </row>
    <row r="926">
      <c r="A926" s="4" t="str">
        <f t="shared" si="1"/>
        <v/>
      </c>
      <c r="F926" s="36" t="str">
        <f t="shared" si="4"/>
        <v/>
      </c>
      <c r="G926" s="11"/>
      <c r="H926" s="11" t="str">
        <f>IF(E926="","",SUMIF(Estructuras!B:B,A926,Estructuras!E:E))</f>
        <v/>
      </c>
      <c r="I926" s="8" t="str">
        <f>IF(E926="","",IF(COUNTIF(Estructuras!F:F,E926)=0,"Falta Estructura",IF(COUNTIFS(Estructuras!F:F,E926,Estructuras!E:E,0)&gt;0,"Faltan Precios","OK")))</f>
        <v/>
      </c>
      <c r="J926" s="10" t="str">
        <f>IF(I926="Faltan Precios",COUNTIFS(Estructuras!B:B,A926,Estructuras!E:E,0),"")</f>
        <v/>
      </c>
      <c r="K926" s="8" t="str">
        <f t="shared" si="2"/>
        <v/>
      </c>
    </row>
    <row r="927">
      <c r="A927" s="4" t="str">
        <f t="shared" si="1"/>
        <v/>
      </c>
      <c r="F927" s="36" t="str">
        <f t="shared" si="4"/>
        <v/>
      </c>
      <c r="G927" s="11"/>
      <c r="H927" s="11" t="str">
        <f>IF(E927="","",SUMIF(Estructuras!B:B,A927,Estructuras!E:E))</f>
        <v/>
      </c>
      <c r="I927" s="8" t="str">
        <f>IF(E927="","",IF(COUNTIF(Estructuras!F:F,E927)=0,"Falta Estructura",IF(COUNTIFS(Estructuras!F:F,E927,Estructuras!E:E,0)&gt;0,"Faltan Precios","OK")))</f>
        <v/>
      </c>
      <c r="J927" s="10" t="str">
        <f>IF(I927="Faltan Precios",COUNTIFS(Estructuras!B:B,A927,Estructuras!E:E,0),"")</f>
        <v/>
      </c>
      <c r="K927" s="8" t="str">
        <f t="shared" si="2"/>
        <v/>
      </c>
    </row>
    <row r="928">
      <c r="A928" s="4" t="str">
        <f t="shared" si="1"/>
        <v/>
      </c>
      <c r="F928" s="36" t="str">
        <f t="shared" si="4"/>
        <v/>
      </c>
      <c r="G928" s="11"/>
      <c r="H928" s="11" t="str">
        <f>IF(E928="","",SUMIF(Estructuras!B:B,A928,Estructuras!E:E))</f>
        <v/>
      </c>
      <c r="I928" s="8" t="str">
        <f>IF(E928="","",IF(COUNTIF(Estructuras!F:F,E928)=0,"Falta Estructura",IF(COUNTIFS(Estructuras!F:F,E928,Estructuras!E:E,0)&gt;0,"Faltan Precios","OK")))</f>
        <v/>
      </c>
      <c r="J928" s="10" t="str">
        <f>IF(I928="Faltan Precios",COUNTIFS(Estructuras!B:B,A928,Estructuras!E:E,0),"")</f>
        <v/>
      </c>
      <c r="K928" s="8" t="str">
        <f t="shared" si="2"/>
        <v/>
      </c>
    </row>
    <row r="929">
      <c r="A929" s="4" t="str">
        <f t="shared" si="1"/>
        <v/>
      </c>
      <c r="F929" s="36" t="str">
        <f t="shared" si="4"/>
        <v/>
      </c>
      <c r="G929" s="11"/>
      <c r="H929" s="11" t="str">
        <f>IF(E929="","",SUMIF(Estructuras!B:B,A929,Estructuras!E:E))</f>
        <v/>
      </c>
      <c r="I929" s="8" t="str">
        <f>IF(E929="","",IF(COUNTIF(Estructuras!F:F,E929)=0,"Falta Estructura",IF(COUNTIFS(Estructuras!F:F,E929,Estructuras!E:E,0)&gt;0,"Faltan Precios","OK")))</f>
        <v/>
      </c>
      <c r="J929" s="10" t="str">
        <f>IF(I929="Faltan Precios",COUNTIFS(Estructuras!B:B,A929,Estructuras!E:E,0),"")</f>
        <v/>
      </c>
      <c r="K929" s="8" t="str">
        <f t="shared" si="2"/>
        <v/>
      </c>
    </row>
    <row r="930">
      <c r="A930" s="4" t="str">
        <f t="shared" si="1"/>
        <v/>
      </c>
      <c r="F930" s="36" t="str">
        <f t="shared" si="4"/>
        <v/>
      </c>
      <c r="G930" s="11"/>
      <c r="H930" s="11" t="str">
        <f>IF(E930="","",SUMIF(Estructuras!B:B,A930,Estructuras!E:E))</f>
        <v/>
      </c>
      <c r="I930" s="8" t="str">
        <f>IF(E930="","",IF(COUNTIF(Estructuras!F:F,E930)=0,"Falta Estructura",IF(COUNTIFS(Estructuras!F:F,E930,Estructuras!E:E,0)&gt;0,"Faltan Precios","OK")))</f>
        <v/>
      </c>
      <c r="J930" s="10" t="str">
        <f>IF(I930="Faltan Precios",COUNTIFS(Estructuras!B:B,A930,Estructuras!E:E,0),"")</f>
        <v/>
      </c>
      <c r="K930" s="8" t="str">
        <f t="shared" si="2"/>
        <v/>
      </c>
    </row>
    <row r="931">
      <c r="A931" s="4" t="str">
        <f t="shared" si="1"/>
        <v/>
      </c>
      <c r="F931" s="36" t="str">
        <f t="shared" si="4"/>
        <v/>
      </c>
      <c r="G931" s="11"/>
      <c r="H931" s="11" t="str">
        <f>IF(E931="","",SUMIF(Estructuras!B:B,A931,Estructuras!E:E))</f>
        <v/>
      </c>
      <c r="I931" s="8" t="str">
        <f>IF(E931="","",IF(COUNTIF(Estructuras!F:F,E931)=0,"Falta Estructura",IF(COUNTIFS(Estructuras!F:F,E931,Estructuras!E:E,0)&gt;0,"Faltan Precios","OK")))</f>
        <v/>
      </c>
      <c r="J931" s="10" t="str">
        <f>IF(I931="Faltan Precios",COUNTIFS(Estructuras!B:B,A931,Estructuras!E:E,0),"")</f>
        <v/>
      </c>
      <c r="K931" s="8" t="str">
        <f t="shared" si="2"/>
        <v/>
      </c>
    </row>
    <row r="932">
      <c r="A932" s="4" t="str">
        <f t="shared" si="1"/>
        <v/>
      </c>
      <c r="F932" s="36" t="str">
        <f t="shared" si="4"/>
        <v/>
      </c>
      <c r="G932" s="11"/>
      <c r="H932" s="11" t="str">
        <f>IF(E932="","",SUMIF(Estructuras!B:B,A932,Estructuras!E:E))</f>
        <v/>
      </c>
      <c r="I932" s="8" t="str">
        <f>IF(E932="","",IF(COUNTIF(Estructuras!F:F,E932)=0,"Falta Estructura",IF(COUNTIFS(Estructuras!F:F,E932,Estructuras!E:E,0)&gt;0,"Faltan Precios","OK")))</f>
        <v/>
      </c>
      <c r="J932" s="10" t="str">
        <f>IF(I932="Faltan Precios",COUNTIFS(Estructuras!B:B,A932,Estructuras!E:E,0),"")</f>
        <v/>
      </c>
      <c r="K932" s="8" t="str">
        <f t="shared" si="2"/>
        <v/>
      </c>
    </row>
    <row r="933">
      <c r="A933" s="4" t="str">
        <f t="shared" si="1"/>
        <v/>
      </c>
      <c r="F933" s="36" t="str">
        <f t="shared" si="4"/>
        <v/>
      </c>
      <c r="G933" s="11"/>
      <c r="H933" s="11" t="str">
        <f>IF(E933="","",SUMIF(Estructuras!B:B,A933,Estructuras!E:E))</f>
        <v/>
      </c>
      <c r="I933" s="8" t="str">
        <f>IF(E933="","",IF(COUNTIF(Estructuras!F:F,E933)=0,"Falta Estructura",IF(COUNTIFS(Estructuras!F:F,E933,Estructuras!E:E,0)&gt;0,"Faltan Precios","OK")))</f>
        <v/>
      </c>
      <c r="J933" s="10" t="str">
        <f>IF(I933="Faltan Precios",COUNTIFS(Estructuras!B:B,A933,Estructuras!E:E,0),"")</f>
        <v/>
      </c>
      <c r="K933" s="8" t="str">
        <f t="shared" si="2"/>
        <v/>
      </c>
    </row>
    <row r="934">
      <c r="A934" s="4" t="str">
        <f t="shared" si="1"/>
        <v/>
      </c>
      <c r="F934" s="36" t="str">
        <f t="shared" si="4"/>
        <v/>
      </c>
      <c r="G934" s="11"/>
      <c r="H934" s="11" t="str">
        <f>IF(E934="","",SUMIF(Estructuras!B:B,A934,Estructuras!E:E))</f>
        <v/>
      </c>
      <c r="I934" s="8" t="str">
        <f>IF(E934="","",IF(COUNTIF(Estructuras!F:F,E934)=0,"Falta Estructura",IF(COUNTIFS(Estructuras!F:F,E934,Estructuras!E:E,0)&gt;0,"Faltan Precios","OK")))</f>
        <v/>
      </c>
      <c r="J934" s="10" t="str">
        <f>IF(I934="Faltan Precios",COUNTIFS(Estructuras!B:B,A934,Estructuras!E:E,0),"")</f>
        <v/>
      </c>
      <c r="K934" s="8" t="str">
        <f t="shared" si="2"/>
        <v/>
      </c>
    </row>
    <row r="935">
      <c r="A935" s="4" t="str">
        <f t="shared" si="1"/>
        <v/>
      </c>
      <c r="F935" s="36" t="str">
        <f t="shared" si="4"/>
        <v/>
      </c>
      <c r="G935" s="11"/>
      <c r="H935" s="11" t="str">
        <f>IF(E935="","",SUMIF(Estructuras!B:B,A935,Estructuras!E:E))</f>
        <v/>
      </c>
      <c r="I935" s="8" t="str">
        <f>IF(E935="","",IF(COUNTIF(Estructuras!F:F,E935)=0,"Falta Estructura",IF(COUNTIFS(Estructuras!F:F,E935,Estructuras!E:E,0)&gt;0,"Faltan Precios","OK")))</f>
        <v/>
      </c>
      <c r="J935" s="10" t="str">
        <f>IF(I935="Faltan Precios",COUNTIFS(Estructuras!B:B,A935,Estructuras!E:E,0),"")</f>
        <v/>
      </c>
      <c r="K935" s="8" t="str">
        <f t="shared" si="2"/>
        <v/>
      </c>
    </row>
    <row r="936">
      <c r="A936" s="4" t="str">
        <f t="shared" si="1"/>
        <v/>
      </c>
      <c r="F936" s="36" t="str">
        <f t="shared" si="4"/>
        <v/>
      </c>
      <c r="G936" s="11"/>
      <c r="H936" s="11" t="str">
        <f>IF(E936="","",SUMIF(Estructuras!B:B,A936,Estructuras!E:E))</f>
        <v/>
      </c>
      <c r="I936" s="8" t="str">
        <f>IF(E936="","",IF(COUNTIF(Estructuras!F:F,E936)=0,"Falta Estructura",IF(COUNTIFS(Estructuras!F:F,E936,Estructuras!E:E,0)&gt;0,"Faltan Precios","OK")))</f>
        <v/>
      </c>
      <c r="J936" s="10" t="str">
        <f>IF(I936="Faltan Precios",COUNTIFS(Estructuras!B:B,A936,Estructuras!E:E,0),"")</f>
        <v/>
      </c>
      <c r="K936" s="8" t="str">
        <f t="shared" si="2"/>
        <v/>
      </c>
    </row>
    <row r="937">
      <c r="A937" s="4" t="str">
        <f t="shared" si="1"/>
        <v/>
      </c>
      <c r="F937" s="36" t="str">
        <f t="shared" si="4"/>
        <v/>
      </c>
      <c r="G937" s="11"/>
      <c r="H937" s="11" t="str">
        <f>IF(E937="","",SUMIF(Estructuras!B:B,A937,Estructuras!E:E))</f>
        <v/>
      </c>
      <c r="I937" s="8" t="str">
        <f>IF(E937="","",IF(COUNTIF(Estructuras!F:F,E937)=0,"Falta Estructura",IF(COUNTIFS(Estructuras!F:F,E937,Estructuras!E:E,0)&gt;0,"Faltan Precios","OK")))</f>
        <v/>
      </c>
      <c r="J937" s="10" t="str">
        <f>IF(I937="Faltan Precios",COUNTIFS(Estructuras!B:B,A937,Estructuras!E:E,0),"")</f>
        <v/>
      </c>
      <c r="K937" s="8" t="str">
        <f t="shared" si="2"/>
        <v/>
      </c>
    </row>
    <row r="938">
      <c r="A938" s="4" t="str">
        <f t="shared" si="1"/>
        <v/>
      </c>
      <c r="F938" s="36" t="str">
        <f t="shared" si="4"/>
        <v/>
      </c>
      <c r="G938" s="11"/>
      <c r="H938" s="11" t="str">
        <f>IF(E938="","",SUMIF(Estructuras!B:B,A938,Estructuras!E:E))</f>
        <v/>
      </c>
      <c r="I938" s="8" t="str">
        <f>IF(E938="","",IF(COUNTIF(Estructuras!F:F,E938)=0,"Falta Estructura",IF(COUNTIFS(Estructuras!F:F,E938,Estructuras!E:E,0)&gt;0,"Faltan Precios","OK")))</f>
        <v/>
      </c>
      <c r="J938" s="10" t="str">
        <f>IF(I938="Faltan Precios",COUNTIFS(Estructuras!B:B,A938,Estructuras!E:E,0),"")</f>
        <v/>
      </c>
      <c r="K938" s="8" t="str">
        <f t="shared" si="2"/>
        <v/>
      </c>
    </row>
    <row r="939">
      <c r="A939" s="4" t="str">
        <f t="shared" si="1"/>
        <v/>
      </c>
      <c r="F939" s="36" t="str">
        <f t="shared" si="4"/>
        <v/>
      </c>
      <c r="G939" s="11"/>
      <c r="H939" s="11" t="str">
        <f>IF(E939="","",SUMIF(Estructuras!B:B,A939,Estructuras!E:E))</f>
        <v/>
      </c>
      <c r="I939" s="8" t="str">
        <f>IF(E939="","",IF(COUNTIF(Estructuras!F:F,E939)=0,"Falta Estructura",IF(COUNTIFS(Estructuras!F:F,E939,Estructuras!E:E,0)&gt;0,"Faltan Precios","OK")))</f>
        <v/>
      </c>
      <c r="J939" s="10" t="str">
        <f>IF(I939="Faltan Precios",COUNTIFS(Estructuras!B:B,A939,Estructuras!E:E,0),"")</f>
        <v/>
      </c>
      <c r="K939" s="8" t="str">
        <f t="shared" si="2"/>
        <v/>
      </c>
    </row>
    <row r="940">
      <c r="A940" s="4" t="str">
        <f t="shared" si="1"/>
        <v/>
      </c>
      <c r="F940" s="36" t="str">
        <f t="shared" si="4"/>
        <v/>
      </c>
      <c r="G940" s="11"/>
      <c r="H940" s="11" t="str">
        <f>IF(E940="","",SUMIF(Estructuras!B:B,A940,Estructuras!E:E))</f>
        <v/>
      </c>
      <c r="I940" s="8" t="str">
        <f>IF(E940="","",IF(COUNTIF(Estructuras!F:F,E940)=0,"Falta Estructura",IF(COUNTIFS(Estructuras!F:F,E940,Estructuras!E:E,0)&gt;0,"Faltan Precios","OK")))</f>
        <v/>
      </c>
      <c r="J940" s="10" t="str">
        <f>IF(I940="Faltan Precios",COUNTIFS(Estructuras!B:B,A940,Estructuras!E:E,0),"")</f>
        <v/>
      </c>
      <c r="K940" s="8" t="str">
        <f t="shared" si="2"/>
        <v/>
      </c>
    </row>
    <row r="941">
      <c r="A941" s="4" t="str">
        <f t="shared" si="1"/>
        <v/>
      </c>
      <c r="F941" s="36" t="str">
        <f t="shared" si="4"/>
        <v/>
      </c>
      <c r="G941" s="11"/>
      <c r="H941" s="11" t="str">
        <f>IF(E941="","",SUMIF(Estructuras!B:B,A941,Estructuras!E:E))</f>
        <v/>
      </c>
      <c r="I941" s="8" t="str">
        <f>IF(E941="","",IF(COUNTIF(Estructuras!F:F,E941)=0,"Falta Estructura",IF(COUNTIFS(Estructuras!F:F,E941,Estructuras!E:E,0)&gt;0,"Faltan Precios","OK")))</f>
        <v/>
      </c>
      <c r="J941" s="10" t="str">
        <f>IF(I941="Faltan Precios",COUNTIFS(Estructuras!B:B,A941,Estructuras!E:E,0),"")</f>
        <v/>
      </c>
      <c r="K941" s="8" t="str">
        <f t="shared" si="2"/>
        <v/>
      </c>
    </row>
    <row r="942">
      <c r="A942" s="4" t="str">
        <f t="shared" si="1"/>
        <v/>
      </c>
      <c r="F942" s="36" t="str">
        <f t="shared" si="4"/>
        <v/>
      </c>
      <c r="G942" s="11"/>
      <c r="H942" s="11" t="str">
        <f>IF(E942="","",SUMIF(Estructuras!B:B,A942,Estructuras!E:E))</f>
        <v/>
      </c>
      <c r="I942" s="8" t="str">
        <f>IF(E942="","",IF(COUNTIF(Estructuras!F:F,E942)=0,"Falta Estructura",IF(COUNTIFS(Estructuras!F:F,E942,Estructuras!E:E,0)&gt;0,"Faltan Precios","OK")))</f>
        <v/>
      </c>
      <c r="J942" s="10" t="str">
        <f>IF(I942="Faltan Precios",COUNTIFS(Estructuras!B:B,A942,Estructuras!E:E,0),"")</f>
        <v/>
      </c>
      <c r="K942" s="8" t="str">
        <f t="shared" si="2"/>
        <v/>
      </c>
    </row>
    <row r="943">
      <c r="A943" s="4" t="str">
        <f t="shared" si="1"/>
        <v/>
      </c>
      <c r="F943" s="36" t="str">
        <f t="shared" si="4"/>
        <v/>
      </c>
      <c r="G943" s="11"/>
      <c r="H943" s="11" t="str">
        <f>IF(E943="","",SUMIF(Estructuras!B:B,A943,Estructuras!E:E))</f>
        <v/>
      </c>
      <c r="I943" s="8" t="str">
        <f>IF(E943="","",IF(COUNTIF(Estructuras!F:F,E943)=0,"Falta Estructura",IF(COUNTIFS(Estructuras!F:F,E943,Estructuras!E:E,0)&gt;0,"Faltan Precios","OK")))</f>
        <v/>
      </c>
      <c r="J943" s="10" t="str">
        <f>IF(I943="Faltan Precios",COUNTIFS(Estructuras!B:B,A943,Estructuras!E:E,0),"")</f>
        <v/>
      </c>
      <c r="K943" s="8" t="str">
        <f t="shared" si="2"/>
        <v/>
      </c>
    </row>
    <row r="944">
      <c r="A944" s="4" t="str">
        <f t="shared" si="1"/>
        <v/>
      </c>
      <c r="F944" s="36" t="str">
        <f t="shared" si="4"/>
        <v/>
      </c>
      <c r="G944" s="11"/>
      <c r="H944" s="11" t="str">
        <f>IF(E944="","",SUMIF(Estructuras!B:B,A944,Estructuras!E:E))</f>
        <v/>
      </c>
      <c r="I944" s="8" t="str">
        <f>IF(E944="","",IF(COUNTIF(Estructuras!F:F,E944)=0,"Falta Estructura",IF(COUNTIFS(Estructuras!F:F,E944,Estructuras!E:E,0)&gt;0,"Faltan Precios","OK")))</f>
        <v/>
      </c>
      <c r="J944" s="10" t="str">
        <f>IF(I944="Faltan Precios",COUNTIFS(Estructuras!B:B,A944,Estructuras!E:E,0),"")</f>
        <v/>
      </c>
      <c r="K944" s="8" t="str">
        <f t="shared" si="2"/>
        <v/>
      </c>
    </row>
    <row r="945">
      <c r="A945" s="4" t="str">
        <f t="shared" si="1"/>
        <v/>
      </c>
      <c r="F945" s="36" t="str">
        <f t="shared" si="4"/>
        <v/>
      </c>
      <c r="G945" s="11"/>
      <c r="H945" s="11" t="str">
        <f>IF(E945="","",SUMIF(Estructuras!B:B,A945,Estructuras!E:E))</f>
        <v/>
      </c>
      <c r="I945" s="8" t="str">
        <f>IF(E945="","",IF(COUNTIF(Estructuras!F:F,E945)=0,"Falta Estructura",IF(COUNTIFS(Estructuras!F:F,E945,Estructuras!E:E,0)&gt;0,"Faltan Precios","OK")))</f>
        <v/>
      </c>
      <c r="J945" s="10" t="str">
        <f>IF(I945="Faltan Precios",COUNTIFS(Estructuras!B:B,A945,Estructuras!E:E,0),"")</f>
        <v/>
      </c>
      <c r="K945" s="8" t="str">
        <f t="shared" si="2"/>
        <v/>
      </c>
    </row>
    <row r="946">
      <c r="A946" s="4" t="str">
        <f t="shared" si="1"/>
        <v/>
      </c>
      <c r="F946" s="36" t="str">
        <f t="shared" si="4"/>
        <v/>
      </c>
      <c r="G946" s="11"/>
      <c r="H946" s="11" t="str">
        <f>IF(E946="","",SUMIF(Estructuras!B:B,A946,Estructuras!E:E))</f>
        <v/>
      </c>
      <c r="I946" s="8" t="str">
        <f>IF(E946="","",IF(COUNTIF(Estructuras!F:F,E946)=0,"Falta Estructura",IF(COUNTIFS(Estructuras!F:F,E946,Estructuras!E:E,0)&gt;0,"Faltan Precios","OK")))</f>
        <v/>
      </c>
      <c r="J946" s="10" t="str">
        <f>IF(I946="Faltan Precios",COUNTIFS(Estructuras!B:B,A946,Estructuras!E:E,0),"")</f>
        <v/>
      </c>
      <c r="K946" s="8" t="str">
        <f t="shared" si="2"/>
        <v/>
      </c>
    </row>
    <row r="947">
      <c r="A947" s="4" t="str">
        <f t="shared" si="1"/>
        <v/>
      </c>
      <c r="F947" s="36" t="str">
        <f t="shared" si="4"/>
        <v/>
      </c>
      <c r="G947" s="11"/>
      <c r="H947" s="11" t="str">
        <f>IF(E947="","",SUMIF(Estructuras!B:B,A947,Estructuras!E:E))</f>
        <v/>
      </c>
      <c r="I947" s="8" t="str">
        <f>IF(E947="","",IF(COUNTIF(Estructuras!F:F,E947)=0,"Falta Estructura",IF(COUNTIFS(Estructuras!F:F,E947,Estructuras!E:E,0)&gt;0,"Faltan Precios","OK")))</f>
        <v/>
      </c>
      <c r="J947" s="10" t="str">
        <f>IF(I947="Faltan Precios",COUNTIFS(Estructuras!B:B,A947,Estructuras!E:E,0),"")</f>
        <v/>
      </c>
      <c r="K947" s="8" t="str">
        <f t="shared" si="2"/>
        <v/>
      </c>
    </row>
    <row r="948">
      <c r="A948" s="4" t="str">
        <f t="shared" si="1"/>
        <v/>
      </c>
      <c r="F948" s="36" t="str">
        <f t="shared" si="4"/>
        <v/>
      </c>
      <c r="G948" s="11"/>
      <c r="H948" s="11" t="str">
        <f>IF(E948="","",SUMIF(Estructuras!B:B,A948,Estructuras!E:E))</f>
        <v/>
      </c>
      <c r="I948" s="8" t="str">
        <f>IF(E948="","",IF(COUNTIF(Estructuras!F:F,E948)=0,"Falta Estructura",IF(COUNTIFS(Estructuras!F:F,E948,Estructuras!E:E,0)&gt;0,"Faltan Precios","OK")))</f>
        <v/>
      </c>
      <c r="J948" s="10" t="str">
        <f>IF(I948="Faltan Precios",COUNTIFS(Estructuras!B:B,A948,Estructuras!E:E,0),"")</f>
        <v/>
      </c>
      <c r="K948" s="8" t="str">
        <f t="shared" si="2"/>
        <v/>
      </c>
    </row>
    <row r="949">
      <c r="A949" s="4" t="str">
        <f t="shared" si="1"/>
        <v/>
      </c>
      <c r="F949" s="36" t="str">
        <f t="shared" si="4"/>
        <v/>
      </c>
      <c r="G949" s="11"/>
      <c r="H949" s="11" t="str">
        <f>IF(E949="","",SUMIF(Estructuras!B:B,A949,Estructuras!E:E))</f>
        <v/>
      </c>
      <c r="I949" s="8" t="str">
        <f>IF(E949="","",IF(COUNTIF(Estructuras!F:F,E949)=0,"Falta Estructura",IF(COUNTIFS(Estructuras!F:F,E949,Estructuras!E:E,0)&gt;0,"Faltan Precios","OK")))</f>
        <v/>
      </c>
      <c r="J949" s="10" t="str">
        <f>IF(I949="Faltan Precios",COUNTIFS(Estructuras!B:B,A949,Estructuras!E:E,0),"")</f>
        <v/>
      </c>
      <c r="K949" s="8" t="str">
        <f t="shared" si="2"/>
        <v/>
      </c>
    </row>
    <row r="950">
      <c r="A950" s="4" t="str">
        <f t="shared" si="1"/>
        <v/>
      </c>
      <c r="F950" s="36" t="str">
        <f t="shared" si="4"/>
        <v/>
      </c>
      <c r="G950" s="11"/>
      <c r="H950" s="11" t="str">
        <f>IF(E950="","",SUMIF(Estructuras!B:B,A950,Estructuras!E:E))</f>
        <v/>
      </c>
      <c r="I950" s="8" t="str">
        <f>IF(E950="","",IF(COUNTIF(Estructuras!F:F,E950)=0,"Falta Estructura",IF(COUNTIFS(Estructuras!F:F,E950,Estructuras!E:E,0)&gt;0,"Faltan Precios","OK")))</f>
        <v/>
      </c>
      <c r="J950" s="10" t="str">
        <f>IF(I950="Faltan Precios",COUNTIFS(Estructuras!B:B,A950,Estructuras!E:E,0),"")</f>
        <v/>
      </c>
      <c r="K950" s="8" t="str">
        <f t="shared" si="2"/>
        <v/>
      </c>
    </row>
    <row r="951">
      <c r="A951" s="4" t="str">
        <f t="shared" si="1"/>
        <v/>
      </c>
      <c r="F951" s="36" t="str">
        <f t="shared" si="4"/>
        <v/>
      </c>
      <c r="G951" s="11"/>
      <c r="H951" s="11" t="str">
        <f>IF(E951="","",SUMIF(Estructuras!B:B,A951,Estructuras!E:E))</f>
        <v/>
      </c>
      <c r="I951" s="8" t="str">
        <f>IF(E951="","",IF(COUNTIF(Estructuras!F:F,E951)=0,"Falta Estructura",IF(COUNTIFS(Estructuras!F:F,E951,Estructuras!E:E,0)&gt;0,"Faltan Precios","OK")))</f>
        <v/>
      </c>
      <c r="J951" s="10" t="str">
        <f>IF(I951="Faltan Precios",COUNTIFS(Estructuras!B:B,A951,Estructuras!E:E,0),"")</f>
        <v/>
      </c>
      <c r="K951" s="8" t="str">
        <f t="shared" si="2"/>
        <v/>
      </c>
    </row>
    <row r="952">
      <c r="A952" s="4" t="str">
        <f t="shared" si="1"/>
        <v/>
      </c>
      <c r="F952" s="36" t="str">
        <f t="shared" si="4"/>
        <v/>
      </c>
      <c r="G952" s="11"/>
      <c r="H952" s="11" t="str">
        <f>IF(E952="","",SUMIF(Estructuras!B:B,A952,Estructuras!E:E))</f>
        <v/>
      </c>
      <c r="I952" s="8" t="str">
        <f>IF(E952="","",IF(COUNTIF(Estructuras!F:F,E952)=0,"Falta Estructura",IF(COUNTIFS(Estructuras!F:F,E952,Estructuras!E:E,0)&gt;0,"Faltan Precios","OK")))</f>
        <v/>
      </c>
      <c r="J952" s="10" t="str">
        <f>IF(I952="Faltan Precios",COUNTIFS(Estructuras!B:B,A952,Estructuras!E:E,0),"")</f>
        <v/>
      </c>
      <c r="K952" s="8" t="str">
        <f t="shared" si="2"/>
        <v/>
      </c>
    </row>
    <row r="953">
      <c r="A953" s="4" t="str">
        <f t="shared" si="1"/>
        <v/>
      </c>
      <c r="F953" s="36" t="str">
        <f t="shared" si="4"/>
        <v/>
      </c>
      <c r="G953" s="11"/>
      <c r="H953" s="11" t="str">
        <f>IF(E953="","",SUMIF(Estructuras!B:B,A953,Estructuras!E:E))</f>
        <v/>
      </c>
      <c r="I953" s="8" t="str">
        <f>IF(E953="","",IF(COUNTIF(Estructuras!F:F,E953)=0,"Falta Estructura",IF(COUNTIFS(Estructuras!F:F,E953,Estructuras!E:E,0)&gt;0,"Faltan Precios","OK")))</f>
        <v/>
      </c>
      <c r="J953" s="10" t="str">
        <f>IF(I953="Faltan Precios",COUNTIFS(Estructuras!B:B,A953,Estructuras!E:E,0),"")</f>
        <v/>
      </c>
      <c r="K953" s="8" t="str">
        <f t="shared" si="2"/>
        <v/>
      </c>
    </row>
    <row r="954">
      <c r="A954" s="4" t="str">
        <f t="shared" si="1"/>
        <v/>
      </c>
      <c r="F954" s="36" t="str">
        <f t="shared" si="4"/>
        <v/>
      </c>
      <c r="G954" s="11"/>
      <c r="H954" s="11" t="str">
        <f>IF(E954="","",SUMIF(Estructuras!B:B,A954,Estructuras!E:E))</f>
        <v/>
      </c>
      <c r="I954" s="8" t="str">
        <f>IF(E954="","",IF(COUNTIF(Estructuras!F:F,E954)=0,"Falta Estructura",IF(COUNTIFS(Estructuras!F:F,E954,Estructuras!E:E,0)&gt;0,"Faltan Precios","OK")))</f>
        <v/>
      </c>
      <c r="J954" s="10" t="str">
        <f>IF(I954="Faltan Precios",COUNTIFS(Estructuras!B:B,A954,Estructuras!E:E,0),"")</f>
        <v/>
      </c>
      <c r="K954" s="8" t="str">
        <f t="shared" si="2"/>
        <v/>
      </c>
    </row>
    <row r="955">
      <c r="A955" s="4" t="str">
        <f t="shared" si="1"/>
        <v/>
      </c>
      <c r="F955" s="36" t="str">
        <f t="shared" si="4"/>
        <v/>
      </c>
      <c r="G955" s="11"/>
      <c r="H955" s="11" t="str">
        <f>IF(E955="","",SUMIF(Estructuras!B:B,A955,Estructuras!E:E))</f>
        <v/>
      </c>
      <c r="I955" s="8" t="str">
        <f>IF(E955="","",IF(COUNTIF(Estructuras!F:F,E955)=0,"Falta Estructura",IF(COUNTIFS(Estructuras!F:F,E955,Estructuras!E:E,0)&gt;0,"Faltan Precios","OK")))</f>
        <v/>
      </c>
      <c r="J955" s="10" t="str">
        <f>IF(I955="Faltan Precios",COUNTIFS(Estructuras!B:B,A955,Estructuras!E:E,0),"")</f>
        <v/>
      </c>
      <c r="K955" s="8" t="str">
        <f t="shared" si="2"/>
        <v/>
      </c>
    </row>
    <row r="956">
      <c r="A956" s="4" t="str">
        <f t="shared" si="1"/>
        <v/>
      </c>
      <c r="F956" s="36" t="str">
        <f t="shared" si="4"/>
        <v/>
      </c>
      <c r="G956" s="11"/>
      <c r="H956" s="11" t="str">
        <f>IF(E956="","",SUMIF(Estructuras!B:B,A956,Estructuras!E:E))</f>
        <v/>
      </c>
      <c r="I956" s="8" t="str">
        <f>IF(E956="","",IF(COUNTIF(Estructuras!F:F,E956)=0,"Falta Estructura",IF(COUNTIFS(Estructuras!F:F,E956,Estructuras!E:E,0)&gt;0,"Faltan Precios","OK")))</f>
        <v/>
      </c>
      <c r="J956" s="10" t="str">
        <f>IF(I956="Faltan Precios",COUNTIFS(Estructuras!B:B,A956,Estructuras!E:E,0),"")</f>
        <v/>
      </c>
      <c r="K956" s="8" t="str">
        <f t="shared" si="2"/>
        <v/>
      </c>
    </row>
    <row r="957">
      <c r="A957" s="4" t="str">
        <f t="shared" si="1"/>
        <v/>
      </c>
      <c r="F957" s="36" t="str">
        <f t="shared" si="4"/>
        <v/>
      </c>
      <c r="G957" s="11"/>
      <c r="H957" s="11" t="str">
        <f>IF(E957="","",SUMIF(Estructuras!B:B,A957,Estructuras!E:E))</f>
        <v/>
      </c>
      <c r="I957" s="8" t="str">
        <f>IF(E957="","",IF(COUNTIF(Estructuras!F:F,E957)=0,"Falta Estructura",IF(COUNTIFS(Estructuras!F:F,E957,Estructuras!E:E,0)&gt;0,"Faltan Precios","OK")))</f>
        <v/>
      </c>
      <c r="J957" s="10" t="str">
        <f>IF(I957="Faltan Precios",COUNTIFS(Estructuras!B:B,A957,Estructuras!E:E,0),"")</f>
        <v/>
      </c>
      <c r="K957" s="8" t="str">
        <f t="shared" si="2"/>
        <v/>
      </c>
    </row>
    <row r="958">
      <c r="A958" s="4" t="str">
        <f t="shared" si="1"/>
        <v/>
      </c>
      <c r="F958" s="36" t="str">
        <f t="shared" si="4"/>
        <v/>
      </c>
      <c r="G958" s="11"/>
      <c r="H958" s="11" t="str">
        <f>IF(E958="","",SUMIF(Estructuras!B:B,A958,Estructuras!E:E))</f>
        <v/>
      </c>
      <c r="I958" s="8" t="str">
        <f>IF(E958="","",IF(COUNTIF(Estructuras!F:F,E958)=0,"Falta Estructura",IF(COUNTIFS(Estructuras!F:F,E958,Estructuras!E:E,0)&gt;0,"Faltan Precios","OK")))</f>
        <v/>
      </c>
      <c r="J958" s="10" t="str">
        <f>IF(I958="Faltan Precios",COUNTIFS(Estructuras!B:B,A958,Estructuras!E:E,0),"")</f>
        <v/>
      </c>
      <c r="K958" s="8" t="str">
        <f t="shared" si="2"/>
        <v/>
      </c>
    </row>
    <row r="959">
      <c r="A959" s="4" t="str">
        <f t="shared" si="1"/>
        <v/>
      </c>
      <c r="F959" s="36" t="str">
        <f t="shared" si="4"/>
        <v/>
      </c>
      <c r="G959" s="11"/>
      <c r="H959" s="11" t="str">
        <f>IF(E959="","",SUMIF(Estructuras!B:B,A959,Estructuras!E:E))</f>
        <v/>
      </c>
      <c r="I959" s="8" t="str">
        <f>IF(E959="","",IF(COUNTIF(Estructuras!F:F,E959)=0,"Falta Estructura",IF(COUNTIFS(Estructuras!F:F,E959,Estructuras!E:E,0)&gt;0,"Faltan Precios","OK")))</f>
        <v/>
      </c>
      <c r="J959" s="10" t="str">
        <f>IF(I959="Faltan Precios",COUNTIFS(Estructuras!B:B,A959,Estructuras!E:E,0),"")</f>
        <v/>
      </c>
      <c r="K959" s="8" t="str">
        <f t="shared" si="2"/>
        <v/>
      </c>
    </row>
    <row r="960">
      <c r="A960" s="4" t="str">
        <f t="shared" si="1"/>
        <v/>
      </c>
      <c r="F960" s="36" t="str">
        <f t="shared" si="4"/>
        <v/>
      </c>
      <c r="G960" s="11"/>
      <c r="H960" s="11" t="str">
        <f>IF(E960="","",SUMIF(Estructuras!B:B,A960,Estructuras!E:E))</f>
        <v/>
      </c>
      <c r="I960" s="8" t="str">
        <f>IF(E960="","",IF(COUNTIF(Estructuras!F:F,E960)=0,"Falta Estructura",IF(COUNTIFS(Estructuras!F:F,E960,Estructuras!E:E,0)&gt;0,"Faltan Precios","OK")))</f>
        <v/>
      </c>
      <c r="J960" s="10" t="str">
        <f>IF(I960="Faltan Precios",COUNTIFS(Estructuras!B:B,A960,Estructuras!E:E,0),"")</f>
        <v/>
      </c>
      <c r="K960" s="8" t="str">
        <f t="shared" si="2"/>
        <v/>
      </c>
    </row>
    <row r="961">
      <c r="A961" s="4" t="str">
        <f t="shared" si="1"/>
        <v/>
      </c>
      <c r="F961" s="36" t="str">
        <f t="shared" si="4"/>
        <v/>
      </c>
      <c r="G961" s="11"/>
      <c r="H961" s="11" t="str">
        <f>IF(E961="","",SUMIF(Estructuras!B:B,A961,Estructuras!E:E))</f>
        <v/>
      </c>
      <c r="I961" s="8" t="str">
        <f>IF(E961="","",IF(COUNTIF(Estructuras!F:F,E961)=0,"Falta Estructura",IF(COUNTIFS(Estructuras!F:F,E961,Estructuras!E:E,0)&gt;0,"Faltan Precios","OK")))</f>
        <v/>
      </c>
      <c r="J961" s="10" t="str">
        <f>IF(I961="Faltan Precios",COUNTIFS(Estructuras!B:B,A961,Estructuras!E:E,0),"")</f>
        <v/>
      </c>
      <c r="K961" s="8" t="str">
        <f t="shared" si="2"/>
        <v/>
      </c>
    </row>
    <row r="962">
      <c r="A962" s="4" t="str">
        <f t="shared" si="1"/>
        <v/>
      </c>
      <c r="F962" s="36" t="str">
        <f t="shared" si="4"/>
        <v/>
      </c>
      <c r="G962" s="11"/>
      <c r="H962" s="11" t="str">
        <f>IF(E962="","",SUMIF(Estructuras!B:B,A962,Estructuras!E:E))</f>
        <v/>
      </c>
      <c r="I962" s="8" t="str">
        <f>IF(E962="","",IF(COUNTIF(Estructuras!F:F,E962)=0,"Falta Estructura",IF(COUNTIFS(Estructuras!F:F,E962,Estructuras!E:E,0)&gt;0,"Faltan Precios","OK")))</f>
        <v/>
      </c>
      <c r="J962" s="10" t="str">
        <f>IF(I962="Faltan Precios",COUNTIFS(Estructuras!B:B,A962,Estructuras!E:E,0),"")</f>
        <v/>
      </c>
      <c r="K962" s="8" t="str">
        <f t="shared" si="2"/>
        <v/>
      </c>
    </row>
    <row r="963">
      <c r="A963" s="4" t="str">
        <f t="shared" si="1"/>
        <v/>
      </c>
      <c r="F963" s="36" t="str">
        <f t="shared" si="4"/>
        <v/>
      </c>
      <c r="G963" s="11"/>
      <c r="H963" s="11" t="str">
        <f>IF(E963="","",SUMIF(Estructuras!B:B,A963,Estructuras!E:E))</f>
        <v/>
      </c>
      <c r="I963" s="8" t="str">
        <f>IF(E963="","",IF(COUNTIF(Estructuras!F:F,E963)=0,"Falta Estructura",IF(COUNTIFS(Estructuras!F:F,E963,Estructuras!E:E,0)&gt;0,"Faltan Precios","OK")))</f>
        <v/>
      </c>
      <c r="J963" s="10" t="str">
        <f>IF(I963="Faltan Precios",COUNTIFS(Estructuras!B:B,A963,Estructuras!E:E,0),"")</f>
        <v/>
      </c>
      <c r="K963" s="8" t="str">
        <f t="shared" si="2"/>
        <v/>
      </c>
    </row>
    <row r="964">
      <c r="A964" s="4" t="str">
        <f t="shared" si="1"/>
        <v/>
      </c>
      <c r="F964" s="36" t="str">
        <f t="shared" si="4"/>
        <v/>
      </c>
      <c r="G964" s="11"/>
      <c r="H964" s="11" t="str">
        <f>IF(E964="","",SUMIF(Estructuras!B:B,A964,Estructuras!E:E))</f>
        <v/>
      </c>
      <c r="I964" s="8" t="str">
        <f>IF(E964="","",IF(COUNTIF(Estructuras!F:F,E964)=0,"Falta Estructura",IF(COUNTIFS(Estructuras!F:F,E964,Estructuras!E:E,0)&gt;0,"Faltan Precios","OK")))</f>
        <v/>
      </c>
      <c r="J964" s="10" t="str">
        <f>IF(I964="Faltan Precios",COUNTIFS(Estructuras!B:B,A964,Estructuras!E:E,0),"")</f>
        <v/>
      </c>
      <c r="K964" s="8" t="str">
        <f t="shared" si="2"/>
        <v/>
      </c>
    </row>
    <row r="965">
      <c r="A965" s="4" t="str">
        <f t="shared" si="1"/>
        <v/>
      </c>
      <c r="F965" s="36" t="str">
        <f t="shared" si="4"/>
        <v/>
      </c>
      <c r="G965" s="11"/>
      <c r="H965" s="11" t="str">
        <f>IF(E965="","",SUMIF(Estructuras!B:B,A965,Estructuras!E:E))</f>
        <v/>
      </c>
      <c r="I965" s="8" t="str">
        <f>IF(E965="","",IF(COUNTIF(Estructuras!F:F,E965)=0,"Falta Estructura",IF(COUNTIFS(Estructuras!F:F,E965,Estructuras!E:E,0)&gt;0,"Faltan Precios","OK")))</f>
        <v/>
      </c>
      <c r="J965" s="10" t="str">
        <f>IF(I965="Faltan Precios",COUNTIFS(Estructuras!B:B,A965,Estructuras!E:E,0),"")</f>
        <v/>
      </c>
      <c r="K965" s="8" t="str">
        <f t="shared" si="2"/>
        <v/>
      </c>
    </row>
    <row r="966">
      <c r="A966" s="4" t="str">
        <f t="shared" si="1"/>
        <v/>
      </c>
      <c r="F966" s="36" t="str">
        <f t="shared" si="4"/>
        <v/>
      </c>
      <c r="G966" s="11"/>
      <c r="H966" s="11" t="str">
        <f>IF(E966="","",SUMIF(Estructuras!B:B,A966,Estructuras!E:E))</f>
        <v/>
      </c>
      <c r="I966" s="8" t="str">
        <f>IF(E966="","",IF(COUNTIF(Estructuras!F:F,E966)=0,"Falta Estructura",IF(COUNTIFS(Estructuras!F:F,E966,Estructuras!E:E,0)&gt;0,"Faltan Precios","OK")))</f>
        <v/>
      </c>
      <c r="J966" s="10" t="str">
        <f>IF(I966="Faltan Precios",COUNTIFS(Estructuras!B:B,A966,Estructuras!E:E,0),"")</f>
        <v/>
      </c>
      <c r="K966" s="8" t="str">
        <f t="shared" si="2"/>
        <v/>
      </c>
    </row>
    <row r="967">
      <c r="A967" s="4" t="str">
        <f t="shared" si="1"/>
        <v/>
      </c>
      <c r="F967" s="36" t="str">
        <f t="shared" si="4"/>
        <v/>
      </c>
      <c r="G967" s="11"/>
      <c r="H967" s="11" t="str">
        <f>IF(E967="","",SUMIF(Estructuras!B:B,A967,Estructuras!E:E))</f>
        <v/>
      </c>
      <c r="I967" s="8" t="str">
        <f>IF(E967="","",IF(COUNTIF(Estructuras!F:F,E967)=0,"Falta Estructura",IF(COUNTIFS(Estructuras!F:F,E967,Estructuras!E:E,0)&gt;0,"Faltan Precios","OK")))</f>
        <v/>
      </c>
      <c r="J967" s="10" t="str">
        <f>IF(I967="Faltan Precios",COUNTIFS(Estructuras!B:B,A967,Estructuras!E:E,0),"")</f>
        <v/>
      </c>
      <c r="K967" s="8" t="str">
        <f t="shared" si="2"/>
        <v/>
      </c>
    </row>
    <row r="968">
      <c r="A968" s="4" t="str">
        <f t="shared" si="1"/>
        <v/>
      </c>
      <c r="F968" s="36" t="str">
        <f t="shared" si="4"/>
        <v/>
      </c>
      <c r="G968" s="11"/>
      <c r="H968" s="11" t="str">
        <f>IF(E968="","",SUMIF(Estructuras!B:B,A968,Estructuras!E:E))</f>
        <v/>
      </c>
      <c r="I968" s="8" t="str">
        <f>IF(E968="","",IF(COUNTIF(Estructuras!F:F,E968)=0,"Falta Estructura",IF(COUNTIFS(Estructuras!F:F,E968,Estructuras!E:E,0)&gt;0,"Faltan Precios","OK")))</f>
        <v/>
      </c>
      <c r="J968" s="10" t="str">
        <f>IF(I968="Faltan Precios",COUNTIFS(Estructuras!B:B,A968,Estructuras!E:E,0),"")</f>
        <v/>
      </c>
      <c r="K968" s="8" t="str">
        <f t="shared" si="2"/>
        <v/>
      </c>
    </row>
    <row r="969">
      <c r="A969" s="4" t="str">
        <f t="shared" si="1"/>
        <v/>
      </c>
      <c r="F969" s="36" t="str">
        <f t="shared" si="4"/>
        <v/>
      </c>
      <c r="G969" s="11"/>
      <c r="H969" s="11" t="str">
        <f>IF(E969="","",SUMIF(Estructuras!B:B,A969,Estructuras!E:E))</f>
        <v/>
      </c>
      <c r="I969" s="8" t="str">
        <f>IF(E969="","",IF(COUNTIF(Estructuras!F:F,E969)=0,"Falta Estructura",IF(COUNTIFS(Estructuras!F:F,E969,Estructuras!E:E,0)&gt;0,"Faltan Precios","OK")))</f>
        <v/>
      </c>
      <c r="J969" s="10" t="str">
        <f>IF(I969="Faltan Precios",COUNTIFS(Estructuras!B:B,A969,Estructuras!E:E,0),"")</f>
        <v/>
      </c>
      <c r="K969" s="8" t="str">
        <f t="shared" si="2"/>
        <v/>
      </c>
    </row>
    <row r="970">
      <c r="A970" s="4" t="str">
        <f t="shared" si="1"/>
        <v/>
      </c>
      <c r="F970" s="36" t="str">
        <f t="shared" si="4"/>
        <v/>
      </c>
      <c r="G970" s="11"/>
      <c r="H970" s="11" t="str">
        <f>IF(E970="","",SUMIF(Estructuras!B:B,A970,Estructuras!E:E))</f>
        <v/>
      </c>
      <c r="I970" s="8" t="str">
        <f>IF(E970="","",IF(COUNTIF(Estructuras!F:F,E970)=0,"Falta Estructura",IF(COUNTIFS(Estructuras!F:F,E970,Estructuras!E:E,0)&gt;0,"Faltan Precios","OK")))</f>
        <v/>
      </c>
      <c r="J970" s="10" t="str">
        <f>IF(I970="Faltan Precios",COUNTIFS(Estructuras!B:B,A970,Estructuras!E:E,0),"")</f>
        <v/>
      </c>
      <c r="K970" s="8" t="str">
        <f t="shared" si="2"/>
        <v/>
      </c>
    </row>
    <row r="971">
      <c r="A971" s="4" t="str">
        <f t="shared" si="1"/>
        <v/>
      </c>
      <c r="F971" s="36" t="str">
        <f t="shared" si="4"/>
        <v/>
      </c>
      <c r="G971" s="11"/>
      <c r="H971" s="11" t="str">
        <f>IF(E971="","",SUMIF(Estructuras!B:B,A971,Estructuras!E:E))</f>
        <v/>
      </c>
      <c r="I971" s="8" t="str">
        <f>IF(E971="","",IF(COUNTIF(Estructuras!F:F,E971)=0,"Falta Estructura",IF(COUNTIFS(Estructuras!F:F,E971,Estructuras!E:E,0)&gt;0,"Faltan Precios","OK")))</f>
        <v/>
      </c>
      <c r="J971" s="10" t="str">
        <f>IF(I971="Faltan Precios",COUNTIFS(Estructuras!B:B,A971,Estructuras!E:E,0),"")</f>
        <v/>
      </c>
      <c r="K971" s="8" t="str">
        <f t="shared" si="2"/>
        <v/>
      </c>
    </row>
    <row r="972">
      <c r="A972" s="4" t="str">
        <f t="shared" si="1"/>
        <v/>
      </c>
      <c r="F972" s="36" t="str">
        <f t="shared" si="4"/>
        <v/>
      </c>
      <c r="G972" s="11"/>
      <c r="H972" s="11" t="str">
        <f>IF(E972="","",SUMIF(Estructuras!B:B,A972,Estructuras!E:E))</f>
        <v/>
      </c>
      <c r="I972" s="8" t="str">
        <f>IF(E972="","",IF(COUNTIF(Estructuras!F:F,E972)=0,"Falta Estructura",IF(COUNTIFS(Estructuras!F:F,E972,Estructuras!E:E,0)&gt;0,"Faltan Precios","OK")))</f>
        <v/>
      </c>
      <c r="J972" s="10" t="str">
        <f>IF(I972="Faltan Precios",COUNTIFS(Estructuras!B:B,A972,Estructuras!E:E,0),"")</f>
        <v/>
      </c>
      <c r="K972" s="8" t="str">
        <f t="shared" si="2"/>
        <v/>
      </c>
    </row>
    <row r="973">
      <c r="A973" s="4" t="str">
        <f t="shared" si="1"/>
        <v/>
      </c>
      <c r="F973" s="36" t="str">
        <f t="shared" si="4"/>
        <v/>
      </c>
      <c r="G973" s="11"/>
      <c r="H973" s="11" t="str">
        <f>IF(E973="","",SUMIF(Estructuras!B:B,A973,Estructuras!E:E))</f>
        <v/>
      </c>
      <c r="I973" s="8" t="str">
        <f>IF(E973="","",IF(COUNTIF(Estructuras!F:F,E973)=0,"Falta Estructura",IF(COUNTIFS(Estructuras!F:F,E973,Estructuras!E:E,0)&gt;0,"Faltan Precios","OK")))</f>
        <v/>
      </c>
      <c r="J973" s="10" t="str">
        <f>IF(I973="Faltan Precios",COUNTIFS(Estructuras!B:B,A973,Estructuras!E:E,0),"")</f>
        <v/>
      </c>
      <c r="K973" s="8" t="str">
        <f t="shared" si="2"/>
        <v/>
      </c>
    </row>
    <row r="974">
      <c r="A974" s="4" t="str">
        <f t="shared" si="1"/>
        <v/>
      </c>
      <c r="F974" s="36" t="str">
        <f t="shared" si="4"/>
        <v/>
      </c>
      <c r="G974" s="11"/>
      <c r="H974" s="11" t="str">
        <f>IF(E974="","",SUMIF(Estructuras!B:B,A974,Estructuras!E:E))</f>
        <v/>
      </c>
      <c r="I974" s="8" t="str">
        <f>IF(E974="","",IF(COUNTIF(Estructuras!F:F,E974)=0,"Falta Estructura",IF(COUNTIFS(Estructuras!F:F,E974,Estructuras!E:E,0)&gt;0,"Faltan Precios","OK")))</f>
        <v/>
      </c>
      <c r="J974" s="10" t="str">
        <f>IF(I974="Faltan Precios",COUNTIFS(Estructuras!B:B,A974,Estructuras!E:E,0),"")</f>
        <v/>
      </c>
      <c r="K974" s="8" t="str">
        <f t="shared" si="2"/>
        <v/>
      </c>
    </row>
    <row r="975">
      <c r="A975" s="4" t="str">
        <f t="shared" si="1"/>
        <v/>
      </c>
      <c r="F975" s="36" t="str">
        <f t="shared" si="4"/>
        <v/>
      </c>
      <c r="G975" s="11"/>
      <c r="H975" s="11" t="str">
        <f>IF(E975="","",SUMIF(Estructuras!B:B,A975,Estructuras!E:E))</f>
        <v/>
      </c>
      <c r="I975" s="8" t="str">
        <f>IF(E975="","",IF(COUNTIF(Estructuras!F:F,E975)=0,"Falta Estructura",IF(COUNTIFS(Estructuras!F:F,E975,Estructuras!E:E,0)&gt;0,"Faltan Precios","OK")))</f>
        <v/>
      </c>
      <c r="J975" s="10" t="str">
        <f>IF(I975="Faltan Precios",COUNTIFS(Estructuras!B:B,A975,Estructuras!E:E,0),"")</f>
        <v/>
      </c>
      <c r="K975" s="8" t="str">
        <f t="shared" si="2"/>
        <v/>
      </c>
    </row>
    <row r="976">
      <c r="A976" s="4" t="str">
        <f t="shared" si="1"/>
        <v/>
      </c>
      <c r="F976" s="36" t="str">
        <f t="shared" si="4"/>
        <v/>
      </c>
      <c r="G976" s="11"/>
      <c r="H976" s="11" t="str">
        <f>IF(E976="","",SUMIF(Estructuras!B:B,A976,Estructuras!E:E))</f>
        <v/>
      </c>
      <c r="I976" s="8" t="str">
        <f>IF(E976="","",IF(COUNTIF(Estructuras!F:F,E976)=0,"Falta Estructura",IF(COUNTIFS(Estructuras!F:F,E976,Estructuras!E:E,0)&gt;0,"Faltan Precios","OK")))</f>
        <v/>
      </c>
      <c r="J976" s="10" t="str">
        <f>IF(I976="Faltan Precios",COUNTIFS(Estructuras!B:B,A976,Estructuras!E:E,0),"")</f>
        <v/>
      </c>
      <c r="K976" s="8" t="str">
        <f t="shared" si="2"/>
        <v/>
      </c>
    </row>
    <row r="977">
      <c r="A977" s="4" t="str">
        <f t="shared" si="1"/>
        <v/>
      </c>
      <c r="F977" s="36" t="str">
        <f t="shared" si="4"/>
        <v/>
      </c>
      <c r="G977" s="11"/>
      <c r="H977" s="11" t="str">
        <f>IF(E977="","",SUMIF(Estructuras!B:B,A977,Estructuras!E:E))</f>
        <v/>
      </c>
      <c r="I977" s="8" t="str">
        <f>IF(E977="","",IF(COUNTIF(Estructuras!F:F,E977)=0,"Falta Estructura",IF(COUNTIFS(Estructuras!F:F,E977,Estructuras!E:E,0)&gt;0,"Faltan Precios","OK")))</f>
        <v/>
      </c>
      <c r="J977" s="10" t="str">
        <f>IF(I977="Faltan Precios",COUNTIFS(Estructuras!B:B,A977,Estructuras!E:E,0),"")</f>
        <v/>
      </c>
      <c r="K977" s="8" t="str">
        <f t="shared" si="2"/>
        <v/>
      </c>
    </row>
    <row r="978">
      <c r="A978" s="4" t="str">
        <f t="shared" si="1"/>
        <v/>
      </c>
      <c r="F978" s="36" t="str">
        <f t="shared" si="4"/>
        <v/>
      </c>
      <c r="G978" s="11"/>
      <c r="H978" s="11" t="str">
        <f>IF(E978="","",SUMIF(Estructuras!B:B,A978,Estructuras!E:E))</f>
        <v/>
      </c>
      <c r="I978" s="8" t="str">
        <f>IF(E978="","",IF(COUNTIF(Estructuras!F:F,E978)=0,"Falta Estructura",IF(COUNTIFS(Estructuras!F:F,E978,Estructuras!E:E,0)&gt;0,"Faltan Precios","OK")))</f>
        <v/>
      </c>
      <c r="J978" s="10" t="str">
        <f>IF(I978="Faltan Precios",COUNTIFS(Estructuras!B:B,A978,Estructuras!E:E,0),"")</f>
        <v/>
      </c>
      <c r="K978" s="8" t="str">
        <f t="shared" si="2"/>
        <v/>
      </c>
    </row>
    <row r="979">
      <c r="A979" s="4" t="str">
        <f t="shared" si="1"/>
        <v/>
      </c>
      <c r="F979" s="36" t="str">
        <f t="shared" si="4"/>
        <v/>
      </c>
      <c r="G979" s="11"/>
      <c r="H979" s="11" t="str">
        <f>IF(E979="","",SUMIF(Estructuras!B:B,A979,Estructuras!E:E))</f>
        <v/>
      </c>
      <c r="I979" s="8" t="str">
        <f>IF(E979="","",IF(COUNTIF(Estructuras!F:F,E979)=0,"Falta Estructura",IF(COUNTIFS(Estructuras!F:F,E979,Estructuras!E:E,0)&gt;0,"Faltan Precios","OK")))</f>
        <v/>
      </c>
      <c r="J979" s="10" t="str">
        <f>IF(I979="Faltan Precios",COUNTIFS(Estructuras!B:B,A979,Estructuras!E:E,0),"")</f>
        <v/>
      </c>
      <c r="K979" s="8" t="str">
        <f t="shared" si="2"/>
        <v/>
      </c>
    </row>
    <row r="980">
      <c r="A980" s="4" t="str">
        <f t="shared" si="1"/>
        <v/>
      </c>
      <c r="F980" s="36" t="str">
        <f t="shared" si="4"/>
        <v/>
      </c>
      <c r="G980" s="11"/>
      <c r="H980" s="11" t="str">
        <f>IF(E980="","",SUMIF(Estructuras!B:B,A980,Estructuras!E:E))</f>
        <v/>
      </c>
      <c r="I980" s="8" t="str">
        <f>IF(E980="","",IF(COUNTIF(Estructuras!F:F,E980)=0,"Falta Estructura",IF(COUNTIFS(Estructuras!F:F,E980,Estructuras!E:E,0)&gt;0,"Faltan Precios","OK")))</f>
        <v/>
      </c>
      <c r="J980" s="10" t="str">
        <f>IF(I980="Faltan Precios",COUNTIFS(Estructuras!B:B,A980,Estructuras!E:E,0),"")</f>
        <v/>
      </c>
      <c r="K980" s="8" t="str">
        <f t="shared" si="2"/>
        <v/>
      </c>
    </row>
    <row r="981">
      <c r="A981" s="4" t="str">
        <f t="shared" si="1"/>
        <v/>
      </c>
      <c r="F981" s="36" t="str">
        <f t="shared" si="4"/>
        <v/>
      </c>
      <c r="G981" s="11"/>
      <c r="H981" s="11" t="str">
        <f>IF(E981="","",SUMIF(Estructuras!B:B,A981,Estructuras!E:E))</f>
        <v/>
      </c>
      <c r="I981" s="8" t="str">
        <f>IF(E981="","",IF(COUNTIF(Estructuras!F:F,E981)=0,"Falta Estructura",IF(COUNTIFS(Estructuras!F:F,E981,Estructuras!E:E,0)&gt;0,"Faltan Precios","OK")))</f>
        <v/>
      </c>
      <c r="J981" s="10" t="str">
        <f>IF(I981="Faltan Precios",COUNTIFS(Estructuras!B:B,A981,Estructuras!E:E,0),"")</f>
        <v/>
      </c>
      <c r="K981" s="8" t="str">
        <f t="shared" si="2"/>
        <v/>
      </c>
    </row>
    <row r="982">
      <c r="A982" s="4" t="str">
        <f t="shared" si="1"/>
        <v/>
      </c>
      <c r="F982" s="36" t="str">
        <f t="shared" si="4"/>
        <v/>
      </c>
      <c r="G982" s="11"/>
      <c r="H982" s="11" t="str">
        <f>IF(E982="","",SUMIF(Estructuras!B:B,A982,Estructuras!E:E))</f>
        <v/>
      </c>
      <c r="I982" s="8" t="str">
        <f>IF(E982="","",IF(COUNTIF(Estructuras!F:F,E982)=0,"Falta Estructura",IF(COUNTIFS(Estructuras!F:F,E982,Estructuras!E:E,0)&gt;0,"Faltan Precios","OK")))</f>
        <v/>
      </c>
      <c r="J982" s="10" t="str">
        <f>IF(I982="Faltan Precios",COUNTIFS(Estructuras!B:B,A982,Estructuras!E:E,0),"")</f>
        <v/>
      </c>
      <c r="K982" s="8" t="str">
        <f t="shared" si="2"/>
        <v/>
      </c>
    </row>
    <row r="983">
      <c r="A983" s="4" t="str">
        <f t="shared" si="1"/>
        <v/>
      </c>
      <c r="F983" s="36" t="str">
        <f t="shared" si="4"/>
        <v/>
      </c>
      <c r="G983" s="11"/>
      <c r="H983" s="11" t="str">
        <f>IF(E983="","",SUMIF(Estructuras!B:B,A983,Estructuras!E:E))</f>
        <v/>
      </c>
      <c r="I983" s="8" t="str">
        <f>IF(E983="","",IF(COUNTIF(Estructuras!F:F,E983)=0,"Falta Estructura",IF(COUNTIFS(Estructuras!F:F,E983,Estructuras!E:E,0)&gt;0,"Faltan Precios","OK")))</f>
        <v/>
      </c>
      <c r="J983" s="10" t="str">
        <f>IF(I983="Faltan Precios",COUNTIFS(Estructuras!B:B,A983,Estructuras!E:E,0),"")</f>
        <v/>
      </c>
      <c r="K983" s="8" t="str">
        <f t="shared" si="2"/>
        <v/>
      </c>
    </row>
    <row r="984">
      <c r="A984" s="4" t="str">
        <f t="shared" si="1"/>
        <v/>
      </c>
      <c r="F984" s="36" t="str">
        <f t="shared" si="4"/>
        <v/>
      </c>
      <c r="G984" s="11"/>
      <c r="H984" s="11" t="str">
        <f>IF(E984="","",SUMIF(Estructuras!B:B,A984,Estructuras!E:E))</f>
        <v/>
      </c>
      <c r="I984" s="8" t="str">
        <f>IF(E984="","",IF(COUNTIF(Estructuras!F:F,E984)=0,"Falta Estructura",IF(COUNTIFS(Estructuras!F:F,E984,Estructuras!E:E,0)&gt;0,"Faltan Precios","OK")))</f>
        <v/>
      </c>
      <c r="J984" s="10" t="str">
        <f>IF(I984="Faltan Precios",COUNTIFS(Estructuras!B:B,A984,Estructuras!E:E,0),"")</f>
        <v/>
      </c>
      <c r="K984" s="8" t="str">
        <f t="shared" si="2"/>
        <v/>
      </c>
    </row>
    <row r="985">
      <c r="A985" s="4" t="str">
        <f t="shared" si="1"/>
        <v/>
      </c>
      <c r="F985" s="36" t="str">
        <f t="shared" si="4"/>
        <v/>
      </c>
      <c r="G985" s="11"/>
      <c r="H985" s="11" t="str">
        <f>IF(E985="","",SUMIF(Estructuras!B:B,A985,Estructuras!E:E))</f>
        <v/>
      </c>
      <c r="I985" s="8" t="str">
        <f>IF(E985="","",IF(COUNTIF(Estructuras!F:F,E985)=0,"Falta Estructura",IF(COUNTIFS(Estructuras!F:F,E985,Estructuras!E:E,0)&gt;0,"Faltan Precios","OK")))</f>
        <v/>
      </c>
      <c r="J985" s="10" t="str">
        <f>IF(I985="Faltan Precios",COUNTIFS(Estructuras!B:B,A985,Estructuras!E:E,0),"")</f>
        <v/>
      </c>
      <c r="K985" s="8" t="str">
        <f t="shared" si="2"/>
        <v/>
      </c>
    </row>
    <row r="986">
      <c r="A986" s="4" t="str">
        <f t="shared" si="1"/>
        <v/>
      </c>
      <c r="F986" s="36" t="str">
        <f t="shared" si="4"/>
        <v/>
      </c>
      <c r="G986" s="11"/>
      <c r="H986" s="11" t="str">
        <f>IF(E986="","",SUMIF(Estructuras!B:B,A986,Estructuras!E:E))</f>
        <v/>
      </c>
      <c r="I986" s="8" t="str">
        <f>IF(E986="","",IF(COUNTIF(Estructuras!F:F,E986)=0,"Falta Estructura",IF(COUNTIFS(Estructuras!F:F,E986,Estructuras!E:E,0)&gt;0,"Faltan Precios","OK")))</f>
        <v/>
      </c>
      <c r="J986" s="10" t="str">
        <f>IF(I986="Faltan Precios",COUNTIFS(Estructuras!B:B,A986,Estructuras!E:E,0),"")</f>
        <v/>
      </c>
      <c r="K986" s="8" t="str">
        <f t="shared" si="2"/>
        <v/>
      </c>
    </row>
    <row r="987">
      <c r="A987" s="4" t="str">
        <f t="shared" si="1"/>
        <v/>
      </c>
      <c r="F987" s="36" t="str">
        <f t="shared" si="4"/>
        <v/>
      </c>
      <c r="G987" s="11"/>
      <c r="H987" s="11" t="str">
        <f>IF(E987="","",SUMIF(Estructuras!B:B,A987,Estructuras!E:E))</f>
        <v/>
      </c>
      <c r="I987" s="8" t="str">
        <f>IF(E987="","",IF(COUNTIF(Estructuras!F:F,E987)=0,"Falta Estructura",IF(COUNTIFS(Estructuras!F:F,E987,Estructuras!E:E,0)&gt;0,"Faltan Precios","OK")))</f>
        <v/>
      </c>
      <c r="J987" s="10" t="str">
        <f>IF(I987="Faltan Precios",COUNTIFS(Estructuras!B:B,A987,Estructuras!E:E,0),"")</f>
        <v/>
      </c>
      <c r="K987" s="8" t="str">
        <f t="shared" si="2"/>
        <v/>
      </c>
    </row>
    <row r="988">
      <c r="A988" s="4" t="str">
        <f t="shared" si="1"/>
        <v/>
      </c>
      <c r="F988" s="36" t="str">
        <f t="shared" si="4"/>
        <v/>
      </c>
      <c r="G988" s="11"/>
      <c r="H988" s="11" t="str">
        <f>IF(E988="","",SUMIF(Estructuras!B:B,A988,Estructuras!E:E))</f>
        <v/>
      </c>
      <c r="I988" s="8" t="str">
        <f>IF(E988="","",IF(COUNTIF(Estructuras!F:F,E988)=0,"Falta Estructura",IF(COUNTIFS(Estructuras!F:F,E988,Estructuras!E:E,0)&gt;0,"Faltan Precios","OK")))</f>
        <v/>
      </c>
      <c r="J988" s="10" t="str">
        <f>IF(I988="Faltan Precios",COUNTIFS(Estructuras!B:B,A988,Estructuras!E:E,0),"")</f>
        <v/>
      </c>
      <c r="K988" s="8" t="str">
        <f t="shared" si="2"/>
        <v/>
      </c>
    </row>
    <row r="989">
      <c r="A989" s="4" t="str">
        <f t="shared" si="1"/>
        <v/>
      </c>
      <c r="F989" s="36" t="str">
        <f t="shared" si="4"/>
        <v/>
      </c>
      <c r="G989" s="11"/>
      <c r="H989" s="11" t="str">
        <f>IF(E989="","",SUMIF(Estructuras!B:B,A989,Estructuras!E:E))</f>
        <v/>
      </c>
      <c r="I989" s="8" t="str">
        <f>IF(E989="","",IF(COUNTIF(Estructuras!F:F,E989)=0,"Falta Estructura",IF(COUNTIFS(Estructuras!F:F,E989,Estructuras!E:E,0)&gt;0,"Faltan Precios","OK")))</f>
        <v/>
      </c>
      <c r="J989" s="10" t="str">
        <f>IF(I989="Faltan Precios",COUNTIFS(Estructuras!B:B,A989,Estructuras!E:E,0),"")</f>
        <v/>
      </c>
      <c r="K989" s="8" t="str">
        <f t="shared" si="2"/>
        <v/>
      </c>
    </row>
    <row r="990">
      <c r="A990" s="4" t="str">
        <f t="shared" si="1"/>
        <v/>
      </c>
      <c r="F990" s="36" t="str">
        <f t="shared" si="4"/>
        <v/>
      </c>
      <c r="G990" s="11"/>
      <c r="H990" s="11" t="str">
        <f>IF(E990="","",SUMIF(Estructuras!B:B,A990,Estructuras!E:E))</f>
        <v/>
      </c>
      <c r="I990" s="8" t="str">
        <f>IF(E990="","",IF(COUNTIF(Estructuras!F:F,E990)=0,"Falta Estructura",IF(COUNTIFS(Estructuras!F:F,E990,Estructuras!E:E,0)&gt;0,"Faltan Precios","OK")))</f>
        <v/>
      </c>
      <c r="J990" s="10" t="str">
        <f>IF(I990="Faltan Precios",COUNTIFS(Estructuras!B:B,A990,Estructuras!E:E,0),"")</f>
        <v/>
      </c>
      <c r="K990" s="8" t="str">
        <f t="shared" si="2"/>
        <v/>
      </c>
    </row>
    <row r="991">
      <c r="A991" s="4" t="str">
        <f t="shared" si="1"/>
        <v/>
      </c>
      <c r="F991" s="36" t="str">
        <f t="shared" si="4"/>
        <v/>
      </c>
      <c r="G991" s="11"/>
      <c r="H991" s="11" t="str">
        <f>IF(E991="","",SUMIF(Estructuras!B:B,A991,Estructuras!E:E))</f>
        <v/>
      </c>
      <c r="I991" s="8" t="str">
        <f>IF(E991="","",IF(COUNTIF(Estructuras!F:F,E991)=0,"Falta Estructura",IF(COUNTIFS(Estructuras!F:F,E991,Estructuras!E:E,0)&gt;0,"Faltan Precios","OK")))</f>
        <v/>
      </c>
      <c r="J991" s="10" t="str">
        <f>IF(I991="Faltan Precios",COUNTIFS(Estructuras!B:B,A991,Estructuras!E:E,0),"")</f>
        <v/>
      </c>
      <c r="K991" s="8" t="str">
        <f t="shared" si="2"/>
        <v/>
      </c>
    </row>
    <row r="992">
      <c r="A992" s="4" t="str">
        <f t="shared" si="1"/>
        <v/>
      </c>
      <c r="F992" s="36" t="str">
        <f t="shared" si="4"/>
        <v/>
      </c>
      <c r="G992" s="11"/>
      <c r="H992" s="11" t="str">
        <f>IF(E992="","",SUMIF(Estructuras!B:B,A992,Estructuras!E:E))</f>
        <v/>
      </c>
      <c r="I992" s="8" t="str">
        <f>IF(E992="","",IF(COUNTIF(Estructuras!F:F,E992)=0,"Falta Estructura",IF(COUNTIFS(Estructuras!F:F,E992,Estructuras!E:E,0)&gt;0,"Faltan Precios","OK")))</f>
        <v/>
      </c>
      <c r="J992" s="10" t="str">
        <f>IF(I992="Faltan Precios",COUNTIFS(Estructuras!B:B,A992,Estructuras!E:E,0),"")</f>
        <v/>
      </c>
      <c r="K992" s="8" t="str">
        <f t="shared" si="2"/>
        <v/>
      </c>
    </row>
    <row r="993">
      <c r="A993" s="4" t="str">
        <f t="shared" si="1"/>
        <v/>
      </c>
      <c r="F993" s="36" t="str">
        <f t="shared" si="4"/>
        <v/>
      </c>
      <c r="G993" s="11"/>
      <c r="H993" s="11" t="str">
        <f>IF(E993="","",SUMIF(Estructuras!B:B,A993,Estructuras!E:E))</f>
        <v/>
      </c>
      <c r="I993" s="8" t="str">
        <f>IF(E993="","",IF(COUNTIF(Estructuras!F:F,E993)=0,"Falta Estructura",IF(COUNTIFS(Estructuras!F:F,E993,Estructuras!E:E,0)&gt;0,"Faltan Precios","OK")))</f>
        <v/>
      </c>
      <c r="J993" s="10" t="str">
        <f>IF(I993="Faltan Precios",COUNTIFS(Estructuras!B:B,A993,Estructuras!E:E,0),"")</f>
        <v/>
      </c>
      <c r="K993" s="8" t="str">
        <f t="shared" si="2"/>
        <v/>
      </c>
    </row>
    <row r="994">
      <c r="A994" s="4" t="str">
        <f t="shared" si="1"/>
        <v/>
      </c>
      <c r="F994" s="36" t="str">
        <f t="shared" si="4"/>
        <v/>
      </c>
      <c r="G994" s="11"/>
      <c r="H994" s="11" t="str">
        <f>IF(E994="","",SUMIF(Estructuras!B:B,A994,Estructuras!E:E))</f>
        <v/>
      </c>
      <c r="I994" s="8" t="str">
        <f>IF(E994="","",IF(COUNTIF(Estructuras!F:F,E994)=0,"Falta Estructura",IF(COUNTIFS(Estructuras!F:F,E994,Estructuras!E:E,0)&gt;0,"Faltan Precios","OK")))</f>
        <v/>
      </c>
      <c r="J994" s="10" t="str">
        <f>IF(I994="Faltan Precios",COUNTIFS(Estructuras!B:B,A994,Estructuras!E:E,0),"")</f>
        <v/>
      </c>
      <c r="K994" s="8" t="str">
        <f t="shared" si="2"/>
        <v/>
      </c>
    </row>
    <row r="995">
      <c r="A995" s="4" t="str">
        <f t="shared" si="1"/>
        <v/>
      </c>
      <c r="F995" s="36" t="str">
        <f t="shared" si="4"/>
        <v/>
      </c>
      <c r="G995" s="11"/>
      <c r="H995" s="11" t="str">
        <f>IF(E995="","",SUMIF(Estructuras!B:B,A995,Estructuras!E:E))</f>
        <v/>
      </c>
      <c r="I995" s="8" t="str">
        <f>IF(E995="","",IF(COUNTIF(Estructuras!F:F,E995)=0,"Falta Estructura",IF(COUNTIFS(Estructuras!F:F,E995,Estructuras!E:E,0)&gt;0,"Faltan Precios","OK")))</f>
        <v/>
      </c>
      <c r="J995" s="10" t="str">
        <f>IF(I995="Faltan Precios",COUNTIFS(Estructuras!B:B,A995,Estructuras!E:E,0),"")</f>
        <v/>
      </c>
      <c r="K995" s="8" t="str">
        <f t="shared" si="2"/>
        <v/>
      </c>
    </row>
    <row r="996">
      <c r="A996" s="4" t="str">
        <f t="shared" si="1"/>
        <v/>
      </c>
      <c r="F996" s="36" t="str">
        <f t="shared" si="4"/>
        <v/>
      </c>
      <c r="G996" s="11"/>
      <c r="H996" s="11" t="str">
        <f>IF(E996="","",SUMIF(Estructuras!B:B,A996,Estructuras!E:E))</f>
        <v/>
      </c>
      <c r="I996" s="8" t="str">
        <f>IF(E996="","",IF(COUNTIF(Estructuras!F:F,E996)=0,"Falta Estructura",IF(COUNTIFS(Estructuras!F:F,E996,Estructuras!E:E,0)&gt;0,"Faltan Precios","OK")))</f>
        <v/>
      </c>
      <c r="J996" s="10" t="str">
        <f>IF(I996="Faltan Precios",COUNTIFS(Estructuras!B:B,A996,Estructuras!E:E,0),"")</f>
        <v/>
      </c>
      <c r="K996" s="8" t="str">
        <f t="shared" si="2"/>
        <v/>
      </c>
    </row>
    <row r="997">
      <c r="A997" s="4" t="str">
        <f t="shared" si="1"/>
        <v/>
      </c>
      <c r="F997" s="36" t="str">
        <f t="shared" si="4"/>
        <v/>
      </c>
      <c r="G997" s="11"/>
      <c r="H997" s="11" t="str">
        <f>IF(E997="","",SUMIF(Estructuras!B:B,A997,Estructuras!E:E))</f>
        <v/>
      </c>
      <c r="I997" s="8" t="str">
        <f>IF(E997="","",IF(COUNTIF(Estructuras!F:F,E997)=0,"Falta Estructura",IF(COUNTIFS(Estructuras!F:F,E997,Estructuras!E:E,0)&gt;0,"Faltan Precios","OK")))</f>
        <v/>
      </c>
      <c r="J997" s="10" t="str">
        <f>IF(I997="Faltan Precios",COUNTIFS(Estructuras!B:B,A997,Estructuras!E:E,0),"")</f>
        <v/>
      </c>
      <c r="K997" s="8" t="str">
        <f t="shared" si="2"/>
        <v/>
      </c>
    </row>
    <row r="998">
      <c r="A998" s="4" t="str">
        <f t="shared" si="1"/>
        <v/>
      </c>
      <c r="F998" s="36" t="str">
        <f t="shared" si="4"/>
        <v/>
      </c>
      <c r="G998" s="11"/>
      <c r="H998" s="11" t="str">
        <f>IF(E998="","",SUMIF(Estructuras!B:B,A998,Estructuras!E:E))</f>
        <v/>
      </c>
      <c r="I998" s="8" t="str">
        <f>IF(E998="","",IF(COUNTIF(Estructuras!F:F,E998)=0,"Falta Estructura",IF(COUNTIFS(Estructuras!F:F,E998,Estructuras!E:E,0)&gt;0,"Faltan Precios","OK")))</f>
        <v/>
      </c>
      <c r="J998" s="10" t="str">
        <f>IF(I998="Faltan Precios",COUNTIFS(Estructuras!B:B,A998,Estructuras!E:E,0),"")</f>
        <v/>
      </c>
      <c r="K998" s="8" t="str">
        <f t="shared" si="2"/>
        <v/>
      </c>
    </row>
    <row r="999">
      <c r="A999" s="4" t="str">
        <f t="shared" si="1"/>
        <v/>
      </c>
      <c r="F999" s="36" t="str">
        <f t="shared" si="4"/>
        <v/>
      </c>
      <c r="G999" s="11"/>
      <c r="H999" s="11" t="str">
        <f>IF(E999="","",SUMIF(Estructuras!B:B,A999,Estructuras!E:E))</f>
        <v/>
      </c>
      <c r="I999" s="8" t="str">
        <f>IF(E999="","",IF(COUNTIF(Estructuras!F:F,E999)=0,"Falta Estructura",IF(COUNTIFS(Estructuras!F:F,E999,Estructuras!E:E,0)&gt;0,"Faltan Precios","OK")))</f>
        <v/>
      </c>
      <c r="J999" s="10" t="str">
        <f>IF(I999="Faltan Precios",COUNTIFS(Estructuras!B:B,A999,Estructuras!E:E,0),"")</f>
        <v/>
      </c>
      <c r="K999" s="8" t="str">
        <f t="shared" si="2"/>
        <v/>
      </c>
    </row>
    <row r="1000">
      <c r="A1000" s="4" t="str">
        <f t="shared" si="1"/>
        <v/>
      </c>
      <c r="F1000" s="36" t="str">
        <f t="shared" si="4"/>
        <v/>
      </c>
      <c r="G1000" s="11"/>
      <c r="H1000" s="11" t="str">
        <f>IF(E1000="","",SUMIF(Estructuras!B:B,A1000,Estructuras!E:E))</f>
        <v/>
      </c>
      <c r="I1000" s="8" t="str">
        <f>IF(E1000="","",IF(COUNTIF(Estructuras!F:F,E1000)=0,"Falta Estructura",IF(COUNTIFS(Estructuras!F:F,E1000,Estructuras!E:E,0)&gt;0,"Faltan Precios","OK")))</f>
        <v/>
      </c>
      <c r="J1000" s="10" t="str">
        <f>IF(I1000="Faltan Precios",COUNTIFS(Estructuras!B:B,A1000,Estructuras!E:E,0),"")</f>
        <v/>
      </c>
      <c r="K1000" s="8" t="str">
        <f t="shared" si="2"/>
        <v/>
      </c>
    </row>
    <row r="1001">
      <c r="A1001" s="4" t="str">
        <f t="shared" si="1"/>
        <v/>
      </c>
      <c r="F1001" s="36" t="str">
        <f t="shared" si="4"/>
        <v/>
      </c>
      <c r="G1001" s="11"/>
      <c r="H1001" s="11" t="str">
        <f>IF(E1001="","",SUMIF(Estructuras!B:B,A1001,Estructuras!E:E))</f>
        <v/>
      </c>
      <c r="I1001" s="8" t="str">
        <f>IF(E1001="","",IF(COUNTIF(Estructuras!F:F,E1001)=0,"Falta Estructura",IF(COUNTIFS(Estructuras!F:F,E1001,Estructuras!E:E,0)&gt;0,"Faltan Precios","OK")))</f>
        <v/>
      </c>
      <c r="J1001" s="10" t="str">
        <f>IF(I1001="Faltan Precios",COUNTIFS(Estructuras!B:B,A1001,Estructuras!E:E,0),"")</f>
        <v/>
      </c>
      <c r="K1001" s="8" t="str">
        <f t="shared" si="2"/>
        <v/>
      </c>
    </row>
  </sheetData>
  <mergeCells count="4">
    <mergeCell ref="I1:I2"/>
    <mergeCell ref="J1:J2"/>
    <mergeCell ref="K1:K2"/>
    <mergeCell ref="L1:L2"/>
  </mergeCells>
  <dataValidations>
    <dataValidation type="list" allowBlank="1" sqref="F3:F1001">
      <formula1>Implementos!$B$2:$B$1000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5" max="5" width="15.63"/>
    <col customWidth="1" min="6" max="6" width="44.38"/>
    <col customWidth="1" min="7" max="7" width="47.63"/>
    <col customWidth="1" min="8" max="8" width="7.75"/>
  </cols>
  <sheetData>
    <row r="1">
      <c r="A1" s="81" t="s">
        <v>379</v>
      </c>
      <c r="B1" s="81" t="s">
        <v>319</v>
      </c>
      <c r="C1" s="81" t="s">
        <v>380</v>
      </c>
      <c r="D1" s="81" t="s">
        <v>5</v>
      </c>
      <c r="E1" s="82" t="s">
        <v>27</v>
      </c>
      <c r="F1" s="13" t="s">
        <v>151</v>
      </c>
      <c r="G1" s="13" t="s">
        <v>26</v>
      </c>
      <c r="H1" s="13" t="s">
        <v>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</row>
    <row r="2" hidden="1">
      <c r="A2" s="38">
        <f t="shared" ref="A2:A998" si="1">IF(F2="","",max(A$1:A1)+1)</f>
        <v>1</v>
      </c>
      <c r="B2" s="38">
        <f>IF(F2="","",SUMIF(Prearmados!E:E,F2,Prearmados!A:A))</f>
        <v>1</v>
      </c>
      <c r="C2" s="38">
        <f>IF(F2="","",SUMIF(Productos!E:E,G2,Productos!A:A))</f>
        <v>45</v>
      </c>
      <c r="D2" s="83" t="str">
        <f t="array" ref="D2">IF(OR(F2="",F2="Seleccionar.."),"",XLOOKUP(F2,Prearmados!E:E,Prearmados!F:F,"",0,1))</f>
        <v>Acoplados Rurales</v>
      </c>
      <c r="E2" s="83">
        <f>IF(H2="","",SUMIF(Precio_Productos!K:K,C2,Precio_Productos!J:J)*H2)</f>
        <v>1220800</v>
      </c>
      <c r="F2" s="84" t="s">
        <v>324</v>
      </c>
      <c r="G2" s="84" t="s">
        <v>71</v>
      </c>
      <c r="H2" s="13">
        <v>1.0</v>
      </c>
      <c r="P2" s="3" t="str">
        <f>IFERROR(__xludf.DUMMYFUNCTION("IF(OR(F2="""",F2=""Seleccionar..""),"""",TRANSPOSE(FILTER(Productos!E:E,(Productos!F:F=D2)+(Productos!F:F=XLOOKUP(D2,Implementos!B:B,Implementos!C:C,""-"",0,1)))))"),"Tanque Combustible 1100 lts Bajo")</f>
        <v>Tanque Combustible 1100 lts Bajo</v>
      </c>
      <c r="Q2" s="3" t="str">
        <f>IFERROR(__xludf.DUMMYFUNCTION("""COMPUTED_VALUE"""),"Tanque Combustible 1500 lts Standard")</f>
        <v>Tanque Combustible 1500 lts Standard</v>
      </c>
      <c r="R2" s="3" t="str">
        <f>IFERROR(__xludf.DUMMYFUNCTION("""COMPUTED_VALUE"""),"Tanque Combustible 1800 lts Standard")</f>
        <v>Tanque Combustible 1800 lts Standard</v>
      </c>
      <c r="S2" s="3" t="str">
        <f>IFERROR(__xludf.DUMMYFUNCTION("""COMPUTED_VALUE"""),"Tanque Combustible 2000 lts Bajo")</f>
        <v>Tanque Combustible 2000 lts Bajo</v>
      </c>
      <c r="T2" s="3" t="str">
        <f>IFERROR(__xludf.DUMMYFUNCTION("""COMPUTED_VALUE"""),"Tanque Combustible 2000 lts Standard")</f>
        <v>Tanque Combustible 2000 lts Standard</v>
      </c>
      <c r="U2" s="3" t="str">
        <f>IFERROR(__xludf.DUMMYFUNCTION("""COMPUTED_VALUE"""),"Tanque Combustible 3000 lts Standard")</f>
        <v>Tanque Combustible 3000 lts Standard</v>
      </c>
      <c r="V2" s="3" t="str">
        <f>IFERROR(__xludf.DUMMYFUNCTION("""COMPUTED_VALUE"""),"Tanque Combustible 3000 lts Alto")</f>
        <v>Tanque Combustible 3000 lts Alto</v>
      </c>
      <c r="W2" s="3" t="str">
        <f>IFERROR(__xludf.DUMMYFUNCTION("""COMPUTED_VALUE"""),"Tanque Combustible 4000 lts Standard")</f>
        <v>Tanque Combustible 4000 lts Standard</v>
      </c>
      <c r="X2" s="3" t="str">
        <f>IFERROR(__xludf.DUMMYFUNCTION("""COMPUTED_VALUE"""),"Tanque Combustible 5000 lts Standard")</f>
        <v>Tanque Combustible 5000 lts Standard</v>
      </c>
      <c r="Y2" s="3" t="str">
        <f>IFERROR(__xludf.DUMMYFUNCTION("""COMPUTED_VALUE"""),"Tanque Combustible 5000 lts Alto")</f>
        <v>Tanque Combustible 5000 lts Alto</v>
      </c>
      <c r="Z2" s="3" t="str">
        <f>IFERROR(__xludf.DUMMYFUNCTION("""COMPUTED_VALUE"""),"Tanque Combustible 2000 lts Alto")</f>
        <v>Tanque Combustible 2000 lts Alto</v>
      </c>
      <c r="AA2" s="3" t="str">
        <f>IFERROR(__xludf.DUMMYFUNCTION("""COMPUTED_VALUE"""),"Tanque Combustible 4000 lts Alto")</f>
        <v>Tanque Combustible 4000 lts Alto</v>
      </c>
      <c r="AB2" s="3" t="str">
        <f>IFERROR(__xludf.DUMMYFUNCTION("""COMPUTED_VALUE"""),"Baulera Standard - 750")</f>
        <v>Baulera Standard - 750</v>
      </c>
      <c r="AC2" s="3" t="str">
        <f>IFERROR(__xludf.DUMMYFUNCTION("""COMPUTED_VALUE"""),"Baulera Standard - 1700 - C/Laterales")</f>
        <v>Baulera Standard - 1700 - C/Laterales</v>
      </c>
      <c r="AD2" s="3" t="str">
        <f>IFERROR(__xludf.DUMMYFUNCTION("""COMPUTED_VALUE"""),"Baulera Standard - 1000 - C/Laterales")</f>
        <v>Baulera Standard - 1000 - C/Laterales</v>
      </c>
      <c r="AE2" s="3" t="str">
        <f>IFERROR(__xludf.DUMMYFUNCTION("""COMPUTED_VALUE"""),"Baulera Standard - 750 - C/Laterales")</f>
        <v>Baulera Standard - 750 - C/Laterales</v>
      </c>
      <c r="AF2" s="3" t="str">
        <f>IFERROR(__xludf.DUMMYFUNCTION("""COMPUTED_VALUE"""),"Baulera Standard - 1300 - C/Laterales")</f>
        <v>Baulera Standard - 1300 - C/Laterales</v>
      </c>
      <c r="AG2" s="3" t="str">
        <f>IFERROR(__xludf.DUMMYFUNCTION("""COMPUTED_VALUE"""),"Baulera Alta - 750")</f>
        <v>Baulera Alta - 750</v>
      </c>
      <c r="AH2" s="3" t="str">
        <f>IFERROR(__xludf.DUMMYFUNCTION("""COMPUTED_VALUE"""),"Baulera Alta - 1500 - C/Laterales")</f>
        <v>Baulera Alta - 1500 - C/Laterales</v>
      </c>
      <c r="AI2" s="3" t="str">
        <f>IFERROR(__xludf.DUMMYFUNCTION("""COMPUTED_VALUE"""),"Baulera Extendida 1700 - C/Laterales")</f>
        <v>Baulera Extendida 1700 - C/Laterales</v>
      </c>
      <c r="AJ2" s="3" t="str">
        <f>IFERROR(__xludf.DUMMYFUNCTION("""COMPUTED_VALUE"""),"Taller Móvil - 1500 x 1500 x 1700")</f>
        <v>Taller Móvil - 1500 x 1500 x 1700</v>
      </c>
      <c r="AK2" s="3" t="str">
        <f>IFERROR(__xludf.DUMMYFUNCTION("""COMPUTED_VALUE"""),"Cajón Herramientas Standard Derecho")</f>
        <v>Cajón Herramientas Standard Derecho</v>
      </c>
      <c r="AL2" s="3" t="str">
        <f>IFERROR(__xludf.DUMMYFUNCTION("""COMPUTED_VALUE"""),"Cajón Herramientas Standard Izquierdo")</f>
        <v>Cajón Herramientas Standard Izquierdo</v>
      </c>
      <c r="AM2" s="3" t="str">
        <f>IFERROR(__xludf.DUMMYFUNCTION("""COMPUTED_VALUE"""),"Cajón Herramientas Corto Derecho")</f>
        <v>Cajón Herramientas Corto Derecho</v>
      </c>
      <c r="AN2" s="3" t="str">
        <f>IFERROR(__xludf.DUMMYFUNCTION("""COMPUTED_VALUE"""),"Cajón Herramientas Corto Izquierdo")</f>
        <v>Cajón Herramientas Corto Izquierdo</v>
      </c>
      <c r="AO2" s="3" t="str">
        <f>IFERROR(__xludf.DUMMYFUNCTION("""COMPUTED_VALUE"""),"Cajón Herramientas Mediano Derecho")</f>
        <v>Cajón Herramientas Mediano Derecho</v>
      </c>
      <c r="AP2" s="3" t="str">
        <f>IFERROR(__xludf.DUMMYFUNCTION("""COMPUTED_VALUE"""),"Cajón Herramientas Mediano Izquierdo")</f>
        <v>Cajón Herramientas Mediano Izquierdo</v>
      </c>
      <c r="AQ2" s="3" t="str">
        <f>IFERROR(__xludf.DUMMYFUNCTION("""COMPUTED_VALUE"""),"Chasis Acoplado 2 Ejes L3000")</f>
        <v>Chasis Acoplado 2 Ejes L3000</v>
      </c>
      <c r="AR2" s="3" t="str">
        <f>IFERROR(__xludf.DUMMYFUNCTION("""COMPUTED_VALUE"""),"Chasis Acoplado 2 Ejes L3750")</f>
        <v>Chasis Acoplado 2 Ejes L3750</v>
      </c>
      <c r="AS2" s="3" t="str">
        <f>IFERROR(__xludf.DUMMYFUNCTION("""COMPUTED_VALUE"""),"Chasis Acoplado 2 Ejes L4000")</f>
        <v>Chasis Acoplado 2 Ejes L4000</v>
      </c>
      <c r="AT2" s="3" t="str">
        <f>IFERROR(__xludf.DUMMYFUNCTION("""COMPUTED_VALUE"""),"Chasis Acoplado 2 Ejes L4000 Reforzado")</f>
        <v>Chasis Acoplado 2 Ejes L4000 Reforzado</v>
      </c>
      <c r="AU2" s="3" t="str">
        <f>IFERROR(__xludf.DUMMYFUNCTION("""COMPUTED_VALUE"""),"Chasis Acoplado 2 Ejes L4750")</f>
        <v>Chasis Acoplado 2 Ejes L4750</v>
      </c>
      <c r="AV2" s="3" t="str">
        <f>IFERROR(__xludf.DUMMYFUNCTION("""COMPUTED_VALUE"""),"Chasis Acoplado 2 Ejes L4750 Reforzado")</f>
        <v>Chasis Acoplado 2 Ejes L4750 Reforzado</v>
      </c>
      <c r="AW2" s="3" t="str">
        <f>IFERROR(__xludf.DUMMYFUNCTION("""COMPUTED_VALUE"""),"Chasis Acoplado 2 Ejes L4750 Reforzado R. Camion")</f>
        <v>Chasis Acoplado 2 Ejes L4750 Reforzado R. Camion</v>
      </c>
      <c r="AX2" s="3" t="str">
        <f>IFERROR(__xludf.DUMMYFUNCTION("""COMPUTED_VALUE"""),"Chasis Acoplado 2 Ejes L5000")</f>
        <v>Chasis Acoplado 2 Ejes L5000</v>
      </c>
      <c r="AY2" s="3" t="str">
        <f>IFERROR(__xludf.DUMMYFUNCTION("""COMPUTED_VALUE"""),"Chasis Acoplado 2 Ejes L5750")</f>
        <v>Chasis Acoplado 2 Ejes L5750</v>
      </c>
      <c r="AZ2" s="3" t="str">
        <f>IFERROR(__xludf.DUMMYFUNCTION("""COMPUTED_VALUE"""),"Chasis Acoplado 2 Ejes L6400")</f>
        <v>Chasis Acoplado 2 Ejes L6400</v>
      </c>
      <c r="BA2" s="3" t="str">
        <f>IFERROR(__xludf.DUMMYFUNCTION("""COMPUTED_VALUE"""),"Chasis Acoplado 2 Ejes L4500")</f>
        <v>Chasis Acoplado 2 Ejes L4500</v>
      </c>
      <c r="BB2" s="3" t="str">
        <f>IFERROR(__xludf.DUMMYFUNCTION("""COMPUTED_VALUE"""),"Chasis Acoplado 1 Eje L1500")</f>
        <v>Chasis Acoplado 1 Eje L1500</v>
      </c>
      <c r="BC2" s="3" t="str">
        <f>IFERROR(__xludf.DUMMYFUNCTION("""COMPUTED_VALUE"""),"Chasis Acoplado 1 Eje L1800")</f>
        <v>Chasis Acoplado 1 Eje L1800</v>
      </c>
      <c r="BD2" s="3" t="str">
        <f>IFERROR(__xludf.DUMMYFUNCTION("""COMPUTED_VALUE"""),"Chasis Acoplado 1 Eje L1400")</f>
        <v>Chasis Acoplado 1 Eje L1400</v>
      </c>
      <c r="BE2" s="3" t="str">
        <f>IFERROR(__xludf.DUMMYFUNCTION("""COMPUTED_VALUE"""),"Chasis Acoplado Balancin L3000")</f>
        <v>Chasis Acoplado Balancin L3000</v>
      </c>
      <c r="BF2" s="3" t="str">
        <f>IFERROR(__xludf.DUMMYFUNCTION("""COMPUTED_VALUE"""),"Chasis Acoplado Balancin L3000 Lanza Corta")</f>
        <v>Chasis Acoplado Balancin L3000 Lanza Corta</v>
      </c>
      <c r="BG2" s="3" t="str">
        <f>IFERROR(__xludf.DUMMYFUNCTION("""COMPUTED_VALUE"""),"Chasis Acoplado Balancin L2000 Lanza Corta")</f>
        <v>Chasis Acoplado Balancin L2000 Lanza Corta</v>
      </c>
      <c r="BH2" s="3" t="str">
        <f>IFERROR(__xludf.DUMMYFUNCTION("""COMPUTED_VALUE"""),"Chasis Acoplado Balancin L3200 Lanza Corta")</f>
        <v>Chasis Acoplado Balancin L3200 Lanza Corta</v>
      </c>
      <c r="BI2" s="3" t="str">
        <f>IFERROR(__xludf.DUMMYFUNCTION("""COMPUTED_VALUE"""),"Chasis Acoplado Balancin L3200 Lanza Recta")</f>
        <v>Chasis Acoplado Balancin L3200 Lanza Recta</v>
      </c>
      <c r="BJ2" s="3" t="str">
        <f>IFERROR(__xludf.DUMMYFUNCTION("""COMPUTED_VALUE"""),"Chasis Acoplado Balancin L3200 Bajo Lanza Recta")</f>
        <v>Chasis Acoplado Balancin L3200 Bajo Lanza Recta</v>
      </c>
      <c r="BK2" s="3" t="str">
        <f>IFERROR(__xludf.DUMMYFUNCTION("""COMPUTED_VALUE"""),"Tanque Plastico Horizontal 750 Lts")</f>
        <v>Tanque Plastico Horizontal 750 Lts</v>
      </c>
      <c r="BL2" s="3" t="str">
        <f>IFERROR(__xludf.DUMMYFUNCTION("""COMPUTED_VALUE"""),"Medio Tanque Plastico Superior 700 Lts")</f>
        <v>Medio Tanque Plastico Superior 700 Lts</v>
      </c>
      <c r="BM2" s="3" t="str">
        <f>IFERROR(__xludf.DUMMYFUNCTION("""COMPUTED_VALUE"""),"Paquete de Elasticos 50 mm x 8 mm x 10 Hojas L850")</f>
        <v>Paquete de Elasticos 50 mm x 8 mm x 10 Hojas L850</v>
      </c>
      <c r="BN2" s="3" t="str">
        <f>IFERROR(__xludf.DUMMYFUNCTION("""COMPUTED_VALUE"""),"Paquete de Elasticos 63 mm x 8 mm x 10 Hojas L950")</f>
        <v>Paquete de Elasticos 63 mm x 8 mm x 10 Hojas L950</v>
      </c>
      <c r="BO2" s="3" t="str">
        <f>IFERROR(__xludf.DUMMYFUNCTION("""COMPUTED_VALUE"""),"Paquete de Elasticos 50 mm x 7 mm x 9 Hojas L850")</f>
        <v>Paquete de Elasticos 50 mm x 7 mm x 9 Hojas L850</v>
      </c>
      <c r="BP2" s="3" t="str">
        <f>IFERROR(__xludf.DUMMYFUNCTION("""COMPUTED_VALUE"""),"Paquete de Elasticos 63 mm x 8 mm x 8 Hojas L850")</f>
        <v>Paquete de Elasticos 63 mm x 8 mm x 8 Hojas L850</v>
      </c>
      <c r="BQ2" s="3" t="str">
        <f>IFERROR(__xludf.DUMMYFUNCTION("""COMPUTED_VALUE"""),"Paquete de Elasticos 63 mm x 10 mm x 10 Hojas L950")</f>
        <v>Paquete de Elasticos 63 mm x 10 mm x 10 Hojas L950</v>
      </c>
      <c r="BR2" s="3" t="str">
        <f>IFERROR(__xludf.DUMMYFUNCTION("""COMPUTED_VALUE"""),"Paquete de Elasticos 63 mm x 10 mm x 13 Hojas L975")</f>
        <v>Paquete de Elasticos 63 mm x 10 mm x 13 Hojas L975</v>
      </c>
      <c r="BS2" s="3" t="str">
        <f>IFERROR(__xludf.DUMMYFUNCTION("""COMPUTED_VALUE"""),"Paquete de Elasticos 50 mm x 7 mm x 9 Hojas L650")</f>
        <v>Paquete de Elasticos 50 mm x 7 mm x 9 Hojas L650</v>
      </c>
      <c r="BT2" s="3" t="str">
        <f>IFERROR(__xludf.DUMMYFUNCTION("""COMPUTED_VALUE"""),"Eje Acoplado 2"" x 1600 (06/08) Agrícola Centro 92")</f>
        <v>Eje Acoplado 2" x 1600 (06/08) Agrícola Centro 92</v>
      </c>
      <c r="BU2" s="3" t="str">
        <f>IFERROR(__xludf.DUMMYFUNCTION("""COMPUTED_VALUE"""),"Eje Acoplado 2 1/2"" x 1600 (07/09) Agrícola Centro 92")</f>
        <v>Eje Acoplado 2 1/2" x 1600 (07/09) Agrícola Centro 92</v>
      </c>
      <c r="BV2" s="3" t="str">
        <f>IFERROR(__xludf.DUMMYFUNCTION("""COMPUTED_VALUE"""),"Eje Acoplado 2 1/2"" x 1600 (09/11) Agrícola Centro 150")</f>
        <v>Eje Acoplado 2 1/2" x 1600 (09/11) Agrícola Centro 150</v>
      </c>
      <c r="BW2" s="3" t="str">
        <f>IFERROR(__xludf.DUMMYFUNCTION("""COMPUTED_VALUE"""),"Eje Acoplado 3"" x 1600 (10/13) Agrícola Centro 150")</f>
        <v>Eje Acoplado 3" x 1600 (10/13) Agrícola Centro 150</v>
      </c>
      <c r="BX2" s="3" t="str">
        <f>IFERROR(__xludf.DUMMYFUNCTION("""COMPUTED_VALUE"""),"Eje Acoplado 2 1/2"" x 2140 (07/09) Agrícola Centro 92")</f>
        <v>Eje Acoplado 2 1/2" x 2140 (07/09) Agrícola Centro 92</v>
      </c>
      <c r="BY2" s="3" t="str">
        <f>IFERROR(__xludf.DUMMYFUNCTION("""COMPUTED_VALUE"""),"Eje Acoplado 2"" x 1400 (06/08) Agrícola Centro 92")</f>
        <v>Eje Acoplado 2" x 1400 (06/08) Agrícola Centro 92</v>
      </c>
      <c r="BZ2" s="3" t="str">
        <f>IFERROR(__xludf.DUMMYFUNCTION("""COMPUTED_VALUE"""),"Eje Acoplado 2 1/2"" x 1500 (07/09) Agrícola Centro 92")</f>
        <v>Eje Acoplado 2 1/2" x 1500 (07/09) Agrícola Centro 92</v>
      </c>
      <c r="CA2" s="3" t="str">
        <f>IFERROR(__xludf.DUMMYFUNCTION("""COMPUTED_VALUE"""),"Eje Acoplado 2 1/2"" x 2000 (07/09) Agrícola Centro 92")</f>
        <v>Eje Acoplado 2 1/2" x 2000 (07/09) Agrícola Centro 92</v>
      </c>
      <c r="CB2" s="3" t="str">
        <f>IFERROR(__xludf.DUMMYFUNCTION("""COMPUTED_VALUE"""),"Eje Acoplado 2 1/2"" x 2100 (09/11) Agrícola Centro 150")</f>
        <v>Eje Acoplado 2 1/2" x 2100 (09/11) Agrícola Centro 150</v>
      </c>
      <c r="CC2" s="3" t="str">
        <f>IFERROR(__xludf.DUMMYFUNCTION("""COMPUTED_VALUE"""),"Llanta 16"" Simple Agrícola Centro 92")</f>
        <v>Llanta 16" Simple Agrícola Centro 92</v>
      </c>
      <c r="CD2" s="3" t="str">
        <f>IFERROR(__xludf.DUMMYFUNCTION("""COMPUTED_VALUE"""),"Llanta 16"" Dual Agrícola Centro 92")</f>
        <v>Llanta 16" Dual Agrícola Centro 92</v>
      </c>
      <c r="CE2" s="3" t="str">
        <f>IFERROR(__xludf.DUMMYFUNCTION("""COMPUTED_VALUE"""),"Llanta 17"" Simple Agrícola Centro 92")</f>
        <v>Llanta 17" Simple Agrícola Centro 92</v>
      </c>
      <c r="CF2" s="3" t="str">
        <f>IFERROR(__xludf.DUMMYFUNCTION("""COMPUTED_VALUE"""),"Llanta 17"" Dual Agrícola Centro 92")</f>
        <v>Llanta 17" Dual Agrícola Centro 92</v>
      </c>
      <c r="CG2" s="3" t="str">
        <f>IFERROR(__xludf.DUMMYFUNCTION("""COMPUTED_VALUE"""),"Llanta 16"" Dual Agrícola Centro 152")</f>
        <v>Llanta 16" Dual Agrícola Centro 152</v>
      </c>
      <c r="CH2" s="3" t="str">
        <f>IFERROR(__xludf.DUMMYFUNCTION("""COMPUTED_VALUE"""),"Llanta 17"" Dual Agrícola Centro 152")</f>
        <v>Llanta 17" Dual Agrícola Centro 152</v>
      </c>
      <c r="CI2" s="3" t="str">
        <f>IFERROR(__xludf.DUMMYFUNCTION("""COMPUTED_VALUE"""),"Eje Acoplado 2"" x 1600 (05/07) Agrícola Centro 92")</f>
        <v>Eje Acoplado 2" x 1600 (05/07) Agrícola Centro 92</v>
      </c>
      <c r="CJ2" s="3" t="str">
        <f>IFERROR(__xludf.DUMMYFUNCTION("""COMPUTED_VALUE"""),"Paquete de Elásticos 50 mm x 8 mm x 12 Hojas")</f>
        <v>Paquete de Elásticos 50 mm x 8 mm x 12 Hojas</v>
      </c>
      <c r="CK2" s="3" t="str">
        <f>IFERROR(__xludf.DUMMYFUNCTION("""COMPUTED_VALUE"""),"Plataforma Playo 4.00 x 1.90 x 0.45 Lateral Simple Baranda Fija")</f>
        <v>Plataforma Playo 4.00 x 1.90 x 0.45 Lateral Simple Baranda Fija</v>
      </c>
      <c r="CL2" s="3" t="str">
        <f>IFERROR(__xludf.DUMMYFUNCTION("""COMPUTED_VALUE"""),"Plataforma Playo 4.00 x 1.90 x 0.45 Lateral Simple Baranda Ventilada")</f>
        <v>Plataforma Playo 4.00 x 1.90 x 0.45 Lateral Simple Baranda Ventilada</v>
      </c>
      <c r="CM2" s="3" t="str">
        <f>IFERROR(__xludf.DUMMYFUNCTION("""COMPUTED_VALUE"""),"Plataforma Playo 4.00 x 1.90 x 0.45 Lateral Doble Baranda Ventilada")</f>
        <v>Plataforma Playo 4.00 x 1.90 x 0.45 Lateral Doble Baranda Ventilada</v>
      </c>
      <c r="CN2" s="3" t="str">
        <f>IFERROR(__xludf.DUMMYFUNCTION("""COMPUTED_VALUE"""),"Plataforma Playo 4.00 x 1.90 x 0.45 Lateral Doble Baranda Fija")</f>
        <v>Plataforma Playo 4.00 x 1.90 x 0.45 Lateral Doble Baranda Fija</v>
      </c>
      <c r="CO2" s="3" t="str">
        <f>IFERROR(__xludf.DUMMYFUNCTION("""COMPUTED_VALUE"""),"Plataforma Playo 4.00 x 1.90 x 0.72 Lateral Simple Baranda Fija")</f>
        <v>Plataforma Playo 4.00 x 1.90 x 0.72 Lateral Simple Baranda Fija</v>
      </c>
      <c r="CP2" s="3" t="str">
        <f>IFERROR(__xludf.DUMMYFUNCTION("""COMPUTED_VALUE"""),"Plataforma Playo 4.00 x 1.90 x 0.72 Lateral Doble Baranda Fija")</f>
        <v>Plataforma Playo 4.00 x 1.90 x 0.72 Lateral Doble Baranda Fija</v>
      </c>
      <c r="CQ2" s="3" t="str">
        <f>IFERROR(__xludf.DUMMYFUNCTION("""COMPUTED_VALUE"""),"Plataforma Playo 5.00 x 2.20 x 0.60 Lateral Doble Trasera Rebatible")</f>
        <v>Plataforma Playo 5.00 x 2.20 x 0.60 Lateral Doble Trasera Rebatible</v>
      </c>
      <c r="CR2" s="3" t="str">
        <f>IFERROR(__xludf.DUMMYFUNCTION("""COMPUTED_VALUE"""),"Plataforma Playo 5.00 x 2.20 x 0.60 Lateral Doble Baranda Fija C/Toldo")</f>
        <v>Plataforma Playo 5.00 x 2.20 x 0.60 Lateral Doble Baranda Fija C/Toldo</v>
      </c>
      <c r="CS2" s="3" t="str">
        <f>IFERROR(__xludf.DUMMYFUNCTION("""COMPUTED_VALUE"""),"Plataforma Playo 3.00 x 1.90 x 0.45 Lateral Simple Baranda Fija")</f>
        <v>Plataforma Playo 3.00 x 1.90 x 0.45 Lateral Simple Baranda Fija</v>
      </c>
      <c r="CT2" s="3" t="str">
        <f>IFERROR(__xludf.DUMMYFUNCTION("""COMPUTED_VALUE"""),"Plataforma Playo 3.00 x 1.90 x 0.45 Lateral Simple Baranda Ventilada")</f>
        <v>Plataforma Playo 3.00 x 1.90 x 0.45 Lateral Simple Baranda Ventilada</v>
      </c>
      <c r="CU2" s="3" t="str">
        <f>IFERROR(__xludf.DUMMYFUNCTION("""COMPUTED_VALUE"""),"Plataforma Playo 2.00 x 1.90 x 0.45 Lateral Simple Baranda Fija")</f>
        <v>Plataforma Playo 2.00 x 1.90 x 0.45 Lateral Simple Baranda Fija</v>
      </c>
      <c r="CV2" s="3" t="str">
        <f>IFERROR(__xludf.DUMMYFUNCTION("""COMPUTED_VALUE"""),"Plataforma Playo 5.00 x 1.90 x 0.60 Lateral Doble Baranda Fija")</f>
        <v>Plataforma Playo 5.00 x 1.90 x 0.60 Lateral Doble Baranda Fija</v>
      </c>
      <c r="CW2" s="3" t="str">
        <f>IFERROR(__xludf.DUMMYFUNCTION("""COMPUTED_VALUE"""),"Plataforma Playo 6.40 x 2.70 x 0.72 Lateral Doble Baranda Fija")</f>
        <v>Plataforma Playo 6.40 x 2.70 x 0.72 Lateral Doble Baranda Fija</v>
      </c>
      <c r="CX2" s="3" t="str">
        <f>IFERROR(__xludf.DUMMYFUNCTION("""COMPUTED_VALUE"""),"Chasis Acoplado Balancin L4000 Lanza Recta")</f>
        <v>Chasis Acoplado Balancin L4000 Lanza Recta</v>
      </c>
      <c r="CY2" s="3" t="str">
        <f>IFERROR(__xludf.DUMMYFUNCTION("""COMPUTED_VALUE"""),"Llanta simple Agrícola 750x20 centro 152")</f>
        <v>Llanta simple Agrícola 750x20 centro 152</v>
      </c>
      <c r="CZ2" s="3" t="str">
        <f>IFERROR(__xludf.DUMMYFUNCTION("""COMPUTED_VALUE"""),"Cajón de Herramientas Mediano adelante")</f>
        <v>Cajón de Herramientas Mediano adelante</v>
      </c>
      <c r="DA2" s="3" t="str">
        <f>IFERROR(__xludf.DUMMYFUNCTION("""COMPUTED_VALUE"""),"Llanta 15"" Simple Agrícola Centro 92")</f>
        <v>Llanta 15" Simple Agrícola Centro 92</v>
      </c>
    </row>
    <row r="3" hidden="1">
      <c r="A3" s="38">
        <f t="shared" si="1"/>
        <v>2</v>
      </c>
      <c r="B3" s="38">
        <f>IF(F3="","",SUMIF(Prearmados!E:E,F3,Prearmados!A:A))</f>
        <v>1</v>
      </c>
      <c r="C3" s="38">
        <f>IF(F3="","",SUMIF(Productos!E:E,G3,Productos!A:A))</f>
        <v>85</v>
      </c>
      <c r="D3" s="83" t="str">
        <f t="array" ref="D3">IF(OR(F3="",F3="Seleccionar.."),"",XLOOKUP(F3,Prearmados!E:E,Prearmados!F:F,"",0,1))</f>
        <v>Acoplados Rurales</v>
      </c>
      <c r="E3" s="83">
        <f>IF(H3="","",SUMIF(Precio_Productos!K:K,C3,Precio_Productos!J:J)*H3)</f>
        <v>737000</v>
      </c>
      <c r="F3" s="84" t="s">
        <v>324</v>
      </c>
      <c r="G3" s="84" t="s">
        <v>111</v>
      </c>
      <c r="H3" s="13">
        <v>1.0</v>
      </c>
      <c r="P3" s="3" t="str">
        <f>IFERROR(__xludf.DUMMYFUNCTION("IF(OR(F3="""",F3=""Seleccionar..""),"""",TRANSPOSE(FILTER(Productos!E:E,(Productos!F:F=D3)+(Productos!F:F=XLOOKUP(D3,Implementos!B:B,Implementos!C:C,""-"",0,1)))))"),"Tanque Combustible 1100 lts Bajo")</f>
        <v>Tanque Combustible 1100 lts Bajo</v>
      </c>
      <c r="Q3" s="3" t="str">
        <f>IFERROR(__xludf.DUMMYFUNCTION("""COMPUTED_VALUE"""),"Tanque Combustible 1500 lts Standard")</f>
        <v>Tanque Combustible 1500 lts Standard</v>
      </c>
      <c r="R3" s="3" t="str">
        <f>IFERROR(__xludf.DUMMYFUNCTION("""COMPUTED_VALUE"""),"Tanque Combustible 1800 lts Standard")</f>
        <v>Tanque Combustible 1800 lts Standard</v>
      </c>
      <c r="S3" s="3" t="str">
        <f>IFERROR(__xludf.DUMMYFUNCTION("""COMPUTED_VALUE"""),"Tanque Combustible 2000 lts Bajo")</f>
        <v>Tanque Combustible 2000 lts Bajo</v>
      </c>
      <c r="T3" s="3" t="str">
        <f>IFERROR(__xludf.DUMMYFUNCTION("""COMPUTED_VALUE"""),"Tanque Combustible 2000 lts Standard")</f>
        <v>Tanque Combustible 2000 lts Standard</v>
      </c>
      <c r="U3" s="3" t="str">
        <f>IFERROR(__xludf.DUMMYFUNCTION("""COMPUTED_VALUE"""),"Tanque Combustible 3000 lts Standard")</f>
        <v>Tanque Combustible 3000 lts Standard</v>
      </c>
      <c r="V3" s="3" t="str">
        <f>IFERROR(__xludf.DUMMYFUNCTION("""COMPUTED_VALUE"""),"Tanque Combustible 3000 lts Alto")</f>
        <v>Tanque Combustible 3000 lts Alto</v>
      </c>
      <c r="W3" s="3" t="str">
        <f>IFERROR(__xludf.DUMMYFUNCTION("""COMPUTED_VALUE"""),"Tanque Combustible 4000 lts Standard")</f>
        <v>Tanque Combustible 4000 lts Standard</v>
      </c>
      <c r="X3" s="3" t="str">
        <f>IFERROR(__xludf.DUMMYFUNCTION("""COMPUTED_VALUE"""),"Tanque Combustible 5000 lts Standard")</f>
        <v>Tanque Combustible 5000 lts Standard</v>
      </c>
      <c r="Y3" s="3" t="str">
        <f>IFERROR(__xludf.DUMMYFUNCTION("""COMPUTED_VALUE"""),"Tanque Combustible 5000 lts Alto")</f>
        <v>Tanque Combustible 5000 lts Alto</v>
      </c>
      <c r="Z3" s="3" t="str">
        <f>IFERROR(__xludf.DUMMYFUNCTION("""COMPUTED_VALUE"""),"Tanque Combustible 2000 lts Alto")</f>
        <v>Tanque Combustible 2000 lts Alto</v>
      </c>
      <c r="AA3" s="3" t="str">
        <f>IFERROR(__xludf.DUMMYFUNCTION("""COMPUTED_VALUE"""),"Tanque Combustible 4000 lts Alto")</f>
        <v>Tanque Combustible 4000 lts Alto</v>
      </c>
      <c r="AB3" s="3" t="str">
        <f>IFERROR(__xludf.DUMMYFUNCTION("""COMPUTED_VALUE"""),"Baulera Standard - 750")</f>
        <v>Baulera Standard - 750</v>
      </c>
      <c r="AC3" s="3" t="str">
        <f>IFERROR(__xludf.DUMMYFUNCTION("""COMPUTED_VALUE"""),"Baulera Standard - 1700 - C/Laterales")</f>
        <v>Baulera Standard - 1700 - C/Laterales</v>
      </c>
      <c r="AD3" s="3" t="str">
        <f>IFERROR(__xludf.DUMMYFUNCTION("""COMPUTED_VALUE"""),"Baulera Standard - 1000 - C/Laterales")</f>
        <v>Baulera Standard - 1000 - C/Laterales</v>
      </c>
      <c r="AE3" s="3" t="str">
        <f>IFERROR(__xludf.DUMMYFUNCTION("""COMPUTED_VALUE"""),"Baulera Standard - 750 - C/Laterales")</f>
        <v>Baulera Standard - 750 - C/Laterales</v>
      </c>
      <c r="AF3" s="3" t="str">
        <f>IFERROR(__xludf.DUMMYFUNCTION("""COMPUTED_VALUE"""),"Baulera Standard - 1300 - C/Laterales")</f>
        <v>Baulera Standard - 1300 - C/Laterales</v>
      </c>
      <c r="AG3" s="3" t="str">
        <f>IFERROR(__xludf.DUMMYFUNCTION("""COMPUTED_VALUE"""),"Baulera Alta - 750")</f>
        <v>Baulera Alta - 750</v>
      </c>
      <c r="AH3" s="3" t="str">
        <f>IFERROR(__xludf.DUMMYFUNCTION("""COMPUTED_VALUE"""),"Baulera Alta - 1500 - C/Laterales")</f>
        <v>Baulera Alta - 1500 - C/Laterales</v>
      </c>
      <c r="AI3" s="3" t="str">
        <f>IFERROR(__xludf.DUMMYFUNCTION("""COMPUTED_VALUE"""),"Baulera Extendida 1700 - C/Laterales")</f>
        <v>Baulera Extendida 1700 - C/Laterales</v>
      </c>
      <c r="AJ3" s="3" t="str">
        <f>IFERROR(__xludf.DUMMYFUNCTION("""COMPUTED_VALUE"""),"Taller Móvil - 1500 x 1500 x 1700")</f>
        <v>Taller Móvil - 1500 x 1500 x 1700</v>
      </c>
      <c r="AK3" s="3" t="str">
        <f>IFERROR(__xludf.DUMMYFUNCTION("""COMPUTED_VALUE"""),"Cajón Herramientas Standard Derecho")</f>
        <v>Cajón Herramientas Standard Derecho</v>
      </c>
      <c r="AL3" s="3" t="str">
        <f>IFERROR(__xludf.DUMMYFUNCTION("""COMPUTED_VALUE"""),"Cajón Herramientas Standard Izquierdo")</f>
        <v>Cajón Herramientas Standard Izquierdo</v>
      </c>
      <c r="AM3" s="3" t="str">
        <f>IFERROR(__xludf.DUMMYFUNCTION("""COMPUTED_VALUE"""),"Cajón Herramientas Corto Derecho")</f>
        <v>Cajón Herramientas Corto Derecho</v>
      </c>
      <c r="AN3" s="3" t="str">
        <f>IFERROR(__xludf.DUMMYFUNCTION("""COMPUTED_VALUE"""),"Cajón Herramientas Corto Izquierdo")</f>
        <v>Cajón Herramientas Corto Izquierdo</v>
      </c>
      <c r="AO3" s="3" t="str">
        <f>IFERROR(__xludf.DUMMYFUNCTION("""COMPUTED_VALUE"""),"Cajón Herramientas Mediano Derecho")</f>
        <v>Cajón Herramientas Mediano Derecho</v>
      </c>
      <c r="AP3" s="3" t="str">
        <f>IFERROR(__xludf.DUMMYFUNCTION("""COMPUTED_VALUE"""),"Cajón Herramientas Mediano Izquierdo")</f>
        <v>Cajón Herramientas Mediano Izquierdo</v>
      </c>
      <c r="AQ3" s="3" t="str">
        <f>IFERROR(__xludf.DUMMYFUNCTION("""COMPUTED_VALUE"""),"Chasis Acoplado 2 Ejes L3000")</f>
        <v>Chasis Acoplado 2 Ejes L3000</v>
      </c>
      <c r="AR3" s="3" t="str">
        <f>IFERROR(__xludf.DUMMYFUNCTION("""COMPUTED_VALUE"""),"Chasis Acoplado 2 Ejes L3750")</f>
        <v>Chasis Acoplado 2 Ejes L3750</v>
      </c>
      <c r="AS3" s="3" t="str">
        <f>IFERROR(__xludf.DUMMYFUNCTION("""COMPUTED_VALUE"""),"Chasis Acoplado 2 Ejes L4000")</f>
        <v>Chasis Acoplado 2 Ejes L4000</v>
      </c>
      <c r="AT3" s="3" t="str">
        <f>IFERROR(__xludf.DUMMYFUNCTION("""COMPUTED_VALUE"""),"Chasis Acoplado 2 Ejes L4000 Reforzado")</f>
        <v>Chasis Acoplado 2 Ejes L4000 Reforzado</v>
      </c>
      <c r="AU3" s="3" t="str">
        <f>IFERROR(__xludf.DUMMYFUNCTION("""COMPUTED_VALUE"""),"Chasis Acoplado 2 Ejes L4750")</f>
        <v>Chasis Acoplado 2 Ejes L4750</v>
      </c>
      <c r="AV3" s="3" t="str">
        <f>IFERROR(__xludf.DUMMYFUNCTION("""COMPUTED_VALUE"""),"Chasis Acoplado 2 Ejes L4750 Reforzado")</f>
        <v>Chasis Acoplado 2 Ejes L4750 Reforzado</v>
      </c>
      <c r="AW3" s="3" t="str">
        <f>IFERROR(__xludf.DUMMYFUNCTION("""COMPUTED_VALUE"""),"Chasis Acoplado 2 Ejes L4750 Reforzado R. Camion")</f>
        <v>Chasis Acoplado 2 Ejes L4750 Reforzado R. Camion</v>
      </c>
      <c r="AX3" s="3" t="str">
        <f>IFERROR(__xludf.DUMMYFUNCTION("""COMPUTED_VALUE"""),"Chasis Acoplado 2 Ejes L5000")</f>
        <v>Chasis Acoplado 2 Ejes L5000</v>
      </c>
      <c r="AY3" s="3" t="str">
        <f>IFERROR(__xludf.DUMMYFUNCTION("""COMPUTED_VALUE"""),"Chasis Acoplado 2 Ejes L5750")</f>
        <v>Chasis Acoplado 2 Ejes L5750</v>
      </c>
      <c r="AZ3" s="3" t="str">
        <f>IFERROR(__xludf.DUMMYFUNCTION("""COMPUTED_VALUE"""),"Chasis Acoplado 2 Ejes L6400")</f>
        <v>Chasis Acoplado 2 Ejes L6400</v>
      </c>
      <c r="BA3" s="3" t="str">
        <f>IFERROR(__xludf.DUMMYFUNCTION("""COMPUTED_VALUE"""),"Chasis Acoplado 2 Ejes L4500")</f>
        <v>Chasis Acoplado 2 Ejes L4500</v>
      </c>
      <c r="BB3" s="3" t="str">
        <f>IFERROR(__xludf.DUMMYFUNCTION("""COMPUTED_VALUE"""),"Chasis Acoplado 1 Eje L1500")</f>
        <v>Chasis Acoplado 1 Eje L1500</v>
      </c>
      <c r="BC3" s="3" t="str">
        <f>IFERROR(__xludf.DUMMYFUNCTION("""COMPUTED_VALUE"""),"Chasis Acoplado 1 Eje L1800")</f>
        <v>Chasis Acoplado 1 Eje L1800</v>
      </c>
      <c r="BD3" s="3" t="str">
        <f>IFERROR(__xludf.DUMMYFUNCTION("""COMPUTED_VALUE"""),"Chasis Acoplado 1 Eje L1400")</f>
        <v>Chasis Acoplado 1 Eje L1400</v>
      </c>
      <c r="BE3" s="3" t="str">
        <f>IFERROR(__xludf.DUMMYFUNCTION("""COMPUTED_VALUE"""),"Chasis Acoplado Balancin L3000")</f>
        <v>Chasis Acoplado Balancin L3000</v>
      </c>
      <c r="BF3" s="3" t="str">
        <f>IFERROR(__xludf.DUMMYFUNCTION("""COMPUTED_VALUE"""),"Chasis Acoplado Balancin L3000 Lanza Corta")</f>
        <v>Chasis Acoplado Balancin L3000 Lanza Corta</v>
      </c>
      <c r="BG3" s="3" t="str">
        <f>IFERROR(__xludf.DUMMYFUNCTION("""COMPUTED_VALUE"""),"Chasis Acoplado Balancin L2000 Lanza Corta")</f>
        <v>Chasis Acoplado Balancin L2000 Lanza Corta</v>
      </c>
      <c r="BH3" s="3" t="str">
        <f>IFERROR(__xludf.DUMMYFUNCTION("""COMPUTED_VALUE"""),"Chasis Acoplado Balancin L3200 Lanza Corta")</f>
        <v>Chasis Acoplado Balancin L3200 Lanza Corta</v>
      </c>
      <c r="BI3" s="3" t="str">
        <f>IFERROR(__xludf.DUMMYFUNCTION("""COMPUTED_VALUE"""),"Chasis Acoplado Balancin L3200 Lanza Recta")</f>
        <v>Chasis Acoplado Balancin L3200 Lanza Recta</v>
      </c>
      <c r="BJ3" s="3" t="str">
        <f>IFERROR(__xludf.DUMMYFUNCTION("""COMPUTED_VALUE"""),"Chasis Acoplado Balancin L3200 Bajo Lanza Recta")</f>
        <v>Chasis Acoplado Balancin L3200 Bajo Lanza Recta</v>
      </c>
      <c r="BK3" s="3" t="str">
        <f>IFERROR(__xludf.DUMMYFUNCTION("""COMPUTED_VALUE"""),"Tanque Plastico Horizontal 750 Lts")</f>
        <v>Tanque Plastico Horizontal 750 Lts</v>
      </c>
      <c r="BL3" s="3" t="str">
        <f>IFERROR(__xludf.DUMMYFUNCTION("""COMPUTED_VALUE"""),"Medio Tanque Plastico Superior 700 Lts")</f>
        <v>Medio Tanque Plastico Superior 700 Lts</v>
      </c>
      <c r="BM3" s="3" t="str">
        <f>IFERROR(__xludf.DUMMYFUNCTION("""COMPUTED_VALUE"""),"Paquete de Elasticos 50 mm x 8 mm x 10 Hojas L850")</f>
        <v>Paquete de Elasticos 50 mm x 8 mm x 10 Hojas L850</v>
      </c>
      <c r="BN3" s="3" t="str">
        <f>IFERROR(__xludf.DUMMYFUNCTION("""COMPUTED_VALUE"""),"Paquete de Elasticos 63 mm x 8 mm x 10 Hojas L950")</f>
        <v>Paquete de Elasticos 63 mm x 8 mm x 10 Hojas L950</v>
      </c>
      <c r="BO3" s="3" t="str">
        <f>IFERROR(__xludf.DUMMYFUNCTION("""COMPUTED_VALUE"""),"Paquete de Elasticos 50 mm x 7 mm x 9 Hojas L850")</f>
        <v>Paquete de Elasticos 50 mm x 7 mm x 9 Hojas L850</v>
      </c>
      <c r="BP3" s="3" t="str">
        <f>IFERROR(__xludf.DUMMYFUNCTION("""COMPUTED_VALUE"""),"Paquete de Elasticos 63 mm x 8 mm x 8 Hojas L850")</f>
        <v>Paquete de Elasticos 63 mm x 8 mm x 8 Hojas L850</v>
      </c>
      <c r="BQ3" s="3" t="str">
        <f>IFERROR(__xludf.DUMMYFUNCTION("""COMPUTED_VALUE"""),"Paquete de Elasticos 63 mm x 10 mm x 10 Hojas L950")</f>
        <v>Paquete de Elasticos 63 mm x 10 mm x 10 Hojas L950</v>
      </c>
      <c r="BR3" s="3" t="str">
        <f>IFERROR(__xludf.DUMMYFUNCTION("""COMPUTED_VALUE"""),"Paquete de Elasticos 63 mm x 10 mm x 13 Hojas L975")</f>
        <v>Paquete de Elasticos 63 mm x 10 mm x 13 Hojas L975</v>
      </c>
      <c r="BS3" s="3" t="str">
        <f>IFERROR(__xludf.DUMMYFUNCTION("""COMPUTED_VALUE"""),"Paquete de Elasticos 50 mm x 7 mm x 9 Hojas L650")</f>
        <v>Paquete de Elasticos 50 mm x 7 mm x 9 Hojas L650</v>
      </c>
      <c r="BT3" s="3" t="str">
        <f>IFERROR(__xludf.DUMMYFUNCTION("""COMPUTED_VALUE"""),"Eje Acoplado 2"" x 1600 (06/08) Agrícola Centro 92")</f>
        <v>Eje Acoplado 2" x 1600 (06/08) Agrícola Centro 92</v>
      </c>
      <c r="BU3" s="3" t="str">
        <f>IFERROR(__xludf.DUMMYFUNCTION("""COMPUTED_VALUE"""),"Eje Acoplado 2 1/2"" x 1600 (07/09) Agrícola Centro 92")</f>
        <v>Eje Acoplado 2 1/2" x 1600 (07/09) Agrícola Centro 92</v>
      </c>
      <c r="BV3" s="3" t="str">
        <f>IFERROR(__xludf.DUMMYFUNCTION("""COMPUTED_VALUE"""),"Eje Acoplado 2 1/2"" x 1600 (09/11) Agrícola Centro 150")</f>
        <v>Eje Acoplado 2 1/2" x 1600 (09/11) Agrícola Centro 150</v>
      </c>
      <c r="BW3" s="3" t="str">
        <f>IFERROR(__xludf.DUMMYFUNCTION("""COMPUTED_VALUE"""),"Eje Acoplado 3"" x 1600 (10/13) Agrícola Centro 150")</f>
        <v>Eje Acoplado 3" x 1600 (10/13) Agrícola Centro 150</v>
      </c>
      <c r="BX3" s="3" t="str">
        <f>IFERROR(__xludf.DUMMYFUNCTION("""COMPUTED_VALUE"""),"Eje Acoplado 2 1/2"" x 2140 (07/09) Agrícola Centro 92")</f>
        <v>Eje Acoplado 2 1/2" x 2140 (07/09) Agrícola Centro 92</v>
      </c>
      <c r="BY3" s="3" t="str">
        <f>IFERROR(__xludf.DUMMYFUNCTION("""COMPUTED_VALUE"""),"Eje Acoplado 2"" x 1400 (06/08) Agrícola Centro 92")</f>
        <v>Eje Acoplado 2" x 1400 (06/08) Agrícola Centro 92</v>
      </c>
      <c r="BZ3" s="3" t="str">
        <f>IFERROR(__xludf.DUMMYFUNCTION("""COMPUTED_VALUE"""),"Eje Acoplado 2 1/2"" x 1500 (07/09) Agrícola Centro 92")</f>
        <v>Eje Acoplado 2 1/2" x 1500 (07/09) Agrícola Centro 92</v>
      </c>
      <c r="CA3" s="3" t="str">
        <f>IFERROR(__xludf.DUMMYFUNCTION("""COMPUTED_VALUE"""),"Eje Acoplado 2 1/2"" x 2000 (07/09) Agrícola Centro 92")</f>
        <v>Eje Acoplado 2 1/2" x 2000 (07/09) Agrícola Centro 92</v>
      </c>
      <c r="CB3" s="3" t="str">
        <f>IFERROR(__xludf.DUMMYFUNCTION("""COMPUTED_VALUE"""),"Eje Acoplado 2 1/2"" x 2100 (09/11) Agrícola Centro 150")</f>
        <v>Eje Acoplado 2 1/2" x 2100 (09/11) Agrícola Centro 150</v>
      </c>
      <c r="CC3" s="3" t="str">
        <f>IFERROR(__xludf.DUMMYFUNCTION("""COMPUTED_VALUE"""),"Llanta 16"" Simple Agrícola Centro 92")</f>
        <v>Llanta 16" Simple Agrícola Centro 92</v>
      </c>
      <c r="CD3" s="3" t="str">
        <f>IFERROR(__xludf.DUMMYFUNCTION("""COMPUTED_VALUE"""),"Llanta 16"" Dual Agrícola Centro 92")</f>
        <v>Llanta 16" Dual Agrícola Centro 92</v>
      </c>
      <c r="CE3" s="3" t="str">
        <f>IFERROR(__xludf.DUMMYFUNCTION("""COMPUTED_VALUE"""),"Llanta 17"" Simple Agrícola Centro 92")</f>
        <v>Llanta 17" Simple Agrícola Centro 92</v>
      </c>
      <c r="CF3" s="3" t="str">
        <f>IFERROR(__xludf.DUMMYFUNCTION("""COMPUTED_VALUE"""),"Llanta 17"" Dual Agrícola Centro 92")</f>
        <v>Llanta 17" Dual Agrícola Centro 92</v>
      </c>
      <c r="CG3" s="3" t="str">
        <f>IFERROR(__xludf.DUMMYFUNCTION("""COMPUTED_VALUE"""),"Llanta 16"" Dual Agrícola Centro 152")</f>
        <v>Llanta 16" Dual Agrícola Centro 152</v>
      </c>
      <c r="CH3" s="3" t="str">
        <f>IFERROR(__xludf.DUMMYFUNCTION("""COMPUTED_VALUE"""),"Llanta 17"" Dual Agrícola Centro 152")</f>
        <v>Llanta 17" Dual Agrícola Centro 152</v>
      </c>
      <c r="CI3" s="3" t="str">
        <f>IFERROR(__xludf.DUMMYFUNCTION("""COMPUTED_VALUE"""),"Eje Acoplado 2"" x 1600 (05/07) Agrícola Centro 92")</f>
        <v>Eje Acoplado 2" x 1600 (05/07) Agrícola Centro 92</v>
      </c>
      <c r="CJ3" s="3" t="str">
        <f>IFERROR(__xludf.DUMMYFUNCTION("""COMPUTED_VALUE"""),"Paquete de Elásticos 50 mm x 8 mm x 12 Hojas")</f>
        <v>Paquete de Elásticos 50 mm x 8 mm x 12 Hojas</v>
      </c>
      <c r="CK3" s="3" t="str">
        <f>IFERROR(__xludf.DUMMYFUNCTION("""COMPUTED_VALUE"""),"Plataforma Playo 4.00 x 1.90 x 0.45 Lateral Simple Baranda Fija")</f>
        <v>Plataforma Playo 4.00 x 1.90 x 0.45 Lateral Simple Baranda Fija</v>
      </c>
      <c r="CL3" s="3" t="str">
        <f>IFERROR(__xludf.DUMMYFUNCTION("""COMPUTED_VALUE"""),"Plataforma Playo 4.00 x 1.90 x 0.45 Lateral Simple Baranda Ventilada")</f>
        <v>Plataforma Playo 4.00 x 1.90 x 0.45 Lateral Simple Baranda Ventilada</v>
      </c>
      <c r="CM3" s="3" t="str">
        <f>IFERROR(__xludf.DUMMYFUNCTION("""COMPUTED_VALUE"""),"Plataforma Playo 4.00 x 1.90 x 0.45 Lateral Doble Baranda Ventilada")</f>
        <v>Plataforma Playo 4.00 x 1.90 x 0.45 Lateral Doble Baranda Ventilada</v>
      </c>
      <c r="CN3" s="3" t="str">
        <f>IFERROR(__xludf.DUMMYFUNCTION("""COMPUTED_VALUE"""),"Plataforma Playo 4.00 x 1.90 x 0.45 Lateral Doble Baranda Fija")</f>
        <v>Plataforma Playo 4.00 x 1.90 x 0.45 Lateral Doble Baranda Fija</v>
      </c>
      <c r="CO3" s="3" t="str">
        <f>IFERROR(__xludf.DUMMYFUNCTION("""COMPUTED_VALUE"""),"Plataforma Playo 4.00 x 1.90 x 0.72 Lateral Simple Baranda Fija")</f>
        <v>Plataforma Playo 4.00 x 1.90 x 0.72 Lateral Simple Baranda Fija</v>
      </c>
      <c r="CP3" s="3" t="str">
        <f>IFERROR(__xludf.DUMMYFUNCTION("""COMPUTED_VALUE"""),"Plataforma Playo 4.00 x 1.90 x 0.72 Lateral Doble Baranda Fija")</f>
        <v>Plataforma Playo 4.00 x 1.90 x 0.72 Lateral Doble Baranda Fija</v>
      </c>
      <c r="CQ3" s="3" t="str">
        <f>IFERROR(__xludf.DUMMYFUNCTION("""COMPUTED_VALUE"""),"Plataforma Playo 5.00 x 2.20 x 0.60 Lateral Doble Trasera Rebatible")</f>
        <v>Plataforma Playo 5.00 x 2.20 x 0.60 Lateral Doble Trasera Rebatible</v>
      </c>
      <c r="CR3" s="3" t="str">
        <f>IFERROR(__xludf.DUMMYFUNCTION("""COMPUTED_VALUE"""),"Plataforma Playo 5.00 x 2.20 x 0.60 Lateral Doble Baranda Fija C/Toldo")</f>
        <v>Plataforma Playo 5.00 x 2.20 x 0.60 Lateral Doble Baranda Fija C/Toldo</v>
      </c>
      <c r="CS3" s="3" t="str">
        <f>IFERROR(__xludf.DUMMYFUNCTION("""COMPUTED_VALUE"""),"Plataforma Playo 3.00 x 1.90 x 0.45 Lateral Simple Baranda Fija")</f>
        <v>Plataforma Playo 3.00 x 1.90 x 0.45 Lateral Simple Baranda Fija</v>
      </c>
      <c r="CT3" s="3" t="str">
        <f>IFERROR(__xludf.DUMMYFUNCTION("""COMPUTED_VALUE"""),"Plataforma Playo 3.00 x 1.90 x 0.45 Lateral Simple Baranda Ventilada")</f>
        <v>Plataforma Playo 3.00 x 1.90 x 0.45 Lateral Simple Baranda Ventilada</v>
      </c>
      <c r="CU3" s="3" t="str">
        <f>IFERROR(__xludf.DUMMYFUNCTION("""COMPUTED_VALUE"""),"Plataforma Playo 2.00 x 1.90 x 0.45 Lateral Simple Baranda Fija")</f>
        <v>Plataforma Playo 2.00 x 1.90 x 0.45 Lateral Simple Baranda Fija</v>
      </c>
      <c r="CV3" s="3" t="str">
        <f>IFERROR(__xludf.DUMMYFUNCTION("""COMPUTED_VALUE"""),"Plataforma Playo 5.00 x 1.90 x 0.60 Lateral Doble Baranda Fija")</f>
        <v>Plataforma Playo 5.00 x 1.90 x 0.60 Lateral Doble Baranda Fija</v>
      </c>
      <c r="CW3" s="3" t="str">
        <f>IFERROR(__xludf.DUMMYFUNCTION("""COMPUTED_VALUE"""),"Plataforma Playo 6.40 x 2.70 x 0.72 Lateral Doble Baranda Fija")</f>
        <v>Plataforma Playo 6.40 x 2.70 x 0.72 Lateral Doble Baranda Fija</v>
      </c>
      <c r="CX3" s="3" t="str">
        <f>IFERROR(__xludf.DUMMYFUNCTION("""COMPUTED_VALUE"""),"Chasis Acoplado Balancin L4000 Lanza Recta")</f>
        <v>Chasis Acoplado Balancin L4000 Lanza Recta</v>
      </c>
      <c r="CY3" s="3" t="str">
        <f>IFERROR(__xludf.DUMMYFUNCTION("""COMPUTED_VALUE"""),"Llanta simple Agrícola 750x20 centro 152")</f>
        <v>Llanta simple Agrícola 750x20 centro 152</v>
      </c>
      <c r="CZ3" s="3" t="str">
        <f>IFERROR(__xludf.DUMMYFUNCTION("""COMPUTED_VALUE"""),"Cajón de Herramientas Mediano adelante")</f>
        <v>Cajón de Herramientas Mediano adelante</v>
      </c>
      <c r="DA3" s="3" t="str">
        <f>IFERROR(__xludf.DUMMYFUNCTION("""COMPUTED_VALUE"""),"Llanta 15"" Simple Agrícola Centro 92")</f>
        <v>Llanta 15" Simple Agrícola Centro 92</v>
      </c>
    </row>
    <row r="4" hidden="1">
      <c r="A4" s="38">
        <f t="shared" si="1"/>
        <v>3</v>
      </c>
      <c r="B4" s="38">
        <f>IF(F4="","",SUMIF(Prearmados!E:E,F4,Prearmados!A:A))</f>
        <v>1</v>
      </c>
      <c r="C4" s="38">
        <f>IF(F4="","",SUMIF(Productos!E:E,G4,Productos!A:A))</f>
        <v>100</v>
      </c>
      <c r="D4" s="83" t="str">
        <f t="array" ref="D4">IF(OR(F4="",F4="Seleccionar.."),"",XLOOKUP(F4,Prearmados!E:E,Prearmados!F:F,"",0,1))</f>
        <v>Acoplados Rurales</v>
      </c>
      <c r="E4" s="83">
        <f>IF(H4="","",SUMIF(Precio_Productos!K:K,C4,Precio_Productos!J:J)*H4)</f>
        <v>202800</v>
      </c>
      <c r="F4" s="84" t="s">
        <v>324</v>
      </c>
      <c r="G4" s="84" t="s">
        <v>127</v>
      </c>
      <c r="H4" s="13">
        <v>2.0</v>
      </c>
      <c r="P4" s="3" t="str">
        <f>IFERROR(__xludf.DUMMYFUNCTION("IF(OR(F4="""",F4=""Seleccionar..""),"""",TRANSPOSE(FILTER(Productos!E:E,(Productos!F:F=D4)+(Productos!F:F=XLOOKUP(D4,Implementos!B:B,Implementos!C:C,""-"",0,1)))))"),"Tanque Combustible 1100 lts Bajo")</f>
        <v>Tanque Combustible 1100 lts Bajo</v>
      </c>
      <c r="Q4" s="3" t="str">
        <f>IFERROR(__xludf.DUMMYFUNCTION("""COMPUTED_VALUE"""),"Tanque Combustible 1500 lts Standard")</f>
        <v>Tanque Combustible 1500 lts Standard</v>
      </c>
      <c r="R4" s="3" t="str">
        <f>IFERROR(__xludf.DUMMYFUNCTION("""COMPUTED_VALUE"""),"Tanque Combustible 1800 lts Standard")</f>
        <v>Tanque Combustible 1800 lts Standard</v>
      </c>
      <c r="S4" s="3" t="str">
        <f>IFERROR(__xludf.DUMMYFUNCTION("""COMPUTED_VALUE"""),"Tanque Combustible 2000 lts Bajo")</f>
        <v>Tanque Combustible 2000 lts Bajo</v>
      </c>
      <c r="T4" s="3" t="str">
        <f>IFERROR(__xludf.DUMMYFUNCTION("""COMPUTED_VALUE"""),"Tanque Combustible 2000 lts Standard")</f>
        <v>Tanque Combustible 2000 lts Standard</v>
      </c>
      <c r="U4" s="3" t="str">
        <f>IFERROR(__xludf.DUMMYFUNCTION("""COMPUTED_VALUE"""),"Tanque Combustible 3000 lts Standard")</f>
        <v>Tanque Combustible 3000 lts Standard</v>
      </c>
      <c r="V4" s="3" t="str">
        <f>IFERROR(__xludf.DUMMYFUNCTION("""COMPUTED_VALUE"""),"Tanque Combustible 3000 lts Alto")</f>
        <v>Tanque Combustible 3000 lts Alto</v>
      </c>
      <c r="W4" s="3" t="str">
        <f>IFERROR(__xludf.DUMMYFUNCTION("""COMPUTED_VALUE"""),"Tanque Combustible 4000 lts Standard")</f>
        <v>Tanque Combustible 4000 lts Standard</v>
      </c>
      <c r="X4" s="3" t="str">
        <f>IFERROR(__xludf.DUMMYFUNCTION("""COMPUTED_VALUE"""),"Tanque Combustible 5000 lts Standard")</f>
        <v>Tanque Combustible 5000 lts Standard</v>
      </c>
      <c r="Y4" s="3" t="str">
        <f>IFERROR(__xludf.DUMMYFUNCTION("""COMPUTED_VALUE"""),"Tanque Combustible 5000 lts Alto")</f>
        <v>Tanque Combustible 5000 lts Alto</v>
      </c>
      <c r="Z4" s="3" t="str">
        <f>IFERROR(__xludf.DUMMYFUNCTION("""COMPUTED_VALUE"""),"Tanque Combustible 2000 lts Alto")</f>
        <v>Tanque Combustible 2000 lts Alto</v>
      </c>
      <c r="AA4" s="3" t="str">
        <f>IFERROR(__xludf.DUMMYFUNCTION("""COMPUTED_VALUE"""),"Tanque Combustible 4000 lts Alto")</f>
        <v>Tanque Combustible 4000 lts Alto</v>
      </c>
      <c r="AB4" s="3" t="str">
        <f>IFERROR(__xludf.DUMMYFUNCTION("""COMPUTED_VALUE"""),"Baulera Standard - 750")</f>
        <v>Baulera Standard - 750</v>
      </c>
      <c r="AC4" s="3" t="str">
        <f>IFERROR(__xludf.DUMMYFUNCTION("""COMPUTED_VALUE"""),"Baulera Standard - 1700 - C/Laterales")</f>
        <v>Baulera Standard - 1700 - C/Laterales</v>
      </c>
      <c r="AD4" s="3" t="str">
        <f>IFERROR(__xludf.DUMMYFUNCTION("""COMPUTED_VALUE"""),"Baulera Standard - 1000 - C/Laterales")</f>
        <v>Baulera Standard - 1000 - C/Laterales</v>
      </c>
      <c r="AE4" s="3" t="str">
        <f>IFERROR(__xludf.DUMMYFUNCTION("""COMPUTED_VALUE"""),"Baulera Standard - 750 - C/Laterales")</f>
        <v>Baulera Standard - 750 - C/Laterales</v>
      </c>
      <c r="AF4" s="3" t="str">
        <f>IFERROR(__xludf.DUMMYFUNCTION("""COMPUTED_VALUE"""),"Baulera Standard - 1300 - C/Laterales")</f>
        <v>Baulera Standard - 1300 - C/Laterales</v>
      </c>
      <c r="AG4" s="3" t="str">
        <f>IFERROR(__xludf.DUMMYFUNCTION("""COMPUTED_VALUE"""),"Baulera Alta - 750")</f>
        <v>Baulera Alta - 750</v>
      </c>
      <c r="AH4" s="3" t="str">
        <f>IFERROR(__xludf.DUMMYFUNCTION("""COMPUTED_VALUE"""),"Baulera Alta - 1500 - C/Laterales")</f>
        <v>Baulera Alta - 1500 - C/Laterales</v>
      </c>
      <c r="AI4" s="3" t="str">
        <f>IFERROR(__xludf.DUMMYFUNCTION("""COMPUTED_VALUE"""),"Baulera Extendida 1700 - C/Laterales")</f>
        <v>Baulera Extendida 1700 - C/Laterales</v>
      </c>
      <c r="AJ4" s="3" t="str">
        <f>IFERROR(__xludf.DUMMYFUNCTION("""COMPUTED_VALUE"""),"Taller Móvil - 1500 x 1500 x 1700")</f>
        <v>Taller Móvil - 1500 x 1500 x 1700</v>
      </c>
      <c r="AK4" s="3" t="str">
        <f>IFERROR(__xludf.DUMMYFUNCTION("""COMPUTED_VALUE"""),"Cajón Herramientas Standard Derecho")</f>
        <v>Cajón Herramientas Standard Derecho</v>
      </c>
      <c r="AL4" s="3" t="str">
        <f>IFERROR(__xludf.DUMMYFUNCTION("""COMPUTED_VALUE"""),"Cajón Herramientas Standard Izquierdo")</f>
        <v>Cajón Herramientas Standard Izquierdo</v>
      </c>
      <c r="AM4" s="3" t="str">
        <f>IFERROR(__xludf.DUMMYFUNCTION("""COMPUTED_VALUE"""),"Cajón Herramientas Corto Derecho")</f>
        <v>Cajón Herramientas Corto Derecho</v>
      </c>
      <c r="AN4" s="3" t="str">
        <f>IFERROR(__xludf.DUMMYFUNCTION("""COMPUTED_VALUE"""),"Cajón Herramientas Corto Izquierdo")</f>
        <v>Cajón Herramientas Corto Izquierdo</v>
      </c>
      <c r="AO4" s="3" t="str">
        <f>IFERROR(__xludf.DUMMYFUNCTION("""COMPUTED_VALUE"""),"Cajón Herramientas Mediano Derecho")</f>
        <v>Cajón Herramientas Mediano Derecho</v>
      </c>
      <c r="AP4" s="3" t="str">
        <f>IFERROR(__xludf.DUMMYFUNCTION("""COMPUTED_VALUE"""),"Cajón Herramientas Mediano Izquierdo")</f>
        <v>Cajón Herramientas Mediano Izquierdo</v>
      </c>
      <c r="AQ4" s="3" t="str">
        <f>IFERROR(__xludf.DUMMYFUNCTION("""COMPUTED_VALUE"""),"Chasis Acoplado 2 Ejes L3000")</f>
        <v>Chasis Acoplado 2 Ejes L3000</v>
      </c>
      <c r="AR4" s="3" t="str">
        <f>IFERROR(__xludf.DUMMYFUNCTION("""COMPUTED_VALUE"""),"Chasis Acoplado 2 Ejes L3750")</f>
        <v>Chasis Acoplado 2 Ejes L3750</v>
      </c>
      <c r="AS4" s="3" t="str">
        <f>IFERROR(__xludf.DUMMYFUNCTION("""COMPUTED_VALUE"""),"Chasis Acoplado 2 Ejes L4000")</f>
        <v>Chasis Acoplado 2 Ejes L4000</v>
      </c>
      <c r="AT4" s="3" t="str">
        <f>IFERROR(__xludf.DUMMYFUNCTION("""COMPUTED_VALUE"""),"Chasis Acoplado 2 Ejes L4000 Reforzado")</f>
        <v>Chasis Acoplado 2 Ejes L4000 Reforzado</v>
      </c>
      <c r="AU4" s="3" t="str">
        <f>IFERROR(__xludf.DUMMYFUNCTION("""COMPUTED_VALUE"""),"Chasis Acoplado 2 Ejes L4750")</f>
        <v>Chasis Acoplado 2 Ejes L4750</v>
      </c>
      <c r="AV4" s="3" t="str">
        <f>IFERROR(__xludf.DUMMYFUNCTION("""COMPUTED_VALUE"""),"Chasis Acoplado 2 Ejes L4750 Reforzado")</f>
        <v>Chasis Acoplado 2 Ejes L4750 Reforzado</v>
      </c>
      <c r="AW4" s="3" t="str">
        <f>IFERROR(__xludf.DUMMYFUNCTION("""COMPUTED_VALUE"""),"Chasis Acoplado 2 Ejes L4750 Reforzado R. Camion")</f>
        <v>Chasis Acoplado 2 Ejes L4750 Reforzado R. Camion</v>
      </c>
      <c r="AX4" s="3" t="str">
        <f>IFERROR(__xludf.DUMMYFUNCTION("""COMPUTED_VALUE"""),"Chasis Acoplado 2 Ejes L5000")</f>
        <v>Chasis Acoplado 2 Ejes L5000</v>
      </c>
      <c r="AY4" s="3" t="str">
        <f>IFERROR(__xludf.DUMMYFUNCTION("""COMPUTED_VALUE"""),"Chasis Acoplado 2 Ejes L5750")</f>
        <v>Chasis Acoplado 2 Ejes L5750</v>
      </c>
      <c r="AZ4" s="3" t="str">
        <f>IFERROR(__xludf.DUMMYFUNCTION("""COMPUTED_VALUE"""),"Chasis Acoplado 2 Ejes L6400")</f>
        <v>Chasis Acoplado 2 Ejes L6400</v>
      </c>
      <c r="BA4" s="3" t="str">
        <f>IFERROR(__xludf.DUMMYFUNCTION("""COMPUTED_VALUE"""),"Chasis Acoplado 2 Ejes L4500")</f>
        <v>Chasis Acoplado 2 Ejes L4500</v>
      </c>
      <c r="BB4" s="3" t="str">
        <f>IFERROR(__xludf.DUMMYFUNCTION("""COMPUTED_VALUE"""),"Chasis Acoplado 1 Eje L1500")</f>
        <v>Chasis Acoplado 1 Eje L1500</v>
      </c>
      <c r="BC4" s="3" t="str">
        <f>IFERROR(__xludf.DUMMYFUNCTION("""COMPUTED_VALUE"""),"Chasis Acoplado 1 Eje L1800")</f>
        <v>Chasis Acoplado 1 Eje L1800</v>
      </c>
      <c r="BD4" s="3" t="str">
        <f>IFERROR(__xludf.DUMMYFUNCTION("""COMPUTED_VALUE"""),"Chasis Acoplado 1 Eje L1400")</f>
        <v>Chasis Acoplado 1 Eje L1400</v>
      </c>
      <c r="BE4" s="3" t="str">
        <f>IFERROR(__xludf.DUMMYFUNCTION("""COMPUTED_VALUE"""),"Chasis Acoplado Balancin L3000")</f>
        <v>Chasis Acoplado Balancin L3000</v>
      </c>
      <c r="BF4" s="3" t="str">
        <f>IFERROR(__xludf.DUMMYFUNCTION("""COMPUTED_VALUE"""),"Chasis Acoplado Balancin L3000 Lanza Corta")</f>
        <v>Chasis Acoplado Balancin L3000 Lanza Corta</v>
      </c>
      <c r="BG4" s="3" t="str">
        <f>IFERROR(__xludf.DUMMYFUNCTION("""COMPUTED_VALUE"""),"Chasis Acoplado Balancin L2000 Lanza Corta")</f>
        <v>Chasis Acoplado Balancin L2000 Lanza Corta</v>
      </c>
      <c r="BH4" s="3" t="str">
        <f>IFERROR(__xludf.DUMMYFUNCTION("""COMPUTED_VALUE"""),"Chasis Acoplado Balancin L3200 Lanza Corta")</f>
        <v>Chasis Acoplado Balancin L3200 Lanza Corta</v>
      </c>
      <c r="BI4" s="3" t="str">
        <f>IFERROR(__xludf.DUMMYFUNCTION("""COMPUTED_VALUE"""),"Chasis Acoplado Balancin L3200 Lanza Recta")</f>
        <v>Chasis Acoplado Balancin L3200 Lanza Recta</v>
      </c>
      <c r="BJ4" s="3" t="str">
        <f>IFERROR(__xludf.DUMMYFUNCTION("""COMPUTED_VALUE"""),"Chasis Acoplado Balancin L3200 Bajo Lanza Recta")</f>
        <v>Chasis Acoplado Balancin L3200 Bajo Lanza Recta</v>
      </c>
      <c r="BK4" s="3" t="str">
        <f>IFERROR(__xludf.DUMMYFUNCTION("""COMPUTED_VALUE"""),"Tanque Plastico Horizontal 750 Lts")</f>
        <v>Tanque Plastico Horizontal 750 Lts</v>
      </c>
      <c r="BL4" s="3" t="str">
        <f>IFERROR(__xludf.DUMMYFUNCTION("""COMPUTED_VALUE"""),"Medio Tanque Plastico Superior 700 Lts")</f>
        <v>Medio Tanque Plastico Superior 700 Lts</v>
      </c>
      <c r="BM4" s="3" t="str">
        <f>IFERROR(__xludf.DUMMYFUNCTION("""COMPUTED_VALUE"""),"Paquete de Elasticos 50 mm x 8 mm x 10 Hojas L850")</f>
        <v>Paquete de Elasticos 50 mm x 8 mm x 10 Hojas L850</v>
      </c>
      <c r="BN4" s="3" t="str">
        <f>IFERROR(__xludf.DUMMYFUNCTION("""COMPUTED_VALUE"""),"Paquete de Elasticos 63 mm x 8 mm x 10 Hojas L950")</f>
        <v>Paquete de Elasticos 63 mm x 8 mm x 10 Hojas L950</v>
      </c>
      <c r="BO4" s="3" t="str">
        <f>IFERROR(__xludf.DUMMYFUNCTION("""COMPUTED_VALUE"""),"Paquete de Elasticos 50 mm x 7 mm x 9 Hojas L850")</f>
        <v>Paquete de Elasticos 50 mm x 7 mm x 9 Hojas L850</v>
      </c>
      <c r="BP4" s="3" t="str">
        <f>IFERROR(__xludf.DUMMYFUNCTION("""COMPUTED_VALUE"""),"Paquete de Elasticos 63 mm x 8 mm x 8 Hojas L850")</f>
        <v>Paquete de Elasticos 63 mm x 8 mm x 8 Hojas L850</v>
      </c>
      <c r="BQ4" s="3" t="str">
        <f>IFERROR(__xludf.DUMMYFUNCTION("""COMPUTED_VALUE"""),"Paquete de Elasticos 63 mm x 10 mm x 10 Hojas L950")</f>
        <v>Paquete de Elasticos 63 mm x 10 mm x 10 Hojas L950</v>
      </c>
      <c r="BR4" s="3" t="str">
        <f>IFERROR(__xludf.DUMMYFUNCTION("""COMPUTED_VALUE"""),"Paquete de Elasticos 63 mm x 10 mm x 13 Hojas L975")</f>
        <v>Paquete de Elasticos 63 mm x 10 mm x 13 Hojas L975</v>
      </c>
      <c r="BS4" s="3" t="str">
        <f>IFERROR(__xludf.DUMMYFUNCTION("""COMPUTED_VALUE"""),"Paquete de Elasticos 50 mm x 7 mm x 9 Hojas L650")</f>
        <v>Paquete de Elasticos 50 mm x 7 mm x 9 Hojas L650</v>
      </c>
      <c r="BT4" s="3" t="str">
        <f>IFERROR(__xludf.DUMMYFUNCTION("""COMPUTED_VALUE"""),"Eje Acoplado 2"" x 1600 (06/08) Agrícola Centro 92")</f>
        <v>Eje Acoplado 2" x 1600 (06/08) Agrícola Centro 92</v>
      </c>
      <c r="BU4" s="3" t="str">
        <f>IFERROR(__xludf.DUMMYFUNCTION("""COMPUTED_VALUE"""),"Eje Acoplado 2 1/2"" x 1600 (07/09) Agrícola Centro 92")</f>
        <v>Eje Acoplado 2 1/2" x 1600 (07/09) Agrícola Centro 92</v>
      </c>
      <c r="BV4" s="3" t="str">
        <f>IFERROR(__xludf.DUMMYFUNCTION("""COMPUTED_VALUE"""),"Eje Acoplado 2 1/2"" x 1600 (09/11) Agrícola Centro 150")</f>
        <v>Eje Acoplado 2 1/2" x 1600 (09/11) Agrícola Centro 150</v>
      </c>
      <c r="BW4" s="3" t="str">
        <f>IFERROR(__xludf.DUMMYFUNCTION("""COMPUTED_VALUE"""),"Eje Acoplado 3"" x 1600 (10/13) Agrícola Centro 150")</f>
        <v>Eje Acoplado 3" x 1600 (10/13) Agrícola Centro 150</v>
      </c>
      <c r="BX4" s="3" t="str">
        <f>IFERROR(__xludf.DUMMYFUNCTION("""COMPUTED_VALUE"""),"Eje Acoplado 2 1/2"" x 2140 (07/09) Agrícola Centro 92")</f>
        <v>Eje Acoplado 2 1/2" x 2140 (07/09) Agrícola Centro 92</v>
      </c>
      <c r="BY4" s="3" t="str">
        <f>IFERROR(__xludf.DUMMYFUNCTION("""COMPUTED_VALUE"""),"Eje Acoplado 2"" x 1400 (06/08) Agrícola Centro 92")</f>
        <v>Eje Acoplado 2" x 1400 (06/08) Agrícola Centro 92</v>
      </c>
      <c r="BZ4" s="3" t="str">
        <f>IFERROR(__xludf.DUMMYFUNCTION("""COMPUTED_VALUE"""),"Eje Acoplado 2 1/2"" x 1500 (07/09) Agrícola Centro 92")</f>
        <v>Eje Acoplado 2 1/2" x 1500 (07/09) Agrícola Centro 92</v>
      </c>
      <c r="CA4" s="3" t="str">
        <f>IFERROR(__xludf.DUMMYFUNCTION("""COMPUTED_VALUE"""),"Eje Acoplado 2 1/2"" x 2000 (07/09) Agrícola Centro 92")</f>
        <v>Eje Acoplado 2 1/2" x 2000 (07/09) Agrícola Centro 92</v>
      </c>
      <c r="CB4" s="3" t="str">
        <f>IFERROR(__xludf.DUMMYFUNCTION("""COMPUTED_VALUE"""),"Eje Acoplado 2 1/2"" x 2100 (09/11) Agrícola Centro 150")</f>
        <v>Eje Acoplado 2 1/2" x 2100 (09/11) Agrícola Centro 150</v>
      </c>
      <c r="CC4" s="3" t="str">
        <f>IFERROR(__xludf.DUMMYFUNCTION("""COMPUTED_VALUE"""),"Llanta 16"" Simple Agrícola Centro 92")</f>
        <v>Llanta 16" Simple Agrícola Centro 92</v>
      </c>
      <c r="CD4" s="3" t="str">
        <f>IFERROR(__xludf.DUMMYFUNCTION("""COMPUTED_VALUE"""),"Llanta 16"" Dual Agrícola Centro 92")</f>
        <v>Llanta 16" Dual Agrícola Centro 92</v>
      </c>
      <c r="CE4" s="3" t="str">
        <f>IFERROR(__xludf.DUMMYFUNCTION("""COMPUTED_VALUE"""),"Llanta 17"" Simple Agrícola Centro 92")</f>
        <v>Llanta 17" Simple Agrícola Centro 92</v>
      </c>
      <c r="CF4" s="3" t="str">
        <f>IFERROR(__xludf.DUMMYFUNCTION("""COMPUTED_VALUE"""),"Llanta 17"" Dual Agrícola Centro 92")</f>
        <v>Llanta 17" Dual Agrícola Centro 92</v>
      </c>
      <c r="CG4" s="3" t="str">
        <f>IFERROR(__xludf.DUMMYFUNCTION("""COMPUTED_VALUE"""),"Llanta 16"" Dual Agrícola Centro 152")</f>
        <v>Llanta 16" Dual Agrícola Centro 152</v>
      </c>
      <c r="CH4" s="3" t="str">
        <f>IFERROR(__xludf.DUMMYFUNCTION("""COMPUTED_VALUE"""),"Llanta 17"" Dual Agrícola Centro 152")</f>
        <v>Llanta 17" Dual Agrícola Centro 152</v>
      </c>
      <c r="CI4" s="3" t="str">
        <f>IFERROR(__xludf.DUMMYFUNCTION("""COMPUTED_VALUE"""),"Eje Acoplado 2"" x 1600 (05/07) Agrícola Centro 92")</f>
        <v>Eje Acoplado 2" x 1600 (05/07) Agrícola Centro 92</v>
      </c>
      <c r="CJ4" s="3" t="str">
        <f>IFERROR(__xludf.DUMMYFUNCTION("""COMPUTED_VALUE"""),"Paquete de Elásticos 50 mm x 8 mm x 12 Hojas")</f>
        <v>Paquete de Elásticos 50 mm x 8 mm x 12 Hojas</v>
      </c>
      <c r="CK4" s="3" t="str">
        <f>IFERROR(__xludf.DUMMYFUNCTION("""COMPUTED_VALUE"""),"Plataforma Playo 4.00 x 1.90 x 0.45 Lateral Simple Baranda Fija")</f>
        <v>Plataforma Playo 4.00 x 1.90 x 0.45 Lateral Simple Baranda Fija</v>
      </c>
      <c r="CL4" s="3" t="str">
        <f>IFERROR(__xludf.DUMMYFUNCTION("""COMPUTED_VALUE"""),"Plataforma Playo 4.00 x 1.90 x 0.45 Lateral Simple Baranda Ventilada")</f>
        <v>Plataforma Playo 4.00 x 1.90 x 0.45 Lateral Simple Baranda Ventilada</v>
      </c>
      <c r="CM4" s="3" t="str">
        <f>IFERROR(__xludf.DUMMYFUNCTION("""COMPUTED_VALUE"""),"Plataforma Playo 4.00 x 1.90 x 0.45 Lateral Doble Baranda Ventilada")</f>
        <v>Plataforma Playo 4.00 x 1.90 x 0.45 Lateral Doble Baranda Ventilada</v>
      </c>
      <c r="CN4" s="3" t="str">
        <f>IFERROR(__xludf.DUMMYFUNCTION("""COMPUTED_VALUE"""),"Plataforma Playo 4.00 x 1.90 x 0.45 Lateral Doble Baranda Fija")</f>
        <v>Plataforma Playo 4.00 x 1.90 x 0.45 Lateral Doble Baranda Fija</v>
      </c>
      <c r="CO4" s="3" t="str">
        <f>IFERROR(__xludf.DUMMYFUNCTION("""COMPUTED_VALUE"""),"Plataforma Playo 4.00 x 1.90 x 0.72 Lateral Simple Baranda Fija")</f>
        <v>Plataforma Playo 4.00 x 1.90 x 0.72 Lateral Simple Baranda Fija</v>
      </c>
      <c r="CP4" s="3" t="str">
        <f>IFERROR(__xludf.DUMMYFUNCTION("""COMPUTED_VALUE"""),"Plataforma Playo 4.00 x 1.90 x 0.72 Lateral Doble Baranda Fija")</f>
        <v>Plataforma Playo 4.00 x 1.90 x 0.72 Lateral Doble Baranda Fija</v>
      </c>
      <c r="CQ4" s="3" t="str">
        <f>IFERROR(__xludf.DUMMYFUNCTION("""COMPUTED_VALUE"""),"Plataforma Playo 5.00 x 2.20 x 0.60 Lateral Doble Trasera Rebatible")</f>
        <v>Plataforma Playo 5.00 x 2.20 x 0.60 Lateral Doble Trasera Rebatible</v>
      </c>
      <c r="CR4" s="3" t="str">
        <f>IFERROR(__xludf.DUMMYFUNCTION("""COMPUTED_VALUE"""),"Plataforma Playo 5.00 x 2.20 x 0.60 Lateral Doble Baranda Fija C/Toldo")</f>
        <v>Plataforma Playo 5.00 x 2.20 x 0.60 Lateral Doble Baranda Fija C/Toldo</v>
      </c>
      <c r="CS4" s="3" t="str">
        <f>IFERROR(__xludf.DUMMYFUNCTION("""COMPUTED_VALUE"""),"Plataforma Playo 3.00 x 1.90 x 0.45 Lateral Simple Baranda Fija")</f>
        <v>Plataforma Playo 3.00 x 1.90 x 0.45 Lateral Simple Baranda Fija</v>
      </c>
      <c r="CT4" s="3" t="str">
        <f>IFERROR(__xludf.DUMMYFUNCTION("""COMPUTED_VALUE"""),"Plataforma Playo 3.00 x 1.90 x 0.45 Lateral Simple Baranda Ventilada")</f>
        <v>Plataforma Playo 3.00 x 1.90 x 0.45 Lateral Simple Baranda Ventilada</v>
      </c>
      <c r="CU4" s="3" t="str">
        <f>IFERROR(__xludf.DUMMYFUNCTION("""COMPUTED_VALUE"""),"Plataforma Playo 2.00 x 1.90 x 0.45 Lateral Simple Baranda Fija")</f>
        <v>Plataforma Playo 2.00 x 1.90 x 0.45 Lateral Simple Baranda Fija</v>
      </c>
      <c r="CV4" s="3" t="str">
        <f>IFERROR(__xludf.DUMMYFUNCTION("""COMPUTED_VALUE"""),"Plataforma Playo 5.00 x 1.90 x 0.60 Lateral Doble Baranda Fija")</f>
        <v>Plataforma Playo 5.00 x 1.90 x 0.60 Lateral Doble Baranda Fija</v>
      </c>
      <c r="CW4" s="3" t="str">
        <f>IFERROR(__xludf.DUMMYFUNCTION("""COMPUTED_VALUE"""),"Plataforma Playo 6.40 x 2.70 x 0.72 Lateral Doble Baranda Fija")</f>
        <v>Plataforma Playo 6.40 x 2.70 x 0.72 Lateral Doble Baranda Fija</v>
      </c>
      <c r="CX4" s="3" t="str">
        <f>IFERROR(__xludf.DUMMYFUNCTION("""COMPUTED_VALUE"""),"Chasis Acoplado Balancin L4000 Lanza Recta")</f>
        <v>Chasis Acoplado Balancin L4000 Lanza Recta</v>
      </c>
      <c r="CY4" s="3" t="str">
        <f>IFERROR(__xludf.DUMMYFUNCTION("""COMPUTED_VALUE"""),"Llanta simple Agrícola 750x20 centro 152")</f>
        <v>Llanta simple Agrícola 750x20 centro 152</v>
      </c>
      <c r="CZ4" s="3" t="str">
        <f>IFERROR(__xludf.DUMMYFUNCTION("""COMPUTED_VALUE"""),"Cajón de Herramientas Mediano adelante")</f>
        <v>Cajón de Herramientas Mediano adelante</v>
      </c>
      <c r="DA4" s="3" t="str">
        <f>IFERROR(__xludf.DUMMYFUNCTION("""COMPUTED_VALUE"""),"Llanta 15"" Simple Agrícola Centro 92")</f>
        <v>Llanta 15" Simple Agrícola Centro 92</v>
      </c>
    </row>
    <row r="5" hidden="1">
      <c r="A5" s="38">
        <f t="shared" si="1"/>
        <v>4</v>
      </c>
      <c r="B5" s="38">
        <f>IF(F5="","",SUMIF(Prearmados!E:E,F5,Prearmados!A:A))</f>
        <v>1</v>
      </c>
      <c r="C5" s="38">
        <f>IF(F5="","",SUMIF(Productos!E:E,G5,Productos!A:A))</f>
        <v>110</v>
      </c>
      <c r="D5" s="83" t="str">
        <f t="array" ref="D5">IF(OR(F5="",F5="Seleccionar.."),"",XLOOKUP(F5,Prearmados!E:E,Prearmados!F:F,"",0,1))</f>
        <v>Acoplados Rurales</v>
      </c>
      <c r="E5" s="83">
        <f>IF(H5="","",SUMIF(Precio_Productos!K:K,C5,Precio_Productos!J:J)*H5)</f>
        <v>238400</v>
      </c>
      <c r="F5" s="84" t="s">
        <v>324</v>
      </c>
      <c r="G5" s="84" t="s">
        <v>129</v>
      </c>
      <c r="H5" s="13">
        <v>2.0</v>
      </c>
      <c r="P5" s="3" t="str">
        <f>IFERROR(__xludf.DUMMYFUNCTION("IF(OR(F5="""",F5=""Seleccionar..""),"""",TRANSPOSE(FILTER(Productos!E:E,(Productos!F:F=D5)+(Productos!F:F=XLOOKUP(D5,Implementos!B:B,Implementos!C:C,""-"",0,1)))))"),"Tanque Combustible 1100 lts Bajo")</f>
        <v>Tanque Combustible 1100 lts Bajo</v>
      </c>
      <c r="Q5" s="3" t="str">
        <f>IFERROR(__xludf.DUMMYFUNCTION("""COMPUTED_VALUE"""),"Tanque Combustible 1500 lts Standard")</f>
        <v>Tanque Combustible 1500 lts Standard</v>
      </c>
      <c r="R5" s="3" t="str">
        <f>IFERROR(__xludf.DUMMYFUNCTION("""COMPUTED_VALUE"""),"Tanque Combustible 1800 lts Standard")</f>
        <v>Tanque Combustible 1800 lts Standard</v>
      </c>
      <c r="S5" s="3" t="str">
        <f>IFERROR(__xludf.DUMMYFUNCTION("""COMPUTED_VALUE"""),"Tanque Combustible 2000 lts Bajo")</f>
        <v>Tanque Combustible 2000 lts Bajo</v>
      </c>
      <c r="T5" s="3" t="str">
        <f>IFERROR(__xludf.DUMMYFUNCTION("""COMPUTED_VALUE"""),"Tanque Combustible 2000 lts Standard")</f>
        <v>Tanque Combustible 2000 lts Standard</v>
      </c>
      <c r="U5" s="3" t="str">
        <f>IFERROR(__xludf.DUMMYFUNCTION("""COMPUTED_VALUE"""),"Tanque Combustible 3000 lts Standard")</f>
        <v>Tanque Combustible 3000 lts Standard</v>
      </c>
      <c r="V5" s="3" t="str">
        <f>IFERROR(__xludf.DUMMYFUNCTION("""COMPUTED_VALUE"""),"Tanque Combustible 3000 lts Alto")</f>
        <v>Tanque Combustible 3000 lts Alto</v>
      </c>
      <c r="W5" s="3" t="str">
        <f>IFERROR(__xludf.DUMMYFUNCTION("""COMPUTED_VALUE"""),"Tanque Combustible 4000 lts Standard")</f>
        <v>Tanque Combustible 4000 lts Standard</v>
      </c>
      <c r="X5" s="3" t="str">
        <f>IFERROR(__xludf.DUMMYFUNCTION("""COMPUTED_VALUE"""),"Tanque Combustible 5000 lts Standard")</f>
        <v>Tanque Combustible 5000 lts Standard</v>
      </c>
      <c r="Y5" s="3" t="str">
        <f>IFERROR(__xludf.DUMMYFUNCTION("""COMPUTED_VALUE"""),"Tanque Combustible 5000 lts Alto")</f>
        <v>Tanque Combustible 5000 lts Alto</v>
      </c>
      <c r="Z5" s="3" t="str">
        <f>IFERROR(__xludf.DUMMYFUNCTION("""COMPUTED_VALUE"""),"Tanque Combustible 2000 lts Alto")</f>
        <v>Tanque Combustible 2000 lts Alto</v>
      </c>
      <c r="AA5" s="3" t="str">
        <f>IFERROR(__xludf.DUMMYFUNCTION("""COMPUTED_VALUE"""),"Tanque Combustible 4000 lts Alto")</f>
        <v>Tanque Combustible 4000 lts Alto</v>
      </c>
      <c r="AB5" s="3" t="str">
        <f>IFERROR(__xludf.DUMMYFUNCTION("""COMPUTED_VALUE"""),"Baulera Standard - 750")</f>
        <v>Baulera Standard - 750</v>
      </c>
      <c r="AC5" s="3" t="str">
        <f>IFERROR(__xludf.DUMMYFUNCTION("""COMPUTED_VALUE"""),"Baulera Standard - 1700 - C/Laterales")</f>
        <v>Baulera Standard - 1700 - C/Laterales</v>
      </c>
      <c r="AD5" s="3" t="str">
        <f>IFERROR(__xludf.DUMMYFUNCTION("""COMPUTED_VALUE"""),"Baulera Standard - 1000 - C/Laterales")</f>
        <v>Baulera Standard - 1000 - C/Laterales</v>
      </c>
      <c r="AE5" s="3" t="str">
        <f>IFERROR(__xludf.DUMMYFUNCTION("""COMPUTED_VALUE"""),"Baulera Standard - 750 - C/Laterales")</f>
        <v>Baulera Standard - 750 - C/Laterales</v>
      </c>
      <c r="AF5" s="3" t="str">
        <f>IFERROR(__xludf.DUMMYFUNCTION("""COMPUTED_VALUE"""),"Baulera Standard - 1300 - C/Laterales")</f>
        <v>Baulera Standard - 1300 - C/Laterales</v>
      </c>
      <c r="AG5" s="3" t="str">
        <f>IFERROR(__xludf.DUMMYFUNCTION("""COMPUTED_VALUE"""),"Baulera Alta - 750")</f>
        <v>Baulera Alta - 750</v>
      </c>
      <c r="AH5" s="3" t="str">
        <f>IFERROR(__xludf.DUMMYFUNCTION("""COMPUTED_VALUE"""),"Baulera Alta - 1500 - C/Laterales")</f>
        <v>Baulera Alta - 1500 - C/Laterales</v>
      </c>
      <c r="AI5" s="3" t="str">
        <f>IFERROR(__xludf.DUMMYFUNCTION("""COMPUTED_VALUE"""),"Baulera Extendida 1700 - C/Laterales")</f>
        <v>Baulera Extendida 1700 - C/Laterales</v>
      </c>
      <c r="AJ5" s="3" t="str">
        <f>IFERROR(__xludf.DUMMYFUNCTION("""COMPUTED_VALUE"""),"Taller Móvil - 1500 x 1500 x 1700")</f>
        <v>Taller Móvil - 1500 x 1500 x 1700</v>
      </c>
      <c r="AK5" s="3" t="str">
        <f>IFERROR(__xludf.DUMMYFUNCTION("""COMPUTED_VALUE"""),"Cajón Herramientas Standard Derecho")</f>
        <v>Cajón Herramientas Standard Derecho</v>
      </c>
      <c r="AL5" s="3" t="str">
        <f>IFERROR(__xludf.DUMMYFUNCTION("""COMPUTED_VALUE"""),"Cajón Herramientas Standard Izquierdo")</f>
        <v>Cajón Herramientas Standard Izquierdo</v>
      </c>
      <c r="AM5" s="3" t="str">
        <f>IFERROR(__xludf.DUMMYFUNCTION("""COMPUTED_VALUE"""),"Cajón Herramientas Corto Derecho")</f>
        <v>Cajón Herramientas Corto Derecho</v>
      </c>
      <c r="AN5" s="3" t="str">
        <f>IFERROR(__xludf.DUMMYFUNCTION("""COMPUTED_VALUE"""),"Cajón Herramientas Corto Izquierdo")</f>
        <v>Cajón Herramientas Corto Izquierdo</v>
      </c>
      <c r="AO5" s="3" t="str">
        <f>IFERROR(__xludf.DUMMYFUNCTION("""COMPUTED_VALUE"""),"Cajón Herramientas Mediano Derecho")</f>
        <v>Cajón Herramientas Mediano Derecho</v>
      </c>
      <c r="AP5" s="3" t="str">
        <f>IFERROR(__xludf.DUMMYFUNCTION("""COMPUTED_VALUE"""),"Cajón Herramientas Mediano Izquierdo")</f>
        <v>Cajón Herramientas Mediano Izquierdo</v>
      </c>
      <c r="AQ5" s="3" t="str">
        <f>IFERROR(__xludf.DUMMYFUNCTION("""COMPUTED_VALUE"""),"Chasis Acoplado 2 Ejes L3000")</f>
        <v>Chasis Acoplado 2 Ejes L3000</v>
      </c>
      <c r="AR5" s="3" t="str">
        <f>IFERROR(__xludf.DUMMYFUNCTION("""COMPUTED_VALUE"""),"Chasis Acoplado 2 Ejes L3750")</f>
        <v>Chasis Acoplado 2 Ejes L3750</v>
      </c>
      <c r="AS5" s="3" t="str">
        <f>IFERROR(__xludf.DUMMYFUNCTION("""COMPUTED_VALUE"""),"Chasis Acoplado 2 Ejes L4000")</f>
        <v>Chasis Acoplado 2 Ejes L4000</v>
      </c>
      <c r="AT5" s="3" t="str">
        <f>IFERROR(__xludf.DUMMYFUNCTION("""COMPUTED_VALUE"""),"Chasis Acoplado 2 Ejes L4000 Reforzado")</f>
        <v>Chasis Acoplado 2 Ejes L4000 Reforzado</v>
      </c>
      <c r="AU5" s="3" t="str">
        <f>IFERROR(__xludf.DUMMYFUNCTION("""COMPUTED_VALUE"""),"Chasis Acoplado 2 Ejes L4750")</f>
        <v>Chasis Acoplado 2 Ejes L4750</v>
      </c>
      <c r="AV5" s="3" t="str">
        <f>IFERROR(__xludf.DUMMYFUNCTION("""COMPUTED_VALUE"""),"Chasis Acoplado 2 Ejes L4750 Reforzado")</f>
        <v>Chasis Acoplado 2 Ejes L4750 Reforzado</v>
      </c>
      <c r="AW5" s="3" t="str">
        <f>IFERROR(__xludf.DUMMYFUNCTION("""COMPUTED_VALUE"""),"Chasis Acoplado 2 Ejes L4750 Reforzado R. Camion")</f>
        <v>Chasis Acoplado 2 Ejes L4750 Reforzado R. Camion</v>
      </c>
      <c r="AX5" s="3" t="str">
        <f>IFERROR(__xludf.DUMMYFUNCTION("""COMPUTED_VALUE"""),"Chasis Acoplado 2 Ejes L5000")</f>
        <v>Chasis Acoplado 2 Ejes L5000</v>
      </c>
      <c r="AY5" s="3" t="str">
        <f>IFERROR(__xludf.DUMMYFUNCTION("""COMPUTED_VALUE"""),"Chasis Acoplado 2 Ejes L5750")</f>
        <v>Chasis Acoplado 2 Ejes L5750</v>
      </c>
      <c r="AZ5" s="3" t="str">
        <f>IFERROR(__xludf.DUMMYFUNCTION("""COMPUTED_VALUE"""),"Chasis Acoplado 2 Ejes L6400")</f>
        <v>Chasis Acoplado 2 Ejes L6400</v>
      </c>
      <c r="BA5" s="3" t="str">
        <f>IFERROR(__xludf.DUMMYFUNCTION("""COMPUTED_VALUE"""),"Chasis Acoplado 2 Ejes L4500")</f>
        <v>Chasis Acoplado 2 Ejes L4500</v>
      </c>
      <c r="BB5" s="3" t="str">
        <f>IFERROR(__xludf.DUMMYFUNCTION("""COMPUTED_VALUE"""),"Chasis Acoplado 1 Eje L1500")</f>
        <v>Chasis Acoplado 1 Eje L1500</v>
      </c>
      <c r="BC5" s="3" t="str">
        <f>IFERROR(__xludf.DUMMYFUNCTION("""COMPUTED_VALUE"""),"Chasis Acoplado 1 Eje L1800")</f>
        <v>Chasis Acoplado 1 Eje L1800</v>
      </c>
      <c r="BD5" s="3" t="str">
        <f>IFERROR(__xludf.DUMMYFUNCTION("""COMPUTED_VALUE"""),"Chasis Acoplado 1 Eje L1400")</f>
        <v>Chasis Acoplado 1 Eje L1400</v>
      </c>
      <c r="BE5" s="3" t="str">
        <f>IFERROR(__xludf.DUMMYFUNCTION("""COMPUTED_VALUE"""),"Chasis Acoplado Balancin L3000")</f>
        <v>Chasis Acoplado Balancin L3000</v>
      </c>
      <c r="BF5" s="3" t="str">
        <f>IFERROR(__xludf.DUMMYFUNCTION("""COMPUTED_VALUE"""),"Chasis Acoplado Balancin L3000 Lanza Corta")</f>
        <v>Chasis Acoplado Balancin L3000 Lanza Corta</v>
      </c>
      <c r="BG5" s="3" t="str">
        <f>IFERROR(__xludf.DUMMYFUNCTION("""COMPUTED_VALUE"""),"Chasis Acoplado Balancin L2000 Lanza Corta")</f>
        <v>Chasis Acoplado Balancin L2000 Lanza Corta</v>
      </c>
      <c r="BH5" s="3" t="str">
        <f>IFERROR(__xludf.DUMMYFUNCTION("""COMPUTED_VALUE"""),"Chasis Acoplado Balancin L3200 Lanza Corta")</f>
        <v>Chasis Acoplado Balancin L3200 Lanza Corta</v>
      </c>
      <c r="BI5" s="3" t="str">
        <f>IFERROR(__xludf.DUMMYFUNCTION("""COMPUTED_VALUE"""),"Chasis Acoplado Balancin L3200 Lanza Recta")</f>
        <v>Chasis Acoplado Balancin L3200 Lanza Recta</v>
      </c>
      <c r="BJ5" s="3" t="str">
        <f>IFERROR(__xludf.DUMMYFUNCTION("""COMPUTED_VALUE"""),"Chasis Acoplado Balancin L3200 Bajo Lanza Recta")</f>
        <v>Chasis Acoplado Balancin L3200 Bajo Lanza Recta</v>
      </c>
      <c r="BK5" s="3" t="str">
        <f>IFERROR(__xludf.DUMMYFUNCTION("""COMPUTED_VALUE"""),"Tanque Plastico Horizontal 750 Lts")</f>
        <v>Tanque Plastico Horizontal 750 Lts</v>
      </c>
      <c r="BL5" s="3" t="str">
        <f>IFERROR(__xludf.DUMMYFUNCTION("""COMPUTED_VALUE"""),"Medio Tanque Plastico Superior 700 Lts")</f>
        <v>Medio Tanque Plastico Superior 700 Lts</v>
      </c>
      <c r="BM5" s="3" t="str">
        <f>IFERROR(__xludf.DUMMYFUNCTION("""COMPUTED_VALUE"""),"Paquete de Elasticos 50 mm x 8 mm x 10 Hojas L850")</f>
        <v>Paquete de Elasticos 50 mm x 8 mm x 10 Hojas L850</v>
      </c>
      <c r="BN5" s="3" t="str">
        <f>IFERROR(__xludf.DUMMYFUNCTION("""COMPUTED_VALUE"""),"Paquete de Elasticos 63 mm x 8 mm x 10 Hojas L950")</f>
        <v>Paquete de Elasticos 63 mm x 8 mm x 10 Hojas L950</v>
      </c>
      <c r="BO5" s="3" t="str">
        <f>IFERROR(__xludf.DUMMYFUNCTION("""COMPUTED_VALUE"""),"Paquete de Elasticos 50 mm x 7 mm x 9 Hojas L850")</f>
        <v>Paquete de Elasticos 50 mm x 7 mm x 9 Hojas L850</v>
      </c>
      <c r="BP5" s="3" t="str">
        <f>IFERROR(__xludf.DUMMYFUNCTION("""COMPUTED_VALUE"""),"Paquete de Elasticos 63 mm x 8 mm x 8 Hojas L850")</f>
        <v>Paquete de Elasticos 63 mm x 8 mm x 8 Hojas L850</v>
      </c>
      <c r="BQ5" s="3" t="str">
        <f>IFERROR(__xludf.DUMMYFUNCTION("""COMPUTED_VALUE"""),"Paquete de Elasticos 63 mm x 10 mm x 10 Hojas L950")</f>
        <v>Paquete de Elasticos 63 mm x 10 mm x 10 Hojas L950</v>
      </c>
      <c r="BR5" s="3" t="str">
        <f>IFERROR(__xludf.DUMMYFUNCTION("""COMPUTED_VALUE"""),"Paquete de Elasticos 63 mm x 10 mm x 13 Hojas L975")</f>
        <v>Paquete de Elasticos 63 mm x 10 mm x 13 Hojas L975</v>
      </c>
      <c r="BS5" s="3" t="str">
        <f>IFERROR(__xludf.DUMMYFUNCTION("""COMPUTED_VALUE"""),"Paquete de Elasticos 50 mm x 7 mm x 9 Hojas L650")</f>
        <v>Paquete de Elasticos 50 mm x 7 mm x 9 Hojas L650</v>
      </c>
      <c r="BT5" s="3" t="str">
        <f>IFERROR(__xludf.DUMMYFUNCTION("""COMPUTED_VALUE"""),"Eje Acoplado 2"" x 1600 (06/08) Agrícola Centro 92")</f>
        <v>Eje Acoplado 2" x 1600 (06/08) Agrícola Centro 92</v>
      </c>
      <c r="BU5" s="3" t="str">
        <f>IFERROR(__xludf.DUMMYFUNCTION("""COMPUTED_VALUE"""),"Eje Acoplado 2 1/2"" x 1600 (07/09) Agrícola Centro 92")</f>
        <v>Eje Acoplado 2 1/2" x 1600 (07/09) Agrícola Centro 92</v>
      </c>
      <c r="BV5" s="3" t="str">
        <f>IFERROR(__xludf.DUMMYFUNCTION("""COMPUTED_VALUE"""),"Eje Acoplado 2 1/2"" x 1600 (09/11) Agrícola Centro 150")</f>
        <v>Eje Acoplado 2 1/2" x 1600 (09/11) Agrícola Centro 150</v>
      </c>
      <c r="BW5" s="3" t="str">
        <f>IFERROR(__xludf.DUMMYFUNCTION("""COMPUTED_VALUE"""),"Eje Acoplado 3"" x 1600 (10/13) Agrícola Centro 150")</f>
        <v>Eje Acoplado 3" x 1600 (10/13) Agrícola Centro 150</v>
      </c>
      <c r="BX5" s="3" t="str">
        <f>IFERROR(__xludf.DUMMYFUNCTION("""COMPUTED_VALUE"""),"Eje Acoplado 2 1/2"" x 2140 (07/09) Agrícola Centro 92")</f>
        <v>Eje Acoplado 2 1/2" x 2140 (07/09) Agrícola Centro 92</v>
      </c>
      <c r="BY5" s="3" t="str">
        <f>IFERROR(__xludf.DUMMYFUNCTION("""COMPUTED_VALUE"""),"Eje Acoplado 2"" x 1400 (06/08) Agrícola Centro 92")</f>
        <v>Eje Acoplado 2" x 1400 (06/08) Agrícola Centro 92</v>
      </c>
      <c r="BZ5" s="3" t="str">
        <f>IFERROR(__xludf.DUMMYFUNCTION("""COMPUTED_VALUE"""),"Eje Acoplado 2 1/2"" x 1500 (07/09) Agrícola Centro 92")</f>
        <v>Eje Acoplado 2 1/2" x 1500 (07/09) Agrícola Centro 92</v>
      </c>
      <c r="CA5" s="3" t="str">
        <f>IFERROR(__xludf.DUMMYFUNCTION("""COMPUTED_VALUE"""),"Eje Acoplado 2 1/2"" x 2000 (07/09) Agrícola Centro 92")</f>
        <v>Eje Acoplado 2 1/2" x 2000 (07/09) Agrícola Centro 92</v>
      </c>
      <c r="CB5" s="3" t="str">
        <f>IFERROR(__xludf.DUMMYFUNCTION("""COMPUTED_VALUE"""),"Eje Acoplado 2 1/2"" x 2100 (09/11) Agrícola Centro 150")</f>
        <v>Eje Acoplado 2 1/2" x 2100 (09/11) Agrícola Centro 150</v>
      </c>
      <c r="CC5" s="3" t="str">
        <f>IFERROR(__xludf.DUMMYFUNCTION("""COMPUTED_VALUE"""),"Llanta 16"" Simple Agrícola Centro 92")</f>
        <v>Llanta 16" Simple Agrícola Centro 92</v>
      </c>
      <c r="CD5" s="3" t="str">
        <f>IFERROR(__xludf.DUMMYFUNCTION("""COMPUTED_VALUE"""),"Llanta 16"" Dual Agrícola Centro 92")</f>
        <v>Llanta 16" Dual Agrícola Centro 92</v>
      </c>
      <c r="CE5" s="3" t="str">
        <f>IFERROR(__xludf.DUMMYFUNCTION("""COMPUTED_VALUE"""),"Llanta 17"" Simple Agrícola Centro 92")</f>
        <v>Llanta 17" Simple Agrícola Centro 92</v>
      </c>
      <c r="CF5" s="3" t="str">
        <f>IFERROR(__xludf.DUMMYFUNCTION("""COMPUTED_VALUE"""),"Llanta 17"" Dual Agrícola Centro 92")</f>
        <v>Llanta 17" Dual Agrícola Centro 92</v>
      </c>
      <c r="CG5" s="3" t="str">
        <f>IFERROR(__xludf.DUMMYFUNCTION("""COMPUTED_VALUE"""),"Llanta 16"" Dual Agrícola Centro 152")</f>
        <v>Llanta 16" Dual Agrícola Centro 152</v>
      </c>
      <c r="CH5" s="3" t="str">
        <f>IFERROR(__xludf.DUMMYFUNCTION("""COMPUTED_VALUE"""),"Llanta 17"" Dual Agrícola Centro 152")</f>
        <v>Llanta 17" Dual Agrícola Centro 152</v>
      </c>
      <c r="CI5" s="3" t="str">
        <f>IFERROR(__xludf.DUMMYFUNCTION("""COMPUTED_VALUE"""),"Eje Acoplado 2"" x 1600 (05/07) Agrícola Centro 92")</f>
        <v>Eje Acoplado 2" x 1600 (05/07) Agrícola Centro 92</v>
      </c>
      <c r="CJ5" s="3" t="str">
        <f>IFERROR(__xludf.DUMMYFUNCTION("""COMPUTED_VALUE"""),"Paquete de Elásticos 50 mm x 8 mm x 12 Hojas")</f>
        <v>Paquete de Elásticos 50 mm x 8 mm x 12 Hojas</v>
      </c>
      <c r="CK5" s="3" t="str">
        <f>IFERROR(__xludf.DUMMYFUNCTION("""COMPUTED_VALUE"""),"Plataforma Playo 4.00 x 1.90 x 0.45 Lateral Simple Baranda Fija")</f>
        <v>Plataforma Playo 4.00 x 1.90 x 0.45 Lateral Simple Baranda Fija</v>
      </c>
      <c r="CL5" s="3" t="str">
        <f>IFERROR(__xludf.DUMMYFUNCTION("""COMPUTED_VALUE"""),"Plataforma Playo 4.00 x 1.90 x 0.45 Lateral Simple Baranda Ventilada")</f>
        <v>Plataforma Playo 4.00 x 1.90 x 0.45 Lateral Simple Baranda Ventilada</v>
      </c>
      <c r="CM5" s="3" t="str">
        <f>IFERROR(__xludf.DUMMYFUNCTION("""COMPUTED_VALUE"""),"Plataforma Playo 4.00 x 1.90 x 0.45 Lateral Doble Baranda Ventilada")</f>
        <v>Plataforma Playo 4.00 x 1.90 x 0.45 Lateral Doble Baranda Ventilada</v>
      </c>
      <c r="CN5" s="3" t="str">
        <f>IFERROR(__xludf.DUMMYFUNCTION("""COMPUTED_VALUE"""),"Plataforma Playo 4.00 x 1.90 x 0.45 Lateral Doble Baranda Fija")</f>
        <v>Plataforma Playo 4.00 x 1.90 x 0.45 Lateral Doble Baranda Fija</v>
      </c>
      <c r="CO5" s="3" t="str">
        <f>IFERROR(__xludf.DUMMYFUNCTION("""COMPUTED_VALUE"""),"Plataforma Playo 4.00 x 1.90 x 0.72 Lateral Simple Baranda Fija")</f>
        <v>Plataforma Playo 4.00 x 1.90 x 0.72 Lateral Simple Baranda Fija</v>
      </c>
      <c r="CP5" s="3" t="str">
        <f>IFERROR(__xludf.DUMMYFUNCTION("""COMPUTED_VALUE"""),"Plataforma Playo 4.00 x 1.90 x 0.72 Lateral Doble Baranda Fija")</f>
        <v>Plataforma Playo 4.00 x 1.90 x 0.72 Lateral Doble Baranda Fija</v>
      </c>
      <c r="CQ5" s="3" t="str">
        <f>IFERROR(__xludf.DUMMYFUNCTION("""COMPUTED_VALUE"""),"Plataforma Playo 5.00 x 2.20 x 0.60 Lateral Doble Trasera Rebatible")</f>
        <v>Plataforma Playo 5.00 x 2.20 x 0.60 Lateral Doble Trasera Rebatible</v>
      </c>
      <c r="CR5" s="3" t="str">
        <f>IFERROR(__xludf.DUMMYFUNCTION("""COMPUTED_VALUE"""),"Plataforma Playo 5.00 x 2.20 x 0.60 Lateral Doble Baranda Fija C/Toldo")</f>
        <v>Plataforma Playo 5.00 x 2.20 x 0.60 Lateral Doble Baranda Fija C/Toldo</v>
      </c>
      <c r="CS5" s="3" t="str">
        <f>IFERROR(__xludf.DUMMYFUNCTION("""COMPUTED_VALUE"""),"Plataforma Playo 3.00 x 1.90 x 0.45 Lateral Simple Baranda Fija")</f>
        <v>Plataforma Playo 3.00 x 1.90 x 0.45 Lateral Simple Baranda Fija</v>
      </c>
      <c r="CT5" s="3" t="str">
        <f>IFERROR(__xludf.DUMMYFUNCTION("""COMPUTED_VALUE"""),"Plataforma Playo 3.00 x 1.90 x 0.45 Lateral Simple Baranda Ventilada")</f>
        <v>Plataforma Playo 3.00 x 1.90 x 0.45 Lateral Simple Baranda Ventilada</v>
      </c>
      <c r="CU5" s="3" t="str">
        <f>IFERROR(__xludf.DUMMYFUNCTION("""COMPUTED_VALUE"""),"Plataforma Playo 2.00 x 1.90 x 0.45 Lateral Simple Baranda Fija")</f>
        <v>Plataforma Playo 2.00 x 1.90 x 0.45 Lateral Simple Baranda Fija</v>
      </c>
      <c r="CV5" s="3" t="str">
        <f>IFERROR(__xludf.DUMMYFUNCTION("""COMPUTED_VALUE"""),"Plataforma Playo 5.00 x 1.90 x 0.60 Lateral Doble Baranda Fija")</f>
        <v>Plataforma Playo 5.00 x 1.90 x 0.60 Lateral Doble Baranda Fija</v>
      </c>
      <c r="CW5" s="3" t="str">
        <f>IFERROR(__xludf.DUMMYFUNCTION("""COMPUTED_VALUE"""),"Plataforma Playo 6.40 x 2.70 x 0.72 Lateral Doble Baranda Fija")</f>
        <v>Plataforma Playo 6.40 x 2.70 x 0.72 Lateral Doble Baranda Fija</v>
      </c>
      <c r="CX5" s="3" t="str">
        <f>IFERROR(__xludf.DUMMYFUNCTION("""COMPUTED_VALUE"""),"Chasis Acoplado Balancin L4000 Lanza Recta")</f>
        <v>Chasis Acoplado Balancin L4000 Lanza Recta</v>
      </c>
      <c r="CY5" s="3" t="str">
        <f>IFERROR(__xludf.DUMMYFUNCTION("""COMPUTED_VALUE"""),"Llanta simple Agrícola 750x20 centro 152")</f>
        <v>Llanta simple Agrícola 750x20 centro 152</v>
      </c>
      <c r="CZ5" s="3" t="str">
        <f>IFERROR(__xludf.DUMMYFUNCTION("""COMPUTED_VALUE"""),"Cajón de Herramientas Mediano adelante")</f>
        <v>Cajón de Herramientas Mediano adelante</v>
      </c>
      <c r="DA5" s="3" t="str">
        <f>IFERROR(__xludf.DUMMYFUNCTION("""COMPUTED_VALUE"""),"Llanta 15"" Simple Agrícola Centro 92")</f>
        <v>Llanta 15" Simple Agrícola Centro 92</v>
      </c>
    </row>
    <row r="6" hidden="1">
      <c r="A6" s="38">
        <f t="shared" si="1"/>
        <v>5</v>
      </c>
      <c r="B6" s="38">
        <f>IF(F6="","",SUMIF(Prearmados!E:E,F6,Prearmados!A:A))</f>
        <v>1</v>
      </c>
      <c r="C6" s="38">
        <f>IF(F6="","",SUMIF(Productos!E:E,G6,Productos!A:A))</f>
        <v>116</v>
      </c>
      <c r="D6" s="83" t="str">
        <f t="array" ref="D6">IF(OR(F6="",F6="Seleccionar.."),"",XLOOKUP(F6,Prearmados!E:E,Prearmados!F:F,"",0,1))</f>
        <v>Acoplados Rurales</v>
      </c>
      <c r="E6" s="83">
        <f>IF(H6="","",SUMIF(Precio_Productos!K:K,C6,Precio_Productos!J:J)*H6)</f>
        <v>351000</v>
      </c>
      <c r="F6" s="84" t="s">
        <v>324</v>
      </c>
      <c r="G6" s="84" t="s">
        <v>142</v>
      </c>
      <c r="H6" s="13">
        <v>1.0</v>
      </c>
      <c r="P6" s="3" t="str">
        <f>IFERROR(__xludf.DUMMYFUNCTION("IF(OR(F6="""",F6=""Seleccionar..""),"""",TRANSPOSE(FILTER(Productos!E:E,(Productos!F:F=D6)+(Productos!F:F=XLOOKUP(D6,Implementos!B:B,Implementos!C:C,""-"",0,1)))))"),"Tanque Combustible 1100 lts Bajo")</f>
        <v>Tanque Combustible 1100 lts Bajo</v>
      </c>
      <c r="Q6" s="3" t="str">
        <f>IFERROR(__xludf.DUMMYFUNCTION("""COMPUTED_VALUE"""),"Tanque Combustible 1500 lts Standard")</f>
        <v>Tanque Combustible 1500 lts Standard</v>
      </c>
      <c r="R6" s="3" t="str">
        <f>IFERROR(__xludf.DUMMYFUNCTION("""COMPUTED_VALUE"""),"Tanque Combustible 1800 lts Standard")</f>
        <v>Tanque Combustible 1800 lts Standard</v>
      </c>
      <c r="S6" s="3" t="str">
        <f>IFERROR(__xludf.DUMMYFUNCTION("""COMPUTED_VALUE"""),"Tanque Combustible 2000 lts Bajo")</f>
        <v>Tanque Combustible 2000 lts Bajo</v>
      </c>
      <c r="T6" s="3" t="str">
        <f>IFERROR(__xludf.DUMMYFUNCTION("""COMPUTED_VALUE"""),"Tanque Combustible 2000 lts Standard")</f>
        <v>Tanque Combustible 2000 lts Standard</v>
      </c>
      <c r="U6" s="3" t="str">
        <f>IFERROR(__xludf.DUMMYFUNCTION("""COMPUTED_VALUE"""),"Tanque Combustible 3000 lts Standard")</f>
        <v>Tanque Combustible 3000 lts Standard</v>
      </c>
      <c r="V6" s="3" t="str">
        <f>IFERROR(__xludf.DUMMYFUNCTION("""COMPUTED_VALUE"""),"Tanque Combustible 3000 lts Alto")</f>
        <v>Tanque Combustible 3000 lts Alto</v>
      </c>
      <c r="W6" s="3" t="str">
        <f>IFERROR(__xludf.DUMMYFUNCTION("""COMPUTED_VALUE"""),"Tanque Combustible 4000 lts Standard")</f>
        <v>Tanque Combustible 4000 lts Standard</v>
      </c>
      <c r="X6" s="3" t="str">
        <f>IFERROR(__xludf.DUMMYFUNCTION("""COMPUTED_VALUE"""),"Tanque Combustible 5000 lts Standard")</f>
        <v>Tanque Combustible 5000 lts Standard</v>
      </c>
      <c r="Y6" s="3" t="str">
        <f>IFERROR(__xludf.DUMMYFUNCTION("""COMPUTED_VALUE"""),"Tanque Combustible 5000 lts Alto")</f>
        <v>Tanque Combustible 5000 lts Alto</v>
      </c>
      <c r="Z6" s="3" t="str">
        <f>IFERROR(__xludf.DUMMYFUNCTION("""COMPUTED_VALUE"""),"Tanque Combustible 2000 lts Alto")</f>
        <v>Tanque Combustible 2000 lts Alto</v>
      </c>
      <c r="AA6" s="3" t="str">
        <f>IFERROR(__xludf.DUMMYFUNCTION("""COMPUTED_VALUE"""),"Tanque Combustible 4000 lts Alto")</f>
        <v>Tanque Combustible 4000 lts Alto</v>
      </c>
      <c r="AB6" s="3" t="str">
        <f>IFERROR(__xludf.DUMMYFUNCTION("""COMPUTED_VALUE"""),"Baulera Standard - 750")</f>
        <v>Baulera Standard - 750</v>
      </c>
      <c r="AC6" s="3" t="str">
        <f>IFERROR(__xludf.DUMMYFUNCTION("""COMPUTED_VALUE"""),"Baulera Standard - 1700 - C/Laterales")</f>
        <v>Baulera Standard - 1700 - C/Laterales</v>
      </c>
      <c r="AD6" s="3" t="str">
        <f>IFERROR(__xludf.DUMMYFUNCTION("""COMPUTED_VALUE"""),"Baulera Standard - 1000 - C/Laterales")</f>
        <v>Baulera Standard - 1000 - C/Laterales</v>
      </c>
      <c r="AE6" s="3" t="str">
        <f>IFERROR(__xludf.DUMMYFUNCTION("""COMPUTED_VALUE"""),"Baulera Standard - 750 - C/Laterales")</f>
        <v>Baulera Standard - 750 - C/Laterales</v>
      </c>
      <c r="AF6" s="3" t="str">
        <f>IFERROR(__xludf.DUMMYFUNCTION("""COMPUTED_VALUE"""),"Baulera Standard - 1300 - C/Laterales")</f>
        <v>Baulera Standard - 1300 - C/Laterales</v>
      </c>
      <c r="AG6" s="3" t="str">
        <f>IFERROR(__xludf.DUMMYFUNCTION("""COMPUTED_VALUE"""),"Baulera Alta - 750")</f>
        <v>Baulera Alta - 750</v>
      </c>
      <c r="AH6" s="3" t="str">
        <f>IFERROR(__xludf.DUMMYFUNCTION("""COMPUTED_VALUE"""),"Baulera Alta - 1500 - C/Laterales")</f>
        <v>Baulera Alta - 1500 - C/Laterales</v>
      </c>
      <c r="AI6" s="3" t="str">
        <f>IFERROR(__xludf.DUMMYFUNCTION("""COMPUTED_VALUE"""),"Baulera Extendida 1700 - C/Laterales")</f>
        <v>Baulera Extendida 1700 - C/Laterales</v>
      </c>
      <c r="AJ6" s="3" t="str">
        <f>IFERROR(__xludf.DUMMYFUNCTION("""COMPUTED_VALUE"""),"Taller Móvil - 1500 x 1500 x 1700")</f>
        <v>Taller Móvil - 1500 x 1500 x 1700</v>
      </c>
      <c r="AK6" s="3" t="str">
        <f>IFERROR(__xludf.DUMMYFUNCTION("""COMPUTED_VALUE"""),"Cajón Herramientas Standard Derecho")</f>
        <v>Cajón Herramientas Standard Derecho</v>
      </c>
      <c r="AL6" s="3" t="str">
        <f>IFERROR(__xludf.DUMMYFUNCTION("""COMPUTED_VALUE"""),"Cajón Herramientas Standard Izquierdo")</f>
        <v>Cajón Herramientas Standard Izquierdo</v>
      </c>
      <c r="AM6" s="3" t="str">
        <f>IFERROR(__xludf.DUMMYFUNCTION("""COMPUTED_VALUE"""),"Cajón Herramientas Corto Derecho")</f>
        <v>Cajón Herramientas Corto Derecho</v>
      </c>
      <c r="AN6" s="3" t="str">
        <f>IFERROR(__xludf.DUMMYFUNCTION("""COMPUTED_VALUE"""),"Cajón Herramientas Corto Izquierdo")</f>
        <v>Cajón Herramientas Corto Izquierdo</v>
      </c>
      <c r="AO6" s="3" t="str">
        <f>IFERROR(__xludf.DUMMYFUNCTION("""COMPUTED_VALUE"""),"Cajón Herramientas Mediano Derecho")</f>
        <v>Cajón Herramientas Mediano Derecho</v>
      </c>
      <c r="AP6" s="3" t="str">
        <f>IFERROR(__xludf.DUMMYFUNCTION("""COMPUTED_VALUE"""),"Cajón Herramientas Mediano Izquierdo")</f>
        <v>Cajón Herramientas Mediano Izquierdo</v>
      </c>
      <c r="AQ6" s="3" t="str">
        <f>IFERROR(__xludf.DUMMYFUNCTION("""COMPUTED_VALUE"""),"Chasis Acoplado 2 Ejes L3000")</f>
        <v>Chasis Acoplado 2 Ejes L3000</v>
      </c>
      <c r="AR6" s="3" t="str">
        <f>IFERROR(__xludf.DUMMYFUNCTION("""COMPUTED_VALUE"""),"Chasis Acoplado 2 Ejes L3750")</f>
        <v>Chasis Acoplado 2 Ejes L3750</v>
      </c>
      <c r="AS6" s="3" t="str">
        <f>IFERROR(__xludf.DUMMYFUNCTION("""COMPUTED_VALUE"""),"Chasis Acoplado 2 Ejes L4000")</f>
        <v>Chasis Acoplado 2 Ejes L4000</v>
      </c>
      <c r="AT6" s="3" t="str">
        <f>IFERROR(__xludf.DUMMYFUNCTION("""COMPUTED_VALUE"""),"Chasis Acoplado 2 Ejes L4000 Reforzado")</f>
        <v>Chasis Acoplado 2 Ejes L4000 Reforzado</v>
      </c>
      <c r="AU6" s="3" t="str">
        <f>IFERROR(__xludf.DUMMYFUNCTION("""COMPUTED_VALUE"""),"Chasis Acoplado 2 Ejes L4750")</f>
        <v>Chasis Acoplado 2 Ejes L4750</v>
      </c>
      <c r="AV6" s="3" t="str">
        <f>IFERROR(__xludf.DUMMYFUNCTION("""COMPUTED_VALUE"""),"Chasis Acoplado 2 Ejes L4750 Reforzado")</f>
        <v>Chasis Acoplado 2 Ejes L4750 Reforzado</v>
      </c>
      <c r="AW6" s="3" t="str">
        <f>IFERROR(__xludf.DUMMYFUNCTION("""COMPUTED_VALUE"""),"Chasis Acoplado 2 Ejes L4750 Reforzado R. Camion")</f>
        <v>Chasis Acoplado 2 Ejes L4750 Reforzado R. Camion</v>
      </c>
      <c r="AX6" s="3" t="str">
        <f>IFERROR(__xludf.DUMMYFUNCTION("""COMPUTED_VALUE"""),"Chasis Acoplado 2 Ejes L5000")</f>
        <v>Chasis Acoplado 2 Ejes L5000</v>
      </c>
      <c r="AY6" s="3" t="str">
        <f>IFERROR(__xludf.DUMMYFUNCTION("""COMPUTED_VALUE"""),"Chasis Acoplado 2 Ejes L5750")</f>
        <v>Chasis Acoplado 2 Ejes L5750</v>
      </c>
      <c r="AZ6" s="3" t="str">
        <f>IFERROR(__xludf.DUMMYFUNCTION("""COMPUTED_VALUE"""),"Chasis Acoplado 2 Ejes L6400")</f>
        <v>Chasis Acoplado 2 Ejes L6400</v>
      </c>
      <c r="BA6" s="3" t="str">
        <f>IFERROR(__xludf.DUMMYFUNCTION("""COMPUTED_VALUE"""),"Chasis Acoplado 2 Ejes L4500")</f>
        <v>Chasis Acoplado 2 Ejes L4500</v>
      </c>
      <c r="BB6" s="3" t="str">
        <f>IFERROR(__xludf.DUMMYFUNCTION("""COMPUTED_VALUE"""),"Chasis Acoplado 1 Eje L1500")</f>
        <v>Chasis Acoplado 1 Eje L1500</v>
      </c>
      <c r="BC6" s="3" t="str">
        <f>IFERROR(__xludf.DUMMYFUNCTION("""COMPUTED_VALUE"""),"Chasis Acoplado 1 Eje L1800")</f>
        <v>Chasis Acoplado 1 Eje L1800</v>
      </c>
      <c r="BD6" s="3" t="str">
        <f>IFERROR(__xludf.DUMMYFUNCTION("""COMPUTED_VALUE"""),"Chasis Acoplado 1 Eje L1400")</f>
        <v>Chasis Acoplado 1 Eje L1400</v>
      </c>
      <c r="BE6" s="3" t="str">
        <f>IFERROR(__xludf.DUMMYFUNCTION("""COMPUTED_VALUE"""),"Chasis Acoplado Balancin L3000")</f>
        <v>Chasis Acoplado Balancin L3000</v>
      </c>
      <c r="BF6" s="3" t="str">
        <f>IFERROR(__xludf.DUMMYFUNCTION("""COMPUTED_VALUE"""),"Chasis Acoplado Balancin L3000 Lanza Corta")</f>
        <v>Chasis Acoplado Balancin L3000 Lanza Corta</v>
      </c>
      <c r="BG6" s="3" t="str">
        <f>IFERROR(__xludf.DUMMYFUNCTION("""COMPUTED_VALUE"""),"Chasis Acoplado Balancin L2000 Lanza Corta")</f>
        <v>Chasis Acoplado Balancin L2000 Lanza Corta</v>
      </c>
      <c r="BH6" s="3" t="str">
        <f>IFERROR(__xludf.DUMMYFUNCTION("""COMPUTED_VALUE"""),"Chasis Acoplado Balancin L3200 Lanza Corta")</f>
        <v>Chasis Acoplado Balancin L3200 Lanza Corta</v>
      </c>
      <c r="BI6" s="3" t="str">
        <f>IFERROR(__xludf.DUMMYFUNCTION("""COMPUTED_VALUE"""),"Chasis Acoplado Balancin L3200 Lanza Recta")</f>
        <v>Chasis Acoplado Balancin L3200 Lanza Recta</v>
      </c>
      <c r="BJ6" s="3" t="str">
        <f>IFERROR(__xludf.DUMMYFUNCTION("""COMPUTED_VALUE"""),"Chasis Acoplado Balancin L3200 Bajo Lanza Recta")</f>
        <v>Chasis Acoplado Balancin L3200 Bajo Lanza Recta</v>
      </c>
      <c r="BK6" s="3" t="str">
        <f>IFERROR(__xludf.DUMMYFUNCTION("""COMPUTED_VALUE"""),"Tanque Plastico Horizontal 750 Lts")</f>
        <v>Tanque Plastico Horizontal 750 Lts</v>
      </c>
      <c r="BL6" s="3" t="str">
        <f>IFERROR(__xludf.DUMMYFUNCTION("""COMPUTED_VALUE"""),"Medio Tanque Plastico Superior 700 Lts")</f>
        <v>Medio Tanque Plastico Superior 700 Lts</v>
      </c>
      <c r="BM6" s="3" t="str">
        <f>IFERROR(__xludf.DUMMYFUNCTION("""COMPUTED_VALUE"""),"Paquete de Elasticos 50 mm x 8 mm x 10 Hojas L850")</f>
        <v>Paquete de Elasticos 50 mm x 8 mm x 10 Hojas L850</v>
      </c>
      <c r="BN6" s="3" t="str">
        <f>IFERROR(__xludf.DUMMYFUNCTION("""COMPUTED_VALUE"""),"Paquete de Elasticos 63 mm x 8 mm x 10 Hojas L950")</f>
        <v>Paquete de Elasticos 63 mm x 8 mm x 10 Hojas L950</v>
      </c>
      <c r="BO6" s="3" t="str">
        <f>IFERROR(__xludf.DUMMYFUNCTION("""COMPUTED_VALUE"""),"Paquete de Elasticos 50 mm x 7 mm x 9 Hojas L850")</f>
        <v>Paquete de Elasticos 50 mm x 7 mm x 9 Hojas L850</v>
      </c>
      <c r="BP6" s="3" t="str">
        <f>IFERROR(__xludf.DUMMYFUNCTION("""COMPUTED_VALUE"""),"Paquete de Elasticos 63 mm x 8 mm x 8 Hojas L850")</f>
        <v>Paquete de Elasticos 63 mm x 8 mm x 8 Hojas L850</v>
      </c>
      <c r="BQ6" s="3" t="str">
        <f>IFERROR(__xludf.DUMMYFUNCTION("""COMPUTED_VALUE"""),"Paquete de Elasticos 63 mm x 10 mm x 10 Hojas L950")</f>
        <v>Paquete de Elasticos 63 mm x 10 mm x 10 Hojas L950</v>
      </c>
      <c r="BR6" s="3" t="str">
        <f>IFERROR(__xludf.DUMMYFUNCTION("""COMPUTED_VALUE"""),"Paquete de Elasticos 63 mm x 10 mm x 13 Hojas L975")</f>
        <v>Paquete de Elasticos 63 mm x 10 mm x 13 Hojas L975</v>
      </c>
      <c r="BS6" s="3" t="str">
        <f>IFERROR(__xludf.DUMMYFUNCTION("""COMPUTED_VALUE"""),"Paquete de Elasticos 50 mm x 7 mm x 9 Hojas L650")</f>
        <v>Paquete de Elasticos 50 mm x 7 mm x 9 Hojas L650</v>
      </c>
      <c r="BT6" s="3" t="str">
        <f>IFERROR(__xludf.DUMMYFUNCTION("""COMPUTED_VALUE"""),"Eje Acoplado 2"" x 1600 (06/08) Agrícola Centro 92")</f>
        <v>Eje Acoplado 2" x 1600 (06/08) Agrícola Centro 92</v>
      </c>
      <c r="BU6" s="3" t="str">
        <f>IFERROR(__xludf.DUMMYFUNCTION("""COMPUTED_VALUE"""),"Eje Acoplado 2 1/2"" x 1600 (07/09) Agrícola Centro 92")</f>
        <v>Eje Acoplado 2 1/2" x 1600 (07/09) Agrícola Centro 92</v>
      </c>
      <c r="BV6" s="3" t="str">
        <f>IFERROR(__xludf.DUMMYFUNCTION("""COMPUTED_VALUE"""),"Eje Acoplado 2 1/2"" x 1600 (09/11) Agrícola Centro 150")</f>
        <v>Eje Acoplado 2 1/2" x 1600 (09/11) Agrícola Centro 150</v>
      </c>
      <c r="BW6" s="3" t="str">
        <f>IFERROR(__xludf.DUMMYFUNCTION("""COMPUTED_VALUE"""),"Eje Acoplado 3"" x 1600 (10/13) Agrícola Centro 150")</f>
        <v>Eje Acoplado 3" x 1600 (10/13) Agrícola Centro 150</v>
      </c>
      <c r="BX6" s="3" t="str">
        <f>IFERROR(__xludf.DUMMYFUNCTION("""COMPUTED_VALUE"""),"Eje Acoplado 2 1/2"" x 2140 (07/09) Agrícola Centro 92")</f>
        <v>Eje Acoplado 2 1/2" x 2140 (07/09) Agrícola Centro 92</v>
      </c>
      <c r="BY6" s="3" t="str">
        <f>IFERROR(__xludf.DUMMYFUNCTION("""COMPUTED_VALUE"""),"Eje Acoplado 2"" x 1400 (06/08) Agrícola Centro 92")</f>
        <v>Eje Acoplado 2" x 1400 (06/08) Agrícola Centro 92</v>
      </c>
      <c r="BZ6" s="3" t="str">
        <f>IFERROR(__xludf.DUMMYFUNCTION("""COMPUTED_VALUE"""),"Eje Acoplado 2 1/2"" x 1500 (07/09) Agrícola Centro 92")</f>
        <v>Eje Acoplado 2 1/2" x 1500 (07/09) Agrícola Centro 92</v>
      </c>
      <c r="CA6" s="3" t="str">
        <f>IFERROR(__xludf.DUMMYFUNCTION("""COMPUTED_VALUE"""),"Eje Acoplado 2 1/2"" x 2000 (07/09) Agrícola Centro 92")</f>
        <v>Eje Acoplado 2 1/2" x 2000 (07/09) Agrícola Centro 92</v>
      </c>
      <c r="CB6" s="3" t="str">
        <f>IFERROR(__xludf.DUMMYFUNCTION("""COMPUTED_VALUE"""),"Eje Acoplado 2 1/2"" x 2100 (09/11) Agrícola Centro 150")</f>
        <v>Eje Acoplado 2 1/2" x 2100 (09/11) Agrícola Centro 150</v>
      </c>
      <c r="CC6" s="3" t="str">
        <f>IFERROR(__xludf.DUMMYFUNCTION("""COMPUTED_VALUE"""),"Llanta 16"" Simple Agrícola Centro 92")</f>
        <v>Llanta 16" Simple Agrícola Centro 92</v>
      </c>
      <c r="CD6" s="3" t="str">
        <f>IFERROR(__xludf.DUMMYFUNCTION("""COMPUTED_VALUE"""),"Llanta 16"" Dual Agrícola Centro 92")</f>
        <v>Llanta 16" Dual Agrícola Centro 92</v>
      </c>
      <c r="CE6" s="3" t="str">
        <f>IFERROR(__xludf.DUMMYFUNCTION("""COMPUTED_VALUE"""),"Llanta 17"" Simple Agrícola Centro 92")</f>
        <v>Llanta 17" Simple Agrícola Centro 92</v>
      </c>
      <c r="CF6" s="3" t="str">
        <f>IFERROR(__xludf.DUMMYFUNCTION("""COMPUTED_VALUE"""),"Llanta 17"" Dual Agrícola Centro 92")</f>
        <v>Llanta 17" Dual Agrícola Centro 92</v>
      </c>
      <c r="CG6" s="3" t="str">
        <f>IFERROR(__xludf.DUMMYFUNCTION("""COMPUTED_VALUE"""),"Llanta 16"" Dual Agrícola Centro 152")</f>
        <v>Llanta 16" Dual Agrícola Centro 152</v>
      </c>
      <c r="CH6" s="3" t="str">
        <f>IFERROR(__xludf.DUMMYFUNCTION("""COMPUTED_VALUE"""),"Llanta 17"" Dual Agrícola Centro 152")</f>
        <v>Llanta 17" Dual Agrícola Centro 152</v>
      </c>
      <c r="CI6" s="3" t="str">
        <f>IFERROR(__xludf.DUMMYFUNCTION("""COMPUTED_VALUE"""),"Eje Acoplado 2"" x 1600 (05/07) Agrícola Centro 92")</f>
        <v>Eje Acoplado 2" x 1600 (05/07) Agrícola Centro 92</v>
      </c>
      <c r="CJ6" s="3" t="str">
        <f>IFERROR(__xludf.DUMMYFUNCTION("""COMPUTED_VALUE"""),"Paquete de Elásticos 50 mm x 8 mm x 12 Hojas")</f>
        <v>Paquete de Elásticos 50 mm x 8 mm x 12 Hojas</v>
      </c>
      <c r="CK6" s="3" t="str">
        <f>IFERROR(__xludf.DUMMYFUNCTION("""COMPUTED_VALUE"""),"Plataforma Playo 4.00 x 1.90 x 0.45 Lateral Simple Baranda Fija")</f>
        <v>Plataforma Playo 4.00 x 1.90 x 0.45 Lateral Simple Baranda Fija</v>
      </c>
      <c r="CL6" s="3" t="str">
        <f>IFERROR(__xludf.DUMMYFUNCTION("""COMPUTED_VALUE"""),"Plataforma Playo 4.00 x 1.90 x 0.45 Lateral Simple Baranda Ventilada")</f>
        <v>Plataforma Playo 4.00 x 1.90 x 0.45 Lateral Simple Baranda Ventilada</v>
      </c>
      <c r="CM6" s="3" t="str">
        <f>IFERROR(__xludf.DUMMYFUNCTION("""COMPUTED_VALUE"""),"Plataforma Playo 4.00 x 1.90 x 0.45 Lateral Doble Baranda Ventilada")</f>
        <v>Plataforma Playo 4.00 x 1.90 x 0.45 Lateral Doble Baranda Ventilada</v>
      </c>
      <c r="CN6" s="3" t="str">
        <f>IFERROR(__xludf.DUMMYFUNCTION("""COMPUTED_VALUE"""),"Plataforma Playo 4.00 x 1.90 x 0.45 Lateral Doble Baranda Fija")</f>
        <v>Plataforma Playo 4.00 x 1.90 x 0.45 Lateral Doble Baranda Fija</v>
      </c>
      <c r="CO6" s="3" t="str">
        <f>IFERROR(__xludf.DUMMYFUNCTION("""COMPUTED_VALUE"""),"Plataforma Playo 4.00 x 1.90 x 0.72 Lateral Simple Baranda Fija")</f>
        <v>Plataforma Playo 4.00 x 1.90 x 0.72 Lateral Simple Baranda Fija</v>
      </c>
      <c r="CP6" s="3" t="str">
        <f>IFERROR(__xludf.DUMMYFUNCTION("""COMPUTED_VALUE"""),"Plataforma Playo 4.00 x 1.90 x 0.72 Lateral Doble Baranda Fija")</f>
        <v>Plataforma Playo 4.00 x 1.90 x 0.72 Lateral Doble Baranda Fija</v>
      </c>
      <c r="CQ6" s="3" t="str">
        <f>IFERROR(__xludf.DUMMYFUNCTION("""COMPUTED_VALUE"""),"Plataforma Playo 5.00 x 2.20 x 0.60 Lateral Doble Trasera Rebatible")</f>
        <v>Plataforma Playo 5.00 x 2.20 x 0.60 Lateral Doble Trasera Rebatible</v>
      </c>
      <c r="CR6" s="3" t="str">
        <f>IFERROR(__xludf.DUMMYFUNCTION("""COMPUTED_VALUE"""),"Plataforma Playo 5.00 x 2.20 x 0.60 Lateral Doble Baranda Fija C/Toldo")</f>
        <v>Plataforma Playo 5.00 x 2.20 x 0.60 Lateral Doble Baranda Fija C/Toldo</v>
      </c>
      <c r="CS6" s="3" t="str">
        <f>IFERROR(__xludf.DUMMYFUNCTION("""COMPUTED_VALUE"""),"Plataforma Playo 3.00 x 1.90 x 0.45 Lateral Simple Baranda Fija")</f>
        <v>Plataforma Playo 3.00 x 1.90 x 0.45 Lateral Simple Baranda Fija</v>
      </c>
      <c r="CT6" s="3" t="str">
        <f>IFERROR(__xludf.DUMMYFUNCTION("""COMPUTED_VALUE"""),"Plataforma Playo 3.00 x 1.90 x 0.45 Lateral Simple Baranda Ventilada")</f>
        <v>Plataforma Playo 3.00 x 1.90 x 0.45 Lateral Simple Baranda Ventilada</v>
      </c>
      <c r="CU6" s="3" t="str">
        <f>IFERROR(__xludf.DUMMYFUNCTION("""COMPUTED_VALUE"""),"Plataforma Playo 2.00 x 1.90 x 0.45 Lateral Simple Baranda Fija")</f>
        <v>Plataforma Playo 2.00 x 1.90 x 0.45 Lateral Simple Baranda Fija</v>
      </c>
      <c r="CV6" s="3" t="str">
        <f>IFERROR(__xludf.DUMMYFUNCTION("""COMPUTED_VALUE"""),"Plataforma Playo 5.00 x 1.90 x 0.60 Lateral Doble Baranda Fija")</f>
        <v>Plataforma Playo 5.00 x 1.90 x 0.60 Lateral Doble Baranda Fija</v>
      </c>
      <c r="CW6" s="3" t="str">
        <f>IFERROR(__xludf.DUMMYFUNCTION("""COMPUTED_VALUE"""),"Plataforma Playo 6.40 x 2.70 x 0.72 Lateral Doble Baranda Fija")</f>
        <v>Plataforma Playo 6.40 x 2.70 x 0.72 Lateral Doble Baranda Fija</v>
      </c>
      <c r="CX6" s="3" t="str">
        <f>IFERROR(__xludf.DUMMYFUNCTION("""COMPUTED_VALUE"""),"Chasis Acoplado Balancin L4000 Lanza Recta")</f>
        <v>Chasis Acoplado Balancin L4000 Lanza Recta</v>
      </c>
      <c r="CY6" s="3" t="str">
        <f>IFERROR(__xludf.DUMMYFUNCTION("""COMPUTED_VALUE"""),"Llanta simple Agrícola 750x20 centro 152")</f>
        <v>Llanta simple Agrícola 750x20 centro 152</v>
      </c>
      <c r="CZ6" s="3" t="str">
        <f>IFERROR(__xludf.DUMMYFUNCTION("""COMPUTED_VALUE"""),"Cajón de Herramientas Mediano adelante")</f>
        <v>Cajón de Herramientas Mediano adelante</v>
      </c>
      <c r="DA6" s="3" t="str">
        <f>IFERROR(__xludf.DUMMYFUNCTION("""COMPUTED_VALUE"""),"Llanta 15"" Simple Agrícola Centro 92")</f>
        <v>Llanta 15" Simple Agrícola Centro 92</v>
      </c>
    </row>
    <row r="7" hidden="1">
      <c r="A7" s="38">
        <f t="shared" si="1"/>
        <v>6</v>
      </c>
      <c r="B7" s="38">
        <f>IF(F7="","",SUMIF(Prearmados!E:E,F7,Prearmados!A:A))</f>
        <v>13</v>
      </c>
      <c r="C7" s="38">
        <f>IF(F7="","",SUMIF(Productos!E:E,G7,Productos!A:A))</f>
        <v>50</v>
      </c>
      <c r="D7" s="83" t="str">
        <f t="array" ref="D7">IF(OR(F7="",F7="Seleccionar.."),"",XLOOKUP(F7,Prearmados!E:E,Prearmados!F:F,"",0,1))</f>
        <v>Acoplados Rurales</v>
      </c>
      <c r="E7" s="83">
        <f>IF(H7="","",SUMIF(Precio_Productos!K:K,C7,Precio_Productos!J:J)*H7)</f>
        <v>2500000</v>
      </c>
      <c r="F7" s="84" t="s">
        <v>336</v>
      </c>
      <c r="G7" s="84" t="s">
        <v>61</v>
      </c>
      <c r="H7" s="13">
        <v>1.0</v>
      </c>
      <c r="P7" s="3" t="str">
        <f>IFERROR(__xludf.DUMMYFUNCTION("IF(OR(F7="""",F7=""Seleccionar..""),"""",TRANSPOSE(FILTER(Productos!E:E,(Productos!F:F=D7)+(Productos!F:F=XLOOKUP(D7,Implementos!B:B,Implementos!C:C,""-"",0,1)))))"),"Tanque Combustible 1100 lts Bajo")</f>
        <v>Tanque Combustible 1100 lts Bajo</v>
      </c>
      <c r="Q7" s="3" t="str">
        <f>IFERROR(__xludf.DUMMYFUNCTION("""COMPUTED_VALUE"""),"Tanque Combustible 1500 lts Standard")</f>
        <v>Tanque Combustible 1500 lts Standard</v>
      </c>
      <c r="R7" s="3" t="str">
        <f>IFERROR(__xludf.DUMMYFUNCTION("""COMPUTED_VALUE"""),"Tanque Combustible 1800 lts Standard")</f>
        <v>Tanque Combustible 1800 lts Standard</v>
      </c>
      <c r="S7" s="3" t="str">
        <f>IFERROR(__xludf.DUMMYFUNCTION("""COMPUTED_VALUE"""),"Tanque Combustible 2000 lts Bajo")</f>
        <v>Tanque Combustible 2000 lts Bajo</v>
      </c>
      <c r="T7" s="3" t="str">
        <f>IFERROR(__xludf.DUMMYFUNCTION("""COMPUTED_VALUE"""),"Tanque Combustible 2000 lts Standard")</f>
        <v>Tanque Combustible 2000 lts Standard</v>
      </c>
      <c r="U7" s="3" t="str">
        <f>IFERROR(__xludf.DUMMYFUNCTION("""COMPUTED_VALUE"""),"Tanque Combustible 3000 lts Standard")</f>
        <v>Tanque Combustible 3000 lts Standard</v>
      </c>
      <c r="V7" s="3" t="str">
        <f>IFERROR(__xludf.DUMMYFUNCTION("""COMPUTED_VALUE"""),"Tanque Combustible 3000 lts Alto")</f>
        <v>Tanque Combustible 3000 lts Alto</v>
      </c>
      <c r="W7" s="3" t="str">
        <f>IFERROR(__xludf.DUMMYFUNCTION("""COMPUTED_VALUE"""),"Tanque Combustible 4000 lts Standard")</f>
        <v>Tanque Combustible 4000 lts Standard</v>
      </c>
      <c r="X7" s="3" t="str">
        <f>IFERROR(__xludf.DUMMYFUNCTION("""COMPUTED_VALUE"""),"Tanque Combustible 5000 lts Standard")</f>
        <v>Tanque Combustible 5000 lts Standard</v>
      </c>
      <c r="Y7" s="3" t="str">
        <f>IFERROR(__xludf.DUMMYFUNCTION("""COMPUTED_VALUE"""),"Tanque Combustible 5000 lts Alto")</f>
        <v>Tanque Combustible 5000 lts Alto</v>
      </c>
      <c r="Z7" s="3" t="str">
        <f>IFERROR(__xludf.DUMMYFUNCTION("""COMPUTED_VALUE"""),"Tanque Combustible 2000 lts Alto")</f>
        <v>Tanque Combustible 2000 lts Alto</v>
      </c>
      <c r="AA7" s="3" t="str">
        <f>IFERROR(__xludf.DUMMYFUNCTION("""COMPUTED_VALUE"""),"Tanque Combustible 4000 lts Alto")</f>
        <v>Tanque Combustible 4000 lts Alto</v>
      </c>
      <c r="AB7" s="3" t="str">
        <f>IFERROR(__xludf.DUMMYFUNCTION("""COMPUTED_VALUE"""),"Baulera Standard - 750")</f>
        <v>Baulera Standard - 750</v>
      </c>
      <c r="AC7" s="3" t="str">
        <f>IFERROR(__xludf.DUMMYFUNCTION("""COMPUTED_VALUE"""),"Baulera Standard - 1700 - C/Laterales")</f>
        <v>Baulera Standard - 1700 - C/Laterales</v>
      </c>
      <c r="AD7" s="3" t="str">
        <f>IFERROR(__xludf.DUMMYFUNCTION("""COMPUTED_VALUE"""),"Baulera Standard - 1000 - C/Laterales")</f>
        <v>Baulera Standard - 1000 - C/Laterales</v>
      </c>
      <c r="AE7" s="3" t="str">
        <f>IFERROR(__xludf.DUMMYFUNCTION("""COMPUTED_VALUE"""),"Baulera Standard - 750 - C/Laterales")</f>
        <v>Baulera Standard - 750 - C/Laterales</v>
      </c>
      <c r="AF7" s="3" t="str">
        <f>IFERROR(__xludf.DUMMYFUNCTION("""COMPUTED_VALUE"""),"Baulera Standard - 1300 - C/Laterales")</f>
        <v>Baulera Standard - 1300 - C/Laterales</v>
      </c>
      <c r="AG7" s="3" t="str">
        <f>IFERROR(__xludf.DUMMYFUNCTION("""COMPUTED_VALUE"""),"Baulera Alta - 750")</f>
        <v>Baulera Alta - 750</v>
      </c>
      <c r="AH7" s="3" t="str">
        <f>IFERROR(__xludf.DUMMYFUNCTION("""COMPUTED_VALUE"""),"Baulera Alta - 1500 - C/Laterales")</f>
        <v>Baulera Alta - 1500 - C/Laterales</v>
      </c>
      <c r="AI7" s="3" t="str">
        <f>IFERROR(__xludf.DUMMYFUNCTION("""COMPUTED_VALUE"""),"Baulera Extendida 1700 - C/Laterales")</f>
        <v>Baulera Extendida 1700 - C/Laterales</v>
      </c>
      <c r="AJ7" s="3" t="str">
        <f>IFERROR(__xludf.DUMMYFUNCTION("""COMPUTED_VALUE"""),"Taller Móvil - 1500 x 1500 x 1700")</f>
        <v>Taller Móvil - 1500 x 1500 x 1700</v>
      </c>
      <c r="AK7" s="3" t="str">
        <f>IFERROR(__xludf.DUMMYFUNCTION("""COMPUTED_VALUE"""),"Cajón Herramientas Standard Derecho")</f>
        <v>Cajón Herramientas Standard Derecho</v>
      </c>
      <c r="AL7" s="3" t="str">
        <f>IFERROR(__xludf.DUMMYFUNCTION("""COMPUTED_VALUE"""),"Cajón Herramientas Standard Izquierdo")</f>
        <v>Cajón Herramientas Standard Izquierdo</v>
      </c>
      <c r="AM7" s="3" t="str">
        <f>IFERROR(__xludf.DUMMYFUNCTION("""COMPUTED_VALUE"""),"Cajón Herramientas Corto Derecho")</f>
        <v>Cajón Herramientas Corto Derecho</v>
      </c>
      <c r="AN7" s="3" t="str">
        <f>IFERROR(__xludf.DUMMYFUNCTION("""COMPUTED_VALUE"""),"Cajón Herramientas Corto Izquierdo")</f>
        <v>Cajón Herramientas Corto Izquierdo</v>
      </c>
      <c r="AO7" s="3" t="str">
        <f>IFERROR(__xludf.DUMMYFUNCTION("""COMPUTED_VALUE"""),"Cajón Herramientas Mediano Derecho")</f>
        <v>Cajón Herramientas Mediano Derecho</v>
      </c>
      <c r="AP7" s="3" t="str">
        <f>IFERROR(__xludf.DUMMYFUNCTION("""COMPUTED_VALUE"""),"Cajón Herramientas Mediano Izquierdo")</f>
        <v>Cajón Herramientas Mediano Izquierdo</v>
      </c>
      <c r="AQ7" s="3" t="str">
        <f>IFERROR(__xludf.DUMMYFUNCTION("""COMPUTED_VALUE"""),"Chasis Acoplado 2 Ejes L3000")</f>
        <v>Chasis Acoplado 2 Ejes L3000</v>
      </c>
      <c r="AR7" s="3" t="str">
        <f>IFERROR(__xludf.DUMMYFUNCTION("""COMPUTED_VALUE"""),"Chasis Acoplado 2 Ejes L3750")</f>
        <v>Chasis Acoplado 2 Ejes L3750</v>
      </c>
      <c r="AS7" s="3" t="str">
        <f>IFERROR(__xludf.DUMMYFUNCTION("""COMPUTED_VALUE"""),"Chasis Acoplado 2 Ejes L4000")</f>
        <v>Chasis Acoplado 2 Ejes L4000</v>
      </c>
      <c r="AT7" s="3" t="str">
        <f>IFERROR(__xludf.DUMMYFUNCTION("""COMPUTED_VALUE"""),"Chasis Acoplado 2 Ejes L4000 Reforzado")</f>
        <v>Chasis Acoplado 2 Ejes L4000 Reforzado</v>
      </c>
      <c r="AU7" s="3" t="str">
        <f>IFERROR(__xludf.DUMMYFUNCTION("""COMPUTED_VALUE"""),"Chasis Acoplado 2 Ejes L4750")</f>
        <v>Chasis Acoplado 2 Ejes L4750</v>
      </c>
      <c r="AV7" s="3" t="str">
        <f>IFERROR(__xludf.DUMMYFUNCTION("""COMPUTED_VALUE"""),"Chasis Acoplado 2 Ejes L4750 Reforzado")</f>
        <v>Chasis Acoplado 2 Ejes L4750 Reforzado</v>
      </c>
      <c r="AW7" s="3" t="str">
        <f>IFERROR(__xludf.DUMMYFUNCTION("""COMPUTED_VALUE"""),"Chasis Acoplado 2 Ejes L4750 Reforzado R. Camion")</f>
        <v>Chasis Acoplado 2 Ejes L4750 Reforzado R. Camion</v>
      </c>
      <c r="AX7" s="3" t="str">
        <f>IFERROR(__xludf.DUMMYFUNCTION("""COMPUTED_VALUE"""),"Chasis Acoplado 2 Ejes L5000")</f>
        <v>Chasis Acoplado 2 Ejes L5000</v>
      </c>
      <c r="AY7" s="3" t="str">
        <f>IFERROR(__xludf.DUMMYFUNCTION("""COMPUTED_VALUE"""),"Chasis Acoplado 2 Ejes L5750")</f>
        <v>Chasis Acoplado 2 Ejes L5750</v>
      </c>
      <c r="AZ7" s="3" t="str">
        <f>IFERROR(__xludf.DUMMYFUNCTION("""COMPUTED_VALUE"""),"Chasis Acoplado 2 Ejes L6400")</f>
        <v>Chasis Acoplado 2 Ejes L6400</v>
      </c>
      <c r="BA7" s="3" t="str">
        <f>IFERROR(__xludf.DUMMYFUNCTION("""COMPUTED_VALUE"""),"Chasis Acoplado 2 Ejes L4500")</f>
        <v>Chasis Acoplado 2 Ejes L4500</v>
      </c>
      <c r="BB7" s="3" t="str">
        <f>IFERROR(__xludf.DUMMYFUNCTION("""COMPUTED_VALUE"""),"Chasis Acoplado 1 Eje L1500")</f>
        <v>Chasis Acoplado 1 Eje L1500</v>
      </c>
      <c r="BC7" s="3" t="str">
        <f>IFERROR(__xludf.DUMMYFUNCTION("""COMPUTED_VALUE"""),"Chasis Acoplado 1 Eje L1800")</f>
        <v>Chasis Acoplado 1 Eje L1800</v>
      </c>
      <c r="BD7" s="3" t="str">
        <f>IFERROR(__xludf.DUMMYFUNCTION("""COMPUTED_VALUE"""),"Chasis Acoplado 1 Eje L1400")</f>
        <v>Chasis Acoplado 1 Eje L1400</v>
      </c>
      <c r="BE7" s="3" t="str">
        <f>IFERROR(__xludf.DUMMYFUNCTION("""COMPUTED_VALUE"""),"Chasis Acoplado Balancin L3000")</f>
        <v>Chasis Acoplado Balancin L3000</v>
      </c>
      <c r="BF7" s="3" t="str">
        <f>IFERROR(__xludf.DUMMYFUNCTION("""COMPUTED_VALUE"""),"Chasis Acoplado Balancin L3000 Lanza Corta")</f>
        <v>Chasis Acoplado Balancin L3000 Lanza Corta</v>
      </c>
      <c r="BG7" s="3" t="str">
        <f>IFERROR(__xludf.DUMMYFUNCTION("""COMPUTED_VALUE"""),"Chasis Acoplado Balancin L2000 Lanza Corta")</f>
        <v>Chasis Acoplado Balancin L2000 Lanza Corta</v>
      </c>
      <c r="BH7" s="3" t="str">
        <f>IFERROR(__xludf.DUMMYFUNCTION("""COMPUTED_VALUE"""),"Chasis Acoplado Balancin L3200 Lanza Corta")</f>
        <v>Chasis Acoplado Balancin L3200 Lanza Corta</v>
      </c>
      <c r="BI7" s="3" t="str">
        <f>IFERROR(__xludf.DUMMYFUNCTION("""COMPUTED_VALUE"""),"Chasis Acoplado Balancin L3200 Lanza Recta")</f>
        <v>Chasis Acoplado Balancin L3200 Lanza Recta</v>
      </c>
      <c r="BJ7" s="3" t="str">
        <f>IFERROR(__xludf.DUMMYFUNCTION("""COMPUTED_VALUE"""),"Chasis Acoplado Balancin L3200 Bajo Lanza Recta")</f>
        <v>Chasis Acoplado Balancin L3200 Bajo Lanza Recta</v>
      </c>
      <c r="BK7" s="3" t="str">
        <f>IFERROR(__xludf.DUMMYFUNCTION("""COMPUTED_VALUE"""),"Tanque Plastico Horizontal 750 Lts")</f>
        <v>Tanque Plastico Horizontal 750 Lts</v>
      </c>
      <c r="BL7" s="3" t="str">
        <f>IFERROR(__xludf.DUMMYFUNCTION("""COMPUTED_VALUE"""),"Medio Tanque Plastico Superior 700 Lts")</f>
        <v>Medio Tanque Plastico Superior 700 Lts</v>
      </c>
      <c r="BM7" s="3" t="str">
        <f>IFERROR(__xludf.DUMMYFUNCTION("""COMPUTED_VALUE"""),"Paquete de Elasticos 50 mm x 8 mm x 10 Hojas L850")</f>
        <v>Paquete de Elasticos 50 mm x 8 mm x 10 Hojas L850</v>
      </c>
      <c r="BN7" s="3" t="str">
        <f>IFERROR(__xludf.DUMMYFUNCTION("""COMPUTED_VALUE"""),"Paquete de Elasticos 63 mm x 8 mm x 10 Hojas L950")</f>
        <v>Paquete de Elasticos 63 mm x 8 mm x 10 Hojas L950</v>
      </c>
      <c r="BO7" s="3" t="str">
        <f>IFERROR(__xludf.DUMMYFUNCTION("""COMPUTED_VALUE"""),"Paquete de Elasticos 50 mm x 7 mm x 9 Hojas L850")</f>
        <v>Paquete de Elasticos 50 mm x 7 mm x 9 Hojas L850</v>
      </c>
      <c r="BP7" s="3" t="str">
        <f>IFERROR(__xludf.DUMMYFUNCTION("""COMPUTED_VALUE"""),"Paquete de Elasticos 63 mm x 8 mm x 8 Hojas L850")</f>
        <v>Paquete de Elasticos 63 mm x 8 mm x 8 Hojas L850</v>
      </c>
      <c r="BQ7" s="3" t="str">
        <f>IFERROR(__xludf.DUMMYFUNCTION("""COMPUTED_VALUE"""),"Paquete de Elasticos 63 mm x 10 mm x 10 Hojas L950")</f>
        <v>Paquete de Elasticos 63 mm x 10 mm x 10 Hojas L950</v>
      </c>
      <c r="BR7" s="3" t="str">
        <f>IFERROR(__xludf.DUMMYFUNCTION("""COMPUTED_VALUE"""),"Paquete de Elasticos 63 mm x 10 mm x 13 Hojas L975")</f>
        <v>Paquete de Elasticos 63 mm x 10 mm x 13 Hojas L975</v>
      </c>
      <c r="BS7" s="3" t="str">
        <f>IFERROR(__xludf.DUMMYFUNCTION("""COMPUTED_VALUE"""),"Paquete de Elasticos 50 mm x 7 mm x 9 Hojas L650")</f>
        <v>Paquete de Elasticos 50 mm x 7 mm x 9 Hojas L650</v>
      </c>
      <c r="BT7" s="3" t="str">
        <f>IFERROR(__xludf.DUMMYFUNCTION("""COMPUTED_VALUE"""),"Eje Acoplado 2"" x 1600 (06/08) Agrícola Centro 92")</f>
        <v>Eje Acoplado 2" x 1600 (06/08) Agrícola Centro 92</v>
      </c>
      <c r="BU7" s="3" t="str">
        <f>IFERROR(__xludf.DUMMYFUNCTION("""COMPUTED_VALUE"""),"Eje Acoplado 2 1/2"" x 1600 (07/09) Agrícola Centro 92")</f>
        <v>Eje Acoplado 2 1/2" x 1600 (07/09) Agrícola Centro 92</v>
      </c>
      <c r="BV7" s="3" t="str">
        <f>IFERROR(__xludf.DUMMYFUNCTION("""COMPUTED_VALUE"""),"Eje Acoplado 2 1/2"" x 1600 (09/11) Agrícola Centro 150")</f>
        <v>Eje Acoplado 2 1/2" x 1600 (09/11) Agrícola Centro 150</v>
      </c>
      <c r="BW7" s="3" t="str">
        <f>IFERROR(__xludf.DUMMYFUNCTION("""COMPUTED_VALUE"""),"Eje Acoplado 3"" x 1600 (10/13) Agrícola Centro 150")</f>
        <v>Eje Acoplado 3" x 1600 (10/13) Agrícola Centro 150</v>
      </c>
      <c r="BX7" s="3" t="str">
        <f>IFERROR(__xludf.DUMMYFUNCTION("""COMPUTED_VALUE"""),"Eje Acoplado 2 1/2"" x 2140 (07/09) Agrícola Centro 92")</f>
        <v>Eje Acoplado 2 1/2" x 2140 (07/09) Agrícola Centro 92</v>
      </c>
      <c r="BY7" s="3" t="str">
        <f>IFERROR(__xludf.DUMMYFUNCTION("""COMPUTED_VALUE"""),"Eje Acoplado 2"" x 1400 (06/08) Agrícola Centro 92")</f>
        <v>Eje Acoplado 2" x 1400 (06/08) Agrícola Centro 92</v>
      </c>
      <c r="BZ7" s="3" t="str">
        <f>IFERROR(__xludf.DUMMYFUNCTION("""COMPUTED_VALUE"""),"Eje Acoplado 2 1/2"" x 1500 (07/09) Agrícola Centro 92")</f>
        <v>Eje Acoplado 2 1/2" x 1500 (07/09) Agrícola Centro 92</v>
      </c>
      <c r="CA7" s="3" t="str">
        <f>IFERROR(__xludf.DUMMYFUNCTION("""COMPUTED_VALUE"""),"Eje Acoplado 2 1/2"" x 2000 (07/09) Agrícola Centro 92")</f>
        <v>Eje Acoplado 2 1/2" x 2000 (07/09) Agrícola Centro 92</v>
      </c>
      <c r="CB7" s="3" t="str">
        <f>IFERROR(__xludf.DUMMYFUNCTION("""COMPUTED_VALUE"""),"Eje Acoplado 2 1/2"" x 2100 (09/11) Agrícola Centro 150")</f>
        <v>Eje Acoplado 2 1/2" x 2100 (09/11) Agrícola Centro 150</v>
      </c>
      <c r="CC7" s="3" t="str">
        <f>IFERROR(__xludf.DUMMYFUNCTION("""COMPUTED_VALUE"""),"Llanta 16"" Simple Agrícola Centro 92")</f>
        <v>Llanta 16" Simple Agrícola Centro 92</v>
      </c>
      <c r="CD7" s="3" t="str">
        <f>IFERROR(__xludf.DUMMYFUNCTION("""COMPUTED_VALUE"""),"Llanta 16"" Dual Agrícola Centro 92")</f>
        <v>Llanta 16" Dual Agrícola Centro 92</v>
      </c>
      <c r="CE7" s="3" t="str">
        <f>IFERROR(__xludf.DUMMYFUNCTION("""COMPUTED_VALUE"""),"Llanta 17"" Simple Agrícola Centro 92")</f>
        <v>Llanta 17" Simple Agrícola Centro 92</v>
      </c>
      <c r="CF7" s="3" t="str">
        <f>IFERROR(__xludf.DUMMYFUNCTION("""COMPUTED_VALUE"""),"Llanta 17"" Dual Agrícola Centro 92")</f>
        <v>Llanta 17" Dual Agrícola Centro 92</v>
      </c>
      <c r="CG7" s="3" t="str">
        <f>IFERROR(__xludf.DUMMYFUNCTION("""COMPUTED_VALUE"""),"Llanta 16"" Dual Agrícola Centro 152")</f>
        <v>Llanta 16" Dual Agrícola Centro 152</v>
      </c>
      <c r="CH7" s="3" t="str">
        <f>IFERROR(__xludf.DUMMYFUNCTION("""COMPUTED_VALUE"""),"Llanta 17"" Dual Agrícola Centro 152")</f>
        <v>Llanta 17" Dual Agrícola Centro 152</v>
      </c>
      <c r="CI7" s="3" t="str">
        <f>IFERROR(__xludf.DUMMYFUNCTION("""COMPUTED_VALUE"""),"Eje Acoplado 2"" x 1600 (05/07) Agrícola Centro 92")</f>
        <v>Eje Acoplado 2" x 1600 (05/07) Agrícola Centro 92</v>
      </c>
      <c r="CJ7" s="3" t="str">
        <f>IFERROR(__xludf.DUMMYFUNCTION("""COMPUTED_VALUE"""),"Paquete de Elásticos 50 mm x 8 mm x 12 Hojas")</f>
        <v>Paquete de Elásticos 50 mm x 8 mm x 12 Hojas</v>
      </c>
      <c r="CK7" s="3" t="str">
        <f>IFERROR(__xludf.DUMMYFUNCTION("""COMPUTED_VALUE"""),"Plataforma Playo 4.00 x 1.90 x 0.45 Lateral Simple Baranda Fija")</f>
        <v>Plataforma Playo 4.00 x 1.90 x 0.45 Lateral Simple Baranda Fija</v>
      </c>
      <c r="CL7" s="3" t="str">
        <f>IFERROR(__xludf.DUMMYFUNCTION("""COMPUTED_VALUE"""),"Plataforma Playo 4.00 x 1.90 x 0.45 Lateral Simple Baranda Ventilada")</f>
        <v>Plataforma Playo 4.00 x 1.90 x 0.45 Lateral Simple Baranda Ventilada</v>
      </c>
      <c r="CM7" s="3" t="str">
        <f>IFERROR(__xludf.DUMMYFUNCTION("""COMPUTED_VALUE"""),"Plataforma Playo 4.00 x 1.90 x 0.45 Lateral Doble Baranda Ventilada")</f>
        <v>Plataforma Playo 4.00 x 1.90 x 0.45 Lateral Doble Baranda Ventilada</v>
      </c>
      <c r="CN7" s="3" t="str">
        <f>IFERROR(__xludf.DUMMYFUNCTION("""COMPUTED_VALUE"""),"Plataforma Playo 4.00 x 1.90 x 0.45 Lateral Doble Baranda Fija")</f>
        <v>Plataforma Playo 4.00 x 1.90 x 0.45 Lateral Doble Baranda Fija</v>
      </c>
      <c r="CO7" s="3" t="str">
        <f>IFERROR(__xludf.DUMMYFUNCTION("""COMPUTED_VALUE"""),"Plataforma Playo 4.00 x 1.90 x 0.72 Lateral Simple Baranda Fija")</f>
        <v>Plataforma Playo 4.00 x 1.90 x 0.72 Lateral Simple Baranda Fija</v>
      </c>
      <c r="CP7" s="3" t="str">
        <f>IFERROR(__xludf.DUMMYFUNCTION("""COMPUTED_VALUE"""),"Plataforma Playo 4.00 x 1.90 x 0.72 Lateral Doble Baranda Fija")</f>
        <v>Plataforma Playo 4.00 x 1.90 x 0.72 Lateral Doble Baranda Fija</v>
      </c>
      <c r="CQ7" s="3" t="str">
        <f>IFERROR(__xludf.DUMMYFUNCTION("""COMPUTED_VALUE"""),"Plataforma Playo 5.00 x 2.20 x 0.60 Lateral Doble Trasera Rebatible")</f>
        <v>Plataforma Playo 5.00 x 2.20 x 0.60 Lateral Doble Trasera Rebatible</v>
      </c>
      <c r="CR7" s="3" t="str">
        <f>IFERROR(__xludf.DUMMYFUNCTION("""COMPUTED_VALUE"""),"Plataforma Playo 5.00 x 2.20 x 0.60 Lateral Doble Baranda Fija C/Toldo")</f>
        <v>Plataforma Playo 5.00 x 2.20 x 0.60 Lateral Doble Baranda Fija C/Toldo</v>
      </c>
      <c r="CS7" s="3" t="str">
        <f>IFERROR(__xludf.DUMMYFUNCTION("""COMPUTED_VALUE"""),"Plataforma Playo 3.00 x 1.90 x 0.45 Lateral Simple Baranda Fija")</f>
        <v>Plataforma Playo 3.00 x 1.90 x 0.45 Lateral Simple Baranda Fija</v>
      </c>
      <c r="CT7" s="3" t="str">
        <f>IFERROR(__xludf.DUMMYFUNCTION("""COMPUTED_VALUE"""),"Plataforma Playo 3.00 x 1.90 x 0.45 Lateral Simple Baranda Ventilada")</f>
        <v>Plataforma Playo 3.00 x 1.90 x 0.45 Lateral Simple Baranda Ventilada</v>
      </c>
      <c r="CU7" s="3" t="str">
        <f>IFERROR(__xludf.DUMMYFUNCTION("""COMPUTED_VALUE"""),"Plataforma Playo 2.00 x 1.90 x 0.45 Lateral Simple Baranda Fija")</f>
        <v>Plataforma Playo 2.00 x 1.90 x 0.45 Lateral Simple Baranda Fija</v>
      </c>
      <c r="CV7" s="3" t="str">
        <f>IFERROR(__xludf.DUMMYFUNCTION("""COMPUTED_VALUE"""),"Plataforma Playo 5.00 x 1.90 x 0.60 Lateral Doble Baranda Fija")</f>
        <v>Plataforma Playo 5.00 x 1.90 x 0.60 Lateral Doble Baranda Fija</v>
      </c>
      <c r="CW7" s="3" t="str">
        <f>IFERROR(__xludf.DUMMYFUNCTION("""COMPUTED_VALUE"""),"Plataforma Playo 6.40 x 2.70 x 0.72 Lateral Doble Baranda Fija")</f>
        <v>Plataforma Playo 6.40 x 2.70 x 0.72 Lateral Doble Baranda Fija</v>
      </c>
      <c r="CX7" s="3" t="str">
        <f>IFERROR(__xludf.DUMMYFUNCTION("""COMPUTED_VALUE"""),"Chasis Acoplado Balancin L4000 Lanza Recta")</f>
        <v>Chasis Acoplado Balancin L4000 Lanza Recta</v>
      </c>
      <c r="CY7" s="3" t="str">
        <f>IFERROR(__xludf.DUMMYFUNCTION("""COMPUTED_VALUE"""),"Llanta simple Agrícola 750x20 centro 152")</f>
        <v>Llanta simple Agrícola 750x20 centro 152</v>
      </c>
      <c r="CZ7" s="3" t="str">
        <f>IFERROR(__xludf.DUMMYFUNCTION("""COMPUTED_VALUE"""),"Cajón de Herramientas Mediano adelante")</f>
        <v>Cajón de Herramientas Mediano adelante</v>
      </c>
      <c r="DA7" s="3" t="str">
        <f>IFERROR(__xludf.DUMMYFUNCTION("""COMPUTED_VALUE"""),"Llanta 15"" Simple Agrícola Centro 92")</f>
        <v>Llanta 15" Simple Agrícola Centro 92</v>
      </c>
    </row>
    <row r="8" hidden="1">
      <c r="A8" s="38">
        <f t="shared" si="1"/>
        <v>7</v>
      </c>
      <c r="B8" s="38">
        <f>IF(F8="","",SUMIF(Prearmados!E:E,F8,Prearmados!A:A))</f>
        <v>13</v>
      </c>
      <c r="C8" s="38">
        <f>IF(F8="","",SUMIF(Productos!E:E,G8,Productos!A:A))</f>
        <v>57</v>
      </c>
      <c r="D8" s="83" t="str">
        <f t="array" ref="D8">IF(OR(F8="",F8="Seleccionar.."),"",XLOOKUP(F8,Prearmados!E:E,Prearmados!F:F,"",0,1))</f>
        <v>Acoplados Rurales</v>
      </c>
      <c r="E8" s="83">
        <f>IF(H8="","",SUMIF(Precio_Productos!K:K,C8,Precio_Productos!J:J)*H8)</f>
        <v>633920</v>
      </c>
      <c r="F8" s="84" t="s">
        <v>336</v>
      </c>
      <c r="G8" s="84" t="s">
        <v>32</v>
      </c>
      <c r="H8" s="13">
        <v>1.0</v>
      </c>
      <c r="P8" s="3" t="str">
        <f>IFERROR(__xludf.DUMMYFUNCTION("IF(OR(F8="""",F8=""Seleccionar..""),"""",TRANSPOSE(FILTER(Productos!E:E,(Productos!F:F=D8)+(Productos!F:F=XLOOKUP(D8,Implementos!B:B,Implementos!C:C,""-"",0,1)))))"),"Tanque Combustible 1100 lts Bajo")</f>
        <v>Tanque Combustible 1100 lts Bajo</v>
      </c>
      <c r="Q8" s="3" t="str">
        <f>IFERROR(__xludf.DUMMYFUNCTION("""COMPUTED_VALUE"""),"Tanque Combustible 1500 lts Standard")</f>
        <v>Tanque Combustible 1500 lts Standard</v>
      </c>
      <c r="R8" s="3" t="str">
        <f>IFERROR(__xludf.DUMMYFUNCTION("""COMPUTED_VALUE"""),"Tanque Combustible 1800 lts Standard")</f>
        <v>Tanque Combustible 1800 lts Standard</v>
      </c>
      <c r="S8" s="3" t="str">
        <f>IFERROR(__xludf.DUMMYFUNCTION("""COMPUTED_VALUE"""),"Tanque Combustible 2000 lts Bajo")</f>
        <v>Tanque Combustible 2000 lts Bajo</v>
      </c>
      <c r="T8" s="3" t="str">
        <f>IFERROR(__xludf.DUMMYFUNCTION("""COMPUTED_VALUE"""),"Tanque Combustible 2000 lts Standard")</f>
        <v>Tanque Combustible 2000 lts Standard</v>
      </c>
      <c r="U8" s="3" t="str">
        <f>IFERROR(__xludf.DUMMYFUNCTION("""COMPUTED_VALUE"""),"Tanque Combustible 3000 lts Standard")</f>
        <v>Tanque Combustible 3000 lts Standard</v>
      </c>
      <c r="V8" s="3" t="str">
        <f>IFERROR(__xludf.DUMMYFUNCTION("""COMPUTED_VALUE"""),"Tanque Combustible 3000 lts Alto")</f>
        <v>Tanque Combustible 3000 lts Alto</v>
      </c>
      <c r="W8" s="3" t="str">
        <f>IFERROR(__xludf.DUMMYFUNCTION("""COMPUTED_VALUE"""),"Tanque Combustible 4000 lts Standard")</f>
        <v>Tanque Combustible 4000 lts Standard</v>
      </c>
      <c r="X8" s="3" t="str">
        <f>IFERROR(__xludf.DUMMYFUNCTION("""COMPUTED_VALUE"""),"Tanque Combustible 5000 lts Standard")</f>
        <v>Tanque Combustible 5000 lts Standard</v>
      </c>
      <c r="Y8" s="3" t="str">
        <f>IFERROR(__xludf.DUMMYFUNCTION("""COMPUTED_VALUE"""),"Tanque Combustible 5000 lts Alto")</f>
        <v>Tanque Combustible 5000 lts Alto</v>
      </c>
      <c r="Z8" s="3" t="str">
        <f>IFERROR(__xludf.DUMMYFUNCTION("""COMPUTED_VALUE"""),"Tanque Combustible 2000 lts Alto")</f>
        <v>Tanque Combustible 2000 lts Alto</v>
      </c>
      <c r="AA8" s="3" t="str">
        <f>IFERROR(__xludf.DUMMYFUNCTION("""COMPUTED_VALUE"""),"Tanque Combustible 4000 lts Alto")</f>
        <v>Tanque Combustible 4000 lts Alto</v>
      </c>
      <c r="AB8" s="3" t="str">
        <f>IFERROR(__xludf.DUMMYFUNCTION("""COMPUTED_VALUE"""),"Baulera Standard - 750")</f>
        <v>Baulera Standard - 750</v>
      </c>
      <c r="AC8" s="3" t="str">
        <f>IFERROR(__xludf.DUMMYFUNCTION("""COMPUTED_VALUE"""),"Baulera Standard - 1700 - C/Laterales")</f>
        <v>Baulera Standard - 1700 - C/Laterales</v>
      </c>
      <c r="AD8" s="3" t="str">
        <f>IFERROR(__xludf.DUMMYFUNCTION("""COMPUTED_VALUE"""),"Baulera Standard - 1000 - C/Laterales")</f>
        <v>Baulera Standard - 1000 - C/Laterales</v>
      </c>
      <c r="AE8" s="3" t="str">
        <f>IFERROR(__xludf.DUMMYFUNCTION("""COMPUTED_VALUE"""),"Baulera Standard - 750 - C/Laterales")</f>
        <v>Baulera Standard - 750 - C/Laterales</v>
      </c>
      <c r="AF8" s="3" t="str">
        <f>IFERROR(__xludf.DUMMYFUNCTION("""COMPUTED_VALUE"""),"Baulera Standard - 1300 - C/Laterales")</f>
        <v>Baulera Standard - 1300 - C/Laterales</v>
      </c>
      <c r="AG8" s="3" t="str">
        <f>IFERROR(__xludf.DUMMYFUNCTION("""COMPUTED_VALUE"""),"Baulera Alta - 750")</f>
        <v>Baulera Alta - 750</v>
      </c>
      <c r="AH8" s="3" t="str">
        <f>IFERROR(__xludf.DUMMYFUNCTION("""COMPUTED_VALUE"""),"Baulera Alta - 1500 - C/Laterales")</f>
        <v>Baulera Alta - 1500 - C/Laterales</v>
      </c>
      <c r="AI8" s="3" t="str">
        <f>IFERROR(__xludf.DUMMYFUNCTION("""COMPUTED_VALUE"""),"Baulera Extendida 1700 - C/Laterales")</f>
        <v>Baulera Extendida 1700 - C/Laterales</v>
      </c>
      <c r="AJ8" s="3" t="str">
        <f>IFERROR(__xludf.DUMMYFUNCTION("""COMPUTED_VALUE"""),"Taller Móvil - 1500 x 1500 x 1700")</f>
        <v>Taller Móvil - 1500 x 1500 x 1700</v>
      </c>
      <c r="AK8" s="3" t="str">
        <f>IFERROR(__xludf.DUMMYFUNCTION("""COMPUTED_VALUE"""),"Cajón Herramientas Standard Derecho")</f>
        <v>Cajón Herramientas Standard Derecho</v>
      </c>
      <c r="AL8" s="3" t="str">
        <f>IFERROR(__xludf.DUMMYFUNCTION("""COMPUTED_VALUE"""),"Cajón Herramientas Standard Izquierdo")</f>
        <v>Cajón Herramientas Standard Izquierdo</v>
      </c>
      <c r="AM8" s="3" t="str">
        <f>IFERROR(__xludf.DUMMYFUNCTION("""COMPUTED_VALUE"""),"Cajón Herramientas Corto Derecho")</f>
        <v>Cajón Herramientas Corto Derecho</v>
      </c>
      <c r="AN8" s="3" t="str">
        <f>IFERROR(__xludf.DUMMYFUNCTION("""COMPUTED_VALUE"""),"Cajón Herramientas Corto Izquierdo")</f>
        <v>Cajón Herramientas Corto Izquierdo</v>
      </c>
      <c r="AO8" s="3" t="str">
        <f>IFERROR(__xludf.DUMMYFUNCTION("""COMPUTED_VALUE"""),"Cajón Herramientas Mediano Derecho")</f>
        <v>Cajón Herramientas Mediano Derecho</v>
      </c>
      <c r="AP8" s="3" t="str">
        <f>IFERROR(__xludf.DUMMYFUNCTION("""COMPUTED_VALUE"""),"Cajón Herramientas Mediano Izquierdo")</f>
        <v>Cajón Herramientas Mediano Izquierdo</v>
      </c>
      <c r="AQ8" s="3" t="str">
        <f>IFERROR(__xludf.DUMMYFUNCTION("""COMPUTED_VALUE"""),"Chasis Acoplado 2 Ejes L3000")</f>
        <v>Chasis Acoplado 2 Ejes L3000</v>
      </c>
      <c r="AR8" s="3" t="str">
        <f>IFERROR(__xludf.DUMMYFUNCTION("""COMPUTED_VALUE"""),"Chasis Acoplado 2 Ejes L3750")</f>
        <v>Chasis Acoplado 2 Ejes L3750</v>
      </c>
      <c r="AS8" s="3" t="str">
        <f>IFERROR(__xludf.DUMMYFUNCTION("""COMPUTED_VALUE"""),"Chasis Acoplado 2 Ejes L4000")</f>
        <v>Chasis Acoplado 2 Ejes L4000</v>
      </c>
      <c r="AT8" s="3" t="str">
        <f>IFERROR(__xludf.DUMMYFUNCTION("""COMPUTED_VALUE"""),"Chasis Acoplado 2 Ejes L4000 Reforzado")</f>
        <v>Chasis Acoplado 2 Ejes L4000 Reforzado</v>
      </c>
      <c r="AU8" s="3" t="str">
        <f>IFERROR(__xludf.DUMMYFUNCTION("""COMPUTED_VALUE"""),"Chasis Acoplado 2 Ejes L4750")</f>
        <v>Chasis Acoplado 2 Ejes L4750</v>
      </c>
      <c r="AV8" s="3" t="str">
        <f>IFERROR(__xludf.DUMMYFUNCTION("""COMPUTED_VALUE"""),"Chasis Acoplado 2 Ejes L4750 Reforzado")</f>
        <v>Chasis Acoplado 2 Ejes L4750 Reforzado</v>
      </c>
      <c r="AW8" s="3" t="str">
        <f>IFERROR(__xludf.DUMMYFUNCTION("""COMPUTED_VALUE"""),"Chasis Acoplado 2 Ejes L4750 Reforzado R. Camion")</f>
        <v>Chasis Acoplado 2 Ejes L4750 Reforzado R. Camion</v>
      </c>
      <c r="AX8" s="3" t="str">
        <f>IFERROR(__xludf.DUMMYFUNCTION("""COMPUTED_VALUE"""),"Chasis Acoplado 2 Ejes L5000")</f>
        <v>Chasis Acoplado 2 Ejes L5000</v>
      </c>
      <c r="AY8" s="3" t="str">
        <f>IFERROR(__xludf.DUMMYFUNCTION("""COMPUTED_VALUE"""),"Chasis Acoplado 2 Ejes L5750")</f>
        <v>Chasis Acoplado 2 Ejes L5750</v>
      </c>
      <c r="AZ8" s="3" t="str">
        <f>IFERROR(__xludf.DUMMYFUNCTION("""COMPUTED_VALUE"""),"Chasis Acoplado 2 Ejes L6400")</f>
        <v>Chasis Acoplado 2 Ejes L6400</v>
      </c>
      <c r="BA8" s="3" t="str">
        <f>IFERROR(__xludf.DUMMYFUNCTION("""COMPUTED_VALUE"""),"Chasis Acoplado 2 Ejes L4500")</f>
        <v>Chasis Acoplado 2 Ejes L4500</v>
      </c>
      <c r="BB8" s="3" t="str">
        <f>IFERROR(__xludf.DUMMYFUNCTION("""COMPUTED_VALUE"""),"Chasis Acoplado 1 Eje L1500")</f>
        <v>Chasis Acoplado 1 Eje L1500</v>
      </c>
      <c r="BC8" s="3" t="str">
        <f>IFERROR(__xludf.DUMMYFUNCTION("""COMPUTED_VALUE"""),"Chasis Acoplado 1 Eje L1800")</f>
        <v>Chasis Acoplado 1 Eje L1800</v>
      </c>
      <c r="BD8" s="3" t="str">
        <f>IFERROR(__xludf.DUMMYFUNCTION("""COMPUTED_VALUE"""),"Chasis Acoplado 1 Eje L1400")</f>
        <v>Chasis Acoplado 1 Eje L1400</v>
      </c>
      <c r="BE8" s="3" t="str">
        <f>IFERROR(__xludf.DUMMYFUNCTION("""COMPUTED_VALUE"""),"Chasis Acoplado Balancin L3000")</f>
        <v>Chasis Acoplado Balancin L3000</v>
      </c>
      <c r="BF8" s="3" t="str">
        <f>IFERROR(__xludf.DUMMYFUNCTION("""COMPUTED_VALUE"""),"Chasis Acoplado Balancin L3000 Lanza Corta")</f>
        <v>Chasis Acoplado Balancin L3000 Lanza Corta</v>
      </c>
      <c r="BG8" s="3" t="str">
        <f>IFERROR(__xludf.DUMMYFUNCTION("""COMPUTED_VALUE"""),"Chasis Acoplado Balancin L2000 Lanza Corta")</f>
        <v>Chasis Acoplado Balancin L2000 Lanza Corta</v>
      </c>
      <c r="BH8" s="3" t="str">
        <f>IFERROR(__xludf.DUMMYFUNCTION("""COMPUTED_VALUE"""),"Chasis Acoplado Balancin L3200 Lanza Corta")</f>
        <v>Chasis Acoplado Balancin L3200 Lanza Corta</v>
      </c>
      <c r="BI8" s="3" t="str">
        <f>IFERROR(__xludf.DUMMYFUNCTION("""COMPUTED_VALUE"""),"Chasis Acoplado Balancin L3200 Lanza Recta")</f>
        <v>Chasis Acoplado Balancin L3200 Lanza Recta</v>
      </c>
      <c r="BJ8" s="3" t="str">
        <f>IFERROR(__xludf.DUMMYFUNCTION("""COMPUTED_VALUE"""),"Chasis Acoplado Balancin L3200 Bajo Lanza Recta")</f>
        <v>Chasis Acoplado Balancin L3200 Bajo Lanza Recta</v>
      </c>
      <c r="BK8" s="3" t="str">
        <f>IFERROR(__xludf.DUMMYFUNCTION("""COMPUTED_VALUE"""),"Tanque Plastico Horizontal 750 Lts")</f>
        <v>Tanque Plastico Horizontal 750 Lts</v>
      </c>
      <c r="BL8" s="3" t="str">
        <f>IFERROR(__xludf.DUMMYFUNCTION("""COMPUTED_VALUE"""),"Medio Tanque Plastico Superior 700 Lts")</f>
        <v>Medio Tanque Plastico Superior 700 Lts</v>
      </c>
      <c r="BM8" s="3" t="str">
        <f>IFERROR(__xludf.DUMMYFUNCTION("""COMPUTED_VALUE"""),"Paquete de Elasticos 50 mm x 8 mm x 10 Hojas L850")</f>
        <v>Paquete de Elasticos 50 mm x 8 mm x 10 Hojas L850</v>
      </c>
      <c r="BN8" s="3" t="str">
        <f>IFERROR(__xludf.DUMMYFUNCTION("""COMPUTED_VALUE"""),"Paquete de Elasticos 63 mm x 8 mm x 10 Hojas L950")</f>
        <v>Paquete de Elasticos 63 mm x 8 mm x 10 Hojas L950</v>
      </c>
      <c r="BO8" s="3" t="str">
        <f>IFERROR(__xludf.DUMMYFUNCTION("""COMPUTED_VALUE"""),"Paquete de Elasticos 50 mm x 7 mm x 9 Hojas L850")</f>
        <v>Paquete de Elasticos 50 mm x 7 mm x 9 Hojas L850</v>
      </c>
      <c r="BP8" s="3" t="str">
        <f>IFERROR(__xludf.DUMMYFUNCTION("""COMPUTED_VALUE"""),"Paquete de Elasticos 63 mm x 8 mm x 8 Hojas L850")</f>
        <v>Paquete de Elasticos 63 mm x 8 mm x 8 Hojas L850</v>
      </c>
      <c r="BQ8" s="3" t="str">
        <f>IFERROR(__xludf.DUMMYFUNCTION("""COMPUTED_VALUE"""),"Paquete de Elasticos 63 mm x 10 mm x 10 Hojas L950")</f>
        <v>Paquete de Elasticos 63 mm x 10 mm x 10 Hojas L950</v>
      </c>
      <c r="BR8" s="3" t="str">
        <f>IFERROR(__xludf.DUMMYFUNCTION("""COMPUTED_VALUE"""),"Paquete de Elasticos 63 mm x 10 mm x 13 Hojas L975")</f>
        <v>Paquete de Elasticos 63 mm x 10 mm x 13 Hojas L975</v>
      </c>
      <c r="BS8" s="3" t="str">
        <f>IFERROR(__xludf.DUMMYFUNCTION("""COMPUTED_VALUE"""),"Paquete de Elasticos 50 mm x 7 mm x 9 Hojas L650")</f>
        <v>Paquete de Elasticos 50 mm x 7 mm x 9 Hojas L650</v>
      </c>
      <c r="BT8" s="3" t="str">
        <f>IFERROR(__xludf.DUMMYFUNCTION("""COMPUTED_VALUE"""),"Eje Acoplado 2"" x 1600 (06/08) Agrícola Centro 92")</f>
        <v>Eje Acoplado 2" x 1600 (06/08) Agrícola Centro 92</v>
      </c>
      <c r="BU8" s="3" t="str">
        <f>IFERROR(__xludf.DUMMYFUNCTION("""COMPUTED_VALUE"""),"Eje Acoplado 2 1/2"" x 1600 (07/09) Agrícola Centro 92")</f>
        <v>Eje Acoplado 2 1/2" x 1600 (07/09) Agrícola Centro 92</v>
      </c>
      <c r="BV8" s="3" t="str">
        <f>IFERROR(__xludf.DUMMYFUNCTION("""COMPUTED_VALUE"""),"Eje Acoplado 2 1/2"" x 1600 (09/11) Agrícola Centro 150")</f>
        <v>Eje Acoplado 2 1/2" x 1600 (09/11) Agrícola Centro 150</v>
      </c>
      <c r="BW8" s="3" t="str">
        <f>IFERROR(__xludf.DUMMYFUNCTION("""COMPUTED_VALUE"""),"Eje Acoplado 3"" x 1600 (10/13) Agrícola Centro 150")</f>
        <v>Eje Acoplado 3" x 1600 (10/13) Agrícola Centro 150</v>
      </c>
      <c r="BX8" s="3" t="str">
        <f>IFERROR(__xludf.DUMMYFUNCTION("""COMPUTED_VALUE"""),"Eje Acoplado 2 1/2"" x 2140 (07/09) Agrícola Centro 92")</f>
        <v>Eje Acoplado 2 1/2" x 2140 (07/09) Agrícola Centro 92</v>
      </c>
      <c r="BY8" s="3" t="str">
        <f>IFERROR(__xludf.DUMMYFUNCTION("""COMPUTED_VALUE"""),"Eje Acoplado 2"" x 1400 (06/08) Agrícola Centro 92")</f>
        <v>Eje Acoplado 2" x 1400 (06/08) Agrícola Centro 92</v>
      </c>
      <c r="BZ8" s="3" t="str">
        <f>IFERROR(__xludf.DUMMYFUNCTION("""COMPUTED_VALUE"""),"Eje Acoplado 2 1/2"" x 1500 (07/09) Agrícola Centro 92")</f>
        <v>Eje Acoplado 2 1/2" x 1500 (07/09) Agrícola Centro 92</v>
      </c>
      <c r="CA8" s="3" t="str">
        <f>IFERROR(__xludf.DUMMYFUNCTION("""COMPUTED_VALUE"""),"Eje Acoplado 2 1/2"" x 2000 (07/09) Agrícola Centro 92")</f>
        <v>Eje Acoplado 2 1/2" x 2000 (07/09) Agrícola Centro 92</v>
      </c>
      <c r="CB8" s="3" t="str">
        <f>IFERROR(__xludf.DUMMYFUNCTION("""COMPUTED_VALUE"""),"Eje Acoplado 2 1/2"" x 2100 (09/11) Agrícola Centro 150")</f>
        <v>Eje Acoplado 2 1/2" x 2100 (09/11) Agrícola Centro 150</v>
      </c>
      <c r="CC8" s="3" t="str">
        <f>IFERROR(__xludf.DUMMYFUNCTION("""COMPUTED_VALUE"""),"Llanta 16"" Simple Agrícola Centro 92")</f>
        <v>Llanta 16" Simple Agrícola Centro 92</v>
      </c>
      <c r="CD8" s="3" t="str">
        <f>IFERROR(__xludf.DUMMYFUNCTION("""COMPUTED_VALUE"""),"Llanta 16"" Dual Agrícola Centro 92")</f>
        <v>Llanta 16" Dual Agrícola Centro 92</v>
      </c>
      <c r="CE8" s="3" t="str">
        <f>IFERROR(__xludf.DUMMYFUNCTION("""COMPUTED_VALUE"""),"Llanta 17"" Simple Agrícola Centro 92")</f>
        <v>Llanta 17" Simple Agrícola Centro 92</v>
      </c>
      <c r="CF8" s="3" t="str">
        <f>IFERROR(__xludf.DUMMYFUNCTION("""COMPUTED_VALUE"""),"Llanta 17"" Dual Agrícola Centro 92")</f>
        <v>Llanta 17" Dual Agrícola Centro 92</v>
      </c>
      <c r="CG8" s="3" t="str">
        <f>IFERROR(__xludf.DUMMYFUNCTION("""COMPUTED_VALUE"""),"Llanta 16"" Dual Agrícola Centro 152")</f>
        <v>Llanta 16" Dual Agrícola Centro 152</v>
      </c>
      <c r="CH8" s="3" t="str">
        <f>IFERROR(__xludf.DUMMYFUNCTION("""COMPUTED_VALUE"""),"Llanta 17"" Dual Agrícola Centro 152")</f>
        <v>Llanta 17" Dual Agrícola Centro 152</v>
      </c>
      <c r="CI8" s="3" t="str">
        <f>IFERROR(__xludf.DUMMYFUNCTION("""COMPUTED_VALUE"""),"Eje Acoplado 2"" x 1600 (05/07) Agrícola Centro 92")</f>
        <v>Eje Acoplado 2" x 1600 (05/07) Agrícola Centro 92</v>
      </c>
      <c r="CJ8" s="3" t="str">
        <f>IFERROR(__xludf.DUMMYFUNCTION("""COMPUTED_VALUE"""),"Paquete de Elásticos 50 mm x 8 mm x 12 Hojas")</f>
        <v>Paquete de Elásticos 50 mm x 8 mm x 12 Hojas</v>
      </c>
      <c r="CK8" s="3" t="str">
        <f>IFERROR(__xludf.DUMMYFUNCTION("""COMPUTED_VALUE"""),"Plataforma Playo 4.00 x 1.90 x 0.45 Lateral Simple Baranda Fija")</f>
        <v>Plataforma Playo 4.00 x 1.90 x 0.45 Lateral Simple Baranda Fija</v>
      </c>
      <c r="CL8" s="3" t="str">
        <f>IFERROR(__xludf.DUMMYFUNCTION("""COMPUTED_VALUE"""),"Plataforma Playo 4.00 x 1.90 x 0.45 Lateral Simple Baranda Ventilada")</f>
        <v>Plataforma Playo 4.00 x 1.90 x 0.45 Lateral Simple Baranda Ventilada</v>
      </c>
      <c r="CM8" s="3" t="str">
        <f>IFERROR(__xludf.DUMMYFUNCTION("""COMPUTED_VALUE"""),"Plataforma Playo 4.00 x 1.90 x 0.45 Lateral Doble Baranda Ventilada")</f>
        <v>Plataforma Playo 4.00 x 1.90 x 0.45 Lateral Doble Baranda Ventilada</v>
      </c>
      <c r="CN8" s="3" t="str">
        <f>IFERROR(__xludf.DUMMYFUNCTION("""COMPUTED_VALUE"""),"Plataforma Playo 4.00 x 1.90 x 0.45 Lateral Doble Baranda Fija")</f>
        <v>Plataforma Playo 4.00 x 1.90 x 0.45 Lateral Doble Baranda Fija</v>
      </c>
      <c r="CO8" s="3" t="str">
        <f>IFERROR(__xludf.DUMMYFUNCTION("""COMPUTED_VALUE"""),"Plataforma Playo 4.00 x 1.90 x 0.72 Lateral Simple Baranda Fija")</f>
        <v>Plataforma Playo 4.00 x 1.90 x 0.72 Lateral Simple Baranda Fija</v>
      </c>
      <c r="CP8" s="3" t="str">
        <f>IFERROR(__xludf.DUMMYFUNCTION("""COMPUTED_VALUE"""),"Plataforma Playo 4.00 x 1.90 x 0.72 Lateral Doble Baranda Fija")</f>
        <v>Plataforma Playo 4.00 x 1.90 x 0.72 Lateral Doble Baranda Fija</v>
      </c>
      <c r="CQ8" s="3" t="str">
        <f>IFERROR(__xludf.DUMMYFUNCTION("""COMPUTED_VALUE"""),"Plataforma Playo 5.00 x 2.20 x 0.60 Lateral Doble Trasera Rebatible")</f>
        <v>Plataforma Playo 5.00 x 2.20 x 0.60 Lateral Doble Trasera Rebatible</v>
      </c>
      <c r="CR8" s="3" t="str">
        <f>IFERROR(__xludf.DUMMYFUNCTION("""COMPUTED_VALUE"""),"Plataforma Playo 5.00 x 2.20 x 0.60 Lateral Doble Baranda Fija C/Toldo")</f>
        <v>Plataforma Playo 5.00 x 2.20 x 0.60 Lateral Doble Baranda Fija C/Toldo</v>
      </c>
      <c r="CS8" s="3" t="str">
        <f>IFERROR(__xludf.DUMMYFUNCTION("""COMPUTED_VALUE"""),"Plataforma Playo 3.00 x 1.90 x 0.45 Lateral Simple Baranda Fija")</f>
        <v>Plataforma Playo 3.00 x 1.90 x 0.45 Lateral Simple Baranda Fija</v>
      </c>
      <c r="CT8" s="3" t="str">
        <f>IFERROR(__xludf.DUMMYFUNCTION("""COMPUTED_VALUE"""),"Plataforma Playo 3.00 x 1.90 x 0.45 Lateral Simple Baranda Ventilada")</f>
        <v>Plataforma Playo 3.00 x 1.90 x 0.45 Lateral Simple Baranda Ventilada</v>
      </c>
      <c r="CU8" s="3" t="str">
        <f>IFERROR(__xludf.DUMMYFUNCTION("""COMPUTED_VALUE"""),"Plataforma Playo 2.00 x 1.90 x 0.45 Lateral Simple Baranda Fija")</f>
        <v>Plataforma Playo 2.00 x 1.90 x 0.45 Lateral Simple Baranda Fija</v>
      </c>
      <c r="CV8" s="3" t="str">
        <f>IFERROR(__xludf.DUMMYFUNCTION("""COMPUTED_VALUE"""),"Plataforma Playo 5.00 x 1.90 x 0.60 Lateral Doble Baranda Fija")</f>
        <v>Plataforma Playo 5.00 x 1.90 x 0.60 Lateral Doble Baranda Fija</v>
      </c>
      <c r="CW8" s="3" t="str">
        <f>IFERROR(__xludf.DUMMYFUNCTION("""COMPUTED_VALUE"""),"Plataforma Playo 6.40 x 2.70 x 0.72 Lateral Doble Baranda Fija")</f>
        <v>Plataforma Playo 6.40 x 2.70 x 0.72 Lateral Doble Baranda Fija</v>
      </c>
      <c r="CX8" s="3" t="str">
        <f>IFERROR(__xludf.DUMMYFUNCTION("""COMPUTED_VALUE"""),"Chasis Acoplado Balancin L4000 Lanza Recta")</f>
        <v>Chasis Acoplado Balancin L4000 Lanza Recta</v>
      </c>
      <c r="CY8" s="3" t="str">
        <f>IFERROR(__xludf.DUMMYFUNCTION("""COMPUTED_VALUE"""),"Llanta simple Agrícola 750x20 centro 152")</f>
        <v>Llanta simple Agrícola 750x20 centro 152</v>
      </c>
      <c r="CZ8" s="3" t="str">
        <f>IFERROR(__xludf.DUMMYFUNCTION("""COMPUTED_VALUE"""),"Cajón de Herramientas Mediano adelante")</f>
        <v>Cajón de Herramientas Mediano adelante</v>
      </c>
      <c r="DA8" s="3" t="str">
        <f>IFERROR(__xludf.DUMMYFUNCTION("""COMPUTED_VALUE"""),"Llanta 15"" Simple Agrícola Centro 92")</f>
        <v>Llanta 15" Simple Agrícola Centro 92</v>
      </c>
    </row>
    <row r="9" hidden="1">
      <c r="A9" s="38">
        <f t="shared" si="1"/>
        <v>8</v>
      </c>
      <c r="B9" s="38">
        <f>IF(F9="","",SUMIF(Prearmados!E:E,F9,Prearmados!A:A))</f>
        <v>13</v>
      </c>
      <c r="C9" s="38">
        <f>IF(F9="","",SUMIF(Productos!E:E,G9,Productos!A:A))</f>
        <v>73</v>
      </c>
      <c r="D9" s="83" t="str">
        <f t="array" ref="D9">IF(OR(F9="",F9="Seleccionar.."),"",XLOOKUP(F9,Prearmados!E:E,Prearmados!F:F,"",0,1))</f>
        <v>Acoplados Rurales</v>
      </c>
      <c r="E9" s="83">
        <f>IF(H9="","",SUMIF(Precio_Productos!K:K,C9,Precio_Productos!J:J)*H9)</f>
        <v>2454854</v>
      </c>
      <c r="F9" s="84" t="s">
        <v>336</v>
      </c>
      <c r="G9" s="84" t="s">
        <v>99</v>
      </c>
      <c r="H9" s="13">
        <v>1.0</v>
      </c>
      <c r="P9" s="3" t="str">
        <f>IFERROR(__xludf.DUMMYFUNCTION("IF(OR(F9="""",F9=""Seleccionar..""),"""",TRANSPOSE(FILTER(Productos!E:E,(Productos!F:F=D9)+(Productos!F:F=XLOOKUP(D9,Implementos!B:B,Implementos!C:C,""-"",0,1)))))"),"Tanque Combustible 1100 lts Bajo")</f>
        <v>Tanque Combustible 1100 lts Bajo</v>
      </c>
      <c r="Q9" s="3" t="str">
        <f>IFERROR(__xludf.DUMMYFUNCTION("""COMPUTED_VALUE"""),"Tanque Combustible 1500 lts Standard")</f>
        <v>Tanque Combustible 1500 lts Standard</v>
      </c>
      <c r="R9" s="3" t="str">
        <f>IFERROR(__xludf.DUMMYFUNCTION("""COMPUTED_VALUE"""),"Tanque Combustible 1800 lts Standard")</f>
        <v>Tanque Combustible 1800 lts Standard</v>
      </c>
      <c r="S9" s="3" t="str">
        <f>IFERROR(__xludf.DUMMYFUNCTION("""COMPUTED_VALUE"""),"Tanque Combustible 2000 lts Bajo")</f>
        <v>Tanque Combustible 2000 lts Bajo</v>
      </c>
      <c r="T9" s="3" t="str">
        <f>IFERROR(__xludf.DUMMYFUNCTION("""COMPUTED_VALUE"""),"Tanque Combustible 2000 lts Standard")</f>
        <v>Tanque Combustible 2000 lts Standard</v>
      </c>
      <c r="U9" s="3" t="str">
        <f>IFERROR(__xludf.DUMMYFUNCTION("""COMPUTED_VALUE"""),"Tanque Combustible 3000 lts Standard")</f>
        <v>Tanque Combustible 3000 lts Standard</v>
      </c>
      <c r="V9" s="3" t="str">
        <f>IFERROR(__xludf.DUMMYFUNCTION("""COMPUTED_VALUE"""),"Tanque Combustible 3000 lts Alto")</f>
        <v>Tanque Combustible 3000 lts Alto</v>
      </c>
      <c r="W9" s="3" t="str">
        <f>IFERROR(__xludf.DUMMYFUNCTION("""COMPUTED_VALUE"""),"Tanque Combustible 4000 lts Standard")</f>
        <v>Tanque Combustible 4000 lts Standard</v>
      </c>
      <c r="X9" s="3" t="str">
        <f>IFERROR(__xludf.DUMMYFUNCTION("""COMPUTED_VALUE"""),"Tanque Combustible 5000 lts Standard")</f>
        <v>Tanque Combustible 5000 lts Standard</v>
      </c>
      <c r="Y9" s="3" t="str">
        <f>IFERROR(__xludf.DUMMYFUNCTION("""COMPUTED_VALUE"""),"Tanque Combustible 5000 lts Alto")</f>
        <v>Tanque Combustible 5000 lts Alto</v>
      </c>
      <c r="Z9" s="3" t="str">
        <f>IFERROR(__xludf.DUMMYFUNCTION("""COMPUTED_VALUE"""),"Tanque Combustible 2000 lts Alto")</f>
        <v>Tanque Combustible 2000 lts Alto</v>
      </c>
      <c r="AA9" s="3" t="str">
        <f>IFERROR(__xludf.DUMMYFUNCTION("""COMPUTED_VALUE"""),"Tanque Combustible 4000 lts Alto")</f>
        <v>Tanque Combustible 4000 lts Alto</v>
      </c>
      <c r="AB9" s="3" t="str">
        <f>IFERROR(__xludf.DUMMYFUNCTION("""COMPUTED_VALUE"""),"Baulera Standard - 750")</f>
        <v>Baulera Standard - 750</v>
      </c>
      <c r="AC9" s="3" t="str">
        <f>IFERROR(__xludf.DUMMYFUNCTION("""COMPUTED_VALUE"""),"Baulera Standard - 1700 - C/Laterales")</f>
        <v>Baulera Standard - 1700 - C/Laterales</v>
      </c>
      <c r="AD9" s="3" t="str">
        <f>IFERROR(__xludf.DUMMYFUNCTION("""COMPUTED_VALUE"""),"Baulera Standard - 1000 - C/Laterales")</f>
        <v>Baulera Standard - 1000 - C/Laterales</v>
      </c>
      <c r="AE9" s="3" t="str">
        <f>IFERROR(__xludf.DUMMYFUNCTION("""COMPUTED_VALUE"""),"Baulera Standard - 750 - C/Laterales")</f>
        <v>Baulera Standard - 750 - C/Laterales</v>
      </c>
      <c r="AF9" s="3" t="str">
        <f>IFERROR(__xludf.DUMMYFUNCTION("""COMPUTED_VALUE"""),"Baulera Standard - 1300 - C/Laterales")</f>
        <v>Baulera Standard - 1300 - C/Laterales</v>
      </c>
      <c r="AG9" s="3" t="str">
        <f>IFERROR(__xludf.DUMMYFUNCTION("""COMPUTED_VALUE"""),"Baulera Alta - 750")</f>
        <v>Baulera Alta - 750</v>
      </c>
      <c r="AH9" s="3" t="str">
        <f>IFERROR(__xludf.DUMMYFUNCTION("""COMPUTED_VALUE"""),"Baulera Alta - 1500 - C/Laterales")</f>
        <v>Baulera Alta - 1500 - C/Laterales</v>
      </c>
      <c r="AI9" s="3" t="str">
        <f>IFERROR(__xludf.DUMMYFUNCTION("""COMPUTED_VALUE"""),"Baulera Extendida 1700 - C/Laterales")</f>
        <v>Baulera Extendida 1700 - C/Laterales</v>
      </c>
      <c r="AJ9" s="3" t="str">
        <f>IFERROR(__xludf.DUMMYFUNCTION("""COMPUTED_VALUE"""),"Taller Móvil - 1500 x 1500 x 1700")</f>
        <v>Taller Móvil - 1500 x 1500 x 1700</v>
      </c>
      <c r="AK9" s="3" t="str">
        <f>IFERROR(__xludf.DUMMYFUNCTION("""COMPUTED_VALUE"""),"Cajón Herramientas Standard Derecho")</f>
        <v>Cajón Herramientas Standard Derecho</v>
      </c>
      <c r="AL9" s="3" t="str">
        <f>IFERROR(__xludf.DUMMYFUNCTION("""COMPUTED_VALUE"""),"Cajón Herramientas Standard Izquierdo")</f>
        <v>Cajón Herramientas Standard Izquierdo</v>
      </c>
      <c r="AM9" s="3" t="str">
        <f>IFERROR(__xludf.DUMMYFUNCTION("""COMPUTED_VALUE"""),"Cajón Herramientas Corto Derecho")</f>
        <v>Cajón Herramientas Corto Derecho</v>
      </c>
      <c r="AN9" s="3" t="str">
        <f>IFERROR(__xludf.DUMMYFUNCTION("""COMPUTED_VALUE"""),"Cajón Herramientas Corto Izquierdo")</f>
        <v>Cajón Herramientas Corto Izquierdo</v>
      </c>
      <c r="AO9" s="3" t="str">
        <f>IFERROR(__xludf.DUMMYFUNCTION("""COMPUTED_VALUE"""),"Cajón Herramientas Mediano Derecho")</f>
        <v>Cajón Herramientas Mediano Derecho</v>
      </c>
      <c r="AP9" s="3" t="str">
        <f>IFERROR(__xludf.DUMMYFUNCTION("""COMPUTED_VALUE"""),"Cajón Herramientas Mediano Izquierdo")</f>
        <v>Cajón Herramientas Mediano Izquierdo</v>
      </c>
      <c r="AQ9" s="3" t="str">
        <f>IFERROR(__xludf.DUMMYFUNCTION("""COMPUTED_VALUE"""),"Chasis Acoplado 2 Ejes L3000")</f>
        <v>Chasis Acoplado 2 Ejes L3000</v>
      </c>
      <c r="AR9" s="3" t="str">
        <f>IFERROR(__xludf.DUMMYFUNCTION("""COMPUTED_VALUE"""),"Chasis Acoplado 2 Ejes L3750")</f>
        <v>Chasis Acoplado 2 Ejes L3750</v>
      </c>
      <c r="AS9" s="3" t="str">
        <f>IFERROR(__xludf.DUMMYFUNCTION("""COMPUTED_VALUE"""),"Chasis Acoplado 2 Ejes L4000")</f>
        <v>Chasis Acoplado 2 Ejes L4000</v>
      </c>
      <c r="AT9" s="3" t="str">
        <f>IFERROR(__xludf.DUMMYFUNCTION("""COMPUTED_VALUE"""),"Chasis Acoplado 2 Ejes L4000 Reforzado")</f>
        <v>Chasis Acoplado 2 Ejes L4000 Reforzado</v>
      </c>
      <c r="AU9" s="3" t="str">
        <f>IFERROR(__xludf.DUMMYFUNCTION("""COMPUTED_VALUE"""),"Chasis Acoplado 2 Ejes L4750")</f>
        <v>Chasis Acoplado 2 Ejes L4750</v>
      </c>
      <c r="AV9" s="3" t="str">
        <f>IFERROR(__xludf.DUMMYFUNCTION("""COMPUTED_VALUE"""),"Chasis Acoplado 2 Ejes L4750 Reforzado")</f>
        <v>Chasis Acoplado 2 Ejes L4750 Reforzado</v>
      </c>
      <c r="AW9" s="3" t="str">
        <f>IFERROR(__xludf.DUMMYFUNCTION("""COMPUTED_VALUE"""),"Chasis Acoplado 2 Ejes L4750 Reforzado R. Camion")</f>
        <v>Chasis Acoplado 2 Ejes L4750 Reforzado R. Camion</v>
      </c>
      <c r="AX9" s="3" t="str">
        <f>IFERROR(__xludf.DUMMYFUNCTION("""COMPUTED_VALUE"""),"Chasis Acoplado 2 Ejes L5000")</f>
        <v>Chasis Acoplado 2 Ejes L5000</v>
      </c>
      <c r="AY9" s="3" t="str">
        <f>IFERROR(__xludf.DUMMYFUNCTION("""COMPUTED_VALUE"""),"Chasis Acoplado 2 Ejes L5750")</f>
        <v>Chasis Acoplado 2 Ejes L5750</v>
      </c>
      <c r="AZ9" s="3" t="str">
        <f>IFERROR(__xludf.DUMMYFUNCTION("""COMPUTED_VALUE"""),"Chasis Acoplado 2 Ejes L6400")</f>
        <v>Chasis Acoplado 2 Ejes L6400</v>
      </c>
      <c r="BA9" s="3" t="str">
        <f>IFERROR(__xludf.DUMMYFUNCTION("""COMPUTED_VALUE"""),"Chasis Acoplado 2 Ejes L4500")</f>
        <v>Chasis Acoplado 2 Ejes L4500</v>
      </c>
      <c r="BB9" s="3" t="str">
        <f>IFERROR(__xludf.DUMMYFUNCTION("""COMPUTED_VALUE"""),"Chasis Acoplado 1 Eje L1500")</f>
        <v>Chasis Acoplado 1 Eje L1500</v>
      </c>
      <c r="BC9" s="3" t="str">
        <f>IFERROR(__xludf.DUMMYFUNCTION("""COMPUTED_VALUE"""),"Chasis Acoplado 1 Eje L1800")</f>
        <v>Chasis Acoplado 1 Eje L1800</v>
      </c>
      <c r="BD9" s="3" t="str">
        <f>IFERROR(__xludf.DUMMYFUNCTION("""COMPUTED_VALUE"""),"Chasis Acoplado 1 Eje L1400")</f>
        <v>Chasis Acoplado 1 Eje L1400</v>
      </c>
      <c r="BE9" s="3" t="str">
        <f>IFERROR(__xludf.DUMMYFUNCTION("""COMPUTED_VALUE"""),"Chasis Acoplado Balancin L3000")</f>
        <v>Chasis Acoplado Balancin L3000</v>
      </c>
      <c r="BF9" s="3" t="str">
        <f>IFERROR(__xludf.DUMMYFUNCTION("""COMPUTED_VALUE"""),"Chasis Acoplado Balancin L3000 Lanza Corta")</f>
        <v>Chasis Acoplado Balancin L3000 Lanza Corta</v>
      </c>
      <c r="BG9" s="3" t="str">
        <f>IFERROR(__xludf.DUMMYFUNCTION("""COMPUTED_VALUE"""),"Chasis Acoplado Balancin L2000 Lanza Corta")</f>
        <v>Chasis Acoplado Balancin L2000 Lanza Corta</v>
      </c>
      <c r="BH9" s="3" t="str">
        <f>IFERROR(__xludf.DUMMYFUNCTION("""COMPUTED_VALUE"""),"Chasis Acoplado Balancin L3200 Lanza Corta")</f>
        <v>Chasis Acoplado Balancin L3200 Lanza Corta</v>
      </c>
      <c r="BI9" s="3" t="str">
        <f>IFERROR(__xludf.DUMMYFUNCTION("""COMPUTED_VALUE"""),"Chasis Acoplado Balancin L3200 Lanza Recta")</f>
        <v>Chasis Acoplado Balancin L3200 Lanza Recta</v>
      </c>
      <c r="BJ9" s="3" t="str">
        <f>IFERROR(__xludf.DUMMYFUNCTION("""COMPUTED_VALUE"""),"Chasis Acoplado Balancin L3200 Bajo Lanza Recta")</f>
        <v>Chasis Acoplado Balancin L3200 Bajo Lanza Recta</v>
      </c>
      <c r="BK9" s="3" t="str">
        <f>IFERROR(__xludf.DUMMYFUNCTION("""COMPUTED_VALUE"""),"Tanque Plastico Horizontal 750 Lts")</f>
        <v>Tanque Plastico Horizontal 750 Lts</v>
      </c>
      <c r="BL9" s="3" t="str">
        <f>IFERROR(__xludf.DUMMYFUNCTION("""COMPUTED_VALUE"""),"Medio Tanque Plastico Superior 700 Lts")</f>
        <v>Medio Tanque Plastico Superior 700 Lts</v>
      </c>
      <c r="BM9" s="3" t="str">
        <f>IFERROR(__xludf.DUMMYFUNCTION("""COMPUTED_VALUE"""),"Paquete de Elasticos 50 mm x 8 mm x 10 Hojas L850")</f>
        <v>Paquete de Elasticos 50 mm x 8 mm x 10 Hojas L850</v>
      </c>
      <c r="BN9" s="3" t="str">
        <f>IFERROR(__xludf.DUMMYFUNCTION("""COMPUTED_VALUE"""),"Paquete de Elasticos 63 mm x 8 mm x 10 Hojas L950")</f>
        <v>Paquete de Elasticos 63 mm x 8 mm x 10 Hojas L950</v>
      </c>
      <c r="BO9" s="3" t="str">
        <f>IFERROR(__xludf.DUMMYFUNCTION("""COMPUTED_VALUE"""),"Paquete de Elasticos 50 mm x 7 mm x 9 Hojas L850")</f>
        <v>Paquete de Elasticos 50 mm x 7 mm x 9 Hojas L850</v>
      </c>
      <c r="BP9" s="3" t="str">
        <f>IFERROR(__xludf.DUMMYFUNCTION("""COMPUTED_VALUE"""),"Paquete de Elasticos 63 mm x 8 mm x 8 Hojas L850")</f>
        <v>Paquete de Elasticos 63 mm x 8 mm x 8 Hojas L850</v>
      </c>
      <c r="BQ9" s="3" t="str">
        <f>IFERROR(__xludf.DUMMYFUNCTION("""COMPUTED_VALUE"""),"Paquete de Elasticos 63 mm x 10 mm x 10 Hojas L950")</f>
        <v>Paquete de Elasticos 63 mm x 10 mm x 10 Hojas L950</v>
      </c>
      <c r="BR9" s="3" t="str">
        <f>IFERROR(__xludf.DUMMYFUNCTION("""COMPUTED_VALUE"""),"Paquete de Elasticos 63 mm x 10 mm x 13 Hojas L975")</f>
        <v>Paquete de Elasticos 63 mm x 10 mm x 13 Hojas L975</v>
      </c>
      <c r="BS9" s="3" t="str">
        <f>IFERROR(__xludf.DUMMYFUNCTION("""COMPUTED_VALUE"""),"Paquete de Elasticos 50 mm x 7 mm x 9 Hojas L650")</f>
        <v>Paquete de Elasticos 50 mm x 7 mm x 9 Hojas L650</v>
      </c>
      <c r="BT9" s="3" t="str">
        <f>IFERROR(__xludf.DUMMYFUNCTION("""COMPUTED_VALUE"""),"Eje Acoplado 2"" x 1600 (06/08) Agrícola Centro 92")</f>
        <v>Eje Acoplado 2" x 1600 (06/08) Agrícola Centro 92</v>
      </c>
      <c r="BU9" s="3" t="str">
        <f>IFERROR(__xludf.DUMMYFUNCTION("""COMPUTED_VALUE"""),"Eje Acoplado 2 1/2"" x 1600 (07/09) Agrícola Centro 92")</f>
        <v>Eje Acoplado 2 1/2" x 1600 (07/09) Agrícola Centro 92</v>
      </c>
      <c r="BV9" s="3" t="str">
        <f>IFERROR(__xludf.DUMMYFUNCTION("""COMPUTED_VALUE"""),"Eje Acoplado 2 1/2"" x 1600 (09/11) Agrícola Centro 150")</f>
        <v>Eje Acoplado 2 1/2" x 1600 (09/11) Agrícola Centro 150</v>
      </c>
      <c r="BW9" s="3" t="str">
        <f>IFERROR(__xludf.DUMMYFUNCTION("""COMPUTED_VALUE"""),"Eje Acoplado 3"" x 1600 (10/13) Agrícola Centro 150")</f>
        <v>Eje Acoplado 3" x 1600 (10/13) Agrícola Centro 150</v>
      </c>
      <c r="BX9" s="3" t="str">
        <f>IFERROR(__xludf.DUMMYFUNCTION("""COMPUTED_VALUE"""),"Eje Acoplado 2 1/2"" x 2140 (07/09) Agrícola Centro 92")</f>
        <v>Eje Acoplado 2 1/2" x 2140 (07/09) Agrícola Centro 92</v>
      </c>
      <c r="BY9" s="3" t="str">
        <f>IFERROR(__xludf.DUMMYFUNCTION("""COMPUTED_VALUE"""),"Eje Acoplado 2"" x 1400 (06/08) Agrícola Centro 92")</f>
        <v>Eje Acoplado 2" x 1400 (06/08) Agrícola Centro 92</v>
      </c>
      <c r="BZ9" s="3" t="str">
        <f>IFERROR(__xludf.DUMMYFUNCTION("""COMPUTED_VALUE"""),"Eje Acoplado 2 1/2"" x 1500 (07/09) Agrícola Centro 92")</f>
        <v>Eje Acoplado 2 1/2" x 1500 (07/09) Agrícola Centro 92</v>
      </c>
      <c r="CA9" s="3" t="str">
        <f>IFERROR(__xludf.DUMMYFUNCTION("""COMPUTED_VALUE"""),"Eje Acoplado 2 1/2"" x 2000 (07/09) Agrícola Centro 92")</f>
        <v>Eje Acoplado 2 1/2" x 2000 (07/09) Agrícola Centro 92</v>
      </c>
      <c r="CB9" s="3" t="str">
        <f>IFERROR(__xludf.DUMMYFUNCTION("""COMPUTED_VALUE"""),"Eje Acoplado 2 1/2"" x 2100 (09/11) Agrícola Centro 150")</f>
        <v>Eje Acoplado 2 1/2" x 2100 (09/11) Agrícola Centro 150</v>
      </c>
      <c r="CC9" s="3" t="str">
        <f>IFERROR(__xludf.DUMMYFUNCTION("""COMPUTED_VALUE"""),"Llanta 16"" Simple Agrícola Centro 92")</f>
        <v>Llanta 16" Simple Agrícola Centro 92</v>
      </c>
      <c r="CD9" s="3" t="str">
        <f>IFERROR(__xludf.DUMMYFUNCTION("""COMPUTED_VALUE"""),"Llanta 16"" Dual Agrícola Centro 92")</f>
        <v>Llanta 16" Dual Agrícola Centro 92</v>
      </c>
      <c r="CE9" s="3" t="str">
        <f>IFERROR(__xludf.DUMMYFUNCTION("""COMPUTED_VALUE"""),"Llanta 17"" Simple Agrícola Centro 92")</f>
        <v>Llanta 17" Simple Agrícola Centro 92</v>
      </c>
      <c r="CF9" s="3" t="str">
        <f>IFERROR(__xludf.DUMMYFUNCTION("""COMPUTED_VALUE"""),"Llanta 17"" Dual Agrícola Centro 92")</f>
        <v>Llanta 17" Dual Agrícola Centro 92</v>
      </c>
      <c r="CG9" s="3" t="str">
        <f>IFERROR(__xludf.DUMMYFUNCTION("""COMPUTED_VALUE"""),"Llanta 16"" Dual Agrícola Centro 152")</f>
        <v>Llanta 16" Dual Agrícola Centro 152</v>
      </c>
      <c r="CH9" s="3" t="str">
        <f>IFERROR(__xludf.DUMMYFUNCTION("""COMPUTED_VALUE"""),"Llanta 17"" Dual Agrícola Centro 152")</f>
        <v>Llanta 17" Dual Agrícola Centro 152</v>
      </c>
      <c r="CI9" s="3" t="str">
        <f>IFERROR(__xludf.DUMMYFUNCTION("""COMPUTED_VALUE"""),"Eje Acoplado 2"" x 1600 (05/07) Agrícola Centro 92")</f>
        <v>Eje Acoplado 2" x 1600 (05/07) Agrícola Centro 92</v>
      </c>
      <c r="CJ9" s="3" t="str">
        <f>IFERROR(__xludf.DUMMYFUNCTION("""COMPUTED_VALUE"""),"Paquete de Elásticos 50 mm x 8 mm x 12 Hojas")</f>
        <v>Paquete de Elásticos 50 mm x 8 mm x 12 Hojas</v>
      </c>
      <c r="CK9" s="3" t="str">
        <f>IFERROR(__xludf.DUMMYFUNCTION("""COMPUTED_VALUE"""),"Plataforma Playo 4.00 x 1.90 x 0.45 Lateral Simple Baranda Fija")</f>
        <v>Plataforma Playo 4.00 x 1.90 x 0.45 Lateral Simple Baranda Fija</v>
      </c>
      <c r="CL9" s="3" t="str">
        <f>IFERROR(__xludf.DUMMYFUNCTION("""COMPUTED_VALUE"""),"Plataforma Playo 4.00 x 1.90 x 0.45 Lateral Simple Baranda Ventilada")</f>
        <v>Plataforma Playo 4.00 x 1.90 x 0.45 Lateral Simple Baranda Ventilada</v>
      </c>
      <c r="CM9" s="3" t="str">
        <f>IFERROR(__xludf.DUMMYFUNCTION("""COMPUTED_VALUE"""),"Plataforma Playo 4.00 x 1.90 x 0.45 Lateral Doble Baranda Ventilada")</f>
        <v>Plataforma Playo 4.00 x 1.90 x 0.45 Lateral Doble Baranda Ventilada</v>
      </c>
      <c r="CN9" s="3" t="str">
        <f>IFERROR(__xludf.DUMMYFUNCTION("""COMPUTED_VALUE"""),"Plataforma Playo 4.00 x 1.90 x 0.45 Lateral Doble Baranda Fija")</f>
        <v>Plataforma Playo 4.00 x 1.90 x 0.45 Lateral Doble Baranda Fija</v>
      </c>
      <c r="CO9" s="3" t="str">
        <f>IFERROR(__xludf.DUMMYFUNCTION("""COMPUTED_VALUE"""),"Plataforma Playo 4.00 x 1.90 x 0.72 Lateral Simple Baranda Fija")</f>
        <v>Plataforma Playo 4.00 x 1.90 x 0.72 Lateral Simple Baranda Fija</v>
      </c>
      <c r="CP9" s="3" t="str">
        <f>IFERROR(__xludf.DUMMYFUNCTION("""COMPUTED_VALUE"""),"Plataforma Playo 4.00 x 1.90 x 0.72 Lateral Doble Baranda Fija")</f>
        <v>Plataforma Playo 4.00 x 1.90 x 0.72 Lateral Doble Baranda Fija</v>
      </c>
      <c r="CQ9" s="3" t="str">
        <f>IFERROR(__xludf.DUMMYFUNCTION("""COMPUTED_VALUE"""),"Plataforma Playo 5.00 x 2.20 x 0.60 Lateral Doble Trasera Rebatible")</f>
        <v>Plataforma Playo 5.00 x 2.20 x 0.60 Lateral Doble Trasera Rebatible</v>
      </c>
      <c r="CR9" s="3" t="str">
        <f>IFERROR(__xludf.DUMMYFUNCTION("""COMPUTED_VALUE"""),"Plataforma Playo 5.00 x 2.20 x 0.60 Lateral Doble Baranda Fija C/Toldo")</f>
        <v>Plataforma Playo 5.00 x 2.20 x 0.60 Lateral Doble Baranda Fija C/Toldo</v>
      </c>
      <c r="CS9" s="3" t="str">
        <f>IFERROR(__xludf.DUMMYFUNCTION("""COMPUTED_VALUE"""),"Plataforma Playo 3.00 x 1.90 x 0.45 Lateral Simple Baranda Fija")</f>
        <v>Plataforma Playo 3.00 x 1.90 x 0.45 Lateral Simple Baranda Fija</v>
      </c>
      <c r="CT9" s="3" t="str">
        <f>IFERROR(__xludf.DUMMYFUNCTION("""COMPUTED_VALUE"""),"Plataforma Playo 3.00 x 1.90 x 0.45 Lateral Simple Baranda Ventilada")</f>
        <v>Plataforma Playo 3.00 x 1.90 x 0.45 Lateral Simple Baranda Ventilada</v>
      </c>
      <c r="CU9" s="3" t="str">
        <f>IFERROR(__xludf.DUMMYFUNCTION("""COMPUTED_VALUE"""),"Plataforma Playo 2.00 x 1.90 x 0.45 Lateral Simple Baranda Fija")</f>
        <v>Plataforma Playo 2.00 x 1.90 x 0.45 Lateral Simple Baranda Fija</v>
      </c>
      <c r="CV9" s="3" t="str">
        <f>IFERROR(__xludf.DUMMYFUNCTION("""COMPUTED_VALUE"""),"Plataforma Playo 5.00 x 1.90 x 0.60 Lateral Doble Baranda Fija")</f>
        <v>Plataforma Playo 5.00 x 1.90 x 0.60 Lateral Doble Baranda Fija</v>
      </c>
      <c r="CW9" s="3" t="str">
        <f>IFERROR(__xludf.DUMMYFUNCTION("""COMPUTED_VALUE"""),"Plataforma Playo 6.40 x 2.70 x 0.72 Lateral Doble Baranda Fija")</f>
        <v>Plataforma Playo 6.40 x 2.70 x 0.72 Lateral Doble Baranda Fija</v>
      </c>
      <c r="CX9" s="3" t="str">
        <f>IFERROR(__xludf.DUMMYFUNCTION("""COMPUTED_VALUE"""),"Chasis Acoplado Balancin L4000 Lanza Recta")</f>
        <v>Chasis Acoplado Balancin L4000 Lanza Recta</v>
      </c>
      <c r="CY9" s="3" t="str">
        <f>IFERROR(__xludf.DUMMYFUNCTION("""COMPUTED_VALUE"""),"Llanta simple Agrícola 750x20 centro 152")</f>
        <v>Llanta simple Agrícola 750x20 centro 152</v>
      </c>
      <c r="CZ9" s="3" t="str">
        <f>IFERROR(__xludf.DUMMYFUNCTION("""COMPUTED_VALUE"""),"Cajón de Herramientas Mediano adelante")</f>
        <v>Cajón de Herramientas Mediano adelante</v>
      </c>
      <c r="DA9" s="3" t="str">
        <f>IFERROR(__xludf.DUMMYFUNCTION("""COMPUTED_VALUE"""),"Llanta 15"" Simple Agrícola Centro 92")</f>
        <v>Llanta 15" Simple Agrícola Centro 92</v>
      </c>
    </row>
    <row r="10" hidden="1">
      <c r="A10" s="38">
        <f t="shared" si="1"/>
        <v>9</v>
      </c>
      <c r="B10" s="38">
        <f>IF(F10="","",SUMIF(Prearmados!E:E,F10,Prearmados!A:A))</f>
        <v>13</v>
      </c>
      <c r="C10" s="38">
        <f>IF(F10="","",SUMIF(Productos!E:E,G10,Productos!A:A))</f>
        <v>102</v>
      </c>
      <c r="D10" s="83" t="str">
        <f t="array" ref="D10">IF(OR(F10="",F10="Seleccionar.."),"",XLOOKUP(F10,Prearmados!E:E,Prearmados!F:F,"",0,1))</f>
        <v>Acoplados Rurales</v>
      </c>
      <c r="E10" s="83">
        <f>IF(H10="","",SUMIF(Precio_Productos!K:K,C10,Precio_Productos!J:J)*H10)</f>
        <v>1054374</v>
      </c>
      <c r="F10" s="84" t="s">
        <v>336</v>
      </c>
      <c r="G10" s="84" t="s">
        <v>134</v>
      </c>
      <c r="H10" s="13">
        <v>2.0</v>
      </c>
      <c r="P10" s="3" t="str">
        <f>IFERROR(__xludf.DUMMYFUNCTION("IF(OR(F10="""",F10=""Seleccionar..""),"""",TRANSPOSE(FILTER(Productos!E:E,(Productos!F:F=D10)+(Productos!F:F=XLOOKUP(D10,Implementos!B:B,Implementos!C:C,""-"",0,1)))))"),"Tanque Combustible 1100 lts Bajo")</f>
        <v>Tanque Combustible 1100 lts Bajo</v>
      </c>
      <c r="Q10" s="3" t="str">
        <f>IFERROR(__xludf.DUMMYFUNCTION("""COMPUTED_VALUE"""),"Tanque Combustible 1500 lts Standard")</f>
        <v>Tanque Combustible 1500 lts Standard</v>
      </c>
      <c r="R10" s="3" t="str">
        <f>IFERROR(__xludf.DUMMYFUNCTION("""COMPUTED_VALUE"""),"Tanque Combustible 1800 lts Standard")</f>
        <v>Tanque Combustible 1800 lts Standard</v>
      </c>
      <c r="S10" s="3" t="str">
        <f>IFERROR(__xludf.DUMMYFUNCTION("""COMPUTED_VALUE"""),"Tanque Combustible 2000 lts Bajo")</f>
        <v>Tanque Combustible 2000 lts Bajo</v>
      </c>
      <c r="T10" s="3" t="str">
        <f>IFERROR(__xludf.DUMMYFUNCTION("""COMPUTED_VALUE"""),"Tanque Combustible 2000 lts Standard")</f>
        <v>Tanque Combustible 2000 lts Standard</v>
      </c>
      <c r="U10" s="3" t="str">
        <f>IFERROR(__xludf.DUMMYFUNCTION("""COMPUTED_VALUE"""),"Tanque Combustible 3000 lts Standard")</f>
        <v>Tanque Combustible 3000 lts Standard</v>
      </c>
      <c r="V10" s="3" t="str">
        <f>IFERROR(__xludf.DUMMYFUNCTION("""COMPUTED_VALUE"""),"Tanque Combustible 3000 lts Alto")</f>
        <v>Tanque Combustible 3000 lts Alto</v>
      </c>
      <c r="W10" s="3" t="str">
        <f>IFERROR(__xludf.DUMMYFUNCTION("""COMPUTED_VALUE"""),"Tanque Combustible 4000 lts Standard")</f>
        <v>Tanque Combustible 4000 lts Standard</v>
      </c>
      <c r="X10" s="3" t="str">
        <f>IFERROR(__xludf.DUMMYFUNCTION("""COMPUTED_VALUE"""),"Tanque Combustible 5000 lts Standard")</f>
        <v>Tanque Combustible 5000 lts Standard</v>
      </c>
      <c r="Y10" s="3" t="str">
        <f>IFERROR(__xludf.DUMMYFUNCTION("""COMPUTED_VALUE"""),"Tanque Combustible 5000 lts Alto")</f>
        <v>Tanque Combustible 5000 lts Alto</v>
      </c>
      <c r="Z10" s="3" t="str">
        <f>IFERROR(__xludf.DUMMYFUNCTION("""COMPUTED_VALUE"""),"Tanque Combustible 2000 lts Alto")</f>
        <v>Tanque Combustible 2000 lts Alto</v>
      </c>
      <c r="AA10" s="3" t="str">
        <f>IFERROR(__xludf.DUMMYFUNCTION("""COMPUTED_VALUE"""),"Tanque Combustible 4000 lts Alto")</f>
        <v>Tanque Combustible 4000 lts Alto</v>
      </c>
      <c r="AB10" s="3" t="str">
        <f>IFERROR(__xludf.DUMMYFUNCTION("""COMPUTED_VALUE"""),"Baulera Standard - 750")</f>
        <v>Baulera Standard - 750</v>
      </c>
      <c r="AC10" s="3" t="str">
        <f>IFERROR(__xludf.DUMMYFUNCTION("""COMPUTED_VALUE"""),"Baulera Standard - 1700 - C/Laterales")</f>
        <v>Baulera Standard - 1700 - C/Laterales</v>
      </c>
      <c r="AD10" s="3" t="str">
        <f>IFERROR(__xludf.DUMMYFUNCTION("""COMPUTED_VALUE"""),"Baulera Standard - 1000 - C/Laterales")</f>
        <v>Baulera Standard - 1000 - C/Laterales</v>
      </c>
      <c r="AE10" s="3" t="str">
        <f>IFERROR(__xludf.DUMMYFUNCTION("""COMPUTED_VALUE"""),"Baulera Standard - 750 - C/Laterales")</f>
        <v>Baulera Standard - 750 - C/Laterales</v>
      </c>
      <c r="AF10" s="3" t="str">
        <f>IFERROR(__xludf.DUMMYFUNCTION("""COMPUTED_VALUE"""),"Baulera Standard - 1300 - C/Laterales")</f>
        <v>Baulera Standard - 1300 - C/Laterales</v>
      </c>
      <c r="AG10" s="3" t="str">
        <f>IFERROR(__xludf.DUMMYFUNCTION("""COMPUTED_VALUE"""),"Baulera Alta - 750")</f>
        <v>Baulera Alta - 750</v>
      </c>
      <c r="AH10" s="3" t="str">
        <f>IFERROR(__xludf.DUMMYFUNCTION("""COMPUTED_VALUE"""),"Baulera Alta - 1500 - C/Laterales")</f>
        <v>Baulera Alta - 1500 - C/Laterales</v>
      </c>
      <c r="AI10" s="3" t="str">
        <f>IFERROR(__xludf.DUMMYFUNCTION("""COMPUTED_VALUE"""),"Baulera Extendida 1700 - C/Laterales")</f>
        <v>Baulera Extendida 1700 - C/Laterales</v>
      </c>
      <c r="AJ10" s="3" t="str">
        <f>IFERROR(__xludf.DUMMYFUNCTION("""COMPUTED_VALUE"""),"Taller Móvil - 1500 x 1500 x 1700")</f>
        <v>Taller Móvil - 1500 x 1500 x 1700</v>
      </c>
      <c r="AK10" s="3" t="str">
        <f>IFERROR(__xludf.DUMMYFUNCTION("""COMPUTED_VALUE"""),"Cajón Herramientas Standard Derecho")</f>
        <v>Cajón Herramientas Standard Derecho</v>
      </c>
      <c r="AL10" s="3" t="str">
        <f>IFERROR(__xludf.DUMMYFUNCTION("""COMPUTED_VALUE"""),"Cajón Herramientas Standard Izquierdo")</f>
        <v>Cajón Herramientas Standard Izquierdo</v>
      </c>
      <c r="AM10" s="3" t="str">
        <f>IFERROR(__xludf.DUMMYFUNCTION("""COMPUTED_VALUE"""),"Cajón Herramientas Corto Derecho")</f>
        <v>Cajón Herramientas Corto Derecho</v>
      </c>
      <c r="AN10" s="3" t="str">
        <f>IFERROR(__xludf.DUMMYFUNCTION("""COMPUTED_VALUE"""),"Cajón Herramientas Corto Izquierdo")</f>
        <v>Cajón Herramientas Corto Izquierdo</v>
      </c>
      <c r="AO10" s="3" t="str">
        <f>IFERROR(__xludf.DUMMYFUNCTION("""COMPUTED_VALUE"""),"Cajón Herramientas Mediano Derecho")</f>
        <v>Cajón Herramientas Mediano Derecho</v>
      </c>
      <c r="AP10" s="3" t="str">
        <f>IFERROR(__xludf.DUMMYFUNCTION("""COMPUTED_VALUE"""),"Cajón Herramientas Mediano Izquierdo")</f>
        <v>Cajón Herramientas Mediano Izquierdo</v>
      </c>
      <c r="AQ10" s="3" t="str">
        <f>IFERROR(__xludf.DUMMYFUNCTION("""COMPUTED_VALUE"""),"Chasis Acoplado 2 Ejes L3000")</f>
        <v>Chasis Acoplado 2 Ejes L3000</v>
      </c>
      <c r="AR10" s="3" t="str">
        <f>IFERROR(__xludf.DUMMYFUNCTION("""COMPUTED_VALUE"""),"Chasis Acoplado 2 Ejes L3750")</f>
        <v>Chasis Acoplado 2 Ejes L3750</v>
      </c>
      <c r="AS10" s="3" t="str">
        <f>IFERROR(__xludf.DUMMYFUNCTION("""COMPUTED_VALUE"""),"Chasis Acoplado 2 Ejes L4000")</f>
        <v>Chasis Acoplado 2 Ejes L4000</v>
      </c>
      <c r="AT10" s="3" t="str">
        <f>IFERROR(__xludf.DUMMYFUNCTION("""COMPUTED_VALUE"""),"Chasis Acoplado 2 Ejes L4000 Reforzado")</f>
        <v>Chasis Acoplado 2 Ejes L4000 Reforzado</v>
      </c>
      <c r="AU10" s="3" t="str">
        <f>IFERROR(__xludf.DUMMYFUNCTION("""COMPUTED_VALUE"""),"Chasis Acoplado 2 Ejes L4750")</f>
        <v>Chasis Acoplado 2 Ejes L4750</v>
      </c>
      <c r="AV10" s="3" t="str">
        <f>IFERROR(__xludf.DUMMYFUNCTION("""COMPUTED_VALUE"""),"Chasis Acoplado 2 Ejes L4750 Reforzado")</f>
        <v>Chasis Acoplado 2 Ejes L4750 Reforzado</v>
      </c>
      <c r="AW10" s="3" t="str">
        <f>IFERROR(__xludf.DUMMYFUNCTION("""COMPUTED_VALUE"""),"Chasis Acoplado 2 Ejes L4750 Reforzado R. Camion")</f>
        <v>Chasis Acoplado 2 Ejes L4750 Reforzado R. Camion</v>
      </c>
      <c r="AX10" s="3" t="str">
        <f>IFERROR(__xludf.DUMMYFUNCTION("""COMPUTED_VALUE"""),"Chasis Acoplado 2 Ejes L5000")</f>
        <v>Chasis Acoplado 2 Ejes L5000</v>
      </c>
      <c r="AY10" s="3" t="str">
        <f>IFERROR(__xludf.DUMMYFUNCTION("""COMPUTED_VALUE"""),"Chasis Acoplado 2 Ejes L5750")</f>
        <v>Chasis Acoplado 2 Ejes L5750</v>
      </c>
      <c r="AZ10" s="3" t="str">
        <f>IFERROR(__xludf.DUMMYFUNCTION("""COMPUTED_VALUE"""),"Chasis Acoplado 2 Ejes L6400")</f>
        <v>Chasis Acoplado 2 Ejes L6400</v>
      </c>
      <c r="BA10" s="3" t="str">
        <f>IFERROR(__xludf.DUMMYFUNCTION("""COMPUTED_VALUE"""),"Chasis Acoplado 2 Ejes L4500")</f>
        <v>Chasis Acoplado 2 Ejes L4500</v>
      </c>
      <c r="BB10" s="3" t="str">
        <f>IFERROR(__xludf.DUMMYFUNCTION("""COMPUTED_VALUE"""),"Chasis Acoplado 1 Eje L1500")</f>
        <v>Chasis Acoplado 1 Eje L1500</v>
      </c>
      <c r="BC10" s="3" t="str">
        <f>IFERROR(__xludf.DUMMYFUNCTION("""COMPUTED_VALUE"""),"Chasis Acoplado 1 Eje L1800")</f>
        <v>Chasis Acoplado 1 Eje L1800</v>
      </c>
      <c r="BD10" s="3" t="str">
        <f>IFERROR(__xludf.DUMMYFUNCTION("""COMPUTED_VALUE"""),"Chasis Acoplado 1 Eje L1400")</f>
        <v>Chasis Acoplado 1 Eje L1400</v>
      </c>
      <c r="BE10" s="3" t="str">
        <f>IFERROR(__xludf.DUMMYFUNCTION("""COMPUTED_VALUE"""),"Chasis Acoplado Balancin L3000")</f>
        <v>Chasis Acoplado Balancin L3000</v>
      </c>
      <c r="BF10" s="3" t="str">
        <f>IFERROR(__xludf.DUMMYFUNCTION("""COMPUTED_VALUE"""),"Chasis Acoplado Balancin L3000 Lanza Corta")</f>
        <v>Chasis Acoplado Balancin L3000 Lanza Corta</v>
      </c>
      <c r="BG10" s="3" t="str">
        <f>IFERROR(__xludf.DUMMYFUNCTION("""COMPUTED_VALUE"""),"Chasis Acoplado Balancin L2000 Lanza Corta")</f>
        <v>Chasis Acoplado Balancin L2000 Lanza Corta</v>
      </c>
      <c r="BH10" s="3" t="str">
        <f>IFERROR(__xludf.DUMMYFUNCTION("""COMPUTED_VALUE"""),"Chasis Acoplado Balancin L3200 Lanza Corta")</f>
        <v>Chasis Acoplado Balancin L3200 Lanza Corta</v>
      </c>
      <c r="BI10" s="3" t="str">
        <f>IFERROR(__xludf.DUMMYFUNCTION("""COMPUTED_VALUE"""),"Chasis Acoplado Balancin L3200 Lanza Recta")</f>
        <v>Chasis Acoplado Balancin L3200 Lanza Recta</v>
      </c>
      <c r="BJ10" s="3" t="str">
        <f>IFERROR(__xludf.DUMMYFUNCTION("""COMPUTED_VALUE"""),"Chasis Acoplado Balancin L3200 Bajo Lanza Recta")</f>
        <v>Chasis Acoplado Balancin L3200 Bajo Lanza Recta</v>
      </c>
      <c r="BK10" s="3" t="str">
        <f>IFERROR(__xludf.DUMMYFUNCTION("""COMPUTED_VALUE"""),"Tanque Plastico Horizontal 750 Lts")</f>
        <v>Tanque Plastico Horizontal 750 Lts</v>
      </c>
      <c r="BL10" s="3" t="str">
        <f>IFERROR(__xludf.DUMMYFUNCTION("""COMPUTED_VALUE"""),"Medio Tanque Plastico Superior 700 Lts")</f>
        <v>Medio Tanque Plastico Superior 700 Lts</v>
      </c>
      <c r="BM10" s="3" t="str">
        <f>IFERROR(__xludf.DUMMYFUNCTION("""COMPUTED_VALUE"""),"Paquete de Elasticos 50 mm x 8 mm x 10 Hojas L850")</f>
        <v>Paquete de Elasticos 50 mm x 8 mm x 10 Hojas L850</v>
      </c>
      <c r="BN10" s="3" t="str">
        <f>IFERROR(__xludf.DUMMYFUNCTION("""COMPUTED_VALUE"""),"Paquete de Elasticos 63 mm x 8 mm x 10 Hojas L950")</f>
        <v>Paquete de Elasticos 63 mm x 8 mm x 10 Hojas L950</v>
      </c>
      <c r="BO10" s="3" t="str">
        <f>IFERROR(__xludf.DUMMYFUNCTION("""COMPUTED_VALUE"""),"Paquete de Elasticos 50 mm x 7 mm x 9 Hojas L850")</f>
        <v>Paquete de Elasticos 50 mm x 7 mm x 9 Hojas L850</v>
      </c>
      <c r="BP10" s="3" t="str">
        <f>IFERROR(__xludf.DUMMYFUNCTION("""COMPUTED_VALUE"""),"Paquete de Elasticos 63 mm x 8 mm x 8 Hojas L850")</f>
        <v>Paquete de Elasticos 63 mm x 8 mm x 8 Hojas L850</v>
      </c>
      <c r="BQ10" s="3" t="str">
        <f>IFERROR(__xludf.DUMMYFUNCTION("""COMPUTED_VALUE"""),"Paquete de Elasticos 63 mm x 10 mm x 10 Hojas L950")</f>
        <v>Paquete de Elasticos 63 mm x 10 mm x 10 Hojas L950</v>
      </c>
      <c r="BR10" s="3" t="str">
        <f>IFERROR(__xludf.DUMMYFUNCTION("""COMPUTED_VALUE"""),"Paquete de Elasticos 63 mm x 10 mm x 13 Hojas L975")</f>
        <v>Paquete de Elasticos 63 mm x 10 mm x 13 Hojas L975</v>
      </c>
      <c r="BS10" s="3" t="str">
        <f>IFERROR(__xludf.DUMMYFUNCTION("""COMPUTED_VALUE"""),"Paquete de Elasticos 50 mm x 7 mm x 9 Hojas L650")</f>
        <v>Paquete de Elasticos 50 mm x 7 mm x 9 Hojas L650</v>
      </c>
      <c r="BT10" s="3" t="str">
        <f>IFERROR(__xludf.DUMMYFUNCTION("""COMPUTED_VALUE"""),"Eje Acoplado 2"" x 1600 (06/08) Agrícola Centro 92")</f>
        <v>Eje Acoplado 2" x 1600 (06/08) Agrícola Centro 92</v>
      </c>
      <c r="BU10" s="3" t="str">
        <f>IFERROR(__xludf.DUMMYFUNCTION("""COMPUTED_VALUE"""),"Eje Acoplado 2 1/2"" x 1600 (07/09) Agrícola Centro 92")</f>
        <v>Eje Acoplado 2 1/2" x 1600 (07/09) Agrícola Centro 92</v>
      </c>
      <c r="BV10" s="3" t="str">
        <f>IFERROR(__xludf.DUMMYFUNCTION("""COMPUTED_VALUE"""),"Eje Acoplado 2 1/2"" x 1600 (09/11) Agrícola Centro 150")</f>
        <v>Eje Acoplado 2 1/2" x 1600 (09/11) Agrícola Centro 150</v>
      </c>
      <c r="BW10" s="3" t="str">
        <f>IFERROR(__xludf.DUMMYFUNCTION("""COMPUTED_VALUE"""),"Eje Acoplado 3"" x 1600 (10/13) Agrícola Centro 150")</f>
        <v>Eje Acoplado 3" x 1600 (10/13) Agrícola Centro 150</v>
      </c>
      <c r="BX10" s="3" t="str">
        <f>IFERROR(__xludf.DUMMYFUNCTION("""COMPUTED_VALUE"""),"Eje Acoplado 2 1/2"" x 2140 (07/09) Agrícola Centro 92")</f>
        <v>Eje Acoplado 2 1/2" x 2140 (07/09) Agrícola Centro 92</v>
      </c>
      <c r="BY10" s="3" t="str">
        <f>IFERROR(__xludf.DUMMYFUNCTION("""COMPUTED_VALUE"""),"Eje Acoplado 2"" x 1400 (06/08) Agrícola Centro 92")</f>
        <v>Eje Acoplado 2" x 1400 (06/08) Agrícola Centro 92</v>
      </c>
      <c r="BZ10" s="3" t="str">
        <f>IFERROR(__xludf.DUMMYFUNCTION("""COMPUTED_VALUE"""),"Eje Acoplado 2 1/2"" x 1500 (07/09) Agrícola Centro 92")</f>
        <v>Eje Acoplado 2 1/2" x 1500 (07/09) Agrícola Centro 92</v>
      </c>
      <c r="CA10" s="3" t="str">
        <f>IFERROR(__xludf.DUMMYFUNCTION("""COMPUTED_VALUE"""),"Eje Acoplado 2 1/2"" x 2000 (07/09) Agrícola Centro 92")</f>
        <v>Eje Acoplado 2 1/2" x 2000 (07/09) Agrícola Centro 92</v>
      </c>
      <c r="CB10" s="3" t="str">
        <f>IFERROR(__xludf.DUMMYFUNCTION("""COMPUTED_VALUE"""),"Eje Acoplado 2 1/2"" x 2100 (09/11) Agrícola Centro 150")</f>
        <v>Eje Acoplado 2 1/2" x 2100 (09/11) Agrícola Centro 150</v>
      </c>
      <c r="CC10" s="3" t="str">
        <f>IFERROR(__xludf.DUMMYFUNCTION("""COMPUTED_VALUE"""),"Llanta 16"" Simple Agrícola Centro 92")</f>
        <v>Llanta 16" Simple Agrícola Centro 92</v>
      </c>
      <c r="CD10" s="3" t="str">
        <f>IFERROR(__xludf.DUMMYFUNCTION("""COMPUTED_VALUE"""),"Llanta 16"" Dual Agrícola Centro 92")</f>
        <v>Llanta 16" Dual Agrícola Centro 92</v>
      </c>
      <c r="CE10" s="3" t="str">
        <f>IFERROR(__xludf.DUMMYFUNCTION("""COMPUTED_VALUE"""),"Llanta 17"" Simple Agrícola Centro 92")</f>
        <v>Llanta 17" Simple Agrícola Centro 92</v>
      </c>
      <c r="CF10" s="3" t="str">
        <f>IFERROR(__xludf.DUMMYFUNCTION("""COMPUTED_VALUE"""),"Llanta 17"" Dual Agrícola Centro 92")</f>
        <v>Llanta 17" Dual Agrícola Centro 92</v>
      </c>
      <c r="CG10" s="3" t="str">
        <f>IFERROR(__xludf.DUMMYFUNCTION("""COMPUTED_VALUE"""),"Llanta 16"" Dual Agrícola Centro 152")</f>
        <v>Llanta 16" Dual Agrícola Centro 152</v>
      </c>
      <c r="CH10" s="3" t="str">
        <f>IFERROR(__xludf.DUMMYFUNCTION("""COMPUTED_VALUE"""),"Llanta 17"" Dual Agrícola Centro 152")</f>
        <v>Llanta 17" Dual Agrícola Centro 152</v>
      </c>
      <c r="CI10" s="3" t="str">
        <f>IFERROR(__xludf.DUMMYFUNCTION("""COMPUTED_VALUE"""),"Eje Acoplado 2"" x 1600 (05/07) Agrícola Centro 92")</f>
        <v>Eje Acoplado 2" x 1600 (05/07) Agrícola Centro 92</v>
      </c>
      <c r="CJ10" s="3" t="str">
        <f>IFERROR(__xludf.DUMMYFUNCTION("""COMPUTED_VALUE"""),"Paquete de Elásticos 50 mm x 8 mm x 12 Hojas")</f>
        <v>Paquete de Elásticos 50 mm x 8 mm x 12 Hojas</v>
      </c>
      <c r="CK10" s="3" t="str">
        <f>IFERROR(__xludf.DUMMYFUNCTION("""COMPUTED_VALUE"""),"Plataforma Playo 4.00 x 1.90 x 0.45 Lateral Simple Baranda Fija")</f>
        <v>Plataforma Playo 4.00 x 1.90 x 0.45 Lateral Simple Baranda Fija</v>
      </c>
      <c r="CL10" s="3" t="str">
        <f>IFERROR(__xludf.DUMMYFUNCTION("""COMPUTED_VALUE"""),"Plataforma Playo 4.00 x 1.90 x 0.45 Lateral Simple Baranda Ventilada")</f>
        <v>Plataforma Playo 4.00 x 1.90 x 0.45 Lateral Simple Baranda Ventilada</v>
      </c>
      <c r="CM10" s="3" t="str">
        <f>IFERROR(__xludf.DUMMYFUNCTION("""COMPUTED_VALUE"""),"Plataforma Playo 4.00 x 1.90 x 0.45 Lateral Doble Baranda Ventilada")</f>
        <v>Plataforma Playo 4.00 x 1.90 x 0.45 Lateral Doble Baranda Ventilada</v>
      </c>
      <c r="CN10" s="3" t="str">
        <f>IFERROR(__xludf.DUMMYFUNCTION("""COMPUTED_VALUE"""),"Plataforma Playo 4.00 x 1.90 x 0.45 Lateral Doble Baranda Fija")</f>
        <v>Plataforma Playo 4.00 x 1.90 x 0.45 Lateral Doble Baranda Fija</v>
      </c>
      <c r="CO10" s="3" t="str">
        <f>IFERROR(__xludf.DUMMYFUNCTION("""COMPUTED_VALUE"""),"Plataforma Playo 4.00 x 1.90 x 0.72 Lateral Simple Baranda Fija")</f>
        <v>Plataforma Playo 4.00 x 1.90 x 0.72 Lateral Simple Baranda Fija</v>
      </c>
      <c r="CP10" s="3" t="str">
        <f>IFERROR(__xludf.DUMMYFUNCTION("""COMPUTED_VALUE"""),"Plataforma Playo 4.00 x 1.90 x 0.72 Lateral Doble Baranda Fija")</f>
        <v>Plataforma Playo 4.00 x 1.90 x 0.72 Lateral Doble Baranda Fija</v>
      </c>
      <c r="CQ10" s="3" t="str">
        <f>IFERROR(__xludf.DUMMYFUNCTION("""COMPUTED_VALUE"""),"Plataforma Playo 5.00 x 2.20 x 0.60 Lateral Doble Trasera Rebatible")</f>
        <v>Plataforma Playo 5.00 x 2.20 x 0.60 Lateral Doble Trasera Rebatible</v>
      </c>
      <c r="CR10" s="3" t="str">
        <f>IFERROR(__xludf.DUMMYFUNCTION("""COMPUTED_VALUE"""),"Plataforma Playo 5.00 x 2.20 x 0.60 Lateral Doble Baranda Fija C/Toldo")</f>
        <v>Plataforma Playo 5.00 x 2.20 x 0.60 Lateral Doble Baranda Fija C/Toldo</v>
      </c>
      <c r="CS10" s="3" t="str">
        <f>IFERROR(__xludf.DUMMYFUNCTION("""COMPUTED_VALUE"""),"Plataforma Playo 3.00 x 1.90 x 0.45 Lateral Simple Baranda Fija")</f>
        <v>Plataforma Playo 3.00 x 1.90 x 0.45 Lateral Simple Baranda Fija</v>
      </c>
      <c r="CT10" s="3" t="str">
        <f>IFERROR(__xludf.DUMMYFUNCTION("""COMPUTED_VALUE"""),"Plataforma Playo 3.00 x 1.90 x 0.45 Lateral Simple Baranda Ventilada")</f>
        <v>Plataforma Playo 3.00 x 1.90 x 0.45 Lateral Simple Baranda Ventilada</v>
      </c>
      <c r="CU10" s="3" t="str">
        <f>IFERROR(__xludf.DUMMYFUNCTION("""COMPUTED_VALUE"""),"Plataforma Playo 2.00 x 1.90 x 0.45 Lateral Simple Baranda Fija")</f>
        <v>Plataforma Playo 2.00 x 1.90 x 0.45 Lateral Simple Baranda Fija</v>
      </c>
      <c r="CV10" s="3" t="str">
        <f>IFERROR(__xludf.DUMMYFUNCTION("""COMPUTED_VALUE"""),"Plataforma Playo 5.00 x 1.90 x 0.60 Lateral Doble Baranda Fija")</f>
        <v>Plataforma Playo 5.00 x 1.90 x 0.60 Lateral Doble Baranda Fija</v>
      </c>
      <c r="CW10" s="3" t="str">
        <f>IFERROR(__xludf.DUMMYFUNCTION("""COMPUTED_VALUE"""),"Plataforma Playo 6.40 x 2.70 x 0.72 Lateral Doble Baranda Fija")</f>
        <v>Plataforma Playo 6.40 x 2.70 x 0.72 Lateral Doble Baranda Fija</v>
      </c>
      <c r="CX10" s="3" t="str">
        <f>IFERROR(__xludf.DUMMYFUNCTION("""COMPUTED_VALUE"""),"Chasis Acoplado Balancin L4000 Lanza Recta")</f>
        <v>Chasis Acoplado Balancin L4000 Lanza Recta</v>
      </c>
      <c r="CY10" s="3" t="str">
        <f>IFERROR(__xludf.DUMMYFUNCTION("""COMPUTED_VALUE"""),"Llanta simple Agrícola 750x20 centro 152")</f>
        <v>Llanta simple Agrícola 750x20 centro 152</v>
      </c>
      <c r="CZ10" s="3" t="str">
        <f>IFERROR(__xludf.DUMMYFUNCTION("""COMPUTED_VALUE"""),"Cajón de Herramientas Mediano adelante")</f>
        <v>Cajón de Herramientas Mediano adelante</v>
      </c>
      <c r="DA10" s="3" t="str">
        <f>IFERROR(__xludf.DUMMYFUNCTION("""COMPUTED_VALUE"""),"Llanta 15"" Simple Agrícola Centro 92")</f>
        <v>Llanta 15" Simple Agrícola Centro 92</v>
      </c>
    </row>
    <row r="11" hidden="1">
      <c r="A11" s="38">
        <f t="shared" si="1"/>
        <v>10</v>
      </c>
      <c r="B11" s="38">
        <f>IF(F11="","",SUMIF(Prearmados!E:E,F11,Prearmados!A:A))</f>
        <v>13</v>
      </c>
      <c r="C11" s="38">
        <f>IF(F11="","",SUMIF(Productos!E:E,G11,Productos!A:A))</f>
        <v>94</v>
      </c>
      <c r="D11" s="83" t="str">
        <f t="array" ref="D11">IF(OR(F11="",F11="Seleccionar.."),"",XLOOKUP(F11,Prearmados!E:E,Prearmados!F:F,"",0,1))</f>
        <v>Acoplados Rurales</v>
      </c>
      <c r="E11" s="83">
        <f>IF(H11="","",SUMIF(Precio_Productos!K:K,C11,Precio_Productos!J:J)*H11)</f>
        <v>540764</v>
      </c>
      <c r="F11" s="84" t="s">
        <v>336</v>
      </c>
      <c r="G11" s="84" t="s">
        <v>121</v>
      </c>
      <c r="H11" s="13">
        <v>4.0</v>
      </c>
      <c r="P11" s="3" t="str">
        <f>IFERROR(__xludf.DUMMYFUNCTION("IF(OR(F11="""",F11=""Seleccionar..""),"""",TRANSPOSE(FILTER(Productos!E:E,(Productos!F:F=D11)+(Productos!F:F=XLOOKUP(D11,Implementos!B:B,Implementos!C:C,""-"",0,1)))))"),"Tanque Combustible 1100 lts Bajo")</f>
        <v>Tanque Combustible 1100 lts Bajo</v>
      </c>
      <c r="Q11" s="3" t="str">
        <f>IFERROR(__xludf.DUMMYFUNCTION("""COMPUTED_VALUE"""),"Tanque Combustible 1500 lts Standard")</f>
        <v>Tanque Combustible 1500 lts Standard</v>
      </c>
      <c r="R11" s="3" t="str">
        <f>IFERROR(__xludf.DUMMYFUNCTION("""COMPUTED_VALUE"""),"Tanque Combustible 1800 lts Standard")</f>
        <v>Tanque Combustible 1800 lts Standard</v>
      </c>
      <c r="S11" s="3" t="str">
        <f>IFERROR(__xludf.DUMMYFUNCTION("""COMPUTED_VALUE"""),"Tanque Combustible 2000 lts Bajo")</f>
        <v>Tanque Combustible 2000 lts Bajo</v>
      </c>
      <c r="T11" s="3" t="str">
        <f>IFERROR(__xludf.DUMMYFUNCTION("""COMPUTED_VALUE"""),"Tanque Combustible 2000 lts Standard")</f>
        <v>Tanque Combustible 2000 lts Standard</v>
      </c>
      <c r="U11" s="3" t="str">
        <f>IFERROR(__xludf.DUMMYFUNCTION("""COMPUTED_VALUE"""),"Tanque Combustible 3000 lts Standard")</f>
        <v>Tanque Combustible 3000 lts Standard</v>
      </c>
      <c r="V11" s="3" t="str">
        <f>IFERROR(__xludf.DUMMYFUNCTION("""COMPUTED_VALUE"""),"Tanque Combustible 3000 lts Alto")</f>
        <v>Tanque Combustible 3000 lts Alto</v>
      </c>
      <c r="W11" s="3" t="str">
        <f>IFERROR(__xludf.DUMMYFUNCTION("""COMPUTED_VALUE"""),"Tanque Combustible 4000 lts Standard")</f>
        <v>Tanque Combustible 4000 lts Standard</v>
      </c>
      <c r="X11" s="3" t="str">
        <f>IFERROR(__xludf.DUMMYFUNCTION("""COMPUTED_VALUE"""),"Tanque Combustible 5000 lts Standard")</f>
        <v>Tanque Combustible 5000 lts Standard</v>
      </c>
      <c r="Y11" s="3" t="str">
        <f>IFERROR(__xludf.DUMMYFUNCTION("""COMPUTED_VALUE"""),"Tanque Combustible 5000 lts Alto")</f>
        <v>Tanque Combustible 5000 lts Alto</v>
      </c>
      <c r="Z11" s="3" t="str">
        <f>IFERROR(__xludf.DUMMYFUNCTION("""COMPUTED_VALUE"""),"Tanque Combustible 2000 lts Alto")</f>
        <v>Tanque Combustible 2000 lts Alto</v>
      </c>
      <c r="AA11" s="3" t="str">
        <f>IFERROR(__xludf.DUMMYFUNCTION("""COMPUTED_VALUE"""),"Tanque Combustible 4000 lts Alto")</f>
        <v>Tanque Combustible 4000 lts Alto</v>
      </c>
      <c r="AB11" s="3" t="str">
        <f>IFERROR(__xludf.DUMMYFUNCTION("""COMPUTED_VALUE"""),"Baulera Standard - 750")</f>
        <v>Baulera Standard - 750</v>
      </c>
      <c r="AC11" s="3" t="str">
        <f>IFERROR(__xludf.DUMMYFUNCTION("""COMPUTED_VALUE"""),"Baulera Standard - 1700 - C/Laterales")</f>
        <v>Baulera Standard - 1700 - C/Laterales</v>
      </c>
      <c r="AD11" s="3" t="str">
        <f>IFERROR(__xludf.DUMMYFUNCTION("""COMPUTED_VALUE"""),"Baulera Standard - 1000 - C/Laterales")</f>
        <v>Baulera Standard - 1000 - C/Laterales</v>
      </c>
      <c r="AE11" s="3" t="str">
        <f>IFERROR(__xludf.DUMMYFUNCTION("""COMPUTED_VALUE"""),"Baulera Standard - 750 - C/Laterales")</f>
        <v>Baulera Standard - 750 - C/Laterales</v>
      </c>
      <c r="AF11" s="3" t="str">
        <f>IFERROR(__xludf.DUMMYFUNCTION("""COMPUTED_VALUE"""),"Baulera Standard - 1300 - C/Laterales")</f>
        <v>Baulera Standard - 1300 - C/Laterales</v>
      </c>
      <c r="AG11" s="3" t="str">
        <f>IFERROR(__xludf.DUMMYFUNCTION("""COMPUTED_VALUE"""),"Baulera Alta - 750")</f>
        <v>Baulera Alta - 750</v>
      </c>
      <c r="AH11" s="3" t="str">
        <f>IFERROR(__xludf.DUMMYFUNCTION("""COMPUTED_VALUE"""),"Baulera Alta - 1500 - C/Laterales")</f>
        <v>Baulera Alta - 1500 - C/Laterales</v>
      </c>
      <c r="AI11" s="3" t="str">
        <f>IFERROR(__xludf.DUMMYFUNCTION("""COMPUTED_VALUE"""),"Baulera Extendida 1700 - C/Laterales")</f>
        <v>Baulera Extendida 1700 - C/Laterales</v>
      </c>
      <c r="AJ11" s="3" t="str">
        <f>IFERROR(__xludf.DUMMYFUNCTION("""COMPUTED_VALUE"""),"Taller Móvil - 1500 x 1500 x 1700")</f>
        <v>Taller Móvil - 1500 x 1500 x 1700</v>
      </c>
      <c r="AK11" s="3" t="str">
        <f>IFERROR(__xludf.DUMMYFUNCTION("""COMPUTED_VALUE"""),"Cajón Herramientas Standard Derecho")</f>
        <v>Cajón Herramientas Standard Derecho</v>
      </c>
      <c r="AL11" s="3" t="str">
        <f>IFERROR(__xludf.DUMMYFUNCTION("""COMPUTED_VALUE"""),"Cajón Herramientas Standard Izquierdo")</f>
        <v>Cajón Herramientas Standard Izquierdo</v>
      </c>
      <c r="AM11" s="3" t="str">
        <f>IFERROR(__xludf.DUMMYFUNCTION("""COMPUTED_VALUE"""),"Cajón Herramientas Corto Derecho")</f>
        <v>Cajón Herramientas Corto Derecho</v>
      </c>
      <c r="AN11" s="3" t="str">
        <f>IFERROR(__xludf.DUMMYFUNCTION("""COMPUTED_VALUE"""),"Cajón Herramientas Corto Izquierdo")</f>
        <v>Cajón Herramientas Corto Izquierdo</v>
      </c>
      <c r="AO11" s="3" t="str">
        <f>IFERROR(__xludf.DUMMYFUNCTION("""COMPUTED_VALUE"""),"Cajón Herramientas Mediano Derecho")</f>
        <v>Cajón Herramientas Mediano Derecho</v>
      </c>
      <c r="AP11" s="3" t="str">
        <f>IFERROR(__xludf.DUMMYFUNCTION("""COMPUTED_VALUE"""),"Cajón Herramientas Mediano Izquierdo")</f>
        <v>Cajón Herramientas Mediano Izquierdo</v>
      </c>
      <c r="AQ11" s="3" t="str">
        <f>IFERROR(__xludf.DUMMYFUNCTION("""COMPUTED_VALUE"""),"Chasis Acoplado 2 Ejes L3000")</f>
        <v>Chasis Acoplado 2 Ejes L3000</v>
      </c>
      <c r="AR11" s="3" t="str">
        <f>IFERROR(__xludf.DUMMYFUNCTION("""COMPUTED_VALUE"""),"Chasis Acoplado 2 Ejes L3750")</f>
        <v>Chasis Acoplado 2 Ejes L3750</v>
      </c>
      <c r="AS11" s="3" t="str">
        <f>IFERROR(__xludf.DUMMYFUNCTION("""COMPUTED_VALUE"""),"Chasis Acoplado 2 Ejes L4000")</f>
        <v>Chasis Acoplado 2 Ejes L4000</v>
      </c>
      <c r="AT11" s="3" t="str">
        <f>IFERROR(__xludf.DUMMYFUNCTION("""COMPUTED_VALUE"""),"Chasis Acoplado 2 Ejes L4000 Reforzado")</f>
        <v>Chasis Acoplado 2 Ejes L4000 Reforzado</v>
      </c>
      <c r="AU11" s="3" t="str">
        <f>IFERROR(__xludf.DUMMYFUNCTION("""COMPUTED_VALUE"""),"Chasis Acoplado 2 Ejes L4750")</f>
        <v>Chasis Acoplado 2 Ejes L4750</v>
      </c>
      <c r="AV11" s="3" t="str">
        <f>IFERROR(__xludf.DUMMYFUNCTION("""COMPUTED_VALUE"""),"Chasis Acoplado 2 Ejes L4750 Reforzado")</f>
        <v>Chasis Acoplado 2 Ejes L4750 Reforzado</v>
      </c>
      <c r="AW11" s="3" t="str">
        <f>IFERROR(__xludf.DUMMYFUNCTION("""COMPUTED_VALUE"""),"Chasis Acoplado 2 Ejes L4750 Reforzado R. Camion")</f>
        <v>Chasis Acoplado 2 Ejes L4750 Reforzado R. Camion</v>
      </c>
      <c r="AX11" s="3" t="str">
        <f>IFERROR(__xludf.DUMMYFUNCTION("""COMPUTED_VALUE"""),"Chasis Acoplado 2 Ejes L5000")</f>
        <v>Chasis Acoplado 2 Ejes L5000</v>
      </c>
      <c r="AY11" s="3" t="str">
        <f>IFERROR(__xludf.DUMMYFUNCTION("""COMPUTED_VALUE"""),"Chasis Acoplado 2 Ejes L5750")</f>
        <v>Chasis Acoplado 2 Ejes L5750</v>
      </c>
      <c r="AZ11" s="3" t="str">
        <f>IFERROR(__xludf.DUMMYFUNCTION("""COMPUTED_VALUE"""),"Chasis Acoplado 2 Ejes L6400")</f>
        <v>Chasis Acoplado 2 Ejes L6400</v>
      </c>
      <c r="BA11" s="3" t="str">
        <f>IFERROR(__xludf.DUMMYFUNCTION("""COMPUTED_VALUE"""),"Chasis Acoplado 2 Ejes L4500")</f>
        <v>Chasis Acoplado 2 Ejes L4500</v>
      </c>
      <c r="BB11" s="3" t="str">
        <f>IFERROR(__xludf.DUMMYFUNCTION("""COMPUTED_VALUE"""),"Chasis Acoplado 1 Eje L1500")</f>
        <v>Chasis Acoplado 1 Eje L1500</v>
      </c>
      <c r="BC11" s="3" t="str">
        <f>IFERROR(__xludf.DUMMYFUNCTION("""COMPUTED_VALUE"""),"Chasis Acoplado 1 Eje L1800")</f>
        <v>Chasis Acoplado 1 Eje L1800</v>
      </c>
      <c r="BD11" s="3" t="str">
        <f>IFERROR(__xludf.DUMMYFUNCTION("""COMPUTED_VALUE"""),"Chasis Acoplado 1 Eje L1400")</f>
        <v>Chasis Acoplado 1 Eje L1400</v>
      </c>
      <c r="BE11" s="3" t="str">
        <f>IFERROR(__xludf.DUMMYFUNCTION("""COMPUTED_VALUE"""),"Chasis Acoplado Balancin L3000")</f>
        <v>Chasis Acoplado Balancin L3000</v>
      </c>
      <c r="BF11" s="3" t="str">
        <f>IFERROR(__xludf.DUMMYFUNCTION("""COMPUTED_VALUE"""),"Chasis Acoplado Balancin L3000 Lanza Corta")</f>
        <v>Chasis Acoplado Balancin L3000 Lanza Corta</v>
      </c>
      <c r="BG11" s="3" t="str">
        <f>IFERROR(__xludf.DUMMYFUNCTION("""COMPUTED_VALUE"""),"Chasis Acoplado Balancin L2000 Lanza Corta")</f>
        <v>Chasis Acoplado Balancin L2000 Lanza Corta</v>
      </c>
      <c r="BH11" s="3" t="str">
        <f>IFERROR(__xludf.DUMMYFUNCTION("""COMPUTED_VALUE"""),"Chasis Acoplado Balancin L3200 Lanza Corta")</f>
        <v>Chasis Acoplado Balancin L3200 Lanza Corta</v>
      </c>
      <c r="BI11" s="3" t="str">
        <f>IFERROR(__xludf.DUMMYFUNCTION("""COMPUTED_VALUE"""),"Chasis Acoplado Balancin L3200 Lanza Recta")</f>
        <v>Chasis Acoplado Balancin L3200 Lanza Recta</v>
      </c>
      <c r="BJ11" s="3" t="str">
        <f>IFERROR(__xludf.DUMMYFUNCTION("""COMPUTED_VALUE"""),"Chasis Acoplado Balancin L3200 Bajo Lanza Recta")</f>
        <v>Chasis Acoplado Balancin L3200 Bajo Lanza Recta</v>
      </c>
      <c r="BK11" s="3" t="str">
        <f>IFERROR(__xludf.DUMMYFUNCTION("""COMPUTED_VALUE"""),"Tanque Plastico Horizontal 750 Lts")</f>
        <v>Tanque Plastico Horizontal 750 Lts</v>
      </c>
      <c r="BL11" s="3" t="str">
        <f>IFERROR(__xludf.DUMMYFUNCTION("""COMPUTED_VALUE"""),"Medio Tanque Plastico Superior 700 Lts")</f>
        <v>Medio Tanque Plastico Superior 700 Lts</v>
      </c>
      <c r="BM11" s="3" t="str">
        <f>IFERROR(__xludf.DUMMYFUNCTION("""COMPUTED_VALUE"""),"Paquete de Elasticos 50 mm x 8 mm x 10 Hojas L850")</f>
        <v>Paquete de Elasticos 50 mm x 8 mm x 10 Hojas L850</v>
      </c>
      <c r="BN11" s="3" t="str">
        <f>IFERROR(__xludf.DUMMYFUNCTION("""COMPUTED_VALUE"""),"Paquete de Elasticos 63 mm x 8 mm x 10 Hojas L950")</f>
        <v>Paquete de Elasticos 63 mm x 8 mm x 10 Hojas L950</v>
      </c>
      <c r="BO11" s="3" t="str">
        <f>IFERROR(__xludf.DUMMYFUNCTION("""COMPUTED_VALUE"""),"Paquete de Elasticos 50 mm x 7 mm x 9 Hojas L850")</f>
        <v>Paquete de Elasticos 50 mm x 7 mm x 9 Hojas L850</v>
      </c>
      <c r="BP11" s="3" t="str">
        <f>IFERROR(__xludf.DUMMYFUNCTION("""COMPUTED_VALUE"""),"Paquete de Elasticos 63 mm x 8 mm x 8 Hojas L850")</f>
        <v>Paquete de Elasticos 63 mm x 8 mm x 8 Hojas L850</v>
      </c>
      <c r="BQ11" s="3" t="str">
        <f>IFERROR(__xludf.DUMMYFUNCTION("""COMPUTED_VALUE"""),"Paquete de Elasticos 63 mm x 10 mm x 10 Hojas L950")</f>
        <v>Paquete de Elasticos 63 mm x 10 mm x 10 Hojas L950</v>
      </c>
      <c r="BR11" s="3" t="str">
        <f>IFERROR(__xludf.DUMMYFUNCTION("""COMPUTED_VALUE"""),"Paquete de Elasticos 63 mm x 10 mm x 13 Hojas L975")</f>
        <v>Paquete de Elasticos 63 mm x 10 mm x 13 Hojas L975</v>
      </c>
      <c r="BS11" s="3" t="str">
        <f>IFERROR(__xludf.DUMMYFUNCTION("""COMPUTED_VALUE"""),"Paquete de Elasticos 50 mm x 7 mm x 9 Hojas L650")</f>
        <v>Paquete de Elasticos 50 mm x 7 mm x 9 Hojas L650</v>
      </c>
      <c r="BT11" s="3" t="str">
        <f>IFERROR(__xludf.DUMMYFUNCTION("""COMPUTED_VALUE"""),"Eje Acoplado 2"" x 1600 (06/08) Agrícola Centro 92")</f>
        <v>Eje Acoplado 2" x 1600 (06/08) Agrícola Centro 92</v>
      </c>
      <c r="BU11" s="3" t="str">
        <f>IFERROR(__xludf.DUMMYFUNCTION("""COMPUTED_VALUE"""),"Eje Acoplado 2 1/2"" x 1600 (07/09) Agrícola Centro 92")</f>
        <v>Eje Acoplado 2 1/2" x 1600 (07/09) Agrícola Centro 92</v>
      </c>
      <c r="BV11" s="3" t="str">
        <f>IFERROR(__xludf.DUMMYFUNCTION("""COMPUTED_VALUE"""),"Eje Acoplado 2 1/2"" x 1600 (09/11) Agrícola Centro 150")</f>
        <v>Eje Acoplado 2 1/2" x 1600 (09/11) Agrícola Centro 150</v>
      </c>
      <c r="BW11" s="3" t="str">
        <f>IFERROR(__xludf.DUMMYFUNCTION("""COMPUTED_VALUE"""),"Eje Acoplado 3"" x 1600 (10/13) Agrícola Centro 150")</f>
        <v>Eje Acoplado 3" x 1600 (10/13) Agrícola Centro 150</v>
      </c>
      <c r="BX11" s="3" t="str">
        <f>IFERROR(__xludf.DUMMYFUNCTION("""COMPUTED_VALUE"""),"Eje Acoplado 2 1/2"" x 2140 (07/09) Agrícola Centro 92")</f>
        <v>Eje Acoplado 2 1/2" x 2140 (07/09) Agrícola Centro 92</v>
      </c>
      <c r="BY11" s="3" t="str">
        <f>IFERROR(__xludf.DUMMYFUNCTION("""COMPUTED_VALUE"""),"Eje Acoplado 2"" x 1400 (06/08) Agrícola Centro 92")</f>
        <v>Eje Acoplado 2" x 1400 (06/08) Agrícola Centro 92</v>
      </c>
      <c r="BZ11" s="3" t="str">
        <f>IFERROR(__xludf.DUMMYFUNCTION("""COMPUTED_VALUE"""),"Eje Acoplado 2 1/2"" x 1500 (07/09) Agrícola Centro 92")</f>
        <v>Eje Acoplado 2 1/2" x 1500 (07/09) Agrícola Centro 92</v>
      </c>
      <c r="CA11" s="3" t="str">
        <f>IFERROR(__xludf.DUMMYFUNCTION("""COMPUTED_VALUE"""),"Eje Acoplado 2 1/2"" x 2000 (07/09) Agrícola Centro 92")</f>
        <v>Eje Acoplado 2 1/2" x 2000 (07/09) Agrícola Centro 92</v>
      </c>
      <c r="CB11" s="3" t="str">
        <f>IFERROR(__xludf.DUMMYFUNCTION("""COMPUTED_VALUE"""),"Eje Acoplado 2 1/2"" x 2100 (09/11) Agrícola Centro 150")</f>
        <v>Eje Acoplado 2 1/2" x 2100 (09/11) Agrícola Centro 150</v>
      </c>
      <c r="CC11" s="3" t="str">
        <f>IFERROR(__xludf.DUMMYFUNCTION("""COMPUTED_VALUE"""),"Llanta 16"" Simple Agrícola Centro 92")</f>
        <v>Llanta 16" Simple Agrícola Centro 92</v>
      </c>
      <c r="CD11" s="3" t="str">
        <f>IFERROR(__xludf.DUMMYFUNCTION("""COMPUTED_VALUE"""),"Llanta 16"" Dual Agrícola Centro 92")</f>
        <v>Llanta 16" Dual Agrícola Centro 92</v>
      </c>
      <c r="CE11" s="3" t="str">
        <f>IFERROR(__xludf.DUMMYFUNCTION("""COMPUTED_VALUE"""),"Llanta 17"" Simple Agrícola Centro 92")</f>
        <v>Llanta 17" Simple Agrícola Centro 92</v>
      </c>
      <c r="CF11" s="3" t="str">
        <f>IFERROR(__xludf.DUMMYFUNCTION("""COMPUTED_VALUE"""),"Llanta 17"" Dual Agrícola Centro 92")</f>
        <v>Llanta 17" Dual Agrícola Centro 92</v>
      </c>
      <c r="CG11" s="3" t="str">
        <f>IFERROR(__xludf.DUMMYFUNCTION("""COMPUTED_VALUE"""),"Llanta 16"" Dual Agrícola Centro 152")</f>
        <v>Llanta 16" Dual Agrícola Centro 152</v>
      </c>
      <c r="CH11" s="3" t="str">
        <f>IFERROR(__xludf.DUMMYFUNCTION("""COMPUTED_VALUE"""),"Llanta 17"" Dual Agrícola Centro 152")</f>
        <v>Llanta 17" Dual Agrícola Centro 152</v>
      </c>
      <c r="CI11" s="3" t="str">
        <f>IFERROR(__xludf.DUMMYFUNCTION("""COMPUTED_VALUE"""),"Eje Acoplado 2"" x 1600 (05/07) Agrícola Centro 92")</f>
        <v>Eje Acoplado 2" x 1600 (05/07) Agrícola Centro 92</v>
      </c>
      <c r="CJ11" s="3" t="str">
        <f>IFERROR(__xludf.DUMMYFUNCTION("""COMPUTED_VALUE"""),"Paquete de Elásticos 50 mm x 8 mm x 12 Hojas")</f>
        <v>Paquete de Elásticos 50 mm x 8 mm x 12 Hojas</v>
      </c>
      <c r="CK11" s="3" t="str">
        <f>IFERROR(__xludf.DUMMYFUNCTION("""COMPUTED_VALUE"""),"Plataforma Playo 4.00 x 1.90 x 0.45 Lateral Simple Baranda Fija")</f>
        <v>Plataforma Playo 4.00 x 1.90 x 0.45 Lateral Simple Baranda Fija</v>
      </c>
      <c r="CL11" s="3" t="str">
        <f>IFERROR(__xludf.DUMMYFUNCTION("""COMPUTED_VALUE"""),"Plataforma Playo 4.00 x 1.90 x 0.45 Lateral Simple Baranda Ventilada")</f>
        <v>Plataforma Playo 4.00 x 1.90 x 0.45 Lateral Simple Baranda Ventilada</v>
      </c>
      <c r="CM11" s="3" t="str">
        <f>IFERROR(__xludf.DUMMYFUNCTION("""COMPUTED_VALUE"""),"Plataforma Playo 4.00 x 1.90 x 0.45 Lateral Doble Baranda Ventilada")</f>
        <v>Plataforma Playo 4.00 x 1.90 x 0.45 Lateral Doble Baranda Ventilada</v>
      </c>
      <c r="CN11" s="3" t="str">
        <f>IFERROR(__xludf.DUMMYFUNCTION("""COMPUTED_VALUE"""),"Plataforma Playo 4.00 x 1.90 x 0.45 Lateral Doble Baranda Fija")</f>
        <v>Plataforma Playo 4.00 x 1.90 x 0.45 Lateral Doble Baranda Fija</v>
      </c>
      <c r="CO11" s="3" t="str">
        <f>IFERROR(__xludf.DUMMYFUNCTION("""COMPUTED_VALUE"""),"Plataforma Playo 4.00 x 1.90 x 0.72 Lateral Simple Baranda Fija")</f>
        <v>Plataforma Playo 4.00 x 1.90 x 0.72 Lateral Simple Baranda Fija</v>
      </c>
      <c r="CP11" s="3" t="str">
        <f>IFERROR(__xludf.DUMMYFUNCTION("""COMPUTED_VALUE"""),"Plataforma Playo 4.00 x 1.90 x 0.72 Lateral Doble Baranda Fija")</f>
        <v>Plataforma Playo 4.00 x 1.90 x 0.72 Lateral Doble Baranda Fija</v>
      </c>
      <c r="CQ11" s="3" t="str">
        <f>IFERROR(__xludf.DUMMYFUNCTION("""COMPUTED_VALUE"""),"Plataforma Playo 5.00 x 2.20 x 0.60 Lateral Doble Trasera Rebatible")</f>
        <v>Plataforma Playo 5.00 x 2.20 x 0.60 Lateral Doble Trasera Rebatible</v>
      </c>
      <c r="CR11" s="3" t="str">
        <f>IFERROR(__xludf.DUMMYFUNCTION("""COMPUTED_VALUE"""),"Plataforma Playo 5.00 x 2.20 x 0.60 Lateral Doble Baranda Fija C/Toldo")</f>
        <v>Plataforma Playo 5.00 x 2.20 x 0.60 Lateral Doble Baranda Fija C/Toldo</v>
      </c>
      <c r="CS11" s="3" t="str">
        <f>IFERROR(__xludf.DUMMYFUNCTION("""COMPUTED_VALUE"""),"Plataforma Playo 3.00 x 1.90 x 0.45 Lateral Simple Baranda Fija")</f>
        <v>Plataforma Playo 3.00 x 1.90 x 0.45 Lateral Simple Baranda Fija</v>
      </c>
      <c r="CT11" s="3" t="str">
        <f>IFERROR(__xludf.DUMMYFUNCTION("""COMPUTED_VALUE"""),"Plataforma Playo 3.00 x 1.90 x 0.45 Lateral Simple Baranda Ventilada")</f>
        <v>Plataforma Playo 3.00 x 1.90 x 0.45 Lateral Simple Baranda Ventilada</v>
      </c>
      <c r="CU11" s="3" t="str">
        <f>IFERROR(__xludf.DUMMYFUNCTION("""COMPUTED_VALUE"""),"Plataforma Playo 2.00 x 1.90 x 0.45 Lateral Simple Baranda Fija")</f>
        <v>Plataforma Playo 2.00 x 1.90 x 0.45 Lateral Simple Baranda Fija</v>
      </c>
      <c r="CV11" s="3" t="str">
        <f>IFERROR(__xludf.DUMMYFUNCTION("""COMPUTED_VALUE"""),"Plataforma Playo 5.00 x 1.90 x 0.60 Lateral Doble Baranda Fija")</f>
        <v>Plataforma Playo 5.00 x 1.90 x 0.60 Lateral Doble Baranda Fija</v>
      </c>
      <c r="CW11" s="3" t="str">
        <f>IFERROR(__xludf.DUMMYFUNCTION("""COMPUTED_VALUE"""),"Plataforma Playo 6.40 x 2.70 x 0.72 Lateral Doble Baranda Fija")</f>
        <v>Plataforma Playo 6.40 x 2.70 x 0.72 Lateral Doble Baranda Fija</v>
      </c>
      <c r="CX11" s="3" t="str">
        <f>IFERROR(__xludf.DUMMYFUNCTION("""COMPUTED_VALUE"""),"Chasis Acoplado Balancin L4000 Lanza Recta")</f>
        <v>Chasis Acoplado Balancin L4000 Lanza Recta</v>
      </c>
      <c r="CY11" s="3" t="str">
        <f>IFERROR(__xludf.DUMMYFUNCTION("""COMPUTED_VALUE"""),"Llanta simple Agrícola 750x20 centro 152")</f>
        <v>Llanta simple Agrícola 750x20 centro 152</v>
      </c>
      <c r="CZ11" s="3" t="str">
        <f>IFERROR(__xludf.DUMMYFUNCTION("""COMPUTED_VALUE"""),"Cajón de Herramientas Mediano adelante")</f>
        <v>Cajón de Herramientas Mediano adelante</v>
      </c>
      <c r="DA11" s="3" t="str">
        <f>IFERROR(__xludf.DUMMYFUNCTION("""COMPUTED_VALUE"""),"Llanta 15"" Simple Agrícola Centro 92")</f>
        <v>Llanta 15" Simple Agrícola Centro 92</v>
      </c>
    </row>
    <row r="12" hidden="1">
      <c r="A12" s="38">
        <f t="shared" si="1"/>
        <v>11</v>
      </c>
      <c r="B12" s="38">
        <f>IF(F12="","",SUMIF(Prearmados!E:E,F12,Prearmados!A:A))</f>
        <v>13</v>
      </c>
      <c r="C12" s="38">
        <f>IF(F12="","",SUMIF(Productos!E:E,G12,Productos!A:A))</f>
        <v>110</v>
      </c>
      <c r="D12" s="83" t="str">
        <f t="array" ref="D12">IF(OR(F12="",F12="Seleccionar.."),"",XLOOKUP(F12,Prearmados!E:E,Prearmados!F:F,"",0,1))</f>
        <v>Acoplados Rurales</v>
      </c>
      <c r="E12" s="83">
        <f>IF(H12="","",SUMIF(Precio_Productos!K:K,C12,Precio_Productos!J:J)*H12)</f>
        <v>476800</v>
      </c>
      <c r="F12" s="84" t="s">
        <v>336</v>
      </c>
      <c r="G12" s="84" t="s">
        <v>129</v>
      </c>
      <c r="H12" s="13">
        <v>4.0</v>
      </c>
      <c r="P12" s="3" t="str">
        <f>IFERROR(__xludf.DUMMYFUNCTION("IF(OR(F12="""",F12=""Seleccionar..""),"""",TRANSPOSE(FILTER(Productos!E:E,(Productos!F:F=D12)+(Productos!F:F=XLOOKUP(D12,Implementos!B:B,Implementos!C:C,""-"",0,1)))))"),"Tanque Combustible 1100 lts Bajo")</f>
        <v>Tanque Combustible 1100 lts Bajo</v>
      </c>
      <c r="Q12" s="3" t="str">
        <f>IFERROR(__xludf.DUMMYFUNCTION("""COMPUTED_VALUE"""),"Tanque Combustible 1500 lts Standard")</f>
        <v>Tanque Combustible 1500 lts Standard</v>
      </c>
      <c r="R12" s="3" t="str">
        <f>IFERROR(__xludf.DUMMYFUNCTION("""COMPUTED_VALUE"""),"Tanque Combustible 1800 lts Standard")</f>
        <v>Tanque Combustible 1800 lts Standard</v>
      </c>
      <c r="S12" s="3" t="str">
        <f>IFERROR(__xludf.DUMMYFUNCTION("""COMPUTED_VALUE"""),"Tanque Combustible 2000 lts Bajo")</f>
        <v>Tanque Combustible 2000 lts Bajo</v>
      </c>
      <c r="T12" s="3" t="str">
        <f>IFERROR(__xludf.DUMMYFUNCTION("""COMPUTED_VALUE"""),"Tanque Combustible 2000 lts Standard")</f>
        <v>Tanque Combustible 2000 lts Standard</v>
      </c>
      <c r="U12" s="3" t="str">
        <f>IFERROR(__xludf.DUMMYFUNCTION("""COMPUTED_VALUE"""),"Tanque Combustible 3000 lts Standard")</f>
        <v>Tanque Combustible 3000 lts Standard</v>
      </c>
      <c r="V12" s="3" t="str">
        <f>IFERROR(__xludf.DUMMYFUNCTION("""COMPUTED_VALUE"""),"Tanque Combustible 3000 lts Alto")</f>
        <v>Tanque Combustible 3000 lts Alto</v>
      </c>
      <c r="W12" s="3" t="str">
        <f>IFERROR(__xludf.DUMMYFUNCTION("""COMPUTED_VALUE"""),"Tanque Combustible 4000 lts Standard")</f>
        <v>Tanque Combustible 4000 lts Standard</v>
      </c>
      <c r="X12" s="3" t="str">
        <f>IFERROR(__xludf.DUMMYFUNCTION("""COMPUTED_VALUE"""),"Tanque Combustible 5000 lts Standard")</f>
        <v>Tanque Combustible 5000 lts Standard</v>
      </c>
      <c r="Y12" s="3" t="str">
        <f>IFERROR(__xludf.DUMMYFUNCTION("""COMPUTED_VALUE"""),"Tanque Combustible 5000 lts Alto")</f>
        <v>Tanque Combustible 5000 lts Alto</v>
      </c>
      <c r="Z12" s="3" t="str">
        <f>IFERROR(__xludf.DUMMYFUNCTION("""COMPUTED_VALUE"""),"Tanque Combustible 2000 lts Alto")</f>
        <v>Tanque Combustible 2000 lts Alto</v>
      </c>
      <c r="AA12" s="3" t="str">
        <f>IFERROR(__xludf.DUMMYFUNCTION("""COMPUTED_VALUE"""),"Tanque Combustible 4000 lts Alto")</f>
        <v>Tanque Combustible 4000 lts Alto</v>
      </c>
      <c r="AB12" s="3" t="str">
        <f>IFERROR(__xludf.DUMMYFUNCTION("""COMPUTED_VALUE"""),"Baulera Standard - 750")</f>
        <v>Baulera Standard - 750</v>
      </c>
      <c r="AC12" s="3" t="str">
        <f>IFERROR(__xludf.DUMMYFUNCTION("""COMPUTED_VALUE"""),"Baulera Standard - 1700 - C/Laterales")</f>
        <v>Baulera Standard - 1700 - C/Laterales</v>
      </c>
      <c r="AD12" s="3" t="str">
        <f>IFERROR(__xludf.DUMMYFUNCTION("""COMPUTED_VALUE"""),"Baulera Standard - 1000 - C/Laterales")</f>
        <v>Baulera Standard - 1000 - C/Laterales</v>
      </c>
      <c r="AE12" s="3" t="str">
        <f>IFERROR(__xludf.DUMMYFUNCTION("""COMPUTED_VALUE"""),"Baulera Standard - 750 - C/Laterales")</f>
        <v>Baulera Standard - 750 - C/Laterales</v>
      </c>
      <c r="AF12" s="3" t="str">
        <f>IFERROR(__xludf.DUMMYFUNCTION("""COMPUTED_VALUE"""),"Baulera Standard - 1300 - C/Laterales")</f>
        <v>Baulera Standard - 1300 - C/Laterales</v>
      </c>
      <c r="AG12" s="3" t="str">
        <f>IFERROR(__xludf.DUMMYFUNCTION("""COMPUTED_VALUE"""),"Baulera Alta - 750")</f>
        <v>Baulera Alta - 750</v>
      </c>
      <c r="AH12" s="3" t="str">
        <f>IFERROR(__xludf.DUMMYFUNCTION("""COMPUTED_VALUE"""),"Baulera Alta - 1500 - C/Laterales")</f>
        <v>Baulera Alta - 1500 - C/Laterales</v>
      </c>
      <c r="AI12" s="3" t="str">
        <f>IFERROR(__xludf.DUMMYFUNCTION("""COMPUTED_VALUE"""),"Baulera Extendida 1700 - C/Laterales")</f>
        <v>Baulera Extendida 1700 - C/Laterales</v>
      </c>
      <c r="AJ12" s="3" t="str">
        <f>IFERROR(__xludf.DUMMYFUNCTION("""COMPUTED_VALUE"""),"Taller Móvil - 1500 x 1500 x 1700")</f>
        <v>Taller Móvil - 1500 x 1500 x 1700</v>
      </c>
      <c r="AK12" s="3" t="str">
        <f>IFERROR(__xludf.DUMMYFUNCTION("""COMPUTED_VALUE"""),"Cajón Herramientas Standard Derecho")</f>
        <v>Cajón Herramientas Standard Derecho</v>
      </c>
      <c r="AL12" s="3" t="str">
        <f>IFERROR(__xludf.DUMMYFUNCTION("""COMPUTED_VALUE"""),"Cajón Herramientas Standard Izquierdo")</f>
        <v>Cajón Herramientas Standard Izquierdo</v>
      </c>
      <c r="AM12" s="3" t="str">
        <f>IFERROR(__xludf.DUMMYFUNCTION("""COMPUTED_VALUE"""),"Cajón Herramientas Corto Derecho")</f>
        <v>Cajón Herramientas Corto Derecho</v>
      </c>
      <c r="AN12" s="3" t="str">
        <f>IFERROR(__xludf.DUMMYFUNCTION("""COMPUTED_VALUE"""),"Cajón Herramientas Corto Izquierdo")</f>
        <v>Cajón Herramientas Corto Izquierdo</v>
      </c>
      <c r="AO12" s="3" t="str">
        <f>IFERROR(__xludf.DUMMYFUNCTION("""COMPUTED_VALUE"""),"Cajón Herramientas Mediano Derecho")</f>
        <v>Cajón Herramientas Mediano Derecho</v>
      </c>
      <c r="AP12" s="3" t="str">
        <f>IFERROR(__xludf.DUMMYFUNCTION("""COMPUTED_VALUE"""),"Cajón Herramientas Mediano Izquierdo")</f>
        <v>Cajón Herramientas Mediano Izquierdo</v>
      </c>
      <c r="AQ12" s="3" t="str">
        <f>IFERROR(__xludf.DUMMYFUNCTION("""COMPUTED_VALUE"""),"Chasis Acoplado 2 Ejes L3000")</f>
        <v>Chasis Acoplado 2 Ejes L3000</v>
      </c>
      <c r="AR12" s="3" t="str">
        <f>IFERROR(__xludf.DUMMYFUNCTION("""COMPUTED_VALUE"""),"Chasis Acoplado 2 Ejes L3750")</f>
        <v>Chasis Acoplado 2 Ejes L3750</v>
      </c>
      <c r="AS12" s="3" t="str">
        <f>IFERROR(__xludf.DUMMYFUNCTION("""COMPUTED_VALUE"""),"Chasis Acoplado 2 Ejes L4000")</f>
        <v>Chasis Acoplado 2 Ejes L4000</v>
      </c>
      <c r="AT12" s="3" t="str">
        <f>IFERROR(__xludf.DUMMYFUNCTION("""COMPUTED_VALUE"""),"Chasis Acoplado 2 Ejes L4000 Reforzado")</f>
        <v>Chasis Acoplado 2 Ejes L4000 Reforzado</v>
      </c>
      <c r="AU12" s="3" t="str">
        <f>IFERROR(__xludf.DUMMYFUNCTION("""COMPUTED_VALUE"""),"Chasis Acoplado 2 Ejes L4750")</f>
        <v>Chasis Acoplado 2 Ejes L4750</v>
      </c>
      <c r="AV12" s="3" t="str">
        <f>IFERROR(__xludf.DUMMYFUNCTION("""COMPUTED_VALUE"""),"Chasis Acoplado 2 Ejes L4750 Reforzado")</f>
        <v>Chasis Acoplado 2 Ejes L4750 Reforzado</v>
      </c>
      <c r="AW12" s="3" t="str">
        <f>IFERROR(__xludf.DUMMYFUNCTION("""COMPUTED_VALUE"""),"Chasis Acoplado 2 Ejes L4750 Reforzado R. Camion")</f>
        <v>Chasis Acoplado 2 Ejes L4750 Reforzado R. Camion</v>
      </c>
      <c r="AX12" s="3" t="str">
        <f>IFERROR(__xludf.DUMMYFUNCTION("""COMPUTED_VALUE"""),"Chasis Acoplado 2 Ejes L5000")</f>
        <v>Chasis Acoplado 2 Ejes L5000</v>
      </c>
      <c r="AY12" s="3" t="str">
        <f>IFERROR(__xludf.DUMMYFUNCTION("""COMPUTED_VALUE"""),"Chasis Acoplado 2 Ejes L5750")</f>
        <v>Chasis Acoplado 2 Ejes L5750</v>
      </c>
      <c r="AZ12" s="3" t="str">
        <f>IFERROR(__xludf.DUMMYFUNCTION("""COMPUTED_VALUE"""),"Chasis Acoplado 2 Ejes L6400")</f>
        <v>Chasis Acoplado 2 Ejes L6400</v>
      </c>
      <c r="BA12" s="3" t="str">
        <f>IFERROR(__xludf.DUMMYFUNCTION("""COMPUTED_VALUE"""),"Chasis Acoplado 2 Ejes L4500")</f>
        <v>Chasis Acoplado 2 Ejes L4500</v>
      </c>
      <c r="BB12" s="3" t="str">
        <f>IFERROR(__xludf.DUMMYFUNCTION("""COMPUTED_VALUE"""),"Chasis Acoplado 1 Eje L1500")</f>
        <v>Chasis Acoplado 1 Eje L1500</v>
      </c>
      <c r="BC12" s="3" t="str">
        <f>IFERROR(__xludf.DUMMYFUNCTION("""COMPUTED_VALUE"""),"Chasis Acoplado 1 Eje L1800")</f>
        <v>Chasis Acoplado 1 Eje L1800</v>
      </c>
      <c r="BD12" s="3" t="str">
        <f>IFERROR(__xludf.DUMMYFUNCTION("""COMPUTED_VALUE"""),"Chasis Acoplado 1 Eje L1400")</f>
        <v>Chasis Acoplado 1 Eje L1400</v>
      </c>
      <c r="BE12" s="3" t="str">
        <f>IFERROR(__xludf.DUMMYFUNCTION("""COMPUTED_VALUE"""),"Chasis Acoplado Balancin L3000")</f>
        <v>Chasis Acoplado Balancin L3000</v>
      </c>
      <c r="BF12" s="3" t="str">
        <f>IFERROR(__xludf.DUMMYFUNCTION("""COMPUTED_VALUE"""),"Chasis Acoplado Balancin L3000 Lanza Corta")</f>
        <v>Chasis Acoplado Balancin L3000 Lanza Corta</v>
      </c>
      <c r="BG12" s="3" t="str">
        <f>IFERROR(__xludf.DUMMYFUNCTION("""COMPUTED_VALUE"""),"Chasis Acoplado Balancin L2000 Lanza Corta")</f>
        <v>Chasis Acoplado Balancin L2000 Lanza Corta</v>
      </c>
      <c r="BH12" s="3" t="str">
        <f>IFERROR(__xludf.DUMMYFUNCTION("""COMPUTED_VALUE"""),"Chasis Acoplado Balancin L3200 Lanza Corta")</f>
        <v>Chasis Acoplado Balancin L3200 Lanza Corta</v>
      </c>
      <c r="BI12" s="3" t="str">
        <f>IFERROR(__xludf.DUMMYFUNCTION("""COMPUTED_VALUE"""),"Chasis Acoplado Balancin L3200 Lanza Recta")</f>
        <v>Chasis Acoplado Balancin L3200 Lanza Recta</v>
      </c>
      <c r="BJ12" s="3" t="str">
        <f>IFERROR(__xludf.DUMMYFUNCTION("""COMPUTED_VALUE"""),"Chasis Acoplado Balancin L3200 Bajo Lanza Recta")</f>
        <v>Chasis Acoplado Balancin L3200 Bajo Lanza Recta</v>
      </c>
      <c r="BK12" s="3" t="str">
        <f>IFERROR(__xludf.DUMMYFUNCTION("""COMPUTED_VALUE"""),"Tanque Plastico Horizontal 750 Lts")</f>
        <v>Tanque Plastico Horizontal 750 Lts</v>
      </c>
      <c r="BL12" s="3" t="str">
        <f>IFERROR(__xludf.DUMMYFUNCTION("""COMPUTED_VALUE"""),"Medio Tanque Plastico Superior 700 Lts")</f>
        <v>Medio Tanque Plastico Superior 700 Lts</v>
      </c>
      <c r="BM12" s="3" t="str">
        <f>IFERROR(__xludf.DUMMYFUNCTION("""COMPUTED_VALUE"""),"Paquete de Elasticos 50 mm x 8 mm x 10 Hojas L850")</f>
        <v>Paquete de Elasticos 50 mm x 8 mm x 10 Hojas L850</v>
      </c>
      <c r="BN12" s="3" t="str">
        <f>IFERROR(__xludf.DUMMYFUNCTION("""COMPUTED_VALUE"""),"Paquete de Elasticos 63 mm x 8 mm x 10 Hojas L950")</f>
        <v>Paquete de Elasticos 63 mm x 8 mm x 10 Hojas L950</v>
      </c>
      <c r="BO12" s="3" t="str">
        <f>IFERROR(__xludf.DUMMYFUNCTION("""COMPUTED_VALUE"""),"Paquete de Elasticos 50 mm x 7 mm x 9 Hojas L850")</f>
        <v>Paquete de Elasticos 50 mm x 7 mm x 9 Hojas L850</v>
      </c>
      <c r="BP12" s="3" t="str">
        <f>IFERROR(__xludf.DUMMYFUNCTION("""COMPUTED_VALUE"""),"Paquete de Elasticos 63 mm x 8 mm x 8 Hojas L850")</f>
        <v>Paquete de Elasticos 63 mm x 8 mm x 8 Hojas L850</v>
      </c>
      <c r="BQ12" s="3" t="str">
        <f>IFERROR(__xludf.DUMMYFUNCTION("""COMPUTED_VALUE"""),"Paquete de Elasticos 63 mm x 10 mm x 10 Hojas L950")</f>
        <v>Paquete de Elasticos 63 mm x 10 mm x 10 Hojas L950</v>
      </c>
      <c r="BR12" s="3" t="str">
        <f>IFERROR(__xludf.DUMMYFUNCTION("""COMPUTED_VALUE"""),"Paquete de Elasticos 63 mm x 10 mm x 13 Hojas L975")</f>
        <v>Paquete de Elasticos 63 mm x 10 mm x 13 Hojas L975</v>
      </c>
      <c r="BS12" s="3" t="str">
        <f>IFERROR(__xludf.DUMMYFUNCTION("""COMPUTED_VALUE"""),"Paquete de Elasticos 50 mm x 7 mm x 9 Hojas L650")</f>
        <v>Paquete de Elasticos 50 mm x 7 mm x 9 Hojas L650</v>
      </c>
      <c r="BT12" s="3" t="str">
        <f>IFERROR(__xludf.DUMMYFUNCTION("""COMPUTED_VALUE"""),"Eje Acoplado 2"" x 1600 (06/08) Agrícola Centro 92")</f>
        <v>Eje Acoplado 2" x 1600 (06/08) Agrícola Centro 92</v>
      </c>
      <c r="BU12" s="3" t="str">
        <f>IFERROR(__xludf.DUMMYFUNCTION("""COMPUTED_VALUE"""),"Eje Acoplado 2 1/2"" x 1600 (07/09) Agrícola Centro 92")</f>
        <v>Eje Acoplado 2 1/2" x 1600 (07/09) Agrícola Centro 92</v>
      </c>
      <c r="BV12" s="3" t="str">
        <f>IFERROR(__xludf.DUMMYFUNCTION("""COMPUTED_VALUE"""),"Eje Acoplado 2 1/2"" x 1600 (09/11) Agrícola Centro 150")</f>
        <v>Eje Acoplado 2 1/2" x 1600 (09/11) Agrícola Centro 150</v>
      </c>
      <c r="BW12" s="3" t="str">
        <f>IFERROR(__xludf.DUMMYFUNCTION("""COMPUTED_VALUE"""),"Eje Acoplado 3"" x 1600 (10/13) Agrícola Centro 150")</f>
        <v>Eje Acoplado 3" x 1600 (10/13) Agrícola Centro 150</v>
      </c>
      <c r="BX12" s="3" t="str">
        <f>IFERROR(__xludf.DUMMYFUNCTION("""COMPUTED_VALUE"""),"Eje Acoplado 2 1/2"" x 2140 (07/09) Agrícola Centro 92")</f>
        <v>Eje Acoplado 2 1/2" x 2140 (07/09) Agrícola Centro 92</v>
      </c>
      <c r="BY12" s="3" t="str">
        <f>IFERROR(__xludf.DUMMYFUNCTION("""COMPUTED_VALUE"""),"Eje Acoplado 2"" x 1400 (06/08) Agrícola Centro 92")</f>
        <v>Eje Acoplado 2" x 1400 (06/08) Agrícola Centro 92</v>
      </c>
      <c r="BZ12" s="3" t="str">
        <f>IFERROR(__xludf.DUMMYFUNCTION("""COMPUTED_VALUE"""),"Eje Acoplado 2 1/2"" x 1500 (07/09) Agrícola Centro 92")</f>
        <v>Eje Acoplado 2 1/2" x 1500 (07/09) Agrícola Centro 92</v>
      </c>
      <c r="CA12" s="3" t="str">
        <f>IFERROR(__xludf.DUMMYFUNCTION("""COMPUTED_VALUE"""),"Eje Acoplado 2 1/2"" x 2000 (07/09) Agrícola Centro 92")</f>
        <v>Eje Acoplado 2 1/2" x 2000 (07/09) Agrícola Centro 92</v>
      </c>
      <c r="CB12" s="3" t="str">
        <f>IFERROR(__xludf.DUMMYFUNCTION("""COMPUTED_VALUE"""),"Eje Acoplado 2 1/2"" x 2100 (09/11) Agrícola Centro 150")</f>
        <v>Eje Acoplado 2 1/2" x 2100 (09/11) Agrícola Centro 150</v>
      </c>
      <c r="CC12" s="3" t="str">
        <f>IFERROR(__xludf.DUMMYFUNCTION("""COMPUTED_VALUE"""),"Llanta 16"" Simple Agrícola Centro 92")</f>
        <v>Llanta 16" Simple Agrícola Centro 92</v>
      </c>
      <c r="CD12" s="3" t="str">
        <f>IFERROR(__xludf.DUMMYFUNCTION("""COMPUTED_VALUE"""),"Llanta 16"" Dual Agrícola Centro 92")</f>
        <v>Llanta 16" Dual Agrícola Centro 92</v>
      </c>
      <c r="CE12" s="3" t="str">
        <f>IFERROR(__xludf.DUMMYFUNCTION("""COMPUTED_VALUE"""),"Llanta 17"" Simple Agrícola Centro 92")</f>
        <v>Llanta 17" Simple Agrícola Centro 92</v>
      </c>
      <c r="CF12" s="3" t="str">
        <f>IFERROR(__xludf.DUMMYFUNCTION("""COMPUTED_VALUE"""),"Llanta 17"" Dual Agrícola Centro 92")</f>
        <v>Llanta 17" Dual Agrícola Centro 92</v>
      </c>
      <c r="CG12" s="3" t="str">
        <f>IFERROR(__xludf.DUMMYFUNCTION("""COMPUTED_VALUE"""),"Llanta 16"" Dual Agrícola Centro 152")</f>
        <v>Llanta 16" Dual Agrícola Centro 152</v>
      </c>
      <c r="CH12" s="3" t="str">
        <f>IFERROR(__xludf.DUMMYFUNCTION("""COMPUTED_VALUE"""),"Llanta 17"" Dual Agrícola Centro 152")</f>
        <v>Llanta 17" Dual Agrícola Centro 152</v>
      </c>
      <c r="CI12" s="3" t="str">
        <f>IFERROR(__xludf.DUMMYFUNCTION("""COMPUTED_VALUE"""),"Eje Acoplado 2"" x 1600 (05/07) Agrícola Centro 92")</f>
        <v>Eje Acoplado 2" x 1600 (05/07) Agrícola Centro 92</v>
      </c>
      <c r="CJ12" s="3" t="str">
        <f>IFERROR(__xludf.DUMMYFUNCTION("""COMPUTED_VALUE"""),"Paquete de Elásticos 50 mm x 8 mm x 12 Hojas")</f>
        <v>Paquete de Elásticos 50 mm x 8 mm x 12 Hojas</v>
      </c>
      <c r="CK12" s="3" t="str">
        <f>IFERROR(__xludf.DUMMYFUNCTION("""COMPUTED_VALUE"""),"Plataforma Playo 4.00 x 1.90 x 0.45 Lateral Simple Baranda Fija")</f>
        <v>Plataforma Playo 4.00 x 1.90 x 0.45 Lateral Simple Baranda Fija</v>
      </c>
      <c r="CL12" s="3" t="str">
        <f>IFERROR(__xludf.DUMMYFUNCTION("""COMPUTED_VALUE"""),"Plataforma Playo 4.00 x 1.90 x 0.45 Lateral Simple Baranda Ventilada")</f>
        <v>Plataforma Playo 4.00 x 1.90 x 0.45 Lateral Simple Baranda Ventilada</v>
      </c>
      <c r="CM12" s="3" t="str">
        <f>IFERROR(__xludf.DUMMYFUNCTION("""COMPUTED_VALUE"""),"Plataforma Playo 4.00 x 1.90 x 0.45 Lateral Doble Baranda Ventilada")</f>
        <v>Plataforma Playo 4.00 x 1.90 x 0.45 Lateral Doble Baranda Ventilada</v>
      </c>
      <c r="CN12" s="3" t="str">
        <f>IFERROR(__xludf.DUMMYFUNCTION("""COMPUTED_VALUE"""),"Plataforma Playo 4.00 x 1.90 x 0.45 Lateral Doble Baranda Fija")</f>
        <v>Plataforma Playo 4.00 x 1.90 x 0.45 Lateral Doble Baranda Fija</v>
      </c>
      <c r="CO12" s="3" t="str">
        <f>IFERROR(__xludf.DUMMYFUNCTION("""COMPUTED_VALUE"""),"Plataforma Playo 4.00 x 1.90 x 0.72 Lateral Simple Baranda Fija")</f>
        <v>Plataforma Playo 4.00 x 1.90 x 0.72 Lateral Simple Baranda Fija</v>
      </c>
      <c r="CP12" s="3" t="str">
        <f>IFERROR(__xludf.DUMMYFUNCTION("""COMPUTED_VALUE"""),"Plataforma Playo 4.00 x 1.90 x 0.72 Lateral Doble Baranda Fija")</f>
        <v>Plataforma Playo 4.00 x 1.90 x 0.72 Lateral Doble Baranda Fija</v>
      </c>
      <c r="CQ12" s="3" t="str">
        <f>IFERROR(__xludf.DUMMYFUNCTION("""COMPUTED_VALUE"""),"Plataforma Playo 5.00 x 2.20 x 0.60 Lateral Doble Trasera Rebatible")</f>
        <v>Plataforma Playo 5.00 x 2.20 x 0.60 Lateral Doble Trasera Rebatible</v>
      </c>
      <c r="CR12" s="3" t="str">
        <f>IFERROR(__xludf.DUMMYFUNCTION("""COMPUTED_VALUE"""),"Plataforma Playo 5.00 x 2.20 x 0.60 Lateral Doble Baranda Fija C/Toldo")</f>
        <v>Plataforma Playo 5.00 x 2.20 x 0.60 Lateral Doble Baranda Fija C/Toldo</v>
      </c>
      <c r="CS12" s="3" t="str">
        <f>IFERROR(__xludf.DUMMYFUNCTION("""COMPUTED_VALUE"""),"Plataforma Playo 3.00 x 1.90 x 0.45 Lateral Simple Baranda Fija")</f>
        <v>Plataforma Playo 3.00 x 1.90 x 0.45 Lateral Simple Baranda Fija</v>
      </c>
      <c r="CT12" s="3" t="str">
        <f>IFERROR(__xludf.DUMMYFUNCTION("""COMPUTED_VALUE"""),"Plataforma Playo 3.00 x 1.90 x 0.45 Lateral Simple Baranda Ventilada")</f>
        <v>Plataforma Playo 3.00 x 1.90 x 0.45 Lateral Simple Baranda Ventilada</v>
      </c>
      <c r="CU12" s="3" t="str">
        <f>IFERROR(__xludf.DUMMYFUNCTION("""COMPUTED_VALUE"""),"Plataforma Playo 2.00 x 1.90 x 0.45 Lateral Simple Baranda Fija")</f>
        <v>Plataforma Playo 2.00 x 1.90 x 0.45 Lateral Simple Baranda Fija</v>
      </c>
      <c r="CV12" s="3" t="str">
        <f>IFERROR(__xludf.DUMMYFUNCTION("""COMPUTED_VALUE"""),"Plataforma Playo 5.00 x 1.90 x 0.60 Lateral Doble Baranda Fija")</f>
        <v>Plataforma Playo 5.00 x 1.90 x 0.60 Lateral Doble Baranda Fija</v>
      </c>
      <c r="CW12" s="3" t="str">
        <f>IFERROR(__xludf.DUMMYFUNCTION("""COMPUTED_VALUE"""),"Plataforma Playo 6.40 x 2.70 x 0.72 Lateral Doble Baranda Fija")</f>
        <v>Plataforma Playo 6.40 x 2.70 x 0.72 Lateral Doble Baranda Fija</v>
      </c>
      <c r="CX12" s="3" t="str">
        <f>IFERROR(__xludf.DUMMYFUNCTION("""COMPUTED_VALUE"""),"Chasis Acoplado Balancin L4000 Lanza Recta")</f>
        <v>Chasis Acoplado Balancin L4000 Lanza Recta</v>
      </c>
      <c r="CY12" s="3" t="str">
        <f>IFERROR(__xludf.DUMMYFUNCTION("""COMPUTED_VALUE"""),"Llanta simple Agrícola 750x20 centro 152")</f>
        <v>Llanta simple Agrícola 750x20 centro 152</v>
      </c>
      <c r="CZ12" s="3" t="str">
        <f>IFERROR(__xludf.DUMMYFUNCTION("""COMPUTED_VALUE"""),"Cajón de Herramientas Mediano adelante")</f>
        <v>Cajón de Herramientas Mediano adelante</v>
      </c>
      <c r="DA12" s="3" t="str">
        <f>IFERROR(__xludf.DUMMYFUNCTION("""COMPUTED_VALUE"""),"Llanta 15"" Simple Agrícola Centro 92")</f>
        <v>Llanta 15" Simple Agrícola Centro 92</v>
      </c>
    </row>
    <row r="13" hidden="1">
      <c r="A13" s="38">
        <f t="shared" si="1"/>
        <v>12</v>
      </c>
      <c r="B13" s="38">
        <f>IF(F13="","",SUMIF(Prearmados!E:E,F13,Prearmados!A:A))</f>
        <v>2</v>
      </c>
      <c r="C13" s="38">
        <f>IF(F13="","",SUMIF(Productos!E:E,G13,Productos!A:A))</f>
        <v>46</v>
      </c>
      <c r="D13" s="83" t="str">
        <f t="array" ref="D13">IF(OR(F13="",F13="Seleccionar.."),"",XLOOKUP(F13,Prearmados!E:E,Prearmados!F:F,"",0,1))</f>
        <v>Acoplados Rurales</v>
      </c>
      <c r="E13" s="83">
        <f>IF(H13="","",SUMIF(Precio_Productos!K:K,C13,Precio_Productos!J:J)*H13)</f>
        <v>1533996</v>
      </c>
      <c r="F13" s="84" t="s">
        <v>325</v>
      </c>
      <c r="G13" s="84" t="s">
        <v>53</v>
      </c>
      <c r="H13" s="13">
        <v>1.0</v>
      </c>
      <c r="P13" s="3" t="str">
        <f>IFERROR(__xludf.DUMMYFUNCTION("IF(OR(F13="""",F13=""Seleccionar..""),"""",TRANSPOSE(FILTER(Productos!E:E,(Productos!F:F=D13)+(Productos!F:F=XLOOKUP(D13,Implementos!B:B,Implementos!C:C,""-"",0,1)))))"),"Tanque Combustible 1100 lts Bajo")</f>
        <v>Tanque Combustible 1100 lts Bajo</v>
      </c>
      <c r="Q13" s="3" t="str">
        <f>IFERROR(__xludf.DUMMYFUNCTION("""COMPUTED_VALUE"""),"Tanque Combustible 1500 lts Standard")</f>
        <v>Tanque Combustible 1500 lts Standard</v>
      </c>
      <c r="R13" s="3" t="str">
        <f>IFERROR(__xludf.DUMMYFUNCTION("""COMPUTED_VALUE"""),"Tanque Combustible 1800 lts Standard")</f>
        <v>Tanque Combustible 1800 lts Standard</v>
      </c>
      <c r="S13" s="3" t="str">
        <f>IFERROR(__xludf.DUMMYFUNCTION("""COMPUTED_VALUE"""),"Tanque Combustible 2000 lts Bajo")</f>
        <v>Tanque Combustible 2000 lts Bajo</v>
      </c>
      <c r="T13" s="3" t="str">
        <f>IFERROR(__xludf.DUMMYFUNCTION("""COMPUTED_VALUE"""),"Tanque Combustible 2000 lts Standard")</f>
        <v>Tanque Combustible 2000 lts Standard</v>
      </c>
      <c r="U13" s="3" t="str">
        <f>IFERROR(__xludf.DUMMYFUNCTION("""COMPUTED_VALUE"""),"Tanque Combustible 3000 lts Standard")</f>
        <v>Tanque Combustible 3000 lts Standard</v>
      </c>
      <c r="V13" s="3" t="str">
        <f>IFERROR(__xludf.DUMMYFUNCTION("""COMPUTED_VALUE"""),"Tanque Combustible 3000 lts Alto")</f>
        <v>Tanque Combustible 3000 lts Alto</v>
      </c>
      <c r="W13" s="3" t="str">
        <f>IFERROR(__xludf.DUMMYFUNCTION("""COMPUTED_VALUE"""),"Tanque Combustible 4000 lts Standard")</f>
        <v>Tanque Combustible 4000 lts Standard</v>
      </c>
      <c r="X13" s="3" t="str">
        <f>IFERROR(__xludf.DUMMYFUNCTION("""COMPUTED_VALUE"""),"Tanque Combustible 5000 lts Standard")</f>
        <v>Tanque Combustible 5000 lts Standard</v>
      </c>
      <c r="Y13" s="3" t="str">
        <f>IFERROR(__xludf.DUMMYFUNCTION("""COMPUTED_VALUE"""),"Tanque Combustible 5000 lts Alto")</f>
        <v>Tanque Combustible 5000 lts Alto</v>
      </c>
      <c r="Z13" s="3" t="str">
        <f>IFERROR(__xludf.DUMMYFUNCTION("""COMPUTED_VALUE"""),"Tanque Combustible 2000 lts Alto")</f>
        <v>Tanque Combustible 2000 lts Alto</v>
      </c>
      <c r="AA13" s="3" t="str">
        <f>IFERROR(__xludf.DUMMYFUNCTION("""COMPUTED_VALUE"""),"Tanque Combustible 4000 lts Alto")</f>
        <v>Tanque Combustible 4000 lts Alto</v>
      </c>
      <c r="AB13" s="3" t="str">
        <f>IFERROR(__xludf.DUMMYFUNCTION("""COMPUTED_VALUE"""),"Baulera Standard - 750")</f>
        <v>Baulera Standard - 750</v>
      </c>
      <c r="AC13" s="3" t="str">
        <f>IFERROR(__xludf.DUMMYFUNCTION("""COMPUTED_VALUE"""),"Baulera Standard - 1700 - C/Laterales")</f>
        <v>Baulera Standard - 1700 - C/Laterales</v>
      </c>
      <c r="AD13" s="3" t="str">
        <f>IFERROR(__xludf.DUMMYFUNCTION("""COMPUTED_VALUE"""),"Baulera Standard - 1000 - C/Laterales")</f>
        <v>Baulera Standard - 1000 - C/Laterales</v>
      </c>
      <c r="AE13" s="3" t="str">
        <f>IFERROR(__xludf.DUMMYFUNCTION("""COMPUTED_VALUE"""),"Baulera Standard - 750 - C/Laterales")</f>
        <v>Baulera Standard - 750 - C/Laterales</v>
      </c>
      <c r="AF13" s="3" t="str">
        <f>IFERROR(__xludf.DUMMYFUNCTION("""COMPUTED_VALUE"""),"Baulera Standard - 1300 - C/Laterales")</f>
        <v>Baulera Standard - 1300 - C/Laterales</v>
      </c>
      <c r="AG13" s="3" t="str">
        <f>IFERROR(__xludf.DUMMYFUNCTION("""COMPUTED_VALUE"""),"Baulera Alta - 750")</f>
        <v>Baulera Alta - 750</v>
      </c>
      <c r="AH13" s="3" t="str">
        <f>IFERROR(__xludf.DUMMYFUNCTION("""COMPUTED_VALUE"""),"Baulera Alta - 1500 - C/Laterales")</f>
        <v>Baulera Alta - 1500 - C/Laterales</v>
      </c>
      <c r="AI13" s="3" t="str">
        <f>IFERROR(__xludf.DUMMYFUNCTION("""COMPUTED_VALUE"""),"Baulera Extendida 1700 - C/Laterales")</f>
        <v>Baulera Extendida 1700 - C/Laterales</v>
      </c>
      <c r="AJ13" s="3" t="str">
        <f>IFERROR(__xludf.DUMMYFUNCTION("""COMPUTED_VALUE"""),"Taller Móvil - 1500 x 1500 x 1700")</f>
        <v>Taller Móvil - 1500 x 1500 x 1700</v>
      </c>
      <c r="AK13" s="3" t="str">
        <f>IFERROR(__xludf.DUMMYFUNCTION("""COMPUTED_VALUE"""),"Cajón Herramientas Standard Derecho")</f>
        <v>Cajón Herramientas Standard Derecho</v>
      </c>
      <c r="AL13" s="3" t="str">
        <f>IFERROR(__xludf.DUMMYFUNCTION("""COMPUTED_VALUE"""),"Cajón Herramientas Standard Izquierdo")</f>
        <v>Cajón Herramientas Standard Izquierdo</v>
      </c>
      <c r="AM13" s="3" t="str">
        <f>IFERROR(__xludf.DUMMYFUNCTION("""COMPUTED_VALUE"""),"Cajón Herramientas Corto Derecho")</f>
        <v>Cajón Herramientas Corto Derecho</v>
      </c>
      <c r="AN13" s="3" t="str">
        <f>IFERROR(__xludf.DUMMYFUNCTION("""COMPUTED_VALUE"""),"Cajón Herramientas Corto Izquierdo")</f>
        <v>Cajón Herramientas Corto Izquierdo</v>
      </c>
      <c r="AO13" s="3" t="str">
        <f>IFERROR(__xludf.DUMMYFUNCTION("""COMPUTED_VALUE"""),"Cajón Herramientas Mediano Derecho")</f>
        <v>Cajón Herramientas Mediano Derecho</v>
      </c>
      <c r="AP13" s="3" t="str">
        <f>IFERROR(__xludf.DUMMYFUNCTION("""COMPUTED_VALUE"""),"Cajón Herramientas Mediano Izquierdo")</f>
        <v>Cajón Herramientas Mediano Izquierdo</v>
      </c>
      <c r="AQ13" s="3" t="str">
        <f>IFERROR(__xludf.DUMMYFUNCTION("""COMPUTED_VALUE"""),"Chasis Acoplado 2 Ejes L3000")</f>
        <v>Chasis Acoplado 2 Ejes L3000</v>
      </c>
      <c r="AR13" s="3" t="str">
        <f>IFERROR(__xludf.DUMMYFUNCTION("""COMPUTED_VALUE"""),"Chasis Acoplado 2 Ejes L3750")</f>
        <v>Chasis Acoplado 2 Ejes L3750</v>
      </c>
      <c r="AS13" s="3" t="str">
        <f>IFERROR(__xludf.DUMMYFUNCTION("""COMPUTED_VALUE"""),"Chasis Acoplado 2 Ejes L4000")</f>
        <v>Chasis Acoplado 2 Ejes L4000</v>
      </c>
      <c r="AT13" s="3" t="str">
        <f>IFERROR(__xludf.DUMMYFUNCTION("""COMPUTED_VALUE"""),"Chasis Acoplado 2 Ejes L4000 Reforzado")</f>
        <v>Chasis Acoplado 2 Ejes L4000 Reforzado</v>
      </c>
      <c r="AU13" s="3" t="str">
        <f>IFERROR(__xludf.DUMMYFUNCTION("""COMPUTED_VALUE"""),"Chasis Acoplado 2 Ejes L4750")</f>
        <v>Chasis Acoplado 2 Ejes L4750</v>
      </c>
      <c r="AV13" s="3" t="str">
        <f>IFERROR(__xludf.DUMMYFUNCTION("""COMPUTED_VALUE"""),"Chasis Acoplado 2 Ejes L4750 Reforzado")</f>
        <v>Chasis Acoplado 2 Ejes L4750 Reforzado</v>
      </c>
      <c r="AW13" s="3" t="str">
        <f>IFERROR(__xludf.DUMMYFUNCTION("""COMPUTED_VALUE"""),"Chasis Acoplado 2 Ejes L4750 Reforzado R. Camion")</f>
        <v>Chasis Acoplado 2 Ejes L4750 Reforzado R. Camion</v>
      </c>
      <c r="AX13" s="3" t="str">
        <f>IFERROR(__xludf.DUMMYFUNCTION("""COMPUTED_VALUE"""),"Chasis Acoplado 2 Ejes L5000")</f>
        <v>Chasis Acoplado 2 Ejes L5000</v>
      </c>
      <c r="AY13" s="3" t="str">
        <f>IFERROR(__xludf.DUMMYFUNCTION("""COMPUTED_VALUE"""),"Chasis Acoplado 2 Ejes L5750")</f>
        <v>Chasis Acoplado 2 Ejes L5750</v>
      </c>
      <c r="AZ13" s="3" t="str">
        <f>IFERROR(__xludf.DUMMYFUNCTION("""COMPUTED_VALUE"""),"Chasis Acoplado 2 Ejes L6400")</f>
        <v>Chasis Acoplado 2 Ejes L6400</v>
      </c>
      <c r="BA13" s="3" t="str">
        <f>IFERROR(__xludf.DUMMYFUNCTION("""COMPUTED_VALUE"""),"Chasis Acoplado 2 Ejes L4500")</f>
        <v>Chasis Acoplado 2 Ejes L4500</v>
      </c>
      <c r="BB13" s="3" t="str">
        <f>IFERROR(__xludf.DUMMYFUNCTION("""COMPUTED_VALUE"""),"Chasis Acoplado 1 Eje L1500")</f>
        <v>Chasis Acoplado 1 Eje L1500</v>
      </c>
      <c r="BC13" s="3" t="str">
        <f>IFERROR(__xludf.DUMMYFUNCTION("""COMPUTED_VALUE"""),"Chasis Acoplado 1 Eje L1800")</f>
        <v>Chasis Acoplado 1 Eje L1800</v>
      </c>
      <c r="BD13" s="3" t="str">
        <f>IFERROR(__xludf.DUMMYFUNCTION("""COMPUTED_VALUE"""),"Chasis Acoplado 1 Eje L1400")</f>
        <v>Chasis Acoplado 1 Eje L1400</v>
      </c>
      <c r="BE13" s="3" t="str">
        <f>IFERROR(__xludf.DUMMYFUNCTION("""COMPUTED_VALUE"""),"Chasis Acoplado Balancin L3000")</f>
        <v>Chasis Acoplado Balancin L3000</v>
      </c>
      <c r="BF13" s="3" t="str">
        <f>IFERROR(__xludf.DUMMYFUNCTION("""COMPUTED_VALUE"""),"Chasis Acoplado Balancin L3000 Lanza Corta")</f>
        <v>Chasis Acoplado Balancin L3000 Lanza Corta</v>
      </c>
      <c r="BG13" s="3" t="str">
        <f>IFERROR(__xludf.DUMMYFUNCTION("""COMPUTED_VALUE"""),"Chasis Acoplado Balancin L2000 Lanza Corta")</f>
        <v>Chasis Acoplado Balancin L2000 Lanza Corta</v>
      </c>
      <c r="BH13" s="3" t="str">
        <f>IFERROR(__xludf.DUMMYFUNCTION("""COMPUTED_VALUE"""),"Chasis Acoplado Balancin L3200 Lanza Corta")</f>
        <v>Chasis Acoplado Balancin L3200 Lanza Corta</v>
      </c>
      <c r="BI13" s="3" t="str">
        <f>IFERROR(__xludf.DUMMYFUNCTION("""COMPUTED_VALUE"""),"Chasis Acoplado Balancin L3200 Lanza Recta")</f>
        <v>Chasis Acoplado Balancin L3200 Lanza Recta</v>
      </c>
      <c r="BJ13" s="3" t="str">
        <f>IFERROR(__xludf.DUMMYFUNCTION("""COMPUTED_VALUE"""),"Chasis Acoplado Balancin L3200 Bajo Lanza Recta")</f>
        <v>Chasis Acoplado Balancin L3200 Bajo Lanza Recta</v>
      </c>
      <c r="BK13" s="3" t="str">
        <f>IFERROR(__xludf.DUMMYFUNCTION("""COMPUTED_VALUE"""),"Tanque Plastico Horizontal 750 Lts")</f>
        <v>Tanque Plastico Horizontal 750 Lts</v>
      </c>
      <c r="BL13" s="3" t="str">
        <f>IFERROR(__xludf.DUMMYFUNCTION("""COMPUTED_VALUE"""),"Medio Tanque Plastico Superior 700 Lts")</f>
        <v>Medio Tanque Plastico Superior 700 Lts</v>
      </c>
      <c r="BM13" s="3" t="str">
        <f>IFERROR(__xludf.DUMMYFUNCTION("""COMPUTED_VALUE"""),"Paquete de Elasticos 50 mm x 8 mm x 10 Hojas L850")</f>
        <v>Paquete de Elasticos 50 mm x 8 mm x 10 Hojas L850</v>
      </c>
      <c r="BN13" s="3" t="str">
        <f>IFERROR(__xludf.DUMMYFUNCTION("""COMPUTED_VALUE"""),"Paquete de Elasticos 63 mm x 8 mm x 10 Hojas L950")</f>
        <v>Paquete de Elasticos 63 mm x 8 mm x 10 Hojas L950</v>
      </c>
      <c r="BO13" s="3" t="str">
        <f>IFERROR(__xludf.DUMMYFUNCTION("""COMPUTED_VALUE"""),"Paquete de Elasticos 50 mm x 7 mm x 9 Hojas L850")</f>
        <v>Paquete de Elasticos 50 mm x 7 mm x 9 Hojas L850</v>
      </c>
      <c r="BP13" s="3" t="str">
        <f>IFERROR(__xludf.DUMMYFUNCTION("""COMPUTED_VALUE"""),"Paquete de Elasticos 63 mm x 8 mm x 8 Hojas L850")</f>
        <v>Paquete de Elasticos 63 mm x 8 mm x 8 Hojas L850</v>
      </c>
      <c r="BQ13" s="3" t="str">
        <f>IFERROR(__xludf.DUMMYFUNCTION("""COMPUTED_VALUE"""),"Paquete de Elasticos 63 mm x 10 mm x 10 Hojas L950")</f>
        <v>Paquete de Elasticos 63 mm x 10 mm x 10 Hojas L950</v>
      </c>
      <c r="BR13" s="3" t="str">
        <f>IFERROR(__xludf.DUMMYFUNCTION("""COMPUTED_VALUE"""),"Paquete de Elasticos 63 mm x 10 mm x 13 Hojas L975")</f>
        <v>Paquete de Elasticos 63 mm x 10 mm x 13 Hojas L975</v>
      </c>
      <c r="BS13" s="3" t="str">
        <f>IFERROR(__xludf.DUMMYFUNCTION("""COMPUTED_VALUE"""),"Paquete de Elasticos 50 mm x 7 mm x 9 Hojas L650")</f>
        <v>Paquete de Elasticos 50 mm x 7 mm x 9 Hojas L650</v>
      </c>
      <c r="BT13" s="3" t="str">
        <f>IFERROR(__xludf.DUMMYFUNCTION("""COMPUTED_VALUE"""),"Eje Acoplado 2"" x 1600 (06/08) Agrícola Centro 92")</f>
        <v>Eje Acoplado 2" x 1600 (06/08) Agrícola Centro 92</v>
      </c>
      <c r="BU13" s="3" t="str">
        <f>IFERROR(__xludf.DUMMYFUNCTION("""COMPUTED_VALUE"""),"Eje Acoplado 2 1/2"" x 1600 (07/09) Agrícola Centro 92")</f>
        <v>Eje Acoplado 2 1/2" x 1600 (07/09) Agrícola Centro 92</v>
      </c>
      <c r="BV13" s="3" t="str">
        <f>IFERROR(__xludf.DUMMYFUNCTION("""COMPUTED_VALUE"""),"Eje Acoplado 2 1/2"" x 1600 (09/11) Agrícola Centro 150")</f>
        <v>Eje Acoplado 2 1/2" x 1600 (09/11) Agrícola Centro 150</v>
      </c>
      <c r="BW13" s="3" t="str">
        <f>IFERROR(__xludf.DUMMYFUNCTION("""COMPUTED_VALUE"""),"Eje Acoplado 3"" x 1600 (10/13) Agrícola Centro 150")</f>
        <v>Eje Acoplado 3" x 1600 (10/13) Agrícola Centro 150</v>
      </c>
      <c r="BX13" s="3" t="str">
        <f>IFERROR(__xludf.DUMMYFUNCTION("""COMPUTED_VALUE"""),"Eje Acoplado 2 1/2"" x 2140 (07/09) Agrícola Centro 92")</f>
        <v>Eje Acoplado 2 1/2" x 2140 (07/09) Agrícola Centro 92</v>
      </c>
      <c r="BY13" s="3" t="str">
        <f>IFERROR(__xludf.DUMMYFUNCTION("""COMPUTED_VALUE"""),"Eje Acoplado 2"" x 1400 (06/08) Agrícola Centro 92")</f>
        <v>Eje Acoplado 2" x 1400 (06/08) Agrícola Centro 92</v>
      </c>
      <c r="BZ13" s="3" t="str">
        <f>IFERROR(__xludf.DUMMYFUNCTION("""COMPUTED_VALUE"""),"Eje Acoplado 2 1/2"" x 1500 (07/09) Agrícola Centro 92")</f>
        <v>Eje Acoplado 2 1/2" x 1500 (07/09) Agrícola Centro 92</v>
      </c>
      <c r="CA13" s="3" t="str">
        <f>IFERROR(__xludf.DUMMYFUNCTION("""COMPUTED_VALUE"""),"Eje Acoplado 2 1/2"" x 2000 (07/09) Agrícola Centro 92")</f>
        <v>Eje Acoplado 2 1/2" x 2000 (07/09) Agrícola Centro 92</v>
      </c>
      <c r="CB13" s="3" t="str">
        <f>IFERROR(__xludf.DUMMYFUNCTION("""COMPUTED_VALUE"""),"Eje Acoplado 2 1/2"" x 2100 (09/11) Agrícola Centro 150")</f>
        <v>Eje Acoplado 2 1/2" x 2100 (09/11) Agrícola Centro 150</v>
      </c>
      <c r="CC13" s="3" t="str">
        <f>IFERROR(__xludf.DUMMYFUNCTION("""COMPUTED_VALUE"""),"Llanta 16"" Simple Agrícola Centro 92")</f>
        <v>Llanta 16" Simple Agrícola Centro 92</v>
      </c>
      <c r="CD13" s="3" t="str">
        <f>IFERROR(__xludf.DUMMYFUNCTION("""COMPUTED_VALUE"""),"Llanta 16"" Dual Agrícola Centro 92")</f>
        <v>Llanta 16" Dual Agrícola Centro 92</v>
      </c>
      <c r="CE13" s="3" t="str">
        <f>IFERROR(__xludf.DUMMYFUNCTION("""COMPUTED_VALUE"""),"Llanta 17"" Simple Agrícola Centro 92")</f>
        <v>Llanta 17" Simple Agrícola Centro 92</v>
      </c>
      <c r="CF13" s="3" t="str">
        <f>IFERROR(__xludf.DUMMYFUNCTION("""COMPUTED_VALUE"""),"Llanta 17"" Dual Agrícola Centro 92")</f>
        <v>Llanta 17" Dual Agrícola Centro 92</v>
      </c>
      <c r="CG13" s="3" t="str">
        <f>IFERROR(__xludf.DUMMYFUNCTION("""COMPUTED_VALUE"""),"Llanta 16"" Dual Agrícola Centro 152")</f>
        <v>Llanta 16" Dual Agrícola Centro 152</v>
      </c>
      <c r="CH13" s="3" t="str">
        <f>IFERROR(__xludf.DUMMYFUNCTION("""COMPUTED_VALUE"""),"Llanta 17"" Dual Agrícola Centro 152")</f>
        <v>Llanta 17" Dual Agrícola Centro 152</v>
      </c>
      <c r="CI13" s="3" t="str">
        <f>IFERROR(__xludf.DUMMYFUNCTION("""COMPUTED_VALUE"""),"Eje Acoplado 2"" x 1600 (05/07) Agrícola Centro 92")</f>
        <v>Eje Acoplado 2" x 1600 (05/07) Agrícola Centro 92</v>
      </c>
      <c r="CJ13" s="3" t="str">
        <f>IFERROR(__xludf.DUMMYFUNCTION("""COMPUTED_VALUE"""),"Paquete de Elásticos 50 mm x 8 mm x 12 Hojas")</f>
        <v>Paquete de Elásticos 50 mm x 8 mm x 12 Hojas</v>
      </c>
      <c r="CK13" s="3" t="str">
        <f>IFERROR(__xludf.DUMMYFUNCTION("""COMPUTED_VALUE"""),"Plataforma Playo 4.00 x 1.90 x 0.45 Lateral Simple Baranda Fija")</f>
        <v>Plataforma Playo 4.00 x 1.90 x 0.45 Lateral Simple Baranda Fija</v>
      </c>
      <c r="CL13" s="3" t="str">
        <f>IFERROR(__xludf.DUMMYFUNCTION("""COMPUTED_VALUE"""),"Plataforma Playo 4.00 x 1.90 x 0.45 Lateral Simple Baranda Ventilada")</f>
        <v>Plataforma Playo 4.00 x 1.90 x 0.45 Lateral Simple Baranda Ventilada</v>
      </c>
      <c r="CM13" s="3" t="str">
        <f>IFERROR(__xludf.DUMMYFUNCTION("""COMPUTED_VALUE"""),"Plataforma Playo 4.00 x 1.90 x 0.45 Lateral Doble Baranda Ventilada")</f>
        <v>Plataforma Playo 4.00 x 1.90 x 0.45 Lateral Doble Baranda Ventilada</v>
      </c>
      <c r="CN13" s="3" t="str">
        <f>IFERROR(__xludf.DUMMYFUNCTION("""COMPUTED_VALUE"""),"Plataforma Playo 4.00 x 1.90 x 0.45 Lateral Doble Baranda Fija")</f>
        <v>Plataforma Playo 4.00 x 1.90 x 0.45 Lateral Doble Baranda Fija</v>
      </c>
      <c r="CO13" s="3" t="str">
        <f>IFERROR(__xludf.DUMMYFUNCTION("""COMPUTED_VALUE"""),"Plataforma Playo 4.00 x 1.90 x 0.72 Lateral Simple Baranda Fija")</f>
        <v>Plataforma Playo 4.00 x 1.90 x 0.72 Lateral Simple Baranda Fija</v>
      </c>
      <c r="CP13" s="3" t="str">
        <f>IFERROR(__xludf.DUMMYFUNCTION("""COMPUTED_VALUE"""),"Plataforma Playo 4.00 x 1.90 x 0.72 Lateral Doble Baranda Fija")</f>
        <v>Plataforma Playo 4.00 x 1.90 x 0.72 Lateral Doble Baranda Fija</v>
      </c>
      <c r="CQ13" s="3" t="str">
        <f>IFERROR(__xludf.DUMMYFUNCTION("""COMPUTED_VALUE"""),"Plataforma Playo 5.00 x 2.20 x 0.60 Lateral Doble Trasera Rebatible")</f>
        <v>Plataforma Playo 5.00 x 2.20 x 0.60 Lateral Doble Trasera Rebatible</v>
      </c>
      <c r="CR13" s="3" t="str">
        <f>IFERROR(__xludf.DUMMYFUNCTION("""COMPUTED_VALUE"""),"Plataforma Playo 5.00 x 2.20 x 0.60 Lateral Doble Baranda Fija C/Toldo")</f>
        <v>Plataforma Playo 5.00 x 2.20 x 0.60 Lateral Doble Baranda Fija C/Toldo</v>
      </c>
      <c r="CS13" s="3" t="str">
        <f>IFERROR(__xludf.DUMMYFUNCTION("""COMPUTED_VALUE"""),"Plataforma Playo 3.00 x 1.90 x 0.45 Lateral Simple Baranda Fija")</f>
        <v>Plataforma Playo 3.00 x 1.90 x 0.45 Lateral Simple Baranda Fija</v>
      </c>
      <c r="CT13" s="3" t="str">
        <f>IFERROR(__xludf.DUMMYFUNCTION("""COMPUTED_VALUE"""),"Plataforma Playo 3.00 x 1.90 x 0.45 Lateral Simple Baranda Ventilada")</f>
        <v>Plataforma Playo 3.00 x 1.90 x 0.45 Lateral Simple Baranda Ventilada</v>
      </c>
      <c r="CU13" s="3" t="str">
        <f>IFERROR(__xludf.DUMMYFUNCTION("""COMPUTED_VALUE"""),"Plataforma Playo 2.00 x 1.90 x 0.45 Lateral Simple Baranda Fija")</f>
        <v>Plataforma Playo 2.00 x 1.90 x 0.45 Lateral Simple Baranda Fija</v>
      </c>
      <c r="CV13" s="3" t="str">
        <f>IFERROR(__xludf.DUMMYFUNCTION("""COMPUTED_VALUE"""),"Plataforma Playo 5.00 x 1.90 x 0.60 Lateral Doble Baranda Fija")</f>
        <v>Plataforma Playo 5.00 x 1.90 x 0.60 Lateral Doble Baranda Fija</v>
      </c>
      <c r="CW13" s="3" t="str">
        <f>IFERROR(__xludf.DUMMYFUNCTION("""COMPUTED_VALUE"""),"Plataforma Playo 6.40 x 2.70 x 0.72 Lateral Doble Baranda Fija")</f>
        <v>Plataforma Playo 6.40 x 2.70 x 0.72 Lateral Doble Baranda Fija</v>
      </c>
      <c r="CX13" s="3" t="str">
        <f>IFERROR(__xludf.DUMMYFUNCTION("""COMPUTED_VALUE"""),"Chasis Acoplado Balancin L4000 Lanza Recta")</f>
        <v>Chasis Acoplado Balancin L4000 Lanza Recta</v>
      </c>
      <c r="CY13" s="3" t="str">
        <f>IFERROR(__xludf.DUMMYFUNCTION("""COMPUTED_VALUE"""),"Llanta simple Agrícola 750x20 centro 152")</f>
        <v>Llanta simple Agrícola 750x20 centro 152</v>
      </c>
      <c r="CZ13" s="3" t="str">
        <f>IFERROR(__xludf.DUMMYFUNCTION("""COMPUTED_VALUE"""),"Cajón de Herramientas Mediano adelante")</f>
        <v>Cajón de Herramientas Mediano adelante</v>
      </c>
      <c r="DA13" s="3" t="str">
        <f>IFERROR(__xludf.DUMMYFUNCTION("""COMPUTED_VALUE"""),"Llanta 15"" Simple Agrícola Centro 92")</f>
        <v>Llanta 15" Simple Agrícola Centro 92</v>
      </c>
    </row>
    <row r="14" hidden="1">
      <c r="A14" s="38">
        <f t="shared" si="1"/>
        <v>13</v>
      </c>
      <c r="B14" s="38">
        <f>IF(F14="","",SUMIF(Prearmados!E:E,F14,Prearmados!A:A))</f>
        <v>2</v>
      </c>
      <c r="C14" s="38">
        <f>IF(F14="","",SUMIF(Productos!E:E,G14,Productos!A:A))</f>
        <v>83</v>
      </c>
      <c r="D14" s="83" t="str">
        <f t="array" ref="D14">IF(OR(F14="",F14="Seleccionar.."),"",XLOOKUP(F14,Prearmados!E:E,Prearmados!F:F,"",0,1))</f>
        <v>Acoplados Rurales</v>
      </c>
      <c r="E14" s="83">
        <f>IF(H14="","",SUMIF(Precio_Productos!K:K,C14,Precio_Productos!J:J)*H14)</f>
        <v>855200</v>
      </c>
      <c r="F14" s="84" t="s">
        <v>325</v>
      </c>
      <c r="G14" s="84" t="s">
        <v>109</v>
      </c>
      <c r="H14" s="13">
        <v>1.0</v>
      </c>
      <c r="P14" s="3" t="str">
        <f>IFERROR(__xludf.DUMMYFUNCTION("IF(OR(F14="""",F14=""Seleccionar..""),"""",TRANSPOSE(FILTER(Productos!E:E,(Productos!F:F=D14)+(Productos!F:F=XLOOKUP(D14,Implementos!B:B,Implementos!C:C,""-"",0,1)))))"),"Tanque Combustible 1100 lts Bajo")</f>
        <v>Tanque Combustible 1100 lts Bajo</v>
      </c>
      <c r="Q14" s="3" t="str">
        <f>IFERROR(__xludf.DUMMYFUNCTION("""COMPUTED_VALUE"""),"Tanque Combustible 1500 lts Standard")</f>
        <v>Tanque Combustible 1500 lts Standard</v>
      </c>
      <c r="R14" s="3" t="str">
        <f>IFERROR(__xludf.DUMMYFUNCTION("""COMPUTED_VALUE"""),"Tanque Combustible 1800 lts Standard")</f>
        <v>Tanque Combustible 1800 lts Standard</v>
      </c>
      <c r="S14" s="3" t="str">
        <f>IFERROR(__xludf.DUMMYFUNCTION("""COMPUTED_VALUE"""),"Tanque Combustible 2000 lts Bajo")</f>
        <v>Tanque Combustible 2000 lts Bajo</v>
      </c>
      <c r="T14" s="3" t="str">
        <f>IFERROR(__xludf.DUMMYFUNCTION("""COMPUTED_VALUE"""),"Tanque Combustible 2000 lts Standard")</f>
        <v>Tanque Combustible 2000 lts Standard</v>
      </c>
      <c r="U14" s="3" t="str">
        <f>IFERROR(__xludf.DUMMYFUNCTION("""COMPUTED_VALUE"""),"Tanque Combustible 3000 lts Standard")</f>
        <v>Tanque Combustible 3000 lts Standard</v>
      </c>
      <c r="V14" s="3" t="str">
        <f>IFERROR(__xludf.DUMMYFUNCTION("""COMPUTED_VALUE"""),"Tanque Combustible 3000 lts Alto")</f>
        <v>Tanque Combustible 3000 lts Alto</v>
      </c>
      <c r="W14" s="3" t="str">
        <f>IFERROR(__xludf.DUMMYFUNCTION("""COMPUTED_VALUE"""),"Tanque Combustible 4000 lts Standard")</f>
        <v>Tanque Combustible 4000 lts Standard</v>
      </c>
      <c r="X14" s="3" t="str">
        <f>IFERROR(__xludf.DUMMYFUNCTION("""COMPUTED_VALUE"""),"Tanque Combustible 5000 lts Standard")</f>
        <v>Tanque Combustible 5000 lts Standard</v>
      </c>
      <c r="Y14" s="3" t="str">
        <f>IFERROR(__xludf.DUMMYFUNCTION("""COMPUTED_VALUE"""),"Tanque Combustible 5000 lts Alto")</f>
        <v>Tanque Combustible 5000 lts Alto</v>
      </c>
      <c r="Z14" s="3" t="str">
        <f>IFERROR(__xludf.DUMMYFUNCTION("""COMPUTED_VALUE"""),"Tanque Combustible 2000 lts Alto")</f>
        <v>Tanque Combustible 2000 lts Alto</v>
      </c>
      <c r="AA14" s="3" t="str">
        <f>IFERROR(__xludf.DUMMYFUNCTION("""COMPUTED_VALUE"""),"Tanque Combustible 4000 lts Alto")</f>
        <v>Tanque Combustible 4000 lts Alto</v>
      </c>
      <c r="AB14" s="3" t="str">
        <f>IFERROR(__xludf.DUMMYFUNCTION("""COMPUTED_VALUE"""),"Baulera Standard - 750")</f>
        <v>Baulera Standard - 750</v>
      </c>
      <c r="AC14" s="3" t="str">
        <f>IFERROR(__xludf.DUMMYFUNCTION("""COMPUTED_VALUE"""),"Baulera Standard - 1700 - C/Laterales")</f>
        <v>Baulera Standard - 1700 - C/Laterales</v>
      </c>
      <c r="AD14" s="3" t="str">
        <f>IFERROR(__xludf.DUMMYFUNCTION("""COMPUTED_VALUE"""),"Baulera Standard - 1000 - C/Laterales")</f>
        <v>Baulera Standard - 1000 - C/Laterales</v>
      </c>
      <c r="AE14" s="3" t="str">
        <f>IFERROR(__xludf.DUMMYFUNCTION("""COMPUTED_VALUE"""),"Baulera Standard - 750 - C/Laterales")</f>
        <v>Baulera Standard - 750 - C/Laterales</v>
      </c>
      <c r="AF14" s="3" t="str">
        <f>IFERROR(__xludf.DUMMYFUNCTION("""COMPUTED_VALUE"""),"Baulera Standard - 1300 - C/Laterales")</f>
        <v>Baulera Standard - 1300 - C/Laterales</v>
      </c>
      <c r="AG14" s="3" t="str">
        <f>IFERROR(__xludf.DUMMYFUNCTION("""COMPUTED_VALUE"""),"Baulera Alta - 750")</f>
        <v>Baulera Alta - 750</v>
      </c>
      <c r="AH14" s="3" t="str">
        <f>IFERROR(__xludf.DUMMYFUNCTION("""COMPUTED_VALUE"""),"Baulera Alta - 1500 - C/Laterales")</f>
        <v>Baulera Alta - 1500 - C/Laterales</v>
      </c>
      <c r="AI14" s="3" t="str">
        <f>IFERROR(__xludf.DUMMYFUNCTION("""COMPUTED_VALUE"""),"Baulera Extendida 1700 - C/Laterales")</f>
        <v>Baulera Extendida 1700 - C/Laterales</v>
      </c>
      <c r="AJ14" s="3" t="str">
        <f>IFERROR(__xludf.DUMMYFUNCTION("""COMPUTED_VALUE"""),"Taller Móvil - 1500 x 1500 x 1700")</f>
        <v>Taller Móvil - 1500 x 1500 x 1700</v>
      </c>
      <c r="AK14" s="3" t="str">
        <f>IFERROR(__xludf.DUMMYFUNCTION("""COMPUTED_VALUE"""),"Cajón Herramientas Standard Derecho")</f>
        <v>Cajón Herramientas Standard Derecho</v>
      </c>
      <c r="AL14" s="3" t="str">
        <f>IFERROR(__xludf.DUMMYFUNCTION("""COMPUTED_VALUE"""),"Cajón Herramientas Standard Izquierdo")</f>
        <v>Cajón Herramientas Standard Izquierdo</v>
      </c>
      <c r="AM14" s="3" t="str">
        <f>IFERROR(__xludf.DUMMYFUNCTION("""COMPUTED_VALUE"""),"Cajón Herramientas Corto Derecho")</f>
        <v>Cajón Herramientas Corto Derecho</v>
      </c>
      <c r="AN14" s="3" t="str">
        <f>IFERROR(__xludf.DUMMYFUNCTION("""COMPUTED_VALUE"""),"Cajón Herramientas Corto Izquierdo")</f>
        <v>Cajón Herramientas Corto Izquierdo</v>
      </c>
      <c r="AO14" s="3" t="str">
        <f>IFERROR(__xludf.DUMMYFUNCTION("""COMPUTED_VALUE"""),"Cajón Herramientas Mediano Derecho")</f>
        <v>Cajón Herramientas Mediano Derecho</v>
      </c>
      <c r="AP14" s="3" t="str">
        <f>IFERROR(__xludf.DUMMYFUNCTION("""COMPUTED_VALUE"""),"Cajón Herramientas Mediano Izquierdo")</f>
        <v>Cajón Herramientas Mediano Izquierdo</v>
      </c>
      <c r="AQ14" s="3" t="str">
        <f>IFERROR(__xludf.DUMMYFUNCTION("""COMPUTED_VALUE"""),"Chasis Acoplado 2 Ejes L3000")</f>
        <v>Chasis Acoplado 2 Ejes L3000</v>
      </c>
      <c r="AR14" s="3" t="str">
        <f>IFERROR(__xludf.DUMMYFUNCTION("""COMPUTED_VALUE"""),"Chasis Acoplado 2 Ejes L3750")</f>
        <v>Chasis Acoplado 2 Ejes L3750</v>
      </c>
      <c r="AS14" s="3" t="str">
        <f>IFERROR(__xludf.DUMMYFUNCTION("""COMPUTED_VALUE"""),"Chasis Acoplado 2 Ejes L4000")</f>
        <v>Chasis Acoplado 2 Ejes L4000</v>
      </c>
      <c r="AT14" s="3" t="str">
        <f>IFERROR(__xludf.DUMMYFUNCTION("""COMPUTED_VALUE"""),"Chasis Acoplado 2 Ejes L4000 Reforzado")</f>
        <v>Chasis Acoplado 2 Ejes L4000 Reforzado</v>
      </c>
      <c r="AU14" s="3" t="str">
        <f>IFERROR(__xludf.DUMMYFUNCTION("""COMPUTED_VALUE"""),"Chasis Acoplado 2 Ejes L4750")</f>
        <v>Chasis Acoplado 2 Ejes L4750</v>
      </c>
      <c r="AV14" s="3" t="str">
        <f>IFERROR(__xludf.DUMMYFUNCTION("""COMPUTED_VALUE"""),"Chasis Acoplado 2 Ejes L4750 Reforzado")</f>
        <v>Chasis Acoplado 2 Ejes L4750 Reforzado</v>
      </c>
      <c r="AW14" s="3" t="str">
        <f>IFERROR(__xludf.DUMMYFUNCTION("""COMPUTED_VALUE"""),"Chasis Acoplado 2 Ejes L4750 Reforzado R. Camion")</f>
        <v>Chasis Acoplado 2 Ejes L4750 Reforzado R. Camion</v>
      </c>
      <c r="AX14" s="3" t="str">
        <f>IFERROR(__xludf.DUMMYFUNCTION("""COMPUTED_VALUE"""),"Chasis Acoplado 2 Ejes L5000")</f>
        <v>Chasis Acoplado 2 Ejes L5000</v>
      </c>
      <c r="AY14" s="3" t="str">
        <f>IFERROR(__xludf.DUMMYFUNCTION("""COMPUTED_VALUE"""),"Chasis Acoplado 2 Ejes L5750")</f>
        <v>Chasis Acoplado 2 Ejes L5750</v>
      </c>
      <c r="AZ14" s="3" t="str">
        <f>IFERROR(__xludf.DUMMYFUNCTION("""COMPUTED_VALUE"""),"Chasis Acoplado 2 Ejes L6400")</f>
        <v>Chasis Acoplado 2 Ejes L6400</v>
      </c>
      <c r="BA14" s="3" t="str">
        <f>IFERROR(__xludf.DUMMYFUNCTION("""COMPUTED_VALUE"""),"Chasis Acoplado 2 Ejes L4500")</f>
        <v>Chasis Acoplado 2 Ejes L4500</v>
      </c>
      <c r="BB14" s="3" t="str">
        <f>IFERROR(__xludf.DUMMYFUNCTION("""COMPUTED_VALUE"""),"Chasis Acoplado 1 Eje L1500")</f>
        <v>Chasis Acoplado 1 Eje L1500</v>
      </c>
      <c r="BC14" s="3" t="str">
        <f>IFERROR(__xludf.DUMMYFUNCTION("""COMPUTED_VALUE"""),"Chasis Acoplado 1 Eje L1800")</f>
        <v>Chasis Acoplado 1 Eje L1800</v>
      </c>
      <c r="BD14" s="3" t="str">
        <f>IFERROR(__xludf.DUMMYFUNCTION("""COMPUTED_VALUE"""),"Chasis Acoplado 1 Eje L1400")</f>
        <v>Chasis Acoplado 1 Eje L1400</v>
      </c>
      <c r="BE14" s="3" t="str">
        <f>IFERROR(__xludf.DUMMYFUNCTION("""COMPUTED_VALUE"""),"Chasis Acoplado Balancin L3000")</f>
        <v>Chasis Acoplado Balancin L3000</v>
      </c>
      <c r="BF14" s="3" t="str">
        <f>IFERROR(__xludf.DUMMYFUNCTION("""COMPUTED_VALUE"""),"Chasis Acoplado Balancin L3000 Lanza Corta")</f>
        <v>Chasis Acoplado Balancin L3000 Lanza Corta</v>
      </c>
      <c r="BG14" s="3" t="str">
        <f>IFERROR(__xludf.DUMMYFUNCTION("""COMPUTED_VALUE"""),"Chasis Acoplado Balancin L2000 Lanza Corta")</f>
        <v>Chasis Acoplado Balancin L2000 Lanza Corta</v>
      </c>
      <c r="BH14" s="3" t="str">
        <f>IFERROR(__xludf.DUMMYFUNCTION("""COMPUTED_VALUE"""),"Chasis Acoplado Balancin L3200 Lanza Corta")</f>
        <v>Chasis Acoplado Balancin L3200 Lanza Corta</v>
      </c>
      <c r="BI14" s="3" t="str">
        <f>IFERROR(__xludf.DUMMYFUNCTION("""COMPUTED_VALUE"""),"Chasis Acoplado Balancin L3200 Lanza Recta")</f>
        <v>Chasis Acoplado Balancin L3200 Lanza Recta</v>
      </c>
      <c r="BJ14" s="3" t="str">
        <f>IFERROR(__xludf.DUMMYFUNCTION("""COMPUTED_VALUE"""),"Chasis Acoplado Balancin L3200 Bajo Lanza Recta")</f>
        <v>Chasis Acoplado Balancin L3200 Bajo Lanza Recta</v>
      </c>
      <c r="BK14" s="3" t="str">
        <f>IFERROR(__xludf.DUMMYFUNCTION("""COMPUTED_VALUE"""),"Tanque Plastico Horizontal 750 Lts")</f>
        <v>Tanque Plastico Horizontal 750 Lts</v>
      </c>
      <c r="BL14" s="3" t="str">
        <f>IFERROR(__xludf.DUMMYFUNCTION("""COMPUTED_VALUE"""),"Medio Tanque Plastico Superior 700 Lts")</f>
        <v>Medio Tanque Plastico Superior 700 Lts</v>
      </c>
      <c r="BM14" s="3" t="str">
        <f>IFERROR(__xludf.DUMMYFUNCTION("""COMPUTED_VALUE"""),"Paquete de Elasticos 50 mm x 8 mm x 10 Hojas L850")</f>
        <v>Paquete de Elasticos 50 mm x 8 mm x 10 Hojas L850</v>
      </c>
      <c r="BN14" s="3" t="str">
        <f>IFERROR(__xludf.DUMMYFUNCTION("""COMPUTED_VALUE"""),"Paquete de Elasticos 63 mm x 8 mm x 10 Hojas L950")</f>
        <v>Paquete de Elasticos 63 mm x 8 mm x 10 Hojas L950</v>
      </c>
      <c r="BO14" s="3" t="str">
        <f>IFERROR(__xludf.DUMMYFUNCTION("""COMPUTED_VALUE"""),"Paquete de Elasticos 50 mm x 7 mm x 9 Hojas L850")</f>
        <v>Paquete de Elasticos 50 mm x 7 mm x 9 Hojas L850</v>
      </c>
      <c r="BP14" s="3" t="str">
        <f>IFERROR(__xludf.DUMMYFUNCTION("""COMPUTED_VALUE"""),"Paquete de Elasticos 63 mm x 8 mm x 8 Hojas L850")</f>
        <v>Paquete de Elasticos 63 mm x 8 mm x 8 Hojas L850</v>
      </c>
      <c r="BQ14" s="3" t="str">
        <f>IFERROR(__xludf.DUMMYFUNCTION("""COMPUTED_VALUE"""),"Paquete de Elasticos 63 mm x 10 mm x 10 Hojas L950")</f>
        <v>Paquete de Elasticos 63 mm x 10 mm x 10 Hojas L950</v>
      </c>
      <c r="BR14" s="3" t="str">
        <f>IFERROR(__xludf.DUMMYFUNCTION("""COMPUTED_VALUE"""),"Paquete de Elasticos 63 mm x 10 mm x 13 Hojas L975")</f>
        <v>Paquete de Elasticos 63 mm x 10 mm x 13 Hojas L975</v>
      </c>
      <c r="BS14" s="3" t="str">
        <f>IFERROR(__xludf.DUMMYFUNCTION("""COMPUTED_VALUE"""),"Paquete de Elasticos 50 mm x 7 mm x 9 Hojas L650")</f>
        <v>Paquete de Elasticos 50 mm x 7 mm x 9 Hojas L650</v>
      </c>
      <c r="BT14" s="3" t="str">
        <f>IFERROR(__xludf.DUMMYFUNCTION("""COMPUTED_VALUE"""),"Eje Acoplado 2"" x 1600 (06/08) Agrícola Centro 92")</f>
        <v>Eje Acoplado 2" x 1600 (06/08) Agrícola Centro 92</v>
      </c>
      <c r="BU14" s="3" t="str">
        <f>IFERROR(__xludf.DUMMYFUNCTION("""COMPUTED_VALUE"""),"Eje Acoplado 2 1/2"" x 1600 (07/09) Agrícola Centro 92")</f>
        <v>Eje Acoplado 2 1/2" x 1600 (07/09) Agrícola Centro 92</v>
      </c>
      <c r="BV14" s="3" t="str">
        <f>IFERROR(__xludf.DUMMYFUNCTION("""COMPUTED_VALUE"""),"Eje Acoplado 2 1/2"" x 1600 (09/11) Agrícola Centro 150")</f>
        <v>Eje Acoplado 2 1/2" x 1600 (09/11) Agrícola Centro 150</v>
      </c>
      <c r="BW14" s="3" t="str">
        <f>IFERROR(__xludf.DUMMYFUNCTION("""COMPUTED_VALUE"""),"Eje Acoplado 3"" x 1600 (10/13) Agrícola Centro 150")</f>
        <v>Eje Acoplado 3" x 1600 (10/13) Agrícola Centro 150</v>
      </c>
      <c r="BX14" s="3" t="str">
        <f>IFERROR(__xludf.DUMMYFUNCTION("""COMPUTED_VALUE"""),"Eje Acoplado 2 1/2"" x 2140 (07/09) Agrícola Centro 92")</f>
        <v>Eje Acoplado 2 1/2" x 2140 (07/09) Agrícola Centro 92</v>
      </c>
      <c r="BY14" s="3" t="str">
        <f>IFERROR(__xludf.DUMMYFUNCTION("""COMPUTED_VALUE"""),"Eje Acoplado 2"" x 1400 (06/08) Agrícola Centro 92")</f>
        <v>Eje Acoplado 2" x 1400 (06/08) Agrícola Centro 92</v>
      </c>
      <c r="BZ14" s="3" t="str">
        <f>IFERROR(__xludf.DUMMYFUNCTION("""COMPUTED_VALUE"""),"Eje Acoplado 2 1/2"" x 1500 (07/09) Agrícola Centro 92")</f>
        <v>Eje Acoplado 2 1/2" x 1500 (07/09) Agrícola Centro 92</v>
      </c>
      <c r="CA14" s="3" t="str">
        <f>IFERROR(__xludf.DUMMYFUNCTION("""COMPUTED_VALUE"""),"Eje Acoplado 2 1/2"" x 2000 (07/09) Agrícola Centro 92")</f>
        <v>Eje Acoplado 2 1/2" x 2000 (07/09) Agrícola Centro 92</v>
      </c>
      <c r="CB14" s="3" t="str">
        <f>IFERROR(__xludf.DUMMYFUNCTION("""COMPUTED_VALUE"""),"Eje Acoplado 2 1/2"" x 2100 (09/11) Agrícola Centro 150")</f>
        <v>Eje Acoplado 2 1/2" x 2100 (09/11) Agrícola Centro 150</v>
      </c>
      <c r="CC14" s="3" t="str">
        <f>IFERROR(__xludf.DUMMYFUNCTION("""COMPUTED_VALUE"""),"Llanta 16"" Simple Agrícola Centro 92")</f>
        <v>Llanta 16" Simple Agrícola Centro 92</v>
      </c>
      <c r="CD14" s="3" t="str">
        <f>IFERROR(__xludf.DUMMYFUNCTION("""COMPUTED_VALUE"""),"Llanta 16"" Dual Agrícola Centro 92")</f>
        <v>Llanta 16" Dual Agrícola Centro 92</v>
      </c>
      <c r="CE14" s="3" t="str">
        <f>IFERROR(__xludf.DUMMYFUNCTION("""COMPUTED_VALUE"""),"Llanta 17"" Simple Agrícola Centro 92")</f>
        <v>Llanta 17" Simple Agrícola Centro 92</v>
      </c>
      <c r="CF14" s="3" t="str">
        <f>IFERROR(__xludf.DUMMYFUNCTION("""COMPUTED_VALUE"""),"Llanta 17"" Dual Agrícola Centro 92")</f>
        <v>Llanta 17" Dual Agrícola Centro 92</v>
      </c>
      <c r="CG14" s="3" t="str">
        <f>IFERROR(__xludf.DUMMYFUNCTION("""COMPUTED_VALUE"""),"Llanta 16"" Dual Agrícola Centro 152")</f>
        <v>Llanta 16" Dual Agrícola Centro 152</v>
      </c>
      <c r="CH14" s="3" t="str">
        <f>IFERROR(__xludf.DUMMYFUNCTION("""COMPUTED_VALUE"""),"Llanta 17"" Dual Agrícola Centro 152")</f>
        <v>Llanta 17" Dual Agrícola Centro 152</v>
      </c>
      <c r="CI14" s="3" t="str">
        <f>IFERROR(__xludf.DUMMYFUNCTION("""COMPUTED_VALUE"""),"Eje Acoplado 2"" x 1600 (05/07) Agrícola Centro 92")</f>
        <v>Eje Acoplado 2" x 1600 (05/07) Agrícola Centro 92</v>
      </c>
      <c r="CJ14" s="3" t="str">
        <f>IFERROR(__xludf.DUMMYFUNCTION("""COMPUTED_VALUE"""),"Paquete de Elásticos 50 mm x 8 mm x 12 Hojas")</f>
        <v>Paquete de Elásticos 50 mm x 8 mm x 12 Hojas</v>
      </c>
      <c r="CK14" s="3" t="str">
        <f>IFERROR(__xludf.DUMMYFUNCTION("""COMPUTED_VALUE"""),"Plataforma Playo 4.00 x 1.90 x 0.45 Lateral Simple Baranda Fija")</f>
        <v>Plataforma Playo 4.00 x 1.90 x 0.45 Lateral Simple Baranda Fija</v>
      </c>
      <c r="CL14" s="3" t="str">
        <f>IFERROR(__xludf.DUMMYFUNCTION("""COMPUTED_VALUE"""),"Plataforma Playo 4.00 x 1.90 x 0.45 Lateral Simple Baranda Ventilada")</f>
        <v>Plataforma Playo 4.00 x 1.90 x 0.45 Lateral Simple Baranda Ventilada</v>
      </c>
      <c r="CM14" s="3" t="str">
        <f>IFERROR(__xludf.DUMMYFUNCTION("""COMPUTED_VALUE"""),"Plataforma Playo 4.00 x 1.90 x 0.45 Lateral Doble Baranda Ventilada")</f>
        <v>Plataforma Playo 4.00 x 1.90 x 0.45 Lateral Doble Baranda Ventilada</v>
      </c>
      <c r="CN14" s="3" t="str">
        <f>IFERROR(__xludf.DUMMYFUNCTION("""COMPUTED_VALUE"""),"Plataforma Playo 4.00 x 1.90 x 0.45 Lateral Doble Baranda Fija")</f>
        <v>Plataforma Playo 4.00 x 1.90 x 0.45 Lateral Doble Baranda Fija</v>
      </c>
      <c r="CO14" s="3" t="str">
        <f>IFERROR(__xludf.DUMMYFUNCTION("""COMPUTED_VALUE"""),"Plataforma Playo 4.00 x 1.90 x 0.72 Lateral Simple Baranda Fija")</f>
        <v>Plataforma Playo 4.00 x 1.90 x 0.72 Lateral Simple Baranda Fija</v>
      </c>
      <c r="CP14" s="3" t="str">
        <f>IFERROR(__xludf.DUMMYFUNCTION("""COMPUTED_VALUE"""),"Plataforma Playo 4.00 x 1.90 x 0.72 Lateral Doble Baranda Fija")</f>
        <v>Plataforma Playo 4.00 x 1.90 x 0.72 Lateral Doble Baranda Fija</v>
      </c>
      <c r="CQ14" s="3" t="str">
        <f>IFERROR(__xludf.DUMMYFUNCTION("""COMPUTED_VALUE"""),"Plataforma Playo 5.00 x 2.20 x 0.60 Lateral Doble Trasera Rebatible")</f>
        <v>Plataforma Playo 5.00 x 2.20 x 0.60 Lateral Doble Trasera Rebatible</v>
      </c>
      <c r="CR14" s="3" t="str">
        <f>IFERROR(__xludf.DUMMYFUNCTION("""COMPUTED_VALUE"""),"Plataforma Playo 5.00 x 2.20 x 0.60 Lateral Doble Baranda Fija C/Toldo")</f>
        <v>Plataforma Playo 5.00 x 2.20 x 0.60 Lateral Doble Baranda Fija C/Toldo</v>
      </c>
      <c r="CS14" s="3" t="str">
        <f>IFERROR(__xludf.DUMMYFUNCTION("""COMPUTED_VALUE"""),"Plataforma Playo 3.00 x 1.90 x 0.45 Lateral Simple Baranda Fija")</f>
        <v>Plataforma Playo 3.00 x 1.90 x 0.45 Lateral Simple Baranda Fija</v>
      </c>
      <c r="CT14" s="3" t="str">
        <f>IFERROR(__xludf.DUMMYFUNCTION("""COMPUTED_VALUE"""),"Plataforma Playo 3.00 x 1.90 x 0.45 Lateral Simple Baranda Ventilada")</f>
        <v>Plataforma Playo 3.00 x 1.90 x 0.45 Lateral Simple Baranda Ventilada</v>
      </c>
      <c r="CU14" s="3" t="str">
        <f>IFERROR(__xludf.DUMMYFUNCTION("""COMPUTED_VALUE"""),"Plataforma Playo 2.00 x 1.90 x 0.45 Lateral Simple Baranda Fija")</f>
        <v>Plataforma Playo 2.00 x 1.90 x 0.45 Lateral Simple Baranda Fija</v>
      </c>
      <c r="CV14" s="3" t="str">
        <f>IFERROR(__xludf.DUMMYFUNCTION("""COMPUTED_VALUE"""),"Plataforma Playo 5.00 x 1.90 x 0.60 Lateral Doble Baranda Fija")</f>
        <v>Plataforma Playo 5.00 x 1.90 x 0.60 Lateral Doble Baranda Fija</v>
      </c>
      <c r="CW14" s="3" t="str">
        <f>IFERROR(__xludf.DUMMYFUNCTION("""COMPUTED_VALUE"""),"Plataforma Playo 6.40 x 2.70 x 0.72 Lateral Doble Baranda Fija")</f>
        <v>Plataforma Playo 6.40 x 2.70 x 0.72 Lateral Doble Baranda Fija</v>
      </c>
      <c r="CX14" s="3" t="str">
        <f>IFERROR(__xludf.DUMMYFUNCTION("""COMPUTED_VALUE"""),"Chasis Acoplado Balancin L4000 Lanza Recta")</f>
        <v>Chasis Acoplado Balancin L4000 Lanza Recta</v>
      </c>
      <c r="CY14" s="3" t="str">
        <f>IFERROR(__xludf.DUMMYFUNCTION("""COMPUTED_VALUE"""),"Llanta simple Agrícola 750x20 centro 152")</f>
        <v>Llanta simple Agrícola 750x20 centro 152</v>
      </c>
      <c r="CZ14" s="3" t="str">
        <f>IFERROR(__xludf.DUMMYFUNCTION("""COMPUTED_VALUE"""),"Cajón de Herramientas Mediano adelante")</f>
        <v>Cajón de Herramientas Mediano adelante</v>
      </c>
      <c r="DA14" s="3" t="str">
        <f>IFERROR(__xludf.DUMMYFUNCTION("""COMPUTED_VALUE"""),"Llanta 15"" Simple Agrícola Centro 92")</f>
        <v>Llanta 15" Simple Agrícola Centro 92</v>
      </c>
    </row>
    <row r="15" hidden="1">
      <c r="A15" s="38">
        <f t="shared" si="1"/>
        <v>14</v>
      </c>
      <c r="B15" s="38">
        <f>IF(F15="","",SUMIF(Prearmados!E:E,F15,Prearmados!A:A))</f>
        <v>2</v>
      </c>
      <c r="C15" s="38">
        <f>IF(F15="","",SUMIF(Productos!E:E,G15,Productos!A:A))</f>
        <v>101</v>
      </c>
      <c r="D15" s="83" t="str">
        <f t="array" ref="D15">IF(OR(F15="",F15="Seleccionar.."),"",XLOOKUP(F15,Prearmados!E:E,Prearmados!F:F,"",0,1))</f>
        <v>Acoplados Rurales</v>
      </c>
      <c r="E15" s="83">
        <f>IF(H15="","",SUMIF(Precio_Productos!K:K,C15,Precio_Productos!J:J)*H15)</f>
        <v>390000</v>
      </c>
      <c r="F15" s="84" t="s">
        <v>325</v>
      </c>
      <c r="G15" s="84" t="s">
        <v>133</v>
      </c>
      <c r="H15" s="13">
        <v>1.0</v>
      </c>
      <c r="P15" s="3" t="str">
        <f>IFERROR(__xludf.DUMMYFUNCTION("IF(OR(F15="""",F15=""Seleccionar..""),"""",TRANSPOSE(FILTER(Productos!E:E,(Productos!F:F=D15)+(Productos!F:F=XLOOKUP(D15,Implementos!B:B,Implementos!C:C,""-"",0,1)))))"),"Tanque Combustible 1100 lts Bajo")</f>
        <v>Tanque Combustible 1100 lts Bajo</v>
      </c>
      <c r="Q15" s="3" t="str">
        <f>IFERROR(__xludf.DUMMYFUNCTION("""COMPUTED_VALUE"""),"Tanque Combustible 1500 lts Standard")</f>
        <v>Tanque Combustible 1500 lts Standard</v>
      </c>
      <c r="R15" s="3" t="str">
        <f>IFERROR(__xludf.DUMMYFUNCTION("""COMPUTED_VALUE"""),"Tanque Combustible 1800 lts Standard")</f>
        <v>Tanque Combustible 1800 lts Standard</v>
      </c>
      <c r="S15" s="3" t="str">
        <f>IFERROR(__xludf.DUMMYFUNCTION("""COMPUTED_VALUE"""),"Tanque Combustible 2000 lts Bajo")</f>
        <v>Tanque Combustible 2000 lts Bajo</v>
      </c>
      <c r="T15" s="3" t="str">
        <f>IFERROR(__xludf.DUMMYFUNCTION("""COMPUTED_VALUE"""),"Tanque Combustible 2000 lts Standard")</f>
        <v>Tanque Combustible 2000 lts Standard</v>
      </c>
      <c r="U15" s="3" t="str">
        <f>IFERROR(__xludf.DUMMYFUNCTION("""COMPUTED_VALUE"""),"Tanque Combustible 3000 lts Standard")</f>
        <v>Tanque Combustible 3000 lts Standard</v>
      </c>
      <c r="V15" s="3" t="str">
        <f>IFERROR(__xludf.DUMMYFUNCTION("""COMPUTED_VALUE"""),"Tanque Combustible 3000 lts Alto")</f>
        <v>Tanque Combustible 3000 lts Alto</v>
      </c>
      <c r="W15" s="3" t="str">
        <f>IFERROR(__xludf.DUMMYFUNCTION("""COMPUTED_VALUE"""),"Tanque Combustible 4000 lts Standard")</f>
        <v>Tanque Combustible 4000 lts Standard</v>
      </c>
      <c r="X15" s="3" t="str">
        <f>IFERROR(__xludf.DUMMYFUNCTION("""COMPUTED_VALUE"""),"Tanque Combustible 5000 lts Standard")</f>
        <v>Tanque Combustible 5000 lts Standard</v>
      </c>
      <c r="Y15" s="3" t="str">
        <f>IFERROR(__xludf.DUMMYFUNCTION("""COMPUTED_VALUE"""),"Tanque Combustible 5000 lts Alto")</f>
        <v>Tanque Combustible 5000 lts Alto</v>
      </c>
      <c r="Z15" s="3" t="str">
        <f>IFERROR(__xludf.DUMMYFUNCTION("""COMPUTED_VALUE"""),"Tanque Combustible 2000 lts Alto")</f>
        <v>Tanque Combustible 2000 lts Alto</v>
      </c>
      <c r="AA15" s="3" t="str">
        <f>IFERROR(__xludf.DUMMYFUNCTION("""COMPUTED_VALUE"""),"Tanque Combustible 4000 lts Alto")</f>
        <v>Tanque Combustible 4000 lts Alto</v>
      </c>
      <c r="AB15" s="3" t="str">
        <f>IFERROR(__xludf.DUMMYFUNCTION("""COMPUTED_VALUE"""),"Baulera Standard - 750")</f>
        <v>Baulera Standard - 750</v>
      </c>
      <c r="AC15" s="3" t="str">
        <f>IFERROR(__xludf.DUMMYFUNCTION("""COMPUTED_VALUE"""),"Baulera Standard - 1700 - C/Laterales")</f>
        <v>Baulera Standard - 1700 - C/Laterales</v>
      </c>
      <c r="AD15" s="3" t="str">
        <f>IFERROR(__xludf.DUMMYFUNCTION("""COMPUTED_VALUE"""),"Baulera Standard - 1000 - C/Laterales")</f>
        <v>Baulera Standard - 1000 - C/Laterales</v>
      </c>
      <c r="AE15" s="3" t="str">
        <f>IFERROR(__xludf.DUMMYFUNCTION("""COMPUTED_VALUE"""),"Baulera Standard - 750 - C/Laterales")</f>
        <v>Baulera Standard - 750 - C/Laterales</v>
      </c>
      <c r="AF15" s="3" t="str">
        <f>IFERROR(__xludf.DUMMYFUNCTION("""COMPUTED_VALUE"""),"Baulera Standard - 1300 - C/Laterales")</f>
        <v>Baulera Standard - 1300 - C/Laterales</v>
      </c>
      <c r="AG15" s="3" t="str">
        <f>IFERROR(__xludf.DUMMYFUNCTION("""COMPUTED_VALUE"""),"Baulera Alta - 750")</f>
        <v>Baulera Alta - 750</v>
      </c>
      <c r="AH15" s="3" t="str">
        <f>IFERROR(__xludf.DUMMYFUNCTION("""COMPUTED_VALUE"""),"Baulera Alta - 1500 - C/Laterales")</f>
        <v>Baulera Alta - 1500 - C/Laterales</v>
      </c>
      <c r="AI15" s="3" t="str">
        <f>IFERROR(__xludf.DUMMYFUNCTION("""COMPUTED_VALUE"""),"Baulera Extendida 1700 - C/Laterales")</f>
        <v>Baulera Extendida 1700 - C/Laterales</v>
      </c>
      <c r="AJ15" s="3" t="str">
        <f>IFERROR(__xludf.DUMMYFUNCTION("""COMPUTED_VALUE"""),"Taller Móvil - 1500 x 1500 x 1700")</f>
        <v>Taller Móvil - 1500 x 1500 x 1700</v>
      </c>
      <c r="AK15" s="3" t="str">
        <f>IFERROR(__xludf.DUMMYFUNCTION("""COMPUTED_VALUE"""),"Cajón Herramientas Standard Derecho")</f>
        <v>Cajón Herramientas Standard Derecho</v>
      </c>
      <c r="AL15" s="3" t="str">
        <f>IFERROR(__xludf.DUMMYFUNCTION("""COMPUTED_VALUE"""),"Cajón Herramientas Standard Izquierdo")</f>
        <v>Cajón Herramientas Standard Izquierdo</v>
      </c>
      <c r="AM15" s="3" t="str">
        <f>IFERROR(__xludf.DUMMYFUNCTION("""COMPUTED_VALUE"""),"Cajón Herramientas Corto Derecho")</f>
        <v>Cajón Herramientas Corto Derecho</v>
      </c>
      <c r="AN15" s="3" t="str">
        <f>IFERROR(__xludf.DUMMYFUNCTION("""COMPUTED_VALUE"""),"Cajón Herramientas Corto Izquierdo")</f>
        <v>Cajón Herramientas Corto Izquierdo</v>
      </c>
      <c r="AO15" s="3" t="str">
        <f>IFERROR(__xludf.DUMMYFUNCTION("""COMPUTED_VALUE"""),"Cajón Herramientas Mediano Derecho")</f>
        <v>Cajón Herramientas Mediano Derecho</v>
      </c>
      <c r="AP15" s="3" t="str">
        <f>IFERROR(__xludf.DUMMYFUNCTION("""COMPUTED_VALUE"""),"Cajón Herramientas Mediano Izquierdo")</f>
        <v>Cajón Herramientas Mediano Izquierdo</v>
      </c>
      <c r="AQ15" s="3" t="str">
        <f>IFERROR(__xludf.DUMMYFUNCTION("""COMPUTED_VALUE"""),"Chasis Acoplado 2 Ejes L3000")</f>
        <v>Chasis Acoplado 2 Ejes L3000</v>
      </c>
      <c r="AR15" s="3" t="str">
        <f>IFERROR(__xludf.DUMMYFUNCTION("""COMPUTED_VALUE"""),"Chasis Acoplado 2 Ejes L3750")</f>
        <v>Chasis Acoplado 2 Ejes L3750</v>
      </c>
      <c r="AS15" s="3" t="str">
        <f>IFERROR(__xludf.DUMMYFUNCTION("""COMPUTED_VALUE"""),"Chasis Acoplado 2 Ejes L4000")</f>
        <v>Chasis Acoplado 2 Ejes L4000</v>
      </c>
      <c r="AT15" s="3" t="str">
        <f>IFERROR(__xludf.DUMMYFUNCTION("""COMPUTED_VALUE"""),"Chasis Acoplado 2 Ejes L4000 Reforzado")</f>
        <v>Chasis Acoplado 2 Ejes L4000 Reforzado</v>
      </c>
      <c r="AU15" s="3" t="str">
        <f>IFERROR(__xludf.DUMMYFUNCTION("""COMPUTED_VALUE"""),"Chasis Acoplado 2 Ejes L4750")</f>
        <v>Chasis Acoplado 2 Ejes L4750</v>
      </c>
      <c r="AV15" s="3" t="str">
        <f>IFERROR(__xludf.DUMMYFUNCTION("""COMPUTED_VALUE"""),"Chasis Acoplado 2 Ejes L4750 Reforzado")</f>
        <v>Chasis Acoplado 2 Ejes L4750 Reforzado</v>
      </c>
      <c r="AW15" s="3" t="str">
        <f>IFERROR(__xludf.DUMMYFUNCTION("""COMPUTED_VALUE"""),"Chasis Acoplado 2 Ejes L4750 Reforzado R. Camion")</f>
        <v>Chasis Acoplado 2 Ejes L4750 Reforzado R. Camion</v>
      </c>
      <c r="AX15" s="3" t="str">
        <f>IFERROR(__xludf.DUMMYFUNCTION("""COMPUTED_VALUE"""),"Chasis Acoplado 2 Ejes L5000")</f>
        <v>Chasis Acoplado 2 Ejes L5000</v>
      </c>
      <c r="AY15" s="3" t="str">
        <f>IFERROR(__xludf.DUMMYFUNCTION("""COMPUTED_VALUE"""),"Chasis Acoplado 2 Ejes L5750")</f>
        <v>Chasis Acoplado 2 Ejes L5750</v>
      </c>
      <c r="AZ15" s="3" t="str">
        <f>IFERROR(__xludf.DUMMYFUNCTION("""COMPUTED_VALUE"""),"Chasis Acoplado 2 Ejes L6400")</f>
        <v>Chasis Acoplado 2 Ejes L6400</v>
      </c>
      <c r="BA15" s="3" t="str">
        <f>IFERROR(__xludf.DUMMYFUNCTION("""COMPUTED_VALUE"""),"Chasis Acoplado 2 Ejes L4500")</f>
        <v>Chasis Acoplado 2 Ejes L4500</v>
      </c>
      <c r="BB15" s="3" t="str">
        <f>IFERROR(__xludf.DUMMYFUNCTION("""COMPUTED_VALUE"""),"Chasis Acoplado 1 Eje L1500")</f>
        <v>Chasis Acoplado 1 Eje L1500</v>
      </c>
      <c r="BC15" s="3" t="str">
        <f>IFERROR(__xludf.DUMMYFUNCTION("""COMPUTED_VALUE"""),"Chasis Acoplado 1 Eje L1800")</f>
        <v>Chasis Acoplado 1 Eje L1800</v>
      </c>
      <c r="BD15" s="3" t="str">
        <f>IFERROR(__xludf.DUMMYFUNCTION("""COMPUTED_VALUE"""),"Chasis Acoplado 1 Eje L1400")</f>
        <v>Chasis Acoplado 1 Eje L1400</v>
      </c>
      <c r="BE15" s="3" t="str">
        <f>IFERROR(__xludf.DUMMYFUNCTION("""COMPUTED_VALUE"""),"Chasis Acoplado Balancin L3000")</f>
        <v>Chasis Acoplado Balancin L3000</v>
      </c>
      <c r="BF15" s="3" t="str">
        <f>IFERROR(__xludf.DUMMYFUNCTION("""COMPUTED_VALUE"""),"Chasis Acoplado Balancin L3000 Lanza Corta")</f>
        <v>Chasis Acoplado Balancin L3000 Lanza Corta</v>
      </c>
      <c r="BG15" s="3" t="str">
        <f>IFERROR(__xludf.DUMMYFUNCTION("""COMPUTED_VALUE"""),"Chasis Acoplado Balancin L2000 Lanza Corta")</f>
        <v>Chasis Acoplado Balancin L2000 Lanza Corta</v>
      </c>
      <c r="BH15" s="3" t="str">
        <f>IFERROR(__xludf.DUMMYFUNCTION("""COMPUTED_VALUE"""),"Chasis Acoplado Balancin L3200 Lanza Corta")</f>
        <v>Chasis Acoplado Balancin L3200 Lanza Corta</v>
      </c>
      <c r="BI15" s="3" t="str">
        <f>IFERROR(__xludf.DUMMYFUNCTION("""COMPUTED_VALUE"""),"Chasis Acoplado Balancin L3200 Lanza Recta")</f>
        <v>Chasis Acoplado Balancin L3200 Lanza Recta</v>
      </c>
      <c r="BJ15" s="3" t="str">
        <f>IFERROR(__xludf.DUMMYFUNCTION("""COMPUTED_VALUE"""),"Chasis Acoplado Balancin L3200 Bajo Lanza Recta")</f>
        <v>Chasis Acoplado Balancin L3200 Bajo Lanza Recta</v>
      </c>
      <c r="BK15" s="3" t="str">
        <f>IFERROR(__xludf.DUMMYFUNCTION("""COMPUTED_VALUE"""),"Tanque Plastico Horizontal 750 Lts")</f>
        <v>Tanque Plastico Horizontal 750 Lts</v>
      </c>
      <c r="BL15" s="3" t="str">
        <f>IFERROR(__xludf.DUMMYFUNCTION("""COMPUTED_VALUE"""),"Medio Tanque Plastico Superior 700 Lts")</f>
        <v>Medio Tanque Plastico Superior 700 Lts</v>
      </c>
      <c r="BM15" s="3" t="str">
        <f>IFERROR(__xludf.DUMMYFUNCTION("""COMPUTED_VALUE"""),"Paquete de Elasticos 50 mm x 8 mm x 10 Hojas L850")</f>
        <v>Paquete de Elasticos 50 mm x 8 mm x 10 Hojas L850</v>
      </c>
      <c r="BN15" s="3" t="str">
        <f>IFERROR(__xludf.DUMMYFUNCTION("""COMPUTED_VALUE"""),"Paquete de Elasticos 63 mm x 8 mm x 10 Hojas L950")</f>
        <v>Paquete de Elasticos 63 mm x 8 mm x 10 Hojas L950</v>
      </c>
      <c r="BO15" s="3" t="str">
        <f>IFERROR(__xludf.DUMMYFUNCTION("""COMPUTED_VALUE"""),"Paquete de Elasticos 50 mm x 7 mm x 9 Hojas L850")</f>
        <v>Paquete de Elasticos 50 mm x 7 mm x 9 Hojas L850</v>
      </c>
      <c r="BP15" s="3" t="str">
        <f>IFERROR(__xludf.DUMMYFUNCTION("""COMPUTED_VALUE"""),"Paquete de Elasticos 63 mm x 8 mm x 8 Hojas L850")</f>
        <v>Paquete de Elasticos 63 mm x 8 mm x 8 Hojas L850</v>
      </c>
      <c r="BQ15" s="3" t="str">
        <f>IFERROR(__xludf.DUMMYFUNCTION("""COMPUTED_VALUE"""),"Paquete de Elasticos 63 mm x 10 mm x 10 Hojas L950")</f>
        <v>Paquete de Elasticos 63 mm x 10 mm x 10 Hojas L950</v>
      </c>
      <c r="BR15" s="3" t="str">
        <f>IFERROR(__xludf.DUMMYFUNCTION("""COMPUTED_VALUE"""),"Paquete de Elasticos 63 mm x 10 mm x 13 Hojas L975")</f>
        <v>Paquete de Elasticos 63 mm x 10 mm x 13 Hojas L975</v>
      </c>
      <c r="BS15" s="3" t="str">
        <f>IFERROR(__xludf.DUMMYFUNCTION("""COMPUTED_VALUE"""),"Paquete de Elasticos 50 mm x 7 mm x 9 Hojas L650")</f>
        <v>Paquete de Elasticos 50 mm x 7 mm x 9 Hojas L650</v>
      </c>
      <c r="BT15" s="3" t="str">
        <f>IFERROR(__xludf.DUMMYFUNCTION("""COMPUTED_VALUE"""),"Eje Acoplado 2"" x 1600 (06/08) Agrícola Centro 92")</f>
        <v>Eje Acoplado 2" x 1600 (06/08) Agrícola Centro 92</v>
      </c>
      <c r="BU15" s="3" t="str">
        <f>IFERROR(__xludf.DUMMYFUNCTION("""COMPUTED_VALUE"""),"Eje Acoplado 2 1/2"" x 1600 (07/09) Agrícola Centro 92")</f>
        <v>Eje Acoplado 2 1/2" x 1600 (07/09) Agrícola Centro 92</v>
      </c>
      <c r="BV15" s="3" t="str">
        <f>IFERROR(__xludf.DUMMYFUNCTION("""COMPUTED_VALUE"""),"Eje Acoplado 2 1/2"" x 1600 (09/11) Agrícola Centro 150")</f>
        <v>Eje Acoplado 2 1/2" x 1600 (09/11) Agrícola Centro 150</v>
      </c>
      <c r="BW15" s="3" t="str">
        <f>IFERROR(__xludf.DUMMYFUNCTION("""COMPUTED_VALUE"""),"Eje Acoplado 3"" x 1600 (10/13) Agrícola Centro 150")</f>
        <v>Eje Acoplado 3" x 1600 (10/13) Agrícola Centro 150</v>
      </c>
      <c r="BX15" s="3" t="str">
        <f>IFERROR(__xludf.DUMMYFUNCTION("""COMPUTED_VALUE"""),"Eje Acoplado 2 1/2"" x 2140 (07/09) Agrícola Centro 92")</f>
        <v>Eje Acoplado 2 1/2" x 2140 (07/09) Agrícola Centro 92</v>
      </c>
      <c r="BY15" s="3" t="str">
        <f>IFERROR(__xludf.DUMMYFUNCTION("""COMPUTED_VALUE"""),"Eje Acoplado 2"" x 1400 (06/08) Agrícola Centro 92")</f>
        <v>Eje Acoplado 2" x 1400 (06/08) Agrícola Centro 92</v>
      </c>
      <c r="BZ15" s="3" t="str">
        <f>IFERROR(__xludf.DUMMYFUNCTION("""COMPUTED_VALUE"""),"Eje Acoplado 2 1/2"" x 1500 (07/09) Agrícola Centro 92")</f>
        <v>Eje Acoplado 2 1/2" x 1500 (07/09) Agrícola Centro 92</v>
      </c>
      <c r="CA15" s="3" t="str">
        <f>IFERROR(__xludf.DUMMYFUNCTION("""COMPUTED_VALUE"""),"Eje Acoplado 2 1/2"" x 2000 (07/09) Agrícola Centro 92")</f>
        <v>Eje Acoplado 2 1/2" x 2000 (07/09) Agrícola Centro 92</v>
      </c>
      <c r="CB15" s="3" t="str">
        <f>IFERROR(__xludf.DUMMYFUNCTION("""COMPUTED_VALUE"""),"Eje Acoplado 2 1/2"" x 2100 (09/11) Agrícola Centro 150")</f>
        <v>Eje Acoplado 2 1/2" x 2100 (09/11) Agrícola Centro 150</v>
      </c>
      <c r="CC15" s="3" t="str">
        <f>IFERROR(__xludf.DUMMYFUNCTION("""COMPUTED_VALUE"""),"Llanta 16"" Simple Agrícola Centro 92")</f>
        <v>Llanta 16" Simple Agrícola Centro 92</v>
      </c>
      <c r="CD15" s="3" t="str">
        <f>IFERROR(__xludf.DUMMYFUNCTION("""COMPUTED_VALUE"""),"Llanta 16"" Dual Agrícola Centro 92")</f>
        <v>Llanta 16" Dual Agrícola Centro 92</v>
      </c>
      <c r="CE15" s="3" t="str">
        <f>IFERROR(__xludf.DUMMYFUNCTION("""COMPUTED_VALUE"""),"Llanta 17"" Simple Agrícola Centro 92")</f>
        <v>Llanta 17" Simple Agrícola Centro 92</v>
      </c>
      <c r="CF15" s="3" t="str">
        <f>IFERROR(__xludf.DUMMYFUNCTION("""COMPUTED_VALUE"""),"Llanta 17"" Dual Agrícola Centro 92")</f>
        <v>Llanta 17" Dual Agrícola Centro 92</v>
      </c>
      <c r="CG15" s="3" t="str">
        <f>IFERROR(__xludf.DUMMYFUNCTION("""COMPUTED_VALUE"""),"Llanta 16"" Dual Agrícola Centro 152")</f>
        <v>Llanta 16" Dual Agrícola Centro 152</v>
      </c>
      <c r="CH15" s="3" t="str">
        <f>IFERROR(__xludf.DUMMYFUNCTION("""COMPUTED_VALUE"""),"Llanta 17"" Dual Agrícola Centro 152")</f>
        <v>Llanta 17" Dual Agrícola Centro 152</v>
      </c>
      <c r="CI15" s="3" t="str">
        <f>IFERROR(__xludf.DUMMYFUNCTION("""COMPUTED_VALUE"""),"Eje Acoplado 2"" x 1600 (05/07) Agrícola Centro 92")</f>
        <v>Eje Acoplado 2" x 1600 (05/07) Agrícola Centro 92</v>
      </c>
      <c r="CJ15" s="3" t="str">
        <f>IFERROR(__xludf.DUMMYFUNCTION("""COMPUTED_VALUE"""),"Paquete de Elásticos 50 mm x 8 mm x 12 Hojas")</f>
        <v>Paquete de Elásticos 50 mm x 8 mm x 12 Hojas</v>
      </c>
      <c r="CK15" s="3" t="str">
        <f>IFERROR(__xludf.DUMMYFUNCTION("""COMPUTED_VALUE"""),"Plataforma Playo 4.00 x 1.90 x 0.45 Lateral Simple Baranda Fija")</f>
        <v>Plataforma Playo 4.00 x 1.90 x 0.45 Lateral Simple Baranda Fija</v>
      </c>
      <c r="CL15" s="3" t="str">
        <f>IFERROR(__xludf.DUMMYFUNCTION("""COMPUTED_VALUE"""),"Plataforma Playo 4.00 x 1.90 x 0.45 Lateral Simple Baranda Ventilada")</f>
        <v>Plataforma Playo 4.00 x 1.90 x 0.45 Lateral Simple Baranda Ventilada</v>
      </c>
      <c r="CM15" s="3" t="str">
        <f>IFERROR(__xludf.DUMMYFUNCTION("""COMPUTED_VALUE"""),"Plataforma Playo 4.00 x 1.90 x 0.45 Lateral Doble Baranda Ventilada")</f>
        <v>Plataforma Playo 4.00 x 1.90 x 0.45 Lateral Doble Baranda Ventilada</v>
      </c>
      <c r="CN15" s="3" t="str">
        <f>IFERROR(__xludf.DUMMYFUNCTION("""COMPUTED_VALUE"""),"Plataforma Playo 4.00 x 1.90 x 0.45 Lateral Doble Baranda Fija")</f>
        <v>Plataforma Playo 4.00 x 1.90 x 0.45 Lateral Doble Baranda Fija</v>
      </c>
      <c r="CO15" s="3" t="str">
        <f>IFERROR(__xludf.DUMMYFUNCTION("""COMPUTED_VALUE"""),"Plataforma Playo 4.00 x 1.90 x 0.72 Lateral Simple Baranda Fija")</f>
        <v>Plataforma Playo 4.00 x 1.90 x 0.72 Lateral Simple Baranda Fija</v>
      </c>
      <c r="CP15" s="3" t="str">
        <f>IFERROR(__xludf.DUMMYFUNCTION("""COMPUTED_VALUE"""),"Plataforma Playo 4.00 x 1.90 x 0.72 Lateral Doble Baranda Fija")</f>
        <v>Plataforma Playo 4.00 x 1.90 x 0.72 Lateral Doble Baranda Fija</v>
      </c>
      <c r="CQ15" s="3" t="str">
        <f>IFERROR(__xludf.DUMMYFUNCTION("""COMPUTED_VALUE"""),"Plataforma Playo 5.00 x 2.20 x 0.60 Lateral Doble Trasera Rebatible")</f>
        <v>Plataforma Playo 5.00 x 2.20 x 0.60 Lateral Doble Trasera Rebatible</v>
      </c>
      <c r="CR15" s="3" t="str">
        <f>IFERROR(__xludf.DUMMYFUNCTION("""COMPUTED_VALUE"""),"Plataforma Playo 5.00 x 2.20 x 0.60 Lateral Doble Baranda Fija C/Toldo")</f>
        <v>Plataforma Playo 5.00 x 2.20 x 0.60 Lateral Doble Baranda Fija C/Toldo</v>
      </c>
      <c r="CS15" s="3" t="str">
        <f>IFERROR(__xludf.DUMMYFUNCTION("""COMPUTED_VALUE"""),"Plataforma Playo 3.00 x 1.90 x 0.45 Lateral Simple Baranda Fija")</f>
        <v>Plataforma Playo 3.00 x 1.90 x 0.45 Lateral Simple Baranda Fija</v>
      </c>
      <c r="CT15" s="3" t="str">
        <f>IFERROR(__xludf.DUMMYFUNCTION("""COMPUTED_VALUE"""),"Plataforma Playo 3.00 x 1.90 x 0.45 Lateral Simple Baranda Ventilada")</f>
        <v>Plataforma Playo 3.00 x 1.90 x 0.45 Lateral Simple Baranda Ventilada</v>
      </c>
      <c r="CU15" s="3" t="str">
        <f>IFERROR(__xludf.DUMMYFUNCTION("""COMPUTED_VALUE"""),"Plataforma Playo 2.00 x 1.90 x 0.45 Lateral Simple Baranda Fija")</f>
        <v>Plataforma Playo 2.00 x 1.90 x 0.45 Lateral Simple Baranda Fija</v>
      </c>
      <c r="CV15" s="3" t="str">
        <f>IFERROR(__xludf.DUMMYFUNCTION("""COMPUTED_VALUE"""),"Plataforma Playo 5.00 x 1.90 x 0.60 Lateral Doble Baranda Fija")</f>
        <v>Plataforma Playo 5.00 x 1.90 x 0.60 Lateral Doble Baranda Fija</v>
      </c>
      <c r="CW15" s="3" t="str">
        <f>IFERROR(__xludf.DUMMYFUNCTION("""COMPUTED_VALUE"""),"Plataforma Playo 6.40 x 2.70 x 0.72 Lateral Doble Baranda Fija")</f>
        <v>Plataforma Playo 6.40 x 2.70 x 0.72 Lateral Doble Baranda Fija</v>
      </c>
      <c r="CX15" s="3" t="str">
        <f>IFERROR(__xludf.DUMMYFUNCTION("""COMPUTED_VALUE"""),"Chasis Acoplado Balancin L4000 Lanza Recta")</f>
        <v>Chasis Acoplado Balancin L4000 Lanza Recta</v>
      </c>
      <c r="CY15" s="3" t="str">
        <f>IFERROR(__xludf.DUMMYFUNCTION("""COMPUTED_VALUE"""),"Llanta simple Agrícola 750x20 centro 152")</f>
        <v>Llanta simple Agrícola 750x20 centro 152</v>
      </c>
      <c r="CZ15" s="3" t="str">
        <f>IFERROR(__xludf.DUMMYFUNCTION("""COMPUTED_VALUE"""),"Cajón de Herramientas Mediano adelante")</f>
        <v>Cajón de Herramientas Mediano adelante</v>
      </c>
      <c r="DA15" s="3" t="str">
        <f>IFERROR(__xludf.DUMMYFUNCTION("""COMPUTED_VALUE"""),"Llanta 15"" Simple Agrícola Centro 92")</f>
        <v>Llanta 15" Simple Agrícola Centro 92</v>
      </c>
    </row>
    <row r="16" hidden="1">
      <c r="A16" s="38">
        <f t="shared" si="1"/>
        <v>15</v>
      </c>
      <c r="B16" s="38">
        <f>IF(F16="","",SUMIF(Prearmados!E:E,F16,Prearmados!A:A))</f>
        <v>2</v>
      </c>
      <c r="C16" s="38">
        <f>IF(F16="","",SUMIF(Productos!E:E,G16,Productos!A:A))</f>
        <v>100</v>
      </c>
      <c r="D16" s="83" t="str">
        <f t="array" ref="D16">IF(OR(F16="",F16="Seleccionar.."),"",XLOOKUP(F16,Prearmados!E:E,Prearmados!F:F,"",0,1))</f>
        <v>Acoplados Rurales</v>
      </c>
      <c r="E16" s="83">
        <f>IF(H16="","",SUMIF(Precio_Productos!K:K,C16,Precio_Productos!J:J)*H16)</f>
        <v>202800</v>
      </c>
      <c r="F16" s="84" t="s">
        <v>325</v>
      </c>
      <c r="G16" s="84" t="s">
        <v>127</v>
      </c>
      <c r="H16" s="13">
        <v>2.0</v>
      </c>
      <c r="P16" s="3" t="str">
        <f>IFERROR(__xludf.DUMMYFUNCTION("IF(OR(F16="""",F16=""Seleccionar..""),"""",TRANSPOSE(FILTER(Productos!E:E,(Productos!F:F=D16)+(Productos!F:F=XLOOKUP(D16,Implementos!B:B,Implementos!C:C,""-"",0,1)))))"),"Tanque Combustible 1100 lts Bajo")</f>
        <v>Tanque Combustible 1100 lts Bajo</v>
      </c>
      <c r="Q16" s="3" t="str">
        <f>IFERROR(__xludf.DUMMYFUNCTION("""COMPUTED_VALUE"""),"Tanque Combustible 1500 lts Standard")</f>
        <v>Tanque Combustible 1500 lts Standard</v>
      </c>
      <c r="R16" s="3" t="str">
        <f>IFERROR(__xludf.DUMMYFUNCTION("""COMPUTED_VALUE"""),"Tanque Combustible 1800 lts Standard")</f>
        <v>Tanque Combustible 1800 lts Standard</v>
      </c>
      <c r="S16" s="3" t="str">
        <f>IFERROR(__xludf.DUMMYFUNCTION("""COMPUTED_VALUE"""),"Tanque Combustible 2000 lts Bajo")</f>
        <v>Tanque Combustible 2000 lts Bajo</v>
      </c>
      <c r="T16" s="3" t="str">
        <f>IFERROR(__xludf.DUMMYFUNCTION("""COMPUTED_VALUE"""),"Tanque Combustible 2000 lts Standard")</f>
        <v>Tanque Combustible 2000 lts Standard</v>
      </c>
      <c r="U16" s="3" t="str">
        <f>IFERROR(__xludf.DUMMYFUNCTION("""COMPUTED_VALUE"""),"Tanque Combustible 3000 lts Standard")</f>
        <v>Tanque Combustible 3000 lts Standard</v>
      </c>
      <c r="V16" s="3" t="str">
        <f>IFERROR(__xludf.DUMMYFUNCTION("""COMPUTED_VALUE"""),"Tanque Combustible 3000 lts Alto")</f>
        <v>Tanque Combustible 3000 lts Alto</v>
      </c>
      <c r="W16" s="3" t="str">
        <f>IFERROR(__xludf.DUMMYFUNCTION("""COMPUTED_VALUE"""),"Tanque Combustible 4000 lts Standard")</f>
        <v>Tanque Combustible 4000 lts Standard</v>
      </c>
      <c r="X16" s="3" t="str">
        <f>IFERROR(__xludf.DUMMYFUNCTION("""COMPUTED_VALUE"""),"Tanque Combustible 5000 lts Standard")</f>
        <v>Tanque Combustible 5000 lts Standard</v>
      </c>
      <c r="Y16" s="3" t="str">
        <f>IFERROR(__xludf.DUMMYFUNCTION("""COMPUTED_VALUE"""),"Tanque Combustible 5000 lts Alto")</f>
        <v>Tanque Combustible 5000 lts Alto</v>
      </c>
      <c r="Z16" s="3" t="str">
        <f>IFERROR(__xludf.DUMMYFUNCTION("""COMPUTED_VALUE"""),"Tanque Combustible 2000 lts Alto")</f>
        <v>Tanque Combustible 2000 lts Alto</v>
      </c>
      <c r="AA16" s="3" t="str">
        <f>IFERROR(__xludf.DUMMYFUNCTION("""COMPUTED_VALUE"""),"Tanque Combustible 4000 lts Alto")</f>
        <v>Tanque Combustible 4000 lts Alto</v>
      </c>
      <c r="AB16" s="3" t="str">
        <f>IFERROR(__xludf.DUMMYFUNCTION("""COMPUTED_VALUE"""),"Baulera Standard - 750")</f>
        <v>Baulera Standard - 750</v>
      </c>
      <c r="AC16" s="3" t="str">
        <f>IFERROR(__xludf.DUMMYFUNCTION("""COMPUTED_VALUE"""),"Baulera Standard - 1700 - C/Laterales")</f>
        <v>Baulera Standard - 1700 - C/Laterales</v>
      </c>
      <c r="AD16" s="3" t="str">
        <f>IFERROR(__xludf.DUMMYFUNCTION("""COMPUTED_VALUE"""),"Baulera Standard - 1000 - C/Laterales")</f>
        <v>Baulera Standard - 1000 - C/Laterales</v>
      </c>
      <c r="AE16" s="3" t="str">
        <f>IFERROR(__xludf.DUMMYFUNCTION("""COMPUTED_VALUE"""),"Baulera Standard - 750 - C/Laterales")</f>
        <v>Baulera Standard - 750 - C/Laterales</v>
      </c>
      <c r="AF16" s="3" t="str">
        <f>IFERROR(__xludf.DUMMYFUNCTION("""COMPUTED_VALUE"""),"Baulera Standard - 1300 - C/Laterales")</f>
        <v>Baulera Standard - 1300 - C/Laterales</v>
      </c>
      <c r="AG16" s="3" t="str">
        <f>IFERROR(__xludf.DUMMYFUNCTION("""COMPUTED_VALUE"""),"Baulera Alta - 750")</f>
        <v>Baulera Alta - 750</v>
      </c>
      <c r="AH16" s="3" t="str">
        <f>IFERROR(__xludf.DUMMYFUNCTION("""COMPUTED_VALUE"""),"Baulera Alta - 1500 - C/Laterales")</f>
        <v>Baulera Alta - 1500 - C/Laterales</v>
      </c>
      <c r="AI16" s="3" t="str">
        <f>IFERROR(__xludf.DUMMYFUNCTION("""COMPUTED_VALUE"""),"Baulera Extendida 1700 - C/Laterales")</f>
        <v>Baulera Extendida 1700 - C/Laterales</v>
      </c>
      <c r="AJ16" s="3" t="str">
        <f>IFERROR(__xludf.DUMMYFUNCTION("""COMPUTED_VALUE"""),"Taller Móvil - 1500 x 1500 x 1700")</f>
        <v>Taller Móvil - 1500 x 1500 x 1700</v>
      </c>
      <c r="AK16" s="3" t="str">
        <f>IFERROR(__xludf.DUMMYFUNCTION("""COMPUTED_VALUE"""),"Cajón Herramientas Standard Derecho")</f>
        <v>Cajón Herramientas Standard Derecho</v>
      </c>
      <c r="AL16" s="3" t="str">
        <f>IFERROR(__xludf.DUMMYFUNCTION("""COMPUTED_VALUE"""),"Cajón Herramientas Standard Izquierdo")</f>
        <v>Cajón Herramientas Standard Izquierdo</v>
      </c>
      <c r="AM16" s="3" t="str">
        <f>IFERROR(__xludf.DUMMYFUNCTION("""COMPUTED_VALUE"""),"Cajón Herramientas Corto Derecho")</f>
        <v>Cajón Herramientas Corto Derecho</v>
      </c>
      <c r="AN16" s="3" t="str">
        <f>IFERROR(__xludf.DUMMYFUNCTION("""COMPUTED_VALUE"""),"Cajón Herramientas Corto Izquierdo")</f>
        <v>Cajón Herramientas Corto Izquierdo</v>
      </c>
      <c r="AO16" s="3" t="str">
        <f>IFERROR(__xludf.DUMMYFUNCTION("""COMPUTED_VALUE"""),"Cajón Herramientas Mediano Derecho")</f>
        <v>Cajón Herramientas Mediano Derecho</v>
      </c>
      <c r="AP16" s="3" t="str">
        <f>IFERROR(__xludf.DUMMYFUNCTION("""COMPUTED_VALUE"""),"Cajón Herramientas Mediano Izquierdo")</f>
        <v>Cajón Herramientas Mediano Izquierdo</v>
      </c>
      <c r="AQ16" s="3" t="str">
        <f>IFERROR(__xludf.DUMMYFUNCTION("""COMPUTED_VALUE"""),"Chasis Acoplado 2 Ejes L3000")</f>
        <v>Chasis Acoplado 2 Ejes L3000</v>
      </c>
      <c r="AR16" s="3" t="str">
        <f>IFERROR(__xludf.DUMMYFUNCTION("""COMPUTED_VALUE"""),"Chasis Acoplado 2 Ejes L3750")</f>
        <v>Chasis Acoplado 2 Ejes L3750</v>
      </c>
      <c r="AS16" s="3" t="str">
        <f>IFERROR(__xludf.DUMMYFUNCTION("""COMPUTED_VALUE"""),"Chasis Acoplado 2 Ejes L4000")</f>
        <v>Chasis Acoplado 2 Ejes L4000</v>
      </c>
      <c r="AT16" s="3" t="str">
        <f>IFERROR(__xludf.DUMMYFUNCTION("""COMPUTED_VALUE"""),"Chasis Acoplado 2 Ejes L4000 Reforzado")</f>
        <v>Chasis Acoplado 2 Ejes L4000 Reforzado</v>
      </c>
      <c r="AU16" s="3" t="str">
        <f>IFERROR(__xludf.DUMMYFUNCTION("""COMPUTED_VALUE"""),"Chasis Acoplado 2 Ejes L4750")</f>
        <v>Chasis Acoplado 2 Ejes L4750</v>
      </c>
      <c r="AV16" s="3" t="str">
        <f>IFERROR(__xludf.DUMMYFUNCTION("""COMPUTED_VALUE"""),"Chasis Acoplado 2 Ejes L4750 Reforzado")</f>
        <v>Chasis Acoplado 2 Ejes L4750 Reforzado</v>
      </c>
      <c r="AW16" s="3" t="str">
        <f>IFERROR(__xludf.DUMMYFUNCTION("""COMPUTED_VALUE"""),"Chasis Acoplado 2 Ejes L4750 Reforzado R. Camion")</f>
        <v>Chasis Acoplado 2 Ejes L4750 Reforzado R. Camion</v>
      </c>
      <c r="AX16" s="3" t="str">
        <f>IFERROR(__xludf.DUMMYFUNCTION("""COMPUTED_VALUE"""),"Chasis Acoplado 2 Ejes L5000")</f>
        <v>Chasis Acoplado 2 Ejes L5000</v>
      </c>
      <c r="AY16" s="3" t="str">
        <f>IFERROR(__xludf.DUMMYFUNCTION("""COMPUTED_VALUE"""),"Chasis Acoplado 2 Ejes L5750")</f>
        <v>Chasis Acoplado 2 Ejes L5750</v>
      </c>
      <c r="AZ16" s="3" t="str">
        <f>IFERROR(__xludf.DUMMYFUNCTION("""COMPUTED_VALUE"""),"Chasis Acoplado 2 Ejes L6400")</f>
        <v>Chasis Acoplado 2 Ejes L6400</v>
      </c>
      <c r="BA16" s="3" t="str">
        <f>IFERROR(__xludf.DUMMYFUNCTION("""COMPUTED_VALUE"""),"Chasis Acoplado 2 Ejes L4500")</f>
        <v>Chasis Acoplado 2 Ejes L4500</v>
      </c>
      <c r="BB16" s="3" t="str">
        <f>IFERROR(__xludf.DUMMYFUNCTION("""COMPUTED_VALUE"""),"Chasis Acoplado 1 Eje L1500")</f>
        <v>Chasis Acoplado 1 Eje L1500</v>
      </c>
      <c r="BC16" s="3" t="str">
        <f>IFERROR(__xludf.DUMMYFUNCTION("""COMPUTED_VALUE"""),"Chasis Acoplado 1 Eje L1800")</f>
        <v>Chasis Acoplado 1 Eje L1800</v>
      </c>
      <c r="BD16" s="3" t="str">
        <f>IFERROR(__xludf.DUMMYFUNCTION("""COMPUTED_VALUE"""),"Chasis Acoplado 1 Eje L1400")</f>
        <v>Chasis Acoplado 1 Eje L1400</v>
      </c>
      <c r="BE16" s="3" t="str">
        <f>IFERROR(__xludf.DUMMYFUNCTION("""COMPUTED_VALUE"""),"Chasis Acoplado Balancin L3000")</f>
        <v>Chasis Acoplado Balancin L3000</v>
      </c>
      <c r="BF16" s="3" t="str">
        <f>IFERROR(__xludf.DUMMYFUNCTION("""COMPUTED_VALUE"""),"Chasis Acoplado Balancin L3000 Lanza Corta")</f>
        <v>Chasis Acoplado Balancin L3000 Lanza Corta</v>
      </c>
      <c r="BG16" s="3" t="str">
        <f>IFERROR(__xludf.DUMMYFUNCTION("""COMPUTED_VALUE"""),"Chasis Acoplado Balancin L2000 Lanza Corta")</f>
        <v>Chasis Acoplado Balancin L2000 Lanza Corta</v>
      </c>
      <c r="BH16" s="3" t="str">
        <f>IFERROR(__xludf.DUMMYFUNCTION("""COMPUTED_VALUE"""),"Chasis Acoplado Balancin L3200 Lanza Corta")</f>
        <v>Chasis Acoplado Balancin L3200 Lanza Corta</v>
      </c>
      <c r="BI16" s="3" t="str">
        <f>IFERROR(__xludf.DUMMYFUNCTION("""COMPUTED_VALUE"""),"Chasis Acoplado Balancin L3200 Lanza Recta")</f>
        <v>Chasis Acoplado Balancin L3200 Lanza Recta</v>
      </c>
      <c r="BJ16" s="3" t="str">
        <f>IFERROR(__xludf.DUMMYFUNCTION("""COMPUTED_VALUE"""),"Chasis Acoplado Balancin L3200 Bajo Lanza Recta")</f>
        <v>Chasis Acoplado Balancin L3200 Bajo Lanza Recta</v>
      </c>
      <c r="BK16" s="3" t="str">
        <f>IFERROR(__xludf.DUMMYFUNCTION("""COMPUTED_VALUE"""),"Tanque Plastico Horizontal 750 Lts")</f>
        <v>Tanque Plastico Horizontal 750 Lts</v>
      </c>
      <c r="BL16" s="3" t="str">
        <f>IFERROR(__xludf.DUMMYFUNCTION("""COMPUTED_VALUE"""),"Medio Tanque Plastico Superior 700 Lts")</f>
        <v>Medio Tanque Plastico Superior 700 Lts</v>
      </c>
      <c r="BM16" s="3" t="str">
        <f>IFERROR(__xludf.DUMMYFUNCTION("""COMPUTED_VALUE"""),"Paquete de Elasticos 50 mm x 8 mm x 10 Hojas L850")</f>
        <v>Paquete de Elasticos 50 mm x 8 mm x 10 Hojas L850</v>
      </c>
      <c r="BN16" s="3" t="str">
        <f>IFERROR(__xludf.DUMMYFUNCTION("""COMPUTED_VALUE"""),"Paquete de Elasticos 63 mm x 8 mm x 10 Hojas L950")</f>
        <v>Paquete de Elasticos 63 mm x 8 mm x 10 Hojas L950</v>
      </c>
      <c r="BO16" s="3" t="str">
        <f>IFERROR(__xludf.DUMMYFUNCTION("""COMPUTED_VALUE"""),"Paquete de Elasticos 50 mm x 7 mm x 9 Hojas L850")</f>
        <v>Paquete de Elasticos 50 mm x 7 mm x 9 Hojas L850</v>
      </c>
      <c r="BP16" s="3" t="str">
        <f>IFERROR(__xludf.DUMMYFUNCTION("""COMPUTED_VALUE"""),"Paquete de Elasticos 63 mm x 8 mm x 8 Hojas L850")</f>
        <v>Paquete de Elasticos 63 mm x 8 mm x 8 Hojas L850</v>
      </c>
      <c r="BQ16" s="3" t="str">
        <f>IFERROR(__xludf.DUMMYFUNCTION("""COMPUTED_VALUE"""),"Paquete de Elasticos 63 mm x 10 mm x 10 Hojas L950")</f>
        <v>Paquete de Elasticos 63 mm x 10 mm x 10 Hojas L950</v>
      </c>
      <c r="BR16" s="3" t="str">
        <f>IFERROR(__xludf.DUMMYFUNCTION("""COMPUTED_VALUE"""),"Paquete de Elasticos 63 mm x 10 mm x 13 Hojas L975")</f>
        <v>Paquete de Elasticos 63 mm x 10 mm x 13 Hojas L975</v>
      </c>
      <c r="BS16" s="3" t="str">
        <f>IFERROR(__xludf.DUMMYFUNCTION("""COMPUTED_VALUE"""),"Paquete de Elasticos 50 mm x 7 mm x 9 Hojas L650")</f>
        <v>Paquete de Elasticos 50 mm x 7 mm x 9 Hojas L650</v>
      </c>
      <c r="BT16" s="3" t="str">
        <f>IFERROR(__xludf.DUMMYFUNCTION("""COMPUTED_VALUE"""),"Eje Acoplado 2"" x 1600 (06/08) Agrícola Centro 92")</f>
        <v>Eje Acoplado 2" x 1600 (06/08) Agrícola Centro 92</v>
      </c>
      <c r="BU16" s="3" t="str">
        <f>IFERROR(__xludf.DUMMYFUNCTION("""COMPUTED_VALUE"""),"Eje Acoplado 2 1/2"" x 1600 (07/09) Agrícola Centro 92")</f>
        <v>Eje Acoplado 2 1/2" x 1600 (07/09) Agrícola Centro 92</v>
      </c>
      <c r="BV16" s="3" t="str">
        <f>IFERROR(__xludf.DUMMYFUNCTION("""COMPUTED_VALUE"""),"Eje Acoplado 2 1/2"" x 1600 (09/11) Agrícola Centro 150")</f>
        <v>Eje Acoplado 2 1/2" x 1600 (09/11) Agrícola Centro 150</v>
      </c>
      <c r="BW16" s="3" t="str">
        <f>IFERROR(__xludf.DUMMYFUNCTION("""COMPUTED_VALUE"""),"Eje Acoplado 3"" x 1600 (10/13) Agrícola Centro 150")</f>
        <v>Eje Acoplado 3" x 1600 (10/13) Agrícola Centro 150</v>
      </c>
      <c r="BX16" s="3" t="str">
        <f>IFERROR(__xludf.DUMMYFUNCTION("""COMPUTED_VALUE"""),"Eje Acoplado 2 1/2"" x 2140 (07/09) Agrícola Centro 92")</f>
        <v>Eje Acoplado 2 1/2" x 2140 (07/09) Agrícola Centro 92</v>
      </c>
      <c r="BY16" s="3" t="str">
        <f>IFERROR(__xludf.DUMMYFUNCTION("""COMPUTED_VALUE"""),"Eje Acoplado 2"" x 1400 (06/08) Agrícola Centro 92")</f>
        <v>Eje Acoplado 2" x 1400 (06/08) Agrícola Centro 92</v>
      </c>
      <c r="BZ16" s="3" t="str">
        <f>IFERROR(__xludf.DUMMYFUNCTION("""COMPUTED_VALUE"""),"Eje Acoplado 2 1/2"" x 1500 (07/09) Agrícola Centro 92")</f>
        <v>Eje Acoplado 2 1/2" x 1500 (07/09) Agrícola Centro 92</v>
      </c>
      <c r="CA16" s="3" t="str">
        <f>IFERROR(__xludf.DUMMYFUNCTION("""COMPUTED_VALUE"""),"Eje Acoplado 2 1/2"" x 2000 (07/09) Agrícola Centro 92")</f>
        <v>Eje Acoplado 2 1/2" x 2000 (07/09) Agrícola Centro 92</v>
      </c>
      <c r="CB16" s="3" t="str">
        <f>IFERROR(__xludf.DUMMYFUNCTION("""COMPUTED_VALUE"""),"Eje Acoplado 2 1/2"" x 2100 (09/11) Agrícola Centro 150")</f>
        <v>Eje Acoplado 2 1/2" x 2100 (09/11) Agrícola Centro 150</v>
      </c>
      <c r="CC16" s="3" t="str">
        <f>IFERROR(__xludf.DUMMYFUNCTION("""COMPUTED_VALUE"""),"Llanta 16"" Simple Agrícola Centro 92")</f>
        <v>Llanta 16" Simple Agrícola Centro 92</v>
      </c>
      <c r="CD16" s="3" t="str">
        <f>IFERROR(__xludf.DUMMYFUNCTION("""COMPUTED_VALUE"""),"Llanta 16"" Dual Agrícola Centro 92")</f>
        <v>Llanta 16" Dual Agrícola Centro 92</v>
      </c>
      <c r="CE16" s="3" t="str">
        <f>IFERROR(__xludf.DUMMYFUNCTION("""COMPUTED_VALUE"""),"Llanta 17"" Simple Agrícola Centro 92")</f>
        <v>Llanta 17" Simple Agrícola Centro 92</v>
      </c>
      <c r="CF16" s="3" t="str">
        <f>IFERROR(__xludf.DUMMYFUNCTION("""COMPUTED_VALUE"""),"Llanta 17"" Dual Agrícola Centro 92")</f>
        <v>Llanta 17" Dual Agrícola Centro 92</v>
      </c>
      <c r="CG16" s="3" t="str">
        <f>IFERROR(__xludf.DUMMYFUNCTION("""COMPUTED_VALUE"""),"Llanta 16"" Dual Agrícola Centro 152")</f>
        <v>Llanta 16" Dual Agrícola Centro 152</v>
      </c>
      <c r="CH16" s="3" t="str">
        <f>IFERROR(__xludf.DUMMYFUNCTION("""COMPUTED_VALUE"""),"Llanta 17"" Dual Agrícola Centro 152")</f>
        <v>Llanta 17" Dual Agrícola Centro 152</v>
      </c>
      <c r="CI16" s="3" t="str">
        <f>IFERROR(__xludf.DUMMYFUNCTION("""COMPUTED_VALUE"""),"Eje Acoplado 2"" x 1600 (05/07) Agrícola Centro 92")</f>
        <v>Eje Acoplado 2" x 1600 (05/07) Agrícola Centro 92</v>
      </c>
      <c r="CJ16" s="3" t="str">
        <f>IFERROR(__xludf.DUMMYFUNCTION("""COMPUTED_VALUE"""),"Paquete de Elásticos 50 mm x 8 mm x 12 Hojas")</f>
        <v>Paquete de Elásticos 50 mm x 8 mm x 12 Hojas</v>
      </c>
      <c r="CK16" s="3" t="str">
        <f>IFERROR(__xludf.DUMMYFUNCTION("""COMPUTED_VALUE"""),"Plataforma Playo 4.00 x 1.90 x 0.45 Lateral Simple Baranda Fija")</f>
        <v>Plataforma Playo 4.00 x 1.90 x 0.45 Lateral Simple Baranda Fija</v>
      </c>
      <c r="CL16" s="3" t="str">
        <f>IFERROR(__xludf.DUMMYFUNCTION("""COMPUTED_VALUE"""),"Plataforma Playo 4.00 x 1.90 x 0.45 Lateral Simple Baranda Ventilada")</f>
        <v>Plataforma Playo 4.00 x 1.90 x 0.45 Lateral Simple Baranda Ventilada</v>
      </c>
      <c r="CM16" s="3" t="str">
        <f>IFERROR(__xludf.DUMMYFUNCTION("""COMPUTED_VALUE"""),"Plataforma Playo 4.00 x 1.90 x 0.45 Lateral Doble Baranda Ventilada")</f>
        <v>Plataforma Playo 4.00 x 1.90 x 0.45 Lateral Doble Baranda Ventilada</v>
      </c>
      <c r="CN16" s="3" t="str">
        <f>IFERROR(__xludf.DUMMYFUNCTION("""COMPUTED_VALUE"""),"Plataforma Playo 4.00 x 1.90 x 0.45 Lateral Doble Baranda Fija")</f>
        <v>Plataforma Playo 4.00 x 1.90 x 0.45 Lateral Doble Baranda Fija</v>
      </c>
      <c r="CO16" s="3" t="str">
        <f>IFERROR(__xludf.DUMMYFUNCTION("""COMPUTED_VALUE"""),"Plataforma Playo 4.00 x 1.90 x 0.72 Lateral Simple Baranda Fija")</f>
        <v>Plataforma Playo 4.00 x 1.90 x 0.72 Lateral Simple Baranda Fija</v>
      </c>
      <c r="CP16" s="3" t="str">
        <f>IFERROR(__xludf.DUMMYFUNCTION("""COMPUTED_VALUE"""),"Plataforma Playo 4.00 x 1.90 x 0.72 Lateral Doble Baranda Fija")</f>
        <v>Plataforma Playo 4.00 x 1.90 x 0.72 Lateral Doble Baranda Fija</v>
      </c>
      <c r="CQ16" s="3" t="str">
        <f>IFERROR(__xludf.DUMMYFUNCTION("""COMPUTED_VALUE"""),"Plataforma Playo 5.00 x 2.20 x 0.60 Lateral Doble Trasera Rebatible")</f>
        <v>Plataforma Playo 5.00 x 2.20 x 0.60 Lateral Doble Trasera Rebatible</v>
      </c>
      <c r="CR16" s="3" t="str">
        <f>IFERROR(__xludf.DUMMYFUNCTION("""COMPUTED_VALUE"""),"Plataforma Playo 5.00 x 2.20 x 0.60 Lateral Doble Baranda Fija C/Toldo")</f>
        <v>Plataforma Playo 5.00 x 2.20 x 0.60 Lateral Doble Baranda Fija C/Toldo</v>
      </c>
      <c r="CS16" s="3" t="str">
        <f>IFERROR(__xludf.DUMMYFUNCTION("""COMPUTED_VALUE"""),"Plataforma Playo 3.00 x 1.90 x 0.45 Lateral Simple Baranda Fija")</f>
        <v>Plataforma Playo 3.00 x 1.90 x 0.45 Lateral Simple Baranda Fija</v>
      </c>
      <c r="CT16" s="3" t="str">
        <f>IFERROR(__xludf.DUMMYFUNCTION("""COMPUTED_VALUE"""),"Plataforma Playo 3.00 x 1.90 x 0.45 Lateral Simple Baranda Ventilada")</f>
        <v>Plataforma Playo 3.00 x 1.90 x 0.45 Lateral Simple Baranda Ventilada</v>
      </c>
      <c r="CU16" s="3" t="str">
        <f>IFERROR(__xludf.DUMMYFUNCTION("""COMPUTED_VALUE"""),"Plataforma Playo 2.00 x 1.90 x 0.45 Lateral Simple Baranda Fija")</f>
        <v>Plataforma Playo 2.00 x 1.90 x 0.45 Lateral Simple Baranda Fija</v>
      </c>
      <c r="CV16" s="3" t="str">
        <f>IFERROR(__xludf.DUMMYFUNCTION("""COMPUTED_VALUE"""),"Plataforma Playo 5.00 x 1.90 x 0.60 Lateral Doble Baranda Fija")</f>
        <v>Plataforma Playo 5.00 x 1.90 x 0.60 Lateral Doble Baranda Fija</v>
      </c>
      <c r="CW16" s="3" t="str">
        <f>IFERROR(__xludf.DUMMYFUNCTION("""COMPUTED_VALUE"""),"Plataforma Playo 6.40 x 2.70 x 0.72 Lateral Doble Baranda Fija")</f>
        <v>Plataforma Playo 6.40 x 2.70 x 0.72 Lateral Doble Baranda Fija</v>
      </c>
      <c r="CX16" s="3" t="str">
        <f>IFERROR(__xludf.DUMMYFUNCTION("""COMPUTED_VALUE"""),"Chasis Acoplado Balancin L4000 Lanza Recta")</f>
        <v>Chasis Acoplado Balancin L4000 Lanza Recta</v>
      </c>
      <c r="CY16" s="3" t="str">
        <f>IFERROR(__xludf.DUMMYFUNCTION("""COMPUTED_VALUE"""),"Llanta simple Agrícola 750x20 centro 152")</f>
        <v>Llanta simple Agrícola 750x20 centro 152</v>
      </c>
      <c r="CZ16" s="3" t="str">
        <f>IFERROR(__xludf.DUMMYFUNCTION("""COMPUTED_VALUE"""),"Cajón de Herramientas Mediano adelante")</f>
        <v>Cajón de Herramientas Mediano adelante</v>
      </c>
      <c r="DA16" s="3" t="str">
        <f>IFERROR(__xludf.DUMMYFUNCTION("""COMPUTED_VALUE"""),"Llanta 15"" Simple Agrícola Centro 92")</f>
        <v>Llanta 15" Simple Agrícola Centro 92</v>
      </c>
    </row>
    <row r="17" hidden="1">
      <c r="A17" s="38">
        <f t="shared" si="1"/>
        <v>16</v>
      </c>
      <c r="B17" s="38">
        <f>IF(F17="","",SUMIF(Prearmados!E:E,F17,Prearmados!A:A))</f>
        <v>3</v>
      </c>
      <c r="C17" s="38">
        <f>IF(F17="","",SUMIF(Productos!E:E,G17,Productos!A:A))</f>
        <v>47</v>
      </c>
      <c r="D17" s="83" t="str">
        <f t="array" ref="D17">IF(OR(F17="",F17="Seleccionar.."),"",XLOOKUP(F17,Prearmados!E:E,Prearmados!F:F,"",0,1))</f>
        <v>Acoplados Rurales</v>
      </c>
      <c r="E17" s="83">
        <f>IF(H17="","",SUMIF(Precio_Productos!K:K,C17,Precio_Productos!J:J)*H17)</f>
        <v>1800000</v>
      </c>
      <c r="F17" s="84" t="s">
        <v>326</v>
      </c>
      <c r="G17" s="84" t="s">
        <v>70</v>
      </c>
      <c r="H17" s="13">
        <v>1.0</v>
      </c>
      <c r="P17" s="3" t="str">
        <f>IFERROR(__xludf.DUMMYFUNCTION("IF(OR(F17="""",F17=""Seleccionar..""),"""",TRANSPOSE(FILTER(Productos!E:E,(Productos!F:F=D17)+(Productos!F:F=XLOOKUP(D17,Implementos!B:B,Implementos!C:C,""-"",0,1)))))"),"Tanque Combustible 1100 lts Bajo")</f>
        <v>Tanque Combustible 1100 lts Bajo</v>
      </c>
      <c r="Q17" s="3" t="str">
        <f>IFERROR(__xludf.DUMMYFUNCTION("""COMPUTED_VALUE"""),"Tanque Combustible 1500 lts Standard")</f>
        <v>Tanque Combustible 1500 lts Standard</v>
      </c>
      <c r="R17" s="3" t="str">
        <f>IFERROR(__xludf.DUMMYFUNCTION("""COMPUTED_VALUE"""),"Tanque Combustible 1800 lts Standard")</f>
        <v>Tanque Combustible 1800 lts Standard</v>
      </c>
      <c r="S17" s="3" t="str">
        <f>IFERROR(__xludf.DUMMYFUNCTION("""COMPUTED_VALUE"""),"Tanque Combustible 2000 lts Bajo")</f>
        <v>Tanque Combustible 2000 lts Bajo</v>
      </c>
      <c r="T17" s="3" t="str">
        <f>IFERROR(__xludf.DUMMYFUNCTION("""COMPUTED_VALUE"""),"Tanque Combustible 2000 lts Standard")</f>
        <v>Tanque Combustible 2000 lts Standard</v>
      </c>
      <c r="U17" s="3" t="str">
        <f>IFERROR(__xludf.DUMMYFUNCTION("""COMPUTED_VALUE"""),"Tanque Combustible 3000 lts Standard")</f>
        <v>Tanque Combustible 3000 lts Standard</v>
      </c>
      <c r="V17" s="3" t="str">
        <f>IFERROR(__xludf.DUMMYFUNCTION("""COMPUTED_VALUE"""),"Tanque Combustible 3000 lts Alto")</f>
        <v>Tanque Combustible 3000 lts Alto</v>
      </c>
      <c r="W17" s="3" t="str">
        <f>IFERROR(__xludf.DUMMYFUNCTION("""COMPUTED_VALUE"""),"Tanque Combustible 4000 lts Standard")</f>
        <v>Tanque Combustible 4000 lts Standard</v>
      </c>
      <c r="X17" s="3" t="str">
        <f>IFERROR(__xludf.DUMMYFUNCTION("""COMPUTED_VALUE"""),"Tanque Combustible 5000 lts Standard")</f>
        <v>Tanque Combustible 5000 lts Standard</v>
      </c>
      <c r="Y17" s="3" t="str">
        <f>IFERROR(__xludf.DUMMYFUNCTION("""COMPUTED_VALUE"""),"Tanque Combustible 5000 lts Alto")</f>
        <v>Tanque Combustible 5000 lts Alto</v>
      </c>
      <c r="Z17" s="3" t="str">
        <f>IFERROR(__xludf.DUMMYFUNCTION("""COMPUTED_VALUE"""),"Tanque Combustible 2000 lts Alto")</f>
        <v>Tanque Combustible 2000 lts Alto</v>
      </c>
      <c r="AA17" s="3" t="str">
        <f>IFERROR(__xludf.DUMMYFUNCTION("""COMPUTED_VALUE"""),"Tanque Combustible 4000 lts Alto")</f>
        <v>Tanque Combustible 4000 lts Alto</v>
      </c>
      <c r="AB17" s="3" t="str">
        <f>IFERROR(__xludf.DUMMYFUNCTION("""COMPUTED_VALUE"""),"Baulera Standard - 750")</f>
        <v>Baulera Standard - 750</v>
      </c>
      <c r="AC17" s="3" t="str">
        <f>IFERROR(__xludf.DUMMYFUNCTION("""COMPUTED_VALUE"""),"Baulera Standard - 1700 - C/Laterales")</f>
        <v>Baulera Standard - 1700 - C/Laterales</v>
      </c>
      <c r="AD17" s="3" t="str">
        <f>IFERROR(__xludf.DUMMYFUNCTION("""COMPUTED_VALUE"""),"Baulera Standard - 1000 - C/Laterales")</f>
        <v>Baulera Standard - 1000 - C/Laterales</v>
      </c>
      <c r="AE17" s="3" t="str">
        <f>IFERROR(__xludf.DUMMYFUNCTION("""COMPUTED_VALUE"""),"Baulera Standard - 750 - C/Laterales")</f>
        <v>Baulera Standard - 750 - C/Laterales</v>
      </c>
      <c r="AF17" s="3" t="str">
        <f>IFERROR(__xludf.DUMMYFUNCTION("""COMPUTED_VALUE"""),"Baulera Standard - 1300 - C/Laterales")</f>
        <v>Baulera Standard - 1300 - C/Laterales</v>
      </c>
      <c r="AG17" s="3" t="str">
        <f>IFERROR(__xludf.DUMMYFUNCTION("""COMPUTED_VALUE"""),"Baulera Alta - 750")</f>
        <v>Baulera Alta - 750</v>
      </c>
      <c r="AH17" s="3" t="str">
        <f>IFERROR(__xludf.DUMMYFUNCTION("""COMPUTED_VALUE"""),"Baulera Alta - 1500 - C/Laterales")</f>
        <v>Baulera Alta - 1500 - C/Laterales</v>
      </c>
      <c r="AI17" s="3" t="str">
        <f>IFERROR(__xludf.DUMMYFUNCTION("""COMPUTED_VALUE"""),"Baulera Extendida 1700 - C/Laterales")</f>
        <v>Baulera Extendida 1700 - C/Laterales</v>
      </c>
      <c r="AJ17" s="3" t="str">
        <f>IFERROR(__xludf.DUMMYFUNCTION("""COMPUTED_VALUE"""),"Taller Móvil - 1500 x 1500 x 1700")</f>
        <v>Taller Móvil - 1500 x 1500 x 1700</v>
      </c>
      <c r="AK17" s="3" t="str">
        <f>IFERROR(__xludf.DUMMYFUNCTION("""COMPUTED_VALUE"""),"Cajón Herramientas Standard Derecho")</f>
        <v>Cajón Herramientas Standard Derecho</v>
      </c>
      <c r="AL17" s="3" t="str">
        <f>IFERROR(__xludf.DUMMYFUNCTION("""COMPUTED_VALUE"""),"Cajón Herramientas Standard Izquierdo")</f>
        <v>Cajón Herramientas Standard Izquierdo</v>
      </c>
      <c r="AM17" s="3" t="str">
        <f>IFERROR(__xludf.DUMMYFUNCTION("""COMPUTED_VALUE"""),"Cajón Herramientas Corto Derecho")</f>
        <v>Cajón Herramientas Corto Derecho</v>
      </c>
      <c r="AN17" s="3" t="str">
        <f>IFERROR(__xludf.DUMMYFUNCTION("""COMPUTED_VALUE"""),"Cajón Herramientas Corto Izquierdo")</f>
        <v>Cajón Herramientas Corto Izquierdo</v>
      </c>
      <c r="AO17" s="3" t="str">
        <f>IFERROR(__xludf.DUMMYFUNCTION("""COMPUTED_VALUE"""),"Cajón Herramientas Mediano Derecho")</f>
        <v>Cajón Herramientas Mediano Derecho</v>
      </c>
      <c r="AP17" s="3" t="str">
        <f>IFERROR(__xludf.DUMMYFUNCTION("""COMPUTED_VALUE"""),"Cajón Herramientas Mediano Izquierdo")</f>
        <v>Cajón Herramientas Mediano Izquierdo</v>
      </c>
      <c r="AQ17" s="3" t="str">
        <f>IFERROR(__xludf.DUMMYFUNCTION("""COMPUTED_VALUE"""),"Chasis Acoplado 2 Ejes L3000")</f>
        <v>Chasis Acoplado 2 Ejes L3000</v>
      </c>
      <c r="AR17" s="3" t="str">
        <f>IFERROR(__xludf.DUMMYFUNCTION("""COMPUTED_VALUE"""),"Chasis Acoplado 2 Ejes L3750")</f>
        <v>Chasis Acoplado 2 Ejes L3750</v>
      </c>
      <c r="AS17" s="3" t="str">
        <f>IFERROR(__xludf.DUMMYFUNCTION("""COMPUTED_VALUE"""),"Chasis Acoplado 2 Ejes L4000")</f>
        <v>Chasis Acoplado 2 Ejes L4000</v>
      </c>
      <c r="AT17" s="3" t="str">
        <f>IFERROR(__xludf.DUMMYFUNCTION("""COMPUTED_VALUE"""),"Chasis Acoplado 2 Ejes L4000 Reforzado")</f>
        <v>Chasis Acoplado 2 Ejes L4000 Reforzado</v>
      </c>
      <c r="AU17" s="3" t="str">
        <f>IFERROR(__xludf.DUMMYFUNCTION("""COMPUTED_VALUE"""),"Chasis Acoplado 2 Ejes L4750")</f>
        <v>Chasis Acoplado 2 Ejes L4750</v>
      </c>
      <c r="AV17" s="3" t="str">
        <f>IFERROR(__xludf.DUMMYFUNCTION("""COMPUTED_VALUE"""),"Chasis Acoplado 2 Ejes L4750 Reforzado")</f>
        <v>Chasis Acoplado 2 Ejes L4750 Reforzado</v>
      </c>
      <c r="AW17" s="3" t="str">
        <f>IFERROR(__xludf.DUMMYFUNCTION("""COMPUTED_VALUE"""),"Chasis Acoplado 2 Ejes L4750 Reforzado R. Camion")</f>
        <v>Chasis Acoplado 2 Ejes L4750 Reforzado R. Camion</v>
      </c>
      <c r="AX17" s="3" t="str">
        <f>IFERROR(__xludf.DUMMYFUNCTION("""COMPUTED_VALUE"""),"Chasis Acoplado 2 Ejes L5000")</f>
        <v>Chasis Acoplado 2 Ejes L5000</v>
      </c>
      <c r="AY17" s="3" t="str">
        <f>IFERROR(__xludf.DUMMYFUNCTION("""COMPUTED_VALUE"""),"Chasis Acoplado 2 Ejes L5750")</f>
        <v>Chasis Acoplado 2 Ejes L5750</v>
      </c>
      <c r="AZ17" s="3" t="str">
        <f>IFERROR(__xludf.DUMMYFUNCTION("""COMPUTED_VALUE"""),"Chasis Acoplado 2 Ejes L6400")</f>
        <v>Chasis Acoplado 2 Ejes L6400</v>
      </c>
      <c r="BA17" s="3" t="str">
        <f>IFERROR(__xludf.DUMMYFUNCTION("""COMPUTED_VALUE"""),"Chasis Acoplado 2 Ejes L4500")</f>
        <v>Chasis Acoplado 2 Ejes L4500</v>
      </c>
      <c r="BB17" s="3" t="str">
        <f>IFERROR(__xludf.DUMMYFUNCTION("""COMPUTED_VALUE"""),"Chasis Acoplado 1 Eje L1500")</f>
        <v>Chasis Acoplado 1 Eje L1500</v>
      </c>
      <c r="BC17" s="3" t="str">
        <f>IFERROR(__xludf.DUMMYFUNCTION("""COMPUTED_VALUE"""),"Chasis Acoplado 1 Eje L1800")</f>
        <v>Chasis Acoplado 1 Eje L1800</v>
      </c>
      <c r="BD17" s="3" t="str">
        <f>IFERROR(__xludf.DUMMYFUNCTION("""COMPUTED_VALUE"""),"Chasis Acoplado 1 Eje L1400")</f>
        <v>Chasis Acoplado 1 Eje L1400</v>
      </c>
      <c r="BE17" s="3" t="str">
        <f>IFERROR(__xludf.DUMMYFUNCTION("""COMPUTED_VALUE"""),"Chasis Acoplado Balancin L3000")</f>
        <v>Chasis Acoplado Balancin L3000</v>
      </c>
      <c r="BF17" s="3" t="str">
        <f>IFERROR(__xludf.DUMMYFUNCTION("""COMPUTED_VALUE"""),"Chasis Acoplado Balancin L3000 Lanza Corta")</f>
        <v>Chasis Acoplado Balancin L3000 Lanza Corta</v>
      </c>
      <c r="BG17" s="3" t="str">
        <f>IFERROR(__xludf.DUMMYFUNCTION("""COMPUTED_VALUE"""),"Chasis Acoplado Balancin L2000 Lanza Corta")</f>
        <v>Chasis Acoplado Balancin L2000 Lanza Corta</v>
      </c>
      <c r="BH17" s="3" t="str">
        <f>IFERROR(__xludf.DUMMYFUNCTION("""COMPUTED_VALUE"""),"Chasis Acoplado Balancin L3200 Lanza Corta")</f>
        <v>Chasis Acoplado Balancin L3200 Lanza Corta</v>
      </c>
      <c r="BI17" s="3" t="str">
        <f>IFERROR(__xludf.DUMMYFUNCTION("""COMPUTED_VALUE"""),"Chasis Acoplado Balancin L3200 Lanza Recta")</f>
        <v>Chasis Acoplado Balancin L3200 Lanza Recta</v>
      </c>
      <c r="BJ17" s="3" t="str">
        <f>IFERROR(__xludf.DUMMYFUNCTION("""COMPUTED_VALUE"""),"Chasis Acoplado Balancin L3200 Bajo Lanza Recta")</f>
        <v>Chasis Acoplado Balancin L3200 Bajo Lanza Recta</v>
      </c>
      <c r="BK17" s="3" t="str">
        <f>IFERROR(__xludf.DUMMYFUNCTION("""COMPUTED_VALUE"""),"Tanque Plastico Horizontal 750 Lts")</f>
        <v>Tanque Plastico Horizontal 750 Lts</v>
      </c>
      <c r="BL17" s="3" t="str">
        <f>IFERROR(__xludf.DUMMYFUNCTION("""COMPUTED_VALUE"""),"Medio Tanque Plastico Superior 700 Lts")</f>
        <v>Medio Tanque Plastico Superior 700 Lts</v>
      </c>
      <c r="BM17" s="3" t="str">
        <f>IFERROR(__xludf.DUMMYFUNCTION("""COMPUTED_VALUE"""),"Paquete de Elasticos 50 mm x 8 mm x 10 Hojas L850")</f>
        <v>Paquete de Elasticos 50 mm x 8 mm x 10 Hojas L850</v>
      </c>
      <c r="BN17" s="3" t="str">
        <f>IFERROR(__xludf.DUMMYFUNCTION("""COMPUTED_VALUE"""),"Paquete de Elasticos 63 mm x 8 mm x 10 Hojas L950")</f>
        <v>Paquete de Elasticos 63 mm x 8 mm x 10 Hojas L950</v>
      </c>
      <c r="BO17" s="3" t="str">
        <f>IFERROR(__xludf.DUMMYFUNCTION("""COMPUTED_VALUE"""),"Paquete de Elasticos 50 mm x 7 mm x 9 Hojas L850")</f>
        <v>Paquete de Elasticos 50 mm x 7 mm x 9 Hojas L850</v>
      </c>
      <c r="BP17" s="3" t="str">
        <f>IFERROR(__xludf.DUMMYFUNCTION("""COMPUTED_VALUE"""),"Paquete de Elasticos 63 mm x 8 mm x 8 Hojas L850")</f>
        <v>Paquete de Elasticos 63 mm x 8 mm x 8 Hojas L850</v>
      </c>
      <c r="BQ17" s="3" t="str">
        <f>IFERROR(__xludf.DUMMYFUNCTION("""COMPUTED_VALUE"""),"Paquete de Elasticos 63 mm x 10 mm x 10 Hojas L950")</f>
        <v>Paquete de Elasticos 63 mm x 10 mm x 10 Hojas L950</v>
      </c>
      <c r="BR17" s="3" t="str">
        <f>IFERROR(__xludf.DUMMYFUNCTION("""COMPUTED_VALUE"""),"Paquete de Elasticos 63 mm x 10 mm x 13 Hojas L975")</f>
        <v>Paquete de Elasticos 63 mm x 10 mm x 13 Hojas L975</v>
      </c>
      <c r="BS17" s="3" t="str">
        <f>IFERROR(__xludf.DUMMYFUNCTION("""COMPUTED_VALUE"""),"Paquete de Elasticos 50 mm x 7 mm x 9 Hojas L650")</f>
        <v>Paquete de Elasticos 50 mm x 7 mm x 9 Hojas L650</v>
      </c>
      <c r="BT17" s="3" t="str">
        <f>IFERROR(__xludf.DUMMYFUNCTION("""COMPUTED_VALUE"""),"Eje Acoplado 2"" x 1600 (06/08) Agrícola Centro 92")</f>
        <v>Eje Acoplado 2" x 1600 (06/08) Agrícola Centro 92</v>
      </c>
      <c r="BU17" s="3" t="str">
        <f>IFERROR(__xludf.DUMMYFUNCTION("""COMPUTED_VALUE"""),"Eje Acoplado 2 1/2"" x 1600 (07/09) Agrícola Centro 92")</f>
        <v>Eje Acoplado 2 1/2" x 1600 (07/09) Agrícola Centro 92</v>
      </c>
      <c r="BV17" s="3" t="str">
        <f>IFERROR(__xludf.DUMMYFUNCTION("""COMPUTED_VALUE"""),"Eje Acoplado 2 1/2"" x 1600 (09/11) Agrícola Centro 150")</f>
        <v>Eje Acoplado 2 1/2" x 1600 (09/11) Agrícola Centro 150</v>
      </c>
      <c r="BW17" s="3" t="str">
        <f>IFERROR(__xludf.DUMMYFUNCTION("""COMPUTED_VALUE"""),"Eje Acoplado 3"" x 1600 (10/13) Agrícola Centro 150")</f>
        <v>Eje Acoplado 3" x 1600 (10/13) Agrícola Centro 150</v>
      </c>
      <c r="BX17" s="3" t="str">
        <f>IFERROR(__xludf.DUMMYFUNCTION("""COMPUTED_VALUE"""),"Eje Acoplado 2 1/2"" x 2140 (07/09) Agrícola Centro 92")</f>
        <v>Eje Acoplado 2 1/2" x 2140 (07/09) Agrícola Centro 92</v>
      </c>
      <c r="BY17" s="3" t="str">
        <f>IFERROR(__xludf.DUMMYFUNCTION("""COMPUTED_VALUE"""),"Eje Acoplado 2"" x 1400 (06/08) Agrícola Centro 92")</f>
        <v>Eje Acoplado 2" x 1400 (06/08) Agrícola Centro 92</v>
      </c>
      <c r="BZ17" s="3" t="str">
        <f>IFERROR(__xludf.DUMMYFUNCTION("""COMPUTED_VALUE"""),"Eje Acoplado 2 1/2"" x 1500 (07/09) Agrícola Centro 92")</f>
        <v>Eje Acoplado 2 1/2" x 1500 (07/09) Agrícola Centro 92</v>
      </c>
      <c r="CA17" s="3" t="str">
        <f>IFERROR(__xludf.DUMMYFUNCTION("""COMPUTED_VALUE"""),"Eje Acoplado 2 1/2"" x 2000 (07/09) Agrícola Centro 92")</f>
        <v>Eje Acoplado 2 1/2" x 2000 (07/09) Agrícola Centro 92</v>
      </c>
      <c r="CB17" s="3" t="str">
        <f>IFERROR(__xludf.DUMMYFUNCTION("""COMPUTED_VALUE"""),"Eje Acoplado 2 1/2"" x 2100 (09/11) Agrícola Centro 150")</f>
        <v>Eje Acoplado 2 1/2" x 2100 (09/11) Agrícola Centro 150</v>
      </c>
      <c r="CC17" s="3" t="str">
        <f>IFERROR(__xludf.DUMMYFUNCTION("""COMPUTED_VALUE"""),"Llanta 16"" Simple Agrícola Centro 92")</f>
        <v>Llanta 16" Simple Agrícola Centro 92</v>
      </c>
      <c r="CD17" s="3" t="str">
        <f>IFERROR(__xludf.DUMMYFUNCTION("""COMPUTED_VALUE"""),"Llanta 16"" Dual Agrícola Centro 92")</f>
        <v>Llanta 16" Dual Agrícola Centro 92</v>
      </c>
      <c r="CE17" s="3" t="str">
        <f>IFERROR(__xludf.DUMMYFUNCTION("""COMPUTED_VALUE"""),"Llanta 17"" Simple Agrícola Centro 92")</f>
        <v>Llanta 17" Simple Agrícola Centro 92</v>
      </c>
      <c r="CF17" s="3" t="str">
        <f>IFERROR(__xludf.DUMMYFUNCTION("""COMPUTED_VALUE"""),"Llanta 17"" Dual Agrícola Centro 92")</f>
        <v>Llanta 17" Dual Agrícola Centro 92</v>
      </c>
      <c r="CG17" s="3" t="str">
        <f>IFERROR(__xludf.DUMMYFUNCTION("""COMPUTED_VALUE"""),"Llanta 16"" Dual Agrícola Centro 152")</f>
        <v>Llanta 16" Dual Agrícola Centro 152</v>
      </c>
      <c r="CH17" s="3" t="str">
        <f>IFERROR(__xludf.DUMMYFUNCTION("""COMPUTED_VALUE"""),"Llanta 17"" Dual Agrícola Centro 152")</f>
        <v>Llanta 17" Dual Agrícola Centro 152</v>
      </c>
      <c r="CI17" s="3" t="str">
        <f>IFERROR(__xludf.DUMMYFUNCTION("""COMPUTED_VALUE"""),"Eje Acoplado 2"" x 1600 (05/07) Agrícola Centro 92")</f>
        <v>Eje Acoplado 2" x 1600 (05/07) Agrícola Centro 92</v>
      </c>
      <c r="CJ17" s="3" t="str">
        <f>IFERROR(__xludf.DUMMYFUNCTION("""COMPUTED_VALUE"""),"Paquete de Elásticos 50 mm x 8 mm x 12 Hojas")</f>
        <v>Paquete de Elásticos 50 mm x 8 mm x 12 Hojas</v>
      </c>
      <c r="CK17" s="3" t="str">
        <f>IFERROR(__xludf.DUMMYFUNCTION("""COMPUTED_VALUE"""),"Plataforma Playo 4.00 x 1.90 x 0.45 Lateral Simple Baranda Fija")</f>
        <v>Plataforma Playo 4.00 x 1.90 x 0.45 Lateral Simple Baranda Fija</v>
      </c>
      <c r="CL17" s="3" t="str">
        <f>IFERROR(__xludf.DUMMYFUNCTION("""COMPUTED_VALUE"""),"Plataforma Playo 4.00 x 1.90 x 0.45 Lateral Simple Baranda Ventilada")</f>
        <v>Plataforma Playo 4.00 x 1.90 x 0.45 Lateral Simple Baranda Ventilada</v>
      </c>
      <c r="CM17" s="3" t="str">
        <f>IFERROR(__xludf.DUMMYFUNCTION("""COMPUTED_VALUE"""),"Plataforma Playo 4.00 x 1.90 x 0.45 Lateral Doble Baranda Ventilada")</f>
        <v>Plataforma Playo 4.00 x 1.90 x 0.45 Lateral Doble Baranda Ventilada</v>
      </c>
      <c r="CN17" s="3" t="str">
        <f>IFERROR(__xludf.DUMMYFUNCTION("""COMPUTED_VALUE"""),"Plataforma Playo 4.00 x 1.90 x 0.45 Lateral Doble Baranda Fija")</f>
        <v>Plataforma Playo 4.00 x 1.90 x 0.45 Lateral Doble Baranda Fija</v>
      </c>
      <c r="CO17" s="3" t="str">
        <f>IFERROR(__xludf.DUMMYFUNCTION("""COMPUTED_VALUE"""),"Plataforma Playo 4.00 x 1.90 x 0.72 Lateral Simple Baranda Fija")</f>
        <v>Plataforma Playo 4.00 x 1.90 x 0.72 Lateral Simple Baranda Fija</v>
      </c>
      <c r="CP17" s="3" t="str">
        <f>IFERROR(__xludf.DUMMYFUNCTION("""COMPUTED_VALUE"""),"Plataforma Playo 4.00 x 1.90 x 0.72 Lateral Doble Baranda Fija")</f>
        <v>Plataforma Playo 4.00 x 1.90 x 0.72 Lateral Doble Baranda Fija</v>
      </c>
      <c r="CQ17" s="3" t="str">
        <f>IFERROR(__xludf.DUMMYFUNCTION("""COMPUTED_VALUE"""),"Plataforma Playo 5.00 x 2.20 x 0.60 Lateral Doble Trasera Rebatible")</f>
        <v>Plataforma Playo 5.00 x 2.20 x 0.60 Lateral Doble Trasera Rebatible</v>
      </c>
      <c r="CR17" s="3" t="str">
        <f>IFERROR(__xludf.DUMMYFUNCTION("""COMPUTED_VALUE"""),"Plataforma Playo 5.00 x 2.20 x 0.60 Lateral Doble Baranda Fija C/Toldo")</f>
        <v>Plataforma Playo 5.00 x 2.20 x 0.60 Lateral Doble Baranda Fija C/Toldo</v>
      </c>
      <c r="CS17" s="3" t="str">
        <f>IFERROR(__xludf.DUMMYFUNCTION("""COMPUTED_VALUE"""),"Plataforma Playo 3.00 x 1.90 x 0.45 Lateral Simple Baranda Fija")</f>
        <v>Plataforma Playo 3.00 x 1.90 x 0.45 Lateral Simple Baranda Fija</v>
      </c>
      <c r="CT17" s="3" t="str">
        <f>IFERROR(__xludf.DUMMYFUNCTION("""COMPUTED_VALUE"""),"Plataforma Playo 3.00 x 1.90 x 0.45 Lateral Simple Baranda Ventilada")</f>
        <v>Plataforma Playo 3.00 x 1.90 x 0.45 Lateral Simple Baranda Ventilada</v>
      </c>
      <c r="CU17" s="3" t="str">
        <f>IFERROR(__xludf.DUMMYFUNCTION("""COMPUTED_VALUE"""),"Plataforma Playo 2.00 x 1.90 x 0.45 Lateral Simple Baranda Fija")</f>
        <v>Plataforma Playo 2.00 x 1.90 x 0.45 Lateral Simple Baranda Fija</v>
      </c>
      <c r="CV17" s="3" t="str">
        <f>IFERROR(__xludf.DUMMYFUNCTION("""COMPUTED_VALUE"""),"Plataforma Playo 5.00 x 1.90 x 0.60 Lateral Doble Baranda Fija")</f>
        <v>Plataforma Playo 5.00 x 1.90 x 0.60 Lateral Doble Baranda Fija</v>
      </c>
      <c r="CW17" s="3" t="str">
        <f>IFERROR(__xludf.DUMMYFUNCTION("""COMPUTED_VALUE"""),"Plataforma Playo 6.40 x 2.70 x 0.72 Lateral Doble Baranda Fija")</f>
        <v>Plataforma Playo 6.40 x 2.70 x 0.72 Lateral Doble Baranda Fija</v>
      </c>
      <c r="CX17" s="3" t="str">
        <f>IFERROR(__xludf.DUMMYFUNCTION("""COMPUTED_VALUE"""),"Chasis Acoplado Balancin L4000 Lanza Recta")</f>
        <v>Chasis Acoplado Balancin L4000 Lanza Recta</v>
      </c>
      <c r="CY17" s="3" t="str">
        <f>IFERROR(__xludf.DUMMYFUNCTION("""COMPUTED_VALUE"""),"Llanta simple Agrícola 750x20 centro 152")</f>
        <v>Llanta simple Agrícola 750x20 centro 152</v>
      </c>
      <c r="CZ17" s="3" t="str">
        <f>IFERROR(__xludf.DUMMYFUNCTION("""COMPUTED_VALUE"""),"Cajón de Herramientas Mediano adelante")</f>
        <v>Cajón de Herramientas Mediano adelante</v>
      </c>
      <c r="DA17" s="3" t="str">
        <f>IFERROR(__xludf.DUMMYFUNCTION("""COMPUTED_VALUE"""),"Llanta 15"" Simple Agrícola Centro 92")</f>
        <v>Llanta 15" Simple Agrícola Centro 92</v>
      </c>
    </row>
    <row r="18" hidden="1">
      <c r="A18" s="38">
        <f t="shared" si="1"/>
        <v>17</v>
      </c>
      <c r="B18" s="38">
        <f>IF(F18="","",SUMIF(Prearmados!E:E,F18,Prearmados!A:A))</f>
        <v>3</v>
      </c>
      <c r="C18" s="38">
        <f>IF(F18="","",SUMIF(Productos!E:E,G18,Productos!A:A))</f>
        <v>84</v>
      </c>
      <c r="D18" s="83" t="str">
        <f t="array" ref="D18">IF(OR(F18="",F18="Seleccionar.."),"",XLOOKUP(F18,Prearmados!E:E,Prearmados!F:F,"",0,1))</f>
        <v>Acoplados Rurales</v>
      </c>
      <c r="E18" s="83">
        <f>IF(H18="","",SUMIF(Precio_Productos!K:K,C18,Precio_Productos!J:J)*H18)</f>
        <v>2053349</v>
      </c>
      <c r="F18" s="84" t="s">
        <v>326</v>
      </c>
      <c r="G18" s="84" t="s">
        <v>110</v>
      </c>
      <c r="H18" s="13">
        <v>1.0</v>
      </c>
      <c r="P18" s="3" t="str">
        <f>IFERROR(__xludf.DUMMYFUNCTION("IF(OR(F18="""",F18=""Seleccionar..""),"""",TRANSPOSE(FILTER(Productos!E:E,(Productos!F:F=D18)+(Productos!F:F=XLOOKUP(D18,Implementos!B:B,Implementos!C:C,""-"",0,1)))))"),"Tanque Combustible 1100 lts Bajo")</f>
        <v>Tanque Combustible 1100 lts Bajo</v>
      </c>
      <c r="Q18" s="3" t="str">
        <f>IFERROR(__xludf.DUMMYFUNCTION("""COMPUTED_VALUE"""),"Tanque Combustible 1500 lts Standard")</f>
        <v>Tanque Combustible 1500 lts Standard</v>
      </c>
      <c r="R18" s="3" t="str">
        <f>IFERROR(__xludf.DUMMYFUNCTION("""COMPUTED_VALUE"""),"Tanque Combustible 1800 lts Standard")</f>
        <v>Tanque Combustible 1800 lts Standard</v>
      </c>
      <c r="S18" s="3" t="str">
        <f>IFERROR(__xludf.DUMMYFUNCTION("""COMPUTED_VALUE"""),"Tanque Combustible 2000 lts Bajo")</f>
        <v>Tanque Combustible 2000 lts Bajo</v>
      </c>
      <c r="T18" s="3" t="str">
        <f>IFERROR(__xludf.DUMMYFUNCTION("""COMPUTED_VALUE"""),"Tanque Combustible 2000 lts Standard")</f>
        <v>Tanque Combustible 2000 lts Standard</v>
      </c>
      <c r="U18" s="3" t="str">
        <f>IFERROR(__xludf.DUMMYFUNCTION("""COMPUTED_VALUE"""),"Tanque Combustible 3000 lts Standard")</f>
        <v>Tanque Combustible 3000 lts Standard</v>
      </c>
      <c r="V18" s="3" t="str">
        <f>IFERROR(__xludf.DUMMYFUNCTION("""COMPUTED_VALUE"""),"Tanque Combustible 3000 lts Alto")</f>
        <v>Tanque Combustible 3000 lts Alto</v>
      </c>
      <c r="W18" s="3" t="str">
        <f>IFERROR(__xludf.DUMMYFUNCTION("""COMPUTED_VALUE"""),"Tanque Combustible 4000 lts Standard")</f>
        <v>Tanque Combustible 4000 lts Standard</v>
      </c>
      <c r="X18" s="3" t="str">
        <f>IFERROR(__xludf.DUMMYFUNCTION("""COMPUTED_VALUE"""),"Tanque Combustible 5000 lts Standard")</f>
        <v>Tanque Combustible 5000 lts Standard</v>
      </c>
      <c r="Y18" s="3" t="str">
        <f>IFERROR(__xludf.DUMMYFUNCTION("""COMPUTED_VALUE"""),"Tanque Combustible 5000 lts Alto")</f>
        <v>Tanque Combustible 5000 lts Alto</v>
      </c>
      <c r="Z18" s="3" t="str">
        <f>IFERROR(__xludf.DUMMYFUNCTION("""COMPUTED_VALUE"""),"Tanque Combustible 2000 lts Alto")</f>
        <v>Tanque Combustible 2000 lts Alto</v>
      </c>
      <c r="AA18" s="3" t="str">
        <f>IFERROR(__xludf.DUMMYFUNCTION("""COMPUTED_VALUE"""),"Tanque Combustible 4000 lts Alto")</f>
        <v>Tanque Combustible 4000 lts Alto</v>
      </c>
      <c r="AB18" s="3" t="str">
        <f>IFERROR(__xludf.DUMMYFUNCTION("""COMPUTED_VALUE"""),"Baulera Standard - 750")</f>
        <v>Baulera Standard - 750</v>
      </c>
      <c r="AC18" s="3" t="str">
        <f>IFERROR(__xludf.DUMMYFUNCTION("""COMPUTED_VALUE"""),"Baulera Standard - 1700 - C/Laterales")</f>
        <v>Baulera Standard - 1700 - C/Laterales</v>
      </c>
      <c r="AD18" s="3" t="str">
        <f>IFERROR(__xludf.DUMMYFUNCTION("""COMPUTED_VALUE"""),"Baulera Standard - 1000 - C/Laterales")</f>
        <v>Baulera Standard - 1000 - C/Laterales</v>
      </c>
      <c r="AE18" s="3" t="str">
        <f>IFERROR(__xludf.DUMMYFUNCTION("""COMPUTED_VALUE"""),"Baulera Standard - 750 - C/Laterales")</f>
        <v>Baulera Standard - 750 - C/Laterales</v>
      </c>
      <c r="AF18" s="3" t="str">
        <f>IFERROR(__xludf.DUMMYFUNCTION("""COMPUTED_VALUE"""),"Baulera Standard - 1300 - C/Laterales")</f>
        <v>Baulera Standard - 1300 - C/Laterales</v>
      </c>
      <c r="AG18" s="3" t="str">
        <f>IFERROR(__xludf.DUMMYFUNCTION("""COMPUTED_VALUE"""),"Baulera Alta - 750")</f>
        <v>Baulera Alta - 750</v>
      </c>
      <c r="AH18" s="3" t="str">
        <f>IFERROR(__xludf.DUMMYFUNCTION("""COMPUTED_VALUE"""),"Baulera Alta - 1500 - C/Laterales")</f>
        <v>Baulera Alta - 1500 - C/Laterales</v>
      </c>
      <c r="AI18" s="3" t="str">
        <f>IFERROR(__xludf.DUMMYFUNCTION("""COMPUTED_VALUE"""),"Baulera Extendida 1700 - C/Laterales")</f>
        <v>Baulera Extendida 1700 - C/Laterales</v>
      </c>
      <c r="AJ18" s="3" t="str">
        <f>IFERROR(__xludf.DUMMYFUNCTION("""COMPUTED_VALUE"""),"Taller Móvil - 1500 x 1500 x 1700")</f>
        <v>Taller Móvil - 1500 x 1500 x 1700</v>
      </c>
      <c r="AK18" s="3" t="str">
        <f>IFERROR(__xludf.DUMMYFUNCTION("""COMPUTED_VALUE"""),"Cajón Herramientas Standard Derecho")</f>
        <v>Cajón Herramientas Standard Derecho</v>
      </c>
      <c r="AL18" s="3" t="str">
        <f>IFERROR(__xludf.DUMMYFUNCTION("""COMPUTED_VALUE"""),"Cajón Herramientas Standard Izquierdo")</f>
        <v>Cajón Herramientas Standard Izquierdo</v>
      </c>
      <c r="AM18" s="3" t="str">
        <f>IFERROR(__xludf.DUMMYFUNCTION("""COMPUTED_VALUE"""),"Cajón Herramientas Corto Derecho")</f>
        <v>Cajón Herramientas Corto Derecho</v>
      </c>
      <c r="AN18" s="3" t="str">
        <f>IFERROR(__xludf.DUMMYFUNCTION("""COMPUTED_VALUE"""),"Cajón Herramientas Corto Izquierdo")</f>
        <v>Cajón Herramientas Corto Izquierdo</v>
      </c>
      <c r="AO18" s="3" t="str">
        <f>IFERROR(__xludf.DUMMYFUNCTION("""COMPUTED_VALUE"""),"Cajón Herramientas Mediano Derecho")</f>
        <v>Cajón Herramientas Mediano Derecho</v>
      </c>
      <c r="AP18" s="3" t="str">
        <f>IFERROR(__xludf.DUMMYFUNCTION("""COMPUTED_VALUE"""),"Cajón Herramientas Mediano Izquierdo")</f>
        <v>Cajón Herramientas Mediano Izquierdo</v>
      </c>
      <c r="AQ18" s="3" t="str">
        <f>IFERROR(__xludf.DUMMYFUNCTION("""COMPUTED_VALUE"""),"Chasis Acoplado 2 Ejes L3000")</f>
        <v>Chasis Acoplado 2 Ejes L3000</v>
      </c>
      <c r="AR18" s="3" t="str">
        <f>IFERROR(__xludf.DUMMYFUNCTION("""COMPUTED_VALUE"""),"Chasis Acoplado 2 Ejes L3750")</f>
        <v>Chasis Acoplado 2 Ejes L3750</v>
      </c>
      <c r="AS18" s="3" t="str">
        <f>IFERROR(__xludf.DUMMYFUNCTION("""COMPUTED_VALUE"""),"Chasis Acoplado 2 Ejes L4000")</f>
        <v>Chasis Acoplado 2 Ejes L4000</v>
      </c>
      <c r="AT18" s="3" t="str">
        <f>IFERROR(__xludf.DUMMYFUNCTION("""COMPUTED_VALUE"""),"Chasis Acoplado 2 Ejes L4000 Reforzado")</f>
        <v>Chasis Acoplado 2 Ejes L4000 Reforzado</v>
      </c>
      <c r="AU18" s="3" t="str">
        <f>IFERROR(__xludf.DUMMYFUNCTION("""COMPUTED_VALUE"""),"Chasis Acoplado 2 Ejes L4750")</f>
        <v>Chasis Acoplado 2 Ejes L4750</v>
      </c>
      <c r="AV18" s="3" t="str">
        <f>IFERROR(__xludf.DUMMYFUNCTION("""COMPUTED_VALUE"""),"Chasis Acoplado 2 Ejes L4750 Reforzado")</f>
        <v>Chasis Acoplado 2 Ejes L4750 Reforzado</v>
      </c>
      <c r="AW18" s="3" t="str">
        <f>IFERROR(__xludf.DUMMYFUNCTION("""COMPUTED_VALUE"""),"Chasis Acoplado 2 Ejes L4750 Reforzado R. Camion")</f>
        <v>Chasis Acoplado 2 Ejes L4750 Reforzado R. Camion</v>
      </c>
      <c r="AX18" s="3" t="str">
        <f>IFERROR(__xludf.DUMMYFUNCTION("""COMPUTED_VALUE"""),"Chasis Acoplado 2 Ejes L5000")</f>
        <v>Chasis Acoplado 2 Ejes L5000</v>
      </c>
      <c r="AY18" s="3" t="str">
        <f>IFERROR(__xludf.DUMMYFUNCTION("""COMPUTED_VALUE"""),"Chasis Acoplado 2 Ejes L5750")</f>
        <v>Chasis Acoplado 2 Ejes L5750</v>
      </c>
      <c r="AZ18" s="3" t="str">
        <f>IFERROR(__xludf.DUMMYFUNCTION("""COMPUTED_VALUE"""),"Chasis Acoplado 2 Ejes L6400")</f>
        <v>Chasis Acoplado 2 Ejes L6400</v>
      </c>
      <c r="BA18" s="3" t="str">
        <f>IFERROR(__xludf.DUMMYFUNCTION("""COMPUTED_VALUE"""),"Chasis Acoplado 2 Ejes L4500")</f>
        <v>Chasis Acoplado 2 Ejes L4500</v>
      </c>
      <c r="BB18" s="3" t="str">
        <f>IFERROR(__xludf.DUMMYFUNCTION("""COMPUTED_VALUE"""),"Chasis Acoplado 1 Eje L1500")</f>
        <v>Chasis Acoplado 1 Eje L1500</v>
      </c>
      <c r="BC18" s="3" t="str">
        <f>IFERROR(__xludf.DUMMYFUNCTION("""COMPUTED_VALUE"""),"Chasis Acoplado 1 Eje L1800")</f>
        <v>Chasis Acoplado 1 Eje L1800</v>
      </c>
      <c r="BD18" s="3" t="str">
        <f>IFERROR(__xludf.DUMMYFUNCTION("""COMPUTED_VALUE"""),"Chasis Acoplado 1 Eje L1400")</f>
        <v>Chasis Acoplado 1 Eje L1400</v>
      </c>
      <c r="BE18" s="3" t="str">
        <f>IFERROR(__xludf.DUMMYFUNCTION("""COMPUTED_VALUE"""),"Chasis Acoplado Balancin L3000")</f>
        <v>Chasis Acoplado Balancin L3000</v>
      </c>
      <c r="BF18" s="3" t="str">
        <f>IFERROR(__xludf.DUMMYFUNCTION("""COMPUTED_VALUE"""),"Chasis Acoplado Balancin L3000 Lanza Corta")</f>
        <v>Chasis Acoplado Balancin L3000 Lanza Corta</v>
      </c>
      <c r="BG18" s="3" t="str">
        <f>IFERROR(__xludf.DUMMYFUNCTION("""COMPUTED_VALUE"""),"Chasis Acoplado Balancin L2000 Lanza Corta")</f>
        <v>Chasis Acoplado Balancin L2000 Lanza Corta</v>
      </c>
      <c r="BH18" s="3" t="str">
        <f>IFERROR(__xludf.DUMMYFUNCTION("""COMPUTED_VALUE"""),"Chasis Acoplado Balancin L3200 Lanza Corta")</f>
        <v>Chasis Acoplado Balancin L3200 Lanza Corta</v>
      </c>
      <c r="BI18" s="3" t="str">
        <f>IFERROR(__xludf.DUMMYFUNCTION("""COMPUTED_VALUE"""),"Chasis Acoplado Balancin L3200 Lanza Recta")</f>
        <v>Chasis Acoplado Balancin L3200 Lanza Recta</v>
      </c>
      <c r="BJ18" s="3" t="str">
        <f>IFERROR(__xludf.DUMMYFUNCTION("""COMPUTED_VALUE"""),"Chasis Acoplado Balancin L3200 Bajo Lanza Recta")</f>
        <v>Chasis Acoplado Balancin L3200 Bajo Lanza Recta</v>
      </c>
      <c r="BK18" s="3" t="str">
        <f>IFERROR(__xludf.DUMMYFUNCTION("""COMPUTED_VALUE"""),"Tanque Plastico Horizontal 750 Lts")</f>
        <v>Tanque Plastico Horizontal 750 Lts</v>
      </c>
      <c r="BL18" s="3" t="str">
        <f>IFERROR(__xludf.DUMMYFUNCTION("""COMPUTED_VALUE"""),"Medio Tanque Plastico Superior 700 Lts")</f>
        <v>Medio Tanque Plastico Superior 700 Lts</v>
      </c>
      <c r="BM18" s="3" t="str">
        <f>IFERROR(__xludf.DUMMYFUNCTION("""COMPUTED_VALUE"""),"Paquete de Elasticos 50 mm x 8 mm x 10 Hojas L850")</f>
        <v>Paquete de Elasticos 50 mm x 8 mm x 10 Hojas L850</v>
      </c>
      <c r="BN18" s="3" t="str">
        <f>IFERROR(__xludf.DUMMYFUNCTION("""COMPUTED_VALUE"""),"Paquete de Elasticos 63 mm x 8 mm x 10 Hojas L950")</f>
        <v>Paquete de Elasticos 63 mm x 8 mm x 10 Hojas L950</v>
      </c>
      <c r="BO18" s="3" t="str">
        <f>IFERROR(__xludf.DUMMYFUNCTION("""COMPUTED_VALUE"""),"Paquete de Elasticos 50 mm x 7 mm x 9 Hojas L850")</f>
        <v>Paquete de Elasticos 50 mm x 7 mm x 9 Hojas L850</v>
      </c>
      <c r="BP18" s="3" t="str">
        <f>IFERROR(__xludf.DUMMYFUNCTION("""COMPUTED_VALUE"""),"Paquete de Elasticos 63 mm x 8 mm x 8 Hojas L850")</f>
        <v>Paquete de Elasticos 63 mm x 8 mm x 8 Hojas L850</v>
      </c>
      <c r="BQ18" s="3" t="str">
        <f>IFERROR(__xludf.DUMMYFUNCTION("""COMPUTED_VALUE"""),"Paquete de Elasticos 63 mm x 10 mm x 10 Hojas L950")</f>
        <v>Paquete de Elasticos 63 mm x 10 mm x 10 Hojas L950</v>
      </c>
      <c r="BR18" s="3" t="str">
        <f>IFERROR(__xludf.DUMMYFUNCTION("""COMPUTED_VALUE"""),"Paquete de Elasticos 63 mm x 10 mm x 13 Hojas L975")</f>
        <v>Paquete de Elasticos 63 mm x 10 mm x 13 Hojas L975</v>
      </c>
      <c r="BS18" s="3" t="str">
        <f>IFERROR(__xludf.DUMMYFUNCTION("""COMPUTED_VALUE"""),"Paquete de Elasticos 50 mm x 7 mm x 9 Hojas L650")</f>
        <v>Paquete de Elasticos 50 mm x 7 mm x 9 Hojas L650</v>
      </c>
      <c r="BT18" s="3" t="str">
        <f>IFERROR(__xludf.DUMMYFUNCTION("""COMPUTED_VALUE"""),"Eje Acoplado 2"" x 1600 (06/08) Agrícola Centro 92")</f>
        <v>Eje Acoplado 2" x 1600 (06/08) Agrícola Centro 92</v>
      </c>
      <c r="BU18" s="3" t="str">
        <f>IFERROR(__xludf.DUMMYFUNCTION("""COMPUTED_VALUE"""),"Eje Acoplado 2 1/2"" x 1600 (07/09) Agrícola Centro 92")</f>
        <v>Eje Acoplado 2 1/2" x 1600 (07/09) Agrícola Centro 92</v>
      </c>
      <c r="BV18" s="3" t="str">
        <f>IFERROR(__xludf.DUMMYFUNCTION("""COMPUTED_VALUE"""),"Eje Acoplado 2 1/2"" x 1600 (09/11) Agrícola Centro 150")</f>
        <v>Eje Acoplado 2 1/2" x 1600 (09/11) Agrícola Centro 150</v>
      </c>
      <c r="BW18" s="3" t="str">
        <f>IFERROR(__xludf.DUMMYFUNCTION("""COMPUTED_VALUE"""),"Eje Acoplado 3"" x 1600 (10/13) Agrícola Centro 150")</f>
        <v>Eje Acoplado 3" x 1600 (10/13) Agrícola Centro 150</v>
      </c>
      <c r="BX18" s="3" t="str">
        <f>IFERROR(__xludf.DUMMYFUNCTION("""COMPUTED_VALUE"""),"Eje Acoplado 2 1/2"" x 2140 (07/09) Agrícola Centro 92")</f>
        <v>Eje Acoplado 2 1/2" x 2140 (07/09) Agrícola Centro 92</v>
      </c>
      <c r="BY18" s="3" t="str">
        <f>IFERROR(__xludf.DUMMYFUNCTION("""COMPUTED_VALUE"""),"Eje Acoplado 2"" x 1400 (06/08) Agrícola Centro 92")</f>
        <v>Eje Acoplado 2" x 1400 (06/08) Agrícola Centro 92</v>
      </c>
      <c r="BZ18" s="3" t="str">
        <f>IFERROR(__xludf.DUMMYFUNCTION("""COMPUTED_VALUE"""),"Eje Acoplado 2 1/2"" x 1500 (07/09) Agrícola Centro 92")</f>
        <v>Eje Acoplado 2 1/2" x 1500 (07/09) Agrícola Centro 92</v>
      </c>
      <c r="CA18" s="3" t="str">
        <f>IFERROR(__xludf.DUMMYFUNCTION("""COMPUTED_VALUE"""),"Eje Acoplado 2 1/2"" x 2000 (07/09) Agrícola Centro 92")</f>
        <v>Eje Acoplado 2 1/2" x 2000 (07/09) Agrícola Centro 92</v>
      </c>
      <c r="CB18" s="3" t="str">
        <f>IFERROR(__xludf.DUMMYFUNCTION("""COMPUTED_VALUE"""),"Eje Acoplado 2 1/2"" x 2100 (09/11) Agrícola Centro 150")</f>
        <v>Eje Acoplado 2 1/2" x 2100 (09/11) Agrícola Centro 150</v>
      </c>
      <c r="CC18" s="3" t="str">
        <f>IFERROR(__xludf.DUMMYFUNCTION("""COMPUTED_VALUE"""),"Llanta 16"" Simple Agrícola Centro 92")</f>
        <v>Llanta 16" Simple Agrícola Centro 92</v>
      </c>
      <c r="CD18" s="3" t="str">
        <f>IFERROR(__xludf.DUMMYFUNCTION("""COMPUTED_VALUE"""),"Llanta 16"" Dual Agrícola Centro 92")</f>
        <v>Llanta 16" Dual Agrícola Centro 92</v>
      </c>
      <c r="CE18" s="3" t="str">
        <f>IFERROR(__xludf.DUMMYFUNCTION("""COMPUTED_VALUE"""),"Llanta 17"" Simple Agrícola Centro 92")</f>
        <v>Llanta 17" Simple Agrícola Centro 92</v>
      </c>
      <c r="CF18" s="3" t="str">
        <f>IFERROR(__xludf.DUMMYFUNCTION("""COMPUTED_VALUE"""),"Llanta 17"" Dual Agrícola Centro 92")</f>
        <v>Llanta 17" Dual Agrícola Centro 92</v>
      </c>
      <c r="CG18" s="3" t="str">
        <f>IFERROR(__xludf.DUMMYFUNCTION("""COMPUTED_VALUE"""),"Llanta 16"" Dual Agrícola Centro 152")</f>
        <v>Llanta 16" Dual Agrícola Centro 152</v>
      </c>
      <c r="CH18" s="3" t="str">
        <f>IFERROR(__xludf.DUMMYFUNCTION("""COMPUTED_VALUE"""),"Llanta 17"" Dual Agrícola Centro 152")</f>
        <v>Llanta 17" Dual Agrícola Centro 152</v>
      </c>
      <c r="CI18" s="3" t="str">
        <f>IFERROR(__xludf.DUMMYFUNCTION("""COMPUTED_VALUE"""),"Eje Acoplado 2"" x 1600 (05/07) Agrícola Centro 92")</f>
        <v>Eje Acoplado 2" x 1600 (05/07) Agrícola Centro 92</v>
      </c>
      <c r="CJ18" s="3" t="str">
        <f>IFERROR(__xludf.DUMMYFUNCTION("""COMPUTED_VALUE"""),"Paquete de Elásticos 50 mm x 8 mm x 12 Hojas")</f>
        <v>Paquete de Elásticos 50 mm x 8 mm x 12 Hojas</v>
      </c>
      <c r="CK18" s="3" t="str">
        <f>IFERROR(__xludf.DUMMYFUNCTION("""COMPUTED_VALUE"""),"Plataforma Playo 4.00 x 1.90 x 0.45 Lateral Simple Baranda Fija")</f>
        <v>Plataforma Playo 4.00 x 1.90 x 0.45 Lateral Simple Baranda Fija</v>
      </c>
      <c r="CL18" s="3" t="str">
        <f>IFERROR(__xludf.DUMMYFUNCTION("""COMPUTED_VALUE"""),"Plataforma Playo 4.00 x 1.90 x 0.45 Lateral Simple Baranda Ventilada")</f>
        <v>Plataforma Playo 4.00 x 1.90 x 0.45 Lateral Simple Baranda Ventilada</v>
      </c>
      <c r="CM18" s="3" t="str">
        <f>IFERROR(__xludf.DUMMYFUNCTION("""COMPUTED_VALUE"""),"Plataforma Playo 4.00 x 1.90 x 0.45 Lateral Doble Baranda Ventilada")</f>
        <v>Plataforma Playo 4.00 x 1.90 x 0.45 Lateral Doble Baranda Ventilada</v>
      </c>
      <c r="CN18" s="3" t="str">
        <f>IFERROR(__xludf.DUMMYFUNCTION("""COMPUTED_VALUE"""),"Plataforma Playo 4.00 x 1.90 x 0.45 Lateral Doble Baranda Fija")</f>
        <v>Plataforma Playo 4.00 x 1.90 x 0.45 Lateral Doble Baranda Fija</v>
      </c>
      <c r="CO18" s="3" t="str">
        <f>IFERROR(__xludf.DUMMYFUNCTION("""COMPUTED_VALUE"""),"Plataforma Playo 4.00 x 1.90 x 0.72 Lateral Simple Baranda Fija")</f>
        <v>Plataforma Playo 4.00 x 1.90 x 0.72 Lateral Simple Baranda Fija</v>
      </c>
      <c r="CP18" s="3" t="str">
        <f>IFERROR(__xludf.DUMMYFUNCTION("""COMPUTED_VALUE"""),"Plataforma Playo 4.00 x 1.90 x 0.72 Lateral Doble Baranda Fija")</f>
        <v>Plataforma Playo 4.00 x 1.90 x 0.72 Lateral Doble Baranda Fija</v>
      </c>
      <c r="CQ18" s="3" t="str">
        <f>IFERROR(__xludf.DUMMYFUNCTION("""COMPUTED_VALUE"""),"Plataforma Playo 5.00 x 2.20 x 0.60 Lateral Doble Trasera Rebatible")</f>
        <v>Plataforma Playo 5.00 x 2.20 x 0.60 Lateral Doble Trasera Rebatible</v>
      </c>
      <c r="CR18" s="3" t="str">
        <f>IFERROR(__xludf.DUMMYFUNCTION("""COMPUTED_VALUE"""),"Plataforma Playo 5.00 x 2.20 x 0.60 Lateral Doble Baranda Fija C/Toldo")</f>
        <v>Plataforma Playo 5.00 x 2.20 x 0.60 Lateral Doble Baranda Fija C/Toldo</v>
      </c>
      <c r="CS18" s="3" t="str">
        <f>IFERROR(__xludf.DUMMYFUNCTION("""COMPUTED_VALUE"""),"Plataforma Playo 3.00 x 1.90 x 0.45 Lateral Simple Baranda Fija")</f>
        <v>Plataforma Playo 3.00 x 1.90 x 0.45 Lateral Simple Baranda Fija</v>
      </c>
      <c r="CT18" s="3" t="str">
        <f>IFERROR(__xludf.DUMMYFUNCTION("""COMPUTED_VALUE"""),"Plataforma Playo 3.00 x 1.90 x 0.45 Lateral Simple Baranda Ventilada")</f>
        <v>Plataforma Playo 3.00 x 1.90 x 0.45 Lateral Simple Baranda Ventilada</v>
      </c>
      <c r="CU18" s="3" t="str">
        <f>IFERROR(__xludf.DUMMYFUNCTION("""COMPUTED_VALUE"""),"Plataforma Playo 2.00 x 1.90 x 0.45 Lateral Simple Baranda Fija")</f>
        <v>Plataforma Playo 2.00 x 1.90 x 0.45 Lateral Simple Baranda Fija</v>
      </c>
      <c r="CV18" s="3" t="str">
        <f>IFERROR(__xludf.DUMMYFUNCTION("""COMPUTED_VALUE"""),"Plataforma Playo 5.00 x 1.90 x 0.60 Lateral Doble Baranda Fija")</f>
        <v>Plataforma Playo 5.00 x 1.90 x 0.60 Lateral Doble Baranda Fija</v>
      </c>
      <c r="CW18" s="3" t="str">
        <f>IFERROR(__xludf.DUMMYFUNCTION("""COMPUTED_VALUE"""),"Plataforma Playo 6.40 x 2.70 x 0.72 Lateral Doble Baranda Fija")</f>
        <v>Plataforma Playo 6.40 x 2.70 x 0.72 Lateral Doble Baranda Fija</v>
      </c>
      <c r="CX18" s="3" t="str">
        <f>IFERROR(__xludf.DUMMYFUNCTION("""COMPUTED_VALUE"""),"Chasis Acoplado Balancin L4000 Lanza Recta")</f>
        <v>Chasis Acoplado Balancin L4000 Lanza Recta</v>
      </c>
      <c r="CY18" s="3" t="str">
        <f>IFERROR(__xludf.DUMMYFUNCTION("""COMPUTED_VALUE"""),"Llanta simple Agrícola 750x20 centro 152")</f>
        <v>Llanta simple Agrícola 750x20 centro 152</v>
      </c>
      <c r="CZ18" s="3" t="str">
        <f>IFERROR(__xludf.DUMMYFUNCTION("""COMPUTED_VALUE"""),"Cajón de Herramientas Mediano adelante")</f>
        <v>Cajón de Herramientas Mediano adelante</v>
      </c>
      <c r="DA18" s="3" t="str">
        <f>IFERROR(__xludf.DUMMYFUNCTION("""COMPUTED_VALUE"""),"Llanta 15"" Simple Agrícola Centro 92")</f>
        <v>Llanta 15" Simple Agrícola Centro 92</v>
      </c>
    </row>
    <row r="19" hidden="1">
      <c r="A19" s="38">
        <f t="shared" si="1"/>
        <v>18</v>
      </c>
      <c r="B19" s="38">
        <f>IF(F19="","",SUMIF(Prearmados!E:E,F19,Prearmados!A:A))</f>
        <v>3</v>
      </c>
      <c r="C19" s="38">
        <f>IF(F19="","",SUMIF(Productos!E:E,G19,Productos!A:A))</f>
        <v>102</v>
      </c>
      <c r="D19" s="83" t="str">
        <f t="array" ref="D19">IF(OR(F19="",F19="Seleccionar.."),"",XLOOKUP(F19,Prearmados!E:E,Prearmados!F:F,"",0,1))</f>
        <v>Acoplados Rurales</v>
      </c>
      <c r="E19" s="83">
        <f>IF(H19="","",SUMIF(Precio_Productos!K:K,C19,Precio_Productos!J:J)*H19)</f>
        <v>527187</v>
      </c>
      <c r="F19" s="84" t="s">
        <v>326</v>
      </c>
      <c r="G19" s="84" t="s">
        <v>134</v>
      </c>
      <c r="H19" s="13">
        <v>1.0</v>
      </c>
      <c r="P19" s="3" t="str">
        <f>IFERROR(__xludf.DUMMYFUNCTION("IF(OR(F19="""",F19=""Seleccionar..""),"""",TRANSPOSE(FILTER(Productos!E:E,(Productos!F:F=D19)+(Productos!F:F=XLOOKUP(D19,Implementos!B:B,Implementos!C:C,""-"",0,1)))))"),"Tanque Combustible 1100 lts Bajo")</f>
        <v>Tanque Combustible 1100 lts Bajo</v>
      </c>
      <c r="Q19" s="3" t="str">
        <f>IFERROR(__xludf.DUMMYFUNCTION("""COMPUTED_VALUE"""),"Tanque Combustible 1500 lts Standard")</f>
        <v>Tanque Combustible 1500 lts Standard</v>
      </c>
      <c r="R19" s="3" t="str">
        <f>IFERROR(__xludf.DUMMYFUNCTION("""COMPUTED_VALUE"""),"Tanque Combustible 1800 lts Standard")</f>
        <v>Tanque Combustible 1800 lts Standard</v>
      </c>
      <c r="S19" s="3" t="str">
        <f>IFERROR(__xludf.DUMMYFUNCTION("""COMPUTED_VALUE"""),"Tanque Combustible 2000 lts Bajo")</f>
        <v>Tanque Combustible 2000 lts Bajo</v>
      </c>
      <c r="T19" s="3" t="str">
        <f>IFERROR(__xludf.DUMMYFUNCTION("""COMPUTED_VALUE"""),"Tanque Combustible 2000 lts Standard")</f>
        <v>Tanque Combustible 2000 lts Standard</v>
      </c>
      <c r="U19" s="3" t="str">
        <f>IFERROR(__xludf.DUMMYFUNCTION("""COMPUTED_VALUE"""),"Tanque Combustible 3000 lts Standard")</f>
        <v>Tanque Combustible 3000 lts Standard</v>
      </c>
      <c r="V19" s="3" t="str">
        <f>IFERROR(__xludf.DUMMYFUNCTION("""COMPUTED_VALUE"""),"Tanque Combustible 3000 lts Alto")</f>
        <v>Tanque Combustible 3000 lts Alto</v>
      </c>
      <c r="W19" s="3" t="str">
        <f>IFERROR(__xludf.DUMMYFUNCTION("""COMPUTED_VALUE"""),"Tanque Combustible 4000 lts Standard")</f>
        <v>Tanque Combustible 4000 lts Standard</v>
      </c>
      <c r="X19" s="3" t="str">
        <f>IFERROR(__xludf.DUMMYFUNCTION("""COMPUTED_VALUE"""),"Tanque Combustible 5000 lts Standard")</f>
        <v>Tanque Combustible 5000 lts Standard</v>
      </c>
      <c r="Y19" s="3" t="str">
        <f>IFERROR(__xludf.DUMMYFUNCTION("""COMPUTED_VALUE"""),"Tanque Combustible 5000 lts Alto")</f>
        <v>Tanque Combustible 5000 lts Alto</v>
      </c>
      <c r="Z19" s="3" t="str">
        <f>IFERROR(__xludf.DUMMYFUNCTION("""COMPUTED_VALUE"""),"Tanque Combustible 2000 lts Alto")</f>
        <v>Tanque Combustible 2000 lts Alto</v>
      </c>
      <c r="AA19" s="3" t="str">
        <f>IFERROR(__xludf.DUMMYFUNCTION("""COMPUTED_VALUE"""),"Tanque Combustible 4000 lts Alto")</f>
        <v>Tanque Combustible 4000 lts Alto</v>
      </c>
      <c r="AB19" s="3" t="str">
        <f>IFERROR(__xludf.DUMMYFUNCTION("""COMPUTED_VALUE"""),"Baulera Standard - 750")</f>
        <v>Baulera Standard - 750</v>
      </c>
      <c r="AC19" s="3" t="str">
        <f>IFERROR(__xludf.DUMMYFUNCTION("""COMPUTED_VALUE"""),"Baulera Standard - 1700 - C/Laterales")</f>
        <v>Baulera Standard - 1700 - C/Laterales</v>
      </c>
      <c r="AD19" s="3" t="str">
        <f>IFERROR(__xludf.DUMMYFUNCTION("""COMPUTED_VALUE"""),"Baulera Standard - 1000 - C/Laterales")</f>
        <v>Baulera Standard - 1000 - C/Laterales</v>
      </c>
      <c r="AE19" s="3" t="str">
        <f>IFERROR(__xludf.DUMMYFUNCTION("""COMPUTED_VALUE"""),"Baulera Standard - 750 - C/Laterales")</f>
        <v>Baulera Standard - 750 - C/Laterales</v>
      </c>
      <c r="AF19" s="3" t="str">
        <f>IFERROR(__xludf.DUMMYFUNCTION("""COMPUTED_VALUE"""),"Baulera Standard - 1300 - C/Laterales")</f>
        <v>Baulera Standard - 1300 - C/Laterales</v>
      </c>
      <c r="AG19" s="3" t="str">
        <f>IFERROR(__xludf.DUMMYFUNCTION("""COMPUTED_VALUE"""),"Baulera Alta - 750")</f>
        <v>Baulera Alta - 750</v>
      </c>
      <c r="AH19" s="3" t="str">
        <f>IFERROR(__xludf.DUMMYFUNCTION("""COMPUTED_VALUE"""),"Baulera Alta - 1500 - C/Laterales")</f>
        <v>Baulera Alta - 1500 - C/Laterales</v>
      </c>
      <c r="AI19" s="3" t="str">
        <f>IFERROR(__xludf.DUMMYFUNCTION("""COMPUTED_VALUE"""),"Baulera Extendida 1700 - C/Laterales")</f>
        <v>Baulera Extendida 1700 - C/Laterales</v>
      </c>
      <c r="AJ19" s="3" t="str">
        <f>IFERROR(__xludf.DUMMYFUNCTION("""COMPUTED_VALUE"""),"Taller Móvil - 1500 x 1500 x 1700")</f>
        <v>Taller Móvil - 1500 x 1500 x 1700</v>
      </c>
      <c r="AK19" s="3" t="str">
        <f>IFERROR(__xludf.DUMMYFUNCTION("""COMPUTED_VALUE"""),"Cajón Herramientas Standard Derecho")</f>
        <v>Cajón Herramientas Standard Derecho</v>
      </c>
      <c r="AL19" s="3" t="str">
        <f>IFERROR(__xludf.DUMMYFUNCTION("""COMPUTED_VALUE"""),"Cajón Herramientas Standard Izquierdo")</f>
        <v>Cajón Herramientas Standard Izquierdo</v>
      </c>
      <c r="AM19" s="3" t="str">
        <f>IFERROR(__xludf.DUMMYFUNCTION("""COMPUTED_VALUE"""),"Cajón Herramientas Corto Derecho")</f>
        <v>Cajón Herramientas Corto Derecho</v>
      </c>
      <c r="AN19" s="3" t="str">
        <f>IFERROR(__xludf.DUMMYFUNCTION("""COMPUTED_VALUE"""),"Cajón Herramientas Corto Izquierdo")</f>
        <v>Cajón Herramientas Corto Izquierdo</v>
      </c>
      <c r="AO19" s="3" t="str">
        <f>IFERROR(__xludf.DUMMYFUNCTION("""COMPUTED_VALUE"""),"Cajón Herramientas Mediano Derecho")</f>
        <v>Cajón Herramientas Mediano Derecho</v>
      </c>
      <c r="AP19" s="3" t="str">
        <f>IFERROR(__xludf.DUMMYFUNCTION("""COMPUTED_VALUE"""),"Cajón Herramientas Mediano Izquierdo")</f>
        <v>Cajón Herramientas Mediano Izquierdo</v>
      </c>
      <c r="AQ19" s="3" t="str">
        <f>IFERROR(__xludf.DUMMYFUNCTION("""COMPUTED_VALUE"""),"Chasis Acoplado 2 Ejes L3000")</f>
        <v>Chasis Acoplado 2 Ejes L3000</v>
      </c>
      <c r="AR19" s="3" t="str">
        <f>IFERROR(__xludf.DUMMYFUNCTION("""COMPUTED_VALUE"""),"Chasis Acoplado 2 Ejes L3750")</f>
        <v>Chasis Acoplado 2 Ejes L3750</v>
      </c>
      <c r="AS19" s="3" t="str">
        <f>IFERROR(__xludf.DUMMYFUNCTION("""COMPUTED_VALUE"""),"Chasis Acoplado 2 Ejes L4000")</f>
        <v>Chasis Acoplado 2 Ejes L4000</v>
      </c>
      <c r="AT19" s="3" t="str">
        <f>IFERROR(__xludf.DUMMYFUNCTION("""COMPUTED_VALUE"""),"Chasis Acoplado 2 Ejes L4000 Reforzado")</f>
        <v>Chasis Acoplado 2 Ejes L4000 Reforzado</v>
      </c>
      <c r="AU19" s="3" t="str">
        <f>IFERROR(__xludf.DUMMYFUNCTION("""COMPUTED_VALUE"""),"Chasis Acoplado 2 Ejes L4750")</f>
        <v>Chasis Acoplado 2 Ejes L4750</v>
      </c>
      <c r="AV19" s="3" t="str">
        <f>IFERROR(__xludf.DUMMYFUNCTION("""COMPUTED_VALUE"""),"Chasis Acoplado 2 Ejes L4750 Reforzado")</f>
        <v>Chasis Acoplado 2 Ejes L4750 Reforzado</v>
      </c>
      <c r="AW19" s="3" t="str">
        <f>IFERROR(__xludf.DUMMYFUNCTION("""COMPUTED_VALUE"""),"Chasis Acoplado 2 Ejes L4750 Reforzado R. Camion")</f>
        <v>Chasis Acoplado 2 Ejes L4750 Reforzado R. Camion</v>
      </c>
      <c r="AX19" s="3" t="str">
        <f>IFERROR(__xludf.DUMMYFUNCTION("""COMPUTED_VALUE"""),"Chasis Acoplado 2 Ejes L5000")</f>
        <v>Chasis Acoplado 2 Ejes L5000</v>
      </c>
      <c r="AY19" s="3" t="str">
        <f>IFERROR(__xludf.DUMMYFUNCTION("""COMPUTED_VALUE"""),"Chasis Acoplado 2 Ejes L5750")</f>
        <v>Chasis Acoplado 2 Ejes L5750</v>
      </c>
      <c r="AZ19" s="3" t="str">
        <f>IFERROR(__xludf.DUMMYFUNCTION("""COMPUTED_VALUE"""),"Chasis Acoplado 2 Ejes L6400")</f>
        <v>Chasis Acoplado 2 Ejes L6400</v>
      </c>
      <c r="BA19" s="3" t="str">
        <f>IFERROR(__xludf.DUMMYFUNCTION("""COMPUTED_VALUE"""),"Chasis Acoplado 2 Ejes L4500")</f>
        <v>Chasis Acoplado 2 Ejes L4500</v>
      </c>
      <c r="BB19" s="3" t="str">
        <f>IFERROR(__xludf.DUMMYFUNCTION("""COMPUTED_VALUE"""),"Chasis Acoplado 1 Eje L1500")</f>
        <v>Chasis Acoplado 1 Eje L1500</v>
      </c>
      <c r="BC19" s="3" t="str">
        <f>IFERROR(__xludf.DUMMYFUNCTION("""COMPUTED_VALUE"""),"Chasis Acoplado 1 Eje L1800")</f>
        <v>Chasis Acoplado 1 Eje L1800</v>
      </c>
      <c r="BD19" s="3" t="str">
        <f>IFERROR(__xludf.DUMMYFUNCTION("""COMPUTED_VALUE"""),"Chasis Acoplado 1 Eje L1400")</f>
        <v>Chasis Acoplado 1 Eje L1400</v>
      </c>
      <c r="BE19" s="3" t="str">
        <f>IFERROR(__xludf.DUMMYFUNCTION("""COMPUTED_VALUE"""),"Chasis Acoplado Balancin L3000")</f>
        <v>Chasis Acoplado Balancin L3000</v>
      </c>
      <c r="BF19" s="3" t="str">
        <f>IFERROR(__xludf.DUMMYFUNCTION("""COMPUTED_VALUE"""),"Chasis Acoplado Balancin L3000 Lanza Corta")</f>
        <v>Chasis Acoplado Balancin L3000 Lanza Corta</v>
      </c>
      <c r="BG19" s="3" t="str">
        <f>IFERROR(__xludf.DUMMYFUNCTION("""COMPUTED_VALUE"""),"Chasis Acoplado Balancin L2000 Lanza Corta")</f>
        <v>Chasis Acoplado Balancin L2000 Lanza Corta</v>
      </c>
      <c r="BH19" s="3" t="str">
        <f>IFERROR(__xludf.DUMMYFUNCTION("""COMPUTED_VALUE"""),"Chasis Acoplado Balancin L3200 Lanza Corta")</f>
        <v>Chasis Acoplado Balancin L3200 Lanza Corta</v>
      </c>
      <c r="BI19" s="3" t="str">
        <f>IFERROR(__xludf.DUMMYFUNCTION("""COMPUTED_VALUE"""),"Chasis Acoplado Balancin L3200 Lanza Recta")</f>
        <v>Chasis Acoplado Balancin L3200 Lanza Recta</v>
      </c>
      <c r="BJ19" s="3" t="str">
        <f>IFERROR(__xludf.DUMMYFUNCTION("""COMPUTED_VALUE"""),"Chasis Acoplado Balancin L3200 Bajo Lanza Recta")</f>
        <v>Chasis Acoplado Balancin L3200 Bajo Lanza Recta</v>
      </c>
      <c r="BK19" s="3" t="str">
        <f>IFERROR(__xludf.DUMMYFUNCTION("""COMPUTED_VALUE"""),"Tanque Plastico Horizontal 750 Lts")</f>
        <v>Tanque Plastico Horizontal 750 Lts</v>
      </c>
      <c r="BL19" s="3" t="str">
        <f>IFERROR(__xludf.DUMMYFUNCTION("""COMPUTED_VALUE"""),"Medio Tanque Plastico Superior 700 Lts")</f>
        <v>Medio Tanque Plastico Superior 700 Lts</v>
      </c>
      <c r="BM19" s="3" t="str">
        <f>IFERROR(__xludf.DUMMYFUNCTION("""COMPUTED_VALUE"""),"Paquete de Elasticos 50 mm x 8 mm x 10 Hojas L850")</f>
        <v>Paquete de Elasticos 50 mm x 8 mm x 10 Hojas L850</v>
      </c>
      <c r="BN19" s="3" t="str">
        <f>IFERROR(__xludf.DUMMYFUNCTION("""COMPUTED_VALUE"""),"Paquete de Elasticos 63 mm x 8 mm x 10 Hojas L950")</f>
        <v>Paquete de Elasticos 63 mm x 8 mm x 10 Hojas L950</v>
      </c>
      <c r="BO19" s="3" t="str">
        <f>IFERROR(__xludf.DUMMYFUNCTION("""COMPUTED_VALUE"""),"Paquete de Elasticos 50 mm x 7 mm x 9 Hojas L850")</f>
        <v>Paquete de Elasticos 50 mm x 7 mm x 9 Hojas L850</v>
      </c>
      <c r="BP19" s="3" t="str">
        <f>IFERROR(__xludf.DUMMYFUNCTION("""COMPUTED_VALUE"""),"Paquete de Elasticos 63 mm x 8 mm x 8 Hojas L850")</f>
        <v>Paquete de Elasticos 63 mm x 8 mm x 8 Hojas L850</v>
      </c>
      <c r="BQ19" s="3" t="str">
        <f>IFERROR(__xludf.DUMMYFUNCTION("""COMPUTED_VALUE"""),"Paquete de Elasticos 63 mm x 10 mm x 10 Hojas L950")</f>
        <v>Paquete de Elasticos 63 mm x 10 mm x 10 Hojas L950</v>
      </c>
      <c r="BR19" s="3" t="str">
        <f>IFERROR(__xludf.DUMMYFUNCTION("""COMPUTED_VALUE"""),"Paquete de Elasticos 63 mm x 10 mm x 13 Hojas L975")</f>
        <v>Paquete de Elasticos 63 mm x 10 mm x 13 Hojas L975</v>
      </c>
      <c r="BS19" s="3" t="str">
        <f>IFERROR(__xludf.DUMMYFUNCTION("""COMPUTED_VALUE"""),"Paquete de Elasticos 50 mm x 7 mm x 9 Hojas L650")</f>
        <v>Paquete de Elasticos 50 mm x 7 mm x 9 Hojas L650</v>
      </c>
      <c r="BT19" s="3" t="str">
        <f>IFERROR(__xludf.DUMMYFUNCTION("""COMPUTED_VALUE"""),"Eje Acoplado 2"" x 1600 (06/08) Agrícola Centro 92")</f>
        <v>Eje Acoplado 2" x 1600 (06/08) Agrícola Centro 92</v>
      </c>
      <c r="BU19" s="3" t="str">
        <f>IFERROR(__xludf.DUMMYFUNCTION("""COMPUTED_VALUE"""),"Eje Acoplado 2 1/2"" x 1600 (07/09) Agrícola Centro 92")</f>
        <v>Eje Acoplado 2 1/2" x 1600 (07/09) Agrícola Centro 92</v>
      </c>
      <c r="BV19" s="3" t="str">
        <f>IFERROR(__xludf.DUMMYFUNCTION("""COMPUTED_VALUE"""),"Eje Acoplado 2 1/2"" x 1600 (09/11) Agrícola Centro 150")</f>
        <v>Eje Acoplado 2 1/2" x 1600 (09/11) Agrícola Centro 150</v>
      </c>
      <c r="BW19" s="3" t="str">
        <f>IFERROR(__xludf.DUMMYFUNCTION("""COMPUTED_VALUE"""),"Eje Acoplado 3"" x 1600 (10/13) Agrícola Centro 150")</f>
        <v>Eje Acoplado 3" x 1600 (10/13) Agrícola Centro 150</v>
      </c>
      <c r="BX19" s="3" t="str">
        <f>IFERROR(__xludf.DUMMYFUNCTION("""COMPUTED_VALUE"""),"Eje Acoplado 2 1/2"" x 2140 (07/09) Agrícola Centro 92")</f>
        <v>Eje Acoplado 2 1/2" x 2140 (07/09) Agrícola Centro 92</v>
      </c>
      <c r="BY19" s="3" t="str">
        <f>IFERROR(__xludf.DUMMYFUNCTION("""COMPUTED_VALUE"""),"Eje Acoplado 2"" x 1400 (06/08) Agrícola Centro 92")</f>
        <v>Eje Acoplado 2" x 1400 (06/08) Agrícola Centro 92</v>
      </c>
      <c r="BZ19" s="3" t="str">
        <f>IFERROR(__xludf.DUMMYFUNCTION("""COMPUTED_VALUE"""),"Eje Acoplado 2 1/2"" x 1500 (07/09) Agrícola Centro 92")</f>
        <v>Eje Acoplado 2 1/2" x 1500 (07/09) Agrícola Centro 92</v>
      </c>
      <c r="CA19" s="3" t="str">
        <f>IFERROR(__xludf.DUMMYFUNCTION("""COMPUTED_VALUE"""),"Eje Acoplado 2 1/2"" x 2000 (07/09) Agrícola Centro 92")</f>
        <v>Eje Acoplado 2 1/2" x 2000 (07/09) Agrícola Centro 92</v>
      </c>
      <c r="CB19" s="3" t="str">
        <f>IFERROR(__xludf.DUMMYFUNCTION("""COMPUTED_VALUE"""),"Eje Acoplado 2 1/2"" x 2100 (09/11) Agrícola Centro 150")</f>
        <v>Eje Acoplado 2 1/2" x 2100 (09/11) Agrícola Centro 150</v>
      </c>
      <c r="CC19" s="3" t="str">
        <f>IFERROR(__xludf.DUMMYFUNCTION("""COMPUTED_VALUE"""),"Llanta 16"" Simple Agrícola Centro 92")</f>
        <v>Llanta 16" Simple Agrícola Centro 92</v>
      </c>
      <c r="CD19" s="3" t="str">
        <f>IFERROR(__xludf.DUMMYFUNCTION("""COMPUTED_VALUE"""),"Llanta 16"" Dual Agrícola Centro 92")</f>
        <v>Llanta 16" Dual Agrícola Centro 92</v>
      </c>
      <c r="CE19" s="3" t="str">
        <f>IFERROR(__xludf.DUMMYFUNCTION("""COMPUTED_VALUE"""),"Llanta 17"" Simple Agrícola Centro 92")</f>
        <v>Llanta 17" Simple Agrícola Centro 92</v>
      </c>
      <c r="CF19" s="3" t="str">
        <f>IFERROR(__xludf.DUMMYFUNCTION("""COMPUTED_VALUE"""),"Llanta 17"" Dual Agrícola Centro 92")</f>
        <v>Llanta 17" Dual Agrícola Centro 92</v>
      </c>
      <c r="CG19" s="3" t="str">
        <f>IFERROR(__xludf.DUMMYFUNCTION("""COMPUTED_VALUE"""),"Llanta 16"" Dual Agrícola Centro 152")</f>
        <v>Llanta 16" Dual Agrícola Centro 152</v>
      </c>
      <c r="CH19" s="3" t="str">
        <f>IFERROR(__xludf.DUMMYFUNCTION("""COMPUTED_VALUE"""),"Llanta 17"" Dual Agrícola Centro 152")</f>
        <v>Llanta 17" Dual Agrícola Centro 152</v>
      </c>
      <c r="CI19" s="3" t="str">
        <f>IFERROR(__xludf.DUMMYFUNCTION("""COMPUTED_VALUE"""),"Eje Acoplado 2"" x 1600 (05/07) Agrícola Centro 92")</f>
        <v>Eje Acoplado 2" x 1600 (05/07) Agrícola Centro 92</v>
      </c>
      <c r="CJ19" s="3" t="str">
        <f>IFERROR(__xludf.DUMMYFUNCTION("""COMPUTED_VALUE"""),"Paquete de Elásticos 50 mm x 8 mm x 12 Hojas")</f>
        <v>Paquete de Elásticos 50 mm x 8 mm x 12 Hojas</v>
      </c>
      <c r="CK19" s="3" t="str">
        <f>IFERROR(__xludf.DUMMYFUNCTION("""COMPUTED_VALUE"""),"Plataforma Playo 4.00 x 1.90 x 0.45 Lateral Simple Baranda Fija")</f>
        <v>Plataforma Playo 4.00 x 1.90 x 0.45 Lateral Simple Baranda Fija</v>
      </c>
      <c r="CL19" s="3" t="str">
        <f>IFERROR(__xludf.DUMMYFUNCTION("""COMPUTED_VALUE"""),"Plataforma Playo 4.00 x 1.90 x 0.45 Lateral Simple Baranda Ventilada")</f>
        <v>Plataforma Playo 4.00 x 1.90 x 0.45 Lateral Simple Baranda Ventilada</v>
      </c>
      <c r="CM19" s="3" t="str">
        <f>IFERROR(__xludf.DUMMYFUNCTION("""COMPUTED_VALUE"""),"Plataforma Playo 4.00 x 1.90 x 0.45 Lateral Doble Baranda Ventilada")</f>
        <v>Plataforma Playo 4.00 x 1.90 x 0.45 Lateral Doble Baranda Ventilada</v>
      </c>
      <c r="CN19" s="3" t="str">
        <f>IFERROR(__xludf.DUMMYFUNCTION("""COMPUTED_VALUE"""),"Plataforma Playo 4.00 x 1.90 x 0.45 Lateral Doble Baranda Fija")</f>
        <v>Plataforma Playo 4.00 x 1.90 x 0.45 Lateral Doble Baranda Fija</v>
      </c>
      <c r="CO19" s="3" t="str">
        <f>IFERROR(__xludf.DUMMYFUNCTION("""COMPUTED_VALUE"""),"Plataforma Playo 4.00 x 1.90 x 0.72 Lateral Simple Baranda Fija")</f>
        <v>Plataforma Playo 4.00 x 1.90 x 0.72 Lateral Simple Baranda Fija</v>
      </c>
      <c r="CP19" s="3" t="str">
        <f>IFERROR(__xludf.DUMMYFUNCTION("""COMPUTED_VALUE"""),"Plataforma Playo 4.00 x 1.90 x 0.72 Lateral Doble Baranda Fija")</f>
        <v>Plataforma Playo 4.00 x 1.90 x 0.72 Lateral Doble Baranda Fija</v>
      </c>
      <c r="CQ19" s="3" t="str">
        <f>IFERROR(__xludf.DUMMYFUNCTION("""COMPUTED_VALUE"""),"Plataforma Playo 5.00 x 2.20 x 0.60 Lateral Doble Trasera Rebatible")</f>
        <v>Plataforma Playo 5.00 x 2.20 x 0.60 Lateral Doble Trasera Rebatible</v>
      </c>
      <c r="CR19" s="3" t="str">
        <f>IFERROR(__xludf.DUMMYFUNCTION("""COMPUTED_VALUE"""),"Plataforma Playo 5.00 x 2.20 x 0.60 Lateral Doble Baranda Fija C/Toldo")</f>
        <v>Plataforma Playo 5.00 x 2.20 x 0.60 Lateral Doble Baranda Fija C/Toldo</v>
      </c>
      <c r="CS19" s="3" t="str">
        <f>IFERROR(__xludf.DUMMYFUNCTION("""COMPUTED_VALUE"""),"Plataforma Playo 3.00 x 1.90 x 0.45 Lateral Simple Baranda Fija")</f>
        <v>Plataforma Playo 3.00 x 1.90 x 0.45 Lateral Simple Baranda Fija</v>
      </c>
      <c r="CT19" s="3" t="str">
        <f>IFERROR(__xludf.DUMMYFUNCTION("""COMPUTED_VALUE"""),"Plataforma Playo 3.00 x 1.90 x 0.45 Lateral Simple Baranda Ventilada")</f>
        <v>Plataforma Playo 3.00 x 1.90 x 0.45 Lateral Simple Baranda Ventilada</v>
      </c>
      <c r="CU19" s="3" t="str">
        <f>IFERROR(__xludf.DUMMYFUNCTION("""COMPUTED_VALUE"""),"Plataforma Playo 2.00 x 1.90 x 0.45 Lateral Simple Baranda Fija")</f>
        <v>Plataforma Playo 2.00 x 1.90 x 0.45 Lateral Simple Baranda Fija</v>
      </c>
      <c r="CV19" s="3" t="str">
        <f>IFERROR(__xludf.DUMMYFUNCTION("""COMPUTED_VALUE"""),"Plataforma Playo 5.00 x 1.90 x 0.60 Lateral Doble Baranda Fija")</f>
        <v>Plataforma Playo 5.00 x 1.90 x 0.60 Lateral Doble Baranda Fija</v>
      </c>
      <c r="CW19" s="3" t="str">
        <f>IFERROR(__xludf.DUMMYFUNCTION("""COMPUTED_VALUE"""),"Plataforma Playo 6.40 x 2.70 x 0.72 Lateral Doble Baranda Fija")</f>
        <v>Plataforma Playo 6.40 x 2.70 x 0.72 Lateral Doble Baranda Fija</v>
      </c>
      <c r="CX19" s="3" t="str">
        <f>IFERROR(__xludf.DUMMYFUNCTION("""COMPUTED_VALUE"""),"Chasis Acoplado Balancin L4000 Lanza Recta")</f>
        <v>Chasis Acoplado Balancin L4000 Lanza Recta</v>
      </c>
      <c r="CY19" s="3" t="str">
        <f>IFERROR(__xludf.DUMMYFUNCTION("""COMPUTED_VALUE"""),"Llanta simple Agrícola 750x20 centro 152")</f>
        <v>Llanta simple Agrícola 750x20 centro 152</v>
      </c>
      <c r="CZ19" s="3" t="str">
        <f>IFERROR(__xludf.DUMMYFUNCTION("""COMPUTED_VALUE"""),"Cajón de Herramientas Mediano adelante")</f>
        <v>Cajón de Herramientas Mediano adelante</v>
      </c>
      <c r="DA19" s="3" t="str">
        <f>IFERROR(__xludf.DUMMYFUNCTION("""COMPUTED_VALUE"""),"Llanta 15"" Simple Agrícola Centro 92")</f>
        <v>Llanta 15" Simple Agrícola Centro 92</v>
      </c>
    </row>
    <row r="20" hidden="1">
      <c r="A20" s="38">
        <f t="shared" si="1"/>
        <v>19</v>
      </c>
      <c r="B20" s="38">
        <f>IF(F20="","",SUMIF(Prearmados!E:E,F20,Prearmados!A:A))</f>
        <v>3</v>
      </c>
      <c r="C20" s="38">
        <f>IF(F20="","",SUMIF(Productos!E:E,G20,Productos!A:A))</f>
        <v>94</v>
      </c>
      <c r="D20" s="83" t="str">
        <f t="array" ref="D20">IF(OR(F20="",F20="Seleccionar.."),"",XLOOKUP(F20,Prearmados!E:E,Prearmados!F:F,"",0,1))</f>
        <v>Acoplados Rurales</v>
      </c>
      <c r="E20" s="83">
        <f>IF(H20="","",SUMIF(Precio_Productos!K:K,C20,Precio_Productos!J:J)*H20)</f>
        <v>270382</v>
      </c>
      <c r="F20" s="84" t="s">
        <v>326</v>
      </c>
      <c r="G20" s="84" t="s">
        <v>121</v>
      </c>
      <c r="H20" s="13">
        <v>2.0</v>
      </c>
      <c r="P20" s="3" t="str">
        <f>IFERROR(__xludf.DUMMYFUNCTION("IF(OR(F20="""",F20=""Seleccionar..""),"""",TRANSPOSE(FILTER(Productos!E:E,(Productos!F:F=D20)+(Productos!F:F=XLOOKUP(D20,Implementos!B:B,Implementos!C:C,""-"",0,1)))))"),"Tanque Combustible 1100 lts Bajo")</f>
        <v>Tanque Combustible 1100 lts Bajo</v>
      </c>
      <c r="Q20" s="3" t="str">
        <f>IFERROR(__xludf.DUMMYFUNCTION("""COMPUTED_VALUE"""),"Tanque Combustible 1500 lts Standard")</f>
        <v>Tanque Combustible 1500 lts Standard</v>
      </c>
      <c r="R20" s="3" t="str">
        <f>IFERROR(__xludf.DUMMYFUNCTION("""COMPUTED_VALUE"""),"Tanque Combustible 1800 lts Standard")</f>
        <v>Tanque Combustible 1800 lts Standard</v>
      </c>
      <c r="S20" s="3" t="str">
        <f>IFERROR(__xludf.DUMMYFUNCTION("""COMPUTED_VALUE"""),"Tanque Combustible 2000 lts Bajo")</f>
        <v>Tanque Combustible 2000 lts Bajo</v>
      </c>
      <c r="T20" s="3" t="str">
        <f>IFERROR(__xludf.DUMMYFUNCTION("""COMPUTED_VALUE"""),"Tanque Combustible 2000 lts Standard")</f>
        <v>Tanque Combustible 2000 lts Standard</v>
      </c>
      <c r="U20" s="3" t="str">
        <f>IFERROR(__xludf.DUMMYFUNCTION("""COMPUTED_VALUE"""),"Tanque Combustible 3000 lts Standard")</f>
        <v>Tanque Combustible 3000 lts Standard</v>
      </c>
      <c r="V20" s="3" t="str">
        <f>IFERROR(__xludf.DUMMYFUNCTION("""COMPUTED_VALUE"""),"Tanque Combustible 3000 lts Alto")</f>
        <v>Tanque Combustible 3000 lts Alto</v>
      </c>
      <c r="W20" s="3" t="str">
        <f>IFERROR(__xludf.DUMMYFUNCTION("""COMPUTED_VALUE"""),"Tanque Combustible 4000 lts Standard")</f>
        <v>Tanque Combustible 4000 lts Standard</v>
      </c>
      <c r="X20" s="3" t="str">
        <f>IFERROR(__xludf.DUMMYFUNCTION("""COMPUTED_VALUE"""),"Tanque Combustible 5000 lts Standard")</f>
        <v>Tanque Combustible 5000 lts Standard</v>
      </c>
      <c r="Y20" s="3" t="str">
        <f>IFERROR(__xludf.DUMMYFUNCTION("""COMPUTED_VALUE"""),"Tanque Combustible 5000 lts Alto")</f>
        <v>Tanque Combustible 5000 lts Alto</v>
      </c>
      <c r="Z20" s="3" t="str">
        <f>IFERROR(__xludf.DUMMYFUNCTION("""COMPUTED_VALUE"""),"Tanque Combustible 2000 lts Alto")</f>
        <v>Tanque Combustible 2000 lts Alto</v>
      </c>
      <c r="AA20" s="3" t="str">
        <f>IFERROR(__xludf.DUMMYFUNCTION("""COMPUTED_VALUE"""),"Tanque Combustible 4000 lts Alto")</f>
        <v>Tanque Combustible 4000 lts Alto</v>
      </c>
      <c r="AB20" s="3" t="str">
        <f>IFERROR(__xludf.DUMMYFUNCTION("""COMPUTED_VALUE"""),"Baulera Standard - 750")</f>
        <v>Baulera Standard - 750</v>
      </c>
      <c r="AC20" s="3" t="str">
        <f>IFERROR(__xludf.DUMMYFUNCTION("""COMPUTED_VALUE"""),"Baulera Standard - 1700 - C/Laterales")</f>
        <v>Baulera Standard - 1700 - C/Laterales</v>
      </c>
      <c r="AD20" s="3" t="str">
        <f>IFERROR(__xludf.DUMMYFUNCTION("""COMPUTED_VALUE"""),"Baulera Standard - 1000 - C/Laterales")</f>
        <v>Baulera Standard - 1000 - C/Laterales</v>
      </c>
      <c r="AE20" s="3" t="str">
        <f>IFERROR(__xludf.DUMMYFUNCTION("""COMPUTED_VALUE"""),"Baulera Standard - 750 - C/Laterales")</f>
        <v>Baulera Standard - 750 - C/Laterales</v>
      </c>
      <c r="AF20" s="3" t="str">
        <f>IFERROR(__xludf.DUMMYFUNCTION("""COMPUTED_VALUE"""),"Baulera Standard - 1300 - C/Laterales")</f>
        <v>Baulera Standard - 1300 - C/Laterales</v>
      </c>
      <c r="AG20" s="3" t="str">
        <f>IFERROR(__xludf.DUMMYFUNCTION("""COMPUTED_VALUE"""),"Baulera Alta - 750")</f>
        <v>Baulera Alta - 750</v>
      </c>
      <c r="AH20" s="3" t="str">
        <f>IFERROR(__xludf.DUMMYFUNCTION("""COMPUTED_VALUE"""),"Baulera Alta - 1500 - C/Laterales")</f>
        <v>Baulera Alta - 1500 - C/Laterales</v>
      </c>
      <c r="AI20" s="3" t="str">
        <f>IFERROR(__xludf.DUMMYFUNCTION("""COMPUTED_VALUE"""),"Baulera Extendida 1700 - C/Laterales")</f>
        <v>Baulera Extendida 1700 - C/Laterales</v>
      </c>
      <c r="AJ20" s="3" t="str">
        <f>IFERROR(__xludf.DUMMYFUNCTION("""COMPUTED_VALUE"""),"Taller Móvil - 1500 x 1500 x 1700")</f>
        <v>Taller Móvil - 1500 x 1500 x 1700</v>
      </c>
      <c r="AK20" s="3" t="str">
        <f>IFERROR(__xludf.DUMMYFUNCTION("""COMPUTED_VALUE"""),"Cajón Herramientas Standard Derecho")</f>
        <v>Cajón Herramientas Standard Derecho</v>
      </c>
      <c r="AL20" s="3" t="str">
        <f>IFERROR(__xludf.DUMMYFUNCTION("""COMPUTED_VALUE"""),"Cajón Herramientas Standard Izquierdo")</f>
        <v>Cajón Herramientas Standard Izquierdo</v>
      </c>
      <c r="AM20" s="3" t="str">
        <f>IFERROR(__xludf.DUMMYFUNCTION("""COMPUTED_VALUE"""),"Cajón Herramientas Corto Derecho")</f>
        <v>Cajón Herramientas Corto Derecho</v>
      </c>
      <c r="AN20" s="3" t="str">
        <f>IFERROR(__xludf.DUMMYFUNCTION("""COMPUTED_VALUE"""),"Cajón Herramientas Corto Izquierdo")</f>
        <v>Cajón Herramientas Corto Izquierdo</v>
      </c>
      <c r="AO20" s="3" t="str">
        <f>IFERROR(__xludf.DUMMYFUNCTION("""COMPUTED_VALUE"""),"Cajón Herramientas Mediano Derecho")</f>
        <v>Cajón Herramientas Mediano Derecho</v>
      </c>
      <c r="AP20" s="3" t="str">
        <f>IFERROR(__xludf.DUMMYFUNCTION("""COMPUTED_VALUE"""),"Cajón Herramientas Mediano Izquierdo")</f>
        <v>Cajón Herramientas Mediano Izquierdo</v>
      </c>
      <c r="AQ20" s="3" t="str">
        <f>IFERROR(__xludf.DUMMYFUNCTION("""COMPUTED_VALUE"""),"Chasis Acoplado 2 Ejes L3000")</f>
        <v>Chasis Acoplado 2 Ejes L3000</v>
      </c>
      <c r="AR20" s="3" t="str">
        <f>IFERROR(__xludf.DUMMYFUNCTION("""COMPUTED_VALUE"""),"Chasis Acoplado 2 Ejes L3750")</f>
        <v>Chasis Acoplado 2 Ejes L3750</v>
      </c>
      <c r="AS20" s="3" t="str">
        <f>IFERROR(__xludf.DUMMYFUNCTION("""COMPUTED_VALUE"""),"Chasis Acoplado 2 Ejes L4000")</f>
        <v>Chasis Acoplado 2 Ejes L4000</v>
      </c>
      <c r="AT20" s="3" t="str">
        <f>IFERROR(__xludf.DUMMYFUNCTION("""COMPUTED_VALUE"""),"Chasis Acoplado 2 Ejes L4000 Reforzado")</f>
        <v>Chasis Acoplado 2 Ejes L4000 Reforzado</v>
      </c>
      <c r="AU20" s="3" t="str">
        <f>IFERROR(__xludf.DUMMYFUNCTION("""COMPUTED_VALUE"""),"Chasis Acoplado 2 Ejes L4750")</f>
        <v>Chasis Acoplado 2 Ejes L4750</v>
      </c>
      <c r="AV20" s="3" t="str">
        <f>IFERROR(__xludf.DUMMYFUNCTION("""COMPUTED_VALUE"""),"Chasis Acoplado 2 Ejes L4750 Reforzado")</f>
        <v>Chasis Acoplado 2 Ejes L4750 Reforzado</v>
      </c>
      <c r="AW20" s="3" t="str">
        <f>IFERROR(__xludf.DUMMYFUNCTION("""COMPUTED_VALUE"""),"Chasis Acoplado 2 Ejes L4750 Reforzado R. Camion")</f>
        <v>Chasis Acoplado 2 Ejes L4750 Reforzado R. Camion</v>
      </c>
      <c r="AX20" s="3" t="str">
        <f>IFERROR(__xludf.DUMMYFUNCTION("""COMPUTED_VALUE"""),"Chasis Acoplado 2 Ejes L5000")</f>
        <v>Chasis Acoplado 2 Ejes L5000</v>
      </c>
      <c r="AY20" s="3" t="str">
        <f>IFERROR(__xludf.DUMMYFUNCTION("""COMPUTED_VALUE"""),"Chasis Acoplado 2 Ejes L5750")</f>
        <v>Chasis Acoplado 2 Ejes L5750</v>
      </c>
      <c r="AZ20" s="3" t="str">
        <f>IFERROR(__xludf.DUMMYFUNCTION("""COMPUTED_VALUE"""),"Chasis Acoplado 2 Ejes L6400")</f>
        <v>Chasis Acoplado 2 Ejes L6400</v>
      </c>
      <c r="BA20" s="3" t="str">
        <f>IFERROR(__xludf.DUMMYFUNCTION("""COMPUTED_VALUE"""),"Chasis Acoplado 2 Ejes L4500")</f>
        <v>Chasis Acoplado 2 Ejes L4500</v>
      </c>
      <c r="BB20" s="3" t="str">
        <f>IFERROR(__xludf.DUMMYFUNCTION("""COMPUTED_VALUE"""),"Chasis Acoplado 1 Eje L1500")</f>
        <v>Chasis Acoplado 1 Eje L1500</v>
      </c>
      <c r="BC20" s="3" t="str">
        <f>IFERROR(__xludf.DUMMYFUNCTION("""COMPUTED_VALUE"""),"Chasis Acoplado 1 Eje L1800")</f>
        <v>Chasis Acoplado 1 Eje L1800</v>
      </c>
      <c r="BD20" s="3" t="str">
        <f>IFERROR(__xludf.DUMMYFUNCTION("""COMPUTED_VALUE"""),"Chasis Acoplado 1 Eje L1400")</f>
        <v>Chasis Acoplado 1 Eje L1400</v>
      </c>
      <c r="BE20" s="3" t="str">
        <f>IFERROR(__xludf.DUMMYFUNCTION("""COMPUTED_VALUE"""),"Chasis Acoplado Balancin L3000")</f>
        <v>Chasis Acoplado Balancin L3000</v>
      </c>
      <c r="BF20" s="3" t="str">
        <f>IFERROR(__xludf.DUMMYFUNCTION("""COMPUTED_VALUE"""),"Chasis Acoplado Balancin L3000 Lanza Corta")</f>
        <v>Chasis Acoplado Balancin L3000 Lanza Corta</v>
      </c>
      <c r="BG20" s="3" t="str">
        <f>IFERROR(__xludf.DUMMYFUNCTION("""COMPUTED_VALUE"""),"Chasis Acoplado Balancin L2000 Lanza Corta")</f>
        <v>Chasis Acoplado Balancin L2000 Lanza Corta</v>
      </c>
      <c r="BH20" s="3" t="str">
        <f>IFERROR(__xludf.DUMMYFUNCTION("""COMPUTED_VALUE"""),"Chasis Acoplado Balancin L3200 Lanza Corta")</f>
        <v>Chasis Acoplado Balancin L3200 Lanza Corta</v>
      </c>
      <c r="BI20" s="3" t="str">
        <f>IFERROR(__xludf.DUMMYFUNCTION("""COMPUTED_VALUE"""),"Chasis Acoplado Balancin L3200 Lanza Recta")</f>
        <v>Chasis Acoplado Balancin L3200 Lanza Recta</v>
      </c>
      <c r="BJ20" s="3" t="str">
        <f>IFERROR(__xludf.DUMMYFUNCTION("""COMPUTED_VALUE"""),"Chasis Acoplado Balancin L3200 Bajo Lanza Recta")</f>
        <v>Chasis Acoplado Balancin L3200 Bajo Lanza Recta</v>
      </c>
      <c r="BK20" s="3" t="str">
        <f>IFERROR(__xludf.DUMMYFUNCTION("""COMPUTED_VALUE"""),"Tanque Plastico Horizontal 750 Lts")</f>
        <v>Tanque Plastico Horizontal 750 Lts</v>
      </c>
      <c r="BL20" s="3" t="str">
        <f>IFERROR(__xludf.DUMMYFUNCTION("""COMPUTED_VALUE"""),"Medio Tanque Plastico Superior 700 Lts")</f>
        <v>Medio Tanque Plastico Superior 700 Lts</v>
      </c>
      <c r="BM20" s="3" t="str">
        <f>IFERROR(__xludf.DUMMYFUNCTION("""COMPUTED_VALUE"""),"Paquete de Elasticos 50 mm x 8 mm x 10 Hojas L850")</f>
        <v>Paquete de Elasticos 50 mm x 8 mm x 10 Hojas L850</v>
      </c>
      <c r="BN20" s="3" t="str">
        <f>IFERROR(__xludf.DUMMYFUNCTION("""COMPUTED_VALUE"""),"Paquete de Elasticos 63 mm x 8 mm x 10 Hojas L950")</f>
        <v>Paquete de Elasticos 63 mm x 8 mm x 10 Hojas L950</v>
      </c>
      <c r="BO20" s="3" t="str">
        <f>IFERROR(__xludf.DUMMYFUNCTION("""COMPUTED_VALUE"""),"Paquete de Elasticos 50 mm x 7 mm x 9 Hojas L850")</f>
        <v>Paquete de Elasticos 50 mm x 7 mm x 9 Hojas L850</v>
      </c>
      <c r="BP20" s="3" t="str">
        <f>IFERROR(__xludf.DUMMYFUNCTION("""COMPUTED_VALUE"""),"Paquete de Elasticos 63 mm x 8 mm x 8 Hojas L850")</f>
        <v>Paquete de Elasticos 63 mm x 8 mm x 8 Hojas L850</v>
      </c>
      <c r="BQ20" s="3" t="str">
        <f>IFERROR(__xludf.DUMMYFUNCTION("""COMPUTED_VALUE"""),"Paquete de Elasticos 63 mm x 10 mm x 10 Hojas L950")</f>
        <v>Paquete de Elasticos 63 mm x 10 mm x 10 Hojas L950</v>
      </c>
      <c r="BR20" s="3" t="str">
        <f>IFERROR(__xludf.DUMMYFUNCTION("""COMPUTED_VALUE"""),"Paquete de Elasticos 63 mm x 10 mm x 13 Hojas L975")</f>
        <v>Paquete de Elasticos 63 mm x 10 mm x 13 Hojas L975</v>
      </c>
      <c r="BS20" s="3" t="str">
        <f>IFERROR(__xludf.DUMMYFUNCTION("""COMPUTED_VALUE"""),"Paquete de Elasticos 50 mm x 7 mm x 9 Hojas L650")</f>
        <v>Paquete de Elasticos 50 mm x 7 mm x 9 Hojas L650</v>
      </c>
      <c r="BT20" s="3" t="str">
        <f>IFERROR(__xludf.DUMMYFUNCTION("""COMPUTED_VALUE"""),"Eje Acoplado 2"" x 1600 (06/08) Agrícola Centro 92")</f>
        <v>Eje Acoplado 2" x 1600 (06/08) Agrícola Centro 92</v>
      </c>
      <c r="BU20" s="3" t="str">
        <f>IFERROR(__xludf.DUMMYFUNCTION("""COMPUTED_VALUE"""),"Eje Acoplado 2 1/2"" x 1600 (07/09) Agrícola Centro 92")</f>
        <v>Eje Acoplado 2 1/2" x 1600 (07/09) Agrícola Centro 92</v>
      </c>
      <c r="BV20" s="3" t="str">
        <f>IFERROR(__xludf.DUMMYFUNCTION("""COMPUTED_VALUE"""),"Eje Acoplado 2 1/2"" x 1600 (09/11) Agrícola Centro 150")</f>
        <v>Eje Acoplado 2 1/2" x 1600 (09/11) Agrícola Centro 150</v>
      </c>
      <c r="BW20" s="3" t="str">
        <f>IFERROR(__xludf.DUMMYFUNCTION("""COMPUTED_VALUE"""),"Eje Acoplado 3"" x 1600 (10/13) Agrícola Centro 150")</f>
        <v>Eje Acoplado 3" x 1600 (10/13) Agrícola Centro 150</v>
      </c>
      <c r="BX20" s="3" t="str">
        <f>IFERROR(__xludf.DUMMYFUNCTION("""COMPUTED_VALUE"""),"Eje Acoplado 2 1/2"" x 2140 (07/09) Agrícola Centro 92")</f>
        <v>Eje Acoplado 2 1/2" x 2140 (07/09) Agrícola Centro 92</v>
      </c>
      <c r="BY20" s="3" t="str">
        <f>IFERROR(__xludf.DUMMYFUNCTION("""COMPUTED_VALUE"""),"Eje Acoplado 2"" x 1400 (06/08) Agrícola Centro 92")</f>
        <v>Eje Acoplado 2" x 1400 (06/08) Agrícola Centro 92</v>
      </c>
      <c r="BZ20" s="3" t="str">
        <f>IFERROR(__xludf.DUMMYFUNCTION("""COMPUTED_VALUE"""),"Eje Acoplado 2 1/2"" x 1500 (07/09) Agrícola Centro 92")</f>
        <v>Eje Acoplado 2 1/2" x 1500 (07/09) Agrícola Centro 92</v>
      </c>
      <c r="CA20" s="3" t="str">
        <f>IFERROR(__xludf.DUMMYFUNCTION("""COMPUTED_VALUE"""),"Eje Acoplado 2 1/2"" x 2000 (07/09) Agrícola Centro 92")</f>
        <v>Eje Acoplado 2 1/2" x 2000 (07/09) Agrícola Centro 92</v>
      </c>
      <c r="CB20" s="3" t="str">
        <f>IFERROR(__xludf.DUMMYFUNCTION("""COMPUTED_VALUE"""),"Eje Acoplado 2 1/2"" x 2100 (09/11) Agrícola Centro 150")</f>
        <v>Eje Acoplado 2 1/2" x 2100 (09/11) Agrícola Centro 150</v>
      </c>
      <c r="CC20" s="3" t="str">
        <f>IFERROR(__xludf.DUMMYFUNCTION("""COMPUTED_VALUE"""),"Llanta 16"" Simple Agrícola Centro 92")</f>
        <v>Llanta 16" Simple Agrícola Centro 92</v>
      </c>
      <c r="CD20" s="3" t="str">
        <f>IFERROR(__xludf.DUMMYFUNCTION("""COMPUTED_VALUE"""),"Llanta 16"" Dual Agrícola Centro 92")</f>
        <v>Llanta 16" Dual Agrícola Centro 92</v>
      </c>
      <c r="CE20" s="3" t="str">
        <f>IFERROR(__xludf.DUMMYFUNCTION("""COMPUTED_VALUE"""),"Llanta 17"" Simple Agrícola Centro 92")</f>
        <v>Llanta 17" Simple Agrícola Centro 92</v>
      </c>
      <c r="CF20" s="3" t="str">
        <f>IFERROR(__xludf.DUMMYFUNCTION("""COMPUTED_VALUE"""),"Llanta 17"" Dual Agrícola Centro 92")</f>
        <v>Llanta 17" Dual Agrícola Centro 92</v>
      </c>
      <c r="CG20" s="3" t="str">
        <f>IFERROR(__xludf.DUMMYFUNCTION("""COMPUTED_VALUE"""),"Llanta 16"" Dual Agrícola Centro 152")</f>
        <v>Llanta 16" Dual Agrícola Centro 152</v>
      </c>
      <c r="CH20" s="3" t="str">
        <f>IFERROR(__xludf.DUMMYFUNCTION("""COMPUTED_VALUE"""),"Llanta 17"" Dual Agrícola Centro 152")</f>
        <v>Llanta 17" Dual Agrícola Centro 152</v>
      </c>
      <c r="CI20" s="3" t="str">
        <f>IFERROR(__xludf.DUMMYFUNCTION("""COMPUTED_VALUE"""),"Eje Acoplado 2"" x 1600 (05/07) Agrícola Centro 92")</f>
        <v>Eje Acoplado 2" x 1600 (05/07) Agrícola Centro 92</v>
      </c>
      <c r="CJ20" s="3" t="str">
        <f>IFERROR(__xludf.DUMMYFUNCTION("""COMPUTED_VALUE"""),"Paquete de Elásticos 50 mm x 8 mm x 12 Hojas")</f>
        <v>Paquete de Elásticos 50 mm x 8 mm x 12 Hojas</v>
      </c>
      <c r="CK20" s="3" t="str">
        <f>IFERROR(__xludf.DUMMYFUNCTION("""COMPUTED_VALUE"""),"Plataforma Playo 4.00 x 1.90 x 0.45 Lateral Simple Baranda Fija")</f>
        <v>Plataforma Playo 4.00 x 1.90 x 0.45 Lateral Simple Baranda Fija</v>
      </c>
      <c r="CL20" s="3" t="str">
        <f>IFERROR(__xludf.DUMMYFUNCTION("""COMPUTED_VALUE"""),"Plataforma Playo 4.00 x 1.90 x 0.45 Lateral Simple Baranda Ventilada")</f>
        <v>Plataforma Playo 4.00 x 1.90 x 0.45 Lateral Simple Baranda Ventilada</v>
      </c>
      <c r="CM20" s="3" t="str">
        <f>IFERROR(__xludf.DUMMYFUNCTION("""COMPUTED_VALUE"""),"Plataforma Playo 4.00 x 1.90 x 0.45 Lateral Doble Baranda Ventilada")</f>
        <v>Plataforma Playo 4.00 x 1.90 x 0.45 Lateral Doble Baranda Ventilada</v>
      </c>
      <c r="CN20" s="3" t="str">
        <f>IFERROR(__xludf.DUMMYFUNCTION("""COMPUTED_VALUE"""),"Plataforma Playo 4.00 x 1.90 x 0.45 Lateral Doble Baranda Fija")</f>
        <v>Plataforma Playo 4.00 x 1.90 x 0.45 Lateral Doble Baranda Fija</v>
      </c>
      <c r="CO20" s="3" t="str">
        <f>IFERROR(__xludf.DUMMYFUNCTION("""COMPUTED_VALUE"""),"Plataforma Playo 4.00 x 1.90 x 0.72 Lateral Simple Baranda Fija")</f>
        <v>Plataforma Playo 4.00 x 1.90 x 0.72 Lateral Simple Baranda Fija</v>
      </c>
      <c r="CP20" s="3" t="str">
        <f>IFERROR(__xludf.DUMMYFUNCTION("""COMPUTED_VALUE"""),"Plataforma Playo 4.00 x 1.90 x 0.72 Lateral Doble Baranda Fija")</f>
        <v>Plataforma Playo 4.00 x 1.90 x 0.72 Lateral Doble Baranda Fija</v>
      </c>
      <c r="CQ20" s="3" t="str">
        <f>IFERROR(__xludf.DUMMYFUNCTION("""COMPUTED_VALUE"""),"Plataforma Playo 5.00 x 2.20 x 0.60 Lateral Doble Trasera Rebatible")</f>
        <v>Plataforma Playo 5.00 x 2.20 x 0.60 Lateral Doble Trasera Rebatible</v>
      </c>
      <c r="CR20" s="3" t="str">
        <f>IFERROR(__xludf.DUMMYFUNCTION("""COMPUTED_VALUE"""),"Plataforma Playo 5.00 x 2.20 x 0.60 Lateral Doble Baranda Fija C/Toldo")</f>
        <v>Plataforma Playo 5.00 x 2.20 x 0.60 Lateral Doble Baranda Fija C/Toldo</v>
      </c>
      <c r="CS20" s="3" t="str">
        <f>IFERROR(__xludf.DUMMYFUNCTION("""COMPUTED_VALUE"""),"Plataforma Playo 3.00 x 1.90 x 0.45 Lateral Simple Baranda Fija")</f>
        <v>Plataforma Playo 3.00 x 1.90 x 0.45 Lateral Simple Baranda Fija</v>
      </c>
      <c r="CT20" s="3" t="str">
        <f>IFERROR(__xludf.DUMMYFUNCTION("""COMPUTED_VALUE"""),"Plataforma Playo 3.00 x 1.90 x 0.45 Lateral Simple Baranda Ventilada")</f>
        <v>Plataforma Playo 3.00 x 1.90 x 0.45 Lateral Simple Baranda Ventilada</v>
      </c>
      <c r="CU20" s="3" t="str">
        <f>IFERROR(__xludf.DUMMYFUNCTION("""COMPUTED_VALUE"""),"Plataforma Playo 2.00 x 1.90 x 0.45 Lateral Simple Baranda Fija")</f>
        <v>Plataforma Playo 2.00 x 1.90 x 0.45 Lateral Simple Baranda Fija</v>
      </c>
      <c r="CV20" s="3" t="str">
        <f>IFERROR(__xludf.DUMMYFUNCTION("""COMPUTED_VALUE"""),"Plataforma Playo 5.00 x 1.90 x 0.60 Lateral Doble Baranda Fija")</f>
        <v>Plataforma Playo 5.00 x 1.90 x 0.60 Lateral Doble Baranda Fija</v>
      </c>
      <c r="CW20" s="3" t="str">
        <f>IFERROR(__xludf.DUMMYFUNCTION("""COMPUTED_VALUE"""),"Plataforma Playo 6.40 x 2.70 x 0.72 Lateral Doble Baranda Fija")</f>
        <v>Plataforma Playo 6.40 x 2.70 x 0.72 Lateral Doble Baranda Fija</v>
      </c>
      <c r="CX20" s="3" t="str">
        <f>IFERROR(__xludf.DUMMYFUNCTION("""COMPUTED_VALUE"""),"Chasis Acoplado Balancin L4000 Lanza Recta")</f>
        <v>Chasis Acoplado Balancin L4000 Lanza Recta</v>
      </c>
      <c r="CY20" s="3" t="str">
        <f>IFERROR(__xludf.DUMMYFUNCTION("""COMPUTED_VALUE"""),"Llanta simple Agrícola 750x20 centro 152")</f>
        <v>Llanta simple Agrícola 750x20 centro 152</v>
      </c>
      <c r="CZ20" s="3" t="str">
        <f>IFERROR(__xludf.DUMMYFUNCTION("""COMPUTED_VALUE"""),"Cajón de Herramientas Mediano adelante")</f>
        <v>Cajón de Herramientas Mediano adelante</v>
      </c>
      <c r="DA20" s="3" t="str">
        <f>IFERROR(__xludf.DUMMYFUNCTION("""COMPUTED_VALUE"""),"Llanta 15"" Simple Agrícola Centro 92")</f>
        <v>Llanta 15" Simple Agrícola Centro 92</v>
      </c>
    </row>
    <row r="21" hidden="1">
      <c r="A21" s="38">
        <f t="shared" si="1"/>
        <v>20</v>
      </c>
      <c r="B21" s="38">
        <f>IF(F21="","",SUMIF(Prearmados!E:E,F21,Prearmados!A:A))</f>
        <v>3</v>
      </c>
      <c r="C21" s="38">
        <f>IF(F21="","",SUMIF(Productos!E:E,G21,Productos!A:A))</f>
        <v>110</v>
      </c>
      <c r="D21" s="83" t="str">
        <f t="array" ref="D21">IF(OR(F21="",F21="Seleccionar.."),"",XLOOKUP(F21,Prearmados!E:E,Prearmados!F:F,"",0,1))</f>
        <v>Acoplados Rurales</v>
      </c>
      <c r="E21" s="83">
        <f>IF(H21="","",SUMIF(Precio_Productos!K:K,C21,Precio_Productos!J:J)*H21)</f>
        <v>238400</v>
      </c>
      <c r="F21" s="84" t="s">
        <v>326</v>
      </c>
      <c r="G21" s="84" t="s">
        <v>129</v>
      </c>
      <c r="H21" s="13">
        <v>2.0</v>
      </c>
      <c r="P21" s="3" t="str">
        <f>IFERROR(__xludf.DUMMYFUNCTION("IF(OR(F21="""",F21=""Seleccionar..""),"""",TRANSPOSE(FILTER(Productos!E:E,(Productos!F:F=D21)+(Productos!F:F=XLOOKUP(D21,Implementos!B:B,Implementos!C:C,""-"",0,1)))))"),"Tanque Combustible 1100 lts Bajo")</f>
        <v>Tanque Combustible 1100 lts Bajo</v>
      </c>
      <c r="Q21" s="3" t="str">
        <f>IFERROR(__xludf.DUMMYFUNCTION("""COMPUTED_VALUE"""),"Tanque Combustible 1500 lts Standard")</f>
        <v>Tanque Combustible 1500 lts Standard</v>
      </c>
      <c r="R21" s="3" t="str">
        <f>IFERROR(__xludf.DUMMYFUNCTION("""COMPUTED_VALUE"""),"Tanque Combustible 1800 lts Standard")</f>
        <v>Tanque Combustible 1800 lts Standard</v>
      </c>
      <c r="S21" s="3" t="str">
        <f>IFERROR(__xludf.DUMMYFUNCTION("""COMPUTED_VALUE"""),"Tanque Combustible 2000 lts Bajo")</f>
        <v>Tanque Combustible 2000 lts Bajo</v>
      </c>
      <c r="T21" s="3" t="str">
        <f>IFERROR(__xludf.DUMMYFUNCTION("""COMPUTED_VALUE"""),"Tanque Combustible 2000 lts Standard")</f>
        <v>Tanque Combustible 2000 lts Standard</v>
      </c>
      <c r="U21" s="3" t="str">
        <f>IFERROR(__xludf.DUMMYFUNCTION("""COMPUTED_VALUE"""),"Tanque Combustible 3000 lts Standard")</f>
        <v>Tanque Combustible 3000 lts Standard</v>
      </c>
      <c r="V21" s="3" t="str">
        <f>IFERROR(__xludf.DUMMYFUNCTION("""COMPUTED_VALUE"""),"Tanque Combustible 3000 lts Alto")</f>
        <v>Tanque Combustible 3000 lts Alto</v>
      </c>
      <c r="W21" s="3" t="str">
        <f>IFERROR(__xludf.DUMMYFUNCTION("""COMPUTED_VALUE"""),"Tanque Combustible 4000 lts Standard")</f>
        <v>Tanque Combustible 4000 lts Standard</v>
      </c>
      <c r="X21" s="3" t="str">
        <f>IFERROR(__xludf.DUMMYFUNCTION("""COMPUTED_VALUE"""),"Tanque Combustible 5000 lts Standard")</f>
        <v>Tanque Combustible 5000 lts Standard</v>
      </c>
      <c r="Y21" s="3" t="str">
        <f>IFERROR(__xludf.DUMMYFUNCTION("""COMPUTED_VALUE"""),"Tanque Combustible 5000 lts Alto")</f>
        <v>Tanque Combustible 5000 lts Alto</v>
      </c>
      <c r="Z21" s="3" t="str">
        <f>IFERROR(__xludf.DUMMYFUNCTION("""COMPUTED_VALUE"""),"Tanque Combustible 2000 lts Alto")</f>
        <v>Tanque Combustible 2000 lts Alto</v>
      </c>
      <c r="AA21" s="3" t="str">
        <f>IFERROR(__xludf.DUMMYFUNCTION("""COMPUTED_VALUE"""),"Tanque Combustible 4000 lts Alto")</f>
        <v>Tanque Combustible 4000 lts Alto</v>
      </c>
      <c r="AB21" s="3" t="str">
        <f>IFERROR(__xludf.DUMMYFUNCTION("""COMPUTED_VALUE"""),"Baulera Standard - 750")</f>
        <v>Baulera Standard - 750</v>
      </c>
      <c r="AC21" s="3" t="str">
        <f>IFERROR(__xludf.DUMMYFUNCTION("""COMPUTED_VALUE"""),"Baulera Standard - 1700 - C/Laterales")</f>
        <v>Baulera Standard - 1700 - C/Laterales</v>
      </c>
      <c r="AD21" s="3" t="str">
        <f>IFERROR(__xludf.DUMMYFUNCTION("""COMPUTED_VALUE"""),"Baulera Standard - 1000 - C/Laterales")</f>
        <v>Baulera Standard - 1000 - C/Laterales</v>
      </c>
      <c r="AE21" s="3" t="str">
        <f>IFERROR(__xludf.DUMMYFUNCTION("""COMPUTED_VALUE"""),"Baulera Standard - 750 - C/Laterales")</f>
        <v>Baulera Standard - 750 - C/Laterales</v>
      </c>
      <c r="AF21" s="3" t="str">
        <f>IFERROR(__xludf.DUMMYFUNCTION("""COMPUTED_VALUE"""),"Baulera Standard - 1300 - C/Laterales")</f>
        <v>Baulera Standard - 1300 - C/Laterales</v>
      </c>
      <c r="AG21" s="3" t="str">
        <f>IFERROR(__xludf.DUMMYFUNCTION("""COMPUTED_VALUE"""),"Baulera Alta - 750")</f>
        <v>Baulera Alta - 750</v>
      </c>
      <c r="AH21" s="3" t="str">
        <f>IFERROR(__xludf.DUMMYFUNCTION("""COMPUTED_VALUE"""),"Baulera Alta - 1500 - C/Laterales")</f>
        <v>Baulera Alta - 1500 - C/Laterales</v>
      </c>
      <c r="AI21" s="3" t="str">
        <f>IFERROR(__xludf.DUMMYFUNCTION("""COMPUTED_VALUE"""),"Baulera Extendida 1700 - C/Laterales")</f>
        <v>Baulera Extendida 1700 - C/Laterales</v>
      </c>
      <c r="AJ21" s="3" t="str">
        <f>IFERROR(__xludf.DUMMYFUNCTION("""COMPUTED_VALUE"""),"Taller Móvil - 1500 x 1500 x 1700")</f>
        <v>Taller Móvil - 1500 x 1500 x 1700</v>
      </c>
      <c r="AK21" s="3" t="str">
        <f>IFERROR(__xludf.DUMMYFUNCTION("""COMPUTED_VALUE"""),"Cajón Herramientas Standard Derecho")</f>
        <v>Cajón Herramientas Standard Derecho</v>
      </c>
      <c r="AL21" s="3" t="str">
        <f>IFERROR(__xludf.DUMMYFUNCTION("""COMPUTED_VALUE"""),"Cajón Herramientas Standard Izquierdo")</f>
        <v>Cajón Herramientas Standard Izquierdo</v>
      </c>
      <c r="AM21" s="3" t="str">
        <f>IFERROR(__xludf.DUMMYFUNCTION("""COMPUTED_VALUE"""),"Cajón Herramientas Corto Derecho")</f>
        <v>Cajón Herramientas Corto Derecho</v>
      </c>
      <c r="AN21" s="3" t="str">
        <f>IFERROR(__xludf.DUMMYFUNCTION("""COMPUTED_VALUE"""),"Cajón Herramientas Corto Izquierdo")</f>
        <v>Cajón Herramientas Corto Izquierdo</v>
      </c>
      <c r="AO21" s="3" t="str">
        <f>IFERROR(__xludf.DUMMYFUNCTION("""COMPUTED_VALUE"""),"Cajón Herramientas Mediano Derecho")</f>
        <v>Cajón Herramientas Mediano Derecho</v>
      </c>
      <c r="AP21" s="3" t="str">
        <f>IFERROR(__xludf.DUMMYFUNCTION("""COMPUTED_VALUE"""),"Cajón Herramientas Mediano Izquierdo")</f>
        <v>Cajón Herramientas Mediano Izquierdo</v>
      </c>
      <c r="AQ21" s="3" t="str">
        <f>IFERROR(__xludf.DUMMYFUNCTION("""COMPUTED_VALUE"""),"Chasis Acoplado 2 Ejes L3000")</f>
        <v>Chasis Acoplado 2 Ejes L3000</v>
      </c>
      <c r="AR21" s="3" t="str">
        <f>IFERROR(__xludf.DUMMYFUNCTION("""COMPUTED_VALUE"""),"Chasis Acoplado 2 Ejes L3750")</f>
        <v>Chasis Acoplado 2 Ejes L3750</v>
      </c>
      <c r="AS21" s="3" t="str">
        <f>IFERROR(__xludf.DUMMYFUNCTION("""COMPUTED_VALUE"""),"Chasis Acoplado 2 Ejes L4000")</f>
        <v>Chasis Acoplado 2 Ejes L4000</v>
      </c>
      <c r="AT21" s="3" t="str">
        <f>IFERROR(__xludf.DUMMYFUNCTION("""COMPUTED_VALUE"""),"Chasis Acoplado 2 Ejes L4000 Reforzado")</f>
        <v>Chasis Acoplado 2 Ejes L4000 Reforzado</v>
      </c>
      <c r="AU21" s="3" t="str">
        <f>IFERROR(__xludf.DUMMYFUNCTION("""COMPUTED_VALUE"""),"Chasis Acoplado 2 Ejes L4750")</f>
        <v>Chasis Acoplado 2 Ejes L4750</v>
      </c>
      <c r="AV21" s="3" t="str">
        <f>IFERROR(__xludf.DUMMYFUNCTION("""COMPUTED_VALUE"""),"Chasis Acoplado 2 Ejes L4750 Reforzado")</f>
        <v>Chasis Acoplado 2 Ejes L4750 Reforzado</v>
      </c>
      <c r="AW21" s="3" t="str">
        <f>IFERROR(__xludf.DUMMYFUNCTION("""COMPUTED_VALUE"""),"Chasis Acoplado 2 Ejes L4750 Reforzado R. Camion")</f>
        <v>Chasis Acoplado 2 Ejes L4750 Reforzado R. Camion</v>
      </c>
      <c r="AX21" s="3" t="str">
        <f>IFERROR(__xludf.DUMMYFUNCTION("""COMPUTED_VALUE"""),"Chasis Acoplado 2 Ejes L5000")</f>
        <v>Chasis Acoplado 2 Ejes L5000</v>
      </c>
      <c r="AY21" s="3" t="str">
        <f>IFERROR(__xludf.DUMMYFUNCTION("""COMPUTED_VALUE"""),"Chasis Acoplado 2 Ejes L5750")</f>
        <v>Chasis Acoplado 2 Ejes L5750</v>
      </c>
      <c r="AZ21" s="3" t="str">
        <f>IFERROR(__xludf.DUMMYFUNCTION("""COMPUTED_VALUE"""),"Chasis Acoplado 2 Ejes L6400")</f>
        <v>Chasis Acoplado 2 Ejes L6400</v>
      </c>
      <c r="BA21" s="3" t="str">
        <f>IFERROR(__xludf.DUMMYFUNCTION("""COMPUTED_VALUE"""),"Chasis Acoplado 2 Ejes L4500")</f>
        <v>Chasis Acoplado 2 Ejes L4500</v>
      </c>
      <c r="BB21" s="3" t="str">
        <f>IFERROR(__xludf.DUMMYFUNCTION("""COMPUTED_VALUE"""),"Chasis Acoplado 1 Eje L1500")</f>
        <v>Chasis Acoplado 1 Eje L1500</v>
      </c>
      <c r="BC21" s="3" t="str">
        <f>IFERROR(__xludf.DUMMYFUNCTION("""COMPUTED_VALUE"""),"Chasis Acoplado 1 Eje L1800")</f>
        <v>Chasis Acoplado 1 Eje L1800</v>
      </c>
      <c r="BD21" s="3" t="str">
        <f>IFERROR(__xludf.DUMMYFUNCTION("""COMPUTED_VALUE"""),"Chasis Acoplado 1 Eje L1400")</f>
        <v>Chasis Acoplado 1 Eje L1400</v>
      </c>
      <c r="BE21" s="3" t="str">
        <f>IFERROR(__xludf.DUMMYFUNCTION("""COMPUTED_VALUE"""),"Chasis Acoplado Balancin L3000")</f>
        <v>Chasis Acoplado Balancin L3000</v>
      </c>
      <c r="BF21" s="3" t="str">
        <f>IFERROR(__xludf.DUMMYFUNCTION("""COMPUTED_VALUE"""),"Chasis Acoplado Balancin L3000 Lanza Corta")</f>
        <v>Chasis Acoplado Balancin L3000 Lanza Corta</v>
      </c>
      <c r="BG21" s="3" t="str">
        <f>IFERROR(__xludf.DUMMYFUNCTION("""COMPUTED_VALUE"""),"Chasis Acoplado Balancin L2000 Lanza Corta")</f>
        <v>Chasis Acoplado Balancin L2000 Lanza Corta</v>
      </c>
      <c r="BH21" s="3" t="str">
        <f>IFERROR(__xludf.DUMMYFUNCTION("""COMPUTED_VALUE"""),"Chasis Acoplado Balancin L3200 Lanza Corta")</f>
        <v>Chasis Acoplado Balancin L3200 Lanza Corta</v>
      </c>
      <c r="BI21" s="3" t="str">
        <f>IFERROR(__xludf.DUMMYFUNCTION("""COMPUTED_VALUE"""),"Chasis Acoplado Balancin L3200 Lanza Recta")</f>
        <v>Chasis Acoplado Balancin L3200 Lanza Recta</v>
      </c>
      <c r="BJ21" s="3" t="str">
        <f>IFERROR(__xludf.DUMMYFUNCTION("""COMPUTED_VALUE"""),"Chasis Acoplado Balancin L3200 Bajo Lanza Recta")</f>
        <v>Chasis Acoplado Balancin L3200 Bajo Lanza Recta</v>
      </c>
      <c r="BK21" s="3" t="str">
        <f>IFERROR(__xludf.DUMMYFUNCTION("""COMPUTED_VALUE"""),"Tanque Plastico Horizontal 750 Lts")</f>
        <v>Tanque Plastico Horizontal 750 Lts</v>
      </c>
      <c r="BL21" s="3" t="str">
        <f>IFERROR(__xludf.DUMMYFUNCTION("""COMPUTED_VALUE"""),"Medio Tanque Plastico Superior 700 Lts")</f>
        <v>Medio Tanque Plastico Superior 700 Lts</v>
      </c>
      <c r="BM21" s="3" t="str">
        <f>IFERROR(__xludf.DUMMYFUNCTION("""COMPUTED_VALUE"""),"Paquete de Elasticos 50 mm x 8 mm x 10 Hojas L850")</f>
        <v>Paquete de Elasticos 50 mm x 8 mm x 10 Hojas L850</v>
      </c>
      <c r="BN21" s="3" t="str">
        <f>IFERROR(__xludf.DUMMYFUNCTION("""COMPUTED_VALUE"""),"Paquete de Elasticos 63 mm x 8 mm x 10 Hojas L950")</f>
        <v>Paquete de Elasticos 63 mm x 8 mm x 10 Hojas L950</v>
      </c>
      <c r="BO21" s="3" t="str">
        <f>IFERROR(__xludf.DUMMYFUNCTION("""COMPUTED_VALUE"""),"Paquete de Elasticos 50 mm x 7 mm x 9 Hojas L850")</f>
        <v>Paquete de Elasticos 50 mm x 7 mm x 9 Hojas L850</v>
      </c>
      <c r="BP21" s="3" t="str">
        <f>IFERROR(__xludf.DUMMYFUNCTION("""COMPUTED_VALUE"""),"Paquete de Elasticos 63 mm x 8 mm x 8 Hojas L850")</f>
        <v>Paquete de Elasticos 63 mm x 8 mm x 8 Hojas L850</v>
      </c>
      <c r="BQ21" s="3" t="str">
        <f>IFERROR(__xludf.DUMMYFUNCTION("""COMPUTED_VALUE"""),"Paquete de Elasticos 63 mm x 10 mm x 10 Hojas L950")</f>
        <v>Paquete de Elasticos 63 mm x 10 mm x 10 Hojas L950</v>
      </c>
      <c r="BR21" s="3" t="str">
        <f>IFERROR(__xludf.DUMMYFUNCTION("""COMPUTED_VALUE"""),"Paquete de Elasticos 63 mm x 10 mm x 13 Hojas L975")</f>
        <v>Paquete de Elasticos 63 mm x 10 mm x 13 Hojas L975</v>
      </c>
      <c r="BS21" s="3" t="str">
        <f>IFERROR(__xludf.DUMMYFUNCTION("""COMPUTED_VALUE"""),"Paquete de Elasticos 50 mm x 7 mm x 9 Hojas L650")</f>
        <v>Paquete de Elasticos 50 mm x 7 mm x 9 Hojas L650</v>
      </c>
      <c r="BT21" s="3" t="str">
        <f>IFERROR(__xludf.DUMMYFUNCTION("""COMPUTED_VALUE"""),"Eje Acoplado 2"" x 1600 (06/08) Agrícola Centro 92")</f>
        <v>Eje Acoplado 2" x 1600 (06/08) Agrícola Centro 92</v>
      </c>
      <c r="BU21" s="3" t="str">
        <f>IFERROR(__xludf.DUMMYFUNCTION("""COMPUTED_VALUE"""),"Eje Acoplado 2 1/2"" x 1600 (07/09) Agrícola Centro 92")</f>
        <v>Eje Acoplado 2 1/2" x 1600 (07/09) Agrícola Centro 92</v>
      </c>
      <c r="BV21" s="3" t="str">
        <f>IFERROR(__xludf.DUMMYFUNCTION("""COMPUTED_VALUE"""),"Eje Acoplado 2 1/2"" x 1600 (09/11) Agrícola Centro 150")</f>
        <v>Eje Acoplado 2 1/2" x 1600 (09/11) Agrícola Centro 150</v>
      </c>
      <c r="BW21" s="3" t="str">
        <f>IFERROR(__xludf.DUMMYFUNCTION("""COMPUTED_VALUE"""),"Eje Acoplado 3"" x 1600 (10/13) Agrícola Centro 150")</f>
        <v>Eje Acoplado 3" x 1600 (10/13) Agrícola Centro 150</v>
      </c>
      <c r="BX21" s="3" t="str">
        <f>IFERROR(__xludf.DUMMYFUNCTION("""COMPUTED_VALUE"""),"Eje Acoplado 2 1/2"" x 2140 (07/09) Agrícola Centro 92")</f>
        <v>Eje Acoplado 2 1/2" x 2140 (07/09) Agrícola Centro 92</v>
      </c>
      <c r="BY21" s="3" t="str">
        <f>IFERROR(__xludf.DUMMYFUNCTION("""COMPUTED_VALUE"""),"Eje Acoplado 2"" x 1400 (06/08) Agrícola Centro 92")</f>
        <v>Eje Acoplado 2" x 1400 (06/08) Agrícola Centro 92</v>
      </c>
      <c r="BZ21" s="3" t="str">
        <f>IFERROR(__xludf.DUMMYFUNCTION("""COMPUTED_VALUE"""),"Eje Acoplado 2 1/2"" x 1500 (07/09) Agrícola Centro 92")</f>
        <v>Eje Acoplado 2 1/2" x 1500 (07/09) Agrícola Centro 92</v>
      </c>
      <c r="CA21" s="3" t="str">
        <f>IFERROR(__xludf.DUMMYFUNCTION("""COMPUTED_VALUE"""),"Eje Acoplado 2 1/2"" x 2000 (07/09) Agrícola Centro 92")</f>
        <v>Eje Acoplado 2 1/2" x 2000 (07/09) Agrícola Centro 92</v>
      </c>
      <c r="CB21" s="3" t="str">
        <f>IFERROR(__xludf.DUMMYFUNCTION("""COMPUTED_VALUE"""),"Eje Acoplado 2 1/2"" x 2100 (09/11) Agrícola Centro 150")</f>
        <v>Eje Acoplado 2 1/2" x 2100 (09/11) Agrícola Centro 150</v>
      </c>
      <c r="CC21" s="3" t="str">
        <f>IFERROR(__xludf.DUMMYFUNCTION("""COMPUTED_VALUE"""),"Llanta 16"" Simple Agrícola Centro 92")</f>
        <v>Llanta 16" Simple Agrícola Centro 92</v>
      </c>
      <c r="CD21" s="3" t="str">
        <f>IFERROR(__xludf.DUMMYFUNCTION("""COMPUTED_VALUE"""),"Llanta 16"" Dual Agrícola Centro 92")</f>
        <v>Llanta 16" Dual Agrícola Centro 92</v>
      </c>
      <c r="CE21" s="3" t="str">
        <f>IFERROR(__xludf.DUMMYFUNCTION("""COMPUTED_VALUE"""),"Llanta 17"" Simple Agrícola Centro 92")</f>
        <v>Llanta 17" Simple Agrícola Centro 92</v>
      </c>
      <c r="CF21" s="3" t="str">
        <f>IFERROR(__xludf.DUMMYFUNCTION("""COMPUTED_VALUE"""),"Llanta 17"" Dual Agrícola Centro 92")</f>
        <v>Llanta 17" Dual Agrícola Centro 92</v>
      </c>
      <c r="CG21" s="3" t="str">
        <f>IFERROR(__xludf.DUMMYFUNCTION("""COMPUTED_VALUE"""),"Llanta 16"" Dual Agrícola Centro 152")</f>
        <v>Llanta 16" Dual Agrícola Centro 152</v>
      </c>
      <c r="CH21" s="3" t="str">
        <f>IFERROR(__xludf.DUMMYFUNCTION("""COMPUTED_VALUE"""),"Llanta 17"" Dual Agrícola Centro 152")</f>
        <v>Llanta 17" Dual Agrícola Centro 152</v>
      </c>
      <c r="CI21" s="3" t="str">
        <f>IFERROR(__xludf.DUMMYFUNCTION("""COMPUTED_VALUE"""),"Eje Acoplado 2"" x 1600 (05/07) Agrícola Centro 92")</f>
        <v>Eje Acoplado 2" x 1600 (05/07) Agrícola Centro 92</v>
      </c>
      <c r="CJ21" s="3" t="str">
        <f>IFERROR(__xludf.DUMMYFUNCTION("""COMPUTED_VALUE"""),"Paquete de Elásticos 50 mm x 8 mm x 12 Hojas")</f>
        <v>Paquete de Elásticos 50 mm x 8 mm x 12 Hojas</v>
      </c>
      <c r="CK21" s="3" t="str">
        <f>IFERROR(__xludf.DUMMYFUNCTION("""COMPUTED_VALUE"""),"Plataforma Playo 4.00 x 1.90 x 0.45 Lateral Simple Baranda Fija")</f>
        <v>Plataforma Playo 4.00 x 1.90 x 0.45 Lateral Simple Baranda Fija</v>
      </c>
      <c r="CL21" s="3" t="str">
        <f>IFERROR(__xludf.DUMMYFUNCTION("""COMPUTED_VALUE"""),"Plataforma Playo 4.00 x 1.90 x 0.45 Lateral Simple Baranda Ventilada")</f>
        <v>Plataforma Playo 4.00 x 1.90 x 0.45 Lateral Simple Baranda Ventilada</v>
      </c>
      <c r="CM21" s="3" t="str">
        <f>IFERROR(__xludf.DUMMYFUNCTION("""COMPUTED_VALUE"""),"Plataforma Playo 4.00 x 1.90 x 0.45 Lateral Doble Baranda Ventilada")</f>
        <v>Plataforma Playo 4.00 x 1.90 x 0.45 Lateral Doble Baranda Ventilada</v>
      </c>
      <c r="CN21" s="3" t="str">
        <f>IFERROR(__xludf.DUMMYFUNCTION("""COMPUTED_VALUE"""),"Plataforma Playo 4.00 x 1.90 x 0.45 Lateral Doble Baranda Fija")</f>
        <v>Plataforma Playo 4.00 x 1.90 x 0.45 Lateral Doble Baranda Fija</v>
      </c>
      <c r="CO21" s="3" t="str">
        <f>IFERROR(__xludf.DUMMYFUNCTION("""COMPUTED_VALUE"""),"Plataforma Playo 4.00 x 1.90 x 0.72 Lateral Simple Baranda Fija")</f>
        <v>Plataforma Playo 4.00 x 1.90 x 0.72 Lateral Simple Baranda Fija</v>
      </c>
      <c r="CP21" s="3" t="str">
        <f>IFERROR(__xludf.DUMMYFUNCTION("""COMPUTED_VALUE"""),"Plataforma Playo 4.00 x 1.90 x 0.72 Lateral Doble Baranda Fija")</f>
        <v>Plataforma Playo 4.00 x 1.90 x 0.72 Lateral Doble Baranda Fija</v>
      </c>
      <c r="CQ21" s="3" t="str">
        <f>IFERROR(__xludf.DUMMYFUNCTION("""COMPUTED_VALUE"""),"Plataforma Playo 5.00 x 2.20 x 0.60 Lateral Doble Trasera Rebatible")</f>
        <v>Plataforma Playo 5.00 x 2.20 x 0.60 Lateral Doble Trasera Rebatible</v>
      </c>
      <c r="CR21" s="3" t="str">
        <f>IFERROR(__xludf.DUMMYFUNCTION("""COMPUTED_VALUE"""),"Plataforma Playo 5.00 x 2.20 x 0.60 Lateral Doble Baranda Fija C/Toldo")</f>
        <v>Plataforma Playo 5.00 x 2.20 x 0.60 Lateral Doble Baranda Fija C/Toldo</v>
      </c>
      <c r="CS21" s="3" t="str">
        <f>IFERROR(__xludf.DUMMYFUNCTION("""COMPUTED_VALUE"""),"Plataforma Playo 3.00 x 1.90 x 0.45 Lateral Simple Baranda Fija")</f>
        <v>Plataforma Playo 3.00 x 1.90 x 0.45 Lateral Simple Baranda Fija</v>
      </c>
      <c r="CT21" s="3" t="str">
        <f>IFERROR(__xludf.DUMMYFUNCTION("""COMPUTED_VALUE"""),"Plataforma Playo 3.00 x 1.90 x 0.45 Lateral Simple Baranda Ventilada")</f>
        <v>Plataforma Playo 3.00 x 1.90 x 0.45 Lateral Simple Baranda Ventilada</v>
      </c>
      <c r="CU21" s="3" t="str">
        <f>IFERROR(__xludf.DUMMYFUNCTION("""COMPUTED_VALUE"""),"Plataforma Playo 2.00 x 1.90 x 0.45 Lateral Simple Baranda Fija")</f>
        <v>Plataforma Playo 2.00 x 1.90 x 0.45 Lateral Simple Baranda Fija</v>
      </c>
      <c r="CV21" s="3" t="str">
        <f>IFERROR(__xludf.DUMMYFUNCTION("""COMPUTED_VALUE"""),"Plataforma Playo 5.00 x 1.90 x 0.60 Lateral Doble Baranda Fija")</f>
        <v>Plataforma Playo 5.00 x 1.90 x 0.60 Lateral Doble Baranda Fija</v>
      </c>
      <c r="CW21" s="3" t="str">
        <f>IFERROR(__xludf.DUMMYFUNCTION("""COMPUTED_VALUE"""),"Plataforma Playo 6.40 x 2.70 x 0.72 Lateral Doble Baranda Fija")</f>
        <v>Plataforma Playo 6.40 x 2.70 x 0.72 Lateral Doble Baranda Fija</v>
      </c>
      <c r="CX21" s="3" t="str">
        <f>IFERROR(__xludf.DUMMYFUNCTION("""COMPUTED_VALUE"""),"Chasis Acoplado Balancin L4000 Lanza Recta")</f>
        <v>Chasis Acoplado Balancin L4000 Lanza Recta</v>
      </c>
      <c r="CY21" s="3" t="str">
        <f>IFERROR(__xludf.DUMMYFUNCTION("""COMPUTED_VALUE"""),"Llanta simple Agrícola 750x20 centro 152")</f>
        <v>Llanta simple Agrícola 750x20 centro 152</v>
      </c>
      <c r="CZ21" s="3" t="str">
        <f>IFERROR(__xludf.DUMMYFUNCTION("""COMPUTED_VALUE"""),"Cajón de Herramientas Mediano adelante")</f>
        <v>Cajón de Herramientas Mediano adelante</v>
      </c>
      <c r="DA21" s="3" t="str">
        <f>IFERROR(__xludf.DUMMYFUNCTION("""COMPUTED_VALUE"""),"Llanta 15"" Simple Agrícola Centro 92")</f>
        <v>Llanta 15" Simple Agrícola Centro 92</v>
      </c>
    </row>
    <row r="22" hidden="1">
      <c r="A22" s="38">
        <f t="shared" si="1"/>
        <v>21</v>
      </c>
      <c r="B22" s="38">
        <f>IF(F22="","",SUMIF(Prearmados!E:E,F22,Prearmados!A:A))</f>
        <v>2</v>
      </c>
      <c r="C22" s="38">
        <f>IF(F22="","",SUMIF(Productos!E:E,G22,Productos!A:A))</f>
        <v>110</v>
      </c>
      <c r="D22" s="83" t="str">
        <f t="array" ref="D22">IF(OR(F22="",F22="Seleccionar.."),"",XLOOKUP(F22,Prearmados!E:E,Prearmados!F:F,"",0,1))</f>
        <v>Acoplados Rurales</v>
      </c>
      <c r="E22" s="83">
        <f>IF(H22="","",SUMIF(Precio_Productos!K:K,C22,Precio_Productos!J:J)*H22)</f>
        <v>238400</v>
      </c>
      <c r="F22" s="84" t="s">
        <v>325</v>
      </c>
      <c r="G22" s="84" t="s">
        <v>129</v>
      </c>
      <c r="H22" s="13">
        <v>2.0</v>
      </c>
      <c r="P22" s="3" t="str">
        <f>IFERROR(__xludf.DUMMYFUNCTION("IF(OR(F22="""",F22=""Seleccionar..""),"""",TRANSPOSE(FILTER(Productos!E:E,(Productos!F:F=D22)+(Productos!F:F=XLOOKUP(D22,Implementos!B:B,Implementos!C:C,""-"",0,1)))))"),"Tanque Combustible 1100 lts Bajo")</f>
        <v>Tanque Combustible 1100 lts Bajo</v>
      </c>
      <c r="Q22" s="3" t="str">
        <f>IFERROR(__xludf.DUMMYFUNCTION("""COMPUTED_VALUE"""),"Tanque Combustible 1500 lts Standard")</f>
        <v>Tanque Combustible 1500 lts Standard</v>
      </c>
      <c r="R22" s="3" t="str">
        <f>IFERROR(__xludf.DUMMYFUNCTION("""COMPUTED_VALUE"""),"Tanque Combustible 1800 lts Standard")</f>
        <v>Tanque Combustible 1800 lts Standard</v>
      </c>
      <c r="S22" s="3" t="str">
        <f>IFERROR(__xludf.DUMMYFUNCTION("""COMPUTED_VALUE"""),"Tanque Combustible 2000 lts Bajo")</f>
        <v>Tanque Combustible 2000 lts Bajo</v>
      </c>
      <c r="T22" s="3" t="str">
        <f>IFERROR(__xludf.DUMMYFUNCTION("""COMPUTED_VALUE"""),"Tanque Combustible 2000 lts Standard")</f>
        <v>Tanque Combustible 2000 lts Standard</v>
      </c>
      <c r="U22" s="3" t="str">
        <f>IFERROR(__xludf.DUMMYFUNCTION("""COMPUTED_VALUE"""),"Tanque Combustible 3000 lts Standard")</f>
        <v>Tanque Combustible 3000 lts Standard</v>
      </c>
      <c r="V22" s="3" t="str">
        <f>IFERROR(__xludf.DUMMYFUNCTION("""COMPUTED_VALUE"""),"Tanque Combustible 3000 lts Alto")</f>
        <v>Tanque Combustible 3000 lts Alto</v>
      </c>
      <c r="W22" s="3" t="str">
        <f>IFERROR(__xludf.DUMMYFUNCTION("""COMPUTED_VALUE"""),"Tanque Combustible 4000 lts Standard")</f>
        <v>Tanque Combustible 4000 lts Standard</v>
      </c>
      <c r="X22" s="3" t="str">
        <f>IFERROR(__xludf.DUMMYFUNCTION("""COMPUTED_VALUE"""),"Tanque Combustible 5000 lts Standard")</f>
        <v>Tanque Combustible 5000 lts Standard</v>
      </c>
      <c r="Y22" s="3" t="str">
        <f>IFERROR(__xludf.DUMMYFUNCTION("""COMPUTED_VALUE"""),"Tanque Combustible 5000 lts Alto")</f>
        <v>Tanque Combustible 5000 lts Alto</v>
      </c>
      <c r="Z22" s="3" t="str">
        <f>IFERROR(__xludf.DUMMYFUNCTION("""COMPUTED_VALUE"""),"Tanque Combustible 2000 lts Alto")</f>
        <v>Tanque Combustible 2000 lts Alto</v>
      </c>
      <c r="AA22" s="3" t="str">
        <f>IFERROR(__xludf.DUMMYFUNCTION("""COMPUTED_VALUE"""),"Tanque Combustible 4000 lts Alto")</f>
        <v>Tanque Combustible 4000 lts Alto</v>
      </c>
      <c r="AB22" s="3" t="str">
        <f>IFERROR(__xludf.DUMMYFUNCTION("""COMPUTED_VALUE"""),"Baulera Standard - 750")</f>
        <v>Baulera Standard - 750</v>
      </c>
      <c r="AC22" s="3" t="str">
        <f>IFERROR(__xludf.DUMMYFUNCTION("""COMPUTED_VALUE"""),"Baulera Standard - 1700 - C/Laterales")</f>
        <v>Baulera Standard - 1700 - C/Laterales</v>
      </c>
      <c r="AD22" s="3" t="str">
        <f>IFERROR(__xludf.DUMMYFUNCTION("""COMPUTED_VALUE"""),"Baulera Standard - 1000 - C/Laterales")</f>
        <v>Baulera Standard - 1000 - C/Laterales</v>
      </c>
      <c r="AE22" s="3" t="str">
        <f>IFERROR(__xludf.DUMMYFUNCTION("""COMPUTED_VALUE"""),"Baulera Standard - 750 - C/Laterales")</f>
        <v>Baulera Standard - 750 - C/Laterales</v>
      </c>
      <c r="AF22" s="3" t="str">
        <f>IFERROR(__xludf.DUMMYFUNCTION("""COMPUTED_VALUE"""),"Baulera Standard - 1300 - C/Laterales")</f>
        <v>Baulera Standard - 1300 - C/Laterales</v>
      </c>
      <c r="AG22" s="3" t="str">
        <f>IFERROR(__xludf.DUMMYFUNCTION("""COMPUTED_VALUE"""),"Baulera Alta - 750")</f>
        <v>Baulera Alta - 750</v>
      </c>
      <c r="AH22" s="3" t="str">
        <f>IFERROR(__xludf.DUMMYFUNCTION("""COMPUTED_VALUE"""),"Baulera Alta - 1500 - C/Laterales")</f>
        <v>Baulera Alta - 1500 - C/Laterales</v>
      </c>
      <c r="AI22" s="3" t="str">
        <f>IFERROR(__xludf.DUMMYFUNCTION("""COMPUTED_VALUE"""),"Baulera Extendida 1700 - C/Laterales")</f>
        <v>Baulera Extendida 1700 - C/Laterales</v>
      </c>
      <c r="AJ22" s="3" t="str">
        <f>IFERROR(__xludf.DUMMYFUNCTION("""COMPUTED_VALUE"""),"Taller Móvil - 1500 x 1500 x 1700")</f>
        <v>Taller Móvil - 1500 x 1500 x 1700</v>
      </c>
      <c r="AK22" s="3" t="str">
        <f>IFERROR(__xludf.DUMMYFUNCTION("""COMPUTED_VALUE"""),"Cajón Herramientas Standard Derecho")</f>
        <v>Cajón Herramientas Standard Derecho</v>
      </c>
      <c r="AL22" s="3" t="str">
        <f>IFERROR(__xludf.DUMMYFUNCTION("""COMPUTED_VALUE"""),"Cajón Herramientas Standard Izquierdo")</f>
        <v>Cajón Herramientas Standard Izquierdo</v>
      </c>
      <c r="AM22" s="3" t="str">
        <f>IFERROR(__xludf.DUMMYFUNCTION("""COMPUTED_VALUE"""),"Cajón Herramientas Corto Derecho")</f>
        <v>Cajón Herramientas Corto Derecho</v>
      </c>
      <c r="AN22" s="3" t="str">
        <f>IFERROR(__xludf.DUMMYFUNCTION("""COMPUTED_VALUE"""),"Cajón Herramientas Corto Izquierdo")</f>
        <v>Cajón Herramientas Corto Izquierdo</v>
      </c>
      <c r="AO22" s="3" t="str">
        <f>IFERROR(__xludf.DUMMYFUNCTION("""COMPUTED_VALUE"""),"Cajón Herramientas Mediano Derecho")</f>
        <v>Cajón Herramientas Mediano Derecho</v>
      </c>
      <c r="AP22" s="3" t="str">
        <f>IFERROR(__xludf.DUMMYFUNCTION("""COMPUTED_VALUE"""),"Cajón Herramientas Mediano Izquierdo")</f>
        <v>Cajón Herramientas Mediano Izquierdo</v>
      </c>
      <c r="AQ22" s="3" t="str">
        <f>IFERROR(__xludf.DUMMYFUNCTION("""COMPUTED_VALUE"""),"Chasis Acoplado 2 Ejes L3000")</f>
        <v>Chasis Acoplado 2 Ejes L3000</v>
      </c>
      <c r="AR22" s="3" t="str">
        <f>IFERROR(__xludf.DUMMYFUNCTION("""COMPUTED_VALUE"""),"Chasis Acoplado 2 Ejes L3750")</f>
        <v>Chasis Acoplado 2 Ejes L3750</v>
      </c>
      <c r="AS22" s="3" t="str">
        <f>IFERROR(__xludf.DUMMYFUNCTION("""COMPUTED_VALUE"""),"Chasis Acoplado 2 Ejes L4000")</f>
        <v>Chasis Acoplado 2 Ejes L4000</v>
      </c>
      <c r="AT22" s="3" t="str">
        <f>IFERROR(__xludf.DUMMYFUNCTION("""COMPUTED_VALUE"""),"Chasis Acoplado 2 Ejes L4000 Reforzado")</f>
        <v>Chasis Acoplado 2 Ejes L4000 Reforzado</v>
      </c>
      <c r="AU22" s="3" t="str">
        <f>IFERROR(__xludf.DUMMYFUNCTION("""COMPUTED_VALUE"""),"Chasis Acoplado 2 Ejes L4750")</f>
        <v>Chasis Acoplado 2 Ejes L4750</v>
      </c>
      <c r="AV22" s="3" t="str">
        <f>IFERROR(__xludf.DUMMYFUNCTION("""COMPUTED_VALUE"""),"Chasis Acoplado 2 Ejes L4750 Reforzado")</f>
        <v>Chasis Acoplado 2 Ejes L4750 Reforzado</v>
      </c>
      <c r="AW22" s="3" t="str">
        <f>IFERROR(__xludf.DUMMYFUNCTION("""COMPUTED_VALUE"""),"Chasis Acoplado 2 Ejes L4750 Reforzado R. Camion")</f>
        <v>Chasis Acoplado 2 Ejes L4750 Reforzado R. Camion</v>
      </c>
      <c r="AX22" s="3" t="str">
        <f>IFERROR(__xludf.DUMMYFUNCTION("""COMPUTED_VALUE"""),"Chasis Acoplado 2 Ejes L5000")</f>
        <v>Chasis Acoplado 2 Ejes L5000</v>
      </c>
      <c r="AY22" s="3" t="str">
        <f>IFERROR(__xludf.DUMMYFUNCTION("""COMPUTED_VALUE"""),"Chasis Acoplado 2 Ejes L5750")</f>
        <v>Chasis Acoplado 2 Ejes L5750</v>
      </c>
      <c r="AZ22" s="3" t="str">
        <f>IFERROR(__xludf.DUMMYFUNCTION("""COMPUTED_VALUE"""),"Chasis Acoplado 2 Ejes L6400")</f>
        <v>Chasis Acoplado 2 Ejes L6400</v>
      </c>
      <c r="BA22" s="3" t="str">
        <f>IFERROR(__xludf.DUMMYFUNCTION("""COMPUTED_VALUE"""),"Chasis Acoplado 2 Ejes L4500")</f>
        <v>Chasis Acoplado 2 Ejes L4500</v>
      </c>
      <c r="BB22" s="3" t="str">
        <f>IFERROR(__xludf.DUMMYFUNCTION("""COMPUTED_VALUE"""),"Chasis Acoplado 1 Eje L1500")</f>
        <v>Chasis Acoplado 1 Eje L1500</v>
      </c>
      <c r="BC22" s="3" t="str">
        <f>IFERROR(__xludf.DUMMYFUNCTION("""COMPUTED_VALUE"""),"Chasis Acoplado 1 Eje L1800")</f>
        <v>Chasis Acoplado 1 Eje L1800</v>
      </c>
      <c r="BD22" s="3" t="str">
        <f>IFERROR(__xludf.DUMMYFUNCTION("""COMPUTED_VALUE"""),"Chasis Acoplado 1 Eje L1400")</f>
        <v>Chasis Acoplado 1 Eje L1400</v>
      </c>
      <c r="BE22" s="3" t="str">
        <f>IFERROR(__xludf.DUMMYFUNCTION("""COMPUTED_VALUE"""),"Chasis Acoplado Balancin L3000")</f>
        <v>Chasis Acoplado Balancin L3000</v>
      </c>
      <c r="BF22" s="3" t="str">
        <f>IFERROR(__xludf.DUMMYFUNCTION("""COMPUTED_VALUE"""),"Chasis Acoplado Balancin L3000 Lanza Corta")</f>
        <v>Chasis Acoplado Balancin L3000 Lanza Corta</v>
      </c>
      <c r="BG22" s="3" t="str">
        <f>IFERROR(__xludf.DUMMYFUNCTION("""COMPUTED_VALUE"""),"Chasis Acoplado Balancin L2000 Lanza Corta")</f>
        <v>Chasis Acoplado Balancin L2000 Lanza Corta</v>
      </c>
      <c r="BH22" s="3" t="str">
        <f>IFERROR(__xludf.DUMMYFUNCTION("""COMPUTED_VALUE"""),"Chasis Acoplado Balancin L3200 Lanza Corta")</f>
        <v>Chasis Acoplado Balancin L3200 Lanza Corta</v>
      </c>
      <c r="BI22" s="3" t="str">
        <f>IFERROR(__xludf.DUMMYFUNCTION("""COMPUTED_VALUE"""),"Chasis Acoplado Balancin L3200 Lanza Recta")</f>
        <v>Chasis Acoplado Balancin L3200 Lanza Recta</v>
      </c>
      <c r="BJ22" s="3" t="str">
        <f>IFERROR(__xludf.DUMMYFUNCTION("""COMPUTED_VALUE"""),"Chasis Acoplado Balancin L3200 Bajo Lanza Recta")</f>
        <v>Chasis Acoplado Balancin L3200 Bajo Lanza Recta</v>
      </c>
      <c r="BK22" s="3" t="str">
        <f>IFERROR(__xludf.DUMMYFUNCTION("""COMPUTED_VALUE"""),"Tanque Plastico Horizontal 750 Lts")</f>
        <v>Tanque Plastico Horizontal 750 Lts</v>
      </c>
      <c r="BL22" s="3" t="str">
        <f>IFERROR(__xludf.DUMMYFUNCTION("""COMPUTED_VALUE"""),"Medio Tanque Plastico Superior 700 Lts")</f>
        <v>Medio Tanque Plastico Superior 700 Lts</v>
      </c>
      <c r="BM22" s="3" t="str">
        <f>IFERROR(__xludf.DUMMYFUNCTION("""COMPUTED_VALUE"""),"Paquete de Elasticos 50 mm x 8 mm x 10 Hojas L850")</f>
        <v>Paquete de Elasticos 50 mm x 8 mm x 10 Hojas L850</v>
      </c>
      <c r="BN22" s="3" t="str">
        <f>IFERROR(__xludf.DUMMYFUNCTION("""COMPUTED_VALUE"""),"Paquete de Elasticos 63 mm x 8 mm x 10 Hojas L950")</f>
        <v>Paquete de Elasticos 63 mm x 8 mm x 10 Hojas L950</v>
      </c>
      <c r="BO22" s="3" t="str">
        <f>IFERROR(__xludf.DUMMYFUNCTION("""COMPUTED_VALUE"""),"Paquete de Elasticos 50 mm x 7 mm x 9 Hojas L850")</f>
        <v>Paquete de Elasticos 50 mm x 7 mm x 9 Hojas L850</v>
      </c>
      <c r="BP22" s="3" t="str">
        <f>IFERROR(__xludf.DUMMYFUNCTION("""COMPUTED_VALUE"""),"Paquete de Elasticos 63 mm x 8 mm x 8 Hojas L850")</f>
        <v>Paquete de Elasticos 63 mm x 8 mm x 8 Hojas L850</v>
      </c>
      <c r="BQ22" s="3" t="str">
        <f>IFERROR(__xludf.DUMMYFUNCTION("""COMPUTED_VALUE"""),"Paquete de Elasticos 63 mm x 10 mm x 10 Hojas L950")</f>
        <v>Paquete de Elasticos 63 mm x 10 mm x 10 Hojas L950</v>
      </c>
      <c r="BR22" s="3" t="str">
        <f>IFERROR(__xludf.DUMMYFUNCTION("""COMPUTED_VALUE"""),"Paquete de Elasticos 63 mm x 10 mm x 13 Hojas L975")</f>
        <v>Paquete de Elasticos 63 mm x 10 mm x 13 Hojas L975</v>
      </c>
      <c r="BS22" s="3" t="str">
        <f>IFERROR(__xludf.DUMMYFUNCTION("""COMPUTED_VALUE"""),"Paquete de Elasticos 50 mm x 7 mm x 9 Hojas L650")</f>
        <v>Paquete de Elasticos 50 mm x 7 mm x 9 Hojas L650</v>
      </c>
      <c r="BT22" s="3" t="str">
        <f>IFERROR(__xludf.DUMMYFUNCTION("""COMPUTED_VALUE"""),"Eje Acoplado 2"" x 1600 (06/08) Agrícola Centro 92")</f>
        <v>Eje Acoplado 2" x 1600 (06/08) Agrícola Centro 92</v>
      </c>
      <c r="BU22" s="3" t="str">
        <f>IFERROR(__xludf.DUMMYFUNCTION("""COMPUTED_VALUE"""),"Eje Acoplado 2 1/2"" x 1600 (07/09) Agrícola Centro 92")</f>
        <v>Eje Acoplado 2 1/2" x 1600 (07/09) Agrícola Centro 92</v>
      </c>
      <c r="BV22" s="3" t="str">
        <f>IFERROR(__xludf.DUMMYFUNCTION("""COMPUTED_VALUE"""),"Eje Acoplado 2 1/2"" x 1600 (09/11) Agrícola Centro 150")</f>
        <v>Eje Acoplado 2 1/2" x 1600 (09/11) Agrícola Centro 150</v>
      </c>
      <c r="BW22" s="3" t="str">
        <f>IFERROR(__xludf.DUMMYFUNCTION("""COMPUTED_VALUE"""),"Eje Acoplado 3"" x 1600 (10/13) Agrícola Centro 150")</f>
        <v>Eje Acoplado 3" x 1600 (10/13) Agrícola Centro 150</v>
      </c>
      <c r="BX22" s="3" t="str">
        <f>IFERROR(__xludf.DUMMYFUNCTION("""COMPUTED_VALUE"""),"Eje Acoplado 2 1/2"" x 2140 (07/09) Agrícola Centro 92")</f>
        <v>Eje Acoplado 2 1/2" x 2140 (07/09) Agrícola Centro 92</v>
      </c>
      <c r="BY22" s="3" t="str">
        <f>IFERROR(__xludf.DUMMYFUNCTION("""COMPUTED_VALUE"""),"Eje Acoplado 2"" x 1400 (06/08) Agrícola Centro 92")</f>
        <v>Eje Acoplado 2" x 1400 (06/08) Agrícola Centro 92</v>
      </c>
      <c r="BZ22" s="3" t="str">
        <f>IFERROR(__xludf.DUMMYFUNCTION("""COMPUTED_VALUE"""),"Eje Acoplado 2 1/2"" x 1500 (07/09) Agrícola Centro 92")</f>
        <v>Eje Acoplado 2 1/2" x 1500 (07/09) Agrícola Centro 92</v>
      </c>
      <c r="CA22" s="3" t="str">
        <f>IFERROR(__xludf.DUMMYFUNCTION("""COMPUTED_VALUE"""),"Eje Acoplado 2 1/2"" x 2000 (07/09) Agrícola Centro 92")</f>
        <v>Eje Acoplado 2 1/2" x 2000 (07/09) Agrícola Centro 92</v>
      </c>
      <c r="CB22" s="3" t="str">
        <f>IFERROR(__xludf.DUMMYFUNCTION("""COMPUTED_VALUE"""),"Eje Acoplado 2 1/2"" x 2100 (09/11) Agrícola Centro 150")</f>
        <v>Eje Acoplado 2 1/2" x 2100 (09/11) Agrícola Centro 150</v>
      </c>
      <c r="CC22" s="3" t="str">
        <f>IFERROR(__xludf.DUMMYFUNCTION("""COMPUTED_VALUE"""),"Llanta 16"" Simple Agrícola Centro 92")</f>
        <v>Llanta 16" Simple Agrícola Centro 92</v>
      </c>
      <c r="CD22" s="3" t="str">
        <f>IFERROR(__xludf.DUMMYFUNCTION("""COMPUTED_VALUE"""),"Llanta 16"" Dual Agrícola Centro 92")</f>
        <v>Llanta 16" Dual Agrícola Centro 92</v>
      </c>
      <c r="CE22" s="3" t="str">
        <f>IFERROR(__xludf.DUMMYFUNCTION("""COMPUTED_VALUE"""),"Llanta 17"" Simple Agrícola Centro 92")</f>
        <v>Llanta 17" Simple Agrícola Centro 92</v>
      </c>
      <c r="CF22" s="3" t="str">
        <f>IFERROR(__xludf.DUMMYFUNCTION("""COMPUTED_VALUE"""),"Llanta 17"" Dual Agrícola Centro 92")</f>
        <v>Llanta 17" Dual Agrícola Centro 92</v>
      </c>
      <c r="CG22" s="3" t="str">
        <f>IFERROR(__xludf.DUMMYFUNCTION("""COMPUTED_VALUE"""),"Llanta 16"" Dual Agrícola Centro 152")</f>
        <v>Llanta 16" Dual Agrícola Centro 152</v>
      </c>
      <c r="CH22" s="3" t="str">
        <f>IFERROR(__xludf.DUMMYFUNCTION("""COMPUTED_VALUE"""),"Llanta 17"" Dual Agrícola Centro 152")</f>
        <v>Llanta 17" Dual Agrícola Centro 152</v>
      </c>
      <c r="CI22" s="3" t="str">
        <f>IFERROR(__xludf.DUMMYFUNCTION("""COMPUTED_VALUE"""),"Eje Acoplado 2"" x 1600 (05/07) Agrícola Centro 92")</f>
        <v>Eje Acoplado 2" x 1600 (05/07) Agrícola Centro 92</v>
      </c>
      <c r="CJ22" s="3" t="str">
        <f>IFERROR(__xludf.DUMMYFUNCTION("""COMPUTED_VALUE"""),"Paquete de Elásticos 50 mm x 8 mm x 12 Hojas")</f>
        <v>Paquete de Elásticos 50 mm x 8 mm x 12 Hojas</v>
      </c>
      <c r="CK22" s="3" t="str">
        <f>IFERROR(__xludf.DUMMYFUNCTION("""COMPUTED_VALUE"""),"Plataforma Playo 4.00 x 1.90 x 0.45 Lateral Simple Baranda Fija")</f>
        <v>Plataforma Playo 4.00 x 1.90 x 0.45 Lateral Simple Baranda Fija</v>
      </c>
      <c r="CL22" s="3" t="str">
        <f>IFERROR(__xludf.DUMMYFUNCTION("""COMPUTED_VALUE"""),"Plataforma Playo 4.00 x 1.90 x 0.45 Lateral Simple Baranda Ventilada")</f>
        <v>Plataforma Playo 4.00 x 1.90 x 0.45 Lateral Simple Baranda Ventilada</v>
      </c>
      <c r="CM22" s="3" t="str">
        <f>IFERROR(__xludf.DUMMYFUNCTION("""COMPUTED_VALUE"""),"Plataforma Playo 4.00 x 1.90 x 0.45 Lateral Doble Baranda Ventilada")</f>
        <v>Plataforma Playo 4.00 x 1.90 x 0.45 Lateral Doble Baranda Ventilada</v>
      </c>
      <c r="CN22" s="3" t="str">
        <f>IFERROR(__xludf.DUMMYFUNCTION("""COMPUTED_VALUE"""),"Plataforma Playo 4.00 x 1.90 x 0.45 Lateral Doble Baranda Fija")</f>
        <v>Plataforma Playo 4.00 x 1.90 x 0.45 Lateral Doble Baranda Fija</v>
      </c>
      <c r="CO22" s="3" t="str">
        <f>IFERROR(__xludf.DUMMYFUNCTION("""COMPUTED_VALUE"""),"Plataforma Playo 4.00 x 1.90 x 0.72 Lateral Simple Baranda Fija")</f>
        <v>Plataforma Playo 4.00 x 1.90 x 0.72 Lateral Simple Baranda Fija</v>
      </c>
      <c r="CP22" s="3" t="str">
        <f>IFERROR(__xludf.DUMMYFUNCTION("""COMPUTED_VALUE"""),"Plataforma Playo 4.00 x 1.90 x 0.72 Lateral Doble Baranda Fija")</f>
        <v>Plataforma Playo 4.00 x 1.90 x 0.72 Lateral Doble Baranda Fija</v>
      </c>
      <c r="CQ22" s="3" t="str">
        <f>IFERROR(__xludf.DUMMYFUNCTION("""COMPUTED_VALUE"""),"Plataforma Playo 5.00 x 2.20 x 0.60 Lateral Doble Trasera Rebatible")</f>
        <v>Plataforma Playo 5.00 x 2.20 x 0.60 Lateral Doble Trasera Rebatible</v>
      </c>
      <c r="CR22" s="3" t="str">
        <f>IFERROR(__xludf.DUMMYFUNCTION("""COMPUTED_VALUE"""),"Plataforma Playo 5.00 x 2.20 x 0.60 Lateral Doble Baranda Fija C/Toldo")</f>
        <v>Plataforma Playo 5.00 x 2.20 x 0.60 Lateral Doble Baranda Fija C/Toldo</v>
      </c>
      <c r="CS22" s="3" t="str">
        <f>IFERROR(__xludf.DUMMYFUNCTION("""COMPUTED_VALUE"""),"Plataforma Playo 3.00 x 1.90 x 0.45 Lateral Simple Baranda Fija")</f>
        <v>Plataforma Playo 3.00 x 1.90 x 0.45 Lateral Simple Baranda Fija</v>
      </c>
      <c r="CT22" s="3" t="str">
        <f>IFERROR(__xludf.DUMMYFUNCTION("""COMPUTED_VALUE"""),"Plataforma Playo 3.00 x 1.90 x 0.45 Lateral Simple Baranda Ventilada")</f>
        <v>Plataforma Playo 3.00 x 1.90 x 0.45 Lateral Simple Baranda Ventilada</v>
      </c>
      <c r="CU22" s="3" t="str">
        <f>IFERROR(__xludf.DUMMYFUNCTION("""COMPUTED_VALUE"""),"Plataforma Playo 2.00 x 1.90 x 0.45 Lateral Simple Baranda Fija")</f>
        <v>Plataforma Playo 2.00 x 1.90 x 0.45 Lateral Simple Baranda Fija</v>
      </c>
      <c r="CV22" s="3" t="str">
        <f>IFERROR(__xludf.DUMMYFUNCTION("""COMPUTED_VALUE"""),"Plataforma Playo 5.00 x 1.90 x 0.60 Lateral Doble Baranda Fija")</f>
        <v>Plataforma Playo 5.00 x 1.90 x 0.60 Lateral Doble Baranda Fija</v>
      </c>
      <c r="CW22" s="3" t="str">
        <f>IFERROR(__xludf.DUMMYFUNCTION("""COMPUTED_VALUE"""),"Plataforma Playo 6.40 x 2.70 x 0.72 Lateral Doble Baranda Fija")</f>
        <v>Plataforma Playo 6.40 x 2.70 x 0.72 Lateral Doble Baranda Fija</v>
      </c>
      <c r="CX22" s="3" t="str">
        <f>IFERROR(__xludf.DUMMYFUNCTION("""COMPUTED_VALUE"""),"Chasis Acoplado Balancin L4000 Lanza Recta")</f>
        <v>Chasis Acoplado Balancin L4000 Lanza Recta</v>
      </c>
      <c r="CY22" s="3" t="str">
        <f>IFERROR(__xludf.DUMMYFUNCTION("""COMPUTED_VALUE"""),"Llanta simple Agrícola 750x20 centro 152")</f>
        <v>Llanta simple Agrícola 750x20 centro 152</v>
      </c>
      <c r="CZ22" s="3" t="str">
        <f>IFERROR(__xludf.DUMMYFUNCTION("""COMPUTED_VALUE"""),"Cajón de Herramientas Mediano adelante")</f>
        <v>Cajón de Herramientas Mediano adelante</v>
      </c>
      <c r="DA22" s="3" t="str">
        <f>IFERROR(__xludf.DUMMYFUNCTION("""COMPUTED_VALUE"""),"Llanta 15"" Simple Agrícola Centro 92")</f>
        <v>Llanta 15" Simple Agrícola Centro 92</v>
      </c>
    </row>
    <row r="23" hidden="1">
      <c r="A23" s="38">
        <f t="shared" si="1"/>
        <v>22</v>
      </c>
      <c r="B23" s="38">
        <f>IF(F23="","",SUMIF(Prearmados!E:E,F23,Prearmados!A:A))</f>
        <v>4</v>
      </c>
      <c r="C23" s="38">
        <f>IF(F23="","",SUMIF(Productos!E:E,G23,Productos!A:A))</f>
        <v>48</v>
      </c>
      <c r="D23" s="83" t="str">
        <f t="array" ref="D23">IF(OR(F23="",F23="Seleccionar.."),"",XLOOKUP(F23,Prearmados!E:E,Prearmados!F:F,"",0,1))</f>
        <v>Acoplados Rurales</v>
      </c>
      <c r="E23" s="83">
        <f>IF(H23="","",SUMIF(Precio_Productos!K:K,C23,Precio_Productos!J:J)*H23)</f>
        <v>2157111</v>
      </c>
      <c r="F23" s="84" t="s">
        <v>327</v>
      </c>
      <c r="G23" s="84" t="s">
        <v>60</v>
      </c>
      <c r="H23" s="13">
        <v>1.0</v>
      </c>
      <c r="P23" s="3" t="str">
        <f>IFERROR(__xludf.DUMMYFUNCTION("IF(OR(F23="""",F23=""Seleccionar..""),"""",TRANSPOSE(FILTER(Productos!E:E,(Productos!F:F=D23)+(Productos!F:F=XLOOKUP(D23,Implementos!B:B,Implementos!C:C,""-"",0,1)))))"),"Tanque Combustible 1100 lts Bajo")</f>
        <v>Tanque Combustible 1100 lts Bajo</v>
      </c>
      <c r="Q23" s="3" t="str">
        <f>IFERROR(__xludf.DUMMYFUNCTION("""COMPUTED_VALUE"""),"Tanque Combustible 1500 lts Standard")</f>
        <v>Tanque Combustible 1500 lts Standard</v>
      </c>
      <c r="R23" s="3" t="str">
        <f>IFERROR(__xludf.DUMMYFUNCTION("""COMPUTED_VALUE"""),"Tanque Combustible 1800 lts Standard")</f>
        <v>Tanque Combustible 1800 lts Standard</v>
      </c>
      <c r="S23" s="3" t="str">
        <f>IFERROR(__xludf.DUMMYFUNCTION("""COMPUTED_VALUE"""),"Tanque Combustible 2000 lts Bajo")</f>
        <v>Tanque Combustible 2000 lts Bajo</v>
      </c>
      <c r="T23" s="3" t="str">
        <f>IFERROR(__xludf.DUMMYFUNCTION("""COMPUTED_VALUE"""),"Tanque Combustible 2000 lts Standard")</f>
        <v>Tanque Combustible 2000 lts Standard</v>
      </c>
      <c r="U23" s="3" t="str">
        <f>IFERROR(__xludf.DUMMYFUNCTION("""COMPUTED_VALUE"""),"Tanque Combustible 3000 lts Standard")</f>
        <v>Tanque Combustible 3000 lts Standard</v>
      </c>
      <c r="V23" s="3" t="str">
        <f>IFERROR(__xludf.DUMMYFUNCTION("""COMPUTED_VALUE"""),"Tanque Combustible 3000 lts Alto")</f>
        <v>Tanque Combustible 3000 lts Alto</v>
      </c>
      <c r="W23" s="3" t="str">
        <f>IFERROR(__xludf.DUMMYFUNCTION("""COMPUTED_VALUE"""),"Tanque Combustible 4000 lts Standard")</f>
        <v>Tanque Combustible 4000 lts Standard</v>
      </c>
      <c r="X23" s="3" t="str">
        <f>IFERROR(__xludf.DUMMYFUNCTION("""COMPUTED_VALUE"""),"Tanque Combustible 5000 lts Standard")</f>
        <v>Tanque Combustible 5000 lts Standard</v>
      </c>
      <c r="Y23" s="3" t="str">
        <f>IFERROR(__xludf.DUMMYFUNCTION("""COMPUTED_VALUE"""),"Tanque Combustible 5000 lts Alto")</f>
        <v>Tanque Combustible 5000 lts Alto</v>
      </c>
      <c r="Z23" s="3" t="str">
        <f>IFERROR(__xludf.DUMMYFUNCTION("""COMPUTED_VALUE"""),"Tanque Combustible 2000 lts Alto")</f>
        <v>Tanque Combustible 2000 lts Alto</v>
      </c>
      <c r="AA23" s="3" t="str">
        <f>IFERROR(__xludf.DUMMYFUNCTION("""COMPUTED_VALUE"""),"Tanque Combustible 4000 lts Alto")</f>
        <v>Tanque Combustible 4000 lts Alto</v>
      </c>
      <c r="AB23" s="3" t="str">
        <f>IFERROR(__xludf.DUMMYFUNCTION("""COMPUTED_VALUE"""),"Baulera Standard - 750")</f>
        <v>Baulera Standard - 750</v>
      </c>
      <c r="AC23" s="3" t="str">
        <f>IFERROR(__xludf.DUMMYFUNCTION("""COMPUTED_VALUE"""),"Baulera Standard - 1700 - C/Laterales")</f>
        <v>Baulera Standard - 1700 - C/Laterales</v>
      </c>
      <c r="AD23" s="3" t="str">
        <f>IFERROR(__xludf.DUMMYFUNCTION("""COMPUTED_VALUE"""),"Baulera Standard - 1000 - C/Laterales")</f>
        <v>Baulera Standard - 1000 - C/Laterales</v>
      </c>
      <c r="AE23" s="3" t="str">
        <f>IFERROR(__xludf.DUMMYFUNCTION("""COMPUTED_VALUE"""),"Baulera Standard - 750 - C/Laterales")</f>
        <v>Baulera Standard - 750 - C/Laterales</v>
      </c>
      <c r="AF23" s="3" t="str">
        <f>IFERROR(__xludf.DUMMYFUNCTION("""COMPUTED_VALUE"""),"Baulera Standard - 1300 - C/Laterales")</f>
        <v>Baulera Standard - 1300 - C/Laterales</v>
      </c>
      <c r="AG23" s="3" t="str">
        <f>IFERROR(__xludf.DUMMYFUNCTION("""COMPUTED_VALUE"""),"Baulera Alta - 750")</f>
        <v>Baulera Alta - 750</v>
      </c>
      <c r="AH23" s="3" t="str">
        <f>IFERROR(__xludf.DUMMYFUNCTION("""COMPUTED_VALUE"""),"Baulera Alta - 1500 - C/Laterales")</f>
        <v>Baulera Alta - 1500 - C/Laterales</v>
      </c>
      <c r="AI23" s="3" t="str">
        <f>IFERROR(__xludf.DUMMYFUNCTION("""COMPUTED_VALUE"""),"Baulera Extendida 1700 - C/Laterales")</f>
        <v>Baulera Extendida 1700 - C/Laterales</v>
      </c>
      <c r="AJ23" s="3" t="str">
        <f>IFERROR(__xludf.DUMMYFUNCTION("""COMPUTED_VALUE"""),"Taller Móvil - 1500 x 1500 x 1700")</f>
        <v>Taller Móvil - 1500 x 1500 x 1700</v>
      </c>
      <c r="AK23" s="3" t="str">
        <f>IFERROR(__xludf.DUMMYFUNCTION("""COMPUTED_VALUE"""),"Cajón Herramientas Standard Derecho")</f>
        <v>Cajón Herramientas Standard Derecho</v>
      </c>
      <c r="AL23" s="3" t="str">
        <f>IFERROR(__xludf.DUMMYFUNCTION("""COMPUTED_VALUE"""),"Cajón Herramientas Standard Izquierdo")</f>
        <v>Cajón Herramientas Standard Izquierdo</v>
      </c>
      <c r="AM23" s="3" t="str">
        <f>IFERROR(__xludf.DUMMYFUNCTION("""COMPUTED_VALUE"""),"Cajón Herramientas Corto Derecho")</f>
        <v>Cajón Herramientas Corto Derecho</v>
      </c>
      <c r="AN23" s="3" t="str">
        <f>IFERROR(__xludf.DUMMYFUNCTION("""COMPUTED_VALUE"""),"Cajón Herramientas Corto Izquierdo")</f>
        <v>Cajón Herramientas Corto Izquierdo</v>
      </c>
      <c r="AO23" s="3" t="str">
        <f>IFERROR(__xludf.DUMMYFUNCTION("""COMPUTED_VALUE"""),"Cajón Herramientas Mediano Derecho")</f>
        <v>Cajón Herramientas Mediano Derecho</v>
      </c>
      <c r="AP23" s="3" t="str">
        <f>IFERROR(__xludf.DUMMYFUNCTION("""COMPUTED_VALUE"""),"Cajón Herramientas Mediano Izquierdo")</f>
        <v>Cajón Herramientas Mediano Izquierdo</v>
      </c>
      <c r="AQ23" s="3" t="str">
        <f>IFERROR(__xludf.DUMMYFUNCTION("""COMPUTED_VALUE"""),"Chasis Acoplado 2 Ejes L3000")</f>
        <v>Chasis Acoplado 2 Ejes L3000</v>
      </c>
      <c r="AR23" s="3" t="str">
        <f>IFERROR(__xludf.DUMMYFUNCTION("""COMPUTED_VALUE"""),"Chasis Acoplado 2 Ejes L3750")</f>
        <v>Chasis Acoplado 2 Ejes L3750</v>
      </c>
      <c r="AS23" s="3" t="str">
        <f>IFERROR(__xludf.DUMMYFUNCTION("""COMPUTED_VALUE"""),"Chasis Acoplado 2 Ejes L4000")</f>
        <v>Chasis Acoplado 2 Ejes L4000</v>
      </c>
      <c r="AT23" s="3" t="str">
        <f>IFERROR(__xludf.DUMMYFUNCTION("""COMPUTED_VALUE"""),"Chasis Acoplado 2 Ejes L4000 Reforzado")</f>
        <v>Chasis Acoplado 2 Ejes L4000 Reforzado</v>
      </c>
      <c r="AU23" s="3" t="str">
        <f>IFERROR(__xludf.DUMMYFUNCTION("""COMPUTED_VALUE"""),"Chasis Acoplado 2 Ejes L4750")</f>
        <v>Chasis Acoplado 2 Ejes L4750</v>
      </c>
      <c r="AV23" s="3" t="str">
        <f>IFERROR(__xludf.DUMMYFUNCTION("""COMPUTED_VALUE"""),"Chasis Acoplado 2 Ejes L4750 Reforzado")</f>
        <v>Chasis Acoplado 2 Ejes L4750 Reforzado</v>
      </c>
      <c r="AW23" s="3" t="str">
        <f>IFERROR(__xludf.DUMMYFUNCTION("""COMPUTED_VALUE"""),"Chasis Acoplado 2 Ejes L4750 Reforzado R. Camion")</f>
        <v>Chasis Acoplado 2 Ejes L4750 Reforzado R. Camion</v>
      </c>
      <c r="AX23" s="3" t="str">
        <f>IFERROR(__xludf.DUMMYFUNCTION("""COMPUTED_VALUE"""),"Chasis Acoplado 2 Ejes L5000")</f>
        <v>Chasis Acoplado 2 Ejes L5000</v>
      </c>
      <c r="AY23" s="3" t="str">
        <f>IFERROR(__xludf.DUMMYFUNCTION("""COMPUTED_VALUE"""),"Chasis Acoplado 2 Ejes L5750")</f>
        <v>Chasis Acoplado 2 Ejes L5750</v>
      </c>
      <c r="AZ23" s="3" t="str">
        <f>IFERROR(__xludf.DUMMYFUNCTION("""COMPUTED_VALUE"""),"Chasis Acoplado 2 Ejes L6400")</f>
        <v>Chasis Acoplado 2 Ejes L6400</v>
      </c>
      <c r="BA23" s="3" t="str">
        <f>IFERROR(__xludf.DUMMYFUNCTION("""COMPUTED_VALUE"""),"Chasis Acoplado 2 Ejes L4500")</f>
        <v>Chasis Acoplado 2 Ejes L4500</v>
      </c>
      <c r="BB23" s="3" t="str">
        <f>IFERROR(__xludf.DUMMYFUNCTION("""COMPUTED_VALUE"""),"Chasis Acoplado 1 Eje L1500")</f>
        <v>Chasis Acoplado 1 Eje L1500</v>
      </c>
      <c r="BC23" s="3" t="str">
        <f>IFERROR(__xludf.DUMMYFUNCTION("""COMPUTED_VALUE"""),"Chasis Acoplado 1 Eje L1800")</f>
        <v>Chasis Acoplado 1 Eje L1800</v>
      </c>
      <c r="BD23" s="3" t="str">
        <f>IFERROR(__xludf.DUMMYFUNCTION("""COMPUTED_VALUE"""),"Chasis Acoplado 1 Eje L1400")</f>
        <v>Chasis Acoplado 1 Eje L1400</v>
      </c>
      <c r="BE23" s="3" t="str">
        <f>IFERROR(__xludf.DUMMYFUNCTION("""COMPUTED_VALUE"""),"Chasis Acoplado Balancin L3000")</f>
        <v>Chasis Acoplado Balancin L3000</v>
      </c>
      <c r="BF23" s="3" t="str">
        <f>IFERROR(__xludf.DUMMYFUNCTION("""COMPUTED_VALUE"""),"Chasis Acoplado Balancin L3000 Lanza Corta")</f>
        <v>Chasis Acoplado Balancin L3000 Lanza Corta</v>
      </c>
      <c r="BG23" s="3" t="str">
        <f>IFERROR(__xludf.DUMMYFUNCTION("""COMPUTED_VALUE"""),"Chasis Acoplado Balancin L2000 Lanza Corta")</f>
        <v>Chasis Acoplado Balancin L2000 Lanza Corta</v>
      </c>
      <c r="BH23" s="3" t="str">
        <f>IFERROR(__xludf.DUMMYFUNCTION("""COMPUTED_VALUE"""),"Chasis Acoplado Balancin L3200 Lanza Corta")</f>
        <v>Chasis Acoplado Balancin L3200 Lanza Corta</v>
      </c>
      <c r="BI23" s="3" t="str">
        <f>IFERROR(__xludf.DUMMYFUNCTION("""COMPUTED_VALUE"""),"Chasis Acoplado Balancin L3200 Lanza Recta")</f>
        <v>Chasis Acoplado Balancin L3200 Lanza Recta</v>
      </c>
      <c r="BJ23" s="3" t="str">
        <f>IFERROR(__xludf.DUMMYFUNCTION("""COMPUTED_VALUE"""),"Chasis Acoplado Balancin L3200 Bajo Lanza Recta")</f>
        <v>Chasis Acoplado Balancin L3200 Bajo Lanza Recta</v>
      </c>
      <c r="BK23" s="3" t="str">
        <f>IFERROR(__xludf.DUMMYFUNCTION("""COMPUTED_VALUE"""),"Tanque Plastico Horizontal 750 Lts")</f>
        <v>Tanque Plastico Horizontal 750 Lts</v>
      </c>
      <c r="BL23" s="3" t="str">
        <f>IFERROR(__xludf.DUMMYFUNCTION("""COMPUTED_VALUE"""),"Medio Tanque Plastico Superior 700 Lts")</f>
        <v>Medio Tanque Plastico Superior 700 Lts</v>
      </c>
      <c r="BM23" s="3" t="str">
        <f>IFERROR(__xludf.DUMMYFUNCTION("""COMPUTED_VALUE"""),"Paquete de Elasticos 50 mm x 8 mm x 10 Hojas L850")</f>
        <v>Paquete de Elasticos 50 mm x 8 mm x 10 Hojas L850</v>
      </c>
      <c r="BN23" s="3" t="str">
        <f>IFERROR(__xludf.DUMMYFUNCTION("""COMPUTED_VALUE"""),"Paquete de Elasticos 63 mm x 8 mm x 10 Hojas L950")</f>
        <v>Paquete de Elasticos 63 mm x 8 mm x 10 Hojas L950</v>
      </c>
      <c r="BO23" s="3" t="str">
        <f>IFERROR(__xludf.DUMMYFUNCTION("""COMPUTED_VALUE"""),"Paquete de Elasticos 50 mm x 7 mm x 9 Hojas L850")</f>
        <v>Paquete de Elasticos 50 mm x 7 mm x 9 Hojas L850</v>
      </c>
      <c r="BP23" s="3" t="str">
        <f>IFERROR(__xludf.DUMMYFUNCTION("""COMPUTED_VALUE"""),"Paquete de Elasticos 63 mm x 8 mm x 8 Hojas L850")</f>
        <v>Paquete de Elasticos 63 mm x 8 mm x 8 Hojas L850</v>
      </c>
      <c r="BQ23" s="3" t="str">
        <f>IFERROR(__xludf.DUMMYFUNCTION("""COMPUTED_VALUE"""),"Paquete de Elasticos 63 mm x 10 mm x 10 Hojas L950")</f>
        <v>Paquete de Elasticos 63 mm x 10 mm x 10 Hojas L950</v>
      </c>
      <c r="BR23" s="3" t="str">
        <f>IFERROR(__xludf.DUMMYFUNCTION("""COMPUTED_VALUE"""),"Paquete de Elasticos 63 mm x 10 mm x 13 Hojas L975")</f>
        <v>Paquete de Elasticos 63 mm x 10 mm x 13 Hojas L975</v>
      </c>
      <c r="BS23" s="3" t="str">
        <f>IFERROR(__xludf.DUMMYFUNCTION("""COMPUTED_VALUE"""),"Paquete de Elasticos 50 mm x 7 mm x 9 Hojas L650")</f>
        <v>Paquete de Elasticos 50 mm x 7 mm x 9 Hojas L650</v>
      </c>
      <c r="BT23" s="3" t="str">
        <f>IFERROR(__xludf.DUMMYFUNCTION("""COMPUTED_VALUE"""),"Eje Acoplado 2"" x 1600 (06/08) Agrícola Centro 92")</f>
        <v>Eje Acoplado 2" x 1600 (06/08) Agrícola Centro 92</v>
      </c>
      <c r="BU23" s="3" t="str">
        <f>IFERROR(__xludf.DUMMYFUNCTION("""COMPUTED_VALUE"""),"Eje Acoplado 2 1/2"" x 1600 (07/09) Agrícola Centro 92")</f>
        <v>Eje Acoplado 2 1/2" x 1600 (07/09) Agrícola Centro 92</v>
      </c>
      <c r="BV23" s="3" t="str">
        <f>IFERROR(__xludf.DUMMYFUNCTION("""COMPUTED_VALUE"""),"Eje Acoplado 2 1/2"" x 1600 (09/11) Agrícola Centro 150")</f>
        <v>Eje Acoplado 2 1/2" x 1600 (09/11) Agrícola Centro 150</v>
      </c>
      <c r="BW23" s="3" t="str">
        <f>IFERROR(__xludf.DUMMYFUNCTION("""COMPUTED_VALUE"""),"Eje Acoplado 3"" x 1600 (10/13) Agrícola Centro 150")</f>
        <v>Eje Acoplado 3" x 1600 (10/13) Agrícola Centro 150</v>
      </c>
      <c r="BX23" s="3" t="str">
        <f>IFERROR(__xludf.DUMMYFUNCTION("""COMPUTED_VALUE"""),"Eje Acoplado 2 1/2"" x 2140 (07/09) Agrícola Centro 92")</f>
        <v>Eje Acoplado 2 1/2" x 2140 (07/09) Agrícola Centro 92</v>
      </c>
      <c r="BY23" s="3" t="str">
        <f>IFERROR(__xludf.DUMMYFUNCTION("""COMPUTED_VALUE"""),"Eje Acoplado 2"" x 1400 (06/08) Agrícola Centro 92")</f>
        <v>Eje Acoplado 2" x 1400 (06/08) Agrícola Centro 92</v>
      </c>
      <c r="BZ23" s="3" t="str">
        <f>IFERROR(__xludf.DUMMYFUNCTION("""COMPUTED_VALUE"""),"Eje Acoplado 2 1/2"" x 1500 (07/09) Agrícola Centro 92")</f>
        <v>Eje Acoplado 2 1/2" x 1500 (07/09) Agrícola Centro 92</v>
      </c>
      <c r="CA23" s="3" t="str">
        <f>IFERROR(__xludf.DUMMYFUNCTION("""COMPUTED_VALUE"""),"Eje Acoplado 2 1/2"" x 2000 (07/09) Agrícola Centro 92")</f>
        <v>Eje Acoplado 2 1/2" x 2000 (07/09) Agrícola Centro 92</v>
      </c>
      <c r="CB23" s="3" t="str">
        <f>IFERROR(__xludf.DUMMYFUNCTION("""COMPUTED_VALUE"""),"Eje Acoplado 2 1/2"" x 2100 (09/11) Agrícola Centro 150")</f>
        <v>Eje Acoplado 2 1/2" x 2100 (09/11) Agrícola Centro 150</v>
      </c>
      <c r="CC23" s="3" t="str">
        <f>IFERROR(__xludf.DUMMYFUNCTION("""COMPUTED_VALUE"""),"Llanta 16"" Simple Agrícola Centro 92")</f>
        <v>Llanta 16" Simple Agrícola Centro 92</v>
      </c>
      <c r="CD23" s="3" t="str">
        <f>IFERROR(__xludf.DUMMYFUNCTION("""COMPUTED_VALUE"""),"Llanta 16"" Dual Agrícola Centro 92")</f>
        <v>Llanta 16" Dual Agrícola Centro 92</v>
      </c>
      <c r="CE23" s="3" t="str">
        <f>IFERROR(__xludf.DUMMYFUNCTION("""COMPUTED_VALUE"""),"Llanta 17"" Simple Agrícola Centro 92")</f>
        <v>Llanta 17" Simple Agrícola Centro 92</v>
      </c>
      <c r="CF23" s="3" t="str">
        <f>IFERROR(__xludf.DUMMYFUNCTION("""COMPUTED_VALUE"""),"Llanta 17"" Dual Agrícola Centro 92")</f>
        <v>Llanta 17" Dual Agrícola Centro 92</v>
      </c>
      <c r="CG23" s="3" t="str">
        <f>IFERROR(__xludf.DUMMYFUNCTION("""COMPUTED_VALUE"""),"Llanta 16"" Dual Agrícola Centro 152")</f>
        <v>Llanta 16" Dual Agrícola Centro 152</v>
      </c>
      <c r="CH23" s="3" t="str">
        <f>IFERROR(__xludf.DUMMYFUNCTION("""COMPUTED_VALUE"""),"Llanta 17"" Dual Agrícola Centro 152")</f>
        <v>Llanta 17" Dual Agrícola Centro 152</v>
      </c>
      <c r="CI23" s="3" t="str">
        <f>IFERROR(__xludf.DUMMYFUNCTION("""COMPUTED_VALUE"""),"Eje Acoplado 2"" x 1600 (05/07) Agrícola Centro 92")</f>
        <v>Eje Acoplado 2" x 1600 (05/07) Agrícola Centro 92</v>
      </c>
      <c r="CJ23" s="3" t="str">
        <f>IFERROR(__xludf.DUMMYFUNCTION("""COMPUTED_VALUE"""),"Paquete de Elásticos 50 mm x 8 mm x 12 Hojas")</f>
        <v>Paquete de Elásticos 50 mm x 8 mm x 12 Hojas</v>
      </c>
      <c r="CK23" s="3" t="str">
        <f>IFERROR(__xludf.DUMMYFUNCTION("""COMPUTED_VALUE"""),"Plataforma Playo 4.00 x 1.90 x 0.45 Lateral Simple Baranda Fija")</f>
        <v>Plataforma Playo 4.00 x 1.90 x 0.45 Lateral Simple Baranda Fija</v>
      </c>
      <c r="CL23" s="3" t="str">
        <f>IFERROR(__xludf.DUMMYFUNCTION("""COMPUTED_VALUE"""),"Plataforma Playo 4.00 x 1.90 x 0.45 Lateral Simple Baranda Ventilada")</f>
        <v>Plataforma Playo 4.00 x 1.90 x 0.45 Lateral Simple Baranda Ventilada</v>
      </c>
      <c r="CM23" s="3" t="str">
        <f>IFERROR(__xludf.DUMMYFUNCTION("""COMPUTED_VALUE"""),"Plataforma Playo 4.00 x 1.90 x 0.45 Lateral Doble Baranda Ventilada")</f>
        <v>Plataforma Playo 4.00 x 1.90 x 0.45 Lateral Doble Baranda Ventilada</v>
      </c>
      <c r="CN23" s="3" t="str">
        <f>IFERROR(__xludf.DUMMYFUNCTION("""COMPUTED_VALUE"""),"Plataforma Playo 4.00 x 1.90 x 0.45 Lateral Doble Baranda Fija")</f>
        <v>Plataforma Playo 4.00 x 1.90 x 0.45 Lateral Doble Baranda Fija</v>
      </c>
      <c r="CO23" s="3" t="str">
        <f>IFERROR(__xludf.DUMMYFUNCTION("""COMPUTED_VALUE"""),"Plataforma Playo 4.00 x 1.90 x 0.72 Lateral Simple Baranda Fija")</f>
        <v>Plataforma Playo 4.00 x 1.90 x 0.72 Lateral Simple Baranda Fija</v>
      </c>
      <c r="CP23" s="3" t="str">
        <f>IFERROR(__xludf.DUMMYFUNCTION("""COMPUTED_VALUE"""),"Plataforma Playo 4.00 x 1.90 x 0.72 Lateral Doble Baranda Fija")</f>
        <v>Plataforma Playo 4.00 x 1.90 x 0.72 Lateral Doble Baranda Fija</v>
      </c>
      <c r="CQ23" s="3" t="str">
        <f>IFERROR(__xludf.DUMMYFUNCTION("""COMPUTED_VALUE"""),"Plataforma Playo 5.00 x 2.20 x 0.60 Lateral Doble Trasera Rebatible")</f>
        <v>Plataforma Playo 5.00 x 2.20 x 0.60 Lateral Doble Trasera Rebatible</v>
      </c>
      <c r="CR23" s="3" t="str">
        <f>IFERROR(__xludf.DUMMYFUNCTION("""COMPUTED_VALUE"""),"Plataforma Playo 5.00 x 2.20 x 0.60 Lateral Doble Baranda Fija C/Toldo")</f>
        <v>Plataforma Playo 5.00 x 2.20 x 0.60 Lateral Doble Baranda Fija C/Toldo</v>
      </c>
      <c r="CS23" s="3" t="str">
        <f>IFERROR(__xludf.DUMMYFUNCTION("""COMPUTED_VALUE"""),"Plataforma Playo 3.00 x 1.90 x 0.45 Lateral Simple Baranda Fija")</f>
        <v>Plataforma Playo 3.00 x 1.90 x 0.45 Lateral Simple Baranda Fija</v>
      </c>
      <c r="CT23" s="3" t="str">
        <f>IFERROR(__xludf.DUMMYFUNCTION("""COMPUTED_VALUE"""),"Plataforma Playo 3.00 x 1.90 x 0.45 Lateral Simple Baranda Ventilada")</f>
        <v>Plataforma Playo 3.00 x 1.90 x 0.45 Lateral Simple Baranda Ventilada</v>
      </c>
      <c r="CU23" s="3" t="str">
        <f>IFERROR(__xludf.DUMMYFUNCTION("""COMPUTED_VALUE"""),"Plataforma Playo 2.00 x 1.90 x 0.45 Lateral Simple Baranda Fija")</f>
        <v>Plataforma Playo 2.00 x 1.90 x 0.45 Lateral Simple Baranda Fija</v>
      </c>
      <c r="CV23" s="3" t="str">
        <f>IFERROR(__xludf.DUMMYFUNCTION("""COMPUTED_VALUE"""),"Plataforma Playo 5.00 x 1.90 x 0.60 Lateral Doble Baranda Fija")</f>
        <v>Plataforma Playo 5.00 x 1.90 x 0.60 Lateral Doble Baranda Fija</v>
      </c>
      <c r="CW23" s="3" t="str">
        <f>IFERROR(__xludf.DUMMYFUNCTION("""COMPUTED_VALUE"""),"Plataforma Playo 6.40 x 2.70 x 0.72 Lateral Doble Baranda Fija")</f>
        <v>Plataforma Playo 6.40 x 2.70 x 0.72 Lateral Doble Baranda Fija</v>
      </c>
      <c r="CX23" s="3" t="str">
        <f>IFERROR(__xludf.DUMMYFUNCTION("""COMPUTED_VALUE"""),"Chasis Acoplado Balancin L4000 Lanza Recta")</f>
        <v>Chasis Acoplado Balancin L4000 Lanza Recta</v>
      </c>
      <c r="CY23" s="3" t="str">
        <f>IFERROR(__xludf.DUMMYFUNCTION("""COMPUTED_VALUE"""),"Llanta simple Agrícola 750x20 centro 152")</f>
        <v>Llanta simple Agrícola 750x20 centro 152</v>
      </c>
      <c r="CZ23" s="3" t="str">
        <f>IFERROR(__xludf.DUMMYFUNCTION("""COMPUTED_VALUE"""),"Cajón de Herramientas Mediano adelante")</f>
        <v>Cajón de Herramientas Mediano adelante</v>
      </c>
      <c r="DA23" s="3" t="str">
        <f>IFERROR(__xludf.DUMMYFUNCTION("""COMPUTED_VALUE"""),"Llanta 15"" Simple Agrícola Centro 92")</f>
        <v>Llanta 15" Simple Agrícola Centro 92</v>
      </c>
    </row>
    <row r="24" hidden="1">
      <c r="A24" s="38">
        <f t="shared" si="1"/>
        <v>23</v>
      </c>
      <c r="B24" s="38">
        <f>IF(F24="","",SUMIF(Prearmados!E:E,F24,Prearmados!A:A))</f>
        <v>4</v>
      </c>
      <c r="C24" s="38">
        <f>IF(F24="","",SUMIF(Productos!E:E,G24,Productos!A:A))</f>
        <v>72</v>
      </c>
      <c r="D24" s="83" t="str">
        <f t="array" ref="D24">IF(OR(F24="",F24="Seleccionar.."),"",XLOOKUP(F24,Prearmados!E:E,Prearmados!F:F,"",0,1))</f>
        <v>Acoplados Rurales</v>
      </c>
      <c r="E24" s="83">
        <f>IF(H24="","",SUMIF(Precio_Productos!K:K,C24,Precio_Productos!J:J)*H24)</f>
        <v>2332989</v>
      </c>
      <c r="F24" s="84" t="s">
        <v>327</v>
      </c>
      <c r="G24" s="84" t="s">
        <v>97</v>
      </c>
      <c r="H24" s="13">
        <v>1.0</v>
      </c>
      <c r="P24" s="3" t="str">
        <f>IFERROR(__xludf.DUMMYFUNCTION("IF(OR(F24="""",F24=""Seleccionar..""),"""",TRANSPOSE(FILTER(Productos!E:E,(Productos!F:F=D24)+(Productos!F:F=XLOOKUP(D24,Implementos!B:B,Implementos!C:C,""-"",0,1)))))"),"Tanque Combustible 1100 lts Bajo")</f>
        <v>Tanque Combustible 1100 lts Bajo</v>
      </c>
      <c r="Q24" s="3" t="str">
        <f>IFERROR(__xludf.DUMMYFUNCTION("""COMPUTED_VALUE"""),"Tanque Combustible 1500 lts Standard")</f>
        <v>Tanque Combustible 1500 lts Standard</v>
      </c>
      <c r="R24" s="3" t="str">
        <f>IFERROR(__xludf.DUMMYFUNCTION("""COMPUTED_VALUE"""),"Tanque Combustible 1800 lts Standard")</f>
        <v>Tanque Combustible 1800 lts Standard</v>
      </c>
      <c r="S24" s="3" t="str">
        <f>IFERROR(__xludf.DUMMYFUNCTION("""COMPUTED_VALUE"""),"Tanque Combustible 2000 lts Bajo")</f>
        <v>Tanque Combustible 2000 lts Bajo</v>
      </c>
      <c r="T24" s="3" t="str">
        <f>IFERROR(__xludf.DUMMYFUNCTION("""COMPUTED_VALUE"""),"Tanque Combustible 2000 lts Standard")</f>
        <v>Tanque Combustible 2000 lts Standard</v>
      </c>
      <c r="U24" s="3" t="str">
        <f>IFERROR(__xludf.DUMMYFUNCTION("""COMPUTED_VALUE"""),"Tanque Combustible 3000 lts Standard")</f>
        <v>Tanque Combustible 3000 lts Standard</v>
      </c>
      <c r="V24" s="3" t="str">
        <f>IFERROR(__xludf.DUMMYFUNCTION("""COMPUTED_VALUE"""),"Tanque Combustible 3000 lts Alto")</f>
        <v>Tanque Combustible 3000 lts Alto</v>
      </c>
      <c r="W24" s="3" t="str">
        <f>IFERROR(__xludf.DUMMYFUNCTION("""COMPUTED_VALUE"""),"Tanque Combustible 4000 lts Standard")</f>
        <v>Tanque Combustible 4000 lts Standard</v>
      </c>
      <c r="X24" s="3" t="str">
        <f>IFERROR(__xludf.DUMMYFUNCTION("""COMPUTED_VALUE"""),"Tanque Combustible 5000 lts Standard")</f>
        <v>Tanque Combustible 5000 lts Standard</v>
      </c>
      <c r="Y24" s="3" t="str">
        <f>IFERROR(__xludf.DUMMYFUNCTION("""COMPUTED_VALUE"""),"Tanque Combustible 5000 lts Alto")</f>
        <v>Tanque Combustible 5000 lts Alto</v>
      </c>
      <c r="Z24" s="3" t="str">
        <f>IFERROR(__xludf.DUMMYFUNCTION("""COMPUTED_VALUE"""),"Tanque Combustible 2000 lts Alto")</f>
        <v>Tanque Combustible 2000 lts Alto</v>
      </c>
      <c r="AA24" s="3" t="str">
        <f>IFERROR(__xludf.DUMMYFUNCTION("""COMPUTED_VALUE"""),"Tanque Combustible 4000 lts Alto")</f>
        <v>Tanque Combustible 4000 lts Alto</v>
      </c>
      <c r="AB24" s="3" t="str">
        <f>IFERROR(__xludf.DUMMYFUNCTION("""COMPUTED_VALUE"""),"Baulera Standard - 750")</f>
        <v>Baulera Standard - 750</v>
      </c>
      <c r="AC24" s="3" t="str">
        <f>IFERROR(__xludf.DUMMYFUNCTION("""COMPUTED_VALUE"""),"Baulera Standard - 1700 - C/Laterales")</f>
        <v>Baulera Standard - 1700 - C/Laterales</v>
      </c>
      <c r="AD24" s="3" t="str">
        <f>IFERROR(__xludf.DUMMYFUNCTION("""COMPUTED_VALUE"""),"Baulera Standard - 1000 - C/Laterales")</f>
        <v>Baulera Standard - 1000 - C/Laterales</v>
      </c>
      <c r="AE24" s="3" t="str">
        <f>IFERROR(__xludf.DUMMYFUNCTION("""COMPUTED_VALUE"""),"Baulera Standard - 750 - C/Laterales")</f>
        <v>Baulera Standard - 750 - C/Laterales</v>
      </c>
      <c r="AF24" s="3" t="str">
        <f>IFERROR(__xludf.DUMMYFUNCTION("""COMPUTED_VALUE"""),"Baulera Standard - 1300 - C/Laterales")</f>
        <v>Baulera Standard - 1300 - C/Laterales</v>
      </c>
      <c r="AG24" s="3" t="str">
        <f>IFERROR(__xludf.DUMMYFUNCTION("""COMPUTED_VALUE"""),"Baulera Alta - 750")</f>
        <v>Baulera Alta - 750</v>
      </c>
      <c r="AH24" s="3" t="str">
        <f>IFERROR(__xludf.DUMMYFUNCTION("""COMPUTED_VALUE"""),"Baulera Alta - 1500 - C/Laterales")</f>
        <v>Baulera Alta - 1500 - C/Laterales</v>
      </c>
      <c r="AI24" s="3" t="str">
        <f>IFERROR(__xludf.DUMMYFUNCTION("""COMPUTED_VALUE"""),"Baulera Extendida 1700 - C/Laterales")</f>
        <v>Baulera Extendida 1700 - C/Laterales</v>
      </c>
      <c r="AJ24" s="3" t="str">
        <f>IFERROR(__xludf.DUMMYFUNCTION("""COMPUTED_VALUE"""),"Taller Móvil - 1500 x 1500 x 1700")</f>
        <v>Taller Móvil - 1500 x 1500 x 1700</v>
      </c>
      <c r="AK24" s="3" t="str">
        <f>IFERROR(__xludf.DUMMYFUNCTION("""COMPUTED_VALUE"""),"Cajón Herramientas Standard Derecho")</f>
        <v>Cajón Herramientas Standard Derecho</v>
      </c>
      <c r="AL24" s="3" t="str">
        <f>IFERROR(__xludf.DUMMYFUNCTION("""COMPUTED_VALUE"""),"Cajón Herramientas Standard Izquierdo")</f>
        <v>Cajón Herramientas Standard Izquierdo</v>
      </c>
      <c r="AM24" s="3" t="str">
        <f>IFERROR(__xludf.DUMMYFUNCTION("""COMPUTED_VALUE"""),"Cajón Herramientas Corto Derecho")</f>
        <v>Cajón Herramientas Corto Derecho</v>
      </c>
      <c r="AN24" s="3" t="str">
        <f>IFERROR(__xludf.DUMMYFUNCTION("""COMPUTED_VALUE"""),"Cajón Herramientas Corto Izquierdo")</f>
        <v>Cajón Herramientas Corto Izquierdo</v>
      </c>
      <c r="AO24" s="3" t="str">
        <f>IFERROR(__xludf.DUMMYFUNCTION("""COMPUTED_VALUE"""),"Cajón Herramientas Mediano Derecho")</f>
        <v>Cajón Herramientas Mediano Derecho</v>
      </c>
      <c r="AP24" s="3" t="str">
        <f>IFERROR(__xludf.DUMMYFUNCTION("""COMPUTED_VALUE"""),"Cajón Herramientas Mediano Izquierdo")</f>
        <v>Cajón Herramientas Mediano Izquierdo</v>
      </c>
      <c r="AQ24" s="3" t="str">
        <f>IFERROR(__xludf.DUMMYFUNCTION("""COMPUTED_VALUE"""),"Chasis Acoplado 2 Ejes L3000")</f>
        <v>Chasis Acoplado 2 Ejes L3000</v>
      </c>
      <c r="AR24" s="3" t="str">
        <f>IFERROR(__xludf.DUMMYFUNCTION("""COMPUTED_VALUE"""),"Chasis Acoplado 2 Ejes L3750")</f>
        <v>Chasis Acoplado 2 Ejes L3750</v>
      </c>
      <c r="AS24" s="3" t="str">
        <f>IFERROR(__xludf.DUMMYFUNCTION("""COMPUTED_VALUE"""),"Chasis Acoplado 2 Ejes L4000")</f>
        <v>Chasis Acoplado 2 Ejes L4000</v>
      </c>
      <c r="AT24" s="3" t="str">
        <f>IFERROR(__xludf.DUMMYFUNCTION("""COMPUTED_VALUE"""),"Chasis Acoplado 2 Ejes L4000 Reforzado")</f>
        <v>Chasis Acoplado 2 Ejes L4000 Reforzado</v>
      </c>
      <c r="AU24" s="3" t="str">
        <f>IFERROR(__xludf.DUMMYFUNCTION("""COMPUTED_VALUE"""),"Chasis Acoplado 2 Ejes L4750")</f>
        <v>Chasis Acoplado 2 Ejes L4750</v>
      </c>
      <c r="AV24" s="3" t="str">
        <f>IFERROR(__xludf.DUMMYFUNCTION("""COMPUTED_VALUE"""),"Chasis Acoplado 2 Ejes L4750 Reforzado")</f>
        <v>Chasis Acoplado 2 Ejes L4750 Reforzado</v>
      </c>
      <c r="AW24" s="3" t="str">
        <f>IFERROR(__xludf.DUMMYFUNCTION("""COMPUTED_VALUE"""),"Chasis Acoplado 2 Ejes L4750 Reforzado R. Camion")</f>
        <v>Chasis Acoplado 2 Ejes L4750 Reforzado R. Camion</v>
      </c>
      <c r="AX24" s="3" t="str">
        <f>IFERROR(__xludf.DUMMYFUNCTION("""COMPUTED_VALUE"""),"Chasis Acoplado 2 Ejes L5000")</f>
        <v>Chasis Acoplado 2 Ejes L5000</v>
      </c>
      <c r="AY24" s="3" t="str">
        <f>IFERROR(__xludf.DUMMYFUNCTION("""COMPUTED_VALUE"""),"Chasis Acoplado 2 Ejes L5750")</f>
        <v>Chasis Acoplado 2 Ejes L5750</v>
      </c>
      <c r="AZ24" s="3" t="str">
        <f>IFERROR(__xludf.DUMMYFUNCTION("""COMPUTED_VALUE"""),"Chasis Acoplado 2 Ejes L6400")</f>
        <v>Chasis Acoplado 2 Ejes L6400</v>
      </c>
      <c r="BA24" s="3" t="str">
        <f>IFERROR(__xludf.DUMMYFUNCTION("""COMPUTED_VALUE"""),"Chasis Acoplado 2 Ejes L4500")</f>
        <v>Chasis Acoplado 2 Ejes L4500</v>
      </c>
      <c r="BB24" s="3" t="str">
        <f>IFERROR(__xludf.DUMMYFUNCTION("""COMPUTED_VALUE"""),"Chasis Acoplado 1 Eje L1500")</f>
        <v>Chasis Acoplado 1 Eje L1500</v>
      </c>
      <c r="BC24" s="3" t="str">
        <f>IFERROR(__xludf.DUMMYFUNCTION("""COMPUTED_VALUE"""),"Chasis Acoplado 1 Eje L1800")</f>
        <v>Chasis Acoplado 1 Eje L1800</v>
      </c>
      <c r="BD24" s="3" t="str">
        <f>IFERROR(__xludf.DUMMYFUNCTION("""COMPUTED_VALUE"""),"Chasis Acoplado 1 Eje L1400")</f>
        <v>Chasis Acoplado 1 Eje L1400</v>
      </c>
      <c r="BE24" s="3" t="str">
        <f>IFERROR(__xludf.DUMMYFUNCTION("""COMPUTED_VALUE"""),"Chasis Acoplado Balancin L3000")</f>
        <v>Chasis Acoplado Balancin L3000</v>
      </c>
      <c r="BF24" s="3" t="str">
        <f>IFERROR(__xludf.DUMMYFUNCTION("""COMPUTED_VALUE"""),"Chasis Acoplado Balancin L3000 Lanza Corta")</f>
        <v>Chasis Acoplado Balancin L3000 Lanza Corta</v>
      </c>
      <c r="BG24" s="3" t="str">
        <f>IFERROR(__xludf.DUMMYFUNCTION("""COMPUTED_VALUE"""),"Chasis Acoplado Balancin L2000 Lanza Corta")</f>
        <v>Chasis Acoplado Balancin L2000 Lanza Corta</v>
      </c>
      <c r="BH24" s="3" t="str">
        <f>IFERROR(__xludf.DUMMYFUNCTION("""COMPUTED_VALUE"""),"Chasis Acoplado Balancin L3200 Lanza Corta")</f>
        <v>Chasis Acoplado Balancin L3200 Lanza Corta</v>
      </c>
      <c r="BI24" s="3" t="str">
        <f>IFERROR(__xludf.DUMMYFUNCTION("""COMPUTED_VALUE"""),"Chasis Acoplado Balancin L3200 Lanza Recta")</f>
        <v>Chasis Acoplado Balancin L3200 Lanza Recta</v>
      </c>
      <c r="BJ24" s="3" t="str">
        <f>IFERROR(__xludf.DUMMYFUNCTION("""COMPUTED_VALUE"""),"Chasis Acoplado Balancin L3200 Bajo Lanza Recta")</f>
        <v>Chasis Acoplado Balancin L3200 Bajo Lanza Recta</v>
      </c>
      <c r="BK24" s="3" t="str">
        <f>IFERROR(__xludf.DUMMYFUNCTION("""COMPUTED_VALUE"""),"Tanque Plastico Horizontal 750 Lts")</f>
        <v>Tanque Plastico Horizontal 750 Lts</v>
      </c>
      <c r="BL24" s="3" t="str">
        <f>IFERROR(__xludf.DUMMYFUNCTION("""COMPUTED_VALUE"""),"Medio Tanque Plastico Superior 700 Lts")</f>
        <v>Medio Tanque Plastico Superior 700 Lts</v>
      </c>
      <c r="BM24" s="3" t="str">
        <f>IFERROR(__xludf.DUMMYFUNCTION("""COMPUTED_VALUE"""),"Paquete de Elasticos 50 mm x 8 mm x 10 Hojas L850")</f>
        <v>Paquete de Elasticos 50 mm x 8 mm x 10 Hojas L850</v>
      </c>
      <c r="BN24" s="3" t="str">
        <f>IFERROR(__xludf.DUMMYFUNCTION("""COMPUTED_VALUE"""),"Paquete de Elasticos 63 mm x 8 mm x 10 Hojas L950")</f>
        <v>Paquete de Elasticos 63 mm x 8 mm x 10 Hojas L950</v>
      </c>
      <c r="BO24" s="3" t="str">
        <f>IFERROR(__xludf.DUMMYFUNCTION("""COMPUTED_VALUE"""),"Paquete de Elasticos 50 mm x 7 mm x 9 Hojas L850")</f>
        <v>Paquete de Elasticos 50 mm x 7 mm x 9 Hojas L850</v>
      </c>
      <c r="BP24" s="3" t="str">
        <f>IFERROR(__xludf.DUMMYFUNCTION("""COMPUTED_VALUE"""),"Paquete de Elasticos 63 mm x 8 mm x 8 Hojas L850")</f>
        <v>Paquete de Elasticos 63 mm x 8 mm x 8 Hojas L850</v>
      </c>
      <c r="BQ24" s="3" t="str">
        <f>IFERROR(__xludf.DUMMYFUNCTION("""COMPUTED_VALUE"""),"Paquete de Elasticos 63 mm x 10 mm x 10 Hojas L950")</f>
        <v>Paquete de Elasticos 63 mm x 10 mm x 10 Hojas L950</v>
      </c>
      <c r="BR24" s="3" t="str">
        <f>IFERROR(__xludf.DUMMYFUNCTION("""COMPUTED_VALUE"""),"Paquete de Elasticos 63 mm x 10 mm x 13 Hojas L975")</f>
        <v>Paquete de Elasticos 63 mm x 10 mm x 13 Hojas L975</v>
      </c>
      <c r="BS24" s="3" t="str">
        <f>IFERROR(__xludf.DUMMYFUNCTION("""COMPUTED_VALUE"""),"Paquete de Elasticos 50 mm x 7 mm x 9 Hojas L650")</f>
        <v>Paquete de Elasticos 50 mm x 7 mm x 9 Hojas L650</v>
      </c>
      <c r="BT24" s="3" t="str">
        <f>IFERROR(__xludf.DUMMYFUNCTION("""COMPUTED_VALUE"""),"Eje Acoplado 2"" x 1600 (06/08) Agrícola Centro 92")</f>
        <v>Eje Acoplado 2" x 1600 (06/08) Agrícola Centro 92</v>
      </c>
      <c r="BU24" s="3" t="str">
        <f>IFERROR(__xludf.DUMMYFUNCTION("""COMPUTED_VALUE"""),"Eje Acoplado 2 1/2"" x 1600 (07/09) Agrícola Centro 92")</f>
        <v>Eje Acoplado 2 1/2" x 1600 (07/09) Agrícola Centro 92</v>
      </c>
      <c r="BV24" s="3" t="str">
        <f>IFERROR(__xludf.DUMMYFUNCTION("""COMPUTED_VALUE"""),"Eje Acoplado 2 1/2"" x 1600 (09/11) Agrícola Centro 150")</f>
        <v>Eje Acoplado 2 1/2" x 1600 (09/11) Agrícola Centro 150</v>
      </c>
      <c r="BW24" s="3" t="str">
        <f>IFERROR(__xludf.DUMMYFUNCTION("""COMPUTED_VALUE"""),"Eje Acoplado 3"" x 1600 (10/13) Agrícola Centro 150")</f>
        <v>Eje Acoplado 3" x 1600 (10/13) Agrícola Centro 150</v>
      </c>
      <c r="BX24" s="3" t="str">
        <f>IFERROR(__xludf.DUMMYFUNCTION("""COMPUTED_VALUE"""),"Eje Acoplado 2 1/2"" x 2140 (07/09) Agrícola Centro 92")</f>
        <v>Eje Acoplado 2 1/2" x 2140 (07/09) Agrícola Centro 92</v>
      </c>
      <c r="BY24" s="3" t="str">
        <f>IFERROR(__xludf.DUMMYFUNCTION("""COMPUTED_VALUE"""),"Eje Acoplado 2"" x 1400 (06/08) Agrícola Centro 92")</f>
        <v>Eje Acoplado 2" x 1400 (06/08) Agrícola Centro 92</v>
      </c>
      <c r="BZ24" s="3" t="str">
        <f>IFERROR(__xludf.DUMMYFUNCTION("""COMPUTED_VALUE"""),"Eje Acoplado 2 1/2"" x 1500 (07/09) Agrícola Centro 92")</f>
        <v>Eje Acoplado 2 1/2" x 1500 (07/09) Agrícola Centro 92</v>
      </c>
      <c r="CA24" s="3" t="str">
        <f>IFERROR(__xludf.DUMMYFUNCTION("""COMPUTED_VALUE"""),"Eje Acoplado 2 1/2"" x 2000 (07/09) Agrícola Centro 92")</f>
        <v>Eje Acoplado 2 1/2" x 2000 (07/09) Agrícola Centro 92</v>
      </c>
      <c r="CB24" s="3" t="str">
        <f>IFERROR(__xludf.DUMMYFUNCTION("""COMPUTED_VALUE"""),"Eje Acoplado 2 1/2"" x 2100 (09/11) Agrícola Centro 150")</f>
        <v>Eje Acoplado 2 1/2" x 2100 (09/11) Agrícola Centro 150</v>
      </c>
      <c r="CC24" s="3" t="str">
        <f>IFERROR(__xludf.DUMMYFUNCTION("""COMPUTED_VALUE"""),"Llanta 16"" Simple Agrícola Centro 92")</f>
        <v>Llanta 16" Simple Agrícola Centro 92</v>
      </c>
      <c r="CD24" s="3" t="str">
        <f>IFERROR(__xludf.DUMMYFUNCTION("""COMPUTED_VALUE"""),"Llanta 16"" Dual Agrícola Centro 92")</f>
        <v>Llanta 16" Dual Agrícola Centro 92</v>
      </c>
      <c r="CE24" s="3" t="str">
        <f>IFERROR(__xludf.DUMMYFUNCTION("""COMPUTED_VALUE"""),"Llanta 17"" Simple Agrícola Centro 92")</f>
        <v>Llanta 17" Simple Agrícola Centro 92</v>
      </c>
      <c r="CF24" s="3" t="str">
        <f>IFERROR(__xludf.DUMMYFUNCTION("""COMPUTED_VALUE"""),"Llanta 17"" Dual Agrícola Centro 92")</f>
        <v>Llanta 17" Dual Agrícola Centro 92</v>
      </c>
      <c r="CG24" s="3" t="str">
        <f>IFERROR(__xludf.DUMMYFUNCTION("""COMPUTED_VALUE"""),"Llanta 16"" Dual Agrícola Centro 152")</f>
        <v>Llanta 16" Dual Agrícola Centro 152</v>
      </c>
      <c r="CH24" s="3" t="str">
        <f>IFERROR(__xludf.DUMMYFUNCTION("""COMPUTED_VALUE"""),"Llanta 17"" Dual Agrícola Centro 152")</f>
        <v>Llanta 17" Dual Agrícola Centro 152</v>
      </c>
      <c r="CI24" s="3" t="str">
        <f>IFERROR(__xludf.DUMMYFUNCTION("""COMPUTED_VALUE"""),"Eje Acoplado 2"" x 1600 (05/07) Agrícola Centro 92")</f>
        <v>Eje Acoplado 2" x 1600 (05/07) Agrícola Centro 92</v>
      </c>
      <c r="CJ24" s="3" t="str">
        <f>IFERROR(__xludf.DUMMYFUNCTION("""COMPUTED_VALUE"""),"Paquete de Elásticos 50 mm x 8 mm x 12 Hojas")</f>
        <v>Paquete de Elásticos 50 mm x 8 mm x 12 Hojas</v>
      </c>
      <c r="CK24" s="3" t="str">
        <f>IFERROR(__xludf.DUMMYFUNCTION("""COMPUTED_VALUE"""),"Plataforma Playo 4.00 x 1.90 x 0.45 Lateral Simple Baranda Fija")</f>
        <v>Plataforma Playo 4.00 x 1.90 x 0.45 Lateral Simple Baranda Fija</v>
      </c>
      <c r="CL24" s="3" t="str">
        <f>IFERROR(__xludf.DUMMYFUNCTION("""COMPUTED_VALUE"""),"Plataforma Playo 4.00 x 1.90 x 0.45 Lateral Simple Baranda Ventilada")</f>
        <v>Plataforma Playo 4.00 x 1.90 x 0.45 Lateral Simple Baranda Ventilada</v>
      </c>
      <c r="CM24" s="3" t="str">
        <f>IFERROR(__xludf.DUMMYFUNCTION("""COMPUTED_VALUE"""),"Plataforma Playo 4.00 x 1.90 x 0.45 Lateral Doble Baranda Ventilada")</f>
        <v>Plataforma Playo 4.00 x 1.90 x 0.45 Lateral Doble Baranda Ventilada</v>
      </c>
      <c r="CN24" s="3" t="str">
        <f>IFERROR(__xludf.DUMMYFUNCTION("""COMPUTED_VALUE"""),"Plataforma Playo 4.00 x 1.90 x 0.45 Lateral Doble Baranda Fija")</f>
        <v>Plataforma Playo 4.00 x 1.90 x 0.45 Lateral Doble Baranda Fija</v>
      </c>
      <c r="CO24" s="3" t="str">
        <f>IFERROR(__xludf.DUMMYFUNCTION("""COMPUTED_VALUE"""),"Plataforma Playo 4.00 x 1.90 x 0.72 Lateral Simple Baranda Fija")</f>
        <v>Plataforma Playo 4.00 x 1.90 x 0.72 Lateral Simple Baranda Fija</v>
      </c>
      <c r="CP24" s="3" t="str">
        <f>IFERROR(__xludf.DUMMYFUNCTION("""COMPUTED_VALUE"""),"Plataforma Playo 4.00 x 1.90 x 0.72 Lateral Doble Baranda Fija")</f>
        <v>Plataforma Playo 4.00 x 1.90 x 0.72 Lateral Doble Baranda Fija</v>
      </c>
      <c r="CQ24" s="3" t="str">
        <f>IFERROR(__xludf.DUMMYFUNCTION("""COMPUTED_VALUE"""),"Plataforma Playo 5.00 x 2.20 x 0.60 Lateral Doble Trasera Rebatible")</f>
        <v>Plataforma Playo 5.00 x 2.20 x 0.60 Lateral Doble Trasera Rebatible</v>
      </c>
      <c r="CR24" s="3" t="str">
        <f>IFERROR(__xludf.DUMMYFUNCTION("""COMPUTED_VALUE"""),"Plataforma Playo 5.00 x 2.20 x 0.60 Lateral Doble Baranda Fija C/Toldo")</f>
        <v>Plataforma Playo 5.00 x 2.20 x 0.60 Lateral Doble Baranda Fija C/Toldo</v>
      </c>
      <c r="CS24" s="3" t="str">
        <f>IFERROR(__xludf.DUMMYFUNCTION("""COMPUTED_VALUE"""),"Plataforma Playo 3.00 x 1.90 x 0.45 Lateral Simple Baranda Fija")</f>
        <v>Plataforma Playo 3.00 x 1.90 x 0.45 Lateral Simple Baranda Fija</v>
      </c>
      <c r="CT24" s="3" t="str">
        <f>IFERROR(__xludf.DUMMYFUNCTION("""COMPUTED_VALUE"""),"Plataforma Playo 3.00 x 1.90 x 0.45 Lateral Simple Baranda Ventilada")</f>
        <v>Plataforma Playo 3.00 x 1.90 x 0.45 Lateral Simple Baranda Ventilada</v>
      </c>
      <c r="CU24" s="3" t="str">
        <f>IFERROR(__xludf.DUMMYFUNCTION("""COMPUTED_VALUE"""),"Plataforma Playo 2.00 x 1.90 x 0.45 Lateral Simple Baranda Fija")</f>
        <v>Plataforma Playo 2.00 x 1.90 x 0.45 Lateral Simple Baranda Fija</v>
      </c>
      <c r="CV24" s="3" t="str">
        <f>IFERROR(__xludf.DUMMYFUNCTION("""COMPUTED_VALUE"""),"Plataforma Playo 5.00 x 1.90 x 0.60 Lateral Doble Baranda Fija")</f>
        <v>Plataforma Playo 5.00 x 1.90 x 0.60 Lateral Doble Baranda Fija</v>
      </c>
      <c r="CW24" s="3" t="str">
        <f>IFERROR(__xludf.DUMMYFUNCTION("""COMPUTED_VALUE"""),"Plataforma Playo 6.40 x 2.70 x 0.72 Lateral Doble Baranda Fija")</f>
        <v>Plataforma Playo 6.40 x 2.70 x 0.72 Lateral Doble Baranda Fija</v>
      </c>
      <c r="CX24" s="3" t="str">
        <f>IFERROR(__xludf.DUMMYFUNCTION("""COMPUTED_VALUE"""),"Chasis Acoplado Balancin L4000 Lanza Recta")</f>
        <v>Chasis Acoplado Balancin L4000 Lanza Recta</v>
      </c>
      <c r="CY24" s="3" t="str">
        <f>IFERROR(__xludf.DUMMYFUNCTION("""COMPUTED_VALUE"""),"Llanta simple Agrícola 750x20 centro 152")</f>
        <v>Llanta simple Agrícola 750x20 centro 152</v>
      </c>
      <c r="CZ24" s="3" t="str">
        <f>IFERROR(__xludf.DUMMYFUNCTION("""COMPUTED_VALUE"""),"Cajón de Herramientas Mediano adelante")</f>
        <v>Cajón de Herramientas Mediano adelante</v>
      </c>
      <c r="DA24" s="3" t="str">
        <f>IFERROR(__xludf.DUMMYFUNCTION("""COMPUTED_VALUE"""),"Llanta 15"" Simple Agrícola Centro 92")</f>
        <v>Llanta 15" Simple Agrícola Centro 92</v>
      </c>
    </row>
    <row r="25" hidden="1">
      <c r="A25" s="38">
        <f t="shared" si="1"/>
        <v>24</v>
      </c>
      <c r="B25" s="38">
        <f>IF(F25="","",SUMIF(Prearmados!E:E,F25,Prearmados!A:A))</f>
        <v>4</v>
      </c>
      <c r="C25" s="38">
        <f>IF(F25="","",SUMIF(Productos!E:E,G25,Productos!A:A))</f>
        <v>101</v>
      </c>
      <c r="D25" s="83" t="str">
        <f t="array" ref="D25">IF(OR(F25="",F25="Seleccionar.."),"",XLOOKUP(F25,Prearmados!E:E,Prearmados!F:F,"",0,1))</f>
        <v>Acoplados Rurales</v>
      </c>
      <c r="E25" s="83">
        <f>IF(H25="","",SUMIF(Precio_Productos!K:K,C25,Precio_Productos!J:J)*H25)</f>
        <v>780000</v>
      </c>
      <c r="F25" s="84" t="s">
        <v>327</v>
      </c>
      <c r="G25" s="84" t="s">
        <v>133</v>
      </c>
      <c r="H25" s="13">
        <v>2.0</v>
      </c>
      <c r="P25" s="3" t="str">
        <f>IFERROR(__xludf.DUMMYFUNCTION("IF(OR(F25="""",F25=""Seleccionar..""),"""",TRANSPOSE(FILTER(Productos!E:E,(Productos!F:F=D25)+(Productos!F:F=XLOOKUP(D25,Implementos!B:B,Implementos!C:C,""-"",0,1)))))"),"Tanque Combustible 1100 lts Bajo")</f>
        <v>Tanque Combustible 1100 lts Bajo</v>
      </c>
      <c r="Q25" s="3" t="str">
        <f>IFERROR(__xludf.DUMMYFUNCTION("""COMPUTED_VALUE"""),"Tanque Combustible 1500 lts Standard")</f>
        <v>Tanque Combustible 1500 lts Standard</v>
      </c>
      <c r="R25" s="3" t="str">
        <f>IFERROR(__xludf.DUMMYFUNCTION("""COMPUTED_VALUE"""),"Tanque Combustible 1800 lts Standard")</f>
        <v>Tanque Combustible 1800 lts Standard</v>
      </c>
      <c r="S25" s="3" t="str">
        <f>IFERROR(__xludf.DUMMYFUNCTION("""COMPUTED_VALUE"""),"Tanque Combustible 2000 lts Bajo")</f>
        <v>Tanque Combustible 2000 lts Bajo</v>
      </c>
      <c r="T25" s="3" t="str">
        <f>IFERROR(__xludf.DUMMYFUNCTION("""COMPUTED_VALUE"""),"Tanque Combustible 2000 lts Standard")</f>
        <v>Tanque Combustible 2000 lts Standard</v>
      </c>
      <c r="U25" s="3" t="str">
        <f>IFERROR(__xludf.DUMMYFUNCTION("""COMPUTED_VALUE"""),"Tanque Combustible 3000 lts Standard")</f>
        <v>Tanque Combustible 3000 lts Standard</v>
      </c>
      <c r="V25" s="3" t="str">
        <f>IFERROR(__xludf.DUMMYFUNCTION("""COMPUTED_VALUE"""),"Tanque Combustible 3000 lts Alto")</f>
        <v>Tanque Combustible 3000 lts Alto</v>
      </c>
      <c r="W25" s="3" t="str">
        <f>IFERROR(__xludf.DUMMYFUNCTION("""COMPUTED_VALUE"""),"Tanque Combustible 4000 lts Standard")</f>
        <v>Tanque Combustible 4000 lts Standard</v>
      </c>
      <c r="X25" s="3" t="str">
        <f>IFERROR(__xludf.DUMMYFUNCTION("""COMPUTED_VALUE"""),"Tanque Combustible 5000 lts Standard")</f>
        <v>Tanque Combustible 5000 lts Standard</v>
      </c>
      <c r="Y25" s="3" t="str">
        <f>IFERROR(__xludf.DUMMYFUNCTION("""COMPUTED_VALUE"""),"Tanque Combustible 5000 lts Alto")</f>
        <v>Tanque Combustible 5000 lts Alto</v>
      </c>
      <c r="Z25" s="3" t="str">
        <f>IFERROR(__xludf.DUMMYFUNCTION("""COMPUTED_VALUE"""),"Tanque Combustible 2000 lts Alto")</f>
        <v>Tanque Combustible 2000 lts Alto</v>
      </c>
      <c r="AA25" s="3" t="str">
        <f>IFERROR(__xludf.DUMMYFUNCTION("""COMPUTED_VALUE"""),"Tanque Combustible 4000 lts Alto")</f>
        <v>Tanque Combustible 4000 lts Alto</v>
      </c>
      <c r="AB25" s="3" t="str">
        <f>IFERROR(__xludf.DUMMYFUNCTION("""COMPUTED_VALUE"""),"Baulera Standard - 750")</f>
        <v>Baulera Standard - 750</v>
      </c>
      <c r="AC25" s="3" t="str">
        <f>IFERROR(__xludf.DUMMYFUNCTION("""COMPUTED_VALUE"""),"Baulera Standard - 1700 - C/Laterales")</f>
        <v>Baulera Standard - 1700 - C/Laterales</v>
      </c>
      <c r="AD25" s="3" t="str">
        <f>IFERROR(__xludf.DUMMYFUNCTION("""COMPUTED_VALUE"""),"Baulera Standard - 1000 - C/Laterales")</f>
        <v>Baulera Standard - 1000 - C/Laterales</v>
      </c>
      <c r="AE25" s="3" t="str">
        <f>IFERROR(__xludf.DUMMYFUNCTION("""COMPUTED_VALUE"""),"Baulera Standard - 750 - C/Laterales")</f>
        <v>Baulera Standard - 750 - C/Laterales</v>
      </c>
      <c r="AF25" s="3" t="str">
        <f>IFERROR(__xludf.DUMMYFUNCTION("""COMPUTED_VALUE"""),"Baulera Standard - 1300 - C/Laterales")</f>
        <v>Baulera Standard - 1300 - C/Laterales</v>
      </c>
      <c r="AG25" s="3" t="str">
        <f>IFERROR(__xludf.DUMMYFUNCTION("""COMPUTED_VALUE"""),"Baulera Alta - 750")</f>
        <v>Baulera Alta - 750</v>
      </c>
      <c r="AH25" s="3" t="str">
        <f>IFERROR(__xludf.DUMMYFUNCTION("""COMPUTED_VALUE"""),"Baulera Alta - 1500 - C/Laterales")</f>
        <v>Baulera Alta - 1500 - C/Laterales</v>
      </c>
      <c r="AI25" s="3" t="str">
        <f>IFERROR(__xludf.DUMMYFUNCTION("""COMPUTED_VALUE"""),"Baulera Extendida 1700 - C/Laterales")</f>
        <v>Baulera Extendida 1700 - C/Laterales</v>
      </c>
      <c r="AJ25" s="3" t="str">
        <f>IFERROR(__xludf.DUMMYFUNCTION("""COMPUTED_VALUE"""),"Taller Móvil - 1500 x 1500 x 1700")</f>
        <v>Taller Móvil - 1500 x 1500 x 1700</v>
      </c>
      <c r="AK25" s="3" t="str">
        <f>IFERROR(__xludf.DUMMYFUNCTION("""COMPUTED_VALUE"""),"Cajón Herramientas Standard Derecho")</f>
        <v>Cajón Herramientas Standard Derecho</v>
      </c>
      <c r="AL25" s="3" t="str">
        <f>IFERROR(__xludf.DUMMYFUNCTION("""COMPUTED_VALUE"""),"Cajón Herramientas Standard Izquierdo")</f>
        <v>Cajón Herramientas Standard Izquierdo</v>
      </c>
      <c r="AM25" s="3" t="str">
        <f>IFERROR(__xludf.DUMMYFUNCTION("""COMPUTED_VALUE"""),"Cajón Herramientas Corto Derecho")</f>
        <v>Cajón Herramientas Corto Derecho</v>
      </c>
      <c r="AN25" s="3" t="str">
        <f>IFERROR(__xludf.DUMMYFUNCTION("""COMPUTED_VALUE"""),"Cajón Herramientas Corto Izquierdo")</f>
        <v>Cajón Herramientas Corto Izquierdo</v>
      </c>
      <c r="AO25" s="3" t="str">
        <f>IFERROR(__xludf.DUMMYFUNCTION("""COMPUTED_VALUE"""),"Cajón Herramientas Mediano Derecho")</f>
        <v>Cajón Herramientas Mediano Derecho</v>
      </c>
      <c r="AP25" s="3" t="str">
        <f>IFERROR(__xludf.DUMMYFUNCTION("""COMPUTED_VALUE"""),"Cajón Herramientas Mediano Izquierdo")</f>
        <v>Cajón Herramientas Mediano Izquierdo</v>
      </c>
      <c r="AQ25" s="3" t="str">
        <f>IFERROR(__xludf.DUMMYFUNCTION("""COMPUTED_VALUE"""),"Chasis Acoplado 2 Ejes L3000")</f>
        <v>Chasis Acoplado 2 Ejes L3000</v>
      </c>
      <c r="AR25" s="3" t="str">
        <f>IFERROR(__xludf.DUMMYFUNCTION("""COMPUTED_VALUE"""),"Chasis Acoplado 2 Ejes L3750")</f>
        <v>Chasis Acoplado 2 Ejes L3750</v>
      </c>
      <c r="AS25" s="3" t="str">
        <f>IFERROR(__xludf.DUMMYFUNCTION("""COMPUTED_VALUE"""),"Chasis Acoplado 2 Ejes L4000")</f>
        <v>Chasis Acoplado 2 Ejes L4000</v>
      </c>
      <c r="AT25" s="3" t="str">
        <f>IFERROR(__xludf.DUMMYFUNCTION("""COMPUTED_VALUE"""),"Chasis Acoplado 2 Ejes L4000 Reforzado")</f>
        <v>Chasis Acoplado 2 Ejes L4000 Reforzado</v>
      </c>
      <c r="AU25" s="3" t="str">
        <f>IFERROR(__xludf.DUMMYFUNCTION("""COMPUTED_VALUE"""),"Chasis Acoplado 2 Ejes L4750")</f>
        <v>Chasis Acoplado 2 Ejes L4750</v>
      </c>
      <c r="AV25" s="3" t="str">
        <f>IFERROR(__xludf.DUMMYFUNCTION("""COMPUTED_VALUE"""),"Chasis Acoplado 2 Ejes L4750 Reforzado")</f>
        <v>Chasis Acoplado 2 Ejes L4750 Reforzado</v>
      </c>
      <c r="AW25" s="3" t="str">
        <f>IFERROR(__xludf.DUMMYFUNCTION("""COMPUTED_VALUE"""),"Chasis Acoplado 2 Ejes L4750 Reforzado R. Camion")</f>
        <v>Chasis Acoplado 2 Ejes L4750 Reforzado R. Camion</v>
      </c>
      <c r="AX25" s="3" t="str">
        <f>IFERROR(__xludf.DUMMYFUNCTION("""COMPUTED_VALUE"""),"Chasis Acoplado 2 Ejes L5000")</f>
        <v>Chasis Acoplado 2 Ejes L5000</v>
      </c>
      <c r="AY25" s="3" t="str">
        <f>IFERROR(__xludf.DUMMYFUNCTION("""COMPUTED_VALUE"""),"Chasis Acoplado 2 Ejes L5750")</f>
        <v>Chasis Acoplado 2 Ejes L5750</v>
      </c>
      <c r="AZ25" s="3" t="str">
        <f>IFERROR(__xludf.DUMMYFUNCTION("""COMPUTED_VALUE"""),"Chasis Acoplado 2 Ejes L6400")</f>
        <v>Chasis Acoplado 2 Ejes L6400</v>
      </c>
      <c r="BA25" s="3" t="str">
        <f>IFERROR(__xludf.DUMMYFUNCTION("""COMPUTED_VALUE"""),"Chasis Acoplado 2 Ejes L4500")</f>
        <v>Chasis Acoplado 2 Ejes L4500</v>
      </c>
      <c r="BB25" s="3" t="str">
        <f>IFERROR(__xludf.DUMMYFUNCTION("""COMPUTED_VALUE"""),"Chasis Acoplado 1 Eje L1500")</f>
        <v>Chasis Acoplado 1 Eje L1500</v>
      </c>
      <c r="BC25" s="3" t="str">
        <f>IFERROR(__xludf.DUMMYFUNCTION("""COMPUTED_VALUE"""),"Chasis Acoplado 1 Eje L1800")</f>
        <v>Chasis Acoplado 1 Eje L1800</v>
      </c>
      <c r="BD25" s="3" t="str">
        <f>IFERROR(__xludf.DUMMYFUNCTION("""COMPUTED_VALUE"""),"Chasis Acoplado 1 Eje L1400")</f>
        <v>Chasis Acoplado 1 Eje L1400</v>
      </c>
      <c r="BE25" s="3" t="str">
        <f>IFERROR(__xludf.DUMMYFUNCTION("""COMPUTED_VALUE"""),"Chasis Acoplado Balancin L3000")</f>
        <v>Chasis Acoplado Balancin L3000</v>
      </c>
      <c r="BF25" s="3" t="str">
        <f>IFERROR(__xludf.DUMMYFUNCTION("""COMPUTED_VALUE"""),"Chasis Acoplado Balancin L3000 Lanza Corta")</f>
        <v>Chasis Acoplado Balancin L3000 Lanza Corta</v>
      </c>
      <c r="BG25" s="3" t="str">
        <f>IFERROR(__xludf.DUMMYFUNCTION("""COMPUTED_VALUE"""),"Chasis Acoplado Balancin L2000 Lanza Corta")</f>
        <v>Chasis Acoplado Balancin L2000 Lanza Corta</v>
      </c>
      <c r="BH25" s="3" t="str">
        <f>IFERROR(__xludf.DUMMYFUNCTION("""COMPUTED_VALUE"""),"Chasis Acoplado Balancin L3200 Lanza Corta")</f>
        <v>Chasis Acoplado Balancin L3200 Lanza Corta</v>
      </c>
      <c r="BI25" s="3" t="str">
        <f>IFERROR(__xludf.DUMMYFUNCTION("""COMPUTED_VALUE"""),"Chasis Acoplado Balancin L3200 Lanza Recta")</f>
        <v>Chasis Acoplado Balancin L3200 Lanza Recta</v>
      </c>
      <c r="BJ25" s="3" t="str">
        <f>IFERROR(__xludf.DUMMYFUNCTION("""COMPUTED_VALUE"""),"Chasis Acoplado Balancin L3200 Bajo Lanza Recta")</f>
        <v>Chasis Acoplado Balancin L3200 Bajo Lanza Recta</v>
      </c>
      <c r="BK25" s="3" t="str">
        <f>IFERROR(__xludf.DUMMYFUNCTION("""COMPUTED_VALUE"""),"Tanque Plastico Horizontal 750 Lts")</f>
        <v>Tanque Plastico Horizontal 750 Lts</v>
      </c>
      <c r="BL25" s="3" t="str">
        <f>IFERROR(__xludf.DUMMYFUNCTION("""COMPUTED_VALUE"""),"Medio Tanque Plastico Superior 700 Lts")</f>
        <v>Medio Tanque Plastico Superior 700 Lts</v>
      </c>
      <c r="BM25" s="3" t="str">
        <f>IFERROR(__xludf.DUMMYFUNCTION("""COMPUTED_VALUE"""),"Paquete de Elasticos 50 mm x 8 mm x 10 Hojas L850")</f>
        <v>Paquete de Elasticos 50 mm x 8 mm x 10 Hojas L850</v>
      </c>
      <c r="BN25" s="3" t="str">
        <f>IFERROR(__xludf.DUMMYFUNCTION("""COMPUTED_VALUE"""),"Paquete de Elasticos 63 mm x 8 mm x 10 Hojas L950")</f>
        <v>Paquete de Elasticos 63 mm x 8 mm x 10 Hojas L950</v>
      </c>
      <c r="BO25" s="3" t="str">
        <f>IFERROR(__xludf.DUMMYFUNCTION("""COMPUTED_VALUE"""),"Paquete de Elasticos 50 mm x 7 mm x 9 Hojas L850")</f>
        <v>Paquete de Elasticos 50 mm x 7 mm x 9 Hojas L850</v>
      </c>
      <c r="BP25" s="3" t="str">
        <f>IFERROR(__xludf.DUMMYFUNCTION("""COMPUTED_VALUE"""),"Paquete de Elasticos 63 mm x 8 mm x 8 Hojas L850")</f>
        <v>Paquete de Elasticos 63 mm x 8 mm x 8 Hojas L850</v>
      </c>
      <c r="BQ25" s="3" t="str">
        <f>IFERROR(__xludf.DUMMYFUNCTION("""COMPUTED_VALUE"""),"Paquete de Elasticos 63 mm x 10 mm x 10 Hojas L950")</f>
        <v>Paquete de Elasticos 63 mm x 10 mm x 10 Hojas L950</v>
      </c>
      <c r="BR25" s="3" t="str">
        <f>IFERROR(__xludf.DUMMYFUNCTION("""COMPUTED_VALUE"""),"Paquete de Elasticos 63 mm x 10 mm x 13 Hojas L975")</f>
        <v>Paquete de Elasticos 63 mm x 10 mm x 13 Hojas L975</v>
      </c>
      <c r="BS25" s="3" t="str">
        <f>IFERROR(__xludf.DUMMYFUNCTION("""COMPUTED_VALUE"""),"Paquete de Elasticos 50 mm x 7 mm x 9 Hojas L650")</f>
        <v>Paquete de Elasticos 50 mm x 7 mm x 9 Hojas L650</v>
      </c>
      <c r="BT25" s="3" t="str">
        <f>IFERROR(__xludf.DUMMYFUNCTION("""COMPUTED_VALUE"""),"Eje Acoplado 2"" x 1600 (06/08) Agrícola Centro 92")</f>
        <v>Eje Acoplado 2" x 1600 (06/08) Agrícola Centro 92</v>
      </c>
      <c r="BU25" s="3" t="str">
        <f>IFERROR(__xludf.DUMMYFUNCTION("""COMPUTED_VALUE"""),"Eje Acoplado 2 1/2"" x 1600 (07/09) Agrícola Centro 92")</f>
        <v>Eje Acoplado 2 1/2" x 1600 (07/09) Agrícola Centro 92</v>
      </c>
      <c r="BV25" s="3" t="str">
        <f>IFERROR(__xludf.DUMMYFUNCTION("""COMPUTED_VALUE"""),"Eje Acoplado 2 1/2"" x 1600 (09/11) Agrícola Centro 150")</f>
        <v>Eje Acoplado 2 1/2" x 1600 (09/11) Agrícola Centro 150</v>
      </c>
      <c r="BW25" s="3" t="str">
        <f>IFERROR(__xludf.DUMMYFUNCTION("""COMPUTED_VALUE"""),"Eje Acoplado 3"" x 1600 (10/13) Agrícola Centro 150")</f>
        <v>Eje Acoplado 3" x 1600 (10/13) Agrícola Centro 150</v>
      </c>
      <c r="BX25" s="3" t="str">
        <f>IFERROR(__xludf.DUMMYFUNCTION("""COMPUTED_VALUE"""),"Eje Acoplado 2 1/2"" x 2140 (07/09) Agrícola Centro 92")</f>
        <v>Eje Acoplado 2 1/2" x 2140 (07/09) Agrícola Centro 92</v>
      </c>
      <c r="BY25" s="3" t="str">
        <f>IFERROR(__xludf.DUMMYFUNCTION("""COMPUTED_VALUE"""),"Eje Acoplado 2"" x 1400 (06/08) Agrícola Centro 92")</f>
        <v>Eje Acoplado 2" x 1400 (06/08) Agrícola Centro 92</v>
      </c>
      <c r="BZ25" s="3" t="str">
        <f>IFERROR(__xludf.DUMMYFUNCTION("""COMPUTED_VALUE"""),"Eje Acoplado 2 1/2"" x 1500 (07/09) Agrícola Centro 92")</f>
        <v>Eje Acoplado 2 1/2" x 1500 (07/09) Agrícola Centro 92</v>
      </c>
      <c r="CA25" s="3" t="str">
        <f>IFERROR(__xludf.DUMMYFUNCTION("""COMPUTED_VALUE"""),"Eje Acoplado 2 1/2"" x 2000 (07/09) Agrícola Centro 92")</f>
        <v>Eje Acoplado 2 1/2" x 2000 (07/09) Agrícola Centro 92</v>
      </c>
      <c r="CB25" s="3" t="str">
        <f>IFERROR(__xludf.DUMMYFUNCTION("""COMPUTED_VALUE"""),"Eje Acoplado 2 1/2"" x 2100 (09/11) Agrícola Centro 150")</f>
        <v>Eje Acoplado 2 1/2" x 2100 (09/11) Agrícola Centro 150</v>
      </c>
      <c r="CC25" s="3" t="str">
        <f>IFERROR(__xludf.DUMMYFUNCTION("""COMPUTED_VALUE"""),"Llanta 16"" Simple Agrícola Centro 92")</f>
        <v>Llanta 16" Simple Agrícola Centro 92</v>
      </c>
      <c r="CD25" s="3" t="str">
        <f>IFERROR(__xludf.DUMMYFUNCTION("""COMPUTED_VALUE"""),"Llanta 16"" Dual Agrícola Centro 92")</f>
        <v>Llanta 16" Dual Agrícola Centro 92</v>
      </c>
      <c r="CE25" s="3" t="str">
        <f>IFERROR(__xludf.DUMMYFUNCTION("""COMPUTED_VALUE"""),"Llanta 17"" Simple Agrícola Centro 92")</f>
        <v>Llanta 17" Simple Agrícola Centro 92</v>
      </c>
      <c r="CF25" s="3" t="str">
        <f>IFERROR(__xludf.DUMMYFUNCTION("""COMPUTED_VALUE"""),"Llanta 17"" Dual Agrícola Centro 92")</f>
        <v>Llanta 17" Dual Agrícola Centro 92</v>
      </c>
      <c r="CG25" s="3" t="str">
        <f>IFERROR(__xludf.DUMMYFUNCTION("""COMPUTED_VALUE"""),"Llanta 16"" Dual Agrícola Centro 152")</f>
        <v>Llanta 16" Dual Agrícola Centro 152</v>
      </c>
      <c r="CH25" s="3" t="str">
        <f>IFERROR(__xludf.DUMMYFUNCTION("""COMPUTED_VALUE"""),"Llanta 17"" Dual Agrícola Centro 152")</f>
        <v>Llanta 17" Dual Agrícola Centro 152</v>
      </c>
      <c r="CI25" s="3" t="str">
        <f>IFERROR(__xludf.DUMMYFUNCTION("""COMPUTED_VALUE"""),"Eje Acoplado 2"" x 1600 (05/07) Agrícola Centro 92")</f>
        <v>Eje Acoplado 2" x 1600 (05/07) Agrícola Centro 92</v>
      </c>
      <c r="CJ25" s="3" t="str">
        <f>IFERROR(__xludf.DUMMYFUNCTION("""COMPUTED_VALUE"""),"Paquete de Elásticos 50 mm x 8 mm x 12 Hojas")</f>
        <v>Paquete de Elásticos 50 mm x 8 mm x 12 Hojas</v>
      </c>
      <c r="CK25" s="3" t="str">
        <f>IFERROR(__xludf.DUMMYFUNCTION("""COMPUTED_VALUE"""),"Plataforma Playo 4.00 x 1.90 x 0.45 Lateral Simple Baranda Fija")</f>
        <v>Plataforma Playo 4.00 x 1.90 x 0.45 Lateral Simple Baranda Fija</v>
      </c>
      <c r="CL25" s="3" t="str">
        <f>IFERROR(__xludf.DUMMYFUNCTION("""COMPUTED_VALUE"""),"Plataforma Playo 4.00 x 1.90 x 0.45 Lateral Simple Baranda Ventilada")</f>
        <v>Plataforma Playo 4.00 x 1.90 x 0.45 Lateral Simple Baranda Ventilada</v>
      </c>
      <c r="CM25" s="3" t="str">
        <f>IFERROR(__xludf.DUMMYFUNCTION("""COMPUTED_VALUE"""),"Plataforma Playo 4.00 x 1.90 x 0.45 Lateral Doble Baranda Ventilada")</f>
        <v>Plataforma Playo 4.00 x 1.90 x 0.45 Lateral Doble Baranda Ventilada</v>
      </c>
      <c r="CN25" s="3" t="str">
        <f>IFERROR(__xludf.DUMMYFUNCTION("""COMPUTED_VALUE"""),"Plataforma Playo 4.00 x 1.90 x 0.45 Lateral Doble Baranda Fija")</f>
        <v>Plataforma Playo 4.00 x 1.90 x 0.45 Lateral Doble Baranda Fija</v>
      </c>
      <c r="CO25" s="3" t="str">
        <f>IFERROR(__xludf.DUMMYFUNCTION("""COMPUTED_VALUE"""),"Plataforma Playo 4.00 x 1.90 x 0.72 Lateral Simple Baranda Fija")</f>
        <v>Plataforma Playo 4.00 x 1.90 x 0.72 Lateral Simple Baranda Fija</v>
      </c>
      <c r="CP25" s="3" t="str">
        <f>IFERROR(__xludf.DUMMYFUNCTION("""COMPUTED_VALUE"""),"Plataforma Playo 4.00 x 1.90 x 0.72 Lateral Doble Baranda Fija")</f>
        <v>Plataforma Playo 4.00 x 1.90 x 0.72 Lateral Doble Baranda Fija</v>
      </c>
      <c r="CQ25" s="3" t="str">
        <f>IFERROR(__xludf.DUMMYFUNCTION("""COMPUTED_VALUE"""),"Plataforma Playo 5.00 x 2.20 x 0.60 Lateral Doble Trasera Rebatible")</f>
        <v>Plataforma Playo 5.00 x 2.20 x 0.60 Lateral Doble Trasera Rebatible</v>
      </c>
      <c r="CR25" s="3" t="str">
        <f>IFERROR(__xludf.DUMMYFUNCTION("""COMPUTED_VALUE"""),"Plataforma Playo 5.00 x 2.20 x 0.60 Lateral Doble Baranda Fija C/Toldo")</f>
        <v>Plataforma Playo 5.00 x 2.20 x 0.60 Lateral Doble Baranda Fija C/Toldo</v>
      </c>
      <c r="CS25" s="3" t="str">
        <f>IFERROR(__xludf.DUMMYFUNCTION("""COMPUTED_VALUE"""),"Plataforma Playo 3.00 x 1.90 x 0.45 Lateral Simple Baranda Fija")</f>
        <v>Plataforma Playo 3.00 x 1.90 x 0.45 Lateral Simple Baranda Fija</v>
      </c>
      <c r="CT25" s="3" t="str">
        <f>IFERROR(__xludf.DUMMYFUNCTION("""COMPUTED_VALUE"""),"Plataforma Playo 3.00 x 1.90 x 0.45 Lateral Simple Baranda Ventilada")</f>
        <v>Plataforma Playo 3.00 x 1.90 x 0.45 Lateral Simple Baranda Ventilada</v>
      </c>
      <c r="CU25" s="3" t="str">
        <f>IFERROR(__xludf.DUMMYFUNCTION("""COMPUTED_VALUE"""),"Plataforma Playo 2.00 x 1.90 x 0.45 Lateral Simple Baranda Fija")</f>
        <v>Plataforma Playo 2.00 x 1.90 x 0.45 Lateral Simple Baranda Fija</v>
      </c>
      <c r="CV25" s="3" t="str">
        <f>IFERROR(__xludf.DUMMYFUNCTION("""COMPUTED_VALUE"""),"Plataforma Playo 5.00 x 1.90 x 0.60 Lateral Doble Baranda Fija")</f>
        <v>Plataforma Playo 5.00 x 1.90 x 0.60 Lateral Doble Baranda Fija</v>
      </c>
      <c r="CW25" s="3" t="str">
        <f>IFERROR(__xludf.DUMMYFUNCTION("""COMPUTED_VALUE"""),"Plataforma Playo 6.40 x 2.70 x 0.72 Lateral Doble Baranda Fija")</f>
        <v>Plataforma Playo 6.40 x 2.70 x 0.72 Lateral Doble Baranda Fija</v>
      </c>
      <c r="CX25" s="3" t="str">
        <f>IFERROR(__xludf.DUMMYFUNCTION("""COMPUTED_VALUE"""),"Chasis Acoplado Balancin L4000 Lanza Recta")</f>
        <v>Chasis Acoplado Balancin L4000 Lanza Recta</v>
      </c>
      <c r="CY25" s="3" t="str">
        <f>IFERROR(__xludf.DUMMYFUNCTION("""COMPUTED_VALUE"""),"Llanta simple Agrícola 750x20 centro 152")</f>
        <v>Llanta simple Agrícola 750x20 centro 152</v>
      </c>
      <c r="CZ25" s="3" t="str">
        <f>IFERROR(__xludf.DUMMYFUNCTION("""COMPUTED_VALUE"""),"Cajón de Herramientas Mediano adelante")</f>
        <v>Cajón de Herramientas Mediano adelante</v>
      </c>
      <c r="DA25" s="3" t="str">
        <f>IFERROR(__xludf.DUMMYFUNCTION("""COMPUTED_VALUE"""),"Llanta 15"" Simple Agrícola Centro 92")</f>
        <v>Llanta 15" Simple Agrícola Centro 92</v>
      </c>
    </row>
    <row r="26" hidden="1">
      <c r="A26" s="38">
        <f t="shared" si="1"/>
        <v>25</v>
      </c>
      <c r="B26" s="38">
        <f>IF(F26="","",SUMIF(Prearmados!E:E,F26,Prearmados!A:A))</f>
        <v>4</v>
      </c>
      <c r="C26" s="38">
        <f>IF(F26="","",SUMIF(Productos!E:E,G26,Productos!A:A))</f>
        <v>96</v>
      </c>
      <c r="D26" s="83" t="str">
        <f t="array" ref="D26">IF(OR(F26="",F26="Seleccionar.."),"",XLOOKUP(F26,Prearmados!E:E,Prearmados!F:F,"",0,1))</f>
        <v>Acoplados Rurales</v>
      </c>
      <c r="E26" s="83">
        <f>IF(H26="","",SUMIF(Precio_Productos!K:K,C26,Precio_Productos!J:J)*H26)</f>
        <v>405600</v>
      </c>
      <c r="F26" s="84" t="s">
        <v>327</v>
      </c>
      <c r="G26" s="84" t="s">
        <v>123</v>
      </c>
      <c r="H26" s="13">
        <v>4.0</v>
      </c>
      <c r="P26" s="3" t="str">
        <f>IFERROR(__xludf.DUMMYFUNCTION("IF(OR(F26="""",F26=""Seleccionar..""),"""",TRANSPOSE(FILTER(Productos!E:E,(Productos!F:F=D26)+(Productos!F:F=XLOOKUP(D26,Implementos!B:B,Implementos!C:C,""-"",0,1)))))"),"Tanque Combustible 1100 lts Bajo")</f>
        <v>Tanque Combustible 1100 lts Bajo</v>
      </c>
      <c r="Q26" s="3" t="str">
        <f>IFERROR(__xludf.DUMMYFUNCTION("""COMPUTED_VALUE"""),"Tanque Combustible 1500 lts Standard")</f>
        <v>Tanque Combustible 1500 lts Standard</v>
      </c>
      <c r="R26" s="3" t="str">
        <f>IFERROR(__xludf.DUMMYFUNCTION("""COMPUTED_VALUE"""),"Tanque Combustible 1800 lts Standard")</f>
        <v>Tanque Combustible 1800 lts Standard</v>
      </c>
      <c r="S26" s="3" t="str">
        <f>IFERROR(__xludf.DUMMYFUNCTION("""COMPUTED_VALUE"""),"Tanque Combustible 2000 lts Bajo")</f>
        <v>Tanque Combustible 2000 lts Bajo</v>
      </c>
      <c r="T26" s="3" t="str">
        <f>IFERROR(__xludf.DUMMYFUNCTION("""COMPUTED_VALUE"""),"Tanque Combustible 2000 lts Standard")</f>
        <v>Tanque Combustible 2000 lts Standard</v>
      </c>
      <c r="U26" s="3" t="str">
        <f>IFERROR(__xludf.DUMMYFUNCTION("""COMPUTED_VALUE"""),"Tanque Combustible 3000 lts Standard")</f>
        <v>Tanque Combustible 3000 lts Standard</v>
      </c>
      <c r="V26" s="3" t="str">
        <f>IFERROR(__xludf.DUMMYFUNCTION("""COMPUTED_VALUE"""),"Tanque Combustible 3000 lts Alto")</f>
        <v>Tanque Combustible 3000 lts Alto</v>
      </c>
      <c r="W26" s="3" t="str">
        <f>IFERROR(__xludf.DUMMYFUNCTION("""COMPUTED_VALUE"""),"Tanque Combustible 4000 lts Standard")</f>
        <v>Tanque Combustible 4000 lts Standard</v>
      </c>
      <c r="X26" s="3" t="str">
        <f>IFERROR(__xludf.DUMMYFUNCTION("""COMPUTED_VALUE"""),"Tanque Combustible 5000 lts Standard")</f>
        <v>Tanque Combustible 5000 lts Standard</v>
      </c>
      <c r="Y26" s="3" t="str">
        <f>IFERROR(__xludf.DUMMYFUNCTION("""COMPUTED_VALUE"""),"Tanque Combustible 5000 lts Alto")</f>
        <v>Tanque Combustible 5000 lts Alto</v>
      </c>
      <c r="Z26" s="3" t="str">
        <f>IFERROR(__xludf.DUMMYFUNCTION("""COMPUTED_VALUE"""),"Tanque Combustible 2000 lts Alto")</f>
        <v>Tanque Combustible 2000 lts Alto</v>
      </c>
      <c r="AA26" s="3" t="str">
        <f>IFERROR(__xludf.DUMMYFUNCTION("""COMPUTED_VALUE"""),"Tanque Combustible 4000 lts Alto")</f>
        <v>Tanque Combustible 4000 lts Alto</v>
      </c>
      <c r="AB26" s="3" t="str">
        <f>IFERROR(__xludf.DUMMYFUNCTION("""COMPUTED_VALUE"""),"Baulera Standard - 750")</f>
        <v>Baulera Standard - 750</v>
      </c>
      <c r="AC26" s="3" t="str">
        <f>IFERROR(__xludf.DUMMYFUNCTION("""COMPUTED_VALUE"""),"Baulera Standard - 1700 - C/Laterales")</f>
        <v>Baulera Standard - 1700 - C/Laterales</v>
      </c>
      <c r="AD26" s="3" t="str">
        <f>IFERROR(__xludf.DUMMYFUNCTION("""COMPUTED_VALUE"""),"Baulera Standard - 1000 - C/Laterales")</f>
        <v>Baulera Standard - 1000 - C/Laterales</v>
      </c>
      <c r="AE26" s="3" t="str">
        <f>IFERROR(__xludf.DUMMYFUNCTION("""COMPUTED_VALUE"""),"Baulera Standard - 750 - C/Laterales")</f>
        <v>Baulera Standard - 750 - C/Laterales</v>
      </c>
      <c r="AF26" s="3" t="str">
        <f>IFERROR(__xludf.DUMMYFUNCTION("""COMPUTED_VALUE"""),"Baulera Standard - 1300 - C/Laterales")</f>
        <v>Baulera Standard - 1300 - C/Laterales</v>
      </c>
      <c r="AG26" s="3" t="str">
        <f>IFERROR(__xludf.DUMMYFUNCTION("""COMPUTED_VALUE"""),"Baulera Alta - 750")</f>
        <v>Baulera Alta - 750</v>
      </c>
      <c r="AH26" s="3" t="str">
        <f>IFERROR(__xludf.DUMMYFUNCTION("""COMPUTED_VALUE"""),"Baulera Alta - 1500 - C/Laterales")</f>
        <v>Baulera Alta - 1500 - C/Laterales</v>
      </c>
      <c r="AI26" s="3" t="str">
        <f>IFERROR(__xludf.DUMMYFUNCTION("""COMPUTED_VALUE"""),"Baulera Extendida 1700 - C/Laterales")</f>
        <v>Baulera Extendida 1700 - C/Laterales</v>
      </c>
      <c r="AJ26" s="3" t="str">
        <f>IFERROR(__xludf.DUMMYFUNCTION("""COMPUTED_VALUE"""),"Taller Móvil - 1500 x 1500 x 1700")</f>
        <v>Taller Móvil - 1500 x 1500 x 1700</v>
      </c>
      <c r="AK26" s="3" t="str">
        <f>IFERROR(__xludf.DUMMYFUNCTION("""COMPUTED_VALUE"""),"Cajón Herramientas Standard Derecho")</f>
        <v>Cajón Herramientas Standard Derecho</v>
      </c>
      <c r="AL26" s="3" t="str">
        <f>IFERROR(__xludf.DUMMYFUNCTION("""COMPUTED_VALUE"""),"Cajón Herramientas Standard Izquierdo")</f>
        <v>Cajón Herramientas Standard Izquierdo</v>
      </c>
      <c r="AM26" s="3" t="str">
        <f>IFERROR(__xludf.DUMMYFUNCTION("""COMPUTED_VALUE"""),"Cajón Herramientas Corto Derecho")</f>
        <v>Cajón Herramientas Corto Derecho</v>
      </c>
      <c r="AN26" s="3" t="str">
        <f>IFERROR(__xludf.DUMMYFUNCTION("""COMPUTED_VALUE"""),"Cajón Herramientas Corto Izquierdo")</f>
        <v>Cajón Herramientas Corto Izquierdo</v>
      </c>
      <c r="AO26" s="3" t="str">
        <f>IFERROR(__xludf.DUMMYFUNCTION("""COMPUTED_VALUE"""),"Cajón Herramientas Mediano Derecho")</f>
        <v>Cajón Herramientas Mediano Derecho</v>
      </c>
      <c r="AP26" s="3" t="str">
        <f>IFERROR(__xludf.DUMMYFUNCTION("""COMPUTED_VALUE"""),"Cajón Herramientas Mediano Izquierdo")</f>
        <v>Cajón Herramientas Mediano Izquierdo</v>
      </c>
      <c r="AQ26" s="3" t="str">
        <f>IFERROR(__xludf.DUMMYFUNCTION("""COMPUTED_VALUE"""),"Chasis Acoplado 2 Ejes L3000")</f>
        <v>Chasis Acoplado 2 Ejes L3000</v>
      </c>
      <c r="AR26" s="3" t="str">
        <f>IFERROR(__xludf.DUMMYFUNCTION("""COMPUTED_VALUE"""),"Chasis Acoplado 2 Ejes L3750")</f>
        <v>Chasis Acoplado 2 Ejes L3750</v>
      </c>
      <c r="AS26" s="3" t="str">
        <f>IFERROR(__xludf.DUMMYFUNCTION("""COMPUTED_VALUE"""),"Chasis Acoplado 2 Ejes L4000")</f>
        <v>Chasis Acoplado 2 Ejes L4000</v>
      </c>
      <c r="AT26" s="3" t="str">
        <f>IFERROR(__xludf.DUMMYFUNCTION("""COMPUTED_VALUE"""),"Chasis Acoplado 2 Ejes L4000 Reforzado")</f>
        <v>Chasis Acoplado 2 Ejes L4000 Reforzado</v>
      </c>
      <c r="AU26" s="3" t="str">
        <f>IFERROR(__xludf.DUMMYFUNCTION("""COMPUTED_VALUE"""),"Chasis Acoplado 2 Ejes L4750")</f>
        <v>Chasis Acoplado 2 Ejes L4750</v>
      </c>
      <c r="AV26" s="3" t="str">
        <f>IFERROR(__xludf.DUMMYFUNCTION("""COMPUTED_VALUE"""),"Chasis Acoplado 2 Ejes L4750 Reforzado")</f>
        <v>Chasis Acoplado 2 Ejes L4750 Reforzado</v>
      </c>
      <c r="AW26" s="3" t="str">
        <f>IFERROR(__xludf.DUMMYFUNCTION("""COMPUTED_VALUE"""),"Chasis Acoplado 2 Ejes L4750 Reforzado R. Camion")</f>
        <v>Chasis Acoplado 2 Ejes L4750 Reforzado R. Camion</v>
      </c>
      <c r="AX26" s="3" t="str">
        <f>IFERROR(__xludf.DUMMYFUNCTION("""COMPUTED_VALUE"""),"Chasis Acoplado 2 Ejes L5000")</f>
        <v>Chasis Acoplado 2 Ejes L5000</v>
      </c>
      <c r="AY26" s="3" t="str">
        <f>IFERROR(__xludf.DUMMYFUNCTION("""COMPUTED_VALUE"""),"Chasis Acoplado 2 Ejes L5750")</f>
        <v>Chasis Acoplado 2 Ejes L5750</v>
      </c>
      <c r="AZ26" s="3" t="str">
        <f>IFERROR(__xludf.DUMMYFUNCTION("""COMPUTED_VALUE"""),"Chasis Acoplado 2 Ejes L6400")</f>
        <v>Chasis Acoplado 2 Ejes L6400</v>
      </c>
      <c r="BA26" s="3" t="str">
        <f>IFERROR(__xludf.DUMMYFUNCTION("""COMPUTED_VALUE"""),"Chasis Acoplado 2 Ejes L4500")</f>
        <v>Chasis Acoplado 2 Ejes L4500</v>
      </c>
      <c r="BB26" s="3" t="str">
        <f>IFERROR(__xludf.DUMMYFUNCTION("""COMPUTED_VALUE"""),"Chasis Acoplado 1 Eje L1500")</f>
        <v>Chasis Acoplado 1 Eje L1500</v>
      </c>
      <c r="BC26" s="3" t="str">
        <f>IFERROR(__xludf.DUMMYFUNCTION("""COMPUTED_VALUE"""),"Chasis Acoplado 1 Eje L1800")</f>
        <v>Chasis Acoplado 1 Eje L1800</v>
      </c>
      <c r="BD26" s="3" t="str">
        <f>IFERROR(__xludf.DUMMYFUNCTION("""COMPUTED_VALUE"""),"Chasis Acoplado 1 Eje L1400")</f>
        <v>Chasis Acoplado 1 Eje L1400</v>
      </c>
      <c r="BE26" s="3" t="str">
        <f>IFERROR(__xludf.DUMMYFUNCTION("""COMPUTED_VALUE"""),"Chasis Acoplado Balancin L3000")</f>
        <v>Chasis Acoplado Balancin L3000</v>
      </c>
      <c r="BF26" s="3" t="str">
        <f>IFERROR(__xludf.DUMMYFUNCTION("""COMPUTED_VALUE"""),"Chasis Acoplado Balancin L3000 Lanza Corta")</f>
        <v>Chasis Acoplado Balancin L3000 Lanza Corta</v>
      </c>
      <c r="BG26" s="3" t="str">
        <f>IFERROR(__xludf.DUMMYFUNCTION("""COMPUTED_VALUE"""),"Chasis Acoplado Balancin L2000 Lanza Corta")</f>
        <v>Chasis Acoplado Balancin L2000 Lanza Corta</v>
      </c>
      <c r="BH26" s="3" t="str">
        <f>IFERROR(__xludf.DUMMYFUNCTION("""COMPUTED_VALUE"""),"Chasis Acoplado Balancin L3200 Lanza Corta")</f>
        <v>Chasis Acoplado Balancin L3200 Lanza Corta</v>
      </c>
      <c r="BI26" s="3" t="str">
        <f>IFERROR(__xludf.DUMMYFUNCTION("""COMPUTED_VALUE"""),"Chasis Acoplado Balancin L3200 Lanza Recta")</f>
        <v>Chasis Acoplado Balancin L3200 Lanza Recta</v>
      </c>
      <c r="BJ26" s="3" t="str">
        <f>IFERROR(__xludf.DUMMYFUNCTION("""COMPUTED_VALUE"""),"Chasis Acoplado Balancin L3200 Bajo Lanza Recta")</f>
        <v>Chasis Acoplado Balancin L3200 Bajo Lanza Recta</v>
      </c>
      <c r="BK26" s="3" t="str">
        <f>IFERROR(__xludf.DUMMYFUNCTION("""COMPUTED_VALUE"""),"Tanque Plastico Horizontal 750 Lts")</f>
        <v>Tanque Plastico Horizontal 750 Lts</v>
      </c>
      <c r="BL26" s="3" t="str">
        <f>IFERROR(__xludf.DUMMYFUNCTION("""COMPUTED_VALUE"""),"Medio Tanque Plastico Superior 700 Lts")</f>
        <v>Medio Tanque Plastico Superior 700 Lts</v>
      </c>
      <c r="BM26" s="3" t="str">
        <f>IFERROR(__xludf.DUMMYFUNCTION("""COMPUTED_VALUE"""),"Paquete de Elasticos 50 mm x 8 mm x 10 Hojas L850")</f>
        <v>Paquete de Elasticos 50 mm x 8 mm x 10 Hojas L850</v>
      </c>
      <c r="BN26" s="3" t="str">
        <f>IFERROR(__xludf.DUMMYFUNCTION("""COMPUTED_VALUE"""),"Paquete de Elasticos 63 mm x 8 mm x 10 Hojas L950")</f>
        <v>Paquete de Elasticos 63 mm x 8 mm x 10 Hojas L950</v>
      </c>
      <c r="BO26" s="3" t="str">
        <f>IFERROR(__xludf.DUMMYFUNCTION("""COMPUTED_VALUE"""),"Paquete de Elasticos 50 mm x 7 mm x 9 Hojas L850")</f>
        <v>Paquete de Elasticos 50 mm x 7 mm x 9 Hojas L850</v>
      </c>
      <c r="BP26" s="3" t="str">
        <f>IFERROR(__xludf.DUMMYFUNCTION("""COMPUTED_VALUE"""),"Paquete de Elasticos 63 mm x 8 mm x 8 Hojas L850")</f>
        <v>Paquete de Elasticos 63 mm x 8 mm x 8 Hojas L850</v>
      </c>
      <c r="BQ26" s="3" t="str">
        <f>IFERROR(__xludf.DUMMYFUNCTION("""COMPUTED_VALUE"""),"Paquete de Elasticos 63 mm x 10 mm x 10 Hojas L950")</f>
        <v>Paquete de Elasticos 63 mm x 10 mm x 10 Hojas L950</v>
      </c>
      <c r="BR26" s="3" t="str">
        <f>IFERROR(__xludf.DUMMYFUNCTION("""COMPUTED_VALUE"""),"Paquete de Elasticos 63 mm x 10 mm x 13 Hojas L975")</f>
        <v>Paquete de Elasticos 63 mm x 10 mm x 13 Hojas L975</v>
      </c>
      <c r="BS26" s="3" t="str">
        <f>IFERROR(__xludf.DUMMYFUNCTION("""COMPUTED_VALUE"""),"Paquete de Elasticos 50 mm x 7 mm x 9 Hojas L650")</f>
        <v>Paquete de Elasticos 50 mm x 7 mm x 9 Hojas L650</v>
      </c>
      <c r="BT26" s="3" t="str">
        <f>IFERROR(__xludf.DUMMYFUNCTION("""COMPUTED_VALUE"""),"Eje Acoplado 2"" x 1600 (06/08) Agrícola Centro 92")</f>
        <v>Eje Acoplado 2" x 1600 (06/08) Agrícola Centro 92</v>
      </c>
      <c r="BU26" s="3" t="str">
        <f>IFERROR(__xludf.DUMMYFUNCTION("""COMPUTED_VALUE"""),"Eje Acoplado 2 1/2"" x 1600 (07/09) Agrícola Centro 92")</f>
        <v>Eje Acoplado 2 1/2" x 1600 (07/09) Agrícola Centro 92</v>
      </c>
      <c r="BV26" s="3" t="str">
        <f>IFERROR(__xludf.DUMMYFUNCTION("""COMPUTED_VALUE"""),"Eje Acoplado 2 1/2"" x 1600 (09/11) Agrícola Centro 150")</f>
        <v>Eje Acoplado 2 1/2" x 1600 (09/11) Agrícola Centro 150</v>
      </c>
      <c r="BW26" s="3" t="str">
        <f>IFERROR(__xludf.DUMMYFUNCTION("""COMPUTED_VALUE"""),"Eje Acoplado 3"" x 1600 (10/13) Agrícola Centro 150")</f>
        <v>Eje Acoplado 3" x 1600 (10/13) Agrícola Centro 150</v>
      </c>
      <c r="BX26" s="3" t="str">
        <f>IFERROR(__xludf.DUMMYFUNCTION("""COMPUTED_VALUE"""),"Eje Acoplado 2 1/2"" x 2140 (07/09) Agrícola Centro 92")</f>
        <v>Eje Acoplado 2 1/2" x 2140 (07/09) Agrícola Centro 92</v>
      </c>
      <c r="BY26" s="3" t="str">
        <f>IFERROR(__xludf.DUMMYFUNCTION("""COMPUTED_VALUE"""),"Eje Acoplado 2"" x 1400 (06/08) Agrícola Centro 92")</f>
        <v>Eje Acoplado 2" x 1400 (06/08) Agrícola Centro 92</v>
      </c>
      <c r="BZ26" s="3" t="str">
        <f>IFERROR(__xludf.DUMMYFUNCTION("""COMPUTED_VALUE"""),"Eje Acoplado 2 1/2"" x 1500 (07/09) Agrícola Centro 92")</f>
        <v>Eje Acoplado 2 1/2" x 1500 (07/09) Agrícola Centro 92</v>
      </c>
      <c r="CA26" s="3" t="str">
        <f>IFERROR(__xludf.DUMMYFUNCTION("""COMPUTED_VALUE"""),"Eje Acoplado 2 1/2"" x 2000 (07/09) Agrícola Centro 92")</f>
        <v>Eje Acoplado 2 1/2" x 2000 (07/09) Agrícola Centro 92</v>
      </c>
      <c r="CB26" s="3" t="str">
        <f>IFERROR(__xludf.DUMMYFUNCTION("""COMPUTED_VALUE"""),"Eje Acoplado 2 1/2"" x 2100 (09/11) Agrícola Centro 150")</f>
        <v>Eje Acoplado 2 1/2" x 2100 (09/11) Agrícola Centro 150</v>
      </c>
      <c r="CC26" s="3" t="str">
        <f>IFERROR(__xludf.DUMMYFUNCTION("""COMPUTED_VALUE"""),"Llanta 16"" Simple Agrícola Centro 92")</f>
        <v>Llanta 16" Simple Agrícola Centro 92</v>
      </c>
      <c r="CD26" s="3" t="str">
        <f>IFERROR(__xludf.DUMMYFUNCTION("""COMPUTED_VALUE"""),"Llanta 16"" Dual Agrícola Centro 92")</f>
        <v>Llanta 16" Dual Agrícola Centro 92</v>
      </c>
      <c r="CE26" s="3" t="str">
        <f>IFERROR(__xludf.DUMMYFUNCTION("""COMPUTED_VALUE"""),"Llanta 17"" Simple Agrícola Centro 92")</f>
        <v>Llanta 17" Simple Agrícola Centro 92</v>
      </c>
      <c r="CF26" s="3" t="str">
        <f>IFERROR(__xludf.DUMMYFUNCTION("""COMPUTED_VALUE"""),"Llanta 17"" Dual Agrícola Centro 92")</f>
        <v>Llanta 17" Dual Agrícola Centro 92</v>
      </c>
      <c r="CG26" s="3" t="str">
        <f>IFERROR(__xludf.DUMMYFUNCTION("""COMPUTED_VALUE"""),"Llanta 16"" Dual Agrícola Centro 152")</f>
        <v>Llanta 16" Dual Agrícola Centro 152</v>
      </c>
      <c r="CH26" s="3" t="str">
        <f>IFERROR(__xludf.DUMMYFUNCTION("""COMPUTED_VALUE"""),"Llanta 17"" Dual Agrícola Centro 152")</f>
        <v>Llanta 17" Dual Agrícola Centro 152</v>
      </c>
      <c r="CI26" s="3" t="str">
        <f>IFERROR(__xludf.DUMMYFUNCTION("""COMPUTED_VALUE"""),"Eje Acoplado 2"" x 1600 (05/07) Agrícola Centro 92")</f>
        <v>Eje Acoplado 2" x 1600 (05/07) Agrícola Centro 92</v>
      </c>
      <c r="CJ26" s="3" t="str">
        <f>IFERROR(__xludf.DUMMYFUNCTION("""COMPUTED_VALUE"""),"Paquete de Elásticos 50 mm x 8 mm x 12 Hojas")</f>
        <v>Paquete de Elásticos 50 mm x 8 mm x 12 Hojas</v>
      </c>
      <c r="CK26" s="3" t="str">
        <f>IFERROR(__xludf.DUMMYFUNCTION("""COMPUTED_VALUE"""),"Plataforma Playo 4.00 x 1.90 x 0.45 Lateral Simple Baranda Fija")</f>
        <v>Plataforma Playo 4.00 x 1.90 x 0.45 Lateral Simple Baranda Fija</v>
      </c>
      <c r="CL26" s="3" t="str">
        <f>IFERROR(__xludf.DUMMYFUNCTION("""COMPUTED_VALUE"""),"Plataforma Playo 4.00 x 1.90 x 0.45 Lateral Simple Baranda Ventilada")</f>
        <v>Plataforma Playo 4.00 x 1.90 x 0.45 Lateral Simple Baranda Ventilada</v>
      </c>
      <c r="CM26" s="3" t="str">
        <f>IFERROR(__xludf.DUMMYFUNCTION("""COMPUTED_VALUE"""),"Plataforma Playo 4.00 x 1.90 x 0.45 Lateral Doble Baranda Ventilada")</f>
        <v>Plataforma Playo 4.00 x 1.90 x 0.45 Lateral Doble Baranda Ventilada</v>
      </c>
      <c r="CN26" s="3" t="str">
        <f>IFERROR(__xludf.DUMMYFUNCTION("""COMPUTED_VALUE"""),"Plataforma Playo 4.00 x 1.90 x 0.45 Lateral Doble Baranda Fija")</f>
        <v>Plataforma Playo 4.00 x 1.90 x 0.45 Lateral Doble Baranda Fija</v>
      </c>
      <c r="CO26" s="3" t="str">
        <f>IFERROR(__xludf.DUMMYFUNCTION("""COMPUTED_VALUE"""),"Plataforma Playo 4.00 x 1.90 x 0.72 Lateral Simple Baranda Fija")</f>
        <v>Plataforma Playo 4.00 x 1.90 x 0.72 Lateral Simple Baranda Fija</v>
      </c>
      <c r="CP26" s="3" t="str">
        <f>IFERROR(__xludf.DUMMYFUNCTION("""COMPUTED_VALUE"""),"Plataforma Playo 4.00 x 1.90 x 0.72 Lateral Doble Baranda Fija")</f>
        <v>Plataforma Playo 4.00 x 1.90 x 0.72 Lateral Doble Baranda Fija</v>
      </c>
      <c r="CQ26" s="3" t="str">
        <f>IFERROR(__xludf.DUMMYFUNCTION("""COMPUTED_VALUE"""),"Plataforma Playo 5.00 x 2.20 x 0.60 Lateral Doble Trasera Rebatible")</f>
        <v>Plataforma Playo 5.00 x 2.20 x 0.60 Lateral Doble Trasera Rebatible</v>
      </c>
      <c r="CR26" s="3" t="str">
        <f>IFERROR(__xludf.DUMMYFUNCTION("""COMPUTED_VALUE"""),"Plataforma Playo 5.00 x 2.20 x 0.60 Lateral Doble Baranda Fija C/Toldo")</f>
        <v>Plataforma Playo 5.00 x 2.20 x 0.60 Lateral Doble Baranda Fija C/Toldo</v>
      </c>
      <c r="CS26" s="3" t="str">
        <f>IFERROR(__xludf.DUMMYFUNCTION("""COMPUTED_VALUE"""),"Plataforma Playo 3.00 x 1.90 x 0.45 Lateral Simple Baranda Fija")</f>
        <v>Plataforma Playo 3.00 x 1.90 x 0.45 Lateral Simple Baranda Fija</v>
      </c>
      <c r="CT26" s="3" t="str">
        <f>IFERROR(__xludf.DUMMYFUNCTION("""COMPUTED_VALUE"""),"Plataforma Playo 3.00 x 1.90 x 0.45 Lateral Simple Baranda Ventilada")</f>
        <v>Plataforma Playo 3.00 x 1.90 x 0.45 Lateral Simple Baranda Ventilada</v>
      </c>
      <c r="CU26" s="3" t="str">
        <f>IFERROR(__xludf.DUMMYFUNCTION("""COMPUTED_VALUE"""),"Plataforma Playo 2.00 x 1.90 x 0.45 Lateral Simple Baranda Fija")</f>
        <v>Plataforma Playo 2.00 x 1.90 x 0.45 Lateral Simple Baranda Fija</v>
      </c>
      <c r="CV26" s="3" t="str">
        <f>IFERROR(__xludf.DUMMYFUNCTION("""COMPUTED_VALUE"""),"Plataforma Playo 5.00 x 1.90 x 0.60 Lateral Doble Baranda Fija")</f>
        <v>Plataforma Playo 5.00 x 1.90 x 0.60 Lateral Doble Baranda Fija</v>
      </c>
      <c r="CW26" s="3" t="str">
        <f>IFERROR(__xludf.DUMMYFUNCTION("""COMPUTED_VALUE"""),"Plataforma Playo 6.40 x 2.70 x 0.72 Lateral Doble Baranda Fija")</f>
        <v>Plataforma Playo 6.40 x 2.70 x 0.72 Lateral Doble Baranda Fija</v>
      </c>
      <c r="CX26" s="3" t="str">
        <f>IFERROR(__xludf.DUMMYFUNCTION("""COMPUTED_VALUE"""),"Chasis Acoplado Balancin L4000 Lanza Recta")</f>
        <v>Chasis Acoplado Balancin L4000 Lanza Recta</v>
      </c>
      <c r="CY26" s="3" t="str">
        <f>IFERROR(__xludf.DUMMYFUNCTION("""COMPUTED_VALUE"""),"Llanta simple Agrícola 750x20 centro 152")</f>
        <v>Llanta simple Agrícola 750x20 centro 152</v>
      </c>
      <c r="CZ26" s="3" t="str">
        <f>IFERROR(__xludf.DUMMYFUNCTION("""COMPUTED_VALUE"""),"Cajón de Herramientas Mediano adelante")</f>
        <v>Cajón de Herramientas Mediano adelante</v>
      </c>
      <c r="DA26" s="3" t="str">
        <f>IFERROR(__xludf.DUMMYFUNCTION("""COMPUTED_VALUE"""),"Llanta 15"" Simple Agrícola Centro 92")</f>
        <v>Llanta 15" Simple Agrícola Centro 92</v>
      </c>
    </row>
    <row r="27" hidden="1">
      <c r="A27" s="38">
        <f t="shared" si="1"/>
        <v>26</v>
      </c>
      <c r="B27" s="38">
        <f>IF(F27="","",SUMIF(Prearmados!E:E,F27,Prearmados!A:A))</f>
        <v>4</v>
      </c>
      <c r="C27" s="38">
        <f>IF(F27="","",SUMIF(Productos!E:E,G27,Productos!A:A))</f>
        <v>110</v>
      </c>
      <c r="D27" s="83" t="str">
        <f t="array" ref="D27">IF(OR(F27="",F27="Seleccionar.."),"",XLOOKUP(F27,Prearmados!E:E,Prearmados!F:F,"",0,1))</f>
        <v>Acoplados Rurales</v>
      </c>
      <c r="E27" s="83">
        <f>IF(H27="","",SUMIF(Precio_Productos!K:K,C27,Precio_Productos!J:J)*H27)</f>
        <v>476800</v>
      </c>
      <c r="F27" s="84" t="s">
        <v>327</v>
      </c>
      <c r="G27" s="84" t="s">
        <v>129</v>
      </c>
      <c r="H27" s="13">
        <v>4.0</v>
      </c>
      <c r="P27" s="3" t="str">
        <f>IFERROR(__xludf.DUMMYFUNCTION("IF(OR(F27="""",F27=""Seleccionar..""),"""",TRANSPOSE(FILTER(Productos!E:E,(Productos!F:F=D27)+(Productos!F:F=XLOOKUP(D27,Implementos!B:B,Implementos!C:C,""-"",0,1)))))"),"Tanque Combustible 1100 lts Bajo")</f>
        <v>Tanque Combustible 1100 lts Bajo</v>
      </c>
      <c r="Q27" s="3" t="str">
        <f>IFERROR(__xludf.DUMMYFUNCTION("""COMPUTED_VALUE"""),"Tanque Combustible 1500 lts Standard")</f>
        <v>Tanque Combustible 1500 lts Standard</v>
      </c>
      <c r="R27" s="3" t="str">
        <f>IFERROR(__xludf.DUMMYFUNCTION("""COMPUTED_VALUE"""),"Tanque Combustible 1800 lts Standard")</f>
        <v>Tanque Combustible 1800 lts Standard</v>
      </c>
      <c r="S27" s="3" t="str">
        <f>IFERROR(__xludf.DUMMYFUNCTION("""COMPUTED_VALUE"""),"Tanque Combustible 2000 lts Bajo")</f>
        <v>Tanque Combustible 2000 lts Bajo</v>
      </c>
      <c r="T27" s="3" t="str">
        <f>IFERROR(__xludf.DUMMYFUNCTION("""COMPUTED_VALUE"""),"Tanque Combustible 2000 lts Standard")</f>
        <v>Tanque Combustible 2000 lts Standard</v>
      </c>
      <c r="U27" s="3" t="str">
        <f>IFERROR(__xludf.DUMMYFUNCTION("""COMPUTED_VALUE"""),"Tanque Combustible 3000 lts Standard")</f>
        <v>Tanque Combustible 3000 lts Standard</v>
      </c>
      <c r="V27" s="3" t="str">
        <f>IFERROR(__xludf.DUMMYFUNCTION("""COMPUTED_VALUE"""),"Tanque Combustible 3000 lts Alto")</f>
        <v>Tanque Combustible 3000 lts Alto</v>
      </c>
      <c r="W27" s="3" t="str">
        <f>IFERROR(__xludf.DUMMYFUNCTION("""COMPUTED_VALUE"""),"Tanque Combustible 4000 lts Standard")</f>
        <v>Tanque Combustible 4000 lts Standard</v>
      </c>
      <c r="X27" s="3" t="str">
        <f>IFERROR(__xludf.DUMMYFUNCTION("""COMPUTED_VALUE"""),"Tanque Combustible 5000 lts Standard")</f>
        <v>Tanque Combustible 5000 lts Standard</v>
      </c>
      <c r="Y27" s="3" t="str">
        <f>IFERROR(__xludf.DUMMYFUNCTION("""COMPUTED_VALUE"""),"Tanque Combustible 5000 lts Alto")</f>
        <v>Tanque Combustible 5000 lts Alto</v>
      </c>
      <c r="Z27" s="3" t="str">
        <f>IFERROR(__xludf.DUMMYFUNCTION("""COMPUTED_VALUE"""),"Tanque Combustible 2000 lts Alto")</f>
        <v>Tanque Combustible 2000 lts Alto</v>
      </c>
      <c r="AA27" s="3" t="str">
        <f>IFERROR(__xludf.DUMMYFUNCTION("""COMPUTED_VALUE"""),"Tanque Combustible 4000 lts Alto")</f>
        <v>Tanque Combustible 4000 lts Alto</v>
      </c>
      <c r="AB27" s="3" t="str">
        <f>IFERROR(__xludf.DUMMYFUNCTION("""COMPUTED_VALUE"""),"Baulera Standard - 750")</f>
        <v>Baulera Standard - 750</v>
      </c>
      <c r="AC27" s="3" t="str">
        <f>IFERROR(__xludf.DUMMYFUNCTION("""COMPUTED_VALUE"""),"Baulera Standard - 1700 - C/Laterales")</f>
        <v>Baulera Standard - 1700 - C/Laterales</v>
      </c>
      <c r="AD27" s="3" t="str">
        <f>IFERROR(__xludf.DUMMYFUNCTION("""COMPUTED_VALUE"""),"Baulera Standard - 1000 - C/Laterales")</f>
        <v>Baulera Standard - 1000 - C/Laterales</v>
      </c>
      <c r="AE27" s="3" t="str">
        <f>IFERROR(__xludf.DUMMYFUNCTION("""COMPUTED_VALUE"""),"Baulera Standard - 750 - C/Laterales")</f>
        <v>Baulera Standard - 750 - C/Laterales</v>
      </c>
      <c r="AF27" s="3" t="str">
        <f>IFERROR(__xludf.DUMMYFUNCTION("""COMPUTED_VALUE"""),"Baulera Standard - 1300 - C/Laterales")</f>
        <v>Baulera Standard - 1300 - C/Laterales</v>
      </c>
      <c r="AG27" s="3" t="str">
        <f>IFERROR(__xludf.DUMMYFUNCTION("""COMPUTED_VALUE"""),"Baulera Alta - 750")</f>
        <v>Baulera Alta - 750</v>
      </c>
      <c r="AH27" s="3" t="str">
        <f>IFERROR(__xludf.DUMMYFUNCTION("""COMPUTED_VALUE"""),"Baulera Alta - 1500 - C/Laterales")</f>
        <v>Baulera Alta - 1500 - C/Laterales</v>
      </c>
      <c r="AI27" s="3" t="str">
        <f>IFERROR(__xludf.DUMMYFUNCTION("""COMPUTED_VALUE"""),"Baulera Extendida 1700 - C/Laterales")</f>
        <v>Baulera Extendida 1700 - C/Laterales</v>
      </c>
      <c r="AJ27" s="3" t="str">
        <f>IFERROR(__xludf.DUMMYFUNCTION("""COMPUTED_VALUE"""),"Taller Móvil - 1500 x 1500 x 1700")</f>
        <v>Taller Móvil - 1500 x 1500 x 1700</v>
      </c>
      <c r="AK27" s="3" t="str">
        <f>IFERROR(__xludf.DUMMYFUNCTION("""COMPUTED_VALUE"""),"Cajón Herramientas Standard Derecho")</f>
        <v>Cajón Herramientas Standard Derecho</v>
      </c>
      <c r="AL27" s="3" t="str">
        <f>IFERROR(__xludf.DUMMYFUNCTION("""COMPUTED_VALUE"""),"Cajón Herramientas Standard Izquierdo")</f>
        <v>Cajón Herramientas Standard Izquierdo</v>
      </c>
      <c r="AM27" s="3" t="str">
        <f>IFERROR(__xludf.DUMMYFUNCTION("""COMPUTED_VALUE"""),"Cajón Herramientas Corto Derecho")</f>
        <v>Cajón Herramientas Corto Derecho</v>
      </c>
      <c r="AN27" s="3" t="str">
        <f>IFERROR(__xludf.DUMMYFUNCTION("""COMPUTED_VALUE"""),"Cajón Herramientas Corto Izquierdo")</f>
        <v>Cajón Herramientas Corto Izquierdo</v>
      </c>
      <c r="AO27" s="3" t="str">
        <f>IFERROR(__xludf.DUMMYFUNCTION("""COMPUTED_VALUE"""),"Cajón Herramientas Mediano Derecho")</f>
        <v>Cajón Herramientas Mediano Derecho</v>
      </c>
      <c r="AP27" s="3" t="str">
        <f>IFERROR(__xludf.DUMMYFUNCTION("""COMPUTED_VALUE"""),"Cajón Herramientas Mediano Izquierdo")</f>
        <v>Cajón Herramientas Mediano Izquierdo</v>
      </c>
      <c r="AQ27" s="3" t="str">
        <f>IFERROR(__xludf.DUMMYFUNCTION("""COMPUTED_VALUE"""),"Chasis Acoplado 2 Ejes L3000")</f>
        <v>Chasis Acoplado 2 Ejes L3000</v>
      </c>
      <c r="AR27" s="3" t="str">
        <f>IFERROR(__xludf.DUMMYFUNCTION("""COMPUTED_VALUE"""),"Chasis Acoplado 2 Ejes L3750")</f>
        <v>Chasis Acoplado 2 Ejes L3750</v>
      </c>
      <c r="AS27" s="3" t="str">
        <f>IFERROR(__xludf.DUMMYFUNCTION("""COMPUTED_VALUE"""),"Chasis Acoplado 2 Ejes L4000")</f>
        <v>Chasis Acoplado 2 Ejes L4000</v>
      </c>
      <c r="AT27" s="3" t="str">
        <f>IFERROR(__xludf.DUMMYFUNCTION("""COMPUTED_VALUE"""),"Chasis Acoplado 2 Ejes L4000 Reforzado")</f>
        <v>Chasis Acoplado 2 Ejes L4000 Reforzado</v>
      </c>
      <c r="AU27" s="3" t="str">
        <f>IFERROR(__xludf.DUMMYFUNCTION("""COMPUTED_VALUE"""),"Chasis Acoplado 2 Ejes L4750")</f>
        <v>Chasis Acoplado 2 Ejes L4750</v>
      </c>
      <c r="AV27" s="3" t="str">
        <f>IFERROR(__xludf.DUMMYFUNCTION("""COMPUTED_VALUE"""),"Chasis Acoplado 2 Ejes L4750 Reforzado")</f>
        <v>Chasis Acoplado 2 Ejes L4750 Reforzado</v>
      </c>
      <c r="AW27" s="3" t="str">
        <f>IFERROR(__xludf.DUMMYFUNCTION("""COMPUTED_VALUE"""),"Chasis Acoplado 2 Ejes L4750 Reforzado R. Camion")</f>
        <v>Chasis Acoplado 2 Ejes L4750 Reforzado R. Camion</v>
      </c>
      <c r="AX27" s="3" t="str">
        <f>IFERROR(__xludf.DUMMYFUNCTION("""COMPUTED_VALUE"""),"Chasis Acoplado 2 Ejes L5000")</f>
        <v>Chasis Acoplado 2 Ejes L5000</v>
      </c>
      <c r="AY27" s="3" t="str">
        <f>IFERROR(__xludf.DUMMYFUNCTION("""COMPUTED_VALUE"""),"Chasis Acoplado 2 Ejes L5750")</f>
        <v>Chasis Acoplado 2 Ejes L5750</v>
      </c>
      <c r="AZ27" s="3" t="str">
        <f>IFERROR(__xludf.DUMMYFUNCTION("""COMPUTED_VALUE"""),"Chasis Acoplado 2 Ejes L6400")</f>
        <v>Chasis Acoplado 2 Ejes L6400</v>
      </c>
      <c r="BA27" s="3" t="str">
        <f>IFERROR(__xludf.DUMMYFUNCTION("""COMPUTED_VALUE"""),"Chasis Acoplado 2 Ejes L4500")</f>
        <v>Chasis Acoplado 2 Ejes L4500</v>
      </c>
      <c r="BB27" s="3" t="str">
        <f>IFERROR(__xludf.DUMMYFUNCTION("""COMPUTED_VALUE"""),"Chasis Acoplado 1 Eje L1500")</f>
        <v>Chasis Acoplado 1 Eje L1500</v>
      </c>
      <c r="BC27" s="3" t="str">
        <f>IFERROR(__xludf.DUMMYFUNCTION("""COMPUTED_VALUE"""),"Chasis Acoplado 1 Eje L1800")</f>
        <v>Chasis Acoplado 1 Eje L1800</v>
      </c>
      <c r="BD27" s="3" t="str">
        <f>IFERROR(__xludf.DUMMYFUNCTION("""COMPUTED_VALUE"""),"Chasis Acoplado 1 Eje L1400")</f>
        <v>Chasis Acoplado 1 Eje L1400</v>
      </c>
      <c r="BE27" s="3" t="str">
        <f>IFERROR(__xludf.DUMMYFUNCTION("""COMPUTED_VALUE"""),"Chasis Acoplado Balancin L3000")</f>
        <v>Chasis Acoplado Balancin L3000</v>
      </c>
      <c r="BF27" s="3" t="str">
        <f>IFERROR(__xludf.DUMMYFUNCTION("""COMPUTED_VALUE"""),"Chasis Acoplado Balancin L3000 Lanza Corta")</f>
        <v>Chasis Acoplado Balancin L3000 Lanza Corta</v>
      </c>
      <c r="BG27" s="3" t="str">
        <f>IFERROR(__xludf.DUMMYFUNCTION("""COMPUTED_VALUE"""),"Chasis Acoplado Balancin L2000 Lanza Corta")</f>
        <v>Chasis Acoplado Balancin L2000 Lanza Corta</v>
      </c>
      <c r="BH27" s="3" t="str">
        <f>IFERROR(__xludf.DUMMYFUNCTION("""COMPUTED_VALUE"""),"Chasis Acoplado Balancin L3200 Lanza Corta")</f>
        <v>Chasis Acoplado Balancin L3200 Lanza Corta</v>
      </c>
      <c r="BI27" s="3" t="str">
        <f>IFERROR(__xludf.DUMMYFUNCTION("""COMPUTED_VALUE"""),"Chasis Acoplado Balancin L3200 Lanza Recta")</f>
        <v>Chasis Acoplado Balancin L3200 Lanza Recta</v>
      </c>
      <c r="BJ27" s="3" t="str">
        <f>IFERROR(__xludf.DUMMYFUNCTION("""COMPUTED_VALUE"""),"Chasis Acoplado Balancin L3200 Bajo Lanza Recta")</f>
        <v>Chasis Acoplado Balancin L3200 Bajo Lanza Recta</v>
      </c>
      <c r="BK27" s="3" t="str">
        <f>IFERROR(__xludf.DUMMYFUNCTION("""COMPUTED_VALUE"""),"Tanque Plastico Horizontal 750 Lts")</f>
        <v>Tanque Plastico Horizontal 750 Lts</v>
      </c>
      <c r="BL27" s="3" t="str">
        <f>IFERROR(__xludf.DUMMYFUNCTION("""COMPUTED_VALUE"""),"Medio Tanque Plastico Superior 700 Lts")</f>
        <v>Medio Tanque Plastico Superior 700 Lts</v>
      </c>
      <c r="BM27" s="3" t="str">
        <f>IFERROR(__xludf.DUMMYFUNCTION("""COMPUTED_VALUE"""),"Paquete de Elasticos 50 mm x 8 mm x 10 Hojas L850")</f>
        <v>Paquete de Elasticos 50 mm x 8 mm x 10 Hojas L850</v>
      </c>
      <c r="BN27" s="3" t="str">
        <f>IFERROR(__xludf.DUMMYFUNCTION("""COMPUTED_VALUE"""),"Paquete de Elasticos 63 mm x 8 mm x 10 Hojas L950")</f>
        <v>Paquete de Elasticos 63 mm x 8 mm x 10 Hojas L950</v>
      </c>
      <c r="BO27" s="3" t="str">
        <f>IFERROR(__xludf.DUMMYFUNCTION("""COMPUTED_VALUE"""),"Paquete de Elasticos 50 mm x 7 mm x 9 Hojas L850")</f>
        <v>Paquete de Elasticos 50 mm x 7 mm x 9 Hojas L850</v>
      </c>
      <c r="BP27" s="3" t="str">
        <f>IFERROR(__xludf.DUMMYFUNCTION("""COMPUTED_VALUE"""),"Paquete de Elasticos 63 mm x 8 mm x 8 Hojas L850")</f>
        <v>Paquete de Elasticos 63 mm x 8 mm x 8 Hojas L850</v>
      </c>
      <c r="BQ27" s="3" t="str">
        <f>IFERROR(__xludf.DUMMYFUNCTION("""COMPUTED_VALUE"""),"Paquete de Elasticos 63 mm x 10 mm x 10 Hojas L950")</f>
        <v>Paquete de Elasticos 63 mm x 10 mm x 10 Hojas L950</v>
      </c>
      <c r="BR27" s="3" t="str">
        <f>IFERROR(__xludf.DUMMYFUNCTION("""COMPUTED_VALUE"""),"Paquete de Elasticos 63 mm x 10 mm x 13 Hojas L975")</f>
        <v>Paquete de Elasticos 63 mm x 10 mm x 13 Hojas L975</v>
      </c>
      <c r="BS27" s="3" t="str">
        <f>IFERROR(__xludf.DUMMYFUNCTION("""COMPUTED_VALUE"""),"Paquete de Elasticos 50 mm x 7 mm x 9 Hojas L650")</f>
        <v>Paquete de Elasticos 50 mm x 7 mm x 9 Hojas L650</v>
      </c>
      <c r="BT27" s="3" t="str">
        <f>IFERROR(__xludf.DUMMYFUNCTION("""COMPUTED_VALUE"""),"Eje Acoplado 2"" x 1600 (06/08) Agrícola Centro 92")</f>
        <v>Eje Acoplado 2" x 1600 (06/08) Agrícola Centro 92</v>
      </c>
      <c r="BU27" s="3" t="str">
        <f>IFERROR(__xludf.DUMMYFUNCTION("""COMPUTED_VALUE"""),"Eje Acoplado 2 1/2"" x 1600 (07/09) Agrícola Centro 92")</f>
        <v>Eje Acoplado 2 1/2" x 1600 (07/09) Agrícola Centro 92</v>
      </c>
      <c r="BV27" s="3" t="str">
        <f>IFERROR(__xludf.DUMMYFUNCTION("""COMPUTED_VALUE"""),"Eje Acoplado 2 1/2"" x 1600 (09/11) Agrícola Centro 150")</f>
        <v>Eje Acoplado 2 1/2" x 1600 (09/11) Agrícola Centro 150</v>
      </c>
      <c r="BW27" s="3" t="str">
        <f>IFERROR(__xludf.DUMMYFUNCTION("""COMPUTED_VALUE"""),"Eje Acoplado 3"" x 1600 (10/13) Agrícola Centro 150")</f>
        <v>Eje Acoplado 3" x 1600 (10/13) Agrícola Centro 150</v>
      </c>
      <c r="BX27" s="3" t="str">
        <f>IFERROR(__xludf.DUMMYFUNCTION("""COMPUTED_VALUE"""),"Eje Acoplado 2 1/2"" x 2140 (07/09) Agrícola Centro 92")</f>
        <v>Eje Acoplado 2 1/2" x 2140 (07/09) Agrícola Centro 92</v>
      </c>
      <c r="BY27" s="3" t="str">
        <f>IFERROR(__xludf.DUMMYFUNCTION("""COMPUTED_VALUE"""),"Eje Acoplado 2"" x 1400 (06/08) Agrícola Centro 92")</f>
        <v>Eje Acoplado 2" x 1400 (06/08) Agrícola Centro 92</v>
      </c>
      <c r="BZ27" s="3" t="str">
        <f>IFERROR(__xludf.DUMMYFUNCTION("""COMPUTED_VALUE"""),"Eje Acoplado 2 1/2"" x 1500 (07/09) Agrícola Centro 92")</f>
        <v>Eje Acoplado 2 1/2" x 1500 (07/09) Agrícola Centro 92</v>
      </c>
      <c r="CA27" s="3" t="str">
        <f>IFERROR(__xludf.DUMMYFUNCTION("""COMPUTED_VALUE"""),"Eje Acoplado 2 1/2"" x 2000 (07/09) Agrícola Centro 92")</f>
        <v>Eje Acoplado 2 1/2" x 2000 (07/09) Agrícola Centro 92</v>
      </c>
      <c r="CB27" s="3" t="str">
        <f>IFERROR(__xludf.DUMMYFUNCTION("""COMPUTED_VALUE"""),"Eje Acoplado 2 1/2"" x 2100 (09/11) Agrícola Centro 150")</f>
        <v>Eje Acoplado 2 1/2" x 2100 (09/11) Agrícola Centro 150</v>
      </c>
      <c r="CC27" s="3" t="str">
        <f>IFERROR(__xludf.DUMMYFUNCTION("""COMPUTED_VALUE"""),"Llanta 16"" Simple Agrícola Centro 92")</f>
        <v>Llanta 16" Simple Agrícola Centro 92</v>
      </c>
      <c r="CD27" s="3" t="str">
        <f>IFERROR(__xludf.DUMMYFUNCTION("""COMPUTED_VALUE"""),"Llanta 16"" Dual Agrícola Centro 92")</f>
        <v>Llanta 16" Dual Agrícola Centro 92</v>
      </c>
      <c r="CE27" s="3" t="str">
        <f>IFERROR(__xludf.DUMMYFUNCTION("""COMPUTED_VALUE"""),"Llanta 17"" Simple Agrícola Centro 92")</f>
        <v>Llanta 17" Simple Agrícola Centro 92</v>
      </c>
      <c r="CF27" s="3" t="str">
        <f>IFERROR(__xludf.DUMMYFUNCTION("""COMPUTED_VALUE"""),"Llanta 17"" Dual Agrícola Centro 92")</f>
        <v>Llanta 17" Dual Agrícola Centro 92</v>
      </c>
      <c r="CG27" s="3" t="str">
        <f>IFERROR(__xludf.DUMMYFUNCTION("""COMPUTED_VALUE"""),"Llanta 16"" Dual Agrícola Centro 152")</f>
        <v>Llanta 16" Dual Agrícola Centro 152</v>
      </c>
      <c r="CH27" s="3" t="str">
        <f>IFERROR(__xludf.DUMMYFUNCTION("""COMPUTED_VALUE"""),"Llanta 17"" Dual Agrícola Centro 152")</f>
        <v>Llanta 17" Dual Agrícola Centro 152</v>
      </c>
      <c r="CI27" s="3" t="str">
        <f>IFERROR(__xludf.DUMMYFUNCTION("""COMPUTED_VALUE"""),"Eje Acoplado 2"" x 1600 (05/07) Agrícola Centro 92")</f>
        <v>Eje Acoplado 2" x 1600 (05/07) Agrícola Centro 92</v>
      </c>
      <c r="CJ27" s="3" t="str">
        <f>IFERROR(__xludf.DUMMYFUNCTION("""COMPUTED_VALUE"""),"Paquete de Elásticos 50 mm x 8 mm x 12 Hojas")</f>
        <v>Paquete de Elásticos 50 mm x 8 mm x 12 Hojas</v>
      </c>
      <c r="CK27" s="3" t="str">
        <f>IFERROR(__xludf.DUMMYFUNCTION("""COMPUTED_VALUE"""),"Plataforma Playo 4.00 x 1.90 x 0.45 Lateral Simple Baranda Fija")</f>
        <v>Plataforma Playo 4.00 x 1.90 x 0.45 Lateral Simple Baranda Fija</v>
      </c>
      <c r="CL27" s="3" t="str">
        <f>IFERROR(__xludf.DUMMYFUNCTION("""COMPUTED_VALUE"""),"Plataforma Playo 4.00 x 1.90 x 0.45 Lateral Simple Baranda Ventilada")</f>
        <v>Plataforma Playo 4.00 x 1.90 x 0.45 Lateral Simple Baranda Ventilada</v>
      </c>
      <c r="CM27" s="3" t="str">
        <f>IFERROR(__xludf.DUMMYFUNCTION("""COMPUTED_VALUE"""),"Plataforma Playo 4.00 x 1.90 x 0.45 Lateral Doble Baranda Ventilada")</f>
        <v>Plataforma Playo 4.00 x 1.90 x 0.45 Lateral Doble Baranda Ventilada</v>
      </c>
      <c r="CN27" s="3" t="str">
        <f>IFERROR(__xludf.DUMMYFUNCTION("""COMPUTED_VALUE"""),"Plataforma Playo 4.00 x 1.90 x 0.45 Lateral Doble Baranda Fija")</f>
        <v>Plataforma Playo 4.00 x 1.90 x 0.45 Lateral Doble Baranda Fija</v>
      </c>
      <c r="CO27" s="3" t="str">
        <f>IFERROR(__xludf.DUMMYFUNCTION("""COMPUTED_VALUE"""),"Plataforma Playo 4.00 x 1.90 x 0.72 Lateral Simple Baranda Fija")</f>
        <v>Plataforma Playo 4.00 x 1.90 x 0.72 Lateral Simple Baranda Fija</v>
      </c>
      <c r="CP27" s="3" t="str">
        <f>IFERROR(__xludf.DUMMYFUNCTION("""COMPUTED_VALUE"""),"Plataforma Playo 4.00 x 1.90 x 0.72 Lateral Doble Baranda Fija")</f>
        <v>Plataforma Playo 4.00 x 1.90 x 0.72 Lateral Doble Baranda Fija</v>
      </c>
      <c r="CQ27" s="3" t="str">
        <f>IFERROR(__xludf.DUMMYFUNCTION("""COMPUTED_VALUE"""),"Plataforma Playo 5.00 x 2.20 x 0.60 Lateral Doble Trasera Rebatible")</f>
        <v>Plataforma Playo 5.00 x 2.20 x 0.60 Lateral Doble Trasera Rebatible</v>
      </c>
      <c r="CR27" s="3" t="str">
        <f>IFERROR(__xludf.DUMMYFUNCTION("""COMPUTED_VALUE"""),"Plataforma Playo 5.00 x 2.20 x 0.60 Lateral Doble Baranda Fija C/Toldo")</f>
        <v>Plataforma Playo 5.00 x 2.20 x 0.60 Lateral Doble Baranda Fija C/Toldo</v>
      </c>
      <c r="CS27" s="3" t="str">
        <f>IFERROR(__xludf.DUMMYFUNCTION("""COMPUTED_VALUE"""),"Plataforma Playo 3.00 x 1.90 x 0.45 Lateral Simple Baranda Fija")</f>
        <v>Plataforma Playo 3.00 x 1.90 x 0.45 Lateral Simple Baranda Fija</v>
      </c>
      <c r="CT27" s="3" t="str">
        <f>IFERROR(__xludf.DUMMYFUNCTION("""COMPUTED_VALUE"""),"Plataforma Playo 3.00 x 1.90 x 0.45 Lateral Simple Baranda Ventilada")</f>
        <v>Plataforma Playo 3.00 x 1.90 x 0.45 Lateral Simple Baranda Ventilada</v>
      </c>
      <c r="CU27" s="3" t="str">
        <f>IFERROR(__xludf.DUMMYFUNCTION("""COMPUTED_VALUE"""),"Plataforma Playo 2.00 x 1.90 x 0.45 Lateral Simple Baranda Fija")</f>
        <v>Plataforma Playo 2.00 x 1.90 x 0.45 Lateral Simple Baranda Fija</v>
      </c>
      <c r="CV27" s="3" t="str">
        <f>IFERROR(__xludf.DUMMYFUNCTION("""COMPUTED_VALUE"""),"Plataforma Playo 5.00 x 1.90 x 0.60 Lateral Doble Baranda Fija")</f>
        <v>Plataforma Playo 5.00 x 1.90 x 0.60 Lateral Doble Baranda Fija</v>
      </c>
      <c r="CW27" s="3" t="str">
        <f>IFERROR(__xludf.DUMMYFUNCTION("""COMPUTED_VALUE"""),"Plataforma Playo 6.40 x 2.70 x 0.72 Lateral Doble Baranda Fija")</f>
        <v>Plataforma Playo 6.40 x 2.70 x 0.72 Lateral Doble Baranda Fija</v>
      </c>
      <c r="CX27" s="3" t="str">
        <f>IFERROR(__xludf.DUMMYFUNCTION("""COMPUTED_VALUE"""),"Chasis Acoplado Balancin L4000 Lanza Recta")</f>
        <v>Chasis Acoplado Balancin L4000 Lanza Recta</v>
      </c>
      <c r="CY27" s="3" t="str">
        <f>IFERROR(__xludf.DUMMYFUNCTION("""COMPUTED_VALUE"""),"Llanta simple Agrícola 750x20 centro 152")</f>
        <v>Llanta simple Agrícola 750x20 centro 152</v>
      </c>
      <c r="CZ27" s="3" t="str">
        <f>IFERROR(__xludf.DUMMYFUNCTION("""COMPUTED_VALUE"""),"Cajón de Herramientas Mediano adelante")</f>
        <v>Cajón de Herramientas Mediano adelante</v>
      </c>
      <c r="DA27" s="3" t="str">
        <f>IFERROR(__xludf.DUMMYFUNCTION("""COMPUTED_VALUE"""),"Llanta 15"" Simple Agrícola Centro 92")</f>
        <v>Llanta 15" Simple Agrícola Centro 92</v>
      </c>
    </row>
    <row r="28" hidden="1">
      <c r="A28" s="38">
        <f t="shared" si="1"/>
        <v>27</v>
      </c>
      <c r="B28" s="38">
        <f>IF(F28="","",SUMIF(Prearmados!E:E,F28,Prearmados!A:A))</f>
        <v>5</v>
      </c>
      <c r="C28" s="38">
        <f>IF(F28="","",SUMIF(Productos!E:E,G28,Productos!A:A))</f>
        <v>50</v>
      </c>
      <c r="D28" s="83" t="str">
        <f t="array" ref="D28">IF(OR(F28="",F28="Seleccionar.."),"",XLOOKUP(F28,Prearmados!E:E,Prearmados!F:F,"",0,1))</f>
        <v>Acoplados Rurales</v>
      </c>
      <c r="E28" s="83">
        <f>IF(H28="","",SUMIF(Precio_Productos!K:K,C28,Precio_Productos!J:J)*H28)</f>
        <v>2500000</v>
      </c>
      <c r="F28" s="84" t="s">
        <v>328</v>
      </c>
      <c r="G28" s="84" t="s">
        <v>61</v>
      </c>
      <c r="H28" s="13">
        <v>1.0</v>
      </c>
      <c r="P28" s="3" t="str">
        <f>IFERROR(__xludf.DUMMYFUNCTION("IF(OR(F28="""",F28=""Seleccionar..""),"""",TRANSPOSE(FILTER(Productos!E:E,(Productos!F:F=D28)+(Productos!F:F=XLOOKUP(D28,Implementos!B:B,Implementos!C:C,""-"",0,1)))))"),"Tanque Combustible 1100 lts Bajo")</f>
        <v>Tanque Combustible 1100 lts Bajo</v>
      </c>
      <c r="Q28" s="3" t="str">
        <f>IFERROR(__xludf.DUMMYFUNCTION("""COMPUTED_VALUE"""),"Tanque Combustible 1500 lts Standard")</f>
        <v>Tanque Combustible 1500 lts Standard</v>
      </c>
      <c r="R28" s="3" t="str">
        <f>IFERROR(__xludf.DUMMYFUNCTION("""COMPUTED_VALUE"""),"Tanque Combustible 1800 lts Standard")</f>
        <v>Tanque Combustible 1800 lts Standard</v>
      </c>
      <c r="S28" s="3" t="str">
        <f>IFERROR(__xludf.DUMMYFUNCTION("""COMPUTED_VALUE"""),"Tanque Combustible 2000 lts Bajo")</f>
        <v>Tanque Combustible 2000 lts Bajo</v>
      </c>
      <c r="T28" s="3" t="str">
        <f>IFERROR(__xludf.DUMMYFUNCTION("""COMPUTED_VALUE"""),"Tanque Combustible 2000 lts Standard")</f>
        <v>Tanque Combustible 2000 lts Standard</v>
      </c>
      <c r="U28" s="3" t="str">
        <f>IFERROR(__xludf.DUMMYFUNCTION("""COMPUTED_VALUE"""),"Tanque Combustible 3000 lts Standard")</f>
        <v>Tanque Combustible 3000 lts Standard</v>
      </c>
      <c r="V28" s="3" t="str">
        <f>IFERROR(__xludf.DUMMYFUNCTION("""COMPUTED_VALUE"""),"Tanque Combustible 3000 lts Alto")</f>
        <v>Tanque Combustible 3000 lts Alto</v>
      </c>
      <c r="W28" s="3" t="str">
        <f>IFERROR(__xludf.DUMMYFUNCTION("""COMPUTED_VALUE"""),"Tanque Combustible 4000 lts Standard")</f>
        <v>Tanque Combustible 4000 lts Standard</v>
      </c>
      <c r="X28" s="3" t="str">
        <f>IFERROR(__xludf.DUMMYFUNCTION("""COMPUTED_VALUE"""),"Tanque Combustible 5000 lts Standard")</f>
        <v>Tanque Combustible 5000 lts Standard</v>
      </c>
      <c r="Y28" s="3" t="str">
        <f>IFERROR(__xludf.DUMMYFUNCTION("""COMPUTED_VALUE"""),"Tanque Combustible 5000 lts Alto")</f>
        <v>Tanque Combustible 5000 lts Alto</v>
      </c>
      <c r="Z28" s="3" t="str">
        <f>IFERROR(__xludf.DUMMYFUNCTION("""COMPUTED_VALUE"""),"Tanque Combustible 2000 lts Alto")</f>
        <v>Tanque Combustible 2000 lts Alto</v>
      </c>
      <c r="AA28" s="3" t="str">
        <f>IFERROR(__xludf.DUMMYFUNCTION("""COMPUTED_VALUE"""),"Tanque Combustible 4000 lts Alto")</f>
        <v>Tanque Combustible 4000 lts Alto</v>
      </c>
      <c r="AB28" s="3" t="str">
        <f>IFERROR(__xludf.DUMMYFUNCTION("""COMPUTED_VALUE"""),"Baulera Standard - 750")</f>
        <v>Baulera Standard - 750</v>
      </c>
      <c r="AC28" s="3" t="str">
        <f>IFERROR(__xludf.DUMMYFUNCTION("""COMPUTED_VALUE"""),"Baulera Standard - 1700 - C/Laterales")</f>
        <v>Baulera Standard - 1700 - C/Laterales</v>
      </c>
      <c r="AD28" s="3" t="str">
        <f>IFERROR(__xludf.DUMMYFUNCTION("""COMPUTED_VALUE"""),"Baulera Standard - 1000 - C/Laterales")</f>
        <v>Baulera Standard - 1000 - C/Laterales</v>
      </c>
      <c r="AE28" s="3" t="str">
        <f>IFERROR(__xludf.DUMMYFUNCTION("""COMPUTED_VALUE"""),"Baulera Standard - 750 - C/Laterales")</f>
        <v>Baulera Standard - 750 - C/Laterales</v>
      </c>
      <c r="AF28" s="3" t="str">
        <f>IFERROR(__xludf.DUMMYFUNCTION("""COMPUTED_VALUE"""),"Baulera Standard - 1300 - C/Laterales")</f>
        <v>Baulera Standard - 1300 - C/Laterales</v>
      </c>
      <c r="AG28" s="3" t="str">
        <f>IFERROR(__xludf.DUMMYFUNCTION("""COMPUTED_VALUE"""),"Baulera Alta - 750")</f>
        <v>Baulera Alta - 750</v>
      </c>
      <c r="AH28" s="3" t="str">
        <f>IFERROR(__xludf.DUMMYFUNCTION("""COMPUTED_VALUE"""),"Baulera Alta - 1500 - C/Laterales")</f>
        <v>Baulera Alta - 1500 - C/Laterales</v>
      </c>
      <c r="AI28" s="3" t="str">
        <f>IFERROR(__xludf.DUMMYFUNCTION("""COMPUTED_VALUE"""),"Baulera Extendida 1700 - C/Laterales")</f>
        <v>Baulera Extendida 1700 - C/Laterales</v>
      </c>
      <c r="AJ28" s="3" t="str">
        <f>IFERROR(__xludf.DUMMYFUNCTION("""COMPUTED_VALUE"""),"Taller Móvil - 1500 x 1500 x 1700")</f>
        <v>Taller Móvil - 1500 x 1500 x 1700</v>
      </c>
      <c r="AK28" s="3" t="str">
        <f>IFERROR(__xludf.DUMMYFUNCTION("""COMPUTED_VALUE"""),"Cajón Herramientas Standard Derecho")</f>
        <v>Cajón Herramientas Standard Derecho</v>
      </c>
      <c r="AL28" s="3" t="str">
        <f>IFERROR(__xludf.DUMMYFUNCTION("""COMPUTED_VALUE"""),"Cajón Herramientas Standard Izquierdo")</f>
        <v>Cajón Herramientas Standard Izquierdo</v>
      </c>
      <c r="AM28" s="3" t="str">
        <f>IFERROR(__xludf.DUMMYFUNCTION("""COMPUTED_VALUE"""),"Cajón Herramientas Corto Derecho")</f>
        <v>Cajón Herramientas Corto Derecho</v>
      </c>
      <c r="AN28" s="3" t="str">
        <f>IFERROR(__xludf.DUMMYFUNCTION("""COMPUTED_VALUE"""),"Cajón Herramientas Corto Izquierdo")</f>
        <v>Cajón Herramientas Corto Izquierdo</v>
      </c>
      <c r="AO28" s="3" t="str">
        <f>IFERROR(__xludf.DUMMYFUNCTION("""COMPUTED_VALUE"""),"Cajón Herramientas Mediano Derecho")</f>
        <v>Cajón Herramientas Mediano Derecho</v>
      </c>
      <c r="AP28" s="3" t="str">
        <f>IFERROR(__xludf.DUMMYFUNCTION("""COMPUTED_VALUE"""),"Cajón Herramientas Mediano Izquierdo")</f>
        <v>Cajón Herramientas Mediano Izquierdo</v>
      </c>
      <c r="AQ28" s="3" t="str">
        <f>IFERROR(__xludf.DUMMYFUNCTION("""COMPUTED_VALUE"""),"Chasis Acoplado 2 Ejes L3000")</f>
        <v>Chasis Acoplado 2 Ejes L3000</v>
      </c>
      <c r="AR28" s="3" t="str">
        <f>IFERROR(__xludf.DUMMYFUNCTION("""COMPUTED_VALUE"""),"Chasis Acoplado 2 Ejes L3750")</f>
        <v>Chasis Acoplado 2 Ejes L3750</v>
      </c>
      <c r="AS28" s="3" t="str">
        <f>IFERROR(__xludf.DUMMYFUNCTION("""COMPUTED_VALUE"""),"Chasis Acoplado 2 Ejes L4000")</f>
        <v>Chasis Acoplado 2 Ejes L4000</v>
      </c>
      <c r="AT28" s="3" t="str">
        <f>IFERROR(__xludf.DUMMYFUNCTION("""COMPUTED_VALUE"""),"Chasis Acoplado 2 Ejes L4000 Reforzado")</f>
        <v>Chasis Acoplado 2 Ejes L4000 Reforzado</v>
      </c>
      <c r="AU28" s="3" t="str">
        <f>IFERROR(__xludf.DUMMYFUNCTION("""COMPUTED_VALUE"""),"Chasis Acoplado 2 Ejes L4750")</f>
        <v>Chasis Acoplado 2 Ejes L4750</v>
      </c>
      <c r="AV28" s="3" t="str">
        <f>IFERROR(__xludf.DUMMYFUNCTION("""COMPUTED_VALUE"""),"Chasis Acoplado 2 Ejes L4750 Reforzado")</f>
        <v>Chasis Acoplado 2 Ejes L4750 Reforzado</v>
      </c>
      <c r="AW28" s="3" t="str">
        <f>IFERROR(__xludf.DUMMYFUNCTION("""COMPUTED_VALUE"""),"Chasis Acoplado 2 Ejes L4750 Reforzado R. Camion")</f>
        <v>Chasis Acoplado 2 Ejes L4750 Reforzado R. Camion</v>
      </c>
      <c r="AX28" s="3" t="str">
        <f>IFERROR(__xludf.DUMMYFUNCTION("""COMPUTED_VALUE"""),"Chasis Acoplado 2 Ejes L5000")</f>
        <v>Chasis Acoplado 2 Ejes L5000</v>
      </c>
      <c r="AY28" s="3" t="str">
        <f>IFERROR(__xludf.DUMMYFUNCTION("""COMPUTED_VALUE"""),"Chasis Acoplado 2 Ejes L5750")</f>
        <v>Chasis Acoplado 2 Ejes L5750</v>
      </c>
      <c r="AZ28" s="3" t="str">
        <f>IFERROR(__xludf.DUMMYFUNCTION("""COMPUTED_VALUE"""),"Chasis Acoplado 2 Ejes L6400")</f>
        <v>Chasis Acoplado 2 Ejes L6400</v>
      </c>
      <c r="BA28" s="3" t="str">
        <f>IFERROR(__xludf.DUMMYFUNCTION("""COMPUTED_VALUE"""),"Chasis Acoplado 2 Ejes L4500")</f>
        <v>Chasis Acoplado 2 Ejes L4500</v>
      </c>
      <c r="BB28" s="3" t="str">
        <f>IFERROR(__xludf.DUMMYFUNCTION("""COMPUTED_VALUE"""),"Chasis Acoplado 1 Eje L1500")</f>
        <v>Chasis Acoplado 1 Eje L1500</v>
      </c>
      <c r="BC28" s="3" t="str">
        <f>IFERROR(__xludf.DUMMYFUNCTION("""COMPUTED_VALUE"""),"Chasis Acoplado 1 Eje L1800")</f>
        <v>Chasis Acoplado 1 Eje L1800</v>
      </c>
      <c r="BD28" s="3" t="str">
        <f>IFERROR(__xludf.DUMMYFUNCTION("""COMPUTED_VALUE"""),"Chasis Acoplado 1 Eje L1400")</f>
        <v>Chasis Acoplado 1 Eje L1400</v>
      </c>
      <c r="BE28" s="3" t="str">
        <f>IFERROR(__xludf.DUMMYFUNCTION("""COMPUTED_VALUE"""),"Chasis Acoplado Balancin L3000")</f>
        <v>Chasis Acoplado Balancin L3000</v>
      </c>
      <c r="BF28" s="3" t="str">
        <f>IFERROR(__xludf.DUMMYFUNCTION("""COMPUTED_VALUE"""),"Chasis Acoplado Balancin L3000 Lanza Corta")</f>
        <v>Chasis Acoplado Balancin L3000 Lanza Corta</v>
      </c>
      <c r="BG28" s="3" t="str">
        <f>IFERROR(__xludf.DUMMYFUNCTION("""COMPUTED_VALUE"""),"Chasis Acoplado Balancin L2000 Lanza Corta")</f>
        <v>Chasis Acoplado Balancin L2000 Lanza Corta</v>
      </c>
      <c r="BH28" s="3" t="str">
        <f>IFERROR(__xludf.DUMMYFUNCTION("""COMPUTED_VALUE"""),"Chasis Acoplado Balancin L3200 Lanza Corta")</f>
        <v>Chasis Acoplado Balancin L3200 Lanza Corta</v>
      </c>
      <c r="BI28" s="3" t="str">
        <f>IFERROR(__xludf.DUMMYFUNCTION("""COMPUTED_VALUE"""),"Chasis Acoplado Balancin L3200 Lanza Recta")</f>
        <v>Chasis Acoplado Balancin L3200 Lanza Recta</v>
      </c>
      <c r="BJ28" s="3" t="str">
        <f>IFERROR(__xludf.DUMMYFUNCTION("""COMPUTED_VALUE"""),"Chasis Acoplado Balancin L3200 Bajo Lanza Recta")</f>
        <v>Chasis Acoplado Balancin L3200 Bajo Lanza Recta</v>
      </c>
      <c r="BK28" s="3" t="str">
        <f>IFERROR(__xludf.DUMMYFUNCTION("""COMPUTED_VALUE"""),"Tanque Plastico Horizontal 750 Lts")</f>
        <v>Tanque Plastico Horizontal 750 Lts</v>
      </c>
      <c r="BL28" s="3" t="str">
        <f>IFERROR(__xludf.DUMMYFUNCTION("""COMPUTED_VALUE"""),"Medio Tanque Plastico Superior 700 Lts")</f>
        <v>Medio Tanque Plastico Superior 700 Lts</v>
      </c>
      <c r="BM28" s="3" t="str">
        <f>IFERROR(__xludf.DUMMYFUNCTION("""COMPUTED_VALUE"""),"Paquete de Elasticos 50 mm x 8 mm x 10 Hojas L850")</f>
        <v>Paquete de Elasticos 50 mm x 8 mm x 10 Hojas L850</v>
      </c>
      <c r="BN28" s="3" t="str">
        <f>IFERROR(__xludf.DUMMYFUNCTION("""COMPUTED_VALUE"""),"Paquete de Elasticos 63 mm x 8 mm x 10 Hojas L950")</f>
        <v>Paquete de Elasticos 63 mm x 8 mm x 10 Hojas L950</v>
      </c>
      <c r="BO28" s="3" t="str">
        <f>IFERROR(__xludf.DUMMYFUNCTION("""COMPUTED_VALUE"""),"Paquete de Elasticos 50 mm x 7 mm x 9 Hojas L850")</f>
        <v>Paquete de Elasticos 50 mm x 7 mm x 9 Hojas L850</v>
      </c>
      <c r="BP28" s="3" t="str">
        <f>IFERROR(__xludf.DUMMYFUNCTION("""COMPUTED_VALUE"""),"Paquete de Elasticos 63 mm x 8 mm x 8 Hojas L850")</f>
        <v>Paquete de Elasticos 63 mm x 8 mm x 8 Hojas L850</v>
      </c>
      <c r="BQ28" s="3" t="str">
        <f>IFERROR(__xludf.DUMMYFUNCTION("""COMPUTED_VALUE"""),"Paquete de Elasticos 63 mm x 10 mm x 10 Hojas L950")</f>
        <v>Paquete de Elasticos 63 mm x 10 mm x 10 Hojas L950</v>
      </c>
      <c r="BR28" s="3" t="str">
        <f>IFERROR(__xludf.DUMMYFUNCTION("""COMPUTED_VALUE"""),"Paquete de Elasticos 63 mm x 10 mm x 13 Hojas L975")</f>
        <v>Paquete de Elasticos 63 mm x 10 mm x 13 Hojas L975</v>
      </c>
      <c r="BS28" s="3" t="str">
        <f>IFERROR(__xludf.DUMMYFUNCTION("""COMPUTED_VALUE"""),"Paquete de Elasticos 50 mm x 7 mm x 9 Hojas L650")</f>
        <v>Paquete de Elasticos 50 mm x 7 mm x 9 Hojas L650</v>
      </c>
      <c r="BT28" s="3" t="str">
        <f>IFERROR(__xludf.DUMMYFUNCTION("""COMPUTED_VALUE"""),"Eje Acoplado 2"" x 1600 (06/08) Agrícola Centro 92")</f>
        <v>Eje Acoplado 2" x 1600 (06/08) Agrícola Centro 92</v>
      </c>
      <c r="BU28" s="3" t="str">
        <f>IFERROR(__xludf.DUMMYFUNCTION("""COMPUTED_VALUE"""),"Eje Acoplado 2 1/2"" x 1600 (07/09) Agrícola Centro 92")</f>
        <v>Eje Acoplado 2 1/2" x 1600 (07/09) Agrícola Centro 92</v>
      </c>
      <c r="BV28" s="3" t="str">
        <f>IFERROR(__xludf.DUMMYFUNCTION("""COMPUTED_VALUE"""),"Eje Acoplado 2 1/2"" x 1600 (09/11) Agrícola Centro 150")</f>
        <v>Eje Acoplado 2 1/2" x 1600 (09/11) Agrícola Centro 150</v>
      </c>
      <c r="BW28" s="3" t="str">
        <f>IFERROR(__xludf.DUMMYFUNCTION("""COMPUTED_VALUE"""),"Eje Acoplado 3"" x 1600 (10/13) Agrícola Centro 150")</f>
        <v>Eje Acoplado 3" x 1600 (10/13) Agrícola Centro 150</v>
      </c>
      <c r="BX28" s="3" t="str">
        <f>IFERROR(__xludf.DUMMYFUNCTION("""COMPUTED_VALUE"""),"Eje Acoplado 2 1/2"" x 2140 (07/09) Agrícola Centro 92")</f>
        <v>Eje Acoplado 2 1/2" x 2140 (07/09) Agrícola Centro 92</v>
      </c>
      <c r="BY28" s="3" t="str">
        <f>IFERROR(__xludf.DUMMYFUNCTION("""COMPUTED_VALUE"""),"Eje Acoplado 2"" x 1400 (06/08) Agrícola Centro 92")</f>
        <v>Eje Acoplado 2" x 1400 (06/08) Agrícola Centro 92</v>
      </c>
      <c r="BZ28" s="3" t="str">
        <f>IFERROR(__xludf.DUMMYFUNCTION("""COMPUTED_VALUE"""),"Eje Acoplado 2 1/2"" x 1500 (07/09) Agrícola Centro 92")</f>
        <v>Eje Acoplado 2 1/2" x 1500 (07/09) Agrícola Centro 92</v>
      </c>
      <c r="CA28" s="3" t="str">
        <f>IFERROR(__xludf.DUMMYFUNCTION("""COMPUTED_VALUE"""),"Eje Acoplado 2 1/2"" x 2000 (07/09) Agrícola Centro 92")</f>
        <v>Eje Acoplado 2 1/2" x 2000 (07/09) Agrícola Centro 92</v>
      </c>
      <c r="CB28" s="3" t="str">
        <f>IFERROR(__xludf.DUMMYFUNCTION("""COMPUTED_VALUE"""),"Eje Acoplado 2 1/2"" x 2100 (09/11) Agrícola Centro 150")</f>
        <v>Eje Acoplado 2 1/2" x 2100 (09/11) Agrícola Centro 150</v>
      </c>
      <c r="CC28" s="3" t="str">
        <f>IFERROR(__xludf.DUMMYFUNCTION("""COMPUTED_VALUE"""),"Llanta 16"" Simple Agrícola Centro 92")</f>
        <v>Llanta 16" Simple Agrícola Centro 92</v>
      </c>
      <c r="CD28" s="3" t="str">
        <f>IFERROR(__xludf.DUMMYFUNCTION("""COMPUTED_VALUE"""),"Llanta 16"" Dual Agrícola Centro 92")</f>
        <v>Llanta 16" Dual Agrícola Centro 92</v>
      </c>
      <c r="CE28" s="3" t="str">
        <f>IFERROR(__xludf.DUMMYFUNCTION("""COMPUTED_VALUE"""),"Llanta 17"" Simple Agrícola Centro 92")</f>
        <v>Llanta 17" Simple Agrícola Centro 92</v>
      </c>
      <c r="CF28" s="3" t="str">
        <f>IFERROR(__xludf.DUMMYFUNCTION("""COMPUTED_VALUE"""),"Llanta 17"" Dual Agrícola Centro 92")</f>
        <v>Llanta 17" Dual Agrícola Centro 92</v>
      </c>
      <c r="CG28" s="3" t="str">
        <f>IFERROR(__xludf.DUMMYFUNCTION("""COMPUTED_VALUE"""),"Llanta 16"" Dual Agrícola Centro 152")</f>
        <v>Llanta 16" Dual Agrícola Centro 152</v>
      </c>
      <c r="CH28" s="3" t="str">
        <f>IFERROR(__xludf.DUMMYFUNCTION("""COMPUTED_VALUE"""),"Llanta 17"" Dual Agrícola Centro 152")</f>
        <v>Llanta 17" Dual Agrícola Centro 152</v>
      </c>
      <c r="CI28" s="3" t="str">
        <f>IFERROR(__xludf.DUMMYFUNCTION("""COMPUTED_VALUE"""),"Eje Acoplado 2"" x 1600 (05/07) Agrícola Centro 92")</f>
        <v>Eje Acoplado 2" x 1600 (05/07) Agrícola Centro 92</v>
      </c>
      <c r="CJ28" s="3" t="str">
        <f>IFERROR(__xludf.DUMMYFUNCTION("""COMPUTED_VALUE"""),"Paquete de Elásticos 50 mm x 8 mm x 12 Hojas")</f>
        <v>Paquete de Elásticos 50 mm x 8 mm x 12 Hojas</v>
      </c>
      <c r="CK28" s="3" t="str">
        <f>IFERROR(__xludf.DUMMYFUNCTION("""COMPUTED_VALUE"""),"Plataforma Playo 4.00 x 1.90 x 0.45 Lateral Simple Baranda Fija")</f>
        <v>Plataforma Playo 4.00 x 1.90 x 0.45 Lateral Simple Baranda Fija</v>
      </c>
      <c r="CL28" s="3" t="str">
        <f>IFERROR(__xludf.DUMMYFUNCTION("""COMPUTED_VALUE"""),"Plataforma Playo 4.00 x 1.90 x 0.45 Lateral Simple Baranda Ventilada")</f>
        <v>Plataforma Playo 4.00 x 1.90 x 0.45 Lateral Simple Baranda Ventilada</v>
      </c>
      <c r="CM28" s="3" t="str">
        <f>IFERROR(__xludf.DUMMYFUNCTION("""COMPUTED_VALUE"""),"Plataforma Playo 4.00 x 1.90 x 0.45 Lateral Doble Baranda Ventilada")</f>
        <v>Plataforma Playo 4.00 x 1.90 x 0.45 Lateral Doble Baranda Ventilada</v>
      </c>
      <c r="CN28" s="3" t="str">
        <f>IFERROR(__xludf.DUMMYFUNCTION("""COMPUTED_VALUE"""),"Plataforma Playo 4.00 x 1.90 x 0.45 Lateral Doble Baranda Fija")</f>
        <v>Plataforma Playo 4.00 x 1.90 x 0.45 Lateral Doble Baranda Fija</v>
      </c>
      <c r="CO28" s="3" t="str">
        <f>IFERROR(__xludf.DUMMYFUNCTION("""COMPUTED_VALUE"""),"Plataforma Playo 4.00 x 1.90 x 0.72 Lateral Simple Baranda Fija")</f>
        <v>Plataforma Playo 4.00 x 1.90 x 0.72 Lateral Simple Baranda Fija</v>
      </c>
      <c r="CP28" s="3" t="str">
        <f>IFERROR(__xludf.DUMMYFUNCTION("""COMPUTED_VALUE"""),"Plataforma Playo 4.00 x 1.90 x 0.72 Lateral Doble Baranda Fija")</f>
        <v>Plataforma Playo 4.00 x 1.90 x 0.72 Lateral Doble Baranda Fija</v>
      </c>
      <c r="CQ28" s="3" t="str">
        <f>IFERROR(__xludf.DUMMYFUNCTION("""COMPUTED_VALUE"""),"Plataforma Playo 5.00 x 2.20 x 0.60 Lateral Doble Trasera Rebatible")</f>
        <v>Plataforma Playo 5.00 x 2.20 x 0.60 Lateral Doble Trasera Rebatible</v>
      </c>
      <c r="CR28" s="3" t="str">
        <f>IFERROR(__xludf.DUMMYFUNCTION("""COMPUTED_VALUE"""),"Plataforma Playo 5.00 x 2.20 x 0.60 Lateral Doble Baranda Fija C/Toldo")</f>
        <v>Plataforma Playo 5.00 x 2.20 x 0.60 Lateral Doble Baranda Fija C/Toldo</v>
      </c>
      <c r="CS28" s="3" t="str">
        <f>IFERROR(__xludf.DUMMYFUNCTION("""COMPUTED_VALUE"""),"Plataforma Playo 3.00 x 1.90 x 0.45 Lateral Simple Baranda Fija")</f>
        <v>Plataforma Playo 3.00 x 1.90 x 0.45 Lateral Simple Baranda Fija</v>
      </c>
      <c r="CT28" s="3" t="str">
        <f>IFERROR(__xludf.DUMMYFUNCTION("""COMPUTED_VALUE"""),"Plataforma Playo 3.00 x 1.90 x 0.45 Lateral Simple Baranda Ventilada")</f>
        <v>Plataforma Playo 3.00 x 1.90 x 0.45 Lateral Simple Baranda Ventilada</v>
      </c>
      <c r="CU28" s="3" t="str">
        <f>IFERROR(__xludf.DUMMYFUNCTION("""COMPUTED_VALUE"""),"Plataforma Playo 2.00 x 1.90 x 0.45 Lateral Simple Baranda Fija")</f>
        <v>Plataforma Playo 2.00 x 1.90 x 0.45 Lateral Simple Baranda Fija</v>
      </c>
      <c r="CV28" s="3" t="str">
        <f>IFERROR(__xludf.DUMMYFUNCTION("""COMPUTED_VALUE"""),"Plataforma Playo 5.00 x 1.90 x 0.60 Lateral Doble Baranda Fija")</f>
        <v>Plataforma Playo 5.00 x 1.90 x 0.60 Lateral Doble Baranda Fija</v>
      </c>
      <c r="CW28" s="3" t="str">
        <f>IFERROR(__xludf.DUMMYFUNCTION("""COMPUTED_VALUE"""),"Plataforma Playo 6.40 x 2.70 x 0.72 Lateral Doble Baranda Fija")</f>
        <v>Plataforma Playo 6.40 x 2.70 x 0.72 Lateral Doble Baranda Fija</v>
      </c>
      <c r="CX28" s="3" t="str">
        <f>IFERROR(__xludf.DUMMYFUNCTION("""COMPUTED_VALUE"""),"Chasis Acoplado Balancin L4000 Lanza Recta")</f>
        <v>Chasis Acoplado Balancin L4000 Lanza Recta</v>
      </c>
      <c r="CY28" s="3" t="str">
        <f>IFERROR(__xludf.DUMMYFUNCTION("""COMPUTED_VALUE"""),"Llanta simple Agrícola 750x20 centro 152")</f>
        <v>Llanta simple Agrícola 750x20 centro 152</v>
      </c>
      <c r="CZ28" s="3" t="str">
        <f>IFERROR(__xludf.DUMMYFUNCTION("""COMPUTED_VALUE"""),"Cajón de Herramientas Mediano adelante")</f>
        <v>Cajón de Herramientas Mediano adelante</v>
      </c>
      <c r="DA28" s="3" t="str">
        <f>IFERROR(__xludf.DUMMYFUNCTION("""COMPUTED_VALUE"""),"Llanta 15"" Simple Agrícola Centro 92")</f>
        <v>Llanta 15" Simple Agrícola Centro 92</v>
      </c>
    </row>
    <row r="29" hidden="1">
      <c r="A29" s="38">
        <f t="shared" si="1"/>
        <v>28</v>
      </c>
      <c r="B29" s="38">
        <f>IF(F29="","",SUMIF(Prearmados!E:E,F29,Prearmados!A:A))</f>
        <v>5</v>
      </c>
      <c r="C29" s="38">
        <f>IF(F29="","",SUMIF(Productos!E:E,G29,Productos!A:A))</f>
        <v>72</v>
      </c>
      <c r="D29" s="83" t="str">
        <f t="array" ref="D29">IF(OR(F29="",F29="Seleccionar.."),"",XLOOKUP(F29,Prearmados!E:E,Prearmados!F:F,"",0,1))</f>
        <v>Acoplados Rurales</v>
      </c>
      <c r="E29" s="83">
        <f>IF(H29="","",SUMIF(Precio_Productos!K:K,C29,Precio_Productos!J:J)*H29)</f>
        <v>2332989</v>
      </c>
      <c r="F29" s="84" t="s">
        <v>328</v>
      </c>
      <c r="G29" s="84" t="s">
        <v>97</v>
      </c>
      <c r="H29" s="13">
        <v>1.0</v>
      </c>
      <c r="P29" s="3" t="str">
        <f>IFERROR(__xludf.DUMMYFUNCTION("IF(OR(F29="""",F29=""Seleccionar..""),"""",TRANSPOSE(FILTER(Productos!E:E,(Productos!F:F=D29)+(Productos!F:F=XLOOKUP(D29,Implementos!B:B,Implementos!C:C,""-"",0,1)))))"),"Tanque Combustible 1100 lts Bajo")</f>
        <v>Tanque Combustible 1100 lts Bajo</v>
      </c>
      <c r="Q29" s="3" t="str">
        <f>IFERROR(__xludf.DUMMYFUNCTION("""COMPUTED_VALUE"""),"Tanque Combustible 1500 lts Standard")</f>
        <v>Tanque Combustible 1500 lts Standard</v>
      </c>
      <c r="R29" s="3" t="str">
        <f>IFERROR(__xludf.DUMMYFUNCTION("""COMPUTED_VALUE"""),"Tanque Combustible 1800 lts Standard")</f>
        <v>Tanque Combustible 1800 lts Standard</v>
      </c>
      <c r="S29" s="3" t="str">
        <f>IFERROR(__xludf.DUMMYFUNCTION("""COMPUTED_VALUE"""),"Tanque Combustible 2000 lts Bajo")</f>
        <v>Tanque Combustible 2000 lts Bajo</v>
      </c>
      <c r="T29" s="3" t="str">
        <f>IFERROR(__xludf.DUMMYFUNCTION("""COMPUTED_VALUE"""),"Tanque Combustible 2000 lts Standard")</f>
        <v>Tanque Combustible 2000 lts Standard</v>
      </c>
      <c r="U29" s="3" t="str">
        <f>IFERROR(__xludf.DUMMYFUNCTION("""COMPUTED_VALUE"""),"Tanque Combustible 3000 lts Standard")</f>
        <v>Tanque Combustible 3000 lts Standard</v>
      </c>
      <c r="V29" s="3" t="str">
        <f>IFERROR(__xludf.DUMMYFUNCTION("""COMPUTED_VALUE"""),"Tanque Combustible 3000 lts Alto")</f>
        <v>Tanque Combustible 3000 lts Alto</v>
      </c>
      <c r="W29" s="3" t="str">
        <f>IFERROR(__xludf.DUMMYFUNCTION("""COMPUTED_VALUE"""),"Tanque Combustible 4000 lts Standard")</f>
        <v>Tanque Combustible 4000 lts Standard</v>
      </c>
      <c r="X29" s="3" t="str">
        <f>IFERROR(__xludf.DUMMYFUNCTION("""COMPUTED_VALUE"""),"Tanque Combustible 5000 lts Standard")</f>
        <v>Tanque Combustible 5000 lts Standard</v>
      </c>
      <c r="Y29" s="3" t="str">
        <f>IFERROR(__xludf.DUMMYFUNCTION("""COMPUTED_VALUE"""),"Tanque Combustible 5000 lts Alto")</f>
        <v>Tanque Combustible 5000 lts Alto</v>
      </c>
      <c r="Z29" s="3" t="str">
        <f>IFERROR(__xludf.DUMMYFUNCTION("""COMPUTED_VALUE"""),"Tanque Combustible 2000 lts Alto")</f>
        <v>Tanque Combustible 2000 lts Alto</v>
      </c>
      <c r="AA29" s="3" t="str">
        <f>IFERROR(__xludf.DUMMYFUNCTION("""COMPUTED_VALUE"""),"Tanque Combustible 4000 lts Alto")</f>
        <v>Tanque Combustible 4000 lts Alto</v>
      </c>
      <c r="AB29" s="3" t="str">
        <f>IFERROR(__xludf.DUMMYFUNCTION("""COMPUTED_VALUE"""),"Baulera Standard - 750")</f>
        <v>Baulera Standard - 750</v>
      </c>
      <c r="AC29" s="3" t="str">
        <f>IFERROR(__xludf.DUMMYFUNCTION("""COMPUTED_VALUE"""),"Baulera Standard - 1700 - C/Laterales")</f>
        <v>Baulera Standard - 1700 - C/Laterales</v>
      </c>
      <c r="AD29" s="3" t="str">
        <f>IFERROR(__xludf.DUMMYFUNCTION("""COMPUTED_VALUE"""),"Baulera Standard - 1000 - C/Laterales")</f>
        <v>Baulera Standard - 1000 - C/Laterales</v>
      </c>
      <c r="AE29" s="3" t="str">
        <f>IFERROR(__xludf.DUMMYFUNCTION("""COMPUTED_VALUE"""),"Baulera Standard - 750 - C/Laterales")</f>
        <v>Baulera Standard - 750 - C/Laterales</v>
      </c>
      <c r="AF29" s="3" t="str">
        <f>IFERROR(__xludf.DUMMYFUNCTION("""COMPUTED_VALUE"""),"Baulera Standard - 1300 - C/Laterales")</f>
        <v>Baulera Standard - 1300 - C/Laterales</v>
      </c>
      <c r="AG29" s="3" t="str">
        <f>IFERROR(__xludf.DUMMYFUNCTION("""COMPUTED_VALUE"""),"Baulera Alta - 750")</f>
        <v>Baulera Alta - 750</v>
      </c>
      <c r="AH29" s="3" t="str">
        <f>IFERROR(__xludf.DUMMYFUNCTION("""COMPUTED_VALUE"""),"Baulera Alta - 1500 - C/Laterales")</f>
        <v>Baulera Alta - 1500 - C/Laterales</v>
      </c>
      <c r="AI29" s="3" t="str">
        <f>IFERROR(__xludf.DUMMYFUNCTION("""COMPUTED_VALUE"""),"Baulera Extendida 1700 - C/Laterales")</f>
        <v>Baulera Extendida 1700 - C/Laterales</v>
      </c>
      <c r="AJ29" s="3" t="str">
        <f>IFERROR(__xludf.DUMMYFUNCTION("""COMPUTED_VALUE"""),"Taller Móvil - 1500 x 1500 x 1700")</f>
        <v>Taller Móvil - 1500 x 1500 x 1700</v>
      </c>
      <c r="AK29" s="3" t="str">
        <f>IFERROR(__xludf.DUMMYFUNCTION("""COMPUTED_VALUE"""),"Cajón Herramientas Standard Derecho")</f>
        <v>Cajón Herramientas Standard Derecho</v>
      </c>
      <c r="AL29" s="3" t="str">
        <f>IFERROR(__xludf.DUMMYFUNCTION("""COMPUTED_VALUE"""),"Cajón Herramientas Standard Izquierdo")</f>
        <v>Cajón Herramientas Standard Izquierdo</v>
      </c>
      <c r="AM29" s="3" t="str">
        <f>IFERROR(__xludf.DUMMYFUNCTION("""COMPUTED_VALUE"""),"Cajón Herramientas Corto Derecho")</f>
        <v>Cajón Herramientas Corto Derecho</v>
      </c>
      <c r="AN29" s="3" t="str">
        <f>IFERROR(__xludf.DUMMYFUNCTION("""COMPUTED_VALUE"""),"Cajón Herramientas Corto Izquierdo")</f>
        <v>Cajón Herramientas Corto Izquierdo</v>
      </c>
      <c r="AO29" s="3" t="str">
        <f>IFERROR(__xludf.DUMMYFUNCTION("""COMPUTED_VALUE"""),"Cajón Herramientas Mediano Derecho")</f>
        <v>Cajón Herramientas Mediano Derecho</v>
      </c>
      <c r="AP29" s="3" t="str">
        <f>IFERROR(__xludf.DUMMYFUNCTION("""COMPUTED_VALUE"""),"Cajón Herramientas Mediano Izquierdo")</f>
        <v>Cajón Herramientas Mediano Izquierdo</v>
      </c>
      <c r="AQ29" s="3" t="str">
        <f>IFERROR(__xludf.DUMMYFUNCTION("""COMPUTED_VALUE"""),"Chasis Acoplado 2 Ejes L3000")</f>
        <v>Chasis Acoplado 2 Ejes L3000</v>
      </c>
      <c r="AR29" s="3" t="str">
        <f>IFERROR(__xludf.DUMMYFUNCTION("""COMPUTED_VALUE"""),"Chasis Acoplado 2 Ejes L3750")</f>
        <v>Chasis Acoplado 2 Ejes L3750</v>
      </c>
      <c r="AS29" s="3" t="str">
        <f>IFERROR(__xludf.DUMMYFUNCTION("""COMPUTED_VALUE"""),"Chasis Acoplado 2 Ejes L4000")</f>
        <v>Chasis Acoplado 2 Ejes L4000</v>
      </c>
      <c r="AT29" s="3" t="str">
        <f>IFERROR(__xludf.DUMMYFUNCTION("""COMPUTED_VALUE"""),"Chasis Acoplado 2 Ejes L4000 Reforzado")</f>
        <v>Chasis Acoplado 2 Ejes L4000 Reforzado</v>
      </c>
      <c r="AU29" s="3" t="str">
        <f>IFERROR(__xludf.DUMMYFUNCTION("""COMPUTED_VALUE"""),"Chasis Acoplado 2 Ejes L4750")</f>
        <v>Chasis Acoplado 2 Ejes L4750</v>
      </c>
      <c r="AV29" s="3" t="str">
        <f>IFERROR(__xludf.DUMMYFUNCTION("""COMPUTED_VALUE"""),"Chasis Acoplado 2 Ejes L4750 Reforzado")</f>
        <v>Chasis Acoplado 2 Ejes L4750 Reforzado</v>
      </c>
      <c r="AW29" s="3" t="str">
        <f>IFERROR(__xludf.DUMMYFUNCTION("""COMPUTED_VALUE"""),"Chasis Acoplado 2 Ejes L4750 Reforzado R. Camion")</f>
        <v>Chasis Acoplado 2 Ejes L4750 Reforzado R. Camion</v>
      </c>
      <c r="AX29" s="3" t="str">
        <f>IFERROR(__xludf.DUMMYFUNCTION("""COMPUTED_VALUE"""),"Chasis Acoplado 2 Ejes L5000")</f>
        <v>Chasis Acoplado 2 Ejes L5000</v>
      </c>
      <c r="AY29" s="3" t="str">
        <f>IFERROR(__xludf.DUMMYFUNCTION("""COMPUTED_VALUE"""),"Chasis Acoplado 2 Ejes L5750")</f>
        <v>Chasis Acoplado 2 Ejes L5750</v>
      </c>
      <c r="AZ29" s="3" t="str">
        <f>IFERROR(__xludf.DUMMYFUNCTION("""COMPUTED_VALUE"""),"Chasis Acoplado 2 Ejes L6400")</f>
        <v>Chasis Acoplado 2 Ejes L6400</v>
      </c>
      <c r="BA29" s="3" t="str">
        <f>IFERROR(__xludf.DUMMYFUNCTION("""COMPUTED_VALUE"""),"Chasis Acoplado 2 Ejes L4500")</f>
        <v>Chasis Acoplado 2 Ejes L4500</v>
      </c>
      <c r="BB29" s="3" t="str">
        <f>IFERROR(__xludf.DUMMYFUNCTION("""COMPUTED_VALUE"""),"Chasis Acoplado 1 Eje L1500")</f>
        <v>Chasis Acoplado 1 Eje L1500</v>
      </c>
      <c r="BC29" s="3" t="str">
        <f>IFERROR(__xludf.DUMMYFUNCTION("""COMPUTED_VALUE"""),"Chasis Acoplado 1 Eje L1800")</f>
        <v>Chasis Acoplado 1 Eje L1800</v>
      </c>
      <c r="BD29" s="3" t="str">
        <f>IFERROR(__xludf.DUMMYFUNCTION("""COMPUTED_VALUE"""),"Chasis Acoplado 1 Eje L1400")</f>
        <v>Chasis Acoplado 1 Eje L1400</v>
      </c>
      <c r="BE29" s="3" t="str">
        <f>IFERROR(__xludf.DUMMYFUNCTION("""COMPUTED_VALUE"""),"Chasis Acoplado Balancin L3000")</f>
        <v>Chasis Acoplado Balancin L3000</v>
      </c>
      <c r="BF29" s="3" t="str">
        <f>IFERROR(__xludf.DUMMYFUNCTION("""COMPUTED_VALUE"""),"Chasis Acoplado Balancin L3000 Lanza Corta")</f>
        <v>Chasis Acoplado Balancin L3000 Lanza Corta</v>
      </c>
      <c r="BG29" s="3" t="str">
        <f>IFERROR(__xludf.DUMMYFUNCTION("""COMPUTED_VALUE"""),"Chasis Acoplado Balancin L2000 Lanza Corta")</f>
        <v>Chasis Acoplado Balancin L2000 Lanza Corta</v>
      </c>
      <c r="BH29" s="3" t="str">
        <f>IFERROR(__xludf.DUMMYFUNCTION("""COMPUTED_VALUE"""),"Chasis Acoplado Balancin L3200 Lanza Corta")</f>
        <v>Chasis Acoplado Balancin L3200 Lanza Corta</v>
      </c>
      <c r="BI29" s="3" t="str">
        <f>IFERROR(__xludf.DUMMYFUNCTION("""COMPUTED_VALUE"""),"Chasis Acoplado Balancin L3200 Lanza Recta")</f>
        <v>Chasis Acoplado Balancin L3200 Lanza Recta</v>
      </c>
      <c r="BJ29" s="3" t="str">
        <f>IFERROR(__xludf.DUMMYFUNCTION("""COMPUTED_VALUE"""),"Chasis Acoplado Balancin L3200 Bajo Lanza Recta")</f>
        <v>Chasis Acoplado Balancin L3200 Bajo Lanza Recta</v>
      </c>
      <c r="BK29" s="3" t="str">
        <f>IFERROR(__xludf.DUMMYFUNCTION("""COMPUTED_VALUE"""),"Tanque Plastico Horizontal 750 Lts")</f>
        <v>Tanque Plastico Horizontal 750 Lts</v>
      </c>
      <c r="BL29" s="3" t="str">
        <f>IFERROR(__xludf.DUMMYFUNCTION("""COMPUTED_VALUE"""),"Medio Tanque Plastico Superior 700 Lts")</f>
        <v>Medio Tanque Plastico Superior 700 Lts</v>
      </c>
      <c r="BM29" s="3" t="str">
        <f>IFERROR(__xludf.DUMMYFUNCTION("""COMPUTED_VALUE"""),"Paquete de Elasticos 50 mm x 8 mm x 10 Hojas L850")</f>
        <v>Paquete de Elasticos 50 mm x 8 mm x 10 Hojas L850</v>
      </c>
      <c r="BN29" s="3" t="str">
        <f>IFERROR(__xludf.DUMMYFUNCTION("""COMPUTED_VALUE"""),"Paquete de Elasticos 63 mm x 8 mm x 10 Hojas L950")</f>
        <v>Paquete de Elasticos 63 mm x 8 mm x 10 Hojas L950</v>
      </c>
      <c r="BO29" s="3" t="str">
        <f>IFERROR(__xludf.DUMMYFUNCTION("""COMPUTED_VALUE"""),"Paquete de Elasticos 50 mm x 7 mm x 9 Hojas L850")</f>
        <v>Paquete de Elasticos 50 mm x 7 mm x 9 Hojas L850</v>
      </c>
      <c r="BP29" s="3" t="str">
        <f>IFERROR(__xludf.DUMMYFUNCTION("""COMPUTED_VALUE"""),"Paquete de Elasticos 63 mm x 8 mm x 8 Hojas L850")</f>
        <v>Paquete de Elasticos 63 mm x 8 mm x 8 Hojas L850</v>
      </c>
      <c r="BQ29" s="3" t="str">
        <f>IFERROR(__xludf.DUMMYFUNCTION("""COMPUTED_VALUE"""),"Paquete de Elasticos 63 mm x 10 mm x 10 Hojas L950")</f>
        <v>Paquete de Elasticos 63 mm x 10 mm x 10 Hojas L950</v>
      </c>
      <c r="BR29" s="3" t="str">
        <f>IFERROR(__xludf.DUMMYFUNCTION("""COMPUTED_VALUE"""),"Paquete de Elasticos 63 mm x 10 mm x 13 Hojas L975")</f>
        <v>Paquete de Elasticos 63 mm x 10 mm x 13 Hojas L975</v>
      </c>
      <c r="BS29" s="3" t="str">
        <f>IFERROR(__xludf.DUMMYFUNCTION("""COMPUTED_VALUE"""),"Paquete de Elasticos 50 mm x 7 mm x 9 Hojas L650")</f>
        <v>Paquete de Elasticos 50 mm x 7 mm x 9 Hojas L650</v>
      </c>
      <c r="BT29" s="3" t="str">
        <f>IFERROR(__xludf.DUMMYFUNCTION("""COMPUTED_VALUE"""),"Eje Acoplado 2"" x 1600 (06/08) Agrícola Centro 92")</f>
        <v>Eje Acoplado 2" x 1600 (06/08) Agrícola Centro 92</v>
      </c>
      <c r="BU29" s="3" t="str">
        <f>IFERROR(__xludf.DUMMYFUNCTION("""COMPUTED_VALUE"""),"Eje Acoplado 2 1/2"" x 1600 (07/09) Agrícola Centro 92")</f>
        <v>Eje Acoplado 2 1/2" x 1600 (07/09) Agrícola Centro 92</v>
      </c>
      <c r="BV29" s="3" t="str">
        <f>IFERROR(__xludf.DUMMYFUNCTION("""COMPUTED_VALUE"""),"Eje Acoplado 2 1/2"" x 1600 (09/11) Agrícola Centro 150")</f>
        <v>Eje Acoplado 2 1/2" x 1600 (09/11) Agrícola Centro 150</v>
      </c>
      <c r="BW29" s="3" t="str">
        <f>IFERROR(__xludf.DUMMYFUNCTION("""COMPUTED_VALUE"""),"Eje Acoplado 3"" x 1600 (10/13) Agrícola Centro 150")</f>
        <v>Eje Acoplado 3" x 1600 (10/13) Agrícola Centro 150</v>
      </c>
      <c r="BX29" s="3" t="str">
        <f>IFERROR(__xludf.DUMMYFUNCTION("""COMPUTED_VALUE"""),"Eje Acoplado 2 1/2"" x 2140 (07/09) Agrícola Centro 92")</f>
        <v>Eje Acoplado 2 1/2" x 2140 (07/09) Agrícola Centro 92</v>
      </c>
      <c r="BY29" s="3" t="str">
        <f>IFERROR(__xludf.DUMMYFUNCTION("""COMPUTED_VALUE"""),"Eje Acoplado 2"" x 1400 (06/08) Agrícola Centro 92")</f>
        <v>Eje Acoplado 2" x 1400 (06/08) Agrícola Centro 92</v>
      </c>
      <c r="BZ29" s="3" t="str">
        <f>IFERROR(__xludf.DUMMYFUNCTION("""COMPUTED_VALUE"""),"Eje Acoplado 2 1/2"" x 1500 (07/09) Agrícola Centro 92")</f>
        <v>Eje Acoplado 2 1/2" x 1500 (07/09) Agrícola Centro 92</v>
      </c>
      <c r="CA29" s="3" t="str">
        <f>IFERROR(__xludf.DUMMYFUNCTION("""COMPUTED_VALUE"""),"Eje Acoplado 2 1/2"" x 2000 (07/09) Agrícola Centro 92")</f>
        <v>Eje Acoplado 2 1/2" x 2000 (07/09) Agrícola Centro 92</v>
      </c>
      <c r="CB29" s="3" t="str">
        <f>IFERROR(__xludf.DUMMYFUNCTION("""COMPUTED_VALUE"""),"Eje Acoplado 2 1/2"" x 2100 (09/11) Agrícola Centro 150")</f>
        <v>Eje Acoplado 2 1/2" x 2100 (09/11) Agrícola Centro 150</v>
      </c>
      <c r="CC29" s="3" t="str">
        <f>IFERROR(__xludf.DUMMYFUNCTION("""COMPUTED_VALUE"""),"Llanta 16"" Simple Agrícola Centro 92")</f>
        <v>Llanta 16" Simple Agrícola Centro 92</v>
      </c>
      <c r="CD29" s="3" t="str">
        <f>IFERROR(__xludf.DUMMYFUNCTION("""COMPUTED_VALUE"""),"Llanta 16"" Dual Agrícola Centro 92")</f>
        <v>Llanta 16" Dual Agrícola Centro 92</v>
      </c>
      <c r="CE29" s="3" t="str">
        <f>IFERROR(__xludf.DUMMYFUNCTION("""COMPUTED_VALUE"""),"Llanta 17"" Simple Agrícola Centro 92")</f>
        <v>Llanta 17" Simple Agrícola Centro 92</v>
      </c>
      <c r="CF29" s="3" t="str">
        <f>IFERROR(__xludf.DUMMYFUNCTION("""COMPUTED_VALUE"""),"Llanta 17"" Dual Agrícola Centro 92")</f>
        <v>Llanta 17" Dual Agrícola Centro 92</v>
      </c>
      <c r="CG29" s="3" t="str">
        <f>IFERROR(__xludf.DUMMYFUNCTION("""COMPUTED_VALUE"""),"Llanta 16"" Dual Agrícola Centro 152")</f>
        <v>Llanta 16" Dual Agrícola Centro 152</v>
      </c>
      <c r="CH29" s="3" t="str">
        <f>IFERROR(__xludf.DUMMYFUNCTION("""COMPUTED_VALUE"""),"Llanta 17"" Dual Agrícola Centro 152")</f>
        <v>Llanta 17" Dual Agrícola Centro 152</v>
      </c>
      <c r="CI29" s="3" t="str">
        <f>IFERROR(__xludf.DUMMYFUNCTION("""COMPUTED_VALUE"""),"Eje Acoplado 2"" x 1600 (05/07) Agrícola Centro 92")</f>
        <v>Eje Acoplado 2" x 1600 (05/07) Agrícola Centro 92</v>
      </c>
      <c r="CJ29" s="3" t="str">
        <f>IFERROR(__xludf.DUMMYFUNCTION("""COMPUTED_VALUE"""),"Paquete de Elásticos 50 mm x 8 mm x 12 Hojas")</f>
        <v>Paquete de Elásticos 50 mm x 8 mm x 12 Hojas</v>
      </c>
      <c r="CK29" s="3" t="str">
        <f>IFERROR(__xludf.DUMMYFUNCTION("""COMPUTED_VALUE"""),"Plataforma Playo 4.00 x 1.90 x 0.45 Lateral Simple Baranda Fija")</f>
        <v>Plataforma Playo 4.00 x 1.90 x 0.45 Lateral Simple Baranda Fija</v>
      </c>
      <c r="CL29" s="3" t="str">
        <f>IFERROR(__xludf.DUMMYFUNCTION("""COMPUTED_VALUE"""),"Plataforma Playo 4.00 x 1.90 x 0.45 Lateral Simple Baranda Ventilada")</f>
        <v>Plataforma Playo 4.00 x 1.90 x 0.45 Lateral Simple Baranda Ventilada</v>
      </c>
      <c r="CM29" s="3" t="str">
        <f>IFERROR(__xludf.DUMMYFUNCTION("""COMPUTED_VALUE"""),"Plataforma Playo 4.00 x 1.90 x 0.45 Lateral Doble Baranda Ventilada")</f>
        <v>Plataforma Playo 4.00 x 1.90 x 0.45 Lateral Doble Baranda Ventilada</v>
      </c>
      <c r="CN29" s="3" t="str">
        <f>IFERROR(__xludf.DUMMYFUNCTION("""COMPUTED_VALUE"""),"Plataforma Playo 4.00 x 1.90 x 0.45 Lateral Doble Baranda Fija")</f>
        <v>Plataforma Playo 4.00 x 1.90 x 0.45 Lateral Doble Baranda Fija</v>
      </c>
      <c r="CO29" s="3" t="str">
        <f>IFERROR(__xludf.DUMMYFUNCTION("""COMPUTED_VALUE"""),"Plataforma Playo 4.00 x 1.90 x 0.72 Lateral Simple Baranda Fija")</f>
        <v>Plataforma Playo 4.00 x 1.90 x 0.72 Lateral Simple Baranda Fija</v>
      </c>
      <c r="CP29" s="3" t="str">
        <f>IFERROR(__xludf.DUMMYFUNCTION("""COMPUTED_VALUE"""),"Plataforma Playo 4.00 x 1.90 x 0.72 Lateral Doble Baranda Fija")</f>
        <v>Plataforma Playo 4.00 x 1.90 x 0.72 Lateral Doble Baranda Fija</v>
      </c>
      <c r="CQ29" s="3" t="str">
        <f>IFERROR(__xludf.DUMMYFUNCTION("""COMPUTED_VALUE"""),"Plataforma Playo 5.00 x 2.20 x 0.60 Lateral Doble Trasera Rebatible")</f>
        <v>Plataforma Playo 5.00 x 2.20 x 0.60 Lateral Doble Trasera Rebatible</v>
      </c>
      <c r="CR29" s="3" t="str">
        <f>IFERROR(__xludf.DUMMYFUNCTION("""COMPUTED_VALUE"""),"Plataforma Playo 5.00 x 2.20 x 0.60 Lateral Doble Baranda Fija C/Toldo")</f>
        <v>Plataforma Playo 5.00 x 2.20 x 0.60 Lateral Doble Baranda Fija C/Toldo</v>
      </c>
      <c r="CS29" s="3" t="str">
        <f>IFERROR(__xludf.DUMMYFUNCTION("""COMPUTED_VALUE"""),"Plataforma Playo 3.00 x 1.90 x 0.45 Lateral Simple Baranda Fija")</f>
        <v>Plataforma Playo 3.00 x 1.90 x 0.45 Lateral Simple Baranda Fija</v>
      </c>
      <c r="CT29" s="3" t="str">
        <f>IFERROR(__xludf.DUMMYFUNCTION("""COMPUTED_VALUE"""),"Plataforma Playo 3.00 x 1.90 x 0.45 Lateral Simple Baranda Ventilada")</f>
        <v>Plataforma Playo 3.00 x 1.90 x 0.45 Lateral Simple Baranda Ventilada</v>
      </c>
      <c r="CU29" s="3" t="str">
        <f>IFERROR(__xludf.DUMMYFUNCTION("""COMPUTED_VALUE"""),"Plataforma Playo 2.00 x 1.90 x 0.45 Lateral Simple Baranda Fija")</f>
        <v>Plataforma Playo 2.00 x 1.90 x 0.45 Lateral Simple Baranda Fija</v>
      </c>
      <c r="CV29" s="3" t="str">
        <f>IFERROR(__xludf.DUMMYFUNCTION("""COMPUTED_VALUE"""),"Plataforma Playo 5.00 x 1.90 x 0.60 Lateral Doble Baranda Fija")</f>
        <v>Plataforma Playo 5.00 x 1.90 x 0.60 Lateral Doble Baranda Fija</v>
      </c>
      <c r="CW29" s="3" t="str">
        <f>IFERROR(__xludf.DUMMYFUNCTION("""COMPUTED_VALUE"""),"Plataforma Playo 6.40 x 2.70 x 0.72 Lateral Doble Baranda Fija")</f>
        <v>Plataforma Playo 6.40 x 2.70 x 0.72 Lateral Doble Baranda Fija</v>
      </c>
      <c r="CX29" s="3" t="str">
        <f>IFERROR(__xludf.DUMMYFUNCTION("""COMPUTED_VALUE"""),"Chasis Acoplado Balancin L4000 Lanza Recta")</f>
        <v>Chasis Acoplado Balancin L4000 Lanza Recta</v>
      </c>
      <c r="CY29" s="3" t="str">
        <f>IFERROR(__xludf.DUMMYFUNCTION("""COMPUTED_VALUE"""),"Llanta simple Agrícola 750x20 centro 152")</f>
        <v>Llanta simple Agrícola 750x20 centro 152</v>
      </c>
      <c r="CZ29" s="3" t="str">
        <f>IFERROR(__xludf.DUMMYFUNCTION("""COMPUTED_VALUE"""),"Cajón de Herramientas Mediano adelante")</f>
        <v>Cajón de Herramientas Mediano adelante</v>
      </c>
      <c r="DA29" s="3" t="str">
        <f>IFERROR(__xludf.DUMMYFUNCTION("""COMPUTED_VALUE"""),"Llanta 15"" Simple Agrícola Centro 92")</f>
        <v>Llanta 15" Simple Agrícola Centro 92</v>
      </c>
    </row>
    <row r="30" hidden="1">
      <c r="A30" s="38">
        <f t="shared" si="1"/>
        <v>29</v>
      </c>
      <c r="B30" s="38">
        <f>IF(F30="","",SUMIF(Prearmados!E:E,F30,Prearmados!A:A))</f>
        <v>5</v>
      </c>
      <c r="C30" s="38">
        <f>IF(F30="","",SUMIF(Productos!E:E,G30,Productos!A:A))</f>
        <v>101</v>
      </c>
      <c r="D30" s="83" t="str">
        <f t="array" ref="D30">IF(OR(F30="",F30="Seleccionar.."),"",XLOOKUP(F30,Prearmados!E:E,Prearmados!F:F,"",0,1))</f>
        <v>Acoplados Rurales</v>
      </c>
      <c r="E30" s="83">
        <f>IF(H30="","",SUMIF(Precio_Productos!K:K,C30,Precio_Productos!J:J)*H30)</f>
        <v>780000</v>
      </c>
      <c r="F30" s="84" t="s">
        <v>328</v>
      </c>
      <c r="G30" s="84" t="s">
        <v>133</v>
      </c>
      <c r="H30" s="13">
        <v>2.0</v>
      </c>
      <c r="P30" s="3" t="str">
        <f>IFERROR(__xludf.DUMMYFUNCTION("IF(OR(F30="""",F30=""Seleccionar..""),"""",TRANSPOSE(FILTER(Productos!E:E,(Productos!F:F=D30)+(Productos!F:F=XLOOKUP(D30,Implementos!B:B,Implementos!C:C,""-"",0,1)))))"),"Tanque Combustible 1100 lts Bajo")</f>
        <v>Tanque Combustible 1100 lts Bajo</v>
      </c>
      <c r="Q30" s="3" t="str">
        <f>IFERROR(__xludf.DUMMYFUNCTION("""COMPUTED_VALUE"""),"Tanque Combustible 1500 lts Standard")</f>
        <v>Tanque Combustible 1500 lts Standard</v>
      </c>
      <c r="R30" s="3" t="str">
        <f>IFERROR(__xludf.DUMMYFUNCTION("""COMPUTED_VALUE"""),"Tanque Combustible 1800 lts Standard")</f>
        <v>Tanque Combustible 1800 lts Standard</v>
      </c>
      <c r="S30" s="3" t="str">
        <f>IFERROR(__xludf.DUMMYFUNCTION("""COMPUTED_VALUE"""),"Tanque Combustible 2000 lts Bajo")</f>
        <v>Tanque Combustible 2000 lts Bajo</v>
      </c>
      <c r="T30" s="3" t="str">
        <f>IFERROR(__xludf.DUMMYFUNCTION("""COMPUTED_VALUE"""),"Tanque Combustible 2000 lts Standard")</f>
        <v>Tanque Combustible 2000 lts Standard</v>
      </c>
      <c r="U30" s="3" t="str">
        <f>IFERROR(__xludf.DUMMYFUNCTION("""COMPUTED_VALUE"""),"Tanque Combustible 3000 lts Standard")</f>
        <v>Tanque Combustible 3000 lts Standard</v>
      </c>
      <c r="V30" s="3" t="str">
        <f>IFERROR(__xludf.DUMMYFUNCTION("""COMPUTED_VALUE"""),"Tanque Combustible 3000 lts Alto")</f>
        <v>Tanque Combustible 3000 lts Alto</v>
      </c>
      <c r="W30" s="3" t="str">
        <f>IFERROR(__xludf.DUMMYFUNCTION("""COMPUTED_VALUE"""),"Tanque Combustible 4000 lts Standard")</f>
        <v>Tanque Combustible 4000 lts Standard</v>
      </c>
      <c r="X30" s="3" t="str">
        <f>IFERROR(__xludf.DUMMYFUNCTION("""COMPUTED_VALUE"""),"Tanque Combustible 5000 lts Standard")</f>
        <v>Tanque Combustible 5000 lts Standard</v>
      </c>
      <c r="Y30" s="3" t="str">
        <f>IFERROR(__xludf.DUMMYFUNCTION("""COMPUTED_VALUE"""),"Tanque Combustible 5000 lts Alto")</f>
        <v>Tanque Combustible 5000 lts Alto</v>
      </c>
      <c r="Z30" s="3" t="str">
        <f>IFERROR(__xludf.DUMMYFUNCTION("""COMPUTED_VALUE"""),"Tanque Combustible 2000 lts Alto")</f>
        <v>Tanque Combustible 2000 lts Alto</v>
      </c>
      <c r="AA30" s="3" t="str">
        <f>IFERROR(__xludf.DUMMYFUNCTION("""COMPUTED_VALUE"""),"Tanque Combustible 4000 lts Alto")</f>
        <v>Tanque Combustible 4000 lts Alto</v>
      </c>
      <c r="AB30" s="3" t="str">
        <f>IFERROR(__xludf.DUMMYFUNCTION("""COMPUTED_VALUE"""),"Baulera Standard - 750")</f>
        <v>Baulera Standard - 750</v>
      </c>
      <c r="AC30" s="3" t="str">
        <f>IFERROR(__xludf.DUMMYFUNCTION("""COMPUTED_VALUE"""),"Baulera Standard - 1700 - C/Laterales")</f>
        <v>Baulera Standard - 1700 - C/Laterales</v>
      </c>
      <c r="AD30" s="3" t="str">
        <f>IFERROR(__xludf.DUMMYFUNCTION("""COMPUTED_VALUE"""),"Baulera Standard - 1000 - C/Laterales")</f>
        <v>Baulera Standard - 1000 - C/Laterales</v>
      </c>
      <c r="AE30" s="3" t="str">
        <f>IFERROR(__xludf.DUMMYFUNCTION("""COMPUTED_VALUE"""),"Baulera Standard - 750 - C/Laterales")</f>
        <v>Baulera Standard - 750 - C/Laterales</v>
      </c>
      <c r="AF30" s="3" t="str">
        <f>IFERROR(__xludf.DUMMYFUNCTION("""COMPUTED_VALUE"""),"Baulera Standard - 1300 - C/Laterales")</f>
        <v>Baulera Standard - 1300 - C/Laterales</v>
      </c>
      <c r="AG30" s="3" t="str">
        <f>IFERROR(__xludf.DUMMYFUNCTION("""COMPUTED_VALUE"""),"Baulera Alta - 750")</f>
        <v>Baulera Alta - 750</v>
      </c>
      <c r="AH30" s="3" t="str">
        <f>IFERROR(__xludf.DUMMYFUNCTION("""COMPUTED_VALUE"""),"Baulera Alta - 1500 - C/Laterales")</f>
        <v>Baulera Alta - 1500 - C/Laterales</v>
      </c>
      <c r="AI30" s="3" t="str">
        <f>IFERROR(__xludf.DUMMYFUNCTION("""COMPUTED_VALUE"""),"Baulera Extendida 1700 - C/Laterales")</f>
        <v>Baulera Extendida 1700 - C/Laterales</v>
      </c>
      <c r="AJ30" s="3" t="str">
        <f>IFERROR(__xludf.DUMMYFUNCTION("""COMPUTED_VALUE"""),"Taller Móvil - 1500 x 1500 x 1700")</f>
        <v>Taller Móvil - 1500 x 1500 x 1700</v>
      </c>
      <c r="AK30" s="3" t="str">
        <f>IFERROR(__xludf.DUMMYFUNCTION("""COMPUTED_VALUE"""),"Cajón Herramientas Standard Derecho")</f>
        <v>Cajón Herramientas Standard Derecho</v>
      </c>
      <c r="AL30" s="3" t="str">
        <f>IFERROR(__xludf.DUMMYFUNCTION("""COMPUTED_VALUE"""),"Cajón Herramientas Standard Izquierdo")</f>
        <v>Cajón Herramientas Standard Izquierdo</v>
      </c>
      <c r="AM30" s="3" t="str">
        <f>IFERROR(__xludf.DUMMYFUNCTION("""COMPUTED_VALUE"""),"Cajón Herramientas Corto Derecho")</f>
        <v>Cajón Herramientas Corto Derecho</v>
      </c>
      <c r="AN30" s="3" t="str">
        <f>IFERROR(__xludf.DUMMYFUNCTION("""COMPUTED_VALUE"""),"Cajón Herramientas Corto Izquierdo")</f>
        <v>Cajón Herramientas Corto Izquierdo</v>
      </c>
      <c r="AO30" s="3" t="str">
        <f>IFERROR(__xludf.DUMMYFUNCTION("""COMPUTED_VALUE"""),"Cajón Herramientas Mediano Derecho")</f>
        <v>Cajón Herramientas Mediano Derecho</v>
      </c>
      <c r="AP30" s="3" t="str">
        <f>IFERROR(__xludf.DUMMYFUNCTION("""COMPUTED_VALUE"""),"Cajón Herramientas Mediano Izquierdo")</f>
        <v>Cajón Herramientas Mediano Izquierdo</v>
      </c>
      <c r="AQ30" s="3" t="str">
        <f>IFERROR(__xludf.DUMMYFUNCTION("""COMPUTED_VALUE"""),"Chasis Acoplado 2 Ejes L3000")</f>
        <v>Chasis Acoplado 2 Ejes L3000</v>
      </c>
      <c r="AR30" s="3" t="str">
        <f>IFERROR(__xludf.DUMMYFUNCTION("""COMPUTED_VALUE"""),"Chasis Acoplado 2 Ejes L3750")</f>
        <v>Chasis Acoplado 2 Ejes L3750</v>
      </c>
      <c r="AS30" s="3" t="str">
        <f>IFERROR(__xludf.DUMMYFUNCTION("""COMPUTED_VALUE"""),"Chasis Acoplado 2 Ejes L4000")</f>
        <v>Chasis Acoplado 2 Ejes L4000</v>
      </c>
      <c r="AT30" s="3" t="str">
        <f>IFERROR(__xludf.DUMMYFUNCTION("""COMPUTED_VALUE"""),"Chasis Acoplado 2 Ejes L4000 Reforzado")</f>
        <v>Chasis Acoplado 2 Ejes L4000 Reforzado</v>
      </c>
      <c r="AU30" s="3" t="str">
        <f>IFERROR(__xludf.DUMMYFUNCTION("""COMPUTED_VALUE"""),"Chasis Acoplado 2 Ejes L4750")</f>
        <v>Chasis Acoplado 2 Ejes L4750</v>
      </c>
      <c r="AV30" s="3" t="str">
        <f>IFERROR(__xludf.DUMMYFUNCTION("""COMPUTED_VALUE"""),"Chasis Acoplado 2 Ejes L4750 Reforzado")</f>
        <v>Chasis Acoplado 2 Ejes L4750 Reforzado</v>
      </c>
      <c r="AW30" s="3" t="str">
        <f>IFERROR(__xludf.DUMMYFUNCTION("""COMPUTED_VALUE"""),"Chasis Acoplado 2 Ejes L4750 Reforzado R. Camion")</f>
        <v>Chasis Acoplado 2 Ejes L4750 Reforzado R. Camion</v>
      </c>
      <c r="AX30" s="3" t="str">
        <f>IFERROR(__xludf.DUMMYFUNCTION("""COMPUTED_VALUE"""),"Chasis Acoplado 2 Ejes L5000")</f>
        <v>Chasis Acoplado 2 Ejes L5000</v>
      </c>
      <c r="AY30" s="3" t="str">
        <f>IFERROR(__xludf.DUMMYFUNCTION("""COMPUTED_VALUE"""),"Chasis Acoplado 2 Ejes L5750")</f>
        <v>Chasis Acoplado 2 Ejes L5750</v>
      </c>
      <c r="AZ30" s="3" t="str">
        <f>IFERROR(__xludf.DUMMYFUNCTION("""COMPUTED_VALUE"""),"Chasis Acoplado 2 Ejes L6400")</f>
        <v>Chasis Acoplado 2 Ejes L6400</v>
      </c>
      <c r="BA30" s="3" t="str">
        <f>IFERROR(__xludf.DUMMYFUNCTION("""COMPUTED_VALUE"""),"Chasis Acoplado 2 Ejes L4500")</f>
        <v>Chasis Acoplado 2 Ejes L4500</v>
      </c>
      <c r="BB30" s="3" t="str">
        <f>IFERROR(__xludf.DUMMYFUNCTION("""COMPUTED_VALUE"""),"Chasis Acoplado 1 Eje L1500")</f>
        <v>Chasis Acoplado 1 Eje L1500</v>
      </c>
      <c r="BC30" s="3" t="str">
        <f>IFERROR(__xludf.DUMMYFUNCTION("""COMPUTED_VALUE"""),"Chasis Acoplado 1 Eje L1800")</f>
        <v>Chasis Acoplado 1 Eje L1800</v>
      </c>
      <c r="BD30" s="3" t="str">
        <f>IFERROR(__xludf.DUMMYFUNCTION("""COMPUTED_VALUE"""),"Chasis Acoplado 1 Eje L1400")</f>
        <v>Chasis Acoplado 1 Eje L1400</v>
      </c>
      <c r="BE30" s="3" t="str">
        <f>IFERROR(__xludf.DUMMYFUNCTION("""COMPUTED_VALUE"""),"Chasis Acoplado Balancin L3000")</f>
        <v>Chasis Acoplado Balancin L3000</v>
      </c>
      <c r="BF30" s="3" t="str">
        <f>IFERROR(__xludf.DUMMYFUNCTION("""COMPUTED_VALUE"""),"Chasis Acoplado Balancin L3000 Lanza Corta")</f>
        <v>Chasis Acoplado Balancin L3000 Lanza Corta</v>
      </c>
      <c r="BG30" s="3" t="str">
        <f>IFERROR(__xludf.DUMMYFUNCTION("""COMPUTED_VALUE"""),"Chasis Acoplado Balancin L2000 Lanza Corta")</f>
        <v>Chasis Acoplado Balancin L2000 Lanza Corta</v>
      </c>
      <c r="BH30" s="3" t="str">
        <f>IFERROR(__xludf.DUMMYFUNCTION("""COMPUTED_VALUE"""),"Chasis Acoplado Balancin L3200 Lanza Corta")</f>
        <v>Chasis Acoplado Balancin L3200 Lanza Corta</v>
      </c>
      <c r="BI30" s="3" t="str">
        <f>IFERROR(__xludf.DUMMYFUNCTION("""COMPUTED_VALUE"""),"Chasis Acoplado Balancin L3200 Lanza Recta")</f>
        <v>Chasis Acoplado Balancin L3200 Lanza Recta</v>
      </c>
      <c r="BJ30" s="3" t="str">
        <f>IFERROR(__xludf.DUMMYFUNCTION("""COMPUTED_VALUE"""),"Chasis Acoplado Balancin L3200 Bajo Lanza Recta")</f>
        <v>Chasis Acoplado Balancin L3200 Bajo Lanza Recta</v>
      </c>
      <c r="BK30" s="3" t="str">
        <f>IFERROR(__xludf.DUMMYFUNCTION("""COMPUTED_VALUE"""),"Tanque Plastico Horizontal 750 Lts")</f>
        <v>Tanque Plastico Horizontal 750 Lts</v>
      </c>
      <c r="BL30" s="3" t="str">
        <f>IFERROR(__xludf.DUMMYFUNCTION("""COMPUTED_VALUE"""),"Medio Tanque Plastico Superior 700 Lts")</f>
        <v>Medio Tanque Plastico Superior 700 Lts</v>
      </c>
      <c r="BM30" s="3" t="str">
        <f>IFERROR(__xludf.DUMMYFUNCTION("""COMPUTED_VALUE"""),"Paquete de Elasticos 50 mm x 8 mm x 10 Hojas L850")</f>
        <v>Paquete de Elasticos 50 mm x 8 mm x 10 Hojas L850</v>
      </c>
      <c r="BN30" s="3" t="str">
        <f>IFERROR(__xludf.DUMMYFUNCTION("""COMPUTED_VALUE"""),"Paquete de Elasticos 63 mm x 8 mm x 10 Hojas L950")</f>
        <v>Paquete de Elasticos 63 mm x 8 mm x 10 Hojas L950</v>
      </c>
      <c r="BO30" s="3" t="str">
        <f>IFERROR(__xludf.DUMMYFUNCTION("""COMPUTED_VALUE"""),"Paquete de Elasticos 50 mm x 7 mm x 9 Hojas L850")</f>
        <v>Paquete de Elasticos 50 mm x 7 mm x 9 Hojas L850</v>
      </c>
      <c r="BP30" s="3" t="str">
        <f>IFERROR(__xludf.DUMMYFUNCTION("""COMPUTED_VALUE"""),"Paquete de Elasticos 63 mm x 8 mm x 8 Hojas L850")</f>
        <v>Paquete de Elasticos 63 mm x 8 mm x 8 Hojas L850</v>
      </c>
      <c r="BQ30" s="3" t="str">
        <f>IFERROR(__xludf.DUMMYFUNCTION("""COMPUTED_VALUE"""),"Paquete de Elasticos 63 mm x 10 mm x 10 Hojas L950")</f>
        <v>Paquete de Elasticos 63 mm x 10 mm x 10 Hojas L950</v>
      </c>
      <c r="BR30" s="3" t="str">
        <f>IFERROR(__xludf.DUMMYFUNCTION("""COMPUTED_VALUE"""),"Paquete de Elasticos 63 mm x 10 mm x 13 Hojas L975")</f>
        <v>Paquete de Elasticos 63 mm x 10 mm x 13 Hojas L975</v>
      </c>
      <c r="BS30" s="3" t="str">
        <f>IFERROR(__xludf.DUMMYFUNCTION("""COMPUTED_VALUE"""),"Paquete de Elasticos 50 mm x 7 mm x 9 Hojas L650")</f>
        <v>Paquete de Elasticos 50 mm x 7 mm x 9 Hojas L650</v>
      </c>
      <c r="BT30" s="3" t="str">
        <f>IFERROR(__xludf.DUMMYFUNCTION("""COMPUTED_VALUE"""),"Eje Acoplado 2"" x 1600 (06/08) Agrícola Centro 92")</f>
        <v>Eje Acoplado 2" x 1600 (06/08) Agrícola Centro 92</v>
      </c>
      <c r="BU30" s="3" t="str">
        <f>IFERROR(__xludf.DUMMYFUNCTION("""COMPUTED_VALUE"""),"Eje Acoplado 2 1/2"" x 1600 (07/09) Agrícola Centro 92")</f>
        <v>Eje Acoplado 2 1/2" x 1600 (07/09) Agrícola Centro 92</v>
      </c>
      <c r="BV30" s="3" t="str">
        <f>IFERROR(__xludf.DUMMYFUNCTION("""COMPUTED_VALUE"""),"Eje Acoplado 2 1/2"" x 1600 (09/11) Agrícola Centro 150")</f>
        <v>Eje Acoplado 2 1/2" x 1600 (09/11) Agrícola Centro 150</v>
      </c>
      <c r="BW30" s="3" t="str">
        <f>IFERROR(__xludf.DUMMYFUNCTION("""COMPUTED_VALUE"""),"Eje Acoplado 3"" x 1600 (10/13) Agrícola Centro 150")</f>
        <v>Eje Acoplado 3" x 1600 (10/13) Agrícola Centro 150</v>
      </c>
      <c r="BX30" s="3" t="str">
        <f>IFERROR(__xludf.DUMMYFUNCTION("""COMPUTED_VALUE"""),"Eje Acoplado 2 1/2"" x 2140 (07/09) Agrícola Centro 92")</f>
        <v>Eje Acoplado 2 1/2" x 2140 (07/09) Agrícola Centro 92</v>
      </c>
      <c r="BY30" s="3" t="str">
        <f>IFERROR(__xludf.DUMMYFUNCTION("""COMPUTED_VALUE"""),"Eje Acoplado 2"" x 1400 (06/08) Agrícola Centro 92")</f>
        <v>Eje Acoplado 2" x 1400 (06/08) Agrícola Centro 92</v>
      </c>
      <c r="BZ30" s="3" t="str">
        <f>IFERROR(__xludf.DUMMYFUNCTION("""COMPUTED_VALUE"""),"Eje Acoplado 2 1/2"" x 1500 (07/09) Agrícola Centro 92")</f>
        <v>Eje Acoplado 2 1/2" x 1500 (07/09) Agrícola Centro 92</v>
      </c>
      <c r="CA30" s="3" t="str">
        <f>IFERROR(__xludf.DUMMYFUNCTION("""COMPUTED_VALUE"""),"Eje Acoplado 2 1/2"" x 2000 (07/09) Agrícola Centro 92")</f>
        <v>Eje Acoplado 2 1/2" x 2000 (07/09) Agrícola Centro 92</v>
      </c>
      <c r="CB30" s="3" t="str">
        <f>IFERROR(__xludf.DUMMYFUNCTION("""COMPUTED_VALUE"""),"Eje Acoplado 2 1/2"" x 2100 (09/11) Agrícola Centro 150")</f>
        <v>Eje Acoplado 2 1/2" x 2100 (09/11) Agrícola Centro 150</v>
      </c>
      <c r="CC30" s="3" t="str">
        <f>IFERROR(__xludf.DUMMYFUNCTION("""COMPUTED_VALUE"""),"Llanta 16"" Simple Agrícola Centro 92")</f>
        <v>Llanta 16" Simple Agrícola Centro 92</v>
      </c>
      <c r="CD30" s="3" t="str">
        <f>IFERROR(__xludf.DUMMYFUNCTION("""COMPUTED_VALUE"""),"Llanta 16"" Dual Agrícola Centro 92")</f>
        <v>Llanta 16" Dual Agrícola Centro 92</v>
      </c>
      <c r="CE30" s="3" t="str">
        <f>IFERROR(__xludf.DUMMYFUNCTION("""COMPUTED_VALUE"""),"Llanta 17"" Simple Agrícola Centro 92")</f>
        <v>Llanta 17" Simple Agrícola Centro 92</v>
      </c>
      <c r="CF30" s="3" t="str">
        <f>IFERROR(__xludf.DUMMYFUNCTION("""COMPUTED_VALUE"""),"Llanta 17"" Dual Agrícola Centro 92")</f>
        <v>Llanta 17" Dual Agrícola Centro 92</v>
      </c>
      <c r="CG30" s="3" t="str">
        <f>IFERROR(__xludf.DUMMYFUNCTION("""COMPUTED_VALUE"""),"Llanta 16"" Dual Agrícola Centro 152")</f>
        <v>Llanta 16" Dual Agrícola Centro 152</v>
      </c>
      <c r="CH30" s="3" t="str">
        <f>IFERROR(__xludf.DUMMYFUNCTION("""COMPUTED_VALUE"""),"Llanta 17"" Dual Agrícola Centro 152")</f>
        <v>Llanta 17" Dual Agrícola Centro 152</v>
      </c>
      <c r="CI30" s="3" t="str">
        <f>IFERROR(__xludf.DUMMYFUNCTION("""COMPUTED_VALUE"""),"Eje Acoplado 2"" x 1600 (05/07) Agrícola Centro 92")</f>
        <v>Eje Acoplado 2" x 1600 (05/07) Agrícola Centro 92</v>
      </c>
      <c r="CJ30" s="3" t="str">
        <f>IFERROR(__xludf.DUMMYFUNCTION("""COMPUTED_VALUE"""),"Paquete de Elásticos 50 mm x 8 mm x 12 Hojas")</f>
        <v>Paquete de Elásticos 50 mm x 8 mm x 12 Hojas</v>
      </c>
      <c r="CK30" s="3" t="str">
        <f>IFERROR(__xludf.DUMMYFUNCTION("""COMPUTED_VALUE"""),"Plataforma Playo 4.00 x 1.90 x 0.45 Lateral Simple Baranda Fija")</f>
        <v>Plataforma Playo 4.00 x 1.90 x 0.45 Lateral Simple Baranda Fija</v>
      </c>
      <c r="CL30" s="3" t="str">
        <f>IFERROR(__xludf.DUMMYFUNCTION("""COMPUTED_VALUE"""),"Plataforma Playo 4.00 x 1.90 x 0.45 Lateral Simple Baranda Ventilada")</f>
        <v>Plataforma Playo 4.00 x 1.90 x 0.45 Lateral Simple Baranda Ventilada</v>
      </c>
      <c r="CM30" s="3" t="str">
        <f>IFERROR(__xludf.DUMMYFUNCTION("""COMPUTED_VALUE"""),"Plataforma Playo 4.00 x 1.90 x 0.45 Lateral Doble Baranda Ventilada")</f>
        <v>Plataforma Playo 4.00 x 1.90 x 0.45 Lateral Doble Baranda Ventilada</v>
      </c>
      <c r="CN30" s="3" t="str">
        <f>IFERROR(__xludf.DUMMYFUNCTION("""COMPUTED_VALUE"""),"Plataforma Playo 4.00 x 1.90 x 0.45 Lateral Doble Baranda Fija")</f>
        <v>Plataforma Playo 4.00 x 1.90 x 0.45 Lateral Doble Baranda Fija</v>
      </c>
      <c r="CO30" s="3" t="str">
        <f>IFERROR(__xludf.DUMMYFUNCTION("""COMPUTED_VALUE"""),"Plataforma Playo 4.00 x 1.90 x 0.72 Lateral Simple Baranda Fija")</f>
        <v>Plataforma Playo 4.00 x 1.90 x 0.72 Lateral Simple Baranda Fija</v>
      </c>
      <c r="CP30" s="3" t="str">
        <f>IFERROR(__xludf.DUMMYFUNCTION("""COMPUTED_VALUE"""),"Plataforma Playo 4.00 x 1.90 x 0.72 Lateral Doble Baranda Fija")</f>
        <v>Plataforma Playo 4.00 x 1.90 x 0.72 Lateral Doble Baranda Fija</v>
      </c>
      <c r="CQ30" s="3" t="str">
        <f>IFERROR(__xludf.DUMMYFUNCTION("""COMPUTED_VALUE"""),"Plataforma Playo 5.00 x 2.20 x 0.60 Lateral Doble Trasera Rebatible")</f>
        <v>Plataforma Playo 5.00 x 2.20 x 0.60 Lateral Doble Trasera Rebatible</v>
      </c>
      <c r="CR30" s="3" t="str">
        <f>IFERROR(__xludf.DUMMYFUNCTION("""COMPUTED_VALUE"""),"Plataforma Playo 5.00 x 2.20 x 0.60 Lateral Doble Baranda Fija C/Toldo")</f>
        <v>Plataforma Playo 5.00 x 2.20 x 0.60 Lateral Doble Baranda Fija C/Toldo</v>
      </c>
      <c r="CS30" s="3" t="str">
        <f>IFERROR(__xludf.DUMMYFUNCTION("""COMPUTED_VALUE"""),"Plataforma Playo 3.00 x 1.90 x 0.45 Lateral Simple Baranda Fija")</f>
        <v>Plataforma Playo 3.00 x 1.90 x 0.45 Lateral Simple Baranda Fija</v>
      </c>
      <c r="CT30" s="3" t="str">
        <f>IFERROR(__xludf.DUMMYFUNCTION("""COMPUTED_VALUE"""),"Plataforma Playo 3.00 x 1.90 x 0.45 Lateral Simple Baranda Ventilada")</f>
        <v>Plataforma Playo 3.00 x 1.90 x 0.45 Lateral Simple Baranda Ventilada</v>
      </c>
      <c r="CU30" s="3" t="str">
        <f>IFERROR(__xludf.DUMMYFUNCTION("""COMPUTED_VALUE"""),"Plataforma Playo 2.00 x 1.90 x 0.45 Lateral Simple Baranda Fija")</f>
        <v>Plataforma Playo 2.00 x 1.90 x 0.45 Lateral Simple Baranda Fija</v>
      </c>
      <c r="CV30" s="3" t="str">
        <f>IFERROR(__xludf.DUMMYFUNCTION("""COMPUTED_VALUE"""),"Plataforma Playo 5.00 x 1.90 x 0.60 Lateral Doble Baranda Fija")</f>
        <v>Plataforma Playo 5.00 x 1.90 x 0.60 Lateral Doble Baranda Fija</v>
      </c>
      <c r="CW30" s="3" t="str">
        <f>IFERROR(__xludf.DUMMYFUNCTION("""COMPUTED_VALUE"""),"Plataforma Playo 6.40 x 2.70 x 0.72 Lateral Doble Baranda Fija")</f>
        <v>Plataforma Playo 6.40 x 2.70 x 0.72 Lateral Doble Baranda Fija</v>
      </c>
      <c r="CX30" s="3" t="str">
        <f>IFERROR(__xludf.DUMMYFUNCTION("""COMPUTED_VALUE"""),"Chasis Acoplado Balancin L4000 Lanza Recta")</f>
        <v>Chasis Acoplado Balancin L4000 Lanza Recta</v>
      </c>
      <c r="CY30" s="3" t="str">
        <f>IFERROR(__xludf.DUMMYFUNCTION("""COMPUTED_VALUE"""),"Llanta simple Agrícola 750x20 centro 152")</f>
        <v>Llanta simple Agrícola 750x20 centro 152</v>
      </c>
      <c r="CZ30" s="3" t="str">
        <f>IFERROR(__xludf.DUMMYFUNCTION("""COMPUTED_VALUE"""),"Cajón de Herramientas Mediano adelante")</f>
        <v>Cajón de Herramientas Mediano adelante</v>
      </c>
      <c r="DA30" s="3" t="str">
        <f>IFERROR(__xludf.DUMMYFUNCTION("""COMPUTED_VALUE"""),"Llanta 15"" Simple Agrícola Centro 92")</f>
        <v>Llanta 15" Simple Agrícola Centro 92</v>
      </c>
    </row>
    <row r="31" hidden="1">
      <c r="A31" s="38">
        <f t="shared" si="1"/>
        <v>30</v>
      </c>
      <c r="B31" s="38">
        <f>IF(F31="","",SUMIF(Prearmados!E:E,F31,Prearmados!A:A))</f>
        <v>5</v>
      </c>
      <c r="C31" s="38">
        <f>IF(F31="","",SUMIF(Productos!E:E,G31,Productos!A:A))</f>
        <v>100</v>
      </c>
      <c r="D31" s="83" t="str">
        <f t="array" ref="D31">IF(OR(F31="",F31="Seleccionar.."),"",XLOOKUP(F31,Prearmados!E:E,Prearmados!F:F,"",0,1))</f>
        <v>Acoplados Rurales</v>
      </c>
      <c r="E31" s="83">
        <f>IF(H31="","",SUMIF(Precio_Productos!K:K,C31,Precio_Productos!J:J)*H31)</f>
        <v>405600</v>
      </c>
      <c r="F31" s="84" t="s">
        <v>328</v>
      </c>
      <c r="G31" s="84" t="s">
        <v>127</v>
      </c>
      <c r="H31" s="13">
        <v>4.0</v>
      </c>
      <c r="P31" s="3" t="str">
        <f>IFERROR(__xludf.DUMMYFUNCTION("IF(OR(F31="""",F31=""Seleccionar..""),"""",TRANSPOSE(FILTER(Productos!E:E,(Productos!F:F=D31)+(Productos!F:F=XLOOKUP(D31,Implementos!B:B,Implementos!C:C,""-"",0,1)))))"),"Tanque Combustible 1100 lts Bajo")</f>
        <v>Tanque Combustible 1100 lts Bajo</v>
      </c>
      <c r="Q31" s="3" t="str">
        <f>IFERROR(__xludf.DUMMYFUNCTION("""COMPUTED_VALUE"""),"Tanque Combustible 1500 lts Standard")</f>
        <v>Tanque Combustible 1500 lts Standard</v>
      </c>
      <c r="R31" s="3" t="str">
        <f>IFERROR(__xludf.DUMMYFUNCTION("""COMPUTED_VALUE"""),"Tanque Combustible 1800 lts Standard")</f>
        <v>Tanque Combustible 1800 lts Standard</v>
      </c>
      <c r="S31" s="3" t="str">
        <f>IFERROR(__xludf.DUMMYFUNCTION("""COMPUTED_VALUE"""),"Tanque Combustible 2000 lts Bajo")</f>
        <v>Tanque Combustible 2000 lts Bajo</v>
      </c>
      <c r="T31" s="3" t="str">
        <f>IFERROR(__xludf.DUMMYFUNCTION("""COMPUTED_VALUE"""),"Tanque Combustible 2000 lts Standard")</f>
        <v>Tanque Combustible 2000 lts Standard</v>
      </c>
      <c r="U31" s="3" t="str">
        <f>IFERROR(__xludf.DUMMYFUNCTION("""COMPUTED_VALUE"""),"Tanque Combustible 3000 lts Standard")</f>
        <v>Tanque Combustible 3000 lts Standard</v>
      </c>
      <c r="V31" s="3" t="str">
        <f>IFERROR(__xludf.DUMMYFUNCTION("""COMPUTED_VALUE"""),"Tanque Combustible 3000 lts Alto")</f>
        <v>Tanque Combustible 3000 lts Alto</v>
      </c>
      <c r="W31" s="3" t="str">
        <f>IFERROR(__xludf.DUMMYFUNCTION("""COMPUTED_VALUE"""),"Tanque Combustible 4000 lts Standard")</f>
        <v>Tanque Combustible 4000 lts Standard</v>
      </c>
      <c r="X31" s="3" t="str">
        <f>IFERROR(__xludf.DUMMYFUNCTION("""COMPUTED_VALUE"""),"Tanque Combustible 5000 lts Standard")</f>
        <v>Tanque Combustible 5000 lts Standard</v>
      </c>
      <c r="Y31" s="3" t="str">
        <f>IFERROR(__xludf.DUMMYFUNCTION("""COMPUTED_VALUE"""),"Tanque Combustible 5000 lts Alto")</f>
        <v>Tanque Combustible 5000 lts Alto</v>
      </c>
      <c r="Z31" s="3" t="str">
        <f>IFERROR(__xludf.DUMMYFUNCTION("""COMPUTED_VALUE"""),"Tanque Combustible 2000 lts Alto")</f>
        <v>Tanque Combustible 2000 lts Alto</v>
      </c>
      <c r="AA31" s="3" t="str">
        <f>IFERROR(__xludf.DUMMYFUNCTION("""COMPUTED_VALUE"""),"Tanque Combustible 4000 lts Alto")</f>
        <v>Tanque Combustible 4000 lts Alto</v>
      </c>
      <c r="AB31" s="3" t="str">
        <f>IFERROR(__xludf.DUMMYFUNCTION("""COMPUTED_VALUE"""),"Baulera Standard - 750")</f>
        <v>Baulera Standard - 750</v>
      </c>
      <c r="AC31" s="3" t="str">
        <f>IFERROR(__xludf.DUMMYFUNCTION("""COMPUTED_VALUE"""),"Baulera Standard - 1700 - C/Laterales")</f>
        <v>Baulera Standard - 1700 - C/Laterales</v>
      </c>
      <c r="AD31" s="3" t="str">
        <f>IFERROR(__xludf.DUMMYFUNCTION("""COMPUTED_VALUE"""),"Baulera Standard - 1000 - C/Laterales")</f>
        <v>Baulera Standard - 1000 - C/Laterales</v>
      </c>
      <c r="AE31" s="3" t="str">
        <f>IFERROR(__xludf.DUMMYFUNCTION("""COMPUTED_VALUE"""),"Baulera Standard - 750 - C/Laterales")</f>
        <v>Baulera Standard - 750 - C/Laterales</v>
      </c>
      <c r="AF31" s="3" t="str">
        <f>IFERROR(__xludf.DUMMYFUNCTION("""COMPUTED_VALUE"""),"Baulera Standard - 1300 - C/Laterales")</f>
        <v>Baulera Standard - 1300 - C/Laterales</v>
      </c>
      <c r="AG31" s="3" t="str">
        <f>IFERROR(__xludf.DUMMYFUNCTION("""COMPUTED_VALUE"""),"Baulera Alta - 750")</f>
        <v>Baulera Alta - 750</v>
      </c>
      <c r="AH31" s="3" t="str">
        <f>IFERROR(__xludf.DUMMYFUNCTION("""COMPUTED_VALUE"""),"Baulera Alta - 1500 - C/Laterales")</f>
        <v>Baulera Alta - 1500 - C/Laterales</v>
      </c>
      <c r="AI31" s="3" t="str">
        <f>IFERROR(__xludf.DUMMYFUNCTION("""COMPUTED_VALUE"""),"Baulera Extendida 1700 - C/Laterales")</f>
        <v>Baulera Extendida 1700 - C/Laterales</v>
      </c>
      <c r="AJ31" s="3" t="str">
        <f>IFERROR(__xludf.DUMMYFUNCTION("""COMPUTED_VALUE"""),"Taller Móvil - 1500 x 1500 x 1700")</f>
        <v>Taller Móvil - 1500 x 1500 x 1700</v>
      </c>
      <c r="AK31" s="3" t="str">
        <f>IFERROR(__xludf.DUMMYFUNCTION("""COMPUTED_VALUE"""),"Cajón Herramientas Standard Derecho")</f>
        <v>Cajón Herramientas Standard Derecho</v>
      </c>
      <c r="AL31" s="3" t="str">
        <f>IFERROR(__xludf.DUMMYFUNCTION("""COMPUTED_VALUE"""),"Cajón Herramientas Standard Izquierdo")</f>
        <v>Cajón Herramientas Standard Izquierdo</v>
      </c>
      <c r="AM31" s="3" t="str">
        <f>IFERROR(__xludf.DUMMYFUNCTION("""COMPUTED_VALUE"""),"Cajón Herramientas Corto Derecho")</f>
        <v>Cajón Herramientas Corto Derecho</v>
      </c>
      <c r="AN31" s="3" t="str">
        <f>IFERROR(__xludf.DUMMYFUNCTION("""COMPUTED_VALUE"""),"Cajón Herramientas Corto Izquierdo")</f>
        <v>Cajón Herramientas Corto Izquierdo</v>
      </c>
      <c r="AO31" s="3" t="str">
        <f>IFERROR(__xludf.DUMMYFUNCTION("""COMPUTED_VALUE"""),"Cajón Herramientas Mediano Derecho")</f>
        <v>Cajón Herramientas Mediano Derecho</v>
      </c>
      <c r="AP31" s="3" t="str">
        <f>IFERROR(__xludf.DUMMYFUNCTION("""COMPUTED_VALUE"""),"Cajón Herramientas Mediano Izquierdo")</f>
        <v>Cajón Herramientas Mediano Izquierdo</v>
      </c>
      <c r="AQ31" s="3" t="str">
        <f>IFERROR(__xludf.DUMMYFUNCTION("""COMPUTED_VALUE"""),"Chasis Acoplado 2 Ejes L3000")</f>
        <v>Chasis Acoplado 2 Ejes L3000</v>
      </c>
      <c r="AR31" s="3" t="str">
        <f>IFERROR(__xludf.DUMMYFUNCTION("""COMPUTED_VALUE"""),"Chasis Acoplado 2 Ejes L3750")</f>
        <v>Chasis Acoplado 2 Ejes L3750</v>
      </c>
      <c r="AS31" s="3" t="str">
        <f>IFERROR(__xludf.DUMMYFUNCTION("""COMPUTED_VALUE"""),"Chasis Acoplado 2 Ejes L4000")</f>
        <v>Chasis Acoplado 2 Ejes L4000</v>
      </c>
      <c r="AT31" s="3" t="str">
        <f>IFERROR(__xludf.DUMMYFUNCTION("""COMPUTED_VALUE"""),"Chasis Acoplado 2 Ejes L4000 Reforzado")</f>
        <v>Chasis Acoplado 2 Ejes L4000 Reforzado</v>
      </c>
      <c r="AU31" s="3" t="str">
        <f>IFERROR(__xludf.DUMMYFUNCTION("""COMPUTED_VALUE"""),"Chasis Acoplado 2 Ejes L4750")</f>
        <v>Chasis Acoplado 2 Ejes L4750</v>
      </c>
      <c r="AV31" s="3" t="str">
        <f>IFERROR(__xludf.DUMMYFUNCTION("""COMPUTED_VALUE"""),"Chasis Acoplado 2 Ejes L4750 Reforzado")</f>
        <v>Chasis Acoplado 2 Ejes L4750 Reforzado</v>
      </c>
      <c r="AW31" s="3" t="str">
        <f>IFERROR(__xludf.DUMMYFUNCTION("""COMPUTED_VALUE"""),"Chasis Acoplado 2 Ejes L4750 Reforzado R. Camion")</f>
        <v>Chasis Acoplado 2 Ejes L4750 Reforzado R. Camion</v>
      </c>
      <c r="AX31" s="3" t="str">
        <f>IFERROR(__xludf.DUMMYFUNCTION("""COMPUTED_VALUE"""),"Chasis Acoplado 2 Ejes L5000")</f>
        <v>Chasis Acoplado 2 Ejes L5000</v>
      </c>
      <c r="AY31" s="3" t="str">
        <f>IFERROR(__xludf.DUMMYFUNCTION("""COMPUTED_VALUE"""),"Chasis Acoplado 2 Ejes L5750")</f>
        <v>Chasis Acoplado 2 Ejes L5750</v>
      </c>
      <c r="AZ31" s="3" t="str">
        <f>IFERROR(__xludf.DUMMYFUNCTION("""COMPUTED_VALUE"""),"Chasis Acoplado 2 Ejes L6400")</f>
        <v>Chasis Acoplado 2 Ejes L6400</v>
      </c>
      <c r="BA31" s="3" t="str">
        <f>IFERROR(__xludf.DUMMYFUNCTION("""COMPUTED_VALUE"""),"Chasis Acoplado 2 Ejes L4500")</f>
        <v>Chasis Acoplado 2 Ejes L4500</v>
      </c>
      <c r="BB31" s="3" t="str">
        <f>IFERROR(__xludf.DUMMYFUNCTION("""COMPUTED_VALUE"""),"Chasis Acoplado 1 Eje L1500")</f>
        <v>Chasis Acoplado 1 Eje L1500</v>
      </c>
      <c r="BC31" s="3" t="str">
        <f>IFERROR(__xludf.DUMMYFUNCTION("""COMPUTED_VALUE"""),"Chasis Acoplado 1 Eje L1800")</f>
        <v>Chasis Acoplado 1 Eje L1800</v>
      </c>
      <c r="BD31" s="3" t="str">
        <f>IFERROR(__xludf.DUMMYFUNCTION("""COMPUTED_VALUE"""),"Chasis Acoplado 1 Eje L1400")</f>
        <v>Chasis Acoplado 1 Eje L1400</v>
      </c>
      <c r="BE31" s="3" t="str">
        <f>IFERROR(__xludf.DUMMYFUNCTION("""COMPUTED_VALUE"""),"Chasis Acoplado Balancin L3000")</f>
        <v>Chasis Acoplado Balancin L3000</v>
      </c>
      <c r="BF31" s="3" t="str">
        <f>IFERROR(__xludf.DUMMYFUNCTION("""COMPUTED_VALUE"""),"Chasis Acoplado Balancin L3000 Lanza Corta")</f>
        <v>Chasis Acoplado Balancin L3000 Lanza Corta</v>
      </c>
      <c r="BG31" s="3" t="str">
        <f>IFERROR(__xludf.DUMMYFUNCTION("""COMPUTED_VALUE"""),"Chasis Acoplado Balancin L2000 Lanza Corta")</f>
        <v>Chasis Acoplado Balancin L2000 Lanza Corta</v>
      </c>
      <c r="BH31" s="3" t="str">
        <f>IFERROR(__xludf.DUMMYFUNCTION("""COMPUTED_VALUE"""),"Chasis Acoplado Balancin L3200 Lanza Corta")</f>
        <v>Chasis Acoplado Balancin L3200 Lanza Corta</v>
      </c>
      <c r="BI31" s="3" t="str">
        <f>IFERROR(__xludf.DUMMYFUNCTION("""COMPUTED_VALUE"""),"Chasis Acoplado Balancin L3200 Lanza Recta")</f>
        <v>Chasis Acoplado Balancin L3200 Lanza Recta</v>
      </c>
      <c r="BJ31" s="3" t="str">
        <f>IFERROR(__xludf.DUMMYFUNCTION("""COMPUTED_VALUE"""),"Chasis Acoplado Balancin L3200 Bajo Lanza Recta")</f>
        <v>Chasis Acoplado Balancin L3200 Bajo Lanza Recta</v>
      </c>
      <c r="BK31" s="3" t="str">
        <f>IFERROR(__xludf.DUMMYFUNCTION("""COMPUTED_VALUE"""),"Tanque Plastico Horizontal 750 Lts")</f>
        <v>Tanque Plastico Horizontal 750 Lts</v>
      </c>
      <c r="BL31" s="3" t="str">
        <f>IFERROR(__xludf.DUMMYFUNCTION("""COMPUTED_VALUE"""),"Medio Tanque Plastico Superior 700 Lts")</f>
        <v>Medio Tanque Plastico Superior 700 Lts</v>
      </c>
      <c r="BM31" s="3" t="str">
        <f>IFERROR(__xludf.DUMMYFUNCTION("""COMPUTED_VALUE"""),"Paquete de Elasticos 50 mm x 8 mm x 10 Hojas L850")</f>
        <v>Paquete de Elasticos 50 mm x 8 mm x 10 Hojas L850</v>
      </c>
      <c r="BN31" s="3" t="str">
        <f>IFERROR(__xludf.DUMMYFUNCTION("""COMPUTED_VALUE"""),"Paquete de Elasticos 63 mm x 8 mm x 10 Hojas L950")</f>
        <v>Paquete de Elasticos 63 mm x 8 mm x 10 Hojas L950</v>
      </c>
      <c r="BO31" s="3" t="str">
        <f>IFERROR(__xludf.DUMMYFUNCTION("""COMPUTED_VALUE"""),"Paquete de Elasticos 50 mm x 7 mm x 9 Hojas L850")</f>
        <v>Paquete de Elasticos 50 mm x 7 mm x 9 Hojas L850</v>
      </c>
      <c r="BP31" s="3" t="str">
        <f>IFERROR(__xludf.DUMMYFUNCTION("""COMPUTED_VALUE"""),"Paquete de Elasticos 63 mm x 8 mm x 8 Hojas L850")</f>
        <v>Paquete de Elasticos 63 mm x 8 mm x 8 Hojas L850</v>
      </c>
      <c r="BQ31" s="3" t="str">
        <f>IFERROR(__xludf.DUMMYFUNCTION("""COMPUTED_VALUE"""),"Paquete de Elasticos 63 mm x 10 mm x 10 Hojas L950")</f>
        <v>Paquete de Elasticos 63 mm x 10 mm x 10 Hojas L950</v>
      </c>
      <c r="BR31" s="3" t="str">
        <f>IFERROR(__xludf.DUMMYFUNCTION("""COMPUTED_VALUE"""),"Paquete de Elasticos 63 mm x 10 mm x 13 Hojas L975")</f>
        <v>Paquete de Elasticos 63 mm x 10 mm x 13 Hojas L975</v>
      </c>
      <c r="BS31" s="3" t="str">
        <f>IFERROR(__xludf.DUMMYFUNCTION("""COMPUTED_VALUE"""),"Paquete de Elasticos 50 mm x 7 mm x 9 Hojas L650")</f>
        <v>Paquete de Elasticos 50 mm x 7 mm x 9 Hojas L650</v>
      </c>
      <c r="BT31" s="3" t="str">
        <f>IFERROR(__xludf.DUMMYFUNCTION("""COMPUTED_VALUE"""),"Eje Acoplado 2"" x 1600 (06/08) Agrícola Centro 92")</f>
        <v>Eje Acoplado 2" x 1600 (06/08) Agrícola Centro 92</v>
      </c>
      <c r="BU31" s="3" t="str">
        <f>IFERROR(__xludf.DUMMYFUNCTION("""COMPUTED_VALUE"""),"Eje Acoplado 2 1/2"" x 1600 (07/09) Agrícola Centro 92")</f>
        <v>Eje Acoplado 2 1/2" x 1600 (07/09) Agrícola Centro 92</v>
      </c>
      <c r="BV31" s="3" t="str">
        <f>IFERROR(__xludf.DUMMYFUNCTION("""COMPUTED_VALUE"""),"Eje Acoplado 2 1/2"" x 1600 (09/11) Agrícola Centro 150")</f>
        <v>Eje Acoplado 2 1/2" x 1600 (09/11) Agrícola Centro 150</v>
      </c>
      <c r="BW31" s="3" t="str">
        <f>IFERROR(__xludf.DUMMYFUNCTION("""COMPUTED_VALUE"""),"Eje Acoplado 3"" x 1600 (10/13) Agrícola Centro 150")</f>
        <v>Eje Acoplado 3" x 1600 (10/13) Agrícola Centro 150</v>
      </c>
      <c r="BX31" s="3" t="str">
        <f>IFERROR(__xludf.DUMMYFUNCTION("""COMPUTED_VALUE"""),"Eje Acoplado 2 1/2"" x 2140 (07/09) Agrícola Centro 92")</f>
        <v>Eje Acoplado 2 1/2" x 2140 (07/09) Agrícola Centro 92</v>
      </c>
      <c r="BY31" s="3" t="str">
        <f>IFERROR(__xludf.DUMMYFUNCTION("""COMPUTED_VALUE"""),"Eje Acoplado 2"" x 1400 (06/08) Agrícola Centro 92")</f>
        <v>Eje Acoplado 2" x 1400 (06/08) Agrícola Centro 92</v>
      </c>
      <c r="BZ31" s="3" t="str">
        <f>IFERROR(__xludf.DUMMYFUNCTION("""COMPUTED_VALUE"""),"Eje Acoplado 2 1/2"" x 1500 (07/09) Agrícola Centro 92")</f>
        <v>Eje Acoplado 2 1/2" x 1500 (07/09) Agrícola Centro 92</v>
      </c>
      <c r="CA31" s="3" t="str">
        <f>IFERROR(__xludf.DUMMYFUNCTION("""COMPUTED_VALUE"""),"Eje Acoplado 2 1/2"" x 2000 (07/09) Agrícola Centro 92")</f>
        <v>Eje Acoplado 2 1/2" x 2000 (07/09) Agrícola Centro 92</v>
      </c>
      <c r="CB31" s="3" t="str">
        <f>IFERROR(__xludf.DUMMYFUNCTION("""COMPUTED_VALUE"""),"Eje Acoplado 2 1/2"" x 2100 (09/11) Agrícola Centro 150")</f>
        <v>Eje Acoplado 2 1/2" x 2100 (09/11) Agrícola Centro 150</v>
      </c>
      <c r="CC31" s="3" t="str">
        <f>IFERROR(__xludf.DUMMYFUNCTION("""COMPUTED_VALUE"""),"Llanta 16"" Simple Agrícola Centro 92")</f>
        <v>Llanta 16" Simple Agrícola Centro 92</v>
      </c>
      <c r="CD31" s="3" t="str">
        <f>IFERROR(__xludf.DUMMYFUNCTION("""COMPUTED_VALUE"""),"Llanta 16"" Dual Agrícola Centro 92")</f>
        <v>Llanta 16" Dual Agrícola Centro 92</v>
      </c>
      <c r="CE31" s="3" t="str">
        <f>IFERROR(__xludf.DUMMYFUNCTION("""COMPUTED_VALUE"""),"Llanta 17"" Simple Agrícola Centro 92")</f>
        <v>Llanta 17" Simple Agrícola Centro 92</v>
      </c>
      <c r="CF31" s="3" t="str">
        <f>IFERROR(__xludf.DUMMYFUNCTION("""COMPUTED_VALUE"""),"Llanta 17"" Dual Agrícola Centro 92")</f>
        <v>Llanta 17" Dual Agrícola Centro 92</v>
      </c>
      <c r="CG31" s="3" t="str">
        <f>IFERROR(__xludf.DUMMYFUNCTION("""COMPUTED_VALUE"""),"Llanta 16"" Dual Agrícola Centro 152")</f>
        <v>Llanta 16" Dual Agrícola Centro 152</v>
      </c>
      <c r="CH31" s="3" t="str">
        <f>IFERROR(__xludf.DUMMYFUNCTION("""COMPUTED_VALUE"""),"Llanta 17"" Dual Agrícola Centro 152")</f>
        <v>Llanta 17" Dual Agrícola Centro 152</v>
      </c>
      <c r="CI31" s="3" t="str">
        <f>IFERROR(__xludf.DUMMYFUNCTION("""COMPUTED_VALUE"""),"Eje Acoplado 2"" x 1600 (05/07) Agrícola Centro 92")</f>
        <v>Eje Acoplado 2" x 1600 (05/07) Agrícola Centro 92</v>
      </c>
      <c r="CJ31" s="3" t="str">
        <f>IFERROR(__xludf.DUMMYFUNCTION("""COMPUTED_VALUE"""),"Paquete de Elásticos 50 mm x 8 mm x 12 Hojas")</f>
        <v>Paquete de Elásticos 50 mm x 8 mm x 12 Hojas</v>
      </c>
      <c r="CK31" s="3" t="str">
        <f>IFERROR(__xludf.DUMMYFUNCTION("""COMPUTED_VALUE"""),"Plataforma Playo 4.00 x 1.90 x 0.45 Lateral Simple Baranda Fija")</f>
        <v>Plataforma Playo 4.00 x 1.90 x 0.45 Lateral Simple Baranda Fija</v>
      </c>
      <c r="CL31" s="3" t="str">
        <f>IFERROR(__xludf.DUMMYFUNCTION("""COMPUTED_VALUE"""),"Plataforma Playo 4.00 x 1.90 x 0.45 Lateral Simple Baranda Ventilada")</f>
        <v>Plataforma Playo 4.00 x 1.90 x 0.45 Lateral Simple Baranda Ventilada</v>
      </c>
      <c r="CM31" s="3" t="str">
        <f>IFERROR(__xludf.DUMMYFUNCTION("""COMPUTED_VALUE"""),"Plataforma Playo 4.00 x 1.90 x 0.45 Lateral Doble Baranda Ventilada")</f>
        <v>Plataforma Playo 4.00 x 1.90 x 0.45 Lateral Doble Baranda Ventilada</v>
      </c>
      <c r="CN31" s="3" t="str">
        <f>IFERROR(__xludf.DUMMYFUNCTION("""COMPUTED_VALUE"""),"Plataforma Playo 4.00 x 1.90 x 0.45 Lateral Doble Baranda Fija")</f>
        <v>Plataforma Playo 4.00 x 1.90 x 0.45 Lateral Doble Baranda Fija</v>
      </c>
      <c r="CO31" s="3" t="str">
        <f>IFERROR(__xludf.DUMMYFUNCTION("""COMPUTED_VALUE"""),"Plataforma Playo 4.00 x 1.90 x 0.72 Lateral Simple Baranda Fija")</f>
        <v>Plataforma Playo 4.00 x 1.90 x 0.72 Lateral Simple Baranda Fija</v>
      </c>
      <c r="CP31" s="3" t="str">
        <f>IFERROR(__xludf.DUMMYFUNCTION("""COMPUTED_VALUE"""),"Plataforma Playo 4.00 x 1.90 x 0.72 Lateral Doble Baranda Fija")</f>
        <v>Plataforma Playo 4.00 x 1.90 x 0.72 Lateral Doble Baranda Fija</v>
      </c>
      <c r="CQ31" s="3" t="str">
        <f>IFERROR(__xludf.DUMMYFUNCTION("""COMPUTED_VALUE"""),"Plataforma Playo 5.00 x 2.20 x 0.60 Lateral Doble Trasera Rebatible")</f>
        <v>Plataforma Playo 5.00 x 2.20 x 0.60 Lateral Doble Trasera Rebatible</v>
      </c>
      <c r="CR31" s="3" t="str">
        <f>IFERROR(__xludf.DUMMYFUNCTION("""COMPUTED_VALUE"""),"Plataforma Playo 5.00 x 2.20 x 0.60 Lateral Doble Baranda Fija C/Toldo")</f>
        <v>Plataforma Playo 5.00 x 2.20 x 0.60 Lateral Doble Baranda Fija C/Toldo</v>
      </c>
      <c r="CS31" s="3" t="str">
        <f>IFERROR(__xludf.DUMMYFUNCTION("""COMPUTED_VALUE"""),"Plataforma Playo 3.00 x 1.90 x 0.45 Lateral Simple Baranda Fija")</f>
        <v>Plataforma Playo 3.00 x 1.90 x 0.45 Lateral Simple Baranda Fija</v>
      </c>
      <c r="CT31" s="3" t="str">
        <f>IFERROR(__xludf.DUMMYFUNCTION("""COMPUTED_VALUE"""),"Plataforma Playo 3.00 x 1.90 x 0.45 Lateral Simple Baranda Ventilada")</f>
        <v>Plataforma Playo 3.00 x 1.90 x 0.45 Lateral Simple Baranda Ventilada</v>
      </c>
      <c r="CU31" s="3" t="str">
        <f>IFERROR(__xludf.DUMMYFUNCTION("""COMPUTED_VALUE"""),"Plataforma Playo 2.00 x 1.90 x 0.45 Lateral Simple Baranda Fija")</f>
        <v>Plataforma Playo 2.00 x 1.90 x 0.45 Lateral Simple Baranda Fija</v>
      </c>
      <c r="CV31" s="3" t="str">
        <f>IFERROR(__xludf.DUMMYFUNCTION("""COMPUTED_VALUE"""),"Plataforma Playo 5.00 x 1.90 x 0.60 Lateral Doble Baranda Fija")</f>
        <v>Plataforma Playo 5.00 x 1.90 x 0.60 Lateral Doble Baranda Fija</v>
      </c>
      <c r="CW31" s="3" t="str">
        <f>IFERROR(__xludf.DUMMYFUNCTION("""COMPUTED_VALUE"""),"Plataforma Playo 6.40 x 2.70 x 0.72 Lateral Doble Baranda Fija")</f>
        <v>Plataforma Playo 6.40 x 2.70 x 0.72 Lateral Doble Baranda Fija</v>
      </c>
      <c r="CX31" s="3" t="str">
        <f>IFERROR(__xludf.DUMMYFUNCTION("""COMPUTED_VALUE"""),"Chasis Acoplado Balancin L4000 Lanza Recta")</f>
        <v>Chasis Acoplado Balancin L4000 Lanza Recta</v>
      </c>
      <c r="CY31" s="3" t="str">
        <f>IFERROR(__xludf.DUMMYFUNCTION("""COMPUTED_VALUE"""),"Llanta simple Agrícola 750x20 centro 152")</f>
        <v>Llanta simple Agrícola 750x20 centro 152</v>
      </c>
      <c r="CZ31" s="3" t="str">
        <f>IFERROR(__xludf.DUMMYFUNCTION("""COMPUTED_VALUE"""),"Cajón de Herramientas Mediano adelante")</f>
        <v>Cajón de Herramientas Mediano adelante</v>
      </c>
      <c r="DA31" s="3" t="str">
        <f>IFERROR(__xludf.DUMMYFUNCTION("""COMPUTED_VALUE"""),"Llanta 15"" Simple Agrícola Centro 92")</f>
        <v>Llanta 15" Simple Agrícola Centro 92</v>
      </c>
    </row>
    <row r="32" hidden="1">
      <c r="A32" s="38">
        <f t="shared" si="1"/>
        <v>31</v>
      </c>
      <c r="B32" s="38">
        <f>IF(F32="","",SUMIF(Prearmados!E:E,F32,Prearmados!A:A))</f>
        <v>5</v>
      </c>
      <c r="C32" s="38">
        <f>IF(F32="","",SUMIF(Productos!E:E,G32,Productos!A:A))</f>
        <v>110</v>
      </c>
      <c r="D32" s="83" t="str">
        <f t="array" ref="D32">IF(OR(F32="",F32="Seleccionar.."),"",XLOOKUP(F32,Prearmados!E:E,Prearmados!F:F,"",0,1))</f>
        <v>Acoplados Rurales</v>
      </c>
      <c r="E32" s="83">
        <f>IF(H32="","",SUMIF(Precio_Productos!K:K,C32,Precio_Productos!J:J)*H32)</f>
        <v>476800</v>
      </c>
      <c r="F32" s="84" t="s">
        <v>328</v>
      </c>
      <c r="G32" s="84" t="s">
        <v>129</v>
      </c>
      <c r="H32" s="13">
        <v>4.0</v>
      </c>
      <c r="P32" s="3" t="str">
        <f>IFERROR(__xludf.DUMMYFUNCTION("IF(OR(F32="""",F32=""Seleccionar..""),"""",TRANSPOSE(FILTER(Productos!E:E,(Productos!F:F=D32)+(Productos!F:F=XLOOKUP(D32,Implementos!B:B,Implementos!C:C,""-"",0,1)))))"),"Tanque Combustible 1100 lts Bajo")</f>
        <v>Tanque Combustible 1100 lts Bajo</v>
      </c>
      <c r="Q32" s="3" t="str">
        <f>IFERROR(__xludf.DUMMYFUNCTION("""COMPUTED_VALUE"""),"Tanque Combustible 1500 lts Standard")</f>
        <v>Tanque Combustible 1500 lts Standard</v>
      </c>
      <c r="R32" s="3" t="str">
        <f>IFERROR(__xludf.DUMMYFUNCTION("""COMPUTED_VALUE"""),"Tanque Combustible 1800 lts Standard")</f>
        <v>Tanque Combustible 1800 lts Standard</v>
      </c>
      <c r="S32" s="3" t="str">
        <f>IFERROR(__xludf.DUMMYFUNCTION("""COMPUTED_VALUE"""),"Tanque Combustible 2000 lts Bajo")</f>
        <v>Tanque Combustible 2000 lts Bajo</v>
      </c>
      <c r="T32" s="3" t="str">
        <f>IFERROR(__xludf.DUMMYFUNCTION("""COMPUTED_VALUE"""),"Tanque Combustible 2000 lts Standard")</f>
        <v>Tanque Combustible 2000 lts Standard</v>
      </c>
      <c r="U32" s="3" t="str">
        <f>IFERROR(__xludf.DUMMYFUNCTION("""COMPUTED_VALUE"""),"Tanque Combustible 3000 lts Standard")</f>
        <v>Tanque Combustible 3000 lts Standard</v>
      </c>
      <c r="V32" s="3" t="str">
        <f>IFERROR(__xludf.DUMMYFUNCTION("""COMPUTED_VALUE"""),"Tanque Combustible 3000 lts Alto")</f>
        <v>Tanque Combustible 3000 lts Alto</v>
      </c>
      <c r="W32" s="3" t="str">
        <f>IFERROR(__xludf.DUMMYFUNCTION("""COMPUTED_VALUE"""),"Tanque Combustible 4000 lts Standard")</f>
        <v>Tanque Combustible 4000 lts Standard</v>
      </c>
      <c r="X32" s="3" t="str">
        <f>IFERROR(__xludf.DUMMYFUNCTION("""COMPUTED_VALUE"""),"Tanque Combustible 5000 lts Standard")</f>
        <v>Tanque Combustible 5000 lts Standard</v>
      </c>
      <c r="Y32" s="3" t="str">
        <f>IFERROR(__xludf.DUMMYFUNCTION("""COMPUTED_VALUE"""),"Tanque Combustible 5000 lts Alto")</f>
        <v>Tanque Combustible 5000 lts Alto</v>
      </c>
      <c r="Z32" s="3" t="str">
        <f>IFERROR(__xludf.DUMMYFUNCTION("""COMPUTED_VALUE"""),"Tanque Combustible 2000 lts Alto")</f>
        <v>Tanque Combustible 2000 lts Alto</v>
      </c>
      <c r="AA32" s="3" t="str">
        <f>IFERROR(__xludf.DUMMYFUNCTION("""COMPUTED_VALUE"""),"Tanque Combustible 4000 lts Alto")</f>
        <v>Tanque Combustible 4000 lts Alto</v>
      </c>
      <c r="AB32" s="3" t="str">
        <f>IFERROR(__xludf.DUMMYFUNCTION("""COMPUTED_VALUE"""),"Baulera Standard - 750")</f>
        <v>Baulera Standard - 750</v>
      </c>
      <c r="AC32" s="3" t="str">
        <f>IFERROR(__xludf.DUMMYFUNCTION("""COMPUTED_VALUE"""),"Baulera Standard - 1700 - C/Laterales")</f>
        <v>Baulera Standard - 1700 - C/Laterales</v>
      </c>
      <c r="AD32" s="3" t="str">
        <f>IFERROR(__xludf.DUMMYFUNCTION("""COMPUTED_VALUE"""),"Baulera Standard - 1000 - C/Laterales")</f>
        <v>Baulera Standard - 1000 - C/Laterales</v>
      </c>
      <c r="AE32" s="3" t="str">
        <f>IFERROR(__xludf.DUMMYFUNCTION("""COMPUTED_VALUE"""),"Baulera Standard - 750 - C/Laterales")</f>
        <v>Baulera Standard - 750 - C/Laterales</v>
      </c>
      <c r="AF32" s="3" t="str">
        <f>IFERROR(__xludf.DUMMYFUNCTION("""COMPUTED_VALUE"""),"Baulera Standard - 1300 - C/Laterales")</f>
        <v>Baulera Standard - 1300 - C/Laterales</v>
      </c>
      <c r="AG32" s="3" t="str">
        <f>IFERROR(__xludf.DUMMYFUNCTION("""COMPUTED_VALUE"""),"Baulera Alta - 750")</f>
        <v>Baulera Alta - 750</v>
      </c>
      <c r="AH32" s="3" t="str">
        <f>IFERROR(__xludf.DUMMYFUNCTION("""COMPUTED_VALUE"""),"Baulera Alta - 1500 - C/Laterales")</f>
        <v>Baulera Alta - 1500 - C/Laterales</v>
      </c>
      <c r="AI32" s="3" t="str">
        <f>IFERROR(__xludf.DUMMYFUNCTION("""COMPUTED_VALUE"""),"Baulera Extendida 1700 - C/Laterales")</f>
        <v>Baulera Extendida 1700 - C/Laterales</v>
      </c>
      <c r="AJ32" s="3" t="str">
        <f>IFERROR(__xludf.DUMMYFUNCTION("""COMPUTED_VALUE"""),"Taller Móvil - 1500 x 1500 x 1700")</f>
        <v>Taller Móvil - 1500 x 1500 x 1700</v>
      </c>
      <c r="AK32" s="3" t="str">
        <f>IFERROR(__xludf.DUMMYFUNCTION("""COMPUTED_VALUE"""),"Cajón Herramientas Standard Derecho")</f>
        <v>Cajón Herramientas Standard Derecho</v>
      </c>
      <c r="AL32" s="3" t="str">
        <f>IFERROR(__xludf.DUMMYFUNCTION("""COMPUTED_VALUE"""),"Cajón Herramientas Standard Izquierdo")</f>
        <v>Cajón Herramientas Standard Izquierdo</v>
      </c>
      <c r="AM32" s="3" t="str">
        <f>IFERROR(__xludf.DUMMYFUNCTION("""COMPUTED_VALUE"""),"Cajón Herramientas Corto Derecho")</f>
        <v>Cajón Herramientas Corto Derecho</v>
      </c>
      <c r="AN32" s="3" t="str">
        <f>IFERROR(__xludf.DUMMYFUNCTION("""COMPUTED_VALUE"""),"Cajón Herramientas Corto Izquierdo")</f>
        <v>Cajón Herramientas Corto Izquierdo</v>
      </c>
      <c r="AO32" s="3" t="str">
        <f>IFERROR(__xludf.DUMMYFUNCTION("""COMPUTED_VALUE"""),"Cajón Herramientas Mediano Derecho")</f>
        <v>Cajón Herramientas Mediano Derecho</v>
      </c>
      <c r="AP32" s="3" t="str">
        <f>IFERROR(__xludf.DUMMYFUNCTION("""COMPUTED_VALUE"""),"Cajón Herramientas Mediano Izquierdo")</f>
        <v>Cajón Herramientas Mediano Izquierdo</v>
      </c>
      <c r="AQ32" s="3" t="str">
        <f>IFERROR(__xludf.DUMMYFUNCTION("""COMPUTED_VALUE"""),"Chasis Acoplado 2 Ejes L3000")</f>
        <v>Chasis Acoplado 2 Ejes L3000</v>
      </c>
      <c r="AR32" s="3" t="str">
        <f>IFERROR(__xludf.DUMMYFUNCTION("""COMPUTED_VALUE"""),"Chasis Acoplado 2 Ejes L3750")</f>
        <v>Chasis Acoplado 2 Ejes L3750</v>
      </c>
      <c r="AS32" s="3" t="str">
        <f>IFERROR(__xludf.DUMMYFUNCTION("""COMPUTED_VALUE"""),"Chasis Acoplado 2 Ejes L4000")</f>
        <v>Chasis Acoplado 2 Ejes L4000</v>
      </c>
      <c r="AT32" s="3" t="str">
        <f>IFERROR(__xludf.DUMMYFUNCTION("""COMPUTED_VALUE"""),"Chasis Acoplado 2 Ejes L4000 Reforzado")</f>
        <v>Chasis Acoplado 2 Ejes L4000 Reforzado</v>
      </c>
      <c r="AU32" s="3" t="str">
        <f>IFERROR(__xludf.DUMMYFUNCTION("""COMPUTED_VALUE"""),"Chasis Acoplado 2 Ejes L4750")</f>
        <v>Chasis Acoplado 2 Ejes L4750</v>
      </c>
      <c r="AV32" s="3" t="str">
        <f>IFERROR(__xludf.DUMMYFUNCTION("""COMPUTED_VALUE"""),"Chasis Acoplado 2 Ejes L4750 Reforzado")</f>
        <v>Chasis Acoplado 2 Ejes L4750 Reforzado</v>
      </c>
      <c r="AW32" s="3" t="str">
        <f>IFERROR(__xludf.DUMMYFUNCTION("""COMPUTED_VALUE"""),"Chasis Acoplado 2 Ejes L4750 Reforzado R. Camion")</f>
        <v>Chasis Acoplado 2 Ejes L4750 Reforzado R. Camion</v>
      </c>
      <c r="AX32" s="3" t="str">
        <f>IFERROR(__xludf.DUMMYFUNCTION("""COMPUTED_VALUE"""),"Chasis Acoplado 2 Ejes L5000")</f>
        <v>Chasis Acoplado 2 Ejes L5000</v>
      </c>
      <c r="AY32" s="3" t="str">
        <f>IFERROR(__xludf.DUMMYFUNCTION("""COMPUTED_VALUE"""),"Chasis Acoplado 2 Ejes L5750")</f>
        <v>Chasis Acoplado 2 Ejes L5750</v>
      </c>
      <c r="AZ32" s="3" t="str">
        <f>IFERROR(__xludf.DUMMYFUNCTION("""COMPUTED_VALUE"""),"Chasis Acoplado 2 Ejes L6400")</f>
        <v>Chasis Acoplado 2 Ejes L6400</v>
      </c>
      <c r="BA32" s="3" t="str">
        <f>IFERROR(__xludf.DUMMYFUNCTION("""COMPUTED_VALUE"""),"Chasis Acoplado 2 Ejes L4500")</f>
        <v>Chasis Acoplado 2 Ejes L4500</v>
      </c>
      <c r="BB32" s="3" t="str">
        <f>IFERROR(__xludf.DUMMYFUNCTION("""COMPUTED_VALUE"""),"Chasis Acoplado 1 Eje L1500")</f>
        <v>Chasis Acoplado 1 Eje L1500</v>
      </c>
      <c r="BC32" s="3" t="str">
        <f>IFERROR(__xludf.DUMMYFUNCTION("""COMPUTED_VALUE"""),"Chasis Acoplado 1 Eje L1800")</f>
        <v>Chasis Acoplado 1 Eje L1800</v>
      </c>
      <c r="BD32" s="3" t="str">
        <f>IFERROR(__xludf.DUMMYFUNCTION("""COMPUTED_VALUE"""),"Chasis Acoplado 1 Eje L1400")</f>
        <v>Chasis Acoplado 1 Eje L1400</v>
      </c>
      <c r="BE32" s="3" t="str">
        <f>IFERROR(__xludf.DUMMYFUNCTION("""COMPUTED_VALUE"""),"Chasis Acoplado Balancin L3000")</f>
        <v>Chasis Acoplado Balancin L3000</v>
      </c>
      <c r="BF32" s="3" t="str">
        <f>IFERROR(__xludf.DUMMYFUNCTION("""COMPUTED_VALUE"""),"Chasis Acoplado Balancin L3000 Lanza Corta")</f>
        <v>Chasis Acoplado Balancin L3000 Lanza Corta</v>
      </c>
      <c r="BG32" s="3" t="str">
        <f>IFERROR(__xludf.DUMMYFUNCTION("""COMPUTED_VALUE"""),"Chasis Acoplado Balancin L2000 Lanza Corta")</f>
        <v>Chasis Acoplado Balancin L2000 Lanza Corta</v>
      </c>
      <c r="BH32" s="3" t="str">
        <f>IFERROR(__xludf.DUMMYFUNCTION("""COMPUTED_VALUE"""),"Chasis Acoplado Balancin L3200 Lanza Corta")</f>
        <v>Chasis Acoplado Balancin L3200 Lanza Corta</v>
      </c>
      <c r="BI32" s="3" t="str">
        <f>IFERROR(__xludf.DUMMYFUNCTION("""COMPUTED_VALUE"""),"Chasis Acoplado Balancin L3200 Lanza Recta")</f>
        <v>Chasis Acoplado Balancin L3200 Lanza Recta</v>
      </c>
      <c r="BJ32" s="3" t="str">
        <f>IFERROR(__xludf.DUMMYFUNCTION("""COMPUTED_VALUE"""),"Chasis Acoplado Balancin L3200 Bajo Lanza Recta")</f>
        <v>Chasis Acoplado Balancin L3200 Bajo Lanza Recta</v>
      </c>
      <c r="BK32" s="3" t="str">
        <f>IFERROR(__xludf.DUMMYFUNCTION("""COMPUTED_VALUE"""),"Tanque Plastico Horizontal 750 Lts")</f>
        <v>Tanque Plastico Horizontal 750 Lts</v>
      </c>
      <c r="BL32" s="3" t="str">
        <f>IFERROR(__xludf.DUMMYFUNCTION("""COMPUTED_VALUE"""),"Medio Tanque Plastico Superior 700 Lts")</f>
        <v>Medio Tanque Plastico Superior 700 Lts</v>
      </c>
      <c r="BM32" s="3" t="str">
        <f>IFERROR(__xludf.DUMMYFUNCTION("""COMPUTED_VALUE"""),"Paquete de Elasticos 50 mm x 8 mm x 10 Hojas L850")</f>
        <v>Paquete de Elasticos 50 mm x 8 mm x 10 Hojas L850</v>
      </c>
      <c r="BN32" s="3" t="str">
        <f>IFERROR(__xludf.DUMMYFUNCTION("""COMPUTED_VALUE"""),"Paquete de Elasticos 63 mm x 8 mm x 10 Hojas L950")</f>
        <v>Paquete de Elasticos 63 mm x 8 mm x 10 Hojas L950</v>
      </c>
      <c r="BO32" s="3" t="str">
        <f>IFERROR(__xludf.DUMMYFUNCTION("""COMPUTED_VALUE"""),"Paquete de Elasticos 50 mm x 7 mm x 9 Hojas L850")</f>
        <v>Paquete de Elasticos 50 mm x 7 mm x 9 Hojas L850</v>
      </c>
      <c r="BP32" s="3" t="str">
        <f>IFERROR(__xludf.DUMMYFUNCTION("""COMPUTED_VALUE"""),"Paquete de Elasticos 63 mm x 8 mm x 8 Hojas L850")</f>
        <v>Paquete de Elasticos 63 mm x 8 mm x 8 Hojas L850</v>
      </c>
      <c r="BQ32" s="3" t="str">
        <f>IFERROR(__xludf.DUMMYFUNCTION("""COMPUTED_VALUE"""),"Paquete de Elasticos 63 mm x 10 mm x 10 Hojas L950")</f>
        <v>Paquete de Elasticos 63 mm x 10 mm x 10 Hojas L950</v>
      </c>
      <c r="BR32" s="3" t="str">
        <f>IFERROR(__xludf.DUMMYFUNCTION("""COMPUTED_VALUE"""),"Paquete de Elasticos 63 mm x 10 mm x 13 Hojas L975")</f>
        <v>Paquete de Elasticos 63 mm x 10 mm x 13 Hojas L975</v>
      </c>
      <c r="BS32" s="3" t="str">
        <f>IFERROR(__xludf.DUMMYFUNCTION("""COMPUTED_VALUE"""),"Paquete de Elasticos 50 mm x 7 mm x 9 Hojas L650")</f>
        <v>Paquete de Elasticos 50 mm x 7 mm x 9 Hojas L650</v>
      </c>
      <c r="BT32" s="3" t="str">
        <f>IFERROR(__xludf.DUMMYFUNCTION("""COMPUTED_VALUE"""),"Eje Acoplado 2"" x 1600 (06/08) Agrícola Centro 92")</f>
        <v>Eje Acoplado 2" x 1600 (06/08) Agrícola Centro 92</v>
      </c>
      <c r="BU32" s="3" t="str">
        <f>IFERROR(__xludf.DUMMYFUNCTION("""COMPUTED_VALUE"""),"Eje Acoplado 2 1/2"" x 1600 (07/09) Agrícola Centro 92")</f>
        <v>Eje Acoplado 2 1/2" x 1600 (07/09) Agrícola Centro 92</v>
      </c>
      <c r="BV32" s="3" t="str">
        <f>IFERROR(__xludf.DUMMYFUNCTION("""COMPUTED_VALUE"""),"Eje Acoplado 2 1/2"" x 1600 (09/11) Agrícola Centro 150")</f>
        <v>Eje Acoplado 2 1/2" x 1600 (09/11) Agrícola Centro 150</v>
      </c>
      <c r="BW32" s="3" t="str">
        <f>IFERROR(__xludf.DUMMYFUNCTION("""COMPUTED_VALUE"""),"Eje Acoplado 3"" x 1600 (10/13) Agrícola Centro 150")</f>
        <v>Eje Acoplado 3" x 1600 (10/13) Agrícola Centro 150</v>
      </c>
      <c r="BX32" s="3" t="str">
        <f>IFERROR(__xludf.DUMMYFUNCTION("""COMPUTED_VALUE"""),"Eje Acoplado 2 1/2"" x 2140 (07/09) Agrícola Centro 92")</f>
        <v>Eje Acoplado 2 1/2" x 2140 (07/09) Agrícola Centro 92</v>
      </c>
      <c r="BY32" s="3" t="str">
        <f>IFERROR(__xludf.DUMMYFUNCTION("""COMPUTED_VALUE"""),"Eje Acoplado 2"" x 1400 (06/08) Agrícola Centro 92")</f>
        <v>Eje Acoplado 2" x 1400 (06/08) Agrícola Centro 92</v>
      </c>
      <c r="BZ32" s="3" t="str">
        <f>IFERROR(__xludf.DUMMYFUNCTION("""COMPUTED_VALUE"""),"Eje Acoplado 2 1/2"" x 1500 (07/09) Agrícola Centro 92")</f>
        <v>Eje Acoplado 2 1/2" x 1500 (07/09) Agrícola Centro 92</v>
      </c>
      <c r="CA32" s="3" t="str">
        <f>IFERROR(__xludf.DUMMYFUNCTION("""COMPUTED_VALUE"""),"Eje Acoplado 2 1/2"" x 2000 (07/09) Agrícola Centro 92")</f>
        <v>Eje Acoplado 2 1/2" x 2000 (07/09) Agrícola Centro 92</v>
      </c>
      <c r="CB32" s="3" t="str">
        <f>IFERROR(__xludf.DUMMYFUNCTION("""COMPUTED_VALUE"""),"Eje Acoplado 2 1/2"" x 2100 (09/11) Agrícola Centro 150")</f>
        <v>Eje Acoplado 2 1/2" x 2100 (09/11) Agrícola Centro 150</v>
      </c>
      <c r="CC32" s="3" t="str">
        <f>IFERROR(__xludf.DUMMYFUNCTION("""COMPUTED_VALUE"""),"Llanta 16"" Simple Agrícola Centro 92")</f>
        <v>Llanta 16" Simple Agrícola Centro 92</v>
      </c>
      <c r="CD32" s="3" t="str">
        <f>IFERROR(__xludf.DUMMYFUNCTION("""COMPUTED_VALUE"""),"Llanta 16"" Dual Agrícola Centro 92")</f>
        <v>Llanta 16" Dual Agrícola Centro 92</v>
      </c>
      <c r="CE32" s="3" t="str">
        <f>IFERROR(__xludf.DUMMYFUNCTION("""COMPUTED_VALUE"""),"Llanta 17"" Simple Agrícola Centro 92")</f>
        <v>Llanta 17" Simple Agrícola Centro 92</v>
      </c>
      <c r="CF32" s="3" t="str">
        <f>IFERROR(__xludf.DUMMYFUNCTION("""COMPUTED_VALUE"""),"Llanta 17"" Dual Agrícola Centro 92")</f>
        <v>Llanta 17" Dual Agrícola Centro 92</v>
      </c>
      <c r="CG32" s="3" t="str">
        <f>IFERROR(__xludf.DUMMYFUNCTION("""COMPUTED_VALUE"""),"Llanta 16"" Dual Agrícola Centro 152")</f>
        <v>Llanta 16" Dual Agrícola Centro 152</v>
      </c>
      <c r="CH32" s="3" t="str">
        <f>IFERROR(__xludf.DUMMYFUNCTION("""COMPUTED_VALUE"""),"Llanta 17"" Dual Agrícola Centro 152")</f>
        <v>Llanta 17" Dual Agrícola Centro 152</v>
      </c>
      <c r="CI32" s="3" t="str">
        <f>IFERROR(__xludf.DUMMYFUNCTION("""COMPUTED_VALUE"""),"Eje Acoplado 2"" x 1600 (05/07) Agrícola Centro 92")</f>
        <v>Eje Acoplado 2" x 1600 (05/07) Agrícola Centro 92</v>
      </c>
      <c r="CJ32" s="3" t="str">
        <f>IFERROR(__xludf.DUMMYFUNCTION("""COMPUTED_VALUE"""),"Paquete de Elásticos 50 mm x 8 mm x 12 Hojas")</f>
        <v>Paquete de Elásticos 50 mm x 8 mm x 12 Hojas</v>
      </c>
      <c r="CK32" s="3" t="str">
        <f>IFERROR(__xludf.DUMMYFUNCTION("""COMPUTED_VALUE"""),"Plataforma Playo 4.00 x 1.90 x 0.45 Lateral Simple Baranda Fija")</f>
        <v>Plataforma Playo 4.00 x 1.90 x 0.45 Lateral Simple Baranda Fija</v>
      </c>
      <c r="CL32" s="3" t="str">
        <f>IFERROR(__xludf.DUMMYFUNCTION("""COMPUTED_VALUE"""),"Plataforma Playo 4.00 x 1.90 x 0.45 Lateral Simple Baranda Ventilada")</f>
        <v>Plataforma Playo 4.00 x 1.90 x 0.45 Lateral Simple Baranda Ventilada</v>
      </c>
      <c r="CM32" s="3" t="str">
        <f>IFERROR(__xludf.DUMMYFUNCTION("""COMPUTED_VALUE"""),"Plataforma Playo 4.00 x 1.90 x 0.45 Lateral Doble Baranda Ventilada")</f>
        <v>Plataforma Playo 4.00 x 1.90 x 0.45 Lateral Doble Baranda Ventilada</v>
      </c>
      <c r="CN32" s="3" t="str">
        <f>IFERROR(__xludf.DUMMYFUNCTION("""COMPUTED_VALUE"""),"Plataforma Playo 4.00 x 1.90 x 0.45 Lateral Doble Baranda Fija")</f>
        <v>Plataforma Playo 4.00 x 1.90 x 0.45 Lateral Doble Baranda Fija</v>
      </c>
      <c r="CO32" s="3" t="str">
        <f>IFERROR(__xludf.DUMMYFUNCTION("""COMPUTED_VALUE"""),"Plataforma Playo 4.00 x 1.90 x 0.72 Lateral Simple Baranda Fija")</f>
        <v>Plataforma Playo 4.00 x 1.90 x 0.72 Lateral Simple Baranda Fija</v>
      </c>
      <c r="CP32" s="3" t="str">
        <f>IFERROR(__xludf.DUMMYFUNCTION("""COMPUTED_VALUE"""),"Plataforma Playo 4.00 x 1.90 x 0.72 Lateral Doble Baranda Fija")</f>
        <v>Plataforma Playo 4.00 x 1.90 x 0.72 Lateral Doble Baranda Fija</v>
      </c>
      <c r="CQ32" s="3" t="str">
        <f>IFERROR(__xludf.DUMMYFUNCTION("""COMPUTED_VALUE"""),"Plataforma Playo 5.00 x 2.20 x 0.60 Lateral Doble Trasera Rebatible")</f>
        <v>Plataforma Playo 5.00 x 2.20 x 0.60 Lateral Doble Trasera Rebatible</v>
      </c>
      <c r="CR32" s="3" t="str">
        <f>IFERROR(__xludf.DUMMYFUNCTION("""COMPUTED_VALUE"""),"Plataforma Playo 5.00 x 2.20 x 0.60 Lateral Doble Baranda Fija C/Toldo")</f>
        <v>Plataforma Playo 5.00 x 2.20 x 0.60 Lateral Doble Baranda Fija C/Toldo</v>
      </c>
      <c r="CS32" s="3" t="str">
        <f>IFERROR(__xludf.DUMMYFUNCTION("""COMPUTED_VALUE"""),"Plataforma Playo 3.00 x 1.90 x 0.45 Lateral Simple Baranda Fija")</f>
        <v>Plataforma Playo 3.00 x 1.90 x 0.45 Lateral Simple Baranda Fija</v>
      </c>
      <c r="CT32" s="3" t="str">
        <f>IFERROR(__xludf.DUMMYFUNCTION("""COMPUTED_VALUE"""),"Plataforma Playo 3.00 x 1.90 x 0.45 Lateral Simple Baranda Ventilada")</f>
        <v>Plataforma Playo 3.00 x 1.90 x 0.45 Lateral Simple Baranda Ventilada</v>
      </c>
      <c r="CU32" s="3" t="str">
        <f>IFERROR(__xludf.DUMMYFUNCTION("""COMPUTED_VALUE"""),"Plataforma Playo 2.00 x 1.90 x 0.45 Lateral Simple Baranda Fija")</f>
        <v>Plataforma Playo 2.00 x 1.90 x 0.45 Lateral Simple Baranda Fija</v>
      </c>
      <c r="CV32" s="3" t="str">
        <f>IFERROR(__xludf.DUMMYFUNCTION("""COMPUTED_VALUE"""),"Plataforma Playo 5.00 x 1.90 x 0.60 Lateral Doble Baranda Fija")</f>
        <v>Plataforma Playo 5.00 x 1.90 x 0.60 Lateral Doble Baranda Fija</v>
      </c>
      <c r="CW32" s="3" t="str">
        <f>IFERROR(__xludf.DUMMYFUNCTION("""COMPUTED_VALUE"""),"Plataforma Playo 6.40 x 2.70 x 0.72 Lateral Doble Baranda Fija")</f>
        <v>Plataforma Playo 6.40 x 2.70 x 0.72 Lateral Doble Baranda Fija</v>
      </c>
      <c r="CX32" s="3" t="str">
        <f>IFERROR(__xludf.DUMMYFUNCTION("""COMPUTED_VALUE"""),"Chasis Acoplado Balancin L4000 Lanza Recta")</f>
        <v>Chasis Acoplado Balancin L4000 Lanza Recta</v>
      </c>
      <c r="CY32" s="3" t="str">
        <f>IFERROR(__xludf.DUMMYFUNCTION("""COMPUTED_VALUE"""),"Llanta simple Agrícola 750x20 centro 152")</f>
        <v>Llanta simple Agrícola 750x20 centro 152</v>
      </c>
      <c r="CZ32" s="3" t="str">
        <f>IFERROR(__xludf.DUMMYFUNCTION("""COMPUTED_VALUE"""),"Cajón de Herramientas Mediano adelante")</f>
        <v>Cajón de Herramientas Mediano adelante</v>
      </c>
      <c r="DA32" s="3" t="str">
        <f>IFERROR(__xludf.DUMMYFUNCTION("""COMPUTED_VALUE"""),"Llanta 15"" Simple Agrícola Centro 92")</f>
        <v>Llanta 15" Simple Agrícola Centro 92</v>
      </c>
    </row>
    <row r="33" hidden="1">
      <c r="A33" s="38">
        <f t="shared" si="1"/>
        <v>32</v>
      </c>
      <c r="B33" s="38">
        <f>IF(F33="","",SUMIF(Prearmados!E:E,F33,Prearmados!A:A))</f>
        <v>14</v>
      </c>
      <c r="C33" s="38">
        <f>IF(F33="","",SUMIF(Productos!E:E,G33,Productos!A:A))</f>
        <v>49</v>
      </c>
      <c r="D33" s="83" t="str">
        <f t="array" ref="D33">IF(OR(F33="",F33="Seleccionar.."),"",XLOOKUP(F33,Prearmados!E:E,Prearmados!F:F,"",0,1))</f>
        <v>Acoplados Rurales</v>
      </c>
      <c r="E33" s="83">
        <f>IF(H33="","",SUMIF(Precio_Productos!K:K,C33,Precio_Productos!J:J)*H33)</f>
        <v>1851449</v>
      </c>
      <c r="F33" s="84" t="s">
        <v>337</v>
      </c>
      <c r="G33" s="84" t="s">
        <v>59</v>
      </c>
      <c r="H33" s="13">
        <v>1.0</v>
      </c>
      <c r="P33" s="3" t="str">
        <f>IFERROR(__xludf.DUMMYFUNCTION("IF(OR(F33="""",F33=""Seleccionar..""),"""",TRANSPOSE(FILTER(Productos!E:E,(Productos!F:F=D33)+(Productos!F:F=XLOOKUP(D33,Implementos!B:B,Implementos!C:C,""-"",0,1)))))"),"Tanque Combustible 1100 lts Bajo")</f>
        <v>Tanque Combustible 1100 lts Bajo</v>
      </c>
      <c r="Q33" s="3" t="str">
        <f>IFERROR(__xludf.DUMMYFUNCTION("""COMPUTED_VALUE"""),"Tanque Combustible 1500 lts Standard")</f>
        <v>Tanque Combustible 1500 lts Standard</v>
      </c>
      <c r="R33" s="3" t="str">
        <f>IFERROR(__xludf.DUMMYFUNCTION("""COMPUTED_VALUE"""),"Tanque Combustible 1800 lts Standard")</f>
        <v>Tanque Combustible 1800 lts Standard</v>
      </c>
      <c r="S33" s="3" t="str">
        <f>IFERROR(__xludf.DUMMYFUNCTION("""COMPUTED_VALUE"""),"Tanque Combustible 2000 lts Bajo")</f>
        <v>Tanque Combustible 2000 lts Bajo</v>
      </c>
      <c r="T33" s="3" t="str">
        <f>IFERROR(__xludf.DUMMYFUNCTION("""COMPUTED_VALUE"""),"Tanque Combustible 2000 lts Standard")</f>
        <v>Tanque Combustible 2000 lts Standard</v>
      </c>
      <c r="U33" s="3" t="str">
        <f>IFERROR(__xludf.DUMMYFUNCTION("""COMPUTED_VALUE"""),"Tanque Combustible 3000 lts Standard")</f>
        <v>Tanque Combustible 3000 lts Standard</v>
      </c>
      <c r="V33" s="3" t="str">
        <f>IFERROR(__xludf.DUMMYFUNCTION("""COMPUTED_VALUE"""),"Tanque Combustible 3000 lts Alto")</f>
        <v>Tanque Combustible 3000 lts Alto</v>
      </c>
      <c r="W33" s="3" t="str">
        <f>IFERROR(__xludf.DUMMYFUNCTION("""COMPUTED_VALUE"""),"Tanque Combustible 4000 lts Standard")</f>
        <v>Tanque Combustible 4000 lts Standard</v>
      </c>
      <c r="X33" s="3" t="str">
        <f>IFERROR(__xludf.DUMMYFUNCTION("""COMPUTED_VALUE"""),"Tanque Combustible 5000 lts Standard")</f>
        <v>Tanque Combustible 5000 lts Standard</v>
      </c>
      <c r="Y33" s="3" t="str">
        <f>IFERROR(__xludf.DUMMYFUNCTION("""COMPUTED_VALUE"""),"Tanque Combustible 5000 lts Alto")</f>
        <v>Tanque Combustible 5000 lts Alto</v>
      </c>
      <c r="Z33" s="3" t="str">
        <f>IFERROR(__xludf.DUMMYFUNCTION("""COMPUTED_VALUE"""),"Tanque Combustible 2000 lts Alto")</f>
        <v>Tanque Combustible 2000 lts Alto</v>
      </c>
      <c r="AA33" s="3" t="str">
        <f>IFERROR(__xludf.DUMMYFUNCTION("""COMPUTED_VALUE"""),"Tanque Combustible 4000 lts Alto")</f>
        <v>Tanque Combustible 4000 lts Alto</v>
      </c>
      <c r="AB33" s="3" t="str">
        <f>IFERROR(__xludf.DUMMYFUNCTION("""COMPUTED_VALUE"""),"Baulera Standard - 750")</f>
        <v>Baulera Standard - 750</v>
      </c>
      <c r="AC33" s="3" t="str">
        <f>IFERROR(__xludf.DUMMYFUNCTION("""COMPUTED_VALUE"""),"Baulera Standard - 1700 - C/Laterales")</f>
        <v>Baulera Standard - 1700 - C/Laterales</v>
      </c>
      <c r="AD33" s="3" t="str">
        <f>IFERROR(__xludf.DUMMYFUNCTION("""COMPUTED_VALUE"""),"Baulera Standard - 1000 - C/Laterales")</f>
        <v>Baulera Standard - 1000 - C/Laterales</v>
      </c>
      <c r="AE33" s="3" t="str">
        <f>IFERROR(__xludf.DUMMYFUNCTION("""COMPUTED_VALUE"""),"Baulera Standard - 750 - C/Laterales")</f>
        <v>Baulera Standard - 750 - C/Laterales</v>
      </c>
      <c r="AF33" s="3" t="str">
        <f>IFERROR(__xludf.DUMMYFUNCTION("""COMPUTED_VALUE"""),"Baulera Standard - 1300 - C/Laterales")</f>
        <v>Baulera Standard - 1300 - C/Laterales</v>
      </c>
      <c r="AG33" s="3" t="str">
        <f>IFERROR(__xludf.DUMMYFUNCTION("""COMPUTED_VALUE"""),"Baulera Alta - 750")</f>
        <v>Baulera Alta - 750</v>
      </c>
      <c r="AH33" s="3" t="str">
        <f>IFERROR(__xludf.DUMMYFUNCTION("""COMPUTED_VALUE"""),"Baulera Alta - 1500 - C/Laterales")</f>
        <v>Baulera Alta - 1500 - C/Laterales</v>
      </c>
      <c r="AI33" s="3" t="str">
        <f>IFERROR(__xludf.DUMMYFUNCTION("""COMPUTED_VALUE"""),"Baulera Extendida 1700 - C/Laterales")</f>
        <v>Baulera Extendida 1700 - C/Laterales</v>
      </c>
      <c r="AJ33" s="3" t="str">
        <f>IFERROR(__xludf.DUMMYFUNCTION("""COMPUTED_VALUE"""),"Taller Móvil - 1500 x 1500 x 1700")</f>
        <v>Taller Móvil - 1500 x 1500 x 1700</v>
      </c>
      <c r="AK33" s="3" t="str">
        <f>IFERROR(__xludf.DUMMYFUNCTION("""COMPUTED_VALUE"""),"Cajón Herramientas Standard Derecho")</f>
        <v>Cajón Herramientas Standard Derecho</v>
      </c>
      <c r="AL33" s="3" t="str">
        <f>IFERROR(__xludf.DUMMYFUNCTION("""COMPUTED_VALUE"""),"Cajón Herramientas Standard Izquierdo")</f>
        <v>Cajón Herramientas Standard Izquierdo</v>
      </c>
      <c r="AM33" s="3" t="str">
        <f>IFERROR(__xludf.DUMMYFUNCTION("""COMPUTED_VALUE"""),"Cajón Herramientas Corto Derecho")</f>
        <v>Cajón Herramientas Corto Derecho</v>
      </c>
      <c r="AN33" s="3" t="str">
        <f>IFERROR(__xludf.DUMMYFUNCTION("""COMPUTED_VALUE"""),"Cajón Herramientas Corto Izquierdo")</f>
        <v>Cajón Herramientas Corto Izquierdo</v>
      </c>
      <c r="AO33" s="3" t="str">
        <f>IFERROR(__xludf.DUMMYFUNCTION("""COMPUTED_VALUE"""),"Cajón Herramientas Mediano Derecho")</f>
        <v>Cajón Herramientas Mediano Derecho</v>
      </c>
      <c r="AP33" s="3" t="str">
        <f>IFERROR(__xludf.DUMMYFUNCTION("""COMPUTED_VALUE"""),"Cajón Herramientas Mediano Izquierdo")</f>
        <v>Cajón Herramientas Mediano Izquierdo</v>
      </c>
      <c r="AQ33" s="3" t="str">
        <f>IFERROR(__xludf.DUMMYFUNCTION("""COMPUTED_VALUE"""),"Chasis Acoplado 2 Ejes L3000")</f>
        <v>Chasis Acoplado 2 Ejes L3000</v>
      </c>
      <c r="AR33" s="3" t="str">
        <f>IFERROR(__xludf.DUMMYFUNCTION("""COMPUTED_VALUE"""),"Chasis Acoplado 2 Ejes L3750")</f>
        <v>Chasis Acoplado 2 Ejes L3750</v>
      </c>
      <c r="AS33" s="3" t="str">
        <f>IFERROR(__xludf.DUMMYFUNCTION("""COMPUTED_VALUE"""),"Chasis Acoplado 2 Ejes L4000")</f>
        <v>Chasis Acoplado 2 Ejes L4000</v>
      </c>
      <c r="AT33" s="3" t="str">
        <f>IFERROR(__xludf.DUMMYFUNCTION("""COMPUTED_VALUE"""),"Chasis Acoplado 2 Ejes L4000 Reforzado")</f>
        <v>Chasis Acoplado 2 Ejes L4000 Reforzado</v>
      </c>
      <c r="AU33" s="3" t="str">
        <f>IFERROR(__xludf.DUMMYFUNCTION("""COMPUTED_VALUE"""),"Chasis Acoplado 2 Ejes L4750")</f>
        <v>Chasis Acoplado 2 Ejes L4750</v>
      </c>
      <c r="AV33" s="3" t="str">
        <f>IFERROR(__xludf.DUMMYFUNCTION("""COMPUTED_VALUE"""),"Chasis Acoplado 2 Ejes L4750 Reforzado")</f>
        <v>Chasis Acoplado 2 Ejes L4750 Reforzado</v>
      </c>
      <c r="AW33" s="3" t="str">
        <f>IFERROR(__xludf.DUMMYFUNCTION("""COMPUTED_VALUE"""),"Chasis Acoplado 2 Ejes L4750 Reforzado R. Camion")</f>
        <v>Chasis Acoplado 2 Ejes L4750 Reforzado R. Camion</v>
      </c>
      <c r="AX33" s="3" t="str">
        <f>IFERROR(__xludf.DUMMYFUNCTION("""COMPUTED_VALUE"""),"Chasis Acoplado 2 Ejes L5000")</f>
        <v>Chasis Acoplado 2 Ejes L5000</v>
      </c>
      <c r="AY33" s="3" t="str">
        <f>IFERROR(__xludf.DUMMYFUNCTION("""COMPUTED_VALUE"""),"Chasis Acoplado 2 Ejes L5750")</f>
        <v>Chasis Acoplado 2 Ejes L5750</v>
      </c>
      <c r="AZ33" s="3" t="str">
        <f>IFERROR(__xludf.DUMMYFUNCTION("""COMPUTED_VALUE"""),"Chasis Acoplado 2 Ejes L6400")</f>
        <v>Chasis Acoplado 2 Ejes L6400</v>
      </c>
      <c r="BA33" s="3" t="str">
        <f>IFERROR(__xludf.DUMMYFUNCTION("""COMPUTED_VALUE"""),"Chasis Acoplado 2 Ejes L4500")</f>
        <v>Chasis Acoplado 2 Ejes L4500</v>
      </c>
      <c r="BB33" s="3" t="str">
        <f>IFERROR(__xludf.DUMMYFUNCTION("""COMPUTED_VALUE"""),"Chasis Acoplado 1 Eje L1500")</f>
        <v>Chasis Acoplado 1 Eje L1500</v>
      </c>
      <c r="BC33" s="3" t="str">
        <f>IFERROR(__xludf.DUMMYFUNCTION("""COMPUTED_VALUE"""),"Chasis Acoplado 1 Eje L1800")</f>
        <v>Chasis Acoplado 1 Eje L1800</v>
      </c>
      <c r="BD33" s="3" t="str">
        <f>IFERROR(__xludf.DUMMYFUNCTION("""COMPUTED_VALUE"""),"Chasis Acoplado 1 Eje L1400")</f>
        <v>Chasis Acoplado 1 Eje L1400</v>
      </c>
      <c r="BE33" s="3" t="str">
        <f>IFERROR(__xludf.DUMMYFUNCTION("""COMPUTED_VALUE"""),"Chasis Acoplado Balancin L3000")</f>
        <v>Chasis Acoplado Balancin L3000</v>
      </c>
      <c r="BF33" s="3" t="str">
        <f>IFERROR(__xludf.DUMMYFUNCTION("""COMPUTED_VALUE"""),"Chasis Acoplado Balancin L3000 Lanza Corta")</f>
        <v>Chasis Acoplado Balancin L3000 Lanza Corta</v>
      </c>
      <c r="BG33" s="3" t="str">
        <f>IFERROR(__xludf.DUMMYFUNCTION("""COMPUTED_VALUE"""),"Chasis Acoplado Balancin L2000 Lanza Corta")</f>
        <v>Chasis Acoplado Balancin L2000 Lanza Corta</v>
      </c>
      <c r="BH33" s="3" t="str">
        <f>IFERROR(__xludf.DUMMYFUNCTION("""COMPUTED_VALUE"""),"Chasis Acoplado Balancin L3200 Lanza Corta")</f>
        <v>Chasis Acoplado Balancin L3200 Lanza Corta</v>
      </c>
      <c r="BI33" s="3" t="str">
        <f>IFERROR(__xludf.DUMMYFUNCTION("""COMPUTED_VALUE"""),"Chasis Acoplado Balancin L3200 Lanza Recta")</f>
        <v>Chasis Acoplado Balancin L3200 Lanza Recta</v>
      </c>
      <c r="BJ33" s="3" t="str">
        <f>IFERROR(__xludf.DUMMYFUNCTION("""COMPUTED_VALUE"""),"Chasis Acoplado Balancin L3200 Bajo Lanza Recta")</f>
        <v>Chasis Acoplado Balancin L3200 Bajo Lanza Recta</v>
      </c>
      <c r="BK33" s="3" t="str">
        <f>IFERROR(__xludf.DUMMYFUNCTION("""COMPUTED_VALUE"""),"Tanque Plastico Horizontal 750 Lts")</f>
        <v>Tanque Plastico Horizontal 750 Lts</v>
      </c>
      <c r="BL33" s="3" t="str">
        <f>IFERROR(__xludf.DUMMYFUNCTION("""COMPUTED_VALUE"""),"Medio Tanque Plastico Superior 700 Lts")</f>
        <v>Medio Tanque Plastico Superior 700 Lts</v>
      </c>
      <c r="BM33" s="3" t="str">
        <f>IFERROR(__xludf.DUMMYFUNCTION("""COMPUTED_VALUE"""),"Paquete de Elasticos 50 mm x 8 mm x 10 Hojas L850")</f>
        <v>Paquete de Elasticos 50 mm x 8 mm x 10 Hojas L850</v>
      </c>
      <c r="BN33" s="3" t="str">
        <f>IFERROR(__xludf.DUMMYFUNCTION("""COMPUTED_VALUE"""),"Paquete de Elasticos 63 mm x 8 mm x 10 Hojas L950")</f>
        <v>Paquete de Elasticos 63 mm x 8 mm x 10 Hojas L950</v>
      </c>
      <c r="BO33" s="3" t="str">
        <f>IFERROR(__xludf.DUMMYFUNCTION("""COMPUTED_VALUE"""),"Paquete de Elasticos 50 mm x 7 mm x 9 Hojas L850")</f>
        <v>Paquete de Elasticos 50 mm x 7 mm x 9 Hojas L850</v>
      </c>
      <c r="BP33" s="3" t="str">
        <f>IFERROR(__xludf.DUMMYFUNCTION("""COMPUTED_VALUE"""),"Paquete de Elasticos 63 mm x 8 mm x 8 Hojas L850")</f>
        <v>Paquete de Elasticos 63 mm x 8 mm x 8 Hojas L850</v>
      </c>
      <c r="BQ33" s="3" t="str">
        <f>IFERROR(__xludf.DUMMYFUNCTION("""COMPUTED_VALUE"""),"Paquete de Elasticos 63 mm x 10 mm x 10 Hojas L950")</f>
        <v>Paquete de Elasticos 63 mm x 10 mm x 10 Hojas L950</v>
      </c>
      <c r="BR33" s="3" t="str">
        <f>IFERROR(__xludf.DUMMYFUNCTION("""COMPUTED_VALUE"""),"Paquete de Elasticos 63 mm x 10 mm x 13 Hojas L975")</f>
        <v>Paquete de Elasticos 63 mm x 10 mm x 13 Hojas L975</v>
      </c>
      <c r="BS33" s="3" t="str">
        <f>IFERROR(__xludf.DUMMYFUNCTION("""COMPUTED_VALUE"""),"Paquete de Elasticos 50 mm x 7 mm x 9 Hojas L650")</f>
        <v>Paquete de Elasticos 50 mm x 7 mm x 9 Hojas L650</v>
      </c>
      <c r="BT33" s="3" t="str">
        <f>IFERROR(__xludf.DUMMYFUNCTION("""COMPUTED_VALUE"""),"Eje Acoplado 2"" x 1600 (06/08) Agrícola Centro 92")</f>
        <v>Eje Acoplado 2" x 1600 (06/08) Agrícola Centro 92</v>
      </c>
      <c r="BU33" s="3" t="str">
        <f>IFERROR(__xludf.DUMMYFUNCTION("""COMPUTED_VALUE"""),"Eje Acoplado 2 1/2"" x 1600 (07/09) Agrícola Centro 92")</f>
        <v>Eje Acoplado 2 1/2" x 1600 (07/09) Agrícola Centro 92</v>
      </c>
      <c r="BV33" s="3" t="str">
        <f>IFERROR(__xludf.DUMMYFUNCTION("""COMPUTED_VALUE"""),"Eje Acoplado 2 1/2"" x 1600 (09/11) Agrícola Centro 150")</f>
        <v>Eje Acoplado 2 1/2" x 1600 (09/11) Agrícola Centro 150</v>
      </c>
      <c r="BW33" s="3" t="str">
        <f>IFERROR(__xludf.DUMMYFUNCTION("""COMPUTED_VALUE"""),"Eje Acoplado 3"" x 1600 (10/13) Agrícola Centro 150")</f>
        <v>Eje Acoplado 3" x 1600 (10/13) Agrícola Centro 150</v>
      </c>
      <c r="BX33" s="3" t="str">
        <f>IFERROR(__xludf.DUMMYFUNCTION("""COMPUTED_VALUE"""),"Eje Acoplado 2 1/2"" x 2140 (07/09) Agrícola Centro 92")</f>
        <v>Eje Acoplado 2 1/2" x 2140 (07/09) Agrícola Centro 92</v>
      </c>
      <c r="BY33" s="3" t="str">
        <f>IFERROR(__xludf.DUMMYFUNCTION("""COMPUTED_VALUE"""),"Eje Acoplado 2"" x 1400 (06/08) Agrícola Centro 92")</f>
        <v>Eje Acoplado 2" x 1400 (06/08) Agrícola Centro 92</v>
      </c>
      <c r="BZ33" s="3" t="str">
        <f>IFERROR(__xludf.DUMMYFUNCTION("""COMPUTED_VALUE"""),"Eje Acoplado 2 1/2"" x 1500 (07/09) Agrícola Centro 92")</f>
        <v>Eje Acoplado 2 1/2" x 1500 (07/09) Agrícola Centro 92</v>
      </c>
      <c r="CA33" s="3" t="str">
        <f>IFERROR(__xludf.DUMMYFUNCTION("""COMPUTED_VALUE"""),"Eje Acoplado 2 1/2"" x 2000 (07/09) Agrícola Centro 92")</f>
        <v>Eje Acoplado 2 1/2" x 2000 (07/09) Agrícola Centro 92</v>
      </c>
      <c r="CB33" s="3" t="str">
        <f>IFERROR(__xludf.DUMMYFUNCTION("""COMPUTED_VALUE"""),"Eje Acoplado 2 1/2"" x 2100 (09/11) Agrícola Centro 150")</f>
        <v>Eje Acoplado 2 1/2" x 2100 (09/11) Agrícola Centro 150</v>
      </c>
      <c r="CC33" s="3" t="str">
        <f>IFERROR(__xludf.DUMMYFUNCTION("""COMPUTED_VALUE"""),"Llanta 16"" Simple Agrícola Centro 92")</f>
        <v>Llanta 16" Simple Agrícola Centro 92</v>
      </c>
      <c r="CD33" s="3" t="str">
        <f>IFERROR(__xludf.DUMMYFUNCTION("""COMPUTED_VALUE"""),"Llanta 16"" Dual Agrícola Centro 92")</f>
        <v>Llanta 16" Dual Agrícola Centro 92</v>
      </c>
      <c r="CE33" s="3" t="str">
        <f>IFERROR(__xludf.DUMMYFUNCTION("""COMPUTED_VALUE"""),"Llanta 17"" Simple Agrícola Centro 92")</f>
        <v>Llanta 17" Simple Agrícola Centro 92</v>
      </c>
      <c r="CF33" s="3" t="str">
        <f>IFERROR(__xludf.DUMMYFUNCTION("""COMPUTED_VALUE"""),"Llanta 17"" Dual Agrícola Centro 92")</f>
        <v>Llanta 17" Dual Agrícola Centro 92</v>
      </c>
      <c r="CG33" s="3" t="str">
        <f>IFERROR(__xludf.DUMMYFUNCTION("""COMPUTED_VALUE"""),"Llanta 16"" Dual Agrícola Centro 152")</f>
        <v>Llanta 16" Dual Agrícola Centro 152</v>
      </c>
      <c r="CH33" s="3" t="str">
        <f>IFERROR(__xludf.DUMMYFUNCTION("""COMPUTED_VALUE"""),"Llanta 17"" Dual Agrícola Centro 152")</f>
        <v>Llanta 17" Dual Agrícola Centro 152</v>
      </c>
      <c r="CI33" s="3" t="str">
        <f>IFERROR(__xludf.DUMMYFUNCTION("""COMPUTED_VALUE"""),"Eje Acoplado 2"" x 1600 (05/07) Agrícola Centro 92")</f>
        <v>Eje Acoplado 2" x 1600 (05/07) Agrícola Centro 92</v>
      </c>
      <c r="CJ33" s="3" t="str">
        <f>IFERROR(__xludf.DUMMYFUNCTION("""COMPUTED_VALUE"""),"Paquete de Elásticos 50 mm x 8 mm x 12 Hojas")</f>
        <v>Paquete de Elásticos 50 mm x 8 mm x 12 Hojas</v>
      </c>
      <c r="CK33" s="3" t="str">
        <f>IFERROR(__xludf.DUMMYFUNCTION("""COMPUTED_VALUE"""),"Plataforma Playo 4.00 x 1.90 x 0.45 Lateral Simple Baranda Fija")</f>
        <v>Plataforma Playo 4.00 x 1.90 x 0.45 Lateral Simple Baranda Fija</v>
      </c>
      <c r="CL33" s="3" t="str">
        <f>IFERROR(__xludf.DUMMYFUNCTION("""COMPUTED_VALUE"""),"Plataforma Playo 4.00 x 1.90 x 0.45 Lateral Simple Baranda Ventilada")</f>
        <v>Plataforma Playo 4.00 x 1.90 x 0.45 Lateral Simple Baranda Ventilada</v>
      </c>
      <c r="CM33" s="3" t="str">
        <f>IFERROR(__xludf.DUMMYFUNCTION("""COMPUTED_VALUE"""),"Plataforma Playo 4.00 x 1.90 x 0.45 Lateral Doble Baranda Ventilada")</f>
        <v>Plataforma Playo 4.00 x 1.90 x 0.45 Lateral Doble Baranda Ventilada</v>
      </c>
      <c r="CN33" s="3" t="str">
        <f>IFERROR(__xludf.DUMMYFUNCTION("""COMPUTED_VALUE"""),"Plataforma Playo 4.00 x 1.90 x 0.45 Lateral Doble Baranda Fija")</f>
        <v>Plataforma Playo 4.00 x 1.90 x 0.45 Lateral Doble Baranda Fija</v>
      </c>
      <c r="CO33" s="3" t="str">
        <f>IFERROR(__xludf.DUMMYFUNCTION("""COMPUTED_VALUE"""),"Plataforma Playo 4.00 x 1.90 x 0.72 Lateral Simple Baranda Fija")</f>
        <v>Plataforma Playo 4.00 x 1.90 x 0.72 Lateral Simple Baranda Fija</v>
      </c>
      <c r="CP33" s="3" t="str">
        <f>IFERROR(__xludf.DUMMYFUNCTION("""COMPUTED_VALUE"""),"Plataforma Playo 4.00 x 1.90 x 0.72 Lateral Doble Baranda Fija")</f>
        <v>Plataforma Playo 4.00 x 1.90 x 0.72 Lateral Doble Baranda Fija</v>
      </c>
      <c r="CQ33" s="3" t="str">
        <f>IFERROR(__xludf.DUMMYFUNCTION("""COMPUTED_VALUE"""),"Plataforma Playo 5.00 x 2.20 x 0.60 Lateral Doble Trasera Rebatible")</f>
        <v>Plataforma Playo 5.00 x 2.20 x 0.60 Lateral Doble Trasera Rebatible</v>
      </c>
      <c r="CR33" s="3" t="str">
        <f>IFERROR(__xludf.DUMMYFUNCTION("""COMPUTED_VALUE"""),"Plataforma Playo 5.00 x 2.20 x 0.60 Lateral Doble Baranda Fija C/Toldo")</f>
        <v>Plataforma Playo 5.00 x 2.20 x 0.60 Lateral Doble Baranda Fija C/Toldo</v>
      </c>
      <c r="CS33" s="3" t="str">
        <f>IFERROR(__xludf.DUMMYFUNCTION("""COMPUTED_VALUE"""),"Plataforma Playo 3.00 x 1.90 x 0.45 Lateral Simple Baranda Fija")</f>
        <v>Plataforma Playo 3.00 x 1.90 x 0.45 Lateral Simple Baranda Fija</v>
      </c>
      <c r="CT33" s="3" t="str">
        <f>IFERROR(__xludf.DUMMYFUNCTION("""COMPUTED_VALUE"""),"Plataforma Playo 3.00 x 1.90 x 0.45 Lateral Simple Baranda Ventilada")</f>
        <v>Plataforma Playo 3.00 x 1.90 x 0.45 Lateral Simple Baranda Ventilada</v>
      </c>
      <c r="CU33" s="3" t="str">
        <f>IFERROR(__xludf.DUMMYFUNCTION("""COMPUTED_VALUE"""),"Plataforma Playo 2.00 x 1.90 x 0.45 Lateral Simple Baranda Fija")</f>
        <v>Plataforma Playo 2.00 x 1.90 x 0.45 Lateral Simple Baranda Fija</v>
      </c>
      <c r="CV33" s="3" t="str">
        <f>IFERROR(__xludf.DUMMYFUNCTION("""COMPUTED_VALUE"""),"Plataforma Playo 5.00 x 1.90 x 0.60 Lateral Doble Baranda Fija")</f>
        <v>Plataforma Playo 5.00 x 1.90 x 0.60 Lateral Doble Baranda Fija</v>
      </c>
      <c r="CW33" s="3" t="str">
        <f>IFERROR(__xludf.DUMMYFUNCTION("""COMPUTED_VALUE"""),"Plataforma Playo 6.40 x 2.70 x 0.72 Lateral Doble Baranda Fija")</f>
        <v>Plataforma Playo 6.40 x 2.70 x 0.72 Lateral Doble Baranda Fija</v>
      </c>
      <c r="CX33" s="3" t="str">
        <f>IFERROR(__xludf.DUMMYFUNCTION("""COMPUTED_VALUE"""),"Chasis Acoplado Balancin L4000 Lanza Recta")</f>
        <v>Chasis Acoplado Balancin L4000 Lanza Recta</v>
      </c>
      <c r="CY33" s="3" t="str">
        <f>IFERROR(__xludf.DUMMYFUNCTION("""COMPUTED_VALUE"""),"Llanta simple Agrícola 750x20 centro 152")</f>
        <v>Llanta simple Agrícola 750x20 centro 152</v>
      </c>
      <c r="CZ33" s="3" t="str">
        <f>IFERROR(__xludf.DUMMYFUNCTION("""COMPUTED_VALUE"""),"Cajón de Herramientas Mediano adelante")</f>
        <v>Cajón de Herramientas Mediano adelante</v>
      </c>
      <c r="DA33" s="3" t="str">
        <f>IFERROR(__xludf.DUMMYFUNCTION("""COMPUTED_VALUE"""),"Llanta 15"" Simple Agrícola Centro 92")</f>
        <v>Llanta 15" Simple Agrícola Centro 92</v>
      </c>
    </row>
    <row r="34" hidden="1">
      <c r="A34" s="38">
        <f t="shared" si="1"/>
        <v>33</v>
      </c>
      <c r="B34" s="38">
        <f>IF(F34="","",SUMIF(Prearmados!E:E,F34,Prearmados!A:A))</f>
        <v>14</v>
      </c>
      <c r="C34" s="38">
        <f>IF(F34="","",SUMIF(Productos!E:E,G34,Productos!A:A))</f>
        <v>72</v>
      </c>
      <c r="D34" s="83" t="str">
        <f t="array" ref="D34">IF(OR(F34="",F34="Seleccionar.."),"",XLOOKUP(F34,Prearmados!E:E,Prearmados!F:F,"",0,1))</f>
        <v>Acoplados Rurales</v>
      </c>
      <c r="E34" s="83">
        <f>IF(H34="","",SUMIF(Precio_Productos!K:K,C34,Precio_Productos!J:J)*H34)</f>
        <v>2332989</v>
      </c>
      <c r="F34" s="84" t="s">
        <v>337</v>
      </c>
      <c r="G34" s="84" t="s">
        <v>97</v>
      </c>
      <c r="H34" s="13">
        <v>1.0</v>
      </c>
      <c r="P34" s="3" t="str">
        <f>IFERROR(__xludf.DUMMYFUNCTION("IF(OR(F34="""",F34=""Seleccionar..""),"""",TRANSPOSE(FILTER(Productos!E:E,(Productos!F:F=D34)+(Productos!F:F=XLOOKUP(D34,Implementos!B:B,Implementos!C:C,""-"",0,1)))))"),"Tanque Combustible 1100 lts Bajo")</f>
        <v>Tanque Combustible 1100 lts Bajo</v>
      </c>
      <c r="Q34" s="3" t="str">
        <f>IFERROR(__xludf.DUMMYFUNCTION("""COMPUTED_VALUE"""),"Tanque Combustible 1500 lts Standard")</f>
        <v>Tanque Combustible 1500 lts Standard</v>
      </c>
      <c r="R34" s="3" t="str">
        <f>IFERROR(__xludf.DUMMYFUNCTION("""COMPUTED_VALUE"""),"Tanque Combustible 1800 lts Standard")</f>
        <v>Tanque Combustible 1800 lts Standard</v>
      </c>
      <c r="S34" s="3" t="str">
        <f>IFERROR(__xludf.DUMMYFUNCTION("""COMPUTED_VALUE"""),"Tanque Combustible 2000 lts Bajo")</f>
        <v>Tanque Combustible 2000 lts Bajo</v>
      </c>
      <c r="T34" s="3" t="str">
        <f>IFERROR(__xludf.DUMMYFUNCTION("""COMPUTED_VALUE"""),"Tanque Combustible 2000 lts Standard")</f>
        <v>Tanque Combustible 2000 lts Standard</v>
      </c>
      <c r="U34" s="3" t="str">
        <f>IFERROR(__xludf.DUMMYFUNCTION("""COMPUTED_VALUE"""),"Tanque Combustible 3000 lts Standard")</f>
        <v>Tanque Combustible 3000 lts Standard</v>
      </c>
      <c r="V34" s="3" t="str">
        <f>IFERROR(__xludf.DUMMYFUNCTION("""COMPUTED_VALUE"""),"Tanque Combustible 3000 lts Alto")</f>
        <v>Tanque Combustible 3000 lts Alto</v>
      </c>
      <c r="W34" s="3" t="str">
        <f>IFERROR(__xludf.DUMMYFUNCTION("""COMPUTED_VALUE"""),"Tanque Combustible 4000 lts Standard")</f>
        <v>Tanque Combustible 4000 lts Standard</v>
      </c>
      <c r="X34" s="3" t="str">
        <f>IFERROR(__xludf.DUMMYFUNCTION("""COMPUTED_VALUE"""),"Tanque Combustible 5000 lts Standard")</f>
        <v>Tanque Combustible 5000 lts Standard</v>
      </c>
      <c r="Y34" s="3" t="str">
        <f>IFERROR(__xludf.DUMMYFUNCTION("""COMPUTED_VALUE"""),"Tanque Combustible 5000 lts Alto")</f>
        <v>Tanque Combustible 5000 lts Alto</v>
      </c>
      <c r="Z34" s="3" t="str">
        <f>IFERROR(__xludf.DUMMYFUNCTION("""COMPUTED_VALUE"""),"Tanque Combustible 2000 lts Alto")</f>
        <v>Tanque Combustible 2000 lts Alto</v>
      </c>
      <c r="AA34" s="3" t="str">
        <f>IFERROR(__xludf.DUMMYFUNCTION("""COMPUTED_VALUE"""),"Tanque Combustible 4000 lts Alto")</f>
        <v>Tanque Combustible 4000 lts Alto</v>
      </c>
      <c r="AB34" s="3" t="str">
        <f>IFERROR(__xludf.DUMMYFUNCTION("""COMPUTED_VALUE"""),"Baulera Standard - 750")</f>
        <v>Baulera Standard - 750</v>
      </c>
      <c r="AC34" s="3" t="str">
        <f>IFERROR(__xludf.DUMMYFUNCTION("""COMPUTED_VALUE"""),"Baulera Standard - 1700 - C/Laterales")</f>
        <v>Baulera Standard - 1700 - C/Laterales</v>
      </c>
      <c r="AD34" s="3" t="str">
        <f>IFERROR(__xludf.DUMMYFUNCTION("""COMPUTED_VALUE"""),"Baulera Standard - 1000 - C/Laterales")</f>
        <v>Baulera Standard - 1000 - C/Laterales</v>
      </c>
      <c r="AE34" s="3" t="str">
        <f>IFERROR(__xludf.DUMMYFUNCTION("""COMPUTED_VALUE"""),"Baulera Standard - 750 - C/Laterales")</f>
        <v>Baulera Standard - 750 - C/Laterales</v>
      </c>
      <c r="AF34" s="3" t="str">
        <f>IFERROR(__xludf.DUMMYFUNCTION("""COMPUTED_VALUE"""),"Baulera Standard - 1300 - C/Laterales")</f>
        <v>Baulera Standard - 1300 - C/Laterales</v>
      </c>
      <c r="AG34" s="3" t="str">
        <f>IFERROR(__xludf.DUMMYFUNCTION("""COMPUTED_VALUE"""),"Baulera Alta - 750")</f>
        <v>Baulera Alta - 750</v>
      </c>
      <c r="AH34" s="3" t="str">
        <f>IFERROR(__xludf.DUMMYFUNCTION("""COMPUTED_VALUE"""),"Baulera Alta - 1500 - C/Laterales")</f>
        <v>Baulera Alta - 1500 - C/Laterales</v>
      </c>
      <c r="AI34" s="3" t="str">
        <f>IFERROR(__xludf.DUMMYFUNCTION("""COMPUTED_VALUE"""),"Baulera Extendida 1700 - C/Laterales")</f>
        <v>Baulera Extendida 1700 - C/Laterales</v>
      </c>
      <c r="AJ34" s="3" t="str">
        <f>IFERROR(__xludf.DUMMYFUNCTION("""COMPUTED_VALUE"""),"Taller Móvil - 1500 x 1500 x 1700")</f>
        <v>Taller Móvil - 1500 x 1500 x 1700</v>
      </c>
      <c r="AK34" s="3" t="str">
        <f>IFERROR(__xludf.DUMMYFUNCTION("""COMPUTED_VALUE"""),"Cajón Herramientas Standard Derecho")</f>
        <v>Cajón Herramientas Standard Derecho</v>
      </c>
      <c r="AL34" s="3" t="str">
        <f>IFERROR(__xludf.DUMMYFUNCTION("""COMPUTED_VALUE"""),"Cajón Herramientas Standard Izquierdo")</f>
        <v>Cajón Herramientas Standard Izquierdo</v>
      </c>
      <c r="AM34" s="3" t="str">
        <f>IFERROR(__xludf.DUMMYFUNCTION("""COMPUTED_VALUE"""),"Cajón Herramientas Corto Derecho")</f>
        <v>Cajón Herramientas Corto Derecho</v>
      </c>
      <c r="AN34" s="3" t="str">
        <f>IFERROR(__xludf.DUMMYFUNCTION("""COMPUTED_VALUE"""),"Cajón Herramientas Corto Izquierdo")</f>
        <v>Cajón Herramientas Corto Izquierdo</v>
      </c>
      <c r="AO34" s="3" t="str">
        <f>IFERROR(__xludf.DUMMYFUNCTION("""COMPUTED_VALUE"""),"Cajón Herramientas Mediano Derecho")</f>
        <v>Cajón Herramientas Mediano Derecho</v>
      </c>
      <c r="AP34" s="3" t="str">
        <f>IFERROR(__xludf.DUMMYFUNCTION("""COMPUTED_VALUE"""),"Cajón Herramientas Mediano Izquierdo")</f>
        <v>Cajón Herramientas Mediano Izquierdo</v>
      </c>
      <c r="AQ34" s="3" t="str">
        <f>IFERROR(__xludf.DUMMYFUNCTION("""COMPUTED_VALUE"""),"Chasis Acoplado 2 Ejes L3000")</f>
        <v>Chasis Acoplado 2 Ejes L3000</v>
      </c>
      <c r="AR34" s="3" t="str">
        <f>IFERROR(__xludf.DUMMYFUNCTION("""COMPUTED_VALUE"""),"Chasis Acoplado 2 Ejes L3750")</f>
        <v>Chasis Acoplado 2 Ejes L3750</v>
      </c>
      <c r="AS34" s="3" t="str">
        <f>IFERROR(__xludf.DUMMYFUNCTION("""COMPUTED_VALUE"""),"Chasis Acoplado 2 Ejes L4000")</f>
        <v>Chasis Acoplado 2 Ejes L4000</v>
      </c>
      <c r="AT34" s="3" t="str">
        <f>IFERROR(__xludf.DUMMYFUNCTION("""COMPUTED_VALUE"""),"Chasis Acoplado 2 Ejes L4000 Reforzado")</f>
        <v>Chasis Acoplado 2 Ejes L4000 Reforzado</v>
      </c>
      <c r="AU34" s="3" t="str">
        <f>IFERROR(__xludf.DUMMYFUNCTION("""COMPUTED_VALUE"""),"Chasis Acoplado 2 Ejes L4750")</f>
        <v>Chasis Acoplado 2 Ejes L4750</v>
      </c>
      <c r="AV34" s="3" t="str">
        <f>IFERROR(__xludf.DUMMYFUNCTION("""COMPUTED_VALUE"""),"Chasis Acoplado 2 Ejes L4750 Reforzado")</f>
        <v>Chasis Acoplado 2 Ejes L4750 Reforzado</v>
      </c>
      <c r="AW34" s="3" t="str">
        <f>IFERROR(__xludf.DUMMYFUNCTION("""COMPUTED_VALUE"""),"Chasis Acoplado 2 Ejes L4750 Reforzado R. Camion")</f>
        <v>Chasis Acoplado 2 Ejes L4750 Reforzado R. Camion</v>
      </c>
      <c r="AX34" s="3" t="str">
        <f>IFERROR(__xludf.DUMMYFUNCTION("""COMPUTED_VALUE"""),"Chasis Acoplado 2 Ejes L5000")</f>
        <v>Chasis Acoplado 2 Ejes L5000</v>
      </c>
      <c r="AY34" s="3" t="str">
        <f>IFERROR(__xludf.DUMMYFUNCTION("""COMPUTED_VALUE"""),"Chasis Acoplado 2 Ejes L5750")</f>
        <v>Chasis Acoplado 2 Ejes L5750</v>
      </c>
      <c r="AZ34" s="3" t="str">
        <f>IFERROR(__xludf.DUMMYFUNCTION("""COMPUTED_VALUE"""),"Chasis Acoplado 2 Ejes L6400")</f>
        <v>Chasis Acoplado 2 Ejes L6400</v>
      </c>
      <c r="BA34" s="3" t="str">
        <f>IFERROR(__xludf.DUMMYFUNCTION("""COMPUTED_VALUE"""),"Chasis Acoplado 2 Ejes L4500")</f>
        <v>Chasis Acoplado 2 Ejes L4500</v>
      </c>
      <c r="BB34" s="3" t="str">
        <f>IFERROR(__xludf.DUMMYFUNCTION("""COMPUTED_VALUE"""),"Chasis Acoplado 1 Eje L1500")</f>
        <v>Chasis Acoplado 1 Eje L1500</v>
      </c>
      <c r="BC34" s="3" t="str">
        <f>IFERROR(__xludf.DUMMYFUNCTION("""COMPUTED_VALUE"""),"Chasis Acoplado 1 Eje L1800")</f>
        <v>Chasis Acoplado 1 Eje L1800</v>
      </c>
      <c r="BD34" s="3" t="str">
        <f>IFERROR(__xludf.DUMMYFUNCTION("""COMPUTED_VALUE"""),"Chasis Acoplado 1 Eje L1400")</f>
        <v>Chasis Acoplado 1 Eje L1400</v>
      </c>
      <c r="BE34" s="3" t="str">
        <f>IFERROR(__xludf.DUMMYFUNCTION("""COMPUTED_VALUE"""),"Chasis Acoplado Balancin L3000")</f>
        <v>Chasis Acoplado Balancin L3000</v>
      </c>
      <c r="BF34" s="3" t="str">
        <f>IFERROR(__xludf.DUMMYFUNCTION("""COMPUTED_VALUE"""),"Chasis Acoplado Balancin L3000 Lanza Corta")</f>
        <v>Chasis Acoplado Balancin L3000 Lanza Corta</v>
      </c>
      <c r="BG34" s="3" t="str">
        <f>IFERROR(__xludf.DUMMYFUNCTION("""COMPUTED_VALUE"""),"Chasis Acoplado Balancin L2000 Lanza Corta")</f>
        <v>Chasis Acoplado Balancin L2000 Lanza Corta</v>
      </c>
      <c r="BH34" s="3" t="str">
        <f>IFERROR(__xludf.DUMMYFUNCTION("""COMPUTED_VALUE"""),"Chasis Acoplado Balancin L3200 Lanza Corta")</f>
        <v>Chasis Acoplado Balancin L3200 Lanza Corta</v>
      </c>
      <c r="BI34" s="3" t="str">
        <f>IFERROR(__xludf.DUMMYFUNCTION("""COMPUTED_VALUE"""),"Chasis Acoplado Balancin L3200 Lanza Recta")</f>
        <v>Chasis Acoplado Balancin L3200 Lanza Recta</v>
      </c>
      <c r="BJ34" s="3" t="str">
        <f>IFERROR(__xludf.DUMMYFUNCTION("""COMPUTED_VALUE"""),"Chasis Acoplado Balancin L3200 Bajo Lanza Recta")</f>
        <v>Chasis Acoplado Balancin L3200 Bajo Lanza Recta</v>
      </c>
      <c r="BK34" s="3" t="str">
        <f>IFERROR(__xludf.DUMMYFUNCTION("""COMPUTED_VALUE"""),"Tanque Plastico Horizontal 750 Lts")</f>
        <v>Tanque Plastico Horizontal 750 Lts</v>
      </c>
      <c r="BL34" s="3" t="str">
        <f>IFERROR(__xludf.DUMMYFUNCTION("""COMPUTED_VALUE"""),"Medio Tanque Plastico Superior 700 Lts")</f>
        <v>Medio Tanque Plastico Superior 700 Lts</v>
      </c>
      <c r="BM34" s="3" t="str">
        <f>IFERROR(__xludf.DUMMYFUNCTION("""COMPUTED_VALUE"""),"Paquete de Elasticos 50 mm x 8 mm x 10 Hojas L850")</f>
        <v>Paquete de Elasticos 50 mm x 8 mm x 10 Hojas L850</v>
      </c>
      <c r="BN34" s="3" t="str">
        <f>IFERROR(__xludf.DUMMYFUNCTION("""COMPUTED_VALUE"""),"Paquete de Elasticos 63 mm x 8 mm x 10 Hojas L950")</f>
        <v>Paquete de Elasticos 63 mm x 8 mm x 10 Hojas L950</v>
      </c>
      <c r="BO34" s="3" t="str">
        <f>IFERROR(__xludf.DUMMYFUNCTION("""COMPUTED_VALUE"""),"Paquete de Elasticos 50 mm x 7 mm x 9 Hojas L850")</f>
        <v>Paquete de Elasticos 50 mm x 7 mm x 9 Hojas L850</v>
      </c>
      <c r="BP34" s="3" t="str">
        <f>IFERROR(__xludf.DUMMYFUNCTION("""COMPUTED_VALUE"""),"Paquete de Elasticos 63 mm x 8 mm x 8 Hojas L850")</f>
        <v>Paquete de Elasticos 63 mm x 8 mm x 8 Hojas L850</v>
      </c>
      <c r="BQ34" s="3" t="str">
        <f>IFERROR(__xludf.DUMMYFUNCTION("""COMPUTED_VALUE"""),"Paquete de Elasticos 63 mm x 10 mm x 10 Hojas L950")</f>
        <v>Paquete de Elasticos 63 mm x 10 mm x 10 Hojas L950</v>
      </c>
      <c r="BR34" s="3" t="str">
        <f>IFERROR(__xludf.DUMMYFUNCTION("""COMPUTED_VALUE"""),"Paquete de Elasticos 63 mm x 10 mm x 13 Hojas L975")</f>
        <v>Paquete de Elasticos 63 mm x 10 mm x 13 Hojas L975</v>
      </c>
      <c r="BS34" s="3" t="str">
        <f>IFERROR(__xludf.DUMMYFUNCTION("""COMPUTED_VALUE"""),"Paquete de Elasticos 50 mm x 7 mm x 9 Hojas L650")</f>
        <v>Paquete de Elasticos 50 mm x 7 mm x 9 Hojas L650</v>
      </c>
      <c r="BT34" s="3" t="str">
        <f>IFERROR(__xludf.DUMMYFUNCTION("""COMPUTED_VALUE"""),"Eje Acoplado 2"" x 1600 (06/08) Agrícola Centro 92")</f>
        <v>Eje Acoplado 2" x 1600 (06/08) Agrícola Centro 92</v>
      </c>
      <c r="BU34" s="3" t="str">
        <f>IFERROR(__xludf.DUMMYFUNCTION("""COMPUTED_VALUE"""),"Eje Acoplado 2 1/2"" x 1600 (07/09) Agrícola Centro 92")</f>
        <v>Eje Acoplado 2 1/2" x 1600 (07/09) Agrícola Centro 92</v>
      </c>
      <c r="BV34" s="3" t="str">
        <f>IFERROR(__xludf.DUMMYFUNCTION("""COMPUTED_VALUE"""),"Eje Acoplado 2 1/2"" x 1600 (09/11) Agrícola Centro 150")</f>
        <v>Eje Acoplado 2 1/2" x 1600 (09/11) Agrícola Centro 150</v>
      </c>
      <c r="BW34" s="3" t="str">
        <f>IFERROR(__xludf.DUMMYFUNCTION("""COMPUTED_VALUE"""),"Eje Acoplado 3"" x 1600 (10/13) Agrícola Centro 150")</f>
        <v>Eje Acoplado 3" x 1600 (10/13) Agrícola Centro 150</v>
      </c>
      <c r="BX34" s="3" t="str">
        <f>IFERROR(__xludf.DUMMYFUNCTION("""COMPUTED_VALUE"""),"Eje Acoplado 2 1/2"" x 2140 (07/09) Agrícola Centro 92")</f>
        <v>Eje Acoplado 2 1/2" x 2140 (07/09) Agrícola Centro 92</v>
      </c>
      <c r="BY34" s="3" t="str">
        <f>IFERROR(__xludf.DUMMYFUNCTION("""COMPUTED_VALUE"""),"Eje Acoplado 2"" x 1400 (06/08) Agrícola Centro 92")</f>
        <v>Eje Acoplado 2" x 1400 (06/08) Agrícola Centro 92</v>
      </c>
      <c r="BZ34" s="3" t="str">
        <f>IFERROR(__xludf.DUMMYFUNCTION("""COMPUTED_VALUE"""),"Eje Acoplado 2 1/2"" x 1500 (07/09) Agrícola Centro 92")</f>
        <v>Eje Acoplado 2 1/2" x 1500 (07/09) Agrícola Centro 92</v>
      </c>
      <c r="CA34" s="3" t="str">
        <f>IFERROR(__xludf.DUMMYFUNCTION("""COMPUTED_VALUE"""),"Eje Acoplado 2 1/2"" x 2000 (07/09) Agrícola Centro 92")</f>
        <v>Eje Acoplado 2 1/2" x 2000 (07/09) Agrícola Centro 92</v>
      </c>
      <c r="CB34" s="3" t="str">
        <f>IFERROR(__xludf.DUMMYFUNCTION("""COMPUTED_VALUE"""),"Eje Acoplado 2 1/2"" x 2100 (09/11) Agrícola Centro 150")</f>
        <v>Eje Acoplado 2 1/2" x 2100 (09/11) Agrícola Centro 150</v>
      </c>
      <c r="CC34" s="3" t="str">
        <f>IFERROR(__xludf.DUMMYFUNCTION("""COMPUTED_VALUE"""),"Llanta 16"" Simple Agrícola Centro 92")</f>
        <v>Llanta 16" Simple Agrícola Centro 92</v>
      </c>
      <c r="CD34" s="3" t="str">
        <f>IFERROR(__xludf.DUMMYFUNCTION("""COMPUTED_VALUE"""),"Llanta 16"" Dual Agrícola Centro 92")</f>
        <v>Llanta 16" Dual Agrícola Centro 92</v>
      </c>
      <c r="CE34" s="3" t="str">
        <f>IFERROR(__xludf.DUMMYFUNCTION("""COMPUTED_VALUE"""),"Llanta 17"" Simple Agrícola Centro 92")</f>
        <v>Llanta 17" Simple Agrícola Centro 92</v>
      </c>
      <c r="CF34" s="3" t="str">
        <f>IFERROR(__xludf.DUMMYFUNCTION("""COMPUTED_VALUE"""),"Llanta 17"" Dual Agrícola Centro 92")</f>
        <v>Llanta 17" Dual Agrícola Centro 92</v>
      </c>
      <c r="CG34" s="3" t="str">
        <f>IFERROR(__xludf.DUMMYFUNCTION("""COMPUTED_VALUE"""),"Llanta 16"" Dual Agrícola Centro 152")</f>
        <v>Llanta 16" Dual Agrícola Centro 152</v>
      </c>
      <c r="CH34" s="3" t="str">
        <f>IFERROR(__xludf.DUMMYFUNCTION("""COMPUTED_VALUE"""),"Llanta 17"" Dual Agrícola Centro 152")</f>
        <v>Llanta 17" Dual Agrícola Centro 152</v>
      </c>
      <c r="CI34" s="3" t="str">
        <f>IFERROR(__xludf.DUMMYFUNCTION("""COMPUTED_VALUE"""),"Eje Acoplado 2"" x 1600 (05/07) Agrícola Centro 92")</f>
        <v>Eje Acoplado 2" x 1600 (05/07) Agrícola Centro 92</v>
      </c>
      <c r="CJ34" s="3" t="str">
        <f>IFERROR(__xludf.DUMMYFUNCTION("""COMPUTED_VALUE"""),"Paquete de Elásticos 50 mm x 8 mm x 12 Hojas")</f>
        <v>Paquete de Elásticos 50 mm x 8 mm x 12 Hojas</v>
      </c>
      <c r="CK34" s="3" t="str">
        <f>IFERROR(__xludf.DUMMYFUNCTION("""COMPUTED_VALUE"""),"Plataforma Playo 4.00 x 1.90 x 0.45 Lateral Simple Baranda Fija")</f>
        <v>Plataforma Playo 4.00 x 1.90 x 0.45 Lateral Simple Baranda Fija</v>
      </c>
      <c r="CL34" s="3" t="str">
        <f>IFERROR(__xludf.DUMMYFUNCTION("""COMPUTED_VALUE"""),"Plataforma Playo 4.00 x 1.90 x 0.45 Lateral Simple Baranda Ventilada")</f>
        <v>Plataforma Playo 4.00 x 1.90 x 0.45 Lateral Simple Baranda Ventilada</v>
      </c>
      <c r="CM34" s="3" t="str">
        <f>IFERROR(__xludf.DUMMYFUNCTION("""COMPUTED_VALUE"""),"Plataforma Playo 4.00 x 1.90 x 0.45 Lateral Doble Baranda Ventilada")</f>
        <v>Plataforma Playo 4.00 x 1.90 x 0.45 Lateral Doble Baranda Ventilada</v>
      </c>
      <c r="CN34" s="3" t="str">
        <f>IFERROR(__xludf.DUMMYFUNCTION("""COMPUTED_VALUE"""),"Plataforma Playo 4.00 x 1.90 x 0.45 Lateral Doble Baranda Fija")</f>
        <v>Plataforma Playo 4.00 x 1.90 x 0.45 Lateral Doble Baranda Fija</v>
      </c>
      <c r="CO34" s="3" t="str">
        <f>IFERROR(__xludf.DUMMYFUNCTION("""COMPUTED_VALUE"""),"Plataforma Playo 4.00 x 1.90 x 0.72 Lateral Simple Baranda Fija")</f>
        <v>Plataforma Playo 4.00 x 1.90 x 0.72 Lateral Simple Baranda Fija</v>
      </c>
      <c r="CP34" s="3" t="str">
        <f>IFERROR(__xludf.DUMMYFUNCTION("""COMPUTED_VALUE"""),"Plataforma Playo 4.00 x 1.90 x 0.72 Lateral Doble Baranda Fija")</f>
        <v>Plataforma Playo 4.00 x 1.90 x 0.72 Lateral Doble Baranda Fija</v>
      </c>
      <c r="CQ34" s="3" t="str">
        <f>IFERROR(__xludf.DUMMYFUNCTION("""COMPUTED_VALUE"""),"Plataforma Playo 5.00 x 2.20 x 0.60 Lateral Doble Trasera Rebatible")</f>
        <v>Plataforma Playo 5.00 x 2.20 x 0.60 Lateral Doble Trasera Rebatible</v>
      </c>
      <c r="CR34" s="3" t="str">
        <f>IFERROR(__xludf.DUMMYFUNCTION("""COMPUTED_VALUE"""),"Plataforma Playo 5.00 x 2.20 x 0.60 Lateral Doble Baranda Fija C/Toldo")</f>
        <v>Plataforma Playo 5.00 x 2.20 x 0.60 Lateral Doble Baranda Fija C/Toldo</v>
      </c>
      <c r="CS34" s="3" t="str">
        <f>IFERROR(__xludf.DUMMYFUNCTION("""COMPUTED_VALUE"""),"Plataforma Playo 3.00 x 1.90 x 0.45 Lateral Simple Baranda Fija")</f>
        <v>Plataforma Playo 3.00 x 1.90 x 0.45 Lateral Simple Baranda Fija</v>
      </c>
      <c r="CT34" s="3" t="str">
        <f>IFERROR(__xludf.DUMMYFUNCTION("""COMPUTED_VALUE"""),"Plataforma Playo 3.00 x 1.90 x 0.45 Lateral Simple Baranda Ventilada")</f>
        <v>Plataforma Playo 3.00 x 1.90 x 0.45 Lateral Simple Baranda Ventilada</v>
      </c>
      <c r="CU34" s="3" t="str">
        <f>IFERROR(__xludf.DUMMYFUNCTION("""COMPUTED_VALUE"""),"Plataforma Playo 2.00 x 1.90 x 0.45 Lateral Simple Baranda Fija")</f>
        <v>Plataforma Playo 2.00 x 1.90 x 0.45 Lateral Simple Baranda Fija</v>
      </c>
      <c r="CV34" s="3" t="str">
        <f>IFERROR(__xludf.DUMMYFUNCTION("""COMPUTED_VALUE"""),"Plataforma Playo 5.00 x 1.90 x 0.60 Lateral Doble Baranda Fija")</f>
        <v>Plataforma Playo 5.00 x 1.90 x 0.60 Lateral Doble Baranda Fija</v>
      </c>
      <c r="CW34" s="3" t="str">
        <f>IFERROR(__xludf.DUMMYFUNCTION("""COMPUTED_VALUE"""),"Plataforma Playo 6.40 x 2.70 x 0.72 Lateral Doble Baranda Fija")</f>
        <v>Plataforma Playo 6.40 x 2.70 x 0.72 Lateral Doble Baranda Fija</v>
      </c>
      <c r="CX34" s="3" t="str">
        <f>IFERROR(__xludf.DUMMYFUNCTION("""COMPUTED_VALUE"""),"Chasis Acoplado Balancin L4000 Lanza Recta")</f>
        <v>Chasis Acoplado Balancin L4000 Lanza Recta</v>
      </c>
      <c r="CY34" s="3" t="str">
        <f>IFERROR(__xludf.DUMMYFUNCTION("""COMPUTED_VALUE"""),"Llanta simple Agrícola 750x20 centro 152")</f>
        <v>Llanta simple Agrícola 750x20 centro 152</v>
      </c>
      <c r="CZ34" s="3" t="str">
        <f>IFERROR(__xludf.DUMMYFUNCTION("""COMPUTED_VALUE"""),"Cajón de Herramientas Mediano adelante")</f>
        <v>Cajón de Herramientas Mediano adelante</v>
      </c>
      <c r="DA34" s="3" t="str">
        <f>IFERROR(__xludf.DUMMYFUNCTION("""COMPUTED_VALUE"""),"Llanta 15"" Simple Agrícola Centro 92")</f>
        <v>Llanta 15" Simple Agrícola Centro 92</v>
      </c>
    </row>
    <row r="35" hidden="1">
      <c r="A35" s="38">
        <f t="shared" si="1"/>
        <v>34</v>
      </c>
      <c r="B35" s="38">
        <f>IF(F35="","",SUMIF(Prearmados!E:E,F35,Prearmados!A:A))</f>
        <v>14</v>
      </c>
      <c r="C35" s="38">
        <f>IF(F35="","",SUMIF(Productos!E:E,G35,Productos!A:A))</f>
        <v>101</v>
      </c>
      <c r="D35" s="83" t="str">
        <f t="array" ref="D35">IF(OR(F35="",F35="Seleccionar.."),"",XLOOKUP(F35,Prearmados!E:E,Prearmados!F:F,"",0,1))</f>
        <v>Acoplados Rurales</v>
      </c>
      <c r="E35" s="83">
        <f>IF(H35="","",SUMIF(Precio_Productos!K:K,C35,Precio_Productos!J:J)*H35)</f>
        <v>780000</v>
      </c>
      <c r="F35" s="84" t="s">
        <v>337</v>
      </c>
      <c r="G35" s="84" t="s">
        <v>133</v>
      </c>
      <c r="H35" s="13">
        <v>2.0</v>
      </c>
      <c r="P35" s="3" t="str">
        <f>IFERROR(__xludf.DUMMYFUNCTION("IF(OR(F35="""",F35=""Seleccionar..""),"""",TRANSPOSE(FILTER(Productos!E:E,(Productos!F:F=D35)+(Productos!F:F=XLOOKUP(D35,Implementos!B:B,Implementos!C:C,""-"",0,1)))))"),"Tanque Combustible 1100 lts Bajo")</f>
        <v>Tanque Combustible 1100 lts Bajo</v>
      </c>
      <c r="Q35" s="3" t="str">
        <f>IFERROR(__xludf.DUMMYFUNCTION("""COMPUTED_VALUE"""),"Tanque Combustible 1500 lts Standard")</f>
        <v>Tanque Combustible 1500 lts Standard</v>
      </c>
      <c r="R35" s="3" t="str">
        <f>IFERROR(__xludf.DUMMYFUNCTION("""COMPUTED_VALUE"""),"Tanque Combustible 1800 lts Standard")</f>
        <v>Tanque Combustible 1800 lts Standard</v>
      </c>
      <c r="S35" s="3" t="str">
        <f>IFERROR(__xludf.DUMMYFUNCTION("""COMPUTED_VALUE"""),"Tanque Combustible 2000 lts Bajo")</f>
        <v>Tanque Combustible 2000 lts Bajo</v>
      </c>
      <c r="T35" s="3" t="str">
        <f>IFERROR(__xludf.DUMMYFUNCTION("""COMPUTED_VALUE"""),"Tanque Combustible 2000 lts Standard")</f>
        <v>Tanque Combustible 2000 lts Standard</v>
      </c>
      <c r="U35" s="3" t="str">
        <f>IFERROR(__xludf.DUMMYFUNCTION("""COMPUTED_VALUE"""),"Tanque Combustible 3000 lts Standard")</f>
        <v>Tanque Combustible 3000 lts Standard</v>
      </c>
      <c r="V35" s="3" t="str">
        <f>IFERROR(__xludf.DUMMYFUNCTION("""COMPUTED_VALUE"""),"Tanque Combustible 3000 lts Alto")</f>
        <v>Tanque Combustible 3000 lts Alto</v>
      </c>
      <c r="W35" s="3" t="str">
        <f>IFERROR(__xludf.DUMMYFUNCTION("""COMPUTED_VALUE"""),"Tanque Combustible 4000 lts Standard")</f>
        <v>Tanque Combustible 4000 lts Standard</v>
      </c>
      <c r="X35" s="3" t="str">
        <f>IFERROR(__xludf.DUMMYFUNCTION("""COMPUTED_VALUE"""),"Tanque Combustible 5000 lts Standard")</f>
        <v>Tanque Combustible 5000 lts Standard</v>
      </c>
      <c r="Y35" s="3" t="str">
        <f>IFERROR(__xludf.DUMMYFUNCTION("""COMPUTED_VALUE"""),"Tanque Combustible 5000 lts Alto")</f>
        <v>Tanque Combustible 5000 lts Alto</v>
      </c>
      <c r="Z35" s="3" t="str">
        <f>IFERROR(__xludf.DUMMYFUNCTION("""COMPUTED_VALUE"""),"Tanque Combustible 2000 lts Alto")</f>
        <v>Tanque Combustible 2000 lts Alto</v>
      </c>
      <c r="AA35" s="3" t="str">
        <f>IFERROR(__xludf.DUMMYFUNCTION("""COMPUTED_VALUE"""),"Tanque Combustible 4000 lts Alto")</f>
        <v>Tanque Combustible 4000 lts Alto</v>
      </c>
      <c r="AB35" s="3" t="str">
        <f>IFERROR(__xludf.DUMMYFUNCTION("""COMPUTED_VALUE"""),"Baulera Standard - 750")</f>
        <v>Baulera Standard - 750</v>
      </c>
      <c r="AC35" s="3" t="str">
        <f>IFERROR(__xludf.DUMMYFUNCTION("""COMPUTED_VALUE"""),"Baulera Standard - 1700 - C/Laterales")</f>
        <v>Baulera Standard - 1700 - C/Laterales</v>
      </c>
      <c r="AD35" s="3" t="str">
        <f>IFERROR(__xludf.DUMMYFUNCTION("""COMPUTED_VALUE"""),"Baulera Standard - 1000 - C/Laterales")</f>
        <v>Baulera Standard - 1000 - C/Laterales</v>
      </c>
      <c r="AE35" s="3" t="str">
        <f>IFERROR(__xludf.DUMMYFUNCTION("""COMPUTED_VALUE"""),"Baulera Standard - 750 - C/Laterales")</f>
        <v>Baulera Standard - 750 - C/Laterales</v>
      </c>
      <c r="AF35" s="3" t="str">
        <f>IFERROR(__xludf.DUMMYFUNCTION("""COMPUTED_VALUE"""),"Baulera Standard - 1300 - C/Laterales")</f>
        <v>Baulera Standard - 1300 - C/Laterales</v>
      </c>
      <c r="AG35" s="3" t="str">
        <f>IFERROR(__xludf.DUMMYFUNCTION("""COMPUTED_VALUE"""),"Baulera Alta - 750")</f>
        <v>Baulera Alta - 750</v>
      </c>
      <c r="AH35" s="3" t="str">
        <f>IFERROR(__xludf.DUMMYFUNCTION("""COMPUTED_VALUE"""),"Baulera Alta - 1500 - C/Laterales")</f>
        <v>Baulera Alta - 1500 - C/Laterales</v>
      </c>
      <c r="AI35" s="3" t="str">
        <f>IFERROR(__xludf.DUMMYFUNCTION("""COMPUTED_VALUE"""),"Baulera Extendida 1700 - C/Laterales")</f>
        <v>Baulera Extendida 1700 - C/Laterales</v>
      </c>
      <c r="AJ35" s="3" t="str">
        <f>IFERROR(__xludf.DUMMYFUNCTION("""COMPUTED_VALUE"""),"Taller Móvil - 1500 x 1500 x 1700")</f>
        <v>Taller Móvil - 1500 x 1500 x 1700</v>
      </c>
      <c r="AK35" s="3" t="str">
        <f>IFERROR(__xludf.DUMMYFUNCTION("""COMPUTED_VALUE"""),"Cajón Herramientas Standard Derecho")</f>
        <v>Cajón Herramientas Standard Derecho</v>
      </c>
      <c r="AL35" s="3" t="str">
        <f>IFERROR(__xludf.DUMMYFUNCTION("""COMPUTED_VALUE"""),"Cajón Herramientas Standard Izquierdo")</f>
        <v>Cajón Herramientas Standard Izquierdo</v>
      </c>
      <c r="AM35" s="3" t="str">
        <f>IFERROR(__xludf.DUMMYFUNCTION("""COMPUTED_VALUE"""),"Cajón Herramientas Corto Derecho")</f>
        <v>Cajón Herramientas Corto Derecho</v>
      </c>
      <c r="AN35" s="3" t="str">
        <f>IFERROR(__xludf.DUMMYFUNCTION("""COMPUTED_VALUE"""),"Cajón Herramientas Corto Izquierdo")</f>
        <v>Cajón Herramientas Corto Izquierdo</v>
      </c>
      <c r="AO35" s="3" t="str">
        <f>IFERROR(__xludf.DUMMYFUNCTION("""COMPUTED_VALUE"""),"Cajón Herramientas Mediano Derecho")</f>
        <v>Cajón Herramientas Mediano Derecho</v>
      </c>
      <c r="AP35" s="3" t="str">
        <f>IFERROR(__xludf.DUMMYFUNCTION("""COMPUTED_VALUE"""),"Cajón Herramientas Mediano Izquierdo")</f>
        <v>Cajón Herramientas Mediano Izquierdo</v>
      </c>
      <c r="AQ35" s="3" t="str">
        <f>IFERROR(__xludf.DUMMYFUNCTION("""COMPUTED_VALUE"""),"Chasis Acoplado 2 Ejes L3000")</f>
        <v>Chasis Acoplado 2 Ejes L3000</v>
      </c>
      <c r="AR35" s="3" t="str">
        <f>IFERROR(__xludf.DUMMYFUNCTION("""COMPUTED_VALUE"""),"Chasis Acoplado 2 Ejes L3750")</f>
        <v>Chasis Acoplado 2 Ejes L3750</v>
      </c>
      <c r="AS35" s="3" t="str">
        <f>IFERROR(__xludf.DUMMYFUNCTION("""COMPUTED_VALUE"""),"Chasis Acoplado 2 Ejes L4000")</f>
        <v>Chasis Acoplado 2 Ejes L4000</v>
      </c>
      <c r="AT35" s="3" t="str">
        <f>IFERROR(__xludf.DUMMYFUNCTION("""COMPUTED_VALUE"""),"Chasis Acoplado 2 Ejes L4000 Reforzado")</f>
        <v>Chasis Acoplado 2 Ejes L4000 Reforzado</v>
      </c>
      <c r="AU35" s="3" t="str">
        <f>IFERROR(__xludf.DUMMYFUNCTION("""COMPUTED_VALUE"""),"Chasis Acoplado 2 Ejes L4750")</f>
        <v>Chasis Acoplado 2 Ejes L4750</v>
      </c>
      <c r="AV35" s="3" t="str">
        <f>IFERROR(__xludf.DUMMYFUNCTION("""COMPUTED_VALUE"""),"Chasis Acoplado 2 Ejes L4750 Reforzado")</f>
        <v>Chasis Acoplado 2 Ejes L4750 Reforzado</v>
      </c>
      <c r="AW35" s="3" t="str">
        <f>IFERROR(__xludf.DUMMYFUNCTION("""COMPUTED_VALUE"""),"Chasis Acoplado 2 Ejes L4750 Reforzado R. Camion")</f>
        <v>Chasis Acoplado 2 Ejes L4750 Reforzado R. Camion</v>
      </c>
      <c r="AX35" s="3" t="str">
        <f>IFERROR(__xludf.DUMMYFUNCTION("""COMPUTED_VALUE"""),"Chasis Acoplado 2 Ejes L5000")</f>
        <v>Chasis Acoplado 2 Ejes L5000</v>
      </c>
      <c r="AY35" s="3" t="str">
        <f>IFERROR(__xludf.DUMMYFUNCTION("""COMPUTED_VALUE"""),"Chasis Acoplado 2 Ejes L5750")</f>
        <v>Chasis Acoplado 2 Ejes L5750</v>
      </c>
      <c r="AZ35" s="3" t="str">
        <f>IFERROR(__xludf.DUMMYFUNCTION("""COMPUTED_VALUE"""),"Chasis Acoplado 2 Ejes L6400")</f>
        <v>Chasis Acoplado 2 Ejes L6400</v>
      </c>
      <c r="BA35" s="3" t="str">
        <f>IFERROR(__xludf.DUMMYFUNCTION("""COMPUTED_VALUE"""),"Chasis Acoplado 2 Ejes L4500")</f>
        <v>Chasis Acoplado 2 Ejes L4500</v>
      </c>
      <c r="BB35" s="3" t="str">
        <f>IFERROR(__xludf.DUMMYFUNCTION("""COMPUTED_VALUE"""),"Chasis Acoplado 1 Eje L1500")</f>
        <v>Chasis Acoplado 1 Eje L1500</v>
      </c>
      <c r="BC35" s="3" t="str">
        <f>IFERROR(__xludf.DUMMYFUNCTION("""COMPUTED_VALUE"""),"Chasis Acoplado 1 Eje L1800")</f>
        <v>Chasis Acoplado 1 Eje L1800</v>
      </c>
      <c r="BD35" s="3" t="str">
        <f>IFERROR(__xludf.DUMMYFUNCTION("""COMPUTED_VALUE"""),"Chasis Acoplado 1 Eje L1400")</f>
        <v>Chasis Acoplado 1 Eje L1400</v>
      </c>
      <c r="BE35" s="3" t="str">
        <f>IFERROR(__xludf.DUMMYFUNCTION("""COMPUTED_VALUE"""),"Chasis Acoplado Balancin L3000")</f>
        <v>Chasis Acoplado Balancin L3000</v>
      </c>
      <c r="BF35" s="3" t="str">
        <f>IFERROR(__xludf.DUMMYFUNCTION("""COMPUTED_VALUE"""),"Chasis Acoplado Balancin L3000 Lanza Corta")</f>
        <v>Chasis Acoplado Balancin L3000 Lanza Corta</v>
      </c>
      <c r="BG35" s="3" t="str">
        <f>IFERROR(__xludf.DUMMYFUNCTION("""COMPUTED_VALUE"""),"Chasis Acoplado Balancin L2000 Lanza Corta")</f>
        <v>Chasis Acoplado Balancin L2000 Lanza Corta</v>
      </c>
      <c r="BH35" s="3" t="str">
        <f>IFERROR(__xludf.DUMMYFUNCTION("""COMPUTED_VALUE"""),"Chasis Acoplado Balancin L3200 Lanza Corta")</f>
        <v>Chasis Acoplado Balancin L3200 Lanza Corta</v>
      </c>
      <c r="BI35" s="3" t="str">
        <f>IFERROR(__xludf.DUMMYFUNCTION("""COMPUTED_VALUE"""),"Chasis Acoplado Balancin L3200 Lanza Recta")</f>
        <v>Chasis Acoplado Balancin L3200 Lanza Recta</v>
      </c>
      <c r="BJ35" s="3" t="str">
        <f>IFERROR(__xludf.DUMMYFUNCTION("""COMPUTED_VALUE"""),"Chasis Acoplado Balancin L3200 Bajo Lanza Recta")</f>
        <v>Chasis Acoplado Balancin L3200 Bajo Lanza Recta</v>
      </c>
      <c r="BK35" s="3" t="str">
        <f>IFERROR(__xludf.DUMMYFUNCTION("""COMPUTED_VALUE"""),"Tanque Plastico Horizontal 750 Lts")</f>
        <v>Tanque Plastico Horizontal 750 Lts</v>
      </c>
      <c r="BL35" s="3" t="str">
        <f>IFERROR(__xludf.DUMMYFUNCTION("""COMPUTED_VALUE"""),"Medio Tanque Plastico Superior 700 Lts")</f>
        <v>Medio Tanque Plastico Superior 700 Lts</v>
      </c>
      <c r="BM35" s="3" t="str">
        <f>IFERROR(__xludf.DUMMYFUNCTION("""COMPUTED_VALUE"""),"Paquete de Elasticos 50 mm x 8 mm x 10 Hojas L850")</f>
        <v>Paquete de Elasticos 50 mm x 8 mm x 10 Hojas L850</v>
      </c>
      <c r="BN35" s="3" t="str">
        <f>IFERROR(__xludf.DUMMYFUNCTION("""COMPUTED_VALUE"""),"Paquete de Elasticos 63 mm x 8 mm x 10 Hojas L950")</f>
        <v>Paquete de Elasticos 63 mm x 8 mm x 10 Hojas L950</v>
      </c>
      <c r="BO35" s="3" t="str">
        <f>IFERROR(__xludf.DUMMYFUNCTION("""COMPUTED_VALUE"""),"Paquete de Elasticos 50 mm x 7 mm x 9 Hojas L850")</f>
        <v>Paquete de Elasticos 50 mm x 7 mm x 9 Hojas L850</v>
      </c>
      <c r="BP35" s="3" t="str">
        <f>IFERROR(__xludf.DUMMYFUNCTION("""COMPUTED_VALUE"""),"Paquete de Elasticos 63 mm x 8 mm x 8 Hojas L850")</f>
        <v>Paquete de Elasticos 63 mm x 8 mm x 8 Hojas L850</v>
      </c>
      <c r="BQ35" s="3" t="str">
        <f>IFERROR(__xludf.DUMMYFUNCTION("""COMPUTED_VALUE"""),"Paquete de Elasticos 63 mm x 10 mm x 10 Hojas L950")</f>
        <v>Paquete de Elasticos 63 mm x 10 mm x 10 Hojas L950</v>
      </c>
      <c r="BR35" s="3" t="str">
        <f>IFERROR(__xludf.DUMMYFUNCTION("""COMPUTED_VALUE"""),"Paquete de Elasticos 63 mm x 10 mm x 13 Hojas L975")</f>
        <v>Paquete de Elasticos 63 mm x 10 mm x 13 Hojas L975</v>
      </c>
      <c r="BS35" s="3" t="str">
        <f>IFERROR(__xludf.DUMMYFUNCTION("""COMPUTED_VALUE"""),"Paquete de Elasticos 50 mm x 7 mm x 9 Hojas L650")</f>
        <v>Paquete de Elasticos 50 mm x 7 mm x 9 Hojas L650</v>
      </c>
      <c r="BT35" s="3" t="str">
        <f>IFERROR(__xludf.DUMMYFUNCTION("""COMPUTED_VALUE"""),"Eje Acoplado 2"" x 1600 (06/08) Agrícola Centro 92")</f>
        <v>Eje Acoplado 2" x 1600 (06/08) Agrícola Centro 92</v>
      </c>
      <c r="BU35" s="3" t="str">
        <f>IFERROR(__xludf.DUMMYFUNCTION("""COMPUTED_VALUE"""),"Eje Acoplado 2 1/2"" x 1600 (07/09) Agrícola Centro 92")</f>
        <v>Eje Acoplado 2 1/2" x 1600 (07/09) Agrícola Centro 92</v>
      </c>
      <c r="BV35" s="3" t="str">
        <f>IFERROR(__xludf.DUMMYFUNCTION("""COMPUTED_VALUE"""),"Eje Acoplado 2 1/2"" x 1600 (09/11) Agrícola Centro 150")</f>
        <v>Eje Acoplado 2 1/2" x 1600 (09/11) Agrícola Centro 150</v>
      </c>
      <c r="BW35" s="3" t="str">
        <f>IFERROR(__xludf.DUMMYFUNCTION("""COMPUTED_VALUE"""),"Eje Acoplado 3"" x 1600 (10/13) Agrícola Centro 150")</f>
        <v>Eje Acoplado 3" x 1600 (10/13) Agrícola Centro 150</v>
      </c>
      <c r="BX35" s="3" t="str">
        <f>IFERROR(__xludf.DUMMYFUNCTION("""COMPUTED_VALUE"""),"Eje Acoplado 2 1/2"" x 2140 (07/09) Agrícola Centro 92")</f>
        <v>Eje Acoplado 2 1/2" x 2140 (07/09) Agrícola Centro 92</v>
      </c>
      <c r="BY35" s="3" t="str">
        <f>IFERROR(__xludf.DUMMYFUNCTION("""COMPUTED_VALUE"""),"Eje Acoplado 2"" x 1400 (06/08) Agrícola Centro 92")</f>
        <v>Eje Acoplado 2" x 1400 (06/08) Agrícola Centro 92</v>
      </c>
      <c r="BZ35" s="3" t="str">
        <f>IFERROR(__xludf.DUMMYFUNCTION("""COMPUTED_VALUE"""),"Eje Acoplado 2 1/2"" x 1500 (07/09) Agrícola Centro 92")</f>
        <v>Eje Acoplado 2 1/2" x 1500 (07/09) Agrícola Centro 92</v>
      </c>
      <c r="CA35" s="3" t="str">
        <f>IFERROR(__xludf.DUMMYFUNCTION("""COMPUTED_VALUE"""),"Eje Acoplado 2 1/2"" x 2000 (07/09) Agrícola Centro 92")</f>
        <v>Eje Acoplado 2 1/2" x 2000 (07/09) Agrícola Centro 92</v>
      </c>
      <c r="CB35" s="3" t="str">
        <f>IFERROR(__xludf.DUMMYFUNCTION("""COMPUTED_VALUE"""),"Eje Acoplado 2 1/2"" x 2100 (09/11) Agrícola Centro 150")</f>
        <v>Eje Acoplado 2 1/2" x 2100 (09/11) Agrícola Centro 150</v>
      </c>
      <c r="CC35" s="3" t="str">
        <f>IFERROR(__xludf.DUMMYFUNCTION("""COMPUTED_VALUE"""),"Llanta 16"" Simple Agrícola Centro 92")</f>
        <v>Llanta 16" Simple Agrícola Centro 92</v>
      </c>
      <c r="CD35" s="3" t="str">
        <f>IFERROR(__xludf.DUMMYFUNCTION("""COMPUTED_VALUE"""),"Llanta 16"" Dual Agrícola Centro 92")</f>
        <v>Llanta 16" Dual Agrícola Centro 92</v>
      </c>
      <c r="CE35" s="3" t="str">
        <f>IFERROR(__xludf.DUMMYFUNCTION("""COMPUTED_VALUE"""),"Llanta 17"" Simple Agrícola Centro 92")</f>
        <v>Llanta 17" Simple Agrícola Centro 92</v>
      </c>
      <c r="CF35" s="3" t="str">
        <f>IFERROR(__xludf.DUMMYFUNCTION("""COMPUTED_VALUE"""),"Llanta 17"" Dual Agrícola Centro 92")</f>
        <v>Llanta 17" Dual Agrícola Centro 92</v>
      </c>
      <c r="CG35" s="3" t="str">
        <f>IFERROR(__xludf.DUMMYFUNCTION("""COMPUTED_VALUE"""),"Llanta 16"" Dual Agrícola Centro 152")</f>
        <v>Llanta 16" Dual Agrícola Centro 152</v>
      </c>
      <c r="CH35" s="3" t="str">
        <f>IFERROR(__xludf.DUMMYFUNCTION("""COMPUTED_VALUE"""),"Llanta 17"" Dual Agrícola Centro 152")</f>
        <v>Llanta 17" Dual Agrícola Centro 152</v>
      </c>
      <c r="CI35" s="3" t="str">
        <f>IFERROR(__xludf.DUMMYFUNCTION("""COMPUTED_VALUE"""),"Eje Acoplado 2"" x 1600 (05/07) Agrícola Centro 92")</f>
        <v>Eje Acoplado 2" x 1600 (05/07) Agrícola Centro 92</v>
      </c>
      <c r="CJ35" s="3" t="str">
        <f>IFERROR(__xludf.DUMMYFUNCTION("""COMPUTED_VALUE"""),"Paquete de Elásticos 50 mm x 8 mm x 12 Hojas")</f>
        <v>Paquete de Elásticos 50 mm x 8 mm x 12 Hojas</v>
      </c>
      <c r="CK35" s="3" t="str">
        <f>IFERROR(__xludf.DUMMYFUNCTION("""COMPUTED_VALUE"""),"Plataforma Playo 4.00 x 1.90 x 0.45 Lateral Simple Baranda Fija")</f>
        <v>Plataforma Playo 4.00 x 1.90 x 0.45 Lateral Simple Baranda Fija</v>
      </c>
      <c r="CL35" s="3" t="str">
        <f>IFERROR(__xludf.DUMMYFUNCTION("""COMPUTED_VALUE"""),"Plataforma Playo 4.00 x 1.90 x 0.45 Lateral Simple Baranda Ventilada")</f>
        <v>Plataforma Playo 4.00 x 1.90 x 0.45 Lateral Simple Baranda Ventilada</v>
      </c>
      <c r="CM35" s="3" t="str">
        <f>IFERROR(__xludf.DUMMYFUNCTION("""COMPUTED_VALUE"""),"Plataforma Playo 4.00 x 1.90 x 0.45 Lateral Doble Baranda Ventilada")</f>
        <v>Plataforma Playo 4.00 x 1.90 x 0.45 Lateral Doble Baranda Ventilada</v>
      </c>
      <c r="CN35" s="3" t="str">
        <f>IFERROR(__xludf.DUMMYFUNCTION("""COMPUTED_VALUE"""),"Plataforma Playo 4.00 x 1.90 x 0.45 Lateral Doble Baranda Fija")</f>
        <v>Plataforma Playo 4.00 x 1.90 x 0.45 Lateral Doble Baranda Fija</v>
      </c>
      <c r="CO35" s="3" t="str">
        <f>IFERROR(__xludf.DUMMYFUNCTION("""COMPUTED_VALUE"""),"Plataforma Playo 4.00 x 1.90 x 0.72 Lateral Simple Baranda Fija")</f>
        <v>Plataforma Playo 4.00 x 1.90 x 0.72 Lateral Simple Baranda Fija</v>
      </c>
      <c r="CP35" s="3" t="str">
        <f>IFERROR(__xludf.DUMMYFUNCTION("""COMPUTED_VALUE"""),"Plataforma Playo 4.00 x 1.90 x 0.72 Lateral Doble Baranda Fija")</f>
        <v>Plataforma Playo 4.00 x 1.90 x 0.72 Lateral Doble Baranda Fija</v>
      </c>
      <c r="CQ35" s="3" t="str">
        <f>IFERROR(__xludf.DUMMYFUNCTION("""COMPUTED_VALUE"""),"Plataforma Playo 5.00 x 2.20 x 0.60 Lateral Doble Trasera Rebatible")</f>
        <v>Plataforma Playo 5.00 x 2.20 x 0.60 Lateral Doble Trasera Rebatible</v>
      </c>
      <c r="CR35" s="3" t="str">
        <f>IFERROR(__xludf.DUMMYFUNCTION("""COMPUTED_VALUE"""),"Plataforma Playo 5.00 x 2.20 x 0.60 Lateral Doble Baranda Fija C/Toldo")</f>
        <v>Plataforma Playo 5.00 x 2.20 x 0.60 Lateral Doble Baranda Fija C/Toldo</v>
      </c>
      <c r="CS35" s="3" t="str">
        <f>IFERROR(__xludf.DUMMYFUNCTION("""COMPUTED_VALUE"""),"Plataforma Playo 3.00 x 1.90 x 0.45 Lateral Simple Baranda Fija")</f>
        <v>Plataforma Playo 3.00 x 1.90 x 0.45 Lateral Simple Baranda Fija</v>
      </c>
      <c r="CT35" s="3" t="str">
        <f>IFERROR(__xludf.DUMMYFUNCTION("""COMPUTED_VALUE"""),"Plataforma Playo 3.00 x 1.90 x 0.45 Lateral Simple Baranda Ventilada")</f>
        <v>Plataforma Playo 3.00 x 1.90 x 0.45 Lateral Simple Baranda Ventilada</v>
      </c>
      <c r="CU35" s="3" t="str">
        <f>IFERROR(__xludf.DUMMYFUNCTION("""COMPUTED_VALUE"""),"Plataforma Playo 2.00 x 1.90 x 0.45 Lateral Simple Baranda Fija")</f>
        <v>Plataforma Playo 2.00 x 1.90 x 0.45 Lateral Simple Baranda Fija</v>
      </c>
      <c r="CV35" s="3" t="str">
        <f>IFERROR(__xludf.DUMMYFUNCTION("""COMPUTED_VALUE"""),"Plataforma Playo 5.00 x 1.90 x 0.60 Lateral Doble Baranda Fija")</f>
        <v>Plataforma Playo 5.00 x 1.90 x 0.60 Lateral Doble Baranda Fija</v>
      </c>
      <c r="CW35" s="3" t="str">
        <f>IFERROR(__xludf.DUMMYFUNCTION("""COMPUTED_VALUE"""),"Plataforma Playo 6.40 x 2.70 x 0.72 Lateral Doble Baranda Fija")</f>
        <v>Plataforma Playo 6.40 x 2.70 x 0.72 Lateral Doble Baranda Fija</v>
      </c>
      <c r="CX35" s="3" t="str">
        <f>IFERROR(__xludf.DUMMYFUNCTION("""COMPUTED_VALUE"""),"Chasis Acoplado Balancin L4000 Lanza Recta")</f>
        <v>Chasis Acoplado Balancin L4000 Lanza Recta</v>
      </c>
      <c r="CY35" s="3" t="str">
        <f>IFERROR(__xludf.DUMMYFUNCTION("""COMPUTED_VALUE"""),"Llanta simple Agrícola 750x20 centro 152")</f>
        <v>Llanta simple Agrícola 750x20 centro 152</v>
      </c>
      <c r="CZ35" s="3" t="str">
        <f>IFERROR(__xludf.DUMMYFUNCTION("""COMPUTED_VALUE"""),"Cajón de Herramientas Mediano adelante")</f>
        <v>Cajón de Herramientas Mediano adelante</v>
      </c>
      <c r="DA35" s="3" t="str">
        <f>IFERROR(__xludf.DUMMYFUNCTION("""COMPUTED_VALUE"""),"Llanta 15"" Simple Agrícola Centro 92")</f>
        <v>Llanta 15" Simple Agrícola Centro 92</v>
      </c>
    </row>
    <row r="36" hidden="1">
      <c r="A36" s="38">
        <f t="shared" si="1"/>
        <v>35</v>
      </c>
      <c r="B36" s="38">
        <f>IF(F36="","",SUMIF(Prearmados!E:E,F36,Prearmados!A:A))</f>
        <v>14</v>
      </c>
      <c r="C36" s="38">
        <f>IF(F36="","",SUMIF(Productos!E:E,G36,Productos!A:A))</f>
        <v>100</v>
      </c>
      <c r="D36" s="83" t="str">
        <f t="array" ref="D36">IF(OR(F36="",F36="Seleccionar.."),"",XLOOKUP(F36,Prearmados!E:E,Prearmados!F:F,"",0,1))</f>
        <v>Acoplados Rurales</v>
      </c>
      <c r="E36" s="83">
        <f>IF(H36="","",SUMIF(Precio_Productos!K:K,C36,Precio_Productos!J:J)*H36)</f>
        <v>405600</v>
      </c>
      <c r="F36" s="84" t="s">
        <v>337</v>
      </c>
      <c r="G36" s="84" t="s">
        <v>127</v>
      </c>
      <c r="H36" s="13">
        <v>4.0</v>
      </c>
      <c r="P36" s="3" t="str">
        <f>IFERROR(__xludf.DUMMYFUNCTION("IF(OR(F36="""",F36=""Seleccionar..""),"""",TRANSPOSE(FILTER(Productos!E:E,(Productos!F:F=D36)+(Productos!F:F=XLOOKUP(D36,Implementos!B:B,Implementos!C:C,""-"",0,1)))))"),"Tanque Combustible 1100 lts Bajo")</f>
        <v>Tanque Combustible 1100 lts Bajo</v>
      </c>
      <c r="Q36" s="3" t="str">
        <f>IFERROR(__xludf.DUMMYFUNCTION("""COMPUTED_VALUE"""),"Tanque Combustible 1500 lts Standard")</f>
        <v>Tanque Combustible 1500 lts Standard</v>
      </c>
      <c r="R36" s="3" t="str">
        <f>IFERROR(__xludf.DUMMYFUNCTION("""COMPUTED_VALUE"""),"Tanque Combustible 1800 lts Standard")</f>
        <v>Tanque Combustible 1800 lts Standard</v>
      </c>
      <c r="S36" s="3" t="str">
        <f>IFERROR(__xludf.DUMMYFUNCTION("""COMPUTED_VALUE"""),"Tanque Combustible 2000 lts Bajo")</f>
        <v>Tanque Combustible 2000 lts Bajo</v>
      </c>
      <c r="T36" s="3" t="str">
        <f>IFERROR(__xludf.DUMMYFUNCTION("""COMPUTED_VALUE"""),"Tanque Combustible 2000 lts Standard")</f>
        <v>Tanque Combustible 2000 lts Standard</v>
      </c>
      <c r="U36" s="3" t="str">
        <f>IFERROR(__xludf.DUMMYFUNCTION("""COMPUTED_VALUE"""),"Tanque Combustible 3000 lts Standard")</f>
        <v>Tanque Combustible 3000 lts Standard</v>
      </c>
      <c r="V36" s="3" t="str">
        <f>IFERROR(__xludf.DUMMYFUNCTION("""COMPUTED_VALUE"""),"Tanque Combustible 3000 lts Alto")</f>
        <v>Tanque Combustible 3000 lts Alto</v>
      </c>
      <c r="W36" s="3" t="str">
        <f>IFERROR(__xludf.DUMMYFUNCTION("""COMPUTED_VALUE"""),"Tanque Combustible 4000 lts Standard")</f>
        <v>Tanque Combustible 4000 lts Standard</v>
      </c>
      <c r="X36" s="3" t="str">
        <f>IFERROR(__xludf.DUMMYFUNCTION("""COMPUTED_VALUE"""),"Tanque Combustible 5000 lts Standard")</f>
        <v>Tanque Combustible 5000 lts Standard</v>
      </c>
      <c r="Y36" s="3" t="str">
        <f>IFERROR(__xludf.DUMMYFUNCTION("""COMPUTED_VALUE"""),"Tanque Combustible 5000 lts Alto")</f>
        <v>Tanque Combustible 5000 lts Alto</v>
      </c>
      <c r="Z36" s="3" t="str">
        <f>IFERROR(__xludf.DUMMYFUNCTION("""COMPUTED_VALUE"""),"Tanque Combustible 2000 lts Alto")</f>
        <v>Tanque Combustible 2000 lts Alto</v>
      </c>
      <c r="AA36" s="3" t="str">
        <f>IFERROR(__xludf.DUMMYFUNCTION("""COMPUTED_VALUE"""),"Tanque Combustible 4000 lts Alto")</f>
        <v>Tanque Combustible 4000 lts Alto</v>
      </c>
      <c r="AB36" s="3" t="str">
        <f>IFERROR(__xludf.DUMMYFUNCTION("""COMPUTED_VALUE"""),"Baulera Standard - 750")</f>
        <v>Baulera Standard - 750</v>
      </c>
      <c r="AC36" s="3" t="str">
        <f>IFERROR(__xludf.DUMMYFUNCTION("""COMPUTED_VALUE"""),"Baulera Standard - 1700 - C/Laterales")</f>
        <v>Baulera Standard - 1700 - C/Laterales</v>
      </c>
      <c r="AD36" s="3" t="str">
        <f>IFERROR(__xludf.DUMMYFUNCTION("""COMPUTED_VALUE"""),"Baulera Standard - 1000 - C/Laterales")</f>
        <v>Baulera Standard - 1000 - C/Laterales</v>
      </c>
      <c r="AE36" s="3" t="str">
        <f>IFERROR(__xludf.DUMMYFUNCTION("""COMPUTED_VALUE"""),"Baulera Standard - 750 - C/Laterales")</f>
        <v>Baulera Standard - 750 - C/Laterales</v>
      </c>
      <c r="AF36" s="3" t="str">
        <f>IFERROR(__xludf.DUMMYFUNCTION("""COMPUTED_VALUE"""),"Baulera Standard - 1300 - C/Laterales")</f>
        <v>Baulera Standard - 1300 - C/Laterales</v>
      </c>
      <c r="AG36" s="3" t="str">
        <f>IFERROR(__xludf.DUMMYFUNCTION("""COMPUTED_VALUE"""),"Baulera Alta - 750")</f>
        <v>Baulera Alta - 750</v>
      </c>
      <c r="AH36" s="3" t="str">
        <f>IFERROR(__xludf.DUMMYFUNCTION("""COMPUTED_VALUE"""),"Baulera Alta - 1500 - C/Laterales")</f>
        <v>Baulera Alta - 1500 - C/Laterales</v>
      </c>
      <c r="AI36" s="3" t="str">
        <f>IFERROR(__xludf.DUMMYFUNCTION("""COMPUTED_VALUE"""),"Baulera Extendida 1700 - C/Laterales")</f>
        <v>Baulera Extendida 1700 - C/Laterales</v>
      </c>
      <c r="AJ36" s="3" t="str">
        <f>IFERROR(__xludf.DUMMYFUNCTION("""COMPUTED_VALUE"""),"Taller Móvil - 1500 x 1500 x 1700")</f>
        <v>Taller Móvil - 1500 x 1500 x 1700</v>
      </c>
      <c r="AK36" s="3" t="str">
        <f>IFERROR(__xludf.DUMMYFUNCTION("""COMPUTED_VALUE"""),"Cajón Herramientas Standard Derecho")</f>
        <v>Cajón Herramientas Standard Derecho</v>
      </c>
      <c r="AL36" s="3" t="str">
        <f>IFERROR(__xludf.DUMMYFUNCTION("""COMPUTED_VALUE"""),"Cajón Herramientas Standard Izquierdo")</f>
        <v>Cajón Herramientas Standard Izquierdo</v>
      </c>
      <c r="AM36" s="3" t="str">
        <f>IFERROR(__xludf.DUMMYFUNCTION("""COMPUTED_VALUE"""),"Cajón Herramientas Corto Derecho")</f>
        <v>Cajón Herramientas Corto Derecho</v>
      </c>
      <c r="AN36" s="3" t="str">
        <f>IFERROR(__xludf.DUMMYFUNCTION("""COMPUTED_VALUE"""),"Cajón Herramientas Corto Izquierdo")</f>
        <v>Cajón Herramientas Corto Izquierdo</v>
      </c>
      <c r="AO36" s="3" t="str">
        <f>IFERROR(__xludf.DUMMYFUNCTION("""COMPUTED_VALUE"""),"Cajón Herramientas Mediano Derecho")</f>
        <v>Cajón Herramientas Mediano Derecho</v>
      </c>
      <c r="AP36" s="3" t="str">
        <f>IFERROR(__xludf.DUMMYFUNCTION("""COMPUTED_VALUE"""),"Cajón Herramientas Mediano Izquierdo")</f>
        <v>Cajón Herramientas Mediano Izquierdo</v>
      </c>
      <c r="AQ36" s="3" t="str">
        <f>IFERROR(__xludf.DUMMYFUNCTION("""COMPUTED_VALUE"""),"Chasis Acoplado 2 Ejes L3000")</f>
        <v>Chasis Acoplado 2 Ejes L3000</v>
      </c>
      <c r="AR36" s="3" t="str">
        <f>IFERROR(__xludf.DUMMYFUNCTION("""COMPUTED_VALUE"""),"Chasis Acoplado 2 Ejes L3750")</f>
        <v>Chasis Acoplado 2 Ejes L3750</v>
      </c>
      <c r="AS36" s="3" t="str">
        <f>IFERROR(__xludf.DUMMYFUNCTION("""COMPUTED_VALUE"""),"Chasis Acoplado 2 Ejes L4000")</f>
        <v>Chasis Acoplado 2 Ejes L4000</v>
      </c>
      <c r="AT36" s="3" t="str">
        <f>IFERROR(__xludf.DUMMYFUNCTION("""COMPUTED_VALUE"""),"Chasis Acoplado 2 Ejes L4000 Reforzado")</f>
        <v>Chasis Acoplado 2 Ejes L4000 Reforzado</v>
      </c>
      <c r="AU36" s="3" t="str">
        <f>IFERROR(__xludf.DUMMYFUNCTION("""COMPUTED_VALUE"""),"Chasis Acoplado 2 Ejes L4750")</f>
        <v>Chasis Acoplado 2 Ejes L4750</v>
      </c>
      <c r="AV36" s="3" t="str">
        <f>IFERROR(__xludf.DUMMYFUNCTION("""COMPUTED_VALUE"""),"Chasis Acoplado 2 Ejes L4750 Reforzado")</f>
        <v>Chasis Acoplado 2 Ejes L4750 Reforzado</v>
      </c>
      <c r="AW36" s="3" t="str">
        <f>IFERROR(__xludf.DUMMYFUNCTION("""COMPUTED_VALUE"""),"Chasis Acoplado 2 Ejes L4750 Reforzado R. Camion")</f>
        <v>Chasis Acoplado 2 Ejes L4750 Reforzado R. Camion</v>
      </c>
      <c r="AX36" s="3" t="str">
        <f>IFERROR(__xludf.DUMMYFUNCTION("""COMPUTED_VALUE"""),"Chasis Acoplado 2 Ejes L5000")</f>
        <v>Chasis Acoplado 2 Ejes L5000</v>
      </c>
      <c r="AY36" s="3" t="str">
        <f>IFERROR(__xludf.DUMMYFUNCTION("""COMPUTED_VALUE"""),"Chasis Acoplado 2 Ejes L5750")</f>
        <v>Chasis Acoplado 2 Ejes L5750</v>
      </c>
      <c r="AZ36" s="3" t="str">
        <f>IFERROR(__xludf.DUMMYFUNCTION("""COMPUTED_VALUE"""),"Chasis Acoplado 2 Ejes L6400")</f>
        <v>Chasis Acoplado 2 Ejes L6400</v>
      </c>
      <c r="BA36" s="3" t="str">
        <f>IFERROR(__xludf.DUMMYFUNCTION("""COMPUTED_VALUE"""),"Chasis Acoplado 2 Ejes L4500")</f>
        <v>Chasis Acoplado 2 Ejes L4500</v>
      </c>
      <c r="BB36" s="3" t="str">
        <f>IFERROR(__xludf.DUMMYFUNCTION("""COMPUTED_VALUE"""),"Chasis Acoplado 1 Eje L1500")</f>
        <v>Chasis Acoplado 1 Eje L1500</v>
      </c>
      <c r="BC36" s="3" t="str">
        <f>IFERROR(__xludf.DUMMYFUNCTION("""COMPUTED_VALUE"""),"Chasis Acoplado 1 Eje L1800")</f>
        <v>Chasis Acoplado 1 Eje L1800</v>
      </c>
      <c r="BD36" s="3" t="str">
        <f>IFERROR(__xludf.DUMMYFUNCTION("""COMPUTED_VALUE"""),"Chasis Acoplado 1 Eje L1400")</f>
        <v>Chasis Acoplado 1 Eje L1400</v>
      </c>
      <c r="BE36" s="3" t="str">
        <f>IFERROR(__xludf.DUMMYFUNCTION("""COMPUTED_VALUE"""),"Chasis Acoplado Balancin L3000")</f>
        <v>Chasis Acoplado Balancin L3000</v>
      </c>
      <c r="BF36" s="3" t="str">
        <f>IFERROR(__xludf.DUMMYFUNCTION("""COMPUTED_VALUE"""),"Chasis Acoplado Balancin L3000 Lanza Corta")</f>
        <v>Chasis Acoplado Balancin L3000 Lanza Corta</v>
      </c>
      <c r="BG36" s="3" t="str">
        <f>IFERROR(__xludf.DUMMYFUNCTION("""COMPUTED_VALUE"""),"Chasis Acoplado Balancin L2000 Lanza Corta")</f>
        <v>Chasis Acoplado Balancin L2000 Lanza Corta</v>
      </c>
      <c r="BH36" s="3" t="str">
        <f>IFERROR(__xludf.DUMMYFUNCTION("""COMPUTED_VALUE"""),"Chasis Acoplado Balancin L3200 Lanza Corta")</f>
        <v>Chasis Acoplado Balancin L3200 Lanza Corta</v>
      </c>
      <c r="BI36" s="3" t="str">
        <f>IFERROR(__xludf.DUMMYFUNCTION("""COMPUTED_VALUE"""),"Chasis Acoplado Balancin L3200 Lanza Recta")</f>
        <v>Chasis Acoplado Balancin L3200 Lanza Recta</v>
      </c>
      <c r="BJ36" s="3" t="str">
        <f>IFERROR(__xludf.DUMMYFUNCTION("""COMPUTED_VALUE"""),"Chasis Acoplado Balancin L3200 Bajo Lanza Recta")</f>
        <v>Chasis Acoplado Balancin L3200 Bajo Lanza Recta</v>
      </c>
      <c r="BK36" s="3" t="str">
        <f>IFERROR(__xludf.DUMMYFUNCTION("""COMPUTED_VALUE"""),"Tanque Plastico Horizontal 750 Lts")</f>
        <v>Tanque Plastico Horizontal 750 Lts</v>
      </c>
      <c r="BL36" s="3" t="str">
        <f>IFERROR(__xludf.DUMMYFUNCTION("""COMPUTED_VALUE"""),"Medio Tanque Plastico Superior 700 Lts")</f>
        <v>Medio Tanque Plastico Superior 700 Lts</v>
      </c>
      <c r="BM36" s="3" t="str">
        <f>IFERROR(__xludf.DUMMYFUNCTION("""COMPUTED_VALUE"""),"Paquete de Elasticos 50 mm x 8 mm x 10 Hojas L850")</f>
        <v>Paquete de Elasticos 50 mm x 8 mm x 10 Hojas L850</v>
      </c>
      <c r="BN36" s="3" t="str">
        <f>IFERROR(__xludf.DUMMYFUNCTION("""COMPUTED_VALUE"""),"Paquete de Elasticos 63 mm x 8 mm x 10 Hojas L950")</f>
        <v>Paquete de Elasticos 63 mm x 8 mm x 10 Hojas L950</v>
      </c>
      <c r="BO36" s="3" t="str">
        <f>IFERROR(__xludf.DUMMYFUNCTION("""COMPUTED_VALUE"""),"Paquete de Elasticos 50 mm x 7 mm x 9 Hojas L850")</f>
        <v>Paquete de Elasticos 50 mm x 7 mm x 9 Hojas L850</v>
      </c>
      <c r="BP36" s="3" t="str">
        <f>IFERROR(__xludf.DUMMYFUNCTION("""COMPUTED_VALUE"""),"Paquete de Elasticos 63 mm x 8 mm x 8 Hojas L850")</f>
        <v>Paquete de Elasticos 63 mm x 8 mm x 8 Hojas L850</v>
      </c>
      <c r="BQ36" s="3" t="str">
        <f>IFERROR(__xludf.DUMMYFUNCTION("""COMPUTED_VALUE"""),"Paquete de Elasticos 63 mm x 10 mm x 10 Hojas L950")</f>
        <v>Paquete de Elasticos 63 mm x 10 mm x 10 Hojas L950</v>
      </c>
      <c r="BR36" s="3" t="str">
        <f>IFERROR(__xludf.DUMMYFUNCTION("""COMPUTED_VALUE"""),"Paquete de Elasticos 63 mm x 10 mm x 13 Hojas L975")</f>
        <v>Paquete de Elasticos 63 mm x 10 mm x 13 Hojas L975</v>
      </c>
      <c r="BS36" s="3" t="str">
        <f>IFERROR(__xludf.DUMMYFUNCTION("""COMPUTED_VALUE"""),"Paquete de Elasticos 50 mm x 7 mm x 9 Hojas L650")</f>
        <v>Paquete de Elasticos 50 mm x 7 mm x 9 Hojas L650</v>
      </c>
      <c r="BT36" s="3" t="str">
        <f>IFERROR(__xludf.DUMMYFUNCTION("""COMPUTED_VALUE"""),"Eje Acoplado 2"" x 1600 (06/08) Agrícola Centro 92")</f>
        <v>Eje Acoplado 2" x 1600 (06/08) Agrícola Centro 92</v>
      </c>
      <c r="BU36" s="3" t="str">
        <f>IFERROR(__xludf.DUMMYFUNCTION("""COMPUTED_VALUE"""),"Eje Acoplado 2 1/2"" x 1600 (07/09) Agrícola Centro 92")</f>
        <v>Eje Acoplado 2 1/2" x 1600 (07/09) Agrícola Centro 92</v>
      </c>
      <c r="BV36" s="3" t="str">
        <f>IFERROR(__xludf.DUMMYFUNCTION("""COMPUTED_VALUE"""),"Eje Acoplado 2 1/2"" x 1600 (09/11) Agrícola Centro 150")</f>
        <v>Eje Acoplado 2 1/2" x 1600 (09/11) Agrícola Centro 150</v>
      </c>
      <c r="BW36" s="3" t="str">
        <f>IFERROR(__xludf.DUMMYFUNCTION("""COMPUTED_VALUE"""),"Eje Acoplado 3"" x 1600 (10/13) Agrícola Centro 150")</f>
        <v>Eje Acoplado 3" x 1600 (10/13) Agrícola Centro 150</v>
      </c>
      <c r="BX36" s="3" t="str">
        <f>IFERROR(__xludf.DUMMYFUNCTION("""COMPUTED_VALUE"""),"Eje Acoplado 2 1/2"" x 2140 (07/09) Agrícola Centro 92")</f>
        <v>Eje Acoplado 2 1/2" x 2140 (07/09) Agrícola Centro 92</v>
      </c>
      <c r="BY36" s="3" t="str">
        <f>IFERROR(__xludf.DUMMYFUNCTION("""COMPUTED_VALUE"""),"Eje Acoplado 2"" x 1400 (06/08) Agrícola Centro 92")</f>
        <v>Eje Acoplado 2" x 1400 (06/08) Agrícola Centro 92</v>
      </c>
      <c r="BZ36" s="3" t="str">
        <f>IFERROR(__xludf.DUMMYFUNCTION("""COMPUTED_VALUE"""),"Eje Acoplado 2 1/2"" x 1500 (07/09) Agrícola Centro 92")</f>
        <v>Eje Acoplado 2 1/2" x 1500 (07/09) Agrícola Centro 92</v>
      </c>
      <c r="CA36" s="3" t="str">
        <f>IFERROR(__xludf.DUMMYFUNCTION("""COMPUTED_VALUE"""),"Eje Acoplado 2 1/2"" x 2000 (07/09) Agrícola Centro 92")</f>
        <v>Eje Acoplado 2 1/2" x 2000 (07/09) Agrícola Centro 92</v>
      </c>
      <c r="CB36" s="3" t="str">
        <f>IFERROR(__xludf.DUMMYFUNCTION("""COMPUTED_VALUE"""),"Eje Acoplado 2 1/2"" x 2100 (09/11) Agrícola Centro 150")</f>
        <v>Eje Acoplado 2 1/2" x 2100 (09/11) Agrícola Centro 150</v>
      </c>
      <c r="CC36" s="3" t="str">
        <f>IFERROR(__xludf.DUMMYFUNCTION("""COMPUTED_VALUE"""),"Llanta 16"" Simple Agrícola Centro 92")</f>
        <v>Llanta 16" Simple Agrícola Centro 92</v>
      </c>
      <c r="CD36" s="3" t="str">
        <f>IFERROR(__xludf.DUMMYFUNCTION("""COMPUTED_VALUE"""),"Llanta 16"" Dual Agrícola Centro 92")</f>
        <v>Llanta 16" Dual Agrícola Centro 92</v>
      </c>
      <c r="CE36" s="3" t="str">
        <f>IFERROR(__xludf.DUMMYFUNCTION("""COMPUTED_VALUE"""),"Llanta 17"" Simple Agrícola Centro 92")</f>
        <v>Llanta 17" Simple Agrícola Centro 92</v>
      </c>
      <c r="CF36" s="3" t="str">
        <f>IFERROR(__xludf.DUMMYFUNCTION("""COMPUTED_VALUE"""),"Llanta 17"" Dual Agrícola Centro 92")</f>
        <v>Llanta 17" Dual Agrícola Centro 92</v>
      </c>
      <c r="CG36" s="3" t="str">
        <f>IFERROR(__xludf.DUMMYFUNCTION("""COMPUTED_VALUE"""),"Llanta 16"" Dual Agrícola Centro 152")</f>
        <v>Llanta 16" Dual Agrícola Centro 152</v>
      </c>
      <c r="CH36" s="3" t="str">
        <f>IFERROR(__xludf.DUMMYFUNCTION("""COMPUTED_VALUE"""),"Llanta 17"" Dual Agrícola Centro 152")</f>
        <v>Llanta 17" Dual Agrícola Centro 152</v>
      </c>
      <c r="CI36" s="3" t="str">
        <f>IFERROR(__xludf.DUMMYFUNCTION("""COMPUTED_VALUE"""),"Eje Acoplado 2"" x 1600 (05/07) Agrícola Centro 92")</f>
        <v>Eje Acoplado 2" x 1600 (05/07) Agrícola Centro 92</v>
      </c>
      <c r="CJ36" s="3" t="str">
        <f>IFERROR(__xludf.DUMMYFUNCTION("""COMPUTED_VALUE"""),"Paquete de Elásticos 50 mm x 8 mm x 12 Hojas")</f>
        <v>Paquete de Elásticos 50 mm x 8 mm x 12 Hojas</v>
      </c>
      <c r="CK36" s="3" t="str">
        <f>IFERROR(__xludf.DUMMYFUNCTION("""COMPUTED_VALUE"""),"Plataforma Playo 4.00 x 1.90 x 0.45 Lateral Simple Baranda Fija")</f>
        <v>Plataforma Playo 4.00 x 1.90 x 0.45 Lateral Simple Baranda Fija</v>
      </c>
      <c r="CL36" s="3" t="str">
        <f>IFERROR(__xludf.DUMMYFUNCTION("""COMPUTED_VALUE"""),"Plataforma Playo 4.00 x 1.90 x 0.45 Lateral Simple Baranda Ventilada")</f>
        <v>Plataforma Playo 4.00 x 1.90 x 0.45 Lateral Simple Baranda Ventilada</v>
      </c>
      <c r="CM36" s="3" t="str">
        <f>IFERROR(__xludf.DUMMYFUNCTION("""COMPUTED_VALUE"""),"Plataforma Playo 4.00 x 1.90 x 0.45 Lateral Doble Baranda Ventilada")</f>
        <v>Plataforma Playo 4.00 x 1.90 x 0.45 Lateral Doble Baranda Ventilada</v>
      </c>
      <c r="CN36" s="3" t="str">
        <f>IFERROR(__xludf.DUMMYFUNCTION("""COMPUTED_VALUE"""),"Plataforma Playo 4.00 x 1.90 x 0.45 Lateral Doble Baranda Fija")</f>
        <v>Plataforma Playo 4.00 x 1.90 x 0.45 Lateral Doble Baranda Fija</v>
      </c>
      <c r="CO36" s="3" t="str">
        <f>IFERROR(__xludf.DUMMYFUNCTION("""COMPUTED_VALUE"""),"Plataforma Playo 4.00 x 1.90 x 0.72 Lateral Simple Baranda Fija")</f>
        <v>Plataforma Playo 4.00 x 1.90 x 0.72 Lateral Simple Baranda Fija</v>
      </c>
      <c r="CP36" s="3" t="str">
        <f>IFERROR(__xludf.DUMMYFUNCTION("""COMPUTED_VALUE"""),"Plataforma Playo 4.00 x 1.90 x 0.72 Lateral Doble Baranda Fija")</f>
        <v>Plataforma Playo 4.00 x 1.90 x 0.72 Lateral Doble Baranda Fija</v>
      </c>
      <c r="CQ36" s="3" t="str">
        <f>IFERROR(__xludf.DUMMYFUNCTION("""COMPUTED_VALUE"""),"Plataforma Playo 5.00 x 2.20 x 0.60 Lateral Doble Trasera Rebatible")</f>
        <v>Plataforma Playo 5.00 x 2.20 x 0.60 Lateral Doble Trasera Rebatible</v>
      </c>
      <c r="CR36" s="3" t="str">
        <f>IFERROR(__xludf.DUMMYFUNCTION("""COMPUTED_VALUE"""),"Plataforma Playo 5.00 x 2.20 x 0.60 Lateral Doble Baranda Fija C/Toldo")</f>
        <v>Plataforma Playo 5.00 x 2.20 x 0.60 Lateral Doble Baranda Fija C/Toldo</v>
      </c>
      <c r="CS36" s="3" t="str">
        <f>IFERROR(__xludf.DUMMYFUNCTION("""COMPUTED_VALUE"""),"Plataforma Playo 3.00 x 1.90 x 0.45 Lateral Simple Baranda Fija")</f>
        <v>Plataforma Playo 3.00 x 1.90 x 0.45 Lateral Simple Baranda Fija</v>
      </c>
      <c r="CT36" s="3" t="str">
        <f>IFERROR(__xludf.DUMMYFUNCTION("""COMPUTED_VALUE"""),"Plataforma Playo 3.00 x 1.90 x 0.45 Lateral Simple Baranda Ventilada")</f>
        <v>Plataforma Playo 3.00 x 1.90 x 0.45 Lateral Simple Baranda Ventilada</v>
      </c>
      <c r="CU36" s="3" t="str">
        <f>IFERROR(__xludf.DUMMYFUNCTION("""COMPUTED_VALUE"""),"Plataforma Playo 2.00 x 1.90 x 0.45 Lateral Simple Baranda Fija")</f>
        <v>Plataforma Playo 2.00 x 1.90 x 0.45 Lateral Simple Baranda Fija</v>
      </c>
      <c r="CV36" s="3" t="str">
        <f>IFERROR(__xludf.DUMMYFUNCTION("""COMPUTED_VALUE"""),"Plataforma Playo 5.00 x 1.90 x 0.60 Lateral Doble Baranda Fija")</f>
        <v>Plataforma Playo 5.00 x 1.90 x 0.60 Lateral Doble Baranda Fija</v>
      </c>
      <c r="CW36" s="3" t="str">
        <f>IFERROR(__xludf.DUMMYFUNCTION("""COMPUTED_VALUE"""),"Plataforma Playo 6.40 x 2.70 x 0.72 Lateral Doble Baranda Fija")</f>
        <v>Plataforma Playo 6.40 x 2.70 x 0.72 Lateral Doble Baranda Fija</v>
      </c>
      <c r="CX36" s="3" t="str">
        <f>IFERROR(__xludf.DUMMYFUNCTION("""COMPUTED_VALUE"""),"Chasis Acoplado Balancin L4000 Lanza Recta")</f>
        <v>Chasis Acoplado Balancin L4000 Lanza Recta</v>
      </c>
      <c r="CY36" s="3" t="str">
        <f>IFERROR(__xludf.DUMMYFUNCTION("""COMPUTED_VALUE"""),"Llanta simple Agrícola 750x20 centro 152")</f>
        <v>Llanta simple Agrícola 750x20 centro 152</v>
      </c>
      <c r="CZ36" s="3" t="str">
        <f>IFERROR(__xludf.DUMMYFUNCTION("""COMPUTED_VALUE"""),"Cajón de Herramientas Mediano adelante")</f>
        <v>Cajón de Herramientas Mediano adelante</v>
      </c>
      <c r="DA36" s="3" t="str">
        <f>IFERROR(__xludf.DUMMYFUNCTION("""COMPUTED_VALUE"""),"Llanta 15"" Simple Agrícola Centro 92")</f>
        <v>Llanta 15" Simple Agrícola Centro 92</v>
      </c>
    </row>
    <row r="37" hidden="1">
      <c r="A37" s="38">
        <f t="shared" si="1"/>
        <v>36</v>
      </c>
      <c r="B37" s="38">
        <f>IF(F37="","",SUMIF(Prearmados!E:E,F37,Prearmados!A:A))</f>
        <v>14</v>
      </c>
      <c r="C37" s="38">
        <f>IF(F37="","",SUMIF(Productos!E:E,G37,Productos!A:A))</f>
        <v>110</v>
      </c>
      <c r="D37" s="83" t="str">
        <f t="array" ref="D37">IF(OR(F37="",F37="Seleccionar.."),"",XLOOKUP(F37,Prearmados!E:E,Prearmados!F:F,"",0,1))</f>
        <v>Acoplados Rurales</v>
      </c>
      <c r="E37" s="83">
        <f>IF(H37="","",SUMIF(Precio_Productos!K:K,C37,Precio_Productos!J:J)*H37)</f>
        <v>476800</v>
      </c>
      <c r="F37" s="84" t="s">
        <v>337</v>
      </c>
      <c r="G37" s="84" t="s">
        <v>129</v>
      </c>
      <c r="H37" s="13">
        <v>4.0</v>
      </c>
      <c r="P37" s="3" t="str">
        <f>IFERROR(__xludf.DUMMYFUNCTION("IF(OR(F37="""",F37=""Seleccionar..""),"""",TRANSPOSE(FILTER(Productos!E:E,(Productos!F:F=D37)+(Productos!F:F=XLOOKUP(D37,Implementos!B:B,Implementos!C:C,""-"",0,1)))))"),"Tanque Combustible 1100 lts Bajo")</f>
        <v>Tanque Combustible 1100 lts Bajo</v>
      </c>
      <c r="Q37" s="3" t="str">
        <f>IFERROR(__xludf.DUMMYFUNCTION("""COMPUTED_VALUE"""),"Tanque Combustible 1500 lts Standard")</f>
        <v>Tanque Combustible 1500 lts Standard</v>
      </c>
      <c r="R37" s="3" t="str">
        <f>IFERROR(__xludf.DUMMYFUNCTION("""COMPUTED_VALUE"""),"Tanque Combustible 1800 lts Standard")</f>
        <v>Tanque Combustible 1800 lts Standard</v>
      </c>
      <c r="S37" s="3" t="str">
        <f>IFERROR(__xludf.DUMMYFUNCTION("""COMPUTED_VALUE"""),"Tanque Combustible 2000 lts Bajo")</f>
        <v>Tanque Combustible 2000 lts Bajo</v>
      </c>
      <c r="T37" s="3" t="str">
        <f>IFERROR(__xludf.DUMMYFUNCTION("""COMPUTED_VALUE"""),"Tanque Combustible 2000 lts Standard")</f>
        <v>Tanque Combustible 2000 lts Standard</v>
      </c>
      <c r="U37" s="3" t="str">
        <f>IFERROR(__xludf.DUMMYFUNCTION("""COMPUTED_VALUE"""),"Tanque Combustible 3000 lts Standard")</f>
        <v>Tanque Combustible 3000 lts Standard</v>
      </c>
      <c r="V37" s="3" t="str">
        <f>IFERROR(__xludf.DUMMYFUNCTION("""COMPUTED_VALUE"""),"Tanque Combustible 3000 lts Alto")</f>
        <v>Tanque Combustible 3000 lts Alto</v>
      </c>
      <c r="W37" s="3" t="str">
        <f>IFERROR(__xludf.DUMMYFUNCTION("""COMPUTED_VALUE"""),"Tanque Combustible 4000 lts Standard")</f>
        <v>Tanque Combustible 4000 lts Standard</v>
      </c>
      <c r="X37" s="3" t="str">
        <f>IFERROR(__xludf.DUMMYFUNCTION("""COMPUTED_VALUE"""),"Tanque Combustible 5000 lts Standard")</f>
        <v>Tanque Combustible 5000 lts Standard</v>
      </c>
      <c r="Y37" s="3" t="str">
        <f>IFERROR(__xludf.DUMMYFUNCTION("""COMPUTED_VALUE"""),"Tanque Combustible 5000 lts Alto")</f>
        <v>Tanque Combustible 5000 lts Alto</v>
      </c>
      <c r="Z37" s="3" t="str">
        <f>IFERROR(__xludf.DUMMYFUNCTION("""COMPUTED_VALUE"""),"Tanque Combustible 2000 lts Alto")</f>
        <v>Tanque Combustible 2000 lts Alto</v>
      </c>
      <c r="AA37" s="3" t="str">
        <f>IFERROR(__xludf.DUMMYFUNCTION("""COMPUTED_VALUE"""),"Tanque Combustible 4000 lts Alto")</f>
        <v>Tanque Combustible 4000 lts Alto</v>
      </c>
      <c r="AB37" s="3" t="str">
        <f>IFERROR(__xludf.DUMMYFUNCTION("""COMPUTED_VALUE"""),"Baulera Standard - 750")</f>
        <v>Baulera Standard - 750</v>
      </c>
      <c r="AC37" s="3" t="str">
        <f>IFERROR(__xludf.DUMMYFUNCTION("""COMPUTED_VALUE"""),"Baulera Standard - 1700 - C/Laterales")</f>
        <v>Baulera Standard - 1700 - C/Laterales</v>
      </c>
      <c r="AD37" s="3" t="str">
        <f>IFERROR(__xludf.DUMMYFUNCTION("""COMPUTED_VALUE"""),"Baulera Standard - 1000 - C/Laterales")</f>
        <v>Baulera Standard - 1000 - C/Laterales</v>
      </c>
      <c r="AE37" s="3" t="str">
        <f>IFERROR(__xludf.DUMMYFUNCTION("""COMPUTED_VALUE"""),"Baulera Standard - 750 - C/Laterales")</f>
        <v>Baulera Standard - 750 - C/Laterales</v>
      </c>
      <c r="AF37" s="3" t="str">
        <f>IFERROR(__xludf.DUMMYFUNCTION("""COMPUTED_VALUE"""),"Baulera Standard - 1300 - C/Laterales")</f>
        <v>Baulera Standard - 1300 - C/Laterales</v>
      </c>
      <c r="AG37" s="3" t="str">
        <f>IFERROR(__xludf.DUMMYFUNCTION("""COMPUTED_VALUE"""),"Baulera Alta - 750")</f>
        <v>Baulera Alta - 750</v>
      </c>
      <c r="AH37" s="3" t="str">
        <f>IFERROR(__xludf.DUMMYFUNCTION("""COMPUTED_VALUE"""),"Baulera Alta - 1500 - C/Laterales")</f>
        <v>Baulera Alta - 1500 - C/Laterales</v>
      </c>
      <c r="AI37" s="3" t="str">
        <f>IFERROR(__xludf.DUMMYFUNCTION("""COMPUTED_VALUE"""),"Baulera Extendida 1700 - C/Laterales")</f>
        <v>Baulera Extendida 1700 - C/Laterales</v>
      </c>
      <c r="AJ37" s="3" t="str">
        <f>IFERROR(__xludf.DUMMYFUNCTION("""COMPUTED_VALUE"""),"Taller Móvil - 1500 x 1500 x 1700")</f>
        <v>Taller Móvil - 1500 x 1500 x 1700</v>
      </c>
      <c r="AK37" s="3" t="str">
        <f>IFERROR(__xludf.DUMMYFUNCTION("""COMPUTED_VALUE"""),"Cajón Herramientas Standard Derecho")</f>
        <v>Cajón Herramientas Standard Derecho</v>
      </c>
      <c r="AL37" s="3" t="str">
        <f>IFERROR(__xludf.DUMMYFUNCTION("""COMPUTED_VALUE"""),"Cajón Herramientas Standard Izquierdo")</f>
        <v>Cajón Herramientas Standard Izquierdo</v>
      </c>
      <c r="AM37" s="3" t="str">
        <f>IFERROR(__xludf.DUMMYFUNCTION("""COMPUTED_VALUE"""),"Cajón Herramientas Corto Derecho")</f>
        <v>Cajón Herramientas Corto Derecho</v>
      </c>
      <c r="AN37" s="3" t="str">
        <f>IFERROR(__xludf.DUMMYFUNCTION("""COMPUTED_VALUE"""),"Cajón Herramientas Corto Izquierdo")</f>
        <v>Cajón Herramientas Corto Izquierdo</v>
      </c>
      <c r="AO37" s="3" t="str">
        <f>IFERROR(__xludf.DUMMYFUNCTION("""COMPUTED_VALUE"""),"Cajón Herramientas Mediano Derecho")</f>
        <v>Cajón Herramientas Mediano Derecho</v>
      </c>
      <c r="AP37" s="3" t="str">
        <f>IFERROR(__xludf.DUMMYFUNCTION("""COMPUTED_VALUE"""),"Cajón Herramientas Mediano Izquierdo")</f>
        <v>Cajón Herramientas Mediano Izquierdo</v>
      </c>
      <c r="AQ37" s="3" t="str">
        <f>IFERROR(__xludf.DUMMYFUNCTION("""COMPUTED_VALUE"""),"Chasis Acoplado 2 Ejes L3000")</f>
        <v>Chasis Acoplado 2 Ejes L3000</v>
      </c>
      <c r="AR37" s="3" t="str">
        <f>IFERROR(__xludf.DUMMYFUNCTION("""COMPUTED_VALUE"""),"Chasis Acoplado 2 Ejes L3750")</f>
        <v>Chasis Acoplado 2 Ejes L3750</v>
      </c>
      <c r="AS37" s="3" t="str">
        <f>IFERROR(__xludf.DUMMYFUNCTION("""COMPUTED_VALUE"""),"Chasis Acoplado 2 Ejes L4000")</f>
        <v>Chasis Acoplado 2 Ejes L4000</v>
      </c>
      <c r="AT37" s="3" t="str">
        <f>IFERROR(__xludf.DUMMYFUNCTION("""COMPUTED_VALUE"""),"Chasis Acoplado 2 Ejes L4000 Reforzado")</f>
        <v>Chasis Acoplado 2 Ejes L4000 Reforzado</v>
      </c>
      <c r="AU37" s="3" t="str">
        <f>IFERROR(__xludf.DUMMYFUNCTION("""COMPUTED_VALUE"""),"Chasis Acoplado 2 Ejes L4750")</f>
        <v>Chasis Acoplado 2 Ejes L4750</v>
      </c>
      <c r="AV37" s="3" t="str">
        <f>IFERROR(__xludf.DUMMYFUNCTION("""COMPUTED_VALUE"""),"Chasis Acoplado 2 Ejes L4750 Reforzado")</f>
        <v>Chasis Acoplado 2 Ejes L4750 Reforzado</v>
      </c>
      <c r="AW37" s="3" t="str">
        <f>IFERROR(__xludf.DUMMYFUNCTION("""COMPUTED_VALUE"""),"Chasis Acoplado 2 Ejes L4750 Reforzado R. Camion")</f>
        <v>Chasis Acoplado 2 Ejes L4750 Reforzado R. Camion</v>
      </c>
      <c r="AX37" s="3" t="str">
        <f>IFERROR(__xludf.DUMMYFUNCTION("""COMPUTED_VALUE"""),"Chasis Acoplado 2 Ejes L5000")</f>
        <v>Chasis Acoplado 2 Ejes L5000</v>
      </c>
      <c r="AY37" s="3" t="str">
        <f>IFERROR(__xludf.DUMMYFUNCTION("""COMPUTED_VALUE"""),"Chasis Acoplado 2 Ejes L5750")</f>
        <v>Chasis Acoplado 2 Ejes L5750</v>
      </c>
      <c r="AZ37" s="3" t="str">
        <f>IFERROR(__xludf.DUMMYFUNCTION("""COMPUTED_VALUE"""),"Chasis Acoplado 2 Ejes L6400")</f>
        <v>Chasis Acoplado 2 Ejes L6400</v>
      </c>
      <c r="BA37" s="3" t="str">
        <f>IFERROR(__xludf.DUMMYFUNCTION("""COMPUTED_VALUE"""),"Chasis Acoplado 2 Ejes L4500")</f>
        <v>Chasis Acoplado 2 Ejes L4500</v>
      </c>
      <c r="BB37" s="3" t="str">
        <f>IFERROR(__xludf.DUMMYFUNCTION("""COMPUTED_VALUE"""),"Chasis Acoplado 1 Eje L1500")</f>
        <v>Chasis Acoplado 1 Eje L1500</v>
      </c>
      <c r="BC37" s="3" t="str">
        <f>IFERROR(__xludf.DUMMYFUNCTION("""COMPUTED_VALUE"""),"Chasis Acoplado 1 Eje L1800")</f>
        <v>Chasis Acoplado 1 Eje L1800</v>
      </c>
      <c r="BD37" s="3" t="str">
        <f>IFERROR(__xludf.DUMMYFUNCTION("""COMPUTED_VALUE"""),"Chasis Acoplado 1 Eje L1400")</f>
        <v>Chasis Acoplado 1 Eje L1400</v>
      </c>
      <c r="BE37" s="3" t="str">
        <f>IFERROR(__xludf.DUMMYFUNCTION("""COMPUTED_VALUE"""),"Chasis Acoplado Balancin L3000")</f>
        <v>Chasis Acoplado Balancin L3000</v>
      </c>
      <c r="BF37" s="3" t="str">
        <f>IFERROR(__xludf.DUMMYFUNCTION("""COMPUTED_VALUE"""),"Chasis Acoplado Balancin L3000 Lanza Corta")</f>
        <v>Chasis Acoplado Balancin L3000 Lanza Corta</v>
      </c>
      <c r="BG37" s="3" t="str">
        <f>IFERROR(__xludf.DUMMYFUNCTION("""COMPUTED_VALUE"""),"Chasis Acoplado Balancin L2000 Lanza Corta")</f>
        <v>Chasis Acoplado Balancin L2000 Lanza Corta</v>
      </c>
      <c r="BH37" s="3" t="str">
        <f>IFERROR(__xludf.DUMMYFUNCTION("""COMPUTED_VALUE"""),"Chasis Acoplado Balancin L3200 Lanza Corta")</f>
        <v>Chasis Acoplado Balancin L3200 Lanza Corta</v>
      </c>
      <c r="BI37" s="3" t="str">
        <f>IFERROR(__xludf.DUMMYFUNCTION("""COMPUTED_VALUE"""),"Chasis Acoplado Balancin L3200 Lanza Recta")</f>
        <v>Chasis Acoplado Balancin L3200 Lanza Recta</v>
      </c>
      <c r="BJ37" s="3" t="str">
        <f>IFERROR(__xludf.DUMMYFUNCTION("""COMPUTED_VALUE"""),"Chasis Acoplado Balancin L3200 Bajo Lanza Recta")</f>
        <v>Chasis Acoplado Balancin L3200 Bajo Lanza Recta</v>
      </c>
      <c r="BK37" s="3" t="str">
        <f>IFERROR(__xludf.DUMMYFUNCTION("""COMPUTED_VALUE"""),"Tanque Plastico Horizontal 750 Lts")</f>
        <v>Tanque Plastico Horizontal 750 Lts</v>
      </c>
      <c r="BL37" s="3" t="str">
        <f>IFERROR(__xludf.DUMMYFUNCTION("""COMPUTED_VALUE"""),"Medio Tanque Plastico Superior 700 Lts")</f>
        <v>Medio Tanque Plastico Superior 700 Lts</v>
      </c>
      <c r="BM37" s="3" t="str">
        <f>IFERROR(__xludf.DUMMYFUNCTION("""COMPUTED_VALUE"""),"Paquete de Elasticos 50 mm x 8 mm x 10 Hojas L850")</f>
        <v>Paquete de Elasticos 50 mm x 8 mm x 10 Hojas L850</v>
      </c>
      <c r="BN37" s="3" t="str">
        <f>IFERROR(__xludf.DUMMYFUNCTION("""COMPUTED_VALUE"""),"Paquete de Elasticos 63 mm x 8 mm x 10 Hojas L950")</f>
        <v>Paquete de Elasticos 63 mm x 8 mm x 10 Hojas L950</v>
      </c>
      <c r="BO37" s="3" t="str">
        <f>IFERROR(__xludf.DUMMYFUNCTION("""COMPUTED_VALUE"""),"Paquete de Elasticos 50 mm x 7 mm x 9 Hojas L850")</f>
        <v>Paquete de Elasticos 50 mm x 7 mm x 9 Hojas L850</v>
      </c>
      <c r="BP37" s="3" t="str">
        <f>IFERROR(__xludf.DUMMYFUNCTION("""COMPUTED_VALUE"""),"Paquete de Elasticos 63 mm x 8 mm x 8 Hojas L850")</f>
        <v>Paquete de Elasticos 63 mm x 8 mm x 8 Hojas L850</v>
      </c>
      <c r="BQ37" s="3" t="str">
        <f>IFERROR(__xludf.DUMMYFUNCTION("""COMPUTED_VALUE"""),"Paquete de Elasticos 63 mm x 10 mm x 10 Hojas L950")</f>
        <v>Paquete de Elasticos 63 mm x 10 mm x 10 Hojas L950</v>
      </c>
      <c r="BR37" s="3" t="str">
        <f>IFERROR(__xludf.DUMMYFUNCTION("""COMPUTED_VALUE"""),"Paquete de Elasticos 63 mm x 10 mm x 13 Hojas L975")</f>
        <v>Paquete de Elasticos 63 mm x 10 mm x 13 Hojas L975</v>
      </c>
      <c r="BS37" s="3" t="str">
        <f>IFERROR(__xludf.DUMMYFUNCTION("""COMPUTED_VALUE"""),"Paquete de Elasticos 50 mm x 7 mm x 9 Hojas L650")</f>
        <v>Paquete de Elasticos 50 mm x 7 mm x 9 Hojas L650</v>
      </c>
      <c r="BT37" s="3" t="str">
        <f>IFERROR(__xludf.DUMMYFUNCTION("""COMPUTED_VALUE"""),"Eje Acoplado 2"" x 1600 (06/08) Agrícola Centro 92")</f>
        <v>Eje Acoplado 2" x 1600 (06/08) Agrícola Centro 92</v>
      </c>
      <c r="BU37" s="3" t="str">
        <f>IFERROR(__xludf.DUMMYFUNCTION("""COMPUTED_VALUE"""),"Eje Acoplado 2 1/2"" x 1600 (07/09) Agrícola Centro 92")</f>
        <v>Eje Acoplado 2 1/2" x 1600 (07/09) Agrícola Centro 92</v>
      </c>
      <c r="BV37" s="3" t="str">
        <f>IFERROR(__xludf.DUMMYFUNCTION("""COMPUTED_VALUE"""),"Eje Acoplado 2 1/2"" x 1600 (09/11) Agrícola Centro 150")</f>
        <v>Eje Acoplado 2 1/2" x 1600 (09/11) Agrícola Centro 150</v>
      </c>
      <c r="BW37" s="3" t="str">
        <f>IFERROR(__xludf.DUMMYFUNCTION("""COMPUTED_VALUE"""),"Eje Acoplado 3"" x 1600 (10/13) Agrícola Centro 150")</f>
        <v>Eje Acoplado 3" x 1600 (10/13) Agrícola Centro 150</v>
      </c>
      <c r="BX37" s="3" t="str">
        <f>IFERROR(__xludf.DUMMYFUNCTION("""COMPUTED_VALUE"""),"Eje Acoplado 2 1/2"" x 2140 (07/09) Agrícola Centro 92")</f>
        <v>Eje Acoplado 2 1/2" x 2140 (07/09) Agrícola Centro 92</v>
      </c>
      <c r="BY37" s="3" t="str">
        <f>IFERROR(__xludf.DUMMYFUNCTION("""COMPUTED_VALUE"""),"Eje Acoplado 2"" x 1400 (06/08) Agrícola Centro 92")</f>
        <v>Eje Acoplado 2" x 1400 (06/08) Agrícola Centro 92</v>
      </c>
      <c r="BZ37" s="3" t="str">
        <f>IFERROR(__xludf.DUMMYFUNCTION("""COMPUTED_VALUE"""),"Eje Acoplado 2 1/2"" x 1500 (07/09) Agrícola Centro 92")</f>
        <v>Eje Acoplado 2 1/2" x 1500 (07/09) Agrícola Centro 92</v>
      </c>
      <c r="CA37" s="3" t="str">
        <f>IFERROR(__xludf.DUMMYFUNCTION("""COMPUTED_VALUE"""),"Eje Acoplado 2 1/2"" x 2000 (07/09) Agrícola Centro 92")</f>
        <v>Eje Acoplado 2 1/2" x 2000 (07/09) Agrícola Centro 92</v>
      </c>
      <c r="CB37" s="3" t="str">
        <f>IFERROR(__xludf.DUMMYFUNCTION("""COMPUTED_VALUE"""),"Eje Acoplado 2 1/2"" x 2100 (09/11) Agrícola Centro 150")</f>
        <v>Eje Acoplado 2 1/2" x 2100 (09/11) Agrícola Centro 150</v>
      </c>
      <c r="CC37" s="3" t="str">
        <f>IFERROR(__xludf.DUMMYFUNCTION("""COMPUTED_VALUE"""),"Llanta 16"" Simple Agrícola Centro 92")</f>
        <v>Llanta 16" Simple Agrícola Centro 92</v>
      </c>
      <c r="CD37" s="3" t="str">
        <f>IFERROR(__xludf.DUMMYFUNCTION("""COMPUTED_VALUE"""),"Llanta 16"" Dual Agrícola Centro 92")</f>
        <v>Llanta 16" Dual Agrícola Centro 92</v>
      </c>
      <c r="CE37" s="3" t="str">
        <f>IFERROR(__xludf.DUMMYFUNCTION("""COMPUTED_VALUE"""),"Llanta 17"" Simple Agrícola Centro 92")</f>
        <v>Llanta 17" Simple Agrícola Centro 92</v>
      </c>
      <c r="CF37" s="3" t="str">
        <f>IFERROR(__xludf.DUMMYFUNCTION("""COMPUTED_VALUE"""),"Llanta 17"" Dual Agrícola Centro 92")</f>
        <v>Llanta 17" Dual Agrícola Centro 92</v>
      </c>
      <c r="CG37" s="3" t="str">
        <f>IFERROR(__xludf.DUMMYFUNCTION("""COMPUTED_VALUE"""),"Llanta 16"" Dual Agrícola Centro 152")</f>
        <v>Llanta 16" Dual Agrícola Centro 152</v>
      </c>
      <c r="CH37" s="3" t="str">
        <f>IFERROR(__xludf.DUMMYFUNCTION("""COMPUTED_VALUE"""),"Llanta 17"" Dual Agrícola Centro 152")</f>
        <v>Llanta 17" Dual Agrícola Centro 152</v>
      </c>
      <c r="CI37" s="3" t="str">
        <f>IFERROR(__xludf.DUMMYFUNCTION("""COMPUTED_VALUE"""),"Eje Acoplado 2"" x 1600 (05/07) Agrícola Centro 92")</f>
        <v>Eje Acoplado 2" x 1600 (05/07) Agrícola Centro 92</v>
      </c>
      <c r="CJ37" s="3" t="str">
        <f>IFERROR(__xludf.DUMMYFUNCTION("""COMPUTED_VALUE"""),"Paquete de Elásticos 50 mm x 8 mm x 12 Hojas")</f>
        <v>Paquete de Elásticos 50 mm x 8 mm x 12 Hojas</v>
      </c>
      <c r="CK37" s="3" t="str">
        <f>IFERROR(__xludf.DUMMYFUNCTION("""COMPUTED_VALUE"""),"Plataforma Playo 4.00 x 1.90 x 0.45 Lateral Simple Baranda Fija")</f>
        <v>Plataforma Playo 4.00 x 1.90 x 0.45 Lateral Simple Baranda Fija</v>
      </c>
      <c r="CL37" s="3" t="str">
        <f>IFERROR(__xludf.DUMMYFUNCTION("""COMPUTED_VALUE"""),"Plataforma Playo 4.00 x 1.90 x 0.45 Lateral Simple Baranda Ventilada")</f>
        <v>Plataforma Playo 4.00 x 1.90 x 0.45 Lateral Simple Baranda Ventilada</v>
      </c>
      <c r="CM37" s="3" t="str">
        <f>IFERROR(__xludf.DUMMYFUNCTION("""COMPUTED_VALUE"""),"Plataforma Playo 4.00 x 1.90 x 0.45 Lateral Doble Baranda Ventilada")</f>
        <v>Plataforma Playo 4.00 x 1.90 x 0.45 Lateral Doble Baranda Ventilada</v>
      </c>
      <c r="CN37" s="3" t="str">
        <f>IFERROR(__xludf.DUMMYFUNCTION("""COMPUTED_VALUE"""),"Plataforma Playo 4.00 x 1.90 x 0.45 Lateral Doble Baranda Fija")</f>
        <v>Plataforma Playo 4.00 x 1.90 x 0.45 Lateral Doble Baranda Fija</v>
      </c>
      <c r="CO37" s="3" t="str">
        <f>IFERROR(__xludf.DUMMYFUNCTION("""COMPUTED_VALUE"""),"Plataforma Playo 4.00 x 1.90 x 0.72 Lateral Simple Baranda Fija")</f>
        <v>Plataforma Playo 4.00 x 1.90 x 0.72 Lateral Simple Baranda Fija</v>
      </c>
      <c r="CP37" s="3" t="str">
        <f>IFERROR(__xludf.DUMMYFUNCTION("""COMPUTED_VALUE"""),"Plataforma Playo 4.00 x 1.90 x 0.72 Lateral Doble Baranda Fija")</f>
        <v>Plataforma Playo 4.00 x 1.90 x 0.72 Lateral Doble Baranda Fija</v>
      </c>
      <c r="CQ37" s="3" t="str">
        <f>IFERROR(__xludf.DUMMYFUNCTION("""COMPUTED_VALUE"""),"Plataforma Playo 5.00 x 2.20 x 0.60 Lateral Doble Trasera Rebatible")</f>
        <v>Plataforma Playo 5.00 x 2.20 x 0.60 Lateral Doble Trasera Rebatible</v>
      </c>
      <c r="CR37" s="3" t="str">
        <f>IFERROR(__xludf.DUMMYFUNCTION("""COMPUTED_VALUE"""),"Plataforma Playo 5.00 x 2.20 x 0.60 Lateral Doble Baranda Fija C/Toldo")</f>
        <v>Plataforma Playo 5.00 x 2.20 x 0.60 Lateral Doble Baranda Fija C/Toldo</v>
      </c>
      <c r="CS37" s="3" t="str">
        <f>IFERROR(__xludf.DUMMYFUNCTION("""COMPUTED_VALUE"""),"Plataforma Playo 3.00 x 1.90 x 0.45 Lateral Simple Baranda Fija")</f>
        <v>Plataforma Playo 3.00 x 1.90 x 0.45 Lateral Simple Baranda Fija</v>
      </c>
      <c r="CT37" s="3" t="str">
        <f>IFERROR(__xludf.DUMMYFUNCTION("""COMPUTED_VALUE"""),"Plataforma Playo 3.00 x 1.90 x 0.45 Lateral Simple Baranda Ventilada")</f>
        <v>Plataforma Playo 3.00 x 1.90 x 0.45 Lateral Simple Baranda Ventilada</v>
      </c>
      <c r="CU37" s="3" t="str">
        <f>IFERROR(__xludf.DUMMYFUNCTION("""COMPUTED_VALUE"""),"Plataforma Playo 2.00 x 1.90 x 0.45 Lateral Simple Baranda Fija")</f>
        <v>Plataforma Playo 2.00 x 1.90 x 0.45 Lateral Simple Baranda Fija</v>
      </c>
      <c r="CV37" s="3" t="str">
        <f>IFERROR(__xludf.DUMMYFUNCTION("""COMPUTED_VALUE"""),"Plataforma Playo 5.00 x 1.90 x 0.60 Lateral Doble Baranda Fija")</f>
        <v>Plataforma Playo 5.00 x 1.90 x 0.60 Lateral Doble Baranda Fija</v>
      </c>
      <c r="CW37" s="3" t="str">
        <f>IFERROR(__xludf.DUMMYFUNCTION("""COMPUTED_VALUE"""),"Plataforma Playo 6.40 x 2.70 x 0.72 Lateral Doble Baranda Fija")</f>
        <v>Plataforma Playo 6.40 x 2.70 x 0.72 Lateral Doble Baranda Fija</v>
      </c>
      <c r="CX37" s="3" t="str">
        <f>IFERROR(__xludf.DUMMYFUNCTION("""COMPUTED_VALUE"""),"Chasis Acoplado Balancin L4000 Lanza Recta")</f>
        <v>Chasis Acoplado Balancin L4000 Lanza Recta</v>
      </c>
      <c r="CY37" s="3" t="str">
        <f>IFERROR(__xludf.DUMMYFUNCTION("""COMPUTED_VALUE"""),"Llanta simple Agrícola 750x20 centro 152")</f>
        <v>Llanta simple Agrícola 750x20 centro 152</v>
      </c>
      <c r="CZ37" s="3" t="str">
        <f>IFERROR(__xludf.DUMMYFUNCTION("""COMPUTED_VALUE"""),"Cajón de Herramientas Mediano adelante")</f>
        <v>Cajón de Herramientas Mediano adelante</v>
      </c>
      <c r="DA37" s="3" t="str">
        <f>IFERROR(__xludf.DUMMYFUNCTION("""COMPUTED_VALUE"""),"Llanta 15"" Simple Agrícola Centro 92")</f>
        <v>Llanta 15" Simple Agrícola Centro 92</v>
      </c>
    </row>
    <row r="38" hidden="1">
      <c r="A38" s="38">
        <f t="shared" si="1"/>
        <v>37</v>
      </c>
      <c r="B38" s="38">
        <f>IF(F38="","",SUMIF(Prearmados!E:E,F38,Prearmados!A:A))</f>
        <v>15</v>
      </c>
      <c r="C38" s="38">
        <f>IF(F38="","",SUMIF(Productos!E:E,G38,Productos!A:A))</f>
        <v>52</v>
      </c>
      <c r="D38" s="83" t="str">
        <f t="array" ref="D38">IF(OR(F38="",F38="Seleccionar.."),"",XLOOKUP(F38,Prearmados!E:E,Prearmados!F:F,"",0,1))</f>
        <v>Acoplados Rurales</v>
      </c>
      <c r="E38" s="83">
        <f>IF(H38="","",SUMIF(Precio_Productos!K:K,C38,Precio_Productos!J:J)*H38)</f>
        <v>2953506</v>
      </c>
      <c r="F38" s="84" t="s">
        <v>338</v>
      </c>
      <c r="G38" s="84" t="s">
        <v>65</v>
      </c>
      <c r="H38" s="13">
        <v>1.0</v>
      </c>
      <c r="P38" s="3" t="str">
        <f>IFERROR(__xludf.DUMMYFUNCTION("IF(OR(F38="""",F38=""Seleccionar..""),"""",TRANSPOSE(FILTER(Productos!E:E,(Productos!F:F=D38)+(Productos!F:F=XLOOKUP(D38,Implementos!B:B,Implementos!C:C,""-"",0,1)))))"),"Tanque Combustible 1100 lts Bajo")</f>
        <v>Tanque Combustible 1100 lts Bajo</v>
      </c>
      <c r="Q38" s="3" t="str">
        <f>IFERROR(__xludf.DUMMYFUNCTION("""COMPUTED_VALUE"""),"Tanque Combustible 1500 lts Standard")</f>
        <v>Tanque Combustible 1500 lts Standard</v>
      </c>
      <c r="R38" s="3" t="str">
        <f>IFERROR(__xludf.DUMMYFUNCTION("""COMPUTED_VALUE"""),"Tanque Combustible 1800 lts Standard")</f>
        <v>Tanque Combustible 1800 lts Standard</v>
      </c>
      <c r="S38" s="3" t="str">
        <f>IFERROR(__xludf.DUMMYFUNCTION("""COMPUTED_VALUE"""),"Tanque Combustible 2000 lts Bajo")</f>
        <v>Tanque Combustible 2000 lts Bajo</v>
      </c>
      <c r="T38" s="3" t="str">
        <f>IFERROR(__xludf.DUMMYFUNCTION("""COMPUTED_VALUE"""),"Tanque Combustible 2000 lts Standard")</f>
        <v>Tanque Combustible 2000 lts Standard</v>
      </c>
      <c r="U38" s="3" t="str">
        <f>IFERROR(__xludf.DUMMYFUNCTION("""COMPUTED_VALUE"""),"Tanque Combustible 3000 lts Standard")</f>
        <v>Tanque Combustible 3000 lts Standard</v>
      </c>
      <c r="V38" s="3" t="str">
        <f>IFERROR(__xludf.DUMMYFUNCTION("""COMPUTED_VALUE"""),"Tanque Combustible 3000 lts Alto")</f>
        <v>Tanque Combustible 3000 lts Alto</v>
      </c>
      <c r="W38" s="3" t="str">
        <f>IFERROR(__xludf.DUMMYFUNCTION("""COMPUTED_VALUE"""),"Tanque Combustible 4000 lts Standard")</f>
        <v>Tanque Combustible 4000 lts Standard</v>
      </c>
      <c r="X38" s="3" t="str">
        <f>IFERROR(__xludf.DUMMYFUNCTION("""COMPUTED_VALUE"""),"Tanque Combustible 5000 lts Standard")</f>
        <v>Tanque Combustible 5000 lts Standard</v>
      </c>
      <c r="Y38" s="3" t="str">
        <f>IFERROR(__xludf.DUMMYFUNCTION("""COMPUTED_VALUE"""),"Tanque Combustible 5000 lts Alto")</f>
        <v>Tanque Combustible 5000 lts Alto</v>
      </c>
      <c r="Z38" s="3" t="str">
        <f>IFERROR(__xludf.DUMMYFUNCTION("""COMPUTED_VALUE"""),"Tanque Combustible 2000 lts Alto")</f>
        <v>Tanque Combustible 2000 lts Alto</v>
      </c>
      <c r="AA38" s="3" t="str">
        <f>IFERROR(__xludf.DUMMYFUNCTION("""COMPUTED_VALUE"""),"Tanque Combustible 4000 lts Alto")</f>
        <v>Tanque Combustible 4000 lts Alto</v>
      </c>
      <c r="AB38" s="3" t="str">
        <f>IFERROR(__xludf.DUMMYFUNCTION("""COMPUTED_VALUE"""),"Baulera Standard - 750")</f>
        <v>Baulera Standard - 750</v>
      </c>
      <c r="AC38" s="3" t="str">
        <f>IFERROR(__xludf.DUMMYFUNCTION("""COMPUTED_VALUE"""),"Baulera Standard - 1700 - C/Laterales")</f>
        <v>Baulera Standard - 1700 - C/Laterales</v>
      </c>
      <c r="AD38" s="3" t="str">
        <f>IFERROR(__xludf.DUMMYFUNCTION("""COMPUTED_VALUE"""),"Baulera Standard - 1000 - C/Laterales")</f>
        <v>Baulera Standard - 1000 - C/Laterales</v>
      </c>
      <c r="AE38" s="3" t="str">
        <f>IFERROR(__xludf.DUMMYFUNCTION("""COMPUTED_VALUE"""),"Baulera Standard - 750 - C/Laterales")</f>
        <v>Baulera Standard - 750 - C/Laterales</v>
      </c>
      <c r="AF38" s="3" t="str">
        <f>IFERROR(__xludf.DUMMYFUNCTION("""COMPUTED_VALUE"""),"Baulera Standard - 1300 - C/Laterales")</f>
        <v>Baulera Standard - 1300 - C/Laterales</v>
      </c>
      <c r="AG38" s="3" t="str">
        <f>IFERROR(__xludf.DUMMYFUNCTION("""COMPUTED_VALUE"""),"Baulera Alta - 750")</f>
        <v>Baulera Alta - 750</v>
      </c>
      <c r="AH38" s="3" t="str">
        <f>IFERROR(__xludf.DUMMYFUNCTION("""COMPUTED_VALUE"""),"Baulera Alta - 1500 - C/Laterales")</f>
        <v>Baulera Alta - 1500 - C/Laterales</v>
      </c>
      <c r="AI38" s="3" t="str">
        <f>IFERROR(__xludf.DUMMYFUNCTION("""COMPUTED_VALUE"""),"Baulera Extendida 1700 - C/Laterales")</f>
        <v>Baulera Extendida 1700 - C/Laterales</v>
      </c>
      <c r="AJ38" s="3" t="str">
        <f>IFERROR(__xludf.DUMMYFUNCTION("""COMPUTED_VALUE"""),"Taller Móvil - 1500 x 1500 x 1700")</f>
        <v>Taller Móvil - 1500 x 1500 x 1700</v>
      </c>
      <c r="AK38" s="3" t="str">
        <f>IFERROR(__xludf.DUMMYFUNCTION("""COMPUTED_VALUE"""),"Cajón Herramientas Standard Derecho")</f>
        <v>Cajón Herramientas Standard Derecho</v>
      </c>
      <c r="AL38" s="3" t="str">
        <f>IFERROR(__xludf.DUMMYFUNCTION("""COMPUTED_VALUE"""),"Cajón Herramientas Standard Izquierdo")</f>
        <v>Cajón Herramientas Standard Izquierdo</v>
      </c>
      <c r="AM38" s="3" t="str">
        <f>IFERROR(__xludf.DUMMYFUNCTION("""COMPUTED_VALUE"""),"Cajón Herramientas Corto Derecho")</f>
        <v>Cajón Herramientas Corto Derecho</v>
      </c>
      <c r="AN38" s="3" t="str">
        <f>IFERROR(__xludf.DUMMYFUNCTION("""COMPUTED_VALUE"""),"Cajón Herramientas Corto Izquierdo")</f>
        <v>Cajón Herramientas Corto Izquierdo</v>
      </c>
      <c r="AO38" s="3" t="str">
        <f>IFERROR(__xludf.DUMMYFUNCTION("""COMPUTED_VALUE"""),"Cajón Herramientas Mediano Derecho")</f>
        <v>Cajón Herramientas Mediano Derecho</v>
      </c>
      <c r="AP38" s="3" t="str">
        <f>IFERROR(__xludf.DUMMYFUNCTION("""COMPUTED_VALUE"""),"Cajón Herramientas Mediano Izquierdo")</f>
        <v>Cajón Herramientas Mediano Izquierdo</v>
      </c>
      <c r="AQ38" s="3" t="str">
        <f>IFERROR(__xludf.DUMMYFUNCTION("""COMPUTED_VALUE"""),"Chasis Acoplado 2 Ejes L3000")</f>
        <v>Chasis Acoplado 2 Ejes L3000</v>
      </c>
      <c r="AR38" s="3" t="str">
        <f>IFERROR(__xludf.DUMMYFUNCTION("""COMPUTED_VALUE"""),"Chasis Acoplado 2 Ejes L3750")</f>
        <v>Chasis Acoplado 2 Ejes L3750</v>
      </c>
      <c r="AS38" s="3" t="str">
        <f>IFERROR(__xludf.DUMMYFUNCTION("""COMPUTED_VALUE"""),"Chasis Acoplado 2 Ejes L4000")</f>
        <v>Chasis Acoplado 2 Ejes L4000</v>
      </c>
      <c r="AT38" s="3" t="str">
        <f>IFERROR(__xludf.DUMMYFUNCTION("""COMPUTED_VALUE"""),"Chasis Acoplado 2 Ejes L4000 Reforzado")</f>
        <v>Chasis Acoplado 2 Ejes L4000 Reforzado</v>
      </c>
      <c r="AU38" s="3" t="str">
        <f>IFERROR(__xludf.DUMMYFUNCTION("""COMPUTED_VALUE"""),"Chasis Acoplado 2 Ejes L4750")</f>
        <v>Chasis Acoplado 2 Ejes L4750</v>
      </c>
      <c r="AV38" s="3" t="str">
        <f>IFERROR(__xludf.DUMMYFUNCTION("""COMPUTED_VALUE"""),"Chasis Acoplado 2 Ejes L4750 Reforzado")</f>
        <v>Chasis Acoplado 2 Ejes L4750 Reforzado</v>
      </c>
      <c r="AW38" s="3" t="str">
        <f>IFERROR(__xludf.DUMMYFUNCTION("""COMPUTED_VALUE"""),"Chasis Acoplado 2 Ejes L4750 Reforzado R. Camion")</f>
        <v>Chasis Acoplado 2 Ejes L4750 Reforzado R. Camion</v>
      </c>
      <c r="AX38" s="3" t="str">
        <f>IFERROR(__xludf.DUMMYFUNCTION("""COMPUTED_VALUE"""),"Chasis Acoplado 2 Ejes L5000")</f>
        <v>Chasis Acoplado 2 Ejes L5000</v>
      </c>
      <c r="AY38" s="3" t="str">
        <f>IFERROR(__xludf.DUMMYFUNCTION("""COMPUTED_VALUE"""),"Chasis Acoplado 2 Ejes L5750")</f>
        <v>Chasis Acoplado 2 Ejes L5750</v>
      </c>
      <c r="AZ38" s="3" t="str">
        <f>IFERROR(__xludf.DUMMYFUNCTION("""COMPUTED_VALUE"""),"Chasis Acoplado 2 Ejes L6400")</f>
        <v>Chasis Acoplado 2 Ejes L6400</v>
      </c>
      <c r="BA38" s="3" t="str">
        <f>IFERROR(__xludf.DUMMYFUNCTION("""COMPUTED_VALUE"""),"Chasis Acoplado 2 Ejes L4500")</f>
        <v>Chasis Acoplado 2 Ejes L4500</v>
      </c>
      <c r="BB38" s="3" t="str">
        <f>IFERROR(__xludf.DUMMYFUNCTION("""COMPUTED_VALUE"""),"Chasis Acoplado 1 Eje L1500")</f>
        <v>Chasis Acoplado 1 Eje L1500</v>
      </c>
      <c r="BC38" s="3" t="str">
        <f>IFERROR(__xludf.DUMMYFUNCTION("""COMPUTED_VALUE"""),"Chasis Acoplado 1 Eje L1800")</f>
        <v>Chasis Acoplado 1 Eje L1800</v>
      </c>
      <c r="BD38" s="3" t="str">
        <f>IFERROR(__xludf.DUMMYFUNCTION("""COMPUTED_VALUE"""),"Chasis Acoplado 1 Eje L1400")</f>
        <v>Chasis Acoplado 1 Eje L1400</v>
      </c>
      <c r="BE38" s="3" t="str">
        <f>IFERROR(__xludf.DUMMYFUNCTION("""COMPUTED_VALUE"""),"Chasis Acoplado Balancin L3000")</f>
        <v>Chasis Acoplado Balancin L3000</v>
      </c>
      <c r="BF38" s="3" t="str">
        <f>IFERROR(__xludf.DUMMYFUNCTION("""COMPUTED_VALUE"""),"Chasis Acoplado Balancin L3000 Lanza Corta")</f>
        <v>Chasis Acoplado Balancin L3000 Lanza Corta</v>
      </c>
      <c r="BG38" s="3" t="str">
        <f>IFERROR(__xludf.DUMMYFUNCTION("""COMPUTED_VALUE"""),"Chasis Acoplado Balancin L2000 Lanza Corta")</f>
        <v>Chasis Acoplado Balancin L2000 Lanza Corta</v>
      </c>
      <c r="BH38" s="3" t="str">
        <f>IFERROR(__xludf.DUMMYFUNCTION("""COMPUTED_VALUE"""),"Chasis Acoplado Balancin L3200 Lanza Corta")</f>
        <v>Chasis Acoplado Balancin L3200 Lanza Corta</v>
      </c>
      <c r="BI38" s="3" t="str">
        <f>IFERROR(__xludf.DUMMYFUNCTION("""COMPUTED_VALUE"""),"Chasis Acoplado Balancin L3200 Lanza Recta")</f>
        <v>Chasis Acoplado Balancin L3200 Lanza Recta</v>
      </c>
      <c r="BJ38" s="3" t="str">
        <f>IFERROR(__xludf.DUMMYFUNCTION("""COMPUTED_VALUE"""),"Chasis Acoplado Balancin L3200 Bajo Lanza Recta")</f>
        <v>Chasis Acoplado Balancin L3200 Bajo Lanza Recta</v>
      </c>
      <c r="BK38" s="3" t="str">
        <f>IFERROR(__xludf.DUMMYFUNCTION("""COMPUTED_VALUE"""),"Tanque Plastico Horizontal 750 Lts")</f>
        <v>Tanque Plastico Horizontal 750 Lts</v>
      </c>
      <c r="BL38" s="3" t="str">
        <f>IFERROR(__xludf.DUMMYFUNCTION("""COMPUTED_VALUE"""),"Medio Tanque Plastico Superior 700 Lts")</f>
        <v>Medio Tanque Plastico Superior 700 Lts</v>
      </c>
      <c r="BM38" s="3" t="str">
        <f>IFERROR(__xludf.DUMMYFUNCTION("""COMPUTED_VALUE"""),"Paquete de Elasticos 50 mm x 8 mm x 10 Hojas L850")</f>
        <v>Paquete de Elasticos 50 mm x 8 mm x 10 Hojas L850</v>
      </c>
      <c r="BN38" s="3" t="str">
        <f>IFERROR(__xludf.DUMMYFUNCTION("""COMPUTED_VALUE"""),"Paquete de Elasticos 63 mm x 8 mm x 10 Hojas L950")</f>
        <v>Paquete de Elasticos 63 mm x 8 mm x 10 Hojas L950</v>
      </c>
      <c r="BO38" s="3" t="str">
        <f>IFERROR(__xludf.DUMMYFUNCTION("""COMPUTED_VALUE"""),"Paquete de Elasticos 50 mm x 7 mm x 9 Hojas L850")</f>
        <v>Paquete de Elasticos 50 mm x 7 mm x 9 Hojas L850</v>
      </c>
      <c r="BP38" s="3" t="str">
        <f>IFERROR(__xludf.DUMMYFUNCTION("""COMPUTED_VALUE"""),"Paquete de Elasticos 63 mm x 8 mm x 8 Hojas L850")</f>
        <v>Paquete de Elasticos 63 mm x 8 mm x 8 Hojas L850</v>
      </c>
      <c r="BQ38" s="3" t="str">
        <f>IFERROR(__xludf.DUMMYFUNCTION("""COMPUTED_VALUE"""),"Paquete de Elasticos 63 mm x 10 mm x 10 Hojas L950")</f>
        <v>Paquete de Elasticos 63 mm x 10 mm x 10 Hojas L950</v>
      </c>
      <c r="BR38" s="3" t="str">
        <f>IFERROR(__xludf.DUMMYFUNCTION("""COMPUTED_VALUE"""),"Paquete de Elasticos 63 mm x 10 mm x 13 Hojas L975")</f>
        <v>Paquete de Elasticos 63 mm x 10 mm x 13 Hojas L975</v>
      </c>
      <c r="BS38" s="3" t="str">
        <f>IFERROR(__xludf.DUMMYFUNCTION("""COMPUTED_VALUE"""),"Paquete de Elasticos 50 mm x 7 mm x 9 Hojas L650")</f>
        <v>Paquete de Elasticos 50 mm x 7 mm x 9 Hojas L650</v>
      </c>
      <c r="BT38" s="3" t="str">
        <f>IFERROR(__xludf.DUMMYFUNCTION("""COMPUTED_VALUE"""),"Eje Acoplado 2"" x 1600 (06/08) Agrícola Centro 92")</f>
        <v>Eje Acoplado 2" x 1600 (06/08) Agrícola Centro 92</v>
      </c>
      <c r="BU38" s="3" t="str">
        <f>IFERROR(__xludf.DUMMYFUNCTION("""COMPUTED_VALUE"""),"Eje Acoplado 2 1/2"" x 1600 (07/09) Agrícola Centro 92")</f>
        <v>Eje Acoplado 2 1/2" x 1600 (07/09) Agrícola Centro 92</v>
      </c>
      <c r="BV38" s="3" t="str">
        <f>IFERROR(__xludf.DUMMYFUNCTION("""COMPUTED_VALUE"""),"Eje Acoplado 2 1/2"" x 1600 (09/11) Agrícola Centro 150")</f>
        <v>Eje Acoplado 2 1/2" x 1600 (09/11) Agrícola Centro 150</v>
      </c>
      <c r="BW38" s="3" t="str">
        <f>IFERROR(__xludf.DUMMYFUNCTION("""COMPUTED_VALUE"""),"Eje Acoplado 3"" x 1600 (10/13) Agrícola Centro 150")</f>
        <v>Eje Acoplado 3" x 1600 (10/13) Agrícola Centro 150</v>
      </c>
      <c r="BX38" s="3" t="str">
        <f>IFERROR(__xludf.DUMMYFUNCTION("""COMPUTED_VALUE"""),"Eje Acoplado 2 1/2"" x 2140 (07/09) Agrícola Centro 92")</f>
        <v>Eje Acoplado 2 1/2" x 2140 (07/09) Agrícola Centro 92</v>
      </c>
      <c r="BY38" s="3" t="str">
        <f>IFERROR(__xludf.DUMMYFUNCTION("""COMPUTED_VALUE"""),"Eje Acoplado 2"" x 1400 (06/08) Agrícola Centro 92")</f>
        <v>Eje Acoplado 2" x 1400 (06/08) Agrícola Centro 92</v>
      </c>
      <c r="BZ38" s="3" t="str">
        <f>IFERROR(__xludf.DUMMYFUNCTION("""COMPUTED_VALUE"""),"Eje Acoplado 2 1/2"" x 1500 (07/09) Agrícola Centro 92")</f>
        <v>Eje Acoplado 2 1/2" x 1500 (07/09) Agrícola Centro 92</v>
      </c>
      <c r="CA38" s="3" t="str">
        <f>IFERROR(__xludf.DUMMYFUNCTION("""COMPUTED_VALUE"""),"Eje Acoplado 2 1/2"" x 2000 (07/09) Agrícola Centro 92")</f>
        <v>Eje Acoplado 2 1/2" x 2000 (07/09) Agrícola Centro 92</v>
      </c>
      <c r="CB38" s="3" t="str">
        <f>IFERROR(__xludf.DUMMYFUNCTION("""COMPUTED_VALUE"""),"Eje Acoplado 2 1/2"" x 2100 (09/11) Agrícola Centro 150")</f>
        <v>Eje Acoplado 2 1/2" x 2100 (09/11) Agrícola Centro 150</v>
      </c>
      <c r="CC38" s="3" t="str">
        <f>IFERROR(__xludf.DUMMYFUNCTION("""COMPUTED_VALUE"""),"Llanta 16"" Simple Agrícola Centro 92")</f>
        <v>Llanta 16" Simple Agrícola Centro 92</v>
      </c>
      <c r="CD38" s="3" t="str">
        <f>IFERROR(__xludf.DUMMYFUNCTION("""COMPUTED_VALUE"""),"Llanta 16"" Dual Agrícola Centro 92")</f>
        <v>Llanta 16" Dual Agrícola Centro 92</v>
      </c>
      <c r="CE38" s="3" t="str">
        <f>IFERROR(__xludf.DUMMYFUNCTION("""COMPUTED_VALUE"""),"Llanta 17"" Simple Agrícola Centro 92")</f>
        <v>Llanta 17" Simple Agrícola Centro 92</v>
      </c>
      <c r="CF38" s="3" t="str">
        <f>IFERROR(__xludf.DUMMYFUNCTION("""COMPUTED_VALUE"""),"Llanta 17"" Dual Agrícola Centro 92")</f>
        <v>Llanta 17" Dual Agrícola Centro 92</v>
      </c>
      <c r="CG38" s="3" t="str">
        <f>IFERROR(__xludf.DUMMYFUNCTION("""COMPUTED_VALUE"""),"Llanta 16"" Dual Agrícola Centro 152")</f>
        <v>Llanta 16" Dual Agrícola Centro 152</v>
      </c>
      <c r="CH38" s="3" t="str">
        <f>IFERROR(__xludf.DUMMYFUNCTION("""COMPUTED_VALUE"""),"Llanta 17"" Dual Agrícola Centro 152")</f>
        <v>Llanta 17" Dual Agrícola Centro 152</v>
      </c>
      <c r="CI38" s="3" t="str">
        <f>IFERROR(__xludf.DUMMYFUNCTION("""COMPUTED_VALUE"""),"Eje Acoplado 2"" x 1600 (05/07) Agrícola Centro 92")</f>
        <v>Eje Acoplado 2" x 1600 (05/07) Agrícola Centro 92</v>
      </c>
      <c r="CJ38" s="3" t="str">
        <f>IFERROR(__xludf.DUMMYFUNCTION("""COMPUTED_VALUE"""),"Paquete de Elásticos 50 mm x 8 mm x 12 Hojas")</f>
        <v>Paquete de Elásticos 50 mm x 8 mm x 12 Hojas</v>
      </c>
      <c r="CK38" s="3" t="str">
        <f>IFERROR(__xludf.DUMMYFUNCTION("""COMPUTED_VALUE"""),"Plataforma Playo 4.00 x 1.90 x 0.45 Lateral Simple Baranda Fija")</f>
        <v>Plataforma Playo 4.00 x 1.90 x 0.45 Lateral Simple Baranda Fija</v>
      </c>
      <c r="CL38" s="3" t="str">
        <f>IFERROR(__xludf.DUMMYFUNCTION("""COMPUTED_VALUE"""),"Plataforma Playo 4.00 x 1.90 x 0.45 Lateral Simple Baranda Ventilada")</f>
        <v>Plataforma Playo 4.00 x 1.90 x 0.45 Lateral Simple Baranda Ventilada</v>
      </c>
      <c r="CM38" s="3" t="str">
        <f>IFERROR(__xludf.DUMMYFUNCTION("""COMPUTED_VALUE"""),"Plataforma Playo 4.00 x 1.90 x 0.45 Lateral Doble Baranda Ventilada")</f>
        <v>Plataforma Playo 4.00 x 1.90 x 0.45 Lateral Doble Baranda Ventilada</v>
      </c>
      <c r="CN38" s="3" t="str">
        <f>IFERROR(__xludf.DUMMYFUNCTION("""COMPUTED_VALUE"""),"Plataforma Playo 4.00 x 1.90 x 0.45 Lateral Doble Baranda Fija")</f>
        <v>Plataforma Playo 4.00 x 1.90 x 0.45 Lateral Doble Baranda Fija</v>
      </c>
      <c r="CO38" s="3" t="str">
        <f>IFERROR(__xludf.DUMMYFUNCTION("""COMPUTED_VALUE"""),"Plataforma Playo 4.00 x 1.90 x 0.72 Lateral Simple Baranda Fija")</f>
        <v>Plataforma Playo 4.00 x 1.90 x 0.72 Lateral Simple Baranda Fija</v>
      </c>
      <c r="CP38" s="3" t="str">
        <f>IFERROR(__xludf.DUMMYFUNCTION("""COMPUTED_VALUE"""),"Plataforma Playo 4.00 x 1.90 x 0.72 Lateral Doble Baranda Fija")</f>
        <v>Plataforma Playo 4.00 x 1.90 x 0.72 Lateral Doble Baranda Fija</v>
      </c>
      <c r="CQ38" s="3" t="str">
        <f>IFERROR(__xludf.DUMMYFUNCTION("""COMPUTED_VALUE"""),"Plataforma Playo 5.00 x 2.20 x 0.60 Lateral Doble Trasera Rebatible")</f>
        <v>Plataforma Playo 5.00 x 2.20 x 0.60 Lateral Doble Trasera Rebatible</v>
      </c>
      <c r="CR38" s="3" t="str">
        <f>IFERROR(__xludf.DUMMYFUNCTION("""COMPUTED_VALUE"""),"Plataforma Playo 5.00 x 2.20 x 0.60 Lateral Doble Baranda Fija C/Toldo")</f>
        <v>Plataforma Playo 5.00 x 2.20 x 0.60 Lateral Doble Baranda Fija C/Toldo</v>
      </c>
      <c r="CS38" s="3" t="str">
        <f>IFERROR(__xludf.DUMMYFUNCTION("""COMPUTED_VALUE"""),"Plataforma Playo 3.00 x 1.90 x 0.45 Lateral Simple Baranda Fija")</f>
        <v>Plataforma Playo 3.00 x 1.90 x 0.45 Lateral Simple Baranda Fija</v>
      </c>
      <c r="CT38" s="3" t="str">
        <f>IFERROR(__xludf.DUMMYFUNCTION("""COMPUTED_VALUE"""),"Plataforma Playo 3.00 x 1.90 x 0.45 Lateral Simple Baranda Ventilada")</f>
        <v>Plataforma Playo 3.00 x 1.90 x 0.45 Lateral Simple Baranda Ventilada</v>
      </c>
      <c r="CU38" s="3" t="str">
        <f>IFERROR(__xludf.DUMMYFUNCTION("""COMPUTED_VALUE"""),"Plataforma Playo 2.00 x 1.90 x 0.45 Lateral Simple Baranda Fija")</f>
        <v>Plataforma Playo 2.00 x 1.90 x 0.45 Lateral Simple Baranda Fija</v>
      </c>
      <c r="CV38" s="3" t="str">
        <f>IFERROR(__xludf.DUMMYFUNCTION("""COMPUTED_VALUE"""),"Plataforma Playo 5.00 x 1.90 x 0.60 Lateral Doble Baranda Fija")</f>
        <v>Plataforma Playo 5.00 x 1.90 x 0.60 Lateral Doble Baranda Fija</v>
      </c>
      <c r="CW38" s="3" t="str">
        <f>IFERROR(__xludf.DUMMYFUNCTION("""COMPUTED_VALUE"""),"Plataforma Playo 6.40 x 2.70 x 0.72 Lateral Doble Baranda Fija")</f>
        <v>Plataforma Playo 6.40 x 2.70 x 0.72 Lateral Doble Baranda Fija</v>
      </c>
      <c r="CX38" s="3" t="str">
        <f>IFERROR(__xludf.DUMMYFUNCTION("""COMPUTED_VALUE"""),"Chasis Acoplado Balancin L4000 Lanza Recta")</f>
        <v>Chasis Acoplado Balancin L4000 Lanza Recta</v>
      </c>
      <c r="CY38" s="3" t="str">
        <f>IFERROR(__xludf.DUMMYFUNCTION("""COMPUTED_VALUE"""),"Llanta simple Agrícola 750x20 centro 152")</f>
        <v>Llanta simple Agrícola 750x20 centro 152</v>
      </c>
      <c r="CZ38" s="3" t="str">
        <f>IFERROR(__xludf.DUMMYFUNCTION("""COMPUTED_VALUE"""),"Cajón de Herramientas Mediano adelante")</f>
        <v>Cajón de Herramientas Mediano adelante</v>
      </c>
      <c r="DA38" s="3" t="str">
        <f>IFERROR(__xludf.DUMMYFUNCTION("""COMPUTED_VALUE"""),"Llanta 15"" Simple Agrícola Centro 92")</f>
        <v>Llanta 15" Simple Agrícola Centro 92</v>
      </c>
    </row>
    <row r="39" hidden="1">
      <c r="A39" s="38">
        <f t="shared" si="1"/>
        <v>38</v>
      </c>
      <c r="B39" s="38">
        <f>IF(F39="","",SUMIF(Prearmados!E:E,F39,Prearmados!A:A))</f>
        <v>15</v>
      </c>
      <c r="C39" s="38">
        <f>IF(F39="","",SUMIF(Productos!E:E,G39,Productos!A:A))</f>
        <v>74</v>
      </c>
      <c r="D39" s="83" t="str">
        <f t="array" ref="D39">IF(OR(F39="",F39="Seleccionar.."),"",XLOOKUP(F39,Prearmados!E:E,Prearmados!F:F,"",0,1))</f>
        <v>Acoplados Rurales</v>
      </c>
      <c r="E39" s="83">
        <f>IF(H39="","",SUMIF(Precio_Productos!K:K,C39,Precio_Productos!J:J)*H39)</f>
        <v>2480000</v>
      </c>
      <c r="F39" s="84" t="s">
        <v>338</v>
      </c>
      <c r="G39" s="84" t="s">
        <v>100</v>
      </c>
      <c r="H39" s="13">
        <v>1.0</v>
      </c>
      <c r="P39" s="3" t="str">
        <f>IFERROR(__xludf.DUMMYFUNCTION("IF(OR(F39="""",F39=""Seleccionar..""),"""",TRANSPOSE(FILTER(Productos!E:E,(Productos!F:F=D39)+(Productos!F:F=XLOOKUP(D39,Implementos!B:B,Implementos!C:C,""-"",0,1)))))"),"Tanque Combustible 1100 lts Bajo")</f>
        <v>Tanque Combustible 1100 lts Bajo</v>
      </c>
      <c r="Q39" s="3" t="str">
        <f>IFERROR(__xludf.DUMMYFUNCTION("""COMPUTED_VALUE"""),"Tanque Combustible 1500 lts Standard")</f>
        <v>Tanque Combustible 1500 lts Standard</v>
      </c>
      <c r="R39" s="3" t="str">
        <f>IFERROR(__xludf.DUMMYFUNCTION("""COMPUTED_VALUE"""),"Tanque Combustible 1800 lts Standard")</f>
        <v>Tanque Combustible 1800 lts Standard</v>
      </c>
      <c r="S39" s="3" t="str">
        <f>IFERROR(__xludf.DUMMYFUNCTION("""COMPUTED_VALUE"""),"Tanque Combustible 2000 lts Bajo")</f>
        <v>Tanque Combustible 2000 lts Bajo</v>
      </c>
      <c r="T39" s="3" t="str">
        <f>IFERROR(__xludf.DUMMYFUNCTION("""COMPUTED_VALUE"""),"Tanque Combustible 2000 lts Standard")</f>
        <v>Tanque Combustible 2000 lts Standard</v>
      </c>
      <c r="U39" s="3" t="str">
        <f>IFERROR(__xludf.DUMMYFUNCTION("""COMPUTED_VALUE"""),"Tanque Combustible 3000 lts Standard")</f>
        <v>Tanque Combustible 3000 lts Standard</v>
      </c>
      <c r="V39" s="3" t="str">
        <f>IFERROR(__xludf.DUMMYFUNCTION("""COMPUTED_VALUE"""),"Tanque Combustible 3000 lts Alto")</f>
        <v>Tanque Combustible 3000 lts Alto</v>
      </c>
      <c r="W39" s="3" t="str">
        <f>IFERROR(__xludf.DUMMYFUNCTION("""COMPUTED_VALUE"""),"Tanque Combustible 4000 lts Standard")</f>
        <v>Tanque Combustible 4000 lts Standard</v>
      </c>
      <c r="X39" s="3" t="str">
        <f>IFERROR(__xludf.DUMMYFUNCTION("""COMPUTED_VALUE"""),"Tanque Combustible 5000 lts Standard")</f>
        <v>Tanque Combustible 5000 lts Standard</v>
      </c>
      <c r="Y39" s="3" t="str">
        <f>IFERROR(__xludf.DUMMYFUNCTION("""COMPUTED_VALUE"""),"Tanque Combustible 5000 lts Alto")</f>
        <v>Tanque Combustible 5000 lts Alto</v>
      </c>
      <c r="Z39" s="3" t="str">
        <f>IFERROR(__xludf.DUMMYFUNCTION("""COMPUTED_VALUE"""),"Tanque Combustible 2000 lts Alto")</f>
        <v>Tanque Combustible 2000 lts Alto</v>
      </c>
      <c r="AA39" s="3" t="str">
        <f>IFERROR(__xludf.DUMMYFUNCTION("""COMPUTED_VALUE"""),"Tanque Combustible 4000 lts Alto")</f>
        <v>Tanque Combustible 4000 lts Alto</v>
      </c>
      <c r="AB39" s="3" t="str">
        <f>IFERROR(__xludf.DUMMYFUNCTION("""COMPUTED_VALUE"""),"Baulera Standard - 750")</f>
        <v>Baulera Standard - 750</v>
      </c>
      <c r="AC39" s="3" t="str">
        <f>IFERROR(__xludf.DUMMYFUNCTION("""COMPUTED_VALUE"""),"Baulera Standard - 1700 - C/Laterales")</f>
        <v>Baulera Standard - 1700 - C/Laterales</v>
      </c>
      <c r="AD39" s="3" t="str">
        <f>IFERROR(__xludf.DUMMYFUNCTION("""COMPUTED_VALUE"""),"Baulera Standard - 1000 - C/Laterales")</f>
        <v>Baulera Standard - 1000 - C/Laterales</v>
      </c>
      <c r="AE39" s="3" t="str">
        <f>IFERROR(__xludf.DUMMYFUNCTION("""COMPUTED_VALUE"""),"Baulera Standard - 750 - C/Laterales")</f>
        <v>Baulera Standard - 750 - C/Laterales</v>
      </c>
      <c r="AF39" s="3" t="str">
        <f>IFERROR(__xludf.DUMMYFUNCTION("""COMPUTED_VALUE"""),"Baulera Standard - 1300 - C/Laterales")</f>
        <v>Baulera Standard - 1300 - C/Laterales</v>
      </c>
      <c r="AG39" s="3" t="str">
        <f>IFERROR(__xludf.DUMMYFUNCTION("""COMPUTED_VALUE"""),"Baulera Alta - 750")</f>
        <v>Baulera Alta - 750</v>
      </c>
      <c r="AH39" s="3" t="str">
        <f>IFERROR(__xludf.DUMMYFUNCTION("""COMPUTED_VALUE"""),"Baulera Alta - 1500 - C/Laterales")</f>
        <v>Baulera Alta - 1500 - C/Laterales</v>
      </c>
      <c r="AI39" s="3" t="str">
        <f>IFERROR(__xludf.DUMMYFUNCTION("""COMPUTED_VALUE"""),"Baulera Extendida 1700 - C/Laterales")</f>
        <v>Baulera Extendida 1700 - C/Laterales</v>
      </c>
      <c r="AJ39" s="3" t="str">
        <f>IFERROR(__xludf.DUMMYFUNCTION("""COMPUTED_VALUE"""),"Taller Móvil - 1500 x 1500 x 1700")</f>
        <v>Taller Móvil - 1500 x 1500 x 1700</v>
      </c>
      <c r="AK39" s="3" t="str">
        <f>IFERROR(__xludf.DUMMYFUNCTION("""COMPUTED_VALUE"""),"Cajón Herramientas Standard Derecho")</f>
        <v>Cajón Herramientas Standard Derecho</v>
      </c>
      <c r="AL39" s="3" t="str">
        <f>IFERROR(__xludf.DUMMYFUNCTION("""COMPUTED_VALUE"""),"Cajón Herramientas Standard Izquierdo")</f>
        <v>Cajón Herramientas Standard Izquierdo</v>
      </c>
      <c r="AM39" s="3" t="str">
        <f>IFERROR(__xludf.DUMMYFUNCTION("""COMPUTED_VALUE"""),"Cajón Herramientas Corto Derecho")</f>
        <v>Cajón Herramientas Corto Derecho</v>
      </c>
      <c r="AN39" s="3" t="str">
        <f>IFERROR(__xludf.DUMMYFUNCTION("""COMPUTED_VALUE"""),"Cajón Herramientas Corto Izquierdo")</f>
        <v>Cajón Herramientas Corto Izquierdo</v>
      </c>
      <c r="AO39" s="3" t="str">
        <f>IFERROR(__xludf.DUMMYFUNCTION("""COMPUTED_VALUE"""),"Cajón Herramientas Mediano Derecho")</f>
        <v>Cajón Herramientas Mediano Derecho</v>
      </c>
      <c r="AP39" s="3" t="str">
        <f>IFERROR(__xludf.DUMMYFUNCTION("""COMPUTED_VALUE"""),"Cajón Herramientas Mediano Izquierdo")</f>
        <v>Cajón Herramientas Mediano Izquierdo</v>
      </c>
      <c r="AQ39" s="3" t="str">
        <f>IFERROR(__xludf.DUMMYFUNCTION("""COMPUTED_VALUE"""),"Chasis Acoplado 2 Ejes L3000")</f>
        <v>Chasis Acoplado 2 Ejes L3000</v>
      </c>
      <c r="AR39" s="3" t="str">
        <f>IFERROR(__xludf.DUMMYFUNCTION("""COMPUTED_VALUE"""),"Chasis Acoplado 2 Ejes L3750")</f>
        <v>Chasis Acoplado 2 Ejes L3750</v>
      </c>
      <c r="AS39" s="3" t="str">
        <f>IFERROR(__xludf.DUMMYFUNCTION("""COMPUTED_VALUE"""),"Chasis Acoplado 2 Ejes L4000")</f>
        <v>Chasis Acoplado 2 Ejes L4000</v>
      </c>
      <c r="AT39" s="3" t="str">
        <f>IFERROR(__xludf.DUMMYFUNCTION("""COMPUTED_VALUE"""),"Chasis Acoplado 2 Ejes L4000 Reforzado")</f>
        <v>Chasis Acoplado 2 Ejes L4000 Reforzado</v>
      </c>
      <c r="AU39" s="3" t="str">
        <f>IFERROR(__xludf.DUMMYFUNCTION("""COMPUTED_VALUE"""),"Chasis Acoplado 2 Ejes L4750")</f>
        <v>Chasis Acoplado 2 Ejes L4750</v>
      </c>
      <c r="AV39" s="3" t="str">
        <f>IFERROR(__xludf.DUMMYFUNCTION("""COMPUTED_VALUE"""),"Chasis Acoplado 2 Ejes L4750 Reforzado")</f>
        <v>Chasis Acoplado 2 Ejes L4750 Reforzado</v>
      </c>
      <c r="AW39" s="3" t="str">
        <f>IFERROR(__xludf.DUMMYFUNCTION("""COMPUTED_VALUE"""),"Chasis Acoplado 2 Ejes L4750 Reforzado R. Camion")</f>
        <v>Chasis Acoplado 2 Ejes L4750 Reforzado R. Camion</v>
      </c>
      <c r="AX39" s="3" t="str">
        <f>IFERROR(__xludf.DUMMYFUNCTION("""COMPUTED_VALUE"""),"Chasis Acoplado 2 Ejes L5000")</f>
        <v>Chasis Acoplado 2 Ejes L5000</v>
      </c>
      <c r="AY39" s="3" t="str">
        <f>IFERROR(__xludf.DUMMYFUNCTION("""COMPUTED_VALUE"""),"Chasis Acoplado 2 Ejes L5750")</f>
        <v>Chasis Acoplado 2 Ejes L5750</v>
      </c>
      <c r="AZ39" s="3" t="str">
        <f>IFERROR(__xludf.DUMMYFUNCTION("""COMPUTED_VALUE"""),"Chasis Acoplado 2 Ejes L6400")</f>
        <v>Chasis Acoplado 2 Ejes L6400</v>
      </c>
      <c r="BA39" s="3" t="str">
        <f>IFERROR(__xludf.DUMMYFUNCTION("""COMPUTED_VALUE"""),"Chasis Acoplado 2 Ejes L4500")</f>
        <v>Chasis Acoplado 2 Ejes L4500</v>
      </c>
      <c r="BB39" s="3" t="str">
        <f>IFERROR(__xludf.DUMMYFUNCTION("""COMPUTED_VALUE"""),"Chasis Acoplado 1 Eje L1500")</f>
        <v>Chasis Acoplado 1 Eje L1500</v>
      </c>
      <c r="BC39" s="3" t="str">
        <f>IFERROR(__xludf.DUMMYFUNCTION("""COMPUTED_VALUE"""),"Chasis Acoplado 1 Eje L1800")</f>
        <v>Chasis Acoplado 1 Eje L1800</v>
      </c>
      <c r="BD39" s="3" t="str">
        <f>IFERROR(__xludf.DUMMYFUNCTION("""COMPUTED_VALUE"""),"Chasis Acoplado 1 Eje L1400")</f>
        <v>Chasis Acoplado 1 Eje L1400</v>
      </c>
      <c r="BE39" s="3" t="str">
        <f>IFERROR(__xludf.DUMMYFUNCTION("""COMPUTED_VALUE"""),"Chasis Acoplado Balancin L3000")</f>
        <v>Chasis Acoplado Balancin L3000</v>
      </c>
      <c r="BF39" s="3" t="str">
        <f>IFERROR(__xludf.DUMMYFUNCTION("""COMPUTED_VALUE"""),"Chasis Acoplado Balancin L3000 Lanza Corta")</f>
        <v>Chasis Acoplado Balancin L3000 Lanza Corta</v>
      </c>
      <c r="BG39" s="3" t="str">
        <f>IFERROR(__xludf.DUMMYFUNCTION("""COMPUTED_VALUE"""),"Chasis Acoplado Balancin L2000 Lanza Corta")</f>
        <v>Chasis Acoplado Balancin L2000 Lanza Corta</v>
      </c>
      <c r="BH39" s="3" t="str">
        <f>IFERROR(__xludf.DUMMYFUNCTION("""COMPUTED_VALUE"""),"Chasis Acoplado Balancin L3200 Lanza Corta")</f>
        <v>Chasis Acoplado Balancin L3200 Lanza Corta</v>
      </c>
      <c r="BI39" s="3" t="str">
        <f>IFERROR(__xludf.DUMMYFUNCTION("""COMPUTED_VALUE"""),"Chasis Acoplado Balancin L3200 Lanza Recta")</f>
        <v>Chasis Acoplado Balancin L3200 Lanza Recta</v>
      </c>
      <c r="BJ39" s="3" t="str">
        <f>IFERROR(__xludf.DUMMYFUNCTION("""COMPUTED_VALUE"""),"Chasis Acoplado Balancin L3200 Bajo Lanza Recta")</f>
        <v>Chasis Acoplado Balancin L3200 Bajo Lanza Recta</v>
      </c>
      <c r="BK39" s="3" t="str">
        <f>IFERROR(__xludf.DUMMYFUNCTION("""COMPUTED_VALUE"""),"Tanque Plastico Horizontal 750 Lts")</f>
        <v>Tanque Plastico Horizontal 750 Lts</v>
      </c>
      <c r="BL39" s="3" t="str">
        <f>IFERROR(__xludf.DUMMYFUNCTION("""COMPUTED_VALUE"""),"Medio Tanque Plastico Superior 700 Lts")</f>
        <v>Medio Tanque Plastico Superior 700 Lts</v>
      </c>
      <c r="BM39" s="3" t="str">
        <f>IFERROR(__xludf.DUMMYFUNCTION("""COMPUTED_VALUE"""),"Paquete de Elasticos 50 mm x 8 mm x 10 Hojas L850")</f>
        <v>Paquete de Elasticos 50 mm x 8 mm x 10 Hojas L850</v>
      </c>
      <c r="BN39" s="3" t="str">
        <f>IFERROR(__xludf.DUMMYFUNCTION("""COMPUTED_VALUE"""),"Paquete de Elasticos 63 mm x 8 mm x 10 Hojas L950")</f>
        <v>Paquete de Elasticos 63 mm x 8 mm x 10 Hojas L950</v>
      </c>
      <c r="BO39" s="3" t="str">
        <f>IFERROR(__xludf.DUMMYFUNCTION("""COMPUTED_VALUE"""),"Paquete de Elasticos 50 mm x 7 mm x 9 Hojas L850")</f>
        <v>Paquete de Elasticos 50 mm x 7 mm x 9 Hojas L850</v>
      </c>
      <c r="BP39" s="3" t="str">
        <f>IFERROR(__xludf.DUMMYFUNCTION("""COMPUTED_VALUE"""),"Paquete de Elasticos 63 mm x 8 mm x 8 Hojas L850")</f>
        <v>Paquete de Elasticos 63 mm x 8 mm x 8 Hojas L850</v>
      </c>
      <c r="BQ39" s="3" t="str">
        <f>IFERROR(__xludf.DUMMYFUNCTION("""COMPUTED_VALUE"""),"Paquete de Elasticos 63 mm x 10 mm x 10 Hojas L950")</f>
        <v>Paquete de Elasticos 63 mm x 10 mm x 10 Hojas L950</v>
      </c>
      <c r="BR39" s="3" t="str">
        <f>IFERROR(__xludf.DUMMYFUNCTION("""COMPUTED_VALUE"""),"Paquete de Elasticos 63 mm x 10 mm x 13 Hojas L975")</f>
        <v>Paquete de Elasticos 63 mm x 10 mm x 13 Hojas L975</v>
      </c>
      <c r="BS39" s="3" t="str">
        <f>IFERROR(__xludf.DUMMYFUNCTION("""COMPUTED_VALUE"""),"Paquete de Elasticos 50 mm x 7 mm x 9 Hojas L650")</f>
        <v>Paquete de Elasticos 50 mm x 7 mm x 9 Hojas L650</v>
      </c>
      <c r="BT39" s="3" t="str">
        <f>IFERROR(__xludf.DUMMYFUNCTION("""COMPUTED_VALUE"""),"Eje Acoplado 2"" x 1600 (06/08) Agrícola Centro 92")</f>
        <v>Eje Acoplado 2" x 1600 (06/08) Agrícola Centro 92</v>
      </c>
      <c r="BU39" s="3" t="str">
        <f>IFERROR(__xludf.DUMMYFUNCTION("""COMPUTED_VALUE"""),"Eje Acoplado 2 1/2"" x 1600 (07/09) Agrícola Centro 92")</f>
        <v>Eje Acoplado 2 1/2" x 1600 (07/09) Agrícola Centro 92</v>
      </c>
      <c r="BV39" s="3" t="str">
        <f>IFERROR(__xludf.DUMMYFUNCTION("""COMPUTED_VALUE"""),"Eje Acoplado 2 1/2"" x 1600 (09/11) Agrícola Centro 150")</f>
        <v>Eje Acoplado 2 1/2" x 1600 (09/11) Agrícola Centro 150</v>
      </c>
      <c r="BW39" s="3" t="str">
        <f>IFERROR(__xludf.DUMMYFUNCTION("""COMPUTED_VALUE"""),"Eje Acoplado 3"" x 1600 (10/13) Agrícola Centro 150")</f>
        <v>Eje Acoplado 3" x 1600 (10/13) Agrícola Centro 150</v>
      </c>
      <c r="BX39" s="3" t="str">
        <f>IFERROR(__xludf.DUMMYFUNCTION("""COMPUTED_VALUE"""),"Eje Acoplado 2 1/2"" x 2140 (07/09) Agrícola Centro 92")</f>
        <v>Eje Acoplado 2 1/2" x 2140 (07/09) Agrícola Centro 92</v>
      </c>
      <c r="BY39" s="3" t="str">
        <f>IFERROR(__xludf.DUMMYFUNCTION("""COMPUTED_VALUE"""),"Eje Acoplado 2"" x 1400 (06/08) Agrícola Centro 92")</f>
        <v>Eje Acoplado 2" x 1400 (06/08) Agrícola Centro 92</v>
      </c>
      <c r="BZ39" s="3" t="str">
        <f>IFERROR(__xludf.DUMMYFUNCTION("""COMPUTED_VALUE"""),"Eje Acoplado 2 1/2"" x 1500 (07/09) Agrícola Centro 92")</f>
        <v>Eje Acoplado 2 1/2" x 1500 (07/09) Agrícola Centro 92</v>
      </c>
      <c r="CA39" s="3" t="str">
        <f>IFERROR(__xludf.DUMMYFUNCTION("""COMPUTED_VALUE"""),"Eje Acoplado 2 1/2"" x 2000 (07/09) Agrícola Centro 92")</f>
        <v>Eje Acoplado 2 1/2" x 2000 (07/09) Agrícola Centro 92</v>
      </c>
      <c r="CB39" s="3" t="str">
        <f>IFERROR(__xludf.DUMMYFUNCTION("""COMPUTED_VALUE"""),"Eje Acoplado 2 1/2"" x 2100 (09/11) Agrícola Centro 150")</f>
        <v>Eje Acoplado 2 1/2" x 2100 (09/11) Agrícola Centro 150</v>
      </c>
      <c r="CC39" s="3" t="str">
        <f>IFERROR(__xludf.DUMMYFUNCTION("""COMPUTED_VALUE"""),"Llanta 16"" Simple Agrícola Centro 92")</f>
        <v>Llanta 16" Simple Agrícola Centro 92</v>
      </c>
      <c r="CD39" s="3" t="str">
        <f>IFERROR(__xludf.DUMMYFUNCTION("""COMPUTED_VALUE"""),"Llanta 16"" Dual Agrícola Centro 92")</f>
        <v>Llanta 16" Dual Agrícola Centro 92</v>
      </c>
      <c r="CE39" s="3" t="str">
        <f>IFERROR(__xludf.DUMMYFUNCTION("""COMPUTED_VALUE"""),"Llanta 17"" Simple Agrícola Centro 92")</f>
        <v>Llanta 17" Simple Agrícola Centro 92</v>
      </c>
      <c r="CF39" s="3" t="str">
        <f>IFERROR(__xludf.DUMMYFUNCTION("""COMPUTED_VALUE"""),"Llanta 17"" Dual Agrícola Centro 92")</f>
        <v>Llanta 17" Dual Agrícola Centro 92</v>
      </c>
      <c r="CG39" s="3" t="str">
        <f>IFERROR(__xludf.DUMMYFUNCTION("""COMPUTED_VALUE"""),"Llanta 16"" Dual Agrícola Centro 152")</f>
        <v>Llanta 16" Dual Agrícola Centro 152</v>
      </c>
      <c r="CH39" s="3" t="str">
        <f>IFERROR(__xludf.DUMMYFUNCTION("""COMPUTED_VALUE"""),"Llanta 17"" Dual Agrícola Centro 152")</f>
        <v>Llanta 17" Dual Agrícola Centro 152</v>
      </c>
      <c r="CI39" s="3" t="str">
        <f>IFERROR(__xludf.DUMMYFUNCTION("""COMPUTED_VALUE"""),"Eje Acoplado 2"" x 1600 (05/07) Agrícola Centro 92")</f>
        <v>Eje Acoplado 2" x 1600 (05/07) Agrícola Centro 92</v>
      </c>
      <c r="CJ39" s="3" t="str">
        <f>IFERROR(__xludf.DUMMYFUNCTION("""COMPUTED_VALUE"""),"Paquete de Elásticos 50 mm x 8 mm x 12 Hojas")</f>
        <v>Paquete de Elásticos 50 mm x 8 mm x 12 Hojas</v>
      </c>
      <c r="CK39" s="3" t="str">
        <f>IFERROR(__xludf.DUMMYFUNCTION("""COMPUTED_VALUE"""),"Plataforma Playo 4.00 x 1.90 x 0.45 Lateral Simple Baranda Fija")</f>
        <v>Plataforma Playo 4.00 x 1.90 x 0.45 Lateral Simple Baranda Fija</v>
      </c>
      <c r="CL39" s="3" t="str">
        <f>IFERROR(__xludf.DUMMYFUNCTION("""COMPUTED_VALUE"""),"Plataforma Playo 4.00 x 1.90 x 0.45 Lateral Simple Baranda Ventilada")</f>
        <v>Plataforma Playo 4.00 x 1.90 x 0.45 Lateral Simple Baranda Ventilada</v>
      </c>
      <c r="CM39" s="3" t="str">
        <f>IFERROR(__xludf.DUMMYFUNCTION("""COMPUTED_VALUE"""),"Plataforma Playo 4.00 x 1.90 x 0.45 Lateral Doble Baranda Ventilada")</f>
        <v>Plataforma Playo 4.00 x 1.90 x 0.45 Lateral Doble Baranda Ventilada</v>
      </c>
      <c r="CN39" s="3" t="str">
        <f>IFERROR(__xludf.DUMMYFUNCTION("""COMPUTED_VALUE"""),"Plataforma Playo 4.00 x 1.90 x 0.45 Lateral Doble Baranda Fija")</f>
        <v>Plataforma Playo 4.00 x 1.90 x 0.45 Lateral Doble Baranda Fija</v>
      </c>
      <c r="CO39" s="3" t="str">
        <f>IFERROR(__xludf.DUMMYFUNCTION("""COMPUTED_VALUE"""),"Plataforma Playo 4.00 x 1.90 x 0.72 Lateral Simple Baranda Fija")</f>
        <v>Plataforma Playo 4.00 x 1.90 x 0.72 Lateral Simple Baranda Fija</v>
      </c>
      <c r="CP39" s="3" t="str">
        <f>IFERROR(__xludf.DUMMYFUNCTION("""COMPUTED_VALUE"""),"Plataforma Playo 4.00 x 1.90 x 0.72 Lateral Doble Baranda Fija")</f>
        <v>Plataforma Playo 4.00 x 1.90 x 0.72 Lateral Doble Baranda Fija</v>
      </c>
      <c r="CQ39" s="3" t="str">
        <f>IFERROR(__xludf.DUMMYFUNCTION("""COMPUTED_VALUE"""),"Plataforma Playo 5.00 x 2.20 x 0.60 Lateral Doble Trasera Rebatible")</f>
        <v>Plataforma Playo 5.00 x 2.20 x 0.60 Lateral Doble Trasera Rebatible</v>
      </c>
      <c r="CR39" s="3" t="str">
        <f>IFERROR(__xludf.DUMMYFUNCTION("""COMPUTED_VALUE"""),"Plataforma Playo 5.00 x 2.20 x 0.60 Lateral Doble Baranda Fija C/Toldo")</f>
        <v>Plataforma Playo 5.00 x 2.20 x 0.60 Lateral Doble Baranda Fija C/Toldo</v>
      </c>
      <c r="CS39" s="3" t="str">
        <f>IFERROR(__xludf.DUMMYFUNCTION("""COMPUTED_VALUE"""),"Plataforma Playo 3.00 x 1.90 x 0.45 Lateral Simple Baranda Fija")</f>
        <v>Plataforma Playo 3.00 x 1.90 x 0.45 Lateral Simple Baranda Fija</v>
      </c>
      <c r="CT39" s="3" t="str">
        <f>IFERROR(__xludf.DUMMYFUNCTION("""COMPUTED_VALUE"""),"Plataforma Playo 3.00 x 1.90 x 0.45 Lateral Simple Baranda Ventilada")</f>
        <v>Plataforma Playo 3.00 x 1.90 x 0.45 Lateral Simple Baranda Ventilada</v>
      </c>
      <c r="CU39" s="3" t="str">
        <f>IFERROR(__xludf.DUMMYFUNCTION("""COMPUTED_VALUE"""),"Plataforma Playo 2.00 x 1.90 x 0.45 Lateral Simple Baranda Fija")</f>
        <v>Plataforma Playo 2.00 x 1.90 x 0.45 Lateral Simple Baranda Fija</v>
      </c>
      <c r="CV39" s="3" t="str">
        <f>IFERROR(__xludf.DUMMYFUNCTION("""COMPUTED_VALUE"""),"Plataforma Playo 5.00 x 1.90 x 0.60 Lateral Doble Baranda Fija")</f>
        <v>Plataforma Playo 5.00 x 1.90 x 0.60 Lateral Doble Baranda Fija</v>
      </c>
      <c r="CW39" s="3" t="str">
        <f>IFERROR(__xludf.DUMMYFUNCTION("""COMPUTED_VALUE"""),"Plataforma Playo 6.40 x 2.70 x 0.72 Lateral Doble Baranda Fija")</f>
        <v>Plataforma Playo 6.40 x 2.70 x 0.72 Lateral Doble Baranda Fija</v>
      </c>
      <c r="CX39" s="3" t="str">
        <f>IFERROR(__xludf.DUMMYFUNCTION("""COMPUTED_VALUE"""),"Chasis Acoplado Balancin L4000 Lanza Recta")</f>
        <v>Chasis Acoplado Balancin L4000 Lanza Recta</v>
      </c>
      <c r="CY39" s="3" t="str">
        <f>IFERROR(__xludf.DUMMYFUNCTION("""COMPUTED_VALUE"""),"Llanta simple Agrícola 750x20 centro 152")</f>
        <v>Llanta simple Agrícola 750x20 centro 152</v>
      </c>
      <c r="CZ39" s="3" t="str">
        <f>IFERROR(__xludf.DUMMYFUNCTION("""COMPUTED_VALUE"""),"Cajón de Herramientas Mediano adelante")</f>
        <v>Cajón de Herramientas Mediano adelante</v>
      </c>
      <c r="DA39" s="3" t="str">
        <f>IFERROR(__xludf.DUMMYFUNCTION("""COMPUTED_VALUE"""),"Llanta 15"" Simple Agrícola Centro 92")</f>
        <v>Llanta 15" Simple Agrícola Centro 92</v>
      </c>
    </row>
    <row r="40" hidden="1">
      <c r="A40" s="38">
        <f t="shared" si="1"/>
        <v>39</v>
      </c>
      <c r="B40" s="38">
        <f>IF(F40="","",SUMIF(Prearmados!E:E,F40,Prearmados!A:A))</f>
        <v>15</v>
      </c>
      <c r="C40" s="38">
        <f>IF(F40="","",SUMIF(Productos!E:E,G40,Productos!A:A))</f>
        <v>103</v>
      </c>
      <c r="D40" s="83" t="str">
        <f t="array" ref="D40">IF(OR(F40="",F40="Seleccionar.."),"",XLOOKUP(F40,Prearmados!E:E,Prearmados!F:F,"",0,1))</f>
        <v>Acoplados Rurales</v>
      </c>
      <c r="E40" s="83">
        <f>IF(H40="","",SUMIF(Precio_Productos!K:K,C40,Precio_Productos!J:J)*H40)</f>
        <v>1528800</v>
      </c>
      <c r="F40" s="84" t="s">
        <v>338</v>
      </c>
      <c r="G40" s="84" t="s">
        <v>135</v>
      </c>
      <c r="H40" s="13">
        <v>2.0</v>
      </c>
      <c r="P40" s="3" t="str">
        <f>IFERROR(__xludf.DUMMYFUNCTION("IF(OR(F40="""",F40=""Seleccionar..""),"""",TRANSPOSE(FILTER(Productos!E:E,(Productos!F:F=D40)+(Productos!F:F=XLOOKUP(D40,Implementos!B:B,Implementos!C:C,""-"",0,1)))))"),"Tanque Combustible 1100 lts Bajo")</f>
        <v>Tanque Combustible 1100 lts Bajo</v>
      </c>
      <c r="Q40" s="3" t="str">
        <f>IFERROR(__xludf.DUMMYFUNCTION("""COMPUTED_VALUE"""),"Tanque Combustible 1500 lts Standard")</f>
        <v>Tanque Combustible 1500 lts Standard</v>
      </c>
      <c r="R40" s="3" t="str">
        <f>IFERROR(__xludf.DUMMYFUNCTION("""COMPUTED_VALUE"""),"Tanque Combustible 1800 lts Standard")</f>
        <v>Tanque Combustible 1800 lts Standard</v>
      </c>
      <c r="S40" s="3" t="str">
        <f>IFERROR(__xludf.DUMMYFUNCTION("""COMPUTED_VALUE"""),"Tanque Combustible 2000 lts Bajo")</f>
        <v>Tanque Combustible 2000 lts Bajo</v>
      </c>
      <c r="T40" s="3" t="str">
        <f>IFERROR(__xludf.DUMMYFUNCTION("""COMPUTED_VALUE"""),"Tanque Combustible 2000 lts Standard")</f>
        <v>Tanque Combustible 2000 lts Standard</v>
      </c>
      <c r="U40" s="3" t="str">
        <f>IFERROR(__xludf.DUMMYFUNCTION("""COMPUTED_VALUE"""),"Tanque Combustible 3000 lts Standard")</f>
        <v>Tanque Combustible 3000 lts Standard</v>
      </c>
      <c r="V40" s="3" t="str">
        <f>IFERROR(__xludf.DUMMYFUNCTION("""COMPUTED_VALUE"""),"Tanque Combustible 3000 lts Alto")</f>
        <v>Tanque Combustible 3000 lts Alto</v>
      </c>
      <c r="W40" s="3" t="str">
        <f>IFERROR(__xludf.DUMMYFUNCTION("""COMPUTED_VALUE"""),"Tanque Combustible 4000 lts Standard")</f>
        <v>Tanque Combustible 4000 lts Standard</v>
      </c>
      <c r="X40" s="3" t="str">
        <f>IFERROR(__xludf.DUMMYFUNCTION("""COMPUTED_VALUE"""),"Tanque Combustible 5000 lts Standard")</f>
        <v>Tanque Combustible 5000 lts Standard</v>
      </c>
      <c r="Y40" s="3" t="str">
        <f>IFERROR(__xludf.DUMMYFUNCTION("""COMPUTED_VALUE"""),"Tanque Combustible 5000 lts Alto")</f>
        <v>Tanque Combustible 5000 lts Alto</v>
      </c>
      <c r="Z40" s="3" t="str">
        <f>IFERROR(__xludf.DUMMYFUNCTION("""COMPUTED_VALUE"""),"Tanque Combustible 2000 lts Alto")</f>
        <v>Tanque Combustible 2000 lts Alto</v>
      </c>
      <c r="AA40" s="3" t="str">
        <f>IFERROR(__xludf.DUMMYFUNCTION("""COMPUTED_VALUE"""),"Tanque Combustible 4000 lts Alto")</f>
        <v>Tanque Combustible 4000 lts Alto</v>
      </c>
      <c r="AB40" s="3" t="str">
        <f>IFERROR(__xludf.DUMMYFUNCTION("""COMPUTED_VALUE"""),"Baulera Standard - 750")</f>
        <v>Baulera Standard - 750</v>
      </c>
      <c r="AC40" s="3" t="str">
        <f>IFERROR(__xludf.DUMMYFUNCTION("""COMPUTED_VALUE"""),"Baulera Standard - 1700 - C/Laterales")</f>
        <v>Baulera Standard - 1700 - C/Laterales</v>
      </c>
      <c r="AD40" s="3" t="str">
        <f>IFERROR(__xludf.DUMMYFUNCTION("""COMPUTED_VALUE"""),"Baulera Standard - 1000 - C/Laterales")</f>
        <v>Baulera Standard - 1000 - C/Laterales</v>
      </c>
      <c r="AE40" s="3" t="str">
        <f>IFERROR(__xludf.DUMMYFUNCTION("""COMPUTED_VALUE"""),"Baulera Standard - 750 - C/Laterales")</f>
        <v>Baulera Standard - 750 - C/Laterales</v>
      </c>
      <c r="AF40" s="3" t="str">
        <f>IFERROR(__xludf.DUMMYFUNCTION("""COMPUTED_VALUE"""),"Baulera Standard - 1300 - C/Laterales")</f>
        <v>Baulera Standard - 1300 - C/Laterales</v>
      </c>
      <c r="AG40" s="3" t="str">
        <f>IFERROR(__xludf.DUMMYFUNCTION("""COMPUTED_VALUE"""),"Baulera Alta - 750")</f>
        <v>Baulera Alta - 750</v>
      </c>
      <c r="AH40" s="3" t="str">
        <f>IFERROR(__xludf.DUMMYFUNCTION("""COMPUTED_VALUE"""),"Baulera Alta - 1500 - C/Laterales")</f>
        <v>Baulera Alta - 1500 - C/Laterales</v>
      </c>
      <c r="AI40" s="3" t="str">
        <f>IFERROR(__xludf.DUMMYFUNCTION("""COMPUTED_VALUE"""),"Baulera Extendida 1700 - C/Laterales")</f>
        <v>Baulera Extendida 1700 - C/Laterales</v>
      </c>
      <c r="AJ40" s="3" t="str">
        <f>IFERROR(__xludf.DUMMYFUNCTION("""COMPUTED_VALUE"""),"Taller Móvil - 1500 x 1500 x 1700")</f>
        <v>Taller Móvil - 1500 x 1500 x 1700</v>
      </c>
      <c r="AK40" s="3" t="str">
        <f>IFERROR(__xludf.DUMMYFUNCTION("""COMPUTED_VALUE"""),"Cajón Herramientas Standard Derecho")</f>
        <v>Cajón Herramientas Standard Derecho</v>
      </c>
      <c r="AL40" s="3" t="str">
        <f>IFERROR(__xludf.DUMMYFUNCTION("""COMPUTED_VALUE"""),"Cajón Herramientas Standard Izquierdo")</f>
        <v>Cajón Herramientas Standard Izquierdo</v>
      </c>
      <c r="AM40" s="3" t="str">
        <f>IFERROR(__xludf.DUMMYFUNCTION("""COMPUTED_VALUE"""),"Cajón Herramientas Corto Derecho")</f>
        <v>Cajón Herramientas Corto Derecho</v>
      </c>
      <c r="AN40" s="3" t="str">
        <f>IFERROR(__xludf.DUMMYFUNCTION("""COMPUTED_VALUE"""),"Cajón Herramientas Corto Izquierdo")</f>
        <v>Cajón Herramientas Corto Izquierdo</v>
      </c>
      <c r="AO40" s="3" t="str">
        <f>IFERROR(__xludf.DUMMYFUNCTION("""COMPUTED_VALUE"""),"Cajón Herramientas Mediano Derecho")</f>
        <v>Cajón Herramientas Mediano Derecho</v>
      </c>
      <c r="AP40" s="3" t="str">
        <f>IFERROR(__xludf.DUMMYFUNCTION("""COMPUTED_VALUE"""),"Cajón Herramientas Mediano Izquierdo")</f>
        <v>Cajón Herramientas Mediano Izquierdo</v>
      </c>
      <c r="AQ40" s="3" t="str">
        <f>IFERROR(__xludf.DUMMYFUNCTION("""COMPUTED_VALUE"""),"Chasis Acoplado 2 Ejes L3000")</f>
        <v>Chasis Acoplado 2 Ejes L3000</v>
      </c>
      <c r="AR40" s="3" t="str">
        <f>IFERROR(__xludf.DUMMYFUNCTION("""COMPUTED_VALUE"""),"Chasis Acoplado 2 Ejes L3750")</f>
        <v>Chasis Acoplado 2 Ejes L3750</v>
      </c>
      <c r="AS40" s="3" t="str">
        <f>IFERROR(__xludf.DUMMYFUNCTION("""COMPUTED_VALUE"""),"Chasis Acoplado 2 Ejes L4000")</f>
        <v>Chasis Acoplado 2 Ejes L4000</v>
      </c>
      <c r="AT40" s="3" t="str">
        <f>IFERROR(__xludf.DUMMYFUNCTION("""COMPUTED_VALUE"""),"Chasis Acoplado 2 Ejes L4000 Reforzado")</f>
        <v>Chasis Acoplado 2 Ejes L4000 Reforzado</v>
      </c>
      <c r="AU40" s="3" t="str">
        <f>IFERROR(__xludf.DUMMYFUNCTION("""COMPUTED_VALUE"""),"Chasis Acoplado 2 Ejes L4750")</f>
        <v>Chasis Acoplado 2 Ejes L4750</v>
      </c>
      <c r="AV40" s="3" t="str">
        <f>IFERROR(__xludf.DUMMYFUNCTION("""COMPUTED_VALUE"""),"Chasis Acoplado 2 Ejes L4750 Reforzado")</f>
        <v>Chasis Acoplado 2 Ejes L4750 Reforzado</v>
      </c>
      <c r="AW40" s="3" t="str">
        <f>IFERROR(__xludf.DUMMYFUNCTION("""COMPUTED_VALUE"""),"Chasis Acoplado 2 Ejes L4750 Reforzado R. Camion")</f>
        <v>Chasis Acoplado 2 Ejes L4750 Reforzado R. Camion</v>
      </c>
      <c r="AX40" s="3" t="str">
        <f>IFERROR(__xludf.DUMMYFUNCTION("""COMPUTED_VALUE"""),"Chasis Acoplado 2 Ejes L5000")</f>
        <v>Chasis Acoplado 2 Ejes L5000</v>
      </c>
      <c r="AY40" s="3" t="str">
        <f>IFERROR(__xludf.DUMMYFUNCTION("""COMPUTED_VALUE"""),"Chasis Acoplado 2 Ejes L5750")</f>
        <v>Chasis Acoplado 2 Ejes L5750</v>
      </c>
      <c r="AZ40" s="3" t="str">
        <f>IFERROR(__xludf.DUMMYFUNCTION("""COMPUTED_VALUE"""),"Chasis Acoplado 2 Ejes L6400")</f>
        <v>Chasis Acoplado 2 Ejes L6400</v>
      </c>
      <c r="BA40" s="3" t="str">
        <f>IFERROR(__xludf.DUMMYFUNCTION("""COMPUTED_VALUE"""),"Chasis Acoplado 2 Ejes L4500")</f>
        <v>Chasis Acoplado 2 Ejes L4500</v>
      </c>
      <c r="BB40" s="3" t="str">
        <f>IFERROR(__xludf.DUMMYFUNCTION("""COMPUTED_VALUE"""),"Chasis Acoplado 1 Eje L1500")</f>
        <v>Chasis Acoplado 1 Eje L1500</v>
      </c>
      <c r="BC40" s="3" t="str">
        <f>IFERROR(__xludf.DUMMYFUNCTION("""COMPUTED_VALUE"""),"Chasis Acoplado 1 Eje L1800")</f>
        <v>Chasis Acoplado 1 Eje L1800</v>
      </c>
      <c r="BD40" s="3" t="str">
        <f>IFERROR(__xludf.DUMMYFUNCTION("""COMPUTED_VALUE"""),"Chasis Acoplado 1 Eje L1400")</f>
        <v>Chasis Acoplado 1 Eje L1400</v>
      </c>
      <c r="BE40" s="3" t="str">
        <f>IFERROR(__xludf.DUMMYFUNCTION("""COMPUTED_VALUE"""),"Chasis Acoplado Balancin L3000")</f>
        <v>Chasis Acoplado Balancin L3000</v>
      </c>
      <c r="BF40" s="3" t="str">
        <f>IFERROR(__xludf.DUMMYFUNCTION("""COMPUTED_VALUE"""),"Chasis Acoplado Balancin L3000 Lanza Corta")</f>
        <v>Chasis Acoplado Balancin L3000 Lanza Corta</v>
      </c>
      <c r="BG40" s="3" t="str">
        <f>IFERROR(__xludf.DUMMYFUNCTION("""COMPUTED_VALUE"""),"Chasis Acoplado Balancin L2000 Lanza Corta")</f>
        <v>Chasis Acoplado Balancin L2000 Lanza Corta</v>
      </c>
      <c r="BH40" s="3" t="str">
        <f>IFERROR(__xludf.DUMMYFUNCTION("""COMPUTED_VALUE"""),"Chasis Acoplado Balancin L3200 Lanza Corta")</f>
        <v>Chasis Acoplado Balancin L3200 Lanza Corta</v>
      </c>
      <c r="BI40" s="3" t="str">
        <f>IFERROR(__xludf.DUMMYFUNCTION("""COMPUTED_VALUE"""),"Chasis Acoplado Balancin L3200 Lanza Recta")</f>
        <v>Chasis Acoplado Balancin L3200 Lanza Recta</v>
      </c>
      <c r="BJ40" s="3" t="str">
        <f>IFERROR(__xludf.DUMMYFUNCTION("""COMPUTED_VALUE"""),"Chasis Acoplado Balancin L3200 Bajo Lanza Recta")</f>
        <v>Chasis Acoplado Balancin L3200 Bajo Lanza Recta</v>
      </c>
      <c r="BK40" s="3" t="str">
        <f>IFERROR(__xludf.DUMMYFUNCTION("""COMPUTED_VALUE"""),"Tanque Plastico Horizontal 750 Lts")</f>
        <v>Tanque Plastico Horizontal 750 Lts</v>
      </c>
      <c r="BL40" s="3" t="str">
        <f>IFERROR(__xludf.DUMMYFUNCTION("""COMPUTED_VALUE"""),"Medio Tanque Plastico Superior 700 Lts")</f>
        <v>Medio Tanque Plastico Superior 700 Lts</v>
      </c>
      <c r="BM40" s="3" t="str">
        <f>IFERROR(__xludf.DUMMYFUNCTION("""COMPUTED_VALUE"""),"Paquete de Elasticos 50 mm x 8 mm x 10 Hojas L850")</f>
        <v>Paquete de Elasticos 50 mm x 8 mm x 10 Hojas L850</v>
      </c>
      <c r="BN40" s="3" t="str">
        <f>IFERROR(__xludf.DUMMYFUNCTION("""COMPUTED_VALUE"""),"Paquete de Elasticos 63 mm x 8 mm x 10 Hojas L950")</f>
        <v>Paquete de Elasticos 63 mm x 8 mm x 10 Hojas L950</v>
      </c>
      <c r="BO40" s="3" t="str">
        <f>IFERROR(__xludf.DUMMYFUNCTION("""COMPUTED_VALUE"""),"Paquete de Elasticos 50 mm x 7 mm x 9 Hojas L850")</f>
        <v>Paquete de Elasticos 50 mm x 7 mm x 9 Hojas L850</v>
      </c>
      <c r="BP40" s="3" t="str">
        <f>IFERROR(__xludf.DUMMYFUNCTION("""COMPUTED_VALUE"""),"Paquete de Elasticos 63 mm x 8 mm x 8 Hojas L850")</f>
        <v>Paquete de Elasticos 63 mm x 8 mm x 8 Hojas L850</v>
      </c>
      <c r="BQ40" s="3" t="str">
        <f>IFERROR(__xludf.DUMMYFUNCTION("""COMPUTED_VALUE"""),"Paquete de Elasticos 63 mm x 10 mm x 10 Hojas L950")</f>
        <v>Paquete de Elasticos 63 mm x 10 mm x 10 Hojas L950</v>
      </c>
      <c r="BR40" s="3" t="str">
        <f>IFERROR(__xludf.DUMMYFUNCTION("""COMPUTED_VALUE"""),"Paquete de Elasticos 63 mm x 10 mm x 13 Hojas L975")</f>
        <v>Paquete de Elasticos 63 mm x 10 mm x 13 Hojas L975</v>
      </c>
      <c r="BS40" s="3" t="str">
        <f>IFERROR(__xludf.DUMMYFUNCTION("""COMPUTED_VALUE"""),"Paquete de Elasticos 50 mm x 7 mm x 9 Hojas L650")</f>
        <v>Paquete de Elasticos 50 mm x 7 mm x 9 Hojas L650</v>
      </c>
      <c r="BT40" s="3" t="str">
        <f>IFERROR(__xludf.DUMMYFUNCTION("""COMPUTED_VALUE"""),"Eje Acoplado 2"" x 1600 (06/08) Agrícola Centro 92")</f>
        <v>Eje Acoplado 2" x 1600 (06/08) Agrícola Centro 92</v>
      </c>
      <c r="BU40" s="3" t="str">
        <f>IFERROR(__xludf.DUMMYFUNCTION("""COMPUTED_VALUE"""),"Eje Acoplado 2 1/2"" x 1600 (07/09) Agrícola Centro 92")</f>
        <v>Eje Acoplado 2 1/2" x 1600 (07/09) Agrícola Centro 92</v>
      </c>
      <c r="BV40" s="3" t="str">
        <f>IFERROR(__xludf.DUMMYFUNCTION("""COMPUTED_VALUE"""),"Eje Acoplado 2 1/2"" x 1600 (09/11) Agrícola Centro 150")</f>
        <v>Eje Acoplado 2 1/2" x 1600 (09/11) Agrícola Centro 150</v>
      </c>
      <c r="BW40" s="3" t="str">
        <f>IFERROR(__xludf.DUMMYFUNCTION("""COMPUTED_VALUE"""),"Eje Acoplado 3"" x 1600 (10/13) Agrícola Centro 150")</f>
        <v>Eje Acoplado 3" x 1600 (10/13) Agrícola Centro 150</v>
      </c>
      <c r="BX40" s="3" t="str">
        <f>IFERROR(__xludf.DUMMYFUNCTION("""COMPUTED_VALUE"""),"Eje Acoplado 2 1/2"" x 2140 (07/09) Agrícola Centro 92")</f>
        <v>Eje Acoplado 2 1/2" x 2140 (07/09) Agrícola Centro 92</v>
      </c>
      <c r="BY40" s="3" t="str">
        <f>IFERROR(__xludf.DUMMYFUNCTION("""COMPUTED_VALUE"""),"Eje Acoplado 2"" x 1400 (06/08) Agrícola Centro 92")</f>
        <v>Eje Acoplado 2" x 1400 (06/08) Agrícola Centro 92</v>
      </c>
      <c r="BZ40" s="3" t="str">
        <f>IFERROR(__xludf.DUMMYFUNCTION("""COMPUTED_VALUE"""),"Eje Acoplado 2 1/2"" x 1500 (07/09) Agrícola Centro 92")</f>
        <v>Eje Acoplado 2 1/2" x 1500 (07/09) Agrícola Centro 92</v>
      </c>
      <c r="CA40" s="3" t="str">
        <f>IFERROR(__xludf.DUMMYFUNCTION("""COMPUTED_VALUE"""),"Eje Acoplado 2 1/2"" x 2000 (07/09) Agrícola Centro 92")</f>
        <v>Eje Acoplado 2 1/2" x 2000 (07/09) Agrícola Centro 92</v>
      </c>
      <c r="CB40" s="3" t="str">
        <f>IFERROR(__xludf.DUMMYFUNCTION("""COMPUTED_VALUE"""),"Eje Acoplado 2 1/2"" x 2100 (09/11) Agrícola Centro 150")</f>
        <v>Eje Acoplado 2 1/2" x 2100 (09/11) Agrícola Centro 150</v>
      </c>
      <c r="CC40" s="3" t="str">
        <f>IFERROR(__xludf.DUMMYFUNCTION("""COMPUTED_VALUE"""),"Llanta 16"" Simple Agrícola Centro 92")</f>
        <v>Llanta 16" Simple Agrícola Centro 92</v>
      </c>
      <c r="CD40" s="3" t="str">
        <f>IFERROR(__xludf.DUMMYFUNCTION("""COMPUTED_VALUE"""),"Llanta 16"" Dual Agrícola Centro 92")</f>
        <v>Llanta 16" Dual Agrícola Centro 92</v>
      </c>
      <c r="CE40" s="3" t="str">
        <f>IFERROR(__xludf.DUMMYFUNCTION("""COMPUTED_VALUE"""),"Llanta 17"" Simple Agrícola Centro 92")</f>
        <v>Llanta 17" Simple Agrícola Centro 92</v>
      </c>
      <c r="CF40" s="3" t="str">
        <f>IFERROR(__xludf.DUMMYFUNCTION("""COMPUTED_VALUE"""),"Llanta 17"" Dual Agrícola Centro 92")</f>
        <v>Llanta 17" Dual Agrícola Centro 92</v>
      </c>
      <c r="CG40" s="3" t="str">
        <f>IFERROR(__xludf.DUMMYFUNCTION("""COMPUTED_VALUE"""),"Llanta 16"" Dual Agrícola Centro 152")</f>
        <v>Llanta 16" Dual Agrícola Centro 152</v>
      </c>
      <c r="CH40" s="3" t="str">
        <f>IFERROR(__xludf.DUMMYFUNCTION("""COMPUTED_VALUE"""),"Llanta 17"" Dual Agrícola Centro 152")</f>
        <v>Llanta 17" Dual Agrícola Centro 152</v>
      </c>
      <c r="CI40" s="3" t="str">
        <f>IFERROR(__xludf.DUMMYFUNCTION("""COMPUTED_VALUE"""),"Eje Acoplado 2"" x 1600 (05/07) Agrícola Centro 92")</f>
        <v>Eje Acoplado 2" x 1600 (05/07) Agrícola Centro 92</v>
      </c>
      <c r="CJ40" s="3" t="str">
        <f>IFERROR(__xludf.DUMMYFUNCTION("""COMPUTED_VALUE"""),"Paquete de Elásticos 50 mm x 8 mm x 12 Hojas")</f>
        <v>Paquete de Elásticos 50 mm x 8 mm x 12 Hojas</v>
      </c>
      <c r="CK40" s="3" t="str">
        <f>IFERROR(__xludf.DUMMYFUNCTION("""COMPUTED_VALUE"""),"Plataforma Playo 4.00 x 1.90 x 0.45 Lateral Simple Baranda Fija")</f>
        <v>Plataforma Playo 4.00 x 1.90 x 0.45 Lateral Simple Baranda Fija</v>
      </c>
      <c r="CL40" s="3" t="str">
        <f>IFERROR(__xludf.DUMMYFUNCTION("""COMPUTED_VALUE"""),"Plataforma Playo 4.00 x 1.90 x 0.45 Lateral Simple Baranda Ventilada")</f>
        <v>Plataforma Playo 4.00 x 1.90 x 0.45 Lateral Simple Baranda Ventilada</v>
      </c>
      <c r="CM40" s="3" t="str">
        <f>IFERROR(__xludf.DUMMYFUNCTION("""COMPUTED_VALUE"""),"Plataforma Playo 4.00 x 1.90 x 0.45 Lateral Doble Baranda Ventilada")</f>
        <v>Plataforma Playo 4.00 x 1.90 x 0.45 Lateral Doble Baranda Ventilada</v>
      </c>
      <c r="CN40" s="3" t="str">
        <f>IFERROR(__xludf.DUMMYFUNCTION("""COMPUTED_VALUE"""),"Plataforma Playo 4.00 x 1.90 x 0.45 Lateral Doble Baranda Fija")</f>
        <v>Plataforma Playo 4.00 x 1.90 x 0.45 Lateral Doble Baranda Fija</v>
      </c>
      <c r="CO40" s="3" t="str">
        <f>IFERROR(__xludf.DUMMYFUNCTION("""COMPUTED_VALUE"""),"Plataforma Playo 4.00 x 1.90 x 0.72 Lateral Simple Baranda Fija")</f>
        <v>Plataforma Playo 4.00 x 1.90 x 0.72 Lateral Simple Baranda Fija</v>
      </c>
      <c r="CP40" s="3" t="str">
        <f>IFERROR(__xludf.DUMMYFUNCTION("""COMPUTED_VALUE"""),"Plataforma Playo 4.00 x 1.90 x 0.72 Lateral Doble Baranda Fija")</f>
        <v>Plataforma Playo 4.00 x 1.90 x 0.72 Lateral Doble Baranda Fija</v>
      </c>
      <c r="CQ40" s="3" t="str">
        <f>IFERROR(__xludf.DUMMYFUNCTION("""COMPUTED_VALUE"""),"Plataforma Playo 5.00 x 2.20 x 0.60 Lateral Doble Trasera Rebatible")</f>
        <v>Plataforma Playo 5.00 x 2.20 x 0.60 Lateral Doble Trasera Rebatible</v>
      </c>
      <c r="CR40" s="3" t="str">
        <f>IFERROR(__xludf.DUMMYFUNCTION("""COMPUTED_VALUE"""),"Plataforma Playo 5.00 x 2.20 x 0.60 Lateral Doble Baranda Fija C/Toldo")</f>
        <v>Plataforma Playo 5.00 x 2.20 x 0.60 Lateral Doble Baranda Fija C/Toldo</v>
      </c>
      <c r="CS40" s="3" t="str">
        <f>IFERROR(__xludf.DUMMYFUNCTION("""COMPUTED_VALUE"""),"Plataforma Playo 3.00 x 1.90 x 0.45 Lateral Simple Baranda Fija")</f>
        <v>Plataforma Playo 3.00 x 1.90 x 0.45 Lateral Simple Baranda Fija</v>
      </c>
      <c r="CT40" s="3" t="str">
        <f>IFERROR(__xludf.DUMMYFUNCTION("""COMPUTED_VALUE"""),"Plataforma Playo 3.00 x 1.90 x 0.45 Lateral Simple Baranda Ventilada")</f>
        <v>Plataforma Playo 3.00 x 1.90 x 0.45 Lateral Simple Baranda Ventilada</v>
      </c>
      <c r="CU40" s="3" t="str">
        <f>IFERROR(__xludf.DUMMYFUNCTION("""COMPUTED_VALUE"""),"Plataforma Playo 2.00 x 1.90 x 0.45 Lateral Simple Baranda Fija")</f>
        <v>Plataforma Playo 2.00 x 1.90 x 0.45 Lateral Simple Baranda Fija</v>
      </c>
      <c r="CV40" s="3" t="str">
        <f>IFERROR(__xludf.DUMMYFUNCTION("""COMPUTED_VALUE"""),"Plataforma Playo 5.00 x 1.90 x 0.60 Lateral Doble Baranda Fija")</f>
        <v>Plataforma Playo 5.00 x 1.90 x 0.60 Lateral Doble Baranda Fija</v>
      </c>
      <c r="CW40" s="3" t="str">
        <f>IFERROR(__xludf.DUMMYFUNCTION("""COMPUTED_VALUE"""),"Plataforma Playo 6.40 x 2.70 x 0.72 Lateral Doble Baranda Fija")</f>
        <v>Plataforma Playo 6.40 x 2.70 x 0.72 Lateral Doble Baranda Fija</v>
      </c>
      <c r="CX40" s="3" t="str">
        <f>IFERROR(__xludf.DUMMYFUNCTION("""COMPUTED_VALUE"""),"Chasis Acoplado Balancin L4000 Lanza Recta")</f>
        <v>Chasis Acoplado Balancin L4000 Lanza Recta</v>
      </c>
      <c r="CY40" s="3" t="str">
        <f>IFERROR(__xludf.DUMMYFUNCTION("""COMPUTED_VALUE"""),"Llanta simple Agrícola 750x20 centro 152")</f>
        <v>Llanta simple Agrícola 750x20 centro 152</v>
      </c>
      <c r="CZ40" s="3" t="str">
        <f>IFERROR(__xludf.DUMMYFUNCTION("""COMPUTED_VALUE"""),"Cajón de Herramientas Mediano adelante")</f>
        <v>Cajón de Herramientas Mediano adelante</v>
      </c>
      <c r="DA40" s="3" t="str">
        <f>IFERROR(__xludf.DUMMYFUNCTION("""COMPUTED_VALUE"""),"Llanta 15"" Simple Agrícola Centro 92")</f>
        <v>Llanta 15" Simple Agrícola Centro 92</v>
      </c>
    </row>
    <row r="41" hidden="1">
      <c r="A41" s="38">
        <f t="shared" si="1"/>
        <v>40</v>
      </c>
      <c r="B41" s="38">
        <f>IF(F41="","",SUMIF(Prearmados!E:E,F41,Prearmados!A:A))</f>
        <v>15</v>
      </c>
      <c r="C41" s="38">
        <f>IF(F41="","",SUMIF(Productos!E:E,G41,Productos!A:A))</f>
        <v>95</v>
      </c>
      <c r="D41" s="83" t="str">
        <f t="array" ref="D41">IF(OR(F41="",F41="Seleccionar.."),"",XLOOKUP(F41,Prearmados!E:E,Prearmados!F:F,"",0,1))</f>
        <v>Acoplados Rurales</v>
      </c>
      <c r="E41" s="83">
        <f>IF(H41="","",SUMIF(Precio_Productos!K:K,C41,Precio_Productos!J:J)*H41)</f>
        <v>865200</v>
      </c>
      <c r="F41" s="84" t="s">
        <v>338</v>
      </c>
      <c r="G41" s="84" t="s">
        <v>122</v>
      </c>
      <c r="H41" s="13">
        <v>4.0</v>
      </c>
      <c r="P41" s="3" t="str">
        <f>IFERROR(__xludf.DUMMYFUNCTION("IF(OR(F41="""",F41=""Seleccionar..""),"""",TRANSPOSE(FILTER(Productos!E:E,(Productos!F:F=D41)+(Productos!F:F=XLOOKUP(D41,Implementos!B:B,Implementos!C:C,""-"",0,1)))))"),"Tanque Combustible 1100 lts Bajo")</f>
        <v>Tanque Combustible 1100 lts Bajo</v>
      </c>
      <c r="Q41" s="3" t="str">
        <f>IFERROR(__xludf.DUMMYFUNCTION("""COMPUTED_VALUE"""),"Tanque Combustible 1500 lts Standard")</f>
        <v>Tanque Combustible 1500 lts Standard</v>
      </c>
      <c r="R41" s="3" t="str">
        <f>IFERROR(__xludf.DUMMYFUNCTION("""COMPUTED_VALUE"""),"Tanque Combustible 1800 lts Standard")</f>
        <v>Tanque Combustible 1800 lts Standard</v>
      </c>
      <c r="S41" s="3" t="str">
        <f>IFERROR(__xludf.DUMMYFUNCTION("""COMPUTED_VALUE"""),"Tanque Combustible 2000 lts Bajo")</f>
        <v>Tanque Combustible 2000 lts Bajo</v>
      </c>
      <c r="T41" s="3" t="str">
        <f>IFERROR(__xludf.DUMMYFUNCTION("""COMPUTED_VALUE"""),"Tanque Combustible 2000 lts Standard")</f>
        <v>Tanque Combustible 2000 lts Standard</v>
      </c>
      <c r="U41" s="3" t="str">
        <f>IFERROR(__xludf.DUMMYFUNCTION("""COMPUTED_VALUE"""),"Tanque Combustible 3000 lts Standard")</f>
        <v>Tanque Combustible 3000 lts Standard</v>
      </c>
      <c r="V41" s="3" t="str">
        <f>IFERROR(__xludf.DUMMYFUNCTION("""COMPUTED_VALUE"""),"Tanque Combustible 3000 lts Alto")</f>
        <v>Tanque Combustible 3000 lts Alto</v>
      </c>
      <c r="W41" s="3" t="str">
        <f>IFERROR(__xludf.DUMMYFUNCTION("""COMPUTED_VALUE"""),"Tanque Combustible 4000 lts Standard")</f>
        <v>Tanque Combustible 4000 lts Standard</v>
      </c>
      <c r="X41" s="3" t="str">
        <f>IFERROR(__xludf.DUMMYFUNCTION("""COMPUTED_VALUE"""),"Tanque Combustible 5000 lts Standard")</f>
        <v>Tanque Combustible 5000 lts Standard</v>
      </c>
      <c r="Y41" s="3" t="str">
        <f>IFERROR(__xludf.DUMMYFUNCTION("""COMPUTED_VALUE"""),"Tanque Combustible 5000 lts Alto")</f>
        <v>Tanque Combustible 5000 lts Alto</v>
      </c>
      <c r="Z41" s="3" t="str">
        <f>IFERROR(__xludf.DUMMYFUNCTION("""COMPUTED_VALUE"""),"Tanque Combustible 2000 lts Alto")</f>
        <v>Tanque Combustible 2000 lts Alto</v>
      </c>
      <c r="AA41" s="3" t="str">
        <f>IFERROR(__xludf.DUMMYFUNCTION("""COMPUTED_VALUE"""),"Tanque Combustible 4000 lts Alto")</f>
        <v>Tanque Combustible 4000 lts Alto</v>
      </c>
      <c r="AB41" s="3" t="str">
        <f>IFERROR(__xludf.DUMMYFUNCTION("""COMPUTED_VALUE"""),"Baulera Standard - 750")</f>
        <v>Baulera Standard - 750</v>
      </c>
      <c r="AC41" s="3" t="str">
        <f>IFERROR(__xludf.DUMMYFUNCTION("""COMPUTED_VALUE"""),"Baulera Standard - 1700 - C/Laterales")</f>
        <v>Baulera Standard - 1700 - C/Laterales</v>
      </c>
      <c r="AD41" s="3" t="str">
        <f>IFERROR(__xludf.DUMMYFUNCTION("""COMPUTED_VALUE"""),"Baulera Standard - 1000 - C/Laterales")</f>
        <v>Baulera Standard - 1000 - C/Laterales</v>
      </c>
      <c r="AE41" s="3" t="str">
        <f>IFERROR(__xludf.DUMMYFUNCTION("""COMPUTED_VALUE"""),"Baulera Standard - 750 - C/Laterales")</f>
        <v>Baulera Standard - 750 - C/Laterales</v>
      </c>
      <c r="AF41" s="3" t="str">
        <f>IFERROR(__xludf.DUMMYFUNCTION("""COMPUTED_VALUE"""),"Baulera Standard - 1300 - C/Laterales")</f>
        <v>Baulera Standard - 1300 - C/Laterales</v>
      </c>
      <c r="AG41" s="3" t="str">
        <f>IFERROR(__xludf.DUMMYFUNCTION("""COMPUTED_VALUE"""),"Baulera Alta - 750")</f>
        <v>Baulera Alta - 750</v>
      </c>
      <c r="AH41" s="3" t="str">
        <f>IFERROR(__xludf.DUMMYFUNCTION("""COMPUTED_VALUE"""),"Baulera Alta - 1500 - C/Laterales")</f>
        <v>Baulera Alta - 1500 - C/Laterales</v>
      </c>
      <c r="AI41" s="3" t="str">
        <f>IFERROR(__xludf.DUMMYFUNCTION("""COMPUTED_VALUE"""),"Baulera Extendida 1700 - C/Laterales")</f>
        <v>Baulera Extendida 1700 - C/Laterales</v>
      </c>
      <c r="AJ41" s="3" t="str">
        <f>IFERROR(__xludf.DUMMYFUNCTION("""COMPUTED_VALUE"""),"Taller Móvil - 1500 x 1500 x 1700")</f>
        <v>Taller Móvil - 1500 x 1500 x 1700</v>
      </c>
      <c r="AK41" s="3" t="str">
        <f>IFERROR(__xludf.DUMMYFUNCTION("""COMPUTED_VALUE"""),"Cajón Herramientas Standard Derecho")</f>
        <v>Cajón Herramientas Standard Derecho</v>
      </c>
      <c r="AL41" s="3" t="str">
        <f>IFERROR(__xludf.DUMMYFUNCTION("""COMPUTED_VALUE"""),"Cajón Herramientas Standard Izquierdo")</f>
        <v>Cajón Herramientas Standard Izquierdo</v>
      </c>
      <c r="AM41" s="3" t="str">
        <f>IFERROR(__xludf.DUMMYFUNCTION("""COMPUTED_VALUE"""),"Cajón Herramientas Corto Derecho")</f>
        <v>Cajón Herramientas Corto Derecho</v>
      </c>
      <c r="AN41" s="3" t="str">
        <f>IFERROR(__xludf.DUMMYFUNCTION("""COMPUTED_VALUE"""),"Cajón Herramientas Corto Izquierdo")</f>
        <v>Cajón Herramientas Corto Izquierdo</v>
      </c>
      <c r="AO41" s="3" t="str">
        <f>IFERROR(__xludf.DUMMYFUNCTION("""COMPUTED_VALUE"""),"Cajón Herramientas Mediano Derecho")</f>
        <v>Cajón Herramientas Mediano Derecho</v>
      </c>
      <c r="AP41" s="3" t="str">
        <f>IFERROR(__xludf.DUMMYFUNCTION("""COMPUTED_VALUE"""),"Cajón Herramientas Mediano Izquierdo")</f>
        <v>Cajón Herramientas Mediano Izquierdo</v>
      </c>
      <c r="AQ41" s="3" t="str">
        <f>IFERROR(__xludf.DUMMYFUNCTION("""COMPUTED_VALUE"""),"Chasis Acoplado 2 Ejes L3000")</f>
        <v>Chasis Acoplado 2 Ejes L3000</v>
      </c>
      <c r="AR41" s="3" t="str">
        <f>IFERROR(__xludf.DUMMYFUNCTION("""COMPUTED_VALUE"""),"Chasis Acoplado 2 Ejes L3750")</f>
        <v>Chasis Acoplado 2 Ejes L3750</v>
      </c>
      <c r="AS41" s="3" t="str">
        <f>IFERROR(__xludf.DUMMYFUNCTION("""COMPUTED_VALUE"""),"Chasis Acoplado 2 Ejes L4000")</f>
        <v>Chasis Acoplado 2 Ejes L4000</v>
      </c>
      <c r="AT41" s="3" t="str">
        <f>IFERROR(__xludf.DUMMYFUNCTION("""COMPUTED_VALUE"""),"Chasis Acoplado 2 Ejes L4000 Reforzado")</f>
        <v>Chasis Acoplado 2 Ejes L4000 Reforzado</v>
      </c>
      <c r="AU41" s="3" t="str">
        <f>IFERROR(__xludf.DUMMYFUNCTION("""COMPUTED_VALUE"""),"Chasis Acoplado 2 Ejes L4750")</f>
        <v>Chasis Acoplado 2 Ejes L4750</v>
      </c>
      <c r="AV41" s="3" t="str">
        <f>IFERROR(__xludf.DUMMYFUNCTION("""COMPUTED_VALUE"""),"Chasis Acoplado 2 Ejes L4750 Reforzado")</f>
        <v>Chasis Acoplado 2 Ejes L4750 Reforzado</v>
      </c>
      <c r="AW41" s="3" t="str">
        <f>IFERROR(__xludf.DUMMYFUNCTION("""COMPUTED_VALUE"""),"Chasis Acoplado 2 Ejes L4750 Reforzado R. Camion")</f>
        <v>Chasis Acoplado 2 Ejes L4750 Reforzado R. Camion</v>
      </c>
      <c r="AX41" s="3" t="str">
        <f>IFERROR(__xludf.DUMMYFUNCTION("""COMPUTED_VALUE"""),"Chasis Acoplado 2 Ejes L5000")</f>
        <v>Chasis Acoplado 2 Ejes L5000</v>
      </c>
      <c r="AY41" s="3" t="str">
        <f>IFERROR(__xludf.DUMMYFUNCTION("""COMPUTED_VALUE"""),"Chasis Acoplado 2 Ejes L5750")</f>
        <v>Chasis Acoplado 2 Ejes L5750</v>
      </c>
      <c r="AZ41" s="3" t="str">
        <f>IFERROR(__xludf.DUMMYFUNCTION("""COMPUTED_VALUE"""),"Chasis Acoplado 2 Ejes L6400")</f>
        <v>Chasis Acoplado 2 Ejes L6400</v>
      </c>
      <c r="BA41" s="3" t="str">
        <f>IFERROR(__xludf.DUMMYFUNCTION("""COMPUTED_VALUE"""),"Chasis Acoplado 2 Ejes L4500")</f>
        <v>Chasis Acoplado 2 Ejes L4500</v>
      </c>
      <c r="BB41" s="3" t="str">
        <f>IFERROR(__xludf.DUMMYFUNCTION("""COMPUTED_VALUE"""),"Chasis Acoplado 1 Eje L1500")</f>
        <v>Chasis Acoplado 1 Eje L1500</v>
      </c>
      <c r="BC41" s="3" t="str">
        <f>IFERROR(__xludf.DUMMYFUNCTION("""COMPUTED_VALUE"""),"Chasis Acoplado 1 Eje L1800")</f>
        <v>Chasis Acoplado 1 Eje L1800</v>
      </c>
      <c r="BD41" s="3" t="str">
        <f>IFERROR(__xludf.DUMMYFUNCTION("""COMPUTED_VALUE"""),"Chasis Acoplado 1 Eje L1400")</f>
        <v>Chasis Acoplado 1 Eje L1400</v>
      </c>
      <c r="BE41" s="3" t="str">
        <f>IFERROR(__xludf.DUMMYFUNCTION("""COMPUTED_VALUE"""),"Chasis Acoplado Balancin L3000")</f>
        <v>Chasis Acoplado Balancin L3000</v>
      </c>
      <c r="BF41" s="3" t="str">
        <f>IFERROR(__xludf.DUMMYFUNCTION("""COMPUTED_VALUE"""),"Chasis Acoplado Balancin L3000 Lanza Corta")</f>
        <v>Chasis Acoplado Balancin L3000 Lanza Corta</v>
      </c>
      <c r="BG41" s="3" t="str">
        <f>IFERROR(__xludf.DUMMYFUNCTION("""COMPUTED_VALUE"""),"Chasis Acoplado Balancin L2000 Lanza Corta")</f>
        <v>Chasis Acoplado Balancin L2000 Lanza Corta</v>
      </c>
      <c r="BH41" s="3" t="str">
        <f>IFERROR(__xludf.DUMMYFUNCTION("""COMPUTED_VALUE"""),"Chasis Acoplado Balancin L3200 Lanza Corta")</f>
        <v>Chasis Acoplado Balancin L3200 Lanza Corta</v>
      </c>
      <c r="BI41" s="3" t="str">
        <f>IFERROR(__xludf.DUMMYFUNCTION("""COMPUTED_VALUE"""),"Chasis Acoplado Balancin L3200 Lanza Recta")</f>
        <v>Chasis Acoplado Balancin L3200 Lanza Recta</v>
      </c>
      <c r="BJ41" s="3" t="str">
        <f>IFERROR(__xludf.DUMMYFUNCTION("""COMPUTED_VALUE"""),"Chasis Acoplado Balancin L3200 Bajo Lanza Recta")</f>
        <v>Chasis Acoplado Balancin L3200 Bajo Lanza Recta</v>
      </c>
      <c r="BK41" s="3" t="str">
        <f>IFERROR(__xludf.DUMMYFUNCTION("""COMPUTED_VALUE"""),"Tanque Plastico Horizontal 750 Lts")</f>
        <v>Tanque Plastico Horizontal 750 Lts</v>
      </c>
      <c r="BL41" s="3" t="str">
        <f>IFERROR(__xludf.DUMMYFUNCTION("""COMPUTED_VALUE"""),"Medio Tanque Plastico Superior 700 Lts")</f>
        <v>Medio Tanque Plastico Superior 700 Lts</v>
      </c>
      <c r="BM41" s="3" t="str">
        <f>IFERROR(__xludf.DUMMYFUNCTION("""COMPUTED_VALUE"""),"Paquete de Elasticos 50 mm x 8 mm x 10 Hojas L850")</f>
        <v>Paquete de Elasticos 50 mm x 8 mm x 10 Hojas L850</v>
      </c>
      <c r="BN41" s="3" t="str">
        <f>IFERROR(__xludf.DUMMYFUNCTION("""COMPUTED_VALUE"""),"Paquete de Elasticos 63 mm x 8 mm x 10 Hojas L950")</f>
        <v>Paquete de Elasticos 63 mm x 8 mm x 10 Hojas L950</v>
      </c>
      <c r="BO41" s="3" t="str">
        <f>IFERROR(__xludf.DUMMYFUNCTION("""COMPUTED_VALUE"""),"Paquete de Elasticos 50 mm x 7 mm x 9 Hojas L850")</f>
        <v>Paquete de Elasticos 50 mm x 7 mm x 9 Hojas L850</v>
      </c>
      <c r="BP41" s="3" t="str">
        <f>IFERROR(__xludf.DUMMYFUNCTION("""COMPUTED_VALUE"""),"Paquete de Elasticos 63 mm x 8 mm x 8 Hojas L850")</f>
        <v>Paquete de Elasticos 63 mm x 8 mm x 8 Hojas L850</v>
      </c>
      <c r="BQ41" s="3" t="str">
        <f>IFERROR(__xludf.DUMMYFUNCTION("""COMPUTED_VALUE"""),"Paquete de Elasticos 63 mm x 10 mm x 10 Hojas L950")</f>
        <v>Paquete de Elasticos 63 mm x 10 mm x 10 Hojas L950</v>
      </c>
      <c r="BR41" s="3" t="str">
        <f>IFERROR(__xludf.DUMMYFUNCTION("""COMPUTED_VALUE"""),"Paquete de Elasticos 63 mm x 10 mm x 13 Hojas L975")</f>
        <v>Paquete de Elasticos 63 mm x 10 mm x 13 Hojas L975</v>
      </c>
      <c r="BS41" s="3" t="str">
        <f>IFERROR(__xludf.DUMMYFUNCTION("""COMPUTED_VALUE"""),"Paquete de Elasticos 50 mm x 7 mm x 9 Hojas L650")</f>
        <v>Paquete de Elasticos 50 mm x 7 mm x 9 Hojas L650</v>
      </c>
      <c r="BT41" s="3" t="str">
        <f>IFERROR(__xludf.DUMMYFUNCTION("""COMPUTED_VALUE"""),"Eje Acoplado 2"" x 1600 (06/08) Agrícola Centro 92")</f>
        <v>Eje Acoplado 2" x 1600 (06/08) Agrícola Centro 92</v>
      </c>
      <c r="BU41" s="3" t="str">
        <f>IFERROR(__xludf.DUMMYFUNCTION("""COMPUTED_VALUE"""),"Eje Acoplado 2 1/2"" x 1600 (07/09) Agrícola Centro 92")</f>
        <v>Eje Acoplado 2 1/2" x 1600 (07/09) Agrícola Centro 92</v>
      </c>
      <c r="BV41" s="3" t="str">
        <f>IFERROR(__xludf.DUMMYFUNCTION("""COMPUTED_VALUE"""),"Eje Acoplado 2 1/2"" x 1600 (09/11) Agrícola Centro 150")</f>
        <v>Eje Acoplado 2 1/2" x 1600 (09/11) Agrícola Centro 150</v>
      </c>
      <c r="BW41" s="3" t="str">
        <f>IFERROR(__xludf.DUMMYFUNCTION("""COMPUTED_VALUE"""),"Eje Acoplado 3"" x 1600 (10/13) Agrícola Centro 150")</f>
        <v>Eje Acoplado 3" x 1600 (10/13) Agrícola Centro 150</v>
      </c>
      <c r="BX41" s="3" t="str">
        <f>IFERROR(__xludf.DUMMYFUNCTION("""COMPUTED_VALUE"""),"Eje Acoplado 2 1/2"" x 2140 (07/09) Agrícola Centro 92")</f>
        <v>Eje Acoplado 2 1/2" x 2140 (07/09) Agrícola Centro 92</v>
      </c>
      <c r="BY41" s="3" t="str">
        <f>IFERROR(__xludf.DUMMYFUNCTION("""COMPUTED_VALUE"""),"Eje Acoplado 2"" x 1400 (06/08) Agrícola Centro 92")</f>
        <v>Eje Acoplado 2" x 1400 (06/08) Agrícola Centro 92</v>
      </c>
      <c r="BZ41" s="3" t="str">
        <f>IFERROR(__xludf.DUMMYFUNCTION("""COMPUTED_VALUE"""),"Eje Acoplado 2 1/2"" x 1500 (07/09) Agrícola Centro 92")</f>
        <v>Eje Acoplado 2 1/2" x 1500 (07/09) Agrícola Centro 92</v>
      </c>
      <c r="CA41" s="3" t="str">
        <f>IFERROR(__xludf.DUMMYFUNCTION("""COMPUTED_VALUE"""),"Eje Acoplado 2 1/2"" x 2000 (07/09) Agrícola Centro 92")</f>
        <v>Eje Acoplado 2 1/2" x 2000 (07/09) Agrícola Centro 92</v>
      </c>
      <c r="CB41" s="3" t="str">
        <f>IFERROR(__xludf.DUMMYFUNCTION("""COMPUTED_VALUE"""),"Eje Acoplado 2 1/2"" x 2100 (09/11) Agrícola Centro 150")</f>
        <v>Eje Acoplado 2 1/2" x 2100 (09/11) Agrícola Centro 150</v>
      </c>
      <c r="CC41" s="3" t="str">
        <f>IFERROR(__xludf.DUMMYFUNCTION("""COMPUTED_VALUE"""),"Llanta 16"" Simple Agrícola Centro 92")</f>
        <v>Llanta 16" Simple Agrícola Centro 92</v>
      </c>
      <c r="CD41" s="3" t="str">
        <f>IFERROR(__xludf.DUMMYFUNCTION("""COMPUTED_VALUE"""),"Llanta 16"" Dual Agrícola Centro 92")</f>
        <v>Llanta 16" Dual Agrícola Centro 92</v>
      </c>
      <c r="CE41" s="3" t="str">
        <f>IFERROR(__xludf.DUMMYFUNCTION("""COMPUTED_VALUE"""),"Llanta 17"" Simple Agrícola Centro 92")</f>
        <v>Llanta 17" Simple Agrícola Centro 92</v>
      </c>
      <c r="CF41" s="3" t="str">
        <f>IFERROR(__xludf.DUMMYFUNCTION("""COMPUTED_VALUE"""),"Llanta 17"" Dual Agrícola Centro 92")</f>
        <v>Llanta 17" Dual Agrícola Centro 92</v>
      </c>
      <c r="CG41" s="3" t="str">
        <f>IFERROR(__xludf.DUMMYFUNCTION("""COMPUTED_VALUE"""),"Llanta 16"" Dual Agrícola Centro 152")</f>
        <v>Llanta 16" Dual Agrícola Centro 152</v>
      </c>
      <c r="CH41" s="3" t="str">
        <f>IFERROR(__xludf.DUMMYFUNCTION("""COMPUTED_VALUE"""),"Llanta 17"" Dual Agrícola Centro 152")</f>
        <v>Llanta 17" Dual Agrícola Centro 152</v>
      </c>
      <c r="CI41" s="3" t="str">
        <f>IFERROR(__xludf.DUMMYFUNCTION("""COMPUTED_VALUE"""),"Eje Acoplado 2"" x 1600 (05/07) Agrícola Centro 92")</f>
        <v>Eje Acoplado 2" x 1600 (05/07) Agrícola Centro 92</v>
      </c>
      <c r="CJ41" s="3" t="str">
        <f>IFERROR(__xludf.DUMMYFUNCTION("""COMPUTED_VALUE"""),"Paquete de Elásticos 50 mm x 8 mm x 12 Hojas")</f>
        <v>Paquete de Elásticos 50 mm x 8 mm x 12 Hojas</v>
      </c>
      <c r="CK41" s="3" t="str">
        <f>IFERROR(__xludf.DUMMYFUNCTION("""COMPUTED_VALUE"""),"Plataforma Playo 4.00 x 1.90 x 0.45 Lateral Simple Baranda Fija")</f>
        <v>Plataforma Playo 4.00 x 1.90 x 0.45 Lateral Simple Baranda Fija</v>
      </c>
      <c r="CL41" s="3" t="str">
        <f>IFERROR(__xludf.DUMMYFUNCTION("""COMPUTED_VALUE"""),"Plataforma Playo 4.00 x 1.90 x 0.45 Lateral Simple Baranda Ventilada")</f>
        <v>Plataforma Playo 4.00 x 1.90 x 0.45 Lateral Simple Baranda Ventilada</v>
      </c>
      <c r="CM41" s="3" t="str">
        <f>IFERROR(__xludf.DUMMYFUNCTION("""COMPUTED_VALUE"""),"Plataforma Playo 4.00 x 1.90 x 0.45 Lateral Doble Baranda Ventilada")</f>
        <v>Plataforma Playo 4.00 x 1.90 x 0.45 Lateral Doble Baranda Ventilada</v>
      </c>
      <c r="CN41" s="3" t="str">
        <f>IFERROR(__xludf.DUMMYFUNCTION("""COMPUTED_VALUE"""),"Plataforma Playo 4.00 x 1.90 x 0.45 Lateral Doble Baranda Fija")</f>
        <v>Plataforma Playo 4.00 x 1.90 x 0.45 Lateral Doble Baranda Fija</v>
      </c>
      <c r="CO41" s="3" t="str">
        <f>IFERROR(__xludf.DUMMYFUNCTION("""COMPUTED_VALUE"""),"Plataforma Playo 4.00 x 1.90 x 0.72 Lateral Simple Baranda Fija")</f>
        <v>Plataforma Playo 4.00 x 1.90 x 0.72 Lateral Simple Baranda Fija</v>
      </c>
      <c r="CP41" s="3" t="str">
        <f>IFERROR(__xludf.DUMMYFUNCTION("""COMPUTED_VALUE"""),"Plataforma Playo 4.00 x 1.90 x 0.72 Lateral Doble Baranda Fija")</f>
        <v>Plataforma Playo 4.00 x 1.90 x 0.72 Lateral Doble Baranda Fija</v>
      </c>
      <c r="CQ41" s="3" t="str">
        <f>IFERROR(__xludf.DUMMYFUNCTION("""COMPUTED_VALUE"""),"Plataforma Playo 5.00 x 2.20 x 0.60 Lateral Doble Trasera Rebatible")</f>
        <v>Plataforma Playo 5.00 x 2.20 x 0.60 Lateral Doble Trasera Rebatible</v>
      </c>
      <c r="CR41" s="3" t="str">
        <f>IFERROR(__xludf.DUMMYFUNCTION("""COMPUTED_VALUE"""),"Plataforma Playo 5.00 x 2.20 x 0.60 Lateral Doble Baranda Fija C/Toldo")</f>
        <v>Plataforma Playo 5.00 x 2.20 x 0.60 Lateral Doble Baranda Fija C/Toldo</v>
      </c>
      <c r="CS41" s="3" t="str">
        <f>IFERROR(__xludf.DUMMYFUNCTION("""COMPUTED_VALUE"""),"Plataforma Playo 3.00 x 1.90 x 0.45 Lateral Simple Baranda Fija")</f>
        <v>Plataforma Playo 3.00 x 1.90 x 0.45 Lateral Simple Baranda Fija</v>
      </c>
      <c r="CT41" s="3" t="str">
        <f>IFERROR(__xludf.DUMMYFUNCTION("""COMPUTED_VALUE"""),"Plataforma Playo 3.00 x 1.90 x 0.45 Lateral Simple Baranda Ventilada")</f>
        <v>Plataforma Playo 3.00 x 1.90 x 0.45 Lateral Simple Baranda Ventilada</v>
      </c>
      <c r="CU41" s="3" t="str">
        <f>IFERROR(__xludf.DUMMYFUNCTION("""COMPUTED_VALUE"""),"Plataforma Playo 2.00 x 1.90 x 0.45 Lateral Simple Baranda Fija")</f>
        <v>Plataforma Playo 2.00 x 1.90 x 0.45 Lateral Simple Baranda Fija</v>
      </c>
      <c r="CV41" s="3" t="str">
        <f>IFERROR(__xludf.DUMMYFUNCTION("""COMPUTED_VALUE"""),"Plataforma Playo 5.00 x 1.90 x 0.60 Lateral Doble Baranda Fija")</f>
        <v>Plataforma Playo 5.00 x 1.90 x 0.60 Lateral Doble Baranda Fija</v>
      </c>
      <c r="CW41" s="3" t="str">
        <f>IFERROR(__xludf.DUMMYFUNCTION("""COMPUTED_VALUE"""),"Plataforma Playo 6.40 x 2.70 x 0.72 Lateral Doble Baranda Fija")</f>
        <v>Plataforma Playo 6.40 x 2.70 x 0.72 Lateral Doble Baranda Fija</v>
      </c>
      <c r="CX41" s="3" t="str">
        <f>IFERROR(__xludf.DUMMYFUNCTION("""COMPUTED_VALUE"""),"Chasis Acoplado Balancin L4000 Lanza Recta")</f>
        <v>Chasis Acoplado Balancin L4000 Lanza Recta</v>
      </c>
      <c r="CY41" s="3" t="str">
        <f>IFERROR(__xludf.DUMMYFUNCTION("""COMPUTED_VALUE"""),"Llanta simple Agrícola 750x20 centro 152")</f>
        <v>Llanta simple Agrícola 750x20 centro 152</v>
      </c>
      <c r="CZ41" s="3" t="str">
        <f>IFERROR(__xludf.DUMMYFUNCTION("""COMPUTED_VALUE"""),"Cajón de Herramientas Mediano adelante")</f>
        <v>Cajón de Herramientas Mediano adelante</v>
      </c>
      <c r="DA41" s="3" t="str">
        <f>IFERROR(__xludf.DUMMYFUNCTION("""COMPUTED_VALUE"""),"Llanta 15"" Simple Agrícola Centro 92")</f>
        <v>Llanta 15" Simple Agrícola Centro 92</v>
      </c>
    </row>
    <row r="42" hidden="1">
      <c r="A42" s="38">
        <f t="shared" si="1"/>
        <v>41</v>
      </c>
      <c r="B42" s="38">
        <f>IF(F42="","",SUMIF(Prearmados!E:E,F42,Prearmados!A:A))</f>
        <v>15</v>
      </c>
      <c r="C42" s="38">
        <f>IF(F42="","",SUMIF(Productos!E:E,G42,Productos!A:A))</f>
        <v>114</v>
      </c>
      <c r="D42" s="83" t="str">
        <f t="array" ref="D42">IF(OR(F42="",F42="Seleccionar.."),"",XLOOKUP(F42,Prearmados!E:E,Prearmados!F:F,"",0,1))</f>
        <v>Acoplados Rurales</v>
      </c>
      <c r="E42" s="83">
        <f>IF(H42="","",SUMIF(Precio_Productos!K:K,C42,Precio_Productos!J:J)*H42)</f>
        <v>1116000</v>
      </c>
      <c r="F42" s="84" t="s">
        <v>338</v>
      </c>
      <c r="G42" s="84" t="s">
        <v>41</v>
      </c>
      <c r="H42" s="13">
        <v>8.0</v>
      </c>
      <c r="P42" s="3" t="str">
        <f>IFERROR(__xludf.DUMMYFUNCTION("IF(OR(F42="""",F42=""Seleccionar..""),"""",TRANSPOSE(FILTER(Productos!E:E,(Productos!F:F=D42)+(Productos!F:F=XLOOKUP(D42,Implementos!B:B,Implementos!C:C,""-"",0,1)))))"),"Tanque Combustible 1100 lts Bajo")</f>
        <v>Tanque Combustible 1100 lts Bajo</v>
      </c>
      <c r="Q42" s="3" t="str">
        <f>IFERROR(__xludf.DUMMYFUNCTION("""COMPUTED_VALUE"""),"Tanque Combustible 1500 lts Standard")</f>
        <v>Tanque Combustible 1500 lts Standard</v>
      </c>
      <c r="R42" s="3" t="str">
        <f>IFERROR(__xludf.DUMMYFUNCTION("""COMPUTED_VALUE"""),"Tanque Combustible 1800 lts Standard")</f>
        <v>Tanque Combustible 1800 lts Standard</v>
      </c>
      <c r="S42" s="3" t="str">
        <f>IFERROR(__xludf.DUMMYFUNCTION("""COMPUTED_VALUE"""),"Tanque Combustible 2000 lts Bajo")</f>
        <v>Tanque Combustible 2000 lts Bajo</v>
      </c>
      <c r="T42" s="3" t="str">
        <f>IFERROR(__xludf.DUMMYFUNCTION("""COMPUTED_VALUE"""),"Tanque Combustible 2000 lts Standard")</f>
        <v>Tanque Combustible 2000 lts Standard</v>
      </c>
      <c r="U42" s="3" t="str">
        <f>IFERROR(__xludf.DUMMYFUNCTION("""COMPUTED_VALUE"""),"Tanque Combustible 3000 lts Standard")</f>
        <v>Tanque Combustible 3000 lts Standard</v>
      </c>
      <c r="V42" s="3" t="str">
        <f>IFERROR(__xludf.DUMMYFUNCTION("""COMPUTED_VALUE"""),"Tanque Combustible 3000 lts Alto")</f>
        <v>Tanque Combustible 3000 lts Alto</v>
      </c>
      <c r="W42" s="3" t="str">
        <f>IFERROR(__xludf.DUMMYFUNCTION("""COMPUTED_VALUE"""),"Tanque Combustible 4000 lts Standard")</f>
        <v>Tanque Combustible 4000 lts Standard</v>
      </c>
      <c r="X42" s="3" t="str">
        <f>IFERROR(__xludf.DUMMYFUNCTION("""COMPUTED_VALUE"""),"Tanque Combustible 5000 lts Standard")</f>
        <v>Tanque Combustible 5000 lts Standard</v>
      </c>
      <c r="Y42" s="3" t="str">
        <f>IFERROR(__xludf.DUMMYFUNCTION("""COMPUTED_VALUE"""),"Tanque Combustible 5000 lts Alto")</f>
        <v>Tanque Combustible 5000 lts Alto</v>
      </c>
      <c r="Z42" s="3" t="str">
        <f>IFERROR(__xludf.DUMMYFUNCTION("""COMPUTED_VALUE"""),"Tanque Combustible 2000 lts Alto")</f>
        <v>Tanque Combustible 2000 lts Alto</v>
      </c>
      <c r="AA42" s="3" t="str">
        <f>IFERROR(__xludf.DUMMYFUNCTION("""COMPUTED_VALUE"""),"Tanque Combustible 4000 lts Alto")</f>
        <v>Tanque Combustible 4000 lts Alto</v>
      </c>
      <c r="AB42" s="3" t="str">
        <f>IFERROR(__xludf.DUMMYFUNCTION("""COMPUTED_VALUE"""),"Baulera Standard - 750")</f>
        <v>Baulera Standard - 750</v>
      </c>
      <c r="AC42" s="3" t="str">
        <f>IFERROR(__xludf.DUMMYFUNCTION("""COMPUTED_VALUE"""),"Baulera Standard - 1700 - C/Laterales")</f>
        <v>Baulera Standard - 1700 - C/Laterales</v>
      </c>
      <c r="AD42" s="3" t="str">
        <f>IFERROR(__xludf.DUMMYFUNCTION("""COMPUTED_VALUE"""),"Baulera Standard - 1000 - C/Laterales")</f>
        <v>Baulera Standard - 1000 - C/Laterales</v>
      </c>
      <c r="AE42" s="3" t="str">
        <f>IFERROR(__xludf.DUMMYFUNCTION("""COMPUTED_VALUE"""),"Baulera Standard - 750 - C/Laterales")</f>
        <v>Baulera Standard - 750 - C/Laterales</v>
      </c>
      <c r="AF42" s="3" t="str">
        <f>IFERROR(__xludf.DUMMYFUNCTION("""COMPUTED_VALUE"""),"Baulera Standard - 1300 - C/Laterales")</f>
        <v>Baulera Standard - 1300 - C/Laterales</v>
      </c>
      <c r="AG42" s="3" t="str">
        <f>IFERROR(__xludf.DUMMYFUNCTION("""COMPUTED_VALUE"""),"Baulera Alta - 750")</f>
        <v>Baulera Alta - 750</v>
      </c>
      <c r="AH42" s="3" t="str">
        <f>IFERROR(__xludf.DUMMYFUNCTION("""COMPUTED_VALUE"""),"Baulera Alta - 1500 - C/Laterales")</f>
        <v>Baulera Alta - 1500 - C/Laterales</v>
      </c>
      <c r="AI42" s="3" t="str">
        <f>IFERROR(__xludf.DUMMYFUNCTION("""COMPUTED_VALUE"""),"Baulera Extendida 1700 - C/Laterales")</f>
        <v>Baulera Extendida 1700 - C/Laterales</v>
      </c>
      <c r="AJ42" s="3" t="str">
        <f>IFERROR(__xludf.DUMMYFUNCTION("""COMPUTED_VALUE"""),"Taller Móvil - 1500 x 1500 x 1700")</f>
        <v>Taller Móvil - 1500 x 1500 x 1700</v>
      </c>
      <c r="AK42" s="3" t="str">
        <f>IFERROR(__xludf.DUMMYFUNCTION("""COMPUTED_VALUE"""),"Cajón Herramientas Standard Derecho")</f>
        <v>Cajón Herramientas Standard Derecho</v>
      </c>
      <c r="AL42" s="3" t="str">
        <f>IFERROR(__xludf.DUMMYFUNCTION("""COMPUTED_VALUE"""),"Cajón Herramientas Standard Izquierdo")</f>
        <v>Cajón Herramientas Standard Izquierdo</v>
      </c>
      <c r="AM42" s="3" t="str">
        <f>IFERROR(__xludf.DUMMYFUNCTION("""COMPUTED_VALUE"""),"Cajón Herramientas Corto Derecho")</f>
        <v>Cajón Herramientas Corto Derecho</v>
      </c>
      <c r="AN42" s="3" t="str">
        <f>IFERROR(__xludf.DUMMYFUNCTION("""COMPUTED_VALUE"""),"Cajón Herramientas Corto Izquierdo")</f>
        <v>Cajón Herramientas Corto Izquierdo</v>
      </c>
      <c r="AO42" s="3" t="str">
        <f>IFERROR(__xludf.DUMMYFUNCTION("""COMPUTED_VALUE"""),"Cajón Herramientas Mediano Derecho")</f>
        <v>Cajón Herramientas Mediano Derecho</v>
      </c>
      <c r="AP42" s="3" t="str">
        <f>IFERROR(__xludf.DUMMYFUNCTION("""COMPUTED_VALUE"""),"Cajón Herramientas Mediano Izquierdo")</f>
        <v>Cajón Herramientas Mediano Izquierdo</v>
      </c>
      <c r="AQ42" s="3" t="str">
        <f>IFERROR(__xludf.DUMMYFUNCTION("""COMPUTED_VALUE"""),"Chasis Acoplado 2 Ejes L3000")</f>
        <v>Chasis Acoplado 2 Ejes L3000</v>
      </c>
      <c r="AR42" s="3" t="str">
        <f>IFERROR(__xludf.DUMMYFUNCTION("""COMPUTED_VALUE"""),"Chasis Acoplado 2 Ejes L3750")</f>
        <v>Chasis Acoplado 2 Ejes L3750</v>
      </c>
      <c r="AS42" s="3" t="str">
        <f>IFERROR(__xludf.DUMMYFUNCTION("""COMPUTED_VALUE"""),"Chasis Acoplado 2 Ejes L4000")</f>
        <v>Chasis Acoplado 2 Ejes L4000</v>
      </c>
      <c r="AT42" s="3" t="str">
        <f>IFERROR(__xludf.DUMMYFUNCTION("""COMPUTED_VALUE"""),"Chasis Acoplado 2 Ejes L4000 Reforzado")</f>
        <v>Chasis Acoplado 2 Ejes L4000 Reforzado</v>
      </c>
      <c r="AU42" s="3" t="str">
        <f>IFERROR(__xludf.DUMMYFUNCTION("""COMPUTED_VALUE"""),"Chasis Acoplado 2 Ejes L4750")</f>
        <v>Chasis Acoplado 2 Ejes L4750</v>
      </c>
      <c r="AV42" s="3" t="str">
        <f>IFERROR(__xludf.DUMMYFUNCTION("""COMPUTED_VALUE"""),"Chasis Acoplado 2 Ejes L4750 Reforzado")</f>
        <v>Chasis Acoplado 2 Ejes L4750 Reforzado</v>
      </c>
      <c r="AW42" s="3" t="str">
        <f>IFERROR(__xludf.DUMMYFUNCTION("""COMPUTED_VALUE"""),"Chasis Acoplado 2 Ejes L4750 Reforzado R. Camion")</f>
        <v>Chasis Acoplado 2 Ejes L4750 Reforzado R. Camion</v>
      </c>
      <c r="AX42" s="3" t="str">
        <f>IFERROR(__xludf.DUMMYFUNCTION("""COMPUTED_VALUE"""),"Chasis Acoplado 2 Ejes L5000")</f>
        <v>Chasis Acoplado 2 Ejes L5000</v>
      </c>
      <c r="AY42" s="3" t="str">
        <f>IFERROR(__xludf.DUMMYFUNCTION("""COMPUTED_VALUE"""),"Chasis Acoplado 2 Ejes L5750")</f>
        <v>Chasis Acoplado 2 Ejes L5750</v>
      </c>
      <c r="AZ42" s="3" t="str">
        <f>IFERROR(__xludf.DUMMYFUNCTION("""COMPUTED_VALUE"""),"Chasis Acoplado 2 Ejes L6400")</f>
        <v>Chasis Acoplado 2 Ejes L6400</v>
      </c>
      <c r="BA42" s="3" t="str">
        <f>IFERROR(__xludf.DUMMYFUNCTION("""COMPUTED_VALUE"""),"Chasis Acoplado 2 Ejes L4500")</f>
        <v>Chasis Acoplado 2 Ejes L4500</v>
      </c>
      <c r="BB42" s="3" t="str">
        <f>IFERROR(__xludf.DUMMYFUNCTION("""COMPUTED_VALUE"""),"Chasis Acoplado 1 Eje L1500")</f>
        <v>Chasis Acoplado 1 Eje L1500</v>
      </c>
      <c r="BC42" s="3" t="str">
        <f>IFERROR(__xludf.DUMMYFUNCTION("""COMPUTED_VALUE"""),"Chasis Acoplado 1 Eje L1800")</f>
        <v>Chasis Acoplado 1 Eje L1800</v>
      </c>
      <c r="BD42" s="3" t="str">
        <f>IFERROR(__xludf.DUMMYFUNCTION("""COMPUTED_VALUE"""),"Chasis Acoplado 1 Eje L1400")</f>
        <v>Chasis Acoplado 1 Eje L1400</v>
      </c>
      <c r="BE42" s="3" t="str">
        <f>IFERROR(__xludf.DUMMYFUNCTION("""COMPUTED_VALUE"""),"Chasis Acoplado Balancin L3000")</f>
        <v>Chasis Acoplado Balancin L3000</v>
      </c>
      <c r="BF42" s="3" t="str">
        <f>IFERROR(__xludf.DUMMYFUNCTION("""COMPUTED_VALUE"""),"Chasis Acoplado Balancin L3000 Lanza Corta")</f>
        <v>Chasis Acoplado Balancin L3000 Lanza Corta</v>
      </c>
      <c r="BG42" s="3" t="str">
        <f>IFERROR(__xludf.DUMMYFUNCTION("""COMPUTED_VALUE"""),"Chasis Acoplado Balancin L2000 Lanza Corta")</f>
        <v>Chasis Acoplado Balancin L2000 Lanza Corta</v>
      </c>
      <c r="BH42" s="3" t="str">
        <f>IFERROR(__xludf.DUMMYFUNCTION("""COMPUTED_VALUE"""),"Chasis Acoplado Balancin L3200 Lanza Corta")</f>
        <v>Chasis Acoplado Balancin L3200 Lanza Corta</v>
      </c>
      <c r="BI42" s="3" t="str">
        <f>IFERROR(__xludf.DUMMYFUNCTION("""COMPUTED_VALUE"""),"Chasis Acoplado Balancin L3200 Lanza Recta")</f>
        <v>Chasis Acoplado Balancin L3200 Lanza Recta</v>
      </c>
      <c r="BJ42" s="3" t="str">
        <f>IFERROR(__xludf.DUMMYFUNCTION("""COMPUTED_VALUE"""),"Chasis Acoplado Balancin L3200 Bajo Lanza Recta")</f>
        <v>Chasis Acoplado Balancin L3200 Bajo Lanza Recta</v>
      </c>
      <c r="BK42" s="3" t="str">
        <f>IFERROR(__xludf.DUMMYFUNCTION("""COMPUTED_VALUE"""),"Tanque Plastico Horizontal 750 Lts")</f>
        <v>Tanque Plastico Horizontal 750 Lts</v>
      </c>
      <c r="BL42" s="3" t="str">
        <f>IFERROR(__xludf.DUMMYFUNCTION("""COMPUTED_VALUE"""),"Medio Tanque Plastico Superior 700 Lts")</f>
        <v>Medio Tanque Plastico Superior 700 Lts</v>
      </c>
      <c r="BM42" s="3" t="str">
        <f>IFERROR(__xludf.DUMMYFUNCTION("""COMPUTED_VALUE"""),"Paquete de Elasticos 50 mm x 8 mm x 10 Hojas L850")</f>
        <v>Paquete de Elasticos 50 mm x 8 mm x 10 Hojas L850</v>
      </c>
      <c r="BN42" s="3" t="str">
        <f>IFERROR(__xludf.DUMMYFUNCTION("""COMPUTED_VALUE"""),"Paquete de Elasticos 63 mm x 8 mm x 10 Hojas L950")</f>
        <v>Paquete de Elasticos 63 mm x 8 mm x 10 Hojas L950</v>
      </c>
      <c r="BO42" s="3" t="str">
        <f>IFERROR(__xludf.DUMMYFUNCTION("""COMPUTED_VALUE"""),"Paquete de Elasticos 50 mm x 7 mm x 9 Hojas L850")</f>
        <v>Paquete de Elasticos 50 mm x 7 mm x 9 Hojas L850</v>
      </c>
      <c r="BP42" s="3" t="str">
        <f>IFERROR(__xludf.DUMMYFUNCTION("""COMPUTED_VALUE"""),"Paquete de Elasticos 63 mm x 8 mm x 8 Hojas L850")</f>
        <v>Paquete de Elasticos 63 mm x 8 mm x 8 Hojas L850</v>
      </c>
      <c r="BQ42" s="3" t="str">
        <f>IFERROR(__xludf.DUMMYFUNCTION("""COMPUTED_VALUE"""),"Paquete de Elasticos 63 mm x 10 mm x 10 Hojas L950")</f>
        <v>Paquete de Elasticos 63 mm x 10 mm x 10 Hojas L950</v>
      </c>
      <c r="BR42" s="3" t="str">
        <f>IFERROR(__xludf.DUMMYFUNCTION("""COMPUTED_VALUE"""),"Paquete de Elasticos 63 mm x 10 mm x 13 Hojas L975")</f>
        <v>Paquete de Elasticos 63 mm x 10 mm x 13 Hojas L975</v>
      </c>
      <c r="BS42" s="3" t="str">
        <f>IFERROR(__xludf.DUMMYFUNCTION("""COMPUTED_VALUE"""),"Paquete de Elasticos 50 mm x 7 mm x 9 Hojas L650")</f>
        <v>Paquete de Elasticos 50 mm x 7 mm x 9 Hojas L650</v>
      </c>
      <c r="BT42" s="3" t="str">
        <f>IFERROR(__xludf.DUMMYFUNCTION("""COMPUTED_VALUE"""),"Eje Acoplado 2"" x 1600 (06/08) Agrícola Centro 92")</f>
        <v>Eje Acoplado 2" x 1600 (06/08) Agrícola Centro 92</v>
      </c>
      <c r="BU42" s="3" t="str">
        <f>IFERROR(__xludf.DUMMYFUNCTION("""COMPUTED_VALUE"""),"Eje Acoplado 2 1/2"" x 1600 (07/09) Agrícola Centro 92")</f>
        <v>Eje Acoplado 2 1/2" x 1600 (07/09) Agrícola Centro 92</v>
      </c>
      <c r="BV42" s="3" t="str">
        <f>IFERROR(__xludf.DUMMYFUNCTION("""COMPUTED_VALUE"""),"Eje Acoplado 2 1/2"" x 1600 (09/11) Agrícola Centro 150")</f>
        <v>Eje Acoplado 2 1/2" x 1600 (09/11) Agrícola Centro 150</v>
      </c>
      <c r="BW42" s="3" t="str">
        <f>IFERROR(__xludf.DUMMYFUNCTION("""COMPUTED_VALUE"""),"Eje Acoplado 3"" x 1600 (10/13) Agrícola Centro 150")</f>
        <v>Eje Acoplado 3" x 1600 (10/13) Agrícola Centro 150</v>
      </c>
      <c r="BX42" s="3" t="str">
        <f>IFERROR(__xludf.DUMMYFUNCTION("""COMPUTED_VALUE"""),"Eje Acoplado 2 1/2"" x 2140 (07/09) Agrícola Centro 92")</f>
        <v>Eje Acoplado 2 1/2" x 2140 (07/09) Agrícola Centro 92</v>
      </c>
      <c r="BY42" s="3" t="str">
        <f>IFERROR(__xludf.DUMMYFUNCTION("""COMPUTED_VALUE"""),"Eje Acoplado 2"" x 1400 (06/08) Agrícola Centro 92")</f>
        <v>Eje Acoplado 2" x 1400 (06/08) Agrícola Centro 92</v>
      </c>
      <c r="BZ42" s="3" t="str">
        <f>IFERROR(__xludf.DUMMYFUNCTION("""COMPUTED_VALUE"""),"Eje Acoplado 2 1/2"" x 1500 (07/09) Agrícola Centro 92")</f>
        <v>Eje Acoplado 2 1/2" x 1500 (07/09) Agrícola Centro 92</v>
      </c>
      <c r="CA42" s="3" t="str">
        <f>IFERROR(__xludf.DUMMYFUNCTION("""COMPUTED_VALUE"""),"Eje Acoplado 2 1/2"" x 2000 (07/09) Agrícola Centro 92")</f>
        <v>Eje Acoplado 2 1/2" x 2000 (07/09) Agrícola Centro 92</v>
      </c>
      <c r="CB42" s="3" t="str">
        <f>IFERROR(__xludf.DUMMYFUNCTION("""COMPUTED_VALUE"""),"Eje Acoplado 2 1/2"" x 2100 (09/11) Agrícola Centro 150")</f>
        <v>Eje Acoplado 2 1/2" x 2100 (09/11) Agrícola Centro 150</v>
      </c>
      <c r="CC42" s="3" t="str">
        <f>IFERROR(__xludf.DUMMYFUNCTION("""COMPUTED_VALUE"""),"Llanta 16"" Simple Agrícola Centro 92")</f>
        <v>Llanta 16" Simple Agrícola Centro 92</v>
      </c>
      <c r="CD42" s="3" t="str">
        <f>IFERROR(__xludf.DUMMYFUNCTION("""COMPUTED_VALUE"""),"Llanta 16"" Dual Agrícola Centro 92")</f>
        <v>Llanta 16" Dual Agrícola Centro 92</v>
      </c>
      <c r="CE42" s="3" t="str">
        <f>IFERROR(__xludf.DUMMYFUNCTION("""COMPUTED_VALUE"""),"Llanta 17"" Simple Agrícola Centro 92")</f>
        <v>Llanta 17" Simple Agrícola Centro 92</v>
      </c>
      <c r="CF42" s="3" t="str">
        <f>IFERROR(__xludf.DUMMYFUNCTION("""COMPUTED_VALUE"""),"Llanta 17"" Dual Agrícola Centro 92")</f>
        <v>Llanta 17" Dual Agrícola Centro 92</v>
      </c>
      <c r="CG42" s="3" t="str">
        <f>IFERROR(__xludf.DUMMYFUNCTION("""COMPUTED_VALUE"""),"Llanta 16"" Dual Agrícola Centro 152")</f>
        <v>Llanta 16" Dual Agrícola Centro 152</v>
      </c>
      <c r="CH42" s="3" t="str">
        <f>IFERROR(__xludf.DUMMYFUNCTION("""COMPUTED_VALUE"""),"Llanta 17"" Dual Agrícola Centro 152")</f>
        <v>Llanta 17" Dual Agrícola Centro 152</v>
      </c>
      <c r="CI42" s="3" t="str">
        <f>IFERROR(__xludf.DUMMYFUNCTION("""COMPUTED_VALUE"""),"Eje Acoplado 2"" x 1600 (05/07) Agrícola Centro 92")</f>
        <v>Eje Acoplado 2" x 1600 (05/07) Agrícola Centro 92</v>
      </c>
      <c r="CJ42" s="3" t="str">
        <f>IFERROR(__xludf.DUMMYFUNCTION("""COMPUTED_VALUE"""),"Paquete de Elásticos 50 mm x 8 mm x 12 Hojas")</f>
        <v>Paquete de Elásticos 50 mm x 8 mm x 12 Hojas</v>
      </c>
      <c r="CK42" s="3" t="str">
        <f>IFERROR(__xludf.DUMMYFUNCTION("""COMPUTED_VALUE"""),"Plataforma Playo 4.00 x 1.90 x 0.45 Lateral Simple Baranda Fija")</f>
        <v>Plataforma Playo 4.00 x 1.90 x 0.45 Lateral Simple Baranda Fija</v>
      </c>
      <c r="CL42" s="3" t="str">
        <f>IFERROR(__xludf.DUMMYFUNCTION("""COMPUTED_VALUE"""),"Plataforma Playo 4.00 x 1.90 x 0.45 Lateral Simple Baranda Ventilada")</f>
        <v>Plataforma Playo 4.00 x 1.90 x 0.45 Lateral Simple Baranda Ventilada</v>
      </c>
      <c r="CM42" s="3" t="str">
        <f>IFERROR(__xludf.DUMMYFUNCTION("""COMPUTED_VALUE"""),"Plataforma Playo 4.00 x 1.90 x 0.45 Lateral Doble Baranda Ventilada")</f>
        <v>Plataforma Playo 4.00 x 1.90 x 0.45 Lateral Doble Baranda Ventilada</v>
      </c>
      <c r="CN42" s="3" t="str">
        <f>IFERROR(__xludf.DUMMYFUNCTION("""COMPUTED_VALUE"""),"Plataforma Playo 4.00 x 1.90 x 0.45 Lateral Doble Baranda Fija")</f>
        <v>Plataforma Playo 4.00 x 1.90 x 0.45 Lateral Doble Baranda Fija</v>
      </c>
      <c r="CO42" s="3" t="str">
        <f>IFERROR(__xludf.DUMMYFUNCTION("""COMPUTED_VALUE"""),"Plataforma Playo 4.00 x 1.90 x 0.72 Lateral Simple Baranda Fija")</f>
        <v>Plataforma Playo 4.00 x 1.90 x 0.72 Lateral Simple Baranda Fija</v>
      </c>
      <c r="CP42" s="3" t="str">
        <f>IFERROR(__xludf.DUMMYFUNCTION("""COMPUTED_VALUE"""),"Plataforma Playo 4.00 x 1.90 x 0.72 Lateral Doble Baranda Fija")</f>
        <v>Plataforma Playo 4.00 x 1.90 x 0.72 Lateral Doble Baranda Fija</v>
      </c>
      <c r="CQ42" s="3" t="str">
        <f>IFERROR(__xludf.DUMMYFUNCTION("""COMPUTED_VALUE"""),"Plataforma Playo 5.00 x 2.20 x 0.60 Lateral Doble Trasera Rebatible")</f>
        <v>Plataforma Playo 5.00 x 2.20 x 0.60 Lateral Doble Trasera Rebatible</v>
      </c>
      <c r="CR42" s="3" t="str">
        <f>IFERROR(__xludf.DUMMYFUNCTION("""COMPUTED_VALUE"""),"Plataforma Playo 5.00 x 2.20 x 0.60 Lateral Doble Baranda Fija C/Toldo")</f>
        <v>Plataforma Playo 5.00 x 2.20 x 0.60 Lateral Doble Baranda Fija C/Toldo</v>
      </c>
      <c r="CS42" s="3" t="str">
        <f>IFERROR(__xludf.DUMMYFUNCTION("""COMPUTED_VALUE"""),"Plataforma Playo 3.00 x 1.90 x 0.45 Lateral Simple Baranda Fija")</f>
        <v>Plataforma Playo 3.00 x 1.90 x 0.45 Lateral Simple Baranda Fija</v>
      </c>
      <c r="CT42" s="3" t="str">
        <f>IFERROR(__xludf.DUMMYFUNCTION("""COMPUTED_VALUE"""),"Plataforma Playo 3.00 x 1.90 x 0.45 Lateral Simple Baranda Ventilada")</f>
        <v>Plataforma Playo 3.00 x 1.90 x 0.45 Lateral Simple Baranda Ventilada</v>
      </c>
      <c r="CU42" s="3" t="str">
        <f>IFERROR(__xludf.DUMMYFUNCTION("""COMPUTED_VALUE"""),"Plataforma Playo 2.00 x 1.90 x 0.45 Lateral Simple Baranda Fija")</f>
        <v>Plataforma Playo 2.00 x 1.90 x 0.45 Lateral Simple Baranda Fija</v>
      </c>
      <c r="CV42" s="3" t="str">
        <f>IFERROR(__xludf.DUMMYFUNCTION("""COMPUTED_VALUE"""),"Plataforma Playo 5.00 x 1.90 x 0.60 Lateral Doble Baranda Fija")</f>
        <v>Plataforma Playo 5.00 x 1.90 x 0.60 Lateral Doble Baranda Fija</v>
      </c>
      <c r="CW42" s="3" t="str">
        <f>IFERROR(__xludf.DUMMYFUNCTION("""COMPUTED_VALUE"""),"Plataforma Playo 6.40 x 2.70 x 0.72 Lateral Doble Baranda Fija")</f>
        <v>Plataforma Playo 6.40 x 2.70 x 0.72 Lateral Doble Baranda Fija</v>
      </c>
      <c r="CX42" s="3" t="str">
        <f>IFERROR(__xludf.DUMMYFUNCTION("""COMPUTED_VALUE"""),"Chasis Acoplado Balancin L4000 Lanza Recta")</f>
        <v>Chasis Acoplado Balancin L4000 Lanza Recta</v>
      </c>
      <c r="CY42" s="3" t="str">
        <f>IFERROR(__xludf.DUMMYFUNCTION("""COMPUTED_VALUE"""),"Llanta simple Agrícola 750x20 centro 152")</f>
        <v>Llanta simple Agrícola 750x20 centro 152</v>
      </c>
      <c r="CZ42" s="3" t="str">
        <f>IFERROR(__xludf.DUMMYFUNCTION("""COMPUTED_VALUE"""),"Cajón de Herramientas Mediano adelante")</f>
        <v>Cajón de Herramientas Mediano adelante</v>
      </c>
      <c r="DA42" s="3" t="str">
        <f>IFERROR(__xludf.DUMMYFUNCTION("""COMPUTED_VALUE"""),"Llanta 15"" Simple Agrícola Centro 92")</f>
        <v>Llanta 15" Simple Agrícola Centro 92</v>
      </c>
    </row>
    <row r="43" hidden="1">
      <c r="A43" s="38">
        <f t="shared" si="1"/>
        <v>42</v>
      </c>
      <c r="B43" s="38">
        <f>IF(F43="","",SUMIF(Prearmados!E:E,F43,Prearmados!A:A))</f>
        <v>16</v>
      </c>
      <c r="C43" s="38">
        <f>IF(F43="","",SUMIF(Productos!E:E,G43,Productos!A:A))</f>
        <v>54</v>
      </c>
      <c r="D43" s="83" t="str">
        <f t="array" ref="D43">IF(OR(F43="",F43="Seleccionar.."),"",XLOOKUP(F43,Prearmados!E:E,Prearmados!F:F,"",0,1))</f>
        <v>Acoplados Rurales</v>
      </c>
      <c r="E43" s="83">
        <f>IF(H43="","",SUMIF(Precio_Productos!K:K,C43,Precio_Productos!J:J)*H43)</f>
        <v>3445000</v>
      </c>
      <c r="F43" s="84" t="s">
        <v>339</v>
      </c>
      <c r="G43" s="84" t="s">
        <v>67</v>
      </c>
      <c r="H43" s="13">
        <v>1.0</v>
      </c>
      <c r="P43" s="3" t="str">
        <f>IFERROR(__xludf.DUMMYFUNCTION("IF(OR(F43="""",F43=""Seleccionar..""),"""",TRANSPOSE(FILTER(Productos!E:E,(Productos!F:F=D43)+(Productos!F:F=XLOOKUP(D43,Implementos!B:B,Implementos!C:C,""-"",0,1)))))"),"Tanque Combustible 1100 lts Bajo")</f>
        <v>Tanque Combustible 1100 lts Bajo</v>
      </c>
      <c r="Q43" s="3" t="str">
        <f>IFERROR(__xludf.DUMMYFUNCTION("""COMPUTED_VALUE"""),"Tanque Combustible 1500 lts Standard")</f>
        <v>Tanque Combustible 1500 lts Standard</v>
      </c>
      <c r="R43" s="3" t="str">
        <f>IFERROR(__xludf.DUMMYFUNCTION("""COMPUTED_VALUE"""),"Tanque Combustible 1800 lts Standard")</f>
        <v>Tanque Combustible 1800 lts Standard</v>
      </c>
      <c r="S43" s="3" t="str">
        <f>IFERROR(__xludf.DUMMYFUNCTION("""COMPUTED_VALUE"""),"Tanque Combustible 2000 lts Bajo")</f>
        <v>Tanque Combustible 2000 lts Bajo</v>
      </c>
      <c r="T43" s="3" t="str">
        <f>IFERROR(__xludf.DUMMYFUNCTION("""COMPUTED_VALUE"""),"Tanque Combustible 2000 lts Standard")</f>
        <v>Tanque Combustible 2000 lts Standard</v>
      </c>
      <c r="U43" s="3" t="str">
        <f>IFERROR(__xludf.DUMMYFUNCTION("""COMPUTED_VALUE"""),"Tanque Combustible 3000 lts Standard")</f>
        <v>Tanque Combustible 3000 lts Standard</v>
      </c>
      <c r="V43" s="3" t="str">
        <f>IFERROR(__xludf.DUMMYFUNCTION("""COMPUTED_VALUE"""),"Tanque Combustible 3000 lts Alto")</f>
        <v>Tanque Combustible 3000 lts Alto</v>
      </c>
      <c r="W43" s="3" t="str">
        <f>IFERROR(__xludf.DUMMYFUNCTION("""COMPUTED_VALUE"""),"Tanque Combustible 4000 lts Standard")</f>
        <v>Tanque Combustible 4000 lts Standard</v>
      </c>
      <c r="X43" s="3" t="str">
        <f>IFERROR(__xludf.DUMMYFUNCTION("""COMPUTED_VALUE"""),"Tanque Combustible 5000 lts Standard")</f>
        <v>Tanque Combustible 5000 lts Standard</v>
      </c>
      <c r="Y43" s="3" t="str">
        <f>IFERROR(__xludf.DUMMYFUNCTION("""COMPUTED_VALUE"""),"Tanque Combustible 5000 lts Alto")</f>
        <v>Tanque Combustible 5000 lts Alto</v>
      </c>
      <c r="Z43" s="3" t="str">
        <f>IFERROR(__xludf.DUMMYFUNCTION("""COMPUTED_VALUE"""),"Tanque Combustible 2000 lts Alto")</f>
        <v>Tanque Combustible 2000 lts Alto</v>
      </c>
      <c r="AA43" s="3" t="str">
        <f>IFERROR(__xludf.DUMMYFUNCTION("""COMPUTED_VALUE"""),"Tanque Combustible 4000 lts Alto")</f>
        <v>Tanque Combustible 4000 lts Alto</v>
      </c>
      <c r="AB43" s="3" t="str">
        <f>IFERROR(__xludf.DUMMYFUNCTION("""COMPUTED_VALUE"""),"Baulera Standard - 750")</f>
        <v>Baulera Standard - 750</v>
      </c>
      <c r="AC43" s="3" t="str">
        <f>IFERROR(__xludf.DUMMYFUNCTION("""COMPUTED_VALUE"""),"Baulera Standard - 1700 - C/Laterales")</f>
        <v>Baulera Standard - 1700 - C/Laterales</v>
      </c>
      <c r="AD43" s="3" t="str">
        <f>IFERROR(__xludf.DUMMYFUNCTION("""COMPUTED_VALUE"""),"Baulera Standard - 1000 - C/Laterales")</f>
        <v>Baulera Standard - 1000 - C/Laterales</v>
      </c>
      <c r="AE43" s="3" t="str">
        <f>IFERROR(__xludf.DUMMYFUNCTION("""COMPUTED_VALUE"""),"Baulera Standard - 750 - C/Laterales")</f>
        <v>Baulera Standard - 750 - C/Laterales</v>
      </c>
      <c r="AF43" s="3" t="str">
        <f>IFERROR(__xludf.DUMMYFUNCTION("""COMPUTED_VALUE"""),"Baulera Standard - 1300 - C/Laterales")</f>
        <v>Baulera Standard - 1300 - C/Laterales</v>
      </c>
      <c r="AG43" s="3" t="str">
        <f>IFERROR(__xludf.DUMMYFUNCTION("""COMPUTED_VALUE"""),"Baulera Alta - 750")</f>
        <v>Baulera Alta - 750</v>
      </c>
      <c r="AH43" s="3" t="str">
        <f>IFERROR(__xludf.DUMMYFUNCTION("""COMPUTED_VALUE"""),"Baulera Alta - 1500 - C/Laterales")</f>
        <v>Baulera Alta - 1500 - C/Laterales</v>
      </c>
      <c r="AI43" s="3" t="str">
        <f>IFERROR(__xludf.DUMMYFUNCTION("""COMPUTED_VALUE"""),"Baulera Extendida 1700 - C/Laterales")</f>
        <v>Baulera Extendida 1700 - C/Laterales</v>
      </c>
      <c r="AJ43" s="3" t="str">
        <f>IFERROR(__xludf.DUMMYFUNCTION("""COMPUTED_VALUE"""),"Taller Móvil - 1500 x 1500 x 1700")</f>
        <v>Taller Móvil - 1500 x 1500 x 1700</v>
      </c>
      <c r="AK43" s="3" t="str">
        <f>IFERROR(__xludf.DUMMYFUNCTION("""COMPUTED_VALUE"""),"Cajón Herramientas Standard Derecho")</f>
        <v>Cajón Herramientas Standard Derecho</v>
      </c>
      <c r="AL43" s="3" t="str">
        <f>IFERROR(__xludf.DUMMYFUNCTION("""COMPUTED_VALUE"""),"Cajón Herramientas Standard Izquierdo")</f>
        <v>Cajón Herramientas Standard Izquierdo</v>
      </c>
      <c r="AM43" s="3" t="str">
        <f>IFERROR(__xludf.DUMMYFUNCTION("""COMPUTED_VALUE"""),"Cajón Herramientas Corto Derecho")</f>
        <v>Cajón Herramientas Corto Derecho</v>
      </c>
      <c r="AN43" s="3" t="str">
        <f>IFERROR(__xludf.DUMMYFUNCTION("""COMPUTED_VALUE"""),"Cajón Herramientas Corto Izquierdo")</f>
        <v>Cajón Herramientas Corto Izquierdo</v>
      </c>
      <c r="AO43" s="3" t="str">
        <f>IFERROR(__xludf.DUMMYFUNCTION("""COMPUTED_VALUE"""),"Cajón Herramientas Mediano Derecho")</f>
        <v>Cajón Herramientas Mediano Derecho</v>
      </c>
      <c r="AP43" s="3" t="str">
        <f>IFERROR(__xludf.DUMMYFUNCTION("""COMPUTED_VALUE"""),"Cajón Herramientas Mediano Izquierdo")</f>
        <v>Cajón Herramientas Mediano Izquierdo</v>
      </c>
      <c r="AQ43" s="3" t="str">
        <f>IFERROR(__xludf.DUMMYFUNCTION("""COMPUTED_VALUE"""),"Chasis Acoplado 2 Ejes L3000")</f>
        <v>Chasis Acoplado 2 Ejes L3000</v>
      </c>
      <c r="AR43" s="3" t="str">
        <f>IFERROR(__xludf.DUMMYFUNCTION("""COMPUTED_VALUE"""),"Chasis Acoplado 2 Ejes L3750")</f>
        <v>Chasis Acoplado 2 Ejes L3750</v>
      </c>
      <c r="AS43" s="3" t="str">
        <f>IFERROR(__xludf.DUMMYFUNCTION("""COMPUTED_VALUE"""),"Chasis Acoplado 2 Ejes L4000")</f>
        <v>Chasis Acoplado 2 Ejes L4000</v>
      </c>
      <c r="AT43" s="3" t="str">
        <f>IFERROR(__xludf.DUMMYFUNCTION("""COMPUTED_VALUE"""),"Chasis Acoplado 2 Ejes L4000 Reforzado")</f>
        <v>Chasis Acoplado 2 Ejes L4000 Reforzado</v>
      </c>
      <c r="AU43" s="3" t="str">
        <f>IFERROR(__xludf.DUMMYFUNCTION("""COMPUTED_VALUE"""),"Chasis Acoplado 2 Ejes L4750")</f>
        <v>Chasis Acoplado 2 Ejes L4750</v>
      </c>
      <c r="AV43" s="3" t="str">
        <f>IFERROR(__xludf.DUMMYFUNCTION("""COMPUTED_VALUE"""),"Chasis Acoplado 2 Ejes L4750 Reforzado")</f>
        <v>Chasis Acoplado 2 Ejes L4750 Reforzado</v>
      </c>
      <c r="AW43" s="3" t="str">
        <f>IFERROR(__xludf.DUMMYFUNCTION("""COMPUTED_VALUE"""),"Chasis Acoplado 2 Ejes L4750 Reforzado R. Camion")</f>
        <v>Chasis Acoplado 2 Ejes L4750 Reforzado R. Camion</v>
      </c>
      <c r="AX43" s="3" t="str">
        <f>IFERROR(__xludf.DUMMYFUNCTION("""COMPUTED_VALUE"""),"Chasis Acoplado 2 Ejes L5000")</f>
        <v>Chasis Acoplado 2 Ejes L5000</v>
      </c>
      <c r="AY43" s="3" t="str">
        <f>IFERROR(__xludf.DUMMYFUNCTION("""COMPUTED_VALUE"""),"Chasis Acoplado 2 Ejes L5750")</f>
        <v>Chasis Acoplado 2 Ejes L5750</v>
      </c>
      <c r="AZ43" s="3" t="str">
        <f>IFERROR(__xludf.DUMMYFUNCTION("""COMPUTED_VALUE"""),"Chasis Acoplado 2 Ejes L6400")</f>
        <v>Chasis Acoplado 2 Ejes L6400</v>
      </c>
      <c r="BA43" s="3" t="str">
        <f>IFERROR(__xludf.DUMMYFUNCTION("""COMPUTED_VALUE"""),"Chasis Acoplado 2 Ejes L4500")</f>
        <v>Chasis Acoplado 2 Ejes L4500</v>
      </c>
      <c r="BB43" s="3" t="str">
        <f>IFERROR(__xludf.DUMMYFUNCTION("""COMPUTED_VALUE"""),"Chasis Acoplado 1 Eje L1500")</f>
        <v>Chasis Acoplado 1 Eje L1500</v>
      </c>
      <c r="BC43" s="3" t="str">
        <f>IFERROR(__xludf.DUMMYFUNCTION("""COMPUTED_VALUE"""),"Chasis Acoplado 1 Eje L1800")</f>
        <v>Chasis Acoplado 1 Eje L1800</v>
      </c>
      <c r="BD43" s="3" t="str">
        <f>IFERROR(__xludf.DUMMYFUNCTION("""COMPUTED_VALUE"""),"Chasis Acoplado 1 Eje L1400")</f>
        <v>Chasis Acoplado 1 Eje L1400</v>
      </c>
      <c r="BE43" s="3" t="str">
        <f>IFERROR(__xludf.DUMMYFUNCTION("""COMPUTED_VALUE"""),"Chasis Acoplado Balancin L3000")</f>
        <v>Chasis Acoplado Balancin L3000</v>
      </c>
      <c r="BF43" s="3" t="str">
        <f>IFERROR(__xludf.DUMMYFUNCTION("""COMPUTED_VALUE"""),"Chasis Acoplado Balancin L3000 Lanza Corta")</f>
        <v>Chasis Acoplado Balancin L3000 Lanza Corta</v>
      </c>
      <c r="BG43" s="3" t="str">
        <f>IFERROR(__xludf.DUMMYFUNCTION("""COMPUTED_VALUE"""),"Chasis Acoplado Balancin L2000 Lanza Corta")</f>
        <v>Chasis Acoplado Balancin L2000 Lanza Corta</v>
      </c>
      <c r="BH43" s="3" t="str">
        <f>IFERROR(__xludf.DUMMYFUNCTION("""COMPUTED_VALUE"""),"Chasis Acoplado Balancin L3200 Lanza Corta")</f>
        <v>Chasis Acoplado Balancin L3200 Lanza Corta</v>
      </c>
      <c r="BI43" s="3" t="str">
        <f>IFERROR(__xludf.DUMMYFUNCTION("""COMPUTED_VALUE"""),"Chasis Acoplado Balancin L3200 Lanza Recta")</f>
        <v>Chasis Acoplado Balancin L3200 Lanza Recta</v>
      </c>
      <c r="BJ43" s="3" t="str">
        <f>IFERROR(__xludf.DUMMYFUNCTION("""COMPUTED_VALUE"""),"Chasis Acoplado Balancin L3200 Bajo Lanza Recta")</f>
        <v>Chasis Acoplado Balancin L3200 Bajo Lanza Recta</v>
      </c>
      <c r="BK43" s="3" t="str">
        <f>IFERROR(__xludf.DUMMYFUNCTION("""COMPUTED_VALUE"""),"Tanque Plastico Horizontal 750 Lts")</f>
        <v>Tanque Plastico Horizontal 750 Lts</v>
      </c>
      <c r="BL43" s="3" t="str">
        <f>IFERROR(__xludf.DUMMYFUNCTION("""COMPUTED_VALUE"""),"Medio Tanque Plastico Superior 700 Lts")</f>
        <v>Medio Tanque Plastico Superior 700 Lts</v>
      </c>
      <c r="BM43" s="3" t="str">
        <f>IFERROR(__xludf.DUMMYFUNCTION("""COMPUTED_VALUE"""),"Paquete de Elasticos 50 mm x 8 mm x 10 Hojas L850")</f>
        <v>Paquete de Elasticos 50 mm x 8 mm x 10 Hojas L850</v>
      </c>
      <c r="BN43" s="3" t="str">
        <f>IFERROR(__xludf.DUMMYFUNCTION("""COMPUTED_VALUE"""),"Paquete de Elasticos 63 mm x 8 mm x 10 Hojas L950")</f>
        <v>Paquete de Elasticos 63 mm x 8 mm x 10 Hojas L950</v>
      </c>
      <c r="BO43" s="3" t="str">
        <f>IFERROR(__xludf.DUMMYFUNCTION("""COMPUTED_VALUE"""),"Paquete de Elasticos 50 mm x 7 mm x 9 Hojas L850")</f>
        <v>Paquete de Elasticos 50 mm x 7 mm x 9 Hojas L850</v>
      </c>
      <c r="BP43" s="3" t="str">
        <f>IFERROR(__xludf.DUMMYFUNCTION("""COMPUTED_VALUE"""),"Paquete de Elasticos 63 mm x 8 mm x 8 Hojas L850")</f>
        <v>Paquete de Elasticos 63 mm x 8 mm x 8 Hojas L850</v>
      </c>
      <c r="BQ43" s="3" t="str">
        <f>IFERROR(__xludf.DUMMYFUNCTION("""COMPUTED_VALUE"""),"Paquete de Elasticos 63 mm x 10 mm x 10 Hojas L950")</f>
        <v>Paquete de Elasticos 63 mm x 10 mm x 10 Hojas L950</v>
      </c>
      <c r="BR43" s="3" t="str">
        <f>IFERROR(__xludf.DUMMYFUNCTION("""COMPUTED_VALUE"""),"Paquete de Elasticos 63 mm x 10 mm x 13 Hojas L975")</f>
        <v>Paquete de Elasticos 63 mm x 10 mm x 13 Hojas L975</v>
      </c>
      <c r="BS43" s="3" t="str">
        <f>IFERROR(__xludf.DUMMYFUNCTION("""COMPUTED_VALUE"""),"Paquete de Elasticos 50 mm x 7 mm x 9 Hojas L650")</f>
        <v>Paquete de Elasticos 50 mm x 7 mm x 9 Hojas L650</v>
      </c>
      <c r="BT43" s="3" t="str">
        <f>IFERROR(__xludf.DUMMYFUNCTION("""COMPUTED_VALUE"""),"Eje Acoplado 2"" x 1600 (06/08) Agrícola Centro 92")</f>
        <v>Eje Acoplado 2" x 1600 (06/08) Agrícola Centro 92</v>
      </c>
      <c r="BU43" s="3" t="str">
        <f>IFERROR(__xludf.DUMMYFUNCTION("""COMPUTED_VALUE"""),"Eje Acoplado 2 1/2"" x 1600 (07/09) Agrícola Centro 92")</f>
        <v>Eje Acoplado 2 1/2" x 1600 (07/09) Agrícola Centro 92</v>
      </c>
      <c r="BV43" s="3" t="str">
        <f>IFERROR(__xludf.DUMMYFUNCTION("""COMPUTED_VALUE"""),"Eje Acoplado 2 1/2"" x 1600 (09/11) Agrícola Centro 150")</f>
        <v>Eje Acoplado 2 1/2" x 1600 (09/11) Agrícola Centro 150</v>
      </c>
      <c r="BW43" s="3" t="str">
        <f>IFERROR(__xludf.DUMMYFUNCTION("""COMPUTED_VALUE"""),"Eje Acoplado 3"" x 1600 (10/13) Agrícola Centro 150")</f>
        <v>Eje Acoplado 3" x 1600 (10/13) Agrícola Centro 150</v>
      </c>
      <c r="BX43" s="3" t="str">
        <f>IFERROR(__xludf.DUMMYFUNCTION("""COMPUTED_VALUE"""),"Eje Acoplado 2 1/2"" x 2140 (07/09) Agrícola Centro 92")</f>
        <v>Eje Acoplado 2 1/2" x 2140 (07/09) Agrícola Centro 92</v>
      </c>
      <c r="BY43" s="3" t="str">
        <f>IFERROR(__xludf.DUMMYFUNCTION("""COMPUTED_VALUE"""),"Eje Acoplado 2"" x 1400 (06/08) Agrícola Centro 92")</f>
        <v>Eje Acoplado 2" x 1400 (06/08) Agrícola Centro 92</v>
      </c>
      <c r="BZ43" s="3" t="str">
        <f>IFERROR(__xludf.DUMMYFUNCTION("""COMPUTED_VALUE"""),"Eje Acoplado 2 1/2"" x 1500 (07/09) Agrícola Centro 92")</f>
        <v>Eje Acoplado 2 1/2" x 1500 (07/09) Agrícola Centro 92</v>
      </c>
      <c r="CA43" s="3" t="str">
        <f>IFERROR(__xludf.DUMMYFUNCTION("""COMPUTED_VALUE"""),"Eje Acoplado 2 1/2"" x 2000 (07/09) Agrícola Centro 92")</f>
        <v>Eje Acoplado 2 1/2" x 2000 (07/09) Agrícola Centro 92</v>
      </c>
      <c r="CB43" s="3" t="str">
        <f>IFERROR(__xludf.DUMMYFUNCTION("""COMPUTED_VALUE"""),"Eje Acoplado 2 1/2"" x 2100 (09/11) Agrícola Centro 150")</f>
        <v>Eje Acoplado 2 1/2" x 2100 (09/11) Agrícola Centro 150</v>
      </c>
      <c r="CC43" s="3" t="str">
        <f>IFERROR(__xludf.DUMMYFUNCTION("""COMPUTED_VALUE"""),"Llanta 16"" Simple Agrícola Centro 92")</f>
        <v>Llanta 16" Simple Agrícola Centro 92</v>
      </c>
      <c r="CD43" s="3" t="str">
        <f>IFERROR(__xludf.DUMMYFUNCTION("""COMPUTED_VALUE"""),"Llanta 16"" Dual Agrícola Centro 92")</f>
        <v>Llanta 16" Dual Agrícola Centro 92</v>
      </c>
      <c r="CE43" s="3" t="str">
        <f>IFERROR(__xludf.DUMMYFUNCTION("""COMPUTED_VALUE"""),"Llanta 17"" Simple Agrícola Centro 92")</f>
        <v>Llanta 17" Simple Agrícola Centro 92</v>
      </c>
      <c r="CF43" s="3" t="str">
        <f>IFERROR(__xludf.DUMMYFUNCTION("""COMPUTED_VALUE"""),"Llanta 17"" Dual Agrícola Centro 92")</f>
        <v>Llanta 17" Dual Agrícola Centro 92</v>
      </c>
      <c r="CG43" s="3" t="str">
        <f>IFERROR(__xludf.DUMMYFUNCTION("""COMPUTED_VALUE"""),"Llanta 16"" Dual Agrícola Centro 152")</f>
        <v>Llanta 16" Dual Agrícola Centro 152</v>
      </c>
      <c r="CH43" s="3" t="str">
        <f>IFERROR(__xludf.DUMMYFUNCTION("""COMPUTED_VALUE"""),"Llanta 17"" Dual Agrícola Centro 152")</f>
        <v>Llanta 17" Dual Agrícola Centro 152</v>
      </c>
      <c r="CI43" s="3" t="str">
        <f>IFERROR(__xludf.DUMMYFUNCTION("""COMPUTED_VALUE"""),"Eje Acoplado 2"" x 1600 (05/07) Agrícola Centro 92")</f>
        <v>Eje Acoplado 2" x 1600 (05/07) Agrícola Centro 92</v>
      </c>
      <c r="CJ43" s="3" t="str">
        <f>IFERROR(__xludf.DUMMYFUNCTION("""COMPUTED_VALUE"""),"Paquete de Elásticos 50 mm x 8 mm x 12 Hojas")</f>
        <v>Paquete de Elásticos 50 mm x 8 mm x 12 Hojas</v>
      </c>
      <c r="CK43" s="3" t="str">
        <f>IFERROR(__xludf.DUMMYFUNCTION("""COMPUTED_VALUE"""),"Plataforma Playo 4.00 x 1.90 x 0.45 Lateral Simple Baranda Fija")</f>
        <v>Plataforma Playo 4.00 x 1.90 x 0.45 Lateral Simple Baranda Fija</v>
      </c>
      <c r="CL43" s="3" t="str">
        <f>IFERROR(__xludf.DUMMYFUNCTION("""COMPUTED_VALUE"""),"Plataforma Playo 4.00 x 1.90 x 0.45 Lateral Simple Baranda Ventilada")</f>
        <v>Plataforma Playo 4.00 x 1.90 x 0.45 Lateral Simple Baranda Ventilada</v>
      </c>
      <c r="CM43" s="3" t="str">
        <f>IFERROR(__xludf.DUMMYFUNCTION("""COMPUTED_VALUE"""),"Plataforma Playo 4.00 x 1.90 x 0.45 Lateral Doble Baranda Ventilada")</f>
        <v>Plataforma Playo 4.00 x 1.90 x 0.45 Lateral Doble Baranda Ventilada</v>
      </c>
      <c r="CN43" s="3" t="str">
        <f>IFERROR(__xludf.DUMMYFUNCTION("""COMPUTED_VALUE"""),"Plataforma Playo 4.00 x 1.90 x 0.45 Lateral Doble Baranda Fija")</f>
        <v>Plataforma Playo 4.00 x 1.90 x 0.45 Lateral Doble Baranda Fija</v>
      </c>
      <c r="CO43" s="3" t="str">
        <f>IFERROR(__xludf.DUMMYFUNCTION("""COMPUTED_VALUE"""),"Plataforma Playo 4.00 x 1.90 x 0.72 Lateral Simple Baranda Fija")</f>
        <v>Plataforma Playo 4.00 x 1.90 x 0.72 Lateral Simple Baranda Fija</v>
      </c>
      <c r="CP43" s="3" t="str">
        <f>IFERROR(__xludf.DUMMYFUNCTION("""COMPUTED_VALUE"""),"Plataforma Playo 4.00 x 1.90 x 0.72 Lateral Doble Baranda Fija")</f>
        <v>Plataforma Playo 4.00 x 1.90 x 0.72 Lateral Doble Baranda Fija</v>
      </c>
      <c r="CQ43" s="3" t="str">
        <f>IFERROR(__xludf.DUMMYFUNCTION("""COMPUTED_VALUE"""),"Plataforma Playo 5.00 x 2.20 x 0.60 Lateral Doble Trasera Rebatible")</f>
        <v>Plataforma Playo 5.00 x 2.20 x 0.60 Lateral Doble Trasera Rebatible</v>
      </c>
      <c r="CR43" s="3" t="str">
        <f>IFERROR(__xludf.DUMMYFUNCTION("""COMPUTED_VALUE"""),"Plataforma Playo 5.00 x 2.20 x 0.60 Lateral Doble Baranda Fija C/Toldo")</f>
        <v>Plataforma Playo 5.00 x 2.20 x 0.60 Lateral Doble Baranda Fija C/Toldo</v>
      </c>
      <c r="CS43" s="3" t="str">
        <f>IFERROR(__xludf.DUMMYFUNCTION("""COMPUTED_VALUE"""),"Plataforma Playo 3.00 x 1.90 x 0.45 Lateral Simple Baranda Fija")</f>
        <v>Plataforma Playo 3.00 x 1.90 x 0.45 Lateral Simple Baranda Fija</v>
      </c>
      <c r="CT43" s="3" t="str">
        <f>IFERROR(__xludf.DUMMYFUNCTION("""COMPUTED_VALUE"""),"Plataforma Playo 3.00 x 1.90 x 0.45 Lateral Simple Baranda Ventilada")</f>
        <v>Plataforma Playo 3.00 x 1.90 x 0.45 Lateral Simple Baranda Ventilada</v>
      </c>
      <c r="CU43" s="3" t="str">
        <f>IFERROR(__xludf.DUMMYFUNCTION("""COMPUTED_VALUE"""),"Plataforma Playo 2.00 x 1.90 x 0.45 Lateral Simple Baranda Fija")</f>
        <v>Plataforma Playo 2.00 x 1.90 x 0.45 Lateral Simple Baranda Fija</v>
      </c>
      <c r="CV43" s="3" t="str">
        <f>IFERROR(__xludf.DUMMYFUNCTION("""COMPUTED_VALUE"""),"Plataforma Playo 5.00 x 1.90 x 0.60 Lateral Doble Baranda Fija")</f>
        <v>Plataforma Playo 5.00 x 1.90 x 0.60 Lateral Doble Baranda Fija</v>
      </c>
      <c r="CW43" s="3" t="str">
        <f>IFERROR(__xludf.DUMMYFUNCTION("""COMPUTED_VALUE"""),"Plataforma Playo 6.40 x 2.70 x 0.72 Lateral Doble Baranda Fija")</f>
        <v>Plataforma Playo 6.40 x 2.70 x 0.72 Lateral Doble Baranda Fija</v>
      </c>
      <c r="CX43" s="3" t="str">
        <f>IFERROR(__xludf.DUMMYFUNCTION("""COMPUTED_VALUE"""),"Chasis Acoplado Balancin L4000 Lanza Recta")</f>
        <v>Chasis Acoplado Balancin L4000 Lanza Recta</v>
      </c>
      <c r="CY43" s="3" t="str">
        <f>IFERROR(__xludf.DUMMYFUNCTION("""COMPUTED_VALUE"""),"Llanta simple Agrícola 750x20 centro 152")</f>
        <v>Llanta simple Agrícola 750x20 centro 152</v>
      </c>
      <c r="CZ43" s="3" t="str">
        <f>IFERROR(__xludf.DUMMYFUNCTION("""COMPUTED_VALUE"""),"Cajón de Herramientas Mediano adelante")</f>
        <v>Cajón de Herramientas Mediano adelante</v>
      </c>
      <c r="DA43" s="3" t="str">
        <f>IFERROR(__xludf.DUMMYFUNCTION("""COMPUTED_VALUE"""),"Llanta 15"" Simple Agrícola Centro 92")</f>
        <v>Llanta 15" Simple Agrícola Centro 92</v>
      </c>
    </row>
    <row r="44" hidden="1">
      <c r="A44" s="38">
        <f t="shared" si="1"/>
        <v>43</v>
      </c>
      <c r="B44" s="38">
        <f>IF(F44="","",SUMIF(Prearmados!E:E,F44,Prearmados!A:A))</f>
        <v>16</v>
      </c>
      <c r="C44" s="38">
        <f>IF(F44="","",SUMIF(Productos!E:E,G44,Productos!A:A))</f>
        <v>75</v>
      </c>
      <c r="D44" s="83" t="str">
        <f t="array" ref="D44">IF(OR(F44="",F44="Seleccionar.."),"",XLOOKUP(F44,Prearmados!E:E,Prearmados!F:F,"",0,1))</f>
        <v>Acoplados Rurales</v>
      </c>
      <c r="E44" s="83">
        <f>IF(H44="","",SUMIF(Precio_Productos!K:K,C44,Precio_Productos!J:J)*H44)</f>
        <v>3705059</v>
      </c>
      <c r="F44" s="84" t="s">
        <v>339</v>
      </c>
      <c r="G44" s="84" t="s">
        <v>101</v>
      </c>
      <c r="H44" s="13">
        <v>1.0</v>
      </c>
      <c r="P44" s="3" t="str">
        <f>IFERROR(__xludf.DUMMYFUNCTION("IF(OR(F44="""",F44=""Seleccionar..""),"""",TRANSPOSE(FILTER(Productos!E:E,(Productos!F:F=D44)+(Productos!F:F=XLOOKUP(D44,Implementos!B:B,Implementos!C:C,""-"",0,1)))))"),"Tanque Combustible 1100 lts Bajo")</f>
        <v>Tanque Combustible 1100 lts Bajo</v>
      </c>
      <c r="Q44" s="3" t="str">
        <f>IFERROR(__xludf.DUMMYFUNCTION("""COMPUTED_VALUE"""),"Tanque Combustible 1500 lts Standard")</f>
        <v>Tanque Combustible 1500 lts Standard</v>
      </c>
      <c r="R44" s="3" t="str">
        <f>IFERROR(__xludf.DUMMYFUNCTION("""COMPUTED_VALUE"""),"Tanque Combustible 1800 lts Standard")</f>
        <v>Tanque Combustible 1800 lts Standard</v>
      </c>
      <c r="S44" s="3" t="str">
        <f>IFERROR(__xludf.DUMMYFUNCTION("""COMPUTED_VALUE"""),"Tanque Combustible 2000 lts Bajo")</f>
        <v>Tanque Combustible 2000 lts Bajo</v>
      </c>
      <c r="T44" s="3" t="str">
        <f>IFERROR(__xludf.DUMMYFUNCTION("""COMPUTED_VALUE"""),"Tanque Combustible 2000 lts Standard")</f>
        <v>Tanque Combustible 2000 lts Standard</v>
      </c>
      <c r="U44" s="3" t="str">
        <f>IFERROR(__xludf.DUMMYFUNCTION("""COMPUTED_VALUE"""),"Tanque Combustible 3000 lts Standard")</f>
        <v>Tanque Combustible 3000 lts Standard</v>
      </c>
      <c r="V44" s="3" t="str">
        <f>IFERROR(__xludf.DUMMYFUNCTION("""COMPUTED_VALUE"""),"Tanque Combustible 3000 lts Alto")</f>
        <v>Tanque Combustible 3000 lts Alto</v>
      </c>
      <c r="W44" s="3" t="str">
        <f>IFERROR(__xludf.DUMMYFUNCTION("""COMPUTED_VALUE"""),"Tanque Combustible 4000 lts Standard")</f>
        <v>Tanque Combustible 4000 lts Standard</v>
      </c>
      <c r="X44" s="3" t="str">
        <f>IFERROR(__xludf.DUMMYFUNCTION("""COMPUTED_VALUE"""),"Tanque Combustible 5000 lts Standard")</f>
        <v>Tanque Combustible 5000 lts Standard</v>
      </c>
      <c r="Y44" s="3" t="str">
        <f>IFERROR(__xludf.DUMMYFUNCTION("""COMPUTED_VALUE"""),"Tanque Combustible 5000 lts Alto")</f>
        <v>Tanque Combustible 5000 lts Alto</v>
      </c>
      <c r="Z44" s="3" t="str">
        <f>IFERROR(__xludf.DUMMYFUNCTION("""COMPUTED_VALUE"""),"Tanque Combustible 2000 lts Alto")</f>
        <v>Tanque Combustible 2000 lts Alto</v>
      </c>
      <c r="AA44" s="3" t="str">
        <f>IFERROR(__xludf.DUMMYFUNCTION("""COMPUTED_VALUE"""),"Tanque Combustible 4000 lts Alto")</f>
        <v>Tanque Combustible 4000 lts Alto</v>
      </c>
      <c r="AB44" s="3" t="str">
        <f>IFERROR(__xludf.DUMMYFUNCTION("""COMPUTED_VALUE"""),"Baulera Standard - 750")</f>
        <v>Baulera Standard - 750</v>
      </c>
      <c r="AC44" s="3" t="str">
        <f>IFERROR(__xludf.DUMMYFUNCTION("""COMPUTED_VALUE"""),"Baulera Standard - 1700 - C/Laterales")</f>
        <v>Baulera Standard - 1700 - C/Laterales</v>
      </c>
      <c r="AD44" s="3" t="str">
        <f>IFERROR(__xludf.DUMMYFUNCTION("""COMPUTED_VALUE"""),"Baulera Standard - 1000 - C/Laterales")</f>
        <v>Baulera Standard - 1000 - C/Laterales</v>
      </c>
      <c r="AE44" s="3" t="str">
        <f>IFERROR(__xludf.DUMMYFUNCTION("""COMPUTED_VALUE"""),"Baulera Standard - 750 - C/Laterales")</f>
        <v>Baulera Standard - 750 - C/Laterales</v>
      </c>
      <c r="AF44" s="3" t="str">
        <f>IFERROR(__xludf.DUMMYFUNCTION("""COMPUTED_VALUE"""),"Baulera Standard - 1300 - C/Laterales")</f>
        <v>Baulera Standard - 1300 - C/Laterales</v>
      </c>
      <c r="AG44" s="3" t="str">
        <f>IFERROR(__xludf.DUMMYFUNCTION("""COMPUTED_VALUE"""),"Baulera Alta - 750")</f>
        <v>Baulera Alta - 750</v>
      </c>
      <c r="AH44" s="3" t="str">
        <f>IFERROR(__xludf.DUMMYFUNCTION("""COMPUTED_VALUE"""),"Baulera Alta - 1500 - C/Laterales")</f>
        <v>Baulera Alta - 1500 - C/Laterales</v>
      </c>
      <c r="AI44" s="3" t="str">
        <f>IFERROR(__xludf.DUMMYFUNCTION("""COMPUTED_VALUE"""),"Baulera Extendida 1700 - C/Laterales")</f>
        <v>Baulera Extendida 1700 - C/Laterales</v>
      </c>
      <c r="AJ44" s="3" t="str">
        <f>IFERROR(__xludf.DUMMYFUNCTION("""COMPUTED_VALUE"""),"Taller Móvil - 1500 x 1500 x 1700")</f>
        <v>Taller Móvil - 1500 x 1500 x 1700</v>
      </c>
      <c r="AK44" s="3" t="str">
        <f>IFERROR(__xludf.DUMMYFUNCTION("""COMPUTED_VALUE"""),"Cajón Herramientas Standard Derecho")</f>
        <v>Cajón Herramientas Standard Derecho</v>
      </c>
      <c r="AL44" s="3" t="str">
        <f>IFERROR(__xludf.DUMMYFUNCTION("""COMPUTED_VALUE"""),"Cajón Herramientas Standard Izquierdo")</f>
        <v>Cajón Herramientas Standard Izquierdo</v>
      </c>
      <c r="AM44" s="3" t="str">
        <f>IFERROR(__xludf.DUMMYFUNCTION("""COMPUTED_VALUE"""),"Cajón Herramientas Corto Derecho")</f>
        <v>Cajón Herramientas Corto Derecho</v>
      </c>
      <c r="AN44" s="3" t="str">
        <f>IFERROR(__xludf.DUMMYFUNCTION("""COMPUTED_VALUE"""),"Cajón Herramientas Corto Izquierdo")</f>
        <v>Cajón Herramientas Corto Izquierdo</v>
      </c>
      <c r="AO44" s="3" t="str">
        <f>IFERROR(__xludf.DUMMYFUNCTION("""COMPUTED_VALUE"""),"Cajón Herramientas Mediano Derecho")</f>
        <v>Cajón Herramientas Mediano Derecho</v>
      </c>
      <c r="AP44" s="3" t="str">
        <f>IFERROR(__xludf.DUMMYFUNCTION("""COMPUTED_VALUE"""),"Cajón Herramientas Mediano Izquierdo")</f>
        <v>Cajón Herramientas Mediano Izquierdo</v>
      </c>
      <c r="AQ44" s="3" t="str">
        <f>IFERROR(__xludf.DUMMYFUNCTION("""COMPUTED_VALUE"""),"Chasis Acoplado 2 Ejes L3000")</f>
        <v>Chasis Acoplado 2 Ejes L3000</v>
      </c>
      <c r="AR44" s="3" t="str">
        <f>IFERROR(__xludf.DUMMYFUNCTION("""COMPUTED_VALUE"""),"Chasis Acoplado 2 Ejes L3750")</f>
        <v>Chasis Acoplado 2 Ejes L3750</v>
      </c>
      <c r="AS44" s="3" t="str">
        <f>IFERROR(__xludf.DUMMYFUNCTION("""COMPUTED_VALUE"""),"Chasis Acoplado 2 Ejes L4000")</f>
        <v>Chasis Acoplado 2 Ejes L4000</v>
      </c>
      <c r="AT44" s="3" t="str">
        <f>IFERROR(__xludf.DUMMYFUNCTION("""COMPUTED_VALUE"""),"Chasis Acoplado 2 Ejes L4000 Reforzado")</f>
        <v>Chasis Acoplado 2 Ejes L4000 Reforzado</v>
      </c>
      <c r="AU44" s="3" t="str">
        <f>IFERROR(__xludf.DUMMYFUNCTION("""COMPUTED_VALUE"""),"Chasis Acoplado 2 Ejes L4750")</f>
        <v>Chasis Acoplado 2 Ejes L4750</v>
      </c>
      <c r="AV44" s="3" t="str">
        <f>IFERROR(__xludf.DUMMYFUNCTION("""COMPUTED_VALUE"""),"Chasis Acoplado 2 Ejes L4750 Reforzado")</f>
        <v>Chasis Acoplado 2 Ejes L4750 Reforzado</v>
      </c>
      <c r="AW44" s="3" t="str">
        <f>IFERROR(__xludf.DUMMYFUNCTION("""COMPUTED_VALUE"""),"Chasis Acoplado 2 Ejes L4750 Reforzado R. Camion")</f>
        <v>Chasis Acoplado 2 Ejes L4750 Reforzado R. Camion</v>
      </c>
      <c r="AX44" s="3" t="str">
        <f>IFERROR(__xludf.DUMMYFUNCTION("""COMPUTED_VALUE"""),"Chasis Acoplado 2 Ejes L5000")</f>
        <v>Chasis Acoplado 2 Ejes L5000</v>
      </c>
      <c r="AY44" s="3" t="str">
        <f>IFERROR(__xludf.DUMMYFUNCTION("""COMPUTED_VALUE"""),"Chasis Acoplado 2 Ejes L5750")</f>
        <v>Chasis Acoplado 2 Ejes L5750</v>
      </c>
      <c r="AZ44" s="3" t="str">
        <f>IFERROR(__xludf.DUMMYFUNCTION("""COMPUTED_VALUE"""),"Chasis Acoplado 2 Ejes L6400")</f>
        <v>Chasis Acoplado 2 Ejes L6400</v>
      </c>
      <c r="BA44" s="3" t="str">
        <f>IFERROR(__xludf.DUMMYFUNCTION("""COMPUTED_VALUE"""),"Chasis Acoplado 2 Ejes L4500")</f>
        <v>Chasis Acoplado 2 Ejes L4500</v>
      </c>
      <c r="BB44" s="3" t="str">
        <f>IFERROR(__xludf.DUMMYFUNCTION("""COMPUTED_VALUE"""),"Chasis Acoplado 1 Eje L1500")</f>
        <v>Chasis Acoplado 1 Eje L1500</v>
      </c>
      <c r="BC44" s="3" t="str">
        <f>IFERROR(__xludf.DUMMYFUNCTION("""COMPUTED_VALUE"""),"Chasis Acoplado 1 Eje L1800")</f>
        <v>Chasis Acoplado 1 Eje L1800</v>
      </c>
      <c r="BD44" s="3" t="str">
        <f>IFERROR(__xludf.DUMMYFUNCTION("""COMPUTED_VALUE"""),"Chasis Acoplado 1 Eje L1400")</f>
        <v>Chasis Acoplado 1 Eje L1400</v>
      </c>
      <c r="BE44" s="3" t="str">
        <f>IFERROR(__xludf.DUMMYFUNCTION("""COMPUTED_VALUE"""),"Chasis Acoplado Balancin L3000")</f>
        <v>Chasis Acoplado Balancin L3000</v>
      </c>
      <c r="BF44" s="3" t="str">
        <f>IFERROR(__xludf.DUMMYFUNCTION("""COMPUTED_VALUE"""),"Chasis Acoplado Balancin L3000 Lanza Corta")</f>
        <v>Chasis Acoplado Balancin L3000 Lanza Corta</v>
      </c>
      <c r="BG44" s="3" t="str">
        <f>IFERROR(__xludf.DUMMYFUNCTION("""COMPUTED_VALUE"""),"Chasis Acoplado Balancin L2000 Lanza Corta")</f>
        <v>Chasis Acoplado Balancin L2000 Lanza Corta</v>
      </c>
      <c r="BH44" s="3" t="str">
        <f>IFERROR(__xludf.DUMMYFUNCTION("""COMPUTED_VALUE"""),"Chasis Acoplado Balancin L3200 Lanza Corta")</f>
        <v>Chasis Acoplado Balancin L3200 Lanza Corta</v>
      </c>
      <c r="BI44" s="3" t="str">
        <f>IFERROR(__xludf.DUMMYFUNCTION("""COMPUTED_VALUE"""),"Chasis Acoplado Balancin L3200 Lanza Recta")</f>
        <v>Chasis Acoplado Balancin L3200 Lanza Recta</v>
      </c>
      <c r="BJ44" s="3" t="str">
        <f>IFERROR(__xludf.DUMMYFUNCTION("""COMPUTED_VALUE"""),"Chasis Acoplado Balancin L3200 Bajo Lanza Recta")</f>
        <v>Chasis Acoplado Balancin L3200 Bajo Lanza Recta</v>
      </c>
      <c r="BK44" s="3" t="str">
        <f>IFERROR(__xludf.DUMMYFUNCTION("""COMPUTED_VALUE"""),"Tanque Plastico Horizontal 750 Lts")</f>
        <v>Tanque Plastico Horizontal 750 Lts</v>
      </c>
      <c r="BL44" s="3" t="str">
        <f>IFERROR(__xludf.DUMMYFUNCTION("""COMPUTED_VALUE"""),"Medio Tanque Plastico Superior 700 Lts")</f>
        <v>Medio Tanque Plastico Superior 700 Lts</v>
      </c>
      <c r="BM44" s="3" t="str">
        <f>IFERROR(__xludf.DUMMYFUNCTION("""COMPUTED_VALUE"""),"Paquete de Elasticos 50 mm x 8 mm x 10 Hojas L850")</f>
        <v>Paquete de Elasticos 50 mm x 8 mm x 10 Hojas L850</v>
      </c>
      <c r="BN44" s="3" t="str">
        <f>IFERROR(__xludf.DUMMYFUNCTION("""COMPUTED_VALUE"""),"Paquete de Elasticos 63 mm x 8 mm x 10 Hojas L950")</f>
        <v>Paquete de Elasticos 63 mm x 8 mm x 10 Hojas L950</v>
      </c>
      <c r="BO44" s="3" t="str">
        <f>IFERROR(__xludf.DUMMYFUNCTION("""COMPUTED_VALUE"""),"Paquete de Elasticos 50 mm x 7 mm x 9 Hojas L850")</f>
        <v>Paquete de Elasticos 50 mm x 7 mm x 9 Hojas L850</v>
      </c>
      <c r="BP44" s="3" t="str">
        <f>IFERROR(__xludf.DUMMYFUNCTION("""COMPUTED_VALUE"""),"Paquete de Elasticos 63 mm x 8 mm x 8 Hojas L850")</f>
        <v>Paquete de Elasticos 63 mm x 8 mm x 8 Hojas L850</v>
      </c>
      <c r="BQ44" s="3" t="str">
        <f>IFERROR(__xludf.DUMMYFUNCTION("""COMPUTED_VALUE"""),"Paquete de Elasticos 63 mm x 10 mm x 10 Hojas L950")</f>
        <v>Paquete de Elasticos 63 mm x 10 mm x 10 Hojas L950</v>
      </c>
      <c r="BR44" s="3" t="str">
        <f>IFERROR(__xludf.DUMMYFUNCTION("""COMPUTED_VALUE"""),"Paquete de Elasticos 63 mm x 10 mm x 13 Hojas L975")</f>
        <v>Paquete de Elasticos 63 mm x 10 mm x 13 Hojas L975</v>
      </c>
      <c r="BS44" s="3" t="str">
        <f>IFERROR(__xludf.DUMMYFUNCTION("""COMPUTED_VALUE"""),"Paquete de Elasticos 50 mm x 7 mm x 9 Hojas L650")</f>
        <v>Paquete de Elasticos 50 mm x 7 mm x 9 Hojas L650</v>
      </c>
      <c r="BT44" s="3" t="str">
        <f>IFERROR(__xludf.DUMMYFUNCTION("""COMPUTED_VALUE"""),"Eje Acoplado 2"" x 1600 (06/08) Agrícola Centro 92")</f>
        <v>Eje Acoplado 2" x 1600 (06/08) Agrícola Centro 92</v>
      </c>
      <c r="BU44" s="3" t="str">
        <f>IFERROR(__xludf.DUMMYFUNCTION("""COMPUTED_VALUE"""),"Eje Acoplado 2 1/2"" x 1600 (07/09) Agrícola Centro 92")</f>
        <v>Eje Acoplado 2 1/2" x 1600 (07/09) Agrícola Centro 92</v>
      </c>
      <c r="BV44" s="3" t="str">
        <f>IFERROR(__xludf.DUMMYFUNCTION("""COMPUTED_VALUE"""),"Eje Acoplado 2 1/2"" x 1600 (09/11) Agrícola Centro 150")</f>
        <v>Eje Acoplado 2 1/2" x 1600 (09/11) Agrícola Centro 150</v>
      </c>
      <c r="BW44" s="3" t="str">
        <f>IFERROR(__xludf.DUMMYFUNCTION("""COMPUTED_VALUE"""),"Eje Acoplado 3"" x 1600 (10/13) Agrícola Centro 150")</f>
        <v>Eje Acoplado 3" x 1600 (10/13) Agrícola Centro 150</v>
      </c>
      <c r="BX44" s="3" t="str">
        <f>IFERROR(__xludf.DUMMYFUNCTION("""COMPUTED_VALUE"""),"Eje Acoplado 2 1/2"" x 2140 (07/09) Agrícola Centro 92")</f>
        <v>Eje Acoplado 2 1/2" x 2140 (07/09) Agrícola Centro 92</v>
      </c>
      <c r="BY44" s="3" t="str">
        <f>IFERROR(__xludf.DUMMYFUNCTION("""COMPUTED_VALUE"""),"Eje Acoplado 2"" x 1400 (06/08) Agrícola Centro 92")</f>
        <v>Eje Acoplado 2" x 1400 (06/08) Agrícola Centro 92</v>
      </c>
      <c r="BZ44" s="3" t="str">
        <f>IFERROR(__xludf.DUMMYFUNCTION("""COMPUTED_VALUE"""),"Eje Acoplado 2 1/2"" x 1500 (07/09) Agrícola Centro 92")</f>
        <v>Eje Acoplado 2 1/2" x 1500 (07/09) Agrícola Centro 92</v>
      </c>
      <c r="CA44" s="3" t="str">
        <f>IFERROR(__xludf.DUMMYFUNCTION("""COMPUTED_VALUE"""),"Eje Acoplado 2 1/2"" x 2000 (07/09) Agrícola Centro 92")</f>
        <v>Eje Acoplado 2 1/2" x 2000 (07/09) Agrícola Centro 92</v>
      </c>
      <c r="CB44" s="3" t="str">
        <f>IFERROR(__xludf.DUMMYFUNCTION("""COMPUTED_VALUE"""),"Eje Acoplado 2 1/2"" x 2100 (09/11) Agrícola Centro 150")</f>
        <v>Eje Acoplado 2 1/2" x 2100 (09/11) Agrícola Centro 150</v>
      </c>
      <c r="CC44" s="3" t="str">
        <f>IFERROR(__xludf.DUMMYFUNCTION("""COMPUTED_VALUE"""),"Llanta 16"" Simple Agrícola Centro 92")</f>
        <v>Llanta 16" Simple Agrícola Centro 92</v>
      </c>
      <c r="CD44" s="3" t="str">
        <f>IFERROR(__xludf.DUMMYFUNCTION("""COMPUTED_VALUE"""),"Llanta 16"" Dual Agrícola Centro 92")</f>
        <v>Llanta 16" Dual Agrícola Centro 92</v>
      </c>
      <c r="CE44" s="3" t="str">
        <f>IFERROR(__xludf.DUMMYFUNCTION("""COMPUTED_VALUE"""),"Llanta 17"" Simple Agrícola Centro 92")</f>
        <v>Llanta 17" Simple Agrícola Centro 92</v>
      </c>
      <c r="CF44" s="3" t="str">
        <f>IFERROR(__xludf.DUMMYFUNCTION("""COMPUTED_VALUE"""),"Llanta 17"" Dual Agrícola Centro 92")</f>
        <v>Llanta 17" Dual Agrícola Centro 92</v>
      </c>
      <c r="CG44" s="3" t="str">
        <f>IFERROR(__xludf.DUMMYFUNCTION("""COMPUTED_VALUE"""),"Llanta 16"" Dual Agrícola Centro 152")</f>
        <v>Llanta 16" Dual Agrícola Centro 152</v>
      </c>
      <c r="CH44" s="3" t="str">
        <f>IFERROR(__xludf.DUMMYFUNCTION("""COMPUTED_VALUE"""),"Llanta 17"" Dual Agrícola Centro 152")</f>
        <v>Llanta 17" Dual Agrícola Centro 152</v>
      </c>
      <c r="CI44" s="3" t="str">
        <f>IFERROR(__xludf.DUMMYFUNCTION("""COMPUTED_VALUE"""),"Eje Acoplado 2"" x 1600 (05/07) Agrícola Centro 92")</f>
        <v>Eje Acoplado 2" x 1600 (05/07) Agrícola Centro 92</v>
      </c>
      <c r="CJ44" s="3" t="str">
        <f>IFERROR(__xludf.DUMMYFUNCTION("""COMPUTED_VALUE"""),"Paquete de Elásticos 50 mm x 8 mm x 12 Hojas")</f>
        <v>Paquete de Elásticos 50 mm x 8 mm x 12 Hojas</v>
      </c>
      <c r="CK44" s="3" t="str">
        <f>IFERROR(__xludf.DUMMYFUNCTION("""COMPUTED_VALUE"""),"Plataforma Playo 4.00 x 1.90 x 0.45 Lateral Simple Baranda Fija")</f>
        <v>Plataforma Playo 4.00 x 1.90 x 0.45 Lateral Simple Baranda Fija</v>
      </c>
      <c r="CL44" s="3" t="str">
        <f>IFERROR(__xludf.DUMMYFUNCTION("""COMPUTED_VALUE"""),"Plataforma Playo 4.00 x 1.90 x 0.45 Lateral Simple Baranda Ventilada")</f>
        <v>Plataforma Playo 4.00 x 1.90 x 0.45 Lateral Simple Baranda Ventilada</v>
      </c>
      <c r="CM44" s="3" t="str">
        <f>IFERROR(__xludf.DUMMYFUNCTION("""COMPUTED_VALUE"""),"Plataforma Playo 4.00 x 1.90 x 0.45 Lateral Doble Baranda Ventilada")</f>
        <v>Plataforma Playo 4.00 x 1.90 x 0.45 Lateral Doble Baranda Ventilada</v>
      </c>
      <c r="CN44" s="3" t="str">
        <f>IFERROR(__xludf.DUMMYFUNCTION("""COMPUTED_VALUE"""),"Plataforma Playo 4.00 x 1.90 x 0.45 Lateral Doble Baranda Fija")</f>
        <v>Plataforma Playo 4.00 x 1.90 x 0.45 Lateral Doble Baranda Fija</v>
      </c>
      <c r="CO44" s="3" t="str">
        <f>IFERROR(__xludf.DUMMYFUNCTION("""COMPUTED_VALUE"""),"Plataforma Playo 4.00 x 1.90 x 0.72 Lateral Simple Baranda Fija")</f>
        <v>Plataforma Playo 4.00 x 1.90 x 0.72 Lateral Simple Baranda Fija</v>
      </c>
      <c r="CP44" s="3" t="str">
        <f>IFERROR(__xludf.DUMMYFUNCTION("""COMPUTED_VALUE"""),"Plataforma Playo 4.00 x 1.90 x 0.72 Lateral Doble Baranda Fija")</f>
        <v>Plataforma Playo 4.00 x 1.90 x 0.72 Lateral Doble Baranda Fija</v>
      </c>
      <c r="CQ44" s="3" t="str">
        <f>IFERROR(__xludf.DUMMYFUNCTION("""COMPUTED_VALUE"""),"Plataforma Playo 5.00 x 2.20 x 0.60 Lateral Doble Trasera Rebatible")</f>
        <v>Plataforma Playo 5.00 x 2.20 x 0.60 Lateral Doble Trasera Rebatible</v>
      </c>
      <c r="CR44" s="3" t="str">
        <f>IFERROR(__xludf.DUMMYFUNCTION("""COMPUTED_VALUE"""),"Plataforma Playo 5.00 x 2.20 x 0.60 Lateral Doble Baranda Fija C/Toldo")</f>
        <v>Plataforma Playo 5.00 x 2.20 x 0.60 Lateral Doble Baranda Fija C/Toldo</v>
      </c>
      <c r="CS44" s="3" t="str">
        <f>IFERROR(__xludf.DUMMYFUNCTION("""COMPUTED_VALUE"""),"Plataforma Playo 3.00 x 1.90 x 0.45 Lateral Simple Baranda Fija")</f>
        <v>Plataforma Playo 3.00 x 1.90 x 0.45 Lateral Simple Baranda Fija</v>
      </c>
      <c r="CT44" s="3" t="str">
        <f>IFERROR(__xludf.DUMMYFUNCTION("""COMPUTED_VALUE"""),"Plataforma Playo 3.00 x 1.90 x 0.45 Lateral Simple Baranda Ventilada")</f>
        <v>Plataforma Playo 3.00 x 1.90 x 0.45 Lateral Simple Baranda Ventilada</v>
      </c>
      <c r="CU44" s="3" t="str">
        <f>IFERROR(__xludf.DUMMYFUNCTION("""COMPUTED_VALUE"""),"Plataforma Playo 2.00 x 1.90 x 0.45 Lateral Simple Baranda Fija")</f>
        <v>Plataforma Playo 2.00 x 1.90 x 0.45 Lateral Simple Baranda Fija</v>
      </c>
      <c r="CV44" s="3" t="str">
        <f>IFERROR(__xludf.DUMMYFUNCTION("""COMPUTED_VALUE"""),"Plataforma Playo 5.00 x 1.90 x 0.60 Lateral Doble Baranda Fija")</f>
        <v>Plataforma Playo 5.00 x 1.90 x 0.60 Lateral Doble Baranda Fija</v>
      </c>
      <c r="CW44" s="3" t="str">
        <f>IFERROR(__xludf.DUMMYFUNCTION("""COMPUTED_VALUE"""),"Plataforma Playo 6.40 x 2.70 x 0.72 Lateral Doble Baranda Fija")</f>
        <v>Plataforma Playo 6.40 x 2.70 x 0.72 Lateral Doble Baranda Fija</v>
      </c>
      <c r="CX44" s="3" t="str">
        <f>IFERROR(__xludf.DUMMYFUNCTION("""COMPUTED_VALUE"""),"Chasis Acoplado Balancin L4000 Lanza Recta")</f>
        <v>Chasis Acoplado Balancin L4000 Lanza Recta</v>
      </c>
      <c r="CY44" s="3" t="str">
        <f>IFERROR(__xludf.DUMMYFUNCTION("""COMPUTED_VALUE"""),"Llanta simple Agrícola 750x20 centro 152")</f>
        <v>Llanta simple Agrícola 750x20 centro 152</v>
      </c>
      <c r="CZ44" s="3" t="str">
        <f>IFERROR(__xludf.DUMMYFUNCTION("""COMPUTED_VALUE"""),"Cajón de Herramientas Mediano adelante")</f>
        <v>Cajón de Herramientas Mediano adelante</v>
      </c>
      <c r="DA44" s="3" t="str">
        <f>IFERROR(__xludf.DUMMYFUNCTION("""COMPUTED_VALUE"""),"Llanta 15"" Simple Agrícola Centro 92")</f>
        <v>Llanta 15" Simple Agrícola Centro 92</v>
      </c>
    </row>
    <row r="45" hidden="1">
      <c r="A45" s="38">
        <f t="shared" si="1"/>
        <v>44</v>
      </c>
      <c r="B45" s="38">
        <f>IF(F45="","",SUMIF(Prearmados!E:E,F45,Prearmados!A:A))</f>
        <v>16</v>
      </c>
      <c r="C45" s="38">
        <f>IF(F45="","",SUMIF(Productos!E:E,G45,Productos!A:A))</f>
        <v>103</v>
      </c>
      <c r="D45" s="83" t="str">
        <f t="array" ref="D45">IF(OR(F45="",F45="Seleccionar.."),"",XLOOKUP(F45,Prearmados!E:E,Prearmados!F:F,"",0,1))</f>
        <v>Acoplados Rurales</v>
      </c>
      <c r="E45" s="83">
        <f>IF(H45="","",SUMIF(Precio_Productos!K:K,C45,Precio_Productos!J:J)*H45)</f>
        <v>1528800</v>
      </c>
      <c r="F45" s="84" t="s">
        <v>339</v>
      </c>
      <c r="G45" s="84" t="s">
        <v>135</v>
      </c>
      <c r="H45" s="13">
        <v>2.0</v>
      </c>
      <c r="P45" s="3" t="str">
        <f>IFERROR(__xludf.DUMMYFUNCTION("IF(OR(F45="""",F45=""Seleccionar..""),"""",TRANSPOSE(FILTER(Productos!E:E,(Productos!F:F=D45)+(Productos!F:F=XLOOKUP(D45,Implementos!B:B,Implementos!C:C,""-"",0,1)))))"),"Tanque Combustible 1100 lts Bajo")</f>
        <v>Tanque Combustible 1100 lts Bajo</v>
      </c>
      <c r="Q45" s="3" t="str">
        <f>IFERROR(__xludf.DUMMYFUNCTION("""COMPUTED_VALUE"""),"Tanque Combustible 1500 lts Standard")</f>
        <v>Tanque Combustible 1500 lts Standard</v>
      </c>
      <c r="R45" s="3" t="str">
        <f>IFERROR(__xludf.DUMMYFUNCTION("""COMPUTED_VALUE"""),"Tanque Combustible 1800 lts Standard")</f>
        <v>Tanque Combustible 1800 lts Standard</v>
      </c>
      <c r="S45" s="3" t="str">
        <f>IFERROR(__xludf.DUMMYFUNCTION("""COMPUTED_VALUE"""),"Tanque Combustible 2000 lts Bajo")</f>
        <v>Tanque Combustible 2000 lts Bajo</v>
      </c>
      <c r="T45" s="3" t="str">
        <f>IFERROR(__xludf.DUMMYFUNCTION("""COMPUTED_VALUE"""),"Tanque Combustible 2000 lts Standard")</f>
        <v>Tanque Combustible 2000 lts Standard</v>
      </c>
      <c r="U45" s="3" t="str">
        <f>IFERROR(__xludf.DUMMYFUNCTION("""COMPUTED_VALUE"""),"Tanque Combustible 3000 lts Standard")</f>
        <v>Tanque Combustible 3000 lts Standard</v>
      </c>
      <c r="V45" s="3" t="str">
        <f>IFERROR(__xludf.DUMMYFUNCTION("""COMPUTED_VALUE"""),"Tanque Combustible 3000 lts Alto")</f>
        <v>Tanque Combustible 3000 lts Alto</v>
      </c>
      <c r="W45" s="3" t="str">
        <f>IFERROR(__xludf.DUMMYFUNCTION("""COMPUTED_VALUE"""),"Tanque Combustible 4000 lts Standard")</f>
        <v>Tanque Combustible 4000 lts Standard</v>
      </c>
      <c r="X45" s="3" t="str">
        <f>IFERROR(__xludf.DUMMYFUNCTION("""COMPUTED_VALUE"""),"Tanque Combustible 5000 lts Standard")</f>
        <v>Tanque Combustible 5000 lts Standard</v>
      </c>
      <c r="Y45" s="3" t="str">
        <f>IFERROR(__xludf.DUMMYFUNCTION("""COMPUTED_VALUE"""),"Tanque Combustible 5000 lts Alto")</f>
        <v>Tanque Combustible 5000 lts Alto</v>
      </c>
      <c r="Z45" s="3" t="str">
        <f>IFERROR(__xludf.DUMMYFUNCTION("""COMPUTED_VALUE"""),"Tanque Combustible 2000 lts Alto")</f>
        <v>Tanque Combustible 2000 lts Alto</v>
      </c>
      <c r="AA45" s="3" t="str">
        <f>IFERROR(__xludf.DUMMYFUNCTION("""COMPUTED_VALUE"""),"Tanque Combustible 4000 lts Alto")</f>
        <v>Tanque Combustible 4000 lts Alto</v>
      </c>
      <c r="AB45" s="3" t="str">
        <f>IFERROR(__xludf.DUMMYFUNCTION("""COMPUTED_VALUE"""),"Baulera Standard - 750")</f>
        <v>Baulera Standard - 750</v>
      </c>
      <c r="AC45" s="3" t="str">
        <f>IFERROR(__xludf.DUMMYFUNCTION("""COMPUTED_VALUE"""),"Baulera Standard - 1700 - C/Laterales")</f>
        <v>Baulera Standard - 1700 - C/Laterales</v>
      </c>
      <c r="AD45" s="3" t="str">
        <f>IFERROR(__xludf.DUMMYFUNCTION("""COMPUTED_VALUE"""),"Baulera Standard - 1000 - C/Laterales")</f>
        <v>Baulera Standard - 1000 - C/Laterales</v>
      </c>
      <c r="AE45" s="3" t="str">
        <f>IFERROR(__xludf.DUMMYFUNCTION("""COMPUTED_VALUE"""),"Baulera Standard - 750 - C/Laterales")</f>
        <v>Baulera Standard - 750 - C/Laterales</v>
      </c>
      <c r="AF45" s="3" t="str">
        <f>IFERROR(__xludf.DUMMYFUNCTION("""COMPUTED_VALUE"""),"Baulera Standard - 1300 - C/Laterales")</f>
        <v>Baulera Standard - 1300 - C/Laterales</v>
      </c>
      <c r="AG45" s="3" t="str">
        <f>IFERROR(__xludf.DUMMYFUNCTION("""COMPUTED_VALUE"""),"Baulera Alta - 750")</f>
        <v>Baulera Alta - 750</v>
      </c>
      <c r="AH45" s="3" t="str">
        <f>IFERROR(__xludf.DUMMYFUNCTION("""COMPUTED_VALUE"""),"Baulera Alta - 1500 - C/Laterales")</f>
        <v>Baulera Alta - 1500 - C/Laterales</v>
      </c>
      <c r="AI45" s="3" t="str">
        <f>IFERROR(__xludf.DUMMYFUNCTION("""COMPUTED_VALUE"""),"Baulera Extendida 1700 - C/Laterales")</f>
        <v>Baulera Extendida 1700 - C/Laterales</v>
      </c>
      <c r="AJ45" s="3" t="str">
        <f>IFERROR(__xludf.DUMMYFUNCTION("""COMPUTED_VALUE"""),"Taller Móvil - 1500 x 1500 x 1700")</f>
        <v>Taller Móvil - 1500 x 1500 x 1700</v>
      </c>
      <c r="AK45" s="3" t="str">
        <f>IFERROR(__xludf.DUMMYFUNCTION("""COMPUTED_VALUE"""),"Cajón Herramientas Standard Derecho")</f>
        <v>Cajón Herramientas Standard Derecho</v>
      </c>
      <c r="AL45" s="3" t="str">
        <f>IFERROR(__xludf.DUMMYFUNCTION("""COMPUTED_VALUE"""),"Cajón Herramientas Standard Izquierdo")</f>
        <v>Cajón Herramientas Standard Izquierdo</v>
      </c>
      <c r="AM45" s="3" t="str">
        <f>IFERROR(__xludf.DUMMYFUNCTION("""COMPUTED_VALUE"""),"Cajón Herramientas Corto Derecho")</f>
        <v>Cajón Herramientas Corto Derecho</v>
      </c>
      <c r="AN45" s="3" t="str">
        <f>IFERROR(__xludf.DUMMYFUNCTION("""COMPUTED_VALUE"""),"Cajón Herramientas Corto Izquierdo")</f>
        <v>Cajón Herramientas Corto Izquierdo</v>
      </c>
      <c r="AO45" s="3" t="str">
        <f>IFERROR(__xludf.DUMMYFUNCTION("""COMPUTED_VALUE"""),"Cajón Herramientas Mediano Derecho")</f>
        <v>Cajón Herramientas Mediano Derecho</v>
      </c>
      <c r="AP45" s="3" t="str">
        <f>IFERROR(__xludf.DUMMYFUNCTION("""COMPUTED_VALUE"""),"Cajón Herramientas Mediano Izquierdo")</f>
        <v>Cajón Herramientas Mediano Izquierdo</v>
      </c>
      <c r="AQ45" s="3" t="str">
        <f>IFERROR(__xludf.DUMMYFUNCTION("""COMPUTED_VALUE"""),"Chasis Acoplado 2 Ejes L3000")</f>
        <v>Chasis Acoplado 2 Ejes L3000</v>
      </c>
      <c r="AR45" s="3" t="str">
        <f>IFERROR(__xludf.DUMMYFUNCTION("""COMPUTED_VALUE"""),"Chasis Acoplado 2 Ejes L3750")</f>
        <v>Chasis Acoplado 2 Ejes L3750</v>
      </c>
      <c r="AS45" s="3" t="str">
        <f>IFERROR(__xludf.DUMMYFUNCTION("""COMPUTED_VALUE"""),"Chasis Acoplado 2 Ejes L4000")</f>
        <v>Chasis Acoplado 2 Ejes L4000</v>
      </c>
      <c r="AT45" s="3" t="str">
        <f>IFERROR(__xludf.DUMMYFUNCTION("""COMPUTED_VALUE"""),"Chasis Acoplado 2 Ejes L4000 Reforzado")</f>
        <v>Chasis Acoplado 2 Ejes L4000 Reforzado</v>
      </c>
      <c r="AU45" s="3" t="str">
        <f>IFERROR(__xludf.DUMMYFUNCTION("""COMPUTED_VALUE"""),"Chasis Acoplado 2 Ejes L4750")</f>
        <v>Chasis Acoplado 2 Ejes L4750</v>
      </c>
      <c r="AV45" s="3" t="str">
        <f>IFERROR(__xludf.DUMMYFUNCTION("""COMPUTED_VALUE"""),"Chasis Acoplado 2 Ejes L4750 Reforzado")</f>
        <v>Chasis Acoplado 2 Ejes L4750 Reforzado</v>
      </c>
      <c r="AW45" s="3" t="str">
        <f>IFERROR(__xludf.DUMMYFUNCTION("""COMPUTED_VALUE"""),"Chasis Acoplado 2 Ejes L4750 Reforzado R. Camion")</f>
        <v>Chasis Acoplado 2 Ejes L4750 Reforzado R. Camion</v>
      </c>
      <c r="AX45" s="3" t="str">
        <f>IFERROR(__xludf.DUMMYFUNCTION("""COMPUTED_VALUE"""),"Chasis Acoplado 2 Ejes L5000")</f>
        <v>Chasis Acoplado 2 Ejes L5000</v>
      </c>
      <c r="AY45" s="3" t="str">
        <f>IFERROR(__xludf.DUMMYFUNCTION("""COMPUTED_VALUE"""),"Chasis Acoplado 2 Ejes L5750")</f>
        <v>Chasis Acoplado 2 Ejes L5750</v>
      </c>
      <c r="AZ45" s="3" t="str">
        <f>IFERROR(__xludf.DUMMYFUNCTION("""COMPUTED_VALUE"""),"Chasis Acoplado 2 Ejes L6400")</f>
        <v>Chasis Acoplado 2 Ejes L6400</v>
      </c>
      <c r="BA45" s="3" t="str">
        <f>IFERROR(__xludf.DUMMYFUNCTION("""COMPUTED_VALUE"""),"Chasis Acoplado 2 Ejes L4500")</f>
        <v>Chasis Acoplado 2 Ejes L4500</v>
      </c>
      <c r="BB45" s="3" t="str">
        <f>IFERROR(__xludf.DUMMYFUNCTION("""COMPUTED_VALUE"""),"Chasis Acoplado 1 Eje L1500")</f>
        <v>Chasis Acoplado 1 Eje L1500</v>
      </c>
      <c r="BC45" s="3" t="str">
        <f>IFERROR(__xludf.DUMMYFUNCTION("""COMPUTED_VALUE"""),"Chasis Acoplado 1 Eje L1800")</f>
        <v>Chasis Acoplado 1 Eje L1800</v>
      </c>
      <c r="BD45" s="3" t="str">
        <f>IFERROR(__xludf.DUMMYFUNCTION("""COMPUTED_VALUE"""),"Chasis Acoplado 1 Eje L1400")</f>
        <v>Chasis Acoplado 1 Eje L1400</v>
      </c>
      <c r="BE45" s="3" t="str">
        <f>IFERROR(__xludf.DUMMYFUNCTION("""COMPUTED_VALUE"""),"Chasis Acoplado Balancin L3000")</f>
        <v>Chasis Acoplado Balancin L3000</v>
      </c>
      <c r="BF45" s="3" t="str">
        <f>IFERROR(__xludf.DUMMYFUNCTION("""COMPUTED_VALUE"""),"Chasis Acoplado Balancin L3000 Lanza Corta")</f>
        <v>Chasis Acoplado Balancin L3000 Lanza Corta</v>
      </c>
      <c r="BG45" s="3" t="str">
        <f>IFERROR(__xludf.DUMMYFUNCTION("""COMPUTED_VALUE"""),"Chasis Acoplado Balancin L2000 Lanza Corta")</f>
        <v>Chasis Acoplado Balancin L2000 Lanza Corta</v>
      </c>
      <c r="BH45" s="3" t="str">
        <f>IFERROR(__xludf.DUMMYFUNCTION("""COMPUTED_VALUE"""),"Chasis Acoplado Balancin L3200 Lanza Corta")</f>
        <v>Chasis Acoplado Balancin L3200 Lanza Corta</v>
      </c>
      <c r="BI45" s="3" t="str">
        <f>IFERROR(__xludf.DUMMYFUNCTION("""COMPUTED_VALUE"""),"Chasis Acoplado Balancin L3200 Lanza Recta")</f>
        <v>Chasis Acoplado Balancin L3200 Lanza Recta</v>
      </c>
      <c r="BJ45" s="3" t="str">
        <f>IFERROR(__xludf.DUMMYFUNCTION("""COMPUTED_VALUE"""),"Chasis Acoplado Balancin L3200 Bajo Lanza Recta")</f>
        <v>Chasis Acoplado Balancin L3200 Bajo Lanza Recta</v>
      </c>
      <c r="BK45" s="3" t="str">
        <f>IFERROR(__xludf.DUMMYFUNCTION("""COMPUTED_VALUE"""),"Tanque Plastico Horizontal 750 Lts")</f>
        <v>Tanque Plastico Horizontal 750 Lts</v>
      </c>
      <c r="BL45" s="3" t="str">
        <f>IFERROR(__xludf.DUMMYFUNCTION("""COMPUTED_VALUE"""),"Medio Tanque Plastico Superior 700 Lts")</f>
        <v>Medio Tanque Plastico Superior 700 Lts</v>
      </c>
      <c r="BM45" s="3" t="str">
        <f>IFERROR(__xludf.DUMMYFUNCTION("""COMPUTED_VALUE"""),"Paquete de Elasticos 50 mm x 8 mm x 10 Hojas L850")</f>
        <v>Paquete de Elasticos 50 mm x 8 mm x 10 Hojas L850</v>
      </c>
      <c r="BN45" s="3" t="str">
        <f>IFERROR(__xludf.DUMMYFUNCTION("""COMPUTED_VALUE"""),"Paquete de Elasticos 63 mm x 8 mm x 10 Hojas L950")</f>
        <v>Paquete de Elasticos 63 mm x 8 mm x 10 Hojas L950</v>
      </c>
      <c r="BO45" s="3" t="str">
        <f>IFERROR(__xludf.DUMMYFUNCTION("""COMPUTED_VALUE"""),"Paquete de Elasticos 50 mm x 7 mm x 9 Hojas L850")</f>
        <v>Paquete de Elasticos 50 mm x 7 mm x 9 Hojas L850</v>
      </c>
      <c r="BP45" s="3" t="str">
        <f>IFERROR(__xludf.DUMMYFUNCTION("""COMPUTED_VALUE"""),"Paquete de Elasticos 63 mm x 8 mm x 8 Hojas L850")</f>
        <v>Paquete de Elasticos 63 mm x 8 mm x 8 Hojas L850</v>
      </c>
      <c r="BQ45" s="3" t="str">
        <f>IFERROR(__xludf.DUMMYFUNCTION("""COMPUTED_VALUE"""),"Paquete de Elasticos 63 mm x 10 mm x 10 Hojas L950")</f>
        <v>Paquete de Elasticos 63 mm x 10 mm x 10 Hojas L950</v>
      </c>
      <c r="BR45" s="3" t="str">
        <f>IFERROR(__xludf.DUMMYFUNCTION("""COMPUTED_VALUE"""),"Paquete de Elasticos 63 mm x 10 mm x 13 Hojas L975")</f>
        <v>Paquete de Elasticos 63 mm x 10 mm x 13 Hojas L975</v>
      </c>
      <c r="BS45" s="3" t="str">
        <f>IFERROR(__xludf.DUMMYFUNCTION("""COMPUTED_VALUE"""),"Paquete de Elasticos 50 mm x 7 mm x 9 Hojas L650")</f>
        <v>Paquete de Elasticos 50 mm x 7 mm x 9 Hojas L650</v>
      </c>
      <c r="BT45" s="3" t="str">
        <f>IFERROR(__xludf.DUMMYFUNCTION("""COMPUTED_VALUE"""),"Eje Acoplado 2"" x 1600 (06/08) Agrícola Centro 92")</f>
        <v>Eje Acoplado 2" x 1600 (06/08) Agrícola Centro 92</v>
      </c>
      <c r="BU45" s="3" t="str">
        <f>IFERROR(__xludf.DUMMYFUNCTION("""COMPUTED_VALUE"""),"Eje Acoplado 2 1/2"" x 1600 (07/09) Agrícola Centro 92")</f>
        <v>Eje Acoplado 2 1/2" x 1600 (07/09) Agrícola Centro 92</v>
      </c>
      <c r="BV45" s="3" t="str">
        <f>IFERROR(__xludf.DUMMYFUNCTION("""COMPUTED_VALUE"""),"Eje Acoplado 2 1/2"" x 1600 (09/11) Agrícola Centro 150")</f>
        <v>Eje Acoplado 2 1/2" x 1600 (09/11) Agrícola Centro 150</v>
      </c>
      <c r="BW45" s="3" t="str">
        <f>IFERROR(__xludf.DUMMYFUNCTION("""COMPUTED_VALUE"""),"Eje Acoplado 3"" x 1600 (10/13) Agrícola Centro 150")</f>
        <v>Eje Acoplado 3" x 1600 (10/13) Agrícola Centro 150</v>
      </c>
      <c r="BX45" s="3" t="str">
        <f>IFERROR(__xludf.DUMMYFUNCTION("""COMPUTED_VALUE"""),"Eje Acoplado 2 1/2"" x 2140 (07/09) Agrícola Centro 92")</f>
        <v>Eje Acoplado 2 1/2" x 2140 (07/09) Agrícola Centro 92</v>
      </c>
      <c r="BY45" s="3" t="str">
        <f>IFERROR(__xludf.DUMMYFUNCTION("""COMPUTED_VALUE"""),"Eje Acoplado 2"" x 1400 (06/08) Agrícola Centro 92")</f>
        <v>Eje Acoplado 2" x 1400 (06/08) Agrícola Centro 92</v>
      </c>
      <c r="BZ45" s="3" t="str">
        <f>IFERROR(__xludf.DUMMYFUNCTION("""COMPUTED_VALUE"""),"Eje Acoplado 2 1/2"" x 1500 (07/09) Agrícola Centro 92")</f>
        <v>Eje Acoplado 2 1/2" x 1500 (07/09) Agrícola Centro 92</v>
      </c>
      <c r="CA45" s="3" t="str">
        <f>IFERROR(__xludf.DUMMYFUNCTION("""COMPUTED_VALUE"""),"Eje Acoplado 2 1/2"" x 2000 (07/09) Agrícola Centro 92")</f>
        <v>Eje Acoplado 2 1/2" x 2000 (07/09) Agrícola Centro 92</v>
      </c>
      <c r="CB45" s="3" t="str">
        <f>IFERROR(__xludf.DUMMYFUNCTION("""COMPUTED_VALUE"""),"Eje Acoplado 2 1/2"" x 2100 (09/11) Agrícola Centro 150")</f>
        <v>Eje Acoplado 2 1/2" x 2100 (09/11) Agrícola Centro 150</v>
      </c>
      <c r="CC45" s="3" t="str">
        <f>IFERROR(__xludf.DUMMYFUNCTION("""COMPUTED_VALUE"""),"Llanta 16"" Simple Agrícola Centro 92")</f>
        <v>Llanta 16" Simple Agrícola Centro 92</v>
      </c>
      <c r="CD45" s="3" t="str">
        <f>IFERROR(__xludf.DUMMYFUNCTION("""COMPUTED_VALUE"""),"Llanta 16"" Dual Agrícola Centro 92")</f>
        <v>Llanta 16" Dual Agrícola Centro 92</v>
      </c>
      <c r="CE45" s="3" t="str">
        <f>IFERROR(__xludf.DUMMYFUNCTION("""COMPUTED_VALUE"""),"Llanta 17"" Simple Agrícola Centro 92")</f>
        <v>Llanta 17" Simple Agrícola Centro 92</v>
      </c>
      <c r="CF45" s="3" t="str">
        <f>IFERROR(__xludf.DUMMYFUNCTION("""COMPUTED_VALUE"""),"Llanta 17"" Dual Agrícola Centro 92")</f>
        <v>Llanta 17" Dual Agrícola Centro 92</v>
      </c>
      <c r="CG45" s="3" t="str">
        <f>IFERROR(__xludf.DUMMYFUNCTION("""COMPUTED_VALUE"""),"Llanta 16"" Dual Agrícola Centro 152")</f>
        <v>Llanta 16" Dual Agrícola Centro 152</v>
      </c>
      <c r="CH45" s="3" t="str">
        <f>IFERROR(__xludf.DUMMYFUNCTION("""COMPUTED_VALUE"""),"Llanta 17"" Dual Agrícola Centro 152")</f>
        <v>Llanta 17" Dual Agrícola Centro 152</v>
      </c>
      <c r="CI45" s="3" t="str">
        <f>IFERROR(__xludf.DUMMYFUNCTION("""COMPUTED_VALUE"""),"Eje Acoplado 2"" x 1600 (05/07) Agrícola Centro 92")</f>
        <v>Eje Acoplado 2" x 1600 (05/07) Agrícola Centro 92</v>
      </c>
      <c r="CJ45" s="3" t="str">
        <f>IFERROR(__xludf.DUMMYFUNCTION("""COMPUTED_VALUE"""),"Paquete de Elásticos 50 mm x 8 mm x 12 Hojas")</f>
        <v>Paquete de Elásticos 50 mm x 8 mm x 12 Hojas</v>
      </c>
      <c r="CK45" s="3" t="str">
        <f>IFERROR(__xludf.DUMMYFUNCTION("""COMPUTED_VALUE"""),"Plataforma Playo 4.00 x 1.90 x 0.45 Lateral Simple Baranda Fija")</f>
        <v>Plataforma Playo 4.00 x 1.90 x 0.45 Lateral Simple Baranda Fija</v>
      </c>
      <c r="CL45" s="3" t="str">
        <f>IFERROR(__xludf.DUMMYFUNCTION("""COMPUTED_VALUE"""),"Plataforma Playo 4.00 x 1.90 x 0.45 Lateral Simple Baranda Ventilada")</f>
        <v>Plataforma Playo 4.00 x 1.90 x 0.45 Lateral Simple Baranda Ventilada</v>
      </c>
      <c r="CM45" s="3" t="str">
        <f>IFERROR(__xludf.DUMMYFUNCTION("""COMPUTED_VALUE"""),"Plataforma Playo 4.00 x 1.90 x 0.45 Lateral Doble Baranda Ventilada")</f>
        <v>Plataforma Playo 4.00 x 1.90 x 0.45 Lateral Doble Baranda Ventilada</v>
      </c>
      <c r="CN45" s="3" t="str">
        <f>IFERROR(__xludf.DUMMYFUNCTION("""COMPUTED_VALUE"""),"Plataforma Playo 4.00 x 1.90 x 0.45 Lateral Doble Baranda Fija")</f>
        <v>Plataforma Playo 4.00 x 1.90 x 0.45 Lateral Doble Baranda Fija</v>
      </c>
      <c r="CO45" s="3" t="str">
        <f>IFERROR(__xludf.DUMMYFUNCTION("""COMPUTED_VALUE"""),"Plataforma Playo 4.00 x 1.90 x 0.72 Lateral Simple Baranda Fija")</f>
        <v>Plataforma Playo 4.00 x 1.90 x 0.72 Lateral Simple Baranda Fija</v>
      </c>
      <c r="CP45" s="3" t="str">
        <f>IFERROR(__xludf.DUMMYFUNCTION("""COMPUTED_VALUE"""),"Plataforma Playo 4.00 x 1.90 x 0.72 Lateral Doble Baranda Fija")</f>
        <v>Plataforma Playo 4.00 x 1.90 x 0.72 Lateral Doble Baranda Fija</v>
      </c>
      <c r="CQ45" s="3" t="str">
        <f>IFERROR(__xludf.DUMMYFUNCTION("""COMPUTED_VALUE"""),"Plataforma Playo 5.00 x 2.20 x 0.60 Lateral Doble Trasera Rebatible")</f>
        <v>Plataforma Playo 5.00 x 2.20 x 0.60 Lateral Doble Trasera Rebatible</v>
      </c>
      <c r="CR45" s="3" t="str">
        <f>IFERROR(__xludf.DUMMYFUNCTION("""COMPUTED_VALUE"""),"Plataforma Playo 5.00 x 2.20 x 0.60 Lateral Doble Baranda Fija C/Toldo")</f>
        <v>Plataforma Playo 5.00 x 2.20 x 0.60 Lateral Doble Baranda Fija C/Toldo</v>
      </c>
      <c r="CS45" s="3" t="str">
        <f>IFERROR(__xludf.DUMMYFUNCTION("""COMPUTED_VALUE"""),"Plataforma Playo 3.00 x 1.90 x 0.45 Lateral Simple Baranda Fija")</f>
        <v>Plataforma Playo 3.00 x 1.90 x 0.45 Lateral Simple Baranda Fija</v>
      </c>
      <c r="CT45" s="3" t="str">
        <f>IFERROR(__xludf.DUMMYFUNCTION("""COMPUTED_VALUE"""),"Plataforma Playo 3.00 x 1.90 x 0.45 Lateral Simple Baranda Ventilada")</f>
        <v>Plataforma Playo 3.00 x 1.90 x 0.45 Lateral Simple Baranda Ventilada</v>
      </c>
      <c r="CU45" s="3" t="str">
        <f>IFERROR(__xludf.DUMMYFUNCTION("""COMPUTED_VALUE"""),"Plataforma Playo 2.00 x 1.90 x 0.45 Lateral Simple Baranda Fija")</f>
        <v>Plataforma Playo 2.00 x 1.90 x 0.45 Lateral Simple Baranda Fija</v>
      </c>
      <c r="CV45" s="3" t="str">
        <f>IFERROR(__xludf.DUMMYFUNCTION("""COMPUTED_VALUE"""),"Plataforma Playo 5.00 x 1.90 x 0.60 Lateral Doble Baranda Fija")</f>
        <v>Plataforma Playo 5.00 x 1.90 x 0.60 Lateral Doble Baranda Fija</v>
      </c>
      <c r="CW45" s="3" t="str">
        <f>IFERROR(__xludf.DUMMYFUNCTION("""COMPUTED_VALUE"""),"Plataforma Playo 6.40 x 2.70 x 0.72 Lateral Doble Baranda Fija")</f>
        <v>Plataforma Playo 6.40 x 2.70 x 0.72 Lateral Doble Baranda Fija</v>
      </c>
      <c r="CX45" s="3" t="str">
        <f>IFERROR(__xludf.DUMMYFUNCTION("""COMPUTED_VALUE"""),"Chasis Acoplado Balancin L4000 Lanza Recta")</f>
        <v>Chasis Acoplado Balancin L4000 Lanza Recta</v>
      </c>
      <c r="CY45" s="3" t="str">
        <f>IFERROR(__xludf.DUMMYFUNCTION("""COMPUTED_VALUE"""),"Llanta simple Agrícola 750x20 centro 152")</f>
        <v>Llanta simple Agrícola 750x20 centro 152</v>
      </c>
      <c r="CZ45" s="3" t="str">
        <f>IFERROR(__xludf.DUMMYFUNCTION("""COMPUTED_VALUE"""),"Cajón de Herramientas Mediano adelante")</f>
        <v>Cajón de Herramientas Mediano adelante</v>
      </c>
      <c r="DA45" s="3" t="str">
        <f>IFERROR(__xludf.DUMMYFUNCTION("""COMPUTED_VALUE"""),"Llanta 15"" Simple Agrícola Centro 92")</f>
        <v>Llanta 15" Simple Agrícola Centro 92</v>
      </c>
    </row>
    <row r="46" hidden="1">
      <c r="A46" s="38">
        <f t="shared" si="1"/>
        <v>45</v>
      </c>
      <c r="B46" s="38">
        <f>IF(F46="","",SUMIF(Prearmados!E:E,F46,Prearmados!A:A))</f>
        <v>16</v>
      </c>
      <c r="C46" s="38">
        <f>IF(F46="","",SUMIF(Productos!E:E,G46,Productos!A:A))</f>
        <v>98</v>
      </c>
      <c r="D46" s="83" t="str">
        <f t="array" ref="D46">IF(OR(F46="",F46="Seleccionar.."),"",XLOOKUP(F46,Prearmados!E:E,Prearmados!F:F,"",0,1))</f>
        <v>Acoplados Rurales</v>
      </c>
      <c r="E46" s="83">
        <f>IF(H46="","",SUMIF(Precio_Productos!K:K,C46,Precio_Productos!J:J)*H46)</f>
        <v>946336</v>
      </c>
      <c r="F46" s="84" t="s">
        <v>339</v>
      </c>
      <c r="G46" s="84" t="s">
        <v>125</v>
      </c>
      <c r="H46" s="13">
        <v>4.0</v>
      </c>
      <c r="P46" s="3" t="str">
        <f>IFERROR(__xludf.DUMMYFUNCTION("IF(OR(F46="""",F46=""Seleccionar..""),"""",TRANSPOSE(FILTER(Productos!E:E,(Productos!F:F=D46)+(Productos!F:F=XLOOKUP(D46,Implementos!B:B,Implementos!C:C,""-"",0,1)))))"),"Tanque Combustible 1100 lts Bajo")</f>
        <v>Tanque Combustible 1100 lts Bajo</v>
      </c>
      <c r="Q46" s="3" t="str">
        <f>IFERROR(__xludf.DUMMYFUNCTION("""COMPUTED_VALUE"""),"Tanque Combustible 1500 lts Standard")</f>
        <v>Tanque Combustible 1500 lts Standard</v>
      </c>
      <c r="R46" s="3" t="str">
        <f>IFERROR(__xludf.DUMMYFUNCTION("""COMPUTED_VALUE"""),"Tanque Combustible 1800 lts Standard")</f>
        <v>Tanque Combustible 1800 lts Standard</v>
      </c>
      <c r="S46" s="3" t="str">
        <f>IFERROR(__xludf.DUMMYFUNCTION("""COMPUTED_VALUE"""),"Tanque Combustible 2000 lts Bajo")</f>
        <v>Tanque Combustible 2000 lts Bajo</v>
      </c>
      <c r="T46" s="3" t="str">
        <f>IFERROR(__xludf.DUMMYFUNCTION("""COMPUTED_VALUE"""),"Tanque Combustible 2000 lts Standard")</f>
        <v>Tanque Combustible 2000 lts Standard</v>
      </c>
      <c r="U46" s="3" t="str">
        <f>IFERROR(__xludf.DUMMYFUNCTION("""COMPUTED_VALUE"""),"Tanque Combustible 3000 lts Standard")</f>
        <v>Tanque Combustible 3000 lts Standard</v>
      </c>
      <c r="V46" s="3" t="str">
        <f>IFERROR(__xludf.DUMMYFUNCTION("""COMPUTED_VALUE"""),"Tanque Combustible 3000 lts Alto")</f>
        <v>Tanque Combustible 3000 lts Alto</v>
      </c>
      <c r="W46" s="3" t="str">
        <f>IFERROR(__xludf.DUMMYFUNCTION("""COMPUTED_VALUE"""),"Tanque Combustible 4000 lts Standard")</f>
        <v>Tanque Combustible 4000 lts Standard</v>
      </c>
      <c r="X46" s="3" t="str">
        <f>IFERROR(__xludf.DUMMYFUNCTION("""COMPUTED_VALUE"""),"Tanque Combustible 5000 lts Standard")</f>
        <v>Tanque Combustible 5000 lts Standard</v>
      </c>
      <c r="Y46" s="3" t="str">
        <f>IFERROR(__xludf.DUMMYFUNCTION("""COMPUTED_VALUE"""),"Tanque Combustible 5000 lts Alto")</f>
        <v>Tanque Combustible 5000 lts Alto</v>
      </c>
      <c r="Z46" s="3" t="str">
        <f>IFERROR(__xludf.DUMMYFUNCTION("""COMPUTED_VALUE"""),"Tanque Combustible 2000 lts Alto")</f>
        <v>Tanque Combustible 2000 lts Alto</v>
      </c>
      <c r="AA46" s="3" t="str">
        <f>IFERROR(__xludf.DUMMYFUNCTION("""COMPUTED_VALUE"""),"Tanque Combustible 4000 lts Alto")</f>
        <v>Tanque Combustible 4000 lts Alto</v>
      </c>
      <c r="AB46" s="3" t="str">
        <f>IFERROR(__xludf.DUMMYFUNCTION("""COMPUTED_VALUE"""),"Baulera Standard - 750")</f>
        <v>Baulera Standard - 750</v>
      </c>
      <c r="AC46" s="3" t="str">
        <f>IFERROR(__xludf.DUMMYFUNCTION("""COMPUTED_VALUE"""),"Baulera Standard - 1700 - C/Laterales")</f>
        <v>Baulera Standard - 1700 - C/Laterales</v>
      </c>
      <c r="AD46" s="3" t="str">
        <f>IFERROR(__xludf.DUMMYFUNCTION("""COMPUTED_VALUE"""),"Baulera Standard - 1000 - C/Laterales")</f>
        <v>Baulera Standard - 1000 - C/Laterales</v>
      </c>
      <c r="AE46" s="3" t="str">
        <f>IFERROR(__xludf.DUMMYFUNCTION("""COMPUTED_VALUE"""),"Baulera Standard - 750 - C/Laterales")</f>
        <v>Baulera Standard - 750 - C/Laterales</v>
      </c>
      <c r="AF46" s="3" t="str">
        <f>IFERROR(__xludf.DUMMYFUNCTION("""COMPUTED_VALUE"""),"Baulera Standard - 1300 - C/Laterales")</f>
        <v>Baulera Standard - 1300 - C/Laterales</v>
      </c>
      <c r="AG46" s="3" t="str">
        <f>IFERROR(__xludf.DUMMYFUNCTION("""COMPUTED_VALUE"""),"Baulera Alta - 750")</f>
        <v>Baulera Alta - 750</v>
      </c>
      <c r="AH46" s="3" t="str">
        <f>IFERROR(__xludf.DUMMYFUNCTION("""COMPUTED_VALUE"""),"Baulera Alta - 1500 - C/Laterales")</f>
        <v>Baulera Alta - 1500 - C/Laterales</v>
      </c>
      <c r="AI46" s="3" t="str">
        <f>IFERROR(__xludf.DUMMYFUNCTION("""COMPUTED_VALUE"""),"Baulera Extendida 1700 - C/Laterales")</f>
        <v>Baulera Extendida 1700 - C/Laterales</v>
      </c>
      <c r="AJ46" s="3" t="str">
        <f>IFERROR(__xludf.DUMMYFUNCTION("""COMPUTED_VALUE"""),"Taller Móvil - 1500 x 1500 x 1700")</f>
        <v>Taller Móvil - 1500 x 1500 x 1700</v>
      </c>
      <c r="AK46" s="3" t="str">
        <f>IFERROR(__xludf.DUMMYFUNCTION("""COMPUTED_VALUE"""),"Cajón Herramientas Standard Derecho")</f>
        <v>Cajón Herramientas Standard Derecho</v>
      </c>
      <c r="AL46" s="3" t="str">
        <f>IFERROR(__xludf.DUMMYFUNCTION("""COMPUTED_VALUE"""),"Cajón Herramientas Standard Izquierdo")</f>
        <v>Cajón Herramientas Standard Izquierdo</v>
      </c>
      <c r="AM46" s="3" t="str">
        <f>IFERROR(__xludf.DUMMYFUNCTION("""COMPUTED_VALUE"""),"Cajón Herramientas Corto Derecho")</f>
        <v>Cajón Herramientas Corto Derecho</v>
      </c>
      <c r="AN46" s="3" t="str">
        <f>IFERROR(__xludf.DUMMYFUNCTION("""COMPUTED_VALUE"""),"Cajón Herramientas Corto Izquierdo")</f>
        <v>Cajón Herramientas Corto Izquierdo</v>
      </c>
      <c r="AO46" s="3" t="str">
        <f>IFERROR(__xludf.DUMMYFUNCTION("""COMPUTED_VALUE"""),"Cajón Herramientas Mediano Derecho")</f>
        <v>Cajón Herramientas Mediano Derecho</v>
      </c>
      <c r="AP46" s="3" t="str">
        <f>IFERROR(__xludf.DUMMYFUNCTION("""COMPUTED_VALUE"""),"Cajón Herramientas Mediano Izquierdo")</f>
        <v>Cajón Herramientas Mediano Izquierdo</v>
      </c>
      <c r="AQ46" s="3" t="str">
        <f>IFERROR(__xludf.DUMMYFUNCTION("""COMPUTED_VALUE"""),"Chasis Acoplado 2 Ejes L3000")</f>
        <v>Chasis Acoplado 2 Ejes L3000</v>
      </c>
      <c r="AR46" s="3" t="str">
        <f>IFERROR(__xludf.DUMMYFUNCTION("""COMPUTED_VALUE"""),"Chasis Acoplado 2 Ejes L3750")</f>
        <v>Chasis Acoplado 2 Ejes L3750</v>
      </c>
      <c r="AS46" s="3" t="str">
        <f>IFERROR(__xludf.DUMMYFUNCTION("""COMPUTED_VALUE"""),"Chasis Acoplado 2 Ejes L4000")</f>
        <v>Chasis Acoplado 2 Ejes L4000</v>
      </c>
      <c r="AT46" s="3" t="str">
        <f>IFERROR(__xludf.DUMMYFUNCTION("""COMPUTED_VALUE"""),"Chasis Acoplado 2 Ejes L4000 Reforzado")</f>
        <v>Chasis Acoplado 2 Ejes L4000 Reforzado</v>
      </c>
      <c r="AU46" s="3" t="str">
        <f>IFERROR(__xludf.DUMMYFUNCTION("""COMPUTED_VALUE"""),"Chasis Acoplado 2 Ejes L4750")</f>
        <v>Chasis Acoplado 2 Ejes L4750</v>
      </c>
      <c r="AV46" s="3" t="str">
        <f>IFERROR(__xludf.DUMMYFUNCTION("""COMPUTED_VALUE"""),"Chasis Acoplado 2 Ejes L4750 Reforzado")</f>
        <v>Chasis Acoplado 2 Ejes L4750 Reforzado</v>
      </c>
      <c r="AW46" s="3" t="str">
        <f>IFERROR(__xludf.DUMMYFUNCTION("""COMPUTED_VALUE"""),"Chasis Acoplado 2 Ejes L4750 Reforzado R. Camion")</f>
        <v>Chasis Acoplado 2 Ejes L4750 Reforzado R. Camion</v>
      </c>
      <c r="AX46" s="3" t="str">
        <f>IFERROR(__xludf.DUMMYFUNCTION("""COMPUTED_VALUE"""),"Chasis Acoplado 2 Ejes L5000")</f>
        <v>Chasis Acoplado 2 Ejes L5000</v>
      </c>
      <c r="AY46" s="3" t="str">
        <f>IFERROR(__xludf.DUMMYFUNCTION("""COMPUTED_VALUE"""),"Chasis Acoplado 2 Ejes L5750")</f>
        <v>Chasis Acoplado 2 Ejes L5750</v>
      </c>
      <c r="AZ46" s="3" t="str">
        <f>IFERROR(__xludf.DUMMYFUNCTION("""COMPUTED_VALUE"""),"Chasis Acoplado 2 Ejes L6400")</f>
        <v>Chasis Acoplado 2 Ejes L6400</v>
      </c>
      <c r="BA46" s="3" t="str">
        <f>IFERROR(__xludf.DUMMYFUNCTION("""COMPUTED_VALUE"""),"Chasis Acoplado 2 Ejes L4500")</f>
        <v>Chasis Acoplado 2 Ejes L4500</v>
      </c>
      <c r="BB46" s="3" t="str">
        <f>IFERROR(__xludf.DUMMYFUNCTION("""COMPUTED_VALUE"""),"Chasis Acoplado 1 Eje L1500")</f>
        <v>Chasis Acoplado 1 Eje L1500</v>
      </c>
      <c r="BC46" s="3" t="str">
        <f>IFERROR(__xludf.DUMMYFUNCTION("""COMPUTED_VALUE"""),"Chasis Acoplado 1 Eje L1800")</f>
        <v>Chasis Acoplado 1 Eje L1800</v>
      </c>
      <c r="BD46" s="3" t="str">
        <f>IFERROR(__xludf.DUMMYFUNCTION("""COMPUTED_VALUE"""),"Chasis Acoplado 1 Eje L1400")</f>
        <v>Chasis Acoplado 1 Eje L1400</v>
      </c>
      <c r="BE46" s="3" t="str">
        <f>IFERROR(__xludf.DUMMYFUNCTION("""COMPUTED_VALUE"""),"Chasis Acoplado Balancin L3000")</f>
        <v>Chasis Acoplado Balancin L3000</v>
      </c>
      <c r="BF46" s="3" t="str">
        <f>IFERROR(__xludf.DUMMYFUNCTION("""COMPUTED_VALUE"""),"Chasis Acoplado Balancin L3000 Lanza Corta")</f>
        <v>Chasis Acoplado Balancin L3000 Lanza Corta</v>
      </c>
      <c r="BG46" s="3" t="str">
        <f>IFERROR(__xludf.DUMMYFUNCTION("""COMPUTED_VALUE"""),"Chasis Acoplado Balancin L2000 Lanza Corta")</f>
        <v>Chasis Acoplado Balancin L2000 Lanza Corta</v>
      </c>
      <c r="BH46" s="3" t="str">
        <f>IFERROR(__xludf.DUMMYFUNCTION("""COMPUTED_VALUE"""),"Chasis Acoplado Balancin L3200 Lanza Corta")</f>
        <v>Chasis Acoplado Balancin L3200 Lanza Corta</v>
      </c>
      <c r="BI46" s="3" t="str">
        <f>IFERROR(__xludf.DUMMYFUNCTION("""COMPUTED_VALUE"""),"Chasis Acoplado Balancin L3200 Lanza Recta")</f>
        <v>Chasis Acoplado Balancin L3200 Lanza Recta</v>
      </c>
      <c r="BJ46" s="3" t="str">
        <f>IFERROR(__xludf.DUMMYFUNCTION("""COMPUTED_VALUE"""),"Chasis Acoplado Balancin L3200 Bajo Lanza Recta")</f>
        <v>Chasis Acoplado Balancin L3200 Bajo Lanza Recta</v>
      </c>
      <c r="BK46" s="3" t="str">
        <f>IFERROR(__xludf.DUMMYFUNCTION("""COMPUTED_VALUE"""),"Tanque Plastico Horizontal 750 Lts")</f>
        <v>Tanque Plastico Horizontal 750 Lts</v>
      </c>
      <c r="BL46" s="3" t="str">
        <f>IFERROR(__xludf.DUMMYFUNCTION("""COMPUTED_VALUE"""),"Medio Tanque Plastico Superior 700 Lts")</f>
        <v>Medio Tanque Plastico Superior 700 Lts</v>
      </c>
      <c r="BM46" s="3" t="str">
        <f>IFERROR(__xludf.DUMMYFUNCTION("""COMPUTED_VALUE"""),"Paquete de Elasticos 50 mm x 8 mm x 10 Hojas L850")</f>
        <v>Paquete de Elasticos 50 mm x 8 mm x 10 Hojas L850</v>
      </c>
      <c r="BN46" s="3" t="str">
        <f>IFERROR(__xludf.DUMMYFUNCTION("""COMPUTED_VALUE"""),"Paquete de Elasticos 63 mm x 8 mm x 10 Hojas L950")</f>
        <v>Paquete de Elasticos 63 mm x 8 mm x 10 Hojas L950</v>
      </c>
      <c r="BO46" s="3" t="str">
        <f>IFERROR(__xludf.DUMMYFUNCTION("""COMPUTED_VALUE"""),"Paquete de Elasticos 50 mm x 7 mm x 9 Hojas L850")</f>
        <v>Paquete de Elasticos 50 mm x 7 mm x 9 Hojas L850</v>
      </c>
      <c r="BP46" s="3" t="str">
        <f>IFERROR(__xludf.DUMMYFUNCTION("""COMPUTED_VALUE"""),"Paquete de Elasticos 63 mm x 8 mm x 8 Hojas L850")</f>
        <v>Paquete de Elasticos 63 mm x 8 mm x 8 Hojas L850</v>
      </c>
      <c r="BQ46" s="3" t="str">
        <f>IFERROR(__xludf.DUMMYFUNCTION("""COMPUTED_VALUE"""),"Paquete de Elasticos 63 mm x 10 mm x 10 Hojas L950")</f>
        <v>Paquete de Elasticos 63 mm x 10 mm x 10 Hojas L950</v>
      </c>
      <c r="BR46" s="3" t="str">
        <f>IFERROR(__xludf.DUMMYFUNCTION("""COMPUTED_VALUE"""),"Paquete de Elasticos 63 mm x 10 mm x 13 Hojas L975")</f>
        <v>Paquete de Elasticos 63 mm x 10 mm x 13 Hojas L975</v>
      </c>
      <c r="BS46" s="3" t="str">
        <f>IFERROR(__xludf.DUMMYFUNCTION("""COMPUTED_VALUE"""),"Paquete de Elasticos 50 mm x 7 mm x 9 Hojas L650")</f>
        <v>Paquete de Elasticos 50 mm x 7 mm x 9 Hojas L650</v>
      </c>
      <c r="BT46" s="3" t="str">
        <f>IFERROR(__xludf.DUMMYFUNCTION("""COMPUTED_VALUE"""),"Eje Acoplado 2"" x 1600 (06/08) Agrícola Centro 92")</f>
        <v>Eje Acoplado 2" x 1600 (06/08) Agrícola Centro 92</v>
      </c>
      <c r="BU46" s="3" t="str">
        <f>IFERROR(__xludf.DUMMYFUNCTION("""COMPUTED_VALUE"""),"Eje Acoplado 2 1/2"" x 1600 (07/09) Agrícola Centro 92")</f>
        <v>Eje Acoplado 2 1/2" x 1600 (07/09) Agrícola Centro 92</v>
      </c>
      <c r="BV46" s="3" t="str">
        <f>IFERROR(__xludf.DUMMYFUNCTION("""COMPUTED_VALUE"""),"Eje Acoplado 2 1/2"" x 1600 (09/11) Agrícola Centro 150")</f>
        <v>Eje Acoplado 2 1/2" x 1600 (09/11) Agrícola Centro 150</v>
      </c>
      <c r="BW46" s="3" t="str">
        <f>IFERROR(__xludf.DUMMYFUNCTION("""COMPUTED_VALUE"""),"Eje Acoplado 3"" x 1600 (10/13) Agrícola Centro 150")</f>
        <v>Eje Acoplado 3" x 1600 (10/13) Agrícola Centro 150</v>
      </c>
      <c r="BX46" s="3" t="str">
        <f>IFERROR(__xludf.DUMMYFUNCTION("""COMPUTED_VALUE"""),"Eje Acoplado 2 1/2"" x 2140 (07/09) Agrícola Centro 92")</f>
        <v>Eje Acoplado 2 1/2" x 2140 (07/09) Agrícola Centro 92</v>
      </c>
      <c r="BY46" s="3" t="str">
        <f>IFERROR(__xludf.DUMMYFUNCTION("""COMPUTED_VALUE"""),"Eje Acoplado 2"" x 1400 (06/08) Agrícola Centro 92")</f>
        <v>Eje Acoplado 2" x 1400 (06/08) Agrícola Centro 92</v>
      </c>
      <c r="BZ46" s="3" t="str">
        <f>IFERROR(__xludf.DUMMYFUNCTION("""COMPUTED_VALUE"""),"Eje Acoplado 2 1/2"" x 1500 (07/09) Agrícola Centro 92")</f>
        <v>Eje Acoplado 2 1/2" x 1500 (07/09) Agrícola Centro 92</v>
      </c>
      <c r="CA46" s="3" t="str">
        <f>IFERROR(__xludf.DUMMYFUNCTION("""COMPUTED_VALUE"""),"Eje Acoplado 2 1/2"" x 2000 (07/09) Agrícola Centro 92")</f>
        <v>Eje Acoplado 2 1/2" x 2000 (07/09) Agrícola Centro 92</v>
      </c>
      <c r="CB46" s="3" t="str">
        <f>IFERROR(__xludf.DUMMYFUNCTION("""COMPUTED_VALUE"""),"Eje Acoplado 2 1/2"" x 2100 (09/11) Agrícola Centro 150")</f>
        <v>Eje Acoplado 2 1/2" x 2100 (09/11) Agrícola Centro 150</v>
      </c>
      <c r="CC46" s="3" t="str">
        <f>IFERROR(__xludf.DUMMYFUNCTION("""COMPUTED_VALUE"""),"Llanta 16"" Simple Agrícola Centro 92")</f>
        <v>Llanta 16" Simple Agrícola Centro 92</v>
      </c>
      <c r="CD46" s="3" t="str">
        <f>IFERROR(__xludf.DUMMYFUNCTION("""COMPUTED_VALUE"""),"Llanta 16"" Dual Agrícola Centro 92")</f>
        <v>Llanta 16" Dual Agrícola Centro 92</v>
      </c>
      <c r="CE46" s="3" t="str">
        <f>IFERROR(__xludf.DUMMYFUNCTION("""COMPUTED_VALUE"""),"Llanta 17"" Simple Agrícola Centro 92")</f>
        <v>Llanta 17" Simple Agrícola Centro 92</v>
      </c>
      <c r="CF46" s="3" t="str">
        <f>IFERROR(__xludf.DUMMYFUNCTION("""COMPUTED_VALUE"""),"Llanta 17"" Dual Agrícola Centro 92")</f>
        <v>Llanta 17" Dual Agrícola Centro 92</v>
      </c>
      <c r="CG46" s="3" t="str">
        <f>IFERROR(__xludf.DUMMYFUNCTION("""COMPUTED_VALUE"""),"Llanta 16"" Dual Agrícola Centro 152")</f>
        <v>Llanta 16" Dual Agrícola Centro 152</v>
      </c>
      <c r="CH46" s="3" t="str">
        <f>IFERROR(__xludf.DUMMYFUNCTION("""COMPUTED_VALUE"""),"Llanta 17"" Dual Agrícola Centro 152")</f>
        <v>Llanta 17" Dual Agrícola Centro 152</v>
      </c>
      <c r="CI46" s="3" t="str">
        <f>IFERROR(__xludf.DUMMYFUNCTION("""COMPUTED_VALUE"""),"Eje Acoplado 2"" x 1600 (05/07) Agrícola Centro 92")</f>
        <v>Eje Acoplado 2" x 1600 (05/07) Agrícola Centro 92</v>
      </c>
      <c r="CJ46" s="3" t="str">
        <f>IFERROR(__xludf.DUMMYFUNCTION("""COMPUTED_VALUE"""),"Paquete de Elásticos 50 mm x 8 mm x 12 Hojas")</f>
        <v>Paquete de Elásticos 50 mm x 8 mm x 12 Hojas</v>
      </c>
      <c r="CK46" s="3" t="str">
        <f>IFERROR(__xludf.DUMMYFUNCTION("""COMPUTED_VALUE"""),"Plataforma Playo 4.00 x 1.90 x 0.45 Lateral Simple Baranda Fija")</f>
        <v>Plataforma Playo 4.00 x 1.90 x 0.45 Lateral Simple Baranda Fija</v>
      </c>
      <c r="CL46" s="3" t="str">
        <f>IFERROR(__xludf.DUMMYFUNCTION("""COMPUTED_VALUE"""),"Plataforma Playo 4.00 x 1.90 x 0.45 Lateral Simple Baranda Ventilada")</f>
        <v>Plataforma Playo 4.00 x 1.90 x 0.45 Lateral Simple Baranda Ventilada</v>
      </c>
      <c r="CM46" s="3" t="str">
        <f>IFERROR(__xludf.DUMMYFUNCTION("""COMPUTED_VALUE"""),"Plataforma Playo 4.00 x 1.90 x 0.45 Lateral Doble Baranda Ventilada")</f>
        <v>Plataforma Playo 4.00 x 1.90 x 0.45 Lateral Doble Baranda Ventilada</v>
      </c>
      <c r="CN46" s="3" t="str">
        <f>IFERROR(__xludf.DUMMYFUNCTION("""COMPUTED_VALUE"""),"Plataforma Playo 4.00 x 1.90 x 0.45 Lateral Doble Baranda Fija")</f>
        <v>Plataforma Playo 4.00 x 1.90 x 0.45 Lateral Doble Baranda Fija</v>
      </c>
      <c r="CO46" s="3" t="str">
        <f>IFERROR(__xludf.DUMMYFUNCTION("""COMPUTED_VALUE"""),"Plataforma Playo 4.00 x 1.90 x 0.72 Lateral Simple Baranda Fija")</f>
        <v>Plataforma Playo 4.00 x 1.90 x 0.72 Lateral Simple Baranda Fija</v>
      </c>
      <c r="CP46" s="3" t="str">
        <f>IFERROR(__xludf.DUMMYFUNCTION("""COMPUTED_VALUE"""),"Plataforma Playo 4.00 x 1.90 x 0.72 Lateral Doble Baranda Fija")</f>
        <v>Plataforma Playo 4.00 x 1.90 x 0.72 Lateral Doble Baranda Fija</v>
      </c>
      <c r="CQ46" s="3" t="str">
        <f>IFERROR(__xludf.DUMMYFUNCTION("""COMPUTED_VALUE"""),"Plataforma Playo 5.00 x 2.20 x 0.60 Lateral Doble Trasera Rebatible")</f>
        <v>Plataforma Playo 5.00 x 2.20 x 0.60 Lateral Doble Trasera Rebatible</v>
      </c>
      <c r="CR46" s="3" t="str">
        <f>IFERROR(__xludf.DUMMYFUNCTION("""COMPUTED_VALUE"""),"Plataforma Playo 5.00 x 2.20 x 0.60 Lateral Doble Baranda Fija C/Toldo")</f>
        <v>Plataforma Playo 5.00 x 2.20 x 0.60 Lateral Doble Baranda Fija C/Toldo</v>
      </c>
      <c r="CS46" s="3" t="str">
        <f>IFERROR(__xludf.DUMMYFUNCTION("""COMPUTED_VALUE"""),"Plataforma Playo 3.00 x 1.90 x 0.45 Lateral Simple Baranda Fija")</f>
        <v>Plataforma Playo 3.00 x 1.90 x 0.45 Lateral Simple Baranda Fija</v>
      </c>
      <c r="CT46" s="3" t="str">
        <f>IFERROR(__xludf.DUMMYFUNCTION("""COMPUTED_VALUE"""),"Plataforma Playo 3.00 x 1.90 x 0.45 Lateral Simple Baranda Ventilada")</f>
        <v>Plataforma Playo 3.00 x 1.90 x 0.45 Lateral Simple Baranda Ventilada</v>
      </c>
      <c r="CU46" s="3" t="str">
        <f>IFERROR(__xludf.DUMMYFUNCTION("""COMPUTED_VALUE"""),"Plataforma Playo 2.00 x 1.90 x 0.45 Lateral Simple Baranda Fija")</f>
        <v>Plataforma Playo 2.00 x 1.90 x 0.45 Lateral Simple Baranda Fija</v>
      </c>
      <c r="CV46" s="3" t="str">
        <f>IFERROR(__xludf.DUMMYFUNCTION("""COMPUTED_VALUE"""),"Plataforma Playo 5.00 x 1.90 x 0.60 Lateral Doble Baranda Fija")</f>
        <v>Plataforma Playo 5.00 x 1.90 x 0.60 Lateral Doble Baranda Fija</v>
      </c>
      <c r="CW46" s="3" t="str">
        <f>IFERROR(__xludf.DUMMYFUNCTION("""COMPUTED_VALUE"""),"Plataforma Playo 6.40 x 2.70 x 0.72 Lateral Doble Baranda Fija")</f>
        <v>Plataforma Playo 6.40 x 2.70 x 0.72 Lateral Doble Baranda Fija</v>
      </c>
      <c r="CX46" s="3" t="str">
        <f>IFERROR(__xludf.DUMMYFUNCTION("""COMPUTED_VALUE"""),"Chasis Acoplado Balancin L4000 Lanza Recta")</f>
        <v>Chasis Acoplado Balancin L4000 Lanza Recta</v>
      </c>
      <c r="CY46" s="3" t="str">
        <f>IFERROR(__xludf.DUMMYFUNCTION("""COMPUTED_VALUE"""),"Llanta simple Agrícola 750x20 centro 152")</f>
        <v>Llanta simple Agrícola 750x20 centro 152</v>
      </c>
      <c r="CZ46" s="3" t="str">
        <f>IFERROR(__xludf.DUMMYFUNCTION("""COMPUTED_VALUE"""),"Cajón de Herramientas Mediano adelante")</f>
        <v>Cajón de Herramientas Mediano adelante</v>
      </c>
      <c r="DA46" s="3" t="str">
        <f>IFERROR(__xludf.DUMMYFUNCTION("""COMPUTED_VALUE"""),"Llanta 15"" Simple Agrícola Centro 92")</f>
        <v>Llanta 15" Simple Agrícola Centro 92</v>
      </c>
    </row>
    <row r="47" hidden="1">
      <c r="A47" s="38">
        <f t="shared" si="1"/>
        <v>46</v>
      </c>
      <c r="B47" s="38">
        <f>IF(F47="","",SUMIF(Prearmados!E:E,F47,Prearmados!A:A))</f>
        <v>16</v>
      </c>
      <c r="C47" s="38">
        <f>IF(F47="","",SUMIF(Productos!E:E,G47,Productos!A:A))</f>
        <v>114</v>
      </c>
      <c r="D47" s="83" t="str">
        <f t="array" ref="D47">IF(OR(F47="",F47="Seleccionar.."),"",XLOOKUP(F47,Prearmados!E:E,Prearmados!F:F,"",0,1))</f>
        <v>Acoplados Rurales</v>
      </c>
      <c r="E47" s="83">
        <f>IF(H47="","",SUMIF(Precio_Productos!K:K,C47,Precio_Productos!J:J)*H47)</f>
        <v>1116000</v>
      </c>
      <c r="F47" s="84" t="s">
        <v>339</v>
      </c>
      <c r="G47" s="84" t="s">
        <v>41</v>
      </c>
      <c r="H47" s="13">
        <v>8.0</v>
      </c>
      <c r="P47" s="3" t="str">
        <f>IFERROR(__xludf.DUMMYFUNCTION("IF(OR(F47="""",F47=""Seleccionar..""),"""",TRANSPOSE(FILTER(Productos!E:E,(Productos!F:F=D47)+(Productos!F:F=XLOOKUP(D47,Implementos!B:B,Implementos!C:C,""-"",0,1)))))"),"Tanque Combustible 1100 lts Bajo")</f>
        <v>Tanque Combustible 1100 lts Bajo</v>
      </c>
      <c r="Q47" s="3" t="str">
        <f>IFERROR(__xludf.DUMMYFUNCTION("""COMPUTED_VALUE"""),"Tanque Combustible 1500 lts Standard")</f>
        <v>Tanque Combustible 1500 lts Standard</v>
      </c>
      <c r="R47" s="3" t="str">
        <f>IFERROR(__xludf.DUMMYFUNCTION("""COMPUTED_VALUE"""),"Tanque Combustible 1800 lts Standard")</f>
        <v>Tanque Combustible 1800 lts Standard</v>
      </c>
      <c r="S47" s="3" t="str">
        <f>IFERROR(__xludf.DUMMYFUNCTION("""COMPUTED_VALUE"""),"Tanque Combustible 2000 lts Bajo")</f>
        <v>Tanque Combustible 2000 lts Bajo</v>
      </c>
      <c r="T47" s="3" t="str">
        <f>IFERROR(__xludf.DUMMYFUNCTION("""COMPUTED_VALUE"""),"Tanque Combustible 2000 lts Standard")</f>
        <v>Tanque Combustible 2000 lts Standard</v>
      </c>
      <c r="U47" s="3" t="str">
        <f>IFERROR(__xludf.DUMMYFUNCTION("""COMPUTED_VALUE"""),"Tanque Combustible 3000 lts Standard")</f>
        <v>Tanque Combustible 3000 lts Standard</v>
      </c>
      <c r="V47" s="3" t="str">
        <f>IFERROR(__xludf.DUMMYFUNCTION("""COMPUTED_VALUE"""),"Tanque Combustible 3000 lts Alto")</f>
        <v>Tanque Combustible 3000 lts Alto</v>
      </c>
      <c r="W47" s="3" t="str">
        <f>IFERROR(__xludf.DUMMYFUNCTION("""COMPUTED_VALUE"""),"Tanque Combustible 4000 lts Standard")</f>
        <v>Tanque Combustible 4000 lts Standard</v>
      </c>
      <c r="X47" s="3" t="str">
        <f>IFERROR(__xludf.DUMMYFUNCTION("""COMPUTED_VALUE"""),"Tanque Combustible 5000 lts Standard")</f>
        <v>Tanque Combustible 5000 lts Standard</v>
      </c>
      <c r="Y47" s="3" t="str">
        <f>IFERROR(__xludf.DUMMYFUNCTION("""COMPUTED_VALUE"""),"Tanque Combustible 5000 lts Alto")</f>
        <v>Tanque Combustible 5000 lts Alto</v>
      </c>
      <c r="Z47" s="3" t="str">
        <f>IFERROR(__xludf.DUMMYFUNCTION("""COMPUTED_VALUE"""),"Tanque Combustible 2000 lts Alto")</f>
        <v>Tanque Combustible 2000 lts Alto</v>
      </c>
      <c r="AA47" s="3" t="str">
        <f>IFERROR(__xludf.DUMMYFUNCTION("""COMPUTED_VALUE"""),"Tanque Combustible 4000 lts Alto")</f>
        <v>Tanque Combustible 4000 lts Alto</v>
      </c>
      <c r="AB47" s="3" t="str">
        <f>IFERROR(__xludf.DUMMYFUNCTION("""COMPUTED_VALUE"""),"Baulera Standard - 750")</f>
        <v>Baulera Standard - 750</v>
      </c>
      <c r="AC47" s="3" t="str">
        <f>IFERROR(__xludf.DUMMYFUNCTION("""COMPUTED_VALUE"""),"Baulera Standard - 1700 - C/Laterales")</f>
        <v>Baulera Standard - 1700 - C/Laterales</v>
      </c>
      <c r="AD47" s="3" t="str">
        <f>IFERROR(__xludf.DUMMYFUNCTION("""COMPUTED_VALUE"""),"Baulera Standard - 1000 - C/Laterales")</f>
        <v>Baulera Standard - 1000 - C/Laterales</v>
      </c>
      <c r="AE47" s="3" t="str">
        <f>IFERROR(__xludf.DUMMYFUNCTION("""COMPUTED_VALUE"""),"Baulera Standard - 750 - C/Laterales")</f>
        <v>Baulera Standard - 750 - C/Laterales</v>
      </c>
      <c r="AF47" s="3" t="str">
        <f>IFERROR(__xludf.DUMMYFUNCTION("""COMPUTED_VALUE"""),"Baulera Standard - 1300 - C/Laterales")</f>
        <v>Baulera Standard - 1300 - C/Laterales</v>
      </c>
      <c r="AG47" s="3" t="str">
        <f>IFERROR(__xludf.DUMMYFUNCTION("""COMPUTED_VALUE"""),"Baulera Alta - 750")</f>
        <v>Baulera Alta - 750</v>
      </c>
      <c r="AH47" s="3" t="str">
        <f>IFERROR(__xludf.DUMMYFUNCTION("""COMPUTED_VALUE"""),"Baulera Alta - 1500 - C/Laterales")</f>
        <v>Baulera Alta - 1500 - C/Laterales</v>
      </c>
      <c r="AI47" s="3" t="str">
        <f>IFERROR(__xludf.DUMMYFUNCTION("""COMPUTED_VALUE"""),"Baulera Extendida 1700 - C/Laterales")</f>
        <v>Baulera Extendida 1700 - C/Laterales</v>
      </c>
      <c r="AJ47" s="3" t="str">
        <f>IFERROR(__xludf.DUMMYFUNCTION("""COMPUTED_VALUE"""),"Taller Móvil - 1500 x 1500 x 1700")</f>
        <v>Taller Móvil - 1500 x 1500 x 1700</v>
      </c>
      <c r="AK47" s="3" t="str">
        <f>IFERROR(__xludf.DUMMYFUNCTION("""COMPUTED_VALUE"""),"Cajón Herramientas Standard Derecho")</f>
        <v>Cajón Herramientas Standard Derecho</v>
      </c>
      <c r="AL47" s="3" t="str">
        <f>IFERROR(__xludf.DUMMYFUNCTION("""COMPUTED_VALUE"""),"Cajón Herramientas Standard Izquierdo")</f>
        <v>Cajón Herramientas Standard Izquierdo</v>
      </c>
      <c r="AM47" s="3" t="str">
        <f>IFERROR(__xludf.DUMMYFUNCTION("""COMPUTED_VALUE"""),"Cajón Herramientas Corto Derecho")</f>
        <v>Cajón Herramientas Corto Derecho</v>
      </c>
      <c r="AN47" s="3" t="str">
        <f>IFERROR(__xludf.DUMMYFUNCTION("""COMPUTED_VALUE"""),"Cajón Herramientas Corto Izquierdo")</f>
        <v>Cajón Herramientas Corto Izquierdo</v>
      </c>
      <c r="AO47" s="3" t="str">
        <f>IFERROR(__xludf.DUMMYFUNCTION("""COMPUTED_VALUE"""),"Cajón Herramientas Mediano Derecho")</f>
        <v>Cajón Herramientas Mediano Derecho</v>
      </c>
      <c r="AP47" s="3" t="str">
        <f>IFERROR(__xludf.DUMMYFUNCTION("""COMPUTED_VALUE"""),"Cajón Herramientas Mediano Izquierdo")</f>
        <v>Cajón Herramientas Mediano Izquierdo</v>
      </c>
      <c r="AQ47" s="3" t="str">
        <f>IFERROR(__xludf.DUMMYFUNCTION("""COMPUTED_VALUE"""),"Chasis Acoplado 2 Ejes L3000")</f>
        <v>Chasis Acoplado 2 Ejes L3000</v>
      </c>
      <c r="AR47" s="3" t="str">
        <f>IFERROR(__xludf.DUMMYFUNCTION("""COMPUTED_VALUE"""),"Chasis Acoplado 2 Ejes L3750")</f>
        <v>Chasis Acoplado 2 Ejes L3750</v>
      </c>
      <c r="AS47" s="3" t="str">
        <f>IFERROR(__xludf.DUMMYFUNCTION("""COMPUTED_VALUE"""),"Chasis Acoplado 2 Ejes L4000")</f>
        <v>Chasis Acoplado 2 Ejes L4000</v>
      </c>
      <c r="AT47" s="3" t="str">
        <f>IFERROR(__xludf.DUMMYFUNCTION("""COMPUTED_VALUE"""),"Chasis Acoplado 2 Ejes L4000 Reforzado")</f>
        <v>Chasis Acoplado 2 Ejes L4000 Reforzado</v>
      </c>
      <c r="AU47" s="3" t="str">
        <f>IFERROR(__xludf.DUMMYFUNCTION("""COMPUTED_VALUE"""),"Chasis Acoplado 2 Ejes L4750")</f>
        <v>Chasis Acoplado 2 Ejes L4750</v>
      </c>
      <c r="AV47" s="3" t="str">
        <f>IFERROR(__xludf.DUMMYFUNCTION("""COMPUTED_VALUE"""),"Chasis Acoplado 2 Ejes L4750 Reforzado")</f>
        <v>Chasis Acoplado 2 Ejes L4750 Reforzado</v>
      </c>
      <c r="AW47" s="3" t="str">
        <f>IFERROR(__xludf.DUMMYFUNCTION("""COMPUTED_VALUE"""),"Chasis Acoplado 2 Ejes L4750 Reforzado R. Camion")</f>
        <v>Chasis Acoplado 2 Ejes L4750 Reforzado R. Camion</v>
      </c>
      <c r="AX47" s="3" t="str">
        <f>IFERROR(__xludf.DUMMYFUNCTION("""COMPUTED_VALUE"""),"Chasis Acoplado 2 Ejes L5000")</f>
        <v>Chasis Acoplado 2 Ejes L5000</v>
      </c>
      <c r="AY47" s="3" t="str">
        <f>IFERROR(__xludf.DUMMYFUNCTION("""COMPUTED_VALUE"""),"Chasis Acoplado 2 Ejes L5750")</f>
        <v>Chasis Acoplado 2 Ejes L5750</v>
      </c>
      <c r="AZ47" s="3" t="str">
        <f>IFERROR(__xludf.DUMMYFUNCTION("""COMPUTED_VALUE"""),"Chasis Acoplado 2 Ejes L6400")</f>
        <v>Chasis Acoplado 2 Ejes L6400</v>
      </c>
      <c r="BA47" s="3" t="str">
        <f>IFERROR(__xludf.DUMMYFUNCTION("""COMPUTED_VALUE"""),"Chasis Acoplado 2 Ejes L4500")</f>
        <v>Chasis Acoplado 2 Ejes L4500</v>
      </c>
      <c r="BB47" s="3" t="str">
        <f>IFERROR(__xludf.DUMMYFUNCTION("""COMPUTED_VALUE"""),"Chasis Acoplado 1 Eje L1500")</f>
        <v>Chasis Acoplado 1 Eje L1500</v>
      </c>
      <c r="BC47" s="3" t="str">
        <f>IFERROR(__xludf.DUMMYFUNCTION("""COMPUTED_VALUE"""),"Chasis Acoplado 1 Eje L1800")</f>
        <v>Chasis Acoplado 1 Eje L1800</v>
      </c>
      <c r="BD47" s="3" t="str">
        <f>IFERROR(__xludf.DUMMYFUNCTION("""COMPUTED_VALUE"""),"Chasis Acoplado 1 Eje L1400")</f>
        <v>Chasis Acoplado 1 Eje L1400</v>
      </c>
      <c r="BE47" s="3" t="str">
        <f>IFERROR(__xludf.DUMMYFUNCTION("""COMPUTED_VALUE"""),"Chasis Acoplado Balancin L3000")</f>
        <v>Chasis Acoplado Balancin L3000</v>
      </c>
      <c r="BF47" s="3" t="str">
        <f>IFERROR(__xludf.DUMMYFUNCTION("""COMPUTED_VALUE"""),"Chasis Acoplado Balancin L3000 Lanza Corta")</f>
        <v>Chasis Acoplado Balancin L3000 Lanza Corta</v>
      </c>
      <c r="BG47" s="3" t="str">
        <f>IFERROR(__xludf.DUMMYFUNCTION("""COMPUTED_VALUE"""),"Chasis Acoplado Balancin L2000 Lanza Corta")</f>
        <v>Chasis Acoplado Balancin L2000 Lanza Corta</v>
      </c>
      <c r="BH47" s="3" t="str">
        <f>IFERROR(__xludf.DUMMYFUNCTION("""COMPUTED_VALUE"""),"Chasis Acoplado Balancin L3200 Lanza Corta")</f>
        <v>Chasis Acoplado Balancin L3200 Lanza Corta</v>
      </c>
      <c r="BI47" s="3" t="str">
        <f>IFERROR(__xludf.DUMMYFUNCTION("""COMPUTED_VALUE"""),"Chasis Acoplado Balancin L3200 Lanza Recta")</f>
        <v>Chasis Acoplado Balancin L3200 Lanza Recta</v>
      </c>
      <c r="BJ47" s="3" t="str">
        <f>IFERROR(__xludf.DUMMYFUNCTION("""COMPUTED_VALUE"""),"Chasis Acoplado Balancin L3200 Bajo Lanza Recta")</f>
        <v>Chasis Acoplado Balancin L3200 Bajo Lanza Recta</v>
      </c>
      <c r="BK47" s="3" t="str">
        <f>IFERROR(__xludf.DUMMYFUNCTION("""COMPUTED_VALUE"""),"Tanque Plastico Horizontal 750 Lts")</f>
        <v>Tanque Plastico Horizontal 750 Lts</v>
      </c>
      <c r="BL47" s="3" t="str">
        <f>IFERROR(__xludf.DUMMYFUNCTION("""COMPUTED_VALUE"""),"Medio Tanque Plastico Superior 700 Lts")</f>
        <v>Medio Tanque Plastico Superior 700 Lts</v>
      </c>
      <c r="BM47" s="3" t="str">
        <f>IFERROR(__xludf.DUMMYFUNCTION("""COMPUTED_VALUE"""),"Paquete de Elasticos 50 mm x 8 mm x 10 Hojas L850")</f>
        <v>Paquete de Elasticos 50 mm x 8 mm x 10 Hojas L850</v>
      </c>
      <c r="BN47" s="3" t="str">
        <f>IFERROR(__xludf.DUMMYFUNCTION("""COMPUTED_VALUE"""),"Paquete de Elasticos 63 mm x 8 mm x 10 Hojas L950")</f>
        <v>Paquete de Elasticos 63 mm x 8 mm x 10 Hojas L950</v>
      </c>
      <c r="BO47" s="3" t="str">
        <f>IFERROR(__xludf.DUMMYFUNCTION("""COMPUTED_VALUE"""),"Paquete de Elasticos 50 mm x 7 mm x 9 Hojas L850")</f>
        <v>Paquete de Elasticos 50 mm x 7 mm x 9 Hojas L850</v>
      </c>
      <c r="BP47" s="3" t="str">
        <f>IFERROR(__xludf.DUMMYFUNCTION("""COMPUTED_VALUE"""),"Paquete de Elasticos 63 mm x 8 mm x 8 Hojas L850")</f>
        <v>Paquete de Elasticos 63 mm x 8 mm x 8 Hojas L850</v>
      </c>
      <c r="BQ47" s="3" t="str">
        <f>IFERROR(__xludf.DUMMYFUNCTION("""COMPUTED_VALUE"""),"Paquete de Elasticos 63 mm x 10 mm x 10 Hojas L950")</f>
        <v>Paquete de Elasticos 63 mm x 10 mm x 10 Hojas L950</v>
      </c>
      <c r="BR47" s="3" t="str">
        <f>IFERROR(__xludf.DUMMYFUNCTION("""COMPUTED_VALUE"""),"Paquete de Elasticos 63 mm x 10 mm x 13 Hojas L975")</f>
        <v>Paquete de Elasticos 63 mm x 10 mm x 13 Hojas L975</v>
      </c>
      <c r="BS47" s="3" t="str">
        <f>IFERROR(__xludf.DUMMYFUNCTION("""COMPUTED_VALUE"""),"Paquete de Elasticos 50 mm x 7 mm x 9 Hojas L650")</f>
        <v>Paquete de Elasticos 50 mm x 7 mm x 9 Hojas L650</v>
      </c>
      <c r="BT47" s="3" t="str">
        <f>IFERROR(__xludf.DUMMYFUNCTION("""COMPUTED_VALUE"""),"Eje Acoplado 2"" x 1600 (06/08) Agrícola Centro 92")</f>
        <v>Eje Acoplado 2" x 1600 (06/08) Agrícola Centro 92</v>
      </c>
      <c r="BU47" s="3" t="str">
        <f>IFERROR(__xludf.DUMMYFUNCTION("""COMPUTED_VALUE"""),"Eje Acoplado 2 1/2"" x 1600 (07/09) Agrícola Centro 92")</f>
        <v>Eje Acoplado 2 1/2" x 1600 (07/09) Agrícola Centro 92</v>
      </c>
      <c r="BV47" s="3" t="str">
        <f>IFERROR(__xludf.DUMMYFUNCTION("""COMPUTED_VALUE"""),"Eje Acoplado 2 1/2"" x 1600 (09/11) Agrícola Centro 150")</f>
        <v>Eje Acoplado 2 1/2" x 1600 (09/11) Agrícola Centro 150</v>
      </c>
      <c r="BW47" s="3" t="str">
        <f>IFERROR(__xludf.DUMMYFUNCTION("""COMPUTED_VALUE"""),"Eje Acoplado 3"" x 1600 (10/13) Agrícola Centro 150")</f>
        <v>Eje Acoplado 3" x 1600 (10/13) Agrícola Centro 150</v>
      </c>
      <c r="BX47" s="3" t="str">
        <f>IFERROR(__xludf.DUMMYFUNCTION("""COMPUTED_VALUE"""),"Eje Acoplado 2 1/2"" x 2140 (07/09) Agrícola Centro 92")</f>
        <v>Eje Acoplado 2 1/2" x 2140 (07/09) Agrícola Centro 92</v>
      </c>
      <c r="BY47" s="3" t="str">
        <f>IFERROR(__xludf.DUMMYFUNCTION("""COMPUTED_VALUE"""),"Eje Acoplado 2"" x 1400 (06/08) Agrícola Centro 92")</f>
        <v>Eje Acoplado 2" x 1400 (06/08) Agrícola Centro 92</v>
      </c>
      <c r="BZ47" s="3" t="str">
        <f>IFERROR(__xludf.DUMMYFUNCTION("""COMPUTED_VALUE"""),"Eje Acoplado 2 1/2"" x 1500 (07/09) Agrícola Centro 92")</f>
        <v>Eje Acoplado 2 1/2" x 1500 (07/09) Agrícola Centro 92</v>
      </c>
      <c r="CA47" s="3" t="str">
        <f>IFERROR(__xludf.DUMMYFUNCTION("""COMPUTED_VALUE"""),"Eje Acoplado 2 1/2"" x 2000 (07/09) Agrícola Centro 92")</f>
        <v>Eje Acoplado 2 1/2" x 2000 (07/09) Agrícola Centro 92</v>
      </c>
      <c r="CB47" s="3" t="str">
        <f>IFERROR(__xludf.DUMMYFUNCTION("""COMPUTED_VALUE"""),"Eje Acoplado 2 1/2"" x 2100 (09/11) Agrícola Centro 150")</f>
        <v>Eje Acoplado 2 1/2" x 2100 (09/11) Agrícola Centro 150</v>
      </c>
      <c r="CC47" s="3" t="str">
        <f>IFERROR(__xludf.DUMMYFUNCTION("""COMPUTED_VALUE"""),"Llanta 16"" Simple Agrícola Centro 92")</f>
        <v>Llanta 16" Simple Agrícola Centro 92</v>
      </c>
      <c r="CD47" s="3" t="str">
        <f>IFERROR(__xludf.DUMMYFUNCTION("""COMPUTED_VALUE"""),"Llanta 16"" Dual Agrícola Centro 92")</f>
        <v>Llanta 16" Dual Agrícola Centro 92</v>
      </c>
      <c r="CE47" s="3" t="str">
        <f>IFERROR(__xludf.DUMMYFUNCTION("""COMPUTED_VALUE"""),"Llanta 17"" Simple Agrícola Centro 92")</f>
        <v>Llanta 17" Simple Agrícola Centro 92</v>
      </c>
      <c r="CF47" s="3" t="str">
        <f>IFERROR(__xludf.DUMMYFUNCTION("""COMPUTED_VALUE"""),"Llanta 17"" Dual Agrícola Centro 92")</f>
        <v>Llanta 17" Dual Agrícola Centro 92</v>
      </c>
      <c r="CG47" s="3" t="str">
        <f>IFERROR(__xludf.DUMMYFUNCTION("""COMPUTED_VALUE"""),"Llanta 16"" Dual Agrícola Centro 152")</f>
        <v>Llanta 16" Dual Agrícola Centro 152</v>
      </c>
      <c r="CH47" s="3" t="str">
        <f>IFERROR(__xludf.DUMMYFUNCTION("""COMPUTED_VALUE"""),"Llanta 17"" Dual Agrícola Centro 152")</f>
        <v>Llanta 17" Dual Agrícola Centro 152</v>
      </c>
      <c r="CI47" s="3" t="str">
        <f>IFERROR(__xludf.DUMMYFUNCTION("""COMPUTED_VALUE"""),"Eje Acoplado 2"" x 1600 (05/07) Agrícola Centro 92")</f>
        <v>Eje Acoplado 2" x 1600 (05/07) Agrícola Centro 92</v>
      </c>
      <c r="CJ47" s="3" t="str">
        <f>IFERROR(__xludf.DUMMYFUNCTION("""COMPUTED_VALUE"""),"Paquete de Elásticos 50 mm x 8 mm x 12 Hojas")</f>
        <v>Paquete de Elásticos 50 mm x 8 mm x 12 Hojas</v>
      </c>
      <c r="CK47" s="3" t="str">
        <f>IFERROR(__xludf.DUMMYFUNCTION("""COMPUTED_VALUE"""),"Plataforma Playo 4.00 x 1.90 x 0.45 Lateral Simple Baranda Fija")</f>
        <v>Plataforma Playo 4.00 x 1.90 x 0.45 Lateral Simple Baranda Fija</v>
      </c>
      <c r="CL47" s="3" t="str">
        <f>IFERROR(__xludf.DUMMYFUNCTION("""COMPUTED_VALUE"""),"Plataforma Playo 4.00 x 1.90 x 0.45 Lateral Simple Baranda Ventilada")</f>
        <v>Plataforma Playo 4.00 x 1.90 x 0.45 Lateral Simple Baranda Ventilada</v>
      </c>
      <c r="CM47" s="3" t="str">
        <f>IFERROR(__xludf.DUMMYFUNCTION("""COMPUTED_VALUE"""),"Plataforma Playo 4.00 x 1.90 x 0.45 Lateral Doble Baranda Ventilada")</f>
        <v>Plataforma Playo 4.00 x 1.90 x 0.45 Lateral Doble Baranda Ventilada</v>
      </c>
      <c r="CN47" s="3" t="str">
        <f>IFERROR(__xludf.DUMMYFUNCTION("""COMPUTED_VALUE"""),"Plataforma Playo 4.00 x 1.90 x 0.45 Lateral Doble Baranda Fija")</f>
        <v>Plataforma Playo 4.00 x 1.90 x 0.45 Lateral Doble Baranda Fija</v>
      </c>
      <c r="CO47" s="3" t="str">
        <f>IFERROR(__xludf.DUMMYFUNCTION("""COMPUTED_VALUE"""),"Plataforma Playo 4.00 x 1.90 x 0.72 Lateral Simple Baranda Fija")</f>
        <v>Plataforma Playo 4.00 x 1.90 x 0.72 Lateral Simple Baranda Fija</v>
      </c>
      <c r="CP47" s="3" t="str">
        <f>IFERROR(__xludf.DUMMYFUNCTION("""COMPUTED_VALUE"""),"Plataforma Playo 4.00 x 1.90 x 0.72 Lateral Doble Baranda Fija")</f>
        <v>Plataforma Playo 4.00 x 1.90 x 0.72 Lateral Doble Baranda Fija</v>
      </c>
      <c r="CQ47" s="3" t="str">
        <f>IFERROR(__xludf.DUMMYFUNCTION("""COMPUTED_VALUE"""),"Plataforma Playo 5.00 x 2.20 x 0.60 Lateral Doble Trasera Rebatible")</f>
        <v>Plataforma Playo 5.00 x 2.20 x 0.60 Lateral Doble Trasera Rebatible</v>
      </c>
      <c r="CR47" s="3" t="str">
        <f>IFERROR(__xludf.DUMMYFUNCTION("""COMPUTED_VALUE"""),"Plataforma Playo 5.00 x 2.20 x 0.60 Lateral Doble Baranda Fija C/Toldo")</f>
        <v>Plataforma Playo 5.00 x 2.20 x 0.60 Lateral Doble Baranda Fija C/Toldo</v>
      </c>
      <c r="CS47" s="3" t="str">
        <f>IFERROR(__xludf.DUMMYFUNCTION("""COMPUTED_VALUE"""),"Plataforma Playo 3.00 x 1.90 x 0.45 Lateral Simple Baranda Fija")</f>
        <v>Plataforma Playo 3.00 x 1.90 x 0.45 Lateral Simple Baranda Fija</v>
      </c>
      <c r="CT47" s="3" t="str">
        <f>IFERROR(__xludf.DUMMYFUNCTION("""COMPUTED_VALUE"""),"Plataforma Playo 3.00 x 1.90 x 0.45 Lateral Simple Baranda Ventilada")</f>
        <v>Plataforma Playo 3.00 x 1.90 x 0.45 Lateral Simple Baranda Ventilada</v>
      </c>
      <c r="CU47" s="3" t="str">
        <f>IFERROR(__xludf.DUMMYFUNCTION("""COMPUTED_VALUE"""),"Plataforma Playo 2.00 x 1.90 x 0.45 Lateral Simple Baranda Fija")</f>
        <v>Plataforma Playo 2.00 x 1.90 x 0.45 Lateral Simple Baranda Fija</v>
      </c>
      <c r="CV47" s="3" t="str">
        <f>IFERROR(__xludf.DUMMYFUNCTION("""COMPUTED_VALUE"""),"Plataforma Playo 5.00 x 1.90 x 0.60 Lateral Doble Baranda Fija")</f>
        <v>Plataforma Playo 5.00 x 1.90 x 0.60 Lateral Doble Baranda Fija</v>
      </c>
      <c r="CW47" s="3" t="str">
        <f>IFERROR(__xludf.DUMMYFUNCTION("""COMPUTED_VALUE"""),"Plataforma Playo 6.40 x 2.70 x 0.72 Lateral Doble Baranda Fija")</f>
        <v>Plataforma Playo 6.40 x 2.70 x 0.72 Lateral Doble Baranda Fija</v>
      </c>
      <c r="CX47" s="3" t="str">
        <f>IFERROR(__xludf.DUMMYFUNCTION("""COMPUTED_VALUE"""),"Chasis Acoplado Balancin L4000 Lanza Recta")</f>
        <v>Chasis Acoplado Balancin L4000 Lanza Recta</v>
      </c>
      <c r="CY47" s="3" t="str">
        <f>IFERROR(__xludf.DUMMYFUNCTION("""COMPUTED_VALUE"""),"Llanta simple Agrícola 750x20 centro 152")</f>
        <v>Llanta simple Agrícola 750x20 centro 152</v>
      </c>
      <c r="CZ47" s="3" t="str">
        <f>IFERROR(__xludf.DUMMYFUNCTION("""COMPUTED_VALUE"""),"Cajón de Herramientas Mediano adelante")</f>
        <v>Cajón de Herramientas Mediano adelante</v>
      </c>
      <c r="DA47" s="3" t="str">
        <f>IFERROR(__xludf.DUMMYFUNCTION("""COMPUTED_VALUE"""),"Llanta 15"" Simple Agrícola Centro 92")</f>
        <v>Llanta 15" Simple Agrícola Centro 92</v>
      </c>
    </row>
    <row r="48" hidden="1">
      <c r="A48" s="38">
        <f t="shared" si="1"/>
        <v>47</v>
      </c>
      <c r="B48" s="38">
        <f>IF(F48="","",SUMIF(Prearmados!E:E,F48,Prearmados!A:A))</f>
        <v>8</v>
      </c>
      <c r="C48" s="38">
        <f>IF(F48="","",SUMIF(Productos!E:E,G48,Productos!A:A))</f>
        <v>49</v>
      </c>
      <c r="D48" s="83" t="str">
        <f t="array" ref="D48">IF(OR(F48="",F48="Seleccionar.."),"",XLOOKUP(F48,Prearmados!E:E,Prearmados!F:F,"",0,1))</f>
        <v>Acoplados Rurales</v>
      </c>
      <c r="E48" s="83">
        <f>IF(H48="","",SUMIF(Precio_Productos!K:K,C48,Precio_Productos!J:J)*H48)</f>
        <v>1851449</v>
      </c>
      <c r="F48" s="84" t="s">
        <v>331</v>
      </c>
      <c r="G48" s="84" t="s">
        <v>59</v>
      </c>
      <c r="H48" s="13">
        <v>1.0</v>
      </c>
      <c r="P48" s="3" t="str">
        <f>IFERROR(__xludf.DUMMYFUNCTION("IF(OR(F48="""",F48=""Seleccionar..""),"""",TRANSPOSE(FILTER(Productos!E:E,(Productos!F:F=D48)+(Productos!F:F=XLOOKUP(D48,Implementos!B:B,Implementos!C:C,""-"",0,1)))))"),"Tanque Combustible 1100 lts Bajo")</f>
        <v>Tanque Combustible 1100 lts Bajo</v>
      </c>
      <c r="Q48" s="3" t="str">
        <f>IFERROR(__xludf.DUMMYFUNCTION("""COMPUTED_VALUE"""),"Tanque Combustible 1500 lts Standard")</f>
        <v>Tanque Combustible 1500 lts Standard</v>
      </c>
      <c r="R48" s="3" t="str">
        <f>IFERROR(__xludf.DUMMYFUNCTION("""COMPUTED_VALUE"""),"Tanque Combustible 1800 lts Standard")</f>
        <v>Tanque Combustible 1800 lts Standard</v>
      </c>
      <c r="S48" s="3" t="str">
        <f>IFERROR(__xludf.DUMMYFUNCTION("""COMPUTED_VALUE"""),"Tanque Combustible 2000 lts Bajo")</f>
        <v>Tanque Combustible 2000 lts Bajo</v>
      </c>
      <c r="T48" s="3" t="str">
        <f>IFERROR(__xludf.DUMMYFUNCTION("""COMPUTED_VALUE"""),"Tanque Combustible 2000 lts Standard")</f>
        <v>Tanque Combustible 2000 lts Standard</v>
      </c>
      <c r="U48" s="3" t="str">
        <f>IFERROR(__xludf.DUMMYFUNCTION("""COMPUTED_VALUE"""),"Tanque Combustible 3000 lts Standard")</f>
        <v>Tanque Combustible 3000 lts Standard</v>
      </c>
      <c r="V48" s="3" t="str">
        <f>IFERROR(__xludf.DUMMYFUNCTION("""COMPUTED_VALUE"""),"Tanque Combustible 3000 lts Alto")</f>
        <v>Tanque Combustible 3000 lts Alto</v>
      </c>
      <c r="W48" s="3" t="str">
        <f>IFERROR(__xludf.DUMMYFUNCTION("""COMPUTED_VALUE"""),"Tanque Combustible 4000 lts Standard")</f>
        <v>Tanque Combustible 4000 lts Standard</v>
      </c>
      <c r="X48" s="3" t="str">
        <f>IFERROR(__xludf.DUMMYFUNCTION("""COMPUTED_VALUE"""),"Tanque Combustible 5000 lts Standard")</f>
        <v>Tanque Combustible 5000 lts Standard</v>
      </c>
      <c r="Y48" s="3" t="str">
        <f>IFERROR(__xludf.DUMMYFUNCTION("""COMPUTED_VALUE"""),"Tanque Combustible 5000 lts Alto")</f>
        <v>Tanque Combustible 5000 lts Alto</v>
      </c>
      <c r="Z48" s="3" t="str">
        <f>IFERROR(__xludf.DUMMYFUNCTION("""COMPUTED_VALUE"""),"Tanque Combustible 2000 lts Alto")</f>
        <v>Tanque Combustible 2000 lts Alto</v>
      </c>
      <c r="AA48" s="3" t="str">
        <f>IFERROR(__xludf.DUMMYFUNCTION("""COMPUTED_VALUE"""),"Tanque Combustible 4000 lts Alto")</f>
        <v>Tanque Combustible 4000 lts Alto</v>
      </c>
      <c r="AB48" s="3" t="str">
        <f>IFERROR(__xludf.DUMMYFUNCTION("""COMPUTED_VALUE"""),"Baulera Standard - 750")</f>
        <v>Baulera Standard - 750</v>
      </c>
      <c r="AC48" s="3" t="str">
        <f>IFERROR(__xludf.DUMMYFUNCTION("""COMPUTED_VALUE"""),"Baulera Standard - 1700 - C/Laterales")</f>
        <v>Baulera Standard - 1700 - C/Laterales</v>
      </c>
      <c r="AD48" s="3" t="str">
        <f>IFERROR(__xludf.DUMMYFUNCTION("""COMPUTED_VALUE"""),"Baulera Standard - 1000 - C/Laterales")</f>
        <v>Baulera Standard - 1000 - C/Laterales</v>
      </c>
      <c r="AE48" s="3" t="str">
        <f>IFERROR(__xludf.DUMMYFUNCTION("""COMPUTED_VALUE"""),"Baulera Standard - 750 - C/Laterales")</f>
        <v>Baulera Standard - 750 - C/Laterales</v>
      </c>
      <c r="AF48" s="3" t="str">
        <f>IFERROR(__xludf.DUMMYFUNCTION("""COMPUTED_VALUE"""),"Baulera Standard - 1300 - C/Laterales")</f>
        <v>Baulera Standard - 1300 - C/Laterales</v>
      </c>
      <c r="AG48" s="3" t="str">
        <f>IFERROR(__xludf.DUMMYFUNCTION("""COMPUTED_VALUE"""),"Baulera Alta - 750")</f>
        <v>Baulera Alta - 750</v>
      </c>
      <c r="AH48" s="3" t="str">
        <f>IFERROR(__xludf.DUMMYFUNCTION("""COMPUTED_VALUE"""),"Baulera Alta - 1500 - C/Laterales")</f>
        <v>Baulera Alta - 1500 - C/Laterales</v>
      </c>
      <c r="AI48" s="3" t="str">
        <f>IFERROR(__xludf.DUMMYFUNCTION("""COMPUTED_VALUE"""),"Baulera Extendida 1700 - C/Laterales")</f>
        <v>Baulera Extendida 1700 - C/Laterales</v>
      </c>
      <c r="AJ48" s="3" t="str">
        <f>IFERROR(__xludf.DUMMYFUNCTION("""COMPUTED_VALUE"""),"Taller Móvil - 1500 x 1500 x 1700")</f>
        <v>Taller Móvil - 1500 x 1500 x 1700</v>
      </c>
      <c r="AK48" s="3" t="str">
        <f>IFERROR(__xludf.DUMMYFUNCTION("""COMPUTED_VALUE"""),"Cajón Herramientas Standard Derecho")</f>
        <v>Cajón Herramientas Standard Derecho</v>
      </c>
      <c r="AL48" s="3" t="str">
        <f>IFERROR(__xludf.DUMMYFUNCTION("""COMPUTED_VALUE"""),"Cajón Herramientas Standard Izquierdo")</f>
        <v>Cajón Herramientas Standard Izquierdo</v>
      </c>
      <c r="AM48" s="3" t="str">
        <f>IFERROR(__xludf.DUMMYFUNCTION("""COMPUTED_VALUE"""),"Cajón Herramientas Corto Derecho")</f>
        <v>Cajón Herramientas Corto Derecho</v>
      </c>
      <c r="AN48" s="3" t="str">
        <f>IFERROR(__xludf.DUMMYFUNCTION("""COMPUTED_VALUE"""),"Cajón Herramientas Corto Izquierdo")</f>
        <v>Cajón Herramientas Corto Izquierdo</v>
      </c>
      <c r="AO48" s="3" t="str">
        <f>IFERROR(__xludf.DUMMYFUNCTION("""COMPUTED_VALUE"""),"Cajón Herramientas Mediano Derecho")</f>
        <v>Cajón Herramientas Mediano Derecho</v>
      </c>
      <c r="AP48" s="3" t="str">
        <f>IFERROR(__xludf.DUMMYFUNCTION("""COMPUTED_VALUE"""),"Cajón Herramientas Mediano Izquierdo")</f>
        <v>Cajón Herramientas Mediano Izquierdo</v>
      </c>
      <c r="AQ48" s="3" t="str">
        <f>IFERROR(__xludf.DUMMYFUNCTION("""COMPUTED_VALUE"""),"Chasis Acoplado 2 Ejes L3000")</f>
        <v>Chasis Acoplado 2 Ejes L3000</v>
      </c>
      <c r="AR48" s="3" t="str">
        <f>IFERROR(__xludf.DUMMYFUNCTION("""COMPUTED_VALUE"""),"Chasis Acoplado 2 Ejes L3750")</f>
        <v>Chasis Acoplado 2 Ejes L3750</v>
      </c>
      <c r="AS48" s="3" t="str">
        <f>IFERROR(__xludf.DUMMYFUNCTION("""COMPUTED_VALUE"""),"Chasis Acoplado 2 Ejes L4000")</f>
        <v>Chasis Acoplado 2 Ejes L4000</v>
      </c>
      <c r="AT48" s="3" t="str">
        <f>IFERROR(__xludf.DUMMYFUNCTION("""COMPUTED_VALUE"""),"Chasis Acoplado 2 Ejes L4000 Reforzado")</f>
        <v>Chasis Acoplado 2 Ejes L4000 Reforzado</v>
      </c>
      <c r="AU48" s="3" t="str">
        <f>IFERROR(__xludf.DUMMYFUNCTION("""COMPUTED_VALUE"""),"Chasis Acoplado 2 Ejes L4750")</f>
        <v>Chasis Acoplado 2 Ejes L4750</v>
      </c>
      <c r="AV48" s="3" t="str">
        <f>IFERROR(__xludf.DUMMYFUNCTION("""COMPUTED_VALUE"""),"Chasis Acoplado 2 Ejes L4750 Reforzado")</f>
        <v>Chasis Acoplado 2 Ejes L4750 Reforzado</v>
      </c>
      <c r="AW48" s="3" t="str">
        <f>IFERROR(__xludf.DUMMYFUNCTION("""COMPUTED_VALUE"""),"Chasis Acoplado 2 Ejes L4750 Reforzado R. Camion")</f>
        <v>Chasis Acoplado 2 Ejes L4750 Reforzado R. Camion</v>
      </c>
      <c r="AX48" s="3" t="str">
        <f>IFERROR(__xludf.DUMMYFUNCTION("""COMPUTED_VALUE"""),"Chasis Acoplado 2 Ejes L5000")</f>
        <v>Chasis Acoplado 2 Ejes L5000</v>
      </c>
      <c r="AY48" s="3" t="str">
        <f>IFERROR(__xludf.DUMMYFUNCTION("""COMPUTED_VALUE"""),"Chasis Acoplado 2 Ejes L5750")</f>
        <v>Chasis Acoplado 2 Ejes L5750</v>
      </c>
      <c r="AZ48" s="3" t="str">
        <f>IFERROR(__xludf.DUMMYFUNCTION("""COMPUTED_VALUE"""),"Chasis Acoplado 2 Ejes L6400")</f>
        <v>Chasis Acoplado 2 Ejes L6400</v>
      </c>
      <c r="BA48" s="3" t="str">
        <f>IFERROR(__xludf.DUMMYFUNCTION("""COMPUTED_VALUE"""),"Chasis Acoplado 2 Ejes L4500")</f>
        <v>Chasis Acoplado 2 Ejes L4500</v>
      </c>
      <c r="BB48" s="3" t="str">
        <f>IFERROR(__xludf.DUMMYFUNCTION("""COMPUTED_VALUE"""),"Chasis Acoplado 1 Eje L1500")</f>
        <v>Chasis Acoplado 1 Eje L1500</v>
      </c>
      <c r="BC48" s="3" t="str">
        <f>IFERROR(__xludf.DUMMYFUNCTION("""COMPUTED_VALUE"""),"Chasis Acoplado 1 Eje L1800")</f>
        <v>Chasis Acoplado 1 Eje L1800</v>
      </c>
      <c r="BD48" s="3" t="str">
        <f>IFERROR(__xludf.DUMMYFUNCTION("""COMPUTED_VALUE"""),"Chasis Acoplado 1 Eje L1400")</f>
        <v>Chasis Acoplado 1 Eje L1400</v>
      </c>
      <c r="BE48" s="3" t="str">
        <f>IFERROR(__xludf.DUMMYFUNCTION("""COMPUTED_VALUE"""),"Chasis Acoplado Balancin L3000")</f>
        <v>Chasis Acoplado Balancin L3000</v>
      </c>
      <c r="BF48" s="3" t="str">
        <f>IFERROR(__xludf.DUMMYFUNCTION("""COMPUTED_VALUE"""),"Chasis Acoplado Balancin L3000 Lanza Corta")</f>
        <v>Chasis Acoplado Balancin L3000 Lanza Corta</v>
      </c>
      <c r="BG48" s="3" t="str">
        <f>IFERROR(__xludf.DUMMYFUNCTION("""COMPUTED_VALUE"""),"Chasis Acoplado Balancin L2000 Lanza Corta")</f>
        <v>Chasis Acoplado Balancin L2000 Lanza Corta</v>
      </c>
      <c r="BH48" s="3" t="str">
        <f>IFERROR(__xludf.DUMMYFUNCTION("""COMPUTED_VALUE"""),"Chasis Acoplado Balancin L3200 Lanza Corta")</f>
        <v>Chasis Acoplado Balancin L3200 Lanza Corta</v>
      </c>
      <c r="BI48" s="3" t="str">
        <f>IFERROR(__xludf.DUMMYFUNCTION("""COMPUTED_VALUE"""),"Chasis Acoplado Balancin L3200 Lanza Recta")</f>
        <v>Chasis Acoplado Balancin L3200 Lanza Recta</v>
      </c>
      <c r="BJ48" s="3" t="str">
        <f>IFERROR(__xludf.DUMMYFUNCTION("""COMPUTED_VALUE"""),"Chasis Acoplado Balancin L3200 Bajo Lanza Recta")</f>
        <v>Chasis Acoplado Balancin L3200 Bajo Lanza Recta</v>
      </c>
      <c r="BK48" s="3" t="str">
        <f>IFERROR(__xludf.DUMMYFUNCTION("""COMPUTED_VALUE"""),"Tanque Plastico Horizontal 750 Lts")</f>
        <v>Tanque Plastico Horizontal 750 Lts</v>
      </c>
      <c r="BL48" s="3" t="str">
        <f>IFERROR(__xludf.DUMMYFUNCTION("""COMPUTED_VALUE"""),"Medio Tanque Plastico Superior 700 Lts")</f>
        <v>Medio Tanque Plastico Superior 700 Lts</v>
      </c>
      <c r="BM48" s="3" t="str">
        <f>IFERROR(__xludf.DUMMYFUNCTION("""COMPUTED_VALUE"""),"Paquete de Elasticos 50 mm x 8 mm x 10 Hojas L850")</f>
        <v>Paquete de Elasticos 50 mm x 8 mm x 10 Hojas L850</v>
      </c>
      <c r="BN48" s="3" t="str">
        <f>IFERROR(__xludf.DUMMYFUNCTION("""COMPUTED_VALUE"""),"Paquete de Elasticos 63 mm x 8 mm x 10 Hojas L950")</f>
        <v>Paquete de Elasticos 63 mm x 8 mm x 10 Hojas L950</v>
      </c>
      <c r="BO48" s="3" t="str">
        <f>IFERROR(__xludf.DUMMYFUNCTION("""COMPUTED_VALUE"""),"Paquete de Elasticos 50 mm x 7 mm x 9 Hojas L850")</f>
        <v>Paquete de Elasticos 50 mm x 7 mm x 9 Hojas L850</v>
      </c>
      <c r="BP48" s="3" t="str">
        <f>IFERROR(__xludf.DUMMYFUNCTION("""COMPUTED_VALUE"""),"Paquete de Elasticos 63 mm x 8 mm x 8 Hojas L850")</f>
        <v>Paquete de Elasticos 63 mm x 8 mm x 8 Hojas L850</v>
      </c>
      <c r="BQ48" s="3" t="str">
        <f>IFERROR(__xludf.DUMMYFUNCTION("""COMPUTED_VALUE"""),"Paquete de Elasticos 63 mm x 10 mm x 10 Hojas L950")</f>
        <v>Paquete de Elasticos 63 mm x 10 mm x 10 Hojas L950</v>
      </c>
      <c r="BR48" s="3" t="str">
        <f>IFERROR(__xludf.DUMMYFUNCTION("""COMPUTED_VALUE"""),"Paquete de Elasticos 63 mm x 10 mm x 13 Hojas L975")</f>
        <v>Paquete de Elasticos 63 mm x 10 mm x 13 Hojas L975</v>
      </c>
      <c r="BS48" s="3" t="str">
        <f>IFERROR(__xludf.DUMMYFUNCTION("""COMPUTED_VALUE"""),"Paquete de Elasticos 50 mm x 7 mm x 9 Hojas L650")</f>
        <v>Paquete de Elasticos 50 mm x 7 mm x 9 Hojas L650</v>
      </c>
      <c r="BT48" s="3" t="str">
        <f>IFERROR(__xludf.DUMMYFUNCTION("""COMPUTED_VALUE"""),"Eje Acoplado 2"" x 1600 (06/08) Agrícola Centro 92")</f>
        <v>Eje Acoplado 2" x 1600 (06/08) Agrícola Centro 92</v>
      </c>
      <c r="BU48" s="3" t="str">
        <f>IFERROR(__xludf.DUMMYFUNCTION("""COMPUTED_VALUE"""),"Eje Acoplado 2 1/2"" x 1600 (07/09) Agrícola Centro 92")</f>
        <v>Eje Acoplado 2 1/2" x 1600 (07/09) Agrícola Centro 92</v>
      </c>
      <c r="BV48" s="3" t="str">
        <f>IFERROR(__xludf.DUMMYFUNCTION("""COMPUTED_VALUE"""),"Eje Acoplado 2 1/2"" x 1600 (09/11) Agrícola Centro 150")</f>
        <v>Eje Acoplado 2 1/2" x 1600 (09/11) Agrícola Centro 150</v>
      </c>
      <c r="BW48" s="3" t="str">
        <f>IFERROR(__xludf.DUMMYFUNCTION("""COMPUTED_VALUE"""),"Eje Acoplado 3"" x 1600 (10/13) Agrícola Centro 150")</f>
        <v>Eje Acoplado 3" x 1600 (10/13) Agrícola Centro 150</v>
      </c>
      <c r="BX48" s="3" t="str">
        <f>IFERROR(__xludf.DUMMYFUNCTION("""COMPUTED_VALUE"""),"Eje Acoplado 2 1/2"" x 2140 (07/09) Agrícola Centro 92")</f>
        <v>Eje Acoplado 2 1/2" x 2140 (07/09) Agrícola Centro 92</v>
      </c>
      <c r="BY48" s="3" t="str">
        <f>IFERROR(__xludf.DUMMYFUNCTION("""COMPUTED_VALUE"""),"Eje Acoplado 2"" x 1400 (06/08) Agrícola Centro 92")</f>
        <v>Eje Acoplado 2" x 1400 (06/08) Agrícola Centro 92</v>
      </c>
      <c r="BZ48" s="3" t="str">
        <f>IFERROR(__xludf.DUMMYFUNCTION("""COMPUTED_VALUE"""),"Eje Acoplado 2 1/2"" x 1500 (07/09) Agrícola Centro 92")</f>
        <v>Eje Acoplado 2 1/2" x 1500 (07/09) Agrícola Centro 92</v>
      </c>
      <c r="CA48" s="3" t="str">
        <f>IFERROR(__xludf.DUMMYFUNCTION("""COMPUTED_VALUE"""),"Eje Acoplado 2 1/2"" x 2000 (07/09) Agrícola Centro 92")</f>
        <v>Eje Acoplado 2 1/2" x 2000 (07/09) Agrícola Centro 92</v>
      </c>
      <c r="CB48" s="3" t="str">
        <f>IFERROR(__xludf.DUMMYFUNCTION("""COMPUTED_VALUE"""),"Eje Acoplado 2 1/2"" x 2100 (09/11) Agrícola Centro 150")</f>
        <v>Eje Acoplado 2 1/2" x 2100 (09/11) Agrícola Centro 150</v>
      </c>
      <c r="CC48" s="3" t="str">
        <f>IFERROR(__xludf.DUMMYFUNCTION("""COMPUTED_VALUE"""),"Llanta 16"" Simple Agrícola Centro 92")</f>
        <v>Llanta 16" Simple Agrícola Centro 92</v>
      </c>
      <c r="CD48" s="3" t="str">
        <f>IFERROR(__xludf.DUMMYFUNCTION("""COMPUTED_VALUE"""),"Llanta 16"" Dual Agrícola Centro 92")</f>
        <v>Llanta 16" Dual Agrícola Centro 92</v>
      </c>
      <c r="CE48" s="3" t="str">
        <f>IFERROR(__xludf.DUMMYFUNCTION("""COMPUTED_VALUE"""),"Llanta 17"" Simple Agrícola Centro 92")</f>
        <v>Llanta 17" Simple Agrícola Centro 92</v>
      </c>
      <c r="CF48" s="3" t="str">
        <f>IFERROR(__xludf.DUMMYFUNCTION("""COMPUTED_VALUE"""),"Llanta 17"" Dual Agrícola Centro 92")</f>
        <v>Llanta 17" Dual Agrícola Centro 92</v>
      </c>
      <c r="CG48" s="3" t="str">
        <f>IFERROR(__xludf.DUMMYFUNCTION("""COMPUTED_VALUE"""),"Llanta 16"" Dual Agrícola Centro 152")</f>
        <v>Llanta 16" Dual Agrícola Centro 152</v>
      </c>
      <c r="CH48" s="3" t="str">
        <f>IFERROR(__xludf.DUMMYFUNCTION("""COMPUTED_VALUE"""),"Llanta 17"" Dual Agrícola Centro 152")</f>
        <v>Llanta 17" Dual Agrícola Centro 152</v>
      </c>
      <c r="CI48" s="3" t="str">
        <f>IFERROR(__xludf.DUMMYFUNCTION("""COMPUTED_VALUE"""),"Eje Acoplado 2"" x 1600 (05/07) Agrícola Centro 92")</f>
        <v>Eje Acoplado 2" x 1600 (05/07) Agrícola Centro 92</v>
      </c>
      <c r="CJ48" s="3" t="str">
        <f>IFERROR(__xludf.DUMMYFUNCTION("""COMPUTED_VALUE"""),"Paquete de Elásticos 50 mm x 8 mm x 12 Hojas")</f>
        <v>Paquete de Elásticos 50 mm x 8 mm x 12 Hojas</v>
      </c>
      <c r="CK48" s="3" t="str">
        <f>IFERROR(__xludf.DUMMYFUNCTION("""COMPUTED_VALUE"""),"Plataforma Playo 4.00 x 1.90 x 0.45 Lateral Simple Baranda Fija")</f>
        <v>Plataforma Playo 4.00 x 1.90 x 0.45 Lateral Simple Baranda Fija</v>
      </c>
      <c r="CL48" s="3" t="str">
        <f>IFERROR(__xludf.DUMMYFUNCTION("""COMPUTED_VALUE"""),"Plataforma Playo 4.00 x 1.90 x 0.45 Lateral Simple Baranda Ventilada")</f>
        <v>Plataforma Playo 4.00 x 1.90 x 0.45 Lateral Simple Baranda Ventilada</v>
      </c>
      <c r="CM48" s="3" t="str">
        <f>IFERROR(__xludf.DUMMYFUNCTION("""COMPUTED_VALUE"""),"Plataforma Playo 4.00 x 1.90 x 0.45 Lateral Doble Baranda Ventilada")</f>
        <v>Plataforma Playo 4.00 x 1.90 x 0.45 Lateral Doble Baranda Ventilada</v>
      </c>
      <c r="CN48" s="3" t="str">
        <f>IFERROR(__xludf.DUMMYFUNCTION("""COMPUTED_VALUE"""),"Plataforma Playo 4.00 x 1.90 x 0.45 Lateral Doble Baranda Fija")</f>
        <v>Plataforma Playo 4.00 x 1.90 x 0.45 Lateral Doble Baranda Fija</v>
      </c>
      <c r="CO48" s="3" t="str">
        <f>IFERROR(__xludf.DUMMYFUNCTION("""COMPUTED_VALUE"""),"Plataforma Playo 4.00 x 1.90 x 0.72 Lateral Simple Baranda Fija")</f>
        <v>Plataforma Playo 4.00 x 1.90 x 0.72 Lateral Simple Baranda Fija</v>
      </c>
      <c r="CP48" s="3" t="str">
        <f>IFERROR(__xludf.DUMMYFUNCTION("""COMPUTED_VALUE"""),"Plataforma Playo 4.00 x 1.90 x 0.72 Lateral Doble Baranda Fija")</f>
        <v>Plataforma Playo 4.00 x 1.90 x 0.72 Lateral Doble Baranda Fija</v>
      </c>
      <c r="CQ48" s="3" t="str">
        <f>IFERROR(__xludf.DUMMYFUNCTION("""COMPUTED_VALUE"""),"Plataforma Playo 5.00 x 2.20 x 0.60 Lateral Doble Trasera Rebatible")</f>
        <v>Plataforma Playo 5.00 x 2.20 x 0.60 Lateral Doble Trasera Rebatible</v>
      </c>
      <c r="CR48" s="3" t="str">
        <f>IFERROR(__xludf.DUMMYFUNCTION("""COMPUTED_VALUE"""),"Plataforma Playo 5.00 x 2.20 x 0.60 Lateral Doble Baranda Fija C/Toldo")</f>
        <v>Plataforma Playo 5.00 x 2.20 x 0.60 Lateral Doble Baranda Fija C/Toldo</v>
      </c>
      <c r="CS48" s="3" t="str">
        <f>IFERROR(__xludf.DUMMYFUNCTION("""COMPUTED_VALUE"""),"Plataforma Playo 3.00 x 1.90 x 0.45 Lateral Simple Baranda Fija")</f>
        <v>Plataforma Playo 3.00 x 1.90 x 0.45 Lateral Simple Baranda Fija</v>
      </c>
      <c r="CT48" s="3" t="str">
        <f>IFERROR(__xludf.DUMMYFUNCTION("""COMPUTED_VALUE"""),"Plataforma Playo 3.00 x 1.90 x 0.45 Lateral Simple Baranda Ventilada")</f>
        <v>Plataforma Playo 3.00 x 1.90 x 0.45 Lateral Simple Baranda Ventilada</v>
      </c>
      <c r="CU48" s="3" t="str">
        <f>IFERROR(__xludf.DUMMYFUNCTION("""COMPUTED_VALUE"""),"Plataforma Playo 2.00 x 1.90 x 0.45 Lateral Simple Baranda Fija")</f>
        <v>Plataforma Playo 2.00 x 1.90 x 0.45 Lateral Simple Baranda Fija</v>
      </c>
      <c r="CV48" s="3" t="str">
        <f>IFERROR(__xludf.DUMMYFUNCTION("""COMPUTED_VALUE"""),"Plataforma Playo 5.00 x 1.90 x 0.60 Lateral Doble Baranda Fija")</f>
        <v>Plataforma Playo 5.00 x 1.90 x 0.60 Lateral Doble Baranda Fija</v>
      </c>
      <c r="CW48" s="3" t="str">
        <f>IFERROR(__xludf.DUMMYFUNCTION("""COMPUTED_VALUE"""),"Plataforma Playo 6.40 x 2.70 x 0.72 Lateral Doble Baranda Fija")</f>
        <v>Plataforma Playo 6.40 x 2.70 x 0.72 Lateral Doble Baranda Fija</v>
      </c>
      <c r="CX48" s="3" t="str">
        <f>IFERROR(__xludf.DUMMYFUNCTION("""COMPUTED_VALUE"""),"Chasis Acoplado Balancin L4000 Lanza Recta")</f>
        <v>Chasis Acoplado Balancin L4000 Lanza Recta</v>
      </c>
      <c r="CY48" s="3" t="str">
        <f>IFERROR(__xludf.DUMMYFUNCTION("""COMPUTED_VALUE"""),"Llanta simple Agrícola 750x20 centro 152")</f>
        <v>Llanta simple Agrícola 750x20 centro 152</v>
      </c>
      <c r="CZ48" s="3" t="str">
        <f>IFERROR(__xludf.DUMMYFUNCTION("""COMPUTED_VALUE"""),"Cajón de Herramientas Mediano adelante")</f>
        <v>Cajón de Herramientas Mediano adelante</v>
      </c>
      <c r="DA48" s="3" t="str">
        <f>IFERROR(__xludf.DUMMYFUNCTION("""COMPUTED_VALUE"""),"Llanta 15"" Simple Agrícola Centro 92")</f>
        <v>Llanta 15" Simple Agrícola Centro 92</v>
      </c>
    </row>
    <row r="49" hidden="1">
      <c r="A49" s="38">
        <f t="shared" si="1"/>
        <v>48</v>
      </c>
      <c r="B49" s="38">
        <f>IF(F49="","",SUMIF(Prearmados!E:E,F49,Prearmados!A:A))</f>
        <v>8</v>
      </c>
      <c r="C49" s="38">
        <f>IF(F49="","",SUMIF(Productos!E:E,G49,Productos!A:A))</f>
        <v>73</v>
      </c>
      <c r="D49" s="83" t="str">
        <f t="array" ref="D49">IF(OR(F49="",F49="Seleccionar.."),"",XLOOKUP(F49,Prearmados!E:E,Prearmados!F:F,"",0,1))</f>
        <v>Acoplados Rurales</v>
      </c>
      <c r="E49" s="83">
        <f>IF(H49="","",SUMIF(Precio_Productos!K:K,C49,Precio_Productos!J:J)*H49)</f>
        <v>2454854</v>
      </c>
      <c r="F49" s="84" t="s">
        <v>331</v>
      </c>
      <c r="G49" s="84" t="s">
        <v>99</v>
      </c>
      <c r="H49" s="13">
        <v>1.0</v>
      </c>
      <c r="P49" s="3" t="str">
        <f>IFERROR(__xludf.DUMMYFUNCTION("IF(OR(F49="""",F49=""Seleccionar..""),"""",TRANSPOSE(FILTER(Productos!E:E,(Productos!F:F=D49)+(Productos!F:F=XLOOKUP(D49,Implementos!B:B,Implementos!C:C,""-"",0,1)))))"),"Tanque Combustible 1100 lts Bajo")</f>
        <v>Tanque Combustible 1100 lts Bajo</v>
      </c>
      <c r="Q49" s="3" t="str">
        <f>IFERROR(__xludf.DUMMYFUNCTION("""COMPUTED_VALUE"""),"Tanque Combustible 1500 lts Standard")</f>
        <v>Tanque Combustible 1500 lts Standard</v>
      </c>
      <c r="R49" s="3" t="str">
        <f>IFERROR(__xludf.DUMMYFUNCTION("""COMPUTED_VALUE"""),"Tanque Combustible 1800 lts Standard")</f>
        <v>Tanque Combustible 1800 lts Standard</v>
      </c>
      <c r="S49" s="3" t="str">
        <f>IFERROR(__xludf.DUMMYFUNCTION("""COMPUTED_VALUE"""),"Tanque Combustible 2000 lts Bajo")</f>
        <v>Tanque Combustible 2000 lts Bajo</v>
      </c>
      <c r="T49" s="3" t="str">
        <f>IFERROR(__xludf.DUMMYFUNCTION("""COMPUTED_VALUE"""),"Tanque Combustible 2000 lts Standard")</f>
        <v>Tanque Combustible 2000 lts Standard</v>
      </c>
      <c r="U49" s="3" t="str">
        <f>IFERROR(__xludf.DUMMYFUNCTION("""COMPUTED_VALUE"""),"Tanque Combustible 3000 lts Standard")</f>
        <v>Tanque Combustible 3000 lts Standard</v>
      </c>
      <c r="V49" s="3" t="str">
        <f>IFERROR(__xludf.DUMMYFUNCTION("""COMPUTED_VALUE"""),"Tanque Combustible 3000 lts Alto")</f>
        <v>Tanque Combustible 3000 lts Alto</v>
      </c>
      <c r="W49" s="3" t="str">
        <f>IFERROR(__xludf.DUMMYFUNCTION("""COMPUTED_VALUE"""),"Tanque Combustible 4000 lts Standard")</f>
        <v>Tanque Combustible 4000 lts Standard</v>
      </c>
      <c r="X49" s="3" t="str">
        <f>IFERROR(__xludf.DUMMYFUNCTION("""COMPUTED_VALUE"""),"Tanque Combustible 5000 lts Standard")</f>
        <v>Tanque Combustible 5000 lts Standard</v>
      </c>
      <c r="Y49" s="3" t="str">
        <f>IFERROR(__xludf.DUMMYFUNCTION("""COMPUTED_VALUE"""),"Tanque Combustible 5000 lts Alto")</f>
        <v>Tanque Combustible 5000 lts Alto</v>
      </c>
      <c r="Z49" s="3" t="str">
        <f>IFERROR(__xludf.DUMMYFUNCTION("""COMPUTED_VALUE"""),"Tanque Combustible 2000 lts Alto")</f>
        <v>Tanque Combustible 2000 lts Alto</v>
      </c>
      <c r="AA49" s="3" t="str">
        <f>IFERROR(__xludf.DUMMYFUNCTION("""COMPUTED_VALUE"""),"Tanque Combustible 4000 lts Alto")</f>
        <v>Tanque Combustible 4000 lts Alto</v>
      </c>
      <c r="AB49" s="3" t="str">
        <f>IFERROR(__xludf.DUMMYFUNCTION("""COMPUTED_VALUE"""),"Baulera Standard - 750")</f>
        <v>Baulera Standard - 750</v>
      </c>
      <c r="AC49" s="3" t="str">
        <f>IFERROR(__xludf.DUMMYFUNCTION("""COMPUTED_VALUE"""),"Baulera Standard - 1700 - C/Laterales")</f>
        <v>Baulera Standard - 1700 - C/Laterales</v>
      </c>
      <c r="AD49" s="3" t="str">
        <f>IFERROR(__xludf.DUMMYFUNCTION("""COMPUTED_VALUE"""),"Baulera Standard - 1000 - C/Laterales")</f>
        <v>Baulera Standard - 1000 - C/Laterales</v>
      </c>
      <c r="AE49" s="3" t="str">
        <f>IFERROR(__xludf.DUMMYFUNCTION("""COMPUTED_VALUE"""),"Baulera Standard - 750 - C/Laterales")</f>
        <v>Baulera Standard - 750 - C/Laterales</v>
      </c>
      <c r="AF49" s="3" t="str">
        <f>IFERROR(__xludf.DUMMYFUNCTION("""COMPUTED_VALUE"""),"Baulera Standard - 1300 - C/Laterales")</f>
        <v>Baulera Standard - 1300 - C/Laterales</v>
      </c>
      <c r="AG49" s="3" t="str">
        <f>IFERROR(__xludf.DUMMYFUNCTION("""COMPUTED_VALUE"""),"Baulera Alta - 750")</f>
        <v>Baulera Alta - 750</v>
      </c>
      <c r="AH49" s="3" t="str">
        <f>IFERROR(__xludf.DUMMYFUNCTION("""COMPUTED_VALUE"""),"Baulera Alta - 1500 - C/Laterales")</f>
        <v>Baulera Alta - 1500 - C/Laterales</v>
      </c>
      <c r="AI49" s="3" t="str">
        <f>IFERROR(__xludf.DUMMYFUNCTION("""COMPUTED_VALUE"""),"Baulera Extendida 1700 - C/Laterales")</f>
        <v>Baulera Extendida 1700 - C/Laterales</v>
      </c>
      <c r="AJ49" s="3" t="str">
        <f>IFERROR(__xludf.DUMMYFUNCTION("""COMPUTED_VALUE"""),"Taller Móvil - 1500 x 1500 x 1700")</f>
        <v>Taller Móvil - 1500 x 1500 x 1700</v>
      </c>
      <c r="AK49" s="3" t="str">
        <f>IFERROR(__xludf.DUMMYFUNCTION("""COMPUTED_VALUE"""),"Cajón Herramientas Standard Derecho")</f>
        <v>Cajón Herramientas Standard Derecho</v>
      </c>
      <c r="AL49" s="3" t="str">
        <f>IFERROR(__xludf.DUMMYFUNCTION("""COMPUTED_VALUE"""),"Cajón Herramientas Standard Izquierdo")</f>
        <v>Cajón Herramientas Standard Izquierdo</v>
      </c>
      <c r="AM49" s="3" t="str">
        <f>IFERROR(__xludf.DUMMYFUNCTION("""COMPUTED_VALUE"""),"Cajón Herramientas Corto Derecho")</f>
        <v>Cajón Herramientas Corto Derecho</v>
      </c>
      <c r="AN49" s="3" t="str">
        <f>IFERROR(__xludf.DUMMYFUNCTION("""COMPUTED_VALUE"""),"Cajón Herramientas Corto Izquierdo")</f>
        <v>Cajón Herramientas Corto Izquierdo</v>
      </c>
      <c r="AO49" s="3" t="str">
        <f>IFERROR(__xludf.DUMMYFUNCTION("""COMPUTED_VALUE"""),"Cajón Herramientas Mediano Derecho")</f>
        <v>Cajón Herramientas Mediano Derecho</v>
      </c>
      <c r="AP49" s="3" t="str">
        <f>IFERROR(__xludf.DUMMYFUNCTION("""COMPUTED_VALUE"""),"Cajón Herramientas Mediano Izquierdo")</f>
        <v>Cajón Herramientas Mediano Izquierdo</v>
      </c>
      <c r="AQ49" s="3" t="str">
        <f>IFERROR(__xludf.DUMMYFUNCTION("""COMPUTED_VALUE"""),"Chasis Acoplado 2 Ejes L3000")</f>
        <v>Chasis Acoplado 2 Ejes L3000</v>
      </c>
      <c r="AR49" s="3" t="str">
        <f>IFERROR(__xludf.DUMMYFUNCTION("""COMPUTED_VALUE"""),"Chasis Acoplado 2 Ejes L3750")</f>
        <v>Chasis Acoplado 2 Ejes L3750</v>
      </c>
      <c r="AS49" s="3" t="str">
        <f>IFERROR(__xludf.DUMMYFUNCTION("""COMPUTED_VALUE"""),"Chasis Acoplado 2 Ejes L4000")</f>
        <v>Chasis Acoplado 2 Ejes L4000</v>
      </c>
      <c r="AT49" s="3" t="str">
        <f>IFERROR(__xludf.DUMMYFUNCTION("""COMPUTED_VALUE"""),"Chasis Acoplado 2 Ejes L4000 Reforzado")</f>
        <v>Chasis Acoplado 2 Ejes L4000 Reforzado</v>
      </c>
      <c r="AU49" s="3" t="str">
        <f>IFERROR(__xludf.DUMMYFUNCTION("""COMPUTED_VALUE"""),"Chasis Acoplado 2 Ejes L4750")</f>
        <v>Chasis Acoplado 2 Ejes L4750</v>
      </c>
      <c r="AV49" s="3" t="str">
        <f>IFERROR(__xludf.DUMMYFUNCTION("""COMPUTED_VALUE"""),"Chasis Acoplado 2 Ejes L4750 Reforzado")</f>
        <v>Chasis Acoplado 2 Ejes L4750 Reforzado</v>
      </c>
      <c r="AW49" s="3" t="str">
        <f>IFERROR(__xludf.DUMMYFUNCTION("""COMPUTED_VALUE"""),"Chasis Acoplado 2 Ejes L4750 Reforzado R. Camion")</f>
        <v>Chasis Acoplado 2 Ejes L4750 Reforzado R. Camion</v>
      </c>
      <c r="AX49" s="3" t="str">
        <f>IFERROR(__xludf.DUMMYFUNCTION("""COMPUTED_VALUE"""),"Chasis Acoplado 2 Ejes L5000")</f>
        <v>Chasis Acoplado 2 Ejes L5000</v>
      </c>
      <c r="AY49" s="3" t="str">
        <f>IFERROR(__xludf.DUMMYFUNCTION("""COMPUTED_VALUE"""),"Chasis Acoplado 2 Ejes L5750")</f>
        <v>Chasis Acoplado 2 Ejes L5750</v>
      </c>
      <c r="AZ49" s="3" t="str">
        <f>IFERROR(__xludf.DUMMYFUNCTION("""COMPUTED_VALUE"""),"Chasis Acoplado 2 Ejes L6400")</f>
        <v>Chasis Acoplado 2 Ejes L6400</v>
      </c>
      <c r="BA49" s="3" t="str">
        <f>IFERROR(__xludf.DUMMYFUNCTION("""COMPUTED_VALUE"""),"Chasis Acoplado 2 Ejes L4500")</f>
        <v>Chasis Acoplado 2 Ejes L4500</v>
      </c>
      <c r="BB49" s="3" t="str">
        <f>IFERROR(__xludf.DUMMYFUNCTION("""COMPUTED_VALUE"""),"Chasis Acoplado 1 Eje L1500")</f>
        <v>Chasis Acoplado 1 Eje L1500</v>
      </c>
      <c r="BC49" s="3" t="str">
        <f>IFERROR(__xludf.DUMMYFUNCTION("""COMPUTED_VALUE"""),"Chasis Acoplado 1 Eje L1800")</f>
        <v>Chasis Acoplado 1 Eje L1800</v>
      </c>
      <c r="BD49" s="3" t="str">
        <f>IFERROR(__xludf.DUMMYFUNCTION("""COMPUTED_VALUE"""),"Chasis Acoplado 1 Eje L1400")</f>
        <v>Chasis Acoplado 1 Eje L1400</v>
      </c>
      <c r="BE49" s="3" t="str">
        <f>IFERROR(__xludf.DUMMYFUNCTION("""COMPUTED_VALUE"""),"Chasis Acoplado Balancin L3000")</f>
        <v>Chasis Acoplado Balancin L3000</v>
      </c>
      <c r="BF49" s="3" t="str">
        <f>IFERROR(__xludf.DUMMYFUNCTION("""COMPUTED_VALUE"""),"Chasis Acoplado Balancin L3000 Lanza Corta")</f>
        <v>Chasis Acoplado Balancin L3000 Lanza Corta</v>
      </c>
      <c r="BG49" s="3" t="str">
        <f>IFERROR(__xludf.DUMMYFUNCTION("""COMPUTED_VALUE"""),"Chasis Acoplado Balancin L2000 Lanza Corta")</f>
        <v>Chasis Acoplado Balancin L2000 Lanza Corta</v>
      </c>
      <c r="BH49" s="3" t="str">
        <f>IFERROR(__xludf.DUMMYFUNCTION("""COMPUTED_VALUE"""),"Chasis Acoplado Balancin L3200 Lanza Corta")</f>
        <v>Chasis Acoplado Balancin L3200 Lanza Corta</v>
      </c>
      <c r="BI49" s="3" t="str">
        <f>IFERROR(__xludf.DUMMYFUNCTION("""COMPUTED_VALUE"""),"Chasis Acoplado Balancin L3200 Lanza Recta")</f>
        <v>Chasis Acoplado Balancin L3200 Lanza Recta</v>
      </c>
      <c r="BJ49" s="3" t="str">
        <f>IFERROR(__xludf.DUMMYFUNCTION("""COMPUTED_VALUE"""),"Chasis Acoplado Balancin L3200 Bajo Lanza Recta")</f>
        <v>Chasis Acoplado Balancin L3200 Bajo Lanza Recta</v>
      </c>
      <c r="BK49" s="3" t="str">
        <f>IFERROR(__xludf.DUMMYFUNCTION("""COMPUTED_VALUE"""),"Tanque Plastico Horizontal 750 Lts")</f>
        <v>Tanque Plastico Horizontal 750 Lts</v>
      </c>
      <c r="BL49" s="3" t="str">
        <f>IFERROR(__xludf.DUMMYFUNCTION("""COMPUTED_VALUE"""),"Medio Tanque Plastico Superior 700 Lts")</f>
        <v>Medio Tanque Plastico Superior 700 Lts</v>
      </c>
      <c r="BM49" s="3" t="str">
        <f>IFERROR(__xludf.DUMMYFUNCTION("""COMPUTED_VALUE"""),"Paquete de Elasticos 50 mm x 8 mm x 10 Hojas L850")</f>
        <v>Paquete de Elasticos 50 mm x 8 mm x 10 Hojas L850</v>
      </c>
      <c r="BN49" s="3" t="str">
        <f>IFERROR(__xludf.DUMMYFUNCTION("""COMPUTED_VALUE"""),"Paquete de Elasticos 63 mm x 8 mm x 10 Hojas L950")</f>
        <v>Paquete de Elasticos 63 mm x 8 mm x 10 Hojas L950</v>
      </c>
      <c r="BO49" s="3" t="str">
        <f>IFERROR(__xludf.DUMMYFUNCTION("""COMPUTED_VALUE"""),"Paquete de Elasticos 50 mm x 7 mm x 9 Hojas L850")</f>
        <v>Paquete de Elasticos 50 mm x 7 mm x 9 Hojas L850</v>
      </c>
      <c r="BP49" s="3" t="str">
        <f>IFERROR(__xludf.DUMMYFUNCTION("""COMPUTED_VALUE"""),"Paquete de Elasticos 63 mm x 8 mm x 8 Hojas L850")</f>
        <v>Paquete de Elasticos 63 mm x 8 mm x 8 Hojas L850</v>
      </c>
      <c r="BQ49" s="3" t="str">
        <f>IFERROR(__xludf.DUMMYFUNCTION("""COMPUTED_VALUE"""),"Paquete de Elasticos 63 mm x 10 mm x 10 Hojas L950")</f>
        <v>Paquete de Elasticos 63 mm x 10 mm x 10 Hojas L950</v>
      </c>
      <c r="BR49" s="3" t="str">
        <f>IFERROR(__xludf.DUMMYFUNCTION("""COMPUTED_VALUE"""),"Paquete de Elasticos 63 mm x 10 mm x 13 Hojas L975")</f>
        <v>Paquete de Elasticos 63 mm x 10 mm x 13 Hojas L975</v>
      </c>
      <c r="BS49" s="3" t="str">
        <f>IFERROR(__xludf.DUMMYFUNCTION("""COMPUTED_VALUE"""),"Paquete de Elasticos 50 mm x 7 mm x 9 Hojas L650")</f>
        <v>Paquete de Elasticos 50 mm x 7 mm x 9 Hojas L650</v>
      </c>
      <c r="BT49" s="3" t="str">
        <f>IFERROR(__xludf.DUMMYFUNCTION("""COMPUTED_VALUE"""),"Eje Acoplado 2"" x 1600 (06/08) Agrícola Centro 92")</f>
        <v>Eje Acoplado 2" x 1600 (06/08) Agrícola Centro 92</v>
      </c>
      <c r="BU49" s="3" t="str">
        <f>IFERROR(__xludf.DUMMYFUNCTION("""COMPUTED_VALUE"""),"Eje Acoplado 2 1/2"" x 1600 (07/09) Agrícola Centro 92")</f>
        <v>Eje Acoplado 2 1/2" x 1600 (07/09) Agrícola Centro 92</v>
      </c>
      <c r="BV49" s="3" t="str">
        <f>IFERROR(__xludf.DUMMYFUNCTION("""COMPUTED_VALUE"""),"Eje Acoplado 2 1/2"" x 1600 (09/11) Agrícola Centro 150")</f>
        <v>Eje Acoplado 2 1/2" x 1600 (09/11) Agrícola Centro 150</v>
      </c>
      <c r="BW49" s="3" t="str">
        <f>IFERROR(__xludf.DUMMYFUNCTION("""COMPUTED_VALUE"""),"Eje Acoplado 3"" x 1600 (10/13) Agrícola Centro 150")</f>
        <v>Eje Acoplado 3" x 1600 (10/13) Agrícola Centro 150</v>
      </c>
      <c r="BX49" s="3" t="str">
        <f>IFERROR(__xludf.DUMMYFUNCTION("""COMPUTED_VALUE"""),"Eje Acoplado 2 1/2"" x 2140 (07/09) Agrícola Centro 92")</f>
        <v>Eje Acoplado 2 1/2" x 2140 (07/09) Agrícola Centro 92</v>
      </c>
      <c r="BY49" s="3" t="str">
        <f>IFERROR(__xludf.DUMMYFUNCTION("""COMPUTED_VALUE"""),"Eje Acoplado 2"" x 1400 (06/08) Agrícola Centro 92")</f>
        <v>Eje Acoplado 2" x 1400 (06/08) Agrícola Centro 92</v>
      </c>
      <c r="BZ49" s="3" t="str">
        <f>IFERROR(__xludf.DUMMYFUNCTION("""COMPUTED_VALUE"""),"Eje Acoplado 2 1/2"" x 1500 (07/09) Agrícola Centro 92")</f>
        <v>Eje Acoplado 2 1/2" x 1500 (07/09) Agrícola Centro 92</v>
      </c>
      <c r="CA49" s="3" t="str">
        <f>IFERROR(__xludf.DUMMYFUNCTION("""COMPUTED_VALUE"""),"Eje Acoplado 2 1/2"" x 2000 (07/09) Agrícola Centro 92")</f>
        <v>Eje Acoplado 2 1/2" x 2000 (07/09) Agrícola Centro 92</v>
      </c>
      <c r="CB49" s="3" t="str">
        <f>IFERROR(__xludf.DUMMYFUNCTION("""COMPUTED_VALUE"""),"Eje Acoplado 2 1/2"" x 2100 (09/11) Agrícola Centro 150")</f>
        <v>Eje Acoplado 2 1/2" x 2100 (09/11) Agrícola Centro 150</v>
      </c>
      <c r="CC49" s="3" t="str">
        <f>IFERROR(__xludf.DUMMYFUNCTION("""COMPUTED_VALUE"""),"Llanta 16"" Simple Agrícola Centro 92")</f>
        <v>Llanta 16" Simple Agrícola Centro 92</v>
      </c>
      <c r="CD49" s="3" t="str">
        <f>IFERROR(__xludf.DUMMYFUNCTION("""COMPUTED_VALUE"""),"Llanta 16"" Dual Agrícola Centro 92")</f>
        <v>Llanta 16" Dual Agrícola Centro 92</v>
      </c>
      <c r="CE49" s="3" t="str">
        <f>IFERROR(__xludf.DUMMYFUNCTION("""COMPUTED_VALUE"""),"Llanta 17"" Simple Agrícola Centro 92")</f>
        <v>Llanta 17" Simple Agrícola Centro 92</v>
      </c>
      <c r="CF49" s="3" t="str">
        <f>IFERROR(__xludf.DUMMYFUNCTION("""COMPUTED_VALUE"""),"Llanta 17"" Dual Agrícola Centro 92")</f>
        <v>Llanta 17" Dual Agrícola Centro 92</v>
      </c>
      <c r="CG49" s="3" t="str">
        <f>IFERROR(__xludf.DUMMYFUNCTION("""COMPUTED_VALUE"""),"Llanta 16"" Dual Agrícola Centro 152")</f>
        <v>Llanta 16" Dual Agrícola Centro 152</v>
      </c>
      <c r="CH49" s="3" t="str">
        <f>IFERROR(__xludf.DUMMYFUNCTION("""COMPUTED_VALUE"""),"Llanta 17"" Dual Agrícola Centro 152")</f>
        <v>Llanta 17" Dual Agrícola Centro 152</v>
      </c>
      <c r="CI49" s="3" t="str">
        <f>IFERROR(__xludf.DUMMYFUNCTION("""COMPUTED_VALUE"""),"Eje Acoplado 2"" x 1600 (05/07) Agrícola Centro 92")</f>
        <v>Eje Acoplado 2" x 1600 (05/07) Agrícola Centro 92</v>
      </c>
      <c r="CJ49" s="3" t="str">
        <f>IFERROR(__xludf.DUMMYFUNCTION("""COMPUTED_VALUE"""),"Paquete de Elásticos 50 mm x 8 mm x 12 Hojas")</f>
        <v>Paquete de Elásticos 50 mm x 8 mm x 12 Hojas</v>
      </c>
      <c r="CK49" s="3" t="str">
        <f>IFERROR(__xludf.DUMMYFUNCTION("""COMPUTED_VALUE"""),"Plataforma Playo 4.00 x 1.90 x 0.45 Lateral Simple Baranda Fija")</f>
        <v>Plataforma Playo 4.00 x 1.90 x 0.45 Lateral Simple Baranda Fija</v>
      </c>
      <c r="CL49" s="3" t="str">
        <f>IFERROR(__xludf.DUMMYFUNCTION("""COMPUTED_VALUE"""),"Plataforma Playo 4.00 x 1.90 x 0.45 Lateral Simple Baranda Ventilada")</f>
        <v>Plataforma Playo 4.00 x 1.90 x 0.45 Lateral Simple Baranda Ventilada</v>
      </c>
      <c r="CM49" s="3" t="str">
        <f>IFERROR(__xludf.DUMMYFUNCTION("""COMPUTED_VALUE"""),"Plataforma Playo 4.00 x 1.90 x 0.45 Lateral Doble Baranda Ventilada")</f>
        <v>Plataforma Playo 4.00 x 1.90 x 0.45 Lateral Doble Baranda Ventilada</v>
      </c>
      <c r="CN49" s="3" t="str">
        <f>IFERROR(__xludf.DUMMYFUNCTION("""COMPUTED_VALUE"""),"Plataforma Playo 4.00 x 1.90 x 0.45 Lateral Doble Baranda Fija")</f>
        <v>Plataforma Playo 4.00 x 1.90 x 0.45 Lateral Doble Baranda Fija</v>
      </c>
      <c r="CO49" s="3" t="str">
        <f>IFERROR(__xludf.DUMMYFUNCTION("""COMPUTED_VALUE"""),"Plataforma Playo 4.00 x 1.90 x 0.72 Lateral Simple Baranda Fija")</f>
        <v>Plataforma Playo 4.00 x 1.90 x 0.72 Lateral Simple Baranda Fija</v>
      </c>
      <c r="CP49" s="3" t="str">
        <f>IFERROR(__xludf.DUMMYFUNCTION("""COMPUTED_VALUE"""),"Plataforma Playo 4.00 x 1.90 x 0.72 Lateral Doble Baranda Fija")</f>
        <v>Plataforma Playo 4.00 x 1.90 x 0.72 Lateral Doble Baranda Fija</v>
      </c>
      <c r="CQ49" s="3" t="str">
        <f>IFERROR(__xludf.DUMMYFUNCTION("""COMPUTED_VALUE"""),"Plataforma Playo 5.00 x 2.20 x 0.60 Lateral Doble Trasera Rebatible")</f>
        <v>Plataforma Playo 5.00 x 2.20 x 0.60 Lateral Doble Trasera Rebatible</v>
      </c>
      <c r="CR49" s="3" t="str">
        <f>IFERROR(__xludf.DUMMYFUNCTION("""COMPUTED_VALUE"""),"Plataforma Playo 5.00 x 2.20 x 0.60 Lateral Doble Baranda Fija C/Toldo")</f>
        <v>Plataforma Playo 5.00 x 2.20 x 0.60 Lateral Doble Baranda Fija C/Toldo</v>
      </c>
      <c r="CS49" s="3" t="str">
        <f>IFERROR(__xludf.DUMMYFUNCTION("""COMPUTED_VALUE"""),"Plataforma Playo 3.00 x 1.90 x 0.45 Lateral Simple Baranda Fija")</f>
        <v>Plataforma Playo 3.00 x 1.90 x 0.45 Lateral Simple Baranda Fija</v>
      </c>
      <c r="CT49" s="3" t="str">
        <f>IFERROR(__xludf.DUMMYFUNCTION("""COMPUTED_VALUE"""),"Plataforma Playo 3.00 x 1.90 x 0.45 Lateral Simple Baranda Ventilada")</f>
        <v>Plataforma Playo 3.00 x 1.90 x 0.45 Lateral Simple Baranda Ventilada</v>
      </c>
      <c r="CU49" s="3" t="str">
        <f>IFERROR(__xludf.DUMMYFUNCTION("""COMPUTED_VALUE"""),"Plataforma Playo 2.00 x 1.90 x 0.45 Lateral Simple Baranda Fija")</f>
        <v>Plataforma Playo 2.00 x 1.90 x 0.45 Lateral Simple Baranda Fija</v>
      </c>
      <c r="CV49" s="3" t="str">
        <f>IFERROR(__xludf.DUMMYFUNCTION("""COMPUTED_VALUE"""),"Plataforma Playo 5.00 x 1.90 x 0.60 Lateral Doble Baranda Fija")</f>
        <v>Plataforma Playo 5.00 x 1.90 x 0.60 Lateral Doble Baranda Fija</v>
      </c>
      <c r="CW49" s="3" t="str">
        <f>IFERROR(__xludf.DUMMYFUNCTION("""COMPUTED_VALUE"""),"Plataforma Playo 6.40 x 2.70 x 0.72 Lateral Doble Baranda Fija")</f>
        <v>Plataforma Playo 6.40 x 2.70 x 0.72 Lateral Doble Baranda Fija</v>
      </c>
      <c r="CX49" s="3" t="str">
        <f>IFERROR(__xludf.DUMMYFUNCTION("""COMPUTED_VALUE"""),"Chasis Acoplado Balancin L4000 Lanza Recta")</f>
        <v>Chasis Acoplado Balancin L4000 Lanza Recta</v>
      </c>
      <c r="CY49" s="3" t="str">
        <f>IFERROR(__xludf.DUMMYFUNCTION("""COMPUTED_VALUE"""),"Llanta simple Agrícola 750x20 centro 152")</f>
        <v>Llanta simple Agrícola 750x20 centro 152</v>
      </c>
      <c r="CZ49" s="3" t="str">
        <f>IFERROR(__xludf.DUMMYFUNCTION("""COMPUTED_VALUE"""),"Cajón de Herramientas Mediano adelante")</f>
        <v>Cajón de Herramientas Mediano adelante</v>
      </c>
      <c r="DA49" s="3" t="str">
        <f>IFERROR(__xludf.DUMMYFUNCTION("""COMPUTED_VALUE"""),"Llanta 15"" Simple Agrícola Centro 92")</f>
        <v>Llanta 15" Simple Agrícola Centro 92</v>
      </c>
    </row>
    <row r="50" hidden="1">
      <c r="A50" s="38">
        <f t="shared" si="1"/>
        <v>49</v>
      </c>
      <c r="B50" s="38">
        <f>IF(F50="","",SUMIF(Prearmados!E:E,F50,Prearmados!A:A))</f>
        <v>8</v>
      </c>
      <c r="C50" s="38">
        <f>IF(F50="","",SUMIF(Productos!E:E,G50,Productos!A:A))</f>
        <v>57</v>
      </c>
      <c r="D50" s="83" t="str">
        <f t="array" ref="D50">IF(OR(F50="",F50="Seleccionar.."),"",XLOOKUP(F50,Prearmados!E:E,Prearmados!F:F,"",0,1))</f>
        <v>Acoplados Rurales</v>
      </c>
      <c r="E50" s="83">
        <f>IF(H50="","",SUMIF(Precio_Productos!K:K,C50,Precio_Productos!J:J)*H50)</f>
        <v>633920</v>
      </c>
      <c r="F50" s="84" t="s">
        <v>331</v>
      </c>
      <c r="G50" s="84" t="s">
        <v>32</v>
      </c>
      <c r="H50" s="13">
        <v>1.0</v>
      </c>
      <c r="P50" s="3" t="str">
        <f>IFERROR(__xludf.DUMMYFUNCTION("IF(OR(F50="""",F50=""Seleccionar..""),"""",TRANSPOSE(FILTER(Productos!E:E,(Productos!F:F=D50)+(Productos!F:F=XLOOKUP(D50,Implementos!B:B,Implementos!C:C,""-"",0,1)))))"),"Tanque Combustible 1100 lts Bajo")</f>
        <v>Tanque Combustible 1100 lts Bajo</v>
      </c>
      <c r="Q50" s="3" t="str">
        <f>IFERROR(__xludf.DUMMYFUNCTION("""COMPUTED_VALUE"""),"Tanque Combustible 1500 lts Standard")</f>
        <v>Tanque Combustible 1500 lts Standard</v>
      </c>
      <c r="R50" s="3" t="str">
        <f>IFERROR(__xludf.DUMMYFUNCTION("""COMPUTED_VALUE"""),"Tanque Combustible 1800 lts Standard")</f>
        <v>Tanque Combustible 1800 lts Standard</v>
      </c>
      <c r="S50" s="3" t="str">
        <f>IFERROR(__xludf.DUMMYFUNCTION("""COMPUTED_VALUE"""),"Tanque Combustible 2000 lts Bajo")</f>
        <v>Tanque Combustible 2000 lts Bajo</v>
      </c>
      <c r="T50" s="3" t="str">
        <f>IFERROR(__xludf.DUMMYFUNCTION("""COMPUTED_VALUE"""),"Tanque Combustible 2000 lts Standard")</f>
        <v>Tanque Combustible 2000 lts Standard</v>
      </c>
      <c r="U50" s="3" t="str">
        <f>IFERROR(__xludf.DUMMYFUNCTION("""COMPUTED_VALUE"""),"Tanque Combustible 3000 lts Standard")</f>
        <v>Tanque Combustible 3000 lts Standard</v>
      </c>
      <c r="V50" s="3" t="str">
        <f>IFERROR(__xludf.DUMMYFUNCTION("""COMPUTED_VALUE"""),"Tanque Combustible 3000 lts Alto")</f>
        <v>Tanque Combustible 3000 lts Alto</v>
      </c>
      <c r="W50" s="3" t="str">
        <f>IFERROR(__xludf.DUMMYFUNCTION("""COMPUTED_VALUE"""),"Tanque Combustible 4000 lts Standard")</f>
        <v>Tanque Combustible 4000 lts Standard</v>
      </c>
      <c r="X50" s="3" t="str">
        <f>IFERROR(__xludf.DUMMYFUNCTION("""COMPUTED_VALUE"""),"Tanque Combustible 5000 lts Standard")</f>
        <v>Tanque Combustible 5000 lts Standard</v>
      </c>
      <c r="Y50" s="3" t="str">
        <f>IFERROR(__xludf.DUMMYFUNCTION("""COMPUTED_VALUE"""),"Tanque Combustible 5000 lts Alto")</f>
        <v>Tanque Combustible 5000 lts Alto</v>
      </c>
      <c r="Z50" s="3" t="str">
        <f>IFERROR(__xludf.DUMMYFUNCTION("""COMPUTED_VALUE"""),"Tanque Combustible 2000 lts Alto")</f>
        <v>Tanque Combustible 2000 lts Alto</v>
      </c>
      <c r="AA50" s="3" t="str">
        <f>IFERROR(__xludf.DUMMYFUNCTION("""COMPUTED_VALUE"""),"Tanque Combustible 4000 lts Alto")</f>
        <v>Tanque Combustible 4000 lts Alto</v>
      </c>
      <c r="AB50" s="3" t="str">
        <f>IFERROR(__xludf.DUMMYFUNCTION("""COMPUTED_VALUE"""),"Baulera Standard - 750")</f>
        <v>Baulera Standard - 750</v>
      </c>
      <c r="AC50" s="3" t="str">
        <f>IFERROR(__xludf.DUMMYFUNCTION("""COMPUTED_VALUE"""),"Baulera Standard - 1700 - C/Laterales")</f>
        <v>Baulera Standard - 1700 - C/Laterales</v>
      </c>
      <c r="AD50" s="3" t="str">
        <f>IFERROR(__xludf.DUMMYFUNCTION("""COMPUTED_VALUE"""),"Baulera Standard - 1000 - C/Laterales")</f>
        <v>Baulera Standard - 1000 - C/Laterales</v>
      </c>
      <c r="AE50" s="3" t="str">
        <f>IFERROR(__xludf.DUMMYFUNCTION("""COMPUTED_VALUE"""),"Baulera Standard - 750 - C/Laterales")</f>
        <v>Baulera Standard - 750 - C/Laterales</v>
      </c>
      <c r="AF50" s="3" t="str">
        <f>IFERROR(__xludf.DUMMYFUNCTION("""COMPUTED_VALUE"""),"Baulera Standard - 1300 - C/Laterales")</f>
        <v>Baulera Standard - 1300 - C/Laterales</v>
      </c>
      <c r="AG50" s="3" t="str">
        <f>IFERROR(__xludf.DUMMYFUNCTION("""COMPUTED_VALUE"""),"Baulera Alta - 750")</f>
        <v>Baulera Alta - 750</v>
      </c>
      <c r="AH50" s="3" t="str">
        <f>IFERROR(__xludf.DUMMYFUNCTION("""COMPUTED_VALUE"""),"Baulera Alta - 1500 - C/Laterales")</f>
        <v>Baulera Alta - 1500 - C/Laterales</v>
      </c>
      <c r="AI50" s="3" t="str">
        <f>IFERROR(__xludf.DUMMYFUNCTION("""COMPUTED_VALUE"""),"Baulera Extendida 1700 - C/Laterales")</f>
        <v>Baulera Extendida 1700 - C/Laterales</v>
      </c>
      <c r="AJ50" s="3" t="str">
        <f>IFERROR(__xludf.DUMMYFUNCTION("""COMPUTED_VALUE"""),"Taller Móvil - 1500 x 1500 x 1700")</f>
        <v>Taller Móvil - 1500 x 1500 x 1700</v>
      </c>
      <c r="AK50" s="3" t="str">
        <f>IFERROR(__xludf.DUMMYFUNCTION("""COMPUTED_VALUE"""),"Cajón Herramientas Standard Derecho")</f>
        <v>Cajón Herramientas Standard Derecho</v>
      </c>
      <c r="AL50" s="3" t="str">
        <f>IFERROR(__xludf.DUMMYFUNCTION("""COMPUTED_VALUE"""),"Cajón Herramientas Standard Izquierdo")</f>
        <v>Cajón Herramientas Standard Izquierdo</v>
      </c>
      <c r="AM50" s="3" t="str">
        <f>IFERROR(__xludf.DUMMYFUNCTION("""COMPUTED_VALUE"""),"Cajón Herramientas Corto Derecho")</f>
        <v>Cajón Herramientas Corto Derecho</v>
      </c>
      <c r="AN50" s="3" t="str">
        <f>IFERROR(__xludf.DUMMYFUNCTION("""COMPUTED_VALUE"""),"Cajón Herramientas Corto Izquierdo")</f>
        <v>Cajón Herramientas Corto Izquierdo</v>
      </c>
      <c r="AO50" s="3" t="str">
        <f>IFERROR(__xludf.DUMMYFUNCTION("""COMPUTED_VALUE"""),"Cajón Herramientas Mediano Derecho")</f>
        <v>Cajón Herramientas Mediano Derecho</v>
      </c>
      <c r="AP50" s="3" t="str">
        <f>IFERROR(__xludf.DUMMYFUNCTION("""COMPUTED_VALUE"""),"Cajón Herramientas Mediano Izquierdo")</f>
        <v>Cajón Herramientas Mediano Izquierdo</v>
      </c>
      <c r="AQ50" s="3" t="str">
        <f>IFERROR(__xludf.DUMMYFUNCTION("""COMPUTED_VALUE"""),"Chasis Acoplado 2 Ejes L3000")</f>
        <v>Chasis Acoplado 2 Ejes L3000</v>
      </c>
      <c r="AR50" s="3" t="str">
        <f>IFERROR(__xludf.DUMMYFUNCTION("""COMPUTED_VALUE"""),"Chasis Acoplado 2 Ejes L3750")</f>
        <v>Chasis Acoplado 2 Ejes L3750</v>
      </c>
      <c r="AS50" s="3" t="str">
        <f>IFERROR(__xludf.DUMMYFUNCTION("""COMPUTED_VALUE"""),"Chasis Acoplado 2 Ejes L4000")</f>
        <v>Chasis Acoplado 2 Ejes L4000</v>
      </c>
      <c r="AT50" s="3" t="str">
        <f>IFERROR(__xludf.DUMMYFUNCTION("""COMPUTED_VALUE"""),"Chasis Acoplado 2 Ejes L4000 Reforzado")</f>
        <v>Chasis Acoplado 2 Ejes L4000 Reforzado</v>
      </c>
      <c r="AU50" s="3" t="str">
        <f>IFERROR(__xludf.DUMMYFUNCTION("""COMPUTED_VALUE"""),"Chasis Acoplado 2 Ejes L4750")</f>
        <v>Chasis Acoplado 2 Ejes L4750</v>
      </c>
      <c r="AV50" s="3" t="str">
        <f>IFERROR(__xludf.DUMMYFUNCTION("""COMPUTED_VALUE"""),"Chasis Acoplado 2 Ejes L4750 Reforzado")</f>
        <v>Chasis Acoplado 2 Ejes L4750 Reforzado</v>
      </c>
      <c r="AW50" s="3" t="str">
        <f>IFERROR(__xludf.DUMMYFUNCTION("""COMPUTED_VALUE"""),"Chasis Acoplado 2 Ejes L4750 Reforzado R. Camion")</f>
        <v>Chasis Acoplado 2 Ejes L4750 Reforzado R. Camion</v>
      </c>
      <c r="AX50" s="3" t="str">
        <f>IFERROR(__xludf.DUMMYFUNCTION("""COMPUTED_VALUE"""),"Chasis Acoplado 2 Ejes L5000")</f>
        <v>Chasis Acoplado 2 Ejes L5000</v>
      </c>
      <c r="AY50" s="3" t="str">
        <f>IFERROR(__xludf.DUMMYFUNCTION("""COMPUTED_VALUE"""),"Chasis Acoplado 2 Ejes L5750")</f>
        <v>Chasis Acoplado 2 Ejes L5750</v>
      </c>
      <c r="AZ50" s="3" t="str">
        <f>IFERROR(__xludf.DUMMYFUNCTION("""COMPUTED_VALUE"""),"Chasis Acoplado 2 Ejes L6400")</f>
        <v>Chasis Acoplado 2 Ejes L6400</v>
      </c>
      <c r="BA50" s="3" t="str">
        <f>IFERROR(__xludf.DUMMYFUNCTION("""COMPUTED_VALUE"""),"Chasis Acoplado 2 Ejes L4500")</f>
        <v>Chasis Acoplado 2 Ejes L4500</v>
      </c>
      <c r="BB50" s="3" t="str">
        <f>IFERROR(__xludf.DUMMYFUNCTION("""COMPUTED_VALUE"""),"Chasis Acoplado 1 Eje L1500")</f>
        <v>Chasis Acoplado 1 Eje L1500</v>
      </c>
      <c r="BC50" s="3" t="str">
        <f>IFERROR(__xludf.DUMMYFUNCTION("""COMPUTED_VALUE"""),"Chasis Acoplado 1 Eje L1800")</f>
        <v>Chasis Acoplado 1 Eje L1800</v>
      </c>
      <c r="BD50" s="3" t="str">
        <f>IFERROR(__xludf.DUMMYFUNCTION("""COMPUTED_VALUE"""),"Chasis Acoplado 1 Eje L1400")</f>
        <v>Chasis Acoplado 1 Eje L1400</v>
      </c>
      <c r="BE50" s="3" t="str">
        <f>IFERROR(__xludf.DUMMYFUNCTION("""COMPUTED_VALUE"""),"Chasis Acoplado Balancin L3000")</f>
        <v>Chasis Acoplado Balancin L3000</v>
      </c>
      <c r="BF50" s="3" t="str">
        <f>IFERROR(__xludf.DUMMYFUNCTION("""COMPUTED_VALUE"""),"Chasis Acoplado Balancin L3000 Lanza Corta")</f>
        <v>Chasis Acoplado Balancin L3000 Lanza Corta</v>
      </c>
      <c r="BG50" s="3" t="str">
        <f>IFERROR(__xludf.DUMMYFUNCTION("""COMPUTED_VALUE"""),"Chasis Acoplado Balancin L2000 Lanza Corta")</f>
        <v>Chasis Acoplado Balancin L2000 Lanza Corta</v>
      </c>
      <c r="BH50" s="3" t="str">
        <f>IFERROR(__xludf.DUMMYFUNCTION("""COMPUTED_VALUE"""),"Chasis Acoplado Balancin L3200 Lanza Corta")</f>
        <v>Chasis Acoplado Balancin L3200 Lanza Corta</v>
      </c>
      <c r="BI50" s="3" t="str">
        <f>IFERROR(__xludf.DUMMYFUNCTION("""COMPUTED_VALUE"""),"Chasis Acoplado Balancin L3200 Lanza Recta")</f>
        <v>Chasis Acoplado Balancin L3200 Lanza Recta</v>
      </c>
      <c r="BJ50" s="3" t="str">
        <f>IFERROR(__xludf.DUMMYFUNCTION("""COMPUTED_VALUE"""),"Chasis Acoplado Balancin L3200 Bajo Lanza Recta")</f>
        <v>Chasis Acoplado Balancin L3200 Bajo Lanza Recta</v>
      </c>
      <c r="BK50" s="3" t="str">
        <f>IFERROR(__xludf.DUMMYFUNCTION("""COMPUTED_VALUE"""),"Tanque Plastico Horizontal 750 Lts")</f>
        <v>Tanque Plastico Horizontal 750 Lts</v>
      </c>
      <c r="BL50" s="3" t="str">
        <f>IFERROR(__xludf.DUMMYFUNCTION("""COMPUTED_VALUE"""),"Medio Tanque Plastico Superior 700 Lts")</f>
        <v>Medio Tanque Plastico Superior 700 Lts</v>
      </c>
      <c r="BM50" s="3" t="str">
        <f>IFERROR(__xludf.DUMMYFUNCTION("""COMPUTED_VALUE"""),"Paquete de Elasticos 50 mm x 8 mm x 10 Hojas L850")</f>
        <v>Paquete de Elasticos 50 mm x 8 mm x 10 Hojas L850</v>
      </c>
      <c r="BN50" s="3" t="str">
        <f>IFERROR(__xludf.DUMMYFUNCTION("""COMPUTED_VALUE"""),"Paquete de Elasticos 63 mm x 8 mm x 10 Hojas L950")</f>
        <v>Paquete de Elasticos 63 mm x 8 mm x 10 Hojas L950</v>
      </c>
      <c r="BO50" s="3" t="str">
        <f>IFERROR(__xludf.DUMMYFUNCTION("""COMPUTED_VALUE"""),"Paquete de Elasticos 50 mm x 7 mm x 9 Hojas L850")</f>
        <v>Paquete de Elasticos 50 mm x 7 mm x 9 Hojas L850</v>
      </c>
      <c r="BP50" s="3" t="str">
        <f>IFERROR(__xludf.DUMMYFUNCTION("""COMPUTED_VALUE"""),"Paquete de Elasticos 63 mm x 8 mm x 8 Hojas L850")</f>
        <v>Paquete de Elasticos 63 mm x 8 mm x 8 Hojas L850</v>
      </c>
      <c r="BQ50" s="3" t="str">
        <f>IFERROR(__xludf.DUMMYFUNCTION("""COMPUTED_VALUE"""),"Paquete de Elasticos 63 mm x 10 mm x 10 Hojas L950")</f>
        <v>Paquete de Elasticos 63 mm x 10 mm x 10 Hojas L950</v>
      </c>
      <c r="BR50" s="3" t="str">
        <f>IFERROR(__xludf.DUMMYFUNCTION("""COMPUTED_VALUE"""),"Paquete de Elasticos 63 mm x 10 mm x 13 Hojas L975")</f>
        <v>Paquete de Elasticos 63 mm x 10 mm x 13 Hojas L975</v>
      </c>
      <c r="BS50" s="3" t="str">
        <f>IFERROR(__xludf.DUMMYFUNCTION("""COMPUTED_VALUE"""),"Paquete de Elasticos 50 mm x 7 mm x 9 Hojas L650")</f>
        <v>Paquete de Elasticos 50 mm x 7 mm x 9 Hojas L650</v>
      </c>
      <c r="BT50" s="3" t="str">
        <f>IFERROR(__xludf.DUMMYFUNCTION("""COMPUTED_VALUE"""),"Eje Acoplado 2"" x 1600 (06/08) Agrícola Centro 92")</f>
        <v>Eje Acoplado 2" x 1600 (06/08) Agrícola Centro 92</v>
      </c>
      <c r="BU50" s="3" t="str">
        <f>IFERROR(__xludf.DUMMYFUNCTION("""COMPUTED_VALUE"""),"Eje Acoplado 2 1/2"" x 1600 (07/09) Agrícola Centro 92")</f>
        <v>Eje Acoplado 2 1/2" x 1600 (07/09) Agrícola Centro 92</v>
      </c>
      <c r="BV50" s="3" t="str">
        <f>IFERROR(__xludf.DUMMYFUNCTION("""COMPUTED_VALUE"""),"Eje Acoplado 2 1/2"" x 1600 (09/11) Agrícola Centro 150")</f>
        <v>Eje Acoplado 2 1/2" x 1600 (09/11) Agrícola Centro 150</v>
      </c>
      <c r="BW50" s="3" t="str">
        <f>IFERROR(__xludf.DUMMYFUNCTION("""COMPUTED_VALUE"""),"Eje Acoplado 3"" x 1600 (10/13) Agrícola Centro 150")</f>
        <v>Eje Acoplado 3" x 1600 (10/13) Agrícola Centro 150</v>
      </c>
      <c r="BX50" s="3" t="str">
        <f>IFERROR(__xludf.DUMMYFUNCTION("""COMPUTED_VALUE"""),"Eje Acoplado 2 1/2"" x 2140 (07/09) Agrícola Centro 92")</f>
        <v>Eje Acoplado 2 1/2" x 2140 (07/09) Agrícola Centro 92</v>
      </c>
      <c r="BY50" s="3" t="str">
        <f>IFERROR(__xludf.DUMMYFUNCTION("""COMPUTED_VALUE"""),"Eje Acoplado 2"" x 1400 (06/08) Agrícola Centro 92")</f>
        <v>Eje Acoplado 2" x 1400 (06/08) Agrícola Centro 92</v>
      </c>
      <c r="BZ50" s="3" t="str">
        <f>IFERROR(__xludf.DUMMYFUNCTION("""COMPUTED_VALUE"""),"Eje Acoplado 2 1/2"" x 1500 (07/09) Agrícola Centro 92")</f>
        <v>Eje Acoplado 2 1/2" x 1500 (07/09) Agrícola Centro 92</v>
      </c>
      <c r="CA50" s="3" t="str">
        <f>IFERROR(__xludf.DUMMYFUNCTION("""COMPUTED_VALUE"""),"Eje Acoplado 2 1/2"" x 2000 (07/09) Agrícola Centro 92")</f>
        <v>Eje Acoplado 2 1/2" x 2000 (07/09) Agrícola Centro 92</v>
      </c>
      <c r="CB50" s="3" t="str">
        <f>IFERROR(__xludf.DUMMYFUNCTION("""COMPUTED_VALUE"""),"Eje Acoplado 2 1/2"" x 2100 (09/11) Agrícola Centro 150")</f>
        <v>Eje Acoplado 2 1/2" x 2100 (09/11) Agrícola Centro 150</v>
      </c>
      <c r="CC50" s="3" t="str">
        <f>IFERROR(__xludf.DUMMYFUNCTION("""COMPUTED_VALUE"""),"Llanta 16"" Simple Agrícola Centro 92")</f>
        <v>Llanta 16" Simple Agrícola Centro 92</v>
      </c>
      <c r="CD50" s="3" t="str">
        <f>IFERROR(__xludf.DUMMYFUNCTION("""COMPUTED_VALUE"""),"Llanta 16"" Dual Agrícola Centro 92")</f>
        <v>Llanta 16" Dual Agrícola Centro 92</v>
      </c>
      <c r="CE50" s="3" t="str">
        <f>IFERROR(__xludf.DUMMYFUNCTION("""COMPUTED_VALUE"""),"Llanta 17"" Simple Agrícola Centro 92")</f>
        <v>Llanta 17" Simple Agrícola Centro 92</v>
      </c>
      <c r="CF50" s="3" t="str">
        <f>IFERROR(__xludf.DUMMYFUNCTION("""COMPUTED_VALUE"""),"Llanta 17"" Dual Agrícola Centro 92")</f>
        <v>Llanta 17" Dual Agrícola Centro 92</v>
      </c>
      <c r="CG50" s="3" t="str">
        <f>IFERROR(__xludf.DUMMYFUNCTION("""COMPUTED_VALUE"""),"Llanta 16"" Dual Agrícola Centro 152")</f>
        <v>Llanta 16" Dual Agrícola Centro 152</v>
      </c>
      <c r="CH50" s="3" t="str">
        <f>IFERROR(__xludf.DUMMYFUNCTION("""COMPUTED_VALUE"""),"Llanta 17"" Dual Agrícola Centro 152")</f>
        <v>Llanta 17" Dual Agrícola Centro 152</v>
      </c>
      <c r="CI50" s="3" t="str">
        <f>IFERROR(__xludf.DUMMYFUNCTION("""COMPUTED_VALUE"""),"Eje Acoplado 2"" x 1600 (05/07) Agrícola Centro 92")</f>
        <v>Eje Acoplado 2" x 1600 (05/07) Agrícola Centro 92</v>
      </c>
      <c r="CJ50" s="3" t="str">
        <f>IFERROR(__xludf.DUMMYFUNCTION("""COMPUTED_VALUE"""),"Paquete de Elásticos 50 mm x 8 mm x 12 Hojas")</f>
        <v>Paquete de Elásticos 50 mm x 8 mm x 12 Hojas</v>
      </c>
      <c r="CK50" s="3" t="str">
        <f>IFERROR(__xludf.DUMMYFUNCTION("""COMPUTED_VALUE"""),"Plataforma Playo 4.00 x 1.90 x 0.45 Lateral Simple Baranda Fija")</f>
        <v>Plataforma Playo 4.00 x 1.90 x 0.45 Lateral Simple Baranda Fija</v>
      </c>
      <c r="CL50" s="3" t="str">
        <f>IFERROR(__xludf.DUMMYFUNCTION("""COMPUTED_VALUE"""),"Plataforma Playo 4.00 x 1.90 x 0.45 Lateral Simple Baranda Ventilada")</f>
        <v>Plataforma Playo 4.00 x 1.90 x 0.45 Lateral Simple Baranda Ventilada</v>
      </c>
      <c r="CM50" s="3" t="str">
        <f>IFERROR(__xludf.DUMMYFUNCTION("""COMPUTED_VALUE"""),"Plataforma Playo 4.00 x 1.90 x 0.45 Lateral Doble Baranda Ventilada")</f>
        <v>Plataforma Playo 4.00 x 1.90 x 0.45 Lateral Doble Baranda Ventilada</v>
      </c>
      <c r="CN50" s="3" t="str">
        <f>IFERROR(__xludf.DUMMYFUNCTION("""COMPUTED_VALUE"""),"Plataforma Playo 4.00 x 1.90 x 0.45 Lateral Doble Baranda Fija")</f>
        <v>Plataforma Playo 4.00 x 1.90 x 0.45 Lateral Doble Baranda Fija</v>
      </c>
      <c r="CO50" s="3" t="str">
        <f>IFERROR(__xludf.DUMMYFUNCTION("""COMPUTED_VALUE"""),"Plataforma Playo 4.00 x 1.90 x 0.72 Lateral Simple Baranda Fija")</f>
        <v>Plataforma Playo 4.00 x 1.90 x 0.72 Lateral Simple Baranda Fija</v>
      </c>
      <c r="CP50" s="3" t="str">
        <f>IFERROR(__xludf.DUMMYFUNCTION("""COMPUTED_VALUE"""),"Plataforma Playo 4.00 x 1.90 x 0.72 Lateral Doble Baranda Fija")</f>
        <v>Plataforma Playo 4.00 x 1.90 x 0.72 Lateral Doble Baranda Fija</v>
      </c>
      <c r="CQ50" s="3" t="str">
        <f>IFERROR(__xludf.DUMMYFUNCTION("""COMPUTED_VALUE"""),"Plataforma Playo 5.00 x 2.20 x 0.60 Lateral Doble Trasera Rebatible")</f>
        <v>Plataforma Playo 5.00 x 2.20 x 0.60 Lateral Doble Trasera Rebatible</v>
      </c>
      <c r="CR50" s="3" t="str">
        <f>IFERROR(__xludf.DUMMYFUNCTION("""COMPUTED_VALUE"""),"Plataforma Playo 5.00 x 2.20 x 0.60 Lateral Doble Baranda Fija C/Toldo")</f>
        <v>Plataforma Playo 5.00 x 2.20 x 0.60 Lateral Doble Baranda Fija C/Toldo</v>
      </c>
      <c r="CS50" s="3" t="str">
        <f>IFERROR(__xludf.DUMMYFUNCTION("""COMPUTED_VALUE"""),"Plataforma Playo 3.00 x 1.90 x 0.45 Lateral Simple Baranda Fija")</f>
        <v>Plataforma Playo 3.00 x 1.90 x 0.45 Lateral Simple Baranda Fija</v>
      </c>
      <c r="CT50" s="3" t="str">
        <f>IFERROR(__xludf.DUMMYFUNCTION("""COMPUTED_VALUE"""),"Plataforma Playo 3.00 x 1.90 x 0.45 Lateral Simple Baranda Ventilada")</f>
        <v>Plataforma Playo 3.00 x 1.90 x 0.45 Lateral Simple Baranda Ventilada</v>
      </c>
      <c r="CU50" s="3" t="str">
        <f>IFERROR(__xludf.DUMMYFUNCTION("""COMPUTED_VALUE"""),"Plataforma Playo 2.00 x 1.90 x 0.45 Lateral Simple Baranda Fija")</f>
        <v>Plataforma Playo 2.00 x 1.90 x 0.45 Lateral Simple Baranda Fija</v>
      </c>
      <c r="CV50" s="3" t="str">
        <f>IFERROR(__xludf.DUMMYFUNCTION("""COMPUTED_VALUE"""),"Plataforma Playo 5.00 x 1.90 x 0.60 Lateral Doble Baranda Fija")</f>
        <v>Plataforma Playo 5.00 x 1.90 x 0.60 Lateral Doble Baranda Fija</v>
      </c>
      <c r="CW50" s="3" t="str">
        <f>IFERROR(__xludf.DUMMYFUNCTION("""COMPUTED_VALUE"""),"Plataforma Playo 6.40 x 2.70 x 0.72 Lateral Doble Baranda Fija")</f>
        <v>Plataforma Playo 6.40 x 2.70 x 0.72 Lateral Doble Baranda Fija</v>
      </c>
      <c r="CX50" s="3" t="str">
        <f>IFERROR(__xludf.DUMMYFUNCTION("""COMPUTED_VALUE"""),"Chasis Acoplado Balancin L4000 Lanza Recta")</f>
        <v>Chasis Acoplado Balancin L4000 Lanza Recta</v>
      </c>
      <c r="CY50" s="3" t="str">
        <f>IFERROR(__xludf.DUMMYFUNCTION("""COMPUTED_VALUE"""),"Llanta simple Agrícola 750x20 centro 152")</f>
        <v>Llanta simple Agrícola 750x20 centro 152</v>
      </c>
      <c r="CZ50" s="3" t="str">
        <f>IFERROR(__xludf.DUMMYFUNCTION("""COMPUTED_VALUE"""),"Cajón de Herramientas Mediano adelante")</f>
        <v>Cajón de Herramientas Mediano adelante</v>
      </c>
      <c r="DA50" s="3" t="str">
        <f>IFERROR(__xludf.DUMMYFUNCTION("""COMPUTED_VALUE"""),"Llanta 15"" Simple Agrícola Centro 92")</f>
        <v>Llanta 15" Simple Agrícola Centro 92</v>
      </c>
    </row>
    <row r="51" hidden="1">
      <c r="A51" s="38">
        <f t="shared" si="1"/>
        <v>50</v>
      </c>
      <c r="B51" s="38">
        <f>IF(F51="","",SUMIF(Prearmados!E:E,F51,Prearmados!A:A))</f>
        <v>8</v>
      </c>
      <c r="C51" s="38">
        <f>IF(F51="","",SUMIF(Productos!E:E,G51,Productos!A:A))</f>
        <v>66</v>
      </c>
      <c r="D51" s="83" t="str">
        <f t="array" ref="D51">IF(OR(F51="",F51="Seleccionar.."),"",XLOOKUP(F51,Prearmados!E:E,Prearmados!F:F,"",0,1))</f>
        <v>Acoplados Rurales</v>
      </c>
      <c r="E51" s="83">
        <f>IF(H51="","",SUMIF(Precio_Productos!K:K,C51,Precio_Productos!J:J)*H51)</f>
        <v>292579</v>
      </c>
      <c r="F51" s="84" t="s">
        <v>331</v>
      </c>
      <c r="G51" s="84" t="s">
        <v>79</v>
      </c>
      <c r="H51" s="13">
        <v>1.0</v>
      </c>
      <c r="P51" s="3" t="str">
        <f>IFERROR(__xludf.DUMMYFUNCTION("IF(OR(F51="""",F51=""Seleccionar..""),"""",TRANSPOSE(FILTER(Productos!E:E,(Productos!F:F=D51)+(Productos!F:F=XLOOKUP(D51,Implementos!B:B,Implementos!C:C,""-"",0,1)))))"),"Tanque Combustible 1100 lts Bajo")</f>
        <v>Tanque Combustible 1100 lts Bajo</v>
      </c>
      <c r="Q51" s="3" t="str">
        <f>IFERROR(__xludf.DUMMYFUNCTION("""COMPUTED_VALUE"""),"Tanque Combustible 1500 lts Standard")</f>
        <v>Tanque Combustible 1500 lts Standard</v>
      </c>
      <c r="R51" s="3" t="str">
        <f>IFERROR(__xludf.DUMMYFUNCTION("""COMPUTED_VALUE"""),"Tanque Combustible 1800 lts Standard")</f>
        <v>Tanque Combustible 1800 lts Standard</v>
      </c>
      <c r="S51" s="3" t="str">
        <f>IFERROR(__xludf.DUMMYFUNCTION("""COMPUTED_VALUE"""),"Tanque Combustible 2000 lts Bajo")</f>
        <v>Tanque Combustible 2000 lts Bajo</v>
      </c>
      <c r="T51" s="3" t="str">
        <f>IFERROR(__xludf.DUMMYFUNCTION("""COMPUTED_VALUE"""),"Tanque Combustible 2000 lts Standard")</f>
        <v>Tanque Combustible 2000 lts Standard</v>
      </c>
      <c r="U51" s="3" t="str">
        <f>IFERROR(__xludf.DUMMYFUNCTION("""COMPUTED_VALUE"""),"Tanque Combustible 3000 lts Standard")</f>
        <v>Tanque Combustible 3000 lts Standard</v>
      </c>
      <c r="V51" s="3" t="str">
        <f>IFERROR(__xludf.DUMMYFUNCTION("""COMPUTED_VALUE"""),"Tanque Combustible 3000 lts Alto")</f>
        <v>Tanque Combustible 3000 lts Alto</v>
      </c>
      <c r="W51" s="3" t="str">
        <f>IFERROR(__xludf.DUMMYFUNCTION("""COMPUTED_VALUE"""),"Tanque Combustible 4000 lts Standard")</f>
        <v>Tanque Combustible 4000 lts Standard</v>
      </c>
      <c r="X51" s="3" t="str">
        <f>IFERROR(__xludf.DUMMYFUNCTION("""COMPUTED_VALUE"""),"Tanque Combustible 5000 lts Standard")</f>
        <v>Tanque Combustible 5000 lts Standard</v>
      </c>
      <c r="Y51" s="3" t="str">
        <f>IFERROR(__xludf.DUMMYFUNCTION("""COMPUTED_VALUE"""),"Tanque Combustible 5000 lts Alto")</f>
        <v>Tanque Combustible 5000 lts Alto</v>
      </c>
      <c r="Z51" s="3" t="str">
        <f>IFERROR(__xludf.DUMMYFUNCTION("""COMPUTED_VALUE"""),"Tanque Combustible 2000 lts Alto")</f>
        <v>Tanque Combustible 2000 lts Alto</v>
      </c>
      <c r="AA51" s="3" t="str">
        <f>IFERROR(__xludf.DUMMYFUNCTION("""COMPUTED_VALUE"""),"Tanque Combustible 4000 lts Alto")</f>
        <v>Tanque Combustible 4000 lts Alto</v>
      </c>
      <c r="AB51" s="3" t="str">
        <f>IFERROR(__xludf.DUMMYFUNCTION("""COMPUTED_VALUE"""),"Baulera Standard - 750")</f>
        <v>Baulera Standard - 750</v>
      </c>
      <c r="AC51" s="3" t="str">
        <f>IFERROR(__xludf.DUMMYFUNCTION("""COMPUTED_VALUE"""),"Baulera Standard - 1700 - C/Laterales")</f>
        <v>Baulera Standard - 1700 - C/Laterales</v>
      </c>
      <c r="AD51" s="3" t="str">
        <f>IFERROR(__xludf.DUMMYFUNCTION("""COMPUTED_VALUE"""),"Baulera Standard - 1000 - C/Laterales")</f>
        <v>Baulera Standard - 1000 - C/Laterales</v>
      </c>
      <c r="AE51" s="3" t="str">
        <f>IFERROR(__xludf.DUMMYFUNCTION("""COMPUTED_VALUE"""),"Baulera Standard - 750 - C/Laterales")</f>
        <v>Baulera Standard - 750 - C/Laterales</v>
      </c>
      <c r="AF51" s="3" t="str">
        <f>IFERROR(__xludf.DUMMYFUNCTION("""COMPUTED_VALUE"""),"Baulera Standard - 1300 - C/Laterales")</f>
        <v>Baulera Standard - 1300 - C/Laterales</v>
      </c>
      <c r="AG51" s="3" t="str">
        <f>IFERROR(__xludf.DUMMYFUNCTION("""COMPUTED_VALUE"""),"Baulera Alta - 750")</f>
        <v>Baulera Alta - 750</v>
      </c>
      <c r="AH51" s="3" t="str">
        <f>IFERROR(__xludf.DUMMYFUNCTION("""COMPUTED_VALUE"""),"Baulera Alta - 1500 - C/Laterales")</f>
        <v>Baulera Alta - 1500 - C/Laterales</v>
      </c>
      <c r="AI51" s="3" t="str">
        <f>IFERROR(__xludf.DUMMYFUNCTION("""COMPUTED_VALUE"""),"Baulera Extendida 1700 - C/Laterales")</f>
        <v>Baulera Extendida 1700 - C/Laterales</v>
      </c>
      <c r="AJ51" s="3" t="str">
        <f>IFERROR(__xludf.DUMMYFUNCTION("""COMPUTED_VALUE"""),"Taller Móvil - 1500 x 1500 x 1700")</f>
        <v>Taller Móvil - 1500 x 1500 x 1700</v>
      </c>
      <c r="AK51" s="3" t="str">
        <f>IFERROR(__xludf.DUMMYFUNCTION("""COMPUTED_VALUE"""),"Cajón Herramientas Standard Derecho")</f>
        <v>Cajón Herramientas Standard Derecho</v>
      </c>
      <c r="AL51" s="3" t="str">
        <f>IFERROR(__xludf.DUMMYFUNCTION("""COMPUTED_VALUE"""),"Cajón Herramientas Standard Izquierdo")</f>
        <v>Cajón Herramientas Standard Izquierdo</v>
      </c>
      <c r="AM51" s="3" t="str">
        <f>IFERROR(__xludf.DUMMYFUNCTION("""COMPUTED_VALUE"""),"Cajón Herramientas Corto Derecho")</f>
        <v>Cajón Herramientas Corto Derecho</v>
      </c>
      <c r="AN51" s="3" t="str">
        <f>IFERROR(__xludf.DUMMYFUNCTION("""COMPUTED_VALUE"""),"Cajón Herramientas Corto Izquierdo")</f>
        <v>Cajón Herramientas Corto Izquierdo</v>
      </c>
      <c r="AO51" s="3" t="str">
        <f>IFERROR(__xludf.DUMMYFUNCTION("""COMPUTED_VALUE"""),"Cajón Herramientas Mediano Derecho")</f>
        <v>Cajón Herramientas Mediano Derecho</v>
      </c>
      <c r="AP51" s="3" t="str">
        <f>IFERROR(__xludf.DUMMYFUNCTION("""COMPUTED_VALUE"""),"Cajón Herramientas Mediano Izquierdo")</f>
        <v>Cajón Herramientas Mediano Izquierdo</v>
      </c>
      <c r="AQ51" s="3" t="str">
        <f>IFERROR(__xludf.DUMMYFUNCTION("""COMPUTED_VALUE"""),"Chasis Acoplado 2 Ejes L3000")</f>
        <v>Chasis Acoplado 2 Ejes L3000</v>
      </c>
      <c r="AR51" s="3" t="str">
        <f>IFERROR(__xludf.DUMMYFUNCTION("""COMPUTED_VALUE"""),"Chasis Acoplado 2 Ejes L3750")</f>
        <v>Chasis Acoplado 2 Ejes L3750</v>
      </c>
      <c r="AS51" s="3" t="str">
        <f>IFERROR(__xludf.DUMMYFUNCTION("""COMPUTED_VALUE"""),"Chasis Acoplado 2 Ejes L4000")</f>
        <v>Chasis Acoplado 2 Ejes L4000</v>
      </c>
      <c r="AT51" s="3" t="str">
        <f>IFERROR(__xludf.DUMMYFUNCTION("""COMPUTED_VALUE"""),"Chasis Acoplado 2 Ejes L4000 Reforzado")</f>
        <v>Chasis Acoplado 2 Ejes L4000 Reforzado</v>
      </c>
      <c r="AU51" s="3" t="str">
        <f>IFERROR(__xludf.DUMMYFUNCTION("""COMPUTED_VALUE"""),"Chasis Acoplado 2 Ejes L4750")</f>
        <v>Chasis Acoplado 2 Ejes L4750</v>
      </c>
      <c r="AV51" s="3" t="str">
        <f>IFERROR(__xludf.DUMMYFUNCTION("""COMPUTED_VALUE"""),"Chasis Acoplado 2 Ejes L4750 Reforzado")</f>
        <v>Chasis Acoplado 2 Ejes L4750 Reforzado</v>
      </c>
      <c r="AW51" s="3" t="str">
        <f>IFERROR(__xludf.DUMMYFUNCTION("""COMPUTED_VALUE"""),"Chasis Acoplado 2 Ejes L4750 Reforzado R. Camion")</f>
        <v>Chasis Acoplado 2 Ejes L4750 Reforzado R. Camion</v>
      </c>
      <c r="AX51" s="3" t="str">
        <f>IFERROR(__xludf.DUMMYFUNCTION("""COMPUTED_VALUE"""),"Chasis Acoplado 2 Ejes L5000")</f>
        <v>Chasis Acoplado 2 Ejes L5000</v>
      </c>
      <c r="AY51" s="3" t="str">
        <f>IFERROR(__xludf.DUMMYFUNCTION("""COMPUTED_VALUE"""),"Chasis Acoplado 2 Ejes L5750")</f>
        <v>Chasis Acoplado 2 Ejes L5750</v>
      </c>
      <c r="AZ51" s="3" t="str">
        <f>IFERROR(__xludf.DUMMYFUNCTION("""COMPUTED_VALUE"""),"Chasis Acoplado 2 Ejes L6400")</f>
        <v>Chasis Acoplado 2 Ejes L6400</v>
      </c>
      <c r="BA51" s="3" t="str">
        <f>IFERROR(__xludf.DUMMYFUNCTION("""COMPUTED_VALUE"""),"Chasis Acoplado 2 Ejes L4500")</f>
        <v>Chasis Acoplado 2 Ejes L4500</v>
      </c>
      <c r="BB51" s="3" t="str">
        <f>IFERROR(__xludf.DUMMYFUNCTION("""COMPUTED_VALUE"""),"Chasis Acoplado 1 Eje L1500")</f>
        <v>Chasis Acoplado 1 Eje L1500</v>
      </c>
      <c r="BC51" s="3" t="str">
        <f>IFERROR(__xludf.DUMMYFUNCTION("""COMPUTED_VALUE"""),"Chasis Acoplado 1 Eje L1800")</f>
        <v>Chasis Acoplado 1 Eje L1800</v>
      </c>
      <c r="BD51" s="3" t="str">
        <f>IFERROR(__xludf.DUMMYFUNCTION("""COMPUTED_VALUE"""),"Chasis Acoplado 1 Eje L1400")</f>
        <v>Chasis Acoplado 1 Eje L1400</v>
      </c>
      <c r="BE51" s="3" t="str">
        <f>IFERROR(__xludf.DUMMYFUNCTION("""COMPUTED_VALUE"""),"Chasis Acoplado Balancin L3000")</f>
        <v>Chasis Acoplado Balancin L3000</v>
      </c>
      <c r="BF51" s="3" t="str">
        <f>IFERROR(__xludf.DUMMYFUNCTION("""COMPUTED_VALUE"""),"Chasis Acoplado Balancin L3000 Lanza Corta")</f>
        <v>Chasis Acoplado Balancin L3000 Lanza Corta</v>
      </c>
      <c r="BG51" s="3" t="str">
        <f>IFERROR(__xludf.DUMMYFUNCTION("""COMPUTED_VALUE"""),"Chasis Acoplado Balancin L2000 Lanza Corta")</f>
        <v>Chasis Acoplado Balancin L2000 Lanza Corta</v>
      </c>
      <c r="BH51" s="3" t="str">
        <f>IFERROR(__xludf.DUMMYFUNCTION("""COMPUTED_VALUE"""),"Chasis Acoplado Balancin L3200 Lanza Corta")</f>
        <v>Chasis Acoplado Balancin L3200 Lanza Corta</v>
      </c>
      <c r="BI51" s="3" t="str">
        <f>IFERROR(__xludf.DUMMYFUNCTION("""COMPUTED_VALUE"""),"Chasis Acoplado Balancin L3200 Lanza Recta")</f>
        <v>Chasis Acoplado Balancin L3200 Lanza Recta</v>
      </c>
      <c r="BJ51" s="3" t="str">
        <f>IFERROR(__xludf.DUMMYFUNCTION("""COMPUTED_VALUE"""),"Chasis Acoplado Balancin L3200 Bajo Lanza Recta")</f>
        <v>Chasis Acoplado Balancin L3200 Bajo Lanza Recta</v>
      </c>
      <c r="BK51" s="3" t="str">
        <f>IFERROR(__xludf.DUMMYFUNCTION("""COMPUTED_VALUE"""),"Tanque Plastico Horizontal 750 Lts")</f>
        <v>Tanque Plastico Horizontal 750 Lts</v>
      </c>
      <c r="BL51" s="3" t="str">
        <f>IFERROR(__xludf.DUMMYFUNCTION("""COMPUTED_VALUE"""),"Medio Tanque Plastico Superior 700 Lts")</f>
        <v>Medio Tanque Plastico Superior 700 Lts</v>
      </c>
      <c r="BM51" s="3" t="str">
        <f>IFERROR(__xludf.DUMMYFUNCTION("""COMPUTED_VALUE"""),"Paquete de Elasticos 50 mm x 8 mm x 10 Hojas L850")</f>
        <v>Paquete de Elasticos 50 mm x 8 mm x 10 Hojas L850</v>
      </c>
      <c r="BN51" s="3" t="str">
        <f>IFERROR(__xludf.DUMMYFUNCTION("""COMPUTED_VALUE"""),"Paquete de Elasticos 63 mm x 8 mm x 10 Hojas L950")</f>
        <v>Paquete de Elasticos 63 mm x 8 mm x 10 Hojas L950</v>
      </c>
      <c r="BO51" s="3" t="str">
        <f>IFERROR(__xludf.DUMMYFUNCTION("""COMPUTED_VALUE"""),"Paquete de Elasticos 50 mm x 7 mm x 9 Hojas L850")</f>
        <v>Paquete de Elasticos 50 mm x 7 mm x 9 Hojas L850</v>
      </c>
      <c r="BP51" s="3" t="str">
        <f>IFERROR(__xludf.DUMMYFUNCTION("""COMPUTED_VALUE"""),"Paquete de Elasticos 63 mm x 8 mm x 8 Hojas L850")</f>
        <v>Paquete de Elasticos 63 mm x 8 mm x 8 Hojas L850</v>
      </c>
      <c r="BQ51" s="3" t="str">
        <f>IFERROR(__xludf.DUMMYFUNCTION("""COMPUTED_VALUE"""),"Paquete de Elasticos 63 mm x 10 mm x 10 Hojas L950")</f>
        <v>Paquete de Elasticos 63 mm x 10 mm x 10 Hojas L950</v>
      </c>
      <c r="BR51" s="3" t="str">
        <f>IFERROR(__xludf.DUMMYFUNCTION("""COMPUTED_VALUE"""),"Paquete de Elasticos 63 mm x 10 mm x 13 Hojas L975")</f>
        <v>Paquete de Elasticos 63 mm x 10 mm x 13 Hojas L975</v>
      </c>
      <c r="BS51" s="3" t="str">
        <f>IFERROR(__xludf.DUMMYFUNCTION("""COMPUTED_VALUE"""),"Paquete de Elasticos 50 mm x 7 mm x 9 Hojas L650")</f>
        <v>Paquete de Elasticos 50 mm x 7 mm x 9 Hojas L650</v>
      </c>
      <c r="BT51" s="3" t="str">
        <f>IFERROR(__xludf.DUMMYFUNCTION("""COMPUTED_VALUE"""),"Eje Acoplado 2"" x 1600 (06/08) Agrícola Centro 92")</f>
        <v>Eje Acoplado 2" x 1600 (06/08) Agrícola Centro 92</v>
      </c>
      <c r="BU51" s="3" t="str">
        <f>IFERROR(__xludf.DUMMYFUNCTION("""COMPUTED_VALUE"""),"Eje Acoplado 2 1/2"" x 1600 (07/09) Agrícola Centro 92")</f>
        <v>Eje Acoplado 2 1/2" x 1600 (07/09) Agrícola Centro 92</v>
      </c>
      <c r="BV51" s="3" t="str">
        <f>IFERROR(__xludf.DUMMYFUNCTION("""COMPUTED_VALUE"""),"Eje Acoplado 2 1/2"" x 1600 (09/11) Agrícola Centro 150")</f>
        <v>Eje Acoplado 2 1/2" x 1600 (09/11) Agrícola Centro 150</v>
      </c>
      <c r="BW51" s="3" t="str">
        <f>IFERROR(__xludf.DUMMYFUNCTION("""COMPUTED_VALUE"""),"Eje Acoplado 3"" x 1600 (10/13) Agrícola Centro 150")</f>
        <v>Eje Acoplado 3" x 1600 (10/13) Agrícola Centro 150</v>
      </c>
      <c r="BX51" s="3" t="str">
        <f>IFERROR(__xludf.DUMMYFUNCTION("""COMPUTED_VALUE"""),"Eje Acoplado 2 1/2"" x 2140 (07/09) Agrícola Centro 92")</f>
        <v>Eje Acoplado 2 1/2" x 2140 (07/09) Agrícola Centro 92</v>
      </c>
      <c r="BY51" s="3" t="str">
        <f>IFERROR(__xludf.DUMMYFUNCTION("""COMPUTED_VALUE"""),"Eje Acoplado 2"" x 1400 (06/08) Agrícola Centro 92")</f>
        <v>Eje Acoplado 2" x 1400 (06/08) Agrícola Centro 92</v>
      </c>
      <c r="BZ51" s="3" t="str">
        <f>IFERROR(__xludf.DUMMYFUNCTION("""COMPUTED_VALUE"""),"Eje Acoplado 2 1/2"" x 1500 (07/09) Agrícola Centro 92")</f>
        <v>Eje Acoplado 2 1/2" x 1500 (07/09) Agrícola Centro 92</v>
      </c>
      <c r="CA51" s="3" t="str">
        <f>IFERROR(__xludf.DUMMYFUNCTION("""COMPUTED_VALUE"""),"Eje Acoplado 2 1/2"" x 2000 (07/09) Agrícola Centro 92")</f>
        <v>Eje Acoplado 2 1/2" x 2000 (07/09) Agrícola Centro 92</v>
      </c>
      <c r="CB51" s="3" t="str">
        <f>IFERROR(__xludf.DUMMYFUNCTION("""COMPUTED_VALUE"""),"Eje Acoplado 2 1/2"" x 2100 (09/11) Agrícola Centro 150")</f>
        <v>Eje Acoplado 2 1/2" x 2100 (09/11) Agrícola Centro 150</v>
      </c>
      <c r="CC51" s="3" t="str">
        <f>IFERROR(__xludf.DUMMYFUNCTION("""COMPUTED_VALUE"""),"Llanta 16"" Simple Agrícola Centro 92")</f>
        <v>Llanta 16" Simple Agrícola Centro 92</v>
      </c>
      <c r="CD51" s="3" t="str">
        <f>IFERROR(__xludf.DUMMYFUNCTION("""COMPUTED_VALUE"""),"Llanta 16"" Dual Agrícola Centro 92")</f>
        <v>Llanta 16" Dual Agrícola Centro 92</v>
      </c>
      <c r="CE51" s="3" t="str">
        <f>IFERROR(__xludf.DUMMYFUNCTION("""COMPUTED_VALUE"""),"Llanta 17"" Simple Agrícola Centro 92")</f>
        <v>Llanta 17" Simple Agrícola Centro 92</v>
      </c>
      <c r="CF51" s="3" t="str">
        <f>IFERROR(__xludf.DUMMYFUNCTION("""COMPUTED_VALUE"""),"Llanta 17"" Dual Agrícola Centro 92")</f>
        <v>Llanta 17" Dual Agrícola Centro 92</v>
      </c>
      <c r="CG51" s="3" t="str">
        <f>IFERROR(__xludf.DUMMYFUNCTION("""COMPUTED_VALUE"""),"Llanta 16"" Dual Agrícola Centro 152")</f>
        <v>Llanta 16" Dual Agrícola Centro 152</v>
      </c>
      <c r="CH51" s="3" t="str">
        <f>IFERROR(__xludf.DUMMYFUNCTION("""COMPUTED_VALUE"""),"Llanta 17"" Dual Agrícola Centro 152")</f>
        <v>Llanta 17" Dual Agrícola Centro 152</v>
      </c>
      <c r="CI51" s="3" t="str">
        <f>IFERROR(__xludf.DUMMYFUNCTION("""COMPUTED_VALUE"""),"Eje Acoplado 2"" x 1600 (05/07) Agrícola Centro 92")</f>
        <v>Eje Acoplado 2" x 1600 (05/07) Agrícola Centro 92</v>
      </c>
      <c r="CJ51" s="3" t="str">
        <f>IFERROR(__xludf.DUMMYFUNCTION("""COMPUTED_VALUE"""),"Paquete de Elásticos 50 mm x 8 mm x 12 Hojas")</f>
        <v>Paquete de Elásticos 50 mm x 8 mm x 12 Hojas</v>
      </c>
      <c r="CK51" s="3" t="str">
        <f>IFERROR(__xludf.DUMMYFUNCTION("""COMPUTED_VALUE"""),"Plataforma Playo 4.00 x 1.90 x 0.45 Lateral Simple Baranda Fija")</f>
        <v>Plataforma Playo 4.00 x 1.90 x 0.45 Lateral Simple Baranda Fija</v>
      </c>
      <c r="CL51" s="3" t="str">
        <f>IFERROR(__xludf.DUMMYFUNCTION("""COMPUTED_VALUE"""),"Plataforma Playo 4.00 x 1.90 x 0.45 Lateral Simple Baranda Ventilada")</f>
        <v>Plataforma Playo 4.00 x 1.90 x 0.45 Lateral Simple Baranda Ventilada</v>
      </c>
      <c r="CM51" s="3" t="str">
        <f>IFERROR(__xludf.DUMMYFUNCTION("""COMPUTED_VALUE"""),"Plataforma Playo 4.00 x 1.90 x 0.45 Lateral Doble Baranda Ventilada")</f>
        <v>Plataforma Playo 4.00 x 1.90 x 0.45 Lateral Doble Baranda Ventilada</v>
      </c>
      <c r="CN51" s="3" t="str">
        <f>IFERROR(__xludf.DUMMYFUNCTION("""COMPUTED_VALUE"""),"Plataforma Playo 4.00 x 1.90 x 0.45 Lateral Doble Baranda Fija")</f>
        <v>Plataforma Playo 4.00 x 1.90 x 0.45 Lateral Doble Baranda Fija</v>
      </c>
      <c r="CO51" s="3" t="str">
        <f>IFERROR(__xludf.DUMMYFUNCTION("""COMPUTED_VALUE"""),"Plataforma Playo 4.00 x 1.90 x 0.72 Lateral Simple Baranda Fija")</f>
        <v>Plataforma Playo 4.00 x 1.90 x 0.72 Lateral Simple Baranda Fija</v>
      </c>
      <c r="CP51" s="3" t="str">
        <f>IFERROR(__xludf.DUMMYFUNCTION("""COMPUTED_VALUE"""),"Plataforma Playo 4.00 x 1.90 x 0.72 Lateral Doble Baranda Fija")</f>
        <v>Plataforma Playo 4.00 x 1.90 x 0.72 Lateral Doble Baranda Fija</v>
      </c>
      <c r="CQ51" s="3" t="str">
        <f>IFERROR(__xludf.DUMMYFUNCTION("""COMPUTED_VALUE"""),"Plataforma Playo 5.00 x 2.20 x 0.60 Lateral Doble Trasera Rebatible")</f>
        <v>Plataforma Playo 5.00 x 2.20 x 0.60 Lateral Doble Trasera Rebatible</v>
      </c>
      <c r="CR51" s="3" t="str">
        <f>IFERROR(__xludf.DUMMYFUNCTION("""COMPUTED_VALUE"""),"Plataforma Playo 5.00 x 2.20 x 0.60 Lateral Doble Baranda Fija C/Toldo")</f>
        <v>Plataforma Playo 5.00 x 2.20 x 0.60 Lateral Doble Baranda Fija C/Toldo</v>
      </c>
      <c r="CS51" s="3" t="str">
        <f>IFERROR(__xludf.DUMMYFUNCTION("""COMPUTED_VALUE"""),"Plataforma Playo 3.00 x 1.90 x 0.45 Lateral Simple Baranda Fija")</f>
        <v>Plataforma Playo 3.00 x 1.90 x 0.45 Lateral Simple Baranda Fija</v>
      </c>
      <c r="CT51" s="3" t="str">
        <f>IFERROR(__xludf.DUMMYFUNCTION("""COMPUTED_VALUE"""),"Plataforma Playo 3.00 x 1.90 x 0.45 Lateral Simple Baranda Ventilada")</f>
        <v>Plataforma Playo 3.00 x 1.90 x 0.45 Lateral Simple Baranda Ventilada</v>
      </c>
      <c r="CU51" s="3" t="str">
        <f>IFERROR(__xludf.DUMMYFUNCTION("""COMPUTED_VALUE"""),"Plataforma Playo 2.00 x 1.90 x 0.45 Lateral Simple Baranda Fija")</f>
        <v>Plataforma Playo 2.00 x 1.90 x 0.45 Lateral Simple Baranda Fija</v>
      </c>
      <c r="CV51" s="3" t="str">
        <f>IFERROR(__xludf.DUMMYFUNCTION("""COMPUTED_VALUE"""),"Plataforma Playo 5.00 x 1.90 x 0.60 Lateral Doble Baranda Fija")</f>
        <v>Plataforma Playo 5.00 x 1.90 x 0.60 Lateral Doble Baranda Fija</v>
      </c>
      <c r="CW51" s="3" t="str">
        <f>IFERROR(__xludf.DUMMYFUNCTION("""COMPUTED_VALUE"""),"Plataforma Playo 6.40 x 2.70 x 0.72 Lateral Doble Baranda Fija")</f>
        <v>Plataforma Playo 6.40 x 2.70 x 0.72 Lateral Doble Baranda Fija</v>
      </c>
      <c r="CX51" s="3" t="str">
        <f>IFERROR(__xludf.DUMMYFUNCTION("""COMPUTED_VALUE"""),"Chasis Acoplado Balancin L4000 Lanza Recta")</f>
        <v>Chasis Acoplado Balancin L4000 Lanza Recta</v>
      </c>
      <c r="CY51" s="3" t="str">
        <f>IFERROR(__xludf.DUMMYFUNCTION("""COMPUTED_VALUE"""),"Llanta simple Agrícola 750x20 centro 152")</f>
        <v>Llanta simple Agrícola 750x20 centro 152</v>
      </c>
      <c r="CZ51" s="3" t="str">
        <f>IFERROR(__xludf.DUMMYFUNCTION("""COMPUTED_VALUE"""),"Cajón de Herramientas Mediano adelante")</f>
        <v>Cajón de Herramientas Mediano adelante</v>
      </c>
      <c r="DA51" s="3" t="str">
        <f>IFERROR(__xludf.DUMMYFUNCTION("""COMPUTED_VALUE"""),"Llanta 15"" Simple Agrícola Centro 92")</f>
        <v>Llanta 15" Simple Agrícola Centro 92</v>
      </c>
    </row>
    <row r="52" hidden="1">
      <c r="A52" s="38">
        <f t="shared" si="1"/>
        <v>51</v>
      </c>
      <c r="B52" s="38">
        <f>IF(F52="","",SUMIF(Prearmados!E:E,F52,Prearmados!A:A))</f>
        <v>8</v>
      </c>
      <c r="C52" s="38">
        <f>IF(F52="","",SUMIF(Productos!E:E,G52,Productos!A:A))</f>
        <v>67</v>
      </c>
      <c r="D52" s="83" t="str">
        <f t="array" ref="D52">IF(OR(F52="",F52="Seleccionar.."),"",XLOOKUP(F52,Prearmados!E:E,Prearmados!F:F,"",0,1))</f>
        <v>Acoplados Rurales</v>
      </c>
      <c r="E52" s="83">
        <f>IF(H52="","",SUMIF(Precio_Productos!K:K,C52,Precio_Productos!J:J)*H52)</f>
        <v>292579</v>
      </c>
      <c r="F52" s="84" t="s">
        <v>331</v>
      </c>
      <c r="G52" s="84" t="s">
        <v>81</v>
      </c>
      <c r="H52" s="13">
        <v>1.0</v>
      </c>
      <c r="P52" s="3" t="str">
        <f>IFERROR(__xludf.DUMMYFUNCTION("IF(OR(F52="""",F52=""Seleccionar..""),"""",TRANSPOSE(FILTER(Productos!E:E,(Productos!F:F=D52)+(Productos!F:F=XLOOKUP(D52,Implementos!B:B,Implementos!C:C,""-"",0,1)))))"),"Tanque Combustible 1100 lts Bajo")</f>
        <v>Tanque Combustible 1100 lts Bajo</v>
      </c>
      <c r="Q52" s="3" t="str">
        <f>IFERROR(__xludf.DUMMYFUNCTION("""COMPUTED_VALUE"""),"Tanque Combustible 1500 lts Standard")</f>
        <v>Tanque Combustible 1500 lts Standard</v>
      </c>
      <c r="R52" s="3" t="str">
        <f>IFERROR(__xludf.DUMMYFUNCTION("""COMPUTED_VALUE"""),"Tanque Combustible 1800 lts Standard")</f>
        <v>Tanque Combustible 1800 lts Standard</v>
      </c>
      <c r="S52" s="3" t="str">
        <f>IFERROR(__xludf.DUMMYFUNCTION("""COMPUTED_VALUE"""),"Tanque Combustible 2000 lts Bajo")</f>
        <v>Tanque Combustible 2000 lts Bajo</v>
      </c>
      <c r="T52" s="3" t="str">
        <f>IFERROR(__xludf.DUMMYFUNCTION("""COMPUTED_VALUE"""),"Tanque Combustible 2000 lts Standard")</f>
        <v>Tanque Combustible 2000 lts Standard</v>
      </c>
      <c r="U52" s="3" t="str">
        <f>IFERROR(__xludf.DUMMYFUNCTION("""COMPUTED_VALUE"""),"Tanque Combustible 3000 lts Standard")</f>
        <v>Tanque Combustible 3000 lts Standard</v>
      </c>
      <c r="V52" s="3" t="str">
        <f>IFERROR(__xludf.DUMMYFUNCTION("""COMPUTED_VALUE"""),"Tanque Combustible 3000 lts Alto")</f>
        <v>Tanque Combustible 3000 lts Alto</v>
      </c>
      <c r="W52" s="3" t="str">
        <f>IFERROR(__xludf.DUMMYFUNCTION("""COMPUTED_VALUE"""),"Tanque Combustible 4000 lts Standard")</f>
        <v>Tanque Combustible 4000 lts Standard</v>
      </c>
      <c r="X52" s="3" t="str">
        <f>IFERROR(__xludf.DUMMYFUNCTION("""COMPUTED_VALUE"""),"Tanque Combustible 5000 lts Standard")</f>
        <v>Tanque Combustible 5000 lts Standard</v>
      </c>
      <c r="Y52" s="3" t="str">
        <f>IFERROR(__xludf.DUMMYFUNCTION("""COMPUTED_VALUE"""),"Tanque Combustible 5000 lts Alto")</f>
        <v>Tanque Combustible 5000 lts Alto</v>
      </c>
      <c r="Z52" s="3" t="str">
        <f>IFERROR(__xludf.DUMMYFUNCTION("""COMPUTED_VALUE"""),"Tanque Combustible 2000 lts Alto")</f>
        <v>Tanque Combustible 2000 lts Alto</v>
      </c>
      <c r="AA52" s="3" t="str">
        <f>IFERROR(__xludf.DUMMYFUNCTION("""COMPUTED_VALUE"""),"Tanque Combustible 4000 lts Alto")</f>
        <v>Tanque Combustible 4000 lts Alto</v>
      </c>
      <c r="AB52" s="3" t="str">
        <f>IFERROR(__xludf.DUMMYFUNCTION("""COMPUTED_VALUE"""),"Baulera Standard - 750")</f>
        <v>Baulera Standard - 750</v>
      </c>
      <c r="AC52" s="3" t="str">
        <f>IFERROR(__xludf.DUMMYFUNCTION("""COMPUTED_VALUE"""),"Baulera Standard - 1700 - C/Laterales")</f>
        <v>Baulera Standard - 1700 - C/Laterales</v>
      </c>
      <c r="AD52" s="3" t="str">
        <f>IFERROR(__xludf.DUMMYFUNCTION("""COMPUTED_VALUE"""),"Baulera Standard - 1000 - C/Laterales")</f>
        <v>Baulera Standard - 1000 - C/Laterales</v>
      </c>
      <c r="AE52" s="3" t="str">
        <f>IFERROR(__xludf.DUMMYFUNCTION("""COMPUTED_VALUE"""),"Baulera Standard - 750 - C/Laterales")</f>
        <v>Baulera Standard - 750 - C/Laterales</v>
      </c>
      <c r="AF52" s="3" t="str">
        <f>IFERROR(__xludf.DUMMYFUNCTION("""COMPUTED_VALUE"""),"Baulera Standard - 1300 - C/Laterales")</f>
        <v>Baulera Standard - 1300 - C/Laterales</v>
      </c>
      <c r="AG52" s="3" t="str">
        <f>IFERROR(__xludf.DUMMYFUNCTION("""COMPUTED_VALUE"""),"Baulera Alta - 750")</f>
        <v>Baulera Alta - 750</v>
      </c>
      <c r="AH52" s="3" t="str">
        <f>IFERROR(__xludf.DUMMYFUNCTION("""COMPUTED_VALUE"""),"Baulera Alta - 1500 - C/Laterales")</f>
        <v>Baulera Alta - 1500 - C/Laterales</v>
      </c>
      <c r="AI52" s="3" t="str">
        <f>IFERROR(__xludf.DUMMYFUNCTION("""COMPUTED_VALUE"""),"Baulera Extendida 1700 - C/Laterales")</f>
        <v>Baulera Extendida 1700 - C/Laterales</v>
      </c>
      <c r="AJ52" s="3" t="str">
        <f>IFERROR(__xludf.DUMMYFUNCTION("""COMPUTED_VALUE"""),"Taller Móvil - 1500 x 1500 x 1700")</f>
        <v>Taller Móvil - 1500 x 1500 x 1700</v>
      </c>
      <c r="AK52" s="3" t="str">
        <f>IFERROR(__xludf.DUMMYFUNCTION("""COMPUTED_VALUE"""),"Cajón Herramientas Standard Derecho")</f>
        <v>Cajón Herramientas Standard Derecho</v>
      </c>
      <c r="AL52" s="3" t="str">
        <f>IFERROR(__xludf.DUMMYFUNCTION("""COMPUTED_VALUE"""),"Cajón Herramientas Standard Izquierdo")</f>
        <v>Cajón Herramientas Standard Izquierdo</v>
      </c>
      <c r="AM52" s="3" t="str">
        <f>IFERROR(__xludf.DUMMYFUNCTION("""COMPUTED_VALUE"""),"Cajón Herramientas Corto Derecho")</f>
        <v>Cajón Herramientas Corto Derecho</v>
      </c>
      <c r="AN52" s="3" t="str">
        <f>IFERROR(__xludf.DUMMYFUNCTION("""COMPUTED_VALUE"""),"Cajón Herramientas Corto Izquierdo")</f>
        <v>Cajón Herramientas Corto Izquierdo</v>
      </c>
      <c r="AO52" s="3" t="str">
        <f>IFERROR(__xludf.DUMMYFUNCTION("""COMPUTED_VALUE"""),"Cajón Herramientas Mediano Derecho")</f>
        <v>Cajón Herramientas Mediano Derecho</v>
      </c>
      <c r="AP52" s="3" t="str">
        <f>IFERROR(__xludf.DUMMYFUNCTION("""COMPUTED_VALUE"""),"Cajón Herramientas Mediano Izquierdo")</f>
        <v>Cajón Herramientas Mediano Izquierdo</v>
      </c>
      <c r="AQ52" s="3" t="str">
        <f>IFERROR(__xludf.DUMMYFUNCTION("""COMPUTED_VALUE"""),"Chasis Acoplado 2 Ejes L3000")</f>
        <v>Chasis Acoplado 2 Ejes L3000</v>
      </c>
      <c r="AR52" s="3" t="str">
        <f>IFERROR(__xludf.DUMMYFUNCTION("""COMPUTED_VALUE"""),"Chasis Acoplado 2 Ejes L3750")</f>
        <v>Chasis Acoplado 2 Ejes L3750</v>
      </c>
      <c r="AS52" s="3" t="str">
        <f>IFERROR(__xludf.DUMMYFUNCTION("""COMPUTED_VALUE"""),"Chasis Acoplado 2 Ejes L4000")</f>
        <v>Chasis Acoplado 2 Ejes L4000</v>
      </c>
      <c r="AT52" s="3" t="str">
        <f>IFERROR(__xludf.DUMMYFUNCTION("""COMPUTED_VALUE"""),"Chasis Acoplado 2 Ejes L4000 Reforzado")</f>
        <v>Chasis Acoplado 2 Ejes L4000 Reforzado</v>
      </c>
      <c r="AU52" s="3" t="str">
        <f>IFERROR(__xludf.DUMMYFUNCTION("""COMPUTED_VALUE"""),"Chasis Acoplado 2 Ejes L4750")</f>
        <v>Chasis Acoplado 2 Ejes L4750</v>
      </c>
      <c r="AV52" s="3" t="str">
        <f>IFERROR(__xludf.DUMMYFUNCTION("""COMPUTED_VALUE"""),"Chasis Acoplado 2 Ejes L4750 Reforzado")</f>
        <v>Chasis Acoplado 2 Ejes L4750 Reforzado</v>
      </c>
      <c r="AW52" s="3" t="str">
        <f>IFERROR(__xludf.DUMMYFUNCTION("""COMPUTED_VALUE"""),"Chasis Acoplado 2 Ejes L4750 Reforzado R. Camion")</f>
        <v>Chasis Acoplado 2 Ejes L4750 Reforzado R. Camion</v>
      </c>
      <c r="AX52" s="3" t="str">
        <f>IFERROR(__xludf.DUMMYFUNCTION("""COMPUTED_VALUE"""),"Chasis Acoplado 2 Ejes L5000")</f>
        <v>Chasis Acoplado 2 Ejes L5000</v>
      </c>
      <c r="AY52" s="3" t="str">
        <f>IFERROR(__xludf.DUMMYFUNCTION("""COMPUTED_VALUE"""),"Chasis Acoplado 2 Ejes L5750")</f>
        <v>Chasis Acoplado 2 Ejes L5750</v>
      </c>
      <c r="AZ52" s="3" t="str">
        <f>IFERROR(__xludf.DUMMYFUNCTION("""COMPUTED_VALUE"""),"Chasis Acoplado 2 Ejes L6400")</f>
        <v>Chasis Acoplado 2 Ejes L6400</v>
      </c>
      <c r="BA52" s="3" t="str">
        <f>IFERROR(__xludf.DUMMYFUNCTION("""COMPUTED_VALUE"""),"Chasis Acoplado 2 Ejes L4500")</f>
        <v>Chasis Acoplado 2 Ejes L4500</v>
      </c>
      <c r="BB52" s="3" t="str">
        <f>IFERROR(__xludf.DUMMYFUNCTION("""COMPUTED_VALUE"""),"Chasis Acoplado 1 Eje L1500")</f>
        <v>Chasis Acoplado 1 Eje L1500</v>
      </c>
      <c r="BC52" s="3" t="str">
        <f>IFERROR(__xludf.DUMMYFUNCTION("""COMPUTED_VALUE"""),"Chasis Acoplado 1 Eje L1800")</f>
        <v>Chasis Acoplado 1 Eje L1800</v>
      </c>
      <c r="BD52" s="3" t="str">
        <f>IFERROR(__xludf.DUMMYFUNCTION("""COMPUTED_VALUE"""),"Chasis Acoplado 1 Eje L1400")</f>
        <v>Chasis Acoplado 1 Eje L1400</v>
      </c>
      <c r="BE52" s="3" t="str">
        <f>IFERROR(__xludf.DUMMYFUNCTION("""COMPUTED_VALUE"""),"Chasis Acoplado Balancin L3000")</f>
        <v>Chasis Acoplado Balancin L3000</v>
      </c>
      <c r="BF52" s="3" t="str">
        <f>IFERROR(__xludf.DUMMYFUNCTION("""COMPUTED_VALUE"""),"Chasis Acoplado Balancin L3000 Lanza Corta")</f>
        <v>Chasis Acoplado Balancin L3000 Lanza Corta</v>
      </c>
      <c r="BG52" s="3" t="str">
        <f>IFERROR(__xludf.DUMMYFUNCTION("""COMPUTED_VALUE"""),"Chasis Acoplado Balancin L2000 Lanza Corta")</f>
        <v>Chasis Acoplado Balancin L2000 Lanza Corta</v>
      </c>
      <c r="BH52" s="3" t="str">
        <f>IFERROR(__xludf.DUMMYFUNCTION("""COMPUTED_VALUE"""),"Chasis Acoplado Balancin L3200 Lanza Corta")</f>
        <v>Chasis Acoplado Balancin L3200 Lanza Corta</v>
      </c>
      <c r="BI52" s="3" t="str">
        <f>IFERROR(__xludf.DUMMYFUNCTION("""COMPUTED_VALUE"""),"Chasis Acoplado Balancin L3200 Lanza Recta")</f>
        <v>Chasis Acoplado Balancin L3200 Lanza Recta</v>
      </c>
      <c r="BJ52" s="3" t="str">
        <f>IFERROR(__xludf.DUMMYFUNCTION("""COMPUTED_VALUE"""),"Chasis Acoplado Balancin L3200 Bajo Lanza Recta")</f>
        <v>Chasis Acoplado Balancin L3200 Bajo Lanza Recta</v>
      </c>
      <c r="BK52" s="3" t="str">
        <f>IFERROR(__xludf.DUMMYFUNCTION("""COMPUTED_VALUE"""),"Tanque Plastico Horizontal 750 Lts")</f>
        <v>Tanque Plastico Horizontal 750 Lts</v>
      </c>
      <c r="BL52" s="3" t="str">
        <f>IFERROR(__xludf.DUMMYFUNCTION("""COMPUTED_VALUE"""),"Medio Tanque Plastico Superior 700 Lts")</f>
        <v>Medio Tanque Plastico Superior 700 Lts</v>
      </c>
      <c r="BM52" s="3" t="str">
        <f>IFERROR(__xludf.DUMMYFUNCTION("""COMPUTED_VALUE"""),"Paquete de Elasticos 50 mm x 8 mm x 10 Hojas L850")</f>
        <v>Paquete de Elasticos 50 mm x 8 mm x 10 Hojas L850</v>
      </c>
      <c r="BN52" s="3" t="str">
        <f>IFERROR(__xludf.DUMMYFUNCTION("""COMPUTED_VALUE"""),"Paquete de Elasticos 63 mm x 8 mm x 10 Hojas L950")</f>
        <v>Paquete de Elasticos 63 mm x 8 mm x 10 Hojas L950</v>
      </c>
      <c r="BO52" s="3" t="str">
        <f>IFERROR(__xludf.DUMMYFUNCTION("""COMPUTED_VALUE"""),"Paquete de Elasticos 50 mm x 7 mm x 9 Hojas L850")</f>
        <v>Paquete de Elasticos 50 mm x 7 mm x 9 Hojas L850</v>
      </c>
      <c r="BP52" s="3" t="str">
        <f>IFERROR(__xludf.DUMMYFUNCTION("""COMPUTED_VALUE"""),"Paquete de Elasticos 63 mm x 8 mm x 8 Hojas L850")</f>
        <v>Paquete de Elasticos 63 mm x 8 mm x 8 Hojas L850</v>
      </c>
      <c r="BQ52" s="3" t="str">
        <f>IFERROR(__xludf.DUMMYFUNCTION("""COMPUTED_VALUE"""),"Paquete de Elasticos 63 mm x 10 mm x 10 Hojas L950")</f>
        <v>Paquete de Elasticos 63 mm x 10 mm x 10 Hojas L950</v>
      </c>
      <c r="BR52" s="3" t="str">
        <f>IFERROR(__xludf.DUMMYFUNCTION("""COMPUTED_VALUE"""),"Paquete de Elasticos 63 mm x 10 mm x 13 Hojas L975")</f>
        <v>Paquete de Elasticos 63 mm x 10 mm x 13 Hojas L975</v>
      </c>
      <c r="BS52" s="3" t="str">
        <f>IFERROR(__xludf.DUMMYFUNCTION("""COMPUTED_VALUE"""),"Paquete de Elasticos 50 mm x 7 mm x 9 Hojas L650")</f>
        <v>Paquete de Elasticos 50 mm x 7 mm x 9 Hojas L650</v>
      </c>
      <c r="BT52" s="3" t="str">
        <f>IFERROR(__xludf.DUMMYFUNCTION("""COMPUTED_VALUE"""),"Eje Acoplado 2"" x 1600 (06/08) Agrícola Centro 92")</f>
        <v>Eje Acoplado 2" x 1600 (06/08) Agrícola Centro 92</v>
      </c>
      <c r="BU52" s="3" t="str">
        <f>IFERROR(__xludf.DUMMYFUNCTION("""COMPUTED_VALUE"""),"Eje Acoplado 2 1/2"" x 1600 (07/09) Agrícola Centro 92")</f>
        <v>Eje Acoplado 2 1/2" x 1600 (07/09) Agrícola Centro 92</v>
      </c>
      <c r="BV52" s="3" t="str">
        <f>IFERROR(__xludf.DUMMYFUNCTION("""COMPUTED_VALUE"""),"Eje Acoplado 2 1/2"" x 1600 (09/11) Agrícola Centro 150")</f>
        <v>Eje Acoplado 2 1/2" x 1600 (09/11) Agrícola Centro 150</v>
      </c>
      <c r="BW52" s="3" t="str">
        <f>IFERROR(__xludf.DUMMYFUNCTION("""COMPUTED_VALUE"""),"Eje Acoplado 3"" x 1600 (10/13) Agrícola Centro 150")</f>
        <v>Eje Acoplado 3" x 1600 (10/13) Agrícola Centro 150</v>
      </c>
      <c r="BX52" s="3" t="str">
        <f>IFERROR(__xludf.DUMMYFUNCTION("""COMPUTED_VALUE"""),"Eje Acoplado 2 1/2"" x 2140 (07/09) Agrícola Centro 92")</f>
        <v>Eje Acoplado 2 1/2" x 2140 (07/09) Agrícola Centro 92</v>
      </c>
      <c r="BY52" s="3" t="str">
        <f>IFERROR(__xludf.DUMMYFUNCTION("""COMPUTED_VALUE"""),"Eje Acoplado 2"" x 1400 (06/08) Agrícola Centro 92")</f>
        <v>Eje Acoplado 2" x 1400 (06/08) Agrícola Centro 92</v>
      </c>
      <c r="BZ52" s="3" t="str">
        <f>IFERROR(__xludf.DUMMYFUNCTION("""COMPUTED_VALUE"""),"Eje Acoplado 2 1/2"" x 1500 (07/09) Agrícola Centro 92")</f>
        <v>Eje Acoplado 2 1/2" x 1500 (07/09) Agrícola Centro 92</v>
      </c>
      <c r="CA52" s="3" t="str">
        <f>IFERROR(__xludf.DUMMYFUNCTION("""COMPUTED_VALUE"""),"Eje Acoplado 2 1/2"" x 2000 (07/09) Agrícola Centro 92")</f>
        <v>Eje Acoplado 2 1/2" x 2000 (07/09) Agrícola Centro 92</v>
      </c>
      <c r="CB52" s="3" t="str">
        <f>IFERROR(__xludf.DUMMYFUNCTION("""COMPUTED_VALUE"""),"Eje Acoplado 2 1/2"" x 2100 (09/11) Agrícola Centro 150")</f>
        <v>Eje Acoplado 2 1/2" x 2100 (09/11) Agrícola Centro 150</v>
      </c>
      <c r="CC52" s="3" t="str">
        <f>IFERROR(__xludf.DUMMYFUNCTION("""COMPUTED_VALUE"""),"Llanta 16"" Simple Agrícola Centro 92")</f>
        <v>Llanta 16" Simple Agrícola Centro 92</v>
      </c>
      <c r="CD52" s="3" t="str">
        <f>IFERROR(__xludf.DUMMYFUNCTION("""COMPUTED_VALUE"""),"Llanta 16"" Dual Agrícola Centro 92")</f>
        <v>Llanta 16" Dual Agrícola Centro 92</v>
      </c>
      <c r="CE52" s="3" t="str">
        <f>IFERROR(__xludf.DUMMYFUNCTION("""COMPUTED_VALUE"""),"Llanta 17"" Simple Agrícola Centro 92")</f>
        <v>Llanta 17" Simple Agrícola Centro 92</v>
      </c>
      <c r="CF52" s="3" t="str">
        <f>IFERROR(__xludf.DUMMYFUNCTION("""COMPUTED_VALUE"""),"Llanta 17"" Dual Agrícola Centro 92")</f>
        <v>Llanta 17" Dual Agrícola Centro 92</v>
      </c>
      <c r="CG52" s="3" t="str">
        <f>IFERROR(__xludf.DUMMYFUNCTION("""COMPUTED_VALUE"""),"Llanta 16"" Dual Agrícola Centro 152")</f>
        <v>Llanta 16" Dual Agrícola Centro 152</v>
      </c>
      <c r="CH52" s="3" t="str">
        <f>IFERROR(__xludf.DUMMYFUNCTION("""COMPUTED_VALUE"""),"Llanta 17"" Dual Agrícola Centro 152")</f>
        <v>Llanta 17" Dual Agrícola Centro 152</v>
      </c>
      <c r="CI52" s="3" t="str">
        <f>IFERROR(__xludf.DUMMYFUNCTION("""COMPUTED_VALUE"""),"Eje Acoplado 2"" x 1600 (05/07) Agrícola Centro 92")</f>
        <v>Eje Acoplado 2" x 1600 (05/07) Agrícola Centro 92</v>
      </c>
      <c r="CJ52" s="3" t="str">
        <f>IFERROR(__xludf.DUMMYFUNCTION("""COMPUTED_VALUE"""),"Paquete de Elásticos 50 mm x 8 mm x 12 Hojas")</f>
        <v>Paquete de Elásticos 50 mm x 8 mm x 12 Hojas</v>
      </c>
      <c r="CK52" s="3" t="str">
        <f>IFERROR(__xludf.DUMMYFUNCTION("""COMPUTED_VALUE"""),"Plataforma Playo 4.00 x 1.90 x 0.45 Lateral Simple Baranda Fija")</f>
        <v>Plataforma Playo 4.00 x 1.90 x 0.45 Lateral Simple Baranda Fija</v>
      </c>
      <c r="CL52" s="3" t="str">
        <f>IFERROR(__xludf.DUMMYFUNCTION("""COMPUTED_VALUE"""),"Plataforma Playo 4.00 x 1.90 x 0.45 Lateral Simple Baranda Ventilada")</f>
        <v>Plataforma Playo 4.00 x 1.90 x 0.45 Lateral Simple Baranda Ventilada</v>
      </c>
      <c r="CM52" s="3" t="str">
        <f>IFERROR(__xludf.DUMMYFUNCTION("""COMPUTED_VALUE"""),"Plataforma Playo 4.00 x 1.90 x 0.45 Lateral Doble Baranda Ventilada")</f>
        <v>Plataforma Playo 4.00 x 1.90 x 0.45 Lateral Doble Baranda Ventilada</v>
      </c>
      <c r="CN52" s="3" t="str">
        <f>IFERROR(__xludf.DUMMYFUNCTION("""COMPUTED_VALUE"""),"Plataforma Playo 4.00 x 1.90 x 0.45 Lateral Doble Baranda Fija")</f>
        <v>Plataforma Playo 4.00 x 1.90 x 0.45 Lateral Doble Baranda Fija</v>
      </c>
      <c r="CO52" s="3" t="str">
        <f>IFERROR(__xludf.DUMMYFUNCTION("""COMPUTED_VALUE"""),"Plataforma Playo 4.00 x 1.90 x 0.72 Lateral Simple Baranda Fija")</f>
        <v>Plataforma Playo 4.00 x 1.90 x 0.72 Lateral Simple Baranda Fija</v>
      </c>
      <c r="CP52" s="3" t="str">
        <f>IFERROR(__xludf.DUMMYFUNCTION("""COMPUTED_VALUE"""),"Plataforma Playo 4.00 x 1.90 x 0.72 Lateral Doble Baranda Fija")</f>
        <v>Plataforma Playo 4.00 x 1.90 x 0.72 Lateral Doble Baranda Fija</v>
      </c>
      <c r="CQ52" s="3" t="str">
        <f>IFERROR(__xludf.DUMMYFUNCTION("""COMPUTED_VALUE"""),"Plataforma Playo 5.00 x 2.20 x 0.60 Lateral Doble Trasera Rebatible")</f>
        <v>Plataforma Playo 5.00 x 2.20 x 0.60 Lateral Doble Trasera Rebatible</v>
      </c>
      <c r="CR52" s="3" t="str">
        <f>IFERROR(__xludf.DUMMYFUNCTION("""COMPUTED_VALUE"""),"Plataforma Playo 5.00 x 2.20 x 0.60 Lateral Doble Baranda Fija C/Toldo")</f>
        <v>Plataforma Playo 5.00 x 2.20 x 0.60 Lateral Doble Baranda Fija C/Toldo</v>
      </c>
      <c r="CS52" s="3" t="str">
        <f>IFERROR(__xludf.DUMMYFUNCTION("""COMPUTED_VALUE"""),"Plataforma Playo 3.00 x 1.90 x 0.45 Lateral Simple Baranda Fija")</f>
        <v>Plataforma Playo 3.00 x 1.90 x 0.45 Lateral Simple Baranda Fija</v>
      </c>
      <c r="CT52" s="3" t="str">
        <f>IFERROR(__xludf.DUMMYFUNCTION("""COMPUTED_VALUE"""),"Plataforma Playo 3.00 x 1.90 x 0.45 Lateral Simple Baranda Ventilada")</f>
        <v>Plataforma Playo 3.00 x 1.90 x 0.45 Lateral Simple Baranda Ventilada</v>
      </c>
      <c r="CU52" s="3" t="str">
        <f>IFERROR(__xludf.DUMMYFUNCTION("""COMPUTED_VALUE"""),"Plataforma Playo 2.00 x 1.90 x 0.45 Lateral Simple Baranda Fija")</f>
        <v>Plataforma Playo 2.00 x 1.90 x 0.45 Lateral Simple Baranda Fija</v>
      </c>
      <c r="CV52" s="3" t="str">
        <f>IFERROR(__xludf.DUMMYFUNCTION("""COMPUTED_VALUE"""),"Plataforma Playo 5.00 x 1.90 x 0.60 Lateral Doble Baranda Fija")</f>
        <v>Plataforma Playo 5.00 x 1.90 x 0.60 Lateral Doble Baranda Fija</v>
      </c>
      <c r="CW52" s="3" t="str">
        <f>IFERROR(__xludf.DUMMYFUNCTION("""COMPUTED_VALUE"""),"Plataforma Playo 6.40 x 2.70 x 0.72 Lateral Doble Baranda Fija")</f>
        <v>Plataforma Playo 6.40 x 2.70 x 0.72 Lateral Doble Baranda Fija</v>
      </c>
      <c r="CX52" s="3" t="str">
        <f>IFERROR(__xludf.DUMMYFUNCTION("""COMPUTED_VALUE"""),"Chasis Acoplado Balancin L4000 Lanza Recta")</f>
        <v>Chasis Acoplado Balancin L4000 Lanza Recta</v>
      </c>
      <c r="CY52" s="3" t="str">
        <f>IFERROR(__xludf.DUMMYFUNCTION("""COMPUTED_VALUE"""),"Llanta simple Agrícola 750x20 centro 152")</f>
        <v>Llanta simple Agrícola 750x20 centro 152</v>
      </c>
      <c r="CZ52" s="3" t="str">
        <f>IFERROR(__xludf.DUMMYFUNCTION("""COMPUTED_VALUE"""),"Cajón de Herramientas Mediano adelante")</f>
        <v>Cajón de Herramientas Mediano adelante</v>
      </c>
      <c r="DA52" s="3" t="str">
        <f>IFERROR(__xludf.DUMMYFUNCTION("""COMPUTED_VALUE"""),"Llanta 15"" Simple Agrícola Centro 92")</f>
        <v>Llanta 15" Simple Agrícola Centro 92</v>
      </c>
    </row>
    <row r="53" hidden="1">
      <c r="A53" s="38">
        <f t="shared" si="1"/>
        <v>52</v>
      </c>
      <c r="B53" s="38">
        <f>IF(F53="","",SUMIF(Prearmados!E:E,F53,Prearmados!A:A))</f>
        <v>8</v>
      </c>
      <c r="C53" s="38">
        <f>IF(F53="","",SUMIF(Productos!E:E,G53,Productos!A:A))</f>
        <v>102</v>
      </c>
      <c r="D53" s="83" t="str">
        <f t="array" ref="D53">IF(OR(F53="",F53="Seleccionar.."),"",XLOOKUP(F53,Prearmados!E:E,Prearmados!F:F,"",0,1))</f>
        <v>Acoplados Rurales</v>
      </c>
      <c r="E53" s="83">
        <f>IF(H53="","",SUMIF(Precio_Productos!K:K,C53,Precio_Productos!J:J)*H53)</f>
        <v>1054374</v>
      </c>
      <c r="F53" s="84" t="s">
        <v>331</v>
      </c>
      <c r="G53" s="84" t="s">
        <v>134</v>
      </c>
      <c r="H53" s="13">
        <v>2.0</v>
      </c>
      <c r="P53" s="3" t="str">
        <f>IFERROR(__xludf.DUMMYFUNCTION("IF(OR(F53="""",F53=""Seleccionar..""),"""",TRANSPOSE(FILTER(Productos!E:E,(Productos!F:F=D53)+(Productos!F:F=XLOOKUP(D53,Implementos!B:B,Implementos!C:C,""-"",0,1)))))"),"Tanque Combustible 1100 lts Bajo")</f>
        <v>Tanque Combustible 1100 lts Bajo</v>
      </c>
      <c r="Q53" s="3" t="str">
        <f>IFERROR(__xludf.DUMMYFUNCTION("""COMPUTED_VALUE"""),"Tanque Combustible 1500 lts Standard")</f>
        <v>Tanque Combustible 1500 lts Standard</v>
      </c>
      <c r="R53" s="3" t="str">
        <f>IFERROR(__xludf.DUMMYFUNCTION("""COMPUTED_VALUE"""),"Tanque Combustible 1800 lts Standard")</f>
        <v>Tanque Combustible 1800 lts Standard</v>
      </c>
      <c r="S53" s="3" t="str">
        <f>IFERROR(__xludf.DUMMYFUNCTION("""COMPUTED_VALUE"""),"Tanque Combustible 2000 lts Bajo")</f>
        <v>Tanque Combustible 2000 lts Bajo</v>
      </c>
      <c r="T53" s="3" t="str">
        <f>IFERROR(__xludf.DUMMYFUNCTION("""COMPUTED_VALUE"""),"Tanque Combustible 2000 lts Standard")</f>
        <v>Tanque Combustible 2000 lts Standard</v>
      </c>
      <c r="U53" s="3" t="str">
        <f>IFERROR(__xludf.DUMMYFUNCTION("""COMPUTED_VALUE"""),"Tanque Combustible 3000 lts Standard")</f>
        <v>Tanque Combustible 3000 lts Standard</v>
      </c>
      <c r="V53" s="3" t="str">
        <f>IFERROR(__xludf.DUMMYFUNCTION("""COMPUTED_VALUE"""),"Tanque Combustible 3000 lts Alto")</f>
        <v>Tanque Combustible 3000 lts Alto</v>
      </c>
      <c r="W53" s="3" t="str">
        <f>IFERROR(__xludf.DUMMYFUNCTION("""COMPUTED_VALUE"""),"Tanque Combustible 4000 lts Standard")</f>
        <v>Tanque Combustible 4000 lts Standard</v>
      </c>
      <c r="X53" s="3" t="str">
        <f>IFERROR(__xludf.DUMMYFUNCTION("""COMPUTED_VALUE"""),"Tanque Combustible 5000 lts Standard")</f>
        <v>Tanque Combustible 5000 lts Standard</v>
      </c>
      <c r="Y53" s="3" t="str">
        <f>IFERROR(__xludf.DUMMYFUNCTION("""COMPUTED_VALUE"""),"Tanque Combustible 5000 lts Alto")</f>
        <v>Tanque Combustible 5000 lts Alto</v>
      </c>
      <c r="Z53" s="3" t="str">
        <f>IFERROR(__xludf.DUMMYFUNCTION("""COMPUTED_VALUE"""),"Tanque Combustible 2000 lts Alto")</f>
        <v>Tanque Combustible 2000 lts Alto</v>
      </c>
      <c r="AA53" s="3" t="str">
        <f>IFERROR(__xludf.DUMMYFUNCTION("""COMPUTED_VALUE"""),"Tanque Combustible 4000 lts Alto")</f>
        <v>Tanque Combustible 4000 lts Alto</v>
      </c>
      <c r="AB53" s="3" t="str">
        <f>IFERROR(__xludf.DUMMYFUNCTION("""COMPUTED_VALUE"""),"Baulera Standard - 750")</f>
        <v>Baulera Standard - 750</v>
      </c>
      <c r="AC53" s="3" t="str">
        <f>IFERROR(__xludf.DUMMYFUNCTION("""COMPUTED_VALUE"""),"Baulera Standard - 1700 - C/Laterales")</f>
        <v>Baulera Standard - 1700 - C/Laterales</v>
      </c>
      <c r="AD53" s="3" t="str">
        <f>IFERROR(__xludf.DUMMYFUNCTION("""COMPUTED_VALUE"""),"Baulera Standard - 1000 - C/Laterales")</f>
        <v>Baulera Standard - 1000 - C/Laterales</v>
      </c>
      <c r="AE53" s="3" t="str">
        <f>IFERROR(__xludf.DUMMYFUNCTION("""COMPUTED_VALUE"""),"Baulera Standard - 750 - C/Laterales")</f>
        <v>Baulera Standard - 750 - C/Laterales</v>
      </c>
      <c r="AF53" s="3" t="str">
        <f>IFERROR(__xludf.DUMMYFUNCTION("""COMPUTED_VALUE"""),"Baulera Standard - 1300 - C/Laterales")</f>
        <v>Baulera Standard - 1300 - C/Laterales</v>
      </c>
      <c r="AG53" s="3" t="str">
        <f>IFERROR(__xludf.DUMMYFUNCTION("""COMPUTED_VALUE"""),"Baulera Alta - 750")</f>
        <v>Baulera Alta - 750</v>
      </c>
      <c r="AH53" s="3" t="str">
        <f>IFERROR(__xludf.DUMMYFUNCTION("""COMPUTED_VALUE"""),"Baulera Alta - 1500 - C/Laterales")</f>
        <v>Baulera Alta - 1500 - C/Laterales</v>
      </c>
      <c r="AI53" s="3" t="str">
        <f>IFERROR(__xludf.DUMMYFUNCTION("""COMPUTED_VALUE"""),"Baulera Extendida 1700 - C/Laterales")</f>
        <v>Baulera Extendida 1700 - C/Laterales</v>
      </c>
      <c r="AJ53" s="3" t="str">
        <f>IFERROR(__xludf.DUMMYFUNCTION("""COMPUTED_VALUE"""),"Taller Móvil - 1500 x 1500 x 1700")</f>
        <v>Taller Móvil - 1500 x 1500 x 1700</v>
      </c>
      <c r="AK53" s="3" t="str">
        <f>IFERROR(__xludf.DUMMYFUNCTION("""COMPUTED_VALUE"""),"Cajón Herramientas Standard Derecho")</f>
        <v>Cajón Herramientas Standard Derecho</v>
      </c>
      <c r="AL53" s="3" t="str">
        <f>IFERROR(__xludf.DUMMYFUNCTION("""COMPUTED_VALUE"""),"Cajón Herramientas Standard Izquierdo")</f>
        <v>Cajón Herramientas Standard Izquierdo</v>
      </c>
      <c r="AM53" s="3" t="str">
        <f>IFERROR(__xludf.DUMMYFUNCTION("""COMPUTED_VALUE"""),"Cajón Herramientas Corto Derecho")</f>
        <v>Cajón Herramientas Corto Derecho</v>
      </c>
      <c r="AN53" s="3" t="str">
        <f>IFERROR(__xludf.DUMMYFUNCTION("""COMPUTED_VALUE"""),"Cajón Herramientas Corto Izquierdo")</f>
        <v>Cajón Herramientas Corto Izquierdo</v>
      </c>
      <c r="AO53" s="3" t="str">
        <f>IFERROR(__xludf.DUMMYFUNCTION("""COMPUTED_VALUE"""),"Cajón Herramientas Mediano Derecho")</f>
        <v>Cajón Herramientas Mediano Derecho</v>
      </c>
      <c r="AP53" s="3" t="str">
        <f>IFERROR(__xludf.DUMMYFUNCTION("""COMPUTED_VALUE"""),"Cajón Herramientas Mediano Izquierdo")</f>
        <v>Cajón Herramientas Mediano Izquierdo</v>
      </c>
      <c r="AQ53" s="3" t="str">
        <f>IFERROR(__xludf.DUMMYFUNCTION("""COMPUTED_VALUE"""),"Chasis Acoplado 2 Ejes L3000")</f>
        <v>Chasis Acoplado 2 Ejes L3000</v>
      </c>
      <c r="AR53" s="3" t="str">
        <f>IFERROR(__xludf.DUMMYFUNCTION("""COMPUTED_VALUE"""),"Chasis Acoplado 2 Ejes L3750")</f>
        <v>Chasis Acoplado 2 Ejes L3750</v>
      </c>
      <c r="AS53" s="3" t="str">
        <f>IFERROR(__xludf.DUMMYFUNCTION("""COMPUTED_VALUE"""),"Chasis Acoplado 2 Ejes L4000")</f>
        <v>Chasis Acoplado 2 Ejes L4000</v>
      </c>
      <c r="AT53" s="3" t="str">
        <f>IFERROR(__xludf.DUMMYFUNCTION("""COMPUTED_VALUE"""),"Chasis Acoplado 2 Ejes L4000 Reforzado")</f>
        <v>Chasis Acoplado 2 Ejes L4000 Reforzado</v>
      </c>
      <c r="AU53" s="3" t="str">
        <f>IFERROR(__xludf.DUMMYFUNCTION("""COMPUTED_VALUE"""),"Chasis Acoplado 2 Ejes L4750")</f>
        <v>Chasis Acoplado 2 Ejes L4750</v>
      </c>
      <c r="AV53" s="3" t="str">
        <f>IFERROR(__xludf.DUMMYFUNCTION("""COMPUTED_VALUE"""),"Chasis Acoplado 2 Ejes L4750 Reforzado")</f>
        <v>Chasis Acoplado 2 Ejes L4750 Reforzado</v>
      </c>
      <c r="AW53" s="3" t="str">
        <f>IFERROR(__xludf.DUMMYFUNCTION("""COMPUTED_VALUE"""),"Chasis Acoplado 2 Ejes L4750 Reforzado R. Camion")</f>
        <v>Chasis Acoplado 2 Ejes L4750 Reforzado R. Camion</v>
      </c>
      <c r="AX53" s="3" t="str">
        <f>IFERROR(__xludf.DUMMYFUNCTION("""COMPUTED_VALUE"""),"Chasis Acoplado 2 Ejes L5000")</f>
        <v>Chasis Acoplado 2 Ejes L5000</v>
      </c>
      <c r="AY53" s="3" t="str">
        <f>IFERROR(__xludf.DUMMYFUNCTION("""COMPUTED_VALUE"""),"Chasis Acoplado 2 Ejes L5750")</f>
        <v>Chasis Acoplado 2 Ejes L5750</v>
      </c>
      <c r="AZ53" s="3" t="str">
        <f>IFERROR(__xludf.DUMMYFUNCTION("""COMPUTED_VALUE"""),"Chasis Acoplado 2 Ejes L6400")</f>
        <v>Chasis Acoplado 2 Ejes L6400</v>
      </c>
      <c r="BA53" s="3" t="str">
        <f>IFERROR(__xludf.DUMMYFUNCTION("""COMPUTED_VALUE"""),"Chasis Acoplado 2 Ejes L4500")</f>
        <v>Chasis Acoplado 2 Ejes L4500</v>
      </c>
      <c r="BB53" s="3" t="str">
        <f>IFERROR(__xludf.DUMMYFUNCTION("""COMPUTED_VALUE"""),"Chasis Acoplado 1 Eje L1500")</f>
        <v>Chasis Acoplado 1 Eje L1500</v>
      </c>
      <c r="BC53" s="3" t="str">
        <f>IFERROR(__xludf.DUMMYFUNCTION("""COMPUTED_VALUE"""),"Chasis Acoplado 1 Eje L1800")</f>
        <v>Chasis Acoplado 1 Eje L1800</v>
      </c>
      <c r="BD53" s="3" t="str">
        <f>IFERROR(__xludf.DUMMYFUNCTION("""COMPUTED_VALUE"""),"Chasis Acoplado 1 Eje L1400")</f>
        <v>Chasis Acoplado 1 Eje L1400</v>
      </c>
      <c r="BE53" s="3" t="str">
        <f>IFERROR(__xludf.DUMMYFUNCTION("""COMPUTED_VALUE"""),"Chasis Acoplado Balancin L3000")</f>
        <v>Chasis Acoplado Balancin L3000</v>
      </c>
      <c r="BF53" s="3" t="str">
        <f>IFERROR(__xludf.DUMMYFUNCTION("""COMPUTED_VALUE"""),"Chasis Acoplado Balancin L3000 Lanza Corta")</f>
        <v>Chasis Acoplado Balancin L3000 Lanza Corta</v>
      </c>
      <c r="BG53" s="3" t="str">
        <f>IFERROR(__xludf.DUMMYFUNCTION("""COMPUTED_VALUE"""),"Chasis Acoplado Balancin L2000 Lanza Corta")</f>
        <v>Chasis Acoplado Balancin L2000 Lanza Corta</v>
      </c>
      <c r="BH53" s="3" t="str">
        <f>IFERROR(__xludf.DUMMYFUNCTION("""COMPUTED_VALUE"""),"Chasis Acoplado Balancin L3200 Lanza Corta")</f>
        <v>Chasis Acoplado Balancin L3200 Lanza Corta</v>
      </c>
      <c r="BI53" s="3" t="str">
        <f>IFERROR(__xludf.DUMMYFUNCTION("""COMPUTED_VALUE"""),"Chasis Acoplado Balancin L3200 Lanza Recta")</f>
        <v>Chasis Acoplado Balancin L3200 Lanza Recta</v>
      </c>
      <c r="BJ53" s="3" t="str">
        <f>IFERROR(__xludf.DUMMYFUNCTION("""COMPUTED_VALUE"""),"Chasis Acoplado Balancin L3200 Bajo Lanza Recta")</f>
        <v>Chasis Acoplado Balancin L3200 Bajo Lanza Recta</v>
      </c>
      <c r="BK53" s="3" t="str">
        <f>IFERROR(__xludf.DUMMYFUNCTION("""COMPUTED_VALUE"""),"Tanque Plastico Horizontal 750 Lts")</f>
        <v>Tanque Plastico Horizontal 750 Lts</v>
      </c>
      <c r="BL53" s="3" t="str">
        <f>IFERROR(__xludf.DUMMYFUNCTION("""COMPUTED_VALUE"""),"Medio Tanque Plastico Superior 700 Lts")</f>
        <v>Medio Tanque Plastico Superior 700 Lts</v>
      </c>
      <c r="BM53" s="3" t="str">
        <f>IFERROR(__xludf.DUMMYFUNCTION("""COMPUTED_VALUE"""),"Paquete de Elasticos 50 mm x 8 mm x 10 Hojas L850")</f>
        <v>Paquete de Elasticos 50 mm x 8 mm x 10 Hojas L850</v>
      </c>
      <c r="BN53" s="3" t="str">
        <f>IFERROR(__xludf.DUMMYFUNCTION("""COMPUTED_VALUE"""),"Paquete de Elasticos 63 mm x 8 mm x 10 Hojas L950")</f>
        <v>Paquete de Elasticos 63 mm x 8 mm x 10 Hojas L950</v>
      </c>
      <c r="BO53" s="3" t="str">
        <f>IFERROR(__xludf.DUMMYFUNCTION("""COMPUTED_VALUE"""),"Paquete de Elasticos 50 mm x 7 mm x 9 Hojas L850")</f>
        <v>Paquete de Elasticos 50 mm x 7 mm x 9 Hojas L850</v>
      </c>
      <c r="BP53" s="3" t="str">
        <f>IFERROR(__xludf.DUMMYFUNCTION("""COMPUTED_VALUE"""),"Paquete de Elasticos 63 mm x 8 mm x 8 Hojas L850")</f>
        <v>Paquete de Elasticos 63 mm x 8 mm x 8 Hojas L850</v>
      </c>
      <c r="BQ53" s="3" t="str">
        <f>IFERROR(__xludf.DUMMYFUNCTION("""COMPUTED_VALUE"""),"Paquete de Elasticos 63 mm x 10 mm x 10 Hojas L950")</f>
        <v>Paquete de Elasticos 63 mm x 10 mm x 10 Hojas L950</v>
      </c>
      <c r="BR53" s="3" t="str">
        <f>IFERROR(__xludf.DUMMYFUNCTION("""COMPUTED_VALUE"""),"Paquete de Elasticos 63 mm x 10 mm x 13 Hojas L975")</f>
        <v>Paquete de Elasticos 63 mm x 10 mm x 13 Hojas L975</v>
      </c>
      <c r="BS53" s="3" t="str">
        <f>IFERROR(__xludf.DUMMYFUNCTION("""COMPUTED_VALUE"""),"Paquete de Elasticos 50 mm x 7 mm x 9 Hojas L650")</f>
        <v>Paquete de Elasticos 50 mm x 7 mm x 9 Hojas L650</v>
      </c>
      <c r="BT53" s="3" t="str">
        <f>IFERROR(__xludf.DUMMYFUNCTION("""COMPUTED_VALUE"""),"Eje Acoplado 2"" x 1600 (06/08) Agrícola Centro 92")</f>
        <v>Eje Acoplado 2" x 1600 (06/08) Agrícola Centro 92</v>
      </c>
      <c r="BU53" s="3" t="str">
        <f>IFERROR(__xludf.DUMMYFUNCTION("""COMPUTED_VALUE"""),"Eje Acoplado 2 1/2"" x 1600 (07/09) Agrícola Centro 92")</f>
        <v>Eje Acoplado 2 1/2" x 1600 (07/09) Agrícola Centro 92</v>
      </c>
      <c r="BV53" s="3" t="str">
        <f>IFERROR(__xludf.DUMMYFUNCTION("""COMPUTED_VALUE"""),"Eje Acoplado 2 1/2"" x 1600 (09/11) Agrícola Centro 150")</f>
        <v>Eje Acoplado 2 1/2" x 1600 (09/11) Agrícola Centro 150</v>
      </c>
      <c r="BW53" s="3" t="str">
        <f>IFERROR(__xludf.DUMMYFUNCTION("""COMPUTED_VALUE"""),"Eje Acoplado 3"" x 1600 (10/13) Agrícola Centro 150")</f>
        <v>Eje Acoplado 3" x 1600 (10/13) Agrícola Centro 150</v>
      </c>
      <c r="BX53" s="3" t="str">
        <f>IFERROR(__xludf.DUMMYFUNCTION("""COMPUTED_VALUE"""),"Eje Acoplado 2 1/2"" x 2140 (07/09) Agrícola Centro 92")</f>
        <v>Eje Acoplado 2 1/2" x 2140 (07/09) Agrícola Centro 92</v>
      </c>
      <c r="BY53" s="3" t="str">
        <f>IFERROR(__xludf.DUMMYFUNCTION("""COMPUTED_VALUE"""),"Eje Acoplado 2"" x 1400 (06/08) Agrícola Centro 92")</f>
        <v>Eje Acoplado 2" x 1400 (06/08) Agrícola Centro 92</v>
      </c>
      <c r="BZ53" s="3" t="str">
        <f>IFERROR(__xludf.DUMMYFUNCTION("""COMPUTED_VALUE"""),"Eje Acoplado 2 1/2"" x 1500 (07/09) Agrícola Centro 92")</f>
        <v>Eje Acoplado 2 1/2" x 1500 (07/09) Agrícola Centro 92</v>
      </c>
      <c r="CA53" s="3" t="str">
        <f>IFERROR(__xludf.DUMMYFUNCTION("""COMPUTED_VALUE"""),"Eje Acoplado 2 1/2"" x 2000 (07/09) Agrícola Centro 92")</f>
        <v>Eje Acoplado 2 1/2" x 2000 (07/09) Agrícola Centro 92</v>
      </c>
      <c r="CB53" s="3" t="str">
        <f>IFERROR(__xludf.DUMMYFUNCTION("""COMPUTED_VALUE"""),"Eje Acoplado 2 1/2"" x 2100 (09/11) Agrícola Centro 150")</f>
        <v>Eje Acoplado 2 1/2" x 2100 (09/11) Agrícola Centro 150</v>
      </c>
      <c r="CC53" s="3" t="str">
        <f>IFERROR(__xludf.DUMMYFUNCTION("""COMPUTED_VALUE"""),"Llanta 16"" Simple Agrícola Centro 92")</f>
        <v>Llanta 16" Simple Agrícola Centro 92</v>
      </c>
      <c r="CD53" s="3" t="str">
        <f>IFERROR(__xludf.DUMMYFUNCTION("""COMPUTED_VALUE"""),"Llanta 16"" Dual Agrícola Centro 92")</f>
        <v>Llanta 16" Dual Agrícola Centro 92</v>
      </c>
      <c r="CE53" s="3" t="str">
        <f>IFERROR(__xludf.DUMMYFUNCTION("""COMPUTED_VALUE"""),"Llanta 17"" Simple Agrícola Centro 92")</f>
        <v>Llanta 17" Simple Agrícola Centro 92</v>
      </c>
      <c r="CF53" s="3" t="str">
        <f>IFERROR(__xludf.DUMMYFUNCTION("""COMPUTED_VALUE"""),"Llanta 17"" Dual Agrícola Centro 92")</f>
        <v>Llanta 17" Dual Agrícola Centro 92</v>
      </c>
      <c r="CG53" s="3" t="str">
        <f>IFERROR(__xludf.DUMMYFUNCTION("""COMPUTED_VALUE"""),"Llanta 16"" Dual Agrícola Centro 152")</f>
        <v>Llanta 16" Dual Agrícola Centro 152</v>
      </c>
      <c r="CH53" s="3" t="str">
        <f>IFERROR(__xludf.DUMMYFUNCTION("""COMPUTED_VALUE"""),"Llanta 17"" Dual Agrícola Centro 152")</f>
        <v>Llanta 17" Dual Agrícola Centro 152</v>
      </c>
      <c r="CI53" s="3" t="str">
        <f>IFERROR(__xludf.DUMMYFUNCTION("""COMPUTED_VALUE"""),"Eje Acoplado 2"" x 1600 (05/07) Agrícola Centro 92")</f>
        <v>Eje Acoplado 2" x 1600 (05/07) Agrícola Centro 92</v>
      </c>
      <c r="CJ53" s="3" t="str">
        <f>IFERROR(__xludf.DUMMYFUNCTION("""COMPUTED_VALUE"""),"Paquete de Elásticos 50 mm x 8 mm x 12 Hojas")</f>
        <v>Paquete de Elásticos 50 mm x 8 mm x 12 Hojas</v>
      </c>
      <c r="CK53" s="3" t="str">
        <f>IFERROR(__xludf.DUMMYFUNCTION("""COMPUTED_VALUE"""),"Plataforma Playo 4.00 x 1.90 x 0.45 Lateral Simple Baranda Fija")</f>
        <v>Plataforma Playo 4.00 x 1.90 x 0.45 Lateral Simple Baranda Fija</v>
      </c>
      <c r="CL53" s="3" t="str">
        <f>IFERROR(__xludf.DUMMYFUNCTION("""COMPUTED_VALUE"""),"Plataforma Playo 4.00 x 1.90 x 0.45 Lateral Simple Baranda Ventilada")</f>
        <v>Plataforma Playo 4.00 x 1.90 x 0.45 Lateral Simple Baranda Ventilada</v>
      </c>
      <c r="CM53" s="3" t="str">
        <f>IFERROR(__xludf.DUMMYFUNCTION("""COMPUTED_VALUE"""),"Plataforma Playo 4.00 x 1.90 x 0.45 Lateral Doble Baranda Ventilada")</f>
        <v>Plataforma Playo 4.00 x 1.90 x 0.45 Lateral Doble Baranda Ventilada</v>
      </c>
      <c r="CN53" s="3" t="str">
        <f>IFERROR(__xludf.DUMMYFUNCTION("""COMPUTED_VALUE"""),"Plataforma Playo 4.00 x 1.90 x 0.45 Lateral Doble Baranda Fija")</f>
        <v>Plataforma Playo 4.00 x 1.90 x 0.45 Lateral Doble Baranda Fija</v>
      </c>
      <c r="CO53" s="3" t="str">
        <f>IFERROR(__xludf.DUMMYFUNCTION("""COMPUTED_VALUE"""),"Plataforma Playo 4.00 x 1.90 x 0.72 Lateral Simple Baranda Fija")</f>
        <v>Plataforma Playo 4.00 x 1.90 x 0.72 Lateral Simple Baranda Fija</v>
      </c>
      <c r="CP53" s="3" t="str">
        <f>IFERROR(__xludf.DUMMYFUNCTION("""COMPUTED_VALUE"""),"Plataforma Playo 4.00 x 1.90 x 0.72 Lateral Doble Baranda Fija")</f>
        <v>Plataforma Playo 4.00 x 1.90 x 0.72 Lateral Doble Baranda Fija</v>
      </c>
      <c r="CQ53" s="3" t="str">
        <f>IFERROR(__xludf.DUMMYFUNCTION("""COMPUTED_VALUE"""),"Plataforma Playo 5.00 x 2.20 x 0.60 Lateral Doble Trasera Rebatible")</f>
        <v>Plataforma Playo 5.00 x 2.20 x 0.60 Lateral Doble Trasera Rebatible</v>
      </c>
      <c r="CR53" s="3" t="str">
        <f>IFERROR(__xludf.DUMMYFUNCTION("""COMPUTED_VALUE"""),"Plataforma Playo 5.00 x 2.20 x 0.60 Lateral Doble Baranda Fija C/Toldo")</f>
        <v>Plataforma Playo 5.00 x 2.20 x 0.60 Lateral Doble Baranda Fija C/Toldo</v>
      </c>
      <c r="CS53" s="3" t="str">
        <f>IFERROR(__xludf.DUMMYFUNCTION("""COMPUTED_VALUE"""),"Plataforma Playo 3.00 x 1.90 x 0.45 Lateral Simple Baranda Fija")</f>
        <v>Plataforma Playo 3.00 x 1.90 x 0.45 Lateral Simple Baranda Fija</v>
      </c>
      <c r="CT53" s="3" t="str">
        <f>IFERROR(__xludf.DUMMYFUNCTION("""COMPUTED_VALUE"""),"Plataforma Playo 3.00 x 1.90 x 0.45 Lateral Simple Baranda Ventilada")</f>
        <v>Plataforma Playo 3.00 x 1.90 x 0.45 Lateral Simple Baranda Ventilada</v>
      </c>
      <c r="CU53" s="3" t="str">
        <f>IFERROR(__xludf.DUMMYFUNCTION("""COMPUTED_VALUE"""),"Plataforma Playo 2.00 x 1.90 x 0.45 Lateral Simple Baranda Fija")</f>
        <v>Plataforma Playo 2.00 x 1.90 x 0.45 Lateral Simple Baranda Fija</v>
      </c>
      <c r="CV53" s="3" t="str">
        <f>IFERROR(__xludf.DUMMYFUNCTION("""COMPUTED_VALUE"""),"Plataforma Playo 5.00 x 1.90 x 0.60 Lateral Doble Baranda Fija")</f>
        <v>Plataforma Playo 5.00 x 1.90 x 0.60 Lateral Doble Baranda Fija</v>
      </c>
      <c r="CW53" s="3" t="str">
        <f>IFERROR(__xludf.DUMMYFUNCTION("""COMPUTED_VALUE"""),"Plataforma Playo 6.40 x 2.70 x 0.72 Lateral Doble Baranda Fija")</f>
        <v>Plataforma Playo 6.40 x 2.70 x 0.72 Lateral Doble Baranda Fija</v>
      </c>
      <c r="CX53" s="3" t="str">
        <f>IFERROR(__xludf.DUMMYFUNCTION("""COMPUTED_VALUE"""),"Chasis Acoplado Balancin L4000 Lanza Recta")</f>
        <v>Chasis Acoplado Balancin L4000 Lanza Recta</v>
      </c>
      <c r="CY53" s="3" t="str">
        <f>IFERROR(__xludf.DUMMYFUNCTION("""COMPUTED_VALUE"""),"Llanta simple Agrícola 750x20 centro 152")</f>
        <v>Llanta simple Agrícola 750x20 centro 152</v>
      </c>
      <c r="CZ53" s="3" t="str">
        <f>IFERROR(__xludf.DUMMYFUNCTION("""COMPUTED_VALUE"""),"Cajón de Herramientas Mediano adelante")</f>
        <v>Cajón de Herramientas Mediano adelante</v>
      </c>
      <c r="DA53" s="3" t="str">
        <f>IFERROR(__xludf.DUMMYFUNCTION("""COMPUTED_VALUE"""),"Llanta 15"" Simple Agrícola Centro 92")</f>
        <v>Llanta 15" Simple Agrícola Centro 92</v>
      </c>
    </row>
    <row r="54" hidden="1">
      <c r="A54" s="38">
        <f t="shared" si="1"/>
        <v>53</v>
      </c>
      <c r="B54" s="38">
        <f>IF(F54="","",SUMIF(Prearmados!E:E,F54,Prearmados!A:A))</f>
        <v>8</v>
      </c>
      <c r="C54" s="38">
        <f>IF(F54="","",SUMIF(Productos!E:E,G54,Productos!A:A))</f>
        <v>94</v>
      </c>
      <c r="D54" s="83" t="str">
        <f t="array" ref="D54">IF(OR(F54="",F54="Seleccionar.."),"",XLOOKUP(F54,Prearmados!E:E,Prearmados!F:F,"",0,1))</f>
        <v>Acoplados Rurales</v>
      </c>
      <c r="E54" s="83">
        <f>IF(H54="","",SUMIF(Precio_Productos!K:K,C54,Precio_Productos!J:J)*H54)</f>
        <v>540764</v>
      </c>
      <c r="F54" s="84" t="s">
        <v>331</v>
      </c>
      <c r="G54" s="84" t="s">
        <v>121</v>
      </c>
      <c r="H54" s="13">
        <v>4.0</v>
      </c>
      <c r="P54" s="3" t="str">
        <f>IFERROR(__xludf.DUMMYFUNCTION("IF(OR(F54="""",F54=""Seleccionar..""),"""",TRANSPOSE(FILTER(Productos!E:E,(Productos!F:F=D54)+(Productos!F:F=XLOOKUP(D54,Implementos!B:B,Implementos!C:C,""-"",0,1)))))"),"Tanque Combustible 1100 lts Bajo")</f>
        <v>Tanque Combustible 1100 lts Bajo</v>
      </c>
      <c r="Q54" s="3" t="str">
        <f>IFERROR(__xludf.DUMMYFUNCTION("""COMPUTED_VALUE"""),"Tanque Combustible 1500 lts Standard")</f>
        <v>Tanque Combustible 1500 lts Standard</v>
      </c>
      <c r="R54" s="3" t="str">
        <f>IFERROR(__xludf.DUMMYFUNCTION("""COMPUTED_VALUE"""),"Tanque Combustible 1800 lts Standard")</f>
        <v>Tanque Combustible 1800 lts Standard</v>
      </c>
      <c r="S54" s="3" t="str">
        <f>IFERROR(__xludf.DUMMYFUNCTION("""COMPUTED_VALUE"""),"Tanque Combustible 2000 lts Bajo")</f>
        <v>Tanque Combustible 2000 lts Bajo</v>
      </c>
      <c r="T54" s="3" t="str">
        <f>IFERROR(__xludf.DUMMYFUNCTION("""COMPUTED_VALUE"""),"Tanque Combustible 2000 lts Standard")</f>
        <v>Tanque Combustible 2000 lts Standard</v>
      </c>
      <c r="U54" s="3" t="str">
        <f>IFERROR(__xludf.DUMMYFUNCTION("""COMPUTED_VALUE"""),"Tanque Combustible 3000 lts Standard")</f>
        <v>Tanque Combustible 3000 lts Standard</v>
      </c>
      <c r="V54" s="3" t="str">
        <f>IFERROR(__xludf.DUMMYFUNCTION("""COMPUTED_VALUE"""),"Tanque Combustible 3000 lts Alto")</f>
        <v>Tanque Combustible 3000 lts Alto</v>
      </c>
      <c r="W54" s="3" t="str">
        <f>IFERROR(__xludf.DUMMYFUNCTION("""COMPUTED_VALUE"""),"Tanque Combustible 4000 lts Standard")</f>
        <v>Tanque Combustible 4000 lts Standard</v>
      </c>
      <c r="X54" s="3" t="str">
        <f>IFERROR(__xludf.DUMMYFUNCTION("""COMPUTED_VALUE"""),"Tanque Combustible 5000 lts Standard")</f>
        <v>Tanque Combustible 5000 lts Standard</v>
      </c>
      <c r="Y54" s="3" t="str">
        <f>IFERROR(__xludf.DUMMYFUNCTION("""COMPUTED_VALUE"""),"Tanque Combustible 5000 lts Alto")</f>
        <v>Tanque Combustible 5000 lts Alto</v>
      </c>
      <c r="Z54" s="3" t="str">
        <f>IFERROR(__xludf.DUMMYFUNCTION("""COMPUTED_VALUE"""),"Tanque Combustible 2000 lts Alto")</f>
        <v>Tanque Combustible 2000 lts Alto</v>
      </c>
      <c r="AA54" s="3" t="str">
        <f>IFERROR(__xludf.DUMMYFUNCTION("""COMPUTED_VALUE"""),"Tanque Combustible 4000 lts Alto")</f>
        <v>Tanque Combustible 4000 lts Alto</v>
      </c>
      <c r="AB54" s="3" t="str">
        <f>IFERROR(__xludf.DUMMYFUNCTION("""COMPUTED_VALUE"""),"Baulera Standard - 750")</f>
        <v>Baulera Standard - 750</v>
      </c>
      <c r="AC54" s="3" t="str">
        <f>IFERROR(__xludf.DUMMYFUNCTION("""COMPUTED_VALUE"""),"Baulera Standard - 1700 - C/Laterales")</f>
        <v>Baulera Standard - 1700 - C/Laterales</v>
      </c>
      <c r="AD54" s="3" t="str">
        <f>IFERROR(__xludf.DUMMYFUNCTION("""COMPUTED_VALUE"""),"Baulera Standard - 1000 - C/Laterales")</f>
        <v>Baulera Standard - 1000 - C/Laterales</v>
      </c>
      <c r="AE54" s="3" t="str">
        <f>IFERROR(__xludf.DUMMYFUNCTION("""COMPUTED_VALUE"""),"Baulera Standard - 750 - C/Laterales")</f>
        <v>Baulera Standard - 750 - C/Laterales</v>
      </c>
      <c r="AF54" s="3" t="str">
        <f>IFERROR(__xludf.DUMMYFUNCTION("""COMPUTED_VALUE"""),"Baulera Standard - 1300 - C/Laterales")</f>
        <v>Baulera Standard - 1300 - C/Laterales</v>
      </c>
      <c r="AG54" s="3" t="str">
        <f>IFERROR(__xludf.DUMMYFUNCTION("""COMPUTED_VALUE"""),"Baulera Alta - 750")</f>
        <v>Baulera Alta - 750</v>
      </c>
      <c r="AH54" s="3" t="str">
        <f>IFERROR(__xludf.DUMMYFUNCTION("""COMPUTED_VALUE"""),"Baulera Alta - 1500 - C/Laterales")</f>
        <v>Baulera Alta - 1500 - C/Laterales</v>
      </c>
      <c r="AI54" s="3" t="str">
        <f>IFERROR(__xludf.DUMMYFUNCTION("""COMPUTED_VALUE"""),"Baulera Extendida 1700 - C/Laterales")</f>
        <v>Baulera Extendida 1700 - C/Laterales</v>
      </c>
      <c r="AJ54" s="3" t="str">
        <f>IFERROR(__xludf.DUMMYFUNCTION("""COMPUTED_VALUE"""),"Taller Móvil - 1500 x 1500 x 1700")</f>
        <v>Taller Móvil - 1500 x 1500 x 1700</v>
      </c>
      <c r="AK54" s="3" t="str">
        <f>IFERROR(__xludf.DUMMYFUNCTION("""COMPUTED_VALUE"""),"Cajón Herramientas Standard Derecho")</f>
        <v>Cajón Herramientas Standard Derecho</v>
      </c>
      <c r="AL54" s="3" t="str">
        <f>IFERROR(__xludf.DUMMYFUNCTION("""COMPUTED_VALUE"""),"Cajón Herramientas Standard Izquierdo")</f>
        <v>Cajón Herramientas Standard Izquierdo</v>
      </c>
      <c r="AM54" s="3" t="str">
        <f>IFERROR(__xludf.DUMMYFUNCTION("""COMPUTED_VALUE"""),"Cajón Herramientas Corto Derecho")</f>
        <v>Cajón Herramientas Corto Derecho</v>
      </c>
      <c r="AN54" s="3" t="str">
        <f>IFERROR(__xludf.DUMMYFUNCTION("""COMPUTED_VALUE"""),"Cajón Herramientas Corto Izquierdo")</f>
        <v>Cajón Herramientas Corto Izquierdo</v>
      </c>
      <c r="AO54" s="3" t="str">
        <f>IFERROR(__xludf.DUMMYFUNCTION("""COMPUTED_VALUE"""),"Cajón Herramientas Mediano Derecho")</f>
        <v>Cajón Herramientas Mediano Derecho</v>
      </c>
      <c r="AP54" s="3" t="str">
        <f>IFERROR(__xludf.DUMMYFUNCTION("""COMPUTED_VALUE"""),"Cajón Herramientas Mediano Izquierdo")</f>
        <v>Cajón Herramientas Mediano Izquierdo</v>
      </c>
      <c r="AQ54" s="3" t="str">
        <f>IFERROR(__xludf.DUMMYFUNCTION("""COMPUTED_VALUE"""),"Chasis Acoplado 2 Ejes L3000")</f>
        <v>Chasis Acoplado 2 Ejes L3000</v>
      </c>
      <c r="AR54" s="3" t="str">
        <f>IFERROR(__xludf.DUMMYFUNCTION("""COMPUTED_VALUE"""),"Chasis Acoplado 2 Ejes L3750")</f>
        <v>Chasis Acoplado 2 Ejes L3750</v>
      </c>
      <c r="AS54" s="3" t="str">
        <f>IFERROR(__xludf.DUMMYFUNCTION("""COMPUTED_VALUE"""),"Chasis Acoplado 2 Ejes L4000")</f>
        <v>Chasis Acoplado 2 Ejes L4000</v>
      </c>
      <c r="AT54" s="3" t="str">
        <f>IFERROR(__xludf.DUMMYFUNCTION("""COMPUTED_VALUE"""),"Chasis Acoplado 2 Ejes L4000 Reforzado")</f>
        <v>Chasis Acoplado 2 Ejes L4000 Reforzado</v>
      </c>
      <c r="AU54" s="3" t="str">
        <f>IFERROR(__xludf.DUMMYFUNCTION("""COMPUTED_VALUE"""),"Chasis Acoplado 2 Ejes L4750")</f>
        <v>Chasis Acoplado 2 Ejes L4750</v>
      </c>
      <c r="AV54" s="3" t="str">
        <f>IFERROR(__xludf.DUMMYFUNCTION("""COMPUTED_VALUE"""),"Chasis Acoplado 2 Ejes L4750 Reforzado")</f>
        <v>Chasis Acoplado 2 Ejes L4750 Reforzado</v>
      </c>
      <c r="AW54" s="3" t="str">
        <f>IFERROR(__xludf.DUMMYFUNCTION("""COMPUTED_VALUE"""),"Chasis Acoplado 2 Ejes L4750 Reforzado R. Camion")</f>
        <v>Chasis Acoplado 2 Ejes L4750 Reforzado R. Camion</v>
      </c>
      <c r="AX54" s="3" t="str">
        <f>IFERROR(__xludf.DUMMYFUNCTION("""COMPUTED_VALUE"""),"Chasis Acoplado 2 Ejes L5000")</f>
        <v>Chasis Acoplado 2 Ejes L5000</v>
      </c>
      <c r="AY54" s="3" t="str">
        <f>IFERROR(__xludf.DUMMYFUNCTION("""COMPUTED_VALUE"""),"Chasis Acoplado 2 Ejes L5750")</f>
        <v>Chasis Acoplado 2 Ejes L5750</v>
      </c>
      <c r="AZ54" s="3" t="str">
        <f>IFERROR(__xludf.DUMMYFUNCTION("""COMPUTED_VALUE"""),"Chasis Acoplado 2 Ejes L6400")</f>
        <v>Chasis Acoplado 2 Ejes L6400</v>
      </c>
      <c r="BA54" s="3" t="str">
        <f>IFERROR(__xludf.DUMMYFUNCTION("""COMPUTED_VALUE"""),"Chasis Acoplado 2 Ejes L4500")</f>
        <v>Chasis Acoplado 2 Ejes L4500</v>
      </c>
      <c r="BB54" s="3" t="str">
        <f>IFERROR(__xludf.DUMMYFUNCTION("""COMPUTED_VALUE"""),"Chasis Acoplado 1 Eje L1500")</f>
        <v>Chasis Acoplado 1 Eje L1500</v>
      </c>
      <c r="BC54" s="3" t="str">
        <f>IFERROR(__xludf.DUMMYFUNCTION("""COMPUTED_VALUE"""),"Chasis Acoplado 1 Eje L1800")</f>
        <v>Chasis Acoplado 1 Eje L1800</v>
      </c>
      <c r="BD54" s="3" t="str">
        <f>IFERROR(__xludf.DUMMYFUNCTION("""COMPUTED_VALUE"""),"Chasis Acoplado 1 Eje L1400")</f>
        <v>Chasis Acoplado 1 Eje L1400</v>
      </c>
      <c r="BE54" s="3" t="str">
        <f>IFERROR(__xludf.DUMMYFUNCTION("""COMPUTED_VALUE"""),"Chasis Acoplado Balancin L3000")</f>
        <v>Chasis Acoplado Balancin L3000</v>
      </c>
      <c r="BF54" s="3" t="str">
        <f>IFERROR(__xludf.DUMMYFUNCTION("""COMPUTED_VALUE"""),"Chasis Acoplado Balancin L3000 Lanza Corta")</f>
        <v>Chasis Acoplado Balancin L3000 Lanza Corta</v>
      </c>
      <c r="BG54" s="3" t="str">
        <f>IFERROR(__xludf.DUMMYFUNCTION("""COMPUTED_VALUE"""),"Chasis Acoplado Balancin L2000 Lanza Corta")</f>
        <v>Chasis Acoplado Balancin L2000 Lanza Corta</v>
      </c>
      <c r="BH54" s="3" t="str">
        <f>IFERROR(__xludf.DUMMYFUNCTION("""COMPUTED_VALUE"""),"Chasis Acoplado Balancin L3200 Lanza Corta")</f>
        <v>Chasis Acoplado Balancin L3200 Lanza Corta</v>
      </c>
      <c r="BI54" s="3" t="str">
        <f>IFERROR(__xludf.DUMMYFUNCTION("""COMPUTED_VALUE"""),"Chasis Acoplado Balancin L3200 Lanza Recta")</f>
        <v>Chasis Acoplado Balancin L3200 Lanza Recta</v>
      </c>
      <c r="BJ54" s="3" t="str">
        <f>IFERROR(__xludf.DUMMYFUNCTION("""COMPUTED_VALUE"""),"Chasis Acoplado Balancin L3200 Bajo Lanza Recta")</f>
        <v>Chasis Acoplado Balancin L3200 Bajo Lanza Recta</v>
      </c>
      <c r="BK54" s="3" t="str">
        <f>IFERROR(__xludf.DUMMYFUNCTION("""COMPUTED_VALUE"""),"Tanque Plastico Horizontal 750 Lts")</f>
        <v>Tanque Plastico Horizontal 750 Lts</v>
      </c>
      <c r="BL54" s="3" t="str">
        <f>IFERROR(__xludf.DUMMYFUNCTION("""COMPUTED_VALUE"""),"Medio Tanque Plastico Superior 700 Lts")</f>
        <v>Medio Tanque Plastico Superior 700 Lts</v>
      </c>
      <c r="BM54" s="3" t="str">
        <f>IFERROR(__xludf.DUMMYFUNCTION("""COMPUTED_VALUE"""),"Paquete de Elasticos 50 mm x 8 mm x 10 Hojas L850")</f>
        <v>Paquete de Elasticos 50 mm x 8 mm x 10 Hojas L850</v>
      </c>
      <c r="BN54" s="3" t="str">
        <f>IFERROR(__xludf.DUMMYFUNCTION("""COMPUTED_VALUE"""),"Paquete de Elasticos 63 mm x 8 mm x 10 Hojas L950")</f>
        <v>Paquete de Elasticos 63 mm x 8 mm x 10 Hojas L950</v>
      </c>
      <c r="BO54" s="3" t="str">
        <f>IFERROR(__xludf.DUMMYFUNCTION("""COMPUTED_VALUE"""),"Paquete de Elasticos 50 mm x 7 mm x 9 Hojas L850")</f>
        <v>Paquete de Elasticos 50 mm x 7 mm x 9 Hojas L850</v>
      </c>
      <c r="BP54" s="3" t="str">
        <f>IFERROR(__xludf.DUMMYFUNCTION("""COMPUTED_VALUE"""),"Paquete de Elasticos 63 mm x 8 mm x 8 Hojas L850")</f>
        <v>Paquete de Elasticos 63 mm x 8 mm x 8 Hojas L850</v>
      </c>
      <c r="BQ54" s="3" t="str">
        <f>IFERROR(__xludf.DUMMYFUNCTION("""COMPUTED_VALUE"""),"Paquete de Elasticos 63 mm x 10 mm x 10 Hojas L950")</f>
        <v>Paquete de Elasticos 63 mm x 10 mm x 10 Hojas L950</v>
      </c>
      <c r="BR54" s="3" t="str">
        <f>IFERROR(__xludf.DUMMYFUNCTION("""COMPUTED_VALUE"""),"Paquete de Elasticos 63 mm x 10 mm x 13 Hojas L975")</f>
        <v>Paquete de Elasticos 63 mm x 10 mm x 13 Hojas L975</v>
      </c>
      <c r="BS54" s="3" t="str">
        <f>IFERROR(__xludf.DUMMYFUNCTION("""COMPUTED_VALUE"""),"Paquete de Elasticos 50 mm x 7 mm x 9 Hojas L650")</f>
        <v>Paquete de Elasticos 50 mm x 7 mm x 9 Hojas L650</v>
      </c>
      <c r="BT54" s="3" t="str">
        <f>IFERROR(__xludf.DUMMYFUNCTION("""COMPUTED_VALUE"""),"Eje Acoplado 2"" x 1600 (06/08) Agrícola Centro 92")</f>
        <v>Eje Acoplado 2" x 1600 (06/08) Agrícola Centro 92</v>
      </c>
      <c r="BU54" s="3" t="str">
        <f>IFERROR(__xludf.DUMMYFUNCTION("""COMPUTED_VALUE"""),"Eje Acoplado 2 1/2"" x 1600 (07/09) Agrícola Centro 92")</f>
        <v>Eje Acoplado 2 1/2" x 1600 (07/09) Agrícola Centro 92</v>
      </c>
      <c r="BV54" s="3" t="str">
        <f>IFERROR(__xludf.DUMMYFUNCTION("""COMPUTED_VALUE"""),"Eje Acoplado 2 1/2"" x 1600 (09/11) Agrícola Centro 150")</f>
        <v>Eje Acoplado 2 1/2" x 1600 (09/11) Agrícola Centro 150</v>
      </c>
      <c r="BW54" s="3" t="str">
        <f>IFERROR(__xludf.DUMMYFUNCTION("""COMPUTED_VALUE"""),"Eje Acoplado 3"" x 1600 (10/13) Agrícola Centro 150")</f>
        <v>Eje Acoplado 3" x 1600 (10/13) Agrícola Centro 150</v>
      </c>
      <c r="BX54" s="3" t="str">
        <f>IFERROR(__xludf.DUMMYFUNCTION("""COMPUTED_VALUE"""),"Eje Acoplado 2 1/2"" x 2140 (07/09) Agrícola Centro 92")</f>
        <v>Eje Acoplado 2 1/2" x 2140 (07/09) Agrícola Centro 92</v>
      </c>
      <c r="BY54" s="3" t="str">
        <f>IFERROR(__xludf.DUMMYFUNCTION("""COMPUTED_VALUE"""),"Eje Acoplado 2"" x 1400 (06/08) Agrícola Centro 92")</f>
        <v>Eje Acoplado 2" x 1400 (06/08) Agrícola Centro 92</v>
      </c>
      <c r="BZ54" s="3" t="str">
        <f>IFERROR(__xludf.DUMMYFUNCTION("""COMPUTED_VALUE"""),"Eje Acoplado 2 1/2"" x 1500 (07/09) Agrícola Centro 92")</f>
        <v>Eje Acoplado 2 1/2" x 1500 (07/09) Agrícola Centro 92</v>
      </c>
      <c r="CA54" s="3" t="str">
        <f>IFERROR(__xludf.DUMMYFUNCTION("""COMPUTED_VALUE"""),"Eje Acoplado 2 1/2"" x 2000 (07/09) Agrícola Centro 92")</f>
        <v>Eje Acoplado 2 1/2" x 2000 (07/09) Agrícola Centro 92</v>
      </c>
      <c r="CB54" s="3" t="str">
        <f>IFERROR(__xludf.DUMMYFUNCTION("""COMPUTED_VALUE"""),"Eje Acoplado 2 1/2"" x 2100 (09/11) Agrícola Centro 150")</f>
        <v>Eje Acoplado 2 1/2" x 2100 (09/11) Agrícola Centro 150</v>
      </c>
      <c r="CC54" s="3" t="str">
        <f>IFERROR(__xludf.DUMMYFUNCTION("""COMPUTED_VALUE"""),"Llanta 16"" Simple Agrícola Centro 92")</f>
        <v>Llanta 16" Simple Agrícola Centro 92</v>
      </c>
      <c r="CD54" s="3" t="str">
        <f>IFERROR(__xludf.DUMMYFUNCTION("""COMPUTED_VALUE"""),"Llanta 16"" Dual Agrícola Centro 92")</f>
        <v>Llanta 16" Dual Agrícola Centro 92</v>
      </c>
      <c r="CE54" s="3" t="str">
        <f>IFERROR(__xludf.DUMMYFUNCTION("""COMPUTED_VALUE"""),"Llanta 17"" Simple Agrícola Centro 92")</f>
        <v>Llanta 17" Simple Agrícola Centro 92</v>
      </c>
      <c r="CF54" s="3" t="str">
        <f>IFERROR(__xludf.DUMMYFUNCTION("""COMPUTED_VALUE"""),"Llanta 17"" Dual Agrícola Centro 92")</f>
        <v>Llanta 17" Dual Agrícola Centro 92</v>
      </c>
      <c r="CG54" s="3" t="str">
        <f>IFERROR(__xludf.DUMMYFUNCTION("""COMPUTED_VALUE"""),"Llanta 16"" Dual Agrícola Centro 152")</f>
        <v>Llanta 16" Dual Agrícola Centro 152</v>
      </c>
      <c r="CH54" s="3" t="str">
        <f>IFERROR(__xludf.DUMMYFUNCTION("""COMPUTED_VALUE"""),"Llanta 17"" Dual Agrícola Centro 152")</f>
        <v>Llanta 17" Dual Agrícola Centro 152</v>
      </c>
      <c r="CI54" s="3" t="str">
        <f>IFERROR(__xludf.DUMMYFUNCTION("""COMPUTED_VALUE"""),"Eje Acoplado 2"" x 1600 (05/07) Agrícola Centro 92")</f>
        <v>Eje Acoplado 2" x 1600 (05/07) Agrícola Centro 92</v>
      </c>
      <c r="CJ54" s="3" t="str">
        <f>IFERROR(__xludf.DUMMYFUNCTION("""COMPUTED_VALUE"""),"Paquete de Elásticos 50 mm x 8 mm x 12 Hojas")</f>
        <v>Paquete de Elásticos 50 mm x 8 mm x 12 Hojas</v>
      </c>
      <c r="CK54" s="3" t="str">
        <f>IFERROR(__xludf.DUMMYFUNCTION("""COMPUTED_VALUE"""),"Plataforma Playo 4.00 x 1.90 x 0.45 Lateral Simple Baranda Fija")</f>
        <v>Plataforma Playo 4.00 x 1.90 x 0.45 Lateral Simple Baranda Fija</v>
      </c>
      <c r="CL54" s="3" t="str">
        <f>IFERROR(__xludf.DUMMYFUNCTION("""COMPUTED_VALUE"""),"Plataforma Playo 4.00 x 1.90 x 0.45 Lateral Simple Baranda Ventilada")</f>
        <v>Plataforma Playo 4.00 x 1.90 x 0.45 Lateral Simple Baranda Ventilada</v>
      </c>
      <c r="CM54" s="3" t="str">
        <f>IFERROR(__xludf.DUMMYFUNCTION("""COMPUTED_VALUE"""),"Plataforma Playo 4.00 x 1.90 x 0.45 Lateral Doble Baranda Ventilada")</f>
        <v>Plataforma Playo 4.00 x 1.90 x 0.45 Lateral Doble Baranda Ventilada</v>
      </c>
      <c r="CN54" s="3" t="str">
        <f>IFERROR(__xludf.DUMMYFUNCTION("""COMPUTED_VALUE"""),"Plataforma Playo 4.00 x 1.90 x 0.45 Lateral Doble Baranda Fija")</f>
        <v>Plataforma Playo 4.00 x 1.90 x 0.45 Lateral Doble Baranda Fija</v>
      </c>
      <c r="CO54" s="3" t="str">
        <f>IFERROR(__xludf.DUMMYFUNCTION("""COMPUTED_VALUE"""),"Plataforma Playo 4.00 x 1.90 x 0.72 Lateral Simple Baranda Fija")</f>
        <v>Plataforma Playo 4.00 x 1.90 x 0.72 Lateral Simple Baranda Fija</v>
      </c>
      <c r="CP54" s="3" t="str">
        <f>IFERROR(__xludf.DUMMYFUNCTION("""COMPUTED_VALUE"""),"Plataforma Playo 4.00 x 1.90 x 0.72 Lateral Doble Baranda Fija")</f>
        <v>Plataforma Playo 4.00 x 1.90 x 0.72 Lateral Doble Baranda Fija</v>
      </c>
      <c r="CQ54" s="3" t="str">
        <f>IFERROR(__xludf.DUMMYFUNCTION("""COMPUTED_VALUE"""),"Plataforma Playo 5.00 x 2.20 x 0.60 Lateral Doble Trasera Rebatible")</f>
        <v>Plataforma Playo 5.00 x 2.20 x 0.60 Lateral Doble Trasera Rebatible</v>
      </c>
      <c r="CR54" s="3" t="str">
        <f>IFERROR(__xludf.DUMMYFUNCTION("""COMPUTED_VALUE"""),"Plataforma Playo 5.00 x 2.20 x 0.60 Lateral Doble Baranda Fija C/Toldo")</f>
        <v>Plataforma Playo 5.00 x 2.20 x 0.60 Lateral Doble Baranda Fija C/Toldo</v>
      </c>
      <c r="CS54" s="3" t="str">
        <f>IFERROR(__xludf.DUMMYFUNCTION("""COMPUTED_VALUE"""),"Plataforma Playo 3.00 x 1.90 x 0.45 Lateral Simple Baranda Fija")</f>
        <v>Plataforma Playo 3.00 x 1.90 x 0.45 Lateral Simple Baranda Fija</v>
      </c>
      <c r="CT54" s="3" t="str">
        <f>IFERROR(__xludf.DUMMYFUNCTION("""COMPUTED_VALUE"""),"Plataforma Playo 3.00 x 1.90 x 0.45 Lateral Simple Baranda Ventilada")</f>
        <v>Plataforma Playo 3.00 x 1.90 x 0.45 Lateral Simple Baranda Ventilada</v>
      </c>
      <c r="CU54" s="3" t="str">
        <f>IFERROR(__xludf.DUMMYFUNCTION("""COMPUTED_VALUE"""),"Plataforma Playo 2.00 x 1.90 x 0.45 Lateral Simple Baranda Fija")</f>
        <v>Plataforma Playo 2.00 x 1.90 x 0.45 Lateral Simple Baranda Fija</v>
      </c>
      <c r="CV54" s="3" t="str">
        <f>IFERROR(__xludf.DUMMYFUNCTION("""COMPUTED_VALUE"""),"Plataforma Playo 5.00 x 1.90 x 0.60 Lateral Doble Baranda Fija")</f>
        <v>Plataforma Playo 5.00 x 1.90 x 0.60 Lateral Doble Baranda Fija</v>
      </c>
      <c r="CW54" s="3" t="str">
        <f>IFERROR(__xludf.DUMMYFUNCTION("""COMPUTED_VALUE"""),"Plataforma Playo 6.40 x 2.70 x 0.72 Lateral Doble Baranda Fija")</f>
        <v>Plataforma Playo 6.40 x 2.70 x 0.72 Lateral Doble Baranda Fija</v>
      </c>
      <c r="CX54" s="3" t="str">
        <f>IFERROR(__xludf.DUMMYFUNCTION("""COMPUTED_VALUE"""),"Chasis Acoplado Balancin L4000 Lanza Recta")</f>
        <v>Chasis Acoplado Balancin L4000 Lanza Recta</v>
      </c>
      <c r="CY54" s="3" t="str">
        <f>IFERROR(__xludf.DUMMYFUNCTION("""COMPUTED_VALUE"""),"Llanta simple Agrícola 750x20 centro 152")</f>
        <v>Llanta simple Agrícola 750x20 centro 152</v>
      </c>
      <c r="CZ54" s="3" t="str">
        <f>IFERROR(__xludf.DUMMYFUNCTION("""COMPUTED_VALUE"""),"Cajón de Herramientas Mediano adelante")</f>
        <v>Cajón de Herramientas Mediano adelante</v>
      </c>
      <c r="DA54" s="3" t="str">
        <f>IFERROR(__xludf.DUMMYFUNCTION("""COMPUTED_VALUE"""),"Llanta 15"" Simple Agrícola Centro 92")</f>
        <v>Llanta 15" Simple Agrícola Centro 92</v>
      </c>
    </row>
    <row r="55" hidden="1">
      <c r="A55" s="38">
        <f t="shared" si="1"/>
        <v>54</v>
      </c>
      <c r="B55" s="38">
        <f>IF(F55="","",SUMIF(Prearmados!E:E,F55,Prearmados!A:A))</f>
        <v>8</v>
      </c>
      <c r="C55" s="38">
        <f>IF(F55="","",SUMIF(Productos!E:E,G55,Productos!A:A))</f>
        <v>111</v>
      </c>
      <c r="D55" s="83" t="str">
        <f t="array" ref="D55">IF(OR(F55="",F55="Seleccionar.."),"",XLOOKUP(F55,Prearmados!E:E,Prearmados!F:F,"",0,1))</f>
        <v>Acoplados Rurales</v>
      </c>
      <c r="E55" s="83">
        <f>IF(H55="","",SUMIF(Precio_Productos!K:K,C55,Precio_Productos!J:J)*H55)</f>
        <v>1116000</v>
      </c>
      <c r="F55" s="84" t="s">
        <v>331</v>
      </c>
      <c r="G55" s="84" t="s">
        <v>130</v>
      </c>
      <c r="H55" s="13">
        <v>8.0</v>
      </c>
      <c r="P55" s="3" t="str">
        <f>IFERROR(__xludf.DUMMYFUNCTION("IF(OR(F55="""",F55=""Seleccionar..""),"""",TRANSPOSE(FILTER(Productos!E:E,(Productos!F:F=D55)+(Productos!F:F=XLOOKUP(D55,Implementos!B:B,Implementos!C:C,""-"",0,1)))))"),"Tanque Combustible 1100 lts Bajo")</f>
        <v>Tanque Combustible 1100 lts Bajo</v>
      </c>
      <c r="Q55" s="3" t="str">
        <f>IFERROR(__xludf.DUMMYFUNCTION("""COMPUTED_VALUE"""),"Tanque Combustible 1500 lts Standard")</f>
        <v>Tanque Combustible 1500 lts Standard</v>
      </c>
      <c r="R55" s="3" t="str">
        <f>IFERROR(__xludf.DUMMYFUNCTION("""COMPUTED_VALUE"""),"Tanque Combustible 1800 lts Standard")</f>
        <v>Tanque Combustible 1800 lts Standard</v>
      </c>
      <c r="S55" s="3" t="str">
        <f>IFERROR(__xludf.DUMMYFUNCTION("""COMPUTED_VALUE"""),"Tanque Combustible 2000 lts Bajo")</f>
        <v>Tanque Combustible 2000 lts Bajo</v>
      </c>
      <c r="T55" s="3" t="str">
        <f>IFERROR(__xludf.DUMMYFUNCTION("""COMPUTED_VALUE"""),"Tanque Combustible 2000 lts Standard")</f>
        <v>Tanque Combustible 2000 lts Standard</v>
      </c>
      <c r="U55" s="3" t="str">
        <f>IFERROR(__xludf.DUMMYFUNCTION("""COMPUTED_VALUE"""),"Tanque Combustible 3000 lts Standard")</f>
        <v>Tanque Combustible 3000 lts Standard</v>
      </c>
      <c r="V55" s="3" t="str">
        <f>IFERROR(__xludf.DUMMYFUNCTION("""COMPUTED_VALUE"""),"Tanque Combustible 3000 lts Alto")</f>
        <v>Tanque Combustible 3000 lts Alto</v>
      </c>
      <c r="W55" s="3" t="str">
        <f>IFERROR(__xludf.DUMMYFUNCTION("""COMPUTED_VALUE"""),"Tanque Combustible 4000 lts Standard")</f>
        <v>Tanque Combustible 4000 lts Standard</v>
      </c>
      <c r="X55" s="3" t="str">
        <f>IFERROR(__xludf.DUMMYFUNCTION("""COMPUTED_VALUE"""),"Tanque Combustible 5000 lts Standard")</f>
        <v>Tanque Combustible 5000 lts Standard</v>
      </c>
      <c r="Y55" s="3" t="str">
        <f>IFERROR(__xludf.DUMMYFUNCTION("""COMPUTED_VALUE"""),"Tanque Combustible 5000 lts Alto")</f>
        <v>Tanque Combustible 5000 lts Alto</v>
      </c>
      <c r="Z55" s="3" t="str">
        <f>IFERROR(__xludf.DUMMYFUNCTION("""COMPUTED_VALUE"""),"Tanque Combustible 2000 lts Alto")</f>
        <v>Tanque Combustible 2000 lts Alto</v>
      </c>
      <c r="AA55" s="3" t="str">
        <f>IFERROR(__xludf.DUMMYFUNCTION("""COMPUTED_VALUE"""),"Tanque Combustible 4000 lts Alto")</f>
        <v>Tanque Combustible 4000 lts Alto</v>
      </c>
      <c r="AB55" s="3" t="str">
        <f>IFERROR(__xludf.DUMMYFUNCTION("""COMPUTED_VALUE"""),"Baulera Standard - 750")</f>
        <v>Baulera Standard - 750</v>
      </c>
      <c r="AC55" s="3" t="str">
        <f>IFERROR(__xludf.DUMMYFUNCTION("""COMPUTED_VALUE"""),"Baulera Standard - 1700 - C/Laterales")</f>
        <v>Baulera Standard - 1700 - C/Laterales</v>
      </c>
      <c r="AD55" s="3" t="str">
        <f>IFERROR(__xludf.DUMMYFUNCTION("""COMPUTED_VALUE"""),"Baulera Standard - 1000 - C/Laterales")</f>
        <v>Baulera Standard - 1000 - C/Laterales</v>
      </c>
      <c r="AE55" s="3" t="str">
        <f>IFERROR(__xludf.DUMMYFUNCTION("""COMPUTED_VALUE"""),"Baulera Standard - 750 - C/Laterales")</f>
        <v>Baulera Standard - 750 - C/Laterales</v>
      </c>
      <c r="AF55" s="3" t="str">
        <f>IFERROR(__xludf.DUMMYFUNCTION("""COMPUTED_VALUE"""),"Baulera Standard - 1300 - C/Laterales")</f>
        <v>Baulera Standard - 1300 - C/Laterales</v>
      </c>
      <c r="AG55" s="3" t="str">
        <f>IFERROR(__xludf.DUMMYFUNCTION("""COMPUTED_VALUE"""),"Baulera Alta - 750")</f>
        <v>Baulera Alta - 750</v>
      </c>
      <c r="AH55" s="3" t="str">
        <f>IFERROR(__xludf.DUMMYFUNCTION("""COMPUTED_VALUE"""),"Baulera Alta - 1500 - C/Laterales")</f>
        <v>Baulera Alta - 1500 - C/Laterales</v>
      </c>
      <c r="AI55" s="3" t="str">
        <f>IFERROR(__xludf.DUMMYFUNCTION("""COMPUTED_VALUE"""),"Baulera Extendida 1700 - C/Laterales")</f>
        <v>Baulera Extendida 1700 - C/Laterales</v>
      </c>
      <c r="AJ55" s="3" t="str">
        <f>IFERROR(__xludf.DUMMYFUNCTION("""COMPUTED_VALUE"""),"Taller Móvil - 1500 x 1500 x 1700")</f>
        <v>Taller Móvil - 1500 x 1500 x 1700</v>
      </c>
      <c r="AK55" s="3" t="str">
        <f>IFERROR(__xludf.DUMMYFUNCTION("""COMPUTED_VALUE"""),"Cajón Herramientas Standard Derecho")</f>
        <v>Cajón Herramientas Standard Derecho</v>
      </c>
      <c r="AL55" s="3" t="str">
        <f>IFERROR(__xludf.DUMMYFUNCTION("""COMPUTED_VALUE"""),"Cajón Herramientas Standard Izquierdo")</f>
        <v>Cajón Herramientas Standard Izquierdo</v>
      </c>
      <c r="AM55" s="3" t="str">
        <f>IFERROR(__xludf.DUMMYFUNCTION("""COMPUTED_VALUE"""),"Cajón Herramientas Corto Derecho")</f>
        <v>Cajón Herramientas Corto Derecho</v>
      </c>
      <c r="AN55" s="3" t="str">
        <f>IFERROR(__xludf.DUMMYFUNCTION("""COMPUTED_VALUE"""),"Cajón Herramientas Corto Izquierdo")</f>
        <v>Cajón Herramientas Corto Izquierdo</v>
      </c>
      <c r="AO55" s="3" t="str">
        <f>IFERROR(__xludf.DUMMYFUNCTION("""COMPUTED_VALUE"""),"Cajón Herramientas Mediano Derecho")</f>
        <v>Cajón Herramientas Mediano Derecho</v>
      </c>
      <c r="AP55" s="3" t="str">
        <f>IFERROR(__xludf.DUMMYFUNCTION("""COMPUTED_VALUE"""),"Cajón Herramientas Mediano Izquierdo")</f>
        <v>Cajón Herramientas Mediano Izquierdo</v>
      </c>
      <c r="AQ55" s="3" t="str">
        <f>IFERROR(__xludf.DUMMYFUNCTION("""COMPUTED_VALUE"""),"Chasis Acoplado 2 Ejes L3000")</f>
        <v>Chasis Acoplado 2 Ejes L3000</v>
      </c>
      <c r="AR55" s="3" t="str">
        <f>IFERROR(__xludf.DUMMYFUNCTION("""COMPUTED_VALUE"""),"Chasis Acoplado 2 Ejes L3750")</f>
        <v>Chasis Acoplado 2 Ejes L3750</v>
      </c>
      <c r="AS55" s="3" t="str">
        <f>IFERROR(__xludf.DUMMYFUNCTION("""COMPUTED_VALUE"""),"Chasis Acoplado 2 Ejes L4000")</f>
        <v>Chasis Acoplado 2 Ejes L4000</v>
      </c>
      <c r="AT55" s="3" t="str">
        <f>IFERROR(__xludf.DUMMYFUNCTION("""COMPUTED_VALUE"""),"Chasis Acoplado 2 Ejes L4000 Reforzado")</f>
        <v>Chasis Acoplado 2 Ejes L4000 Reforzado</v>
      </c>
      <c r="AU55" s="3" t="str">
        <f>IFERROR(__xludf.DUMMYFUNCTION("""COMPUTED_VALUE"""),"Chasis Acoplado 2 Ejes L4750")</f>
        <v>Chasis Acoplado 2 Ejes L4750</v>
      </c>
      <c r="AV55" s="3" t="str">
        <f>IFERROR(__xludf.DUMMYFUNCTION("""COMPUTED_VALUE"""),"Chasis Acoplado 2 Ejes L4750 Reforzado")</f>
        <v>Chasis Acoplado 2 Ejes L4750 Reforzado</v>
      </c>
      <c r="AW55" s="3" t="str">
        <f>IFERROR(__xludf.DUMMYFUNCTION("""COMPUTED_VALUE"""),"Chasis Acoplado 2 Ejes L4750 Reforzado R. Camion")</f>
        <v>Chasis Acoplado 2 Ejes L4750 Reforzado R. Camion</v>
      </c>
      <c r="AX55" s="3" t="str">
        <f>IFERROR(__xludf.DUMMYFUNCTION("""COMPUTED_VALUE"""),"Chasis Acoplado 2 Ejes L5000")</f>
        <v>Chasis Acoplado 2 Ejes L5000</v>
      </c>
      <c r="AY55" s="3" t="str">
        <f>IFERROR(__xludf.DUMMYFUNCTION("""COMPUTED_VALUE"""),"Chasis Acoplado 2 Ejes L5750")</f>
        <v>Chasis Acoplado 2 Ejes L5750</v>
      </c>
      <c r="AZ55" s="3" t="str">
        <f>IFERROR(__xludf.DUMMYFUNCTION("""COMPUTED_VALUE"""),"Chasis Acoplado 2 Ejes L6400")</f>
        <v>Chasis Acoplado 2 Ejes L6400</v>
      </c>
      <c r="BA55" s="3" t="str">
        <f>IFERROR(__xludf.DUMMYFUNCTION("""COMPUTED_VALUE"""),"Chasis Acoplado 2 Ejes L4500")</f>
        <v>Chasis Acoplado 2 Ejes L4500</v>
      </c>
      <c r="BB55" s="3" t="str">
        <f>IFERROR(__xludf.DUMMYFUNCTION("""COMPUTED_VALUE"""),"Chasis Acoplado 1 Eje L1500")</f>
        <v>Chasis Acoplado 1 Eje L1500</v>
      </c>
      <c r="BC55" s="3" t="str">
        <f>IFERROR(__xludf.DUMMYFUNCTION("""COMPUTED_VALUE"""),"Chasis Acoplado 1 Eje L1800")</f>
        <v>Chasis Acoplado 1 Eje L1800</v>
      </c>
      <c r="BD55" s="3" t="str">
        <f>IFERROR(__xludf.DUMMYFUNCTION("""COMPUTED_VALUE"""),"Chasis Acoplado 1 Eje L1400")</f>
        <v>Chasis Acoplado 1 Eje L1400</v>
      </c>
      <c r="BE55" s="3" t="str">
        <f>IFERROR(__xludf.DUMMYFUNCTION("""COMPUTED_VALUE"""),"Chasis Acoplado Balancin L3000")</f>
        <v>Chasis Acoplado Balancin L3000</v>
      </c>
      <c r="BF55" s="3" t="str">
        <f>IFERROR(__xludf.DUMMYFUNCTION("""COMPUTED_VALUE"""),"Chasis Acoplado Balancin L3000 Lanza Corta")</f>
        <v>Chasis Acoplado Balancin L3000 Lanza Corta</v>
      </c>
      <c r="BG55" s="3" t="str">
        <f>IFERROR(__xludf.DUMMYFUNCTION("""COMPUTED_VALUE"""),"Chasis Acoplado Balancin L2000 Lanza Corta")</f>
        <v>Chasis Acoplado Balancin L2000 Lanza Corta</v>
      </c>
      <c r="BH55" s="3" t="str">
        <f>IFERROR(__xludf.DUMMYFUNCTION("""COMPUTED_VALUE"""),"Chasis Acoplado Balancin L3200 Lanza Corta")</f>
        <v>Chasis Acoplado Balancin L3200 Lanza Corta</v>
      </c>
      <c r="BI55" s="3" t="str">
        <f>IFERROR(__xludf.DUMMYFUNCTION("""COMPUTED_VALUE"""),"Chasis Acoplado Balancin L3200 Lanza Recta")</f>
        <v>Chasis Acoplado Balancin L3200 Lanza Recta</v>
      </c>
      <c r="BJ55" s="3" t="str">
        <f>IFERROR(__xludf.DUMMYFUNCTION("""COMPUTED_VALUE"""),"Chasis Acoplado Balancin L3200 Bajo Lanza Recta")</f>
        <v>Chasis Acoplado Balancin L3200 Bajo Lanza Recta</v>
      </c>
      <c r="BK55" s="3" t="str">
        <f>IFERROR(__xludf.DUMMYFUNCTION("""COMPUTED_VALUE"""),"Tanque Plastico Horizontal 750 Lts")</f>
        <v>Tanque Plastico Horizontal 750 Lts</v>
      </c>
      <c r="BL55" s="3" t="str">
        <f>IFERROR(__xludf.DUMMYFUNCTION("""COMPUTED_VALUE"""),"Medio Tanque Plastico Superior 700 Lts")</f>
        <v>Medio Tanque Plastico Superior 700 Lts</v>
      </c>
      <c r="BM55" s="3" t="str">
        <f>IFERROR(__xludf.DUMMYFUNCTION("""COMPUTED_VALUE"""),"Paquete de Elasticos 50 mm x 8 mm x 10 Hojas L850")</f>
        <v>Paquete de Elasticos 50 mm x 8 mm x 10 Hojas L850</v>
      </c>
      <c r="BN55" s="3" t="str">
        <f>IFERROR(__xludf.DUMMYFUNCTION("""COMPUTED_VALUE"""),"Paquete de Elasticos 63 mm x 8 mm x 10 Hojas L950")</f>
        <v>Paquete de Elasticos 63 mm x 8 mm x 10 Hojas L950</v>
      </c>
      <c r="BO55" s="3" t="str">
        <f>IFERROR(__xludf.DUMMYFUNCTION("""COMPUTED_VALUE"""),"Paquete de Elasticos 50 mm x 7 mm x 9 Hojas L850")</f>
        <v>Paquete de Elasticos 50 mm x 7 mm x 9 Hojas L850</v>
      </c>
      <c r="BP55" s="3" t="str">
        <f>IFERROR(__xludf.DUMMYFUNCTION("""COMPUTED_VALUE"""),"Paquete de Elasticos 63 mm x 8 mm x 8 Hojas L850")</f>
        <v>Paquete de Elasticos 63 mm x 8 mm x 8 Hojas L850</v>
      </c>
      <c r="BQ55" s="3" t="str">
        <f>IFERROR(__xludf.DUMMYFUNCTION("""COMPUTED_VALUE"""),"Paquete de Elasticos 63 mm x 10 mm x 10 Hojas L950")</f>
        <v>Paquete de Elasticos 63 mm x 10 mm x 10 Hojas L950</v>
      </c>
      <c r="BR55" s="3" t="str">
        <f>IFERROR(__xludf.DUMMYFUNCTION("""COMPUTED_VALUE"""),"Paquete de Elasticos 63 mm x 10 mm x 13 Hojas L975")</f>
        <v>Paquete de Elasticos 63 mm x 10 mm x 13 Hojas L975</v>
      </c>
      <c r="BS55" s="3" t="str">
        <f>IFERROR(__xludf.DUMMYFUNCTION("""COMPUTED_VALUE"""),"Paquete de Elasticos 50 mm x 7 mm x 9 Hojas L650")</f>
        <v>Paquete de Elasticos 50 mm x 7 mm x 9 Hojas L650</v>
      </c>
      <c r="BT55" s="3" t="str">
        <f>IFERROR(__xludf.DUMMYFUNCTION("""COMPUTED_VALUE"""),"Eje Acoplado 2"" x 1600 (06/08) Agrícola Centro 92")</f>
        <v>Eje Acoplado 2" x 1600 (06/08) Agrícola Centro 92</v>
      </c>
      <c r="BU55" s="3" t="str">
        <f>IFERROR(__xludf.DUMMYFUNCTION("""COMPUTED_VALUE"""),"Eje Acoplado 2 1/2"" x 1600 (07/09) Agrícola Centro 92")</f>
        <v>Eje Acoplado 2 1/2" x 1600 (07/09) Agrícola Centro 92</v>
      </c>
      <c r="BV55" s="3" t="str">
        <f>IFERROR(__xludf.DUMMYFUNCTION("""COMPUTED_VALUE"""),"Eje Acoplado 2 1/2"" x 1600 (09/11) Agrícola Centro 150")</f>
        <v>Eje Acoplado 2 1/2" x 1600 (09/11) Agrícola Centro 150</v>
      </c>
      <c r="BW55" s="3" t="str">
        <f>IFERROR(__xludf.DUMMYFUNCTION("""COMPUTED_VALUE"""),"Eje Acoplado 3"" x 1600 (10/13) Agrícola Centro 150")</f>
        <v>Eje Acoplado 3" x 1600 (10/13) Agrícola Centro 150</v>
      </c>
      <c r="BX55" s="3" t="str">
        <f>IFERROR(__xludf.DUMMYFUNCTION("""COMPUTED_VALUE"""),"Eje Acoplado 2 1/2"" x 2140 (07/09) Agrícola Centro 92")</f>
        <v>Eje Acoplado 2 1/2" x 2140 (07/09) Agrícola Centro 92</v>
      </c>
      <c r="BY55" s="3" t="str">
        <f>IFERROR(__xludf.DUMMYFUNCTION("""COMPUTED_VALUE"""),"Eje Acoplado 2"" x 1400 (06/08) Agrícola Centro 92")</f>
        <v>Eje Acoplado 2" x 1400 (06/08) Agrícola Centro 92</v>
      </c>
      <c r="BZ55" s="3" t="str">
        <f>IFERROR(__xludf.DUMMYFUNCTION("""COMPUTED_VALUE"""),"Eje Acoplado 2 1/2"" x 1500 (07/09) Agrícola Centro 92")</f>
        <v>Eje Acoplado 2 1/2" x 1500 (07/09) Agrícola Centro 92</v>
      </c>
      <c r="CA55" s="3" t="str">
        <f>IFERROR(__xludf.DUMMYFUNCTION("""COMPUTED_VALUE"""),"Eje Acoplado 2 1/2"" x 2000 (07/09) Agrícola Centro 92")</f>
        <v>Eje Acoplado 2 1/2" x 2000 (07/09) Agrícola Centro 92</v>
      </c>
      <c r="CB55" s="3" t="str">
        <f>IFERROR(__xludf.DUMMYFUNCTION("""COMPUTED_VALUE"""),"Eje Acoplado 2 1/2"" x 2100 (09/11) Agrícola Centro 150")</f>
        <v>Eje Acoplado 2 1/2" x 2100 (09/11) Agrícola Centro 150</v>
      </c>
      <c r="CC55" s="3" t="str">
        <f>IFERROR(__xludf.DUMMYFUNCTION("""COMPUTED_VALUE"""),"Llanta 16"" Simple Agrícola Centro 92")</f>
        <v>Llanta 16" Simple Agrícola Centro 92</v>
      </c>
      <c r="CD55" s="3" t="str">
        <f>IFERROR(__xludf.DUMMYFUNCTION("""COMPUTED_VALUE"""),"Llanta 16"" Dual Agrícola Centro 92")</f>
        <v>Llanta 16" Dual Agrícola Centro 92</v>
      </c>
      <c r="CE55" s="3" t="str">
        <f>IFERROR(__xludf.DUMMYFUNCTION("""COMPUTED_VALUE"""),"Llanta 17"" Simple Agrícola Centro 92")</f>
        <v>Llanta 17" Simple Agrícola Centro 92</v>
      </c>
      <c r="CF55" s="3" t="str">
        <f>IFERROR(__xludf.DUMMYFUNCTION("""COMPUTED_VALUE"""),"Llanta 17"" Dual Agrícola Centro 92")</f>
        <v>Llanta 17" Dual Agrícola Centro 92</v>
      </c>
      <c r="CG55" s="3" t="str">
        <f>IFERROR(__xludf.DUMMYFUNCTION("""COMPUTED_VALUE"""),"Llanta 16"" Dual Agrícola Centro 152")</f>
        <v>Llanta 16" Dual Agrícola Centro 152</v>
      </c>
      <c r="CH55" s="3" t="str">
        <f>IFERROR(__xludf.DUMMYFUNCTION("""COMPUTED_VALUE"""),"Llanta 17"" Dual Agrícola Centro 152")</f>
        <v>Llanta 17" Dual Agrícola Centro 152</v>
      </c>
      <c r="CI55" s="3" t="str">
        <f>IFERROR(__xludf.DUMMYFUNCTION("""COMPUTED_VALUE"""),"Eje Acoplado 2"" x 1600 (05/07) Agrícola Centro 92")</f>
        <v>Eje Acoplado 2" x 1600 (05/07) Agrícola Centro 92</v>
      </c>
      <c r="CJ55" s="3" t="str">
        <f>IFERROR(__xludf.DUMMYFUNCTION("""COMPUTED_VALUE"""),"Paquete de Elásticos 50 mm x 8 mm x 12 Hojas")</f>
        <v>Paquete de Elásticos 50 mm x 8 mm x 12 Hojas</v>
      </c>
      <c r="CK55" s="3" t="str">
        <f>IFERROR(__xludf.DUMMYFUNCTION("""COMPUTED_VALUE"""),"Plataforma Playo 4.00 x 1.90 x 0.45 Lateral Simple Baranda Fija")</f>
        <v>Plataforma Playo 4.00 x 1.90 x 0.45 Lateral Simple Baranda Fija</v>
      </c>
      <c r="CL55" s="3" t="str">
        <f>IFERROR(__xludf.DUMMYFUNCTION("""COMPUTED_VALUE"""),"Plataforma Playo 4.00 x 1.90 x 0.45 Lateral Simple Baranda Ventilada")</f>
        <v>Plataforma Playo 4.00 x 1.90 x 0.45 Lateral Simple Baranda Ventilada</v>
      </c>
      <c r="CM55" s="3" t="str">
        <f>IFERROR(__xludf.DUMMYFUNCTION("""COMPUTED_VALUE"""),"Plataforma Playo 4.00 x 1.90 x 0.45 Lateral Doble Baranda Ventilada")</f>
        <v>Plataforma Playo 4.00 x 1.90 x 0.45 Lateral Doble Baranda Ventilada</v>
      </c>
      <c r="CN55" s="3" t="str">
        <f>IFERROR(__xludf.DUMMYFUNCTION("""COMPUTED_VALUE"""),"Plataforma Playo 4.00 x 1.90 x 0.45 Lateral Doble Baranda Fija")</f>
        <v>Plataforma Playo 4.00 x 1.90 x 0.45 Lateral Doble Baranda Fija</v>
      </c>
      <c r="CO55" s="3" t="str">
        <f>IFERROR(__xludf.DUMMYFUNCTION("""COMPUTED_VALUE"""),"Plataforma Playo 4.00 x 1.90 x 0.72 Lateral Simple Baranda Fija")</f>
        <v>Plataforma Playo 4.00 x 1.90 x 0.72 Lateral Simple Baranda Fija</v>
      </c>
      <c r="CP55" s="3" t="str">
        <f>IFERROR(__xludf.DUMMYFUNCTION("""COMPUTED_VALUE"""),"Plataforma Playo 4.00 x 1.90 x 0.72 Lateral Doble Baranda Fija")</f>
        <v>Plataforma Playo 4.00 x 1.90 x 0.72 Lateral Doble Baranda Fija</v>
      </c>
      <c r="CQ55" s="3" t="str">
        <f>IFERROR(__xludf.DUMMYFUNCTION("""COMPUTED_VALUE"""),"Plataforma Playo 5.00 x 2.20 x 0.60 Lateral Doble Trasera Rebatible")</f>
        <v>Plataforma Playo 5.00 x 2.20 x 0.60 Lateral Doble Trasera Rebatible</v>
      </c>
      <c r="CR55" s="3" t="str">
        <f>IFERROR(__xludf.DUMMYFUNCTION("""COMPUTED_VALUE"""),"Plataforma Playo 5.00 x 2.20 x 0.60 Lateral Doble Baranda Fija C/Toldo")</f>
        <v>Plataforma Playo 5.00 x 2.20 x 0.60 Lateral Doble Baranda Fija C/Toldo</v>
      </c>
      <c r="CS55" s="3" t="str">
        <f>IFERROR(__xludf.DUMMYFUNCTION("""COMPUTED_VALUE"""),"Plataforma Playo 3.00 x 1.90 x 0.45 Lateral Simple Baranda Fija")</f>
        <v>Plataforma Playo 3.00 x 1.90 x 0.45 Lateral Simple Baranda Fija</v>
      </c>
      <c r="CT55" s="3" t="str">
        <f>IFERROR(__xludf.DUMMYFUNCTION("""COMPUTED_VALUE"""),"Plataforma Playo 3.00 x 1.90 x 0.45 Lateral Simple Baranda Ventilada")</f>
        <v>Plataforma Playo 3.00 x 1.90 x 0.45 Lateral Simple Baranda Ventilada</v>
      </c>
      <c r="CU55" s="3" t="str">
        <f>IFERROR(__xludf.DUMMYFUNCTION("""COMPUTED_VALUE"""),"Plataforma Playo 2.00 x 1.90 x 0.45 Lateral Simple Baranda Fija")</f>
        <v>Plataforma Playo 2.00 x 1.90 x 0.45 Lateral Simple Baranda Fija</v>
      </c>
      <c r="CV55" s="3" t="str">
        <f>IFERROR(__xludf.DUMMYFUNCTION("""COMPUTED_VALUE"""),"Plataforma Playo 5.00 x 1.90 x 0.60 Lateral Doble Baranda Fija")</f>
        <v>Plataforma Playo 5.00 x 1.90 x 0.60 Lateral Doble Baranda Fija</v>
      </c>
      <c r="CW55" s="3" t="str">
        <f>IFERROR(__xludf.DUMMYFUNCTION("""COMPUTED_VALUE"""),"Plataforma Playo 6.40 x 2.70 x 0.72 Lateral Doble Baranda Fija")</f>
        <v>Plataforma Playo 6.40 x 2.70 x 0.72 Lateral Doble Baranda Fija</v>
      </c>
      <c r="CX55" s="3" t="str">
        <f>IFERROR(__xludf.DUMMYFUNCTION("""COMPUTED_VALUE"""),"Chasis Acoplado Balancin L4000 Lanza Recta")</f>
        <v>Chasis Acoplado Balancin L4000 Lanza Recta</v>
      </c>
      <c r="CY55" s="3" t="str">
        <f>IFERROR(__xludf.DUMMYFUNCTION("""COMPUTED_VALUE"""),"Llanta simple Agrícola 750x20 centro 152")</f>
        <v>Llanta simple Agrícola 750x20 centro 152</v>
      </c>
      <c r="CZ55" s="3" t="str">
        <f>IFERROR(__xludf.DUMMYFUNCTION("""COMPUTED_VALUE"""),"Cajón de Herramientas Mediano adelante")</f>
        <v>Cajón de Herramientas Mediano adelante</v>
      </c>
      <c r="DA55" s="3" t="str">
        <f>IFERROR(__xludf.DUMMYFUNCTION("""COMPUTED_VALUE"""),"Llanta 15"" Simple Agrícola Centro 92")</f>
        <v>Llanta 15" Simple Agrícola Centro 92</v>
      </c>
    </row>
    <row r="56" hidden="1">
      <c r="A56" s="38">
        <f t="shared" si="1"/>
        <v>55</v>
      </c>
      <c r="B56" s="38">
        <f>IF(F56="","",SUMIF(Prearmados!E:E,F56,Prearmados!A:A))</f>
        <v>8</v>
      </c>
      <c r="C56" s="38">
        <f>IF(F56="","",SUMIF(Productos!E:E,G56,Productos!A:A))</f>
        <v>92</v>
      </c>
      <c r="D56" s="83" t="str">
        <f t="array" ref="D56">IF(OR(F56="",F56="Seleccionar.."),"",XLOOKUP(F56,Prearmados!E:E,Prearmados!F:F,"",0,1))</f>
        <v>Acoplados Rurales</v>
      </c>
      <c r="E56" s="83">
        <f>IF(H56="","",SUMIF(Precio_Productos!K:K,C56,Precio_Productos!J:J)*H56)</f>
        <v>763553</v>
      </c>
      <c r="F56" s="84" t="s">
        <v>331</v>
      </c>
      <c r="G56" s="84" t="s">
        <v>30</v>
      </c>
      <c r="H56" s="13">
        <v>1.0</v>
      </c>
      <c r="P56" s="3" t="str">
        <f>IFERROR(__xludf.DUMMYFUNCTION("IF(OR(F56="""",F56=""Seleccionar..""),"""",TRANSPOSE(FILTER(Productos!E:E,(Productos!F:F=D56)+(Productos!F:F=XLOOKUP(D56,Implementos!B:B,Implementos!C:C,""-"",0,1)))))"),"Tanque Combustible 1100 lts Bajo")</f>
        <v>Tanque Combustible 1100 lts Bajo</v>
      </c>
      <c r="Q56" s="3" t="str">
        <f>IFERROR(__xludf.DUMMYFUNCTION("""COMPUTED_VALUE"""),"Tanque Combustible 1500 lts Standard")</f>
        <v>Tanque Combustible 1500 lts Standard</v>
      </c>
      <c r="R56" s="3" t="str">
        <f>IFERROR(__xludf.DUMMYFUNCTION("""COMPUTED_VALUE"""),"Tanque Combustible 1800 lts Standard")</f>
        <v>Tanque Combustible 1800 lts Standard</v>
      </c>
      <c r="S56" s="3" t="str">
        <f>IFERROR(__xludf.DUMMYFUNCTION("""COMPUTED_VALUE"""),"Tanque Combustible 2000 lts Bajo")</f>
        <v>Tanque Combustible 2000 lts Bajo</v>
      </c>
      <c r="T56" s="3" t="str">
        <f>IFERROR(__xludf.DUMMYFUNCTION("""COMPUTED_VALUE"""),"Tanque Combustible 2000 lts Standard")</f>
        <v>Tanque Combustible 2000 lts Standard</v>
      </c>
      <c r="U56" s="3" t="str">
        <f>IFERROR(__xludf.DUMMYFUNCTION("""COMPUTED_VALUE"""),"Tanque Combustible 3000 lts Standard")</f>
        <v>Tanque Combustible 3000 lts Standard</v>
      </c>
      <c r="V56" s="3" t="str">
        <f>IFERROR(__xludf.DUMMYFUNCTION("""COMPUTED_VALUE"""),"Tanque Combustible 3000 lts Alto")</f>
        <v>Tanque Combustible 3000 lts Alto</v>
      </c>
      <c r="W56" s="3" t="str">
        <f>IFERROR(__xludf.DUMMYFUNCTION("""COMPUTED_VALUE"""),"Tanque Combustible 4000 lts Standard")</f>
        <v>Tanque Combustible 4000 lts Standard</v>
      </c>
      <c r="X56" s="3" t="str">
        <f>IFERROR(__xludf.DUMMYFUNCTION("""COMPUTED_VALUE"""),"Tanque Combustible 5000 lts Standard")</f>
        <v>Tanque Combustible 5000 lts Standard</v>
      </c>
      <c r="Y56" s="3" t="str">
        <f>IFERROR(__xludf.DUMMYFUNCTION("""COMPUTED_VALUE"""),"Tanque Combustible 5000 lts Alto")</f>
        <v>Tanque Combustible 5000 lts Alto</v>
      </c>
      <c r="Z56" s="3" t="str">
        <f>IFERROR(__xludf.DUMMYFUNCTION("""COMPUTED_VALUE"""),"Tanque Combustible 2000 lts Alto")</f>
        <v>Tanque Combustible 2000 lts Alto</v>
      </c>
      <c r="AA56" s="3" t="str">
        <f>IFERROR(__xludf.DUMMYFUNCTION("""COMPUTED_VALUE"""),"Tanque Combustible 4000 lts Alto")</f>
        <v>Tanque Combustible 4000 lts Alto</v>
      </c>
      <c r="AB56" s="3" t="str">
        <f>IFERROR(__xludf.DUMMYFUNCTION("""COMPUTED_VALUE"""),"Baulera Standard - 750")</f>
        <v>Baulera Standard - 750</v>
      </c>
      <c r="AC56" s="3" t="str">
        <f>IFERROR(__xludf.DUMMYFUNCTION("""COMPUTED_VALUE"""),"Baulera Standard - 1700 - C/Laterales")</f>
        <v>Baulera Standard - 1700 - C/Laterales</v>
      </c>
      <c r="AD56" s="3" t="str">
        <f>IFERROR(__xludf.DUMMYFUNCTION("""COMPUTED_VALUE"""),"Baulera Standard - 1000 - C/Laterales")</f>
        <v>Baulera Standard - 1000 - C/Laterales</v>
      </c>
      <c r="AE56" s="3" t="str">
        <f>IFERROR(__xludf.DUMMYFUNCTION("""COMPUTED_VALUE"""),"Baulera Standard - 750 - C/Laterales")</f>
        <v>Baulera Standard - 750 - C/Laterales</v>
      </c>
      <c r="AF56" s="3" t="str">
        <f>IFERROR(__xludf.DUMMYFUNCTION("""COMPUTED_VALUE"""),"Baulera Standard - 1300 - C/Laterales")</f>
        <v>Baulera Standard - 1300 - C/Laterales</v>
      </c>
      <c r="AG56" s="3" t="str">
        <f>IFERROR(__xludf.DUMMYFUNCTION("""COMPUTED_VALUE"""),"Baulera Alta - 750")</f>
        <v>Baulera Alta - 750</v>
      </c>
      <c r="AH56" s="3" t="str">
        <f>IFERROR(__xludf.DUMMYFUNCTION("""COMPUTED_VALUE"""),"Baulera Alta - 1500 - C/Laterales")</f>
        <v>Baulera Alta - 1500 - C/Laterales</v>
      </c>
      <c r="AI56" s="3" t="str">
        <f>IFERROR(__xludf.DUMMYFUNCTION("""COMPUTED_VALUE"""),"Baulera Extendida 1700 - C/Laterales")</f>
        <v>Baulera Extendida 1700 - C/Laterales</v>
      </c>
      <c r="AJ56" s="3" t="str">
        <f>IFERROR(__xludf.DUMMYFUNCTION("""COMPUTED_VALUE"""),"Taller Móvil - 1500 x 1500 x 1700")</f>
        <v>Taller Móvil - 1500 x 1500 x 1700</v>
      </c>
      <c r="AK56" s="3" t="str">
        <f>IFERROR(__xludf.DUMMYFUNCTION("""COMPUTED_VALUE"""),"Cajón Herramientas Standard Derecho")</f>
        <v>Cajón Herramientas Standard Derecho</v>
      </c>
      <c r="AL56" s="3" t="str">
        <f>IFERROR(__xludf.DUMMYFUNCTION("""COMPUTED_VALUE"""),"Cajón Herramientas Standard Izquierdo")</f>
        <v>Cajón Herramientas Standard Izquierdo</v>
      </c>
      <c r="AM56" s="3" t="str">
        <f>IFERROR(__xludf.DUMMYFUNCTION("""COMPUTED_VALUE"""),"Cajón Herramientas Corto Derecho")</f>
        <v>Cajón Herramientas Corto Derecho</v>
      </c>
      <c r="AN56" s="3" t="str">
        <f>IFERROR(__xludf.DUMMYFUNCTION("""COMPUTED_VALUE"""),"Cajón Herramientas Corto Izquierdo")</f>
        <v>Cajón Herramientas Corto Izquierdo</v>
      </c>
      <c r="AO56" s="3" t="str">
        <f>IFERROR(__xludf.DUMMYFUNCTION("""COMPUTED_VALUE"""),"Cajón Herramientas Mediano Derecho")</f>
        <v>Cajón Herramientas Mediano Derecho</v>
      </c>
      <c r="AP56" s="3" t="str">
        <f>IFERROR(__xludf.DUMMYFUNCTION("""COMPUTED_VALUE"""),"Cajón Herramientas Mediano Izquierdo")</f>
        <v>Cajón Herramientas Mediano Izquierdo</v>
      </c>
      <c r="AQ56" s="3" t="str">
        <f>IFERROR(__xludf.DUMMYFUNCTION("""COMPUTED_VALUE"""),"Chasis Acoplado 2 Ejes L3000")</f>
        <v>Chasis Acoplado 2 Ejes L3000</v>
      </c>
      <c r="AR56" s="3" t="str">
        <f>IFERROR(__xludf.DUMMYFUNCTION("""COMPUTED_VALUE"""),"Chasis Acoplado 2 Ejes L3750")</f>
        <v>Chasis Acoplado 2 Ejes L3750</v>
      </c>
      <c r="AS56" s="3" t="str">
        <f>IFERROR(__xludf.DUMMYFUNCTION("""COMPUTED_VALUE"""),"Chasis Acoplado 2 Ejes L4000")</f>
        <v>Chasis Acoplado 2 Ejes L4000</v>
      </c>
      <c r="AT56" s="3" t="str">
        <f>IFERROR(__xludf.DUMMYFUNCTION("""COMPUTED_VALUE"""),"Chasis Acoplado 2 Ejes L4000 Reforzado")</f>
        <v>Chasis Acoplado 2 Ejes L4000 Reforzado</v>
      </c>
      <c r="AU56" s="3" t="str">
        <f>IFERROR(__xludf.DUMMYFUNCTION("""COMPUTED_VALUE"""),"Chasis Acoplado 2 Ejes L4750")</f>
        <v>Chasis Acoplado 2 Ejes L4750</v>
      </c>
      <c r="AV56" s="3" t="str">
        <f>IFERROR(__xludf.DUMMYFUNCTION("""COMPUTED_VALUE"""),"Chasis Acoplado 2 Ejes L4750 Reforzado")</f>
        <v>Chasis Acoplado 2 Ejes L4750 Reforzado</v>
      </c>
      <c r="AW56" s="3" t="str">
        <f>IFERROR(__xludf.DUMMYFUNCTION("""COMPUTED_VALUE"""),"Chasis Acoplado 2 Ejes L4750 Reforzado R. Camion")</f>
        <v>Chasis Acoplado 2 Ejes L4750 Reforzado R. Camion</v>
      </c>
      <c r="AX56" s="3" t="str">
        <f>IFERROR(__xludf.DUMMYFUNCTION("""COMPUTED_VALUE"""),"Chasis Acoplado 2 Ejes L5000")</f>
        <v>Chasis Acoplado 2 Ejes L5000</v>
      </c>
      <c r="AY56" s="3" t="str">
        <f>IFERROR(__xludf.DUMMYFUNCTION("""COMPUTED_VALUE"""),"Chasis Acoplado 2 Ejes L5750")</f>
        <v>Chasis Acoplado 2 Ejes L5750</v>
      </c>
      <c r="AZ56" s="3" t="str">
        <f>IFERROR(__xludf.DUMMYFUNCTION("""COMPUTED_VALUE"""),"Chasis Acoplado 2 Ejes L6400")</f>
        <v>Chasis Acoplado 2 Ejes L6400</v>
      </c>
      <c r="BA56" s="3" t="str">
        <f>IFERROR(__xludf.DUMMYFUNCTION("""COMPUTED_VALUE"""),"Chasis Acoplado 2 Ejes L4500")</f>
        <v>Chasis Acoplado 2 Ejes L4500</v>
      </c>
      <c r="BB56" s="3" t="str">
        <f>IFERROR(__xludf.DUMMYFUNCTION("""COMPUTED_VALUE"""),"Chasis Acoplado 1 Eje L1500")</f>
        <v>Chasis Acoplado 1 Eje L1500</v>
      </c>
      <c r="BC56" s="3" t="str">
        <f>IFERROR(__xludf.DUMMYFUNCTION("""COMPUTED_VALUE"""),"Chasis Acoplado 1 Eje L1800")</f>
        <v>Chasis Acoplado 1 Eje L1800</v>
      </c>
      <c r="BD56" s="3" t="str">
        <f>IFERROR(__xludf.DUMMYFUNCTION("""COMPUTED_VALUE"""),"Chasis Acoplado 1 Eje L1400")</f>
        <v>Chasis Acoplado 1 Eje L1400</v>
      </c>
      <c r="BE56" s="3" t="str">
        <f>IFERROR(__xludf.DUMMYFUNCTION("""COMPUTED_VALUE"""),"Chasis Acoplado Balancin L3000")</f>
        <v>Chasis Acoplado Balancin L3000</v>
      </c>
      <c r="BF56" s="3" t="str">
        <f>IFERROR(__xludf.DUMMYFUNCTION("""COMPUTED_VALUE"""),"Chasis Acoplado Balancin L3000 Lanza Corta")</f>
        <v>Chasis Acoplado Balancin L3000 Lanza Corta</v>
      </c>
      <c r="BG56" s="3" t="str">
        <f>IFERROR(__xludf.DUMMYFUNCTION("""COMPUTED_VALUE"""),"Chasis Acoplado Balancin L2000 Lanza Corta")</f>
        <v>Chasis Acoplado Balancin L2000 Lanza Corta</v>
      </c>
      <c r="BH56" s="3" t="str">
        <f>IFERROR(__xludf.DUMMYFUNCTION("""COMPUTED_VALUE"""),"Chasis Acoplado Balancin L3200 Lanza Corta")</f>
        <v>Chasis Acoplado Balancin L3200 Lanza Corta</v>
      </c>
      <c r="BI56" s="3" t="str">
        <f>IFERROR(__xludf.DUMMYFUNCTION("""COMPUTED_VALUE"""),"Chasis Acoplado Balancin L3200 Lanza Recta")</f>
        <v>Chasis Acoplado Balancin L3200 Lanza Recta</v>
      </c>
      <c r="BJ56" s="3" t="str">
        <f>IFERROR(__xludf.DUMMYFUNCTION("""COMPUTED_VALUE"""),"Chasis Acoplado Balancin L3200 Bajo Lanza Recta")</f>
        <v>Chasis Acoplado Balancin L3200 Bajo Lanza Recta</v>
      </c>
      <c r="BK56" s="3" t="str">
        <f>IFERROR(__xludf.DUMMYFUNCTION("""COMPUTED_VALUE"""),"Tanque Plastico Horizontal 750 Lts")</f>
        <v>Tanque Plastico Horizontal 750 Lts</v>
      </c>
      <c r="BL56" s="3" t="str">
        <f>IFERROR(__xludf.DUMMYFUNCTION("""COMPUTED_VALUE"""),"Medio Tanque Plastico Superior 700 Lts")</f>
        <v>Medio Tanque Plastico Superior 700 Lts</v>
      </c>
      <c r="BM56" s="3" t="str">
        <f>IFERROR(__xludf.DUMMYFUNCTION("""COMPUTED_VALUE"""),"Paquete de Elasticos 50 mm x 8 mm x 10 Hojas L850")</f>
        <v>Paquete de Elasticos 50 mm x 8 mm x 10 Hojas L850</v>
      </c>
      <c r="BN56" s="3" t="str">
        <f>IFERROR(__xludf.DUMMYFUNCTION("""COMPUTED_VALUE"""),"Paquete de Elasticos 63 mm x 8 mm x 10 Hojas L950")</f>
        <v>Paquete de Elasticos 63 mm x 8 mm x 10 Hojas L950</v>
      </c>
      <c r="BO56" s="3" t="str">
        <f>IFERROR(__xludf.DUMMYFUNCTION("""COMPUTED_VALUE"""),"Paquete de Elasticos 50 mm x 7 mm x 9 Hojas L850")</f>
        <v>Paquete de Elasticos 50 mm x 7 mm x 9 Hojas L850</v>
      </c>
      <c r="BP56" s="3" t="str">
        <f>IFERROR(__xludf.DUMMYFUNCTION("""COMPUTED_VALUE"""),"Paquete de Elasticos 63 mm x 8 mm x 8 Hojas L850")</f>
        <v>Paquete de Elasticos 63 mm x 8 mm x 8 Hojas L850</v>
      </c>
      <c r="BQ56" s="3" t="str">
        <f>IFERROR(__xludf.DUMMYFUNCTION("""COMPUTED_VALUE"""),"Paquete de Elasticos 63 mm x 10 mm x 10 Hojas L950")</f>
        <v>Paquete de Elasticos 63 mm x 10 mm x 10 Hojas L950</v>
      </c>
      <c r="BR56" s="3" t="str">
        <f>IFERROR(__xludf.DUMMYFUNCTION("""COMPUTED_VALUE"""),"Paquete de Elasticos 63 mm x 10 mm x 13 Hojas L975")</f>
        <v>Paquete de Elasticos 63 mm x 10 mm x 13 Hojas L975</v>
      </c>
      <c r="BS56" s="3" t="str">
        <f>IFERROR(__xludf.DUMMYFUNCTION("""COMPUTED_VALUE"""),"Paquete de Elasticos 50 mm x 7 mm x 9 Hojas L650")</f>
        <v>Paquete de Elasticos 50 mm x 7 mm x 9 Hojas L650</v>
      </c>
      <c r="BT56" s="3" t="str">
        <f>IFERROR(__xludf.DUMMYFUNCTION("""COMPUTED_VALUE"""),"Eje Acoplado 2"" x 1600 (06/08) Agrícola Centro 92")</f>
        <v>Eje Acoplado 2" x 1600 (06/08) Agrícola Centro 92</v>
      </c>
      <c r="BU56" s="3" t="str">
        <f>IFERROR(__xludf.DUMMYFUNCTION("""COMPUTED_VALUE"""),"Eje Acoplado 2 1/2"" x 1600 (07/09) Agrícola Centro 92")</f>
        <v>Eje Acoplado 2 1/2" x 1600 (07/09) Agrícola Centro 92</v>
      </c>
      <c r="BV56" s="3" t="str">
        <f>IFERROR(__xludf.DUMMYFUNCTION("""COMPUTED_VALUE"""),"Eje Acoplado 2 1/2"" x 1600 (09/11) Agrícola Centro 150")</f>
        <v>Eje Acoplado 2 1/2" x 1600 (09/11) Agrícola Centro 150</v>
      </c>
      <c r="BW56" s="3" t="str">
        <f>IFERROR(__xludf.DUMMYFUNCTION("""COMPUTED_VALUE"""),"Eje Acoplado 3"" x 1600 (10/13) Agrícola Centro 150")</f>
        <v>Eje Acoplado 3" x 1600 (10/13) Agrícola Centro 150</v>
      </c>
      <c r="BX56" s="3" t="str">
        <f>IFERROR(__xludf.DUMMYFUNCTION("""COMPUTED_VALUE"""),"Eje Acoplado 2 1/2"" x 2140 (07/09) Agrícola Centro 92")</f>
        <v>Eje Acoplado 2 1/2" x 2140 (07/09) Agrícola Centro 92</v>
      </c>
      <c r="BY56" s="3" t="str">
        <f>IFERROR(__xludf.DUMMYFUNCTION("""COMPUTED_VALUE"""),"Eje Acoplado 2"" x 1400 (06/08) Agrícola Centro 92")</f>
        <v>Eje Acoplado 2" x 1400 (06/08) Agrícola Centro 92</v>
      </c>
      <c r="BZ56" s="3" t="str">
        <f>IFERROR(__xludf.DUMMYFUNCTION("""COMPUTED_VALUE"""),"Eje Acoplado 2 1/2"" x 1500 (07/09) Agrícola Centro 92")</f>
        <v>Eje Acoplado 2 1/2" x 1500 (07/09) Agrícola Centro 92</v>
      </c>
      <c r="CA56" s="3" t="str">
        <f>IFERROR(__xludf.DUMMYFUNCTION("""COMPUTED_VALUE"""),"Eje Acoplado 2 1/2"" x 2000 (07/09) Agrícola Centro 92")</f>
        <v>Eje Acoplado 2 1/2" x 2000 (07/09) Agrícola Centro 92</v>
      </c>
      <c r="CB56" s="3" t="str">
        <f>IFERROR(__xludf.DUMMYFUNCTION("""COMPUTED_VALUE"""),"Eje Acoplado 2 1/2"" x 2100 (09/11) Agrícola Centro 150")</f>
        <v>Eje Acoplado 2 1/2" x 2100 (09/11) Agrícola Centro 150</v>
      </c>
      <c r="CC56" s="3" t="str">
        <f>IFERROR(__xludf.DUMMYFUNCTION("""COMPUTED_VALUE"""),"Llanta 16"" Simple Agrícola Centro 92")</f>
        <v>Llanta 16" Simple Agrícola Centro 92</v>
      </c>
      <c r="CD56" s="3" t="str">
        <f>IFERROR(__xludf.DUMMYFUNCTION("""COMPUTED_VALUE"""),"Llanta 16"" Dual Agrícola Centro 92")</f>
        <v>Llanta 16" Dual Agrícola Centro 92</v>
      </c>
      <c r="CE56" s="3" t="str">
        <f>IFERROR(__xludf.DUMMYFUNCTION("""COMPUTED_VALUE"""),"Llanta 17"" Simple Agrícola Centro 92")</f>
        <v>Llanta 17" Simple Agrícola Centro 92</v>
      </c>
      <c r="CF56" s="3" t="str">
        <f>IFERROR(__xludf.DUMMYFUNCTION("""COMPUTED_VALUE"""),"Llanta 17"" Dual Agrícola Centro 92")</f>
        <v>Llanta 17" Dual Agrícola Centro 92</v>
      </c>
      <c r="CG56" s="3" t="str">
        <f>IFERROR(__xludf.DUMMYFUNCTION("""COMPUTED_VALUE"""),"Llanta 16"" Dual Agrícola Centro 152")</f>
        <v>Llanta 16" Dual Agrícola Centro 152</v>
      </c>
      <c r="CH56" s="3" t="str">
        <f>IFERROR(__xludf.DUMMYFUNCTION("""COMPUTED_VALUE"""),"Llanta 17"" Dual Agrícola Centro 152")</f>
        <v>Llanta 17" Dual Agrícola Centro 152</v>
      </c>
      <c r="CI56" s="3" t="str">
        <f>IFERROR(__xludf.DUMMYFUNCTION("""COMPUTED_VALUE"""),"Eje Acoplado 2"" x 1600 (05/07) Agrícola Centro 92")</f>
        <v>Eje Acoplado 2" x 1600 (05/07) Agrícola Centro 92</v>
      </c>
      <c r="CJ56" s="3" t="str">
        <f>IFERROR(__xludf.DUMMYFUNCTION("""COMPUTED_VALUE"""),"Paquete de Elásticos 50 mm x 8 mm x 12 Hojas")</f>
        <v>Paquete de Elásticos 50 mm x 8 mm x 12 Hojas</v>
      </c>
      <c r="CK56" s="3" t="str">
        <f>IFERROR(__xludf.DUMMYFUNCTION("""COMPUTED_VALUE"""),"Plataforma Playo 4.00 x 1.90 x 0.45 Lateral Simple Baranda Fija")</f>
        <v>Plataforma Playo 4.00 x 1.90 x 0.45 Lateral Simple Baranda Fija</v>
      </c>
      <c r="CL56" s="3" t="str">
        <f>IFERROR(__xludf.DUMMYFUNCTION("""COMPUTED_VALUE"""),"Plataforma Playo 4.00 x 1.90 x 0.45 Lateral Simple Baranda Ventilada")</f>
        <v>Plataforma Playo 4.00 x 1.90 x 0.45 Lateral Simple Baranda Ventilada</v>
      </c>
      <c r="CM56" s="3" t="str">
        <f>IFERROR(__xludf.DUMMYFUNCTION("""COMPUTED_VALUE"""),"Plataforma Playo 4.00 x 1.90 x 0.45 Lateral Doble Baranda Ventilada")</f>
        <v>Plataforma Playo 4.00 x 1.90 x 0.45 Lateral Doble Baranda Ventilada</v>
      </c>
      <c r="CN56" s="3" t="str">
        <f>IFERROR(__xludf.DUMMYFUNCTION("""COMPUTED_VALUE"""),"Plataforma Playo 4.00 x 1.90 x 0.45 Lateral Doble Baranda Fija")</f>
        <v>Plataforma Playo 4.00 x 1.90 x 0.45 Lateral Doble Baranda Fija</v>
      </c>
      <c r="CO56" s="3" t="str">
        <f>IFERROR(__xludf.DUMMYFUNCTION("""COMPUTED_VALUE"""),"Plataforma Playo 4.00 x 1.90 x 0.72 Lateral Simple Baranda Fija")</f>
        <v>Plataforma Playo 4.00 x 1.90 x 0.72 Lateral Simple Baranda Fija</v>
      </c>
      <c r="CP56" s="3" t="str">
        <f>IFERROR(__xludf.DUMMYFUNCTION("""COMPUTED_VALUE"""),"Plataforma Playo 4.00 x 1.90 x 0.72 Lateral Doble Baranda Fija")</f>
        <v>Plataforma Playo 4.00 x 1.90 x 0.72 Lateral Doble Baranda Fija</v>
      </c>
      <c r="CQ56" s="3" t="str">
        <f>IFERROR(__xludf.DUMMYFUNCTION("""COMPUTED_VALUE"""),"Plataforma Playo 5.00 x 2.20 x 0.60 Lateral Doble Trasera Rebatible")</f>
        <v>Plataforma Playo 5.00 x 2.20 x 0.60 Lateral Doble Trasera Rebatible</v>
      </c>
      <c r="CR56" s="3" t="str">
        <f>IFERROR(__xludf.DUMMYFUNCTION("""COMPUTED_VALUE"""),"Plataforma Playo 5.00 x 2.20 x 0.60 Lateral Doble Baranda Fija C/Toldo")</f>
        <v>Plataforma Playo 5.00 x 2.20 x 0.60 Lateral Doble Baranda Fija C/Toldo</v>
      </c>
      <c r="CS56" s="3" t="str">
        <f>IFERROR(__xludf.DUMMYFUNCTION("""COMPUTED_VALUE"""),"Plataforma Playo 3.00 x 1.90 x 0.45 Lateral Simple Baranda Fija")</f>
        <v>Plataforma Playo 3.00 x 1.90 x 0.45 Lateral Simple Baranda Fija</v>
      </c>
      <c r="CT56" s="3" t="str">
        <f>IFERROR(__xludf.DUMMYFUNCTION("""COMPUTED_VALUE"""),"Plataforma Playo 3.00 x 1.90 x 0.45 Lateral Simple Baranda Ventilada")</f>
        <v>Plataforma Playo 3.00 x 1.90 x 0.45 Lateral Simple Baranda Ventilada</v>
      </c>
      <c r="CU56" s="3" t="str">
        <f>IFERROR(__xludf.DUMMYFUNCTION("""COMPUTED_VALUE"""),"Plataforma Playo 2.00 x 1.90 x 0.45 Lateral Simple Baranda Fija")</f>
        <v>Plataforma Playo 2.00 x 1.90 x 0.45 Lateral Simple Baranda Fija</v>
      </c>
      <c r="CV56" s="3" t="str">
        <f>IFERROR(__xludf.DUMMYFUNCTION("""COMPUTED_VALUE"""),"Plataforma Playo 5.00 x 1.90 x 0.60 Lateral Doble Baranda Fija")</f>
        <v>Plataforma Playo 5.00 x 1.90 x 0.60 Lateral Doble Baranda Fija</v>
      </c>
      <c r="CW56" s="3" t="str">
        <f>IFERROR(__xludf.DUMMYFUNCTION("""COMPUTED_VALUE"""),"Plataforma Playo 6.40 x 2.70 x 0.72 Lateral Doble Baranda Fija")</f>
        <v>Plataforma Playo 6.40 x 2.70 x 0.72 Lateral Doble Baranda Fija</v>
      </c>
      <c r="CX56" s="3" t="str">
        <f>IFERROR(__xludf.DUMMYFUNCTION("""COMPUTED_VALUE"""),"Chasis Acoplado Balancin L4000 Lanza Recta")</f>
        <v>Chasis Acoplado Balancin L4000 Lanza Recta</v>
      </c>
      <c r="CY56" s="3" t="str">
        <f>IFERROR(__xludf.DUMMYFUNCTION("""COMPUTED_VALUE"""),"Llanta simple Agrícola 750x20 centro 152")</f>
        <v>Llanta simple Agrícola 750x20 centro 152</v>
      </c>
      <c r="CZ56" s="3" t="str">
        <f>IFERROR(__xludf.DUMMYFUNCTION("""COMPUTED_VALUE"""),"Cajón de Herramientas Mediano adelante")</f>
        <v>Cajón de Herramientas Mediano adelante</v>
      </c>
      <c r="DA56" s="3" t="str">
        <f>IFERROR(__xludf.DUMMYFUNCTION("""COMPUTED_VALUE"""),"Llanta 15"" Simple Agrícola Centro 92")</f>
        <v>Llanta 15" Simple Agrícola Centro 92</v>
      </c>
    </row>
    <row r="57" hidden="1">
      <c r="A57" s="38">
        <f t="shared" si="1"/>
        <v>56</v>
      </c>
      <c r="B57" s="38">
        <f>IF(F57="","",SUMIF(Prearmados!E:E,F57,Prearmados!A:A))</f>
        <v>9</v>
      </c>
      <c r="C57" s="38">
        <f>IF(F57="","",SUMIF(Productos!E:E,G57,Productos!A:A))</f>
        <v>50</v>
      </c>
      <c r="D57" s="83" t="str">
        <f t="array" ref="D57">IF(OR(F57="",F57="Seleccionar.."),"",XLOOKUP(F57,Prearmados!E:E,Prearmados!F:F,"",0,1))</f>
        <v>Acoplados Rurales</v>
      </c>
      <c r="E57" s="83">
        <f>IF(H57="","",SUMIF(Precio_Productos!K:K,C57,Precio_Productos!J:J)*H57)</f>
        <v>2500000</v>
      </c>
      <c r="F57" s="84" t="s">
        <v>332</v>
      </c>
      <c r="G57" s="84" t="s">
        <v>61</v>
      </c>
      <c r="H57" s="13">
        <v>1.0</v>
      </c>
      <c r="P57" s="3" t="str">
        <f>IFERROR(__xludf.DUMMYFUNCTION("IF(OR(F57="""",F57=""Seleccionar..""),"""",TRANSPOSE(FILTER(Productos!E:E,(Productos!F:F=D57)+(Productos!F:F=XLOOKUP(D57,Implementos!B:B,Implementos!C:C,""-"",0,1)))))"),"Tanque Combustible 1100 lts Bajo")</f>
        <v>Tanque Combustible 1100 lts Bajo</v>
      </c>
      <c r="Q57" s="3" t="str">
        <f>IFERROR(__xludf.DUMMYFUNCTION("""COMPUTED_VALUE"""),"Tanque Combustible 1500 lts Standard")</f>
        <v>Tanque Combustible 1500 lts Standard</v>
      </c>
      <c r="R57" s="3" t="str">
        <f>IFERROR(__xludf.DUMMYFUNCTION("""COMPUTED_VALUE"""),"Tanque Combustible 1800 lts Standard")</f>
        <v>Tanque Combustible 1800 lts Standard</v>
      </c>
      <c r="S57" s="3" t="str">
        <f>IFERROR(__xludf.DUMMYFUNCTION("""COMPUTED_VALUE"""),"Tanque Combustible 2000 lts Bajo")</f>
        <v>Tanque Combustible 2000 lts Bajo</v>
      </c>
      <c r="T57" s="3" t="str">
        <f>IFERROR(__xludf.DUMMYFUNCTION("""COMPUTED_VALUE"""),"Tanque Combustible 2000 lts Standard")</f>
        <v>Tanque Combustible 2000 lts Standard</v>
      </c>
      <c r="U57" s="3" t="str">
        <f>IFERROR(__xludf.DUMMYFUNCTION("""COMPUTED_VALUE"""),"Tanque Combustible 3000 lts Standard")</f>
        <v>Tanque Combustible 3000 lts Standard</v>
      </c>
      <c r="V57" s="3" t="str">
        <f>IFERROR(__xludf.DUMMYFUNCTION("""COMPUTED_VALUE"""),"Tanque Combustible 3000 lts Alto")</f>
        <v>Tanque Combustible 3000 lts Alto</v>
      </c>
      <c r="W57" s="3" t="str">
        <f>IFERROR(__xludf.DUMMYFUNCTION("""COMPUTED_VALUE"""),"Tanque Combustible 4000 lts Standard")</f>
        <v>Tanque Combustible 4000 lts Standard</v>
      </c>
      <c r="X57" s="3" t="str">
        <f>IFERROR(__xludf.DUMMYFUNCTION("""COMPUTED_VALUE"""),"Tanque Combustible 5000 lts Standard")</f>
        <v>Tanque Combustible 5000 lts Standard</v>
      </c>
      <c r="Y57" s="3" t="str">
        <f>IFERROR(__xludf.DUMMYFUNCTION("""COMPUTED_VALUE"""),"Tanque Combustible 5000 lts Alto")</f>
        <v>Tanque Combustible 5000 lts Alto</v>
      </c>
      <c r="Z57" s="3" t="str">
        <f>IFERROR(__xludf.DUMMYFUNCTION("""COMPUTED_VALUE"""),"Tanque Combustible 2000 lts Alto")</f>
        <v>Tanque Combustible 2000 lts Alto</v>
      </c>
      <c r="AA57" s="3" t="str">
        <f>IFERROR(__xludf.DUMMYFUNCTION("""COMPUTED_VALUE"""),"Tanque Combustible 4000 lts Alto")</f>
        <v>Tanque Combustible 4000 lts Alto</v>
      </c>
      <c r="AB57" s="3" t="str">
        <f>IFERROR(__xludf.DUMMYFUNCTION("""COMPUTED_VALUE"""),"Baulera Standard - 750")</f>
        <v>Baulera Standard - 750</v>
      </c>
      <c r="AC57" s="3" t="str">
        <f>IFERROR(__xludf.DUMMYFUNCTION("""COMPUTED_VALUE"""),"Baulera Standard - 1700 - C/Laterales")</f>
        <v>Baulera Standard - 1700 - C/Laterales</v>
      </c>
      <c r="AD57" s="3" t="str">
        <f>IFERROR(__xludf.DUMMYFUNCTION("""COMPUTED_VALUE"""),"Baulera Standard - 1000 - C/Laterales")</f>
        <v>Baulera Standard - 1000 - C/Laterales</v>
      </c>
      <c r="AE57" s="3" t="str">
        <f>IFERROR(__xludf.DUMMYFUNCTION("""COMPUTED_VALUE"""),"Baulera Standard - 750 - C/Laterales")</f>
        <v>Baulera Standard - 750 - C/Laterales</v>
      </c>
      <c r="AF57" s="3" t="str">
        <f>IFERROR(__xludf.DUMMYFUNCTION("""COMPUTED_VALUE"""),"Baulera Standard - 1300 - C/Laterales")</f>
        <v>Baulera Standard - 1300 - C/Laterales</v>
      </c>
      <c r="AG57" s="3" t="str">
        <f>IFERROR(__xludf.DUMMYFUNCTION("""COMPUTED_VALUE"""),"Baulera Alta - 750")</f>
        <v>Baulera Alta - 750</v>
      </c>
      <c r="AH57" s="3" t="str">
        <f>IFERROR(__xludf.DUMMYFUNCTION("""COMPUTED_VALUE"""),"Baulera Alta - 1500 - C/Laterales")</f>
        <v>Baulera Alta - 1500 - C/Laterales</v>
      </c>
      <c r="AI57" s="3" t="str">
        <f>IFERROR(__xludf.DUMMYFUNCTION("""COMPUTED_VALUE"""),"Baulera Extendida 1700 - C/Laterales")</f>
        <v>Baulera Extendida 1700 - C/Laterales</v>
      </c>
      <c r="AJ57" s="3" t="str">
        <f>IFERROR(__xludf.DUMMYFUNCTION("""COMPUTED_VALUE"""),"Taller Móvil - 1500 x 1500 x 1700")</f>
        <v>Taller Móvil - 1500 x 1500 x 1700</v>
      </c>
      <c r="AK57" s="3" t="str">
        <f>IFERROR(__xludf.DUMMYFUNCTION("""COMPUTED_VALUE"""),"Cajón Herramientas Standard Derecho")</f>
        <v>Cajón Herramientas Standard Derecho</v>
      </c>
      <c r="AL57" s="3" t="str">
        <f>IFERROR(__xludf.DUMMYFUNCTION("""COMPUTED_VALUE"""),"Cajón Herramientas Standard Izquierdo")</f>
        <v>Cajón Herramientas Standard Izquierdo</v>
      </c>
      <c r="AM57" s="3" t="str">
        <f>IFERROR(__xludf.DUMMYFUNCTION("""COMPUTED_VALUE"""),"Cajón Herramientas Corto Derecho")</f>
        <v>Cajón Herramientas Corto Derecho</v>
      </c>
      <c r="AN57" s="3" t="str">
        <f>IFERROR(__xludf.DUMMYFUNCTION("""COMPUTED_VALUE"""),"Cajón Herramientas Corto Izquierdo")</f>
        <v>Cajón Herramientas Corto Izquierdo</v>
      </c>
      <c r="AO57" s="3" t="str">
        <f>IFERROR(__xludf.DUMMYFUNCTION("""COMPUTED_VALUE"""),"Cajón Herramientas Mediano Derecho")</f>
        <v>Cajón Herramientas Mediano Derecho</v>
      </c>
      <c r="AP57" s="3" t="str">
        <f>IFERROR(__xludf.DUMMYFUNCTION("""COMPUTED_VALUE"""),"Cajón Herramientas Mediano Izquierdo")</f>
        <v>Cajón Herramientas Mediano Izquierdo</v>
      </c>
      <c r="AQ57" s="3" t="str">
        <f>IFERROR(__xludf.DUMMYFUNCTION("""COMPUTED_VALUE"""),"Chasis Acoplado 2 Ejes L3000")</f>
        <v>Chasis Acoplado 2 Ejes L3000</v>
      </c>
      <c r="AR57" s="3" t="str">
        <f>IFERROR(__xludf.DUMMYFUNCTION("""COMPUTED_VALUE"""),"Chasis Acoplado 2 Ejes L3750")</f>
        <v>Chasis Acoplado 2 Ejes L3750</v>
      </c>
      <c r="AS57" s="3" t="str">
        <f>IFERROR(__xludf.DUMMYFUNCTION("""COMPUTED_VALUE"""),"Chasis Acoplado 2 Ejes L4000")</f>
        <v>Chasis Acoplado 2 Ejes L4000</v>
      </c>
      <c r="AT57" s="3" t="str">
        <f>IFERROR(__xludf.DUMMYFUNCTION("""COMPUTED_VALUE"""),"Chasis Acoplado 2 Ejes L4000 Reforzado")</f>
        <v>Chasis Acoplado 2 Ejes L4000 Reforzado</v>
      </c>
      <c r="AU57" s="3" t="str">
        <f>IFERROR(__xludf.DUMMYFUNCTION("""COMPUTED_VALUE"""),"Chasis Acoplado 2 Ejes L4750")</f>
        <v>Chasis Acoplado 2 Ejes L4750</v>
      </c>
      <c r="AV57" s="3" t="str">
        <f>IFERROR(__xludf.DUMMYFUNCTION("""COMPUTED_VALUE"""),"Chasis Acoplado 2 Ejes L4750 Reforzado")</f>
        <v>Chasis Acoplado 2 Ejes L4750 Reforzado</v>
      </c>
      <c r="AW57" s="3" t="str">
        <f>IFERROR(__xludf.DUMMYFUNCTION("""COMPUTED_VALUE"""),"Chasis Acoplado 2 Ejes L4750 Reforzado R. Camion")</f>
        <v>Chasis Acoplado 2 Ejes L4750 Reforzado R. Camion</v>
      </c>
      <c r="AX57" s="3" t="str">
        <f>IFERROR(__xludf.DUMMYFUNCTION("""COMPUTED_VALUE"""),"Chasis Acoplado 2 Ejes L5000")</f>
        <v>Chasis Acoplado 2 Ejes L5000</v>
      </c>
      <c r="AY57" s="3" t="str">
        <f>IFERROR(__xludf.DUMMYFUNCTION("""COMPUTED_VALUE"""),"Chasis Acoplado 2 Ejes L5750")</f>
        <v>Chasis Acoplado 2 Ejes L5750</v>
      </c>
      <c r="AZ57" s="3" t="str">
        <f>IFERROR(__xludf.DUMMYFUNCTION("""COMPUTED_VALUE"""),"Chasis Acoplado 2 Ejes L6400")</f>
        <v>Chasis Acoplado 2 Ejes L6400</v>
      </c>
      <c r="BA57" s="3" t="str">
        <f>IFERROR(__xludf.DUMMYFUNCTION("""COMPUTED_VALUE"""),"Chasis Acoplado 2 Ejes L4500")</f>
        <v>Chasis Acoplado 2 Ejes L4500</v>
      </c>
      <c r="BB57" s="3" t="str">
        <f>IFERROR(__xludf.DUMMYFUNCTION("""COMPUTED_VALUE"""),"Chasis Acoplado 1 Eje L1500")</f>
        <v>Chasis Acoplado 1 Eje L1500</v>
      </c>
      <c r="BC57" s="3" t="str">
        <f>IFERROR(__xludf.DUMMYFUNCTION("""COMPUTED_VALUE"""),"Chasis Acoplado 1 Eje L1800")</f>
        <v>Chasis Acoplado 1 Eje L1800</v>
      </c>
      <c r="BD57" s="3" t="str">
        <f>IFERROR(__xludf.DUMMYFUNCTION("""COMPUTED_VALUE"""),"Chasis Acoplado 1 Eje L1400")</f>
        <v>Chasis Acoplado 1 Eje L1400</v>
      </c>
      <c r="BE57" s="3" t="str">
        <f>IFERROR(__xludf.DUMMYFUNCTION("""COMPUTED_VALUE"""),"Chasis Acoplado Balancin L3000")</f>
        <v>Chasis Acoplado Balancin L3000</v>
      </c>
      <c r="BF57" s="3" t="str">
        <f>IFERROR(__xludf.DUMMYFUNCTION("""COMPUTED_VALUE"""),"Chasis Acoplado Balancin L3000 Lanza Corta")</f>
        <v>Chasis Acoplado Balancin L3000 Lanza Corta</v>
      </c>
      <c r="BG57" s="3" t="str">
        <f>IFERROR(__xludf.DUMMYFUNCTION("""COMPUTED_VALUE"""),"Chasis Acoplado Balancin L2000 Lanza Corta")</f>
        <v>Chasis Acoplado Balancin L2000 Lanza Corta</v>
      </c>
      <c r="BH57" s="3" t="str">
        <f>IFERROR(__xludf.DUMMYFUNCTION("""COMPUTED_VALUE"""),"Chasis Acoplado Balancin L3200 Lanza Corta")</f>
        <v>Chasis Acoplado Balancin L3200 Lanza Corta</v>
      </c>
      <c r="BI57" s="3" t="str">
        <f>IFERROR(__xludf.DUMMYFUNCTION("""COMPUTED_VALUE"""),"Chasis Acoplado Balancin L3200 Lanza Recta")</f>
        <v>Chasis Acoplado Balancin L3200 Lanza Recta</v>
      </c>
      <c r="BJ57" s="3" t="str">
        <f>IFERROR(__xludf.DUMMYFUNCTION("""COMPUTED_VALUE"""),"Chasis Acoplado Balancin L3200 Bajo Lanza Recta")</f>
        <v>Chasis Acoplado Balancin L3200 Bajo Lanza Recta</v>
      </c>
      <c r="BK57" s="3" t="str">
        <f>IFERROR(__xludf.DUMMYFUNCTION("""COMPUTED_VALUE"""),"Tanque Plastico Horizontal 750 Lts")</f>
        <v>Tanque Plastico Horizontal 750 Lts</v>
      </c>
      <c r="BL57" s="3" t="str">
        <f>IFERROR(__xludf.DUMMYFUNCTION("""COMPUTED_VALUE"""),"Medio Tanque Plastico Superior 700 Lts")</f>
        <v>Medio Tanque Plastico Superior 700 Lts</v>
      </c>
      <c r="BM57" s="3" t="str">
        <f>IFERROR(__xludf.DUMMYFUNCTION("""COMPUTED_VALUE"""),"Paquete de Elasticos 50 mm x 8 mm x 10 Hojas L850")</f>
        <v>Paquete de Elasticos 50 mm x 8 mm x 10 Hojas L850</v>
      </c>
      <c r="BN57" s="3" t="str">
        <f>IFERROR(__xludf.DUMMYFUNCTION("""COMPUTED_VALUE"""),"Paquete de Elasticos 63 mm x 8 mm x 10 Hojas L950")</f>
        <v>Paquete de Elasticos 63 mm x 8 mm x 10 Hojas L950</v>
      </c>
      <c r="BO57" s="3" t="str">
        <f>IFERROR(__xludf.DUMMYFUNCTION("""COMPUTED_VALUE"""),"Paquete de Elasticos 50 mm x 7 mm x 9 Hojas L850")</f>
        <v>Paquete de Elasticos 50 mm x 7 mm x 9 Hojas L850</v>
      </c>
      <c r="BP57" s="3" t="str">
        <f>IFERROR(__xludf.DUMMYFUNCTION("""COMPUTED_VALUE"""),"Paquete de Elasticos 63 mm x 8 mm x 8 Hojas L850")</f>
        <v>Paquete de Elasticos 63 mm x 8 mm x 8 Hojas L850</v>
      </c>
      <c r="BQ57" s="3" t="str">
        <f>IFERROR(__xludf.DUMMYFUNCTION("""COMPUTED_VALUE"""),"Paquete de Elasticos 63 mm x 10 mm x 10 Hojas L950")</f>
        <v>Paquete de Elasticos 63 mm x 10 mm x 10 Hojas L950</v>
      </c>
      <c r="BR57" s="3" t="str">
        <f>IFERROR(__xludf.DUMMYFUNCTION("""COMPUTED_VALUE"""),"Paquete de Elasticos 63 mm x 10 mm x 13 Hojas L975")</f>
        <v>Paquete de Elasticos 63 mm x 10 mm x 13 Hojas L975</v>
      </c>
      <c r="BS57" s="3" t="str">
        <f>IFERROR(__xludf.DUMMYFUNCTION("""COMPUTED_VALUE"""),"Paquete de Elasticos 50 mm x 7 mm x 9 Hojas L650")</f>
        <v>Paquete de Elasticos 50 mm x 7 mm x 9 Hojas L650</v>
      </c>
      <c r="BT57" s="3" t="str">
        <f>IFERROR(__xludf.DUMMYFUNCTION("""COMPUTED_VALUE"""),"Eje Acoplado 2"" x 1600 (06/08) Agrícola Centro 92")</f>
        <v>Eje Acoplado 2" x 1600 (06/08) Agrícola Centro 92</v>
      </c>
      <c r="BU57" s="3" t="str">
        <f>IFERROR(__xludf.DUMMYFUNCTION("""COMPUTED_VALUE"""),"Eje Acoplado 2 1/2"" x 1600 (07/09) Agrícola Centro 92")</f>
        <v>Eje Acoplado 2 1/2" x 1600 (07/09) Agrícola Centro 92</v>
      </c>
      <c r="BV57" s="3" t="str">
        <f>IFERROR(__xludf.DUMMYFUNCTION("""COMPUTED_VALUE"""),"Eje Acoplado 2 1/2"" x 1600 (09/11) Agrícola Centro 150")</f>
        <v>Eje Acoplado 2 1/2" x 1600 (09/11) Agrícola Centro 150</v>
      </c>
      <c r="BW57" s="3" t="str">
        <f>IFERROR(__xludf.DUMMYFUNCTION("""COMPUTED_VALUE"""),"Eje Acoplado 3"" x 1600 (10/13) Agrícola Centro 150")</f>
        <v>Eje Acoplado 3" x 1600 (10/13) Agrícola Centro 150</v>
      </c>
      <c r="BX57" s="3" t="str">
        <f>IFERROR(__xludf.DUMMYFUNCTION("""COMPUTED_VALUE"""),"Eje Acoplado 2 1/2"" x 2140 (07/09) Agrícola Centro 92")</f>
        <v>Eje Acoplado 2 1/2" x 2140 (07/09) Agrícola Centro 92</v>
      </c>
      <c r="BY57" s="3" t="str">
        <f>IFERROR(__xludf.DUMMYFUNCTION("""COMPUTED_VALUE"""),"Eje Acoplado 2"" x 1400 (06/08) Agrícola Centro 92")</f>
        <v>Eje Acoplado 2" x 1400 (06/08) Agrícola Centro 92</v>
      </c>
      <c r="BZ57" s="3" t="str">
        <f>IFERROR(__xludf.DUMMYFUNCTION("""COMPUTED_VALUE"""),"Eje Acoplado 2 1/2"" x 1500 (07/09) Agrícola Centro 92")</f>
        <v>Eje Acoplado 2 1/2" x 1500 (07/09) Agrícola Centro 92</v>
      </c>
      <c r="CA57" s="3" t="str">
        <f>IFERROR(__xludf.DUMMYFUNCTION("""COMPUTED_VALUE"""),"Eje Acoplado 2 1/2"" x 2000 (07/09) Agrícola Centro 92")</f>
        <v>Eje Acoplado 2 1/2" x 2000 (07/09) Agrícola Centro 92</v>
      </c>
      <c r="CB57" s="3" t="str">
        <f>IFERROR(__xludf.DUMMYFUNCTION("""COMPUTED_VALUE"""),"Eje Acoplado 2 1/2"" x 2100 (09/11) Agrícola Centro 150")</f>
        <v>Eje Acoplado 2 1/2" x 2100 (09/11) Agrícola Centro 150</v>
      </c>
      <c r="CC57" s="3" t="str">
        <f>IFERROR(__xludf.DUMMYFUNCTION("""COMPUTED_VALUE"""),"Llanta 16"" Simple Agrícola Centro 92")</f>
        <v>Llanta 16" Simple Agrícola Centro 92</v>
      </c>
      <c r="CD57" s="3" t="str">
        <f>IFERROR(__xludf.DUMMYFUNCTION("""COMPUTED_VALUE"""),"Llanta 16"" Dual Agrícola Centro 92")</f>
        <v>Llanta 16" Dual Agrícola Centro 92</v>
      </c>
      <c r="CE57" s="3" t="str">
        <f>IFERROR(__xludf.DUMMYFUNCTION("""COMPUTED_VALUE"""),"Llanta 17"" Simple Agrícola Centro 92")</f>
        <v>Llanta 17" Simple Agrícola Centro 92</v>
      </c>
      <c r="CF57" s="3" t="str">
        <f>IFERROR(__xludf.DUMMYFUNCTION("""COMPUTED_VALUE"""),"Llanta 17"" Dual Agrícola Centro 92")</f>
        <v>Llanta 17" Dual Agrícola Centro 92</v>
      </c>
      <c r="CG57" s="3" t="str">
        <f>IFERROR(__xludf.DUMMYFUNCTION("""COMPUTED_VALUE"""),"Llanta 16"" Dual Agrícola Centro 152")</f>
        <v>Llanta 16" Dual Agrícola Centro 152</v>
      </c>
      <c r="CH57" s="3" t="str">
        <f>IFERROR(__xludf.DUMMYFUNCTION("""COMPUTED_VALUE"""),"Llanta 17"" Dual Agrícola Centro 152")</f>
        <v>Llanta 17" Dual Agrícola Centro 152</v>
      </c>
      <c r="CI57" s="3" t="str">
        <f>IFERROR(__xludf.DUMMYFUNCTION("""COMPUTED_VALUE"""),"Eje Acoplado 2"" x 1600 (05/07) Agrícola Centro 92")</f>
        <v>Eje Acoplado 2" x 1600 (05/07) Agrícola Centro 92</v>
      </c>
      <c r="CJ57" s="3" t="str">
        <f>IFERROR(__xludf.DUMMYFUNCTION("""COMPUTED_VALUE"""),"Paquete de Elásticos 50 mm x 8 mm x 12 Hojas")</f>
        <v>Paquete de Elásticos 50 mm x 8 mm x 12 Hojas</v>
      </c>
      <c r="CK57" s="3" t="str">
        <f>IFERROR(__xludf.DUMMYFUNCTION("""COMPUTED_VALUE"""),"Plataforma Playo 4.00 x 1.90 x 0.45 Lateral Simple Baranda Fija")</f>
        <v>Plataforma Playo 4.00 x 1.90 x 0.45 Lateral Simple Baranda Fija</v>
      </c>
      <c r="CL57" s="3" t="str">
        <f>IFERROR(__xludf.DUMMYFUNCTION("""COMPUTED_VALUE"""),"Plataforma Playo 4.00 x 1.90 x 0.45 Lateral Simple Baranda Ventilada")</f>
        <v>Plataforma Playo 4.00 x 1.90 x 0.45 Lateral Simple Baranda Ventilada</v>
      </c>
      <c r="CM57" s="3" t="str">
        <f>IFERROR(__xludf.DUMMYFUNCTION("""COMPUTED_VALUE"""),"Plataforma Playo 4.00 x 1.90 x 0.45 Lateral Doble Baranda Ventilada")</f>
        <v>Plataforma Playo 4.00 x 1.90 x 0.45 Lateral Doble Baranda Ventilada</v>
      </c>
      <c r="CN57" s="3" t="str">
        <f>IFERROR(__xludf.DUMMYFUNCTION("""COMPUTED_VALUE"""),"Plataforma Playo 4.00 x 1.90 x 0.45 Lateral Doble Baranda Fija")</f>
        <v>Plataforma Playo 4.00 x 1.90 x 0.45 Lateral Doble Baranda Fija</v>
      </c>
      <c r="CO57" s="3" t="str">
        <f>IFERROR(__xludf.DUMMYFUNCTION("""COMPUTED_VALUE"""),"Plataforma Playo 4.00 x 1.90 x 0.72 Lateral Simple Baranda Fija")</f>
        <v>Plataforma Playo 4.00 x 1.90 x 0.72 Lateral Simple Baranda Fija</v>
      </c>
      <c r="CP57" s="3" t="str">
        <f>IFERROR(__xludf.DUMMYFUNCTION("""COMPUTED_VALUE"""),"Plataforma Playo 4.00 x 1.90 x 0.72 Lateral Doble Baranda Fija")</f>
        <v>Plataforma Playo 4.00 x 1.90 x 0.72 Lateral Doble Baranda Fija</v>
      </c>
      <c r="CQ57" s="3" t="str">
        <f>IFERROR(__xludf.DUMMYFUNCTION("""COMPUTED_VALUE"""),"Plataforma Playo 5.00 x 2.20 x 0.60 Lateral Doble Trasera Rebatible")</f>
        <v>Plataforma Playo 5.00 x 2.20 x 0.60 Lateral Doble Trasera Rebatible</v>
      </c>
      <c r="CR57" s="3" t="str">
        <f>IFERROR(__xludf.DUMMYFUNCTION("""COMPUTED_VALUE"""),"Plataforma Playo 5.00 x 2.20 x 0.60 Lateral Doble Baranda Fija C/Toldo")</f>
        <v>Plataforma Playo 5.00 x 2.20 x 0.60 Lateral Doble Baranda Fija C/Toldo</v>
      </c>
      <c r="CS57" s="3" t="str">
        <f>IFERROR(__xludf.DUMMYFUNCTION("""COMPUTED_VALUE"""),"Plataforma Playo 3.00 x 1.90 x 0.45 Lateral Simple Baranda Fija")</f>
        <v>Plataforma Playo 3.00 x 1.90 x 0.45 Lateral Simple Baranda Fija</v>
      </c>
      <c r="CT57" s="3" t="str">
        <f>IFERROR(__xludf.DUMMYFUNCTION("""COMPUTED_VALUE"""),"Plataforma Playo 3.00 x 1.90 x 0.45 Lateral Simple Baranda Ventilada")</f>
        <v>Plataforma Playo 3.00 x 1.90 x 0.45 Lateral Simple Baranda Ventilada</v>
      </c>
      <c r="CU57" s="3" t="str">
        <f>IFERROR(__xludf.DUMMYFUNCTION("""COMPUTED_VALUE"""),"Plataforma Playo 2.00 x 1.90 x 0.45 Lateral Simple Baranda Fija")</f>
        <v>Plataforma Playo 2.00 x 1.90 x 0.45 Lateral Simple Baranda Fija</v>
      </c>
      <c r="CV57" s="3" t="str">
        <f>IFERROR(__xludf.DUMMYFUNCTION("""COMPUTED_VALUE"""),"Plataforma Playo 5.00 x 1.90 x 0.60 Lateral Doble Baranda Fija")</f>
        <v>Plataforma Playo 5.00 x 1.90 x 0.60 Lateral Doble Baranda Fija</v>
      </c>
      <c r="CW57" s="3" t="str">
        <f>IFERROR(__xludf.DUMMYFUNCTION("""COMPUTED_VALUE"""),"Plataforma Playo 6.40 x 2.70 x 0.72 Lateral Doble Baranda Fija")</f>
        <v>Plataforma Playo 6.40 x 2.70 x 0.72 Lateral Doble Baranda Fija</v>
      </c>
      <c r="CX57" s="3" t="str">
        <f>IFERROR(__xludf.DUMMYFUNCTION("""COMPUTED_VALUE"""),"Chasis Acoplado Balancin L4000 Lanza Recta")</f>
        <v>Chasis Acoplado Balancin L4000 Lanza Recta</v>
      </c>
      <c r="CY57" s="3" t="str">
        <f>IFERROR(__xludf.DUMMYFUNCTION("""COMPUTED_VALUE"""),"Llanta simple Agrícola 750x20 centro 152")</f>
        <v>Llanta simple Agrícola 750x20 centro 152</v>
      </c>
      <c r="CZ57" s="3" t="str">
        <f>IFERROR(__xludf.DUMMYFUNCTION("""COMPUTED_VALUE"""),"Cajón de Herramientas Mediano adelante")</f>
        <v>Cajón de Herramientas Mediano adelante</v>
      </c>
      <c r="DA57" s="3" t="str">
        <f>IFERROR(__xludf.DUMMYFUNCTION("""COMPUTED_VALUE"""),"Llanta 15"" Simple Agrícola Centro 92")</f>
        <v>Llanta 15" Simple Agrícola Centro 92</v>
      </c>
    </row>
    <row r="58" hidden="1">
      <c r="A58" s="38">
        <f t="shared" si="1"/>
        <v>57</v>
      </c>
      <c r="B58" s="38">
        <f>IF(F58="","",SUMIF(Prearmados!E:E,F58,Prearmados!A:A))</f>
        <v>9</v>
      </c>
      <c r="C58" s="38">
        <f>IF(F58="","",SUMIF(Productos!E:E,G58,Productos!A:A))</f>
        <v>57</v>
      </c>
      <c r="D58" s="83" t="str">
        <f t="array" ref="D58">IF(OR(F58="",F58="Seleccionar.."),"",XLOOKUP(F58,Prearmados!E:E,Prearmados!F:F,"",0,1))</f>
        <v>Acoplados Rurales</v>
      </c>
      <c r="E58" s="83">
        <f>IF(H58="","",SUMIF(Precio_Productos!K:K,C58,Precio_Productos!J:J)*H58)</f>
        <v>633920</v>
      </c>
      <c r="F58" s="84" t="s">
        <v>332</v>
      </c>
      <c r="G58" s="84" t="s">
        <v>32</v>
      </c>
      <c r="H58" s="13">
        <v>1.0</v>
      </c>
      <c r="P58" s="3" t="str">
        <f>IFERROR(__xludf.DUMMYFUNCTION("IF(OR(F58="""",F58=""Seleccionar..""),"""",TRANSPOSE(FILTER(Productos!E:E,(Productos!F:F=D58)+(Productos!F:F=XLOOKUP(D58,Implementos!B:B,Implementos!C:C,""-"",0,1)))))"),"Tanque Combustible 1100 lts Bajo")</f>
        <v>Tanque Combustible 1100 lts Bajo</v>
      </c>
      <c r="Q58" s="3" t="str">
        <f>IFERROR(__xludf.DUMMYFUNCTION("""COMPUTED_VALUE"""),"Tanque Combustible 1500 lts Standard")</f>
        <v>Tanque Combustible 1500 lts Standard</v>
      </c>
      <c r="R58" s="3" t="str">
        <f>IFERROR(__xludf.DUMMYFUNCTION("""COMPUTED_VALUE"""),"Tanque Combustible 1800 lts Standard")</f>
        <v>Tanque Combustible 1800 lts Standard</v>
      </c>
      <c r="S58" s="3" t="str">
        <f>IFERROR(__xludf.DUMMYFUNCTION("""COMPUTED_VALUE"""),"Tanque Combustible 2000 lts Bajo")</f>
        <v>Tanque Combustible 2000 lts Bajo</v>
      </c>
      <c r="T58" s="3" t="str">
        <f>IFERROR(__xludf.DUMMYFUNCTION("""COMPUTED_VALUE"""),"Tanque Combustible 2000 lts Standard")</f>
        <v>Tanque Combustible 2000 lts Standard</v>
      </c>
      <c r="U58" s="3" t="str">
        <f>IFERROR(__xludf.DUMMYFUNCTION("""COMPUTED_VALUE"""),"Tanque Combustible 3000 lts Standard")</f>
        <v>Tanque Combustible 3000 lts Standard</v>
      </c>
      <c r="V58" s="3" t="str">
        <f>IFERROR(__xludf.DUMMYFUNCTION("""COMPUTED_VALUE"""),"Tanque Combustible 3000 lts Alto")</f>
        <v>Tanque Combustible 3000 lts Alto</v>
      </c>
      <c r="W58" s="3" t="str">
        <f>IFERROR(__xludf.DUMMYFUNCTION("""COMPUTED_VALUE"""),"Tanque Combustible 4000 lts Standard")</f>
        <v>Tanque Combustible 4000 lts Standard</v>
      </c>
      <c r="X58" s="3" t="str">
        <f>IFERROR(__xludf.DUMMYFUNCTION("""COMPUTED_VALUE"""),"Tanque Combustible 5000 lts Standard")</f>
        <v>Tanque Combustible 5000 lts Standard</v>
      </c>
      <c r="Y58" s="3" t="str">
        <f>IFERROR(__xludf.DUMMYFUNCTION("""COMPUTED_VALUE"""),"Tanque Combustible 5000 lts Alto")</f>
        <v>Tanque Combustible 5000 lts Alto</v>
      </c>
      <c r="Z58" s="3" t="str">
        <f>IFERROR(__xludf.DUMMYFUNCTION("""COMPUTED_VALUE"""),"Tanque Combustible 2000 lts Alto")</f>
        <v>Tanque Combustible 2000 lts Alto</v>
      </c>
      <c r="AA58" s="3" t="str">
        <f>IFERROR(__xludf.DUMMYFUNCTION("""COMPUTED_VALUE"""),"Tanque Combustible 4000 lts Alto")</f>
        <v>Tanque Combustible 4000 lts Alto</v>
      </c>
      <c r="AB58" s="3" t="str">
        <f>IFERROR(__xludf.DUMMYFUNCTION("""COMPUTED_VALUE"""),"Baulera Standard - 750")</f>
        <v>Baulera Standard - 750</v>
      </c>
      <c r="AC58" s="3" t="str">
        <f>IFERROR(__xludf.DUMMYFUNCTION("""COMPUTED_VALUE"""),"Baulera Standard - 1700 - C/Laterales")</f>
        <v>Baulera Standard - 1700 - C/Laterales</v>
      </c>
      <c r="AD58" s="3" t="str">
        <f>IFERROR(__xludf.DUMMYFUNCTION("""COMPUTED_VALUE"""),"Baulera Standard - 1000 - C/Laterales")</f>
        <v>Baulera Standard - 1000 - C/Laterales</v>
      </c>
      <c r="AE58" s="3" t="str">
        <f>IFERROR(__xludf.DUMMYFUNCTION("""COMPUTED_VALUE"""),"Baulera Standard - 750 - C/Laterales")</f>
        <v>Baulera Standard - 750 - C/Laterales</v>
      </c>
      <c r="AF58" s="3" t="str">
        <f>IFERROR(__xludf.DUMMYFUNCTION("""COMPUTED_VALUE"""),"Baulera Standard - 1300 - C/Laterales")</f>
        <v>Baulera Standard - 1300 - C/Laterales</v>
      </c>
      <c r="AG58" s="3" t="str">
        <f>IFERROR(__xludf.DUMMYFUNCTION("""COMPUTED_VALUE"""),"Baulera Alta - 750")</f>
        <v>Baulera Alta - 750</v>
      </c>
      <c r="AH58" s="3" t="str">
        <f>IFERROR(__xludf.DUMMYFUNCTION("""COMPUTED_VALUE"""),"Baulera Alta - 1500 - C/Laterales")</f>
        <v>Baulera Alta - 1500 - C/Laterales</v>
      </c>
      <c r="AI58" s="3" t="str">
        <f>IFERROR(__xludf.DUMMYFUNCTION("""COMPUTED_VALUE"""),"Baulera Extendida 1700 - C/Laterales")</f>
        <v>Baulera Extendida 1700 - C/Laterales</v>
      </c>
      <c r="AJ58" s="3" t="str">
        <f>IFERROR(__xludf.DUMMYFUNCTION("""COMPUTED_VALUE"""),"Taller Móvil - 1500 x 1500 x 1700")</f>
        <v>Taller Móvil - 1500 x 1500 x 1700</v>
      </c>
      <c r="AK58" s="3" t="str">
        <f>IFERROR(__xludf.DUMMYFUNCTION("""COMPUTED_VALUE"""),"Cajón Herramientas Standard Derecho")</f>
        <v>Cajón Herramientas Standard Derecho</v>
      </c>
      <c r="AL58" s="3" t="str">
        <f>IFERROR(__xludf.DUMMYFUNCTION("""COMPUTED_VALUE"""),"Cajón Herramientas Standard Izquierdo")</f>
        <v>Cajón Herramientas Standard Izquierdo</v>
      </c>
      <c r="AM58" s="3" t="str">
        <f>IFERROR(__xludf.DUMMYFUNCTION("""COMPUTED_VALUE"""),"Cajón Herramientas Corto Derecho")</f>
        <v>Cajón Herramientas Corto Derecho</v>
      </c>
      <c r="AN58" s="3" t="str">
        <f>IFERROR(__xludf.DUMMYFUNCTION("""COMPUTED_VALUE"""),"Cajón Herramientas Corto Izquierdo")</f>
        <v>Cajón Herramientas Corto Izquierdo</v>
      </c>
      <c r="AO58" s="3" t="str">
        <f>IFERROR(__xludf.DUMMYFUNCTION("""COMPUTED_VALUE"""),"Cajón Herramientas Mediano Derecho")</f>
        <v>Cajón Herramientas Mediano Derecho</v>
      </c>
      <c r="AP58" s="3" t="str">
        <f>IFERROR(__xludf.DUMMYFUNCTION("""COMPUTED_VALUE"""),"Cajón Herramientas Mediano Izquierdo")</f>
        <v>Cajón Herramientas Mediano Izquierdo</v>
      </c>
      <c r="AQ58" s="3" t="str">
        <f>IFERROR(__xludf.DUMMYFUNCTION("""COMPUTED_VALUE"""),"Chasis Acoplado 2 Ejes L3000")</f>
        <v>Chasis Acoplado 2 Ejes L3000</v>
      </c>
      <c r="AR58" s="3" t="str">
        <f>IFERROR(__xludf.DUMMYFUNCTION("""COMPUTED_VALUE"""),"Chasis Acoplado 2 Ejes L3750")</f>
        <v>Chasis Acoplado 2 Ejes L3750</v>
      </c>
      <c r="AS58" s="3" t="str">
        <f>IFERROR(__xludf.DUMMYFUNCTION("""COMPUTED_VALUE"""),"Chasis Acoplado 2 Ejes L4000")</f>
        <v>Chasis Acoplado 2 Ejes L4000</v>
      </c>
      <c r="AT58" s="3" t="str">
        <f>IFERROR(__xludf.DUMMYFUNCTION("""COMPUTED_VALUE"""),"Chasis Acoplado 2 Ejes L4000 Reforzado")</f>
        <v>Chasis Acoplado 2 Ejes L4000 Reforzado</v>
      </c>
      <c r="AU58" s="3" t="str">
        <f>IFERROR(__xludf.DUMMYFUNCTION("""COMPUTED_VALUE"""),"Chasis Acoplado 2 Ejes L4750")</f>
        <v>Chasis Acoplado 2 Ejes L4750</v>
      </c>
      <c r="AV58" s="3" t="str">
        <f>IFERROR(__xludf.DUMMYFUNCTION("""COMPUTED_VALUE"""),"Chasis Acoplado 2 Ejes L4750 Reforzado")</f>
        <v>Chasis Acoplado 2 Ejes L4750 Reforzado</v>
      </c>
      <c r="AW58" s="3" t="str">
        <f>IFERROR(__xludf.DUMMYFUNCTION("""COMPUTED_VALUE"""),"Chasis Acoplado 2 Ejes L4750 Reforzado R. Camion")</f>
        <v>Chasis Acoplado 2 Ejes L4750 Reforzado R. Camion</v>
      </c>
      <c r="AX58" s="3" t="str">
        <f>IFERROR(__xludf.DUMMYFUNCTION("""COMPUTED_VALUE"""),"Chasis Acoplado 2 Ejes L5000")</f>
        <v>Chasis Acoplado 2 Ejes L5000</v>
      </c>
      <c r="AY58" s="3" t="str">
        <f>IFERROR(__xludf.DUMMYFUNCTION("""COMPUTED_VALUE"""),"Chasis Acoplado 2 Ejes L5750")</f>
        <v>Chasis Acoplado 2 Ejes L5750</v>
      </c>
      <c r="AZ58" s="3" t="str">
        <f>IFERROR(__xludf.DUMMYFUNCTION("""COMPUTED_VALUE"""),"Chasis Acoplado 2 Ejes L6400")</f>
        <v>Chasis Acoplado 2 Ejes L6400</v>
      </c>
      <c r="BA58" s="3" t="str">
        <f>IFERROR(__xludf.DUMMYFUNCTION("""COMPUTED_VALUE"""),"Chasis Acoplado 2 Ejes L4500")</f>
        <v>Chasis Acoplado 2 Ejes L4500</v>
      </c>
      <c r="BB58" s="3" t="str">
        <f>IFERROR(__xludf.DUMMYFUNCTION("""COMPUTED_VALUE"""),"Chasis Acoplado 1 Eje L1500")</f>
        <v>Chasis Acoplado 1 Eje L1500</v>
      </c>
      <c r="BC58" s="3" t="str">
        <f>IFERROR(__xludf.DUMMYFUNCTION("""COMPUTED_VALUE"""),"Chasis Acoplado 1 Eje L1800")</f>
        <v>Chasis Acoplado 1 Eje L1800</v>
      </c>
      <c r="BD58" s="3" t="str">
        <f>IFERROR(__xludf.DUMMYFUNCTION("""COMPUTED_VALUE"""),"Chasis Acoplado 1 Eje L1400")</f>
        <v>Chasis Acoplado 1 Eje L1400</v>
      </c>
      <c r="BE58" s="3" t="str">
        <f>IFERROR(__xludf.DUMMYFUNCTION("""COMPUTED_VALUE"""),"Chasis Acoplado Balancin L3000")</f>
        <v>Chasis Acoplado Balancin L3000</v>
      </c>
      <c r="BF58" s="3" t="str">
        <f>IFERROR(__xludf.DUMMYFUNCTION("""COMPUTED_VALUE"""),"Chasis Acoplado Balancin L3000 Lanza Corta")</f>
        <v>Chasis Acoplado Balancin L3000 Lanza Corta</v>
      </c>
      <c r="BG58" s="3" t="str">
        <f>IFERROR(__xludf.DUMMYFUNCTION("""COMPUTED_VALUE"""),"Chasis Acoplado Balancin L2000 Lanza Corta")</f>
        <v>Chasis Acoplado Balancin L2000 Lanza Corta</v>
      </c>
      <c r="BH58" s="3" t="str">
        <f>IFERROR(__xludf.DUMMYFUNCTION("""COMPUTED_VALUE"""),"Chasis Acoplado Balancin L3200 Lanza Corta")</f>
        <v>Chasis Acoplado Balancin L3200 Lanza Corta</v>
      </c>
      <c r="BI58" s="3" t="str">
        <f>IFERROR(__xludf.DUMMYFUNCTION("""COMPUTED_VALUE"""),"Chasis Acoplado Balancin L3200 Lanza Recta")</f>
        <v>Chasis Acoplado Balancin L3200 Lanza Recta</v>
      </c>
      <c r="BJ58" s="3" t="str">
        <f>IFERROR(__xludf.DUMMYFUNCTION("""COMPUTED_VALUE"""),"Chasis Acoplado Balancin L3200 Bajo Lanza Recta")</f>
        <v>Chasis Acoplado Balancin L3200 Bajo Lanza Recta</v>
      </c>
      <c r="BK58" s="3" t="str">
        <f>IFERROR(__xludf.DUMMYFUNCTION("""COMPUTED_VALUE"""),"Tanque Plastico Horizontal 750 Lts")</f>
        <v>Tanque Plastico Horizontal 750 Lts</v>
      </c>
      <c r="BL58" s="3" t="str">
        <f>IFERROR(__xludf.DUMMYFUNCTION("""COMPUTED_VALUE"""),"Medio Tanque Plastico Superior 700 Lts")</f>
        <v>Medio Tanque Plastico Superior 700 Lts</v>
      </c>
      <c r="BM58" s="3" t="str">
        <f>IFERROR(__xludf.DUMMYFUNCTION("""COMPUTED_VALUE"""),"Paquete de Elasticos 50 mm x 8 mm x 10 Hojas L850")</f>
        <v>Paquete de Elasticos 50 mm x 8 mm x 10 Hojas L850</v>
      </c>
      <c r="BN58" s="3" t="str">
        <f>IFERROR(__xludf.DUMMYFUNCTION("""COMPUTED_VALUE"""),"Paquete de Elasticos 63 mm x 8 mm x 10 Hojas L950")</f>
        <v>Paquete de Elasticos 63 mm x 8 mm x 10 Hojas L950</v>
      </c>
      <c r="BO58" s="3" t="str">
        <f>IFERROR(__xludf.DUMMYFUNCTION("""COMPUTED_VALUE"""),"Paquete de Elasticos 50 mm x 7 mm x 9 Hojas L850")</f>
        <v>Paquete de Elasticos 50 mm x 7 mm x 9 Hojas L850</v>
      </c>
      <c r="BP58" s="3" t="str">
        <f>IFERROR(__xludf.DUMMYFUNCTION("""COMPUTED_VALUE"""),"Paquete de Elasticos 63 mm x 8 mm x 8 Hojas L850")</f>
        <v>Paquete de Elasticos 63 mm x 8 mm x 8 Hojas L850</v>
      </c>
      <c r="BQ58" s="3" t="str">
        <f>IFERROR(__xludf.DUMMYFUNCTION("""COMPUTED_VALUE"""),"Paquete de Elasticos 63 mm x 10 mm x 10 Hojas L950")</f>
        <v>Paquete de Elasticos 63 mm x 10 mm x 10 Hojas L950</v>
      </c>
      <c r="BR58" s="3" t="str">
        <f>IFERROR(__xludf.DUMMYFUNCTION("""COMPUTED_VALUE"""),"Paquete de Elasticos 63 mm x 10 mm x 13 Hojas L975")</f>
        <v>Paquete de Elasticos 63 mm x 10 mm x 13 Hojas L975</v>
      </c>
      <c r="BS58" s="3" t="str">
        <f>IFERROR(__xludf.DUMMYFUNCTION("""COMPUTED_VALUE"""),"Paquete de Elasticos 50 mm x 7 mm x 9 Hojas L650")</f>
        <v>Paquete de Elasticos 50 mm x 7 mm x 9 Hojas L650</v>
      </c>
      <c r="BT58" s="3" t="str">
        <f>IFERROR(__xludf.DUMMYFUNCTION("""COMPUTED_VALUE"""),"Eje Acoplado 2"" x 1600 (06/08) Agrícola Centro 92")</f>
        <v>Eje Acoplado 2" x 1600 (06/08) Agrícola Centro 92</v>
      </c>
      <c r="BU58" s="3" t="str">
        <f>IFERROR(__xludf.DUMMYFUNCTION("""COMPUTED_VALUE"""),"Eje Acoplado 2 1/2"" x 1600 (07/09) Agrícola Centro 92")</f>
        <v>Eje Acoplado 2 1/2" x 1600 (07/09) Agrícola Centro 92</v>
      </c>
      <c r="BV58" s="3" t="str">
        <f>IFERROR(__xludf.DUMMYFUNCTION("""COMPUTED_VALUE"""),"Eje Acoplado 2 1/2"" x 1600 (09/11) Agrícola Centro 150")</f>
        <v>Eje Acoplado 2 1/2" x 1600 (09/11) Agrícola Centro 150</v>
      </c>
      <c r="BW58" s="3" t="str">
        <f>IFERROR(__xludf.DUMMYFUNCTION("""COMPUTED_VALUE"""),"Eje Acoplado 3"" x 1600 (10/13) Agrícola Centro 150")</f>
        <v>Eje Acoplado 3" x 1600 (10/13) Agrícola Centro 150</v>
      </c>
      <c r="BX58" s="3" t="str">
        <f>IFERROR(__xludf.DUMMYFUNCTION("""COMPUTED_VALUE"""),"Eje Acoplado 2 1/2"" x 2140 (07/09) Agrícola Centro 92")</f>
        <v>Eje Acoplado 2 1/2" x 2140 (07/09) Agrícola Centro 92</v>
      </c>
      <c r="BY58" s="3" t="str">
        <f>IFERROR(__xludf.DUMMYFUNCTION("""COMPUTED_VALUE"""),"Eje Acoplado 2"" x 1400 (06/08) Agrícola Centro 92")</f>
        <v>Eje Acoplado 2" x 1400 (06/08) Agrícola Centro 92</v>
      </c>
      <c r="BZ58" s="3" t="str">
        <f>IFERROR(__xludf.DUMMYFUNCTION("""COMPUTED_VALUE"""),"Eje Acoplado 2 1/2"" x 1500 (07/09) Agrícola Centro 92")</f>
        <v>Eje Acoplado 2 1/2" x 1500 (07/09) Agrícola Centro 92</v>
      </c>
      <c r="CA58" s="3" t="str">
        <f>IFERROR(__xludf.DUMMYFUNCTION("""COMPUTED_VALUE"""),"Eje Acoplado 2 1/2"" x 2000 (07/09) Agrícola Centro 92")</f>
        <v>Eje Acoplado 2 1/2" x 2000 (07/09) Agrícola Centro 92</v>
      </c>
      <c r="CB58" s="3" t="str">
        <f>IFERROR(__xludf.DUMMYFUNCTION("""COMPUTED_VALUE"""),"Eje Acoplado 2 1/2"" x 2100 (09/11) Agrícola Centro 150")</f>
        <v>Eje Acoplado 2 1/2" x 2100 (09/11) Agrícola Centro 150</v>
      </c>
      <c r="CC58" s="3" t="str">
        <f>IFERROR(__xludf.DUMMYFUNCTION("""COMPUTED_VALUE"""),"Llanta 16"" Simple Agrícola Centro 92")</f>
        <v>Llanta 16" Simple Agrícola Centro 92</v>
      </c>
      <c r="CD58" s="3" t="str">
        <f>IFERROR(__xludf.DUMMYFUNCTION("""COMPUTED_VALUE"""),"Llanta 16"" Dual Agrícola Centro 92")</f>
        <v>Llanta 16" Dual Agrícola Centro 92</v>
      </c>
      <c r="CE58" s="3" t="str">
        <f>IFERROR(__xludf.DUMMYFUNCTION("""COMPUTED_VALUE"""),"Llanta 17"" Simple Agrícola Centro 92")</f>
        <v>Llanta 17" Simple Agrícola Centro 92</v>
      </c>
      <c r="CF58" s="3" t="str">
        <f>IFERROR(__xludf.DUMMYFUNCTION("""COMPUTED_VALUE"""),"Llanta 17"" Dual Agrícola Centro 92")</f>
        <v>Llanta 17" Dual Agrícola Centro 92</v>
      </c>
      <c r="CG58" s="3" t="str">
        <f>IFERROR(__xludf.DUMMYFUNCTION("""COMPUTED_VALUE"""),"Llanta 16"" Dual Agrícola Centro 152")</f>
        <v>Llanta 16" Dual Agrícola Centro 152</v>
      </c>
      <c r="CH58" s="3" t="str">
        <f>IFERROR(__xludf.DUMMYFUNCTION("""COMPUTED_VALUE"""),"Llanta 17"" Dual Agrícola Centro 152")</f>
        <v>Llanta 17" Dual Agrícola Centro 152</v>
      </c>
      <c r="CI58" s="3" t="str">
        <f>IFERROR(__xludf.DUMMYFUNCTION("""COMPUTED_VALUE"""),"Eje Acoplado 2"" x 1600 (05/07) Agrícola Centro 92")</f>
        <v>Eje Acoplado 2" x 1600 (05/07) Agrícola Centro 92</v>
      </c>
      <c r="CJ58" s="3" t="str">
        <f>IFERROR(__xludf.DUMMYFUNCTION("""COMPUTED_VALUE"""),"Paquete de Elásticos 50 mm x 8 mm x 12 Hojas")</f>
        <v>Paquete de Elásticos 50 mm x 8 mm x 12 Hojas</v>
      </c>
      <c r="CK58" s="3" t="str">
        <f>IFERROR(__xludf.DUMMYFUNCTION("""COMPUTED_VALUE"""),"Plataforma Playo 4.00 x 1.90 x 0.45 Lateral Simple Baranda Fija")</f>
        <v>Plataforma Playo 4.00 x 1.90 x 0.45 Lateral Simple Baranda Fija</v>
      </c>
      <c r="CL58" s="3" t="str">
        <f>IFERROR(__xludf.DUMMYFUNCTION("""COMPUTED_VALUE"""),"Plataforma Playo 4.00 x 1.90 x 0.45 Lateral Simple Baranda Ventilada")</f>
        <v>Plataforma Playo 4.00 x 1.90 x 0.45 Lateral Simple Baranda Ventilada</v>
      </c>
      <c r="CM58" s="3" t="str">
        <f>IFERROR(__xludf.DUMMYFUNCTION("""COMPUTED_VALUE"""),"Plataforma Playo 4.00 x 1.90 x 0.45 Lateral Doble Baranda Ventilada")</f>
        <v>Plataforma Playo 4.00 x 1.90 x 0.45 Lateral Doble Baranda Ventilada</v>
      </c>
      <c r="CN58" s="3" t="str">
        <f>IFERROR(__xludf.DUMMYFUNCTION("""COMPUTED_VALUE"""),"Plataforma Playo 4.00 x 1.90 x 0.45 Lateral Doble Baranda Fija")</f>
        <v>Plataforma Playo 4.00 x 1.90 x 0.45 Lateral Doble Baranda Fija</v>
      </c>
      <c r="CO58" s="3" t="str">
        <f>IFERROR(__xludf.DUMMYFUNCTION("""COMPUTED_VALUE"""),"Plataforma Playo 4.00 x 1.90 x 0.72 Lateral Simple Baranda Fija")</f>
        <v>Plataforma Playo 4.00 x 1.90 x 0.72 Lateral Simple Baranda Fija</v>
      </c>
      <c r="CP58" s="3" t="str">
        <f>IFERROR(__xludf.DUMMYFUNCTION("""COMPUTED_VALUE"""),"Plataforma Playo 4.00 x 1.90 x 0.72 Lateral Doble Baranda Fija")</f>
        <v>Plataforma Playo 4.00 x 1.90 x 0.72 Lateral Doble Baranda Fija</v>
      </c>
      <c r="CQ58" s="3" t="str">
        <f>IFERROR(__xludf.DUMMYFUNCTION("""COMPUTED_VALUE"""),"Plataforma Playo 5.00 x 2.20 x 0.60 Lateral Doble Trasera Rebatible")</f>
        <v>Plataforma Playo 5.00 x 2.20 x 0.60 Lateral Doble Trasera Rebatible</v>
      </c>
      <c r="CR58" s="3" t="str">
        <f>IFERROR(__xludf.DUMMYFUNCTION("""COMPUTED_VALUE"""),"Plataforma Playo 5.00 x 2.20 x 0.60 Lateral Doble Baranda Fija C/Toldo")</f>
        <v>Plataforma Playo 5.00 x 2.20 x 0.60 Lateral Doble Baranda Fija C/Toldo</v>
      </c>
      <c r="CS58" s="3" t="str">
        <f>IFERROR(__xludf.DUMMYFUNCTION("""COMPUTED_VALUE"""),"Plataforma Playo 3.00 x 1.90 x 0.45 Lateral Simple Baranda Fija")</f>
        <v>Plataforma Playo 3.00 x 1.90 x 0.45 Lateral Simple Baranda Fija</v>
      </c>
      <c r="CT58" s="3" t="str">
        <f>IFERROR(__xludf.DUMMYFUNCTION("""COMPUTED_VALUE"""),"Plataforma Playo 3.00 x 1.90 x 0.45 Lateral Simple Baranda Ventilada")</f>
        <v>Plataforma Playo 3.00 x 1.90 x 0.45 Lateral Simple Baranda Ventilada</v>
      </c>
      <c r="CU58" s="3" t="str">
        <f>IFERROR(__xludf.DUMMYFUNCTION("""COMPUTED_VALUE"""),"Plataforma Playo 2.00 x 1.90 x 0.45 Lateral Simple Baranda Fija")</f>
        <v>Plataforma Playo 2.00 x 1.90 x 0.45 Lateral Simple Baranda Fija</v>
      </c>
      <c r="CV58" s="3" t="str">
        <f>IFERROR(__xludf.DUMMYFUNCTION("""COMPUTED_VALUE"""),"Plataforma Playo 5.00 x 1.90 x 0.60 Lateral Doble Baranda Fija")</f>
        <v>Plataforma Playo 5.00 x 1.90 x 0.60 Lateral Doble Baranda Fija</v>
      </c>
      <c r="CW58" s="3" t="str">
        <f>IFERROR(__xludf.DUMMYFUNCTION("""COMPUTED_VALUE"""),"Plataforma Playo 6.40 x 2.70 x 0.72 Lateral Doble Baranda Fija")</f>
        <v>Plataforma Playo 6.40 x 2.70 x 0.72 Lateral Doble Baranda Fija</v>
      </c>
      <c r="CX58" s="3" t="str">
        <f>IFERROR(__xludf.DUMMYFUNCTION("""COMPUTED_VALUE"""),"Chasis Acoplado Balancin L4000 Lanza Recta")</f>
        <v>Chasis Acoplado Balancin L4000 Lanza Recta</v>
      </c>
      <c r="CY58" s="3" t="str">
        <f>IFERROR(__xludf.DUMMYFUNCTION("""COMPUTED_VALUE"""),"Llanta simple Agrícola 750x20 centro 152")</f>
        <v>Llanta simple Agrícola 750x20 centro 152</v>
      </c>
      <c r="CZ58" s="3" t="str">
        <f>IFERROR(__xludf.DUMMYFUNCTION("""COMPUTED_VALUE"""),"Cajón de Herramientas Mediano adelante")</f>
        <v>Cajón de Herramientas Mediano adelante</v>
      </c>
      <c r="DA58" s="3" t="str">
        <f>IFERROR(__xludf.DUMMYFUNCTION("""COMPUTED_VALUE"""),"Llanta 15"" Simple Agrícola Centro 92")</f>
        <v>Llanta 15" Simple Agrícola Centro 92</v>
      </c>
    </row>
    <row r="59" hidden="1">
      <c r="A59" s="38">
        <f t="shared" si="1"/>
        <v>58</v>
      </c>
      <c r="B59" s="38">
        <f>IF(F59="","",SUMIF(Prearmados!E:E,F59,Prearmados!A:A))</f>
        <v>9</v>
      </c>
      <c r="C59" s="38">
        <f>IF(F59="","",SUMIF(Productos!E:E,G59,Productos!A:A))</f>
        <v>92</v>
      </c>
      <c r="D59" s="83" t="str">
        <f t="array" ref="D59">IF(OR(F59="",F59="Seleccionar.."),"",XLOOKUP(F59,Prearmados!E:E,Prearmados!F:F,"",0,1))</f>
        <v>Acoplados Rurales</v>
      </c>
      <c r="E59" s="83">
        <f>IF(H59="","",SUMIF(Precio_Productos!K:K,C59,Precio_Productos!J:J)*H59)</f>
        <v>763553</v>
      </c>
      <c r="F59" s="84" t="s">
        <v>332</v>
      </c>
      <c r="G59" s="84" t="s">
        <v>30</v>
      </c>
      <c r="H59" s="13">
        <v>1.0</v>
      </c>
      <c r="P59" s="3" t="str">
        <f>IFERROR(__xludf.DUMMYFUNCTION("IF(OR(F59="""",F59=""Seleccionar..""),"""",TRANSPOSE(FILTER(Productos!E:E,(Productos!F:F=D59)+(Productos!F:F=XLOOKUP(D59,Implementos!B:B,Implementos!C:C,""-"",0,1)))))"),"Tanque Combustible 1100 lts Bajo")</f>
        <v>Tanque Combustible 1100 lts Bajo</v>
      </c>
      <c r="Q59" s="3" t="str">
        <f>IFERROR(__xludf.DUMMYFUNCTION("""COMPUTED_VALUE"""),"Tanque Combustible 1500 lts Standard")</f>
        <v>Tanque Combustible 1500 lts Standard</v>
      </c>
      <c r="R59" s="3" t="str">
        <f>IFERROR(__xludf.DUMMYFUNCTION("""COMPUTED_VALUE"""),"Tanque Combustible 1800 lts Standard")</f>
        <v>Tanque Combustible 1800 lts Standard</v>
      </c>
      <c r="S59" s="3" t="str">
        <f>IFERROR(__xludf.DUMMYFUNCTION("""COMPUTED_VALUE"""),"Tanque Combustible 2000 lts Bajo")</f>
        <v>Tanque Combustible 2000 lts Bajo</v>
      </c>
      <c r="T59" s="3" t="str">
        <f>IFERROR(__xludf.DUMMYFUNCTION("""COMPUTED_VALUE"""),"Tanque Combustible 2000 lts Standard")</f>
        <v>Tanque Combustible 2000 lts Standard</v>
      </c>
      <c r="U59" s="3" t="str">
        <f>IFERROR(__xludf.DUMMYFUNCTION("""COMPUTED_VALUE"""),"Tanque Combustible 3000 lts Standard")</f>
        <v>Tanque Combustible 3000 lts Standard</v>
      </c>
      <c r="V59" s="3" t="str">
        <f>IFERROR(__xludf.DUMMYFUNCTION("""COMPUTED_VALUE"""),"Tanque Combustible 3000 lts Alto")</f>
        <v>Tanque Combustible 3000 lts Alto</v>
      </c>
      <c r="W59" s="3" t="str">
        <f>IFERROR(__xludf.DUMMYFUNCTION("""COMPUTED_VALUE"""),"Tanque Combustible 4000 lts Standard")</f>
        <v>Tanque Combustible 4000 lts Standard</v>
      </c>
      <c r="X59" s="3" t="str">
        <f>IFERROR(__xludf.DUMMYFUNCTION("""COMPUTED_VALUE"""),"Tanque Combustible 5000 lts Standard")</f>
        <v>Tanque Combustible 5000 lts Standard</v>
      </c>
      <c r="Y59" s="3" t="str">
        <f>IFERROR(__xludf.DUMMYFUNCTION("""COMPUTED_VALUE"""),"Tanque Combustible 5000 lts Alto")</f>
        <v>Tanque Combustible 5000 lts Alto</v>
      </c>
      <c r="Z59" s="3" t="str">
        <f>IFERROR(__xludf.DUMMYFUNCTION("""COMPUTED_VALUE"""),"Tanque Combustible 2000 lts Alto")</f>
        <v>Tanque Combustible 2000 lts Alto</v>
      </c>
      <c r="AA59" s="3" t="str">
        <f>IFERROR(__xludf.DUMMYFUNCTION("""COMPUTED_VALUE"""),"Tanque Combustible 4000 lts Alto")</f>
        <v>Tanque Combustible 4000 lts Alto</v>
      </c>
      <c r="AB59" s="3" t="str">
        <f>IFERROR(__xludf.DUMMYFUNCTION("""COMPUTED_VALUE"""),"Baulera Standard - 750")</f>
        <v>Baulera Standard - 750</v>
      </c>
      <c r="AC59" s="3" t="str">
        <f>IFERROR(__xludf.DUMMYFUNCTION("""COMPUTED_VALUE"""),"Baulera Standard - 1700 - C/Laterales")</f>
        <v>Baulera Standard - 1700 - C/Laterales</v>
      </c>
      <c r="AD59" s="3" t="str">
        <f>IFERROR(__xludf.DUMMYFUNCTION("""COMPUTED_VALUE"""),"Baulera Standard - 1000 - C/Laterales")</f>
        <v>Baulera Standard - 1000 - C/Laterales</v>
      </c>
      <c r="AE59" s="3" t="str">
        <f>IFERROR(__xludf.DUMMYFUNCTION("""COMPUTED_VALUE"""),"Baulera Standard - 750 - C/Laterales")</f>
        <v>Baulera Standard - 750 - C/Laterales</v>
      </c>
      <c r="AF59" s="3" t="str">
        <f>IFERROR(__xludf.DUMMYFUNCTION("""COMPUTED_VALUE"""),"Baulera Standard - 1300 - C/Laterales")</f>
        <v>Baulera Standard - 1300 - C/Laterales</v>
      </c>
      <c r="AG59" s="3" t="str">
        <f>IFERROR(__xludf.DUMMYFUNCTION("""COMPUTED_VALUE"""),"Baulera Alta - 750")</f>
        <v>Baulera Alta - 750</v>
      </c>
      <c r="AH59" s="3" t="str">
        <f>IFERROR(__xludf.DUMMYFUNCTION("""COMPUTED_VALUE"""),"Baulera Alta - 1500 - C/Laterales")</f>
        <v>Baulera Alta - 1500 - C/Laterales</v>
      </c>
      <c r="AI59" s="3" t="str">
        <f>IFERROR(__xludf.DUMMYFUNCTION("""COMPUTED_VALUE"""),"Baulera Extendida 1700 - C/Laterales")</f>
        <v>Baulera Extendida 1700 - C/Laterales</v>
      </c>
      <c r="AJ59" s="3" t="str">
        <f>IFERROR(__xludf.DUMMYFUNCTION("""COMPUTED_VALUE"""),"Taller Móvil - 1500 x 1500 x 1700")</f>
        <v>Taller Móvil - 1500 x 1500 x 1700</v>
      </c>
      <c r="AK59" s="3" t="str">
        <f>IFERROR(__xludf.DUMMYFUNCTION("""COMPUTED_VALUE"""),"Cajón Herramientas Standard Derecho")</f>
        <v>Cajón Herramientas Standard Derecho</v>
      </c>
      <c r="AL59" s="3" t="str">
        <f>IFERROR(__xludf.DUMMYFUNCTION("""COMPUTED_VALUE"""),"Cajón Herramientas Standard Izquierdo")</f>
        <v>Cajón Herramientas Standard Izquierdo</v>
      </c>
      <c r="AM59" s="3" t="str">
        <f>IFERROR(__xludf.DUMMYFUNCTION("""COMPUTED_VALUE"""),"Cajón Herramientas Corto Derecho")</f>
        <v>Cajón Herramientas Corto Derecho</v>
      </c>
      <c r="AN59" s="3" t="str">
        <f>IFERROR(__xludf.DUMMYFUNCTION("""COMPUTED_VALUE"""),"Cajón Herramientas Corto Izquierdo")</f>
        <v>Cajón Herramientas Corto Izquierdo</v>
      </c>
      <c r="AO59" s="3" t="str">
        <f>IFERROR(__xludf.DUMMYFUNCTION("""COMPUTED_VALUE"""),"Cajón Herramientas Mediano Derecho")</f>
        <v>Cajón Herramientas Mediano Derecho</v>
      </c>
      <c r="AP59" s="3" t="str">
        <f>IFERROR(__xludf.DUMMYFUNCTION("""COMPUTED_VALUE"""),"Cajón Herramientas Mediano Izquierdo")</f>
        <v>Cajón Herramientas Mediano Izquierdo</v>
      </c>
      <c r="AQ59" s="3" t="str">
        <f>IFERROR(__xludf.DUMMYFUNCTION("""COMPUTED_VALUE"""),"Chasis Acoplado 2 Ejes L3000")</f>
        <v>Chasis Acoplado 2 Ejes L3000</v>
      </c>
      <c r="AR59" s="3" t="str">
        <f>IFERROR(__xludf.DUMMYFUNCTION("""COMPUTED_VALUE"""),"Chasis Acoplado 2 Ejes L3750")</f>
        <v>Chasis Acoplado 2 Ejes L3750</v>
      </c>
      <c r="AS59" s="3" t="str">
        <f>IFERROR(__xludf.DUMMYFUNCTION("""COMPUTED_VALUE"""),"Chasis Acoplado 2 Ejes L4000")</f>
        <v>Chasis Acoplado 2 Ejes L4000</v>
      </c>
      <c r="AT59" s="3" t="str">
        <f>IFERROR(__xludf.DUMMYFUNCTION("""COMPUTED_VALUE"""),"Chasis Acoplado 2 Ejes L4000 Reforzado")</f>
        <v>Chasis Acoplado 2 Ejes L4000 Reforzado</v>
      </c>
      <c r="AU59" s="3" t="str">
        <f>IFERROR(__xludf.DUMMYFUNCTION("""COMPUTED_VALUE"""),"Chasis Acoplado 2 Ejes L4750")</f>
        <v>Chasis Acoplado 2 Ejes L4750</v>
      </c>
      <c r="AV59" s="3" t="str">
        <f>IFERROR(__xludf.DUMMYFUNCTION("""COMPUTED_VALUE"""),"Chasis Acoplado 2 Ejes L4750 Reforzado")</f>
        <v>Chasis Acoplado 2 Ejes L4750 Reforzado</v>
      </c>
      <c r="AW59" s="3" t="str">
        <f>IFERROR(__xludf.DUMMYFUNCTION("""COMPUTED_VALUE"""),"Chasis Acoplado 2 Ejes L4750 Reforzado R. Camion")</f>
        <v>Chasis Acoplado 2 Ejes L4750 Reforzado R. Camion</v>
      </c>
      <c r="AX59" s="3" t="str">
        <f>IFERROR(__xludf.DUMMYFUNCTION("""COMPUTED_VALUE"""),"Chasis Acoplado 2 Ejes L5000")</f>
        <v>Chasis Acoplado 2 Ejes L5000</v>
      </c>
      <c r="AY59" s="3" t="str">
        <f>IFERROR(__xludf.DUMMYFUNCTION("""COMPUTED_VALUE"""),"Chasis Acoplado 2 Ejes L5750")</f>
        <v>Chasis Acoplado 2 Ejes L5750</v>
      </c>
      <c r="AZ59" s="3" t="str">
        <f>IFERROR(__xludf.DUMMYFUNCTION("""COMPUTED_VALUE"""),"Chasis Acoplado 2 Ejes L6400")</f>
        <v>Chasis Acoplado 2 Ejes L6400</v>
      </c>
      <c r="BA59" s="3" t="str">
        <f>IFERROR(__xludf.DUMMYFUNCTION("""COMPUTED_VALUE"""),"Chasis Acoplado 2 Ejes L4500")</f>
        <v>Chasis Acoplado 2 Ejes L4500</v>
      </c>
      <c r="BB59" s="3" t="str">
        <f>IFERROR(__xludf.DUMMYFUNCTION("""COMPUTED_VALUE"""),"Chasis Acoplado 1 Eje L1500")</f>
        <v>Chasis Acoplado 1 Eje L1500</v>
      </c>
      <c r="BC59" s="3" t="str">
        <f>IFERROR(__xludf.DUMMYFUNCTION("""COMPUTED_VALUE"""),"Chasis Acoplado 1 Eje L1800")</f>
        <v>Chasis Acoplado 1 Eje L1800</v>
      </c>
      <c r="BD59" s="3" t="str">
        <f>IFERROR(__xludf.DUMMYFUNCTION("""COMPUTED_VALUE"""),"Chasis Acoplado 1 Eje L1400")</f>
        <v>Chasis Acoplado 1 Eje L1400</v>
      </c>
      <c r="BE59" s="3" t="str">
        <f>IFERROR(__xludf.DUMMYFUNCTION("""COMPUTED_VALUE"""),"Chasis Acoplado Balancin L3000")</f>
        <v>Chasis Acoplado Balancin L3000</v>
      </c>
      <c r="BF59" s="3" t="str">
        <f>IFERROR(__xludf.DUMMYFUNCTION("""COMPUTED_VALUE"""),"Chasis Acoplado Balancin L3000 Lanza Corta")</f>
        <v>Chasis Acoplado Balancin L3000 Lanza Corta</v>
      </c>
      <c r="BG59" s="3" t="str">
        <f>IFERROR(__xludf.DUMMYFUNCTION("""COMPUTED_VALUE"""),"Chasis Acoplado Balancin L2000 Lanza Corta")</f>
        <v>Chasis Acoplado Balancin L2000 Lanza Corta</v>
      </c>
      <c r="BH59" s="3" t="str">
        <f>IFERROR(__xludf.DUMMYFUNCTION("""COMPUTED_VALUE"""),"Chasis Acoplado Balancin L3200 Lanza Corta")</f>
        <v>Chasis Acoplado Balancin L3200 Lanza Corta</v>
      </c>
      <c r="BI59" s="3" t="str">
        <f>IFERROR(__xludf.DUMMYFUNCTION("""COMPUTED_VALUE"""),"Chasis Acoplado Balancin L3200 Lanza Recta")</f>
        <v>Chasis Acoplado Balancin L3200 Lanza Recta</v>
      </c>
      <c r="BJ59" s="3" t="str">
        <f>IFERROR(__xludf.DUMMYFUNCTION("""COMPUTED_VALUE"""),"Chasis Acoplado Balancin L3200 Bajo Lanza Recta")</f>
        <v>Chasis Acoplado Balancin L3200 Bajo Lanza Recta</v>
      </c>
      <c r="BK59" s="3" t="str">
        <f>IFERROR(__xludf.DUMMYFUNCTION("""COMPUTED_VALUE"""),"Tanque Plastico Horizontal 750 Lts")</f>
        <v>Tanque Plastico Horizontal 750 Lts</v>
      </c>
      <c r="BL59" s="3" t="str">
        <f>IFERROR(__xludf.DUMMYFUNCTION("""COMPUTED_VALUE"""),"Medio Tanque Plastico Superior 700 Lts")</f>
        <v>Medio Tanque Plastico Superior 700 Lts</v>
      </c>
      <c r="BM59" s="3" t="str">
        <f>IFERROR(__xludf.DUMMYFUNCTION("""COMPUTED_VALUE"""),"Paquete de Elasticos 50 mm x 8 mm x 10 Hojas L850")</f>
        <v>Paquete de Elasticos 50 mm x 8 mm x 10 Hojas L850</v>
      </c>
      <c r="BN59" s="3" t="str">
        <f>IFERROR(__xludf.DUMMYFUNCTION("""COMPUTED_VALUE"""),"Paquete de Elasticos 63 mm x 8 mm x 10 Hojas L950")</f>
        <v>Paquete de Elasticos 63 mm x 8 mm x 10 Hojas L950</v>
      </c>
      <c r="BO59" s="3" t="str">
        <f>IFERROR(__xludf.DUMMYFUNCTION("""COMPUTED_VALUE"""),"Paquete de Elasticos 50 mm x 7 mm x 9 Hojas L850")</f>
        <v>Paquete de Elasticos 50 mm x 7 mm x 9 Hojas L850</v>
      </c>
      <c r="BP59" s="3" t="str">
        <f>IFERROR(__xludf.DUMMYFUNCTION("""COMPUTED_VALUE"""),"Paquete de Elasticos 63 mm x 8 mm x 8 Hojas L850")</f>
        <v>Paquete de Elasticos 63 mm x 8 mm x 8 Hojas L850</v>
      </c>
      <c r="BQ59" s="3" t="str">
        <f>IFERROR(__xludf.DUMMYFUNCTION("""COMPUTED_VALUE"""),"Paquete de Elasticos 63 mm x 10 mm x 10 Hojas L950")</f>
        <v>Paquete de Elasticos 63 mm x 10 mm x 10 Hojas L950</v>
      </c>
      <c r="BR59" s="3" t="str">
        <f>IFERROR(__xludf.DUMMYFUNCTION("""COMPUTED_VALUE"""),"Paquete de Elasticos 63 mm x 10 mm x 13 Hojas L975")</f>
        <v>Paquete de Elasticos 63 mm x 10 mm x 13 Hojas L975</v>
      </c>
      <c r="BS59" s="3" t="str">
        <f>IFERROR(__xludf.DUMMYFUNCTION("""COMPUTED_VALUE"""),"Paquete de Elasticos 50 mm x 7 mm x 9 Hojas L650")</f>
        <v>Paquete de Elasticos 50 mm x 7 mm x 9 Hojas L650</v>
      </c>
      <c r="BT59" s="3" t="str">
        <f>IFERROR(__xludf.DUMMYFUNCTION("""COMPUTED_VALUE"""),"Eje Acoplado 2"" x 1600 (06/08) Agrícola Centro 92")</f>
        <v>Eje Acoplado 2" x 1600 (06/08) Agrícola Centro 92</v>
      </c>
      <c r="BU59" s="3" t="str">
        <f>IFERROR(__xludf.DUMMYFUNCTION("""COMPUTED_VALUE"""),"Eje Acoplado 2 1/2"" x 1600 (07/09) Agrícola Centro 92")</f>
        <v>Eje Acoplado 2 1/2" x 1600 (07/09) Agrícola Centro 92</v>
      </c>
      <c r="BV59" s="3" t="str">
        <f>IFERROR(__xludf.DUMMYFUNCTION("""COMPUTED_VALUE"""),"Eje Acoplado 2 1/2"" x 1600 (09/11) Agrícola Centro 150")</f>
        <v>Eje Acoplado 2 1/2" x 1600 (09/11) Agrícola Centro 150</v>
      </c>
      <c r="BW59" s="3" t="str">
        <f>IFERROR(__xludf.DUMMYFUNCTION("""COMPUTED_VALUE"""),"Eje Acoplado 3"" x 1600 (10/13) Agrícola Centro 150")</f>
        <v>Eje Acoplado 3" x 1600 (10/13) Agrícola Centro 150</v>
      </c>
      <c r="BX59" s="3" t="str">
        <f>IFERROR(__xludf.DUMMYFUNCTION("""COMPUTED_VALUE"""),"Eje Acoplado 2 1/2"" x 2140 (07/09) Agrícola Centro 92")</f>
        <v>Eje Acoplado 2 1/2" x 2140 (07/09) Agrícola Centro 92</v>
      </c>
      <c r="BY59" s="3" t="str">
        <f>IFERROR(__xludf.DUMMYFUNCTION("""COMPUTED_VALUE"""),"Eje Acoplado 2"" x 1400 (06/08) Agrícola Centro 92")</f>
        <v>Eje Acoplado 2" x 1400 (06/08) Agrícola Centro 92</v>
      </c>
      <c r="BZ59" s="3" t="str">
        <f>IFERROR(__xludf.DUMMYFUNCTION("""COMPUTED_VALUE"""),"Eje Acoplado 2 1/2"" x 1500 (07/09) Agrícola Centro 92")</f>
        <v>Eje Acoplado 2 1/2" x 1500 (07/09) Agrícola Centro 92</v>
      </c>
      <c r="CA59" s="3" t="str">
        <f>IFERROR(__xludf.DUMMYFUNCTION("""COMPUTED_VALUE"""),"Eje Acoplado 2 1/2"" x 2000 (07/09) Agrícola Centro 92")</f>
        <v>Eje Acoplado 2 1/2" x 2000 (07/09) Agrícola Centro 92</v>
      </c>
      <c r="CB59" s="3" t="str">
        <f>IFERROR(__xludf.DUMMYFUNCTION("""COMPUTED_VALUE"""),"Eje Acoplado 2 1/2"" x 2100 (09/11) Agrícola Centro 150")</f>
        <v>Eje Acoplado 2 1/2" x 2100 (09/11) Agrícola Centro 150</v>
      </c>
      <c r="CC59" s="3" t="str">
        <f>IFERROR(__xludf.DUMMYFUNCTION("""COMPUTED_VALUE"""),"Llanta 16"" Simple Agrícola Centro 92")</f>
        <v>Llanta 16" Simple Agrícola Centro 92</v>
      </c>
      <c r="CD59" s="3" t="str">
        <f>IFERROR(__xludf.DUMMYFUNCTION("""COMPUTED_VALUE"""),"Llanta 16"" Dual Agrícola Centro 92")</f>
        <v>Llanta 16" Dual Agrícola Centro 92</v>
      </c>
      <c r="CE59" s="3" t="str">
        <f>IFERROR(__xludf.DUMMYFUNCTION("""COMPUTED_VALUE"""),"Llanta 17"" Simple Agrícola Centro 92")</f>
        <v>Llanta 17" Simple Agrícola Centro 92</v>
      </c>
      <c r="CF59" s="3" t="str">
        <f>IFERROR(__xludf.DUMMYFUNCTION("""COMPUTED_VALUE"""),"Llanta 17"" Dual Agrícola Centro 92")</f>
        <v>Llanta 17" Dual Agrícola Centro 92</v>
      </c>
      <c r="CG59" s="3" t="str">
        <f>IFERROR(__xludf.DUMMYFUNCTION("""COMPUTED_VALUE"""),"Llanta 16"" Dual Agrícola Centro 152")</f>
        <v>Llanta 16" Dual Agrícola Centro 152</v>
      </c>
      <c r="CH59" s="3" t="str">
        <f>IFERROR(__xludf.DUMMYFUNCTION("""COMPUTED_VALUE"""),"Llanta 17"" Dual Agrícola Centro 152")</f>
        <v>Llanta 17" Dual Agrícola Centro 152</v>
      </c>
      <c r="CI59" s="3" t="str">
        <f>IFERROR(__xludf.DUMMYFUNCTION("""COMPUTED_VALUE"""),"Eje Acoplado 2"" x 1600 (05/07) Agrícola Centro 92")</f>
        <v>Eje Acoplado 2" x 1600 (05/07) Agrícola Centro 92</v>
      </c>
      <c r="CJ59" s="3" t="str">
        <f>IFERROR(__xludf.DUMMYFUNCTION("""COMPUTED_VALUE"""),"Paquete de Elásticos 50 mm x 8 mm x 12 Hojas")</f>
        <v>Paquete de Elásticos 50 mm x 8 mm x 12 Hojas</v>
      </c>
      <c r="CK59" s="3" t="str">
        <f>IFERROR(__xludf.DUMMYFUNCTION("""COMPUTED_VALUE"""),"Plataforma Playo 4.00 x 1.90 x 0.45 Lateral Simple Baranda Fija")</f>
        <v>Plataforma Playo 4.00 x 1.90 x 0.45 Lateral Simple Baranda Fija</v>
      </c>
      <c r="CL59" s="3" t="str">
        <f>IFERROR(__xludf.DUMMYFUNCTION("""COMPUTED_VALUE"""),"Plataforma Playo 4.00 x 1.90 x 0.45 Lateral Simple Baranda Ventilada")</f>
        <v>Plataforma Playo 4.00 x 1.90 x 0.45 Lateral Simple Baranda Ventilada</v>
      </c>
      <c r="CM59" s="3" t="str">
        <f>IFERROR(__xludf.DUMMYFUNCTION("""COMPUTED_VALUE"""),"Plataforma Playo 4.00 x 1.90 x 0.45 Lateral Doble Baranda Ventilada")</f>
        <v>Plataforma Playo 4.00 x 1.90 x 0.45 Lateral Doble Baranda Ventilada</v>
      </c>
      <c r="CN59" s="3" t="str">
        <f>IFERROR(__xludf.DUMMYFUNCTION("""COMPUTED_VALUE"""),"Plataforma Playo 4.00 x 1.90 x 0.45 Lateral Doble Baranda Fija")</f>
        <v>Plataforma Playo 4.00 x 1.90 x 0.45 Lateral Doble Baranda Fija</v>
      </c>
      <c r="CO59" s="3" t="str">
        <f>IFERROR(__xludf.DUMMYFUNCTION("""COMPUTED_VALUE"""),"Plataforma Playo 4.00 x 1.90 x 0.72 Lateral Simple Baranda Fija")</f>
        <v>Plataforma Playo 4.00 x 1.90 x 0.72 Lateral Simple Baranda Fija</v>
      </c>
      <c r="CP59" s="3" t="str">
        <f>IFERROR(__xludf.DUMMYFUNCTION("""COMPUTED_VALUE"""),"Plataforma Playo 4.00 x 1.90 x 0.72 Lateral Doble Baranda Fija")</f>
        <v>Plataforma Playo 4.00 x 1.90 x 0.72 Lateral Doble Baranda Fija</v>
      </c>
      <c r="CQ59" s="3" t="str">
        <f>IFERROR(__xludf.DUMMYFUNCTION("""COMPUTED_VALUE"""),"Plataforma Playo 5.00 x 2.20 x 0.60 Lateral Doble Trasera Rebatible")</f>
        <v>Plataforma Playo 5.00 x 2.20 x 0.60 Lateral Doble Trasera Rebatible</v>
      </c>
      <c r="CR59" s="3" t="str">
        <f>IFERROR(__xludf.DUMMYFUNCTION("""COMPUTED_VALUE"""),"Plataforma Playo 5.00 x 2.20 x 0.60 Lateral Doble Baranda Fija C/Toldo")</f>
        <v>Plataforma Playo 5.00 x 2.20 x 0.60 Lateral Doble Baranda Fija C/Toldo</v>
      </c>
      <c r="CS59" s="3" t="str">
        <f>IFERROR(__xludf.DUMMYFUNCTION("""COMPUTED_VALUE"""),"Plataforma Playo 3.00 x 1.90 x 0.45 Lateral Simple Baranda Fija")</f>
        <v>Plataforma Playo 3.00 x 1.90 x 0.45 Lateral Simple Baranda Fija</v>
      </c>
      <c r="CT59" s="3" t="str">
        <f>IFERROR(__xludf.DUMMYFUNCTION("""COMPUTED_VALUE"""),"Plataforma Playo 3.00 x 1.90 x 0.45 Lateral Simple Baranda Ventilada")</f>
        <v>Plataforma Playo 3.00 x 1.90 x 0.45 Lateral Simple Baranda Ventilada</v>
      </c>
      <c r="CU59" s="3" t="str">
        <f>IFERROR(__xludf.DUMMYFUNCTION("""COMPUTED_VALUE"""),"Plataforma Playo 2.00 x 1.90 x 0.45 Lateral Simple Baranda Fija")</f>
        <v>Plataforma Playo 2.00 x 1.90 x 0.45 Lateral Simple Baranda Fija</v>
      </c>
      <c r="CV59" s="3" t="str">
        <f>IFERROR(__xludf.DUMMYFUNCTION("""COMPUTED_VALUE"""),"Plataforma Playo 5.00 x 1.90 x 0.60 Lateral Doble Baranda Fija")</f>
        <v>Plataforma Playo 5.00 x 1.90 x 0.60 Lateral Doble Baranda Fija</v>
      </c>
      <c r="CW59" s="3" t="str">
        <f>IFERROR(__xludf.DUMMYFUNCTION("""COMPUTED_VALUE"""),"Plataforma Playo 6.40 x 2.70 x 0.72 Lateral Doble Baranda Fija")</f>
        <v>Plataforma Playo 6.40 x 2.70 x 0.72 Lateral Doble Baranda Fija</v>
      </c>
      <c r="CX59" s="3" t="str">
        <f>IFERROR(__xludf.DUMMYFUNCTION("""COMPUTED_VALUE"""),"Chasis Acoplado Balancin L4000 Lanza Recta")</f>
        <v>Chasis Acoplado Balancin L4000 Lanza Recta</v>
      </c>
      <c r="CY59" s="3" t="str">
        <f>IFERROR(__xludf.DUMMYFUNCTION("""COMPUTED_VALUE"""),"Llanta simple Agrícola 750x20 centro 152")</f>
        <v>Llanta simple Agrícola 750x20 centro 152</v>
      </c>
      <c r="CZ59" s="3" t="str">
        <f>IFERROR(__xludf.DUMMYFUNCTION("""COMPUTED_VALUE"""),"Cajón de Herramientas Mediano adelante")</f>
        <v>Cajón de Herramientas Mediano adelante</v>
      </c>
      <c r="DA59" s="3" t="str">
        <f>IFERROR(__xludf.DUMMYFUNCTION("""COMPUTED_VALUE"""),"Llanta 15"" Simple Agrícola Centro 92")</f>
        <v>Llanta 15" Simple Agrícola Centro 92</v>
      </c>
    </row>
    <row r="60" hidden="1">
      <c r="A60" s="38">
        <f t="shared" si="1"/>
        <v>59</v>
      </c>
      <c r="B60" s="38">
        <f>IF(F60="","",SUMIF(Prearmados!E:E,F60,Prearmados!A:A))</f>
        <v>9</v>
      </c>
      <c r="C60" s="38">
        <f>IF(F60="","",SUMIF(Productos!E:E,G60,Productos!A:A))</f>
        <v>66</v>
      </c>
      <c r="D60" s="83" t="str">
        <f t="array" ref="D60">IF(OR(F60="",F60="Seleccionar.."),"",XLOOKUP(F60,Prearmados!E:E,Prearmados!F:F,"",0,1))</f>
        <v>Acoplados Rurales</v>
      </c>
      <c r="E60" s="83">
        <f>IF(H60="","",SUMIF(Precio_Productos!K:K,C60,Precio_Productos!J:J)*H60)</f>
        <v>292579</v>
      </c>
      <c r="F60" s="84" t="s">
        <v>332</v>
      </c>
      <c r="G60" s="84" t="s">
        <v>79</v>
      </c>
      <c r="H60" s="13">
        <v>1.0</v>
      </c>
      <c r="P60" s="3" t="str">
        <f>IFERROR(__xludf.DUMMYFUNCTION("IF(OR(F60="""",F60=""Seleccionar..""),"""",TRANSPOSE(FILTER(Productos!E:E,(Productos!F:F=D60)+(Productos!F:F=XLOOKUP(D60,Implementos!B:B,Implementos!C:C,""-"",0,1)))))"),"Tanque Combustible 1100 lts Bajo")</f>
        <v>Tanque Combustible 1100 lts Bajo</v>
      </c>
      <c r="Q60" s="3" t="str">
        <f>IFERROR(__xludf.DUMMYFUNCTION("""COMPUTED_VALUE"""),"Tanque Combustible 1500 lts Standard")</f>
        <v>Tanque Combustible 1500 lts Standard</v>
      </c>
      <c r="R60" s="3" t="str">
        <f>IFERROR(__xludf.DUMMYFUNCTION("""COMPUTED_VALUE"""),"Tanque Combustible 1800 lts Standard")</f>
        <v>Tanque Combustible 1800 lts Standard</v>
      </c>
      <c r="S60" s="3" t="str">
        <f>IFERROR(__xludf.DUMMYFUNCTION("""COMPUTED_VALUE"""),"Tanque Combustible 2000 lts Bajo")</f>
        <v>Tanque Combustible 2000 lts Bajo</v>
      </c>
      <c r="T60" s="3" t="str">
        <f>IFERROR(__xludf.DUMMYFUNCTION("""COMPUTED_VALUE"""),"Tanque Combustible 2000 lts Standard")</f>
        <v>Tanque Combustible 2000 lts Standard</v>
      </c>
      <c r="U60" s="3" t="str">
        <f>IFERROR(__xludf.DUMMYFUNCTION("""COMPUTED_VALUE"""),"Tanque Combustible 3000 lts Standard")</f>
        <v>Tanque Combustible 3000 lts Standard</v>
      </c>
      <c r="V60" s="3" t="str">
        <f>IFERROR(__xludf.DUMMYFUNCTION("""COMPUTED_VALUE"""),"Tanque Combustible 3000 lts Alto")</f>
        <v>Tanque Combustible 3000 lts Alto</v>
      </c>
      <c r="W60" s="3" t="str">
        <f>IFERROR(__xludf.DUMMYFUNCTION("""COMPUTED_VALUE"""),"Tanque Combustible 4000 lts Standard")</f>
        <v>Tanque Combustible 4000 lts Standard</v>
      </c>
      <c r="X60" s="3" t="str">
        <f>IFERROR(__xludf.DUMMYFUNCTION("""COMPUTED_VALUE"""),"Tanque Combustible 5000 lts Standard")</f>
        <v>Tanque Combustible 5000 lts Standard</v>
      </c>
      <c r="Y60" s="3" t="str">
        <f>IFERROR(__xludf.DUMMYFUNCTION("""COMPUTED_VALUE"""),"Tanque Combustible 5000 lts Alto")</f>
        <v>Tanque Combustible 5000 lts Alto</v>
      </c>
      <c r="Z60" s="3" t="str">
        <f>IFERROR(__xludf.DUMMYFUNCTION("""COMPUTED_VALUE"""),"Tanque Combustible 2000 lts Alto")</f>
        <v>Tanque Combustible 2000 lts Alto</v>
      </c>
      <c r="AA60" s="3" t="str">
        <f>IFERROR(__xludf.DUMMYFUNCTION("""COMPUTED_VALUE"""),"Tanque Combustible 4000 lts Alto")</f>
        <v>Tanque Combustible 4000 lts Alto</v>
      </c>
      <c r="AB60" s="3" t="str">
        <f>IFERROR(__xludf.DUMMYFUNCTION("""COMPUTED_VALUE"""),"Baulera Standard - 750")</f>
        <v>Baulera Standard - 750</v>
      </c>
      <c r="AC60" s="3" t="str">
        <f>IFERROR(__xludf.DUMMYFUNCTION("""COMPUTED_VALUE"""),"Baulera Standard - 1700 - C/Laterales")</f>
        <v>Baulera Standard - 1700 - C/Laterales</v>
      </c>
      <c r="AD60" s="3" t="str">
        <f>IFERROR(__xludf.DUMMYFUNCTION("""COMPUTED_VALUE"""),"Baulera Standard - 1000 - C/Laterales")</f>
        <v>Baulera Standard - 1000 - C/Laterales</v>
      </c>
      <c r="AE60" s="3" t="str">
        <f>IFERROR(__xludf.DUMMYFUNCTION("""COMPUTED_VALUE"""),"Baulera Standard - 750 - C/Laterales")</f>
        <v>Baulera Standard - 750 - C/Laterales</v>
      </c>
      <c r="AF60" s="3" t="str">
        <f>IFERROR(__xludf.DUMMYFUNCTION("""COMPUTED_VALUE"""),"Baulera Standard - 1300 - C/Laterales")</f>
        <v>Baulera Standard - 1300 - C/Laterales</v>
      </c>
      <c r="AG60" s="3" t="str">
        <f>IFERROR(__xludf.DUMMYFUNCTION("""COMPUTED_VALUE"""),"Baulera Alta - 750")</f>
        <v>Baulera Alta - 750</v>
      </c>
      <c r="AH60" s="3" t="str">
        <f>IFERROR(__xludf.DUMMYFUNCTION("""COMPUTED_VALUE"""),"Baulera Alta - 1500 - C/Laterales")</f>
        <v>Baulera Alta - 1500 - C/Laterales</v>
      </c>
      <c r="AI60" s="3" t="str">
        <f>IFERROR(__xludf.DUMMYFUNCTION("""COMPUTED_VALUE"""),"Baulera Extendida 1700 - C/Laterales")</f>
        <v>Baulera Extendida 1700 - C/Laterales</v>
      </c>
      <c r="AJ60" s="3" t="str">
        <f>IFERROR(__xludf.DUMMYFUNCTION("""COMPUTED_VALUE"""),"Taller Móvil - 1500 x 1500 x 1700")</f>
        <v>Taller Móvil - 1500 x 1500 x 1700</v>
      </c>
      <c r="AK60" s="3" t="str">
        <f>IFERROR(__xludf.DUMMYFUNCTION("""COMPUTED_VALUE"""),"Cajón Herramientas Standard Derecho")</f>
        <v>Cajón Herramientas Standard Derecho</v>
      </c>
      <c r="AL60" s="3" t="str">
        <f>IFERROR(__xludf.DUMMYFUNCTION("""COMPUTED_VALUE"""),"Cajón Herramientas Standard Izquierdo")</f>
        <v>Cajón Herramientas Standard Izquierdo</v>
      </c>
      <c r="AM60" s="3" t="str">
        <f>IFERROR(__xludf.DUMMYFUNCTION("""COMPUTED_VALUE"""),"Cajón Herramientas Corto Derecho")</f>
        <v>Cajón Herramientas Corto Derecho</v>
      </c>
      <c r="AN60" s="3" t="str">
        <f>IFERROR(__xludf.DUMMYFUNCTION("""COMPUTED_VALUE"""),"Cajón Herramientas Corto Izquierdo")</f>
        <v>Cajón Herramientas Corto Izquierdo</v>
      </c>
      <c r="AO60" s="3" t="str">
        <f>IFERROR(__xludf.DUMMYFUNCTION("""COMPUTED_VALUE"""),"Cajón Herramientas Mediano Derecho")</f>
        <v>Cajón Herramientas Mediano Derecho</v>
      </c>
      <c r="AP60" s="3" t="str">
        <f>IFERROR(__xludf.DUMMYFUNCTION("""COMPUTED_VALUE"""),"Cajón Herramientas Mediano Izquierdo")</f>
        <v>Cajón Herramientas Mediano Izquierdo</v>
      </c>
      <c r="AQ60" s="3" t="str">
        <f>IFERROR(__xludf.DUMMYFUNCTION("""COMPUTED_VALUE"""),"Chasis Acoplado 2 Ejes L3000")</f>
        <v>Chasis Acoplado 2 Ejes L3000</v>
      </c>
      <c r="AR60" s="3" t="str">
        <f>IFERROR(__xludf.DUMMYFUNCTION("""COMPUTED_VALUE"""),"Chasis Acoplado 2 Ejes L3750")</f>
        <v>Chasis Acoplado 2 Ejes L3750</v>
      </c>
      <c r="AS60" s="3" t="str">
        <f>IFERROR(__xludf.DUMMYFUNCTION("""COMPUTED_VALUE"""),"Chasis Acoplado 2 Ejes L4000")</f>
        <v>Chasis Acoplado 2 Ejes L4000</v>
      </c>
      <c r="AT60" s="3" t="str">
        <f>IFERROR(__xludf.DUMMYFUNCTION("""COMPUTED_VALUE"""),"Chasis Acoplado 2 Ejes L4000 Reforzado")</f>
        <v>Chasis Acoplado 2 Ejes L4000 Reforzado</v>
      </c>
      <c r="AU60" s="3" t="str">
        <f>IFERROR(__xludf.DUMMYFUNCTION("""COMPUTED_VALUE"""),"Chasis Acoplado 2 Ejes L4750")</f>
        <v>Chasis Acoplado 2 Ejes L4750</v>
      </c>
      <c r="AV60" s="3" t="str">
        <f>IFERROR(__xludf.DUMMYFUNCTION("""COMPUTED_VALUE"""),"Chasis Acoplado 2 Ejes L4750 Reforzado")</f>
        <v>Chasis Acoplado 2 Ejes L4750 Reforzado</v>
      </c>
      <c r="AW60" s="3" t="str">
        <f>IFERROR(__xludf.DUMMYFUNCTION("""COMPUTED_VALUE"""),"Chasis Acoplado 2 Ejes L4750 Reforzado R. Camion")</f>
        <v>Chasis Acoplado 2 Ejes L4750 Reforzado R. Camion</v>
      </c>
      <c r="AX60" s="3" t="str">
        <f>IFERROR(__xludf.DUMMYFUNCTION("""COMPUTED_VALUE"""),"Chasis Acoplado 2 Ejes L5000")</f>
        <v>Chasis Acoplado 2 Ejes L5000</v>
      </c>
      <c r="AY60" s="3" t="str">
        <f>IFERROR(__xludf.DUMMYFUNCTION("""COMPUTED_VALUE"""),"Chasis Acoplado 2 Ejes L5750")</f>
        <v>Chasis Acoplado 2 Ejes L5750</v>
      </c>
      <c r="AZ60" s="3" t="str">
        <f>IFERROR(__xludf.DUMMYFUNCTION("""COMPUTED_VALUE"""),"Chasis Acoplado 2 Ejes L6400")</f>
        <v>Chasis Acoplado 2 Ejes L6400</v>
      </c>
      <c r="BA60" s="3" t="str">
        <f>IFERROR(__xludf.DUMMYFUNCTION("""COMPUTED_VALUE"""),"Chasis Acoplado 2 Ejes L4500")</f>
        <v>Chasis Acoplado 2 Ejes L4500</v>
      </c>
      <c r="BB60" s="3" t="str">
        <f>IFERROR(__xludf.DUMMYFUNCTION("""COMPUTED_VALUE"""),"Chasis Acoplado 1 Eje L1500")</f>
        <v>Chasis Acoplado 1 Eje L1500</v>
      </c>
      <c r="BC60" s="3" t="str">
        <f>IFERROR(__xludf.DUMMYFUNCTION("""COMPUTED_VALUE"""),"Chasis Acoplado 1 Eje L1800")</f>
        <v>Chasis Acoplado 1 Eje L1800</v>
      </c>
      <c r="BD60" s="3" t="str">
        <f>IFERROR(__xludf.DUMMYFUNCTION("""COMPUTED_VALUE"""),"Chasis Acoplado 1 Eje L1400")</f>
        <v>Chasis Acoplado 1 Eje L1400</v>
      </c>
      <c r="BE60" s="3" t="str">
        <f>IFERROR(__xludf.DUMMYFUNCTION("""COMPUTED_VALUE"""),"Chasis Acoplado Balancin L3000")</f>
        <v>Chasis Acoplado Balancin L3000</v>
      </c>
      <c r="BF60" s="3" t="str">
        <f>IFERROR(__xludf.DUMMYFUNCTION("""COMPUTED_VALUE"""),"Chasis Acoplado Balancin L3000 Lanza Corta")</f>
        <v>Chasis Acoplado Balancin L3000 Lanza Corta</v>
      </c>
      <c r="BG60" s="3" t="str">
        <f>IFERROR(__xludf.DUMMYFUNCTION("""COMPUTED_VALUE"""),"Chasis Acoplado Balancin L2000 Lanza Corta")</f>
        <v>Chasis Acoplado Balancin L2000 Lanza Corta</v>
      </c>
      <c r="BH60" s="3" t="str">
        <f>IFERROR(__xludf.DUMMYFUNCTION("""COMPUTED_VALUE"""),"Chasis Acoplado Balancin L3200 Lanza Corta")</f>
        <v>Chasis Acoplado Balancin L3200 Lanza Corta</v>
      </c>
      <c r="BI60" s="3" t="str">
        <f>IFERROR(__xludf.DUMMYFUNCTION("""COMPUTED_VALUE"""),"Chasis Acoplado Balancin L3200 Lanza Recta")</f>
        <v>Chasis Acoplado Balancin L3200 Lanza Recta</v>
      </c>
      <c r="BJ60" s="3" t="str">
        <f>IFERROR(__xludf.DUMMYFUNCTION("""COMPUTED_VALUE"""),"Chasis Acoplado Balancin L3200 Bajo Lanza Recta")</f>
        <v>Chasis Acoplado Balancin L3200 Bajo Lanza Recta</v>
      </c>
      <c r="BK60" s="3" t="str">
        <f>IFERROR(__xludf.DUMMYFUNCTION("""COMPUTED_VALUE"""),"Tanque Plastico Horizontal 750 Lts")</f>
        <v>Tanque Plastico Horizontal 750 Lts</v>
      </c>
      <c r="BL60" s="3" t="str">
        <f>IFERROR(__xludf.DUMMYFUNCTION("""COMPUTED_VALUE"""),"Medio Tanque Plastico Superior 700 Lts")</f>
        <v>Medio Tanque Plastico Superior 700 Lts</v>
      </c>
      <c r="BM60" s="3" t="str">
        <f>IFERROR(__xludf.DUMMYFUNCTION("""COMPUTED_VALUE"""),"Paquete de Elasticos 50 mm x 8 mm x 10 Hojas L850")</f>
        <v>Paquete de Elasticos 50 mm x 8 mm x 10 Hojas L850</v>
      </c>
      <c r="BN60" s="3" t="str">
        <f>IFERROR(__xludf.DUMMYFUNCTION("""COMPUTED_VALUE"""),"Paquete de Elasticos 63 mm x 8 mm x 10 Hojas L950")</f>
        <v>Paquete de Elasticos 63 mm x 8 mm x 10 Hojas L950</v>
      </c>
      <c r="BO60" s="3" t="str">
        <f>IFERROR(__xludf.DUMMYFUNCTION("""COMPUTED_VALUE"""),"Paquete de Elasticos 50 mm x 7 mm x 9 Hojas L850")</f>
        <v>Paquete de Elasticos 50 mm x 7 mm x 9 Hojas L850</v>
      </c>
      <c r="BP60" s="3" t="str">
        <f>IFERROR(__xludf.DUMMYFUNCTION("""COMPUTED_VALUE"""),"Paquete de Elasticos 63 mm x 8 mm x 8 Hojas L850")</f>
        <v>Paquete de Elasticos 63 mm x 8 mm x 8 Hojas L850</v>
      </c>
      <c r="BQ60" s="3" t="str">
        <f>IFERROR(__xludf.DUMMYFUNCTION("""COMPUTED_VALUE"""),"Paquete de Elasticos 63 mm x 10 mm x 10 Hojas L950")</f>
        <v>Paquete de Elasticos 63 mm x 10 mm x 10 Hojas L950</v>
      </c>
      <c r="BR60" s="3" t="str">
        <f>IFERROR(__xludf.DUMMYFUNCTION("""COMPUTED_VALUE"""),"Paquete de Elasticos 63 mm x 10 mm x 13 Hojas L975")</f>
        <v>Paquete de Elasticos 63 mm x 10 mm x 13 Hojas L975</v>
      </c>
      <c r="BS60" s="3" t="str">
        <f>IFERROR(__xludf.DUMMYFUNCTION("""COMPUTED_VALUE"""),"Paquete de Elasticos 50 mm x 7 mm x 9 Hojas L650")</f>
        <v>Paquete de Elasticos 50 mm x 7 mm x 9 Hojas L650</v>
      </c>
      <c r="BT60" s="3" t="str">
        <f>IFERROR(__xludf.DUMMYFUNCTION("""COMPUTED_VALUE"""),"Eje Acoplado 2"" x 1600 (06/08) Agrícola Centro 92")</f>
        <v>Eje Acoplado 2" x 1600 (06/08) Agrícola Centro 92</v>
      </c>
      <c r="BU60" s="3" t="str">
        <f>IFERROR(__xludf.DUMMYFUNCTION("""COMPUTED_VALUE"""),"Eje Acoplado 2 1/2"" x 1600 (07/09) Agrícola Centro 92")</f>
        <v>Eje Acoplado 2 1/2" x 1600 (07/09) Agrícola Centro 92</v>
      </c>
      <c r="BV60" s="3" t="str">
        <f>IFERROR(__xludf.DUMMYFUNCTION("""COMPUTED_VALUE"""),"Eje Acoplado 2 1/2"" x 1600 (09/11) Agrícola Centro 150")</f>
        <v>Eje Acoplado 2 1/2" x 1600 (09/11) Agrícola Centro 150</v>
      </c>
      <c r="BW60" s="3" t="str">
        <f>IFERROR(__xludf.DUMMYFUNCTION("""COMPUTED_VALUE"""),"Eje Acoplado 3"" x 1600 (10/13) Agrícola Centro 150")</f>
        <v>Eje Acoplado 3" x 1600 (10/13) Agrícola Centro 150</v>
      </c>
      <c r="BX60" s="3" t="str">
        <f>IFERROR(__xludf.DUMMYFUNCTION("""COMPUTED_VALUE"""),"Eje Acoplado 2 1/2"" x 2140 (07/09) Agrícola Centro 92")</f>
        <v>Eje Acoplado 2 1/2" x 2140 (07/09) Agrícola Centro 92</v>
      </c>
      <c r="BY60" s="3" t="str">
        <f>IFERROR(__xludf.DUMMYFUNCTION("""COMPUTED_VALUE"""),"Eje Acoplado 2"" x 1400 (06/08) Agrícola Centro 92")</f>
        <v>Eje Acoplado 2" x 1400 (06/08) Agrícola Centro 92</v>
      </c>
      <c r="BZ60" s="3" t="str">
        <f>IFERROR(__xludf.DUMMYFUNCTION("""COMPUTED_VALUE"""),"Eje Acoplado 2 1/2"" x 1500 (07/09) Agrícola Centro 92")</f>
        <v>Eje Acoplado 2 1/2" x 1500 (07/09) Agrícola Centro 92</v>
      </c>
      <c r="CA60" s="3" t="str">
        <f>IFERROR(__xludf.DUMMYFUNCTION("""COMPUTED_VALUE"""),"Eje Acoplado 2 1/2"" x 2000 (07/09) Agrícola Centro 92")</f>
        <v>Eje Acoplado 2 1/2" x 2000 (07/09) Agrícola Centro 92</v>
      </c>
      <c r="CB60" s="3" t="str">
        <f>IFERROR(__xludf.DUMMYFUNCTION("""COMPUTED_VALUE"""),"Eje Acoplado 2 1/2"" x 2100 (09/11) Agrícola Centro 150")</f>
        <v>Eje Acoplado 2 1/2" x 2100 (09/11) Agrícola Centro 150</v>
      </c>
      <c r="CC60" s="3" t="str">
        <f>IFERROR(__xludf.DUMMYFUNCTION("""COMPUTED_VALUE"""),"Llanta 16"" Simple Agrícola Centro 92")</f>
        <v>Llanta 16" Simple Agrícola Centro 92</v>
      </c>
      <c r="CD60" s="3" t="str">
        <f>IFERROR(__xludf.DUMMYFUNCTION("""COMPUTED_VALUE"""),"Llanta 16"" Dual Agrícola Centro 92")</f>
        <v>Llanta 16" Dual Agrícola Centro 92</v>
      </c>
      <c r="CE60" s="3" t="str">
        <f>IFERROR(__xludf.DUMMYFUNCTION("""COMPUTED_VALUE"""),"Llanta 17"" Simple Agrícola Centro 92")</f>
        <v>Llanta 17" Simple Agrícola Centro 92</v>
      </c>
      <c r="CF60" s="3" t="str">
        <f>IFERROR(__xludf.DUMMYFUNCTION("""COMPUTED_VALUE"""),"Llanta 17"" Dual Agrícola Centro 92")</f>
        <v>Llanta 17" Dual Agrícola Centro 92</v>
      </c>
      <c r="CG60" s="3" t="str">
        <f>IFERROR(__xludf.DUMMYFUNCTION("""COMPUTED_VALUE"""),"Llanta 16"" Dual Agrícola Centro 152")</f>
        <v>Llanta 16" Dual Agrícola Centro 152</v>
      </c>
      <c r="CH60" s="3" t="str">
        <f>IFERROR(__xludf.DUMMYFUNCTION("""COMPUTED_VALUE"""),"Llanta 17"" Dual Agrícola Centro 152")</f>
        <v>Llanta 17" Dual Agrícola Centro 152</v>
      </c>
      <c r="CI60" s="3" t="str">
        <f>IFERROR(__xludf.DUMMYFUNCTION("""COMPUTED_VALUE"""),"Eje Acoplado 2"" x 1600 (05/07) Agrícola Centro 92")</f>
        <v>Eje Acoplado 2" x 1600 (05/07) Agrícola Centro 92</v>
      </c>
      <c r="CJ60" s="3" t="str">
        <f>IFERROR(__xludf.DUMMYFUNCTION("""COMPUTED_VALUE"""),"Paquete de Elásticos 50 mm x 8 mm x 12 Hojas")</f>
        <v>Paquete de Elásticos 50 mm x 8 mm x 12 Hojas</v>
      </c>
      <c r="CK60" s="3" t="str">
        <f>IFERROR(__xludf.DUMMYFUNCTION("""COMPUTED_VALUE"""),"Plataforma Playo 4.00 x 1.90 x 0.45 Lateral Simple Baranda Fija")</f>
        <v>Plataforma Playo 4.00 x 1.90 x 0.45 Lateral Simple Baranda Fija</v>
      </c>
      <c r="CL60" s="3" t="str">
        <f>IFERROR(__xludf.DUMMYFUNCTION("""COMPUTED_VALUE"""),"Plataforma Playo 4.00 x 1.90 x 0.45 Lateral Simple Baranda Ventilada")</f>
        <v>Plataforma Playo 4.00 x 1.90 x 0.45 Lateral Simple Baranda Ventilada</v>
      </c>
      <c r="CM60" s="3" t="str">
        <f>IFERROR(__xludf.DUMMYFUNCTION("""COMPUTED_VALUE"""),"Plataforma Playo 4.00 x 1.90 x 0.45 Lateral Doble Baranda Ventilada")</f>
        <v>Plataforma Playo 4.00 x 1.90 x 0.45 Lateral Doble Baranda Ventilada</v>
      </c>
      <c r="CN60" s="3" t="str">
        <f>IFERROR(__xludf.DUMMYFUNCTION("""COMPUTED_VALUE"""),"Plataforma Playo 4.00 x 1.90 x 0.45 Lateral Doble Baranda Fija")</f>
        <v>Plataforma Playo 4.00 x 1.90 x 0.45 Lateral Doble Baranda Fija</v>
      </c>
      <c r="CO60" s="3" t="str">
        <f>IFERROR(__xludf.DUMMYFUNCTION("""COMPUTED_VALUE"""),"Plataforma Playo 4.00 x 1.90 x 0.72 Lateral Simple Baranda Fija")</f>
        <v>Plataforma Playo 4.00 x 1.90 x 0.72 Lateral Simple Baranda Fija</v>
      </c>
      <c r="CP60" s="3" t="str">
        <f>IFERROR(__xludf.DUMMYFUNCTION("""COMPUTED_VALUE"""),"Plataforma Playo 4.00 x 1.90 x 0.72 Lateral Doble Baranda Fija")</f>
        <v>Plataforma Playo 4.00 x 1.90 x 0.72 Lateral Doble Baranda Fija</v>
      </c>
      <c r="CQ60" s="3" t="str">
        <f>IFERROR(__xludf.DUMMYFUNCTION("""COMPUTED_VALUE"""),"Plataforma Playo 5.00 x 2.20 x 0.60 Lateral Doble Trasera Rebatible")</f>
        <v>Plataforma Playo 5.00 x 2.20 x 0.60 Lateral Doble Trasera Rebatible</v>
      </c>
      <c r="CR60" s="3" t="str">
        <f>IFERROR(__xludf.DUMMYFUNCTION("""COMPUTED_VALUE"""),"Plataforma Playo 5.00 x 2.20 x 0.60 Lateral Doble Baranda Fija C/Toldo")</f>
        <v>Plataforma Playo 5.00 x 2.20 x 0.60 Lateral Doble Baranda Fija C/Toldo</v>
      </c>
      <c r="CS60" s="3" t="str">
        <f>IFERROR(__xludf.DUMMYFUNCTION("""COMPUTED_VALUE"""),"Plataforma Playo 3.00 x 1.90 x 0.45 Lateral Simple Baranda Fija")</f>
        <v>Plataforma Playo 3.00 x 1.90 x 0.45 Lateral Simple Baranda Fija</v>
      </c>
      <c r="CT60" s="3" t="str">
        <f>IFERROR(__xludf.DUMMYFUNCTION("""COMPUTED_VALUE"""),"Plataforma Playo 3.00 x 1.90 x 0.45 Lateral Simple Baranda Ventilada")</f>
        <v>Plataforma Playo 3.00 x 1.90 x 0.45 Lateral Simple Baranda Ventilada</v>
      </c>
      <c r="CU60" s="3" t="str">
        <f>IFERROR(__xludf.DUMMYFUNCTION("""COMPUTED_VALUE"""),"Plataforma Playo 2.00 x 1.90 x 0.45 Lateral Simple Baranda Fija")</f>
        <v>Plataforma Playo 2.00 x 1.90 x 0.45 Lateral Simple Baranda Fija</v>
      </c>
      <c r="CV60" s="3" t="str">
        <f>IFERROR(__xludf.DUMMYFUNCTION("""COMPUTED_VALUE"""),"Plataforma Playo 5.00 x 1.90 x 0.60 Lateral Doble Baranda Fija")</f>
        <v>Plataforma Playo 5.00 x 1.90 x 0.60 Lateral Doble Baranda Fija</v>
      </c>
      <c r="CW60" s="3" t="str">
        <f>IFERROR(__xludf.DUMMYFUNCTION("""COMPUTED_VALUE"""),"Plataforma Playo 6.40 x 2.70 x 0.72 Lateral Doble Baranda Fija")</f>
        <v>Plataforma Playo 6.40 x 2.70 x 0.72 Lateral Doble Baranda Fija</v>
      </c>
      <c r="CX60" s="3" t="str">
        <f>IFERROR(__xludf.DUMMYFUNCTION("""COMPUTED_VALUE"""),"Chasis Acoplado Balancin L4000 Lanza Recta")</f>
        <v>Chasis Acoplado Balancin L4000 Lanza Recta</v>
      </c>
      <c r="CY60" s="3" t="str">
        <f>IFERROR(__xludf.DUMMYFUNCTION("""COMPUTED_VALUE"""),"Llanta simple Agrícola 750x20 centro 152")</f>
        <v>Llanta simple Agrícola 750x20 centro 152</v>
      </c>
      <c r="CZ60" s="3" t="str">
        <f>IFERROR(__xludf.DUMMYFUNCTION("""COMPUTED_VALUE"""),"Cajón de Herramientas Mediano adelante")</f>
        <v>Cajón de Herramientas Mediano adelante</v>
      </c>
      <c r="DA60" s="3" t="str">
        <f>IFERROR(__xludf.DUMMYFUNCTION("""COMPUTED_VALUE"""),"Llanta 15"" Simple Agrícola Centro 92")</f>
        <v>Llanta 15" Simple Agrícola Centro 92</v>
      </c>
    </row>
    <row r="61" hidden="1">
      <c r="A61" s="38">
        <f t="shared" si="1"/>
        <v>60</v>
      </c>
      <c r="B61" s="38">
        <f>IF(F61="","",SUMIF(Prearmados!E:E,F61,Prearmados!A:A))</f>
        <v>9</v>
      </c>
      <c r="C61" s="38">
        <f>IF(F61="","",SUMIF(Productos!E:E,G61,Productos!A:A))</f>
        <v>67</v>
      </c>
      <c r="D61" s="83" t="str">
        <f t="array" ref="D61">IF(OR(F61="",F61="Seleccionar.."),"",XLOOKUP(F61,Prearmados!E:E,Prearmados!F:F,"",0,1))</f>
        <v>Acoplados Rurales</v>
      </c>
      <c r="E61" s="83">
        <f>IF(H61="","",SUMIF(Precio_Productos!K:K,C61,Precio_Productos!J:J)*H61)</f>
        <v>292579</v>
      </c>
      <c r="F61" s="84" t="s">
        <v>332</v>
      </c>
      <c r="G61" s="84" t="s">
        <v>81</v>
      </c>
      <c r="H61" s="13">
        <v>1.0</v>
      </c>
      <c r="P61" s="3" t="str">
        <f>IFERROR(__xludf.DUMMYFUNCTION("IF(OR(F61="""",F61=""Seleccionar..""),"""",TRANSPOSE(FILTER(Productos!E:E,(Productos!F:F=D61)+(Productos!F:F=XLOOKUP(D61,Implementos!B:B,Implementos!C:C,""-"",0,1)))))"),"Tanque Combustible 1100 lts Bajo")</f>
        <v>Tanque Combustible 1100 lts Bajo</v>
      </c>
      <c r="Q61" s="3" t="str">
        <f>IFERROR(__xludf.DUMMYFUNCTION("""COMPUTED_VALUE"""),"Tanque Combustible 1500 lts Standard")</f>
        <v>Tanque Combustible 1500 lts Standard</v>
      </c>
      <c r="R61" s="3" t="str">
        <f>IFERROR(__xludf.DUMMYFUNCTION("""COMPUTED_VALUE"""),"Tanque Combustible 1800 lts Standard")</f>
        <v>Tanque Combustible 1800 lts Standard</v>
      </c>
      <c r="S61" s="3" t="str">
        <f>IFERROR(__xludf.DUMMYFUNCTION("""COMPUTED_VALUE"""),"Tanque Combustible 2000 lts Bajo")</f>
        <v>Tanque Combustible 2000 lts Bajo</v>
      </c>
      <c r="T61" s="3" t="str">
        <f>IFERROR(__xludf.DUMMYFUNCTION("""COMPUTED_VALUE"""),"Tanque Combustible 2000 lts Standard")</f>
        <v>Tanque Combustible 2000 lts Standard</v>
      </c>
      <c r="U61" s="3" t="str">
        <f>IFERROR(__xludf.DUMMYFUNCTION("""COMPUTED_VALUE"""),"Tanque Combustible 3000 lts Standard")</f>
        <v>Tanque Combustible 3000 lts Standard</v>
      </c>
      <c r="V61" s="3" t="str">
        <f>IFERROR(__xludf.DUMMYFUNCTION("""COMPUTED_VALUE"""),"Tanque Combustible 3000 lts Alto")</f>
        <v>Tanque Combustible 3000 lts Alto</v>
      </c>
      <c r="W61" s="3" t="str">
        <f>IFERROR(__xludf.DUMMYFUNCTION("""COMPUTED_VALUE"""),"Tanque Combustible 4000 lts Standard")</f>
        <v>Tanque Combustible 4000 lts Standard</v>
      </c>
      <c r="X61" s="3" t="str">
        <f>IFERROR(__xludf.DUMMYFUNCTION("""COMPUTED_VALUE"""),"Tanque Combustible 5000 lts Standard")</f>
        <v>Tanque Combustible 5000 lts Standard</v>
      </c>
      <c r="Y61" s="3" t="str">
        <f>IFERROR(__xludf.DUMMYFUNCTION("""COMPUTED_VALUE"""),"Tanque Combustible 5000 lts Alto")</f>
        <v>Tanque Combustible 5000 lts Alto</v>
      </c>
      <c r="Z61" s="3" t="str">
        <f>IFERROR(__xludf.DUMMYFUNCTION("""COMPUTED_VALUE"""),"Tanque Combustible 2000 lts Alto")</f>
        <v>Tanque Combustible 2000 lts Alto</v>
      </c>
      <c r="AA61" s="3" t="str">
        <f>IFERROR(__xludf.DUMMYFUNCTION("""COMPUTED_VALUE"""),"Tanque Combustible 4000 lts Alto")</f>
        <v>Tanque Combustible 4000 lts Alto</v>
      </c>
      <c r="AB61" s="3" t="str">
        <f>IFERROR(__xludf.DUMMYFUNCTION("""COMPUTED_VALUE"""),"Baulera Standard - 750")</f>
        <v>Baulera Standard - 750</v>
      </c>
      <c r="AC61" s="3" t="str">
        <f>IFERROR(__xludf.DUMMYFUNCTION("""COMPUTED_VALUE"""),"Baulera Standard - 1700 - C/Laterales")</f>
        <v>Baulera Standard - 1700 - C/Laterales</v>
      </c>
      <c r="AD61" s="3" t="str">
        <f>IFERROR(__xludf.DUMMYFUNCTION("""COMPUTED_VALUE"""),"Baulera Standard - 1000 - C/Laterales")</f>
        <v>Baulera Standard - 1000 - C/Laterales</v>
      </c>
      <c r="AE61" s="3" t="str">
        <f>IFERROR(__xludf.DUMMYFUNCTION("""COMPUTED_VALUE"""),"Baulera Standard - 750 - C/Laterales")</f>
        <v>Baulera Standard - 750 - C/Laterales</v>
      </c>
      <c r="AF61" s="3" t="str">
        <f>IFERROR(__xludf.DUMMYFUNCTION("""COMPUTED_VALUE"""),"Baulera Standard - 1300 - C/Laterales")</f>
        <v>Baulera Standard - 1300 - C/Laterales</v>
      </c>
      <c r="AG61" s="3" t="str">
        <f>IFERROR(__xludf.DUMMYFUNCTION("""COMPUTED_VALUE"""),"Baulera Alta - 750")</f>
        <v>Baulera Alta - 750</v>
      </c>
      <c r="AH61" s="3" t="str">
        <f>IFERROR(__xludf.DUMMYFUNCTION("""COMPUTED_VALUE"""),"Baulera Alta - 1500 - C/Laterales")</f>
        <v>Baulera Alta - 1500 - C/Laterales</v>
      </c>
      <c r="AI61" s="3" t="str">
        <f>IFERROR(__xludf.DUMMYFUNCTION("""COMPUTED_VALUE"""),"Baulera Extendida 1700 - C/Laterales")</f>
        <v>Baulera Extendida 1700 - C/Laterales</v>
      </c>
      <c r="AJ61" s="3" t="str">
        <f>IFERROR(__xludf.DUMMYFUNCTION("""COMPUTED_VALUE"""),"Taller Móvil - 1500 x 1500 x 1700")</f>
        <v>Taller Móvil - 1500 x 1500 x 1700</v>
      </c>
      <c r="AK61" s="3" t="str">
        <f>IFERROR(__xludf.DUMMYFUNCTION("""COMPUTED_VALUE"""),"Cajón Herramientas Standard Derecho")</f>
        <v>Cajón Herramientas Standard Derecho</v>
      </c>
      <c r="AL61" s="3" t="str">
        <f>IFERROR(__xludf.DUMMYFUNCTION("""COMPUTED_VALUE"""),"Cajón Herramientas Standard Izquierdo")</f>
        <v>Cajón Herramientas Standard Izquierdo</v>
      </c>
      <c r="AM61" s="3" t="str">
        <f>IFERROR(__xludf.DUMMYFUNCTION("""COMPUTED_VALUE"""),"Cajón Herramientas Corto Derecho")</f>
        <v>Cajón Herramientas Corto Derecho</v>
      </c>
      <c r="AN61" s="3" t="str">
        <f>IFERROR(__xludf.DUMMYFUNCTION("""COMPUTED_VALUE"""),"Cajón Herramientas Corto Izquierdo")</f>
        <v>Cajón Herramientas Corto Izquierdo</v>
      </c>
      <c r="AO61" s="3" t="str">
        <f>IFERROR(__xludf.DUMMYFUNCTION("""COMPUTED_VALUE"""),"Cajón Herramientas Mediano Derecho")</f>
        <v>Cajón Herramientas Mediano Derecho</v>
      </c>
      <c r="AP61" s="3" t="str">
        <f>IFERROR(__xludf.DUMMYFUNCTION("""COMPUTED_VALUE"""),"Cajón Herramientas Mediano Izquierdo")</f>
        <v>Cajón Herramientas Mediano Izquierdo</v>
      </c>
      <c r="AQ61" s="3" t="str">
        <f>IFERROR(__xludf.DUMMYFUNCTION("""COMPUTED_VALUE"""),"Chasis Acoplado 2 Ejes L3000")</f>
        <v>Chasis Acoplado 2 Ejes L3000</v>
      </c>
      <c r="AR61" s="3" t="str">
        <f>IFERROR(__xludf.DUMMYFUNCTION("""COMPUTED_VALUE"""),"Chasis Acoplado 2 Ejes L3750")</f>
        <v>Chasis Acoplado 2 Ejes L3750</v>
      </c>
      <c r="AS61" s="3" t="str">
        <f>IFERROR(__xludf.DUMMYFUNCTION("""COMPUTED_VALUE"""),"Chasis Acoplado 2 Ejes L4000")</f>
        <v>Chasis Acoplado 2 Ejes L4000</v>
      </c>
      <c r="AT61" s="3" t="str">
        <f>IFERROR(__xludf.DUMMYFUNCTION("""COMPUTED_VALUE"""),"Chasis Acoplado 2 Ejes L4000 Reforzado")</f>
        <v>Chasis Acoplado 2 Ejes L4000 Reforzado</v>
      </c>
      <c r="AU61" s="3" t="str">
        <f>IFERROR(__xludf.DUMMYFUNCTION("""COMPUTED_VALUE"""),"Chasis Acoplado 2 Ejes L4750")</f>
        <v>Chasis Acoplado 2 Ejes L4750</v>
      </c>
      <c r="AV61" s="3" t="str">
        <f>IFERROR(__xludf.DUMMYFUNCTION("""COMPUTED_VALUE"""),"Chasis Acoplado 2 Ejes L4750 Reforzado")</f>
        <v>Chasis Acoplado 2 Ejes L4750 Reforzado</v>
      </c>
      <c r="AW61" s="3" t="str">
        <f>IFERROR(__xludf.DUMMYFUNCTION("""COMPUTED_VALUE"""),"Chasis Acoplado 2 Ejes L4750 Reforzado R. Camion")</f>
        <v>Chasis Acoplado 2 Ejes L4750 Reforzado R. Camion</v>
      </c>
      <c r="AX61" s="3" t="str">
        <f>IFERROR(__xludf.DUMMYFUNCTION("""COMPUTED_VALUE"""),"Chasis Acoplado 2 Ejes L5000")</f>
        <v>Chasis Acoplado 2 Ejes L5000</v>
      </c>
      <c r="AY61" s="3" t="str">
        <f>IFERROR(__xludf.DUMMYFUNCTION("""COMPUTED_VALUE"""),"Chasis Acoplado 2 Ejes L5750")</f>
        <v>Chasis Acoplado 2 Ejes L5750</v>
      </c>
      <c r="AZ61" s="3" t="str">
        <f>IFERROR(__xludf.DUMMYFUNCTION("""COMPUTED_VALUE"""),"Chasis Acoplado 2 Ejes L6400")</f>
        <v>Chasis Acoplado 2 Ejes L6400</v>
      </c>
      <c r="BA61" s="3" t="str">
        <f>IFERROR(__xludf.DUMMYFUNCTION("""COMPUTED_VALUE"""),"Chasis Acoplado 2 Ejes L4500")</f>
        <v>Chasis Acoplado 2 Ejes L4500</v>
      </c>
      <c r="BB61" s="3" t="str">
        <f>IFERROR(__xludf.DUMMYFUNCTION("""COMPUTED_VALUE"""),"Chasis Acoplado 1 Eje L1500")</f>
        <v>Chasis Acoplado 1 Eje L1500</v>
      </c>
      <c r="BC61" s="3" t="str">
        <f>IFERROR(__xludf.DUMMYFUNCTION("""COMPUTED_VALUE"""),"Chasis Acoplado 1 Eje L1800")</f>
        <v>Chasis Acoplado 1 Eje L1800</v>
      </c>
      <c r="BD61" s="3" t="str">
        <f>IFERROR(__xludf.DUMMYFUNCTION("""COMPUTED_VALUE"""),"Chasis Acoplado 1 Eje L1400")</f>
        <v>Chasis Acoplado 1 Eje L1400</v>
      </c>
      <c r="BE61" s="3" t="str">
        <f>IFERROR(__xludf.DUMMYFUNCTION("""COMPUTED_VALUE"""),"Chasis Acoplado Balancin L3000")</f>
        <v>Chasis Acoplado Balancin L3000</v>
      </c>
      <c r="BF61" s="3" t="str">
        <f>IFERROR(__xludf.DUMMYFUNCTION("""COMPUTED_VALUE"""),"Chasis Acoplado Balancin L3000 Lanza Corta")</f>
        <v>Chasis Acoplado Balancin L3000 Lanza Corta</v>
      </c>
      <c r="BG61" s="3" t="str">
        <f>IFERROR(__xludf.DUMMYFUNCTION("""COMPUTED_VALUE"""),"Chasis Acoplado Balancin L2000 Lanza Corta")</f>
        <v>Chasis Acoplado Balancin L2000 Lanza Corta</v>
      </c>
      <c r="BH61" s="3" t="str">
        <f>IFERROR(__xludf.DUMMYFUNCTION("""COMPUTED_VALUE"""),"Chasis Acoplado Balancin L3200 Lanza Corta")</f>
        <v>Chasis Acoplado Balancin L3200 Lanza Corta</v>
      </c>
      <c r="BI61" s="3" t="str">
        <f>IFERROR(__xludf.DUMMYFUNCTION("""COMPUTED_VALUE"""),"Chasis Acoplado Balancin L3200 Lanza Recta")</f>
        <v>Chasis Acoplado Balancin L3200 Lanza Recta</v>
      </c>
      <c r="BJ61" s="3" t="str">
        <f>IFERROR(__xludf.DUMMYFUNCTION("""COMPUTED_VALUE"""),"Chasis Acoplado Balancin L3200 Bajo Lanza Recta")</f>
        <v>Chasis Acoplado Balancin L3200 Bajo Lanza Recta</v>
      </c>
      <c r="BK61" s="3" t="str">
        <f>IFERROR(__xludf.DUMMYFUNCTION("""COMPUTED_VALUE"""),"Tanque Plastico Horizontal 750 Lts")</f>
        <v>Tanque Plastico Horizontal 750 Lts</v>
      </c>
      <c r="BL61" s="3" t="str">
        <f>IFERROR(__xludf.DUMMYFUNCTION("""COMPUTED_VALUE"""),"Medio Tanque Plastico Superior 700 Lts")</f>
        <v>Medio Tanque Plastico Superior 700 Lts</v>
      </c>
      <c r="BM61" s="3" t="str">
        <f>IFERROR(__xludf.DUMMYFUNCTION("""COMPUTED_VALUE"""),"Paquete de Elasticos 50 mm x 8 mm x 10 Hojas L850")</f>
        <v>Paquete de Elasticos 50 mm x 8 mm x 10 Hojas L850</v>
      </c>
      <c r="BN61" s="3" t="str">
        <f>IFERROR(__xludf.DUMMYFUNCTION("""COMPUTED_VALUE"""),"Paquete de Elasticos 63 mm x 8 mm x 10 Hojas L950")</f>
        <v>Paquete de Elasticos 63 mm x 8 mm x 10 Hojas L950</v>
      </c>
      <c r="BO61" s="3" t="str">
        <f>IFERROR(__xludf.DUMMYFUNCTION("""COMPUTED_VALUE"""),"Paquete de Elasticos 50 mm x 7 mm x 9 Hojas L850")</f>
        <v>Paquete de Elasticos 50 mm x 7 mm x 9 Hojas L850</v>
      </c>
      <c r="BP61" s="3" t="str">
        <f>IFERROR(__xludf.DUMMYFUNCTION("""COMPUTED_VALUE"""),"Paquete de Elasticos 63 mm x 8 mm x 8 Hojas L850")</f>
        <v>Paquete de Elasticos 63 mm x 8 mm x 8 Hojas L850</v>
      </c>
      <c r="BQ61" s="3" t="str">
        <f>IFERROR(__xludf.DUMMYFUNCTION("""COMPUTED_VALUE"""),"Paquete de Elasticos 63 mm x 10 mm x 10 Hojas L950")</f>
        <v>Paquete de Elasticos 63 mm x 10 mm x 10 Hojas L950</v>
      </c>
      <c r="BR61" s="3" t="str">
        <f>IFERROR(__xludf.DUMMYFUNCTION("""COMPUTED_VALUE"""),"Paquete de Elasticos 63 mm x 10 mm x 13 Hojas L975")</f>
        <v>Paquete de Elasticos 63 mm x 10 mm x 13 Hojas L975</v>
      </c>
      <c r="BS61" s="3" t="str">
        <f>IFERROR(__xludf.DUMMYFUNCTION("""COMPUTED_VALUE"""),"Paquete de Elasticos 50 mm x 7 mm x 9 Hojas L650")</f>
        <v>Paquete de Elasticos 50 mm x 7 mm x 9 Hojas L650</v>
      </c>
      <c r="BT61" s="3" t="str">
        <f>IFERROR(__xludf.DUMMYFUNCTION("""COMPUTED_VALUE"""),"Eje Acoplado 2"" x 1600 (06/08) Agrícola Centro 92")</f>
        <v>Eje Acoplado 2" x 1600 (06/08) Agrícola Centro 92</v>
      </c>
      <c r="BU61" s="3" t="str">
        <f>IFERROR(__xludf.DUMMYFUNCTION("""COMPUTED_VALUE"""),"Eje Acoplado 2 1/2"" x 1600 (07/09) Agrícola Centro 92")</f>
        <v>Eje Acoplado 2 1/2" x 1600 (07/09) Agrícola Centro 92</v>
      </c>
      <c r="BV61" s="3" t="str">
        <f>IFERROR(__xludf.DUMMYFUNCTION("""COMPUTED_VALUE"""),"Eje Acoplado 2 1/2"" x 1600 (09/11) Agrícola Centro 150")</f>
        <v>Eje Acoplado 2 1/2" x 1600 (09/11) Agrícola Centro 150</v>
      </c>
      <c r="BW61" s="3" t="str">
        <f>IFERROR(__xludf.DUMMYFUNCTION("""COMPUTED_VALUE"""),"Eje Acoplado 3"" x 1600 (10/13) Agrícola Centro 150")</f>
        <v>Eje Acoplado 3" x 1600 (10/13) Agrícola Centro 150</v>
      </c>
      <c r="BX61" s="3" t="str">
        <f>IFERROR(__xludf.DUMMYFUNCTION("""COMPUTED_VALUE"""),"Eje Acoplado 2 1/2"" x 2140 (07/09) Agrícola Centro 92")</f>
        <v>Eje Acoplado 2 1/2" x 2140 (07/09) Agrícola Centro 92</v>
      </c>
      <c r="BY61" s="3" t="str">
        <f>IFERROR(__xludf.DUMMYFUNCTION("""COMPUTED_VALUE"""),"Eje Acoplado 2"" x 1400 (06/08) Agrícola Centro 92")</f>
        <v>Eje Acoplado 2" x 1400 (06/08) Agrícola Centro 92</v>
      </c>
      <c r="BZ61" s="3" t="str">
        <f>IFERROR(__xludf.DUMMYFUNCTION("""COMPUTED_VALUE"""),"Eje Acoplado 2 1/2"" x 1500 (07/09) Agrícola Centro 92")</f>
        <v>Eje Acoplado 2 1/2" x 1500 (07/09) Agrícola Centro 92</v>
      </c>
      <c r="CA61" s="3" t="str">
        <f>IFERROR(__xludf.DUMMYFUNCTION("""COMPUTED_VALUE"""),"Eje Acoplado 2 1/2"" x 2000 (07/09) Agrícola Centro 92")</f>
        <v>Eje Acoplado 2 1/2" x 2000 (07/09) Agrícola Centro 92</v>
      </c>
      <c r="CB61" s="3" t="str">
        <f>IFERROR(__xludf.DUMMYFUNCTION("""COMPUTED_VALUE"""),"Eje Acoplado 2 1/2"" x 2100 (09/11) Agrícola Centro 150")</f>
        <v>Eje Acoplado 2 1/2" x 2100 (09/11) Agrícola Centro 150</v>
      </c>
      <c r="CC61" s="3" t="str">
        <f>IFERROR(__xludf.DUMMYFUNCTION("""COMPUTED_VALUE"""),"Llanta 16"" Simple Agrícola Centro 92")</f>
        <v>Llanta 16" Simple Agrícola Centro 92</v>
      </c>
      <c r="CD61" s="3" t="str">
        <f>IFERROR(__xludf.DUMMYFUNCTION("""COMPUTED_VALUE"""),"Llanta 16"" Dual Agrícola Centro 92")</f>
        <v>Llanta 16" Dual Agrícola Centro 92</v>
      </c>
      <c r="CE61" s="3" t="str">
        <f>IFERROR(__xludf.DUMMYFUNCTION("""COMPUTED_VALUE"""),"Llanta 17"" Simple Agrícola Centro 92")</f>
        <v>Llanta 17" Simple Agrícola Centro 92</v>
      </c>
      <c r="CF61" s="3" t="str">
        <f>IFERROR(__xludf.DUMMYFUNCTION("""COMPUTED_VALUE"""),"Llanta 17"" Dual Agrícola Centro 92")</f>
        <v>Llanta 17" Dual Agrícola Centro 92</v>
      </c>
      <c r="CG61" s="3" t="str">
        <f>IFERROR(__xludf.DUMMYFUNCTION("""COMPUTED_VALUE"""),"Llanta 16"" Dual Agrícola Centro 152")</f>
        <v>Llanta 16" Dual Agrícola Centro 152</v>
      </c>
      <c r="CH61" s="3" t="str">
        <f>IFERROR(__xludf.DUMMYFUNCTION("""COMPUTED_VALUE"""),"Llanta 17"" Dual Agrícola Centro 152")</f>
        <v>Llanta 17" Dual Agrícola Centro 152</v>
      </c>
      <c r="CI61" s="3" t="str">
        <f>IFERROR(__xludf.DUMMYFUNCTION("""COMPUTED_VALUE"""),"Eje Acoplado 2"" x 1600 (05/07) Agrícola Centro 92")</f>
        <v>Eje Acoplado 2" x 1600 (05/07) Agrícola Centro 92</v>
      </c>
      <c r="CJ61" s="3" t="str">
        <f>IFERROR(__xludf.DUMMYFUNCTION("""COMPUTED_VALUE"""),"Paquete de Elásticos 50 mm x 8 mm x 12 Hojas")</f>
        <v>Paquete de Elásticos 50 mm x 8 mm x 12 Hojas</v>
      </c>
      <c r="CK61" s="3" t="str">
        <f>IFERROR(__xludf.DUMMYFUNCTION("""COMPUTED_VALUE"""),"Plataforma Playo 4.00 x 1.90 x 0.45 Lateral Simple Baranda Fija")</f>
        <v>Plataforma Playo 4.00 x 1.90 x 0.45 Lateral Simple Baranda Fija</v>
      </c>
      <c r="CL61" s="3" t="str">
        <f>IFERROR(__xludf.DUMMYFUNCTION("""COMPUTED_VALUE"""),"Plataforma Playo 4.00 x 1.90 x 0.45 Lateral Simple Baranda Ventilada")</f>
        <v>Plataforma Playo 4.00 x 1.90 x 0.45 Lateral Simple Baranda Ventilada</v>
      </c>
      <c r="CM61" s="3" t="str">
        <f>IFERROR(__xludf.DUMMYFUNCTION("""COMPUTED_VALUE"""),"Plataforma Playo 4.00 x 1.90 x 0.45 Lateral Doble Baranda Ventilada")</f>
        <v>Plataforma Playo 4.00 x 1.90 x 0.45 Lateral Doble Baranda Ventilada</v>
      </c>
      <c r="CN61" s="3" t="str">
        <f>IFERROR(__xludf.DUMMYFUNCTION("""COMPUTED_VALUE"""),"Plataforma Playo 4.00 x 1.90 x 0.45 Lateral Doble Baranda Fija")</f>
        <v>Plataforma Playo 4.00 x 1.90 x 0.45 Lateral Doble Baranda Fija</v>
      </c>
      <c r="CO61" s="3" t="str">
        <f>IFERROR(__xludf.DUMMYFUNCTION("""COMPUTED_VALUE"""),"Plataforma Playo 4.00 x 1.90 x 0.72 Lateral Simple Baranda Fija")</f>
        <v>Plataforma Playo 4.00 x 1.90 x 0.72 Lateral Simple Baranda Fija</v>
      </c>
      <c r="CP61" s="3" t="str">
        <f>IFERROR(__xludf.DUMMYFUNCTION("""COMPUTED_VALUE"""),"Plataforma Playo 4.00 x 1.90 x 0.72 Lateral Doble Baranda Fija")</f>
        <v>Plataforma Playo 4.00 x 1.90 x 0.72 Lateral Doble Baranda Fija</v>
      </c>
      <c r="CQ61" s="3" t="str">
        <f>IFERROR(__xludf.DUMMYFUNCTION("""COMPUTED_VALUE"""),"Plataforma Playo 5.00 x 2.20 x 0.60 Lateral Doble Trasera Rebatible")</f>
        <v>Plataforma Playo 5.00 x 2.20 x 0.60 Lateral Doble Trasera Rebatible</v>
      </c>
      <c r="CR61" s="3" t="str">
        <f>IFERROR(__xludf.DUMMYFUNCTION("""COMPUTED_VALUE"""),"Plataforma Playo 5.00 x 2.20 x 0.60 Lateral Doble Baranda Fija C/Toldo")</f>
        <v>Plataforma Playo 5.00 x 2.20 x 0.60 Lateral Doble Baranda Fija C/Toldo</v>
      </c>
      <c r="CS61" s="3" t="str">
        <f>IFERROR(__xludf.DUMMYFUNCTION("""COMPUTED_VALUE"""),"Plataforma Playo 3.00 x 1.90 x 0.45 Lateral Simple Baranda Fija")</f>
        <v>Plataforma Playo 3.00 x 1.90 x 0.45 Lateral Simple Baranda Fija</v>
      </c>
      <c r="CT61" s="3" t="str">
        <f>IFERROR(__xludf.DUMMYFUNCTION("""COMPUTED_VALUE"""),"Plataforma Playo 3.00 x 1.90 x 0.45 Lateral Simple Baranda Ventilada")</f>
        <v>Plataforma Playo 3.00 x 1.90 x 0.45 Lateral Simple Baranda Ventilada</v>
      </c>
      <c r="CU61" s="3" t="str">
        <f>IFERROR(__xludf.DUMMYFUNCTION("""COMPUTED_VALUE"""),"Plataforma Playo 2.00 x 1.90 x 0.45 Lateral Simple Baranda Fija")</f>
        <v>Plataforma Playo 2.00 x 1.90 x 0.45 Lateral Simple Baranda Fija</v>
      </c>
      <c r="CV61" s="3" t="str">
        <f>IFERROR(__xludf.DUMMYFUNCTION("""COMPUTED_VALUE"""),"Plataforma Playo 5.00 x 1.90 x 0.60 Lateral Doble Baranda Fija")</f>
        <v>Plataforma Playo 5.00 x 1.90 x 0.60 Lateral Doble Baranda Fija</v>
      </c>
      <c r="CW61" s="3" t="str">
        <f>IFERROR(__xludf.DUMMYFUNCTION("""COMPUTED_VALUE"""),"Plataforma Playo 6.40 x 2.70 x 0.72 Lateral Doble Baranda Fija")</f>
        <v>Plataforma Playo 6.40 x 2.70 x 0.72 Lateral Doble Baranda Fija</v>
      </c>
      <c r="CX61" s="3" t="str">
        <f>IFERROR(__xludf.DUMMYFUNCTION("""COMPUTED_VALUE"""),"Chasis Acoplado Balancin L4000 Lanza Recta")</f>
        <v>Chasis Acoplado Balancin L4000 Lanza Recta</v>
      </c>
      <c r="CY61" s="3" t="str">
        <f>IFERROR(__xludf.DUMMYFUNCTION("""COMPUTED_VALUE"""),"Llanta simple Agrícola 750x20 centro 152")</f>
        <v>Llanta simple Agrícola 750x20 centro 152</v>
      </c>
      <c r="CZ61" s="3" t="str">
        <f>IFERROR(__xludf.DUMMYFUNCTION("""COMPUTED_VALUE"""),"Cajón de Herramientas Mediano adelante")</f>
        <v>Cajón de Herramientas Mediano adelante</v>
      </c>
      <c r="DA61" s="3" t="str">
        <f>IFERROR(__xludf.DUMMYFUNCTION("""COMPUTED_VALUE"""),"Llanta 15"" Simple Agrícola Centro 92")</f>
        <v>Llanta 15" Simple Agrícola Centro 92</v>
      </c>
    </row>
    <row r="62" hidden="1">
      <c r="A62" s="38">
        <f t="shared" si="1"/>
        <v>61</v>
      </c>
      <c r="B62" s="38">
        <f>IF(F62="","",SUMIF(Prearmados!E:E,F62,Prearmados!A:A))</f>
        <v>9</v>
      </c>
      <c r="C62" s="38">
        <f>IF(F62="","",SUMIF(Productos!E:E,G62,Productos!A:A))</f>
        <v>102</v>
      </c>
      <c r="D62" s="83" t="str">
        <f t="array" ref="D62">IF(OR(F62="",F62="Seleccionar.."),"",XLOOKUP(F62,Prearmados!E:E,Prearmados!F:F,"",0,1))</f>
        <v>Acoplados Rurales</v>
      </c>
      <c r="E62" s="83">
        <f>IF(H62="","",SUMIF(Precio_Productos!K:K,C62,Precio_Productos!J:J)*H62)</f>
        <v>1054374</v>
      </c>
      <c r="F62" s="84" t="s">
        <v>332</v>
      </c>
      <c r="G62" s="84" t="s">
        <v>134</v>
      </c>
      <c r="H62" s="13">
        <v>2.0</v>
      </c>
      <c r="P62" s="3" t="str">
        <f>IFERROR(__xludf.DUMMYFUNCTION("IF(OR(F62="""",F62=""Seleccionar..""),"""",TRANSPOSE(FILTER(Productos!E:E,(Productos!F:F=D62)+(Productos!F:F=XLOOKUP(D62,Implementos!B:B,Implementos!C:C,""-"",0,1)))))"),"Tanque Combustible 1100 lts Bajo")</f>
        <v>Tanque Combustible 1100 lts Bajo</v>
      </c>
      <c r="Q62" s="3" t="str">
        <f>IFERROR(__xludf.DUMMYFUNCTION("""COMPUTED_VALUE"""),"Tanque Combustible 1500 lts Standard")</f>
        <v>Tanque Combustible 1500 lts Standard</v>
      </c>
      <c r="R62" s="3" t="str">
        <f>IFERROR(__xludf.DUMMYFUNCTION("""COMPUTED_VALUE"""),"Tanque Combustible 1800 lts Standard")</f>
        <v>Tanque Combustible 1800 lts Standard</v>
      </c>
      <c r="S62" s="3" t="str">
        <f>IFERROR(__xludf.DUMMYFUNCTION("""COMPUTED_VALUE"""),"Tanque Combustible 2000 lts Bajo")</f>
        <v>Tanque Combustible 2000 lts Bajo</v>
      </c>
      <c r="T62" s="3" t="str">
        <f>IFERROR(__xludf.DUMMYFUNCTION("""COMPUTED_VALUE"""),"Tanque Combustible 2000 lts Standard")</f>
        <v>Tanque Combustible 2000 lts Standard</v>
      </c>
      <c r="U62" s="3" t="str">
        <f>IFERROR(__xludf.DUMMYFUNCTION("""COMPUTED_VALUE"""),"Tanque Combustible 3000 lts Standard")</f>
        <v>Tanque Combustible 3000 lts Standard</v>
      </c>
      <c r="V62" s="3" t="str">
        <f>IFERROR(__xludf.DUMMYFUNCTION("""COMPUTED_VALUE"""),"Tanque Combustible 3000 lts Alto")</f>
        <v>Tanque Combustible 3000 lts Alto</v>
      </c>
      <c r="W62" s="3" t="str">
        <f>IFERROR(__xludf.DUMMYFUNCTION("""COMPUTED_VALUE"""),"Tanque Combustible 4000 lts Standard")</f>
        <v>Tanque Combustible 4000 lts Standard</v>
      </c>
      <c r="X62" s="3" t="str">
        <f>IFERROR(__xludf.DUMMYFUNCTION("""COMPUTED_VALUE"""),"Tanque Combustible 5000 lts Standard")</f>
        <v>Tanque Combustible 5000 lts Standard</v>
      </c>
      <c r="Y62" s="3" t="str">
        <f>IFERROR(__xludf.DUMMYFUNCTION("""COMPUTED_VALUE"""),"Tanque Combustible 5000 lts Alto")</f>
        <v>Tanque Combustible 5000 lts Alto</v>
      </c>
      <c r="Z62" s="3" t="str">
        <f>IFERROR(__xludf.DUMMYFUNCTION("""COMPUTED_VALUE"""),"Tanque Combustible 2000 lts Alto")</f>
        <v>Tanque Combustible 2000 lts Alto</v>
      </c>
      <c r="AA62" s="3" t="str">
        <f>IFERROR(__xludf.DUMMYFUNCTION("""COMPUTED_VALUE"""),"Tanque Combustible 4000 lts Alto")</f>
        <v>Tanque Combustible 4000 lts Alto</v>
      </c>
      <c r="AB62" s="3" t="str">
        <f>IFERROR(__xludf.DUMMYFUNCTION("""COMPUTED_VALUE"""),"Baulera Standard - 750")</f>
        <v>Baulera Standard - 750</v>
      </c>
      <c r="AC62" s="3" t="str">
        <f>IFERROR(__xludf.DUMMYFUNCTION("""COMPUTED_VALUE"""),"Baulera Standard - 1700 - C/Laterales")</f>
        <v>Baulera Standard - 1700 - C/Laterales</v>
      </c>
      <c r="AD62" s="3" t="str">
        <f>IFERROR(__xludf.DUMMYFUNCTION("""COMPUTED_VALUE"""),"Baulera Standard - 1000 - C/Laterales")</f>
        <v>Baulera Standard - 1000 - C/Laterales</v>
      </c>
      <c r="AE62" s="3" t="str">
        <f>IFERROR(__xludf.DUMMYFUNCTION("""COMPUTED_VALUE"""),"Baulera Standard - 750 - C/Laterales")</f>
        <v>Baulera Standard - 750 - C/Laterales</v>
      </c>
      <c r="AF62" s="3" t="str">
        <f>IFERROR(__xludf.DUMMYFUNCTION("""COMPUTED_VALUE"""),"Baulera Standard - 1300 - C/Laterales")</f>
        <v>Baulera Standard - 1300 - C/Laterales</v>
      </c>
      <c r="AG62" s="3" t="str">
        <f>IFERROR(__xludf.DUMMYFUNCTION("""COMPUTED_VALUE"""),"Baulera Alta - 750")</f>
        <v>Baulera Alta - 750</v>
      </c>
      <c r="AH62" s="3" t="str">
        <f>IFERROR(__xludf.DUMMYFUNCTION("""COMPUTED_VALUE"""),"Baulera Alta - 1500 - C/Laterales")</f>
        <v>Baulera Alta - 1500 - C/Laterales</v>
      </c>
      <c r="AI62" s="3" t="str">
        <f>IFERROR(__xludf.DUMMYFUNCTION("""COMPUTED_VALUE"""),"Baulera Extendida 1700 - C/Laterales")</f>
        <v>Baulera Extendida 1700 - C/Laterales</v>
      </c>
      <c r="AJ62" s="3" t="str">
        <f>IFERROR(__xludf.DUMMYFUNCTION("""COMPUTED_VALUE"""),"Taller Móvil - 1500 x 1500 x 1700")</f>
        <v>Taller Móvil - 1500 x 1500 x 1700</v>
      </c>
      <c r="AK62" s="3" t="str">
        <f>IFERROR(__xludf.DUMMYFUNCTION("""COMPUTED_VALUE"""),"Cajón Herramientas Standard Derecho")</f>
        <v>Cajón Herramientas Standard Derecho</v>
      </c>
      <c r="AL62" s="3" t="str">
        <f>IFERROR(__xludf.DUMMYFUNCTION("""COMPUTED_VALUE"""),"Cajón Herramientas Standard Izquierdo")</f>
        <v>Cajón Herramientas Standard Izquierdo</v>
      </c>
      <c r="AM62" s="3" t="str">
        <f>IFERROR(__xludf.DUMMYFUNCTION("""COMPUTED_VALUE"""),"Cajón Herramientas Corto Derecho")</f>
        <v>Cajón Herramientas Corto Derecho</v>
      </c>
      <c r="AN62" s="3" t="str">
        <f>IFERROR(__xludf.DUMMYFUNCTION("""COMPUTED_VALUE"""),"Cajón Herramientas Corto Izquierdo")</f>
        <v>Cajón Herramientas Corto Izquierdo</v>
      </c>
      <c r="AO62" s="3" t="str">
        <f>IFERROR(__xludf.DUMMYFUNCTION("""COMPUTED_VALUE"""),"Cajón Herramientas Mediano Derecho")</f>
        <v>Cajón Herramientas Mediano Derecho</v>
      </c>
      <c r="AP62" s="3" t="str">
        <f>IFERROR(__xludf.DUMMYFUNCTION("""COMPUTED_VALUE"""),"Cajón Herramientas Mediano Izquierdo")</f>
        <v>Cajón Herramientas Mediano Izquierdo</v>
      </c>
      <c r="AQ62" s="3" t="str">
        <f>IFERROR(__xludf.DUMMYFUNCTION("""COMPUTED_VALUE"""),"Chasis Acoplado 2 Ejes L3000")</f>
        <v>Chasis Acoplado 2 Ejes L3000</v>
      </c>
      <c r="AR62" s="3" t="str">
        <f>IFERROR(__xludf.DUMMYFUNCTION("""COMPUTED_VALUE"""),"Chasis Acoplado 2 Ejes L3750")</f>
        <v>Chasis Acoplado 2 Ejes L3750</v>
      </c>
      <c r="AS62" s="3" t="str">
        <f>IFERROR(__xludf.DUMMYFUNCTION("""COMPUTED_VALUE"""),"Chasis Acoplado 2 Ejes L4000")</f>
        <v>Chasis Acoplado 2 Ejes L4000</v>
      </c>
      <c r="AT62" s="3" t="str">
        <f>IFERROR(__xludf.DUMMYFUNCTION("""COMPUTED_VALUE"""),"Chasis Acoplado 2 Ejes L4000 Reforzado")</f>
        <v>Chasis Acoplado 2 Ejes L4000 Reforzado</v>
      </c>
      <c r="AU62" s="3" t="str">
        <f>IFERROR(__xludf.DUMMYFUNCTION("""COMPUTED_VALUE"""),"Chasis Acoplado 2 Ejes L4750")</f>
        <v>Chasis Acoplado 2 Ejes L4750</v>
      </c>
      <c r="AV62" s="3" t="str">
        <f>IFERROR(__xludf.DUMMYFUNCTION("""COMPUTED_VALUE"""),"Chasis Acoplado 2 Ejes L4750 Reforzado")</f>
        <v>Chasis Acoplado 2 Ejes L4750 Reforzado</v>
      </c>
      <c r="AW62" s="3" t="str">
        <f>IFERROR(__xludf.DUMMYFUNCTION("""COMPUTED_VALUE"""),"Chasis Acoplado 2 Ejes L4750 Reforzado R. Camion")</f>
        <v>Chasis Acoplado 2 Ejes L4750 Reforzado R. Camion</v>
      </c>
      <c r="AX62" s="3" t="str">
        <f>IFERROR(__xludf.DUMMYFUNCTION("""COMPUTED_VALUE"""),"Chasis Acoplado 2 Ejes L5000")</f>
        <v>Chasis Acoplado 2 Ejes L5000</v>
      </c>
      <c r="AY62" s="3" t="str">
        <f>IFERROR(__xludf.DUMMYFUNCTION("""COMPUTED_VALUE"""),"Chasis Acoplado 2 Ejes L5750")</f>
        <v>Chasis Acoplado 2 Ejes L5750</v>
      </c>
      <c r="AZ62" s="3" t="str">
        <f>IFERROR(__xludf.DUMMYFUNCTION("""COMPUTED_VALUE"""),"Chasis Acoplado 2 Ejes L6400")</f>
        <v>Chasis Acoplado 2 Ejes L6400</v>
      </c>
      <c r="BA62" s="3" t="str">
        <f>IFERROR(__xludf.DUMMYFUNCTION("""COMPUTED_VALUE"""),"Chasis Acoplado 2 Ejes L4500")</f>
        <v>Chasis Acoplado 2 Ejes L4500</v>
      </c>
      <c r="BB62" s="3" t="str">
        <f>IFERROR(__xludf.DUMMYFUNCTION("""COMPUTED_VALUE"""),"Chasis Acoplado 1 Eje L1500")</f>
        <v>Chasis Acoplado 1 Eje L1500</v>
      </c>
      <c r="BC62" s="3" t="str">
        <f>IFERROR(__xludf.DUMMYFUNCTION("""COMPUTED_VALUE"""),"Chasis Acoplado 1 Eje L1800")</f>
        <v>Chasis Acoplado 1 Eje L1800</v>
      </c>
      <c r="BD62" s="3" t="str">
        <f>IFERROR(__xludf.DUMMYFUNCTION("""COMPUTED_VALUE"""),"Chasis Acoplado 1 Eje L1400")</f>
        <v>Chasis Acoplado 1 Eje L1400</v>
      </c>
      <c r="BE62" s="3" t="str">
        <f>IFERROR(__xludf.DUMMYFUNCTION("""COMPUTED_VALUE"""),"Chasis Acoplado Balancin L3000")</f>
        <v>Chasis Acoplado Balancin L3000</v>
      </c>
      <c r="BF62" s="3" t="str">
        <f>IFERROR(__xludf.DUMMYFUNCTION("""COMPUTED_VALUE"""),"Chasis Acoplado Balancin L3000 Lanza Corta")</f>
        <v>Chasis Acoplado Balancin L3000 Lanza Corta</v>
      </c>
      <c r="BG62" s="3" t="str">
        <f>IFERROR(__xludf.DUMMYFUNCTION("""COMPUTED_VALUE"""),"Chasis Acoplado Balancin L2000 Lanza Corta")</f>
        <v>Chasis Acoplado Balancin L2000 Lanza Corta</v>
      </c>
      <c r="BH62" s="3" t="str">
        <f>IFERROR(__xludf.DUMMYFUNCTION("""COMPUTED_VALUE"""),"Chasis Acoplado Balancin L3200 Lanza Corta")</f>
        <v>Chasis Acoplado Balancin L3200 Lanza Corta</v>
      </c>
      <c r="BI62" s="3" t="str">
        <f>IFERROR(__xludf.DUMMYFUNCTION("""COMPUTED_VALUE"""),"Chasis Acoplado Balancin L3200 Lanza Recta")</f>
        <v>Chasis Acoplado Balancin L3200 Lanza Recta</v>
      </c>
      <c r="BJ62" s="3" t="str">
        <f>IFERROR(__xludf.DUMMYFUNCTION("""COMPUTED_VALUE"""),"Chasis Acoplado Balancin L3200 Bajo Lanza Recta")</f>
        <v>Chasis Acoplado Balancin L3200 Bajo Lanza Recta</v>
      </c>
      <c r="BK62" s="3" t="str">
        <f>IFERROR(__xludf.DUMMYFUNCTION("""COMPUTED_VALUE"""),"Tanque Plastico Horizontal 750 Lts")</f>
        <v>Tanque Plastico Horizontal 750 Lts</v>
      </c>
      <c r="BL62" s="3" t="str">
        <f>IFERROR(__xludf.DUMMYFUNCTION("""COMPUTED_VALUE"""),"Medio Tanque Plastico Superior 700 Lts")</f>
        <v>Medio Tanque Plastico Superior 700 Lts</v>
      </c>
      <c r="BM62" s="3" t="str">
        <f>IFERROR(__xludf.DUMMYFUNCTION("""COMPUTED_VALUE"""),"Paquete de Elasticos 50 mm x 8 mm x 10 Hojas L850")</f>
        <v>Paquete de Elasticos 50 mm x 8 mm x 10 Hojas L850</v>
      </c>
      <c r="BN62" s="3" t="str">
        <f>IFERROR(__xludf.DUMMYFUNCTION("""COMPUTED_VALUE"""),"Paquete de Elasticos 63 mm x 8 mm x 10 Hojas L950")</f>
        <v>Paquete de Elasticos 63 mm x 8 mm x 10 Hojas L950</v>
      </c>
      <c r="BO62" s="3" t="str">
        <f>IFERROR(__xludf.DUMMYFUNCTION("""COMPUTED_VALUE"""),"Paquete de Elasticos 50 mm x 7 mm x 9 Hojas L850")</f>
        <v>Paquete de Elasticos 50 mm x 7 mm x 9 Hojas L850</v>
      </c>
      <c r="BP62" s="3" t="str">
        <f>IFERROR(__xludf.DUMMYFUNCTION("""COMPUTED_VALUE"""),"Paquete de Elasticos 63 mm x 8 mm x 8 Hojas L850")</f>
        <v>Paquete de Elasticos 63 mm x 8 mm x 8 Hojas L850</v>
      </c>
      <c r="BQ62" s="3" t="str">
        <f>IFERROR(__xludf.DUMMYFUNCTION("""COMPUTED_VALUE"""),"Paquete de Elasticos 63 mm x 10 mm x 10 Hojas L950")</f>
        <v>Paquete de Elasticos 63 mm x 10 mm x 10 Hojas L950</v>
      </c>
      <c r="BR62" s="3" t="str">
        <f>IFERROR(__xludf.DUMMYFUNCTION("""COMPUTED_VALUE"""),"Paquete de Elasticos 63 mm x 10 mm x 13 Hojas L975")</f>
        <v>Paquete de Elasticos 63 mm x 10 mm x 13 Hojas L975</v>
      </c>
      <c r="BS62" s="3" t="str">
        <f>IFERROR(__xludf.DUMMYFUNCTION("""COMPUTED_VALUE"""),"Paquete de Elasticos 50 mm x 7 mm x 9 Hojas L650")</f>
        <v>Paquete de Elasticos 50 mm x 7 mm x 9 Hojas L650</v>
      </c>
      <c r="BT62" s="3" t="str">
        <f>IFERROR(__xludf.DUMMYFUNCTION("""COMPUTED_VALUE"""),"Eje Acoplado 2"" x 1600 (06/08) Agrícola Centro 92")</f>
        <v>Eje Acoplado 2" x 1600 (06/08) Agrícola Centro 92</v>
      </c>
      <c r="BU62" s="3" t="str">
        <f>IFERROR(__xludf.DUMMYFUNCTION("""COMPUTED_VALUE"""),"Eje Acoplado 2 1/2"" x 1600 (07/09) Agrícola Centro 92")</f>
        <v>Eje Acoplado 2 1/2" x 1600 (07/09) Agrícola Centro 92</v>
      </c>
      <c r="BV62" s="3" t="str">
        <f>IFERROR(__xludf.DUMMYFUNCTION("""COMPUTED_VALUE"""),"Eje Acoplado 2 1/2"" x 1600 (09/11) Agrícola Centro 150")</f>
        <v>Eje Acoplado 2 1/2" x 1600 (09/11) Agrícola Centro 150</v>
      </c>
      <c r="BW62" s="3" t="str">
        <f>IFERROR(__xludf.DUMMYFUNCTION("""COMPUTED_VALUE"""),"Eje Acoplado 3"" x 1600 (10/13) Agrícola Centro 150")</f>
        <v>Eje Acoplado 3" x 1600 (10/13) Agrícola Centro 150</v>
      </c>
      <c r="BX62" s="3" t="str">
        <f>IFERROR(__xludf.DUMMYFUNCTION("""COMPUTED_VALUE"""),"Eje Acoplado 2 1/2"" x 2140 (07/09) Agrícola Centro 92")</f>
        <v>Eje Acoplado 2 1/2" x 2140 (07/09) Agrícola Centro 92</v>
      </c>
      <c r="BY62" s="3" t="str">
        <f>IFERROR(__xludf.DUMMYFUNCTION("""COMPUTED_VALUE"""),"Eje Acoplado 2"" x 1400 (06/08) Agrícola Centro 92")</f>
        <v>Eje Acoplado 2" x 1400 (06/08) Agrícola Centro 92</v>
      </c>
      <c r="BZ62" s="3" t="str">
        <f>IFERROR(__xludf.DUMMYFUNCTION("""COMPUTED_VALUE"""),"Eje Acoplado 2 1/2"" x 1500 (07/09) Agrícola Centro 92")</f>
        <v>Eje Acoplado 2 1/2" x 1500 (07/09) Agrícola Centro 92</v>
      </c>
      <c r="CA62" s="3" t="str">
        <f>IFERROR(__xludf.DUMMYFUNCTION("""COMPUTED_VALUE"""),"Eje Acoplado 2 1/2"" x 2000 (07/09) Agrícola Centro 92")</f>
        <v>Eje Acoplado 2 1/2" x 2000 (07/09) Agrícola Centro 92</v>
      </c>
      <c r="CB62" s="3" t="str">
        <f>IFERROR(__xludf.DUMMYFUNCTION("""COMPUTED_VALUE"""),"Eje Acoplado 2 1/2"" x 2100 (09/11) Agrícola Centro 150")</f>
        <v>Eje Acoplado 2 1/2" x 2100 (09/11) Agrícola Centro 150</v>
      </c>
      <c r="CC62" s="3" t="str">
        <f>IFERROR(__xludf.DUMMYFUNCTION("""COMPUTED_VALUE"""),"Llanta 16"" Simple Agrícola Centro 92")</f>
        <v>Llanta 16" Simple Agrícola Centro 92</v>
      </c>
      <c r="CD62" s="3" t="str">
        <f>IFERROR(__xludf.DUMMYFUNCTION("""COMPUTED_VALUE"""),"Llanta 16"" Dual Agrícola Centro 92")</f>
        <v>Llanta 16" Dual Agrícola Centro 92</v>
      </c>
      <c r="CE62" s="3" t="str">
        <f>IFERROR(__xludf.DUMMYFUNCTION("""COMPUTED_VALUE"""),"Llanta 17"" Simple Agrícola Centro 92")</f>
        <v>Llanta 17" Simple Agrícola Centro 92</v>
      </c>
      <c r="CF62" s="3" t="str">
        <f>IFERROR(__xludf.DUMMYFUNCTION("""COMPUTED_VALUE"""),"Llanta 17"" Dual Agrícola Centro 92")</f>
        <v>Llanta 17" Dual Agrícola Centro 92</v>
      </c>
      <c r="CG62" s="3" t="str">
        <f>IFERROR(__xludf.DUMMYFUNCTION("""COMPUTED_VALUE"""),"Llanta 16"" Dual Agrícola Centro 152")</f>
        <v>Llanta 16" Dual Agrícola Centro 152</v>
      </c>
      <c r="CH62" s="3" t="str">
        <f>IFERROR(__xludf.DUMMYFUNCTION("""COMPUTED_VALUE"""),"Llanta 17"" Dual Agrícola Centro 152")</f>
        <v>Llanta 17" Dual Agrícola Centro 152</v>
      </c>
      <c r="CI62" s="3" t="str">
        <f>IFERROR(__xludf.DUMMYFUNCTION("""COMPUTED_VALUE"""),"Eje Acoplado 2"" x 1600 (05/07) Agrícola Centro 92")</f>
        <v>Eje Acoplado 2" x 1600 (05/07) Agrícola Centro 92</v>
      </c>
      <c r="CJ62" s="3" t="str">
        <f>IFERROR(__xludf.DUMMYFUNCTION("""COMPUTED_VALUE"""),"Paquete de Elásticos 50 mm x 8 mm x 12 Hojas")</f>
        <v>Paquete de Elásticos 50 mm x 8 mm x 12 Hojas</v>
      </c>
      <c r="CK62" s="3" t="str">
        <f>IFERROR(__xludf.DUMMYFUNCTION("""COMPUTED_VALUE"""),"Plataforma Playo 4.00 x 1.90 x 0.45 Lateral Simple Baranda Fija")</f>
        <v>Plataforma Playo 4.00 x 1.90 x 0.45 Lateral Simple Baranda Fija</v>
      </c>
      <c r="CL62" s="3" t="str">
        <f>IFERROR(__xludf.DUMMYFUNCTION("""COMPUTED_VALUE"""),"Plataforma Playo 4.00 x 1.90 x 0.45 Lateral Simple Baranda Ventilada")</f>
        <v>Plataforma Playo 4.00 x 1.90 x 0.45 Lateral Simple Baranda Ventilada</v>
      </c>
      <c r="CM62" s="3" t="str">
        <f>IFERROR(__xludf.DUMMYFUNCTION("""COMPUTED_VALUE"""),"Plataforma Playo 4.00 x 1.90 x 0.45 Lateral Doble Baranda Ventilada")</f>
        <v>Plataforma Playo 4.00 x 1.90 x 0.45 Lateral Doble Baranda Ventilada</v>
      </c>
      <c r="CN62" s="3" t="str">
        <f>IFERROR(__xludf.DUMMYFUNCTION("""COMPUTED_VALUE"""),"Plataforma Playo 4.00 x 1.90 x 0.45 Lateral Doble Baranda Fija")</f>
        <v>Plataforma Playo 4.00 x 1.90 x 0.45 Lateral Doble Baranda Fija</v>
      </c>
      <c r="CO62" s="3" t="str">
        <f>IFERROR(__xludf.DUMMYFUNCTION("""COMPUTED_VALUE"""),"Plataforma Playo 4.00 x 1.90 x 0.72 Lateral Simple Baranda Fija")</f>
        <v>Plataforma Playo 4.00 x 1.90 x 0.72 Lateral Simple Baranda Fija</v>
      </c>
      <c r="CP62" s="3" t="str">
        <f>IFERROR(__xludf.DUMMYFUNCTION("""COMPUTED_VALUE"""),"Plataforma Playo 4.00 x 1.90 x 0.72 Lateral Doble Baranda Fija")</f>
        <v>Plataforma Playo 4.00 x 1.90 x 0.72 Lateral Doble Baranda Fija</v>
      </c>
      <c r="CQ62" s="3" t="str">
        <f>IFERROR(__xludf.DUMMYFUNCTION("""COMPUTED_VALUE"""),"Plataforma Playo 5.00 x 2.20 x 0.60 Lateral Doble Trasera Rebatible")</f>
        <v>Plataforma Playo 5.00 x 2.20 x 0.60 Lateral Doble Trasera Rebatible</v>
      </c>
      <c r="CR62" s="3" t="str">
        <f>IFERROR(__xludf.DUMMYFUNCTION("""COMPUTED_VALUE"""),"Plataforma Playo 5.00 x 2.20 x 0.60 Lateral Doble Baranda Fija C/Toldo")</f>
        <v>Plataforma Playo 5.00 x 2.20 x 0.60 Lateral Doble Baranda Fija C/Toldo</v>
      </c>
      <c r="CS62" s="3" t="str">
        <f>IFERROR(__xludf.DUMMYFUNCTION("""COMPUTED_VALUE"""),"Plataforma Playo 3.00 x 1.90 x 0.45 Lateral Simple Baranda Fija")</f>
        <v>Plataforma Playo 3.00 x 1.90 x 0.45 Lateral Simple Baranda Fija</v>
      </c>
      <c r="CT62" s="3" t="str">
        <f>IFERROR(__xludf.DUMMYFUNCTION("""COMPUTED_VALUE"""),"Plataforma Playo 3.00 x 1.90 x 0.45 Lateral Simple Baranda Ventilada")</f>
        <v>Plataforma Playo 3.00 x 1.90 x 0.45 Lateral Simple Baranda Ventilada</v>
      </c>
      <c r="CU62" s="3" t="str">
        <f>IFERROR(__xludf.DUMMYFUNCTION("""COMPUTED_VALUE"""),"Plataforma Playo 2.00 x 1.90 x 0.45 Lateral Simple Baranda Fija")</f>
        <v>Plataforma Playo 2.00 x 1.90 x 0.45 Lateral Simple Baranda Fija</v>
      </c>
      <c r="CV62" s="3" t="str">
        <f>IFERROR(__xludf.DUMMYFUNCTION("""COMPUTED_VALUE"""),"Plataforma Playo 5.00 x 1.90 x 0.60 Lateral Doble Baranda Fija")</f>
        <v>Plataforma Playo 5.00 x 1.90 x 0.60 Lateral Doble Baranda Fija</v>
      </c>
      <c r="CW62" s="3" t="str">
        <f>IFERROR(__xludf.DUMMYFUNCTION("""COMPUTED_VALUE"""),"Plataforma Playo 6.40 x 2.70 x 0.72 Lateral Doble Baranda Fija")</f>
        <v>Plataforma Playo 6.40 x 2.70 x 0.72 Lateral Doble Baranda Fija</v>
      </c>
      <c r="CX62" s="3" t="str">
        <f>IFERROR(__xludf.DUMMYFUNCTION("""COMPUTED_VALUE"""),"Chasis Acoplado Balancin L4000 Lanza Recta")</f>
        <v>Chasis Acoplado Balancin L4000 Lanza Recta</v>
      </c>
      <c r="CY62" s="3" t="str">
        <f>IFERROR(__xludf.DUMMYFUNCTION("""COMPUTED_VALUE"""),"Llanta simple Agrícola 750x20 centro 152")</f>
        <v>Llanta simple Agrícola 750x20 centro 152</v>
      </c>
      <c r="CZ62" s="3" t="str">
        <f>IFERROR(__xludf.DUMMYFUNCTION("""COMPUTED_VALUE"""),"Cajón de Herramientas Mediano adelante")</f>
        <v>Cajón de Herramientas Mediano adelante</v>
      </c>
      <c r="DA62" s="3" t="str">
        <f>IFERROR(__xludf.DUMMYFUNCTION("""COMPUTED_VALUE"""),"Llanta 15"" Simple Agrícola Centro 92")</f>
        <v>Llanta 15" Simple Agrícola Centro 92</v>
      </c>
    </row>
    <row r="63" hidden="1">
      <c r="A63" s="38">
        <f t="shared" si="1"/>
        <v>62</v>
      </c>
      <c r="B63" s="38">
        <f>IF(F63="","",SUMIF(Prearmados!E:E,F63,Prearmados!A:A))</f>
        <v>9</v>
      </c>
      <c r="C63" s="38">
        <f>IF(F63="","",SUMIF(Productos!E:E,G63,Productos!A:A))</f>
        <v>94</v>
      </c>
      <c r="D63" s="83" t="str">
        <f t="array" ref="D63">IF(OR(F63="",F63="Seleccionar.."),"",XLOOKUP(F63,Prearmados!E:E,Prearmados!F:F,"",0,1))</f>
        <v>Acoplados Rurales</v>
      </c>
      <c r="E63" s="83">
        <f>IF(H63="","",SUMIF(Precio_Productos!K:K,C63,Precio_Productos!J:J)*H63)</f>
        <v>540764</v>
      </c>
      <c r="F63" s="84" t="s">
        <v>332</v>
      </c>
      <c r="G63" s="84" t="s">
        <v>121</v>
      </c>
      <c r="H63" s="13">
        <v>4.0</v>
      </c>
      <c r="P63" s="3" t="str">
        <f>IFERROR(__xludf.DUMMYFUNCTION("IF(OR(F63="""",F63=""Seleccionar..""),"""",TRANSPOSE(FILTER(Productos!E:E,(Productos!F:F=D63)+(Productos!F:F=XLOOKUP(D63,Implementos!B:B,Implementos!C:C,""-"",0,1)))))"),"Tanque Combustible 1100 lts Bajo")</f>
        <v>Tanque Combustible 1100 lts Bajo</v>
      </c>
      <c r="Q63" s="3" t="str">
        <f>IFERROR(__xludf.DUMMYFUNCTION("""COMPUTED_VALUE"""),"Tanque Combustible 1500 lts Standard")</f>
        <v>Tanque Combustible 1500 lts Standard</v>
      </c>
      <c r="R63" s="3" t="str">
        <f>IFERROR(__xludf.DUMMYFUNCTION("""COMPUTED_VALUE"""),"Tanque Combustible 1800 lts Standard")</f>
        <v>Tanque Combustible 1800 lts Standard</v>
      </c>
      <c r="S63" s="3" t="str">
        <f>IFERROR(__xludf.DUMMYFUNCTION("""COMPUTED_VALUE"""),"Tanque Combustible 2000 lts Bajo")</f>
        <v>Tanque Combustible 2000 lts Bajo</v>
      </c>
      <c r="T63" s="3" t="str">
        <f>IFERROR(__xludf.DUMMYFUNCTION("""COMPUTED_VALUE"""),"Tanque Combustible 2000 lts Standard")</f>
        <v>Tanque Combustible 2000 lts Standard</v>
      </c>
      <c r="U63" s="3" t="str">
        <f>IFERROR(__xludf.DUMMYFUNCTION("""COMPUTED_VALUE"""),"Tanque Combustible 3000 lts Standard")</f>
        <v>Tanque Combustible 3000 lts Standard</v>
      </c>
      <c r="V63" s="3" t="str">
        <f>IFERROR(__xludf.DUMMYFUNCTION("""COMPUTED_VALUE"""),"Tanque Combustible 3000 lts Alto")</f>
        <v>Tanque Combustible 3000 lts Alto</v>
      </c>
      <c r="W63" s="3" t="str">
        <f>IFERROR(__xludf.DUMMYFUNCTION("""COMPUTED_VALUE"""),"Tanque Combustible 4000 lts Standard")</f>
        <v>Tanque Combustible 4000 lts Standard</v>
      </c>
      <c r="X63" s="3" t="str">
        <f>IFERROR(__xludf.DUMMYFUNCTION("""COMPUTED_VALUE"""),"Tanque Combustible 5000 lts Standard")</f>
        <v>Tanque Combustible 5000 lts Standard</v>
      </c>
      <c r="Y63" s="3" t="str">
        <f>IFERROR(__xludf.DUMMYFUNCTION("""COMPUTED_VALUE"""),"Tanque Combustible 5000 lts Alto")</f>
        <v>Tanque Combustible 5000 lts Alto</v>
      </c>
      <c r="Z63" s="3" t="str">
        <f>IFERROR(__xludf.DUMMYFUNCTION("""COMPUTED_VALUE"""),"Tanque Combustible 2000 lts Alto")</f>
        <v>Tanque Combustible 2000 lts Alto</v>
      </c>
      <c r="AA63" s="3" t="str">
        <f>IFERROR(__xludf.DUMMYFUNCTION("""COMPUTED_VALUE"""),"Tanque Combustible 4000 lts Alto")</f>
        <v>Tanque Combustible 4000 lts Alto</v>
      </c>
      <c r="AB63" s="3" t="str">
        <f>IFERROR(__xludf.DUMMYFUNCTION("""COMPUTED_VALUE"""),"Baulera Standard - 750")</f>
        <v>Baulera Standard - 750</v>
      </c>
      <c r="AC63" s="3" t="str">
        <f>IFERROR(__xludf.DUMMYFUNCTION("""COMPUTED_VALUE"""),"Baulera Standard - 1700 - C/Laterales")</f>
        <v>Baulera Standard - 1700 - C/Laterales</v>
      </c>
      <c r="AD63" s="3" t="str">
        <f>IFERROR(__xludf.DUMMYFUNCTION("""COMPUTED_VALUE"""),"Baulera Standard - 1000 - C/Laterales")</f>
        <v>Baulera Standard - 1000 - C/Laterales</v>
      </c>
      <c r="AE63" s="3" t="str">
        <f>IFERROR(__xludf.DUMMYFUNCTION("""COMPUTED_VALUE"""),"Baulera Standard - 750 - C/Laterales")</f>
        <v>Baulera Standard - 750 - C/Laterales</v>
      </c>
      <c r="AF63" s="3" t="str">
        <f>IFERROR(__xludf.DUMMYFUNCTION("""COMPUTED_VALUE"""),"Baulera Standard - 1300 - C/Laterales")</f>
        <v>Baulera Standard - 1300 - C/Laterales</v>
      </c>
      <c r="AG63" s="3" t="str">
        <f>IFERROR(__xludf.DUMMYFUNCTION("""COMPUTED_VALUE"""),"Baulera Alta - 750")</f>
        <v>Baulera Alta - 750</v>
      </c>
      <c r="AH63" s="3" t="str">
        <f>IFERROR(__xludf.DUMMYFUNCTION("""COMPUTED_VALUE"""),"Baulera Alta - 1500 - C/Laterales")</f>
        <v>Baulera Alta - 1500 - C/Laterales</v>
      </c>
      <c r="AI63" s="3" t="str">
        <f>IFERROR(__xludf.DUMMYFUNCTION("""COMPUTED_VALUE"""),"Baulera Extendida 1700 - C/Laterales")</f>
        <v>Baulera Extendida 1700 - C/Laterales</v>
      </c>
      <c r="AJ63" s="3" t="str">
        <f>IFERROR(__xludf.DUMMYFUNCTION("""COMPUTED_VALUE"""),"Taller Móvil - 1500 x 1500 x 1700")</f>
        <v>Taller Móvil - 1500 x 1500 x 1700</v>
      </c>
      <c r="AK63" s="3" t="str">
        <f>IFERROR(__xludf.DUMMYFUNCTION("""COMPUTED_VALUE"""),"Cajón Herramientas Standard Derecho")</f>
        <v>Cajón Herramientas Standard Derecho</v>
      </c>
      <c r="AL63" s="3" t="str">
        <f>IFERROR(__xludf.DUMMYFUNCTION("""COMPUTED_VALUE"""),"Cajón Herramientas Standard Izquierdo")</f>
        <v>Cajón Herramientas Standard Izquierdo</v>
      </c>
      <c r="AM63" s="3" t="str">
        <f>IFERROR(__xludf.DUMMYFUNCTION("""COMPUTED_VALUE"""),"Cajón Herramientas Corto Derecho")</f>
        <v>Cajón Herramientas Corto Derecho</v>
      </c>
      <c r="AN63" s="3" t="str">
        <f>IFERROR(__xludf.DUMMYFUNCTION("""COMPUTED_VALUE"""),"Cajón Herramientas Corto Izquierdo")</f>
        <v>Cajón Herramientas Corto Izquierdo</v>
      </c>
      <c r="AO63" s="3" t="str">
        <f>IFERROR(__xludf.DUMMYFUNCTION("""COMPUTED_VALUE"""),"Cajón Herramientas Mediano Derecho")</f>
        <v>Cajón Herramientas Mediano Derecho</v>
      </c>
      <c r="AP63" s="3" t="str">
        <f>IFERROR(__xludf.DUMMYFUNCTION("""COMPUTED_VALUE"""),"Cajón Herramientas Mediano Izquierdo")</f>
        <v>Cajón Herramientas Mediano Izquierdo</v>
      </c>
      <c r="AQ63" s="3" t="str">
        <f>IFERROR(__xludf.DUMMYFUNCTION("""COMPUTED_VALUE"""),"Chasis Acoplado 2 Ejes L3000")</f>
        <v>Chasis Acoplado 2 Ejes L3000</v>
      </c>
      <c r="AR63" s="3" t="str">
        <f>IFERROR(__xludf.DUMMYFUNCTION("""COMPUTED_VALUE"""),"Chasis Acoplado 2 Ejes L3750")</f>
        <v>Chasis Acoplado 2 Ejes L3750</v>
      </c>
      <c r="AS63" s="3" t="str">
        <f>IFERROR(__xludf.DUMMYFUNCTION("""COMPUTED_VALUE"""),"Chasis Acoplado 2 Ejes L4000")</f>
        <v>Chasis Acoplado 2 Ejes L4000</v>
      </c>
      <c r="AT63" s="3" t="str">
        <f>IFERROR(__xludf.DUMMYFUNCTION("""COMPUTED_VALUE"""),"Chasis Acoplado 2 Ejes L4000 Reforzado")</f>
        <v>Chasis Acoplado 2 Ejes L4000 Reforzado</v>
      </c>
      <c r="AU63" s="3" t="str">
        <f>IFERROR(__xludf.DUMMYFUNCTION("""COMPUTED_VALUE"""),"Chasis Acoplado 2 Ejes L4750")</f>
        <v>Chasis Acoplado 2 Ejes L4750</v>
      </c>
      <c r="AV63" s="3" t="str">
        <f>IFERROR(__xludf.DUMMYFUNCTION("""COMPUTED_VALUE"""),"Chasis Acoplado 2 Ejes L4750 Reforzado")</f>
        <v>Chasis Acoplado 2 Ejes L4750 Reforzado</v>
      </c>
      <c r="AW63" s="3" t="str">
        <f>IFERROR(__xludf.DUMMYFUNCTION("""COMPUTED_VALUE"""),"Chasis Acoplado 2 Ejes L4750 Reforzado R. Camion")</f>
        <v>Chasis Acoplado 2 Ejes L4750 Reforzado R. Camion</v>
      </c>
      <c r="AX63" s="3" t="str">
        <f>IFERROR(__xludf.DUMMYFUNCTION("""COMPUTED_VALUE"""),"Chasis Acoplado 2 Ejes L5000")</f>
        <v>Chasis Acoplado 2 Ejes L5000</v>
      </c>
      <c r="AY63" s="3" t="str">
        <f>IFERROR(__xludf.DUMMYFUNCTION("""COMPUTED_VALUE"""),"Chasis Acoplado 2 Ejes L5750")</f>
        <v>Chasis Acoplado 2 Ejes L5750</v>
      </c>
      <c r="AZ63" s="3" t="str">
        <f>IFERROR(__xludf.DUMMYFUNCTION("""COMPUTED_VALUE"""),"Chasis Acoplado 2 Ejes L6400")</f>
        <v>Chasis Acoplado 2 Ejes L6400</v>
      </c>
      <c r="BA63" s="3" t="str">
        <f>IFERROR(__xludf.DUMMYFUNCTION("""COMPUTED_VALUE"""),"Chasis Acoplado 2 Ejes L4500")</f>
        <v>Chasis Acoplado 2 Ejes L4500</v>
      </c>
      <c r="BB63" s="3" t="str">
        <f>IFERROR(__xludf.DUMMYFUNCTION("""COMPUTED_VALUE"""),"Chasis Acoplado 1 Eje L1500")</f>
        <v>Chasis Acoplado 1 Eje L1500</v>
      </c>
      <c r="BC63" s="3" t="str">
        <f>IFERROR(__xludf.DUMMYFUNCTION("""COMPUTED_VALUE"""),"Chasis Acoplado 1 Eje L1800")</f>
        <v>Chasis Acoplado 1 Eje L1800</v>
      </c>
      <c r="BD63" s="3" t="str">
        <f>IFERROR(__xludf.DUMMYFUNCTION("""COMPUTED_VALUE"""),"Chasis Acoplado 1 Eje L1400")</f>
        <v>Chasis Acoplado 1 Eje L1400</v>
      </c>
      <c r="BE63" s="3" t="str">
        <f>IFERROR(__xludf.DUMMYFUNCTION("""COMPUTED_VALUE"""),"Chasis Acoplado Balancin L3000")</f>
        <v>Chasis Acoplado Balancin L3000</v>
      </c>
      <c r="BF63" s="3" t="str">
        <f>IFERROR(__xludf.DUMMYFUNCTION("""COMPUTED_VALUE"""),"Chasis Acoplado Balancin L3000 Lanza Corta")</f>
        <v>Chasis Acoplado Balancin L3000 Lanza Corta</v>
      </c>
      <c r="BG63" s="3" t="str">
        <f>IFERROR(__xludf.DUMMYFUNCTION("""COMPUTED_VALUE"""),"Chasis Acoplado Balancin L2000 Lanza Corta")</f>
        <v>Chasis Acoplado Balancin L2000 Lanza Corta</v>
      </c>
      <c r="BH63" s="3" t="str">
        <f>IFERROR(__xludf.DUMMYFUNCTION("""COMPUTED_VALUE"""),"Chasis Acoplado Balancin L3200 Lanza Corta")</f>
        <v>Chasis Acoplado Balancin L3200 Lanza Corta</v>
      </c>
      <c r="BI63" s="3" t="str">
        <f>IFERROR(__xludf.DUMMYFUNCTION("""COMPUTED_VALUE"""),"Chasis Acoplado Balancin L3200 Lanza Recta")</f>
        <v>Chasis Acoplado Balancin L3200 Lanza Recta</v>
      </c>
      <c r="BJ63" s="3" t="str">
        <f>IFERROR(__xludf.DUMMYFUNCTION("""COMPUTED_VALUE"""),"Chasis Acoplado Balancin L3200 Bajo Lanza Recta")</f>
        <v>Chasis Acoplado Balancin L3200 Bajo Lanza Recta</v>
      </c>
      <c r="BK63" s="3" t="str">
        <f>IFERROR(__xludf.DUMMYFUNCTION("""COMPUTED_VALUE"""),"Tanque Plastico Horizontal 750 Lts")</f>
        <v>Tanque Plastico Horizontal 750 Lts</v>
      </c>
      <c r="BL63" s="3" t="str">
        <f>IFERROR(__xludf.DUMMYFUNCTION("""COMPUTED_VALUE"""),"Medio Tanque Plastico Superior 700 Lts")</f>
        <v>Medio Tanque Plastico Superior 700 Lts</v>
      </c>
      <c r="BM63" s="3" t="str">
        <f>IFERROR(__xludf.DUMMYFUNCTION("""COMPUTED_VALUE"""),"Paquete de Elasticos 50 mm x 8 mm x 10 Hojas L850")</f>
        <v>Paquete de Elasticos 50 mm x 8 mm x 10 Hojas L850</v>
      </c>
      <c r="BN63" s="3" t="str">
        <f>IFERROR(__xludf.DUMMYFUNCTION("""COMPUTED_VALUE"""),"Paquete de Elasticos 63 mm x 8 mm x 10 Hojas L950")</f>
        <v>Paquete de Elasticos 63 mm x 8 mm x 10 Hojas L950</v>
      </c>
      <c r="BO63" s="3" t="str">
        <f>IFERROR(__xludf.DUMMYFUNCTION("""COMPUTED_VALUE"""),"Paquete de Elasticos 50 mm x 7 mm x 9 Hojas L850")</f>
        <v>Paquete de Elasticos 50 mm x 7 mm x 9 Hojas L850</v>
      </c>
      <c r="BP63" s="3" t="str">
        <f>IFERROR(__xludf.DUMMYFUNCTION("""COMPUTED_VALUE"""),"Paquete de Elasticos 63 mm x 8 mm x 8 Hojas L850")</f>
        <v>Paquete de Elasticos 63 mm x 8 mm x 8 Hojas L850</v>
      </c>
      <c r="BQ63" s="3" t="str">
        <f>IFERROR(__xludf.DUMMYFUNCTION("""COMPUTED_VALUE"""),"Paquete de Elasticos 63 mm x 10 mm x 10 Hojas L950")</f>
        <v>Paquete de Elasticos 63 mm x 10 mm x 10 Hojas L950</v>
      </c>
      <c r="BR63" s="3" t="str">
        <f>IFERROR(__xludf.DUMMYFUNCTION("""COMPUTED_VALUE"""),"Paquete de Elasticos 63 mm x 10 mm x 13 Hojas L975")</f>
        <v>Paquete de Elasticos 63 mm x 10 mm x 13 Hojas L975</v>
      </c>
      <c r="BS63" s="3" t="str">
        <f>IFERROR(__xludf.DUMMYFUNCTION("""COMPUTED_VALUE"""),"Paquete de Elasticos 50 mm x 7 mm x 9 Hojas L650")</f>
        <v>Paquete de Elasticos 50 mm x 7 mm x 9 Hojas L650</v>
      </c>
      <c r="BT63" s="3" t="str">
        <f>IFERROR(__xludf.DUMMYFUNCTION("""COMPUTED_VALUE"""),"Eje Acoplado 2"" x 1600 (06/08) Agrícola Centro 92")</f>
        <v>Eje Acoplado 2" x 1600 (06/08) Agrícola Centro 92</v>
      </c>
      <c r="BU63" s="3" t="str">
        <f>IFERROR(__xludf.DUMMYFUNCTION("""COMPUTED_VALUE"""),"Eje Acoplado 2 1/2"" x 1600 (07/09) Agrícola Centro 92")</f>
        <v>Eje Acoplado 2 1/2" x 1600 (07/09) Agrícola Centro 92</v>
      </c>
      <c r="BV63" s="3" t="str">
        <f>IFERROR(__xludf.DUMMYFUNCTION("""COMPUTED_VALUE"""),"Eje Acoplado 2 1/2"" x 1600 (09/11) Agrícola Centro 150")</f>
        <v>Eje Acoplado 2 1/2" x 1600 (09/11) Agrícola Centro 150</v>
      </c>
      <c r="BW63" s="3" t="str">
        <f>IFERROR(__xludf.DUMMYFUNCTION("""COMPUTED_VALUE"""),"Eje Acoplado 3"" x 1600 (10/13) Agrícola Centro 150")</f>
        <v>Eje Acoplado 3" x 1600 (10/13) Agrícola Centro 150</v>
      </c>
      <c r="BX63" s="3" t="str">
        <f>IFERROR(__xludf.DUMMYFUNCTION("""COMPUTED_VALUE"""),"Eje Acoplado 2 1/2"" x 2140 (07/09) Agrícola Centro 92")</f>
        <v>Eje Acoplado 2 1/2" x 2140 (07/09) Agrícola Centro 92</v>
      </c>
      <c r="BY63" s="3" t="str">
        <f>IFERROR(__xludf.DUMMYFUNCTION("""COMPUTED_VALUE"""),"Eje Acoplado 2"" x 1400 (06/08) Agrícola Centro 92")</f>
        <v>Eje Acoplado 2" x 1400 (06/08) Agrícola Centro 92</v>
      </c>
      <c r="BZ63" s="3" t="str">
        <f>IFERROR(__xludf.DUMMYFUNCTION("""COMPUTED_VALUE"""),"Eje Acoplado 2 1/2"" x 1500 (07/09) Agrícola Centro 92")</f>
        <v>Eje Acoplado 2 1/2" x 1500 (07/09) Agrícola Centro 92</v>
      </c>
      <c r="CA63" s="3" t="str">
        <f>IFERROR(__xludf.DUMMYFUNCTION("""COMPUTED_VALUE"""),"Eje Acoplado 2 1/2"" x 2000 (07/09) Agrícola Centro 92")</f>
        <v>Eje Acoplado 2 1/2" x 2000 (07/09) Agrícola Centro 92</v>
      </c>
      <c r="CB63" s="3" t="str">
        <f>IFERROR(__xludf.DUMMYFUNCTION("""COMPUTED_VALUE"""),"Eje Acoplado 2 1/2"" x 2100 (09/11) Agrícola Centro 150")</f>
        <v>Eje Acoplado 2 1/2" x 2100 (09/11) Agrícola Centro 150</v>
      </c>
      <c r="CC63" s="3" t="str">
        <f>IFERROR(__xludf.DUMMYFUNCTION("""COMPUTED_VALUE"""),"Llanta 16"" Simple Agrícola Centro 92")</f>
        <v>Llanta 16" Simple Agrícola Centro 92</v>
      </c>
      <c r="CD63" s="3" t="str">
        <f>IFERROR(__xludf.DUMMYFUNCTION("""COMPUTED_VALUE"""),"Llanta 16"" Dual Agrícola Centro 92")</f>
        <v>Llanta 16" Dual Agrícola Centro 92</v>
      </c>
      <c r="CE63" s="3" t="str">
        <f>IFERROR(__xludf.DUMMYFUNCTION("""COMPUTED_VALUE"""),"Llanta 17"" Simple Agrícola Centro 92")</f>
        <v>Llanta 17" Simple Agrícola Centro 92</v>
      </c>
      <c r="CF63" s="3" t="str">
        <f>IFERROR(__xludf.DUMMYFUNCTION("""COMPUTED_VALUE"""),"Llanta 17"" Dual Agrícola Centro 92")</f>
        <v>Llanta 17" Dual Agrícola Centro 92</v>
      </c>
      <c r="CG63" s="3" t="str">
        <f>IFERROR(__xludf.DUMMYFUNCTION("""COMPUTED_VALUE"""),"Llanta 16"" Dual Agrícola Centro 152")</f>
        <v>Llanta 16" Dual Agrícola Centro 152</v>
      </c>
      <c r="CH63" s="3" t="str">
        <f>IFERROR(__xludf.DUMMYFUNCTION("""COMPUTED_VALUE"""),"Llanta 17"" Dual Agrícola Centro 152")</f>
        <v>Llanta 17" Dual Agrícola Centro 152</v>
      </c>
      <c r="CI63" s="3" t="str">
        <f>IFERROR(__xludf.DUMMYFUNCTION("""COMPUTED_VALUE"""),"Eje Acoplado 2"" x 1600 (05/07) Agrícola Centro 92")</f>
        <v>Eje Acoplado 2" x 1600 (05/07) Agrícola Centro 92</v>
      </c>
      <c r="CJ63" s="3" t="str">
        <f>IFERROR(__xludf.DUMMYFUNCTION("""COMPUTED_VALUE"""),"Paquete de Elásticos 50 mm x 8 mm x 12 Hojas")</f>
        <v>Paquete de Elásticos 50 mm x 8 mm x 12 Hojas</v>
      </c>
      <c r="CK63" s="3" t="str">
        <f>IFERROR(__xludf.DUMMYFUNCTION("""COMPUTED_VALUE"""),"Plataforma Playo 4.00 x 1.90 x 0.45 Lateral Simple Baranda Fija")</f>
        <v>Plataforma Playo 4.00 x 1.90 x 0.45 Lateral Simple Baranda Fija</v>
      </c>
      <c r="CL63" s="3" t="str">
        <f>IFERROR(__xludf.DUMMYFUNCTION("""COMPUTED_VALUE"""),"Plataforma Playo 4.00 x 1.90 x 0.45 Lateral Simple Baranda Ventilada")</f>
        <v>Plataforma Playo 4.00 x 1.90 x 0.45 Lateral Simple Baranda Ventilada</v>
      </c>
      <c r="CM63" s="3" t="str">
        <f>IFERROR(__xludf.DUMMYFUNCTION("""COMPUTED_VALUE"""),"Plataforma Playo 4.00 x 1.90 x 0.45 Lateral Doble Baranda Ventilada")</f>
        <v>Plataforma Playo 4.00 x 1.90 x 0.45 Lateral Doble Baranda Ventilada</v>
      </c>
      <c r="CN63" s="3" t="str">
        <f>IFERROR(__xludf.DUMMYFUNCTION("""COMPUTED_VALUE"""),"Plataforma Playo 4.00 x 1.90 x 0.45 Lateral Doble Baranda Fija")</f>
        <v>Plataforma Playo 4.00 x 1.90 x 0.45 Lateral Doble Baranda Fija</v>
      </c>
      <c r="CO63" s="3" t="str">
        <f>IFERROR(__xludf.DUMMYFUNCTION("""COMPUTED_VALUE"""),"Plataforma Playo 4.00 x 1.90 x 0.72 Lateral Simple Baranda Fija")</f>
        <v>Plataforma Playo 4.00 x 1.90 x 0.72 Lateral Simple Baranda Fija</v>
      </c>
      <c r="CP63" s="3" t="str">
        <f>IFERROR(__xludf.DUMMYFUNCTION("""COMPUTED_VALUE"""),"Plataforma Playo 4.00 x 1.90 x 0.72 Lateral Doble Baranda Fija")</f>
        <v>Plataforma Playo 4.00 x 1.90 x 0.72 Lateral Doble Baranda Fija</v>
      </c>
      <c r="CQ63" s="3" t="str">
        <f>IFERROR(__xludf.DUMMYFUNCTION("""COMPUTED_VALUE"""),"Plataforma Playo 5.00 x 2.20 x 0.60 Lateral Doble Trasera Rebatible")</f>
        <v>Plataforma Playo 5.00 x 2.20 x 0.60 Lateral Doble Trasera Rebatible</v>
      </c>
      <c r="CR63" s="3" t="str">
        <f>IFERROR(__xludf.DUMMYFUNCTION("""COMPUTED_VALUE"""),"Plataforma Playo 5.00 x 2.20 x 0.60 Lateral Doble Baranda Fija C/Toldo")</f>
        <v>Plataforma Playo 5.00 x 2.20 x 0.60 Lateral Doble Baranda Fija C/Toldo</v>
      </c>
      <c r="CS63" s="3" t="str">
        <f>IFERROR(__xludf.DUMMYFUNCTION("""COMPUTED_VALUE"""),"Plataforma Playo 3.00 x 1.90 x 0.45 Lateral Simple Baranda Fija")</f>
        <v>Plataforma Playo 3.00 x 1.90 x 0.45 Lateral Simple Baranda Fija</v>
      </c>
      <c r="CT63" s="3" t="str">
        <f>IFERROR(__xludf.DUMMYFUNCTION("""COMPUTED_VALUE"""),"Plataforma Playo 3.00 x 1.90 x 0.45 Lateral Simple Baranda Ventilada")</f>
        <v>Plataforma Playo 3.00 x 1.90 x 0.45 Lateral Simple Baranda Ventilada</v>
      </c>
      <c r="CU63" s="3" t="str">
        <f>IFERROR(__xludf.DUMMYFUNCTION("""COMPUTED_VALUE"""),"Plataforma Playo 2.00 x 1.90 x 0.45 Lateral Simple Baranda Fija")</f>
        <v>Plataforma Playo 2.00 x 1.90 x 0.45 Lateral Simple Baranda Fija</v>
      </c>
      <c r="CV63" s="3" t="str">
        <f>IFERROR(__xludf.DUMMYFUNCTION("""COMPUTED_VALUE"""),"Plataforma Playo 5.00 x 1.90 x 0.60 Lateral Doble Baranda Fija")</f>
        <v>Plataforma Playo 5.00 x 1.90 x 0.60 Lateral Doble Baranda Fija</v>
      </c>
      <c r="CW63" s="3" t="str">
        <f>IFERROR(__xludf.DUMMYFUNCTION("""COMPUTED_VALUE"""),"Plataforma Playo 6.40 x 2.70 x 0.72 Lateral Doble Baranda Fija")</f>
        <v>Plataforma Playo 6.40 x 2.70 x 0.72 Lateral Doble Baranda Fija</v>
      </c>
      <c r="CX63" s="3" t="str">
        <f>IFERROR(__xludf.DUMMYFUNCTION("""COMPUTED_VALUE"""),"Chasis Acoplado Balancin L4000 Lanza Recta")</f>
        <v>Chasis Acoplado Balancin L4000 Lanza Recta</v>
      </c>
      <c r="CY63" s="3" t="str">
        <f>IFERROR(__xludf.DUMMYFUNCTION("""COMPUTED_VALUE"""),"Llanta simple Agrícola 750x20 centro 152")</f>
        <v>Llanta simple Agrícola 750x20 centro 152</v>
      </c>
      <c r="CZ63" s="3" t="str">
        <f>IFERROR(__xludf.DUMMYFUNCTION("""COMPUTED_VALUE"""),"Cajón de Herramientas Mediano adelante")</f>
        <v>Cajón de Herramientas Mediano adelante</v>
      </c>
      <c r="DA63" s="3" t="str">
        <f>IFERROR(__xludf.DUMMYFUNCTION("""COMPUTED_VALUE"""),"Llanta 15"" Simple Agrícola Centro 92")</f>
        <v>Llanta 15" Simple Agrícola Centro 92</v>
      </c>
    </row>
    <row r="64" hidden="1">
      <c r="A64" s="38">
        <f t="shared" si="1"/>
        <v>63</v>
      </c>
      <c r="B64" s="38">
        <f>IF(F64="","",SUMIF(Prearmados!E:E,F64,Prearmados!A:A))</f>
        <v>9</v>
      </c>
      <c r="C64" s="38">
        <f>IF(F64="","",SUMIF(Productos!E:E,G64,Productos!A:A))</f>
        <v>111</v>
      </c>
      <c r="D64" s="83" t="str">
        <f t="array" ref="D64">IF(OR(F64="",F64="Seleccionar.."),"",XLOOKUP(F64,Prearmados!E:E,Prearmados!F:F,"",0,1))</f>
        <v>Acoplados Rurales</v>
      </c>
      <c r="E64" s="83">
        <f>IF(H64="","",SUMIF(Precio_Productos!K:K,C64,Precio_Productos!J:J)*H64)</f>
        <v>1116000</v>
      </c>
      <c r="F64" s="84" t="s">
        <v>332</v>
      </c>
      <c r="G64" s="84" t="s">
        <v>130</v>
      </c>
      <c r="H64" s="13">
        <v>8.0</v>
      </c>
      <c r="P64" s="3" t="str">
        <f>IFERROR(__xludf.DUMMYFUNCTION("IF(OR(F64="""",F64=""Seleccionar..""),"""",TRANSPOSE(FILTER(Productos!E:E,(Productos!F:F=D64)+(Productos!F:F=XLOOKUP(D64,Implementos!B:B,Implementos!C:C,""-"",0,1)))))"),"Tanque Combustible 1100 lts Bajo")</f>
        <v>Tanque Combustible 1100 lts Bajo</v>
      </c>
      <c r="Q64" s="3" t="str">
        <f>IFERROR(__xludf.DUMMYFUNCTION("""COMPUTED_VALUE"""),"Tanque Combustible 1500 lts Standard")</f>
        <v>Tanque Combustible 1500 lts Standard</v>
      </c>
      <c r="R64" s="3" t="str">
        <f>IFERROR(__xludf.DUMMYFUNCTION("""COMPUTED_VALUE"""),"Tanque Combustible 1800 lts Standard")</f>
        <v>Tanque Combustible 1800 lts Standard</v>
      </c>
      <c r="S64" s="3" t="str">
        <f>IFERROR(__xludf.DUMMYFUNCTION("""COMPUTED_VALUE"""),"Tanque Combustible 2000 lts Bajo")</f>
        <v>Tanque Combustible 2000 lts Bajo</v>
      </c>
      <c r="T64" s="3" t="str">
        <f>IFERROR(__xludf.DUMMYFUNCTION("""COMPUTED_VALUE"""),"Tanque Combustible 2000 lts Standard")</f>
        <v>Tanque Combustible 2000 lts Standard</v>
      </c>
      <c r="U64" s="3" t="str">
        <f>IFERROR(__xludf.DUMMYFUNCTION("""COMPUTED_VALUE"""),"Tanque Combustible 3000 lts Standard")</f>
        <v>Tanque Combustible 3000 lts Standard</v>
      </c>
      <c r="V64" s="3" t="str">
        <f>IFERROR(__xludf.DUMMYFUNCTION("""COMPUTED_VALUE"""),"Tanque Combustible 3000 lts Alto")</f>
        <v>Tanque Combustible 3000 lts Alto</v>
      </c>
      <c r="W64" s="3" t="str">
        <f>IFERROR(__xludf.DUMMYFUNCTION("""COMPUTED_VALUE"""),"Tanque Combustible 4000 lts Standard")</f>
        <v>Tanque Combustible 4000 lts Standard</v>
      </c>
      <c r="X64" s="3" t="str">
        <f>IFERROR(__xludf.DUMMYFUNCTION("""COMPUTED_VALUE"""),"Tanque Combustible 5000 lts Standard")</f>
        <v>Tanque Combustible 5000 lts Standard</v>
      </c>
      <c r="Y64" s="3" t="str">
        <f>IFERROR(__xludf.DUMMYFUNCTION("""COMPUTED_VALUE"""),"Tanque Combustible 5000 lts Alto")</f>
        <v>Tanque Combustible 5000 lts Alto</v>
      </c>
      <c r="Z64" s="3" t="str">
        <f>IFERROR(__xludf.DUMMYFUNCTION("""COMPUTED_VALUE"""),"Tanque Combustible 2000 lts Alto")</f>
        <v>Tanque Combustible 2000 lts Alto</v>
      </c>
      <c r="AA64" s="3" t="str">
        <f>IFERROR(__xludf.DUMMYFUNCTION("""COMPUTED_VALUE"""),"Tanque Combustible 4000 lts Alto")</f>
        <v>Tanque Combustible 4000 lts Alto</v>
      </c>
      <c r="AB64" s="3" t="str">
        <f>IFERROR(__xludf.DUMMYFUNCTION("""COMPUTED_VALUE"""),"Baulera Standard - 750")</f>
        <v>Baulera Standard - 750</v>
      </c>
      <c r="AC64" s="3" t="str">
        <f>IFERROR(__xludf.DUMMYFUNCTION("""COMPUTED_VALUE"""),"Baulera Standard - 1700 - C/Laterales")</f>
        <v>Baulera Standard - 1700 - C/Laterales</v>
      </c>
      <c r="AD64" s="3" t="str">
        <f>IFERROR(__xludf.DUMMYFUNCTION("""COMPUTED_VALUE"""),"Baulera Standard - 1000 - C/Laterales")</f>
        <v>Baulera Standard - 1000 - C/Laterales</v>
      </c>
      <c r="AE64" s="3" t="str">
        <f>IFERROR(__xludf.DUMMYFUNCTION("""COMPUTED_VALUE"""),"Baulera Standard - 750 - C/Laterales")</f>
        <v>Baulera Standard - 750 - C/Laterales</v>
      </c>
      <c r="AF64" s="3" t="str">
        <f>IFERROR(__xludf.DUMMYFUNCTION("""COMPUTED_VALUE"""),"Baulera Standard - 1300 - C/Laterales")</f>
        <v>Baulera Standard - 1300 - C/Laterales</v>
      </c>
      <c r="AG64" s="3" t="str">
        <f>IFERROR(__xludf.DUMMYFUNCTION("""COMPUTED_VALUE"""),"Baulera Alta - 750")</f>
        <v>Baulera Alta - 750</v>
      </c>
      <c r="AH64" s="3" t="str">
        <f>IFERROR(__xludf.DUMMYFUNCTION("""COMPUTED_VALUE"""),"Baulera Alta - 1500 - C/Laterales")</f>
        <v>Baulera Alta - 1500 - C/Laterales</v>
      </c>
      <c r="AI64" s="3" t="str">
        <f>IFERROR(__xludf.DUMMYFUNCTION("""COMPUTED_VALUE"""),"Baulera Extendida 1700 - C/Laterales")</f>
        <v>Baulera Extendida 1700 - C/Laterales</v>
      </c>
      <c r="AJ64" s="3" t="str">
        <f>IFERROR(__xludf.DUMMYFUNCTION("""COMPUTED_VALUE"""),"Taller Móvil - 1500 x 1500 x 1700")</f>
        <v>Taller Móvil - 1500 x 1500 x 1700</v>
      </c>
      <c r="AK64" s="3" t="str">
        <f>IFERROR(__xludf.DUMMYFUNCTION("""COMPUTED_VALUE"""),"Cajón Herramientas Standard Derecho")</f>
        <v>Cajón Herramientas Standard Derecho</v>
      </c>
      <c r="AL64" s="3" t="str">
        <f>IFERROR(__xludf.DUMMYFUNCTION("""COMPUTED_VALUE"""),"Cajón Herramientas Standard Izquierdo")</f>
        <v>Cajón Herramientas Standard Izquierdo</v>
      </c>
      <c r="AM64" s="3" t="str">
        <f>IFERROR(__xludf.DUMMYFUNCTION("""COMPUTED_VALUE"""),"Cajón Herramientas Corto Derecho")</f>
        <v>Cajón Herramientas Corto Derecho</v>
      </c>
      <c r="AN64" s="3" t="str">
        <f>IFERROR(__xludf.DUMMYFUNCTION("""COMPUTED_VALUE"""),"Cajón Herramientas Corto Izquierdo")</f>
        <v>Cajón Herramientas Corto Izquierdo</v>
      </c>
      <c r="AO64" s="3" t="str">
        <f>IFERROR(__xludf.DUMMYFUNCTION("""COMPUTED_VALUE"""),"Cajón Herramientas Mediano Derecho")</f>
        <v>Cajón Herramientas Mediano Derecho</v>
      </c>
      <c r="AP64" s="3" t="str">
        <f>IFERROR(__xludf.DUMMYFUNCTION("""COMPUTED_VALUE"""),"Cajón Herramientas Mediano Izquierdo")</f>
        <v>Cajón Herramientas Mediano Izquierdo</v>
      </c>
      <c r="AQ64" s="3" t="str">
        <f>IFERROR(__xludf.DUMMYFUNCTION("""COMPUTED_VALUE"""),"Chasis Acoplado 2 Ejes L3000")</f>
        <v>Chasis Acoplado 2 Ejes L3000</v>
      </c>
      <c r="AR64" s="3" t="str">
        <f>IFERROR(__xludf.DUMMYFUNCTION("""COMPUTED_VALUE"""),"Chasis Acoplado 2 Ejes L3750")</f>
        <v>Chasis Acoplado 2 Ejes L3750</v>
      </c>
      <c r="AS64" s="3" t="str">
        <f>IFERROR(__xludf.DUMMYFUNCTION("""COMPUTED_VALUE"""),"Chasis Acoplado 2 Ejes L4000")</f>
        <v>Chasis Acoplado 2 Ejes L4000</v>
      </c>
      <c r="AT64" s="3" t="str">
        <f>IFERROR(__xludf.DUMMYFUNCTION("""COMPUTED_VALUE"""),"Chasis Acoplado 2 Ejes L4000 Reforzado")</f>
        <v>Chasis Acoplado 2 Ejes L4000 Reforzado</v>
      </c>
      <c r="AU64" s="3" t="str">
        <f>IFERROR(__xludf.DUMMYFUNCTION("""COMPUTED_VALUE"""),"Chasis Acoplado 2 Ejes L4750")</f>
        <v>Chasis Acoplado 2 Ejes L4750</v>
      </c>
      <c r="AV64" s="3" t="str">
        <f>IFERROR(__xludf.DUMMYFUNCTION("""COMPUTED_VALUE"""),"Chasis Acoplado 2 Ejes L4750 Reforzado")</f>
        <v>Chasis Acoplado 2 Ejes L4750 Reforzado</v>
      </c>
      <c r="AW64" s="3" t="str">
        <f>IFERROR(__xludf.DUMMYFUNCTION("""COMPUTED_VALUE"""),"Chasis Acoplado 2 Ejes L4750 Reforzado R. Camion")</f>
        <v>Chasis Acoplado 2 Ejes L4750 Reforzado R. Camion</v>
      </c>
      <c r="AX64" s="3" t="str">
        <f>IFERROR(__xludf.DUMMYFUNCTION("""COMPUTED_VALUE"""),"Chasis Acoplado 2 Ejes L5000")</f>
        <v>Chasis Acoplado 2 Ejes L5000</v>
      </c>
      <c r="AY64" s="3" t="str">
        <f>IFERROR(__xludf.DUMMYFUNCTION("""COMPUTED_VALUE"""),"Chasis Acoplado 2 Ejes L5750")</f>
        <v>Chasis Acoplado 2 Ejes L5750</v>
      </c>
      <c r="AZ64" s="3" t="str">
        <f>IFERROR(__xludf.DUMMYFUNCTION("""COMPUTED_VALUE"""),"Chasis Acoplado 2 Ejes L6400")</f>
        <v>Chasis Acoplado 2 Ejes L6400</v>
      </c>
      <c r="BA64" s="3" t="str">
        <f>IFERROR(__xludf.DUMMYFUNCTION("""COMPUTED_VALUE"""),"Chasis Acoplado 2 Ejes L4500")</f>
        <v>Chasis Acoplado 2 Ejes L4500</v>
      </c>
      <c r="BB64" s="3" t="str">
        <f>IFERROR(__xludf.DUMMYFUNCTION("""COMPUTED_VALUE"""),"Chasis Acoplado 1 Eje L1500")</f>
        <v>Chasis Acoplado 1 Eje L1500</v>
      </c>
      <c r="BC64" s="3" t="str">
        <f>IFERROR(__xludf.DUMMYFUNCTION("""COMPUTED_VALUE"""),"Chasis Acoplado 1 Eje L1800")</f>
        <v>Chasis Acoplado 1 Eje L1800</v>
      </c>
      <c r="BD64" s="3" t="str">
        <f>IFERROR(__xludf.DUMMYFUNCTION("""COMPUTED_VALUE"""),"Chasis Acoplado 1 Eje L1400")</f>
        <v>Chasis Acoplado 1 Eje L1400</v>
      </c>
      <c r="BE64" s="3" t="str">
        <f>IFERROR(__xludf.DUMMYFUNCTION("""COMPUTED_VALUE"""),"Chasis Acoplado Balancin L3000")</f>
        <v>Chasis Acoplado Balancin L3000</v>
      </c>
      <c r="BF64" s="3" t="str">
        <f>IFERROR(__xludf.DUMMYFUNCTION("""COMPUTED_VALUE"""),"Chasis Acoplado Balancin L3000 Lanza Corta")</f>
        <v>Chasis Acoplado Balancin L3000 Lanza Corta</v>
      </c>
      <c r="BG64" s="3" t="str">
        <f>IFERROR(__xludf.DUMMYFUNCTION("""COMPUTED_VALUE"""),"Chasis Acoplado Balancin L2000 Lanza Corta")</f>
        <v>Chasis Acoplado Balancin L2000 Lanza Corta</v>
      </c>
      <c r="BH64" s="3" t="str">
        <f>IFERROR(__xludf.DUMMYFUNCTION("""COMPUTED_VALUE"""),"Chasis Acoplado Balancin L3200 Lanza Corta")</f>
        <v>Chasis Acoplado Balancin L3200 Lanza Corta</v>
      </c>
      <c r="BI64" s="3" t="str">
        <f>IFERROR(__xludf.DUMMYFUNCTION("""COMPUTED_VALUE"""),"Chasis Acoplado Balancin L3200 Lanza Recta")</f>
        <v>Chasis Acoplado Balancin L3200 Lanza Recta</v>
      </c>
      <c r="BJ64" s="3" t="str">
        <f>IFERROR(__xludf.DUMMYFUNCTION("""COMPUTED_VALUE"""),"Chasis Acoplado Balancin L3200 Bajo Lanza Recta")</f>
        <v>Chasis Acoplado Balancin L3200 Bajo Lanza Recta</v>
      </c>
      <c r="BK64" s="3" t="str">
        <f>IFERROR(__xludf.DUMMYFUNCTION("""COMPUTED_VALUE"""),"Tanque Plastico Horizontal 750 Lts")</f>
        <v>Tanque Plastico Horizontal 750 Lts</v>
      </c>
      <c r="BL64" s="3" t="str">
        <f>IFERROR(__xludf.DUMMYFUNCTION("""COMPUTED_VALUE"""),"Medio Tanque Plastico Superior 700 Lts")</f>
        <v>Medio Tanque Plastico Superior 700 Lts</v>
      </c>
      <c r="BM64" s="3" t="str">
        <f>IFERROR(__xludf.DUMMYFUNCTION("""COMPUTED_VALUE"""),"Paquete de Elasticos 50 mm x 8 mm x 10 Hojas L850")</f>
        <v>Paquete de Elasticos 50 mm x 8 mm x 10 Hojas L850</v>
      </c>
      <c r="BN64" s="3" t="str">
        <f>IFERROR(__xludf.DUMMYFUNCTION("""COMPUTED_VALUE"""),"Paquete de Elasticos 63 mm x 8 mm x 10 Hojas L950")</f>
        <v>Paquete de Elasticos 63 mm x 8 mm x 10 Hojas L950</v>
      </c>
      <c r="BO64" s="3" t="str">
        <f>IFERROR(__xludf.DUMMYFUNCTION("""COMPUTED_VALUE"""),"Paquete de Elasticos 50 mm x 7 mm x 9 Hojas L850")</f>
        <v>Paquete de Elasticos 50 mm x 7 mm x 9 Hojas L850</v>
      </c>
      <c r="BP64" s="3" t="str">
        <f>IFERROR(__xludf.DUMMYFUNCTION("""COMPUTED_VALUE"""),"Paquete de Elasticos 63 mm x 8 mm x 8 Hojas L850")</f>
        <v>Paquete de Elasticos 63 mm x 8 mm x 8 Hojas L850</v>
      </c>
      <c r="BQ64" s="3" t="str">
        <f>IFERROR(__xludf.DUMMYFUNCTION("""COMPUTED_VALUE"""),"Paquete de Elasticos 63 mm x 10 mm x 10 Hojas L950")</f>
        <v>Paquete de Elasticos 63 mm x 10 mm x 10 Hojas L950</v>
      </c>
      <c r="BR64" s="3" t="str">
        <f>IFERROR(__xludf.DUMMYFUNCTION("""COMPUTED_VALUE"""),"Paquete de Elasticos 63 mm x 10 mm x 13 Hojas L975")</f>
        <v>Paquete de Elasticos 63 mm x 10 mm x 13 Hojas L975</v>
      </c>
      <c r="BS64" s="3" t="str">
        <f>IFERROR(__xludf.DUMMYFUNCTION("""COMPUTED_VALUE"""),"Paquete de Elasticos 50 mm x 7 mm x 9 Hojas L650")</f>
        <v>Paquete de Elasticos 50 mm x 7 mm x 9 Hojas L650</v>
      </c>
      <c r="BT64" s="3" t="str">
        <f>IFERROR(__xludf.DUMMYFUNCTION("""COMPUTED_VALUE"""),"Eje Acoplado 2"" x 1600 (06/08) Agrícola Centro 92")</f>
        <v>Eje Acoplado 2" x 1600 (06/08) Agrícola Centro 92</v>
      </c>
      <c r="BU64" s="3" t="str">
        <f>IFERROR(__xludf.DUMMYFUNCTION("""COMPUTED_VALUE"""),"Eje Acoplado 2 1/2"" x 1600 (07/09) Agrícola Centro 92")</f>
        <v>Eje Acoplado 2 1/2" x 1600 (07/09) Agrícola Centro 92</v>
      </c>
      <c r="BV64" s="3" t="str">
        <f>IFERROR(__xludf.DUMMYFUNCTION("""COMPUTED_VALUE"""),"Eje Acoplado 2 1/2"" x 1600 (09/11) Agrícola Centro 150")</f>
        <v>Eje Acoplado 2 1/2" x 1600 (09/11) Agrícola Centro 150</v>
      </c>
      <c r="BW64" s="3" t="str">
        <f>IFERROR(__xludf.DUMMYFUNCTION("""COMPUTED_VALUE"""),"Eje Acoplado 3"" x 1600 (10/13) Agrícola Centro 150")</f>
        <v>Eje Acoplado 3" x 1600 (10/13) Agrícola Centro 150</v>
      </c>
      <c r="BX64" s="3" t="str">
        <f>IFERROR(__xludf.DUMMYFUNCTION("""COMPUTED_VALUE"""),"Eje Acoplado 2 1/2"" x 2140 (07/09) Agrícola Centro 92")</f>
        <v>Eje Acoplado 2 1/2" x 2140 (07/09) Agrícola Centro 92</v>
      </c>
      <c r="BY64" s="3" t="str">
        <f>IFERROR(__xludf.DUMMYFUNCTION("""COMPUTED_VALUE"""),"Eje Acoplado 2"" x 1400 (06/08) Agrícola Centro 92")</f>
        <v>Eje Acoplado 2" x 1400 (06/08) Agrícola Centro 92</v>
      </c>
      <c r="BZ64" s="3" t="str">
        <f>IFERROR(__xludf.DUMMYFUNCTION("""COMPUTED_VALUE"""),"Eje Acoplado 2 1/2"" x 1500 (07/09) Agrícola Centro 92")</f>
        <v>Eje Acoplado 2 1/2" x 1500 (07/09) Agrícola Centro 92</v>
      </c>
      <c r="CA64" s="3" t="str">
        <f>IFERROR(__xludf.DUMMYFUNCTION("""COMPUTED_VALUE"""),"Eje Acoplado 2 1/2"" x 2000 (07/09) Agrícola Centro 92")</f>
        <v>Eje Acoplado 2 1/2" x 2000 (07/09) Agrícola Centro 92</v>
      </c>
      <c r="CB64" s="3" t="str">
        <f>IFERROR(__xludf.DUMMYFUNCTION("""COMPUTED_VALUE"""),"Eje Acoplado 2 1/2"" x 2100 (09/11) Agrícola Centro 150")</f>
        <v>Eje Acoplado 2 1/2" x 2100 (09/11) Agrícola Centro 150</v>
      </c>
      <c r="CC64" s="3" t="str">
        <f>IFERROR(__xludf.DUMMYFUNCTION("""COMPUTED_VALUE"""),"Llanta 16"" Simple Agrícola Centro 92")</f>
        <v>Llanta 16" Simple Agrícola Centro 92</v>
      </c>
      <c r="CD64" s="3" t="str">
        <f>IFERROR(__xludf.DUMMYFUNCTION("""COMPUTED_VALUE"""),"Llanta 16"" Dual Agrícola Centro 92")</f>
        <v>Llanta 16" Dual Agrícola Centro 92</v>
      </c>
      <c r="CE64" s="3" t="str">
        <f>IFERROR(__xludf.DUMMYFUNCTION("""COMPUTED_VALUE"""),"Llanta 17"" Simple Agrícola Centro 92")</f>
        <v>Llanta 17" Simple Agrícola Centro 92</v>
      </c>
      <c r="CF64" s="3" t="str">
        <f>IFERROR(__xludf.DUMMYFUNCTION("""COMPUTED_VALUE"""),"Llanta 17"" Dual Agrícola Centro 92")</f>
        <v>Llanta 17" Dual Agrícola Centro 92</v>
      </c>
      <c r="CG64" s="3" t="str">
        <f>IFERROR(__xludf.DUMMYFUNCTION("""COMPUTED_VALUE"""),"Llanta 16"" Dual Agrícola Centro 152")</f>
        <v>Llanta 16" Dual Agrícola Centro 152</v>
      </c>
      <c r="CH64" s="3" t="str">
        <f>IFERROR(__xludf.DUMMYFUNCTION("""COMPUTED_VALUE"""),"Llanta 17"" Dual Agrícola Centro 152")</f>
        <v>Llanta 17" Dual Agrícola Centro 152</v>
      </c>
      <c r="CI64" s="3" t="str">
        <f>IFERROR(__xludf.DUMMYFUNCTION("""COMPUTED_VALUE"""),"Eje Acoplado 2"" x 1600 (05/07) Agrícola Centro 92")</f>
        <v>Eje Acoplado 2" x 1600 (05/07) Agrícola Centro 92</v>
      </c>
      <c r="CJ64" s="3" t="str">
        <f>IFERROR(__xludf.DUMMYFUNCTION("""COMPUTED_VALUE"""),"Paquete de Elásticos 50 mm x 8 mm x 12 Hojas")</f>
        <v>Paquete de Elásticos 50 mm x 8 mm x 12 Hojas</v>
      </c>
      <c r="CK64" s="3" t="str">
        <f>IFERROR(__xludf.DUMMYFUNCTION("""COMPUTED_VALUE"""),"Plataforma Playo 4.00 x 1.90 x 0.45 Lateral Simple Baranda Fija")</f>
        <v>Plataforma Playo 4.00 x 1.90 x 0.45 Lateral Simple Baranda Fija</v>
      </c>
      <c r="CL64" s="3" t="str">
        <f>IFERROR(__xludf.DUMMYFUNCTION("""COMPUTED_VALUE"""),"Plataforma Playo 4.00 x 1.90 x 0.45 Lateral Simple Baranda Ventilada")</f>
        <v>Plataforma Playo 4.00 x 1.90 x 0.45 Lateral Simple Baranda Ventilada</v>
      </c>
      <c r="CM64" s="3" t="str">
        <f>IFERROR(__xludf.DUMMYFUNCTION("""COMPUTED_VALUE"""),"Plataforma Playo 4.00 x 1.90 x 0.45 Lateral Doble Baranda Ventilada")</f>
        <v>Plataforma Playo 4.00 x 1.90 x 0.45 Lateral Doble Baranda Ventilada</v>
      </c>
      <c r="CN64" s="3" t="str">
        <f>IFERROR(__xludf.DUMMYFUNCTION("""COMPUTED_VALUE"""),"Plataforma Playo 4.00 x 1.90 x 0.45 Lateral Doble Baranda Fija")</f>
        <v>Plataforma Playo 4.00 x 1.90 x 0.45 Lateral Doble Baranda Fija</v>
      </c>
      <c r="CO64" s="3" t="str">
        <f>IFERROR(__xludf.DUMMYFUNCTION("""COMPUTED_VALUE"""),"Plataforma Playo 4.00 x 1.90 x 0.72 Lateral Simple Baranda Fija")</f>
        <v>Plataforma Playo 4.00 x 1.90 x 0.72 Lateral Simple Baranda Fija</v>
      </c>
      <c r="CP64" s="3" t="str">
        <f>IFERROR(__xludf.DUMMYFUNCTION("""COMPUTED_VALUE"""),"Plataforma Playo 4.00 x 1.90 x 0.72 Lateral Doble Baranda Fija")</f>
        <v>Plataforma Playo 4.00 x 1.90 x 0.72 Lateral Doble Baranda Fija</v>
      </c>
      <c r="CQ64" s="3" t="str">
        <f>IFERROR(__xludf.DUMMYFUNCTION("""COMPUTED_VALUE"""),"Plataforma Playo 5.00 x 2.20 x 0.60 Lateral Doble Trasera Rebatible")</f>
        <v>Plataforma Playo 5.00 x 2.20 x 0.60 Lateral Doble Trasera Rebatible</v>
      </c>
      <c r="CR64" s="3" t="str">
        <f>IFERROR(__xludf.DUMMYFUNCTION("""COMPUTED_VALUE"""),"Plataforma Playo 5.00 x 2.20 x 0.60 Lateral Doble Baranda Fija C/Toldo")</f>
        <v>Plataforma Playo 5.00 x 2.20 x 0.60 Lateral Doble Baranda Fija C/Toldo</v>
      </c>
      <c r="CS64" s="3" t="str">
        <f>IFERROR(__xludf.DUMMYFUNCTION("""COMPUTED_VALUE"""),"Plataforma Playo 3.00 x 1.90 x 0.45 Lateral Simple Baranda Fija")</f>
        <v>Plataforma Playo 3.00 x 1.90 x 0.45 Lateral Simple Baranda Fija</v>
      </c>
      <c r="CT64" s="3" t="str">
        <f>IFERROR(__xludf.DUMMYFUNCTION("""COMPUTED_VALUE"""),"Plataforma Playo 3.00 x 1.90 x 0.45 Lateral Simple Baranda Ventilada")</f>
        <v>Plataforma Playo 3.00 x 1.90 x 0.45 Lateral Simple Baranda Ventilada</v>
      </c>
      <c r="CU64" s="3" t="str">
        <f>IFERROR(__xludf.DUMMYFUNCTION("""COMPUTED_VALUE"""),"Plataforma Playo 2.00 x 1.90 x 0.45 Lateral Simple Baranda Fija")</f>
        <v>Plataforma Playo 2.00 x 1.90 x 0.45 Lateral Simple Baranda Fija</v>
      </c>
      <c r="CV64" s="3" t="str">
        <f>IFERROR(__xludf.DUMMYFUNCTION("""COMPUTED_VALUE"""),"Plataforma Playo 5.00 x 1.90 x 0.60 Lateral Doble Baranda Fija")</f>
        <v>Plataforma Playo 5.00 x 1.90 x 0.60 Lateral Doble Baranda Fija</v>
      </c>
      <c r="CW64" s="3" t="str">
        <f>IFERROR(__xludf.DUMMYFUNCTION("""COMPUTED_VALUE"""),"Plataforma Playo 6.40 x 2.70 x 0.72 Lateral Doble Baranda Fija")</f>
        <v>Plataforma Playo 6.40 x 2.70 x 0.72 Lateral Doble Baranda Fija</v>
      </c>
      <c r="CX64" s="3" t="str">
        <f>IFERROR(__xludf.DUMMYFUNCTION("""COMPUTED_VALUE"""),"Chasis Acoplado Balancin L4000 Lanza Recta")</f>
        <v>Chasis Acoplado Balancin L4000 Lanza Recta</v>
      </c>
      <c r="CY64" s="3" t="str">
        <f>IFERROR(__xludf.DUMMYFUNCTION("""COMPUTED_VALUE"""),"Llanta simple Agrícola 750x20 centro 152")</f>
        <v>Llanta simple Agrícola 750x20 centro 152</v>
      </c>
      <c r="CZ64" s="3" t="str">
        <f>IFERROR(__xludf.DUMMYFUNCTION("""COMPUTED_VALUE"""),"Cajón de Herramientas Mediano adelante")</f>
        <v>Cajón de Herramientas Mediano adelante</v>
      </c>
      <c r="DA64" s="3" t="str">
        <f>IFERROR(__xludf.DUMMYFUNCTION("""COMPUTED_VALUE"""),"Llanta 15"" Simple Agrícola Centro 92")</f>
        <v>Llanta 15" Simple Agrícola Centro 92</v>
      </c>
    </row>
    <row r="65" hidden="1">
      <c r="A65" s="38">
        <f t="shared" si="1"/>
        <v>64</v>
      </c>
      <c r="B65" s="38">
        <f>IF(F65="","",SUMIF(Prearmados!E:E,F65,Prearmados!A:A))</f>
        <v>9</v>
      </c>
      <c r="C65" s="38">
        <f>IF(F65="","",SUMIF(Productos!E:E,G65,Productos!A:A))</f>
        <v>76</v>
      </c>
      <c r="D65" s="83" t="str">
        <f t="array" ref="D65">IF(OR(F65="",F65="Seleccionar.."),"",XLOOKUP(F65,Prearmados!E:E,Prearmados!F:F,"",0,1))</f>
        <v>Acoplados Rurales</v>
      </c>
      <c r="E65" s="83">
        <f>IF(H65="","",SUMIF(Precio_Productos!K:K,C65,Precio_Productos!J:J)*H65)</f>
        <v>2558847</v>
      </c>
      <c r="F65" s="84" t="s">
        <v>332</v>
      </c>
      <c r="G65" s="84" t="s">
        <v>102</v>
      </c>
      <c r="H65" s="13">
        <v>1.0</v>
      </c>
      <c r="P65" s="3" t="str">
        <f>IFERROR(__xludf.DUMMYFUNCTION("IF(OR(F65="""",F65=""Seleccionar..""),"""",TRANSPOSE(FILTER(Productos!E:E,(Productos!F:F=D65)+(Productos!F:F=XLOOKUP(D65,Implementos!B:B,Implementos!C:C,""-"",0,1)))))"),"Tanque Combustible 1100 lts Bajo")</f>
        <v>Tanque Combustible 1100 lts Bajo</v>
      </c>
      <c r="Q65" s="3" t="str">
        <f>IFERROR(__xludf.DUMMYFUNCTION("""COMPUTED_VALUE"""),"Tanque Combustible 1500 lts Standard")</f>
        <v>Tanque Combustible 1500 lts Standard</v>
      </c>
      <c r="R65" s="3" t="str">
        <f>IFERROR(__xludf.DUMMYFUNCTION("""COMPUTED_VALUE"""),"Tanque Combustible 1800 lts Standard")</f>
        <v>Tanque Combustible 1800 lts Standard</v>
      </c>
      <c r="S65" s="3" t="str">
        <f>IFERROR(__xludf.DUMMYFUNCTION("""COMPUTED_VALUE"""),"Tanque Combustible 2000 lts Bajo")</f>
        <v>Tanque Combustible 2000 lts Bajo</v>
      </c>
      <c r="T65" s="3" t="str">
        <f>IFERROR(__xludf.DUMMYFUNCTION("""COMPUTED_VALUE"""),"Tanque Combustible 2000 lts Standard")</f>
        <v>Tanque Combustible 2000 lts Standard</v>
      </c>
      <c r="U65" s="3" t="str">
        <f>IFERROR(__xludf.DUMMYFUNCTION("""COMPUTED_VALUE"""),"Tanque Combustible 3000 lts Standard")</f>
        <v>Tanque Combustible 3000 lts Standard</v>
      </c>
      <c r="V65" s="3" t="str">
        <f>IFERROR(__xludf.DUMMYFUNCTION("""COMPUTED_VALUE"""),"Tanque Combustible 3000 lts Alto")</f>
        <v>Tanque Combustible 3000 lts Alto</v>
      </c>
      <c r="W65" s="3" t="str">
        <f>IFERROR(__xludf.DUMMYFUNCTION("""COMPUTED_VALUE"""),"Tanque Combustible 4000 lts Standard")</f>
        <v>Tanque Combustible 4000 lts Standard</v>
      </c>
      <c r="X65" s="3" t="str">
        <f>IFERROR(__xludf.DUMMYFUNCTION("""COMPUTED_VALUE"""),"Tanque Combustible 5000 lts Standard")</f>
        <v>Tanque Combustible 5000 lts Standard</v>
      </c>
      <c r="Y65" s="3" t="str">
        <f>IFERROR(__xludf.DUMMYFUNCTION("""COMPUTED_VALUE"""),"Tanque Combustible 5000 lts Alto")</f>
        <v>Tanque Combustible 5000 lts Alto</v>
      </c>
      <c r="Z65" s="3" t="str">
        <f>IFERROR(__xludf.DUMMYFUNCTION("""COMPUTED_VALUE"""),"Tanque Combustible 2000 lts Alto")</f>
        <v>Tanque Combustible 2000 lts Alto</v>
      </c>
      <c r="AA65" s="3" t="str">
        <f>IFERROR(__xludf.DUMMYFUNCTION("""COMPUTED_VALUE"""),"Tanque Combustible 4000 lts Alto")</f>
        <v>Tanque Combustible 4000 lts Alto</v>
      </c>
      <c r="AB65" s="3" t="str">
        <f>IFERROR(__xludf.DUMMYFUNCTION("""COMPUTED_VALUE"""),"Baulera Standard - 750")</f>
        <v>Baulera Standard - 750</v>
      </c>
      <c r="AC65" s="3" t="str">
        <f>IFERROR(__xludf.DUMMYFUNCTION("""COMPUTED_VALUE"""),"Baulera Standard - 1700 - C/Laterales")</f>
        <v>Baulera Standard - 1700 - C/Laterales</v>
      </c>
      <c r="AD65" s="3" t="str">
        <f>IFERROR(__xludf.DUMMYFUNCTION("""COMPUTED_VALUE"""),"Baulera Standard - 1000 - C/Laterales")</f>
        <v>Baulera Standard - 1000 - C/Laterales</v>
      </c>
      <c r="AE65" s="3" t="str">
        <f>IFERROR(__xludf.DUMMYFUNCTION("""COMPUTED_VALUE"""),"Baulera Standard - 750 - C/Laterales")</f>
        <v>Baulera Standard - 750 - C/Laterales</v>
      </c>
      <c r="AF65" s="3" t="str">
        <f>IFERROR(__xludf.DUMMYFUNCTION("""COMPUTED_VALUE"""),"Baulera Standard - 1300 - C/Laterales")</f>
        <v>Baulera Standard - 1300 - C/Laterales</v>
      </c>
      <c r="AG65" s="3" t="str">
        <f>IFERROR(__xludf.DUMMYFUNCTION("""COMPUTED_VALUE"""),"Baulera Alta - 750")</f>
        <v>Baulera Alta - 750</v>
      </c>
      <c r="AH65" s="3" t="str">
        <f>IFERROR(__xludf.DUMMYFUNCTION("""COMPUTED_VALUE"""),"Baulera Alta - 1500 - C/Laterales")</f>
        <v>Baulera Alta - 1500 - C/Laterales</v>
      </c>
      <c r="AI65" s="3" t="str">
        <f>IFERROR(__xludf.DUMMYFUNCTION("""COMPUTED_VALUE"""),"Baulera Extendida 1700 - C/Laterales")</f>
        <v>Baulera Extendida 1700 - C/Laterales</v>
      </c>
      <c r="AJ65" s="3" t="str">
        <f>IFERROR(__xludf.DUMMYFUNCTION("""COMPUTED_VALUE"""),"Taller Móvil - 1500 x 1500 x 1700")</f>
        <v>Taller Móvil - 1500 x 1500 x 1700</v>
      </c>
      <c r="AK65" s="3" t="str">
        <f>IFERROR(__xludf.DUMMYFUNCTION("""COMPUTED_VALUE"""),"Cajón Herramientas Standard Derecho")</f>
        <v>Cajón Herramientas Standard Derecho</v>
      </c>
      <c r="AL65" s="3" t="str">
        <f>IFERROR(__xludf.DUMMYFUNCTION("""COMPUTED_VALUE"""),"Cajón Herramientas Standard Izquierdo")</f>
        <v>Cajón Herramientas Standard Izquierdo</v>
      </c>
      <c r="AM65" s="3" t="str">
        <f>IFERROR(__xludf.DUMMYFUNCTION("""COMPUTED_VALUE"""),"Cajón Herramientas Corto Derecho")</f>
        <v>Cajón Herramientas Corto Derecho</v>
      </c>
      <c r="AN65" s="3" t="str">
        <f>IFERROR(__xludf.DUMMYFUNCTION("""COMPUTED_VALUE"""),"Cajón Herramientas Corto Izquierdo")</f>
        <v>Cajón Herramientas Corto Izquierdo</v>
      </c>
      <c r="AO65" s="3" t="str">
        <f>IFERROR(__xludf.DUMMYFUNCTION("""COMPUTED_VALUE"""),"Cajón Herramientas Mediano Derecho")</f>
        <v>Cajón Herramientas Mediano Derecho</v>
      </c>
      <c r="AP65" s="3" t="str">
        <f>IFERROR(__xludf.DUMMYFUNCTION("""COMPUTED_VALUE"""),"Cajón Herramientas Mediano Izquierdo")</f>
        <v>Cajón Herramientas Mediano Izquierdo</v>
      </c>
      <c r="AQ65" s="3" t="str">
        <f>IFERROR(__xludf.DUMMYFUNCTION("""COMPUTED_VALUE"""),"Chasis Acoplado 2 Ejes L3000")</f>
        <v>Chasis Acoplado 2 Ejes L3000</v>
      </c>
      <c r="AR65" s="3" t="str">
        <f>IFERROR(__xludf.DUMMYFUNCTION("""COMPUTED_VALUE"""),"Chasis Acoplado 2 Ejes L3750")</f>
        <v>Chasis Acoplado 2 Ejes L3750</v>
      </c>
      <c r="AS65" s="3" t="str">
        <f>IFERROR(__xludf.DUMMYFUNCTION("""COMPUTED_VALUE"""),"Chasis Acoplado 2 Ejes L4000")</f>
        <v>Chasis Acoplado 2 Ejes L4000</v>
      </c>
      <c r="AT65" s="3" t="str">
        <f>IFERROR(__xludf.DUMMYFUNCTION("""COMPUTED_VALUE"""),"Chasis Acoplado 2 Ejes L4000 Reforzado")</f>
        <v>Chasis Acoplado 2 Ejes L4000 Reforzado</v>
      </c>
      <c r="AU65" s="3" t="str">
        <f>IFERROR(__xludf.DUMMYFUNCTION("""COMPUTED_VALUE"""),"Chasis Acoplado 2 Ejes L4750")</f>
        <v>Chasis Acoplado 2 Ejes L4750</v>
      </c>
      <c r="AV65" s="3" t="str">
        <f>IFERROR(__xludf.DUMMYFUNCTION("""COMPUTED_VALUE"""),"Chasis Acoplado 2 Ejes L4750 Reforzado")</f>
        <v>Chasis Acoplado 2 Ejes L4750 Reforzado</v>
      </c>
      <c r="AW65" s="3" t="str">
        <f>IFERROR(__xludf.DUMMYFUNCTION("""COMPUTED_VALUE"""),"Chasis Acoplado 2 Ejes L4750 Reforzado R. Camion")</f>
        <v>Chasis Acoplado 2 Ejes L4750 Reforzado R. Camion</v>
      </c>
      <c r="AX65" s="3" t="str">
        <f>IFERROR(__xludf.DUMMYFUNCTION("""COMPUTED_VALUE"""),"Chasis Acoplado 2 Ejes L5000")</f>
        <v>Chasis Acoplado 2 Ejes L5000</v>
      </c>
      <c r="AY65" s="3" t="str">
        <f>IFERROR(__xludf.DUMMYFUNCTION("""COMPUTED_VALUE"""),"Chasis Acoplado 2 Ejes L5750")</f>
        <v>Chasis Acoplado 2 Ejes L5750</v>
      </c>
      <c r="AZ65" s="3" t="str">
        <f>IFERROR(__xludf.DUMMYFUNCTION("""COMPUTED_VALUE"""),"Chasis Acoplado 2 Ejes L6400")</f>
        <v>Chasis Acoplado 2 Ejes L6400</v>
      </c>
      <c r="BA65" s="3" t="str">
        <f>IFERROR(__xludf.DUMMYFUNCTION("""COMPUTED_VALUE"""),"Chasis Acoplado 2 Ejes L4500")</f>
        <v>Chasis Acoplado 2 Ejes L4500</v>
      </c>
      <c r="BB65" s="3" t="str">
        <f>IFERROR(__xludf.DUMMYFUNCTION("""COMPUTED_VALUE"""),"Chasis Acoplado 1 Eje L1500")</f>
        <v>Chasis Acoplado 1 Eje L1500</v>
      </c>
      <c r="BC65" s="3" t="str">
        <f>IFERROR(__xludf.DUMMYFUNCTION("""COMPUTED_VALUE"""),"Chasis Acoplado 1 Eje L1800")</f>
        <v>Chasis Acoplado 1 Eje L1800</v>
      </c>
      <c r="BD65" s="3" t="str">
        <f>IFERROR(__xludf.DUMMYFUNCTION("""COMPUTED_VALUE"""),"Chasis Acoplado 1 Eje L1400")</f>
        <v>Chasis Acoplado 1 Eje L1400</v>
      </c>
      <c r="BE65" s="3" t="str">
        <f>IFERROR(__xludf.DUMMYFUNCTION("""COMPUTED_VALUE"""),"Chasis Acoplado Balancin L3000")</f>
        <v>Chasis Acoplado Balancin L3000</v>
      </c>
      <c r="BF65" s="3" t="str">
        <f>IFERROR(__xludf.DUMMYFUNCTION("""COMPUTED_VALUE"""),"Chasis Acoplado Balancin L3000 Lanza Corta")</f>
        <v>Chasis Acoplado Balancin L3000 Lanza Corta</v>
      </c>
      <c r="BG65" s="3" t="str">
        <f>IFERROR(__xludf.DUMMYFUNCTION("""COMPUTED_VALUE"""),"Chasis Acoplado Balancin L2000 Lanza Corta")</f>
        <v>Chasis Acoplado Balancin L2000 Lanza Corta</v>
      </c>
      <c r="BH65" s="3" t="str">
        <f>IFERROR(__xludf.DUMMYFUNCTION("""COMPUTED_VALUE"""),"Chasis Acoplado Balancin L3200 Lanza Corta")</f>
        <v>Chasis Acoplado Balancin L3200 Lanza Corta</v>
      </c>
      <c r="BI65" s="3" t="str">
        <f>IFERROR(__xludf.DUMMYFUNCTION("""COMPUTED_VALUE"""),"Chasis Acoplado Balancin L3200 Lanza Recta")</f>
        <v>Chasis Acoplado Balancin L3200 Lanza Recta</v>
      </c>
      <c r="BJ65" s="3" t="str">
        <f>IFERROR(__xludf.DUMMYFUNCTION("""COMPUTED_VALUE"""),"Chasis Acoplado Balancin L3200 Bajo Lanza Recta")</f>
        <v>Chasis Acoplado Balancin L3200 Bajo Lanza Recta</v>
      </c>
      <c r="BK65" s="3" t="str">
        <f>IFERROR(__xludf.DUMMYFUNCTION("""COMPUTED_VALUE"""),"Tanque Plastico Horizontal 750 Lts")</f>
        <v>Tanque Plastico Horizontal 750 Lts</v>
      </c>
      <c r="BL65" s="3" t="str">
        <f>IFERROR(__xludf.DUMMYFUNCTION("""COMPUTED_VALUE"""),"Medio Tanque Plastico Superior 700 Lts")</f>
        <v>Medio Tanque Plastico Superior 700 Lts</v>
      </c>
      <c r="BM65" s="3" t="str">
        <f>IFERROR(__xludf.DUMMYFUNCTION("""COMPUTED_VALUE"""),"Paquete de Elasticos 50 mm x 8 mm x 10 Hojas L850")</f>
        <v>Paquete de Elasticos 50 mm x 8 mm x 10 Hojas L850</v>
      </c>
      <c r="BN65" s="3" t="str">
        <f>IFERROR(__xludf.DUMMYFUNCTION("""COMPUTED_VALUE"""),"Paquete de Elasticos 63 mm x 8 mm x 10 Hojas L950")</f>
        <v>Paquete de Elasticos 63 mm x 8 mm x 10 Hojas L950</v>
      </c>
      <c r="BO65" s="3" t="str">
        <f>IFERROR(__xludf.DUMMYFUNCTION("""COMPUTED_VALUE"""),"Paquete de Elasticos 50 mm x 7 mm x 9 Hojas L850")</f>
        <v>Paquete de Elasticos 50 mm x 7 mm x 9 Hojas L850</v>
      </c>
      <c r="BP65" s="3" t="str">
        <f>IFERROR(__xludf.DUMMYFUNCTION("""COMPUTED_VALUE"""),"Paquete de Elasticos 63 mm x 8 mm x 8 Hojas L850")</f>
        <v>Paquete de Elasticos 63 mm x 8 mm x 8 Hojas L850</v>
      </c>
      <c r="BQ65" s="3" t="str">
        <f>IFERROR(__xludf.DUMMYFUNCTION("""COMPUTED_VALUE"""),"Paquete de Elasticos 63 mm x 10 mm x 10 Hojas L950")</f>
        <v>Paquete de Elasticos 63 mm x 10 mm x 10 Hojas L950</v>
      </c>
      <c r="BR65" s="3" t="str">
        <f>IFERROR(__xludf.DUMMYFUNCTION("""COMPUTED_VALUE"""),"Paquete de Elasticos 63 mm x 10 mm x 13 Hojas L975")</f>
        <v>Paquete de Elasticos 63 mm x 10 mm x 13 Hojas L975</v>
      </c>
      <c r="BS65" s="3" t="str">
        <f>IFERROR(__xludf.DUMMYFUNCTION("""COMPUTED_VALUE"""),"Paquete de Elasticos 50 mm x 7 mm x 9 Hojas L650")</f>
        <v>Paquete de Elasticos 50 mm x 7 mm x 9 Hojas L650</v>
      </c>
      <c r="BT65" s="3" t="str">
        <f>IFERROR(__xludf.DUMMYFUNCTION("""COMPUTED_VALUE"""),"Eje Acoplado 2"" x 1600 (06/08) Agrícola Centro 92")</f>
        <v>Eje Acoplado 2" x 1600 (06/08) Agrícola Centro 92</v>
      </c>
      <c r="BU65" s="3" t="str">
        <f>IFERROR(__xludf.DUMMYFUNCTION("""COMPUTED_VALUE"""),"Eje Acoplado 2 1/2"" x 1600 (07/09) Agrícola Centro 92")</f>
        <v>Eje Acoplado 2 1/2" x 1600 (07/09) Agrícola Centro 92</v>
      </c>
      <c r="BV65" s="3" t="str">
        <f>IFERROR(__xludf.DUMMYFUNCTION("""COMPUTED_VALUE"""),"Eje Acoplado 2 1/2"" x 1600 (09/11) Agrícola Centro 150")</f>
        <v>Eje Acoplado 2 1/2" x 1600 (09/11) Agrícola Centro 150</v>
      </c>
      <c r="BW65" s="3" t="str">
        <f>IFERROR(__xludf.DUMMYFUNCTION("""COMPUTED_VALUE"""),"Eje Acoplado 3"" x 1600 (10/13) Agrícola Centro 150")</f>
        <v>Eje Acoplado 3" x 1600 (10/13) Agrícola Centro 150</v>
      </c>
      <c r="BX65" s="3" t="str">
        <f>IFERROR(__xludf.DUMMYFUNCTION("""COMPUTED_VALUE"""),"Eje Acoplado 2 1/2"" x 2140 (07/09) Agrícola Centro 92")</f>
        <v>Eje Acoplado 2 1/2" x 2140 (07/09) Agrícola Centro 92</v>
      </c>
      <c r="BY65" s="3" t="str">
        <f>IFERROR(__xludf.DUMMYFUNCTION("""COMPUTED_VALUE"""),"Eje Acoplado 2"" x 1400 (06/08) Agrícola Centro 92")</f>
        <v>Eje Acoplado 2" x 1400 (06/08) Agrícola Centro 92</v>
      </c>
      <c r="BZ65" s="3" t="str">
        <f>IFERROR(__xludf.DUMMYFUNCTION("""COMPUTED_VALUE"""),"Eje Acoplado 2 1/2"" x 1500 (07/09) Agrícola Centro 92")</f>
        <v>Eje Acoplado 2 1/2" x 1500 (07/09) Agrícola Centro 92</v>
      </c>
      <c r="CA65" s="3" t="str">
        <f>IFERROR(__xludf.DUMMYFUNCTION("""COMPUTED_VALUE"""),"Eje Acoplado 2 1/2"" x 2000 (07/09) Agrícola Centro 92")</f>
        <v>Eje Acoplado 2 1/2" x 2000 (07/09) Agrícola Centro 92</v>
      </c>
      <c r="CB65" s="3" t="str">
        <f>IFERROR(__xludf.DUMMYFUNCTION("""COMPUTED_VALUE"""),"Eje Acoplado 2 1/2"" x 2100 (09/11) Agrícola Centro 150")</f>
        <v>Eje Acoplado 2 1/2" x 2100 (09/11) Agrícola Centro 150</v>
      </c>
      <c r="CC65" s="3" t="str">
        <f>IFERROR(__xludf.DUMMYFUNCTION("""COMPUTED_VALUE"""),"Llanta 16"" Simple Agrícola Centro 92")</f>
        <v>Llanta 16" Simple Agrícola Centro 92</v>
      </c>
      <c r="CD65" s="3" t="str">
        <f>IFERROR(__xludf.DUMMYFUNCTION("""COMPUTED_VALUE"""),"Llanta 16"" Dual Agrícola Centro 92")</f>
        <v>Llanta 16" Dual Agrícola Centro 92</v>
      </c>
      <c r="CE65" s="3" t="str">
        <f>IFERROR(__xludf.DUMMYFUNCTION("""COMPUTED_VALUE"""),"Llanta 17"" Simple Agrícola Centro 92")</f>
        <v>Llanta 17" Simple Agrícola Centro 92</v>
      </c>
      <c r="CF65" s="3" t="str">
        <f>IFERROR(__xludf.DUMMYFUNCTION("""COMPUTED_VALUE"""),"Llanta 17"" Dual Agrícola Centro 92")</f>
        <v>Llanta 17" Dual Agrícola Centro 92</v>
      </c>
      <c r="CG65" s="3" t="str">
        <f>IFERROR(__xludf.DUMMYFUNCTION("""COMPUTED_VALUE"""),"Llanta 16"" Dual Agrícola Centro 152")</f>
        <v>Llanta 16" Dual Agrícola Centro 152</v>
      </c>
      <c r="CH65" s="3" t="str">
        <f>IFERROR(__xludf.DUMMYFUNCTION("""COMPUTED_VALUE"""),"Llanta 17"" Dual Agrícola Centro 152")</f>
        <v>Llanta 17" Dual Agrícola Centro 152</v>
      </c>
      <c r="CI65" s="3" t="str">
        <f>IFERROR(__xludf.DUMMYFUNCTION("""COMPUTED_VALUE"""),"Eje Acoplado 2"" x 1600 (05/07) Agrícola Centro 92")</f>
        <v>Eje Acoplado 2" x 1600 (05/07) Agrícola Centro 92</v>
      </c>
      <c r="CJ65" s="3" t="str">
        <f>IFERROR(__xludf.DUMMYFUNCTION("""COMPUTED_VALUE"""),"Paquete de Elásticos 50 mm x 8 mm x 12 Hojas")</f>
        <v>Paquete de Elásticos 50 mm x 8 mm x 12 Hojas</v>
      </c>
      <c r="CK65" s="3" t="str">
        <f>IFERROR(__xludf.DUMMYFUNCTION("""COMPUTED_VALUE"""),"Plataforma Playo 4.00 x 1.90 x 0.45 Lateral Simple Baranda Fija")</f>
        <v>Plataforma Playo 4.00 x 1.90 x 0.45 Lateral Simple Baranda Fija</v>
      </c>
      <c r="CL65" s="3" t="str">
        <f>IFERROR(__xludf.DUMMYFUNCTION("""COMPUTED_VALUE"""),"Plataforma Playo 4.00 x 1.90 x 0.45 Lateral Simple Baranda Ventilada")</f>
        <v>Plataforma Playo 4.00 x 1.90 x 0.45 Lateral Simple Baranda Ventilada</v>
      </c>
      <c r="CM65" s="3" t="str">
        <f>IFERROR(__xludf.DUMMYFUNCTION("""COMPUTED_VALUE"""),"Plataforma Playo 4.00 x 1.90 x 0.45 Lateral Doble Baranda Ventilada")</f>
        <v>Plataforma Playo 4.00 x 1.90 x 0.45 Lateral Doble Baranda Ventilada</v>
      </c>
      <c r="CN65" s="3" t="str">
        <f>IFERROR(__xludf.DUMMYFUNCTION("""COMPUTED_VALUE"""),"Plataforma Playo 4.00 x 1.90 x 0.45 Lateral Doble Baranda Fija")</f>
        <v>Plataforma Playo 4.00 x 1.90 x 0.45 Lateral Doble Baranda Fija</v>
      </c>
      <c r="CO65" s="3" t="str">
        <f>IFERROR(__xludf.DUMMYFUNCTION("""COMPUTED_VALUE"""),"Plataforma Playo 4.00 x 1.90 x 0.72 Lateral Simple Baranda Fija")</f>
        <v>Plataforma Playo 4.00 x 1.90 x 0.72 Lateral Simple Baranda Fija</v>
      </c>
      <c r="CP65" s="3" t="str">
        <f>IFERROR(__xludf.DUMMYFUNCTION("""COMPUTED_VALUE"""),"Plataforma Playo 4.00 x 1.90 x 0.72 Lateral Doble Baranda Fija")</f>
        <v>Plataforma Playo 4.00 x 1.90 x 0.72 Lateral Doble Baranda Fija</v>
      </c>
      <c r="CQ65" s="3" t="str">
        <f>IFERROR(__xludf.DUMMYFUNCTION("""COMPUTED_VALUE"""),"Plataforma Playo 5.00 x 2.20 x 0.60 Lateral Doble Trasera Rebatible")</f>
        <v>Plataforma Playo 5.00 x 2.20 x 0.60 Lateral Doble Trasera Rebatible</v>
      </c>
      <c r="CR65" s="3" t="str">
        <f>IFERROR(__xludf.DUMMYFUNCTION("""COMPUTED_VALUE"""),"Plataforma Playo 5.00 x 2.20 x 0.60 Lateral Doble Baranda Fija C/Toldo")</f>
        <v>Plataforma Playo 5.00 x 2.20 x 0.60 Lateral Doble Baranda Fija C/Toldo</v>
      </c>
      <c r="CS65" s="3" t="str">
        <f>IFERROR(__xludf.DUMMYFUNCTION("""COMPUTED_VALUE"""),"Plataforma Playo 3.00 x 1.90 x 0.45 Lateral Simple Baranda Fija")</f>
        <v>Plataforma Playo 3.00 x 1.90 x 0.45 Lateral Simple Baranda Fija</v>
      </c>
      <c r="CT65" s="3" t="str">
        <f>IFERROR(__xludf.DUMMYFUNCTION("""COMPUTED_VALUE"""),"Plataforma Playo 3.00 x 1.90 x 0.45 Lateral Simple Baranda Ventilada")</f>
        <v>Plataforma Playo 3.00 x 1.90 x 0.45 Lateral Simple Baranda Ventilada</v>
      </c>
      <c r="CU65" s="3" t="str">
        <f>IFERROR(__xludf.DUMMYFUNCTION("""COMPUTED_VALUE"""),"Plataforma Playo 2.00 x 1.90 x 0.45 Lateral Simple Baranda Fija")</f>
        <v>Plataforma Playo 2.00 x 1.90 x 0.45 Lateral Simple Baranda Fija</v>
      </c>
      <c r="CV65" s="3" t="str">
        <f>IFERROR(__xludf.DUMMYFUNCTION("""COMPUTED_VALUE"""),"Plataforma Playo 5.00 x 1.90 x 0.60 Lateral Doble Baranda Fija")</f>
        <v>Plataforma Playo 5.00 x 1.90 x 0.60 Lateral Doble Baranda Fija</v>
      </c>
      <c r="CW65" s="3" t="str">
        <f>IFERROR(__xludf.DUMMYFUNCTION("""COMPUTED_VALUE"""),"Plataforma Playo 6.40 x 2.70 x 0.72 Lateral Doble Baranda Fija")</f>
        <v>Plataforma Playo 6.40 x 2.70 x 0.72 Lateral Doble Baranda Fija</v>
      </c>
      <c r="CX65" s="3" t="str">
        <f>IFERROR(__xludf.DUMMYFUNCTION("""COMPUTED_VALUE"""),"Chasis Acoplado Balancin L4000 Lanza Recta")</f>
        <v>Chasis Acoplado Balancin L4000 Lanza Recta</v>
      </c>
      <c r="CY65" s="3" t="str">
        <f>IFERROR(__xludf.DUMMYFUNCTION("""COMPUTED_VALUE"""),"Llanta simple Agrícola 750x20 centro 152")</f>
        <v>Llanta simple Agrícola 750x20 centro 152</v>
      </c>
      <c r="CZ65" s="3" t="str">
        <f>IFERROR(__xludf.DUMMYFUNCTION("""COMPUTED_VALUE"""),"Cajón de Herramientas Mediano adelante")</f>
        <v>Cajón de Herramientas Mediano adelante</v>
      </c>
      <c r="DA65" s="3" t="str">
        <f>IFERROR(__xludf.DUMMYFUNCTION("""COMPUTED_VALUE"""),"Llanta 15"" Simple Agrícola Centro 92")</f>
        <v>Llanta 15" Simple Agrícola Centro 92</v>
      </c>
    </row>
    <row r="66" hidden="1">
      <c r="A66" s="38">
        <f t="shared" si="1"/>
        <v>65</v>
      </c>
      <c r="B66" s="38">
        <f>IF(F66="","",SUMIF(Prearmados!E:E,F66,Prearmados!A:A))</f>
        <v>11</v>
      </c>
      <c r="C66" s="38">
        <f>IF(F66="","",SUMIF(Productos!E:E,G66,Productos!A:A))</f>
        <v>56</v>
      </c>
      <c r="D66" s="83" t="str">
        <f t="array" ref="D66">IF(OR(F66="",F66="Seleccionar.."),"",XLOOKUP(F66,Prearmados!E:E,Prearmados!F:F,"",0,1))</f>
        <v>Acoplados Rurales</v>
      </c>
      <c r="E66" s="83">
        <f>IF(H66="","",SUMIF(Precio_Productos!K:K,C66,Precio_Productos!J:J)*H66)</f>
        <v>2953506</v>
      </c>
      <c r="F66" s="84" t="s">
        <v>334</v>
      </c>
      <c r="G66" s="84" t="s">
        <v>29</v>
      </c>
      <c r="H66" s="13">
        <v>1.0</v>
      </c>
      <c r="P66" s="3" t="str">
        <f>IFERROR(__xludf.DUMMYFUNCTION("IF(OR(F66="""",F66=""Seleccionar..""),"""",TRANSPOSE(FILTER(Productos!E:E,(Productos!F:F=D66)+(Productos!F:F=XLOOKUP(D66,Implementos!B:B,Implementos!C:C,""-"",0,1)))))"),"Tanque Combustible 1100 lts Bajo")</f>
        <v>Tanque Combustible 1100 lts Bajo</v>
      </c>
      <c r="Q66" s="3" t="str">
        <f>IFERROR(__xludf.DUMMYFUNCTION("""COMPUTED_VALUE"""),"Tanque Combustible 1500 lts Standard")</f>
        <v>Tanque Combustible 1500 lts Standard</v>
      </c>
      <c r="R66" s="3" t="str">
        <f>IFERROR(__xludf.DUMMYFUNCTION("""COMPUTED_VALUE"""),"Tanque Combustible 1800 lts Standard")</f>
        <v>Tanque Combustible 1800 lts Standard</v>
      </c>
      <c r="S66" s="3" t="str">
        <f>IFERROR(__xludf.DUMMYFUNCTION("""COMPUTED_VALUE"""),"Tanque Combustible 2000 lts Bajo")</f>
        <v>Tanque Combustible 2000 lts Bajo</v>
      </c>
      <c r="T66" s="3" t="str">
        <f>IFERROR(__xludf.DUMMYFUNCTION("""COMPUTED_VALUE"""),"Tanque Combustible 2000 lts Standard")</f>
        <v>Tanque Combustible 2000 lts Standard</v>
      </c>
      <c r="U66" s="3" t="str">
        <f>IFERROR(__xludf.DUMMYFUNCTION("""COMPUTED_VALUE"""),"Tanque Combustible 3000 lts Standard")</f>
        <v>Tanque Combustible 3000 lts Standard</v>
      </c>
      <c r="V66" s="3" t="str">
        <f>IFERROR(__xludf.DUMMYFUNCTION("""COMPUTED_VALUE"""),"Tanque Combustible 3000 lts Alto")</f>
        <v>Tanque Combustible 3000 lts Alto</v>
      </c>
      <c r="W66" s="3" t="str">
        <f>IFERROR(__xludf.DUMMYFUNCTION("""COMPUTED_VALUE"""),"Tanque Combustible 4000 lts Standard")</f>
        <v>Tanque Combustible 4000 lts Standard</v>
      </c>
      <c r="X66" s="3" t="str">
        <f>IFERROR(__xludf.DUMMYFUNCTION("""COMPUTED_VALUE"""),"Tanque Combustible 5000 lts Standard")</f>
        <v>Tanque Combustible 5000 lts Standard</v>
      </c>
      <c r="Y66" s="3" t="str">
        <f>IFERROR(__xludf.DUMMYFUNCTION("""COMPUTED_VALUE"""),"Tanque Combustible 5000 lts Alto")</f>
        <v>Tanque Combustible 5000 lts Alto</v>
      </c>
      <c r="Z66" s="3" t="str">
        <f>IFERROR(__xludf.DUMMYFUNCTION("""COMPUTED_VALUE"""),"Tanque Combustible 2000 lts Alto")</f>
        <v>Tanque Combustible 2000 lts Alto</v>
      </c>
      <c r="AA66" s="3" t="str">
        <f>IFERROR(__xludf.DUMMYFUNCTION("""COMPUTED_VALUE"""),"Tanque Combustible 4000 lts Alto")</f>
        <v>Tanque Combustible 4000 lts Alto</v>
      </c>
      <c r="AB66" s="3" t="str">
        <f>IFERROR(__xludf.DUMMYFUNCTION("""COMPUTED_VALUE"""),"Baulera Standard - 750")</f>
        <v>Baulera Standard - 750</v>
      </c>
      <c r="AC66" s="3" t="str">
        <f>IFERROR(__xludf.DUMMYFUNCTION("""COMPUTED_VALUE"""),"Baulera Standard - 1700 - C/Laterales")</f>
        <v>Baulera Standard - 1700 - C/Laterales</v>
      </c>
      <c r="AD66" s="3" t="str">
        <f>IFERROR(__xludf.DUMMYFUNCTION("""COMPUTED_VALUE"""),"Baulera Standard - 1000 - C/Laterales")</f>
        <v>Baulera Standard - 1000 - C/Laterales</v>
      </c>
      <c r="AE66" s="3" t="str">
        <f>IFERROR(__xludf.DUMMYFUNCTION("""COMPUTED_VALUE"""),"Baulera Standard - 750 - C/Laterales")</f>
        <v>Baulera Standard - 750 - C/Laterales</v>
      </c>
      <c r="AF66" s="3" t="str">
        <f>IFERROR(__xludf.DUMMYFUNCTION("""COMPUTED_VALUE"""),"Baulera Standard - 1300 - C/Laterales")</f>
        <v>Baulera Standard - 1300 - C/Laterales</v>
      </c>
      <c r="AG66" s="3" t="str">
        <f>IFERROR(__xludf.DUMMYFUNCTION("""COMPUTED_VALUE"""),"Baulera Alta - 750")</f>
        <v>Baulera Alta - 750</v>
      </c>
      <c r="AH66" s="3" t="str">
        <f>IFERROR(__xludf.DUMMYFUNCTION("""COMPUTED_VALUE"""),"Baulera Alta - 1500 - C/Laterales")</f>
        <v>Baulera Alta - 1500 - C/Laterales</v>
      </c>
      <c r="AI66" s="3" t="str">
        <f>IFERROR(__xludf.DUMMYFUNCTION("""COMPUTED_VALUE"""),"Baulera Extendida 1700 - C/Laterales")</f>
        <v>Baulera Extendida 1700 - C/Laterales</v>
      </c>
      <c r="AJ66" s="3" t="str">
        <f>IFERROR(__xludf.DUMMYFUNCTION("""COMPUTED_VALUE"""),"Taller Móvil - 1500 x 1500 x 1700")</f>
        <v>Taller Móvil - 1500 x 1500 x 1700</v>
      </c>
      <c r="AK66" s="3" t="str">
        <f>IFERROR(__xludf.DUMMYFUNCTION("""COMPUTED_VALUE"""),"Cajón Herramientas Standard Derecho")</f>
        <v>Cajón Herramientas Standard Derecho</v>
      </c>
      <c r="AL66" s="3" t="str">
        <f>IFERROR(__xludf.DUMMYFUNCTION("""COMPUTED_VALUE"""),"Cajón Herramientas Standard Izquierdo")</f>
        <v>Cajón Herramientas Standard Izquierdo</v>
      </c>
      <c r="AM66" s="3" t="str">
        <f>IFERROR(__xludf.DUMMYFUNCTION("""COMPUTED_VALUE"""),"Cajón Herramientas Corto Derecho")</f>
        <v>Cajón Herramientas Corto Derecho</v>
      </c>
      <c r="AN66" s="3" t="str">
        <f>IFERROR(__xludf.DUMMYFUNCTION("""COMPUTED_VALUE"""),"Cajón Herramientas Corto Izquierdo")</f>
        <v>Cajón Herramientas Corto Izquierdo</v>
      </c>
      <c r="AO66" s="3" t="str">
        <f>IFERROR(__xludf.DUMMYFUNCTION("""COMPUTED_VALUE"""),"Cajón Herramientas Mediano Derecho")</f>
        <v>Cajón Herramientas Mediano Derecho</v>
      </c>
      <c r="AP66" s="3" t="str">
        <f>IFERROR(__xludf.DUMMYFUNCTION("""COMPUTED_VALUE"""),"Cajón Herramientas Mediano Izquierdo")</f>
        <v>Cajón Herramientas Mediano Izquierdo</v>
      </c>
      <c r="AQ66" s="3" t="str">
        <f>IFERROR(__xludf.DUMMYFUNCTION("""COMPUTED_VALUE"""),"Chasis Acoplado 2 Ejes L3000")</f>
        <v>Chasis Acoplado 2 Ejes L3000</v>
      </c>
      <c r="AR66" s="3" t="str">
        <f>IFERROR(__xludf.DUMMYFUNCTION("""COMPUTED_VALUE"""),"Chasis Acoplado 2 Ejes L3750")</f>
        <v>Chasis Acoplado 2 Ejes L3750</v>
      </c>
      <c r="AS66" s="3" t="str">
        <f>IFERROR(__xludf.DUMMYFUNCTION("""COMPUTED_VALUE"""),"Chasis Acoplado 2 Ejes L4000")</f>
        <v>Chasis Acoplado 2 Ejes L4000</v>
      </c>
      <c r="AT66" s="3" t="str">
        <f>IFERROR(__xludf.DUMMYFUNCTION("""COMPUTED_VALUE"""),"Chasis Acoplado 2 Ejes L4000 Reforzado")</f>
        <v>Chasis Acoplado 2 Ejes L4000 Reforzado</v>
      </c>
      <c r="AU66" s="3" t="str">
        <f>IFERROR(__xludf.DUMMYFUNCTION("""COMPUTED_VALUE"""),"Chasis Acoplado 2 Ejes L4750")</f>
        <v>Chasis Acoplado 2 Ejes L4750</v>
      </c>
      <c r="AV66" s="3" t="str">
        <f>IFERROR(__xludf.DUMMYFUNCTION("""COMPUTED_VALUE"""),"Chasis Acoplado 2 Ejes L4750 Reforzado")</f>
        <v>Chasis Acoplado 2 Ejes L4750 Reforzado</v>
      </c>
      <c r="AW66" s="3" t="str">
        <f>IFERROR(__xludf.DUMMYFUNCTION("""COMPUTED_VALUE"""),"Chasis Acoplado 2 Ejes L4750 Reforzado R. Camion")</f>
        <v>Chasis Acoplado 2 Ejes L4750 Reforzado R. Camion</v>
      </c>
      <c r="AX66" s="3" t="str">
        <f>IFERROR(__xludf.DUMMYFUNCTION("""COMPUTED_VALUE"""),"Chasis Acoplado 2 Ejes L5000")</f>
        <v>Chasis Acoplado 2 Ejes L5000</v>
      </c>
      <c r="AY66" s="3" t="str">
        <f>IFERROR(__xludf.DUMMYFUNCTION("""COMPUTED_VALUE"""),"Chasis Acoplado 2 Ejes L5750")</f>
        <v>Chasis Acoplado 2 Ejes L5750</v>
      </c>
      <c r="AZ66" s="3" t="str">
        <f>IFERROR(__xludf.DUMMYFUNCTION("""COMPUTED_VALUE"""),"Chasis Acoplado 2 Ejes L6400")</f>
        <v>Chasis Acoplado 2 Ejes L6400</v>
      </c>
      <c r="BA66" s="3" t="str">
        <f>IFERROR(__xludf.DUMMYFUNCTION("""COMPUTED_VALUE"""),"Chasis Acoplado 2 Ejes L4500")</f>
        <v>Chasis Acoplado 2 Ejes L4500</v>
      </c>
      <c r="BB66" s="3" t="str">
        <f>IFERROR(__xludf.DUMMYFUNCTION("""COMPUTED_VALUE"""),"Chasis Acoplado 1 Eje L1500")</f>
        <v>Chasis Acoplado 1 Eje L1500</v>
      </c>
      <c r="BC66" s="3" t="str">
        <f>IFERROR(__xludf.DUMMYFUNCTION("""COMPUTED_VALUE"""),"Chasis Acoplado 1 Eje L1800")</f>
        <v>Chasis Acoplado 1 Eje L1800</v>
      </c>
      <c r="BD66" s="3" t="str">
        <f>IFERROR(__xludf.DUMMYFUNCTION("""COMPUTED_VALUE"""),"Chasis Acoplado 1 Eje L1400")</f>
        <v>Chasis Acoplado 1 Eje L1400</v>
      </c>
      <c r="BE66" s="3" t="str">
        <f>IFERROR(__xludf.DUMMYFUNCTION("""COMPUTED_VALUE"""),"Chasis Acoplado Balancin L3000")</f>
        <v>Chasis Acoplado Balancin L3000</v>
      </c>
      <c r="BF66" s="3" t="str">
        <f>IFERROR(__xludf.DUMMYFUNCTION("""COMPUTED_VALUE"""),"Chasis Acoplado Balancin L3000 Lanza Corta")</f>
        <v>Chasis Acoplado Balancin L3000 Lanza Corta</v>
      </c>
      <c r="BG66" s="3" t="str">
        <f>IFERROR(__xludf.DUMMYFUNCTION("""COMPUTED_VALUE"""),"Chasis Acoplado Balancin L2000 Lanza Corta")</f>
        <v>Chasis Acoplado Balancin L2000 Lanza Corta</v>
      </c>
      <c r="BH66" s="3" t="str">
        <f>IFERROR(__xludf.DUMMYFUNCTION("""COMPUTED_VALUE"""),"Chasis Acoplado Balancin L3200 Lanza Corta")</f>
        <v>Chasis Acoplado Balancin L3200 Lanza Corta</v>
      </c>
      <c r="BI66" s="3" t="str">
        <f>IFERROR(__xludf.DUMMYFUNCTION("""COMPUTED_VALUE"""),"Chasis Acoplado Balancin L3200 Lanza Recta")</f>
        <v>Chasis Acoplado Balancin L3200 Lanza Recta</v>
      </c>
      <c r="BJ66" s="3" t="str">
        <f>IFERROR(__xludf.DUMMYFUNCTION("""COMPUTED_VALUE"""),"Chasis Acoplado Balancin L3200 Bajo Lanza Recta")</f>
        <v>Chasis Acoplado Balancin L3200 Bajo Lanza Recta</v>
      </c>
      <c r="BK66" s="3" t="str">
        <f>IFERROR(__xludf.DUMMYFUNCTION("""COMPUTED_VALUE"""),"Tanque Plastico Horizontal 750 Lts")</f>
        <v>Tanque Plastico Horizontal 750 Lts</v>
      </c>
      <c r="BL66" s="3" t="str">
        <f>IFERROR(__xludf.DUMMYFUNCTION("""COMPUTED_VALUE"""),"Medio Tanque Plastico Superior 700 Lts")</f>
        <v>Medio Tanque Plastico Superior 700 Lts</v>
      </c>
      <c r="BM66" s="3" t="str">
        <f>IFERROR(__xludf.DUMMYFUNCTION("""COMPUTED_VALUE"""),"Paquete de Elasticos 50 mm x 8 mm x 10 Hojas L850")</f>
        <v>Paquete de Elasticos 50 mm x 8 mm x 10 Hojas L850</v>
      </c>
      <c r="BN66" s="3" t="str">
        <f>IFERROR(__xludf.DUMMYFUNCTION("""COMPUTED_VALUE"""),"Paquete de Elasticos 63 mm x 8 mm x 10 Hojas L950")</f>
        <v>Paquete de Elasticos 63 mm x 8 mm x 10 Hojas L950</v>
      </c>
      <c r="BO66" s="3" t="str">
        <f>IFERROR(__xludf.DUMMYFUNCTION("""COMPUTED_VALUE"""),"Paquete de Elasticos 50 mm x 7 mm x 9 Hojas L850")</f>
        <v>Paquete de Elasticos 50 mm x 7 mm x 9 Hojas L850</v>
      </c>
      <c r="BP66" s="3" t="str">
        <f>IFERROR(__xludf.DUMMYFUNCTION("""COMPUTED_VALUE"""),"Paquete de Elasticos 63 mm x 8 mm x 8 Hojas L850")</f>
        <v>Paquete de Elasticos 63 mm x 8 mm x 8 Hojas L850</v>
      </c>
      <c r="BQ66" s="3" t="str">
        <f>IFERROR(__xludf.DUMMYFUNCTION("""COMPUTED_VALUE"""),"Paquete de Elasticos 63 mm x 10 mm x 10 Hojas L950")</f>
        <v>Paquete de Elasticos 63 mm x 10 mm x 10 Hojas L950</v>
      </c>
      <c r="BR66" s="3" t="str">
        <f>IFERROR(__xludf.DUMMYFUNCTION("""COMPUTED_VALUE"""),"Paquete de Elasticos 63 mm x 10 mm x 13 Hojas L975")</f>
        <v>Paquete de Elasticos 63 mm x 10 mm x 13 Hojas L975</v>
      </c>
      <c r="BS66" s="3" t="str">
        <f>IFERROR(__xludf.DUMMYFUNCTION("""COMPUTED_VALUE"""),"Paquete de Elasticos 50 mm x 7 mm x 9 Hojas L650")</f>
        <v>Paquete de Elasticos 50 mm x 7 mm x 9 Hojas L650</v>
      </c>
      <c r="BT66" s="3" t="str">
        <f>IFERROR(__xludf.DUMMYFUNCTION("""COMPUTED_VALUE"""),"Eje Acoplado 2"" x 1600 (06/08) Agrícola Centro 92")</f>
        <v>Eje Acoplado 2" x 1600 (06/08) Agrícola Centro 92</v>
      </c>
      <c r="BU66" s="3" t="str">
        <f>IFERROR(__xludf.DUMMYFUNCTION("""COMPUTED_VALUE"""),"Eje Acoplado 2 1/2"" x 1600 (07/09) Agrícola Centro 92")</f>
        <v>Eje Acoplado 2 1/2" x 1600 (07/09) Agrícola Centro 92</v>
      </c>
      <c r="BV66" s="3" t="str">
        <f>IFERROR(__xludf.DUMMYFUNCTION("""COMPUTED_VALUE"""),"Eje Acoplado 2 1/2"" x 1600 (09/11) Agrícola Centro 150")</f>
        <v>Eje Acoplado 2 1/2" x 1600 (09/11) Agrícola Centro 150</v>
      </c>
      <c r="BW66" s="3" t="str">
        <f>IFERROR(__xludf.DUMMYFUNCTION("""COMPUTED_VALUE"""),"Eje Acoplado 3"" x 1600 (10/13) Agrícola Centro 150")</f>
        <v>Eje Acoplado 3" x 1600 (10/13) Agrícola Centro 150</v>
      </c>
      <c r="BX66" s="3" t="str">
        <f>IFERROR(__xludf.DUMMYFUNCTION("""COMPUTED_VALUE"""),"Eje Acoplado 2 1/2"" x 2140 (07/09) Agrícola Centro 92")</f>
        <v>Eje Acoplado 2 1/2" x 2140 (07/09) Agrícola Centro 92</v>
      </c>
      <c r="BY66" s="3" t="str">
        <f>IFERROR(__xludf.DUMMYFUNCTION("""COMPUTED_VALUE"""),"Eje Acoplado 2"" x 1400 (06/08) Agrícola Centro 92")</f>
        <v>Eje Acoplado 2" x 1400 (06/08) Agrícola Centro 92</v>
      </c>
      <c r="BZ66" s="3" t="str">
        <f>IFERROR(__xludf.DUMMYFUNCTION("""COMPUTED_VALUE"""),"Eje Acoplado 2 1/2"" x 1500 (07/09) Agrícola Centro 92")</f>
        <v>Eje Acoplado 2 1/2" x 1500 (07/09) Agrícola Centro 92</v>
      </c>
      <c r="CA66" s="3" t="str">
        <f>IFERROR(__xludf.DUMMYFUNCTION("""COMPUTED_VALUE"""),"Eje Acoplado 2 1/2"" x 2000 (07/09) Agrícola Centro 92")</f>
        <v>Eje Acoplado 2 1/2" x 2000 (07/09) Agrícola Centro 92</v>
      </c>
      <c r="CB66" s="3" t="str">
        <f>IFERROR(__xludf.DUMMYFUNCTION("""COMPUTED_VALUE"""),"Eje Acoplado 2 1/2"" x 2100 (09/11) Agrícola Centro 150")</f>
        <v>Eje Acoplado 2 1/2" x 2100 (09/11) Agrícola Centro 150</v>
      </c>
      <c r="CC66" s="3" t="str">
        <f>IFERROR(__xludf.DUMMYFUNCTION("""COMPUTED_VALUE"""),"Llanta 16"" Simple Agrícola Centro 92")</f>
        <v>Llanta 16" Simple Agrícola Centro 92</v>
      </c>
      <c r="CD66" s="3" t="str">
        <f>IFERROR(__xludf.DUMMYFUNCTION("""COMPUTED_VALUE"""),"Llanta 16"" Dual Agrícola Centro 92")</f>
        <v>Llanta 16" Dual Agrícola Centro 92</v>
      </c>
      <c r="CE66" s="3" t="str">
        <f>IFERROR(__xludf.DUMMYFUNCTION("""COMPUTED_VALUE"""),"Llanta 17"" Simple Agrícola Centro 92")</f>
        <v>Llanta 17" Simple Agrícola Centro 92</v>
      </c>
      <c r="CF66" s="3" t="str">
        <f>IFERROR(__xludf.DUMMYFUNCTION("""COMPUTED_VALUE"""),"Llanta 17"" Dual Agrícola Centro 92")</f>
        <v>Llanta 17" Dual Agrícola Centro 92</v>
      </c>
      <c r="CG66" s="3" t="str">
        <f>IFERROR(__xludf.DUMMYFUNCTION("""COMPUTED_VALUE"""),"Llanta 16"" Dual Agrícola Centro 152")</f>
        <v>Llanta 16" Dual Agrícola Centro 152</v>
      </c>
      <c r="CH66" s="3" t="str">
        <f>IFERROR(__xludf.DUMMYFUNCTION("""COMPUTED_VALUE"""),"Llanta 17"" Dual Agrícola Centro 152")</f>
        <v>Llanta 17" Dual Agrícola Centro 152</v>
      </c>
      <c r="CI66" s="3" t="str">
        <f>IFERROR(__xludf.DUMMYFUNCTION("""COMPUTED_VALUE"""),"Eje Acoplado 2"" x 1600 (05/07) Agrícola Centro 92")</f>
        <v>Eje Acoplado 2" x 1600 (05/07) Agrícola Centro 92</v>
      </c>
      <c r="CJ66" s="3" t="str">
        <f>IFERROR(__xludf.DUMMYFUNCTION("""COMPUTED_VALUE"""),"Paquete de Elásticos 50 mm x 8 mm x 12 Hojas")</f>
        <v>Paquete de Elásticos 50 mm x 8 mm x 12 Hojas</v>
      </c>
      <c r="CK66" s="3" t="str">
        <f>IFERROR(__xludf.DUMMYFUNCTION("""COMPUTED_VALUE"""),"Plataforma Playo 4.00 x 1.90 x 0.45 Lateral Simple Baranda Fija")</f>
        <v>Plataforma Playo 4.00 x 1.90 x 0.45 Lateral Simple Baranda Fija</v>
      </c>
      <c r="CL66" s="3" t="str">
        <f>IFERROR(__xludf.DUMMYFUNCTION("""COMPUTED_VALUE"""),"Plataforma Playo 4.00 x 1.90 x 0.45 Lateral Simple Baranda Ventilada")</f>
        <v>Plataforma Playo 4.00 x 1.90 x 0.45 Lateral Simple Baranda Ventilada</v>
      </c>
      <c r="CM66" s="3" t="str">
        <f>IFERROR(__xludf.DUMMYFUNCTION("""COMPUTED_VALUE"""),"Plataforma Playo 4.00 x 1.90 x 0.45 Lateral Doble Baranda Ventilada")</f>
        <v>Plataforma Playo 4.00 x 1.90 x 0.45 Lateral Doble Baranda Ventilada</v>
      </c>
      <c r="CN66" s="3" t="str">
        <f>IFERROR(__xludf.DUMMYFUNCTION("""COMPUTED_VALUE"""),"Plataforma Playo 4.00 x 1.90 x 0.45 Lateral Doble Baranda Fija")</f>
        <v>Plataforma Playo 4.00 x 1.90 x 0.45 Lateral Doble Baranda Fija</v>
      </c>
      <c r="CO66" s="3" t="str">
        <f>IFERROR(__xludf.DUMMYFUNCTION("""COMPUTED_VALUE"""),"Plataforma Playo 4.00 x 1.90 x 0.72 Lateral Simple Baranda Fija")</f>
        <v>Plataforma Playo 4.00 x 1.90 x 0.72 Lateral Simple Baranda Fija</v>
      </c>
      <c r="CP66" s="3" t="str">
        <f>IFERROR(__xludf.DUMMYFUNCTION("""COMPUTED_VALUE"""),"Plataforma Playo 4.00 x 1.90 x 0.72 Lateral Doble Baranda Fija")</f>
        <v>Plataforma Playo 4.00 x 1.90 x 0.72 Lateral Doble Baranda Fija</v>
      </c>
      <c r="CQ66" s="3" t="str">
        <f>IFERROR(__xludf.DUMMYFUNCTION("""COMPUTED_VALUE"""),"Plataforma Playo 5.00 x 2.20 x 0.60 Lateral Doble Trasera Rebatible")</f>
        <v>Plataforma Playo 5.00 x 2.20 x 0.60 Lateral Doble Trasera Rebatible</v>
      </c>
      <c r="CR66" s="3" t="str">
        <f>IFERROR(__xludf.DUMMYFUNCTION("""COMPUTED_VALUE"""),"Plataforma Playo 5.00 x 2.20 x 0.60 Lateral Doble Baranda Fija C/Toldo")</f>
        <v>Plataforma Playo 5.00 x 2.20 x 0.60 Lateral Doble Baranda Fija C/Toldo</v>
      </c>
      <c r="CS66" s="3" t="str">
        <f>IFERROR(__xludf.DUMMYFUNCTION("""COMPUTED_VALUE"""),"Plataforma Playo 3.00 x 1.90 x 0.45 Lateral Simple Baranda Fija")</f>
        <v>Plataforma Playo 3.00 x 1.90 x 0.45 Lateral Simple Baranda Fija</v>
      </c>
      <c r="CT66" s="3" t="str">
        <f>IFERROR(__xludf.DUMMYFUNCTION("""COMPUTED_VALUE"""),"Plataforma Playo 3.00 x 1.90 x 0.45 Lateral Simple Baranda Ventilada")</f>
        <v>Plataforma Playo 3.00 x 1.90 x 0.45 Lateral Simple Baranda Ventilada</v>
      </c>
      <c r="CU66" s="3" t="str">
        <f>IFERROR(__xludf.DUMMYFUNCTION("""COMPUTED_VALUE"""),"Plataforma Playo 2.00 x 1.90 x 0.45 Lateral Simple Baranda Fija")</f>
        <v>Plataforma Playo 2.00 x 1.90 x 0.45 Lateral Simple Baranda Fija</v>
      </c>
      <c r="CV66" s="3" t="str">
        <f>IFERROR(__xludf.DUMMYFUNCTION("""COMPUTED_VALUE"""),"Plataforma Playo 5.00 x 1.90 x 0.60 Lateral Doble Baranda Fija")</f>
        <v>Plataforma Playo 5.00 x 1.90 x 0.60 Lateral Doble Baranda Fija</v>
      </c>
      <c r="CW66" s="3" t="str">
        <f>IFERROR(__xludf.DUMMYFUNCTION("""COMPUTED_VALUE"""),"Plataforma Playo 6.40 x 2.70 x 0.72 Lateral Doble Baranda Fija")</f>
        <v>Plataforma Playo 6.40 x 2.70 x 0.72 Lateral Doble Baranda Fija</v>
      </c>
      <c r="CX66" s="3" t="str">
        <f>IFERROR(__xludf.DUMMYFUNCTION("""COMPUTED_VALUE"""),"Chasis Acoplado Balancin L4000 Lanza Recta")</f>
        <v>Chasis Acoplado Balancin L4000 Lanza Recta</v>
      </c>
      <c r="CY66" s="3" t="str">
        <f>IFERROR(__xludf.DUMMYFUNCTION("""COMPUTED_VALUE"""),"Llanta simple Agrícola 750x20 centro 152")</f>
        <v>Llanta simple Agrícola 750x20 centro 152</v>
      </c>
      <c r="CZ66" s="3" t="str">
        <f>IFERROR(__xludf.DUMMYFUNCTION("""COMPUTED_VALUE"""),"Cajón de Herramientas Mediano adelante")</f>
        <v>Cajón de Herramientas Mediano adelante</v>
      </c>
      <c r="DA66" s="3" t="str">
        <f>IFERROR(__xludf.DUMMYFUNCTION("""COMPUTED_VALUE"""),"Llanta 15"" Simple Agrícola Centro 92")</f>
        <v>Llanta 15" Simple Agrícola Centro 92</v>
      </c>
    </row>
    <row r="67" hidden="1">
      <c r="A67" s="38">
        <f t="shared" si="1"/>
        <v>66</v>
      </c>
      <c r="B67" s="38">
        <f>IF(F67="","",SUMIF(Prearmados!E:E,F67,Prearmados!A:A))</f>
        <v>11</v>
      </c>
      <c r="C67" s="38">
        <f>IF(F67="","",SUMIF(Productos!E:E,G67,Productos!A:A))</f>
        <v>62</v>
      </c>
      <c r="D67" s="83" t="str">
        <f t="array" ref="D67">IF(OR(F67="",F67="Seleccionar.."),"",XLOOKUP(F67,Prearmados!E:E,Prearmados!F:F,"",0,1))</f>
        <v>Acoplados Rurales</v>
      </c>
      <c r="E67" s="83">
        <f>IF(H67="","",SUMIF(Precio_Productos!K:K,C67,Precio_Productos!J:J)*H67)</f>
        <v>729000</v>
      </c>
      <c r="F67" s="84" t="s">
        <v>334</v>
      </c>
      <c r="G67" s="84" t="s">
        <v>76</v>
      </c>
      <c r="H67" s="13">
        <v>1.0</v>
      </c>
      <c r="P67" s="3" t="str">
        <f>IFERROR(__xludf.DUMMYFUNCTION("IF(OR(F67="""",F67=""Seleccionar..""),"""",TRANSPOSE(FILTER(Productos!E:E,(Productos!F:F=D67)+(Productos!F:F=XLOOKUP(D67,Implementos!B:B,Implementos!C:C,""-"",0,1)))))"),"Tanque Combustible 1100 lts Bajo")</f>
        <v>Tanque Combustible 1100 lts Bajo</v>
      </c>
      <c r="Q67" s="3" t="str">
        <f>IFERROR(__xludf.DUMMYFUNCTION("""COMPUTED_VALUE"""),"Tanque Combustible 1500 lts Standard")</f>
        <v>Tanque Combustible 1500 lts Standard</v>
      </c>
      <c r="R67" s="3" t="str">
        <f>IFERROR(__xludf.DUMMYFUNCTION("""COMPUTED_VALUE"""),"Tanque Combustible 1800 lts Standard")</f>
        <v>Tanque Combustible 1800 lts Standard</v>
      </c>
      <c r="S67" s="3" t="str">
        <f>IFERROR(__xludf.DUMMYFUNCTION("""COMPUTED_VALUE"""),"Tanque Combustible 2000 lts Bajo")</f>
        <v>Tanque Combustible 2000 lts Bajo</v>
      </c>
      <c r="T67" s="3" t="str">
        <f>IFERROR(__xludf.DUMMYFUNCTION("""COMPUTED_VALUE"""),"Tanque Combustible 2000 lts Standard")</f>
        <v>Tanque Combustible 2000 lts Standard</v>
      </c>
      <c r="U67" s="3" t="str">
        <f>IFERROR(__xludf.DUMMYFUNCTION("""COMPUTED_VALUE"""),"Tanque Combustible 3000 lts Standard")</f>
        <v>Tanque Combustible 3000 lts Standard</v>
      </c>
      <c r="V67" s="3" t="str">
        <f>IFERROR(__xludf.DUMMYFUNCTION("""COMPUTED_VALUE"""),"Tanque Combustible 3000 lts Alto")</f>
        <v>Tanque Combustible 3000 lts Alto</v>
      </c>
      <c r="W67" s="3" t="str">
        <f>IFERROR(__xludf.DUMMYFUNCTION("""COMPUTED_VALUE"""),"Tanque Combustible 4000 lts Standard")</f>
        <v>Tanque Combustible 4000 lts Standard</v>
      </c>
      <c r="X67" s="3" t="str">
        <f>IFERROR(__xludf.DUMMYFUNCTION("""COMPUTED_VALUE"""),"Tanque Combustible 5000 lts Standard")</f>
        <v>Tanque Combustible 5000 lts Standard</v>
      </c>
      <c r="Y67" s="3" t="str">
        <f>IFERROR(__xludf.DUMMYFUNCTION("""COMPUTED_VALUE"""),"Tanque Combustible 5000 lts Alto")</f>
        <v>Tanque Combustible 5000 lts Alto</v>
      </c>
      <c r="Z67" s="3" t="str">
        <f>IFERROR(__xludf.DUMMYFUNCTION("""COMPUTED_VALUE"""),"Tanque Combustible 2000 lts Alto")</f>
        <v>Tanque Combustible 2000 lts Alto</v>
      </c>
      <c r="AA67" s="3" t="str">
        <f>IFERROR(__xludf.DUMMYFUNCTION("""COMPUTED_VALUE"""),"Tanque Combustible 4000 lts Alto")</f>
        <v>Tanque Combustible 4000 lts Alto</v>
      </c>
      <c r="AB67" s="3" t="str">
        <f>IFERROR(__xludf.DUMMYFUNCTION("""COMPUTED_VALUE"""),"Baulera Standard - 750")</f>
        <v>Baulera Standard - 750</v>
      </c>
      <c r="AC67" s="3" t="str">
        <f>IFERROR(__xludf.DUMMYFUNCTION("""COMPUTED_VALUE"""),"Baulera Standard - 1700 - C/Laterales")</f>
        <v>Baulera Standard - 1700 - C/Laterales</v>
      </c>
      <c r="AD67" s="3" t="str">
        <f>IFERROR(__xludf.DUMMYFUNCTION("""COMPUTED_VALUE"""),"Baulera Standard - 1000 - C/Laterales")</f>
        <v>Baulera Standard - 1000 - C/Laterales</v>
      </c>
      <c r="AE67" s="3" t="str">
        <f>IFERROR(__xludf.DUMMYFUNCTION("""COMPUTED_VALUE"""),"Baulera Standard - 750 - C/Laterales")</f>
        <v>Baulera Standard - 750 - C/Laterales</v>
      </c>
      <c r="AF67" s="3" t="str">
        <f>IFERROR(__xludf.DUMMYFUNCTION("""COMPUTED_VALUE"""),"Baulera Standard - 1300 - C/Laterales")</f>
        <v>Baulera Standard - 1300 - C/Laterales</v>
      </c>
      <c r="AG67" s="3" t="str">
        <f>IFERROR(__xludf.DUMMYFUNCTION("""COMPUTED_VALUE"""),"Baulera Alta - 750")</f>
        <v>Baulera Alta - 750</v>
      </c>
      <c r="AH67" s="3" t="str">
        <f>IFERROR(__xludf.DUMMYFUNCTION("""COMPUTED_VALUE"""),"Baulera Alta - 1500 - C/Laterales")</f>
        <v>Baulera Alta - 1500 - C/Laterales</v>
      </c>
      <c r="AI67" s="3" t="str">
        <f>IFERROR(__xludf.DUMMYFUNCTION("""COMPUTED_VALUE"""),"Baulera Extendida 1700 - C/Laterales")</f>
        <v>Baulera Extendida 1700 - C/Laterales</v>
      </c>
      <c r="AJ67" s="3" t="str">
        <f>IFERROR(__xludf.DUMMYFUNCTION("""COMPUTED_VALUE"""),"Taller Móvil - 1500 x 1500 x 1700")</f>
        <v>Taller Móvil - 1500 x 1500 x 1700</v>
      </c>
      <c r="AK67" s="3" t="str">
        <f>IFERROR(__xludf.DUMMYFUNCTION("""COMPUTED_VALUE"""),"Cajón Herramientas Standard Derecho")</f>
        <v>Cajón Herramientas Standard Derecho</v>
      </c>
      <c r="AL67" s="3" t="str">
        <f>IFERROR(__xludf.DUMMYFUNCTION("""COMPUTED_VALUE"""),"Cajón Herramientas Standard Izquierdo")</f>
        <v>Cajón Herramientas Standard Izquierdo</v>
      </c>
      <c r="AM67" s="3" t="str">
        <f>IFERROR(__xludf.DUMMYFUNCTION("""COMPUTED_VALUE"""),"Cajón Herramientas Corto Derecho")</f>
        <v>Cajón Herramientas Corto Derecho</v>
      </c>
      <c r="AN67" s="3" t="str">
        <f>IFERROR(__xludf.DUMMYFUNCTION("""COMPUTED_VALUE"""),"Cajón Herramientas Corto Izquierdo")</f>
        <v>Cajón Herramientas Corto Izquierdo</v>
      </c>
      <c r="AO67" s="3" t="str">
        <f>IFERROR(__xludf.DUMMYFUNCTION("""COMPUTED_VALUE"""),"Cajón Herramientas Mediano Derecho")</f>
        <v>Cajón Herramientas Mediano Derecho</v>
      </c>
      <c r="AP67" s="3" t="str">
        <f>IFERROR(__xludf.DUMMYFUNCTION("""COMPUTED_VALUE"""),"Cajón Herramientas Mediano Izquierdo")</f>
        <v>Cajón Herramientas Mediano Izquierdo</v>
      </c>
      <c r="AQ67" s="3" t="str">
        <f>IFERROR(__xludf.DUMMYFUNCTION("""COMPUTED_VALUE"""),"Chasis Acoplado 2 Ejes L3000")</f>
        <v>Chasis Acoplado 2 Ejes L3000</v>
      </c>
      <c r="AR67" s="3" t="str">
        <f>IFERROR(__xludf.DUMMYFUNCTION("""COMPUTED_VALUE"""),"Chasis Acoplado 2 Ejes L3750")</f>
        <v>Chasis Acoplado 2 Ejes L3750</v>
      </c>
      <c r="AS67" s="3" t="str">
        <f>IFERROR(__xludf.DUMMYFUNCTION("""COMPUTED_VALUE"""),"Chasis Acoplado 2 Ejes L4000")</f>
        <v>Chasis Acoplado 2 Ejes L4000</v>
      </c>
      <c r="AT67" s="3" t="str">
        <f>IFERROR(__xludf.DUMMYFUNCTION("""COMPUTED_VALUE"""),"Chasis Acoplado 2 Ejes L4000 Reforzado")</f>
        <v>Chasis Acoplado 2 Ejes L4000 Reforzado</v>
      </c>
      <c r="AU67" s="3" t="str">
        <f>IFERROR(__xludf.DUMMYFUNCTION("""COMPUTED_VALUE"""),"Chasis Acoplado 2 Ejes L4750")</f>
        <v>Chasis Acoplado 2 Ejes L4750</v>
      </c>
      <c r="AV67" s="3" t="str">
        <f>IFERROR(__xludf.DUMMYFUNCTION("""COMPUTED_VALUE"""),"Chasis Acoplado 2 Ejes L4750 Reforzado")</f>
        <v>Chasis Acoplado 2 Ejes L4750 Reforzado</v>
      </c>
      <c r="AW67" s="3" t="str">
        <f>IFERROR(__xludf.DUMMYFUNCTION("""COMPUTED_VALUE"""),"Chasis Acoplado 2 Ejes L4750 Reforzado R. Camion")</f>
        <v>Chasis Acoplado 2 Ejes L4750 Reforzado R. Camion</v>
      </c>
      <c r="AX67" s="3" t="str">
        <f>IFERROR(__xludf.DUMMYFUNCTION("""COMPUTED_VALUE"""),"Chasis Acoplado 2 Ejes L5000")</f>
        <v>Chasis Acoplado 2 Ejes L5000</v>
      </c>
      <c r="AY67" s="3" t="str">
        <f>IFERROR(__xludf.DUMMYFUNCTION("""COMPUTED_VALUE"""),"Chasis Acoplado 2 Ejes L5750")</f>
        <v>Chasis Acoplado 2 Ejes L5750</v>
      </c>
      <c r="AZ67" s="3" t="str">
        <f>IFERROR(__xludf.DUMMYFUNCTION("""COMPUTED_VALUE"""),"Chasis Acoplado 2 Ejes L6400")</f>
        <v>Chasis Acoplado 2 Ejes L6400</v>
      </c>
      <c r="BA67" s="3" t="str">
        <f>IFERROR(__xludf.DUMMYFUNCTION("""COMPUTED_VALUE"""),"Chasis Acoplado 2 Ejes L4500")</f>
        <v>Chasis Acoplado 2 Ejes L4500</v>
      </c>
      <c r="BB67" s="3" t="str">
        <f>IFERROR(__xludf.DUMMYFUNCTION("""COMPUTED_VALUE"""),"Chasis Acoplado 1 Eje L1500")</f>
        <v>Chasis Acoplado 1 Eje L1500</v>
      </c>
      <c r="BC67" s="3" t="str">
        <f>IFERROR(__xludf.DUMMYFUNCTION("""COMPUTED_VALUE"""),"Chasis Acoplado 1 Eje L1800")</f>
        <v>Chasis Acoplado 1 Eje L1800</v>
      </c>
      <c r="BD67" s="3" t="str">
        <f>IFERROR(__xludf.DUMMYFUNCTION("""COMPUTED_VALUE"""),"Chasis Acoplado 1 Eje L1400")</f>
        <v>Chasis Acoplado 1 Eje L1400</v>
      </c>
      <c r="BE67" s="3" t="str">
        <f>IFERROR(__xludf.DUMMYFUNCTION("""COMPUTED_VALUE"""),"Chasis Acoplado Balancin L3000")</f>
        <v>Chasis Acoplado Balancin L3000</v>
      </c>
      <c r="BF67" s="3" t="str">
        <f>IFERROR(__xludf.DUMMYFUNCTION("""COMPUTED_VALUE"""),"Chasis Acoplado Balancin L3000 Lanza Corta")</f>
        <v>Chasis Acoplado Balancin L3000 Lanza Corta</v>
      </c>
      <c r="BG67" s="3" t="str">
        <f>IFERROR(__xludf.DUMMYFUNCTION("""COMPUTED_VALUE"""),"Chasis Acoplado Balancin L2000 Lanza Corta")</f>
        <v>Chasis Acoplado Balancin L2000 Lanza Corta</v>
      </c>
      <c r="BH67" s="3" t="str">
        <f>IFERROR(__xludf.DUMMYFUNCTION("""COMPUTED_VALUE"""),"Chasis Acoplado Balancin L3200 Lanza Corta")</f>
        <v>Chasis Acoplado Balancin L3200 Lanza Corta</v>
      </c>
      <c r="BI67" s="3" t="str">
        <f>IFERROR(__xludf.DUMMYFUNCTION("""COMPUTED_VALUE"""),"Chasis Acoplado Balancin L3200 Lanza Recta")</f>
        <v>Chasis Acoplado Balancin L3200 Lanza Recta</v>
      </c>
      <c r="BJ67" s="3" t="str">
        <f>IFERROR(__xludf.DUMMYFUNCTION("""COMPUTED_VALUE"""),"Chasis Acoplado Balancin L3200 Bajo Lanza Recta")</f>
        <v>Chasis Acoplado Balancin L3200 Bajo Lanza Recta</v>
      </c>
      <c r="BK67" s="3" t="str">
        <f>IFERROR(__xludf.DUMMYFUNCTION("""COMPUTED_VALUE"""),"Tanque Plastico Horizontal 750 Lts")</f>
        <v>Tanque Plastico Horizontal 750 Lts</v>
      </c>
      <c r="BL67" s="3" t="str">
        <f>IFERROR(__xludf.DUMMYFUNCTION("""COMPUTED_VALUE"""),"Medio Tanque Plastico Superior 700 Lts")</f>
        <v>Medio Tanque Plastico Superior 700 Lts</v>
      </c>
      <c r="BM67" s="3" t="str">
        <f>IFERROR(__xludf.DUMMYFUNCTION("""COMPUTED_VALUE"""),"Paquete de Elasticos 50 mm x 8 mm x 10 Hojas L850")</f>
        <v>Paquete de Elasticos 50 mm x 8 mm x 10 Hojas L850</v>
      </c>
      <c r="BN67" s="3" t="str">
        <f>IFERROR(__xludf.DUMMYFUNCTION("""COMPUTED_VALUE"""),"Paquete de Elasticos 63 mm x 8 mm x 10 Hojas L950")</f>
        <v>Paquete de Elasticos 63 mm x 8 mm x 10 Hojas L950</v>
      </c>
      <c r="BO67" s="3" t="str">
        <f>IFERROR(__xludf.DUMMYFUNCTION("""COMPUTED_VALUE"""),"Paquete de Elasticos 50 mm x 7 mm x 9 Hojas L850")</f>
        <v>Paquete de Elasticos 50 mm x 7 mm x 9 Hojas L850</v>
      </c>
      <c r="BP67" s="3" t="str">
        <f>IFERROR(__xludf.DUMMYFUNCTION("""COMPUTED_VALUE"""),"Paquete de Elasticos 63 mm x 8 mm x 8 Hojas L850")</f>
        <v>Paquete de Elasticos 63 mm x 8 mm x 8 Hojas L850</v>
      </c>
      <c r="BQ67" s="3" t="str">
        <f>IFERROR(__xludf.DUMMYFUNCTION("""COMPUTED_VALUE"""),"Paquete de Elasticos 63 mm x 10 mm x 10 Hojas L950")</f>
        <v>Paquete de Elasticos 63 mm x 10 mm x 10 Hojas L950</v>
      </c>
      <c r="BR67" s="3" t="str">
        <f>IFERROR(__xludf.DUMMYFUNCTION("""COMPUTED_VALUE"""),"Paquete de Elasticos 63 mm x 10 mm x 13 Hojas L975")</f>
        <v>Paquete de Elasticos 63 mm x 10 mm x 13 Hojas L975</v>
      </c>
      <c r="BS67" s="3" t="str">
        <f>IFERROR(__xludf.DUMMYFUNCTION("""COMPUTED_VALUE"""),"Paquete de Elasticos 50 mm x 7 mm x 9 Hojas L650")</f>
        <v>Paquete de Elasticos 50 mm x 7 mm x 9 Hojas L650</v>
      </c>
      <c r="BT67" s="3" t="str">
        <f>IFERROR(__xludf.DUMMYFUNCTION("""COMPUTED_VALUE"""),"Eje Acoplado 2"" x 1600 (06/08) Agrícola Centro 92")</f>
        <v>Eje Acoplado 2" x 1600 (06/08) Agrícola Centro 92</v>
      </c>
      <c r="BU67" s="3" t="str">
        <f>IFERROR(__xludf.DUMMYFUNCTION("""COMPUTED_VALUE"""),"Eje Acoplado 2 1/2"" x 1600 (07/09) Agrícola Centro 92")</f>
        <v>Eje Acoplado 2 1/2" x 1600 (07/09) Agrícola Centro 92</v>
      </c>
      <c r="BV67" s="3" t="str">
        <f>IFERROR(__xludf.DUMMYFUNCTION("""COMPUTED_VALUE"""),"Eje Acoplado 2 1/2"" x 1600 (09/11) Agrícola Centro 150")</f>
        <v>Eje Acoplado 2 1/2" x 1600 (09/11) Agrícola Centro 150</v>
      </c>
      <c r="BW67" s="3" t="str">
        <f>IFERROR(__xludf.DUMMYFUNCTION("""COMPUTED_VALUE"""),"Eje Acoplado 3"" x 1600 (10/13) Agrícola Centro 150")</f>
        <v>Eje Acoplado 3" x 1600 (10/13) Agrícola Centro 150</v>
      </c>
      <c r="BX67" s="3" t="str">
        <f>IFERROR(__xludf.DUMMYFUNCTION("""COMPUTED_VALUE"""),"Eje Acoplado 2 1/2"" x 2140 (07/09) Agrícola Centro 92")</f>
        <v>Eje Acoplado 2 1/2" x 2140 (07/09) Agrícola Centro 92</v>
      </c>
      <c r="BY67" s="3" t="str">
        <f>IFERROR(__xludf.DUMMYFUNCTION("""COMPUTED_VALUE"""),"Eje Acoplado 2"" x 1400 (06/08) Agrícola Centro 92")</f>
        <v>Eje Acoplado 2" x 1400 (06/08) Agrícola Centro 92</v>
      </c>
      <c r="BZ67" s="3" t="str">
        <f>IFERROR(__xludf.DUMMYFUNCTION("""COMPUTED_VALUE"""),"Eje Acoplado 2 1/2"" x 1500 (07/09) Agrícola Centro 92")</f>
        <v>Eje Acoplado 2 1/2" x 1500 (07/09) Agrícola Centro 92</v>
      </c>
      <c r="CA67" s="3" t="str">
        <f>IFERROR(__xludf.DUMMYFUNCTION("""COMPUTED_VALUE"""),"Eje Acoplado 2 1/2"" x 2000 (07/09) Agrícola Centro 92")</f>
        <v>Eje Acoplado 2 1/2" x 2000 (07/09) Agrícola Centro 92</v>
      </c>
      <c r="CB67" s="3" t="str">
        <f>IFERROR(__xludf.DUMMYFUNCTION("""COMPUTED_VALUE"""),"Eje Acoplado 2 1/2"" x 2100 (09/11) Agrícola Centro 150")</f>
        <v>Eje Acoplado 2 1/2" x 2100 (09/11) Agrícola Centro 150</v>
      </c>
      <c r="CC67" s="3" t="str">
        <f>IFERROR(__xludf.DUMMYFUNCTION("""COMPUTED_VALUE"""),"Llanta 16"" Simple Agrícola Centro 92")</f>
        <v>Llanta 16" Simple Agrícola Centro 92</v>
      </c>
      <c r="CD67" s="3" t="str">
        <f>IFERROR(__xludf.DUMMYFUNCTION("""COMPUTED_VALUE"""),"Llanta 16"" Dual Agrícola Centro 92")</f>
        <v>Llanta 16" Dual Agrícola Centro 92</v>
      </c>
      <c r="CE67" s="3" t="str">
        <f>IFERROR(__xludf.DUMMYFUNCTION("""COMPUTED_VALUE"""),"Llanta 17"" Simple Agrícola Centro 92")</f>
        <v>Llanta 17" Simple Agrícola Centro 92</v>
      </c>
      <c r="CF67" s="3" t="str">
        <f>IFERROR(__xludf.DUMMYFUNCTION("""COMPUTED_VALUE"""),"Llanta 17"" Dual Agrícola Centro 92")</f>
        <v>Llanta 17" Dual Agrícola Centro 92</v>
      </c>
      <c r="CG67" s="3" t="str">
        <f>IFERROR(__xludf.DUMMYFUNCTION("""COMPUTED_VALUE"""),"Llanta 16"" Dual Agrícola Centro 152")</f>
        <v>Llanta 16" Dual Agrícola Centro 152</v>
      </c>
      <c r="CH67" s="3" t="str">
        <f>IFERROR(__xludf.DUMMYFUNCTION("""COMPUTED_VALUE"""),"Llanta 17"" Dual Agrícola Centro 152")</f>
        <v>Llanta 17" Dual Agrícola Centro 152</v>
      </c>
      <c r="CI67" s="3" t="str">
        <f>IFERROR(__xludf.DUMMYFUNCTION("""COMPUTED_VALUE"""),"Eje Acoplado 2"" x 1600 (05/07) Agrícola Centro 92")</f>
        <v>Eje Acoplado 2" x 1600 (05/07) Agrícola Centro 92</v>
      </c>
      <c r="CJ67" s="3" t="str">
        <f>IFERROR(__xludf.DUMMYFUNCTION("""COMPUTED_VALUE"""),"Paquete de Elásticos 50 mm x 8 mm x 12 Hojas")</f>
        <v>Paquete de Elásticos 50 mm x 8 mm x 12 Hojas</v>
      </c>
      <c r="CK67" s="3" t="str">
        <f>IFERROR(__xludf.DUMMYFUNCTION("""COMPUTED_VALUE"""),"Plataforma Playo 4.00 x 1.90 x 0.45 Lateral Simple Baranda Fija")</f>
        <v>Plataforma Playo 4.00 x 1.90 x 0.45 Lateral Simple Baranda Fija</v>
      </c>
      <c r="CL67" s="3" t="str">
        <f>IFERROR(__xludf.DUMMYFUNCTION("""COMPUTED_VALUE"""),"Plataforma Playo 4.00 x 1.90 x 0.45 Lateral Simple Baranda Ventilada")</f>
        <v>Plataforma Playo 4.00 x 1.90 x 0.45 Lateral Simple Baranda Ventilada</v>
      </c>
      <c r="CM67" s="3" t="str">
        <f>IFERROR(__xludf.DUMMYFUNCTION("""COMPUTED_VALUE"""),"Plataforma Playo 4.00 x 1.90 x 0.45 Lateral Doble Baranda Ventilada")</f>
        <v>Plataforma Playo 4.00 x 1.90 x 0.45 Lateral Doble Baranda Ventilada</v>
      </c>
      <c r="CN67" s="3" t="str">
        <f>IFERROR(__xludf.DUMMYFUNCTION("""COMPUTED_VALUE"""),"Plataforma Playo 4.00 x 1.90 x 0.45 Lateral Doble Baranda Fija")</f>
        <v>Plataforma Playo 4.00 x 1.90 x 0.45 Lateral Doble Baranda Fija</v>
      </c>
      <c r="CO67" s="3" t="str">
        <f>IFERROR(__xludf.DUMMYFUNCTION("""COMPUTED_VALUE"""),"Plataforma Playo 4.00 x 1.90 x 0.72 Lateral Simple Baranda Fija")</f>
        <v>Plataforma Playo 4.00 x 1.90 x 0.72 Lateral Simple Baranda Fija</v>
      </c>
      <c r="CP67" s="3" t="str">
        <f>IFERROR(__xludf.DUMMYFUNCTION("""COMPUTED_VALUE"""),"Plataforma Playo 4.00 x 1.90 x 0.72 Lateral Doble Baranda Fija")</f>
        <v>Plataforma Playo 4.00 x 1.90 x 0.72 Lateral Doble Baranda Fija</v>
      </c>
      <c r="CQ67" s="3" t="str">
        <f>IFERROR(__xludf.DUMMYFUNCTION("""COMPUTED_VALUE"""),"Plataforma Playo 5.00 x 2.20 x 0.60 Lateral Doble Trasera Rebatible")</f>
        <v>Plataforma Playo 5.00 x 2.20 x 0.60 Lateral Doble Trasera Rebatible</v>
      </c>
      <c r="CR67" s="3" t="str">
        <f>IFERROR(__xludf.DUMMYFUNCTION("""COMPUTED_VALUE"""),"Plataforma Playo 5.00 x 2.20 x 0.60 Lateral Doble Baranda Fija C/Toldo")</f>
        <v>Plataforma Playo 5.00 x 2.20 x 0.60 Lateral Doble Baranda Fija C/Toldo</v>
      </c>
      <c r="CS67" s="3" t="str">
        <f>IFERROR(__xludf.DUMMYFUNCTION("""COMPUTED_VALUE"""),"Plataforma Playo 3.00 x 1.90 x 0.45 Lateral Simple Baranda Fija")</f>
        <v>Plataforma Playo 3.00 x 1.90 x 0.45 Lateral Simple Baranda Fija</v>
      </c>
      <c r="CT67" s="3" t="str">
        <f>IFERROR(__xludf.DUMMYFUNCTION("""COMPUTED_VALUE"""),"Plataforma Playo 3.00 x 1.90 x 0.45 Lateral Simple Baranda Ventilada")</f>
        <v>Plataforma Playo 3.00 x 1.90 x 0.45 Lateral Simple Baranda Ventilada</v>
      </c>
      <c r="CU67" s="3" t="str">
        <f>IFERROR(__xludf.DUMMYFUNCTION("""COMPUTED_VALUE"""),"Plataforma Playo 2.00 x 1.90 x 0.45 Lateral Simple Baranda Fija")</f>
        <v>Plataforma Playo 2.00 x 1.90 x 0.45 Lateral Simple Baranda Fija</v>
      </c>
      <c r="CV67" s="3" t="str">
        <f>IFERROR(__xludf.DUMMYFUNCTION("""COMPUTED_VALUE"""),"Plataforma Playo 5.00 x 1.90 x 0.60 Lateral Doble Baranda Fija")</f>
        <v>Plataforma Playo 5.00 x 1.90 x 0.60 Lateral Doble Baranda Fija</v>
      </c>
      <c r="CW67" s="3" t="str">
        <f>IFERROR(__xludf.DUMMYFUNCTION("""COMPUTED_VALUE"""),"Plataforma Playo 6.40 x 2.70 x 0.72 Lateral Doble Baranda Fija")</f>
        <v>Plataforma Playo 6.40 x 2.70 x 0.72 Lateral Doble Baranda Fija</v>
      </c>
      <c r="CX67" s="3" t="str">
        <f>IFERROR(__xludf.DUMMYFUNCTION("""COMPUTED_VALUE"""),"Chasis Acoplado Balancin L4000 Lanza Recta")</f>
        <v>Chasis Acoplado Balancin L4000 Lanza Recta</v>
      </c>
      <c r="CY67" s="3" t="str">
        <f>IFERROR(__xludf.DUMMYFUNCTION("""COMPUTED_VALUE"""),"Llanta simple Agrícola 750x20 centro 152")</f>
        <v>Llanta simple Agrícola 750x20 centro 152</v>
      </c>
      <c r="CZ67" s="3" t="str">
        <f>IFERROR(__xludf.DUMMYFUNCTION("""COMPUTED_VALUE"""),"Cajón de Herramientas Mediano adelante")</f>
        <v>Cajón de Herramientas Mediano adelante</v>
      </c>
      <c r="DA67" s="3" t="str">
        <f>IFERROR(__xludf.DUMMYFUNCTION("""COMPUTED_VALUE"""),"Llanta 15"" Simple Agrícola Centro 92")</f>
        <v>Llanta 15" Simple Agrícola Centro 92</v>
      </c>
    </row>
    <row r="68" hidden="1">
      <c r="A68" s="38">
        <f t="shared" si="1"/>
        <v>67</v>
      </c>
      <c r="B68" s="38">
        <f>IF(F68="","",SUMIF(Prearmados!E:E,F68,Prearmados!A:A))</f>
        <v>11</v>
      </c>
      <c r="C68" s="38">
        <f>IF(F68="","",SUMIF(Productos!E:E,G68,Productos!A:A))</f>
        <v>93</v>
      </c>
      <c r="D68" s="83" t="str">
        <f t="array" ref="D68">IF(OR(F68="",F68="Seleccionar.."),"",XLOOKUP(F68,Prearmados!E:E,Prearmados!F:F,"",0,1))</f>
        <v>Acoplados Rurales</v>
      </c>
      <c r="E68" s="83">
        <f>IF(H68="","",SUMIF(Precio_Productos!K:K,C68,Precio_Productos!J:J)*H68)</f>
        <v>850000</v>
      </c>
      <c r="F68" s="84" t="s">
        <v>334</v>
      </c>
      <c r="G68" s="84" t="s">
        <v>88</v>
      </c>
      <c r="H68" s="13">
        <v>1.0</v>
      </c>
      <c r="P68" s="3" t="str">
        <f>IFERROR(__xludf.DUMMYFUNCTION("IF(OR(F68="""",F68=""Seleccionar..""),"""",TRANSPOSE(FILTER(Productos!E:E,(Productos!F:F=D68)+(Productos!F:F=XLOOKUP(D68,Implementos!B:B,Implementos!C:C,""-"",0,1)))))"),"Tanque Combustible 1100 lts Bajo")</f>
        <v>Tanque Combustible 1100 lts Bajo</v>
      </c>
      <c r="Q68" s="3" t="str">
        <f>IFERROR(__xludf.DUMMYFUNCTION("""COMPUTED_VALUE"""),"Tanque Combustible 1500 lts Standard")</f>
        <v>Tanque Combustible 1500 lts Standard</v>
      </c>
      <c r="R68" s="3" t="str">
        <f>IFERROR(__xludf.DUMMYFUNCTION("""COMPUTED_VALUE"""),"Tanque Combustible 1800 lts Standard")</f>
        <v>Tanque Combustible 1800 lts Standard</v>
      </c>
      <c r="S68" s="3" t="str">
        <f>IFERROR(__xludf.DUMMYFUNCTION("""COMPUTED_VALUE"""),"Tanque Combustible 2000 lts Bajo")</f>
        <v>Tanque Combustible 2000 lts Bajo</v>
      </c>
      <c r="T68" s="3" t="str">
        <f>IFERROR(__xludf.DUMMYFUNCTION("""COMPUTED_VALUE"""),"Tanque Combustible 2000 lts Standard")</f>
        <v>Tanque Combustible 2000 lts Standard</v>
      </c>
      <c r="U68" s="3" t="str">
        <f>IFERROR(__xludf.DUMMYFUNCTION("""COMPUTED_VALUE"""),"Tanque Combustible 3000 lts Standard")</f>
        <v>Tanque Combustible 3000 lts Standard</v>
      </c>
      <c r="V68" s="3" t="str">
        <f>IFERROR(__xludf.DUMMYFUNCTION("""COMPUTED_VALUE"""),"Tanque Combustible 3000 lts Alto")</f>
        <v>Tanque Combustible 3000 lts Alto</v>
      </c>
      <c r="W68" s="3" t="str">
        <f>IFERROR(__xludf.DUMMYFUNCTION("""COMPUTED_VALUE"""),"Tanque Combustible 4000 lts Standard")</f>
        <v>Tanque Combustible 4000 lts Standard</v>
      </c>
      <c r="X68" s="3" t="str">
        <f>IFERROR(__xludf.DUMMYFUNCTION("""COMPUTED_VALUE"""),"Tanque Combustible 5000 lts Standard")</f>
        <v>Tanque Combustible 5000 lts Standard</v>
      </c>
      <c r="Y68" s="3" t="str">
        <f>IFERROR(__xludf.DUMMYFUNCTION("""COMPUTED_VALUE"""),"Tanque Combustible 5000 lts Alto")</f>
        <v>Tanque Combustible 5000 lts Alto</v>
      </c>
      <c r="Z68" s="3" t="str">
        <f>IFERROR(__xludf.DUMMYFUNCTION("""COMPUTED_VALUE"""),"Tanque Combustible 2000 lts Alto")</f>
        <v>Tanque Combustible 2000 lts Alto</v>
      </c>
      <c r="AA68" s="3" t="str">
        <f>IFERROR(__xludf.DUMMYFUNCTION("""COMPUTED_VALUE"""),"Tanque Combustible 4000 lts Alto")</f>
        <v>Tanque Combustible 4000 lts Alto</v>
      </c>
      <c r="AB68" s="3" t="str">
        <f>IFERROR(__xludf.DUMMYFUNCTION("""COMPUTED_VALUE"""),"Baulera Standard - 750")</f>
        <v>Baulera Standard - 750</v>
      </c>
      <c r="AC68" s="3" t="str">
        <f>IFERROR(__xludf.DUMMYFUNCTION("""COMPUTED_VALUE"""),"Baulera Standard - 1700 - C/Laterales")</f>
        <v>Baulera Standard - 1700 - C/Laterales</v>
      </c>
      <c r="AD68" s="3" t="str">
        <f>IFERROR(__xludf.DUMMYFUNCTION("""COMPUTED_VALUE"""),"Baulera Standard - 1000 - C/Laterales")</f>
        <v>Baulera Standard - 1000 - C/Laterales</v>
      </c>
      <c r="AE68" s="3" t="str">
        <f>IFERROR(__xludf.DUMMYFUNCTION("""COMPUTED_VALUE"""),"Baulera Standard - 750 - C/Laterales")</f>
        <v>Baulera Standard - 750 - C/Laterales</v>
      </c>
      <c r="AF68" s="3" t="str">
        <f>IFERROR(__xludf.DUMMYFUNCTION("""COMPUTED_VALUE"""),"Baulera Standard - 1300 - C/Laterales")</f>
        <v>Baulera Standard - 1300 - C/Laterales</v>
      </c>
      <c r="AG68" s="3" t="str">
        <f>IFERROR(__xludf.DUMMYFUNCTION("""COMPUTED_VALUE"""),"Baulera Alta - 750")</f>
        <v>Baulera Alta - 750</v>
      </c>
      <c r="AH68" s="3" t="str">
        <f>IFERROR(__xludf.DUMMYFUNCTION("""COMPUTED_VALUE"""),"Baulera Alta - 1500 - C/Laterales")</f>
        <v>Baulera Alta - 1500 - C/Laterales</v>
      </c>
      <c r="AI68" s="3" t="str">
        <f>IFERROR(__xludf.DUMMYFUNCTION("""COMPUTED_VALUE"""),"Baulera Extendida 1700 - C/Laterales")</f>
        <v>Baulera Extendida 1700 - C/Laterales</v>
      </c>
      <c r="AJ68" s="3" t="str">
        <f>IFERROR(__xludf.DUMMYFUNCTION("""COMPUTED_VALUE"""),"Taller Móvil - 1500 x 1500 x 1700")</f>
        <v>Taller Móvil - 1500 x 1500 x 1700</v>
      </c>
      <c r="AK68" s="3" t="str">
        <f>IFERROR(__xludf.DUMMYFUNCTION("""COMPUTED_VALUE"""),"Cajón Herramientas Standard Derecho")</f>
        <v>Cajón Herramientas Standard Derecho</v>
      </c>
      <c r="AL68" s="3" t="str">
        <f>IFERROR(__xludf.DUMMYFUNCTION("""COMPUTED_VALUE"""),"Cajón Herramientas Standard Izquierdo")</f>
        <v>Cajón Herramientas Standard Izquierdo</v>
      </c>
      <c r="AM68" s="3" t="str">
        <f>IFERROR(__xludf.DUMMYFUNCTION("""COMPUTED_VALUE"""),"Cajón Herramientas Corto Derecho")</f>
        <v>Cajón Herramientas Corto Derecho</v>
      </c>
      <c r="AN68" s="3" t="str">
        <f>IFERROR(__xludf.DUMMYFUNCTION("""COMPUTED_VALUE"""),"Cajón Herramientas Corto Izquierdo")</f>
        <v>Cajón Herramientas Corto Izquierdo</v>
      </c>
      <c r="AO68" s="3" t="str">
        <f>IFERROR(__xludf.DUMMYFUNCTION("""COMPUTED_VALUE"""),"Cajón Herramientas Mediano Derecho")</f>
        <v>Cajón Herramientas Mediano Derecho</v>
      </c>
      <c r="AP68" s="3" t="str">
        <f>IFERROR(__xludf.DUMMYFUNCTION("""COMPUTED_VALUE"""),"Cajón Herramientas Mediano Izquierdo")</f>
        <v>Cajón Herramientas Mediano Izquierdo</v>
      </c>
      <c r="AQ68" s="3" t="str">
        <f>IFERROR(__xludf.DUMMYFUNCTION("""COMPUTED_VALUE"""),"Chasis Acoplado 2 Ejes L3000")</f>
        <v>Chasis Acoplado 2 Ejes L3000</v>
      </c>
      <c r="AR68" s="3" t="str">
        <f>IFERROR(__xludf.DUMMYFUNCTION("""COMPUTED_VALUE"""),"Chasis Acoplado 2 Ejes L3750")</f>
        <v>Chasis Acoplado 2 Ejes L3750</v>
      </c>
      <c r="AS68" s="3" t="str">
        <f>IFERROR(__xludf.DUMMYFUNCTION("""COMPUTED_VALUE"""),"Chasis Acoplado 2 Ejes L4000")</f>
        <v>Chasis Acoplado 2 Ejes L4000</v>
      </c>
      <c r="AT68" s="3" t="str">
        <f>IFERROR(__xludf.DUMMYFUNCTION("""COMPUTED_VALUE"""),"Chasis Acoplado 2 Ejes L4000 Reforzado")</f>
        <v>Chasis Acoplado 2 Ejes L4000 Reforzado</v>
      </c>
      <c r="AU68" s="3" t="str">
        <f>IFERROR(__xludf.DUMMYFUNCTION("""COMPUTED_VALUE"""),"Chasis Acoplado 2 Ejes L4750")</f>
        <v>Chasis Acoplado 2 Ejes L4750</v>
      </c>
      <c r="AV68" s="3" t="str">
        <f>IFERROR(__xludf.DUMMYFUNCTION("""COMPUTED_VALUE"""),"Chasis Acoplado 2 Ejes L4750 Reforzado")</f>
        <v>Chasis Acoplado 2 Ejes L4750 Reforzado</v>
      </c>
      <c r="AW68" s="3" t="str">
        <f>IFERROR(__xludf.DUMMYFUNCTION("""COMPUTED_VALUE"""),"Chasis Acoplado 2 Ejes L4750 Reforzado R. Camion")</f>
        <v>Chasis Acoplado 2 Ejes L4750 Reforzado R. Camion</v>
      </c>
      <c r="AX68" s="3" t="str">
        <f>IFERROR(__xludf.DUMMYFUNCTION("""COMPUTED_VALUE"""),"Chasis Acoplado 2 Ejes L5000")</f>
        <v>Chasis Acoplado 2 Ejes L5000</v>
      </c>
      <c r="AY68" s="3" t="str">
        <f>IFERROR(__xludf.DUMMYFUNCTION("""COMPUTED_VALUE"""),"Chasis Acoplado 2 Ejes L5750")</f>
        <v>Chasis Acoplado 2 Ejes L5750</v>
      </c>
      <c r="AZ68" s="3" t="str">
        <f>IFERROR(__xludf.DUMMYFUNCTION("""COMPUTED_VALUE"""),"Chasis Acoplado 2 Ejes L6400")</f>
        <v>Chasis Acoplado 2 Ejes L6400</v>
      </c>
      <c r="BA68" s="3" t="str">
        <f>IFERROR(__xludf.DUMMYFUNCTION("""COMPUTED_VALUE"""),"Chasis Acoplado 2 Ejes L4500")</f>
        <v>Chasis Acoplado 2 Ejes L4500</v>
      </c>
      <c r="BB68" s="3" t="str">
        <f>IFERROR(__xludf.DUMMYFUNCTION("""COMPUTED_VALUE"""),"Chasis Acoplado 1 Eje L1500")</f>
        <v>Chasis Acoplado 1 Eje L1500</v>
      </c>
      <c r="BC68" s="3" t="str">
        <f>IFERROR(__xludf.DUMMYFUNCTION("""COMPUTED_VALUE"""),"Chasis Acoplado 1 Eje L1800")</f>
        <v>Chasis Acoplado 1 Eje L1800</v>
      </c>
      <c r="BD68" s="3" t="str">
        <f>IFERROR(__xludf.DUMMYFUNCTION("""COMPUTED_VALUE"""),"Chasis Acoplado 1 Eje L1400")</f>
        <v>Chasis Acoplado 1 Eje L1400</v>
      </c>
      <c r="BE68" s="3" t="str">
        <f>IFERROR(__xludf.DUMMYFUNCTION("""COMPUTED_VALUE"""),"Chasis Acoplado Balancin L3000")</f>
        <v>Chasis Acoplado Balancin L3000</v>
      </c>
      <c r="BF68" s="3" t="str">
        <f>IFERROR(__xludf.DUMMYFUNCTION("""COMPUTED_VALUE"""),"Chasis Acoplado Balancin L3000 Lanza Corta")</f>
        <v>Chasis Acoplado Balancin L3000 Lanza Corta</v>
      </c>
      <c r="BG68" s="3" t="str">
        <f>IFERROR(__xludf.DUMMYFUNCTION("""COMPUTED_VALUE"""),"Chasis Acoplado Balancin L2000 Lanza Corta")</f>
        <v>Chasis Acoplado Balancin L2000 Lanza Corta</v>
      </c>
      <c r="BH68" s="3" t="str">
        <f>IFERROR(__xludf.DUMMYFUNCTION("""COMPUTED_VALUE"""),"Chasis Acoplado Balancin L3200 Lanza Corta")</f>
        <v>Chasis Acoplado Balancin L3200 Lanza Corta</v>
      </c>
      <c r="BI68" s="3" t="str">
        <f>IFERROR(__xludf.DUMMYFUNCTION("""COMPUTED_VALUE"""),"Chasis Acoplado Balancin L3200 Lanza Recta")</f>
        <v>Chasis Acoplado Balancin L3200 Lanza Recta</v>
      </c>
      <c r="BJ68" s="3" t="str">
        <f>IFERROR(__xludf.DUMMYFUNCTION("""COMPUTED_VALUE"""),"Chasis Acoplado Balancin L3200 Bajo Lanza Recta")</f>
        <v>Chasis Acoplado Balancin L3200 Bajo Lanza Recta</v>
      </c>
      <c r="BK68" s="3" t="str">
        <f>IFERROR(__xludf.DUMMYFUNCTION("""COMPUTED_VALUE"""),"Tanque Plastico Horizontal 750 Lts")</f>
        <v>Tanque Plastico Horizontal 750 Lts</v>
      </c>
      <c r="BL68" s="3" t="str">
        <f>IFERROR(__xludf.DUMMYFUNCTION("""COMPUTED_VALUE"""),"Medio Tanque Plastico Superior 700 Lts")</f>
        <v>Medio Tanque Plastico Superior 700 Lts</v>
      </c>
      <c r="BM68" s="3" t="str">
        <f>IFERROR(__xludf.DUMMYFUNCTION("""COMPUTED_VALUE"""),"Paquete de Elasticos 50 mm x 8 mm x 10 Hojas L850")</f>
        <v>Paquete de Elasticos 50 mm x 8 mm x 10 Hojas L850</v>
      </c>
      <c r="BN68" s="3" t="str">
        <f>IFERROR(__xludf.DUMMYFUNCTION("""COMPUTED_VALUE"""),"Paquete de Elasticos 63 mm x 8 mm x 10 Hojas L950")</f>
        <v>Paquete de Elasticos 63 mm x 8 mm x 10 Hojas L950</v>
      </c>
      <c r="BO68" s="3" t="str">
        <f>IFERROR(__xludf.DUMMYFUNCTION("""COMPUTED_VALUE"""),"Paquete de Elasticos 50 mm x 7 mm x 9 Hojas L850")</f>
        <v>Paquete de Elasticos 50 mm x 7 mm x 9 Hojas L850</v>
      </c>
      <c r="BP68" s="3" t="str">
        <f>IFERROR(__xludf.DUMMYFUNCTION("""COMPUTED_VALUE"""),"Paquete de Elasticos 63 mm x 8 mm x 8 Hojas L850")</f>
        <v>Paquete de Elasticos 63 mm x 8 mm x 8 Hojas L850</v>
      </c>
      <c r="BQ68" s="3" t="str">
        <f>IFERROR(__xludf.DUMMYFUNCTION("""COMPUTED_VALUE"""),"Paquete de Elasticos 63 mm x 10 mm x 10 Hojas L950")</f>
        <v>Paquete de Elasticos 63 mm x 10 mm x 10 Hojas L950</v>
      </c>
      <c r="BR68" s="3" t="str">
        <f>IFERROR(__xludf.DUMMYFUNCTION("""COMPUTED_VALUE"""),"Paquete de Elasticos 63 mm x 10 mm x 13 Hojas L975")</f>
        <v>Paquete de Elasticos 63 mm x 10 mm x 13 Hojas L975</v>
      </c>
      <c r="BS68" s="3" t="str">
        <f>IFERROR(__xludf.DUMMYFUNCTION("""COMPUTED_VALUE"""),"Paquete de Elasticos 50 mm x 7 mm x 9 Hojas L650")</f>
        <v>Paquete de Elasticos 50 mm x 7 mm x 9 Hojas L650</v>
      </c>
      <c r="BT68" s="3" t="str">
        <f>IFERROR(__xludf.DUMMYFUNCTION("""COMPUTED_VALUE"""),"Eje Acoplado 2"" x 1600 (06/08) Agrícola Centro 92")</f>
        <v>Eje Acoplado 2" x 1600 (06/08) Agrícola Centro 92</v>
      </c>
      <c r="BU68" s="3" t="str">
        <f>IFERROR(__xludf.DUMMYFUNCTION("""COMPUTED_VALUE"""),"Eje Acoplado 2 1/2"" x 1600 (07/09) Agrícola Centro 92")</f>
        <v>Eje Acoplado 2 1/2" x 1600 (07/09) Agrícola Centro 92</v>
      </c>
      <c r="BV68" s="3" t="str">
        <f>IFERROR(__xludf.DUMMYFUNCTION("""COMPUTED_VALUE"""),"Eje Acoplado 2 1/2"" x 1600 (09/11) Agrícola Centro 150")</f>
        <v>Eje Acoplado 2 1/2" x 1600 (09/11) Agrícola Centro 150</v>
      </c>
      <c r="BW68" s="3" t="str">
        <f>IFERROR(__xludf.DUMMYFUNCTION("""COMPUTED_VALUE"""),"Eje Acoplado 3"" x 1600 (10/13) Agrícola Centro 150")</f>
        <v>Eje Acoplado 3" x 1600 (10/13) Agrícola Centro 150</v>
      </c>
      <c r="BX68" s="3" t="str">
        <f>IFERROR(__xludf.DUMMYFUNCTION("""COMPUTED_VALUE"""),"Eje Acoplado 2 1/2"" x 2140 (07/09) Agrícola Centro 92")</f>
        <v>Eje Acoplado 2 1/2" x 2140 (07/09) Agrícola Centro 92</v>
      </c>
      <c r="BY68" s="3" t="str">
        <f>IFERROR(__xludf.DUMMYFUNCTION("""COMPUTED_VALUE"""),"Eje Acoplado 2"" x 1400 (06/08) Agrícola Centro 92")</f>
        <v>Eje Acoplado 2" x 1400 (06/08) Agrícola Centro 92</v>
      </c>
      <c r="BZ68" s="3" t="str">
        <f>IFERROR(__xludf.DUMMYFUNCTION("""COMPUTED_VALUE"""),"Eje Acoplado 2 1/2"" x 1500 (07/09) Agrícola Centro 92")</f>
        <v>Eje Acoplado 2 1/2" x 1500 (07/09) Agrícola Centro 92</v>
      </c>
      <c r="CA68" s="3" t="str">
        <f>IFERROR(__xludf.DUMMYFUNCTION("""COMPUTED_VALUE"""),"Eje Acoplado 2 1/2"" x 2000 (07/09) Agrícola Centro 92")</f>
        <v>Eje Acoplado 2 1/2" x 2000 (07/09) Agrícola Centro 92</v>
      </c>
      <c r="CB68" s="3" t="str">
        <f>IFERROR(__xludf.DUMMYFUNCTION("""COMPUTED_VALUE"""),"Eje Acoplado 2 1/2"" x 2100 (09/11) Agrícola Centro 150")</f>
        <v>Eje Acoplado 2 1/2" x 2100 (09/11) Agrícola Centro 150</v>
      </c>
      <c r="CC68" s="3" t="str">
        <f>IFERROR(__xludf.DUMMYFUNCTION("""COMPUTED_VALUE"""),"Llanta 16"" Simple Agrícola Centro 92")</f>
        <v>Llanta 16" Simple Agrícola Centro 92</v>
      </c>
      <c r="CD68" s="3" t="str">
        <f>IFERROR(__xludf.DUMMYFUNCTION("""COMPUTED_VALUE"""),"Llanta 16"" Dual Agrícola Centro 92")</f>
        <v>Llanta 16" Dual Agrícola Centro 92</v>
      </c>
      <c r="CE68" s="3" t="str">
        <f>IFERROR(__xludf.DUMMYFUNCTION("""COMPUTED_VALUE"""),"Llanta 17"" Simple Agrícola Centro 92")</f>
        <v>Llanta 17" Simple Agrícola Centro 92</v>
      </c>
      <c r="CF68" s="3" t="str">
        <f>IFERROR(__xludf.DUMMYFUNCTION("""COMPUTED_VALUE"""),"Llanta 17"" Dual Agrícola Centro 92")</f>
        <v>Llanta 17" Dual Agrícola Centro 92</v>
      </c>
      <c r="CG68" s="3" t="str">
        <f>IFERROR(__xludf.DUMMYFUNCTION("""COMPUTED_VALUE"""),"Llanta 16"" Dual Agrícola Centro 152")</f>
        <v>Llanta 16" Dual Agrícola Centro 152</v>
      </c>
      <c r="CH68" s="3" t="str">
        <f>IFERROR(__xludf.DUMMYFUNCTION("""COMPUTED_VALUE"""),"Llanta 17"" Dual Agrícola Centro 152")</f>
        <v>Llanta 17" Dual Agrícola Centro 152</v>
      </c>
      <c r="CI68" s="3" t="str">
        <f>IFERROR(__xludf.DUMMYFUNCTION("""COMPUTED_VALUE"""),"Eje Acoplado 2"" x 1600 (05/07) Agrícola Centro 92")</f>
        <v>Eje Acoplado 2" x 1600 (05/07) Agrícola Centro 92</v>
      </c>
      <c r="CJ68" s="3" t="str">
        <f>IFERROR(__xludf.DUMMYFUNCTION("""COMPUTED_VALUE"""),"Paquete de Elásticos 50 mm x 8 mm x 12 Hojas")</f>
        <v>Paquete de Elásticos 50 mm x 8 mm x 12 Hojas</v>
      </c>
      <c r="CK68" s="3" t="str">
        <f>IFERROR(__xludf.DUMMYFUNCTION("""COMPUTED_VALUE"""),"Plataforma Playo 4.00 x 1.90 x 0.45 Lateral Simple Baranda Fija")</f>
        <v>Plataforma Playo 4.00 x 1.90 x 0.45 Lateral Simple Baranda Fija</v>
      </c>
      <c r="CL68" s="3" t="str">
        <f>IFERROR(__xludf.DUMMYFUNCTION("""COMPUTED_VALUE"""),"Plataforma Playo 4.00 x 1.90 x 0.45 Lateral Simple Baranda Ventilada")</f>
        <v>Plataforma Playo 4.00 x 1.90 x 0.45 Lateral Simple Baranda Ventilada</v>
      </c>
      <c r="CM68" s="3" t="str">
        <f>IFERROR(__xludf.DUMMYFUNCTION("""COMPUTED_VALUE"""),"Plataforma Playo 4.00 x 1.90 x 0.45 Lateral Doble Baranda Ventilada")</f>
        <v>Plataforma Playo 4.00 x 1.90 x 0.45 Lateral Doble Baranda Ventilada</v>
      </c>
      <c r="CN68" s="3" t="str">
        <f>IFERROR(__xludf.DUMMYFUNCTION("""COMPUTED_VALUE"""),"Plataforma Playo 4.00 x 1.90 x 0.45 Lateral Doble Baranda Fija")</f>
        <v>Plataforma Playo 4.00 x 1.90 x 0.45 Lateral Doble Baranda Fija</v>
      </c>
      <c r="CO68" s="3" t="str">
        <f>IFERROR(__xludf.DUMMYFUNCTION("""COMPUTED_VALUE"""),"Plataforma Playo 4.00 x 1.90 x 0.72 Lateral Simple Baranda Fija")</f>
        <v>Plataforma Playo 4.00 x 1.90 x 0.72 Lateral Simple Baranda Fija</v>
      </c>
      <c r="CP68" s="3" t="str">
        <f>IFERROR(__xludf.DUMMYFUNCTION("""COMPUTED_VALUE"""),"Plataforma Playo 4.00 x 1.90 x 0.72 Lateral Doble Baranda Fija")</f>
        <v>Plataforma Playo 4.00 x 1.90 x 0.72 Lateral Doble Baranda Fija</v>
      </c>
      <c r="CQ68" s="3" t="str">
        <f>IFERROR(__xludf.DUMMYFUNCTION("""COMPUTED_VALUE"""),"Plataforma Playo 5.00 x 2.20 x 0.60 Lateral Doble Trasera Rebatible")</f>
        <v>Plataforma Playo 5.00 x 2.20 x 0.60 Lateral Doble Trasera Rebatible</v>
      </c>
      <c r="CR68" s="3" t="str">
        <f>IFERROR(__xludf.DUMMYFUNCTION("""COMPUTED_VALUE"""),"Plataforma Playo 5.00 x 2.20 x 0.60 Lateral Doble Baranda Fija C/Toldo")</f>
        <v>Plataforma Playo 5.00 x 2.20 x 0.60 Lateral Doble Baranda Fija C/Toldo</v>
      </c>
      <c r="CS68" s="3" t="str">
        <f>IFERROR(__xludf.DUMMYFUNCTION("""COMPUTED_VALUE"""),"Plataforma Playo 3.00 x 1.90 x 0.45 Lateral Simple Baranda Fija")</f>
        <v>Plataforma Playo 3.00 x 1.90 x 0.45 Lateral Simple Baranda Fija</v>
      </c>
      <c r="CT68" s="3" t="str">
        <f>IFERROR(__xludf.DUMMYFUNCTION("""COMPUTED_VALUE"""),"Plataforma Playo 3.00 x 1.90 x 0.45 Lateral Simple Baranda Ventilada")</f>
        <v>Plataforma Playo 3.00 x 1.90 x 0.45 Lateral Simple Baranda Ventilada</v>
      </c>
      <c r="CU68" s="3" t="str">
        <f>IFERROR(__xludf.DUMMYFUNCTION("""COMPUTED_VALUE"""),"Plataforma Playo 2.00 x 1.90 x 0.45 Lateral Simple Baranda Fija")</f>
        <v>Plataforma Playo 2.00 x 1.90 x 0.45 Lateral Simple Baranda Fija</v>
      </c>
      <c r="CV68" s="3" t="str">
        <f>IFERROR(__xludf.DUMMYFUNCTION("""COMPUTED_VALUE"""),"Plataforma Playo 5.00 x 1.90 x 0.60 Lateral Doble Baranda Fija")</f>
        <v>Plataforma Playo 5.00 x 1.90 x 0.60 Lateral Doble Baranda Fija</v>
      </c>
      <c r="CW68" s="3" t="str">
        <f>IFERROR(__xludf.DUMMYFUNCTION("""COMPUTED_VALUE"""),"Plataforma Playo 6.40 x 2.70 x 0.72 Lateral Doble Baranda Fija")</f>
        <v>Plataforma Playo 6.40 x 2.70 x 0.72 Lateral Doble Baranda Fija</v>
      </c>
      <c r="CX68" s="3" t="str">
        <f>IFERROR(__xludf.DUMMYFUNCTION("""COMPUTED_VALUE"""),"Chasis Acoplado Balancin L4000 Lanza Recta")</f>
        <v>Chasis Acoplado Balancin L4000 Lanza Recta</v>
      </c>
      <c r="CY68" s="3" t="str">
        <f>IFERROR(__xludf.DUMMYFUNCTION("""COMPUTED_VALUE"""),"Llanta simple Agrícola 750x20 centro 152")</f>
        <v>Llanta simple Agrícola 750x20 centro 152</v>
      </c>
      <c r="CZ68" s="3" t="str">
        <f>IFERROR(__xludf.DUMMYFUNCTION("""COMPUTED_VALUE"""),"Cajón de Herramientas Mediano adelante")</f>
        <v>Cajón de Herramientas Mediano adelante</v>
      </c>
      <c r="DA68" s="3" t="str">
        <f>IFERROR(__xludf.DUMMYFUNCTION("""COMPUTED_VALUE"""),"Llanta 15"" Simple Agrícola Centro 92")</f>
        <v>Llanta 15" Simple Agrícola Centro 92</v>
      </c>
    </row>
    <row r="69" hidden="1">
      <c r="A69" s="38">
        <f t="shared" si="1"/>
        <v>68</v>
      </c>
      <c r="B69" s="38">
        <f>IF(F69="","",SUMIF(Prearmados!E:E,F69,Prearmados!A:A))</f>
        <v>11</v>
      </c>
      <c r="C69" s="38">
        <f>IF(F69="","",SUMIF(Productos!E:E,G69,Productos!A:A))</f>
        <v>66</v>
      </c>
      <c r="D69" s="83" t="str">
        <f t="array" ref="D69">IF(OR(F69="",F69="Seleccionar.."),"",XLOOKUP(F69,Prearmados!E:E,Prearmados!F:F,"",0,1))</f>
        <v>Acoplados Rurales</v>
      </c>
      <c r="E69" s="83">
        <f>IF(H69="","",SUMIF(Precio_Productos!K:K,C69,Precio_Productos!J:J)*H69)</f>
        <v>292579</v>
      </c>
      <c r="F69" s="84" t="s">
        <v>334</v>
      </c>
      <c r="G69" s="84" t="s">
        <v>79</v>
      </c>
      <c r="H69" s="13">
        <v>1.0</v>
      </c>
      <c r="P69" s="3" t="str">
        <f>IFERROR(__xludf.DUMMYFUNCTION("IF(OR(F69="""",F69=""Seleccionar..""),"""",TRANSPOSE(FILTER(Productos!E:E,(Productos!F:F=D69)+(Productos!F:F=XLOOKUP(D69,Implementos!B:B,Implementos!C:C,""-"",0,1)))))"),"Tanque Combustible 1100 lts Bajo")</f>
        <v>Tanque Combustible 1100 lts Bajo</v>
      </c>
      <c r="Q69" s="3" t="str">
        <f>IFERROR(__xludf.DUMMYFUNCTION("""COMPUTED_VALUE"""),"Tanque Combustible 1500 lts Standard")</f>
        <v>Tanque Combustible 1500 lts Standard</v>
      </c>
      <c r="R69" s="3" t="str">
        <f>IFERROR(__xludf.DUMMYFUNCTION("""COMPUTED_VALUE"""),"Tanque Combustible 1800 lts Standard")</f>
        <v>Tanque Combustible 1800 lts Standard</v>
      </c>
      <c r="S69" s="3" t="str">
        <f>IFERROR(__xludf.DUMMYFUNCTION("""COMPUTED_VALUE"""),"Tanque Combustible 2000 lts Bajo")</f>
        <v>Tanque Combustible 2000 lts Bajo</v>
      </c>
      <c r="T69" s="3" t="str">
        <f>IFERROR(__xludf.DUMMYFUNCTION("""COMPUTED_VALUE"""),"Tanque Combustible 2000 lts Standard")</f>
        <v>Tanque Combustible 2000 lts Standard</v>
      </c>
      <c r="U69" s="3" t="str">
        <f>IFERROR(__xludf.DUMMYFUNCTION("""COMPUTED_VALUE"""),"Tanque Combustible 3000 lts Standard")</f>
        <v>Tanque Combustible 3000 lts Standard</v>
      </c>
      <c r="V69" s="3" t="str">
        <f>IFERROR(__xludf.DUMMYFUNCTION("""COMPUTED_VALUE"""),"Tanque Combustible 3000 lts Alto")</f>
        <v>Tanque Combustible 3000 lts Alto</v>
      </c>
      <c r="W69" s="3" t="str">
        <f>IFERROR(__xludf.DUMMYFUNCTION("""COMPUTED_VALUE"""),"Tanque Combustible 4000 lts Standard")</f>
        <v>Tanque Combustible 4000 lts Standard</v>
      </c>
      <c r="X69" s="3" t="str">
        <f>IFERROR(__xludf.DUMMYFUNCTION("""COMPUTED_VALUE"""),"Tanque Combustible 5000 lts Standard")</f>
        <v>Tanque Combustible 5000 lts Standard</v>
      </c>
      <c r="Y69" s="3" t="str">
        <f>IFERROR(__xludf.DUMMYFUNCTION("""COMPUTED_VALUE"""),"Tanque Combustible 5000 lts Alto")</f>
        <v>Tanque Combustible 5000 lts Alto</v>
      </c>
      <c r="Z69" s="3" t="str">
        <f>IFERROR(__xludf.DUMMYFUNCTION("""COMPUTED_VALUE"""),"Tanque Combustible 2000 lts Alto")</f>
        <v>Tanque Combustible 2000 lts Alto</v>
      </c>
      <c r="AA69" s="3" t="str">
        <f>IFERROR(__xludf.DUMMYFUNCTION("""COMPUTED_VALUE"""),"Tanque Combustible 4000 lts Alto")</f>
        <v>Tanque Combustible 4000 lts Alto</v>
      </c>
      <c r="AB69" s="3" t="str">
        <f>IFERROR(__xludf.DUMMYFUNCTION("""COMPUTED_VALUE"""),"Baulera Standard - 750")</f>
        <v>Baulera Standard - 750</v>
      </c>
      <c r="AC69" s="3" t="str">
        <f>IFERROR(__xludf.DUMMYFUNCTION("""COMPUTED_VALUE"""),"Baulera Standard - 1700 - C/Laterales")</f>
        <v>Baulera Standard - 1700 - C/Laterales</v>
      </c>
      <c r="AD69" s="3" t="str">
        <f>IFERROR(__xludf.DUMMYFUNCTION("""COMPUTED_VALUE"""),"Baulera Standard - 1000 - C/Laterales")</f>
        <v>Baulera Standard - 1000 - C/Laterales</v>
      </c>
      <c r="AE69" s="3" t="str">
        <f>IFERROR(__xludf.DUMMYFUNCTION("""COMPUTED_VALUE"""),"Baulera Standard - 750 - C/Laterales")</f>
        <v>Baulera Standard - 750 - C/Laterales</v>
      </c>
      <c r="AF69" s="3" t="str">
        <f>IFERROR(__xludf.DUMMYFUNCTION("""COMPUTED_VALUE"""),"Baulera Standard - 1300 - C/Laterales")</f>
        <v>Baulera Standard - 1300 - C/Laterales</v>
      </c>
      <c r="AG69" s="3" t="str">
        <f>IFERROR(__xludf.DUMMYFUNCTION("""COMPUTED_VALUE"""),"Baulera Alta - 750")</f>
        <v>Baulera Alta - 750</v>
      </c>
      <c r="AH69" s="3" t="str">
        <f>IFERROR(__xludf.DUMMYFUNCTION("""COMPUTED_VALUE"""),"Baulera Alta - 1500 - C/Laterales")</f>
        <v>Baulera Alta - 1500 - C/Laterales</v>
      </c>
      <c r="AI69" s="3" t="str">
        <f>IFERROR(__xludf.DUMMYFUNCTION("""COMPUTED_VALUE"""),"Baulera Extendida 1700 - C/Laterales")</f>
        <v>Baulera Extendida 1700 - C/Laterales</v>
      </c>
      <c r="AJ69" s="3" t="str">
        <f>IFERROR(__xludf.DUMMYFUNCTION("""COMPUTED_VALUE"""),"Taller Móvil - 1500 x 1500 x 1700")</f>
        <v>Taller Móvil - 1500 x 1500 x 1700</v>
      </c>
      <c r="AK69" s="3" t="str">
        <f>IFERROR(__xludf.DUMMYFUNCTION("""COMPUTED_VALUE"""),"Cajón Herramientas Standard Derecho")</f>
        <v>Cajón Herramientas Standard Derecho</v>
      </c>
      <c r="AL69" s="3" t="str">
        <f>IFERROR(__xludf.DUMMYFUNCTION("""COMPUTED_VALUE"""),"Cajón Herramientas Standard Izquierdo")</f>
        <v>Cajón Herramientas Standard Izquierdo</v>
      </c>
      <c r="AM69" s="3" t="str">
        <f>IFERROR(__xludf.DUMMYFUNCTION("""COMPUTED_VALUE"""),"Cajón Herramientas Corto Derecho")</f>
        <v>Cajón Herramientas Corto Derecho</v>
      </c>
      <c r="AN69" s="3" t="str">
        <f>IFERROR(__xludf.DUMMYFUNCTION("""COMPUTED_VALUE"""),"Cajón Herramientas Corto Izquierdo")</f>
        <v>Cajón Herramientas Corto Izquierdo</v>
      </c>
      <c r="AO69" s="3" t="str">
        <f>IFERROR(__xludf.DUMMYFUNCTION("""COMPUTED_VALUE"""),"Cajón Herramientas Mediano Derecho")</f>
        <v>Cajón Herramientas Mediano Derecho</v>
      </c>
      <c r="AP69" s="3" t="str">
        <f>IFERROR(__xludf.DUMMYFUNCTION("""COMPUTED_VALUE"""),"Cajón Herramientas Mediano Izquierdo")</f>
        <v>Cajón Herramientas Mediano Izquierdo</v>
      </c>
      <c r="AQ69" s="3" t="str">
        <f>IFERROR(__xludf.DUMMYFUNCTION("""COMPUTED_VALUE"""),"Chasis Acoplado 2 Ejes L3000")</f>
        <v>Chasis Acoplado 2 Ejes L3000</v>
      </c>
      <c r="AR69" s="3" t="str">
        <f>IFERROR(__xludf.DUMMYFUNCTION("""COMPUTED_VALUE"""),"Chasis Acoplado 2 Ejes L3750")</f>
        <v>Chasis Acoplado 2 Ejes L3750</v>
      </c>
      <c r="AS69" s="3" t="str">
        <f>IFERROR(__xludf.DUMMYFUNCTION("""COMPUTED_VALUE"""),"Chasis Acoplado 2 Ejes L4000")</f>
        <v>Chasis Acoplado 2 Ejes L4000</v>
      </c>
      <c r="AT69" s="3" t="str">
        <f>IFERROR(__xludf.DUMMYFUNCTION("""COMPUTED_VALUE"""),"Chasis Acoplado 2 Ejes L4000 Reforzado")</f>
        <v>Chasis Acoplado 2 Ejes L4000 Reforzado</v>
      </c>
      <c r="AU69" s="3" t="str">
        <f>IFERROR(__xludf.DUMMYFUNCTION("""COMPUTED_VALUE"""),"Chasis Acoplado 2 Ejes L4750")</f>
        <v>Chasis Acoplado 2 Ejes L4750</v>
      </c>
      <c r="AV69" s="3" t="str">
        <f>IFERROR(__xludf.DUMMYFUNCTION("""COMPUTED_VALUE"""),"Chasis Acoplado 2 Ejes L4750 Reforzado")</f>
        <v>Chasis Acoplado 2 Ejes L4750 Reforzado</v>
      </c>
      <c r="AW69" s="3" t="str">
        <f>IFERROR(__xludf.DUMMYFUNCTION("""COMPUTED_VALUE"""),"Chasis Acoplado 2 Ejes L4750 Reforzado R. Camion")</f>
        <v>Chasis Acoplado 2 Ejes L4750 Reforzado R. Camion</v>
      </c>
      <c r="AX69" s="3" t="str">
        <f>IFERROR(__xludf.DUMMYFUNCTION("""COMPUTED_VALUE"""),"Chasis Acoplado 2 Ejes L5000")</f>
        <v>Chasis Acoplado 2 Ejes L5000</v>
      </c>
      <c r="AY69" s="3" t="str">
        <f>IFERROR(__xludf.DUMMYFUNCTION("""COMPUTED_VALUE"""),"Chasis Acoplado 2 Ejes L5750")</f>
        <v>Chasis Acoplado 2 Ejes L5750</v>
      </c>
      <c r="AZ69" s="3" t="str">
        <f>IFERROR(__xludf.DUMMYFUNCTION("""COMPUTED_VALUE"""),"Chasis Acoplado 2 Ejes L6400")</f>
        <v>Chasis Acoplado 2 Ejes L6400</v>
      </c>
      <c r="BA69" s="3" t="str">
        <f>IFERROR(__xludf.DUMMYFUNCTION("""COMPUTED_VALUE"""),"Chasis Acoplado 2 Ejes L4500")</f>
        <v>Chasis Acoplado 2 Ejes L4500</v>
      </c>
      <c r="BB69" s="3" t="str">
        <f>IFERROR(__xludf.DUMMYFUNCTION("""COMPUTED_VALUE"""),"Chasis Acoplado 1 Eje L1500")</f>
        <v>Chasis Acoplado 1 Eje L1500</v>
      </c>
      <c r="BC69" s="3" t="str">
        <f>IFERROR(__xludf.DUMMYFUNCTION("""COMPUTED_VALUE"""),"Chasis Acoplado 1 Eje L1800")</f>
        <v>Chasis Acoplado 1 Eje L1800</v>
      </c>
      <c r="BD69" s="3" t="str">
        <f>IFERROR(__xludf.DUMMYFUNCTION("""COMPUTED_VALUE"""),"Chasis Acoplado 1 Eje L1400")</f>
        <v>Chasis Acoplado 1 Eje L1400</v>
      </c>
      <c r="BE69" s="3" t="str">
        <f>IFERROR(__xludf.DUMMYFUNCTION("""COMPUTED_VALUE"""),"Chasis Acoplado Balancin L3000")</f>
        <v>Chasis Acoplado Balancin L3000</v>
      </c>
      <c r="BF69" s="3" t="str">
        <f>IFERROR(__xludf.DUMMYFUNCTION("""COMPUTED_VALUE"""),"Chasis Acoplado Balancin L3000 Lanza Corta")</f>
        <v>Chasis Acoplado Balancin L3000 Lanza Corta</v>
      </c>
      <c r="BG69" s="3" t="str">
        <f>IFERROR(__xludf.DUMMYFUNCTION("""COMPUTED_VALUE"""),"Chasis Acoplado Balancin L2000 Lanza Corta")</f>
        <v>Chasis Acoplado Balancin L2000 Lanza Corta</v>
      </c>
      <c r="BH69" s="3" t="str">
        <f>IFERROR(__xludf.DUMMYFUNCTION("""COMPUTED_VALUE"""),"Chasis Acoplado Balancin L3200 Lanza Corta")</f>
        <v>Chasis Acoplado Balancin L3200 Lanza Corta</v>
      </c>
      <c r="BI69" s="3" t="str">
        <f>IFERROR(__xludf.DUMMYFUNCTION("""COMPUTED_VALUE"""),"Chasis Acoplado Balancin L3200 Lanza Recta")</f>
        <v>Chasis Acoplado Balancin L3200 Lanza Recta</v>
      </c>
      <c r="BJ69" s="3" t="str">
        <f>IFERROR(__xludf.DUMMYFUNCTION("""COMPUTED_VALUE"""),"Chasis Acoplado Balancin L3200 Bajo Lanza Recta")</f>
        <v>Chasis Acoplado Balancin L3200 Bajo Lanza Recta</v>
      </c>
      <c r="BK69" s="3" t="str">
        <f>IFERROR(__xludf.DUMMYFUNCTION("""COMPUTED_VALUE"""),"Tanque Plastico Horizontal 750 Lts")</f>
        <v>Tanque Plastico Horizontal 750 Lts</v>
      </c>
      <c r="BL69" s="3" t="str">
        <f>IFERROR(__xludf.DUMMYFUNCTION("""COMPUTED_VALUE"""),"Medio Tanque Plastico Superior 700 Lts")</f>
        <v>Medio Tanque Plastico Superior 700 Lts</v>
      </c>
      <c r="BM69" s="3" t="str">
        <f>IFERROR(__xludf.DUMMYFUNCTION("""COMPUTED_VALUE"""),"Paquete de Elasticos 50 mm x 8 mm x 10 Hojas L850")</f>
        <v>Paquete de Elasticos 50 mm x 8 mm x 10 Hojas L850</v>
      </c>
      <c r="BN69" s="3" t="str">
        <f>IFERROR(__xludf.DUMMYFUNCTION("""COMPUTED_VALUE"""),"Paquete de Elasticos 63 mm x 8 mm x 10 Hojas L950")</f>
        <v>Paquete de Elasticos 63 mm x 8 mm x 10 Hojas L950</v>
      </c>
      <c r="BO69" s="3" t="str">
        <f>IFERROR(__xludf.DUMMYFUNCTION("""COMPUTED_VALUE"""),"Paquete de Elasticos 50 mm x 7 mm x 9 Hojas L850")</f>
        <v>Paquete de Elasticos 50 mm x 7 mm x 9 Hojas L850</v>
      </c>
      <c r="BP69" s="3" t="str">
        <f>IFERROR(__xludf.DUMMYFUNCTION("""COMPUTED_VALUE"""),"Paquete de Elasticos 63 mm x 8 mm x 8 Hojas L850")</f>
        <v>Paquete de Elasticos 63 mm x 8 mm x 8 Hojas L850</v>
      </c>
      <c r="BQ69" s="3" t="str">
        <f>IFERROR(__xludf.DUMMYFUNCTION("""COMPUTED_VALUE"""),"Paquete de Elasticos 63 mm x 10 mm x 10 Hojas L950")</f>
        <v>Paquete de Elasticos 63 mm x 10 mm x 10 Hojas L950</v>
      </c>
      <c r="BR69" s="3" t="str">
        <f>IFERROR(__xludf.DUMMYFUNCTION("""COMPUTED_VALUE"""),"Paquete de Elasticos 63 mm x 10 mm x 13 Hojas L975")</f>
        <v>Paquete de Elasticos 63 mm x 10 mm x 13 Hojas L975</v>
      </c>
      <c r="BS69" s="3" t="str">
        <f>IFERROR(__xludf.DUMMYFUNCTION("""COMPUTED_VALUE"""),"Paquete de Elasticos 50 mm x 7 mm x 9 Hojas L650")</f>
        <v>Paquete de Elasticos 50 mm x 7 mm x 9 Hojas L650</v>
      </c>
      <c r="BT69" s="3" t="str">
        <f>IFERROR(__xludf.DUMMYFUNCTION("""COMPUTED_VALUE"""),"Eje Acoplado 2"" x 1600 (06/08) Agrícola Centro 92")</f>
        <v>Eje Acoplado 2" x 1600 (06/08) Agrícola Centro 92</v>
      </c>
      <c r="BU69" s="3" t="str">
        <f>IFERROR(__xludf.DUMMYFUNCTION("""COMPUTED_VALUE"""),"Eje Acoplado 2 1/2"" x 1600 (07/09) Agrícola Centro 92")</f>
        <v>Eje Acoplado 2 1/2" x 1600 (07/09) Agrícola Centro 92</v>
      </c>
      <c r="BV69" s="3" t="str">
        <f>IFERROR(__xludf.DUMMYFUNCTION("""COMPUTED_VALUE"""),"Eje Acoplado 2 1/2"" x 1600 (09/11) Agrícola Centro 150")</f>
        <v>Eje Acoplado 2 1/2" x 1600 (09/11) Agrícola Centro 150</v>
      </c>
      <c r="BW69" s="3" t="str">
        <f>IFERROR(__xludf.DUMMYFUNCTION("""COMPUTED_VALUE"""),"Eje Acoplado 3"" x 1600 (10/13) Agrícola Centro 150")</f>
        <v>Eje Acoplado 3" x 1600 (10/13) Agrícola Centro 150</v>
      </c>
      <c r="BX69" s="3" t="str">
        <f>IFERROR(__xludf.DUMMYFUNCTION("""COMPUTED_VALUE"""),"Eje Acoplado 2 1/2"" x 2140 (07/09) Agrícola Centro 92")</f>
        <v>Eje Acoplado 2 1/2" x 2140 (07/09) Agrícola Centro 92</v>
      </c>
      <c r="BY69" s="3" t="str">
        <f>IFERROR(__xludf.DUMMYFUNCTION("""COMPUTED_VALUE"""),"Eje Acoplado 2"" x 1400 (06/08) Agrícola Centro 92")</f>
        <v>Eje Acoplado 2" x 1400 (06/08) Agrícola Centro 92</v>
      </c>
      <c r="BZ69" s="3" t="str">
        <f>IFERROR(__xludf.DUMMYFUNCTION("""COMPUTED_VALUE"""),"Eje Acoplado 2 1/2"" x 1500 (07/09) Agrícola Centro 92")</f>
        <v>Eje Acoplado 2 1/2" x 1500 (07/09) Agrícola Centro 92</v>
      </c>
      <c r="CA69" s="3" t="str">
        <f>IFERROR(__xludf.DUMMYFUNCTION("""COMPUTED_VALUE"""),"Eje Acoplado 2 1/2"" x 2000 (07/09) Agrícola Centro 92")</f>
        <v>Eje Acoplado 2 1/2" x 2000 (07/09) Agrícola Centro 92</v>
      </c>
      <c r="CB69" s="3" t="str">
        <f>IFERROR(__xludf.DUMMYFUNCTION("""COMPUTED_VALUE"""),"Eje Acoplado 2 1/2"" x 2100 (09/11) Agrícola Centro 150")</f>
        <v>Eje Acoplado 2 1/2" x 2100 (09/11) Agrícola Centro 150</v>
      </c>
      <c r="CC69" s="3" t="str">
        <f>IFERROR(__xludf.DUMMYFUNCTION("""COMPUTED_VALUE"""),"Llanta 16"" Simple Agrícola Centro 92")</f>
        <v>Llanta 16" Simple Agrícola Centro 92</v>
      </c>
      <c r="CD69" s="3" t="str">
        <f>IFERROR(__xludf.DUMMYFUNCTION("""COMPUTED_VALUE"""),"Llanta 16"" Dual Agrícola Centro 92")</f>
        <v>Llanta 16" Dual Agrícola Centro 92</v>
      </c>
      <c r="CE69" s="3" t="str">
        <f>IFERROR(__xludf.DUMMYFUNCTION("""COMPUTED_VALUE"""),"Llanta 17"" Simple Agrícola Centro 92")</f>
        <v>Llanta 17" Simple Agrícola Centro 92</v>
      </c>
      <c r="CF69" s="3" t="str">
        <f>IFERROR(__xludf.DUMMYFUNCTION("""COMPUTED_VALUE"""),"Llanta 17"" Dual Agrícola Centro 92")</f>
        <v>Llanta 17" Dual Agrícola Centro 92</v>
      </c>
      <c r="CG69" s="3" t="str">
        <f>IFERROR(__xludf.DUMMYFUNCTION("""COMPUTED_VALUE"""),"Llanta 16"" Dual Agrícola Centro 152")</f>
        <v>Llanta 16" Dual Agrícola Centro 152</v>
      </c>
      <c r="CH69" s="3" t="str">
        <f>IFERROR(__xludf.DUMMYFUNCTION("""COMPUTED_VALUE"""),"Llanta 17"" Dual Agrícola Centro 152")</f>
        <v>Llanta 17" Dual Agrícola Centro 152</v>
      </c>
      <c r="CI69" s="3" t="str">
        <f>IFERROR(__xludf.DUMMYFUNCTION("""COMPUTED_VALUE"""),"Eje Acoplado 2"" x 1600 (05/07) Agrícola Centro 92")</f>
        <v>Eje Acoplado 2" x 1600 (05/07) Agrícola Centro 92</v>
      </c>
      <c r="CJ69" s="3" t="str">
        <f>IFERROR(__xludf.DUMMYFUNCTION("""COMPUTED_VALUE"""),"Paquete de Elásticos 50 mm x 8 mm x 12 Hojas")</f>
        <v>Paquete de Elásticos 50 mm x 8 mm x 12 Hojas</v>
      </c>
      <c r="CK69" s="3" t="str">
        <f>IFERROR(__xludf.DUMMYFUNCTION("""COMPUTED_VALUE"""),"Plataforma Playo 4.00 x 1.90 x 0.45 Lateral Simple Baranda Fija")</f>
        <v>Plataforma Playo 4.00 x 1.90 x 0.45 Lateral Simple Baranda Fija</v>
      </c>
      <c r="CL69" s="3" t="str">
        <f>IFERROR(__xludf.DUMMYFUNCTION("""COMPUTED_VALUE"""),"Plataforma Playo 4.00 x 1.90 x 0.45 Lateral Simple Baranda Ventilada")</f>
        <v>Plataforma Playo 4.00 x 1.90 x 0.45 Lateral Simple Baranda Ventilada</v>
      </c>
      <c r="CM69" s="3" t="str">
        <f>IFERROR(__xludf.DUMMYFUNCTION("""COMPUTED_VALUE"""),"Plataforma Playo 4.00 x 1.90 x 0.45 Lateral Doble Baranda Ventilada")</f>
        <v>Plataforma Playo 4.00 x 1.90 x 0.45 Lateral Doble Baranda Ventilada</v>
      </c>
      <c r="CN69" s="3" t="str">
        <f>IFERROR(__xludf.DUMMYFUNCTION("""COMPUTED_VALUE"""),"Plataforma Playo 4.00 x 1.90 x 0.45 Lateral Doble Baranda Fija")</f>
        <v>Plataforma Playo 4.00 x 1.90 x 0.45 Lateral Doble Baranda Fija</v>
      </c>
      <c r="CO69" s="3" t="str">
        <f>IFERROR(__xludf.DUMMYFUNCTION("""COMPUTED_VALUE"""),"Plataforma Playo 4.00 x 1.90 x 0.72 Lateral Simple Baranda Fija")</f>
        <v>Plataforma Playo 4.00 x 1.90 x 0.72 Lateral Simple Baranda Fija</v>
      </c>
      <c r="CP69" s="3" t="str">
        <f>IFERROR(__xludf.DUMMYFUNCTION("""COMPUTED_VALUE"""),"Plataforma Playo 4.00 x 1.90 x 0.72 Lateral Doble Baranda Fija")</f>
        <v>Plataforma Playo 4.00 x 1.90 x 0.72 Lateral Doble Baranda Fija</v>
      </c>
      <c r="CQ69" s="3" t="str">
        <f>IFERROR(__xludf.DUMMYFUNCTION("""COMPUTED_VALUE"""),"Plataforma Playo 5.00 x 2.20 x 0.60 Lateral Doble Trasera Rebatible")</f>
        <v>Plataforma Playo 5.00 x 2.20 x 0.60 Lateral Doble Trasera Rebatible</v>
      </c>
      <c r="CR69" s="3" t="str">
        <f>IFERROR(__xludf.DUMMYFUNCTION("""COMPUTED_VALUE"""),"Plataforma Playo 5.00 x 2.20 x 0.60 Lateral Doble Baranda Fija C/Toldo")</f>
        <v>Plataforma Playo 5.00 x 2.20 x 0.60 Lateral Doble Baranda Fija C/Toldo</v>
      </c>
      <c r="CS69" s="3" t="str">
        <f>IFERROR(__xludf.DUMMYFUNCTION("""COMPUTED_VALUE"""),"Plataforma Playo 3.00 x 1.90 x 0.45 Lateral Simple Baranda Fija")</f>
        <v>Plataforma Playo 3.00 x 1.90 x 0.45 Lateral Simple Baranda Fija</v>
      </c>
      <c r="CT69" s="3" t="str">
        <f>IFERROR(__xludf.DUMMYFUNCTION("""COMPUTED_VALUE"""),"Plataforma Playo 3.00 x 1.90 x 0.45 Lateral Simple Baranda Ventilada")</f>
        <v>Plataforma Playo 3.00 x 1.90 x 0.45 Lateral Simple Baranda Ventilada</v>
      </c>
      <c r="CU69" s="3" t="str">
        <f>IFERROR(__xludf.DUMMYFUNCTION("""COMPUTED_VALUE"""),"Plataforma Playo 2.00 x 1.90 x 0.45 Lateral Simple Baranda Fija")</f>
        <v>Plataforma Playo 2.00 x 1.90 x 0.45 Lateral Simple Baranda Fija</v>
      </c>
      <c r="CV69" s="3" t="str">
        <f>IFERROR(__xludf.DUMMYFUNCTION("""COMPUTED_VALUE"""),"Plataforma Playo 5.00 x 1.90 x 0.60 Lateral Doble Baranda Fija")</f>
        <v>Plataforma Playo 5.00 x 1.90 x 0.60 Lateral Doble Baranda Fija</v>
      </c>
      <c r="CW69" s="3" t="str">
        <f>IFERROR(__xludf.DUMMYFUNCTION("""COMPUTED_VALUE"""),"Plataforma Playo 6.40 x 2.70 x 0.72 Lateral Doble Baranda Fija")</f>
        <v>Plataforma Playo 6.40 x 2.70 x 0.72 Lateral Doble Baranda Fija</v>
      </c>
      <c r="CX69" s="3" t="str">
        <f>IFERROR(__xludf.DUMMYFUNCTION("""COMPUTED_VALUE"""),"Chasis Acoplado Balancin L4000 Lanza Recta")</f>
        <v>Chasis Acoplado Balancin L4000 Lanza Recta</v>
      </c>
      <c r="CY69" s="3" t="str">
        <f>IFERROR(__xludf.DUMMYFUNCTION("""COMPUTED_VALUE"""),"Llanta simple Agrícola 750x20 centro 152")</f>
        <v>Llanta simple Agrícola 750x20 centro 152</v>
      </c>
      <c r="CZ69" s="3" t="str">
        <f>IFERROR(__xludf.DUMMYFUNCTION("""COMPUTED_VALUE"""),"Cajón de Herramientas Mediano adelante")</f>
        <v>Cajón de Herramientas Mediano adelante</v>
      </c>
      <c r="DA69" s="3" t="str">
        <f>IFERROR(__xludf.DUMMYFUNCTION("""COMPUTED_VALUE"""),"Llanta 15"" Simple Agrícola Centro 92")</f>
        <v>Llanta 15" Simple Agrícola Centro 92</v>
      </c>
    </row>
    <row r="70" hidden="1">
      <c r="A70" s="38">
        <f t="shared" si="1"/>
        <v>69</v>
      </c>
      <c r="B70" s="38">
        <f>IF(F70="","",SUMIF(Prearmados!E:E,F70,Prearmados!A:A))</f>
        <v>11</v>
      </c>
      <c r="C70" s="38">
        <f>IF(F70="","",SUMIF(Productos!E:E,G70,Productos!A:A))</f>
        <v>67</v>
      </c>
      <c r="D70" s="83" t="str">
        <f t="array" ref="D70">IF(OR(F70="",F70="Seleccionar.."),"",XLOOKUP(F70,Prearmados!E:E,Prearmados!F:F,"",0,1))</f>
        <v>Acoplados Rurales</v>
      </c>
      <c r="E70" s="83">
        <f>IF(H70="","",SUMIF(Precio_Productos!K:K,C70,Precio_Productos!J:J)*H70)</f>
        <v>292579</v>
      </c>
      <c r="F70" s="84" t="s">
        <v>334</v>
      </c>
      <c r="G70" s="84" t="s">
        <v>81</v>
      </c>
      <c r="H70" s="13">
        <v>1.0</v>
      </c>
      <c r="P70" s="3" t="str">
        <f>IFERROR(__xludf.DUMMYFUNCTION("IF(OR(F70="""",F70=""Seleccionar..""),"""",TRANSPOSE(FILTER(Productos!E:E,(Productos!F:F=D70)+(Productos!F:F=XLOOKUP(D70,Implementos!B:B,Implementos!C:C,""-"",0,1)))))"),"Tanque Combustible 1100 lts Bajo")</f>
        <v>Tanque Combustible 1100 lts Bajo</v>
      </c>
      <c r="Q70" s="3" t="str">
        <f>IFERROR(__xludf.DUMMYFUNCTION("""COMPUTED_VALUE"""),"Tanque Combustible 1500 lts Standard")</f>
        <v>Tanque Combustible 1500 lts Standard</v>
      </c>
      <c r="R70" s="3" t="str">
        <f>IFERROR(__xludf.DUMMYFUNCTION("""COMPUTED_VALUE"""),"Tanque Combustible 1800 lts Standard")</f>
        <v>Tanque Combustible 1800 lts Standard</v>
      </c>
      <c r="S70" s="3" t="str">
        <f>IFERROR(__xludf.DUMMYFUNCTION("""COMPUTED_VALUE"""),"Tanque Combustible 2000 lts Bajo")</f>
        <v>Tanque Combustible 2000 lts Bajo</v>
      </c>
      <c r="T70" s="3" t="str">
        <f>IFERROR(__xludf.DUMMYFUNCTION("""COMPUTED_VALUE"""),"Tanque Combustible 2000 lts Standard")</f>
        <v>Tanque Combustible 2000 lts Standard</v>
      </c>
      <c r="U70" s="3" t="str">
        <f>IFERROR(__xludf.DUMMYFUNCTION("""COMPUTED_VALUE"""),"Tanque Combustible 3000 lts Standard")</f>
        <v>Tanque Combustible 3000 lts Standard</v>
      </c>
      <c r="V70" s="3" t="str">
        <f>IFERROR(__xludf.DUMMYFUNCTION("""COMPUTED_VALUE"""),"Tanque Combustible 3000 lts Alto")</f>
        <v>Tanque Combustible 3000 lts Alto</v>
      </c>
      <c r="W70" s="3" t="str">
        <f>IFERROR(__xludf.DUMMYFUNCTION("""COMPUTED_VALUE"""),"Tanque Combustible 4000 lts Standard")</f>
        <v>Tanque Combustible 4000 lts Standard</v>
      </c>
      <c r="X70" s="3" t="str">
        <f>IFERROR(__xludf.DUMMYFUNCTION("""COMPUTED_VALUE"""),"Tanque Combustible 5000 lts Standard")</f>
        <v>Tanque Combustible 5000 lts Standard</v>
      </c>
      <c r="Y70" s="3" t="str">
        <f>IFERROR(__xludf.DUMMYFUNCTION("""COMPUTED_VALUE"""),"Tanque Combustible 5000 lts Alto")</f>
        <v>Tanque Combustible 5000 lts Alto</v>
      </c>
      <c r="Z70" s="3" t="str">
        <f>IFERROR(__xludf.DUMMYFUNCTION("""COMPUTED_VALUE"""),"Tanque Combustible 2000 lts Alto")</f>
        <v>Tanque Combustible 2000 lts Alto</v>
      </c>
      <c r="AA70" s="3" t="str">
        <f>IFERROR(__xludf.DUMMYFUNCTION("""COMPUTED_VALUE"""),"Tanque Combustible 4000 lts Alto")</f>
        <v>Tanque Combustible 4000 lts Alto</v>
      </c>
      <c r="AB70" s="3" t="str">
        <f>IFERROR(__xludf.DUMMYFUNCTION("""COMPUTED_VALUE"""),"Baulera Standard - 750")</f>
        <v>Baulera Standard - 750</v>
      </c>
      <c r="AC70" s="3" t="str">
        <f>IFERROR(__xludf.DUMMYFUNCTION("""COMPUTED_VALUE"""),"Baulera Standard - 1700 - C/Laterales")</f>
        <v>Baulera Standard - 1700 - C/Laterales</v>
      </c>
      <c r="AD70" s="3" t="str">
        <f>IFERROR(__xludf.DUMMYFUNCTION("""COMPUTED_VALUE"""),"Baulera Standard - 1000 - C/Laterales")</f>
        <v>Baulera Standard - 1000 - C/Laterales</v>
      </c>
      <c r="AE70" s="3" t="str">
        <f>IFERROR(__xludf.DUMMYFUNCTION("""COMPUTED_VALUE"""),"Baulera Standard - 750 - C/Laterales")</f>
        <v>Baulera Standard - 750 - C/Laterales</v>
      </c>
      <c r="AF70" s="3" t="str">
        <f>IFERROR(__xludf.DUMMYFUNCTION("""COMPUTED_VALUE"""),"Baulera Standard - 1300 - C/Laterales")</f>
        <v>Baulera Standard - 1300 - C/Laterales</v>
      </c>
      <c r="AG70" s="3" t="str">
        <f>IFERROR(__xludf.DUMMYFUNCTION("""COMPUTED_VALUE"""),"Baulera Alta - 750")</f>
        <v>Baulera Alta - 750</v>
      </c>
      <c r="AH70" s="3" t="str">
        <f>IFERROR(__xludf.DUMMYFUNCTION("""COMPUTED_VALUE"""),"Baulera Alta - 1500 - C/Laterales")</f>
        <v>Baulera Alta - 1500 - C/Laterales</v>
      </c>
      <c r="AI70" s="3" t="str">
        <f>IFERROR(__xludf.DUMMYFUNCTION("""COMPUTED_VALUE"""),"Baulera Extendida 1700 - C/Laterales")</f>
        <v>Baulera Extendida 1700 - C/Laterales</v>
      </c>
      <c r="AJ70" s="3" t="str">
        <f>IFERROR(__xludf.DUMMYFUNCTION("""COMPUTED_VALUE"""),"Taller Móvil - 1500 x 1500 x 1700")</f>
        <v>Taller Móvil - 1500 x 1500 x 1700</v>
      </c>
      <c r="AK70" s="3" t="str">
        <f>IFERROR(__xludf.DUMMYFUNCTION("""COMPUTED_VALUE"""),"Cajón Herramientas Standard Derecho")</f>
        <v>Cajón Herramientas Standard Derecho</v>
      </c>
      <c r="AL70" s="3" t="str">
        <f>IFERROR(__xludf.DUMMYFUNCTION("""COMPUTED_VALUE"""),"Cajón Herramientas Standard Izquierdo")</f>
        <v>Cajón Herramientas Standard Izquierdo</v>
      </c>
      <c r="AM70" s="3" t="str">
        <f>IFERROR(__xludf.DUMMYFUNCTION("""COMPUTED_VALUE"""),"Cajón Herramientas Corto Derecho")</f>
        <v>Cajón Herramientas Corto Derecho</v>
      </c>
      <c r="AN70" s="3" t="str">
        <f>IFERROR(__xludf.DUMMYFUNCTION("""COMPUTED_VALUE"""),"Cajón Herramientas Corto Izquierdo")</f>
        <v>Cajón Herramientas Corto Izquierdo</v>
      </c>
      <c r="AO70" s="3" t="str">
        <f>IFERROR(__xludf.DUMMYFUNCTION("""COMPUTED_VALUE"""),"Cajón Herramientas Mediano Derecho")</f>
        <v>Cajón Herramientas Mediano Derecho</v>
      </c>
      <c r="AP70" s="3" t="str">
        <f>IFERROR(__xludf.DUMMYFUNCTION("""COMPUTED_VALUE"""),"Cajón Herramientas Mediano Izquierdo")</f>
        <v>Cajón Herramientas Mediano Izquierdo</v>
      </c>
      <c r="AQ70" s="3" t="str">
        <f>IFERROR(__xludf.DUMMYFUNCTION("""COMPUTED_VALUE"""),"Chasis Acoplado 2 Ejes L3000")</f>
        <v>Chasis Acoplado 2 Ejes L3000</v>
      </c>
      <c r="AR70" s="3" t="str">
        <f>IFERROR(__xludf.DUMMYFUNCTION("""COMPUTED_VALUE"""),"Chasis Acoplado 2 Ejes L3750")</f>
        <v>Chasis Acoplado 2 Ejes L3750</v>
      </c>
      <c r="AS70" s="3" t="str">
        <f>IFERROR(__xludf.DUMMYFUNCTION("""COMPUTED_VALUE"""),"Chasis Acoplado 2 Ejes L4000")</f>
        <v>Chasis Acoplado 2 Ejes L4000</v>
      </c>
      <c r="AT70" s="3" t="str">
        <f>IFERROR(__xludf.DUMMYFUNCTION("""COMPUTED_VALUE"""),"Chasis Acoplado 2 Ejes L4000 Reforzado")</f>
        <v>Chasis Acoplado 2 Ejes L4000 Reforzado</v>
      </c>
      <c r="AU70" s="3" t="str">
        <f>IFERROR(__xludf.DUMMYFUNCTION("""COMPUTED_VALUE"""),"Chasis Acoplado 2 Ejes L4750")</f>
        <v>Chasis Acoplado 2 Ejes L4750</v>
      </c>
      <c r="AV70" s="3" t="str">
        <f>IFERROR(__xludf.DUMMYFUNCTION("""COMPUTED_VALUE"""),"Chasis Acoplado 2 Ejes L4750 Reforzado")</f>
        <v>Chasis Acoplado 2 Ejes L4750 Reforzado</v>
      </c>
      <c r="AW70" s="3" t="str">
        <f>IFERROR(__xludf.DUMMYFUNCTION("""COMPUTED_VALUE"""),"Chasis Acoplado 2 Ejes L4750 Reforzado R. Camion")</f>
        <v>Chasis Acoplado 2 Ejes L4750 Reforzado R. Camion</v>
      </c>
      <c r="AX70" s="3" t="str">
        <f>IFERROR(__xludf.DUMMYFUNCTION("""COMPUTED_VALUE"""),"Chasis Acoplado 2 Ejes L5000")</f>
        <v>Chasis Acoplado 2 Ejes L5000</v>
      </c>
      <c r="AY70" s="3" t="str">
        <f>IFERROR(__xludf.DUMMYFUNCTION("""COMPUTED_VALUE"""),"Chasis Acoplado 2 Ejes L5750")</f>
        <v>Chasis Acoplado 2 Ejes L5750</v>
      </c>
      <c r="AZ70" s="3" t="str">
        <f>IFERROR(__xludf.DUMMYFUNCTION("""COMPUTED_VALUE"""),"Chasis Acoplado 2 Ejes L6400")</f>
        <v>Chasis Acoplado 2 Ejes L6400</v>
      </c>
      <c r="BA70" s="3" t="str">
        <f>IFERROR(__xludf.DUMMYFUNCTION("""COMPUTED_VALUE"""),"Chasis Acoplado 2 Ejes L4500")</f>
        <v>Chasis Acoplado 2 Ejes L4500</v>
      </c>
      <c r="BB70" s="3" t="str">
        <f>IFERROR(__xludf.DUMMYFUNCTION("""COMPUTED_VALUE"""),"Chasis Acoplado 1 Eje L1500")</f>
        <v>Chasis Acoplado 1 Eje L1500</v>
      </c>
      <c r="BC70" s="3" t="str">
        <f>IFERROR(__xludf.DUMMYFUNCTION("""COMPUTED_VALUE"""),"Chasis Acoplado 1 Eje L1800")</f>
        <v>Chasis Acoplado 1 Eje L1800</v>
      </c>
      <c r="BD70" s="3" t="str">
        <f>IFERROR(__xludf.DUMMYFUNCTION("""COMPUTED_VALUE"""),"Chasis Acoplado 1 Eje L1400")</f>
        <v>Chasis Acoplado 1 Eje L1400</v>
      </c>
      <c r="BE70" s="3" t="str">
        <f>IFERROR(__xludf.DUMMYFUNCTION("""COMPUTED_VALUE"""),"Chasis Acoplado Balancin L3000")</f>
        <v>Chasis Acoplado Balancin L3000</v>
      </c>
      <c r="BF70" s="3" t="str">
        <f>IFERROR(__xludf.DUMMYFUNCTION("""COMPUTED_VALUE"""),"Chasis Acoplado Balancin L3000 Lanza Corta")</f>
        <v>Chasis Acoplado Balancin L3000 Lanza Corta</v>
      </c>
      <c r="BG70" s="3" t="str">
        <f>IFERROR(__xludf.DUMMYFUNCTION("""COMPUTED_VALUE"""),"Chasis Acoplado Balancin L2000 Lanza Corta")</f>
        <v>Chasis Acoplado Balancin L2000 Lanza Corta</v>
      </c>
      <c r="BH70" s="3" t="str">
        <f>IFERROR(__xludf.DUMMYFUNCTION("""COMPUTED_VALUE"""),"Chasis Acoplado Balancin L3200 Lanza Corta")</f>
        <v>Chasis Acoplado Balancin L3200 Lanza Corta</v>
      </c>
      <c r="BI70" s="3" t="str">
        <f>IFERROR(__xludf.DUMMYFUNCTION("""COMPUTED_VALUE"""),"Chasis Acoplado Balancin L3200 Lanza Recta")</f>
        <v>Chasis Acoplado Balancin L3200 Lanza Recta</v>
      </c>
      <c r="BJ70" s="3" t="str">
        <f>IFERROR(__xludf.DUMMYFUNCTION("""COMPUTED_VALUE"""),"Chasis Acoplado Balancin L3200 Bajo Lanza Recta")</f>
        <v>Chasis Acoplado Balancin L3200 Bajo Lanza Recta</v>
      </c>
      <c r="BK70" s="3" t="str">
        <f>IFERROR(__xludf.DUMMYFUNCTION("""COMPUTED_VALUE"""),"Tanque Plastico Horizontal 750 Lts")</f>
        <v>Tanque Plastico Horizontal 750 Lts</v>
      </c>
      <c r="BL70" s="3" t="str">
        <f>IFERROR(__xludf.DUMMYFUNCTION("""COMPUTED_VALUE"""),"Medio Tanque Plastico Superior 700 Lts")</f>
        <v>Medio Tanque Plastico Superior 700 Lts</v>
      </c>
      <c r="BM70" s="3" t="str">
        <f>IFERROR(__xludf.DUMMYFUNCTION("""COMPUTED_VALUE"""),"Paquete de Elasticos 50 mm x 8 mm x 10 Hojas L850")</f>
        <v>Paquete de Elasticos 50 mm x 8 mm x 10 Hojas L850</v>
      </c>
      <c r="BN70" s="3" t="str">
        <f>IFERROR(__xludf.DUMMYFUNCTION("""COMPUTED_VALUE"""),"Paquete de Elasticos 63 mm x 8 mm x 10 Hojas L950")</f>
        <v>Paquete de Elasticos 63 mm x 8 mm x 10 Hojas L950</v>
      </c>
      <c r="BO70" s="3" t="str">
        <f>IFERROR(__xludf.DUMMYFUNCTION("""COMPUTED_VALUE"""),"Paquete de Elasticos 50 mm x 7 mm x 9 Hojas L850")</f>
        <v>Paquete de Elasticos 50 mm x 7 mm x 9 Hojas L850</v>
      </c>
      <c r="BP70" s="3" t="str">
        <f>IFERROR(__xludf.DUMMYFUNCTION("""COMPUTED_VALUE"""),"Paquete de Elasticos 63 mm x 8 mm x 8 Hojas L850")</f>
        <v>Paquete de Elasticos 63 mm x 8 mm x 8 Hojas L850</v>
      </c>
      <c r="BQ70" s="3" t="str">
        <f>IFERROR(__xludf.DUMMYFUNCTION("""COMPUTED_VALUE"""),"Paquete de Elasticos 63 mm x 10 mm x 10 Hojas L950")</f>
        <v>Paquete de Elasticos 63 mm x 10 mm x 10 Hojas L950</v>
      </c>
      <c r="BR70" s="3" t="str">
        <f>IFERROR(__xludf.DUMMYFUNCTION("""COMPUTED_VALUE"""),"Paquete de Elasticos 63 mm x 10 mm x 13 Hojas L975")</f>
        <v>Paquete de Elasticos 63 mm x 10 mm x 13 Hojas L975</v>
      </c>
      <c r="BS70" s="3" t="str">
        <f>IFERROR(__xludf.DUMMYFUNCTION("""COMPUTED_VALUE"""),"Paquete de Elasticos 50 mm x 7 mm x 9 Hojas L650")</f>
        <v>Paquete de Elasticos 50 mm x 7 mm x 9 Hojas L650</v>
      </c>
      <c r="BT70" s="3" t="str">
        <f>IFERROR(__xludf.DUMMYFUNCTION("""COMPUTED_VALUE"""),"Eje Acoplado 2"" x 1600 (06/08) Agrícola Centro 92")</f>
        <v>Eje Acoplado 2" x 1600 (06/08) Agrícola Centro 92</v>
      </c>
      <c r="BU70" s="3" t="str">
        <f>IFERROR(__xludf.DUMMYFUNCTION("""COMPUTED_VALUE"""),"Eje Acoplado 2 1/2"" x 1600 (07/09) Agrícola Centro 92")</f>
        <v>Eje Acoplado 2 1/2" x 1600 (07/09) Agrícola Centro 92</v>
      </c>
      <c r="BV70" s="3" t="str">
        <f>IFERROR(__xludf.DUMMYFUNCTION("""COMPUTED_VALUE"""),"Eje Acoplado 2 1/2"" x 1600 (09/11) Agrícola Centro 150")</f>
        <v>Eje Acoplado 2 1/2" x 1600 (09/11) Agrícola Centro 150</v>
      </c>
      <c r="BW70" s="3" t="str">
        <f>IFERROR(__xludf.DUMMYFUNCTION("""COMPUTED_VALUE"""),"Eje Acoplado 3"" x 1600 (10/13) Agrícola Centro 150")</f>
        <v>Eje Acoplado 3" x 1600 (10/13) Agrícola Centro 150</v>
      </c>
      <c r="BX70" s="3" t="str">
        <f>IFERROR(__xludf.DUMMYFUNCTION("""COMPUTED_VALUE"""),"Eje Acoplado 2 1/2"" x 2140 (07/09) Agrícola Centro 92")</f>
        <v>Eje Acoplado 2 1/2" x 2140 (07/09) Agrícola Centro 92</v>
      </c>
      <c r="BY70" s="3" t="str">
        <f>IFERROR(__xludf.DUMMYFUNCTION("""COMPUTED_VALUE"""),"Eje Acoplado 2"" x 1400 (06/08) Agrícola Centro 92")</f>
        <v>Eje Acoplado 2" x 1400 (06/08) Agrícola Centro 92</v>
      </c>
      <c r="BZ70" s="3" t="str">
        <f>IFERROR(__xludf.DUMMYFUNCTION("""COMPUTED_VALUE"""),"Eje Acoplado 2 1/2"" x 1500 (07/09) Agrícola Centro 92")</f>
        <v>Eje Acoplado 2 1/2" x 1500 (07/09) Agrícola Centro 92</v>
      </c>
      <c r="CA70" s="3" t="str">
        <f>IFERROR(__xludf.DUMMYFUNCTION("""COMPUTED_VALUE"""),"Eje Acoplado 2 1/2"" x 2000 (07/09) Agrícola Centro 92")</f>
        <v>Eje Acoplado 2 1/2" x 2000 (07/09) Agrícola Centro 92</v>
      </c>
      <c r="CB70" s="3" t="str">
        <f>IFERROR(__xludf.DUMMYFUNCTION("""COMPUTED_VALUE"""),"Eje Acoplado 2 1/2"" x 2100 (09/11) Agrícola Centro 150")</f>
        <v>Eje Acoplado 2 1/2" x 2100 (09/11) Agrícola Centro 150</v>
      </c>
      <c r="CC70" s="3" t="str">
        <f>IFERROR(__xludf.DUMMYFUNCTION("""COMPUTED_VALUE"""),"Llanta 16"" Simple Agrícola Centro 92")</f>
        <v>Llanta 16" Simple Agrícola Centro 92</v>
      </c>
      <c r="CD70" s="3" t="str">
        <f>IFERROR(__xludf.DUMMYFUNCTION("""COMPUTED_VALUE"""),"Llanta 16"" Dual Agrícola Centro 92")</f>
        <v>Llanta 16" Dual Agrícola Centro 92</v>
      </c>
      <c r="CE70" s="3" t="str">
        <f>IFERROR(__xludf.DUMMYFUNCTION("""COMPUTED_VALUE"""),"Llanta 17"" Simple Agrícola Centro 92")</f>
        <v>Llanta 17" Simple Agrícola Centro 92</v>
      </c>
      <c r="CF70" s="3" t="str">
        <f>IFERROR(__xludf.DUMMYFUNCTION("""COMPUTED_VALUE"""),"Llanta 17"" Dual Agrícola Centro 92")</f>
        <v>Llanta 17" Dual Agrícola Centro 92</v>
      </c>
      <c r="CG70" s="3" t="str">
        <f>IFERROR(__xludf.DUMMYFUNCTION("""COMPUTED_VALUE"""),"Llanta 16"" Dual Agrícola Centro 152")</f>
        <v>Llanta 16" Dual Agrícola Centro 152</v>
      </c>
      <c r="CH70" s="3" t="str">
        <f>IFERROR(__xludf.DUMMYFUNCTION("""COMPUTED_VALUE"""),"Llanta 17"" Dual Agrícola Centro 152")</f>
        <v>Llanta 17" Dual Agrícola Centro 152</v>
      </c>
      <c r="CI70" s="3" t="str">
        <f>IFERROR(__xludf.DUMMYFUNCTION("""COMPUTED_VALUE"""),"Eje Acoplado 2"" x 1600 (05/07) Agrícola Centro 92")</f>
        <v>Eje Acoplado 2" x 1600 (05/07) Agrícola Centro 92</v>
      </c>
      <c r="CJ70" s="3" t="str">
        <f>IFERROR(__xludf.DUMMYFUNCTION("""COMPUTED_VALUE"""),"Paquete de Elásticos 50 mm x 8 mm x 12 Hojas")</f>
        <v>Paquete de Elásticos 50 mm x 8 mm x 12 Hojas</v>
      </c>
      <c r="CK70" s="3" t="str">
        <f>IFERROR(__xludf.DUMMYFUNCTION("""COMPUTED_VALUE"""),"Plataforma Playo 4.00 x 1.90 x 0.45 Lateral Simple Baranda Fija")</f>
        <v>Plataforma Playo 4.00 x 1.90 x 0.45 Lateral Simple Baranda Fija</v>
      </c>
      <c r="CL70" s="3" t="str">
        <f>IFERROR(__xludf.DUMMYFUNCTION("""COMPUTED_VALUE"""),"Plataforma Playo 4.00 x 1.90 x 0.45 Lateral Simple Baranda Ventilada")</f>
        <v>Plataforma Playo 4.00 x 1.90 x 0.45 Lateral Simple Baranda Ventilada</v>
      </c>
      <c r="CM70" s="3" t="str">
        <f>IFERROR(__xludf.DUMMYFUNCTION("""COMPUTED_VALUE"""),"Plataforma Playo 4.00 x 1.90 x 0.45 Lateral Doble Baranda Ventilada")</f>
        <v>Plataforma Playo 4.00 x 1.90 x 0.45 Lateral Doble Baranda Ventilada</v>
      </c>
      <c r="CN70" s="3" t="str">
        <f>IFERROR(__xludf.DUMMYFUNCTION("""COMPUTED_VALUE"""),"Plataforma Playo 4.00 x 1.90 x 0.45 Lateral Doble Baranda Fija")</f>
        <v>Plataforma Playo 4.00 x 1.90 x 0.45 Lateral Doble Baranda Fija</v>
      </c>
      <c r="CO70" s="3" t="str">
        <f>IFERROR(__xludf.DUMMYFUNCTION("""COMPUTED_VALUE"""),"Plataforma Playo 4.00 x 1.90 x 0.72 Lateral Simple Baranda Fija")</f>
        <v>Plataforma Playo 4.00 x 1.90 x 0.72 Lateral Simple Baranda Fija</v>
      </c>
      <c r="CP70" s="3" t="str">
        <f>IFERROR(__xludf.DUMMYFUNCTION("""COMPUTED_VALUE"""),"Plataforma Playo 4.00 x 1.90 x 0.72 Lateral Doble Baranda Fija")</f>
        <v>Plataforma Playo 4.00 x 1.90 x 0.72 Lateral Doble Baranda Fija</v>
      </c>
      <c r="CQ70" s="3" t="str">
        <f>IFERROR(__xludf.DUMMYFUNCTION("""COMPUTED_VALUE"""),"Plataforma Playo 5.00 x 2.20 x 0.60 Lateral Doble Trasera Rebatible")</f>
        <v>Plataforma Playo 5.00 x 2.20 x 0.60 Lateral Doble Trasera Rebatible</v>
      </c>
      <c r="CR70" s="3" t="str">
        <f>IFERROR(__xludf.DUMMYFUNCTION("""COMPUTED_VALUE"""),"Plataforma Playo 5.00 x 2.20 x 0.60 Lateral Doble Baranda Fija C/Toldo")</f>
        <v>Plataforma Playo 5.00 x 2.20 x 0.60 Lateral Doble Baranda Fija C/Toldo</v>
      </c>
      <c r="CS70" s="3" t="str">
        <f>IFERROR(__xludf.DUMMYFUNCTION("""COMPUTED_VALUE"""),"Plataforma Playo 3.00 x 1.90 x 0.45 Lateral Simple Baranda Fija")</f>
        <v>Plataforma Playo 3.00 x 1.90 x 0.45 Lateral Simple Baranda Fija</v>
      </c>
      <c r="CT70" s="3" t="str">
        <f>IFERROR(__xludf.DUMMYFUNCTION("""COMPUTED_VALUE"""),"Plataforma Playo 3.00 x 1.90 x 0.45 Lateral Simple Baranda Ventilada")</f>
        <v>Plataforma Playo 3.00 x 1.90 x 0.45 Lateral Simple Baranda Ventilada</v>
      </c>
      <c r="CU70" s="3" t="str">
        <f>IFERROR(__xludf.DUMMYFUNCTION("""COMPUTED_VALUE"""),"Plataforma Playo 2.00 x 1.90 x 0.45 Lateral Simple Baranda Fija")</f>
        <v>Plataforma Playo 2.00 x 1.90 x 0.45 Lateral Simple Baranda Fija</v>
      </c>
      <c r="CV70" s="3" t="str">
        <f>IFERROR(__xludf.DUMMYFUNCTION("""COMPUTED_VALUE"""),"Plataforma Playo 5.00 x 1.90 x 0.60 Lateral Doble Baranda Fija")</f>
        <v>Plataforma Playo 5.00 x 1.90 x 0.60 Lateral Doble Baranda Fija</v>
      </c>
      <c r="CW70" s="3" t="str">
        <f>IFERROR(__xludf.DUMMYFUNCTION("""COMPUTED_VALUE"""),"Plataforma Playo 6.40 x 2.70 x 0.72 Lateral Doble Baranda Fija")</f>
        <v>Plataforma Playo 6.40 x 2.70 x 0.72 Lateral Doble Baranda Fija</v>
      </c>
      <c r="CX70" s="3" t="str">
        <f>IFERROR(__xludf.DUMMYFUNCTION("""COMPUTED_VALUE"""),"Chasis Acoplado Balancin L4000 Lanza Recta")</f>
        <v>Chasis Acoplado Balancin L4000 Lanza Recta</v>
      </c>
      <c r="CY70" s="3" t="str">
        <f>IFERROR(__xludf.DUMMYFUNCTION("""COMPUTED_VALUE"""),"Llanta simple Agrícola 750x20 centro 152")</f>
        <v>Llanta simple Agrícola 750x20 centro 152</v>
      </c>
      <c r="CZ70" s="3" t="str">
        <f>IFERROR(__xludf.DUMMYFUNCTION("""COMPUTED_VALUE"""),"Cajón de Herramientas Mediano adelante")</f>
        <v>Cajón de Herramientas Mediano adelante</v>
      </c>
      <c r="DA70" s="3" t="str">
        <f>IFERROR(__xludf.DUMMYFUNCTION("""COMPUTED_VALUE"""),"Llanta 15"" Simple Agrícola Centro 92")</f>
        <v>Llanta 15" Simple Agrícola Centro 92</v>
      </c>
    </row>
    <row r="71" hidden="1">
      <c r="A71" s="38">
        <f t="shared" si="1"/>
        <v>70</v>
      </c>
      <c r="B71" s="38">
        <f>IF(F71="","",SUMIF(Prearmados!E:E,F71,Prearmados!A:A))</f>
        <v>11</v>
      </c>
      <c r="C71" s="38">
        <f>IF(F71="","",SUMIF(Productos!E:E,G71,Productos!A:A))</f>
        <v>75</v>
      </c>
      <c r="D71" s="83" t="str">
        <f t="array" ref="D71">IF(OR(F71="",F71="Seleccionar.."),"",XLOOKUP(F71,Prearmados!E:E,Prearmados!F:F,"",0,1))</f>
        <v>Acoplados Rurales</v>
      </c>
      <c r="E71" s="83">
        <f>IF(H71="","",SUMIF(Precio_Productos!K:K,C71,Precio_Productos!J:J)*H71)</f>
        <v>3705059</v>
      </c>
      <c r="F71" s="84" t="s">
        <v>334</v>
      </c>
      <c r="G71" s="84" t="s">
        <v>101</v>
      </c>
      <c r="H71" s="13">
        <v>1.0</v>
      </c>
      <c r="P71" s="3" t="str">
        <f>IFERROR(__xludf.DUMMYFUNCTION("IF(OR(F71="""",F71=""Seleccionar..""),"""",TRANSPOSE(FILTER(Productos!E:E,(Productos!F:F=D71)+(Productos!F:F=XLOOKUP(D71,Implementos!B:B,Implementos!C:C,""-"",0,1)))))"),"Tanque Combustible 1100 lts Bajo")</f>
        <v>Tanque Combustible 1100 lts Bajo</v>
      </c>
      <c r="Q71" s="3" t="str">
        <f>IFERROR(__xludf.DUMMYFUNCTION("""COMPUTED_VALUE"""),"Tanque Combustible 1500 lts Standard")</f>
        <v>Tanque Combustible 1500 lts Standard</v>
      </c>
      <c r="R71" s="3" t="str">
        <f>IFERROR(__xludf.DUMMYFUNCTION("""COMPUTED_VALUE"""),"Tanque Combustible 1800 lts Standard")</f>
        <v>Tanque Combustible 1800 lts Standard</v>
      </c>
      <c r="S71" s="3" t="str">
        <f>IFERROR(__xludf.DUMMYFUNCTION("""COMPUTED_VALUE"""),"Tanque Combustible 2000 lts Bajo")</f>
        <v>Tanque Combustible 2000 lts Bajo</v>
      </c>
      <c r="T71" s="3" t="str">
        <f>IFERROR(__xludf.DUMMYFUNCTION("""COMPUTED_VALUE"""),"Tanque Combustible 2000 lts Standard")</f>
        <v>Tanque Combustible 2000 lts Standard</v>
      </c>
      <c r="U71" s="3" t="str">
        <f>IFERROR(__xludf.DUMMYFUNCTION("""COMPUTED_VALUE"""),"Tanque Combustible 3000 lts Standard")</f>
        <v>Tanque Combustible 3000 lts Standard</v>
      </c>
      <c r="V71" s="3" t="str">
        <f>IFERROR(__xludf.DUMMYFUNCTION("""COMPUTED_VALUE"""),"Tanque Combustible 3000 lts Alto")</f>
        <v>Tanque Combustible 3000 lts Alto</v>
      </c>
      <c r="W71" s="3" t="str">
        <f>IFERROR(__xludf.DUMMYFUNCTION("""COMPUTED_VALUE"""),"Tanque Combustible 4000 lts Standard")</f>
        <v>Tanque Combustible 4000 lts Standard</v>
      </c>
      <c r="X71" s="3" t="str">
        <f>IFERROR(__xludf.DUMMYFUNCTION("""COMPUTED_VALUE"""),"Tanque Combustible 5000 lts Standard")</f>
        <v>Tanque Combustible 5000 lts Standard</v>
      </c>
      <c r="Y71" s="3" t="str">
        <f>IFERROR(__xludf.DUMMYFUNCTION("""COMPUTED_VALUE"""),"Tanque Combustible 5000 lts Alto")</f>
        <v>Tanque Combustible 5000 lts Alto</v>
      </c>
      <c r="Z71" s="3" t="str">
        <f>IFERROR(__xludf.DUMMYFUNCTION("""COMPUTED_VALUE"""),"Tanque Combustible 2000 lts Alto")</f>
        <v>Tanque Combustible 2000 lts Alto</v>
      </c>
      <c r="AA71" s="3" t="str">
        <f>IFERROR(__xludf.DUMMYFUNCTION("""COMPUTED_VALUE"""),"Tanque Combustible 4000 lts Alto")</f>
        <v>Tanque Combustible 4000 lts Alto</v>
      </c>
      <c r="AB71" s="3" t="str">
        <f>IFERROR(__xludf.DUMMYFUNCTION("""COMPUTED_VALUE"""),"Baulera Standard - 750")</f>
        <v>Baulera Standard - 750</v>
      </c>
      <c r="AC71" s="3" t="str">
        <f>IFERROR(__xludf.DUMMYFUNCTION("""COMPUTED_VALUE"""),"Baulera Standard - 1700 - C/Laterales")</f>
        <v>Baulera Standard - 1700 - C/Laterales</v>
      </c>
      <c r="AD71" s="3" t="str">
        <f>IFERROR(__xludf.DUMMYFUNCTION("""COMPUTED_VALUE"""),"Baulera Standard - 1000 - C/Laterales")</f>
        <v>Baulera Standard - 1000 - C/Laterales</v>
      </c>
      <c r="AE71" s="3" t="str">
        <f>IFERROR(__xludf.DUMMYFUNCTION("""COMPUTED_VALUE"""),"Baulera Standard - 750 - C/Laterales")</f>
        <v>Baulera Standard - 750 - C/Laterales</v>
      </c>
      <c r="AF71" s="3" t="str">
        <f>IFERROR(__xludf.DUMMYFUNCTION("""COMPUTED_VALUE"""),"Baulera Standard - 1300 - C/Laterales")</f>
        <v>Baulera Standard - 1300 - C/Laterales</v>
      </c>
      <c r="AG71" s="3" t="str">
        <f>IFERROR(__xludf.DUMMYFUNCTION("""COMPUTED_VALUE"""),"Baulera Alta - 750")</f>
        <v>Baulera Alta - 750</v>
      </c>
      <c r="AH71" s="3" t="str">
        <f>IFERROR(__xludf.DUMMYFUNCTION("""COMPUTED_VALUE"""),"Baulera Alta - 1500 - C/Laterales")</f>
        <v>Baulera Alta - 1500 - C/Laterales</v>
      </c>
      <c r="AI71" s="3" t="str">
        <f>IFERROR(__xludf.DUMMYFUNCTION("""COMPUTED_VALUE"""),"Baulera Extendida 1700 - C/Laterales")</f>
        <v>Baulera Extendida 1700 - C/Laterales</v>
      </c>
      <c r="AJ71" s="3" t="str">
        <f>IFERROR(__xludf.DUMMYFUNCTION("""COMPUTED_VALUE"""),"Taller Móvil - 1500 x 1500 x 1700")</f>
        <v>Taller Móvil - 1500 x 1500 x 1700</v>
      </c>
      <c r="AK71" s="3" t="str">
        <f>IFERROR(__xludf.DUMMYFUNCTION("""COMPUTED_VALUE"""),"Cajón Herramientas Standard Derecho")</f>
        <v>Cajón Herramientas Standard Derecho</v>
      </c>
      <c r="AL71" s="3" t="str">
        <f>IFERROR(__xludf.DUMMYFUNCTION("""COMPUTED_VALUE"""),"Cajón Herramientas Standard Izquierdo")</f>
        <v>Cajón Herramientas Standard Izquierdo</v>
      </c>
      <c r="AM71" s="3" t="str">
        <f>IFERROR(__xludf.DUMMYFUNCTION("""COMPUTED_VALUE"""),"Cajón Herramientas Corto Derecho")</f>
        <v>Cajón Herramientas Corto Derecho</v>
      </c>
      <c r="AN71" s="3" t="str">
        <f>IFERROR(__xludf.DUMMYFUNCTION("""COMPUTED_VALUE"""),"Cajón Herramientas Corto Izquierdo")</f>
        <v>Cajón Herramientas Corto Izquierdo</v>
      </c>
      <c r="AO71" s="3" t="str">
        <f>IFERROR(__xludf.DUMMYFUNCTION("""COMPUTED_VALUE"""),"Cajón Herramientas Mediano Derecho")</f>
        <v>Cajón Herramientas Mediano Derecho</v>
      </c>
      <c r="AP71" s="3" t="str">
        <f>IFERROR(__xludf.DUMMYFUNCTION("""COMPUTED_VALUE"""),"Cajón Herramientas Mediano Izquierdo")</f>
        <v>Cajón Herramientas Mediano Izquierdo</v>
      </c>
      <c r="AQ71" s="3" t="str">
        <f>IFERROR(__xludf.DUMMYFUNCTION("""COMPUTED_VALUE"""),"Chasis Acoplado 2 Ejes L3000")</f>
        <v>Chasis Acoplado 2 Ejes L3000</v>
      </c>
      <c r="AR71" s="3" t="str">
        <f>IFERROR(__xludf.DUMMYFUNCTION("""COMPUTED_VALUE"""),"Chasis Acoplado 2 Ejes L3750")</f>
        <v>Chasis Acoplado 2 Ejes L3750</v>
      </c>
      <c r="AS71" s="3" t="str">
        <f>IFERROR(__xludf.DUMMYFUNCTION("""COMPUTED_VALUE"""),"Chasis Acoplado 2 Ejes L4000")</f>
        <v>Chasis Acoplado 2 Ejes L4000</v>
      </c>
      <c r="AT71" s="3" t="str">
        <f>IFERROR(__xludf.DUMMYFUNCTION("""COMPUTED_VALUE"""),"Chasis Acoplado 2 Ejes L4000 Reforzado")</f>
        <v>Chasis Acoplado 2 Ejes L4000 Reforzado</v>
      </c>
      <c r="AU71" s="3" t="str">
        <f>IFERROR(__xludf.DUMMYFUNCTION("""COMPUTED_VALUE"""),"Chasis Acoplado 2 Ejes L4750")</f>
        <v>Chasis Acoplado 2 Ejes L4750</v>
      </c>
      <c r="AV71" s="3" t="str">
        <f>IFERROR(__xludf.DUMMYFUNCTION("""COMPUTED_VALUE"""),"Chasis Acoplado 2 Ejes L4750 Reforzado")</f>
        <v>Chasis Acoplado 2 Ejes L4750 Reforzado</v>
      </c>
      <c r="AW71" s="3" t="str">
        <f>IFERROR(__xludf.DUMMYFUNCTION("""COMPUTED_VALUE"""),"Chasis Acoplado 2 Ejes L4750 Reforzado R. Camion")</f>
        <v>Chasis Acoplado 2 Ejes L4750 Reforzado R. Camion</v>
      </c>
      <c r="AX71" s="3" t="str">
        <f>IFERROR(__xludf.DUMMYFUNCTION("""COMPUTED_VALUE"""),"Chasis Acoplado 2 Ejes L5000")</f>
        <v>Chasis Acoplado 2 Ejes L5000</v>
      </c>
      <c r="AY71" s="3" t="str">
        <f>IFERROR(__xludf.DUMMYFUNCTION("""COMPUTED_VALUE"""),"Chasis Acoplado 2 Ejes L5750")</f>
        <v>Chasis Acoplado 2 Ejes L5750</v>
      </c>
      <c r="AZ71" s="3" t="str">
        <f>IFERROR(__xludf.DUMMYFUNCTION("""COMPUTED_VALUE"""),"Chasis Acoplado 2 Ejes L6400")</f>
        <v>Chasis Acoplado 2 Ejes L6400</v>
      </c>
      <c r="BA71" s="3" t="str">
        <f>IFERROR(__xludf.DUMMYFUNCTION("""COMPUTED_VALUE"""),"Chasis Acoplado 2 Ejes L4500")</f>
        <v>Chasis Acoplado 2 Ejes L4500</v>
      </c>
      <c r="BB71" s="3" t="str">
        <f>IFERROR(__xludf.DUMMYFUNCTION("""COMPUTED_VALUE"""),"Chasis Acoplado 1 Eje L1500")</f>
        <v>Chasis Acoplado 1 Eje L1500</v>
      </c>
      <c r="BC71" s="3" t="str">
        <f>IFERROR(__xludf.DUMMYFUNCTION("""COMPUTED_VALUE"""),"Chasis Acoplado 1 Eje L1800")</f>
        <v>Chasis Acoplado 1 Eje L1800</v>
      </c>
      <c r="BD71" s="3" t="str">
        <f>IFERROR(__xludf.DUMMYFUNCTION("""COMPUTED_VALUE"""),"Chasis Acoplado 1 Eje L1400")</f>
        <v>Chasis Acoplado 1 Eje L1400</v>
      </c>
      <c r="BE71" s="3" t="str">
        <f>IFERROR(__xludf.DUMMYFUNCTION("""COMPUTED_VALUE"""),"Chasis Acoplado Balancin L3000")</f>
        <v>Chasis Acoplado Balancin L3000</v>
      </c>
      <c r="BF71" s="3" t="str">
        <f>IFERROR(__xludf.DUMMYFUNCTION("""COMPUTED_VALUE"""),"Chasis Acoplado Balancin L3000 Lanza Corta")</f>
        <v>Chasis Acoplado Balancin L3000 Lanza Corta</v>
      </c>
      <c r="BG71" s="3" t="str">
        <f>IFERROR(__xludf.DUMMYFUNCTION("""COMPUTED_VALUE"""),"Chasis Acoplado Balancin L2000 Lanza Corta")</f>
        <v>Chasis Acoplado Balancin L2000 Lanza Corta</v>
      </c>
      <c r="BH71" s="3" t="str">
        <f>IFERROR(__xludf.DUMMYFUNCTION("""COMPUTED_VALUE"""),"Chasis Acoplado Balancin L3200 Lanza Corta")</f>
        <v>Chasis Acoplado Balancin L3200 Lanza Corta</v>
      </c>
      <c r="BI71" s="3" t="str">
        <f>IFERROR(__xludf.DUMMYFUNCTION("""COMPUTED_VALUE"""),"Chasis Acoplado Balancin L3200 Lanza Recta")</f>
        <v>Chasis Acoplado Balancin L3200 Lanza Recta</v>
      </c>
      <c r="BJ71" s="3" t="str">
        <f>IFERROR(__xludf.DUMMYFUNCTION("""COMPUTED_VALUE"""),"Chasis Acoplado Balancin L3200 Bajo Lanza Recta")</f>
        <v>Chasis Acoplado Balancin L3200 Bajo Lanza Recta</v>
      </c>
      <c r="BK71" s="3" t="str">
        <f>IFERROR(__xludf.DUMMYFUNCTION("""COMPUTED_VALUE"""),"Tanque Plastico Horizontal 750 Lts")</f>
        <v>Tanque Plastico Horizontal 750 Lts</v>
      </c>
      <c r="BL71" s="3" t="str">
        <f>IFERROR(__xludf.DUMMYFUNCTION("""COMPUTED_VALUE"""),"Medio Tanque Plastico Superior 700 Lts")</f>
        <v>Medio Tanque Plastico Superior 700 Lts</v>
      </c>
      <c r="BM71" s="3" t="str">
        <f>IFERROR(__xludf.DUMMYFUNCTION("""COMPUTED_VALUE"""),"Paquete de Elasticos 50 mm x 8 mm x 10 Hojas L850")</f>
        <v>Paquete de Elasticos 50 mm x 8 mm x 10 Hojas L850</v>
      </c>
      <c r="BN71" s="3" t="str">
        <f>IFERROR(__xludf.DUMMYFUNCTION("""COMPUTED_VALUE"""),"Paquete de Elasticos 63 mm x 8 mm x 10 Hojas L950")</f>
        <v>Paquete de Elasticos 63 mm x 8 mm x 10 Hojas L950</v>
      </c>
      <c r="BO71" s="3" t="str">
        <f>IFERROR(__xludf.DUMMYFUNCTION("""COMPUTED_VALUE"""),"Paquete de Elasticos 50 mm x 7 mm x 9 Hojas L850")</f>
        <v>Paquete de Elasticos 50 mm x 7 mm x 9 Hojas L850</v>
      </c>
      <c r="BP71" s="3" t="str">
        <f>IFERROR(__xludf.DUMMYFUNCTION("""COMPUTED_VALUE"""),"Paquete de Elasticos 63 mm x 8 mm x 8 Hojas L850")</f>
        <v>Paquete de Elasticos 63 mm x 8 mm x 8 Hojas L850</v>
      </c>
      <c r="BQ71" s="3" t="str">
        <f>IFERROR(__xludf.DUMMYFUNCTION("""COMPUTED_VALUE"""),"Paquete de Elasticos 63 mm x 10 mm x 10 Hojas L950")</f>
        <v>Paquete de Elasticos 63 mm x 10 mm x 10 Hojas L950</v>
      </c>
      <c r="BR71" s="3" t="str">
        <f>IFERROR(__xludf.DUMMYFUNCTION("""COMPUTED_VALUE"""),"Paquete de Elasticos 63 mm x 10 mm x 13 Hojas L975")</f>
        <v>Paquete de Elasticos 63 mm x 10 mm x 13 Hojas L975</v>
      </c>
      <c r="BS71" s="3" t="str">
        <f>IFERROR(__xludf.DUMMYFUNCTION("""COMPUTED_VALUE"""),"Paquete de Elasticos 50 mm x 7 mm x 9 Hojas L650")</f>
        <v>Paquete de Elasticos 50 mm x 7 mm x 9 Hojas L650</v>
      </c>
      <c r="BT71" s="3" t="str">
        <f>IFERROR(__xludf.DUMMYFUNCTION("""COMPUTED_VALUE"""),"Eje Acoplado 2"" x 1600 (06/08) Agrícola Centro 92")</f>
        <v>Eje Acoplado 2" x 1600 (06/08) Agrícola Centro 92</v>
      </c>
      <c r="BU71" s="3" t="str">
        <f>IFERROR(__xludf.DUMMYFUNCTION("""COMPUTED_VALUE"""),"Eje Acoplado 2 1/2"" x 1600 (07/09) Agrícola Centro 92")</f>
        <v>Eje Acoplado 2 1/2" x 1600 (07/09) Agrícola Centro 92</v>
      </c>
      <c r="BV71" s="3" t="str">
        <f>IFERROR(__xludf.DUMMYFUNCTION("""COMPUTED_VALUE"""),"Eje Acoplado 2 1/2"" x 1600 (09/11) Agrícola Centro 150")</f>
        <v>Eje Acoplado 2 1/2" x 1600 (09/11) Agrícola Centro 150</v>
      </c>
      <c r="BW71" s="3" t="str">
        <f>IFERROR(__xludf.DUMMYFUNCTION("""COMPUTED_VALUE"""),"Eje Acoplado 3"" x 1600 (10/13) Agrícola Centro 150")</f>
        <v>Eje Acoplado 3" x 1600 (10/13) Agrícola Centro 150</v>
      </c>
      <c r="BX71" s="3" t="str">
        <f>IFERROR(__xludf.DUMMYFUNCTION("""COMPUTED_VALUE"""),"Eje Acoplado 2 1/2"" x 2140 (07/09) Agrícola Centro 92")</f>
        <v>Eje Acoplado 2 1/2" x 2140 (07/09) Agrícola Centro 92</v>
      </c>
      <c r="BY71" s="3" t="str">
        <f>IFERROR(__xludf.DUMMYFUNCTION("""COMPUTED_VALUE"""),"Eje Acoplado 2"" x 1400 (06/08) Agrícola Centro 92")</f>
        <v>Eje Acoplado 2" x 1400 (06/08) Agrícola Centro 92</v>
      </c>
      <c r="BZ71" s="3" t="str">
        <f>IFERROR(__xludf.DUMMYFUNCTION("""COMPUTED_VALUE"""),"Eje Acoplado 2 1/2"" x 1500 (07/09) Agrícola Centro 92")</f>
        <v>Eje Acoplado 2 1/2" x 1500 (07/09) Agrícola Centro 92</v>
      </c>
      <c r="CA71" s="3" t="str">
        <f>IFERROR(__xludf.DUMMYFUNCTION("""COMPUTED_VALUE"""),"Eje Acoplado 2 1/2"" x 2000 (07/09) Agrícola Centro 92")</f>
        <v>Eje Acoplado 2 1/2" x 2000 (07/09) Agrícola Centro 92</v>
      </c>
      <c r="CB71" s="3" t="str">
        <f>IFERROR(__xludf.DUMMYFUNCTION("""COMPUTED_VALUE"""),"Eje Acoplado 2 1/2"" x 2100 (09/11) Agrícola Centro 150")</f>
        <v>Eje Acoplado 2 1/2" x 2100 (09/11) Agrícola Centro 150</v>
      </c>
      <c r="CC71" s="3" t="str">
        <f>IFERROR(__xludf.DUMMYFUNCTION("""COMPUTED_VALUE"""),"Llanta 16"" Simple Agrícola Centro 92")</f>
        <v>Llanta 16" Simple Agrícola Centro 92</v>
      </c>
      <c r="CD71" s="3" t="str">
        <f>IFERROR(__xludf.DUMMYFUNCTION("""COMPUTED_VALUE"""),"Llanta 16"" Dual Agrícola Centro 92")</f>
        <v>Llanta 16" Dual Agrícola Centro 92</v>
      </c>
      <c r="CE71" s="3" t="str">
        <f>IFERROR(__xludf.DUMMYFUNCTION("""COMPUTED_VALUE"""),"Llanta 17"" Simple Agrícola Centro 92")</f>
        <v>Llanta 17" Simple Agrícola Centro 92</v>
      </c>
      <c r="CF71" s="3" t="str">
        <f>IFERROR(__xludf.DUMMYFUNCTION("""COMPUTED_VALUE"""),"Llanta 17"" Dual Agrícola Centro 92")</f>
        <v>Llanta 17" Dual Agrícola Centro 92</v>
      </c>
      <c r="CG71" s="3" t="str">
        <f>IFERROR(__xludf.DUMMYFUNCTION("""COMPUTED_VALUE"""),"Llanta 16"" Dual Agrícola Centro 152")</f>
        <v>Llanta 16" Dual Agrícola Centro 152</v>
      </c>
      <c r="CH71" s="3" t="str">
        <f>IFERROR(__xludf.DUMMYFUNCTION("""COMPUTED_VALUE"""),"Llanta 17"" Dual Agrícola Centro 152")</f>
        <v>Llanta 17" Dual Agrícola Centro 152</v>
      </c>
      <c r="CI71" s="3" t="str">
        <f>IFERROR(__xludf.DUMMYFUNCTION("""COMPUTED_VALUE"""),"Eje Acoplado 2"" x 1600 (05/07) Agrícola Centro 92")</f>
        <v>Eje Acoplado 2" x 1600 (05/07) Agrícola Centro 92</v>
      </c>
      <c r="CJ71" s="3" t="str">
        <f>IFERROR(__xludf.DUMMYFUNCTION("""COMPUTED_VALUE"""),"Paquete de Elásticos 50 mm x 8 mm x 12 Hojas")</f>
        <v>Paquete de Elásticos 50 mm x 8 mm x 12 Hojas</v>
      </c>
      <c r="CK71" s="3" t="str">
        <f>IFERROR(__xludf.DUMMYFUNCTION("""COMPUTED_VALUE"""),"Plataforma Playo 4.00 x 1.90 x 0.45 Lateral Simple Baranda Fija")</f>
        <v>Plataforma Playo 4.00 x 1.90 x 0.45 Lateral Simple Baranda Fija</v>
      </c>
      <c r="CL71" s="3" t="str">
        <f>IFERROR(__xludf.DUMMYFUNCTION("""COMPUTED_VALUE"""),"Plataforma Playo 4.00 x 1.90 x 0.45 Lateral Simple Baranda Ventilada")</f>
        <v>Plataforma Playo 4.00 x 1.90 x 0.45 Lateral Simple Baranda Ventilada</v>
      </c>
      <c r="CM71" s="3" t="str">
        <f>IFERROR(__xludf.DUMMYFUNCTION("""COMPUTED_VALUE"""),"Plataforma Playo 4.00 x 1.90 x 0.45 Lateral Doble Baranda Ventilada")</f>
        <v>Plataforma Playo 4.00 x 1.90 x 0.45 Lateral Doble Baranda Ventilada</v>
      </c>
      <c r="CN71" s="3" t="str">
        <f>IFERROR(__xludf.DUMMYFUNCTION("""COMPUTED_VALUE"""),"Plataforma Playo 4.00 x 1.90 x 0.45 Lateral Doble Baranda Fija")</f>
        <v>Plataforma Playo 4.00 x 1.90 x 0.45 Lateral Doble Baranda Fija</v>
      </c>
      <c r="CO71" s="3" t="str">
        <f>IFERROR(__xludf.DUMMYFUNCTION("""COMPUTED_VALUE"""),"Plataforma Playo 4.00 x 1.90 x 0.72 Lateral Simple Baranda Fija")</f>
        <v>Plataforma Playo 4.00 x 1.90 x 0.72 Lateral Simple Baranda Fija</v>
      </c>
      <c r="CP71" s="3" t="str">
        <f>IFERROR(__xludf.DUMMYFUNCTION("""COMPUTED_VALUE"""),"Plataforma Playo 4.00 x 1.90 x 0.72 Lateral Doble Baranda Fija")</f>
        <v>Plataforma Playo 4.00 x 1.90 x 0.72 Lateral Doble Baranda Fija</v>
      </c>
      <c r="CQ71" s="3" t="str">
        <f>IFERROR(__xludf.DUMMYFUNCTION("""COMPUTED_VALUE"""),"Plataforma Playo 5.00 x 2.20 x 0.60 Lateral Doble Trasera Rebatible")</f>
        <v>Plataforma Playo 5.00 x 2.20 x 0.60 Lateral Doble Trasera Rebatible</v>
      </c>
      <c r="CR71" s="3" t="str">
        <f>IFERROR(__xludf.DUMMYFUNCTION("""COMPUTED_VALUE"""),"Plataforma Playo 5.00 x 2.20 x 0.60 Lateral Doble Baranda Fija C/Toldo")</f>
        <v>Plataforma Playo 5.00 x 2.20 x 0.60 Lateral Doble Baranda Fija C/Toldo</v>
      </c>
      <c r="CS71" s="3" t="str">
        <f>IFERROR(__xludf.DUMMYFUNCTION("""COMPUTED_VALUE"""),"Plataforma Playo 3.00 x 1.90 x 0.45 Lateral Simple Baranda Fija")</f>
        <v>Plataforma Playo 3.00 x 1.90 x 0.45 Lateral Simple Baranda Fija</v>
      </c>
      <c r="CT71" s="3" t="str">
        <f>IFERROR(__xludf.DUMMYFUNCTION("""COMPUTED_VALUE"""),"Plataforma Playo 3.00 x 1.90 x 0.45 Lateral Simple Baranda Ventilada")</f>
        <v>Plataforma Playo 3.00 x 1.90 x 0.45 Lateral Simple Baranda Ventilada</v>
      </c>
      <c r="CU71" s="3" t="str">
        <f>IFERROR(__xludf.DUMMYFUNCTION("""COMPUTED_VALUE"""),"Plataforma Playo 2.00 x 1.90 x 0.45 Lateral Simple Baranda Fija")</f>
        <v>Plataforma Playo 2.00 x 1.90 x 0.45 Lateral Simple Baranda Fija</v>
      </c>
      <c r="CV71" s="3" t="str">
        <f>IFERROR(__xludf.DUMMYFUNCTION("""COMPUTED_VALUE"""),"Plataforma Playo 5.00 x 1.90 x 0.60 Lateral Doble Baranda Fija")</f>
        <v>Plataforma Playo 5.00 x 1.90 x 0.60 Lateral Doble Baranda Fija</v>
      </c>
      <c r="CW71" s="3" t="str">
        <f>IFERROR(__xludf.DUMMYFUNCTION("""COMPUTED_VALUE"""),"Plataforma Playo 6.40 x 2.70 x 0.72 Lateral Doble Baranda Fija")</f>
        <v>Plataforma Playo 6.40 x 2.70 x 0.72 Lateral Doble Baranda Fija</v>
      </c>
      <c r="CX71" s="3" t="str">
        <f>IFERROR(__xludf.DUMMYFUNCTION("""COMPUTED_VALUE"""),"Chasis Acoplado Balancin L4000 Lanza Recta")</f>
        <v>Chasis Acoplado Balancin L4000 Lanza Recta</v>
      </c>
      <c r="CY71" s="3" t="str">
        <f>IFERROR(__xludf.DUMMYFUNCTION("""COMPUTED_VALUE"""),"Llanta simple Agrícola 750x20 centro 152")</f>
        <v>Llanta simple Agrícola 750x20 centro 152</v>
      </c>
      <c r="CZ71" s="3" t="str">
        <f>IFERROR(__xludf.DUMMYFUNCTION("""COMPUTED_VALUE"""),"Cajón de Herramientas Mediano adelante")</f>
        <v>Cajón de Herramientas Mediano adelante</v>
      </c>
      <c r="DA71" s="3" t="str">
        <f>IFERROR(__xludf.DUMMYFUNCTION("""COMPUTED_VALUE"""),"Llanta 15"" Simple Agrícola Centro 92")</f>
        <v>Llanta 15" Simple Agrícola Centro 92</v>
      </c>
    </row>
    <row r="72" hidden="1">
      <c r="A72" s="38">
        <f t="shared" si="1"/>
        <v>71</v>
      </c>
      <c r="B72" s="38">
        <f>IF(F72="","",SUMIF(Prearmados!E:E,F72,Prearmados!A:A))</f>
        <v>11</v>
      </c>
      <c r="C72" s="38">
        <f>IF(F72="","",SUMIF(Productos!E:E,G72,Productos!A:A))</f>
        <v>103</v>
      </c>
      <c r="D72" s="83" t="str">
        <f t="array" ref="D72">IF(OR(F72="",F72="Seleccionar.."),"",XLOOKUP(F72,Prearmados!E:E,Prearmados!F:F,"",0,1))</f>
        <v>Acoplados Rurales</v>
      </c>
      <c r="E72" s="83">
        <f>IF(H72="","",SUMIF(Precio_Productos!K:K,C72,Precio_Productos!J:J)*H72)</f>
        <v>1528800</v>
      </c>
      <c r="F72" s="84" t="s">
        <v>334</v>
      </c>
      <c r="G72" s="84" t="s">
        <v>135</v>
      </c>
      <c r="H72" s="13">
        <v>2.0</v>
      </c>
      <c r="P72" s="3" t="str">
        <f>IFERROR(__xludf.DUMMYFUNCTION("IF(OR(F72="""",F72=""Seleccionar..""),"""",TRANSPOSE(FILTER(Productos!E:E,(Productos!F:F=D72)+(Productos!F:F=XLOOKUP(D72,Implementos!B:B,Implementos!C:C,""-"",0,1)))))"),"Tanque Combustible 1100 lts Bajo")</f>
        <v>Tanque Combustible 1100 lts Bajo</v>
      </c>
      <c r="Q72" s="3" t="str">
        <f>IFERROR(__xludf.DUMMYFUNCTION("""COMPUTED_VALUE"""),"Tanque Combustible 1500 lts Standard")</f>
        <v>Tanque Combustible 1500 lts Standard</v>
      </c>
      <c r="R72" s="3" t="str">
        <f>IFERROR(__xludf.DUMMYFUNCTION("""COMPUTED_VALUE"""),"Tanque Combustible 1800 lts Standard")</f>
        <v>Tanque Combustible 1800 lts Standard</v>
      </c>
      <c r="S72" s="3" t="str">
        <f>IFERROR(__xludf.DUMMYFUNCTION("""COMPUTED_VALUE"""),"Tanque Combustible 2000 lts Bajo")</f>
        <v>Tanque Combustible 2000 lts Bajo</v>
      </c>
      <c r="T72" s="3" t="str">
        <f>IFERROR(__xludf.DUMMYFUNCTION("""COMPUTED_VALUE"""),"Tanque Combustible 2000 lts Standard")</f>
        <v>Tanque Combustible 2000 lts Standard</v>
      </c>
      <c r="U72" s="3" t="str">
        <f>IFERROR(__xludf.DUMMYFUNCTION("""COMPUTED_VALUE"""),"Tanque Combustible 3000 lts Standard")</f>
        <v>Tanque Combustible 3000 lts Standard</v>
      </c>
      <c r="V72" s="3" t="str">
        <f>IFERROR(__xludf.DUMMYFUNCTION("""COMPUTED_VALUE"""),"Tanque Combustible 3000 lts Alto")</f>
        <v>Tanque Combustible 3000 lts Alto</v>
      </c>
      <c r="W72" s="3" t="str">
        <f>IFERROR(__xludf.DUMMYFUNCTION("""COMPUTED_VALUE"""),"Tanque Combustible 4000 lts Standard")</f>
        <v>Tanque Combustible 4000 lts Standard</v>
      </c>
      <c r="X72" s="3" t="str">
        <f>IFERROR(__xludf.DUMMYFUNCTION("""COMPUTED_VALUE"""),"Tanque Combustible 5000 lts Standard")</f>
        <v>Tanque Combustible 5000 lts Standard</v>
      </c>
      <c r="Y72" s="3" t="str">
        <f>IFERROR(__xludf.DUMMYFUNCTION("""COMPUTED_VALUE"""),"Tanque Combustible 5000 lts Alto")</f>
        <v>Tanque Combustible 5000 lts Alto</v>
      </c>
      <c r="Z72" s="3" t="str">
        <f>IFERROR(__xludf.DUMMYFUNCTION("""COMPUTED_VALUE"""),"Tanque Combustible 2000 lts Alto")</f>
        <v>Tanque Combustible 2000 lts Alto</v>
      </c>
      <c r="AA72" s="3" t="str">
        <f>IFERROR(__xludf.DUMMYFUNCTION("""COMPUTED_VALUE"""),"Tanque Combustible 4000 lts Alto")</f>
        <v>Tanque Combustible 4000 lts Alto</v>
      </c>
      <c r="AB72" s="3" t="str">
        <f>IFERROR(__xludf.DUMMYFUNCTION("""COMPUTED_VALUE"""),"Baulera Standard - 750")</f>
        <v>Baulera Standard - 750</v>
      </c>
      <c r="AC72" s="3" t="str">
        <f>IFERROR(__xludf.DUMMYFUNCTION("""COMPUTED_VALUE"""),"Baulera Standard - 1700 - C/Laterales")</f>
        <v>Baulera Standard - 1700 - C/Laterales</v>
      </c>
      <c r="AD72" s="3" t="str">
        <f>IFERROR(__xludf.DUMMYFUNCTION("""COMPUTED_VALUE"""),"Baulera Standard - 1000 - C/Laterales")</f>
        <v>Baulera Standard - 1000 - C/Laterales</v>
      </c>
      <c r="AE72" s="3" t="str">
        <f>IFERROR(__xludf.DUMMYFUNCTION("""COMPUTED_VALUE"""),"Baulera Standard - 750 - C/Laterales")</f>
        <v>Baulera Standard - 750 - C/Laterales</v>
      </c>
      <c r="AF72" s="3" t="str">
        <f>IFERROR(__xludf.DUMMYFUNCTION("""COMPUTED_VALUE"""),"Baulera Standard - 1300 - C/Laterales")</f>
        <v>Baulera Standard - 1300 - C/Laterales</v>
      </c>
      <c r="AG72" s="3" t="str">
        <f>IFERROR(__xludf.DUMMYFUNCTION("""COMPUTED_VALUE"""),"Baulera Alta - 750")</f>
        <v>Baulera Alta - 750</v>
      </c>
      <c r="AH72" s="3" t="str">
        <f>IFERROR(__xludf.DUMMYFUNCTION("""COMPUTED_VALUE"""),"Baulera Alta - 1500 - C/Laterales")</f>
        <v>Baulera Alta - 1500 - C/Laterales</v>
      </c>
      <c r="AI72" s="3" t="str">
        <f>IFERROR(__xludf.DUMMYFUNCTION("""COMPUTED_VALUE"""),"Baulera Extendida 1700 - C/Laterales")</f>
        <v>Baulera Extendida 1700 - C/Laterales</v>
      </c>
      <c r="AJ72" s="3" t="str">
        <f>IFERROR(__xludf.DUMMYFUNCTION("""COMPUTED_VALUE"""),"Taller Móvil - 1500 x 1500 x 1700")</f>
        <v>Taller Móvil - 1500 x 1500 x 1700</v>
      </c>
      <c r="AK72" s="3" t="str">
        <f>IFERROR(__xludf.DUMMYFUNCTION("""COMPUTED_VALUE"""),"Cajón Herramientas Standard Derecho")</f>
        <v>Cajón Herramientas Standard Derecho</v>
      </c>
      <c r="AL72" s="3" t="str">
        <f>IFERROR(__xludf.DUMMYFUNCTION("""COMPUTED_VALUE"""),"Cajón Herramientas Standard Izquierdo")</f>
        <v>Cajón Herramientas Standard Izquierdo</v>
      </c>
      <c r="AM72" s="3" t="str">
        <f>IFERROR(__xludf.DUMMYFUNCTION("""COMPUTED_VALUE"""),"Cajón Herramientas Corto Derecho")</f>
        <v>Cajón Herramientas Corto Derecho</v>
      </c>
      <c r="AN72" s="3" t="str">
        <f>IFERROR(__xludf.DUMMYFUNCTION("""COMPUTED_VALUE"""),"Cajón Herramientas Corto Izquierdo")</f>
        <v>Cajón Herramientas Corto Izquierdo</v>
      </c>
      <c r="AO72" s="3" t="str">
        <f>IFERROR(__xludf.DUMMYFUNCTION("""COMPUTED_VALUE"""),"Cajón Herramientas Mediano Derecho")</f>
        <v>Cajón Herramientas Mediano Derecho</v>
      </c>
      <c r="AP72" s="3" t="str">
        <f>IFERROR(__xludf.DUMMYFUNCTION("""COMPUTED_VALUE"""),"Cajón Herramientas Mediano Izquierdo")</f>
        <v>Cajón Herramientas Mediano Izquierdo</v>
      </c>
      <c r="AQ72" s="3" t="str">
        <f>IFERROR(__xludf.DUMMYFUNCTION("""COMPUTED_VALUE"""),"Chasis Acoplado 2 Ejes L3000")</f>
        <v>Chasis Acoplado 2 Ejes L3000</v>
      </c>
      <c r="AR72" s="3" t="str">
        <f>IFERROR(__xludf.DUMMYFUNCTION("""COMPUTED_VALUE"""),"Chasis Acoplado 2 Ejes L3750")</f>
        <v>Chasis Acoplado 2 Ejes L3750</v>
      </c>
      <c r="AS72" s="3" t="str">
        <f>IFERROR(__xludf.DUMMYFUNCTION("""COMPUTED_VALUE"""),"Chasis Acoplado 2 Ejes L4000")</f>
        <v>Chasis Acoplado 2 Ejes L4000</v>
      </c>
      <c r="AT72" s="3" t="str">
        <f>IFERROR(__xludf.DUMMYFUNCTION("""COMPUTED_VALUE"""),"Chasis Acoplado 2 Ejes L4000 Reforzado")</f>
        <v>Chasis Acoplado 2 Ejes L4000 Reforzado</v>
      </c>
      <c r="AU72" s="3" t="str">
        <f>IFERROR(__xludf.DUMMYFUNCTION("""COMPUTED_VALUE"""),"Chasis Acoplado 2 Ejes L4750")</f>
        <v>Chasis Acoplado 2 Ejes L4750</v>
      </c>
      <c r="AV72" s="3" t="str">
        <f>IFERROR(__xludf.DUMMYFUNCTION("""COMPUTED_VALUE"""),"Chasis Acoplado 2 Ejes L4750 Reforzado")</f>
        <v>Chasis Acoplado 2 Ejes L4750 Reforzado</v>
      </c>
      <c r="AW72" s="3" t="str">
        <f>IFERROR(__xludf.DUMMYFUNCTION("""COMPUTED_VALUE"""),"Chasis Acoplado 2 Ejes L4750 Reforzado R. Camion")</f>
        <v>Chasis Acoplado 2 Ejes L4750 Reforzado R. Camion</v>
      </c>
      <c r="AX72" s="3" t="str">
        <f>IFERROR(__xludf.DUMMYFUNCTION("""COMPUTED_VALUE"""),"Chasis Acoplado 2 Ejes L5000")</f>
        <v>Chasis Acoplado 2 Ejes L5000</v>
      </c>
      <c r="AY72" s="3" t="str">
        <f>IFERROR(__xludf.DUMMYFUNCTION("""COMPUTED_VALUE"""),"Chasis Acoplado 2 Ejes L5750")</f>
        <v>Chasis Acoplado 2 Ejes L5750</v>
      </c>
      <c r="AZ72" s="3" t="str">
        <f>IFERROR(__xludf.DUMMYFUNCTION("""COMPUTED_VALUE"""),"Chasis Acoplado 2 Ejes L6400")</f>
        <v>Chasis Acoplado 2 Ejes L6400</v>
      </c>
      <c r="BA72" s="3" t="str">
        <f>IFERROR(__xludf.DUMMYFUNCTION("""COMPUTED_VALUE"""),"Chasis Acoplado 2 Ejes L4500")</f>
        <v>Chasis Acoplado 2 Ejes L4500</v>
      </c>
      <c r="BB72" s="3" t="str">
        <f>IFERROR(__xludf.DUMMYFUNCTION("""COMPUTED_VALUE"""),"Chasis Acoplado 1 Eje L1500")</f>
        <v>Chasis Acoplado 1 Eje L1500</v>
      </c>
      <c r="BC72" s="3" t="str">
        <f>IFERROR(__xludf.DUMMYFUNCTION("""COMPUTED_VALUE"""),"Chasis Acoplado 1 Eje L1800")</f>
        <v>Chasis Acoplado 1 Eje L1800</v>
      </c>
      <c r="BD72" s="3" t="str">
        <f>IFERROR(__xludf.DUMMYFUNCTION("""COMPUTED_VALUE"""),"Chasis Acoplado 1 Eje L1400")</f>
        <v>Chasis Acoplado 1 Eje L1400</v>
      </c>
      <c r="BE72" s="3" t="str">
        <f>IFERROR(__xludf.DUMMYFUNCTION("""COMPUTED_VALUE"""),"Chasis Acoplado Balancin L3000")</f>
        <v>Chasis Acoplado Balancin L3000</v>
      </c>
      <c r="BF72" s="3" t="str">
        <f>IFERROR(__xludf.DUMMYFUNCTION("""COMPUTED_VALUE"""),"Chasis Acoplado Balancin L3000 Lanza Corta")</f>
        <v>Chasis Acoplado Balancin L3000 Lanza Corta</v>
      </c>
      <c r="BG72" s="3" t="str">
        <f>IFERROR(__xludf.DUMMYFUNCTION("""COMPUTED_VALUE"""),"Chasis Acoplado Balancin L2000 Lanza Corta")</f>
        <v>Chasis Acoplado Balancin L2000 Lanza Corta</v>
      </c>
      <c r="BH72" s="3" t="str">
        <f>IFERROR(__xludf.DUMMYFUNCTION("""COMPUTED_VALUE"""),"Chasis Acoplado Balancin L3200 Lanza Corta")</f>
        <v>Chasis Acoplado Balancin L3200 Lanza Corta</v>
      </c>
      <c r="BI72" s="3" t="str">
        <f>IFERROR(__xludf.DUMMYFUNCTION("""COMPUTED_VALUE"""),"Chasis Acoplado Balancin L3200 Lanza Recta")</f>
        <v>Chasis Acoplado Balancin L3200 Lanza Recta</v>
      </c>
      <c r="BJ72" s="3" t="str">
        <f>IFERROR(__xludf.DUMMYFUNCTION("""COMPUTED_VALUE"""),"Chasis Acoplado Balancin L3200 Bajo Lanza Recta")</f>
        <v>Chasis Acoplado Balancin L3200 Bajo Lanza Recta</v>
      </c>
      <c r="BK72" s="3" t="str">
        <f>IFERROR(__xludf.DUMMYFUNCTION("""COMPUTED_VALUE"""),"Tanque Plastico Horizontal 750 Lts")</f>
        <v>Tanque Plastico Horizontal 750 Lts</v>
      </c>
      <c r="BL72" s="3" t="str">
        <f>IFERROR(__xludf.DUMMYFUNCTION("""COMPUTED_VALUE"""),"Medio Tanque Plastico Superior 700 Lts")</f>
        <v>Medio Tanque Plastico Superior 700 Lts</v>
      </c>
      <c r="BM72" s="3" t="str">
        <f>IFERROR(__xludf.DUMMYFUNCTION("""COMPUTED_VALUE"""),"Paquete de Elasticos 50 mm x 8 mm x 10 Hojas L850")</f>
        <v>Paquete de Elasticos 50 mm x 8 mm x 10 Hojas L850</v>
      </c>
      <c r="BN72" s="3" t="str">
        <f>IFERROR(__xludf.DUMMYFUNCTION("""COMPUTED_VALUE"""),"Paquete de Elasticos 63 mm x 8 mm x 10 Hojas L950")</f>
        <v>Paquete de Elasticos 63 mm x 8 mm x 10 Hojas L950</v>
      </c>
      <c r="BO72" s="3" t="str">
        <f>IFERROR(__xludf.DUMMYFUNCTION("""COMPUTED_VALUE"""),"Paquete de Elasticos 50 mm x 7 mm x 9 Hojas L850")</f>
        <v>Paquete de Elasticos 50 mm x 7 mm x 9 Hojas L850</v>
      </c>
      <c r="BP72" s="3" t="str">
        <f>IFERROR(__xludf.DUMMYFUNCTION("""COMPUTED_VALUE"""),"Paquete de Elasticos 63 mm x 8 mm x 8 Hojas L850")</f>
        <v>Paquete de Elasticos 63 mm x 8 mm x 8 Hojas L850</v>
      </c>
      <c r="BQ72" s="3" t="str">
        <f>IFERROR(__xludf.DUMMYFUNCTION("""COMPUTED_VALUE"""),"Paquete de Elasticos 63 mm x 10 mm x 10 Hojas L950")</f>
        <v>Paquete de Elasticos 63 mm x 10 mm x 10 Hojas L950</v>
      </c>
      <c r="BR72" s="3" t="str">
        <f>IFERROR(__xludf.DUMMYFUNCTION("""COMPUTED_VALUE"""),"Paquete de Elasticos 63 mm x 10 mm x 13 Hojas L975")</f>
        <v>Paquete de Elasticos 63 mm x 10 mm x 13 Hojas L975</v>
      </c>
      <c r="BS72" s="3" t="str">
        <f>IFERROR(__xludf.DUMMYFUNCTION("""COMPUTED_VALUE"""),"Paquete de Elasticos 50 mm x 7 mm x 9 Hojas L650")</f>
        <v>Paquete de Elasticos 50 mm x 7 mm x 9 Hojas L650</v>
      </c>
      <c r="BT72" s="3" t="str">
        <f>IFERROR(__xludf.DUMMYFUNCTION("""COMPUTED_VALUE"""),"Eje Acoplado 2"" x 1600 (06/08) Agrícola Centro 92")</f>
        <v>Eje Acoplado 2" x 1600 (06/08) Agrícola Centro 92</v>
      </c>
      <c r="BU72" s="3" t="str">
        <f>IFERROR(__xludf.DUMMYFUNCTION("""COMPUTED_VALUE"""),"Eje Acoplado 2 1/2"" x 1600 (07/09) Agrícola Centro 92")</f>
        <v>Eje Acoplado 2 1/2" x 1600 (07/09) Agrícola Centro 92</v>
      </c>
      <c r="BV72" s="3" t="str">
        <f>IFERROR(__xludf.DUMMYFUNCTION("""COMPUTED_VALUE"""),"Eje Acoplado 2 1/2"" x 1600 (09/11) Agrícola Centro 150")</f>
        <v>Eje Acoplado 2 1/2" x 1600 (09/11) Agrícola Centro 150</v>
      </c>
      <c r="BW72" s="3" t="str">
        <f>IFERROR(__xludf.DUMMYFUNCTION("""COMPUTED_VALUE"""),"Eje Acoplado 3"" x 1600 (10/13) Agrícola Centro 150")</f>
        <v>Eje Acoplado 3" x 1600 (10/13) Agrícola Centro 150</v>
      </c>
      <c r="BX72" s="3" t="str">
        <f>IFERROR(__xludf.DUMMYFUNCTION("""COMPUTED_VALUE"""),"Eje Acoplado 2 1/2"" x 2140 (07/09) Agrícola Centro 92")</f>
        <v>Eje Acoplado 2 1/2" x 2140 (07/09) Agrícola Centro 92</v>
      </c>
      <c r="BY72" s="3" t="str">
        <f>IFERROR(__xludf.DUMMYFUNCTION("""COMPUTED_VALUE"""),"Eje Acoplado 2"" x 1400 (06/08) Agrícola Centro 92")</f>
        <v>Eje Acoplado 2" x 1400 (06/08) Agrícola Centro 92</v>
      </c>
      <c r="BZ72" s="3" t="str">
        <f>IFERROR(__xludf.DUMMYFUNCTION("""COMPUTED_VALUE"""),"Eje Acoplado 2 1/2"" x 1500 (07/09) Agrícola Centro 92")</f>
        <v>Eje Acoplado 2 1/2" x 1500 (07/09) Agrícola Centro 92</v>
      </c>
      <c r="CA72" s="3" t="str">
        <f>IFERROR(__xludf.DUMMYFUNCTION("""COMPUTED_VALUE"""),"Eje Acoplado 2 1/2"" x 2000 (07/09) Agrícola Centro 92")</f>
        <v>Eje Acoplado 2 1/2" x 2000 (07/09) Agrícola Centro 92</v>
      </c>
      <c r="CB72" s="3" t="str">
        <f>IFERROR(__xludf.DUMMYFUNCTION("""COMPUTED_VALUE"""),"Eje Acoplado 2 1/2"" x 2100 (09/11) Agrícola Centro 150")</f>
        <v>Eje Acoplado 2 1/2" x 2100 (09/11) Agrícola Centro 150</v>
      </c>
      <c r="CC72" s="3" t="str">
        <f>IFERROR(__xludf.DUMMYFUNCTION("""COMPUTED_VALUE"""),"Llanta 16"" Simple Agrícola Centro 92")</f>
        <v>Llanta 16" Simple Agrícola Centro 92</v>
      </c>
      <c r="CD72" s="3" t="str">
        <f>IFERROR(__xludf.DUMMYFUNCTION("""COMPUTED_VALUE"""),"Llanta 16"" Dual Agrícola Centro 92")</f>
        <v>Llanta 16" Dual Agrícola Centro 92</v>
      </c>
      <c r="CE72" s="3" t="str">
        <f>IFERROR(__xludf.DUMMYFUNCTION("""COMPUTED_VALUE"""),"Llanta 17"" Simple Agrícola Centro 92")</f>
        <v>Llanta 17" Simple Agrícola Centro 92</v>
      </c>
      <c r="CF72" s="3" t="str">
        <f>IFERROR(__xludf.DUMMYFUNCTION("""COMPUTED_VALUE"""),"Llanta 17"" Dual Agrícola Centro 92")</f>
        <v>Llanta 17" Dual Agrícola Centro 92</v>
      </c>
      <c r="CG72" s="3" t="str">
        <f>IFERROR(__xludf.DUMMYFUNCTION("""COMPUTED_VALUE"""),"Llanta 16"" Dual Agrícola Centro 152")</f>
        <v>Llanta 16" Dual Agrícola Centro 152</v>
      </c>
      <c r="CH72" s="3" t="str">
        <f>IFERROR(__xludf.DUMMYFUNCTION("""COMPUTED_VALUE"""),"Llanta 17"" Dual Agrícola Centro 152")</f>
        <v>Llanta 17" Dual Agrícola Centro 152</v>
      </c>
      <c r="CI72" s="3" t="str">
        <f>IFERROR(__xludf.DUMMYFUNCTION("""COMPUTED_VALUE"""),"Eje Acoplado 2"" x 1600 (05/07) Agrícola Centro 92")</f>
        <v>Eje Acoplado 2" x 1600 (05/07) Agrícola Centro 92</v>
      </c>
      <c r="CJ72" s="3" t="str">
        <f>IFERROR(__xludf.DUMMYFUNCTION("""COMPUTED_VALUE"""),"Paquete de Elásticos 50 mm x 8 mm x 12 Hojas")</f>
        <v>Paquete de Elásticos 50 mm x 8 mm x 12 Hojas</v>
      </c>
      <c r="CK72" s="3" t="str">
        <f>IFERROR(__xludf.DUMMYFUNCTION("""COMPUTED_VALUE"""),"Plataforma Playo 4.00 x 1.90 x 0.45 Lateral Simple Baranda Fija")</f>
        <v>Plataforma Playo 4.00 x 1.90 x 0.45 Lateral Simple Baranda Fija</v>
      </c>
      <c r="CL72" s="3" t="str">
        <f>IFERROR(__xludf.DUMMYFUNCTION("""COMPUTED_VALUE"""),"Plataforma Playo 4.00 x 1.90 x 0.45 Lateral Simple Baranda Ventilada")</f>
        <v>Plataforma Playo 4.00 x 1.90 x 0.45 Lateral Simple Baranda Ventilada</v>
      </c>
      <c r="CM72" s="3" t="str">
        <f>IFERROR(__xludf.DUMMYFUNCTION("""COMPUTED_VALUE"""),"Plataforma Playo 4.00 x 1.90 x 0.45 Lateral Doble Baranda Ventilada")</f>
        <v>Plataforma Playo 4.00 x 1.90 x 0.45 Lateral Doble Baranda Ventilada</v>
      </c>
      <c r="CN72" s="3" t="str">
        <f>IFERROR(__xludf.DUMMYFUNCTION("""COMPUTED_VALUE"""),"Plataforma Playo 4.00 x 1.90 x 0.45 Lateral Doble Baranda Fija")</f>
        <v>Plataforma Playo 4.00 x 1.90 x 0.45 Lateral Doble Baranda Fija</v>
      </c>
      <c r="CO72" s="3" t="str">
        <f>IFERROR(__xludf.DUMMYFUNCTION("""COMPUTED_VALUE"""),"Plataforma Playo 4.00 x 1.90 x 0.72 Lateral Simple Baranda Fija")</f>
        <v>Plataforma Playo 4.00 x 1.90 x 0.72 Lateral Simple Baranda Fija</v>
      </c>
      <c r="CP72" s="3" t="str">
        <f>IFERROR(__xludf.DUMMYFUNCTION("""COMPUTED_VALUE"""),"Plataforma Playo 4.00 x 1.90 x 0.72 Lateral Doble Baranda Fija")</f>
        <v>Plataforma Playo 4.00 x 1.90 x 0.72 Lateral Doble Baranda Fija</v>
      </c>
      <c r="CQ72" s="3" t="str">
        <f>IFERROR(__xludf.DUMMYFUNCTION("""COMPUTED_VALUE"""),"Plataforma Playo 5.00 x 2.20 x 0.60 Lateral Doble Trasera Rebatible")</f>
        <v>Plataforma Playo 5.00 x 2.20 x 0.60 Lateral Doble Trasera Rebatible</v>
      </c>
      <c r="CR72" s="3" t="str">
        <f>IFERROR(__xludf.DUMMYFUNCTION("""COMPUTED_VALUE"""),"Plataforma Playo 5.00 x 2.20 x 0.60 Lateral Doble Baranda Fija C/Toldo")</f>
        <v>Plataforma Playo 5.00 x 2.20 x 0.60 Lateral Doble Baranda Fija C/Toldo</v>
      </c>
      <c r="CS72" s="3" t="str">
        <f>IFERROR(__xludf.DUMMYFUNCTION("""COMPUTED_VALUE"""),"Plataforma Playo 3.00 x 1.90 x 0.45 Lateral Simple Baranda Fija")</f>
        <v>Plataforma Playo 3.00 x 1.90 x 0.45 Lateral Simple Baranda Fija</v>
      </c>
      <c r="CT72" s="3" t="str">
        <f>IFERROR(__xludf.DUMMYFUNCTION("""COMPUTED_VALUE"""),"Plataforma Playo 3.00 x 1.90 x 0.45 Lateral Simple Baranda Ventilada")</f>
        <v>Plataforma Playo 3.00 x 1.90 x 0.45 Lateral Simple Baranda Ventilada</v>
      </c>
      <c r="CU72" s="3" t="str">
        <f>IFERROR(__xludf.DUMMYFUNCTION("""COMPUTED_VALUE"""),"Plataforma Playo 2.00 x 1.90 x 0.45 Lateral Simple Baranda Fija")</f>
        <v>Plataforma Playo 2.00 x 1.90 x 0.45 Lateral Simple Baranda Fija</v>
      </c>
      <c r="CV72" s="3" t="str">
        <f>IFERROR(__xludf.DUMMYFUNCTION("""COMPUTED_VALUE"""),"Plataforma Playo 5.00 x 1.90 x 0.60 Lateral Doble Baranda Fija")</f>
        <v>Plataforma Playo 5.00 x 1.90 x 0.60 Lateral Doble Baranda Fija</v>
      </c>
      <c r="CW72" s="3" t="str">
        <f>IFERROR(__xludf.DUMMYFUNCTION("""COMPUTED_VALUE"""),"Plataforma Playo 6.40 x 2.70 x 0.72 Lateral Doble Baranda Fija")</f>
        <v>Plataforma Playo 6.40 x 2.70 x 0.72 Lateral Doble Baranda Fija</v>
      </c>
      <c r="CX72" s="3" t="str">
        <f>IFERROR(__xludf.DUMMYFUNCTION("""COMPUTED_VALUE"""),"Chasis Acoplado Balancin L4000 Lanza Recta")</f>
        <v>Chasis Acoplado Balancin L4000 Lanza Recta</v>
      </c>
      <c r="CY72" s="3" t="str">
        <f>IFERROR(__xludf.DUMMYFUNCTION("""COMPUTED_VALUE"""),"Llanta simple Agrícola 750x20 centro 152")</f>
        <v>Llanta simple Agrícola 750x20 centro 152</v>
      </c>
      <c r="CZ72" s="3" t="str">
        <f>IFERROR(__xludf.DUMMYFUNCTION("""COMPUTED_VALUE"""),"Cajón de Herramientas Mediano adelante")</f>
        <v>Cajón de Herramientas Mediano adelante</v>
      </c>
      <c r="DA72" s="3" t="str">
        <f>IFERROR(__xludf.DUMMYFUNCTION("""COMPUTED_VALUE"""),"Llanta 15"" Simple Agrícola Centro 92")</f>
        <v>Llanta 15" Simple Agrícola Centro 92</v>
      </c>
    </row>
    <row r="73" hidden="1">
      <c r="A73" s="38">
        <f t="shared" si="1"/>
        <v>72</v>
      </c>
      <c r="B73" s="38">
        <f>IF(F73="","",SUMIF(Prearmados!E:E,F73,Prearmados!A:A))</f>
        <v>11</v>
      </c>
      <c r="C73" s="38">
        <f>IF(F73="","",SUMIF(Productos!E:E,G73,Productos!A:A))</f>
        <v>98</v>
      </c>
      <c r="D73" s="83" t="str">
        <f t="array" ref="D73">IF(OR(F73="",F73="Seleccionar.."),"",XLOOKUP(F73,Prearmados!E:E,Prearmados!F:F,"",0,1))</f>
        <v>Acoplados Rurales</v>
      </c>
      <c r="E73" s="83">
        <f>IF(H73="","",SUMIF(Precio_Productos!K:K,C73,Precio_Productos!J:J)*H73)</f>
        <v>946336</v>
      </c>
      <c r="F73" s="84" t="s">
        <v>334</v>
      </c>
      <c r="G73" s="84" t="s">
        <v>125</v>
      </c>
      <c r="H73" s="13">
        <v>4.0</v>
      </c>
      <c r="P73" s="3" t="str">
        <f>IFERROR(__xludf.DUMMYFUNCTION("IF(OR(F73="""",F73=""Seleccionar..""),"""",TRANSPOSE(FILTER(Productos!E:E,(Productos!F:F=D73)+(Productos!F:F=XLOOKUP(D73,Implementos!B:B,Implementos!C:C,""-"",0,1)))))"),"Tanque Combustible 1100 lts Bajo")</f>
        <v>Tanque Combustible 1100 lts Bajo</v>
      </c>
      <c r="Q73" s="3" t="str">
        <f>IFERROR(__xludf.DUMMYFUNCTION("""COMPUTED_VALUE"""),"Tanque Combustible 1500 lts Standard")</f>
        <v>Tanque Combustible 1500 lts Standard</v>
      </c>
      <c r="R73" s="3" t="str">
        <f>IFERROR(__xludf.DUMMYFUNCTION("""COMPUTED_VALUE"""),"Tanque Combustible 1800 lts Standard")</f>
        <v>Tanque Combustible 1800 lts Standard</v>
      </c>
      <c r="S73" s="3" t="str">
        <f>IFERROR(__xludf.DUMMYFUNCTION("""COMPUTED_VALUE"""),"Tanque Combustible 2000 lts Bajo")</f>
        <v>Tanque Combustible 2000 lts Bajo</v>
      </c>
      <c r="T73" s="3" t="str">
        <f>IFERROR(__xludf.DUMMYFUNCTION("""COMPUTED_VALUE"""),"Tanque Combustible 2000 lts Standard")</f>
        <v>Tanque Combustible 2000 lts Standard</v>
      </c>
      <c r="U73" s="3" t="str">
        <f>IFERROR(__xludf.DUMMYFUNCTION("""COMPUTED_VALUE"""),"Tanque Combustible 3000 lts Standard")</f>
        <v>Tanque Combustible 3000 lts Standard</v>
      </c>
      <c r="V73" s="3" t="str">
        <f>IFERROR(__xludf.DUMMYFUNCTION("""COMPUTED_VALUE"""),"Tanque Combustible 3000 lts Alto")</f>
        <v>Tanque Combustible 3000 lts Alto</v>
      </c>
      <c r="W73" s="3" t="str">
        <f>IFERROR(__xludf.DUMMYFUNCTION("""COMPUTED_VALUE"""),"Tanque Combustible 4000 lts Standard")</f>
        <v>Tanque Combustible 4000 lts Standard</v>
      </c>
      <c r="X73" s="3" t="str">
        <f>IFERROR(__xludf.DUMMYFUNCTION("""COMPUTED_VALUE"""),"Tanque Combustible 5000 lts Standard")</f>
        <v>Tanque Combustible 5000 lts Standard</v>
      </c>
      <c r="Y73" s="3" t="str">
        <f>IFERROR(__xludf.DUMMYFUNCTION("""COMPUTED_VALUE"""),"Tanque Combustible 5000 lts Alto")</f>
        <v>Tanque Combustible 5000 lts Alto</v>
      </c>
      <c r="Z73" s="3" t="str">
        <f>IFERROR(__xludf.DUMMYFUNCTION("""COMPUTED_VALUE"""),"Tanque Combustible 2000 lts Alto")</f>
        <v>Tanque Combustible 2000 lts Alto</v>
      </c>
      <c r="AA73" s="3" t="str">
        <f>IFERROR(__xludf.DUMMYFUNCTION("""COMPUTED_VALUE"""),"Tanque Combustible 4000 lts Alto")</f>
        <v>Tanque Combustible 4000 lts Alto</v>
      </c>
      <c r="AB73" s="3" t="str">
        <f>IFERROR(__xludf.DUMMYFUNCTION("""COMPUTED_VALUE"""),"Baulera Standard - 750")</f>
        <v>Baulera Standard - 750</v>
      </c>
      <c r="AC73" s="3" t="str">
        <f>IFERROR(__xludf.DUMMYFUNCTION("""COMPUTED_VALUE"""),"Baulera Standard - 1700 - C/Laterales")</f>
        <v>Baulera Standard - 1700 - C/Laterales</v>
      </c>
      <c r="AD73" s="3" t="str">
        <f>IFERROR(__xludf.DUMMYFUNCTION("""COMPUTED_VALUE"""),"Baulera Standard - 1000 - C/Laterales")</f>
        <v>Baulera Standard - 1000 - C/Laterales</v>
      </c>
      <c r="AE73" s="3" t="str">
        <f>IFERROR(__xludf.DUMMYFUNCTION("""COMPUTED_VALUE"""),"Baulera Standard - 750 - C/Laterales")</f>
        <v>Baulera Standard - 750 - C/Laterales</v>
      </c>
      <c r="AF73" s="3" t="str">
        <f>IFERROR(__xludf.DUMMYFUNCTION("""COMPUTED_VALUE"""),"Baulera Standard - 1300 - C/Laterales")</f>
        <v>Baulera Standard - 1300 - C/Laterales</v>
      </c>
      <c r="AG73" s="3" t="str">
        <f>IFERROR(__xludf.DUMMYFUNCTION("""COMPUTED_VALUE"""),"Baulera Alta - 750")</f>
        <v>Baulera Alta - 750</v>
      </c>
      <c r="AH73" s="3" t="str">
        <f>IFERROR(__xludf.DUMMYFUNCTION("""COMPUTED_VALUE"""),"Baulera Alta - 1500 - C/Laterales")</f>
        <v>Baulera Alta - 1500 - C/Laterales</v>
      </c>
      <c r="AI73" s="3" t="str">
        <f>IFERROR(__xludf.DUMMYFUNCTION("""COMPUTED_VALUE"""),"Baulera Extendida 1700 - C/Laterales")</f>
        <v>Baulera Extendida 1700 - C/Laterales</v>
      </c>
      <c r="AJ73" s="3" t="str">
        <f>IFERROR(__xludf.DUMMYFUNCTION("""COMPUTED_VALUE"""),"Taller Móvil - 1500 x 1500 x 1700")</f>
        <v>Taller Móvil - 1500 x 1500 x 1700</v>
      </c>
      <c r="AK73" s="3" t="str">
        <f>IFERROR(__xludf.DUMMYFUNCTION("""COMPUTED_VALUE"""),"Cajón Herramientas Standard Derecho")</f>
        <v>Cajón Herramientas Standard Derecho</v>
      </c>
      <c r="AL73" s="3" t="str">
        <f>IFERROR(__xludf.DUMMYFUNCTION("""COMPUTED_VALUE"""),"Cajón Herramientas Standard Izquierdo")</f>
        <v>Cajón Herramientas Standard Izquierdo</v>
      </c>
      <c r="AM73" s="3" t="str">
        <f>IFERROR(__xludf.DUMMYFUNCTION("""COMPUTED_VALUE"""),"Cajón Herramientas Corto Derecho")</f>
        <v>Cajón Herramientas Corto Derecho</v>
      </c>
      <c r="AN73" s="3" t="str">
        <f>IFERROR(__xludf.DUMMYFUNCTION("""COMPUTED_VALUE"""),"Cajón Herramientas Corto Izquierdo")</f>
        <v>Cajón Herramientas Corto Izquierdo</v>
      </c>
      <c r="AO73" s="3" t="str">
        <f>IFERROR(__xludf.DUMMYFUNCTION("""COMPUTED_VALUE"""),"Cajón Herramientas Mediano Derecho")</f>
        <v>Cajón Herramientas Mediano Derecho</v>
      </c>
      <c r="AP73" s="3" t="str">
        <f>IFERROR(__xludf.DUMMYFUNCTION("""COMPUTED_VALUE"""),"Cajón Herramientas Mediano Izquierdo")</f>
        <v>Cajón Herramientas Mediano Izquierdo</v>
      </c>
      <c r="AQ73" s="3" t="str">
        <f>IFERROR(__xludf.DUMMYFUNCTION("""COMPUTED_VALUE"""),"Chasis Acoplado 2 Ejes L3000")</f>
        <v>Chasis Acoplado 2 Ejes L3000</v>
      </c>
      <c r="AR73" s="3" t="str">
        <f>IFERROR(__xludf.DUMMYFUNCTION("""COMPUTED_VALUE"""),"Chasis Acoplado 2 Ejes L3750")</f>
        <v>Chasis Acoplado 2 Ejes L3750</v>
      </c>
      <c r="AS73" s="3" t="str">
        <f>IFERROR(__xludf.DUMMYFUNCTION("""COMPUTED_VALUE"""),"Chasis Acoplado 2 Ejes L4000")</f>
        <v>Chasis Acoplado 2 Ejes L4000</v>
      </c>
      <c r="AT73" s="3" t="str">
        <f>IFERROR(__xludf.DUMMYFUNCTION("""COMPUTED_VALUE"""),"Chasis Acoplado 2 Ejes L4000 Reforzado")</f>
        <v>Chasis Acoplado 2 Ejes L4000 Reforzado</v>
      </c>
      <c r="AU73" s="3" t="str">
        <f>IFERROR(__xludf.DUMMYFUNCTION("""COMPUTED_VALUE"""),"Chasis Acoplado 2 Ejes L4750")</f>
        <v>Chasis Acoplado 2 Ejes L4750</v>
      </c>
      <c r="AV73" s="3" t="str">
        <f>IFERROR(__xludf.DUMMYFUNCTION("""COMPUTED_VALUE"""),"Chasis Acoplado 2 Ejes L4750 Reforzado")</f>
        <v>Chasis Acoplado 2 Ejes L4750 Reforzado</v>
      </c>
      <c r="AW73" s="3" t="str">
        <f>IFERROR(__xludf.DUMMYFUNCTION("""COMPUTED_VALUE"""),"Chasis Acoplado 2 Ejes L4750 Reforzado R. Camion")</f>
        <v>Chasis Acoplado 2 Ejes L4750 Reforzado R. Camion</v>
      </c>
      <c r="AX73" s="3" t="str">
        <f>IFERROR(__xludf.DUMMYFUNCTION("""COMPUTED_VALUE"""),"Chasis Acoplado 2 Ejes L5000")</f>
        <v>Chasis Acoplado 2 Ejes L5000</v>
      </c>
      <c r="AY73" s="3" t="str">
        <f>IFERROR(__xludf.DUMMYFUNCTION("""COMPUTED_VALUE"""),"Chasis Acoplado 2 Ejes L5750")</f>
        <v>Chasis Acoplado 2 Ejes L5750</v>
      </c>
      <c r="AZ73" s="3" t="str">
        <f>IFERROR(__xludf.DUMMYFUNCTION("""COMPUTED_VALUE"""),"Chasis Acoplado 2 Ejes L6400")</f>
        <v>Chasis Acoplado 2 Ejes L6400</v>
      </c>
      <c r="BA73" s="3" t="str">
        <f>IFERROR(__xludf.DUMMYFUNCTION("""COMPUTED_VALUE"""),"Chasis Acoplado 2 Ejes L4500")</f>
        <v>Chasis Acoplado 2 Ejes L4500</v>
      </c>
      <c r="BB73" s="3" t="str">
        <f>IFERROR(__xludf.DUMMYFUNCTION("""COMPUTED_VALUE"""),"Chasis Acoplado 1 Eje L1500")</f>
        <v>Chasis Acoplado 1 Eje L1500</v>
      </c>
      <c r="BC73" s="3" t="str">
        <f>IFERROR(__xludf.DUMMYFUNCTION("""COMPUTED_VALUE"""),"Chasis Acoplado 1 Eje L1800")</f>
        <v>Chasis Acoplado 1 Eje L1800</v>
      </c>
      <c r="BD73" s="3" t="str">
        <f>IFERROR(__xludf.DUMMYFUNCTION("""COMPUTED_VALUE"""),"Chasis Acoplado 1 Eje L1400")</f>
        <v>Chasis Acoplado 1 Eje L1400</v>
      </c>
      <c r="BE73" s="3" t="str">
        <f>IFERROR(__xludf.DUMMYFUNCTION("""COMPUTED_VALUE"""),"Chasis Acoplado Balancin L3000")</f>
        <v>Chasis Acoplado Balancin L3000</v>
      </c>
      <c r="BF73" s="3" t="str">
        <f>IFERROR(__xludf.DUMMYFUNCTION("""COMPUTED_VALUE"""),"Chasis Acoplado Balancin L3000 Lanza Corta")</f>
        <v>Chasis Acoplado Balancin L3000 Lanza Corta</v>
      </c>
      <c r="BG73" s="3" t="str">
        <f>IFERROR(__xludf.DUMMYFUNCTION("""COMPUTED_VALUE"""),"Chasis Acoplado Balancin L2000 Lanza Corta")</f>
        <v>Chasis Acoplado Balancin L2000 Lanza Corta</v>
      </c>
      <c r="BH73" s="3" t="str">
        <f>IFERROR(__xludf.DUMMYFUNCTION("""COMPUTED_VALUE"""),"Chasis Acoplado Balancin L3200 Lanza Corta")</f>
        <v>Chasis Acoplado Balancin L3200 Lanza Corta</v>
      </c>
      <c r="BI73" s="3" t="str">
        <f>IFERROR(__xludf.DUMMYFUNCTION("""COMPUTED_VALUE"""),"Chasis Acoplado Balancin L3200 Lanza Recta")</f>
        <v>Chasis Acoplado Balancin L3200 Lanza Recta</v>
      </c>
      <c r="BJ73" s="3" t="str">
        <f>IFERROR(__xludf.DUMMYFUNCTION("""COMPUTED_VALUE"""),"Chasis Acoplado Balancin L3200 Bajo Lanza Recta")</f>
        <v>Chasis Acoplado Balancin L3200 Bajo Lanza Recta</v>
      </c>
      <c r="BK73" s="3" t="str">
        <f>IFERROR(__xludf.DUMMYFUNCTION("""COMPUTED_VALUE"""),"Tanque Plastico Horizontal 750 Lts")</f>
        <v>Tanque Plastico Horizontal 750 Lts</v>
      </c>
      <c r="BL73" s="3" t="str">
        <f>IFERROR(__xludf.DUMMYFUNCTION("""COMPUTED_VALUE"""),"Medio Tanque Plastico Superior 700 Lts")</f>
        <v>Medio Tanque Plastico Superior 700 Lts</v>
      </c>
      <c r="BM73" s="3" t="str">
        <f>IFERROR(__xludf.DUMMYFUNCTION("""COMPUTED_VALUE"""),"Paquete de Elasticos 50 mm x 8 mm x 10 Hojas L850")</f>
        <v>Paquete de Elasticos 50 mm x 8 mm x 10 Hojas L850</v>
      </c>
      <c r="BN73" s="3" t="str">
        <f>IFERROR(__xludf.DUMMYFUNCTION("""COMPUTED_VALUE"""),"Paquete de Elasticos 63 mm x 8 mm x 10 Hojas L950")</f>
        <v>Paquete de Elasticos 63 mm x 8 mm x 10 Hojas L950</v>
      </c>
      <c r="BO73" s="3" t="str">
        <f>IFERROR(__xludf.DUMMYFUNCTION("""COMPUTED_VALUE"""),"Paquete de Elasticos 50 mm x 7 mm x 9 Hojas L850")</f>
        <v>Paquete de Elasticos 50 mm x 7 mm x 9 Hojas L850</v>
      </c>
      <c r="BP73" s="3" t="str">
        <f>IFERROR(__xludf.DUMMYFUNCTION("""COMPUTED_VALUE"""),"Paquete de Elasticos 63 mm x 8 mm x 8 Hojas L850")</f>
        <v>Paquete de Elasticos 63 mm x 8 mm x 8 Hojas L850</v>
      </c>
      <c r="BQ73" s="3" t="str">
        <f>IFERROR(__xludf.DUMMYFUNCTION("""COMPUTED_VALUE"""),"Paquete de Elasticos 63 mm x 10 mm x 10 Hojas L950")</f>
        <v>Paquete de Elasticos 63 mm x 10 mm x 10 Hojas L950</v>
      </c>
      <c r="BR73" s="3" t="str">
        <f>IFERROR(__xludf.DUMMYFUNCTION("""COMPUTED_VALUE"""),"Paquete de Elasticos 63 mm x 10 mm x 13 Hojas L975")</f>
        <v>Paquete de Elasticos 63 mm x 10 mm x 13 Hojas L975</v>
      </c>
      <c r="BS73" s="3" t="str">
        <f>IFERROR(__xludf.DUMMYFUNCTION("""COMPUTED_VALUE"""),"Paquete de Elasticos 50 mm x 7 mm x 9 Hojas L650")</f>
        <v>Paquete de Elasticos 50 mm x 7 mm x 9 Hojas L650</v>
      </c>
      <c r="BT73" s="3" t="str">
        <f>IFERROR(__xludf.DUMMYFUNCTION("""COMPUTED_VALUE"""),"Eje Acoplado 2"" x 1600 (06/08) Agrícola Centro 92")</f>
        <v>Eje Acoplado 2" x 1600 (06/08) Agrícola Centro 92</v>
      </c>
      <c r="BU73" s="3" t="str">
        <f>IFERROR(__xludf.DUMMYFUNCTION("""COMPUTED_VALUE"""),"Eje Acoplado 2 1/2"" x 1600 (07/09) Agrícola Centro 92")</f>
        <v>Eje Acoplado 2 1/2" x 1600 (07/09) Agrícola Centro 92</v>
      </c>
      <c r="BV73" s="3" t="str">
        <f>IFERROR(__xludf.DUMMYFUNCTION("""COMPUTED_VALUE"""),"Eje Acoplado 2 1/2"" x 1600 (09/11) Agrícola Centro 150")</f>
        <v>Eje Acoplado 2 1/2" x 1600 (09/11) Agrícola Centro 150</v>
      </c>
      <c r="BW73" s="3" t="str">
        <f>IFERROR(__xludf.DUMMYFUNCTION("""COMPUTED_VALUE"""),"Eje Acoplado 3"" x 1600 (10/13) Agrícola Centro 150")</f>
        <v>Eje Acoplado 3" x 1600 (10/13) Agrícola Centro 150</v>
      </c>
      <c r="BX73" s="3" t="str">
        <f>IFERROR(__xludf.DUMMYFUNCTION("""COMPUTED_VALUE"""),"Eje Acoplado 2 1/2"" x 2140 (07/09) Agrícola Centro 92")</f>
        <v>Eje Acoplado 2 1/2" x 2140 (07/09) Agrícola Centro 92</v>
      </c>
      <c r="BY73" s="3" t="str">
        <f>IFERROR(__xludf.DUMMYFUNCTION("""COMPUTED_VALUE"""),"Eje Acoplado 2"" x 1400 (06/08) Agrícola Centro 92")</f>
        <v>Eje Acoplado 2" x 1400 (06/08) Agrícola Centro 92</v>
      </c>
      <c r="BZ73" s="3" t="str">
        <f>IFERROR(__xludf.DUMMYFUNCTION("""COMPUTED_VALUE"""),"Eje Acoplado 2 1/2"" x 1500 (07/09) Agrícola Centro 92")</f>
        <v>Eje Acoplado 2 1/2" x 1500 (07/09) Agrícola Centro 92</v>
      </c>
      <c r="CA73" s="3" t="str">
        <f>IFERROR(__xludf.DUMMYFUNCTION("""COMPUTED_VALUE"""),"Eje Acoplado 2 1/2"" x 2000 (07/09) Agrícola Centro 92")</f>
        <v>Eje Acoplado 2 1/2" x 2000 (07/09) Agrícola Centro 92</v>
      </c>
      <c r="CB73" s="3" t="str">
        <f>IFERROR(__xludf.DUMMYFUNCTION("""COMPUTED_VALUE"""),"Eje Acoplado 2 1/2"" x 2100 (09/11) Agrícola Centro 150")</f>
        <v>Eje Acoplado 2 1/2" x 2100 (09/11) Agrícola Centro 150</v>
      </c>
      <c r="CC73" s="3" t="str">
        <f>IFERROR(__xludf.DUMMYFUNCTION("""COMPUTED_VALUE"""),"Llanta 16"" Simple Agrícola Centro 92")</f>
        <v>Llanta 16" Simple Agrícola Centro 92</v>
      </c>
      <c r="CD73" s="3" t="str">
        <f>IFERROR(__xludf.DUMMYFUNCTION("""COMPUTED_VALUE"""),"Llanta 16"" Dual Agrícola Centro 92")</f>
        <v>Llanta 16" Dual Agrícola Centro 92</v>
      </c>
      <c r="CE73" s="3" t="str">
        <f>IFERROR(__xludf.DUMMYFUNCTION("""COMPUTED_VALUE"""),"Llanta 17"" Simple Agrícola Centro 92")</f>
        <v>Llanta 17" Simple Agrícola Centro 92</v>
      </c>
      <c r="CF73" s="3" t="str">
        <f>IFERROR(__xludf.DUMMYFUNCTION("""COMPUTED_VALUE"""),"Llanta 17"" Dual Agrícola Centro 92")</f>
        <v>Llanta 17" Dual Agrícola Centro 92</v>
      </c>
      <c r="CG73" s="3" t="str">
        <f>IFERROR(__xludf.DUMMYFUNCTION("""COMPUTED_VALUE"""),"Llanta 16"" Dual Agrícola Centro 152")</f>
        <v>Llanta 16" Dual Agrícola Centro 152</v>
      </c>
      <c r="CH73" s="3" t="str">
        <f>IFERROR(__xludf.DUMMYFUNCTION("""COMPUTED_VALUE"""),"Llanta 17"" Dual Agrícola Centro 152")</f>
        <v>Llanta 17" Dual Agrícola Centro 152</v>
      </c>
      <c r="CI73" s="3" t="str">
        <f>IFERROR(__xludf.DUMMYFUNCTION("""COMPUTED_VALUE"""),"Eje Acoplado 2"" x 1600 (05/07) Agrícola Centro 92")</f>
        <v>Eje Acoplado 2" x 1600 (05/07) Agrícola Centro 92</v>
      </c>
      <c r="CJ73" s="3" t="str">
        <f>IFERROR(__xludf.DUMMYFUNCTION("""COMPUTED_VALUE"""),"Paquete de Elásticos 50 mm x 8 mm x 12 Hojas")</f>
        <v>Paquete de Elásticos 50 mm x 8 mm x 12 Hojas</v>
      </c>
      <c r="CK73" s="3" t="str">
        <f>IFERROR(__xludf.DUMMYFUNCTION("""COMPUTED_VALUE"""),"Plataforma Playo 4.00 x 1.90 x 0.45 Lateral Simple Baranda Fija")</f>
        <v>Plataforma Playo 4.00 x 1.90 x 0.45 Lateral Simple Baranda Fija</v>
      </c>
      <c r="CL73" s="3" t="str">
        <f>IFERROR(__xludf.DUMMYFUNCTION("""COMPUTED_VALUE"""),"Plataforma Playo 4.00 x 1.90 x 0.45 Lateral Simple Baranda Ventilada")</f>
        <v>Plataforma Playo 4.00 x 1.90 x 0.45 Lateral Simple Baranda Ventilada</v>
      </c>
      <c r="CM73" s="3" t="str">
        <f>IFERROR(__xludf.DUMMYFUNCTION("""COMPUTED_VALUE"""),"Plataforma Playo 4.00 x 1.90 x 0.45 Lateral Doble Baranda Ventilada")</f>
        <v>Plataforma Playo 4.00 x 1.90 x 0.45 Lateral Doble Baranda Ventilada</v>
      </c>
      <c r="CN73" s="3" t="str">
        <f>IFERROR(__xludf.DUMMYFUNCTION("""COMPUTED_VALUE"""),"Plataforma Playo 4.00 x 1.90 x 0.45 Lateral Doble Baranda Fija")</f>
        <v>Plataforma Playo 4.00 x 1.90 x 0.45 Lateral Doble Baranda Fija</v>
      </c>
      <c r="CO73" s="3" t="str">
        <f>IFERROR(__xludf.DUMMYFUNCTION("""COMPUTED_VALUE"""),"Plataforma Playo 4.00 x 1.90 x 0.72 Lateral Simple Baranda Fija")</f>
        <v>Plataforma Playo 4.00 x 1.90 x 0.72 Lateral Simple Baranda Fija</v>
      </c>
      <c r="CP73" s="3" t="str">
        <f>IFERROR(__xludf.DUMMYFUNCTION("""COMPUTED_VALUE"""),"Plataforma Playo 4.00 x 1.90 x 0.72 Lateral Doble Baranda Fija")</f>
        <v>Plataforma Playo 4.00 x 1.90 x 0.72 Lateral Doble Baranda Fija</v>
      </c>
      <c r="CQ73" s="3" t="str">
        <f>IFERROR(__xludf.DUMMYFUNCTION("""COMPUTED_VALUE"""),"Plataforma Playo 5.00 x 2.20 x 0.60 Lateral Doble Trasera Rebatible")</f>
        <v>Plataforma Playo 5.00 x 2.20 x 0.60 Lateral Doble Trasera Rebatible</v>
      </c>
      <c r="CR73" s="3" t="str">
        <f>IFERROR(__xludf.DUMMYFUNCTION("""COMPUTED_VALUE"""),"Plataforma Playo 5.00 x 2.20 x 0.60 Lateral Doble Baranda Fija C/Toldo")</f>
        <v>Plataforma Playo 5.00 x 2.20 x 0.60 Lateral Doble Baranda Fija C/Toldo</v>
      </c>
      <c r="CS73" s="3" t="str">
        <f>IFERROR(__xludf.DUMMYFUNCTION("""COMPUTED_VALUE"""),"Plataforma Playo 3.00 x 1.90 x 0.45 Lateral Simple Baranda Fija")</f>
        <v>Plataforma Playo 3.00 x 1.90 x 0.45 Lateral Simple Baranda Fija</v>
      </c>
      <c r="CT73" s="3" t="str">
        <f>IFERROR(__xludf.DUMMYFUNCTION("""COMPUTED_VALUE"""),"Plataforma Playo 3.00 x 1.90 x 0.45 Lateral Simple Baranda Ventilada")</f>
        <v>Plataforma Playo 3.00 x 1.90 x 0.45 Lateral Simple Baranda Ventilada</v>
      </c>
      <c r="CU73" s="3" t="str">
        <f>IFERROR(__xludf.DUMMYFUNCTION("""COMPUTED_VALUE"""),"Plataforma Playo 2.00 x 1.90 x 0.45 Lateral Simple Baranda Fija")</f>
        <v>Plataforma Playo 2.00 x 1.90 x 0.45 Lateral Simple Baranda Fija</v>
      </c>
      <c r="CV73" s="3" t="str">
        <f>IFERROR(__xludf.DUMMYFUNCTION("""COMPUTED_VALUE"""),"Plataforma Playo 5.00 x 1.90 x 0.60 Lateral Doble Baranda Fija")</f>
        <v>Plataforma Playo 5.00 x 1.90 x 0.60 Lateral Doble Baranda Fija</v>
      </c>
      <c r="CW73" s="3" t="str">
        <f>IFERROR(__xludf.DUMMYFUNCTION("""COMPUTED_VALUE"""),"Plataforma Playo 6.40 x 2.70 x 0.72 Lateral Doble Baranda Fija")</f>
        <v>Plataforma Playo 6.40 x 2.70 x 0.72 Lateral Doble Baranda Fija</v>
      </c>
      <c r="CX73" s="3" t="str">
        <f>IFERROR(__xludf.DUMMYFUNCTION("""COMPUTED_VALUE"""),"Chasis Acoplado Balancin L4000 Lanza Recta")</f>
        <v>Chasis Acoplado Balancin L4000 Lanza Recta</v>
      </c>
      <c r="CY73" s="3" t="str">
        <f>IFERROR(__xludf.DUMMYFUNCTION("""COMPUTED_VALUE"""),"Llanta simple Agrícola 750x20 centro 152")</f>
        <v>Llanta simple Agrícola 750x20 centro 152</v>
      </c>
      <c r="CZ73" s="3" t="str">
        <f>IFERROR(__xludf.DUMMYFUNCTION("""COMPUTED_VALUE"""),"Cajón de Herramientas Mediano adelante")</f>
        <v>Cajón de Herramientas Mediano adelante</v>
      </c>
      <c r="DA73" s="3" t="str">
        <f>IFERROR(__xludf.DUMMYFUNCTION("""COMPUTED_VALUE"""),"Llanta 15"" Simple Agrícola Centro 92")</f>
        <v>Llanta 15" Simple Agrícola Centro 92</v>
      </c>
    </row>
    <row r="74" hidden="1">
      <c r="A74" s="38">
        <f t="shared" si="1"/>
        <v>73</v>
      </c>
      <c r="B74" s="38">
        <f>IF(F74="","",SUMIF(Prearmados!E:E,F74,Prearmados!A:A))</f>
        <v>11</v>
      </c>
      <c r="C74" s="38">
        <f>IF(F74="","",SUMIF(Productos!E:E,G74,Productos!A:A))</f>
        <v>114</v>
      </c>
      <c r="D74" s="83" t="str">
        <f t="array" ref="D74">IF(OR(F74="",F74="Seleccionar.."),"",XLOOKUP(F74,Prearmados!E:E,Prearmados!F:F,"",0,1))</f>
        <v>Acoplados Rurales</v>
      </c>
      <c r="E74" s="83">
        <f>IF(H74="","",SUMIF(Precio_Productos!K:K,C74,Precio_Productos!J:J)*H74)</f>
        <v>1116000</v>
      </c>
      <c r="F74" s="84" t="s">
        <v>334</v>
      </c>
      <c r="G74" s="84" t="s">
        <v>41</v>
      </c>
      <c r="H74" s="13">
        <v>8.0</v>
      </c>
      <c r="P74" s="3" t="str">
        <f>IFERROR(__xludf.DUMMYFUNCTION("IF(OR(F74="""",F74=""Seleccionar..""),"""",TRANSPOSE(FILTER(Productos!E:E,(Productos!F:F=D74)+(Productos!F:F=XLOOKUP(D74,Implementos!B:B,Implementos!C:C,""-"",0,1)))))"),"Tanque Combustible 1100 lts Bajo")</f>
        <v>Tanque Combustible 1100 lts Bajo</v>
      </c>
      <c r="Q74" s="3" t="str">
        <f>IFERROR(__xludf.DUMMYFUNCTION("""COMPUTED_VALUE"""),"Tanque Combustible 1500 lts Standard")</f>
        <v>Tanque Combustible 1500 lts Standard</v>
      </c>
      <c r="R74" s="3" t="str">
        <f>IFERROR(__xludf.DUMMYFUNCTION("""COMPUTED_VALUE"""),"Tanque Combustible 1800 lts Standard")</f>
        <v>Tanque Combustible 1800 lts Standard</v>
      </c>
      <c r="S74" s="3" t="str">
        <f>IFERROR(__xludf.DUMMYFUNCTION("""COMPUTED_VALUE"""),"Tanque Combustible 2000 lts Bajo")</f>
        <v>Tanque Combustible 2000 lts Bajo</v>
      </c>
      <c r="T74" s="3" t="str">
        <f>IFERROR(__xludf.DUMMYFUNCTION("""COMPUTED_VALUE"""),"Tanque Combustible 2000 lts Standard")</f>
        <v>Tanque Combustible 2000 lts Standard</v>
      </c>
      <c r="U74" s="3" t="str">
        <f>IFERROR(__xludf.DUMMYFUNCTION("""COMPUTED_VALUE"""),"Tanque Combustible 3000 lts Standard")</f>
        <v>Tanque Combustible 3000 lts Standard</v>
      </c>
      <c r="V74" s="3" t="str">
        <f>IFERROR(__xludf.DUMMYFUNCTION("""COMPUTED_VALUE"""),"Tanque Combustible 3000 lts Alto")</f>
        <v>Tanque Combustible 3000 lts Alto</v>
      </c>
      <c r="W74" s="3" t="str">
        <f>IFERROR(__xludf.DUMMYFUNCTION("""COMPUTED_VALUE"""),"Tanque Combustible 4000 lts Standard")</f>
        <v>Tanque Combustible 4000 lts Standard</v>
      </c>
      <c r="X74" s="3" t="str">
        <f>IFERROR(__xludf.DUMMYFUNCTION("""COMPUTED_VALUE"""),"Tanque Combustible 5000 lts Standard")</f>
        <v>Tanque Combustible 5000 lts Standard</v>
      </c>
      <c r="Y74" s="3" t="str">
        <f>IFERROR(__xludf.DUMMYFUNCTION("""COMPUTED_VALUE"""),"Tanque Combustible 5000 lts Alto")</f>
        <v>Tanque Combustible 5000 lts Alto</v>
      </c>
      <c r="Z74" s="3" t="str">
        <f>IFERROR(__xludf.DUMMYFUNCTION("""COMPUTED_VALUE"""),"Tanque Combustible 2000 lts Alto")</f>
        <v>Tanque Combustible 2000 lts Alto</v>
      </c>
      <c r="AA74" s="3" t="str">
        <f>IFERROR(__xludf.DUMMYFUNCTION("""COMPUTED_VALUE"""),"Tanque Combustible 4000 lts Alto")</f>
        <v>Tanque Combustible 4000 lts Alto</v>
      </c>
      <c r="AB74" s="3" t="str">
        <f>IFERROR(__xludf.DUMMYFUNCTION("""COMPUTED_VALUE"""),"Baulera Standard - 750")</f>
        <v>Baulera Standard - 750</v>
      </c>
      <c r="AC74" s="3" t="str">
        <f>IFERROR(__xludf.DUMMYFUNCTION("""COMPUTED_VALUE"""),"Baulera Standard - 1700 - C/Laterales")</f>
        <v>Baulera Standard - 1700 - C/Laterales</v>
      </c>
      <c r="AD74" s="3" t="str">
        <f>IFERROR(__xludf.DUMMYFUNCTION("""COMPUTED_VALUE"""),"Baulera Standard - 1000 - C/Laterales")</f>
        <v>Baulera Standard - 1000 - C/Laterales</v>
      </c>
      <c r="AE74" s="3" t="str">
        <f>IFERROR(__xludf.DUMMYFUNCTION("""COMPUTED_VALUE"""),"Baulera Standard - 750 - C/Laterales")</f>
        <v>Baulera Standard - 750 - C/Laterales</v>
      </c>
      <c r="AF74" s="3" t="str">
        <f>IFERROR(__xludf.DUMMYFUNCTION("""COMPUTED_VALUE"""),"Baulera Standard - 1300 - C/Laterales")</f>
        <v>Baulera Standard - 1300 - C/Laterales</v>
      </c>
      <c r="AG74" s="3" t="str">
        <f>IFERROR(__xludf.DUMMYFUNCTION("""COMPUTED_VALUE"""),"Baulera Alta - 750")</f>
        <v>Baulera Alta - 750</v>
      </c>
      <c r="AH74" s="3" t="str">
        <f>IFERROR(__xludf.DUMMYFUNCTION("""COMPUTED_VALUE"""),"Baulera Alta - 1500 - C/Laterales")</f>
        <v>Baulera Alta - 1500 - C/Laterales</v>
      </c>
      <c r="AI74" s="3" t="str">
        <f>IFERROR(__xludf.DUMMYFUNCTION("""COMPUTED_VALUE"""),"Baulera Extendida 1700 - C/Laterales")</f>
        <v>Baulera Extendida 1700 - C/Laterales</v>
      </c>
      <c r="AJ74" s="3" t="str">
        <f>IFERROR(__xludf.DUMMYFUNCTION("""COMPUTED_VALUE"""),"Taller Móvil - 1500 x 1500 x 1700")</f>
        <v>Taller Móvil - 1500 x 1500 x 1700</v>
      </c>
      <c r="AK74" s="3" t="str">
        <f>IFERROR(__xludf.DUMMYFUNCTION("""COMPUTED_VALUE"""),"Cajón Herramientas Standard Derecho")</f>
        <v>Cajón Herramientas Standard Derecho</v>
      </c>
      <c r="AL74" s="3" t="str">
        <f>IFERROR(__xludf.DUMMYFUNCTION("""COMPUTED_VALUE"""),"Cajón Herramientas Standard Izquierdo")</f>
        <v>Cajón Herramientas Standard Izquierdo</v>
      </c>
      <c r="AM74" s="3" t="str">
        <f>IFERROR(__xludf.DUMMYFUNCTION("""COMPUTED_VALUE"""),"Cajón Herramientas Corto Derecho")</f>
        <v>Cajón Herramientas Corto Derecho</v>
      </c>
      <c r="AN74" s="3" t="str">
        <f>IFERROR(__xludf.DUMMYFUNCTION("""COMPUTED_VALUE"""),"Cajón Herramientas Corto Izquierdo")</f>
        <v>Cajón Herramientas Corto Izquierdo</v>
      </c>
      <c r="AO74" s="3" t="str">
        <f>IFERROR(__xludf.DUMMYFUNCTION("""COMPUTED_VALUE"""),"Cajón Herramientas Mediano Derecho")</f>
        <v>Cajón Herramientas Mediano Derecho</v>
      </c>
      <c r="AP74" s="3" t="str">
        <f>IFERROR(__xludf.DUMMYFUNCTION("""COMPUTED_VALUE"""),"Cajón Herramientas Mediano Izquierdo")</f>
        <v>Cajón Herramientas Mediano Izquierdo</v>
      </c>
      <c r="AQ74" s="3" t="str">
        <f>IFERROR(__xludf.DUMMYFUNCTION("""COMPUTED_VALUE"""),"Chasis Acoplado 2 Ejes L3000")</f>
        <v>Chasis Acoplado 2 Ejes L3000</v>
      </c>
      <c r="AR74" s="3" t="str">
        <f>IFERROR(__xludf.DUMMYFUNCTION("""COMPUTED_VALUE"""),"Chasis Acoplado 2 Ejes L3750")</f>
        <v>Chasis Acoplado 2 Ejes L3750</v>
      </c>
      <c r="AS74" s="3" t="str">
        <f>IFERROR(__xludf.DUMMYFUNCTION("""COMPUTED_VALUE"""),"Chasis Acoplado 2 Ejes L4000")</f>
        <v>Chasis Acoplado 2 Ejes L4000</v>
      </c>
      <c r="AT74" s="3" t="str">
        <f>IFERROR(__xludf.DUMMYFUNCTION("""COMPUTED_VALUE"""),"Chasis Acoplado 2 Ejes L4000 Reforzado")</f>
        <v>Chasis Acoplado 2 Ejes L4000 Reforzado</v>
      </c>
      <c r="AU74" s="3" t="str">
        <f>IFERROR(__xludf.DUMMYFUNCTION("""COMPUTED_VALUE"""),"Chasis Acoplado 2 Ejes L4750")</f>
        <v>Chasis Acoplado 2 Ejes L4750</v>
      </c>
      <c r="AV74" s="3" t="str">
        <f>IFERROR(__xludf.DUMMYFUNCTION("""COMPUTED_VALUE"""),"Chasis Acoplado 2 Ejes L4750 Reforzado")</f>
        <v>Chasis Acoplado 2 Ejes L4750 Reforzado</v>
      </c>
      <c r="AW74" s="3" t="str">
        <f>IFERROR(__xludf.DUMMYFUNCTION("""COMPUTED_VALUE"""),"Chasis Acoplado 2 Ejes L4750 Reforzado R. Camion")</f>
        <v>Chasis Acoplado 2 Ejes L4750 Reforzado R. Camion</v>
      </c>
      <c r="AX74" s="3" t="str">
        <f>IFERROR(__xludf.DUMMYFUNCTION("""COMPUTED_VALUE"""),"Chasis Acoplado 2 Ejes L5000")</f>
        <v>Chasis Acoplado 2 Ejes L5000</v>
      </c>
      <c r="AY74" s="3" t="str">
        <f>IFERROR(__xludf.DUMMYFUNCTION("""COMPUTED_VALUE"""),"Chasis Acoplado 2 Ejes L5750")</f>
        <v>Chasis Acoplado 2 Ejes L5750</v>
      </c>
      <c r="AZ74" s="3" t="str">
        <f>IFERROR(__xludf.DUMMYFUNCTION("""COMPUTED_VALUE"""),"Chasis Acoplado 2 Ejes L6400")</f>
        <v>Chasis Acoplado 2 Ejes L6400</v>
      </c>
      <c r="BA74" s="3" t="str">
        <f>IFERROR(__xludf.DUMMYFUNCTION("""COMPUTED_VALUE"""),"Chasis Acoplado 2 Ejes L4500")</f>
        <v>Chasis Acoplado 2 Ejes L4500</v>
      </c>
      <c r="BB74" s="3" t="str">
        <f>IFERROR(__xludf.DUMMYFUNCTION("""COMPUTED_VALUE"""),"Chasis Acoplado 1 Eje L1500")</f>
        <v>Chasis Acoplado 1 Eje L1500</v>
      </c>
      <c r="BC74" s="3" t="str">
        <f>IFERROR(__xludf.DUMMYFUNCTION("""COMPUTED_VALUE"""),"Chasis Acoplado 1 Eje L1800")</f>
        <v>Chasis Acoplado 1 Eje L1800</v>
      </c>
      <c r="BD74" s="3" t="str">
        <f>IFERROR(__xludf.DUMMYFUNCTION("""COMPUTED_VALUE"""),"Chasis Acoplado 1 Eje L1400")</f>
        <v>Chasis Acoplado 1 Eje L1400</v>
      </c>
      <c r="BE74" s="3" t="str">
        <f>IFERROR(__xludf.DUMMYFUNCTION("""COMPUTED_VALUE"""),"Chasis Acoplado Balancin L3000")</f>
        <v>Chasis Acoplado Balancin L3000</v>
      </c>
      <c r="BF74" s="3" t="str">
        <f>IFERROR(__xludf.DUMMYFUNCTION("""COMPUTED_VALUE"""),"Chasis Acoplado Balancin L3000 Lanza Corta")</f>
        <v>Chasis Acoplado Balancin L3000 Lanza Corta</v>
      </c>
      <c r="BG74" s="3" t="str">
        <f>IFERROR(__xludf.DUMMYFUNCTION("""COMPUTED_VALUE"""),"Chasis Acoplado Balancin L2000 Lanza Corta")</f>
        <v>Chasis Acoplado Balancin L2000 Lanza Corta</v>
      </c>
      <c r="BH74" s="3" t="str">
        <f>IFERROR(__xludf.DUMMYFUNCTION("""COMPUTED_VALUE"""),"Chasis Acoplado Balancin L3200 Lanza Corta")</f>
        <v>Chasis Acoplado Balancin L3200 Lanza Corta</v>
      </c>
      <c r="BI74" s="3" t="str">
        <f>IFERROR(__xludf.DUMMYFUNCTION("""COMPUTED_VALUE"""),"Chasis Acoplado Balancin L3200 Lanza Recta")</f>
        <v>Chasis Acoplado Balancin L3200 Lanza Recta</v>
      </c>
      <c r="BJ74" s="3" t="str">
        <f>IFERROR(__xludf.DUMMYFUNCTION("""COMPUTED_VALUE"""),"Chasis Acoplado Balancin L3200 Bajo Lanza Recta")</f>
        <v>Chasis Acoplado Balancin L3200 Bajo Lanza Recta</v>
      </c>
      <c r="BK74" s="3" t="str">
        <f>IFERROR(__xludf.DUMMYFUNCTION("""COMPUTED_VALUE"""),"Tanque Plastico Horizontal 750 Lts")</f>
        <v>Tanque Plastico Horizontal 750 Lts</v>
      </c>
      <c r="BL74" s="3" t="str">
        <f>IFERROR(__xludf.DUMMYFUNCTION("""COMPUTED_VALUE"""),"Medio Tanque Plastico Superior 700 Lts")</f>
        <v>Medio Tanque Plastico Superior 700 Lts</v>
      </c>
      <c r="BM74" s="3" t="str">
        <f>IFERROR(__xludf.DUMMYFUNCTION("""COMPUTED_VALUE"""),"Paquete de Elasticos 50 mm x 8 mm x 10 Hojas L850")</f>
        <v>Paquete de Elasticos 50 mm x 8 mm x 10 Hojas L850</v>
      </c>
      <c r="BN74" s="3" t="str">
        <f>IFERROR(__xludf.DUMMYFUNCTION("""COMPUTED_VALUE"""),"Paquete de Elasticos 63 mm x 8 mm x 10 Hojas L950")</f>
        <v>Paquete de Elasticos 63 mm x 8 mm x 10 Hojas L950</v>
      </c>
      <c r="BO74" s="3" t="str">
        <f>IFERROR(__xludf.DUMMYFUNCTION("""COMPUTED_VALUE"""),"Paquete de Elasticos 50 mm x 7 mm x 9 Hojas L850")</f>
        <v>Paquete de Elasticos 50 mm x 7 mm x 9 Hojas L850</v>
      </c>
      <c r="BP74" s="3" t="str">
        <f>IFERROR(__xludf.DUMMYFUNCTION("""COMPUTED_VALUE"""),"Paquete de Elasticos 63 mm x 8 mm x 8 Hojas L850")</f>
        <v>Paquete de Elasticos 63 mm x 8 mm x 8 Hojas L850</v>
      </c>
      <c r="BQ74" s="3" t="str">
        <f>IFERROR(__xludf.DUMMYFUNCTION("""COMPUTED_VALUE"""),"Paquete de Elasticos 63 mm x 10 mm x 10 Hojas L950")</f>
        <v>Paquete de Elasticos 63 mm x 10 mm x 10 Hojas L950</v>
      </c>
      <c r="BR74" s="3" t="str">
        <f>IFERROR(__xludf.DUMMYFUNCTION("""COMPUTED_VALUE"""),"Paquete de Elasticos 63 mm x 10 mm x 13 Hojas L975")</f>
        <v>Paquete de Elasticos 63 mm x 10 mm x 13 Hojas L975</v>
      </c>
      <c r="BS74" s="3" t="str">
        <f>IFERROR(__xludf.DUMMYFUNCTION("""COMPUTED_VALUE"""),"Paquete de Elasticos 50 mm x 7 mm x 9 Hojas L650")</f>
        <v>Paquete de Elasticos 50 mm x 7 mm x 9 Hojas L650</v>
      </c>
      <c r="BT74" s="3" t="str">
        <f>IFERROR(__xludf.DUMMYFUNCTION("""COMPUTED_VALUE"""),"Eje Acoplado 2"" x 1600 (06/08) Agrícola Centro 92")</f>
        <v>Eje Acoplado 2" x 1600 (06/08) Agrícola Centro 92</v>
      </c>
      <c r="BU74" s="3" t="str">
        <f>IFERROR(__xludf.DUMMYFUNCTION("""COMPUTED_VALUE"""),"Eje Acoplado 2 1/2"" x 1600 (07/09) Agrícola Centro 92")</f>
        <v>Eje Acoplado 2 1/2" x 1600 (07/09) Agrícola Centro 92</v>
      </c>
      <c r="BV74" s="3" t="str">
        <f>IFERROR(__xludf.DUMMYFUNCTION("""COMPUTED_VALUE"""),"Eje Acoplado 2 1/2"" x 1600 (09/11) Agrícola Centro 150")</f>
        <v>Eje Acoplado 2 1/2" x 1600 (09/11) Agrícola Centro 150</v>
      </c>
      <c r="BW74" s="3" t="str">
        <f>IFERROR(__xludf.DUMMYFUNCTION("""COMPUTED_VALUE"""),"Eje Acoplado 3"" x 1600 (10/13) Agrícola Centro 150")</f>
        <v>Eje Acoplado 3" x 1600 (10/13) Agrícola Centro 150</v>
      </c>
      <c r="BX74" s="3" t="str">
        <f>IFERROR(__xludf.DUMMYFUNCTION("""COMPUTED_VALUE"""),"Eje Acoplado 2 1/2"" x 2140 (07/09) Agrícola Centro 92")</f>
        <v>Eje Acoplado 2 1/2" x 2140 (07/09) Agrícola Centro 92</v>
      </c>
      <c r="BY74" s="3" t="str">
        <f>IFERROR(__xludf.DUMMYFUNCTION("""COMPUTED_VALUE"""),"Eje Acoplado 2"" x 1400 (06/08) Agrícola Centro 92")</f>
        <v>Eje Acoplado 2" x 1400 (06/08) Agrícola Centro 92</v>
      </c>
      <c r="BZ74" s="3" t="str">
        <f>IFERROR(__xludf.DUMMYFUNCTION("""COMPUTED_VALUE"""),"Eje Acoplado 2 1/2"" x 1500 (07/09) Agrícola Centro 92")</f>
        <v>Eje Acoplado 2 1/2" x 1500 (07/09) Agrícola Centro 92</v>
      </c>
      <c r="CA74" s="3" t="str">
        <f>IFERROR(__xludf.DUMMYFUNCTION("""COMPUTED_VALUE"""),"Eje Acoplado 2 1/2"" x 2000 (07/09) Agrícola Centro 92")</f>
        <v>Eje Acoplado 2 1/2" x 2000 (07/09) Agrícola Centro 92</v>
      </c>
      <c r="CB74" s="3" t="str">
        <f>IFERROR(__xludf.DUMMYFUNCTION("""COMPUTED_VALUE"""),"Eje Acoplado 2 1/2"" x 2100 (09/11) Agrícola Centro 150")</f>
        <v>Eje Acoplado 2 1/2" x 2100 (09/11) Agrícola Centro 150</v>
      </c>
      <c r="CC74" s="3" t="str">
        <f>IFERROR(__xludf.DUMMYFUNCTION("""COMPUTED_VALUE"""),"Llanta 16"" Simple Agrícola Centro 92")</f>
        <v>Llanta 16" Simple Agrícola Centro 92</v>
      </c>
      <c r="CD74" s="3" t="str">
        <f>IFERROR(__xludf.DUMMYFUNCTION("""COMPUTED_VALUE"""),"Llanta 16"" Dual Agrícola Centro 92")</f>
        <v>Llanta 16" Dual Agrícola Centro 92</v>
      </c>
      <c r="CE74" s="3" t="str">
        <f>IFERROR(__xludf.DUMMYFUNCTION("""COMPUTED_VALUE"""),"Llanta 17"" Simple Agrícola Centro 92")</f>
        <v>Llanta 17" Simple Agrícola Centro 92</v>
      </c>
      <c r="CF74" s="3" t="str">
        <f>IFERROR(__xludf.DUMMYFUNCTION("""COMPUTED_VALUE"""),"Llanta 17"" Dual Agrícola Centro 92")</f>
        <v>Llanta 17" Dual Agrícola Centro 92</v>
      </c>
      <c r="CG74" s="3" t="str">
        <f>IFERROR(__xludf.DUMMYFUNCTION("""COMPUTED_VALUE"""),"Llanta 16"" Dual Agrícola Centro 152")</f>
        <v>Llanta 16" Dual Agrícola Centro 152</v>
      </c>
      <c r="CH74" s="3" t="str">
        <f>IFERROR(__xludf.DUMMYFUNCTION("""COMPUTED_VALUE"""),"Llanta 17"" Dual Agrícola Centro 152")</f>
        <v>Llanta 17" Dual Agrícola Centro 152</v>
      </c>
      <c r="CI74" s="3" t="str">
        <f>IFERROR(__xludf.DUMMYFUNCTION("""COMPUTED_VALUE"""),"Eje Acoplado 2"" x 1600 (05/07) Agrícola Centro 92")</f>
        <v>Eje Acoplado 2" x 1600 (05/07) Agrícola Centro 92</v>
      </c>
      <c r="CJ74" s="3" t="str">
        <f>IFERROR(__xludf.DUMMYFUNCTION("""COMPUTED_VALUE"""),"Paquete de Elásticos 50 mm x 8 mm x 12 Hojas")</f>
        <v>Paquete de Elásticos 50 mm x 8 mm x 12 Hojas</v>
      </c>
      <c r="CK74" s="3" t="str">
        <f>IFERROR(__xludf.DUMMYFUNCTION("""COMPUTED_VALUE"""),"Plataforma Playo 4.00 x 1.90 x 0.45 Lateral Simple Baranda Fija")</f>
        <v>Plataforma Playo 4.00 x 1.90 x 0.45 Lateral Simple Baranda Fija</v>
      </c>
      <c r="CL74" s="3" t="str">
        <f>IFERROR(__xludf.DUMMYFUNCTION("""COMPUTED_VALUE"""),"Plataforma Playo 4.00 x 1.90 x 0.45 Lateral Simple Baranda Ventilada")</f>
        <v>Plataforma Playo 4.00 x 1.90 x 0.45 Lateral Simple Baranda Ventilada</v>
      </c>
      <c r="CM74" s="3" t="str">
        <f>IFERROR(__xludf.DUMMYFUNCTION("""COMPUTED_VALUE"""),"Plataforma Playo 4.00 x 1.90 x 0.45 Lateral Doble Baranda Ventilada")</f>
        <v>Plataforma Playo 4.00 x 1.90 x 0.45 Lateral Doble Baranda Ventilada</v>
      </c>
      <c r="CN74" s="3" t="str">
        <f>IFERROR(__xludf.DUMMYFUNCTION("""COMPUTED_VALUE"""),"Plataforma Playo 4.00 x 1.90 x 0.45 Lateral Doble Baranda Fija")</f>
        <v>Plataforma Playo 4.00 x 1.90 x 0.45 Lateral Doble Baranda Fija</v>
      </c>
      <c r="CO74" s="3" t="str">
        <f>IFERROR(__xludf.DUMMYFUNCTION("""COMPUTED_VALUE"""),"Plataforma Playo 4.00 x 1.90 x 0.72 Lateral Simple Baranda Fija")</f>
        <v>Plataforma Playo 4.00 x 1.90 x 0.72 Lateral Simple Baranda Fija</v>
      </c>
      <c r="CP74" s="3" t="str">
        <f>IFERROR(__xludf.DUMMYFUNCTION("""COMPUTED_VALUE"""),"Plataforma Playo 4.00 x 1.90 x 0.72 Lateral Doble Baranda Fija")</f>
        <v>Plataforma Playo 4.00 x 1.90 x 0.72 Lateral Doble Baranda Fija</v>
      </c>
      <c r="CQ74" s="3" t="str">
        <f>IFERROR(__xludf.DUMMYFUNCTION("""COMPUTED_VALUE"""),"Plataforma Playo 5.00 x 2.20 x 0.60 Lateral Doble Trasera Rebatible")</f>
        <v>Plataforma Playo 5.00 x 2.20 x 0.60 Lateral Doble Trasera Rebatible</v>
      </c>
      <c r="CR74" s="3" t="str">
        <f>IFERROR(__xludf.DUMMYFUNCTION("""COMPUTED_VALUE"""),"Plataforma Playo 5.00 x 2.20 x 0.60 Lateral Doble Baranda Fija C/Toldo")</f>
        <v>Plataforma Playo 5.00 x 2.20 x 0.60 Lateral Doble Baranda Fija C/Toldo</v>
      </c>
      <c r="CS74" s="3" t="str">
        <f>IFERROR(__xludf.DUMMYFUNCTION("""COMPUTED_VALUE"""),"Plataforma Playo 3.00 x 1.90 x 0.45 Lateral Simple Baranda Fija")</f>
        <v>Plataforma Playo 3.00 x 1.90 x 0.45 Lateral Simple Baranda Fija</v>
      </c>
      <c r="CT74" s="3" t="str">
        <f>IFERROR(__xludf.DUMMYFUNCTION("""COMPUTED_VALUE"""),"Plataforma Playo 3.00 x 1.90 x 0.45 Lateral Simple Baranda Ventilada")</f>
        <v>Plataforma Playo 3.00 x 1.90 x 0.45 Lateral Simple Baranda Ventilada</v>
      </c>
      <c r="CU74" s="3" t="str">
        <f>IFERROR(__xludf.DUMMYFUNCTION("""COMPUTED_VALUE"""),"Plataforma Playo 2.00 x 1.90 x 0.45 Lateral Simple Baranda Fija")</f>
        <v>Plataforma Playo 2.00 x 1.90 x 0.45 Lateral Simple Baranda Fija</v>
      </c>
      <c r="CV74" s="3" t="str">
        <f>IFERROR(__xludf.DUMMYFUNCTION("""COMPUTED_VALUE"""),"Plataforma Playo 5.00 x 1.90 x 0.60 Lateral Doble Baranda Fija")</f>
        <v>Plataforma Playo 5.00 x 1.90 x 0.60 Lateral Doble Baranda Fija</v>
      </c>
      <c r="CW74" s="3" t="str">
        <f>IFERROR(__xludf.DUMMYFUNCTION("""COMPUTED_VALUE"""),"Plataforma Playo 6.40 x 2.70 x 0.72 Lateral Doble Baranda Fija")</f>
        <v>Plataforma Playo 6.40 x 2.70 x 0.72 Lateral Doble Baranda Fija</v>
      </c>
      <c r="CX74" s="3" t="str">
        <f>IFERROR(__xludf.DUMMYFUNCTION("""COMPUTED_VALUE"""),"Chasis Acoplado Balancin L4000 Lanza Recta")</f>
        <v>Chasis Acoplado Balancin L4000 Lanza Recta</v>
      </c>
      <c r="CY74" s="3" t="str">
        <f>IFERROR(__xludf.DUMMYFUNCTION("""COMPUTED_VALUE"""),"Llanta simple Agrícola 750x20 centro 152")</f>
        <v>Llanta simple Agrícola 750x20 centro 152</v>
      </c>
      <c r="CZ74" s="3" t="str">
        <f>IFERROR(__xludf.DUMMYFUNCTION("""COMPUTED_VALUE"""),"Cajón de Herramientas Mediano adelante")</f>
        <v>Cajón de Herramientas Mediano adelante</v>
      </c>
      <c r="DA74" s="3" t="str">
        <f>IFERROR(__xludf.DUMMYFUNCTION("""COMPUTED_VALUE"""),"Llanta 15"" Simple Agrícola Centro 92")</f>
        <v>Llanta 15" Simple Agrícola Centro 92</v>
      </c>
    </row>
    <row r="75" hidden="1">
      <c r="A75" s="38">
        <f t="shared" si="1"/>
        <v>74</v>
      </c>
      <c r="B75" s="38">
        <f>IF(F75="","",SUMIF(Prearmados!E:E,F75,Prearmados!A:A))</f>
        <v>12</v>
      </c>
      <c r="C75" s="38">
        <f>IF(F75="","",SUMIF(Productos!E:E,G75,Productos!A:A))</f>
        <v>54</v>
      </c>
      <c r="D75" s="83" t="str">
        <f t="array" ref="D75">IF(OR(F75="",F75="Seleccionar.."),"",XLOOKUP(F75,Prearmados!E:E,Prearmados!F:F,"",0,1))</f>
        <v>Acoplados Rurales</v>
      </c>
      <c r="E75" s="83">
        <f>IF(H75="","",SUMIF(Precio_Productos!K:K,C75,Precio_Productos!J:J)*H75)</f>
        <v>3445000</v>
      </c>
      <c r="F75" s="84" t="s">
        <v>335</v>
      </c>
      <c r="G75" s="84" t="s">
        <v>67</v>
      </c>
      <c r="H75" s="13">
        <v>1.0</v>
      </c>
      <c r="P75" s="3" t="str">
        <f>IFERROR(__xludf.DUMMYFUNCTION("IF(OR(F75="""",F75=""Seleccionar..""),"""",TRANSPOSE(FILTER(Productos!E:E,(Productos!F:F=D75)+(Productos!F:F=XLOOKUP(D75,Implementos!B:B,Implementos!C:C,""-"",0,1)))))"),"Tanque Combustible 1100 lts Bajo")</f>
        <v>Tanque Combustible 1100 lts Bajo</v>
      </c>
      <c r="Q75" s="3" t="str">
        <f>IFERROR(__xludf.DUMMYFUNCTION("""COMPUTED_VALUE"""),"Tanque Combustible 1500 lts Standard")</f>
        <v>Tanque Combustible 1500 lts Standard</v>
      </c>
      <c r="R75" s="3" t="str">
        <f>IFERROR(__xludf.DUMMYFUNCTION("""COMPUTED_VALUE"""),"Tanque Combustible 1800 lts Standard")</f>
        <v>Tanque Combustible 1800 lts Standard</v>
      </c>
      <c r="S75" s="3" t="str">
        <f>IFERROR(__xludf.DUMMYFUNCTION("""COMPUTED_VALUE"""),"Tanque Combustible 2000 lts Bajo")</f>
        <v>Tanque Combustible 2000 lts Bajo</v>
      </c>
      <c r="T75" s="3" t="str">
        <f>IFERROR(__xludf.DUMMYFUNCTION("""COMPUTED_VALUE"""),"Tanque Combustible 2000 lts Standard")</f>
        <v>Tanque Combustible 2000 lts Standard</v>
      </c>
      <c r="U75" s="3" t="str">
        <f>IFERROR(__xludf.DUMMYFUNCTION("""COMPUTED_VALUE"""),"Tanque Combustible 3000 lts Standard")</f>
        <v>Tanque Combustible 3000 lts Standard</v>
      </c>
      <c r="V75" s="3" t="str">
        <f>IFERROR(__xludf.DUMMYFUNCTION("""COMPUTED_VALUE"""),"Tanque Combustible 3000 lts Alto")</f>
        <v>Tanque Combustible 3000 lts Alto</v>
      </c>
      <c r="W75" s="3" t="str">
        <f>IFERROR(__xludf.DUMMYFUNCTION("""COMPUTED_VALUE"""),"Tanque Combustible 4000 lts Standard")</f>
        <v>Tanque Combustible 4000 lts Standard</v>
      </c>
      <c r="X75" s="3" t="str">
        <f>IFERROR(__xludf.DUMMYFUNCTION("""COMPUTED_VALUE"""),"Tanque Combustible 5000 lts Standard")</f>
        <v>Tanque Combustible 5000 lts Standard</v>
      </c>
      <c r="Y75" s="3" t="str">
        <f>IFERROR(__xludf.DUMMYFUNCTION("""COMPUTED_VALUE"""),"Tanque Combustible 5000 lts Alto")</f>
        <v>Tanque Combustible 5000 lts Alto</v>
      </c>
      <c r="Z75" s="3" t="str">
        <f>IFERROR(__xludf.DUMMYFUNCTION("""COMPUTED_VALUE"""),"Tanque Combustible 2000 lts Alto")</f>
        <v>Tanque Combustible 2000 lts Alto</v>
      </c>
      <c r="AA75" s="3" t="str">
        <f>IFERROR(__xludf.DUMMYFUNCTION("""COMPUTED_VALUE"""),"Tanque Combustible 4000 lts Alto")</f>
        <v>Tanque Combustible 4000 lts Alto</v>
      </c>
      <c r="AB75" s="3" t="str">
        <f>IFERROR(__xludf.DUMMYFUNCTION("""COMPUTED_VALUE"""),"Baulera Standard - 750")</f>
        <v>Baulera Standard - 750</v>
      </c>
      <c r="AC75" s="3" t="str">
        <f>IFERROR(__xludf.DUMMYFUNCTION("""COMPUTED_VALUE"""),"Baulera Standard - 1700 - C/Laterales")</f>
        <v>Baulera Standard - 1700 - C/Laterales</v>
      </c>
      <c r="AD75" s="3" t="str">
        <f>IFERROR(__xludf.DUMMYFUNCTION("""COMPUTED_VALUE"""),"Baulera Standard - 1000 - C/Laterales")</f>
        <v>Baulera Standard - 1000 - C/Laterales</v>
      </c>
      <c r="AE75" s="3" t="str">
        <f>IFERROR(__xludf.DUMMYFUNCTION("""COMPUTED_VALUE"""),"Baulera Standard - 750 - C/Laterales")</f>
        <v>Baulera Standard - 750 - C/Laterales</v>
      </c>
      <c r="AF75" s="3" t="str">
        <f>IFERROR(__xludf.DUMMYFUNCTION("""COMPUTED_VALUE"""),"Baulera Standard - 1300 - C/Laterales")</f>
        <v>Baulera Standard - 1300 - C/Laterales</v>
      </c>
      <c r="AG75" s="3" t="str">
        <f>IFERROR(__xludf.DUMMYFUNCTION("""COMPUTED_VALUE"""),"Baulera Alta - 750")</f>
        <v>Baulera Alta - 750</v>
      </c>
      <c r="AH75" s="3" t="str">
        <f>IFERROR(__xludf.DUMMYFUNCTION("""COMPUTED_VALUE"""),"Baulera Alta - 1500 - C/Laterales")</f>
        <v>Baulera Alta - 1500 - C/Laterales</v>
      </c>
      <c r="AI75" s="3" t="str">
        <f>IFERROR(__xludf.DUMMYFUNCTION("""COMPUTED_VALUE"""),"Baulera Extendida 1700 - C/Laterales")</f>
        <v>Baulera Extendida 1700 - C/Laterales</v>
      </c>
      <c r="AJ75" s="3" t="str">
        <f>IFERROR(__xludf.DUMMYFUNCTION("""COMPUTED_VALUE"""),"Taller Móvil - 1500 x 1500 x 1700")</f>
        <v>Taller Móvil - 1500 x 1500 x 1700</v>
      </c>
      <c r="AK75" s="3" t="str">
        <f>IFERROR(__xludf.DUMMYFUNCTION("""COMPUTED_VALUE"""),"Cajón Herramientas Standard Derecho")</f>
        <v>Cajón Herramientas Standard Derecho</v>
      </c>
      <c r="AL75" s="3" t="str">
        <f>IFERROR(__xludf.DUMMYFUNCTION("""COMPUTED_VALUE"""),"Cajón Herramientas Standard Izquierdo")</f>
        <v>Cajón Herramientas Standard Izquierdo</v>
      </c>
      <c r="AM75" s="3" t="str">
        <f>IFERROR(__xludf.DUMMYFUNCTION("""COMPUTED_VALUE"""),"Cajón Herramientas Corto Derecho")</f>
        <v>Cajón Herramientas Corto Derecho</v>
      </c>
      <c r="AN75" s="3" t="str">
        <f>IFERROR(__xludf.DUMMYFUNCTION("""COMPUTED_VALUE"""),"Cajón Herramientas Corto Izquierdo")</f>
        <v>Cajón Herramientas Corto Izquierdo</v>
      </c>
      <c r="AO75" s="3" t="str">
        <f>IFERROR(__xludf.DUMMYFUNCTION("""COMPUTED_VALUE"""),"Cajón Herramientas Mediano Derecho")</f>
        <v>Cajón Herramientas Mediano Derecho</v>
      </c>
      <c r="AP75" s="3" t="str">
        <f>IFERROR(__xludf.DUMMYFUNCTION("""COMPUTED_VALUE"""),"Cajón Herramientas Mediano Izquierdo")</f>
        <v>Cajón Herramientas Mediano Izquierdo</v>
      </c>
      <c r="AQ75" s="3" t="str">
        <f>IFERROR(__xludf.DUMMYFUNCTION("""COMPUTED_VALUE"""),"Chasis Acoplado 2 Ejes L3000")</f>
        <v>Chasis Acoplado 2 Ejes L3000</v>
      </c>
      <c r="AR75" s="3" t="str">
        <f>IFERROR(__xludf.DUMMYFUNCTION("""COMPUTED_VALUE"""),"Chasis Acoplado 2 Ejes L3750")</f>
        <v>Chasis Acoplado 2 Ejes L3750</v>
      </c>
      <c r="AS75" s="3" t="str">
        <f>IFERROR(__xludf.DUMMYFUNCTION("""COMPUTED_VALUE"""),"Chasis Acoplado 2 Ejes L4000")</f>
        <v>Chasis Acoplado 2 Ejes L4000</v>
      </c>
      <c r="AT75" s="3" t="str">
        <f>IFERROR(__xludf.DUMMYFUNCTION("""COMPUTED_VALUE"""),"Chasis Acoplado 2 Ejes L4000 Reforzado")</f>
        <v>Chasis Acoplado 2 Ejes L4000 Reforzado</v>
      </c>
      <c r="AU75" s="3" t="str">
        <f>IFERROR(__xludf.DUMMYFUNCTION("""COMPUTED_VALUE"""),"Chasis Acoplado 2 Ejes L4750")</f>
        <v>Chasis Acoplado 2 Ejes L4750</v>
      </c>
      <c r="AV75" s="3" t="str">
        <f>IFERROR(__xludf.DUMMYFUNCTION("""COMPUTED_VALUE"""),"Chasis Acoplado 2 Ejes L4750 Reforzado")</f>
        <v>Chasis Acoplado 2 Ejes L4750 Reforzado</v>
      </c>
      <c r="AW75" s="3" t="str">
        <f>IFERROR(__xludf.DUMMYFUNCTION("""COMPUTED_VALUE"""),"Chasis Acoplado 2 Ejes L4750 Reforzado R. Camion")</f>
        <v>Chasis Acoplado 2 Ejes L4750 Reforzado R. Camion</v>
      </c>
      <c r="AX75" s="3" t="str">
        <f>IFERROR(__xludf.DUMMYFUNCTION("""COMPUTED_VALUE"""),"Chasis Acoplado 2 Ejes L5000")</f>
        <v>Chasis Acoplado 2 Ejes L5000</v>
      </c>
      <c r="AY75" s="3" t="str">
        <f>IFERROR(__xludf.DUMMYFUNCTION("""COMPUTED_VALUE"""),"Chasis Acoplado 2 Ejes L5750")</f>
        <v>Chasis Acoplado 2 Ejes L5750</v>
      </c>
      <c r="AZ75" s="3" t="str">
        <f>IFERROR(__xludf.DUMMYFUNCTION("""COMPUTED_VALUE"""),"Chasis Acoplado 2 Ejes L6400")</f>
        <v>Chasis Acoplado 2 Ejes L6400</v>
      </c>
      <c r="BA75" s="3" t="str">
        <f>IFERROR(__xludf.DUMMYFUNCTION("""COMPUTED_VALUE"""),"Chasis Acoplado 2 Ejes L4500")</f>
        <v>Chasis Acoplado 2 Ejes L4500</v>
      </c>
      <c r="BB75" s="3" t="str">
        <f>IFERROR(__xludf.DUMMYFUNCTION("""COMPUTED_VALUE"""),"Chasis Acoplado 1 Eje L1500")</f>
        <v>Chasis Acoplado 1 Eje L1500</v>
      </c>
      <c r="BC75" s="3" t="str">
        <f>IFERROR(__xludf.DUMMYFUNCTION("""COMPUTED_VALUE"""),"Chasis Acoplado 1 Eje L1800")</f>
        <v>Chasis Acoplado 1 Eje L1800</v>
      </c>
      <c r="BD75" s="3" t="str">
        <f>IFERROR(__xludf.DUMMYFUNCTION("""COMPUTED_VALUE"""),"Chasis Acoplado 1 Eje L1400")</f>
        <v>Chasis Acoplado 1 Eje L1400</v>
      </c>
      <c r="BE75" s="3" t="str">
        <f>IFERROR(__xludf.DUMMYFUNCTION("""COMPUTED_VALUE"""),"Chasis Acoplado Balancin L3000")</f>
        <v>Chasis Acoplado Balancin L3000</v>
      </c>
      <c r="BF75" s="3" t="str">
        <f>IFERROR(__xludf.DUMMYFUNCTION("""COMPUTED_VALUE"""),"Chasis Acoplado Balancin L3000 Lanza Corta")</f>
        <v>Chasis Acoplado Balancin L3000 Lanza Corta</v>
      </c>
      <c r="BG75" s="3" t="str">
        <f>IFERROR(__xludf.DUMMYFUNCTION("""COMPUTED_VALUE"""),"Chasis Acoplado Balancin L2000 Lanza Corta")</f>
        <v>Chasis Acoplado Balancin L2000 Lanza Corta</v>
      </c>
      <c r="BH75" s="3" t="str">
        <f>IFERROR(__xludf.DUMMYFUNCTION("""COMPUTED_VALUE"""),"Chasis Acoplado Balancin L3200 Lanza Corta")</f>
        <v>Chasis Acoplado Balancin L3200 Lanza Corta</v>
      </c>
      <c r="BI75" s="3" t="str">
        <f>IFERROR(__xludf.DUMMYFUNCTION("""COMPUTED_VALUE"""),"Chasis Acoplado Balancin L3200 Lanza Recta")</f>
        <v>Chasis Acoplado Balancin L3200 Lanza Recta</v>
      </c>
      <c r="BJ75" s="3" t="str">
        <f>IFERROR(__xludf.DUMMYFUNCTION("""COMPUTED_VALUE"""),"Chasis Acoplado Balancin L3200 Bajo Lanza Recta")</f>
        <v>Chasis Acoplado Balancin L3200 Bajo Lanza Recta</v>
      </c>
      <c r="BK75" s="3" t="str">
        <f>IFERROR(__xludf.DUMMYFUNCTION("""COMPUTED_VALUE"""),"Tanque Plastico Horizontal 750 Lts")</f>
        <v>Tanque Plastico Horizontal 750 Lts</v>
      </c>
      <c r="BL75" s="3" t="str">
        <f>IFERROR(__xludf.DUMMYFUNCTION("""COMPUTED_VALUE"""),"Medio Tanque Plastico Superior 700 Lts")</f>
        <v>Medio Tanque Plastico Superior 700 Lts</v>
      </c>
      <c r="BM75" s="3" t="str">
        <f>IFERROR(__xludf.DUMMYFUNCTION("""COMPUTED_VALUE"""),"Paquete de Elasticos 50 mm x 8 mm x 10 Hojas L850")</f>
        <v>Paquete de Elasticos 50 mm x 8 mm x 10 Hojas L850</v>
      </c>
      <c r="BN75" s="3" t="str">
        <f>IFERROR(__xludf.DUMMYFUNCTION("""COMPUTED_VALUE"""),"Paquete de Elasticos 63 mm x 8 mm x 10 Hojas L950")</f>
        <v>Paquete de Elasticos 63 mm x 8 mm x 10 Hojas L950</v>
      </c>
      <c r="BO75" s="3" t="str">
        <f>IFERROR(__xludf.DUMMYFUNCTION("""COMPUTED_VALUE"""),"Paquete de Elasticos 50 mm x 7 mm x 9 Hojas L850")</f>
        <v>Paquete de Elasticos 50 mm x 7 mm x 9 Hojas L850</v>
      </c>
      <c r="BP75" s="3" t="str">
        <f>IFERROR(__xludf.DUMMYFUNCTION("""COMPUTED_VALUE"""),"Paquete de Elasticos 63 mm x 8 mm x 8 Hojas L850")</f>
        <v>Paquete de Elasticos 63 mm x 8 mm x 8 Hojas L850</v>
      </c>
      <c r="BQ75" s="3" t="str">
        <f>IFERROR(__xludf.DUMMYFUNCTION("""COMPUTED_VALUE"""),"Paquete de Elasticos 63 mm x 10 mm x 10 Hojas L950")</f>
        <v>Paquete de Elasticos 63 mm x 10 mm x 10 Hojas L950</v>
      </c>
      <c r="BR75" s="3" t="str">
        <f>IFERROR(__xludf.DUMMYFUNCTION("""COMPUTED_VALUE"""),"Paquete de Elasticos 63 mm x 10 mm x 13 Hojas L975")</f>
        <v>Paquete de Elasticos 63 mm x 10 mm x 13 Hojas L975</v>
      </c>
      <c r="BS75" s="3" t="str">
        <f>IFERROR(__xludf.DUMMYFUNCTION("""COMPUTED_VALUE"""),"Paquete de Elasticos 50 mm x 7 mm x 9 Hojas L650")</f>
        <v>Paquete de Elasticos 50 mm x 7 mm x 9 Hojas L650</v>
      </c>
      <c r="BT75" s="3" t="str">
        <f>IFERROR(__xludf.DUMMYFUNCTION("""COMPUTED_VALUE"""),"Eje Acoplado 2"" x 1600 (06/08) Agrícola Centro 92")</f>
        <v>Eje Acoplado 2" x 1600 (06/08) Agrícola Centro 92</v>
      </c>
      <c r="BU75" s="3" t="str">
        <f>IFERROR(__xludf.DUMMYFUNCTION("""COMPUTED_VALUE"""),"Eje Acoplado 2 1/2"" x 1600 (07/09) Agrícola Centro 92")</f>
        <v>Eje Acoplado 2 1/2" x 1600 (07/09) Agrícola Centro 92</v>
      </c>
      <c r="BV75" s="3" t="str">
        <f>IFERROR(__xludf.DUMMYFUNCTION("""COMPUTED_VALUE"""),"Eje Acoplado 2 1/2"" x 1600 (09/11) Agrícola Centro 150")</f>
        <v>Eje Acoplado 2 1/2" x 1600 (09/11) Agrícola Centro 150</v>
      </c>
      <c r="BW75" s="3" t="str">
        <f>IFERROR(__xludf.DUMMYFUNCTION("""COMPUTED_VALUE"""),"Eje Acoplado 3"" x 1600 (10/13) Agrícola Centro 150")</f>
        <v>Eje Acoplado 3" x 1600 (10/13) Agrícola Centro 150</v>
      </c>
      <c r="BX75" s="3" t="str">
        <f>IFERROR(__xludf.DUMMYFUNCTION("""COMPUTED_VALUE"""),"Eje Acoplado 2 1/2"" x 2140 (07/09) Agrícola Centro 92")</f>
        <v>Eje Acoplado 2 1/2" x 2140 (07/09) Agrícola Centro 92</v>
      </c>
      <c r="BY75" s="3" t="str">
        <f>IFERROR(__xludf.DUMMYFUNCTION("""COMPUTED_VALUE"""),"Eje Acoplado 2"" x 1400 (06/08) Agrícola Centro 92")</f>
        <v>Eje Acoplado 2" x 1400 (06/08) Agrícola Centro 92</v>
      </c>
      <c r="BZ75" s="3" t="str">
        <f>IFERROR(__xludf.DUMMYFUNCTION("""COMPUTED_VALUE"""),"Eje Acoplado 2 1/2"" x 1500 (07/09) Agrícola Centro 92")</f>
        <v>Eje Acoplado 2 1/2" x 1500 (07/09) Agrícola Centro 92</v>
      </c>
      <c r="CA75" s="3" t="str">
        <f>IFERROR(__xludf.DUMMYFUNCTION("""COMPUTED_VALUE"""),"Eje Acoplado 2 1/2"" x 2000 (07/09) Agrícola Centro 92")</f>
        <v>Eje Acoplado 2 1/2" x 2000 (07/09) Agrícola Centro 92</v>
      </c>
      <c r="CB75" s="3" t="str">
        <f>IFERROR(__xludf.DUMMYFUNCTION("""COMPUTED_VALUE"""),"Eje Acoplado 2 1/2"" x 2100 (09/11) Agrícola Centro 150")</f>
        <v>Eje Acoplado 2 1/2" x 2100 (09/11) Agrícola Centro 150</v>
      </c>
      <c r="CC75" s="3" t="str">
        <f>IFERROR(__xludf.DUMMYFUNCTION("""COMPUTED_VALUE"""),"Llanta 16"" Simple Agrícola Centro 92")</f>
        <v>Llanta 16" Simple Agrícola Centro 92</v>
      </c>
      <c r="CD75" s="3" t="str">
        <f>IFERROR(__xludf.DUMMYFUNCTION("""COMPUTED_VALUE"""),"Llanta 16"" Dual Agrícola Centro 92")</f>
        <v>Llanta 16" Dual Agrícola Centro 92</v>
      </c>
      <c r="CE75" s="3" t="str">
        <f>IFERROR(__xludf.DUMMYFUNCTION("""COMPUTED_VALUE"""),"Llanta 17"" Simple Agrícola Centro 92")</f>
        <v>Llanta 17" Simple Agrícola Centro 92</v>
      </c>
      <c r="CF75" s="3" t="str">
        <f>IFERROR(__xludf.DUMMYFUNCTION("""COMPUTED_VALUE"""),"Llanta 17"" Dual Agrícola Centro 92")</f>
        <v>Llanta 17" Dual Agrícola Centro 92</v>
      </c>
      <c r="CG75" s="3" t="str">
        <f>IFERROR(__xludf.DUMMYFUNCTION("""COMPUTED_VALUE"""),"Llanta 16"" Dual Agrícola Centro 152")</f>
        <v>Llanta 16" Dual Agrícola Centro 152</v>
      </c>
      <c r="CH75" s="3" t="str">
        <f>IFERROR(__xludf.DUMMYFUNCTION("""COMPUTED_VALUE"""),"Llanta 17"" Dual Agrícola Centro 152")</f>
        <v>Llanta 17" Dual Agrícola Centro 152</v>
      </c>
      <c r="CI75" s="3" t="str">
        <f>IFERROR(__xludf.DUMMYFUNCTION("""COMPUTED_VALUE"""),"Eje Acoplado 2"" x 1600 (05/07) Agrícola Centro 92")</f>
        <v>Eje Acoplado 2" x 1600 (05/07) Agrícola Centro 92</v>
      </c>
      <c r="CJ75" s="3" t="str">
        <f>IFERROR(__xludf.DUMMYFUNCTION("""COMPUTED_VALUE"""),"Paquete de Elásticos 50 mm x 8 mm x 12 Hojas")</f>
        <v>Paquete de Elásticos 50 mm x 8 mm x 12 Hojas</v>
      </c>
      <c r="CK75" s="3" t="str">
        <f>IFERROR(__xludf.DUMMYFUNCTION("""COMPUTED_VALUE"""),"Plataforma Playo 4.00 x 1.90 x 0.45 Lateral Simple Baranda Fija")</f>
        <v>Plataforma Playo 4.00 x 1.90 x 0.45 Lateral Simple Baranda Fija</v>
      </c>
      <c r="CL75" s="3" t="str">
        <f>IFERROR(__xludf.DUMMYFUNCTION("""COMPUTED_VALUE"""),"Plataforma Playo 4.00 x 1.90 x 0.45 Lateral Simple Baranda Ventilada")</f>
        <v>Plataforma Playo 4.00 x 1.90 x 0.45 Lateral Simple Baranda Ventilada</v>
      </c>
      <c r="CM75" s="3" t="str">
        <f>IFERROR(__xludf.DUMMYFUNCTION("""COMPUTED_VALUE"""),"Plataforma Playo 4.00 x 1.90 x 0.45 Lateral Doble Baranda Ventilada")</f>
        <v>Plataforma Playo 4.00 x 1.90 x 0.45 Lateral Doble Baranda Ventilada</v>
      </c>
      <c r="CN75" s="3" t="str">
        <f>IFERROR(__xludf.DUMMYFUNCTION("""COMPUTED_VALUE"""),"Plataforma Playo 4.00 x 1.90 x 0.45 Lateral Doble Baranda Fija")</f>
        <v>Plataforma Playo 4.00 x 1.90 x 0.45 Lateral Doble Baranda Fija</v>
      </c>
      <c r="CO75" s="3" t="str">
        <f>IFERROR(__xludf.DUMMYFUNCTION("""COMPUTED_VALUE"""),"Plataforma Playo 4.00 x 1.90 x 0.72 Lateral Simple Baranda Fija")</f>
        <v>Plataforma Playo 4.00 x 1.90 x 0.72 Lateral Simple Baranda Fija</v>
      </c>
      <c r="CP75" s="3" t="str">
        <f>IFERROR(__xludf.DUMMYFUNCTION("""COMPUTED_VALUE"""),"Plataforma Playo 4.00 x 1.90 x 0.72 Lateral Doble Baranda Fija")</f>
        <v>Plataforma Playo 4.00 x 1.90 x 0.72 Lateral Doble Baranda Fija</v>
      </c>
      <c r="CQ75" s="3" t="str">
        <f>IFERROR(__xludf.DUMMYFUNCTION("""COMPUTED_VALUE"""),"Plataforma Playo 5.00 x 2.20 x 0.60 Lateral Doble Trasera Rebatible")</f>
        <v>Plataforma Playo 5.00 x 2.20 x 0.60 Lateral Doble Trasera Rebatible</v>
      </c>
      <c r="CR75" s="3" t="str">
        <f>IFERROR(__xludf.DUMMYFUNCTION("""COMPUTED_VALUE"""),"Plataforma Playo 5.00 x 2.20 x 0.60 Lateral Doble Baranda Fija C/Toldo")</f>
        <v>Plataforma Playo 5.00 x 2.20 x 0.60 Lateral Doble Baranda Fija C/Toldo</v>
      </c>
      <c r="CS75" s="3" t="str">
        <f>IFERROR(__xludf.DUMMYFUNCTION("""COMPUTED_VALUE"""),"Plataforma Playo 3.00 x 1.90 x 0.45 Lateral Simple Baranda Fija")</f>
        <v>Plataforma Playo 3.00 x 1.90 x 0.45 Lateral Simple Baranda Fija</v>
      </c>
      <c r="CT75" s="3" t="str">
        <f>IFERROR(__xludf.DUMMYFUNCTION("""COMPUTED_VALUE"""),"Plataforma Playo 3.00 x 1.90 x 0.45 Lateral Simple Baranda Ventilada")</f>
        <v>Plataforma Playo 3.00 x 1.90 x 0.45 Lateral Simple Baranda Ventilada</v>
      </c>
      <c r="CU75" s="3" t="str">
        <f>IFERROR(__xludf.DUMMYFUNCTION("""COMPUTED_VALUE"""),"Plataforma Playo 2.00 x 1.90 x 0.45 Lateral Simple Baranda Fija")</f>
        <v>Plataforma Playo 2.00 x 1.90 x 0.45 Lateral Simple Baranda Fija</v>
      </c>
      <c r="CV75" s="3" t="str">
        <f>IFERROR(__xludf.DUMMYFUNCTION("""COMPUTED_VALUE"""),"Plataforma Playo 5.00 x 1.90 x 0.60 Lateral Doble Baranda Fija")</f>
        <v>Plataforma Playo 5.00 x 1.90 x 0.60 Lateral Doble Baranda Fija</v>
      </c>
      <c r="CW75" s="3" t="str">
        <f>IFERROR(__xludf.DUMMYFUNCTION("""COMPUTED_VALUE"""),"Plataforma Playo 6.40 x 2.70 x 0.72 Lateral Doble Baranda Fija")</f>
        <v>Plataforma Playo 6.40 x 2.70 x 0.72 Lateral Doble Baranda Fija</v>
      </c>
      <c r="CX75" s="3" t="str">
        <f>IFERROR(__xludf.DUMMYFUNCTION("""COMPUTED_VALUE"""),"Chasis Acoplado Balancin L4000 Lanza Recta")</f>
        <v>Chasis Acoplado Balancin L4000 Lanza Recta</v>
      </c>
      <c r="CY75" s="3" t="str">
        <f>IFERROR(__xludf.DUMMYFUNCTION("""COMPUTED_VALUE"""),"Llanta simple Agrícola 750x20 centro 152")</f>
        <v>Llanta simple Agrícola 750x20 centro 152</v>
      </c>
      <c r="CZ75" s="3" t="str">
        <f>IFERROR(__xludf.DUMMYFUNCTION("""COMPUTED_VALUE"""),"Cajón de Herramientas Mediano adelante")</f>
        <v>Cajón de Herramientas Mediano adelante</v>
      </c>
      <c r="DA75" s="3" t="str">
        <f>IFERROR(__xludf.DUMMYFUNCTION("""COMPUTED_VALUE"""),"Llanta 15"" Simple Agrícola Centro 92")</f>
        <v>Llanta 15" Simple Agrícola Centro 92</v>
      </c>
    </row>
    <row r="76" hidden="1">
      <c r="A76" s="38">
        <f t="shared" si="1"/>
        <v>75</v>
      </c>
      <c r="B76" s="38">
        <f>IF(F76="","",SUMIF(Prearmados!E:E,F76,Prearmados!A:A))</f>
        <v>12</v>
      </c>
      <c r="C76" s="38">
        <f>IF(F76="","",SUMIF(Productos!E:E,G76,Productos!A:A))</f>
        <v>62</v>
      </c>
      <c r="D76" s="83" t="str">
        <f t="array" ref="D76">IF(OR(F76="",F76="Seleccionar.."),"",XLOOKUP(F76,Prearmados!E:E,Prearmados!F:F,"",0,1))</f>
        <v>Acoplados Rurales</v>
      </c>
      <c r="E76" s="83">
        <f>IF(H76="","",SUMIF(Precio_Productos!K:K,C76,Precio_Productos!J:J)*H76)</f>
        <v>729000</v>
      </c>
      <c r="F76" s="84" t="s">
        <v>335</v>
      </c>
      <c r="G76" s="84" t="s">
        <v>76</v>
      </c>
      <c r="H76" s="13">
        <v>1.0</v>
      </c>
      <c r="P76" s="3" t="str">
        <f>IFERROR(__xludf.DUMMYFUNCTION("IF(OR(F76="""",F76=""Seleccionar..""),"""",TRANSPOSE(FILTER(Productos!E:E,(Productos!F:F=D76)+(Productos!F:F=XLOOKUP(D76,Implementos!B:B,Implementos!C:C,""-"",0,1)))))"),"Tanque Combustible 1100 lts Bajo")</f>
        <v>Tanque Combustible 1100 lts Bajo</v>
      </c>
      <c r="Q76" s="3" t="str">
        <f>IFERROR(__xludf.DUMMYFUNCTION("""COMPUTED_VALUE"""),"Tanque Combustible 1500 lts Standard")</f>
        <v>Tanque Combustible 1500 lts Standard</v>
      </c>
      <c r="R76" s="3" t="str">
        <f>IFERROR(__xludf.DUMMYFUNCTION("""COMPUTED_VALUE"""),"Tanque Combustible 1800 lts Standard")</f>
        <v>Tanque Combustible 1800 lts Standard</v>
      </c>
      <c r="S76" s="3" t="str">
        <f>IFERROR(__xludf.DUMMYFUNCTION("""COMPUTED_VALUE"""),"Tanque Combustible 2000 lts Bajo")</f>
        <v>Tanque Combustible 2000 lts Bajo</v>
      </c>
      <c r="T76" s="3" t="str">
        <f>IFERROR(__xludf.DUMMYFUNCTION("""COMPUTED_VALUE"""),"Tanque Combustible 2000 lts Standard")</f>
        <v>Tanque Combustible 2000 lts Standard</v>
      </c>
      <c r="U76" s="3" t="str">
        <f>IFERROR(__xludf.DUMMYFUNCTION("""COMPUTED_VALUE"""),"Tanque Combustible 3000 lts Standard")</f>
        <v>Tanque Combustible 3000 lts Standard</v>
      </c>
      <c r="V76" s="3" t="str">
        <f>IFERROR(__xludf.DUMMYFUNCTION("""COMPUTED_VALUE"""),"Tanque Combustible 3000 lts Alto")</f>
        <v>Tanque Combustible 3000 lts Alto</v>
      </c>
      <c r="W76" s="3" t="str">
        <f>IFERROR(__xludf.DUMMYFUNCTION("""COMPUTED_VALUE"""),"Tanque Combustible 4000 lts Standard")</f>
        <v>Tanque Combustible 4000 lts Standard</v>
      </c>
      <c r="X76" s="3" t="str">
        <f>IFERROR(__xludf.DUMMYFUNCTION("""COMPUTED_VALUE"""),"Tanque Combustible 5000 lts Standard")</f>
        <v>Tanque Combustible 5000 lts Standard</v>
      </c>
      <c r="Y76" s="3" t="str">
        <f>IFERROR(__xludf.DUMMYFUNCTION("""COMPUTED_VALUE"""),"Tanque Combustible 5000 lts Alto")</f>
        <v>Tanque Combustible 5000 lts Alto</v>
      </c>
      <c r="Z76" s="3" t="str">
        <f>IFERROR(__xludf.DUMMYFUNCTION("""COMPUTED_VALUE"""),"Tanque Combustible 2000 lts Alto")</f>
        <v>Tanque Combustible 2000 lts Alto</v>
      </c>
      <c r="AA76" s="3" t="str">
        <f>IFERROR(__xludf.DUMMYFUNCTION("""COMPUTED_VALUE"""),"Tanque Combustible 4000 lts Alto")</f>
        <v>Tanque Combustible 4000 lts Alto</v>
      </c>
      <c r="AB76" s="3" t="str">
        <f>IFERROR(__xludf.DUMMYFUNCTION("""COMPUTED_VALUE"""),"Baulera Standard - 750")</f>
        <v>Baulera Standard - 750</v>
      </c>
      <c r="AC76" s="3" t="str">
        <f>IFERROR(__xludf.DUMMYFUNCTION("""COMPUTED_VALUE"""),"Baulera Standard - 1700 - C/Laterales")</f>
        <v>Baulera Standard - 1700 - C/Laterales</v>
      </c>
      <c r="AD76" s="3" t="str">
        <f>IFERROR(__xludf.DUMMYFUNCTION("""COMPUTED_VALUE"""),"Baulera Standard - 1000 - C/Laterales")</f>
        <v>Baulera Standard - 1000 - C/Laterales</v>
      </c>
      <c r="AE76" s="3" t="str">
        <f>IFERROR(__xludf.DUMMYFUNCTION("""COMPUTED_VALUE"""),"Baulera Standard - 750 - C/Laterales")</f>
        <v>Baulera Standard - 750 - C/Laterales</v>
      </c>
      <c r="AF76" s="3" t="str">
        <f>IFERROR(__xludf.DUMMYFUNCTION("""COMPUTED_VALUE"""),"Baulera Standard - 1300 - C/Laterales")</f>
        <v>Baulera Standard - 1300 - C/Laterales</v>
      </c>
      <c r="AG76" s="3" t="str">
        <f>IFERROR(__xludf.DUMMYFUNCTION("""COMPUTED_VALUE"""),"Baulera Alta - 750")</f>
        <v>Baulera Alta - 750</v>
      </c>
      <c r="AH76" s="3" t="str">
        <f>IFERROR(__xludf.DUMMYFUNCTION("""COMPUTED_VALUE"""),"Baulera Alta - 1500 - C/Laterales")</f>
        <v>Baulera Alta - 1500 - C/Laterales</v>
      </c>
      <c r="AI76" s="3" t="str">
        <f>IFERROR(__xludf.DUMMYFUNCTION("""COMPUTED_VALUE"""),"Baulera Extendida 1700 - C/Laterales")</f>
        <v>Baulera Extendida 1700 - C/Laterales</v>
      </c>
      <c r="AJ76" s="3" t="str">
        <f>IFERROR(__xludf.DUMMYFUNCTION("""COMPUTED_VALUE"""),"Taller Móvil - 1500 x 1500 x 1700")</f>
        <v>Taller Móvil - 1500 x 1500 x 1700</v>
      </c>
      <c r="AK76" s="3" t="str">
        <f>IFERROR(__xludf.DUMMYFUNCTION("""COMPUTED_VALUE"""),"Cajón Herramientas Standard Derecho")</f>
        <v>Cajón Herramientas Standard Derecho</v>
      </c>
      <c r="AL76" s="3" t="str">
        <f>IFERROR(__xludf.DUMMYFUNCTION("""COMPUTED_VALUE"""),"Cajón Herramientas Standard Izquierdo")</f>
        <v>Cajón Herramientas Standard Izquierdo</v>
      </c>
      <c r="AM76" s="3" t="str">
        <f>IFERROR(__xludf.DUMMYFUNCTION("""COMPUTED_VALUE"""),"Cajón Herramientas Corto Derecho")</f>
        <v>Cajón Herramientas Corto Derecho</v>
      </c>
      <c r="AN76" s="3" t="str">
        <f>IFERROR(__xludf.DUMMYFUNCTION("""COMPUTED_VALUE"""),"Cajón Herramientas Corto Izquierdo")</f>
        <v>Cajón Herramientas Corto Izquierdo</v>
      </c>
      <c r="AO76" s="3" t="str">
        <f>IFERROR(__xludf.DUMMYFUNCTION("""COMPUTED_VALUE"""),"Cajón Herramientas Mediano Derecho")</f>
        <v>Cajón Herramientas Mediano Derecho</v>
      </c>
      <c r="AP76" s="3" t="str">
        <f>IFERROR(__xludf.DUMMYFUNCTION("""COMPUTED_VALUE"""),"Cajón Herramientas Mediano Izquierdo")</f>
        <v>Cajón Herramientas Mediano Izquierdo</v>
      </c>
      <c r="AQ76" s="3" t="str">
        <f>IFERROR(__xludf.DUMMYFUNCTION("""COMPUTED_VALUE"""),"Chasis Acoplado 2 Ejes L3000")</f>
        <v>Chasis Acoplado 2 Ejes L3000</v>
      </c>
      <c r="AR76" s="3" t="str">
        <f>IFERROR(__xludf.DUMMYFUNCTION("""COMPUTED_VALUE"""),"Chasis Acoplado 2 Ejes L3750")</f>
        <v>Chasis Acoplado 2 Ejes L3750</v>
      </c>
      <c r="AS76" s="3" t="str">
        <f>IFERROR(__xludf.DUMMYFUNCTION("""COMPUTED_VALUE"""),"Chasis Acoplado 2 Ejes L4000")</f>
        <v>Chasis Acoplado 2 Ejes L4000</v>
      </c>
      <c r="AT76" s="3" t="str">
        <f>IFERROR(__xludf.DUMMYFUNCTION("""COMPUTED_VALUE"""),"Chasis Acoplado 2 Ejes L4000 Reforzado")</f>
        <v>Chasis Acoplado 2 Ejes L4000 Reforzado</v>
      </c>
      <c r="AU76" s="3" t="str">
        <f>IFERROR(__xludf.DUMMYFUNCTION("""COMPUTED_VALUE"""),"Chasis Acoplado 2 Ejes L4750")</f>
        <v>Chasis Acoplado 2 Ejes L4750</v>
      </c>
      <c r="AV76" s="3" t="str">
        <f>IFERROR(__xludf.DUMMYFUNCTION("""COMPUTED_VALUE"""),"Chasis Acoplado 2 Ejes L4750 Reforzado")</f>
        <v>Chasis Acoplado 2 Ejes L4750 Reforzado</v>
      </c>
      <c r="AW76" s="3" t="str">
        <f>IFERROR(__xludf.DUMMYFUNCTION("""COMPUTED_VALUE"""),"Chasis Acoplado 2 Ejes L4750 Reforzado R. Camion")</f>
        <v>Chasis Acoplado 2 Ejes L4750 Reforzado R. Camion</v>
      </c>
      <c r="AX76" s="3" t="str">
        <f>IFERROR(__xludf.DUMMYFUNCTION("""COMPUTED_VALUE"""),"Chasis Acoplado 2 Ejes L5000")</f>
        <v>Chasis Acoplado 2 Ejes L5000</v>
      </c>
      <c r="AY76" s="3" t="str">
        <f>IFERROR(__xludf.DUMMYFUNCTION("""COMPUTED_VALUE"""),"Chasis Acoplado 2 Ejes L5750")</f>
        <v>Chasis Acoplado 2 Ejes L5750</v>
      </c>
      <c r="AZ76" s="3" t="str">
        <f>IFERROR(__xludf.DUMMYFUNCTION("""COMPUTED_VALUE"""),"Chasis Acoplado 2 Ejes L6400")</f>
        <v>Chasis Acoplado 2 Ejes L6400</v>
      </c>
      <c r="BA76" s="3" t="str">
        <f>IFERROR(__xludf.DUMMYFUNCTION("""COMPUTED_VALUE"""),"Chasis Acoplado 2 Ejes L4500")</f>
        <v>Chasis Acoplado 2 Ejes L4500</v>
      </c>
      <c r="BB76" s="3" t="str">
        <f>IFERROR(__xludf.DUMMYFUNCTION("""COMPUTED_VALUE"""),"Chasis Acoplado 1 Eje L1500")</f>
        <v>Chasis Acoplado 1 Eje L1500</v>
      </c>
      <c r="BC76" s="3" t="str">
        <f>IFERROR(__xludf.DUMMYFUNCTION("""COMPUTED_VALUE"""),"Chasis Acoplado 1 Eje L1800")</f>
        <v>Chasis Acoplado 1 Eje L1800</v>
      </c>
      <c r="BD76" s="3" t="str">
        <f>IFERROR(__xludf.DUMMYFUNCTION("""COMPUTED_VALUE"""),"Chasis Acoplado 1 Eje L1400")</f>
        <v>Chasis Acoplado 1 Eje L1400</v>
      </c>
      <c r="BE76" s="3" t="str">
        <f>IFERROR(__xludf.DUMMYFUNCTION("""COMPUTED_VALUE"""),"Chasis Acoplado Balancin L3000")</f>
        <v>Chasis Acoplado Balancin L3000</v>
      </c>
      <c r="BF76" s="3" t="str">
        <f>IFERROR(__xludf.DUMMYFUNCTION("""COMPUTED_VALUE"""),"Chasis Acoplado Balancin L3000 Lanza Corta")</f>
        <v>Chasis Acoplado Balancin L3000 Lanza Corta</v>
      </c>
      <c r="BG76" s="3" t="str">
        <f>IFERROR(__xludf.DUMMYFUNCTION("""COMPUTED_VALUE"""),"Chasis Acoplado Balancin L2000 Lanza Corta")</f>
        <v>Chasis Acoplado Balancin L2000 Lanza Corta</v>
      </c>
      <c r="BH76" s="3" t="str">
        <f>IFERROR(__xludf.DUMMYFUNCTION("""COMPUTED_VALUE"""),"Chasis Acoplado Balancin L3200 Lanza Corta")</f>
        <v>Chasis Acoplado Balancin L3200 Lanza Corta</v>
      </c>
      <c r="BI76" s="3" t="str">
        <f>IFERROR(__xludf.DUMMYFUNCTION("""COMPUTED_VALUE"""),"Chasis Acoplado Balancin L3200 Lanza Recta")</f>
        <v>Chasis Acoplado Balancin L3200 Lanza Recta</v>
      </c>
      <c r="BJ76" s="3" t="str">
        <f>IFERROR(__xludf.DUMMYFUNCTION("""COMPUTED_VALUE"""),"Chasis Acoplado Balancin L3200 Bajo Lanza Recta")</f>
        <v>Chasis Acoplado Balancin L3200 Bajo Lanza Recta</v>
      </c>
      <c r="BK76" s="3" t="str">
        <f>IFERROR(__xludf.DUMMYFUNCTION("""COMPUTED_VALUE"""),"Tanque Plastico Horizontal 750 Lts")</f>
        <v>Tanque Plastico Horizontal 750 Lts</v>
      </c>
      <c r="BL76" s="3" t="str">
        <f>IFERROR(__xludf.DUMMYFUNCTION("""COMPUTED_VALUE"""),"Medio Tanque Plastico Superior 700 Lts")</f>
        <v>Medio Tanque Plastico Superior 700 Lts</v>
      </c>
      <c r="BM76" s="3" t="str">
        <f>IFERROR(__xludf.DUMMYFUNCTION("""COMPUTED_VALUE"""),"Paquete de Elasticos 50 mm x 8 mm x 10 Hojas L850")</f>
        <v>Paquete de Elasticos 50 mm x 8 mm x 10 Hojas L850</v>
      </c>
      <c r="BN76" s="3" t="str">
        <f>IFERROR(__xludf.DUMMYFUNCTION("""COMPUTED_VALUE"""),"Paquete de Elasticos 63 mm x 8 mm x 10 Hojas L950")</f>
        <v>Paquete de Elasticos 63 mm x 8 mm x 10 Hojas L950</v>
      </c>
      <c r="BO76" s="3" t="str">
        <f>IFERROR(__xludf.DUMMYFUNCTION("""COMPUTED_VALUE"""),"Paquete de Elasticos 50 mm x 7 mm x 9 Hojas L850")</f>
        <v>Paquete de Elasticos 50 mm x 7 mm x 9 Hojas L850</v>
      </c>
      <c r="BP76" s="3" t="str">
        <f>IFERROR(__xludf.DUMMYFUNCTION("""COMPUTED_VALUE"""),"Paquete de Elasticos 63 mm x 8 mm x 8 Hojas L850")</f>
        <v>Paquete de Elasticos 63 mm x 8 mm x 8 Hojas L850</v>
      </c>
      <c r="BQ76" s="3" t="str">
        <f>IFERROR(__xludf.DUMMYFUNCTION("""COMPUTED_VALUE"""),"Paquete de Elasticos 63 mm x 10 mm x 10 Hojas L950")</f>
        <v>Paquete de Elasticos 63 mm x 10 mm x 10 Hojas L950</v>
      </c>
      <c r="BR76" s="3" t="str">
        <f>IFERROR(__xludf.DUMMYFUNCTION("""COMPUTED_VALUE"""),"Paquete de Elasticos 63 mm x 10 mm x 13 Hojas L975")</f>
        <v>Paquete de Elasticos 63 mm x 10 mm x 13 Hojas L975</v>
      </c>
      <c r="BS76" s="3" t="str">
        <f>IFERROR(__xludf.DUMMYFUNCTION("""COMPUTED_VALUE"""),"Paquete de Elasticos 50 mm x 7 mm x 9 Hojas L650")</f>
        <v>Paquete de Elasticos 50 mm x 7 mm x 9 Hojas L650</v>
      </c>
      <c r="BT76" s="3" t="str">
        <f>IFERROR(__xludf.DUMMYFUNCTION("""COMPUTED_VALUE"""),"Eje Acoplado 2"" x 1600 (06/08) Agrícola Centro 92")</f>
        <v>Eje Acoplado 2" x 1600 (06/08) Agrícola Centro 92</v>
      </c>
      <c r="BU76" s="3" t="str">
        <f>IFERROR(__xludf.DUMMYFUNCTION("""COMPUTED_VALUE"""),"Eje Acoplado 2 1/2"" x 1600 (07/09) Agrícola Centro 92")</f>
        <v>Eje Acoplado 2 1/2" x 1600 (07/09) Agrícola Centro 92</v>
      </c>
      <c r="BV76" s="3" t="str">
        <f>IFERROR(__xludf.DUMMYFUNCTION("""COMPUTED_VALUE"""),"Eje Acoplado 2 1/2"" x 1600 (09/11) Agrícola Centro 150")</f>
        <v>Eje Acoplado 2 1/2" x 1600 (09/11) Agrícola Centro 150</v>
      </c>
      <c r="BW76" s="3" t="str">
        <f>IFERROR(__xludf.DUMMYFUNCTION("""COMPUTED_VALUE"""),"Eje Acoplado 3"" x 1600 (10/13) Agrícola Centro 150")</f>
        <v>Eje Acoplado 3" x 1600 (10/13) Agrícola Centro 150</v>
      </c>
      <c r="BX76" s="3" t="str">
        <f>IFERROR(__xludf.DUMMYFUNCTION("""COMPUTED_VALUE"""),"Eje Acoplado 2 1/2"" x 2140 (07/09) Agrícola Centro 92")</f>
        <v>Eje Acoplado 2 1/2" x 2140 (07/09) Agrícola Centro 92</v>
      </c>
      <c r="BY76" s="3" t="str">
        <f>IFERROR(__xludf.DUMMYFUNCTION("""COMPUTED_VALUE"""),"Eje Acoplado 2"" x 1400 (06/08) Agrícola Centro 92")</f>
        <v>Eje Acoplado 2" x 1400 (06/08) Agrícola Centro 92</v>
      </c>
      <c r="BZ76" s="3" t="str">
        <f>IFERROR(__xludf.DUMMYFUNCTION("""COMPUTED_VALUE"""),"Eje Acoplado 2 1/2"" x 1500 (07/09) Agrícola Centro 92")</f>
        <v>Eje Acoplado 2 1/2" x 1500 (07/09) Agrícola Centro 92</v>
      </c>
      <c r="CA76" s="3" t="str">
        <f>IFERROR(__xludf.DUMMYFUNCTION("""COMPUTED_VALUE"""),"Eje Acoplado 2 1/2"" x 2000 (07/09) Agrícola Centro 92")</f>
        <v>Eje Acoplado 2 1/2" x 2000 (07/09) Agrícola Centro 92</v>
      </c>
      <c r="CB76" s="3" t="str">
        <f>IFERROR(__xludf.DUMMYFUNCTION("""COMPUTED_VALUE"""),"Eje Acoplado 2 1/2"" x 2100 (09/11) Agrícola Centro 150")</f>
        <v>Eje Acoplado 2 1/2" x 2100 (09/11) Agrícola Centro 150</v>
      </c>
      <c r="CC76" s="3" t="str">
        <f>IFERROR(__xludf.DUMMYFUNCTION("""COMPUTED_VALUE"""),"Llanta 16"" Simple Agrícola Centro 92")</f>
        <v>Llanta 16" Simple Agrícola Centro 92</v>
      </c>
      <c r="CD76" s="3" t="str">
        <f>IFERROR(__xludf.DUMMYFUNCTION("""COMPUTED_VALUE"""),"Llanta 16"" Dual Agrícola Centro 92")</f>
        <v>Llanta 16" Dual Agrícola Centro 92</v>
      </c>
      <c r="CE76" s="3" t="str">
        <f>IFERROR(__xludf.DUMMYFUNCTION("""COMPUTED_VALUE"""),"Llanta 17"" Simple Agrícola Centro 92")</f>
        <v>Llanta 17" Simple Agrícola Centro 92</v>
      </c>
      <c r="CF76" s="3" t="str">
        <f>IFERROR(__xludf.DUMMYFUNCTION("""COMPUTED_VALUE"""),"Llanta 17"" Dual Agrícola Centro 92")</f>
        <v>Llanta 17" Dual Agrícola Centro 92</v>
      </c>
      <c r="CG76" s="3" t="str">
        <f>IFERROR(__xludf.DUMMYFUNCTION("""COMPUTED_VALUE"""),"Llanta 16"" Dual Agrícola Centro 152")</f>
        <v>Llanta 16" Dual Agrícola Centro 152</v>
      </c>
      <c r="CH76" s="3" t="str">
        <f>IFERROR(__xludf.DUMMYFUNCTION("""COMPUTED_VALUE"""),"Llanta 17"" Dual Agrícola Centro 152")</f>
        <v>Llanta 17" Dual Agrícola Centro 152</v>
      </c>
      <c r="CI76" s="3" t="str">
        <f>IFERROR(__xludf.DUMMYFUNCTION("""COMPUTED_VALUE"""),"Eje Acoplado 2"" x 1600 (05/07) Agrícola Centro 92")</f>
        <v>Eje Acoplado 2" x 1600 (05/07) Agrícola Centro 92</v>
      </c>
      <c r="CJ76" s="3" t="str">
        <f>IFERROR(__xludf.DUMMYFUNCTION("""COMPUTED_VALUE"""),"Paquete de Elásticos 50 mm x 8 mm x 12 Hojas")</f>
        <v>Paquete de Elásticos 50 mm x 8 mm x 12 Hojas</v>
      </c>
      <c r="CK76" s="3" t="str">
        <f>IFERROR(__xludf.DUMMYFUNCTION("""COMPUTED_VALUE"""),"Plataforma Playo 4.00 x 1.90 x 0.45 Lateral Simple Baranda Fija")</f>
        <v>Plataforma Playo 4.00 x 1.90 x 0.45 Lateral Simple Baranda Fija</v>
      </c>
      <c r="CL76" s="3" t="str">
        <f>IFERROR(__xludf.DUMMYFUNCTION("""COMPUTED_VALUE"""),"Plataforma Playo 4.00 x 1.90 x 0.45 Lateral Simple Baranda Ventilada")</f>
        <v>Plataforma Playo 4.00 x 1.90 x 0.45 Lateral Simple Baranda Ventilada</v>
      </c>
      <c r="CM76" s="3" t="str">
        <f>IFERROR(__xludf.DUMMYFUNCTION("""COMPUTED_VALUE"""),"Plataforma Playo 4.00 x 1.90 x 0.45 Lateral Doble Baranda Ventilada")</f>
        <v>Plataforma Playo 4.00 x 1.90 x 0.45 Lateral Doble Baranda Ventilada</v>
      </c>
      <c r="CN76" s="3" t="str">
        <f>IFERROR(__xludf.DUMMYFUNCTION("""COMPUTED_VALUE"""),"Plataforma Playo 4.00 x 1.90 x 0.45 Lateral Doble Baranda Fija")</f>
        <v>Plataforma Playo 4.00 x 1.90 x 0.45 Lateral Doble Baranda Fija</v>
      </c>
      <c r="CO76" s="3" t="str">
        <f>IFERROR(__xludf.DUMMYFUNCTION("""COMPUTED_VALUE"""),"Plataforma Playo 4.00 x 1.90 x 0.72 Lateral Simple Baranda Fija")</f>
        <v>Plataforma Playo 4.00 x 1.90 x 0.72 Lateral Simple Baranda Fija</v>
      </c>
      <c r="CP76" s="3" t="str">
        <f>IFERROR(__xludf.DUMMYFUNCTION("""COMPUTED_VALUE"""),"Plataforma Playo 4.00 x 1.90 x 0.72 Lateral Doble Baranda Fija")</f>
        <v>Plataforma Playo 4.00 x 1.90 x 0.72 Lateral Doble Baranda Fija</v>
      </c>
      <c r="CQ76" s="3" t="str">
        <f>IFERROR(__xludf.DUMMYFUNCTION("""COMPUTED_VALUE"""),"Plataforma Playo 5.00 x 2.20 x 0.60 Lateral Doble Trasera Rebatible")</f>
        <v>Plataforma Playo 5.00 x 2.20 x 0.60 Lateral Doble Trasera Rebatible</v>
      </c>
      <c r="CR76" s="3" t="str">
        <f>IFERROR(__xludf.DUMMYFUNCTION("""COMPUTED_VALUE"""),"Plataforma Playo 5.00 x 2.20 x 0.60 Lateral Doble Baranda Fija C/Toldo")</f>
        <v>Plataforma Playo 5.00 x 2.20 x 0.60 Lateral Doble Baranda Fija C/Toldo</v>
      </c>
      <c r="CS76" s="3" t="str">
        <f>IFERROR(__xludf.DUMMYFUNCTION("""COMPUTED_VALUE"""),"Plataforma Playo 3.00 x 1.90 x 0.45 Lateral Simple Baranda Fija")</f>
        <v>Plataforma Playo 3.00 x 1.90 x 0.45 Lateral Simple Baranda Fija</v>
      </c>
      <c r="CT76" s="3" t="str">
        <f>IFERROR(__xludf.DUMMYFUNCTION("""COMPUTED_VALUE"""),"Plataforma Playo 3.00 x 1.90 x 0.45 Lateral Simple Baranda Ventilada")</f>
        <v>Plataforma Playo 3.00 x 1.90 x 0.45 Lateral Simple Baranda Ventilada</v>
      </c>
      <c r="CU76" s="3" t="str">
        <f>IFERROR(__xludf.DUMMYFUNCTION("""COMPUTED_VALUE"""),"Plataforma Playo 2.00 x 1.90 x 0.45 Lateral Simple Baranda Fija")</f>
        <v>Plataforma Playo 2.00 x 1.90 x 0.45 Lateral Simple Baranda Fija</v>
      </c>
      <c r="CV76" s="3" t="str">
        <f>IFERROR(__xludf.DUMMYFUNCTION("""COMPUTED_VALUE"""),"Plataforma Playo 5.00 x 1.90 x 0.60 Lateral Doble Baranda Fija")</f>
        <v>Plataforma Playo 5.00 x 1.90 x 0.60 Lateral Doble Baranda Fija</v>
      </c>
      <c r="CW76" s="3" t="str">
        <f>IFERROR(__xludf.DUMMYFUNCTION("""COMPUTED_VALUE"""),"Plataforma Playo 6.40 x 2.70 x 0.72 Lateral Doble Baranda Fija")</f>
        <v>Plataforma Playo 6.40 x 2.70 x 0.72 Lateral Doble Baranda Fija</v>
      </c>
      <c r="CX76" s="3" t="str">
        <f>IFERROR(__xludf.DUMMYFUNCTION("""COMPUTED_VALUE"""),"Chasis Acoplado Balancin L4000 Lanza Recta")</f>
        <v>Chasis Acoplado Balancin L4000 Lanza Recta</v>
      </c>
      <c r="CY76" s="3" t="str">
        <f>IFERROR(__xludf.DUMMYFUNCTION("""COMPUTED_VALUE"""),"Llanta simple Agrícola 750x20 centro 152")</f>
        <v>Llanta simple Agrícola 750x20 centro 152</v>
      </c>
      <c r="CZ76" s="3" t="str">
        <f>IFERROR(__xludf.DUMMYFUNCTION("""COMPUTED_VALUE"""),"Cajón de Herramientas Mediano adelante")</f>
        <v>Cajón de Herramientas Mediano adelante</v>
      </c>
      <c r="DA76" s="3" t="str">
        <f>IFERROR(__xludf.DUMMYFUNCTION("""COMPUTED_VALUE"""),"Llanta 15"" Simple Agrícola Centro 92")</f>
        <v>Llanta 15" Simple Agrícola Centro 92</v>
      </c>
    </row>
    <row r="77" hidden="1">
      <c r="A77" s="38">
        <f t="shared" si="1"/>
        <v>76</v>
      </c>
      <c r="B77" s="38">
        <f>IF(F77="","",SUMIF(Prearmados!E:E,F77,Prearmados!A:A))</f>
        <v>12</v>
      </c>
      <c r="C77" s="38">
        <f>IF(F77="","",SUMIF(Productos!E:E,G77,Productos!A:A))</f>
        <v>93</v>
      </c>
      <c r="D77" s="83" t="str">
        <f t="array" ref="D77">IF(OR(F77="",F77="Seleccionar.."),"",XLOOKUP(F77,Prearmados!E:E,Prearmados!F:F,"",0,1))</f>
        <v>Acoplados Rurales</v>
      </c>
      <c r="E77" s="83">
        <f>IF(H77="","",SUMIF(Precio_Productos!K:K,C77,Precio_Productos!J:J)*H77)</f>
        <v>850000</v>
      </c>
      <c r="F77" s="84" t="s">
        <v>335</v>
      </c>
      <c r="G77" s="84" t="s">
        <v>88</v>
      </c>
      <c r="H77" s="13">
        <v>1.0</v>
      </c>
      <c r="P77" s="3" t="str">
        <f>IFERROR(__xludf.DUMMYFUNCTION("IF(OR(F77="""",F77=""Seleccionar..""),"""",TRANSPOSE(FILTER(Productos!E:E,(Productos!F:F=D77)+(Productos!F:F=XLOOKUP(D77,Implementos!B:B,Implementos!C:C,""-"",0,1)))))"),"Tanque Combustible 1100 lts Bajo")</f>
        <v>Tanque Combustible 1100 lts Bajo</v>
      </c>
      <c r="Q77" s="3" t="str">
        <f>IFERROR(__xludf.DUMMYFUNCTION("""COMPUTED_VALUE"""),"Tanque Combustible 1500 lts Standard")</f>
        <v>Tanque Combustible 1500 lts Standard</v>
      </c>
      <c r="R77" s="3" t="str">
        <f>IFERROR(__xludf.DUMMYFUNCTION("""COMPUTED_VALUE"""),"Tanque Combustible 1800 lts Standard")</f>
        <v>Tanque Combustible 1800 lts Standard</v>
      </c>
      <c r="S77" s="3" t="str">
        <f>IFERROR(__xludf.DUMMYFUNCTION("""COMPUTED_VALUE"""),"Tanque Combustible 2000 lts Bajo")</f>
        <v>Tanque Combustible 2000 lts Bajo</v>
      </c>
      <c r="T77" s="3" t="str">
        <f>IFERROR(__xludf.DUMMYFUNCTION("""COMPUTED_VALUE"""),"Tanque Combustible 2000 lts Standard")</f>
        <v>Tanque Combustible 2000 lts Standard</v>
      </c>
      <c r="U77" s="3" t="str">
        <f>IFERROR(__xludf.DUMMYFUNCTION("""COMPUTED_VALUE"""),"Tanque Combustible 3000 lts Standard")</f>
        <v>Tanque Combustible 3000 lts Standard</v>
      </c>
      <c r="V77" s="3" t="str">
        <f>IFERROR(__xludf.DUMMYFUNCTION("""COMPUTED_VALUE"""),"Tanque Combustible 3000 lts Alto")</f>
        <v>Tanque Combustible 3000 lts Alto</v>
      </c>
      <c r="W77" s="3" t="str">
        <f>IFERROR(__xludf.DUMMYFUNCTION("""COMPUTED_VALUE"""),"Tanque Combustible 4000 lts Standard")</f>
        <v>Tanque Combustible 4000 lts Standard</v>
      </c>
      <c r="X77" s="3" t="str">
        <f>IFERROR(__xludf.DUMMYFUNCTION("""COMPUTED_VALUE"""),"Tanque Combustible 5000 lts Standard")</f>
        <v>Tanque Combustible 5000 lts Standard</v>
      </c>
      <c r="Y77" s="3" t="str">
        <f>IFERROR(__xludf.DUMMYFUNCTION("""COMPUTED_VALUE"""),"Tanque Combustible 5000 lts Alto")</f>
        <v>Tanque Combustible 5000 lts Alto</v>
      </c>
      <c r="Z77" s="3" t="str">
        <f>IFERROR(__xludf.DUMMYFUNCTION("""COMPUTED_VALUE"""),"Tanque Combustible 2000 lts Alto")</f>
        <v>Tanque Combustible 2000 lts Alto</v>
      </c>
      <c r="AA77" s="3" t="str">
        <f>IFERROR(__xludf.DUMMYFUNCTION("""COMPUTED_VALUE"""),"Tanque Combustible 4000 lts Alto")</f>
        <v>Tanque Combustible 4000 lts Alto</v>
      </c>
      <c r="AB77" s="3" t="str">
        <f>IFERROR(__xludf.DUMMYFUNCTION("""COMPUTED_VALUE"""),"Baulera Standard - 750")</f>
        <v>Baulera Standard - 750</v>
      </c>
      <c r="AC77" s="3" t="str">
        <f>IFERROR(__xludf.DUMMYFUNCTION("""COMPUTED_VALUE"""),"Baulera Standard - 1700 - C/Laterales")</f>
        <v>Baulera Standard - 1700 - C/Laterales</v>
      </c>
      <c r="AD77" s="3" t="str">
        <f>IFERROR(__xludf.DUMMYFUNCTION("""COMPUTED_VALUE"""),"Baulera Standard - 1000 - C/Laterales")</f>
        <v>Baulera Standard - 1000 - C/Laterales</v>
      </c>
      <c r="AE77" s="3" t="str">
        <f>IFERROR(__xludf.DUMMYFUNCTION("""COMPUTED_VALUE"""),"Baulera Standard - 750 - C/Laterales")</f>
        <v>Baulera Standard - 750 - C/Laterales</v>
      </c>
      <c r="AF77" s="3" t="str">
        <f>IFERROR(__xludf.DUMMYFUNCTION("""COMPUTED_VALUE"""),"Baulera Standard - 1300 - C/Laterales")</f>
        <v>Baulera Standard - 1300 - C/Laterales</v>
      </c>
      <c r="AG77" s="3" t="str">
        <f>IFERROR(__xludf.DUMMYFUNCTION("""COMPUTED_VALUE"""),"Baulera Alta - 750")</f>
        <v>Baulera Alta - 750</v>
      </c>
      <c r="AH77" s="3" t="str">
        <f>IFERROR(__xludf.DUMMYFUNCTION("""COMPUTED_VALUE"""),"Baulera Alta - 1500 - C/Laterales")</f>
        <v>Baulera Alta - 1500 - C/Laterales</v>
      </c>
      <c r="AI77" s="3" t="str">
        <f>IFERROR(__xludf.DUMMYFUNCTION("""COMPUTED_VALUE"""),"Baulera Extendida 1700 - C/Laterales")</f>
        <v>Baulera Extendida 1700 - C/Laterales</v>
      </c>
      <c r="AJ77" s="3" t="str">
        <f>IFERROR(__xludf.DUMMYFUNCTION("""COMPUTED_VALUE"""),"Taller Móvil - 1500 x 1500 x 1700")</f>
        <v>Taller Móvil - 1500 x 1500 x 1700</v>
      </c>
      <c r="AK77" s="3" t="str">
        <f>IFERROR(__xludf.DUMMYFUNCTION("""COMPUTED_VALUE"""),"Cajón Herramientas Standard Derecho")</f>
        <v>Cajón Herramientas Standard Derecho</v>
      </c>
      <c r="AL77" s="3" t="str">
        <f>IFERROR(__xludf.DUMMYFUNCTION("""COMPUTED_VALUE"""),"Cajón Herramientas Standard Izquierdo")</f>
        <v>Cajón Herramientas Standard Izquierdo</v>
      </c>
      <c r="AM77" s="3" t="str">
        <f>IFERROR(__xludf.DUMMYFUNCTION("""COMPUTED_VALUE"""),"Cajón Herramientas Corto Derecho")</f>
        <v>Cajón Herramientas Corto Derecho</v>
      </c>
      <c r="AN77" s="3" t="str">
        <f>IFERROR(__xludf.DUMMYFUNCTION("""COMPUTED_VALUE"""),"Cajón Herramientas Corto Izquierdo")</f>
        <v>Cajón Herramientas Corto Izquierdo</v>
      </c>
      <c r="AO77" s="3" t="str">
        <f>IFERROR(__xludf.DUMMYFUNCTION("""COMPUTED_VALUE"""),"Cajón Herramientas Mediano Derecho")</f>
        <v>Cajón Herramientas Mediano Derecho</v>
      </c>
      <c r="AP77" s="3" t="str">
        <f>IFERROR(__xludf.DUMMYFUNCTION("""COMPUTED_VALUE"""),"Cajón Herramientas Mediano Izquierdo")</f>
        <v>Cajón Herramientas Mediano Izquierdo</v>
      </c>
      <c r="AQ77" s="3" t="str">
        <f>IFERROR(__xludf.DUMMYFUNCTION("""COMPUTED_VALUE"""),"Chasis Acoplado 2 Ejes L3000")</f>
        <v>Chasis Acoplado 2 Ejes L3000</v>
      </c>
      <c r="AR77" s="3" t="str">
        <f>IFERROR(__xludf.DUMMYFUNCTION("""COMPUTED_VALUE"""),"Chasis Acoplado 2 Ejes L3750")</f>
        <v>Chasis Acoplado 2 Ejes L3750</v>
      </c>
      <c r="AS77" s="3" t="str">
        <f>IFERROR(__xludf.DUMMYFUNCTION("""COMPUTED_VALUE"""),"Chasis Acoplado 2 Ejes L4000")</f>
        <v>Chasis Acoplado 2 Ejes L4000</v>
      </c>
      <c r="AT77" s="3" t="str">
        <f>IFERROR(__xludf.DUMMYFUNCTION("""COMPUTED_VALUE"""),"Chasis Acoplado 2 Ejes L4000 Reforzado")</f>
        <v>Chasis Acoplado 2 Ejes L4000 Reforzado</v>
      </c>
      <c r="AU77" s="3" t="str">
        <f>IFERROR(__xludf.DUMMYFUNCTION("""COMPUTED_VALUE"""),"Chasis Acoplado 2 Ejes L4750")</f>
        <v>Chasis Acoplado 2 Ejes L4750</v>
      </c>
      <c r="AV77" s="3" t="str">
        <f>IFERROR(__xludf.DUMMYFUNCTION("""COMPUTED_VALUE"""),"Chasis Acoplado 2 Ejes L4750 Reforzado")</f>
        <v>Chasis Acoplado 2 Ejes L4750 Reforzado</v>
      </c>
      <c r="AW77" s="3" t="str">
        <f>IFERROR(__xludf.DUMMYFUNCTION("""COMPUTED_VALUE"""),"Chasis Acoplado 2 Ejes L4750 Reforzado R. Camion")</f>
        <v>Chasis Acoplado 2 Ejes L4750 Reforzado R. Camion</v>
      </c>
      <c r="AX77" s="3" t="str">
        <f>IFERROR(__xludf.DUMMYFUNCTION("""COMPUTED_VALUE"""),"Chasis Acoplado 2 Ejes L5000")</f>
        <v>Chasis Acoplado 2 Ejes L5000</v>
      </c>
      <c r="AY77" s="3" t="str">
        <f>IFERROR(__xludf.DUMMYFUNCTION("""COMPUTED_VALUE"""),"Chasis Acoplado 2 Ejes L5750")</f>
        <v>Chasis Acoplado 2 Ejes L5750</v>
      </c>
      <c r="AZ77" s="3" t="str">
        <f>IFERROR(__xludf.DUMMYFUNCTION("""COMPUTED_VALUE"""),"Chasis Acoplado 2 Ejes L6400")</f>
        <v>Chasis Acoplado 2 Ejes L6400</v>
      </c>
      <c r="BA77" s="3" t="str">
        <f>IFERROR(__xludf.DUMMYFUNCTION("""COMPUTED_VALUE"""),"Chasis Acoplado 2 Ejes L4500")</f>
        <v>Chasis Acoplado 2 Ejes L4500</v>
      </c>
      <c r="BB77" s="3" t="str">
        <f>IFERROR(__xludf.DUMMYFUNCTION("""COMPUTED_VALUE"""),"Chasis Acoplado 1 Eje L1500")</f>
        <v>Chasis Acoplado 1 Eje L1500</v>
      </c>
      <c r="BC77" s="3" t="str">
        <f>IFERROR(__xludf.DUMMYFUNCTION("""COMPUTED_VALUE"""),"Chasis Acoplado 1 Eje L1800")</f>
        <v>Chasis Acoplado 1 Eje L1800</v>
      </c>
      <c r="BD77" s="3" t="str">
        <f>IFERROR(__xludf.DUMMYFUNCTION("""COMPUTED_VALUE"""),"Chasis Acoplado 1 Eje L1400")</f>
        <v>Chasis Acoplado 1 Eje L1400</v>
      </c>
      <c r="BE77" s="3" t="str">
        <f>IFERROR(__xludf.DUMMYFUNCTION("""COMPUTED_VALUE"""),"Chasis Acoplado Balancin L3000")</f>
        <v>Chasis Acoplado Balancin L3000</v>
      </c>
      <c r="BF77" s="3" t="str">
        <f>IFERROR(__xludf.DUMMYFUNCTION("""COMPUTED_VALUE"""),"Chasis Acoplado Balancin L3000 Lanza Corta")</f>
        <v>Chasis Acoplado Balancin L3000 Lanza Corta</v>
      </c>
      <c r="BG77" s="3" t="str">
        <f>IFERROR(__xludf.DUMMYFUNCTION("""COMPUTED_VALUE"""),"Chasis Acoplado Balancin L2000 Lanza Corta")</f>
        <v>Chasis Acoplado Balancin L2000 Lanza Corta</v>
      </c>
      <c r="BH77" s="3" t="str">
        <f>IFERROR(__xludf.DUMMYFUNCTION("""COMPUTED_VALUE"""),"Chasis Acoplado Balancin L3200 Lanza Corta")</f>
        <v>Chasis Acoplado Balancin L3200 Lanza Corta</v>
      </c>
      <c r="BI77" s="3" t="str">
        <f>IFERROR(__xludf.DUMMYFUNCTION("""COMPUTED_VALUE"""),"Chasis Acoplado Balancin L3200 Lanza Recta")</f>
        <v>Chasis Acoplado Balancin L3200 Lanza Recta</v>
      </c>
      <c r="BJ77" s="3" t="str">
        <f>IFERROR(__xludf.DUMMYFUNCTION("""COMPUTED_VALUE"""),"Chasis Acoplado Balancin L3200 Bajo Lanza Recta")</f>
        <v>Chasis Acoplado Balancin L3200 Bajo Lanza Recta</v>
      </c>
      <c r="BK77" s="3" t="str">
        <f>IFERROR(__xludf.DUMMYFUNCTION("""COMPUTED_VALUE"""),"Tanque Plastico Horizontal 750 Lts")</f>
        <v>Tanque Plastico Horizontal 750 Lts</v>
      </c>
      <c r="BL77" s="3" t="str">
        <f>IFERROR(__xludf.DUMMYFUNCTION("""COMPUTED_VALUE"""),"Medio Tanque Plastico Superior 700 Lts")</f>
        <v>Medio Tanque Plastico Superior 700 Lts</v>
      </c>
      <c r="BM77" s="3" t="str">
        <f>IFERROR(__xludf.DUMMYFUNCTION("""COMPUTED_VALUE"""),"Paquete de Elasticos 50 mm x 8 mm x 10 Hojas L850")</f>
        <v>Paquete de Elasticos 50 mm x 8 mm x 10 Hojas L850</v>
      </c>
      <c r="BN77" s="3" t="str">
        <f>IFERROR(__xludf.DUMMYFUNCTION("""COMPUTED_VALUE"""),"Paquete de Elasticos 63 mm x 8 mm x 10 Hojas L950")</f>
        <v>Paquete de Elasticos 63 mm x 8 mm x 10 Hojas L950</v>
      </c>
      <c r="BO77" s="3" t="str">
        <f>IFERROR(__xludf.DUMMYFUNCTION("""COMPUTED_VALUE"""),"Paquete de Elasticos 50 mm x 7 mm x 9 Hojas L850")</f>
        <v>Paquete de Elasticos 50 mm x 7 mm x 9 Hojas L850</v>
      </c>
      <c r="BP77" s="3" t="str">
        <f>IFERROR(__xludf.DUMMYFUNCTION("""COMPUTED_VALUE"""),"Paquete de Elasticos 63 mm x 8 mm x 8 Hojas L850")</f>
        <v>Paquete de Elasticos 63 mm x 8 mm x 8 Hojas L850</v>
      </c>
      <c r="BQ77" s="3" t="str">
        <f>IFERROR(__xludf.DUMMYFUNCTION("""COMPUTED_VALUE"""),"Paquete de Elasticos 63 mm x 10 mm x 10 Hojas L950")</f>
        <v>Paquete de Elasticos 63 mm x 10 mm x 10 Hojas L950</v>
      </c>
      <c r="BR77" s="3" t="str">
        <f>IFERROR(__xludf.DUMMYFUNCTION("""COMPUTED_VALUE"""),"Paquete de Elasticos 63 mm x 10 mm x 13 Hojas L975")</f>
        <v>Paquete de Elasticos 63 mm x 10 mm x 13 Hojas L975</v>
      </c>
      <c r="BS77" s="3" t="str">
        <f>IFERROR(__xludf.DUMMYFUNCTION("""COMPUTED_VALUE"""),"Paquete de Elasticos 50 mm x 7 mm x 9 Hojas L650")</f>
        <v>Paquete de Elasticos 50 mm x 7 mm x 9 Hojas L650</v>
      </c>
      <c r="BT77" s="3" t="str">
        <f>IFERROR(__xludf.DUMMYFUNCTION("""COMPUTED_VALUE"""),"Eje Acoplado 2"" x 1600 (06/08) Agrícola Centro 92")</f>
        <v>Eje Acoplado 2" x 1600 (06/08) Agrícola Centro 92</v>
      </c>
      <c r="BU77" s="3" t="str">
        <f>IFERROR(__xludf.DUMMYFUNCTION("""COMPUTED_VALUE"""),"Eje Acoplado 2 1/2"" x 1600 (07/09) Agrícola Centro 92")</f>
        <v>Eje Acoplado 2 1/2" x 1600 (07/09) Agrícola Centro 92</v>
      </c>
      <c r="BV77" s="3" t="str">
        <f>IFERROR(__xludf.DUMMYFUNCTION("""COMPUTED_VALUE"""),"Eje Acoplado 2 1/2"" x 1600 (09/11) Agrícola Centro 150")</f>
        <v>Eje Acoplado 2 1/2" x 1600 (09/11) Agrícola Centro 150</v>
      </c>
      <c r="BW77" s="3" t="str">
        <f>IFERROR(__xludf.DUMMYFUNCTION("""COMPUTED_VALUE"""),"Eje Acoplado 3"" x 1600 (10/13) Agrícola Centro 150")</f>
        <v>Eje Acoplado 3" x 1600 (10/13) Agrícola Centro 150</v>
      </c>
      <c r="BX77" s="3" t="str">
        <f>IFERROR(__xludf.DUMMYFUNCTION("""COMPUTED_VALUE"""),"Eje Acoplado 2 1/2"" x 2140 (07/09) Agrícola Centro 92")</f>
        <v>Eje Acoplado 2 1/2" x 2140 (07/09) Agrícola Centro 92</v>
      </c>
      <c r="BY77" s="3" t="str">
        <f>IFERROR(__xludf.DUMMYFUNCTION("""COMPUTED_VALUE"""),"Eje Acoplado 2"" x 1400 (06/08) Agrícola Centro 92")</f>
        <v>Eje Acoplado 2" x 1400 (06/08) Agrícola Centro 92</v>
      </c>
      <c r="BZ77" s="3" t="str">
        <f>IFERROR(__xludf.DUMMYFUNCTION("""COMPUTED_VALUE"""),"Eje Acoplado 2 1/2"" x 1500 (07/09) Agrícola Centro 92")</f>
        <v>Eje Acoplado 2 1/2" x 1500 (07/09) Agrícola Centro 92</v>
      </c>
      <c r="CA77" s="3" t="str">
        <f>IFERROR(__xludf.DUMMYFUNCTION("""COMPUTED_VALUE"""),"Eje Acoplado 2 1/2"" x 2000 (07/09) Agrícola Centro 92")</f>
        <v>Eje Acoplado 2 1/2" x 2000 (07/09) Agrícola Centro 92</v>
      </c>
      <c r="CB77" s="3" t="str">
        <f>IFERROR(__xludf.DUMMYFUNCTION("""COMPUTED_VALUE"""),"Eje Acoplado 2 1/2"" x 2100 (09/11) Agrícola Centro 150")</f>
        <v>Eje Acoplado 2 1/2" x 2100 (09/11) Agrícola Centro 150</v>
      </c>
      <c r="CC77" s="3" t="str">
        <f>IFERROR(__xludf.DUMMYFUNCTION("""COMPUTED_VALUE"""),"Llanta 16"" Simple Agrícola Centro 92")</f>
        <v>Llanta 16" Simple Agrícola Centro 92</v>
      </c>
      <c r="CD77" s="3" t="str">
        <f>IFERROR(__xludf.DUMMYFUNCTION("""COMPUTED_VALUE"""),"Llanta 16"" Dual Agrícola Centro 92")</f>
        <v>Llanta 16" Dual Agrícola Centro 92</v>
      </c>
      <c r="CE77" s="3" t="str">
        <f>IFERROR(__xludf.DUMMYFUNCTION("""COMPUTED_VALUE"""),"Llanta 17"" Simple Agrícola Centro 92")</f>
        <v>Llanta 17" Simple Agrícola Centro 92</v>
      </c>
      <c r="CF77" s="3" t="str">
        <f>IFERROR(__xludf.DUMMYFUNCTION("""COMPUTED_VALUE"""),"Llanta 17"" Dual Agrícola Centro 92")</f>
        <v>Llanta 17" Dual Agrícola Centro 92</v>
      </c>
      <c r="CG77" s="3" t="str">
        <f>IFERROR(__xludf.DUMMYFUNCTION("""COMPUTED_VALUE"""),"Llanta 16"" Dual Agrícola Centro 152")</f>
        <v>Llanta 16" Dual Agrícola Centro 152</v>
      </c>
      <c r="CH77" s="3" t="str">
        <f>IFERROR(__xludf.DUMMYFUNCTION("""COMPUTED_VALUE"""),"Llanta 17"" Dual Agrícola Centro 152")</f>
        <v>Llanta 17" Dual Agrícola Centro 152</v>
      </c>
      <c r="CI77" s="3" t="str">
        <f>IFERROR(__xludf.DUMMYFUNCTION("""COMPUTED_VALUE"""),"Eje Acoplado 2"" x 1600 (05/07) Agrícola Centro 92")</f>
        <v>Eje Acoplado 2" x 1600 (05/07) Agrícola Centro 92</v>
      </c>
      <c r="CJ77" s="3" t="str">
        <f>IFERROR(__xludf.DUMMYFUNCTION("""COMPUTED_VALUE"""),"Paquete de Elásticos 50 mm x 8 mm x 12 Hojas")</f>
        <v>Paquete de Elásticos 50 mm x 8 mm x 12 Hojas</v>
      </c>
      <c r="CK77" s="3" t="str">
        <f>IFERROR(__xludf.DUMMYFUNCTION("""COMPUTED_VALUE"""),"Plataforma Playo 4.00 x 1.90 x 0.45 Lateral Simple Baranda Fija")</f>
        <v>Plataforma Playo 4.00 x 1.90 x 0.45 Lateral Simple Baranda Fija</v>
      </c>
      <c r="CL77" s="3" t="str">
        <f>IFERROR(__xludf.DUMMYFUNCTION("""COMPUTED_VALUE"""),"Plataforma Playo 4.00 x 1.90 x 0.45 Lateral Simple Baranda Ventilada")</f>
        <v>Plataforma Playo 4.00 x 1.90 x 0.45 Lateral Simple Baranda Ventilada</v>
      </c>
      <c r="CM77" s="3" t="str">
        <f>IFERROR(__xludf.DUMMYFUNCTION("""COMPUTED_VALUE"""),"Plataforma Playo 4.00 x 1.90 x 0.45 Lateral Doble Baranda Ventilada")</f>
        <v>Plataforma Playo 4.00 x 1.90 x 0.45 Lateral Doble Baranda Ventilada</v>
      </c>
      <c r="CN77" s="3" t="str">
        <f>IFERROR(__xludf.DUMMYFUNCTION("""COMPUTED_VALUE"""),"Plataforma Playo 4.00 x 1.90 x 0.45 Lateral Doble Baranda Fija")</f>
        <v>Plataforma Playo 4.00 x 1.90 x 0.45 Lateral Doble Baranda Fija</v>
      </c>
      <c r="CO77" s="3" t="str">
        <f>IFERROR(__xludf.DUMMYFUNCTION("""COMPUTED_VALUE"""),"Plataforma Playo 4.00 x 1.90 x 0.72 Lateral Simple Baranda Fija")</f>
        <v>Plataforma Playo 4.00 x 1.90 x 0.72 Lateral Simple Baranda Fija</v>
      </c>
      <c r="CP77" s="3" t="str">
        <f>IFERROR(__xludf.DUMMYFUNCTION("""COMPUTED_VALUE"""),"Plataforma Playo 4.00 x 1.90 x 0.72 Lateral Doble Baranda Fija")</f>
        <v>Plataforma Playo 4.00 x 1.90 x 0.72 Lateral Doble Baranda Fija</v>
      </c>
      <c r="CQ77" s="3" t="str">
        <f>IFERROR(__xludf.DUMMYFUNCTION("""COMPUTED_VALUE"""),"Plataforma Playo 5.00 x 2.20 x 0.60 Lateral Doble Trasera Rebatible")</f>
        <v>Plataforma Playo 5.00 x 2.20 x 0.60 Lateral Doble Trasera Rebatible</v>
      </c>
      <c r="CR77" s="3" t="str">
        <f>IFERROR(__xludf.DUMMYFUNCTION("""COMPUTED_VALUE"""),"Plataforma Playo 5.00 x 2.20 x 0.60 Lateral Doble Baranda Fija C/Toldo")</f>
        <v>Plataforma Playo 5.00 x 2.20 x 0.60 Lateral Doble Baranda Fija C/Toldo</v>
      </c>
      <c r="CS77" s="3" t="str">
        <f>IFERROR(__xludf.DUMMYFUNCTION("""COMPUTED_VALUE"""),"Plataforma Playo 3.00 x 1.90 x 0.45 Lateral Simple Baranda Fija")</f>
        <v>Plataforma Playo 3.00 x 1.90 x 0.45 Lateral Simple Baranda Fija</v>
      </c>
      <c r="CT77" s="3" t="str">
        <f>IFERROR(__xludf.DUMMYFUNCTION("""COMPUTED_VALUE"""),"Plataforma Playo 3.00 x 1.90 x 0.45 Lateral Simple Baranda Ventilada")</f>
        <v>Plataforma Playo 3.00 x 1.90 x 0.45 Lateral Simple Baranda Ventilada</v>
      </c>
      <c r="CU77" s="3" t="str">
        <f>IFERROR(__xludf.DUMMYFUNCTION("""COMPUTED_VALUE"""),"Plataforma Playo 2.00 x 1.90 x 0.45 Lateral Simple Baranda Fija")</f>
        <v>Plataforma Playo 2.00 x 1.90 x 0.45 Lateral Simple Baranda Fija</v>
      </c>
      <c r="CV77" s="3" t="str">
        <f>IFERROR(__xludf.DUMMYFUNCTION("""COMPUTED_VALUE"""),"Plataforma Playo 5.00 x 1.90 x 0.60 Lateral Doble Baranda Fija")</f>
        <v>Plataforma Playo 5.00 x 1.90 x 0.60 Lateral Doble Baranda Fija</v>
      </c>
      <c r="CW77" s="3" t="str">
        <f>IFERROR(__xludf.DUMMYFUNCTION("""COMPUTED_VALUE"""),"Plataforma Playo 6.40 x 2.70 x 0.72 Lateral Doble Baranda Fija")</f>
        <v>Plataforma Playo 6.40 x 2.70 x 0.72 Lateral Doble Baranda Fija</v>
      </c>
      <c r="CX77" s="3" t="str">
        <f>IFERROR(__xludf.DUMMYFUNCTION("""COMPUTED_VALUE"""),"Chasis Acoplado Balancin L4000 Lanza Recta")</f>
        <v>Chasis Acoplado Balancin L4000 Lanza Recta</v>
      </c>
      <c r="CY77" s="3" t="str">
        <f>IFERROR(__xludf.DUMMYFUNCTION("""COMPUTED_VALUE"""),"Llanta simple Agrícola 750x20 centro 152")</f>
        <v>Llanta simple Agrícola 750x20 centro 152</v>
      </c>
      <c r="CZ77" s="3" t="str">
        <f>IFERROR(__xludf.DUMMYFUNCTION("""COMPUTED_VALUE"""),"Cajón de Herramientas Mediano adelante")</f>
        <v>Cajón de Herramientas Mediano adelante</v>
      </c>
      <c r="DA77" s="3" t="str">
        <f>IFERROR(__xludf.DUMMYFUNCTION("""COMPUTED_VALUE"""),"Llanta 15"" Simple Agrícola Centro 92")</f>
        <v>Llanta 15" Simple Agrícola Centro 92</v>
      </c>
    </row>
    <row r="78" hidden="1">
      <c r="A78" s="38">
        <f t="shared" si="1"/>
        <v>77</v>
      </c>
      <c r="B78" s="38">
        <f>IF(F78="","",SUMIF(Prearmados!E:E,F78,Prearmados!A:A))</f>
        <v>12</v>
      </c>
      <c r="C78" s="38">
        <f>IF(F78="","",SUMIF(Productos!E:E,G78,Productos!A:A))</f>
        <v>66</v>
      </c>
      <c r="D78" s="83" t="str">
        <f t="array" ref="D78">IF(OR(F78="",F78="Seleccionar.."),"",XLOOKUP(F78,Prearmados!E:E,Prearmados!F:F,"",0,1))</f>
        <v>Acoplados Rurales</v>
      </c>
      <c r="E78" s="83">
        <f>IF(H78="","",SUMIF(Precio_Productos!K:K,C78,Precio_Productos!J:J)*H78)</f>
        <v>292579</v>
      </c>
      <c r="F78" s="84" t="s">
        <v>335</v>
      </c>
      <c r="G78" s="84" t="s">
        <v>79</v>
      </c>
      <c r="H78" s="13">
        <v>1.0</v>
      </c>
      <c r="P78" s="3" t="str">
        <f>IFERROR(__xludf.DUMMYFUNCTION("IF(OR(F78="""",F78=""Seleccionar..""),"""",TRANSPOSE(FILTER(Productos!E:E,(Productos!F:F=D78)+(Productos!F:F=XLOOKUP(D78,Implementos!B:B,Implementos!C:C,""-"",0,1)))))"),"Tanque Combustible 1100 lts Bajo")</f>
        <v>Tanque Combustible 1100 lts Bajo</v>
      </c>
      <c r="Q78" s="3" t="str">
        <f>IFERROR(__xludf.DUMMYFUNCTION("""COMPUTED_VALUE"""),"Tanque Combustible 1500 lts Standard")</f>
        <v>Tanque Combustible 1500 lts Standard</v>
      </c>
      <c r="R78" s="3" t="str">
        <f>IFERROR(__xludf.DUMMYFUNCTION("""COMPUTED_VALUE"""),"Tanque Combustible 1800 lts Standard")</f>
        <v>Tanque Combustible 1800 lts Standard</v>
      </c>
      <c r="S78" s="3" t="str">
        <f>IFERROR(__xludf.DUMMYFUNCTION("""COMPUTED_VALUE"""),"Tanque Combustible 2000 lts Bajo")</f>
        <v>Tanque Combustible 2000 lts Bajo</v>
      </c>
      <c r="T78" s="3" t="str">
        <f>IFERROR(__xludf.DUMMYFUNCTION("""COMPUTED_VALUE"""),"Tanque Combustible 2000 lts Standard")</f>
        <v>Tanque Combustible 2000 lts Standard</v>
      </c>
      <c r="U78" s="3" t="str">
        <f>IFERROR(__xludf.DUMMYFUNCTION("""COMPUTED_VALUE"""),"Tanque Combustible 3000 lts Standard")</f>
        <v>Tanque Combustible 3000 lts Standard</v>
      </c>
      <c r="V78" s="3" t="str">
        <f>IFERROR(__xludf.DUMMYFUNCTION("""COMPUTED_VALUE"""),"Tanque Combustible 3000 lts Alto")</f>
        <v>Tanque Combustible 3000 lts Alto</v>
      </c>
      <c r="W78" s="3" t="str">
        <f>IFERROR(__xludf.DUMMYFUNCTION("""COMPUTED_VALUE"""),"Tanque Combustible 4000 lts Standard")</f>
        <v>Tanque Combustible 4000 lts Standard</v>
      </c>
      <c r="X78" s="3" t="str">
        <f>IFERROR(__xludf.DUMMYFUNCTION("""COMPUTED_VALUE"""),"Tanque Combustible 5000 lts Standard")</f>
        <v>Tanque Combustible 5000 lts Standard</v>
      </c>
      <c r="Y78" s="3" t="str">
        <f>IFERROR(__xludf.DUMMYFUNCTION("""COMPUTED_VALUE"""),"Tanque Combustible 5000 lts Alto")</f>
        <v>Tanque Combustible 5000 lts Alto</v>
      </c>
      <c r="Z78" s="3" t="str">
        <f>IFERROR(__xludf.DUMMYFUNCTION("""COMPUTED_VALUE"""),"Tanque Combustible 2000 lts Alto")</f>
        <v>Tanque Combustible 2000 lts Alto</v>
      </c>
      <c r="AA78" s="3" t="str">
        <f>IFERROR(__xludf.DUMMYFUNCTION("""COMPUTED_VALUE"""),"Tanque Combustible 4000 lts Alto")</f>
        <v>Tanque Combustible 4000 lts Alto</v>
      </c>
      <c r="AB78" s="3" t="str">
        <f>IFERROR(__xludf.DUMMYFUNCTION("""COMPUTED_VALUE"""),"Baulera Standard - 750")</f>
        <v>Baulera Standard - 750</v>
      </c>
      <c r="AC78" s="3" t="str">
        <f>IFERROR(__xludf.DUMMYFUNCTION("""COMPUTED_VALUE"""),"Baulera Standard - 1700 - C/Laterales")</f>
        <v>Baulera Standard - 1700 - C/Laterales</v>
      </c>
      <c r="AD78" s="3" t="str">
        <f>IFERROR(__xludf.DUMMYFUNCTION("""COMPUTED_VALUE"""),"Baulera Standard - 1000 - C/Laterales")</f>
        <v>Baulera Standard - 1000 - C/Laterales</v>
      </c>
      <c r="AE78" s="3" t="str">
        <f>IFERROR(__xludf.DUMMYFUNCTION("""COMPUTED_VALUE"""),"Baulera Standard - 750 - C/Laterales")</f>
        <v>Baulera Standard - 750 - C/Laterales</v>
      </c>
      <c r="AF78" s="3" t="str">
        <f>IFERROR(__xludf.DUMMYFUNCTION("""COMPUTED_VALUE"""),"Baulera Standard - 1300 - C/Laterales")</f>
        <v>Baulera Standard - 1300 - C/Laterales</v>
      </c>
      <c r="AG78" s="3" t="str">
        <f>IFERROR(__xludf.DUMMYFUNCTION("""COMPUTED_VALUE"""),"Baulera Alta - 750")</f>
        <v>Baulera Alta - 750</v>
      </c>
      <c r="AH78" s="3" t="str">
        <f>IFERROR(__xludf.DUMMYFUNCTION("""COMPUTED_VALUE"""),"Baulera Alta - 1500 - C/Laterales")</f>
        <v>Baulera Alta - 1500 - C/Laterales</v>
      </c>
      <c r="AI78" s="3" t="str">
        <f>IFERROR(__xludf.DUMMYFUNCTION("""COMPUTED_VALUE"""),"Baulera Extendida 1700 - C/Laterales")</f>
        <v>Baulera Extendida 1700 - C/Laterales</v>
      </c>
      <c r="AJ78" s="3" t="str">
        <f>IFERROR(__xludf.DUMMYFUNCTION("""COMPUTED_VALUE"""),"Taller Móvil - 1500 x 1500 x 1700")</f>
        <v>Taller Móvil - 1500 x 1500 x 1700</v>
      </c>
      <c r="AK78" s="3" t="str">
        <f>IFERROR(__xludf.DUMMYFUNCTION("""COMPUTED_VALUE"""),"Cajón Herramientas Standard Derecho")</f>
        <v>Cajón Herramientas Standard Derecho</v>
      </c>
      <c r="AL78" s="3" t="str">
        <f>IFERROR(__xludf.DUMMYFUNCTION("""COMPUTED_VALUE"""),"Cajón Herramientas Standard Izquierdo")</f>
        <v>Cajón Herramientas Standard Izquierdo</v>
      </c>
      <c r="AM78" s="3" t="str">
        <f>IFERROR(__xludf.DUMMYFUNCTION("""COMPUTED_VALUE"""),"Cajón Herramientas Corto Derecho")</f>
        <v>Cajón Herramientas Corto Derecho</v>
      </c>
      <c r="AN78" s="3" t="str">
        <f>IFERROR(__xludf.DUMMYFUNCTION("""COMPUTED_VALUE"""),"Cajón Herramientas Corto Izquierdo")</f>
        <v>Cajón Herramientas Corto Izquierdo</v>
      </c>
      <c r="AO78" s="3" t="str">
        <f>IFERROR(__xludf.DUMMYFUNCTION("""COMPUTED_VALUE"""),"Cajón Herramientas Mediano Derecho")</f>
        <v>Cajón Herramientas Mediano Derecho</v>
      </c>
      <c r="AP78" s="3" t="str">
        <f>IFERROR(__xludf.DUMMYFUNCTION("""COMPUTED_VALUE"""),"Cajón Herramientas Mediano Izquierdo")</f>
        <v>Cajón Herramientas Mediano Izquierdo</v>
      </c>
      <c r="AQ78" s="3" t="str">
        <f>IFERROR(__xludf.DUMMYFUNCTION("""COMPUTED_VALUE"""),"Chasis Acoplado 2 Ejes L3000")</f>
        <v>Chasis Acoplado 2 Ejes L3000</v>
      </c>
      <c r="AR78" s="3" t="str">
        <f>IFERROR(__xludf.DUMMYFUNCTION("""COMPUTED_VALUE"""),"Chasis Acoplado 2 Ejes L3750")</f>
        <v>Chasis Acoplado 2 Ejes L3750</v>
      </c>
      <c r="AS78" s="3" t="str">
        <f>IFERROR(__xludf.DUMMYFUNCTION("""COMPUTED_VALUE"""),"Chasis Acoplado 2 Ejes L4000")</f>
        <v>Chasis Acoplado 2 Ejes L4000</v>
      </c>
      <c r="AT78" s="3" t="str">
        <f>IFERROR(__xludf.DUMMYFUNCTION("""COMPUTED_VALUE"""),"Chasis Acoplado 2 Ejes L4000 Reforzado")</f>
        <v>Chasis Acoplado 2 Ejes L4000 Reforzado</v>
      </c>
      <c r="AU78" s="3" t="str">
        <f>IFERROR(__xludf.DUMMYFUNCTION("""COMPUTED_VALUE"""),"Chasis Acoplado 2 Ejes L4750")</f>
        <v>Chasis Acoplado 2 Ejes L4750</v>
      </c>
      <c r="AV78" s="3" t="str">
        <f>IFERROR(__xludf.DUMMYFUNCTION("""COMPUTED_VALUE"""),"Chasis Acoplado 2 Ejes L4750 Reforzado")</f>
        <v>Chasis Acoplado 2 Ejes L4750 Reforzado</v>
      </c>
      <c r="AW78" s="3" t="str">
        <f>IFERROR(__xludf.DUMMYFUNCTION("""COMPUTED_VALUE"""),"Chasis Acoplado 2 Ejes L4750 Reforzado R. Camion")</f>
        <v>Chasis Acoplado 2 Ejes L4750 Reforzado R. Camion</v>
      </c>
      <c r="AX78" s="3" t="str">
        <f>IFERROR(__xludf.DUMMYFUNCTION("""COMPUTED_VALUE"""),"Chasis Acoplado 2 Ejes L5000")</f>
        <v>Chasis Acoplado 2 Ejes L5000</v>
      </c>
      <c r="AY78" s="3" t="str">
        <f>IFERROR(__xludf.DUMMYFUNCTION("""COMPUTED_VALUE"""),"Chasis Acoplado 2 Ejes L5750")</f>
        <v>Chasis Acoplado 2 Ejes L5750</v>
      </c>
      <c r="AZ78" s="3" t="str">
        <f>IFERROR(__xludf.DUMMYFUNCTION("""COMPUTED_VALUE"""),"Chasis Acoplado 2 Ejes L6400")</f>
        <v>Chasis Acoplado 2 Ejes L6400</v>
      </c>
      <c r="BA78" s="3" t="str">
        <f>IFERROR(__xludf.DUMMYFUNCTION("""COMPUTED_VALUE"""),"Chasis Acoplado 2 Ejes L4500")</f>
        <v>Chasis Acoplado 2 Ejes L4500</v>
      </c>
      <c r="BB78" s="3" t="str">
        <f>IFERROR(__xludf.DUMMYFUNCTION("""COMPUTED_VALUE"""),"Chasis Acoplado 1 Eje L1500")</f>
        <v>Chasis Acoplado 1 Eje L1500</v>
      </c>
      <c r="BC78" s="3" t="str">
        <f>IFERROR(__xludf.DUMMYFUNCTION("""COMPUTED_VALUE"""),"Chasis Acoplado 1 Eje L1800")</f>
        <v>Chasis Acoplado 1 Eje L1800</v>
      </c>
      <c r="BD78" s="3" t="str">
        <f>IFERROR(__xludf.DUMMYFUNCTION("""COMPUTED_VALUE"""),"Chasis Acoplado 1 Eje L1400")</f>
        <v>Chasis Acoplado 1 Eje L1400</v>
      </c>
      <c r="BE78" s="3" t="str">
        <f>IFERROR(__xludf.DUMMYFUNCTION("""COMPUTED_VALUE"""),"Chasis Acoplado Balancin L3000")</f>
        <v>Chasis Acoplado Balancin L3000</v>
      </c>
      <c r="BF78" s="3" t="str">
        <f>IFERROR(__xludf.DUMMYFUNCTION("""COMPUTED_VALUE"""),"Chasis Acoplado Balancin L3000 Lanza Corta")</f>
        <v>Chasis Acoplado Balancin L3000 Lanza Corta</v>
      </c>
      <c r="BG78" s="3" t="str">
        <f>IFERROR(__xludf.DUMMYFUNCTION("""COMPUTED_VALUE"""),"Chasis Acoplado Balancin L2000 Lanza Corta")</f>
        <v>Chasis Acoplado Balancin L2000 Lanza Corta</v>
      </c>
      <c r="BH78" s="3" t="str">
        <f>IFERROR(__xludf.DUMMYFUNCTION("""COMPUTED_VALUE"""),"Chasis Acoplado Balancin L3200 Lanza Corta")</f>
        <v>Chasis Acoplado Balancin L3200 Lanza Corta</v>
      </c>
      <c r="BI78" s="3" t="str">
        <f>IFERROR(__xludf.DUMMYFUNCTION("""COMPUTED_VALUE"""),"Chasis Acoplado Balancin L3200 Lanza Recta")</f>
        <v>Chasis Acoplado Balancin L3200 Lanza Recta</v>
      </c>
      <c r="BJ78" s="3" t="str">
        <f>IFERROR(__xludf.DUMMYFUNCTION("""COMPUTED_VALUE"""),"Chasis Acoplado Balancin L3200 Bajo Lanza Recta")</f>
        <v>Chasis Acoplado Balancin L3200 Bajo Lanza Recta</v>
      </c>
      <c r="BK78" s="3" t="str">
        <f>IFERROR(__xludf.DUMMYFUNCTION("""COMPUTED_VALUE"""),"Tanque Plastico Horizontal 750 Lts")</f>
        <v>Tanque Plastico Horizontal 750 Lts</v>
      </c>
      <c r="BL78" s="3" t="str">
        <f>IFERROR(__xludf.DUMMYFUNCTION("""COMPUTED_VALUE"""),"Medio Tanque Plastico Superior 700 Lts")</f>
        <v>Medio Tanque Plastico Superior 700 Lts</v>
      </c>
      <c r="BM78" s="3" t="str">
        <f>IFERROR(__xludf.DUMMYFUNCTION("""COMPUTED_VALUE"""),"Paquete de Elasticos 50 mm x 8 mm x 10 Hojas L850")</f>
        <v>Paquete de Elasticos 50 mm x 8 mm x 10 Hojas L850</v>
      </c>
      <c r="BN78" s="3" t="str">
        <f>IFERROR(__xludf.DUMMYFUNCTION("""COMPUTED_VALUE"""),"Paquete de Elasticos 63 mm x 8 mm x 10 Hojas L950")</f>
        <v>Paquete de Elasticos 63 mm x 8 mm x 10 Hojas L950</v>
      </c>
      <c r="BO78" s="3" t="str">
        <f>IFERROR(__xludf.DUMMYFUNCTION("""COMPUTED_VALUE"""),"Paquete de Elasticos 50 mm x 7 mm x 9 Hojas L850")</f>
        <v>Paquete de Elasticos 50 mm x 7 mm x 9 Hojas L850</v>
      </c>
      <c r="BP78" s="3" t="str">
        <f>IFERROR(__xludf.DUMMYFUNCTION("""COMPUTED_VALUE"""),"Paquete de Elasticos 63 mm x 8 mm x 8 Hojas L850")</f>
        <v>Paquete de Elasticos 63 mm x 8 mm x 8 Hojas L850</v>
      </c>
      <c r="BQ78" s="3" t="str">
        <f>IFERROR(__xludf.DUMMYFUNCTION("""COMPUTED_VALUE"""),"Paquete de Elasticos 63 mm x 10 mm x 10 Hojas L950")</f>
        <v>Paquete de Elasticos 63 mm x 10 mm x 10 Hojas L950</v>
      </c>
      <c r="BR78" s="3" t="str">
        <f>IFERROR(__xludf.DUMMYFUNCTION("""COMPUTED_VALUE"""),"Paquete de Elasticos 63 mm x 10 mm x 13 Hojas L975")</f>
        <v>Paquete de Elasticos 63 mm x 10 mm x 13 Hojas L975</v>
      </c>
      <c r="BS78" s="3" t="str">
        <f>IFERROR(__xludf.DUMMYFUNCTION("""COMPUTED_VALUE"""),"Paquete de Elasticos 50 mm x 7 mm x 9 Hojas L650")</f>
        <v>Paquete de Elasticos 50 mm x 7 mm x 9 Hojas L650</v>
      </c>
      <c r="BT78" s="3" t="str">
        <f>IFERROR(__xludf.DUMMYFUNCTION("""COMPUTED_VALUE"""),"Eje Acoplado 2"" x 1600 (06/08) Agrícola Centro 92")</f>
        <v>Eje Acoplado 2" x 1600 (06/08) Agrícola Centro 92</v>
      </c>
      <c r="BU78" s="3" t="str">
        <f>IFERROR(__xludf.DUMMYFUNCTION("""COMPUTED_VALUE"""),"Eje Acoplado 2 1/2"" x 1600 (07/09) Agrícola Centro 92")</f>
        <v>Eje Acoplado 2 1/2" x 1600 (07/09) Agrícola Centro 92</v>
      </c>
      <c r="BV78" s="3" t="str">
        <f>IFERROR(__xludf.DUMMYFUNCTION("""COMPUTED_VALUE"""),"Eje Acoplado 2 1/2"" x 1600 (09/11) Agrícola Centro 150")</f>
        <v>Eje Acoplado 2 1/2" x 1600 (09/11) Agrícola Centro 150</v>
      </c>
      <c r="BW78" s="3" t="str">
        <f>IFERROR(__xludf.DUMMYFUNCTION("""COMPUTED_VALUE"""),"Eje Acoplado 3"" x 1600 (10/13) Agrícola Centro 150")</f>
        <v>Eje Acoplado 3" x 1600 (10/13) Agrícola Centro 150</v>
      </c>
      <c r="BX78" s="3" t="str">
        <f>IFERROR(__xludf.DUMMYFUNCTION("""COMPUTED_VALUE"""),"Eje Acoplado 2 1/2"" x 2140 (07/09) Agrícola Centro 92")</f>
        <v>Eje Acoplado 2 1/2" x 2140 (07/09) Agrícola Centro 92</v>
      </c>
      <c r="BY78" s="3" t="str">
        <f>IFERROR(__xludf.DUMMYFUNCTION("""COMPUTED_VALUE"""),"Eje Acoplado 2"" x 1400 (06/08) Agrícola Centro 92")</f>
        <v>Eje Acoplado 2" x 1400 (06/08) Agrícola Centro 92</v>
      </c>
      <c r="BZ78" s="3" t="str">
        <f>IFERROR(__xludf.DUMMYFUNCTION("""COMPUTED_VALUE"""),"Eje Acoplado 2 1/2"" x 1500 (07/09) Agrícola Centro 92")</f>
        <v>Eje Acoplado 2 1/2" x 1500 (07/09) Agrícola Centro 92</v>
      </c>
      <c r="CA78" s="3" t="str">
        <f>IFERROR(__xludf.DUMMYFUNCTION("""COMPUTED_VALUE"""),"Eje Acoplado 2 1/2"" x 2000 (07/09) Agrícola Centro 92")</f>
        <v>Eje Acoplado 2 1/2" x 2000 (07/09) Agrícola Centro 92</v>
      </c>
      <c r="CB78" s="3" t="str">
        <f>IFERROR(__xludf.DUMMYFUNCTION("""COMPUTED_VALUE"""),"Eje Acoplado 2 1/2"" x 2100 (09/11) Agrícola Centro 150")</f>
        <v>Eje Acoplado 2 1/2" x 2100 (09/11) Agrícola Centro 150</v>
      </c>
      <c r="CC78" s="3" t="str">
        <f>IFERROR(__xludf.DUMMYFUNCTION("""COMPUTED_VALUE"""),"Llanta 16"" Simple Agrícola Centro 92")</f>
        <v>Llanta 16" Simple Agrícola Centro 92</v>
      </c>
      <c r="CD78" s="3" t="str">
        <f>IFERROR(__xludf.DUMMYFUNCTION("""COMPUTED_VALUE"""),"Llanta 16"" Dual Agrícola Centro 92")</f>
        <v>Llanta 16" Dual Agrícola Centro 92</v>
      </c>
      <c r="CE78" s="3" t="str">
        <f>IFERROR(__xludf.DUMMYFUNCTION("""COMPUTED_VALUE"""),"Llanta 17"" Simple Agrícola Centro 92")</f>
        <v>Llanta 17" Simple Agrícola Centro 92</v>
      </c>
      <c r="CF78" s="3" t="str">
        <f>IFERROR(__xludf.DUMMYFUNCTION("""COMPUTED_VALUE"""),"Llanta 17"" Dual Agrícola Centro 92")</f>
        <v>Llanta 17" Dual Agrícola Centro 92</v>
      </c>
      <c r="CG78" s="3" t="str">
        <f>IFERROR(__xludf.DUMMYFUNCTION("""COMPUTED_VALUE"""),"Llanta 16"" Dual Agrícola Centro 152")</f>
        <v>Llanta 16" Dual Agrícola Centro 152</v>
      </c>
      <c r="CH78" s="3" t="str">
        <f>IFERROR(__xludf.DUMMYFUNCTION("""COMPUTED_VALUE"""),"Llanta 17"" Dual Agrícola Centro 152")</f>
        <v>Llanta 17" Dual Agrícola Centro 152</v>
      </c>
      <c r="CI78" s="3" t="str">
        <f>IFERROR(__xludf.DUMMYFUNCTION("""COMPUTED_VALUE"""),"Eje Acoplado 2"" x 1600 (05/07) Agrícola Centro 92")</f>
        <v>Eje Acoplado 2" x 1600 (05/07) Agrícola Centro 92</v>
      </c>
      <c r="CJ78" s="3" t="str">
        <f>IFERROR(__xludf.DUMMYFUNCTION("""COMPUTED_VALUE"""),"Paquete de Elásticos 50 mm x 8 mm x 12 Hojas")</f>
        <v>Paquete de Elásticos 50 mm x 8 mm x 12 Hojas</v>
      </c>
      <c r="CK78" s="3" t="str">
        <f>IFERROR(__xludf.DUMMYFUNCTION("""COMPUTED_VALUE"""),"Plataforma Playo 4.00 x 1.90 x 0.45 Lateral Simple Baranda Fija")</f>
        <v>Plataforma Playo 4.00 x 1.90 x 0.45 Lateral Simple Baranda Fija</v>
      </c>
      <c r="CL78" s="3" t="str">
        <f>IFERROR(__xludf.DUMMYFUNCTION("""COMPUTED_VALUE"""),"Plataforma Playo 4.00 x 1.90 x 0.45 Lateral Simple Baranda Ventilada")</f>
        <v>Plataforma Playo 4.00 x 1.90 x 0.45 Lateral Simple Baranda Ventilada</v>
      </c>
      <c r="CM78" s="3" t="str">
        <f>IFERROR(__xludf.DUMMYFUNCTION("""COMPUTED_VALUE"""),"Plataforma Playo 4.00 x 1.90 x 0.45 Lateral Doble Baranda Ventilada")</f>
        <v>Plataforma Playo 4.00 x 1.90 x 0.45 Lateral Doble Baranda Ventilada</v>
      </c>
      <c r="CN78" s="3" t="str">
        <f>IFERROR(__xludf.DUMMYFUNCTION("""COMPUTED_VALUE"""),"Plataforma Playo 4.00 x 1.90 x 0.45 Lateral Doble Baranda Fija")</f>
        <v>Plataforma Playo 4.00 x 1.90 x 0.45 Lateral Doble Baranda Fija</v>
      </c>
      <c r="CO78" s="3" t="str">
        <f>IFERROR(__xludf.DUMMYFUNCTION("""COMPUTED_VALUE"""),"Plataforma Playo 4.00 x 1.90 x 0.72 Lateral Simple Baranda Fija")</f>
        <v>Plataforma Playo 4.00 x 1.90 x 0.72 Lateral Simple Baranda Fija</v>
      </c>
      <c r="CP78" s="3" t="str">
        <f>IFERROR(__xludf.DUMMYFUNCTION("""COMPUTED_VALUE"""),"Plataforma Playo 4.00 x 1.90 x 0.72 Lateral Doble Baranda Fija")</f>
        <v>Plataforma Playo 4.00 x 1.90 x 0.72 Lateral Doble Baranda Fija</v>
      </c>
      <c r="CQ78" s="3" t="str">
        <f>IFERROR(__xludf.DUMMYFUNCTION("""COMPUTED_VALUE"""),"Plataforma Playo 5.00 x 2.20 x 0.60 Lateral Doble Trasera Rebatible")</f>
        <v>Plataforma Playo 5.00 x 2.20 x 0.60 Lateral Doble Trasera Rebatible</v>
      </c>
      <c r="CR78" s="3" t="str">
        <f>IFERROR(__xludf.DUMMYFUNCTION("""COMPUTED_VALUE"""),"Plataforma Playo 5.00 x 2.20 x 0.60 Lateral Doble Baranda Fija C/Toldo")</f>
        <v>Plataforma Playo 5.00 x 2.20 x 0.60 Lateral Doble Baranda Fija C/Toldo</v>
      </c>
      <c r="CS78" s="3" t="str">
        <f>IFERROR(__xludf.DUMMYFUNCTION("""COMPUTED_VALUE"""),"Plataforma Playo 3.00 x 1.90 x 0.45 Lateral Simple Baranda Fija")</f>
        <v>Plataforma Playo 3.00 x 1.90 x 0.45 Lateral Simple Baranda Fija</v>
      </c>
      <c r="CT78" s="3" t="str">
        <f>IFERROR(__xludf.DUMMYFUNCTION("""COMPUTED_VALUE"""),"Plataforma Playo 3.00 x 1.90 x 0.45 Lateral Simple Baranda Ventilada")</f>
        <v>Plataforma Playo 3.00 x 1.90 x 0.45 Lateral Simple Baranda Ventilada</v>
      </c>
      <c r="CU78" s="3" t="str">
        <f>IFERROR(__xludf.DUMMYFUNCTION("""COMPUTED_VALUE"""),"Plataforma Playo 2.00 x 1.90 x 0.45 Lateral Simple Baranda Fija")</f>
        <v>Plataforma Playo 2.00 x 1.90 x 0.45 Lateral Simple Baranda Fija</v>
      </c>
      <c r="CV78" s="3" t="str">
        <f>IFERROR(__xludf.DUMMYFUNCTION("""COMPUTED_VALUE"""),"Plataforma Playo 5.00 x 1.90 x 0.60 Lateral Doble Baranda Fija")</f>
        <v>Plataforma Playo 5.00 x 1.90 x 0.60 Lateral Doble Baranda Fija</v>
      </c>
      <c r="CW78" s="3" t="str">
        <f>IFERROR(__xludf.DUMMYFUNCTION("""COMPUTED_VALUE"""),"Plataforma Playo 6.40 x 2.70 x 0.72 Lateral Doble Baranda Fija")</f>
        <v>Plataforma Playo 6.40 x 2.70 x 0.72 Lateral Doble Baranda Fija</v>
      </c>
      <c r="CX78" s="3" t="str">
        <f>IFERROR(__xludf.DUMMYFUNCTION("""COMPUTED_VALUE"""),"Chasis Acoplado Balancin L4000 Lanza Recta")</f>
        <v>Chasis Acoplado Balancin L4000 Lanza Recta</v>
      </c>
      <c r="CY78" s="3" t="str">
        <f>IFERROR(__xludf.DUMMYFUNCTION("""COMPUTED_VALUE"""),"Llanta simple Agrícola 750x20 centro 152")</f>
        <v>Llanta simple Agrícola 750x20 centro 152</v>
      </c>
      <c r="CZ78" s="3" t="str">
        <f>IFERROR(__xludf.DUMMYFUNCTION("""COMPUTED_VALUE"""),"Cajón de Herramientas Mediano adelante")</f>
        <v>Cajón de Herramientas Mediano adelante</v>
      </c>
      <c r="DA78" s="3" t="str">
        <f>IFERROR(__xludf.DUMMYFUNCTION("""COMPUTED_VALUE"""),"Llanta 15"" Simple Agrícola Centro 92")</f>
        <v>Llanta 15" Simple Agrícola Centro 92</v>
      </c>
    </row>
    <row r="79" hidden="1">
      <c r="A79" s="38">
        <f t="shared" si="1"/>
        <v>78</v>
      </c>
      <c r="B79" s="38">
        <f>IF(F79="","",SUMIF(Prearmados!E:E,F79,Prearmados!A:A))</f>
        <v>12</v>
      </c>
      <c r="C79" s="38">
        <f>IF(F79="","",SUMIF(Productos!E:E,G79,Productos!A:A))</f>
        <v>67</v>
      </c>
      <c r="D79" s="83" t="str">
        <f t="array" ref="D79">IF(OR(F79="",F79="Seleccionar.."),"",XLOOKUP(F79,Prearmados!E:E,Prearmados!F:F,"",0,1))</f>
        <v>Acoplados Rurales</v>
      </c>
      <c r="E79" s="83">
        <f>IF(H79="","",SUMIF(Precio_Productos!K:K,C79,Precio_Productos!J:J)*H79)</f>
        <v>292579</v>
      </c>
      <c r="F79" s="84" t="s">
        <v>335</v>
      </c>
      <c r="G79" s="84" t="s">
        <v>81</v>
      </c>
      <c r="H79" s="13">
        <v>1.0</v>
      </c>
      <c r="P79" s="3" t="str">
        <f>IFERROR(__xludf.DUMMYFUNCTION("IF(OR(F79="""",F79=""Seleccionar..""),"""",TRANSPOSE(FILTER(Productos!E:E,(Productos!F:F=D79)+(Productos!F:F=XLOOKUP(D79,Implementos!B:B,Implementos!C:C,""-"",0,1)))))"),"Tanque Combustible 1100 lts Bajo")</f>
        <v>Tanque Combustible 1100 lts Bajo</v>
      </c>
      <c r="Q79" s="3" t="str">
        <f>IFERROR(__xludf.DUMMYFUNCTION("""COMPUTED_VALUE"""),"Tanque Combustible 1500 lts Standard")</f>
        <v>Tanque Combustible 1500 lts Standard</v>
      </c>
      <c r="R79" s="3" t="str">
        <f>IFERROR(__xludf.DUMMYFUNCTION("""COMPUTED_VALUE"""),"Tanque Combustible 1800 lts Standard")</f>
        <v>Tanque Combustible 1800 lts Standard</v>
      </c>
      <c r="S79" s="3" t="str">
        <f>IFERROR(__xludf.DUMMYFUNCTION("""COMPUTED_VALUE"""),"Tanque Combustible 2000 lts Bajo")</f>
        <v>Tanque Combustible 2000 lts Bajo</v>
      </c>
      <c r="T79" s="3" t="str">
        <f>IFERROR(__xludf.DUMMYFUNCTION("""COMPUTED_VALUE"""),"Tanque Combustible 2000 lts Standard")</f>
        <v>Tanque Combustible 2000 lts Standard</v>
      </c>
      <c r="U79" s="3" t="str">
        <f>IFERROR(__xludf.DUMMYFUNCTION("""COMPUTED_VALUE"""),"Tanque Combustible 3000 lts Standard")</f>
        <v>Tanque Combustible 3000 lts Standard</v>
      </c>
      <c r="V79" s="3" t="str">
        <f>IFERROR(__xludf.DUMMYFUNCTION("""COMPUTED_VALUE"""),"Tanque Combustible 3000 lts Alto")</f>
        <v>Tanque Combustible 3000 lts Alto</v>
      </c>
      <c r="W79" s="3" t="str">
        <f>IFERROR(__xludf.DUMMYFUNCTION("""COMPUTED_VALUE"""),"Tanque Combustible 4000 lts Standard")</f>
        <v>Tanque Combustible 4000 lts Standard</v>
      </c>
      <c r="X79" s="3" t="str">
        <f>IFERROR(__xludf.DUMMYFUNCTION("""COMPUTED_VALUE"""),"Tanque Combustible 5000 lts Standard")</f>
        <v>Tanque Combustible 5000 lts Standard</v>
      </c>
      <c r="Y79" s="3" t="str">
        <f>IFERROR(__xludf.DUMMYFUNCTION("""COMPUTED_VALUE"""),"Tanque Combustible 5000 lts Alto")</f>
        <v>Tanque Combustible 5000 lts Alto</v>
      </c>
      <c r="Z79" s="3" t="str">
        <f>IFERROR(__xludf.DUMMYFUNCTION("""COMPUTED_VALUE"""),"Tanque Combustible 2000 lts Alto")</f>
        <v>Tanque Combustible 2000 lts Alto</v>
      </c>
      <c r="AA79" s="3" t="str">
        <f>IFERROR(__xludf.DUMMYFUNCTION("""COMPUTED_VALUE"""),"Tanque Combustible 4000 lts Alto")</f>
        <v>Tanque Combustible 4000 lts Alto</v>
      </c>
      <c r="AB79" s="3" t="str">
        <f>IFERROR(__xludf.DUMMYFUNCTION("""COMPUTED_VALUE"""),"Baulera Standard - 750")</f>
        <v>Baulera Standard - 750</v>
      </c>
      <c r="AC79" s="3" t="str">
        <f>IFERROR(__xludf.DUMMYFUNCTION("""COMPUTED_VALUE"""),"Baulera Standard - 1700 - C/Laterales")</f>
        <v>Baulera Standard - 1700 - C/Laterales</v>
      </c>
      <c r="AD79" s="3" t="str">
        <f>IFERROR(__xludf.DUMMYFUNCTION("""COMPUTED_VALUE"""),"Baulera Standard - 1000 - C/Laterales")</f>
        <v>Baulera Standard - 1000 - C/Laterales</v>
      </c>
      <c r="AE79" s="3" t="str">
        <f>IFERROR(__xludf.DUMMYFUNCTION("""COMPUTED_VALUE"""),"Baulera Standard - 750 - C/Laterales")</f>
        <v>Baulera Standard - 750 - C/Laterales</v>
      </c>
      <c r="AF79" s="3" t="str">
        <f>IFERROR(__xludf.DUMMYFUNCTION("""COMPUTED_VALUE"""),"Baulera Standard - 1300 - C/Laterales")</f>
        <v>Baulera Standard - 1300 - C/Laterales</v>
      </c>
      <c r="AG79" s="3" t="str">
        <f>IFERROR(__xludf.DUMMYFUNCTION("""COMPUTED_VALUE"""),"Baulera Alta - 750")</f>
        <v>Baulera Alta - 750</v>
      </c>
      <c r="AH79" s="3" t="str">
        <f>IFERROR(__xludf.DUMMYFUNCTION("""COMPUTED_VALUE"""),"Baulera Alta - 1500 - C/Laterales")</f>
        <v>Baulera Alta - 1500 - C/Laterales</v>
      </c>
      <c r="AI79" s="3" t="str">
        <f>IFERROR(__xludf.DUMMYFUNCTION("""COMPUTED_VALUE"""),"Baulera Extendida 1700 - C/Laterales")</f>
        <v>Baulera Extendida 1700 - C/Laterales</v>
      </c>
      <c r="AJ79" s="3" t="str">
        <f>IFERROR(__xludf.DUMMYFUNCTION("""COMPUTED_VALUE"""),"Taller Móvil - 1500 x 1500 x 1700")</f>
        <v>Taller Móvil - 1500 x 1500 x 1700</v>
      </c>
      <c r="AK79" s="3" t="str">
        <f>IFERROR(__xludf.DUMMYFUNCTION("""COMPUTED_VALUE"""),"Cajón Herramientas Standard Derecho")</f>
        <v>Cajón Herramientas Standard Derecho</v>
      </c>
      <c r="AL79" s="3" t="str">
        <f>IFERROR(__xludf.DUMMYFUNCTION("""COMPUTED_VALUE"""),"Cajón Herramientas Standard Izquierdo")</f>
        <v>Cajón Herramientas Standard Izquierdo</v>
      </c>
      <c r="AM79" s="3" t="str">
        <f>IFERROR(__xludf.DUMMYFUNCTION("""COMPUTED_VALUE"""),"Cajón Herramientas Corto Derecho")</f>
        <v>Cajón Herramientas Corto Derecho</v>
      </c>
      <c r="AN79" s="3" t="str">
        <f>IFERROR(__xludf.DUMMYFUNCTION("""COMPUTED_VALUE"""),"Cajón Herramientas Corto Izquierdo")</f>
        <v>Cajón Herramientas Corto Izquierdo</v>
      </c>
      <c r="AO79" s="3" t="str">
        <f>IFERROR(__xludf.DUMMYFUNCTION("""COMPUTED_VALUE"""),"Cajón Herramientas Mediano Derecho")</f>
        <v>Cajón Herramientas Mediano Derecho</v>
      </c>
      <c r="AP79" s="3" t="str">
        <f>IFERROR(__xludf.DUMMYFUNCTION("""COMPUTED_VALUE"""),"Cajón Herramientas Mediano Izquierdo")</f>
        <v>Cajón Herramientas Mediano Izquierdo</v>
      </c>
      <c r="AQ79" s="3" t="str">
        <f>IFERROR(__xludf.DUMMYFUNCTION("""COMPUTED_VALUE"""),"Chasis Acoplado 2 Ejes L3000")</f>
        <v>Chasis Acoplado 2 Ejes L3000</v>
      </c>
      <c r="AR79" s="3" t="str">
        <f>IFERROR(__xludf.DUMMYFUNCTION("""COMPUTED_VALUE"""),"Chasis Acoplado 2 Ejes L3750")</f>
        <v>Chasis Acoplado 2 Ejes L3750</v>
      </c>
      <c r="AS79" s="3" t="str">
        <f>IFERROR(__xludf.DUMMYFUNCTION("""COMPUTED_VALUE"""),"Chasis Acoplado 2 Ejes L4000")</f>
        <v>Chasis Acoplado 2 Ejes L4000</v>
      </c>
      <c r="AT79" s="3" t="str">
        <f>IFERROR(__xludf.DUMMYFUNCTION("""COMPUTED_VALUE"""),"Chasis Acoplado 2 Ejes L4000 Reforzado")</f>
        <v>Chasis Acoplado 2 Ejes L4000 Reforzado</v>
      </c>
      <c r="AU79" s="3" t="str">
        <f>IFERROR(__xludf.DUMMYFUNCTION("""COMPUTED_VALUE"""),"Chasis Acoplado 2 Ejes L4750")</f>
        <v>Chasis Acoplado 2 Ejes L4750</v>
      </c>
      <c r="AV79" s="3" t="str">
        <f>IFERROR(__xludf.DUMMYFUNCTION("""COMPUTED_VALUE"""),"Chasis Acoplado 2 Ejes L4750 Reforzado")</f>
        <v>Chasis Acoplado 2 Ejes L4750 Reforzado</v>
      </c>
      <c r="AW79" s="3" t="str">
        <f>IFERROR(__xludf.DUMMYFUNCTION("""COMPUTED_VALUE"""),"Chasis Acoplado 2 Ejes L4750 Reforzado R. Camion")</f>
        <v>Chasis Acoplado 2 Ejes L4750 Reforzado R. Camion</v>
      </c>
      <c r="AX79" s="3" t="str">
        <f>IFERROR(__xludf.DUMMYFUNCTION("""COMPUTED_VALUE"""),"Chasis Acoplado 2 Ejes L5000")</f>
        <v>Chasis Acoplado 2 Ejes L5000</v>
      </c>
      <c r="AY79" s="3" t="str">
        <f>IFERROR(__xludf.DUMMYFUNCTION("""COMPUTED_VALUE"""),"Chasis Acoplado 2 Ejes L5750")</f>
        <v>Chasis Acoplado 2 Ejes L5750</v>
      </c>
      <c r="AZ79" s="3" t="str">
        <f>IFERROR(__xludf.DUMMYFUNCTION("""COMPUTED_VALUE"""),"Chasis Acoplado 2 Ejes L6400")</f>
        <v>Chasis Acoplado 2 Ejes L6400</v>
      </c>
      <c r="BA79" s="3" t="str">
        <f>IFERROR(__xludf.DUMMYFUNCTION("""COMPUTED_VALUE"""),"Chasis Acoplado 2 Ejes L4500")</f>
        <v>Chasis Acoplado 2 Ejes L4500</v>
      </c>
      <c r="BB79" s="3" t="str">
        <f>IFERROR(__xludf.DUMMYFUNCTION("""COMPUTED_VALUE"""),"Chasis Acoplado 1 Eje L1500")</f>
        <v>Chasis Acoplado 1 Eje L1500</v>
      </c>
      <c r="BC79" s="3" t="str">
        <f>IFERROR(__xludf.DUMMYFUNCTION("""COMPUTED_VALUE"""),"Chasis Acoplado 1 Eje L1800")</f>
        <v>Chasis Acoplado 1 Eje L1800</v>
      </c>
      <c r="BD79" s="3" t="str">
        <f>IFERROR(__xludf.DUMMYFUNCTION("""COMPUTED_VALUE"""),"Chasis Acoplado 1 Eje L1400")</f>
        <v>Chasis Acoplado 1 Eje L1400</v>
      </c>
      <c r="BE79" s="3" t="str">
        <f>IFERROR(__xludf.DUMMYFUNCTION("""COMPUTED_VALUE"""),"Chasis Acoplado Balancin L3000")</f>
        <v>Chasis Acoplado Balancin L3000</v>
      </c>
      <c r="BF79" s="3" t="str">
        <f>IFERROR(__xludf.DUMMYFUNCTION("""COMPUTED_VALUE"""),"Chasis Acoplado Balancin L3000 Lanza Corta")</f>
        <v>Chasis Acoplado Balancin L3000 Lanza Corta</v>
      </c>
      <c r="BG79" s="3" t="str">
        <f>IFERROR(__xludf.DUMMYFUNCTION("""COMPUTED_VALUE"""),"Chasis Acoplado Balancin L2000 Lanza Corta")</f>
        <v>Chasis Acoplado Balancin L2000 Lanza Corta</v>
      </c>
      <c r="BH79" s="3" t="str">
        <f>IFERROR(__xludf.DUMMYFUNCTION("""COMPUTED_VALUE"""),"Chasis Acoplado Balancin L3200 Lanza Corta")</f>
        <v>Chasis Acoplado Balancin L3200 Lanza Corta</v>
      </c>
      <c r="BI79" s="3" t="str">
        <f>IFERROR(__xludf.DUMMYFUNCTION("""COMPUTED_VALUE"""),"Chasis Acoplado Balancin L3200 Lanza Recta")</f>
        <v>Chasis Acoplado Balancin L3200 Lanza Recta</v>
      </c>
      <c r="BJ79" s="3" t="str">
        <f>IFERROR(__xludf.DUMMYFUNCTION("""COMPUTED_VALUE"""),"Chasis Acoplado Balancin L3200 Bajo Lanza Recta")</f>
        <v>Chasis Acoplado Balancin L3200 Bajo Lanza Recta</v>
      </c>
      <c r="BK79" s="3" t="str">
        <f>IFERROR(__xludf.DUMMYFUNCTION("""COMPUTED_VALUE"""),"Tanque Plastico Horizontal 750 Lts")</f>
        <v>Tanque Plastico Horizontal 750 Lts</v>
      </c>
      <c r="BL79" s="3" t="str">
        <f>IFERROR(__xludf.DUMMYFUNCTION("""COMPUTED_VALUE"""),"Medio Tanque Plastico Superior 700 Lts")</f>
        <v>Medio Tanque Plastico Superior 700 Lts</v>
      </c>
      <c r="BM79" s="3" t="str">
        <f>IFERROR(__xludf.DUMMYFUNCTION("""COMPUTED_VALUE"""),"Paquete de Elasticos 50 mm x 8 mm x 10 Hojas L850")</f>
        <v>Paquete de Elasticos 50 mm x 8 mm x 10 Hojas L850</v>
      </c>
      <c r="BN79" s="3" t="str">
        <f>IFERROR(__xludf.DUMMYFUNCTION("""COMPUTED_VALUE"""),"Paquete de Elasticos 63 mm x 8 mm x 10 Hojas L950")</f>
        <v>Paquete de Elasticos 63 mm x 8 mm x 10 Hojas L950</v>
      </c>
      <c r="BO79" s="3" t="str">
        <f>IFERROR(__xludf.DUMMYFUNCTION("""COMPUTED_VALUE"""),"Paquete de Elasticos 50 mm x 7 mm x 9 Hojas L850")</f>
        <v>Paquete de Elasticos 50 mm x 7 mm x 9 Hojas L850</v>
      </c>
      <c r="BP79" s="3" t="str">
        <f>IFERROR(__xludf.DUMMYFUNCTION("""COMPUTED_VALUE"""),"Paquete de Elasticos 63 mm x 8 mm x 8 Hojas L850")</f>
        <v>Paquete de Elasticos 63 mm x 8 mm x 8 Hojas L850</v>
      </c>
      <c r="BQ79" s="3" t="str">
        <f>IFERROR(__xludf.DUMMYFUNCTION("""COMPUTED_VALUE"""),"Paquete de Elasticos 63 mm x 10 mm x 10 Hojas L950")</f>
        <v>Paquete de Elasticos 63 mm x 10 mm x 10 Hojas L950</v>
      </c>
      <c r="BR79" s="3" t="str">
        <f>IFERROR(__xludf.DUMMYFUNCTION("""COMPUTED_VALUE"""),"Paquete de Elasticos 63 mm x 10 mm x 13 Hojas L975")</f>
        <v>Paquete de Elasticos 63 mm x 10 mm x 13 Hojas L975</v>
      </c>
      <c r="BS79" s="3" t="str">
        <f>IFERROR(__xludf.DUMMYFUNCTION("""COMPUTED_VALUE"""),"Paquete de Elasticos 50 mm x 7 mm x 9 Hojas L650")</f>
        <v>Paquete de Elasticos 50 mm x 7 mm x 9 Hojas L650</v>
      </c>
      <c r="BT79" s="3" t="str">
        <f>IFERROR(__xludf.DUMMYFUNCTION("""COMPUTED_VALUE"""),"Eje Acoplado 2"" x 1600 (06/08) Agrícola Centro 92")</f>
        <v>Eje Acoplado 2" x 1600 (06/08) Agrícola Centro 92</v>
      </c>
      <c r="BU79" s="3" t="str">
        <f>IFERROR(__xludf.DUMMYFUNCTION("""COMPUTED_VALUE"""),"Eje Acoplado 2 1/2"" x 1600 (07/09) Agrícola Centro 92")</f>
        <v>Eje Acoplado 2 1/2" x 1600 (07/09) Agrícola Centro 92</v>
      </c>
      <c r="BV79" s="3" t="str">
        <f>IFERROR(__xludf.DUMMYFUNCTION("""COMPUTED_VALUE"""),"Eje Acoplado 2 1/2"" x 1600 (09/11) Agrícola Centro 150")</f>
        <v>Eje Acoplado 2 1/2" x 1600 (09/11) Agrícola Centro 150</v>
      </c>
      <c r="BW79" s="3" t="str">
        <f>IFERROR(__xludf.DUMMYFUNCTION("""COMPUTED_VALUE"""),"Eje Acoplado 3"" x 1600 (10/13) Agrícola Centro 150")</f>
        <v>Eje Acoplado 3" x 1600 (10/13) Agrícola Centro 150</v>
      </c>
      <c r="BX79" s="3" t="str">
        <f>IFERROR(__xludf.DUMMYFUNCTION("""COMPUTED_VALUE"""),"Eje Acoplado 2 1/2"" x 2140 (07/09) Agrícola Centro 92")</f>
        <v>Eje Acoplado 2 1/2" x 2140 (07/09) Agrícola Centro 92</v>
      </c>
      <c r="BY79" s="3" t="str">
        <f>IFERROR(__xludf.DUMMYFUNCTION("""COMPUTED_VALUE"""),"Eje Acoplado 2"" x 1400 (06/08) Agrícola Centro 92")</f>
        <v>Eje Acoplado 2" x 1400 (06/08) Agrícola Centro 92</v>
      </c>
      <c r="BZ79" s="3" t="str">
        <f>IFERROR(__xludf.DUMMYFUNCTION("""COMPUTED_VALUE"""),"Eje Acoplado 2 1/2"" x 1500 (07/09) Agrícola Centro 92")</f>
        <v>Eje Acoplado 2 1/2" x 1500 (07/09) Agrícola Centro 92</v>
      </c>
      <c r="CA79" s="3" t="str">
        <f>IFERROR(__xludf.DUMMYFUNCTION("""COMPUTED_VALUE"""),"Eje Acoplado 2 1/2"" x 2000 (07/09) Agrícola Centro 92")</f>
        <v>Eje Acoplado 2 1/2" x 2000 (07/09) Agrícola Centro 92</v>
      </c>
      <c r="CB79" s="3" t="str">
        <f>IFERROR(__xludf.DUMMYFUNCTION("""COMPUTED_VALUE"""),"Eje Acoplado 2 1/2"" x 2100 (09/11) Agrícola Centro 150")</f>
        <v>Eje Acoplado 2 1/2" x 2100 (09/11) Agrícola Centro 150</v>
      </c>
      <c r="CC79" s="3" t="str">
        <f>IFERROR(__xludf.DUMMYFUNCTION("""COMPUTED_VALUE"""),"Llanta 16"" Simple Agrícola Centro 92")</f>
        <v>Llanta 16" Simple Agrícola Centro 92</v>
      </c>
      <c r="CD79" s="3" t="str">
        <f>IFERROR(__xludf.DUMMYFUNCTION("""COMPUTED_VALUE"""),"Llanta 16"" Dual Agrícola Centro 92")</f>
        <v>Llanta 16" Dual Agrícola Centro 92</v>
      </c>
      <c r="CE79" s="3" t="str">
        <f>IFERROR(__xludf.DUMMYFUNCTION("""COMPUTED_VALUE"""),"Llanta 17"" Simple Agrícola Centro 92")</f>
        <v>Llanta 17" Simple Agrícola Centro 92</v>
      </c>
      <c r="CF79" s="3" t="str">
        <f>IFERROR(__xludf.DUMMYFUNCTION("""COMPUTED_VALUE"""),"Llanta 17"" Dual Agrícola Centro 92")</f>
        <v>Llanta 17" Dual Agrícola Centro 92</v>
      </c>
      <c r="CG79" s="3" t="str">
        <f>IFERROR(__xludf.DUMMYFUNCTION("""COMPUTED_VALUE"""),"Llanta 16"" Dual Agrícola Centro 152")</f>
        <v>Llanta 16" Dual Agrícola Centro 152</v>
      </c>
      <c r="CH79" s="3" t="str">
        <f>IFERROR(__xludf.DUMMYFUNCTION("""COMPUTED_VALUE"""),"Llanta 17"" Dual Agrícola Centro 152")</f>
        <v>Llanta 17" Dual Agrícola Centro 152</v>
      </c>
      <c r="CI79" s="3" t="str">
        <f>IFERROR(__xludf.DUMMYFUNCTION("""COMPUTED_VALUE"""),"Eje Acoplado 2"" x 1600 (05/07) Agrícola Centro 92")</f>
        <v>Eje Acoplado 2" x 1600 (05/07) Agrícola Centro 92</v>
      </c>
      <c r="CJ79" s="3" t="str">
        <f>IFERROR(__xludf.DUMMYFUNCTION("""COMPUTED_VALUE"""),"Paquete de Elásticos 50 mm x 8 mm x 12 Hojas")</f>
        <v>Paquete de Elásticos 50 mm x 8 mm x 12 Hojas</v>
      </c>
      <c r="CK79" s="3" t="str">
        <f>IFERROR(__xludf.DUMMYFUNCTION("""COMPUTED_VALUE"""),"Plataforma Playo 4.00 x 1.90 x 0.45 Lateral Simple Baranda Fija")</f>
        <v>Plataforma Playo 4.00 x 1.90 x 0.45 Lateral Simple Baranda Fija</v>
      </c>
      <c r="CL79" s="3" t="str">
        <f>IFERROR(__xludf.DUMMYFUNCTION("""COMPUTED_VALUE"""),"Plataforma Playo 4.00 x 1.90 x 0.45 Lateral Simple Baranda Ventilada")</f>
        <v>Plataforma Playo 4.00 x 1.90 x 0.45 Lateral Simple Baranda Ventilada</v>
      </c>
      <c r="CM79" s="3" t="str">
        <f>IFERROR(__xludf.DUMMYFUNCTION("""COMPUTED_VALUE"""),"Plataforma Playo 4.00 x 1.90 x 0.45 Lateral Doble Baranda Ventilada")</f>
        <v>Plataforma Playo 4.00 x 1.90 x 0.45 Lateral Doble Baranda Ventilada</v>
      </c>
      <c r="CN79" s="3" t="str">
        <f>IFERROR(__xludf.DUMMYFUNCTION("""COMPUTED_VALUE"""),"Plataforma Playo 4.00 x 1.90 x 0.45 Lateral Doble Baranda Fija")</f>
        <v>Plataforma Playo 4.00 x 1.90 x 0.45 Lateral Doble Baranda Fija</v>
      </c>
      <c r="CO79" s="3" t="str">
        <f>IFERROR(__xludf.DUMMYFUNCTION("""COMPUTED_VALUE"""),"Plataforma Playo 4.00 x 1.90 x 0.72 Lateral Simple Baranda Fija")</f>
        <v>Plataforma Playo 4.00 x 1.90 x 0.72 Lateral Simple Baranda Fija</v>
      </c>
      <c r="CP79" s="3" t="str">
        <f>IFERROR(__xludf.DUMMYFUNCTION("""COMPUTED_VALUE"""),"Plataforma Playo 4.00 x 1.90 x 0.72 Lateral Doble Baranda Fija")</f>
        <v>Plataforma Playo 4.00 x 1.90 x 0.72 Lateral Doble Baranda Fija</v>
      </c>
      <c r="CQ79" s="3" t="str">
        <f>IFERROR(__xludf.DUMMYFUNCTION("""COMPUTED_VALUE"""),"Plataforma Playo 5.00 x 2.20 x 0.60 Lateral Doble Trasera Rebatible")</f>
        <v>Plataforma Playo 5.00 x 2.20 x 0.60 Lateral Doble Trasera Rebatible</v>
      </c>
      <c r="CR79" s="3" t="str">
        <f>IFERROR(__xludf.DUMMYFUNCTION("""COMPUTED_VALUE"""),"Plataforma Playo 5.00 x 2.20 x 0.60 Lateral Doble Baranda Fija C/Toldo")</f>
        <v>Plataforma Playo 5.00 x 2.20 x 0.60 Lateral Doble Baranda Fija C/Toldo</v>
      </c>
      <c r="CS79" s="3" t="str">
        <f>IFERROR(__xludf.DUMMYFUNCTION("""COMPUTED_VALUE"""),"Plataforma Playo 3.00 x 1.90 x 0.45 Lateral Simple Baranda Fija")</f>
        <v>Plataforma Playo 3.00 x 1.90 x 0.45 Lateral Simple Baranda Fija</v>
      </c>
      <c r="CT79" s="3" t="str">
        <f>IFERROR(__xludf.DUMMYFUNCTION("""COMPUTED_VALUE"""),"Plataforma Playo 3.00 x 1.90 x 0.45 Lateral Simple Baranda Ventilada")</f>
        <v>Plataforma Playo 3.00 x 1.90 x 0.45 Lateral Simple Baranda Ventilada</v>
      </c>
      <c r="CU79" s="3" t="str">
        <f>IFERROR(__xludf.DUMMYFUNCTION("""COMPUTED_VALUE"""),"Plataforma Playo 2.00 x 1.90 x 0.45 Lateral Simple Baranda Fija")</f>
        <v>Plataforma Playo 2.00 x 1.90 x 0.45 Lateral Simple Baranda Fija</v>
      </c>
      <c r="CV79" s="3" t="str">
        <f>IFERROR(__xludf.DUMMYFUNCTION("""COMPUTED_VALUE"""),"Plataforma Playo 5.00 x 1.90 x 0.60 Lateral Doble Baranda Fija")</f>
        <v>Plataforma Playo 5.00 x 1.90 x 0.60 Lateral Doble Baranda Fija</v>
      </c>
      <c r="CW79" s="3" t="str">
        <f>IFERROR(__xludf.DUMMYFUNCTION("""COMPUTED_VALUE"""),"Plataforma Playo 6.40 x 2.70 x 0.72 Lateral Doble Baranda Fija")</f>
        <v>Plataforma Playo 6.40 x 2.70 x 0.72 Lateral Doble Baranda Fija</v>
      </c>
      <c r="CX79" s="3" t="str">
        <f>IFERROR(__xludf.DUMMYFUNCTION("""COMPUTED_VALUE"""),"Chasis Acoplado Balancin L4000 Lanza Recta")</f>
        <v>Chasis Acoplado Balancin L4000 Lanza Recta</v>
      </c>
      <c r="CY79" s="3" t="str">
        <f>IFERROR(__xludf.DUMMYFUNCTION("""COMPUTED_VALUE"""),"Llanta simple Agrícola 750x20 centro 152")</f>
        <v>Llanta simple Agrícola 750x20 centro 152</v>
      </c>
      <c r="CZ79" s="3" t="str">
        <f>IFERROR(__xludf.DUMMYFUNCTION("""COMPUTED_VALUE"""),"Cajón de Herramientas Mediano adelante")</f>
        <v>Cajón de Herramientas Mediano adelante</v>
      </c>
      <c r="DA79" s="3" t="str">
        <f>IFERROR(__xludf.DUMMYFUNCTION("""COMPUTED_VALUE"""),"Llanta 15"" Simple Agrícola Centro 92")</f>
        <v>Llanta 15" Simple Agrícola Centro 92</v>
      </c>
    </row>
    <row r="80" hidden="1">
      <c r="A80" s="38">
        <f t="shared" si="1"/>
        <v>79</v>
      </c>
      <c r="B80" s="38">
        <f>IF(F80="","",SUMIF(Prearmados!E:E,F80,Prearmados!A:A))</f>
        <v>12</v>
      </c>
      <c r="C80" s="38">
        <f>IF(F80="","",SUMIF(Productos!E:E,G80,Productos!A:A))</f>
        <v>77</v>
      </c>
      <c r="D80" s="83" t="str">
        <f t="array" ref="D80">IF(OR(F80="",F80="Seleccionar.."),"",XLOOKUP(F80,Prearmados!E:E,Prearmados!F:F,"",0,1))</f>
        <v>Acoplados Rurales</v>
      </c>
      <c r="E80" s="83">
        <f>IF(H80="","",SUMIF(Precio_Productos!K:K,C80,Precio_Productos!J:J)*H80)</f>
        <v>3914914</v>
      </c>
      <c r="F80" s="84" t="s">
        <v>335</v>
      </c>
      <c r="G80" s="84" t="s">
        <v>103</v>
      </c>
      <c r="H80" s="13">
        <v>1.0</v>
      </c>
      <c r="P80" s="3" t="str">
        <f>IFERROR(__xludf.DUMMYFUNCTION("IF(OR(F80="""",F80=""Seleccionar..""),"""",TRANSPOSE(FILTER(Productos!E:E,(Productos!F:F=D80)+(Productos!F:F=XLOOKUP(D80,Implementos!B:B,Implementos!C:C,""-"",0,1)))))"),"Tanque Combustible 1100 lts Bajo")</f>
        <v>Tanque Combustible 1100 lts Bajo</v>
      </c>
      <c r="Q80" s="3" t="str">
        <f>IFERROR(__xludf.DUMMYFUNCTION("""COMPUTED_VALUE"""),"Tanque Combustible 1500 lts Standard")</f>
        <v>Tanque Combustible 1500 lts Standard</v>
      </c>
      <c r="R80" s="3" t="str">
        <f>IFERROR(__xludf.DUMMYFUNCTION("""COMPUTED_VALUE"""),"Tanque Combustible 1800 lts Standard")</f>
        <v>Tanque Combustible 1800 lts Standard</v>
      </c>
      <c r="S80" s="3" t="str">
        <f>IFERROR(__xludf.DUMMYFUNCTION("""COMPUTED_VALUE"""),"Tanque Combustible 2000 lts Bajo")</f>
        <v>Tanque Combustible 2000 lts Bajo</v>
      </c>
      <c r="T80" s="3" t="str">
        <f>IFERROR(__xludf.DUMMYFUNCTION("""COMPUTED_VALUE"""),"Tanque Combustible 2000 lts Standard")</f>
        <v>Tanque Combustible 2000 lts Standard</v>
      </c>
      <c r="U80" s="3" t="str">
        <f>IFERROR(__xludf.DUMMYFUNCTION("""COMPUTED_VALUE"""),"Tanque Combustible 3000 lts Standard")</f>
        <v>Tanque Combustible 3000 lts Standard</v>
      </c>
      <c r="V80" s="3" t="str">
        <f>IFERROR(__xludf.DUMMYFUNCTION("""COMPUTED_VALUE"""),"Tanque Combustible 3000 lts Alto")</f>
        <v>Tanque Combustible 3000 lts Alto</v>
      </c>
      <c r="W80" s="3" t="str">
        <f>IFERROR(__xludf.DUMMYFUNCTION("""COMPUTED_VALUE"""),"Tanque Combustible 4000 lts Standard")</f>
        <v>Tanque Combustible 4000 lts Standard</v>
      </c>
      <c r="X80" s="3" t="str">
        <f>IFERROR(__xludf.DUMMYFUNCTION("""COMPUTED_VALUE"""),"Tanque Combustible 5000 lts Standard")</f>
        <v>Tanque Combustible 5000 lts Standard</v>
      </c>
      <c r="Y80" s="3" t="str">
        <f>IFERROR(__xludf.DUMMYFUNCTION("""COMPUTED_VALUE"""),"Tanque Combustible 5000 lts Alto")</f>
        <v>Tanque Combustible 5000 lts Alto</v>
      </c>
      <c r="Z80" s="3" t="str">
        <f>IFERROR(__xludf.DUMMYFUNCTION("""COMPUTED_VALUE"""),"Tanque Combustible 2000 lts Alto")</f>
        <v>Tanque Combustible 2000 lts Alto</v>
      </c>
      <c r="AA80" s="3" t="str">
        <f>IFERROR(__xludf.DUMMYFUNCTION("""COMPUTED_VALUE"""),"Tanque Combustible 4000 lts Alto")</f>
        <v>Tanque Combustible 4000 lts Alto</v>
      </c>
      <c r="AB80" s="3" t="str">
        <f>IFERROR(__xludf.DUMMYFUNCTION("""COMPUTED_VALUE"""),"Baulera Standard - 750")</f>
        <v>Baulera Standard - 750</v>
      </c>
      <c r="AC80" s="3" t="str">
        <f>IFERROR(__xludf.DUMMYFUNCTION("""COMPUTED_VALUE"""),"Baulera Standard - 1700 - C/Laterales")</f>
        <v>Baulera Standard - 1700 - C/Laterales</v>
      </c>
      <c r="AD80" s="3" t="str">
        <f>IFERROR(__xludf.DUMMYFUNCTION("""COMPUTED_VALUE"""),"Baulera Standard - 1000 - C/Laterales")</f>
        <v>Baulera Standard - 1000 - C/Laterales</v>
      </c>
      <c r="AE80" s="3" t="str">
        <f>IFERROR(__xludf.DUMMYFUNCTION("""COMPUTED_VALUE"""),"Baulera Standard - 750 - C/Laterales")</f>
        <v>Baulera Standard - 750 - C/Laterales</v>
      </c>
      <c r="AF80" s="3" t="str">
        <f>IFERROR(__xludf.DUMMYFUNCTION("""COMPUTED_VALUE"""),"Baulera Standard - 1300 - C/Laterales")</f>
        <v>Baulera Standard - 1300 - C/Laterales</v>
      </c>
      <c r="AG80" s="3" t="str">
        <f>IFERROR(__xludf.DUMMYFUNCTION("""COMPUTED_VALUE"""),"Baulera Alta - 750")</f>
        <v>Baulera Alta - 750</v>
      </c>
      <c r="AH80" s="3" t="str">
        <f>IFERROR(__xludf.DUMMYFUNCTION("""COMPUTED_VALUE"""),"Baulera Alta - 1500 - C/Laterales")</f>
        <v>Baulera Alta - 1500 - C/Laterales</v>
      </c>
      <c r="AI80" s="3" t="str">
        <f>IFERROR(__xludf.DUMMYFUNCTION("""COMPUTED_VALUE"""),"Baulera Extendida 1700 - C/Laterales")</f>
        <v>Baulera Extendida 1700 - C/Laterales</v>
      </c>
      <c r="AJ80" s="3" t="str">
        <f>IFERROR(__xludf.DUMMYFUNCTION("""COMPUTED_VALUE"""),"Taller Móvil - 1500 x 1500 x 1700")</f>
        <v>Taller Móvil - 1500 x 1500 x 1700</v>
      </c>
      <c r="AK80" s="3" t="str">
        <f>IFERROR(__xludf.DUMMYFUNCTION("""COMPUTED_VALUE"""),"Cajón Herramientas Standard Derecho")</f>
        <v>Cajón Herramientas Standard Derecho</v>
      </c>
      <c r="AL80" s="3" t="str">
        <f>IFERROR(__xludf.DUMMYFUNCTION("""COMPUTED_VALUE"""),"Cajón Herramientas Standard Izquierdo")</f>
        <v>Cajón Herramientas Standard Izquierdo</v>
      </c>
      <c r="AM80" s="3" t="str">
        <f>IFERROR(__xludf.DUMMYFUNCTION("""COMPUTED_VALUE"""),"Cajón Herramientas Corto Derecho")</f>
        <v>Cajón Herramientas Corto Derecho</v>
      </c>
      <c r="AN80" s="3" t="str">
        <f>IFERROR(__xludf.DUMMYFUNCTION("""COMPUTED_VALUE"""),"Cajón Herramientas Corto Izquierdo")</f>
        <v>Cajón Herramientas Corto Izquierdo</v>
      </c>
      <c r="AO80" s="3" t="str">
        <f>IFERROR(__xludf.DUMMYFUNCTION("""COMPUTED_VALUE"""),"Cajón Herramientas Mediano Derecho")</f>
        <v>Cajón Herramientas Mediano Derecho</v>
      </c>
      <c r="AP80" s="3" t="str">
        <f>IFERROR(__xludf.DUMMYFUNCTION("""COMPUTED_VALUE"""),"Cajón Herramientas Mediano Izquierdo")</f>
        <v>Cajón Herramientas Mediano Izquierdo</v>
      </c>
      <c r="AQ80" s="3" t="str">
        <f>IFERROR(__xludf.DUMMYFUNCTION("""COMPUTED_VALUE"""),"Chasis Acoplado 2 Ejes L3000")</f>
        <v>Chasis Acoplado 2 Ejes L3000</v>
      </c>
      <c r="AR80" s="3" t="str">
        <f>IFERROR(__xludf.DUMMYFUNCTION("""COMPUTED_VALUE"""),"Chasis Acoplado 2 Ejes L3750")</f>
        <v>Chasis Acoplado 2 Ejes L3750</v>
      </c>
      <c r="AS80" s="3" t="str">
        <f>IFERROR(__xludf.DUMMYFUNCTION("""COMPUTED_VALUE"""),"Chasis Acoplado 2 Ejes L4000")</f>
        <v>Chasis Acoplado 2 Ejes L4000</v>
      </c>
      <c r="AT80" s="3" t="str">
        <f>IFERROR(__xludf.DUMMYFUNCTION("""COMPUTED_VALUE"""),"Chasis Acoplado 2 Ejes L4000 Reforzado")</f>
        <v>Chasis Acoplado 2 Ejes L4000 Reforzado</v>
      </c>
      <c r="AU80" s="3" t="str">
        <f>IFERROR(__xludf.DUMMYFUNCTION("""COMPUTED_VALUE"""),"Chasis Acoplado 2 Ejes L4750")</f>
        <v>Chasis Acoplado 2 Ejes L4750</v>
      </c>
      <c r="AV80" s="3" t="str">
        <f>IFERROR(__xludf.DUMMYFUNCTION("""COMPUTED_VALUE"""),"Chasis Acoplado 2 Ejes L4750 Reforzado")</f>
        <v>Chasis Acoplado 2 Ejes L4750 Reforzado</v>
      </c>
      <c r="AW80" s="3" t="str">
        <f>IFERROR(__xludf.DUMMYFUNCTION("""COMPUTED_VALUE"""),"Chasis Acoplado 2 Ejes L4750 Reforzado R. Camion")</f>
        <v>Chasis Acoplado 2 Ejes L4750 Reforzado R. Camion</v>
      </c>
      <c r="AX80" s="3" t="str">
        <f>IFERROR(__xludf.DUMMYFUNCTION("""COMPUTED_VALUE"""),"Chasis Acoplado 2 Ejes L5000")</f>
        <v>Chasis Acoplado 2 Ejes L5000</v>
      </c>
      <c r="AY80" s="3" t="str">
        <f>IFERROR(__xludf.DUMMYFUNCTION("""COMPUTED_VALUE"""),"Chasis Acoplado 2 Ejes L5750")</f>
        <v>Chasis Acoplado 2 Ejes L5750</v>
      </c>
      <c r="AZ80" s="3" t="str">
        <f>IFERROR(__xludf.DUMMYFUNCTION("""COMPUTED_VALUE"""),"Chasis Acoplado 2 Ejes L6400")</f>
        <v>Chasis Acoplado 2 Ejes L6400</v>
      </c>
      <c r="BA80" s="3" t="str">
        <f>IFERROR(__xludf.DUMMYFUNCTION("""COMPUTED_VALUE"""),"Chasis Acoplado 2 Ejes L4500")</f>
        <v>Chasis Acoplado 2 Ejes L4500</v>
      </c>
      <c r="BB80" s="3" t="str">
        <f>IFERROR(__xludf.DUMMYFUNCTION("""COMPUTED_VALUE"""),"Chasis Acoplado 1 Eje L1500")</f>
        <v>Chasis Acoplado 1 Eje L1500</v>
      </c>
      <c r="BC80" s="3" t="str">
        <f>IFERROR(__xludf.DUMMYFUNCTION("""COMPUTED_VALUE"""),"Chasis Acoplado 1 Eje L1800")</f>
        <v>Chasis Acoplado 1 Eje L1800</v>
      </c>
      <c r="BD80" s="3" t="str">
        <f>IFERROR(__xludf.DUMMYFUNCTION("""COMPUTED_VALUE"""),"Chasis Acoplado 1 Eje L1400")</f>
        <v>Chasis Acoplado 1 Eje L1400</v>
      </c>
      <c r="BE80" s="3" t="str">
        <f>IFERROR(__xludf.DUMMYFUNCTION("""COMPUTED_VALUE"""),"Chasis Acoplado Balancin L3000")</f>
        <v>Chasis Acoplado Balancin L3000</v>
      </c>
      <c r="BF80" s="3" t="str">
        <f>IFERROR(__xludf.DUMMYFUNCTION("""COMPUTED_VALUE"""),"Chasis Acoplado Balancin L3000 Lanza Corta")</f>
        <v>Chasis Acoplado Balancin L3000 Lanza Corta</v>
      </c>
      <c r="BG80" s="3" t="str">
        <f>IFERROR(__xludf.DUMMYFUNCTION("""COMPUTED_VALUE"""),"Chasis Acoplado Balancin L2000 Lanza Corta")</f>
        <v>Chasis Acoplado Balancin L2000 Lanza Corta</v>
      </c>
      <c r="BH80" s="3" t="str">
        <f>IFERROR(__xludf.DUMMYFUNCTION("""COMPUTED_VALUE"""),"Chasis Acoplado Balancin L3200 Lanza Corta")</f>
        <v>Chasis Acoplado Balancin L3200 Lanza Corta</v>
      </c>
      <c r="BI80" s="3" t="str">
        <f>IFERROR(__xludf.DUMMYFUNCTION("""COMPUTED_VALUE"""),"Chasis Acoplado Balancin L3200 Lanza Recta")</f>
        <v>Chasis Acoplado Balancin L3200 Lanza Recta</v>
      </c>
      <c r="BJ80" s="3" t="str">
        <f>IFERROR(__xludf.DUMMYFUNCTION("""COMPUTED_VALUE"""),"Chasis Acoplado Balancin L3200 Bajo Lanza Recta")</f>
        <v>Chasis Acoplado Balancin L3200 Bajo Lanza Recta</v>
      </c>
      <c r="BK80" s="3" t="str">
        <f>IFERROR(__xludf.DUMMYFUNCTION("""COMPUTED_VALUE"""),"Tanque Plastico Horizontal 750 Lts")</f>
        <v>Tanque Plastico Horizontal 750 Lts</v>
      </c>
      <c r="BL80" s="3" t="str">
        <f>IFERROR(__xludf.DUMMYFUNCTION("""COMPUTED_VALUE"""),"Medio Tanque Plastico Superior 700 Lts")</f>
        <v>Medio Tanque Plastico Superior 700 Lts</v>
      </c>
      <c r="BM80" s="3" t="str">
        <f>IFERROR(__xludf.DUMMYFUNCTION("""COMPUTED_VALUE"""),"Paquete de Elasticos 50 mm x 8 mm x 10 Hojas L850")</f>
        <v>Paquete de Elasticos 50 mm x 8 mm x 10 Hojas L850</v>
      </c>
      <c r="BN80" s="3" t="str">
        <f>IFERROR(__xludf.DUMMYFUNCTION("""COMPUTED_VALUE"""),"Paquete de Elasticos 63 mm x 8 mm x 10 Hojas L950")</f>
        <v>Paquete de Elasticos 63 mm x 8 mm x 10 Hojas L950</v>
      </c>
      <c r="BO80" s="3" t="str">
        <f>IFERROR(__xludf.DUMMYFUNCTION("""COMPUTED_VALUE"""),"Paquete de Elasticos 50 mm x 7 mm x 9 Hojas L850")</f>
        <v>Paquete de Elasticos 50 mm x 7 mm x 9 Hojas L850</v>
      </c>
      <c r="BP80" s="3" t="str">
        <f>IFERROR(__xludf.DUMMYFUNCTION("""COMPUTED_VALUE"""),"Paquete de Elasticos 63 mm x 8 mm x 8 Hojas L850")</f>
        <v>Paquete de Elasticos 63 mm x 8 mm x 8 Hojas L850</v>
      </c>
      <c r="BQ80" s="3" t="str">
        <f>IFERROR(__xludf.DUMMYFUNCTION("""COMPUTED_VALUE"""),"Paquete de Elasticos 63 mm x 10 mm x 10 Hojas L950")</f>
        <v>Paquete de Elasticos 63 mm x 10 mm x 10 Hojas L950</v>
      </c>
      <c r="BR80" s="3" t="str">
        <f>IFERROR(__xludf.DUMMYFUNCTION("""COMPUTED_VALUE"""),"Paquete de Elasticos 63 mm x 10 mm x 13 Hojas L975")</f>
        <v>Paquete de Elasticos 63 mm x 10 mm x 13 Hojas L975</v>
      </c>
      <c r="BS80" s="3" t="str">
        <f>IFERROR(__xludf.DUMMYFUNCTION("""COMPUTED_VALUE"""),"Paquete de Elasticos 50 mm x 7 mm x 9 Hojas L650")</f>
        <v>Paquete de Elasticos 50 mm x 7 mm x 9 Hojas L650</v>
      </c>
      <c r="BT80" s="3" t="str">
        <f>IFERROR(__xludf.DUMMYFUNCTION("""COMPUTED_VALUE"""),"Eje Acoplado 2"" x 1600 (06/08) Agrícola Centro 92")</f>
        <v>Eje Acoplado 2" x 1600 (06/08) Agrícola Centro 92</v>
      </c>
      <c r="BU80" s="3" t="str">
        <f>IFERROR(__xludf.DUMMYFUNCTION("""COMPUTED_VALUE"""),"Eje Acoplado 2 1/2"" x 1600 (07/09) Agrícola Centro 92")</f>
        <v>Eje Acoplado 2 1/2" x 1600 (07/09) Agrícola Centro 92</v>
      </c>
      <c r="BV80" s="3" t="str">
        <f>IFERROR(__xludf.DUMMYFUNCTION("""COMPUTED_VALUE"""),"Eje Acoplado 2 1/2"" x 1600 (09/11) Agrícola Centro 150")</f>
        <v>Eje Acoplado 2 1/2" x 1600 (09/11) Agrícola Centro 150</v>
      </c>
      <c r="BW80" s="3" t="str">
        <f>IFERROR(__xludf.DUMMYFUNCTION("""COMPUTED_VALUE"""),"Eje Acoplado 3"" x 1600 (10/13) Agrícola Centro 150")</f>
        <v>Eje Acoplado 3" x 1600 (10/13) Agrícola Centro 150</v>
      </c>
      <c r="BX80" s="3" t="str">
        <f>IFERROR(__xludf.DUMMYFUNCTION("""COMPUTED_VALUE"""),"Eje Acoplado 2 1/2"" x 2140 (07/09) Agrícola Centro 92")</f>
        <v>Eje Acoplado 2 1/2" x 2140 (07/09) Agrícola Centro 92</v>
      </c>
      <c r="BY80" s="3" t="str">
        <f>IFERROR(__xludf.DUMMYFUNCTION("""COMPUTED_VALUE"""),"Eje Acoplado 2"" x 1400 (06/08) Agrícola Centro 92")</f>
        <v>Eje Acoplado 2" x 1400 (06/08) Agrícola Centro 92</v>
      </c>
      <c r="BZ80" s="3" t="str">
        <f>IFERROR(__xludf.DUMMYFUNCTION("""COMPUTED_VALUE"""),"Eje Acoplado 2 1/2"" x 1500 (07/09) Agrícola Centro 92")</f>
        <v>Eje Acoplado 2 1/2" x 1500 (07/09) Agrícola Centro 92</v>
      </c>
      <c r="CA80" s="3" t="str">
        <f>IFERROR(__xludf.DUMMYFUNCTION("""COMPUTED_VALUE"""),"Eje Acoplado 2 1/2"" x 2000 (07/09) Agrícola Centro 92")</f>
        <v>Eje Acoplado 2 1/2" x 2000 (07/09) Agrícola Centro 92</v>
      </c>
      <c r="CB80" s="3" t="str">
        <f>IFERROR(__xludf.DUMMYFUNCTION("""COMPUTED_VALUE"""),"Eje Acoplado 2 1/2"" x 2100 (09/11) Agrícola Centro 150")</f>
        <v>Eje Acoplado 2 1/2" x 2100 (09/11) Agrícola Centro 150</v>
      </c>
      <c r="CC80" s="3" t="str">
        <f>IFERROR(__xludf.DUMMYFUNCTION("""COMPUTED_VALUE"""),"Llanta 16"" Simple Agrícola Centro 92")</f>
        <v>Llanta 16" Simple Agrícola Centro 92</v>
      </c>
      <c r="CD80" s="3" t="str">
        <f>IFERROR(__xludf.DUMMYFUNCTION("""COMPUTED_VALUE"""),"Llanta 16"" Dual Agrícola Centro 92")</f>
        <v>Llanta 16" Dual Agrícola Centro 92</v>
      </c>
      <c r="CE80" s="3" t="str">
        <f>IFERROR(__xludf.DUMMYFUNCTION("""COMPUTED_VALUE"""),"Llanta 17"" Simple Agrícola Centro 92")</f>
        <v>Llanta 17" Simple Agrícola Centro 92</v>
      </c>
      <c r="CF80" s="3" t="str">
        <f>IFERROR(__xludf.DUMMYFUNCTION("""COMPUTED_VALUE"""),"Llanta 17"" Dual Agrícola Centro 92")</f>
        <v>Llanta 17" Dual Agrícola Centro 92</v>
      </c>
      <c r="CG80" s="3" t="str">
        <f>IFERROR(__xludf.DUMMYFUNCTION("""COMPUTED_VALUE"""),"Llanta 16"" Dual Agrícola Centro 152")</f>
        <v>Llanta 16" Dual Agrícola Centro 152</v>
      </c>
      <c r="CH80" s="3" t="str">
        <f>IFERROR(__xludf.DUMMYFUNCTION("""COMPUTED_VALUE"""),"Llanta 17"" Dual Agrícola Centro 152")</f>
        <v>Llanta 17" Dual Agrícola Centro 152</v>
      </c>
      <c r="CI80" s="3" t="str">
        <f>IFERROR(__xludf.DUMMYFUNCTION("""COMPUTED_VALUE"""),"Eje Acoplado 2"" x 1600 (05/07) Agrícola Centro 92")</f>
        <v>Eje Acoplado 2" x 1600 (05/07) Agrícola Centro 92</v>
      </c>
      <c r="CJ80" s="3" t="str">
        <f>IFERROR(__xludf.DUMMYFUNCTION("""COMPUTED_VALUE"""),"Paquete de Elásticos 50 mm x 8 mm x 12 Hojas")</f>
        <v>Paquete de Elásticos 50 mm x 8 mm x 12 Hojas</v>
      </c>
      <c r="CK80" s="3" t="str">
        <f>IFERROR(__xludf.DUMMYFUNCTION("""COMPUTED_VALUE"""),"Plataforma Playo 4.00 x 1.90 x 0.45 Lateral Simple Baranda Fija")</f>
        <v>Plataforma Playo 4.00 x 1.90 x 0.45 Lateral Simple Baranda Fija</v>
      </c>
      <c r="CL80" s="3" t="str">
        <f>IFERROR(__xludf.DUMMYFUNCTION("""COMPUTED_VALUE"""),"Plataforma Playo 4.00 x 1.90 x 0.45 Lateral Simple Baranda Ventilada")</f>
        <v>Plataforma Playo 4.00 x 1.90 x 0.45 Lateral Simple Baranda Ventilada</v>
      </c>
      <c r="CM80" s="3" t="str">
        <f>IFERROR(__xludf.DUMMYFUNCTION("""COMPUTED_VALUE"""),"Plataforma Playo 4.00 x 1.90 x 0.45 Lateral Doble Baranda Ventilada")</f>
        <v>Plataforma Playo 4.00 x 1.90 x 0.45 Lateral Doble Baranda Ventilada</v>
      </c>
      <c r="CN80" s="3" t="str">
        <f>IFERROR(__xludf.DUMMYFUNCTION("""COMPUTED_VALUE"""),"Plataforma Playo 4.00 x 1.90 x 0.45 Lateral Doble Baranda Fija")</f>
        <v>Plataforma Playo 4.00 x 1.90 x 0.45 Lateral Doble Baranda Fija</v>
      </c>
      <c r="CO80" s="3" t="str">
        <f>IFERROR(__xludf.DUMMYFUNCTION("""COMPUTED_VALUE"""),"Plataforma Playo 4.00 x 1.90 x 0.72 Lateral Simple Baranda Fija")</f>
        <v>Plataforma Playo 4.00 x 1.90 x 0.72 Lateral Simple Baranda Fija</v>
      </c>
      <c r="CP80" s="3" t="str">
        <f>IFERROR(__xludf.DUMMYFUNCTION("""COMPUTED_VALUE"""),"Plataforma Playo 4.00 x 1.90 x 0.72 Lateral Doble Baranda Fija")</f>
        <v>Plataforma Playo 4.00 x 1.90 x 0.72 Lateral Doble Baranda Fija</v>
      </c>
      <c r="CQ80" s="3" t="str">
        <f>IFERROR(__xludf.DUMMYFUNCTION("""COMPUTED_VALUE"""),"Plataforma Playo 5.00 x 2.20 x 0.60 Lateral Doble Trasera Rebatible")</f>
        <v>Plataforma Playo 5.00 x 2.20 x 0.60 Lateral Doble Trasera Rebatible</v>
      </c>
      <c r="CR80" s="3" t="str">
        <f>IFERROR(__xludf.DUMMYFUNCTION("""COMPUTED_VALUE"""),"Plataforma Playo 5.00 x 2.20 x 0.60 Lateral Doble Baranda Fija C/Toldo")</f>
        <v>Plataforma Playo 5.00 x 2.20 x 0.60 Lateral Doble Baranda Fija C/Toldo</v>
      </c>
      <c r="CS80" s="3" t="str">
        <f>IFERROR(__xludf.DUMMYFUNCTION("""COMPUTED_VALUE"""),"Plataforma Playo 3.00 x 1.90 x 0.45 Lateral Simple Baranda Fija")</f>
        <v>Plataforma Playo 3.00 x 1.90 x 0.45 Lateral Simple Baranda Fija</v>
      </c>
      <c r="CT80" s="3" t="str">
        <f>IFERROR(__xludf.DUMMYFUNCTION("""COMPUTED_VALUE"""),"Plataforma Playo 3.00 x 1.90 x 0.45 Lateral Simple Baranda Ventilada")</f>
        <v>Plataforma Playo 3.00 x 1.90 x 0.45 Lateral Simple Baranda Ventilada</v>
      </c>
      <c r="CU80" s="3" t="str">
        <f>IFERROR(__xludf.DUMMYFUNCTION("""COMPUTED_VALUE"""),"Plataforma Playo 2.00 x 1.90 x 0.45 Lateral Simple Baranda Fija")</f>
        <v>Plataforma Playo 2.00 x 1.90 x 0.45 Lateral Simple Baranda Fija</v>
      </c>
      <c r="CV80" s="3" t="str">
        <f>IFERROR(__xludf.DUMMYFUNCTION("""COMPUTED_VALUE"""),"Plataforma Playo 5.00 x 1.90 x 0.60 Lateral Doble Baranda Fija")</f>
        <v>Plataforma Playo 5.00 x 1.90 x 0.60 Lateral Doble Baranda Fija</v>
      </c>
      <c r="CW80" s="3" t="str">
        <f>IFERROR(__xludf.DUMMYFUNCTION("""COMPUTED_VALUE"""),"Plataforma Playo 6.40 x 2.70 x 0.72 Lateral Doble Baranda Fija")</f>
        <v>Plataforma Playo 6.40 x 2.70 x 0.72 Lateral Doble Baranda Fija</v>
      </c>
      <c r="CX80" s="3" t="str">
        <f>IFERROR(__xludf.DUMMYFUNCTION("""COMPUTED_VALUE"""),"Chasis Acoplado Balancin L4000 Lanza Recta")</f>
        <v>Chasis Acoplado Balancin L4000 Lanza Recta</v>
      </c>
      <c r="CY80" s="3" t="str">
        <f>IFERROR(__xludf.DUMMYFUNCTION("""COMPUTED_VALUE"""),"Llanta simple Agrícola 750x20 centro 152")</f>
        <v>Llanta simple Agrícola 750x20 centro 152</v>
      </c>
      <c r="CZ80" s="3" t="str">
        <f>IFERROR(__xludf.DUMMYFUNCTION("""COMPUTED_VALUE"""),"Cajón de Herramientas Mediano adelante")</f>
        <v>Cajón de Herramientas Mediano adelante</v>
      </c>
      <c r="DA80" s="3" t="str">
        <f>IFERROR(__xludf.DUMMYFUNCTION("""COMPUTED_VALUE"""),"Llanta 15"" Simple Agrícola Centro 92")</f>
        <v>Llanta 15" Simple Agrícola Centro 92</v>
      </c>
    </row>
    <row r="81" hidden="1">
      <c r="A81" s="38">
        <f t="shared" si="1"/>
        <v>80</v>
      </c>
      <c r="B81" s="38">
        <f>IF(F81="","",SUMIF(Prearmados!E:E,F81,Prearmados!A:A))</f>
        <v>12</v>
      </c>
      <c r="C81" s="38">
        <f>IF(F81="","",SUMIF(Productos!E:E,G81,Productos!A:A))</f>
        <v>103</v>
      </c>
      <c r="D81" s="83" t="str">
        <f t="array" ref="D81">IF(OR(F81="",F81="Seleccionar.."),"",XLOOKUP(F81,Prearmados!E:E,Prearmados!F:F,"",0,1))</f>
        <v>Acoplados Rurales</v>
      </c>
      <c r="E81" s="83">
        <f>IF(H81="","",SUMIF(Precio_Productos!K:K,C81,Precio_Productos!J:J)*H81)</f>
        <v>1528800</v>
      </c>
      <c r="F81" s="84" t="s">
        <v>335</v>
      </c>
      <c r="G81" s="84" t="s">
        <v>135</v>
      </c>
      <c r="H81" s="13">
        <v>2.0</v>
      </c>
      <c r="P81" s="3" t="str">
        <f>IFERROR(__xludf.DUMMYFUNCTION("IF(OR(F81="""",F81=""Seleccionar..""),"""",TRANSPOSE(FILTER(Productos!E:E,(Productos!F:F=D81)+(Productos!F:F=XLOOKUP(D81,Implementos!B:B,Implementos!C:C,""-"",0,1)))))"),"Tanque Combustible 1100 lts Bajo")</f>
        <v>Tanque Combustible 1100 lts Bajo</v>
      </c>
      <c r="Q81" s="3" t="str">
        <f>IFERROR(__xludf.DUMMYFUNCTION("""COMPUTED_VALUE"""),"Tanque Combustible 1500 lts Standard")</f>
        <v>Tanque Combustible 1500 lts Standard</v>
      </c>
      <c r="R81" s="3" t="str">
        <f>IFERROR(__xludf.DUMMYFUNCTION("""COMPUTED_VALUE"""),"Tanque Combustible 1800 lts Standard")</f>
        <v>Tanque Combustible 1800 lts Standard</v>
      </c>
      <c r="S81" s="3" t="str">
        <f>IFERROR(__xludf.DUMMYFUNCTION("""COMPUTED_VALUE"""),"Tanque Combustible 2000 lts Bajo")</f>
        <v>Tanque Combustible 2000 lts Bajo</v>
      </c>
      <c r="T81" s="3" t="str">
        <f>IFERROR(__xludf.DUMMYFUNCTION("""COMPUTED_VALUE"""),"Tanque Combustible 2000 lts Standard")</f>
        <v>Tanque Combustible 2000 lts Standard</v>
      </c>
      <c r="U81" s="3" t="str">
        <f>IFERROR(__xludf.DUMMYFUNCTION("""COMPUTED_VALUE"""),"Tanque Combustible 3000 lts Standard")</f>
        <v>Tanque Combustible 3000 lts Standard</v>
      </c>
      <c r="V81" s="3" t="str">
        <f>IFERROR(__xludf.DUMMYFUNCTION("""COMPUTED_VALUE"""),"Tanque Combustible 3000 lts Alto")</f>
        <v>Tanque Combustible 3000 lts Alto</v>
      </c>
      <c r="W81" s="3" t="str">
        <f>IFERROR(__xludf.DUMMYFUNCTION("""COMPUTED_VALUE"""),"Tanque Combustible 4000 lts Standard")</f>
        <v>Tanque Combustible 4000 lts Standard</v>
      </c>
      <c r="X81" s="3" t="str">
        <f>IFERROR(__xludf.DUMMYFUNCTION("""COMPUTED_VALUE"""),"Tanque Combustible 5000 lts Standard")</f>
        <v>Tanque Combustible 5000 lts Standard</v>
      </c>
      <c r="Y81" s="3" t="str">
        <f>IFERROR(__xludf.DUMMYFUNCTION("""COMPUTED_VALUE"""),"Tanque Combustible 5000 lts Alto")</f>
        <v>Tanque Combustible 5000 lts Alto</v>
      </c>
      <c r="Z81" s="3" t="str">
        <f>IFERROR(__xludf.DUMMYFUNCTION("""COMPUTED_VALUE"""),"Tanque Combustible 2000 lts Alto")</f>
        <v>Tanque Combustible 2000 lts Alto</v>
      </c>
      <c r="AA81" s="3" t="str">
        <f>IFERROR(__xludf.DUMMYFUNCTION("""COMPUTED_VALUE"""),"Tanque Combustible 4000 lts Alto")</f>
        <v>Tanque Combustible 4000 lts Alto</v>
      </c>
      <c r="AB81" s="3" t="str">
        <f>IFERROR(__xludf.DUMMYFUNCTION("""COMPUTED_VALUE"""),"Baulera Standard - 750")</f>
        <v>Baulera Standard - 750</v>
      </c>
      <c r="AC81" s="3" t="str">
        <f>IFERROR(__xludf.DUMMYFUNCTION("""COMPUTED_VALUE"""),"Baulera Standard - 1700 - C/Laterales")</f>
        <v>Baulera Standard - 1700 - C/Laterales</v>
      </c>
      <c r="AD81" s="3" t="str">
        <f>IFERROR(__xludf.DUMMYFUNCTION("""COMPUTED_VALUE"""),"Baulera Standard - 1000 - C/Laterales")</f>
        <v>Baulera Standard - 1000 - C/Laterales</v>
      </c>
      <c r="AE81" s="3" t="str">
        <f>IFERROR(__xludf.DUMMYFUNCTION("""COMPUTED_VALUE"""),"Baulera Standard - 750 - C/Laterales")</f>
        <v>Baulera Standard - 750 - C/Laterales</v>
      </c>
      <c r="AF81" s="3" t="str">
        <f>IFERROR(__xludf.DUMMYFUNCTION("""COMPUTED_VALUE"""),"Baulera Standard - 1300 - C/Laterales")</f>
        <v>Baulera Standard - 1300 - C/Laterales</v>
      </c>
      <c r="AG81" s="3" t="str">
        <f>IFERROR(__xludf.DUMMYFUNCTION("""COMPUTED_VALUE"""),"Baulera Alta - 750")</f>
        <v>Baulera Alta - 750</v>
      </c>
      <c r="AH81" s="3" t="str">
        <f>IFERROR(__xludf.DUMMYFUNCTION("""COMPUTED_VALUE"""),"Baulera Alta - 1500 - C/Laterales")</f>
        <v>Baulera Alta - 1500 - C/Laterales</v>
      </c>
      <c r="AI81" s="3" t="str">
        <f>IFERROR(__xludf.DUMMYFUNCTION("""COMPUTED_VALUE"""),"Baulera Extendida 1700 - C/Laterales")</f>
        <v>Baulera Extendida 1700 - C/Laterales</v>
      </c>
      <c r="AJ81" s="3" t="str">
        <f>IFERROR(__xludf.DUMMYFUNCTION("""COMPUTED_VALUE"""),"Taller Móvil - 1500 x 1500 x 1700")</f>
        <v>Taller Móvil - 1500 x 1500 x 1700</v>
      </c>
      <c r="AK81" s="3" t="str">
        <f>IFERROR(__xludf.DUMMYFUNCTION("""COMPUTED_VALUE"""),"Cajón Herramientas Standard Derecho")</f>
        <v>Cajón Herramientas Standard Derecho</v>
      </c>
      <c r="AL81" s="3" t="str">
        <f>IFERROR(__xludf.DUMMYFUNCTION("""COMPUTED_VALUE"""),"Cajón Herramientas Standard Izquierdo")</f>
        <v>Cajón Herramientas Standard Izquierdo</v>
      </c>
      <c r="AM81" s="3" t="str">
        <f>IFERROR(__xludf.DUMMYFUNCTION("""COMPUTED_VALUE"""),"Cajón Herramientas Corto Derecho")</f>
        <v>Cajón Herramientas Corto Derecho</v>
      </c>
      <c r="AN81" s="3" t="str">
        <f>IFERROR(__xludf.DUMMYFUNCTION("""COMPUTED_VALUE"""),"Cajón Herramientas Corto Izquierdo")</f>
        <v>Cajón Herramientas Corto Izquierdo</v>
      </c>
      <c r="AO81" s="3" t="str">
        <f>IFERROR(__xludf.DUMMYFUNCTION("""COMPUTED_VALUE"""),"Cajón Herramientas Mediano Derecho")</f>
        <v>Cajón Herramientas Mediano Derecho</v>
      </c>
      <c r="AP81" s="3" t="str">
        <f>IFERROR(__xludf.DUMMYFUNCTION("""COMPUTED_VALUE"""),"Cajón Herramientas Mediano Izquierdo")</f>
        <v>Cajón Herramientas Mediano Izquierdo</v>
      </c>
      <c r="AQ81" s="3" t="str">
        <f>IFERROR(__xludf.DUMMYFUNCTION("""COMPUTED_VALUE"""),"Chasis Acoplado 2 Ejes L3000")</f>
        <v>Chasis Acoplado 2 Ejes L3000</v>
      </c>
      <c r="AR81" s="3" t="str">
        <f>IFERROR(__xludf.DUMMYFUNCTION("""COMPUTED_VALUE"""),"Chasis Acoplado 2 Ejes L3750")</f>
        <v>Chasis Acoplado 2 Ejes L3750</v>
      </c>
      <c r="AS81" s="3" t="str">
        <f>IFERROR(__xludf.DUMMYFUNCTION("""COMPUTED_VALUE"""),"Chasis Acoplado 2 Ejes L4000")</f>
        <v>Chasis Acoplado 2 Ejes L4000</v>
      </c>
      <c r="AT81" s="3" t="str">
        <f>IFERROR(__xludf.DUMMYFUNCTION("""COMPUTED_VALUE"""),"Chasis Acoplado 2 Ejes L4000 Reforzado")</f>
        <v>Chasis Acoplado 2 Ejes L4000 Reforzado</v>
      </c>
      <c r="AU81" s="3" t="str">
        <f>IFERROR(__xludf.DUMMYFUNCTION("""COMPUTED_VALUE"""),"Chasis Acoplado 2 Ejes L4750")</f>
        <v>Chasis Acoplado 2 Ejes L4750</v>
      </c>
      <c r="AV81" s="3" t="str">
        <f>IFERROR(__xludf.DUMMYFUNCTION("""COMPUTED_VALUE"""),"Chasis Acoplado 2 Ejes L4750 Reforzado")</f>
        <v>Chasis Acoplado 2 Ejes L4750 Reforzado</v>
      </c>
      <c r="AW81" s="3" t="str">
        <f>IFERROR(__xludf.DUMMYFUNCTION("""COMPUTED_VALUE"""),"Chasis Acoplado 2 Ejes L4750 Reforzado R. Camion")</f>
        <v>Chasis Acoplado 2 Ejes L4750 Reforzado R. Camion</v>
      </c>
      <c r="AX81" s="3" t="str">
        <f>IFERROR(__xludf.DUMMYFUNCTION("""COMPUTED_VALUE"""),"Chasis Acoplado 2 Ejes L5000")</f>
        <v>Chasis Acoplado 2 Ejes L5000</v>
      </c>
      <c r="AY81" s="3" t="str">
        <f>IFERROR(__xludf.DUMMYFUNCTION("""COMPUTED_VALUE"""),"Chasis Acoplado 2 Ejes L5750")</f>
        <v>Chasis Acoplado 2 Ejes L5750</v>
      </c>
      <c r="AZ81" s="3" t="str">
        <f>IFERROR(__xludf.DUMMYFUNCTION("""COMPUTED_VALUE"""),"Chasis Acoplado 2 Ejes L6400")</f>
        <v>Chasis Acoplado 2 Ejes L6400</v>
      </c>
      <c r="BA81" s="3" t="str">
        <f>IFERROR(__xludf.DUMMYFUNCTION("""COMPUTED_VALUE"""),"Chasis Acoplado 2 Ejes L4500")</f>
        <v>Chasis Acoplado 2 Ejes L4500</v>
      </c>
      <c r="BB81" s="3" t="str">
        <f>IFERROR(__xludf.DUMMYFUNCTION("""COMPUTED_VALUE"""),"Chasis Acoplado 1 Eje L1500")</f>
        <v>Chasis Acoplado 1 Eje L1500</v>
      </c>
      <c r="BC81" s="3" t="str">
        <f>IFERROR(__xludf.DUMMYFUNCTION("""COMPUTED_VALUE"""),"Chasis Acoplado 1 Eje L1800")</f>
        <v>Chasis Acoplado 1 Eje L1800</v>
      </c>
      <c r="BD81" s="3" t="str">
        <f>IFERROR(__xludf.DUMMYFUNCTION("""COMPUTED_VALUE"""),"Chasis Acoplado 1 Eje L1400")</f>
        <v>Chasis Acoplado 1 Eje L1400</v>
      </c>
      <c r="BE81" s="3" t="str">
        <f>IFERROR(__xludf.DUMMYFUNCTION("""COMPUTED_VALUE"""),"Chasis Acoplado Balancin L3000")</f>
        <v>Chasis Acoplado Balancin L3000</v>
      </c>
      <c r="BF81" s="3" t="str">
        <f>IFERROR(__xludf.DUMMYFUNCTION("""COMPUTED_VALUE"""),"Chasis Acoplado Balancin L3000 Lanza Corta")</f>
        <v>Chasis Acoplado Balancin L3000 Lanza Corta</v>
      </c>
      <c r="BG81" s="3" t="str">
        <f>IFERROR(__xludf.DUMMYFUNCTION("""COMPUTED_VALUE"""),"Chasis Acoplado Balancin L2000 Lanza Corta")</f>
        <v>Chasis Acoplado Balancin L2000 Lanza Corta</v>
      </c>
      <c r="BH81" s="3" t="str">
        <f>IFERROR(__xludf.DUMMYFUNCTION("""COMPUTED_VALUE"""),"Chasis Acoplado Balancin L3200 Lanza Corta")</f>
        <v>Chasis Acoplado Balancin L3200 Lanza Corta</v>
      </c>
      <c r="BI81" s="3" t="str">
        <f>IFERROR(__xludf.DUMMYFUNCTION("""COMPUTED_VALUE"""),"Chasis Acoplado Balancin L3200 Lanza Recta")</f>
        <v>Chasis Acoplado Balancin L3200 Lanza Recta</v>
      </c>
      <c r="BJ81" s="3" t="str">
        <f>IFERROR(__xludf.DUMMYFUNCTION("""COMPUTED_VALUE"""),"Chasis Acoplado Balancin L3200 Bajo Lanza Recta")</f>
        <v>Chasis Acoplado Balancin L3200 Bajo Lanza Recta</v>
      </c>
      <c r="BK81" s="3" t="str">
        <f>IFERROR(__xludf.DUMMYFUNCTION("""COMPUTED_VALUE"""),"Tanque Plastico Horizontal 750 Lts")</f>
        <v>Tanque Plastico Horizontal 750 Lts</v>
      </c>
      <c r="BL81" s="3" t="str">
        <f>IFERROR(__xludf.DUMMYFUNCTION("""COMPUTED_VALUE"""),"Medio Tanque Plastico Superior 700 Lts")</f>
        <v>Medio Tanque Plastico Superior 700 Lts</v>
      </c>
      <c r="BM81" s="3" t="str">
        <f>IFERROR(__xludf.DUMMYFUNCTION("""COMPUTED_VALUE"""),"Paquete de Elasticos 50 mm x 8 mm x 10 Hojas L850")</f>
        <v>Paquete de Elasticos 50 mm x 8 mm x 10 Hojas L850</v>
      </c>
      <c r="BN81" s="3" t="str">
        <f>IFERROR(__xludf.DUMMYFUNCTION("""COMPUTED_VALUE"""),"Paquete de Elasticos 63 mm x 8 mm x 10 Hojas L950")</f>
        <v>Paquete de Elasticos 63 mm x 8 mm x 10 Hojas L950</v>
      </c>
      <c r="BO81" s="3" t="str">
        <f>IFERROR(__xludf.DUMMYFUNCTION("""COMPUTED_VALUE"""),"Paquete de Elasticos 50 mm x 7 mm x 9 Hojas L850")</f>
        <v>Paquete de Elasticos 50 mm x 7 mm x 9 Hojas L850</v>
      </c>
      <c r="BP81" s="3" t="str">
        <f>IFERROR(__xludf.DUMMYFUNCTION("""COMPUTED_VALUE"""),"Paquete de Elasticos 63 mm x 8 mm x 8 Hojas L850")</f>
        <v>Paquete de Elasticos 63 mm x 8 mm x 8 Hojas L850</v>
      </c>
      <c r="BQ81" s="3" t="str">
        <f>IFERROR(__xludf.DUMMYFUNCTION("""COMPUTED_VALUE"""),"Paquete de Elasticos 63 mm x 10 mm x 10 Hojas L950")</f>
        <v>Paquete de Elasticos 63 mm x 10 mm x 10 Hojas L950</v>
      </c>
      <c r="BR81" s="3" t="str">
        <f>IFERROR(__xludf.DUMMYFUNCTION("""COMPUTED_VALUE"""),"Paquete de Elasticos 63 mm x 10 mm x 13 Hojas L975")</f>
        <v>Paquete de Elasticos 63 mm x 10 mm x 13 Hojas L975</v>
      </c>
      <c r="BS81" s="3" t="str">
        <f>IFERROR(__xludf.DUMMYFUNCTION("""COMPUTED_VALUE"""),"Paquete de Elasticos 50 mm x 7 mm x 9 Hojas L650")</f>
        <v>Paquete de Elasticos 50 mm x 7 mm x 9 Hojas L650</v>
      </c>
      <c r="BT81" s="3" t="str">
        <f>IFERROR(__xludf.DUMMYFUNCTION("""COMPUTED_VALUE"""),"Eje Acoplado 2"" x 1600 (06/08) Agrícola Centro 92")</f>
        <v>Eje Acoplado 2" x 1600 (06/08) Agrícola Centro 92</v>
      </c>
      <c r="BU81" s="3" t="str">
        <f>IFERROR(__xludf.DUMMYFUNCTION("""COMPUTED_VALUE"""),"Eje Acoplado 2 1/2"" x 1600 (07/09) Agrícola Centro 92")</f>
        <v>Eje Acoplado 2 1/2" x 1600 (07/09) Agrícola Centro 92</v>
      </c>
      <c r="BV81" s="3" t="str">
        <f>IFERROR(__xludf.DUMMYFUNCTION("""COMPUTED_VALUE"""),"Eje Acoplado 2 1/2"" x 1600 (09/11) Agrícola Centro 150")</f>
        <v>Eje Acoplado 2 1/2" x 1600 (09/11) Agrícola Centro 150</v>
      </c>
      <c r="BW81" s="3" t="str">
        <f>IFERROR(__xludf.DUMMYFUNCTION("""COMPUTED_VALUE"""),"Eje Acoplado 3"" x 1600 (10/13) Agrícola Centro 150")</f>
        <v>Eje Acoplado 3" x 1600 (10/13) Agrícola Centro 150</v>
      </c>
      <c r="BX81" s="3" t="str">
        <f>IFERROR(__xludf.DUMMYFUNCTION("""COMPUTED_VALUE"""),"Eje Acoplado 2 1/2"" x 2140 (07/09) Agrícola Centro 92")</f>
        <v>Eje Acoplado 2 1/2" x 2140 (07/09) Agrícola Centro 92</v>
      </c>
      <c r="BY81" s="3" t="str">
        <f>IFERROR(__xludf.DUMMYFUNCTION("""COMPUTED_VALUE"""),"Eje Acoplado 2"" x 1400 (06/08) Agrícola Centro 92")</f>
        <v>Eje Acoplado 2" x 1400 (06/08) Agrícola Centro 92</v>
      </c>
      <c r="BZ81" s="3" t="str">
        <f>IFERROR(__xludf.DUMMYFUNCTION("""COMPUTED_VALUE"""),"Eje Acoplado 2 1/2"" x 1500 (07/09) Agrícola Centro 92")</f>
        <v>Eje Acoplado 2 1/2" x 1500 (07/09) Agrícola Centro 92</v>
      </c>
      <c r="CA81" s="3" t="str">
        <f>IFERROR(__xludf.DUMMYFUNCTION("""COMPUTED_VALUE"""),"Eje Acoplado 2 1/2"" x 2000 (07/09) Agrícola Centro 92")</f>
        <v>Eje Acoplado 2 1/2" x 2000 (07/09) Agrícola Centro 92</v>
      </c>
      <c r="CB81" s="3" t="str">
        <f>IFERROR(__xludf.DUMMYFUNCTION("""COMPUTED_VALUE"""),"Eje Acoplado 2 1/2"" x 2100 (09/11) Agrícola Centro 150")</f>
        <v>Eje Acoplado 2 1/2" x 2100 (09/11) Agrícola Centro 150</v>
      </c>
      <c r="CC81" s="3" t="str">
        <f>IFERROR(__xludf.DUMMYFUNCTION("""COMPUTED_VALUE"""),"Llanta 16"" Simple Agrícola Centro 92")</f>
        <v>Llanta 16" Simple Agrícola Centro 92</v>
      </c>
      <c r="CD81" s="3" t="str">
        <f>IFERROR(__xludf.DUMMYFUNCTION("""COMPUTED_VALUE"""),"Llanta 16"" Dual Agrícola Centro 92")</f>
        <v>Llanta 16" Dual Agrícola Centro 92</v>
      </c>
      <c r="CE81" s="3" t="str">
        <f>IFERROR(__xludf.DUMMYFUNCTION("""COMPUTED_VALUE"""),"Llanta 17"" Simple Agrícola Centro 92")</f>
        <v>Llanta 17" Simple Agrícola Centro 92</v>
      </c>
      <c r="CF81" s="3" t="str">
        <f>IFERROR(__xludf.DUMMYFUNCTION("""COMPUTED_VALUE"""),"Llanta 17"" Dual Agrícola Centro 92")</f>
        <v>Llanta 17" Dual Agrícola Centro 92</v>
      </c>
      <c r="CG81" s="3" t="str">
        <f>IFERROR(__xludf.DUMMYFUNCTION("""COMPUTED_VALUE"""),"Llanta 16"" Dual Agrícola Centro 152")</f>
        <v>Llanta 16" Dual Agrícola Centro 152</v>
      </c>
      <c r="CH81" s="3" t="str">
        <f>IFERROR(__xludf.DUMMYFUNCTION("""COMPUTED_VALUE"""),"Llanta 17"" Dual Agrícola Centro 152")</f>
        <v>Llanta 17" Dual Agrícola Centro 152</v>
      </c>
      <c r="CI81" s="3" t="str">
        <f>IFERROR(__xludf.DUMMYFUNCTION("""COMPUTED_VALUE"""),"Eje Acoplado 2"" x 1600 (05/07) Agrícola Centro 92")</f>
        <v>Eje Acoplado 2" x 1600 (05/07) Agrícola Centro 92</v>
      </c>
      <c r="CJ81" s="3" t="str">
        <f>IFERROR(__xludf.DUMMYFUNCTION("""COMPUTED_VALUE"""),"Paquete de Elásticos 50 mm x 8 mm x 12 Hojas")</f>
        <v>Paquete de Elásticos 50 mm x 8 mm x 12 Hojas</v>
      </c>
      <c r="CK81" s="3" t="str">
        <f>IFERROR(__xludf.DUMMYFUNCTION("""COMPUTED_VALUE"""),"Plataforma Playo 4.00 x 1.90 x 0.45 Lateral Simple Baranda Fija")</f>
        <v>Plataforma Playo 4.00 x 1.90 x 0.45 Lateral Simple Baranda Fija</v>
      </c>
      <c r="CL81" s="3" t="str">
        <f>IFERROR(__xludf.DUMMYFUNCTION("""COMPUTED_VALUE"""),"Plataforma Playo 4.00 x 1.90 x 0.45 Lateral Simple Baranda Ventilada")</f>
        <v>Plataforma Playo 4.00 x 1.90 x 0.45 Lateral Simple Baranda Ventilada</v>
      </c>
      <c r="CM81" s="3" t="str">
        <f>IFERROR(__xludf.DUMMYFUNCTION("""COMPUTED_VALUE"""),"Plataforma Playo 4.00 x 1.90 x 0.45 Lateral Doble Baranda Ventilada")</f>
        <v>Plataforma Playo 4.00 x 1.90 x 0.45 Lateral Doble Baranda Ventilada</v>
      </c>
      <c r="CN81" s="3" t="str">
        <f>IFERROR(__xludf.DUMMYFUNCTION("""COMPUTED_VALUE"""),"Plataforma Playo 4.00 x 1.90 x 0.45 Lateral Doble Baranda Fija")</f>
        <v>Plataforma Playo 4.00 x 1.90 x 0.45 Lateral Doble Baranda Fija</v>
      </c>
      <c r="CO81" s="3" t="str">
        <f>IFERROR(__xludf.DUMMYFUNCTION("""COMPUTED_VALUE"""),"Plataforma Playo 4.00 x 1.90 x 0.72 Lateral Simple Baranda Fija")</f>
        <v>Plataforma Playo 4.00 x 1.90 x 0.72 Lateral Simple Baranda Fija</v>
      </c>
      <c r="CP81" s="3" t="str">
        <f>IFERROR(__xludf.DUMMYFUNCTION("""COMPUTED_VALUE"""),"Plataforma Playo 4.00 x 1.90 x 0.72 Lateral Doble Baranda Fija")</f>
        <v>Plataforma Playo 4.00 x 1.90 x 0.72 Lateral Doble Baranda Fija</v>
      </c>
      <c r="CQ81" s="3" t="str">
        <f>IFERROR(__xludf.DUMMYFUNCTION("""COMPUTED_VALUE"""),"Plataforma Playo 5.00 x 2.20 x 0.60 Lateral Doble Trasera Rebatible")</f>
        <v>Plataforma Playo 5.00 x 2.20 x 0.60 Lateral Doble Trasera Rebatible</v>
      </c>
      <c r="CR81" s="3" t="str">
        <f>IFERROR(__xludf.DUMMYFUNCTION("""COMPUTED_VALUE"""),"Plataforma Playo 5.00 x 2.20 x 0.60 Lateral Doble Baranda Fija C/Toldo")</f>
        <v>Plataforma Playo 5.00 x 2.20 x 0.60 Lateral Doble Baranda Fija C/Toldo</v>
      </c>
      <c r="CS81" s="3" t="str">
        <f>IFERROR(__xludf.DUMMYFUNCTION("""COMPUTED_VALUE"""),"Plataforma Playo 3.00 x 1.90 x 0.45 Lateral Simple Baranda Fija")</f>
        <v>Plataforma Playo 3.00 x 1.90 x 0.45 Lateral Simple Baranda Fija</v>
      </c>
      <c r="CT81" s="3" t="str">
        <f>IFERROR(__xludf.DUMMYFUNCTION("""COMPUTED_VALUE"""),"Plataforma Playo 3.00 x 1.90 x 0.45 Lateral Simple Baranda Ventilada")</f>
        <v>Plataforma Playo 3.00 x 1.90 x 0.45 Lateral Simple Baranda Ventilada</v>
      </c>
      <c r="CU81" s="3" t="str">
        <f>IFERROR(__xludf.DUMMYFUNCTION("""COMPUTED_VALUE"""),"Plataforma Playo 2.00 x 1.90 x 0.45 Lateral Simple Baranda Fija")</f>
        <v>Plataforma Playo 2.00 x 1.90 x 0.45 Lateral Simple Baranda Fija</v>
      </c>
      <c r="CV81" s="3" t="str">
        <f>IFERROR(__xludf.DUMMYFUNCTION("""COMPUTED_VALUE"""),"Plataforma Playo 5.00 x 1.90 x 0.60 Lateral Doble Baranda Fija")</f>
        <v>Plataforma Playo 5.00 x 1.90 x 0.60 Lateral Doble Baranda Fija</v>
      </c>
      <c r="CW81" s="3" t="str">
        <f>IFERROR(__xludf.DUMMYFUNCTION("""COMPUTED_VALUE"""),"Plataforma Playo 6.40 x 2.70 x 0.72 Lateral Doble Baranda Fija")</f>
        <v>Plataforma Playo 6.40 x 2.70 x 0.72 Lateral Doble Baranda Fija</v>
      </c>
      <c r="CX81" s="3" t="str">
        <f>IFERROR(__xludf.DUMMYFUNCTION("""COMPUTED_VALUE"""),"Chasis Acoplado Balancin L4000 Lanza Recta")</f>
        <v>Chasis Acoplado Balancin L4000 Lanza Recta</v>
      </c>
      <c r="CY81" s="3" t="str">
        <f>IFERROR(__xludf.DUMMYFUNCTION("""COMPUTED_VALUE"""),"Llanta simple Agrícola 750x20 centro 152")</f>
        <v>Llanta simple Agrícola 750x20 centro 152</v>
      </c>
      <c r="CZ81" s="3" t="str">
        <f>IFERROR(__xludf.DUMMYFUNCTION("""COMPUTED_VALUE"""),"Cajón de Herramientas Mediano adelante")</f>
        <v>Cajón de Herramientas Mediano adelante</v>
      </c>
      <c r="DA81" s="3" t="str">
        <f>IFERROR(__xludf.DUMMYFUNCTION("""COMPUTED_VALUE"""),"Llanta 15"" Simple Agrícola Centro 92")</f>
        <v>Llanta 15" Simple Agrícola Centro 92</v>
      </c>
    </row>
    <row r="82" hidden="1">
      <c r="A82" s="38">
        <f t="shared" si="1"/>
        <v>81</v>
      </c>
      <c r="B82" s="38">
        <f>IF(F82="","",SUMIF(Prearmados!E:E,F82,Prearmados!A:A))</f>
        <v>12</v>
      </c>
      <c r="C82" s="38">
        <f>IF(F82="","",SUMIF(Productos!E:E,G82,Productos!A:A))</f>
        <v>99</v>
      </c>
      <c r="D82" s="83" t="str">
        <f t="array" ref="D82">IF(OR(F82="",F82="Seleccionar.."),"",XLOOKUP(F82,Prearmados!E:E,Prearmados!F:F,"",0,1))</f>
        <v>Acoplados Rurales</v>
      </c>
      <c r="E82" s="83">
        <f>IF(H82="","",SUMIF(Precio_Productos!K:K,C82,Precio_Productos!J:J)*H82)</f>
        <v>1027200</v>
      </c>
      <c r="F82" s="84" t="s">
        <v>335</v>
      </c>
      <c r="G82" s="84" t="s">
        <v>126</v>
      </c>
      <c r="H82" s="13">
        <v>4.0</v>
      </c>
      <c r="P82" s="3" t="str">
        <f>IFERROR(__xludf.DUMMYFUNCTION("IF(OR(F82="""",F82=""Seleccionar..""),"""",TRANSPOSE(FILTER(Productos!E:E,(Productos!F:F=D82)+(Productos!F:F=XLOOKUP(D82,Implementos!B:B,Implementos!C:C,""-"",0,1)))))"),"Tanque Combustible 1100 lts Bajo")</f>
        <v>Tanque Combustible 1100 lts Bajo</v>
      </c>
      <c r="Q82" s="3" t="str">
        <f>IFERROR(__xludf.DUMMYFUNCTION("""COMPUTED_VALUE"""),"Tanque Combustible 1500 lts Standard")</f>
        <v>Tanque Combustible 1500 lts Standard</v>
      </c>
      <c r="R82" s="3" t="str">
        <f>IFERROR(__xludf.DUMMYFUNCTION("""COMPUTED_VALUE"""),"Tanque Combustible 1800 lts Standard")</f>
        <v>Tanque Combustible 1800 lts Standard</v>
      </c>
      <c r="S82" s="3" t="str">
        <f>IFERROR(__xludf.DUMMYFUNCTION("""COMPUTED_VALUE"""),"Tanque Combustible 2000 lts Bajo")</f>
        <v>Tanque Combustible 2000 lts Bajo</v>
      </c>
      <c r="T82" s="3" t="str">
        <f>IFERROR(__xludf.DUMMYFUNCTION("""COMPUTED_VALUE"""),"Tanque Combustible 2000 lts Standard")</f>
        <v>Tanque Combustible 2000 lts Standard</v>
      </c>
      <c r="U82" s="3" t="str">
        <f>IFERROR(__xludf.DUMMYFUNCTION("""COMPUTED_VALUE"""),"Tanque Combustible 3000 lts Standard")</f>
        <v>Tanque Combustible 3000 lts Standard</v>
      </c>
      <c r="V82" s="3" t="str">
        <f>IFERROR(__xludf.DUMMYFUNCTION("""COMPUTED_VALUE"""),"Tanque Combustible 3000 lts Alto")</f>
        <v>Tanque Combustible 3000 lts Alto</v>
      </c>
      <c r="W82" s="3" t="str">
        <f>IFERROR(__xludf.DUMMYFUNCTION("""COMPUTED_VALUE"""),"Tanque Combustible 4000 lts Standard")</f>
        <v>Tanque Combustible 4000 lts Standard</v>
      </c>
      <c r="X82" s="3" t="str">
        <f>IFERROR(__xludf.DUMMYFUNCTION("""COMPUTED_VALUE"""),"Tanque Combustible 5000 lts Standard")</f>
        <v>Tanque Combustible 5000 lts Standard</v>
      </c>
      <c r="Y82" s="3" t="str">
        <f>IFERROR(__xludf.DUMMYFUNCTION("""COMPUTED_VALUE"""),"Tanque Combustible 5000 lts Alto")</f>
        <v>Tanque Combustible 5000 lts Alto</v>
      </c>
      <c r="Z82" s="3" t="str">
        <f>IFERROR(__xludf.DUMMYFUNCTION("""COMPUTED_VALUE"""),"Tanque Combustible 2000 lts Alto")</f>
        <v>Tanque Combustible 2000 lts Alto</v>
      </c>
      <c r="AA82" s="3" t="str">
        <f>IFERROR(__xludf.DUMMYFUNCTION("""COMPUTED_VALUE"""),"Tanque Combustible 4000 lts Alto")</f>
        <v>Tanque Combustible 4000 lts Alto</v>
      </c>
      <c r="AB82" s="3" t="str">
        <f>IFERROR(__xludf.DUMMYFUNCTION("""COMPUTED_VALUE"""),"Baulera Standard - 750")</f>
        <v>Baulera Standard - 750</v>
      </c>
      <c r="AC82" s="3" t="str">
        <f>IFERROR(__xludf.DUMMYFUNCTION("""COMPUTED_VALUE"""),"Baulera Standard - 1700 - C/Laterales")</f>
        <v>Baulera Standard - 1700 - C/Laterales</v>
      </c>
      <c r="AD82" s="3" t="str">
        <f>IFERROR(__xludf.DUMMYFUNCTION("""COMPUTED_VALUE"""),"Baulera Standard - 1000 - C/Laterales")</f>
        <v>Baulera Standard - 1000 - C/Laterales</v>
      </c>
      <c r="AE82" s="3" t="str">
        <f>IFERROR(__xludf.DUMMYFUNCTION("""COMPUTED_VALUE"""),"Baulera Standard - 750 - C/Laterales")</f>
        <v>Baulera Standard - 750 - C/Laterales</v>
      </c>
      <c r="AF82" s="3" t="str">
        <f>IFERROR(__xludf.DUMMYFUNCTION("""COMPUTED_VALUE"""),"Baulera Standard - 1300 - C/Laterales")</f>
        <v>Baulera Standard - 1300 - C/Laterales</v>
      </c>
      <c r="AG82" s="3" t="str">
        <f>IFERROR(__xludf.DUMMYFUNCTION("""COMPUTED_VALUE"""),"Baulera Alta - 750")</f>
        <v>Baulera Alta - 750</v>
      </c>
      <c r="AH82" s="3" t="str">
        <f>IFERROR(__xludf.DUMMYFUNCTION("""COMPUTED_VALUE"""),"Baulera Alta - 1500 - C/Laterales")</f>
        <v>Baulera Alta - 1500 - C/Laterales</v>
      </c>
      <c r="AI82" s="3" t="str">
        <f>IFERROR(__xludf.DUMMYFUNCTION("""COMPUTED_VALUE"""),"Baulera Extendida 1700 - C/Laterales")</f>
        <v>Baulera Extendida 1700 - C/Laterales</v>
      </c>
      <c r="AJ82" s="3" t="str">
        <f>IFERROR(__xludf.DUMMYFUNCTION("""COMPUTED_VALUE"""),"Taller Móvil - 1500 x 1500 x 1700")</f>
        <v>Taller Móvil - 1500 x 1500 x 1700</v>
      </c>
      <c r="AK82" s="3" t="str">
        <f>IFERROR(__xludf.DUMMYFUNCTION("""COMPUTED_VALUE"""),"Cajón Herramientas Standard Derecho")</f>
        <v>Cajón Herramientas Standard Derecho</v>
      </c>
      <c r="AL82" s="3" t="str">
        <f>IFERROR(__xludf.DUMMYFUNCTION("""COMPUTED_VALUE"""),"Cajón Herramientas Standard Izquierdo")</f>
        <v>Cajón Herramientas Standard Izquierdo</v>
      </c>
      <c r="AM82" s="3" t="str">
        <f>IFERROR(__xludf.DUMMYFUNCTION("""COMPUTED_VALUE"""),"Cajón Herramientas Corto Derecho")</f>
        <v>Cajón Herramientas Corto Derecho</v>
      </c>
      <c r="AN82" s="3" t="str">
        <f>IFERROR(__xludf.DUMMYFUNCTION("""COMPUTED_VALUE"""),"Cajón Herramientas Corto Izquierdo")</f>
        <v>Cajón Herramientas Corto Izquierdo</v>
      </c>
      <c r="AO82" s="3" t="str">
        <f>IFERROR(__xludf.DUMMYFUNCTION("""COMPUTED_VALUE"""),"Cajón Herramientas Mediano Derecho")</f>
        <v>Cajón Herramientas Mediano Derecho</v>
      </c>
      <c r="AP82" s="3" t="str">
        <f>IFERROR(__xludf.DUMMYFUNCTION("""COMPUTED_VALUE"""),"Cajón Herramientas Mediano Izquierdo")</f>
        <v>Cajón Herramientas Mediano Izquierdo</v>
      </c>
      <c r="AQ82" s="3" t="str">
        <f>IFERROR(__xludf.DUMMYFUNCTION("""COMPUTED_VALUE"""),"Chasis Acoplado 2 Ejes L3000")</f>
        <v>Chasis Acoplado 2 Ejes L3000</v>
      </c>
      <c r="AR82" s="3" t="str">
        <f>IFERROR(__xludf.DUMMYFUNCTION("""COMPUTED_VALUE"""),"Chasis Acoplado 2 Ejes L3750")</f>
        <v>Chasis Acoplado 2 Ejes L3750</v>
      </c>
      <c r="AS82" s="3" t="str">
        <f>IFERROR(__xludf.DUMMYFUNCTION("""COMPUTED_VALUE"""),"Chasis Acoplado 2 Ejes L4000")</f>
        <v>Chasis Acoplado 2 Ejes L4000</v>
      </c>
      <c r="AT82" s="3" t="str">
        <f>IFERROR(__xludf.DUMMYFUNCTION("""COMPUTED_VALUE"""),"Chasis Acoplado 2 Ejes L4000 Reforzado")</f>
        <v>Chasis Acoplado 2 Ejes L4000 Reforzado</v>
      </c>
      <c r="AU82" s="3" t="str">
        <f>IFERROR(__xludf.DUMMYFUNCTION("""COMPUTED_VALUE"""),"Chasis Acoplado 2 Ejes L4750")</f>
        <v>Chasis Acoplado 2 Ejes L4750</v>
      </c>
      <c r="AV82" s="3" t="str">
        <f>IFERROR(__xludf.DUMMYFUNCTION("""COMPUTED_VALUE"""),"Chasis Acoplado 2 Ejes L4750 Reforzado")</f>
        <v>Chasis Acoplado 2 Ejes L4750 Reforzado</v>
      </c>
      <c r="AW82" s="3" t="str">
        <f>IFERROR(__xludf.DUMMYFUNCTION("""COMPUTED_VALUE"""),"Chasis Acoplado 2 Ejes L4750 Reforzado R. Camion")</f>
        <v>Chasis Acoplado 2 Ejes L4750 Reforzado R. Camion</v>
      </c>
      <c r="AX82" s="3" t="str">
        <f>IFERROR(__xludf.DUMMYFUNCTION("""COMPUTED_VALUE"""),"Chasis Acoplado 2 Ejes L5000")</f>
        <v>Chasis Acoplado 2 Ejes L5000</v>
      </c>
      <c r="AY82" s="3" t="str">
        <f>IFERROR(__xludf.DUMMYFUNCTION("""COMPUTED_VALUE"""),"Chasis Acoplado 2 Ejes L5750")</f>
        <v>Chasis Acoplado 2 Ejes L5750</v>
      </c>
      <c r="AZ82" s="3" t="str">
        <f>IFERROR(__xludf.DUMMYFUNCTION("""COMPUTED_VALUE"""),"Chasis Acoplado 2 Ejes L6400")</f>
        <v>Chasis Acoplado 2 Ejes L6400</v>
      </c>
      <c r="BA82" s="3" t="str">
        <f>IFERROR(__xludf.DUMMYFUNCTION("""COMPUTED_VALUE"""),"Chasis Acoplado 2 Ejes L4500")</f>
        <v>Chasis Acoplado 2 Ejes L4500</v>
      </c>
      <c r="BB82" s="3" t="str">
        <f>IFERROR(__xludf.DUMMYFUNCTION("""COMPUTED_VALUE"""),"Chasis Acoplado 1 Eje L1500")</f>
        <v>Chasis Acoplado 1 Eje L1500</v>
      </c>
      <c r="BC82" s="3" t="str">
        <f>IFERROR(__xludf.DUMMYFUNCTION("""COMPUTED_VALUE"""),"Chasis Acoplado 1 Eje L1800")</f>
        <v>Chasis Acoplado 1 Eje L1800</v>
      </c>
      <c r="BD82" s="3" t="str">
        <f>IFERROR(__xludf.DUMMYFUNCTION("""COMPUTED_VALUE"""),"Chasis Acoplado 1 Eje L1400")</f>
        <v>Chasis Acoplado 1 Eje L1400</v>
      </c>
      <c r="BE82" s="3" t="str">
        <f>IFERROR(__xludf.DUMMYFUNCTION("""COMPUTED_VALUE"""),"Chasis Acoplado Balancin L3000")</f>
        <v>Chasis Acoplado Balancin L3000</v>
      </c>
      <c r="BF82" s="3" t="str">
        <f>IFERROR(__xludf.DUMMYFUNCTION("""COMPUTED_VALUE"""),"Chasis Acoplado Balancin L3000 Lanza Corta")</f>
        <v>Chasis Acoplado Balancin L3000 Lanza Corta</v>
      </c>
      <c r="BG82" s="3" t="str">
        <f>IFERROR(__xludf.DUMMYFUNCTION("""COMPUTED_VALUE"""),"Chasis Acoplado Balancin L2000 Lanza Corta")</f>
        <v>Chasis Acoplado Balancin L2000 Lanza Corta</v>
      </c>
      <c r="BH82" s="3" t="str">
        <f>IFERROR(__xludf.DUMMYFUNCTION("""COMPUTED_VALUE"""),"Chasis Acoplado Balancin L3200 Lanza Corta")</f>
        <v>Chasis Acoplado Balancin L3200 Lanza Corta</v>
      </c>
      <c r="BI82" s="3" t="str">
        <f>IFERROR(__xludf.DUMMYFUNCTION("""COMPUTED_VALUE"""),"Chasis Acoplado Balancin L3200 Lanza Recta")</f>
        <v>Chasis Acoplado Balancin L3200 Lanza Recta</v>
      </c>
      <c r="BJ82" s="3" t="str">
        <f>IFERROR(__xludf.DUMMYFUNCTION("""COMPUTED_VALUE"""),"Chasis Acoplado Balancin L3200 Bajo Lanza Recta")</f>
        <v>Chasis Acoplado Balancin L3200 Bajo Lanza Recta</v>
      </c>
      <c r="BK82" s="3" t="str">
        <f>IFERROR(__xludf.DUMMYFUNCTION("""COMPUTED_VALUE"""),"Tanque Plastico Horizontal 750 Lts")</f>
        <v>Tanque Plastico Horizontal 750 Lts</v>
      </c>
      <c r="BL82" s="3" t="str">
        <f>IFERROR(__xludf.DUMMYFUNCTION("""COMPUTED_VALUE"""),"Medio Tanque Plastico Superior 700 Lts")</f>
        <v>Medio Tanque Plastico Superior 700 Lts</v>
      </c>
      <c r="BM82" s="3" t="str">
        <f>IFERROR(__xludf.DUMMYFUNCTION("""COMPUTED_VALUE"""),"Paquete de Elasticos 50 mm x 8 mm x 10 Hojas L850")</f>
        <v>Paquete de Elasticos 50 mm x 8 mm x 10 Hojas L850</v>
      </c>
      <c r="BN82" s="3" t="str">
        <f>IFERROR(__xludf.DUMMYFUNCTION("""COMPUTED_VALUE"""),"Paquete de Elasticos 63 mm x 8 mm x 10 Hojas L950")</f>
        <v>Paquete de Elasticos 63 mm x 8 mm x 10 Hojas L950</v>
      </c>
      <c r="BO82" s="3" t="str">
        <f>IFERROR(__xludf.DUMMYFUNCTION("""COMPUTED_VALUE"""),"Paquete de Elasticos 50 mm x 7 mm x 9 Hojas L850")</f>
        <v>Paquete de Elasticos 50 mm x 7 mm x 9 Hojas L850</v>
      </c>
      <c r="BP82" s="3" t="str">
        <f>IFERROR(__xludf.DUMMYFUNCTION("""COMPUTED_VALUE"""),"Paquete de Elasticos 63 mm x 8 mm x 8 Hojas L850")</f>
        <v>Paquete de Elasticos 63 mm x 8 mm x 8 Hojas L850</v>
      </c>
      <c r="BQ82" s="3" t="str">
        <f>IFERROR(__xludf.DUMMYFUNCTION("""COMPUTED_VALUE"""),"Paquete de Elasticos 63 mm x 10 mm x 10 Hojas L950")</f>
        <v>Paquete de Elasticos 63 mm x 10 mm x 10 Hojas L950</v>
      </c>
      <c r="BR82" s="3" t="str">
        <f>IFERROR(__xludf.DUMMYFUNCTION("""COMPUTED_VALUE"""),"Paquete de Elasticos 63 mm x 10 mm x 13 Hojas L975")</f>
        <v>Paquete de Elasticos 63 mm x 10 mm x 13 Hojas L975</v>
      </c>
      <c r="BS82" s="3" t="str">
        <f>IFERROR(__xludf.DUMMYFUNCTION("""COMPUTED_VALUE"""),"Paquete de Elasticos 50 mm x 7 mm x 9 Hojas L650")</f>
        <v>Paquete de Elasticos 50 mm x 7 mm x 9 Hojas L650</v>
      </c>
      <c r="BT82" s="3" t="str">
        <f>IFERROR(__xludf.DUMMYFUNCTION("""COMPUTED_VALUE"""),"Eje Acoplado 2"" x 1600 (06/08) Agrícola Centro 92")</f>
        <v>Eje Acoplado 2" x 1600 (06/08) Agrícola Centro 92</v>
      </c>
      <c r="BU82" s="3" t="str">
        <f>IFERROR(__xludf.DUMMYFUNCTION("""COMPUTED_VALUE"""),"Eje Acoplado 2 1/2"" x 1600 (07/09) Agrícola Centro 92")</f>
        <v>Eje Acoplado 2 1/2" x 1600 (07/09) Agrícola Centro 92</v>
      </c>
      <c r="BV82" s="3" t="str">
        <f>IFERROR(__xludf.DUMMYFUNCTION("""COMPUTED_VALUE"""),"Eje Acoplado 2 1/2"" x 1600 (09/11) Agrícola Centro 150")</f>
        <v>Eje Acoplado 2 1/2" x 1600 (09/11) Agrícola Centro 150</v>
      </c>
      <c r="BW82" s="3" t="str">
        <f>IFERROR(__xludf.DUMMYFUNCTION("""COMPUTED_VALUE"""),"Eje Acoplado 3"" x 1600 (10/13) Agrícola Centro 150")</f>
        <v>Eje Acoplado 3" x 1600 (10/13) Agrícola Centro 150</v>
      </c>
      <c r="BX82" s="3" t="str">
        <f>IFERROR(__xludf.DUMMYFUNCTION("""COMPUTED_VALUE"""),"Eje Acoplado 2 1/2"" x 2140 (07/09) Agrícola Centro 92")</f>
        <v>Eje Acoplado 2 1/2" x 2140 (07/09) Agrícola Centro 92</v>
      </c>
      <c r="BY82" s="3" t="str">
        <f>IFERROR(__xludf.DUMMYFUNCTION("""COMPUTED_VALUE"""),"Eje Acoplado 2"" x 1400 (06/08) Agrícola Centro 92")</f>
        <v>Eje Acoplado 2" x 1400 (06/08) Agrícola Centro 92</v>
      </c>
      <c r="BZ82" s="3" t="str">
        <f>IFERROR(__xludf.DUMMYFUNCTION("""COMPUTED_VALUE"""),"Eje Acoplado 2 1/2"" x 1500 (07/09) Agrícola Centro 92")</f>
        <v>Eje Acoplado 2 1/2" x 1500 (07/09) Agrícola Centro 92</v>
      </c>
      <c r="CA82" s="3" t="str">
        <f>IFERROR(__xludf.DUMMYFUNCTION("""COMPUTED_VALUE"""),"Eje Acoplado 2 1/2"" x 2000 (07/09) Agrícola Centro 92")</f>
        <v>Eje Acoplado 2 1/2" x 2000 (07/09) Agrícola Centro 92</v>
      </c>
      <c r="CB82" s="3" t="str">
        <f>IFERROR(__xludf.DUMMYFUNCTION("""COMPUTED_VALUE"""),"Eje Acoplado 2 1/2"" x 2100 (09/11) Agrícola Centro 150")</f>
        <v>Eje Acoplado 2 1/2" x 2100 (09/11) Agrícola Centro 150</v>
      </c>
      <c r="CC82" s="3" t="str">
        <f>IFERROR(__xludf.DUMMYFUNCTION("""COMPUTED_VALUE"""),"Llanta 16"" Simple Agrícola Centro 92")</f>
        <v>Llanta 16" Simple Agrícola Centro 92</v>
      </c>
      <c r="CD82" s="3" t="str">
        <f>IFERROR(__xludf.DUMMYFUNCTION("""COMPUTED_VALUE"""),"Llanta 16"" Dual Agrícola Centro 92")</f>
        <v>Llanta 16" Dual Agrícola Centro 92</v>
      </c>
      <c r="CE82" s="3" t="str">
        <f>IFERROR(__xludf.DUMMYFUNCTION("""COMPUTED_VALUE"""),"Llanta 17"" Simple Agrícola Centro 92")</f>
        <v>Llanta 17" Simple Agrícola Centro 92</v>
      </c>
      <c r="CF82" s="3" t="str">
        <f>IFERROR(__xludf.DUMMYFUNCTION("""COMPUTED_VALUE"""),"Llanta 17"" Dual Agrícola Centro 92")</f>
        <v>Llanta 17" Dual Agrícola Centro 92</v>
      </c>
      <c r="CG82" s="3" t="str">
        <f>IFERROR(__xludf.DUMMYFUNCTION("""COMPUTED_VALUE"""),"Llanta 16"" Dual Agrícola Centro 152")</f>
        <v>Llanta 16" Dual Agrícola Centro 152</v>
      </c>
      <c r="CH82" s="3" t="str">
        <f>IFERROR(__xludf.DUMMYFUNCTION("""COMPUTED_VALUE"""),"Llanta 17"" Dual Agrícola Centro 152")</f>
        <v>Llanta 17" Dual Agrícola Centro 152</v>
      </c>
      <c r="CI82" s="3" t="str">
        <f>IFERROR(__xludf.DUMMYFUNCTION("""COMPUTED_VALUE"""),"Eje Acoplado 2"" x 1600 (05/07) Agrícola Centro 92")</f>
        <v>Eje Acoplado 2" x 1600 (05/07) Agrícola Centro 92</v>
      </c>
      <c r="CJ82" s="3" t="str">
        <f>IFERROR(__xludf.DUMMYFUNCTION("""COMPUTED_VALUE"""),"Paquete de Elásticos 50 mm x 8 mm x 12 Hojas")</f>
        <v>Paquete de Elásticos 50 mm x 8 mm x 12 Hojas</v>
      </c>
      <c r="CK82" s="3" t="str">
        <f>IFERROR(__xludf.DUMMYFUNCTION("""COMPUTED_VALUE"""),"Plataforma Playo 4.00 x 1.90 x 0.45 Lateral Simple Baranda Fija")</f>
        <v>Plataforma Playo 4.00 x 1.90 x 0.45 Lateral Simple Baranda Fija</v>
      </c>
      <c r="CL82" s="3" t="str">
        <f>IFERROR(__xludf.DUMMYFUNCTION("""COMPUTED_VALUE"""),"Plataforma Playo 4.00 x 1.90 x 0.45 Lateral Simple Baranda Ventilada")</f>
        <v>Plataforma Playo 4.00 x 1.90 x 0.45 Lateral Simple Baranda Ventilada</v>
      </c>
      <c r="CM82" s="3" t="str">
        <f>IFERROR(__xludf.DUMMYFUNCTION("""COMPUTED_VALUE"""),"Plataforma Playo 4.00 x 1.90 x 0.45 Lateral Doble Baranda Ventilada")</f>
        <v>Plataforma Playo 4.00 x 1.90 x 0.45 Lateral Doble Baranda Ventilada</v>
      </c>
      <c r="CN82" s="3" t="str">
        <f>IFERROR(__xludf.DUMMYFUNCTION("""COMPUTED_VALUE"""),"Plataforma Playo 4.00 x 1.90 x 0.45 Lateral Doble Baranda Fija")</f>
        <v>Plataforma Playo 4.00 x 1.90 x 0.45 Lateral Doble Baranda Fija</v>
      </c>
      <c r="CO82" s="3" t="str">
        <f>IFERROR(__xludf.DUMMYFUNCTION("""COMPUTED_VALUE"""),"Plataforma Playo 4.00 x 1.90 x 0.72 Lateral Simple Baranda Fija")</f>
        <v>Plataforma Playo 4.00 x 1.90 x 0.72 Lateral Simple Baranda Fija</v>
      </c>
      <c r="CP82" s="3" t="str">
        <f>IFERROR(__xludf.DUMMYFUNCTION("""COMPUTED_VALUE"""),"Plataforma Playo 4.00 x 1.90 x 0.72 Lateral Doble Baranda Fija")</f>
        <v>Plataforma Playo 4.00 x 1.90 x 0.72 Lateral Doble Baranda Fija</v>
      </c>
      <c r="CQ82" s="3" t="str">
        <f>IFERROR(__xludf.DUMMYFUNCTION("""COMPUTED_VALUE"""),"Plataforma Playo 5.00 x 2.20 x 0.60 Lateral Doble Trasera Rebatible")</f>
        <v>Plataforma Playo 5.00 x 2.20 x 0.60 Lateral Doble Trasera Rebatible</v>
      </c>
      <c r="CR82" s="3" t="str">
        <f>IFERROR(__xludf.DUMMYFUNCTION("""COMPUTED_VALUE"""),"Plataforma Playo 5.00 x 2.20 x 0.60 Lateral Doble Baranda Fija C/Toldo")</f>
        <v>Plataforma Playo 5.00 x 2.20 x 0.60 Lateral Doble Baranda Fija C/Toldo</v>
      </c>
      <c r="CS82" s="3" t="str">
        <f>IFERROR(__xludf.DUMMYFUNCTION("""COMPUTED_VALUE"""),"Plataforma Playo 3.00 x 1.90 x 0.45 Lateral Simple Baranda Fija")</f>
        <v>Plataforma Playo 3.00 x 1.90 x 0.45 Lateral Simple Baranda Fija</v>
      </c>
      <c r="CT82" s="3" t="str">
        <f>IFERROR(__xludf.DUMMYFUNCTION("""COMPUTED_VALUE"""),"Plataforma Playo 3.00 x 1.90 x 0.45 Lateral Simple Baranda Ventilada")</f>
        <v>Plataforma Playo 3.00 x 1.90 x 0.45 Lateral Simple Baranda Ventilada</v>
      </c>
      <c r="CU82" s="3" t="str">
        <f>IFERROR(__xludf.DUMMYFUNCTION("""COMPUTED_VALUE"""),"Plataforma Playo 2.00 x 1.90 x 0.45 Lateral Simple Baranda Fija")</f>
        <v>Plataforma Playo 2.00 x 1.90 x 0.45 Lateral Simple Baranda Fija</v>
      </c>
      <c r="CV82" s="3" t="str">
        <f>IFERROR(__xludf.DUMMYFUNCTION("""COMPUTED_VALUE"""),"Plataforma Playo 5.00 x 1.90 x 0.60 Lateral Doble Baranda Fija")</f>
        <v>Plataforma Playo 5.00 x 1.90 x 0.60 Lateral Doble Baranda Fija</v>
      </c>
      <c r="CW82" s="3" t="str">
        <f>IFERROR(__xludf.DUMMYFUNCTION("""COMPUTED_VALUE"""),"Plataforma Playo 6.40 x 2.70 x 0.72 Lateral Doble Baranda Fija")</f>
        <v>Plataforma Playo 6.40 x 2.70 x 0.72 Lateral Doble Baranda Fija</v>
      </c>
      <c r="CX82" s="3" t="str">
        <f>IFERROR(__xludf.DUMMYFUNCTION("""COMPUTED_VALUE"""),"Chasis Acoplado Balancin L4000 Lanza Recta")</f>
        <v>Chasis Acoplado Balancin L4000 Lanza Recta</v>
      </c>
      <c r="CY82" s="3" t="str">
        <f>IFERROR(__xludf.DUMMYFUNCTION("""COMPUTED_VALUE"""),"Llanta simple Agrícola 750x20 centro 152")</f>
        <v>Llanta simple Agrícola 750x20 centro 152</v>
      </c>
      <c r="CZ82" s="3" t="str">
        <f>IFERROR(__xludf.DUMMYFUNCTION("""COMPUTED_VALUE"""),"Cajón de Herramientas Mediano adelante")</f>
        <v>Cajón de Herramientas Mediano adelante</v>
      </c>
      <c r="DA82" s="3" t="str">
        <f>IFERROR(__xludf.DUMMYFUNCTION("""COMPUTED_VALUE"""),"Llanta 15"" Simple Agrícola Centro 92")</f>
        <v>Llanta 15" Simple Agrícola Centro 92</v>
      </c>
    </row>
    <row r="83" hidden="1">
      <c r="A83" s="38">
        <f t="shared" si="1"/>
        <v>82</v>
      </c>
      <c r="B83" s="38">
        <f>IF(F83="","",SUMIF(Prearmados!E:E,F83,Prearmados!A:A))</f>
        <v>12</v>
      </c>
      <c r="C83" s="38">
        <f>IF(F83="","",SUMIF(Productos!E:E,G83,Productos!A:A))</f>
        <v>114</v>
      </c>
      <c r="D83" s="83" t="str">
        <f t="array" ref="D83">IF(OR(F83="",F83="Seleccionar.."),"",XLOOKUP(F83,Prearmados!E:E,Prearmados!F:F,"",0,1))</f>
        <v>Acoplados Rurales</v>
      </c>
      <c r="E83" s="83">
        <f>IF(H83="","",SUMIF(Precio_Productos!K:K,C83,Precio_Productos!J:J)*H83)</f>
        <v>1116000</v>
      </c>
      <c r="F83" s="84" t="s">
        <v>335</v>
      </c>
      <c r="G83" s="84" t="s">
        <v>41</v>
      </c>
      <c r="H83" s="13">
        <v>8.0</v>
      </c>
      <c r="P83" s="3" t="str">
        <f>IFERROR(__xludf.DUMMYFUNCTION("IF(OR(F83="""",F83=""Seleccionar..""),"""",TRANSPOSE(FILTER(Productos!E:E,(Productos!F:F=D83)+(Productos!F:F=XLOOKUP(D83,Implementos!B:B,Implementos!C:C,""-"",0,1)))))"),"Tanque Combustible 1100 lts Bajo")</f>
        <v>Tanque Combustible 1100 lts Bajo</v>
      </c>
      <c r="Q83" s="3" t="str">
        <f>IFERROR(__xludf.DUMMYFUNCTION("""COMPUTED_VALUE"""),"Tanque Combustible 1500 lts Standard")</f>
        <v>Tanque Combustible 1500 lts Standard</v>
      </c>
      <c r="R83" s="3" t="str">
        <f>IFERROR(__xludf.DUMMYFUNCTION("""COMPUTED_VALUE"""),"Tanque Combustible 1800 lts Standard")</f>
        <v>Tanque Combustible 1800 lts Standard</v>
      </c>
      <c r="S83" s="3" t="str">
        <f>IFERROR(__xludf.DUMMYFUNCTION("""COMPUTED_VALUE"""),"Tanque Combustible 2000 lts Bajo")</f>
        <v>Tanque Combustible 2000 lts Bajo</v>
      </c>
      <c r="T83" s="3" t="str">
        <f>IFERROR(__xludf.DUMMYFUNCTION("""COMPUTED_VALUE"""),"Tanque Combustible 2000 lts Standard")</f>
        <v>Tanque Combustible 2000 lts Standard</v>
      </c>
      <c r="U83" s="3" t="str">
        <f>IFERROR(__xludf.DUMMYFUNCTION("""COMPUTED_VALUE"""),"Tanque Combustible 3000 lts Standard")</f>
        <v>Tanque Combustible 3000 lts Standard</v>
      </c>
      <c r="V83" s="3" t="str">
        <f>IFERROR(__xludf.DUMMYFUNCTION("""COMPUTED_VALUE"""),"Tanque Combustible 3000 lts Alto")</f>
        <v>Tanque Combustible 3000 lts Alto</v>
      </c>
      <c r="W83" s="3" t="str">
        <f>IFERROR(__xludf.DUMMYFUNCTION("""COMPUTED_VALUE"""),"Tanque Combustible 4000 lts Standard")</f>
        <v>Tanque Combustible 4000 lts Standard</v>
      </c>
      <c r="X83" s="3" t="str">
        <f>IFERROR(__xludf.DUMMYFUNCTION("""COMPUTED_VALUE"""),"Tanque Combustible 5000 lts Standard")</f>
        <v>Tanque Combustible 5000 lts Standard</v>
      </c>
      <c r="Y83" s="3" t="str">
        <f>IFERROR(__xludf.DUMMYFUNCTION("""COMPUTED_VALUE"""),"Tanque Combustible 5000 lts Alto")</f>
        <v>Tanque Combustible 5000 lts Alto</v>
      </c>
      <c r="Z83" s="3" t="str">
        <f>IFERROR(__xludf.DUMMYFUNCTION("""COMPUTED_VALUE"""),"Tanque Combustible 2000 lts Alto")</f>
        <v>Tanque Combustible 2000 lts Alto</v>
      </c>
      <c r="AA83" s="3" t="str">
        <f>IFERROR(__xludf.DUMMYFUNCTION("""COMPUTED_VALUE"""),"Tanque Combustible 4000 lts Alto")</f>
        <v>Tanque Combustible 4000 lts Alto</v>
      </c>
      <c r="AB83" s="3" t="str">
        <f>IFERROR(__xludf.DUMMYFUNCTION("""COMPUTED_VALUE"""),"Baulera Standard - 750")</f>
        <v>Baulera Standard - 750</v>
      </c>
      <c r="AC83" s="3" t="str">
        <f>IFERROR(__xludf.DUMMYFUNCTION("""COMPUTED_VALUE"""),"Baulera Standard - 1700 - C/Laterales")</f>
        <v>Baulera Standard - 1700 - C/Laterales</v>
      </c>
      <c r="AD83" s="3" t="str">
        <f>IFERROR(__xludf.DUMMYFUNCTION("""COMPUTED_VALUE"""),"Baulera Standard - 1000 - C/Laterales")</f>
        <v>Baulera Standard - 1000 - C/Laterales</v>
      </c>
      <c r="AE83" s="3" t="str">
        <f>IFERROR(__xludf.DUMMYFUNCTION("""COMPUTED_VALUE"""),"Baulera Standard - 750 - C/Laterales")</f>
        <v>Baulera Standard - 750 - C/Laterales</v>
      </c>
      <c r="AF83" s="3" t="str">
        <f>IFERROR(__xludf.DUMMYFUNCTION("""COMPUTED_VALUE"""),"Baulera Standard - 1300 - C/Laterales")</f>
        <v>Baulera Standard - 1300 - C/Laterales</v>
      </c>
      <c r="AG83" s="3" t="str">
        <f>IFERROR(__xludf.DUMMYFUNCTION("""COMPUTED_VALUE"""),"Baulera Alta - 750")</f>
        <v>Baulera Alta - 750</v>
      </c>
      <c r="AH83" s="3" t="str">
        <f>IFERROR(__xludf.DUMMYFUNCTION("""COMPUTED_VALUE"""),"Baulera Alta - 1500 - C/Laterales")</f>
        <v>Baulera Alta - 1500 - C/Laterales</v>
      </c>
      <c r="AI83" s="3" t="str">
        <f>IFERROR(__xludf.DUMMYFUNCTION("""COMPUTED_VALUE"""),"Baulera Extendida 1700 - C/Laterales")</f>
        <v>Baulera Extendida 1700 - C/Laterales</v>
      </c>
      <c r="AJ83" s="3" t="str">
        <f>IFERROR(__xludf.DUMMYFUNCTION("""COMPUTED_VALUE"""),"Taller Móvil - 1500 x 1500 x 1700")</f>
        <v>Taller Móvil - 1500 x 1500 x 1700</v>
      </c>
      <c r="AK83" s="3" t="str">
        <f>IFERROR(__xludf.DUMMYFUNCTION("""COMPUTED_VALUE"""),"Cajón Herramientas Standard Derecho")</f>
        <v>Cajón Herramientas Standard Derecho</v>
      </c>
      <c r="AL83" s="3" t="str">
        <f>IFERROR(__xludf.DUMMYFUNCTION("""COMPUTED_VALUE"""),"Cajón Herramientas Standard Izquierdo")</f>
        <v>Cajón Herramientas Standard Izquierdo</v>
      </c>
      <c r="AM83" s="3" t="str">
        <f>IFERROR(__xludf.DUMMYFUNCTION("""COMPUTED_VALUE"""),"Cajón Herramientas Corto Derecho")</f>
        <v>Cajón Herramientas Corto Derecho</v>
      </c>
      <c r="AN83" s="3" t="str">
        <f>IFERROR(__xludf.DUMMYFUNCTION("""COMPUTED_VALUE"""),"Cajón Herramientas Corto Izquierdo")</f>
        <v>Cajón Herramientas Corto Izquierdo</v>
      </c>
      <c r="AO83" s="3" t="str">
        <f>IFERROR(__xludf.DUMMYFUNCTION("""COMPUTED_VALUE"""),"Cajón Herramientas Mediano Derecho")</f>
        <v>Cajón Herramientas Mediano Derecho</v>
      </c>
      <c r="AP83" s="3" t="str">
        <f>IFERROR(__xludf.DUMMYFUNCTION("""COMPUTED_VALUE"""),"Cajón Herramientas Mediano Izquierdo")</f>
        <v>Cajón Herramientas Mediano Izquierdo</v>
      </c>
      <c r="AQ83" s="3" t="str">
        <f>IFERROR(__xludf.DUMMYFUNCTION("""COMPUTED_VALUE"""),"Chasis Acoplado 2 Ejes L3000")</f>
        <v>Chasis Acoplado 2 Ejes L3000</v>
      </c>
      <c r="AR83" s="3" t="str">
        <f>IFERROR(__xludf.DUMMYFUNCTION("""COMPUTED_VALUE"""),"Chasis Acoplado 2 Ejes L3750")</f>
        <v>Chasis Acoplado 2 Ejes L3750</v>
      </c>
      <c r="AS83" s="3" t="str">
        <f>IFERROR(__xludf.DUMMYFUNCTION("""COMPUTED_VALUE"""),"Chasis Acoplado 2 Ejes L4000")</f>
        <v>Chasis Acoplado 2 Ejes L4000</v>
      </c>
      <c r="AT83" s="3" t="str">
        <f>IFERROR(__xludf.DUMMYFUNCTION("""COMPUTED_VALUE"""),"Chasis Acoplado 2 Ejes L4000 Reforzado")</f>
        <v>Chasis Acoplado 2 Ejes L4000 Reforzado</v>
      </c>
      <c r="AU83" s="3" t="str">
        <f>IFERROR(__xludf.DUMMYFUNCTION("""COMPUTED_VALUE"""),"Chasis Acoplado 2 Ejes L4750")</f>
        <v>Chasis Acoplado 2 Ejes L4750</v>
      </c>
      <c r="AV83" s="3" t="str">
        <f>IFERROR(__xludf.DUMMYFUNCTION("""COMPUTED_VALUE"""),"Chasis Acoplado 2 Ejes L4750 Reforzado")</f>
        <v>Chasis Acoplado 2 Ejes L4750 Reforzado</v>
      </c>
      <c r="AW83" s="3" t="str">
        <f>IFERROR(__xludf.DUMMYFUNCTION("""COMPUTED_VALUE"""),"Chasis Acoplado 2 Ejes L4750 Reforzado R. Camion")</f>
        <v>Chasis Acoplado 2 Ejes L4750 Reforzado R. Camion</v>
      </c>
      <c r="AX83" s="3" t="str">
        <f>IFERROR(__xludf.DUMMYFUNCTION("""COMPUTED_VALUE"""),"Chasis Acoplado 2 Ejes L5000")</f>
        <v>Chasis Acoplado 2 Ejes L5000</v>
      </c>
      <c r="AY83" s="3" t="str">
        <f>IFERROR(__xludf.DUMMYFUNCTION("""COMPUTED_VALUE"""),"Chasis Acoplado 2 Ejes L5750")</f>
        <v>Chasis Acoplado 2 Ejes L5750</v>
      </c>
      <c r="AZ83" s="3" t="str">
        <f>IFERROR(__xludf.DUMMYFUNCTION("""COMPUTED_VALUE"""),"Chasis Acoplado 2 Ejes L6400")</f>
        <v>Chasis Acoplado 2 Ejes L6400</v>
      </c>
      <c r="BA83" s="3" t="str">
        <f>IFERROR(__xludf.DUMMYFUNCTION("""COMPUTED_VALUE"""),"Chasis Acoplado 2 Ejes L4500")</f>
        <v>Chasis Acoplado 2 Ejes L4500</v>
      </c>
      <c r="BB83" s="3" t="str">
        <f>IFERROR(__xludf.DUMMYFUNCTION("""COMPUTED_VALUE"""),"Chasis Acoplado 1 Eje L1500")</f>
        <v>Chasis Acoplado 1 Eje L1500</v>
      </c>
      <c r="BC83" s="3" t="str">
        <f>IFERROR(__xludf.DUMMYFUNCTION("""COMPUTED_VALUE"""),"Chasis Acoplado 1 Eje L1800")</f>
        <v>Chasis Acoplado 1 Eje L1800</v>
      </c>
      <c r="BD83" s="3" t="str">
        <f>IFERROR(__xludf.DUMMYFUNCTION("""COMPUTED_VALUE"""),"Chasis Acoplado 1 Eje L1400")</f>
        <v>Chasis Acoplado 1 Eje L1400</v>
      </c>
      <c r="BE83" s="3" t="str">
        <f>IFERROR(__xludf.DUMMYFUNCTION("""COMPUTED_VALUE"""),"Chasis Acoplado Balancin L3000")</f>
        <v>Chasis Acoplado Balancin L3000</v>
      </c>
      <c r="BF83" s="3" t="str">
        <f>IFERROR(__xludf.DUMMYFUNCTION("""COMPUTED_VALUE"""),"Chasis Acoplado Balancin L3000 Lanza Corta")</f>
        <v>Chasis Acoplado Balancin L3000 Lanza Corta</v>
      </c>
      <c r="BG83" s="3" t="str">
        <f>IFERROR(__xludf.DUMMYFUNCTION("""COMPUTED_VALUE"""),"Chasis Acoplado Balancin L2000 Lanza Corta")</f>
        <v>Chasis Acoplado Balancin L2000 Lanza Corta</v>
      </c>
      <c r="BH83" s="3" t="str">
        <f>IFERROR(__xludf.DUMMYFUNCTION("""COMPUTED_VALUE"""),"Chasis Acoplado Balancin L3200 Lanza Corta")</f>
        <v>Chasis Acoplado Balancin L3200 Lanza Corta</v>
      </c>
      <c r="BI83" s="3" t="str">
        <f>IFERROR(__xludf.DUMMYFUNCTION("""COMPUTED_VALUE"""),"Chasis Acoplado Balancin L3200 Lanza Recta")</f>
        <v>Chasis Acoplado Balancin L3200 Lanza Recta</v>
      </c>
      <c r="BJ83" s="3" t="str">
        <f>IFERROR(__xludf.DUMMYFUNCTION("""COMPUTED_VALUE"""),"Chasis Acoplado Balancin L3200 Bajo Lanza Recta")</f>
        <v>Chasis Acoplado Balancin L3200 Bajo Lanza Recta</v>
      </c>
      <c r="BK83" s="3" t="str">
        <f>IFERROR(__xludf.DUMMYFUNCTION("""COMPUTED_VALUE"""),"Tanque Plastico Horizontal 750 Lts")</f>
        <v>Tanque Plastico Horizontal 750 Lts</v>
      </c>
      <c r="BL83" s="3" t="str">
        <f>IFERROR(__xludf.DUMMYFUNCTION("""COMPUTED_VALUE"""),"Medio Tanque Plastico Superior 700 Lts")</f>
        <v>Medio Tanque Plastico Superior 700 Lts</v>
      </c>
      <c r="BM83" s="3" t="str">
        <f>IFERROR(__xludf.DUMMYFUNCTION("""COMPUTED_VALUE"""),"Paquete de Elasticos 50 mm x 8 mm x 10 Hojas L850")</f>
        <v>Paquete de Elasticos 50 mm x 8 mm x 10 Hojas L850</v>
      </c>
      <c r="BN83" s="3" t="str">
        <f>IFERROR(__xludf.DUMMYFUNCTION("""COMPUTED_VALUE"""),"Paquete de Elasticos 63 mm x 8 mm x 10 Hojas L950")</f>
        <v>Paquete de Elasticos 63 mm x 8 mm x 10 Hojas L950</v>
      </c>
      <c r="BO83" s="3" t="str">
        <f>IFERROR(__xludf.DUMMYFUNCTION("""COMPUTED_VALUE"""),"Paquete de Elasticos 50 mm x 7 mm x 9 Hojas L850")</f>
        <v>Paquete de Elasticos 50 mm x 7 mm x 9 Hojas L850</v>
      </c>
      <c r="BP83" s="3" t="str">
        <f>IFERROR(__xludf.DUMMYFUNCTION("""COMPUTED_VALUE"""),"Paquete de Elasticos 63 mm x 8 mm x 8 Hojas L850")</f>
        <v>Paquete de Elasticos 63 mm x 8 mm x 8 Hojas L850</v>
      </c>
      <c r="BQ83" s="3" t="str">
        <f>IFERROR(__xludf.DUMMYFUNCTION("""COMPUTED_VALUE"""),"Paquete de Elasticos 63 mm x 10 mm x 10 Hojas L950")</f>
        <v>Paquete de Elasticos 63 mm x 10 mm x 10 Hojas L950</v>
      </c>
      <c r="BR83" s="3" t="str">
        <f>IFERROR(__xludf.DUMMYFUNCTION("""COMPUTED_VALUE"""),"Paquete de Elasticos 63 mm x 10 mm x 13 Hojas L975")</f>
        <v>Paquete de Elasticos 63 mm x 10 mm x 13 Hojas L975</v>
      </c>
      <c r="BS83" s="3" t="str">
        <f>IFERROR(__xludf.DUMMYFUNCTION("""COMPUTED_VALUE"""),"Paquete de Elasticos 50 mm x 7 mm x 9 Hojas L650")</f>
        <v>Paquete de Elasticos 50 mm x 7 mm x 9 Hojas L650</v>
      </c>
      <c r="BT83" s="3" t="str">
        <f>IFERROR(__xludf.DUMMYFUNCTION("""COMPUTED_VALUE"""),"Eje Acoplado 2"" x 1600 (06/08) Agrícola Centro 92")</f>
        <v>Eje Acoplado 2" x 1600 (06/08) Agrícola Centro 92</v>
      </c>
      <c r="BU83" s="3" t="str">
        <f>IFERROR(__xludf.DUMMYFUNCTION("""COMPUTED_VALUE"""),"Eje Acoplado 2 1/2"" x 1600 (07/09) Agrícola Centro 92")</f>
        <v>Eje Acoplado 2 1/2" x 1600 (07/09) Agrícola Centro 92</v>
      </c>
      <c r="BV83" s="3" t="str">
        <f>IFERROR(__xludf.DUMMYFUNCTION("""COMPUTED_VALUE"""),"Eje Acoplado 2 1/2"" x 1600 (09/11) Agrícola Centro 150")</f>
        <v>Eje Acoplado 2 1/2" x 1600 (09/11) Agrícola Centro 150</v>
      </c>
      <c r="BW83" s="3" t="str">
        <f>IFERROR(__xludf.DUMMYFUNCTION("""COMPUTED_VALUE"""),"Eje Acoplado 3"" x 1600 (10/13) Agrícola Centro 150")</f>
        <v>Eje Acoplado 3" x 1600 (10/13) Agrícola Centro 150</v>
      </c>
      <c r="BX83" s="3" t="str">
        <f>IFERROR(__xludf.DUMMYFUNCTION("""COMPUTED_VALUE"""),"Eje Acoplado 2 1/2"" x 2140 (07/09) Agrícola Centro 92")</f>
        <v>Eje Acoplado 2 1/2" x 2140 (07/09) Agrícola Centro 92</v>
      </c>
      <c r="BY83" s="3" t="str">
        <f>IFERROR(__xludf.DUMMYFUNCTION("""COMPUTED_VALUE"""),"Eje Acoplado 2"" x 1400 (06/08) Agrícola Centro 92")</f>
        <v>Eje Acoplado 2" x 1400 (06/08) Agrícola Centro 92</v>
      </c>
      <c r="BZ83" s="3" t="str">
        <f>IFERROR(__xludf.DUMMYFUNCTION("""COMPUTED_VALUE"""),"Eje Acoplado 2 1/2"" x 1500 (07/09) Agrícola Centro 92")</f>
        <v>Eje Acoplado 2 1/2" x 1500 (07/09) Agrícola Centro 92</v>
      </c>
      <c r="CA83" s="3" t="str">
        <f>IFERROR(__xludf.DUMMYFUNCTION("""COMPUTED_VALUE"""),"Eje Acoplado 2 1/2"" x 2000 (07/09) Agrícola Centro 92")</f>
        <v>Eje Acoplado 2 1/2" x 2000 (07/09) Agrícola Centro 92</v>
      </c>
      <c r="CB83" s="3" t="str">
        <f>IFERROR(__xludf.DUMMYFUNCTION("""COMPUTED_VALUE"""),"Eje Acoplado 2 1/2"" x 2100 (09/11) Agrícola Centro 150")</f>
        <v>Eje Acoplado 2 1/2" x 2100 (09/11) Agrícola Centro 150</v>
      </c>
      <c r="CC83" s="3" t="str">
        <f>IFERROR(__xludf.DUMMYFUNCTION("""COMPUTED_VALUE"""),"Llanta 16"" Simple Agrícola Centro 92")</f>
        <v>Llanta 16" Simple Agrícola Centro 92</v>
      </c>
      <c r="CD83" s="3" t="str">
        <f>IFERROR(__xludf.DUMMYFUNCTION("""COMPUTED_VALUE"""),"Llanta 16"" Dual Agrícola Centro 92")</f>
        <v>Llanta 16" Dual Agrícola Centro 92</v>
      </c>
      <c r="CE83" s="3" t="str">
        <f>IFERROR(__xludf.DUMMYFUNCTION("""COMPUTED_VALUE"""),"Llanta 17"" Simple Agrícola Centro 92")</f>
        <v>Llanta 17" Simple Agrícola Centro 92</v>
      </c>
      <c r="CF83" s="3" t="str">
        <f>IFERROR(__xludf.DUMMYFUNCTION("""COMPUTED_VALUE"""),"Llanta 17"" Dual Agrícola Centro 92")</f>
        <v>Llanta 17" Dual Agrícola Centro 92</v>
      </c>
      <c r="CG83" s="3" t="str">
        <f>IFERROR(__xludf.DUMMYFUNCTION("""COMPUTED_VALUE"""),"Llanta 16"" Dual Agrícola Centro 152")</f>
        <v>Llanta 16" Dual Agrícola Centro 152</v>
      </c>
      <c r="CH83" s="3" t="str">
        <f>IFERROR(__xludf.DUMMYFUNCTION("""COMPUTED_VALUE"""),"Llanta 17"" Dual Agrícola Centro 152")</f>
        <v>Llanta 17" Dual Agrícola Centro 152</v>
      </c>
      <c r="CI83" s="3" t="str">
        <f>IFERROR(__xludf.DUMMYFUNCTION("""COMPUTED_VALUE"""),"Eje Acoplado 2"" x 1600 (05/07) Agrícola Centro 92")</f>
        <v>Eje Acoplado 2" x 1600 (05/07) Agrícola Centro 92</v>
      </c>
      <c r="CJ83" s="3" t="str">
        <f>IFERROR(__xludf.DUMMYFUNCTION("""COMPUTED_VALUE"""),"Paquete de Elásticos 50 mm x 8 mm x 12 Hojas")</f>
        <v>Paquete de Elásticos 50 mm x 8 mm x 12 Hojas</v>
      </c>
      <c r="CK83" s="3" t="str">
        <f>IFERROR(__xludf.DUMMYFUNCTION("""COMPUTED_VALUE"""),"Plataforma Playo 4.00 x 1.90 x 0.45 Lateral Simple Baranda Fija")</f>
        <v>Plataforma Playo 4.00 x 1.90 x 0.45 Lateral Simple Baranda Fija</v>
      </c>
      <c r="CL83" s="3" t="str">
        <f>IFERROR(__xludf.DUMMYFUNCTION("""COMPUTED_VALUE"""),"Plataforma Playo 4.00 x 1.90 x 0.45 Lateral Simple Baranda Ventilada")</f>
        <v>Plataforma Playo 4.00 x 1.90 x 0.45 Lateral Simple Baranda Ventilada</v>
      </c>
      <c r="CM83" s="3" t="str">
        <f>IFERROR(__xludf.DUMMYFUNCTION("""COMPUTED_VALUE"""),"Plataforma Playo 4.00 x 1.90 x 0.45 Lateral Doble Baranda Ventilada")</f>
        <v>Plataforma Playo 4.00 x 1.90 x 0.45 Lateral Doble Baranda Ventilada</v>
      </c>
      <c r="CN83" s="3" t="str">
        <f>IFERROR(__xludf.DUMMYFUNCTION("""COMPUTED_VALUE"""),"Plataforma Playo 4.00 x 1.90 x 0.45 Lateral Doble Baranda Fija")</f>
        <v>Plataforma Playo 4.00 x 1.90 x 0.45 Lateral Doble Baranda Fija</v>
      </c>
      <c r="CO83" s="3" t="str">
        <f>IFERROR(__xludf.DUMMYFUNCTION("""COMPUTED_VALUE"""),"Plataforma Playo 4.00 x 1.90 x 0.72 Lateral Simple Baranda Fija")</f>
        <v>Plataforma Playo 4.00 x 1.90 x 0.72 Lateral Simple Baranda Fija</v>
      </c>
      <c r="CP83" s="3" t="str">
        <f>IFERROR(__xludf.DUMMYFUNCTION("""COMPUTED_VALUE"""),"Plataforma Playo 4.00 x 1.90 x 0.72 Lateral Doble Baranda Fija")</f>
        <v>Plataforma Playo 4.00 x 1.90 x 0.72 Lateral Doble Baranda Fija</v>
      </c>
      <c r="CQ83" s="3" t="str">
        <f>IFERROR(__xludf.DUMMYFUNCTION("""COMPUTED_VALUE"""),"Plataforma Playo 5.00 x 2.20 x 0.60 Lateral Doble Trasera Rebatible")</f>
        <v>Plataforma Playo 5.00 x 2.20 x 0.60 Lateral Doble Trasera Rebatible</v>
      </c>
      <c r="CR83" s="3" t="str">
        <f>IFERROR(__xludf.DUMMYFUNCTION("""COMPUTED_VALUE"""),"Plataforma Playo 5.00 x 2.20 x 0.60 Lateral Doble Baranda Fija C/Toldo")</f>
        <v>Plataforma Playo 5.00 x 2.20 x 0.60 Lateral Doble Baranda Fija C/Toldo</v>
      </c>
      <c r="CS83" s="3" t="str">
        <f>IFERROR(__xludf.DUMMYFUNCTION("""COMPUTED_VALUE"""),"Plataforma Playo 3.00 x 1.90 x 0.45 Lateral Simple Baranda Fija")</f>
        <v>Plataforma Playo 3.00 x 1.90 x 0.45 Lateral Simple Baranda Fija</v>
      </c>
      <c r="CT83" s="3" t="str">
        <f>IFERROR(__xludf.DUMMYFUNCTION("""COMPUTED_VALUE"""),"Plataforma Playo 3.00 x 1.90 x 0.45 Lateral Simple Baranda Ventilada")</f>
        <v>Plataforma Playo 3.00 x 1.90 x 0.45 Lateral Simple Baranda Ventilada</v>
      </c>
      <c r="CU83" s="3" t="str">
        <f>IFERROR(__xludf.DUMMYFUNCTION("""COMPUTED_VALUE"""),"Plataforma Playo 2.00 x 1.90 x 0.45 Lateral Simple Baranda Fija")</f>
        <v>Plataforma Playo 2.00 x 1.90 x 0.45 Lateral Simple Baranda Fija</v>
      </c>
      <c r="CV83" s="3" t="str">
        <f>IFERROR(__xludf.DUMMYFUNCTION("""COMPUTED_VALUE"""),"Plataforma Playo 5.00 x 1.90 x 0.60 Lateral Doble Baranda Fija")</f>
        <v>Plataforma Playo 5.00 x 1.90 x 0.60 Lateral Doble Baranda Fija</v>
      </c>
      <c r="CW83" s="3" t="str">
        <f>IFERROR(__xludf.DUMMYFUNCTION("""COMPUTED_VALUE"""),"Plataforma Playo 6.40 x 2.70 x 0.72 Lateral Doble Baranda Fija")</f>
        <v>Plataforma Playo 6.40 x 2.70 x 0.72 Lateral Doble Baranda Fija</v>
      </c>
      <c r="CX83" s="3" t="str">
        <f>IFERROR(__xludf.DUMMYFUNCTION("""COMPUTED_VALUE"""),"Chasis Acoplado Balancin L4000 Lanza Recta")</f>
        <v>Chasis Acoplado Balancin L4000 Lanza Recta</v>
      </c>
      <c r="CY83" s="3" t="str">
        <f>IFERROR(__xludf.DUMMYFUNCTION("""COMPUTED_VALUE"""),"Llanta simple Agrícola 750x20 centro 152")</f>
        <v>Llanta simple Agrícola 750x20 centro 152</v>
      </c>
      <c r="CZ83" s="3" t="str">
        <f>IFERROR(__xludf.DUMMYFUNCTION("""COMPUTED_VALUE"""),"Cajón de Herramientas Mediano adelante")</f>
        <v>Cajón de Herramientas Mediano adelante</v>
      </c>
      <c r="DA83" s="3" t="str">
        <f>IFERROR(__xludf.DUMMYFUNCTION("""COMPUTED_VALUE"""),"Llanta 15"" Simple Agrícola Centro 92")</f>
        <v>Llanta 15" Simple Agrícola Centro 92</v>
      </c>
    </row>
    <row r="84" hidden="1">
      <c r="A84" s="38">
        <f t="shared" si="1"/>
        <v>83</v>
      </c>
      <c r="B84" s="38">
        <f>IF(F84="","",SUMIF(Prearmados!E:E,F84,Prearmados!A:A))</f>
        <v>18</v>
      </c>
      <c r="C84" s="38">
        <f>IF(F84="","",SUMIF(Productos!E:E,G84,Productos!A:A))</f>
        <v>50</v>
      </c>
      <c r="D84" s="83" t="str">
        <f t="array" ref="D84">IF(OR(F84="",F84="Seleccionar.."),"",XLOOKUP(F84,Prearmados!E:E,Prearmados!F:F,"",0,1))</f>
        <v>Acoplados Rurales</v>
      </c>
      <c r="E84" s="83">
        <f>IF(H84="","",SUMIF(Precio_Productos!K:K,C84,Precio_Productos!J:J)*H84)</f>
        <v>2500000</v>
      </c>
      <c r="F84" s="84" t="s">
        <v>341</v>
      </c>
      <c r="G84" s="84" t="s">
        <v>61</v>
      </c>
      <c r="H84" s="13">
        <v>1.0</v>
      </c>
      <c r="P84" s="3" t="str">
        <f>IFERROR(__xludf.DUMMYFUNCTION("IF(OR(F84="""",F84=""Seleccionar..""),"""",TRANSPOSE(FILTER(Productos!E:E,(Productos!F:F=D84)+(Productos!F:F=XLOOKUP(D84,Implementos!B:B,Implementos!C:C,""-"",0,1)))))"),"Tanque Combustible 1100 lts Bajo")</f>
        <v>Tanque Combustible 1100 lts Bajo</v>
      </c>
      <c r="Q84" s="3" t="str">
        <f>IFERROR(__xludf.DUMMYFUNCTION("""COMPUTED_VALUE"""),"Tanque Combustible 1500 lts Standard")</f>
        <v>Tanque Combustible 1500 lts Standard</v>
      </c>
      <c r="R84" s="3" t="str">
        <f>IFERROR(__xludf.DUMMYFUNCTION("""COMPUTED_VALUE"""),"Tanque Combustible 1800 lts Standard")</f>
        <v>Tanque Combustible 1800 lts Standard</v>
      </c>
      <c r="S84" s="3" t="str">
        <f>IFERROR(__xludf.DUMMYFUNCTION("""COMPUTED_VALUE"""),"Tanque Combustible 2000 lts Bajo")</f>
        <v>Tanque Combustible 2000 lts Bajo</v>
      </c>
      <c r="T84" s="3" t="str">
        <f>IFERROR(__xludf.DUMMYFUNCTION("""COMPUTED_VALUE"""),"Tanque Combustible 2000 lts Standard")</f>
        <v>Tanque Combustible 2000 lts Standard</v>
      </c>
      <c r="U84" s="3" t="str">
        <f>IFERROR(__xludf.DUMMYFUNCTION("""COMPUTED_VALUE"""),"Tanque Combustible 3000 lts Standard")</f>
        <v>Tanque Combustible 3000 lts Standard</v>
      </c>
      <c r="V84" s="3" t="str">
        <f>IFERROR(__xludf.DUMMYFUNCTION("""COMPUTED_VALUE"""),"Tanque Combustible 3000 lts Alto")</f>
        <v>Tanque Combustible 3000 lts Alto</v>
      </c>
      <c r="W84" s="3" t="str">
        <f>IFERROR(__xludf.DUMMYFUNCTION("""COMPUTED_VALUE"""),"Tanque Combustible 4000 lts Standard")</f>
        <v>Tanque Combustible 4000 lts Standard</v>
      </c>
      <c r="X84" s="3" t="str">
        <f>IFERROR(__xludf.DUMMYFUNCTION("""COMPUTED_VALUE"""),"Tanque Combustible 5000 lts Standard")</f>
        <v>Tanque Combustible 5000 lts Standard</v>
      </c>
      <c r="Y84" s="3" t="str">
        <f>IFERROR(__xludf.DUMMYFUNCTION("""COMPUTED_VALUE"""),"Tanque Combustible 5000 lts Alto")</f>
        <v>Tanque Combustible 5000 lts Alto</v>
      </c>
      <c r="Z84" s="3" t="str">
        <f>IFERROR(__xludf.DUMMYFUNCTION("""COMPUTED_VALUE"""),"Tanque Combustible 2000 lts Alto")</f>
        <v>Tanque Combustible 2000 lts Alto</v>
      </c>
      <c r="AA84" s="3" t="str">
        <f>IFERROR(__xludf.DUMMYFUNCTION("""COMPUTED_VALUE"""),"Tanque Combustible 4000 lts Alto")</f>
        <v>Tanque Combustible 4000 lts Alto</v>
      </c>
      <c r="AB84" s="3" t="str">
        <f>IFERROR(__xludf.DUMMYFUNCTION("""COMPUTED_VALUE"""),"Baulera Standard - 750")</f>
        <v>Baulera Standard - 750</v>
      </c>
      <c r="AC84" s="3" t="str">
        <f>IFERROR(__xludf.DUMMYFUNCTION("""COMPUTED_VALUE"""),"Baulera Standard - 1700 - C/Laterales")</f>
        <v>Baulera Standard - 1700 - C/Laterales</v>
      </c>
      <c r="AD84" s="3" t="str">
        <f>IFERROR(__xludf.DUMMYFUNCTION("""COMPUTED_VALUE"""),"Baulera Standard - 1000 - C/Laterales")</f>
        <v>Baulera Standard - 1000 - C/Laterales</v>
      </c>
      <c r="AE84" s="3" t="str">
        <f>IFERROR(__xludf.DUMMYFUNCTION("""COMPUTED_VALUE"""),"Baulera Standard - 750 - C/Laterales")</f>
        <v>Baulera Standard - 750 - C/Laterales</v>
      </c>
      <c r="AF84" s="3" t="str">
        <f>IFERROR(__xludf.DUMMYFUNCTION("""COMPUTED_VALUE"""),"Baulera Standard - 1300 - C/Laterales")</f>
        <v>Baulera Standard - 1300 - C/Laterales</v>
      </c>
      <c r="AG84" s="3" t="str">
        <f>IFERROR(__xludf.DUMMYFUNCTION("""COMPUTED_VALUE"""),"Baulera Alta - 750")</f>
        <v>Baulera Alta - 750</v>
      </c>
      <c r="AH84" s="3" t="str">
        <f>IFERROR(__xludf.DUMMYFUNCTION("""COMPUTED_VALUE"""),"Baulera Alta - 1500 - C/Laterales")</f>
        <v>Baulera Alta - 1500 - C/Laterales</v>
      </c>
      <c r="AI84" s="3" t="str">
        <f>IFERROR(__xludf.DUMMYFUNCTION("""COMPUTED_VALUE"""),"Baulera Extendida 1700 - C/Laterales")</f>
        <v>Baulera Extendida 1700 - C/Laterales</v>
      </c>
      <c r="AJ84" s="3" t="str">
        <f>IFERROR(__xludf.DUMMYFUNCTION("""COMPUTED_VALUE"""),"Taller Móvil - 1500 x 1500 x 1700")</f>
        <v>Taller Móvil - 1500 x 1500 x 1700</v>
      </c>
      <c r="AK84" s="3" t="str">
        <f>IFERROR(__xludf.DUMMYFUNCTION("""COMPUTED_VALUE"""),"Cajón Herramientas Standard Derecho")</f>
        <v>Cajón Herramientas Standard Derecho</v>
      </c>
      <c r="AL84" s="3" t="str">
        <f>IFERROR(__xludf.DUMMYFUNCTION("""COMPUTED_VALUE"""),"Cajón Herramientas Standard Izquierdo")</f>
        <v>Cajón Herramientas Standard Izquierdo</v>
      </c>
      <c r="AM84" s="3" t="str">
        <f>IFERROR(__xludf.DUMMYFUNCTION("""COMPUTED_VALUE"""),"Cajón Herramientas Corto Derecho")</f>
        <v>Cajón Herramientas Corto Derecho</v>
      </c>
      <c r="AN84" s="3" t="str">
        <f>IFERROR(__xludf.DUMMYFUNCTION("""COMPUTED_VALUE"""),"Cajón Herramientas Corto Izquierdo")</f>
        <v>Cajón Herramientas Corto Izquierdo</v>
      </c>
      <c r="AO84" s="3" t="str">
        <f>IFERROR(__xludf.DUMMYFUNCTION("""COMPUTED_VALUE"""),"Cajón Herramientas Mediano Derecho")</f>
        <v>Cajón Herramientas Mediano Derecho</v>
      </c>
      <c r="AP84" s="3" t="str">
        <f>IFERROR(__xludf.DUMMYFUNCTION("""COMPUTED_VALUE"""),"Cajón Herramientas Mediano Izquierdo")</f>
        <v>Cajón Herramientas Mediano Izquierdo</v>
      </c>
      <c r="AQ84" s="3" t="str">
        <f>IFERROR(__xludf.DUMMYFUNCTION("""COMPUTED_VALUE"""),"Chasis Acoplado 2 Ejes L3000")</f>
        <v>Chasis Acoplado 2 Ejes L3000</v>
      </c>
      <c r="AR84" s="3" t="str">
        <f>IFERROR(__xludf.DUMMYFUNCTION("""COMPUTED_VALUE"""),"Chasis Acoplado 2 Ejes L3750")</f>
        <v>Chasis Acoplado 2 Ejes L3750</v>
      </c>
      <c r="AS84" s="3" t="str">
        <f>IFERROR(__xludf.DUMMYFUNCTION("""COMPUTED_VALUE"""),"Chasis Acoplado 2 Ejes L4000")</f>
        <v>Chasis Acoplado 2 Ejes L4000</v>
      </c>
      <c r="AT84" s="3" t="str">
        <f>IFERROR(__xludf.DUMMYFUNCTION("""COMPUTED_VALUE"""),"Chasis Acoplado 2 Ejes L4000 Reforzado")</f>
        <v>Chasis Acoplado 2 Ejes L4000 Reforzado</v>
      </c>
      <c r="AU84" s="3" t="str">
        <f>IFERROR(__xludf.DUMMYFUNCTION("""COMPUTED_VALUE"""),"Chasis Acoplado 2 Ejes L4750")</f>
        <v>Chasis Acoplado 2 Ejes L4750</v>
      </c>
      <c r="AV84" s="3" t="str">
        <f>IFERROR(__xludf.DUMMYFUNCTION("""COMPUTED_VALUE"""),"Chasis Acoplado 2 Ejes L4750 Reforzado")</f>
        <v>Chasis Acoplado 2 Ejes L4750 Reforzado</v>
      </c>
      <c r="AW84" s="3" t="str">
        <f>IFERROR(__xludf.DUMMYFUNCTION("""COMPUTED_VALUE"""),"Chasis Acoplado 2 Ejes L4750 Reforzado R. Camion")</f>
        <v>Chasis Acoplado 2 Ejes L4750 Reforzado R. Camion</v>
      </c>
      <c r="AX84" s="3" t="str">
        <f>IFERROR(__xludf.DUMMYFUNCTION("""COMPUTED_VALUE"""),"Chasis Acoplado 2 Ejes L5000")</f>
        <v>Chasis Acoplado 2 Ejes L5000</v>
      </c>
      <c r="AY84" s="3" t="str">
        <f>IFERROR(__xludf.DUMMYFUNCTION("""COMPUTED_VALUE"""),"Chasis Acoplado 2 Ejes L5750")</f>
        <v>Chasis Acoplado 2 Ejes L5750</v>
      </c>
      <c r="AZ84" s="3" t="str">
        <f>IFERROR(__xludf.DUMMYFUNCTION("""COMPUTED_VALUE"""),"Chasis Acoplado 2 Ejes L6400")</f>
        <v>Chasis Acoplado 2 Ejes L6400</v>
      </c>
      <c r="BA84" s="3" t="str">
        <f>IFERROR(__xludf.DUMMYFUNCTION("""COMPUTED_VALUE"""),"Chasis Acoplado 2 Ejes L4500")</f>
        <v>Chasis Acoplado 2 Ejes L4500</v>
      </c>
      <c r="BB84" s="3" t="str">
        <f>IFERROR(__xludf.DUMMYFUNCTION("""COMPUTED_VALUE"""),"Chasis Acoplado 1 Eje L1500")</f>
        <v>Chasis Acoplado 1 Eje L1500</v>
      </c>
      <c r="BC84" s="3" t="str">
        <f>IFERROR(__xludf.DUMMYFUNCTION("""COMPUTED_VALUE"""),"Chasis Acoplado 1 Eje L1800")</f>
        <v>Chasis Acoplado 1 Eje L1800</v>
      </c>
      <c r="BD84" s="3" t="str">
        <f>IFERROR(__xludf.DUMMYFUNCTION("""COMPUTED_VALUE"""),"Chasis Acoplado 1 Eje L1400")</f>
        <v>Chasis Acoplado 1 Eje L1400</v>
      </c>
      <c r="BE84" s="3" t="str">
        <f>IFERROR(__xludf.DUMMYFUNCTION("""COMPUTED_VALUE"""),"Chasis Acoplado Balancin L3000")</f>
        <v>Chasis Acoplado Balancin L3000</v>
      </c>
      <c r="BF84" s="3" t="str">
        <f>IFERROR(__xludf.DUMMYFUNCTION("""COMPUTED_VALUE"""),"Chasis Acoplado Balancin L3000 Lanza Corta")</f>
        <v>Chasis Acoplado Balancin L3000 Lanza Corta</v>
      </c>
      <c r="BG84" s="3" t="str">
        <f>IFERROR(__xludf.DUMMYFUNCTION("""COMPUTED_VALUE"""),"Chasis Acoplado Balancin L2000 Lanza Corta")</f>
        <v>Chasis Acoplado Balancin L2000 Lanza Corta</v>
      </c>
      <c r="BH84" s="3" t="str">
        <f>IFERROR(__xludf.DUMMYFUNCTION("""COMPUTED_VALUE"""),"Chasis Acoplado Balancin L3200 Lanza Corta")</f>
        <v>Chasis Acoplado Balancin L3200 Lanza Corta</v>
      </c>
      <c r="BI84" s="3" t="str">
        <f>IFERROR(__xludf.DUMMYFUNCTION("""COMPUTED_VALUE"""),"Chasis Acoplado Balancin L3200 Lanza Recta")</f>
        <v>Chasis Acoplado Balancin L3200 Lanza Recta</v>
      </c>
      <c r="BJ84" s="3" t="str">
        <f>IFERROR(__xludf.DUMMYFUNCTION("""COMPUTED_VALUE"""),"Chasis Acoplado Balancin L3200 Bajo Lanza Recta")</f>
        <v>Chasis Acoplado Balancin L3200 Bajo Lanza Recta</v>
      </c>
      <c r="BK84" s="3" t="str">
        <f>IFERROR(__xludf.DUMMYFUNCTION("""COMPUTED_VALUE"""),"Tanque Plastico Horizontal 750 Lts")</f>
        <v>Tanque Plastico Horizontal 750 Lts</v>
      </c>
      <c r="BL84" s="3" t="str">
        <f>IFERROR(__xludf.DUMMYFUNCTION("""COMPUTED_VALUE"""),"Medio Tanque Plastico Superior 700 Lts")</f>
        <v>Medio Tanque Plastico Superior 700 Lts</v>
      </c>
      <c r="BM84" s="3" t="str">
        <f>IFERROR(__xludf.DUMMYFUNCTION("""COMPUTED_VALUE"""),"Paquete de Elasticos 50 mm x 8 mm x 10 Hojas L850")</f>
        <v>Paquete de Elasticos 50 mm x 8 mm x 10 Hojas L850</v>
      </c>
      <c r="BN84" s="3" t="str">
        <f>IFERROR(__xludf.DUMMYFUNCTION("""COMPUTED_VALUE"""),"Paquete de Elasticos 63 mm x 8 mm x 10 Hojas L950")</f>
        <v>Paquete de Elasticos 63 mm x 8 mm x 10 Hojas L950</v>
      </c>
      <c r="BO84" s="3" t="str">
        <f>IFERROR(__xludf.DUMMYFUNCTION("""COMPUTED_VALUE"""),"Paquete de Elasticos 50 mm x 7 mm x 9 Hojas L850")</f>
        <v>Paquete de Elasticos 50 mm x 7 mm x 9 Hojas L850</v>
      </c>
      <c r="BP84" s="3" t="str">
        <f>IFERROR(__xludf.DUMMYFUNCTION("""COMPUTED_VALUE"""),"Paquete de Elasticos 63 mm x 8 mm x 8 Hojas L850")</f>
        <v>Paquete de Elasticos 63 mm x 8 mm x 8 Hojas L850</v>
      </c>
      <c r="BQ84" s="3" t="str">
        <f>IFERROR(__xludf.DUMMYFUNCTION("""COMPUTED_VALUE"""),"Paquete de Elasticos 63 mm x 10 mm x 10 Hojas L950")</f>
        <v>Paquete de Elasticos 63 mm x 10 mm x 10 Hojas L950</v>
      </c>
      <c r="BR84" s="3" t="str">
        <f>IFERROR(__xludf.DUMMYFUNCTION("""COMPUTED_VALUE"""),"Paquete de Elasticos 63 mm x 10 mm x 13 Hojas L975")</f>
        <v>Paquete de Elasticos 63 mm x 10 mm x 13 Hojas L975</v>
      </c>
      <c r="BS84" s="3" t="str">
        <f>IFERROR(__xludf.DUMMYFUNCTION("""COMPUTED_VALUE"""),"Paquete de Elasticos 50 mm x 7 mm x 9 Hojas L650")</f>
        <v>Paquete de Elasticos 50 mm x 7 mm x 9 Hojas L650</v>
      </c>
      <c r="BT84" s="3" t="str">
        <f>IFERROR(__xludf.DUMMYFUNCTION("""COMPUTED_VALUE"""),"Eje Acoplado 2"" x 1600 (06/08) Agrícola Centro 92")</f>
        <v>Eje Acoplado 2" x 1600 (06/08) Agrícola Centro 92</v>
      </c>
      <c r="BU84" s="3" t="str">
        <f>IFERROR(__xludf.DUMMYFUNCTION("""COMPUTED_VALUE"""),"Eje Acoplado 2 1/2"" x 1600 (07/09) Agrícola Centro 92")</f>
        <v>Eje Acoplado 2 1/2" x 1600 (07/09) Agrícola Centro 92</v>
      </c>
      <c r="BV84" s="3" t="str">
        <f>IFERROR(__xludf.DUMMYFUNCTION("""COMPUTED_VALUE"""),"Eje Acoplado 2 1/2"" x 1600 (09/11) Agrícola Centro 150")</f>
        <v>Eje Acoplado 2 1/2" x 1600 (09/11) Agrícola Centro 150</v>
      </c>
      <c r="BW84" s="3" t="str">
        <f>IFERROR(__xludf.DUMMYFUNCTION("""COMPUTED_VALUE"""),"Eje Acoplado 3"" x 1600 (10/13) Agrícola Centro 150")</f>
        <v>Eje Acoplado 3" x 1600 (10/13) Agrícola Centro 150</v>
      </c>
      <c r="BX84" s="3" t="str">
        <f>IFERROR(__xludf.DUMMYFUNCTION("""COMPUTED_VALUE"""),"Eje Acoplado 2 1/2"" x 2140 (07/09) Agrícola Centro 92")</f>
        <v>Eje Acoplado 2 1/2" x 2140 (07/09) Agrícola Centro 92</v>
      </c>
      <c r="BY84" s="3" t="str">
        <f>IFERROR(__xludf.DUMMYFUNCTION("""COMPUTED_VALUE"""),"Eje Acoplado 2"" x 1400 (06/08) Agrícola Centro 92")</f>
        <v>Eje Acoplado 2" x 1400 (06/08) Agrícola Centro 92</v>
      </c>
      <c r="BZ84" s="3" t="str">
        <f>IFERROR(__xludf.DUMMYFUNCTION("""COMPUTED_VALUE"""),"Eje Acoplado 2 1/2"" x 1500 (07/09) Agrícola Centro 92")</f>
        <v>Eje Acoplado 2 1/2" x 1500 (07/09) Agrícola Centro 92</v>
      </c>
      <c r="CA84" s="3" t="str">
        <f>IFERROR(__xludf.DUMMYFUNCTION("""COMPUTED_VALUE"""),"Eje Acoplado 2 1/2"" x 2000 (07/09) Agrícola Centro 92")</f>
        <v>Eje Acoplado 2 1/2" x 2000 (07/09) Agrícola Centro 92</v>
      </c>
      <c r="CB84" s="3" t="str">
        <f>IFERROR(__xludf.DUMMYFUNCTION("""COMPUTED_VALUE"""),"Eje Acoplado 2 1/2"" x 2100 (09/11) Agrícola Centro 150")</f>
        <v>Eje Acoplado 2 1/2" x 2100 (09/11) Agrícola Centro 150</v>
      </c>
      <c r="CC84" s="3" t="str">
        <f>IFERROR(__xludf.DUMMYFUNCTION("""COMPUTED_VALUE"""),"Llanta 16"" Simple Agrícola Centro 92")</f>
        <v>Llanta 16" Simple Agrícola Centro 92</v>
      </c>
      <c r="CD84" s="3" t="str">
        <f>IFERROR(__xludf.DUMMYFUNCTION("""COMPUTED_VALUE"""),"Llanta 16"" Dual Agrícola Centro 92")</f>
        <v>Llanta 16" Dual Agrícola Centro 92</v>
      </c>
      <c r="CE84" s="3" t="str">
        <f>IFERROR(__xludf.DUMMYFUNCTION("""COMPUTED_VALUE"""),"Llanta 17"" Simple Agrícola Centro 92")</f>
        <v>Llanta 17" Simple Agrícola Centro 92</v>
      </c>
      <c r="CF84" s="3" t="str">
        <f>IFERROR(__xludf.DUMMYFUNCTION("""COMPUTED_VALUE"""),"Llanta 17"" Dual Agrícola Centro 92")</f>
        <v>Llanta 17" Dual Agrícola Centro 92</v>
      </c>
      <c r="CG84" s="3" t="str">
        <f>IFERROR(__xludf.DUMMYFUNCTION("""COMPUTED_VALUE"""),"Llanta 16"" Dual Agrícola Centro 152")</f>
        <v>Llanta 16" Dual Agrícola Centro 152</v>
      </c>
      <c r="CH84" s="3" t="str">
        <f>IFERROR(__xludf.DUMMYFUNCTION("""COMPUTED_VALUE"""),"Llanta 17"" Dual Agrícola Centro 152")</f>
        <v>Llanta 17" Dual Agrícola Centro 152</v>
      </c>
      <c r="CI84" s="3" t="str">
        <f>IFERROR(__xludf.DUMMYFUNCTION("""COMPUTED_VALUE"""),"Eje Acoplado 2"" x 1600 (05/07) Agrícola Centro 92")</f>
        <v>Eje Acoplado 2" x 1600 (05/07) Agrícola Centro 92</v>
      </c>
      <c r="CJ84" s="3" t="str">
        <f>IFERROR(__xludf.DUMMYFUNCTION("""COMPUTED_VALUE"""),"Paquete de Elásticos 50 mm x 8 mm x 12 Hojas")</f>
        <v>Paquete de Elásticos 50 mm x 8 mm x 12 Hojas</v>
      </c>
      <c r="CK84" s="3" t="str">
        <f>IFERROR(__xludf.DUMMYFUNCTION("""COMPUTED_VALUE"""),"Plataforma Playo 4.00 x 1.90 x 0.45 Lateral Simple Baranda Fija")</f>
        <v>Plataforma Playo 4.00 x 1.90 x 0.45 Lateral Simple Baranda Fija</v>
      </c>
      <c r="CL84" s="3" t="str">
        <f>IFERROR(__xludf.DUMMYFUNCTION("""COMPUTED_VALUE"""),"Plataforma Playo 4.00 x 1.90 x 0.45 Lateral Simple Baranda Ventilada")</f>
        <v>Plataforma Playo 4.00 x 1.90 x 0.45 Lateral Simple Baranda Ventilada</v>
      </c>
      <c r="CM84" s="3" t="str">
        <f>IFERROR(__xludf.DUMMYFUNCTION("""COMPUTED_VALUE"""),"Plataforma Playo 4.00 x 1.90 x 0.45 Lateral Doble Baranda Ventilada")</f>
        <v>Plataforma Playo 4.00 x 1.90 x 0.45 Lateral Doble Baranda Ventilada</v>
      </c>
      <c r="CN84" s="3" t="str">
        <f>IFERROR(__xludf.DUMMYFUNCTION("""COMPUTED_VALUE"""),"Plataforma Playo 4.00 x 1.90 x 0.45 Lateral Doble Baranda Fija")</f>
        <v>Plataforma Playo 4.00 x 1.90 x 0.45 Lateral Doble Baranda Fija</v>
      </c>
      <c r="CO84" s="3" t="str">
        <f>IFERROR(__xludf.DUMMYFUNCTION("""COMPUTED_VALUE"""),"Plataforma Playo 4.00 x 1.90 x 0.72 Lateral Simple Baranda Fija")</f>
        <v>Plataforma Playo 4.00 x 1.90 x 0.72 Lateral Simple Baranda Fija</v>
      </c>
      <c r="CP84" s="3" t="str">
        <f>IFERROR(__xludf.DUMMYFUNCTION("""COMPUTED_VALUE"""),"Plataforma Playo 4.00 x 1.90 x 0.72 Lateral Doble Baranda Fija")</f>
        <v>Plataforma Playo 4.00 x 1.90 x 0.72 Lateral Doble Baranda Fija</v>
      </c>
      <c r="CQ84" s="3" t="str">
        <f>IFERROR(__xludf.DUMMYFUNCTION("""COMPUTED_VALUE"""),"Plataforma Playo 5.00 x 2.20 x 0.60 Lateral Doble Trasera Rebatible")</f>
        <v>Plataforma Playo 5.00 x 2.20 x 0.60 Lateral Doble Trasera Rebatible</v>
      </c>
      <c r="CR84" s="3" t="str">
        <f>IFERROR(__xludf.DUMMYFUNCTION("""COMPUTED_VALUE"""),"Plataforma Playo 5.00 x 2.20 x 0.60 Lateral Doble Baranda Fija C/Toldo")</f>
        <v>Plataforma Playo 5.00 x 2.20 x 0.60 Lateral Doble Baranda Fija C/Toldo</v>
      </c>
      <c r="CS84" s="3" t="str">
        <f>IFERROR(__xludf.DUMMYFUNCTION("""COMPUTED_VALUE"""),"Plataforma Playo 3.00 x 1.90 x 0.45 Lateral Simple Baranda Fija")</f>
        <v>Plataforma Playo 3.00 x 1.90 x 0.45 Lateral Simple Baranda Fija</v>
      </c>
      <c r="CT84" s="3" t="str">
        <f>IFERROR(__xludf.DUMMYFUNCTION("""COMPUTED_VALUE"""),"Plataforma Playo 3.00 x 1.90 x 0.45 Lateral Simple Baranda Ventilada")</f>
        <v>Plataforma Playo 3.00 x 1.90 x 0.45 Lateral Simple Baranda Ventilada</v>
      </c>
      <c r="CU84" s="3" t="str">
        <f>IFERROR(__xludf.DUMMYFUNCTION("""COMPUTED_VALUE"""),"Plataforma Playo 2.00 x 1.90 x 0.45 Lateral Simple Baranda Fija")</f>
        <v>Plataforma Playo 2.00 x 1.90 x 0.45 Lateral Simple Baranda Fija</v>
      </c>
      <c r="CV84" s="3" t="str">
        <f>IFERROR(__xludf.DUMMYFUNCTION("""COMPUTED_VALUE"""),"Plataforma Playo 5.00 x 1.90 x 0.60 Lateral Doble Baranda Fija")</f>
        <v>Plataforma Playo 5.00 x 1.90 x 0.60 Lateral Doble Baranda Fija</v>
      </c>
      <c r="CW84" s="3" t="str">
        <f>IFERROR(__xludf.DUMMYFUNCTION("""COMPUTED_VALUE"""),"Plataforma Playo 6.40 x 2.70 x 0.72 Lateral Doble Baranda Fija")</f>
        <v>Plataforma Playo 6.40 x 2.70 x 0.72 Lateral Doble Baranda Fija</v>
      </c>
      <c r="CX84" s="3" t="str">
        <f>IFERROR(__xludf.DUMMYFUNCTION("""COMPUTED_VALUE"""),"Chasis Acoplado Balancin L4000 Lanza Recta")</f>
        <v>Chasis Acoplado Balancin L4000 Lanza Recta</v>
      </c>
      <c r="CY84" s="3" t="str">
        <f>IFERROR(__xludf.DUMMYFUNCTION("""COMPUTED_VALUE"""),"Llanta simple Agrícola 750x20 centro 152")</f>
        <v>Llanta simple Agrícola 750x20 centro 152</v>
      </c>
      <c r="CZ84" s="3" t="str">
        <f>IFERROR(__xludf.DUMMYFUNCTION("""COMPUTED_VALUE"""),"Cajón de Herramientas Mediano adelante")</f>
        <v>Cajón de Herramientas Mediano adelante</v>
      </c>
      <c r="DA84" s="3" t="str">
        <f>IFERROR(__xludf.DUMMYFUNCTION("""COMPUTED_VALUE"""),"Llanta 15"" Simple Agrícola Centro 92")</f>
        <v>Llanta 15" Simple Agrícola Centro 92</v>
      </c>
    </row>
    <row r="85" hidden="1">
      <c r="A85" s="38">
        <f t="shared" si="1"/>
        <v>84</v>
      </c>
      <c r="B85" s="38">
        <f>IF(F85="","",SUMIF(Prearmados!E:E,F85,Prearmados!A:A))</f>
        <v>18</v>
      </c>
      <c r="C85" s="38">
        <f>IF(F85="","",SUMIF(Productos!E:E,G85,Productos!A:A))</f>
        <v>65</v>
      </c>
      <c r="D85" s="83" t="str">
        <f t="array" ref="D85">IF(OR(F85="",F85="Seleccionar.."),"",XLOOKUP(F85,Prearmados!E:E,Prearmados!F:F,"",0,1))</f>
        <v>Acoplados Rurales</v>
      </c>
      <c r="E85" s="83">
        <f>IF(H85="","",SUMIF(Precio_Productos!K:K,C85,Precio_Productos!J:J)*H85)</f>
        <v>3788928</v>
      </c>
      <c r="F85" s="84" t="s">
        <v>341</v>
      </c>
      <c r="G85" s="84" t="s">
        <v>87</v>
      </c>
      <c r="H85" s="13">
        <v>1.0</v>
      </c>
      <c r="P85" s="3" t="str">
        <f>IFERROR(__xludf.DUMMYFUNCTION("IF(OR(F85="""",F85=""Seleccionar..""),"""",TRANSPOSE(FILTER(Productos!E:E,(Productos!F:F=D85)+(Productos!F:F=XLOOKUP(D85,Implementos!B:B,Implementos!C:C,""-"",0,1)))))"),"Tanque Combustible 1100 lts Bajo")</f>
        <v>Tanque Combustible 1100 lts Bajo</v>
      </c>
      <c r="Q85" s="3" t="str">
        <f>IFERROR(__xludf.DUMMYFUNCTION("""COMPUTED_VALUE"""),"Tanque Combustible 1500 lts Standard")</f>
        <v>Tanque Combustible 1500 lts Standard</v>
      </c>
      <c r="R85" s="3" t="str">
        <f>IFERROR(__xludf.DUMMYFUNCTION("""COMPUTED_VALUE"""),"Tanque Combustible 1800 lts Standard")</f>
        <v>Tanque Combustible 1800 lts Standard</v>
      </c>
      <c r="S85" s="3" t="str">
        <f>IFERROR(__xludf.DUMMYFUNCTION("""COMPUTED_VALUE"""),"Tanque Combustible 2000 lts Bajo")</f>
        <v>Tanque Combustible 2000 lts Bajo</v>
      </c>
      <c r="T85" s="3" t="str">
        <f>IFERROR(__xludf.DUMMYFUNCTION("""COMPUTED_VALUE"""),"Tanque Combustible 2000 lts Standard")</f>
        <v>Tanque Combustible 2000 lts Standard</v>
      </c>
      <c r="U85" s="3" t="str">
        <f>IFERROR(__xludf.DUMMYFUNCTION("""COMPUTED_VALUE"""),"Tanque Combustible 3000 lts Standard")</f>
        <v>Tanque Combustible 3000 lts Standard</v>
      </c>
      <c r="V85" s="3" t="str">
        <f>IFERROR(__xludf.DUMMYFUNCTION("""COMPUTED_VALUE"""),"Tanque Combustible 3000 lts Alto")</f>
        <v>Tanque Combustible 3000 lts Alto</v>
      </c>
      <c r="W85" s="3" t="str">
        <f>IFERROR(__xludf.DUMMYFUNCTION("""COMPUTED_VALUE"""),"Tanque Combustible 4000 lts Standard")</f>
        <v>Tanque Combustible 4000 lts Standard</v>
      </c>
      <c r="X85" s="3" t="str">
        <f>IFERROR(__xludf.DUMMYFUNCTION("""COMPUTED_VALUE"""),"Tanque Combustible 5000 lts Standard")</f>
        <v>Tanque Combustible 5000 lts Standard</v>
      </c>
      <c r="Y85" s="3" t="str">
        <f>IFERROR(__xludf.DUMMYFUNCTION("""COMPUTED_VALUE"""),"Tanque Combustible 5000 lts Alto")</f>
        <v>Tanque Combustible 5000 lts Alto</v>
      </c>
      <c r="Z85" s="3" t="str">
        <f>IFERROR(__xludf.DUMMYFUNCTION("""COMPUTED_VALUE"""),"Tanque Combustible 2000 lts Alto")</f>
        <v>Tanque Combustible 2000 lts Alto</v>
      </c>
      <c r="AA85" s="3" t="str">
        <f>IFERROR(__xludf.DUMMYFUNCTION("""COMPUTED_VALUE"""),"Tanque Combustible 4000 lts Alto")</f>
        <v>Tanque Combustible 4000 lts Alto</v>
      </c>
      <c r="AB85" s="3" t="str">
        <f>IFERROR(__xludf.DUMMYFUNCTION("""COMPUTED_VALUE"""),"Baulera Standard - 750")</f>
        <v>Baulera Standard - 750</v>
      </c>
      <c r="AC85" s="3" t="str">
        <f>IFERROR(__xludf.DUMMYFUNCTION("""COMPUTED_VALUE"""),"Baulera Standard - 1700 - C/Laterales")</f>
        <v>Baulera Standard - 1700 - C/Laterales</v>
      </c>
      <c r="AD85" s="3" t="str">
        <f>IFERROR(__xludf.DUMMYFUNCTION("""COMPUTED_VALUE"""),"Baulera Standard - 1000 - C/Laterales")</f>
        <v>Baulera Standard - 1000 - C/Laterales</v>
      </c>
      <c r="AE85" s="3" t="str">
        <f>IFERROR(__xludf.DUMMYFUNCTION("""COMPUTED_VALUE"""),"Baulera Standard - 750 - C/Laterales")</f>
        <v>Baulera Standard - 750 - C/Laterales</v>
      </c>
      <c r="AF85" s="3" t="str">
        <f>IFERROR(__xludf.DUMMYFUNCTION("""COMPUTED_VALUE"""),"Baulera Standard - 1300 - C/Laterales")</f>
        <v>Baulera Standard - 1300 - C/Laterales</v>
      </c>
      <c r="AG85" s="3" t="str">
        <f>IFERROR(__xludf.DUMMYFUNCTION("""COMPUTED_VALUE"""),"Baulera Alta - 750")</f>
        <v>Baulera Alta - 750</v>
      </c>
      <c r="AH85" s="3" t="str">
        <f>IFERROR(__xludf.DUMMYFUNCTION("""COMPUTED_VALUE"""),"Baulera Alta - 1500 - C/Laterales")</f>
        <v>Baulera Alta - 1500 - C/Laterales</v>
      </c>
      <c r="AI85" s="3" t="str">
        <f>IFERROR(__xludf.DUMMYFUNCTION("""COMPUTED_VALUE"""),"Baulera Extendida 1700 - C/Laterales")</f>
        <v>Baulera Extendida 1700 - C/Laterales</v>
      </c>
      <c r="AJ85" s="3" t="str">
        <f>IFERROR(__xludf.DUMMYFUNCTION("""COMPUTED_VALUE"""),"Taller Móvil - 1500 x 1500 x 1700")</f>
        <v>Taller Móvil - 1500 x 1500 x 1700</v>
      </c>
      <c r="AK85" s="3" t="str">
        <f>IFERROR(__xludf.DUMMYFUNCTION("""COMPUTED_VALUE"""),"Cajón Herramientas Standard Derecho")</f>
        <v>Cajón Herramientas Standard Derecho</v>
      </c>
      <c r="AL85" s="3" t="str">
        <f>IFERROR(__xludf.DUMMYFUNCTION("""COMPUTED_VALUE"""),"Cajón Herramientas Standard Izquierdo")</f>
        <v>Cajón Herramientas Standard Izquierdo</v>
      </c>
      <c r="AM85" s="3" t="str">
        <f>IFERROR(__xludf.DUMMYFUNCTION("""COMPUTED_VALUE"""),"Cajón Herramientas Corto Derecho")</f>
        <v>Cajón Herramientas Corto Derecho</v>
      </c>
      <c r="AN85" s="3" t="str">
        <f>IFERROR(__xludf.DUMMYFUNCTION("""COMPUTED_VALUE"""),"Cajón Herramientas Corto Izquierdo")</f>
        <v>Cajón Herramientas Corto Izquierdo</v>
      </c>
      <c r="AO85" s="3" t="str">
        <f>IFERROR(__xludf.DUMMYFUNCTION("""COMPUTED_VALUE"""),"Cajón Herramientas Mediano Derecho")</f>
        <v>Cajón Herramientas Mediano Derecho</v>
      </c>
      <c r="AP85" s="3" t="str">
        <f>IFERROR(__xludf.DUMMYFUNCTION("""COMPUTED_VALUE"""),"Cajón Herramientas Mediano Izquierdo")</f>
        <v>Cajón Herramientas Mediano Izquierdo</v>
      </c>
      <c r="AQ85" s="3" t="str">
        <f>IFERROR(__xludf.DUMMYFUNCTION("""COMPUTED_VALUE"""),"Chasis Acoplado 2 Ejes L3000")</f>
        <v>Chasis Acoplado 2 Ejes L3000</v>
      </c>
      <c r="AR85" s="3" t="str">
        <f>IFERROR(__xludf.DUMMYFUNCTION("""COMPUTED_VALUE"""),"Chasis Acoplado 2 Ejes L3750")</f>
        <v>Chasis Acoplado 2 Ejes L3750</v>
      </c>
      <c r="AS85" s="3" t="str">
        <f>IFERROR(__xludf.DUMMYFUNCTION("""COMPUTED_VALUE"""),"Chasis Acoplado 2 Ejes L4000")</f>
        <v>Chasis Acoplado 2 Ejes L4000</v>
      </c>
      <c r="AT85" s="3" t="str">
        <f>IFERROR(__xludf.DUMMYFUNCTION("""COMPUTED_VALUE"""),"Chasis Acoplado 2 Ejes L4000 Reforzado")</f>
        <v>Chasis Acoplado 2 Ejes L4000 Reforzado</v>
      </c>
      <c r="AU85" s="3" t="str">
        <f>IFERROR(__xludf.DUMMYFUNCTION("""COMPUTED_VALUE"""),"Chasis Acoplado 2 Ejes L4750")</f>
        <v>Chasis Acoplado 2 Ejes L4750</v>
      </c>
      <c r="AV85" s="3" t="str">
        <f>IFERROR(__xludf.DUMMYFUNCTION("""COMPUTED_VALUE"""),"Chasis Acoplado 2 Ejes L4750 Reforzado")</f>
        <v>Chasis Acoplado 2 Ejes L4750 Reforzado</v>
      </c>
      <c r="AW85" s="3" t="str">
        <f>IFERROR(__xludf.DUMMYFUNCTION("""COMPUTED_VALUE"""),"Chasis Acoplado 2 Ejes L4750 Reforzado R. Camion")</f>
        <v>Chasis Acoplado 2 Ejes L4750 Reforzado R. Camion</v>
      </c>
      <c r="AX85" s="3" t="str">
        <f>IFERROR(__xludf.DUMMYFUNCTION("""COMPUTED_VALUE"""),"Chasis Acoplado 2 Ejes L5000")</f>
        <v>Chasis Acoplado 2 Ejes L5000</v>
      </c>
      <c r="AY85" s="3" t="str">
        <f>IFERROR(__xludf.DUMMYFUNCTION("""COMPUTED_VALUE"""),"Chasis Acoplado 2 Ejes L5750")</f>
        <v>Chasis Acoplado 2 Ejes L5750</v>
      </c>
      <c r="AZ85" s="3" t="str">
        <f>IFERROR(__xludf.DUMMYFUNCTION("""COMPUTED_VALUE"""),"Chasis Acoplado 2 Ejes L6400")</f>
        <v>Chasis Acoplado 2 Ejes L6400</v>
      </c>
      <c r="BA85" s="3" t="str">
        <f>IFERROR(__xludf.DUMMYFUNCTION("""COMPUTED_VALUE"""),"Chasis Acoplado 2 Ejes L4500")</f>
        <v>Chasis Acoplado 2 Ejes L4500</v>
      </c>
      <c r="BB85" s="3" t="str">
        <f>IFERROR(__xludf.DUMMYFUNCTION("""COMPUTED_VALUE"""),"Chasis Acoplado 1 Eje L1500")</f>
        <v>Chasis Acoplado 1 Eje L1500</v>
      </c>
      <c r="BC85" s="3" t="str">
        <f>IFERROR(__xludf.DUMMYFUNCTION("""COMPUTED_VALUE"""),"Chasis Acoplado 1 Eje L1800")</f>
        <v>Chasis Acoplado 1 Eje L1800</v>
      </c>
      <c r="BD85" s="3" t="str">
        <f>IFERROR(__xludf.DUMMYFUNCTION("""COMPUTED_VALUE"""),"Chasis Acoplado 1 Eje L1400")</f>
        <v>Chasis Acoplado 1 Eje L1400</v>
      </c>
      <c r="BE85" s="3" t="str">
        <f>IFERROR(__xludf.DUMMYFUNCTION("""COMPUTED_VALUE"""),"Chasis Acoplado Balancin L3000")</f>
        <v>Chasis Acoplado Balancin L3000</v>
      </c>
      <c r="BF85" s="3" t="str">
        <f>IFERROR(__xludf.DUMMYFUNCTION("""COMPUTED_VALUE"""),"Chasis Acoplado Balancin L3000 Lanza Corta")</f>
        <v>Chasis Acoplado Balancin L3000 Lanza Corta</v>
      </c>
      <c r="BG85" s="3" t="str">
        <f>IFERROR(__xludf.DUMMYFUNCTION("""COMPUTED_VALUE"""),"Chasis Acoplado Balancin L2000 Lanza Corta")</f>
        <v>Chasis Acoplado Balancin L2000 Lanza Corta</v>
      </c>
      <c r="BH85" s="3" t="str">
        <f>IFERROR(__xludf.DUMMYFUNCTION("""COMPUTED_VALUE"""),"Chasis Acoplado Balancin L3200 Lanza Corta")</f>
        <v>Chasis Acoplado Balancin L3200 Lanza Corta</v>
      </c>
      <c r="BI85" s="3" t="str">
        <f>IFERROR(__xludf.DUMMYFUNCTION("""COMPUTED_VALUE"""),"Chasis Acoplado Balancin L3200 Lanza Recta")</f>
        <v>Chasis Acoplado Balancin L3200 Lanza Recta</v>
      </c>
      <c r="BJ85" s="3" t="str">
        <f>IFERROR(__xludf.DUMMYFUNCTION("""COMPUTED_VALUE"""),"Chasis Acoplado Balancin L3200 Bajo Lanza Recta")</f>
        <v>Chasis Acoplado Balancin L3200 Bajo Lanza Recta</v>
      </c>
      <c r="BK85" s="3" t="str">
        <f>IFERROR(__xludf.DUMMYFUNCTION("""COMPUTED_VALUE"""),"Tanque Plastico Horizontal 750 Lts")</f>
        <v>Tanque Plastico Horizontal 750 Lts</v>
      </c>
      <c r="BL85" s="3" t="str">
        <f>IFERROR(__xludf.DUMMYFUNCTION("""COMPUTED_VALUE"""),"Medio Tanque Plastico Superior 700 Lts")</f>
        <v>Medio Tanque Plastico Superior 700 Lts</v>
      </c>
      <c r="BM85" s="3" t="str">
        <f>IFERROR(__xludf.DUMMYFUNCTION("""COMPUTED_VALUE"""),"Paquete de Elasticos 50 mm x 8 mm x 10 Hojas L850")</f>
        <v>Paquete de Elasticos 50 mm x 8 mm x 10 Hojas L850</v>
      </c>
      <c r="BN85" s="3" t="str">
        <f>IFERROR(__xludf.DUMMYFUNCTION("""COMPUTED_VALUE"""),"Paquete de Elasticos 63 mm x 8 mm x 10 Hojas L950")</f>
        <v>Paquete de Elasticos 63 mm x 8 mm x 10 Hojas L950</v>
      </c>
      <c r="BO85" s="3" t="str">
        <f>IFERROR(__xludf.DUMMYFUNCTION("""COMPUTED_VALUE"""),"Paquete de Elasticos 50 mm x 7 mm x 9 Hojas L850")</f>
        <v>Paquete de Elasticos 50 mm x 7 mm x 9 Hojas L850</v>
      </c>
      <c r="BP85" s="3" t="str">
        <f>IFERROR(__xludf.DUMMYFUNCTION("""COMPUTED_VALUE"""),"Paquete de Elasticos 63 mm x 8 mm x 8 Hojas L850")</f>
        <v>Paquete de Elasticos 63 mm x 8 mm x 8 Hojas L850</v>
      </c>
      <c r="BQ85" s="3" t="str">
        <f>IFERROR(__xludf.DUMMYFUNCTION("""COMPUTED_VALUE"""),"Paquete de Elasticos 63 mm x 10 mm x 10 Hojas L950")</f>
        <v>Paquete de Elasticos 63 mm x 10 mm x 10 Hojas L950</v>
      </c>
      <c r="BR85" s="3" t="str">
        <f>IFERROR(__xludf.DUMMYFUNCTION("""COMPUTED_VALUE"""),"Paquete de Elasticos 63 mm x 10 mm x 13 Hojas L975")</f>
        <v>Paquete de Elasticos 63 mm x 10 mm x 13 Hojas L975</v>
      </c>
      <c r="BS85" s="3" t="str">
        <f>IFERROR(__xludf.DUMMYFUNCTION("""COMPUTED_VALUE"""),"Paquete de Elasticos 50 mm x 7 mm x 9 Hojas L650")</f>
        <v>Paquete de Elasticos 50 mm x 7 mm x 9 Hojas L650</v>
      </c>
      <c r="BT85" s="3" t="str">
        <f>IFERROR(__xludf.DUMMYFUNCTION("""COMPUTED_VALUE"""),"Eje Acoplado 2"" x 1600 (06/08) Agrícola Centro 92")</f>
        <v>Eje Acoplado 2" x 1600 (06/08) Agrícola Centro 92</v>
      </c>
      <c r="BU85" s="3" t="str">
        <f>IFERROR(__xludf.DUMMYFUNCTION("""COMPUTED_VALUE"""),"Eje Acoplado 2 1/2"" x 1600 (07/09) Agrícola Centro 92")</f>
        <v>Eje Acoplado 2 1/2" x 1600 (07/09) Agrícola Centro 92</v>
      </c>
      <c r="BV85" s="3" t="str">
        <f>IFERROR(__xludf.DUMMYFUNCTION("""COMPUTED_VALUE"""),"Eje Acoplado 2 1/2"" x 1600 (09/11) Agrícola Centro 150")</f>
        <v>Eje Acoplado 2 1/2" x 1600 (09/11) Agrícola Centro 150</v>
      </c>
      <c r="BW85" s="3" t="str">
        <f>IFERROR(__xludf.DUMMYFUNCTION("""COMPUTED_VALUE"""),"Eje Acoplado 3"" x 1600 (10/13) Agrícola Centro 150")</f>
        <v>Eje Acoplado 3" x 1600 (10/13) Agrícola Centro 150</v>
      </c>
      <c r="BX85" s="3" t="str">
        <f>IFERROR(__xludf.DUMMYFUNCTION("""COMPUTED_VALUE"""),"Eje Acoplado 2 1/2"" x 2140 (07/09) Agrícola Centro 92")</f>
        <v>Eje Acoplado 2 1/2" x 2140 (07/09) Agrícola Centro 92</v>
      </c>
      <c r="BY85" s="3" t="str">
        <f>IFERROR(__xludf.DUMMYFUNCTION("""COMPUTED_VALUE"""),"Eje Acoplado 2"" x 1400 (06/08) Agrícola Centro 92")</f>
        <v>Eje Acoplado 2" x 1400 (06/08) Agrícola Centro 92</v>
      </c>
      <c r="BZ85" s="3" t="str">
        <f>IFERROR(__xludf.DUMMYFUNCTION("""COMPUTED_VALUE"""),"Eje Acoplado 2 1/2"" x 1500 (07/09) Agrícola Centro 92")</f>
        <v>Eje Acoplado 2 1/2" x 1500 (07/09) Agrícola Centro 92</v>
      </c>
      <c r="CA85" s="3" t="str">
        <f>IFERROR(__xludf.DUMMYFUNCTION("""COMPUTED_VALUE"""),"Eje Acoplado 2 1/2"" x 2000 (07/09) Agrícola Centro 92")</f>
        <v>Eje Acoplado 2 1/2" x 2000 (07/09) Agrícola Centro 92</v>
      </c>
      <c r="CB85" s="3" t="str">
        <f>IFERROR(__xludf.DUMMYFUNCTION("""COMPUTED_VALUE"""),"Eje Acoplado 2 1/2"" x 2100 (09/11) Agrícola Centro 150")</f>
        <v>Eje Acoplado 2 1/2" x 2100 (09/11) Agrícola Centro 150</v>
      </c>
      <c r="CC85" s="3" t="str">
        <f>IFERROR(__xludf.DUMMYFUNCTION("""COMPUTED_VALUE"""),"Llanta 16"" Simple Agrícola Centro 92")</f>
        <v>Llanta 16" Simple Agrícola Centro 92</v>
      </c>
      <c r="CD85" s="3" t="str">
        <f>IFERROR(__xludf.DUMMYFUNCTION("""COMPUTED_VALUE"""),"Llanta 16"" Dual Agrícola Centro 92")</f>
        <v>Llanta 16" Dual Agrícola Centro 92</v>
      </c>
      <c r="CE85" s="3" t="str">
        <f>IFERROR(__xludf.DUMMYFUNCTION("""COMPUTED_VALUE"""),"Llanta 17"" Simple Agrícola Centro 92")</f>
        <v>Llanta 17" Simple Agrícola Centro 92</v>
      </c>
      <c r="CF85" s="3" t="str">
        <f>IFERROR(__xludf.DUMMYFUNCTION("""COMPUTED_VALUE"""),"Llanta 17"" Dual Agrícola Centro 92")</f>
        <v>Llanta 17" Dual Agrícola Centro 92</v>
      </c>
      <c r="CG85" s="3" t="str">
        <f>IFERROR(__xludf.DUMMYFUNCTION("""COMPUTED_VALUE"""),"Llanta 16"" Dual Agrícola Centro 152")</f>
        <v>Llanta 16" Dual Agrícola Centro 152</v>
      </c>
      <c r="CH85" s="3" t="str">
        <f>IFERROR(__xludf.DUMMYFUNCTION("""COMPUTED_VALUE"""),"Llanta 17"" Dual Agrícola Centro 152")</f>
        <v>Llanta 17" Dual Agrícola Centro 152</v>
      </c>
      <c r="CI85" s="3" t="str">
        <f>IFERROR(__xludf.DUMMYFUNCTION("""COMPUTED_VALUE"""),"Eje Acoplado 2"" x 1600 (05/07) Agrícola Centro 92")</f>
        <v>Eje Acoplado 2" x 1600 (05/07) Agrícola Centro 92</v>
      </c>
      <c r="CJ85" s="3" t="str">
        <f>IFERROR(__xludf.DUMMYFUNCTION("""COMPUTED_VALUE"""),"Paquete de Elásticos 50 mm x 8 mm x 12 Hojas")</f>
        <v>Paquete de Elásticos 50 mm x 8 mm x 12 Hojas</v>
      </c>
      <c r="CK85" s="3" t="str">
        <f>IFERROR(__xludf.DUMMYFUNCTION("""COMPUTED_VALUE"""),"Plataforma Playo 4.00 x 1.90 x 0.45 Lateral Simple Baranda Fija")</f>
        <v>Plataforma Playo 4.00 x 1.90 x 0.45 Lateral Simple Baranda Fija</v>
      </c>
      <c r="CL85" s="3" t="str">
        <f>IFERROR(__xludf.DUMMYFUNCTION("""COMPUTED_VALUE"""),"Plataforma Playo 4.00 x 1.90 x 0.45 Lateral Simple Baranda Ventilada")</f>
        <v>Plataforma Playo 4.00 x 1.90 x 0.45 Lateral Simple Baranda Ventilada</v>
      </c>
      <c r="CM85" s="3" t="str">
        <f>IFERROR(__xludf.DUMMYFUNCTION("""COMPUTED_VALUE"""),"Plataforma Playo 4.00 x 1.90 x 0.45 Lateral Doble Baranda Ventilada")</f>
        <v>Plataforma Playo 4.00 x 1.90 x 0.45 Lateral Doble Baranda Ventilada</v>
      </c>
      <c r="CN85" s="3" t="str">
        <f>IFERROR(__xludf.DUMMYFUNCTION("""COMPUTED_VALUE"""),"Plataforma Playo 4.00 x 1.90 x 0.45 Lateral Doble Baranda Fija")</f>
        <v>Plataforma Playo 4.00 x 1.90 x 0.45 Lateral Doble Baranda Fija</v>
      </c>
      <c r="CO85" s="3" t="str">
        <f>IFERROR(__xludf.DUMMYFUNCTION("""COMPUTED_VALUE"""),"Plataforma Playo 4.00 x 1.90 x 0.72 Lateral Simple Baranda Fija")</f>
        <v>Plataforma Playo 4.00 x 1.90 x 0.72 Lateral Simple Baranda Fija</v>
      </c>
      <c r="CP85" s="3" t="str">
        <f>IFERROR(__xludf.DUMMYFUNCTION("""COMPUTED_VALUE"""),"Plataforma Playo 4.00 x 1.90 x 0.72 Lateral Doble Baranda Fija")</f>
        <v>Plataforma Playo 4.00 x 1.90 x 0.72 Lateral Doble Baranda Fija</v>
      </c>
      <c r="CQ85" s="3" t="str">
        <f>IFERROR(__xludf.DUMMYFUNCTION("""COMPUTED_VALUE"""),"Plataforma Playo 5.00 x 2.20 x 0.60 Lateral Doble Trasera Rebatible")</f>
        <v>Plataforma Playo 5.00 x 2.20 x 0.60 Lateral Doble Trasera Rebatible</v>
      </c>
      <c r="CR85" s="3" t="str">
        <f>IFERROR(__xludf.DUMMYFUNCTION("""COMPUTED_VALUE"""),"Plataforma Playo 5.00 x 2.20 x 0.60 Lateral Doble Baranda Fija C/Toldo")</f>
        <v>Plataforma Playo 5.00 x 2.20 x 0.60 Lateral Doble Baranda Fija C/Toldo</v>
      </c>
      <c r="CS85" s="3" t="str">
        <f>IFERROR(__xludf.DUMMYFUNCTION("""COMPUTED_VALUE"""),"Plataforma Playo 3.00 x 1.90 x 0.45 Lateral Simple Baranda Fija")</f>
        <v>Plataforma Playo 3.00 x 1.90 x 0.45 Lateral Simple Baranda Fija</v>
      </c>
      <c r="CT85" s="3" t="str">
        <f>IFERROR(__xludf.DUMMYFUNCTION("""COMPUTED_VALUE"""),"Plataforma Playo 3.00 x 1.90 x 0.45 Lateral Simple Baranda Ventilada")</f>
        <v>Plataforma Playo 3.00 x 1.90 x 0.45 Lateral Simple Baranda Ventilada</v>
      </c>
      <c r="CU85" s="3" t="str">
        <f>IFERROR(__xludf.DUMMYFUNCTION("""COMPUTED_VALUE"""),"Plataforma Playo 2.00 x 1.90 x 0.45 Lateral Simple Baranda Fija")</f>
        <v>Plataforma Playo 2.00 x 1.90 x 0.45 Lateral Simple Baranda Fija</v>
      </c>
      <c r="CV85" s="3" t="str">
        <f>IFERROR(__xludf.DUMMYFUNCTION("""COMPUTED_VALUE"""),"Plataforma Playo 5.00 x 1.90 x 0.60 Lateral Doble Baranda Fija")</f>
        <v>Plataforma Playo 5.00 x 1.90 x 0.60 Lateral Doble Baranda Fija</v>
      </c>
      <c r="CW85" s="3" t="str">
        <f>IFERROR(__xludf.DUMMYFUNCTION("""COMPUTED_VALUE"""),"Plataforma Playo 6.40 x 2.70 x 0.72 Lateral Doble Baranda Fija")</f>
        <v>Plataforma Playo 6.40 x 2.70 x 0.72 Lateral Doble Baranda Fija</v>
      </c>
      <c r="CX85" s="3" t="str">
        <f>IFERROR(__xludf.DUMMYFUNCTION("""COMPUTED_VALUE"""),"Chasis Acoplado Balancin L4000 Lanza Recta")</f>
        <v>Chasis Acoplado Balancin L4000 Lanza Recta</v>
      </c>
      <c r="CY85" s="3" t="str">
        <f>IFERROR(__xludf.DUMMYFUNCTION("""COMPUTED_VALUE"""),"Llanta simple Agrícola 750x20 centro 152")</f>
        <v>Llanta simple Agrícola 750x20 centro 152</v>
      </c>
      <c r="CZ85" s="3" t="str">
        <f>IFERROR(__xludf.DUMMYFUNCTION("""COMPUTED_VALUE"""),"Cajón de Herramientas Mediano adelante")</f>
        <v>Cajón de Herramientas Mediano adelante</v>
      </c>
      <c r="DA85" s="3" t="str">
        <f>IFERROR(__xludf.DUMMYFUNCTION("""COMPUTED_VALUE"""),"Llanta 15"" Simple Agrícola Centro 92")</f>
        <v>Llanta 15" Simple Agrícola Centro 92</v>
      </c>
    </row>
    <row r="86" hidden="1">
      <c r="A86" s="38">
        <f t="shared" si="1"/>
        <v>85</v>
      </c>
      <c r="B86" s="38">
        <f>IF(F86="","",SUMIF(Prearmados!E:E,F86,Prearmados!A:A))</f>
        <v>18</v>
      </c>
      <c r="C86" s="38">
        <f>IF(F86="","",SUMIF(Productos!E:E,G86,Productos!A:A))</f>
        <v>93</v>
      </c>
      <c r="D86" s="83" t="str">
        <f t="array" ref="D86">IF(OR(F86="",F86="Seleccionar.."),"",XLOOKUP(F86,Prearmados!E:E,Prearmados!F:F,"",0,1))</f>
        <v>Acoplados Rurales</v>
      </c>
      <c r="E86" s="83">
        <f>IF(H86="","",SUMIF(Precio_Productos!K:K,C86,Precio_Productos!J:J)*H86)</f>
        <v>850000</v>
      </c>
      <c r="F86" s="84" t="s">
        <v>341</v>
      </c>
      <c r="G86" s="84" t="s">
        <v>88</v>
      </c>
      <c r="H86" s="13">
        <v>1.0</v>
      </c>
      <c r="P86" s="3" t="str">
        <f>IFERROR(__xludf.DUMMYFUNCTION("IF(OR(F86="""",F86=""Seleccionar..""),"""",TRANSPOSE(FILTER(Productos!E:E,(Productos!F:F=D86)+(Productos!F:F=XLOOKUP(D86,Implementos!B:B,Implementos!C:C,""-"",0,1)))))"),"Tanque Combustible 1100 lts Bajo")</f>
        <v>Tanque Combustible 1100 lts Bajo</v>
      </c>
      <c r="Q86" s="3" t="str">
        <f>IFERROR(__xludf.DUMMYFUNCTION("""COMPUTED_VALUE"""),"Tanque Combustible 1500 lts Standard")</f>
        <v>Tanque Combustible 1500 lts Standard</v>
      </c>
      <c r="R86" s="3" t="str">
        <f>IFERROR(__xludf.DUMMYFUNCTION("""COMPUTED_VALUE"""),"Tanque Combustible 1800 lts Standard")</f>
        <v>Tanque Combustible 1800 lts Standard</v>
      </c>
      <c r="S86" s="3" t="str">
        <f>IFERROR(__xludf.DUMMYFUNCTION("""COMPUTED_VALUE"""),"Tanque Combustible 2000 lts Bajo")</f>
        <v>Tanque Combustible 2000 lts Bajo</v>
      </c>
      <c r="T86" s="3" t="str">
        <f>IFERROR(__xludf.DUMMYFUNCTION("""COMPUTED_VALUE"""),"Tanque Combustible 2000 lts Standard")</f>
        <v>Tanque Combustible 2000 lts Standard</v>
      </c>
      <c r="U86" s="3" t="str">
        <f>IFERROR(__xludf.DUMMYFUNCTION("""COMPUTED_VALUE"""),"Tanque Combustible 3000 lts Standard")</f>
        <v>Tanque Combustible 3000 lts Standard</v>
      </c>
      <c r="V86" s="3" t="str">
        <f>IFERROR(__xludf.DUMMYFUNCTION("""COMPUTED_VALUE"""),"Tanque Combustible 3000 lts Alto")</f>
        <v>Tanque Combustible 3000 lts Alto</v>
      </c>
      <c r="W86" s="3" t="str">
        <f>IFERROR(__xludf.DUMMYFUNCTION("""COMPUTED_VALUE"""),"Tanque Combustible 4000 lts Standard")</f>
        <v>Tanque Combustible 4000 lts Standard</v>
      </c>
      <c r="X86" s="3" t="str">
        <f>IFERROR(__xludf.DUMMYFUNCTION("""COMPUTED_VALUE"""),"Tanque Combustible 5000 lts Standard")</f>
        <v>Tanque Combustible 5000 lts Standard</v>
      </c>
      <c r="Y86" s="3" t="str">
        <f>IFERROR(__xludf.DUMMYFUNCTION("""COMPUTED_VALUE"""),"Tanque Combustible 5000 lts Alto")</f>
        <v>Tanque Combustible 5000 lts Alto</v>
      </c>
      <c r="Z86" s="3" t="str">
        <f>IFERROR(__xludf.DUMMYFUNCTION("""COMPUTED_VALUE"""),"Tanque Combustible 2000 lts Alto")</f>
        <v>Tanque Combustible 2000 lts Alto</v>
      </c>
      <c r="AA86" s="3" t="str">
        <f>IFERROR(__xludf.DUMMYFUNCTION("""COMPUTED_VALUE"""),"Tanque Combustible 4000 lts Alto")</f>
        <v>Tanque Combustible 4000 lts Alto</v>
      </c>
      <c r="AB86" s="3" t="str">
        <f>IFERROR(__xludf.DUMMYFUNCTION("""COMPUTED_VALUE"""),"Baulera Standard - 750")</f>
        <v>Baulera Standard - 750</v>
      </c>
      <c r="AC86" s="3" t="str">
        <f>IFERROR(__xludf.DUMMYFUNCTION("""COMPUTED_VALUE"""),"Baulera Standard - 1700 - C/Laterales")</f>
        <v>Baulera Standard - 1700 - C/Laterales</v>
      </c>
      <c r="AD86" s="3" t="str">
        <f>IFERROR(__xludf.DUMMYFUNCTION("""COMPUTED_VALUE"""),"Baulera Standard - 1000 - C/Laterales")</f>
        <v>Baulera Standard - 1000 - C/Laterales</v>
      </c>
      <c r="AE86" s="3" t="str">
        <f>IFERROR(__xludf.DUMMYFUNCTION("""COMPUTED_VALUE"""),"Baulera Standard - 750 - C/Laterales")</f>
        <v>Baulera Standard - 750 - C/Laterales</v>
      </c>
      <c r="AF86" s="3" t="str">
        <f>IFERROR(__xludf.DUMMYFUNCTION("""COMPUTED_VALUE"""),"Baulera Standard - 1300 - C/Laterales")</f>
        <v>Baulera Standard - 1300 - C/Laterales</v>
      </c>
      <c r="AG86" s="3" t="str">
        <f>IFERROR(__xludf.DUMMYFUNCTION("""COMPUTED_VALUE"""),"Baulera Alta - 750")</f>
        <v>Baulera Alta - 750</v>
      </c>
      <c r="AH86" s="3" t="str">
        <f>IFERROR(__xludf.DUMMYFUNCTION("""COMPUTED_VALUE"""),"Baulera Alta - 1500 - C/Laterales")</f>
        <v>Baulera Alta - 1500 - C/Laterales</v>
      </c>
      <c r="AI86" s="3" t="str">
        <f>IFERROR(__xludf.DUMMYFUNCTION("""COMPUTED_VALUE"""),"Baulera Extendida 1700 - C/Laterales")</f>
        <v>Baulera Extendida 1700 - C/Laterales</v>
      </c>
      <c r="AJ86" s="3" t="str">
        <f>IFERROR(__xludf.DUMMYFUNCTION("""COMPUTED_VALUE"""),"Taller Móvil - 1500 x 1500 x 1700")</f>
        <v>Taller Móvil - 1500 x 1500 x 1700</v>
      </c>
      <c r="AK86" s="3" t="str">
        <f>IFERROR(__xludf.DUMMYFUNCTION("""COMPUTED_VALUE"""),"Cajón Herramientas Standard Derecho")</f>
        <v>Cajón Herramientas Standard Derecho</v>
      </c>
      <c r="AL86" s="3" t="str">
        <f>IFERROR(__xludf.DUMMYFUNCTION("""COMPUTED_VALUE"""),"Cajón Herramientas Standard Izquierdo")</f>
        <v>Cajón Herramientas Standard Izquierdo</v>
      </c>
      <c r="AM86" s="3" t="str">
        <f>IFERROR(__xludf.DUMMYFUNCTION("""COMPUTED_VALUE"""),"Cajón Herramientas Corto Derecho")</f>
        <v>Cajón Herramientas Corto Derecho</v>
      </c>
      <c r="AN86" s="3" t="str">
        <f>IFERROR(__xludf.DUMMYFUNCTION("""COMPUTED_VALUE"""),"Cajón Herramientas Corto Izquierdo")</f>
        <v>Cajón Herramientas Corto Izquierdo</v>
      </c>
      <c r="AO86" s="3" t="str">
        <f>IFERROR(__xludf.DUMMYFUNCTION("""COMPUTED_VALUE"""),"Cajón Herramientas Mediano Derecho")</f>
        <v>Cajón Herramientas Mediano Derecho</v>
      </c>
      <c r="AP86" s="3" t="str">
        <f>IFERROR(__xludf.DUMMYFUNCTION("""COMPUTED_VALUE"""),"Cajón Herramientas Mediano Izquierdo")</f>
        <v>Cajón Herramientas Mediano Izquierdo</v>
      </c>
      <c r="AQ86" s="3" t="str">
        <f>IFERROR(__xludf.DUMMYFUNCTION("""COMPUTED_VALUE"""),"Chasis Acoplado 2 Ejes L3000")</f>
        <v>Chasis Acoplado 2 Ejes L3000</v>
      </c>
      <c r="AR86" s="3" t="str">
        <f>IFERROR(__xludf.DUMMYFUNCTION("""COMPUTED_VALUE"""),"Chasis Acoplado 2 Ejes L3750")</f>
        <v>Chasis Acoplado 2 Ejes L3750</v>
      </c>
      <c r="AS86" s="3" t="str">
        <f>IFERROR(__xludf.DUMMYFUNCTION("""COMPUTED_VALUE"""),"Chasis Acoplado 2 Ejes L4000")</f>
        <v>Chasis Acoplado 2 Ejes L4000</v>
      </c>
      <c r="AT86" s="3" t="str">
        <f>IFERROR(__xludf.DUMMYFUNCTION("""COMPUTED_VALUE"""),"Chasis Acoplado 2 Ejes L4000 Reforzado")</f>
        <v>Chasis Acoplado 2 Ejes L4000 Reforzado</v>
      </c>
      <c r="AU86" s="3" t="str">
        <f>IFERROR(__xludf.DUMMYFUNCTION("""COMPUTED_VALUE"""),"Chasis Acoplado 2 Ejes L4750")</f>
        <v>Chasis Acoplado 2 Ejes L4750</v>
      </c>
      <c r="AV86" s="3" t="str">
        <f>IFERROR(__xludf.DUMMYFUNCTION("""COMPUTED_VALUE"""),"Chasis Acoplado 2 Ejes L4750 Reforzado")</f>
        <v>Chasis Acoplado 2 Ejes L4750 Reforzado</v>
      </c>
      <c r="AW86" s="3" t="str">
        <f>IFERROR(__xludf.DUMMYFUNCTION("""COMPUTED_VALUE"""),"Chasis Acoplado 2 Ejes L4750 Reforzado R. Camion")</f>
        <v>Chasis Acoplado 2 Ejes L4750 Reforzado R. Camion</v>
      </c>
      <c r="AX86" s="3" t="str">
        <f>IFERROR(__xludf.DUMMYFUNCTION("""COMPUTED_VALUE"""),"Chasis Acoplado 2 Ejes L5000")</f>
        <v>Chasis Acoplado 2 Ejes L5000</v>
      </c>
      <c r="AY86" s="3" t="str">
        <f>IFERROR(__xludf.DUMMYFUNCTION("""COMPUTED_VALUE"""),"Chasis Acoplado 2 Ejes L5750")</f>
        <v>Chasis Acoplado 2 Ejes L5750</v>
      </c>
      <c r="AZ86" s="3" t="str">
        <f>IFERROR(__xludf.DUMMYFUNCTION("""COMPUTED_VALUE"""),"Chasis Acoplado 2 Ejes L6400")</f>
        <v>Chasis Acoplado 2 Ejes L6400</v>
      </c>
      <c r="BA86" s="3" t="str">
        <f>IFERROR(__xludf.DUMMYFUNCTION("""COMPUTED_VALUE"""),"Chasis Acoplado 2 Ejes L4500")</f>
        <v>Chasis Acoplado 2 Ejes L4500</v>
      </c>
      <c r="BB86" s="3" t="str">
        <f>IFERROR(__xludf.DUMMYFUNCTION("""COMPUTED_VALUE"""),"Chasis Acoplado 1 Eje L1500")</f>
        <v>Chasis Acoplado 1 Eje L1500</v>
      </c>
      <c r="BC86" s="3" t="str">
        <f>IFERROR(__xludf.DUMMYFUNCTION("""COMPUTED_VALUE"""),"Chasis Acoplado 1 Eje L1800")</f>
        <v>Chasis Acoplado 1 Eje L1800</v>
      </c>
      <c r="BD86" s="3" t="str">
        <f>IFERROR(__xludf.DUMMYFUNCTION("""COMPUTED_VALUE"""),"Chasis Acoplado 1 Eje L1400")</f>
        <v>Chasis Acoplado 1 Eje L1400</v>
      </c>
      <c r="BE86" s="3" t="str">
        <f>IFERROR(__xludf.DUMMYFUNCTION("""COMPUTED_VALUE"""),"Chasis Acoplado Balancin L3000")</f>
        <v>Chasis Acoplado Balancin L3000</v>
      </c>
      <c r="BF86" s="3" t="str">
        <f>IFERROR(__xludf.DUMMYFUNCTION("""COMPUTED_VALUE"""),"Chasis Acoplado Balancin L3000 Lanza Corta")</f>
        <v>Chasis Acoplado Balancin L3000 Lanza Corta</v>
      </c>
      <c r="BG86" s="3" t="str">
        <f>IFERROR(__xludf.DUMMYFUNCTION("""COMPUTED_VALUE"""),"Chasis Acoplado Balancin L2000 Lanza Corta")</f>
        <v>Chasis Acoplado Balancin L2000 Lanza Corta</v>
      </c>
      <c r="BH86" s="3" t="str">
        <f>IFERROR(__xludf.DUMMYFUNCTION("""COMPUTED_VALUE"""),"Chasis Acoplado Balancin L3200 Lanza Corta")</f>
        <v>Chasis Acoplado Balancin L3200 Lanza Corta</v>
      </c>
      <c r="BI86" s="3" t="str">
        <f>IFERROR(__xludf.DUMMYFUNCTION("""COMPUTED_VALUE"""),"Chasis Acoplado Balancin L3200 Lanza Recta")</f>
        <v>Chasis Acoplado Balancin L3200 Lanza Recta</v>
      </c>
      <c r="BJ86" s="3" t="str">
        <f>IFERROR(__xludf.DUMMYFUNCTION("""COMPUTED_VALUE"""),"Chasis Acoplado Balancin L3200 Bajo Lanza Recta")</f>
        <v>Chasis Acoplado Balancin L3200 Bajo Lanza Recta</v>
      </c>
      <c r="BK86" s="3" t="str">
        <f>IFERROR(__xludf.DUMMYFUNCTION("""COMPUTED_VALUE"""),"Tanque Plastico Horizontal 750 Lts")</f>
        <v>Tanque Plastico Horizontal 750 Lts</v>
      </c>
      <c r="BL86" s="3" t="str">
        <f>IFERROR(__xludf.DUMMYFUNCTION("""COMPUTED_VALUE"""),"Medio Tanque Plastico Superior 700 Lts")</f>
        <v>Medio Tanque Plastico Superior 700 Lts</v>
      </c>
      <c r="BM86" s="3" t="str">
        <f>IFERROR(__xludf.DUMMYFUNCTION("""COMPUTED_VALUE"""),"Paquete de Elasticos 50 mm x 8 mm x 10 Hojas L850")</f>
        <v>Paquete de Elasticos 50 mm x 8 mm x 10 Hojas L850</v>
      </c>
      <c r="BN86" s="3" t="str">
        <f>IFERROR(__xludf.DUMMYFUNCTION("""COMPUTED_VALUE"""),"Paquete de Elasticos 63 mm x 8 mm x 10 Hojas L950")</f>
        <v>Paquete de Elasticos 63 mm x 8 mm x 10 Hojas L950</v>
      </c>
      <c r="BO86" s="3" t="str">
        <f>IFERROR(__xludf.DUMMYFUNCTION("""COMPUTED_VALUE"""),"Paquete de Elasticos 50 mm x 7 mm x 9 Hojas L850")</f>
        <v>Paquete de Elasticos 50 mm x 7 mm x 9 Hojas L850</v>
      </c>
      <c r="BP86" s="3" t="str">
        <f>IFERROR(__xludf.DUMMYFUNCTION("""COMPUTED_VALUE"""),"Paquete de Elasticos 63 mm x 8 mm x 8 Hojas L850")</f>
        <v>Paquete de Elasticos 63 mm x 8 mm x 8 Hojas L850</v>
      </c>
      <c r="BQ86" s="3" t="str">
        <f>IFERROR(__xludf.DUMMYFUNCTION("""COMPUTED_VALUE"""),"Paquete de Elasticos 63 mm x 10 mm x 10 Hojas L950")</f>
        <v>Paquete de Elasticos 63 mm x 10 mm x 10 Hojas L950</v>
      </c>
      <c r="BR86" s="3" t="str">
        <f>IFERROR(__xludf.DUMMYFUNCTION("""COMPUTED_VALUE"""),"Paquete de Elasticos 63 mm x 10 mm x 13 Hojas L975")</f>
        <v>Paquete de Elasticos 63 mm x 10 mm x 13 Hojas L975</v>
      </c>
      <c r="BS86" s="3" t="str">
        <f>IFERROR(__xludf.DUMMYFUNCTION("""COMPUTED_VALUE"""),"Paquete de Elasticos 50 mm x 7 mm x 9 Hojas L650")</f>
        <v>Paquete de Elasticos 50 mm x 7 mm x 9 Hojas L650</v>
      </c>
      <c r="BT86" s="3" t="str">
        <f>IFERROR(__xludf.DUMMYFUNCTION("""COMPUTED_VALUE"""),"Eje Acoplado 2"" x 1600 (06/08) Agrícola Centro 92")</f>
        <v>Eje Acoplado 2" x 1600 (06/08) Agrícola Centro 92</v>
      </c>
      <c r="BU86" s="3" t="str">
        <f>IFERROR(__xludf.DUMMYFUNCTION("""COMPUTED_VALUE"""),"Eje Acoplado 2 1/2"" x 1600 (07/09) Agrícola Centro 92")</f>
        <v>Eje Acoplado 2 1/2" x 1600 (07/09) Agrícola Centro 92</v>
      </c>
      <c r="BV86" s="3" t="str">
        <f>IFERROR(__xludf.DUMMYFUNCTION("""COMPUTED_VALUE"""),"Eje Acoplado 2 1/2"" x 1600 (09/11) Agrícola Centro 150")</f>
        <v>Eje Acoplado 2 1/2" x 1600 (09/11) Agrícola Centro 150</v>
      </c>
      <c r="BW86" s="3" t="str">
        <f>IFERROR(__xludf.DUMMYFUNCTION("""COMPUTED_VALUE"""),"Eje Acoplado 3"" x 1600 (10/13) Agrícola Centro 150")</f>
        <v>Eje Acoplado 3" x 1600 (10/13) Agrícola Centro 150</v>
      </c>
      <c r="BX86" s="3" t="str">
        <f>IFERROR(__xludf.DUMMYFUNCTION("""COMPUTED_VALUE"""),"Eje Acoplado 2 1/2"" x 2140 (07/09) Agrícola Centro 92")</f>
        <v>Eje Acoplado 2 1/2" x 2140 (07/09) Agrícola Centro 92</v>
      </c>
      <c r="BY86" s="3" t="str">
        <f>IFERROR(__xludf.DUMMYFUNCTION("""COMPUTED_VALUE"""),"Eje Acoplado 2"" x 1400 (06/08) Agrícola Centro 92")</f>
        <v>Eje Acoplado 2" x 1400 (06/08) Agrícola Centro 92</v>
      </c>
      <c r="BZ86" s="3" t="str">
        <f>IFERROR(__xludf.DUMMYFUNCTION("""COMPUTED_VALUE"""),"Eje Acoplado 2 1/2"" x 1500 (07/09) Agrícola Centro 92")</f>
        <v>Eje Acoplado 2 1/2" x 1500 (07/09) Agrícola Centro 92</v>
      </c>
      <c r="CA86" s="3" t="str">
        <f>IFERROR(__xludf.DUMMYFUNCTION("""COMPUTED_VALUE"""),"Eje Acoplado 2 1/2"" x 2000 (07/09) Agrícola Centro 92")</f>
        <v>Eje Acoplado 2 1/2" x 2000 (07/09) Agrícola Centro 92</v>
      </c>
      <c r="CB86" s="3" t="str">
        <f>IFERROR(__xludf.DUMMYFUNCTION("""COMPUTED_VALUE"""),"Eje Acoplado 2 1/2"" x 2100 (09/11) Agrícola Centro 150")</f>
        <v>Eje Acoplado 2 1/2" x 2100 (09/11) Agrícola Centro 150</v>
      </c>
      <c r="CC86" s="3" t="str">
        <f>IFERROR(__xludf.DUMMYFUNCTION("""COMPUTED_VALUE"""),"Llanta 16"" Simple Agrícola Centro 92")</f>
        <v>Llanta 16" Simple Agrícola Centro 92</v>
      </c>
      <c r="CD86" s="3" t="str">
        <f>IFERROR(__xludf.DUMMYFUNCTION("""COMPUTED_VALUE"""),"Llanta 16"" Dual Agrícola Centro 92")</f>
        <v>Llanta 16" Dual Agrícola Centro 92</v>
      </c>
      <c r="CE86" s="3" t="str">
        <f>IFERROR(__xludf.DUMMYFUNCTION("""COMPUTED_VALUE"""),"Llanta 17"" Simple Agrícola Centro 92")</f>
        <v>Llanta 17" Simple Agrícola Centro 92</v>
      </c>
      <c r="CF86" s="3" t="str">
        <f>IFERROR(__xludf.DUMMYFUNCTION("""COMPUTED_VALUE"""),"Llanta 17"" Dual Agrícola Centro 92")</f>
        <v>Llanta 17" Dual Agrícola Centro 92</v>
      </c>
      <c r="CG86" s="3" t="str">
        <f>IFERROR(__xludf.DUMMYFUNCTION("""COMPUTED_VALUE"""),"Llanta 16"" Dual Agrícola Centro 152")</f>
        <v>Llanta 16" Dual Agrícola Centro 152</v>
      </c>
      <c r="CH86" s="3" t="str">
        <f>IFERROR(__xludf.DUMMYFUNCTION("""COMPUTED_VALUE"""),"Llanta 17"" Dual Agrícola Centro 152")</f>
        <v>Llanta 17" Dual Agrícola Centro 152</v>
      </c>
      <c r="CI86" s="3" t="str">
        <f>IFERROR(__xludf.DUMMYFUNCTION("""COMPUTED_VALUE"""),"Eje Acoplado 2"" x 1600 (05/07) Agrícola Centro 92")</f>
        <v>Eje Acoplado 2" x 1600 (05/07) Agrícola Centro 92</v>
      </c>
      <c r="CJ86" s="3" t="str">
        <f>IFERROR(__xludf.DUMMYFUNCTION("""COMPUTED_VALUE"""),"Paquete de Elásticos 50 mm x 8 mm x 12 Hojas")</f>
        <v>Paquete de Elásticos 50 mm x 8 mm x 12 Hojas</v>
      </c>
      <c r="CK86" s="3" t="str">
        <f>IFERROR(__xludf.DUMMYFUNCTION("""COMPUTED_VALUE"""),"Plataforma Playo 4.00 x 1.90 x 0.45 Lateral Simple Baranda Fija")</f>
        <v>Plataforma Playo 4.00 x 1.90 x 0.45 Lateral Simple Baranda Fija</v>
      </c>
      <c r="CL86" s="3" t="str">
        <f>IFERROR(__xludf.DUMMYFUNCTION("""COMPUTED_VALUE"""),"Plataforma Playo 4.00 x 1.90 x 0.45 Lateral Simple Baranda Ventilada")</f>
        <v>Plataforma Playo 4.00 x 1.90 x 0.45 Lateral Simple Baranda Ventilada</v>
      </c>
      <c r="CM86" s="3" t="str">
        <f>IFERROR(__xludf.DUMMYFUNCTION("""COMPUTED_VALUE"""),"Plataforma Playo 4.00 x 1.90 x 0.45 Lateral Doble Baranda Ventilada")</f>
        <v>Plataforma Playo 4.00 x 1.90 x 0.45 Lateral Doble Baranda Ventilada</v>
      </c>
      <c r="CN86" s="3" t="str">
        <f>IFERROR(__xludf.DUMMYFUNCTION("""COMPUTED_VALUE"""),"Plataforma Playo 4.00 x 1.90 x 0.45 Lateral Doble Baranda Fija")</f>
        <v>Plataforma Playo 4.00 x 1.90 x 0.45 Lateral Doble Baranda Fija</v>
      </c>
      <c r="CO86" s="3" t="str">
        <f>IFERROR(__xludf.DUMMYFUNCTION("""COMPUTED_VALUE"""),"Plataforma Playo 4.00 x 1.90 x 0.72 Lateral Simple Baranda Fija")</f>
        <v>Plataforma Playo 4.00 x 1.90 x 0.72 Lateral Simple Baranda Fija</v>
      </c>
      <c r="CP86" s="3" t="str">
        <f>IFERROR(__xludf.DUMMYFUNCTION("""COMPUTED_VALUE"""),"Plataforma Playo 4.00 x 1.90 x 0.72 Lateral Doble Baranda Fija")</f>
        <v>Plataforma Playo 4.00 x 1.90 x 0.72 Lateral Doble Baranda Fija</v>
      </c>
      <c r="CQ86" s="3" t="str">
        <f>IFERROR(__xludf.DUMMYFUNCTION("""COMPUTED_VALUE"""),"Plataforma Playo 5.00 x 2.20 x 0.60 Lateral Doble Trasera Rebatible")</f>
        <v>Plataforma Playo 5.00 x 2.20 x 0.60 Lateral Doble Trasera Rebatible</v>
      </c>
      <c r="CR86" s="3" t="str">
        <f>IFERROR(__xludf.DUMMYFUNCTION("""COMPUTED_VALUE"""),"Plataforma Playo 5.00 x 2.20 x 0.60 Lateral Doble Baranda Fija C/Toldo")</f>
        <v>Plataforma Playo 5.00 x 2.20 x 0.60 Lateral Doble Baranda Fija C/Toldo</v>
      </c>
      <c r="CS86" s="3" t="str">
        <f>IFERROR(__xludf.DUMMYFUNCTION("""COMPUTED_VALUE"""),"Plataforma Playo 3.00 x 1.90 x 0.45 Lateral Simple Baranda Fija")</f>
        <v>Plataforma Playo 3.00 x 1.90 x 0.45 Lateral Simple Baranda Fija</v>
      </c>
      <c r="CT86" s="3" t="str">
        <f>IFERROR(__xludf.DUMMYFUNCTION("""COMPUTED_VALUE"""),"Plataforma Playo 3.00 x 1.90 x 0.45 Lateral Simple Baranda Ventilada")</f>
        <v>Plataforma Playo 3.00 x 1.90 x 0.45 Lateral Simple Baranda Ventilada</v>
      </c>
      <c r="CU86" s="3" t="str">
        <f>IFERROR(__xludf.DUMMYFUNCTION("""COMPUTED_VALUE"""),"Plataforma Playo 2.00 x 1.90 x 0.45 Lateral Simple Baranda Fija")</f>
        <v>Plataforma Playo 2.00 x 1.90 x 0.45 Lateral Simple Baranda Fija</v>
      </c>
      <c r="CV86" s="3" t="str">
        <f>IFERROR(__xludf.DUMMYFUNCTION("""COMPUTED_VALUE"""),"Plataforma Playo 5.00 x 1.90 x 0.60 Lateral Doble Baranda Fija")</f>
        <v>Plataforma Playo 5.00 x 1.90 x 0.60 Lateral Doble Baranda Fija</v>
      </c>
      <c r="CW86" s="3" t="str">
        <f>IFERROR(__xludf.DUMMYFUNCTION("""COMPUTED_VALUE"""),"Plataforma Playo 6.40 x 2.70 x 0.72 Lateral Doble Baranda Fija")</f>
        <v>Plataforma Playo 6.40 x 2.70 x 0.72 Lateral Doble Baranda Fija</v>
      </c>
      <c r="CX86" s="3" t="str">
        <f>IFERROR(__xludf.DUMMYFUNCTION("""COMPUTED_VALUE"""),"Chasis Acoplado Balancin L4000 Lanza Recta")</f>
        <v>Chasis Acoplado Balancin L4000 Lanza Recta</v>
      </c>
      <c r="CY86" s="3" t="str">
        <f>IFERROR(__xludf.DUMMYFUNCTION("""COMPUTED_VALUE"""),"Llanta simple Agrícola 750x20 centro 152")</f>
        <v>Llanta simple Agrícola 750x20 centro 152</v>
      </c>
      <c r="CZ86" s="3" t="str">
        <f>IFERROR(__xludf.DUMMYFUNCTION("""COMPUTED_VALUE"""),"Cajón de Herramientas Mediano adelante")</f>
        <v>Cajón de Herramientas Mediano adelante</v>
      </c>
      <c r="DA86" s="3" t="str">
        <f>IFERROR(__xludf.DUMMYFUNCTION("""COMPUTED_VALUE"""),"Llanta 15"" Simple Agrícola Centro 92")</f>
        <v>Llanta 15" Simple Agrícola Centro 92</v>
      </c>
    </row>
    <row r="87" hidden="1">
      <c r="A87" s="38">
        <f t="shared" si="1"/>
        <v>86</v>
      </c>
      <c r="B87" s="38">
        <f>IF(F87="","",SUMIF(Prearmados!E:E,F87,Prearmados!A:A))</f>
        <v>18</v>
      </c>
      <c r="C87" s="38">
        <f>IF(F87="","",SUMIF(Productos!E:E,G87,Productos!A:A))</f>
        <v>66</v>
      </c>
      <c r="D87" s="83" t="str">
        <f t="array" ref="D87">IF(OR(F87="",F87="Seleccionar.."),"",XLOOKUP(F87,Prearmados!E:E,Prearmados!F:F,"",0,1))</f>
        <v>Acoplados Rurales</v>
      </c>
      <c r="E87" s="83">
        <f>IF(H87="","",SUMIF(Precio_Productos!K:K,C87,Precio_Productos!J:J)*H87)</f>
        <v>292579</v>
      </c>
      <c r="F87" s="84" t="s">
        <v>341</v>
      </c>
      <c r="G87" s="84" t="s">
        <v>79</v>
      </c>
      <c r="H87" s="13">
        <v>1.0</v>
      </c>
      <c r="P87" s="3" t="str">
        <f>IFERROR(__xludf.DUMMYFUNCTION("IF(OR(F87="""",F87=""Seleccionar..""),"""",TRANSPOSE(FILTER(Productos!E:E,(Productos!F:F=D87)+(Productos!F:F=XLOOKUP(D87,Implementos!B:B,Implementos!C:C,""-"",0,1)))))"),"Tanque Combustible 1100 lts Bajo")</f>
        <v>Tanque Combustible 1100 lts Bajo</v>
      </c>
      <c r="Q87" s="3" t="str">
        <f>IFERROR(__xludf.DUMMYFUNCTION("""COMPUTED_VALUE"""),"Tanque Combustible 1500 lts Standard")</f>
        <v>Tanque Combustible 1500 lts Standard</v>
      </c>
      <c r="R87" s="3" t="str">
        <f>IFERROR(__xludf.DUMMYFUNCTION("""COMPUTED_VALUE"""),"Tanque Combustible 1800 lts Standard")</f>
        <v>Tanque Combustible 1800 lts Standard</v>
      </c>
      <c r="S87" s="3" t="str">
        <f>IFERROR(__xludf.DUMMYFUNCTION("""COMPUTED_VALUE"""),"Tanque Combustible 2000 lts Bajo")</f>
        <v>Tanque Combustible 2000 lts Bajo</v>
      </c>
      <c r="T87" s="3" t="str">
        <f>IFERROR(__xludf.DUMMYFUNCTION("""COMPUTED_VALUE"""),"Tanque Combustible 2000 lts Standard")</f>
        <v>Tanque Combustible 2000 lts Standard</v>
      </c>
      <c r="U87" s="3" t="str">
        <f>IFERROR(__xludf.DUMMYFUNCTION("""COMPUTED_VALUE"""),"Tanque Combustible 3000 lts Standard")</f>
        <v>Tanque Combustible 3000 lts Standard</v>
      </c>
      <c r="V87" s="3" t="str">
        <f>IFERROR(__xludf.DUMMYFUNCTION("""COMPUTED_VALUE"""),"Tanque Combustible 3000 lts Alto")</f>
        <v>Tanque Combustible 3000 lts Alto</v>
      </c>
      <c r="W87" s="3" t="str">
        <f>IFERROR(__xludf.DUMMYFUNCTION("""COMPUTED_VALUE"""),"Tanque Combustible 4000 lts Standard")</f>
        <v>Tanque Combustible 4000 lts Standard</v>
      </c>
      <c r="X87" s="3" t="str">
        <f>IFERROR(__xludf.DUMMYFUNCTION("""COMPUTED_VALUE"""),"Tanque Combustible 5000 lts Standard")</f>
        <v>Tanque Combustible 5000 lts Standard</v>
      </c>
      <c r="Y87" s="3" t="str">
        <f>IFERROR(__xludf.DUMMYFUNCTION("""COMPUTED_VALUE"""),"Tanque Combustible 5000 lts Alto")</f>
        <v>Tanque Combustible 5000 lts Alto</v>
      </c>
      <c r="Z87" s="3" t="str">
        <f>IFERROR(__xludf.DUMMYFUNCTION("""COMPUTED_VALUE"""),"Tanque Combustible 2000 lts Alto")</f>
        <v>Tanque Combustible 2000 lts Alto</v>
      </c>
      <c r="AA87" s="3" t="str">
        <f>IFERROR(__xludf.DUMMYFUNCTION("""COMPUTED_VALUE"""),"Tanque Combustible 4000 lts Alto")</f>
        <v>Tanque Combustible 4000 lts Alto</v>
      </c>
      <c r="AB87" s="3" t="str">
        <f>IFERROR(__xludf.DUMMYFUNCTION("""COMPUTED_VALUE"""),"Baulera Standard - 750")</f>
        <v>Baulera Standard - 750</v>
      </c>
      <c r="AC87" s="3" t="str">
        <f>IFERROR(__xludf.DUMMYFUNCTION("""COMPUTED_VALUE"""),"Baulera Standard - 1700 - C/Laterales")</f>
        <v>Baulera Standard - 1700 - C/Laterales</v>
      </c>
      <c r="AD87" s="3" t="str">
        <f>IFERROR(__xludf.DUMMYFUNCTION("""COMPUTED_VALUE"""),"Baulera Standard - 1000 - C/Laterales")</f>
        <v>Baulera Standard - 1000 - C/Laterales</v>
      </c>
      <c r="AE87" s="3" t="str">
        <f>IFERROR(__xludf.DUMMYFUNCTION("""COMPUTED_VALUE"""),"Baulera Standard - 750 - C/Laterales")</f>
        <v>Baulera Standard - 750 - C/Laterales</v>
      </c>
      <c r="AF87" s="3" t="str">
        <f>IFERROR(__xludf.DUMMYFUNCTION("""COMPUTED_VALUE"""),"Baulera Standard - 1300 - C/Laterales")</f>
        <v>Baulera Standard - 1300 - C/Laterales</v>
      </c>
      <c r="AG87" s="3" t="str">
        <f>IFERROR(__xludf.DUMMYFUNCTION("""COMPUTED_VALUE"""),"Baulera Alta - 750")</f>
        <v>Baulera Alta - 750</v>
      </c>
      <c r="AH87" s="3" t="str">
        <f>IFERROR(__xludf.DUMMYFUNCTION("""COMPUTED_VALUE"""),"Baulera Alta - 1500 - C/Laterales")</f>
        <v>Baulera Alta - 1500 - C/Laterales</v>
      </c>
      <c r="AI87" s="3" t="str">
        <f>IFERROR(__xludf.DUMMYFUNCTION("""COMPUTED_VALUE"""),"Baulera Extendida 1700 - C/Laterales")</f>
        <v>Baulera Extendida 1700 - C/Laterales</v>
      </c>
      <c r="AJ87" s="3" t="str">
        <f>IFERROR(__xludf.DUMMYFUNCTION("""COMPUTED_VALUE"""),"Taller Móvil - 1500 x 1500 x 1700")</f>
        <v>Taller Móvil - 1500 x 1500 x 1700</v>
      </c>
      <c r="AK87" s="3" t="str">
        <f>IFERROR(__xludf.DUMMYFUNCTION("""COMPUTED_VALUE"""),"Cajón Herramientas Standard Derecho")</f>
        <v>Cajón Herramientas Standard Derecho</v>
      </c>
      <c r="AL87" s="3" t="str">
        <f>IFERROR(__xludf.DUMMYFUNCTION("""COMPUTED_VALUE"""),"Cajón Herramientas Standard Izquierdo")</f>
        <v>Cajón Herramientas Standard Izquierdo</v>
      </c>
      <c r="AM87" s="3" t="str">
        <f>IFERROR(__xludf.DUMMYFUNCTION("""COMPUTED_VALUE"""),"Cajón Herramientas Corto Derecho")</f>
        <v>Cajón Herramientas Corto Derecho</v>
      </c>
      <c r="AN87" s="3" t="str">
        <f>IFERROR(__xludf.DUMMYFUNCTION("""COMPUTED_VALUE"""),"Cajón Herramientas Corto Izquierdo")</f>
        <v>Cajón Herramientas Corto Izquierdo</v>
      </c>
      <c r="AO87" s="3" t="str">
        <f>IFERROR(__xludf.DUMMYFUNCTION("""COMPUTED_VALUE"""),"Cajón Herramientas Mediano Derecho")</f>
        <v>Cajón Herramientas Mediano Derecho</v>
      </c>
      <c r="AP87" s="3" t="str">
        <f>IFERROR(__xludf.DUMMYFUNCTION("""COMPUTED_VALUE"""),"Cajón Herramientas Mediano Izquierdo")</f>
        <v>Cajón Herramientas Mediano Izquierdo</v>
      </c>
      <c r="AQ87" s="3" t="str">
        <f>IFERROR(__xludf.DUMMYFUNCTION("""COMPUTED_VALUE"""),"Chasis Acoplado 2 Ejes L3000")</f>
        <v>Chasis Acoplado 2 Ejes L3000</v>
      </c>
      <c r="AR87" s="3" t="str">
        <f>IFERROR(__xludf.DUMMYFUNCTION("""COMPUTED_VALUE"""),"Chasis Acoplado 2 Ejes L3750")</f>
        <v>Chasis Acoplado 2 Ejes L3750</v>
      </c>
      <c r="AS87" s="3" t="str">
        <f>IFERROR(__xludf.DUMMYFUNCTION("""COMPUTED_VALUE"""),"Chasis Acoplado 2 Ejes L4000")</f>
        <v>Chasis Acoplado 2 Ejes L4000</v>
      </c>
      <c r="AT87" s="3" t="str">
        <f>IFERROR(__xludf.DUMMYFUNCTION("""COMPUTED_VALUE"""),"Chasis Acoplado 2 Ejes L4000 Reforzado")</f>
        <v>Chasis Acoplado 2 Ejes L4000 Reforzado</v>
      </c>
      <c r="AU87" s="3" t="str">
        <f>IFERROR(__xludf.DUMMYFUNCTION("""COMPUTED_VALUE"""),"Chasis Acoplado 2 Ejes L4750")</f>
        <v>Chasis Acoplado 2 Ejes L4750</v>
      </c>
      <c r="AV87" s="3" t="str">
        <f>IFERROR(__xludf.DUMMYFUNCTION("""COMPUTED_VALUE"""),"Chasis Acoplado 2 Ejes L4750 Reforzado")</f>
        <v>Chasis Acoplado 2 Ejes L4750 Reforzado</v>
      </c>
      <c r="AW87" s="3" t="str">
        <f>IFERROR(__xludf.DUMMYFUNCTION("""COMPUTED_VALUE"""),"Chasis Acoplado 2 Ejes L4750 Reforzado R. Camion")</f>
        <v>Chasis Acoplado 2 Ejes L4750 Reforzado R. Camion</v>
      </c>
      <c r="AX87" s="3" t="str">
        <f>IFERROR(__xludf.DUMMYFUNCTION("""COMPUTED_VALUE"""),"Chasis Acoplado 2 Ejes L5000")</f>
        <v>Chasis Acoplado 2 Ejes L5000</v>
      </c>
      <c r="AY87" s="3" t="str">
        <f>IFERROR(__xludf.DUMMYFUNCTION("""COMPUTED_VALUE"""),"Chasis Acoplado 2 Ejes L5750")</f>
        <v>Chasis Acoplado 2 Ejes L5750</v>
      </c>
      <c r="AZ87" s="3" t="str">
        <f>IFERROR(__xludf.DUMMYFUNCTION("""COMPUTED_VALUE"""),"Chasis Acoplado 2 Ejes L6400")</f>
        <v>Chasis Acoplado 2 Ejes L6400</v>
      </c>
      <c r="BA87" s="3" t="str">
        <f>IFERROR(__xludf.DUMMYFUNCTION("""COMPUTED_VALUE"""),"Chasis Acoplado 2 Ejes L4500")</f>
        <v>Chasis Acoplado 2 Ejes L4500</v>
      </c>
      <c r="BB87" s="3" t="str">
        <f>IFERROR(__xludf.DUMMYFUNCTION("""COMPUTED_VALUE"""),"Chasis Acoplado 1 Eje L1500")</f>
        <v>Chasis Acoplado 1 Eje L1500</v>
      </c>
      <c r="BC87" s="3" t="str">
        <f>IFERROR(__xludf.DUMMYFUNCTION("""COMPUTED_VALUE"""),"Chasis Acoplado 1 Eje L1800")</f>
        <v>Chasis Acoplado 1 Eje L1800</v>
      </c>
      <c r="BD87" s="3" t="str">
        <f>IFERROR(__xludf.DUMMYFUNCTION("""COMPUTED_VALUE"""),"Chasis Acoplado 1 Eje L1400")</f>
        <v>Chasis Acoplado 1 Eje L1400</v>
      </c>
      <c r="BE87" s="3" t="str">
        <f>IFERROR(__xludf.DUMMYFUNCTION("""COMPUTED_VALUE"""),"Chasis Acoplado Balancin L3000")</f>
        <v>Chasis Acoplado Balancin L3000</v>
      </c>
      <c r="BF87" s="3" t="str">
        <f>IFERROR(__xludf.DUMMYFUNCTION("""COMPUTED_VALUE"""),"Chasis Acoplado Balancin L3000 Lanza Corta")</f>
        <v>Chasis Acoplado Balancin L3000 Lanza Corta</v>
      </c>
      <c r="BG87" s="3" t="str">
        <f>IFERROR(__xludf.DUMMYFUNCTION("""COMPUTED_VALUE"""),"Chasis Acoplado Balancin L2000 Lanza Corta")</f>
        <v>Chasis Acoplado Balancin L2000 Lanza Corta</v>
      </c>
      <c r="BH87" s="3" t="str">
        <f>IFERROR(__xludf.DUMMYFUNCTION("""COMPUTED_VALUE"""),"Chasis Acoplado Balancin L3200 Lanza Corta")</f>
        <v>Chasis Acoplado Balancin L3200 Lanza Corta</v>
      </c>
      <c r="BI87" s="3" t="str">
        <f>IFERROR(__xludf.DUMMYFUNCTION("""COMPUTED_VALUE"""),"Chasis Acoplado Balancin L3200 Lanza Recta")</f>
        <v>Chasis Acoplado Balancin L3200 Lanza Recta</v>
      </c>
      <c r="BJ87" s="3" t="str">
        <f>IFERROR(__xludf.DUMMYFUNCTION("""COMPUTED_VALUE"""),"Chasis Acoplado Balancin L3200 Bajo Lanza Recta")</f>
        <v>Chasis Acoplado Balancin L3200 Bajo Lanza Recta</v>
      </c>
      <c r="BK87" s="3" t="str">
        <f>IFERROR(__xludf.DUMMYFUNCTION("""COMPUTED_VALUE"""),"Tanque Plastico Horizontal 750 Lts")</f>
        <v>Tanque Plastico Horizontal 750 Lts</v>
      </c>
      <c r="BL87" s="3" t="str">
        <f>IFERROR(__xludf.DUMMYFUNCTION("""COMPUTED_VALUE"""),"Medio Tanque Plastico Superior 700 Lts")</f>
        <v>Medio Tanque Plastico Superior 700 Lts</v>
      </c>
      <c r="BM87" s="3" t="str">
        <f>IFERROR(__xludf.DUMMYFUNCTION("""COMPUTED_VALUE"""),"Paquete de Elasticos 50 mm x 8 mm x 10 Hojas L850")</f>
        <v>Paquete de Elasticos 50 mm x 8 mm x 10 Hojas L850</v>
      </c>
      <c r="BN87" s="3" t="str">
        <f>IFERROR(__xludf.DUMMYFUNCTION("""COMPUTED_VALUE"""),"Paquete de Elasticos 63 mm x 8 mm x 10 Hojas L950")</f>
        <v>Paquete de Elasticos 63 mm x 8 mm x 10 Hojas L950</v>
      </c>
      <c r="BO87" s="3" t="str">
        <f>IFERROR(__xludf.DUMMYFUNCTION("""COMPUTED_VALUE"""),"Paquete de Elasticos 50 mm x 7 mm x 9 Hojas L850")</f>
        <v>Paquete de Elasticos 50 mm x 7 mm x 9 Hojas L850</v>
      </c>
      <c r="BP87" s="3" t="str">
        <f>IFERROR(__xludf.DUMMYFUNCTION("""COMPUTED_VALUE"""),"Paquete de Elasticos 63 mm x 8 mm x 8 Hojas L850")</f>
        <v>Paquete de Elasticos 63 mm x 8 mm x 8 Hojas L850</v>
      </c>
      <c r="BQ87" s="3" t="str">
        <f>IFERROR(__xludf.DUMMYFUNCTION("""COMPUTED_VALUE"""),"Paquete de Elasticos 63 mm x 10 mm x 10 Hojas L950")</f>
        <v>Paquete de Elasticos 63 mm x 10 mm x 10 Hojas L950</v>
      </c>
      <c r="BR87" s="3" t="str">
        <f>IFERROR(__xludf.DUMMYFUNCTION("""COMPUTED_VALUE"""),"Paquete de Elasticos 63 mm x 10 mm x 13 Hojas L975")</f>
        <v>Paquete de Elasticos 63 mm x 10 mm x 13 Hojas L975</v>
      </c>
      <c r="BS87" s="3" t="str">
        <f>IFERROR(__xludf.DUMMYFUNCTION("""COMPUTED_VALUE"""),"Paquete de Elasticos 50 mm x 7 mm x 9 Hojas L650")</f>
        <v>Paquete de Elasticos 50 mm x 7 mm x 9 Hojas L650</v>
      </c>
      <c r="BT87" s="3" t="str">
        <f>IFERROR(__xludf.DUMMYFUNCTION("""COMPUTED_VALUE"""),"Eje Acoplado 2"" x 1600 (06/08) Agrícola Centro 92")</f>
        <v>Eje Acoplado 2" x 1600 (06/08) Agrícola Centro 92</v>
      </c>
      <c r="BU87" s="3" t="str">
        <f>IFERROR(__xludf.DUMMYFUNCTION("""COMPUTED_VALUE"""),"Eje Acoplado 2 1/2"" x 1600 (07/09) Agrícola Centro 92")</f>
        <v>Eje Acoplado 2 1/2" x 1600 (07/09) Agrícola Centro 92</v>
      </c>
      <c r="BV87" s="3" t="str">
        <f>IFERROR(__xludf.DUMMYFUNCTION("""COMPUTED_VALUE"""),"Eje Acoplado 2 1/2"" x 1600 (09/11) Agrícola Centro 150")</f>
        <v>Eje Acoplado 2 1/2" x 1600 (09/11) Agrícola Centro 150</v>
      </c>
      <c r="BW87" s="3" t="str">
        <f>IFERROR(__xludf.DUMMYFUNCTION("""COMPUTED_VALUE"""),"Eje Acoplado 3"" x 1600 (10/13) Agrícola Centro 150")</f>
        <v>Eje Acoplado 3" x 1600 (10/13) Agrícola Centro 150</v>
      </c>
      <c r="BX87" s="3" t="str">
        <f>IFERROR(__xludf.DUMMYFUNCTION("""COMPUTED_VALUE"""),"Eje Acoplado 2 1/2"" x 2140 (07/09) Agrícola Centro 92")</f>
        <v>Eje Acoplado 2 1/2" x 2140 (07/09) Agrícola Centro 92</v>
      </c>
      <c r="BY87" s="3" t="str">
        <f>IFERROR(__xludf.DUMMYFUNCTION("""COMPUTED_VALUE"""),"Eje Acoplado 2"" x 1400 (06/08) Agrícola Centro 92")</f>
        <v>Eje Acoplado 2" x 1400 (06/08) Agrícola Centro 92</v>
      </c>
      <c r="BZ87" s="3" t="str">
        <f>IFERROR(__xludf.DUMMYFUNCTION("""COMPUTED_VALUE"""),"Eje Acoplado 2 1/2"" x 1500 (07/09) Agrícola Centro 92")</f>
        <v>Eje Acoplado 2 1/2" x 1500 (07/09) Agrícola Centro 92</v>
      </c>
      <c r="CA87" s="3" t="str">
        <f>IFERROR(__xludf.DUMMYFUNCTION("""COMPUTED_VALUE"""),"Eje Acoplado 2 1/2"" x 2000 (07/09) Agrícola Centro 92")</f>
        <v>Eje Acoplado 2 1/2" x 2000 (07/09) Agrícola Centro 92</v>
      </c>
      <c r="CB87" s="3" t="str">
        <f>IFERROR(__xludf.DUMMYFUNCTION("""COMPUTED_VALUE"""),"Eje Acoplado 2 1/2"" x 2100 (09/11) Agrícola Centro 150")</f>
        <v>Eje Acoplado 2 1/2" x 2100 (09/11) Agrícola Centro 150</v>
      </c>
      <c r="CC87" s="3" t="str">
        <f>IFERROR(__xludf.DUMMYFUNCTION("""COMPUTED_VALUE"""),"Llanta 16"" Simple Agrícola Centro 92")</f>
        <v>Llanta 16" Simple Agrícola Centro 92</v>
      </c>
      <c r="CD87" s="3" t="str">
        <f>IFERROR(__xludf.DUMMYFUNCTION("""COMPUTED_VALUE"""),"Llanta 16"" Dual Agrícola Centro 92")</f>
        <v>Llanta 16" Dual Agrícola Centro 92</v>
      </c>
      <c r="CE87" s="3" t="str">
        <f>IFERROR(__xludf.DUMMYFUNCTION("""COMPUTED_VALUE"""),"Llanta 17"" Simple Agrícola Centro 92")</f>
        <v>Llanta 17" Simple Agrícola Centro 92</v>
      </c>
      <c r="CF87" s="3" t="str">
        <f>IFERROR(__xludf.DUMMYFUNCTION("""COMPUTED_VALUE"""),"Llanta 17"" Dual Agrícola Centro 92")</f>
        <v>Llanta 17" Dual Agrícola Centro 92</v>
      </c>
      <c r="CG87" s="3" t="str">
        <f>IFERROR(__xludf.DUMMYFUNCTION("""COMPUTED_VALUE"""),"Llanta 16"" Dual Agrícola Centro 152")</f>
        <v>Llanta 16" Dual Agrícola Centro 152</v>
      </c>
      <c r="CH87" s="3" t="str">
        <f>IFERROR(__xludf.DUMMYFUNCTION("""COMPUTED_VALUE"""),"Llanta 17"" Dual Agrícola Centro 152")</f>
        <v>Llanta 17" Dual Agrícola Centro 152</v>
      </c>
      <c r="CI87" s="3" t="str">
        <f>IFERROR(__xludf.DUMMYFUNCTION("""COMPUTED_VALUE"""),"Eje Acoplado 2"" x 1600 (05/07) Agrícola Centro 92")</f>
        <v>Eje Acoplado 2" x 1600 (05/07) Agrícola Centro 92</v>
      </c>
      <c r="CJ87" s="3" t="str">
        <f>IFERROR(__xludf.DUMMYFUNCTION("""COMPUTED_VALUE"""),"Paquete de Elásticos 50 mm x 8 mm x 12 Hojas")</f>
        <v>Paquete de Elásticos 50 mm x 8 mm x 12 Hojas</v>
      </c>
      <c r="CK87" s="3" t="str">
        <f>IFERROR(__xludf.DUMMYFUNCTION("""COMPUTED_VALUE"""),"Plataforma Playo 4.00 x 1.90 x 0.45 Lateral Simple Baranda Fija")</f>
        <v>Plataforma Playo 4.00 x 1.90 x 0.45 Lateral Simple Baranda Fija</v>
      </c>
      <c r="CL87" s="3" t="str">
        <f>IFERROR(__xludf.DUMMYFUNCTION("""COMPUTED_VALUE"""),"Plataforma Playo 4.00 x 1.90 x 0.45 Lateral Simple Baranda Ventilada")</f>
        <v>Plataforma Playo 4.00 x 1.90 x 0.45 Lateral Simple Baranda Ventilada</v>
      </c>
      <c r="CM87" s="3" t="str">
        <f>IFERROR(__xludf.DUMMYFUNCTION("""COMPUTED_VALUE"""),"Plataforma Playo 4.00 x 1.90 x 0.45 Lateral Doble Baranda Ventilada")</f>
        <v>Plataforma Playo 4.00 x 1.90 x 0.45 Lateral Doble Baranda Ventilada</v>
      </c>
      <c r="CN87" s="3" t="str">
        <f>IFERROR(__xludf.DUMMYFUNCTION("""COMPUTED_VALUE"""),"Plataforma Playo 4.00 x 1.90 x 0.45 Lateral Doble Baranda Fija")</f>
        <v>Plataforma Playo 4.00 x 1.90 x 0.45 Lateral Doble Baranda Fija</v>
      </c>
      <c r="CO87" s="3" t="str">
        <f>IFERROR(__xludf.DUMMYFUNCTION("""COMPUTED_VALUE"""),"Plataforma Playo 4.00 x 1.90 x 0.72 Lateral Simple Baranda Fija")</f>
        <v>Plataforma Playo 4.00 x 1.90 x 0.72 Lateral Simple Baranda Fija</v>
      </c>
      <c r="CP87" s="3" t="str">
        <f>IFERROR(__xludf.DUMMYFUNCTION("""COMPUTED_VALUE"""),"Plataforma Playo 4.00 x 1.90 x 0.72 Lateral Doble Baranda Fija")</f>
        <v>Plataforma Playo 4.00 x 1.90 x 0.72 Lateral Doble Baranda Fija</v>
      </c>
      <c r="CQ87" s="3" t="str">
        <f>IFERROR(__xludf.DUMMYFUNCTION("""COMPUTED_VALUE"""),"Plataforma Playo 5.00 x 2.20 x 0.60 Lateral Doble Trasera Rebatible")</f>
        <v>Plataforma Playo 5.00 x 2.20 x 0.60 Lateral Doble Trasera Rebatible</v>
      </c>
      <c r="CR87" s="3" t="str">
        <f>IFERROR(__xludf.DUMMYFUNCTION("""COMPUTED_VALUE"""),"Plataforma Playo 5.00 x 2.20 x 0.60 Lateral Doble Baranda Fija C/Toldo")</f>
        <v>Plataforma Playo 5.00 x 2.20 x 0.60 Lateral Doble Baranda Fija C/Toldo</v>
      </c>
      <c r="CS87" s="3" t="str">
        <f>IFERROR(__xludf.DUMMYFUNCTION("""COMPUTED_VALUE"""),"Plataforma Playo 3.00 x 1.90 x 0.45 Lateral Simple Baranda Fija")</f>
        <v>Plataforma Playo 3.00 x 1.90 x 0.45 Lateral Simple Baranda Fija</v>
      </c>
      <c r="CT87" s="3" t="str">
        <f>IFERROR(__xludf.DUMMYFUNCTION("""COMPUTED_VALUE"""),"Plataforma Playo 3.00 x 1.90 x 0.45 Lateral Simple Baranda Ventilada")</f>
        <v>Plataforma Playo 3.00 x 1.90 x 0.45 Lateral Simple Baranda Ventilada</v>
      </c>
      <c r="CU87" s="3" t="str">
        <f>IFERROR(__xludf.DUMMYFUNCTION("""COMPUTED_VALUE"""),"Plataforma Playo 2.00 x 1.90 x 0.45 Lateral Simple Baranda Fija")</f>
        <v>Plataforma Playo 2.00 x 1.90 x 0.45 Lateral Simple Baranda Fija</v>
      </c>
      <c r="CV87" s="3" t="str">
        <f>IFERROR(__xludf.DUMMYFUNCTION("""COMPUTED_VALUE"""),"Plataforma Playo 5.00 x 1.90 x 0.60 Lateral Doble Baranda Fija")</f>
        <v>Plataforma Playo 5.00 x 1.90 x 0.60 Lateral Doble Baranda Fija</v>
      </c>
      <c r="CW87" s="3" t="str">
        <f>IFERROR(__xludf.DUMMYFUNCTION("""COMPUTED_VALUE"""),"Plataforma Playo 6.40 x 2.70 x 0.72 Lateral Doble Baranda Fija")</f>
        <v>Plataforma Playo 6.40 x 2.70 x 0.72 Lateral Doble Baranda Fija</v>
      </c>
      <c r="CX87" s="3" t="str">
        <f>IFERROR(__xludf.DUMMYFUNCTION("""COMPUTED_VALUE"""),"Chasis Acoplado Balancin L4000 Lanza Recta")</f>
        <v>Chasis Acoplado Balancin L4000 Lanza Recta</v>
      </c>
      <c r="CY87" s="3" t="str">
        <f>IFERROR(__xludf.DUMMYFUNCTION("""COMPUTED_VALUE"""),"Llanta simple Agrícola 750x20 centro 152")</f>
        <v>Llanta simple Agrícola 750x20 centro 152</v>
      </c>
      <c r="CZ87" s="3" t="str">
        <f>IFERROR(__xludf.DUMMYFUNCTION("""COMPUTED_VALUE"""),"Cajón de Herramientas Mediano adelante")</f>
        <v>Cajón de Herramientas Mediano adelante</v>
      </c>
      <c r="DA87" s="3" t="str">
        <f>IFERROR(__xludf.DUMMYFUNCTION("""COMPUTED_VALUE"""),"Llanta 15"" Simple Agrícola Centro 92")</f>
        <v>Llanta 15" Simple Agrícola Centro 92</v>
      </c>
    </row>
    <row r="88" hidden="1">
      <c r="A88" s="38">
        <f t="shared" si="1"/>
        <v>87</v>
      </c>
      <c r="B88" s="38">
        <f>IF(F88="","",SUMIF(Prearmados!E:E,F88,Prearmados!A:A))</f>
        <v>18</v>
      </c>
      <c r="C88" s="38">
        <f>IF(F88="","",SUMIF(Productos!E:E,G88,Productos!A:A))</f>
        <v>67</v>
      </c>
      <c r="D88" s="83" t="str">
        <f t="array" ref="D88">IF(OR(F88="",F88="Seleccionar.."),"",XLOOKUP(F88,Prearmados!E:E,Prearmados!F:F,"",0,1))</f>
        <v>Acoplados Rurales</v>
      </c>
      <c r="E88" s="83">
        <f>IF(H88="","",SUMIF(Precio_Productos!K:K,C88,Precio_Productos!J:J)*H88)</f>
        <v>292579</v>
      </c>
      <c r="F88" s="84" t="s">
        <v>341</v>
      </c>
      <c r="G88" s="84" t="s">
        <v>81</v>
      </c>
      <c r="H88" s="13">
        <v>1.0</v>
      </c>
      <c r="P88" s="3" t="str">
        <f>IFERROR(__xludf.DUMMYFUNCTION("IF(OR(F88="""",F88=""Seleccionar..""),"""",TRANSPOSE(FILTER(Productos!E:E,(Productos!F:F=D88)+(Productos!F:F=XLOOKUP(D88,Implementos!B:B,Implementos!C:C,""-"",0,1)))))"),"Tanque Combustible 1100 lts Bajo")</f>
        <v>Tanque Combustible 1100 lts Bajo</v>
      </c>
      <c r="Q88" s="3" t="str">
        <f>IFERROR(__xludf.DUMMYFUNCTION("""COMPUTED_VALUE"""),"Tanque Combustible 1500 lts Standard")</f>
        <v>Tanque Combustible 1500 lts Standard</v>
      </c>
      <c r="R88" s="3" t="str">
        <f>IFERROR(__xludf.DUMMYFUNCTION("""COMPUTED_VALUE"""),"Tanque Combustible 1800 lts Standard")</f>
        <v>Tanque Combustible 1800 lts Standard</v>
      </c>
      <c r="S88" s="3" t="str">
        <f>IFERROR(__xludf.DUMMYFUNCTION("""COMPUTED_VALUE"""),"Tanque Combustible 2000 lts Bajo")</f>
        <v>Tanque Combustible 2000 lts Bajo</v>
      </c>
      <c r="T88" s="3" t="str">
        <f>IFERROR(__xludf.DUMMYFUNCTION("""COMPUTED_VALUE"""),"Tanque Combustible 2000 lts Standard")</f>
        <v>Tanque Combustible 2000 lts Standard</v>
      </c>
      <c r="U88" s="3" t="str">
        <f>IFERROR(__xludf.DUMMYFUNCTION("""COMPUTED_VALUE"""),"Tanque Combustible 3000 lts Standard")</f>
        <v>Tanque Combustible 3000 lts Standard</v>
      </c>
      <c r="V88" s="3" t="str">
        <f>IFERROR(__xludf.DUMMYFUNCTION("""COMPUTED_VALUE"""),"Tanque Combustible 3000 lts Alto")</f>
        <v>Tanque Combustible 3000 lts Alto</v>
      </c>
      <c r="W88" s="3" t="str">
        <f>IFERROR(__xludf.DUMMYFUNCTION("""COMPUTED_VALUE"""),"Tanque Combustible 4000 lts Standard")</f>
        <v>Tanque Combustible 4000 lts Standard</v>
      </c>
      <c r="X88" s="3" t="str">
        <f>IFERROR(__xludf.DUMMYFUNCTION("""COMPUTED_VALUE"""),"Tanque Combustible 5000 lts Standard")</f>
        <v>Tanque Combustible 5000 lts Standard</v>
      </c>
      <c r="Y88" s="3" t="str">
        <f>IFERROR(__xludf.DUMMYFUNCTION("""COMPUTED_VALUE"""),"Tanque Combustible 5000 lts Alto")</f>
        <v>Tanque Combustible 5000 lts Alto</v>
      </c>
      <c r="Z88" s="3" t="str">
        <f>IFERROR(__xludf.DUMMYFUNCTION("""COMPUTED_VALUE"""),"Tanque Combustible 2000 lts Alto")</f>
        <v>Tanque Combustible 2000 lts Alto</v>
      </c>
      <c r="AA88" s="3" t="str">
        <f>IFERROR(__xludf.DUMMYFUNCTION("""COMPUTED_VALUE"""),"Tanque Combustible 4000 lts Alto")</f>
        <v>Tanque Combustible 4000 lts Alto</v>
      </c>
      <c r="AB88" s="3" t="str">
        <f>IFERROR(__xludf.DUMMYFUNCTION("""COMPUTED_VALUE"""),"Baulera Standard - 750")</f>
        <v>Baulera Standard - 750</v>
      </c>
      <c r="AC88" s="3" t="str">
        <f>IFERROR(__xludf.DUMMYFUNCTION("""COMPUTED_VALUE"""),"Baulera Standard - 1700 - C/Laterales")</f>
        <v>Baulera Standard - 1700 - C/Laterales</v>
      </c>
      <c r="AD88" s="3" t="str">
        <f>IFERROR(__xludf.DUMMYFUNCTION("""COMPUTED_VALUE"""),"Baulera Standard - 1000 - C/Laterales")</f>
        <v>Baulera Standard - 1000 - C/Laterales</v>
      </c>
      <c r="AE88" s="3" t="str">
        <f>IFERROR(__xludf.DUMMYFUNCTION("""COMPUTED_VALUE"""),"Baulera Standard - 750 - C/Laterales")</f>
        <v>Baulera Standard - 750 - C/Laterales</v>
      </c>
      <c r="AF88" s="3" t="str">
        <f>IFERROR(__xludf.DUMMYFUNCTION("""COMPUTED_VALUE"""),"Baulera Standard - 1300 - C/Laterales")</f>
        <v>Baulera Standard - 1300 - C/Laterales</v>
      </c>
      <c r="AG88" s="3" t="str">
        <f>IFERROR(__xludf.DUMMYFUNCTION("""COMPUTED_VALUE"""),"Baulera Alta - 750")</f>
        <v>Baulera Alta - 750</v>
      </c>
      <c r="AH88" s="3" t="str">
        <f>IFERROR(__xludf.DUMMYFUNCTION("""COMPUTED_VALUE"""),"Baulera Alta - 1500 - C/Laterales")</f>
        <v>Baulera Alta - 1500 - C/Laterales</v>
      </c>
      <c r="AI88" s="3" t="str">
        <f>IFERROR(__xludf.DUMMYFUNCTION("""COMPUTED_VALUE"""),"Baulera Extendida 1700 - C/Laterales")</f>
        <v>Baulera Extendida 1700 - C/Laterales</v>
      </c>
      <c r="AJ88" s="3" t="str">
        <f>IFERROR(__xludf.DUMMYFUNCTION("""COMPUTED_VALUE"""),"Taller Móvil - 1500 x 1500 x 1700")</f>
        <v>Taller Móvil - 1500 x 1500 x 1700</v>
      </c>
      <c r="AK88" s="3" t="str">
        <f>IFERROR(__xludf.DUMMYFUNCTION("""COMPUTED_VALUE"""),"Cajón Herramientas Standard Derecho")</f>
        <v>Cajón Herramientas Standard Derecho</v>
      </c>
      <c r="AL88" s="3" t="str">
        <f>IFERROR(__xludf.DUMMYFUNCTION("""COMPUTED_VALUE"""),"Cajón Herramientas Standard Izquierdo")</f>
        <v>Cajón Herramientas Standard Izquierdo</v>
      </c>
      <c r="AM88" s="3" t="str">
        <f>IFERROR(__xludf.DUMMYFUNCTION("""COMPUTED_VALUE"""),"Cajón Herramientas Corto Derecho")</f>
        <v>Cajón Herramientas Corto Derecho</v>
      </c>
      <c r="AN88" s="3" t="str">
        <f>IFERROR(__xludf.DUMMYFUNCTION("""COMPUTED_VALUE"""),"Cajón Herramientas Corto Izquierdo")</f>
        <v>Cajón Herramientas Corto Izquierdo</v>
      </c>
      <c r="AO88" s="3" t="str">
        <f>IFERROR(__xludf.DUMMYFUNCTION("""COMPUTED_VALUE"""),"Cajón Herramientas Mediano Derecho")</f>
        <v>Cajón Herramientas Mediano Derecho</v>
      </c>
      <c r="AP88" s="3" t="str">
        <f>IFERROR(__xludf.DUMMYFUNCTION("""COMPUTED_VALUE"""),"Cajón Herramientas Mediano Izquierdo")</f>
        <v>Cajón Herramientas Mediano Izquierdo</v>
      </c>
      <c r="AQ88" s="3" t="str">
        <f>IFERROR(__xludf.DUMMYFUNCTION("""COMPUTED_VALUE"""),"Chasis Acoplado 2 Ejes L3000")</f>
        <v>Chasis Acoplado 2 Ejes L3000</v>
      </c>
      <c r="AR88" s="3" t="str">
        <f>IFERROR(__xludf.DUMMYFUNCTION("""COMPUTED_VALUE"""),"Chasis Acoplado 2 Ejes L3750")</f>
        <v>Chasis Acoplado 2 Ejes L3750</v>
      </c>
      <c r="AS88" s="3" t="str">
        <f>IFERROR(__xludf.DUMMYFUNCTION("""COMPUTED_VALUE"""),"Chasis Acoplado 2 Ejes L4000")</f>
        <v>Chasis Acoplado 2 Ejes L4000</v>
      </c>
      <c r="AT88" s="3" t="str">
        <f>IFERROR(__xludf.DUMMYFUNCTION("""COMPUTED_VALUE"""),"Chasis Acoplado 2 Ejes L4000 Reforzado")</f>
        <v>Chasis Acoplado 2 Ejes L4000 Reforzado</v>
      </c>
      <c r="AU88" s="3" t="str">
        <f>IFERROR(__xludf.DUMMYFUNCTION("""COMPUTED_VALUE"""),"Chasis Acoplado 2 Ejes L4750")</f>
        <v>Chasis Acoplado 2 Ejes L4750</v>
      </c>
      <c r="AV88" s="3" t="str">
        <f>IFERROR(__xludf.DUMMYFUNCTION("""COMPUTED_VALUE"""),"Chasis Acoplado 2 Ejes L4750 Reforzado")</f>
        <v>Chasis Acoplado 2 Ejes L4750 Reforzado</v>
      </c>
      <c r="AW88" s="3" t="str">
        <f>IFERROR(__xludf.DUMMYFUNCTION("""COMPUTED_VALUE"""),"Chasis Acoplado 2 Ejes L4750 Reforzado R. Camion")</f>
        <v>Chasis Acoplado 2 Ejes L4750 Reforzado R. Camion</v>
      </c>
      <c r="AX88" s="3" t="str">
        <f>IFERROR(__xludf.DUMMYFUNCTION("""COMPUTED_VALUE"""),"Chasis Acoplado 2 Ejes L5000")</f>
        <v>Chasis Acoplado 2 Ejes L5000</v>
      </c>
      <c r="AY88" s="3" t="str">
        <f>IFERROR(__xludf.DUMMYFUNCTION("""COMPUTED_VALUE"""),"Chasis Acoplado 2 Ejes L5750")</f>
        <v>Chasis Acoplado 2 Ejes L5750</v>
      </c>
      <c r="AZ88" s="3" t="str">
        <f>IFERROR(__xludf.DUMMYFUNCTION("""COMPUTED_VALUE"""),"Chasis Acoplado 2 Ejes L6400")</f>
        <v>Chasis Acoplado 2 Ejes L6400</v>
      </c>
      <c r="BA88" s="3" t="str">
        <f>IFERROR(__xludf.DUMMYFUNCTION("""COMPUTED_VALUE"""),"Chasis Acoplado 2 Ejes L4500")</f>
        <v>Chasis Acoplado 2 Ejes L4500</v>
      </c>
      <c r="BB88" s="3" t="str">
        <f>IFERROR(__xludf.DUMMYFUNCTION("""COMPUTED_VALUE"""),"Chasis Acoplado 1 Eje L1500")</f>
        <v>Chasis Acoplado 1 Eje L1500</v>
      </c>
      <c r="BC88" s="3" t="str">
        <f>IFERROR(__xludf.DUMMYFUNCTION("""COMPUTED_VALUE"""),"Chasis Acoplado 1 Eje L1800")</f>
        <v>Chasis Acoplado 1 Eje L1800</v>
      </c>
      <c r="BD88" s="3" t="str">
        <f>IFERROR(__xludf.DUMMYFUNCTION("""COMPUTED_VALUE"""),"Chasis Acoplado 1 Eje L1400")</f>
        <v>Chasis Acoplado 1 Eje L1400</v>
      </c>
      <c r="BE88" s="3" t="str">
        <f>IFERROR(__xludf.DUMMYFUNCTION("""COMPUTED_VALUE"""),"Chasis Acoplado Balancin L3000")</f>
        <v>Chasis Acoplado Balancin L3000</v>
      </c>
      <c r="BF88" s="3" t="str">
        <f>IFERROR(__xludf.DUMMYFUNCTION("""COMPUTED_VALUE"""),"Chasis Acoplado Balancin L3000 Lanza Corta")</f>
        <v>Chasis Acoplado Balancin L3000 Lanza Corta</v>
      </c>
      <c r="BG88" s="3" t="str">
        <f>IFERROR(__xludf.DUMMYFUNCTION("""COMPUTED_VALUE"""),"Chasis Acoplado Balancin L2000 Lanza Corta")</f>
        <v>Chasis Acoplado Balancin L2000 Lanza Corta</v>
      </c>
      <c r="BH88" s="3" t="str">
        <f>IFERROR(__xludf.DUMMYFUNCTION("""COMPUTED_VALUE"""),"Chasis Acoplado Balancin L3200 Lanza Corta")</f>
        <v>Chasis Acoplado Balancin L3200 Lanza Corta</v>
      </c>
      <c r="BI88" s="3" t="str">
        <f>IFERROR(__xludf.DUMMYFUNCTION("""COMPUTED_VALUE"""),"Chasis Acoplado Balancin L3200 Lanza Recta")</f>
        <v>Chasis Acoplado Balancin L3200 Lanza Recta</v>
      </c>
      <c r="BJ88" s="3" t="str">
        <f>IFERROR(__xludf.DUMMYFUNCTION("""COMPUTED_VALUE"""),"Chasis Acoplado Balancin L3200 Bajo Lanza Recta")</f>
        <v>Chasis Acoplado Balancin L3200 Bajo Lanza Recta</v>
      </c>
      <c r="BK88" s="3" t="str">
        <f>IFERROR(__xludf.DUMMYFUNCTION("""COMPUTED_VALUE"""),"Tanque Plastico Horizontal 750 Lts")</f>
        <v>Tanque Plastico Horizontal 750 Lts</v>
      </c>
      <c r="BL88" s="3" t="str">
        <f>IFERROR(__xludf.DUMMYFUNCTION("""COMPUTED_VALUE"""),"Medio Tanque Plastico Superior 700 Lts")</f>
        <v>Medio Tanque Plastico Superior 700 Lts</v>
      </c>
      <c r="BM88" s="3" t="str">
        <f>IFERROR(__xludf.DUMMYFUNCTION("""COMPUTED_VALUE"""),"Paquete de Elasticos 50 mm x 8 mm x 10 Hojas L850")</f>
        <v>Paquete de Elasticos 50 mm x 8 mm x 10 Hojas L850</v>
      </c>
      <c r="BN88" s="3" t="str">
        <f>IFERROR(__xludf.DUMMYFUNCTION("""COMPUTED_VALUE"""),"Paquete de Elasticos 63 mm x 8 mm x 10 Hojas L950")</f>
        <v>Paquete de Elasticos 63 mm x 8 mm x 10 Hojas L950</v>
      </c>
      <c r="BO88" s="3" t="str">
        <f>IFERROR(__xludf.DUMMYFUNCTION("""COMPUTED_VALUE"""),"Paquete de Elasticos 50 mm x 7 mm x 9 Hojas L850")</f>
        <v>Paquete de Elasticos 50 mm x 7 mm x 9 Hojas L850</v>
      </c>
      <c r="BP88" s="3" t="str">
        <f>IFERROR(__xludf.DUMMYFUNCTION("""COMPUTED_VALUE"""),"Paquete de Elasticos 63 mm x 8 mm x 8 Hojas L850")</f>
        <v>Paquete de Elasticos 63 mm x 8 mm x 8 Hojas L850</v>
      </c>
      <c r="BQ88" s="3" t="str">
        <f>IFERROR(__xludf.DUMMYFUNCTION("""COMPUTED_VALUE"""),"Paquete de Elasticos 63 mm x 10 mm x 10 Hojas L950")</f>
        <v>Paquete de Elasticos 63 mm x 10 mm x 10 Hojas L950</v>
      </c>
      <c r="BR88" s="3" t="str">
        <f>IFERROR(__xludf.DUMMYFUNCTION("""COMPUTED_VALUE"""),"Paquete de Elasticos 63 mm x 10 mm x 13 Hojas L975")</f>
        <v>Paquete de Elasticos 63 mm x 10 mm x 13 Hojas L975</v>
      </c>
      <c r="BS88" s="3" t="str">
        <f>IFERROR(__xludf.DUMMYFUNCTION("""COMPUTED_VALUE"""),"Paquete de Elasticos 50 mm x 7 mm x 9 Hojas L650")</f>
        <v>Paquete de Elasticos 50 mm x 7 mm x 9 Hojas L650</v>
      </c>
      <c r="BT88" s="3" t="str">
        <f>IFERROR(__xludf.DUMMYFUNCTION("""COMPUTED_VALUE"""),"Eje Acoplado 2"" x 1600 (06/08) Agrícola Centro 92")</f>
        <v>Eje Acoplado 2" x 1600 (06/08) Agrícola Centro 92</v>
      </c>
      <c r="BU88" s="3" t="str">
        <f>IFERROR(__xludf.DUMMYFUNCTION("""COMPUTED_VALUE"""),"Eje Acoplado 2 1/2"" x 1600 (07/09) Agrícola Centro 92")</f>
        <v>Eje Acoplado 2 1/2" x 1600 (07/09) Agrícola Centro 92</v>
      </c>
      <c r="BV88" s="3" t="str">
        <f>IFERROR(__xludf.DUMMYFUNCTION("""COMPUTED_VALUE"""),"Eje Acoplado 2 1/2"" x 1600 (09/11) Agrícola Centro 150")</f>
        <v>Eje Acoplado 2 1/2" x 1600 (09/11) Agrícola Centro 150</v>
      </c>
      <c r="BW88" s="3" t="str">
        <f>IFERROR(__xludf.DUMMYFUNCTION("""COMPUTED_VALUE"""),"Eje Acoplado 3"" x 1600 (10/13) Agrícola Centro 150")</f>
        <v>Eje Acoplado 3" x 1600 (10/13) Agrícola Centro 150</v>
      </c>
      <c r="BX88" s="3" t="str">
        <f>IFERROR(__xludf.DUMMYFUNCTION("""COMPUTED_VALUE"""),"Eje Acoplado 2 1/2"" x 2140 (07/09) Agrícola Centro 92")</f>
        <v>Eje Acoplado 2 1/2" x 2140 (07/09) Agrícola Centro 92</v>
      </c>
      <c r="BY88" s="3" t="str">
        <f>IFERROR(__xludf.DUMMYFUNCTION("""COMPUTED_VALUE"""),"Eje Acoplado 2"" x 1400 (06/08) Agrícola Centro 92")</f>
        <v>Eje Acoplado 2" x 1400 (06/08) Agrícola Centro 92</v>
      </c>
      <c r="BZ88" s="3" t="str">
        <f>IFERROR(__xludf.DUMMYFUNCTION("""COMPUTED_VALUE"""),"Eje Acoplado 2 1/2"" x 1500 (07/09) Agrícola Centro 92")</f>
        <v>Eje Acoplado 2 1/2" x 1500 (07/09) Agrícola Centro 92</v>
      </c>
      <c r="CA88" s="3" t="str">
        <f>IFERROR(__xludf.DUMMYFUNCTION("""COMPUTED_VALUE"""),"Eje Acoplado 2 1/2"" x 2000 (07/09) Agrícola Centro 92")</f>
        <v>Eje Acoplado 2 1/2" x 2000 (07/09) Agrícola Centro 92</v>
      </c>
      <c r="CB88" s="3" t="str">
        <f>IFERROR(__xludf.DUMMYFUNCTION("""COMPUTED_VALUE"""),"Eje Acoplado 2 1/2"" x 2100 (09/11) Agrícola Centro 150")</f>
        <v>Eje Acoplado 2 1/2" x 2100 (09/11) Agrícola Centro 150</v>
      </c>
      <c r="CC88" s="3" t="str">
        <f>IFERROR(__xludf.DUMMYFUNCTION("""COMPUTED_VALUE"""),"Llanta 16"" Simple Agrícola Centro 92")</f>
        <v>Llanta 16" Simple Agrícola Centro 92</v>
      </c>
      <c r="CD88" s="3" t="str">
        <f>IFERROR(__xludf.DUMMYFUNCTION("""COMPUTED_VALUE"""),"Llanta 16"" Dual Agrícola Centro 92")</f>
        <v>Llanta 16" Dual Agrícola Centro 92</v>
      </c>
      <c r="CE88" s="3" t="str">
        <f>IFERROR(__xludf.DUMMYFUNCTION("""COMPUTED_VALUE"""),"Llanta 17"" Simple Agrícola Centro 92")</f>
        <v>Llanta 17" Simple Agrícola Centro 92</v>
      </c>
      <c r="CF88" s="3" t="str">
        <f>IFERROR(__xludf.DUMMYFUNCTION("""COMPUTED_VALUE"""),"Llanta 17"" Dual Agrícola Centro 92")</f>
        <v>Llanta 17" Dual Agrícola Centro 92</v>
      </c>
      <c r="CG88" s="3" t="str">
        <f>IFERROR(__xludf.DUMMYFUNCTION("""COMPUTED_VALUE"""),"Llanta 16"" Dual Agrícola Centro 152")</f>
        <v>Llanta 16" Dual Agrícola Centro 152</v>
      </c>
      <c r="CH88" s="3" t="str">
        <f>IFERROR(__xludf.DUMMYFUNCTION("""COMPUTED_VALUE"""),"Llanta 17"" Dual Agrícola Centro 152")</f>
        <v>Llanta 17" Dual Agrícola Centro 152</v>
      </c>
      <c r="CI88" s="3" t="str">
        <f>IFERROR(__xludf.DUMMYFUNCTION("""COMPUTED_VALUE"""),"Eje Acoplado 2"" x 1600 (05/07) Agrícola Centro 92")</f>
        <v>Eje Acoplado 2" x 1600 (05/07) Agrícola Centro 92</v>
      </c>
      <c r="CJ88" s="3" t="str">
        <f>IFERROR(__xludf.DUMMYFUNCTION("""COMPUTED_VALUE"""),"Paquete de Elásticos 50 mm x 8 mm x 12 Hojas")</f>
        <v>Paquete de Elásticos 50 mm x 8 mm x 12 Hojas</v>
      </c>
      <c r="CK88" s="3" t="str">
        <f>IFERROR(__xludf.DUMMYFUNCTION("""COMPUTED_VALUE"""),"Plataforma Playo 4.00 x 1.90 x 0.45 Lateral Simple Baranda Fija")</f>
        <v>Plataforma Playo 4.00 x 1.90 x 0.45 Lateral Simple Baranda Fija</v>
      </c>
      <c r="CL88" s="3" t="str">
        <f>IFERROR(__xludf.DUMMYFUNCTION("""COMPUTED_VALUE"""),"Plataforma Playo 4.00 x 1.90 x 0.45 Lateral Simple Baranda Ventilada")</f>
        <v>Plataforma Playo 4.00 x 1.90 x 0.45 Lateral Simple Baranda Ventilada</v>
      </c>
      <c r="CM88" s="3" t="str">
        <f>IFERROR(__xludf.DUMMYFUNCTION("""COMPUTED_VALUE"""),"Plataforma Playo 4.00 x 1.90 x 0.45 Lateral Doble Baranda Ventilada")</f>
        <v>Plataforma Playo 4.00 x 1.90 x 0.45 Lateral Doble Baranda Ventilada</v>
      </c>
      <c r="CN88" s="3" t="str">
        <f>IFERROR(__xludf.DUMMYFUNCTION("""COMPUTED_VALUE"""),"Plataforma Playo 4.00 x 1.90 x 0.45 Lateral Doble Baranda Fija")</f>
        <v>Plataforma Playo 4.00 x 1.90 x 0.45 Lateral Doble Baranda Fija</v>
      </c>
      <c r="CO88" s="3" t="str">
        <f>IFERROR(__xludf.DUMMYFUNCTION("""COMPUTED_VALUE"""),"Plataforma Playo 4.00 x 1.90 x 0.72 Lateral Simple Baranda Fija")</f>
        <v>Plataforma Playo 4.00 x 1.90 x 0.72 Lateral Simple Baranda Fija</v>
      </c>
      <c r="CP88" s="3" t="str">
        <f>IFERROR(__xludf.DUMMYFUNCTION("""COMPUTED_VALUE"""),"Plataforma Playo 4.00 x 1.90 x 0.72 Lateral Doble Baranda Fija")</f>
        <v>Plataforma Playo 4.00 x 1.90 x 0.72 Lateral Doble Baranda Fija</v>
      </c>
      <c r="CQ88" s="3" t="str">
        <f>IFERROR(__xludf.DUMMYFUNCTION("""COMPUTED_VALUE"""),"Plataforma Playo 5.00 x 2.20 x 0.60 Lateral Doble Trasera Rebatible")</f>
        <v>Plataforma Playo 5.00 x 2.20 x 0.60 Lateral Doble Trasera Rebatible</v>
      </c>
      <c r="CR88" s="3" t="str">
        <f>IFERROR(__xludf.DUMMYFUNCTION("""COMPUTED_VALUE"""),"Plataforma Playo 5.00 x 2.20 x 0.60 Lateral Doble Baranda Fija C/Toldo")</f>
        <v>Plataforma Playo 5.00 x 2.20 x 0.60 Lateral Doble Baranda Fija C/Toldo</v>
      </c>
      <c r="CS88" s="3" t="str">
        <f>IFERROR(__xludf.DUMMYFUNCTION("""COMPUTED_VALUE"""),"Plataforma Playo 3.00 x 1.90 x 0.45 Lateral Simple Baranda Fija")</f>
        <v>Plataforma Playo 3.00 x 1.90 x 0.45 Lateral Simple Baranda Fija</v>
      </c>
      <c r="CT88" s="3" t="str">
        <f>IFERROR(__xludf.DUMMYFUNCTION("""COMPUTED_VALUE"""),"Plataforma Playo 3.00 x 1.90 x 0.45 Lateral Simple Baranda Ventilada")</f>
        <v>Plataforma Playo 3.00 x 1.90 x 0.45 Lateral Simple Baranda Ventilada</v>
      </c>
      <c r="CU88" s="3" t="str">
        <f>IFERROR(__xludf.DUMMYFUNCTION("""COMPUTED_VALUE"""),"Plataforma Playo 2.00 x 1.90 x 0.45 Lateral Simple Baranda Fija")</f>
        <v>Plataforma Playo 2.00 x 1.90 x 0.45 Lateral Simple Baranda Fija</v>
      </c>
      <c r="CV88" s="3" t="str">
        <f>IFERROR(__xludf.DUMMYFUNCTION("""COMPUTED_VALUE"""),"Plataforma Playo 5.00 x 1.90 x 0.60 Lateral Doble Baranda Fija")</f>
        <v>Plataforma Playo 5.00 x 1.90 x 0.60 Lateral Doble Baranda Fija</v>
      </c>
      <c r="CW88" s="3" t="str">
        <f>IFERROR(__xludf.DUMMYFUNCTION("""COMPUTED_VALUE"""),"Plataforma Playo 6.40 x 2.70 x 0.72 Lateral Doble Baranda Fija")</f>
        <v>Plataforma Playo 6.40 x 2.70 x 0.72 Lateral Doble Baranda Fija</v>
      </c>
      <c r="CX88" s="3" t="str">
        <f>IFERROR(__xludf.DUMMYFUNCTION("""COMPUTED_VALUE"""),"Chasis Acoplado Balancin L4000 Lanza Recta")</f>
        <v>Chasis Acoplado Balancin L4000 Lanza Recta</v>
      </c>
      <c r="CY88" s="3" t="str">
        <f>IFERROR(__xludf.DUMMYFUNCTION("""COMPUTED_VALUE"""),"Llanta simple Agrícola 750x20 centro 152")</f>
        <v>Llanta simple Agrícola 750x20 centro 152</v>
      </c>
      <c r="CZ88" s="3" t="str">
        <f>IFERROR(__xludf.DUMMYFUNCTION("""COMPUTED_VALUE"""),"Cajón de Herramientas Mediano adelante")</f>
        <v>Cajón de Herramientas Mediano adelante</v>
      </c>
      <c r="DA88" s="3" t="str">
        <f>IFERROR(__xludf.DUMMYFUNCTION("""COMPUTED_VALUE"""),"Llanta 15"" Simple Agrícola Centro 92")</f>
        <v>Llanta 15" Simple Agrícola Centro 92</v>
      </c>
    </row>
    <row r="89" hidden="1">
      <c r="A89" s="38">
        <f t="shared" si="1"/>
        <v>88</v>
      </c>
      <c r="B89" s="38">
        <f>IF(F89="","",SUMIF(Prearmados!E:E,F89,Prearmados!A:A))</f>
        <v>18</v>
      </c>
      <c r="C89" s="38">
        <f>IF(F89="","",SUMIF(Productos!E:E,G89,Productos!A:A))</f>
        <v>77</v>
      </c>
      <c r="D89" s="83" t="str">
        <f t="array" ref="D89">IF(OR(F89="",F89="Seleccionar.."),"",XLOOKUP(F89,Prearmados!E:E,Prearmados!F:F,"",0,1))</f>
        <v>Acoplados Rurales</v>
      </c>
      <c r="E89" s="83">
        <f>IF(H89="","",SUMIF(Precio_Productos!K:K,C89,Precio_Productos!J:J)*H89)</f>
        <v>3914914</v>
      </c>
      <c r="F89" s="84" t="s">
        <v>341</v>
      </c>
      <c r="G89" s="84" t="s">
        <v>103</v>
      </c>
      <c r="H89" s="13">
        <v>1.0</v>
      </c>
      <c r="P89" s="3" t="str">
        <f>IFERROR(__xludf.DUMMYFUNCTION("IF(OR(F89="""",F89=""Seleccionar..""),"""",TRANSPOSE(FILTER(Productos!E:E,(Productos!F:F=D89)+(Productos!F:F=XLOOKUP(D89,Implementos!B:B,Implementos!C:C,""-"",0,1)))))"),"Tanque Combustible 1100 lts Bajo")</f>
        <v>Tanque Combustible 1100 lts Bajo</v>
      </c>
      <c r="Q89" s="3" t="str">
        <f>IFERROR(__xludf.DUMMYFUNCTION("""COMPUTED_VALUE"""),"Tanque Combustible 1500 lts Standard")</f>
        <v>Tanque Combustible 1500 lts Standard</v>
      </c>
      <c r="R89" s="3" t="str">
        <f>IFERROR(__xludf.DUMMYFUNCTION("""COMPUTED_VALUE"""),"Tanque Combustible 1800 lts Standard")</f>
        <v>Tanque Combustible 1800 lts Standard</v>
      </c>
      <c r="S89" s="3" t="str">
        <f>IFERROR(__xludf.DUMMYFUNCTION("""COMPUTED_VALUE"""),"Tanque Combustible 2000 lts Bajo")</f>
        <v>Tanque Combustible 2000 lts Bajo</v>
      </c>
      <c r="T89" s="3" t="str">
        <f>IFERROR(__xludf.DUMMYFUNCTION("""COMPUTED_VALUE"""),"Tanque Combustible 2000 lts Standard")</f>
        <v>Tanque Combustible 2000 lts Standard</v>
      </c>
      <c r="U89" s="3" t="str">
        <f>IFERROR(__xludf.DUMMYFUNCTION("""COMPUTED_VALUE"""),"Tanque Combustible 3000 lts Standard")</f>
        <v>Tanque Combustible 3000 lts Standard</v>
      </c>
      <c r="V89" s="3" t="str">
        <f>IFERROR(__xludf.DUMMYFUNCTION("""COMPUTED_VALUE"""),"Tanque Combustible 3000 lts Alto")</f>
        <v>Tanque Combustible 3000 lts Alto</v>
      </c>
      <c r="W89" s="3" t="str">
        <f>IFERROR(__xludf.DUMMYFUNCTION("""COMPUTED_VALUE"""),"Tanque Combustible 4000 lts Standard")</f>
        <v>Tanque Combustible 4000 lts Standard</v>
      </c>
      <c r="X89" s="3" t="str">
        <f>IFERROR(__xludf.DUMMYFUNCTION("""COMPUTED_VALUE"""),"Tanque Combustible 5000 lts Standard")</f>
        <v>Tanque Combustible 5000 lts Standard</v>
      </c>
      <c r="Y89" s="3" t="str">
        <f>IFERROR(__xludf.DUMMYFUNCTION("""COMPUTED_VALUE"""),"Tanque Combustible 5000 lts Alto")</f>
        <v>Tanque Combustible 5000 lts Alto</v>
      </c>
      <c r="Z89" s="3" t="str">
        <f>IFERROR(__xludf.DUMMYFUNCTION("""COMPUTED_VALUE"""),"Tanque Combustible 2000 lts Alto")</f>
        <v>Tanque Combustible 2000 lts Alto</v>
      </c>
      <c r="AA89" s="3" t="str">
        <f>IFERROR(__xludf.DUMMYFUNCTION("""COMPUTED_VALUE"""),"Tanque Combustible 4000 lts Alto")</f>
        <v>Tanque Combustible 4000 lts Alto</v>
      </c>
      <c r="AB89" s="3" t="str">
        <f>IFERROR(__xludf.DUMMYFUNCTION("""COMPUTED_VALUE"""),"Baulera Standard - 750")</f>
        <v>Baulera Standard - 750</v>
      </c>
      <c r="AC89" s="3" t="str">
        <f>IFERROR(__xludf.DUMMYFUNCTION("""COMPUTED_VALUE"""),"Baulera Standard - 1700 - C/Laterales")</f>
        <v>Baulera Standard - 1700 - C/Laterales</v>
      </c>
      <c r="AD89" s="3" t="str">
        <f>IFERROR(__xludf.DUMMYFUNCTION("""COMPUTED_VALUE"""),"Baulera Standard - 1000 - C/Laterales")</f>
        <v>Baulera Standard - 1000 - C/Laterales</v>
      </c>
      <c r="AE89" s="3" t="str">
        <f>IFERROR(__xludf.DUMMYFUNCTION("""COMPUTED_VALUE"""),"Baulera Standard - 750 - C/Laterales")</f>
        <v>Baulera Standard - 750 - C/Laterales</v>
      </c>
      <c r="AF89" s="3" t="str">
        <f>IFERROR(__xludf.DUMMYFUNCTION("""COMPUTED_VALUE"""),"Baulera Standard - 1300 - C/Laterales")</f>
        <v>Baulera Standard - 1300 - C/Laterales</v>
      </c>
      <c r="AG89" s="3" t="str">
        <f>IFERROR(__xludf.DUMMYFUNCTION("""COMPUTED_VALUE"""),"Baulera Alta - 750")</f>
        <v>Baulera Alta - 750</v>
      </c>
      <c r="AH89" s="3" t="str">
        <f>IFERROR(__xludf.DUMMYFUNCTION("""COMPUTED_VALUE"""),"Baulera Alta - 1500 - C/Laterales")</f>
        <v>Baulera Alta - 1500 - C/Laterales</v>
      </c>
      <c r="AI89" s="3" t="str">
        <f>IFERROR(__xludf.DUMMYFUNCTION("""COMPUTED_VALUE"""),"Baulera Extendida 1700 - C/Laterales")</f>
        <v>Baulera Extendida 1700 - C/Laterales</v>
      </c>
      <c r="AJ89" s="3" t="str">
        <f>IFERROR(__xludf.DUMMYFUNCTION("""COMPUTED_VALUE"""),"Taller Móvil - 1500 x 1500 x 1700")</f>
        <v>Taller Móvil - 1500 x 1500 x 1700</v>
      </c>
      <c r="AK89" s="3" t="str">
        <f>IFERROR(__xludf.DUMMYFUNCTION("""COMPUTED_VALUE"""),"Cajón Herramientas Standard Derecho")</f>
        <v>Cajón Herramientas Standard Derecho</v>
      </c>
      <c r="AL89" s="3" t="str">
        <f>IFERROR(__xludf.DUMMYFUNCTION("""COMPUTED_VALUE"""),"Cajón Herramientas Standard Izquierdo")</f>
        <v>Cajón Herramientas Standard Izquierdo</v>
      </c>
      <c r="AM89" s="3" t="str">
        <f>IFERROR(__xludf.DUMMYFUNCTION("""COMPUTED_VALUE"""),"Cajón Herramientas Corto Derecho")</f>
        <v>Cajón Herramientas Corto Derecho</v>
      </c>
      <c r="AN89" s="3" t="str">
        <f>IFERROR(__xludf.DUMMYFUNCTION("""COMPUTED_VALUE"""),"Cajón Herramientas Corto Izquierdo")</f>
        <v>Cajón Herramientas Corto Izquierdo</v>
      </c>
      <c r="AO89" s="3" t="str">
        <f>IFERROR(__xludf.DUMMYFUNCTION("""COMPUTED_VALUE"""),"Cajón Herramientas Mediano Derecho")</f>
        <v>Cajón Herramientas Mediano Derecho</v>
      </c>
      <c r="AP89" s="3" t="str">
        <f>IFERROR(__xludf.DUMMYFUNCTION("""COMPUTED_VALUE"""),"Cajón Herramientas Mediano Izquierdo")</f>
        <v>Cajón Herramientas Mediano Izquierdo</v>
      </c>
      <c r="AQ89" s="3" t="str">
        <f>IFERROR(__xludf.DUMMYFUNCTION("""COMPUTED_VALUE"""),"Chasis Acoplado 2 Ejes L3000")</f>
        <v>Chasis Acoplado 2 Ejes L3000</v>
      </c>
      <c r="AR89" s="3" t="str">
        <f>IFERROR(__xludf.DUMMYFUNCTION("""COMPUTED_VALUE"""),"Chasis Acoplado 2 Ejes L3750")</f>
        <v>Chasis Acoplado 2 Ejes L3750</v>
      </c>
      <c r="AS89" s="3" t="str">
        <f>IFERROR(__xludf.DUMMYFUNCTION("""COMPUTED_VALUE"""),"Chasis Acoplado 2 Ejes L4000")</f>
        <v>Chasis Acoplado 2 Ejes L4000</v>
      </c>
      <c r="AT89" s="3" t="str">
        <f>IFERROR(__xludf.DUMMYFUNCTION("""COMPUTED_VALUE"""),"Chasis Acoplado 2 Ejes L4000 Reforzado")</f>
        <v>Chasis Acoplado 2 Ejes L4000 Reforzado</v>
      </c>
      <c r="AU89" s="3" t="str">
        <f>IFERROR(__xludf.DUMMYFUNCTION("""COMPUTED_VALUE"""),"Chasis Acoplado 2 Ejes L4750")</f>
        <v>Chasis Acoplado 2 Ejes L4750</v>
      </c>
      <c r="AV89" s="3" t="str">
        <f>IFERROR(__xludf.DUMMYFUNCTION("""COMPUTED_VALUE"""),"Chasis Acoplado 2 Ejes L4750 Reforzado")</f>
        <v>Chasis Acoplado 2 Ejes L4750 Reforzado</v>
      </c>
      <c r="AW89" s="3" t="str">
        <f>IFERROR(__xludf.DUMMYFUNCTION("""COMPUTED_VALUE"""),"Chasis Acoplado 2 Ejes L4750 Reforzado R. Camion")</f>
        <v>Chasis Acoplado 2 Ejes L4750 Reforzado R. Camion</v>
      </c>
      <c r="AX89" s="3" t="str">
        <f>IFERROR(__xludf.DUMMYFUNCTION("""COMPUTED_VALUE"""),"Chasis Acoplado 2 Ejes L5000")</f>
        <v>Chasis Acoplado 2 Ejes L5000</v>
      </c>
      <c r="AY89" s="3" t="str">
        <f>IFERROR(__xludf.DUMMYFUNCTION("""COMPUTED_VALUE"""),"Chasis Acoplado 2 Ejes L5750")</f>
        <v>Chasis Acoplado 2 Ejes L5750</v>
      </c>
      <c r="AZ89" s="3" t="str">
        <f>IFERROR(__xludf.DUMMYFUNCTION("""COMPUTED_VALUE"""),"Chasis Acoplado 2 Ejes L6400")</f>
        <v>Chasis Acoplado 2 Ejes L6400</v>
      </c>
      <c r="BA89" s="3" t="str">
        <f>IFERROR(__xludf.DUMMYFUNCTION("""COMPUTED_VALUE"""),"Chasis Acoplado 2 Ejes L4500")</f>
        <v>Chasis Acoplado 2 Ejes L4500</v>
      </c>
      <c r="BB89" s="3" t="str">
        <f>IFERROR(__xludf.DUMMYFUNCTION("""COMPUTED_VALUE"""),"Chasis Acoplado 1 Eje L1500")</f>
        <v>Chasis Acoplado 1 Eje L1500</v>
      </c>
      <c r="BC89" s="3" t="str">
        <f>IFERROR(__xludf.DUMMYFUNCTION("""COMPUTED_VALUE"""),"Chasis Acoplado 1 Eje L1800")</f>
        <v>Chasis Acoplado 1 Eje L1800</v>
      </c>
      <c r="BD89" s="3" t="str">
        <f>IFERROR(__xludf.DUMMYFUNCTION("""COMPUTED_VALUE"""),"Chasis Acoplado 1 Eje L1400")</f>
        <v>Chasis Acoplado 1 Eje L1400</v>
      </c>
      <c r="BE89" s="3" t="str">
        <f>IFERROR(__xludf.DUMMYFUNCTION("""COMPUTED_VALUE"""),"Chasis Acoplado Balancin L3000")</f>
        <v>Chasis Acoplado Balancin L3000</v>
      </c>
      <c r="BF89" s="3" t="str">
        <f>IFERROR(__xludf.DUMMYFUNCTION("""COMPUTED_VALUE"""),"Chasis Acoplado Balancin L3000 Lanza Corta")</f>
        <v>Chasis Acoplado Balancin L3000 Lanza Corta</v>
      </c>
      <c r="BG89" s="3" t="str">
        <f>IFERROR(__xludf.DUMMYFUNCTION("""COMPUTED_VALUE"""),"Chasis Acoplado Balancin L2000 Lanza Corta")</f>
        <v>Chasis Acoplado Balancin L2000 Lanza Corta</v>
      </c>
      <c r="BH89" s="3" t="str">
        <f>IFERROR(__xludf.DUMMYFUNCTION("""COMPUTED_VALUE"""),"Chasis Acoplado Balancin L3200 Lanza Corta")</f>
        <v>Chasis Acoplado Balancin L3200 Lanza Corta</v>
      </c>
      <c r="BI89" s="3" t="str">
        <f>IFERROR(__xludf.DUMMYFUNCTION("""COMPUTED_VALUE"""),"Chasis Acoplado Balancin L3200 Lanza Recta")</f>
        <v>Chasis Acoplado Balancin L3200 Lanza Recta</v>
      </c>
      <c r="BJ89" s="3" t="str">
        <f>IFERROR(__xludf.DUMMYFUNCTION("""COMPUTED_VALUE"""),"Chasis Acoplado Balancin L3200 Bajo Lanza Recta")</f>
        <v>Chasis Acoplado Balancin L3200 Bajo Lanza Recta</v>
      </c>
      <c r="BK89" s="3" t="str">
        <f>IFERROR(__xludf.DUMMYFUNCTION("""COMPUTED_VALUE"""),"Tanque Plastico Horizontal 750 Lts")</f>
        <v>Tanque Plastico Horizontal 750 Lts</v>
      </c>
      <c r="BL89" s="3" t="str">
        <f>IFERROR(__xludf.DUMMYFUNCTION("""COMPUTED_VALUE"""),"Medio Tanque Plastico Superior 700 Lts")</f>
        <v>Medio Tanque Plastico Superior 700 Lts</v>
      </c>
      <c r="BM89" s="3" t="str">
        <f>IFERROR(__xludf.DUMMYFUNCTION("""COMPUTED_VALUE"""),"Paquete de Elasticos 50 mm x 8 mm x 10 Hojas L850")</f>
        <v>Paquete de Elasticos 50 mm x 8 mm x 10 Hojas L850</v>
      </c>
      <c r="BN89" s="3" t="str">
        <f>IFERROR(__xludf.DUMMYFUNCTION("""COMPUTED_VALUE"""),"Paquete de Elasticos 63 mm x 8 mm x 10 Hojas L950")</f>
        <v>Paquete de Elasticos 63 mm x 8 mm x 10 Hojas L950</v>
      </c>
      <c r="BO89" s="3" t="str">
        <f>IFERROR(__xludf.DUMMYFUNCTION("""COMPUTED_VALUE"""),"Paquete de Elasticos 50 mm x 7 mm x 9 Hojas L850")</f>
        <v>Paquete de Elasticos 50 mm x 7 mm x 9 Hojas L850</v>
      </c>
      <c r="BP89" s="3" t="str">
        <f>IFERROR(__xludf.DUMMYFUNCTION("""COMPUTED_VALUE"""),"Paquete de Elasticos 63 mm x 8 mm x 8 Hojas L850")</f>
        <v>Paquete de Elasticos 63 mm x 8 mm x 8 Hojas L850</v>
      </c>
      <c r="BQ89" s="3" t="str">
        <f>IFERROR(__xludf.DUMMYFUNCTION("""COMPUTED_VALUE"""),"Paquete de Elasticos 63 mm x 10 mm x 10 Hojas L950")</f>
        <v>Paquete de Elasticos 63 mm x 10 mm x 10 Hojas L950</v>
      </c>
      <c r="BR89" s="3" t="str">
        <f>IFERROR(__xludf.DUMMYFUNCTION("""COMPUTED_VALUE"""),"Paquete de Elasticos 63 mm x 10 mm x 13 Hojas L975")</f>
        <v>Paquete de Elasticos 63 mm x 10 mm x 13 Hojas L975</v>
      </c>
      <c r="BS89" s="3" t="str">
        <f>IFERROR(__xludf.DUMMYFUNCTION("""COMPUTED_VALUE"""),"Paquete de Elasticos 50 mm x 7 mm x 9 Hojas L650")</f>
        <v>Paquete de Elasticos 50 mm x 7 mm x 9 Hojas L650</v>
      </c>
      <c r="BT89" s="3" t="str">
        <f>IFERROR(__xludf.DUMMYFUNCTION("""COMPUTED_VALUE"""),"Eje Acoplado 2"" x 1600 (06/08) Agrícola Centro 92")</f>
        <v>Eje Acoplado 2" x 1600 (06/08) Agrícola Centro 92</v>
      </c>
      <c r="BU89" s="3" t="str">
        <f>IFERROR(__xludf.DUMMYFUNCTION("""COMPUTED_VALUE"""),"Eje Acoplado 2 1/2"" x 1600 (07/09) Agrícola Centro 92")</f>
        <v>Eje Acoplado 2 1/2" x 1600 (07/09) Agrícola Centro 92</v>
      </c>
      <c r="BV89" s="3" t="str">
        <f>IFERROR(__xludf.DUMMYFUNCTION("""COMPUTED_VALUE"""),"Eje Acoplado 2 1/2"" x 1600 (09/11) Agrícola Centro 150")</f>
        <v>Eje Acoplado 2 1/2" x 1600 (09/11) Agrícola Centro 150</v>
      </c>
      <c r="BW89" s="3" t="str">
        <f>IFERROR(__xludf.DUMMYFUNCTION("""COMPUTED_VALUE"""),"Eje Acoplado 3"" x 1600 (10/13) Agrícola Centro 150")</f>
        <v>Eje Acoplado 3" x 1600 (10/13) Agrícola Centro 150</v>
      </c>
      <c r="BX89" s="3" t="str">
        <f>IFERROR(__xludf.DUMMYFUNCTION("""COMPUTED_VALUE"""),"Eje Acoplado 2 1/2"" x 2140 (07/09) Agrícola Centro 92")</f>
        <v>Eje Acoplado 2 1/2" x 2140 (07/09) Agrícola Centro 92</v>
      </c>
      <c r="BY89" s="3" t="str">
        <f>IFERROR(__xludf.DUMMYFUNCTION("""COMPUTED_VALUE"""),"Eje Acoplado 2"" x 1400 (06/08) Agrícola Centro 92")</f>
        <v>Eje Acoplado 2" x 1400 (06/08) Agrícola Centro 92</v>
      </c>
      <c r="BZ89" s="3" t="str">
        <f>IFERROR(__xludf.DUMMYFUNCTION("""COMPUTED_VALUE"""),"Eje Acoplado 2 1/2"" x 1500 (07/09) Agrícola Centro 92")</f>
        <v>Eje Acoplado 2 1/2" x 1500 (07/09) Agrícola Centro 92</v>
      </c>
      <c r="CA89" s="3" t="str">
        <f>IFERROR(__xludf.DUMMYFUNCTION("""COMPUTED_VALUE"""),"Eje Acoplado 2 1/2"" x 2000 (07/09) Agrícola Centro 92")</f>
        <v>Eje Acoplado 2 1/2" x 2000 (07/09) Agrícola Centro 92</v>
      </c>
      <c r="CB89" s="3" t="str">
        <f>IFERROR(__xludf.DUMMYFUNCTION("""COMPUTED_VALUE"""),"Eje Acoplado 2 1/2"" x 2100 (09/11) Agrícola Centro 150")</f>
        <v>Eje Acoplado 2 1/2" x 2100 (09/11) Agrícola Centro 150</v>
      </c>
      <c r="CC89" s="3" t="str">
        <f>IFERROR(__xludf.DUMMYFUNCTION("""COMPUTED_VALUE"""),"Llanta 16"" Simple Agrícola Centro 92")</f>
        <v>Llanta 16" Simple Agrícola Centro 92</v>
      </c>
      <c r="CD89" s="3" t="str">
        <f>IFERROR(__xludf.DUMMYFUNCTION("""COMPUTED_VALUE"""),"Llanta 16"" Dual Agrícola Centro 92")</f>
        <v>Llanta 16" Dual Agrícola Centro 92</v>
      </c>
      <c r="CE89" s="3" t="str">
        <f>IFERROR(__xludf.DUMMYFUNCTION("""COMPUTED_VALUE"""),"Llanta 17"" Simple Agrícola Centro 92")</f>
        <v>Llanta 17" Simple Agrícola Centro 92</v>
      </c>
      <c r="CF89" s="3" t="str">
        <f>IFERROR(__xludf.DUMMYFUNCTION("""COMPUTED_VALUE"""),"Llanta 17"" Dual Agrícola Centro 92")</f>
        <v>Llanta 17" Dual Agrícola Centro 92</v>
      </c>
      <c r="CG89" s="3" t="str">
        <f>IFERROR(__xludf.DUMMYFUNCTION("""COMPUTED_VALUE"""),"Llanta 16"" Dual Agrícola Centro 152")</f>
        <v>Llanta 16" Dual Agrícola Centro 152</v>
      </c>
      <c r="CH89" s="3" t="str">
        <f>IFERROR(__xludf.DUMMYFUNCTION("""COMPUTED_VALUE"""),"Llanta 17"" Dual Agrícola Centro 152")</f>
        <v>Llanta 17" Dual Agrícola Centro 152</v>
      </c>
      <c r="CI89" s="3" t="str">
        <f>IFERROR(__xludf.DUMMYFUNCTION("""COMPUTED_VALUE"""),"Eje Acoplado 2"" x 1600 (05/07) Agrícola Centro 92")</f>
        <v>Eje Acoplado 2" x 1600 (05/07) Agrícola Centro 92</v>
      </c>
      <c r="CJ89" s="3" t="str">
        <f>IFERROR(__xludf.DUMMYFUNCTION("""COMPUTED_VALUE"""),"Paquete de Elásticos 50 mm x 8 mm x 12 Hojas")</f>
        <v>Paquete de Elásticos 50 mm x 8 mm x 12 Hojas</v>
      </c>
      <c r="CK89" s="3" t="str">
        <f>IFERROR(__xludf.DUMMYFUNCTION("""COMPUTED_VALUE"""),"Plataforma Playo 4.00 x 1.90 x 0.45 Lateral Simple Baranda Fija")</f>
        <v>Plataforma Playo 4.00 x 1.90 x 0.45 Lateral Simple Baranda Fija</v>
      </c>
      <c r="CL89" s="3" t="str">
        <f>IFERROR(__xludf.DUMMYFUNCTION("""COMPUTED_VALUE"""),"Plataforma Playo 4.00 x 1.90 x 0.45 Lateral Simple Baranda Ventilada")</f>
        <v>Plataforma Playo 4.00 x 1.90 x 0.45 Lateral Simple Baranda Ventilada</v>
      </c>
      <c r="CM89" s="3" t="str">
        <f>IFERROR(__xludf.DUMMYFUNCTION("""COMPUTED_VALUE"""),"Plataforma Playo 4.00 x 1.90 x 0.45 Lateral Doble Baranda Ventilada")</f>
        <v>Plataforma Playo 4.00 x 1.90 x 0.45 Lateral Doble Baranda Ventilada</v>
      </c>
      <c r="CN89" s="3" t="str">
        <f>IFERROR(__xludf.DUMMYFUNCTION("""COMPUTED_VALUE"""),"Plataforma Playo 4.00 x 1.90 x 0.45 Lateral Doble Baranda Fija")</f>
        <v>Plataforma Playo 4.00 x 1.90 x 0.45 Lateral Doble Baranda Fija</v>
      </c>
      <c r="CO89" s="3" t="str">
        <f>IFERROR(__xludf.DUMMYFUNCTION("""COMPUTED_VALUE"""),"Plataforma Playo 4.00 x 1.90 x 0.72 Lateral Simple Baranda Fija")</f>
        <v>Plataforma Playo 4.00 x 1.90 x 0.72 Lateral Simple Baranda Fija</v>
      </c>
      <c r="CP89" s="3" t="str">
        <f>IFERROR(__xludf.DUMMYFUNCTION("""COMPUTED_VALUE"""),"Plataforma Playo 4.00 x 1.90 x 0.72 Lateral Doble Baranda Fija")</f>
        <v>Plataforma Playo 4.00 x 1.90 x 0.72 Lateral Doble Baranda Fija</v>
      </c>
      <c r="CQ89" s="3" t="str">
        <f>IFERROR(__xludf.DUMMYFUNCTION("""COMPUTED_VALUE"""),"Plataforma Playo 5.00 x 2.20 x 0.60 Lateral Doble Trasera Rebatible")</f>
        <v>Plataforma Playo 5.00 x 2.20 x 0.60 Lateral Doble Trasera Rebatible</v>
      </c>
      <c r="CR89" s="3" t="str">
        <f>IFERROR(__xludf.DUMMYFUNCTION("""COMPUTED_VALUE"""),"Plataforma Playo 5.00 x 2.20 x 0.60 Lateral Doble Baranda Fija C/Toldo")</f>
        <v>Plataforma Playo 5.00 x 2.20 x 0.60 Lateral Doble Baranda Fija C/Toldo</v>
      </c>
      <c r="CS89" s="3" t="str">
        <f>IFERROR(__xludf.DUMMYFUNCTION("""COMPUTED_VALUE"""),"Plataforma Playo 3.00 x 1.90 x 0.45 Lateral Simple Baranda Fija")</f>
        <v>Plataforma Playo 3.00 x 1.90 x 0.45 Lateral Simple Baranda Fija</v>
      </c>
      <c r="CT89" s="3" t="str">
        <f>IFERROR(__xludf.DUMMYFUNCTION("""COMPUTED_VALUE"""),"Plataforma Playo 3.00 x 1.90 x 0.45 Lateral Simple Baranda Ventilada")</f>
        <v>Plataforma Playo 3.00 x 1.90 x 0.45 Lateral Simple Baranda Ventilada</v>
      </c>
      <c r="CU89" s="3" t="str">
        <f>IFERROR(__xludf.DUMMYFUNCTION("""COMPUTED_VALUE"""),"Plataforma Playo 2.00 x 1.90 x 0.45 Lateral Simple Baranda Fija")</f>
        <v>Plataforma Playo 2.00 x 1.90 x 0.45 Lateral Simple Baranda Fija</v>
      </c>
      <c r="CV89" s="3" t="str">
        <f>IFERROR(__xludf.DUMMYFUNCTION("""COMPUTED_VALUE"""),"Plataforma Playo 5.00 x 1.90 x 0.60 Lateral Doble Baranda Fija")</f>
        <v>Plataforma Playo 5.00 x 1.90 x 0.60 Lateral Doble Baranda Fija</v>
      </c>
      <c r="CW89" s="3" t="str">
        <f>IFERROR(__xludf.DUMMYFUNCTION("""COMPUTED_VALUE"""),"Plataforma Playo 6.40 x 2.70 x 0.72 Lateral Doble Baranda Fija")</f>
        <v>Plataforma Playo 6.40 x 2.70 x 0.72 Lateral Doble Baranda Fija</v>
      </c>
      <c r="CX89" s="3" t="str">
        <f>IFERROR(__xludf.DUMMYFUNCTION("""COMPUTED_VALUE"""),"Chasis Acoplado Balancin L4000 Lanza Recta")</f>
        <v>Chasis Acoplado Balancin L4000 Lanza Recta</v>
      </c>
      <c r="CY89" s="3" t="str">
        <f>IFERROR(__xludf.DUMMYFUNCTION("""COMPUTED_VALUE"""),"Llanta simple Agrícola 750x20 centro 152")</f>
        <v>Llanta simple Agrícola 750x20 centro 152</v>
      </c>
      <c r="CZ89" s="3" t="str">
        <f>IFERROR(__xludf.DUMMYFUNCTION("""COMPUTED_VALUE"""),"Cajón de Herramientas Mediano adelante")</f>
        <v>Cajón de Herramientas Mediano adelante</v>
      </c>
      <c r="DA89" s="3" t="str">
        <f>IFERROR(__xludf.DUMMYFUNCTION("""COMPUTED_VALUE"""),"Llanta 15"" Simple Agrícola Centro 92")</f>
        <v>Llanta 15" Simple Agrícola Centro 92</v>
      </c>
    </row>
    <row r="90" hidden="1">
      <c r="A90" s="38">
        <f t="shared" si="1"/>
        <v>89</v>
      </c>
      <c r="B90" s="38">
        <f>IF(F90="","",SUMIF(Prearmados!E:E,F90,Prearmados!A:A))</f>
        <v>18</v>
      </c>
      <c r="C90" s="38">
        <f>IF(F90="","",SUMIF(Productos!E:E,G90,Productos!A:A))</f>
        <v>103</v>
      </c>
      <c r="D90" s="83" t="str">
        <f t="array" ref="D90">IF(OR(F90="",F90="Seleccionar.."),"",XLOOKUP(F90,Prearmados!E:E,Prearmados!F:F,"",0,1))</f>
        <v>Acoplados Rurales</v>
      </c>
      <c r="E90" s="83">
        <f>IF(H90="","",SUMIF(Precio_Productos!K:K,C90,Precio_Productos!J:J)*H90)</f>
        <v>1528800</v>
      </c>
      <c r="F90" s="84" t="s">
        <v>341</v>
      </c>
      <c r="G90" s="84" t="s">
        <v>135</v>
      </c>
      <c r="H90" s="13">
        <v>2.0</v>
      </c>
      <c r="P90" s="3" t="str">
        <f>IFERROR(__xludf.DUMMYFUNCTION("IF(OR(F90="""",F90=""Seleccionar..""),"""",TRANSPOSE(FILTER(Productos!E:E,(Productos!F:F=D90)+(Productos!F:F=XLOOKUP(D90,Implementos!B:B,Implementos!C:C,""-"",0,1)))))"),"Tanque Combustible 1100 lts Bajo")</f>
        <v>Tanque Combustible 1100 lts Bajo</v>
      </c>
      <c r="Q90" s="3" t="str">
        <f>IFERROR(__xludf.DUMMYFUNCTION("""COMPUTED_VALUE"""),"Tanque Combustible 1500 lts Standard")</f>
        <v>Tanque Combustible 1500 lts Standard</v>
      </c>
      <c r="R90" s="3" t="str">
        <f>IFERROR(__xludf.DUMMYFUNCTION("""COMPUTED_VALUE"""),"Tanque Combustible 1800 lts Standard")</f>
        <v>Tanque Combustible 1800 lts Standard</v>
      </c>
      <c r="S90" s="3" t="str">
        <f>IFERROR(__xludf.DUMMYFUNCTION("""COMPUTED_VALUE"""),"Tanque Combustible 2000 lts Bajo")</f>
        <v>Tanque Combustible 2000 lts Bajo</v>
      </c>
      <c r="T90" s="3" t="str">
        <f>IFERROR(__xludf.DUMMYFUNCTION("""COMPUTED_VALUE"""),"Tanque Combustible 2000 lts Standard")</f>
        <v>Tanque Combustible 2000 lts Standard</v>
      </c>
      <c r="U90" s="3" t="str">
        <f>IFERROR(__xludf.DUMMYFUNCTION("""COMPUTED_VALUE"""),"Tanque Combustible 3000 lts Standard")</f>
        <v>Tanque Combustible 3000 lts Standard</v>
      </c>
      <c r="V90" s="3" t="str">
        <f>IFERROR(__xludf.DUMMYFUNCTION("""COMPUTED_VALUE"""),"Tanque Combustible 3000 lts Alto")</f>
        <v>Tanque Combustible 3000 lts Alto</v>
      </c>
      <c r="W90" s="3" t="str">
        <f>IFERROR(__xludf.DUMMYFUNCTION("""COMPUTED_VALUE"""),"Tanque Combustible 4000 lts Standard")</f>
        <v>Tanque Combustible 4000 lts Standard</v>
      </c>
      <c r="X90" s="3" t="str">
        <f>IFERROR(__xludf.DUMMYFUNCTION("""COMPUTED_VALUE"""),"Tanque Combustible 5000 lts Standard")</f>
        <v>Tanque Combustible 5000 lts Standard</v>
      </c>
      <c r="Y90" s="3" t="str">
        <f>IFERROR(__xludf.DUMMYFUNCTION("""COMPUTED_VALUE"""),"Tanque Combustible 5000 lts Alto")</f>
        <v>Tanque Combustible 5000 lts Alto</v>
      </c>
      <c r="Z90" s="3" t="str">
        <f>IFERROR(__xludf.DUMMYFUNCTION("""COMPUTED_VALUE"""),"Tanque Combustible 2000 lts Alto")</f>
        <v>Tanque Combustible 2000 lts Alto</v>
      </c>
      <c r="AA90" s="3" t="str">
        <f>IFERROR(__xludf.DUMMYFUNCTION("""COMPUTED_VALUE"""),"Tanque Combustible 4000 lts Alto")</f>
        <v>Tanque Combustible 4000 lts Alto</v>
      </c>
      <c r="AB90" s="3" t="str">
        <f>IFERROR(__xludf.DUMMYFUNCTION("""COMPUTED_VALUE"""),"Baulera Standard - 750")</f>
        <v>Baulera Standard - 750</v>
      </c>
      <c r="AC90" s="3" t="str">
        <f>IFERROR(__xludf.DUMMYFUNCTION("""COMPUTED_VALUE"""),"Baulera Standard - 1700 - C/Laterales")</f>
        <v>Baulera Standard - 1700 - C/Laterales</v>
      </c>
      <c r="AD90" s="3" t="str">
        <f>IFERROR(__xludf.DUMMYFUNCTION("""COMPUTED_VALUE"""),"Baulera Standard - 1000 - C/Laterales")</f>
        <v>Baulera Standard - 1000 - C/Laterales</v>
      </c>
      <c r="AE90" s="3" t="str">
        <f>IFERROR(__xludf.DUMMYFUNCTION("""COMPUTED_VALUE"""),"Baulera Standard - 750 - C/Laterales")</f>
        <v>Baulera Standard - 750 - C/Laterales</v>
      </c>
      <c r="AF90" s="3" t="str">
        <f>IFERROR(__xludf.DUMMYFUNCTION("""COMPUTED_VALUE"""),"Baulera Standard - 1300 - C/Laterales")</f>
        <v>Baulera Standard - 1300 - C/Laterales</v>
      </c>
      <c r="AG90" s="3" t="str">
        <f>IFERROR(__xludf.DUMMYFUNCTION("""COMPUTED_VALUE"""),"Baulera Alta - 750")</f>
        <v>Baulera Alta - 750</v>
      </c>
      <c r="AH90" s="3" t="str">
        <f>IFERROR(__xludf.DUMMYFUNCTION("""COMPUTED_VALUE"""),"Baulera Alta - 1500 - C/Laterales")</f>
        <v>Baulera Alta - 1500 - C/Laterales</v>
      </c>
      <c r="AI90" s="3" t="str">
        <f>IFERROR(__xludf.DUMMYFUNCTION("""COMPUTED_VALUE"""),"Baulera Extendida 1700 - C/Laterales")</f>
        <v>Baulera Extendida 1700 - C/Laterales</v>
      </c>
      <c r="AJ90" s="3" t="str">
        <f>IFERROR(__xludf.DUMMYFUNCTION("""COMPUTED_VALUE"""),"Taller Móvil - 1500 x 1500 x 1700")</f>
        <v>Taller Móvil - 1500 x 1500 x 1700</v>
      </c>
      <c r="AK90" s="3" t="str">
        <f>IFERROR(__xludf.DUMMYFUNCTION("""COMPUTED_VALUE"""),"Cajón Herramientas Standard Derecho")</f>
        <v>Cajón Herramientas Standard Derecho</v>
      </c>
      <c r="AL90" s="3" t="str">
        <f>IFERROR(__xludf.DUMMYFUNCTION("""COMPUTED_VALUE"""),"Cajón Herramientas Standard Izquierdo")</f>
        <v>Cajón Herramientas Standard Izquierdo</v>
      </c>
      <c r="AM90" s="3" t="str">
        <f>IFERROR(__xludf.DUMMYFUNCTION("""COMPUTED_VALUE"""),"Cajón Herramientas Corto Derecho")</f>
        <v>Cajón Herramientas Corto Derecho</v>
      </c>
      <c r="AN90" s="3" t="str">
        <f>IFERROR(__xludf.DUMMYFUNCTION("""COMPUTED_VALUE"""),"Cajón Herramientas Corto Izquierdo")</f>
        <v>Cajón Herramientas Corto Izquierdo</v>
      </c>
      <c r="AO90" s="3" t="str">
        <f>IFERROR(__xludf.DUMMYFUNCTION("""COMPUTED_VALUE"""),"Cajón Herramientas Mediano Derecho")</f>
        <v>Cajón Herramientas Mediano Derecho</v>
      </c>
      <c r="AP90" s="3" t="str">
        <f>IFERROR(__xludf.DUMMYFUNCTION("""COMPUTED_VALUE"""),"Cajón Herramientas Mediano Izquierdo")</f>
        <v>Cajón Herramientas Mediano Izquierdo</v>
      </c>
      <c r="AQ90" s="3" t="str">
        <f>IFERROR(__xludf.DUMMYFUNCTION("""COMPUTED_VALUE"""),"Chasis Acoplado 2 Ejes L3000")</f>
        <v>Chasis Acoplado 2 Ejes L3000</v>
      </c>
      <c r="AR90" s="3" t="str">
        <f>IFERROR(__xludf.DUMMYFUNCTION("""COMPUTED_VALUE"""),"Chasis Acoplado 2 Ejes L3750")</f>
        <v>Chasis Acoplado 2 Ejes L3750</v>
      </c>
      <c r="AS90" s="3" t="str">
        <f>IFERROR(__xludf.DUMMYFUNCTION("""COMPUTED_VALUE"""),"Chasis Acoplado 2 Ejes L4000")</f>
        <v>Chasis Acoplado 2 Ejes L4000</v>
      </c>
      <c r="AT90" s="3" t="str">
        <f>IFERROR(__xludf.DUMMYFUNCTION("""COMPUTED_VALUE"""),"Chasis Acoplado 2 Ejes L4000 Reforzado")</f>
        <v>Chasis Acoplado 2 Ejes L4000 Reforzado</v>
      </c>
      <c r="AU90" s="3" t="str">
        <f>IFERROR(__xludf.DUMMYFUNCTION("""COMPUTED_VALUE"""),"Chasis Acoplado 2 Ejes L4750")</f>
        <v>Chasis Acoplado 2 Ejes L4750</v>
      </c>
      <c r="AV90" s="3" t="str">
        <f>IFERROR(__xludf.DUMMYFUNCTION("""COMPUTED_VALUE"""),"Chasis Acoplado 2 Ejes L4750 Reforzado")</f>
        <v>Chasis Acoplado 2 Ejes L4750 Reforzado</v>
      </c>
      <c r="AW90" s="3" t="str">
        <f>IFERROR(__xludf.DUMMYFUNCTION("""COMPUTED_VALUE"""),"Chasis Acoplado 2 Ejes L4750 Reforzado R. Camion")</f>
        <v>Chasis Acoplado 2 Ejes L4750 Reforzado R. Camion</v>
      </c>
      <c r="AX90" s="3" t="str">
        <f>IFERROR(__xludf.DUMMYFUNCTION("""COMPUTED_VALUE"""),"Chasis Acoplado 2 Ejes L5000")</f>
        <v>Chasis Acoplado 2 Ejes L5000</v>
      </c>
      <c r="AY90" s="3" t="str">
        <f>IFERROR(__xludf.DUMMYFUNCTION("""COMPUTED_VALUE"""),"Chasis Acoplado 2 Ejes L5750")</f>
        <v>Chasis Acoplado 2 Ejes L5750</v>
      </c>
      <c r="AZ90" s="3" t="str">
        <f>IFERROR(__xludf.DUMMYFUNCTION("""COMPUTED_VALUE"""),"Chasis Acoplado 2 Ejes L6400")</f>
        <v>Chasis Acoplado 2 Ejes L6400</v>
      </c>
      <c r="BA90" s="3" t="str">
        <f>IFERROR(__xludf.DUMMYFUNCTION("""COMPUTED_VALUE"""),"Chasis Acoplado 2 Ejes L4500")</f>
        <v>Chasis Acoplado 2 Ejes L4500</v>
      </c>
      <c r="BB90" s="3" t="str">
        <f>IFERROR(__xludf.DUMMYFUNCTION("""COMPUTED_VALUE"""),"Chasis Acoplado 1 Eje L1500")</f>
        <v>Chasis Acoplado 1 Eje L1500</v>
      </c>
      <c r="BC90" s="3" t="str">
        <f>IFERROR(__xludf.DUMMYFUNCTION("""COMPUTED_VALUE"""),"Chasis Acoplado 1 Eje L1800")</f>
        <v>Chasis Acoplado 1 Eje L1800</v>
      </c>
      <c r="BD90" s="3" t="str">
        <f>IFERROR(__xludf.DUMMYFUNCTION("""COMPUTED_VALUE"""),"Chasis Acoplado 1 Eje L1400")</f>
        <v>Chasis Acoplado 1 Eje L1400</v>
      </c>
      <c r="BE90" s="3" t="str">
        <f>IFERROR(__xludf.DUMMYFUNCTION("""COMPUTED_VALUE"""),"Chasis Acoplado Balancin L3000")</f>
        <v>Chasis Acoplado Balancin L3000</v>
      </c>
      <c r="BF90" s="3" t="str">
        <f>IFERROR(__xludf.DUMMYFUNCTION("""COMPUTED_VALUE"""),"Chasis Acoplado Balancin L3000 Lanza Corta")</f>
        <v>Chasis Acoplado Balancin L3000 Lanza Corta</v>
      </c>
      <c r="BG90" s="3" t="str">
        <f>IFERROR(__xludf.DUMMYFUNCTION("""COMPUTED_VALUE"""),"Chasis Acoplado Balancin L2000 Lanza Corta")</f>
        <v>Chasis Acoplado Balancin L2000 Lanza Corta</v>
      </c>
      <c r="BH90" s="3" t="str">
        <f>IFERROR(__xludf.DUMMYFUNCTION("""COMPUTED_VALUE"""),"Chasis Acoplado Balancin L3200 Lanza Corta")</f>
        <v>Chasis Acoplado Balancin L3200 Lanza Corta</v>
      </c>
      <c r="BI90" s="3" t="str">
        <f>IFERROR(__xludf.DUMMYFUNCTION("""COMPUTED_VALUE"""),"Chasis Acoplado Balancin L3200 Lanza Recta")</f>
        <v>Chasis Acoplado Balancin L3200 Lanza Recta</v>
      </c>
      <c r="BJ90" s="3" t="str">
        <f>IFERROR(__xludf.DUMMYFUNCTION("""COMPUTED_VALUE"""),"Chasis Acoplado Balancin L3200 Bajo Lanza Recta")</f>
        <v>Chasis Acoplado Balancin L3200 Bajo Lanza Recta</v>
      </c>
      <c r="BK90" s="3" t="str">
        <f>IFERROR(__xludf.DUMMYFUNCTION("""COMPUTED_VALUE"""),"Tanque Plastico Horizontal 750 Lts")</f>
        <v>Tanque Plastico Horizontal 750 Lts</v>
      </c>
      <c r="BL90" s="3" t="str">
        <f>IFERROR(__xludf.DUMMYFUNCTION("""COMPUTED_VALUE"""),"Medio Tanque Plastico Superior 700 Lts")</f>
        <v>Medio Tanque Plastico Superior 700 Lts</v>
      </c>
      <c r="BM90" s="3" t="str">
        <f>IFERROR(__xludf.DUMMYFUNCTION("""COMPUTED_VALUE"""),"Paquete de Elasticos 50 mm x 8 mm x 10 Hojas L850")</f>
        <v>Paquete de Elasticos 50 mm x 8 mm x 10 Hojas L850</v>
      </c>
      <c r="BN90" s="3" t="str">
        <f>IFERROR(__xludf.DUMMYFUNCTION("""COMPUTED_VALUE"""),"Paquete de Elasticos 63 mm x 8 mm x 10 Hojas L950")</f>
        <v>Paquete de Elasticos 63 mm x 8 mm x 10 Hojas L950</v>
      </c>
      <c r="BO90" s="3" t="str">
        <f>IFERROR(__xludf.DUMMYFUNCTION("""COMPUTED_VALUE"""),"Paquete de Elasticos 50 mm x 7 mm x 9 Hojas L850")</f>
        <v>Paquete de Elasticos 50 mm x 7 mm x 9 Hojas L850</v>
      </c>
      <c r="BP90" s="3" t="str">
        <f>IFERROR(__xludf.DUMMYFUNCTION("""COMPUTED_VALUE"""),"Paquete de Elasticos 63 mm x 8 mm x 8 Hojas L850")</f>
        <v>Paquete de Elasticos 63 mm x 8 mm x 8 Hojas L850</v>
      </c>
      <c r="BQ90" s="3" t="str">
        <f>IFERROR(__xludf.DUMMYFUNCTION("""COMPUTED_VALUE"""),"Paquete de Elasticos 63 mm x 10 mm x 10 Hojas L950")</f>
        <v>Paquete de Elasticos 63 mm x 10 mm x 10 Hojas L950</v>
      </c>
      <c r="BR90" s="3" t="str">
        <f>IFERROR(__xludf.DUMMYFUNCTION("""COMPUTED_VALUE"""),"Paquete de Elasticos 63 mm x 10 mm x 13 Hojas L975")</f>
        <v>Paquete de Elasticos 63 mm x 10 mm x 13 Hojas L975</v>
      </c>
      <c r="BS90" s="3" t="str">
        <f>IFERROR(__xludf.DUMMYFUNCTION("""COMPUTED_VALUE"""),"Paquete de Elasticos 50 mm x 7 mm x 9 Hojas L650")</f>
        <v>Paquete de Elasticos 50 mm x 7 mm x 9 Hojas L650</v>
      </c>
      <c r="BT90" s="3" t="str">
        <f>IFERROR(__xludf.DUMMYFUNCTION("""COMPUTED_VALUE"""),"Eje Acoplado 2"" x 1600 (06/08) Agrícola Centro 92")</f>
        <v>Eje Acoplado 2" x 1600 (06/08) Agrícola Centro 92</v>
      </c>
      <c r="BU90" s="3" t="str">
        <f>IFERROR(__xludf.DUMMYFUNCTION("""COMPUTED_VALUE"""),"Eje Acoplado 2 1/2"" x 1600 (07/09) Agrícola Centro 92")</f>
        <v>Eje Acoplado 2 1/2" x 1600 (07/09) Agrícola Centro 92</v>
      </c>
      <c r="BV90" s="3" t="str">
        <f>IFERROR(__xludf.DUMMYFUNCTION("""COMPUTED_VALUE"""),"Eje Acoplado 2 1/2"" x 1600 (09/11) Agrícola Centro 150")</f>
        <v>Eje Acoplado 2 1/2" x 1600 (09/11) Agrícola Centro 150</v>
      </c>
      <c r="BW90" s="3" t="str">
        <f>IFERROR(__xludf.DUMMYFUNCTION("""COMPUTED_VALUE"""),"Eje Acoplado 3"" x 1600 (10/13) Agrícola Centro 150")</f>
        <v>Eje Acoplado 3" x 1600 (10/13) Agrícola Centro 150</v>
      </c>
      <c r="BX90" s="3" t="str">
        <f>IFERROR(__xludf.DUMMYFUNCTION("""COMPUTED_VALUE"""),"Eje Acoplado 2 1/2"" x 2140 (07/09) Agrícola Centro 92")</f>
        <v>Eje Acoplado 2 1/2" x 2140 (07/09) Agrícola Centro 92</v>
      </c>
      <c r="BY90" s="3" t="str">
        <f>IFERROR(__xludf.DUMMYFUNCTION("""COMPUTED_VALUE"""),"Eje Acoplado 2"" x 1400 (06/08) Agrícola Centro 92")</f>
        <v>Eje Acoplado 2" x 1400 (06/08) Agrícola Centro 92</v>
      </c>
      <c r="BZ90" s="3" t="str">
        <f>IFERROR(__xludf.DUMMYFUNCTION("""COMPUTED_VALUE"""),"Eje Acoplado 2 1/2"" x 1500 (07/09) Agrícola Centro 92")</f>
        <v>Eje Acoplado 2 1/2" x 1500 (07/09) Agrícola Centro 92</v>
      </c>
      <c r="CA90" s="3" t="str">
        <f>IFERROR(__xludf.DUMMYFUNCTION("""COMPUTED_VALUE"""),"Eje Acoplado 2 1/2"" x 2000 (07/09) Agrícola Centro 92")</f>
        <v>Eje Acoplado 2 1/2" x 2000 (07/09) Agrícola Centro 92</v>
      </c>
      <c r="CB90" s="3" t="str">
        <f>IFERROR(__xludf.DUMMYFUNCTION("""COMPUTED_VALUE"""),"Eje Acoplado 2 1/2"" x 2100 (09/11) Agrícola Centro 150")</f>
        <v>Eje Acoplado 2 1/2" x 2100 (09/11) Agrícola Centro 150</v>
      </c>
      <c r="CC90" s="3" t="str">
        <f>IFERROR(__xludf.DUMMYFUNCTION("""COMPUTED_VALUE"""),"Llanta 16"" Simple Agrícola Centro 92")</f>
        <v>Llanta 16" Simple Agrícola Centro 92</v>
      </c>
      <c r="CD90" s="3" t="str">
        <f>IFERROR(__xludf.DUMMYFUNCTION("""COMPUTED_VALUE"""),"Llanta 16"" Dual Agrícola Centro 92")</f>
        <v>Llanta 16" Dual Agrícola Centro 92</v>
      </c>
      <c r="CE90" s="3" t="str">
        <f>IFERROR(__xludf.DUMMYFUNCTION("""COMPUTED_VALUE"""),"Llanta 17"" Simple Agrícola Centro 92")</f>
        <v>Llanta 17" Simple Agrícola Centro 92</v>
      </c>
      <c r="CF90" s="3" t="str">
        <f>IFERROR(__xludf.DUMMYFUNCTION("""COMPUTED_VALUE"""),"Llanta 17"" Dual Agrícola Centro 92")</f>
        <v>Llanta 17" Dual Agrícola Centro 92</v>
      </c>
      <c r="CG90" s="3" t="str">
        <f>IFERROR(__xludf.DUMMYFUNCTION("""COMPUTED_VALUE"""),"Llanta 16"" Dual Agrícola Centro 152")</f>
        <v>Llanta 16" Dual Agrícola Centro 152</v>
      </c>
      <c r="CH90" s="3" t="str">
        <f>IFERROR(__xludf.DUMMYFUNCTION("""COMPUTED_VALUE"""),"Llanta 17"" Dual Agrícola Centro 152")</f>
        <v>Llanta 17" Dual Agrícola Centro 152</v>
      </c>
      <c r="CI90" s="3" t="str">
        <f>IFERROR(__xludf.DUMMYFUNCTION("""COMPUTED_VALUE"""),"Eje Acoplado 2"" x 1600 (05/07) Agrícola Centro 92")</f>
        <v>Eje Acoplado 2" x 1600 (05/07) Agrícola Centro 92</v>
      </c>
      <c r="CJ90" s="3" t="str">
        <f>IFERROR(__xludf.DUMMYFUNCTION("""COMPUTED_VALUE"""),"Paquete de Elásticos 50 mm x 8 mm x 12 Hojas")</f>
        <v>Paquete de Elásticos 50 mm x 8 mm x 12 Hojas</v>
      </c>
      <c r="CK90" s="3" t="str">
        <f>IFERROR(__xludf.DUMMYFUNCTION("""COMPUTED_VALUE"""),"Plataforma Playo 4.00 x 1.90 x 0.45 Lateral Simple Baranda Fija")</f>
        <v>Plataforma Playo 4.00 x 1.90 x 0.45 Lateral Simple Baranda Fija</v>
      </c>
      <c r="CL90" s="3" t="str">
        <f>IFERROR(__xludf.DUMMYFUNCTION("""COMPUTED_VALUE"""),"Plataforma Playo 4.00 x 1.90 x 0.45 Lateral Simple Baranda Ventilada")</f>
        <v>Plataforma Playo 4.00 x 1.90 x 0.45 Lateral Simple Baranda Ventilada</v>
      </c>
      <c r="CM90" s="3" t="str">
        <f>IFERROR(__xludf.DUMMYFUNCTION("""COMPUTED_VALUE"""),"Plataforma Playo 4.00 x 1.90 x 0.45 Lateral Doble Baranda Ventilada")</f>
        <v>Plataforma Playo 4.00 x 1.90 x 0.45 Lateral Doble Baranda Ventilada</v>
      </c>
      <c r="CN90" s="3" t="str">
        <f>IFERROR(__xludf.DUMMYFUNCTION("""COMPUTED_VALUE"""),"Plataforma Playo 4.00 x 1.90 x 0.45 Lateral Doble Baranda Fija")</f>
        <v>Plataforma Playo 4.00 x 1.90 x 0.45 Lateral Doble Baranda Fija</v>
      </c>
      <c r="CO90" s="3" t="str">
        <f>IFERROR(__xludf.DUMMYFUNCTION("""COMPUTED_VALUE"""),"Plataforma Playo 4.00 x 1.90 x 0.72 Lateral Simple Baranda Fija")</f>
        <v>Plataforma Playo 4.00 x 1.90 x 0.72 Lateral Simple Baranda Fija</v>
      </c>
      <c r="CP90" s="3" t="str">
        <f>IFERROR(__xludf.DUMMYFUNCTION("""COMPUTED_VALUE"""),"Plataforma Playo 4.00 x 1.90 x 0.72 Lateral Doble Baranda Fija")</f>
        <v>Plataforma Playo 4.00 x 1.90 x 0.72 Lateral Doble Baranda Fija</v>
      </c>
      <c r="CQ90" s="3" t="str">
        <f>IFERROR(__xludf.DUMMYFUNCTION("""COMPUTED_VALUE"""),"Plataforma Playo 5.00 x 2.20 x 0.60 Lateral Doble Trasera Rebatible")</f>
        <v>Plataforma Playo 5.00 x 2.20 x 0.60 Lateral Doble Trasera Rebatible</v>
      </c>
      <c r="CR90" s="3" t="str">
        <f>IFERROR(__xludf.DUMMYFUNCTION("""COMPUTED_VALUE"""),"Plataforma Playo 5.00 x 2.20 x 0.60 Lateral Doble Baranda Fija C/Toldo")</f>
        <v>Plataforma Playo 5.00 x 2.20 x 0.60 Lateral Doble Baranda Fija C/Toldo</v>
      </c>
      <c r="CS90" s="3" t="str">
        <f>IFERROR(__xludf.DUMMYFUNCTION("""COMPUTED_VALUE"""),"Plataforma Playo 3.00 x 1.90 x 0.45 Lateral Simple Baranda Fija")</f>
        <v>Plataforma Playo 3.00 x 1.90 x 0.45 Lateral Simple Baranda Fija</v>
      </c>
      <c r="CT90" s="3" t="str">
        <f>IFERROR(__xludf.DUMMYFUNCTION("""COMPUTED_VALUE"""),"Plataforma Playo 3.00 x 1.90 x 0.45 Lateral Simple Baranda Ventilada")</f>
        <v>Plataforma Playo 3.00 x 1.90 x 0.45 Lateral Simple Baranda Ventilada</v>
      </c>
      <c r="CU90" s="3" t="str">
        <f>IFERROR(__xludf.DUMMYFUNCTION("""COMPUTED_VALUE"""),"Plataforma Playo 2.00 x 1.90 x 0.45 Lateral Simple Baranda Fija")</f>
        <v>Plataforma Playo 2.00 x 1.90 x 0.45 Lateral Simple Baranda Fija</v>
      </c>
      <c r="CV90" s="3" t="str">
        <f>IFERROR(__xludf.DUMMYFUNCTION("""COMPUTED_VALUE"""),"Plataforma Playo 5.00 x 1.90 x 0.60 Lateral Doble Baranda Fija")</f>
        <v>Plataforma Playo 5.00 x 1.90 x 0.60 Lateral Doble Baranda Fija</v>
      </c>
      <c r="CW90" s="3" t="str">
        <f>IFERROR(__xludf.DUMMYFUNCTION("""COMPUTED_VALUE"""),"Plataforma Playo 6.40 x 2.70 x 0.72 Lateral Doble Baranda Fija")</f>
        <v>Plataforma Playo 6.40 x 2.70 x 0.72 Lateral Doble Baranda Fija</v>
      </c>
      <c r="CX90" s="3" t="str">
        <f>IFERROR(__xludf.DUMMYFUNCTION("""COMPUTED_VALUE"""),"Chasis Acoplado Balancin L4000 Lanza Recta")</f>
        <v>Chasis Acoplado Balancin L4000 Lanza Recta</v>
      </c>
      <c r="CY90" s="3" t="str">
        <f>IFERROR(__xludf.DUMMYFUNCTION("""COMPUTED_VALUE"""),"Llanta simple Agrícola 750x20 centro 152")</f>
        <v>Llanta simple Agrícola 750x20 centro 152</v>
      </c>
      <c r="CZ90" s="3" t="str">
        <f>IFERROR(__xludf.DUMMYFUNCTION("""COMPUTED_VALUE"""),"Cajón de Herramientas Mediano adelante")</f>
        <v>Cajón de Herramientas Mediano adelante</v>
      </c>
      <c r="DA90" s="3" t="str">
        <f>IFERROR(__xludf.DUMMYFUNCTION("""COMPUTED_VALUE"""),"Llanta 15"" Simple Agrícola Centro 92")</f>
        <v>Llanta 15" Simple Agrícola Centro 92</v>
      </c>
    </row>
    <row r="91" hidden="1">
      <c r="A91" s="38">
        <f t="shared" si="1"/>
        <v>90</v>
      </c>
      <c r="B91" s="38">
        <f>IF(F91="","",SUMIF(Prearmados!E:E,F91,Prearmados!A:A))</f>
        <v>18</v>
      </c>
      <c r="C91" s="38">
        <f>IF(F91="","",SUMIF(Productos!E:E,G91,Productos!A:A))</f>
        <v>99</v>
      </c>
      <c r="D91" s="83" t="str">
        <f t="array" ref="D91">IF(OR(F91="",F91="Seleccionar.."),"",XLOOKUP(F91,Prearmados!E:E,Prearmados!F:F,"",0,1))</f>
        <v>Acoplados Rurales</v>
      </c>
      <c r="E91" s="83">
        <f>IF(H91="","",SUMIF(Precio_Productos!K:K,C91,Precio_Productos!J:J)*H91)</f>
        <v>1027200</v>
      </c>
      <c r="F91" s="84" t="s">
        <v>341</v>
      </c>
      <c r="G91" s="84" t="s">
        <v>126</v>
      </c>
      <c r="H91" s="13">
        <v>4.0</v>
      </c>
      <c r="P91" s="3" t="str">
        <f>IFERROR(__xludf.DUMMYFUNCTION("IF(OR(F91="""",F91=""Seleccionar..""),"""",TRANSPOSE(FILTER(Productos!E:E,(Productos!F:F=D91)+(Productos!F:F=XLOOKUP(D91,Implementos!B:B,Implementos!C:C,""-"",0,1)))))"),"Tanque Combustible 1100 lts Bajo")</f>
        <v>Tanque Combustible 1100 lts Bajo</v>
      </c>
      <c r="Q91" s="3" t="str">
        <f>IFERROR(__xludf.DUMMYFUNCTION("""COMPUTED_VALUE"""),"Tanque Combustible 1500 lts Standard")</f>
        <v>Tanque Combustible 1500 lts Standard</v>
      </c>
      <c r="R91" s="3" t="str">
        <f>IFERROR(__xludf.DUMMYFUNCTION("""COMPUTED_VALUE"""),"Tanque Combustible 1800 lts Standard")</f>
        <v>Tanque Combustible 1800 lts Standard</v>
      </c>
      <c r="S91" s="3" t="str">
        <f>IFERROR(__xludf.DUMMYFUNCTION("""COMPUTED_VALUE"""),"Tanque Combustible 2000 lts Bajo")</f>
        <v>Tanque Combustible 2000 lts Bajo</v>
      </c>
      <c r="T91" s="3" t="str">
        <f>IFERROR(__xludf.DUMMYFUNCTION("""COMPUTED_VALUE"""),"Tanque Combustible 2000 lts Standard")</f>
        <v>Tanque Combustible 2000 lts Standard</v>
      </c>
      <c r="U91" s="3" t="str">
        <f>IFERROR(__xludf.DUMMYFUNCTION("""COMPUTED_VALUE"""),"Tanque Combustible 3000 lts Standard")</f>
        <v>Tanque Combustible 3000 lts Standard</v>
      </c>
      <c r="V91" s="3" t="str">
        <f>IFERROR(__xludf.DUMMYFUNCTION("""COMPUTED_VALUE"""),"Tanque Combustible 3000 lts Alto")</f>
        <v>Tanque Combustible 3000 lts Alto</v>
      </c>
      <c r="W91" s="3" t="str">
        <f>IFERROR(__xludf.DUMMYFUNCTION("""COMPUTED_VALUE"""),"Tanque Combustible 4000 lts Standard")</f>
        <v>Tanque Combustible 4000 lts Standard</v>
      </c>
      <c r="X91" s="3" t="str">
        <f>IFERROR(__xludf.DUMMYFUNCTION("""COMPUTED_VALUE"""),"Tanque Combustible 5000 lts Standard")</f>
        <v>Tanque Combustible 5000 lts Standard</v>
      </c>
      <c r="Y91" s="3" t="str">
        <f>IFERROR(__xludf.DUMMYFUNCTION("""COMPUTED_VALUE"""),"Tanque Combustible 5000 lts Alto")</f>
        <v>Tanque Combustible 5000 lts Alto</v>
      </c>
      <c r="Z91" s="3" t="str">
        <f>IFERROR(__xludf.DUMMYFUNCTION("""COMPUTED_VALUE"""),"Tanque Combustible 2000 lts Alto")</f>
        <v>Tanque Combustible 2000 lts Alto</v>
      </c>
      <c r="AA91" s="3" t="str">
        <f>IFERROR(__xludf.DUMMYFUNCTION("""COMPUTED_VALUE"""),"Tanque Combustible 4000 lts Alto")</f>
        <v>Tanque Combustible 4000 lts Alto</v>
      </c>
      <c r="AB91" s="3" t="str">
        <f>IFERROR(__xludf.DUMMYFUNCTION("""COMPUTED_VALUE"""),"Baulera Standard - 750")</f>
        <v>Baulera Standard - 750</v>
      </c>
      <c r="AC91" s="3" t="str">
        <f>IFERROR(__xludf.DUMMYFUNCTION("""COMPUTED_VALUE"""),"Baulera Standard - 1700 - C/Laterales")</f>
        <v>Baulera Standard - 1700 - C/Laterales</v>
      </c>
      <c r="AD91" s="3" t="str">
        <f>IFERROR(__xludf.DUMMYFUNCTION("""COMPUTED_VALUE"""),"Baulera Standard - 1000 - C/Laterales")</f>
        <v>Baulera Standard - 1000 - C/Laterales</v>
      </c>
      <c r="AE91" s="3" t="str">
        <f>IFERROR(__xludf.DUMMYFUNCTION("""COMPUTED_VALUE"""),"Baulera Standard - 750 - C/Laterales")</f>
        <v>Baulera Standard - 750 - C/Laterales</v>
      </c>
      <c r="AF91" s="3" t="str">
        <f>IFERROR(__xludf.DUMMYFUNCTION("""COMPUTED_VALUE"""),"Baulera Standard - 1300 - C/Laterales")</f>
        <v>Baulera Standard - 1300 - C/Laterales</v>
      </c>
      <c r="AG91" s="3" t="str">
        <f>IFERROR(__xludf.DUMMYFUNCTION("""COMPUTED_VALUE"""),"Baulera Alta - 750")</f>
        <v>Baulera Alta - 750</v>
      </c>
      <c r="AH91" s="3" t="str">
        <f>IFERROR(__xludf.DUMMYFUNCTION("""COMPUTED_VALUE"""),"Baulera Alta - 1500 - C/Laterales")</f>
        <v>Baulera Alta - 1500 - C/Laterales</v>
      </c>
      <c r="AI91" s="3" t="str">
        <f>IFERROR(__xludf.DUMMYFUNCTION("""COMPUTED_VALUE"""),"Baulera Extendida 1700 - C/Laterales")</f>
        <v>Baulera Extendida 1700 - C/Laterales</v>
      </c>
      <c r="AJ91" s="3" t="str">
        <f>IFERROR(__xludf.DUMMYFUNCTION("""COMPUTED_VALUE"""),"Taller Móvil - 1500 x 1500 x 1700")</f>
        <v>Taller Móvil - 1500 x 1500 x 1700</v>
      </c>
      <c r="AK91" s="3" t="str">
        <f>IFERROR(__xludf.DUMMYFUNCTION("""COMPUTED_VALUE"""),"Cajón Herramientas Standard Derecho")</f>
        <v>Cajón Herramientas Standard Derecho</v>
      </c>
      <c r="AL91" s="3" t="str">
        <f>IFERROR(__xludf.DUMMYFUNCTION("""COMPUTED_VALUE"""),"Cajón Herramientas Standard Izquierdo")</f>
        <v>Cajón Herramientas Standard Izquierdo</v>
      </c>
      <c r="AM91" s="3" t="str">
        <f>IFERROR(__xludf.DUMMYFUNCTION("""COMPUTED_VALUE"""),"Cajón Herramientas Corto Derecho")</f>
        <v>Cajón Herramientas Corto Derecho</v>
      </c>
      <c r="AN91" s="3" t="str">
        <f>IFERROR(__xludf.DUMMYFUNCTION("""COMPUTED_VALUE"""),"Cajón Herramientas Corto Izquierdo")</f>
        <v>Cajón Herramientas Corto Izquierdo</v>
      </c>
      <c r="AO91" s="3" t="str">
        <f>IFERROR(__xludf.DUMMYFUNCTION("""COMPUTED_VALUE"""),"Cajón Herramientas Mediano Derecho")</f>
        <v>Cajón Herramientas Mediano Derecho</v>
      </c>
      <c r="AP91" s="3" t="str">
        <f>IFERROR(__xludf.DUMMYFUNCTION("""COMPUTED_VALUE"""),"Cajón Herramientas Mediano Izquierdo")</f>
        <v>Cajón Herramientas Mediano Izquierdo</v>
      </c>
      <c r="AQ91" s="3" t="str">
        <f>IFERROR(__xludf.DUMMYFUNCTION("""COMPUTED_VALUE"""),"Chasis Acoplado 2 Ejes L3000")</f>
        <v>Chasis Acoplado 2 Ejes L3000</v>
      </c>
      <c r="AR91" s="3" t="str">
        <f>IFERROR(__xludf.DUMMYFUNCTION("""COMPUTED_VALUE"""),"Chasis Acoplado 2 Ejes L3750")</f>
        <v>Chasis Acoplado 2 Ejes L3750</v>
      </c>
      <c r="AS91" s="3" t="str">
        <f>IFERROR(__xludf.DUMMYFUNCTION("""COMPUTED_VALUE"""),"Chasis Acoplado 2 Ejes L4000")</f>
        <v>Chasis Acoplado 2 Ejes L4000</v>
      </c>
      <c r="AT91" s="3" t="str">
        <f>IFERROR(__xludf.DUMMYFUNCTION("""COMPUTED_VALUE"""),"Chasis Acoplado 2 Ejes L4000 Reforzado")</f>
        <v>Chasis Acoplado 2 Ejes L4000 Reforzado</v>
      </c>
      <c r="AU91" s="3" t="str">
        <f>IFERROR(__xludf.DUMMYFUNCTION("""COMPUTED_VALUE"""),"Chasis Acoplado 2 Ejes L4750")</f>
        <v>Chasis Acoplado 2 Ejes L4750</v>
      </c>
      <c r="AV91" s="3" t="str">
        <f>IFERROR(__xludf.DUMMYFUNCTION("""COMPUTED_VALUE"""),"Chasis Acoplado 2 Ejes L4750 Reforzado")</f>
        <v>Chasis Acoplado 2 Ejes L4750 Reforzado</v>
      </c>
      <c r="AW91" s="3" t="str">
        <f>IFERROR(__xludf.DUMMYFUNCTION("""COMPUTED_VALUE"""),"Chasis Acoplado 2 Ejes L4750 Reforzado R. Camion")</f>
        <v>Chasis Acoplado 2 Ejes L4750 Reforzado R. Camion</v>
      </c>
      <c r="AX91" s="3" t="str">
        <f>IFERROR(__xludf.DUMMYFUNCTION("""COMPUTED_VALUE"""),"Chasis Acoplado 2 Ejes L5000")</f>
        <v>Chasis Acoplado 2 Ejes L5000</v>
      </c>
      <c r="AY91" s="3" t="str">
        <f>IFERROR(__xludf.DUMMYFUNCTION("""COMPUTED_VALUE"""),"Chasis Acoplado 2 Ejes L5750")</f>
        <v>Chasis Acoplado 2 Ejes L5750</v>
      </c>
      <c r="AZ91" s="3" t="str">
        <f>IFERROR(__xludf.DUMMYFUNCTION("""COMPUTED_VALUE"""),"Chasis Acoplado 2 Ejes L6400")</f>
        <v>Chasis Acoplado 2 Ejes L6400</v>
      </c>
      <c r="BA91" s="3" t="str">
        <f>IFERROR(__xludf.DUMMYFUNCTION("""COMPUTED_VALUE"""),"Chasis Acoplado 2 Ejes L4500")</f>
        <v>Chasis Acoplado 2 Ejes L4500</v>
      </c>
      <c r="BB91" s="3" t="str">
        <f>IFERROR(__xludf.DUMMYFUNCTION("""COMPUTED_VALUE"""),"Chasis Acoplado 1 Eje L1500")</f>
        <v>Chasis Acoplado 1 Eje L1500</v>
      </c>
      <c r="BC91" s="3" t="str">
        <f>IFERROR(__xludf.DUMMYFUNCTION("""COMPUTED_VALUE"""),"Chasis Acoplado 1 Eje L1800")</f>
        <v>Chasis Acoplado 1 Eje L1800</v>
      </c>
      <c r="BD91" s="3" t="str">
        <f>IFERROR(__xludf.DUMMYFUNCTION("""COMPUTED_VALUE"""),"Chasis Acoplado 1 Eje L1400")</f>
        <v>Chasis Acoplado 1 Eje L1400</v>
      </c>
      <c r="BE91" s="3" t="str">
        <f>IFERROR(__xludf.DUMMYFUNCTION("""COMPUTED_VALUE"""),"Chasis Acoplado Balancin L3000")</f>
        <v>Chasis Acoplado Balancin L3000</v>
      </c>
      <c r="BF91" s="3" t="str">
        <f>IFERROR(__xludf.DUMMYFUNCTION("""COMPUTED_VALUE"""),"Chasis Acoplado Balancin L3000 Lanza Corta")</f>
        <v>Chasis Acoplado Balancin L3000 Lanza Corta</v>
      </c>
      <c r="BG91" s="3" t="str">
        <f>IFERROR(__xludf.DUMMYFUNCTION("""COMPUTED_VALUE"""),"Chasis Acoplado Balancin L2000 Lanza Corta")</f>
        <v>Chasis Acoplado Balancin L2000 Lanza Corta</v>
      </c>
      <c r="BH91" s="3" t="str">
        <f>IFERROR(__xludf.DUMMYFUNCTION("""COMPUTED_VALUE"""),"Chasis Acoplado Balancin L3200 Lanza Corta")</f>
        <v>Chasis Acoplado Balancin L3200 Lanza Corta</v>
      </c>
      <c r="BI91" s="3" t="str">
        <f>IFERROR(__xludf.DUMMYFUNCTION("""COMPUTED_VALUE"""),"Chasis Acoplado Balancin L3200 Lanza Recta")</f>
        <v>Chasis Acoplado Balancin L3200 Lanza Recta</v>
      </c>
      <c r="BJ91" s="3" t="str">
        <f>IFERROR(__xludf.DUMMYFUNCTION("""COMPUTED_VALUE"""),"Chasis Acoplado Balancin L3200 Bajo Lanza Recta")</f>
        <v>Chasis Acoplado Balancin L3200 Bajo Lanza Recta</v>
      </c>
      <c r="BK91" s="3" t="str">
        <f>IFERROR(__xludf.DUMMYFUNCTION("""COMPUTED_VALUE"""),"Tanque Plastico Horizontal 750 Lts")</f>
        <v>Tanque Plastico Horizontal 750 Lts</v>
      </c>
      <c r="BL91" s="3" t="str">
        <f>IFERROR(__xludf.DUMMYFUNCTION("""COMPUTED_VALUE"""),"Medio Tanque Plastico Superior 700 Lts")</f>
        <v>Medio Tanque Plastico Superior 700 Lts</v>
      </c>
      <c r="BM91" s="3" t="str">
        <f>IFERROR(__xludf.DUMMYFUNCTION("""COMPUTED_VALUE"""),"Paquete de Elasticos 50 mm x 8 mm x 10 Hojas L850")</f>
        <v>Paquete de Elasticos 50 mm x 8 mm x 10 Hojas L850</v>
      </c>
      <c r="BN91" s="3" t="str">
        <f>IFERROR(__xludf.DUMMYFUNCTION("""COMPUTED_VALUE"""),"Paquete de Elasticos 63 mm x 8 mm x 10 Hojas L950")</f>
        <v>Paquete de Elasticos 63 mm x 8 mm x 10 Hojas L950</v>
      </c>
      <c r="BO91" s="3" t="str">
        <f>IFERROR(__xludf.DUMMYFUNCTION("""COMPUTED_VALUE"""),"Paquete de Elasticos 50 mm x 7 mm x 9 Hojas L850")</f>
        <v>Paquete de Elasticos 50 mm x 7 mm x 9 Hojas L850</v>
      </c>
      <c r="BP91" s="3" t="str">
        <f>IFERROR(__xludf.DUMMYFUNCTION("""COMPUTED_VALUE"""),"Paquete de Elasticos 63 mm x 8 mm x 8 Hojas L850")</f>
        <v>Paquete de Elasticos 63 mm x 8 mm x 8 Hojas L850</v>
      </c>
      <c r="BQ91" s="3" t="str">
        <f>IFERROR(__xludf.DUMMYFUNCTION("""COMPUTED_VALUE"""),"Paquete de Elasticos 63 mm x 10 mm x 10 Hojas L950")</f>
        <v>Paquete de Elasticos 63 mm x 10 mm x 10 Hojas L950</v>
      </c>
      <c r="BR91" s="3" t="str">
        <f>IFERROR(__xludf.DUMMYFUNCTION("""COMPUTED_VALUE"""),"Paquete de Elasticos 63 mm x 10 mm x 13 Hojas L975")</f>
        <v>Paquete de Elasticos 63 mm x 10 mm x 13 Hojas L975</v>
      </c>
      <c r="BS91" s="3" t="str">
        <f>IFERROR(__xludf.DUMMYFUNCTION("""COMPUTED_VALUE"""),"Paquete de Elasticos 50 mm x 7 mm x 9 Hojas L650")</f>
        <v>Paquete de Elasticos 50 mm x 7 mm x 9 Hojas L650</v>
      </c>
      <c r="BT91" s="3" t="str">
        <f>IFERROR(__xludf.DUMMYFUNCTION("""COMPUTED_VALUE"""),"Eje Acoplado 2"" x 1600 (06/08) Agrícola Centro 92")</f>
        <v>Eje Acoplado 2" x 1600 (06/08) Agrícola Centro 92</v>
      </c>
      <c r="BU91" s="3" t="str">
        <f>IFERROR(__xludf.DUMMYFUNCTION("""COMPUTED_VALUE"""),"Eje Acoplado 2 1/2"" x 1600 (07/09) Agrícola Centro 92")</f>
        <v>Eje Acoplado 2 1/2" x 1600 (07/09) Agrícola Centro 92</v>
      </c>
      <c r="BV91" s="3" t="str">
        <f>IFERROR(__xludf.DUMMYFUNCTION("""COMPUTED_VALUE"""),"Eje Acoplado 2 1/2"" x 1600 (09/11) Agrícola Centro 150")</f>
        <v>Eje Acoplado 2 1/2" x 1600 (09/11) Agrícola Centro 150</v>
      </c>
      <c r="BW91" s="3" t="str">
        <f>IFERROR(__xludf.DUMMYFUNCTION("""COMPUTED_VALUE"""),"Eje Acoplado 3"" x 1600 (10/13) Agrícola Centro 150")</f>
        <v>Eje Acoplado 3" x 1600 (10/13) Agrícola Centro 150</v>
      </c>
      <c r="BX91" s="3" t="str">
        <f>IFERROR(__xludf.DUMMYFUNCTION("""COMPUTED_VALUE"""),"Eje Acoplado 2 1/2"" x 2140 (07/09) Agrícola Centro 92")</f>
        <v>Eje Acoplado 2 1/2" x 2140 (07/09) Agrícola Centro 92</v>
      </c>
      <c r="BY91" s="3" t="str">
        <f>IFERROR(__xludf.DUMMYFUNCTION("""COMPUTED_VALUE"""),"Eje Acoplado 2"" x 1400 (06/08) Agrícola Centro 92")</f>
        <v>Eje Acoplado 2" x 1400 (06/08) Agrícola Centro 92</v>
      </c>
      <c r="BZ91" s="3" t="str">
        <f>IFERROR(__xludf.DUMMYFUNCTION("""COMPUTED_VALUE"""),"Eje Acoplado 2 1/2"" x 1500 (07/09) Agrícola Centro 92")</f>
        <v>Eje Acoplado 2 1/2" x 1500 (07/09) Agrícola Centro 92</v>
      </c>
      <c r="CA91" s="3" t="str">
        <f>IFERROR(__xludf.DUMMYFUNCTION("""COMPUTED_VALUE"""),"Eje Acoplado 2 1/2"" x 2000 (07/09) Agrícola Centro 92")</f>
        <v>Eje Acoplado 2 1/2" x 2000 (07/09) Agrícola Centro 92</v>
      </c>
      <c r="CB91" s="3" t="str">
        <f>IFERROR(__xludf.DUMMYFUNCTION("""COMPUTED_VALUE"""),"Eje Acoplado 2 1/2"" x 2100 (09/11) Agrícola Centro 150")</f>
        <v>Eje Acoplado 2 1/2" x 2100 (09/11) Agrícola Centro 150</v>
      </c>
      <c r="CC91" s="3" t="str">
        <f>IFERROR(__xludf.DUMMYFUNCTION("""COMPUTED_VALUE"""),"Llanta 16"" Simple Agrícola Centro 92")</f>
        <v>Llanta 16" Simple Agrícola Centro 92</v>
      </c>
      <c r="CD91" s="3" t="str">
        <f>IFERROR(__xludf.DUMMYFUNCTION("""COMPUTED_VALUE"""),"Llanta 16"" Dual Agrícola Centro 92")</f>
        <v>Llanta 16" Dual Agrícola Centro 92</v>
      </c>
      <c r="CE91" s="3" t="str">
        <f>IFERROR(__xludf.DUMMYFUNCTION("""COMPUTED_VALUE"""),"Llanta 17"" Simple Agrícola Centro 92")</f>
        <v>Llanta 17" Simple Agrícola Centro 92</v>
      </c>
      <c r="CF91" s="3" t="str">
        <f>IFERROR(__xludf.DUMMYFUNCTION("""COMPUTED_VALUE"""),"Llanta 17"" Dual Agrícola Centro 92")</f>
        <v>Llanta 17" Dual Agrícola Centro 92</v>
      </c>
      <c r="CG91" s="3" t="str">
        <f>IFERROR(__xludf.DUMMYFUNCTION("""COMPUTED_VALUE"""),"Llanta 16"" Dual Agrícola Centro 152")</f>
        <v>Llanta 16" Dual Agrícola Centro 152</v>
      </c>
      <c r="CH91" s="3" t="str">
        <f>IFERROR(__xludf.DUMMYFUNCTION("""COMPUTED_VALUE"""),"Llanta 17"" Dual Agrícola Centro 152")</f>
        <v>Llanta 17" Dual Agrícola Centro 152</v>
      </c>
      <c r="CI91" s="3" t="str">
        <f>IFERROR(__xludf.DUMMYFUNCTION("""COMPUTED_VALUE"""),"Eje Acoplado 2"" x 1600 (05/07) Agrícola Centro 92")</f>
        <v>Eje Acoplado 2" x 1600 (05/07) Agrícola Centro 92</v>
      </c>
      <c r="CJ91" s="3" t="str">
        <f>IFERROR(__xludf.DUMMYFUNCTION("""COMPUTED_VALUE"""),"Paquete de Elásticos 50 mm x 8 mm x 12 Hojas")</f>
        <v>Paquete de Elásticos 50 mm x 8 mm x 12 Hojas</v>
      </c>
      <c r="CK91" s="3" t="str">
        <f>IFERROR(__xludf.DUMMYFUNCTION("""COMPUTED_VALUE"""),"Plataforma Playo 4.00 x 1.90 x 0.45 Lateral Simple Baranda Fija")</f>
        <v>Plataforma Playo 4.00 x 1.90 x 0.45 Lateral Simple Baranda Fija</v>
      </c>
      <c r="CL91" s="3" t="str">
        <f>IFERROR(__xludf.DUMMYFUNCTION("""COMPUTED_VALUE"""),"Plataforma Playo 4.00 x 1.90 x 0.45 Lateral Simple Baranda Ventilada")</f>
        <v>Plataforma Playo 4.00 x 1.90 x 0.45 Lateral Simple Baranda Ventilada</v>
      </c>
      <c r="CM91" s="3" t="str">
        <f>IFERROR(__xludf.DUMMYFUNCTION("""COMPUTED_VALUE"""),"Plataforma Playo 4.00 x 1.90 x 0.45 Lateral Doble Baranda Ventilada")</f>
        <v>Plataforma Playo 4.00 x 1.90 x 0.45 Lateral Doble Baranda Ventilada</v>
      </c>
      <c r="CN91" s="3" t="str">
        <f>IFERROR(__xludf.DUMMYFUNCTION("""COMPUTED_VALUE"""),"Plataforma Playo 4.00 x 1.90 x 0.45 Lateral Doble Baranda Fija")</f>
        <v>Plataforma Playo 4.00 x 1.90 x 0.45 Lateral Doble Baranda Fija</v>
      </c>
      <c r="CO91" s="3" t="str">
        <f>IFERROR(__xludf.DUMMYFUNCTION("""COMPUTED_VALUE"""),"Plataforma Playo 4.00 x 1.90 x 0.72 Lateral Simple Baranda Fija")</f>
        <v>Plataforma Playo 4.00 x 1.90 x 0.72 Lateral Simple Baranda Fija</v>
      </c>
      <c r="CP91" s="3" t="str">
        <f>IFERROR(__xludf.DUMMYFUNCTION("""COMPUTED_VALUE"""),"Plataforma Playo 4.00 x 1.90 x 0.72 Lateral Doble Baranda Fija")</f>
        <v>Plataforma Playo 4.00 x 1.90 x 0.72 Lateral Doble Baranda Fija</v>
      </c>
      <c r="CQ91" s="3" t="str">
        <f>IFERROR(__xludf.DUMMYFUNCTION("""COMPUTED_VALUE"""),"Plataforma Playo 5.00 x 2.20 x 0.60 Lateral Doble Trasera Rebatible")</f>
        <v>Plataforma Playo 5.00 x 2.20 x 0.60 Lateral Doble Trasera Rebatible</v>
      </c>
      <c r="CR91" s="3" t="str">
        <f>IFERROR(__xludf.DUMMYFUNCTION("""COMPUTED_VALUE"""),"Plataforma Playo 5.00 x 2.20 x 0.60 Lateral Doble Baranda Fija C/Toldo")</f>
        <v>Plataforma Playo 5.00 x 2.20 x 0.60 Lateral Doble Baranda Fija C/Toldo</v>
      </c>
      <c r="CS91" s="3" t="str">
        <f>IFERROR(__xludf.DUMMYFUNCTION("""COMPUTED_VALUE"""),"Plataforma Playo 3.00 x 1.90 x 0.45 Lateral Simple Baranda Fija")</f>
        <v>Plataforma Playo 3.00 x 1.90 x 0.45 Lateral Simple Baranda Fija</v>
      </c>
      <c r="CT91" s="3" t="str">
        <f>IFERROR(__xludf.DUMMYFUNCTION("""COMPUTED_VALUE"""),"Plataforma Playo 3.00 x 1.90 x 0.45 Lateral Simple Baranda Ventilada")</f>
        <v>Plataforma Playo 3.00 x 1.90 x 0.45 Lateral Simple Baranda Ventilada</v>
      </c>
      <c r="CU91" s="3" t="str">
        <f>IFERROR(__xludf.DUMMYFUNCTION("""COMPUTED_VALUE"""),"Plataforma Playo 2.00 x 1.90 x 0.45 Lateral Simple Baranda Fija")</f>
        <v>Plataforma Playo 2.00 x 1.90 x 0.45 Lateral Simple Baranda Fija</v>
      </c>
      <c r="CV91" s="3" t="str">
        <f>IFERROR(__xludf.DUMMYFUNCTION("""COMPUTED_VALUE"""),"Plataforma Playo 5.00 x 1.90 x 0.60 Lateral Doble Baranda Fija")</f>
        <v>Plataforma Playo 5.00 x 1.90 x 0.60 Lateral Doble Baranda Fija</v>
      </c>
      <c r="CW91" s="3" t="str">
        <f>IFERROR(__xludf.DUMMYFUNCTION("""COMPUTED_VALUE"""),"Plataforma Playo 6.40 x 2.70 x 0.72 Lateral Doble Baranda Fija")</f>
        <v>Plataforma Playo 6.40 x 2.70 x 0.72 Lateral Doble Baranda Fija</v>
      </c>
      <c r="CX91" s="3" t="str">
        <f>IFERROR(__xludf.DUMMYFUNCTION("""COMPUTED_VALUE"""),"Chasis Acoplado Balancin L4000 Lanza Recta")</f>
        <v>Chasis Acoplado Balancin L4000 Lanza Recta</v>
      </c>
      <c r="CY91" s="3" t="str">
        <f>IFERROR(__xludf.DUMMYFUNCTION("""COMPUTED_VALUE"""),"Llanta simple Agrícola 750x20 centro 152")</f>
        <v>Llanta simple Agrícola 750x20 centro 152</v>
      </c>
      <c r="CZ91" s="3" t="str">
        <f>IFERROR(__xludf.DUMMYFUNCTION("""COMPUTED_VALUE"""),"Cajón de Herramientas Mediano adelante")</f>
        <v>Cajón de Herramientas Mediano adelante</v>
      </c>
      <c r="DA91" s="3" t="str">
        <f>IFERROR(__xludf.DUMMYFUNCTION("""COMPUTED_VALUE"""),"Llanta 15"" Simple Agrícola Centro 92")</f>
        <v>Llanta 15" Simple Agrícola Centro 92</v>
      </c>
    </row>
    <row r="92" hidden="1">
      <c r="A92" s="38">
        <f t="shared" si="1"/>
        <v>91</v>
      </c>
      <c r="B92" s="38">
        <f>IF(F92="","",SUMIF(Prearmados!E:E,F92,Prearmados!A:A))</f>
        <v>18</v>
      </c>
      <c r="C92" s="38">
        <f>IF(F92="","",SUMIF(Productos!E:E,G92,Productos!A:A))</f>
        <v>115</v>
      </c>
      <c r="D92" s="83" t="str">
        <f t="array" ref="D92">IF(OR(F92="",F92="Seleccionar.."),"",XLOOKUP(F92,Prearmados!E:E,Prearmados!F:F,"",0,1))</f>
        <v>Acoplados Rurales</v>
      </c>
      <c r="E92" s="83">
        <f>IF(H92="","",SUMIF(Precio_Productos!K:K,C92,Precio_Productos!J:J)*H92)</f>
        <v>1320000</v>
      </c>
      <c r="F92" s="84" t="s">
        <v>341</v>
      </c>
      <c r="G92" s="84" t="s">
        <v>43</v>
      </c>
      <c r="H92" s="13">
        <v>8.0</v>
      </c>
      <c r="P92" s="3" t="str">
        <f>IFERROR(__xludf.DUMMYFUNCTION("IF(OR(F92="""",F92=""Seleccionar..""),"""",TRANSPOSE(FILTER(Productos!E:E,(Productos!F:F=D92)+(Productos!F:F=XLOOKUP(D92,Implementos!B:B,Implementos!C:C,""-"",0,1)))))"),"Tanque Combustible 1100 lts Bajo")</f>
        <v>Tanque Combustible 1100 lts Bajo</v>
      </c>
      <c r="Q92" s="3" t="str">
        <f>IFERROR(__xludf.DUMMYFUNCTION("""COMPUTED_VALUE"""),"Tanque Combustible 1500 lts Standard")</f>
        <v>Tanque Combustible 1500 lts Standard</v>
      </c>
      <c r="R92" s="3" t="str">
        <f>IFERROR(__xludf.DUMMYFUNCTION("""COMPUTED_VALUE"""),"Tanque Combustible 1800 lts Standard")</f>
        <v>Tanque Combustible 1800 lts Standard</v>
      </c>
      <c r="S92" s="3" t="str">
        <f>IFERROR(__xludf.DUMMYFUNCTION("""COMPUTED_VALUE"""),"Tanque Combustible 2000 lts Bajo")</f>
        <v>Tanque Combustible 2000 lts Bajo</v>
      </c>
      <c r="T92" s="3" t="str">
        <f>IFERROR(__xludf.DUMMYFUNCTION("""COMPUTED_VALUE"""),"Tanque Combustible 2000 lts Standard")</f>
        <v>Tanque Combustible 2000 lts Standard</v>
      </c>
      <c r="U92" s="3" t="str">
        <f>IFERROR(__xludf.DUMMYFUNCTION("""COMPUTED_VALUE"""),"Tanque Combustible 3000 lts Standard")</f>
        <v>Tanque Combustible 3000 lts Standard</v>
      </c>
      <c r="V92" s="3" t="str">
        <f>IFERROR(__xludf.DUMMYFUNCTION("""COMPUTED_VALUE"""),"Tanque Combustible 3000 lts Alto")</f>
        <v>Tanque Combustible 3000 lts Alto</v>
      </c>
      <c r="W92" s="3" t="str">
        <f>IFERROR(__xludf.DUMMYFUNCTION("""COMPUTED_VALUE"""),"Tanque Combustible 4000 lts Standard")</f>
        <v>Tanque Combustible 4000 lts Standard</v>
      </c>
      <c r="X92" s="3" t="str">
        <f>IFERROR(__xludf.DUMMYFUNCTION("""COMPUTED_VALUE"""),"Tanque Combustible 5000 lts Standard")</f>
        <v>Tanque Combustible 5000 lts Standard</v>
      </c>
      <c r="Y92" s="3" t="str">
        <f>IFERROR(__xludf.DUMMYFUNCTION("""COMPUTED_VALUE"""),"Tanque Combustible 5000 lts Alto")</f>
        <v>Tanque Combustible 5000 lts Alto</v>
      </c>
      <c r="Z92" s="3" t="str">
        <f>IFERROR(__xludf.DUMMYFUNCTION("""COMPUTED_VALUE"""),"Tanque Combustible 2000 lts Alto")</f>
        <v>Tanque Combustible 2000 lts Alto</v>
      </c>
      <c r="AA92" s="3" t="str">
        <f>IFERROR(__xludf.DUMMYFUNCTION("""COMPUTED_VALUE"""),"Tanque Combustible 4000 lts Alto")</f>
        <v>Tanque Combustible 4000 lts Alto</v>
      </c>
      <c r="AB92" s="3" t="str">
        <f>IFERROR(__xludf.DUMMYFUNCTION("""COMPUTED_VALUE"""),"Baulera Standard - 750")</f>
        <v>Baulera Standard - 750</v>
      </c>
      <c r="AC92" s="3" t="str">
        <f>IFERROR(__xludf.DUMMYFUNCTION("""COMPUTED_VALUE"""),"Baulera Standard - 1700 - C/Laterales")</f>
        <v>Baulera Standard - 1700 - C/Laterales</v>
      </c>
      <c r="AD92" s="3" t="str">
        <f>IFERROR(__xludf.DUMMYFUNCTION("""COMPUTED_VALUE"""),"Baulera Standard - 1000 - C/Laterales")</f>
        <v>Baulera Standard - 1000 - C/Laterales</v>
      </c>
      <c r="AE92" s="3" t="str">
        <f>IFERROR(__xludf.DUMMYFUNCTION("""COMPUTED_VALUE"""),"Baulera Standard - 750 - C/Laterales")</f>
        <v>Baulera Standard - 750 - C/Laterales</v>
      </c>
      <c r="AF92" s="3" t="str">
        <f>IFERROR(__xludf.DUMMYFUNCTION("""COMPUTED_VALUE"""),"Baulera Standard - 1300 - C/Laterales")</f>
        <v>Baulera Standard - 1300 - C/Laterales</v>
      </c>
      <c r="AG92" s="3" t="str">
        <f>IFERROR(__xludf.DUMMYFUNCTION("""COMPUTED_VALUE"""),"Baulera Alta - 750")</f>
        <v>Baulera Alta - 750</v>
      </c>
      <c r="AH92" s="3" t="str">
        <f>IFERROR(__xludf.DUMMYFUNCTION("""COMPUTED_VALUE"""),"Baulera Alta - 1500 - C/Laterales")</f>
        <v>Baulera Alta - 1500 - C/Laterales</v>
      </c>
      <c r="AI92" s="3" t="str">
        <f>IFERROR(__xludf.DUMMYFUNCTION("""COMPUTED_VALUE"""),"Baulera Extendida 1700 - C/Laterales")</f>
        <v>Baulera Extendida 1700 - C/Laterales</v>
      </c>
      <c r="AJ92" s="3" t="str">
        <f>IFERROR(__xludf.DUMMYFUNCTION("""COMPUTED_VALUE"""),"Taller Móvil - 1500 x 1500 x 1700")</f>
        <v>Taller Móvil - 1500 x 1500 x 1700</v>
      </c>
      <c r="AK92" s="3" t="str">
        <f>IFERROR(__xludf.DUMMYFUNCTION("""COMPUTED_VALUE"""),"Cajón Herramientas Standard Derecho")</f>
        <v>Cajón Herramientas Standard Derecho</v>
      </c>
      <c r="AL92" s="3" t="str">
        <f>IFERROR(__xludf.DUMMYFUNCTION("""COMPUTED_VALUE"""),"Cajón Herramientas Standard Izquierdo")</f>
        <v>Cajón Herramientas Standard Izquierdo</v>
      </c>
      <c r="AM92" s="3" t="str">
        <f>IFERROR(__xludf.DUMMYFUNCTION("""COMPUTED_VALUE"""),"Cajón Herramientas Corto Derecho")</f>
        <v>Cajón Herramientas Corto Derecho</v>
      </c>
      <c r="AN92" s="3" t="str">
        <f>IFERROR(__xludf.DUMMYFUNCTION("""COMPUTED_VALUE"""),"Cajón Herramientas Corto Izquierdo")</f>
        <v>Cajón Herramientas Corto Izquierdo</v>
      </c>
      <c r="AO92" s="3" t="str">
        <f>IFERROR(__xludf.DUMMYFUNCTION("""COMPUTED_VALUE"""),"Cajón Herramientas Mediano Derecho")</f>
        <v>Cajón Herramientas Mediano Derecho</v>
      </c>
      <c r="AP92" s="3" t="str">
        <f>IFERROR(__xludf.DUMMYFUNCTION("""COMPUTED_VALUE"""),"Cajón Herramientas Mediano Izquierdo")</f>
        <v>Cajón Herramientas Mediano Izquierdo</v>
      </c>
      <c r="AQ92" s="3" t="str">
        <f>IFERROR(__xludf.DUMMYFUNCTION("""COMPUTED_VALUE"""),"Chasis Acoplado 2 Ejes L3000")</f>
        <v>Chasis Acoplado 2 Ejes L3000</v>
      </c>
      <c r="AR92" s="3" t="str">
        <f>IFERROR(__xludf.DUMMYFUNCTION("""COMPUTED_VALUE"""),"Chasis Acoplado 2 Ejes L3750")</f>
        <v>Chasis Acoplado 2 Ejes L3750</v>
      </c>
      <c r="AS92" s="3" t="str">
        <f>IFERROR(__xludf.DUMMYFUNCTION("""COMPUTED_VALUE"""),"Chasis Acoplado 2 Ejes L4000")</f>
        <v>Chasis Acoplado 2 Ejes L4000</v>
      </c>
      <c r="AT92" s="3" t="str">
        <f>IFERROR(__xludf.DUMMYFUNCTION("""COMPUTED_VALUE"""),"Chasis Acoplado 2 Ejes L4000 Reforzado")</f>
        <v>Chasis Acoplado 2 Ejes L4000 Reforzado</v>
      </c>
      <c r="AU92" s="3" t="str">
        <f>IFERROR(__xludf.DUMMYFUNCTION("""COMPUTED_VALUE"""),"Chasis Acoplado 2 Ejes L4750")</f>
        <v>Chasis Acoplado 2 Ejes L4750</v>
      </c>
      <c r="AV92" s="3" t="str">
        <f>IFERROR(__xludf.DUMMYFUNCTION("""COMPUTED_VALUE"""),"Chasis Acoplado 2 Ejes L4750 Reforzado")</f>
        <v>Chasis Acoplado 2 Ejes L4750 Reforzado</v>
      </c>
      <c r="AW92" s="3" t="str">
        <f>IFERROR(__xludf.DUMMYFUNCTION("""COMPUTED_VALUE"""),"Chasis Acoplado 2 Ejes L4750 Reforzado R. Camion")</f>
        <v>Chasis Acoplado 2 Ejes L4750 Reforzado R. Camion</v>
      </c>
      <c r="AX92" s="3" t="str">
        <f>IFERROR(__xludf.DUMMYFUNCTION("""COMPUTED_VALUE"""),"Chasis Acoplado 2 Ejes L5000")</f>
        <v>Chasis Acoplado 2 Ejes L5000</v>
      </c>
      <c r="AY92" s="3" t="str">
        <f>IFERROR(__xludf.DUMMYFUNCTION("""COMPUTED_VALUE"""),"Chasis Acoplado 2 Ejes L5750")</f>
        <v>Chasis Acoplado 2 Ejes L5750</v>
      </c>
      <c r="AZ92" s="3" t="str">
        <f>IFERROR(__xludf.DUMMYFUNCTION("""COMPUTED_VALUE"""),"Chasis Acoplado 2 Ejes L6400")</f>
        <v>Chasis Acoplado 2 Ejes L6400</v>
      </c>
      <c r="BA92" s="3" t="str">
        <f>IFERROR(__xludf.DUMMYFUNCTION("""COMPUTED_VALUE"""),"Chasis Acoplado 2 Ejes L4500")</f>
        <v>Chasis Acoplado 2 Ejes L4500</v>
      </c>
      <c r="BB92" s="3" t="str">
        <f>IFERROR(__xludf.DUMMYFUNCTION("""COMPUTED_VALUE"""),"Chasis Acoplado 1 Eje L1500")</f>
        <v>Chasis Acoplado 1 Eje L1500</v>
      </c>
      <c r="BC92" s="3" t="str">
        <f>IFERROR(__xludf.DUMMYFUNCTION("""COMPUTED_VALUE"""),"Chasis Acoplado 1 Eje L1800")</f>
        <v>Chasis Acoplado 1 Eje L1800</v>
      </c>
      <c r="BD92" s="3" t="str">
        <f>IFERROR(__xludf.DUMMYFUNCTION("""COMPUTED_VALUE"""),"Chasis Acoplado 1 Eje L1400")</f>
        <v>Chasis Acoplado 1 Eje L1400</v>
      </c>
      <c r="BE92" s="3" t="str">
        <f>IFERROR(__xludf.DUMMYFUNCTION("""COMPUTED_VALUE"""),"Chasis Acoplado Balancin L3000")</f>
        <v>Chasis Acoplado Balancin L3000</v>
      </c>
      <c r="BF92" s="3" t="str">
        <f>IFERROR(__xludf.DUMMYFUNCTION("""COMPUTED_VALUE"""),"Chasis Acoplado Balancin L3000 Lanza Corta")</f>
        <v>Chasis Acoplado Balancin L3000 Lanza Corta</v>
      </c>
      <c r="BG92" s="3" t="str">
        <f>IFERROR(__xludf.DUMMYFUNCTION("""COMPUTED_VALUE"""),"Chasis Acoplado Balancin L2000 Lanza Corta")</f>
        <v>Chasis Acoplado Balancin L2000 Lanza Corta</v>
      </c>
      <c r="BH92" s="3" t="str">
        <f>IFERROR(__xludf.DUMMYFUNCTION("""COMPUTED_VALUE"""),"Chasis Acoplado Balancin L3200 Lanza Corta")</f>
        <v>Chasis Acoplado Balancin L3200 Lanza Corta</v>
      </c>
      <c r="BI92" s="3" t="str">
        <f>IFERROR(__xludf.DUMMYFUNCTION("""COMPUTED_VALUE"""),"Chasis Acoplado Balancin L3200 Lanza Recta")</f>
        <v>Chasis Acoplado Balancin L3200 Lanza Recta</v>
      </c>
      <c r="BJ92" s="3" t="str">
        <f>IFERROR(__xludf.DUMMYFUNCTION("""COMPUTED_VALUE"""),"Chasis Acoplado Balancin L3200 Bajo Lanza Recta")</f>
        <v>Chasis Acoplado Balancin L3200 Bajo Lanza Recta</v>
      </c>
      <c r="BK92" s="3" t="str">
        <f>IFERROR(__xludf.DUMMYFUNCTION("""COMPUTED_VALUE"""),"Tanque Plastico Horizontal 750 Lts")</f>
        <v>Tanque Plastico Horizontal 750 Lts</v>
      </c>
      <c r="BL92" s="3" t="str">
        <f>IFERROR(__xludf.DUMMYFUNCTION("""COMPUTED_VALUE"""),"Medio Tanque Plastico Superior 700 Lts")</f>
        <v>Medio Tanque Plastico Superior 700 Lts</v>
      </c>
      <c r="BM92" s="3" t="str">
        <f>IFERROR(__xludf.DUMMYFUNCTION("""COMPUTED_VALUE"""),"Paquete de Elasticos 50 mm x 8 mm x 10 Hojas L850")</f>
        <v>Paquete de Elasticos 50 mm x 8 mm x 10 Hojas L850</v>
      </c>
      <c r="BN92" s="3" t="str">
        <f>IFERROR(__xludf.DUMMYFUNCTION("""COMPUTED_VALUE"""),"Paquete de Elasticos 63 mm x 8 mm x 10 Hojas L950")</f>
        <v>Paquete de Elasticos 63 mm x 8 mm x 10 Hojas L950</v>
      </c>
      <c r="BO92" s="3" t="str">
        <f>IFERROR(__xludf.DUMMYFUNCTION("""COMPUTED_VALUE"""),"Paquete de Elasticos 50 mm x 7 mm x 9 Hojas L850")</f>
        <v>Paquete de Elasticos 50 mm x 7 mm x 9 Hojas L850</v>
      </c>
      <c r="BP92" s="3" t="str">
        <f>IFERROR(__xludf.DUMMYFUNCTION("""COMPUTED_VALUE"""),"Paquete de Elasticos 63 mm x 8 mm x 8 Hojas L850")</f>
        <v>Paquete de Elasticos 63 mm x 8 mm x 8 Hojas L850</v>
      </c>
      <c r="BQ92" s="3" t="str">
        <f>IFERROR(__xludf.DUMMYFUNCTION("""COMPUTED_VALUE"""),"Paquete de Elasticos 63 mm x 10 mm x 10 Hojas L950")</f>
        <v>Paquete de Elasticos 63 mm x 10 mm x 10 Hojas L950</v>
      </c>
      <c r="BR92" s="3" t="str">
        <f>IFERROR(__xludf.DUMMYFUNCTION("""COMPUTED_VALUE"""),"Paquete de Elasticos 63 mm x 10 mm x 13 Hojas L975")</f>
        <v>Paquete de Elasticos 63 mm x 10 mm x 13 Hojas L975</v>
      </c>
      <c r="BS92" s="3" t="str">
        <f>IFERROR(__xludf.DUMMYFUNCTION("""COMPUTED_VALUE"""),"Paquete de Elasticos 50 mm x 7 mm x 9 Hojas L650")</f>
        <v>Paquete de Elasticos 50 mm x 7 mm x 9 Hojas L650</v>
      </c>
      <c r="BT92" s="3" t="str">
        <f>IFERROR(__xludf.DUMMYFUNCTION("""COMPUTED_VALUE"""),"Eje Acoplado 2"" x 1600 (06/08) Agrícola Centro 92")</f>
        <v>Eje Acoplado 2" x 1600 (06/08) Agrícola Centro 92</v>
      </c>
      <c r="BU92" s="3" t="str">
        <f>IFERROR(__xludf.DUMMYFUNCTION("""COMPUTED_VALUE"""),"Eje Acoplado 2 1/2"" x 1600 (07/09) Agrícola Centro 92")</f>
        <v>Eje Acoplado 2 1/2" x 1600 (07/09) Agrícola Centro 92</v>
      </c>
      <c r="BV92" s="3" t="str">
        <f>IFERROR(__xludf.DUMMYFUNCTION("""COMPUTED_VALUE"""),"Eje Acoplado 2 1/2"" x 1600 (09/11) Agrícola Centro 150")</f>
        <v>Eje Acoplado 2 1/2" x 1600 (09/11) Agrícola Centro 150</v>
      </c>
      <c r="BW92" s="3" t="str">
        <f>IFERROR(__xludf.DUMMYFUNCTION("""COMPUTED_VALUE"""),"Eje Acoplado 3"" x 1600 (10/13) Agrícola Centro 150")</f>
        <v>Eje Acoplado 3" x 1600 (10/13) Agrícola Centro 150</v>
      </c>
      <c r="BX92" s="3" t="str">
        <f>IFERROR(__xludf.DUMMYFUNCTION("""COMPUTED_VALUE"""),"Eje Acoplado 2 1/2"" x 2140 (07/09) Agrícola Centro 92")</f>
        <v>Eje Acoplado 2 1/2" x 2140 (07/09) Agrícola Centro 92</v>
      </c>
      <c r="BY92" s="3" t="str">
        <f>IFERROR(__xludf.DUMMYFUNCTION("""COMPUTED_VALUE"""),"Eje Acoplado 2"" x 1400 (06/08) Agrícola Centro 92")</f>
        <v>Eje Acoplado 2" x 1400 (06/08) Agrícola Centro 92</v>
      </c>
      <c r="BZ92" s="3" t="str">
        <f>IFERROR(__xludf.DUMMYFUNCTION("""COMPUTED_VALUE"""),"Eje Acoplado 2 1/2"" x 1500 (07/09) Agrícola Centro 92")</f>
        <v>Eje Acoplado 2 1/2" x 1500 (07/09) Agrícola Centro 92</v>
      </c>
      <c r="CA92" s="3" t="str">
        <f>IFERROR(__xludf.DUMMYFUNCTION("""COMPUTED_VALUE"""),"Eje Acoplado 2 1/2"" x 2000 (07/09) Agrícola Centro 92")</f>
        <v>Eje Acoplado 2 1/2" x 2000 (07/09) Agrícola Centro 92</v>
      </c>
      <c r="CB92" s="3" t="str">
        <f>IFERROR(__xludf.DUMMYFUNCTION("""COMPUTED_VALUE"""),"Eje Acoplado 2 1/2"" x 2100 (09/11) Agrícola Centro 150")</f>
        <v>Eje Acoplado 2 1/2" x 2100 (09/11) Agrícola Centro 150</v>
      </c>
      <c r="CC92" s="3" t="str">
        <f>IFERROR(__xludf.DUMMYFUNCTION("""COMPUTED_VALUE"""),"Llanta 16"" Simple Agrícola Centro 92")</f>
        <v>Llanta 16" Simple Agrícola Centro 92</v>
      </c>
      <c r="CD92" s="3" t="str">
        <f>IFERROR(__xludf.DUMMYFUNCTION("""COMPUTED_VALUE"""),"Llanta 16"" Dual Agrícola Centro 92")</f>
        <v>Llanta 16" Dual Agrícola Centro 92</v>
      </c>
      <c r="CE92" s="3" t="str">
        <f>IFERROR(__xludf.DUMMYFUNCTION("""COMPUTED_VALUE"""),"Llanta 17"" Simple Agrícola Centro 92")</f>
        <v>Llanta 17" Simple Agrícola Centro 92</v>
      </c>
      <c r="CF92" s="3" t="str">
        <f>IFERROR(__xludf.DUMMYFUNCTION("""COMPUTED_VALUE"""),"Llanta 17"" Dual Agrícola Centro 92")</f>
        <v>Llanta 17" Dual Agrícola Centro 92</v>
      </c>
      <c r="CG92" s="3" t="str">
        <f>IFERROR(__xludf.DUMMYFUNCTION("""COMPUTED_VALUE"""),"Llanta 16"" Dual Agrícola Centro 152")</f>
        <v>Llanta 16" Dual Agrícola Centro 152</v>
      </c>
      <c r="CH92" s="3" t="str">
        <f>IFERROR(__xludf.DUMMYFUNCTION("""COMPUTED_VALUE"""),"Llanta 17"" Dual Agrícola Centro 152")</f>
        <v>Llanta 17" Dual Agrícola Centro 152</v>
      </c>
      <c r="CI92" s="3" t="str">
        <f>IFERROR(__xludf.DUMMYFUNCTION("""COMPUTED_VALUE"""),"Eje Acoplado 2"" x 1600 (05/07) Agrícola Centro 92")</f>
        <v>Eje Acoplado 2" x 1600 (05/07) Agrícola Centro 92</v>
      </c>
      <c r="CJ92" s="3" t="str">
        <f>IFERROR(__xludf.DUMMYFUNCTION("""COMPUTED_VALUE"""),"Paquete de Elásticos 50 mm x 8 mm x 12 Hojas")</f>
        <v>Paquete de Elásticos 50 mm x 8 mm x 12 Hojas</v>
      </c>
      <c r="CK92" s="3" t="str">
        <f>IFERROR(__xludf.DUMMYFUNCTION("""COMPUTED_VALUE"""),"Plataforma Playo 4.00 x 1.90 x 0.45 Lateral Simple Baranda Fija")</f>
        <v>Plataforma Playo 4.00 x 1.90 x 0.45 Lateral Simple Baranda Fija</v>
      </c>
      <c r="CL92" s="3" t="str">
        <f>IFERROR(__xludf.DUMMYFUNCTION("""COMPUTED_VALUE"""),"Plataforma Playo 4.00 x 1.90 x 0.45 Lateral Simple Baranda Ventilada")</f>
        <v>Plataforma Playo 4.00 x 1.90 x 0.45 Lateral Simple Baranda Ventilada</v>
      </c>
      <c r="CM92" s="3" t="str">
        <f>IFERROR(__xludf.DUMMYFUNCTION("""COMPUTED_VALUE"""),"Plataforma Playo 4.00 x 1.90 x 0.45 Lateral Doble Baranda Ventilada")</f>
        <v>Plataforma Playo 4.00 x 1.90 x 0.45 Lateral Doble Baranda Ventilada</v>
      </c>
      <c r="CN92" s="3" t="str">
        <f>IFERROR(__xludf.DUMMYFUNCTION("""COMPUTED_VALUE"""),"Plataforma Playo 4.00 x 1.90 x 0.45 Lateral Doble Baranda Fija")</f>
        <v>Plataforma Playo 4.00 x 1.90 x 0.45 Lateral Doble Baranda Fija</v>
      </c>
      <c r="CO92" s="3" t="str">
        <f>IFERROR(__xludf.DUMMYFUNCTION("""COMPUTED_VALUE"""),"Plataforma Playo 4.00 x 1.90 x 0.72 Lateral Simple Baranda Fija")</f>
        <v>Plataforma Playo 4.00 x 1.90 x 0.72 Lateral Simple Baranda Fija</v>
      </c>
      <c r="CP92" s="3" t="str">
        <f>IFERROR(__xludf.DUMMYFUNCTION("""COMPUTED_VALUE"""),"Plataforma Playo 4.00 x 1.90 x 0.72 Lateral Doble Baranda Fija")</f>
        <v>Plataforma Playo 4.00 x 1.90 x 0.72 Lateral Doble Baranda Fija</v>
      </c>
      <c r="CQ92" s="3" t="str">
        <f>IFERROR(__xludf.DUMMYFUNCTION("""COMPUTED_VALUE"""),"Plataforma Playo 5.00 x 2.20 x 0.60 Lateral Doble Trasera Rebatible")</f>
        <v>Plataforma Playo 5.00 x 2.20 x 0.60 Lateral Doble Trasera Rebatible</v>
      </c>
      <c r="CR92" s="3" t="str">
        <f>IFERROR(__xludf.DUMMYFUNCTION("""COMPUTED_VALUE"""),"Plataforma Playo 5.00 x 2.20 x 0.60 Lateral Doble Baranda Fija C/Toldo")</f>
        <v>Plataforma Playo 5.00 x 2.20 x 0.60 Lateral Doble Baranda Fija C/Toldo</v>
      </c>
      <c r="CS92" s="3" t="str">
        <f>IFERROR(__xludf.DUMMYFUNCTION("""COMPUTED_VALUE"""),"Plataforma Playo 3.00 x 1.90 x 0.45 Lateral Simple Baranda Fija")</f>
        <v>Plataforma Playo 3.00 x 1.90 x 0.45 Lateral Simple Baranda Fija</v>
      </c>
      <c r="CT92" s="3" t="str">
        <f>IFERROR(__xludf.DUMMYFUNCTION("""COMPUTED_VALUE"""),"Plataforma Playo 3.00 x 1.90 x 0.45 Lateral Simple Baranda Ventilada")</f>
        <v>Plataforma Playo 3.00 x 1.90 x 0.45 Lateral Simple Baranda Ventilada</v>
      </c>
      <c r="CU92" s="3" t="str">
        <f>IFERROR(__xludf.DUMMYFUNCTION("""COMPUTED_VALUE"""),"Plataforma Playo 2.00 x 1.90 x 0.45 Lateral Simple Baranda Fija")</f>
        <v>Plataforma Playo 2.00 x 1.90 x 0.45 Lateral Simple Baranda Fija</v>
      </c>
      <c r="CV92" s="3" t="str">
        <f>IFERROR(__xludf.DUMMYFUNCTION("""COMPUTED_VALUE"""),"Plataforma Playo 5.00 x 1.90 x 0.60 Lateral Doble Baranda Fija")</f>
        <v>Plataforma Playo 5.00 x 1.90 x 0.60 Lateral Doble Baranda Fija</v>
      </c>
      <c r="CW92" s="3" t="str">
        <f>IFERROR(__xludf.DUMMYFUNCTION("""COMPUTED_VALUE"""),"Plataforma Playo 6.40 x 2.70 x 0.72 Lateral Doble Baranda Fija")</f>
        <v>Plataforma Playo 6.40 x 2.70 x 0.72 Lateral Doble Baranda Fija</v>
      </c>
      <c r="CX92" s="3" t="str">
        <f>IFERROR(__xludf.DUMMYFUNCTION("""COMPUTED_VALUE"""),"Chasis Acoplado Balancin L4000 Lanza Recta")</f>
        <v>Chasis Acoplado Balancin L4000 Lanza Recta</v>
      </c>
      <c r="CY92" s="3" t="str">
        <f>IFERROR(__xludf.DUMMYFUNCTION("""COMPUTED_VALUE"""),"Llanta simple Agrícola 750x20 centro 152")</f>
        <v>Llanta simple Agrícola 750x20 centro 152</v>
      </c>
      <c r="CZ92" s="3" t="str">
        <f>IFERROR(__xludf.DUMMYFUNCTION("""COMPUTED_VALUE"""),"Cajón de Herramientas Mediano adelante")</f>
        <v>Cajón de Herramientas Mediano adelante</v>
      </c>
      <c r="DA92" s="3" t="str">
        <f>IFERROR(__xludf.DUMMYFUNCTION("""COMPUTED_VALUE"""),"Llanta 15"" Simple Agrícola Centro 92")</f>
        <v>Llanta 15" Simple Agrícola Centro 92</v>
      </c>
    </row>
    <row r="93" hidden="1">
      <c r="A93" s="38">
        <f t="shared" si="1"/>
        <v>92</v>
      </c>
      <c r="B93" s="38">
        <f>IF(F93="","",SUMIF(Prearmados!E:E,F93,Prearmados!A:A))</f>
        <v>19</v>
      </c>
      <c r="C93" s="38">
        <f>IF(F93="","",SUMIF(Productos!E:E,G93,Productos!A:A))</f>
        <v>56</v>
      </c>
      <c r="D93" s="83" t="str">
        <f t="array" ref="D93">IF(OR(F93="",F93="Seleccionar.."),"",XLOOKUP(F93,Prearmados!E:E,Prearmados!F:F,"",0,1))</f>
        <v>Acoplados Rurales</v>
      </c>
      <c r="E93" s="83">
        <f>IF(H93="","",SUMIF(Precio_Productos!K:K,C93,Precio_Productos!J:J)*H93)</f>
        <v>2953506</v>
      </c>
      <c r="F93" s="84" t="s">
        <v>342</v>
      </c>
      <c r="G93" s="84" t="s">
        <v>29</v>
      </c>
      <c r="H93" s="13">
        <v>1.0</v>
      </c>
      <c r="P93" s="3" t="str">
        <f>IFERROR(__xludf.DUMMYFUNCTION("IF(OR(F93="""",F93=""Seleccionar..""),"""",TRANSPOSE(FILTER(Productos!E:E,(Productos!F:F=D93)+(Productos!F:F=XLOOKUP(D93,Implementos!B:B,Implementos!C:C,""-"",0,1)))))"),"Tanque Combustible 1100 lts Bajo")</f>
        <v>Tanque Combustible 1100 lts Bajo</v>
      </c>
      <c r="Q93" s="3" t="str">
        <f>IFERROR(__xludf.DUMMYFUNCTION("""COMPUTED_VALUE"""),"Tanque Combustible 1500 lts Standard")</f>
        <v>Tanque Combustible 1500 lts Standard</v>
      </c>
      <c r="R93" s="3" t="str">
        <f>IFERROR(__xludf.DUMMYFUNCTION("""COMPUTED_VALUE"""),"Tanque Combustible 1800 lts Standard")</f>
        <v>Tanque Combustible 1800 lts Standard</v>
      </c>
      <c r="S93" s="3" t="str">
        <f>IFERROR(__xludf.DUMMYFUNCTION("""COMPUTED_VALUE"""),"Tanque Combustible 2000 lts Bajo")</f>
        <v>Tanque Combustible 2000 lts Bajo</v>
      </c>
      <c r="T93" s="3" t="str">
        <f>IFERROR(__xludf.DUMMYFUNCTION("""COMPUTED_VALUE"""),"Tanque Combustible 2000 lts Standard")</f>
        <v>Tanque Combustible 2000 lts Standard</v>
      </c>
      <c r="U93" s="3" t="str">
        <f>IFERROR(__xludf.DUMMYFUNCTION("""COMPUTED_VALUE"""),"Tanque Combustible 3000 lts Standard")</f>
        <v>Tanque Combustible 3000 lts Standard</v>
      </c>
      <c r="V93" s="3" t="str">
        <f>IFERROR(__xludf.DUMMYFUNCTION("""COMPUTED_VALUE"""),"Tanque Combustible 3000 lts Alto")</f>
        <v>Tanque Combustible 3000 lts Alto</v>
      </c>
      <c r="W93" s="3" t="str">
        <f>IFERROR(__xludf.DUMMYFUNCTION("""COMPUTED_VALUE"""),"Tanque Combustible 4000 lts Standard")</f>
        <v>Tanque Combustible 4000 lts Standard</v>
      </c>
      <c r="X93" s="3" t="str">
        <f>IFERROR(__xludf.DUMMYFUNCTION("""COMPUTED_VALUE"""),"Tanque Combustible 5000 lts Standard")</f>
        <v>Tanque Combustible 5000 lts Standard</v>
      </c>
      <c r="Y93" s="3" t="str">
        <f>IFERROR(__xludf.DUMMYFUNCTION("""COMPUTED_VALUE"""),"Tanque Combustible 5000 lts Alto")</f>
        <v>Tanque Combustible 5000 lts Alto</v>
      </c>
      <c r="Z93" s="3" t="str">
        <f>IFERROR(__xludf.DUMMYFUNCTION("""COMPUTED_VALUE"""),"Tanque Combustible 2000 lts Alto")</f>
        <v>Tanque Combustible 2000 lts Alto</v>
      </c>
      <c r="AA93" s="3" t="str">
        <f>IFERROR(__xludf.DUMMYFUNCTION("""COMPUTED_VALUE"""),"Tanque Combustible 4000 lts Alto")</f>
        <v>Tanque Combustible 4000 lts Alto</v>
      </c>
      <c r="AB93" s="3" t="str">
        <f>IFERROR(__xludf.DUMMYFUNCTION("""COMPUTED_VALUE"""),"Baulera Standard - 750")</f>
        <v>Baulera Standard - 750</v>
      </c>
      <c r="AC93" s="3" t="str">
        <f>IFERROR(__xludf.DUMMYFUNCTION("""COMPUTED_VALUE"""),"Baulera Standard - 1700 - C/Laterales")</f>
        <v>Baulera Standard - 1700 - C/Laterales</v>
      </c>
      <c r="AD93" s="3" t="str">
        <f>IFERROR(__xludf.DUMMYFUNCTION("""COMPUTED_VALUE"""),"Baulera Standard - 1000 - C/Laterales")</f>
        <v>Baulera Standard - 1000 - C/Laterales</v>
      </c>
      <c r="AE93" s="3" t="str">
        <f>IFERROR(__xludf.DUMMYFUNCTION("""COMPUTED_VALUE"""),"Baulera Standard - 750 - C/Laterales")</f>
        <v>Baulera Standard - 750 - C/Laterales</v>
      </c>
      <c r="AF93" s="3" t="str">
        <f>IFERROR(__xludf.DUMMYFUNCTION("""COMPUTED_VALUE"""),"Baulera Standard - 1300 - C/Laterales")</f>
        <v>Baulera Standard - 1300 - C/Laterales</v>
      </c>
      <c r="AG93" s="3" t="str">
        <f>IFERROR(__xludf.DUMMYFUNCTION("""COMPUTED_VALUE"""),"Baulera Alta - 750")</f>
        <v>Baulera Alta - 750</v>
      </c>
      <c r="AH93" s="3" t="str">
        <f>IFERROR(__xludf.DUMMYFUNCTION("""COMPUTED_VALUE"""),"Baulera Alta - 1500 - C/Laterales")</f>
        <v>Baulera Alta - 1500 - C/Laterales</v>
      </c>
      <c r="AI93" s="3" t="str">
        <f>IFERROR(__xludf.DUMMYFUNCTION("""COMPUTED_VALUE"""),"Baulera Extendida 1700 - C/Laterales")</f>
        <v>Baulera Extendida 1700 - C/Laterales</v>
      </c>
      <c r="AJ93" s="3" t="str">
        <f>IFERROR(__xludf.DUMMYFUNCTION("""COMPUTED_VALUE"""),"Taller Móvil - 1500 x 1500 x 1700")</f>
        <v>Taller Móvil - 1500 x 1500 x 1700</v>
      </c>
      <c r="AK93" s="3" t="str">
        <f>IFERROR(__xludf.DUMMYFUNCTION("""COMPUTED_VALUE"""),"Cajón Herramientas Standard Derecho")</f>
        <v>Cajón Herramientas Standard Derecho</v>
      </c>
      <c r="AL93" s="3" t="str">
        <f>IFERROR(__xludf.DUMMYFUNCTION("""COMPUTED_VALUE"""),"Cajón Herramientas Standard Izquierdo")</f>
        <v>Cajón Herramientas Standard Izquierdo</v>
      </c>
      <c r="AM93" s="3" t="str">
        <f>IFERROR(__xludf.DUMMYFUNCTION("""COMPUTED_VALUE"""),"Cajón Herramientas Corto Derecho")</f>
        <v>Cajón Herramientas Corto Derecho</v>
      </c>
      <c r="AN93" s="3" t="str">
        <f>IFERROR(__xludf.DUMMYFUNCTION("""COMPUTED_VALUE"""),"Cajón Herramientas Corto Izquierdo")</f>
        <v>Cajón Herramientas Corto Izquierdo</v>
      </c>
      <c r="AO93" s="3" t="str">
        <f>IFERROR(__xludf.DUMMYFUNCTION("""COMPUTED_VALUE"""),"Cajón Herramientas Mediano Derecho")</f>
        <v>Cajón Herramientas Mediano Derecho</v>
      </c>
      <c r="AP93" s="3" t="str">
        <f>IFERROR(__xludf.DUMMYFUNCTION("""COMPUTED_VALUE"""),"Cajón Herramientas Mediano Izquierdo")</f>
        <v>Cajón Herramientas Mediano Izquierdo</v>
      </c>
      <c r="AQ93" s="3" t="str">
        <f>IFERROR(__xludf.DUMMYFUNCTION("""COMPUTED_VALUE"""),"Chasis Acoplado 2 Ejes L3000")</f>
        <v>Chasis Acoplado 2 Ejes L3000</v>
      </c>
      <c r="AR93" s="3" t="str">
        <f>IFERROR(__xludf.DUMMYFUNCTION("""COMPUTED_VALUE"""),"Chasis Acoplado 2 Ejes L3750")</f>
        <v>Chasis Acoplado 2 Ejes L3750</v>
      </c>
      <c r="AS93" s="3" t="str">
        <f>IFERROR(__xludf.DUMMYFUNCTION("""COMPUTED_VALUE"""),"Chasis Acoplado 2 Ejes L4000")</f>
        <v>Chasis Acoplado 2 Ejes L4000</v>
      </c>
      <c r="AT93" s="3" t="str">
        <f>IFERROR(__xludf.DUMMYFUNCTION("""COMPUTED_VALUE"""),"Chasis Acoplado 2 Ejes L4000 Reforzado")</f>
        <v>Chasis Acoplado 2 Ejes L4000 Reforzado</v>
      </c>
      <c r="AU93" s="3" t="str">
        <f>IFERROR(__xludf.DUMMYFUNCTION("""COMPUTED_VALUE"""),"Chasis Acoplado 2 Ejes L4750")</f>
        <v>Chasis Acoplado 2 Ejes L4750</v>
      </c>
      <c r="AV93" s="3" t="str">
        <f>IFERROR(__xludf.DUMMYFUNCTION("""COMPUTED_VALUE"""),"Chasis Acoplado 2 Ejes L4750 Reforzado")</f>
        <v>Chasis Acoplado 2 Ejes L4750 Reforzado</v>
      </c>
      <c r="AW93" s="3" t="str">
        <f>IFERROR(__xludf.DUMMYFUNCTION("""COMPUTED_VALUE"""),"Chasis Acoplado 2 Ejes L4750 Reforzado R. Camion")</f>
        <v>Chasis Acoplado 2 Ejes L4750 Reforzado R. Camion</v>
      </c>
      <c r="AX93" s="3" t="str">
        <f>IFERROR(__xludf.DUMMYFUNCTION("""COMPUTED_VALUE"""),"Chasis Acoplado 2 Ejes L5000")</f>
        <v>Chasis Acoplado 2 Ejes L5000</v>
      </c>
      <c r="AY93" s="3" t="str">
        <f>IFERROR(__xludf.DUMMYFUNCTION("""COMPUTED_VALUE"""),"Chasis Acoplado 2 Ejes L5750")</f>
        <v>Chasis Acoplado 2 Ejes L5750</v>
      </c>
      <c r="AZ93" s="3" t="str">
        <f>IFERROR(__xludf.DUMMYFUNCTION("""COMPUTED_VALUE"""),"Chasis Acoplado 2 Ejes L6400")</f>
        <v>Chasis Acoplado 2 Ejes L6400</v>
      </c>
      <c r="BA93" s="3" t="str">
        <f>IFERROR(__xludf.DUMMYFUNCTION("""COMPUTED_VALUE"""),"Chasis Acoplado 2 Ejes L4500")</f>
        <v>Chasis Acoplado 2 Ejes L4500</v>
      </c>
      <c r="BB93" s="3" t="str">
        <f>IFERROR(__xludf.DUMMYFUNCTION("""COMPUTED_VALUE"""),"Chasis Acoplado 1 Eje L1500")</f>
        <v>Chasis Acoplado 1 Eje L1500</v>
      </c>
      <c r="BC93" s="3" t="str">
        <f>IFERROR(__xludf.DUMMYFUNCTION("""COMPUTED_VALUE"""),"Chasis Acoplado 1 Eje L1800")</f>
        <v>Chasis Acoplado 1 Eje L1800</v>
      </c>
      <c r="BD93" s="3" t="str">
        <f>IFERROR(__xludf.DUMMYFUNCTION("""COMPUTED_VALUE"""),"Chasis Acoplado 1 Eje L1400")</f>
        <v>Chasis Acoplado 1 Eje L1400</v>
      </c>
      <c r="BE93" s="3" t="str">
        <f>IFERROR(__xludf.DUMMYFUNCTION("""COMPUTED_VALUE"""),"Chasis Acoplado Balancin L3000")</f>
        <v>Chasis Acoplado Balancin L3000</v>
      </c>
      <c r="BF93" s="3" t="str">
        <f>IFERROR(__xludf.DUMMYFUNCTION("""COMPUTED_VALUE"""),"Chasis Acoplado Balancin L3000 Lanza Corta")</f>
        <v>Chasis Acoplado Balancin L3000 Lanza Corta</v>
      </c>
      <c r="BG93" s="3" t="str">
        <f>IFERROR(__xludf.DUMMYFUNCTION("""COMPUTED_VALUE"""),"Chasis Acoplado Balancin L2000 Lanza Corta")</f>
        <v>Chasis Acoplado Balancin L2000 Lanza Corta</v>
      </c>
      <c r="BH93" s="3" t="str">
        <f>IFERROR(__xludf.DUMMYFUNCTION("""COMPUTED_VALUE"""),"Chasis Acoplado Balancin L3200 Lanza Corta")</f>
        <v>Chasis Acoplado Balancin L3200 Lanza Corta</v>
      </c>
      <c r="BI93" s="3" t="str">
        <f>IFERROR(__xludf.DUMMYFUNCTION("""COMPUTED_VALUE"""),"Chasis Acoplado Balancin L3200 Lanza Recta")</f>
        <v>Chasis Acoplado Balancin L3200 Lanza Recta</v>
      </c>
      <c r="BJ93" s="3" t="str">
        <f>IFERROR(__xludf.DUMMYFUNCTION("""COMPUTED_VALUE"""),"Chasis Acoplado Balancin L3200 Bajo Lanza Recta")</f>
        <v>Chasis Acoplado Balancin L3200 Bajo Lanza Recta</v>
      </c>
      <c r="BK93" s="3" t="str">
        <f>IFERROR(__xludf.DUMMYFUNCTION("""COMPUTED_VALUE"""),"Tanque Plastico Horizontal 750 Lts")</f>
        <v>Tanque Plastico Horizontal 750 Lts</v>
      </c>
      <c r="BL93" s="3" t="str">
        <f>IFERROR(__xludf.DUMMYFUNCTION("""COMPUTED_VALUE"""),"Medio Tanque Plastico Superior 700 Lts")</f>
        <v>Medio Tanque Plastico Superior 700 Lts</v>
      </c>
      <c r="BM93" s="3" t="str">
        <f>IFERROR(__xludf.DUMMYFUNCTION("""COMPUTED_VALUE"""),"Paquete de Elasticos 50 mm x 8 mm x 10 Hojas L850")</f>
        <v>Paquete de Elasticos 50 mm x 8 mm x 10 Hojas L850</v>
      </c>
      <c r="BN93" s="3" t="str">
        <f>IFERROR(__xludf.DUMMYFUNCTION("""COMPUTED_VALUE"""),"Paquete de Elasticos 63 mm x 8 mm x 10 Hojas L950")</f>
        <v>Paquete de Elasticos 63 mm x 8 mm x 10 Hojas L950</v>
      </c>
      <c r="BO93" s="3" t="str">
        <f>IFERROR(__xludf.DUMMYFUNCTION("""COMPUTED_VALUE"""),"Paquete de Elasticos 50 mm x 7 mm x 9 Hojas L850")</f>
        <v>Paquete de Elasticos 50 mm x 7 mm x 9 Hojas L850</v>
      </c>
      <c r="BP93" s="3" t="str">
        <f>IFERROR(__xludf.DUMMYFUNCTION("""COMPUTED_VALUE"""),"Paquete de Elasticos 63 mm x 8 mm x 8 Hojas L850")</f>
        <v>Paquete de Elasticos 63 mm x 8 mm x 8 Hojas L850</v>
      </c>
      <c r="BQ93" s="3" t="str">
        <f>IFERROR(__xludf.DUMMYFUNCTION("""COMPUTED_VALUE"""),"Paquete de Elasticos 63 mm x 10 mm x 10 Hojas L950")</f>
        <v>Paquete de Elasticos 63 mm x 10 mm x 10 Hojas L950</v>
      </c>
      <c r="BR93" s="3" t="str">
        <f>IFERROR(__xludf.DUMMYFUNCTION("""COMPUTED_VALUE"""),"Paquete de Elasticos 63 mm x 10 mm x 13 Hojas L975")</f>
        <v>Paquete de Elasticos 63 mm x 10 mm x 13 Hojas L975</v>
      </c>
      <c r="BS93" s="3" t="str">
        <f>IFERROR(__xludf.DUMMYFUNCTION("""COMPUTED_VALUE"""),"Paquete de Elasticos 50 mm x 7 mm x 9 Hojas L650")</f>
        <v>Paquete de Elasticos 50 mm x 7 mm x 9 Hojas L650</v>
      </c>
      <c r="BT93" s="3" t="str">
        <f>IFERROR(__xludf.DUMMYFUNCTION("""COMPUTED_VALUE"""),"Eje Acoplado 2"" x 1600 (06/08) Agrícola Centro 92")</f>
        <v>Eje Acoplado 2" x 1600 (06/08) Agrícola Centro 92</v>
      </c>
      <c r="BU93" s="3" t="str">
        <f>IFERROR(__xludf.DUMMYFUNCTION("""COMPUTED_VALUE"""),"Eje Acoplado 2 1/2"" x 1600 (07/09) Agrícola Centro 92")</f>
        <v>Eje Acoplado 2 1/2" x 1600 (07/09) Agrícola Centro 92</v>
      </c>
      <c r="BV93" s="3" t="str">
        <f>IFERROR(__xludf.DUMMYFUNCTION("""COMPUTED_VALUE"""),"Eje Acoplado 2 1/2"" x 1600 (09/11) Agrícola Centro 150")</f>
        <v>Eje Acoplado 2 1/2" x 1600 (09/11) Agrícola Centro 150</v>
      </c>
      <c r="BW93" s="3" t="str">
        <f>IFERROR(__xludf.DUMMYFUNCTION("""COMPUTED_VALUE"""),"Eje Acoplado 3"" x 1600 (10/13) Agrícola Centro 150")</f>
        <v>Eje Acoplado 3" x 1600 (10/13) Agrícola Centro 150</v>
      </c>
      <c r="BX93" s="3" t="str">
        <f>IFERROR(__xludf.DUMMYFUNCTION("""COMPUTED_VALUE"""),"Eje Acoplado 2 1/2"" x 2140 (07/09) Agrícola Centro 92")</f>
        <v>Eje Acoplado 2 1/2" x 2140 (07/09) Agrícola Centro 92</v>
      </c>
      <c r="BY93" s="3" t="str">
        <f>IFERROR(__xludf.DUMMYFUNCTION("""COMPUTED_VALUE"""),"Eje Acoplado 2"" x 1400 (06/08) Agrícola Centro 92")</f>
        <v>Eje Acoplado 2" x 1400 (06/08) Agrícola Centro 92</v>
      </c>
      <c r="BZ93" s="3" t="str">
        <f>IFERROR(__xludf.DUMMYFUNCTION("""COMPUTED_VALUE"""),"Eje Acoplado 2 1/2"" x 1500 (07/09) Agrícola Centro 92")</f>
        <v>Eje Acoplado 2 1/2" x 1500 (07/09) Agrícola Centro 92</v>
      </c>
      <c r="CA93" s="3" t="str">
        <f>IFERROR(__xludf.DUMMYFUNCTION("""COMPUTED_VALUE"""),"Eje Acoplado 2 1/2"" x 2000 (07/09) Agrícola Centro 92")</f>
        <v>Eje Acoplado 2 1/2" x 2000 (07/09) Agrícola Centro 92</v>
      </c>
      <c r="CB93" s="3" t="str">
        <f>IFERROR(__xludf.DUMMYFUNCTION("""COMPUTED_VALUE"""),"Eje Acoplado 2 1/2"" x 2100 (09/11) Agrícola Centro 150")</f>
        <v>Eje Acoplado 2 1/2" x 2100 (09/11) Agrícola Centro 150</v>
      </c>
      <c r="CC93" s="3" t="str">
        <f>IFERROR(__xludf.DUMMYFUNCTION("""COMPUTED_VALUE"""),"Llanta 16"" Simple Agrícola Centro 92")</f>
        <v>Llanta 16" Simple Agrícola Centro 92</v>
      </c>
      <c r="CD93" s="3" t="str">
        <f>IFERROR(__xludf.DUMMYFUNCTION("""COMPUTED_VALUE"""),"Llanta 16"" Dual Agrícola Centro 92")</f>
        <v>Llanta 16" Dual Agrícola Centro 92</v>
      </c>
      <c r="CE93" s="3" t="str">
        <f>IFERROR(__xludf.DUMMYFUNCTION("""COMPUTED_VALUE"""),"Llanta 17"" Simple Agrícola Centro 92")</f>
        <v>Llanta 17" Simple Agrícola Centro 92</v>
      </c>
      <c r="CF93" s="3" t="str">
        <f>IFERROR(__xludf.DUMMYFUNCTION("""COMPUTED_VALUE"""),"Llanta 17"" Dual Agrícola Centro 92")</f>
        <v>Llanta 17" Dual Agrícola Centro 92</v>
      </c>
      <c r="CG93" s="3" t="str">
        <f>IFERROR(__xludf.DUMMYFUNCTION("""COMPUTED_VALUE"""),"Llanta 16"" Dual Agrícola Centro 152")</f>
        <v>Llanta 16" Dual Agrícola Centro 152</v>
      </c>
      <c r="CH93" s="3" t="str">
        <f>IFERROR(__xludf.DUMMYFUNCTION("""COMPUTED_VALUE"""),"Llanta 17"" Dual Agrícola Centro 152")</f>
        <v>Llanta 17" Dual Agrícola Centro 152</v>
      </c>
      <c r="CI93" s="3" t="str">
        <f>IFERROR(__xludf.DUMMYFUNCTION("""COMPUTED_VALUE"""),"Eje Acoplado 2"" x 1600 (05/07) Agrícola Centro 92")</f>
        <v>Eje Acoplado 2" x 1600 (05/07) Agrícola Centro 92</v>
      </c>
      <c r="CJ93" s="3" t="str">
        <f>IFERROR(__xludf.DUMMYFUNCTION("""COMPUTED_VALUE"""),"Paquete de Elásticos 50 mm x 8 mm x 12 Hojas")</f>
        <v>Paquete de Elásticos 50 mm x 8 mm x 12 Hojas</v>
      </c>
      <c r="CK93" s="3" t="str">
        <f>IFERROR(__xludf.DUMMYFUNCTION("""COMPUTED_VALUE"""),"Plataforma Playo 4.00 x 1.90 x 0.45 Lateral Simple Baranda Fija")</f>
        <v>Plataforma Playo 4.00 x 1.90 x 0.45 Lateral Simple Baranda Fija</v>
      </c>
      <c r="CL93" s="3" t="str">
        <f>IFERROR(__xludf.DUMMYFUNCTION("""COMPUTED_VALUE"""),"Plataforma Playo 4.00 x 1.90 x 0.45 Lateral Simple Baranda Ventilada")</f>
        <v>Plataforma Playo 4.00 x 1.90 x 0.45 Lateral Simple Baranda Ventilada</v>
      </c>
      <c r="CM93" s="3" t="str">
        <f>IFERROR(__xludf.DUMMYFUNCTION("""COMPUTED_VALUE"""),"Plataforma Playo 4.00 x 1.90 x 0.45 Lateral Doble Baranda Ventilada")</f>
        <v>Plataforma Playo 4.00 x 1.90 x 0.45 Lateral Doble Baranda Ventilada</v>
      </c>
      <c r="CN93" s="3" t="str">
        <f>IFERROR(__xludf.DUMMYFUNCTION("""COMPUTED_VALUE"""),"Plataforma Playo 4.00 x 1.90 x 0.45 Lateral Doble Baranda Fija")</f>
        <v>Plataforma Playo 4.00 x 1.90 x 0.45 Lateral Doble Baranda Fija</v>
      </c>
      <c r="CO93" s="3" t="str">
        <f>IFERROR(__xludf.DUMMYFUNCTION("""COMPUTED_VALUE"""),"Plataforma Playo 4.00 x 1.90 x 0.72 Lateral Simple Baranda Fija")</f>
        <v>Plataforma Playo 4.00 x 1.90 x 0.72 Lateral Simple Baranda Fija</v>
      </c>
      <c r="CP93" s="3" t="str">
        <f>IFERROR(__xludf.DUMMYFUNCTION("""COMPUTED_VALUE"""),"Plataforma Playo 4.00 x 1.90 x 0.72 Lateral Doble Baranda Fija")</f>
        <v>Plataforma Playo 4.00 x 1.90 x 0.72 Lateral Doble Baranda Fija</v>
      </c>
      <c r="CQ93" s="3" t="str">
        <f>IFERROR(__xludf.DUMMYFUNCTION("""COMPUTED_VALUE"""),"Plataforma Playo 5.00 x 2.20 x 0.60 Lateral Doble Trasera Rebatible")</f>
        <v>Plataforma Playo 5.00 x 2.20 x 0.60 Lateral Doble Trasera Rebatible</v>
      </c>
      <c r="CR93" s="3" t="str">
        <f>IFERROR(__xludf.DUMMYFUNCTION("""COMPUTED_VALUE"""),"Plataforma Playo 5.00 x 2.20 x 0.60 Lateral Doble Baranda Fija C/Toldo")</f>
        <v>Plataforma Playo 5.00 x 2.20 x 0.60 Lateral Doble Baranda Fija C/Toldo</v>
      </c>
      <c r="CS93" s="3" t="str">
        <f>IFERROR(__xludf.DUMMYFUNCTION("""COMPUTED_VALUE"""),"Plataforma Playo 3.00 x 1.90 x 0.45 Lateral Simple Baranda Fija")</f>
        <v>Plataforma Playo 3.00 x 1.90 x 0.45 Lateral Simple Baranda Fija</v>
      </c>
      <c r="CT93" s="3" t="str">
        <f>IFERROR(__xludf.DUMMYFUNCTION("""COMPUTED_VALUE"""),"Plataforma Playo 3.00 x 1.90 x 0.45 Lateral Simple Baranda Ventilada")</f>
        <v>Plataforma Playo 3.00 x 1.90 x 0.45 Lateral Simple Baranda Ventilada</v>
      </c>
      <c r="CU93" s="3" t="str">
        <f>IFERROR(__xludf.DUMMYFUNCTION("""COMPUTED_VALUE"""),"Plataforma Playo 2.00 x 1.90 x 0.45 Lateral Simple Baranda Fija")</f>
        <v>Plataforma Playo 2.00 x 1.90 x 0.45 Lateral Simple Baranda Fija</v>
      </c>
      <c r="CV93" s="3" t="str">
        <f>IFERROR(__xludf.DUMMYFUNCTION("""COMPUTED_VALUE"""),"Plataforma Playo 5.00 x 1.90 x 0.60 Lateral Doble Baranda Fija")</f>
        <v>Plataforma Playo 5.00 x 1.90 x 0.60 Lateral Doble Baranda Fija</v>
      </c>
      <c r="CW93" s="3" t="str">
        <f>IFERROR(__xludf.DUMMYFUNCTION("""COMPUTED_VALUE"""),"Plataforma Playo 6.40 x 2.70 x 0.72 Lateral Doble Baranda Fija")</f>
        <v>Plataforma Playo 6.40 x 2.70 x 0.72 Lateral Doble Baranda Fija</v>
      </c>
      <c r="CX93" s="3" t="str">
        <f>IFERROR(__xludf.DUMMYFUNCTION("""COMPUTED_VALUE"""),"Chasis Acoplado Balancin L4000 Lanza Recta")</f>
        <v>Chasis Acoplado Balancin L4000 Lanza Recta</v>
      </c>
      <c r="CY93" s="3" t="str">
        <f>IFERROR(__xludf.DUMMYFUNCTION("""COMPUTED_VALUE"""),"Llanta simple Agrícola 750x20 centro 152")</f>
        <v>Llanta simple Agrícola 750x20 centro 152</v>
      </c>
      <c r="CZ93" s="3" t="str">
        <f>IFERROR(__xludf.DUMMYFUNCTION("""COMPUTED_VALUE"""),"Cajón de Herramientas Mediano adelante")</f>
        <v>Cajón de Herramientas Mediano adelante</v>
      </c>
      <c r="DA93" s="3" t="str">
        <f>IFERROR(__xludf.DUMMYFUNCTION("""COMPUTED_VALUE"""),"Llanta 15"" Simple Agrícola Centro 92")</f>
        <v>Llanta 15" Simple Agrícola Centro 92</v>
      </c>
    </row>
    <row r="94" hidden="1">
      <c r="A94" s="38">
        <f t="shared" si="1"/>
        <v>93</v>
      </c>
      <c r="B94" s="38">
        <f>IF(F94="","",SUMIF(Prearmados!E:E,F94,Prearmados!A:A))</f>
        <v>19</v>
      </c>
      <c r="C94" s="38">
        <f>IF(F94="","",SUMIF(Productos!E:E,G94,Productos!A:A))</f>
        <v>65</v>
      </c>
      <c r="D94" s="83" t="str">
        <f t="array" ref="D94">IF(OR(F94="",F94="Seleccionar.."),"",XLOOKUP(F94,Prearmados!E:E,Prearmados!F:F,"",0,1))</f>
        <v>Acoplados Rurales</v>
      </c>
      <c r="E94" s="83">
        <f>IF(H94="","",SUMIF(Precio_Productos!K:K,C94,Precio_Productos!J:J)*H94)</f>
        <v>3788928</v>
      </c>
      <c r="F94" s="84" t="s">
        <v>342</v>
      </c>
      <c r="G94" s="84" t="s">
        <v>87</v>
      </c>
      <c r="H94" s="13">
        <v>1.0</v>
      </c>
      <c r="P94" s="3" t="str">
        <f>IFERROR(__xludf.DUMMYFUNCTION("IF(OR(F94="""",F94=""Seleccionar..""),"""",TRANSPOSE(FILTER(Productos!E:E,(Productos!F:F=D94)+(Productos!F:F=XLOOKUP(D94,Implementos!B:B,Implementos!C:C,""-"",0,1)))))"),"Tanque Combustible 1100 lts Bajo")</f>
        <v>Tanque Combustible 1100 lts Bajo</v>
      </c>
      <c r="Q94" s="3" t="str">
        <f>IFERROR(__xludf.DUMMYFUNCTION("""COMPUTED_VALUE"""),"Tanque Combustible 1500 lts Standard")</f>
        <v>Tanque Combustible 1500 lts Standard</v>
      </c>
      <c r="R94" s="3" t="str">
        <f>IFERROR(__xludf.DUMMYFUNCTION("""COMPUTED_VALUE"""),"Tanque Combustible 1800 lts Standard")</f>
        <v>Tanque Combustible 1800 lts Standard</v>
      </c>
      <c r="S94" s="3" t="str">
        <f>IFERROR(__xludf.DUMMYFUNCTION("""COMPUTED_VALUE"""),"Tanque Combustible 2000 lts Bajo")</f>
        <v>Tanque Combustible 2000 lts Bajo</v>
      </c>
      <c r="T94" s="3" t="str">
        <f>IFERROR(__xludf.DUMMYFUNCTION("""COMPUTED_VALUE"""),"Tanque Combustible 2000 lts Standard")</f>
        <v>Tanque Combustible 2000 lts Standard</v>
      </c>
      <c r="U94" s="3" t="str">
        <f>IFERROR(__xludf.DUMMYFUNCTION("""COMPUTED_VALUE"""),"Tanque Combustible 3000 lts Standard")</f>
        <v>Tanque Combustible 3000 lts Standard</v>
      </c>
      <c r="V94" s="3" t="str">
        <f>IFERROR(__xludf.DUMMYFUNCTION("""COMPUTED_VALUE"""),"Tanque Combustible 3000 lts Alto")</f>
        <v>Tanque Combustible 3000 lts Alto</v>
      </c>
      <c r="W94" s="3" t="str">
        <f>IFERROR(__xludf.DUMMYFUNCTION("""COMPUTED_VALUE"""),"Tanque Combustible 4000 lts Standard")</f>
        <v>Tanque Combustible 4000 lts Standard</v>
      </c>
      <c r="X94" s="3" t="str">
        <f>IFERROR(__xludf.DUMMYFUNCTION("""COMPUTED_VALUE"""),"Tanque Combustible 5000 lts Standard")</f>
        <v>Tanque Combustible 5000 lts Standard</v>
      </c>
      <c r="Y94" s="3" t="str">
        <f>IFERROR(__xludf.DUMMYFUNCTION("""COMPUTED_VALUE"""),"Tanque Combustible 5000 lts Alto")</f>
        <v>Tanque Combustible 5000 lts Alto</v>
      </c>
      <c r="Z94" s="3" t="str">
        <f>IFERROR(__xludf.DUMMYFUNCTION("""COMPUTED_VALUE"""),"Tanque Combustible 2000 lts Alto")</f>
        <v>Tanque Combustible 2000 lts Alto</v>
      </c>
      <c r="AA94" s="3" t="str">
        <f>IFERROR(__xludf.DUMMYFUNCTION("""COMPUTED_VALUE"""),"Tanque Combustible 4000 lts Alto")</f>
        <v>Tanque Combustible 4000 lts Alto</v>
      </c>
      <c r="AB94" s="3" t="str">
        <f>IFERROR(__xludf.DUMMYFUNCTION("""COMPUTED_VALUE"""),"Baulera Standard - 750")</f>
        <v>Baulera Standard - 750</v>
      </c>
      <c r="AC94" s="3" t="str">
        <f>IFERROR(__xludf.DUMMYFUNCTION("""COMPUTED_VALUE"""),"Baulera Standard - 1700 - C/Laterales")</f>
        <v>Baulera Standard - 1700 - C/Laterales</v>
      </c>
      <c r="AD94" s="3" t="str">
        <f>IFERROR(__xludf.DUMMYFUNCTION("""COMPUTED_VALUE"""),"Baulera Standard - 1000 - C/Laterales")</f>
        <v>Baulera Standard - 1000 - C/Laterales</v>
      </c>
      <c r="AE94" s="3" t="str">
        <f>IFERROR(__xludf.DUMMYFUNCTION("""COMPUTED_VALUE"""),"Baulera Standard - 750 - C/Laterales")</f>
        <v>Baulera Standard - 750 - C/Laterales</v>
      </c>
      <c r="AF94" s="3" t="str">
        <f>IFERROR(__xludf.DUMMYFUNCTION("""COMPUTED_VALUE"""),"Baulera Standard - 1300 - C/Laterales")</f>
        <v>Baulera Standard - 1300 - C/Laterales</v>
      </c>
      <c r="AG94" s="3" t="str">
        <f>IFERROR(__xludf.DUMMYFUNCTION("""COMPUTED_VALUE"""),"Baulera Alta - 750")</f>
        <v>Baulera Alta - 750</v>
      </c>
      <c r="AH94" s="3" t="str">
        <f>IFERROR(__xludf.DUMMYFUNCTION("""COMPUTED_VALUE"""),"Baulera Alta - 1500 - C/Laterales")</f>
        <v>Baulera Alta - 1500 - C/Laterales</v>
      </c>
      <c r="AI94" s="3" t="str">
        <f>IFERROR(__xludf.DUMMYFUNCTION("""COMPUTED_VALUE"""),"Baulera Extendida 1700 - C/Laterales")</f>
        <v>Baulera Extendida 1700 - C/Laterales</v>
      </c>
      <c r="AJ94" s="3" t="str">
        <f>IFERROR(__xludf.DUMMYFUNCTION("""COMPUTED_VALUE"""),"Taller Móvil - 1500 x 1500 x 1700")</f>
        <v>Taller Móvil - 1500 x 1500 x 1700</v>
      </c>
      <c r="AK94" s="3" t="str">
        <f>IFERROR(__xludf.DUMMYFUNCTION("""COMPUTED_VALUE"""),"Cajón Herramientas Standard Derecho")</f>
        <v>Cajón Herramientas Standard Derecho</v>
      </c>
      <c r="AL94" s="3" t="str">
        <f>IFERROR(__xludf.DUMMYFUNCTION("""COMPUTED_VALUE"""),"Cajón Herramientas Standard Izquierdo")</f>
        <v>Cajón Herramientas Standard Izquierdo</v>
      </c>
      <c r="AM94" s="3" t="str">
        <f>IFERROR(__xludf.DUMMYFUNCTION("""COMPUTED_VALUE"""),"Cajón Herramientas Corto Derecho")</f>
        <v>Cajón Herramientas Corto Derecho</v>
      </c>
      <c r="AN94" s="3" t="str">
        <f>IFERROR(__xludf.DUMMYFUNCTION("""COMPUTED_VALUE"""),"Cajón Herramientas Corto Izquierdo")</f>
        <v>Cajón Herramientas Corto Izquierdo</v>
      </c>
      <c r="AO94" s="3" t="str">
        <f>IFERROR(__xludf.DUMMYFUNCTION("""COMPUTED_VALUE"""),"Cajón Herramientas Mediano Derecho")</f>
        <v>Cajón Herramientas Mediano Derecho</v>
      </c>
      <c r="AP94" s="3" t="str">
        <f>IFERROR(__xludf.DUMMYFUNCTION("""COMPUTED_VALUE"""),"Cajón Herramientas Mediano Izquierdo")</f>
        <v>Cajón Herramientas Mediano Izquierdo</v>
      </c>
      <c r="AQ94" s="3" t="str">
        <f>IFERROR(__xludf.DUMMYFUNCTION("""COMPUTED_VALUE"""),"Chasis Acoplado 2 Ejes L3000")</f>
        <v>Chasis Acoplado 2 Ejes L3000</v>
      </c>
      <c r="AR94" s="3" t="str">
        <f>IFERROR(__xludf.DUMMYFUNCTION("""COMPUTED_VALUE"""),"Chasis Acoplado 2 Ejes L3750")</f>
        <v>Chasis Acoplado 2 Ejes L3750</v>
      </c>
      <c r="AS94" s="3" t="str">
        <f>IFERROR(__xludf.DUMMYFUNCTION("""COMPUTED_VALUE"""),"Chasis Acoplado 2 Ejes L4000")</f>
        <v>Chasis Acoplado 2 Ejes L4000</v>
      </c>
      <c r="AT94" s="3" t="str">
        <f>IFERROR(__xludf.DUMMYFUNCTION("""COMPUTED_VALUE"""),"Chasis Acoplado 2 Ejes L4000 Reforzado")</f>
        <v>Chasis Acoplado 2 Ejes L4000 Reforzado</v>
      </c>
      <c r="AU94" s="3" t="str">
        <f>IFERROR(__xludf.DUMMYFUNCTION("""COMPUTED_VALUE"""),"Chasis Acoplado 2 Ejes L4750")</f>
        <v>Chasis Acoplado 2 Ejes L4750</v>
      </c>
      <c r="AV94" s="3" t="str">
        <f>IFERROR(__xludf.DUMMYFUNCTION("""COMPUTED_VALUE"""),"Chasis Acoplado 2 Ejes L4750 Reforzado")</f>
        <v>Chasis Acoplado 2 Ejes L4750 Reforzado</v>
      </c>
      <c r="AW94" s="3" t="str">
        <f>IFERROR(__xludf.DUMMYFUNCTION("""COMPUTED_VALUE"""),"Chasis Acoplado 2 Ejes L4750 Reforzado R. Camion")</f>
        <v>Chasis Acoplado 2 Ejes L4750 Reforzado R. Camion</v>
      </c>
      <c r="AX94" s="3" t="str">
        <f>IFERROR(__xludf.DUMMYFUNCTION("""COMPUTED_VALUE"""),"Chasis Acoplado 2 Ejes L5000")</f>
        <v>Chasis Acoplado 2 Ejes L5000</v>
      </c>
      <c r="AY94" s="3" t="str">
        <f>IFERROR(__xludf.DUMMYFUNCTION("""COMPUTED_VALUE"""),"Chasis Acoplado 2 Ejes L5750")</f>
        <v>Chasis Acoplado 2 Ejes L5750</v>
      </c>
      <c r="AZ94" s="3" t="str">
        <f>IFERROR(__xludf.DUMMYFUNCTION("""COMPUTED_VALUE"""),"Chasis Acoplado 2 Ejes L6400")</f>
        <v>Chasis Acoplado 2 Ejes L6400</v>
      </c>
      <c r="BA94" s="3" t="str">
        <f>IFERROR(__xludf.DUMMYFUNCTION("""COMPUTED_VALUE"""),"Chasis Acoplado 2 Ejes L4500")</f>
        <v>Chasis Acoplado 2 Ejes L4500</v>
      </c>
      <c r="BB94" s="3" t="str">
        <f>IFERROR(__xludf.DUMMYFUNCTION("""COMPUTED_VALUE"""),"Chasis Acoplado 1 Eje L1500")</f>
        <v>Chasis Acoplado 1 Eje L1500</v>
      </c>
      <c r="BC94" s="3" t="str">
        <f>IFERROR(__xludf.DUMMYFUNCTION("""COMPUTED_VALUE"""),"Chasis Acoplado 1 Eje L1800")</f>
        <v>Chasis Acoplado 1 Eje L1800</v>
      </c>
      <c r="BD94" s="3" t="str">
        <f>IFERROR(__xludf.DUMMYFUNCTION("""COMPUTED_VALUE"""),"Chasis Acoplado 1 Eje L1400")</f>
        <v>Chasis Acoplado 1 Eje L1400</v>
      </c>
      <c r="BE94" s="3" t="str">
        <f>IFERROR(__xludf.DUMMYFUNCTION("""COMPUTED_VALUE"""),"Chasis Acoplado Balancin L3000")</f>
        <v>Chasis Acoplado Balancin L3000</v>
      </c>
      <c r="BF94" s="3" t="str">
        <f>IFERROR(__xludf.DUMMYFUNCTION("""COMPUTED_VALUE"""),"Chasis Acoplado Balancin L3000 Lanza Corta")</f>
        <v>Chasis Acoplado Balancin L3000 Lanza Corta</v>
      </c>
      <c r="BG94" s="3" t="str">
        <f>IFERROR(__xludf.DUMMYFUNCTION("""COMPUTED_VALUE"""),"Chasis Acoplado Balancin L2000 Lanza Corta")</f>
        <v>Chasis Acoplado Balancin L2000 Lanza Corta</v>
      </c>
      <c r="BH94" s="3" t="str">
        <f>IFERROR(__xludf.DUMMYFUNCTION("""COMPUTED_VALUE"""),"Chasis Acoplado Balancin L3200 Lanza Corta")</f>
        <v>Chasis Acoplado Balancin L3200 Lanza Corta</v>
      </c>
      <c r="BI94" s="3" t="str">
        <f>IFERROR(__xludf.DUMMYFUNCTION("""COMPUTED_VALUE"""),"Chasis Acoplado Balancin L3200 Lanza Recta")</f>
        <v>Chasis Acoplado Balancin L3200 Lanza Recta</v>
      </c>
      <c r="BJ94" s="3" t="str">
        <f>IFERROR(__xludf.DUMMYFUNCTION("""COMPUTED_VALUE"""),"Chasis Acoplado Balancin L3200 Bajo Lanza Recta")</f>
        <v>Chasis Acoplado Balancin L3200 Bajo Lanza Recta</v>
      </c>
      <c r="BK94" s="3" t="str">
        <f>IFERROR(__xludf.DUMMYFUNCTION("""COMPUTED_VALUE"""),"Tanque Plastico Horizontal 750 Lts")</f>
        <v>Tanque Plastico Horizontal 750 Lts</v>
      </c>
      <c r="BL94" s="3" t="str">
        <f>IFERROR(__xludf.DUMMYFUNCTION("""COMPUTED_VALUE"""),"Medio Tanque Plastico Superior 700 Lts")</f>
        <v>Medio Tanque Plastico Superior 700 Lts</v>
      </c>
      <c r="BM94" s="3" t="str">
        <f>IFERROR(__xludf.DUMMYFUNCTION("""COMPUTED_VALUE"""),"Paquete de Elasticos 50 mm x 8 mm x 10 Hojas L850")</f>
        <v>Paquete de Elasticos 50 mm x 8 mm x 10 Hojas L850</v>
      </c>
      <c r="BN94" s="3" t="str">
        <f>IFERROR(__xludf.DUMMYFUNCTION("""COMPUTED_VALUE"""),"Paquete de Elasticos 63 mm x 8 mm x 10 Hojas L950")</f>
        <v>Paquete de Elasticos 63 mm x 8 mm x 10 Hojas L950</v>
      </c>
      <c r="BO94" s="3" t="str">
        <f>IFERROR(__xludf.DUMMYFUNCTION("""COMPUTED_VALUE"""),"Paquete de Elasticos 50 mm x 7 mm x 9 Hojas L850")</f>
        <v>Paquete de Elasticos 50 mm x 7 mm x 9 Hojas L850</v>
      </c>
      <c r="BP94" s="3" t="str">
        <f>IFERROR(__xludf.DUMMYFUNCTION("""COMPUTED_VALUE"""),"Paquete de Elasticos 63 mm x 8 mm x 8 Hojas L850")</f>
        <v>Paquete de Elasticos 63 mm x 8 mm x 8 Hojas L850</v>
      </c>
      <c r="BQ94" s="3" t="str">
        <f>IFERROR(__xludf.DUMMYFUNCTION("""COMPUTED_VALUE"""),"Paquete de Elasticos 63 mm x 10 mm x 10 Hojas L950")</f>
        <v>Paquete de Elasticos 63 mm x 10 mm x 10 Hojas L950</v>
      </c>
      <c r="BR94" s="3" t="str">
        <f>IFERROR(__xludf.DUMMYFUNCTION("""COMPUTED_VALUE"""),"Paquete de Elasticos 63 mm x 10 mm x 13 Hojas L975")</f>
        <v>Paquete de Elasticos 63 mm x 10 mm x 13 Hojas L975</v>
      </c>
      <c r="BS94" s="3" t="str">
        <f>IFERROR(__xludf.DUMMYFUNCTION("""COMPUTED_VALUE"""),"Paquete de Elasticos 50 mm x 7 mm x 9 Hojas L650")</f>
        <v>Paquete de Elasticos 50 mm x 7 mm x 9 Hojas L650</v>
      </c>
      <c r="BT94" s="3" t="str">
        <f>IFERROR(__xludf.DUMMYFUNCTION("""COMPUTED_VALUE"""),"Eje Acoplado 2"" x 1600 (06/08) Agrícola Centro 92")</f>
        <v>Eje Acoplado 2" x 1600 (06/08) Agrícola Centro 92</v>
      </c>
      <c r="BU94" s="3" t="str">
        <f>IFERROR(__xludf.DUMMYFUNCTION("""COMPUTED_VALUE"""),"Eje Acoplado 2 1/2"" x 1600 (07/09) Agrícola Centro 92")</f>
        <v>Eje Acoplado 2 1/2" x 1600 (07/09) Agrícola Centro 92</v>
      </c>
      <c r="BV94" s="3" t="str">
        <f>IFERROR(__xludf.DUMMYFUNCTION("""COMPUTED_VALUE"""),"Eje Acoplado 2 1/2"" x 1600 (09/11) Agrícola Centro 150")</f>
        <v>Eje Acoplado 2 1/2" x 1600 (09/11) Agrícola Centro 150</v>
      </c>
      <c r="BW94" s="3" t="str">
        <f>IFERROR(__xludf.DUMMYFUNCTION("""COMPUTED_VALUE"""),"Eje Acoplado 3"" x 1600 (10/13) Agrícola Centro 150")</f>
        <v>Eje Acoplado 3" x 1600 (10/13) Agrícola Centro 150</v>
      </c>
      <c r="BX94" s="3" t="str">
        <f>IFERROR(__xludf.DUMMYFUNCTION("""COMPUTED_VALUE"""),"Eje Acoplado 2 1/2"" x 2140 (07/09) Agrícola Centro 92")</f>
        <v>Eje Acoplado 2 1/2" x 2140 (07/09) Agrícola Centro 92</v>
      </c>
      <c r="BY94" s="3" t="str">
        <f>IFERROR(__xludf.DUMMYFUNCTION("""COMPUTED_VALUE"""),"Eje Acoplado 2"" x 1400 (06/08) Agrícola Centro 92")</f>
        <v>Eje Acoplado 2" x 1400 (06/08) Agrícola Centro 92</v>
      </c>
      <c r="BZ94" s="3" t="str">
        <f>IFERROR(__xludf.DUMMYFUNCTION("""COMPUTED_VALUE"""),"Eje Acoplado 2 1/2"" x 1500 (07/09) Agrícola Centro 92")</f>
        <v>Eje Acoplado 2 1/2" x 1500 (07/09) Agrícola Centro 92</v>
      </c>
      <c r="CA94" s="3" t="str">
        <f>IFERROR(__xludf.DUMMYFUNCTION("""COMPUTED_VALUE"""),"Eje Acoplado 2 1/2"" x 2000 (07/09) Agrícola Centro 92")</f>
        <v>Eje Acoplado 2 1/2" x 2000 (07/09) Agrícola Centro 92</v>
      </c>
      <c r="CB94" s="3" t="str">
        <f>IFERROR(__xludf.DUMMYFUNCTION("""COMPUTED_VALUE"""),"Eje Acoplado 2 1/2"" x 2100 (09/11) Agrícola Centro 150")</f>
        <v>Eje Acoplado 2 1/2" x 2100 (09/11) Agrícola Centro 150</v>
      </c>
      <c r="CC94" s="3" t="str">
        <f>IFERROR(__xludf.DUMMYFUNCTION("""COMPUTED_VALUE"""),"Llanta 16"" Simple Agrícola Centro 92")</f>
        <v>Llanta 16" Simple Agrícola Centro 92</v>
      </c>
      <c r="CD94" s="3" t="str">
        <f>IFERROR(__xludf.DUMMYFUNCTION("""COMPUTED_VALUE"""),"Llanta 16"" Dual Agrícola Centro 92")</f>
        <v>Llanta 16" Dual Agrícola Centro 92</v>
      </c>
      <c r="CE94" s="3" t="str">
        <f>IFERROR(__xludf.DUMMYFUNCTION("""COMPUTED_VALUE"""),"Llanta 17"" Simple Agrícola Centro 92")</f>
        <v>Llanta 17" Simple Agrícola Centro 92</v>
      </c>
      <c r="CF94" s="3" t="str">
        <f>IFERROR(__xludf.DUMMYFUNCTION("""COMPUTED_VALUE"""),"Llanta 17"" Dual Agrícola Centro 92")</f>
        <v>Llanta 17" Dual Agrícola Centro 92</v>
      </c>
      <c r="CG94" s="3" t="str">
        <f>IFERROR(__xludf.DUMMYFUNCTION("""COMPUTED_VALUE"""),"Llanta 16"" Dual Agrícola Centro 152")</f>
        <v>Llanta 16" Dual Agrícola Centro 152</v>
      </c>
      <c r="CH94" s="3" t="str">
        <f>IFERROR(__xludf.DUMMYFUNCTION("""COMPUTED_VALUE"""),"Llanta 17"" Dual Agrícola Centro 152")</f>
        <v>Llanta 17" Dual Agrícola Centro 152</v>
      </c>
      <c r="CI94" s="3" t="str">
        <f>IFERROR(__xludf.DUMMYFUNCTION("""COMPUTED_VALUE"""),"Eje Acoplado 2"" x 1600 (05/07) Agrícola Centro 92")</f>
        <v>Eje Acoplado 2" x 1600 (05/07) Agrícola Centro 92</v>
      </c>
      <c r="CJ94" s="3" t="str">
        <f>IFERROR(__xludf.DUMMYFUNCTION("""COMPUTED_VALUE"""),"Paquete de Elásticos 50 mm x 8 mm x 12 Hojas")</f>
        <v>Paquete de Elásticos 50 mm x 8 mm x 12 Hojas</v>
      </c>
      <c r="CK94" s="3" t="str">
        <f>IFERROR(__xludf.DUMMYFUNCTION("""COMPUTED_VALUE"""),"Plataforma Playo 4.00 x 1.90 x 0.45 Lateral Simple Baranda Fija")</f>
        <v>Plataforma Playo 4.00 x 1.90 x 0.45 Lateral Simple Baranda Fija</v>
      </c>
      <c r="CL94" s="3" t="str">
        <f>IFERROR(__xludf.DUMMYFUNCTION("""COMPUTED_VALUE"""),"Plataforma Playo 4.00 x 1.90 x 0.45 Lateral Simple Baranda Ventilada")</f>
        <v>Plataforma Playo 4.00 x 1.90 x 0.45 Lateral Simple Baranda Ventilada</v>
      </c>
      <c r="CM94" s="3" t="str">
        <f>IFERROR(__xludf.DUMMYFUNCTION("""COMPUTED_VALUE"""),"Plataforma Playo 4.00 x 1.90 x 0.45 Lateral Doble Baranda Ventilada")</f>
        <v>Plataforma Playo 4.00 x 1.90 x 0.45 Lateral Doble Baranda Ventilada</v>
      </c>
      <c r="CN94" s="3" t="str">
        <f>IFERROR(__xludf.DUMMYFUNCTION("""COMPUTED_VALUE"""),"Plataforma Playo 4.00 x 1.90 x 0.45 Lateral Doble Baranda Fija")</f>
        <v>Plataforma Playo 4.00 x 1.90 x 0.45 Lateral Doble Baranda Fija</v>
      </c>
      <c r="CO94" s="3" t="str">
        <f>IFERROR(__xludf.DUMMYFUNCTION("""COMPUTED_VALUE"""),"Plataforma Playo 4.00 x 1.90 x 0.72 Lateral Simple Baranda Fija")</f>
        <v>Plataforma Playo 4.00 x 1.90 x 0.72 Lateral Simple Baranda Fija</v>
      </c>
      <c r="CP94" s="3" t="str">
        <f>IFERROR(__xludf.DUMMYFUNCTION("""COMPUTED_VALUE"""),"Plataforma Playo 4.00 x 1.90 x 0.72 Lateral Doble Baranda Fija")</f>
        <v>Plataforma Playo 4.00 x 1.90 x 0.72 Lateral Doble Baranda Fija</v>
      </c>
      <c r="CQ94" s="3" t="str">
        <f>IFERROR(__xludf.DUMMYFUNCTION("""COMPUTED_VALUE"""),"Plataforma Playo 5.00 x 2.20 x 0.60 Lateral Doble Trasera Rebatible")</f>
        <v>Plataforma Playo 5.00 x 2.20 x 0.60 Lateral Doble Trasera Rebatible</v>
      </c>
      <c r="CR94" s="3" t="str">
        <f>IFERROR(__xludf.DUMMYFUNCTION("""COMPUTED_VALUE"""),"Plataforma Playo 5.00 x 2.20 x 0.60 Lateral Doble Baranda Fija C/Toldo")</f>
        <v>Plataforma Playo 5.00 x 2.20 x 0.60 Lateral Doble Baranda Fija C/Toldo</v>
      </c>
      <c r="CS94" s="3" t="str">
        <f>IFERROR(__xludf.DUMMYFUNCTION("""COMPUTED_VALUE"""),"Plataforma Playo 3.00 x 1.90 x 0.45 Lateral Simple Baranda Fija")</f>
        <v>Plataforma Playo 3.00 x 1.90 x 0.45 Lateral Simple Baranda Fija</v>
      </c>
      <c r="CT94" s="3" t="str">
        <f>IFERROR(__xludf.DUMMYFUNCTION("""COMPUTED_VALUE"""),"Plataforma Playo 3.00 x 1.90 x 0.45 Lateral Simple Baranda Ventilada")</f>
        <v>Plataforma Playo 3.00 x 1.90 x 0.45 Lateral Simple Baranda Ventilada</v>
      </c>
      <c r="CU94" s="3" t="str">
        <f>IFERROR(__xludf.DUMMYFUNCTION("""COMPUTED_VALUE"""),"Plataforma Playo 2.00 x 1.90 x 0.45 Lateral Simple Baranda Fija")</f>
        <v>Plataforma Playo 2.00 x 1.90 x 0.45 Lateral Simple Baranda Fija</v>
      </c>
      <c r="CV94" s="3" t="str">
        <f>IFERROR(__xludf.DUMMYFUNCTION("""COMPUTED_VALUE"""),"Plataforma Playo 5.00 x 1.90 x 0.60 Lateral Doble Baranda Fija")</f>
        <v>Plataforma Playo 5.00 x 1.90 x 0.60 Lateral Doble Baranda Fija</v>
      </c>
      <c r="CW94" s="3" t="str">
        <f>IFERROR(__xludf.DUMMYFUNCTION("""COMPUTED_VALUE"""),"Plataforma Playo 6.40 x 2.70 x 0.72 Lateral Doble Baranda Fija")</f>
        <v>Plataforma Playo 6.40 x 2.70 x 0.72 Lateral Doble Baranda Fija</v>
      </c>
      <c r="CX94" s="3" t="str">
        <f>IFERROR(__xludf.DUMMYFUNCTION("""COMPUTED_VALUE"""),"Chasis Acoplado Balancin L4000 Lanza Recta")</f>
        <v>Chasis Acoplado Balancin L4000 Lanza Recta</v>
      </c>
      <c r="CY94" s="3" t="str">
        <f>IFERROR(__xludf.DUMMYFUNCTION("""COMPUTED_VALUE"""),"Llanta simple Agrícola 750x20 centro 152")</f>
        <v>Llanta simple Agrícola 750x20 centro 152</v>
      </c>
      <c r="CZ94" s="3" t="str">
        <f>IFERROR(__xludf.DUMMYFUNCTION("""COMPUTED_VALUE"""),"Cajón de Herramientas Mediano adelante")</f>
        <v>Cajón de Herramientas Mediano adelante</v>
      </c>
      <c r="DA94" s="3" t="str">
        <f>IFERROR(__xludf.DUMMYFUNCTION("""COMPUTED_VALUE"""),"Llanta 15"" Simple Agrícola Centro 92")</f>
        <v>Llanta 15" Simple Agrícola Centro 92</v>
      </c>
    </row>
    <row r="95" hidden="1">
      <c r="A95" s="38">
        <f t="shared" si="1"/>
        <v>94</v>
      </c>
      <c r="B95" s="38">
        <f>IF(F95="","",SUMIF(Prearmados!E:E,F95,Prearmados!A:A))</f>
        <v>19</v>
      </c>
      <c r="C95" s="38">
        <f>IF(F95="","",SUMIF(Productos!E:E,G95,Productos!A:A))</f>
        <v>93</v>
      </c>
      <c r="D95" s="83" t="str">
        <f t="array" ref="D95">IF(OR(F95="",F95="Seleccionar.."),"",XLOOKUP(F95,Prearmados!E:E,Prearmados!F:F,"",0,1))</f>
        <v>Acoplados Rurales</v>
      </c>
      <c r="E95" s="83">
        <f>IF(H95="","",SUMIF(Precio_Productos!K:K,C95,Precio_Productos!J:J)*H95)</f>
        <v>850000</v>
      </c>
      <c r="F95" s="84" t="s">
        <v>342</v>
      </c>
      <c r="G95" s="84" t="s">
        <v>88</v>
      </c>
      <c r="H95" s="13">
        <v>1.0</v>
      </c>
      <c r="P95" s="3" t="str">
        <f>IFERROR(__xludf.DUMMYFUNCTION("IF(OR(F95="""",F95=""Seleccionar..""),"""",TRANSPOSE(FILTER(Productos!E:E,(Productos!F:F=D95)+(Productos!F:F=XLOOKUP(D95,Implementos!B:B,Implementos!C:C,""-"",0,1)))))"),"Tanque Combustible 1100 lts Bajo")</f>
        <v>Tanque Combustible 1100 lts Bajo</v>
      </c>
      <c r="Q95" s="3" t="str">
        <f>IFERROR(__xludf.DUMMYFUNCTION("""COMPUTED_VALUE"""),"Tanque Combustible 1500 lts Standard")</f>
        <v>Tanque Combustible 1500 lts Standard</v>
      </c>
      <c r="R95" s="3" t="str">
        <f>IFERROR(__xludf.DUMMYFUNCTION("""COMPUTED_VALUE"""),"Tanque Combustible 1800 lts Standard")</f>
        <v>Tanque Combustible 1800 lts Standard</v>
      </c>
      <c r="S95" s="3" t="str">
        <f>IFERROR(__xludf.DUMMYFUNCTION("""COMPUTED_VALUE"""),"Tanque Combustible 2000 lts Bajo")</f>
        <v>Tanque Combustible 2000 lts Bajo</v>
      </c>
      <c r="T95" s="3" t="str">
        <f>IFERROR(__xludf.DUMMYFUNCTION("""COMPUTED_VALUE"""),"Tanque Combustible 2000 lts Standard")</f>
        <v>Tanque Combustible 2000 lts Standard</v>
      </c>
      <c r="U95" s="3" t="str">
        <f>IFERROR(__xludf.DUMMYFUNCTION("""COMPUTED_VALUE"""),"Tanque Combustible 3000 lts Standard")</f>
        <v>Tanque Combustible 3000 lts Standard</v>
      </c>
      <c r="V95" s="3" t="str">
        <f>IFERROR(__xludf.DUMMYFUNCTION("""COMPUTED_VALUE"""),"Tanque Combustible 3000 lts Alto")</f>
        <v>Tanque Combustible 3000 lts Alto</v>
      </c>
      <c r="W95" s="3" t="str">
        <f>IFERROR(__xludf.DUMMYFUNCTION("""COMPUTED_VALUE"""),"Tanque Combustible 4000 lts Standard")</f>
        <v>Tanque Combustible 4000 lts Standard</v>
      </c>
      <c r="X95" s="3" t="str">
        <f>IFERROR(__xludf.DUMMYFUNCTION("""COMPUTED_VALUE"""),"Tanque Combustible 5000 lts Standard")</f>
        <v>Tanque Combustible 5000 lts Standard</v>
      </c>
      <c r="Y95" s="3" t="str">
        <f>IFERROR(__xludf.DUMMYFUNCTION("""COMPUTED_VALUE"""),"Tanque Combustible 5000 lts Alto")</f>
        <v>Tanque Combustible 5000 lts Alto</v>
      </c>
      <c r="Z95" s="3" t="str">
        <f>IFERROR(__xludf.DUMMYFUNCTION("""COMPUTED_VALUE"""),"Tanque Combustible 2000 lts Alto")</f>
        <v>Tanque Combustible 2000 lts Alto</v>
      </c>
      <c r="AA95" s="3" t="str">
        <f>IFERROR(__xludf.DUMMYFUNCTION("""COMPUTED_VALUE"""),"Tanque Combustible 4000 lts Alto")</f>
        <v>Tanque Combustible 4000 lts Alto</v>
      </c>
      <c r="AB95" s="3" t="str">
        <f>IFERROR(__xludf.DUMMYFUNCTION("""COMPUTED_VALUE"""),"Baulera Standard - 750")</f>
        <v>Baulera Standard - 750</v>
      </c>
      <c r="AC95" s="3" t="str">
        <f>IFERROR(__xludf.DUMMYFUNCTION("""COMPUTED_VALUE"""),"Baulera Standard - 1700 - C/Laterales")</f>
        <v>Baulera Standard - 1700 - C/Laterales</v>
      </c>
      <c r="AD95" s="3" t="str">
        <f>IFERROR(__xludf.DUMMYFUNCTION("""COMPUTED_VALUE"""),"Baulera Standard - 1000 - C/Laterales")</f>
        <v>Baulera Standard - 1000 - C/Laterales</v>
      </c>
      <c r="AE95" s="3" t="str">
        <f>IFERROR(__xludf.DUMMYFUNCTION("""COMPUTED_VALUE"""),"Baulera Standard - 750 - C/Laterales")</f>
        <v>Baulera Standard - 750 - C/Laterales</v>
      </c>
      <c r="AF95" s="3" t="str">
        <f>IFERROR(__xludf.DUMMYFUNCTION("""COMPUTED_VALUE"""),"Baulera Standard - 1300 - C/Laterales")</f>
        <v>Baulera Standard - 1300 - C/Laterales</v>
      </c>
      <c r="AG95" s="3" t="str">
        <f>IFERROR(__xludf.DUMMYFUNCTION("""COMPUTED_VALUE"""),"Baulera Alta - 750")</f>
        <v>Baulera Alta - 750</v>
      </c>
      <c r="AH95" s="3" t="str">
        <f>IFERROR(__xludf.DUMMYFUNCTION("""COMPUTED_VALUE"""),"Baulera Alta - 1500 - C/Laterales")</f>
        <v>Baulera Alta - 1500 - C/Laterales</v>
      </c>
      <c r="AI95" s="3" t="str">
        <f>IFERROR(__xludf.DUMMYFUNCTION("""COMPUTED_VALUE"""),"Baulera Extendida 1700 - C/Laterales")</f>
        <v>Baulera Extendida 1700 - C/Laterales</v>
      </c>
      <c r="AJ95" s="3" t="str">
        <f>IFERROR(__xludf.DUMMYFUNCTION("""COMPUTED_VALUE"""),"Taller Móvil - 1500 x 1500 x 1700")</f>
        <v>Taller Móvil - 1500 x 1500 x 1700</v>
      </c>
      <c r="AK95" s="3" t="str">
        <f>IFERROR(__xludf.DUMMYFUNCTION("""COMPUTED_VALUE"""),"Cajón Herramientas Standard Derecho")</f>
        <v>Cajón Herramientas Standard Derecho</v>
      </c>
      <c r="AL95" s="3" t="str">
        <f>IFERROR(__xludf.DUMMYFUNCTION("""COMPUTED_VALUE"""),"Cajón Herramientas Standard Izquierdo")</f>
        <v>Cajón Herramientas Standard Izquierdo</v>
      </c>
      <c r="AM95" s="3" t="str">
        <f>IFERROR(__xludf.DUMMYFUNCTION("""COMPUTED_VALUE"""),"Cajón Herramientas Corto Derecho")</f>
        <v>Cajón Herramientas Corto Derecho</v>
      </c>
      <c r="AN95" s="3" t="str">
        <f>IFERROR(__xludf.DUMMYFUNCTION("""COMPUTED_VALUE"""),"Cajón Herramientas Corto Izquierdo")</f>
        <v>Cajón Herramientas Corto Izquierdo</v>
      </c>
      <c r="AO95" s="3" t="str">
        <f>IFERROR(__xludf.DUMMYFUNCTION("""COMPUTED_VALUE"""),"Cajón Herramientas Mediano Derecho")</f>
        <v>Cajón Herramientas Mediano Derecho</v>
      </c>
      <c r="AP95" s="3" t="str">
        <f>IFERROR(__xludf.DUMMYFUNCTION("""COMPUTED_VALUE"""),"Cajón Herramientas Mediano Izquierdo")</f>
        <v>Cajón Herramientas Mediano Izquierdo</v>
      </c>
      <c r="AQ95" s="3" t="str">
        <f>IFERROR(__xludf.DUMMYFUNCTION("""COMPUTED_VALUE"""),"Chasis Acoplado 2 Ejes L3000")</f>
        <v>Chasis Acoplado 2 Ejes L3000</v>
      </c>
      <c r="AR95" s="3" t="str">
        <f>IFERROR(__xludf.DUMMYFUNCTION("""COMPUTED_VALUE"""),"Chasis Acoplado 2 Ejes L3750")</f>
        <v>Chasis Acoplado 2 Ejes L3750</v>
      </c>
      <c r="AS95" s="3" t="str">
        <f>IFERROR(__xludf.DUMMYFUNCTION("""COMPUTED_VALUE"""),"Chasis Acoplado 2 Ejes L4000")</f>
        <v>Chasis Acoplado 2 Ejes L4000</v>
      </c>
      <c r="AT95" s="3" t="str">
        <f>IFERROR(__xludf.DUMMYFUNCTION("""COMPUTED_VALUE"""),"Chasis Acoplado 2 Ejes L4000 Reforzado")</f>
        <v>Chasis Acoplado 2 Ejes L4000 Reforzado</v>
      </c>
      <c r="AU95" s="3" t="str">
        <f>IFERROR(__xludf.DUMMYFUNCTION("""COMPUTED_VALUE"""),"Chasis Acoplado 2 Ejes L4750")</f>
        <v>Chasis Acoplado 2 Ejes L4750</v>
      </c>
      <c r="AV95" s="3" t="str">
        <f>IFERROR(__xludf.DUMMYFUNCTION("""COMPUTED_VALUE"""),"Chasis Acoplado 2 Ejes L4750 Reforzado")</f>
        <v>Chasis Acoplado 2 Ejes L4750 Reforzado</v>
      </c>
      <c r="AW95" s="3" t="str">
        <f>IFERROR(__xludf.DUMMYFUNCTION("""COMPUTED_VALUE"""),"Chasis Acoplado 2 Ejes L4750 Reforzado R. Camion")</f>
        <v>Chasis Acoplado 2 Ejes L4750 Reforzado R. Camion</v>
      </c>
      <c r="AX95" s="3" t="str">
        <f>IFERROR(__xludf.DUMMYFUNCTION("""COMPUTED_VALUE"""),"Chasis Acoplado 2 Ejes L5000")</f>
        <v>Chasis Acoplado 2 Ejes L5000</v>
      </c>
      <c r="AY95" s="3" t="str">
        <f>IFERROR(__xludf.DUMMYFUNCTION("""COMPUTED_VALUE"""),"Chasis Acoplado 2 Ejes L5750")</f>
        <v>Chasis Acoplado 2 Ejes L5750</v>
      </c>
      <c r="AZ95" s="3" t="str">
        <f>IFERROR(__xludf.DUMMYFUNCTION("""COMPUTED_VALUE"""),"Chasis Acoplado 2 Ejes L6400")</f>
        <v>Chasis Acoplado 2 Ejes L6400</v>
      </c>
      <c r="BA95" s="3" t="str">
        <f>IFERROR(__xludf.DUMMYFUNCTION("""COMPUTED_VALUE"""),"Chasis Acoplado 2 Ejes L4500")</f>
        <v>Chasis Acoplado 2 Ejes L4500</v>
      </c>
      <c r="BB95" s="3" t="str">
        <f>IFERROR(__xludf.DUMMYFUNCTION("""COMPUTED_VALUE"""),"Chasis Acoplado 1 Eje L1500")</f>
        <v>Chasis Acoplado 1 Eje L1500</v>
      </c>
      <c r="BC95" s="3" t="str">
        <f>IFERROR(__xludf.DUMMYFUNCTION("""COMPUTED_VALUE"""),"Chasis Acoplado 1 Eje L1800")</f>
        <v>Chasis Acoplado 1 Eje L1800</v>
      </c>
      <c r="BD95" s="3" t="str">
        <f>IFERROR(__xludf.DUMMYFUNCTION("""COMPUTED_VALUE"""),"Chasis Acoplado 1 Eje L1400")</f>
        <v>Chasis Acoplado 1 Eje L1400</v>
      </c>
      <c r="BE95" s="3" t="str">
        <f>IFERROR(__xludf.DUMMYFUNCTION("""COMPUTED_VALUE"""),"Chasis Acoplado Balancin L3000")</f>
        <v>Chasis Acoplado Balancin L3000</v>
      </c>
      <c r="BF95" s="3" t="str">
        <f>IFERROR(__xludf.DUMMYFUNCTION("""COMPUTED_VALUE"""),"Chasis Acoplado Balancin L3000 Lanza Corta")</f>
        <v>Chasis Acoplado Balancin L3000 Lanza Corta</v>
      </c>
      <c r="BG95" s="3" t="str">
        <f>IFERROR(__xludf.DUMMYFUNCTION("""COMPUTED_VALUE"""),"Chasis Acoplado Balancin L2000 Lanza Corta")</f>
        <v>Chasis Acoplado Balancin L2000 Lanza Corta</v>
      </c>
      <c r="BH95" s="3" t="str">
        <f>IFERROR(__xludf.DUMMYFUNCTION("""COMPUTED_VALUE"""),"Chasis Acoplado Balancin L3200 Lanza Corta")</f>
        <v>Chasis Acoplado Balancin L3200 Lanza Corta</v>
      </c>
      <c r="BI95" s="3" t="str">
        <f>IFERROR(__xludf.DUMMYFUNCTION("""COMPUTED_VALUE"""),"Chasis Acoplado Balancin L3200 Lanza Recta")</f>
        <v>Chasis Acoplado Balancin L3200 Lanza Recta</v>
      </c>
      <c r="BJ95" s="3" t="str">
        <f>IFERROR(__xludf.DUMMYFUNCTION("""COMPUTED_VALUE"""),"Chasis Acoplado Balancin L3200 Bajo Lanza Recta")</f>
        <v>Chasis Acoplado Balancin L3200 Bajo Lanza Recta</v>
      </c>
      <c r="BK95" s="3" t="str">
        <f>IFERROR(__xludf.DUMMYFUNCTION("""COMPUTED_VALUE"""),"Tanque Plastico Horizontal 750 Lts")</f>
        <v>Tanque Plastico Horizontal 750 Lts</v>
      </c>
      <c r="BL95" s="3" t="str">
        <f>IFERROR(__xludf.DUMMYFUNCTION("""COMPUTED_VALUE"""),"Medio Tanque Plastico Superior 700 Lts")</f>
        <v>Medio Tanque Plastico Superior 700 Lts</v>
      </c>
      <c r="BM95" s="3" t="str">
        <f>IFERROR(__xludf.DUMMYFUNCTION("""COMPUTED_VALUE"""),"Paquete de Elasticos 50 mm x 8 mm x 10 Hojas L850")</f>
        <v>Paquete de Elasticos 50 mm x 8 mm x 10 Hojas L850</v>
      </c>
      <c r="BN95" s="3" t="str">
        <f>IFERROR(__xludf.DUMMYFUNCTION("""COMPUTED_VALUE"""),"Paquete de Elasticos 63 mm x 8 mm x 10 Hojas L950")</f>
        <v>Paquete de Elasticos 63 mm x 8 mm x 10 Hojas L950</v>
      </c>
      <c r="BO95" s="3" t="str">
        <f>IFERROR(__xludf.DUMMYFUNCTION("""COMPUTED_VALUE"""),"Paquete de Elasticos 50 mm x 7 mm x 9 Hojas L850")</f>
        <v>Paquete de Elasticos 50 mm x 7 mm x 9 Hojas L850</v>
      </c>
      <c r="BP95" s="3" t="str">
        <f>IFERROR(__xludf.DUMMYFUNCTION("""COMPUTED_VALUE"""),"Paquete de Elasticos 63 mm x 8 mm x 8 Hojas L850")</f>
        <v>Paquete de Elasticos 63 mm x 8 mm x 8 Hojas L850</v>
      </c>
      <c r="BQ95" s="3" t="str">
        <f>IFERROR(__xludf.DUMMYFUNCTION("""COMPUTED_VALUE"""),"Paquete de Elasticos 63 mm x 10 mm x 10 Hojas L950")</f>
        <v>Paquete de Elasticos 63 mm x 10 mm x 10 Hojas L950</v>
      </c>
      <c r="BR95" s="3" t="str">
        <f>IFERROR(__xludf.DUMMYFUNCTION("""COMPUTED_VALUE"""),"Paquete de Elasticos 63 mm x 10 mm x 13 Hojas L975")</f>
        <v>Paquete de Elasticos 63 mm x 10 mm x 13 Hojas L975</v>
      </c>
      <c r="BS95" s="3" t="str">
        <f>IFERROR(__xludf.DUMMYFUNCTION("""COMPUTED_VALUE"""),"Paquete de Elasticos 50 mm x 7 mm x 9 Hojas L650")</f>
        <v>Paquete de Elasticos 50 mm x 7 mm x 9 Hojas L650</v>
      </c>
      <c r="BT95" s="3" t="str">
        <f>IFERROR(__xludf.DUMMYFUNCTION("""COMPUTED_VALUE"""),"Eje Acoplado 2"" x 1600 (06/08) Agrícola Centro 92")</f>
        <v>Eje Acoplado 2" x 1600 (06/08) Agrícola Centro 92</v>
      </c>
      <c r="BU95" s="3" t="str">
        <f>IFERROR(__xludf.DUMMYFUNCTION("""COMPUTED_VALUE"""),"Eje Acoplado 2 1/2"" x 1600 (07/09) Agrícola Centro 92")</f>
        <v>Eje Acoplado 2 1/2" x 1600 (07/09) Agrícola Centro 92</v>
      </c>
      <c r="BV95" s="3" t="str">
        <f>IFERROR(__xludf.DUMMYFUNCTION("""COMPUTED_VALUE"""),"Eje Acoplado 2 1/2"" x 1600 (09/11) Agrícola Centro 150")</f>
        <v>Eje Acoplado 2 1/2" x 1600 (09/11) Agrícola Centro 150</v>
      </c>
      <c r="BW95" s="3" t="str">
        <f>IFERROR(__xludf.DUMMYFUNCTION("""COMPUTED_VALUE"""),"Eje Acoplado 3"" x 1600 (10/13) Agrícola Centro 150")</f>
        <v>Eje Acoplado 3" x 1600 (10/13) Agrícola Centro 150</v>
      </c>
      <c r="BX95" s="3" t="str">
        <f>IFERROR(__xludf.DUMMYFUNCTION("""COMPUTED_VALUE"""),"Eje Acoplado 2 1/2"" x 2140 (07/09) Agrícola Centro 92")</f>
        <v>Eje Acoplado 2 1/2" x 2140 (07/09) Agrícola Centro 92</v>
      </c>
      <c r="BY95" s="3" t="str">
        <f>IFERROR(__xludf.DUMMYFUNCTION("""COMPUTED_VALUE"""),"Eje Acoplado 2"" x 1400 (06/08) Agrícola Centro 92")</f>
        <v>Eje Acoplado 2" x 1400 (06/08) Agrícola Centro 92</v>
      </c>
      <c r="BZ95" s="3" t="str">
        <f>IFERROR(__xludf.DUMMYFUNCTION("""COMPUTED_VALUE"""),"Eje Acoplado 2 1/2"" x 1500 (07/09) Agrícola Centro 92")</f>
        <v>Eje Acoplado 2 1/2" x 1500 (07/09) Agrícola Centro 92</v>
      </c>
      <c r="CA95" s="3" t="str">
        <f>IFERROR(__xludf.DUMMYFUNCTION("""COMPUTED_VALUE"""),"Eje Acoplado 2 1/2"" x 2000 (07/09) Agrícola Centro 92")</f>
        <v>Eje Acoplado 2 1/2" x 2000 (07/09) Agrícola Centro 92</v>
      </c>
      <c r="CB95" s="3" t="str">
        <f>IFERROR(__xludf.DUMMYFUNCTION("""COMPUTED_VALUE"""),"Eje Acoplado 2 1/2"" x 2100 (09/11) Agrícola Centro 150")</f>
        <v>Eje Acoplado 2 1/2" x 2100 (09/11) Agrícola Centro 150</v>
      </c>
      <c r="CC95" s="3" t="str">
        <f>IFERROR(__xludf.DUMMYFUNCTION("""COMPUTED_VALUE"""),"Llanta 16"" Simple Agrícola Centro 92")</f>
        <v>Llanta 16" Simple Agrícola Centro 92</v>
      </c>
      <c r="CD95" s="3" t="str">
        <f>IFERROR(__xludf.DUMMYFUNCTION("""COMPUTED_VALUE"""),"Llanta 16"" Dual Agrícola Centro 92")</f>
        <v>Llanta 16" Dual Agrícola Centro 92</v>
      </c>
      <c r="CE95" s="3" t="str">
        <f>IFERROR(__xludf.DUMMYFUNCTION("""COMPUTED_VALUE"""),"Llanta 17"" Simple Agrícola Centro 92")</f>
        <v>Llanta 17" Simple Agrícola Centro 92</v>
      </c>
      <c r="CF95" s="3" t="str">
        <f>IFERROR(__xludf.DUMMYFUNCTION("""COMPUTED_VALUE"""),"Llanta 17"" Dual Agrícola Centro 92")</f>
        <v>Llanta 17" Dual Agrícola Centro 92</v>
      </c>
      <c r="CG95" s="3" t="str">
        <f>IFERROR(__xludf.DUMMYFUNCTION("""COMPUTED_VALUE"""),"Llanta 16"" Dual Agrícola Centro 152")</f>
        <v>Llanta 16" Dual Agrícola Centro 152</v>
      </c>
      <c r="CH95" s="3" t="str">
        <f>IFERROR(__xludf.DUMMYFUNCTION("""COMPUTED_VALUE"""),"Llanta 17"" Dual Agrícola Centro 152")</f>
        <v>Llanta 17" Dual Agrícola Centro 152</v>
      </c>
      <c r="CI95" s="3" t="str">
        <f>IFERROR(__xludf.DUMMYFUNCTION("""COMPUTED_VALUE"""),"Eje Acoplado 2"" x 1600 (05/07) Agrícola Centro 92")</f>
        <v>Eje Acoplado 2" x 1600 (05/07) Agrícola Centro 92</v>
      </c>
      <c r="CJ95" s="3" t="str">
        <f>IFERROR(__xludf.DUMMYFUNCTION("""COMPUTED_VALUE"""),"Paquete de Elásticos 50 mm x 8 mm x 12 Hojas")</f>
        <v>Paquete de Elásticos 50 mm x 8 mm x 12 Hojas</v>
      </c>
      <c r="CK95" s="3" t="str">
        <f>IFERROR(__xludf.DUMMYFUNCTION("""COMPUTED_VALUE"""),"Plataforma Playo 4.00 x 1.90 x 0.45 Lateral Simple Baranda Fija")</f>
        <v>Plataforma Playo 4.00 x 1.90 x 0.45 Lateral Simple Baranda Fija</v>
      </c>
      <c r="CL95" s="3" t="str">
        <f>IFERROR(__xludf.DUMMYFUNCTION("""COMPUTED_VALUE"""),"Plataforma Playo 4.00 x 1.90 x 0.45 Lateral Simple Baranda Ventilada")</f>
        <v>Plataforma Playo 4.00 x 1.90 x 0.45 Lateral Simple Baranda Ventilada</v>
      </c>
      <c r="CM95" s="3" t="str">
        <f>IFERROR(__xludf.DUMMYFUNCTION("""COMPUTED_VALUE"""),"Plataforma Playo 4.00 x 1.90 x 0.45 Lateral Doble Baranda Ventilada")</f>
        <v>Plataforma Playo 4.00 x 1.90 x 0.45 Lateral Doble Baranda Ventilada</v>
      </c>
      <c r="CN95" s="3" t="str">
        <f>IFERROR(__xludf.DUMMYFUNCTION("""COMPUTED_VALUE"""),"Plataforma Playo 4.00 x 1.90 x 0.45 Lateral Doble Baranda Fija")</f>
        <v>Plataforma Playo 4.00 x 1.90 x 0.45 Lateral Doble Baranda Fija</v>
      </c>
      <c r="CO95" s="3" t="str">
        <f>IFERROR(__xludf.DUMMYFUNCTION("""COMPUTED_VALUE"""),"Plataforma Playo 4.00 x 1.90 x 0.72 Lateral Simple Baranda Fija")</f>
        <v>Plataforma Playo 4.00 x 1.90 x 0.72 Lateral Simple Baranda Fija</v>
      </c>
      <c r="CP95" s="3" t="str">
        <f>IFERROR(__xludf.DUMMYFUNCTION("""COMPUTED_VALUE"""),"Plataforma Playo 4.00 x 1.90 x 0.72 Lateral Doble Baranda Fija")</f>
        <v>Plataforma Playo 4.00 x 1.90 x 0.72 Lateral Doble Baranda Fija</v>
      </c>
      <c r="CQ95" s="3" t="str">
        <f>IFERROR(__xludf.DUMMYFUNCTION("""COMPUTED_VALUE"""),"Plataforma Playo 5.00 x 2.20 x 0.60 Lateral Doble Trasera Rebatible")</f>
        <v>Plataforma Playo 5.00 x 2.20 x 0.60 Lateral Doble Trasera Rebatible</v>
      </c>
      <c r="CR95" s="3" t="str">
        <f>IFERROR(__xludf.DUMMYFUNCTION("""COMPUTED_VALUE"""),"Plataforma Playo 5.00 x 2.20 x 0.60 Lateral Doble Baranda Fija C/Toldo")</f>
        <v>Plataforma Playo 5.00 x 2.20 x 0.60 Lateral Doble Baranda Fija C/Toldo</v>
      </c>
      <c r="CS95" s="3" t="str">
        <f>IFERROR(__xludf.DUMMYFUNCTION("""COMPUTED_VALUE"""),"Plataforma Playo 3.00 x 1.90 x 0.45 Lateral Simple Baranda Fija")</f>
        <v>Plataforma Playo 3.00 x 1.90 x 0.45 Lateral Simple Baranda Fija</v>
      </c>
      <c r="CT95" s="3" t="str">
        <f>IFERROR(__xludf.DUMMYFUNCTION("""COMPUTED_VALUE"""),"Plataforma Playo 3.00 x 1.90 x 0.45 Lateral Simple Baranda Ventilada")</f>
        <v>Plataforma Playo 3.00 x 1.90 x 0.45 Lateral Simple Baranda Ventilada</v>
      </c>
      <c r="CU95" s="3" t="str">
        <f>IFERROR(__xludf.DUMMYFUNCTION("""COMPUTED_VALUE"""),"Plataforma Playo 2.00 x 1.90 x 0.45 Lateral Simple Baranda Fija")</f>
        <v>Plataforma Playo 2.00 x 1.90 x 0.45 Lateral Simple Baranda Fija</v>
      </c>
      <c r="CV95" s="3" t="str">
        <f>IFERROR(__xludf.DUMMYFUNCTION("""COMPUTED_VALUE"""),"Plataforma Playo 5.00 x 1.90 x 0.60 Lateral Doble Baranda Fija")</f>
        <v>Plataforma Playo 5.00 x 1.90 x 0.60 Lateral Doble Baranda Fija</v>
      </c>
      <c r="CW95" s="3" t="str">
        <f>IFERROR(__xludf.DUMMYFUNCTION("""COMPUTED_VALUE"""),"Plataforma Playo 6.40 x 2.70 x 0.72 Lateral Doble Baranda Fija")</f>
        <v>Plataforma Playo 6.40 x 2.70 x 0.72 Lateral Doble Baranda Fija</v>
      </c>
      <c r="CX95" s="3" t="str">
        <f>IFERROR(__xludf.DUMMYFUNCTION("""COMPUTED_VALUE"""),"Chasis Acoplado Balancin L4000 Lanza Recta")</f>
        <v>Chasis Acoplado Balancin L4000 Lanza Recta</v>
      </c>
      <c r="CY95" s="3" t="str">
        <f>IFERROR(__xludf.DUMMYFUNCTION("""COMPUTED_VALUE"""),"Llanta simple Agrícola 750x20 centro 152")</f>
        <v>Llanta simple Agrícola 750x20 centro 152</v>
      </c>
      <c r="CZ95" s="3" t="str">
        <f>IFERROR(__xludf.DUMMYFUNCTION("""COMPUTED_VALUE"""),"Cajón de Herramientas Mediano adelante")</f>
        <v>Cajón de Herramientas Mediano adelante</v>
      </c>
      <c r="DA95" s="3" t="str">
        <f>IFERROR(__xludf.DUMMYFUNCTION("""COMPUTED_VALUE"""),"Llanta 15"" Simple Agrícola Centro 92")</f>
        <v>Llanta 15" Simple Agrícola Centro 92</v>
      </c>
    </row>
    <row r="96" hidden="1">
      <c r="A96" s="38">
        <f t="shared" si="1"/>
        <v>95</v>
      </c>
      <c r="B96" s="38">
        <f>IF(F96="","",SUMIF(Prearmados!E:E,F96,Prearmados!A:A))</f>
        <v>19</v>
      </c>
      <c r="C96" s="38">
        <f>IF(F96="","",SUMIF(Productos!E:E,G96,Productos!A:A))</f>
        <v>66</v>
      </c>
      <c r="D96" s="83" t="str">
        <f t="array" ref="D96">IF(OR(F96="",F96="Seleccionar.."),"",XLOOKUP(F96,Prearmados!E:E,Prearmados!F:F,"",0,1))</f>
        <v>Acoplados Rurales</v>
      </c>
      <c r="E96" s="83">
        <f>IF(H96="","",SUMIF(Precio_Productos!K:K,C96,Precio_Productos!J:J)*H96)</f>
        <v>292579</v>
      </c>
      <c r="F96" s="84" t="s">
        <v>342</v>
      </c>
      <c r="G96" s="84" t="s">
        <v>79</v>
      </c>
      <c r="H96" s="13">
        <v>1.0</v>
      </c>
      <c r="P96" s="3" t="str">
        <f>IFERROR(__xludf.DUMMYFUNCTION("IF(OR(F96="""",F96=""Seleccionar..""),"""",TRANSPOSE(FILTER(Productos!E:E,(Productos!F:F=D96)+(Productos!F:F=XLOOKUP(D96,Implementos!B:B,Implementos!C:C,""-"",0,1)))))"),"Tanque Combustible 1100 lts Bajo")</f>
        <v>Tanque Combustible 1100 lts Bajo</v>
      </c>
      <c r="Q96" s="3" t="str">
        <f>IFERROR(__xludf.DUMMYFUNCTION("""COMPUTED_VALUE"""),"Tanque Combustible 1500 lts Standard")</f>
        <v>Tanque Combustible 1500 lts Standard</v>
      </c>
      <c r="R96" s="3" t="str">
        <f>IFERROR(__xludf.DUMMYFUNCTION("""COMPUTED_VALUE"""),"Tanque Combustible 1800 lts Standard")</f>
        <v>Tanque Combustible 1800 lts Standard</v>
      </c>
      <c r="S96" s="3" t="str">
        <f>IFERROR(__xludf.DUMMYFUNCTION("""COMPUTED_VALUE"""),"Tanque Combustible 2000 lts Bajo")</f>
        <v>Tanque Combustible 2000 lts Bajo</v>
      </c>
      <c r="T96" s="3" t="str">
        <f>IFERROR(__xludf.DUMMYFUNCTION("""COMPUTED_VALUE"""),"Tanque Combustible 2000 lts Standard")</f>
        <v>Tanque Combustible 2000 lts Standard</v>
      </c>
      <c r="U96" s="3" t="str">
        <f>IFERROR(__xludf.DUMMYFUNCTION("""COMPUTED_VALUE"""),"Tanque Combustible 3000 lts Standard")</f>
        <v>Tanque Combustible 3000 lts Standard</v>
      </c>
      <c r="V96" s="3" t="str">
        <f>IFERROR(__xludf.DUMMYFUNCTION("""COMPUTED_VALUE"""),"Tanque Combustible 3000 lts Alto")</f>
        <v>Tanque Combustible 3000 lts Alto</v>
      </c>
      <c r="W96" s="3" t="str">
        <f>IFERROR(__xludf.DUMMYFUNCTION("""COMPUTED_VALUE"""),"Tanque Combustible 4000 lts Standard")</f>
        <v>Tanque Combustible 4000 lts Standard</v>
      </c>
      <c r="X96" s="3" t="str">
        <f>IFERROR(__xludf.DUMMYFUNCTION("""COMPUTED_VALUE"""),"Tanque Combustible 5000 lts Standard")</f>
        <v>Tanque Combustible 5000 lts Standard</v>
      </c>
      <c r="Y96" s="3" t="str">
        <f>IFERROR(__xludf.DUMMYFUNCTION("""COMPUTED_VALUE"""),"Tanque Combustible 5000 lts Alto")</f>
        <v>Tanque Combustible 5000 lts Alto</v>
      </c>
      <c r="Z96" s="3" t="str">
        <f>IFERROR(__xludf.DUMMYFUNCTION("""COMPUTED_VALUE"""),"Tanque Combustible 2000 lts Alto")</f>
        <v>Tanque Combustible 2000 lts Alto</v>
      </c>
      <c r="AA96" s="3" t="str">
        <f>IFERROR(__xludf.DUMMYFUNCTION("""COMPUTED_VALUE"""),"Tanque Combustible 4000 lts Alto")</f>
        <v>Tanque Combustible 4000 lts Alto</v>
      </c>
      <c r="AB96" s="3" t="str">
        <f>IFERROR(__xludf.DUMMYFUNCTION("""COMPUTED_VALUE"""),"Baulera Standard - 750")</f>
        <v>Baulera Standard - 750</v>
      </c>
      <c r="AC96" s="3" t="str">
        <f>IFERROR(__xludf.DUMMYFUNCTION("""COMPUTED_VALUE"""),"Baulera Standard - 1700 - C/Laterales")</f>
        <v>Baulera Standard - 1700 - C/Laterales</v>
      </c>
      <c r="AD96" s="3" t="str">
        <f>IFERROR(__xludf.DUMMYFUNCTION("""COMPUTED_VALUE"""),"Baulera Standard - 1000 - C/Laterales")</f>
        <v>Baulera Standard - 1000 - C/Laterales</v>
      </c>
      <c r="AE96" s="3" t="str">
        <f>IFERROR(__xludf.DUMMYFUNCTION("""COMPUTED_VALUE"""),"Baulera Standard - 750 - C/Laterales")</f>
        <v>Baulera Standard - 750 - C/Laterales</v>
      </c>
      <c r="AF96" s="3" t="str">
        <f>IFERROR(__xludf.DUMMYFUNCTION("""COMPUTED_VALUE"""),"Baulera Standard - 1300 - C/Laterales")</f>
        <v>Baulera Standard - 1300 - C/Laterales</v>
      </c>
      <c r="AG96" s="3" t="str">
        <f>IFERROR(__xludf.DUMMYFUNCTION("""COMPUTED_VALUE"""),"Baulera Alta - 750")</f>
        <v>Baulera Alta - 750</v>
      </c>
      <c r="AH96" s="3" t="str">
        <f>IFERROR(__xludf.DUMMYFUNCTION("""COMPUTED_VALUE"""),"Baulera Alta - 1500 - C/Laterales")</f>
        <v>Baulera Alta - 1500 - C/Laterales</v>
      </c>
      <c r="AI96" s="3" t="str">
        <f>IFERROR(__xludf.DUMMYFUNCTION("""COMPUTED_VALUE"""),"Baulera Extendida 1700 - C/Laterales")</f>
        <v>Baulera Extendida 1700 - C/Laterales</v>
      </c>
      <c r="AJ96" s="3" t="str">
        <f>IFERROR(__xludf.DUMMYFUNCTION("""COMPUTED_VALUE"""),"Taller Móvil - 1500 x 1500 x 1700")</f>
        <v>Taller Móvil - 1500 x 1500 x 1700</v>
      </c>
      <c r="AK96" s="3" t="str">
        <f>IFERROR(__xludf.DUMMYFUNCTION("""COMPUTED_VALUE"""),"Cajón Herramientas Standard Derecho")</f>
        <v>Cajón Herramientas Standard Derecho</v>
      </c>
      <c r="AL96" s="3" t="str">
        <f>IFERROR(__xludf.DUMMYFUNCTION("""COMPUTED_VALUE"""),"Cajón Herramientas Standard Izquierdo")</f>
        <v>Cajón Herramientas Standard Izquierdo</v>
      </c>
      <c r="AM96" s="3" t="str">
        <f>IFERROR(__xludf.DUMMYFUNCTION("""COMPUTED_VALUE"""),"Cajón Herramientas Corto Derecho")</f>
        <v>Cajón Herramientas Corto Derecho</v>
      </c>
      <c r="AN96" s="3" t="str">
        <f>IFERROR(__xludf.DUMMYFUNCTION("""COMPUTED_VALUE"""),"Cajón Herramientas Corto Izquierdo")</f>
        <v>Cajón Herramientas Corto Izquierdo</v>
      </c>
      <c r="AO96" s="3" t="str">
        <f>IFERROR(__xludf.DUMMYFUNCTION("""COMPUTED_VALUE"""),"Cajón Herramientas Mediano Derecho")</f>
        <v>Cajón Herramientas Mediano Derecho</v>
      </c>
      <c r="AP96" s="3" t="str">
        <f>IFERROR(__xludf.DUMMYFUNCTION("""COMPUTED_VALUE"""),"Cajón Herramientas Mediano Izquierdo")</f>
        <v>Cajón Herramientas Mediano Izquierdo</v>
      </c>
      <c r="AQ96" s="3" t="str">
        <f>IFERROR(__xludf.DUMMYFUNCTION("""COMPUTED_VALUE"""),"Chasis Acoplado 2 Ejes L3000")</f>
        <v>Chasis Acoplado 2 Ejes L3000</v>
      </c>
      <c r="AR96" s="3" t="str">
        <f>IFERROR(__xludf.DUMMYFUNCTION("""COMPUTED_VALUE"""),"Chasis Acoplado 2 Ejes L3750")</f>
        <v>Chasis Acoplado 2 Ejes L3750</v>
      </c>
      <c r="AS96" s="3" t="str">
        <f>IFERROR(__xludf.DUMMYFUNCTION("""COMPUTED_VALUE"""),"Chasis Acoplado 2 Ejes L4000")</f>
        <v>Chasis Acoplado 2 Ejes L4000</v>
      </c>
      <c r="AT96" s="3" t="str">
        <f>IFERROR(__xludf.DUMMYFUNCTION("""COMPUTED_VALUE"""),"Chasis Acoplado 2 Ejes L4000 Reforzado")</f>
        <v>Chasis Acoplado 2 Ejes L4000 Reforzado</v>
      </c>
      <c r="AU96" s="3" t="str">
        <f>IFERROR(__xludf.DUMMYFUNCTION("""COMPUTED_VALUE"""),"Chasis Acoplado 2 Ejes L4750")</f>
        <v>Chasis Acoplado 2 Ejes L4750</v>
      </c>
      <c r="AV96" s="3" t="str">
        <f>IFERROR(__xludf.DUMMYFUNCTION("""COMPUTED_VALUE"""),"Chasis Acoplado 2 Ejes L4750 Reforzado")</f>
        <v>Chasis Acoplado 2 Ejes L4750 Reforzado</v>
      </c>
      <c r="AW96" s="3" t="str">
        <f>IFERROR(__xludf.DUMMYFUNCTION("""COMPUTED_VALUE"""),"Chasis Acoplado 2 Ejes L4750 Reforzado R. Camion")</f>
        <v>Chasis Acoplado 2 Ejes L4750 Reforzado R. Camion</v>
      </c>
      <c r="AX96" s="3" t="str">
        <f>IFERROR(__xludf.DUMMYFUNCTION("""COMPUTED_VALUE"""),"Chasis Acoplado 2 Ejes L5000")</f>
        <v>Chasis Acoplado 2 Ejes L5000</v>
      </c>
      <c r="AY96" s="3" t="str">
        <f>IFERROR(__xludf.DUMMYFUNCTION("""COMPUTED_VALUE"""),"Chasis Acoplado 2 Ejes L5750")</f>
        <v>Chasis Acoplado 2 Ejes L5750</v>
      </c>
      <c r="AZ96" s="3" t="str">
        <f>IFERROR(__xludf.DUMMYFUNCTION("""COMPUTED_VALUE"""),"Chasis Acoplado 2 Ejes L6400")</f>
        <v>Chasis Acoplado 2 Ejes L6400</v>
      </c>
      <c r="BA96" s="3" t="str">
        <f>IFERROR(__xludf.DUMMYFUNCTION("""COMPUTED_VALUE"""),"Chasis Acoplado 2 Ejes L4500")</f>
        <v>Chasis Acoplado 2 Ejes L4500</v>
      </c>
      <c r="BB96" s="3" t="str">
        <f>IFERROR(__xludf.DUMMYFUNCTION("""COMPUTED_VALUE"""),"Chasis Acoplado 1 Eje L1500")</f>
        <v>Chasis Acoplado 1 Eje L1500</v>
      </c>
      <c r="BC96" s="3" t="str">
        <f>IFERROR(__xludf.DUMMYFUNCTION("""COMPUTED_VALUE"""),"Chasis Acoplado 1 Eje L1800")</f>
        <v>Chasis Acoplado 1 Eje L1800</v>
      </c>
      <c r="BD96" s="3" t="str">
        <f>IFERROR(__xludf.DUMMYFUNCTION("""COMPUTED_VALUE"""),"Chasis Acoplado 1 Eje L1400")</f>
        <v>Chasis Acoplado 1 Eje L1400</v>
      </c>
      <c r="BE96" s="3" t="str">
        <f>IFERROR(__xludf.DUMMYFUNCTION("""COMPUTED_VALUE"""),"Chasis Acoplado Balancin L3000")</f>
        <v>Chasis Acoplado Balancin L3000</v>
      </c>
      <c r="BF96" s="3" t="str">
        <f>IFERROR(__xludf.DUMMYFUNCTION("""COMPUTED_VALUE"""),"Chasis Acoplado Balancin L3000 Lanza Corta")</f>
        <v>Chasis Acoplado Balancin L3000 Lanza Corta</v>
      </c>
      <c r="BG96" s="3" t="str">
        <f>IFERROR(__xludf.DUMMYFUNCTION("""COMPUTED_VALUE"""),"Chasis Acoplado Balancin L2000 Lanza Corta")</f>
        <v>Chasis Acoplado Balancin L2000 Lanza Corta</v>
      </c>
      <c r="BH96" s="3" t="str">
        <f>IFERROR(__xludf.DUMMYFUNCTION("""COMPUTED_VALUE"""),"Chasis Acoplado Balancin L3200 Lanza Corta")</f>
        <v>Chasis Acoplado Balancin L3200 Lanza Corta</v>
      </c>
      <c r="BI96" s="3" t="str">
        <f>IFERROR(__xludf.DUMMYFUNCTION("""COMPUTED_VALUE"""),"Chasis Acoplado Balancin L3200 Lanza Recta")</f>
        <v>Chasis Acoplado Balancin L3200 Lanza Recta</v>
      </c>
      <c r="BJ96" s="3" t="str">
        <f>IFERROR(__xludf.DUMMYFUNCTION("""COMPUTED_VALUE"""),"Chasis Acoplado Balancin L3200 Bajo Lanza Recta")</f>
        <v>Chasis Acoplado Balancin L3200 Bajo Lanza Recta</v>
      </c>
      <c r="BK96" s="3" t="str">
        <f>IFERROR(__xludf.DUMMYFUNCTION("""COMPUTED_VALUE"""),"Tanque Plastico Horizontal 750 Lts")</f>
        <v>Tanque Plastico Horizontal 750 Lts</v>
      </c>
      <c r="BL96" s="3" t="str">
        <f>IFERROR(__xludf.DUMMYFUNCTION("""COMPUTED_VALUE"""),"Medio Tanque Plastico Superior 700 Lts")</f>
        <v>Medio Tanque Plastico Superior 700 Lts</v>
      </c>
      <c r="BM96" s="3" t="str">
        <f>IFERROR(__xludf.DUMMYFUNCTION("""COMPUTED_VALUE"""),"Paquete de Elasticos 50 mm x 8 mm x 10 Hojas L850")</f>
        <v>Paquete de Elasticos 50 mm x 8 mm x 10 Hojas L850</v>
      </c>
      <c r="BN96" s="3" t="str">
        <f>IFERROR(__xludf.DUMMYFUNCTION("""COMPUTED_VALUE"""),"Paquete de Elasticos 63 mm x 8 mm x 10 Hojas L950")</f>
        <v>Paquete de Elasticos 63 mm x 8 mm x 10 Hojas L950</v>
      </c>
      <c r="BO96" s="3" t="str">
        <f>IFERROR(__xludf.DUMMYFUNCTION("""COMPUTED_VALUE"""),"Paquete de Elasticos 50 mm x 7 mm x 9 Hojas L850")</f>
        <v>Paquete de Elasticos 50 mm x 7 mm x 9 Hojas L850</v>
      </c>
      <c r="BP96" s="3" t="str">
        <f>IFERROR(__xludf.DUMMYFUNCTION("""COMPUTED_VALUE"""),"Paquete de Elasticos 63 mm x 8 mm x 8 Hojas L850")</f>
        <v>Paquete de Elasticos 63 mm x 8 mm x 8 Hojas L850</v>
      </c>
      <c r="BQ96" s="3" t="str">
        <f>IFERROR(__xludf.DUMMYFUNCTION("""COMPUTED_VALUE"""),"Paquete de Elasticos 63 mm x 10 mm x 10 Hojas L950")</f>
        <v>Paquete de Elasticos 63 mm x 10 mm x 10 Hojas L950</v>
      </c>
      <c r="BR96" s="3" t="str">
        <f>IFERROR(__xludf.DUMMYFUNCTION("""COMPUTED_VALUE"""),"Paquete de Elasticos 63 mm x 10 mm x 13 Hojas L975")</f>
        <v>Paquete de Elasticos 63 mm x 10 mm x 13 Hojas L975</v>
      </c>
      <c r="BS96" s="3" t="str">
        <f>IFERROR(__xludf.DUMMYFUNCTION("""COMPUTED_VALUE"""),"Paquete de Elasticos 50 mm x 7 mm x 9 Hojas L650")</f>
        <v>Paquete de Elasticos 50 mm x 7 mm x 9 Hojas L650</v>
      </c>
      <c r="BT96" s="3" t="str">
        <f>IFERROR(__xludf.DUMMYFUNCTION("""COMPUTED_VALUE"""),"Eje Acoplado 2"" x 1600 (06/08) Agrícola Centro 92")</f>
        <v>Eje Acoplado 2" x 1600 (06/08) Agrícola Centro 92</v>
      </c>
      <c r="BU96" s="3" t="str">
        <f>IFERROR(__xludf.DUMMYFUNCTION("""COMPUTED_VALUE"""),"Eje Acoplado 2 1/2"" x 1600 (07/09) Agrícola Centro 92")</f>
        <v>Eje Acoplado 2 1/2" x 1600 (07/09) Agrícola Centro 92</v>
      </c>
      <c r="BV96" s="3" t="str">
        <f>IFERROR(__xludf.DUMMYFUNCTION("""COMPUTED_VALUE"""),"Eje Acoplado 2 1/2"" x 1600 (09/11) Agrícola Centro 150")</f>
        <v>Eje Acoplado 2 1/2" x 1600 (09/11) Agrícola Centro 150</v>
      </c>
      <c r="BW96" s="3" t="str">
        <f>IFERROR(__xludf.DUMMYFUNCTION("""COMPUTED_VALUE"""),"Eje Acoplado 3"" x 1600 (10/13) Agrícola Centro 150")</f>
        <v>Eje Acoplado 3" x 1600 (10/13) Agrícola Centro 150</v>
      </c>
      <c r="BX96" s="3" t="str">
        <f>IFERROR(__xludf.DUMMYFUNCTION("""COMPUTED_VALUE"""),"Eje Acoplado 2 1/2"" x 2140 (07/09) Agrícola Centro 92")</f>
        <v>Eje Acoplado 2 1/2" x 2140 (07/09) Agrícola Centro 92</v>
      </c>
      <c r="BY96" s="3" t="str">
        <f>IFERROR(__xludf.DUMMYFUNCTION("""COMPUTED_VALUE"""),"Eje Acoplado 2"" x 1400 (06/08) Agrícola Centro 92")</f>
        <v>Eje Acoplado 2" x 1400 (06/08) Agrícola Centro 92</v>
      </c>
      <c r="BZ96" s="3" t="str">
        <f>IFERROR(__xludf.DUMMYFUNCTION("""COMPUTED_VALUE"""),"Eje Acoplado 2 1/2"" x 1500 (07/09) Agrícola Centro 92")</f>
        <v>Eje Acoplado 2 1/2" x 1500 (07/09) Agrícola Centro 92</v>
      </c>
      <c r="CA96" s="3" t="str">
        <f>IFERROR(__xludf.DUMMYFUNCTION("""COMPUTED_VALUE"""),"Eje Acoplado 2 1/2"" x 2000 (07/09) Agrícola Centro 92")</f>
        <v>Eje Acoplado 2 1/2" x 2000 (07/09) Agrícola Centro 92</v>
      </c>
      <c r="CB96" s="3" t="str">
        <f>IFERROR(__xludf.DUMMYFUNCTION("""COMPUTED_VALUE"""),"Eje Acoplado 2 1/2"" x 2100 (09/11) Agrícola Centro 150")</f>
        <v>Eje Acoplado 2 1/2" x 2100 (09/11) Agrícola Centro 150</v>
      </c>
      <c r="CC96" s="3" t="str">
        <f>IFERROR(__xludf.DUMMYFUNCTION("""COMPUTED_VALUE"""),"Llanta 16"" Simple Agrícola Centro 92")</f>
        <v>Llanta 16" Simple Agrícola Centro 92</v>
      </c>
      <c r="CD96" s="3" t="str">
        <f>IFERROR(__xludf.DUMMYFUNCTION("""COMPUTED_VALUE"""),"Llanta 16"" Dual Agrícola Centro 92")</f>
        <v>Llanta 16" Dual Agrícola Centro 92</v>
      </c>
      <c r="CE96" s="3" t="str">
        <f>IFERROR(__xludf.DUMMYFUNCTION("""COMPUTED_VALUE"""),"Llanta 17"" Simple Agrícola Centro 92")</f>
        <v>Llanta 17" Simple Agrícola Centro 92</v>
      </c>
      <c r="CF96" s="3" t="str">
        <f>IFERROR(__xludf.DUMMYFUNCTION("""COMPUTED_VALUE"""),"Llanta 17"" Dual Agrícola Centro 92")</f>
        <v>Llanta 17" Dual Agrícola Centro 92</v>
      </c>
      <c r="CG96" s="3" t="str">
        <f>IFERROR(__xludf.DUMMYFUNCTION("""COMPUTED_VALUE"""),"Llanta 16"" Dual Agrícola Centro 152")</f>
        <v>Llanta 16" Dual Agrícola Centro 152</v>
      </c>
      <c r="CH96" s="3" t="str">
        <f>IFERROR(__xludf.DUMMYFUNCTION("""COMPUTED_VALUE"""),"Llanta 17"" Dual Agrícola Centro 152")</f>
        <v>Llanta 17" Dual Agrícola Centro 152</v>
      </c>
      <c r="CI96" s="3" t="str">
        <f>IFERROR(__xludf.DUMMYFUNCTION("""COMPUTED_VALUE"""),"Eje Acoplado 2"" x 1600 (05/07) Agrícola Centro 92")</f>
        <v>Eje Acoplado 2" x 1600 (05/07) Agrícola Centro 92</v>
      </c>
      <c r="CJ96" s="3" t="str">
        <f>IFERROR(__xludf.DUMMYFUNCTION("""COMPUTED_VALUE"""),"Paquete de Elásticos 50 mm x 8 mm x 12 Hojas")</f>
        <v>Paquete de Elásticos 50 mm x 8 mm x 12 Hojas</v>
      </c>
      <c r="CK96" s="3" t="str">
        <f>IFERROR(__xludf.DUMMYFUNCTION("""COMPUTED_VALUE"""),"Plataforma Playo 4.00 x 1.90 x 0.45 Lateral Simple Baranda Fija")</f>
        <v>Plataforma Playo 4.00 x 1.90 x 0.45 Lateral Simple Baranda Fija</v>
      </c>
      <c r="CL96" s="3" t="str">
        <f>IFERROR(__xludf.DUMMYFUNCTION("""COMPUTED_VALUE"""),"Plataforma Playo 4.00 x 1.90 x 0.45 Lateral Simple Baranda Ventilada")</f>
        <v>Plataforma Playo 4.00 x 1.90 x 0.45 Lateral Simple Baranda Ventilada</v>
      </c>
      <c r="CM96" s="3" t="str">
        <f>IFERROR(__xludf.DUMMYFUNCTION("""COMPUTED_VALUE"""),"Plataforma Playo 4.00 x 1.90 x 0.45 Lateral Doble Baranda Ventilada")</f>
        <v>Plataforma Playo 4.00 x 1.90 x 0.45 Lateral Doble Baranda Ventilada</v>
      </c>
      <c r="CN96" s="3" t="str">
        <f>IFERROR(__xludf.DUMMYFUNCTION("""COMPUTED_VALUE"""),"Plataforma Playo 4.00 x 1.90 x 0.45 Lateral Doble Baranda Fija")</f>
        <v>Plataforma Playo 4.00 x 1.90 x 0.45 Lateral Doble Baranda Fija</v>
      </c>
      <c r="CO96" s="3" t="str">
        <f>IFERROR(__xludf.DUMMYFUNCTION("""COMPUTED_VALUE"""),"Plataforma Playo 4.00 x 1.90 x 0.72 Lateral Simple Baranda Fija")</f>
        <v>Plataforma Playo 4.00 x 1.90 x 0.72 Lateral Simple Baranda Fija</v>
      </c>
      <c r="CP96" s="3" t="str">
        <f>IFERROR(__xludf.DUMMYFUNCTION("""COMPUTED_VALUE"""),"Plataforma Playo 4.00 x 1.90 x 0.72 Lateral Doble Baranda Fija")</f>
        <v>Plataforma Playo 4.00 x 1.90 x 0.72 Lateral Doble Baranda Fija</v>
      </c>
      <c r="CQ96" s="3" t="str">
        <f>IFERROR(__xludf.DUMMYFUNCTION("""COMPUTED_VALUE"""),"Plataforma Playo 5.00 x 2.20 x 0.60 Lateral Doble Trasera Rebatible")</f>
        <v>Plataforma Playo 5.00 x 2.20 x 0.60 Lateral Doble Trasera Rebatible</v>
      </c>
      <c r="CR96" s="3" t="str">
        <f>IFERROR(__xludf.DUMMYFUNCTION("""COMPUTED_VALUE"""),"Plataforma Playo 5.00 x 2.20 x 0.60 Lateral Doble Baranda Fija C/Toldo")</f>
        <v>Plataforma Playo 5.00 x 2.20 x 0.60 Lateral Doble Baranda Fija C/Toldo</v>
      </c>
      <c r="CS96" s="3" t="str">
        <f>IFERROR(__xludf.DUMMYFUNCTION("""COMPUTED_VALUE"""),"Plataforma Playo 3.00 x 1.90 x 0.45 Lateral Simple Baranda Fija")</f>
        <v>Plataforma Playo 3.00 x 1.90 x 0.45 Lateral Simple Baranda Fija</v>
      </c>
      <c r="CT96" s="3" t="str">
        <f>IFERROR(__xludf.DUMMYFUNCTION("""COMPUTED_VALUE"""),"Plataforma Playo 3.00 x 1.90 x 0.45 Lateral Simple Baranda Ventilada")</f>
        <v>Plataforma Playo 3.00 x 1.90 x 0.45 Lateral Simple Baranda Ventilada</v>
      </c>
      <c r="CU96" s="3" t="str">
        <f>IFERROR(__xludf.DUMMYFUNCTION("""COMPUTED_VALUE"""),"Plataforma Playo 2.00 x 1.90 x 0.45 Lateral Simple Baranda Fija")</f>
        <v>Plataforma Playo 2.00 x 1.90 x 0.45 Lateral Simple Baranda Fija</v>
      </c>
      <c r="CV96" s="3" t="str">
        <f>IFERROR(__xludf.DUMMYFUNCTION("""COMPUTED_VALUE"""),"Plataforma Playo 5.00 x 1.90 x 0.60 Lateral Doble Baranda Fija")</f>
        <v>Plataforma Playo 5.00 x 1.90 x 0.60 Lateral Doble Baranda Fija</v>
      </c>
      <c r="CW96" s="3" t="str">
        <f>IFERROR(__xludf.DUMMYFUNCTION("""COMPUTED_VALUE"""),"Plataforma Playo 6.40 x 2.70 x 0.72 Lateral Doble Baranda Fija")</f>
        <v>Plataforma Playo 6.40 x 2.70 x 0.72 Lateral Doble Baranda Fija</v>
      </c>
      <c r="CX96" s="3" t="str">
        <f>IFERROR(__xludf.DUMMYFUNCTION("""COMPUTED_VALUE"""),"Chasis Acoplado Balancin L4000 Lanza Recta")</f>
        <v>Chasis Acoplado Balancin L4000 Lanza Recta</v>
      </c>
      <c r="CY96" s="3" t="str">
        <f>IFERROR(__xludf.DUMMYFUNCTION("""COMPUTED_VALUE"""),"Llanta simple Agrícola 750x20 centro 152")</f>
        <v>Llanta simple Agrícola 750x20 centro 152</v>
      </c>
      <c r="CZ96" s="3" t="str">
        <f>IFERROR(__xludf.DUMMYFUNCTION("""COMPUTED_VALUE"""),"Cajón de Herramientas Mediano adelante")</f>
        <v>Cajón de Herramientas Mediano adelante</v>
      </c>
      <c r="DA96" s="3" t="str">
        <f>IFERROR(__xludf.DUMMYFUNCTION("""COMPUTED_VALUE"""),"Llanta 15"" Simple Agrícola Centro 92")</f>
        <v>Llanta 15" Simple Agrícola Centro 92</v>
      </c>
    </row>
    <row r="97" hidden="1">
      <c r="A97" s="38">
        <f t="shared" si="1"/>
        <v>96</v>
      </c>
      <c r="B97" s="38">
        <f>IF(F97="","",SUMIF(Prearmados!E:E,F97,Prearmados!A:A))</f>
        <v>19</v>
      </c>
      <c r="C97" s="38">
        <f>IF(F97="","",SUMIF(Productos!E:E,G97,Productos!A:A))</f>
        <v>67</v>
      </c>
      <c r="D97" s="83" t="str">
        <f t="array" ref="D97">IF(OR(F97="",F97="Seleccionar.."),"",XLOOKUP(F97,Prearmados!E:E,Prearmados!F:F,"",0,1))</f>
        <v>Acoplados Rurales</v>
      </c>
      <c r="E97" s="83">
        <f>IF(H97="","",SUMIF(Precio_Productos!K:K,C97,Precio_Productos!J:J)*H97)</f>
        <v>292579</v>
      </c>
      <c r="F97" s="84" t="s">
        <v>342</v>
      </c>
      <c r="G97" s="84" t="s">
        <v>81</v>
      </c>
      <c r="H97" s="13">
        <v>1.0</v>
      </c>
      <c r="P97" s="3" t="str">
        <f>IFERROR(__xludf.DUMMYFUNCTION("IF(OR(F97="""",F97=""Seleccionar..""),"""",TRANSPOSE(FILTER(Productos!E:E,(Productos!F:F=D97)+(Productos!F:F=XLOOKUP(D97,Implementos!B:B,Implementos!C:C,""-"",0,1)))))"),"Tanque Combustible 1100 lts Bajo")</f>
        <v>Tanque Combustible 1100 lts Bajo</v>
      </c>
      <c r="Q97" s="3" t="str">
        <f>IFERROR(__xludf.DUMMYFUNCTION("""COMPUTED_VALUE"""),"Tanque Combustible 1500 lts Standard")</f>
        <v>Tanque Combustible 1500 lts Standard</v>
      </c>
      <c r="R97" s="3" t="str">
        <f>IFERROR(__xludf.DUMMYFUNCTION("""COMPUTED_VALUE"""),"Tanque Combustible 1800 lts Standard")</f>
        <v>Tanque Combustible 1800 lts Standard</v>
      </c>
      <c r="S97" s="3" t="str">
        <f>IFERROR(__xludf.DUMMYFUNCTION("""COMPUTED_VALUE"""),"Tanque Combustible 2000 lts Bajo")</f>
        <v>Tanque Combustible 2000 lts Bajo</v>
      </c>
      <c r="T97" s="3" t="str">
        <f>IFERROR(__xludf.DUMMYFUNCTION("""COMPUTED_VALUE"""),"Tanque Combustible 2000 lts Standard")</f>
        <v>Tanque Combustible 2000 lts Standard</v>
      </c>
      <c r="U97" s="3" t="str">
        <f>IFERROR(__xludf.DUMMYFUNCTION("""COMPUTED_VALUE"""),"Tanque Combustible 3000 lts Standard")</f>
        <v>Tanque Combustible 3000 lts Standard</v>
      </c>
      <c r="V97" s="3" t="str">
        <f>IFERROR(__xludf.DUMMYFUNCTION("""COMPUTED_VALUE"""),"Tanque Combustible 3000 lts Alto")</f>
        <v>Tanque Combustible 3000 lts Alto</v>
      </c>
      <c r="W97" s="3" t="str">
        <f>IFERROR(__xludf.DUMMYFUNCTION("""COMPUTED_VALUE"""),"Tanque Combustible 4000 lts Standard")</f>
        <v>Tanque Combustible 4000 lts Standard</v>
      </c>
      <c r="X97" s="3" t="str">
        <f>IFERROR(__xludf.DUMMYFUNCTION("""COMPUTED_VALUE"""),"Tanque Combustible 5000 lts Standard")</f>
        <v>Tanque Combustible 5000 lts Standard</v>
      </c>
      <c r="Y97" s="3" t="str">
        <f>IFERROR(__xludf.DUMMYFUNCTION("""COMPUTED_VALUE"""),"Tanque Combustible 5000 lts Alto")</f>
        <v>Tanque Combustible 5000 lts Alto</v>
      </c>
      <c r="Z97" s="3" t="str">
        <f>IFERROR(__xludf.DUMMYFUNCTION("""COMPUTED_VALUE"""),"Tanque Combustible 2000 lts Alto")</f>
        <v>Tanque Combustible 2000 lts Alto</v>
      </c>
      <c r="AA97" s="3" t="str">
        <f>IFERROR(__xludf.DUMMYFUNCTION("""COMPUTED_VALUE"""),"Tanque Combustible 4000 lts Alto")</f>
        <v>Tanque Combustible 4000 lts Alto</v>
      </c>
      <c r="AB97" s="3" t="str">
        <f>IFERROR(__xludf.DUMMYFUNCTION("""COMPUTED_VALUE"""),"Baulera Standard - 750")</f>
        <v>Baulera Standard - 750</v>
      </c>
      <c r="AC97" s="3" t="str">
        <f>IFERROR(__xludf.DUMMYFUNCTION("""COMPUTED_VALUE"""),"Baulera Standard - 1700 - C/Laterales")</f>
        <v>Baulera Standard - 1700 - C/Laterales</v>
      </c>
      <c r="AD97" s="3" t="str">
        <f>IFERROR(__xludf.DUMMYFUNCTION("""COMPUTED_VALUE"""),"Baulera Standard - 1000 - C/Laterales")</f>
        <v>Baulera Standard - 1000 - C/Laterales</v>
      </c>
      <c r="AE97" s="3" t="str">
        <f>IFERROR(__xludf.DUMMYFUNCTION("""COMPUTED_VALUE"""),"Baulera Standard - 750 - C/Laterales")</f>
        <v>Baulera Standard - 750 - C/Laterales</v>
      </c>
      <c r="AF97" s="3" t="str">
        <f>IFERROR(__xludf.DUMMYFUNCTION("""COMPUTED_VALUE"""),"Baulera Standard - 1300 - C/Laterales")</f>
        <v>Baulera Standard - 1300 - C/Laterales</v>
      </c>
      <c r="AG97" s="3" t="str">
        <f>IFERROR(__xludf.DUMMYFUNCTION("""COMPUTED_VALUE"""),"Baulera Alta - 750")</f>
        <v>Baulera Alta - 750</v>
      </c>
      <c r="AH97" s="3" t="str">
        <f>IFERROR(__xludf.DUMMYFUNCTION("""COMPUTED_VALUE"""),"Baulera Alta - 1500 - C/Laterales")</f>
        <v>Baulera Alta - 1500 - C/Laterales</v>
      </c>
      <c r="AI97" s="3" t="str">
        <f>IFERROR(__xludf.DUMMYFUNCTION("""COMPUTED_VALUE"""),"Baulera Extendida 1700 - C/Laterales")</f>
        <v>Baulera Extendida 1700 - C/Laterales</v>
      </c>
      <c r="AJ97" s="3" t="str">
        <f>IFERROR(__xludf.DUMMYFUNCTION("""COMPUTED_VALUE"""),"Taller Móvil - 1500 x 1500 x 1700")</f>
        <v>Taller Móvil - 1500 x 1500 x 1700</v>
      </c>
      <c r="AK97" s="3" t="str">
        <f>IFERROR(__xludf.DUMMYFUNCTION("""COMPUTED_VALUE"""),"Cajón Herramientas Standard Derecho")</f>
        <v>Cajón Herramientas Standard Derecho</v>
      </c>
      <c r="AL97" s="3" t="str">
        <f>IFERROR(__xludf.DUMMYFUNCTION("""COMPUTED_VALUE"""),"Cajón Herramientas Standard Izquierdo")</f>
        <v>Cajón Herramientas Standard Izquierdo</v>
      </c>
      <c r="AM97" s="3" t="str">
        <f>IFERROR(__xludf.DUMMYFUNCTION("""COMPUTED_VALUE"""),"Cajón Herramientas Corto Derecho")</f>
        <v>Cajón Herramientas Corto Derecho</v>
      </c>
      <c r="AN97" s="3" t="str">
        <f>IFERROR(__xludf.DUMMYFUNCTION("""COMPUTED_VALUE"""),"Cajón Herramientas Corto Izquierdo")</f>
        <v>Cajón Herramientas Corto Izquierdo</v>
      </c>
      <c r="AO97" s="3" t="str">
        <f>IFERROR(__xludf.DUMMYFUNCTION("""COMPUTED_VALUE"""),"Cajón Herramientas Mediano Derecho")</f>
        <v>Cajón Herramientas Mediano Derecho</v>
      </c>
      <c r="AP97" s="3" t="str">
        <f>IFERROR(__xludf.DUMMYFUNCTION("""COMPUTED_VALUE"""),"Cajón Herramientas Mediano Izquierdo")</f>
        <v>Cajón Herramientas Mediano Izquierdo</v>
      </c>
      <c r="AQ97" s="3" t="str">
        <f>IFERROR(__xludf.DUMMYFUNCTION("""COMPUTED_VALUE"""),"Chasis Acoplado 2 Ejes L3000")</f>
        <v>Chasis Acoplado 2 Ejes L3000</v>
      </c>
      <c r="AR97" s="3" t="str">
        <f>IFERROR(__xludf.DUMMYFUNCTION("""COMPUTED_VALUE"""),"Chasis Acoplado 2 Ejes L3750")</f>
        <v>Chasis Acoplado 2 Ejes L3750</v>
      </c>
      <c r="AS97" s="3" t="str">
        <f>IFERROR(__xludf.DUMMYFUNCTION("""COMPUTED_VALUE"""),"Chasis Acoplado 2 Ejes L4000")</f>
        <v>Chasis Acoplado 2 Ejes L4000</v>
      </c>
      <c r="AT97" s="3" t="str">
        <f>IFERROR(__xludf.DUMMYFUNCTION("""COMPUTED_VALUE"""),"Chasis Acoplado 2 Ejes L4000 Reforzado")</f>
        <v>Chasis Acoplado 2 Ejes L4000 Reforzado</v>
      </c>
      <c r="AU97" s="3" t="str">
        <f>IFERROR(__xludf.DUMMYFUNCTION("""COMPUTED_VALUE"""),"Chasis Acoplado 2 Ejes L4750")</f>
        <v>Chasis Acoplado 2 Ejes L4750</v>
      </c>
      <c r="AV97" s="3" t="str">
        <f>IFERROR(__xludf.DUMMYFUNCTION("""COMPUTED_VALUE"""),"Chasis Acoplado 2 Ejes L4750 Reforzado")</f>
        <v>Chasis Acoplado 2 Ejes L4750 Reforzado</v>
      </c>
      <c r="AW97" s="3" t="str">
        <f>IFERROR(__xludf.DUMMYFUNCTION("""COMPUTED_VALUE"""),"Chasis Acoplado 2 Ejes L4750 Reforzado R. Camion")</f>
        <v>Chasis Acoplado 2 Ejes L4750 Reforzado R. Camion</v>
      </c>
      <c r="AX97" s="3" t="str">
        <f>IFERROR(__xludf.DUMMYFUNCTION("""COMPUTED_VALUE"""),"Chasis Acoplado 2 Ejes L5000")</f>
        <v>Chasis Acoplado 2 Ejes L5000</v>
      </c>
      <c r="AY97" s="3" t="str">
        <f>IFERROR(__xludf.DUMMYFUNCTION("""COMPUTED_VALUE"""),"Chasis Acoplado 2 Ejes L5750")</f>
        <v>Chasis Acoplado 2 Ejes L5750</v>
      </c>
      <c r="AZ97" s="3" t="str">
        <f>IFERROR(__xludf.DUMMYFUNCTION("""COMPUTED_VALUE"""),"Chasis Acoplado 2 Ejes L6400")</f>
        <v>Chasis Acoplado 2 Ejes L6400</v>
      </c>
      <c r="BA97" s="3" t="str">
        <f>IFERROR(__xludf.DUMMYFUNCTION("""COMPUTED_VALUE"""),"Chasis Acoplado 2 Ejes L4500")</f>
        <v>Chasis Acoplado 2 Ejes L4500</v>
      </c>
      <c r="BB97" s="3" t="str">
        <f>IFERROR(__xludf.DUMMYFUNCTION("""COMPUTED_VALUE"""),"Chasis Acoplado 1 Eje L1500")</f>
        <v>Chasis Acoplado 1 Eje L1500</v>
      </c>
      <c r="BC97" s="3" t="str">
        <f>IFERROR(__xludf.DUMMYFUNCTION("""COMPUTED_VALUE"""),"Chasis Acoplado 1 Eje L1800")</f>
        <v>Chasis Acoplado 1 Eje L1800</v>
      </c>
      <c r="BD97" s="3" t="str">
        <f>IFERROR(__xludf.DUMMYFUNCTION("""COMPUTED_VALUE"""),"Chasis Acoplado 1 Eje L1400")</f>
        <v>Chasis Acoplado 1 Eje L1400</v>
      </c>
      <c r="BE97" s="3" t="str">
        <f>IFERROR(__xludf.DUMMYFUNCTION("""COMPUTED_VALUE"""),"Chasis Acoplado Balancin L3000")</f>
        <v>Chasis Acoplado Balancin L3000</v>
      </c>
      <c r="BF97" s="3" t="str">
        <f>IFERROR(__xludf.DUMMYFUNCTION("""COMPUTED_VALUE"""),"Chasis Acoplado Balancin L3000 Lanza Corta")</f>
        <v>Chasis Acoplado Balancin L3000 Lanza Corta</v>
      </c>
      <c r="BG97" s="3" t="str">
        <f>IFERROR(__xludf.DUMMYFUNCTION("""COMPUTED_VALUE"""),"Chasis Acoplado Balancin L2000 Lanza Corta")</f>
        <v>Chasis Acoplado Balancin L2000 Lanza Corta</v>
      </c>
      <c r="BH97" s="3" t="str">
        <f>IFERROR(__xludf.DUMMYFUNCTION("""COMPUTED_VALUE"""),"Chasis Acoplado Balancin L3200 Lanza Corta")</f>
        <v>Chasis Acoplado Balancin L3200 Lanza Corta</v>
      </c>
      <c r="BI97" s="3" t="str">
        <f>IFERROR(__xludf.DUMMYFUNCTION("""COMPUTED_VALUE"""),"Chasis Acoplado Balancin L3200 Lanza Recta")</f>
        <v>Chasis Acoplado Balancin L3200 Lanza Recta</v>
      </c>
      <c r="BJ97" s="3" t="str">
        <f>IFERROR(__xludf.DUMMYFUNCTION("""COMPUTED_VALUE"""),"Chasis Acoplado Balancin L3200 Bajo Lanza Recta")</f>
        <v>Chasis Acoplado Balancin L3200 Bajo Lanza Recta</v>
      </c>
      <c r="BK97" s="3" t="str">
        <f>IFERROR(__xludf.DUMMYFUNCTION("""COMPUTED_VALUE"""),"Tanque Plastico Horizontal 750 Lts")</f>
        <v>Tanque Plastico Horizontal 750 Lts</v>
      </c>
      <c r="BL97" s="3" t="str">
        <f>IFERROR(__xludf.DUMMYFUNCTION("""COMPUTED_VALUE"""),"Medio Tanque Plastico Superior 700 Lts")</f>
        <v>Medio Tanque Plastico Superior 700 Lts</v>
      </c>
      <c r="BM97" s="3" t="str">
        <f>IFERROR(__xludf.DUMMYFUNCTION("""COMPUTED_VALUE"""),"Paquete de Elasticos 50 mm x 8 mm x 10 Hojas L850")</f>
        <v>Paquete de Elasticos 50 mm x 8 mm x 10 Hojas L850</v>
      </c>
      <c r="BN97" s="3" t="str">
        <f>IFERROR(__xludf.DUMMYFUNCTION("""COMPUTED_VALUE"""),"Paquete de Elasticos 63 mm x 8 mm x 10 Hojas L950")</f>
        <v>Paquete de Elasticos 63 mm x 8 mm x 10 Hojas L950</v>
      </c>
      <c r="BO97" s="3" t="str">
        <f>IFERROR(__xludf.DUMMYFUNCTION("""COMPUTED_VALUE"""),"Paquete de Elasticos 50 mm x 7 mm x 9 Hojas L850")</f>
        <v>Paquete de Elasticos 50 mm x 7 mm x 9 Hojas L850</v>
      </c>
      <c r="BP97" s="3" t="str">
        <f>IFERROR(__xludf.DUMMYFUNCTION("""COMPUTED_VALUE"""),"Paquete de Elasticos 63 mm x 8 mm x 8 Hojas L850")</f>
        <v>Paquete de Elasticos 63 mm x 8 mm x 8 Hojas L850</v>
      </c>
      <c r="BQ97" s="3" t="str">
        <f>IFERROR(__xludf.DUMMYFUNCTION("""COMPUTED_VALUE"""),"Paquete de Elasticos 63 mm x 10 mm x 10 Hojas L950")</f>
        <v>Paquete de Elasticos 63 mm x 10 mm x 10 Hojas L950</v>
      </c>
      <c r="BR97" s="3" t="str">
        <f>IFERROR(__xludf.DUMMYFUNCTION("""COMPUTED_VALUE"""),"Paquete de Elasticos 63 mm x 10 mm x 13 Hojas L975")</f>
        <v>Paquete de Elasticos 63 mm x 10 mm x 13 Hojas L975</v>
      </c>
      <c r="BS97" s="3" t="str">
        <f>IFERROR(__xludf.DUMMYFUNCTION("""COMPUTED_VALUE"""),"Paquete de Elasticos 50 mm x 7 mm x 9 Hojas L650")</f>
        <v>Paquete de Elasticos 50 mm x 7 mm x 9 Hojas L650</v>
      </c>
      <c r="BT97" s="3" t="str">
        <f>IFERROR(__xludf.DUMMYFUNCTION("""COMPUTED_VALUE"""),"Eje Acoplado 2"" x 1600 (06/08) Agrícola Centro 92")</f>
        <v>Eje Acoplado 2" x 1600 (06/08) Agrícola Centro 92</v>
      </c>
      <c r="BU97" s="3" t="str">
        <f>IFERROR(__xludf.DUMMYFUNCTION("""COMPUTED_VALUE"""),"Eje Acoplado 2 1/2"" x 1600 (07/09) Agrícola Centro 92")</f>
        <v>Eje Acoplado 2 1/2" x 1600 (07/09) Agrícola Centro 92</v>
      </c>
      <c r="BV97" s="3" t="str">
        <f>IFERROR(__xludf.DUMMYFUNCTION("""COMPUTED_VALUE"""),"Eje Acoplado 2 1/2"" x 1600 (09/11) Agrícola Centro 150")</f>
        <v>Eje Acoplado 2 1/2" x 1600 (09/11) Agrícola Centro 150</v>
      </c>
      <c r="BW97" s="3" t="str">
        <f>IFERROR(__xludf.DUMMYFUNCTION("""COMPUTED_VALUE"""),"Eje Acoplado 3"" x 1600 (10/13) Agrícola Centro 150")</f>
        <v>Eje Acoplado 3" x 1600 (10/13) Agrícola Centro 150</v>
      </c>
      <c r="BX97" s="3" t="str">
        <f>IFERROR(__xludf.DUMMYFUNCTION("""COMPUTED_VALUE"""),"Eje Acoplado 2 1/2"" x 2140 (07/09) Agrícola Centro 92")</f>
        <v>Eje Acoplado 2 1/2" x 2140 (07/09) Agrícola Centro 92</v>
      </c>
      <c r="BY97" s="3" t="str">
        <f>IFERROR(__xludf.DUMMYFUNCTION("""COMPUTED_VALUE"""),"Eje Acoplado 2"" x 1400 (06/08) Agrícola Centro 92")</f>
        <v>Eje Acoplado 2" x 1400 (06/08) Agrícola Centro 92</v>
      </c>
      <c r="BZ97" s="3" t="str">
        <f>IFERROR(__xludf.DUMMYFUNCTION("""COMPUTED_VALUE"""),"Eje Acoplado 2 1/2"" x 1500 (07/09) Agrícola Centro 92")</f>
        <v>Eje Acoplado 2 1/2" x 1500 (07/09) Agrícola Centro 92</v>
      </c>
      <c r="CA97" s="3" t="str">
        <f>IFERROR(__xludf.DUMMYFUNCTION("""COMPUTED_VALUE"""),"Eje Acoplado 2 1/2"" x 2000 (07/09) Agrícola Centro 92")</f>
        <v>Eje Acoplado 2 1/2" x 2000 (07/09) Agrícola Centro 92</v>
      </c>
      <c r="CB97" s="3" t="str">
        <f>IFERROR(__xludf.DUMMYFUNCTION("""COMPUTED_VALUE"""),"Eje Acoplado 2 1/2"" x 2100 (09/11) Agrícola Centro 150")</f>
        <v>Eje Acoplado 2 1/2" x 2100 (09/11) Agrícola Centro 150</v>
      </c>
      <c r="CC97" s="3" t="str">
        <f>IFERROR(__xludf.DUMMYFUNCTION("""COMPUTED_VALUE"""),"Llanta 16"" Simple Agrícola Centro 92")</f>
        <v>Llanta 16" Simple Agrícola Centro 92</v>
      </c>
      <c r="CD97" s="3" t="str">
        <f>IFERROR(__xludf.DUMMYFUNCTION("""COMPUTED_VALUE"""),"Llanta 16"" Dual Agrícola Centro 92")</f>
        <v>Llanta 16" Dual Agrícola Centro 92</v>
      </c>
      <c r="CE97" s="3" t="str">
        <f>IFERROR(__xludf.DUMMYFUNCTION("""COMPUTED_VALUE"""),"Llanta 17"" Simple Agrícola Centro 92")</f>
        <v>Llanta 17" Simple Agrícola Centro 92</v>
      </c>
      <c r="CF97" s="3" t="str">
        <f>IFERROR(__xludf.DUMMYFUNCTION("""COMPUTED_VALUE"""),"Llanta 17"" Dual Agrícola Centro 92")</f>
        <v>Llanta 17" Dual Agrícola Centro 92</v>
      </c>
      <c r="CG97" s="3" t="str">
        <f>IFERROR(__xludf.DUMMYFUNCTION("""COMPUTED_VALUE"""),"Llanta 16"" Dual Agrícola Centro 152")</f>
        <v>Llanta 16" Dual Agrícola Centro 152</v>
      </c>
      <c r="CH97" s="3" t="str">
        <f>IFERROR(__xludf.DUMMYFUNCTION("""COMPUTED_VALUE"""),"Llanta 17"" Dual Agrícola Centro 152")</f>
        <v>Llanta 17" Dual Agrícola Centro 152</v>
      </c>
      <c r="CI97" s="3" t="str">
        <f>IFERROR(__xludf.DUMMYFUNCTION("""COMPUTED_VALUE"""),"Eje Acoplado 2"" x 1600 (05/07) Agrícola Centro 92")</f>
        <v>Eje Acoplado 2" x 1600 (05/07) Agrícola Centro 92</v>
      </c>
      <c r="CJ97" s="3" t="str">
        <f>IFERROR(__xludf.DUMMYFUNCTION("""COMPUTED_VALUE"""),"Paquete de Elásticos 50 mm x 8 mm x 12 Hojas")</f>
        <v>Paquete de Elásticos 50 mm x 8 mm x 12 Hojas</v>
      </c>
      <c r="CK97" s="3" t="str">
        <f>IFERROR(__xludf.DUMMYFUNCTION("""COMPUTED_VALUE"""),"Plataforma Playo 4.00 x 1.90 x 0.45 Lateral Simple Baranda Fija")</f>
        <v>Plataforma Playo 4.00 x 1.90 x 0.45 Lateral Simple Baranda Fija</v>
      </c>
      <c r="CL97" s="3" t="str">
        <f>IFERROR(__xludf.DUMMYFUNCTION("""COMPUTED_VALUE"""),"Plataforma Playo 4.00 x 1.90 x 0.45 Lateral Simple Baranda Ventilada")</f>
        <v>Plataforma Playo 4.00 x 1.90 x 0.45 Lateral Simple Baranda Ventilada</v>
      </c>
      <c r="CM97" s="3" t="str">
        <f>IFERROR(__xludf.DUMMYFUNCTION("""COMPUTED_VALUE"""),"Plataforma Playo 4.00 x 1.90 x 0.45 Lateral Doble Baranda Ventilada")</f>
        <v>Plataforma Playo 4.00 x 1.90 x 0.45 Lateral Doble Baranda Ventilada</v>
      </c>
      <c r="CN97" s="3" t="str">
        <f>IFERROR(__xludf.DUMMYFUNCTION("""COMPUTED_VALUE"""),"Plataforma Playo 4.00 x 1.90 x 0.45 Lateral Doble Baranda Fija")</f>
        <v>Plataforma Playo 4.00 x 1.90 x 0.45 Lateral Doble Baranda Fija</v>
      </c>
      <c r="CO97" s="3" t="str">
        <f>IFERROR(__xludf.DUMMYFUNCTION("""COMPUTED_VALUE"""),"Plataforma Playo 4.00 x 1.90 x 0.72 Lateral Simple Baranda Fija")</f>
        <v>Plataforma Playo 4.00 x 1.90 x 0.72 Lateral Simple Baranda Fija</v>
      </c>
      <c r="CP97" s="3" t="str">
        <f>IFERROR(__xludf.DUMMYFUNCTION("""COMPUTED_VALUE"""),"Plataforma Playo 4.00 x 1.90 x 0.72 Lateral Doble Baranda Fija")</f>
        <v>Plataforma Playo 4.00 x 1.90 x 0.72 Lateral Doble Baranda Fija</v>
      </c>
      <c r="CQ97" s="3" t="str">
        <f>IFERROR(__xludf.DUMMYFUNCTION("""COMPUTED_VALUE"""),"Plataforma Playo 5.00 x 2.20 x 0.60 Lateral Doble Trasera Rebatible")</f>
        <v>Plataforma Playo 5.00 x 2.20 x 0.60 Lateral Doble Trasera Rebatible</v>
      </c>
      <c r="CR97" s="3" t="str">
        <f>IFERROR(__xludf.DUMMYFUNCTION("""COMPUTED_VALUE"""),"Plataforma Playo 5.00 x 2.20 x 0.60 Lateral Doble Baranda Fija C/Toldo")</f>
        <v>Plataforma Playo 5.00 x 2.20 x 0.60 Lateral Doble Baranda Fija C/Toldo</v>
      </c>
      <c r="CS97" s="3" t="str">
        <f>IFERROR(__xludf.DUMMYFUNCTION("""COMPUTED_VALUE"""),"Plataforma Playo 3.00 x 1.90 x 0.45 Lateral Simple Baranda Fija")</f>
        <v>Plataforma Playo 3.00 x 1.90 x 0.45 Lateral Simple Baranda Fija</v>
      </c>
      <c r="CT97" s="3" t="str">
        <f>IFERROR(__xludf.DUMMYFUNCTION("""COMPUTED_VALUE"""),"Plataforma Playo 3.00 x 1.90 x 0.45 Lateral Simple Baranda Ventilada")</f>
        <v>Plataforma Playo 3.00 x 1.90 x 0.45 Lateral Simple Baranda Ventilada</v>
      </c>
      <c r="CU97" s="3" t="str">
        <f>IFERROR(__xludf.DUMMYFUNCTION("""COMPUTED_VALUE"""),"Plataforma Playo 2.00 x 1.90 x 0.45 Lateral Simple Baranda Fija")</f>
        <v>Plataforma Playo 2.00 x 1.90 x 0.45 Lateral Simple Baranda Fija</v>
      </c>
      <c r="CV97" s="3" t="str">
        <f>IFERROR(__xludf.DUMMYFUNCTION("""COMPUTED_VALUE"""),"Plataforma Playo 5.00 x 1.90 x 0.60 Lateral Doble Baranda Fija")</f>
        <v>Plataforma Playo 5.00 x 1.90 x 0.60 Lateral Doble Baranda Fija</v>
      </c>
      <c r="CW97" s="3" t="str">
        <f>IFERROR(__xludf.DUMMYFUNCTION("""COMPUTED_VALUE"""),"Plataforma Playo 6.40 x 2.70 x 0.72 Lateral Doble Baranda Fija")</f>
        <v>Plataforma Playo 6.40 x 2.70 x 0.72 Lateral Doble Baranda Fija</v>
      </c>
      <c r="CX97" s="3" t="str">
        <f>IFERROR(__xludf.DUMMYFUNCTION("""COMPUTED_VALUE"""),"Chasis Acoplado Balancin L4000 Lanza Recta")</f>
        <v>Chasis Acoplado Balancin L4000 Lanza Recta</v>
      </c>
      <c r="CY97" s="3" t="str">
        <f>IFERROR(__xludf.DUMMYFUNCTION("""COMPUTED_VALUE"""),"Llanta simple Agrícola 750x20 centro 152")</f>
        <v>Llanta simple Agrícola 750x20 centro 152</v>
      </c>
      <c r="CZ97" s="3" t="str">
        <f>IFERROR(__xludf.DUMMYFUNCTION("""COMPUTED_VALUE"""),"Cajón de Herramientas Mediano adelante")</f>
        <v>Cajón de Herramientas Mediano adelante</v>
      </c>
      <c r="DA97" s="3" t="str">
        <f>IFERROR(__xludf.DUMMYFUNCTION("""COMPUTED_VALUE"""),"Llanta 15"" Simple Agrícola Centro 92")</f>
        <v>Llanta 15" Simple Agrícola Centro 92</v>
      </c>
    </row>
    <row r="98" hidden="1">
      <c r="A98" s="38">
        <f t="shared" si="1"/>
        <v>97</v>
      </c>
      <c r="B98" s="38">
        <f>IF(F98="","",SUMIF(Prearmados!E:E,F98,Prearmados!A:A))</f>
        <v>19</v>
      </c>
      <c r="C98" s="38">
        <f>IF(F98="","",SUMIF(Productos!E:E,G98,Productos!A:A))</f>
        <v>79</v>
      </c>
      <c r="D98" s="83" t="str">
        <f t="array" ref="D98">IF(OR(F98="",F98="Seleccionar.."),"",XLOOKUP(F98,Prearmados!E:E,Prearmados!F:F,"",0,1))</f>
        <v>Acoplados Rurales</v>
      </c>
      <c r="E98" s="83">
        <f>IF(H98="","",SUMIF(Precio_Productos!K:K,C98,Precio_Productos!J:J)*H98)</f>
        <v>4300000</v>
      </c>
      <c r="F98" s="84" t="s">
        <v>342</v>
      </c>
      <c r="G98" s="84" t="s">
        <v>105</v>
      </c>
      <c r="H98" s="13">
        <v>1.0</v>
      </c>
      <c r="P98" s="3" t="str">
        <f>IFERROR(__xludf.DUMMYFUNCTION("IF(OR(F98="""",F98=""Seleccionar..""),"""",TRANSPOSE(FILTER(Productos!E:E,(Productos!F:F=D98)+(Productos!F:F=XLOOKUP(D98,Implementos!B:B,Implementos!C:C,""-"",0,1)))))"),"Tanque Combustible 1100 lts Bajo")</f>
        <v>Tanque Combustible 1100 lts Bajo</v>
      </c>
      <c r="Q98" s="3" t="str">
        <f>IFERROR(__xludf.DUMMYFUNCTION("""COMPUTED_VALUE"""),"Tanque Combustible 1500 lts Standard")</f>
        <v>Tanque Combustible 1500 lts Standard</v>
      </c>
      <c r="R98" s="3" t="str">
        <f>IFERROR(__xludf.DUMMYFUNCTION("""COMPUTED_VALUE"""),"Tanque Combustible 1800 lts Standard")</f>
        <v>Tanque Combustible 1800 lts Standard</v>
      </c>
      <c r="S98" s="3" t="str">
        <f>IFERROR(__xludf.DUMMYFUNCTION("""COMPUTED_VALUE"""),"Tanque Combustible 2000 lts Bajo")</f>
        <v>Tanque Combustible 2000 lts Bajo</v>
      </c>
      <c r="T98" s="3" t="str">
        <f>IFERROR(__xludf.DUMMYFUNCTION("""COMPUTED_VALUE"""),"Tanque Combustible 2000 lts Standard")</f>
        <v>Tanque Combustible 2000 lts Standard</v>
      </c>
      <c r="U98" s="3" t="str">
        <f>IFERROR(__xludf.DUMMYFUNCTION("""COMPUTED_VALUE"""),"Tanque Combustible 3000 lts Standard")</f>
        <v>Tanque Combustible 3000 lts Standard</v>
      </c>
      <c r="V98" s="3" t="str">
        <f>IFERROR(__xludf.DUMMYFUNCTION("""COMPUTED_VALUE"""),"Tanque Combustible 3000 lts Alto")</f>
        <v>Tanque Combustible 3000 lts Alto</v>
      </c>
      <c r="W98" s="3" t="str">
        <f>IFERROR(__xludf.DUMMYFUNCTION("""COMPUTED_VALUE"""),"Tanque Combustible 4000 lts Standard")</f>
        <v>Tanque Combustible 4000 lts Standard</v>
      </c>
      <c r="X98" s="3" t="str">
        <f>IFERROR(__xludf.DUMMYFUNCTION("""COMPUTED_VALUE"""),"Tanque Combustible 5000 lts Standard")</f>
        <v>Tanque Combustible 5000 lts Standard</v>
      </c>
      <c r="Y98" s="3" t="str">
        <f>IFERROR(__xludf.DUMMYFUNCTION("""COMPUTED_VALUE"""),"Tanque Combustible 5000 lts Alto")</f>
        <v>Tanque Combustible 5000 lts Alto</v>
      </c>
      <c r="Z98" s="3" t="str">
        <f>IFERROR(__xludf.DUMMYFUNCTION("""COMPUTED_VALUE"""),"Tanque Combustible 2000 lts Alto")</f>
        <v>Tanque Combustible 2000 lts Alto</v>
      </c>
      <c r="AA98" s="3" t="str">
        <f>IFERROR(__xludf.DUMMYFUNCTION("""COMPUTED_VALUE"""),"Tanque Combustible 4000 lts Alto")</f>
        <v>Tanque Combustible 4000 lts Alto</v>
      </c>
      <c r="AB98" s="3" t="str">
        <f>IFERROR(__xludf.DUMMYFUNCTION("""COMPUTED_VALUE"""),"Baulera Standard - 750")</f>
        <v>Baulera Standard - 750</v>
      </c>
      <c r="AC98" s="3" t="str">
        <f>IFERROR(__xludf.DUMMYFUNCTION("""COMPUTED_VALUE"""),"Baulera Standard - 1700 - C/Laterales")</f>
        <v>Baulera Standard - 1700 - C/Laterales</v>
      </c>
      <c r="AD98" s="3" t="str">
        <f>IFERROR(__xludf.DUMMYFUNCTION("""COMPUTED_VALUE"""),"Baulera Standard - 1000 - C/Laterales")</f>
        <v>Baulera Standard - 1000 - C/Laterales</v>
      </c>
      <c r="AE98" s="3" t="str">
        <f>IFERROR(__xludf.DUMMYFUNCTION("""COMPUTED_VALUE"""),"Baulera Standard - 750 - C/Laterales")</f>
        <v>Baulera Standard - 750 - C/Laterales</v>
      </c>
      <c r="AF98" s="3" t="str">
        <f>IFERROR(__xludf.DUMMYFUNCTION("""COMPUTED_VALUE"""),"Baulera Standard - 1300 - C/Laterales")</f>
        <v>Baulera Standard - 1300 - C/Laterales</v>
      </c>
      <c r="AG98" s="3" t="str">
        <f>IFERROR(__xludf.DUMMYFUNCTION("""COMPUTED_VALUE"""),"Baulera Alta - 750")</f>
        <v>Baulera Alta - 750</v>
      </c>
      <c r="AH98" s="3" t="str">
        <f>IFERROR(__xludf.DUMMYFUNCTION("""COMPUTED_VALUE"""),"Baulera Alta - 1500 - C/Laterales")</f>
        <v>Baulera Alta - 1500 - C/Laterales</v>
      </c>
      <c r="AI98" s="3" t="str">
        <f>IFERROR(__xludf.DUMMYFUNCTION("""COMPUTED_VALUE"""),"Baulera Extendida 1700 - C/Laterales")</f>
        <v>Baulera Extendida 1700 - C/Laterales</v>
      </c>
      <c r="AJ98" s="3" t="str">
        <f>IFERROR(__xludf.DUMMYFUNCTION("""COMPUTED_VALUE"""),"Taller Móvil - 1500 x 1500 x 1700")</f>
        <v>Taller Móvil - 1500 x 1500 x 1700</v>
      </c>
      <c r="AK98" s="3" t="str">
        <f>IFERROR(__xludf.DUMMYFUNCTION("""COMPUTED_VALUE"""),"Cajón Herramientas Standard Derecho")</f>
        <v>Cajón Herramientas Standard Derecho</v>
      </c>
      <c r="AL98" s="3" t="str">
        <f>IFERROR(__xludf.DUMMYFUNCTION("""COMPUTED_VALUE"""),"Cajón Herramientas Standard Izquierdo")</f>
        <v>Cajón Herramientas Standard Izquierdo</v>
      </c>
      <c r="AM98" s="3" t="str">
        <f>IFERROR(__xludf.DUMMYFUNCTION("""COMPUTED_VALUE"""),"Cajón Herramientas Corto Derecho")</f>
        <v>Cajón Herramientas Corto Derecho</v>
      </c>
      <c r="AN98" s="3" t="str">
        <f>IFERROR(__xludf.DUMMYFUNCTION("""COMPUTED_VALUE"""),"Cajón Herramientas Corto Izquierdo")</f>
        <v>Cajón Herramientas Corto Izquierdo</v>
      </c>
      <c r="AO98" s="3" t="str">
        <f>IFERROR(__xludf.DUMMYFUNCTION("""COMPUTED_VALUE"""),"Cajón Herramientas Mediano Derecho")</f>
        <v>Cajón Herramientas Mediano Derecho</v>
      </c>
      <c r="AP98" s="3" t="str">
        <f>IFERROR(__xludf.DUMMYFUNCTION("""COMPUTED_VALUE"""),"Cajón Herramientas Mediano Izquierdo")</f>
        <v>Cajón Herramientas Mediano Izquierdo</v>
      </c>
      <c r="AQ98" s="3" t="str">
        <f>IFERROR(__xludf.DUMMYFUNCTION("""COMPUTED_VALUE"""),"Chasis Acoplado 2 Ejes L3000")</f>
        <v>Chasis Acoplado 2 Ejes L3000</v>
      </c>
      <c r="AR98" s="3" t="str">
        <f>IFERROR(__xludf.DUMMYFUNCTION("""COMPUTED_VALUE"""),"Chasis Acoplado 2 Ejes L3750")</f>
        <v>Chasis Acoplado 2 Ejes L3750</v>
      </c>
      <c r="AS98" s="3" t="str">
        <f>IFERROR(__xludf.DUMMYFUNCTION("""COMPUTED_VALUE"""),"Chasis Acoplado 2 Ejes L4000")</f>
        <v>Chasis Acoplado 2 Ejes L4000</v>
      </c>
      <c r="AT98" s="3" t="str">
        <f>IFERROR(__xludf.DUMMYFUNCTION("""COMPUTED_VALUE"""),"Chasis Acoplado 2 Ejes L4000 Reforzado")</f>
        <v>Chasis Acoplado 2 Ejes L4000 Reforzado</v>
      </c>
      <c r="AU98" s="3" t="str">
        <f>IFERROR(__xludf.DUMMYFUNCTION("""COMPUTED_VALUE"""),"Chasis Acoplado 2 Ejes L4750")</f>
        <v>Chasis Acoplado 2 Ejes L4750</v>
      </c>
      <c r="AV98" s="3" t="str">
        <f>IFERROR(__xludf.DUMMYFUNCTION("""COMPUTED_VALUE"""),"Chasis Acoplado 2 Ejes L4750 Reforzado")</f>
        <v>Chasis Acoplado 2 Ejes L4750 Reforzado</v>
      </c>
      <c r="AW98" s="3" t="str">
        <f>IFERROR(__xludf.DUMMYFUNCTION("""COMPUTED_VALUE"""),"Chasis Acoplado 2 Ejes L4750 Reforzado R. Camion")</f>
        <v>Chasis Acoplado 2 Ejes L4750 Reforzado R. Camion</v>
      </c>
      <c r="AX98" s="3" t="str">
        <f>IFERROR(__xludf.DUMMYFUNCTION("""COMPUTED_VALUE"""),"Chasis Acoplado 2 Ejes L5000")</f>
        <v>Chasis Acoplado 2 Ejes L5000</v>
      </c>
      <c r="AY98" s="3" t="str">
        <f>IFERROR(__xludf.DUMMYFUNCTION("""COMPUTED_VALUE"""),"Chasis Acoplado 2 Ejes L5750")</f>
        <v>Chasis Acoplado 2 Ejes L5750</v>
      </c>
      <c r="AZ98" s="3" t="str">
        <f>IFERROR(__xludf.DUMMYFUNCTION("""COMPUTED_VALUE"""),"Chasis Acoplado 2 Ejes L6400")</f>
        <v>Chasis Acoplado 2 Ejes L6400</v>
      </c>
      <c r="BA98" s="3" t="str">
        <f>IFERROR(__xludf.DUMMYFUNCTION("""COMPUTED_VALUE"""),"Chasis Acoplado 2 Ejes L4500")</f>
        <v>Chasis Acoplado 2 Ejes L4500</v>
      </c>
      <c r="BB98" s="3" t="str">
        <f>IFERROR(__xludf.DUMMYFUNCTION("""COMPUTED_VALUE"""),"Chasis Acoplado 1 Eje L1500")</f>
        <v>Chasis Acoplado 1 Eje L1500</v>
      </c>
      <c r="BC98" s="3" t="str">
        <f>IFERROR(__xludf.DUMMYFUNCTION("""COMPUTED_VALUE"""),"Chasis Acoplado 1 Eje L1800")</f>
        <v>Chasis Acoplado 1 Eje L1800</v>
      </c>
      <c r="BD98" s="3" t="str">
        <f>IFERROR(__xludf.DUMMYFUNCTION("""COMPUTED_VALUE"""),"Chasis Acoplado 1 Eje L1400")</f>
        <v>Chasis Acoplado 1 Eje L1400</v>
      </c>
      <c r="BE98" s="3" t="str">
        <f>IFERROR(__xludf.DUMMYFUNCTION("""COMPUTED_VALUE"""),"Chasis Acoplado Balancin L3000")</f>
        <v>Chasis Acoplado Balancin L3000</v>
      </c>
      <c r="BF98" s="3" t="str">
        <f>IFERROR(__xludf.DUMMYFUNCTION("""COMPUTED_VALUE"""),"Chasis Acoplado Balancin L3000 Lanza Corta")</f>
        <v>Chasis Acoplado Balancin L3000 Lanza Corta</v>
      </c>
      <c r="BG98" s="3" t="str">
        <f>IFERROR(__xludf.DUMMYFUNCTION("""COMPUTED_VALUE"""),"Chasis Acoplado Balancin L2000 Lanza Corta")</f>
        <v>Chasis Acoplado Balancin L2000 Lanza Corta</v>
      </c>
      <c r="BH98" s="3" t="str">
        <f>IFERROR(__xludf.DUMMYFUNCTION("""COMPUTED_VALUE"""),"Chasis Acoplado Balancin L3200 Lanza Corta")</f>
        <v>Chasis Acoplado Balancin L3200 Lanza Corta</v>
      </c>
      <c r="BI98" s="3" t="str">
        <f>IFERROR(__xludf.DUMMYFUNCTION("""COMPUTED_VALUE"""),"Chasis Acoplado Balancin L3200 Lanza Recta")</f>
        <v>Chasis Acoplado Balancin L3200 Lanza Recta</v>
      </c>
      <c r="BJ98" s="3" t="str">
        <f>IFERROR(__xludf.DUMMYFUNCTION("""COMPUTED_VALUE"""),"Chasis Acoplado Balancin L3200 Bajo Lanza Recta")</f>
        <v>Chasis Acoplado Balancin L3200 Bajo Lanza Recta</v>
      </c>
      <c r="BK98" s="3" t="str">
        <f>IFERROR(__xludf.DUMMYFUNCTION("""COMPUTED_VALUE"""),"Tanque Plastico Horizontal 750 Lts")</f>
        <v>Tanque Plastico Horizontal 750 Lts</v>
      </c>
      <c r="BL98" s="3" t="str">
        <f>IFERROR(__xludf.DUMMYFUNCTION("""COMPUTED_VALUE"""),"Medio Tanque Plastico Superior 700 Lts")</f>
        <v>Medio Tanque Plastico Superior 700 Lts</v>
      </c>
      <c r="BM98" s="3" t="str">
        <f>IFERROR(__xludf.DUMMYFUNCTION("""COMPUTED_VALUE"""),"Paquete de Elasticos 50 mm x 8 mm x 10 Hojas L850")</f>
        <v>Paquete de Elasticos 50 mm x 8 mm x 10 Hojas L850</v>
      </c>
      <c r="BN98" s="3" t="str">
        <f>IFERROR(__xludf.DUMMYFUNCTION("""COMPUTED_VALUE"""),"Paquete de Elasticos 63 mm x 8 mm x 10 Hojas L950")</f>
        <v>Paquete de Elasticos 63 mm x 8 mm x 10 Hojas L950</v>
      </c>
      <c r="BO98" s="3" t="str">
        <f>IFERROR(__xludf.DUMMYFUNCTION("""COMPUTED_VALUE"""),"Paquete de Elasticos 50 mm x 7 mm x 9 Hojas L850")</f>
        <v>Paquete de Elasticos 50 mm x 7 mm x 9 Hojas L850</v>
      </c>
      <c r="BP98" s="3" t="str">
        <f>IFERROR(__xludf.DUMMYFUNCTION("""COMPUTED_VALUE"""),"Paquete de Elasticos 63 mm x 8 mm x 8 Hojas L850")</f>
        <v>Paquete de Elasticos 63 mm x 8 mm x 8 Hojas L850</v>
      </c>
      <c r="BQ98" s="3" t="str">
        <f>IFERROR(__xludf.DUMMYFUNCTION("""COMPUTED_VALUE"""),"Paquete de Elasticos 63 mm x 10 mm x 10 Hojas L950")</f>
        <v>Paquete de Elasticos 63 mm x 10 mm x 10 Hojas L950</v>
      </c>
      <c r="BR98" s="3" t="str">
        <f>IFERROR(__xludf.DUMMYFUNCTION("""COMPUTED_VALUE"""),"Paquete de Elasticos 63 mm x 10 mm x 13 Hojas L975")</f>
        <v>Paquete de Elasticos 63 mm x 10 mm x 13 Hojas L975</v>
      </c>
      <c r="BS98" s="3" t="str">
        <f>IFERROR(__xludf.DUMMYFUNCTION("""COMPUTED_VALUE"""),"Paquete de Elasticos 50 mm x 7 mm x 9 Hojas L650")</f>
        <v>Paquete de Elasticos 50 mm x 7 mm x 9 Hojas L650</v>
      </c>
      <c r="BT98" s="3" t="str">
        <f>IFERROR(__xludf.DUMMYFUNCTION("""COMPUTED_VALUE"""),"Eje Acoplado 2"" x 1600 (06/08) Agrícola Centro 92")</f>
        <v>Eje Acoplado 2" x 1600 (06/08) Agrícola Centro 92</v>
      </c>
      <c r="BU98" s="3" t="str">
        <f>IFERROR(__xludf.DUMMYFUNCTION("""COMPUTED_VALUE"""),"Eje Acoplado 2 1/2"" x 1600 (07/09) Agrícola Centro 92")</f>
        <v>Eje Acoplado 2 1/2" x 1600 (07/09) Agrícola Centro 92</v>
      </c>
      <c r="BV98" s="3" t="str">
        <f>IFERROR(__xludf.DUMMYFUNCTION("""COMPUTED_VALUE"""),"Eje Acoplado 2 1/2"" x 1600 (09/11) Agrícola Centro 150")</f>
        <v>Eje Acoplado 2 1/2" x 1600 (09/11) Agrícola Centro 150</v>
      </c>
      <c r="BW98" s="3" t="str">
        <f>IFERROR(__xludf.DUMMYFUNCTION("""COMPUTED_VALUE"""),"Eje Acoplado 3"" x 1600 (10/13) Agrícola Centro 150")</f>
        <v>Eje Acoplado 3" x 1600 (10/13) Agrícola Centro 150</v>
      </c>
      <c r="BX98" s="3" t="str">
        <f>IFERROR(__xludf.DUMMYFUNCTION("""COMPUTED_VALUE"""),"Eje Acoplado 2 1/2"" x 2140 (07/09) Agrícola Centro 92")</f>
        <v>Eje Acoplado 2 1/2" x 2140 (07/09) Agrícola Centro 92</v>
      </c>
      <c r="BY98" s="3" t="str">
        <f>IFERROR(__xludf.DUMMYFUNCTION("""COMPUTED_VALUE"""),"Eje Acoplado 2"" x 1400 (06/08) Agrícola Centro 92")</f>
        <v>Eje Acoplado 2" x 1400 (06/08) Agrícola Centro 92</v>
      </c>
      <c r="BZ98" s="3" t="str">
        <f>IFERROR(__xludf.DUMMYFUNCTION("""COMPUTED_VALUE"""),"Eje Acoplado 2 1/2"" x 1500 (07/09) Agrícola Centro 92")</f>
        <v>Eje Acoplado 2 1/2" x 1500 (07/09) Agrícola Centro 92</v>
      </c>
      <c r="CA98" s="3" t="str">
        <f>IFERROR(__xludf.DUMMYFUNCTION("""COMPUTED_VALUE"""),"Eje Acoplado 2 1/2"" x 2000 (07/09) Agrícola Centro 92")</f>
        <v>Eje Acoplado 2 1/2" x 2000 (07/09) Agrícola Centro 92</v>
      </c>
      <c r="CB98" s="3" t="str">
        <f>IFERROR(__xludf.DUMMYFUNCTION("""COMPUTED_VALUE"""),"Eje Acoplado 2 1/2"" x 2100 (09/11) Agrícola Centro 150")</f>
        <v>Eje Acoplado 2 1/2" x 2100 (09/11) Agrícola Centro 150</v>
      </c>
      <c r="CC98" s="3" t="str">
        <f>IFERROR(__xludf.DUMMYFUNCTION("""COMPUTED_VALUE"""),"Llanta 16"" Simple Agrícola Centro 92")</f>
        <v>Llanta 16" Simple Agrícola Centro 92</v>
      </c>
      <c r="CD98" s="3" t="str">
        <f>IFERROR(__xludf.DUMMYFUNCTION("""COMPUTED_VALUE"""),"Llanta 16"" Dual Agrícola Centro 92")</f>
        <v>Llanta 16" Dual Agrícola Centro 92</v>
      </c>
      <c r="CE98" s="3" t="str">
        <f>IFERROR(__xludf.DUMMYFUNCTION("""COMPUTED_VALUE"""),"Llanta 17"" Simple Agrícola Centro 92")</f>
        <v>Llanta 17" Simple Agrícola Centro 92</v>
      </c>
      <c r="CF98" s="3" t="str">
        <f>IFERROR(__xludf.DUMMYFUNCTION("""COMPUTED_VALUE"""),"Llanta 17"" Dual Agrícola Centro 92")</f>
        <v>Llanta 17" Dual Agrícola Centro 92</v>
      </c>
      <c r="CG98" s="3" t="str">
        <f>IFERROR(__xludf.DUMMYFUNCTION("""COMPUTED_VALUE"""),"Llanta 16"" Dual Agrícola Centro 152")</f>
        <v>Llanta 16" Dual Agrícola Centro 152</v>
      </c>
      <c r="CH98" s="3" t="str">
        <f>IFERROR(__xludf.DUMMYFUNCTION("""COMPUTED_VALUE"""),"Llanta 17"" Dual Agrícola Centro 152")</f>
        <v>Llanta 17" Dual Agrícola Centro 152</v>
      </c>
      <c r="CI98" s="3" t="str">
        <f>IFERROR(__xludf.DUMMYFUNCTION("""COMPUTED_VALUE"""),"Eje Acoplado 2"" x 1600 (05/07) Agrícola Centro 92")</f>
        <v>Eje Acoplado 2" x 1600 (05/07) Agrícola Centro 92</v>
      </c>
      <c r="CJ98" s="3" t="str">
        <f>IFERROR(__xludf.DUMMYFUNCTION("""COMPUTED_VALUE"""),"Paquete de Elásticos 50 mm x 8 mm x 12 Hojas")</f>
        <v>Paquete de Elásticos 50 mm x 8 mm x 12 Hojas</v>
      </c>
      <c r="CK98" s="3" t="str">
        <f>IFERROR(__xludf.DUMMYFUNCTION("""COMPUTED_VALUE"""),"Plataforma Playo 4.00 x 1.90 x 0.45 Lateral Simple Baranda Fija")</f>
        <v>Plataforma Playo 4.00 x 1.90 x 0.45 Lateral Simple Baranda Fija</v>
      </c>
      <c r="CL98" s="3" t="str">
        <f>IFERROR(__xludf.DUMMYFUNCTION("""COMPUTED_VALUE"""),"Plataforma Playo 4.00 x 1.90 x 0.45 Lateral Simple Baranda Ventilada")</f>
        <v>Plataforma Playo 4.00 x 1.90 x 0.45 Lateral Simple Baranda Ventilada</v>
      </c>
      <c r="CM98" s="3" t="str">
        <f>IFERROR(__xludf.DUMMYFUNCTION("""COMPUTED_VALUE"""),"Plataforma Playo 4.00 x 1.90 x 0.45 Lateral Doble Baranda Ventilada")</f>
        <v>Plataforma Playo 4.00 x 1.90 x 0.45 Lateral Doble Baranda Ventilada</v>
      </c>
      <c r="CN98" s="3" t="str">
        <f>IFERROR(__xludf.DUMMYFUNCTION("""COMPUTED_VALUE"""),"Plataforma Playo 4.00 x 1.90 x 0.45 Lateral Doble Baranda Fija")</f>
        <v>Plataforma Playo 4.00 x 1.90 x 0.45 Lateral Doble Baranda Fija</v>
      </c>
      <c r="CO98" s="3" t="str">
        <f>IFERROR(__xludf.DUMMYFUNCTION("""COMPUTED_VALUE"""),"Plataforma Playo 4.00 x 1.90 x 0.72 Lateral Simple Baranda Fija")</f>
        <v>Plataforma Playo 4.00 x 1.90 x 0.72 Lateral Simple Baranda Fija</v>
      </c>
      <c r="CP98" s="3" t="str">
        <f>IFERROR(__xludf.DUMMYFUNCTION("""COMPUTED_VALUE"""),"Plataforma Playo 4.00 x 1.90 x 0.72 Lateral Doble Baranda Fija")</f>
        <v>Plataforma Playo 4.00 x 1.90 x 0.72 Lateral Doble Baranda Fija</v>
      </c>
      <c r="CQ98" s="3" t="str">
        <f>IFERROR(__xludf.DUMMYFUNCTION("""COMPUTED_VALUE"""),"Plataforma Playo 5.00 x 2.20 x 0.60 Lateral Doble Trasera Rebatible")</f>
        <v>Plataforma Playo 5.00 x 2.20 x 0.60 Lateral Doble Trasera Rebatible</v>
      </c>
      <c r="CR98" s="3" t="str">
        <f>IFERROR(__xludf.DUMMYFUNCTION("""COMPUTED_VALUE"""),"Plataforma Playo 5.00 x 2.20 x 0.60 Lateral Doble Baranda Fija C/Toldo")</f>
        <v>Plataforma Playo 5.00 x 2.20 x 0.60 Lateral Doble Baranda Fija C/Toldo</v>
      </c>
      <c r="CS98" s="3" t="str">
        <f>IFERROR(__xludf.DUMMYFUNCTION("""COMPUTED_VALUE"""),"Plataforma Playo 3.00 x 1.90 x 0.45 Lateral Simple Baranda Fija")</f>
        <v>Plataforma Playo 3.00 x 1.90 x 0.45 Lateral Simple Baranda Fija</v>
      </c>
      <c r="CT98" s="3" t="str">
        <f>IFERROR(__xludf.DUMMYFUNCTION("""COMPUTED_VALUE"""),"Plataforma Playo 3.00 x 1.90 x 0.45 Lateral Simple Baranda Ventilada")</f>
        <v>Plataforma Playo 3.00 x 1.90 x 0.45 Lateral Simple Baranda Ventilada</v>
      </c>
      <c r="CU98" s="3" t="str">
        <f>IFERROR(__xludf.DUMMYFUNCTION("""COMPUTED_VALUE"""),"Plataforma Playo 2.00 x 1.90 x 0.45 Lateral Simple Baranda Fija")</f>
        <v>Plataforma Playo 2.00 x 1.90 x 0.45 Lateral Simple Baranda Fija</v>
      </c>
      <c r="CV98" s="3" t="str">
        <f>IFERROR(__xludf.DUMMYFUNCTION("""COMPUTED_VALUE"""),"Plataforma Playo 5.00 x 1.90 x 0.60 Lateral Doble Baranda Fija")</f>
        <v>Plataforma Playo 5.00 x 1.90 x 0.60 Lateral Doble Baranda Fija</v>
      </c>
      <c r="CW98" s="3" t="str">
        <f>IFERROR(__xludf.DUMMYFUNCTION("""COMPUTED_VALUE"""),"Plataforma Playo 6.40 x 2.70 x 0.72 Lateral Doble Baranda Fija")</f>
        <v>Plataforma Playo 6.40 x 2.70 x 0.72 Lateral Doble Baranda Fija</v>
      </c>
      <c r="CX98" s="3" t="str">
        <f>IFERROR(__xludf.DUMMYFUNCTION("""COMPUTED_VALUE"""),"Chasis Acoplado Balancin L4000 Lanza Recta")</f>
        <v>Chasis Acoplado Balancin L4000 Lanza Recta</v>
      </c>
      <c r="CY98" s="3" t="str">
        <f>IFERROR(__xludf.DUMMYFUNCTION("""COMPUTED_VALUE"""),"Llanta simple Agrícola 750x20 centro 152")</f>
        <v>Llanta simple Agrícola 750x20 centro 152</v>
      </c>
      <c r="CZ98" s="3" t="str">
        <f>IFERROR(__xludf.DUMMYFUNCTION("""COMPUTED_VALUE"""),"Cajón de Herramientas Mediano adelante")</f>
        <v>Cajón de Herramientas Mediano adelante</v>
      </c>
      <c r="DA98" s="3" t="str">
        <f>IFERROR(__xludf.DUMMYFUNCTION("""COMPUTED_VALUE"""),"Llanta 15"" Simple Agrícola Centro 92")</f>
        <v>Llanta 15" Simple Agrícola Centro 92</v>
      </c>
    </row>
    <row r="99" hidden="1">
      <c r="A99" s="38">
        <f t="shared" si="1"/>
        <v>98</v>
      </c>
      <c r="B99" s="38">
        <f>IF(F99="","",SUMIF(Prearmados!E:E,F99,Prearmados!A:A))</f>
        <v>19</v>
      </c>
      <c r="C99" s="38">
        <f>IF(F99="","",SUMIF(Productos!E:E,G99,Productos!A:A))</f>
        <v>103</v>
      </c>
      <c r="D99" s="83" t="str">
        <f t="array" ref="D99">IF(OR(F99="",F99="Seleccionar.."),"",XLOOKUP(F99,Prearmados!E:E,Prearmados!F:F,"",0,1))</f>
        <v>Acoplados Rurales</v>
      </c>
      <c r="E99" s="83">
        <f>IF(H99="","",SUMIF(Precio_Productos!K:K,C99,Precio_Productos!J:J)*H99)</f>
        <v>1528800</v>
      </c>
      <c r="F99" s="84" t="s">
        <v>342</v>
      </c>
      <c r="G99" s="84" t="s">
        <v>135</v>
      </c>
      <c r="H99" s="13">
        <v>2.0</v>
      </c>
      <c r="P99" s="3" t="str">
        <f>IFERROR(__xludf.DUMMYFUNCTION("IF(OR(F99="""",F99=""Seleccionar..""),"""",TRANSPOSE(FILTER(Productos!E:E,(Productos!F:F=D99)+(Productos!F:F=XLOOKUP(D99,Implementos!B:B,Implementos!C:C,""-"",0,1)))))"),"Tanque Combustible 1100 lts Bajo")</f>
        <v>Tanque Combustible 1100 lts Bajo</v>
      </c>
      <c r="Q99" s="3" t="str">
        <f>IFERROR(__xludf.DUMMYFUNCTION("""COMPUTED_VALUE"""),"Tanque Combustible 1500 lts Standard")</f>
        <v>Tanque Combustible 1500 lts Standard</v>
      </c>
      <c r="R99" s="3" t="str">
        <f>IFERROR(__xludf.DUMMYFUNCTION("""COMPUTED_VALUE"""),"Tanque Combustible 1800 lts Standard")</f>
        <v>Tanque Combustible 1800 lts Standard</v>
      </c>
      <c r="S99" s="3" t="str">
        <f>IFERROR(__xludf.DUMMYFUNCTION("""COMPUTED_VALUE"""),"Tanque Combustible 2000 lts Bajo")</f>
        <v>Tanque Combustible 2000 lts Bajo</v>
      </c>
      <c r="T99" s="3" t="str">
        <f>IFERROR(__xludf.DUMMYFUNCTION("""COMPUTED_VALUE"""),"Tanque Combustible 2000 lts Standard")</f>
        <v>Tanque Combustible 2000 lts Standard</v>
      </c>
      <c r="U99" s="3" t="str">
        <f>IFERROR(__xludf.DUMMYFUNCTION("""COMPUTED_VALUE"""),"Tanque Combustible 3000 lts Standard")</f>
        <v>Tanque Combustible 3000 lts Standard</v>
      </c>
      <c r="V99" s="3" t="str">
        <f>IFERROR(__xludf.DUMMYFUNCTION("""COMPUTED_VALUE"""),"Tanque Combustible 3000 lts Alto")</f>
        <v>Tanque Combustible 3000 lts Alto</v>
      </c>
      <c r="W99" s="3" t="str">
        <f>IFERROR(__xludf.DUMMYFUNCTION("""COMPUTED_VALUE"""),"Tanque Combustible 4000 lts Standard")</f>
        <v>Tanque Combustible 4000 lts Standard</v>
      </c>
      <c r="X99" s="3" t="str">
        <f>IFERROR(__xludf.DUMMYFUNCTION("""COMPUTED_VALUE"""),"Tanque Combustible 5000 lts Standard")</f>
        <v>Tanque Combustible 5000 lts Standard</v>
      </c>
      <c r="Y99" s="3" t="str">
        <f>IFERROR(__xludf.DUMMYFUNCTION("""COMPUTED_VALUE"""),"Tanque Combustible 5000 lts Alto")</f>
        <v>Tanque Combustible 5000 lts Alto</v>
      </c>
      <c r="Z99" s="3" t="str">
        <f>IFERROR(__xludf.DUMMYFUNCTION("""COMPUTED_VALUE"""),"Tanque Combustible 2000 lts Alto")</f>
        <v>Tanque Combustible 2000 lts Alto</v>
      </c>
      <c r="AA99" s="3" t="str">
        <f>IFERROR(__xludf.DUMMYFUNCTION("""COMPUTED_VALUE"""),"Tanque Combustible 4000 lts Alto")</f>
        <v>Tanque Combustible 4000 lts Alto</v>
      </c>
      <c r="AB99" s="3" t="str">
        <f>IFERROR(__xludf.DUMMYFUNCTION("""COMPUTED_VALUE"""),"Baulera Standard - 750")</f>
        <v>Baulera Standard - 750</v>
      </c>
      <c r="AC99" s="3" t="str">
        <f>IFERROR(__xludf.DUMMYFUNCTION("""COMPUTED_VALUE"""),"Baulera Standard - 1700 - C/Laterales")</f>
        <v>Baulera Standard - 1700 - C/Laterales</v>
      </c>
      <c r="AD99" s="3" t="str">
        <f>IFERROR(__xludf.DUMMYFUNCTION("""COMPUTED_VALUE"""),"Baulera Standard - 1000 - C/Laterales")</f>
        <v>Baulera Standard - 1000 - C/Laterales</v>
      </c>
      <c r="AE99" s="3" t="str">
        <f>IFERROR(__xludf.DUMMYFUNCTION("""COMPUTED_VALUE"""),"Baulera Standard - 750 - C/Laterales")</f>
        <v>Baulera Standard - 750 - C/Laterales</v>
      </c>
      <c r="AF99" s="3" t="str">
        <f>IFERROR(__xludf.DUMMYFUNCTION("""COMPUTED_VALUE"""),"Baulera Standard - 1300 - C/Laterales")</f>
        <v>Baulera Standard - 1300 - C/Laterales</v>
      </c>
      <c r="AG99" s="3" t="str">
        <f>IFERROR(__xludf.DUMMYFUNCTION("""COMPUTED_VALUE"""),"Baulera Alta - 750")</f>
        <v>Baulera Alta - 750</v>
      </c>
      <c r="AH99" s="3" t="str">
        <f>IFERROR(__xludf.DUMMYFUNCTION("""COMPUTED_VALUE"""),"Baulera Alta - 1500 - C/Laterales")</f>
        <v>Baulera Alta - 1500 - C/Laterales</v>
      </c>
      <c r="AI99" s="3" t="str">
        <f>IFERROR(__xludf.DUMMYFUNCTION("""COMPUTED_VALUE"""),"Baulera Extendida 1700 - C/Laterales")</f>
        <v>Baulera Extendida 1700 - C/Laterales</v>
      </c>
      <c r="AJ99" s="3" t="str">
        <f>IFERROR(__xludf.DUMMYFUNCTION("""COMPUTED_VALUE"""),"Taller Móvil - 1500 x 1500 x 1700")</f>
        <v>Taller Móvil - 1500 x 1500 x 1700</v>
      </c>
      <c r="AK99" s="3" t="str">
        <f>IFERROR(__xludf.DUMMYFUNCTION("""COMPUTED_VALUE"""),"Cajón Herramientas Standard Derecho")</f>
        <v>Cajón Herramientas Standard Derecho</v>
      </c>
      <c r="AL99" s="3" t="str">
        <f>IFERROR(__xludf.DUMMYFUNCTION("""COMPUTED_VALUE"""),"Cajón Herramientas Standard Izquierdo")</f>
        <v>Cajón Herramientas Standard Izquierdo</v>
      </c>
      <c r="AM99" s="3" t="str">
        <f>IFERROR(__xludf.DUMMYFUNCTION("""COMPUTED_VALUE"""),"Cajón Herramientas Corto Derecho")</f>
        <v>Cajón Herramientas Corto Derecho</v>
      </c>
      <c r="AN99" s="3" t="str">
        <f>IFERROR(__xludf.DUMMYFUNCTION("""COMPUTED_VALUE"""),"Cajón Herramientas Corto Izquierdo")</f>
        <v>Cajón Herramientas Corto Izquierdo</v>
      </c>
      <c r="AO99" s="3" t="str">
        <f>IFERROR(__xludf.DUMMYFUNCTION("""COMPUTED_VALUE"""),"Cajón Herramientas Mediano Derecho")</f>
        <v>Cajón Herramientas Mediano Derecho</v>
      </c>
      <c r="AP99" s="3" t="str">
        <f>IFERROR(__xludf.DUMMYFUNCTION("""COMPUTED_VALUE"""),"Cajón Herramientas Mediano Izquierdo")</f>
        <v>Cajón Herramientas Mediano Izquierdo</v>
      </c>
      <c r="AQ99" s="3" t="str">
        <f>IFERROR(__xludf.DUMMYFUNCTION("""COMPUTED_VALUE"""),"Chasis Acoplado 2 Ejes L3000")</f>
        <v>Chasis Acoplado 2 Ejes L3000</v>
      </c>
      <c r="AR99" s="3" t="str">
        <f>IFERROR(__xludf.DUMMYFUNCTION("""COMPUTED_VALUE"""),"Chasis Acoplado 2 Ejes L3750")</f>
        <v>Chasis Acoplado 2 Ejes L3750</v>
      </c>
      <c r="AS99" s="3" t="str">
        <f>IFERROR(__xludf.DUMMYFUNCTION("""COMPUTED_VALUE"""),"Chasis Acoplado 2 Ejes L4000")</f>
        <v>Chasis Acoplado 2 Ejes L4000</v>
      </c>
      <c r="AT99" s="3" t="str">
        <f>IFERROR(__xludf.DUMMYFUNCTION("""COMPUTED_VALUE"""),"Chasis Acoplado 2 Ejes L4000 Reforzado")</f>
        <v>Chasis Acoplado 2 Ejes L4000 Reforzado</v>
      </c>
      <c r="AU99" s="3" t="str">
        <f>IFERROR(__xludf.DUMMYFUNCTION("""COMPUTED_VALUE"""),"Chasis Acoplado 2 Ejes L4750")</f>
        <v>Chasis Acoplado 2 Ejes L4750</v>
      </c>
      <c r="AV99" s="3" t="str">
        <f>IFERROR(__xludf.DUMMYFUNCTION("""COMPUTED_VALUE"""),"Chasis Acoplado 2 Ejes L4750 Reforzado")</f>
        <v>Chasis Acoplado 2 Ejes L4750 Reforzado</v>
      </c>
      <c r="AW99" s="3" t="str">
        <f>IFERROR(__xludf.DUMMYFUNCTION("""COMPUTED_VALUE"""),"Chasis Acoplado 2 Ejes L4750 Reforzado R. Camion")</f>
        <v>Chasis Acoplado 2 Ejes L4750 Reforzado R. Camion</v>
      </c>
      <c r="AX99" s="3" t="str">
        <f>IFERROR(__xludf.DUMMYFUNCTION("""COMPUTED_VALUE"""),"Chasis Acoplado 2 Ejes L5000")</f>
        <v>Chasis Acoplado 2 Ejes L5000</v>
      </c>
      <c r="AY99" s="3" t="str">
        <f>IFERROR(__xludf.DUMMYFUNCTION("""COMPUTED_VALUE"""),"Chasis Acoplado 2 Ejes L5750")</f>
        <v>Chasis Acoplado 2 Ejes L5750</v>
      </c>
      <c r="AZ99" s="3" t="str">
        <f>IFERROR(__xludf.DUMMYFUNCTION("""COMPUTED_VALUE"""),"Chasis Acoplado 2 Ejes L6400")</f>
        <v>Chasis Acoplado 2 Ejes L6400</v>
      </c>
      <c r="BA99" s="3" t="str">
        <f>IFERROR(__xludf.DUMMYFUNCTION("""COMPUTED_VALUE"""),"Chasis Acoplado 2 Ejes L4500")</f>
        <v>Chasis Acoplado 2 Ejes L4500</v>
      </c>
      <c r="BB99" s="3" t="str">
        <f>IFERROR(__xludf.DUMMYFUNCTION("""COMPUTED_VALUE"""),"Chasis Acoplado 1 Eje L1500")</f>
        <v>Chasis Acoplado 1 Eje L1500</v>
      </c>
      <c r="BC99" s="3" t="str">
        <f>IFERROR(__xludf.DUMMYFUNCTION("""COMPUTED_VALUE"""),"Chasis Acoplado 1 Eje L1800")</f>
        <v>Chasis Acoplado 1 Eje L1800</v>
      </c>
      <c r="BD99" s="3" t="str">
        <f>IFERROR(__xludf.DUMMYFUNCTION("""COMPUTED_VALUE"""),"Chasis Acoplado 1 Eje L1400")</f>
        <v>Chasis Acoplado 1 Eje L1400</v>
      </c>
      <c r="BE99" s="3" t="str">
        <f>IFERROR(__xludf.DUMMYFUNCTION("""COMPUTED_VALUE"""),"Chasis Acoplado Balancin L3000")</f>
        <v>Chasis Acoplado Balancin L3000</v>
      </c>
      <c r="BF99" s="3" t="str">
        <f>IFERROR(__xludf.DUMMYFUNCTION("""COMPUTED_VALUE"""),"Chasis Acoplado Balancin L3000 Lanza Corta")</f>
        <v>Chasis Acoplado Balancin L3000 Lanza Corta</v>
      </c>
      <c r="BG99" s="3" t="str">
        <f>IFERROR(__xludf.DUMMYFUNCTION("""COMPUTED_VALUE"""),"Chasis Acoplado Balancin L2000 Lanza Corta")</f>
        <v>Chasis Acoplado Balancin L2000 Lanza Corta</v>
      </c>
      <c r="BH99" s="3" t="str">
        <f>IFERROR(__xludf.DUMMYFUNCTION("""COMPUTED_VALUE"""),"Chasis Acoplado Balancin L3200 Lanza Corta")</f>
        <v>Chasis Acoplado Balancin L3200 Lanza Corta</v>
      </c>
      <c r="BI99" s="3" t="str">
        <f>IFERROR(__xludf.DUMMYFUNCTION("""COMPUTED_VALUE"""),"Chasis Acoplado Balancin L3200 Lanza Recta")</f>
        <v>Chasis Acoplado Balancin L3200 Lanza Recta</v>
      </c>
      <c r="BJ99" s="3" t="str">
        <f>IFERROR(__xludf.DUMMYFUNCTION("""COMPUTED_VALUE"""),"Chasis Acoplado Balancin L3200 Bajo Lanza Recta")</f>
        <v>Chasis Acoplado Balancin L3200 Bajo Lanza Recta</v>
      </c>
      <c r="BK99" s="3" t="str">
        <f>IFERROR(__xludf.DUMMYFUNCTION("""COMPUTED_VALUE"""),"Tanque Plastico Horizontal 750 Lts")</f>
        <v>Tanque Plastico Horizontal 750 Lts</v>
      </c>
      <c r="BL99" s="3" t="str">
        <f>IFERROR(__xludf.DUMMYFUNCTION("""COMPUTED_VALUE"""),"Medio Tanque Plastico Superior 700 Lts")</f>
        <v>Medio Tanque Plastico Superior 700 Lts</v>
      </c>
      <c r="BM99" s="3" t="str">
        <f>IFERROR(__xludf.DUMMYFUNCTION("""COMPUTED_VALUE"""),"Paquete de Elasticos 50 mm x 8 mm x 10 Hojas L850")</f>
        <v>Paquete de Elasticos 50 mm x 8 mm x 10 Hojas L850</v>
      </c>
      <c r="BN99" s="3" t="str">
        <f>IFERROR(__xludf.DUMMYFUNCTION("""COMPUTED_VALUE"""),"Paquete de Elasticos 63 mm x 8 mm x 10 Hojas L950")</f>
        <v>Paquete de Elasticos 63 mm x 8 mm x 10 Hojas L950</v>
      </c>
      <c r="BO99" s="3" t="str">
        <f>IFERROR(__xludf.DUMMYFUNCTION("""COMPUTED_VALUE"""),"Paquete de Elasticos 50 mm x 7 mm x 9 Hojas L850")</f>
        <v>Paquete de Elasticos 50 mm x 7 mm x 9 Hojas L850</v>
      </c>
      <c r="BP99" s="3" t="str">
        <f>IFERROR(__xludf.DUMMYFUNCTION("""COMPUTED_VALUE"""),"Paquete de Elasticos 63 mm x 8 mm x 8 Hojas L850")</f>
        <v>Paquete de Elasticos 63 mm x 8 mm x 8 Hojas L850</v>
      </c>
      <c r="BQ99" s="3" t="str">
        <f>IFERROR(__xludf.DUMMYFUNCTION("""COMPUTED_VALUE"""),"Paquete de Elasticos 63 mm x 10 mm x 10 Hojas L950")</f>
        <v>Paquete de Elasticos 63 mm x 10 mm x 10 Hojas L950</v>
      </c>
      <c r="BR99" s="3" t="str">
        <f>IFERROR(__xludf.DUMMYFUNCTION("""COMPUTED_VALUE"""),"Paquete de Elasticos 63 mm x 10 mm x 13 Hojas L975")</f>
        <v>Paquete de Elasticos 63 mm x 10 mm x 13 Hojas L975</v>
      </c>
      <c r="BS99" s="3" t="str">
        <f>IFERROR(__xludf.DUMMYFUNCTION("""COMPUTED_VALUE"""),"Paquete de Elasticos 50 mm x 7 mm x 9 Hojas L650")</f>
        <v>Paquete de Elasticos 50 mm x 7 mm x 9 Hojas L650</v>
      </c>
      <c r="BT99" s="3" t="str">
        <f>IFERROR(__xludf.DUMMYFUNCTION("""COMPUTED_VALUE"""),"Eje Acoplado 2"" x 1600 (06/08) Agrícola Centro 92")</f>
        <v>Eje Acoplado 2" x 1600 (06/08) Agrícola Centro 92</v>
      </c>
      <c r="BU99" s="3" t="str">
        <f>IFERROR(__xludf.DUMMYFUNCTION("""COMPUTED_VALUE"""),"Eje Acoplado 2 1/2"" x 1600 (07/09) Agrícola Centro 92")</f>
        <v>Eje Acoplado 2 1/2" x 1600 (07/09) Agrícola Centro 92</v>
      </c>
      <c r="BV99" s="3" t="str">
        <f>IFERROR(__xludf.DUMMYFUNCTION("""COMPUTED_VALUE"""),"Eje Acoplado 2 1/2"" x 1600 (09/11) Agrícola Centro 150")</f>
        <v>Eje Acoplado 2 1/2" x 1600 (09/11) Agrícola Centro 150</v>
      </c>
      <c r="BW99" s="3" t="str">
        <f>IFERROR(__xludf.DUMMYFUNCTION("""COMPUTED_VALUE"""),"Eje Acoplado 3"" x 1600 (10/13) Agrícola Centro 150")</f>
        <v>Eje Acoplado 3" x 1600 (10/13) Agrícola Centro 150</v>
      </c>
      <c r="BX99" s="3" t="str">
        <f>IFERROR(__xludf.DUMMYFUNCTION("""COMPUTED_VALUE"""),"Eje Acoplado 2 1/2"" x 2140 (07/09) Agrícola Centro 92")</f>
        <v>Eje Acoplado 2 1/2" x 2140 (07/09) Agrícola Centro 92</v>
      </c>
      <c r="BY99" s="3" t="str">
        <f>IFERROR(__xludf.DUMMYFUNCTION("""COMPUTED_VALUE"""),"Eje Acoplado 2"" x 1400 (06/08) Agrícola Centro 92")</f>
        <v>Eje Acoplado 2" x 1400 (06/08) Agrícola Centro 92</v>
      </c>
      <c r="BZ99" s="3" t="str">
        <f>IFERROR(__xludf.DUMMYFUNCTION("""COMPUTED_VALUE"""),"Eje Acoplado 2 1/2"" x 1500 (07/09) Agrícola Centro 92")</f>
        <v>Eje Acoplado 2 1/2" x 1500 (07/09) Agrícola Centro 92</v>
      </c>
      <c r="CA99" s="3" t="str">
        <f>IFERROR(__xludf.DUMMYFUNCTION("""COMPUTED_VALUE"""),"Eje Acoplado 2 1/2"" x 2000 (07/09) Agrícola Centro 92")</f>
        <v>Eje Acoplado 2 1/2" x 2000 (07/09) Agrícola Centro 92</v>
      </c>
      <c r="CB99" s="3" t="str">
        <f>IFERROR(__xludf.DUMMYFUNCTION("""COMPUTED_VALUE"""),"Eje Acoplado 2 1/2"" x 2100 (09/11) Agrícola Centro 150")</f>
        <v>Eje Acoplado 2 1/2" x 2100 (09/11) Agrícola Centro 150</v>
      </c>
      <c r="CC99" s="3" t="str">
        <f>IFERROR(__xludf.DUMMYFUNCTION("""COMPUTED_VALUE"""),"Llanta 16"" Simple Agrícola Centro 92")</f>
        <v>Llanta 16" Simple Agrícola Centro 92</v>
      </c>
      <c r="CD99" s="3" t="str">
        <f>IFERROR(__xludf.DUMMYFUNCTION("""COMPUTED_VALUE"""),"Llanta 16"" Dual Agrícola Centro 92")</f>
        <v>Llanta 16" Dual Agrícola Centro 92</v>
      </c>
      <c r="CE99" s="3" t="str">
        <f>IFERROR(__xludf.DUMMYFUNCTION("""COMPUTED_VALUE"""),"Llanta 17"" Simple Agrícola Centro 92")</f>
        <v>Llanta 17" Simple Agrícola Centro 92</v>
      </c>
      <c r="CF99" s="3" t="str">
        <f>IFERROR(__xludf.DUMMYFUNCTION("""COMPUTED_VALUE"""),"Llanta 17"" Dual Agrícola Centro 92")</f>
        <v>Llanta 17" Dual Agrícola Centro 92</v>
      </c>
      <c r="CG99" s="3" t="str">
        <f>IFERROR(__xludf.DUMMYFUNCTION("""COMPUTED_VALUE"""),"Llanta 16"" Dual Agrícola Centro 152")</f>
        <v>Llanta 16" Dual Agrícola Centro 152</v>
      </c>
      <c r="CH99" s="3" t="str">
        <f>IFERROR(__xludf.DUMMYFUNCTION("""COMPUTED_VALUE"""),"Llanta 17"" Dual Agrícola Centro 152")</f>
        <v>Llanta 17" Dual Agrícola Centro 152</v>
      </c>
      <c r="CI99" s="3" t="str">
        <f>IFERROR(__xludf.DUMMYFUNCTION("""COMPUTED_VALUE"""),"Eje Acoplado 2"" x 1600 (05/07) Agrícola Centro 92")</f>
        <v>Eje Acoplado 2" x 1600 (05/07) Agrícola Centro 92</v>
      </c>
      <c r="CJ99" s="3" t="str">
        <f>IFERROR(__xludf.DUMMYFUNCTION("""COMPUTED_VALUE"""),"Paquete de Elásticos 50 mm x 8 mm x 12 Hojas")</f>
        <v>Paquete de Elásticos 50 mm x 8 mm x 12 Hojas</v>
      </c>
      <c r="CK99" s="3" t="str">
        <f>IFERROR(__xludf.DUMMYFUNCTION("""COMPUTED_VALUE"""),"Plataforma Playo 4.00 x 1.90 x 0.45 Lateral Simple Baranda Fija")</f>
        <v>Plataforma Playo 4.00 x 1.90 x 0.45 Lateral Simple Baranda Fija</v>
      </c>
      <c r="CL99" s="3" t="str">
        <f>IFERROR(__xludf.DUMMYFUNCTION("""COMPUTED_VALUE"""),"Plataforma Playo 4.00 x 1.90 x 0.45 Lateral Simple Baranda Ventilada")</f>
        <v>Plataforma Playo 4.00 x 1.90 x 0.45 Lateral Simple Baranda Ventilada</v>
      </c>
      <c r="CM99" s="3" t="str">
        <f>IFERROR(__xludf.DUMMYFUNCTION("""COMPUTED_VALUE"""),"Plataforma Playo 4.00 x 1.90 x 0.45 Lateral Doble Baranda Ventilada")</f>
        <v>Plataforma Playo 4.00 x 1.90 x 0.45 Lateral Doble Baranda Ventilada</v>
      </c>
      <c r="CN99" s="3" t="str">
        <f>IFERROR(__xludf.DUMMYFUNCTION("""COMPUTED_VALUE"""),"Plataforma Playo 4.00 x 1.90 x 0.45 Lateral Doble Baranda Fija")</f>
        <v>Plataforma Playo 4.00 x 1.90 x 0.45 Lateral Doble Baranda Fija</v>
      </c>
      <c r="CO99" s="3" t="str">
        <f>IFERROR(__xludf.DUMMYFUNCTION("""COMPUTED_VALUE"""),"Plataforma Playo 4.00 x 1.90 x 0.72 Lateral Simple Baranda Fija")</f>
        <v>Plataforma Playo 4.00 x 1.90 x 0.72 Lateral Simple Baranda Fija</v>
      </c>
      <c r="CP99" s="3" t="str">
        <f>IFERROR(__xludf.DUMMYFUNCTION("""COMPUTED_VALUE"""),"Plataforma Playo 4.00 x 1.90 x 0.72 Lateral Doble Baranda Fija")</f>
        <v>Plataforma Playo 4.00 x 1.90 x 0.72 Lateral Doble Baranda Fija</v>
      </c>
      <c r="CQ99" s="3" t="str">
        <f>IFERROR(__xludf.DUMMYFUNCTION("""COMPUTED_VALUE"""),"Plataforma Playo 5.00 x 2.20 x 0.60 Lateral Doble Trasera Rebatible")</f>
        <v>Plataforma Playo 5.00 x 2.20 x 0.60 Lateral Doble Trasera Rebatible</v>
      </c>
      <c r="CR99" s="3" t="str">
        <f>IFERROR(__xludf.DUMMYFUNCTION("""COMPUTED_VALUE"""),"Plataforma Playo 5.00 x 2.20 x 0.60 Lateral Doble Baranda Fija C/Toldo")</f>
        <v>Plataforma Playo 5.00 x 2.20 x 0.60 Lateral Doble Baranda Fija C/Toldo</v>
      </c>
      <c r="CS99" s="3" t="str">
        <f>IFERROR(__xludf.DUMMYFUNCTION("""COMPUTED_VALUE"""),"Plataforma Playo 3.00 x 1.90 x 0.45 Lateral Simple Baranda Fija")</f>
        <v>Plataforma Playo 3.00 x 1.90 x 0.45 Lateral Simple Baranda Fija</v>
      </c>
      <c r="CT99" s="3" t="str">
        <f>IFERROR(__xludf.DUMMYFUNCTION("""COMPUTED_VALUE"""),"Plataforma Playo 3.00 x 1.90 x 0.45 Lateral Simple Baranda Ventilada")</f>
        <v>Plataforma Playo 3.00 x 1.90 x 0.45 Lateral Simple Baranda Ventilada</v>
      </c>
      <c r="CU99" s="3" t="str">
        <f>IFERROR(__xludf.DUMMYFUNCTION("""COMPUTED_VALUE"""),"Plataforma Playo 2.00 x 1.90 x 0.45 Lateral Simple Baranda Fija")</f>
        <v>Plataforma Playo 2.00 x 1.90 x 0.45 Lateral Simple Baranda Fija</v>
      </c>
      <c r="CV99" s="3" t="str">
        <f>IFERROR(__xludf.DUMMYFUNCTION("""COMPUTED_VALUE"""),"Plataforma Playo 5.00 x 1.90 x 0.60 Lateral Doble Baranda Fija")</f>
        <v>Plataforma Playo 5.00 x 1.90 x 0.60 Lateral Doble Baranda Fija</v>
      </c>
      <c r="CW99" s="3" t="str">
        <f>IFERROR(__xludf.DUMMYFUNCTION("""COMPUTED_VALUE"""),"Plataforma Playo 6.40 x 2.70 x 0.72 Lateral Doble Baranda Fija")</f>
        <v>Plataforma Playo 6.40 x 2.70 x 0.72 Lateral Doble Baranda Fija</v>
      </c>
      <c r="CX99" s="3" t="str">
        <f>IFERROR(__xludf.DUMMYFUNCTION("""COMPUTED_VALUE"""),"Chasis Acoplado Balancin L4000 Lanza Recta")</f>
        <v>Chasis Acoplado Balancin L4000 Lanza Recta</v>
      </c>
      <c r="CY99" s="3" t="str">
        <f>IFERROR(__xludf.DUMMYFUNCTION("""COMPUTED_VALUE"""),"Llanta simple Agrícola 750x20 centro 152")</f>
        <v>Llanta simple Agrícola 750x20 centro 152</v>
      </c>
      <c r="CZ99" s="3" t="str">
        <f>IFERROR(__xludf.DUMMYFUNCTION("""COMPUTED_VALUE"""),"Cajón de Herramientas Mediano adelante")</f>
        <v>Cajón de Herramientas Mediano adelante</v>
      </c>
      <c r="DA99" s="3" t="str">
        <f>IFERROR(__xludf.DUMMYFUNCTION("""COMPUTED_VALUE"""),"Llanta 15"" Simple Agrícola Centro 92")</f>
        <v>Llanta 15" Simple Agrícola Centro 92</v>
      </c>
    </row>
    <row r="100" hidden="1">
      <c r="A100" s="38">
        <f t="shared" si="1"/>
        <v>99</v>
      </c>
      <c r="B100" s="38">
        <f>IF(F100="","",SUMIF(Prearmados!E:E,F100,Prearmados!A:A))</f>
        <v>19</v>
      </c>
      <c r="C100" s="38">
        <f>IF(F100="","",SUMIF(Productos!E:E,G100,Productos!A:A))</f>
        <v>99</v>
      </c>
      <c r="D100" s="83" t="str">
        <f t="array" ref="D100">IF(OR(F100="",F100="Seleccionar.."),"",XLOOKUP(F100,Prearmados!E:E,Prearmados!F:F,"",0,1))</f>
        <v>Acoplados Rurales</v>
      </c>
      <c r="E100" s="83">
        <f>IF(H100="","",SUMIF(Precio_Productos!K:K,C100,Precio_Productos!J:J)*H100)</f>
        <v>1027200</v>
      </c>
      <c r="F100" s="84" t="s">
        <v>342</v>
      </c>
      <c r="G100" s="84" t="s">
        <v>126</v>
      </c>
      <c r="H100" s="13">
        <v>4.0</v>
      </c>
      <c r="P100" s="3" t="str">
        <f>IFERROR(__xludf.DUMMYFUNCTION("IF(OR(F100="""",F100=""Seleccionar..""),"""",TRANSPOSE(FILTER(Productos!E:E,(Productos!F:F=D100)+(Productos!F:F=XLOOKUP(D100,Implementos!B:B,Implementos!C:C,""-"",0,1)))))"),"Tanque Combustible 1100 lts Bajo")</f>
        <v>Tanque Combustible 1100 lts Bajo</v>
      </c>
      <c r="Q100" s="3" t="str">
        <f>IFERROR(__xludf.DUMMYFUNCTION("""COMPUTED_VALUE"""),"Tanque Combustible 1500 lts Standard")</f>
        <v>Tanque Combustible 1500 lts Standard</v>
      </c>
      <c r="R100" s="3" t="str">
        <f>IFERROR(__xludf.DUMMYFUNCTION("""COMPUTED_VALUE"""),"Tanque Combustible 1800 lts Standard")</f>
        <v>Tanque Combustible 1800 lts Standard</v>
      </c>
      <c r="S100" s="3" t="str">
        <f>IFERROR(__xludf.DUMMYFUNCTION("""COMPUTED_VALUE"""),"Tanque Combustible 2000 lts Bajo")</f>
        <v>Tanque Combustible 2000 lts Bajo</v>
      </c>
      <c r="T100" s="3" t="str">
        <f>IFERROR(__xludf.DUMMYFUNCTION("""COMPUTED_VALUE"""),"Tanque Combustible 2000 lts Standard")</f>
        <v>Tanque Combustible 2000 lts Standard</v>
      </c>
      <c r="U100" s="3" t="str">
        <f>IFERROR(__xludf.DUMMYFUNCTION("""COMPUTED_VALUE"""),"Tanque Combustible 3000 lts Standard")</f>
        <v>Tanque Combustible 3000 lts Standard</v>
      </c>
      <c r="V100" s="3" t="str">
        <f>IFERROR(__xludf.DUMMYFUNCTION("""COMPUTED_VALUE"""),"Tanque Combustible 3000 lts Alto")</f>
        <v>Tanque Combustible 3000 lts Alto</v>
      </c>
      <c r="W100" s="3" t="str">
        <f>IFERROR(__xludf.DUMMYFUNCTION("""COMPUTED_VALUE"""),"Tanque Combustible 4000 lts Standard")</f>
        <v>Tanque Combustible 4000 lts Standard</v>
      </c>
      <c r="X100" s="3" t="str">
        <f>IFERROR(__xludf.DUMMYFUNCTION("""COMPUTED_VALUE"""),"Tanque Combustible 5000 lts Standard")</f>
        <v>Tanque Combustible 5000 lts Standard</v>
      </c>
      <c r="Y100" s="3" t="str">
        <f>IFERROR(__xludf.DUMMYFUNCTION("""COMPUTED_VALUE"""),"Tanque Combustible 5000 lts Alto")</f>
        <v>Tanque Combustible 5000 lts Alto</v>
      </c>
      <c r="Z100" s="3" t="str">
        <f>IFERROR(__xludf.DUMMYFUNCTION("""COMPUTED_VALUE"""),"Tanque Combustible 2000 lts Alto")</f>
        <v>Tanque Combustible 2000 lts Alto</v>
      </c>
      <c r="AA100" s="3" t="str">
        <f>IFERROR(__xludf.DUMMYFUNCTION("""COMPUTED_VALUE"""),"Tanque Combustible 4000 lts Alto")</f>
        <v>Tanque Combustible 4000 lts Alto</v>
      </c>
      <c r="AB100" s="3" t="str">
        <f>IFERROR(__xludf.DUMMYFUNCTION("""COMPUTED_VALUE"""),"Baulera Standard - 750")</f>
        <v>Baulera Standard - 750</v>
      </c>
      <c r="AC100" s="3" t="str">
        <f>IFERROR(__xludf.DUMMYFUNCTION("""COMPUTED_VALUE"""),"Baulera Standard - 1700 - C/Laterales")</f>
        <v>Baulera Standard - 1700 - C/Laterales</v>
      </c>
      <c r="AD100" s="3" t="str">
        <f>IFERROR(__xludf.DUMMYFUNCTION("""COMPUTED_VALUE"""),"Baulera Standard - 1000 - C/Laterales")</f>
        <v>Baulera Standard - 1000 - C/Laterales</v>
      </c>
      <c r="AE100" s="3" t="str">
        <f>IFERROR(__xludf.DUMMYFUNCTION("""COMPUTED_VALUE"""),"Baulera Standard - 750 - C/Laterales")</f>
        <v>Baulera Standard - 750 - C/Laterales</v>
      </c>
      <c r="AF100" s="3" t="str">
        <f>IFERROR(__xludf.DUMMYFUNCTION("""COMPUTED_VALUE"""),"Baulera Standard - 1300 - C/Laterales")</f>
        <v>Baulera Standard - 1300 - C/Laterales</v>
      </c>
      <c r="AG100" s="3" t="str">
        <f>IFERROR(__xludf.DUMMYFUNCTION("""COMPUTED_VALUE"""),"Baulera Alta - 750")</f>
        <v>Baulera Alta - 750</v>
      </c>
      <c r="AH100" s="3" t="str">
        <f>IFERROR(__xludf.DUMMYFUNCTION("""COMPUTED_VALUE"""),"Baulera Alta - 1500 - C/Laterales")</f>
        <v>Baulera Alta - 1500 - C/Laterales</v>
      </c>
      <c r="AI100" s="3" t="str">
        <f>IFERROR(__xludf.DUMMYFUNCTION("""COMPUTED_VALUE"""),"Baulera Extendida 1700 - C/Laterales")</f>
        <v>Baulera Extendida 1700 - C/Laterales</v>
      </c>
      <c r="AJ100" s="3" t="str">
        <f>IFERROR(__xludf.DUMMYFUNCTION("""COMPUTED_VALUE"""),"Taller Móvil - 1500 x 1500 x 1700")</f>
        <v>Taller Móvil - 1500 x 1500 x 1700</v>
      </c>
      <c r="AK100" s="3" t="str">
        <f>IFERROR(__xludf.DUMMYFUNCTION("""COMPUTED_VALUE"""),"Cajón Herramientas Standard Derecho")</f>
        <v>Cajón Herramientas Standard Derecho</v>
      </c>
      <c r="AL100" s="3" t="str">
        <f>IFERROR(__xludf.DUMMYFUNCTION("""COMPUTED_VALUE"""),"Cajón Herramientas Standard Izquierdo")</f>
        <v>Cajón Herramientas Standard Izquierdo</v>
      </c>
      <c r="AM100" s="3" t="str">
        <f>IFERROR(__xludf.DUMMYFUNCTION("""COMPUTED_VALUE"""),"Cajón Herramientas Corto Derecho")</f>
        <v>Cajón Herramientas Corto Derecho</v>
      </c>
      <c r="AN100" s="3" t="str">
        <f>IFERROR(__xludf.DUMMYFUNCTION("""COMPUTED_VALUE"""),"Cajón Herramientas Corto Izquierdo")</f>
        <v>Cajón Herramientas Corto Izquierdo</v>
      </c>
      <c r="AO100" s="3" t="str">
        <f>IFERROR(__xludf.DUMMYFUNCTION("""COMPUTED_VALUE"""),"Cajón Herramientas Mediano Derecho")</f>
        <v>Cajón Herramientas Mediano Derecho</v>
      </c>
      <c r="AP100" s="3" t="str">
        <f>IFERROR(__xludf.DUMMYFUNCTION("""COMPUTED_VALUE"""),"Cajón Herramientas Mediano Izquierdo")</f>
        <v>Cajón Herramientas Mediano Izquierdo</v>
      </c>
      <c r="AQ100" s="3" t="str">
        <f>IFERROR(__xludf.DUMMYFUNCTION("""COMPUTED_VALUE"""),"Chasis Acoplado 2 Ejes L3000")</f>
        <v>Chasis Acoplado 2 Ejes L3000</v>
      </c>
      <c r="AR100" s="3" t="str">
        <f>IFERROR(__xludf.DUMMYFUNCTION("""COMPUTED_VALUE"""),"Chasis Acoplado 2 Ejes L3750")</f>
        <v>Chasis Acoplado 2 Ejes L3750</v>
      </c>
      <c r="AS100" s="3" t="str">
        <f>IFERROR(__xludf.DUMMYFUNCTION("""COMPUTED_VALUE"""),"Chasis Acoplado 2 Ejes L4000")</f>
        <v>Chasis Acoplado 2 Ejes L4000</v>
      </c>
      <c r="AT100" s="3" t="str">
        <f>IFERROR(__xludf.DUMMYFUNCTION("""COMPUTED_VALUE"""),"Chasis Acoplado 2 Ejes L4000 Reforzado")</f>
        <v>Chasis Acoplado 2 Ejes L4000 Reforzado</v>
      </c>
      <c r="AU100" s="3" t="str">
        <f>IFERROR(__xludf.DUMMYFUNCTION("""COMPUTED_VALUE"""),"Chasis Acoplado 2 Ejes L4750")</f>
        <v>Chasis Acoplado 2 Ejes L4750</v>
      </c>
      <c r="AV100" s="3" t="str">
        <f>IFERROR(__xludf.DUMMYFUNCTION("""COMPUTED_VALUE"""),"Chasis Acoplado 2 Ejes L4750 Reforzado")</f>
        <v>Chasis Acoplado 2 Ejes L4750 Reforzado</v>
      </c>
      <c r="AW100" s="3" t="str">
        <f>IFERROR(__xludf.DUMMYFUNCTION("""COMPUTED_VALUE"""),"Chasis Acoplado 2 Ejes L4750 Reforzado R. Camion")</f>
        <v>Chasis Acoplado 2 Ejes L4750 Reforzado R. Camion</v>
      </c>
      <c r="AX100" s="3" t="str">
        <f>IFERROR(__xludf.DUMMYFUNCTION("""COMPUTED_VALUE"""),"Chasis Acoplado 2 Ejes L5000")</f>
        <v>Chasis Acoplado 2 Ejes L5000</v>
      </c>
      <c r="AY100" s="3" t="str">
        <f>IFERROR(__xludf.DUMMYFUNCTION("""COMPUTED_VALUE"""),"Chasis Acoplado 2 Ejes L5750")</f>
        <v>Chasis Acoplado 2 Ejes L5750</v>
      </c>
      <c r="AZ100" s="3" t="str">
        <f>IFERROR(__xludf.DUMMYFUNCTION("""COMPUTED_VALUE"""),"Chasis Acoplado 2 Ejes L6400")</f>
        <v>Chasis Acoplado 2 Ejes L6400</v>
      </c>
      <c r="BA100" s="3" t="str">
        <f>IFERROR(__xludf.DUMMYFUNCTION("""COMPUTED_VALUE"""),"Chasis Acoplado 2 Ejes L4500")</f>
        <v>Chasis Acoplado 2 Ejes L4500</v>
      </c>
      <c r="BB100" s="3" t="str">
        <f>IFERROR(__xludf.DUMMYFUNCTION("""COMPUTED_VALUE"""),"Chasis Acoplado 1 Eje L1500")</f>
        <v>Chasis Acoplado 1 Eje L1500</v>
      </c>
      <c r="BC100" s="3" t="str">
        <f>IFERROR(__xludf.DUMMYFUNCTION("""COMPUTED_VALUE"""),"Chasis Acoplado 1 Eje L1800")</f>
        <v>Chasis Acoplado 1 Eje L1800</v>
      </c>
      <c r="BD100" s="3" t="str">
        <f>IFERROR(__xludf.DUMMYFUNCTION("""COMPUTED_VALUE"""),"Chasis Acoplado 1 Eje L1400")</f>
        <v>Chasis Acoplado 1 Eje L1400</v>
      </c>
      <c r="BE100" s="3" t="str">
        <f>IFERROR(__xludf.DUMMYFUNCTION("""COMPUTED_VALUE"""),"Chasis Acoplado Balancin L3000")</f>
        <v>Chasis Acoplado Balancin L3000</v>
      </c>
      <c r="BF100" s="3" t="str">
        <f>IFERROR(__xludf.DUMMYFUNCTION("""COMPUTED_VALUE"""),"Chasis Acoplado Balancin L3000 Lanza Corta")</f>
        <v>Chasis Acoplado Balancin L3000 Lanza Corta</v>
      </c>
      <c r="BG100" s="3" t="str">
        <f>IFERROR(__xludf.DUMMYFUNCTION("""COMPUTED_VALUE"""),"Chasis Acoplado Balancin L2000 Lanza Corta")</f>
        <v>Chasis Acoplado Balancin L2000 Lanza Corta</v>
      </c>
      <c r="BH100" s="3" t="str">
        <f>IFERROR(__xludf.DUMMYFUNCTION("""COMPUTED_VALUE"""),"Chasis Acoplado Balancin L3200 Lanza Corta")</f>
        <v>Chasis Acoplado Balancin L3200 Lanza Corta</v>
      </c>
      <c r="BI100" s="3" t="str">
        <f>IFERROR(__xludf.DUMMYFUNCTION("""COMPUTED_VALUE"""),"Chasis Acoplado Balancin L3200 Lanza Recta")</f>
        <v>Chasis Acoplado Balancin L3200 Lanza Recta</v>
      </c>
      <c r="BJ100" s="3" t="str">
        <f>IFERROR(__xludf.DUMMYFUNCTION("""COMPUTED_VALUE"""),"Chasis Acoplado Balancin L3200 Bajo Lanza Recta")</f>
        <v>Chasis Acoplado Balancin L3200 Bajo Lanza Recta</v>
      </c>
      <c r="BK100" s="3" t="str">
        <f>IFERROR(__xludf.DUMMYFUNCTION("""COMPUTED_VALUE"""),"Tanque Plastico Horizontal 750 Lts")</f>
        <v>Tanque Plastico Horizontal 750 Lts</v>
      </c>
      <c r="BL100" s="3" t="str">
        <f>IFERROR(__xludf.DUMMYFUNCTION("""COMPUTED_VALUE"""),"Medio Tanque Plastico Superior 700 Lts")</f>
        <v>Medio Tanque Plastico Superior 700 Lts</v>
      </c>
      <c r="BM100" s="3" t="str">
        <f>IFERROR(__xludf.DUMMYFUNCTION("""COMPUTED_VALUE"""),"Paquete de Elasticos 50 mm x 8 mm x 10 Hojas L850")</f>
        <v>Paquete de Elasticos 50 mm x 8 mm x 10 Hojas L850</v>
      </c>
      <c r="BN100" s="3" t="str">
        <f>IFERROR(__xludf.DUMMYFUNCTION("""COMPUTED_VALUE"""),"Paquete de Elasticos 63 mm x 8 mm x 10 Hojas L950")</f>
        <v>Paquete de Elasticos 63 mm x 8 mm x 10 Hojas L950</v>
      </c>
      <c r="BO100" s="3" t="str">
        <f>IFERROR(__xludf.DUMMYFUNCTION("""COMPUTED_VALUE"""),"Paquete de Elasticos 50 mm x 7 mm x 9 Hojas L850")</f>
        <v>Paquete de Elasticos 50 mm x 7 mm x 9 Hojas L850</v>
      </c>
      <c r="BP100" s="3" t="str">
        <f>IFERROR(__xludf.DUMMYFUNCTION("""COMPUTED_VALUE"""),"Paquete de Elasticos 63 mm x 8 mm x 8 Hojas L850")</f>
        <v>Paquete de Elasticos 63 mm x 8 mm x 8 Hojas L850</v>
      </c>
      <c r="BQ100" s="3" t="str">
        <f>IFERROR(__xludf.DUMMYFUNCTION("""COMPUTED_VALUE"""),"Paquete de Elasticos 63 mm x 10 mm x 10 Hojas L950")</f>
        <v>Paquete de Elasticos 63 mm x 10 mm x 10 Hojas L950</v>
      </c>
      <c r="BR100" s="3" t="str">
        <f>IFERROR(__xludf.DUMMYFUNCTION("""COMPUTED_VALUE"""),"Paquete de Elasticos 63 mm x 10 mm x 13 Hojas L975")</f>
        <v>Paquete de Elasticos 63 mm x 10 mm x 13 Hojas L975</v>
      </c>
      <c r="BS100" s="3" t="str">
        <f>IFERROR(__xludf.DUMMYFUNCTION("""COMPUTED_VALUE"""),"Paquete de Elasticos 50 mm x 7 mm x 9 Hojas L650")</f>
        <v>Paquete de Elasticos 50 mm x 7 mm x 9 Hojas L650</v>
      </c>
      <c r="BT100" s="3" t="str">
        <f>IFERROR(__xludf.DUMMYFUNCTION("""COMPUTED_VALUE"""),"Eje Acoplado 2"" x 1600 (06/08) Agrícola Centro 92")</f>
        <v>Eje Acoplado 2" x 1600 (06/08) Agrícola Centro 92</v>
      </c>
      <c r="BU100" s="3" t="str">
        <f>IFERROR(__xludf.DUMMYFUNCTION("""COMPUTED_VALUE"""),"Eje Acoplado 2 1/2"" x 1600 (07/09) Agrícola Centro 92")</f>
        <v>Eje Acoplado 2 1/2" x 1600 (07/09) Agrícola Centro 92</v>
      </c>
      <c r="BV100" s="3" t="str">
        <f>IFERROR(__xludf.DUMMYFUNCTION("""COMPUTED_VALUE"""),"Eje Acoplado 2 1/2"" x 1600 (09/11) Agrícola Centro 150")</f>
        <v>Eje Acoplado 2 1/2" x 1600 (09/11) Agrícola Centro 150</v>
      </c>
      <c r="BW100" s="3" t="str">
        <f>IFERROR(__xludf.DUMMYFUNCTION("""COMPUTED_VALUE"""),"Eje Acoplado 3"" x 1600 (10/13) Agrícola Centro 150")</f>
        <v>Eje Acoplado 3" x 1600 (10/13) Agrícola Centro 150</v>
      </c>
      <c r="BX100" s="3" t="str">
        <f>IFERROR(__xludf.DUMMYFUNCTION("""COMPUTED_VALUE"""),"Eje Acoplado 2 1/2"" x 2140 (07/09) Agrícola Centro 92")</f>
        <v>Eje Acoplado 2 1/2" x 2140 (07/09) Agrícola Centro 92</v>
      </c>
      <c r="BY100" s="3" t="str">
        <f>IFERROR(__xludf.DUMMYFUNCTION("""COMPUTED_VALUE"""),"Eje Acoplado 2"" x 1400 (06/08) Agrícola Centro 92")</f>
        <v>Eje Acoplado 2" x 1400 (06/08) Agrícola Centro 92</v>
      </c>
      <c r="BZ100" s="3" t="str">
        <f>IFERROR(__xludf.DUMMYFUNCTION("""COMPUTED_VALUE"""),"Eje Acoplado 2 1/2"" x 1500 (07/09) Agrícola Centro 92")</f>
        <v>Eje Acoplado 2 1/2" x 1500 (07/09) Agrícola Centro 92</v>
      </c>
      <c r="CA100" s="3" t="str">
        <f>IFERROR(__xludf.DUMMYFUNCTION("""COMPUTED_VALUE"""),"Eje Acoplado 2 1/2"" x 2000 (07/09) Agrícola Centro 92")</f>
        <v>Eje Acoplado 2 1/2" x 2000 (07/09) Agrícola Centro 92</v>
      </c>
      <c r="CB100" s="3" t="str">
        <f>IFERROR(__xludf.DUMMYFUNCTION("""COMPUTED_VALUE"""),"Eje Acoplado 2 1/2"" x 2100 (09/11) Agrícola Centro 150")</f>
        <v>Eje Acoplado 2 1/2" x 2100 (09/11) Agrícola Centro 150</v>
      </c>
      <c r="CC100" s="3" t="str">
        <f>IFERROR(__xludf.DUMMYFUNCTION("""COMPUTED_VALUE"""),"Llanta 16"" Simple Agrícola Centro 92")</f>
        <v>Llanta 16" Simple Agrícola Centro 92</v>
      </c>
      <c r="CD100" s="3" t="str">
        <f>IFERROR(__xludf.DUMMYFUNCTION("""COMPUTED_VALUE"""),"Llanta 16"" Dual Agrícola Centro 92")</f>
        <v>Llanta 16" Dual Agrícola Centro 92</v>
      </c>
      <c r="CE100" s="3" t="str">
        <f>IFERROR(__xludf.DUMMYFUNCTION("""COMPUTED_VALUE"""),"Llanta 17"" Simple Agrícola Centro 92")</f>
        <v>Llanta 17" Simple Agrícola Centro 92</v>
      </c>
      <c r="CF100" s="3" t="str">
        <f>IFERROR(__xludf.DUMMYFUNCTION("""COMPUTED_VALUE"""),"Llanta 17"" Dual Agrícola Centro 92")</f>
        <v>Llanta 17" Dual Agrícola Centro 92</v>
      </c>
      <c r="CG100" s="3" t="str">
        <f>IFERROR(__xludf.DUMMYFUNCTION("""COMPUTED_VALUE"""),"Llanta 16"" Dual Agrícola Centro 152")</f>
        <v>Llanta 16" Dual Agrícola Centro 152</v>
      </c>
      <c r="CH100" s="3" t="str">
        <f>IFERROR(__xludf.DUMMYFUNCTION("""COMPUTED_VALUE"""),"Llanta 17"" Dual Agrícola Centro 152")</f>
        <v>Llanta 17" Dual Agrícola Centro 152</v>
      </c>
      <c r="CI100" s="3" t="str">
        <f>IFERROR(__xludf.DUMMYFUNCTION("""COMPUTED_VALUE"""),"Eje Acoplado 2"" x 1600 (05/07) Agrícola Centro 92")</f>
        <v>Eje Acoplado 2" x 1600 (05/07) Agrícola Centro 92</v>
      </c>
      <c r="CJ100" s="3" t="str">
        <f>IFERROR(__xludf.DUMMYFUNCTION("""COMPUTED_VALUE"""),"Paquete de Elásticos 50 mm x 8 mm x 12 Hojas")</f>
        <v>Paquete de Elásticos 50 mm x 8 mm x 12 Hojas</v>
      </c>
      <c r="CK100" s="3" t="str">
        <f>IFERROR(__xludf.DUMMYFUNCTION("""COMPUTED_VALUE"""),"Plataforma Playo 4.00 x 1.90 x 0.45 Lateral Simple Baranda Fija")</f>
        <v>Plataforma Playo 4.00 x 1.90 x 0.45 Lateral Simple Baranda Fija</v>
      </c>
      <c r="CL100" s="3" t="str">
        <f>IFERROR(__xludf.DUMMYFUNCTION("""COMPUTED_VALUE"""),"Plataforma Playo 4.00 x 1.90 x 0.45 Lateral Simple Baranda Ventilada")</f>
        <v>Plataforma Playo 4.00 x 1.90 x 0.45 Lateral Simple Baranda Ventilada</v>
      </c>
      <c r="CM100" s="3" t="str">
        <f>IFERROR(__xludf.DUMMYFUNCTION("""COMPUTED_VALUE"""),"Plataforma Playo 4.00 x 1.90 x 0.45 Lateral Doble Baranda Ventilada")</f>
        <v>Plataforma Playo 4.00 x 1.90 x 0.45 Lateral Doble Baranda Ventilada</v>
      </c>
      <c r="CN100" s="3" t="str">
        <f>IFERROR(__xludf.DUMMYFUNCTION("""COMPUTED_VALUE"""),"Plataforma Playo 4.00 x 1.90 x 0.45 Lateral Doble Baranda Fija")</f>
        <v>Plataforma Playo 4.00 x 1.90 x 0.45 Lateral Doble Baranda Fija</v>
      </c>
      <c r="CO100" s="3" t="str">
        <f>IFERROR(__xludf.DUMMYFUNCTION("""COMPUTED_VALUE"""),"Plataforma Playo 4.00 x 1.90 x 0.72 Lateral Simple Baranda Fija")</f>
        <v>Plataforma Playo 4.00 x 1.90 x 0.72 Lateral Simple Baranda Fija</v>
      </c>
      <c r="CP100" s="3" t="str">
        <f>IFERROR(__xludf.DUMMYFUNCTION("""COMPUTED_VALUE"""),"Plataforma Playo 4.00 x 1.90 x 0.72 Lateral Doble Baranda Fija")</f>
        <v>Plataforma Playo 4.00 x 1.90 x 0.72 Lateral Doble Baranda Fija</v>
      </c>
      <c r="CQ100" s="3" t="str">
        <f>IFERROR(__xludf.DUMMYFUNCTION("""COMPUTED_VALUE"""),"Plataforma Playo 5.00 x 2.20 x 0.60 Lateral Doble Trasera Rebatible")</f>
        <v>Plataforma Playo 5.00 x 2.20 x 0.60 Lateral Doble Trasera Rebatible</v>
      </c>
      <c r="CR100" s="3" t="str">
        <f>IFERROR(__xludf.DUMMYFUNCTION("""COMPUTED_VALUE"""),"Plataforma Playo 5.00 x 2.20 x 0.60 Lateral Doble Baranda Fija C/Toldo")</f>
        <v>Plataforma Playo 5.00 x 2.20 x 0.60 Lateral Doble Baranda Fija C/Toldo</v>
      </c>
      <c r="CS100" s="3" t="str">
        <f>IFERROR(__xludf.DUMMYFUNCTION("""COMPUTED_VALUE"""),"Plataforma Playo 3.00 x 1.90 x 0.45 Lateral Simple Baranda Fija")</f>
        <v>Plataforma Playo 3.00 x 1.90 x 0.45 Lateral Simple Baranda Fija</v>
      </c>
      <c r="CT100" s="3" t="str">
        <f>IFERROR(__xludf.DUMMYFUNCTION("""COMPUTED_VALUE"""),"Plataforma Playo 3.00 x 1.90 x 0.45 Lateral Simple Baranda Ventilada")</f>
        <v>Plataforma Playo 3.00 x 1.90 x 0.45 Lateral Simple Baranda Ventilada</v>
      </c>
      <c r="CU100" s="3" t="str">
        <f>IFERROR(__xludf.DUMMYFUNCTION("""COMPUTED_VALUE"""),"Plataforma Playo 2.00 x 1.90 x 0.45 Lateral Simple Baranda Fija")</f>
        <v>Plataforma Playo 2.00 x 1.90 x 0.45 Lateral Simple Baranda Fija</v>
      </c>
      <c r="CV100" s="3" t="str">
        <f>IFERROR(__xludf.DUMMYFUNCTION("""COMPUTED_VALUE"""),"Plataforma Playo 5.00 x 1.90 x 0.60 Lateral Doble Baranda Fija")</f>
        <v>Plataforma Playo 5.00 x 1.90 x 0.60 Lateral Doble Baranda Fija</v>
      </c>
      <c r="CW100" s="3" t="str">
        <f>IFERROR(__xludf.DUMMYFUNCTION("""COMPUTED_VALUE"""),"Plataforma Playo 6.40 x 2.70 x 0.72 Lateral Doble Baranda Fija")</f>
        <v>Plataforma Playo 6.40 x 2.70 x 0.72 Lateral Doble Baranda Fija</v>
      </c>
      <c r="CX100" s="3" t="str">
        <f>IFERROR(__xludf.DUMMYFUNCTION("""COMPUTED_VALUE"""),"Chasis Acoplado Balancin L4000 Lanza Recta")</f>
        <v>Chasis Acoplado Balancin L4000 Lanza Recta</v>
      </c>
      <c r="CY100" s="3" t="str">
        <f>IFERROR(__xludf.DUMMYFUNCTION("""COMPUTED_VALUE"""),"Llanta simple Agrícola 750x20 centro 152")</f>
        <v>Llanta simple Agrícola 750x20 centro 152</v>
      </c>
      <c r="CZ100" s="3" t="str">
        <f>IFERROR(__xludf.DUMMYFUNCTION("""COMPUTED_VALUE"""),"Cajón de Herramientas Mediano adelante")</f>
        <v>Cajón de Herramientas Mediano adelante</v>
      </c>
      <c r="DA100" s="3" t="str">
        <f>IFERROR(__xludf.DUMMYFUNCTION("""COMPUTED_VALUE"""),"Llanta 15"" Simple Agrícola Centro 92")</f>
        <v>Llanta 15" Simple Agrícola Centro 92</v>
      </c>
    </row>
    <row r="101" hidden="1">
      <c r="A101" s="38">
        <f t="shared" si="1"/>
        <v>100</v>
      </c>
      <c r="B101" s="38">
        <f>IF(F101="","",SUMIF(Prearmados!E:E,F101,Prearmados!A:A))</f>
        <v>19</v>
      </c>
      <c r="C101" s="38">
        <f>IF(F101="","",SUMIF(Productos!E:E,G101,Productos!A:A))</f>
        <v>115</v>
      </c>
      <c r="D101" s="83" t="str">
        <f t="array" ref="D101">IF(OR(F101="",F101="Seleccionar.."),"",XLOOKUP(F101,Prearmados!E:E,Prearmados!F:F,"",0,1))</f>
        <v>Acoplados Rurales</v>
      </c>
      <c r="E101" s="83">
        <f>IF(H101="","",SUMIF(Precio_Productos!K:K,C101,Precio_Productos!J:J)*H101)</f>
        <v>1320000</v>
      </c>
      <c r="F101" s="84" t="s">
        <v>342</v>
      </c>
      <c r="G101" s="84" t="s">
        <v>43</v>
      </c>
      <c r="H101" s="13">
        <v>8.0</v>
      </c>
      <c r="P101" s="3" t="str">
        <f>IFERROR(__xludf.DUMMYFUNCTION("IF(OR(F101="""",F101=""Seleccionar..""),"""",TRANSPOSE(FILTER(Productos!E:E,(Productos!F:F=D101)+(Productos!F:F=XLOOKUP(D101,Implementos!B:B,Implementos!C:C,""-"",0,1)))))"),"Tanque Combustible 1100 lts Bajo")</f>
        <v>Tanque Combustible 1100 lts Bajo</v>
      </c>
      <c r="Q101" s="3" t="str">
        <f>IFERROR(__xludf.DUMMYFUNCTION("""COMPUTED_VALUE"""),"Tanque Combustible 1500 lts Standard")</f>
        <v>Tanque Combustible 1500 lts Standard</v>
      </c>
      <c r="R101" s="3" t="str">
        <f>IFERROR(__xludf.DUMMYFUNCTION("""COMPUTED_VALUE"""),"Tanque Combustible 1800 lts Standard")</f>
        <v>Tanque Combustible 1800 lts Standard</v>
      </c>
      <c r="S101" s="3" t="str">
        <f>IFERROR(__xludf.DUMMYFUNCTION("""COMPUTED_VALUE"""),"Tanque Combustible 2000 lts Bajo")</f>
        <v>Tanque Combustible 2000 lts Bajo</v>
      </c>
      <c r="T101" s="3" t="str">
        <f>IFERROR(__xludf.DUMMYFUNCTION("""COMPUTED_VALUE"""),"Tanque Combustible 2000 lts Standard")</f>
        <v>Tanque Combustible 2000 lts Standard</v>
      </c>
      <c r="U101" s="3" t="str">
        <f>IFERROR(__xludf.DUMMYFUNCTION("""COMPUTED_VALUE"""),"Tanque Combustible 3000 lts Standard")</f>
        <v>Tanque Combustible 3000 lts Standard</v>
      </c>
      <c r="V101" s="3" t="str">
        <f>IFERROR(__xludf.DUMMYFUNCTION("""COMPUTED_VALUE"""),"Tanque Combustible 3000 lts Alto")</f>
        <v>Tanque Combustible 3000 lts Alto</v>
      </c>
      <c r="W101" s="3" t="str">
        <f>IFERROR(__xludf.DUMMYFUNCTION("""COMPUTED_VALUE"""),"Tanque Combustible 4000 lts Standard")</f>
        <v>Tanque Combustible 4000 lts Standard</v>
      </c>
      <c r="X101" s="3" t="str">
        <f>IFERROR(__xludf.DUMMYFUNCTION("""COMPUTED_VALUE"""),"Tanque Combustible 5000 lts Standard")</f>
        <v>Tanque Combustible 5000 lts Standard</v>
      </c>
      <c r="Y101" s="3" t="str">
        <f>IFERROR(__xludf.DUMMYFUNCTION("""COMPUTED_VALUE"""),"Tanque Combustible 5000 lts Alto")</f>
        <v>Tanque Combustible 5000 lts Alto</v>
      </c>
      <c r="Z101" s="3" t="str">
        <f>IFERROR(__xludf.DUMMYFUNCTION("""COMPUTED_VALUE"""),"Tanque Combustible 2000 lts Alto")</f>
        <v>Tanque Combustible 2000 lts Alto</v>
      </c>
      <c r="AA101" s="3" t="str">
        <f>IFERROR(__xludf.DUMMYFUNCTION("""COMPUTED_VALUE"""),"Tanque Combustible 4000 lts Alto")</f>
        <v>Tanque Combustible 4000 lts Alto</v>
      </c>
      <c r="AB101" s="3" t="str">
        <f>IFERROR(__xludf.DUMMYFUNCTION("""COMPUTED_VALUE"""),"Baulera Standard - 750")</f>
        <v>Baulera Standard - 750</v>
      </c>
      <c r="AC101" s="3" t="str">
        <f>IFERROR(__xludf.DUMMYFUNCTION("""COMPUTED_VALUE"""),"Baulera Standard - 1700 - C/Laterales")</f>
        <v>Baulera Standard - 1700 - C/Laterales</v>
      </c>
      <c r="AD101" s="3" t="str">
        <f>IFERROR(__xludf.DUMMYFUNCTION("""COMPUTED_VALUE"""),"Baulera Standard - 1000 - C/Laterales")</f>
        <v>Baulera Standard - 1000 - C/Laterales</v>
      </c>
      <c r="AE101" s="3" t="str">
        <f>IFERROR(__xludf.DUMMYFUNCTION("""COMPUTED_VALUE"""),"Baulera Standard - 750 - C/Laterales")</f>
        <v>Baulera Standard - 750 - C/Laterales</v>
      </c>
      <c r="AF101" s="3" t="str">
        <f>IFERROR(__xludf.DUMMYFUNCTION("""COMPUTED_VALUE"""),"Baulera Standard - 1300 - C/Laterales")</f>
        <v>Baulera Standard - 1300 - C/Laterales</v>
      </c>
      <c r="AG101" s="3" t="str">
        <f>IFERROR(__xludf.DUMMYFUNCTION("""COMPUTED_VALUE"""),"Baulera Alta - 750")</f>
        <v>Baulera Alta - 750</v>
      </c>
      <c r="AH101" s="3" t="str">
        <f>IFERROR(__xludf.DUMMYFUNCTION("""COMPUTED_VALUE"""),"Baulera Alta - 1500 - C/Laterales")</f>
        <v>Baulera Alta - 1500 - C/Laterales</v>
      </c>
      <c r="AI101" s="3" t="str">
        <f>IFERROR(__xludf.DUMMYFUNCTION("""COMPUTED_VALUE"""),"Baulera Extendida 1700 - C/Laterales")</f>
        <v>Baulera Extendida 1700 - C/Laterales</v>
      </c>
      <c r="AJ101" s="3" t="str">
        <f>IFERROR(__xludf.DUMMYFUNCTION("""COMPUTED_VALUE"""),"Taller Móvil - 1500 x 1500 x 1700")</f>
        <v>Taller Móvil - 1500 x 1500 x 1700</v>
      </c>
      <c r="AK101" s="3" t="str">
        <f>IFERROR(__xludf.DUMMYFUNCTION("""COMPUTED_VALUE"""),"Cajón Herramientas Standard Derecho")</f>
        <v>Cajón Herramientas Standard Derecho</v>
      </c>
      <c r="AL101" s="3" t="str">
        <f>IFERROR(__xludf.DUMMYFUNCTION("""COMPUTED_VALUE"""),"Cajón Herramientas Standard Izquierdo")</f>
        <v>Cajón Herramientas Standard Izquierdo</v>
      </c>
      <c r="AM101" s="3" t="str">
        <f>IFERROR(__xludf.DUMMYFUNCTION("""COMPUTED_VALUE"""),"Cajón Herramientas Corto Derecho")</f>
        <v>Cajón Herramientas Corto Derecho</v>
      </c>
      <c r="AN101" s="3" t="str">
        <f>IFERROR(__xludf.DUMMYFUNCTION("""COMPUTED_VALUE"""),"Cajón Herramientas Corto Izquierdo")</f>
        <v>Cajón Herramientas Corto Izquierdo</v>
      </c>
      <c r="AO101" s="3" t="str">
        <f>IFERROR(__xludf.DUMMYFUNCTION("""COMPUTED_VALUE"""),"Cajón Herramientas Mediano Derecho")</f>
        <v>Cajón Herramientas Mediano Derecho</v>
      </c>
      <c r="AP101" s="3" t="str">
        <f>IFERROR(__xludf.DUMMYFUNCTION("""COMPUTED_VALUE"""),"Cajón Herramientas Mediano Izquierdo")</f>
        <v>Cajón Herramientas Mediano Izquierdo</v>
      </c>
      <c r="AQ101" s="3" t="str">
        <f>IFERROR(__xludf.DUMMYFUNCTION("""COMPUTED_VALUE"""),"Chasis Acoplado 2 Ejes L3000")</f>
        <v>Chasis Acoplado 2 Ejes L3000</v>
      </c>
      <c r="AR101" s="3" t="str">
        <f>IFERROR(__xludf.DUMMYFUNCTION("""COMPUTED_VALUE"""),"Chasis Acoplado 2 Ejes L3750")</f>
        <v>Chasis Acoplado 2 Ejes L3750</v>
      </c>
      <c r="AS101" s="3" t="str">
        <f>IFERROR(__xludf.DUMMYFUNCTION("""COMPUTED_VALUE"""),"Chasis Acoplado 2 Ejes L4000")</f>
        <v>Chasis Acoplado 2 Ejes L4000</v>
      </c>
      <c r="AT101" s="3" t="str">
        <f>IFERROR(__xludf.DUMMYFUNCTION("""COMPUTED_VALUE"""),"Chasis Acoplado 2 Ejes L4000 Reforzado")</f>
        <v>Chasis Acoplado 2 Ejes L4000 Reforzado</v>
      </c>
      <c r="AU101" s="3" t="str">
        <f>IFERROR(__xludf.DUMMYFUNCTION("""COMPUTED_VALUE"""),"Chasis Acoplado 2 Ejes L4750")</f>
        <v>Chasis Acoplado 2 Ejes L4750</v>
      </c>
      <c r="AV101" s="3" t="str">
        <f>IFERROR(__xludf.DUMMYFUNCTION("""COMPUTED_VALUE"""),"Chasis Acoplado 2 Ejes L4750 Reforzado")</f>
        <v>Chasis Acoplado 2 Ejes L4750 Reforzado</v>
      </c>
      <c r="AW101" s="3" t="str">
        <f>IFERROR(__xludf.DUMMYFUNCTION("""COMPUTED_VALUE"""),"Chasis Acoplado 2 Ejes L4750 Reforzado R. Camion")</f>
        <v>Chasis Acoplado 2 Ejes L4750 Reforzado R. Camion</v>
      </c>
      <c r="AX101" s="3" t="str">
        <f>IFERROR(__xludf.DUMMYFUNCTION("""COMPUTED_VALUE"""),"Chasis Acoplado 2 Ejes L5000")</f>
        <v>Chasis Acoplado 2 Ejes L5000</v>
      </c>
      <c r="AY101" s="3" t="str">
        <f>IFERROR(__xludf.DUMMYFUNCTION("""COMPUTED_VALUE"""),"Chasis Acoplado 2 Ejes L5750")</f>
        <v>Chasis Acoplado 2 Ejes L5750</v>
      </c>
      <c r="AZ101" s="3" t="str">
        <f>IFERROR(__xludf.DUMMYFUNCTION("""COMPUTED_VALUE"""),"Chasis Acoplado 2 Ejes L6400")</f>
        <v>Chasis Acoplado 2 Ejes L6400</v>
      </c>
      <c r="BA101" s="3" t="str">
        <f>IFERROR(__xludf.DUMMYFUNCTION("""COMPUTED_VALUE"""),"Chasis Acoplado 2 Ejes L4500")</f>
        <v>Chasis Acoplado 2 Ejes L4500</v>
      </c>
      <c r="BB101" s="3" t="str">
        <f>IFERROR(__xludf.DUMMYFUNCTION("""COMPUTED_VALUE"""),"Chasis Acoplado 1 Eje L1500")</f>
        <v>Chasis Acoplado 1 Eje L1500</v>
      </c>
      <c r="BC101" s="3" t="str">
        <f>IFERROR(__xludf.DUMMYFUNCTION("""COMPUTED_VALUE"""),"Chasis Acoplado 1 Eje L1800")</f>
        <v>Chasis Acoplado 1 Eje L1800</v>
      </c>
      <c r="BD101" s="3" t="str">
        <f>IFERROR(__xludf.DUMMYFUNCTION("""COMPUTED_VALUE"""),"Chasis Acoplado 1 Eje L1400")</f>
        <v>Chasis Acoplado 1 Eje L1400</v>
      </c>
      <c r="BE101" s="3" t="str">
        <f>IFERROR(__xludf.DUMMYFUNCTION("""COMPUTED_VALUE"""),"Chasis Acoplado Balancin L3000")</f>
        <v>Chasis Acoplado Balancin L3000</v>
      </c>
      <c r="BF101" s="3" t="str">
        <f>IFERROR(__xludf.DUMMYFUNCTION("""COMPUTED_VALUE"""),"Chasis Acoplado Balancin L3000 Lanza Corta")</f>
        <v>Chasis Acoplado Balancin L3000 Lanza Corta</v>
      </c>
      <c r="BG101" s="3" t="str">
        <f>IFERROR(__xludf.DUMMYFUNCTION("""COMPUTED_VALUE"""),"Chasis Acoplado Balancin L2000 Lanza Corta")</f>
        <v>Chasis Acoplado Balancin L2000 Lanza Corta</v>
      </c>
      <c r="BH101" s="3" t="str">
        <f>IFERROR(__xludf.DUMMYFUNCTION("""COMPUTED_VALUE"""),"Chasis Acoplado Balancin L3200 Lanza Corta")</f>
        <v>Chasis Acoplado Balancin L3200 Lanza Corta</v>
      </c>
      <c r="BI101" s="3" t="str">
        <f>IFERROR(__xludf.DUMMYFUNCTION("""COMPUTED_VALUE"""),"Chasis Acoplado Balancin L3200 Lanza Recta")</f>
        <v>Chasis Acoplado Balancin L3200 Lanza Recta</v>
      </c>
      <c r="BJ101" s="3" t="str">
        <f>IFERROR(__xludf.DUMMYFUNCTION("""COMPUTED_VALUE"""),"Chasis Acoplado Balancin L3200 Bajo Lanza Recta")</f>
        <v>Chasis Acoplado Balancin L3200 Bajo Lanza Recta</v>
      </c>
      <c r="BK101" s="3" t="str">
        <f>IFERROR(__xludf.DUMMYFUNCTION("""COMPUTED_VALUE"""),"Tanque Plastico Horizontal 750 Lts")</f>
        <v>Tanque Plastico Horizontal 750 Lts</v>
      </c>
      <c r="BL101" s="3" t="str">
        <f>IFERROR(__xludf.DUMMYFUNCTION("""COMPUTED_VALUE"""),"Medio Tanque Plastico Superior 700 Lts")</f>
        <v>Medio Tanque Plastico Superior 700 Lts</v>
      </c>
      <c r="BM101" s="3" t="str">
        <f>IFERROR(__xludf.DUMMYFUNCTION("""COMPUTED_VALUE"""),"Paquete de Elasticos 50 mm x 8 mm x 10 Hojas L850")</f>
        <v>Paquete de Elasticos 50 mm x 8 mm x 10 Hojas L850</v>
      </c>
      <c r="BN101" s="3" t="str">
        <f>IFERROR(__xludf.DUMMYFUNCTION("""COMPUTED_VALUE"""),"Paquete de Elasticos 63 mm x 8 mm x 10 Hojas L950")</f>
        <v>Paquete de Elasticos 63 mm x 8 mm x 10 Hojas L950</v>
      </c>
      <c r="BO101" s="3" t="str">
        <f>IFERROR(__xludf.DUMMYFUNCTION("""COMPUTED_VALUE"""),"Paquete de Elasticos 50 mm x 7 mm x 9 Hojas L850")</f>
        <v>Paquete de Elasticos 50 mm x 7 mm x 9 Hojas L850</v>
      </c>
      <c r="BP101" s="3" t="str">
        <f>IFERROR(__xludf.DUMMYFUNCTION("""COMPUTED_VALUE"""),"Paquete de Elasticos 63 mm x 8 mm x 8 Hojas L850")</f>
        <v>Paquete de Elasticos 63 mm x 8 mm x 8 Hojas L850</v>
      </c>
      <c r="BQ101" s="3" t="str">
        <f>IFERROR(__xludf.DUMMYFUNCTION("""COMPUTED_VALUE"""),"Paquete de Elasticos 63 mm x 10 mm x 10 Hojas L950")</f>
        <v>Paquete de Elasticos 63 mm x 10 mm x 10 Hojas L950</v>
      </c>
      <c r="BR101" s="3" t="str">
        <f>IFERROR(__xludf.DUMMYFUNCTION("""COMPUTED_VALUE"""),"Paquete de Elasticos 63 mm x 10 mm x 13 Hojas L975")</f>
        <v>Paquete de Elasticos 63 mm x 10 mm x 13 Hojas L975</v>
      </c>
      <c r="BS101" s="3" t="str">
        <f>IFERROR(__xludf.DUMMYFUNCTION("""COMPUTED_VALUE"""),"Paquete de Elasticos 50 mm x 7 mm x 9 Hojas L650")</f>
        <v>Paquete de Elasticos 50 mm x 7 mm x 9 Hojas L650</v>
      </c>
      <c r="BT101" s="3" t="str">
        <f>IFERROR(__xludf.DUMMYFUNCTION("""COMPUTED_VALUE"""),"Eje Acoplado 2"" x 1600 (06/08) Agrícola Centro 92")</f>
        <v>Eje Acoplado 2" x 1600 (06/08) Agrícola Centro 92</v>
      </c>
      <c r="BU101" s="3" t="str">
        <f>IFERROR(__xludf.DUMMYFUNCTION("""COMPUTED_VALUE"""),"Eje Acoplado 2 1/2"" x 1600 (07/09) Agrícola Centro 92")</f>
        <v>Eje Acoplado 2 1/2" x 1600 (07/09) Agrícola Centro 92</v>
      </c>
      <c r="BV101" s="3" t="str">
        <f>IFERROR(__xludf.DUMMYFUNCTION("""COMPUTED_VALUE"""),"Eje Acoplado 2 1/2"" x 1600 (09/11) Agrícola Centro 150")</f>
        <v>Eje Acoplado 2 1/2" x 1600 (09/11) Agrícola Centro 150</v>
      </c>
      <c r="BW101" s="3" t="str">
        <f>IFERROR(__xludf.DUMMYFUNCTION("""COMPUTED_VALUE"""),"Eje Acoplado 3"" x 1600 (10/13) Agrícola Centro 150")</f>
        <v>Eje Acoplado 3" x 1600 (10/13) Agrícola Centro 150</v>
      </c>
      <c r="BX101" s="3" t="str">
        <f>IFERROR(__xludf.DUMMYFUNCTION("""COMPUTED_VALUE"""),"Eje Acoplado 2 1/2"" x 2140 (07/09) Agrícola Centro 92")</f>
        <v>Eje Acoplado 2 1/2" x 2140 (07/09) Agrícola Centro 92</v>
      </c>
      <c r="BY101" s="3" t="str">
        <f>IFERROR(__xludf.DUMMYFUNCTION("""COMPUTED_VALUE"""),"Eje Acoplado 2"" x 1400 (06/08) Agrícola Centro 92")</f>
        <v>Eje Acoplado 2" x 1400 (06/08) Agrícola Centro 92</v>
      </c>
      <c r="BZ101" s="3" t="str">
        <f>IFERROR(__xludf.DUMMYFUNCTION("""COMPUTED_VALUE"""),"Eje Acoplado 2 1/2"" x 1500 (07/09) Agrícola Centro 92")</f>
        <v>Eje Acoplado 2 1/2" x 1500 (07/09) Agrícola Centro 92</v>
      </c>
      <c r="CA101" s="3" t="str">
        <f>IFERROR(__xludf.DUMMYFUNCTION("""COMPUTED_VALUE"""),"Eje Acoplado 2 1/2"" x 2000 (07/09) Agrícola Centro 92")</f>
        <v>Eje Acoplado 2 1/2" x 2000 (07/09) Agrícola Centro 92</v>
      </c>
      <c r="CB101" s="3" t="str">
        <f>IFERROR(__xludf.DUMMYFUNCTION("""COMPUTED_VALUE"""),"Eje Acoplado 2 1/2"" x 2100 (09/11) Agrícola Centro 150")</f>
        <v>Eje Acoplado 2 1/2" x 2100 (09/11) Agrícola Centro 150</v>
      </c>
      <c r="CC101" s="3" t="str">
        <f>IFERROR(__xludf.DUMMYFUNCTION("""COMPUTED_VALUE"""),"Llanta 16"" Simple Agrícola Centro 92")</f>
        <v>Llanta 16" Simple Agrícola Centro 92</v>
      </c>
      <c r="CD101" s="3" t="str">
        <f>IFERROR(__xludf.DUMMYFUNCTION("""COMPUTED_VALUE"""),"Llanta 16"" Dual Agrícola Centro 92")</f>
        <v>Llanta 16" Dual Agrícola Centro 92</v>
      </c>
      <c r="CE101" s="3" t="str">
        <f>IFERROR(__xludf.DUMMYFUNCTION("""COMPUTED_VALUE"""),"Llanta 17"" Simple Agrícola Centro 92")</f>
        <v>Llanta 17" Simple Agrícola Centro 92</v>
      </c>
      <c r="CF101" s="3" t="str">
        <f>IFERROR(__xludf.DUMMYFUNCTION("""COMPUTED_VALUE"""),"Llanta 17"" Dual Agrícola Centro 92")</f>
        <v>Llanta 17" Dual Agrícola Centro 92</v>
      </c>
      <c r="CG101" s="3" t="str">
        <f>IFERROR(__xludf.DUMMYFUNCTION("""COMPUTED_VALUE"""),"Llanta 16"" Dual Agrícola Centro 152")</f>
        <v>Llanta 16" Dual Agrícola Centro 152</v>
      </c>
      <c r="CH101" s="3" t="str">
        <f>IFERROR(__xludf.DUMMYFUNCTION("""COMPUTED_VALUE"""),"Llanta 17"" Dual Agrícola Centro 152")</f>
        <v>Llanta 17" Dual Agrícola Centro 152</v>
      </c>
      <c r="CI101" s="3" t="str">
        <f>IFERROR(__xludf.DUMMYFUNCTION("""COMPUTED_VALUE"""),"Eje Acoplado 2"" x 1600 (05/07) Agrícola Centro 92")</f>
        <v>Eje Acoplado 2" x 1600 (05/07) Agrícola Centro 92</v>
      </c>
      <c r="CJ101" s="3" t="str">
        <f>IFERROR(__xludf.DUMMYFUNCTION("""COMPUTED_VALUE"""),"Paquete de Elásticos 50 mm x 8 mm x 12 Hojas")</f>
        <v>Paquete de Elásticos 50 mm x 8 mm x 12 Hojas</v>
      </c>
      <c r="CK101" s="3" t="str">
        <f>IFERROR(__xludf.DUMMYFUNCTION("""COMPUTED_VALUE"""),"Plataforma Playo 4.00 x 1.90 x 0.45 Lateral Simple Baranda Fija")</f>
        <v>Plataforma Playo 4.00 x 1.90 x 0.45 Lateral Simple Baranda Fija</v>
      </c>
      <c r="CL101" s="3" t="str">
        <f>IFERROR(__xludf.DUMMYFUNCTION("""COMPUTED_VALUE"""),"Plataforma Playo 4.00 x 1.90 x 0.45 Lateral Simple Baranda Ventilada")</f>
        <v>Plataforma Playo 4.00 x 1.90 x 0.45 Lateral Simple Baranda Ventilada</v>
      </c>
      <c r="CM101" s="3" t="str">
        <f>IFERROR(__xludf.DUMMYFUNCTION("""COMPUTED_VALUE"""),"Plataforma Playo 4.00 x 1.90 x 0.45 Lateral Doble Baranda Ventilada")</f>
        <v>Plataforma Playo 4.00 x 1.90 x 0.45 Lateral Doble Baranda Ventilada</v>
      </c>
      <c r="CN101" s="3" t="str">
        <f>IFERROR(__xludf.DUMMYFUNCTION("""COMPUTED_VALUE"""),"Plataforma Playo 4.00 x 1.90 x 0.45 Lateral Doble Baranda Fija")</f>
        <v>Plataforma Playo 4.00 x 1.90 x 0.45 Lateral Doble Baranda Fija</v>
      </c>
      <c r="CO101" s="3" t="str">
        <f>IFERROR(__xludf.DUMMYFUNCTION("""COMPUTED_VALUE"""),"Plataforma Playo 4.00 x 1.90 x 0.72 Lateral Simple Baranda Fija")</f>
        <v>Plataforma Playo 4.00 x 1.90 x 0.72 Lateral Simple Baranda Fija</v>
      </c>
      <c r="CP101" s="3" t="str">
        <f>IFERROR(__xludf.DUMMYFUNCTION("""COMPUTED_VALUE"""),"Plataforma Playo 4.00 x 1.90 x 0.72 Lateral Doble Baranda Fija")</f>
        <v>Plataforma Playo 4.00 x 1.90 x 0.72 Lateral Doble Baranda Fija</v>
      </c>
      <c r="CQ101" s="3" t="str">
        <f>IFERROR(__xludf.DUMMYFUNCTION("""COMPUTED_VALUE"""),"Plataforma Playo 5.00 x 2.20 x 0.60 Lateral Doble Trasera Rebatible")</f>
        <v>Plataforma Playo 5.00 x 2.20 x 0.60 Lateral Doble Trasera Rebatible</v>
      </c>
      <c r="CR101" s="3" t="str">
        <f>IFERROR(__xludf.DUMMYFUNCTION("""COMPUTED_VALUE"""),"Plataforma Playo 5.00 x 2.20 x 0.60 Lateral Doble Baranda Fija C/Toldo")</f>
        <v>Plataforma Playo 5.00 x 2.20 x 0.60 Lateral Doble Baranda Fija C/Toldo</v>
      </c>
      <c r="CS101" s="3" t="str">
        <f>IFERROR(__xludf.DUMMYFUNCTION("""COMPUTED_VALUE"""),"Plataforma Playo 3.00 x 1.90 x 0.45 Lateral Simple Baranda Fija")</f>
        <v>Plataforma Playo 3.00 x 1.90 x 0.45 Lateral Simple Baranda Fija</v>
      </c>
      <c r="CT101" s="3" t="str">
        <f>IFERROR(__xludf.DUMMYFUNCTION("""COMPUTED_VALUE"""),"Plataforma Playo 3.00 x 1.90 x 0.45 Lateral Simple Baranda Ventilada")</f>
        <v>Plataforma Playo 3.00 x 1.90 x 0.45 Lateral Simple Baranda Ventilada</v>
      </c>
      <c r="CU101" s="3" t="str">
        <f>IFERROR(__xludf.DUMMYFUNCTION("""COMPUTED_VALUE"""),"Plataforma Playo 2.00 x 1.90 x 0.45 Lateral Simple Baranda Fija")</f>
        <v>Plataforma Playo 2.00 x 1.90 x 0.45 Lateral Simple Baranda Fija</v>
      </c>
      <c r="CV101" s="3" t="str">
        <f>IFERROR(__xludf.DUMMYFUNCTION("""COMPUTED_VALUE"""),"Plataforma Playo 5.00 x 1.90 x 0.60 Lateral Doble Baranda Fija")</f>
        <v>Plataforma Playo 5.00 x 1.90 x 0.60 Lateral Doble Baranda Fija</v>
      </c>
      <c r="CW101" s="3" t="str">
        <f>IFERROR(__xludf.DUMMYFUNCTION("""COMPUTED_VALUE"""),"Plataforma Playo 6.40 x 2.70 x 0.72 Lateral Doble Baranda Fija")</f>
        <v>Plataforma Playo 6.40 x 2.70 x 0.72 Lateral Doble Baranda Fija</v>
      </c>
      <c r="CX101" s="3" t="str">
        <f>IFERROR(__xludf.DUMMYFUNCTION("""COMPUTED_VALUE"""),"Chasis Acoplado Balancin L4000 Lanza Recta")</f>
        <v>Chasis Acoplado Balancin L4000 Lanza Recta</v>
      </c>
      <c r="CY101" s="3" t="str">
        <f>IFERROR(__xludf.DUMMYFUNCTION("""COMPUTED_VALUE"""),"Llanta simple Agrícola 750x20 centro 152")</f>
        <v>Llanta simple Agrícola 750x20 centro 152</v>
      </c>
      <c r="CZ101" s="3" t="str">
        <f>IFERROR(__xludf.DUMMYFUNCTION("""COMPUTED_VALUE"""),"Cajón de Herramientas Mediano adelante")</f>
        <v>Cajón de Herramientas Mediano adelante</v>
      </c>
      <c r="DA101" s="3" t="str">
        <f>IFERROR(__xludf.DUMMYFUNCTION("""COMPUTED_VALUE"""),"Llanta 15"" Simple Agrícola Centro 92")</f>
        <v>Llanta 15" Simple Agrícola Centro 92</v>
      </c>
    </row>
    <row r="102" hidden="1">
      <c r="A102" s="38">
        <f t="shared" si="1"/>
        <v>101</v>
      </c>
      <c r="B102" s="38">
        <f>IF(F102="","",SUMIF(Prearmados!E:E,F102,Prearmados!A:A))</f>
        <v>20</v>
      </c>
      <c r="C102" s="38">
        <f>IF(F102="","",SUMIF(Productos!E:E,G102,Productos!A:A))</f>
        <v>50</v>
      </c>
      <c r="D102" s="83" t="str">
        <f t="array" ref="D102">IF(OR(F102="",F102="Seleccionar.."),"",XLOOKUP(F102,Prearmados!E:E,Prearmados!F:F,"",0,1))</f>
        <v>Acoplados Rurales</v>
      </c>
      <c r="E102" s="83">
        <f>IF(H102="","",SUMIF(Precio_Productos!K:K,C102,Precio_Productos!J:J)*H102)</f>
        <v>2500000</v>
      </c>
      <c r="F102" s="84" t="s">
        <v>343</v>
      </c>
      <c r="G102" s="84" t="s">
        <v>61</v>
      </c>
      <c r="H102" s="13">
        <v>1.0</v>
      </c>
      <c r="P102" s="3" t="str">
        <f>IFERROR(__xludf.DUMMYFUNCTION("IF(OR(F102="""",F102=""Seleccionar..""),"""",TRANSPOSE(FILTER(Productos!E:E,(Productos!F:F=D102)+(Productos!F:F=XLOOKUP(D102,Implementos!B:B,Implementos!C:C,""-"",0,1)))))"),"Tanque Combustible 1100 lts Bajo")</f>
        <v>Tanque Combustible 1100 lts Bajo</v>
      </c>
      <c r="Q102" s="3" t="str">
        <f>IFERROR(__xludf.DUMMYFUNCTION("""COMPUTED_VALUE"""),"Tanque Combustible 1500 lts Standard")</f>
        <v>Tanque Combustible 1500 lts Standard</v>
      </c>
      <c r="R102" s="3" t="str">
        <f>IFERROR(__xludf.DUMMYFUNCTION("""COMPUTED_VALUE"""),"Tanque Combustible 1800 lts Standard")</f>
        <v>Tanque Combustible 1800 lts Standard</v>
      </c>
      <c r="S102" s="3" t="str">
        <f>IFERROR(__xludf.DUMMYFUNCTION("""COMPUTED_VALUE"""),"Tanque Combustible 2000 lts Bajo")</f>
        <v>Tanque Combustible 2000 lts Bajo</v>
      </c>
      <c r="T102" s="3" t="str">
        <f>IFERROR(__xludf.DUMMYFUNCTION("""COMPUTED_VALUE"""),"Tanque Combustible 2000 lts Standard")</f>
        <v>Tanque Combustible 2000 lts Standard</v>
      </c>
      <c r="U102" s="3" t="str">
        <f>IFERROR(__xludf.DUMMYFUNCTION("""COMPUTED_VALUE"""),"Tanque Combustible 3000 lts Standard")</f>
        <v>Tanque Combustible 3000 lts Standard</v>
      </c>
      <c r="V102" s="3" t="str">
        <f>IFERROR(__xludf.DUMMYFUNCTION("""COMPUTED_VALUE"""),"Tanque Combustible 3000 lts Alto")</f>
        <v>Tanque Combustible 3000 lts Alto</v>
      </c>
      <c r="W102" s="3" t="str">
        <f>IFERROR(__xludf.DUMMYFUNCTION("""COMPUTED_VALUE"""),"Tanque Combustible 4000 lts Standard")</f>
        <v>Tanque Combustible 4000 lts Standard</v>
      </c>
      <c r="X102" s="3" t="str">
        <f>IFERROR(__xludf.DUMMYFUNCTION("""COMPUTED_VALUE"""),"Tanque Combustible 5000 lts Standard")</f>
        <v>Tanque Combustible 5000 lts Standard</v>
      </c>
      <c r="Y102" s="3" t="str">
        <f>IFERROR(__xludf.DUMMYFUNCTION("""COMPUTED_VALUE"""),"Tanque Combustible 5000 lts Alto")</f>
        <v>Tanque Combustible 5000 lts Alto</v>
      </c>
      <c r="Z102" s="3" t="str">
        <f>IFERROR(__xludf.DUMMYFUNCTION("""COMPUTED_VALUE"""),"Tanque Combustible 2000 lts Alto")</f>
        <v>Tanque Combustible 2000 lts Alto</v>
      </c>
      <c r="AA102" s="3" t="str">
        <f>IFERROR(__xludf.DUMMYFUNCTION("""COMPUTED_VALUE"""),"Tanque Combustible 4000 lts Alto")</f>
        <v>Tanque Combustible 4000 lts Alto</v>
      </c>
      <c r="AB102" s="3" t="str">
        <f>IFERROR(__xludf.DUMMYFUNCTION("""COMPUTED_VALUE"""),"Baulera Standard - 750")</f>
        <v>Baulera Standard - 750</v>
      </c>
      <c r="AC102" s="3" t="str">
        <f>IFERROR(__xludf.DUMMYFUNCTION("""COMPUTED_VALUE"""),"Baulera Standard - 1700 - C/Laterales")</f>
        <v>Baulera Standard - 1700 - C/Laterales</v>
      </c>
      <c r="AD102" s="3" t="str">
        <f>IFERROR(__xludf.DUMMYFUNCTION("""COMPUTED_VALUE"""),"Baulera Standard - 1000 - C/Laterales")</f>
        <v>Baulera Standard - 1000 - C/Laterales</v>
      </c>
      <c r="AE102" s="3" t="str">
        <f>IFERROR(__xludf.DUMMYFUNCTION("""COMPUTED_VALUE"""),"Baulera Standard - 750 - C/Laterales")</f>
        <v>Baulera Standard - 750 - C/Laterales</v>
      </c>
      <c r="AF102" s="3" t="str">
        <f>IFERROR(__xludf.DUMMYFUNCTION("""COMPUTED_VALUE"""),"Baulera Standard - 1300 - C/Laterales")</f>
        <v>Baulera Standard - 1300 - C/Laterales</v>
      </c>
      <c r="AG102" s="3" t="str">
        <f>IFERROR(__xludf.DUMMYFUNCTION("""COMPUTED_VALUE"""),"Baulera Alta - 750")</f>
        <v>Baulera Alta - 750</v>
      </c>
      <c r="AH102" s="3" t="str">
        <f>IFERROR(__xludf.DUMMYFUNCTION("""COMPUTED_VALUE"""),"Baulera Alta - 1500 - C/Laterales")</f>
        <v>Baulera Alta - 1500 - C/Laterales</v>
      </c>
      <c r="AI102" s="3" t="str">
        <f>IFERROR(__xludf.DUMMYFUNCTION("""COMPUTED_VALUE"""),"Baulera Extendida 1700 - C/Laterales")</f>
        <v>Baulera Extendida 1700 - C/Laterales</v>
      </c>
      <c r="AJ102" s="3" t="str">
        <f>IFERROR(__xludf.DUMMYFUNCTION("""COMPUTED_VALUE"""),"Taller Móvil - 1500 x 1500 x 1700")</f>
        <v>Taller Móvil - 1500 x 1500 x 1700</v>
      </c>
      <c r="AK102" s="3" t="str">
        <f>IFERROR(__xludf.DUMMYFUNCTION("""COMPUTED_VALUE"""),"Cajón Herramientas Standard Derecho")</f>
        <v>Cajón Herramientas Standard Derecho</v>
      </c>
      <c r="AL102" s="3" t="str">
        <f>IFERROR(__xludf.DUMMYFUNCTION("""COMPUTED_VALUE"""),"Cajón Herramientas Standard Izquierdo")</f>
        <v>Cajón Herramientas Standard Izquierdo</v>
      </c>
      <c r="AM102" s="3" t="str">
        <f>IFERROR(__xludf.DUMMYFUNCTION("""COMPUTED_VALUE"""),"Cajón Herramientas Corto Derecho")</f>
        <v>Cajón Herramientas Corto Derecho</v>
      </c>
      <c r="AN102" s="3" t="str">
        <f>IFERROR(__xludf.DUMMYFUNCTION("""COMPUTED_VALUE"""),"Cajón Herramientas Corto Izquierdo")</f>
        <v>Cajón Herramientas Corto Izquierdo</v>
      </c>
      <c r="AO102" s="3" t="str">
        <f>IFERROR(__xludf.DUMMYFUNCTION("""COMPUTED_VALUE"""),"Cajón Herramientas Mediano Derecho")</f>
        <v>Cajón Herramientas Mediano Derecho</v>
      </c>
      <c r="AP102" s="3" t="str">
        <f>IFERROR(__xludf.DUMMYFUNCTION("""COMPUTED_VALUE"""),"Cajón Herramientas Mediano Izquierdo")</f>
        <v>Cajón Herramientas Mediano Izquierdo</v>
      </c>
      <c r="AQ102" s="3" t="str">
        <f>IFERROR(__xludf.DUMMYFUNCTION("""COMPUTED_VALUE"""),"Chasis Acoplado 2 Ejes L3000")</f>
        <v>Chasis Acoplado 2 Ejes L3000</v>
      </c>
      <c r="AR102" s="3" t="str">
        <f>IFERROR(__xludf.DUMMYFUNCTION("""COMPUTED_VALUE"""),"Chasis Acoplado 2 Ejes L3750")</f>
        <v>Chasis Acoplado 2 Ejes L3750</v>
      </c>
      <c r="AS102" s="3" t="str">
        <f>IFERROR(__xludf.DUMMYFUNCTION("""COMPUTED_VALUE"""),"Chasis Acoplado 2 Ejes L4000")</f>
        <v>Chasis Acoplado 2 Ejes L4000</v>
      </c>
      <c r="AT102" s="3" t="str">
        <f>IFERROR(__xludf.DUMMYFUNCTION("""COMPUTED_VALUE"""),"Chasis Acoplado 2 Ejes L4000 Reforzado")</f>
        <v>Chasis Acoplado 2 Ejes L4000 Reforzado</v>
      </c>
      <c r="AU102" s="3" t="str">
        <f>IFERROR(__xludf.DUMMYFUNCTION("""COMPUTED_VALUE"""),"Chasis Acoplado 2 Ejes L4750")</f>
        <v>Chasis Acoplado 2 Ejes L4750</v>
      </c>
      <c r="AV102" s="3" t="str">
        <f>IFERROR(__xludf.DUMMYFUNCTION("""COMPUTED_VALUE"""),"Chasis Acoplado 2 Ejes L4750 Reforzado")</f>
        <v>Chasis Acoplado 2 Ejes L4750 Reforzado</v>
      </c>
      <c r="AW102" s="3" t="str">
        <f>IFERROR(__xludf.DUMMYFUNCTION("""COMPUTED_VALUE"""),"Chasis Acoplado 2 Ejes L4750 Reforzado R. Camion")</f>
        <v>Chasis Acoplado 2 Ejes L4750 Reforzado R. Camion</v>
      </c>
      <c r="AX102" s="3" t="str">
        <f>IFERROR(__xludf.DUMMYFUNCTION("""COMPUTED_VALUE"""),"Chasis Acoplado 2 Ejes L5000")</f>
        <v>Chasis Acoplado 2 Ejes L5000</v>
      </c>
      <c r="AY102" s="3" t="str">
        <f>IFERROR(__xludf.DUMMYFUNCTION("""COMPUTED_VALUE"""),"Chasis Acoplado 2 Ejes L5750")</f>
        <v>Chasis Acoplado 2 Ejes L5750</v>
      </c>
      <c r="AZ102" s="3" t="str">
        <f>IFERROR(__xludf.DUMMYFUNCTION("""COMPUTED_VALUE"""),"Chasis Acoplado 2 Ejes L6400")</f>
        <v>Chasis Acoplado 2 Ejes L6400</v>
      </c>
      <c r="BA102" s="3" t="str">
        <f>IFERROR(__xludf.DUMMYFUNCTION("""COMPUTED_VALUE"""),"Chasis Acoplado 2 Ejes L4500")</f>
        <v>Chasis Acoplado 2 Ejes L4500</v>
      </c>
      <c r="BB102" s="3" t="str">
        <f>IFERROR(__xludf.DUMMYFUNCTION("""COMPUTED_VALUE"""),"Chasis Acoplado 1 Eje L1500")</f>
        <v>Chasis Acoplado 1 Eje L1500</v>
      </c>
      <c r="BC102" s="3" t="str">
        <f>IFERROR(__xludf.DUMMYFUNCTION("""COMPUTED_VALUE"""),"Chasis Acoplado 1 Eje L1800")</f>
        <v>Chasis Acoplado 1 Eje L1800</v>
      </c>
      <c r="BD102" s="3" t="str">
        <f>IFERROR(__xludf.DUMMYFUNCTION("""COMPUTED_VALUE"""),"Chasis Acoplado 1 Eje L1400")</f>
        <v>Chasis Acoplado 1 Eje L1400</v>
      </c>
      <c r="BE102" s="3" t="str">
        <f>IFERROR(__xludf.DUMMYFUNCTION("""COMPUTED_VALUE"""),"Chasis Acoplado Balancin L3000")</f>
        <v>Chasis Acoplado Balancin L3000</v>
      </c>
      <c r="BF102" s="3" t="str">
        <f>IFERROR(__xludf.DUMMYFUNCTION("""COMPUTED_VALUE"""),"Chasis Acoplado Balancin L3000 Lanza Corta")</f>
        <v>Chasis Acoplado Balancin L3000 Lanza Corta</v>
      </c>
      <c r="BG102" s="3" t="str">
        <f>IFERROR(__xludf.DUMMYFUNCTION("""COMPUTED_VALUE"""),"Chasis Acoplado Balancin L2000 Lanza Corta")</f>
        <v>Chasis Acoplado Balancin L2000 Lanza Corta</v>
      </c>
      <c r="BH102" s="3" t="str">
        <f>IFERROR(__xludf.DUMMYFUNCTION("""COMPUTED_VALUE"""),"Chasis Acoplado Balancin L3200 Lanza Corta")</f>
        <v>Chasis Acoplado Balancin L3200 Lanza Corta</v>
      </c>
      <c r="BI102" s="3" t="str">
        <f>IFERROR(__xludf.DUMMYFUNCTION("""COMPUTED_VALUE"""),"Chasis Acoplado Balancin L3200 Lanza Recta")</f>
        <v>Chasis Acoplado Balancin L3200 Lanza Recta</v>
      </c>
      <c r="BJ102" s="3" t="str">
        <f>IFERROR(__xludf.DUMMYFUNCTION("""COMPUTED_VALUE"""),"Chasis Acoplado Balancin L3200 Bajo Lanza Recta")</f>
        <v>Chasis Acoplado Balancin L3200 Bajo Lanza Recta</v>
      </c>
      <c r="BK102" s="3" t="str">
        <f>IFERROR(__xludf.DUMMYFUNCTION("""COMPUTED_VALUE"""),"Tanque Plastico Horizontal 750 Lts")</f>
        <v>Tanque Plastico Horizontal 750 Lts</v>
      </c>
      <c r="BL102" s="3" t="str">
        <f>IFERROR(__xludf.DUMMYFUNCTION("""COMPUTED_VALUE"""),"Medio Tanque Plastico Superior 700 Lts")</f>
        <v>Medio Tanque Plastico Superior 700 Lts</v>
      </c>
      <c r="BM102" s="3" t="str">
        <f>IFERROR(__xludf.DUMMYFUNCTION("""COMPUTED_VALUE"""),"Paquete de Elasticos 50 mm x 8 mm x 10 Hojas L850")</f>
        <v>Paquete de Elasticos 50 mm x 8 mm x 10 Hojas L850</v>
      </c>
      <c r="BN102" s="3" t="str">
        <f>IFERROR(__xludf.DUMMYFUNCTION("""COMPUTED_VALUE"""),"Paquete de Elasticos 63 mm x 8 mm x 10 Hojas L950")</f>
        <v>Paquete de Elasticos 63 mm x 8 mm x 10 Hojas L950</v>
      </c>
      <c r="BO102" s="3" t="str">
        <f>IFERROR(__xludf.DUMMYFUNCTION("""COMPUTED_VALUE"""),"Paquete de Elasticos 50 mm x 7 mm x 9 Hojas L850")</f>
        <v>Paquete de Elasticos 50 mm x 7 mm x 9 Hojas L850</v>
      </c>
      <c r="BP102" s="3" t="str">
        <f>IFERROR(__xludf.DUMMYFUNCTION("""COMPUTED_VALUE"""),"Paquete de Elasticos 63 mm x 8 mm x 8 Hojas L850")</f>
        <v>Paquete de Elasticos 63 mm x 8 mm x 8 Hojas L850</v>
      </c>
      <c r="BQ102" s="3" t="str">
        <f>IFERROR(__xludf.DUMMYFUNCTION("""COMPUTED_VALUE"""),"Paquete de Elasticos 63 mm x 10 mm x 10 Hojas L950")</f>
        <v>Paquete de Elasticos 63 mm x 10 mm x 10 Hojas L950</v>
      </c>
      <c r="BR102" s="3" t="str">
        <f>IFERROR(__xludf.DUMMYFUNCTION("""COMPUTED_VALUE"""),"Paquete de Elasticos 63 mm x 10 mm x 13 Hojas L975")</f>
        <v>Paquete de Elasticos 63 mm x 10 mm x 13 Hojas L975</v>
      </c>
      <c r="BS102" s="3" t="str">
        <f>IFERROR(__xludf.DUMMYFUNCTION("""COMPUTED_VALUE"""),"Paquete de Elasticos 50 mm x 7 mm x 9 Hojas L650")</f>
        <v>Paquete de Elasticos 50 mm x 7 mm x 9 Hojas L650</v>
      </c>
      <c r="BT102" s="3" t="str">
        <f>IFERROR(__xludf.DUMMYFUNCTION("""COMPUTED_VALUE"""),"Eje Acoplado 2"" x 1600 (06/08) Agrícola Centro 92")</f>
        <v>Eje Acoplado 2" x 1600 (06/08) Agrícola Centro 92</v>
      </c>
      <c r="BU102" s="3" t="str">
        <f>IFERROR(__xludf.DUMMYFUNCTION("""COMPUTED_VALUE"""),"Eje Acoplado 2 1/2"" x 1600 (07/09) Agrícola Centro 92")</f>
        <v>Eje Acoplado 2 1/2" x 1600 (07/09) Agrícola Centro 92</v>
      </c>
      <c r="BV102" s="3" t="str">
        <f>IFERROR(__xludf.DUMMYFUNCTION("""COMPUTED_VALUE"""),"Eje Acoplado 2 1/2"" x 1600 (09/11) Agrícola Centro 150")</f>
        <v>Eje Acoplado 2 1/2" x 1600 (09/11) Agrícola Centro 150</v>
      </c>
      <c r="BW102" s="3" t="str">
        <f>IFERROR(__xludf.DUMMYFUNCTION("""COMPUTED_VALUE"""),"Eje Acoplado 3"" x 1600 (10/13) Agrícola Centro 150")</f>
        <v>Eje Acoplado 3" x 1600 (10/13) Agrícola Centro 150</v>
      </c>
      <c r="BX102" s="3" t="str">
        <f>IFERROR(__xludf.DUMMYFUNCTION("""COMPUTED_VALUE"""),"Eje Acoplado 2 1/2"" x 2140 (07/09) Agrícola Centro 92")</f>
        <v>Eje Acoplado 2 1/2" x 2140 (07/09) Agrícola Centro 92</v>
      </c>
      <c r="BY102" s="3" t="str">
        <f>IFERROR(__xludf.DUMMYFUNCTION("""COMPUTED_VALUE"""),"Eje Acoplado 2"" x 1400 (06/08) Agrícola Centro 92")</f>
        <v>Eje Acoplado 2" x 1400 (06/08) Agrícola Centro 92</v>
      </c>
      <c r="BZ102" s="3" t="str">
        <f>IFERROR(__xludf.DUMMYFUNCTION("""COMPUTED_VALUE"""),"Eje Acoplado 2 1/2"" x 1500 (07/09) Agrícola Centro 92")</f>
        <v>Eje Acoplado 2 1/2" x 1500 (07/09) Agrícola Centro 92</v>
      </c>
      <c r="CA102" s="3" t="str">
        <f>IFERROR(__xludf.DUMMYFUNCTION("""COMPUTED_VALUE"""),"Eje Acoplado 2 1/2"" x 2000 (07/09) Agrícola Centro 92")</f>
        <v>Eje Acoplado 2 1/2" x 2000 (07/09) Agrícola Centro 92</v>
      </c>
      <c r="CB102" s="3" t="str">
        <f>IFERROR(__xludf.DUMMYFUNCTION("""COMPUTED_VALUE"""),"Eje Acoplado 2 1/2"" x 2100 (09/11) Agrícola Centro 150")</f>
        <v>Eje Acoplado 2 1/2" x 2100 (09/11) Agrícola Centro 150</v>
      </c>
      <c r="CC102" s="3" t="str">
        <f>IFERROR(__xludf.DUMMYFUNCTION("""COMPUTED_VALUE"""),"Llanta 16"" Simple Agrícola Centro 92")</f>
        <v>Llanta 16" Simple Agrícola Centro 92</v>
      </c>
      <c r="CD102" s="3" t="str">
        <f>IFERROR(__xludf.DUMMYFUNCTION("""COMPUTED_VALUE"""),"Llanta 16"" Dual Agrícola Centro 92")</f>
        <v>Llanta 16" Dual Agrícola Centro 92</v>
      </c>
      <c r="CE102" s="3" t="str">
        <f>IFERROR(__xludf.DUMMYFUNCTION("""COMPUTED_VALUE"""),"Llanta 17"" Simple Agrícola Centro 92")</f>
        <v>Llanta 17" Simple Agrícola Centro 92</v>
      </c>
      <c r="CF102" s="3" t="str">
        <f>IFERROR(__xludf.DUMMYFUNCTION("""COMPUTED_VALUE"""),"Llanta 17"" Dual Agrícola Centro 92")</f>
        <v>Llanta 17" Dual Agrícola Centro 92</v>
      </c>
      <c r="CG102" s="3" t="str">
        <f>IFERROR(__xludf.DUMMYFUNCTION("""COMPUTED_VALUE"""),"Llanta 16"" Dual Agrícola Centro 152")</f>
        <v>Llanta 16" Dual Agrícola Centro 152</v>
      </c>
      <c r="CH102" s="3" t="str">
        <f>IFERROR(__xludf.DUMMYFUNCTION("""COMPUTED_VALUE"""),"Llanta 17"" Dual Agrícola Centro 152")</f>
        <v>Llanta 17" Dual Agrícola Centro 152</v>
      </c>
      <c r="CI102" s="3" t="str">
        <f>IFERROR(__xludf.DUMMYFUNCTION("""COMPUTED_VALUE"""),"Eje Acoplado 2"" x 1600 (05/07) Agrícola Centro 92")</f>
        <v>Eje Acoplado 2" x 1600 (05/07) Agrícola Centro 92</v>
      </c>
      <c r="CJ102" s="3" t="str">
        <f>IFERROR(__xludf.DUMMYFUNCTION("""COMPUTED_VALUE"""),"Paquete de Elásticos 50 mm x 8 mm x 12 Hojas")</f>
        <v>Paquete de Elásticos 50 mm x 8 mm x 12 Hojas</v>
      </c>
      <c r="CK102" s="3" t="str">
        <f>IFERROR(__xludf.DUMMYFUNCTION("""COMPUTED_VALUE"""),"Plataforma Playo 4.00 x 1.90 x 0.45 Lateral Simple Baranda Fija")</f>
        <v>Plataforma Playo 4.00 x 1.90 x 0.45 Lateral Simple Baranda Fija</v>
      </c>
      <c r="CL102" s="3" t="str">
        <f>IFERROR(__xludf.DUMMYFUNCTION("""COMPUTED_VALUE"""),"Plataforma Playo 4.00 x 1.90 x 0.45 Lateral Simple Baranda Ventilada")</f>
        <v>Plataforma Playo 4.00 x 1.90 x 0.45 Lateral Simple Baranda Ventilada</v>
      </c>
      <c r="CM102" s="3" t="str">
        <f>IFERROR(__xludf.DUMMYFUNCTION("""COMPUTED_VALUE"""),"Plataforma Playo 4.00 x 1.90 x 0.45 Lateral Doble Baranda Ventilada")</f>
        <v>Plataforma Playo 4.00 x 1.90 x 0.45 Lateral Doble Baranda Ventilada</v>
      </c>
      <c r="CN102" s="3" t="str">
        <f>IFERROR(__xludf.DUMMYFUNCTION("""COMPUTED_VALUE"""),"Plataforma Playo 4.00 x 1.90 x 0.45 Lateral Doble Baranda Fija")</f>
        <v>Plataforma Playo 4.00 x 1.90 x 0.45 Lateral Doble Baranda Fija</v>
      </c>
      <c r="CO102" s="3" t="str">
        <f>IFERROR(__xludf.DUMMYFUNCTION("""COMPUTED_VALUE"""),"Plataforma Playo 4.00 x 1.90 x 0.72 Lateral Simple Baranda Fija")</f>
        <v>Plataforma Playo 4.00 x 1.90 x 0.72 Lateral Simple Baranda Fija</v>
      </c>
      <c r="CP102" s="3" t="str">
        <f>IFERROR(__xludf.DUMMYFUNCTION("""COMPUTED_VALUE"""),"Plataforma Playo 4.00 x 1.90 x 0.72 Lateral Doble Baranda Fija")</f>
        <v>Plataforma Playo 4.00 x 1.90 x 0.72 Lateral Doble Baranda Fija</v>
      </c>
      <c r="CQ102" s="3" t="str">
        <f>IFERROR(__xludf.DUMMYFUNCTION("""COMPUTED_VALUE"""),"Plataforma Playo 5.00 x 2.20 x 0.60 Lateral Doble Trasera Rebatible")</f>
        <v>Plataforma Playo 5.00 x 2.20 x 0.60 Lateral Doble Trasera Rebatible</v>
      </c>
      <c r="CR102" s="3" t="str">
        <f>IFERROR(__xludf.DUMMYFUNCTION("""COMPUTED_VALUE"""),"Plataforma Playo 5.00 x 2.20 x 0.60 Lateral Doble Baranda Fija C/Toldo")</f>
        <v>Plataforma Playo 5.00 x 2.20 x 0.60 Lateral Doble Baranda Fija C/Toldo</v>
      </c>
      <c r="CS102" s="3" t="str">
        <f>IFERROR(__xludf.DUMMYFUNCTION("""COMPUTED_VALUE"""),"Plataforma Playo 3.00 x 1.90 x 0.45 Lateral Simple Baranda Fija")</f>
        <v>Plataforma Playo 3.00 x 1.90 x 0.45 Lateral Simple Baranda Fija</v>
      </c>
      <c r="CT102" s="3" t="str">
        <f>IFERROR(__xludf.DUMMYFUNCTION("""COMPUTED_VALUE"""),"Plataforma Playo 3.00 x 1.90 x 0.45 Lateral Simple Baranda Ventilada")</f>
        <v>Plataforma Playo 3.00 x 1.90 x 0.45 Lateral Simple Baranda Ventilada</v>
      </c>
      <c r="CU102" s="3" t="str">
        <f>IFERROR(__xludf.DUMMYFUNCTION("""COMPUTED_VALUE"""),"Plataforma Playo 2.00 x 1.90 x 0.45 Lateral Simple Baranda Fija")</f>
        <v>Plataforma Playo 2.00 x 1.90 x 0.45 Lateral Simple Baranda Fija</v>
      </c>
      <c r="CV102" s="3" t="str">
        <f>IFERROR(__xludf.DUMMYFUNCTION("""COMPUTED_VALUE"""),"Plataforma Playo 5.00 x 1.90 x 0.60 Lateral Doble Baranda Fija")</f>
        <v>Plataforma Playo 5.00 x 1.90 x 0.60 Lateral Doble Baranda Fija</v>
      </c>
      <c r="CW102" s="3" t="str">
        <f>IFERROR(__xludf.DUMMYFUNCTION("""COMPUTED_VALUE"""),"Plataforma Playo 6.40 x 2.70 x 0.72 Lateral Doble Baranda Fija")</f>
        <v>Plataforma Playo 6.40 x 2.70 x 0.72 Lateral Doble Baranda Fija</v>
      </c>
      <c r="CX102" s="3" t="str">
        <f>IFERROR(__xludf.DUMMYFUNCTION("""COMPUTED_VALUE"""),"Chasis Acoplado Balancin L4000 Lanza Recta")</f>
        <v>Chasis Acoplado Balancin L4000 Lanza Recta</v>
      </c>
      <c r="CY102" s="3" t="str">
        <f>IFERROR(__xludf.DUMMYFUNCTION("""COMPUTED_VALUE"""),"Llanta simple Agrícola 750x20 centro 152")</f>
        <v>Llanta simple Agrícola 750x20 centro 152</v>
      </c>
      <c r="CZ102" s="3" t="str">
        <f>IFERROR(__xludf.DUMMYFUNCTION("""COMPUTED_VALUE"""),"Cajón de Herramientas Mediano adelante")</f>
        <v>Cajón de Herramientas Mediano adelante</v>
      </c>
      <c r="DA102" s="3" t="str">
        <f>IFERROR(__xludf.DUMMYFUNCTION("""COMPUTED_VALUE"""),"Llanta 15"" Simple Agrícola Centro 92")</f>
        <v>Llanta 15" Simple Agrícola Centro 92</v>
      </c>
    </row>
    <row r="103" hidden="1">
      <c r="A103" s="38">
        <f t="shared" si="1"/>
        <v>102</v>
      </c>
      <c r="B103" s="38">
        <f>IF(F103="","",SUMIF(Prearmados!E:E,F103,Prearmados!A:A))</f>
        <v>20</v>
      </c>
      <c r="C103" s="38">
        <f>IF(F103="","",SUMIF(Productos!E:E,G103,Productos!A:A))</f>
        <v>57</v>
      </c>
      <c r="D103" s="83" t="str">
        <f t="array" ref="D103">IF(OR(F103="",F103="Seleccionar.."),"",XLOOKUP(F103,Prearmados!E:E,Prearmados!F:F,"",0,1))</f>
        <v>Acoplados Rurales</v>
      </c>
      <c r="E103" s="83">
        <f>IF(H103="","",SUMIF(Precio_Productos!K:K,C103,Precio_Productos!J:J)*H103)</f>
        <v>1267840</v>
      </c>
      <c r="F103" s="84" t="s">
        <v>343</v>
      </c>
      <c r="G103" s="84" t="s">
        <v>32</v>
      </c>
      <c r="H103" s="13">
        <v>2.0</v>
      </c>
      <c r="P103" s="3" t="str">
        <f>IFERROR(__xludf.DUMMYFUNCTION("IF(OR(F103="""",F103=""Seleccionar..""),"""",TRANSPOSE(FILTER(Productos!E:E,(Productos!F:F=D103)+(Productos!F:F=XLOOKUP(D103,Implementos!B:B,Implementos!C:C,""-"",0,1)))))"),"Tanque Combustible 1100 lts Bajo")</f>
        <v>Tanque Combustible 1100 lts Bajo</v>
      </c>
      <c r="Q103" s="3" t="str">
        <f>IFERROR(__xludf.DUMMYFUNCTION("""COMPUTED_VALUE"""),"Tanque Combustible 1500 lts Standard")</f>
        <v>Tanque Combustible 1500 lts Standard</v>
      </c>
      <c r="R103" s="3" t="str">
        <f>IFERROR(__xludf.DUMMYFUNCTION("""COMPUTED_VALUE"""),"Tanque Combustible 1800 lts Standard")</f>
        <v>Tanque Combustible 1800 lts Standard</v>
      </c>
      <c r="S103" s="3" t="str">
        <f>IFERROR(__xludf.DUMMYFUNCTION("""COMPUTED_VALUE"""),"Tanque Combustible 2000 lts Bajo")</f>
        <v>Tanque Combustible 2000 lts Bajo</v>
      </c>
      <c r="T103" s="3" t="str">
        <f>IFERROR(__xludf.DUMMYFUNCTION("""COMPUTED_VALUE"""),"Tanque Combustible 2000 lts Standard")</f>
        <v>Tanque Combustible 2000 lts Standard</v>
      </c>
      <c r="U103" s="3" t="str">
        <f>IFERROR(__xludf.DUMMYFUNCTION("""COMPUTED_VALUE"""),"Tanque Combustible 3000 lts Standard")</f>
        <v>Tanque Combustible 3000 lts Standard</v>
      </c>
      <c r="V103" s="3" t="str">
        <f>IFERROR(__xludf.DUMMYFUNCTION("""COMPUTED_VALUE"""),"Tanque Combustible 3000 lts Alto")</f>
        <v>Tanque Combustible 3000 lts Alto</v>
      </c>
      <c r="W103" s="3" t="str">
        <f>IFERROR(__xludf.DUMMYFUNCTION("""COMPUTED_VALUE"""),"Tanque Combustible 4000 lts Standard")</f>
        <v>Tanque Combustible 4000 lts Standard</v>
      </c>
      <c r="X103" s="3" t="str">
        <f>IFERROR(__xludf.DUMMYFUNCTION("""COMPUTED_VALUE"""),"Tanque Combustible 5000 lts Standard")</f>
        <v>Tanque Combustible 5000 lts Standard</v>
      </c>
      <c r="Y103" s="3" t="str">
        <f>IFERROR(__xludf.DUMMYFUNCTION("""COMPUTED_VALUE"""),"Tanque Combustible 5000 lts Alto")</f>
        <v>Tanque Combustible 5000 lts Alto</v>
      </c>
      <c r="Z103" s="3" t="str">
        <f>IFERROR(__xludf.DUMMYFUNCTION("""COMPUTED_VALUE"""),"Tanque Combustible 2000 lts Alto")</f>
        <v>Tanque Combustible 2000 lts Alto</v>
      </c>
      <c r="AA103" s="3" t="str">
        <f>IFERROR(__xludf.DUMMYFUNCTION("""COMPUTED_VALUE"""),"Tanque Combustible 4000 lts Alto")</f>
        <v>Tanque Combustible 4000 lts Alto</v>
      </c>
      <c r="AB103" s="3" t="str">
        <f>IFERROR(__xludf.DUMMYFUNCTION("""COMPUTED_VALUE"""),"Baulera Standard - 750")</f>
        <v>Baulera Standard - 750</v>
      </c>
      <c r="AC103" s="3" t="str">
        <f>IFERROR(__xludf.DUMMYFUNCTION("""COMPUTED_VALUE"""),"Baulera Standard - 1700 - C/Laterales")</f>
        <v>Baulera Standard - 1700 - C/Laterales</v>
      </c>
      <c r="AD103" s="3" t="str">
        <f>IFERROR(__xludf.DUMMYFUNCTION("""COMPUTED_VALUE"""),"Baulera Standard - 1000 - C/Laterales")</f>
        <v>Baulera Standard - 1000 - C/Laterales</v>
      </c>
      <c r="AE103" s="3" t="str">
        <f>IFERROR(__xludf.DUMMYFUNCTION("""COMPUTED_VALUE"""),"Baulera Standard - 750 - C/Laterales")</f>
        <v>Baulera Standard - 750 - C/Laterales</v>
      </c>
      <c r="AF103" s="3" t="str">
        <f>IFERROR(__xludf.DUMMYFUNCTION("""COMPUTED_VALUE"""),"Baulera Standard - 1300 - C/Laterales")</f>
        <v>Baulera Standard - 1300 - C/Laterales</v>
      </c>
      <c r="AG103" s="3" t="str">
        <f>IFERROR(__xludf.DUMMYFUNCTION("""COMPUTED_VALUE"""),"Baulera Alta - 750")</f>
        <v>Baulera Alta - 750</v>
      </c>
      <c r="AH103" s="3" t="str">
        <f>IFERROR(__xludf.DUMMYFUNCTION("""COMPUTED_VALUE"""),"Baulera Alta - 1500 - C/Laterales")</f>
        <v>Baulera Alta - 1500 - C/Laterales</v>
      </c>
      <c r="AI103" s="3" t="str">
        <f>IFERROR(__xludf.DUMMYFUNCTION("""COMPUTED_VALUE"""),"Baulera Extendida 1700 - C/Laterales")</f>
        <v>Baulera Extendida 1700 - C/Laterales</v>
      </c>
      <c r="AJ103" s="3" t="str">
        <f>IFERROR(__xludf.DUMMYFUNCTION("""COMPUTED_VALUE"""),"Taller Móvil - 1500 x 1500 x 1700")</f>
        <v>Taller Móvil - 1500 x 1500 x 1700</v>
      </c>
      <c r="AK103" s="3" t="str">
        <f>IFERROR(__xludf.DUMMYFUNCTION("""COMPUTED_VALUE"""),"Cajón Herramientas Standard Derecho")</f>
        <v>Cajón Herramientas Standard Derecho</v>
      </c>
      <c r="AL103" s="3" t="str">
        <f>IFERROR(__xludf.DUMMYFUNCTION("""COMPUTED_VALUE"""),"Cajón Herramientas Standard Izquierdo")</f>
        <v>Cajón Herramientas Standard Izquierdo</v>
      </c>
      <c r="AM103" s="3" t="str">
        <f>IFERROR(__xludf.DUMMYFUNCTION("""COMPUTED_VALUE"""),"Cajón Herramientas Corto Derecho")</f>
        <v>Cajón Herramientas Corto Derecho</v>
      </c>
      <c r="AN103" s="3" t="str">
        <f>IFERROR(__xludf.DUMMYFUNCTION("""COMPUTED_VALUE"""),"Cajón Herramientas Corto Izquierdo")</f>
        <v>Cajón Herramientas Corto Izquierdo</v>
      </c>
      <c r="AO103" s="3" t="str">
        <f>IFERROR(__xludf.DUMMYFUNCTION("""COMPUTED_VALUE"""),"Cajón Herramientas Mediano Derecho")</f>
        <v>Cajón Herramientas Mediano Derecho</v>
      </c>
      <c r="AP103" s="3" t="str">
        <f>IFERROR(__xludf.DUMMYFUNCTION("""COMPUTED_VALUE"""),"Cajón Herramientas Mediano Izquierdo")</f>
        <v>Cajón Herramientas Mediano Izquierdo</v>
      </c>
      <c r="AQ103" s="3" t="str">
        <f>IFERROR(__xludf.DUMMYFUNCTION("""COMPUTED_VALUE"""),"Chasis Acoplado 2 Ejes L3000")</f>
        <v>Chasis Acoplado 2 Ejes L3000</v>
      </c>
      <c r="AR103" s="3" t="str">
        <f>IFERROR(__xludf.DUMMYFUNCTION("""COMPUTED_VALUE"""),"Chasis Acoplado 2 Ejes L3750")</f>
        <v>Chasis Acoplado 2 Ejes L3750</v>
      </c>
      <c r="AS103" s="3" t="str">
        <f>IFERROR(__xludf.DUMMYFUNCTION("""COMPUTED_VALUE"""),"Chasis Acoplado 2 Ejes L4000")</f>
        <v>Chasis Acoplado 2 Ejes L4000</v>
      </c>
      <c r="AT103" s="3" t="str">
        <f>IFERROR(__xludf.DUMMYFUNCTION("""COMPUTED_VALUE"""),"Chasis Acoplado 2 Ejes L4000 Reforzado")</f>
        <v>Chasis Acoplado 2 Ejes L4000 Reforzado</v>
      </c>
      <c r="AU103" s="3" t="str">
        <f>IFERROR(__xludf.DUMMYFUNCTION("""COMPUTED_VALUE"""),"Chasis Acoplado 2 Ejes L4750")</f>
        <v>Chasis Acoplado 2 Ejes L4750</v>
      </c>
      <c r="AV103" s="3" t="str">
        <f>IFERROR(__xludf.DUMMYFUNCTION("""COMPUTED_VALUE"""),"Chasis Acoplado 2 Ejes L4750 Reforzado")</f>
        <v>Chasis Acoplado 2 Ejes L4750 Reforzado</v>
      </c>
      <c r="AW103" s="3" t="str">
        <f>IFERROR(__xludf.DUMMYFUNCTION("""COMPUTED_VALUE"""),"Chasis Acoplado 2 Ejes L4750 Reforzado R. Camion")</f>
        <v>Chasis Acoplado 2 Ejes L4750 Reforzado R. Camion</v>
      </c>
      <c r="AX103" s="3" t="str">
        <f>IFERROR(__xludf.DUMMYFUNCTION("""COMPUTED_VALUE"""),"Chasis Acoplado 2 Ejes L5000")</f>
        <v>Chasis Acoplado 2 Ejes L5000</v>
      </c>
      <c r="AY103" s="3" t="str">
        <f>IFERROR(__xludf.DUMMYFUNCTION("""COMPUTED_VALUE"""),"Chasis Acoplado 2 Ejes L5750")</f>
        <v>Chasis Acoplado 2 Ejes L5750</v>
      </c>
      <c r="AZ103" s="3" t="str">
        <f>IFERROR(__xludf.DUMMYFUNCTION("""COMPUTED_VALUE"""),"Chasis Acoplado 2 Ejes L6400")</f>
        <v>Chasis Acoplado 2 Ejes L6400</v>
      </c>
      <c r="BA103" s="3" t="str">
        <f>IFERROR(__xludf.DUMMYFUNCTION("""COMPUTED_VALUE"""),"Chasis Acoplado 2 Ejes L4500")</f>
        <v>Chasis Acoplado 2 Ejes L4500</v>
      </c>
      <c r="BB103" s="3" t="str">
        <f>IFERROR(__xludf.DUMMYFUNCTION("""COMPUTED_VALUE"""),"Chasis Acoplado 1 Eje L1500")</f>
        <v>Chasis Acoplado 1 Eje L1500</v>
      </c>
      <c r="BC103" s="3" t="str">
        <f>IFERROR(__xludf.DUMMYFUNCTION("""COMPUTED_VALUE"""),"Chasis Acoplado 1 Eje L1800")</f>
        <v>Chasis Acoplado 1 Eje L1800</v>
      </c>
      <c r="BD103" s="3" t="str">
        <f>IFERROR(__xludf.DUMMYFUNCTION("""COMPUTED_VALUE"""),"Chasis Acoplado 1 Eje L1400")</f>
        <v>Chasis Acoplado 1 Eje L1400</v>
      </c>
      <c r="BE103" s="3" t="str">
        <f>IFERROR(__xludf.DUMMYFUNCTION("""COMPUTED_VALUE"""),"Chasis Acoplado Balancin L3000")</f>
        <v>Chasis Acoplado Balancin L3000</v>
      </c>
      <c r="BF103" s="3" t="str">
        <f>IFERROR(__xludf.DUMMYFUNCTION("""COMPUTED_VALUE"""),"Chasis Acoplado Balancin L3000 Lanza Corta")</f>
        <v>Chasis Acoplado Balancin L3000 Lanza Corta</v>
      </c>
      <c r="BG103" s="3" t="str">
        <f>IFERROR(__xludf.DUMMYFUNCTION("""COMPUTED_VALUE"""),"Chasis Acoplado Balancin L2000 Lanza Corta")</f>
        <v>Chasis Acoplado Balancin L2000 Lanza Corta</v>
      </c>
      <c r="BH103" s="3" t="str">
        <f>IFERROR(__xludf.DUMMYFUNCTION("""COMPUTED_VALUE"""),"Chasis Acoplado Balancin L3200 Lanza Corta")</f>
        <v>Chasis Acoplado Balancin L3200 Lanza Corta</v>
      </c>
      <c r="BI103" s="3" t="str">
        <f>IFERROR(__xludf.DUMMYFUNCTION("""COMPUTED_VALUE"""),"Chasis Acoplado Balancin L3200 Lanza Recta")</f>
        <v>Chasis Acoplado Balancin L3200 Lanza Recta</v>
      </c>
      <c r="BJ103" s="3" t="str">
        <f>IFERROR(__xludf.DUMMYFUNCTION("""COMPUTED_VALUE"""),"Chasis Acoplado Balancin L3200 Bajo Lanza Recta")</f>
        <v>Chasis Acoplado Balancin L3200 Bajo Lanza Recta</v>
      </c>
      <c r="BK103" s="3" t="str">
        <f>IFERROR(__xludf.DUMMYFUNCTION("""COMPUTED_VALUE"""),"Tanque Plastico Horizontal 750 Lts")</f>
        <v>Tanque Plastico Horizontal 750 Lts</v>
      </c>
      <c r="BL103" s="3" t="str">
        <f>IFERROR(__xludf.DUMMYFUNCTION("""COMPUTED_VALUE"""),"Medio Tanque Plastico Superior 700 Lts")</f>
        <v>Medio Tanque Plastico Superior 700 Lts</v>
      </c>
      <c r="BM103" s="3" t="str">
        <f>IFERROR(__xludf.DUMMYFUNCTION("""COMPUTED_VALUE"""),"Paquete de Elasticos 50 mm x 8 mm x 10 Hojas L850")</f>
        <v>Paquete de Elasticos 50 mm x 8 mm x 10 Hojas L850</v>
      </c>
      <c r="BN103" s="3" t="str">
        <f>IFERROR(__xludf.DUMMYFUNCTION("""COMPUTED_VALUE"""),"Paquete de Elasticos 63 mm x 8 mm x 10 Hojas L950")</f>
        <v>Paquete de Elasticos 63 mm x 8 mm x 10 Hojas L950</v>
      </c>
      <c r="BO103" s="3" t="str">
        <f>IFERROR(__xludf.DUMMYFUNCTION("""COMPUTED_VALUE"""),"Paquete de Elasticos 50 mm x 7 mm x 9 Hojas L850")</f>
        <v>Paquete de Elasticos 50 mm x 7 mm x 9 Hojas L850</v>
      </c>
      <c r="BP103" s="3" t="str">
        <f>IFERROR(__xludf.DUMMYFUNCTION("""COMPUTED_VALUE"""),"Paquete de Elasticos 63 mm x 8 mm x 8 Hojas L850")</f>
        <v>Paquete de Elasticos 63 mm x 8 mm x 8 Hojas L850</v>
      </c>
      <c r="BQ103" s="3" t="str">
        <f>IFERROR(__xludf.DUMMYFUNCTION("""COMPUTED_VALUE"""),"Paquete de Elasticos 63 mm x 10 mm x 10 Hojas L950")</f>
        <v>Paquete de Elasticos 63 mm x 10 mm x 10 Hojas L950</v>
      </c>
      <c r="BR103" s="3" t="str">
        <f>IFERROR(__xludf.DUMMYFUNCTION("""COMPUTED_VALUE"""),"Paquete de Elasticos 63 mm x 10 mm x 13 Hojas L975")</f>
        <v>Paquete de Elasticos 63 mm x 10 mm x 13 Hojas L975</v>
      </c>
      <c r="BS103" s="3" t="str">
        <f>IFERROR(__xludf.DUMMYFUNCTION("""COMPUTED_VALUE"""),"Paquete de Elasticos 50 mm x 7 mm x 9 Hojas L650")</f>
        <v>Paquete de Elasticos 50 mm x 7 mm x 9 Hojas L650</v>
      </c>
      <c r="BT103" s="3" t="str">
        <f>IFERROR(__xludf.DUMMYFUNCTION("""COMPUTED_VALUE"""),"Eje Acoplado 2"" x 1600 (06/08) Agrícola Centro 92")</f>
        <v>Eje Acoplado 2" x 1600 (06/08) Agrícola Centro 92</v>
      </c>
      <c r="BU103" s="3" t="str">
        <f>IFERROR(__xludf.DUMMYFUNCTION("""COMPUTED_VALUE"""),"Eje Acoplado 2 1/2"" x 1600 (07/09) Agrícola Centro 92")</f>
        <v>Eje Acoplado 2 1/2" x 1600 (07/09) Agrícola Centro 92</v>
      </c>
      <c r="BV103" s="3" t="str">
        <f>IFERROR(__xludf.DUMMYFUNCTION("""COMPUTED_VALUE"""),"Eje Acoplado 2 1/2"" x 1600 (09/11) Agrícola Centro 150")</f>
        <v>Eje Acoplado 2 1/2" x 1600 (09/11) Agrícola Centro 150</v>
      </c>
      <c r="BW103" s="3" t="str">
        <f>IFERROR(__xludf.DUMMYFUNCTION("""COMPUTED_VALUE"""),"Eje Acoplado 3"" x 1600 (10/13) Agrícola Centro 150")</f>
        <v>Eje Acoplado 3" x 1600 (10/13) Agrícola Centro 150</v>
      </c>
      <c r="BX103" s="3" t="str">
        <f>IFERROR(__xludf.DUMMYFUNCTION("""COMPUTED_VALUE"""),"Eje Acoplado 2 1/2"" x 2140 (07/09) Agrícola Centro 92")</f>
        <v>Eje Acoplado 2 1/2" x 2140 (07/09) Agrícola Centro 92</v>
      </c>
      <c r="BY103" s="3" t="str">
        <f>IFERROR(__xludf.DUMMYFUNCTION("""COMPUTED_VALUE"""),"Eje Acoplado 2"" x 1400 (06/08) Agrícola Centro 92")</f>
        <v>Eje Acoplado 2" x 1400 (06/08) Agrícola Centro 92</v>
      </c>
      <c r="BZ103" s="3" t="str">
        <f>IFERROR(__xludf.DUMMYFUNCTION("""COMPUTED_VALUE"""),"Eje Acoplado 2 1/2"" x 1500 (07/09) Agrícola Centro 92")</f>
        <v>Eje Acoplado 2 1/2" x 1500 (07/09) Agrícola Centro 92</v>
      </c>
      <c r="CA103" s="3" t="str">
        <f>IFERROR(__xludf.DUMMYFUNCTION("""COMPUTED_VALUE"""),"Eje Acoplado 2 1/2"" x 2000 (07/09) Agrícola Centro 92")</f>
        <v>Eje Acoplado 2 1/2" x 2000 (07/09) Agrícola Centro 92</v>
      </c>
      <c r="CB103" s="3" t="str">
        <f>IFERROR(__xludf.DUMMYFUNCTION("""COMPUTED_VALUE"""),"Eje Acoplado 2 1/2"" x 2100 (09/11) Agrícola Centro 150")</f>
        <v>Eje Acoplado 2 1/2" x 2100 (09/11) Agrícola Centro 150</v>
      </c>
      <c r="CC103" s="3" t="str">
        <f>IFERROR(__xludf.DUMMYFUNCTION("""COMPUTED_VALUE"""),"Llanta 16"" Simple Agrícola Centro 92")</f>
        <v>Llanta 16" Simple Agrícola Centro 92</v>
      </c>
      <c r="CD103" s="3" t="str">
        <f>IFERROR(__xludf.DUMMYFUNCTION("""COMPUTED_VALUE"""),"Llanta 16"" Dual Agrícola Centro 92")</f>
        <v>Llanta 16" Dual Agrícola Centro 92</v>
      </c>
      <c r="CE103" s="3" t="str">
        <f>IFERROR(__xludf.DUMMYFUNCTION("""COMPUTED_VALUE"""),"Llanta 17"" Simple Agrícola Centro 92")</f>
        <v>Llanta 17" Simple Agrícola Centro 92</v>
      </c>
      <c r="CF103" s="3" t="str">
        <f>IFERROR(__xludf.DUMMYFUNCTION("""COMPUTED_VALUE"""),"Llanta 17"" Dual Agrícola Centro 92")</f>
        <v>Llanta 17" Dual Agrícola Centro 92</v>
      </c>
      <c r="CG103" s="3" t="str">
        <f>IFERROR(__xludf.DUMMYFUNCTION("""COMPUTED_VALUE"""),"Llanta 16"" Dual Agrícola Centro 152")</f>
        <v>Llanta 16" Dual Agrícola Centro 152</v>
      </c>
      <c r="CH103" s="3" t="str">
        <f>IFERROR(__xludf.DUMMYFUNCTION("""COMPUTED_VALUE"""),"Llanta 17"" Dual Agrícola Centro 152")</f>
        <v>Llanta 17" Dual Agrícola Centro 152</v>
      </c>
      <c r="CI103" s="3" t="str">
        <f>IFERROR(__xludf.DUMMYFUNCTION("""COMPUTED_VALUE"""),"Eje Acoplado 2"" x 1600 (05/07) Agrícola Centro 92")</f>
        <v>Eje Acoplado 2" x 1600 (05/07) Agrícola Centro 92</v>
      </c>
      <c r="CJ103" s="3" t="str">
        <f>IFERROR(__xludf.DUMMYFUNCTION("""COMPUTED_VALUE"""),"Paquete de Elásticos 50 mm x 8 mm x 12 Hojas")</f>
        <v>Paquete de Elásticos 50 mm x 8 mm x 12 Hojas</v>
      </c>
      <c r="CK103" s="3" t="str">
        <f>IFERROR(__xludf.DUMMYFUNCTION("""COMPUTED_VALUE"""),"Plataforma Playo 4.00 x 1.90 x 0.45 Lateral Simple Baranda Fija")</f>
        <v>Plataforma Playo 4.00 x 1.90 x 0.45 Lateral Simple Baranda Fija</v>
      </c>
      <c r="CL103" s="3" t="str">
        <f>IFERROR(__xludf.DUMMYFUNCTION("""COMPUTED_VALUE"""),"Plataforma Playo 4.00 x 1.90 x 0.45 Lateral Simple Baranda Ventilada")</f>
        <v>Plataforma Playo 4.00 x 1.90 x 0.45 Lateral Simple Baranda Ventilada</v>
      </c>
      <c r="CM103" s="3" t="str">
        <f>IFERROR(__xludf.DUMMYFUNCTION("""COMPUTED_VALUE"""),"Plataforma Playo 4.00 x 1.90 x 0.45 Lateral Doble Baranda Ventilada")</f>
        <v>Plataforma Playo 4.00 x 1.90 x 0.45 Lateral Doble Baranda Ventilada</v>
      </c>
      <c r="CN103" s="3" t="str">
        <f>IFERROR(__xludf.DUMMYFUNCTION("""COMPUTED_VALUE"""),"Plataforma Playo 4.00 x 1.90 x 0.45 Lateral Doble Baranda Fija")</f>
        <v>Plataforma Playo 4.00 x 1.90 x 0.45 Lateral Doble Baranda Fija</v>
      </c>
      <c r="CO103" s="3" t="str">
        <f>IFERROR(__xludf.DUMMYFUNCTION("""COMPUTED_VALUE"""),"Plataforma Playo 4.00 x 1.90 x 0.72 Lateral Simple Baranda Fija")</f>
        <v>Plataforma Playo 4.00 x 1.90 x 0.72 Lateral Simple Baranda Fija</v>
      </c>
      <c r="CP103" s="3" t="str">
        <f>IFERROR(__xludf.DUMMYFUNCTION("""COMPUTED_VALUE"""),"Plataforma Playo 4.00 x 1.90 x 0.72 Lateral Doble Baranda Fija")</f>
        <v>Plataforma Playo 4.00 x 1.90 x 0.72 Lateral Doble Baranda Fija</v>
      </c>
      <c r="CQ103" s="3" t="str">
        <f>IFERROR(__xludf.DUMMYFUNCTION("""COMPUTED_VALUE"""),"Plataforma Playo 5.00 x 2.20 x 0.60 Lateral Doble Trasera Rebatible")</f>
        <v>Plataforma Playo 5.00 x 2.20 x 0.60 Lateral Doble Trasera Rebatible</v>
      </c>
      <c r="CR103" s="3" t="str">
        <f>IFERROR(__xludf.DUMMYFUNCTION("""COMPUTED_VALUE"""),"Plataforma Playo 5.00 x 2.20 x 0.60 Lateral Doble Baranda Fija C/Toldo")</f>
        <v>Plataforma Playo 5.00 x 2.20 x 0.60 Lateral Doble Baranda Fija C/Toldo</v>
      </c>
      <c r="CS103" s="3" t="str">
        <f>IFERROR(__xludf.DUMMYFUNCTION("""COMPUTED_VALUE"""),"Plataforma Playo 3.00 x 1.90 x 0.45 Lateral Simple Baranda Fija")</f>
        <v>Plataforma Playo 3.00 x 1.90 x 0.45 Lateral Simple Baranda Fija</v>
      </c>
      <c r="CT103" s="3" t="str">
        <f>IFERROR(__xludf.DUMMYFUNCTION("""COMPUTED_VALUE"""),"Plataforma Playo 3.00 x 1.90 x 0.45 Lateral Simple Baranda Ventilada")</f>
        <v>Plataforma Playo 3.00 x 1.90 x 0.45 Lateral Simple Baranda Ventilada</v>
      </c>
      <c r="CU103" s="3" t="str">
        <f>IFERROR(__xludf.DUMMYFUNCTION("""COMPUTED_VALUE"""),"Plataforma Playo 2.00 x 1.90 x 0.45 Lateral Simple Baranda Fija")</f>
        <v>Plataforma Playo 2.00 x 1.90 x 0.45 Lateral Simple Baranda Fija</v>
      </c>
      <c r="CV103" s="3" t="str">
        <f>IFERROR(__xludf.DUMMYFUNCTION("""COMPUTED_VALUE"""),"Plataforma Playo 5.00 x 1.90 x 0.60 Lateral Doble Baranda Fija")</f>
        <v>Plataforma Playo 5.00 x 1.90 x 0.60 Lateral Doble Baranda Fija</v>
      </c>
      <c r="CW103" s="3" t="str">
        <f>IFERROR(__xludf.DUMMYFUNCTION("""COMPUTED_VALUE"""),"Plataforma Playo 6.40 x 2.70 x 0.72 Lateral Doble Baranda Fija")</f>
        <v>Plataforma Playo 6.40 x 2.70 x 0.72 Lateral Doble Baranda Fija</v>
      </c>
      <c r="CX103" s="3" t="str">
        <f>IFERROR(__xludf.DUMMYFUNCTION("""COMPUTED_VALUE"""),"Chasis Acoplado Balancin L4000 Lanza Recta")</f>
        <v>Chasis Acoplado Balancin L4000 Lanza Recta</v>
      </c>
      <c r="CY103" s="3" t="str">
        <f>IFERROR(__xludf.DUMMYFUNCTION("""COMPUTED_VALUE"""),"Llanta simple Agrícola 750x20 centro 152")</f>
        <v>Llanta simple Agrícola 750x20 centro 152</v>
      </c>
      <c r="CZ103" s="3" t="str">
        <f>IFERROR(__xludf.DUMMYFUNCTION("""COMPUTED_VALUE"""),"Cajón de Herramientas Mediano adelante")</f>
        <v>Cajón de Herramientas Mediano adelante</v>
      </c>
      <c r="DA103" s="3" t="str">
        <f>IFERROR(__xludf.DUMMYFUNCTION("""COMPUTED_VALUE"""),"Llanta 15"" Simple Agrícola Centro 92")</f>
        <v>Llanta 15" Simple Agrícola Centro 92</v>
      </c>
    </row>
    <row r="104" hidden="1">
      <c r="A104" s="38">
        <f t="shared" si="1"/>
        <v>103</v>
      </c>
      <c r="B104" s="38">
        <f>IF(F104="","",SUMIF(Prearmados!E:E,F104,Prearmados!A:A))</f>
        <v>20</v>
      </c>
      <c r="C104" s="38">
        <f>IF(F104="","",SUMIF(Productos!E:E,G104,Productos!A:A))</f>
        <v>93</v>
      </c>
      <c r="D104" s="83" t="str">
        <f t="array" ref="D104">IF(OR(F104="",F104="Seleccionar.."),"",XLOOKUP(F104,Prearmados!E:E,Prearmados!F:F,"",0,1))</f>
        <v>Acoplados Rurales</v>
      </c>
      <c r="E104" s="83">
        <f>IF(H104="","",SUMIF(Precio_Productos!K:K,C104,Precio_Productos!J:J)*H104)</f>
        <v>850000</v>
      </c>
      <c r="F104" s="84" t="s">
        <v>343</v>
      </c>
      <c r="G104" s="84" t="s">
        <v>88</v>
      </c>
      <c r="H104" s="13">
        <v>1.0</v>
      </c>
      <c r="P104" s="3" t="str">
        <f>IFERROR(__xludf.DUMMYFUNCTION("IF(OR(F104="""",F104=""Seleccionar..""),"""",TRANSPOSE(FILTER(Productos!E:E,(Productos!F:F=D104)+(Productos!F:F=XLOOKUP(D104,Implementos!B:B,Implementos!C:C,""-"",0,1)))))"),"Tanque Combustible 1100 lts Bajo")</f>
        <v>Tanque Combustible 1100 lts Bajo</v>
      </c>
      <c r="Q104" s="3" t="str">
        <f>IFERROR(__xludf.DUMMYFUNCTION("""COMPUTED_VALUE"""),"Tanque Combustible 1500 lts Standard")</f>
        <v>Tanque Combustible 1500 lts Standard</v>
      </c>
      <c r="R104" s="3" t="str">
        <f>IFERROR(__xludf.DUMMYFUNCTION("""COMPUTED_VALUE"""),"Tanque Combustible 1800 lts Standard")</f>
        <v>Tanque Combustible 1800 lts Standard</v>
      </c>
      <c r="S104" s="3" t="str">
        <f>IFERROR(__xludf.DUMMYFUNCTION("""COMPUTED_VALUE"""),"Tanque Combustible 2000 lts Bajo")</f>
        <v>Tanque Combustible 2000 lts Bajo</v>
      </c>
      <c r="T104" s="3" t="str">
        <f>IFERROR(__xludf.DUMMYFUNCTION("""COMPUTED_VALUE"""),"Tanque Combustible 2000 lts Standard")</f>
        <v>Tanque Combustible 2000 lts Standard</v>
      </c>
      <c r="U104" s="3" t="str">
        <f>IFERROR(__xludf.DUMMYFUNCTION("""COMPUTED_VALUE"""),"Tanque Combustible 3000 lts Standard")</f>
        <v>Tanque Combustible 3000 lts Standard</v>
      </c>
      <c r="V104" s="3" t="str">
        <f>IFERROR(__xludf.DUMMYFUNCTION("""COMPUTED_VALUE"""),"Tanque Combustible 3000 lts Alto")</f>
        <v>Tanque Combustible 3000 lts Alto</v>
      </c>
      <c r="W104" s="3" t="str">
        <f>IFERROR(__xludf.DUMMYFUNCTION("""COMPUTED_VALUE"""),"Tanque Combustible 4000 lts Standard")</f>
        <v>Tanque Combustible 4000 lts Standard</v>
      </c>
      <c r="X104" s="3" t="str">
        <f>IFERROR(__xludf.DUMMYFUNCTION("""COMPUTED_VALUE"""),"Tanque Combustible 5000 lts Standard")</f>
        <v>Tanque Combustible 5000 lts Standard</v>
      </c>
      <c r="Y104" s="3" t="str">
        <f>IFERROR(__xludf.DUMMYFUNCTION("""COMPUTED_VALUE"""),"Tanque Combustible 5000 lts Alto")</f>
        <v>Tanque Combustible 5000 lts Alto</v>
      </c>
      <c r="Z104" s="3" t="str">
        <f>IFERROR(__xludf.DUMMYFUNCTION("""COMPUTED_VALUE"""),"Tanque Combustible 2000 lts Alto")</f>
        <v>Tanque Combustible 2000 lts Alto</v>
      </c>
      <c r="AA104" s="3" t="str">
        <f>IFERROR(__xludf.DUMMYFUNCTION("""COMPUTED_VALUE"""),"Tanque Combustible 4000 lts Alto")</f>
        <v>Tanque Combustible 4000 lts Alto</v>
      </c>
      <c r="AB104" s="3" t="str">
        <f>IFERROR(__xludf.DUMMYFUNCTION("""COMPUTED_VALUE"""),"Baulera Standard - 750")</f>
        <v>Baulera Standard - 750</v>
      </c>
      <c r="AC104" s="3" t="str">
        <f>IFERROR(__xludf.DUMMYFUNCTION("""COMPUTED_VALUE"""),"Baulera Standard - 1700 - C/Laterales")</f>
        <v>Baulera Standard - 1700 - C/Laterales</v>
      </c>
      <c r="AD104" s="3" t="str">
        <f>IFERROR(__xludf.DUMMYFUNCTION("""COMPUTED_VALUE"""),"Baulera Standard - 1000 - C/Laterales")</f>
        <v>Baulera Standard - 1000 - C/Laterales</v>
      </c>
      <c r="AE104" s="3" t="str">
        <f>IFERROR(__xludf.DUMMYFUNCTION("""COMPUTED_VALUE"""),"Baulera Standard - 750 - C/Laterales")</f>
        <v>Baulera Standard - 750 - C/Laterales</v>
      </c>
      <c r="AF104" s="3" t="str">
        <f>IFERROR(__xludf.DUMMYFUNCTION("""COMPUTED_VALUE"""),"Baulera Standard - 1300 - C/Laterales")</f>
        <v>Baulera Standard - 1300 - C/Laterales</v>
      </c>
      <c r="AG104" s="3" t="str">
        <f>IFERROR(__xludf.DUMMYFUNCTION("""COMPUTED_VALUE"""),"Baulera Alta - 750")</f>
        <v>Baulera Alta - 750</v>
      </c>
      <c r="AH104" s="3" t="str">
        <f>IFERROR(__xludf.DUMMYFUNCTION("""COMPUTED_VALUE"""),"Baulera Alta - 1500 - C/Laterales")</f>
        <v>Baulera Alta - 1500 - C/Laterales</v>
      </c>
      <c r="AI104" s="3" t="str">
        <f>IFERROR(__xludf.DUMMYFUNCTION("""COMPUTED_VALUE"""),"Baulera Extendida 1700 - C/Laterales")</f>
        <v>Baulera Extendida 1700 - C/Laterales</v>
      </c>
      <c r="AJ104" s="3" t="str">
        <f>IFERROR(__xludf.DUMMYFUNCTION("""COMPUTED_VALUE"""),"Taller Móvil - 1500 x 1500 x 1700")</f>
        <v>Taller Móvil - 1500 x 1500 x 1700</v>
      </c>
      <c r="AK104" s="3" t="str">
        <f>IFERROR(__xludf.DUMMYFUNCTION("""COMPUTED_VALUE"""),"Cajón Herramientas Standard Derecho")</f>
        <v>Cajón Herramientas Standard Derecho</v>
      </c>
      <c r="AL104" s="3" t="str">
        <f>IFERROR(__xludf.DUMMYFUNCTION("""COMPUTED_VALUE"""),"Cajón Herramientas Standard Izquierdo")</f>
        <v>Cajón Herramientas Standard Izquierdo</v>
      </c>
      <c r="AM104" s="3" t="str">
        <f>IFERROR(__xludf.DUMMYFUNCTION("""COMPUTED_VALUE"""),"Cajón Herramientas Corto Derecho")</f>
        <v>Cajón Herramientas Corto Derecho</v>
      </c>
      <c r="AN104" s="3" t="str">
        <f>IFERROR(__xludf.DUMMYFUNCTION("""COMPUTED_VALUE"""),"Cajón Herramientas Corto Izquierdo")</f>
        <v>Cajón Herramientas Corto Izquierdo</v>
      </c>
      <c r="AO104" s="3" t="str">
        <f>IFERROR(__xludf.DUMMYFUNCTION("""COMPUTED_VALUE"""),"Cajón Herramientas Mediano Derecho")</f>
        <v>Cajón Herramientas Mediano Derecho</v>
      </c>
      <c r="AP104" s="3" t="str">
        <f>IFERROR(__xludf.DUMMYFUNCTION("""COMPUTED_VALUE"""),"Cajón Herramientas Mediano Izquierdo")</f>
        <v>Cajón Herramientas Mediano Izquierdo</v>
      </c>
      <c r="AQ104" s="3" t="str">
        <f>IFERROR(__xludf.DUMMYFUNCTION("""COMPUTED_VALUE"""),"Chasis Acoplado 2 Ejes L3000")</f>
        <v>Chasis Acoplado 2 Ejes L3000</v>
      </c>
      <c r="AR104" s="3" t="str">
        <f>IFERROR(__xludf.DUMMYFUNCTION("""COMPUTED_VALUE"""),"Chasis Acoplado 2 Ejes L3750")</f>
        <v>Chasis Acoplado 2 Ejes L3750</v>
      </c>
      <c r="AS104" s="3" t="str">
        <f>IFERROR(__xludf.DUMMYFUNCTION("""COMPUTED_VALUE"""),"Chasis Acoplado 2 Ejes L4000")</f>
        <v>Chasis Acoplado 2 Ejes L4000</v>
      </c>
      <c r="AT104" s="3" t="str">
        <f>IFERROR(__xludf.DUMMYFUNCTION("""COMPUTED_VALUE"""),"Chasis Acoplado 2 Ejes L4000 Reforzado")</f>
        <v>Chasis Acoplado 2 Ejes L4000 Reforzado</v>
      </c>
      <c r="AU104" s="3" t="str">
        <f>IFERROR(__xludf.DUMMYFUNCTION("""COMPUTED_VALUE"""),"Chasis Acoplado 2 Ejes L4750")</f>
        <v>Chasis Acoplado 2 Ejes L4750</v>
      </c>
      <c r="AV104" s="3" t="str">
        <f>IFERROR(__xludf.DUMMYFUNCTION("""COMPUTED_VALUE"""),"Chasis Acoplado 2 Ejes L4750 Reforzado")</f>
        <v>Chasis Acoplado 2 Ejes L4750 Reforzado</v>
      </c>
      <c r="AW104" s="3" t="str">
        <f>IFERROR(__xludf.DUMMYFUNCTION("""COMPUTED_VALUE"""),"Chasis Acoplado 2 Ejes L4750 Reforzado R. Camion")</f>
        <v>Chasis Acoplado 2 Ejes L4750 Reforzado R. Camion</v>
      </c>
      <c r="AX104" s="3" t="str">
        <f>IFERROR(__xludf.DUMMYFUNCTION("""COMPUTED_VALUE"""),"Chasis Acoplado 2 Ejes L5000")</f>
        <v>Chasis Acoplado 2 Ejes L5000</v>
      </c>
      <c r="AY104" s="3" t="str">
        <f>IFERROR(__xludf.DUMMYFUNCTION("""COMPUTED_VALUE"""),"Chasis Acoplado 2 Ejes L5750")</f>
        <v>Chasis Acoplado 2 Ejes L5750</v>
      </c>
      <c r="AZ104" s="3" t="str">
        <f>IFERROR(__xludf.DUMMYFUNCTION("""COMPUTED_VALUE"""),"Chasis Acoplado 2 Ejes L6400")</f>
        <v>Chasis Acoplado 2 Ejes L6400</v>
      </c>
      <c r="BA104" s="3" t="str">
        <f>IFERROR(__xludf.DUMMYFUNCTION("""COMPUTED_VALUE"""),"Chasis Acoplado 2 Ejes L4500")</f>
        <v>Chasis Acoplado 2 Ejes L4500</v>
      </c>
      <c r="BB104" s="3" t="str">
        <f>IFERROR(__xludf.DUMMYFUNCTION("""COMPUTED_VALUE"""),"Chasis Acoplado 1 Eje L1500")</f>
        <v>Chasis Acoplado 1 Eje L1500</v>
      </c>
      <c r="BC104" s="3" t="str">
        <f>IFERROR(__xludf.DUMMYFUNCTION("""COMPUTED_VALUE"""),"Chasis Acoplado 1 Eje L1800")</f>
        <v>Chasis Acoplado 1 Eje L1800</v>
      </c>
      <c r="BD104" s="3" t="str">
        <f>IFERROR(__xludf.DUMMYFUNCTION("""COMPUTED_VALUE"""),"Chasis Acoplado 1 Eje L1400")</f>
        <v>Chasis Acoplado 1 Eje L1400</v>
      </c>
      <c r="BE104" s="3" t="str">
        <f>IFERROR(__xludf.DUMMYFUNCTION("""COMPUTED_VALUE"""),"Chasis Acoplado Balancin L3000")</f>
        <v>Chasis Acoplado Balancin L3000</v>
      </c>
      <c r="BF104" s="3" t="str">
        <f>IFERROR(__xludf.DUMMYFUNCTION("""COMPUTED_VALUE"""),"Chasis Acoplado Balancin L3000 Lanza Corta")</f>
        <v>Chasis Acoplado Balancin L3000 Lanza Corta</v>
      </c>
      <c r="BG104" s="3" t="str">
        <f>IFERROR(__xludf.DUMMYFUNCTION("""COMPUTED_VALUE"""),"Chasis Acoplado Balancin L2000 Lanza Corta")</f>
        <v>Chasis Acoplado Balancin L2000 Lanza Corta</v>
      </c>
      <c r="BH104" s="3" t="str">
        <f>IFERROR(__xludf.DUMMYFUNCTION("""COMPUTED_VALUE"""),"Chasis Acoplado Balancin L3200 Lanza Corta")</f>
        <v>Chasis Acoplado Balancin L3200 Lanza Corta</v>
      </c>
      <c r="BI104" s="3" t="str">
        <f>IFERROR(__xludf.DUMMYFUNCTION("""COMPUTED_VALUE"""),"Chasis Acoplado Balancin L3200 Lanza Recta")</f>
        <v>Chasis Acoplado Balancin L3200 Lanza Recta</v>
      </c>
      <c r="BJ104" s="3" t="str">
        <f>IFERROR(__xludf.DUMMYFUNCTION("""COMPUTED_VALUE"""),"Chasis Acoplado Balancin L3200 Bajo Lanza Recta")</f>
        <v>Chasis Acoplado Balancin L3200 Bajo Lanza Recta</v>
      </c>
      <c r="BK104" s="3" t="str">
        <f>IFERROR(__xludf.DUMMYFUNCTION("""COMPUTED_VALUE"""),"Tanque Plastico Horizontal 750 Lts")</f>
        <v>Tanque Plastico Horizontal 750 Lts</v>
      </c>
      <c r="BL104" s="3" t="str">
        <f>IFERROR(__xludf.DUMMYFUNCTION("""COMPUTED_VALUE"""),"Medio Tanque Plastico Superior 700 Lts")</f>
        <v>Medio Tanque Plastico Superior 700 Lts</v>
      </c>
      <c r="BM104" s="3" t="str">
        <f>IFERROR(__xludf.DUMMYFUNCTION("""COMPUTED_VALUE"""),"Paquete de Elasticos 50 mm x 8 mm x 10 Hojas L850")</f>
        <v>Paquete de Elasticos 50 mm x 8 mm x 10 Hojas L850</v>
      </c>
      <c r="BN104" s="3" t="str">
        <f>IFERROR(__xludf.DUMMYFUNCTION("""COMPUTED_VALUE"""),"Paquete de Elasticos 63 mm x 8 mm x 10 Hojas L950")</f>
        <v>Paquete de Elasticos 63 mm x 8 mm x 10 Hojas L950</v>
      </c>
      <c r="BO104" s="3" t="str">
        <f>IFERROR(__xludf.DUMMYFUNCTION("""COMPUTED_VALUE"""),"Paquete de Elasticos 50 mm x 7 mm x 9 Hojas L850")</f>
        <v>Paquete de Elasticos 50 mm x 7 mm x 9 Hojas L850</v>
      </c>
      <c r="BP104" s="3" t="str">
        <f>IFERROR(__xludf.DUMMYFUNCTION("""COMPUTED_VALUE"""),"Paquete de Elasticos 63 mm x 8 mm x 8 Hojas L850")</f>
        <v>Paquete de Elasticos 63 mm x 8 mm x 8 Hojas L850</v>
      </c>
      <c r="BQ104" s="3" t="str">
        <f>IFERROR(__xludf.DUMMYFUNCTION("""COMPUTED_VALUE"""),"Paquete de Elasticos 63 mm x 10 mm x 10 Hojas L950")</f>
        <v>Paquete de Elasticos 63 mm x 10 mm x 10 Hojas L950</v>
      </c>
      <c r="BR104" s="3" t="str">
        <f>IFERROR(__xludf.DUMMYFUNCTION("""COMPUTED_VALUE"""),"Paquete de Elasticos 63 mm x 10 mm x 13 Hojas L975")</f>
        <v>Paquete de Elasticos 63 mm x 10 mm x 13 Hojas L975</v>
      </c>
      <c r="BS104" s="3" t="str">
        <f>IFERROR(__xludf.DUMMYFUNCTION("""COMPUTED_VALUE"""),"Paquete de Elasticos 50 mm x 7 mm x 9 Hojas L650")</f>
        <v>Paquete de Elasticos 50 mm x 7 mm x 9 Hojas L650</v>
      </c>
      <c r="BT104" s="3" t="str">
        <f>IFERROR(__xludf.DUMMYFUNCTION("""COMPUTED_VALUE"""),"Eje Acoplado 2"" x 1600 (06/08) Agrícola Centro 92")</f>
        <v>Eje Acoplado 2" x 1600 (06/08) Agrícola Centro 92</v>
      </c>
      <c r="BU104" s="3" t="str">
        <f>IFERROR(__xludf.DUMMYFUNCTION("""COMPUTED_VALUE"""),"Eje Acoplado 2 1/2"" x 1600 (07/09) Agrícola Centro 92")</f>
        <v>Eje Acoplado 2 1/2" x 1600 (07/09) Agrícola Centro 92</v>
      </c>
      <c r="BV104" s="3" t="str">
        <f>IFERROR(__xludf.DUMMYFUNCTION("""COMPUTED_VALUE"""),"Eje Acoplado 2 1/2"" x 1600 (09/11) Agrícola Centro 150")</f>
        <v>Eje Acoplado 2 1/2" x 1600 (09/11) Agrícola Centro 150</v>
      </c>
      <c r="BW104" s="3" t="str">
        <f>IFERROR(__xludf.DUMMYFUNCTION("""COMPUTED_VALUE"""),"Eje Acoplado 3"" x 1600 (10/13) Agrícola Centro 150")</f>
        <v>Eje Acoplado 3" x 1600 (10/13) Agrícola Centro 150</v>
      </c>
      <c r="BX104" s="3" t="str">
        <f>IFERROR(__xludf.DUMMYFUNCTION("""COMPUTED_VALUE"""),"Eje Acoplado 2 1/2"" x 2140 (07/09) Agrícola Centro 92")</f>
        <v>Eje Acoplado 2 1/2" x 2140 (07/09) Agrícola Centro 92</v>
      </c>
      <c r="BY104" s="3" t="str">
        <f>IFERROR(__xludf.DUMMYFUNCTION("""COMPUTED_VALUE"""),"Eje Acoplado 2"" x 1400 (06/08) Agrícola Centro 92")</f>
        <v>Eje Acoplado 2" x 1400 (06/08) Agrícola Centro 92</v>
      </c>
      <c r="BZ104" s="3" t="str">
        <f>IFERROR(__xludf.DUMMYFUNCTION("""COMPUTED_VALUE"""),"Eje Acoplado 2 1/2"" x 1500 (07/09) Agrícola Centro 92")</f>
        <v>Eje Acoplado 2 1/2" x 1500 (07/09) Agrícola Centro 92</v>
      </c>
      <c r="CA104" s="3" t="str">
        <f>IFERROR(__xludf.DUMMYFUNCTION("""COMPUTED_VALUE"""),"Eje Acoplado 2 1/2"" x 2000 (07/09) Agrícola Centro 92")</f>
        <v>Eje Acoplado 2 1/2" x 2000 (07/09) Agrícola Centro 92</v>
      </c>
      <c r="CB104" s="3" t="str">
        <f>IFERROR(__xludf.DUMMYFUNCTION("""COMPUTED_VALUE"""),"Eje Acoplado 2 1/2"" x 2100 (09/11) Agrícola Centro 150")</f>
        <v>Eje Acoplado 2 1/2" x 2100 (09/11) Agrícola Centro 150</v>
      </c>
      <c r="CC104" s="3" t="str">
        <f>IFERROR(__xludf.DUMMYFUNCTION("""COMPUTED_VALUE"""),"Llanta 16"" Simple Agrícola Centro 92")</f>
        <v>Llanta 16" Simple Agrícola Centro 92</v>
      </c>
      <c r="CD104" s="3" t="str">
        <f>IFERROR(__xludf.DUMMYFUNCTION("""COMPUTED_VALUE"""),"Llanta 16"" Dual Agrícola Centro 92")</f>
        <v>Llanta 16" Dual Agrícola Centro 92</v>
      </c>
      <c r="CE104" s="3" t="str">
        <f>IFERROR(__xludf.DUMMYFUNCTION("""COMPUTED_VALUE"""),"Llanta 17"" Simple Agrícola Centro 92")</f>
        <v>Llanta 17" Simple Agrícola Centro 92</v>
      </c>
      <c r="CF104" s="3" t="str">
        <f>IFERROR(__xludf.DUMMYFUNCTION("""COMPUTED_VALUE"""),"Llanta 17"" Dual Agrícola Centro 92")</f>
        <v>Llanta 17" Dual Agrícola Centro 92</v>
      </c>
      <c r="CG104" s="3" t="str">
        <f>IFERROR(__xludf.DUMMYFUNCTION("""COMPUTED_VALUE"""),"Llanta 16"" Dual Agrícola Centro 152")</f>
        <v>Llanta 16" Dual Agrícola Centro 152</v>
      </c>
      <c r="CH104" s="3" t="str">
        <f>IFERROR(__xludf.DUMMYFUNCTION("""COMPUTED_VALUE"""),"Llanta 17"" Dual Agrícola Centro 152")</f>
        <v>Llanta 17" Dual Agrícola Centro 152</v>
      </c>
      <c r="CI104" s="3" t="str">
        <f>IFERROR(__xludf.DUMMYFUNCTION("""COMPUTED_VALUE"""),"Eje Acoplado 2"" x 1600 (05/07) Agrícola Centro 92")</f>
        <v>Eje Acoplado 2" x 1600 (05/07) Agrícola Centro 92</v>
      </c>
      <c r="CJ104" s="3" t="str">
        <f>IFERROR(__xludf.DUMMYFUNCTION("""COMPUTED_VALUE"""),"Paquete de Elásticos 50 mm x 8 mm x 12 Hojas")</f>
        <v>Paquete de Elásticos 50 mm x 8 mm x 12 Hojas</v>
      </c>
      <c r="CK104" s="3" t="str">
        <f>IFERROR(__xludf.DUMMYFUNCTION("""COMPUTED_VALUE"""),"Plataforma Playo 4.00 x 1.90 x 0.45 Lateral Simple Baranda Fija")</f>
        <v>Plataforma Playo 4.00 x 1.90 x 0.45 Lateral Simple Baranda Fija</v>
      </c>
      <c r="CL104" s="3" t="str">
        <f>IFERROR(__xludf.DUMMYFUNCTION("""COMPUTED_VALUE"""),"Plataforma Playo 4.00 x 1.90 x 0.45 Lateral Simple Baranda Ventilada")</f>
        <v>Plataforma Playo 4.00 x 1.90 x 0.45 Lateral Simple Baranda Ventilada</v>
      </c>
      <c r="CM104" s="3" t="str">
        <f>IFERROR(__xludf.DUMMYFUNCTION("""COMPUTED_VALUE"""),"Plataforma Playo 4.00 x 1.90 x 0.45 Lateral Doble Baranda Ventilada")</f>
        <v>Plataforma Playo 4.00 x 1.90 x 0.45 Lateral Doble Baranda Ventilada</v>
      </c>
      <c r="CN104" s="3" t="str">
        <f>IFERROR(__xludf.DUMMYFUNCTION("""COMPUTED_VALUE"""),"Plataforma Playo 4.00 x 1.90 x 0.45 Lateral Doble Baranda Fija")</f>
        <v>Plataforma Playo 4.00 x 1.90 x 0.45 Lateral Doble Baranda Fija</v>
      </c>
      <c r="CO104" s="3" t="str">
        <f>IFERROR(__xludf.DUMMYFUNCTION("""COMPUTED_VALUE"""),"Plataforma Playo 4.00 x 1.90 x 0.72 Lateral Simple Baranda Fija")</f>
        <v>Plataforma Playo 4.00 x 1.90 x 0.72 Lateral Simple Baranda Fija</v>
      </c>
      <c r="CP104" s="3" t="str">
        <f>IFERROR(__xludf.DUMMYFUNCTION("""COMPUTED_VALUE"""),"Plataforma Playo 4.00 x 1.90 x 0.72 Lateral Doble Baranda Fija")</f>
        <v>Plataforma Playo 4.00 x 1.90 x 0.72 Lateral Doble Baranda Fija</v>
      </c>
      <c r="CQ104" s="3" t="str">
        <f>IFERROR(__xludf.DUMMYFUNCTION("""COMPUTED_VALUE"""),"Plataforma Playo 5.00 x 2.20 x 0.60 Lateral Doble Trasera Rebatible")</f>
        <v>Plataforma Playo 5.00 x 2.20 x 0.60 Lateral Doble Trasera Rebatible</v>
      </c>
      <c r="CR104" s="3" t="str">
        <f>IFERROR(__xludf.DUMMYFUNCTION("""COMPUTED_VALUE"""),"Plataforma Playo 5.00 x 2.20 x 0.60 Lateral Doble Baranda Fija C/Toldo")</f>
        <v>Plataforma Playo 5.00 x 2.20 x 0.60 Lateral Doble Baranda Fija C/Toldo</v>
      </c>
      <c r="CS104" s="3" t="str">
        <f>IFERROR(__xludf.DUMMYFUNCTION("""COMPUTED_VALUE"""),"Plataforma Playo 3.00 x 1.90 x 0.45 Lateral Simple Baranda Fija")</f>
        <v>Plataforma Playo 3.00 x 1.90 x 0.45 Lateral Simple Baranda Fija</v>
      </c>
      <c r="CT104" s="3" t="str">
        <f>IFERROR(__xludf.DUMMYFUNCTION("""COMPUTED_VALUE"""),"Plataforma Playo 3.00 x 1.90 x 0.45 Lateral Simple Baranda Ventilada")</f>
        <v>Plataforma Playo 3.00 x 1.90 x 0.45 Lateral Simple Baranda Ventilada</v>
      </c>
      <c r="CU104" s="3" t="str">
        <f>IFERROR(__xludf.DUMMYFUNCTION("""COMPUTED_VALUE"""),"Plataforma Playo 2.00 x 1.90 x 0.45 Lateral Simple Baranda Fija")</f>
        <v>Plataforma Playo 2.00 x 1.90 x 0.45 Lateral Simple Baranda Fija</v>
      </c>
      <c r="CV104" s="3" t="str">
        <f>IFERROR(__xludf.DUMMYFUNCTION("""COMPUTED_VALUE"""),"Plataforma Playo 5.00 x 1.90 x 0.60 Lateral Doble Baranda Fija")</f>
        <v>Plataforma Playo 5.00 x 1.90 x 0.60 Lateral Doble Baranda Fija</v>
      </c>
      <c r="CW104" s="3" t="str">
        <f>IFERROR(__xludf.DUMMYFUNCTION("""COMPUTED_VALUE"""),"Plataforma Playo 6.40 x 2.70 x 0.72 Lateral Doble Baranda Fija")</f>
        <v>Plataforma Playo 6.40 x 2.70 x 0.72 Lateral Doble Baranda Fija</v>
      </c>
      <c r="CX104" s="3" t="str">
        <f>IFERROR(__xludf.DUMMYFUNCTION("""COMPUTED_VALUE"""),"Chasis Acoplado Balancin L4000 Lanza Recta")</f>
        <v>Chasis Acoplado Balancin L4000 Lanza Recta</v>
      </c>
      <c r="CY104" s="3" t="str">
        <f>IFERROR(__xludf.DUMMYFUNCTION("""COMPUTED_VALUE"""),"Llanta simple Agrícola 750x20 centro 152")</f>
        <v>Llanta simple Agrícola 750x20 centro 152</v>
      </c>
      <c r="CZ104" s="3" t="str">
        <f>IFERROR(__xludf.DUMMYFUNCTION("""COMPUTED_VALUE"""),"Cajón de Herramientas Mediano adelante")</f>
        <v>Cajón de Herramientas Mediano adelante</v>
      </c>
      <c r="DA104" s="3" t="str">
        <f>IFERROR(__xludf.DUMMYFUNCTION("""COMPUTED_VALUE"""),"Llanta 15"" Simple Agrícola Centro 92")</f>
        <v>Llanta 15" Simple Agrícola Centro 92</v>
      </c>
    </row>
    <row r="105" hidden="1">
      <c r="A105" s="38">
        <f t="shared" si="1"/>
        <v>104</v>
      </c>
      <c r="B105" s="38">
        <f>IF(F105="","",SUMIF(Prearmados!E:E,F105,Prearmados!A:A))</f>
        <v>20</v>
      </c>
      <c r="C105" s="38">
        <f>IF(F105="","",SUMIF(Productos!E:E,G105,Productos!A:A))</f>
        <v>66</v>
      </c>
      <c r="D105" s="83" t="str">
        <f t="array" ref="D105">IF(OR(F105="",F105="Seleccionar.."),"",XLOOKUP(F105,Prearmados!E:E,Prearmados!F:F,"",0,1))</f>
        <v>Acoplados Rurales</v>
      </c>
      <c r="E105" s="83">
        <f>IF(H105="","",SUMIF(Precio_Productos!K:K,C105,Precio_Productos!J:J)*H105)</f>
        <v>292579</v>
      </c>
      <c r="F105" s="84" t="s">
        <v>343</v>
      </c>
      <c r="G105" s="84" t="s">
        <v>79</v>
      </c>
      <c r="H105" s="13">
        <v>1.0</v>
      </c>
      <c r="P105" s="3" t="str">
        <f>IFERROR(__xludf.DUMMYFUNCTION("IF(OR(F105="""",F105=""Seleccionar..""),"""",TRANSPOSE(FILTER(Productos!E:E,(Productos!F:F=D105)+(Productos!F:F=XLOOKUP(D105,Implementos!B:B,Implementos!C:C,""-"",0,1)))))"),"Tanque Combustible 1100 lts Bajo")</f>
        <v>Tanque Combustible 1100 lts Bajo</v>
      </c>
      <c r="Q105" s="3" t="str">
        <f>IFERROR(__xludf.DUMMYFUNCTION("""COMPUTED_VALUE"""),"Tanque Combustible 1500 lts Standard")</f>
        <v>Tanque Combustible 1500 lts Standard</v>
      </c>
      <c r="R105" s="3" t="str">
        <f>IFERROR(__xludf.DUMMYFUNCTION("""COMPUTED_VALUE"""),"Tanque Combustible 1800 lts Standard")</f>
        <v>Tanque Combustible 1800 lts Standard</v>
      </c>
      <c r="S105" s="3" t="str">
        <f>IFERROR(__xludf.DUMMYFUNCTION("""COMPUTED_VALUE"""),"Tanque Combustible 2000 lts Bajo")</f>
        <v>Tanque Combustible 2000 lts Bajo</v>
      </c>
      <c r="T105" s="3" t="str">
        <f>IFERROR(__xludf.DUMMYFUNCTION("""COMPUTED_VALUE"""),"Tanque Combustible 2000 lts Standard")</f>
        <v>Tanque Combustible 2000 lts Standard</v>
      </c>
      <c r="U105" s="3" t="str">
        <f>IFERROR(__xludf.DUMMYFUNCTION("""COMPUTED_VALUE"""),"Tanque Combustible 3000 lts Standard")</f>
        <v>Tanque Combustible 3000 lts Standard</v>
      </c>
      <c r="V105" s="3" t="str">
        <f>IFERROR(__xludf.DUMMYFUNCTION("""COMPUTED_VALUE"""),"Tanque Combustible 3000 lts Alto")</f>
        <v>Tanque Combustible 3000 lts Alto</v>
      </c>
      <c r="W105" s="3" t="str">
        <f>IFERROR(__xludf.DUMMYFUNCTION("""COMPUTED_VALUE"""),"Tanque Combustible 4000 lts Standard")</f>
        <v>Tanque Combustible 4000 lts Standard</v>
      </c>
      <c r="X105" s="3" t="str">
        <f>IFERROR(__xludf.DUMMYFUNCTION("""COMPUTED_VALUE"""),"Tanque Combustible 5000 lts Standard")</f>
        <v>Tanque Combustible 5000 lts Standard</v>
      </c>
      <c r="Y105" s="3" t="str">
        <f>IFERROR(__xludf.DUMMYFUNCTION("""COMPUTED_VALUE"""),"Tanque Combustible 5000 lts Alto")</f>
        <v>Tanque Combustible 5000 lts Alto</v>
      </c>
      <c r="Z105" s="3" t="str">
        <f>IFERROR(__xludf.DUMMYFUNCTION("""COMPUTED_VALUE"""),"Tanque Combustible 2000 lts Alto")</f>
        <v>Tanque Combustible 2000 lts Alto</v>
      </c>
      <c r="AA105" s="3" t="str">
        <f>IFERROR(__xludf.DUMMYFUNCTION("""COMPUTED_VALUE"""),"Tanque Combustible 4000 lts Alto")</f>
        <v>Tanque Combustible 4000 lts Alto</v>
      </c>
      <c r="AB105" s="3" t="str">
        <f>IFERROR(__xludf.DUMMYFUNCTION("""COMPUTED_VALUE"""),"Baulera Standard - 750")</f>
        <v>Baulera Standard - 750</v>
      </c>
      <c r="AC105" s="3" t="str">
        <f>IFERROR(__xludf.DUMMYFUNCTION("""COMPUTED_VALUE"""),"Baulera Standard - 1700 - C/Laterales")</f>
        <v>Baulera Standard - 1700 - C/Laterales</v>
      </c>
      <c r="AD105" s="3" t="str">
        <f>IFERROR(__xludf.DUMMYFUNCTION("""COMPUTED_VALUE"""),"Baulera Standard - 1000 - C/Laterales")</f>
        <v>Baulera Standard - 1000 - C/Laterales</v>
      </c>
      <c r="AE105" s="3" t="str">
        <f>IFERROR(__xludf.DUMMYFUNCTION("""COMPUTED_VALUE"""),"Baulera Standard - 750 - C/Laterales")</f>
        <v>Baulera Standard - 750 - C/Laterales</v>
      </c>
      <c r="AF105" s="3" t="str">
        <f>IFERROR(__xludf.DUMMYFUNCTION("""COMPUTED_VALUE"""),"Baulera Standard - 1300 - C/Laterales")</f>
        <v>Baulera Standard - 1300 - C/Laterales</v>
      </c>
      <c r="AG105" s="3" t="str">
        <f>IFERROR(__xludf.DUMMYFUNCTION("""COMPUTED_VALUE"""),"Baulera Alta - 750")</f>
        <v>Baulera Alta - 750</v>
      </c>
      <c r="AH105" s="3" t="str">
        <f>IFERROR(__xludf.DUMMYFUNCTION("""COMPUTED_VALUE"""),"Baulera Alta - 1500 - C/Laterales")</f>
        <v>Baulera Alta - 1500 - C/Laterales</v>
      </c>
      <c r="AI105" s="3" t="str">
        <f>IFERROR(__xludf.DUMMYFUNCTION("""COMPUTED_VALUE"""),"Baulera Extendida 1700 - C/Laterales")</f>
        <v>Baulera Extendida 1700 - C/Laterales</v>
      </c>
      <c r="AJ105" s="3" t="str">
        <f>IFERROR(__xludf.DUMMYFUNCTION("""COMPUTED_VALUE"""),"Taller Móvil - 1500 x 1500 x 1700")</f>
        <v>Taller Móvil - 1500 x 1500 x 1700</v>
      </c>
      <c r="AK105" s="3" t="str">
        <f>IFERROR(__xludf.DUMMYFUNCTION("""COMPUTED_VALUE"""),"Cajón Herramientas Standard Derecho")</f>
        <v>Cajón Herramientas Standard Derecho</v>
      </c>
      <c r="AL105" s="3" t="str">
        <f>IFERROR(__xludf.DUMMYFUNCTION("""COMPUTED_VALUE"""),"Cajón Herramientas Standard Izquierdo")</f>
        <v>Cajón Herramientas Standard Izquierdo</v>
      </c>
      <c r="AM105" s="3" t="str">
        <f>IFERROR(__xludf.DUMMYFUNCTION("""COMPUTED_VALUE"""),"Cajón Herramientas Corto Derecho")</f>
        <v>Cajón Herramientas Corto Derecho</v>
      </c>
      <c r="AN105" s="3" t="str">
        <f>IFERROR(__xludf.DUMMYFUNCTION("""COMPUTED_VALUE"""),"Cajón Herramientas Corto Izquierdo")</f>
        <v>Cajón Herramientas Corto Izquierdo</v>
      </c>
      <c r="AO105" s="3" t="str">
        <f>IFERROR(__xludf.DUMMYFUNCTION("""COMPUTED_VALUE"""),"Cajón Herramientas Mediano Derecho")</f>
        <v>Cajón Herramientas Mediano Derecho</v>
      </c>
      <c r="AP105" s="3" t="str">
        <f>IFERROR(__xludf.DUMMYFUNCTION("""COMPUTED_VALUE"""),"Cajón Herramientas Mediano Izquierdo")</f>
        <v>Cajón Herramientas Mediano Izquierdo</v>
      </c>
      <c r="AQ105" s="3" t="str">
        <f>IFERROR(__xludf.DUMMYFUNCTION("""COMPUTED_VALUE"""),"Chasis Acoplado 2 Ejes L3000")</f>
        <v>Chasis Acoplado 2 Ejes L3000</v>
      </c>
      <c r="AR105" s="3" t="str">
        <f>IFERROR(__xludf.DUMMYFUNCTION("""COMPUTED_VALUE"""),"Chasis Acoplado 2 Ejes L3750")</f>
        <v>Chasis Acoplado 2 Ejes L3750</v>
      </c>
      <c r="AS105" s="3" t="str">
        <f>IFERROR(__xludf.DUMMYFUNCTION("""COMPUTED_VALUE"""),"Chasis Acoplado 2 Ejes L4000")</f>
        <v>Chasis Acoplado 2 Ejes L4000</v>
      </c>
      <c r="AT105" s="3" t="str">
        <f>IFERROR(__xludf.DUMMYFUNCTION("""COMPUTED_VALUE"""),"Chasis Acoplado 2 Ejes L4000 Reforzado")</f>
        <v>Chasis Acoplado 2 Ejes L4000 Reforzado</v>
      </c>
      <c r="AU105" s="3" t="str">
        <f>IFERROR(__xludf.DUMMYFUNCTION("""COMPUTED_VALUE"""),"Chasis Acoplado 2 Ejes L4750")</f>
        <v>Chasis Acoplado 2 Ejes L4750</v>
      </c>
      <c r="AV105" s="3" t="str">
        <f>IFERROR(__xludf.DUMMYFUNCTION("""COMPUTED_VALUE"""),"Chasis Acoplado 2 Ejes L4750 Reforzado")</f>
        <v>Chasis Acoplado 2 Ejes L4750 Reforzado</v>
      </c>
      <c r="AW105" s="3" t="str">
        <f>IFERROR(__xludf.DUMMYFUNCTION("""COMPUTED_VALUE"""),"Chasis Acoplado 2 Ejes L4750 Reforzado R. Camion")</f>
        <v>Chasis Acoplado 2 Ejes L4750 Reforzado R. Camion</v>
      </c>
      <c r="AX105" s="3" t="str">
        <f>IFERROR(__xludf.DUMMYFUNCTION("""COMPUTED_VALUE"""),"Chasis Acoplado 2 Ejes L5000")</f>
        <v>Chasis Acoplado 2 Ejes L5000</v>
      </c>
      <c r="AY105" s="3" t="str">
        <f>IFERROR(__xludf.DUMMYFUNCTION("""COMPUTED_VALUE"""),"Chasis Acoplado 2 Ejes L5750")</f>
        <v>Chasis Acoplado 2 Ejes L5750</v>
      </c>
      <c r="AZ105" s="3" t="str">
        <f>IFERROR(__xludf.DUMMYFUNCTION("""COMPUTED_VALUE"""),"Chasis Acoplado 2 Ejes L6400")</f>
        <v>Chasis Acoplado 2 Ejes L6400</v>
      </c>
      <c r="BA105" s="3" t="str">
        <f>IFERROR(__xludf.DUMMYFUNCTION("""COMPUTED_VALUE"""),"Chasis Acoplado 2 Ejes L4500")</f>
        <v>Chasis Acoplado 2 Ejes L4500</v>
      </c>
      <c r="BB105" s="3" t="str">
        <f>IFERROR(__xludf.DUMMYFUNCTION("""COMPUTED_VALUE"""),"Chasis Acoplado 1 Eje L1500")</f>
        <v>Chasis Acoplado 1 Eje L1500</v>
      </c>
      <c r="BC105" s="3" t="str">
        <f>IFERROR(__xludf.DUMMYFUNCTION("""COMPUTED_VALUE"""),"Chasis Acoplado 1 Eje L1800")</f>
        <v>Chasis Acoplado 1 Eje L1800</v>
      </c>
      <c r="BD105" s="3" t="str">
        <f>IFERROR(__xludf.DUMMYFUNCTION("""COMPUTED_VALUE"""),"Chasis Acoplado 1 Eje L1400")</f>
        <v>Chasis Acoplado 1 Eje L1400</v>
      </c>
      <c r="BE105" s="3" t="str">
        <f>IFERROR(__xludf.DUMMYFUNCTION("""COMPUTED_VALUE"""),"Chasis Acoplado Balancin L3000")</f>
        <v>Chasis Acoplado Balancin L3000</v>
      </c>
      <c r="BF105" s="3" t="str">
        <f>IFERROR(__xludf.DUMMYFUNCTION("""COMPUTED_VALUE"""),"Chasis Acoplado Balancin L3000 Lanza Corta")</f>
        <v>Chasis Acoplado Balancin L3000 Lanza Corta</v>
      </c>
      <c r="BG105" s="3" t="str">
        <f>IFERROR(__xludf.DUMMYFUNCTION("""COMPUTED_VALUE"""),"Chasis Acoplado Balancin L2000 Lanza Corta")</f>
        <v>Chasis Acoplado Balancin L2000 Lanza Corta</v>
      </c>
      <c r="BH105" s="3" t="str">
        <f>IFERROR(__xludf.DUMMYFUNCTION("""COMPUTED_VALUE"""),"Chasis Acoplado Balancin L3200 Lanza Corta")</f>
        <v>Chasis Acoplado Balancin L3200 Lanza Corta</v>
      </c>
      <c r="BI105" s="3" t="str">
        <f>IFERROR(__xludf.DUMMYFUNCTION("""COMPUTED_VALUE"""),"Chasis Acoplado Balancin L3200 Lanza Recta")</f>
        <v>Chasis Acoplado Balancin L3200 Lanza Recta</v>
      </c>
      <c r="BJ105" s="3" t="str">
        <f>IFERROR(__xludf.DUMMYFUNCTION("""COMPUTED_VALUE"""),"Chasis Acoplado Balancin L3200 Bajo Lanza Recta")</f>
        <v>Chasis Acoplado Balancin L3200 Bajo Lanza Recta</v>
      </c>
      <c r="BK105" s="3" t="str">
        <f>IFERROR(__xludf.DUMMYFUNCTION("""COMPUTED_VALUE"""),"Tanque Plastico Horizontal 750 Lts")</f>
        <v>Tanque Plastico Horizontal 750 Lts</v>
      </c>
      <c r="BL105" s="3" t="str">
        <f>IFERROR(__xludf.DUMMYFUNCTION("""COMPUTED_VALUE"""),"Medio Tanque Plastico Superior 700 Lts")</f>
        <v>Medio Tanque Plastico Superior 700 Lts</v>
      </c>
      <c r="BM105" s="3" t="str">
        <f>IFERROR(__xludf.DUMMYFUNCTION("""COMPUTED_VALUE"""),"Paquete de Elasticos 50 mm x 8 mm x 10 Hojas L850")</f>
        <v>Paquete de Elasticos 50 mm x 8 mm x 10 Hojas L850</v>
      </c>
      <c r="BN105" s="3" t="str">
        <f>IFERROR(__xludf.DUMMYFUNCTION("""COMPUTED_VALUE"""),"Paquete de Elasticos 63 mm x 8 mm x 10 Hojas L950")</f>
        <v>Paquete de Elasticos 63 mm x 8 mm x 10 Hojas L950</v>
      </c>
      <c r="BO105" s="3" t="str">
        <f>IFERROR(__xludf.DUMMYFUNCTION("""COMPUTED_VALUE"""),"Paquete de Elasticos 50 mm x 7 mm x 9 Hojas L850")</f>
        <v>Paquete de Elasticos 50 mm x 7 mm x 9 Hojas L850</v>
      </c>
      <c r="BP105" s="3" t="str">
        <f>IFERROR(__xludf.DUMMYFUNCTION("""COMPUTED_VALUE"""),"Paquete de Elasticos 63 mm x 8 mm x 8 Hojas L850")</f>
        <v>Paquete de Elasticos 63 mm x 8 mm x 8 Hojas L850</v>
      </c>
      <c r="BQ105" s="3" t="str">
        <f>IFERROR(__xludf.DUMMYFUNCTION("""COMPUTED_VALUE"""),"Paquete de Elasticos 63 mm x 10 mm x 10 Hojas L950")</f>
        <v>Paquete de Elasticos 63 mm x 10 mm x 10 Hojas L950</v>
      </c>
      <c r="BR105" s="3" t="str">
        <f>IFERROR(__xludf.DUMMYFUNCTION("""COMPUTED_VALUE"""),"Paquete de Elasticos 63 mm x 10 mm x 13 Hojas L975")</f>
        <v>Paquete de Elasticos 63 mm x 10 mm x 13 Hojas L975</v>
      </c>
      <c r="BS105" s="3" t="str">
        <f>IFERROR(__xludf.DUMMYFUNCTION("""COMPUTED_VALUE"""),"Paquete de Elasticos 50 mm x 7 mm x 9 Hojas L650")</f>
        <v>Paquete de Elasticos 50 mm x 7 mm x 9 Hojas L650</v>
      </c>
      <c r="BT105" s="3" t="str">
        <f>IFERROR(__xludf.DUMMYFUNCTION("""COMPUTED_VALUE"""),"Eje Acoplado 2"" x 1600 (06/08) Agrícola Centro 92")</f>
        <v>Eje Acoplado 2" x 1600 (06/08) Agrícola Centro 92</v>
      </c>
      <c r="BU105" s="3" t="str">
        <f>IFERROR(__xludf.DUMMYFUNCTION("""COMPUTED_VALUE"""),"Eje Acoplado 2 1/2"" x 1600 (07/09) Agrícola Centro 92")</f>
        <v>Eje Acoplado 2 1/2" x 1600 (07/09) Agrícola Centro 92</v>
      </c>
      <c r="BV105" s="3" t="str">
        <f>IFERROR(__xludf.DUMMYFUNCTION("""COMPUTED_VALUE"""),"Eje Acoplado 2 1/2"" x 1600 (09/11) Agrícola Centro 150")</f>
        <v>Eje Acoplado 2 1/2" x 1600 (09/11) Agrícola Centro 150</v>
      </c>
      <c r="BW105" s="3" t="str">
        <f>IFERROR(__xludf.DUMMYFUNCTION("""COMPUTED_VALUE"""),"Eje Acoplado 3"" x 1600 (10/13) Agrícola Centro 150")</f>
        <v>Eje Acoplado 3" x 1600 (10/13) Agrícola Centro 150</v>
      </c>
      <c r="BX105" s="3" t="str">
        <f>IFERROR(__xludf.DUMMYFUNCTION("""COMPUTED_VALUE"""),"Eje Acoplado 2 1/2"" x 2140 (07/09) Agrícola Centro 92")</f>
        <v>Eje Acoplado 2 1/2" x 2140 (07/09) Agrícola Centro 92</v>
      </c>
      <c r="BY105" s="3" t="str">
        <f>IFERROR(__xludf.DUMMYFUNCTION("""COMPUTED_VALUE"""),"Eje Acoplado 2"" x 1400 (06/08) Agrícola Centro 92")</f>
        <v>Eje Acoplado 2" x 1400 (06/08) Agrícola Centro 92</v>
      </c>
      <c r="BZ105" s="3" t="str">
        <f>IFERROR(__xludf.DUMMYFUNCTION("""COMPUTED_VALUE"""),"Eje Acoplado 2 1/2"" x 1500 (07/09) Agrícola Centro 92")</f>
        <v>Eje Acoplado 2 1/2" x 1500 (07/09) Agrícola Centro 92</v>
      </c>
      <c r="CA105" s="3" t="str">
        <f>IFERROR(__xludf.DUMMYFUNCTION("""COMPUTED_VALUE"""),"Eje Acoplado 2 1/2"" x 2000 (07/09) Agrícola Centro 92")</f>
        <v>Eje Acoplado 2 1/2" x 2000 (07/09) Agrícola Centro 92</v>
      </c>
      <c r="CB105" s="3" t="str">
        <f>IFERROR(__xludf.DUMMYFUNCTION("""COMPUTED_VALUE"""),"Eje Acoplado 2 1/2"" x 2100 (09/11) Agrícola Centro 150")</f>
        <v>Eje Acoplado 2 1/2" x 2100 (09/11) Agrícola Centro 150</v>
      </c>
      <c r="CC105" s="3" t="str">
        <f>IFERROR(__xludf.DUMMYFUNCTION("""COMPUTED_VALUE"""),"Llanta 16"" Simple Agrícola Centro 92")</f>
        <v>Llanta 16" Simple Agrícola Centro 92</v>
      </c>
      <c r="CD105" s="3" t="str">
        <f>IFERROR(__xludf.DUMMYFUNCTION("""COMPUTED_VALUE"""),"Llanta 16"" Dual Agrícola Centro 92")</f>
        <v>Llanta 16" Dual Agrícola Centro 92</v>
      </c>
      <c r="CE105" s="3" t="str">
        <f>IFERROR(__xludf.DUMMYFUNCTION("""COMPUTED_VALUE"""),"Llanta 17"" Simple Agrícola Centro 92")</f>
        <v>Llanta 17" Simple Agrícola Centro 92</v>
      </c>
      <c r="CF105" s="3" t="str">
        <f>IFERROR(__xludf.DUMMYFUNCTION("""COMPUTED_VALUE"""),"Llanta 17"" Dual Agrícola Centro 92")</f>
        <v>Llanta 17" Dual Agrícola Centro 92</v>
      </c>
      <c r="CG105" s="3" t="str">
        <f>IFERROR(__xludf.DUMMYFUNCTION("""COMPUTED_VALUE"""),"Llanta 16"" Dual Agrícola Centro 152")</f>
        <v>Llanta 16" Dual Agrícola Centro 152</v>
      </c>
      <c r="CH105" s="3" t="str">
        <f>IFERROR(__xludf.DUMMYFUNCTION("""COMPUTED_VALUE"""),"Llanta 17"" Dual Agrícola Centro 152")</f>
        <v>Llanta 17" Dual Agrícola Centro 152</v>
      </c>
      <c r="CI105" s="3" t="str">
        <f>IFERROR(__xludf.DUMMYFUNCTION("""COMPUTED_VALUE"""),"Eje Acoplado 2"" x 1600 (05/07) Agrícola Centro 92")</f>
        <v>Eje Acoplado 2" x 1600 (05/07) Agrícola Centro 92</v>
      </c>
      <c r="CJ105" s="3" t="str">
        <f>IFERROR(__xludf.DUMMYFUNCTION("""COMPUTED_VALUE"""),"Paquete de Elásticos 50 mm x 8 mm x 12 Hojas")</f>
        <v>Paquete de Elásticos 50 mm x 8 mm x 12 Hojas</v>
      </c>
      <c r="CK105" s="3" t="str">
        <f>IFERROR(__xludf.DUMMYFUNCTION("""COMPUTED_VALUE"""),"Plataforma Playo 4.00 x 1.90 x 0.45 Lateral Simple Baranda Fija")</f>
        <v>Plataforma Playo 4.00 x 1.90 x 0.45 Lateral Simple Baranda Fija</v>
      </c>
      <c r="CL105" s="3" t="str">
        <f>IFERROR(__xludf.DUMMYFUNCTION("""COMPUTED_VALUE"""),"Plataforma Playo 4.00 x 1.90 x 0.45 Lateral Simple Baranda Ventilada")</f>
        <v>Plataforma Playo 4.00 x 1.90 x 0.45 Lateral Simple Baranda Ventilada</v>
      </c>
      <c r="CM105" s="3" t="str">
        <f>IFERROR(__xludf.DUMMYFUNCTION("""COMPUTED_VALUE"""),"Plataforma Playo 4.00 x 1.90 x 0.45 Lateral Doble Baranda Ventilada")</f>
        <v>Plataforma Playo 4.00 x 1.90 x 0.45 Lateral Doble Baranda Ventilada</v>
      </c>
      <c r="CN105" s="3" t="str">
        <f>IFERROR(__xludf.DUMMYFUNCTION("""COMPUTED_VALUE"""),"Plataforma Playo 4.00 x 1.90 x 0.45 Lateral Doble Baranda Fija")</f>
        <v>Plataforma Playo 4.00 x 1.90 x 0.45 Lateral Doble Baranda Fija</v>
      </c>
      <c r="CO105" s="3" t="str">
        <f>IFERROR(__xludf.DUMMYFUNCTION("""COMPUTED_VALUE"""),"Plataforma Playo 4.00 x 1.90 x 0.72 Lateral Simple Baranda Fija")</f>
        <v>Plataforma Playo 4.00 x 1.90 x 0.72 Lateral Simple Baranda Fija</v>
      </c>
      <c r="CP105" s="3" t="str">
        <f>IFERROR(__xludf.DUMMYFUNCTION("""COMPUTED_VALUE"""),"Plataforma Playo 4.00 x 1.90 x 0.72 Lateral Doble Baranda Fija")</f>
        <v>Plataforma Playo 4.00 x 1.90 x 0.72 Lateral Doble Baranda Fija</v>
      </c>
      <c r="CQ105" s="3" t="str">
        <f>IFERROR(__xludf.DUMMYFUNCTION("""COMPUTED_VALUE"""),"Plataforma Playo 5.00 x 2.20 x 0.60 Lateral Doble Trasera Rebatible")</f>
        <v>Plataforma Playo 5.00 x 2.20 x 0.60 Lateral Doble Trasera Rebatible</v>
      </c>
      <c r="CR105" s="3" t="str">
        <f>IFERROR(__xludf.DUMMYFUNCTION("""COMPUTED_VALUE"""),"Plataforma Playo 5.00 x 2.20 x 0.60 Lateral Doble Baranda Fija C/Toldo")</f>
        <v>Plataforma Playo 5.00 x 2.20 x 0.60 Lateral Doble Baranda Fija C/Toldo</v>
      </c>
      <c r="CS105" s="3" t="str">
        <f>IFERROR(__xludf.DUMMYFUNCTION("""COMPUTED_VALUE"""),"Plataforma Playo 3.00 x 1.90 x 0.45 Lateral Simple Baranda Fija")</f>
        <v>Plataforma Playo 3.00 x 1.90 x 0.45 Lateral Simple Baranda Fija</v>
      </c>
      <c r="CT105" s="3" t="str">
        <f>IFERROR(__xludf.DUMMYFUNCTION("""COMPUTED_VALUE"""),"Plataforma Playo 3.00 x 1.90 x 0.45 Lateral Simple Baranda Ventilada")</f>
        <v>Plataforma Playo 3.00 x 1.90 x 0.45 Lateral Simple Baranda Ventilada</v>
      </c>
      <c r="CU105" s="3" t="str">
        <f>IFERROR(__xludf.DUMMYFUNCTION("""COMPUTED_VALUE"""),"Plataforma Playo 2.00 x 1.90 x 0.45 Lateral Simple Baranda Fija")</f>
        <v>Plataforma Playo 2.00 x 1.90 x 0.45 Lateral Simple Baranda Fija</v>
      </c>
      <c r="CV105" s="3" t="str">
        <f>IFERROR(__xludf.DUMMYFUNCTION("""COMPUTED_VALUE"""),"Plataforma Playo 5.00 x 1.90 x 0.60 Lateral Doble Baranda Fija")</f>
        <v>Plataforma Playo 5.00 x 1.90 x 0.60 Lateral Doble Baranda Fija</v>
      </c>
      <c r="CW105" s="3" t="str">
        <f>IFERROR(__xludf.DUMMYFUNCTION("""COMPUTED_VALUE"""),"Plataforma Playo 6.40 x 2.70 x 0.72 Lateral Doble Baranda Fija")</f>
        <v>Plataforma Playo 6.40 x 2.70 x 0.72 Lateral Doble Baranda Fija</v>
      </c>
      <c r="CX105" s="3" t="str">
        <f>IFERROR(__xludf.DUMMYFUNCTION("""COMPUTED_VALUE"""),"Chasis Acoplado Balancin L4000 Lanza Recta")</f>
        <v>Chasis Acoplado Balancin L4000 Lanza Recta</v>
      </c>
      <c r="CY105" s="3" t="str">
        <f>IFERROR(__xludf.DUMMYFUNCTION("""COMPUTED_VALUE"""),"Llanta simple Agrícola 750x20 centro 152")</f>
        <v>Llanta simple Agrícola 750x20 centro 152</v>
      </c>
      <c r="CZ105" s="3" t="str">
        <f>IFERROR(__xludf.DUMMYFUNCTION("""COMPUTED_VALUE"""),"Cajón de Herramientas Mediano adelante")</f>
        <v>Cajón de Herramientas Mediano adelante</v>
      </c>
      <c r="DA105" s="3" t="str">
        <f>IFERROR(__xludf.DUMMYFUNCTION("""COMPUTED_VALUE"""),"Llanta 15"" Simple Agrícola Centro 92")</f>
        <v>Llanta 15" Simple Agrícola Centro 92</v>
      </c>
    </row>
    <row r="106" hidden="1">
      <c r="A106" s="38">
        <f t="shared" si="1"/>
        <v>105</v>
      </c>
      <c r="B106" s="38">
        <f>IF(F106="","",SUMIF(Prearmados!E:E,F106,Prearmados!A:A))</f>
        <v>20</v>
      </c>
      <c r="C106" s="38">
        <f>IF(F106="","",SUMIF(Productos!E:E,G106,Productos!A:A))</f>
        <v>67</v>
      </c>
      <c r="D106" s="83" t="str">
        <f t="array" ref="D106">IF(OR(F106="",F106="Seleccionar.."),"",XLOOKUP(F106,Prearmados!E:E,Prearmados!F:F,"",0,1))</f>
        <v>Acoplados Rurales</v>
      </c>
      <c r="E106" s="83">
        <f>IF(H106="","",SUMIF(Precio_Productos!K:K,C106,Precio_Productos!J:J)*H106)</f>
        <v>292579</v>
      </c>
      <c r="F106" s="84" t="s">
        <v>343</v>
      </c>
      <c r="G106" s="84" t="s">
        <v>81</v>
      </c>
      <c r="H106" s="13">
        <v>1.0</v>
      </c>
      <c r="P106" s="3" t="str">
        <f>IFERROR(__xludf.DUMMYFUNCTION("IF(OR(F106="""",F106=""Seleccionar..""),"""",TRANSPOSE(FILTER(Productos!E:E,(Productos!F:F=D106)+(Productos!F:F=XLOOKUP(D106,Implementos!B:B,Implementos!C:C,""-"",0,1)))))"),"Tanque Combustible 1100 lts Bajo")</f>
        <v>Tanque Combustible 1100 lts Bajo</v>
      </c>
      <c r="Q106" s="3" t="str">
        <f>IFERROR(__xludf.DUMMYFUNCTION("""COMPUTED_VALUE"""),"Tanque Combustible 1500 lts Standard")</f>
        <v>Tanque Combustible 1500 lts Standard</v>
      </c>
      <c r="R106" s="3" t="str">
        <f>IFERROR(__xludf.DUMMYFUNCTION("""COMPUTED_VALUE"""),"Tanque Combustible 1800 lts Standard")</f>
        <v>Tanque Combustible 1800 lts Standard</v>
      </c>
      <c r="S106" s="3" t="str">
        <f>IFERROR(__xludf.DUMMYFUNCTION("""COMPUTED_VALUE"""),"Tanque Combustible 2000 lts Bajo")</f>
        <v>Tanque Combustible 2000 lts Bajo</v>
      </c>
      <c r="T106" s="3" t="str">
        <f>IFERROR(__xludf.DUMMYFUNCTION("""COMPUTED_VALUE"""),"Tanque Combustible 2000 lts Standard")</f>
        <v>Tanque Combustible 2000 lts Standard</v>
      </c>
      <c r="U106" s="3" t="str">
        <f>IFERROR(__xludf.DUMMYFUNCTION("""COMPUTED_VALUE"""),"Tanque Combustible 3000 lts Standard")</f>
        <v>Tanque Combustible 3000 lts Standard</v>
      </c>
      <c r="V106" s="3" t="str">
        <f>IFERROR(__xludf.DUMMYFUNCTION("""COMPUTED_VALUE"""),"Tanque Combustible 3000 lts Alto")</f>
        <v>Tanque Combustible 3000 lts Alto</v>
      </c>
      <c r="W106" s="3" t="str">
        <f>IFERROR(__xludf.DUMMYFUNCTION("""COMPUTED_VALUE"""),"Tanque Combustible 4000 lts Standard")</f>
        <v>Tanque Combustible 4000 lts Standard</v>
      </c>
      <c r="X106" s="3" t="str">
        <f>IFERROR(__xludf.DUMMYFUNCTION("""COMPUTED_VALUE"""),"Tanque Combustible 5000 lts Standard")</f>
        <v>Tanque Combustible 5000 lts Standard</v>
      </c>
      <c r="Y106" s="3" t="str">
        <f>IFERROR(__xludf.DUMMYFUNCTION("""COMPUTED_VALUE"""),"Tanque Combustible 5000 lts Alto")</f>
        <v>Tanque Combustible 5000 lts Alto</v>
      </c>
      <c r="Z106" s="3" t="str">
        <f>IFERROR(__xludf.DUMMYFUNCTION("""COMPUTED_VALUE"""),"Tanque Combustible 2000 lts Alto")</f>
        <v>Tanque Combustible 2000 lts Alto</v>
      </c>
      <c r="AA106" s="3" t="str">
        <f>IFERROR(__xludf.DUMMYFUNCTION("""COMPUTED_VALUE"""),"Tanque Combustible 4000 lts Alto")</f>
        <v>Tanque Combustible 4000 lts Alto</v>
      </c>
      <c r="AB106" s="3" t="str">
        <f>IFERROR(__xludf.DUMMYFUNCTION("""COMPUTED_VALUE"""),"Baulera Standard - 750")</f>
        <v>Baulera Standard - 750</v>
      </c>
      <c r="AC106" s="3" t="str">
        <f>IFERROR(__xludf.DUMMYFUNCTION("""COMPUTED_VALUE"""),"Baulera Standard - 1700 - C/Laterales")</f>
        <v>Baulera Standard - 1700 - C/Laterales</v>
      </c>
      <c r="AD106" s="3" t="str">
        <f>IFERROR(__xludf.DUMMYFUNCTION("""COMPUTED_VALUE"""),"Baulera Standard - 1000 - C/Laterales")</f>
        <v>Baulera Standard - 1000 - C/Laterales</v>
      </c>
      <c r="AE106" s="3" t="str">
        <f>IFERROR(__xludf.DUMMYFUNCTION("""COMPUTED_VALUE"""),"Baulera Standard - 750 - C/Laterales")</f>
        <v>Baulera Standard - 750 - C/Laterales</v>
      </c>
      <c r="AF106" s="3" t="str">
        <f>IFERROR(__xludf.DUMMYFUNCTION("""COMPUTED_VALUE"""),"Baulera Standard - 1300 - C/Laterales")</f>
        <v>Baulera Standard - 1300 - C/Laterales</v>
      </c>
      <c r="AG106" s="3" t="str">
        <f>IFERROR(__xludf.DUMMYFUNCTION("""COMPUTED_VALUE"""),"Baulera Alta - 750")</f>
        <v>Baulera Alta - 750</v>
      </c>
      <c r="AH106" s="3" t="str">
        <f>IFERROR(__xludf.DUMMYFUNCTION("""COMPUTED_VALUE"""),"Baulera Alta - 1500 - C/Laterales")</f>
        <v>Baulera Alta - 1500 - C/Laterales</v>
      </c>
      <c r="AI106" s="3" t="str">
        <f>IFERROR(__xludf.DUMMYFUNCTION("""COMPUTED_VALUE"""),"Baulera Extendida 1700 - C/Laterales")</f>
        <v>Baulera Extendida 1700 - C/Laterales</v>
      </c>
      <c r="AJ106" s="3" t="str">
        <f>IFERROR(__xludf.DUMMYFUNCTION("""COMPUTED_VALUE"""),"Taller Móvil - 1500 x 1500 x 1700")</f>
        <v>Taller Móvil - 1500 x 1500 x 1700</v>
      </c>
      <c r="AK106" s="3" t="str">
        <f>IFERROR(__xludf.DUMMYFUNCTION("""COMPUTED_VALUE"""),"Cajón Herramientas Standard Derecho")</f>
        <v>Cajón Herramientas Standard Derecho</v>
      </c>
      <c r="AL106" s="3" t="str">
        <f>IFERROR(__xludf.DUMMYFUNCTION("""COMPUTED_VALUE"""),"Cajón Herramientas Standard Izquierdo")</f>
        <v>Cajón Herramientas Standard Izquierdo</v>
      </c>
      <c r="AM106" s="3" t="str">
        <f>IFERROR(__xludf.DUMMYFUNCTION("""COMPUTED_VALUE"""),"Cajón Herramientas Corto Derecho")</f>
        <v>Cajón Herramientas Corto Derecho</v>
      </c>
      <c r="AN106" s="3" t="str">
        <f>IFERROR(__xludf.DUMMYFUNCTION("""COMPUTED_VALUE"""),"Cajón Herramientas Corto Izquierdo")</f>
        <v>Cajón Herramientas Corto Izquierdo</v>
      </c>
      <c r="AO106" s="3" t="str">
        <f>IFERROR(__xludf.DUMMYFUNCTION("""COMPUTED_VALUE"""),"Cajón Herramientas Mediano Derecho")</f>
        <v>Cajón Herramientas Mediano Derecho</v>
      </c>
      <c r="AP106" s="3" t="str">
        <f>IFERROR(__xludf.DUMMYFUNCTION("""COMPUTED_VALUE"""),"Cajón Herramientas Mediano Izquierdo")</f>
        <v>Cajón Herramientas Mediano Izquierdo</v>
      </c>
      <c r="AQ106" s="3" t="str">
        <f>IFERROR(__xludf.DUMMYFUNCTION("""COMPUTED_VALUE"""),"Chasis Acoplado 2 Ejes L3000")</f>
        <v>Chasis Acoplado 2 Ejes L3000</v>
      </c>
      <c r="AR106" s="3" t="str">
        <f>IFERROR(__xludf.DUMMYFUNCTION("""COMPUTED_VALUE"""),"Chasis Acoplado 2 Ejes L3750")</f>
        <v>Chasis Acoplado 2 Ejes L3750</v>
      </c>
      <c r="AS106" s="3" t="str">
        <f>IFERROR(__xludf.DUMMYFUNCTION("""COMPUTED_VALUE"""),"Chasis Acoplado 2 Ejes L4000")</f>
        <v>Chasis Acoplado 2 Ejes L4000</v>
      </c>
      <c r="AT106" s="3" t="str">
        <f>IFERROR(__xludf.DUMMYFUNCTION("""COMPUTED_VALUE"""),"Chasis Acoplado 2 Ejes L4000 Reforzado")</f>
        <v>Chasis Acoplado 2 Ejes L4000 Reforzado</v>
      </c>
      <c r="AU106" s="3" t="str">
        <f>IFERROR(__xludf.DUMMYFUNCTION("""COMPUTED_VALUE"""),"Chasis Acoplado 2 Ejes L4750")</f>
        <v>Chasis Acoplado 2 Ejes L4750</v>
      </c>
      <c r="AV106" s="3" t="str">
        <f>IFERROR(__xludf.DUMMYFUNCTION("""COMPUTED_VALUE"""),"Chasis Acoplado 2 Ejes L4750 Reforzado")</f>
        <v>Chasis Acoplado 2 Ejes L4750 Reforzado</v>
      </c>
      <c r="AW106" s="3" t="str">
        <f>IFERROR(__xludf.DUMMYFUNCTION("""COMPUTED_VALUE"""),"Chasis Acoplado 2 Ejes L4750 Reforzado R. Camion")</f>
        <v>Chasis Acoplado 2 Ejes L4750 Reforzado R. Camion</v>
      </c>
      <c r="AX106" s="3" t="str">
        <f>IFERROR(__xludf.DUMMYFUNCTION("""COMPUTED_VALUE"""),"Chasis Acoplado 2 Ejes L5000")</f>
        <v>Chasis Acoplado 2 Ejes L5000</v>
      </c>
      <c r="AY106" s="3" t="str">
        <f>IFERROR(__xludf.DUMMYFUNCTION("""COMPUTED_VALUE"""),"Chasis Acoplado 2 Ejes L5750")</f>
        <v>Chasis Acoplado 2 Ejes L5750</v>
      </c>
      <c r="AZ106" s="3" t="str">
        <f>IFERROR(__xludf.DUMMYFUNCTION("""COMPUTED_VALUE"""),"Chasis Acoplado 2 Ejes L6400")</f>
        <v>Chasis Acoplado 2 Ejes L6400</v>
      </c>
      <c r="BA106" s="3" t="str">
        <f>IFERROR(__xludf.DUMMYFUNCTION("""COMPUTED_VALUE"""),"Chasis Acoplado 2 Ejes L4500")</f>
        <v>Chasis Acoplado 2 Ejes L4500</v>
      </c>
      <c r="BB106" s="3" t="str">
        <f>IFERROR(__xludf.DUMMYFUNCTION("""COMPUTED_VALUE"""),"Chasis Acoplado 1 Eje L1500")</f>
        <v>Chasis Acoplado 1 Eje L1500</v>
      </c>
      <c r="BC106" s="3" t="str">
        <f>IFERROR(__xludf.DUMMYFUNCTION("""COMPUTED_VALUE"""),"Chasis Acoplado 1 Eje L1800")</f>
        <v>Chasis Acoplado 1 Eje L1800</v>
      </c>
      <c r="BD106" s="3" t="str">
        <f>IFERROR(__xludf.DUMMYFUNCTION("""COMPUTED_VALUE"""),"Chasis Acoplado 1 Eje L1400")</f>
        <v>Chasis Acoplado 1 Eje L1400</v>
      </c>
      <c r="BE106" s="3" t="str">
        <f>IFERROR(__xludf.DUMMYFUNCTION("""COMPUTED_VALUE"""),"Chasis Acoplado Balancin L3000")</f>
        <v>Chasis Acoplado Balancin L3000</v>
      </c>
      <c r="BF106" s="3" t="str">
        <f>IFERROR(__xludf.DUMMYFUNCTION("""COMPUTED_VALUE"""),"Chasis Acoplado Balancin L3000 Lanza Corta")</f>
        <v>Chasis Acoplado Balancin L3000 Lanza Corta</v>
      </c>
      <c r="BG106" s="3" t="str">
        <f>IFERROR(__xludf.DUMMYFUNCTION("""COMPUTED_VALUE"""),"Chasis Acoplado Balancin L2000 Lanza Corta")</f>
        <v>Chasis Acoplado Balancin L2000 Lanza Corta</v>
      </c>
      <c r="BH106" s="3" t="str">
        <f>IFERROR(__xludf.DUMMYFUNCTION("""COMPUTED_VALUE"""),"Chasis Acoplado Balancin L3200 Lanza Corta")</f>
        <v>Chasis Acoplado Balancin L3200 Lanza Corta</v>
      </c>
      <c r="BI106" s="3" t="str">
        <f>IFERROR(__xludf.DUMMYFUNCTION("""COMPUTED_VALUE"""),"Chasis Acoplado Balancin L3200 Lanza Recta")</f>
        <v>Chasis Acoplado Balancin L3200 Lanza Recta</v>
      </c>
      <c r="BJ106" s="3" t="str">
        <f>IFERROR(__xludf.DUMMYFUNCTION("""COMPUTED_VALUE"""),"Chasis Acoplado Balancin L3200 Bajo Lanza Recta")</f>
        <v>Chasis Acoplado Balancin L3200 Bajo Lanza Recta</v>
      </c>
      <c r="BK106" s="3" t="str">
        <f>IFERROR(__xludf.DUMMYFUNCTION("""COMPUTED_VALUE"""),"Tanque Plastico Horizontal 750 Lts")</f>
        <v>Tanque Plastico Horizontal 750 Lts</v>
      </c>
      <c r="BL106" s="3" t="str">
        <f>IFERROR(__xludf.DUMMYFUNCTION("""COMPUTED_VALUE"""),"Medio Tanque Plastico Superior 700 Lts")</f>
        <v>Medio Tanque Plastico Superior 700 Lts</v>
      </c>
      <c r="BM106" s="3" t="str">
        <f>IFERROR(__xludf.DUMMYFUNCTION("""COMPUTED_VALUE"""),"Paquete de Elasticos 50 mm x 8 mm x 10 Hojas L850")</f>
        <v>Paquete de Elasticos 50 mm x 8 mm x 10 Hojas L850</v>
      </c>
      <c r="BN106" s="3" t="str">
        <f>IFERROR(__xludf.DUMMYFUNCTION("""COMPUTED_VALUE"""),"Paquete de Elasticos 63 mm x 8 mm x 10 Hojas L950")</f>
        <v>Paquete de Elasticos 63 mm x 8 mm x 10 Hojas L950</v>
      </c>
      <c r="BO106" s="3" t="str">
        <f>IFERROR(__xludf.DUMMYFUNCTION("""COMPUTED_VALUE"""),"Paquete de Elasticos 50 mm x 7 mm x 9 Hojas L850")</f>
        <v>Paquete de Elasticos 50 mm x 7 mm x 9 Hojas L850</v>
      </c>
      <c r="BP106" s="3" t="str">
        <f>IFERROR(__xludf.DUMMYFUNCTION("""COMPUTED_VALUE"""),"Paquete de Elasticos 63 mm x 8 mm x 8 Hojas L850")</f>
        <v>Paquete de Elasticos 63 mm x 8 mm x 8 Hojas L850</v>
      </c>
      <c r="BQ106" s="3" t="str">
        <f>IFERROR(__xludf.DUMMYFUNCTION("""COMPUTED_VALUE"""),"Paquete de Elasticos 63 mm x 10 mm x 10 Hojas L950")</f>
        <v>Paquete de Elasticos 63 mm x 10 mm x 10 Hojas L950</v>
      </c>
      <c r="BR106" s="3" t="str">
        <f>IFERROR(__xludf.DUMMYFUNCTION("""COMPUTED_VALUE"""),"Paquete de Elasticos 63 mm x 10 mm x 13 Hojas L975")</f>
        <v>Paquete de Elasticos 63 mm x 10 mm x 13 Hojas L975</v>
      </c>
      <c r="BS106" s="3" t="str">
        <f>IFERROR(__xludf.DUMMYFUNCTION("""COMPUTED_VALUE"""),"Paquete de Elasticos 50 mm x 7 mm x 9 Hojas L650")</f>
        <v>Paquete de Elasticos 50 mm x 7 mm x 9 Hojas L650</v>
      </c>
      <c r="BT106" s="3" t="str">
        <f>IFERROR(__xludf.DUMMYFUNCTION("""COMPUTED_VALUE"""),"Eje Acoplado 2"" x 1600 (06/08) Agrícola Centro 92")</f>
        <v>Eje Acoplado 2" x 1600 (06/08) Agrícola Centro 92</v>
      </c>
      <c r="BU106" s="3" t="str">
        <f>IFERROR(__xludf.DUMMYFUNCTION("""COMPUTED_VALUE"""),"Eje Acoplado 2 1/2"" x 1600 (07/09) Agrícola Centro 92")</f>
        <v>Eje Acoplado 2 1/2" x 1600 (07/09) Agrícola Centro 92</v>
      </c>
      <c r="BV106" s="3" t="str">
        <f>IFERROR(__xludf.DUMMYFUNCTION("""COMPUTED_VALUE"""),"Eje Acoplado 2 1/2"" x 1600 (09/11) Agrícola Centro 150")</f>
        <v>Eje Acoplado 2 1/2" x 1600 (09/11) Agrícola Centro 150</v>
      </c>
      <c r="BW106" s="3" t="str">
        <f>IFERROR(__xludf.DUMMYFUNCTION("""COMPUTED_VALUE"""),"Eje Acoplado 3"" x 1600 (10/13) Agrícola Centro 150")</f>
        <v>Eje Acoplado 3" x 1600 (10/13) Agrícola Centro 150</v>
      </c>
      <c r="BX106" s="3" t="str">
        <f>IFERROR(__xludf.DUMMYFUNCTION("""COMPUTED_VALUE"""),"Eje Acoplado 2 1/2"" x 2140 (07/09) Agrícola Centro 92")</f>
        <v>Eje Acoplado 2 1/2" x 2140 (07/09) Agrícola Centro 92</v>
      </c>
      <c r="BY106" s="3" t="str">
        <f>IFERROR(__xludf.DUMMYFUNCTION("""COMPUTED_VALUE"""),"Eje Acoplado 2"" x 1400 (06/08) Agrícola Centro 92")</f>
        <v>Eje Acoplado 2" x 1400 (06/08) Agrícola Centro 92</v>
      </c>
      <c r="BZ106" s="3" t="str">
        <f>IFERROR(__xludf.DUMMYFUNCTION("""COMPUTED_VALUE"""),"Eje Acoplado 2 1/2"" x 1500 (07/09) Agrícola Centro 92")</f>
        <v>Eje Acoplado 2 1/2" x 1500 (07/09) Agrícola Centro 92</v>
      </c>
      <c r="CA106" s="3" t="str">
        <f>IFERROR(__xludf.DUMMYFUNCTION("""COMPUTED_VALUE"""),"Eje Acoplado 2 1/2"" x 2000 (07/09) Agrícola Centro 92")</f>
        <v>Eje Acoplado 2 1/2" x 2000 (07/09) Agrícola Centro 92</v>
      </c>
      <c r="CB106" s="3" t="str">
        <f>IFERROR(__xludf.DUMMYFUNCTION("""COMPUTED_VALUE"""),"Eje Acoplado 2 1/2"" x 2100 (09/11) Agrícola Centro 150")</f>
        <v>Eje Acoplado 2 1/2" x 2100 (09/11) Agrícola Centro 150</v>
      </c>
      <c r="CC106" s="3" t="str">
        <f>IFERROR(__xludf.DUMMYFUNCTION("""COMPUTED_VALUE"""),"Llanta 16"" Simple Agrícola Centro 92")</f>
        <v>Llanta 16" Simple Agrícola Centro 92</v>
      </c>
      <c r="CD106" s="3" t="str">
        <f>IFERROR(__xludf.DUMMYFUNCTION("""COMPUTED_VALUE"""),"Llanta 16"" Dual Agrícola Centro 92")</f>
        <v>Llanta 16" Dual Agrícola Centro 92</v>
      </c>
      <c r="CE106" s="3" t="str">
        <f>IFERROR(__xludf.DUMMYFUNCTION("""COMPUTED_VALUE"""),"Llanta 17"" Simple Agrícola Centro 92")</f>
        <v>Llanta 17" Simple Agrícola Centro 92</v>
      </c>
      <c r="CF106" s="3" t="str">
        <f>IFERROR(__xludf.DUMMYFUNCTION("""COMPUTED_VALUE"""),"Llanta 17"" Dual Agrícola Centro 92")</f>
        <v>Llanta 17" Dual Agrícola Centro 92</v>
      </c>
      <c r="CG106" s="3" t="str">
        <f>IFERROR(__xludf.DUMMYFUNCTION("""COMPUTED_VALUE"""),"Llanta 16"" Dual Agrícola Centro 152")</f>
        <v>Llanta 16" Dual Agrícola Centro 152</v>
      </c>
      <c r="CH106" s="3" t="str">
        <f>IFERROR(__xludf.DUMMYFUNCTION("""COMPUTED_VALUE"""),"Llanta 17"" Dual Agrícola Centro 152")</f>
        <v>Llanta 17" Dual Agrícola Centro 152</v>
      </c>
      <c r="CI106" s="3" t="str">
        <f>IFERROR(__xludf.DUMMYFUNCTION("""COMPUTED_VALUE"""),"Eje Acoplado 2"" x 1600 (05/07) Agrícola Centro 92")</f>
        <v>Eje Acoplado 2" x 1600 (05/07) Agrícola Centro 92</v>
      </c>
      <c r="CJ106" s="3" t="str">
        <f>IFERROR(__xludf.DUMMYFUNCTION("""COMPUTED_VALUE"""),"Paquete de Elásticos 50 mm x 8 mm x 12 Hojas")</f>
        <v>Paquete de Elásticos 50 mm x 8 mm x 12 Hojas</v>
      </c>
      <c r="CK106" s="3" t="str">
        <f>IFERROR(__xludf.DUMMYFUNCTION("""COMPUTED_VALUE"""),"Plataforma Playo 4.00 x 1.90 x 0.45 Lateral Simple Baranda Fija")</f>
        <v>Plataforma Playo 4.00 x 1.90 x 0.45 Lateral Simple Baranda Fija</v>
      </c>
      <c r="CL106" s="3" t="str">
        <f>IFERROR(__xludf.DUMMYFUNCTION("""COMPUTED_VALUE"""),"Plataforma Playo 4.00 x 1.90 x 0.45 Lateral Simple Baranda Ventilada")</f>
        <v>Plataforma Playo 4.00 x 1.90 x 0.45 Lateral Simple Baranda Ventilada</v>
      </c>
      <c r="CM106" s="3" t="str">
        <f>IFERROR(__xludf.DUMMYFUNCTION("""COMPUTED_VALUE"""),"Plataforma Playo 4.00 x 1.90 x 0.45 Lateral Doble Baranda Ventilada")</f>
        <v>Plataforma Playo 4.00 x 1.90 x 0.45 Lateral Doble Baranda Ventilada</v>
      </c>
      <c r="CN106" s="3" t="str">
        <f>IFERROR(__xludf.DUMMYFUNCTION("""COMPUTED_VALUE"""),"Plataforma Playo 4.00 x 1.90 x 0.45 Lateral Doble Baranda Fija")</f>
        <v>Plataforma Playo 4.00 x 1.90 x 0.45 Lateral Doble Baranda Fija</v>
      </c>
      <c r="CO106" s="3" t="str">
        <f>IFERROR(__xludf.DUMMYFUNCTION("""COMPUTED_VALUE"""),"Plataforma Playo 4.00 x 1.90 x 0.72 Lateral Simple Baranda Fija")</f>
        <v>Plataforma Playo 4.00 x 1.90 x 0.72 Lateral Simple Baranda Fija</v>
      </c>
      <c r="CP106" s="3" t="str">
        <f>IFERROR(__xludf.DUMMYFUNCTION("""COMPUTED_VALUE"""),"Plataforma Playo 4.00 x 1.90 x 0.72 Lateral Doble Baranda Fija")</f>
        <v>Plataforma Playo 4.00 x 1.90 x 0.72 Lateral Doble Baranda Fija</v>
      </c>
      <c r="CQ106" s="3" t="str">
        <f>IFERROR(__xludf.DUMMYFUNCTION("""COMPUTED_VALUE"""),"Plataforma Playo 5.00 x 2.20 x 0.60 Lateral Doble Trasera Rebatible")</f>
        <v>Plataforma Playo 5.00 x 2.20 x 0.60 Lateral Doble Trasera Rebatible</v>
      </c>
      <c r="CR106" s="3" t="str">
        <f>IFERROR(__xludf.DUMMYFUNCTION("""COMPUTED_VALUE"""),"Plataforma Playo 5.00 x 2.20 x 0.60 Lateral Doble Baranda Fija C/Toldo")</f>
        <v>Plataforma Playo 5.00 x 2.20 x 0.60 Lateral Doble Baranda Fija C/Toldo</v>
      </c>
      <c r="CS106" s="3" t="str">
        <f>IFERROR(__xludf.DUMMYFUNCTION("""COMPUTED_VALUE"""),"Plataforma Playo 3.00 x 1.90 x 0.45 Lateral Simple Baranda Fija")</f>
        <v>Plataforma Playo 3.00 x 1.90 x 0.45 Lateral Simple Baranda Fija</v>
      </c>
      <c r="CT106" s="3" t="str">
        <f>IFERROR(__xludf.DUMMYFUNCTION("""COMPUTED_VALUE"""),"Plataforma Playo 3.00 x 1.90 x 0.45 Lateral Simple Baranda Ventilada")</f>
        <v>Plataforma Playo 3.00 x 1.90 x 0.45 Lateral Simple Baranda Ventilada</v>
      </c>
      <c r="CU106" s="3" t="str">
        <f>IFERROR(__xludf.DUMMYFUNCTION("""COMPUTED_VALUE"""),"Plataforma Playo 2.00 x 1.90 x 0.45 Lateral Simple Baranda Fija")</f>
        <v>Plataforma Playo 2.00 x 1.90 x 0.45 Lateral Simple Baranda Fija</v>
      </c>
      <c r="CV106" s="3" t="str">
        <f>IFERROR(__xludf.DUMMYFUNCTION("""COMPUTED_VALUE"""),"Plataforma Playo 5.00 x 1.90 x 0.60 Lateral Doble Baranda Fija")</f>
        <v>Plataforma Playo 5.00 x 1.90 x 0.60 Lateral Doble Baranda Fija</v>
      </c>
      <c r="CW106" s="3" t="str">
        <f>IFERROR(__xludf.DUMMYFUNCTION("""COMPUTED_VALUE"""),"Plataforma Playo 6.40 x 2.70 x 0.72 Lateral Doble Baranda Fija")</f>
        <v>Plataforma Playo 6.40 x 2.70 x 0.72 Lateral Doble Baranda Fija</v>
      </c>
      <c r="CX106" s="3" t="str">
        <f>IFERROR(__xludf.DUMMYFUNCTION("""COMPUTED_VALUE"""),"Chasis Acoplado Balancin L4000 Lanza Recta")</f>
        <v>Chasis Acoplado Balancin L4000 Lanza Recta</v>
      </c>
      <c r="CY106" s="3" t="str">
        <f>IFERROR(__xludf.DUMMYFUNCTION("""COMPUTED_VALUE"""),"Llanta simple Agrícola 750x20 centro 152")</f>
        <v>Llanta simple Agrícola 750x20 centro 152</v>
      </c>
      <c r="CZ106" s="3" t="str">
        <f>IFERROR(__xludf.DUMMYFUNCTION("""COMPUTED_VALUE"""),"Cajón de Herramientas Mediano adelante")</f>
        <v>Cajón de Herramientas Mediano adelante</v>
      </c>
      <c r="DA106" s="3" t="str">
        <f>IFERROR(__xludf.DUMMYFUNCTION("""COMPUTED_VALUE"""),"Llanta 15"" Simple Agrícola Centro 92")</f>
        <v>Llanta 15" Simple Agrícola Centro 92</v>
      </c>
    </row>
    <row r="107" hidden="1">
      <c r="A107" s="38">
        <f t="shared" si="1"/>
        <v>106</v>
      </c>
      <c r="B107" s="38">
        <f>IF(F107="","",SUMIF(Prearmados!E:E,F107,Prearmados!A:A))</f>
        <v>20</v>
      </c>
      <c r="C107" s="38">
        <f>IF(F107="","",SUMIF(Productos!E:E,G107,Productos!A:A))</f>
        <v>76</v>
      </c>
      <c r="D107" s="83" t="str">
        <f t="array" ref="D107">IF(OR(F107="",F107="Seleccionar.."),"",XLOOKUP(F107,Prearmados!E:E,Prearmados!F:F,"",0,1))</f>
        <v>Acoplados Rurales</v>
      </c>
      <c r="E107" s="83">
        <f>IF(H107="","",SUMIF(Precio_Productos!K:K,C107,Precio_Productos!J:J)*H107)</f>
        <v>2558847</v>
      </c>
      <c r="F107" s="84" t="s">
        <v>343</v>
      </c>
      <c r="G107" s="84" t="s">
        <v>102</v>
      </c>
      <c r="H107" s="13">
        <v>1.0</v>
      </c>
      <c r="P107" s="3" t="str">
        <f>IFERROR(__xludf.DUMMYFUNCTION("IF(OR(F107="""",F107=""Seleccionar..""),"""",TRANSPOSE(FILTER(Productos!E:E,(Productos!F:F=D107)+(Productos!F:F=XLOOKUP(D107,Implementos!B:B,Implementos!C:C,""-"",0,1)))))"),"Tanque Combustible 1100 lts Bajo")</f>
        <v>Tanque Combustible 1100 lts Bajo</v>
      </c>
      <c r="Q107" s="3" t="str">
        <f>IFERROR(__xludf.DUMMYFUNCTION("""COMPUTED_VALUE"""),"Tanque Combustible 1500 lts Standard")</f>
        <v>Tanque Combustible 1500 lts Standard</v>
      </c>
      <c r="R107" s="3" t="str">
        <f>IFERROR(__xludf.DUMMYFUNCTION("""COMPUTED_VALUE"""),"Tanque Combustible 1800 lts Standard")</f>
        <v>Tanque Combustible 1800 lts Standard</v>
      </c>
      <c r="S107" s="3" t="str">
        <f>IFERROR(__xludf.DUMMYFUNCTION("""COMPUTED_VALUE"""),"Tanque Combustible 2000 lts Bajo")</f>
        <v>Tanque Combustible 2000 lts Bajo</v>
      </c>
      <c r="T107" s="3" t="str">
        <f>IFERROR(__xludf.DUMMYFUNCTION("""COMPUTED_VALUE"""),"Tanque Combustible 2000 lts Standard")</f>
        <v>Tanque Combustible 2000 lts Standard</v>
      </c>
      <c r="U107" s="3" t="str">
        <f>IFERROR(__xludf.DUMMYFUNCTION("""COMPUTED_VALUE"""),"Tanque Combustible 3000 lts Standard")</f>
        <v>Tanque Combustible 3000 lts Standard</v>
      </c>
      <c r="V107" s="3" t="str">
        <f>IFERROR(__xludf.DUMMYFUNCTION("""COMPUTED_VALUE"""),"Tanque Combustible 3000 lts Alto")</f>
        <v>Tanque Combustible 3000 lts Alto</v>
      </c>
      <c r="W107" s="3" t="str">
        <f>IFERROR(__xludf.DUMMYFUNCTION("""COMPUTED_VALUE"""),"Tanque Combustible 4000 lts Standard")</f>
        <v>Tanque Combustible 4000 lts Standard</v>
      </c>
      <c r="X107" s="3" t="str">
        <f>IFERROR(__xludf.DUMMYFUNCTION("""COMPUTED_VALUE"""),"Tanque Combustible 5000 lts Standard")</f>
        <v>Tanque Combustible 5000 lts Standard</v>
      </c>
      <c r="Y107" s="3" t="str">
        <f>IFERROR(__xludf.DUMMYFUNCTION("""COMPUTED_VALUE"""),"Tanque Combustible 5000 lts Alto")</f>
        <v>Tanque Combustible 5000 lts Alto</v>
      </c>
      <c r="Z107" s="3" t="str">
        <f>IFERROR(__xludf.DUMMYFUNCTION("""COMPUTED_VALUE"""),"Tanque Combustible 2000 lts Alto")</f>
        <v>Tanque Combustible 2000 lts Alto</v>
      </c>
      <c r="AA107" s="3" t="str">
        <f>IFERROR(__xludf.DUMMYFUNCTION("""COMPUTED_VALUE"""),"Tanque Combustible 4000 lts Alto")</f>
        <v>Tanque Combustible 4000 lts Alto</v>
      </c>
      <c r="AB107" s="3" t="str">
        <f>IFERROR(__xludf.DUMMYFUNCTION("""COMPUTED_VALUE"""),"Baulera Standard - 750")</f>
        <v>Baulera Standard - 750</v>
      </c>
      <c r="AC107" s="3" t="str">
        <f>IFERROR(__xludf.DUMMYFUNCTION("""COMPUTED_VALUE"""),"Baulera Standard - 1700 - C/Laterales")</f>
        <v>Baulera Standard - 1700 - C/Laterales</v>
      </c>
      <c r="AD107" s="3" t="str">
        <f>IFERROR(__xludf.DUMMYFUNCTION("""COMPUTED_VALUE"""),"Baulera Standard - 1000 - C/Laterales")</f>
        <v>Baulera Standard - 1000 - C/Laterales</v>
      </c>
      <c r="AE107" s="3" t="str">
        <f>IFERROR(__xludf.DUMMYFUNCTION("""COMPUTED_VALUE"""),"Baulera Standard - 750 - C/Laterales")</f>
        <v>Baulera Standard - 750 - C/Laterales</v>
      </c>
      <c r="AF107" s="3" t="str">
        <f>IFERROR(__xludf.DUMMYFUNCTION("""COMPUTED_VALUE"""),"Baulera Standard - 1300 - C/Laterales")</f>
        <v>Baulera Standard - 1300 - C/Laterales</v>
      </c>
      <c r="AG107" s="3" t="str">
        <f>IFERROR(__xludf.DUMMYFUNCTION("""COMPUTED_VALUE"""),"Baulera Alta - 750")</f>
        <v>Baulera Alta - 750</v>
      </c>
      <c r="AH107" s="3" t="str">
        <f>IFERROR(__xludf.DUMMYFUNCTION("""COMPUTED_VALUE"""),"Baulera Alta - 1500 - C/Laterales")</f>
        <v>Baulera Alta - 1500 - C/Laterales</v>
      </c>
      <c r="AI107" s="3" t="str">
        <f>IFERROR(__xludf.DUMMYFUNCTION("""COMPUTED_VALUE"""),"Baulera Extendida 1700 - C/Laterales")</f>
        <v>Baulera Extendida 1700 - C/Laterales</v>
      </c>
      <c r="AJ107" s="3" t="str">
        <f>IFERROR(__xludf.DUMMYFUNCTION("""COMPUTED_VALUE"""),"Taller Móvil - 1500 x 1500 x 1700")</f>
        <v>Taller Móvil - 1500 x 1500 x 1700</v>
      </c>
      <c r="AK107" s="3" t="str">
        <f>IFERROR(__xludf.DUMMYFUNCTION("""COMPUTED_VALUE"""),"Cajón Herramientas Standard Derecho")</f>
        <v>Cajón Herramientas Standard Derecho</v>
      </c>
      <c r="AL107" s="3" t="str">
        <f>IFERROR(__xludf.DUMMYFUNCTION("""COMPUTED_VALUE"""),"Cajón Herramientas Standard Izquierdo")</f>
        <v>Cajón Herramientas Standard Izquierdo</v>
      </c>
      <c r="AM107" s="3" t="str">
        <f>IFERROR(__xludf.DUMMYFUNCTION("""COMPUTED_VALUE"""),"Cajón Herramientas Corto Derecho")</f>
        <v>Cajón Herramientas Corto Derecho</v>
      </c>
      <c r="AN107" s="3" t="str">
        <f>IFERROR(__xludf.DUMMYFUNCTION("""COMPUTED_VALUE"""),"Cajón Herramientas Corto Izquierdo")</f>
        <v>Cajón Herramientas Corto Izquierdo</v>
      </c>
      <c r="AO107" s="3" t="str">
        <f>IFERROR(__xludf.DUMMYFUNCTION("""COMPUTED_VALUE"""),"Cajón Herramientas Mediano Derecho")</f>
        <v>Cajón Herramientas Mediano Derecho</v>
      </c>
      <c r="AP107" s="3" t="str">
        <f>IFERROR(__xludf.DUMMYFUNCTION("""COMPUTED_VALUE"""),"Cajón Herramientas Mediano Izquierdo")</f>
        <v>Cajón Herramientas Mediano Izquierdo</v>
      </c>
      <c r="AQ107" s="3" t="str">
        <f>IFERROR(__xludf.DUMMYFUNCTION("""COMPUTED_VALUE"""),"Chasis Acoplado 2 Ejes L3000")</f>
        <v>Chasis Acoplado 2 Ejes L3000</v>
      </c>
      <c r="AR107" s="3" t="str">
        <f>IFERROR(__xludf.DUMMYFUNCTION("""COMPUTED_VALUE"""),"Chasis Acoplado 2 Ejes L3750")</f>
        <v>Chasis Acoplado 2 Ejes L3750</v>
      </c>
      <c r="AS107" s="3" t="str">
        <f>IFERROR(__xludf.DUMMYFUNCTION("""COMPUTED_VALUE"""),"Chasis Acoplado 2 Ejes L4000")</f>
        <v>Chasis Acoplado 2 Ejes L4000</v>
      </c>
      <c r="AT107" s="3" t="str">
        <f>IFERROR(__xludf.DUMMYFUNCTION("""COMPUTED_VALUE"""),"Chasis Acoplado 2 Ejes L4000 Reforzado")</f>
        <v>Chasis Acoplado 2 Ejes L4000 Reforzado</v>
      </c>
      <c r="AU107" s="3" t="str">
        <f>IFERROR(__xludf.DUMMYFUNCTION("""COMPUTED_VALUE"""),"Chasis Acoplado 2 Ejes L4750")</f>
        <v>Chasis Acoplado 2 Ejes L4750</v>
      </c>
      <c r="AV107" s="3" t="str">
        <f>IFERROR(__xludf.DUMMYFUNCTION("""COMPUTED_VALUE"""),"Chasis Acoplado 2 Ejes L4750 Reforzado")</f>
        <v>Chasis Acoplado 2 Ejes L4750 Reforzado</v>
      </c>
      <c r="AW107" s="3" t="str">
        <f>IFERROR(__xludf.DUMMYFUNCTION("""COMPUTED_VALUE"""),"Chasis Acoplado 2 Ejes L4750 Reforzado R. Camion")</f>
        <v>Chasis Acoplado 2 Ejes L4750 Reforzado R. Camion</v>
      </c>
      <c r="AX107" s="3" t="str">
        <f>IFERROR(__xludf.DUMMYFUNCTION("""COMPUTED_VALUE"""),"Chasis Acoplado 2 Ejes L5000")</f>
        <v>Chasis Acoplado 2 Ejes L5000</v>
      </c>
      <c r="AY107" s="3" t="str">
        <f>IFERROR(__xludf.DUMMYFUNCTION("""COMPUTED_VALUE"""),"Chasis Acoplado 2 Ejes L5750")</f>
        <v>Chasis Acoplado 2 Ejes L5750</v>
      </c>
      <c r="AZ107" s="3" t="str">
        <f>IFERROR(__xludf.DUMMYFUNCTION("""COMPUTED_VALUE"""),"Chasis Acoplado 2 Ejes L6400")</f>
        <v>Chasis Acoplado 2 Ejes L6400</v>
      </c>
      <c r="BA107" s="3" t="str">
        <f>IFERROR(__xludf.DUMMYFUNCTION("""COMPUTED_VALUE"""),"Chasis Acoplado 2 Ejes L4500")</f>
        <v>Chasis Acoplado 2 Ejes L4500</v>
      </c>
      <c r="BB107" s="3" t="str">
        <f>IFERROR(__xludf.DUMMYFUNCTION("""COMPUTED_VALUE"""),"Chasis Acoplado 1 Eje L1500")</f>
        <v>Chasis Acoplado 1 Eje L1500</v>
      </c>
      <c r="BC107" s="3" t="str">
        <f>IFERROR(__xludf.DUMMYFUNCTION("""COMPUTED_VALUE"""),"Chasis Acoplado 1 Eje L1800")</f>
        <v>Chasis Acoplado 1 Eje L1800</v>
      </c>
      <c r="BD107" s="3" t="str">
        <f>IFERROR(__xludf.DUMMYFUNCTION("""COMPUTED_VALUE"""),"Chasis Acoplado 1 Eje L1400")</f>
        <v>Chasis Acoplado 1 Eje L1400</v>
      </c>
      <c r="BE107" s="3" t="str">
        <f>IFERROR(__xludf.DUMMYFUNCTION("""COMPUTED_VALUE"""),"Chasis Acoplado Balancin L3000")</f>
        <v>Chasis Acoplado Balancin L3000</v>
      </c>
      <c r="BF107" s="3" t="str">
        <f>IFERROR(__xludf.DUMMYFUNCTION("""COMPUTED_VALUE"""),"Chasis Acoplado Balancin L3000 Lanza Corta")</f>
        <v>Chasis Acoplado Balancin L3000 Lanza Corta</v>
      </c>
      <c r="BG107" s="3" t="str">
        <f>IFERROR(__xludf.DUMMYFUNCTION("""COMPUTED_VALUE"""),"Chasis Acoplado Balancin L2000 Lanza Corta")</f>
        <v>Chasis Acoplado Balancin L2000 Lanza Corta</v>
      </c>
      <c r="BH107" s="3" t="str">
        <f>IFERROR(__xludf.DUMMYFUNCTION("""COMPUTED_VALUE"""),"Chasis Acoplado Balancin L3200 Lanza Corta")</f>
        <v>Chasis Acoplado Balancin L3200 Lanza Corta</v>
      </c>
      <c r="BI107" s="3" t="str">
        <f>IFERROR(__xludf.DUMMYFUNCTION("""COMPUTED_VALUE"""),"Chasis Acoplado Balancin L3200 Lanza Recta")</f>
        <v>Chasis Acoplado Balancin L3200 Lanza Recta</v>
      </c>
      <c r="BJ107" s="3" t="str">
        <f>IFERROR(__xludf.DUMMYFUNCTION("""COMPUTED_VALUE"""),"Chasis Acoplado Balancin L3200 Bajo Lanza Recta")</f>
        <v>Chasis Acoplado Balancin L3200 Bajo Lanza Recta</v>
      </c>
      <c r="BK107" s="3" t="str">
        <f>IFERROR(__xludf.DUMMYFUNCTION("""COMPUTED_VALUE"""),"Tanque Plastico Horizontal 750 Lts")</f>
        <v>Tanque Plastico Horizontal 750 Lts</v>
      </c>
      <c r="BL107" s="3" t="str">
        <f>IFERROR(__xludf.DUMMYFUNCTION("""COMPUTED_VALUE"""),"Medio Tanque Plastico Superior 700 Lts")</f>
        <v>Medio Tanque Plastico Superior 700 Lts</v>
      </c>
      <c r="BM107" s="3" t="str">
        <f>IFERROR(__xludf.DUMMYFUNCTION("""COMPUTED_VALUE"""),"Paquete de Elasticos 50 mm x 8 mm x 10 Hojas L850")</f>
        <v>Paquete de Elasticos 50 mm x 8 mm x 10 Hojas L850</v>
      </c>
      <c r="BN107" s="3" t="str">
        <f>IFERROR(__xludf.DUMMYFUNCTION("""COMPUTED_VALUE"""),"Paquete de Elasticos 63 mm x 8 mm x 10 Hojas L950")</f>
        <v>Paquete de Elasticos 63 mm x 8 mm x 10 Hojas L950</v>
      </c>
      <c r="BO107" s="3" t="str">
        <f>IFERROR(__xludf.DUMMYFUNCTION("""COMPUTED_VALUE"""),"Paquete de Elasticos 50 mm x 7 mm x 9 Hojas L850")</f>
        <v>Paquete de Elasticos 50 mm x 7 mm x 9 Hojas L850</v>
      </c>
      <c r="BP107" s="3" t="str">
        <f>IFERROR(__xludf.DUMMYFUNCTION("""COMPUTED_VALUE"""),"Paquete de Elasticos 63 mm x 8 mm x 8 Hojas L850")</f>
        <v>Paquete de Elasticos 63 mm x 8 mm x 8 Hojas L850</v>
      </c>
      <c r="BQ107" s="3" t="str">
        <f>IFERROR(__xludf.DUMMYFUNCTION("""COMPUTED_VALUE"""),"Paquete de Elasticos 63 mm x 10 mm x 10 Hojas L950")</f>
        <v>Paquete de Elasticos 63 mm x 10 mm x 10 Hojas L950</v>
      </c>
      <c r="BR107" s="3" t="str">
        <f>IFERROR(__xludf.DUMMYFUNCTION("""COMPUTED_VALUE"""),"Paquete de Elasticos 63 mm x 10 mm x 13 Hojas L975")</f>
        <v>Paquete de Elasticos 63 mm x 10 mm x 13 Hojas L975</v>
      </c>
      <c r="BS107" s="3" t="str">
        <f>IFERROR(__xludf.DUMMYFUNCTION("""COMPUTED_VALUE"""),"Paquete de Elasticos 50 mm x 7 mm x 9 Hojas L650")</f>
        <v>Paquete de Elasticos 50 mm x 7 mm x 9 Hojas L650</v>
      </c>
      <c r="BT107" s="3" t="str">
        <f>IFERROR(__xludf.DUMMYFUNCTION("""COMPUTED_VALUE"""),"Eje Acoplado 2"" x 1600 (06/08) Agrícola Centro 92")</f>
        <v>Eje Acoplado 2" x 1600 (06/08) Agrícola Centro 92</v>
      </c>
      <c r="BU107" s="3" t="str">
        <f>IFERROR(__xludf.DUMMYFUNCTION("""COMPUTED_VALUE"""),"Eje Acoplado 2 1/2"" x 1600 (07/09) Agrícola Centro 92")</f>
        <v>Eje Acoplado 2 1/2" x 1600 (07/09) Agrícola Centro 92</v>
      </c>
      <c r="BV107" s="3" t="str">
        <f>IFERROR(__xludf.DUMMYFUNCTION("""COMPUTED_VALUE"""),"Eje Acoplado 2 1/2"" x 1600 (09/11) Agrícola Centro 150")</f>
        <v>Eje Acoplado 2 1/2" x 1600 (09/11) Agrícola Centro 150</v>
      </c>
      <c r="BW107" s="3" t="str">
        <f>IFERROR(__xludf.DUMMYFUNCTION("""COMPUTED_VALUE"""),"Eje Acoplado 3"" x 1600 (10/13) Agrícola Centro 150")</f>
        <v>Eje Acoplado 3" x 1600 (10/13) Agrícola Centro 150</v>
      </c>
      <c r="BX107" s="3" t="str">
        <f>IFERROR(__xludf.DUMMYFUNCTION("""COMPUTED_VALUE"""),"Eje Acoplado 2 1/2"" x 2140 (07/09) Agrícola Centro 92")</f>
        <v>Eje Acoplado 2 1/2" x 2140 (07/09) Agrícola Centro 92</v>
      </c>
      <c r="BY107" s="3" t="str">
        <f>IFERROR(__xludf.DUMMYFUNCTION("""COMPUTED_VALUE"""),"Eje Acoplado 2"" x 1400 (06/08) Agrícola Centro 92")</f>
        <v>Eje Acoplado 2" x 1400 (06/08) Agrícola Centro 92</v>
      </c>
      <c r="BZ107" s="3" t="str">
        <f>IFERROR(__xludf.DUMMYFUNCTION("""COMPUTED_VALUE"""),"Eje Acoplado 2 1/2"" x 1500 (07/09) Agrícola Centro 92")</f>
        <v>Eje Acoplado 2 1/2" x 1500 (07/09) Agrícola Centro 92</v>
      </c>
      <c r="CA107" s="3" t="str">
        <f>IFERROR(__xludf.DUMMYFUNCTION("""COMPUTED_VALUE"""),"Eje Acoplado 2 1/2"" x 2000 (07/09) Agrícola Centro 92")</f>
        <v>Eje Acoplado 2 1/2" x 2000 (07/09) Agrícola Centro 92</v>
      </c>
      <c r="CB107" s="3" t="str">
        <f>IFERROR(__xludf.DUMMYFUNCTION("""COMPUTED_VALUE"""),"Eje Acoplado 2 1/2"" x 2100 (09/11) Agrícola Centro 150")</f>
        <v>Eje Acoplado 2 1/2" x 2100 (09/11) Agrícola Centro 150</v>
      </c>
      <c r="CC107" s="3" t="str">
        <f>IFERROR(__xludf.DUMMYFUNCTION("""COMPUTED_VALUE"""),"Llanta 16"" Simple Agrícola Centro 92")</f>
        <v>Llanta 16" Simple Agrícola Centro 92</v>
      </c>
      <c r="CD107" s="3" t="str">
        <f>IFERROR(__xludf.DUMMYFUNCTION("""COMPUTED_VALUE"""),"Llanta 16"" Dual Agrícola Centro 92")</f>
        <v>Llanta 16" Dual Agrícola Centro 92</v>
      </c>
      <c r="CE107" s="3" t="str">
        <f>IFERROR(__xludf.DUMMYFUNCTION("""COMPUTED_VALUE"""),"Llanta 17"" Simple Agrícola Centro 92")</f>
        <v>Llanta 17" Simple Agrícola Centro 92</v>
      </c>
      <c r="CF107" s="3" t="str">
        <f>IFERROR(__xludf.DUMMYFUNCTION("""COMPUTED_VALUE"""),"Llanta 17"" Dual Agrícola Centro 92")</f>
        <v>Llanta 17" Dual Agrícola Centro 92</v>
      </c>
      <c r="CG107" s="3" t="str">
        <f>IFERROR(__xludf.DUMMYFUNCTION("""COMPUTED_VALUE"""),"Llanta 16"" Dual Agrícola Centro 152")</f>
        <v>Llanta 16" Dual Agrícola Centro 152</v>
      </c>
      <c r="CH107" s="3" t="str">
        <f>IFERROR(__xludf.DUMMYFUNCTION("""COMPUTED_VALUE"""),"Llanta 17"" Dual Agrícola Centro 152")</f>
        <v>Llanta 17" Dual Agrícola Centro 152</v>
      </c>
      <c r="CI107" s="3" t="str">
        <f>IFERROR(__xludf.DUMMYFUNCTION("""COMPUTED_VALUE"""),"Eje Acoplado 2"" x 1600 (05/07) Agrícola Centro 92")</f>
        <v>Eje Acoplado 2" x 1600 (05/07) Agrícola Centro 92</v>
      </c>
      <c r="CJ107" s="3" t="str">
        <f>IFERROR(__xludf.DUMMYFUNCTION("""COMPUTED_VALUE"""),"Paquete de Elásticos 50 mm x 8 mm x 12 Hojas")</f>
        <v>Paquete de Elásticos 50 mm x 8 mm x 12 Hojas</v>
      </c>
      <c r="CK107" s="3" t="str">
        <f>IFERROR(__xludf.DUMMYFUNCTION("""COMPUTED_VALUE"""),"Plataforma Playo 4.00 x 1.90 x 0.45 Lateral Simple Baranda Fija")</f>
        <v>Plataforma Playo 4.00 x 1.90 x 0.45 Lateral Simple Baranda Fija</v>
      </c>
      <c r="CL107" s="3" t="str">
        <f>IFERROR(__xludf.DUMMYFUNCTION("""COMPUTED_VALUE"""),"Plataforma Playo 4.00 x 1.90 x 0.45 Lateral Simple Baranda Ventilada")</f>
        <v>Plataforma Playo 4.00 x 1.90 x 0.45 Lateral Simple Baranda Ventilada</v>
      </c>
      <c r="CM107" s="3" t="str">
        <f>IFERROR(__xludf.DUMMYFUNCTION("""COMPUTED_VALUE"""),"Plataforma Playo 4.00 x 1.90 x 0.45 Lateral Doble Baranda Ventilada")</f>
        <v>Plataforma Playo 4.00 x 1.90 x 0.45 Lateral Doble Baranda Ventilada</v>
      </c>
      <c r="CN107" s="3" t="str">
        <f>IFERROR(__xludf.DUMMYFUNCTION("""COMPUTED_VALUE"""),"Plataforma Playo 4.00 x 1.90 x 0.45 Lateral Doble Baranda Fija")</f>
        <v>Plataforma Playo 4.00 x 1.90 x 0.45 Lateral Doble Baranda Fija</v>
      </c>
      <c r="CO107" s="3" t="str">
        <f>IFERROR(__xludf.DUMMYFUNCTION("""COMPUTED_VALUE"""),"Plataforma Playo 4.00 x 1.90 x 0.72 Lateral Simple Baranda Fija")</f>
        <v>Plataforma Playo 4.00 x 1.90 x 0.72 Lateral Simple Baranda Fija</v>
      </c>
      <c r="CP107" s="3" t="str">
        <f>IFERROR(__xludf.DUMMYFUNCTION("""COMPUTED_VALUE"""),"Plataforma Playo 4.00 x 1.90 x 0.72 Lateral Doble Baranda Fija")</f>
        <v>Plataforma Playo 4.00 x 1.90 x 0.72 Lateral Doble Baranda Fija</v>
      </c>
      <c r="CQ107" s="3" t="str">
        <f>IFERROR(__xludf.DUMMYFUNCTION("""COMPUTED_VALUE"""),"Plataforma Playo 5.00 x 2.20 x 0.60 Lateral Doble Trasera Rebatible")</f>
        <v>Plataforma Playo 5.00 x 2.20 x 0.60 Lateral Doble Trasera Rebatible</v>
      </c>
      <c r="CR107" s="3" t="str">
        <f>IFERROR(__xludf.DUMMYFUNCTION("""COMPUTED_VALUE"""),"Plataforma Playo 5.00 x 2.20 x 0.60 Lateral Doble Baranda Fija C/Toldo")</f>
        <v>Plataforma Playo 5.00 x 2.20 x 0.60 Lateral Doble Baranda Fija C/Toldo</v>
      </c>
      <c r="CS107" s="3" t="str">
        <f>IFERROR(__xludf.DUMMYFUNCTION("""COMPUTED_VALUE"""),"Plataforma Playo 3.00 x 1.90 x 0.45 Lateral Simple Baranda Fija")</f>
        <v>Plataforma Playo 3.00 x 1.90 x 0.45 Lateral Simple Baranda Fija</v>
      </c>
      <c r="CT107" s="3" t="str">
        <f>IFERROR(__xludf.DUMMYFUNCTION("""COMPUTED_VALUE"""),"Plataforma Playo 3.00 x 1.90 x 0.45 Lateral Simple Baranda Ventilada")</f>
        <v>Plataforma Playo 3.00 x 1.90 x 0.45 Lateral Simple Baranda Ventilada</v>
      </c>
      <c r="CU107" s="3" t="str">
        <f>IFERROR(__xludf.DUMMYFUNCTION("""COMPUTED_VALUE"""),"Plataforma Playo 2.00 x 1.90 x 0.45 Lateral Simple Baranda Fija")</f>
        <v>Plataforma Playo 2.00 x 1.90 x 0.45 Lateral Simple Baranda Fija</v>
      </c>
      <c r="CV107" s="3" t="str">
        <f>IFERROR(__xludf.DUMMYFUNCTION("""COMPUTED_VALUE"""),"Plataforma Playo 5.00 x 1.90 x 0.60 Lateral Doble Baranda Fija")</f>
        <v>Plataforma Playo 5.00 x 1.90 x 0.60 Lateral Doble Baranda Fija</v>
      </c>
      <c r="CW107" s="3" t="str">
        <f>IFERROR(__xludf.DUMMYFUNCTION("""COMPUTED_VALUE"""),"Plataforma Playo 6.40 x 2.70 x 0.72 Lateral Doble Baranda Fija")</f>
        <v>Plataforma Playo 6.40 x 2.70 x 0.72 Lateral Doble Baranda Fija</v>
      </c>
      <c r="CX107" s="3" t="str">
        <f>IFERROR(__xludf.DUMMYFUNCTION("""COMPUTED_VALUE"""),"Chasis Acoplado Balancin L4000 Lanza Recta")</f>
        <v>Chasis Acoplado Balancin L4000 Lanza Recta</v>
      </c>
      <c r="CY107" s="3" t="str">
        <f>IFERROR(__xludf.DUMMYFUNCTION("""COMPUTED_VALUE"""),"Llanta simple Agrícola 750x20 centro 152")</f>
        <v>Llanta simple Agrícola 750x20 centro 152</v>
      </c>
      <c r="CZ107" s="3" t="str">
        <f>IFERROR(__xludf.DUMMYFUNCTION("""COMPUTED_VALUE"""),"Cajón de Herramientas Mediano adelante")</f>
        <v>Cajón de Herramientas Mediano adelante</v>
      </c>
      <c r="DA107" s="3" t="str">
        <f>IFERROR(__xludf.DUMMYFUNCTION("""COMPUTED_VALUE"""),"Llanta 15"" Simple Agrícola Centro 92")</f>
        <v>Llanta 15" Simple Agrícola Centro 92</v>
      </c>
    </row>
    <row r="108" hidden="1">
      <c r="A108" s="38">
        <f t="shared" si="1"/>
        <v>107</v>
      </c>
      <c r="B108" s="38">
        <f>IF(F108="","",SUMIF(Prearmados!E:E,F108,Prearmados!A:A))</f>
        <v>20</v>
      </c>
      <c r="C108" s="38">
        <f>IF(F108="","",SUMIF(Productos!E:E,G108,Productos!A:A))</f>
        <v>102</v>
      </c>
      <c r="D108" s="83" t="str">
        <f t="array" ref="D108">IF(OR(F108="",F108="Seleccionar.."),"",XLOOKUP(F108,Prearmados!E:E,Prearmados!F:F,"",0,1))</f>
        <v>Acoplados Rurales</v>
      </c>
      <c r="E108" s="83">
        <f>IF(H108="","",SUMIF(Precio_Productos!K:K,C108,Precio_Productos!J:J)*H108)</f>
        <v>1054374</v>
      </c>
      <c r="F108" s="84" t="s">
        <v>343</v>
      </c>
      <c r="G108" s="84" t="s">
        <v>134</v>
      </c>
      <c r="H108" s="13">
        <v>2.0</v>
      </c>
      <c r="P108" s="3" t="str">
        <f>IFERROR(__xludf.DUMMYFUNCTION("IF(OR(F108="""",F108=""Seleccionar..""),"""",TRANSPOSE(FILTER(Productos!E:E,(Productos!F:F=D108)+(Productos!F:F=XLOOKUP(D108,Implementos!B:B,Implementos!C:C,""-"",0,1)))))"),"Tanque Combustible 1100 lts Bajo")</f>
        <v>Tanque Combustible 1100 lts Bajo</v>
      </c>
      <c r="Q108" s="3" t="str">
        <f>IFERROR(__xludf.DUMMYFUNCTION("""COMPUTED_VALUE"""),"Tanque Combustible 1500 lts Standard")</f>
        <v>Tanque Combustible 1500 lts Standard</v>
      </c>
      <c r="R108" s="3" t="str">
        <f>IFERROR(__xludf.DUMMYFUNCTION("""COMPUTED_VALUE"""),"Tanque Combustible 1800 lts Standard")</f>
        <v>Tanque Combustible 1800 lts Standard</v>
      </c>
      <c r="S108" s="3" t="str">
        <f>IFERROR(__xludf.DUMMYFUNCTION("""COMPUTED_VALUE"""),"Tanque Combustible 2000 lts Bajo")</f>
        <v>Tanque Combustible 2000 lts Bajo</v>
      </c>
      <c r="T108" s="3" t="str">
        <f>IFERROR(__xludf.DUMMYFUNCTION("""COMPUTED_VALUE"""),"Tanque Combustible 2000 lts Standard")</f>
        <v>Tanque Combustible 2000 lts Standard</v>
      </c>
      <c r="U108" s="3" t="str">
        <f>IFERROR(__xludf.DUMMYFUNCTION("""COMPUTED_VALUE"""),"Tanque Combustible 3000 lts Standard")</f>
        <v>Tanque Combustible 3000 lts Standard</v>
      </c>
      <c r="V108" s="3" t="str">
        <f>IFERROR(__xludf.DUMMYFUNCTION("""COMPUTED_VALUE"""),"Tanque Combustible 3000 lts Alto")</f>
        <v>Tanque Combustible 3000 lts Alto</v>
      </c>
      <c r="W108" s="3" t="str">
        <f>IFERROR(__xludf.DUMMYFUNCTION("""COMPUTED_VALUE"""),"Tanque Combustible 4000 lts Standard")</f>
        <v>Tanque Combustible 4000 lts Standard</v>
      </c>
      <c r="X108" s="3" t="str">
        <f>IFERROR(__xludf.DUMMYFUNCTION("""COMPUTED_VALUE"""),"Tanque Combustible 5000 lts Standard")</f>
        <v>Tanque Combustible 5000 lts Standard</v>
      </c>
      <c r="Y108" s="3" t="str">
        <f>IFERROR(__xludf.DUMMYFUNCTION("""COMPUTED_VALUE"""),"Tanque Combustible 5000 lts Alto")</f>
        <v>Tanque Combustible 5000 lts Alto</v>
      </c>
      <c r="Z108" s="3" t="str">
        <f>IFERROR(__xludf.DUMMYFUNCTION("""COMPUTED_VALUE"""),"Tanque Combustible 2000 lts Alto")</f>
        <v>Tanque Combustible 2000 lts Alto</v>
      </c>
      <c r="AA108" s="3" t="str">
        <f>IFERROR(__xludf.DUMMYFUNCTION("""COMPUTED_VALUE"""),"Tanque Combustible 4000 lts Alto")</f>
        <v>Tanque Combustible 4000 lts Alto</v>
      </c>
      <c r="AB108" s="3" t="str">
        <f>IFERROR(__xludf.DUMMYFUNCTION("""COMPUTED_VALUE"""),"Baulera Standard - 750")</f>
        <v>Baulera Standard - 750</v>
      </c>
      <c r="AC108" s="3" t="str">
        <f>IFERROR(__xludf.DUMMYFUNCTION("""COMPUTED_VALUE"""),"Baulera Standard - 1700 - C/Laterales")</f>
        <v>Baulera Standard - 1700 - C/Laterales</v>
      </c>
      <c r="AD108" s="3" t="str">
        <f>IFERROR(__xludf.DUMMYFUNCTION("""COMPUTED_VALUE"""),"Baulera Standard - 1000 - C/Laterales")</f>
        <v>Baulera Standard - 1000 - C/Laterales</v>
      </c>
      <c r="AE108" s="3" t="str">
        <f>IFERROR(__xludf.DUMMYFUNCTION("""COMPUTED_VALUE"""),"Baulera Standard - 750 - C/Laterales")</f>
        <v>Baulera Standard - 750 - C/Laterales</v>
      </c>
      <c r="AF108" s="3" t="str">
        <f>IFERROR(__xludf.DUMMYFUNCTION("""COMPUTED_VALUE"""),"Baulera Standard - 1300 - C/Laterales")</f>
        <v>Baulera Standard - 1300 - C/Laterales</v>
      </c>
      <c r="AG108" s="3" t="str">
        <f>IFERROR(__xludf.DUMMYFUNCTION("""COMPUTED_VALUE"""),"Baulera Alta - 750")</f>
        <v>Baulera Alta - 750</v>
      </c>
      <c r="AH108" s="3" t="str">
        <f>IFERROR(__xludf.DUMMYFUNCTION("""COMPUTED_VALUE"""),"Baulera Alta - 1500 - C/Laterales")</f>
        <v>Baulera Alta - 1500 - C/Laterales</v>
      </c>
      <c r="AI108" s="3" t="str">
        <f>IFERROR(__xludf.DUMMYFUNCTION("""COMPUTED_VALUE"""),"Baulera Extendida 1700 - C/Laterales")</f>
        <v>Baulera Extendida 1700 - C/Laterales</v>
      </c>
      <c r="AJ108" s="3" t="str">
        <f>IFERROR(__xludf.DUMMYFUNCTION("""COMPUTED_VALUE"""),"Taller Móvil - 1500 x 1500 x 1700")</f>
        <v>Taller Móvil - 1500 x 1500 x 1700</v>
      </c>
      <c r="AK108" s="3" t="str">
        <f>IFERROR(__xludf.DUMMYFUNCTION("""COMPUTED_VALUE"""),"Cajón Herramientas Standard Derecho")</f>
        <v>Cajón Herramientas Standard Derecho</v>
      </c>
      <c r="AL108" s="3" t="str">
        <f>IFERROR(__xludf.DUMMYFUNCTION("""COMPUTED_VALUE"""),"Cajón Herramientas Standard Izquierdo")</f>
        <v>Cajón Herramientas Standard Izquierdo</v>
      </c>
      <c r="AM108" s="3" t="str">
        <f>IFERROR(__xludf.DUMMYFUNCTION("""COMPUTED_VALUE"""),"Cajón Herramientas Corto Derecho")</f>
        <v>Cajón Herramientas Corto Derecho</v>
      </c>
      <c r="AN108" s="3" t="str">
        <f>IFERROR(__xludf.DUMMYFUNCTION("""COMPUTED_VALUE"""),"Cajón Herramientas Corto Izquierdo")</f>
        <v>Cajón Herramientas Corto Izquierdo</v>
      </c>
      <c r="AO108" s="3" t="str">
        <f>IFERROR(__xludf.DUMMYFUNCTION("""COMPUTED_VALUE"""),"Cajón Herramientas Mediano Derecho")</f>
        <v>Cajón Herramientas Mediano Derecho</v>
      </c>
      <c r="AP108" s="3" t="str">
        <f>IFERROR(__xludf.DUMMYFUNCTION("""COMPUTED_VALUE"""),"Cajón Herramientas Mediano Izquierdo")</f>
        <v>Cajón Herramientas Mediano Izquierdo</v>
      </c>
      <c r="AQ108" s="3" t="str">
        <f>IFERROR(__xludf.DUMMYFUNCTION("""COMPUTED_VALUE"""),"Chasis Acoplado 2 Ejes L3000")</f>
        <v>Chasis Acoplado 2 Ejes L3000</v>
      </c>
      <c r="AR108" s="3" t="str">
        <f>IFERROR(__xludf.DUMMYFUNCTION("""COMPUTED_VALUE"""),"Chasis Acoplado 2 Ejes L3750")</f>
        <v>Chasis Acoplado 2 Ejes L3750</v>
      </c>
      <c r="AS108" s="3" t="str">
        <f>IFERROR(__xludf.DUMMYFUNCTION("""COMPUTED_VALUE"""),"Chasis Acoplado 2 Ejes L4000")</f>
        <v>Chasis Acoplado 2 Ejes L4000</v>
      </c>
      <c r="AT108" s="3" t="str">
        <f>IFERROR(__xludf.DUMMYFUNCTION("""COMPUTED_VALUE"""),"Chasis Acoplado 2 Ejes L4000 Reforzado")</f>
        <v>Chasis Acoplado 2 Ejes L4000 Reforzado</v>
      </c>
      <c r="AU108" s="3" t="str">
        <f>IFERROR(__xludf.DUMMYFUNCTION("""COMPUTED_VALUE"""),"Chasis Acoplado 2 Ejes L4750")</f>
        <v>Chasis Acoplado 2 Ejes L4750</v>
      </c>
      <c r="AV108" s="3" t="str">
        <f>IFERROR(__xludf.DUMMYFUNCTION("""COMPUTED_VALUE"""),"Chasis Acoplado 2 Ejes L4750 Reforzado")</f>
        <v>Chasis Acoplado 2 Ejes L4750 Reforzado</v>
      </c>
      <c r="AW108" s="3" t="str">
        <f>IFERROR(__xludf.DUMMYFUNCTION("""COMPUTED_VALUE"""),"Chasis Acoplado 2 Ejes L4750 Reforzado R. Camion")</f>
        <v>Chasis Acoplado 2 Ejes L4750 Reforzado R. Camion</v>
      </c>
      <c r="AX108" s="3" t="str">
        <f>IFERROR(__xludf.DUMMYFUNCTION("""COMPUTED_VALUE"""),"Chasis Acoplado 2 Ejes L5000")</f>
        <v>Chasis Acoplado 2 Ejes L5000</v>
      </c>
      <c r="AY108" s="3" t="str">
        <f>IFERROR(__xludf.DUMMYFUNCTION("""COMPUTED_VALUE"""),"Chasis Acoplado 2 Ejes L5750")</f>
        <v>Chasis Acoplado 2 Ejes L5750</v>
      </c>
      <c r="AZ108" s="3" t="str">
        <f>IFERROR(__xludf.DUMMYFUNCTION("""COMPUTED_VALUE"""),"Chasis Acoplado 2 Ejes L6400")</f>
        <v>Chasis Acoplado 2 Ejes L6400</v>
      </c>
      <c r="BA108" s="3" t="str">
        <f>IFERROR(__xludf.DUMMYFUNCTION("""COMPUTED_VALUE"""),"Chasis Acoplado 2 Ejes L4500")</f>
        <v>Chasis Acoplado 2 Ejes L4500</v>
      </c>
      <c r="BB108" s="3" t="str">
        <f>IFERROR(__xludf.DUMMYFUNCTION("""COMPUTED_VALUE"""),"Chasis Acoplado 1 Eje L1500")</f>
        <v>Chasis Acoplado 1 Eje L1500</v>
      </c>
      <c r="BC108" s="3" t="str">
        <f>IFERROR(__xludf.DUMMYFUNCTION("""COMPUTED_VALUE"""),"Chasis Acoplado 1 Eje L1800")</f>
        <v>Chasis Acoplado 1 Eje L1800</v>
      </c>
      <c r="BD108" s="3" t="str">
        <f>IFERROR(__xludf.DUMMYFUNCTION("""COMPUTED_VALUE"""),"Chasis Acoplado 1 Eje L1400")</f>
        <v>Chasis Acoplado 1 Eje L1400</v>
      </c>
      <c r="BE108" s="3" t="str">
        <f>IFERROR(__xludf.DUMMYFUNCTION("""COMPUTED_VALUE"""),"Chasis Acoplado Balancin L3000")</f>
        <v>Chasis Acoplado Balancin L3000</v>
      </c>
      <c r="BF108" s="3" t="str">
        <f>IFERROR(__xludf.DUMMYFUNCTION("""COMPUTED_VALUE"""),"Chasis Acoplado Balancin L3000 Lanza Corta")</f>
        <v>Chasis Acoplado Balancin L3000 Lanza Corta</v>
      </c>
      <c r="BG108" s="3" t="str">
        <f>IFERROR(__xludf.DUMMYFUNCTION("""COMPUTED_VALUE"""),"Chasis Acoplado Balancin L2000 Lanza Corta")</f>
        <v>Chasis Acoplado Balancin L2000 Lanza Corta</v>
      </c>
      <c r="BH108" s="3" t="str">
        <f>IFERROR(__xludf.DUMMYFUNCTION("""COMPUTED_VALUE"""),"Chasis Acoplado Balancin L3200 Lanza Corta")</f>
        <v>Chasis Acoplado Balancin L3200 Lanza Corta</v>
      </c>
      <c r="BI108" s="3" t="str">
        <f>IFERROR(__xludf.DUMMYFUNCTION("""COMPUTED_VALUE"""),"Chasis Acoplado Balancin L3200 Lanza Recta")</f>
        <v>Chasis Acoplado Balancin L3200 Lanza Recta</v>
      </c>
      <c r="BJ108" s="3" t="str">
        <f>IFERROR(__xludf.DUMMYFUNCTION("""COMPUTED_VALUE"""),"Chasis Acoplado Balancin L3200 Bajo Lanza Recta")</f>
        <v>Chasis Acoplado Balancin L3200 Bajo Lanza Recta</v>
      </c>
      <c r="BK108" s="3" t="str">
        <f>IFERROR(__xludf.DUMMYFUNCTION("""COMPUTED_VALUE"""),"Tanque Plastico Horizontal 750 Lts")</f>
        <v>Tanque Plastico Horizontal 750 Lts</v>
      </c>
      <c r="BL108" s="3" t="str">
        <f>IFERROR(__xludf.DUMMYFUNCTION("""COMPUTED_VALUE"""),"Medio Tanque Plastico Superior 700 Lts")</f>
        <v>Medio Tanque Plastico Superior 700 Lts</v>
      </c>
      <c r="BM108" s="3" t="str">
        <f>IFERROR(__xludf.DUMMYFUNCTION("""COMPUTED_VALUE"""),"Paquete de Elasticos 50 mm x 8 mm x 10 Hojas L850")</f>
        <v>Paquete de Elasticos 50 mm x 8 mm x 10 Hojas L850</v>
      </c>
      <c r="BN108" s="3" t="str">
        <f>IFERROR(__xludf.DUMMYFUNCTION("""COMPUTED_VALUE"""),"Paquete de Elasticos 63 mm x 8 mm x 10 Hojas L950")</f>
        <v>Paquete de Elasticos 63 mm x 8 mm x 10 Hojas L950</v>
      </c>
      <c r="BO108" s="3" t="str">
        <f>IFERROR(__xludf.DUMMYFUNCTION("""COMPUTED_VALUE"""),"Paquete de Elasticos 50 mm x 7 mm x 9 Hojas L850")</f>
        <v>Paquete de Elasticos 50 mm x 7 mm x 9 Hojas L850</v>
      </c>
      <c r="BP108" s="3" t="str">
        <f>IFERROR(__xludf.DUMMYFUNCTION("""COMPUTED_VALUE"""),"Paquete de Elasticos 63 mm x 8 mm x 8 Hojas L850")</f>
        <v>Paquete de Elasticos 63 mm x 8 mm x 8 Hojas L850</v>
      </c>
      <c r="BQ108" s="3" t="str">
        <f>IFERROR(__xludf.DUMMYFUNCTION("""COMPUTED_VALUE"""),"Paquete de Elasticos 63 mm x 10 mm x 10 Hojas L950")</f>
        <v>Paquete de Elasticos 63 mm x 10 mm x 10 Hojas L950</v>
      </c>
      <c r="BR108" s="3" t="str">
        <f>IFERROR(__xludf.DUMMYFUNCTION("""COMPUTED_VALUE"""),"Paquete de Elasticos 63 mm x 10 mm x 13 Hojas L975")</f>
        <v>Paquete de Elasticos 63 mm x 10 mm x 13 Hojas L975</v>
      </c>
      <c r="BS108" s="3" t="str">
        <f>IFERROR(__xludf.DUMMYFUNCTION("""COMPUTED_VALUE"""),"Paquete de Elasticos 50 mm x 7 mm x 9 Hojas L650")</f>
        <v>Paquete de Elasticos 50 mm x 7 mm x 9 Hojas L650</v>
      </c>
      <c r="BT108" s="3" t="str">
        <f>IFERROR(__xludf.DUMMYFUNCTION("""COMPUTED_VALUE"""),"Eje Acoplado 2"" x 1600 (06/08) Agrícola Centro 92")</f>
        <v>Eje Acoplado 2" x 1600 (06/08) Agrícola Centro 92</v>
      </c>
      <c r="BU108" s="3" t="str">
        <f>IFERROR(__xludf.DUMMYFUNCTION("""COMPUTED_VALUE"""),"Eje Acoplado 2 1/2"" x 1600 (07/09) Agrícola Centro 92")</f>
        <v>Eje Acoplado 2 1/2" x 1600 (07/09) Agrícola Centro 92</v>
      </c>
      <c r="BV108" s="3" t="str">
        <f>IFERROR(__xludf.DUMMYFUNCTION("""COMPUTED_VALUE"""),"Eje Acoplado 2 1/2"" x 1600 (09/11) Agrícola Centro 150")</f>
        <v>Eje Acoplado 2 1/2" x 1600 (09/11) Agrícola Centro 150</v>
      </c>
      <c r="BW108" s="3" t="str">
        <f>IFERROR(__xludf.DUMMYFUNCTION("""COMPUTED_VALUE"""),"Eje Acoplado 3"" x 1600 (10/13) Agrícola Centro 150")</f>
        <v>Eje Acoplado 3" x 1600 (10/13) Agrícola Centro 150</v>
      </c>
      <c r="BX108" s="3" t="str">
        <f>IFERROR(__xludf.DUMMYFUNCTION("""COMPUTED_VALUE"""),"Eje Acoplado 2 1/2"" x 2140 (07/09) Agrícola Centro 92")</f>
        <v>Eje Acoplado 2 1/2" x 2140 (07/09) Agrícola Centro 92</v>
      </c>
      <c r="BY108" s="3" t="str">
        <f>IFERROR(__xludf.DUMMYFUNCTION("""COMPUTED_VALUE"""),"Eje Acoplado 2"" x 1400 (06/08) Agrícola Centro 92")</f>
        <v>Eje Acoplado 2" x 1400 (06/08) Agrícola Centro 92</v>
      </c>
      <c r="BZ108" s="3" t="str">
        <f>IFERROR(__xludf.DUMMYFUNCTION("""COMPUTED_VALUE"""),"Eje Acoplado 2 1/2"" x 1500 (07/09) Agrícola Centro 92")</f>
        <v>Eje Acoplado 2 1/2" x 1500 (07/09) Agrícola Centro 92</v>
      </c>
      <c r="CA108" s="3" t="str">
        <f>IFERROR(__xludf.DUMMYFUNCTION("""COMPUTED_VALUE"""),"Eje Acoplado 2 1/2"" x 2000 (07/09) Agrícola Centro 92")</f>
        <v>Eje Acoplado 2 1/2" x 2000 (07/09) Agrícola Centro 92</v>
      </c>
      <c r="CB108" s="3" t="str">
        <f>IFERROR(__xludf.DUMMYFUNCTION("""COMPUTED_VALUE"""),"Eje Acoplado 2 1/2"" x 2100 (09/11) Agrícola Centro 150")</f>
        <v>Eje Acoplado 2 1/2" x 2100 (09/11) Agrícola Centro 150</v>
      </c>
      <c r="CC108" s="3" t="str">
        <f>IFERROR(__xludf.DUMMYFUNCTION("""COMPUTED_VALUE"""),"Llanta 16"" Simple Agrícola Centro 92")</f>
        <v>Llanta 16" Simple Agrícola Centro 92</v>
      </c>
      <c r="CD108" s="3" t="str">
        <f>IFERROR(__xludf.DUMMYFUNCTION("""COMPUTED_VALUE"""),"Llanta 16"" Dual Agrícola Centro 92")</f>
        <v>Llanta 16" Dual Agrícola Centro 92</v>
      </c>
      <c r="CE108" s="3" t="str">
        <f>IFERROR(__xludf.DUMMYFUNCTION("""COMPUTED_VALUE"""),"Llanta 17"" Simple Agrícola Centro 92")</f>
        <v>Llanta 17" Simple Agrícola Centro 92</v>
      </c>
      <c r="CF108" s="3" t="str">
        <f>IFERROR(__xludf.DUMMYFUNCTION("""COMPUTED_VALUE"""),"Llanta 17"" Dual Agrícola Centro 92")</f>
        <v>Llanta 17" Dual Agrícola Centro 92</v>
      </c>
      <c r="CG108" s="3" t="str">
        <f>IFERROR(__xludf.DUMMYFUNCTION("""COMPUTED_VALUE"""),"Llanta 16"" Dual Agrícola Centro 152")</f>
        <v>Llanta 16" Dual Agrícola Centro 152</v>
      </c>
      <c r="CH108" s="3" t="str">
        <f>IFERROR(__xludf.DUMMYFUNCTION("""COMPUTED_VALUE"""),"Llanta 17"" Dual Agrícola Centro 152")</f>
        <v>Llanta 17" Dual Agrícola Centro 152</v>
      </c>
      <c r="CI108" s="3" t="str">
        <f>IFERROR(__xludf.DUMMYFUNCTION("""COMPUTED_VALUE"""),"Eje Acoplado 2"" x 1600 (05/07) Agrícola Centro 92")</f>
        <v>Eje Acoplado 2" x 1600 (05/07) Agrícola Centro 92</v>
      </c>
      <c r="CJ108" s="3" t="str">
        <f>IFERROR(__xludf.DUMMYFUNCTION("""COMPUTED_VALUE"""),"Paquete de Elásticos 50 mm x 8 mm x 12 Hojas")</f>
        <v>Paquete de Elásticos 50 mm x 8 mm x 12 Hojas</v>
      </c>
      <c r="CK108" s="3" t="str">
        <f>IFERROR(__xludf.DUMMYFUNCTION("""COMPUTED_VALUE"""),"Plataforma Playo 4.00 x 1.90 x 0.45 Lateral Simple Baranda Fija")</f>
        <v>Plataforma Playo 4.00 x 1.90 x 0.45 Lateral Simple Baranda Fija</v>
      </c>
      <c r="CL108" s="3" t="str">
        <f>IFERROR(__xludf.DUMMYFUNCTION("""COMPUTED_VALUE"""),"Plataforma Playo 4.00 x 1.90 x 0.45 Lateral Simple Baranda Ventilada")</f>
        <v>Plataforma Playo 4.00 x 1.90 x 0.45 Lateral Simple Baranda Ventilada</v>
      </c>
      <c r="CM108" s="3" t="str">
        <f>IFERROR(__xludf.DUMMYFUNCTION("""COMPUTED_VALUE"""),"Plataforma Playo 4.00 x 1.90 x 0.45 Lateral Doble Baranda Ventilada")</f>
        <v>Plataforma Playo 4.00 x 1.90 x 0.45 Lateral Doble Baranda Ventilada</v>
      </c>
      <c r="CN108" s="3" t="str">
        <f>IFERROR(__xludf.DUMMYFUNCTION("""COMPUTED_VALUE"""),"Plataforma Playo 4.00 x 1.90 x 0.45 Lateral Doble Baranda Fija")</f>
        <v>Plataforma Playo 4.00 x 1.90 x 0.45 Lateral Doble Baranda Fija</v>
      </c>
      <c r="CO108" s="3" t="str">
        <f>IFERROR(__xludf.DUMMYFUNCTION("""COMPUTED_VALUE"""),"Plataforma Playo 4.00 x 1.90 x 0.72 Lateral Simple Baranda Fija")</f>
        <v>Plataforma Playo 4.00 x 1.90 x 0.72 Lateral Simple Baranda Fija</v>
      </c>
      <c r="CP108" s="3" t="str">
        <f>IFERROR(__xludf.DUMMYFUNCTION("""COMPUTED_VALUE"""),"Plataforma Playo 4.00 x 1.90 x 0.72 Lateral Doble Baranda Fija")</f>
        <v>Plataforma Playo 4.00 x 1.90 x 0.72 Lateral Doble Baranda Fija</v>
      </c>
      <c r="CQ108" s="3" t="str">
        <f>IFERROR(__xludf.DUMMYFUNCTION("""COMPUTED_VALUE"""),"Plataforma Playo 5.00 x 2.20 x 0.60 Lateral Doble Trasera Rebatible")</f>
        <v>Plataforma Playo 5.00 x 2.20 x 0.60 Lateral Doble Trasera Rebatible</v>
      </c>
      <c r="CR108" s="3" t="str">
        <f>IFERROR(__xludf.DUMMYFUNCTION("""COMPUTED_VALUE"""),"Plataforma Playo 5.00 x 2.20 x 0.60 Lateral Doble Baranda Fija C/Toldo")</f>
        <v>Plataforma Playo 5.00 x 2.20 x 0.60 Lateral Doble Baranda Fija C/Toldo</v>
      </c>
      <c r="CS108" s="3" t="str">
        <f>IFERROR(__xludf.DUMMYFUNCTION("""COMPUTED_VALUE"""),"Plataforma Playo 3.00 x 1.90 x 0.45 Lateral Simple Baranda Fija")</f>
        <v>Plataforma Playo 3.00 x 1.90 x 0.45 Lateral Simple Baranda Fija</v>
      </c>
      <c r="CT108" s="3" t="str">
        <f>IFERROR(__xludf.DUMMYFUNCTION("""COMPUTED_VALUE"""),"Plataforma Playo 3.00 x 1.90 x 0.45 Lateral Simple Baranda Ventilada")</f>
        <v>Plataforma Playo 3.00 x 1.90 x 0.45 Lateral Simple Baranda Ventilada</v>
      </c>
      <c r="CU108" s="3" t="str">
        <f>IFERROR(__xludf.DUMMYFUNCTION("""COMPUTED_VALUE"""),"Plataforma Playo 2.00 x 1.90 x 0.45 Lateral Simple Baranda Fija")</f>
        <v>Plataforma Playo 2.00 x 1.90 x 0.45 Lateral Simple Baranda Fija</v>
      </c>
      <c r="CV108" s="3" t="str">
        <f>IFERROR(__xludf.DUMMYFUNCTION("""COMPUTED_VALUE"""),"Plataforma Playo 5.00 x 1.90 x 0.60 Lateral Doble Baranda Fija")</f>
        <v>Plataforma Playo 5.00 x 1.90 x 0.60 Lateral Doble Baranda Fija</v>
      </c>
      <c r="CW108" s="3" t="str">
        <f>IFERROR(__xludf.DUMMYFUNCTION("""COMPUTED_VALUE"""),"Plataforma Playo 6.40 x 2.70 x 0.72 Lateral Doble Baranda Fija")</f>
        <v>Plataforma Playo 6.40 x 2.70 x 0.72 Lateral Doble Baranda Fija</v>
      </c>
      <c r="CX108" s="3" t="str">
        <f>IFERROR(__xludf.DUMMYFUNCTION("""COMPUTED_VALUE"""),"Chasis Acoplado Balancin L4000 Lanza Recta")</f>
        <v>Chasis Acoplado Balancin L4000 Lanza Recta</v>
      </c>
      <c r="CY108" s="3" t="str">
        <f>IFERROR(__xludf.DUMMYFUNCTION("""COMPUTED_VALUE"""),"Llanta simple Agrícola 750x20 centro 152")</f>
        <v>Llanta simple Agrícola 750x20 centro 152</v>
      </c>
      <c r="CZ108" s="3" t="str">
        <f>IFERROR(__xludf.DUMMYFUNCTION("""COMPUTED_VALUE"""),"Cajón de Herramientas Mediano adelante")</f>
        <v>Cajón de Herramientas Mediano adelante</v>
      </c>
      <c r="DA108" s="3" t="str">
        <f>IFERROR(__xludf.DUMMYFUNCTION("""COMPUTED_VALUE"""),"Llanta 15"" Simple Agrícola Centro 92")</f>
        <v>Llanta 15" Simple Agrícola Centro 92</v>
      </c>
    </row>
    <row r="109" hidden="1">
      <c r="A109" s="38">
        <f t="shared" si="1"/>
        <v>108</v>
      </c>
      <c r="B109" s="38">
        <f>IF(F109="","",SUMIF(Prearmados!E:E,F109,Prearmados!A:A))</f>
        <v>20</v>
      </c>
      <c r="C109" s="38">
        <f>IF(F109="","",SUMIF(Productos!E:E,G109,Productos!A:A))</f>
        <v>0</v>
      </c>
      <c r="D109" s="83" t="str">
        <f t="array" ref="D109">IF(OR(F109="",F109="Seleccionar.."),"",XLOOKUP(F109,Prearmados!E:E,Prearmados!F:F,"",0,1))</f>
        <v>Acoplados Rurales</v>
      </c>
      <c r="E109" s="83">
        <f>IF(H109="","",SUMIF(Precio_Productos!K:K,C109,Precio_Productos!J:J)*H109)</f>
        <v>1462800</v>
      </c>
      <c r="F109" s="84" t="s">
        <v>343</v>
      </c>
      <c r="G109" s="84" t="s">
        <v>159</v>
      </c>
      <c r="H109" s="13">
        <v>4.0</v>
      </c>
      <c r="P109" s="3" t="str">
        <f>IFERROR(__xludf.DUMMYFUNCTION("IF(OR(F109="""",F109=""Seleccionar..""),"""",TRANSPOSE(FILTER(Productos!E:E,(Productos!F:F=D109)+(Productos!F:F=XLOOKUP(D109,Implementos!B:B,Implementos!C:C,""-"",0,1)))))"),"Tanque Combustible 1100 lts Bajo")</f>
        <v>Tanque Combustible 1100 lts Bajo</v>
      </c>
      <c r="Q109" s="3" t="str">
        <f>IFERROR(__xludf.DUMMYFUNCTION("""COMPUTED_VALUE"""),"Tanque Combustible 1500 lts Standard")</f>
        <v>Tanque Combustible 1500 lts Standard</v>
      </c>
      <c r="R109" s="3" t="str">
        <f>IFERROR(__xludf.DUMMYFUNCTION("""COMPUTED_VALUE"""),"Tanque Combustible 1800 lts Standard")</f>
        <v>Tanque Combustible 1800 lts Standard</v>
      </c>
      <c r="S109" s="3" t="str">
        <f>IFERROR(__xludf.DUMMYFUNCTION("""COMPUTED_VALUE"""),"Tanque Combustible 2000 lts Bajo")</f>
        <v>Tanque Combustible 2000 lts Bajo</v>
      </c>
      <c r="T109" s="3" t="str">
        <f>IFERROR(__xludf.DUMMYFUNCTION("""COMPUTED_VALUE"""),"Tanque Combustible 2000 lts Standard")</f>
        <v>Tanque Combustible 2000 lts Standard</v>
      </c>
      <c r="U109" s="3" t="str">
        <f>IFERROR(__xludf.DUMMYFUNCTION("""COMPUTED_VALUE"""),"Tanque Combustible 3000 lts Standard")</f>
        <v>Tanque Combustible 3000 lts Standard</v>
      </c>
      <c r="V109" s="3" t="str">
        <f>IFERROR(__xludf.DUMMYFUNCTION("""COMPUTED_VALUE"""),"Tanque Combustible 3000 lts Alto")</f>
        <v>Tanque Combustible 3000 lts Alto</v>
      </c>
      <c r="W109" s="3" t="str">
        <f>IFERROR(__xludf.DUMMYFUNCTION("""COMPUTED_VALUE"""),"Tanque Combustible 4000 lts Standard")</f>
        <v>Tanque Combustible 4000 lts Standard</v>
      </c>
      <c r="X109" s="3" t="str">
        <f>IFERROR(__xludf.DUMMYFUNCTION("""COMPUTED_VALUE"""),"Tanque Combustible 5000 lts Standard")</f>
        <v>Tanque Combustible 5000 lts Standard</v>
      </c>
      <c r="Y109" s="3" t="str">
        <f>IFERROR(__xludf.DUMMYFUNCTION("""COMPUTED_VALUE"""),"Tanque Combustible 5000 lts Alto")</f>
        <v>Tanque Combustible 5000 lts Alto</v>
      </c>
      <c r="Z109" s="3" t="str">
        <f>IFERROR(__xludf.DUMMYFUNCTION("""COMPUTED_VALUE"""),"Tanque Combustible 2000 lts Alto")</f>
        <v>Tanque Combustible 2000 lts Alto</v>
      </c>
      <c r="AA109" s="3" t="str">
        <f>IFERROR(__xludf.DUMMYFUNCTION("""COMPUTED_VALUE"""),"Tanque Combustible 4000 lts Alto")</f>
        <v>Tanque Combustible 4000 lts Alto</v>
      </c>
      <c r="AB109" s="3" t="str">
        <f>IFERROR(__xludf.DUMMYFUNCTION("""COMPUTED_VALUE"""),"Baulera Standard - 750")</f>
        <v>Baulera Standard - 750</v>
      </c>
      <c r="AC109" s="3" t="str">
        <f>IFERROR(__xludf.DUMMYFUNCTION("""COMPUTED_VALUE"""),"Baulera Standard - 1700 - C/Laterales")</f>
        <v>Baulera Standard - 1700 - C/Laterales</v>
      </c>
      <c r="AD109" s="3" t="str">
        <f>IFERROR(__xludf.DUMMYFUNCTION("""COMPUTED_VALUE"""),"Baulera Standard - 1000 - C/Laterales")</f>
        <v>Baulera Standard - 1000 - C/Laterales</v>
      </c>
      <c r="AE109" s="3" t="str">
        <f>IFERROR(__xludf.DUMMYFUNCTION("""COMPUTED_VALUE"""),"Baulera Standard - 750 - C/Laterales")</f>
        <v>Baulera Standard - 750 - C/Laterales</v>
      </c>
      <c r="AF109" s="3" t="str">
        <f>IFERROR(__xludf.DUMMYFUNCTION("""COMPUTED_VALUE"""),"Baulera Standard - 1300 - C/Laterales")</f>
        <v>Baulera Standard - 1300 - C/Laterales</v>
      </c>
      <c r="AG109" s="3" t="str">
        <f>IFERROR(__xludf.DUMMYFUNCTION("""COMPUTED_VALUE"""),"Baulera Alta - 750")</f>
        <v>Baulera Alta - 750</v>
      </c>
      <c r="AH109" s="3" t="str">
        <f>IFERROR(__xludf.DUMMYFUNCTION("""COMPUTED_VALUE"""),"Baulera Alta - 1500 - C/Laterales")</f>
        <v>Baulera Alta - 1500 - C/Laterales</v>
      </c>
      <c r="AI109" s="3" t="str">
        <f>IFERROR(__xludf.DUMMYFUNCTION("""COMPUTED_VALUE"""),"Baulera Extendida 1700 - C/Laterales")</f>
        <v>Baulera Extendida 1700 - C/Laterales</v>
      </c>
      <c r="AJ109" s="3" t="str">
        <f>IFERROR(__xludf.DUMMYFUNCTION("""COMPUTED_VALUE"""),"Taller Móvil - 1500 x 1500 x 1700")</f>
        <v>Taller Móvil - 1500 x 1500 x 1700</v>
      </c>
      <c r="AK109" s="3" t="str">
        <f>IFERROR(__xludf.DUMMYFUNCTION("""COMPUTED_VALUE"""),"Cajón Herramientas Standard Derecho")</f>
        <v>Cajón Herramientas Standard Derecho</v>
      </c>
      <c r="AL109" s="3" t="str">
        <f>IFERROR(__xludf.DUMMYFUNCTION("""COMPUTED_VALUE"""),"Cajón Herramientas Standard Izquierdo")</f>
        <v>Cajón Herramientas Standard Izquierdo</v>
      </c>
      <c r="AM109" s="3" t="str">
        <f>IFERROR(__xludf.DUMMYFUNCTION("""COMPUTED_VALUE"""),"Cajón Herramientas Corto Derecho")</f>
        <v>Cajón Herramientas Corto Derecho</v>
      </c>
      <c r="AN109" s="3" t="str">
        <f>IFERROR(__xludf.DUMMYFUNCTION("""COMPUTED_VALUE"""),"Cajón Herramientas Corto Izquierdo")</f>
        <v>Cajón Herramientas Corto Izquierdo</v>
      </c>
      <c r="AO109" s="3" t="str">
        <f>IFERROR(__xludf.DUMMYFUNCTION("""COMPUTED_VALUE"""),"Cajón Herramientas Mediano Derecho")</f>
        <v>Cajón Herramientas Mediano Derecho</v>
      </c>
      <c r="AP109" s="3" t="str">
        <f>IFERROR(__xludf.DUMMYFUNCTION("""COMPUTED_VALUE"""),"Cajón Herramientas Mediano Izquierdo")</f>
        <v>Cajón Herramientas Mediano Izquierdo</v>
      </c>
      <c r="AQ109" s="3" t="str">
        <f>IFERROR(__xludf.DUMMYFUNCTION("""COMPUTED_VALUE"""),"Chasis Acoplado 2 Ejes L3000")</f>
        <v>Chasis Acoplado 2 Ejes L3000</v>
      </c>
      <c r="AR109" s="3" t="str">
        <f>IFERROR(__xludf.DUMMYFUNCTION("""COMPUTED_VALUE"""),"Chasis Acoplado 2 Ejes L3750")</f>
        <v>Chasis Acoplado 2 Ejes L3750</v>
      </c>
      <c r="AS109" s="3" t="str">
        <f>IFERROR(__xludf.DUMMYFUNCTION("""COMPUTED_VALUE"""),"Chasis Acoplado 2 Ejes L4000")</f>
        <v>Chasis Acoplado 2 Ejes L4000</v>
      </c>
      <c r="AT109" s="3" t="str">
        <f>IFERROR(__xludf.DUMMYFUNCTION("""COMPUTED_VALUE"""),"Chasis Acoplado 2 Ejes L4000 Reforzado")</f>
        <v>Chasis Acoplado 2 Ejes L4000 Reforzado</v>
      </c>
      <c r="AU109" s="3" t="str">
        <f>IFERROR(__xludf.DUMMYFUNCTION("""COMPUTED_VALUE"""),"Chasis Acoplado 2 Ejes L4750")</f>
        <v>Chasis Acoplado 2 Ejes L4750</v>
      </c>
      <c r="AV109" s="3" t="str">
        <f>IFERROR(__xludf.DUMMYFUNCTION("""COMPUTED_VALUE"""),"Chasis Acoplado 2 Ejes L4750 Reforzado")</f>
        <v>Chasis Acoplado 2 Ejes L4750 Reforzado</v>
      </c>
      <c r="AW109" s="3" t="str">
        <f>IFERROR(__xludf.DUMMYFUNCTION("""COMPUTED_VALUE"""),"Chasis Acoplado 2 Ejes L4750 Reforzado R. Camion")</f>
        <v>Chasis Acoplado 2 Ejes L4750 Reforzado R. Camion</v>
      </c>
      <c r="AX109" s="3" t="str">
        <f>IFERROR(__xludf.DUMMYFUNCTION("""COMPUTED_VALUE"""),"Chasis Acoplado 2 Ejes L5000")</f>
        <v>Chasis Acoplado 2 Ejes L5000</v>
      </c>
      <c r="AY109" s="3" t="str">
        <f>IFERROR(__xludf.DUMMYFUNCTION("""COMPUTED_VALUE"""),"Chasis Acoplado 2 Ejes L5750")</f>
        <v>Chasis Acoplado 2 Ejes L5750</v>
      </c>
      <c r="AZ109" s="3" t="str">
        <f>IFERROR(__xludf.DUMMYFUNCTION("""COMPUTED_VALUE"""),"Chasis Acoplado 2 Ejes L6400")</f>
        <v>Chasis Acoplado 2 Ejes L6400</v>
      </c>
      <c r="BA109" s="3" t="str">
        <f>IFERROR(__xludf.DUMMYFUNCTION("""COMPUTED_VALUE"""),"Chasis Acoplado 2 Ejes L4500")</f>
        <v>Chasis Acoplado 2 Ejes L4500</v>
      </c>
      <c r="BB109" s="3" t="str">
        <f>IFERROR(__xludf.DUMMYFUNCTION("""COMPUTED_VALUE"""),"Chasis Acoplado 1 Eje L1500")</f>
        <v>Chasis Acoplado 1 Eje L1500</v>
      </c>
      <c r="BC109" s="3" t="str">
        <f>IFERROR(__xludf.DUMMYFUNCTION("""COMPUTED_VALUE"""),"Chasis Acoplado 1 Eje L1800")</f>
        <v>Chasis Acoplado 1 Eje L1800</v>
      </c>
      <c r="BD109" s="3" t="str">
        <f>IFERROR(__xludf.DUMMYFUNCTION("""COMPUTED_VALUE"""),"Chasis Acoplado 1 Eje L1400")</f>
        <v>Chasis Acoplado 1 Eje L1400</v>
      </c>
      <c r="BE109" s="3" t="str">
        <f>IFERROR(__xludf.DUMMYFUNCTION("""COMPUTED_VALUE"""),"Chasis Acoplado Balancin L3000")</f>
        <v>Chasis Acoplado Balancin L3000</v>
      </c>
      <c r="BF109" s="3" t="str">
        <f>IFERROR(__xludf.DUMMYFUNCTION("""COMPUTED_VALUE"""),"Chasis Acoplado Balancin L3000 Lanza Corta")</f>
        <v>Chasis Acoplado Balancin L3000 Lanza Corta</v>
      </c>
      <c r="BG109" s="3" t="str">
        <f>IFERROR(__xludf.DUMMYFUNCTION("""COMPUTED_VALUE"""),"Chasis Acoplado Balancin L2000 Lanza Corta")</f>
        <v>Chasis Acoplado Balancin L2000 Lanza Corta</v>
      </c>
      <c r="BH109" s="3" t="str">
        <f>IFERROR(__xludf.DUMMYFUNCTION("""COMPUTED_VALUE"""),"Chasis Acoplado Balancin L3200 Lanza Corta")</f>
        <v>Chasis Acoplado Balancin L3200 Lanza Corta</v>
      </c>
      <c r="BI109" s="3" t="str">
        <f>IFERROR(__xludf.DUMMYFUNCTION("""COMPUTED_VALUE"""),"Chasis Acoplado Balancin L3200 Lanza Recta")</f>
        <v>Chasis Acoplado Balancin L3200 Lanza Recta</v>
      </c>
      <c r="BJ109" s="3" t="str">
        <f>IFERROR(__xludf.DUMMYFUNCTION("""COMPUTED_VALUE"""),"Chasis Acoplado Balancin L3200 Bajo Lanza Recta")</f>
        <v>Chasis Acoplado Balancin L3200 Bajo Lanza Recta</v>
      </c>
      <c r="BK109" s="3" t="str">
        <f>IFERROR(__xludf.DUMMYFUNCTION("""COMPUTED_VALUE"""),"Tanque Plastico Horizontal 750 Lts")</f>
        <v>Tanque Plastico Horizontal 750 Lts</v>
      </c>
      <c r="BL109" s="3" t="str">
        <f>IFERROR(__xludf.DUMMYFUNCTION("""COMPUTED_VALUE"""),"Medio Tanque Plastico Superior 700 Lts")</f>
        <v>Medio Tanque Plastico Superior 700 Lts</v>
      </c>
      <c r="BM109" s="3" t="str">
        <f>IFERROR(__xludf.DUMMYFUNCTION("""COMPUTED_VALUE"""),"Paquete de Elasticos 50 mm x 8 mm x 10 Hojas L850")</f>
        <v>Paquete de Elasticos 50 mm x 8 mm x 10 Hojas L850</v>
      </c>
      <c r="BN109" s="3" t="str">
        <f>IFERROR(__xludf.DUMMYFUNCTION("""COMPUTED_VALUE"""),"Paquete de Elasticos 63 mm x 8 mm x 10 Hojas L950")</f>
        <v>Paquete de Elasticos 63 mm x 8 mm x 10 Hojas L950</v>
      </c>
      <c r="BO109" s="3" t="str">
        <f>IFERROR(__xludf.DUMMYFUNCTION("""COMPUTED_VALUE"""),"Paquete de Elasticos 50 mm x 7 mm x 9 Hojas L850")</f>
        <v>Paquete de Elasticos 50 mm x 7 mm x 9 Hojas L850</v>
      </c>
      <c r="BP109" s="3" t="str">
        <f>IFERROR(__xludf.DUMMYFUNCTION("""COMPUTED_VALUE"""),"Paquete de Elasticos 63 mm x 8 mm x 8 Hojas L850")</f>
        <v>Paquete de Elasticos 63 mm x 8 mm x 8 Hojas L850</v>
      </c>
      <c r="BQ109" s="3" t="str">
        <f>IFERROR(__xludf.DUMMYFUNCTION("""COMPUTED_VALUE"""),"Paquete de Elasticos 63 mm x 10 mm x 10 Hojas L950")</f>
        <v>Paquete de Elasticos 63 mm x 10 mm x 10 Hojas L950</v>
      </c>
      <c r="BR109" s="3" t="str">
        <f>IFERROR(__xludf.DUMMYFUNCTION("""COMPUTED_VALUE"""),"Paquete de Elasticos 63 mm x 10 mm x 13 Hojas L975")</f>
        <v>Paquete de Elasticos 63 mm x 10 mm x 13 Hojas L975</v>
      </c>
      <c r="BS109" s="3" t="str">
        <f>IFERROR(__xludf.DUMMYFUNCTION("""COMPUTED_VALUE"""),"Paquete de Elasticos 50 mm x 7 mm x 9 Hojas L650")</f>
        <v>Paquete de Elasticos 50 mm x 7 mm x 9 Hojas L650</v>
      </c>
      <c r="BT109" s="3" t="str">
        <f>IFERROR(__xludf.DUMMYFUNCTION("""COMPUTED_VALUE"""),"Eje Acoplado 2"" x 1600 (06/08) Agrícola Centro 92")</f>
        <v>Eje Acoplado 2" x 1600 (06/08) Agrícola Centro 92</v>
      </c>
      <c r="BU109" s="3" t="str">
        <f>IFERROR(__xludf.DUMMYFUNCTION("""COMPUTED_VALUE"""),"Eje Acoplado 2 1/2"" x 1600 (07/09) Agrícola Centro 92")</f>
        <v>Eje Acoplado 2 1/2" x 1600 (07/09) Agrícola Centro 92</v>
      </c>
      <c r="BV109" s="3" t="str">
        <f>IFERROR(__xludf.DUMMYFUNCTION("""COMPUTED_VALUE"""),"Eje Acoplado 2 1/2"" x 1600 (09/11) Agrícola Centro 150")</f>
        <v>Eje Acoplado 2 1/2" x 1600 (09/11) Agrícola Centro 150</v>
      </c>
      <c r="BW109" s="3" t="str">
        <f>IFERROR(__xludf.DUMMYFUNCTION("""COMPUTED_VALUE"""),"Eje Acoplado 3"" x 1600 (10/13) Agrícola Centro 150")</f>
        <v>Eje Acoplado 3" x 1600 (10/13) Agrícola Centro 150</v>
      </c>
      <c r="BX109" s="3" t="str">
        <f>IFERROR(__xludf.DUMMYFUNCTION("""COMPUTED_VALUE"""),"Eje Acoplado 2 1/2"" x 2140 (07/09) Agrícola Centro 92")</f>
        <v>Eje Acoplado 2 1/2" x 2140 (07/09) Agrícola Centro 92</v>
      </c>
      <c r="BY109" s="3" t="str">
        <f>IFERROR(__xludf.DUMMYFUNCTION("""COMPUTED_VALUE"""),"Eje Acoplado 2"" x 1400 (06/08) Agrícola Centro 92")</f>
        <v>Eje Acoplado 2" x 1400 (06/08) Agrícola Centro 92</v>
      </c>
      <c r="BZ109" s="3" t="str">
        <f>IFERROR(__xludf.DUMMYFUNCTION("""COMPUTED_VALUE"""),"Eje Acoplado 2 1/2"" x 1500 (07/09) Agrícola Centro 92")</f>
        <v>Eje Acoplado 2 1/2" x 1500 (07/09) Agrícola Centro 92</v>
      </c>
      <c r="CA109" s="3" t="str">
        <f>IFERROR(__xludf.DUMMYFUNCTION("""COMPUTED_VALUE"""),"Eje Acoplado 2 1/2"" x 2000 (07/09) Agrícola Centro 92")</f>
        <v>Eje Acoplado 2 1/2" x 2000 (07/09) Agrícola Centro 92</v>
      </c>
      <c r="CB109" s="3" t="str">
        <f>IFERROR(__xludf.DUMMYFUNCTION("""COMPUTED_VALUE"""),"Eje Acoplado 2 1/2"" x 2100 (09/11) Agrícola Centro 150")</f>
        <v>Eje Acoplado 2 1/2" x 2100 (09/11) Agrícola Centro 150</v>
      </c>
      <c r="CC109" s="3" t="str">
        <f>IFERROR(__xludf.DUMMYFUNCTION("""COMPUTED_VALUE"""),"Llanta 16"" Simple Agrícola Centro 92")</f>
        <v>Llanta 16" Simple Agrícola Centro 92</v>
      </c>
      <c r="CD109" s="3" t="str">
        <f>IFERROR(__xludf.DUMMYFUNCTION("""COMPUTED_VALUE"""),"Llanta 16"" Dual Agrícola Centro 92")</f>
        <v>Llanta 16" Dual Agrícola Centro 92</v>
      </c>
      <c r="CE109" s="3" t="str">
        <f>IFERROR(__xludf.DUMMYFUNCTION("""COMPUTED_VALUE"""),"Llanta 17"" Simple Agrícola Centro 92")</f>
        <v>Llanta 17" Simple Agrícola Centro 92</v>
      </c>
      <c r="CF109" s="3" t="str">
        <f>IFERROR(__xludf.DUMMYFUNCTION("""COMPUTED_VALUE"""),"Llanta 17"" Dual Agrícola Centro 92")</f>
        <v>Llanta 17" Dual Agrícola Centro 92</v>
      </c>
      <c r="CG109" s="3" t="str">
        <f>IFERROR(__xludf.DUMMYFUNCTION("""COMPUTED_VALUE"""),"Llanta 16"" Dual Agrícola Centro 152")</f>
        <v>Llanta 16" Dual Agrícola Centro 152</v>
      </c>
      <c r="CH109" s="3" t="str">
        <f>IFERROR(__xludf.DUMMYFUNCTION("""COMPUTED_VALUE"""),"Llanta 17"" Dual Agrícola Centro 152")</f>
        <v>Llanta 17" Dual Agrícola Centro 152</v>
      </c>
      <c r="CI109" s="3" t="str">
        <f>IFERROR(__xludf.DUMMYFUNCTION("""COMPUTED_VALUE"""),"Eje Acoplado 2"" x 1600 (05/07) Agrícola Centro 92")</f>
        <v>Eje Acoplado 2" x 1600 (05/07) Agrícola Centro 92</v>
      </c>
      <c r="CJ109" s="3" t="str">
        <f>IFERROR(__xludf.DUMMYFUNCTION("""COMPUTED_VALUE"""),"Paquete de Elásticos 50 mm x 8 mm x 12 Hojas")</f>
        <v>Paquete de Elásticos 50 mm x 8 mm x 12 Hojas</v>
      </c>
      <c r="CK109" s="3" t="str">
        <f>IFERROR(__xludf.DUMMYFUNCTION("""COMPUTED_VALUE"""),"Plataforma Playo 4.00 x 1.90 x 0.45 Lateral Simple Baranda Fija")</f>
        <v>Plataforma Playo 4.00 x 1.90 x 0.45 Lateral Simple Baranda Fija</v>
      </c>
      <c r="CL109" s="3" t="str">
        <f>IFERROR(__xludf.DUMMYFUNCTION("""COMPUTED_VALUE"""),"Plataforma Playo 4.00 x 1.90 x 0.45 Lateral Simple Baranda Ventilada")</f>
        <v>Plataforma Playo 4.00 x 1.90 x 0.45 Lateral Simple Baranda Ventilada</v>
      </c>
      <c r="CM109" s="3" t="str">
        <f>IFERROR(__xludf.DUMMYFUNCTION("""COMPUTED_VALUE"""),"Plataforma Playo 4.00 x 1.90 x 0.45 Lateral Doble Baranda Ventilada")</f>
        <v>Plataforma Playo 4.00 x 1.90 x 0.45 Lateral Doble Baranda Ventilada</v>
      </c>
      <c r="CN109" s="3" t="str">
        <f>IFERROR(__xludf.DUMMYFUNCTION("""COMPUTED_VALUE"""),"Plataforma Playo 4.00 x 1.90 x 0.45 Lateral Doble Baranda Fija")</f>
        <v>Plataforma Playo 4.00 x 1.90 x 0.45 Lateral Doble Baranda Fija</v>
      </c>
      <c r="CO109" s="3" t="str">
        <f>IFERROR(__xludf.DUMMYFUNCTION("""COMPUTED_VALUE"""),"Plataforma Playo 4.00 x 1.90 x 0.72 Lateral Simple Baranda Fija")</f>
        <v>Plataforma Playo 4.00 x 1.90 x 0.72 Lateral Simple Baranda Fija</v>
      </c>
      <c r="CP109" s="3" t="str">
        <f>IFERROR(__xludf.DUMMYFUNCTION("""COMPUTED_VALUE"""),"Plataforma Playo 4.00 x 1.90 x 0.72 Lateral Doble Baranda Fija")</f>
        <v>Plataforma Playo 4.00 x 1.90 x 0.72 Lateral Doble Baranda Fija</v>
      </c>
      <c r="CQ109" s="3" t="str">
        <f>IFERROR(__xludf.DUMMYFUNCTION("""COMPUTED_VALUE"""),"Plataforma Playo 5.00 x 2.20 x 0.60 Lateral Doble Trasera Rebatible")</f>
        <v>Plataforma Playo 5.00 x 2.20 x 0.60 Lateral Doble Trasera Rebatible</v>
      </c>
      <c r="CR109" s="3" t="str">
        <f>IFERROR(__xludf.DUMMYFUNCTION("""COMPUTED_VALUE"""),"Plataforma Playo 5.00 x 2.20 x 0.60 Lateral Doble Baranda Fija C/Toldo")</f>
        <v>Plataforma Playo 5.00 x 2.20 x 0.60 Lateral Doble Baranda Fija C/Toldo</v>
      </c>
      <c r="CS109" s="3" t="str">
        <f>IFERROR(__xludf.DUMMYFUNCTION("""COMPUTED_VALUE"""),"Plataforma Playo 3.00 x 1.90 x 0.45 Lateral Simple Baranda Fija")</f>
        <v>Plataforma Playo 3.00 x 1.90 x 0.45 Lateral Simple Baranda Fija</v>
      </c>
      <c r="CT109" s="3" t="str">
        <f>IFERROR(__xludf.DUMMYFUNCTION("""COMPUTED_VALUE"""),"Plataforma Playo 3.00 x 1.90 x 0.45 Lateral Simple Baranda Ventilada")</f>
        <v>Plataforma Playo 3.00 x 1.90 x 0.45 Lateral Simple Baranda Ventilada</v>
      </c>
      <c r="CU109" s="3" t="str">
        <f>IFERROR(__xludf.DUMMYFUNCTION("""COMPUTED_VALUE"""),"Plataforma Playo 2.00 x 1.90 x 0.45 Lateral Simple Baranda Fija")</f>
        <v>Plataforma Playo 2.00 x 1.90 x 0.45 Lateral Simple Baranda Fija</v>
      </c>
      <c r="CV109" s="3" t="str">
        <f>IFERROR(__xludf.DUMMYFUNCTION("""COMPUTED_VALUE"""),"Plataforma Playo 5.00 x 1.90 x 0.60 Lateral Doble Baranda Fija")</f>
        <v>Plataforma Playo 5.00 x 1.90 x 0.60 Lateral Doble Baranda Fija</v>
      </c>
      <c r="CW109" s="3" t="str">
        <f>IFERROR(__xludf.DUMMYFUNCTION("""COMPUTED_VALUE"""),"Plataforma Playo 6.40 x 2.70 x 0.72 Lateral Doble Baranda Fija")</f>
        <v>Plataforma Playo 6.40 x 2.70 x 0.72 Lateral Doble Baranda Fija</v>
      </c>
      <c r="CX109" s="3" t="str">
        <f>IFERROR(__xludf.DUMMYFUNCTION("""COMPUTED_VALUE"""),"Chasis Acoplado Balancin L4000 Lanza Recta")</f>
        <v>Chasis Acoplado Balancin L4000 Lanza Recta</v>
      </c>
      <c r="CY109" s="3" t="str">
        <f>IFERROR(__xludf.DUMMYFUNCTION("""COMPUTED_VALUE"""),"Llanta simple Agrícola 750x20 centro 152")</f>
        <v>Llanta simple Agrícola 750x20 centro 152</v>
      </c>
      <c r="CZ109" s="3" t="str">
        <f>IFERROR(__xludf.DUMMYFUNCTION("""COMPUTED_VALUE"""),"Cajón de Herramientas Mediano adelante")</f>
        <v>Cajón de Herramientas Mediano adelante</v>
      </c>
      <c r="DA109" s="3" t="str">
        <f>IFERROR(__xludf.DUMMYFUNCTION("""COMPUTED_VALUE"""),"Llanta 15"" Simple Agrícola Centro 92")</f>
        <v>Llanta 15" Simple Agrícola Centro 92</v>
      </c>
    </row>
    <row r="110" hidden="1">
      <c r="A110" s="38">
        <f t="shared" si="1"/>
        <v>109</v>
      </c>
      <c r="B110" s="38">
        <f>IF(F110="","",SUMIF(Prearmados!E:E,F110,Prearmados!A:A))</f>
        <v>20</v>
      </c>
      <c r="C110" s="38">
        <f>IF(F110="","",SUMIF(Productos!E:E,G110,Productos!A:A))</f>
        <v>111</v>
      </c>
      <c r="D110" s="83" t="str">
        <f t="array" ref="D110">IF(OR(F110="",F110="Seleccionar.."),"",XLOOKUP(F110,Prearmados!E:E,Prearmados!F:F,"",0,1))</f>
        <v>Acoplados Rurales</v>
      </c>
      <c r="E110" s="83">
        <f>IF(H110="","",SUMIF(Precio_Productos!K:K,C110,Precio_Productos!J:J)*H110)</f>
        <v>1116000</v>
      </c>
      <c r="F110" s="84" t="s">
        <v>343</v>
      </c>
      <c r="G110" s="84" t="s">
        <v>130</v>
      </c>
      <c r="H110" s="13">
        <v>8.0</v>
      </c>
      <c r="P110" s="3" t="str">
        <f>IFERROR(__xludf.DUMMYFUNCTION("IF(OR(F110="""",F110=""Seleccionar..""),"""",TRANSPOSE(FILTER(Productos!E:E,(Productos!F:F=D110)+(Productos!F:F=XLOOKUP(D110,Implementos!B:B,Implementos!C:C,""-"",0,1)))))"),"Tanque Combustible 1100 lts Bajo")</f>
        <v>Tanque Combustible 1100 lts Bajo</v>
      </c>
      <c r="Q110" s="3" t="str">
        <f>IFERROR(__xludf.DUMMYFUNCTION("""COMPUTED_VALUE"""),"Tanque Combustible 1500 lts Standard")</f>
        <v>Tanque Combustible 1500 lts Standard</v>
      </c>
      <c r="R110" s="3" t="str">
        <f>IFERROR(__xludf.DUMMYFUNCTION("""COMPUTED_VALUE"""),"Tanque Combustible 1800 lts Standard")</f>
        <v>Tanque Combustible 1800 lts Standard</v>
      </c>
      <c r="S110" s="3" t="str">
        <f>IFERROR(__xludf.DUMMYFUNCTION("""COMPUTED_VALUE"""),"Tanque Combustible 2000 lts Bajo")</f>
        <v>Tanque Combustible 2000 lts Bajo</v>
      </c>
      <c r="T110" s="3" t="str">
        <f>IFERROR(__xludf.DUMMYFUNCTION("""COMPUTED_VALUE"""),"Tanque Combustible 2000 lts Standard")</f>
        <v>Tanque Combustible 2000 lts Standard</v>
      </c>
      <c r="U110" s="3" t="str">
        <f>IFERROR(__xludf.DUMMYFUNCTION("""COMPUTED_VALUE"""),"Tanque Combustible 3000 lts Standard")</f>
        <v>Tanque Combustible 3000 lts Standard</v>
      </c>
      <c r="V110" s="3" t="str">
        <f>IFERROR(__xludf.DUMMYFUNCTION("""COMPUTED_VALUE"""),"Tanque Combustible 3000 lts Alto")</f>
        <v>Tanque Combustible 3000 lts Alto</v>
      </c>
      <c r="W110" s="3" t="str">
        <f>IFERROR(__xludf.DUMMYFUNCTION("""COMPUTED_VALUE"""),"Tanque Combustible 4000 lts Standard")</f>
        <v>Tanque Combustible 4000 lts Standard</v>
      </c>
      <c r="X110" s="3" t="str">
        <f>IFERROR(__xludf.DUMMYFUNCTION("""COMPUTED_VALUE"""),"Tanque Combustible 5000 lts Standard")</f>
        <v>Tanque Combustible 5000 lts Standard</v>
      </c>
      <c r="Y110" s="3" t="str">
        <f>IFERROR(__xludf.DUMMYFUNCTION("""COMPUTED_VALUE"""),"Tanque Combustible 5000 lts Alto")</f>
        <v>Tanque Combustible 5000 lts Alto</v>
      </c>
      <c r="Z110" s="3" t="str">
        <f>IFERROR(__xludf.DUMMYFUNCTION("""COMPUTED_VALUE"""),"Tanque Combustible 2000 lts Alto")</f>
        <v>Tanque Combustible 2000 lts Alto</v>
      </c>
      <c r="AA110" s="3" t="str">
        <f>IFERROR(__xludf.DUMMYFUNCTION("""COMPUTED_VALUE"""),"Tanque Combustible 4000 lts Alto")</f>
        <v>Tanque Combustible 4000 lts Alto</v>
      </c>
      <c r="AB110" s="3" t="str">
        <f>IFERROR(__xludf.DUMMYFUNCTION("""COMPUTED_VALUE"""),"Baulera Standard - 750")</f>
        <v>Baulera Standard - 750</v>
      </c>
      <c r="AC110" s="3" t="str">
        <f>IFERROR(__xludf.DUMMYFUNCTION("""COMPUTED_VALUE"""),"Baulera Standard - 1700 - C/Laterales")</f>
        <v>Baulera Standard - 1700 - C/Laterales</v>
      </c>
      <c r="AD110" s="3" t="str">
        <f>IFERROR(__xludf.DUMMYFUNCTION("""COMPUTED_VALUE"""),"Baulera Standard - 1000 - C/Laterales")</f>
        <v>Baulera Standard - 1000 - C/Laterales</v>
      </c>
      <c r="AE110" s="3" t="str">
        <f>IFERROR(__xludf.DUMMYFUNCTION("""COMPUTED_VALUE"""),"Baulera Standard - 750 - C/Laterales")</f>
        <v>Baulera Standard - 750 - C/Laterales</v>
      </c>
      <c r="AF110" s="3" t="str">
        <f>IFERROR(__xludf.DUMMYFUNCTION("""COMPUTED_VALUE"""),"Baulera Standard - 1300 - C/Laterales")</f>
        <v>Baulera Standard - 1300 - C/Laterales</v>
      </c>
      <c r="AG110" s="3" t="str">
        <f>IFERROR(__xludf.DUMMYFUNCTION("""COMPUTED_VALUE"""),"Baulera Alta - 750")</f>
        <v>Baulera Alta - 750</v>
      </c>
      <c r="AH110" s="3" t="str">
        <f>IFERROR(__xludf.DUMMYFUNCTION("""COMPUTED_VALUE"""),"Baulera Alta - 1500 - C/Laterales")</f>
        <v>Baulera Alta - 1500 - C/Laterales</v>
      </c>
      <c r="AI110" s="3" t="str">
        <f>IFERROR(__xludf.DUMMYFUNCTION("""COMPUTED_VALUE"""),"Baulera Extendida 1700 - C/Laterales")</f>
        <v>Baulera Extendida 1700 - C/Laterales</v>
      </c>
      <c r="AJ110" s="3" t="str">
        <f>IFERROR(__xludf.DUMMYFUNCTION("""COMPUTED_VALUE"""),"Taller Móvil - 1500 x 1500 x 1700")</f>
        <v>Taller Móvil - 1500 x 1500 x 1700</v>
      </c>
      <c r="AK110" s="3" t="str">
        <f>IFERROR(__xludf.DUMMYFUNCTION("""COMPUTED_VALUE"""),"Cajón Herramientas Standard Derecho")</f>
        <v>Cajón Herramientas Standard Derecho</v>
      </c>
      <c r="AL110" s="3" t="str">
        <f>IFERROR(__xludf.DUMMYFUNCTION("""COMPUTED_VALUE"""),"Cajón Herramientas Standard Izquierdo")</f>
        <v>Cajón Herramientas Standard Izquierdo</v>
      </c>
      <c r="AM110" s="3" t="str">
        <f>IFERROR(__xludf.DUMMYFUNCTION("""COMPUTED_VALUE"""),"Cajón Herramientas Corto Derecho")</f>
        <v>Cajón Herramientas Corto Derecho</v>
      </c>
      <c r="AN110" s="3" t="str">
        <f>IFERROR(__xludf.DUMMYFUNCTION("""COMPUTED_VALUE"""),"Cajón Herramientas Corto Izquierdo")</f>
        <v>Cajón Herramientas Corto Izquierdo</v>
      </c>
      <c r="AO110" s="3" t="str">
        <f>IFERROR(__xludf.DUMMYFUNCTION("""COMPUTED_VALUE"""),"Cajón Herramientas Mediano Derecho")</f>
        <v>Cajón Herramientas Mediano Derecho</v>
      </c>
      <c r="AP110" s="3" t="str">
        <f>IFERROR(__xludf.DUMMYFUNCTION("""COMPUTED_VALUE"""),"Cajón Herramientas Mediano Izquierdo")</f>
        <v>Cajón Herramientas Mediano Izquierdo</v>
      </c>
      <c r="AQ110" s="3" t="str">
        <f>IFERROR(__xludf.DUMMYFUNCTION("""COMPUTED_VALUE"""),"Chasis Acoplado 2 Ejes L3000")</f>
        <v>Chasis Acoplado 2 Ejes L3000</v>
      </c>
      <c r="AR110" s="3" t="str">
        <f>IFERROR(__xludf.DUMMYFUNCTION("""COMPUTED_VALUE"""),"Chasis Acoplado 2 Ejes L3750")</f>
        <v>Chasis Acoplado 2 Ejes L3750</v>
      </c>
      <c r="AS110" s="3" t="str">
        <f>IFERROR(__xludf.DUMMYFUNCTION("""COMPUTED_VALUE"""),"Chasis Acoplado 2 Ejes L4000")</f>
        <v>Chasis Acoplado 2 Ejes L4000</v>
      </c>
      <c r="AT110" s="3" t="str">
        <f>IFERROR(__xludf.DUMMYFUNCTION("""COMPUTED_VALUE"""),"Chasis Acoplado 2 Ejes L4000 Reforzado")</f>
        <v>Chasis Acoplado 2 Ejes L4000 Reforzado</v>
      </c>
      <c r="AU110" s="3" t="str">
        <f>IFERROR(__xludf.DUMMYFUNCTION("""COMPUTED_VALUE"""),"Chasis Acoplado 2 Ejes L4750")</f>
        <v>Chasis Acoplado 2 Ejes L4750</v>
      </c>
      <c r="AV110" s="3" t="str">
        <f>IFERROR(__xludf.DUMMYFUNCTION("""COMPUTED_VALUE"""),"Chasis Acoplado 2 Ejes L4750 Reforzado")</f>
        <v>Chasis Acoplado 2 Ejes L4750 Reforzado</v>
      </c>
      <c r="AW110" s="3" t="str">
        <f>IFERROR(__xludf.DUMMYFUNCTION("""COMPUTED_VALUE"""),"Chasis Acoplado 2 Ejes L4750 Reforzado R. Camion")</f>
        <v>Chasis Acoplado 2 Ejes L4750 Reforzado R. Camion</v>
      </c>
      <c r="AX110" s="3" t="str">
        <f>IFERROR(__xludf.DUMMYFUNCTION("""COMPUTED_VALUE"""),"Chasis Acoplado 2 Ejes L5000")</f>
        <v>Chasis Acoplado 2 Ejes L5000</v>
      </c>
      <c r="AY110" s="3" t="str">
        <f>IFERROR(__xludf.DUMMYFUNCTION("""COMPUTED_VALUE"""),"Chasis Acoplado 2 Ejes L5750")</f>
        <v>Chasis Acoplado 2 Ejes L5750</v>
      </c>
      <c r="AZ110" s="3" t="str">
        <f>IFERROR(__xludf.DUMMYFUNCTION("""COMPUTED_VALUE"""),"Chasis Acoplado 2 Ejes L6400")</f>
        <v>Chasis Acoplado 2 Ejes L6400</v>
      </c>
      <c r="BA110" s="3" t="str">
        <f>IFERROR(__xludf.DUMMYFUNCTION("""COMPUTED_VALUE"""),"Chasis Acoplado 2 Ejes L4500")</f>
        <v>Chasis Acoplado 2 Ejes L4500</v>
      </c>
      <c r="BB110" s="3" t="str">
        <f>IFERROR(__xludf.DUMMYFUNCTION("""COMPUTED_VALUE"""),"Chasis Acoplado 1 Eje L1500")</f>
        <v>Chasis Acoplado 1 Eje L1500</v>
      </c>
      <c r="BC110" s="3" t="str">
        <f>IFERROR(__xludf.DUMMYFUNCTION("""COMPUTED_VALUE"""),"Chasis Acoplado 1 Eje L1800")</f>
        <v>Chasis Acoplado 1 Eje L1800</v>
      </c>
      <c r="BD110" s="3" t="str">
        <f>IFERROR(__xludf.DUMMYFUNCTION("""COMPUTED_VALUE"""),"Chasis Acoplado 1 Eje L1400")</f>
        <v>Chasis Acoplado 1 Eje L1400</v>
      </c>
      <c r="BE110" s="3" t="str">
        <f>IFERROR(__xludf.DUMMYFUNCTION("""COMPUTED_VALUE"""),"Chasis Acoplado Balancin L3000")</f>
        <v>Chasis Acoplado Balancin L3000</v>
      </c>
      <c r="BF110" s="3" t="str">
        <f>IFERROR(__xludf.DUMMYFUNCTION("""COMPUTED_VALUE"""),"Chasis Acoplado Balancin L3000 Lanza Corta")</f>
        <v>Chasis Acoplado Balancin L3000 Lanza Corta</v>
      </c>
      <c r="BG110" s="3" t="str">
        <f>IFERROR(__xludf.DUMMYFUNCTION("""COMPUTED_VALUE"""),"Chasis Acoplado Balancin L2000 Lanza Corta")</f>
        <v>Chasis Acoplado Balancin L2000 Lanza Corta</v>
      </c>
      <c r="BH110" s="3" t="str">
        <f>IFERROR(__xludf.DUMMYFUNCTION("""COMPUTED_VALUE"""),"Chasis Acoplado Balancin L3200 Lanza Corta")</f>
        <v>Chasis Acoplado Balancin L3200 Lanza Corta</v>
      </c>
      <c r="BI110" s="3" t="str">
        <f>IFERROR(__xludf.DUMMYFUNCTION("""COMPUTED_VALUE"""),"Chasis Acoplado Balancin L3200 Lanza Recta")</f>
        <v>Chasis Acoplado Balancin L3200 Lanza Recta</v>
      </c>
      <c r="BJ110" s="3" t="str">
        <f>IFERROR(__xludf.DUMMYFUNCTION("""COMPUTED_VALUE"""),"Chasis Acoplado Balancin L3200 Bajo Lanza Recta")</f>
        <v>Chasis Acoplado Balancin L3200 Bajo Lanza Recta</v>
      </c>
      <c r="BK110" s="3" t="str">
        <f>IFERROR(__xludf.DUMMYFUNCTION("""COMPUTED_VALUE"""),"Tanque Plastico Horizontal 750 Lts")</f>
        <v>Tanque Plastico Horizontal 750 Lts</v>
      </c>
      <c r="BL110" s="3" t="str">
        <f>IFERROR(__xludf.DUMMYFUNCTION("""COMPUTED_VALUE"""),"Medio Tanque Plastico Superior 700 Lts")</f>
        <v>Medio Tanque Plastico Superior 700 Lts</v>
      </c>
      <c r="BM110" s="3" t="str">
        <f>IFERROR(__xludf.DUMMYFUNCTION("""COMPUTED_VALUE"""),"Paquete de Elasticos 50 mm x 8 mm x 10 Hojas L850")</f>
        <v>Paquete de Elasticos 50 mm x 8 mm x 10 Hojas L850</v>
      </c>
      <c r="BN110" s="3" t="str">
        <f>IFERROR(__xludf.DUMMYFUNCTION("""COMPUTED_VALUE"""),"Paquete de Elasticos 63 mm x 8 mm x 10 Hojas L950")</f>
        <v>Paquete de Elasticos 63 mm x 8 mm x 10 Hojas L950</v>
      </c>
      <c r="BO110" s="3" t="str">
        <f>IFERROR(__xludf.DUMMYFUNCTION("""COMPUTED_VALUE"""),"Paquete de Elasticos 50 mm x 7 mm x 9 Hojas L850")</f>
        <v>Paquete de Elasticos 50 mm x 7 mm x 9 Hojas L850</v>
      </c>
      <c r="BP110" s="3" t="str">
        <f>IFERROR(__xludf.DUMMYFUNCTION("""COMPUTED_VALUE"""),"Paquete de Elasticos 63 mm x 8 mm x 8 Hojas L850")</f>
        <v>Paquete de Elasticos 63 mm x 8 mm x 8 Hojas L850</v>
      </c>
      <c r="BQ110" s="3" t="str">
        <f>IFERROR(__xludf.DUMMYFUNCTION("""COMPUTED_VALUE"""),"Paquete de Elasticos 63 mm x 10 mm x 10 Hojas L950")</f>
        <v>Paquete de Elasticos 63 mm x 10 mm x 10 Hojas L950</v>
      </c>
      <c r="BR110" s="3" t="str">
        <f>IFERROR(__xludf.DUMMYFUNCTION("""COMPUTED_VALUE"""),"Paquete de Elasticos 63 mm x 10 mm x 13 Hojas L975")</f>
        <v>Paquete de Elasticos 63 mm x 10 mm x 13 Hojas L975</v>
      </c>
      <c r="BS110" s="3" t="str">
        <f>IFERROR(__xludf.DUMMYFUNCTION("""COMPUTED_VALUE"""),"Paquete de Elasticos 50 mm x 7 mm x 9 Hojas L650")</f>
        <v>Paquete de Elasticos 50 mm x 7 mm x 9 Hojas L650</v>
      </c>
      <c r="BT110" s="3" t="str">
        <f>IFERROR(__xludf.DUMMYFUNCTION("""COMPUTED_VALUE"""),"Eje Acoplado 2"" x 1600 (06/08) Agrícola Centro 92")</f>
        <v>Eje Acoplado 2" x 1600 (06/08) Agrícola Centro 92</v>
      </c>
      <c r="BU110" s="3" t="str">
        <f>IFERROR(__xludf.DUMMYFUNCTION("""COMPUTED_VALUE"""),"Eje Acoplado 2 1/2"" x 1600 (07/09) Agrícola Centro 92")</f>
        <v>Eje Acoplado 2 1/2" x 1600 (07/09) Agrícola Centro 92</v>
      </c>
      <c r="BV110" s="3" t="str">
        <f>IFERROR(__xludf.DUMMYFUNCTION("""COMPUTED_VALUE"""),"Eje Acoplado 2 1/2"" x 1600 (09/11) Agrícola Centro 150")</f>
        <v>Eje Acoplado 2 1/2" x 1600 (09/11) Agrícola Centro 150</v>
      </c>
      <c r="BW110" s="3" t="str">
        <f>IFERROR(__xludf.DUMMYFUNCTION("""COMPUTED_VALUE"""),"Eje Acoplado 3"" x 1600 (10/13) Agrícola Centro 150")</f>
        <v>Eje Acoplado 3" x 1600 (10/13) Agrícola Centro 150</v>
      </c>
      <c r="BX110" s="3" t="str">
        <f>IFERROR(__xludf.DUMMYFUNCTION("""COMPUTED_VALUE"""),"Eje Acoplado 2 1/2"" x 2140 (07/09) Agrícola Centro 92")</f>
        <v>Eje Acoplado 2 1/2" x 2140 (07/09) Agrícola Centro 92</v>
      </c>
      <c r="BY110" s="3" t="str">
        <f>IFERROR(__xludf.DUMMYFUNCTION("""COMPUTED_VALUE"""),"Eje Acoplado 2"" x 1400 (06/08) Agrícola Centro 92")</f>
        <v>Eje Acoplado 2" x 1400 (06/08) Agrícola Centro 92</v>
      </c>
      <c r="BZ110" s="3" t="str">
        <f>IFERROR(__xludf.DUMMYFUNCTION("""COMPUTED_VALUE"""),"Eje Acoplado 2 1/2"" x 1500 (07/09) Agrícola Centro 92")</f>
        <v>Eje Acoplado 2 1/2" x 1500 (07/09) Agrícola Centro 92</v>
      </c>
      <c r="CA110" s="3" t="str">
        <f>IFERROR(__xludf.DUMMYFUNCTION("""COMPUTED_VALUE"""),"Eje Acoplado 2 1/2"" x 2000 (07/09) Agrícola Centro 92")</f>
        <v>Eje Acoplado 2 1/2" x 2000 (07/09) Agrícola Centro 92</v>
      </c>
      <c r="CB110" s="3" t="str">
        <f>IFERROR(__xludf.DUMMYFUNCTION("""COMPUTED_VALUE"""),"Eje Acoplado 2 1/2"" x 2100 (09/11) Agrícola Centro 150")</f>
        <v>Eje Acoplado 2 1/2" x 2100 (09/11) Agrícola Centro 150</v>
      </c>
      <c r="CC110" s="3" t="str">
        <f>IFERROR(__xludf.DUMMYFUNCTION("""COMPUTED_VALUE"""),"Llanta 16"" Simple Agrícola Centro 92")</f>
        <v>Llanta 16" Simple Agrícola Centro 92</v>
      </c>
      <c r="CD110" s="3" t="str">
        <f>IFERROR(__xludf.DUMMYFUNCTION("""COMPUTED_VALUE"""),"Llanta 16"" Dual Agrícola Centro 92")</f>
        <v>Llanta 16" Dual Agrícola Centro 92</v>
      </c>
      <c r="CE110" s="3" t="str">
        <f>IFERROR(__xludf.DUMMYFUNCTION("""COMPUTED_VALUE"""),"Llanta 17"" Simple Agrícola Centro 92")</f>
        <v>Llanta 17" Simple Agrícola Centro 92</v>
      </c>
      <c r="CF110" s="3" t="str">
        <f>IFERROR(__xludf.DUMMYFUNCTION("""COMPUTED_VALUE"""),"Llanta 17"" Dual Agrícola Centro 92")</f>
        <v>Llanta 17" Dual Agrícola Centro 92</v>
      </c>
      <c r="CG110" s="3" t="str">
        <f>IFERROR(__xludf.DUMMYFUNCTION("""COMPUTED_VALUE"""),"Llanta 16"" Dual Agrícola Centro 152")</f>
        <v>Llanta 16" Dual Agrícola Centro 152</v>
      </c>
      <c r="CH110" s="3" t="str">
        <f>IFERROR(__xludf.DUMMYFUNCTION("""COMPUTED_VALUE"""),"Llanta 17"" Dual Agrícola Centro 152")</f>
        <v>Llanta 17" Dual Agrícola Centro 152</v>
      </c>
      <c r="CI110" s="3" t="str">
        <f>IFERROR(__xludf.DUMMYFUNCTION("""COMPUTED_VALUE"""),"Eje Acoplado 2"" x 1600 (05/07) Agrícola Centro 92")</f>
        <v>Eje Acoplado 2" x 1600 (05/07) Agrícola Centro 92</v>
      </c>
      <c r="CJ110" s="3" t="str">
        <f>IFERROR(__xludf.DUMMYFUNCTION("""COMPUTED_VALUE"""),"Paquete de Elásticos 50 mm x 8 mm x 12 Hojas")</f>
        <v>Paquete de Elásticos 50 mm x 8 mm x 12 Hojas</v>
      </c>
      <c r="CK110" s="3" t="str">
        <f>IFERROR(__xludf.DUMMYFUNCTION("""COMPUTED_VALUE"""),"Plataforma Playo 4.00 x 1.90 x 0.45 Lateral Simple Baranda Fija")</f>
        <v>Plataforma Playo 4.00 x 1.90 x 0.45 Lateral Simple Baranda Fija</v>
      </c>
      <c r="CL110" s="3" t="str">
        <f>IFERROR(__xludf.DUMMYFUNCTION("""COMPUTED_VALUE"""),"Plataforma Playo 4.00 x 1.90 x 0.45 Lateral Simple Baranda Ventilada")</f>
        <v>Plataforma Playo 4.00 x 1.90 x 0.45 Lateral Simple Baranda Ventilada</v>
      </c>
      <c r="CM110" s="3" t="str">
        <f>IFERROR(__xludf.DUMMYFUNCTION("""COMPUTED_VALUE"""),"Plataforma Playo 4.00 x 1.90 x 0.45 Lateral Doble Baranda Ventilada")</f>
        <v>Plataforma Playo 4.00 x 1.90 x 0.45 Lateral Doble Baranda Ventilada</v>
      </c>
      <c r="CN110" s="3" t="str">
        <f>IFERROR(__xludf.DUMMYFUNCTION("""COMPUTED_VALUE"""),"Plataforma Playo 4.00 x 1.90 x 0.45 Lateral Doble Baranda Fija")</f>
        <v>Plataforma Playo 4.00 x 1.90 x 0.45 Lateral Doble Baranda Fija</v>
      </c>
      <c r="CO110" s="3" t="str">
        <f>IFERROR(__xludf.DUMMYFUNCTION("""COMPUTED_VALUE"""),"Plataforma Playo 4.00 x 1.90 x 0.72 Lateral Simple Baranda Fija")</f>
        <v>Plataforma Playo 4.00 x 1.90 x 0.72 Lateral Simple Baranda Fija</v>
      </c>
      <c r="CP110" s="3" t="str">
        <f>IFERROR(__xludf.DUMMYFUNCTION("""COMPUTED_VALUE"""),"Plataforma Playo 4.00 x 1.90 x 0.72 Lateral Doble Baranda Fija")</f>
        <v>Plataforma Playo 4.00 x 1.90 x 0.72 Lateral Doble Baranda Fija</v>
      </c>
      <c r="CQ110" s="3" t="str">
        <f>IFERROR(__xludf.DUMMYFUNCTION("""COMPUTED_VALUE"""),"Plataforma Playo 5.00 x 2.20 x 0.60 Lateral Doble Trasera Rebatible")</f>
        <v>Plataforma Playo 5.00 x 2.20 x 0.60 Lateral Doble Trasera Rebatible</v>
      </c>
      <c r="CR110" s="3" t="str">
        <f>IFERROR(__xludf.DUMMYFUNCTION("""COMPUTED_VALUE"""),"Plataforma Playo 5.00 x 2.20 x 0.60 Lateral Doble Baranda Fija C/Toldo")</f>
        <v>Plataforma Playo 5.00 x 2.20 x 0.60 Lateral Doble Baranda Fija C/Toldo</v>
      </c>
      <c r="CS110" s="3" t="str">
        <f>IFERROR(__xludf.DUMMYFUNCTION("""COMPUTED_VALUE"""),"Plataforma Playo 3.00 x 1.90 x 0.45 Lateral Simple Baranda Fija")</f>
        <v>Plataforma Playo 3.00 x 1.90 x 0.45 Lateral Simple Baranda Fija</v>
      </c>
      <c r="CT110" s="3" t="str">
        <f>IFERROR(__xludf.DUMMYFUNCTION("""COMPUTED_VALUE"""),"Plataforma Playo 3.00 x 1.90 x 0.45 Lateral Simple Baranda Ventilada")</f>
        <v>Plataforma Playo 3.00 x 1.90 x 0.45 Lateral Simple Baranda Ventilada</v>
      </c>
      <c r="CU110" s="3" t="str">
        <f>IFERROR(__xludf.DUMMYFUNCTION("""COMPUTED_VALUE"""),"Plataforma Playo 2.00 x 1.90 x 0.45 Lateral Simple Baranda Fija")</f>
        <v>Plataforma Playo 2.00 x 1.90 x 0.45 Lateral Simple Baranda Fija</v>
      </c>
      <c r="CV110" s="3" t="str">
        <f>IFERROR(__xludf.DUMMYFUNCTION("""COMPUTED_VALUE"""),"Plataforma Playo 5.00 x 1.90 x 0.60 Lateral Doble Baranda Fija")</f>
        <v>Plataforma Playo 5.00 x 1.90 x 0.60 Lateral Doble Baranda Fija</v>
      </c>
      <c r="CW110" s="3" t="str">
        <f>IFERROR(__xludf.DUMMYFUNCTION("""COMPUTED_VALUE"""),"Plataforma Playo 6.40 x 2.70 x 0.72 Lateral Doble Baranda Fija")</f>
        <v>Plataforma Playo 6.40 x 2.70 x 0.72 Lateral Doble Baranda Fija</v>
      </c>
      <c r="CX110" s="3" t="str">
        <f>IFERROR(__xludf.DUMMYFUNCTION("""COMPUTED_VALUE"""),"Chasis Acoplado Balancin L4000 Lanza Recta")</f>
        <v>Chasis Acoplado Balancin L4000 Lanza Recta</v>
      </c>
      <c r="CY110" s="3" t="str">
        <f>IFERROR(__xludf.DUMMYFUNCTION("""COMPUTED_VALUE"""),"Llanta simple Agrícola 750x20 centro 152")</f>
        <v>Llanta simple Agrícola 750x20 centro 152</v>
      </c>
      <c r="CZ110" s="3" t="str">
        <f>IFERROR(__xludf.DUMMYFUNCTION("""COMPUTED_VALUE"""),"Cajón de Herramientas Mediano adelante")</f>
        <v>Cajón de Herramientas Mediano adelante</v>
      </c>
      <c r="DA110" s="3" t="str">
        <f>IFERROR(__xludf.DUMMYFUNCTION("""COMPUTED_VALUE"""),"Llanta 15"" Simple Agrícola Centro 92")</f>
        <v>Llanta 15" Simple Agrícola Centro 92</v>
      </c>
    </row>
    <row r="111" hidden="1">
      <c r="A111" s="38">
        <f t="shared" si="1"/>
        <v>110</v>
      </c>
      <c r="B111" s="38">
        <f>IF(F111="","",SUMIF(Prearmados!E:E,F111,Prearmados!A:A))</f>
        <v>22</v>
      </c>
      <c r="C111" s="38">
        <f>IF(F111="","",SUMIF(Productos!E:E,G111,Productos!A:A))</f>
        <v>120</v>
      </c>
      <c r="D111" s="83" t="str">
        <f t="array" ref="D111">IF(OR(F111="",F111="Seleccionar.."),"",XLOOKUP(F111,Prearmados!E:E,Prearmados!F:F,"",0,1))</f>
        <v>Acoplados Rurales</v>
      </c>
      <c r="E111" s="83">
        <f>IF(H111="","",SUMIF(Precio_Productos!K:K,C111,Precio_Productos!J:J)*H111)</f>
        <v>2719611</v>
      </c>
      <c r="F111" s="84" t="s">
        <v>345</v>
      </c>
      <c r="G111" s="84" t="s">
        <v>161</v>
      </c>
      <c r="H111" s="13">
        <v>1.0</v>
      </c>
      <c r="P111" s="3" t="str">
        <f>IFERROR(__xludf.DUMMYFUNCTION("IF(OR(F111="""",F111=""Seleccionar..""),"""",TRANSPOSE(FILTER(Productos!E:E,(Productos!F:F=D111)+(Productos!F:F=XLOOKUP(D111,Implementos!B:B,Implementos!C:C,""-"",0,1)))))"),"Tanque Combustible 1100 lts Bajo")</f>
        <v>Tanque Combustible 1100 lts Bajo</v>
      </c>
      <c r="Q111" s="3" t="str">
        <f>IFERROR(__xludf.DUMMYFUNCTION("""COMPUTED_VALUE"""),"Tanque Combustible 1500 lts Standard")</f>
        <v>Tanque Combustible 1500 lts Standard</v>
      </c>
      <c r="R111" s="3" t="str">
        <f>IFERROR(__xludf.DUMMYFUNCTION("""COMPUTED_VALUE"""),"Tanque Combustible 1800 lts Standard")</f>
        <v>Tanque Combustible 1800 lts Standard</v>
      </c>
      <c r="S111" s="3" t="str">
        <f>IFERROR(__xludf.DUMMYFUNCTION("""COMPUTED_VALUE"""),"Tanque Combustible 2000 lts Bajo")</f>
        <v>Tanque Combustible 2000 lts Bajo</v>
      </c>
      <c r="T111" s="3" t="str">
        <f>IFERROR(__xludf.DUMMYFUNCTION("""COMPUTED_VALUE"""),"Tanque Combustible 2000 lts Standard")</f>
        <v>Tanque Combustible 2000 lts Standard</v>
      </c>
      <c r="U111" s="3" t="str">
        <f>IFERROR(__xludf.DUMMYFUNCTION("""COMPUTED_VALUE"""),"Tanque Combustible 3000 lts Standard")</f>
        <v>Tanque Combustible 3000 lts Standard</v>
      </c>
      <c r="V111" s="3" t="str">
        <f>IFERROR(__xludf.DUMMYFUNCTION("""COMPUTED_VALUE"""),"Tanque Combustible 3000 lts Alto")</f>
        <v>Tanque Combustible 3000 lts Alto</v>
      </c>
      <c r="W111" s="3" t="str">
        <f>IFERROR(__xludf.DUMMYFUNCTION("""COMPUTED_VALUE"""),"Tanque Combustible 4000 lts Standard")</f>
        <v>Tanque Combustible 4000 lts Standard</v>
      </c>
      <c r="X111" s="3" t="str">
        <f>IFERROR(__xludf.DUMMYFUNCTION("""COMPUTED_VALUE"""),"Tanque Combustible 5000 lts Standard")</f>
        <v>Tanque Combustible 5000 lts Standard</v>
      </c>
      <c r="Y111" s="3" t="str">
        <f>IFERROR(__xludf.DUMMYFUNCTION("""COMPUTED_VALUE"""),"Tanque Combustible 5000 lts Alto")</f>
        <v>Tanque Combustible 5000 lts Alto</v>
      </c>
      <c r="Z111" s="3" t="str">
        <f>IFERROR(__xludf.DUMMYFUNCTION("""COMPUTED_VALUE"""),"Tanque Combustible 2000 lts Alto")</f>
        <v>Tanque Combustible 2000 lts Alto</v>
      </c>
      <c r="AA111" s="3" t="str">
        <f>IFERROR(__xludf.DUMMYFUNCTION("""COMPUTED_VALUE"""),"Tanque Combustible 4000 lts Alto")</f>
        <v>Tanque Combustible 4000 lts Alto</v>
      </c>
      <c r="AB111" s="3" t="str">
        <f>IFERROR(__xludf.DUMMYFUNCTION("""COMPUTED_VALUE"""),"Baulera Standard - 750")</f>
        <v>Baulera Standard - 750</v>
      </c>
      <c r="AC111" s="3" t="str">
        <f>IFERROR(__xludf.DUMMYFUNCTION("""COMPUTED_VALUE"""),"Baulera Standard - 1700 - C/Laterales")</f>
        <v>Baulera Standard - 1700 - C/Laterales</v>
      </c>
      <c r="AD111" s="3" t="str">
        <f>IFERROR(__xludf.DUMMYFUNCTION("""COMPUTED_VALUE"""),"Baulera Standard - 1000 - C/Laterales")</f>
        <v>Baulera Standard - 1000 - C/Laterales</v>
      </c>
      <c r="AE111" s="3" t="str">
        <f>IFERROR(__xludf.DUMMYFUNCTION("""COMPUTED_VALUE"""),"Baulera Standard - 750 - C/Laterales")</f>
        <v>Baulera Standard - 750 - C/Laterales</v>
      </c>
      <c r="AF111" s="3" t="str">
        <f>IFERROR(__xludf.DUMMYFUNCTION("""COMPUTED_VALUE"""),"Baulera Standard - 1300 - C/Laterales")</f>
        <v>Baulera Standard - 1300 - C/Laterales</v>
      </c>
      <c r="AG111" s="3" t="str">
        <f>IFERROR(__xludf.DUMMYFUNCTION("""COMPUTED_VALUE"""),"Baulera Alta - 750")</f>
        <v>Baulera Alta - 750</v>
      </c>
      <c r="AH111" s="3" t="str">
        <f>IFERROR(__xludf.DUMMYFUNCTION("""COMPUTED_VALUE"""),"Baulera Alta - 1500 - C/Laterales")</f>
        <v>Baulera Alta - 1500 - C/Laterales</v>
      </c>
      <c r="AI111" s="3" t="str">
        <f>IFERROR(__xludf.DUMMYFUNCTION("""COMPUTED_VALUE"""),"Baulera Extendida 1700 - C/Laterales")</f>
        <v>Baulera Extendida 1700 - C/Laterales</v>
      </c>
      <c r="AJ111" s="3" t="str">
        <f>IFERROR(__xludf.DUMMYFUNCTION("""COMPUTED_VALUE"""),"Taller Móvil - 1500 x 1500 x 1700")</f>
        <v>Taller Móvil - 1500 x 1500 x 1700</v>
      </c>
      <c r="AK111" s="3" t="str">
        <f>IFERROR(__xludf.DUMMYFUNCTION("""COMPUTED_VALUE"""),"Cajón Herramientas Standard Derecho")</f>
        <v>Cajón Herramientas Standard Derecho</v>
      </c>
      <c r="AL111" s="3" t="str">
        <f>IFERROR(__xludf.DUMMYFUNCTION("""COMPUTED_VALUE"""),"Cajón Herramientas Standard Izquierdo")</f>
        <v>Cajón Herramientas Standard Izquierdo</v>
      </c>
      <c r="AM111" s="3" t="str">
        <f>IFERROR(__xludf.DUMMYFUNCTION("""COMPUTED_VALUE"""),"Cajón Herramientas Corto Derecho")</f>
        <v>Cajón Herramientas Corto Derecho</v>
      </c>
      <c r="AN111" s="3" t="str">
        <f>IFERROR(__xludf.DUMMYFUNCTION("""COMPUTED_VALUE"""),"Cajón Herramientas Corto Izquierdo")</f>
        <v>Cajón Herramientas Corto Izquierdo</v>
      </c>
      <c r="AO111" s="3" t="str">
        <f>IFERROR(__xludf.DUMMYFUNCTION("""COMPUTED_VALUE"""),"Cajón Herramientas Mediano Derecho")</f>
        <v>Cajón Herramientas Mediano Derecho</v>
      </c>
      <c r="AP111" s="3" t="str">
        <f>IFERROR(__xludf.DUMMYFUNCTION("""COMPUTED_VALUE"""),"Cajón Herramientas Mediano Izquierdo")</f>
        <v>Cajón Herramientas Mediano Izquierdo</v>
      </c>
      <c r="AQ111" s="3" t="str">
        <f>IFERROR(__xludf.DUMMYFUNCTION("""COMPUTED_VALUE"""),"Chasis Acoplado 2 Ejes L3000")</f>
        <v>Chasis Acoplado 2 Ejes L3000</v>
      </c>
      <c r="AR111" s="3" t="str">
        <f>IFERROR(__xludf.DUMMYFUNCTION("""COMPUTED_VALUE"""),"Chasis Acoplado 2 Ejes L3750")</f>
        <v>Chasis Acoplado 2 Ejes L3750</v>
      </c>
      <c r="AS111" s="3" t="str">
        <f>IFERROR(__xludf.DUMMYFUNCTION("""COMPUTED_VALUE"""),"Chasis Acoplado 2 Ejes L4000")</f>
        <v>Chasis Acoplado 2 Ejes L4000</v>
      </c>
      <c r="AT111" s="3" t="str">
        <f>IFERROR(__xludf.DUMMYFUNCTION("""COMPUTED_VALUE"""),"Chasis Acoplado 2 Ejes L4000 Reforzado")</f>
        <v>Chasis Acoplado 2 Ejes L4000 Reforzado</v>
      </c>
      <c r="AU111" s="3" t="str">
        <f>IFERROR(__xludf.DUMMYFUNCTION("""COMPUTED_VALUE"""),"Chasis Acoplado 2 Ejes L4750")</f>
        <v>Chasis Acoplado 2 Ejes L4750</v>
      </c>
      <c r="AV111" s="3" t="str">
        <f>IFERROR(__xludf.DUMMYFUNCTION("""COMPUTED_VALUE"""),"Chasis Acoplado 2 Ejes L4750 Reforzado")</f>
        <v>Chasis Acoplado 2 Ejes L4750 Reforzado</v>
      </c>
      <c r="AW111" s="3" t="str">
        <f>IFERROR(__xludf.DUMMYFUNCTION("""COMPUTED_VALUE"""),"Chasis Acoplado 2 Ejes L4750 Reforzado R. Camion")</f>
        <v>Chasis Acoplado 2 Ejes L4750 Reforzado R. Camion</v>
      </c>
      <c r="AX111" s="3" t="str">
        <f>IFERROR(__xludf.DUMMYFUNCTION("""COMPUTED_VALUE"""),"Chasis Acoplado 2 Ejes L5000")</f>
        <v>Chasis Acoplado 2 Ejes L5000</v>
      </c>
      <c r="AY111" s="3" t="str">
        <f>IFERROR(__xludf.DUMMYFUNCTION("""COMPUTED_VALUE"""),"Chasis Acoplado 2 Ejes L5750")</f>
        <v>Chasis Acoplado 2 Ejes L5750</v>
      </c>
      <c r="AZ111" s="3" t="str">
        <f>IFERROR(__xludf.DUMMYFUNCTION("""COMPUTED_VALUE"""),"Chasis Acoplado 2 Ejes L6400")</f>
        <v>Chasis Acoplado 2 Ejes L6400</v>
      </c>
      <c r="BA111" s="3" t="str">
        <f>IFERROR(__xludf.DUMMYFUNCTION("""COMPUTED_VALUE"""),"Chasis Acoplado 2 Ejes L4500")</f>
        <v>Chasis Acoplado 2 Ejes L4500</v>
      </c>
      <c r="BB111" s="3" t="str">
        <f>IFERROR(__xludf.DUMMYFUNCTION("""COMPUTED_VALUE"""),"Chasis Acoplado 1 Eje L1500")</f>
        <v>Chasis Acoplado 1 Eje L1500</v>
      </c>
      <c r="BC111" s="3" t="str">
        <f>IFERROR(__xludf.DUMMYFUNCTION("""COMPUTED_VALUE"""),"Chasis Acoplado 1 Eje L1800")</f>
        <v>Chasis Acoplado 1 Eje L1800</v>
      </c>
      <c r="BD111" s="3" t="str">
        <f>IFERROR(__xludf.DUMMYFUNCTION("""COMPUTED_VALUE"""),"Chasis Acoplado 1 Eje L1400")</f>
        <v>Chasis Acoplado 1 Eje L1400</v>
      </c>
      <c r="BE111" s="3" t="str">
        <f>IFERROR(__xludf.DUMMYFUNCTION("""COMPUTED_VALUE"""),"Chasis Acoplado Balancin L3000")</f>
        <v>Chasis Acoplado Balancin L3000</v>
      </c>
      <c r="BF111" s="3" t="str">
        <f>IFERROR(__xludf.DUMMYFUNCTION("""COMPUTED_VALUE"""),"Chasis Acoplado Balancin L3000 Lanza Corta")</f>
        <v>Chasis Acoplado Balancin L3000 Lanza Corta</v>
      </c>
      <c r="BG111" s="3" t="str">
        <f>IFERROR(__xludf.DUMMYFUNCTION("""COMPUTED_VALUE"""),"Chasis Acoplado Balancin L2000 Lanza Corta")</f>
        <v>Chasis Acoplado Balancin L2000 Lanza Corta</v>
      </c>
      <c r="BH111" s="3" t="str">
        <f>IFERROR(__xludf.DUMMYFUNCTION("""COMPUTED_VALUE"""),"Chasis Acoplado Balancin L3200 Lanza Corta")</f>
        <v>Chasis Acoplado Balancin L3200 Lanza Corta</v>
      </c>
      <c r="BI111" s="3" t="str">
        <f>IFERROR(__xludf.DUMMYFUNCTION("""COMPUTED_VALUE"""),"Chasis Acoplado Balancin L3200 Lanza Recta")</f>
        <v>Chasis Acoplado Balancin L3200 Lanza Recta</v>
      </c>
      <c r="BJ111" s="3" t="str">
        <f>IFERROR(__xludf.DUMMYFUNCTION("""COMPUTED_VALUE"""),"Chasis Acoplado Balancin L3200 Bajo Lanza Recta")</f>
        <v>Chasis Acoplado Balancin L3200 Bajo Lanza Recta</v>
      </c>
      <c r="BK111" s="3" t="str">
        <f>IFERROR(__xludf.DUMMYFUNCTION("""COMPUTED_VALUE"""),"Tanque Plastico Horizontal 750 Lts")</f>
        <v>Tanque Plastico Horizontal 750 Lts</v>
      </c>
      <c r="BL111" s="3" t="str">
        <f>IFERROR(__xludf.DUMMYFUNCTION("""COMPUTED_VALUE"""),"Medio Tanque Plastico Superior 700 Lts")</f>
        <v>Medio Tanque Plastico Superior 700 Lts</v>
      </c>
      <c r="BM111" s="3" t="str">
        <f>IFERROR(__xludf.DUMMYFUNCTION("""COMPUTED_VALUE"""),"Paquete de Elasticos 50 mm x 8 mm x 10 Hojas L850")</f>
        <v>Paquete de Elasticos 50 mm x 8 mm x 10 Hojas L850</v>
      </c>
      <c r="BN111" s="3" t="str">
        <f>IFERROR(__xludf.DUMMYFUNCTION("""COMPUTED_VALUE"""),"Paquete de Elasticos 63 mm x 8 mm x 10 Hojas L950")</f>
        <v>Paquete de Elasticos 63 mm x 8 mm x 10 Hojas L950</v>
      </c>
      <c r="BO111" s="3" t="str">
        <f>IFERROR(__xludf.DUMMYFUNCTION("""COMPUTED_VALUE"""),"Paquete de Elasticos 50 mm x 7 mm x 9 Hojas L850")</f>
        <v>Paquete de Elasticos 50 mm x 7 mm x 9 Hojas L850</v>
      </c>
      <c r="BP111" s="3" t="str">
        <f>IFERROR(__xludf.DUMMYFUNCTION("""COMPUTED_VALUE"""),"Paquete de Elasticos 63 mm x 8 mm x 8 Hojas L850")</f>
        <v>Paquete de Elasticos 63 mm x 8 mm x 8 Hojas L850</v>
      </c>
      <c r="BQ111" s="3" t="str">
        <f>IFERROR(__xludf.DUMMYFUNCTION("""COMPUTED_VALUE"""),"Paquete de Elasticos 63 mm x 10 mm x 10 Hojas L950")</f>
        <v>Paquete de Elasticos 63 mm x 10 mm x 10 Hojas L950</v>
      </c>
      <c r="BR111" s="3" t="str">
        <f>IFERROR(__xludf.DUMMYFUNCTION("""COMPUTED_VALUE"""),"Paquete de Elasticos 63 mm x 10 mm x 13 Hojas L975")</f>
        <v>Paquete de Elasticos 63 mm x 10 mm x 13 Hojas L975</v>
      </c>
      <c r="BS111" s="3" t="str">
        <f>IFERROR(__xludf.DUMMYFUNCTION("""COMPUTED_VALUE"""),"Paquete de Elasticos 50 mm x 7 mm x 9 Hojas L650")</f>
        <v>Paquete de Elasticos 50 mm x 7 mm x 9 Hojas L650</v>
      </c>
      <c r="BT111" s="3" t="str">
        <f>IFERROR(__xludf.DUMMYFUNCTION("""COMPUTED_VALUE"""),"Eje Acoplado 2"" x 1600 (06/08) Agrícola Centro 92")</f>
        <v>Eje Acoplado 2" x 1600 (06/08) Agrícola Centro 92</v>
      </c>
      <c r="BU111" s="3" t="str">
        <f>IFERROR(__xludf.DUMMYFUNCTION("""COMPUTED_VALUE"""),"Eje Acoplado 2 1/2"" x 1600 (07/09) Agrícola Centro 92")</f>
        <v>Eje Acoplado 2 1/2" x 1600 (07/09) Agrícola Centro 92</v>
      </c>
      <c r="BV111" s="3" t="str">
        <f>IFERROR(__xludf.DUMMYFUNCTION("""COMPUTED_VALUE"""),"Eje Acoplado 2 1/2"" x 1600 (09/11) Agrícola Centro 150")</f>
        <v>Eje Acoplado 2 1/2" x 1600 (09/11) Agrícola Centro 150</v>
      </c>
      <c r="BW111" s="3" t="str">
        <f>IFERROR(__xludf.DUMMYFUNCTION("""COMPUTED_VALUE"""),"Eje Acoplado 3"" x 1600 (10/13) Agrícola Centro 150")</f>
        <v>Eje Acoplado 3" x 1600 (10/13) Agrícola Centro 150</v>
      </c>
      <c r="BX111" s="3" t="str">
        <f>IFERROR(__xludf.DUMMYFUNCTION("""COMPUTED_VALUE"""),"Eje Acoplado 2 1/2"" x 2140 (07/09) Agrícola Centro 92")</f>
        <v>Eje Acoplado 2 1/2" x 2140 (07/09) Agrícola Centro 92</v>
      </c>
      <c r="BY111" s="3" t="str">
        <f>IFERROR(__xludf.DUMMYFUNCTION("""COMPUTED_VALUE"""),"Eje Acoplado 2"" x 1400 (06/08) Agrícola Centro 92")</f>
        <v>Eje Acoplado 2" x 1400 (06/08) Agrícola Centro 92</v>
      </c>
      <c r="BZ111" s="3" t="str">
        <f>IFERROR(__xludf.DUMMYFUNCTION("""COMPUTED_VALUE"""),"Eje Acoplado 2 1/2"" x 1500 (07/09) Agrícola Centro 92")</f>
        <v>Eje Acoplado 2 1/2" x 1500 (07/09) Agrícola Centro 92</v>
      </c>
      <c r="CA111" s="3" t="str">
        <f>IFERROR(__xludf.DUMMYFUNCTION("""COMPUTED_VALUE"""),"Eje Acoplado 2 1/2"" x 2000 (07/09) Agrícola Centro 92")</f>
        <v>Eje Acoplado 2 1/2" x 2000 (07/09) Agrícola Centro 92</v>
      </c>
      <c r="CB111" s="3" t="str">
        <f>IFERROR(__xludf.DUMMYFUNCTION("""COMPUTED_VALUE"""),"Eje Acoplado 2 1/2"" x 2100 (09/11) Agrícola Centro 150")</f>
        <v>Eje Acoplado 2 1/2" x 2100 (09/11) Agrícola Centro 150</v>
      </c>
      <c r="CC111" s="3" t="str">
        <f>IFERROR(__xludf.DUMMYFUNCTION("""COMPUTED_VALUE"""),"Llanta 16"" Simple Agrícola Centro 92")</f>
        <v>Llanta 16" Simple Agrícola Centro 92</v>
      </c>
      <c r="CD111" s="3" t="str">
        <f>IFERROR(__xludf.DUMMYFUNCTION("""COMPUTED_VALUE"""),"Llanta 16"" Dual Agrícola Centro 92")</f>
        <v>Llanta 16" Dual Agrícola Centro 92</v>
      </c>
      <c r="CE111" s="3" t="str">
        <f>IFERROR(__xludf.DUMMYFUNCTION("""COMPUTED_VALUE"""),"Llanta 17"" Simple Agrícola Centro 92")</f>
        <v>Llanta 17" Simple Agrícola Centro 92</v>
      </c>
      <c r="CF111" s="3" t="str">
        <f>IFERROR(__xludf.DUMMYFUNCTION("""COMPUTED_VALUE"""),"Llanta 17"" Dual Agrícola Centro 92")</f>
        <v>Llanta 17" Dual Agrícola Centro 92</v>
      </c>
      <c r="CG111" s="3" t="str">
        <f>IFERROR(__xludf.DUMMYFUNCTION("""COMPUTED_VALUE"""),"Llanta 16"" Dual Agrícola Centro 152")</f>
        <v>Llanta 16" Dual Agrícola Centro 152</v>
      </c>
      <c r="CH111" s="3" t="str">
        <f>IFERROR(__xludf.DUMMYFUNCTION("""COMPUTED_VALUE"""),"Llanta 17"" Dual Agrícola Centro 152")</f>
        <v>Llanta 17" Dual Agrícola Centro 152</v>
      </c>
      <c r="CI111" s="3" t="str">
        <f>IFERROR(__xludf.DUMMYFUNCTION("""COMPUTED_VALUE"""),"Eje Acoplado 2"" x 1600 (05/07) Agrícola Centro 92")</f>
        <v>Eje Acoplado 2" x 1600 (05/07) Agrícola Centro 92</v>
      </c>
      <c r="CJ111" s="3" t="str">
        <f>IFERROR(__xludf.DUMMYFUNCTION("""COMPUTED_VALUE"""),"Paquete de Elásticos 50 mm x 8 mm x 12 Hojas")</f>
        <v>Paquete de Elásticos 50 mm x 8 mm x 12 Hojas</v>
      </c>
      <c r="CK111" s="3" t="str">
        <f>IFERROR(__xludf.DUMMYFUNCTION("""COMPUTED_VALUE"""),"Plataforma Playo 4.00 x 1.90 x 0.45 Lateral Simple Baranda Fija")</f>
        <v>Plataforma Playo 4.00 x 1.90 x 0.45 Lateral Simple Baranda Fija</v>
      </c>
      <c r="CL111" s="3" t="str">
        <f>IFERROR(__xludf.DUMMYFUNCTION("""COMPUTED_VALUE"""),"Plataforma Playo 4.00 x 1.90 x 0.45 Lateral Simple Baranda Ventilada")</f>
        <v>Plataforma Playo 4.00 x 1.90 x 0.45 Lateral Simple Baranda Ventilada</v>
      </c>
      <c r="CM111" s="3" t="str">
        <f>IFERROR(__xludf.DUMMYFUNCTION("""COMPUTED_VALUE"""),"Plataforma Playo 4.00 x 1.90 x 0.45 Lateral Doble Baranda Ventilada")</f>
        <v>Plataforma Playo 4.00 x 1.90 x 0.45 Lateral Doble Baranda Ventilada</v>
      </c>
      <c r="CN111" s="3" t="str">
        <f>IFERROR(__xludf.DUMMYFUNCTION("""COMPUTED_VALUE"""),"Plataforma Playo 4.00 x 1.90 x 0.45 Lateral Doble Baranda Fija")</f>
        <v>Plataforma Playo 4.00 x 1.90 x 0.45 Lateral Doble Baranda Fija</v>
      </c>
      <c r="CO111" s="3" t="str">
        <f>IFERROR(__xludf.DUMMYFUNCTION("""COMPUTED_VALUE"""),"Plataforma Playo 4.00 x 1.90 x 0.72 Lateral Simple Baranda Fija")</f>
        <v>Plataforma Playo 4.00 x 1.90 x 0.72 Lateral Simple Baranda Fija</v>
      </c>
      <c r="CP111" s="3" t="str">
        <f>IFERROR(__xludf.DUMMYFUNCTION("""COMPUTED_VALUE"""),"Plataforma Playo 4.00 x 1.90 x 0.72 Lateral Doble Baranda Fija")</f>
        <v>Plataforma Playo 4.00 x 1.90 x 0.72 Lateral Doble Baranda Fija</v>
      </c>
      <c r="CQ111" s="3" t="str">
        <f>IFERROR(__xludf.DUMMYFUNCTION("""COMPUTED_VALUE"""),"Plataforma Playo 5.00 x 2.20 x 0.60 Lateral Doble Trasera Rebatible")</f>
        <v>Plataforma Playo 5.00 x 2.20 x 0.60 Lateral Doble Trasera Rebatible</v>
      </c>
      <c r="CR111" s="3" t="str">
        <f>IFERROR(__xludf.DUMMYFUNCTION("""COMPUTED_VALUE"""),"Plataforma Playo 5.00 x 2.20 x 0.60 Lateral Doble Baranda Fija C/Toldo")</f>
        <v>Plataforma Playo 5.00 x 2.20 x 0.60 Lateral Doble Baranda Fija C/Toldo</v>
      </c>
      <c r="CS111" s="3" t="str">
        <f>IFERROR(__xludf.DUMMYFUNCTION("""COMPUTED_VALUE"""),"Plataforma Playo 3.00 x 1.90 x 0.45 Lateral Simple Baranda Fija")</f>
        <v>Plataforma Playo 3.00 x 1.90 x 0.45 Lateral Simple Baranda Fija</v>
      </c>
      <c r="CT111" s="3" t="str">
        <f>IFERROR(__xludf.DUMMYFUNCTION("""COMPUTED_VALUE"""),"Plataforma Playo 3.00 x 1.90 x 0.45 Lateral Simple Baranda Ventilada")</f>
        <v>Plataforma Playo 3.00 x 1.90 x 0.45 Lateral Simple Baranda Ventilada</v>
      </c>
      <c r="CU111" s="3" t="str">
        <f>IFERROR(__xludf.DUMMYFUNCTION("""COMPUTED_VALUE"""),"Plataforma Playo 2.00 x 1.90 x 0.45 Lateral Simple Baranda Fija")</f>
        <v>Plataforma Playo 2.00 x 1.90 x 0.45 Lateral Simple Baranda Fija</v>
      </c>
      <c r="CV111" s="3" t="str">
        <f>IFERROR(__xludf.DUMMYFUNCTION("""COMPUTED_VALUE"""),"Plataforma Playo 5.00 x 1.90 x 0.60 Lateral Doble Baranda Fija")</f>
        <v>Plataforma Playo 5.00 x 1.90 x 0.60 Lateral Doble Baranda Fija</v>
      </c>
      <c r="CW111" s="3" t="str">
        <f>IFERROR(__xludf.DUMMYFUNCTION("""COMPUTED_VALUE"""),"Plataforma Playo 6.40 x 2.70 x 0.72 Lateral Doble Baranda Fija")</f>
        <v>Plataforma Playo 6.40 x 2.70 x 0.72 Lateral Doble Baranda Fija</v>
      </c>
      <c r="CX111" s="3" t="str">
        <f>IFERROR(__xludf.DUMMYFUNCTION("""COMPUTED_VALUE"""),"Chasis Acoplado Balancin L4000 Lanza Recta")</f>
        <v>Chasis Acoplado Balancin L4000 Lanza Recta</v>
      </c>
      <c r="CY111" s="3" t="str">
        <f>IFERROR(__xludf.DUMMYFUNCTION("""COMPUTED_VALUE"""),"Llanta simple Agrícola 750x20 centro 152")</f>
        <v>Llanta simple Agrícola 750x20 centro 152</v>
      </c>
      <c r="CZ111" s="3" t="str">
        <f>IFERROR(__xludf.DUMMYFUNCTION("""COMPUTED_VALUE"""),"Cajón de Herramientas Mediano adelante")</f>
        <v>Cajón de Herramientas Mediano adelante</v>
      </c>
      <c r="DA111" s="3" t="str">
        <f>IFERROR(__xludf.DUMMYFUNCTION("""COMPUTED_VALUE"""),"Llanta 15"" Simple Agrícola Centro 92")</f>
        <v>Llanta 15" Simple Agrícola Centro 92</v>
      </c>
    </row>
    <row r="112" hidden="1">
      <c r="A112" s="38">
        <f t="shared" si="1"/>
        <v>111</v>
      </c>
      <c r="B112" s="38">
        <f>IF(F112="","",SUMIF(Prearmados!E:E,F112,Prearmados!A:A))</f>
        <v>22</v>
      </c>
      <c r="C112" s="38">
        <f>IF(F112="","",SUMIF(Productos!E:E,G112,Productos!A:A))</f>
        <v>74</v>
      </c>
      <c r="D112" s="83" t="str">
        <f t="array" ref="D112">IF(OR(F112="",F112="Seleccionar.."),"",XLOOKUP(F112,Prearmados!E:E,Prearmados!F:F,"",0,1))</f>
        <v>Acoplados Rurales</v>
      </c>
      <c r="E112" s="83">
        <f>IF(H112="","",SUMIF(Precio_Productos!K:K,C112,Precio_Productos!J:J)*H112)</f>
        <v>2480000</v>
      </c>
      <c r="F112" s="84" t="s">
        <v>345</v>
      </c>
      <c r="G112" s="84" t="s">
        <v>100</v>
      </c>
      <c r="H112" s="13">
        <v>1.0</v>
      </c>
      <c r="P112" s="3" t="str">
        <f>IFERROR(__xludf.DUMMYFUNCTION("IF(OR(F112="""",F112=""Seleccionar..""),"""",TRANSPOSE(FILTER(Productos!E:E,(Productos!F:F=D112)+(Productos!F:F=XLOOKUP(D112,Implementos!B:B,Implementos!C:C,""-"",0,1)))))"),"Tanque Combustible 1100 lts Bajo")</f>
        <v>Tanque Combustible 1100 lts Bajo</v>
      </c>
      <c r="Q112" s="3" t="str">
        <f>IFERROR(__xludf.DUMMYFUNCTION("""COMPUTED_VALUE"""),"Tanque Combustible 1500 lts Standard")</f>
        <v>Tanque Combustible 1500 lts Standard</v>
      </c>
      <c r="R112" s="3" t="str">
        <f>IFERROR(__xludf.DUMMYFUNCTION("""COMPUTED_VALUE"""),"Tanque Combustible 1800 lts Standard")</f>
        <v>Tanque Combustible 1800 lts Standard</v>
      </c>
      <c r="S112" s="3" t="str">
        <f>IFERROR(__xludf.DUMMYFUNCTION("""COMPUTED_VALUE"""),"Tanque Combustible 2000 lts Bajo")</f>
        <v>Tanque Combustible 2000 lts Bajo</v>
      </c>
      <c r="T112" s="3" t="str">
        <f>IFERROR(__xludf.DUMMYFUNCTION("""COMPUTED_VALUE"""),"Tanque Combustible 2000 lts Standard")</f>
        <v>Tanque Combustible 2000 lts Standard</v>
      </c>
      <c r="U112" s="3" t="str">
        <f>IFERROR(__xludf.DUMMYFUNCTION("""COMPUTED_VALUE"""),"Tanque Combustible 3000 lts Standard")</f>
        <v>Tanque Combustible 3000 lts Standard</v>
      </c>
      <c r="V112" s="3" t="str">
        <f>IFERROR(__xludf.DUMMYFUNCTION("""COMPUTED_VALUE"""),"Tanque Combustible 3000 lts Alto")</f>
        <v>Tanque Combustible 3000 lts Alto</v>
      </c>
      <c r="W112" s="3" t="str">
        <f>IFERROR(__xludf.DUMMYFUNCTION("""COMPUTED_VALUE"""),"Tanque Combustible 4000 lts Standard")</f>
        <v>Tanque Combustible 4000 lts Standard</v>
      </c>
      <c r="X112" s="3" t="str">
        <f>IFERROR(__xludf.DUMMYFUNCTION("""COMPUTED_VALUE"""),"Tanque Combustible 5000 lts Standard")</f>
        <v>Tanque Combustible 5000 lts Standard</v>
      </c>
      <c r="Y112" s="3" t="str">
        <f>IFERROR(__xludf.DUMMYFUNCTION("""COMPUTED_VALUE"""),"Tanque Combustible 5000 lts Alto")</f>
        <v>Tanque Combustible 5000 lts Alto</v>
      </c>
      <c r="Z112" s="3" t="str">
        <f>IFERROR(__xludf.DUMMYFUNCTION("""COMPUTED_VALUE"""),"Tanque Combustible 2000 lts Alto")</f>
        <v>Tanque Combustible 2000 lts Alto</v>
      </c>
      <c r="AA112" s="3" t="str">
        <f>IFERROR(__xludf.DUMMYFUNCTION("""COMPUTED_VALUE"""),"Tanque Combustible 4000 lts Alto")</f>
        <v>Tanque Combustible 4000 lts Alto</v>
      </c>
      <c r="AB112" s="3" t="str">
        <f>IFERROR(__xludf.DUMMYFUNCTION("""COMPUTED_VALUE"""),"Baulera Standard - 750")</f>
        <v>Baulera Standard - 750</v>
      </c>
      <c r="AC112" s="3" t="str">
        <f>IFERROR(__xludf.DUMMYFUNCTION("""COMPUTED_VALUE"""),"Baulera Standard - 1700 - C/Laterales")</f>
        <v>Baulera Standard - 1700 - C/Laterales</v>
      </c>
      <c r="AD112" s="3" t="str">
        <f>IFERROR(__xludf.DUMMYFUNCTION("""COMPUTED_VALUE"""),"Baulera Standard - 1000 - C/Laterales")</f>
        <v>Baulera Standard - 1000 - C/Laterales</v>
      </c>
      <c r="AE112" s="3" t="str">
        <f>IFERROR(__xludf.DUMMYFUNCTION("""COMPUTED_VALUE"""),"Baulera Standard - 750 - C/Laterales")</f>
        <v>Baulera Standard - 750 - C/Laterales</v>
      </c>
      <c r="AF112" s="3" t="str">
        <f>IFERROR(__xludf.DUMMYFUNCTION("""COMPUTED_VALUE"""),"Baulera Standard - 1300 - C/Laterales")</f>
        <v>Baulera Standard - 1300 - C/Laterales</v>
      </c>
      <c r="AG112" s="3" t="str">
        <f>IFERROR(__xludf.DUMMYFUNCTION("""COMPUTED_VALUE"""),"Baulera Alta - 750")</f>
        <v>Baulera Alta - 750</v>
      </c>
      <c r="AH112" s="3" t="str">
        <f>IFERROR(__xludf.DUMMYFUNCTION("""COMPUTED_VALUE"""),"Baulera Alta - 1500 - C/Laterales")</f>
        <v>Baulera Alta - 1500 - C/Laterales</v>
      </c>
      <c r="AI112" s="3" t="str">
        <f>IFERROR(__xludf.DUMMYFUNCTION("""COMPUTED_VALUE"""),"Baulera Extendida 1700 - C/Laterales")</f>
        <v>Baulera Extendida 1700 - C/Laterales</v>
      </c>
      <c r="AJ112" s="3" t="str">
        <f>IFERROR(__xludf.DUMMYFUNCTION("""COMPUTED_VALUE"""),"Taller Móvil - 1500 x 1500 x 1700")</f>
        <v>Taller Móvil - 1500 x 1500 x 1700</v>
      </c>
      <c r="AK112" s="3" t="str">
        <f>IFERROR(__xludf.DUMMYFUNCTION("""COMPUTED_VALUE"""),"Cajón Herramientas Standard Derecho")</f>
        <v>Cajón Herramientas Standard Derecho</v>
      </c>
      <c r="AL112" s="3" t="str">
        <f>IFERROR(__xludf.DUMMYFUNCTION("""COMPUTED_VALUE"""),"Cajón Herramientas Standard Izquierdo")</f>
        <v>Cajón Herramientas Standard Izquierdo</v>
      </c>
      <c r="AM112" s="3" t="str">
        <f>IFERROR(__xludf.DUMMYFUNCTION("""COMPUTED_VALUE"""),"Cajón Herramientas Corto Derecho")</f>
        <v>Cajón Herramientas Corto Derecho</v>
      </c>
      <c r="AN112" s="3" t="str">
        <f>IFERROR(__xludf.DUMMYFUNCTION("""COMPUTED_VALUE"""),"Cajón Herramientas Corto Izquierdo")</f>
        <v>Cajón Herramientas Corto Izquierdo</v>
      </c>
      <c r="AO112" s="3" t="str">
        <f>IFERROR(__xludf.DUMMYFUNCTION("""COMPUTED_VALUE"""),"Cajón Herramientas Mediano Derecho")</f>
        <v>Cajón Herramientas Mediano Derecho</v>
      </c>
      <c r="AP112" s="3" t="str">
        <f>IFERROR(__xludf.DUMMYFUNCTION("""COMPUTED_VALUE"""),"Cajón Herramientas Mediano Izquierdo")</f>
        <v>Cajón Herramientas Mediano Izquierdo</v>
      </c>
      <c r="AQ112" s="3" t="str">
        <f>IFERROR(__xludf.DUMMYFUNCTION("""COMPUTED_VALUE"""),"Chasis Acoplado 2 Ejes L3000")</f>
        <v>Chasis Acoplado 2 Ejes L3000</v>
      </c>
      <c r="AR112" s="3" t="str">
        <f>IFERROR(__xludf.DUMMYFUNCTION("""COMPUTED_VALUE"""),"Chasis Acoplado 2 Ejes L3750")</f>
        <v>Chasis Acoplado 2 Ejes L3750</v>
      </c>
      <c r="AS112" s="3" t="str">
        <f>IFERROR(__xludf.DUMMYFUNCTION("""COMPUTED_VALUE"""),"Chasis Acoplado 2 Ejes L4000")</f>
        <v>Chasis Acoplado 2 Ejes L4000</v>
      </c>
      <c r="AT112" s="3" t="str">
        <f>IFERROR(__xludf.DUMMYFUNCTION("""COMPUTED_VALUE"""),"Chasis Acoplado 2 Ejes L4000 Reforzado")</f>
        <v>Chasis Acoplado 2 Ejes L4000 Reforzado</v>
      </c>
      <c r="AU112" s="3" t="str">
        <f>IFERROR(__xludf.DUMMYFUNCTION("""COMPUTED_VALUE"""),"Chasis Acoplado 2 Ejes L4750")</f>
        <v>Chasis Acoplado 2 Ejes L4750</v>
      </c>
      <c r="AV112" s="3" t="str">
        <f>IFERROR(__xludf.DUMMYFUNCTION("""COMPUTED_VALUE"""),"Chasis Acoplado 2 Ejes L4750 Reforzado")</f>
        <v>Chasis Acoplado 2 Ejes L4750 Reforzado</v>
      </c>
      <c r="AW112" s="3" t="str">
        <f>IFERROR(__xludf.DUMMYFUNCTION("""COMPUTED_VALUE"""),"Chasis Acoplado 2 Ejes L4750 Reforzado R. Camion")</f>
        <v>Chasis Acoplado 2 Ejes L4750 Reforzado R. Camion</v>
      </c>
      <c r="AX112" s="3" t="str">
        <f>IFERROR(__xludf.DUMMYFUNCTION("""COMPUTED_VALUE"""),"Chasis Acoplado 2 Ejes L5000")</f>
        <v>Chasis Acoplado 2 Ejes L5000</v>
      </c>
      <c r="AY112" s="3" t="str">
        <f>IFERROR(__xludf.DUMMYFUNCTION("""COMPUTED_VALUE"""),"Chasis Acoplado 2 Ejes L5750")</f>
        <v>Chasis Acoplado 2 Ejes L5750</v>
      </c>
      <c r="AZ112" s="3" t="str">
        <f>IFERROR(__xludf.DUMMYFUNCTION("""COMPUTED_VALUE"""),"Chasis Acoplado 2 Ejes L6400")</f>
        <v>Chasis Acoplado 2 Ejes L6400</v>
      </c>
      <c r="BA112" s="3" t="str">
        <f>IFERROR(__xludf.DUMMYFUNCTION("""COMPUTED_VALUE"""),"Chasis Acoplado 2 Ejes L4500")</f>
        <v>Chasis Acoplado 2 Ejes L4500</v>
      </c>
      <c r="BB112" s="3" t="str">
        <f>IFERROR(__xludf.DUMMYFUNCTION("""COMPUTED_VALUE"""),"Chasis Acoplado 1 Eje L1500")</f>
        <v>Chasis Acoplado 1 Eje L1500</v>
      </c>
      <c r="BC112" s="3" t="str">
        <f>IFERROR(__xludf.DUMMYFUNCTION("""COMPUTED_VALUE"""),"Chasis Acoplado 1 Eje L1800")</f>
        <v>Chasis Acoplado 1 Eje L1800</v>
      </c>
      <c r="BD112" s="3" t="str">
        <f>IFERROR(__xludf.DUMMYFUNCTION("""COMPUTED_VALUE"""),"Chasis Acoplado 1 Eje L1400")</f>
        <v>Chasis Acoplado 1 Eje L1400</v>
      </c>
      <c r="BE112" s="3" t="str">
        <f>IFERROR(__xludf.DUMMYFUNCTION("""COMPUTED_VALUE"""),"Chasis Acoplado Balancin L3000")</f>
        <v>Chasis Acoplado Balancin L3000</v>
      </c>
      <c r="BF112" s="3" t="str">
        <f>IFERROR(__xludf.DUMMYFUNCTION("""COMPUTED_VALUE"""),"Chasis Acoplado Balancin L3000 Lanza Corta")</f>
        <v>Chasis Acoplado Balancin L3000 Lanza Corta</v>
      </c>
      <c r="BG112" s="3" t="str">
        <f>IFERROR(__xludf.DUMMYFUNCTION("""COMPUTED_VALUE"""),"Chasis Acoplado Balancin L2000 Lanza Corta")</f>
        <v>Chasis Acoplado Balancin L2000 Lanza Corta</v>
      </c>
      <c r="BH112" s="3" t="str">
        <f>IFERROR(__xludf.DUMMYFUNCTION("""COMPUTED_VALUE"""),"Chasis Acoplado Balancin L3200 Lanza Corta")</f>
        <v>Chasis Acoplado Balancin L3200 Lanza Corta</v>
      </c>
      <c r="BI112" s="3" t="str">
        <f>IFERROR(__xludf.DUMMYFUNCTION("""COMPUTED_VALUE"""),"Chasis Acoplado Balancin L3200 Lanza Recta")</f>
        <v>Chasis Acoplado Balancin L3200 Lanza Recta</v>
      </c>
      <c r="BJ112" s="3" t="str">
        <f>IFERROR(__xludf.DUMMYFUNCTION("""COMPUTED_VALUE"""),"Chasis Acoplado Balancin L3200 Bajo Lanza Recta")</f>
        <v>Chasis Acoplado Balancin L3200 Bajo Lanza Recta</v>
      </c>
      <c r="BK112" s="3" t="str">
        <f>IFERROR(__xludf.DUMMYFUNCTION("""COMPUTED_VALUE"""),"Tanque Plastico Horizontal 750 Lts")</f>
        <v>Tanque Plastico Horizontal 750 Lts</v>
      </c>
      <c r="BL112" s="3" t="str">
        <f>IFERROR(__xludf.DUMMYFUNCTION("""COMPUTED_VALUE"""),"Medio Tanque Plastico Superior 700 Lts")</f>
        <v>Medio Tanque Plastico Superior 700 Lts</v>
      </c>
      <c r="BM112" s="3" t="str">
        <f>IFERROR(__xludf.DUMMYFUNCTION("""COMPUTED_VALUE"""),"Paquete de Elasticos 50 mm x 8 mm x 10 Hojas L850")</f>
        <v>Paquete de Elasticos 50 mm x 8 mm x 10 Hojas L850</v>
      </c>
      <c r="BN112" s="3" t="str">
        <f>IFERROR(__xludf.DUMMYFUNCTION("""COMPUTED_VALUE"""),"Paquete de Elasticos 63 mm x 8 mm x 10 Hojas L950")</f>
        <v>Paquete de Elasticos 63 mm x 8 mm x 10 Hojas L950</v>
      </c>
      <c r="BO112" s="3" t="str">
        <f>IFERROR(__xludf.DUMMYFUNCTION("""COMPUTED_VALUE"""),"Paquete de Elasticos 50 mm x 7 mm x 9 Hojas L850")</f>
        <v>Paquete de Elasticos 50 mm x 7 mm x 9 Hojas L850</v>
      </c>
      <c r="BP112" s="3" t="str">
        <f>IFERROR(__xludf.DUMMYFUNCTION("""COMPUTED_VALUE"""),"Paquete de Elasticos 63 mm x 8 mm x 8 Hojas L850")</f>
        <v>Paquete de Elasticos 63 mm x 8 mm x 8 Hojas L850</v>
      </c>
      <c r="BQ112" s="3" t="str">
        <f>IFERROR(__xludf.DUMMYFUNCTION("""COMPUTED_VALUE"""),"Paquete de Elasticos 63 mm x 10 mm x 10 Hojas L950")</f>
        <v>Paquete de Elasticos 63 mm x 10 mm x 10 Hojas L950</v>
      </c>
      <c r="BR112" s="3" t="str">
        <f>IFERROR(__xludf.DUMMYFUNCTION("""COMPUTED_VALUE"""),"Paquete de Elasticos 63 mm x 10 mm x 13 Hojas L975")</f>
        <v>Paquete de Elasticos 63 mm x 10 mm x 13 Hojas L975</v>
      </c>
      <c r="BS112" s="3" t="str">
        <f>IFERROR(__xludf.DUMMYFUNCTION("""COMPUTED_VALUE"""),"Paquete de Elasticos 50 mm x 7 mm x 9 Hojas L650")</f>
        <v>Paquete de Elasticos 50 mm x 7 mm x 9 Hojas L650</v>
      </c>
      <c r="BT112" s="3" t="str">
        <f>IFERROR(__xludf.DUMMYFUNCTION("""COMPUTED_VALUE"""),"Eje Acoplado 2"" x 1600 (06/08) Agrícola Centro 92")</f>
        <v>Eje Acoplado 2" x 1600 (06/08) Agrícola Centro 92</v>
      </c>
      <c r="BU112" s="3" t="str">
        <f>IFERROR(__xludf.DUMMYFUNCTION("""COMPUTED_VALUE"""),"Eje Acoplado 2 1/2"" x 1600 (07/09) Agrícola Centro 92")</f>
        <v>Eje Acoplado 2 1/2" x 1600 (07/09) Agrícola Centro 92</v>
      </c>
      <c r="BV112" s="3" t="str">
        <f>IFERROR(__xludf.DUMMYFUNCTION("""COMPUTED_VALUE"""),"Eje Acoplado 2 1/2"" x 1600 (09/11) Agrícola Centro 150")</f>
        <v>Eje Acoplado 2 1/2" x 1600 (09/11) Agrícola Centro 150</v>
      </c>
      <c r="BW112" s="3" t="str">
        <f>IFERROR(__xludf.DUMMYFUNCTION("""COMPUTED_VALUE"""),"Eje Acoplado 3"" x 1600 (10/13) Agrícola Centro 150")</f>
        <v>Eje Acoplado 3" x 1600 (10/13) Agrícola Centro 150</v>
      </c>
      <c r="BX112" s="3" t="str">
        <f>IFERROR(__xludf.DUMMYFUNCTION("""COMPUTED_VALUE"""),"Eje Acoplado 2 1/2"" x 2140 (07/09) Agrícola Centro 92")</f>
        <v>Eje Acoplado 2 1/2" x 2140 (07/09) Agrícola Centro 92</v>
      </c>
      <c r="BY112" s="3" t="str">
        <f>IFERROR(__xludf.DUMMYFUNCTION("""COMPUTED_VALUE"""),"Eje Acoplado 2"" x 1400 (06/08) Agrícola Centro 92")</f>
        <v>Eje Acoplado 2" x 1400 (06/08) Agrícola Centro 92</v>
      </c>
      <c r="BZ112" s="3" t="str">
        <f>IFERROR(__xludf.DUMMYFUNCTION("""COMPUTED_VALUE"""),"Eje Acoplado 2 1/2"" x 1500 (07/09) Agrícola Centro 92")</f>
        <v>Eje Acoplado 2 1/2" x 1500 (07/09) Agrícola Centro 92</v>
      </c>
      <c r="CA112" s="3" t="str">
        <f>IFERROR(__xludf.DUMMYFUNCTION("""COMPUTED_VALUE"""),"Eje Acoplado 2 1/2"" x 2000 (07/09) Agrícola Centro 92")</f>
        <v>Eje Acoplado 2 1/2" x 2000 (07/09) Agrícola Centro 92</v>
      </c>
      <c r="CB112" s="3" t="str">
        <f>IFERROR(__xludf.DUMMYFUNCTION("""COMPUTED_VALUE"""),"Eje Acoplado 2 1/2"" x 2100 (09/11) Agrícola Centro 150")</f>
        <v>Eje Acoplado 2 1/2" x 2100 (09/11) Agrícola Centro 150</v>
      </c>
      <c r="CC112" s="3" t="str">
        <f>IFERROR(__xludf.DUMMYFUNCTION("""COMPUTED_VALUE"""),"Llanta 16"" Simple Agrícola Centro 92")</f>
        <v>Llanta 16" Simple Agrícola Centro 92</v>
      </c>
      <c r="CD112" s="3" t="str">
        <f>IFERROR(__xludf.DUMMYFUNCTION("""COMPUTED_VALUE"""),"Llanta 16"" Dual Agrícola Centro 92")</f>
        <v>Llanta 16" Dual Agrícola Centro 92</v>
      </c>
      <c r="CE112" s="3" t="str">
        <f>IFERROR(__xludf.DUMMYFUNCTION("""COMPUTED_VALUE"""),"Llanta 17"" Simple Agrícola Centro 92")</f>
        <v>Llanta 17" Simple Agrícola Centro 92</v>
      </c>
      <c r="CF112" s="3" t="str">
        <f>IFERROR(__xludf.DUMMYFUNCTION("""COMPUTED_VALUE"""),"Llanta 17"" Dual Agrícola Centro 92")</f>
        <v>Llanta 17" Dual Agrícola Centro 92</v>
      </c>
      <c r="CG112" s="3" t="str">
        <f>IFERROR(__xludf.DUMMYFUNCTION("""COMPUTED_VALUE"""),"Llanta 16"" Dual Agrícola Centro 152")</f>
        <v>Llanta 16" Dual Agrícola Centro 152</v>
      </c>
      <c r="CH112" s="3" t="str">
        <f>IFERROR(__xludf.DUMMYFUNCTION("""COMPUTED_VALUE"""),"Llanta 17"" Dual Agrícola Centro 152")</f>
        <v>Llanta 17" Dual Agrícola Centro 152</v>
      </c>
      <c r="CI112" s="3" t="str">
        <f>IFERROR(__xludf.DUMMYFUNCTION("""COMPUTED_VALUE"""),"Eje Acoplado 2"" x 1600 (05/07) Agrícola Centro 92")</f>
        <v>Eje Acoplado 2" x 1600 (05/07) Agrícola Centro 92</v>
      </c>
      <c r="CJ112" s="3" t="str">
        <f>IFERROR(__xludf.DUMMYFUNCTION("""COMPUTED_VALUE"""),"Paquete de Elásticos 50 mm x 8 mm x 12 Hojas")</f>
        <v>Paquete de Elásticos 50 mm x 8 mm x 12 Hojas</v>
      </c>
      <c r="CK112" s="3" t="str">
        <f>IFERROR(__xludf.DUMMYFUNCTION("""COMPUTED_VALUE"""),"Plataforma Playo 4.00 x 1.90 x 0.45 Lateral Simple Baranda Fija")</f>
        <v>Plataforma Playo 4.00 x 1.90 x 0.45 Lateral Simple Baranda Fija</v>
      </c>
      <c r="CL112" s="3" t="str">
        <f>IFERROR(__xludf.DUMMYFUNCTION("""COMPUTED_VALUE"""),"Plataforma Playo 4.00 x 1.90 x 0.45 Lateral Simple Baranda Ventilada")</f>
        <v>Plataforma Playo 4.00 x 1.90 x 0.45 Lateral Simple Baranda Ventilada</v>
      </c>
      <c r="CM112" s="3" t="str">
        <f>IFERROR(__xludf.DUMMYFUNCTION("""COMPUTED_VALUE"""),"Plataforma Playo 4.00 x 1.90 x 0.45 Lateral Doble Baranda Ventilada")</f>
        <v>Plataforma Playo 4.00 x 1.90 x 0.45 Lateral Doble Baranda Ventilada</v>
      </c>
      <c r="CN112" s="3" t="str">
        <f>IFERROR(__xludf.DUMMYFUNCTION("""COMPUTED_VALUE"""),"Plataforma Playo 4.00 x 1.90 x 0.45 Lateral Doble Baranda Fija")</f>
        <v>Plataforma Playo 4.00 x 1.90 x 0.45 Lateral Doble Baranda Fija</v>
      </c>
      <c r="CO112" s="3" t="str">
        <f>IFERROR(__xludf.DUMMYFUNCTION("""COMPUTED_VALUE"""),"Plataforma Playo 4.00 x 1.90 x 0.72 Lateral Simple Baranda Fija")</f>
        <v>Plataforma Playo 4.00 x 1.90 x 0.72 Lateral Simple Baranda Fija</v>
      </c>
      <c r="CP112" s="3" t="str">
        <f>IFERROR(__xludf.DUMMYFUNCTION("""COMPUTED_VALUE"""),"Plataforma Playo 4.00 x 1.90 x 0.72 Lateral Doble Baranda Fija")</f>
        <v>Plataforma Playo 4.00 x 1.90 x 0.72 Lateral Doble Baranda Fija</v>
      </c>
      <c r="CQ112" s="3" t="str">
        <f>IFERROR(__xludf.DUMMYFUNCTION("""COMPUTED_VALUE"""),"Plataforma Playo 5.00 x 2.20 x 0.60 Lateral Doble Trasera Rebatible")</f>
        <v>Plataforma Playo 5.00 x 2.20 x 0.60 Lateral Doble Trasera Rebatible</v>
      </c>
      <c r="CR112" s="3" t="str">
        <f>IFERROR(__xludf.DUMMYFUNCTION("""COMPUTED_VALUE"""),"Plataforma Playo 5.00 x 2.20 x 0.60 Lateral Doble Baranda Fija C/Toldo")</f>
        <v>Plataforma Playo 5.00 x 2.20 x 0.60 Lateral Doble Baranda Fija C/Toldo</v>
      </c>
      <c r="CS112" s="3" t="str">
        <f>IFERROR(__xludf.DUMMYFUNCTION("""COMPUTED_VALUE"""),"Plataforma Playo 3.00 x 1.90 x 0.45 Lateral Simple Baranda Fija")</f>
        <v>Plataforma Playo 3.00 x 1.90 x 0.45 Lateral Simple Baranda Fija</v>
      </c>
      <c r="CT112" s="3" t="str">
        <f>IFERROR(__xludf.DUMMYFUNCTION("""COMPUTED_VALUE"""),"Plataforma Playo 3.00 x 1.90 x 0.45 Lateral Simple Baranda Ventilada")</f>
        <v>Plataforma Playo 3.00 x 1.90 x 0.45 Lateral Simple Baranda Ventilada</v>
      </c>
      <c r="CU112" s="3" t="str">
        <f>IFERROR(__xludf.DUMMYFUNCTION("""COMPUTED_VALUE"""),"Plataforma Playo 2.00 x 1.90 x 0.45 Lateral Simple Baranda Fija")</f>
        <v>Plataforma Playo 2.00 x 1.90 x 0.45 Lateral Simple Baranda Fija</v>
      </c>
      <c r="CV112" s="3" t="str">
        <f>IFERROR(__xludf.DUMMYFUNCTION("""COMPUTED_VALUE"""),"Plataforma Playo 5.00 x 1.90 x 0.60 Lateral Doble Baranda Fija")</f>
        <v>Plataforma Playo 5.00 x 1.90 x 0.60 Lateral Doble Baranda Fija</v>
      </c>
      <c r="CW112" s="3" t="str">
        <f>IFERROR(__xludf.DUMMYFUNCTION("""COMPUTED_VALUE"""),"Plataforma Playo 6.40 x 2.70 x 0.72 Lateral Doble Baranda Fija")</f>
        <v>Plataforma Playo 6.40 x 2.70 x 0.72 Lateral Doble Baranda Fija</v>
      </c>
      <c r="CX112" s="3" t="str">
        <f>IFERROR(__xludf.DUMMYFUNCTION("""COMPUTED_VALUE"""),"Chasis Acoplado Balancin L4000 Lanza Recta")</f>
        <v>Chasis Acoplado Balancin L4000 Lanza Recta</v>
      </c>
      <c r="CY112" s="3" t="str">
        <f>IFERROR(__xludf.DUMMYFUNCTION("""COMPUTED_VALUE"""),"Llanta simple Agrícola 750x20 centro 152")</f>
        <v>Llanta simple Agrícola 750x20 centro 152</v>
      </c>
      <c r="CZ112" s="3" t="str">
        <f>IFERROR(__xludf.DUMMYFUNCTION("""COMPUTED_VALUE"""),"Cajón de Herramientas Mediano adelante")</f>
        <v>Cajón de Herramientas Mediano adelante</v>
      </c>
      <c r="DA112" s="3" t="str">
        <f>IFERROR(__xludf.DUMMYFUNCTION("""COMPUTED_VALUE"""),"Llanta 15"" Simple Agrícola Centro 92")</f>
        <v>Llanta 15" Simple Agrícola Centro 92</v>
      </c>
    </row>
    <row r="113" hidden="1">
      <c r="A113" s="38">
        <f t="shared" si="1"/>
        <v>112</v>
      </c>
      <c r="B113" s="38">
        <f>IF(F113="","",SUMIF(Prearmados!E:E,F113,Prearmados!A:A))</f>
        <v>22</v>
      </c>
      <c r="C113" s="38">
        <f>IF(F113="","",SUMIF(Productos!E:E,G113,Productos!A:A))</f>
        <v>101</v>
      </c>
      <c r="D113" s="83" t="str">
        <f t="array" ref="D113">IF(OR(F113="",F113="Seleccionar.."),"",XLOOKUP(F113,Prearmados!E:E,Prearmados!F:F,"",0,1))</f>
        <v>Acoplados Rurales</v>
      </c>
      <c r="E113" s="83">
        <f>IF(H113="","",SUMIF(Precio_Productos!K:K,C113,Precio_Productos!J:J)*H113)</f>
        <v>780000</v>
      </c>
      <c r="F113" s="84" t="s">
        <v>345</v>
      </c>
      <c r="G113" s="84" t="s">
        <v>133</v>
      </c>
      <c r="H113" s="13">
        <v>2.0</v>
      </c>
      <c r="P113" s="3" t="str">
        <f>IFERROR(__xludf.DUMMYFUNCTION("IF(OR(F113="""",F113=""Seleccionar..""),"""",TRANSPOSE(FILTER(Productos!E:E,(Productos!F:F=D113)+(Productos!F:F=XLOOKUP(D113,Implementos!B:B,Implementos!C:C,""-"",0,1)))))"),"Tanque Combustible 1100 lts Bajo")</f>
        <v>Tanque Combustible 1100 lts Bajo</v>
      </c>
      <c r="Q113" s="3" t="str">
        <f>IFERROR(__xludf.DUMMYFUNCTION("""COMPUTED_VALUE"""),"Tanque Combustible 1500 lts Standard")</f>
        <v>Tanque Combustible 1500 lts Standard</v>
      </c>
      <c r="R113" s="3" t="str">
        <f>IFERROR(__xludf.DUMMYFUNCTION("""COMPUTED_VALUE"""),"Tanque Combustible 1800 lts Standard")</f>
        <v>Tanque Combustible 1800 lts Standard</v>
      </c>
      <c r="S113" s="3" t="str">
        <f>IFERROR(__xludf.DUMMYFUNCTION("""COMPUTED_VALUE"""),"Tanque Combustible 2000 lts Bajo")</f>
        <v>Tanque Combustible 2000 lts Bajo</v>
      </c>
      <c r="T113" s="3" t="str">
        <f>IFERROR(__xludf.DUMMYFUNCTION("""COMPUTED_VALUE"""),"Tanque Combustible 2000 lts Standard")</f>
        <v>Tanque Combustible 2000 lts Standard</v>
      </c>
      <c r="U113" s="3" t="str">
        <f>IFERROR(__xludf.DUMMYFUNCTION("""COMPUTED_VALUE"""),"Tanque Combustible 3000 lts Standard")</f>
        <v>Tanque Combustible 3000 lts Standard</v>
      </c>
      <c r="V113" s="3" t="str">
        <f>IFERROR(__xludf.DUMMYFUNCTION("""COMPUTED_VALUE"""),"Tanque Combustible 3000 lts Alto")</f>
        <v>Tanque Combustible 3000 lts Alto</v>
      </c>
      <c r="W113" s="3" t="str">
        <f>IFERROR(__xludf.DUMMYFUNCTION("""COMPUTED_VALUE"""),"Tanque Combustible 4000 lts Standard")</f>
        <v>Tanque Combustible 4000 lts Standard</v>
      </c>
      <c r="X113" s="3" t="str">
        <f>IFERROR(__xludf.DUMMYFUNCTION("""COMPUTED_VALUE"""),"Tanque Combustible 5000 lts Standard")</f>
        <v>Tanque Combustible 5000 lts Standard</v>
      </c>
      <c r="Y113" s="3" t="str">
        <f>IFERROR(__xludf.DUMMYFUNCTION("""COMPUTED_VALUE"""),"Tanque Combustible 5000 lts Alto")</f>
        <v>Tanque Combustible 5000 lts Alto</v>
      </c>
      <c r="Z113" s="3" t="str">
        <f>IFERROR(__xludf.DUMMYFUNCTION("""COMPUTED_VALUE"""),"Tanque Combustible 2000 lts Alto")</f>
        <v>Tanque Combustible 2000 lts Alto</v>
      </c>
      <c r="AA113" s="3" t="str">
        <f>IFERROR(__xludf.DUMMYFUNCTION("""COMPUTED_VALUE"""),"Tanque Combustible 4000 lts Alto")</f>
        <v>Tanque Combustible 4000 lts Alto</v>
      </c>
      <c r="AB113" s="3" t="str">
        <f>IFERROR(__xludf.DUMMYFUNCTION("""COMPUTED_VALUE"""),"Baulera Standard - 750")</f>
        <v>Baulera Standard - 750</v>
      </c>
      <c r="AC113" s="3" t="str">
        <f>IFERROR(__xludf.DUMMYFUNCTION("""COMPUTED_VALUE"""),"Baulera Standard - 1700 - C/Laterales")</f>
        <v>Baulera Standard - 1700 - C/Laterales</v>
      </c>
      <c r="AD113" s="3" t="str">
        <f>IFERROR(__xludf.DUMMYFUNCTION("""COMPUTED_VALUE"""),"Baulera Standard - 1000 - C/Laterales")</f>
        <v>Baulera Standard - 1000 - C/Laterales</v>
      </c>
      <c r="AE113" s="3" t="str">
        <f>IFERROR(__xludf.DUMMYFUNCTION("""COMPUTED_VALUE"""),"Baulera Standard - 750 - C/Laterales")</f>
        <v>Baulera Standard - 750 - C/Laterales</v>
      </c>
      <c r="AF113" s="3" t="str">
        <f>IFERROR(__xludf.DUMMYFUNCTION("""COMPUTED_VALUE"""),"Baulera Standard - 1300 - C/Laterales")</f>
        <v>Baulera Standard - 1300 - C/Laterales</v>
      </c>
      <c r="AG113" s="3" t="str">
        <f>IFERROR(__xludf.DUMMYFUNCTION("""COMPUTED_VALUE"""),"Baulera Alta - 750")</f>
        <v>Baulera Alta - 750</v>
      </c>
      <c r="AH113" s="3" t="str">
        <f>IFERROR(__xludf.DUMMYFUNCTION("""COMPUTED_VALUE"""),"Baulera Alta - 1500 - C/Laterales")</f>
        <v>Baulera Alta - 1500 - C/Laterales</v>
      </c>
      <c r="AI113" s="3" t="str">
        <f>IFERROR(__xludf.DUMMYFUNCTION("""COMPUTED_VALUE"""),"Baulera Extendida 1700 - C/Laterales")</f>
        <v>Baulera Extendida 1700 - C/Laterales</v>
      </c>
      <c r="AJ113" s="3" t="str">
        <f>IFERROR(__xludf.DUMMYFUNCTION("""COMPUTED_VALUE"""),"Taller Móvil - 1500 x 1500 x 1700")</f>
        <v>Taller Móvil - 1500 x 1500 x 1700</v>
      </c>
      <c r="AK113" s="3" t="str">
        <f>IFERROR(__xludf.DUMMYFUNCTION("""COMPUTED_VALUE"""),"Cajón Herramientas Standard Derecho")</f>
        <v>Cajón Herramientas Standard Derecho</v>
      </c>
      <c r="AL113" s="3" t="str">
        <f>IFERROR(__xludf.DUMMYFUNCTION("""COMPUTED_VALUE"""),"Cajón Herramientas Standard Izquierdo")</f>
        <v>Cajón Herramientas Standard Izquierdo</v>
      </c>
      <c r="AM113" s="3" t="str">
        <f>IFERROR(__xludf.DUMMYFUNCTION("""COMPUTED_VALUE"""),"Cajón Herramientas Corto Derecho")</f>
        <v>Cajón Herramientas Corto Derecho</v>
      </c>
      <c r="AN113" s="3" t="str">
        <f>IFERROR(__xludf.DUMMYFUNCTION("""COMPUTED_VALUE"""),"Cajón Herramientas Corto Izquierdo")</f>
        <v>Cajón Herramientas Corto Izquierdo</v>
      </c>
      <c r="AO113" s="3" t="str">
        <f>IFERROR(__xludf.DUMMYFUNCTION("""COMPUTED_VALUE"""),"Cajón Herramientas Mediano Derecho")</f>
        <v>Cajón Herramientas Mediano Derecho</v>
      </c>
      <c r="AP113" s="3" t="str">
        <f>IFERROR(__xludf.DUMMYFUNCTION("""COMPUTED_VALUE"""),"Cajón Herramientas Mediano Izquierdo")</f>
        <v>Cajón Herramientas Mediano Izquierdo</v>
      </c>
      <c r="AQ113" s="3" t="str">
        <f>IFERROR(__xludf.DUMMYFUNCTION("""COMPUTED_VALUE"""),"Chasis Acoplado 2 Ejes L3000")</f>
        <v>Chasis Acoplado 2 Ejes L3000</v>
      </c>
      <c r="AR113" s="3" t="str">
        <f>IFERROR(__xludf.DUMMYFUNCTION("""COMPUTED_VALUE"""),"Chasis Acoplado 2 Ejes L3750")</f>
        <v>Chasis Acoplado 2 Ejes L3750</v>
      </c>
      <c r="AS113" s="3" t="str">
        <f>IFERROR(__xludf.DUMMYFUNCTION("""COMPUTED_VALUE"""),"Chasis Acoplado 2 Ejes L4000")</f>
        <v>Chasis Acoplado 2 Ejes L4000</v>
      </c>
      <c r="AT113" s="3" t="str">
        <f>IFERROR(__xludf.DUMMYFUNCTION("""COMPUTED_VALUE"""),"Chasis Acoplado 2 Ejes L4000 Reforzado")</f>
        <v>Chasis Acoplado 2 Ejes L4000 Reforzado</v>
      </c>
      <c r="AU113" s="3" t="str">
        <f>IFERROR(__xludf.DUMMYFUNCTION("""COMPUTED_VALUE"""),"Chasis Acoplado 2 Ejes L4750")</f>
        <v>Chasis Acoplado 2 Ejes L4750</v>
      </c>
      <c r="AV113" s="3" t="str">
        <f>IFERROR(__xludf.DUMMYFUNCTION("""COMPUTED_VALUE"""),"Chasis Acoplado 2 Ejes L4750 Reforzado")</f>
        <v>Chasis Acoplado 2 Ejes L4750 Reforzado</v>
      </c>
      <c r="AW113" s="3" t="str">
        <f>IFERROR(__xludf.DUMMYFUNCTION("""COMPUTED_VALUE"""),"Chasis Acoplado 2 Ejes L4750 Reforzado R. Camion")</f>
        <v>Chasis Acoplado 2 Ejes L4750 Reforzado R. Camion</v>
      </c>
      <c r="AX113" s="3" t="str">
        <f>IFERROR(__xludf.DUMMYFUNCTION("""COMPUTED_VALUE"""),"Chasis Acoplado 2 Ejes L5000")</f>
        <v>Chasis Acoplado 2 Ejes L5000</v>
      </c>
      <c r="AY113" s="3" t="str">
        <f>IFERROR(__xludf.DUMMYFUNCTION("""COMPUTED_VALUE"""),"Chasis Acoplado 2 Ejes L5750")</f>
        <v>Chasis Acoplado 2 Ejes L5750</v>
      </c>
      <c r="AZ113" s="3" t="str">
        <f>IFERROR(__xludf.DUMMYFUNCTION("""COMPUTED_VALUE"""),"Chasis Acoplado 2 Ejes L6400")</f>
        <v>Chasis Acoplado 2 Ejes L6400</v>
      </c>
      <c r="BA113" s="3" t="str">
        <f>IFERROR(__xludf.DUMMYFUNCTION("""COMPUTED_VALUE"""),"Chasis Acoplado 2 Ejes L4500")</f>
        <v>Chasis Acoplado 2 Ejes L4500</v>
      </c>
      <c r="BB113" s="3" t="str">
        <f>IFERROR(__xludf.DUMMYFUNCTION("""COMPUTED_VALUE"""),"Chasis Acoplado 1 Eje L1500")</f>
        <v>Chasis Acoplado 1 Eje L1500</v>
      </c>
      <c r="BC113" s="3" t="str">
        <f>IFERROR(__xludf.DUMMYFUNCTION("""COMPUTED_VALUE"""),"Chasis Acoplado 1 Eje L1800")</f>
        <v>Chasis Acoplado 1 Eje L1800</v>
      </c>
      <c r="BD113" s="3" t="str">
        <f>IFERROR(__xludf.DUMMYFUNCTION("""COMPUTED_VALUE"""),"Chasis Acoplado 1 Eje L1400")</f>
        <v>Chasis Acoplado 1 Eje L1400</v>
      </c>
      <c r="BE113" s="3" t="str">
        <f>IFERROR(__xludf.DUMMYFUNCTION("""COMPUTED_VALUE"""),"Chasis Acoplado Balancin L3000")</f>
        <v>Chasis Acoplado Balancin L3000</v>
      </c>
      <c r="BF113" s="3" t="str">
        <f>IFERROR(__xludf.DUMMYFUNCTION("""COMPUTED_VALUE"""),"Chasis Acoplado Balancin L3000 Lanza Corta")</f>
        <v>Chasis Acoplado Balancin L3000 Lanza Corta</v>
      </c>
      <c r="BG113" s="3" t="str">
        <f>IFERROR(__xludf.DUMMYFUNCTION("""COMPUTED_VALUE"""),"Chasis Acoplado Balancin L2000 Lanza Corta")</f>
        <v>Chasis Acoplado Balancin L2000 Lanza Corta</v>
      </c>
      <c r="BH113" s="3" t="str">
        <f>IFERROR(__xludf.DUMMYFUNCTION("""COMPUTED_VALUE"""),"Chasis Acoplado Balancin L3200 Lanza Corta")</f>
        <v>Chasis Acoplado Balancin L3200 Lanza Corta</v>
      </c>
      <c r="BI113" s="3" t="str">
        <f>IFERROR(__xludf.DUMMYFUNCTION("""COMPUTED_VALUE"""),"Chasis Acoplado Balancin L3200 Lanza Recta")</f>
        <v>Chasis Acoplado Balancin L3200 Lanza Recta</v>
      </c>
      <c r="BJ113" s="3" t="str">
        <f>IFERROR(__xludf.DUMMYFUNCTION("""COMPUTED_VALUE"""),"Chasis Acoplado Balancin L3200 Bajo Lanza Recta")</f>
        <v>Chasis Acoplado Balancin L3200 Bajo Lanza Recta</v>
      </c>
      <c r="BK113" s="3" t="str">
        <f>IFERROR(__xludf.DUMMYFUNCTION("""COMPUTED_VALUE"""),"Tanque Plastico Horizontal 750 Lts")</f>
        <v>Tanque Plastico Horizontal 750 Lts</v>
      </c>
      <c r="BL113" s="3" t="str">
        <f>IFERROR(__xludf.DUMMYFUNCTION("""COMPUTED_VALUE"""),"Medio Tanque Plastico Superior 700 Lts")</f>
        <v>Medio Tanque Plastico Superior 700 Lts</v>
      </c>
      <c r="BM113" s="3" t="str">
        <f>IFERROR(__xludf.DUMMYFUNCTION("""COMPUTED_VALUE"""),"Paquete de Elasticos 50 mm x 8 mm x 10 Hojas L850")</f>
        <v>Paquete de Elasticos 50 mm x 8 mm x 10 Hojas L850</v>
      </c>
      <c r="BN113" s="3" t="str">
        <f>IFERROR(__xludf.DUMMYFUNCTION("""COMPUTED_VALUE"""),"Paquete de Elasticos 63 mm x 8 mm x 10 Hojas L950")</f>
        <v>Paquete de Elasticos 63 mm x 8 mm x 10 Hojas L950</v>
      </c>
      <c r="BO113" s="3" t="str">
        <f>IFERROR(__xludf.DUMMYFUNCTION("""COMPUTED_VALUE"""),"Paquete de Elasticos 50 mm x 7 mm x 9 Hojas L850")</f>
        <v>Paquete de Elasticos 50 mm x 7 mm x 9 Hojas L850</v>
      </c>
      <c r="BP113" s="3" t="str">
        <f>IFERROR(__xludf.DUMMYFUNCTION("""COMPUTED_VALUE"""),"Paquete de Elasticos 63 mm x 8 mm x 8 Hojas L850")</f>
        <v>Paquete de Elasticos 63 mm x 8 mm x 8 Hojas L850</v>
      </c>
      <c r="BQ113" s="3" t="str">
        <f>IFERROR(__xludf.DUMMYFUNCTION("""COMPUTED_VALUE"""),"Paquete de Elasticos 63 mm x 10 mm x 10 Hojas L950")</f>
        <v>Paquete de Elasticos 63 mm x 10 mm x 10 Hojas L950</v>
      </c>
      <c r="BR113" s="3" t="str">
        <f>IFERROR(__xludf.DUMMYFUNCTION("""COMPUTED_VALUE"""),"Paquete de Elasticos 63 mm x 10 mm x 13 Hojas L975")</f>
        <v>Paquete de Elasticos 63 mm x 10 mm x 13 Hojas L975</v>
      </c>
      <c r="BS113" s="3" t="str">
        <f>IFERROR(__xludf.DUMMYFUNCTION("""COMPUTED_VALUE"""),"Paquete de Elasticos 50 mm x 7 mm x 9 Hojas L650")</f>
        <v>Paquete de Elasticos 50 mm x 7 mm x 9 Hojas L650</v>
      </c>
      <c r="BT113" s="3" t="str">
        <f>IFERROR(__xludf.DUMMYFUNCTION("""COMPUTED_VALUE"""),"Eje Acoplado 2"" x 1600 (06/08) Agrícola Centro 92")</f>
        <v>Eje Acoplado 2" x 1600 (06/08) Agrícola Centro 92</v>
      </c>
      <c r="BU113" s="3" t="str">
        <f>IFERROR(__xludf.DUMMYFUNCTION("""COMPUTED_VALUE"""),"Eje Acoplado 2 1/2"" x 1600 (07/09) Agrícola Centro 92")</f>
        <v>Eje Acoplado 2 1/2" x 1600 (07/09) Agrícola Centro 92</v>
      </c>
      <c r="BV113" s="3" t="str">
        <f>IFERROR(__xludf.DUMMYFUNCTION("""COMPUTED_VALUE"""),"Eje Acoplado 2 1/2"" x 1600 (09/11) Agrícola Centro 150")</f>
        <v>Eje Acoplado 2 1/2" x 1600 (09/11) Agrícola Centro 150</v>
      </c>
      <c r="BW113" s="3" t="str">
        <f>IFERROR(__xludf.DUMMYFUNCTION("""COMPUTED_VALUE"""),"Eje Acoplado 3"" x 1600 (10/13) Agrícola Centro 150")</f>
        <v>Eje Acoplado 3" x 1600 (10/13) Agrícola Centro 150</v>
      </c>
      <c r="BX113" s="3" t="str">
        <f>IFERROR(__xludf.DUMMYFUNCTION("""COMPUTED_VALUE"""),"Eje Acoplado 2 1/2"" x 2140 (07/09) Agrícola Centro 92")</f>
        <v>Eje Acoplado 2 1/2" x 2140 (07/09) Agrícola Centro 92</v>
      </c>
      <c r="BY113" s="3" t="str">
        <f>IFERROR(__xludf.DUMMYFUNCTION("""COMPUTED_VALUE"""),"Eje Acoplado 2"" x 1400 (06/08) Agrícola Centro 92")</f>
        <v>Eje Acoplado 2" x 1400 (06/08) Agrícola Centro 92</v>
      </c>
      <c r="BZ113" s="3" t="str">
        <f>IFERROR(__xludf.DUMMYFUNCTION("""COMPUTED_VALUE"""),"Eje Acoplado 2 1/2"" x 1500 (07/09) Agrícola Centro 92")</f>
        <v>Eje Acoplado 2 1/2" x 1500 (07/09) Agrícola Centro 92</v>
      </c>
      <c r="CA113" s="3" t="str">
        <f>IFERROR(__xludf.DUMMYFUNCTION("""COMPUTED_VALUE"""),"Eje Acoplado 2 1/2"" x 2000 (07/09) Agrícola Centro 92")</f>
        <v>Eje Acoplado 2 1/2" x 2000 (07/09) Agrícola Centro 92</v>
      </c>
      <c r="CB113" s="3" t="str">
        <f>IFERROR(__xludf.DUMMYFUNCTION("""COMPUTED_VALUE"""),"Eje Acoplado 2 1/2"" x 2100 (09/11) Agrícola Centro 150")</f>
        <v>Eje Acoplado 2 1/2" x 2100 (09/11) Agrícola Centro 150</v>
      </c>
      <c r="CC113" s="3" t="str">
        <f>IFERROR(__xludf.DUMMYFUNCTION("""COMPUTED_VALUE"""),"Llanta 16"" Simple Agrícola Centro 92")</f>
        <v>Llanta 16" Simple Agrícola Centro 92</v>
      </c>
      <c r="CD113" s="3" t="str">
        <f>IFERROR(__xludf.DUMMYFUNCTION("""COMPUTED_VALUE"""),"Llanta 16"" Dual Agrícola Centro 92")</f>
        <v>Llanta 16" Dual Agrícola Centro 92</v>
      </c>
      <c r="CE113" s="3" t="str">
        <f>IFERROR(__xludf.DUMMYFUNCTION("""COMPUTED_VALUE"""),"Llanta 17"" Simple Agrícola Centro 92")</f>
        <v>Llanta 17" Simple Agrícola Centro 92</v>
      </c>
      <c r="CF113" s="3" t="str">
        <f>IFERROR(__xludf.DUMMYFUNCTION("""COMPUTED_VALUE"""),"Llanta 17"" Dual Agrícola Centro 92")</f>
        <v>Llanta 17" Dual Agrícola Centro 92</v>
      </c>
      <c r="CG113" s="3" t="str">
        <f>IFERROR(__xludf.DUMMYFUNCTION("""COMPUTED_VALUE"""),"Llanta 16"" Dual Agrícola Centro 152")</f>
        <v>Llanta 16" Dual Agrícola Centro 152</v>
      </c>
      <c r="CH113" s="3" t="str">
        <f>IFERROR(__xludf.DUMMYFUNCTION("""COMPUTED_VALUE"""),"Llanta 17"" Dual Agrícola Centro 152")</f>
        <v>Llanta 17" Dual Agrícola Centro 152</v>
      </c>
      <c r="CI113" s="3" t="str">
        <f>IFERROR(__xludf.DUMMYFUNCTION("""COMPUTED_VALUE"""),"Eje Acoplado 2"" x 1600 (05/07) Agrícola Centro 92")</f>
        <v>Eje Acoplado 2" x 1600 (05/07) Agrícola Centro 92</v>
      </c>
      <c r="CJ113" s="3" t="str">
        <f>IFERROR(__xludf.DUMMYFUNCTION("""COMPUTED_VALUE"""),"Paquete de Elásticos 50 mm x 8 mm x 12 Hojas")</f>
        <v>Paquete de Elásticos 50 mm x 8 mm x 12 Hojas</v>
      </c>
      <c r="CK113" s="3" t="str">
        <f>IFERROR(__xludf.DUMMYFUNCTION("""COMPUTED_VALUE"""),"Plataforma Playo 4.00 x 1.90 x 0.45 Lateral Simple Baranda Fija")</f>
        <v>Plataforma Playo 4.00 x 1.90 x 0.45 Lateral Simple Baranda Fija</v>
      </c>
      <c r="CL113" s="3" t="str">
        <f>IFERROR(__xludf.DUMMYFUNCTION("""COMPUTED_VALUE"""),"Plataforma Playo 4.00 x 1.90 x 0.45 Lateral Simple Baranda Ventilada")</f>
        <v>Plataforma Playo 4.00 x 1.90 x 0.45 Lateral Simple Baranda Ventilada</v>
      </c>
      <c r="CM113" s="3" t="str">
        <f>IFERROR(__xludf.DUMMYFUNCTION("""COMPUTED_VALUE"""),"Plataforma Playo 4.00 x 1.90 x 0.45 Lateral Doble Baranda Ventilada")</f>
        <v>Plataforma Playo 4.00 x 1.90 x 0.45 Lateral Doble Baranda Ventilada</v>
      </c>
      <c r="CN113" s="3" t="str">
        <f>IFERROR(__xludf.DUMMYFUNCTION("""COMPUTED_VALUE"""),"Plataforma Playo 4.00 x 1.90 x 0.45 Lateral Doble Baranda Fija")</f>
        <v>Plataforma Playo 4.00 x 1.90 x 0.45 Lateral Doble Baranda Fija</v>
      </c>
      <c r="CO113" s="3" t="str">
        <f>IFERROR(__xludf.DUMMYFUNCTION("""COMPUTED_VALUE"""),"Plataforma Playo 4.00 x 1.90 x 0.72 Lateral Simple Baranda Fija")</f>
        <v>Plataforma Playo 4.00 x 1.90 x 0.72 Lateral Simple Baranda Fija</v>
      </c>
      <c r="CP113" s="3" t="str">
        <f>IFERROR(__xludf.DUMMYFUNCTION("""COMPUTED_VALUE"""),"Plataforma Playo 4.00 x 1.90 x 0.72 Lateral Doble Baranda Fija")</f>
        <v>Plataforma Playo 4.00 x 1.90 x 0.72 Lateral Doble Baranda Fija</v>
      </c>
      <c r="CQ113" s="3" t="str">
        <f>IFERROR(__xludf.DUMMYFUNCTION("""COMPUTED_VALUE"""),"Plataforma Playo 5.00 x 2.20 x 0.60 Lateral Doble Trasera Rebatible")</f>
        <v>Plataforma Playo 5.00 x 2.20 x 0.60 Lateral Doble Trasera Rebatible</v>
      </c>
      <c r="CR113" s="3" t="str">
        <f>IFERROR(__xludf.DUMMYFUNCTION("""COMPUTED_VALUE"""),"Plataforma Playo 5.00 x 2.20 x 0.60 Lateral Doble Baranda Fija C/Toldo")</f>
        <v>Plataforma Playo 5.00 x 2.20 x 0.60 Lateral Doble Baranda Fija C/Toldo</v>
      </c>
      <c r="CS113" s="3" t="str">
        <f>IFERROR(__xludf.DUMMYFUNCTION("""COMPUTED_VALUE"""),"Plataforma Playo 3.00 x 1.90 x 0.45 Lateral Simple Baranda Fija")</f>
        <v>Plataforma Playo 3.00 x 1.90 x 0.45 Lateral Simple Baranda Fija</v>
      </c>
      <c r="CT113" s="3" t="str">
        <f>IFERROR(__xludf.DUMMYFUNCTION("""COMPUTED_VALUE"""),"Plataforma Playo 3.00 x 1.90 x 0.45 Lateral Simple Baranda Ventilada")</f>
        <v>Plataforma Playo 3.00 x 1.90 x 0.45 Lateral Simple Baranda Ventilada</v>
      </c>
      <c r="CU113" s="3" t="str">
        <f>IFERROR(__xludf.DUMMYFUNCTION("""COMPUTED_VALUE"""),"Plataforma Playo 2.00 x 1.90 x 0.45 Lateral Simple Baranda Fija")</f>
        <v>Plataforma Playo 2.00 x 1.90 x 0.45 Lateral Simple Baranda Fija</v>
      </c>
      <c r="CV113" s="3" t="str">
        <f>IFERROR(__xludf.DUMMYFUNCTION("""COMPUTED_VALUE"""),"Plataforma Playo 5.00 x 1.90 x 0.60 Lateral Doble Baranda Fija")</f>
        <v>Plataforma Playo 5.00 x 1.90 x 0.60 Lateral Doble Baranda Fija</v>
      </c>
      <c r="CW113" s="3" t="str">
        <f>IFERROR(__xludf.DUMMYFUNCTION("""COMPUTED_VALUE"""),"Plataforma Playo 6.40 x 2.70 x 0.72 Lateral Doble Baranda Fija")</f>
        <v>Plataforma Playo 6.40 x 2.70 x 0.72 Lateral Doble Baranda Fija</v>
      </c>
      <c r="CX113" s="3" t="str">
        <f>IFERROR(__xludf.DUMMYFUNCTION("""COMPUTED_VALUE"""),"Chasis Acoplado Balancin L4000 Lanza Recta")</f>
        <v>Chasis Acoplado Balancin L4000 Lanza Recta</v>
      </c>
      <c r="CY113" s="3" t="str">
        <f>IFERROR(__xludf.DUMMYFUNCTION("""COMPUTED_VALUE"""),"Llanta simple Agrícola 750x20 centro 152")</f>
        <v>Llanta simple Agrícola 750x20 centro 152</v>
      </c>
      <c r="CZ113" s="3" t="str">
        <f>IFERROR(__xludf.DUMMYFUNCTION("""COMPUTED_VALUE"""),"Cajón de Herramientas Mediano adelante")</f>
        <v>Cajón de Herramientas Mediano adelante</v>
      </c>
      <c r="DA113" s="3" t="str">
        <f>IFERROR(__xludf.DUMMYFUNCTION("""COMPUTED_VALUE"""),"Llanta 15"" Simple Agrícola Centro 92")</f>
        <v>Llanta 15" Simple Agrícola Centro 92</v>
      </c>
    </row>
    <row r="114" hidden="1">
      <c r="A114" s="38">
        <f t="shared" si="1"/>
        <v>113</v>
      </c>
      <c r="B114" s="38">
        <f>IF(F114="","",SUMIF(Prearmados!E:E,F114,Prearmados!A:A))</f>
        <v>22</v>
      </c>
      <c r="C114" s="38">
        <f>IF(F114="","",SUMIF(Productos!E:E,G114,Productos!A:A))</f>
        <v>94</v>
      </c>
      <c r="D114" s="83" t="str">
        <f t="array" ref="D114">IF(OR(F114="",F114="Seleccionar.."),"",XLOOKUP(F114,Prearmados!E:E,Prearmados!F:F,"",0,1))</f>
        <v>Acoplados Rurales</v>
      </c>
      <c r="E114" s="83">
        <f>IF(H114="","",SUMIF(Precio_Productos!K:K,C114,Precio_Productos!J:J)*H114)</f>
        <v>540764</v>
      </c>
      <c r="F114" s="84" t="s">
        <v>345</v>
      </c>
      <c r="G114" s="84" t="s">
        <v>121</v>
      </c>
      <c r="H114" s="13">
        <v>4.0</v>
      </c>
      <c r="P114" s="3" t="str">
        <f>IFERROR(__xludf.DUMMYFUNCTION("IF(OR(F114="""",F114=""Seleccionar..""),"""",TRANSPOSE(FILTER(Productos!E:E,(Productos!F:F=D114)+(Productos!F:F=XLOOKUP(D114,Implementos!B:B,Implementos!C:C,""-"",0,1)))))"),"Tanque Combustible 1100 lts Bajo")</f>
        <v>Tanque Combustible 1100 lts Bajo</v>
      </c>
      <c r="Q114" s="3" t="str">
        <f>IFERROR(__xludf.DUMMYFUNCTION("""COMPUTED_VALUE"""),"Tanque Combustible 1500 lts Standard")</f>
        <v>Tanque Combustible 1500 lts Standard</v>
      </c>
      <c r="R114" s="3" t="str">
        <f>IFERROR(__xludf.DUMMYFUNCTION("""COMPUTED_VALUE"""),"Tanque Combustible 1800 lts Standard")</f>
        <v>Tanque Combustible 1800 lts Standard</v>
      </c>
      <c r="S114" s="3" t="str">
        <f>IFERROR(__xludf.DUMMYFUNCTION("""COMPUTED_VALUE"""),"Tanque Combustible 2000 lts Bajo")</f>
        <v>Tanque Combustible 2000 lts Bajo</v>
      </c>
      <c r="T114" s="3" t="str">
        <f>IFERROR(__xludf.DUMMYFUNCTION("""COMPUTED_VALUE"""),"Tanque Combustible 2000 lts Standard")</f>
        <v>Tanque Combustible 2000 lts Standard</v>
      </c>
      <c r="U114" s="3" t="str">
        <f>IFERROR(__xludf.DUMMYFUNCTION("""COMPUTED_VALUE"""),"Tanque Combustible 3000 lts Standard")</f>
        <v>Tanque Combustible 3000 lts Standard</v>
      </c>
      <c r="V114" s="3" t="str">
        <f>IFERROR(__xludf.DUMMYFUNCTION("""COMPUTED_VALUE"""),"Tanque Combustible 3000 lts Alto")</f>
        <v>Tanque Combustible 3000 lts Alto</v>
      </c>
      <c r="W114" s="3" t="str">
        <f>IFERROR(__xludf.DUMMYFUNCTION("""COMPUTED_VALUE"""),"Tanque Combustible 4000 lts Standard")</f>
        <v>Tanque Combustible 4000 lts Standard</v>
      </c>
      <c r="X114" s="3" t="str">
        <f>IFERROR(__xludf.DUMMYFUNCTION("""COMPUTED_VALUE"""),"Tanque Combustible 5000 lts Standard")</f>
        <v>Tanque Combustible 5000 lts Standard</v>
      </c>
      <c r="Y114" s="3" t="str">
        <f>IFERROR(__xludf.DUMMYFUNCTION("""COMPUTED_VALUE"""),"Tanque Combustible 5000 lts Alto")</f>
        <v>Tanque Combustible 5000 lts Alto</v>
      </c>
      <c r="Z114" s="3" t="str">
        <f>IFERROR(__xludf.DUMMYFUNCTION("""COMPUTED_VALUE"""),"Tanque Combustible 2000 lts Alto")</f>
        <v>Tanque Combustible 2000 lts Alto</v>
      </c>
      <c r="AA114" s="3" t="str">
        <f>IFERROR(__xludf.DUMMYFUNCTION("""COMPUTED_VALUE"""),"Tanque Combustible 4000 lts Alto")</f>
        <v>Tanque Combustible 4000 lts Alto</v>
      </c>
      <c r="AB114" s="3" t="str">
        <f>IFERROR(__xludf.DUMMYFUNCTION("""COMPUTED_VALUE"""),"Baulera Standard - 750")</f>
        <v>Baulera Standard - 750</v>
      </c>
      <c r="AC114" s="3" t="str">
        <f>IFERROR(__xludf.DUMMYFUNCTION("""COMPUTED_VALUE"""),"Baulera Standard - 1700 - C/Laterales")</f>
        <v>Baulera Standard - 1700 - C/Laterales</v>
      </c>
      <c r="AD114" s="3" t="str">
        <f>IFERROR(__xludf.DUMMYFUNCTION("""COMPUTED_VALUE"""),"Baulera Standard - 1000 - C/Laterales")</f>
        <v>Baulera Standard - 1000 - C/Laterales</v>
      </c>
      <c r="AE114" s="3" t="str">
        <f>IFERROR(__xludf.DUMMYFUNCTION("""COMPUTED_VALUE"""),"Baulera Standard - 750 - C/Laterales")</f>
        <v>Baulera Standard - 750 - C/Laterales</v>
      </c>
      <c r="AF114" s="3" t="str">
        <f>IFERROR(__xludf.DUMMYFUNCTION("""COMPUTED_VALUE"""),"Baulera Standard - 1300 - C/Laterales")</f>
        <v>Baulera Standard - 1300 - C/Laterales</v>
      </c>
      <c r="AG114" s="3" t="str">
        <f>IFERROR(__xludf.DUMMYFUNCTION("""COMPUTED_VALUE"""),"Baulera Alta - 750")</f>
        <v>Baulera Alta - 750</v>
      </c>
      <c r="AH114" s="3" t="str">
        <f>IFERROR(__xludf.DUMMYFUNCTION("""COMPUTED_VALUE"""),"Baulera Alta - 1500 - C/Laterales")</f>
        <v>Baulera Alta - 1500 - C/Laterales</v>
      </c>
      <c r="AI114" s="3" t="str">
        <f>IFERROR(__xludf.DUMMYFUNCTION("""COMPUTED_VALUE"""),"Baulera Extendida 1700 - C/Laterales")</f>
        <v>Baulera Extendida 1700 - C/Laterales</v>
      </c>
      <c r="AJ114" s="3" t="str">
        <f>IFERROR(__xludf.DUMMYFUNCTION("""COMPUTED_VALUE"""),"Taller Móvil - 1500 x 1500 x 1700")</f>
        <v>Taller Móvil - 1500 x 1500 x 1700</v>
      </c>
      <c r="AK114" s="3" t="str">
        <f>IFERROR(__xludf.DUMMYFUNCTION("""COMPUTED_VALUE"""),"Cajón Herramientas Standard Derecho")</f>
        <v>Cajón Herramientas Standard Derecho</v>
      </c>
      <c r="AL114" s="3" t="str">
        <f>IFERROR(__xludf.DUMMYFUNCTION("""COMPUTED_VALUE"""),"Cajón Herramientas Standard Izquierdo")</f>
        <v>Cajón Herramientas Standard Izquierdo</v>
      </c>
      <c r="AM114" s="3" t="str">
        <f>IFERROR(__xludf.DUMMYFUNCTION("""COMPUTED_VALUE"""),"Cajón Herramientas Corto Derecho")</f>
        <v>Cajón Herramientas Corto Derecho</v>
      </c>
      <c r="AN114" s="3" t="str">
        <f>IFERROR(__xludf.DUMMYFUNCTION("""COMPUTED_VALUE"""),"Cajón Herramientas Corto Izquierdo")</f>
        <v>Cajón Herramientas Corto Izquierdo</v>
      </c>
      <c r="AO114" s="3" t="str">
        <f>IFERROR(__xludf.DUMMYFUNCTION("""COMPUTED_VALUE"""),"Cajón Herramientas Mediano Derecho")</f>
        <v>Cajón Herramientas Mediano Derecho</v>
      </c>
      <c r="AP114" s="3" t="str">
        <f>IFERROR(__xludf.DUMMYFUNCTION("""COMPUTED_VALUE"""),"Cajón Herramientas Mediano Izquierdo")</f>
        <v>Cajón Herramientas Mediano Izquierdo</v>
      </c>
      <c r="AQ114" s="3" t="str">
        <f>IFERROR(__xludf.DUMMYFUNCTION("""COMPUTED_VALUE"""),"Chasis Acoplado 2 Ejes L3000")</f>
        <v>Chasis Acoplado 2 Ejes L3000</v>
      </c>
      <c r="AR114" s="3" t="str">
        <f>IFERROR(__xludf.DUMMYFUNCTION("""COMPUTED_VALUE"""),"Chasis Acoplado 2 Ejes L3750")</f>
        <v>Chasis Acoplado 2 Ejes L3750</v>
      </c>
      <c r="AS114" s="3" t="str">
        <f>IFERROR(__xludf.DUMMYFUNCTION("""COMPUTED_VALUE"""),"Chasis Acoplado 2 Ejes L4000")</f>
        <v>Chasis Acoplado 2 Ejes L4000</v>
      </c>
      <c r="AT114" s="3" t="str">
        <f>IFERROR(__xludf.DUMMYFUNCTION("""COMPUTED_VALUE"""),"Chasis Acoplado 2 Ejes L4000 Reforzado")</f>
        <v>Chasis Acoplado 2 Ejes L4000 Reforzado</v>
      </c>
      <c r="AU114" s="3" t="str">
        <f>IFERROR(__xludf.DUMMYFUNCTION("""COMPUTED_VALUE"""),"Chasis Acoplado 2 Ejes L4750")</f>
        <v>Chasis Acoplado 2 Ejes L4750</v>
      </c>
      <c r="AV114" s="3" t="str">
        <f>IFERROR(__xludf.DUMMYFUNCTION("""COMPUTED_VALUE"""),"Chasis Acoplado 2 Ejes L4750 Reforzado")</f>
        <v>Chasis Acoplado 2 Ejes L4750 Reforzado</v>
      </c>
      <c r="AW114" s="3" t="str">
        <f>IFERROR(__xludf.DUMMYFUNCTION("""COMPUTED_VALUE"""),"Chasis Acoplado 2 Ejes L4750 Reforzado R. Camion")</f>
        <v>Chasis Acoplado 2 Ejes L4750 Reforzado R. Camion</v>
      </c>
      <c r="AX114" s="3" t="str">
        <f>IFERROR(__xludf.DUMMYFUNCTION("""COMPUTED_VALUE"""),"Chasis Acoplado 2 Ejes L5000")</f>
        <v>Chasis Acoplado 2 Ejes L5000</v>
      </c>
      <c r="AY114" s="3" t="str">
        <f>IFERROR(__xludf.DUMMYFUNCTION("""COMPUTED_VALUE"""),"Chasis Acoplado 2 Ejes L5750")</f>
        <v>Chasis Acoplado 2 Ejes L5750</v>
      </c>
      <c r="AZ114" s="3" t="str">
        <f>IFERROR(__xludf.DUMMYFUNCTION("""COMPUTED_VALUE"""),"Chasis Acoplado 2 Ejes L6400")</f>
        <v>Chasis Acoplado 2 Ejes L6400</v>
      </c>
      <c r="BA114" s="3" t="str">
        <f>IFERROR(__xludf.DUMMYFUNCTION("""COMPUTED_VALUE"""),"Chasis Acoplado 2 Ejes L4500")</f>
        <v>Chasis Acoplado 2 Ejes L4500</v>
      </c>
      <c r="BB114" s="3" t="str">
        <f>IFERROR(__xludf.DUMMYFUNCTION("""COMPUTED_VALUE"""),"Chasis Acoplado 1 Eje L1500")</f>
        <v>Chasis Acoplado 1 Eje L1500</v>
      </c>
      <c r="BC114" s="3" t="str">
        <f>IFERROR(__xludf.DUMMYFUNCTION("""COMPUTED_VALUE"""),"Chasis Acoplado 1 Eje L1800")</f>
        <v>Chasis Acoplado 1 Eje L1800</v>
      </c>
      <c r="BD114" s="3" t="str">
        <f>IFERROR(__xludf.DUMMYFUNCTION("""COMPUTED_VALUE"""),"Chasis Acoplado 1 Eje L1400")</f>
        <v>Chasis Acoplado 1 Eje L1400</v>
      </c>
      <c r="BE114" s="3" t="str">
        <f>IFERROR(__xludf.DUMMYFUNCTION("""COMPUTED_VALUE"""),"Chasis Acoplado Balancin L3000")</f>
        <v>Chasis Acoplado Balancin L3000</v>
      </c>
      <c r="BF114" s="3" t="str">
        <f>IFERROR(__xludf.DUMMYFUNCTION("""COMPUTED_VALUE"""),"Chasis Acoplado Balancin L3000 Lanza Corta")</f>
        <v>Chasis Acoplado Balancin L3000 Lanza Corta</v>
      </c>
      <c r="BG114" s="3" t="str">
        <f>IFERROR(__xludf.DUMMYFUNCTION("""COMPUTED_VALUE"""),"Chasis Acoplado Balancin L2000 Lanza Corta")</f>
        <v>Chasis Acoplado Balancin L2000 Lanza Corta</v>
      </c>
      <c r="BH114" s="3" t="str">
        <f>IFERROR(__xludf.DUMMYFUNCTION("""COMPUTED_VALUE"""),"Chasis Acoplado Balancin L3200 Lanza Corta")</f>
        <v>Chasis Acoplado Balancin L3200 Lanza Corta</v>
      </c>
      <c r="BI114" s="3" t="str">
        <f>IFERROR(__xludf.DUMMYFUNCTION("""COMPUTED_VALUE"""),"Chasis Acoplado Balancin L3200 Lanza Recta")</f>
        <v>Chasis Acoplado Balancin L3200 Lanza Recta</v>
      </c>
      <c r="BJ114" s="3" t="str">
        <f>IFERROR(__xludf.DUMMYFUNCTION("""COMPUTED_VALUE"""),"Chasis Acoplado Balancin L3200 Bajo Lanza Recta")</f>
        <v>Chasis Acoplado Balancin L3200 Bajo Lanza Recta</v>
      </c>
      <c r="BK114" s="3" t="str">
        <f>IFERROR(__xludf.DUMMYFUNCTION("""COMPUTED_VALUE"""),"Tanque Plastico Horizontal 750 Lts")</f>
        <v>Tanque Plastico Horizontal 750 Lts</v>
      </c>
      <c r="BL114" s="3" t="str">
        <f>IFERROR(__xludf.DUMMYFUNCTION("""COMPUTED_VALUE"""),"Medio Tanque Plastico Superior 700 Lts")</f>
        <v>Medio Tanque Plastico Superior 700 Lts</v>
      </c>
      <c r="BM114" s="3" t="str">
        <f>IFERROR(__xludf.DUMMYFUNCTION("""COMPUTED_VALUE"""),"Paquete de Elasticos 50 mm x 8 mm x 10 Hojas L850")</f>
        <v>Paquete de Elasticos 50 mm x 8 mm x 10 Hojas L850</v>
      </c>
      <c r="BN114" s="3" t="str">
        <f>IFERROR(__xludf.DUMMYFUNCTION("""COMPUTED_VALUE"""),"Paquete de Elasticos 63 mm x 8 mm x 10 Hojas L950")</f>
        <v>Paquete de Elasticos 63 mm x 8 mm x 10 Hojas L950</v>
      </c>
      <c r="BO114" s="3" t="str">
        <f>IFERROR(__xludf.DUMMYFUNCTION("""COMPUTED_VALUE"""),"Paquete de Elasticos 50 mm x 7 mm x 9 Hojas L850")</f>
        <v>Paquete de Elasticos 50 mm x 7 mm x 9 Hojas L850</v>
      </c>
      <c r="BP114" s="3" t="str">
        <f>IFERROR(__xludf.DUMMYFUNCTION("""COMPUTED_VALUE"""),"Paquete de Elasticos 63 mm x 8 mm x 8 Hojas L850")</f>
        <v>Paquete de Elasticos 63 mm x 8 mm x 8 Hojas L850</v>
      </c>
      <c r="BQ114" s="3" t="str">
        <f>IFERROR(__xludf.DUMMYFUNCTION("""COMPUTED_VALUE"""),"Paquete de Elasticos 63 mm x 10 mm x 10 Hojas L950")</f>
        <v>Paquete de Elasticos 63 mm x 10 mm x 10 Hojas L950</v>
      </c>
      <c r="BR114" s="3" t="str">
        <f>IFERROR(__xludf.DUMMYFUNCTION("""COMPUTED_VALUE"""),"Paquete de Elasticos 63 mm x 10 mm x 13 Hojas L975")</f>
        <v>Paquete de Elasticos 63 mm x 10 mm x 13 Hojas L975</v>
      </c>
      <c r="BS114" s="3" t="str">
        <f>IFERROR(__xludf.DUMMYFUNCTION("""COMPUTED_VALUE"""),"Paquete de Elasticos 50 mm x 7 mm x 9 Hojas L650")</f>
        <v>Paquete de Elasticos 50 mm x 7 mm x 9 Hojas L650</v>
      </c>
      <c r="BT114" s="3" t="str">
        <f>IFERROR(__xludf.DUMMYFUNCTION("""COMPUTED_VALUE"""),"Eje Acoplado 2"" x 1600 (06/08) Agrícola Centro 92")</f>
        <v>Eje Acoplado 2" x 1600 (06/08) Agrícola Centro 92</v>
      </c>
      <c r="BU114" s="3" t="str">
        <f>IFERROR(__xludf.DUMMYFUNCTION("""COMPUTED_VALUE"""),"Eje Acoplado 2 1/2"" x 1600 (07/09) Agrícola Centro 92")</f>
        <v>Eje Acoplado 2 1/2" x 1600 (07/09) Agrícola Centro 92</v>
      </c>
      <c r="BV114" s="3" t="str">
        <f>IFERROR(__xludf.DUMMYFUNCTION("""COMPUTED_VALUE"""),"Eje Acoplado 2 1/2"" x 1600 (09/11) Agrícola Centro 150")</f>
        <v>Eje Acoplado 2 1/2" x 1600 (09/11) Agrícola Centro 150</v>
      </c>
      <c r="BW114" s="3" t="str">
        <f>IFERROR(__xludf.DUMMYFUNCTION("""COMPUTED_VALUE"""),"Eje Acoplado 3"" x 1600 (10/13) Agrícola Centro 150")</f>
        <v>Eje Acoplado 3" x 1600 (10/13) Agrícola Centro 150</v>
      </c>
      <c r="BX114" s="3" t="str">
        <f>IFERROR(__xludf.DUMMYFUNCTION("""COMPUTED_VALUE"""),"Eje Acoplado 2 1/2"" x 2140 (07/09) Agrícola Centro 92")</f>
        <v>Eje Acoplado 2 1/2" x 2140 (07/09) Agrícola Centro 92</v>
      </c>
      <c r="BY114" s="3" t="str">
        <f>IFERROR(__xludf.DUMMYFUNCTION("""COMPUTED_VALUE"""),"Eje Acoplado 2"" x 1400 (06/08) Agrícola Centro 92")</f>
        <v>Eje Acoplado 2" x 1400 (06/08) Agrícola Centro 92</v>
      </c>
      <c r="BZ114" s="3" t="str">
        <f>IFERROR(__xludf.DUMMYFUNCTION("""COMPUTED_VALUE"""),"Eje Acoplado 2 1/2"" x 1500 (07/09) Agrícola Centro 92")</f>
        <v>Eje Acoplado 2 1/2" x 1500 (07/09) Agrícola Centro 92</v>
      </c>
      <c r="CA114" s="3" t="str">
        <f>IFERROR(__xludf.DUMMYFUNCTION("""COMPUTED_VALUE"""),"Eje Acoplado 2 1/2"" x 2000 (07/09) Agrícola Centro 92")</f>
        <v>Eje Acoplado 2 1/2" x 2000 (07/09) Agrícola Centro 92</v>
      </c>
      <c r="CB114" s="3" t="str">
        <f>IFERROR(__xludf.DUMMYFUNCTION("""COMPUTED_VALUE"""),"Eje Acoplado 2 1/2"" x 2100 (09/11) Agrícola Centro 150")</f>
        <v>Eje Acoplado 2 1/2" x 2100 (09/11) Agrícola Centro 150</v>
      </c>
      <c r="CC114" s="3" t="str">
        <f>IFERROR(__xludf.DUMMYFUNCTION("""COMPUTED_VALUE"""),"Llanta 16"" Simple Agrícola Centro 92")</f>
        <v>Llanta 16" Simple Agrícola Centro 92</v>
      </c>
      <c r="CD114" s="3" t="str">
        <f>IFERROR(__xludf.DUMMYFUNCTION("""COMPUTED_VALUE"""),"Llanta 16"" Dual Agrícola Centro 92")</f>
        <v>Llanta 16" Dual Agrícola Centro 92</v>
      </c>
      <c r="CE114" s="3" t="str">
        <f>IFERROR(__xludf.DUMMYFUNCTION("""COMPUTED_VALUE"""),"Llanta 17"" Simple Agrícola Centro 92")</f>
        <v>Llanta 17" Simple Agrícola Centro 92</v>
      </c>
      <c r="CF114" s="3" t="str">
        <f>IFERROR(__xludf.DUMMYFUNCTION("""COMPUTED_VALUE"""),"Llanta 17"" Dual Agrícola Centro 92")</f>
        <v>Llanta 17" Dual Agrícola Centro 92</v>
      </c>
      <c r="CG114" s="3" t="str">
        <f>IFERROR(__xludf.DUMMYFUNCTION("""COMPUTED_VALUE"""),"Llanta 16"" Dual Agrícola Centro 152")</f>
        <v>Llanta 16" Dual Agrícola Centro 152</v>
      </c>
      <c r="CH114" s="3" t="str">
        <f>IFERROR(__xludf.DUMMYFUNCTION("""COMPUTED_VALUE"""),"Llanta 17"" Dual Agrícola Centro 152")</f>
        <v>Llanta 17" Dual Agrícola Centro 152</v>
      </c>
      <c r="CI114" s="3" t="str">
        <f>IFERROR(__xludf.DUMMYFUNCTION("""COMPUTED_VALUE"""),"Eje Acoplado 2"" x 1600 (05/07) Agrícola Centro 92")</f>
        <v>Eje Acoplado 2" x 1600 (05/07) Agrícola Centro 92</v>
      </c>
      <c r="CJ114" s="3" t="str">
        <f>IFERROR(__xludf.DUMMYFUNCTION("""COMPUTED_VALUE"""),"Paquete de Elásticos 50 mm x 8 mm x 12 Hojas")</f>
        <v>Paquete de Elásticos 50 mm x 8 mm x 12 Hojas</v>
      </c>
      <c r="CK114" s="3" t="str">
        <f>IFERROR(__xludf.DUMMYFUNCTION("""COMPUTED_VALUE"""),"Plataforma Playo 4.00 x 1.90 x 0.45 Lateral Simple Baranda Fija")</f>
        <v>Plataforma Playo 4.00 x 1.90 x 0.45 Lateral Simple Baranda Fija</v>
      </c>
      <c r="CL114" s="3" t="str">
        <f>IFERROR(__xludf.DUMMYFUNCTION("""COMPUTED_VALUE"""),"Plataforma Playo 4.00 x 1.90 x 0.45 Lateral Simple Baranda Ventilada")</f>
        <v>Plataforma Playo 4.00 x 1.90 x 0.45 Lateral Simple Baranda Ventilada</v>
      </c>
      <c r="CM114" s="3" t="str">
        <f>IFERROR(__xludf.DUMMYFUNCTION("""COMPUTED_VALUE"""),"Plataforma Playo 4.00 x 1.90 x 0.45 Lateral Doble Baranda Ventilada")</f>
        <v>Plataforma Playo 4.00 x 1.90 x 0.45 Lateral Doble Baranda Ventilada</v>
      </c>
      <c r="CN114" s="3" t="str">
        <f>IFERROR(__xludf.DUMMYFUNCTION("""COMPUTED_VALUE"""),"Plataforma Playo 4.00 x 1.90 x 0.45 Lateral Doble Baranda Fija")</f>
        <v>Plataforma Playo 4.00 x 1.90 x 0.45 Lateral Doble Baranda Fija</v>
      </c>
      <c r="CO114" s="3" t="str">
        <f>IFERROR(__xludf.DUMMYFUNCTION("""COMPUTED_VALUE"""),"Plataforma Playo 4.00 x 1.90 x 0.72 Lateral Simple Baranda Fija")</f>
        <v>Plataforma Playo 4.00 x 1.90 x 0.72 Lateral Simple Baranda Fija</v>
      </c>
      <c r="CP114" s="3" t="str">
        <f>IFERROR(__xludf.DUMMYFUNCTION("""COMPUTED_VALUE"""),"Plataforma Playo 4.00 x 1.90 x 0.72 Lateral Doble Baranda Fija")</f>
        <v>Plataforma Playo 4.00 x 1.90 x 0.72 Lateral Doble Baranda Fija</v>
      </c>
      <c r="CQ114" s="3" t="str">
        <f>IFERROR(__xludf.DUMMYFUNCTION("""COMPUTED_VALUE"""),"Plataforma Playo 5.00 x 2.20 x 0.60 Lateral Doble Trasera Rebatible")</f>
        <v>Plataforma Playo 5.00 x 2.20 x 0.60 Lateral Doble Trasera Rebatible</v>
      </c>
      <c r="CR114" s="3" t="str">
        <f>IFERROR(__xludf.DUMMYFUNCTION("""COMPUTED_VALUE"""),"Plataforma Playo 5.00 x 2.20 x 0.60 Lateral Doble Baranda Fija C/Toldo")</f>
        <v>Plataforma Playo 5.00 x 2.20 x 0.60 Lateral Doble Baranda Fija C/Toldo</v>
      </c>
      <c r="CS114" s="3" t="str">
        <f>IFERROR(__xludf.DUMMYFUNCTION("""COMPUTED_VALUE"""),"Plataforma Playo 3.00 x 1.90 x 0.45 Lateral Simple Baranda Fija")</f>
        <v>Plataforma Playo 3.00 x 1.90 x 0.45 Lateral Simple Baranda Fija</v>
      </c>
      <c r="CT114" s="3" t="str">
        <f>IFERROR(__xludf.DUMMYFUNCTION("""COMPUTED_VALUE"""),"Plataforma Playo 3.00 x 1.90 x 0.45 Lateral Simple Baranda Ventilada")</f>
        <v>Plataforma Playo 3.00 x 1.90 x 0.45 Lateral Simple Baranda Ventilada</v>
      </c>
      <c r="CU114" s="3" t="str">
        <f>IFERROR(__xludf.DUMMYFUNCTION("""COMPUTED_VALUE"""),"Plataforma Playo 2.00 x 1.90 x 0.45 Lateral Simple Baranda Fija")</f>
        <v>Plataforma Playo 2.00 x 1.90 x 0.45 Lateral Simple Baranda Fija</v>
      </c>
      <c r="CV114" s="3" t="str">
        <f>IFERROR(__xludf.DUMMYFUNCTION("""COMPUTED_VALUE"""),"Plataforma Playo 5.00 x 1.90 x 0.60 Lateral Doble Baranda Fija")</f>
        <v>Plataforma Playo 5.00 x 1.90 x 0.60 Lateral Doble Baranda Fija</v>
      </c>
      <c r="CW114" s="3" t="str">
        <f>IFERROR(__xludf.DUMMYFUNCTION("""COMPUTED_VALUE"""),"Plataforma Playo 6.40 x 2.70 x 0.72 Lateral Doble Baranda Fija")</f>
        <v>Plataforma Playo 6.40 x 2.70 x 0.72 Lateral Doble Baranda Fija</v>
      </c>
      <c r="CX114" s="3" t="str">
        <f>IFERROR(__xludf.DUMMYFUNCTION("""COMPUTED_VALUE"""),"Chasis Acoplado Balancin L4000 Lanza Recta")</f>
        <v>Chasis Acoplado Balancin L4000 Lanza Recta</v>
      </c>
      <c r="CY114" s="3" t="str">
        <f>IFERROR(__xludf.DUMMYFUNCTION("""COMPUTED_VALUE"""),"Llanta simple Agrícola 750x20 centro 152")</f>
        <v>Llanta simple Agrícola 750x20 centro 152</v>
      </c>
      <c r="CZ114" s="3" t="str">
        <f>IFERROR(__xludf.DUMMYFUNCTION("""COMPUTED_VALUE"""),"Cajón de Herramientas Mediano adelante")</f>
        <v>Cajón de Herramientas Mediano adelante</v>
      </c>
      <c r="DA114" s="3" t="str">
        <f>IFERROR(__xludf.DUMMYFUNCTION("""COMPUTED_VALUE"""),"Llanta 15"" Simple Agrícola Centro 92")</f>
        <v>Llanta 15" Simple Agrícola Centro 92</v>
      </c>
    </row>
    <row r="115" hidden="1">
      <c r="A115" s="38">
        <f t="shared" si="1"/>
        <v>114</v>
      </c>
      <c r="B115" s="38">
        <f>IF(F115="","",SUMIF(Prearmados!E:E,F115,Prearmados!A:A))</f>
        <v>22</v>
      </c>
      <c r="C115" s="38">
        <f>IF(F115="","",SUMIF(Productos!E:E,G115,Productos!A:A))</f>
        <v>110</v>
      </c>
      <c r="D115" s="83" t="str">
        <f t="array" ref="D115">IF(OR(F115="",F115="Seleccionar.."),"",XLOOKUP(F115,Prearmados!E:E,Prearmados!F:F,"",0,1))</f>
        <v>Acoplados Rurales</v>
      </c>
      <c r="E115" s="83">
        <f>IF(H115="","",SUMIF(Precio_Productos!K:K,C115,Precio_Productos!J:J)*H115)</f>
        <v>476800</v>
      </c>
      <c r="F115" s="84" t="s">
        <v>345</v>
      </c>
      <c r="G115" s="84" t="s">
        <v>129</v>
      </c>
      <c r="H115" s="13">
        <v>4.0</v>
      </c>
      <c r="P115" s="3" t="str">
        <f>IFERROR(__xludf.DUMMYFUNCTION("IF(OR(F115="""",F115=""Seleccionar..""),"""",TRANSPOSE(FILTER(Productos!E:E,(Productos!F:F=D115)+(Productos!F:F=XLOOKUP(D115,Implementos!B:B,Implementos!C:C,""-"",0,1)))))"),"Tanque Combustible 1100 lts Bajo")</f>
        <v>Tanque Combustible 1100 lts Bajo</v>
      </c>
      <c r="Q115" s="3" t="str">
        <f>IFERROR(__xludf.DUMMYFUNCTION("""COMPUTED_VALUE"""),"Tanque Combustible 1500 lts Standard")</f>
        <v>Tanque Combustible 1500 lts Standard</v>
      </c>
      <c r="R115" s="3" t="str">
        <f>IFERROR(__xludf.DUMMYFUNCTION("""COMPUTED_VALUE"""),"Tanque Combustible 1800 lts Standard")</f>
        <v>Tanque Combustible 1800 lts Standard</v>
      </c>
      <c r="S115" s="3" t="str">
        <f>IFERROR(__xludf.DUMMYFUNCTION("""COMPUTED_VALUE"""),"Tanque Combustible 2000 lts Bajo")</f>
        <v>Tanque Combustible 2000 lts Bajo</v>
      </c>
      <c r="T115" s="3" t="str">
        <f>IFERROR(__xludf.DUMMYFUNCTION("""COMPUTED_VALUE"""),"Tanque Combustible 2000 lts Standard")</f>
        <v>Tanque Combustible 2000 lts Standard</v>
      </c>
      <c r="U115" s="3" t="str">
        <f>IFERROR(__xludf.DUMMYFUNCTION("""COMPUTED_VALUE"""),"Tanque Combustible 3000 lts Standard")</f>
        <v>Tanque Combustible 3000 lts Standard</v>
      </c>
      <c r="V115" s="3" t="str">
        <f>IFERROR(__xludf.DUMMYFUNCTION("""COMPUTED_VALUE"""),"Tanque Combustible 3000 lts Alto")</f>
        <v>Tanque Combustible 3000 lts Alto</v>
      </c>
      <c r="W115" s="3" t="str">
        <f>IFERROR(__xludf.DUMMYFUNCTION("""COMPUTED_VALUE"""),"Tanque Combustible 4000 lts Standard")</f>
        <v>Tanque Combustible 4000 lts Standard</v>
      </c>
      <c r="X115" s="3" t="str">
        <f>IFERROR(__xludf.DUMMYFUNCTION("""COMPUTED_VALUE"""),"Tanque Combustible 5000 lts Standard")</f>
        <v>Tanque Combustible 5000 lts Standard</v>
      </c>
      <c r="Y115" s="3" t="str">
        <f>IFERROR(__xludf.DUMMYFUNCTION("""COMPUTED_VALUE"""),"Tanque Combustible 5000 lts Alto")</f>
        <v>Tanque Combustible 5000 lts Alto</v>
      </c>
      <c r="Z115" s="3" t="str">
        <f>IFERROR(__xludf.DUMMYFUNCTION("""COMPUTED_VALUE"""),"Tanque Combustible 2000 lts Alto")</f>
        <v>Tanque Combustible 2000 lts Alto</v>
      </c>
      <c r="AA115" s="3" t="str">
        <f>IFERROR(__xludf.DUMMYFUNCTION("""COMPUTED_VALUE"""),"Tanque Combustible 4000 lts Alto")</f>
        <v>Tanque Combustible 4000 lts Alto</v>
      </c>
      <c r="AB115" s="3" t="str">
        <f>IFERROR(__xludf.DUMMYFUNCTION("""COMPUTED_VALUE"""),"Baulera Standard - 750")</f>
        <v>Baulera Standard - 750</v>
      </c>
      <c r="AC115" s="3" t="str">
        <f>IFERROR(__xludf.DUMMYFUNCTION("""COMPUTED_VALUE"""),"Baulera Standard - 1700 - C/Laterales")</f>
        <v>Baulera Standard - 1700 - C/Laterales</v>
      </c>
      <c r="AD115" s="3" t="str">
        <f>IFERROR(__xludf.DUMMYFUNCTION("""COMPUTED_VALUE"""),"Baulera Standard - 1000 - C/Laterales")</f>
        <v>Baulera Standard - 1000 - C/Laterales</v>
      </c>
      <c r="AE115" s="3" t="str">
        <f>IFERROR(__xludf.DUMMYFUNCTION("""COMPUTED_VALUE"""),"Baulera Standard - 750 - C/Laterales")</f>
        <v>Baulera Standard - 750 - C/Laterales</v>
      </c>
      <c r="AF115" s="3" t="str">
        <f>IFERROR(__xludf.DUMMYFUNCTION("""COMPUTED_VALUE"""),"Baulera Standard - 1300 - C/Laterales")</f>
        <v>Baulera Standard - 1300 - C/Laterales</v>
      </c>
      <c r="AG115" s="3" t="str">
        <f>IFERROR(__xludf.DUMMYFUNCTION("""COMPUTED_VALUE"""),"Baulera Alta - 750")</f>
        <v>Baulera Alta - 750</v>
      </c>
      <c r="AH115" s="3" t="str">
        <f>IFERROR(__xludf.DUMMYFUNCTION("""COMPUTED_VALUE"""),"Baulera Alta - 1500 - C/Laterales")</f>
        <v>Baulera Alta - 1500 - C/Laterales</v>
      </c>
      <c r="AI115" s="3" t="str">
        <f>IFERROR(__xludf.DUMMYFUNCTION("""COMPUTED_VALUE"""),"Baulera Extendida 1700 - C/Laterales")</f>
        <v>Baulera Extendida 1700 - C/Laterales</v>
      </c>
      <c r="AJ115" s="3" t="str">
        <f>IFERROR(__xludf.DUMMYFUNCTION("""COMPUTED_VALUE"""),"Taller Móvil - 1500 x 1500 x 1700")</f>
        <v>Taller Móvil - 1500 x 1500 x 1700</v>
      </c>
      <c r="AK115" s="3" t="str">
        <f>IFERROR(__xludf.DUMMYFUNCTION("""COMPUTED_VALUE"""),"Cajón Herramientas Standard Derecho")</f>
        <v>Cajón Herramientas Standard Derecho</v>
      </c>
      <c r="AL115" s="3" t="str">
        <f>IFERROR(__xludf.DUMMYFUNCTION("""COMPUTED_VALUE"""),"Cajón Herramientas Standard Izquierdo")</f>
        <v>Cajón Herramientas Standard Izquierdo</v>
      </c>
      <c r="AM115" s="3" t="str">
        <f>IFERROR(__xludf.DUMMYFUNCTION("""COMPUTED_VALUE"""),"Cajón Herramientas Corto Derecho")</f>
        <v>Cajón Herramientas Corto Derecho</v>
      </c>
      <c r="AN115" s="3" t="str">
        <f>IFERROR(__xludf.DUMMYFUNCTION("""COMPUTED_VALUE"""),"Cajón Herramientas Corto Izquierdo")</f>
        <v>Cajón Herramientas Corto Izquierdo</v>
      </c>
      <c r="AO115" s="3" t="str">
        <f>IFERROR(__xludf.DUMMYFUNCTION("""COMPUTED_VALUE"""),"Cajón Herramientas Mediano Derecho")</f>
        <v>Cajón Herramientas Mediano Derecho</v>
      </c>
      <c r="AP115" s="3" t="str">
        <f>IFERROR(__xludf.DUMMYFUNCTION("""COMPUTED_VALUE"""),"Cajón Herramientas Mediano Izquierdo")</f>
        <v>Cajón Herramientas Mediano Izquierdo</v>
      </c>
      <c r="AQ115" s="3" t="str">
        <f>IFERROR(__xludf.DUMMYFUNCTION("""COMPUTED_VALUE"""),"Chasis Acoplado 2 Ejes L3000")</f>
        <v>Chasis Acoplado 2 Ejes L3000</v>
      </c>
      <c r="AR115" s="3" t="str">
        <f>IFERROR(__xludf.DUMMYFUNCTION("""COMPUTED_VALUE"""),"Chasis Acoplado 2 Ejes L3750")</f>
        <v>Chasis Acoplado 2 Ejes L3750</v>
      </c>
      <c r="AS115" s="3" t="str">
        <f>IFERROR(__xludf.DUMMYFUNCTION("""COMPUTED_VALUE"""),"Chasis Acoplado 2 Ejes L4000")</f>
        <v>Chasis Acoplado 2 Ejes L4000</v>
      </c>
      <c r="AT115" s="3" t="str">
        <f>IFERROR(__xludf.DUMMYFUNCTION("""COMPUTED_VALUE"""),"Chasis Acoplado 2 Ejes L4000 Reforzado")</f>
        <v>Chasis Acoplado 2 Ejes L4000 Reforzado</v>
      </c>
      <c r="AU115" s="3" t="str">
        <f>IFERROR(__xludf.DUMMYFUNCTION("""COMPUTED_VALUE"""),"Chasis Acoplado 2 Ejes L4750")</f>
        <v>Chasis Acoplado 2 Ejes L4750</v>
      </c>
      <c r="AV115" s="3" t="str">
        <f>IFERROR(__xludf.DUMMYFUNCTION("""COMPUTED_VALUE"""),"Chasis Acoplado 2 Ejes L4750 Reforzado")</f>
        <v>Chasis Acoplado 2 Ejes L4750 Reforzado</v>
      </c>
      <c r="AW115" s="3" t="str">
        <f>IFERROR(__xludf.DUMMYFUNCTION("""COMPUTED_VALUE"""),"Chasis Acoplado 2 Ejes L4750 Reforzado R. Camion")</f>
        <v>Chasis Acoplado 2 Ejes L4750 Reforzado R. Camion</v>
      </c>
      <c r="AX115" s="3" t="str">
        <f>IFERROR(__xludf.DUMMYFUNCTION("""COMPUTED_VALUE"""),"Chasis Acoplado 2 Ejes L5000")</f>
        <v>Chasis Acoplado 2 Ejes L5000</v>
      </c>
      <c r="AY115" s="3" t="str">
        <f>IFERROR(__xludf.DUMMYFUNCTION("""COMPUTED_VALUE"""),"Chasis Acoplado 2 Ejes L5750")</f>
        <v>Chasis Acoplado 2 Ejes L5750</v>
      </c>
      <c r="AZ115" s="3" t="str">
        <f>IFERROR(__xludf.DUMMYFUNCTION("""COMPUTED_VALUE"""),"Chasis Acoplado 2 Ejes L6400")</f>
        <v>Chasis Acoplado 2 Ejes L6400</v>
      </c>
      <c r="BA115" s="3" t="str">
        <f>IFERROR(__xludf.DUMMYFUNCTION("""COMPUTED_VALUE"""),"Chasis Acoplado 2 Ejes L4500")</f>
        <v>Chasis Acoplado 2 Ejes L4500</v>
      </c>
      <c r="BB115" s="3" t="str">
        <f>IFERROR(__xludf.DUMMYFUNCTION("""COMPUTED_VALUE"""),"Chasis Acoplado 1 Eje L1500")</f>
        <v>Chasis Acoplado 1 Eje L1500</v>
      </c>
      <c r="BC115" s="3" t="str">
        <f>IFERROR(__xludf.DUMMYFUNCTION("""COMPUTED_VALUE"""),"Chasis Acoplado 1 Eje L1800")</f>
        <v>Chasis Acoplado 1 Eje L1800</v>
      </c>
      <c r="BD115" s="3" t="str">
        <f>IFERROR(__xludf.DUMMYFUNCTION("""COMPUTED_VALUE"""),"Chasis Acoplado 1 Eje L1400")</f>
        <v>Chasis Acoplado 1 Eje L1400</v>
      </c>
      <c r="BE115" s="3" t="str">
        <f>IFERROR(__xludf.DUMMYFUNCTION("""COMPUTED_VALUE"""),"Chasis Acoplado Balancin L3000")</f>
        <v>Chasis Acoplado Balancin L3000</v>
      </c>
      <c r="BF115" s="3" t="str">
        <f>IFERROR(__xludf.DUMMYFUNCTION("""COMPUTED_VALUE"""),"Chasis Acoplado Balancin L3000 Lanza Corta")</f>
        <v>Chasis Acoplado Balancin L3000 Lanza Corta</v>
      </c>
      <c r="BG115" s="3" t="str">
        <f>IFERROR(__xludf.DUMMYFUNCTION("""COMPUTED_VALUE"""),"Chasis Acoplado Balancin L2000 Lanza Corta")</f>
        <v>Chasis Acoplado Balancin L2000 Lanza Corta</v>
      </c>
      <c r="BH115" s="3" t="str">
        <f>IFERROR(__xludf.DUMMYFUNCTION("""COMPUTED_VALUE"""),"Chasis Acoplado Balancin L3200 Lanza Corta")</f>
        <v>Chasis Acoplado Balancin L3200 Lanza Corta</v>
      </c>
      <c r="BI115" s="3" t="str">
        <f>IFERROR(__xludf.DUMMYFUNCTION("""COMPUTED_VALUE"""),"Chasis Acoplado Balancin L3200 Lanza Recta")</f>
        <v>Chasis Acoplado Balancin L3200 Lanza Recta</v>
      </c>
      <c r="BJ115" s="3" t="str">
        <f>IFERROR(__xludf.DUMMYFUNCTION("""COMPUTED_VALUE"""),"Chasis Acoplado Balancin L3200 Bajo Lanza Recta")</f>
        <v>Chasis Acoplado Balancin L3200 Bajo Lanza Recta</v>
      </c>
      <c r="BK115" s="3" t="str">
        <f>IFERROR(__xludf.DUMMYFUNCTION("""COMPUTED_VALUE"""),"Tanque Plastico Horizontal 750 Lts")</f>
        <v>Tanque Plastico Horizontal 750 Lts</v>
      </c>
      <c r="BL115" s="3" t="str">
        <f>IFERROR(__xludf.DUMMYFUNCTION("""COMPUTED_VALUE"""),"Medio Tanque Plastico Superior 700 Lts")</f>
        <v>Medio Tanque Plastico Superior 700 Lts</v>
      </c>
      <c r="BM115" s="3" t="str">
        <f>IFERROR(__xludf.DUMMYFUNCTION("""COMPUTED_VALUE"""),"Paquete de Elasticos 50 mm x 8 mm x 10 Hojas L850")</f>
        <v>Paquete de Elasticos 50 mm x 8 mm x 10 Hojas L850</v>
      </c>
      <c r="BN115" s="3" t="str">
        <f>IFERROR(__xludf.DUMMYFUNCTION("""COMPUTED_VALUE"""),"Paquete de Elasticos 63 mm x 8 mm x 10 Hojas L950")</f>
        <v>Paquete de Elasticos 63 mm x 8 mm x 10 Hojas L950</v>
      </c>
      <c r="BO115" s="3" t="str">
        <f>IFERROR(__xludf.DUMMYFUNCTION("""COMPUTED_VALUE"""),"Paquete de Elasticos 50 mm x 7 mm x 9 Hojas L850")</f>
        <v>Paquete de Elasticos 50 mm x 7 mm x 9 Hojas L850</v>
      </c>
      <c r="BP115" s="3" t="str">
        <f>IFERROR(__xludf.DUMMYFUNCTION("""COMPUTED_VALUE"""),"Paquete de Elasticos 63 mm x 8 mm x 8 Hojas L850")</f>
        <v>Paquete de Elasticos 63 mm x 8 mm x 8 Hojas L850</v>
      </c>
      <c r="BQ115" s="3" t="str">
        <f>IFERROR(__xludf.DUMMYFUNCTION("""COMPUTED_VALUE"""),"Paquete de Elasticos 63 mm x 10 mm x 10 Hojas L950")</f>
        <v>Paquete de Elasticos 63 mm x 10 mm x 10 Hojas L950</v>
      </c>
      <c r="BR115" s="3" t="str">
        <f>IFERROR(__xludf.DUMMYFUNCTION("""COMPUTED_VALUE"""),"Paquete de Elasticos 63 mm x 10 mm x 13 Hojas L975")</f>
        <v>Paquete de Elasticos 63 mm x 10 mm x 13 Hojas L975</v>
      </c>
      <c r="BS115" s="3" t="str">
        <f>IFERROR(__xludf.DUMMYFUNCTION("""COMPUTED_VALUE"""),"Paquete de Elasticos 50 mm x 7 mm x 9 Hojas L650")</f>
        <v>Paquete de Elasticos 50 mm x 7 mm x 9 Hojas L650</v>
      </c>
      <c r="BT115" s="3" t="str">
        <f>IFERROR(__xludf.DUMMYFUNCTION("""COMPUTED_VALUE"""),"Eje Acoplado 2"" x 1600 (06/08) Agrícola Centro 92")</f>
        <v>Eje Acoplado 2" x 1600 (06/08) Agrícola Centro 92</v>
      </c>
      <c r="BU115" s="3" t="str">
        <f>IFERROR(__xludf.DUMMYFUNCTION("""COMPUTED_VALUE"""),"Eje Acoplado 2 1/2"" x 1600 (07/09) Agrícola Centro 92")</f>
        <v>Eje Acoplado 2 1/2" x 1600 (07/09) Agrícola Centro 92</v>
      </c>
      <c r="BV115" s="3" t="str">
        <f>IFERROR(__xludf.DUMMYFUNCTION("""COMPUTED_VALUE"""),"Eje Acoplado 2 1/2"" x 1600 (09/11) Agrícola Centro 150")</f>
        <v>Eje Acoplado 2 1/2" x 1600 (09/11) Agrícola Centro 150</v>
      </c>
      <c r="BW115" s="3" t="str">
        <f>IFERROR(__xludf.DUMMYFUNCTION("""COMPUTED_VALUE"""),"Eje Acoplado 3"" x 1600 (10/13) Agrícola Centro 150")</f>
        <v>Eje Acoplado 3" x 1600 (10/13) Agrícola Centro 150</v>
      </c>
      <c r="BX115" s="3" t="str">
        <f>IFERROR(__xludf.DUMMYFUNCTION("""COMPUTED_VALUE"""),"Eje Acoplado 2 1/2"" x 2140 (07/09) Agrícola Centro 92")</f>
        <v>Eje Acoplado 2 1/2" x 2140 (07/09) Agrícola Centro 92</v>
      </c>
      <c r="BY115" s="3" t="str">
        <f>IFERROR(__xludf.DUMMYFUNCTION("""COMPUTED_VALUE"""),"Eje Acoplado 2"" x 1400 (06/08) Agrícola Centro 92")</f>
        <v>Eje Acoplado 2" x 1400 (06/08) Agrícola Centro 92</v>
      </c>
      <c r="BZ115" s="3" t="str">
        <f>IFERROR(__xludf.DUMMYFUNCTION("""COMPUTED_VALUE"""),"Eje Acoplado 2 1/2"" x 1500 (07/09) Agrícola Centro 92")</f>
        <v>Eje Acoplado 2 1/2" x 1500 (07/09) Agrícola Centro 92</v>
      </c>
      <c r="CA115" s="3" t="str">
        <f>IFERROR(__xludf.DUMMYFUNCTION("""COMPUTED_VALUE"""),"Eje Acoplado 2 1/2"" x 2000 (07/09) Agrícola Centro 92")</f>
        <v>Eje Acoplado 2 1/2" x 2000 (07/09) Agrícola Centro 92</v>
      </c>
      <c r="CB115" s="3" t="str">
        <f>IFERROR(__xludf.DUMMYFUNCTION("""COMPUTED_VALUE"""),"Eje Acoplado 2 1/2"" x 2100 (09/11) Agrícola Centro 150")</f>
        <v>Eje Acoplado 2 1/2" x 2100 (09/11) Agrícola Centro 150</v>
      </c>
      <c r="CC115" s="3" t="str">
        <f>IFERROR(__xludf.DUMMYFUNCTION("""COMPUTED_VALUE"""),"Llanta 16"" Simple Agrícola Centro 92")</f>
        <v>Llanta 16" Simple Agrícola Centro 92</v>
      </c>
      <c r="CD115" s="3" t="str">
        <f>IFERROR(__xludf.DUMMYFUNCTION("""COMPUTED_VALUE"""),"Llanta 16"" Dual Agrícola Centro 92")</f>
        <v>Llanta 16" Dual Agrícola Centro 92</v>
      </c>
      <c r="CE115" s="3" t="str">
        <f>IFERROR(__xludf.DUMMYFUNCTION("""COMPUTED_VALUE"""),"Llanta 17"" Simple Agrícola Centro 92")</f>
        <v>Llanta 17" Simple Agrícola Centro 92</v>
      </c>
      <c r="CF115" s="3" t="str">
        <f>IFERROR(__xludf.DUMMYFUNCTION("""COMPUTED_VALUE"""),"Llanta 17"" Dual Agrícola Centro 92")</f>
        <v>Llanta 17" Dual Agrícola Centro 92</v>
      </c>
      <c r="CG115" s="3" t="str">
        <f>IFERROR(__xludf.DUMMYFUNCTION("""COMPUTED_VALUE"""),"Llanta 16"" Dual Agrícola Centro 152")</f>
        <v>Llanta 16" Dual Agrícola Centro 152</v>
      </c>
      <c r="CH115" s="3" t="str">
        <f>IFERROR(__xludf.DUMMYFUNCTION("""COMPUTED_VALUE"""),"Llanta 17"" Dual Agrícola Centro 152")</f>
        <v>Llanta 17" Dual Agrícola Centro 152</v>
      </c>
      <c r="CI115" s="3" t="str">
        <f>IFERROR(__xludf.DUMMYFUNCTION("""COMPUTED_VALUE"""),"Eje Acoplado 2"" x 1600 (05/07) Agrícola Centro 92")</f>
        <v>Eje Acoplado 2" x 1600 (05/07) Agrícola Centro 92</v>
      </c>
      <c r="CJ115" s="3" t="str">
        <f>IFERROR(__xludf.DUMMYFUNCTION("""COMPUTED_VALUE"""),"Paquete de Elásticos 50 mm x 8 mm x 12 Hojas")</f>
        <v>Paquete de Elásticos 50 mm x 8 mm x 12 Hojas</v>
      </c>
      <c r="CK115" s="3" t="str">
        <f>IFERROR(__xludf.DUMMYFUNCTION("""COMPUTED_VALUE"""),"Plataforma Playo 4.00 x 1.90 x 0.45 Lateral Simple Baranda Fija")</f>
        <v>Plataforma Playo 4.00 x 1.90 x 0.45 Lateral Simple Baranda Fija</v>
      </c>
      <c r="CL115" s="3" t="str">
        <f>IFERROR(__xludf.DUMMYFUNCTION("""COMPUTED_VALUE"""),"Plataforma Playo 4.00 x 1.90 x 0.45 Lateral Simple Baranda Ventilada")</f>
        <v>Plataforma Playo 4.00 x 1.90 x 0.45 Lateral Simple Baranda Ventilada</v>
      </c>
      <c r="CM115" s="3" t="str">
        <f>IFERROR(__xludf.DUMMYFUNCTION("""COMPUTED_VALUE"""),"Plataforma Playo 4.00 x 1.90 x 0.45 Lateral Doble Baranda Ventilada")</f>
        <v>Plataforma Playo 4.00 x 1.90 x 0.45 Lateral Doble Baranda Ventilada</v>
      </c>
      <c r="CN115" s="3" t="str">
        <f>IFERROR(__xludf.DUMMYFUNCTION("""COMPUTED_VALUE"""),"Plataforma Playo 4.00 x 1.90 x 0.45 Lateral Doble Baranda Fija")</f>
        <v>Plataforma Playo 4.00 x 1.90 x 0.45 Lateral Doble Baranda Fija</v>
      </c>
      <c r="CO115" s="3" t="str">
        <f>IFERROR(__xludf.DUMMYFUNCTION("""COMPUTED_VALUE"""),"Plataforma Playo 4.00 x 1.90 x 0.72 Lateral Simple Baranda Fija")</f>
        <v>Plataforma Playo 4.00 x 1.90 x 0.72 Lateral Simple Baranda Fija</v>
      </c>
      <c r="CP115" s="3" t="str">
        <f>IFERROR(__xludf.DUMMYFUNCTION("""COMPUTED_VALUE"""),"Plataforma Playo 4.00 x 1.90 x 0.72 Lateral Doble Baranda Fija")</f>
        <v>Plataforma Playo 4.00 x 1.90 x 0.72 Lateral Doble Baranda Fija</v>
      </c>
      <c r="CQ115" s="3" t="str">
        <f>IFERROR(__xludf.DUMMYFUNCTION("""COMPUTED_VALUE"""),"Plataforma Playo 5.00 x 2.20 x 0.60 Lateral Doble Trasera Rebatible")</f>
        <v>Plataforma Playo 5.00 x 2.20 x 0.60 Lateral Doble Trasera Rebatible</v>
      </c>
      <c r="CR115" s="3" t="str">
        <f>IFERROR(__xludf.DUMMYFUNCTION("""COMPUTED_VALUE"""),"Plataforma Playo 5.00 x 2.20 x 0.60 Lateral Doble Baranda Fija C/Toldo")</f>
        <v>Plataforma Playo 5.00 x 2.20 x 0.60 Lateral Doble Baranda Fija C/Toldo</v>
      </c>
      <c r="CS115" s="3" t="str">
        <f>IFERROR(__xludf.DUMMYFUNCTION("""COMPUTED_VALUE"""),"Plataforma Playo 3.00 x 1.90 x 0.45 Lateral Simple Baranda Fija")</f>
        <v>Plataforma Playo 3.00 x 1.90 x 0.45 Lateral Simple Baranda Fija</v>
      </c>
      <c r="CT115" s="3" t="str">
        <f>IFERROR(__xludf.DUMMYFUNCTION("""COMPUTED_VALUE"""),"Plataforma Playo 3.00 x 1.90 x 0.45 Lateral Simple Baranda Ventilada")</f>
        <v>Plataforma Playo 3.00 x 1.90 x 0.45 Lateral Simple Baranda Ventilada</v>
      </c>
      <c r="CU115" s="3" t="str">
        <f>IFERROR(__xludf.DUMMYFUNCTION("""COMPUTED_VALUE"""),"Plataforma Playo 2.00 x 1.90 x 0.45 Lateral Simple Baranda Fija")</f>
        <v>Plataforma Playo 2.00 x 1.90 x 0.45 Lateral Simple Baranda Fija</v>
      </c>
      <c r="CV115" s="3" t="str">
        <f>IFERROR(__xludf.DUMMYFUNCTION("""COMPUTED_VALUE"""),"Plataforma Playo 5.00 x 1.90 x 0.60 Lateral Doble Baranda Fija")</f>
        <v>Plataforma Playo 5.00 x 1.90 x 0.60 Lateral Doble Baranda Fija</v>
      </c>
      <c r="CW115" s="3" t="str">
        <f>IFERROR(__xludf.DUMMYFUNCTION("""COMPUTED_VALUE"""),"Plataforma Playo 6.40 x 2.70 x 0.72 Lateral Doble Baranda Fija")</f>
        <v>Plataforma Playo 6.40 x 2.70 x 0.72 Lateral Doble Baranda Fija</v>
      </c>
      <c r="CX115" s="3" t="str">
        <f>IFERROR(__xludf.DUMMYFUNCTION("""COMPUTED_VALUE"""),"Chasis Acoplado Balancin L4000 Lanza Recta")</f>
        <v>Chasis Acoplado Balancin L4000 Lanza Recta</v>
      </c>
      <c r="CY115" s="3" t="str">
        <f>IFERROR(__xludf.DUMMYFUNCTION("""COMPUTED_VALUE"""),"Llanta simple Agrícola 750x20 centro 152")</f>
        <v>Llanta simple Agrícola 750x20 centro 152</v>
      </c>
      <c r="CZ115" s="3" t="str">
        <f>IFERROR(__xludf.DUMMYFUNCTION("""COMPUTED_VALUE"""),"Cajón de Herramientas Mediano adelante")</f>
        <v>Cajón de Herramientas Mediano adelante</v>
      </c>
      <c r="DA115" s="3" t="str">
        <f>IFERROR(__xludf.DUMMYFUNCTION("""COMPUTED_VALUE"""),"Llanta 15"" Simple Agrícola Centro 92")</f>
        <v>Llanta 15" Simple Agrícola Centro 92</v>
      </c>
    </row>
    <row r="116" hidden="1">
      <c r="A116" s="38">
        <f t="shared" si="1"/>
        <v>115</v>
      </c>
      <c r="B116" s="38">
        <f>IF(F116="","",SUMIF(Prearmados!E:E,F116,Prearmados!A:A))</f>
        <v>21</v>
      </c>
      <c r="C116" s="38">
        <f>IF(F116="","",SUMIF(Productos!E:E,G116,Productos!A:A))</f>
        <v>127</v>
      </c>
      <c r="D116" s="83" t="str">
        <f t="array" ref="D116">IF(OR(F116="",F116="Seleccionar.."),"",XLOOKUP(F116,Prearmados!E:E,Prearmados!F:F,"",0,1))</f>
        <v>Acoplados Rurales</v>
      </c>
      <c r="E116" s="83">
        <f>IF(H116="","",SUMIF(Precio_Productos!K:K,C116,Precio_Productos!J:J)*H116)</f>
        <v>2361913</v>
      </c>
      <c r="F116" s="84" t="s">
        <v>344</v>
      </c>
      <c r="G116" s="84" t="s">
        <v>162</v>
      </c>
      <c r="H116" s="13">
        <v>1.0</v>
      </c>
      <c r="P116" s="3" t="str">
        <f>IFERROR(__xludf.DUMMYFUNCTION("IF(OR(F116="""",F116=""Seleccionar..""),"""",TRANSPOSE(FILTER(Productos!E:E,(Productos!F:F=D116)+(Productos!F:F=XLOOKUP(D116,Implementos!B:B,Implementos!C:C,""-"",0,1)))))"),"Tanque Combustible 1100 lts Bajo")</f>
        <v>Tanque Combustible 1100 lts Bajo</v>
      </c>
      <c r="Q116" s="3" t="str">
        <f>IFERROR(__xludf.DUMMYFUNCTION("""COMPUTED_VALUE"""),"Tanque Combustible 1500 lts Standard")</f>
        <v>Tanque Combustible 1500 lts Standard</v>
      </c>
      <c r="R116" s="3" t="str">
        <f>IFERROR(__xludf.DUMMYFUNCTION("""COMPUTED_VALUE"""),"Tanque Combustible 1800 lts Standard")</f>
        <v>Tanque Combustible 1800 lts Standard</v>
      </c>
      <c r="S116" s="3" t="str">
        <f>IFERROR(__xludf.DUMMYFUNCTION("""COMPUTED_VALUE"""),"Tanque Combustible 2000 lts Bajo")</f>
        <v>Tanque Combustible 2000 lts Bajo</v>
      </c>
      <c r="T116" s="3" t="str">
        <f>IFERROR(__xludf.DUMMYFUNCTION("""COMPUTED_VALUE"""),"Tanque Combustible 2000 lts Standard")</f>
        <v>Tanque Combustible 2000 lts Standard</v>
      </c>
      <c r="U116" s="3" t="str">
        <f>IFERROR(__xludf.DUMMYFUNCTION("""COMPUTED_VALUE"""),"Tanque Combustible 3000 lts Standard")</f>
        <v>Tanque Combustible 3000 lts Standard</v>
      </c>
      <c r="V116" s="3" t="str">
        <f>IFERROR(__xludf.DUMMYFUNCTION("""COMPUTED_VALUE"""),"Tanque Combustible 3000 lts Alto")</f>
        <v>Tanque Combustible 3000 lts Alto</v>
      </c>
      <c r="W116" s="3" t="str">
        <f>IFERROR(__xludf.DUMMYFUNCTION("""COMPUTED_VALUE"""),"Tanque Combustible 4000 lts Standard")</f>
        <v>Tanque Combustible 4000 lts Standard</v>
      </c>
      <c r="X116" s="3" t="str">
        <f>IFERROR(__xludf.DUMMYFUNCTION("""COMPUTED_VALUE"""),"Tanque Combustible 5000 lts Standard")</f>
        <v>Tanque Combustible 5000 lts Standard</v>
      </c>
      <c r="Y116" s="3" t="str">
        <f>IFERROR(__xludf.DUMMYFUNCTION("""COMPUTED_VALUE"""),"Tanque Combustible 5000 lts Alto")</f>
        <v>Tanque Combustible 5000 lts Alto</v>
      </c>
      <c r="Z116" s="3" t="str">
        <f>IFERROR(__xludf.DUMMYFUNCTION("""COMPUTED_VALUE"""),"Tanque Combustible 2000 lts Alto")</f>
        <v>Tanque Combustible 2000 lts Alto</v>
      </c>
      <c r="AA116" s="3" t="str">
        <f>IFERROR(__xludf.DUMMYFUNCTION("""COMPUTED_VALUE"""),"Tanque Combustible 4000 lts Alto")</f>
        <v>Tanque Combustible 4000 lts Alto</v>
      </c>
      <c r="AB116" s="3" t="str">
        <f>IFERROR(__xludf.DUMMYFUNCTION("""COMPUTED_VALUE"""),"Baulera Standard - 750")</f>
        <v>Baulera Standard - 750</v>
      </c>
      <c r="AC116" s="3" t="str">
        <f>IFERROR(__xludf.DUMMYFUNCTION("""COMPUTED_VALUE"""),"Baulera Standard - 1700 - C/Laterales")</f>
        <v>Baulera Standard - 1700 - C/Laterales</v>
      </c>
      <c r="AD116" s="3" t="str">
        <f>IFERROR(__xludf.DUMMYFUNCTION("""COMPUTED_VALUE"""),"Baulera Standard - 1000 - C/Laterales")</f>
        <v>Baulera Standard - 1000 - C/Laterales</v>
      </c>
      <c r="AE116" s="3" t="str">
        <f>IFERROR(__xludf.DUMMYFUNCTION("""COMPUTED_VALUE"""),"Baulera Standard - 750 - C/Laterales")</f>
        <v>Baulera Standard - 750 - C/Laterales</v>
      </c>
      <c r="AF116" s="3" t="str">
        <f>IFERROR(__xludf.DUMMYFUNCTION("""COMPUTED_VALUE"""),"Baulera Standard - 1300 - C/Laterales")</f>
        <v>Baulera Standard - 1300 - C/Laterales</v>
      </c>
      <c r="AG116" s="3" t="str">
        <f>IFERROR(__xludf.DUMMYFUNCTION("""COMPUTED_VALUE"""),"Baulera Alta - 750")</f>
        <v>Baulera Alta - 750</v>
      </c>
      <c r="AH116" s="3" t="str">
        <f>IFERROR(__xludf.DUMMYFUNCTION("""COMPUTED_VALUE"""),"Baulera Alta - 1500 - C/Laterales")</f>
        <v>Baulera Alta - 1500 - C/Laterales</v>
      </c>
      <c r="AI116" s="3" t="str">
        <f>IFERROR(__xludf.DUMMYFUNCTION("""COMPUTED_VALUE"""),"Baulera Extendida 1700 - C/Laterales")</f>
        <v>Baulera Extendida 1700 - C/Laterales</v>
      </c>
      <c r="AJ116" s="3" t="str">
        <f>IFERROR(__xludf.DUMMYFUNCTION("""COMPUTED_VALUE"""),"Taller Móvil - 1500 x 1500 x 1700")</f>
        <v>Taller Móvil - 1500 x 1500 x 1700</v>
      </c>
      <c r="AK116" s="3" t="str">
        <f>IFERROR(__xludf.DUMMYFUNCTION("""COMPUTED_VALUE"""),"Cajón Herramientas Standard Derecho")</f>
        <v>Cajón Herramientas Standard Derecho</v>
      </c>
      <c r="AL116" s="3" t="str">
        <f>IFERROR(__xludf.DUMMYFUNCTION("""COMPUTED_VALUE"""),"Cajón Herramientas Standard Izquierdo")</f>
        <v>Cajón Herramientas Standard Izquierdo</v>
      </c>
      <c r="AM116" s="3" t="str">
        <f>IFERROR(__xludf.DUMMYFUNCTION("""COMPUTED_VALUE"""),"Cajón Herramientas Corto Derecho")</f>
        <v>Cajón Herramientas Corto Derecho</v>
      </c>
      <c r="AN116" s="3" t="str">
        <f>IFERROR(__xludf.DUMMYFUNCTION("""COMPUTED_VALUE"""),"Cajón Herramientas Corto Izquierdo")</f>
        <v>Cajón Herramientas Corto Izquierdo</v>
      </c>
      <c r="AO116" s="3" t="str">
        <f>IFERROR(__xludf.DUMMYFUNCTION("""COMPUTED_VALUE"""),"Cajón Herramientas Mediano Derecho")</f>
        <v>Cajón Herramientas Mediano Derecho</v>
      </c>
      <c r="AP116" s="3" t="str">
        <f>IFERROR(__xludf.DUMMYFUNCTION("""COMPUTED_VALUE"""),"Cajón Herramientas Mediano Izquierdo")</f>
        <v>Cajón Herramientas Mediano Izquierdo</v>
      </c>
      <c r="AQ116" s="3" t="str">
        <f>IFERROR(__xludf.DUMMYFUNCTION("""COMPUTED_VALUE"""),"Chasis Acoplado 2 Ejes L3000")</f>
        <v>Chasis Acoplado 2 Ejes L3000</v>
      </c>
      <c r="AR116" s="3" t="str">
        <f>IFERROR(__xludf.DUMMYFUNCTION("""COMPUTED_VALUE"""),"Chasis Acoplado 2 Ejes L3750")</f>
        <v>Chasis Acoplado 2 Ejes L3750</v>
      </c>
      <c r="AS116" s="3" t="str">
        <f>IFERROR(__xludf.DUMMYFUNCTION("""COMPUTED_VALUE"""),"Chasis Acoplado 2 Ejes L4000")</f>
        <v>Chasis Acoplado 2 Ejes L4000</v>
      </c>
      <c r="AT116" s="3" t="str">
        <f>IFERROR(__xludf.DUMMYFUNCTION("""COMPUTED_VALUE"""),"Chasis Acoplado 2 Ejes L4000 Reforzado")</f>
        <v>Chasis Acoplado 2 Ejes L4000 Reforzado</v>
      </c>
      <c r="AU116" s="3" t="str">
        <f>IFERROR(__xludf.DUMMYFUNCTION("""COMPUTED_VALUE"""),"Chasis Acoplado 2 Ejes L4750")</f>
        <v>Chasis Acoplado 2 Ejes L4750</v>
      </c>
      <c r="AV116" s="3" t="str">
        <f>IFERROR(__xludf.DUMMYFUNCTION("""COMPUTED_VALUE"""),"Chasis Acoplado 2 Ejes L4750 Reforzado")</f>
        <v>Chasis Acoplado 2 Ejes L4750 Reforzado</v>
      </c>
      <c r="AW116" s="3" t="str">
        <f>IFERROR(__xludf.DUMMYFUNCTION("""COMPUTED_VALUE"""),"Chasis Acoplado 2 Ejes L4750 Reforzado R. Camion")</f>
        <v>Chasis Acoplado 2 Ejes L4750 Reforzado R. Camion</v>
      </c>
      <c r="AX116" s="3" t="str">
        <f>IFERROR(__xludf.DUMMYFUNCTION("""COMPUTED_VALUE"""),"Chasis Acoplado 2 Ejes L5000")</f>
        <v>Chasis Acoplado 2 Ejes L5000</v>
      </c>
      <c r="AY116" s="3" t="str">
        <f>IFERROR(__xludf.DUMMYFUNCTION("""COMPUTED_VALUE"""),"Chasis Acoplado 2 Ejes L5750")</f>
        <v>Chasis Acoplado 2 Ejes L5750</v>
      </c>
      <c r="AZ116" s="3" t="str">
        <f>IFERROR(__xludf.DUMMYFUNCTION("""COMPUTED_VALUE"""),"Chasis Acoplado 2 Ejes L6400")</f>
        <v>Chasis Acoplado 2 Ejes L6400</v>
      </c>
      <c r="BA116" s="3" t="str">
        <f>IFERROR(__xludf.DUMMYFUNCTION("""COMPUTED_VALUE"""),"Chasis Acoplado 2 Ejes L4500")</f>
        <v>Chasis Acoplado 2 Ejes L4500</v>
      </c>
      <c r="BB116" s="3" t="str">
        <f>IFERROR(__xludf.DUMMYFUNCTION("""COMPUTED_VALUE"""),"Chasis Acoplado 1 Eje L1500")</f>
        <v>Chasis Acoplado 1 Eje L1500</v>
      </c>
      <c r="BC116" s="3" t="str">
        <f>IFERROR(__xludf.DUMMYFUNCTION("""COMPUTED_VALUE"""),"Chasis Acoplado 1 Eje L1800")</f>
        <v>Chasis Acoplado 1 Eje L1800</v>
      </c>
      <c r="BD116" s="3" t="str">
        <f>IFERROR(__xludf.DUMMYFUNCTION("""COMPUTED_VALUE"""),"Chasis Acoplado 1 Eje L1400")</f>
        <v>Chasis Acoplado 1 Eje L1400</v>
      </c>
      <c r="BE116" s="3" t="str">
        <f>IFERROR(__xludf.DUMMYFUNCTION("""COMPUTED_VALUE"""),"Chasis Acoplado Balancin L3000")</f>
        <v>Chasis Acoplado Balancin L3000</v>
      </c>
      <c r="BF116" s="3" t="str">
        <f>IFERROR(__xludf.DUMMYFUNCTION("""COMPUTED_VALUE"""),"Chasis Acoplado Balancin L3000 Lanza Corta")</f>
        <v>Chasis Acoplado Balancin L3000 Lanza Corta</v>
      </c>
      <c r="BG116" s="3" t="str">
        <f>IFERROR(__xludf.DUMMYFUNCTION("""COMPUTED_VALUE"""),"Chasis Acoplado Balancin L2000 Lanza Corta")</f>
        <v>Chasis Acoplado Balancin L2000 Lanza Corta</v>
      </c>
      <c r="BH116" s="3" t="str">
        <f>IFERROR(__xludf.DUMMYFUNCTION("""COMPUTED_VALUE"""),"Chasis Acoplado Balancin L3200 Lanza Corta")</f>
        <v>Chasis Acoplado Balancin L3200 Lanza Corta</v>
      </c>
      <c r="BI116" s="3" t="str">
        <f>IFERROR(__xludf.DUMMYFUNCTION("""COMPUTED_VALUE"""),"Chasis Acoplado Balancin L3200 Lanza Recta")</f>
        <v>Chasis Acoplado Balancin L3200 Lanza Recta</v>
      </c>
      <c r="BJ116" s="3" t="str">
        <f>IFERROR(__xludf.DUMMYFUNCTION("""COMPUTED_VALUE"""),"Chasis Acoplado Balancin L3200 Bajo Lanza Recta")</f>
        <v>Chasis Acoplado Balancin L3200 Bajo Lanza Recta</v>
      </c>
      <c r="BK116" s="3" t="str">
        <f>IFERROR(__xludf.DUMMYFUNCTION("""COMPUTED_VALUE"""),"Tanque Plastico Horizontal 750 Lts")</f>
        <v>Tanque Plastico Horizontal 750 Lts</v>
      </c>
      <c r="BL116" s="3" t="str">
        <f>IFERROR(__xludf.DUMMYFUNCTION("""COMPUTED_VALUE"""),"Medio Tanque Plastico Superior 700 Lts")</f>
        <v>Medio Tanque Plastico Superior 700 Lts</v>
      </c>
      <c r="BM116" s="3" t="str">
        <f>IFERROR(__xludf.DUMMYFUNCTION("""COMPUTED_VALUE"""),"Paquete de Elasticos 50 mm x 8 mm x 10 Hojas L850")</f>
        <v>Paquete de Elasticos 50 mm x 8 mm x 10 Hojas L850</v>
      </c>
      <c r="BN116" s="3" t="str">
        <f>IFERROR(__xludf.DUMMYFUNCTION("""COMPUTED_VALUE"""),"Paquete de Elasticos 63 mm x 8 mm x 10 Hojas L950")</f>
        <v>Paquete de Elasticos 63 mm x 8 mm x 10 Hojas L950</v>
      </c>
      <c r="BO116" s="3" t="str">
        <f>IFERROR(__xludf.DUMMYFUNCTION("""COMPUTED_VALUE"""),"Paquete de Elasticos 50 mm x 7 mm x 9 Hojas L850")</f>
        <v>Paquete de Elasticos 50 mm x 7 mm x 9 Hojas L850</v>
      </c>
      <c r="BP116" s="3" t="str">
        <f>IFERROR(__xludf.DUMMYFUNCTION("""COMPUTED_VALUE"""),"Paquete de Elasticos 63 mm x 8 mm x 8 Hojas L850")</f>
        <v>Paquete de Elasticos 63 mm x 8 mm x 8 Hojas L850</v>
      </c>
      <c r="BQ116" s="3" t="str">
        <f>IFERROR(__xludf.DUMMYFUNCTION("""COMPUTED_VALUE"""),"Paquete de Elasticos 63 mm x 10 mm x 10 Hojas L950")</f>
        <v>Paquete de Elasticos 63 mm x 10 mm x 10 Hojas L950</v>
      </c>
      <c r="BR116" s="3" t="str">
        <f>IFERROR(__xludf.DUMMYFUNCTION("""COMPUTED_VALUE"""),"Paquete de Elasticos 63 mm x 10 mm x 13 Hojas L975")</f>
        <v>Paquete de Elasticos 63 mm x 10 mm x 13 Hojas L975</v>
      </c>
      <c r="BS116" s="3" t="str">
        <f>IFERROR(__xludf.DUMMYFUNCTION("""COMPUTED_VALUE"""),"Paquete de Elasticos 50 mm x 7 mm x 9 Hojas L650")</f>
        <v>Paquete de Elasticos 50 mm x 7 mm x 9 Hojas L650</v>
      </c>
      <c r="BT116" s="3" t="str">
        <f>IFERROR(__xludf.DUMMYFUNCTION("""COMPUTED_VALUE"""),"Eje Acoplado 2"" x 1600 (06/08) Agrícola Centro 92")</f>
        <v>Eje Acoplado 2" x 1600 (06/08) Agrícola Centro 92</v>
      </c>
      <c r="BU116" s="3" t="str">
        <f>IFERROR(__xludf.DUMMYFUNCTION("""COMPUTED_VALUE"""),"Eje Acoplado 2 1/2"" x 1600 (07/09) Agrícola Centro 92")</f>
        <v>Eje Acoplado 2 1/2" x 1600 (07/09) Agrícola Centro 92</v>
      </c>
      <c r="BV116" s="3" t="str">
        <f>IFERROR(__xludf.DUMMYFUNCTION("""COMPUTED_VALUE"""),"Eje Acoplado 2 1/2"" x 1600 (09/11) Agrícola Centro 150")</f>
        <v>Eje Acoplado 2 1/2" x 1600 (09/11) Agrícola Centro 150</v>
      </c>
      <c r="BW116" s="3" t="str">
        <f>IFERROR(__xludf.DUMMYFUNCTION("""COMPUTED_VALUE"""),"Eje Acoplado 3"" x 1600 (10/13) Agrícola Centro 150")</f>
        <v>Eje Acoplado 3" x 1600 (10/13) Agrícola Centro 150</v>
      </c>
      <c r="BX116" s="3" t="str">
        <f>IFERROR(__xludf.DUMMYFUNCTION("""COMPUTED_VALUE"""),"Eje Acoplado 2 1/2"" x 2140 (07/09) Agrícola Centro 92")</f>
        <v>Eje Acoplado 2 1/2" x 2140 (07/09) Agrícola Centro 92</v>
      </c>
      <c r="BY116" s="3" t="str">
        <f>IFERROR(__xludf.DUMMYFUNCTION("""COMPUTED_VALUE"""),"Eje Acoplado 2"" x 1400 (06/08) Agrícola Centro 92")</f>
        <v>Eje Acoplado 2" x 1400 (06/08) Agrícola Centro 92</v>
      </c>
      <c r="BZ116" s="3" t="str">
        <f>IFERROR(__xludf.DUMMYFUNCTION("""COMPUTED_VALUE"""),"Eje Acoplado 2 1/2"" x 1500 (07/09) Agrícola Centro 92")</f>
        <v>Eje Acoplado 2 1/2" x 1500 (07/09) Agrícola Centro 92</v>
      </c>
      <c r="CA116" s="3" t="str">
        <f>IFERROR(__xludf.DUMMYFUNCTION("""COMPUTED_VALUE"""),"Eje Acoplado 2 1/2"" x 2000 (07/09) Agrícola Centro 92")</f>
        <v>Eje Acoplado 2 1/2" x 2000 (07/09) Agrícola Centro 92</v>
      </c>
      <c r="CB116" s="3" t="str">
        <f>IFERROR(__xludf.DUMMYFUNCTION("""COMPUTED_VALUE"""),"Eje Acoplado 2 1/2"" x 2100 (09/11) Agrícola Centro 150")</f>
        <v>Eje Acoplado 2 1/2" x 2100 (09/11) Agrícola Centro 150</v>
      </c>
      <c r="CC116" s="3" t="str">
        <f>IFERROR(__xludf.DUMMYFUNCTION("""COMPUTED_VALUE"""),"Llanta 16"" Simple Agrícola Centro 92")</f>
        <v>Llanta 16" Simple Agrícola Centro 92</v>
      </c>
      <c r="CD116" s="3" t="str">
        <f>IFERROR(__xludf.DUMMYFUNCTION("""COMPUTED_VALUE"""),"Llanta 16"" Dual Agrícola Centro 92")</f>
        <v>Llanta 16" Dual Agrícola Centro 92</v>
      </c>
      <c r="CE116" s="3" t="str">
        <f>IFERROR(__xludf.DUMMYFUNCTION("""COMPUTED_VALUE"""),"Llanta 17"" Simple Agrícola Centro 92")</f>
        <v>Llanta 17" Simple Agrícola Centro 92</v>
      </c>
      <c r="CF116" s="3" t="str">
        <f>IFERROR(__xludf.DUMMYFUNCTION("""COMPUTED_VALUE"""),"Llanta 17"" Dual Agrícola Centro 92")</f>
        <v>Llanta 17" Dual Agrícola Centro 92</v>
      </c>
      <c r="CG116" s="3" t="str">
        <f>IFERROR(__xludf.DUMMYFUNCTION("""COMPUTED_VALUE"""),"Llanta 16"" Dual Agrícola Centro 152")</f>
        <v>Llanta 16" Dual Agrícola Centro 152</v>
      </c>
      <c r="CH116" s="3" t="str">
        <f>IFERROR(__xludf.DUMMYFUNCTION("""COMPUTED_VALUE"""),"Llanta 17"" Dual Agrícola Centro 152")</f>
        <v>Llanta 17" Dual Agrícola Centro 152</v>
      </c>
      <c r="CI116" s="3" t="str">
        <f>IFERROR(__xludf.DUMMYFUNCTION("""COMPUTED_VALUE"""),"Eje Acoplado 2"" x 1600 (05/07) Agrícola Centro 92")</f>
        <v>Eje Acoplado 2" x 1600 (05/07) Agrícola Centro 92</v>
      </c>
      <c r="CJ116" s="3" t="str">
        <f>IFERROR(__xludf.DUMMYFUNCTION("""COMPUTED_VALUE"""),"Paquete de Elásticos 50 mm x 8 mm x 12 Hojas")</f>
        <v>Paquete de Elásticos 50 mm x 8 mm x 12 Hojas</v>
      </c>
      <c r="CK116" s="3" t="str">
        <f>IFERROR(__xludf.DUMMYFUNCTION("""COMPUTED_VALUE"""),"Plataforma Playo 4.00 x 1.90 x 0.45 Lateral Simple Baranda Fija")</f>
        <v>Plataforma Playo 4.00 x 1.90 x 0.45 Lateral Simple Baranda Fija</v>
      </c>
      <c r="CL116" s="3" t="str">
        <f>IFERROR(__xludf.DUMMYFUNCTION("""COMPUTED_VALUE"""),"Plataforma Playo 4.00 x 1.90 x 0.45 Lateral Simple Baranda Ventilada")</f>
        <v>Plataforma Playo 4.00 x 1.90 x 0.45 Lateral Simple Baranda Ventilada</v>
      </c>
      <c r="CM116" s="3" t="str">
        <f>IFERROR(__xludf.DUMMYFUNCTION("""COMPUTED_VALUE"""),"Plataforma Playo 4.00 x 1.90 x 0.45 Lateral Doble Baranda Ventilada")</f>
        <v>Plataforma Playo 4.00 x 1.90 x 0.45 Lateral Doble Baranda Ventilada</v>
      </c>
      <c r="CN116" s="3" t="str">
        <f>IFERROR(__xludf.DUMMYFUNCTION("""COMPUTED_VALUE"""),"Plataforma Playo 4.00 x 1.90 x 0.45 Lateral Doble Baranda Fija")</f>
        <v>Plataforma Playo 4.00 x 1.90 x 0.45 Lateral Doble Baranda Fija</v>
      </c>
      <c r="CO116" s="3" t="str">
        <f>IFERROR(__xludf.DUMMYFUNCTION("""COMPUTED_VALUE"""),"Plataforma Playo 4.00 x 1.90 x 0.72 Lateral Simple Baranda Fija")</f>
        <v>Plataforma Playo 4.00 x 1.90 x 0.72 Lateral Simple Baranda Fija</v>
      </c>
      <c r="CP116" s="3" t="str">
        <f>IFERROR(__xludf.DUMMYFUNCTION("""COMPUTED_VALUE"""),"Plataforma Playo 4.00 x 1.90 x 0.72 Lateral Doble Baranda Fija")</f>
        <v>Plataforma Playo 4.00 x 1.90 x 0.72 Lateral Doble Baranda Fija</v>
      </c>
      <c r="CQ116" s="3" t="str">
        <f>IFERROR(__xludf.DUMMYFUNCTION("""COMPUTED_VALUE"""),"Plataforma Playo 5.00 x 2.20 x 0.60 Lateral Doble Trasera Rebatible")</f>
        <v>Plataforma Playo 5.00 x 2.20 x 0.60 Lateral Doble Trasera Rebatible</v>
      </c>
      <c r="CR116" s="3" t="str">
        <f>IFERROR(__xludf.DUMMYFUNCTION("""COMPUTED_VALUE"""),"Plataforma Playo 5.00 x 2.20 x 0.60 Lateral Doble Baranda Fija C/Toldo")</f>
        <v>Plataforma Playo 5.00 x 2.20 x 0.60 Lateral Doble Baranda Fija C/Toldo</v>
      </c>
      <c r="CS116" s="3" t="str">
        <f>IFERROR(__xludf.DUMMYFUNCTION("""COMPUTED_VALUE"""),"Plataforma Playo 3.00 x 1.90 x 0.45 Lateral Simple Baranda Fija")</f>
        <v>Plataforma Playo 3.00 x 1.90 x 0.45 Lateral Simple Baranda Fija</v>
      </c>
      <c r="CT116" s="3" t="str">
        <f>IFERROR(__xludf.DUMMYFUNCTION("""COMPUTED_VALUE"""),"Plataforma Playo 3.00 x 1.90 x 0.45 Lateral Simple Baranda Ventilada")</f>
        <v>Plataforma Playo 3.00 x 1.90 x 0.45 Lateral Simple Baranda Ventilada</v>
      </c>
      <c r="CU116" s="3" t="str">
        <f>IFERROR(__xludf.DUMMYFUNCTION("""COMPUTED_VALUE"""),"Plataforma Playo 2.00 x 1.90 x 0.45 Lateral Simple Baranda Fija")</f>
        <v>Plataforma Playo 2.00 x 1.90 x 0.45 Lateral Simple Baranda Fija</v>
      </c>
      <c r="CV116" s="3" t="str">
        <f>IFERROR(__xludf.DUMMYFUNCTION("""COMPUTED_VALUE"""),"Plataforma Playo 5.00 x 1.90 x 0.60 Lateral Doble Baranda Fija")</f>
        <v>Plataforma Playo 5.00 x 1.90 x 0.60 Lateral Doble Baranda Fija</v>
      </c>
      <c r="CW116" s="3" t="str">
        <f>IFERROR(__xludf.DUMMYFUNCTION("""COMPUTED_VALUE"""),"Plataforma Playo 6.40 x 2.70 x 0.72 Lateral Doble Baranda Fija")</f>
        <v>Plataforma Playo 6.40 x 2.70 x 0.72 Lateral Doble Baranda Fija</v>
      </c>
      <c r="CX116" s="3" t="str">
        <f>IFERROR(__xludf.DUMMYFUNCTION("""COMPUTED_VALUE"""),"Chasis Acoplado Balancin L4000 Lanza Recta")</f>
        <v>Chasis Acoplado Balancin L4000 Lanza Recta</v>
      </c>
      <c r="CY116" s="3" t="str">
        <f>IFERROR(__xludf.DUMMYFUNCTION("""COMPUTED_VALUE"""),"Llanta simple Agrícola 750x20 centro 152")</f>
        <v>Llanta simple Agrícola 750x20 centro 152</v>
      </c>
      <c r="CZ116" s="3" t="str">
        <f>IFERROR(__xludf.DUMMYFUNCTION("""COMPUTED_VALUE"""),"Cajón de Herramientas Mediano adelante")</f>
        <v>Cajón de Herramientas Mediano adelante</v>
      </c>
      <c r="DA116" s="3" t="str">
        <f>IFERROR(__xludf.DUMMYFUNCTION("""COMPUTED_VALUE"""),"Llanta 15"" Simple Agrícola Centro 92")</f>
        <v>Llanta 15" Simple Agrícola Centro 92</v>
      </c>
    </row>
    <row r="117" hidden="1">
      <c r="A117" s="38">
        <f t="shared" si="1"/>
        <v>116</v>
      </c>
      <c r="B117" s="38">
        <f>IF(F117="","",SUMIF(Prearmados!E:E,F117,Prearmados!A:A))</f>
        <v>21</v>
      </c>
      <c r="C117" s="38">
        <f>IF(F117="","",SUMIF(Productos!E:E,G117,Productos!A:A))</f>
        <v>72</v>
      </c>
      <c r="D117" s="83" t="str">
        <f t="array" ref="D117">IF(OR(F117="",F117="Seleccionar.."),"",XLOOKUP(F117,Prearmados!E:E,Prearmados!F:F,"",0,1))</f>
        <v>Acoplados Rurales</v>
      </c>
      <c r="E117" s="83">
        <f>IF(H117="","",SUMIF(Precio_Productos!K:K,C117,Precio_Productos!J:J)*H117)</f>
        <v>2332989</v>
      </c>
      <c r="F117" s="84" t="s">
        <v>344</v>
      </c>
      <c r="G117" s="84" t="s">
        <v>97</v>
      </c>
      <c r="H117" s="13">
        <v>1.0</v>
      </c>
      <c r="P117" s="3" t="str">
        <f>IFERROR(__xludf.DUMMYFUNCTION("IF(OR(F117="""",F117=""Seleccionar..""),"""",TRANSPOSE(FILTER(Productos!E:E,(Productos!F:F=D117)+(Productos!F:F=XLOOKUP(D117,Implementos!B:B,Implementos!C:C,""-"",0,1)))))"),"Tanque Combustible 1100 lts Bajo")</f>
        <v>Tanque Combustible 1100 lts Bajo</v>
      </c>
      <c r="Q117" s="3" t="str">
        <f>IFERROR(__xludf.DUMMYFUNCTION("""COMPUTED_VALUE"""),"Tanque Combustible 1500 lts Standard")</f>
        <v>Tanque Combustible 1500 lts Standard</v>
      </c>
      <c r="R117" s="3" t="str">
        <f>IFERROR(__xludf.DUMMYFUNCTION("""COMPUTED_VALUE"""),"Tanque Combustible 1800 lts Standard")</f>
        <v>Tanque Combustible 1800 lts Standard</v>
      </c>
      <c r="S117" s="3" t="str">
        <f>IFERROR(__xludf.DUMMYFUNCTION("""COMPUTED_VALUE"""),"Tanque Combustible 2000 lts Bajo")</f>
        <v>Tanque Combustible 2000 lts Bajo</v>
      </c>
      <c r="T117" s="3" t="str">
        <f>IFERROR(__xludf.DUMMYFUNCTION("""COMPUTED_VALUE"""),"Tanque Combustible 2000 lts Standard")</f>
        <v>Tanque Combustible 2000 lts Standard</v>
      </c>
      <c r="U117" s="3" t="str">
        <f>IFERROR(__xludf.DUMMYFUNCTION("""COMPUTED_VALUE"""),"Tanque Combustible 3000 lts Standard")</f>
        <v>Tanque Combustible 3000 lts Standard</v>
      </c>
      <c r="V117" s="3" t="str">
        <f>IFERROR(__xludf.DUMMYFUNCTION("""COMPUTED_VALUE"""),"Tanque Combustible 3000 lts Alto")</f>
        <v>Tanque Combustible 3000 lts Alto</v>
      </c>
      <c r="W117" s="3" t="str">
        <f>IFERROR(__xludf.DUMMYFUNCTION("""COMPUTED_VALUE"""),"Tanque Combustible 4000 lts Standard")</f>
        <v>Tanque Combustible 4000 lts Standard</v>
      </c>
      <c r="X117" s="3" t="str">
        <f>IFERROR(__xludf.DUMMYFUNCTION("""COMPUTED_VALUE"""),"Tanque Combustible 5000 lts Standard")</f>
        <v>Tanque Combustible 5000 lts Standard</v>
      </c>
      <c r="Y117" s="3" t="str">
        <f>IFERROR(__xludf.DUMMYFUNCTION("""COMPUTED_VALUE"""),"Tanque Combustible 5000 lts Alto")</f>
        <v>Tanque Combustible 5000 lts Alto</v>
      </c>
      <c r="Z117" s="3" t="str">
        <f>IFERROR(__xludf.DUMMYFUNCTION("""COMPUTED_VALUE"""),"Tanque Combustible 2000 lts Alto")</f>
        <v>Tanque Combustible 2000 lts Alto</v>
      </c>
      <c r="AA117" s="3" t="str">
        <f>IFERROR(__xludf.DUMMYFUNCTION("""COMPUTED_VALUE"""),"Tanque Combustible 4000 lts Alto")</f>
        <v>Tanque Combustible 4000 lts Alto</v>
      </c>
      <c r="AB117" s="3" t="str">
        <f>IFERROR(__xludf.DUMMYFUNCTION("""COMPUTED_VALUE"""),"Baulera Standard - 750")</f>
        <v>Baulera Standard - 750</v>
      </c>
      <c r="AC117" s="3" t="str">
        <f>IFERROR(__xludf.DUMMYFUNCTION("""COMPUTED_VALUE"""),"Baulera Standard - 1700 - C/Laterales")</f>
        <v>Baulera Standard - 1700 - C/Laterales</v>
      </c>
      <c r="AD117" s="3" t="str">
        <f>IFERROR(__xludf.DUMMYFUNCTION("""COMPUTED_VALUE"""),"Baulera Standard - 1000 - C/Laterales")</f>
        <v>Baulera Standard - 1000 - C/Laterales</v>
      </c>
      <c r="AE117" s="3" t="str">
        <f>IFERROR(__xludf.DUMMYFUNCTION("""COMPUTED_VALUE"""),"Baulera Standard - 750 - C/Laterales")</f>
        <v>Baulera Standard - 750 - C/Laterales</v>
      </c>
      <c r="AF117" s="3" t="str">
        <f>IFERROR(__xludf.DUMMYFUNCTION("""COMPUTED_VALUE"""),"Baulera Standard - 1300 - C/Laterales")</f>
        <v>Baulera Standard - 1300 - C/Laterales</v>
      </c>
      <c r="AG117" s="3" t="str">
        <f>IFERROR(__xludf.DUMMYFUNCTION("""COMPUTED_VALUE"""),"Baulera Alta - 750")</f>
        <v>Baulera Alta - 750</v>
      </c>
      <c r="AH117" s="3" t="str">
        <f>IFERROR(__xludf.DUMMYFUNCTION("""COMPUTED_VALUE"""),"Baulera Alta - 1500 - C/Laterales")</f>
        <v>Baulera Alta - 1500 - C/Laterales</v>
      </c>
      <c r="AI117" s="3" t="str">
        <f>IFERROR(__xludf.DUMMYFUNCTION("""COMPUTED_VALUE"""),"Baulera Extendida 1700 - C/Laterales")</f>
        <v>Baulera Extendida 1700 - C/Laterales</v>
      </c>
      <c r="AJ117" s="3" t="str">
        <f>IFERROR(__xludf.DUMMYFUNCTION("""COMPUTED_VALUE"""),"Taller Móvil - 1500 x 1500 x 1700")</f>
        <v>Taller Móvil - 1500 x 1500 x 1700</v>
      </c>
      <c r="AK117" s="3" t="str">
        <f>IFERROR(__xludf.DUMMYFUNCTION("""COMPUTED_VALUE"""),"Cajón Herramientas Standard Derecho")</f>
        <v>Cajón Herramientas Standard Derecho</v>
      </c>
      <c r="AL117" s="3" t="str">
        <f>IFERROR(__xludf.DUMMYFUNCTION("""COMPUTED_VALUE"""),"Cajón Herramientas Standard Izquierdo")</f>
        <v>Cajón Herramientas Standard Izquierdo</v>
      </c>
      <c r="AM117" s="3" t="str">
        <f>IFERROR(__xludf.DUMMYFUNCTION("""COMPUTED_VALUE"""),"Cajón Herramientas Corto Derecho")</f>
        <v>Cajón Herramientas Corto Derecho</v>
      </c>
      <c r="AN117" s="3" t="str">
        <f>IFERROR(__xludf.DUMMYFUNCTION("""COMPUTED_VALUE"""),"Cajón Herramientas Corto Izquierdo")</f>
        <v>Cajón Herramientas Corto Izquierdo</v>
      </c>
      <c r="AO117" s="3" t="str">
        <f>IFERROR(__xludf.DUMMYFUNCTION("""COMPUTED_VALUE"""),"Cajón Herramientas Mediano Derecho")</f>
        <v>Cajón Herramientas Mediano Derecho</v>
      </c>
      <c r="AP117" s="3" t="str">
        <f>IFERROR(__xludf.DUMMYFUNCTION("""COMPUTED_VALUE"""),"Cajón Herramientas Mediano Izquierdo")</f>
        <v>Cajón Herramientas Mediano Izquierdo</v>
      </c>
      <c r="AQ117" s="3" t="str">
        <f>IFERROR(__xludf.DUMMYFUNCTION("""COMPUTED_VALUE"""),"Chasis Acoplado 2 Ejes L3000")</f>
        <v>Chasis Acoplado 2 Ejes L3000</v>
      </c>
      <c r="AR117" s="3" t="str">
        <f>IFERROR(__xludf.DUMMYFUNCTION("""COMPUTED_VALUE"""),"Chasis Acoplado 2 Ejes L3750")</f>
        <v>Chasis Acoplado 2 Ejes L3750</v>
      </c>
      <c r="AS117" s="3" t="str">
        <f>IFERROR(__xludf.DUMMYFUNCTION("""COMPUTED_VALUE"""),"Chasis Acoplado 2 Ejes L4000")</f>
        <v>Chasis Acoplado 2 Ejes L4000</v>
      </c>
      <c r="AT117" s="3" t="str">
        <f>IFERROR(__xludf.DUMMYFUNCTION("""COMPUTED_VALUE"""),"Chasis Acoplado 2 Ejes L4000 Reforzado")</f>
        <v>Chasis Acoplado 2 Ejes L4000 Reforzado</v>
      </c>
      <c r="AU117" s="3" t="str">
        <f>IFERROR(__xludf.DUMMYFUNCTION("""COMPUTED_VALUE"""),"Chasis Acoplado 2 Ejes L4750")</f>
        <v>Chasis Acoplado 2 Ejes L4750</v>
      </c>
      <c r="AV117" s="3" t="str">
        <f>IFERROR(__xludf.DUMMYFUNCTION("""COMPUTED_VALUE"""),"Chasis Acoplado 2 Ejes L4750 Reforzado")</f>
        <v>Chasis Acoplado 2 Ejes L4750 Reforzado</v>
      </c>
      <c r="AW117" s="3" t="str">
        <f>IFERROR(__xludf.DUMMYFUNCTION("""COMPUTED_VALUE"""),"Chasis Acoplado 2 Ejes L4750 Reforzado R. Camion")</f>
        <v>Chasis Acoplado 2 Ejes L4750 Reforzado R. Camion</v>
      </c>
      <c r="AX117" s="3" t="str">
        <f>IFERROR(__xludf.DUMMYFUNCTION("""COMPUTED_VALUE"""),"Chasis Acoplado 2 Ejes L5000")</f>
        <v>Chasis Acoplado 2 Ejes L5000</v>
      </c>
      <c r="AY117" s="3" t="str">
        <f>IFERROR(__xludf.DUMMYFUNCTION("""COMPUTED_VALUE"""),"Chasis Acoplado 2 Ejes L5750")</f>
        <v>Chasis Acoplado 2 Ejes L5750</v>
      </c>
      <c r="AZ117" s="3" t="str">
        <f>IFERROR(__xludf.DUMMYFUNCTION("""COMPUTED_VALUE"""),"Chasis Acoplado 2 Ejes L6400")</f>
        <v>Chasis Acoplado 2 Ejes L6400</v>
      </c>
      <c r="BA117" s="3" t="str">
        <f>IFERROR(__xludf.DUMMYFUNCTION("""COMPUTED_VALUE"""),"Chasis Acoplado 2 Ejes L4500")</f>
        <v>Chasis Acoplado 2 Ejes L4500</v>
      </c>
      <c r="BB117" s="3" t="str">
        <f>IFERROR(__xludf.DUMMYFUNCTION("""COMPUTED_VALUE"""),"Chasis Acoplado 1 Eje L1500")</f>
        <v>Chasis Acoplado 1 Eje L1500</v>
      </c>
      <c r="BC117" s="3" t="str">
        <f>IFERROR(__xludf.DUMMYFUNCTION("""COMPUTED_VALUE"""),"Chasis Acoplado 1 Eje L1800")</f>
        <v>Chasis Acoplado 1 Eje L1800</v>
      </c>
      <c r="BD117" s="3" t="str">
        <f>IFERROR(__xludf.DUMMYFUNCTION("""COMPUTED_VALUE"""),"Chasis Acoplado 1 Eje L1400")</f>
        <v>Chasis Acoplado 1 Eje L1400</v>
      </c>
      <c r="BE117" s="3" t="str">
        <f>IFERROR(__xludf.DUMMYFUNCTION("""COMPUTED_VALUE"""),"Chasis Acoplado Balancin L3000")</f>
        <v>Chasis Acoplado Balancin L3000</v>
      </c>
      <c r="BF117" s="3" t="str">
        <f>IFERROR(__xludf.DUMMYFUNCTION("""COMPUTED_VALUE"""),"Chasis Acoplado Balancin L3000 Lanza Corta")</f>
        <v>Chasis Acoplado Balancin L3000 Lanza Corta</v>
      </c>
      <c r="BG117" s="3" t="str">
        <f>IFERROR(__xludf.DUMMYFUNCTION("""COMPUTED_VALUE"""),"Chasis Acoplado Balancin L2000 Lanza Corta")</f>
        <v>Chasis Acoplado Balancin L2000 Lanza Corta</v>
      </c>
      <c r="BH117" s="3" t="str">
        <f>IFERROR(__xludf.DUMMYFUNCTION("""COMPUTED_VALUE"""),"Chasis Acoplado Balancin L3200 Lanza Corta")</f>
        <v>Chasis Acoplado Balancin L3200 Lanza Corta</v>
      </c>
      <c r="BI117" s="3" t="str">
        <f>IFERROR(__xludf.DUMMYFUNCTION("""COMPUTED_VALUE"""),"Chasis Acoplado Balancin L3200 Lanza Recta")</f>
        <v>Chasis Acoplado Balancin L3200 Lanza Recta</v>
      </c>
      <c r="BJ117" s="3" t="str">
        <f>IFERROR(__xludf.DUMMYFUNCTION("""COMPUTED_VALUE"""),"Chasis Acoplado Balancin L3200 Bajo Lanza Recta")</f>
        <v>Chasis Acoplado Balancin L3200 Bajo Lanza Recta</v>
      </c>
      <c r="BK117" s="3" t="str">
        <f>IFERROR(__xludf.DUMMYFUNCTION("""COMPUTED_VALUE"""),"Tanque Plastico Horizontal 750 Lts")</f>
        <v>Tanque Plastico Horizontal 750 Lts</v>
      </c>
      <c r="BL117" s="3" t="str">
        <f>IFERROR(__xludf.DUMMYFUNCTION("""COMPUTED_VALUE"""),"Medio Tanque Plastico Superior 700 Lts")</f>
        <v>Medio Tanque Plastico Superior 700 Lts</v>
      </c>
      <c r="BM117" s="3" t="str">
        <f>IFERROR(__xludf.DUMMYFUNCTION("""COMPUTED_VALUE"""),"Paquete de Elasticos 50 mm x 8 mm x 10 Hojas L850")</f>
        <v>Paquete de Elasticos 50 mm x 8 mm x 10 Hojas L850</v>
      </c>
      <c r="BN117" s="3" t="str">
        <f>IFERROR(__xludf.DUMMYFUNCTION("""COMPUTED_VALUE"""),"Paquete de Elasticos 63 mm x 8 mm x 10 Hojas L950")</f>
        <v>Paquete de Elasticos 63 mm x 8 mm x 10 Hojas L950</v>
      </c>
      <c r="BO117" s="3" t="str">
        <f>IFERROR(__xludf.DUMMYFUNCTION("""COMPUTED_VALUE"""),"Paquete de Elasticos 50 mm x 7 mm x 9 Hojas L850")</f>
        <v>Paquete de Elasticos 50 mm x 7 mm x 9 Hojas L850</v>
      </c>
      <c r="BP117" s="3" t="str">
        <f>IFERROR(__xludf.DUMMYFUNCTION("""COMPUTED_VALUE"""),"Paquete de Elasticos 63 mm x 8 mm x 8 Hojas L850")</f>
        <v>Paquete de Elasticos 63 mm x 8 mm x 8 Hojas L850</v>
      </c>
      <c r="BQ117" s="3" t="str">
        <f>IFERROR(__xludf.DUMMYFUNCTION("""COMPUTED_VALUE"""),"Paquete de Elasticos 63 mm x 10 mm x 10 Hojas L950")</f>
        <v>Paquete de Elasticos 63 mm x 10 mm x 10 Hojas L950</v>
      </c>
      <c r="BR117" s="3" t="str">
        <f>IFERROR(__xludf.DUMMYFUNCTION("""COMPUTED_VALUE"""),"Paquete de Elasticos 63 mm x 10 mm x 13 Hojas L975")</f>
        <v>Paquete de Elasticos 63 mm x 10 mm x 13 Hojas L975</v>
      </c>
      <c r="BS117" s="3" t="str">
        <f>IFERROR(__xludf.DUMMYFUNCTION("""COMPUTED_VALUE"""),"Paquete de Elasticos 50 mm x 7 mm x 9 Hojas L650")</f>
        <v>Paquete de Elasticos 50 mm x 7 mm x 9 Hojas L650</v>
      </c>
      <c r="BT117" s="3" t="str">
        <f>IFERROR(__xludf.DUMMYFUNCTION("""COMPUTED_VALUE"""),"Eje Acoplado 2"" x 1600 (06/08) Agrícola Centro 92")</f>
        <v>Eje Acoplado 2" x 1600 (06/08) Agrícola Centro 92</v>
      </c>
      <c r="BU117" s="3" t="str">
        <f>IFERROR(__xludf.DUMMYFUNCTION("""COMPUTED_VALUE"""),"Eje Acoplado 2 1/2"" x 1600 (07/09) Agrícola Centro 92")</f>
        <v>Eje Acoplado 2 1/2" x 1600 (07/09) Agrícola Centro 92</v>
      </c>
      <c r="BV117" s="3" t="str">
        <f>IFERROR(__xludf.DUMMYFUNCTION("""COMPUTED_VALUE"""),"Eje Acoplado 2 1/2"" x 1600 (09/11) Agrícola Centro 150")</f>
        <v>Eje Acoplado 2 1/2" x 1600 (09/11) Agrícola Centro 150</v>
      </c>
      <c r="BW117" s="3" t="str">
        <f>IFERROR(__xludf.DUMMYFUNCTION("""COMPUTED_VALUE"""),"Eje Acoplado 3"" x 1600 (10/13) Agrícola Centro 150")</f>
        <v>Eje Acoplado 3" x 1600 (10/13) Agrícola Centro 150</v>
      </c>
      <c r="BX117" s="3" t="str">
        <f>IFERROR(__xludf.DUMMYFUNCTION("""COMPUTED_VALUE"""),"Eje Acoplado 2 1/2"" x 2140 (07/09) Agrícola Centro 92")</f>
        <v>Eje Acoplado 2 1/2" x 2140 (07/09) Agrícola Centro 92</v>
      </c>
      <c r="BY117" s="3" t="str">
        <f>IFERROR(__xludf.DUMMYFUNCTION("""COMPUTED_VALUE"""),"Eje Acoplado 2"" x 1400 (06/08) Agrícola Centro 92")</f>
        <v>Eje Acoplado 2" x 1400 (06/08) Agrícola Centro 92</v>
      </c>
      <c r="BZ117" s="3" t="str">
        <f>IFERROR(__xludf.DUMMYFUNCTION("""COMPUTED_VALUE"""),"Eje Acoplado 2 1/2"" x 1500 (07/09) Agrícola Centro 92")</f>
        <v>Eje Acoplado 2 1/2" x 1500 (07/09) Agrícola Centro 92</v>
      </c>
      <c r="CA117" s="3" t="str">
        <f>IFERROR(__xludf.DUMMYFUNCTION("""COMPUTED_VALUE"""),"Eje Acoplado 2 1/2"" x 2000 (07/09) Agrícola Centro 92")</f>
        <v>Eje Acoplado 2 1/2" x 2000 (07/09) Agrícola Centro 92</v>
      </c>
      <c r="CB117" s="3" t="str">
        <f>IFERROR(__xludf.DUMMYFUNCTION("""COMPUTED_VALUE"""),"Eje Acoplado 2 1/2"" x 2100 (09/11) Agrícola Centro 150")</f>
        <v>Eje Acoplado 2 1/2" x 2100 (09/11) Agrícola Centro 150</v>
      </c>
      <c r="CC117" s="3" t="str">
        <f>IFERROR(__xludf.DUMMYFUNCTION("""COMPUTED_VALUE"""),"Llanta 16"" Simple Agrícola Centro 92")</f>
        <v>Llanta 16" Simple Agrícola Centro 92</v>
      </c>
      <c r="CD117" s="3" t="str">
        <f>IFERROR(__xludf.DUMMYFUNCTION("""COMPUTED_VALUE"""),"Llanta 16"" Dual Agrícola Centro 92")</f>
        <v>Llanta 16" Dual Agrícola Centro 92</v>
      </c>
      <c r="CE117" s="3" t="str">
        <f>IFERROR(__xludf.DUMMYFUNCTION("""COMPUTED_VALUE"""),"Llanta 17"" Simple Agrícola Centro 92")</f>
        <v>Llanta 17" Simple Agrícola Centro 92</v>
      </c>
      <c r="CF117" s="3" t="str">
        <f>IFERROR(__xludf.DUMMYFUNCTION("""COMPUTED_VALUE"""),"Llanta 17"" Dual Agrícola Centro 92")</f>
        <v>Llanta 17" Dual Agrícola Centro 92</v>
      </c>
      <c r="CG117" s="3" t="str">
        <f>IFERROR(__xludf.DUMMYFUNCTION("""COMPUTED_VALUE"""),"Llanta 16"" Dual Agrícola Centro 152")</f>
        <v>Llanta 16" Dual Agrícola Centro 152</v>
      </c>
      <c r="CH117" s="3" t="str">
        <f>IFERROR(__xludf.DUMMYFUNCTION("""COMPUTED_VALUE"""),"Llanta 17"" Dual Agrícola Centro 152")</f>
        <v>Llanta 17" Dual Agrícola Centro 152</v>
      </c>
      <c r="CI117" s="3" t="str">
        <f>IFERROR(__xludf.DUMMYFUNCTION("""COMPUTED_VALUE"""),"Eje Acoplado 2"" x 1600 (05/07) Agrícola Centro 92")</f>
        <v>Eje Acoplado 2" x 1600 (05/07) Agrícola Centro 92</v>
      </c>
      <c r="CJ117" s="3" t="str">
        <f>IFERROR(__xludf.DUMMYFUNCTION("""COMPUTED_VALUE"""),"Paquete de Elásticos 50 mm x 8 mm x 12 Hojas")</f>
        <v>Paquete de Elásticos 50 mm x 8 mm x 12 Hojas</v>
      </c>
      <c r="CK117" s="3" t="str">
        <f>IFERROR(__xludf.DUMMYFUNCTION("""COMPUTED_VALUE"""),"Plataforma Playo 4.00 x 1.90 x 0.45 Lateral Simple Baranda Fija")</f>
        <v>Plataforma Playo 4.00 x 1.90 x 0.45 Lateral Simple Baranda Fija</v>
      </c>
      <c r="CL117" s="3" t="str">
        <f>IFERROR(__xludf.DUMMYFUNCTION("""COMPUTED_VALUE"""),"Plataforma Playo 4.00 x 1.90 x 0.45 Lateral Simple Baranda Ventilada")</f>
        <v>Plataforma Playo 4.00 x 1.90 x 0.45 Lateral Simple Baranda Ventilada</v>
      </c>
      <c r="CM117" s="3" t="str">
        <f>IFERROR(__xludf.DUMMYFUNCTION("""COMPUTED_VALUE"""),"Plataforma Playo 4.00 x 1.90 x 0.45 Lateral Doble Baranda Ventilada")</f>
        <v>Plataforma Playo 4.00 x 1.90 x 0.45 Lateral Doble Baranda Ventilada</v>
      </c>
      <c r="CN117" s="3" t="str">
        <f>IFERROR(__xludf.DUMMYFUNCTION("""COMPUTED_VALUE"""),"Plataforma Playo 4.00 x 1.90 x 0.45 Lateral Doble Baranda Fija")</f>
        <v>Plataforma Playo 4.00 x 1.90 x 0.45 Lateral Doble Baranda Fija</v>
      </c>
      <c r="CO117" s="3" t="str">
        <f>IFERROR(__xludf.DUMMYFUNCTION("""COMPUTED_VALUE"""),"Plataforma Playo 4.00 x 1.90 x 0.72 Lateral Simple Baranda Fija")</f>
        <v>Plataforma Playo 4.00 x 1.90 x 0.72 Lateral Simple Baranda Fija</v>
      </c>
      <c r="CP117" s="3" t="str">
        <f>IFERROR(__xludf.DUMMYFUNCTION("""COMPUTED_VALUE"""),"Plataforma Playo 4.00 x 1.90 x 0.72 Lateral Doble Baranda Fija")</f>
        <v>Plataforma Playo 4.00 x 1.90 x 0.72 Lateral Doble Baranda Fija</v>
      </c>
      <c r="CQ117" s="3" t="str">
        <f>IFERROR(__xludf.DUMMYFUNCTION("""COMPUTED_VALUE"""),"Plataforma Playo 5.00 x 2.20 x 0.60 Lateral Doble Trasera Rebatible")</f>
        <v>Plataforma Playo 5.00 x 2.20 x 0.60 Lateral Doble Trasera Rebatible</v>
      </c>
      <c r="CR117" s="3" t="str">
        <f>IFERROR(__xludf.DUMMYFUNCTION("""COMPUTED_VALUE"""),"Plataforma Playo 5.00 x 2.20 x 0.60 Lateral Doble Baranda Fija C/Toldo")</f>
        <v>Plataforma Playo 5.00 x 2.20 x 0.60 Lateral Doble Baranda Fija C/Toldo</v>
      </c>
      <c r="CS117" s="3" t="str">
        <f>IFERROR(__xludf.DUMMYFUNCTION("""COMPUTED_VALUE"""),"Plataforma Playo 3.00 x 1.90 x 0.45 Lateral Simple Baranda Fija")</f>
        <v>Plataforma Playo 3.00 x 1.90 x 0.45 Lateral Simple Baranda Fija</v>
      </c>
      <c r="CT117" s="3" t="str">
        <f>IFERROR(__xludf.DUMMYFUNCTION("""COMPUTED_VALUE"""),"Plataforma Playo 3.00 x 1.90 x 0.45 Lateral Simple Baranda Ventilada")</f>
        <v>Plataforma Playo 3.00 x 1.90 x 0.45 Lateral Simple Baranda Ventilada</v>
      </c>
      <c r="CU117" s="3" t="str">
        <f>IFERROR(__xludf.DUMMYFUNCTION("""COMPUTED_VALUE"""),"Plataforma Playo 2.00 x 1.90 x 0.45 Lateral Simple Baranda Fija")</f>
        <v>Plataforma Playo 2.00 x 1.90 x 0.45 Lateral Simple Baranda Fija</v>
      </c>
      <c r="CV117" s="3" t="str">
        <f>IFERROR(__xludf.DUMMYFUNCTION("""COMPUTED_VALUE"""),"Plataforma Playo 5.00 x 1.90 x 0.60 Lateral Doble Baranda Fija")</f>
        <v>Plataforma Playo 5.00 x 1.90 x 0.60 Lateral Doble Baranda Fija</v>
      </c>
      <c r="CW117" s="3" t="str">
        <f>IFERROR(__xludf.DUMMYFUNCTION("""COMPUTED_VALUE"""),"Plataforma Playo 6.40 x 2.70 x 0.72 Lateral Doble Baranda Fija")</f>
        <v>Plataforma Playo 6.40 x 2.70 x 0.72 Lateral Doble Baranda Fija</v>
      </c>
      <c r="CX117" s="3" t="str">
        <f>IFERROR(__xludf.DUMMYFUNCTION("""COMPUTED_VALUE"""),"Chasis Acoplado Balancin L4000 Lanza Recta")</f>
        <v>Chasis Acoplado Balancin L4000 Lanza Recta</v>
      </c>
      <c r="CY117" s="3" t="str">
        <f>IFERROR(__xludf.DUMMYFUNCTION("""COMPUTED_VALUE"""),"Llanta simple Agrícola 750x20 centro 152")</f>
        <v>Llanta simple Agrícola 750x20 centro 152</v>
      </c>
      <c r="CZ117" s="3" t="str">
        <f>IFERROR(__xludf.DUMMYFUNCTION("""COMPUTED_VALUE"""),"Cajón de Herramientas Mediano adelante")</f>
        <v>Cajón de Herramientas Mediano adelante</v>
      </c>
      <c r="DA117" s="3" t="str">
        <f>IFERROR(__xludf.DUMMYFUNCTION("""COMPUTED_VALUE"""),"Llanta 15"" Simple Agrícola Centro 92")</f>
        <v>Llanta 15" Simple Agrícola Centro 92</v>
      </c>
    </row>
    <row r="118" hidden="1">
      <c r="A118" s="38">
        <f t="shared" si="1"/>
        <v>117</v>
      </c>
      <c r="B118" s="38">
        <f>IF(F118="","",SUMIF(Prearmados!E:E,F118,Prearmados!A:A))</f>
        <v>21</v>
      </c>
      <c r="C118" s="38">
        <f>IF(F118="","",SUMIF(Productos!E:E,G118,Productos!A:A))</f>
        <v>101</v>
      </c>
      <c r="D118" s="83" t="str">
        <f t="array" ref="D118">IF(OR(F118="",F118="Seleccionar.."),"",XLOOKUP(F118,Prearmados!E:E,Prearmados!F:F,"",0,1))</f>
        <v>Acoplados Rurales</v>
      </c>
      <c r="E118" s="83">
        <f>IF(H118="","",SUMIF(Precio_Productos!K:K,C118,Precio_Productos!J:J)*H118)</f>
        <v>780000</v>
      </c>
      <c r="F118" s="84" t="s">
        <v>344</v>
      </c>
      <c r="G118" s="84" t="s">
        <v>133</v>
      </c>
      <c r="H118" s="13">
        <v>2.0</v>
      </c>
      <c r="P118" s="3" t="str">
        <f>IFERROR(__xludf.DUMMYFUNCTION("IF(OR(F118="""",F118=""Seleccionar..""),"""",TRANSPOSE(FILTER(Productos!E:E,(Productos!F:F=D118)+(Productos!F:F=XLOOKUP(D118,Implementos!B:B,Implementos!C:C,""-"",0,1)))))"),"Tanque Combustible 1100 lts Bajo")</f>
        <v>Tanque Combustible 1100 lts Bajo</v>
      </c>
      <c r="Q118" s="3" t="str">
        <f>IFERROR(__xludf.DUMMYFUNCTION("""COMPUTED_VALUE"""),"Tanque Combustible 1500 lts Standard")</f>
        <v>Tanque Combustible 1500 lts Standard</v>
      </c>
      <c r="R118" s="3" t="str">
        <f>IFERROR(__xludf.DUMMYFUNCTION("""COMPUTED_VALUE"""),"Tanque Combustible 1800 lts Standard")</f>
        <v>Tanque Combustible 1800 lts Standard</v>
      </c>
      <c r="S118" s="3" t="str">
        <f>IFERROR(__xludf.DUMMYFUNCTION("""COMPUTED_VALUE"""),"Tanque Combustible 2000 lts Bajo")</f>
        <v>Tanque Combustible 2000 lts Bajo</v>
      </c>
      <c r="T118" s="3" t="str">
        <f>IFERROR(__xludf.DUMMYFUNCTION("""COMPUTED_VALUE"""),"Tanque Combustible 2000 lts Standard")</f>
        <v>Tanque Combustible 2000 lts Standard</v>
      </c>
      <c r="U118" s="3" t="str">
        <f>IFERROR(__xludf.DUMMYFUNCTION("""COMPUTED_VALUE"""),"Tanque Combustible 3000 lts Standard")</f>
        <v>Tanque Combustible 3000 lts Standard</v>
      </c>
      <c r="V118" s="3" t="str">
        <f>IFERROR(__xludf.DUMMYFUNCTION("""COMPUTED_VALUE"""),"Tanque Combustible 3000 lts Alto")</f>
        <v>Tanque Combustible 3000 lts Alto</v>
      </c>
      <c r="W118" s="3" t="str">
        <f>IFERROR(__xludf.DUMMYFUNCTION("""COMPUTED_VALUE"""),"Tanque Combustible 4000 lts Standard")</f>
        <v>Tanque Combustible 4000 lts Standard</v>
      </c>
      <c r="X118" s="3" t="str">
        <f>IFERROR(__xludf.DUMMYFUNCTION("""COMPUTED_VALUE"""),"Tanque Combustible 5000 lts Standard")</f>
        <v>Tanque Combustible 5000 lts Standard</v>
      </c>
      <c r="Y118" s="3" t="str">
        <f>IFERROR(__xludf.DUMMYFUNCTION("""COMPUTED_VALUE"""),"Tanque Combustible 5000 lts Alto")</f>
        <v>Tanque Combustible 5000 lts Alto</v>
      </c>
      <c r="Z118" s="3" t="str">
        <f>IFERROR(__xludf.DUMMYFUNCTION("""COMPUTED_VALUE"""),"Tanque Combustible 2000 lts Alto")</f>
        <v>Tanque Combustible 2000 lts Alto</v>
      </c>
      <c r="AA118" s="3" t="str">
        <f>IFERROR(__xludf.DUMMYFUNCTION("""COMPUTED_VALUE"""),"Tanque Combustible 4000 lts Alto")</f>
        <v>Tanque Combustible 4000 lts Alto</v>
      </c>
      <c r="AB118" s="3" t="str">
        <f>IFERROR(__xludf.DUMMYFUNCTION("""COMPUTED_VALUE"""),"Baulera Standard - 750")</f>
        <v>Baulera Standard - 750</v>
      </c>
      <c r="AC118" s="3" t="str">
        <f>IFERROR(__xludf.DUMMYFUNCTION("""COMPUTED_VALUE"""),"Baulera Standard - 1700 - C/Laterales")</f>
        <v>Baulera Standard - 1700 - C/Laterales</v>
      </c>
      <c r="AD118" s="3" t="str">
        <f>IFERROR(__xludf.DUMMYFUNCTION("""COMPUTED_VALUE"""),"Baulera Standard - 1000 - C/Laterales")</f>
        <v>Baulera Standard - 1000 - C/Laterales</v>
      </c>
      <c r="AE118" s="3" t="str">
        <f>IFERROR(__xludf.DUMMYFUNCTION("""COMPUTED_VALUE"""),"Baulera Standard - 750 - C/Laterales")</f>
        <v>Baulera Standard - 750 - C/Laterales</v>
      </c>
      <c r="AF118" s="3" t="str">
        <f>IFERROR(__xludf.DUMMYFUNCTION("""COMPUTED_VALUE"""),"Baulera Standard - 1300 - C/Laterales")</f>
        <v>Baulera Standard - 1300 - C/Laterales</v>
      </c>
      <c r="AG118" s="3" t="str">
        <f>IFERROR(__xludf.DUMMYFUNCTION("""COMPUTED_VALUE"""),"Baulera Alta - 750")</f>
        <v>Baulera Alta - 750</v>
      </c>
      <c r="AH118" s="3" t="str">
        <f>IFERROR(__xludf.DUMMYFUNCTION("""COMPUTED_VALUE"""),"Baulera Alta - 1500 - C/Laterales")</f>
        <v>Baulera Alta - 1500 - C/Laterales</v>
      </c>
      <c r="AI118" s="3" t="str">
        <f>IFERROR(__xludf.DUMMYFUNCTION("""COMPUTED_VALUE"""),"Baulera Extendida 1700 - C/Laterales")</f>
        <v>Baulera Extendida 1700 - C/Laterales</v>
      </c>
      <c r="AJ118" s="3" t="str">
        <f>IFERROR(__xludf.DUMMYFUNCTION("""COMPUTED_VALUE"""),"Taller Móvil - 1500 x 1500 x 1700")</f>
        <v>Taller Móvil - 1500 x 1500 x 1700</v>
      </c>
      <c r="AK118" s="3" t="str">
        <f>IFERROR(__xludf.DUMMYFUNCTION("""COMPUTED_VALUE"""),"Cajón Herramientas Standard Derecho")</f>
        <v>Cajón Herramientas Standard Derecho</v>
      </c>
      <c r="AL118" s="3" t="str">
        <f>IFERROR(__xludf.DUMMYFUNCTION("""COMPUTED_VALUE"""),"Cajón Herramientas Standard Izquierdo")</f>
        <v>Cajón Herramientas Standard Izquierdo</v>
      </c>
      <c r="AM118" s="3" t="str">
        <f>IFERROR(__xludf.DUMMYFUNCTION("""COMPUTED_VALUE"""),"Cajón Herramientas Corto Derecho")</f>
        <v>Cajón Herramientas Corto Derecho</v>
      </c>
      <c r="AN118" s="3" t="str">
        <f>IFERROR(__xludf.DUMMYFUNCTION("""COMPUTED_VALUE"""),"Cajón Herramientas Corto Izquierdo")</f>
        <v>Cajón Herramientas Corto Izquierdo</v>
      </c>
      <c r="AO118" s="3" t="str">
        <f>IFERROR(__xludf.DUMMYFUNCTION("""COMPUTED_VALUE"""),"Cajón Herramientas Mediano Derecho")</f>
        <v>Cajón Herramientas Mediano Derecho</v>
      </c>
      <c r="AP118" s="3" t="str">
        <f>IFERROR(__xludf.DUMMYFUNCTION("""COMPUTED_VALUE"""),"Cajón Herramientas Mediano Izquierdo")</f>
        <v>Cajón Herramientas Mediano Izquierdo</v>
      </c>
      <c r="AQ118" s="3" t="str">
        <f>IFERROR(__xludf.DUMMYFUNCTION("""COMPUTED_VALUE"""),"Chasis Acoplado 2 Ejes L3000")</f>
        <v>Chasis Acoplado 2 Ejes L3000</v>
      </c>
      <c r="AR118" s="3" t="str">
        <f>IFERROR(__xludf.DUMMYFUNCTION("""COMPUTED_VALUE"""),"Chasis Acoplado 2 Ejes L3750")</f>
        <v>Chasis Acoplado 2 Ejes L3750</v>
      </c>
      <c r="AS118" s="3" t="str">
        <f>IFERROR(__xludf.DUMMYFUNCTION("""COMPUTED_VALUE"""),"Chasis Acoplado 2 Ejes L4000")</f>
        <v>Chasis Acoplado 2 Ejes L4000</v>
      </c>
      <c r="AT118" s="3" t="str">
        <f>IFERROR(__xludf.DUMMYFUNCTION("""COMPUTED_VALUE"""),"Chasis Acoplado 2 Ejes L4000 Reforzado")</f>
        <v>Chasis Acoplado 2 Ejes L4000 Reforzado</v>
      </c>
      <c r="AU118" s="3" t="str">
        <f>IFERROR(__xludf.DUMMYFUNCTION("""COMPUTED_VALUE"""),"Chasis Acoplado 2 Ejes L4750")</f>
        <v>Chasis Acoplado 2 Ejes L4750</v>
      </c>
      <c r="AV118" s="3" t="str">
        <f>IFERROR(__xludf.DUMMYFUNCTION("""COMPUTED_VALUE"""),"Chasis Acoplado 2 Ejes L4750 Reforzado")</f>
        <v>Chasis Acoplado 2 Ejes L4750 Reforzado</v>
      </c>
      <c r="AW118" s="3" t="str">
        <f>IFERROR(__xludf.DUMMYFUNCTION("""COMPUTED_VALUE"""),"Chasis Acoplado 2 Ejes L4750 Reforzado R. Camion")</f>
        <v>Chasis Acoplado 2 Ejes L4750 Reforzado R. Camion</v>
      </c>
      <c r="AX118" s="3" t="str">
        <f>IFERROR(__xludf.DUMMYFUNCTION("""COMPUTED_VALUE"""),"Chasis Acoplado 2 Ejes L5000")</f>
        <v>Chasis Acoplado 2 Ejes L5000</v>
      </c>
      <c r="AY118" s="3" t="str">
        <f>IFERROR(__xludf.DUMMYFUNCTION("""COMPUTED_VALUE"""),"Chasis Acoplado 2 Ejes L5750")</f>
        <v>Chasis Acoplado 2 Ejes L5750</v>
      </c>
      <c r="AZ118" s="3" t="str">
        <f>IFERROR(__xludf.DUMMYFUNCTION("""COMPUTED_VALUE"""),"Chasis Acoplado 2 Ejes L6400")</f>
        <v>Chasis Acoplado 2 Ejes L6400</v>
      </c>
      <c r="BA118" s="3" t="str">
        <f>IFERROR(__xludf.DUMMYFUNCTION("""COMPUTED_VALUE"""),"Chasis Acoplado 2 Ejes L4500")</f>
        <v>Chasis Acoplado 2 Ejes L4500</v>
      </c>
      <c r="BB118" s="3" t="str">
        <f>IFERROR(__xludf.DUMMYFUNCTION("""COMPUTED_VALUE"""),"Chasis Acoplado 1 Eje L1500")</f>
        <v>Chasis Acoplado 1 Eje L1500</v>
      </c>
      <c r="BC118" s="3" t="str">
        <f>IFERROR(__xludf.DUMMYFUNCTION("""COMPUTED_VALUE"""),"Chasis Acoplado 1 Eje L1800")</f>
        <v>Chasis Acoplado 1 Eje L1800</v>
      </c>
      <c r="BD118" s="3" t="str">
        <f>IFERROR(__xludf.DUMMYFUNCTION("""COMPUTED_VALUE"""),"Chasis Acoplado 1 Eje L1400")</f>
        <v>Chasis Acoplado 1 Eje L1400</v>
      </c>
      <c r="BE118" s="3" t="str">
        <f>IFERROR(__xludf.DUMMYFUNCTION("""COMPUTED_VALUE"""),"Chasis Acoplado Balancin L3000")</f>
        <v>Chasis Acoplado Balancin L3000</v>
      </c>
      <c r="BF118" s="3" t="str">
        <f>IFERROR(__xludf.DUMMYFUNCTION("""COMPUTED_VALUE"""),"Chasis Acoplado Balancin L3000 Lanza Corta")</f>
        <v>Chasis Acoplado Balancin L3000 Lanza Corta</v>
      </c>
      <c r="BG118" s="3" t="str">
        <f>IFERROR(__xludf.DUMMYFUNCTION("""COMPUTED_VALUE"""),"Chasis Acoplado Balancin L2000 Lanza Corta")</f>
        <v>Chasis Acoplado Balancin L2000 Lanza Corta</v>
      </c>
      <c r="BH118" s="3" t="str">
        <f>IFERROR(__xludf.DUMMYFUNCTION("""COMPUTED_VALUE"""),"Chasis Acoplado Balancin L3200 Lanza Corta")</f>
        <v>Chasis Acoplado Balancin L3200 Lanza Corta</v>
      </c>
      <c r="BI118" s="3" t="str">
        <f>IFERROR(__xludf.DUMMYFUNCTION("""COMPUTED_VALUE"""),"Chasis Acoplado Balancin L3200 Lanza Recta")</f>
        <v>Chasis Acoplado Balancin L3200 Lanza Recta</v>
      </c>
      <c r="BJ118" s="3" t="str">
        <f>IFERROR(__xludf.DUMMYFUNCTION("""COMPUTED_VALUE"""),"Chasis Acoplado Balancin L3200 Bajo Lanza Recta")</f>
        <v>Chasis Acoplado Balancin L3200 Bajo Lanza Recta</v>
      </c>
      <c r="BK118" s="3" t="str">
        <f>IFERROR(__xludf.DUMMYFUNCTION("""COMPUTED_VALUE"""),"Tanque Plastico Horizontal 750 Lts")</f>
        <v>Tanque Plastico Horizontal 750 Lts</v>
      </c>
      <c r="BL118" s="3" t="str">
        <f>IFERROR(__xludf.DUMMYFUNCTION("""COMPUTED_VALUE"""),"Medio Tanque Plastico Superior 700 Lts")</f>
        <v>Medio Tanque Plastico Superior 700 Lts</v>
      </c>
      <c r="BM118" s="3" t="str">
        <f>IFERROR(__xludf.DUMMYFUNCTION("""COMPUTED_VALUE"""),"Paquete de Elasticos 50 mm x 8 mm x 10 Hojas L850")</f>
        <v>Paquete de Elasticos 50 mm x 8 mm x 10 Hojas L850</v>
      </c>
      <c r="BN118" s="3" t="str">
        <f>IFERROR(__xludf.DUMMYFUNCTION("""COMPUTED_VALUE"""),"Paquete de Elasticos 63 mm x 8 mm x 10 Hojas L950")</f>
        <v>Paquete de Elasticos 63 mm x 8 mm x 10 Hojas L950</v>
      </c>
      <c r="BO118" s="3" t="str">
        <f>IFERROR(__xludf.DUMMYFUNCTION("""COMPUTED_VALUE"""),"Paquete de Elasticos 50 mm x 7 mm x 9 Hojas L850")</f>
        <v>Paquete de Elasticos 50 mm x 7 mm x 9 Hojas L850</v>
      </c>
      <c r="BP118" s="3" t="str">
        <f>IFERROR(__xludf.DUMMYFUNCTION("""COMPUTED_VALUE"""),"Paquete de Elasticos 63 mm x 8 mm x 8 Hojas L850")</f>
        <v>Paquete de Elasticos 63 mm x 8 mm x 8 Hojas L850</v>
      </c>
      <c r="BQ118" s="3" t="str">
        <f>IFERROR(__xludf.DUMMYFUNCTION("""COMPUTED_VALUE"""),"Paquete de Elasticos 63 mm x 10 mm x 10 Hojas L950")</f>
        <v>Paquete de Elasticos 63 mm x 10 mm x 10 Hojas L950</v>
      </c>
      <c r="BR118" s="3" t="str">
        <f>IFERROR(__xludf.DUMMYFUNCTION("""COMPUTED_VALUE"""),"Paquete de Elasticos 63 mm x 10 mm x 13 Hojas L975")</f>
        <v>Paquete de Elasticos 63 mm x 10 mm x 13 Hojas L975</v>
      </c>
      <c r="BS118" s="3" t="str">
        <f>IFERROR(__xludf.DUMMYFUNCTION("""COMPUTED_VALUE"""),"Paquete de Elasticos 50 mm x 7 mm x 9 Hojas L650")</f>
        <v>Paquete de Elasticos 50 mm x 7 mm x 9 Hojas L650</v>
      </c>
      <c r="BT118" s="3" t="str">
        <f>IFERROR(__xludf.DUMMYFUNCTION("""COMPUTED_VALUE"""),"Eje Acoplado 2"" x 1600 (06/08) Agrícola Centro 92")</f>
        <v>Eje Acoplado 2" x 1600 (06/08) Agrícola Centro 92</v>
      </c>
      <c r="BU118" s="3" t="str">
        <f>IFERROR(__xludf.DUMMYFUNCTION("""COMPUTED_VALUE"""),"Eje Acoplado 2 1/2"" x 1600 (07/09) Agrícola Centro 92")</f>
        <v>Eje Acoplado 2 1/2" x 1600 (07/09) Agrícola Centro 92</v>
      </c>
      <c r="BV118" s="3" t="str">
        <f>IFERROR(__xludf.DUMMYFUNCTION("""COMPUTED_VALUE"""),"Eje Acoplado 2 1/2"" x 1600 (09/11) Agrícola Centro 150")</f>
        <v>Eje Acoplado 2 1/2" x 1600 (09/11) Agrícola Centro 150</v>
      </c>
      <c r="BW118" s="3" t="str">
        <f>IFERROR(__xludf.DUMMYFUNCTION("""COMPUTED_VALUE"""),"Eje Acoplado 3"" x 1600 (10/13) Agrícola Centro 150")</f>
        <v>Eje Acoplado 3" x 1600 (10/13) Agrícola Centro 150</v>
      </c>
      <c r="BX118" s="3" t="str">
        <f>IFERROR(__xludf.DUMMYFUNCTION("""COMPUTED_VALUE"""),"Eje Acoplado 2 1/2"" x 2140 (07/09) Agrícola Centro 92")</f>
        <v>Eje Acoplado 2 1/2" x 2140 (07/09) Agrícola Centro 92</v>
      </c>
      <c r="BY118" s="3" t="str">
        <f>IFERROR(__xludf.DUMMYFUNCTION("""COMPUTED_VALUE"""),"Eje Acoplado 2"" x 1400 (06/08) Agrícola Centro 92")</f>
        <v>Eje Acoplado 2" x 1400 (06/08) Agrícola Centro 92</v>
      </c>
      <c r="BZ118" s="3" t="str">
        <f>IFERROR(__xludf.DUMMYFUNCTION("""COMPUTED_VALUE"""),"Eje Acoplado 2 1/2"" x 1500 (07/09) Agrícola Centro 92")</f>
        <v>Eje Acoplado 2 1/2" x 1500 (07/09) Agrícola Centro 92</v>
      </c>
      <c r="CA118" s="3" t="str">
        <f>IFERROR(__xludf.DUMMYFUNCTION("""COMPUTED_VALUE"""),"Eje Acoplado 2 1/2"" x 2000 (07/09) Agrícola Centro 92")</f>
        <v>Eje Acoplado 2 1/2" x 2000 (07/09) Agrícola Centro 92</v>
      </c>
      <c r="CB118" s="3" t="str">
        <f>IFERROR(__xludf.DUMMYFUNCTION("""COMPUTED_VALUE"""),"Eje Acoplado 2 1/2"" x 2100 (09/11) Agrícola Centro 150")</f>
        <v>Eje Acoplado 2 1/2" x 2100 (09/11) Agrícola Centro 150</v>
      </c>
      <c r="CC118" s="3" t="str">
        <f>IFERROR(__xludf.DUMMYFUNCTION("""COMPUTED_VALUE"""),"Llanta 16"" Simple Agrícola Centro 92")</f>
        <v>Llanta 16" Simple Agrícola Centro 92</v>
      </c>
      <c r="CD118" s="3" t="str">
        <f>IFERROR(__xludf.DUMMYFUNCTION("""COMPUTED_VALUE"""),"Llanta 16"" Dual Agrícola Centro 92")</f>
        <v>Llanta 16" Dual Agrícola Centro 92</v>
      </c>
      <c r="CE118" s="3" t="str">
        <f>IFERROR(__xludf.DUMMYFUNCTION("""COMPUTED_VALUE"""),"Llanta 17"" Simple Agrícola Centro 92")</f>
        <v>Llanta 17" Simple Agrícola Centro 92</v>
      </c>
      <c r="CF118" s="3" t="str">
        <f>IFERROR(__xludf.DUMMYFUNCTION("""COMPUTED_VALUE"""),"Llanta 17"" Dual Agrícola Centro 92")</f>
        <v>Llanta 17" Dual Agrícola Centro 92</v>
      </c>
      <c r="CG118" s="3" t="str">
        <f>IFERROR(__xludf.DUMMYFUNCTION("""COMPUTED_VALUE"""),"Llanta 16"" Dual Agrícola Centro 152")</f>
        <v>Llanta 16" Dual Agrícola Centro 152</v>
      </c>
      <c r="CH118" s="3" t="str">
        <f>IFERROR(__xludf.DUMMYFUNCTION("""COMPUTED_VALUE"""),"Llanta 17"" Dual Agrícola Centro 152")</f>
        <v>Llanta 17" Dual Agrícola Centro 152</v>
      </c>
      <c r="CI118" s="3" t="str">
        <f>IFERROR(__xludf.DUMMYFUNCTION("""COMPUTED_VALUE"""),"Eje Acoplado 2"" x 1600 (05/07) Agrícola Centro 92")</f>
        <v>Eje Acoplado 2" x 1600 (05/07) Agrícola Centro 92</v>
      </c>
      <c r="CJ118" s="3" t="str">
        <f>IFERROR(__xludf.DUMMYFUNCTION("""COMPUTED_VALUE"""),"Paquete de Elásticos 50 mm x 8 mm x 12 Hojas")</f>
        <v>Paquete de Elásticos 50 mm x 8 mm x 12 Hojas</v>
      </c>
      <c r="CK118" s="3" t="str">
        <f>IFERROR(__xludf.DUMMYFUNCTION("""COMPUTED_VALUE"""),"Plataforma Playo 4.00 x 1.90 x 0.45 Lateral Simple Baranda Fija")</f>
        <v>Plataforma Playo 4.00 x 1.90 x 0.45 Lateral Simple Baranda Fija</v>
      </c>
      <c r="CL118" s="3" t="str">
        <f>IFERROR(__xludf.DUMMYFUNCTION("""COMPUTED_VALUE"""),"Plataforma Playo 4.00 x 1.90 x 0.45 Lateral Simple Baranda Ventilada")</f>
        <v>Plataforma Playo 4.00 x 1.90 x 0.45 Lateral Simple Baranda Ventilada</v>
      </c>
      <c r="CM118" s="3" t="str">
        <f>IFERROR(__xludf.DUMMYFUNCTION("""COMPUTED_VALUE"""),"Plataforma Playo 4.00 x 1.90 x 0.45 Lateral Doble Baranda Ventilada")</f>
        <v>Plataforma Playo 4.00 x 1.90 x 0.45 Lateral Doble Baranda Ventilada</v>
      </c>
      <c r="CN118" s="3" t="str">
        <f>IFERROR(__xludf.DUMMYFUNCTION("""COMPUTED_VALUE"""),"Plataforma Playo 4.00 x 1.90 x 0.45 Lateral Doble Baranda Fija")</f>
        <v>Plataforma Playo 4.00 x 1.90 x 0.45 Lateral Doble Baranda Fija</v>
      </c>
      <c r="CO118" s="3" t="str">
        <f>IFERROR(__xludf.DUMMYFUNCTION("""COMPUTED_VALUE"""),"Plataforma Playo 4.00 x 1.90 x 0.72 Lateral Simple Baranda Fija")</f>
        <v>Plataforma Playo 4.00 x 1.90 x 0.72 Lateral Simple Baranda Fija</v>
      </c>
      <c r="CP118" s="3" t="str">
        <f>IFERROR(__xludf.DUMMYFUNCTION("""COMPUTED_VALUE"""),"Plataforma Playo 4.00 x 1.90 x 0.72 Lateral Doble Baranda Fija")</f>
        <v>Plataforma Playo 4.00 x 1.90 x 0.72 Lateral Doble Baranda Fija</v>
      </c>
      <c r="CQ118" s="3" t="str">
        <f>IFERROR(__xludf.DUMMYFUNCTION("""COMPUTED_VALUE"""),"Plataforma Playo 5.00 x 2.20 x 0.60 Lateral Doble Trasera Rebatible")</f>
        <v>Plataforma Playo 5.00 x 2.20 x 0.60 Lateral Doble Trasera Rebatible</v>
      </c>
      <c r="CR118" s="3" t="str">
        <f>IFERROR(__xludf.DUMMYFUNCTION("""COMPUTED_VALUE"""),"Plataforma Playo 5.00 x 2.20 x 0.60 Lateral Doble Baranda Fija C/Toldo")</f>
        <v>Plataforma Playo 5.00 x 2.20 x 0.60 Lateral Doble Baranda Fija C/Toldo</v>
      </c>
      <c r="CS118" s="3" t="str">
        <f>IFERROR(__xludf.DUMMYFUNCTION("""COMPUTED_VALUE"""),"Plataforma Playo 3.00 x 1.90 x 0.45 Lateral Simple Baranda Fija")</f>
        <v>Plataforma Playo 3.00 x 1.90 x 0.45 Lateral Simple Baranda Fija</v>
      </c>
      <c r="CT118" s="3" t="str">
        <f>IFERROR(__xludf.DUMMYFUNCTION("""COMPUTED_VALUE"""),"Plataforma Playo 3.00 x 1.90 x 0.45 Lateral Simple Baranda Ventilada")</f>
        <v>Plataforma Playo 3.00 x 1.90 x 0.45 Lateral Simple Baranda Ventilada</v>
      </c>
      <c r="CU118" s="3" t="str">
        <f>IFERROR(__xludf.DUMMYFUNCTION("""COMPUTED_VALUE"""),"Plataforma Playo 2.00 x 1.90 x 0.45 Lateral Simple Baranda Fija")</f>
        <v>Plataforma Playo 2.00 x 1.90 x 0.45 Lateral Simple Baranda Fija</v>
      </c>
      <c r="CV118" s="3" t="str">
        <f>IFERROR(__xludf.DUMMYFUNCTION("""COMPUTED_VALUE"""),"Plataforma Playo 5.00 x 1.90 x 0.60 Lateral Doble Baranda Fija")</f>
        <v>Plataforma Playo 5.00 x 1.90 x 0.60 Lateral Doble Baranda Fija</v>
      </c>
      <c r="CW118" s="3" t="str">
        <f>IFERROR(__xludf.DUMMYFUNCTION("""COMPUTED_VALUE"""),"Plataforma Playo 6.40 x 2.70 x 0.72 Lateral Doble Baranda Fija")</f>
        <v>Plataforma Playo 6.40 x 2.70 x 0.72 Lateral Doble Baranda Fija</v>
      </c>
      <c r="CX118" s="3" t="str">
        <f>IFERROR(__xludf.DUMMYFUNCTION("""COMPUTED_VALUE"""),"Chasis Acoplado Balancin L4000 Lanza Recta")</f>
        <v>Chasis Acoplado Balancin L4000 Lanza Recta</v>
      </c>
      <c r="CY118" s="3" t="str">
        <f>IFERROR(__xludf.DUMMYFUNCTION("""COMPUTED_VALUE"""),"Llanta simple Agrícola 750x20 centro 152")</f>
        <v>Llanta simple Agrícola 750x20 centro 152</v>
      </c>
      <c r="CZ118" s="3" t="str">
        <f>IFERROR(__xludf.DUMMYFUNCTION("""COMPUTED_VALUE"""),"Cajón de Herramientas Mediano adelante")</f>
        <v>Cajón de Herramientas Mediano adelante</v>
      </c>
      <c r="DA118" s="3" t="str">
        <f>IFERROR(__xludf.DUMMYFUNCTION("""COMPUTED_VALUE"""),"Llanta 15"" Simple Agrícola Centro 92")</f>
        <v>Llanta 15" Simple Agrícola Centro 92</v>
      </c>
    </row>
    <row r="119" hidden="1">
      <c r="A119" s="38">
        <f t="shared" si="1"/>
        <v>118</v>
      </c>
      <c r="B119" s="38">
        <f>IF(F119="","",SUMIF(Prearmados!E:E,F119,Prearmados!A:A))</f>
        <v>21</v>
      </c>
      <c r="C119" s="38">
        <f>IF(F119="","",SUMIF(Productos!E:E,G119,Productos!A:A))</f>
        <v>96</v>
      </c>
      <c r="D119" s="83" t="str">
        <f t="array" ref="D119">IF(OR(F119="",F119="Seleccionar.."),"",XLOOKUP(F119,Prearmados!E:E,Prearmados!F:F,"",0,1))</f>
        <v>Acoplados Rurales</v>
      </c>
      <c r="E119" s="83">
        <f>IF(H119="","",SUMIF(Precio_Productos!K:K,C119,Precio_Productos!J:J)*H119)</f>
        <v>405600</v>
      </c>
      <c r="F119" s="84" t="s">
        <v>344</v>
      </c>
      <c r="G119" s="84" t="s">
        <v>123</v>
      </c>
      <c r="H119" s="13">
        <v>4.0</v>
      </c>
      <c r="P119" s="3" t="str">
        <f>IFERROR(__xludf.DUMMYFUNCTION("IF(OR(F119="""",F119=""Seleccionar..""),"""",TRANSPOSE(FILTER(Productos!E:E,(Productos!F:F=D119)+(Productos!F:F=XLOOKUP(D119,Implementos!B:B,Implementos!C:C,""-"",0,1)))))"),"Tanque Combustible 1100 lts Bajo")</f>
        <v>Tanque Combustible 1100 lts Bajo</v>
      </c>
      <c r="Q119" s="3" t="str">
        <f>IFERROR(__xludf.DUMMYFUNCTION("""COMPUTED_VALUE"""),"Tanque Combustible 1500 lts Standard")</f>
        <v>Tanque Combustible 1500 lts Standard</v>
      </c>
      <c r="R119" s="3" t="str">
        <f>IFERROR(__xludf.DUMMYFUNCTION("""COMPUTED_VALUE"""),"Tanque Combustible 1800 lts Standard")</f>
        <v>Tanque Combustible 1800 lts Standard</v>
      </c>
      <c r="S119" s="3" t="str">
        <f>IFERROR(__xludf.DUMMYFUNCTION("""COMPUTED_VALUE"""),"Tanque Combustible 2000 lts Bajo")</f>
        <v>Tanque Combustible 2000 lts Bajo</v>
      </c>
      <c r="T119" s="3" t="str">
        <f>IFERROR(__xludf.DUMMYFUNCTION("""COMPUTED_VALUE"""),"Tanque Combustible 2000 lts Standard")</f>
        <v>Tanque Combustible 2000 lts Standard</v>
      </c>
      <c r="U119" s="3" t="str">
        <f>IFERROR(__xludf.DUMMYFUNCTION("""COMPUTED_VALUE"""),"Tanque Combustible 3000 lts Standard")</f>
        <v>Tanque Combustible 3000 lts Standard</v>
      </c>
      <c r="V119" s="3" t="str">
        <f>IFERROR(__xludf.DUMMYFUNCTION("""COMPUTED_VALUE"""),"Tanque Combustible 3000 lts Alto")</f>
        <v>Tanque Combustible 3000 lts Alto</v>
      </c>
      <c r="W119" s="3" t="str">
        <f>IFERROR(__xludf.DUMMYFUNCTION("""COMPUTED_VALUE"""),"Tanque Combustible 4000 lts Standard")</f>
        <v>Tanque Combustible 4000 lts Standard</v>
      </c>
      <c r="X119" s="3" t="str">
        <f>IFERROR(__xludf.DUMMYFUNCTION("""COMPUTED_VALUE"""),"Tanque Combustible 5000 lts Standard")</f>
        <v>Tanque Combustible 5000 lts Standard</v>
      </c>
      <c r="Y119" s="3" t="str">
        <f>IFERROR(__xludf.DUMMYFUNCTION("""COMPUTED_VALUE"""),"Tanque Combustible 5000 lts Alto")</f>
        <v>Tanque Combustible 5000 lts Alto</v>
      </c>
      <c r="Z119" s="3" t="str">
        <f>IFERROR(__xludf.DUMMYFUNCTION("""COMPUTED_VALUE"""),"Tanque Combustible 2000 lts Alto")</f>
        <v>Tanque Combustible 2000 lts Alto</v>
      </c>
      <c r="AA119" s="3" t="str">
        <f>IFERROR(__xludf.DUMMYFUNCTION("""COMPUTED_VALUE"""),"Tanque Combustible 4000 lts Alto")</f>
        <v>Tanque Combustible 4000 lts Alto</v>
      </c>
      <c r="AB119" s="3" t="str">
        <f>IFERROR(__xludf.DUMMYFUNCTION("""COMPUTED_VALUE"""),"Baulera Standard - 750")</f>
        <v>Baulera Standard - 750</v>
      </c>
      <c r="AC119" s="3" t="str">
        <f>IFERROR(__xludf.DUMMYFUNCTION("""COMPUTED_VALUE"""),"Baulera Standard - 1700 - C/Laterales")</f>
        <v>Baulera Standard - 1700 - C/Laterales</v>
      </c>
      <c r="AD119" s="3" t="str">
        <f>IFERROR(__xludf.DUMMYFUNCTION("""COMPUTED_VALUE"""),"Baulera Standard - 1000 - C/Laterales")</f>
        <v>Baulera Standard - 1000 - C/Laterales</v>
      </c>
      <c r="AE119" s="3" t="str">
        <f>IFERROR(__xludf.DUMMYFUNCTION("""COMPUTED_VALUE"""),"Baulera Standard - 750 - C/Laterales")</f>
        <v>Baulera Standard - 750 - C/Laterales</v>
      </c>
      <c r="AF119" s="3" t="str">
        <f>IFERROR(__xludf.DUMMYFUNCTION("""COMPUTED_VALUE"""),"Baulera Standard - 1300 - C/Laterales")</f>
        <v>Baulera Standard - 1300 - C/Laterales</v>
      </c>
      <c r="AG119" s="3" t="str">
        <f>IFERROR(__xludf.DUMMYFUNCTION("""COMPUTED_VALUE"""),"Baulera Alta - 750")</f>
        <v>Baulera Alta - 750</v>
      </c>
      <c r="AH119" s="3" t="str">
        <f>IFERROR(__xludf.DUMMYFUNCTION("""COMPUTED_VALUE"""),"Baulera Alta - 1500 - C/Laterales")</f>
        <v>Baulera Alta - 1500 - C/Laterales</v>
      </c>
      <c r="AI119" s="3" t="str">
        <f>IFERROR(__xludf.DUMMYFUNCTION("""COMPUTED_VALUE"""),"Baulera Extendida 1700 - C/Laterales")</f>
        <v>Baulera Extendida 1700 - C/Laterales</v>
      </c>
      <c r="AJ119" s="3" t="str">
        <f>IFERROR(__xludf.DUMMYFUNCTION("""COMPUTED_VALUE"""),"Taller Móvil - 1500 x 1500 x 1700")</f>
        <v>Taller Móvil - 1500 x 1500 x 1700</v>
      </c>
      <c r="AK119" s="3" t="str">
        <f>IFERROR(__xludf.DUMMYFUNCTION("""COMPUTED_VALUE"""),"Cajón Herramientas Standard Derecho")</f>
        <v>Cajón Herramientas Standard Derecho</v>
      </c>
      <c r="AL119" s="3" t="str">
        <f>IFERROR(__xludf.DUMMYFUNCTION("""COMPUTED_VALUE"""),"Cajón Herramientas Standard Izquierdo")</f>
        <v>Cajón Herramientas Standard Izquierdo</v>
      </c>
      <c r="AM119" s="3" t="str">
        <f>IFERROR(__xludf.DUMMYFUNCTION("""COMPUTED_VALUE"""),"Cajón Herramientas Corto Derecho")</f>
        <v>Cajón Herramientas Corto Derecho</v>
      </c>
      <c r="AN119" s="3" t="str">
        <f>IFERROR(__xludf.DUMMYFUNCTION("""COMPUTED_VALUE"""),"Cajón Herramientas Corto Izquierdo")</f>
        <v>Cajón Herramientas Corto Izquierdo</v>
      </c>
      <c r="AO119" s="3" t="str">
        <f>IFERROR(__xludf.DUMMYFUNCTION("""COMPUTED_VALUE"""),"Cajón Herramientas Mediano Derecho")</f>
        <v>Cajón Herramientas Mediano Derecho</v>
      </c>
      <c r="AP119" s="3" t="str">
        <f>IFERROR(__xludf.DUMMYFUNCTION("""COMPUTED_VALUE"""),"Cajón Herramientas Mediano Izquierdo")</f>
        <v>Cajón Herramientas Mediano Izquierdo</v>
      </c>
      <c r="AQ119" s="3" t="str">
        <f>IFERROR(__xludf.DUMMYFUNCTION("""COMPUTED_VALUE"""),"Chasis Acoplado 2 Ejes L3000")</f>
        <v>Chasis Acoplado 2 Ejes L3000</v>
      </c>
      <c r="AR119" s="3" t="str">
        <f>IFERROR(__xludf.DUMMYFUNCTION("""COMPUTED_VALUE"""),"Chasis Acoplado 2 Ejes L3750")</f>
        <v>Chasis Acoplado 2 Ejes L3750</v>
      </c>
      <c r="AS119" s="3" t="str">
        <f>IFERROR(__xludf.DUMMYFUNCTION("""COMPUTED_VALUE"""),"Chasis Acoplado 2 Ejes L4000")</f>
        <v>Chasis Acoplado 2 Ejes L4000</v>
      </c>
      <c r="AT119" s="3" t="str">
        <f>IFERROR(__xludf.DUMMYFUNCTION("""COMPUTED_VALUE"""),"Chasis Acoplado 2 Ejes L4000 Reforzado")</f>
        <v>Chasis Acoplado 2 Ejes L4000 Reforzado</v>
      </c>
      <c r="AU119" s="3" t="str">
        <f>IFERROR(__xludf.DUMMYFUNCTION("""COMPUTED_VALUE"""),"Chasis Acoplado 2 Ejes L4750")</f>
        <v>Chasis Acoplado 2 Ejes L4750</v>
      </c>
      <c r="AV119" s="3" t="str">
        <f>IFERROR(__xludf.DUMMYFUNCTION("""COMPUTED_VALUE"""),"Chasis Acoplado 2 Ejes L4750 Reforzado")</f>
        <v>Chasis Acoplado 2 Ejes L4750 Reforzado</v>
      </c>
      <c r="AW119" s="3" t="str">
        <f>IFERROR(__xludf.DUMMYFUNCTION("""COMPUTED_VALUE"""),"Chasis Acoplado 2 Ejes L4750 Reforzado R. Camion")</f>
        <v>Chasis Acoplado 2 Ejes L4750 Reforzado R. Camion</v>
      </c>
      <c r="AX119" s="3" t="str">
        <f>IFERROR(__xludf.DUMMYFUNCTION("""COMPUTED_VALUE"""),"Chasis Acoplado 2 Ejes L5000")</f>
        <v>Chasis Acoplado 2 Ejes L5000</v>
      </c>
      <c r="AY119" s="3" t="str">
        <f>IFERROR(__xludf.DUMMYFUNCTION("""COMPUTED_VALUE"""),"Chasis Acoplado 2 Ejes L5750")</f>
        <v>Chasis Acoplado 2 Ejes L5750</v>
      </c>
      <c r="AZ119" s="3" t="str">
        <f>IFERROR(__xludf.DUMMYFUNCTION("""COMPUTED_VALUE"""),"Chasis Acoplado 2 Ejes L6400")</f>
        <v>Chasis Acoplado 2 Ejes L6400</v>
      </c>
      <c r="BA119" s="3" t="str">
        <f>IFERROR(__xludf.DUMMYFUNCTION("""COMPUTED_VALUE"""),"Chasis Acoplado 2 Ejes L4500")</f>
        <v>Chasis Acoplado 2 Ejes L4500</v>
      </c>
      <c r="BB119" s="3" t="str">
        <f>IFERROR(__xludf.DUMMYFUNCTION("""COMPUTED_VALUE"""),"Chasis Acoplado 1 Eje L1500")</f>
        <v>Chasis Acoplado 1 Eje L1500</v>
      </c>
      <c r="BC119" s="3" t="str">
        <f>IFERROR(__xludf.DUMMYFUNCTION("""COMPUTED_VALUE"""),"Chasis Acoplado 1 Eje L1800")</f>
        <v>Chasis Acoplado 1 Eje L1800</v>
      </c>
      <c r="BD119" s="3" t="str">
        <f>IFERROR(__xludf.DUMMYFUNCTION("""COMPUTED_VALUE"""),"Chasis Acoplado 1 Eje L1400")</f>
        <v>Chasis Acoplado 1 Eje L1400</v>
      </c>
      <c r="BE119" s="3" t="str">
        <f>IFERROR(__xludf.DUMMYFUNCTION("""COMPUTED_VALUE"""),"Chasis Acoplado Balancin L3000")</f>
        <v>Chasis Acoplado Balancin L3000</v>
      </c>
      <c r="BF119" s="3" t="str">
        <f>IFERROR(__xludf.DUMMYFUNCTION("""COMPUTED_VALUE"""),"Chasis Acoplado Balancin L3000 Lanza Corta")</f>
        <v>Chasis Acoplado Balancin L3000 Lanza Corta</v>
      </c>
      <c r="BG119" s="3" t="str">
        <f>IFERROR(__xludf.DUMMYFUNCTION("""COMPUTED_VALUE"""),"Chasis Acoplado Balancin L2000 Lanza Corta")</f>
        <v>Chasis Acoplado Balancin L2000 Lanza Corta</v>
      </c>
      <c r="BH119" s="3" t="str">
        <f>IFERROR(__xludf.DUMMYFUNCTION("""COMPUTED_VALUE"""),"Chasis Acoplado Balancin L3200 Lanza Corta")</f>
        <v>Chasis Acoplado Balancin L3200 Lanza Corta</v>
      </c>
      <c r="BI119" s="3" t="str">
        <f>IFERROR(__xludf.DUMMYFUNCTION("""COMPUTED_VALUE"""),"Chasis Acoplado Balancin L3200 Lanza Recta")</f>
        <v>Chasis Acoplado Balancin L3200 Lanza Recta</v>
      </c>
      <c r="BJ119" s="3" t="str">
        <f>IFERROR(__xludf.DUMMYFUNCTION("""COMPUTED_VALUE"""),"Chasis Acoplado Balancin L3200 Bajo Lanza Recta")</f>
        <v>Chasis Acoplado Balancin L3200 Bajo Lanza Recta</v>
      </c>
      <c r="BK119" s="3" t="str">
        <f>IFERROR(__xludf.DUMMYFUNCTION("""COMPUTED_VALUE"""),"Tanque Plastico Horizontal 750 Lts")</f>
        <v>Tanque Plastico Horizontal 750 Lts</v>
      </c>
      <c r="BL119" s="3" t="str">
        <f>IFERROR(__xludf.DUMMYFUNCTION("""COMPUTED_VALUE"""),"Medio Tanque Plastico Superior 700 Lts")</f>
        <v>Medio Tanque Plastico Superior 700 Lts</v>
      </c>
      <c r="BM119" s="3" t="str">
        <f>IFERROR(__xludf.DUMMYFUNCTION("""COMPUTED_VALUE"""),"Paquete de Elasticos 50 mm x 8 mm x 10 Hojas L850")</f>
        <v>Paquete de Elasticos 50 mm x 8 mm x 10 Hojas L850</v>
      </c>
      <c r="BN119" s="3" t="str">
        <f>IFERROR(__xludf.DUMMYFUNCTION("""COMPUTED_VALUE"""),"Paquete de Elasticos 63 mm x 8 mm x 10 Hojas L950")</f>
        <v>Paquete de Elasticos 63 mm x 8 mm x 10 Hojas L950</v>
      </c>
      <c r="BO119" s="3" t="str">
        <f>IFERROR(__xludf.DUMMYFUNCTION("""COMPUTED_VALUE"""),"Paquete de Elasticos 50 mm x 7 mm x 9 Hojas L850")</f>
        <v>Paquete de Elasticos 50 mm x 7 mm x 9 Hojas L850</v>
      </c>
      <c r="BP119" s="3" t="str">
        <f>IFERROR(__xludf.DUMMYFUNCTION("""COMPUTED_VALUE"""),"Paquete de Elasticos 63 mm x 8 mm x 8 Hojas L850")</f>
        <v>Paquete de Elasticos 63 mm x 8 mm x 8 Hojas L850</v>
      </c>
      <c r="BQ119" s="3" t="str">
        <f>IFERROR(__xludf.DUMMYFUNCTION("""COMPUTED_VALUE"""),"Paquete de Elasticos 63 mm x 10 mm x 10 Hojas L950")</f>
        <v>Paquete de Elasticos 63 mm x 10 mm x 10 Hojas L950</v>
      </c>
      <c r="BR119" s="3" t="str">
        <f>IFERROR(__xludf.DUMMYFUNCTION("""COMPUTED_VALUE"""),"Paquete de Elasticos 63 mm x 10 mm x 13 Hojas L975")</f>
        <v>Paquete de Elasticos 63 mm x 10 mm x 13 Hojas L975</v>
      </c>
      <c r="BS119" s="3" t="str">
        <f>IFERROR(__xludf.DUMMYFUNCTION("""COMPUTED_VALUE"""),"Paquete de Elasticos 50 mm x 7 mm x 9 Hojas L650")</f>
        <v>Paquete de Elasticos 50 mm x 7 mm x 9 Hojas L650</v>
      </c>
      <c r="BT119" s="3" t="str">
        <f>IFERROR(__xludf.DUMMYFUNCTION("""COMPUTED_VALUE"""),"Eje Acoplado 2"" x 1600 (06/08) Agrícola Centro 92")</f>
        <v>Eje Acoplado 2" x 1600 (06/08) Agrícola Centro 92</v>
      </c>
      <c r="BU119" s="3" t="str">
        <f>IFERROR(__xludf.DUMMYFUNCTION("""COMPUTED_VALUE"""),"Eje Acoplado 2 1/2"" x 1600 (07/09) Agrícola Centro 92")</f>
        <v>Eje Acoplado 2 1/2" x 1600 (07/09) Agrícola Centro 92</v>
      </c>
      <c r="BV119" s="3" t="str">
        <f>IFERROR(__xludf.DUMMYFUNCTION("""COMPUTED_VALUE"""),"Eje Acoplado 2 1/2"" x 1600 (09/11) Agrícola Centro 150")</f>
        <v>Eje Acoplado 2 1/2" x 1600 (09/11) Agrícola Centro 150</v>
      </c>
      <c r="BW119" s="3" t="str">
        <f>IFERROR(__xludf.DUMMYFUNCTION("""COMPUTED_VALUE"""),"Eje Acoplado 3"" x 1600 (10/13) Agrícola Centro 150")</f>
        <v>Eje Acoplado 3" x 1600 (10/13) Agrícola Centro 150</v>
      </c>
      <c r="BX119" s="3" t="str">
        <f>IFERROR(__xludf.DUMMYFUNCTION("""COMPUTED_VALUE"""),"Eje Acoplado 2 1/2"" x 2140 (07/09) Agrícola Centro 92")</f>
        <v>Eje Acoplado 2 1/2" x 2140 (07/09) Agrícola Centro 92</v>
      </c>
      <c r="BY119" s="3" t="str">
        <f>IFERROR(__xludf.DUMMYFUNCTION("""COMPUTED_VALUE"""),"Eje Acoplado 2"" x 1400 (06/08) Agrícola Centro 92")</f>
        <v>Eje Acoplado 2" x 1400 (06/08) Agrícola Centro 92</v>
      </c>
      <c r="BZ119" s="3" t="str">
        <f>IFERROR(__xludf.DUMMYFUNCTION("""COMPUTED_VALUE"""),"Eje Acoplado 2 1/2"" x 1500 (07/09) Agrícola Centro 92")</f>
        <v>Eje Acoplado 2 1/2" x 1500 (07/09) Agrícola Centro 92</v>
      </c>
      <c r="CA119" s="3" t="str">
        <f>IFERROR(__xludf.DUMMYFUNCTION("""COMPUTED_VALUE"""),"Eje Acoplado 2 1/2"" x 2000 (07/09) Agrícola Centro 92")</f>
        <v>Eje Acoplado 2 1/2" x 2000 (07/09) Agrícola Centro 92</v>
      </c>
      <c r="CB119" s="3" t="str">
        <f>IFERROR(__xludf.DUMMYFUNCTION("""COMPUTED_VALUE"""),"Eje Acoplado 2 1/2"" x 2100 (09/11) Agrícola Centro 150")</f>
        <v>Eje Acoplado 2 1/2" x 2100 (09/11) Agrícola Centro 150</v>
      </c>
      <c r="CC119" s="3" t="str">
        <f>IFERROR(__xludf.DUMMYFUNCTION("""COMPUTED_VALUE"""),"Llanta 16"" Simple Agrícola Centro 92")</f>
        <v>Llanta 16" Simple Agrícola Centro 92</v>
      </c>
      <c r="CD119" s="3" t="str">
        <f>IFERROR(__xludf.DUMMYFUNCTION("""COMPUTED_VALUE"""),"Llanta 16"" Dual Agrícola Centro 92")</f>
        <v>Llanta 16" Dual Agrícola Centro 92</v>
      </c>
      <c r="CE119" s="3" t="str">
        <f>IFERROR(__xludf.DUMMYFUNCTION("""COMPUTED_VALUE"""),"Llanta 17"" Simple Agrícola Centro 92")</f>
        <v>Llanta 17" Simple Agrícola Centro 92</v>
      </c>
      <c r="CF119" s="3" t="str">
        <f>IFERROR(__xludf.DUMMYFUNCTION("""COMPUTED_VALUE"""),"Llanta 17"" Dual Agrícola Centro 92")</f>
        <v>Llanta 17" Dual Agrícola Centro 92</v>
      </c>
      <c r="CG119" s="3" t="str">
        <f>IFERROR(__xludf.DUMMYFUNCTION("""COMPUTED_VALUE"""),"Llanta 16"" Dual Agrícola Centro 152")</f>
        <v>Llanta 16" Dual Agrícola Centro 152</v>
      </c>
      <c r="CH119" s="3" t="str">
        <f>IFERROR(__xludf.DUMMYFUNCTION("""COMPUTED_VALUE"""),"Llanta 17"" Dual Agrícola Centro 152")</f>
        <v>Llanta 17" Dual Agrícola Centro 152</v>
      </c>
      <c r="CI119" s="3" t="str">
        <f>IFERROR(__xludf.DUMMYFUNCTION("""COMPUTED_VALUE"""),"Eje Acoplado 2"" x 1600 (05/07) Agrícola Centro 92")</f>
        <v>Eje Acoplado 2" x 1600 (05/07) Agrícola Centro 92</v>
      </c>
      <c r="CJ119" s="3" t="str">
        <f>IFERROR(__xludf.DUMMYFUNCTION("""COMPUTED_VALUE"""),"Paquete de Elásticos 50 mm x 8 mm x 12 Hojas")</f>
        <v>Paquete de Elásticos 50 mm x 8 mm x 12 Hojas</v>
      </c>
      <c r="CK119" s="3" t="str">
        <f>IFERROR(__xludf.DUMMYFUNCTION("""COMPUTED_VALUE"""),"Plataforma Playo 4.00 x 1.90 x 0.45 Lateral Simple Baranda Fija")</f>
        <v>Plataforma Playo 4.00 x 1.90 x 0.45 Lateral Simple Baranda Fija</v>
      </c>
      <c r="CL119" s="3" t="str">
        <f>IFERROR(__xludf.DUMMYFUNCTION("""COMPUTED_VALUE"""),"Plataforma Playo 4.00 x 1.90 x 0.45 Lateral Simple Baranda Ventilada")</f>
        <v>Plataforma Playo 4.00 x 1.90 x 0.45 Lateral Simple Baranda Ventilada</v>
      </c>
      <c r="CM119" s="3" t="str">
        <f>IFERROR(__xludf.DUMMYFUNCTION("""COMPUTED_VALUE"""),"Plataforma Playo 4.00 x 1.90 x 0.45 Lateral Doble Baranda Ventilada")</f>
        <v>Plataforma Playo 4.00 x 1.90 x 0.45 Lateral Doble Baranda Ventilada</v>
      </c>
      <c r="CN119" s="3" t="str">
        <f>IFERROR(__xludf.DUMMYFUNCTION("""COMPUTED_VALUE"""),"Plataforma Playo 4.00 x 1.90 x 0.45 Lateral Doble Baranda Fija")</f>
        <v>Plataforma Playo 4.00 x 1.90 x 0.45 Lateral Doble Baranda Fija</v>
      </c>
      <c r="CO119" s="3" t="str">
        <f>IFERROR(__xludf.DUMMYFUNCTION("""COMPUTED_VALUE"""),"Plataforma Playo 4.00 x 1.90 x 0.72 Lateral Simple Baranda Fija")</f>
        <v>Plataforma Playo 4.00 x 1.90 x 0.72 Lateral Simple Baranda Fija</v>
      </c>
      <c r="CP119" s="3" t="str">
        <f>IFERROR(__xludf.DUMMYFUNCTION("""COMPUTED_VALUE"""),"Plataforma Playo 4.00 x 1.90 x 0.72 Lateral Doble Baranda Fija")</f>
        <v>Plataforma Playo 4.00 x 1.90 x 0.72 Lateral Doble Baranda Fija</v>
      </c>
      <c r="CQ119" s="3" t="str">
        <f>IFERROR(__xludf.DUMMYFUNCTION("""COMPUTED_VALUE"""),"Plataforma Playo 5.00 x 2.20 x 0.60 Lateral Doble Trasera Rebatible")</f>
        <v>Plataforma Playo 5.00 x 2.20 x 0.60 Lateral Doble Trasera Rebatible</v>
      </c>
      <c r="CR119" s="3" t="str">
        <f>IFERROR(__xludf.DUMMYFUNCTION("""COMPUTED_VALUE"""),"Plataforma Playo 5.00 x 2.20 x 0.60 Lateral Doble Baranda Fija C/Toldo")</f>
        <v>Plataforma Playo 5.00 x 2.20 x 0.60 Lateral Doble Baranda Fija C/Toldo</v>
      </c>
      <c r="CS119" s="3" t="str">
        <f>IFERROR(__xludf.DUMMYFUNCTION("""COMPUTED_VALUE"""),"Plataforma Playo 3.00 x 1.90 x 0.45 Lateral Simple Baranda Fija")</f>
        <v>Plataforma Playo 3.00 x 1.90 x 0.45 Lateral Simple Baranda Fija</v>
      </c>
      <c r="CT119" s="3" t="str">
        <f>IFERROR(__xludf.DUMMYFUNCTION("""COMPUTED_VALUE"""),"Plataforma Playo 3.00 x 1.90 x 0.45 Lateral Simple Baranda Ventilada")</f>
        <v>Plataforma Playo 3.00 x 1.90 x 0.45 Lateral Simple Baranda Ventilada</v>
      </c>
      <c r="CU119" s="3" t="str">
        <f>IFERROR(__xludf.DUMMYFUNCTION("""COMPUTED_VALUE"""),"Plataforma Playo 2.00 x 1.90 x 0.45 Lateral Simple Baranda Fija")</f>
        <v>Plataforma Playo 2.00 x 1.90 x 0.45 Lateral Simple Baranda Fija</v>
      </c>
      <c r="CV119" s="3" t="str">
        <f>IFERROR(__xludf.DUMMYFUNCTION("""COMPUTED_VALUE"""),"Plataforma Playo 5.00 x 1.90 x 0.60 Lateral Doble Baranda Fija")</f>
        <v>Plataforma Playo 5.00 x 1.90 x 0.60 Lateral Doble Baranda Fija</v>
      </c>
      <c r="CW119" s="3" t="str">
        <f>IFERROR(__xludf.DUMMYFUNCTION("""COMPUTED_VALUE"""),"Plataforma Playo 6.40 x 2.70 x 0.72 Lateral Doble Baranda Fija")</f>
        <v>Plataforma Playo 6.40 x 2.70 x 0.72 Lateral Doble Baranda Fija</v>
      </c>
      <c r="CX119" s="3" t="str">
        <f>IFERROR(__xludf.DUMMYFUNCTION("""COMPUTED_VALUE"""),"Chasis Acoplado Balancin L4000 Lanza Recta")</f>
        <v>Chasis Acoplado Balancin L4000 Lanza Recta</v>
      </c>
      <c r="CY119" s="3" t="str">
        <f>IFERROR(__xludf.DUMMYFUNCTION("""COMPUTED_VALUE"""),"Llanta simple Agrícola 750x20 centro 152")</f>
        <v>Llanta simple Agrícola 750x20 centro 152</v>
      </c>
      <c r="CZ119" s="3" t="str">
        <f>IFERROR(__xludf.DUMMYFUNCTION("""COMPUTED_VALUE"""),"Cajón de Herramientas Mediano adelante")</f>
        <v>Cajón de Herramientas Mediano adelante</v>
      </c>
      <c r="DA119" s="3" t="str">
        <f>IFERROR(__xludf.DUMMYFUNCTION("""COMPUTED_VALUE"""),"Llanta 15"" Simple Agrícola Centro 92")</f>
        <v>Llanta 15" Simple Agrícola Centro 92</v>
      </c>
    </row>
    <row r="120" hidden="1">
      <c r="A120" s="38">
        <f t="shared" si="1"/>
        <v>119</v>
      </c>
      <c r="B120" s="38">
        <f>IF(F120="","",SUMIF(Prearmados!E:E,F120,Prearmados!A:A))</f>
        <v>21</v>
      </c>
      <c r="C120" s="38">
        <f>IF(F120="","",SUMIF(Productos!E:E,G120,Productos!A:A))</f>
        <v>110</v>
      </c>
      <c r="D120" s="83" t="str">
        <f t="array" ref="D120">IF(OR(F120="",F120="Seleccionar.."),"",XLOOKUP(F120,Prearmados!E:E,Prearmados!F:F,"",0,1))</f>
        <v>Acoplados Rurales</v>
      </c>
      <c r="E120" s="83">
        <f>IF(H120="","",SUMIF(Precio_Productos!K:K,C120,Precio_Productos!J:J)*H120)</f>
        <v>476800</v>
      </c>
      <c r="F120" s="84" t="s">
        <v>344</v>
      </c>
      <c r="G120" s="84" t="s">
        <v>129</v>
      </c>
      <c r="H120" s="13">
        <v>4.0</v>
      </c>
      <c r="P120" s="3" t="str">
        <f>IFERROR(__xludf.DUMMYFUNCTION("IF(OR(F120="""",F120=""Seleccionar..""),"""",TRANSPOSE(FILTER(Productos!E:E,(Productos!F:F=D120)+(Productos!F:F=XLOOKUP(D120,Implementos!B:B,Implementos!C:C,""-"",0,1)))))"),"Tanque Combustible 1100 lts Bajo")</f>
        <v>Tanque Combustible 1100 lts Bajo</v>
      </c>
      <c r="Q120" s="3" t="str">
        <f>IFERROR(__xludf.DUMMYFUNCTION("""COMPUTED_VALUE"""),"Tanque Combustible 1500 lts Standard")</f>
        <v>Tanque Combustible 1500 lts Standard</v>
      </c>
      <c r="R120" s="3" t="str">
        <f>IFERROR(__xludf.DUMMYFUNCTION("""COMPUTED_VALUE"""),"Tanque Combustible 1800 lts Standard")</f>
        <v>Tanque Combustible 1800 lts Standard</v>
      </c>
      <c r="S120" s="3" t="str">
        <f>IFERROR(__xludf.DUMMYFUNCTION("""COMPUTED_VALUE"""),"Tanque Combustible 2000 lts Bajo")</f>
        <v>Tanque Combustible 2000 lts Bajo</v>
      </c>
      <c r="T120" s="3" t="str">
        <f>IFERROR(__xludf.DUMMYFUNCTION("""COMPUTED_VALUE"""),"Tanque Combustible 2000 lts Standard")</f>
        <v>Tanque Combustible 2000 lts Standard</v>
      </c>
      <c r="U120" s="3" t="str">
        <f>IFERROR(__xludf.DUMMYFUNCTION("""COMPUTED_VALUE"""),"Tanque Combustible 3000 lts Standard")</f>
        <v>Tanque Combustible 3000 lts Standard</v>
      </c>
      <c r="V120" s="3" t="str">
        <f>IFERROR(__xludf.DUMMYFUNCTION("""COMPUTED_VALUE"""),"Tanque Combustible 3000 lts Alto")</f>
        <v>Tanque Combustible 3000 lts Alto</v>
      </c>
      <c r="W120" s="3" t="str">
        <f>IFERROR(__xludf.DUMMYFUNCTION("""COMPUTED_VALUE"""),"Tanque Combustible 4000 lts Standard")</f>
        <v>Tanque Combustible 4000 lts Standard</v>
      </c>
      <c r="X120" s="3" t="str">
        <f>IFERROR(__xludf.DUMMYFUNCTION("""COMPUTED_VALUE"""),"Tanque Combustible 5000 lts Standard")</f>
        <v>Tanque Combustible 5000 lts Standard</v>
      </c>
      <c r="Y120" s="3" t="str">
        <f>IFERROR(__xludf.DUMMYFUNCTION("""COMPUTED_VALUE"""),"Tanque Combustible 5000 lts Alto")</f>
        <v>Tanque Combustible 5000 lts Alto</v>
      </c>
      <c r="Z120" s="3" t="str">
        <f>IFERROR(__xludf.DUMMYFUNCTION("""COMPUTED_VALUE"""),"Tanque Combustible 2000 lts Alto")</f>
        <v>Tanque Combustible 2000 lts Alto</v>
      </c>
      <c r="AA120" s="3" t="str">
        <f>IFERROR(__xludf.DUMMYFUNCTION("""COMPUTED_VALUE"""),"Tanque Combustible 4000 lts Alto")</f>
        <v>Tanque Combustible 4000 lts Alto</v>
      </c>
      <c r="AB120" s="3" t="str">
        <f>IFERROR(__xludf.DUMMYFUNCTION("""COMPUTED_VALUE"""),"Baulera Standard - 750")</f>
        <v>Baulera Standard - 750</v>
      </c>
      <c r="AC120" s="3" t="str">
        <f>IFERROR(__xludf.DUMMYFUNCTION("""COMPUTED_VALUE"""),"Baulera Standard - 1700 - C/Laterales")</f>
        <v>Baulera Standard - 1700 - C/Laterales</v>
      </c>
      <c r="AD120" s="3" t="str">
        <f>IFERROR(__xludf.DUMMYFUNCTION("""COMPUTED_VALUE"""),"Baulera Standard - 1000 - C/Laterales")</f>
        <v>Baulera Standard - 1000 - C/Laterales</v>
      </c>
      <c r="AE120" s="3" t="str">
        <f>IFERROR(__xludf.DUMMYFUNCTION("""COMPUTED_VALUE"""),"Baulera Standard - 750 - C/Laterales")</f>
        <v>Baulera Standard - 750 - C/Laterales</v>
      </c>
      <c r="AF120" s="3" t="str">
        <f>IFERROR(__xludf.DUMMYFUNCTION("""COMPUTED_VALUE"""),"Baulera Standard - 1300 - C/Laterales")</f>
        <v>Baulera Standard - 1300 - C/Laterales</v>
      </c>
      <c r="AG120" s="3" t="str">
        <f>IFERROR(__xludf.DUMMYFUNCTION("""COMPUTED_VALUE"""),"Baulera Alta - 750")</f>
        <v>Baulera Alta - 750</v>
      </c>
      <c r="AH120" s="3" t="str">
        <f>IFERROR(__xludf.DUMMYFUNCTION("""COMPUTED_VALUE"""),"Baulera Alta - 1500 - C/Laterales")</f>
        <v>Baulera Alta - 1500 - C/Laterales</v>
      </c>
      <c r="AI120" s="3" t="str">
        <f>IFERROR(__xludf.DUMMYFUNCTION("""COMPUTED_VALUE"""),"Baulera Extendida 1700 - C/Laterales")</f>
        <v>Baulera Extendida 1700 - C/Laterales</v>
      </c>
      <c r="AJ120" s="3" t="str">
        <f>IFERROR(__xludf.DUMMYFUNCTION("""COMPUTED_VALUE"""),"Taller Móvil - 1500 x 1500 x 1700")</f>
        <v>Taller Móvil - 1500 x 1500 x 1700</v>
      </c>
      <c r="AK120" s="3" t="str">
        <f>IFERROR(__xludf.DUMMYFUNCTION("""COMPUTED_VALUE"""),"Cajón Herramientas Standard Derecho")</f>
        <v>Cajón Herramientas Standard Derecho</v>
      </c>
      <c r="AL120" s="3" t="str">
        <f>IFERROR(__xludf.DUMMYFUNCTION("""COMPUTED_VALUE"""),"Cajón Herramientas Standard Izquierdo")</f>
        <v>Cajón Herramientas Standard Izquierdo</v>
      </c>
      <c r="AM120" s="3" t="str">
        <f>IFERROR(__xludf.DUMMYFUNCTION("""COMPUTED_VALUE"""),"Cajón Herramientas Corto Derecho")</f>
        <v>Cajón Herramientas Corto Derecho</v>
      </c>
      <c r="AN120" s="3" t="str">
        <f>IFERROR(__xludf.DUMMYFUNCTION("""COMPUTED_VALUE"""),"Cajón Herramientas Corto Izquierdo")</f>
        <v>Cajón Herramientas Corto Izquierdo</v>
      </c>
      <c r="AO120" s="3" t="str">
        <f>IFERROR(__xludf.DUMMYFUNCTION("""COMPUTED_VALUE"""),"Cajón Herramientas Mediano Derecho")</f>
        <v>Cajón Herramientas Mediano Derecho</v>
      </c>
      <c r="AP120" s="3" t="str">
        <f>IFERROR(__xludf.DUMMYFUNCTION("""COMPUTED_VALUE"""),"Cajón Herramientas Mediano Izquierdo")</f>
        <v>Cajón Herramientas Mediano Izquierdo</v>
      </c>
      <c r="AQ120" s="3" t="str">
        <f>IFERROR(__xludf.DUMMYFUNCTION("""COMPUTED_VALUE"""),"Chasis Acoplado 2 Ejes L3000")</f>
        <v>Chasis Acoplado 2 Ejes L3000</v>
      </c>
      <c r="AR120" s="3" t="str">
        <f>IFERROR(__xludf.DUMMYFUNCTION("""COMPUTED_VALUE"""),"Chasis Acoplado 2 Ejes L3750")</f>
        <v>Chasis Acoplado 2 Ejes L3750</v>
      </c>
      <c r="AS120" s="3" t="str">
        <f>IFERROR(__xludf.DUMMYFUNCTION("""COMPUTED_VALUE"""),"Chasis Acoplado 2 Ejes L4000")</f>
        <v>Chasis Acoplado 2 Ejes L4000</v>
      </c>
      <c r="AT120" s="3" t="str">
        <f>IFERROR(__xludf.DUMMYFUNCTION("""COMPUTED_VALUE"""),"Chasis Acoplado 2 Ejes L4000 Reforzado")</f>
        <v>Chasis Acoplado 2 Ejes L4000 Reforzado</v>
      </c>
      <c r="AU120" s="3" t="str">
        <f>IFERROR(__xludf.DUMMYFUNCTION("""COMPUTED_VALUE"""),"Chasis Acoplado 2 Ejes L4750")</f>
        <v>Chasis Acoplado 2 Ejes L4750</v>
      </c>
      <c r="AV120" s="3" t="str">
        <f>IFERROR(__xludf.DUMMYFUNCTION("""COMPUTED_VALUE"""),"Chasis Acoplado 2 Ejes L4750 Reforzado")</f>
        <v>Chasis Acoplado 2 Ejes L4750 Reforzado</v>
      </c>
      <c r="AW120" s="3" t="str">
        <f>IFERROR(__xludf.DUMMYFUNCTION("""COMPUTED_VALUE"""),"Chasis Acoplado 2 Ejes L4750 Reforzado R. Camion")</f>
        <v>Chasis Acoplado 2 Ejes L4750 Reforzado R. Camion</v>
      </c>
      <c r="AX120" s="3" t="str">
        <f>IFERROR(__xludf.DUMMYFUNCTION("""COMPUTED_VALUE"""),"Chasis Acoplado 2 Ejes L5000")</f>
        <v>Chasis Acoplado 2 Ejes L5000</v>
      </c>
      <c r="AY120" s="3" t="str">
        <f>IFERROR(__xludf.DUMMYFUNCTION("""COMPUTED_VALUE"""),"Chasis Acoplado 2 Ejes L5750")</f>
        <v>Chasis Acoplado 2 Ejes L5750</v>
      </c>
      <c r="AZ120" s="3" t="str">
        <f>IFERROR(__xludf.DUMMYFUNCTION("""COMPUTED_VALUE"""),"Chasis Acoplado 2 Ejes L6400")</f>
        <v>Chasis Acoplado 2 Ejes L6400</v>
      </c>
      <c r="BA120" s="3" t="str">
        <f>IFERROR(__xludf.DUMMYFUNCTION("""COMPUTED_VALUE"""),"Chasis Acoplado 2 Ejes L4500")</f>
        <v>Chasis Acoplado 2 Ejes L4500</v>
      </c>
      <c r="BB120" s="3" t="str">
        <f>IFERROR(__xludf.DUMMYFUNCTION("""COMPUTED_VALUE"""),"Chasis Acoplado 1 Eje L1500")</f>
        <v>Chasis Acoplado 1 Eje L1500</v>
      </c>
      <c r="BC120" s="3" t="str">
        <f>IFERROR(__xludf.DUMMYFUNCTION("""COMPUTED_VALUE"""),"Chasis Acoplado 1 Eje L1800")</f>
        <v>Chasis Acoplado 1 Eje L1800</v>
      </c>
      <c r="BD120" s="3" t="str">
        <f>IFERROR(__xludf.DUMMYFUNCTION("""COMPUTED_VALUE"""),"Chasis Acoplado 1 Eje L1400")</f>
        <v>Chasis Acoplado 1 Eje L1400</v>
      </c>
      <c r="BE120" s="3" t="str">
        <f>IFERROR(__xludf.DUMMYFUNCTION("""COMPUTED_VALUE"""),"Chasis Acoplado Balancin L3000")</f>
        <v>Chasis Acoplado Balancin L3000</v>
      </c>
      <c r="BF120" s="3" t="str">
        <f>IFERROR(__xludf.DUMMYFUNCTION("""COMPUTED_VALUE"""),"Chasis Acoplado Balancin L3000 Lanza Corta")</f>
        <v>Chasis Acoplado Balancin L3000 Lanza Corta</v>
      </c>
      <c r="BG120" s="3" t="str">
        <f>IFERROR(__xludf.DUMMYFUNCTION("""COMPUTED_VALUE"""),"Chasis Acoplado Balancin L2000 Lanza Corta")</f>
        <v>Chasis Acoplado Balancin L2000 Lanza Corta</v>
      </c>
      <c r="BH120" s="3" t="str">
        <f>IFERROR(__xludf.DUMMYFUNCTION("""COMPUTED_VALUE"""),"Chasis Acoplado Balancin L3200 Lanza Corta")</f>
        <v>Chasis Acoplado Balancin L3200 Lanza Corta</v>
      </c>
      <c r="BI120" s="3" t="str">
        <f>IFERROR(__xludf.DUMMYFUNCTION("""COMPUTED_VALUE"""),"Chasis Acoplado Balancin L3200 Lanza Recta")</f>
        <v>Chasis Acoplado Balancin L3200 Lanza Recta</v>
      </c>
      <c r="BJ120" s="3" t="str">
        <f>IFERROR(__xludf.DUMMYFUNCTION("""COMPUTED_VALUE"""),"Chasis Acoplado Balancin L3200 Bajo Lanza Recta")</f>
        <v>Chasis Acoplado Balancin L3200 Bajo Lanza Recta</v>
      </c>
      <c r="BK120" s="3" t="str">
        <f>IFERROR(__xludf.DUMMYFUNCTION("""COMPUTED_VALUE"""),"Tanque Plastico Horizontal 750 Lts")</f>
        <v>Tanque Plastico Horizontal 750 Lts</v>
      </c>
      <c r="BL120" s="3" t="str">
        <f>IFERROR(__xludf.DUMMYFUNCTION("""COMPUTED_VALUE"""),"Medio Tanque Plastico Superior 700 Lts")</f>
        <v>Medio Tanque Plastico Superior 700 Lts</v>
      </c>
      <c r="BM120" s="3" t="str">
        <f>IFERROR(__xludf.DUMMYFUNCTION("""COMPUTED_VALUE"""),"Paquete de Elasticos 50 mm x 8 mm x 10 Hojas L850")</f>
        <v>Paquete de Elasticos 50 mm x 8 mm x 10 Hojas L850</v>
      </c>
      <c r="BN120" s="3" t="str">
        <f>IFERROR(__xludf.DUMMYFUNCTION("""COMPUTED_VALUE"""),"Paquete de Elasticos 63 mm x 8 mm x 10 Hojas L950")</f>
        <v>Paquete de Elasticos 63 mm x 8 mm x 10 Hojas L950</v>
      </c>
      <c r="BO120" s="3" t="str">
        <f>IFERROR(__xludf.DUMMYFUNCTION("""COMPUTED_VALUE"""),"Paquete de Elasticos 50 mm x 7 mm x 9 Hojas L850")</f>
        <v>Paquete de Elasticos 50 mm x 7 mm x 9 Hojas L850</v>
      </c>
      <c r="BP120" s="3" t="str">
        <f>IFERROR(__xludf.DUMMYFUNCTION("""COMPUTED_VALUE"""),"Paquete de Elasticos 63 mm x 8 mm x 8 Hojas L850")</f>
        <v>Paquete de Elasticos 63 mm x 8 mm x 8 Hojas L850</v>
      </c>
      <c r="BQ120" s="3" t="str">
        <f>IFERROR(__xludf.DUMMYFUNCTION("""COMPUTED_VALUE"""),"Paquete de Elasticos 63 mm x 10 mm x 10 Hojas L950")</f>
        <v>Paquete de Elasticos 63 mm x 10 mm x 10 Hojas L950</v>
      </c>
      <c r="BR120" s="3" t="str">
        <f>IFERROR(__xludf.DUMMYFUNCTION("""COMPUTED_VALUE"""),"Paquete de Elasticos 63 mm x 10 mm x 13 Hojas L975")</f>
        <v>Paquete de Elasticos 63 mm x 10 mm x 13 Hojas L975</v>
      </c>
      <c r="BS120" s="3" t="str">
        <f>IFERROR(__xludf.DUMMYFUNCTION("""COMPUTED_VALUE"""),"Paquete de Elasticos 50 mm x 7 mm x 9 Hojas L650")</f>
        <v>Paquete de Elasticos 50 mm x 7 mm x 9 Hojas L650</v>
      </c>
      <c r="BT120" s="3" t="str">
        <f>IFERROR(__xludf.DUMMYFUNCTION("""COMPUTED_VALUE"""),"Eje Acoplado 2"" x 1600 (06/08) Agrícola Centro 92")</f>
        <v>Eje Acoplado 2" x 1600 (06/08) Agrícola Centro 92</v>
      </c>
      <c r="BU120" s="3" t="str">
        <f>IFERROR(__xludf.DUMMYFUNCTION("""COMPUTED_VALUE"""),"Eje Acoplado 2 1/2"" x 1600 (07/09) Agrícola Centro 92")</f>
        <v>Eje Acoplado 2 1/2" x 1600 (07/09) Agrícola Centro 92</v>
      </c>
      <c r="BV120" s="3" t="str">
        <f>IFERROR(__xludf.DUMMYFUNCTION("""COMPUTED_VALUE"""),"Eje Acoplado 2 1/2"" x 1600 (09/11) Agrícola Centro 150")</f>
        <v>Eje Acoplado 2 1/2" x 1600 (09/11) Agrícola Centro 150</v>
      </c>
      <c r="BW120" s="3" t="str">
        <f>IFERROR(__xludf.DUMMYFUNCTION("""COMPUTED_VALUE"""),"Eje Acoplado 3"" x 1600 (10/13) Agrícola Centro 150")</f>
        <v>Eje Acoplado 3" x 1600 (10/13) Agrícola Centro 150</v>
      </c>
      <c r="BX120" s="3" t="str">
        <f>IFERROR(__xludf.DUMMYFUNCTION("""COMPUTED_VALUE"""),"Eje Acoplado 2 1/2"" x 2140 (07/09) Agrícola Centro 92")</f>
        <v>Eje Acoplado 2 1/2" x 2140 (07/09) Agrícola Centro 92</v>
      </c>
      <c r="BY120" s="3" t="str">
        <f>IFERROR(__xludf.DUMMYFUNCTION("""COMPUTED_VALUE"""),"Eje Acoplado 2"" x 1400 (06/08) Agrícola Centro 92")</f>
        <v>Eje Acoplado 2" x 1400 (06/08) Agrícola Centro 92</v>
      </c>
      <c r="BZ120" s="3" t="str">
        <f>IFERROR(__xludf.DUMMYFUNCTION("""COMPUTED_VALUE"""),"Eje Acoplado 2 1/2"" x 1500 (07/09) Agrícola Centro 92")</f>
        <v>Eje Acoplado 2 1/2" x 1500 (07/09) Agrícola Centro 92</v>
      </c>
      <c r="CA120" s="3" t="str">
        <f>IFERROR(__xludf.DUMMYFUNCTION("""COMPUTED_VALUE"""),"Eje Acoplado 2 1/2"" x 2000 (07/09) Agrícola Centro 92")</f>
        <v>Eje Acoplado 2 1/2" x 2000 (07/09) Agrícola Centro 92</v>
      </c>
      <c r="CB120" s="3" t="str">
        <f>IFERROR(__xludf.DUMMYFUNCTION("""COMPUTED_VALUE"""),"Eje Acoplado 2 1/2"" x 2100 (09/11) Agrícola Centro 150")</f>
        <v>Eje Acoplado 2 1/2" x 2100 (09/11) Agrícola Centro 150</v>
      </c>
      <c r="CC120" s="3" t="str">
        <f>IFERROR(__xludf.DUMMYFUNCTION("""COMPUTED_VALUE"""),"Llanta 16"" Simple Agrícola Centro 92")</f>
        <v>Llanta 16" Simple Agrícola Centro 92</v>
      </c>
      <c r="CD120" s="3" t="str">
        <f>IFERROR(__xludf.DUMMYFUNCTION("""COMPUTED_VALUE"""),"Llanta 16"" Dual Agrícola Centro 92")</f>
        <v>Llanta 16" Dual Agrícola Centro 92</v>
      </c>
      <c r="CE120" s="3" t="str">
        <f>IFERROR(__xludf.DUMMYFUNCTION("""COMPUTED_VALUE"""),"Llanta 17"" Simple Agrícola Centro 92")</f>
        <v>Llanta 17" Simple Agrícola Centro 92</v>
      </c>
      <c r="CF120" s="3" t="str">
        <f>IFERROR(__xludf.DUMMYFUNCTION("""COMPUTED_VALUE"""),"Llanta 17"" Dual Agrícola Centro 92")</f>
        <v>Llanta 17" Dual Agrícola Centro 92</v>
      </c>
      <c r="CG120" s="3" t="str">
        <f>IFERROR(__xludf.DUMMYFUNCTION("""COMPUTED_VALUE"""),"Llanta 16"" Dual Agrícola Centro 152")</f>
        <v>Llanta 16" Dual Agrícola Centro 152</v>
      </c>
      <c r="CH120" s="3" t="str">
        <f>IFERROR(__xludf.DUMMYFUNCTION("""COMPUTED_VALUE"""),"Llanta 17"" Dual Agrícola Centro 152")</f>
        <v>Llanta 17" Dual Agrícola Centro 152</v>
      </c>
      <c r="CI120" s="3" t="str">
        <f>IFERROR(__xludf.DUMMYFUNCTION("""COMPUTED_VALUE"""),"Eje Acoplado 2"" x 1600 (05/07) Agrícola Centro 92")</f>
        <v>Eje Acoplado 2" x 1600 (05/07) Agrícola Centro 92</v>
      </c>
      <c r="CJ120" s="3" t="str">
        <f>IFERROR(__xludf.DUMMYFUNCTION("""COMPUTED_VALUE"""),"Paquete de Elásticos 50 mm x 8 mm x 12 Hojas")</f>
        <v>Paquete de Elásticos 50 mm x 8 mm x 12 Hojas</v>
      </c>
      <c r="CK120" s="3" t="str">
        <f>IFERROR(__xludf.DUMMYFUNCTION("""COMPUTED_VALUE"""),"Plataforma Playo 4.00 x 1.90 x 0.45 Lateral Simple Baranda Fija")</f>
        <v>Plataforma Playo 4.00 x 1.90 x 0.45 Lateral Simple Baranda Fija</v>
      </c>
      <c r="CL120" s="3" t="str">
        <f>IFERROR(__xludf.DUMMYFUNCTION("""COMPUTED_VALUE"""),"Plataforma Playo 4.00 x 1.90 x 0.45 Lateral Simple Baranda Ventilada")</f>
        <v>Plataforma Playo 4.00 x 1.90 x 0.45 Lateral Simple Baranda Ventilada</v>
      </c>
      <c r="CM120" s="3" t="str">
        <f>IFERROR(__xludf.DUMMYFUNCTION("""COMPUTED_VALUE"""),"Plataforma Playo 4.00 x 1.90 x 0.45 Lateral Doble Baranda Ventilada")</f>
        <v>Plataforma Playo 4.00 x 1.90 x 0.45 Lateral Doble Baranda Ventilada</v>
      </c>
      <c r="CN120" s="3" t="str">
        <f>IFERROR(__xludf.DUMMYFUNCTION("""COMPUTED_VALUE"""),"Plataforma Playo 4.00 x 1.90 x 0.45 Lateral Doble Baranda Fija")</f>
        <v>Plataforma Playo 4.00 x 1.90 x 0.45 Lateral Doble Baranda Fija</v>
      </c>
      <c r="CO120" s="3" t="str">
        <f>IFERROR(__xludf.DUMMYFUNCTION("""COMPUTED_VALUE"""),"Plataforma Playo 4.00 x 1.90 x 0.72 Lateral Simple Baranda Fija")</f>
        <v>Plataforma Playo 4.00 x 1.90 x 0.72 Lateral Simple Baranda Fija</v>
      </c>
      <c r="CP120" s="3" t="str">
        <f>IFERROR(__xludf.DUMMYFUNCTION("""COMPUTED_VALUE"""),"Plataforma Playo 4.00 x 1.90 x 0.72 Lateral Doble Baranda Fija")</f>
        <v>Plataforma Playo 4.00 x 1.90 x 0.72 Lateral Doble Baranda Fija</v>
      </c>
      <c r="CQ120" s="3" t="str">
        <f>IFERROR(__xludf.DUMMYFUNCTION("""COMPUTED_VALUE"""),"Plataforma Playo 5.00 x 2.20 x 0.60 Lateral Doble Trasera Rebatible")</f>
        <v>Plataforma Playo 5.00 x 2.20 x 0.60 Lateral Doble Trasera Rebatible</v>
      </c>
      <c r="CR120" s="3" t="str">
        <f>IFERROR(__xludf.DUMMYFUNCTION("""COMPUTED_VALUE"""),"Plataforma Playo 5.00 x 2.20 x 0.60 Lateral Doble Baranda Fija C/Toldo")</f>
        <v>Plataforma Playo 5.00 x 2.20 x 0.60 Lateral Doble Baranda Fija C/Toldo</v>
      </c>
      <c r="CS120" s="3" t="str">
        <f>IFERROR(__xludf.DUMMYFUNCTION("""COMPUTED_VALUE"""),"Plataforma Playo 3.00 x 1.90 x 0.45 Lateral Simple Baranda Fija")</f>
        <v>Plataforma Playo 3.00 x 1.90 x 0.45 Lateral Simple Baranda Fija</v>
      </c>
      <c r="CT120" s="3" t="str">
        <f>IFERROR(__xludf.DUMMYFUNCTION("""COMPUTED_VALUE"""),"Plataforma Playo 3.00 x 1.90 x 0.45 Lateral Simple Baranda Ventilada")</f>
        <v>Plataforma Playo 3.00 x 1.90 x 0.45 Lateral Simple Baranda Ventilada</v>
      </c>
      <c r="CU120" s="3" t="str">
        <f>IFERROR(__xludf.DUMMYFUNCTION("""COMPUTED_VALUE"""),"Plataforma Playo 2.00 x 1.90 x 0.45 Lateral Simple Baranda Fija")</f>
        <v>Plataforma Playo 2.00 x 1.90 x 0.45 Lateral Simple Baranda Fija</v>
      </c>
      <c r="CV120" s="3" t="str">
        <f>IFERROR(__xludf.DUMMYFUNCTION("""COMPUTED_VALUE"""),"Plataforma Playo 5.00 x 1.90 x 0.60 Lateral Doble Baranda Fija")</f>
        <v>Plataforma Playo 5.00 x 1.90 x 0.60 Lateral Doble Baranda Fija</v>
      </c>
      <c r="CW120" s="3" t="str">
        <f>IFERROR(__xludf.DUMMYFUNCTION("""COMPUTED_VALUE"""),"Plataforma Playo 6.40 x 2.70 x 0.72 Lateral Doble Baranda Fija")</f>
        <v>Plataforma Playo 6.40 x 2.70 x 0.72 Lateral Doble Baranda Fija</v>
      </c>
      <c r="CX120" s="3" t="str">
        <f>IFERROR(__xludf.DUMMYFUNCTION("""COMPUTED_VALUE"""),"Chasis Acoplado Balancin L4000 Lanza Recta")</f>
        <v>Chasis Acoplado Balancin L4000 Lanza Recta</v>
      </c>
      <c r="CY120" s="3" t="str">
        <f>IFERROR(__xludf.DUMMYFUNCTION("""COMPUTED_VALUE"""),"Llanta simple Agrícola 750x20 centro 152")</f>
        <v>Llanta simple Agrícola 750x20 centro 152</v>
      </c>
      <c r="CZ120" s="3" t="str">
        <f>IFERROR(__xludf.DUMMYFUNCTION("""COMPUTED_VALUE"""),"Cajón de Herramientas Mediano adelante")</f>
        <v>Cajón de Herramientas Mediano adelante</v>
      </c>
      <c r="DA120" s="3" t="str">
        <f>IFERROR(__xludf.DUMMYFUNCTION("""COMPUTED_VALUE"""),"Llanta 15"" Simple Agrícola Centro 92")</f>
        <v>Llanta 15" Simple Agrícola Centro 92</v>
      </c>
    </row>
    <row r="121" hidden="1">
      <c r="A121" s="38">
        <f t="shared" si="1"/>
        <v>120</v>
      </c>
      <c r="B121" s="38">
        <f>IF(F121="","",SUMIF(Prearmados!E:E,F121,Prearmados!A:A))</f>
        <v>23</v>
      </c>
      <c r="C121" s="38">
        <f>IF(F121="","",SUMIF(Productos!E:E,G121,Productos!A:A))</f>
        <v>121</v>
      </c>
      <c r="D121" s="83" t="str">
        <f t="array" ref="D121">IF(OR(F121="",F121="Seleccionar.."),"",XLOOKUP(F121,Prearmados!E:E,Prearmados!F:F,"",0,1))</f>
        <v>Acoplados Rurales</v>
      </c>
      <c r="E121" s="83">
        <f>IF(H121="","",SUMIF(Precio_Productos!K:K,C121,Precio_Productos!J:J)*H121)</f>
        <v>2639644</v>
      </c>
      <c r="F121" s="84" t="s">
        <v>346</v>
      </c>
      <c r="G121" s="84" t="s">
        <v>163</v>
      </c>
      <c r="H121" s="13">
        <v>1.0</v>
      </c>
      <c r="P121" s="3" t="str">
        <f>IFERROR(__xludf.DUMMYFUNCTION("IF(OR(F121="""",F121=""Seleccionar..""),"""",TRANSPOSE(FILTER(Productos!E:E,(Productos!F:F=D121)+(Productos!F:F=XLOOKUP(D121,Implementos!B:B,Implementos!C:C,""-"",0,1)))))"),"Tanque Combustible 1100 lts Bajo")</f>
        <v>Tanque Combustible 1100 lts Bajo</v>
      </c>
      <c r="Q121" s="3" t="str">
        <f>IFERROR(__xludf.DUMMYFUNCTION("""COMPUTED_VALUE"""),"Tanque Combustible 1500 lts Standard")</f>
        <v>Tanque Combustible 1500 lts Standard</v>
      </c>
      <c r="R121" s="3" t="str">
        <f>IFERROR(__xludf.DUMMYFUNCTION("""COMPUTED_VALUE"""),"Tanque Combustible 1800 lts Standard")</f>
        <v>Tanque Combustible 1800 lts Standard</v>
      </c>
      <c r="S121" s="3" t="str">
        <f>IFERROR(__xludf.DUMMYFUNCTION("""COMPUTED_VALUE"""),"Tanque Combustible 2000 lts Bajo")</f>
        <v>Tanque Combustible 2000 lts Bajo</v>
      </c>
      <c r="T121" s="3" t="str">
        <f>IFERROR(__xludf.DUMMYFUNCTION("""COMPUTED_VALUE"""),"Tanque Combustible 2000 lts Standard")</f>
        <v>Tanque Combustible 2000 lts Standard</v>
      </c>
      <c r="U121" s="3" t="str">
        <f>IFERROR(__xludf.DUMMYFUNCTION("""COMPUTED_VALUE"""),"Tanque Combustible 3000 lts Standard")</f>
        <v>Tanque Combustible 3000 lts Standard</v>
      </c>
      <c r="V121" s="3" t="str">
        <f>IFERROR(__xludf.DUMMYFUNCTION("""COMPUTED_VALUE"""),"Tanque Combustible 3000 lts Alto")</f>
        <v>Tanque Combustible 3000 lts Alto</v>
      </c>
      <c r="W121" s="3" t="str">
        <f>IFERROR(__xludf.DUMMYFUNCTION("""COMPUTED_VALUE"""),"Tanque Combustible 4000 lts Standard")</f>
        <v>Tanque Combustible 4000 lts Standard</v>
      </c>
      <c r="X121" s="3" t="str">
        <f>IFERROR(__xludf.DUMMYFUNCTION("""COMPUTED_VALUE"""),"Tanque Combustible 5000 lts Standard")</f>
        <v>Tanque Combustible 5000 lts Standard</v>
      </c>
      <c r="Y121" s="3" t="str">
        <f>IFERROR(__xludf.DUMMYFUNCTION("""COMPUTED_VALUE"""),"Tanque Combustible 5000 lts Alto")</f>
        <v>Tanque Combustible 5000 lts Alto</v>
      </c>
      <c r="Z121" s="3" t="str">
        <f>IFERROR(__xludf.DUMMYFUNCTION("""COMPUTED_VALUE"""),"Tanque Combustible 2000 lts Alto")</f>
        <v>Tanque Combustible 2000 lts Alto</v>
      </c>
      <c r="AA121" s="3" t="str">
        <f>IFERROR(__xludf.DUMMYFUNCTION("""COMPUTED_VALUE"""),"Tanque Combustible 4000 lts Alto")</f>
        <v>Tanque Combustible 4000 lts Alto</v>
      </c>
      <c r="AB121" s="3" t="str">
        <f>IFERROR(__xludf.DUMMYFUNCTION("""COMPUTED_VALUE"""),"Baulera Standard - 750")</f>
        <v>Baulera Standard - 750</v>
      </c>
      <c r="AC121" s="3" t="str">
        <f>IFERROR(__xludf.DUMMYFUNCTION("""COMPUTED_VALUE"""),"Baulera Standard - 1700 - C/Laterales")</f>
        <v>Baulera Standard - 1700 - C/Laterales</v>
      </c>
      <c r="AD121" s="3" t="str">
        <f>IFERROR(__xludf.DUMMYFUNCTION("""COMPUTED_VALUE"""),"Baulera Standard - 1000 - C/Laterales")</f>
        <v>Baulera Standard - 1000 - C/Laterales</v>
      </c>
      <c r="AE121" s="3" t="str">
        <f>IFERROR(__xludf.DUMMYFUNCTION("""COMPUTED_VALUE"""),"Baulera Standard - 750 - C/Laterales")</f>
        <v>Baulera Standard - 750 - C/Laterales</v>
      </c>
      <c r="AF121" s="3" t="str">
        <f>IFERROR(__xludf.DUMMYFUNCTION("""COMPUTED_VALUE"""),"Baulera Standard - 1300 - C/Laterales")</f>
        <v>Baulera Standard - 1300 - C/Laterales</v>
      </c>
      <c r="AG121" s="3" t="str">
        <f>IFERROR(__xludf.DUMMYFUNCTION("""COMPUTED_VALUE"""),"Baulera Alta - 750")</f>
        <v>Baulera Alta - 750</v>
      </c>
      <c r="AH121" s="3" t="str">
        <f>IFERROR(__xludf.DUMMYFUNCTION("""COMPUTED_VALUE"""),"Baulera Alta - 1500 - C/Laterales")</f>
        <v>Baulera Alta - 1500 - C/Laterales</v>
      </c>
      <c r="AI121" s="3" t="str">
        <f>IFERROR(__xludf.DUMMYFUNCTION("""COMPUTED_VALUE"""),"Baulera Extendida 1700 - C/Laterales")</f>
        <v>Baulera Extendida 1700 - C/Laterales</v>
      </c>
      <c r="AJ121" s="3" t="str">
        <f>IFERROR(__xludf.DUMMYFUNCTION("""COMPUTED_VALUE"""),"Taller Móvil - 1500 x 1500 x 1700")</f>
        <v>Taller Móvil - 1500 x 1500 x 1700</v>
      </c>
      <c r="AK121" s="3" t="str">
        <f>IFERROR(__xludf.DUMMYFUNCTION("""COMPUTED_VALUE"""),"Cajón Herramientas Standard Derecho")</f>
        <v>Cajón Herramientas Standard Derecho</v>
      </c>
      <c r="AL121" s="3" t="str">
        <f>IFERROR(__xludf.DUMMYFUNCTION("""COMPUTED_VALUE"""),"Cajón Herramientas Standard Izquierdo")</f>
        <v>Cajón Herramientas Standard Izquierdo</v>
      </c>
      <c r="AM121" s="3" t="str">
        <f>IFERROR(__xludf.DUMMYFUNCTION("""COMPUTED_VALUE"""),"Cajón Herramientas Corto Derecho")</f>
        <v>Cajón Herramientas Corto Derecho</v>
      </c>
      <c r="AN121" s="3" t="str">
        <f>IFERROR(__xludf.DUMMYFUNCTION("""COMPUTED_VALUE"""),"Cajón Herramientas Corto Izquierdo")</f>
        <v>Cajón Herramientas Corto Izquierdo</v>
      </c>
      <c r="AO121" s="3" t="str">
        <f>IFERROR(__xludf.DUMMYFUNCTION("""COMPUTED_VALUE"""),"Cajón Herramientas Mediano Derecho")</f>
        <v>Cajón Herramientas Mediano Derecho</v>
      </c>
      <c r="AP121" s="3" t="str">
        <f>IFERROR(__xludf.DUMMYFUNCTION("""COMPUTED_VALUE"""),"Cajón Herramientas Mediano Izquierdo")</f>
        <v>Cajón Herramientas Mediano Izquierdo</v>
      </c>
      <c r="AQ121" s="3" t="str">
        <f>IFERROR(__xludf.DUMMYFUNCTION("""COMPUTED_VALUE"""),"Chasis Acoplado 2 Ejes L3000")</f>
        <v>Chasis Acoplado 2 Ejes L3000</v>
      </c>
      <c r="AR121" s="3" t="str">
        <f>IFERROR(__xludf.DUMMYFUNCTION("""COMPUTED_VALUE"""),"Chasis Acoplado 2 Ejes L3750")</f>
        <v>Chasis Acoplado 2 Ejes L3750</v>
      </c>
      <c r="AS121" s="3" t="str">
        <f>IFERROR(__xludf.DUMMYFUNCTION("""COMPUTED_VALUE"""),"Chasis Acoplado 2 Ejes L4000")</f>
        <v>Chasis Acoplado 2 Ejes L4000</v>
      </c>
      <c r="AT121" s="3" t="str">
        <f>IFERROR(__xludf.DUMMYFUNCTION("""COMPUTED_VALUE"""),"Chasis Acoplado 2 Ejes L4000 Reforzado")</f>
        <v>Chasis Acoplado 2 Ejes L4000 Reforzado</v>
      </c>
      <c r="AU121" s="3" t="str">
        <f>IFERROR(__xludf.DUMMYFUNCTION("""COMPUTED_VALUE"""),"Chasis Acoplado 2 Ejes L4750")</f>
        <v>Chasis Acoplado 2 Ejes L4750</v>
      </c>
      <c r="AV121" s="3" t="str">
        <f>IFERROR(__xludf.DUMMYFUNCTION("""COMPUTED_VALUE"""),"Chasis Acoplado 2 Ejes L4750 Reforzado")</f>
        <v>Chasis Acoplado 2 Ejes L4750 Reforzado</v>
      </c>
      <c r="AW121" s="3" t="str">
        <f>IFERROR(__xludf.DUMMYFUNCTION("""COMPUTED_VALUE"""),"Chasis Acoplado 2 Ejes L4750 Reforzado R. Camion")</f>
        <v>Chasis Acoplado 2 Ejes L4750 Reforzado R. Camion</v>
      </c>
      <c r="AX121" s="3" t="str">
        <f>IFERROR(__xludf.DUMMYFUNCTION("""COMPUTED_VALUE"""),"Chasis Acoplado 2 Ejes L5000")</f>
        <v>Chasis Acoplado 2 Ejes L5000</v>
      </c>
      <c r="AY121" s="3" t="str">
        <f>IFERROR(__xludf.DUMMYFUNCTION("""COMPUTED_VALUE"""),"Chasis Acoplado 2 Ejes L5750")</f>
        <v>Chasis Acoplado 2 Ejes L5750</v>
      </c>
      <c r="AZ121" s="3" t="str">
        <f>IFERROR(__xludf.DUMMYFUNCTION("""COMPUTED_VALUE"""),"Chasis Acoplado 2 Ejes L6400")</f>
        <v>Chasis Acoplado 2 Ejes L6400</v>
      </c>
      <c r="BA121" s="3" t="str">
        <f>IFERROR(__xludf.DUMMYFUNCTION("""COMPUTED_VALUE"""),"Chasis Acoplado 2 Ejes L4500")</f>
        <v>Chasis Acoplado 2 Ejes L4500</v>
      </c>
      <c r="BB121" s="3" t="str">
        <f>IFERROR(__xludf.DUMMYFUNCTION("""COMPUTED_VALUE"""),"Chasis Acoplado 1 Eje L1500")</f>
        <v>Chasis Acoplado 1 Eje L1500</v>
      </c>
      <c r="BC121" s="3" t="str">
        <f>IFERROR(__xludf.DUMMYFUNCTION("""COMPUTED_VALUE"""),"Chasis Acoplado 1 Eje L1800")</f>
        <v>Chasis Acoplado 1 Eje L1800</v>
      </c>
      <c r="BD121" s="3" t="str">
        <f>IFERROR(__xludf.DUMMYFUNCTION("""COMPUTED_VALUE"""),"Chasis Acoplado 1 Eje L1400")</f>
        <v>Chasis Acoplado 1 Eje L1400</v>
      </c>
      <c r="BE121" s="3" t="str">
        <f>IFERROR(__xludf.DUMMYFUNCTION("""COMPUTED_VALUE"""),"Chasis Acoplado Balancin L3000")</f>
        <v>Chasis Acoplado Balancin L3000</v>
      </c>
      <c r="BF121" s="3" t="str">
        <f>IFERROR(__xludf.DUMMYFUNCTION("""COMPUTED_VALUE"""),"Chasis Acoplado Balancin L3000 Lanza Corta")</f>
        <v>Chasis Acoplado Balancin L3000 Lanza Corta</v>
      </c>
      <c r="BG121" s="3" t="str">
        <f>IFERROR(__xludf.DUMMYFUNCTION("""COMPUTED_VALUE"""),"Chasis Acoplado Balancin L2000 Lanza Corta")</f>
        <v>Chasis Acoplado Balancin L2000 Lanza Corta</v>
      </c>
      <c r="BH121" s="3" t="str">
        <f>IFERROR(__xludf.DUMMYFUNCTION("""COMPUTED_VALUE"""),"Chasis Acoplado Balancin L3200 Lanza Corta")</f>
        <v>Chasis Acoplado Balancin L3200 Lanza Corta</v>
      </c>
      <c r="BI121" s="3" t="str">
        <f>IFERROR(__xludf.DUMMYFUNCTION("""COMPUTED_VALUE"""),"Chasis Acoplado Balancin L3200 Lanza Recta")</f>
        <v>Chasis Acoplado Balancin L3200 Lanza Recta</v>
      </c>
      <c r="BJ121" s="3" t="str">
        <f>IFERROR(__xludf.DUMMYFUNCTION("""COMPUTED_VALUE"""),"Chasis Acoplado Balancin L3200 Bajo Lanza Recta")</f>
        <v>Chasis Acoplado Balancin L3200 Bajo Lanza Recta</v>
      </c>
      <c r="BK121" s="3" t="str">
        <f>IFERROR(__xludf.DUMMYFUNCTION("""COMPUTED_VALUE"""),"Tanque Plastico Horizontal 750 Lts")</f>
        <v>Tanque Plastico Horizontal 750 Lts</v>
      </c>
      <c r="BL121" s="3" t="str">
        <f>IFERROR(__xludf.DUMMYFUNCTION("""COMPUTED_VALUE"""),"Medio Tanque Plastico Superior 700 Lts")</f>
        <v>Medio Tanque Plastico Superior 700 Lts</v>
      </c>
      <c r="BM121" s="3" t="str">
        <f>IFERROR(__xludf.DUMMYFUNCTION("""COMPUTED_VALUE"""),"Paquete de Elasticos 50 mm x 8 mm x 10 Hojas L850")</f>
        <v>Paquete de Elasticos 50 mm x 8 mm x 10 Hojas L850</v>
      </c>
      <c r="BN121" s="3" t="str">
        <f>IFERROR(__xludf.DUMMYFUNCTION("""COMPUTED_VALUE"""),"Paquete de Elasticos 63 mm x 8 mm x 10 Hojas L950")</f>
        <v>Paquete de Elasticos 63 mm x 8 mm x 10 Hojas L950</v>
      </c>
      <c r="BO121" s="3" t="str">
        <f>IFERROR(__xludf.DUMMYFUNCTION("""COMPUTED_VALUE"""),"Paquete de Elasticos 50 mm x 7 mm x 9 Hojas L850")</f>
        <v>Paquete de Elasticos 50 mm x 7 mm x 9 Hojas L850</v>
      </c>
      <c r="BP121" s="3" t="str">
        <f>IFERROR(__xludf.DUMMYFUNCTION("""COMPUTED_VALUE"""),"Paquete de Elasticos 63 mm x 8 mm x 8 Hojas L850")</f>
        <v>Paquete de Elasticos 63 mm x 8 mm x 8 Hojas L850</v>
      </c>
      <c r="BQ121" s="3" t="str">
        <f>IFERROR(__xludf.DUMMYFUNCTION("""COMPUTED_VALUE"""),"Paquete de Elasticos 63 mm x 10 mm x 10 Hojas L950")</f>
        <v>Paquete de Elasticos 63 mm x 10 mm x 10 Hojas L950</v>
      </c>
      <c r="BR121" s="3" t="str">
        <f>IFERROR(__xludf.DUMMYFUNCTION("""COMPUTED_VALUE"""),"Paquete de Elasticos 63 mm x 10 mm x 13 Hojas L975")</f>
        <v>Paquete de Elasticos 63 mm x 10 mm x 13 Hojas L975</v>
      </c>
      <c r="BS121" s="3" t="str">
        <f>IFERROR(__xludf.DUMMYFUNCTION("""COMPUTED_VALUE"""),"Paquete de Elasticos 50 mm x 7 mm x 9 Hojas L650")</f>
        <v>Paquete de Elasticos 50 mm x 7 mm x 9 Hojas L650</v>
      </c>
      <c r="BT121" s="3" t="str">
        <f>IFERROR(__xludf.DUMMYFUNCTION("""COMPUTED_VALUE"""),"Eje Acoplado 2"" x 1600 (06/08) Agrícola Centro 92")</f>
        <v>Eje Acoplado 2" x 1600 (06/08) Agrícola Centro 92</v>
      </c>
      <c r="BU121" s="3" t="str">
        <f>IFERROR(__xludf.DUMMYFUNCTION("""COMPUTED_VALUE"""),"Eje Acoplado 2 1/2"" x 1600 (07/09) Agrícola Centro 92")</f>
        <v>Eje Acoplado 2 1/2" x 1600 (07/09) Agrícola Centro 92</v>
      </c>
      <c r="BV121" s="3" t="str">
        <f>IFERROR(__xludf.DUMMYFUNCTION("""COMPUTED_VALUE"""),"Eje Acoplado 2 1/2"" x 1600 (09/11) Agrícola Centro 150")</f>
        <v>Eje Acoplado 2 1/2" x 1600 (09/11) Agrícola Centro 150</v>
      </c>
      <c r="BW121" s="3" t="str">
        <f>IFERROR(__xludf.DUMMYFUNCTION("""COMPUTED_VALUE"""),"Eje Acoplado 3"" x 1600 (10/13) Agrícola Centro 150")</f>
        <v>Eje Acoplado 3" x 1600 (10/13) Agrícola Centro 150</v>
      </c>
      <c r="BX121" s="3" t="str">
        <f>IFERROR(__xludf.DUMMYFUNCTION("""COMPUTED_VALUE"""),"Eje Acoplado 2 1/2"" x 2140 (07/09) Agrícola Centro 92")</f>
        <v>Eje Acoplado 2 1/2" x 2140 (07/09) Agrícola Centro 92</v>
      </c>
      <c r="BY121" s="3" t="str">
        <f>IFERROR(__xludf.DUMMYFUNCTION("""COMPUTED_VALUE"""),"Eje Acoplado 2"" x 1400 (06/08) Agrícola Centro 92")</f>
        <v>Eje Acoplado 2" x 1400 (06/08) Agrícola Centro 92</v>
      </c>
      <c r="BZ121" s="3" t="str">
        <f>IFERROR(__xludf.DUMMYFUNCTION("""COMPUTED_VALUE"""),"Eje Acoplado 2 1/2"" x 1500 (07/09) Agrícola Centro 92")</f>
        <v>Eje Acoplado 2 1/2" x 1500 (07/09) Agrícola Centro 92</v>
      </c>
      <c r="CA121" s="3" t="str">
        <f>IFERROR(__xludf.DUMMYFUNCTION("""COMPUTED_VALUE"""),"Eje Acoplado 2 1/2"" x 2000 (07/09) Agrícola Centro 92")</f>
        <v>Eje Acoplado 2 1/2" x 2000 (07/09) Agrícola Centro 92</v>
      </c>
      <c r="CB121" s="3" t="str">
        <f>IFERROR(__xludf.DUMMYFUNCTION("""COMPUTED_VALUE"""),"Eje Acoplado 2 1/2"" x 2100 (09/11) Agrícola Centro 150")</f>
        <v>Eje Acoplado 2 1/2" x 2100 (09/11) Agrícola Centro 150</v>
      </c>
      <c r="CC121" s="3" t="str">
        <f>IFERROR(__xludf.DUMMYFUNCTION("""COMPUTED_VALUE"""),"Llanta 16"" Simple Agrícola Centro 92")</f>
        <v>Llanta 16" Simple Agrícola Centro 92</v>
      </c>
      <c r="CD121" s="3" t="str">
        <f>IFERROR(__xludf.DUMMYFUNCTION("""COMPUTED_VALUE"""),"Llanta 16"" Dual Agrícola Centro 92")</f>
        <v>Llanta 16" Dual Agrícola Centro 92</v>
      </c>
      <c r="CE121" s="3" t="str">
        <f>IFERROR(__xludf.DUMMYFUNCTION("""COMPUTED_VALUE"""),"Llanta 17"" Simple Agrícola Centro 92")</f>
        <v>Llanta 17" Simple Agrícola Centro 92</v>
      </c>
      <c r="CF121" s="3" t="str">
        <f>IFERROR(__xludf.DUMMYFUNCTION("""COMPUTED_VALUE"""),"Llanta 17"" Dual Agrícola Centro 92")</f>
        <v>Llanta 17" Dual Agrícola Centro 92</v>
      </c>
      <c r="CG121" s="3" t="str">
        <f>IFERROR(__xludf.DUMMYFUNCTION("""COMPUTED_VALUE"""),"Llanta 16"" Dual Agrícola Centro 152")</f>
        <v>Llanta 16" Dual Agrícola Centro 152</v>
      </c>
      <c r="CH121" s="3" t="str">
        <f>IFERROR(__xludf.DUMMYFUNCTION("""COMPUTED_VALUE"""),"Llanta 17"" Dual Agrícola Centro 152")</f>
        <v>Llanta 17" Dual Agrícola Centro 152</v>
      </c>
      <c r="CI121" s="3" t="str">
        <f>IFERROR(__xludf.DUMMYFUNCTION("""COMPUTED_VALUE"""),"Eje Acoplado 2"" x 1600 (05/07) Agrícola Centro 92")</f>
        <v>Eje Acoplado 2" x 1600 (05/07) Agrícola Centro 92</v>
      </c>
      <c r="CJ121" s="3" t="str">
        <f>IFERROR(__xludf.DUMMYFUNCTION("""COMPUTED_VALUE"""),"Paquete de Elásticos 50 mm x 8 mm x 12 Hojas")</f>
        <v>Paquete de Elásticos 50 mm x 8 mm x 12 Hojas</v>
      </c>
      <c r="CK121" s="3" t="str">
        <f>IFERROR(__xludf.DUMMYFUNCTION("""COMPUTED_VALUE"""),"Plataforma Playo 4.00 x 1.90 x 0.45 Lateral Simple Baranda Fija")</f>
        <v>Plataforma Playo 4.00 x 1.90 x 0.45 Lateral Simple Baranda Fija</v>
      </c>
      <c r="CL121" s="3" t="str">
        <f>IFERROR(__xludf.DUMMYFUNCTION("""COMPUTED_VALUE"""),"Plataforma Playo 4.00 x 1.90 x 0.45 Lateral Simple Baranda Ventilada")</f>
        <v>Plataforma Playo 4.00 x 1.90 x 0.45 Lateral Simple Baranda Ventilada</v>
      </c>
      <c r="CM121" s="3" t="str">
        <f>IFERROR(__xludf.DUMMYFUNCTION("""COMPUTED_VALUE"""),"Plataforma Playo 4.00 x 1.90 x 0.45 Lateral Doble Baranda Ventilada")</f>
        <v>Plataforma Playo 4.00 x 1.90 x 0.45 Lateral Doble Baranda Ventilada</v>
      </c>
      <c r="CN121" s="3" t="str">
        <f>IFERROR(__xludf.DUMMYFUNCTION("""COMPUTED_VALUE"""),"Plataforma Playo 4.00 x 1.90 x 0.45 Lateral Doble Baranda Fija")</f>
        <v>Plataforma Playo 4.00 x 1.90 x 0.45 Lateral Doble Baranda Fija</v>
      </c>
      <c r="CO121" s="3" t="str">
        <f>IFERROR(__xludf.DUMMYFUNCTION("""COMPUTED_VALUE"""),"Plataforma Playo 4.00 x 1.90 x 0.72 Lateral Simple Baranda Fija")</f>
        <v>Plataforma Playo 4.00 x 1.90 x 0.72 Lateral Simple Baranda Fija</v>
      </c>
      <c r="CP121" s="3" t="str">
        <f>IFERROR(__xludf.DUMMYFUNCTION("""COMPUTED_VALUE"""),"Plataforma Playo 4.00 x 1.90 x 0.72 Lateral Doble Baranda Fija")</f>
        <v>Plataforma Playo 4.00 x 1.90 x 0.72 Lateral Doble Baranda Fija</v>
      </c>
      <c r="CQ121" s="3" t="str">
        <f>IFERROR(__xludf.DUMMYFUNCTION("""COMPUTED_VALUE"""),"Plataforma Playo 5.00 x 2.20 x 0.60 Lateral Doble Trasera Rebatible")</f>
        <v>Plataforma Playo 5.00 x 2.20 x 0.60 Lateral Doble Trasera Rebatible</v>
      </c>
      <c r="CR121" s="3" t="str">
        <f>IFERROR(__xludf.DUMMYFUNCTION("""COMPUTED_VALUE"""),"Plataforma Playo 5.00 x 2.20 x 0.60 Lateral Doble Baranda Fija C/Toldo")</f>
        <v>Plataforma Playo 5.00 x 2.20 x 0.60 Lateral Doble Baranda Fija C/Toldo</v>
      </c>
      <c r="CS121" s="3" t="str">
        <f>IFERROR(__xludf.DUMMYFUNCTION("""COMPUTED_VALUE"""),"Plataforma Playo 3.00 x 1.90 x 0.45 Lateral Simple Baranda Fija")</f>
        <v>Plataforma Playo 3.00 x 1.90 x 0.45 Lateral Simple Baranda Fija</v>
      </c>
      <c r="CT121" s="3" t="str">
        <f>IFERROR(__xludf.DUMMYFUNCTION("""COMPUTED_VALUE"""),"Plataforma Playo 3.00 x 1.90 x 0.45 Lateral Simple Baranda Ventilada")</f>
        <v>Plataforma Playo 3.00 x 1.90 x 0.45 Lateral Simple Baranda Ventilada</v>
      </c>
      <c r="CU121" s="3" t="str">
        <f>IFERROR(__xludf.DUMMYFUNCTION("""COMPUTED_VALUE"""),"Plataforma Playo 2.00 x 1.90 x 0.45 Lateral Simple Baranda Fija")</f>
        <v>Plataforma Playo 2.00 x 1.90 x 0.45 Lateral Simple Baranda Fija</v>
      </c>
      <c r="CV121" s="3" t="str">
        <f>IFERROR(__xludf.DUMMYFUNCTION("""COMPUTED_VALUE"""),"Plataforma Playo 5.00 x 1.90 x 0.60 Lateral Doble Baranda Fija")</f>
        <v>Plataforma Playo 5.00 x 1.90 x 0.60 Lateral Doble Baranda Fija</v>
      </c>
      <c r="CW121" s="3" t="str">
        <f>IFERROR(__xludf.DUMMYFUNCTION("""COMPUTED_VALUE"""),"Plataforma Playo 6.40 x 2.70 x 0.72 Lateral Doble Baranda Fija")</f>
        <v>Plataforma Playo 6.40 x 2.70 x 0.72 Lateral Doble Baranda Fija</v>
      </c>
      <c r="CX121" s="3" t="str">
        <f>IFERROR(__xludf.DUMMYFUNCTION("""COMPUTED_VALUE"""),"Chasis Acoplado Balancin L4000 Lanza Recta")</f>
        <v>Chasis Acoplado Balancin L4000 Lanza Recta</v>
      </c>
      <c r="CY121" s="3" t="str">
        <f>IFERROR(__xludf.DUMMYFUNCTION("""COMPUTED_VALUE"""),"Llanta simple Agrícola 750x20 centro 152")</f>
        <v>Llanta simple Agrícola 750x20 centro 152</v>
      </c>
      <c r="CZ121" s="3" t="str">
        <f>IFERROR(__xludf.DUMMYFUNCTION("""COMPUTED_VALUE"""),"Cajón de Herramientas Mediano adelante")</f>
        <v>Cajón de Herramientas Mediano adelante</v>
      </c>
      <c r="DA121" s="3" t="str">
        <f>IFERROR(__xludf.DUMMYFUNCTION("""COMPUTED_VALUE"""),"Llanta 15"" Simple Agrícola Centro 92")</f>
        <v>Llanta 15" Simple Agrícola Centro 92</v>
      </c>
    </row>
    <row r="122" hidden="1">
      <c r="A122" s="38">
        <f t="shared" si="1"/>
        <v>121</v>
      </c>
      <c r="B122" s="38">
        <f>IF(F122="","",SUMIF(Prearmados!E:E,F122,Prearmados!A:A))</f>
        <v>23</v>
      </c>
      <c r="C122" s="38">
        <f>IF(F122="","",SUMIF(Productos!E:E,G122,Productos!A:A))</f>
        <v>74</v>
      </c>
      <c r="D122" s="83" t="str">
        <f t="array" ref="D122">IF(OR(F122="",F122="Seleccionar.."),"",XLOOKUP(F122,Prearmados!E:E,Prearmados!F:F,"",0,1))</f>
        <v>Acoplados Rurales</v>
      </c>
      <c r="E122" s="83">
        <f>IF(H122="","",SUMIF(Precio_Productos!K:K,C122,Precio_Productos!J:J)*H122)</f>
        <v>2480000</v>
      </c>
      <c r="F122" s="84" t="s">
        <v>346</v>
      </c>
      <c r="G122" s="84" t="s">
        <v>100</v>
      </c>
      <c r="H122" s="13">
        <v>1.0</v>
      </c>
      <c r="P122" s="3" t="str">
        <f>IFERROR(__xludf.DUMMYFUNCTION("IF(OR(F122="""",F122=""Seleccionar..""),"""",TRANSPOSE(FILTER(Productos!E:E,(Productos!F:F=D122)+(Productos!F:F=XLOOKUP(D122,Implementos!B:B,Implementos!C:C,""-"",0,1)))))"),"Tanque Combustible 1100 lts Bajo")</f>
        <v>Tanque Combustible 1100 lts Bajo</v>
      </c>
      <c r="Q122" s="3" t="str">
        <f>IFERROR(__xludf.DUMMYFUNCTION("""COMPUTED_VALUE"""),"Tanque Combustible 1500 lts Standard")</f>
        <v>Tanque Combustible 1500 lts Standard</v>
      </c>
      <c r="R122" s="3" t="str">
        <f>IFERROR(__xludf.DUMMYFUNCTION("""COMPUTED_VALUE"""),"Tanque Combustible 1800 lts Standard")</f>
        <v>Tanque Combustible 1800 lts Standard</v>
      </c>
      <c r="S122" s="3" t="str">
        <f>IFERROR(__xludf.DUMMYFUNCTION("""COMPUTED_VALUE"""),"Tanque Combustible 2000 lts Bajo")</f>
        <v>Tanque Combustible 2000 lts Bajo</v>
      </c>
      <c r="T122" s="3" t="str">
        <f>IFERROR(__xludf.DUMMYFUNCTION("""COMPUTED_VALUE"""),"Tanque Combustible 2000 lts Standard")</f>
        <v>Tanque Combustible 2000 lts Standard</v>
      </c>
      <c r="U122" s="3" t="str">
        <f>IFERROR(__xludf.DUMMYFUNCTION("""COMPUTED_VALUE"""),"Tanque Combustible 3000 lts Standard")</f>
        <v>Tanque Combustible 3000 lts Standard</v>
      </c>
      <c r="V122" s="3" t="str">
        <f>IFERROR(__xludf.DUMMYFUNCTION("""COMPUTED_VALUE"""),"Tanque Combustible 3000 lts Alto")</f>
        <v>Tanque Combustible 3000 lts Alto</v>
      </c>
      <c r="W122" s="3" t="str">
        <f>IFERROR(__xludf.DUMMYFUNCTION("""COMPUTED_VALUE"""),"Tanque Combustible 4000 lts Standard")</f>
        <v>Tanque Combustible 4000 lts Standard</v>
      </c>
      <c r="X122" s="3" t="str">
        <f>IFERROR(__xludf.DUMMYFUNCTION("""COMPUTED_VALUE"""),"Tanque Combustible 5000 lts Standard")</f>
        <v>Tanque Combustible 5000 lts Standard</v>
      </c>
      <c r="Y122" s="3" t="str">
        <f>IFERROR(__xludf.DUMMYFUNCTION("""COMPUTED_VALUE"""),"Tanque Combustible 5000 lts Alto")</f>
        <v>Tanque Combustible 5000 lts Alto</v>
      </c>
      <c r="Z122" s="3" t="str">
        <f>IFERROR(__xludf.DUMMYFUNCTION("""COMPUTED_VALUE"""),"Tanque Combustible 2000 lts Alto")</f>
        <v>Tanque Combustible 2000 lts Alto</v>
      </c>
      <c r="AA122" s="3" t="str">
        <f>IFERROR(__xludf.DUMMYFUNCTION("""COMPUTED_VALUE"""),"Tanque Combustible 4000 lts Alto")</f>
        <v>Tanque Combustible 4000 lts Alto</v>
      </c>
      <c r="AB122" s="3" t="str">
        <f>IFERROR(__xludf.DUMMYFUNCTION("""COMPUTED_VALUE"""),"Baulera Standard - 750")</f>
        <v>Baulera Standard - 750</v>
      </c>
      <c r="AC122" s="3" t="str">
        <f>IFERROR(__xludf.DUMMYFUNCTION("""COMPUTED_VALUE"""),"Baulera Standard - 1700 - C/Laterales")</f>
        <v>Baulera Standard - 1700 - C/Laterales</v>
      </c>
      <c r="AD122" s="3" t="str">
        <f>IFERROR(__xludf.DUMMYFUNCTION("""COMPUTED_VALUE"""),"Baulera Standard - 1000 - C/Laterales")</f>
        <v>Baulera Standard - 1000 - C/Laterales</v>
      </c>
      <c r="AE122" s="3" t="str">
        <f>IFERROR(__xludf.DUMMYFUNCTION("""COMPUTED_VALUE"""),"Baulera Standard - 750 - C/Laterales")</f>
        <v>Baulera Standard - 750 - C/Laterales</v>
      </c>
      <c r="AF122" s="3" t="str">
        <f>IFERROR(__xludf.DUMMYFUNCTION("""COMPUTED_VALUE"""),"Baulera Standard - 1300 - C/Laterales")</f>
        <v>Baulera Standard - 1300 - C/Laterales</v>
      </c>
      <c r="AG122" s="3" t="str">
        <f>IFERROR(__xludf.DUMMYFUNCTION("""COMPUTED_VALUE"""),"Baulera Alta - 750")</f>
        <v>Baulera Alta - 750</v>
      </c>
      <c r="AH122" s="3" t="str">
        <f>IFERROR(__xludf.DUMMYFUNCTION("""COMPUTED_VALUE"""),"Baulera Alta - 1500 - C/Laterales")</f>
        <v>Baulera Alta - 1500 - C/Laterales</v>
      </c>
      <c r="AI122" s="3" t="str">
        <f>IFERROR(__xludf.DUMMYFUNCTION("""COMPUTED_VALUE"""),"Baulera Extendida 1700 - C/Laterales")</f>
        <v>Baulera Extendida 1700 - C/Laterales</v>
      </c>
      <c r="AJ122" s="3" t="str">
        <f>IFERROR(__xludf.DUMMYFUNCTION("""COMPUTED_VALUE"""),"Taller Móvil - 1500 x 1500 x 1700")</f>
        <v>Taller Móvil - 1500 x 1500 x 1700</v>
      </c>
      <c r="AK122" s="3" t="str">
        <f>IFERROR(__xludf.DUMMYFUNCTION("""COMPUTED_VALUE"""),"Cajón Herramientas Standard Derecho")</f>
        <v>Cajón Herramientas Standard Derecho</v>
      </c>
      <c r="AL122" s="3" t="str">
        <f>IFERROR(__xludf.DUMMYFUNCTION("""COMPUTED_VALUE"""),"Cajón Herramientas Standard Izquierdo")</f>
        <v>Cajón Herramientas Standard Izquierdo</v>
      </c>
      <c r="AM122" s="3" t="str">
        <f>IFERROR(__xludf.DUMMYFUNCTION("""COMPUTED_VALUE"""),"Cajón Herramientas Corto Derecho")</f>
        <v>Cajón Herramientas Corto Derecho</v>
      </c>
      <c r="AN122" s="3" t="str">
        <f>IFERROR(__xludf.DUMMYFUNCTION("""COMPUTED_VALUE"""),"Cajón Herramientas Corto Izquierdo")</f>
        <v>Cajón Herramientas Corto Izquierdo</v>
      </c>
      <c r="AO122" s="3" t="str">
        <f>IFERROR(__xludf.DUMMYFUNCTION("""COMPUTED_VALUE"""),"Cajón Herramientas Mediano Derecho")</f>
        <v>Cajón Herramientas Mediano Derecho</v>
      </c>
      <c r="AP122" s="3" t="str">
        <f>IFERROR(__xludf.DUMMYFUNCTION("""COMPUTED_VALUE"""),"Cajón Herramientas Mediano Izquierdo")</f>
        <v>Cajón Herramientas Mediano Izquierdo</v>
      </c>
      <c r="AQ122" s="3" t="str">
        <f>IFERROR(__xludf.DUMMYFUNCTION("""COMPUTED_VALUE"""),"Chasis Acoplado 2 Ejes L3000")</f>
        <v>Chasis Acoplado 2 Ejes L3000</v>
      </c>
      <c r="AR122" s="3" t="str">
        <f>IFERROR(__xludf.DUMMYFUNCTION("""COMPUTED_VALUE"""),"Chasis Acoplado 2 Ejes L3750")</f>
        <v>Chasis Acoplado 2 Ejes L3750</v>
      </c>
      <c r="AS122" s="3" t="str">
        <f>IFERROR(__xludf.DUMMYFUNCTION("""COMPUTED_VALUE"""),"Chasis Acoplado 2 Ejes L4000")</f>
        <v>Chasis Acoplado 2 Ejes L4000</v>
      </c>
      <c r="AT122" s="3" t="str">
        <f>IFERROR(__xludf.DUMMYFUNCTION("""COMPUTED_VALUE"""),"Chasis Acoplado 2 Ejes L4000 Reforzado")</f>
        <v>Chasis Acoplado 2 Ejes L4000 Reforzado</v>
      </c>
      <c r="AU122" s="3" t="str">
        <f>IFERROR(__xludf.DUMMYFUNCTION("""COMPUTED_VALUE"""),"Chasis Acoplado 2 Ejes L4750")</f>
        <v>Chasis Acoplado 2 Ejes L4750</v>
      </c>
      <c r="AV122" s="3" t="str">
        <f>IFERROR(__xludf.DUMMYFUNCTION("""COMPUTED_VALUE"""),"Chasis Acoplado 2 Ejes L4750 Reforzado")</f>
        <v>Chasis Acoplado 2 Ejes L4750 Reforzado</v>
      </c>
      <c r="AW122" s="3" t="str">
        <f>IFERROR(__xludf.DUMMYFUNCTION("""COMPUTED_VALUE"""),"Chasis Acoplado 2 Ejes L4750 Reforzado R. Camion")</f>
        <v>Chasis Acoplado 2 Ejes L4750 Reforzado R. Camion</v>
      </c>
      <c r="AX122" s="3" t="str">
        <f>IFERROR(__xludf.DUMMYFUNCTION("""COMPUTED_VALUE"""),"Chasis Acoplado 2 Ejes L5000")</f>
        <v>Chasis Acoplado 2 Ejes L5000</v>
      </c>
      <c r="AY122" s="3" t="str">
        <f>IFERROR(__xludf.DUMMYFUNCTION("""COMPUTED_VALUE"""),"Chasis Acoplado 2 Ejes L5750")</f>
        <v>Chasis Acoplado 2 Ejes L5750</v>
      </c>
      <c r="AZ122" s="3" t="str">
        <f>IFERROR(__xludf.DUMMYFUNCTION("""COMPUTED_VALUE"""),"Chasis Acoplado 2 Ejes L6400")</f>
        <v>Chasis Acoplado 2 Ejes L6400</v>
      </c>
      <c r="BA122" s="3" t="str">
        <f>IFERROR(__xludf.DUMMYFUNCTION("""COMPUTED_VALUE"""),"Chasis Acoplado 2 Ejes L4500")</f>
        <v>Chasis Acoplado 2 Ejes L4500</v>
      </c>
      <c r="BB122" s="3" t="str">
        <f>IFERROR(__xludf.DUMMYFUNCTION("""COMPUTED_VALUE"""),"Chasis Acoplado 1 Eje L1500")</f>
        <v>Chasis Acoplado 1 Eje L1500</v>
      </c>
      <c r="BC122" s="3" t="str">
        <f>IFERROR(__xludf.DUMMYFUNCTION("""COMPUTED_VALUE"""),"Chasis Acoplado 1 Eje L1800")</f>
        <v>Chasis Acoplado 1 Eje L1800</v>
      </c>
      <c r="BD122" s="3" t="str">
        <f>IFERROR(__xludf.DUMMYFUNCTION("""COMPUTED_VALUE"""),"Chasis Acoplado 1 Eje L1400")</f>
        <v>Chasis Acoplado 1 Eje L1400</v>
      </c>
      <c r="BE122" s="3" t="str">
        <f>IFERROR(__xludf.DUMMYFUNCTION("""COMPUTED_VALUE"""),"Chasis Acoplado Balancin L3000")</f>
        <v>Chasis Acoplado Balancin L3000</v>
      </c>
      <c r="BF122" s="3" t="str">
        <f>IFERROR(__xludf.DUMMYFUNCTION("""COMPUTED_VALUE"""),"Chasis Acoplado Balancin L3000 Lanza Corta")</f>
        <v>Chasis Acoplado Balancin L3000 Lanza Corta</v>
      </c>
      <c r="BG122" s="3" t="str">
        <f>IFERROR(__xludf.DUMMYFUNCTION("""COMPUTED_VALUE"""),"Chasis Acoplado Balancin L2000 Lanza Corta")</f>
        <v>Chasis Acoplado Balancin L2000 Lanza Corta</v>
      </c>
      <c r="BH122" s="3" t="str">
        <f>IFERROR(__xludf.DUMMYFUNCTION("""COMPUTED_VALUE"""),"Chasis Acoplado Balancin L3200 Lanza Corta")</f>
        <v>Chasis Acoplado Balancin L3200 Lanza Corta</v>
      </c>
      <c r="BI122" s="3" t="str">
        <f>IFERROR(__xludf.DUMMYFUNCTION("""COMPUTED_VALUE"""),"Chasis Acoplado Balancin L3200 Lanza Recta")</f>
        <v>Chasis Acoplado Balancin L3200 Lanza Recta</v>
      </c>
      <c r="BJ122" s="3" t="str">
        <f>IFERROR(__xludf.DUMMYFUNCTION("""COMPUTED_VALUE"""),"Chasis Acoplado Balancin L3200 Bajo Lanza Recta")</f>
        <v>Chasis Acoplado Balancin L3200 Bajo Lanza Recta</v>
      </c>
      <c r="BK122" s="3" t="str">
        <f>IFERROR(__xludf.DUMMYFUNCTION("""COMPUTED_VALUE"""),"Tanque Plastico Horizontal 750 Lts")</f>
        <v>Tanque Plastico Horizontal 750 Lts</v>
      </c>
      <c r="BL122" s="3" t="str">
        <f>IFERROR(__xludf.DUMMYFUNCTION("""COMPUTED_VALUE"""),"Medio Tanque Plastico Superior 700 Lts")</f>
        <v>Medio Tanque Plastico Superior 700 Lts</v>
      </c>
      <c r="BM122" s="3" t="str">
        <f>IFERROR(__xludf.DUMMYFUNCTION("""COMPUTED_VALUE"""),"Paquete de Elasticos 50 mm x 8 mm x 10 Hojas L850")</f>
        <v>Paquete de Elasticos 50 mm x 8 mm x 10 Hojas L850</v>
      </c>
      <c r="BN122" s="3" t="str">
        <f>IFERROR(__xludf.DUMMYFUNCTION("""COMPUTED_VALUE"""),"Paquete de Elasticos 63 mm x 8 mm x 10 Hojas L950")</f>
        <v>Paquete de Elasticos 63 mm x 8 mm x 10 Hojas L950</v>
      </c>
      <c r="BO122" s="3" t="str">
        <f>IFERROR(__xludf.DUMMYFUNCTION("""COMPUTED_VALUE"""),"Paquete de Elasticos 50 mm x 7 mm x 9 Hojas L850")</f>
        <v>Paquete de Elasticos 50 mm x 7 mm x 9 Hojas L850</v>
      </c>
      <c r="BP122" s="3" t="str">
        <f>IFERROR(__xludf.DUMMYFUNCTION("""COMPUTED_VALUE"""),"Paquete de Elasticos 63 mm x 8 mm x 8 Hojas L850")</f>
        <v>Paquete de Elasticos 63 mm x 8 mm x 8 Hojas L850</v>
      </c>
      <c r="BQ122" s="3" t="str">
        <f>IFERROR(__xludf.DUMMYFUNCTION("""COMPUTED_VALUE"""),"Paquete de Elasticos 63 mm x 10 mm x 10 Hojas L950")</f>
        <v>Paquete de Elasticos 63 mm x 10 mm x 10 Hojas L950</v>
      </c>
      <c r="BR122" s="3" t="str">
        <f>IFERROR(__xludf.DUMMYFUNCTION("""COMPUTED_VALUE"""),"Paquete de Elasticos 63 mm x 10 mm x 13 Hojas L975")</f>
        <v>Paquete de Elasticos 63 mm x 10 mm x 13 Hojas L975</v>
      </c>
      <c r="BS122" s="3" t="str">
        <f>IFERROR(__xludf.DUMMYFUNCTION("""COMPUTED_VALUE"""),"Paquete de Elasticos 50 mm x 7 mm x 9 Hojas L650")</f>
        <v>Paquete de Elasticos 50 mm x 7 mm x 9 Hojas L650</v>
      </c>
      <c r="BT122" s="3" t="str">
        <f>IFERROR(__xludf.DUMMYFUNCTION("""COMPUTED_VALUE"""),"Eje Acoplado 2"" x 1600 (06/08) Agrícola Centro 92")</f>
        <v>Eje Acoplado 2" x 1600 (06/08) Agrícola Centro 92</v>
      </c>
      <c r="BU122" s="3" t="str">
        <f>IFERROR(__xludf.DUMMYFUNCTION("""COMPUTED_VALUE"""),"Eje Acoplado 2 1/2"" x 1600 (07/09) Agrícola Centro 92")</f>
        <v>Eje Acoplado 2 1/2" x 1600 (07/09) Agrícola Centro 92</v>
      </c>
      <c r="BV122" s="3" t="str">
        <f>IFERROR(__xludf.DUMMYFUNCTION("""COMPUTED_VALUE"""),"Eje Acoplado 2 1/2"" x 1600 (09/11) Agrícola Centro 150")</f>
        <v>Eje Acoplado 2 1/2" x 1600 (09/11) Agrícola Centro 150</v>
      </c>
      <c r="BW122" s="3" t="str">
        <f>IFERROR(__xludf.DUMMYFUNCTION("""COMPUTED_VALUE"""),"Eje Acoplado 3"" x 1600 (10/13) Agrícola Centro 150")</f>
        <v>Eje Acoplado 3" x 1600 (10/13) Agrícola Centro 150</v>
      </c>
      <c r="BX122" s="3" t="str">
        <f>IFERROR(__xludf.DUMMYFUNCTION("""COMPUTED_VALUE"""),"Eje Acoplado 2 1/2"" x 2140 (07/09) Agrícola Centro 92")</f>
        <v>Eje Acoplado 2 1/2" x 2140 (07/09) Agrícola Centro 92</v>
      </c>
      <c r="BY122" s="3" t="str">
        <f>IFERROR(__xludf.DUMMYFUNCTION("""COMPUTED_VALUE"""),"Eje Acoplado 2"" x 1400 (06/08) Agrícola Centro 92")</f>
        <v>Eje Acoplado 2" x 1400 (06/08) Agrícola Centro 92</v>
      </c>
      <c r="BZ122" s="3" t="str">
        <f>IFERROR(__xludf.DUMMYFUNCTION("""COMPUTED_VALUE"""),"Eje Acoplado 2 1/2"" x 1500 (07/09) Agrícola Centro 92")</f>
        <v>Eje Acoplado 2 1/2" x 1500 (07/09) Agrícola Centro 92</v>
      </c>
      <c r="CA122" s="3" t="str">
        <f>IFERROR(__xludf.DUMMYFUNCTION("""COMPUTED_VALUE"""),"Eje Acoplado 2 1/2"" x 2000 (07/09) Agrícola Centro 92")</f>
        <v>Eje Acoplado 2 1/2" x 2000 (07/09) Agrícola Centro 92</v>
      </c>
      <c r="CB122" s="3" t="str">
        <f>IFERROR(__xludf.DUMMYFUNCTION("""COMPUTED_VALUE"""),"Eje Acoplado 2 1/2"" x 2100 (09/11) Agrícola Centro 150")</f>
        <v>Eje Acoplado 2 1/2" x 2100 (09/11) Agrícola Centro 150</v>
      </c>
      <c r="CC122" s="3" t="str">
        <f>IFERROR(__xludf.DUMMYFUNCTION("""COMPUTED_VALUE"""),"Llanta 16"" Simple Agrícola Centro 92")</f>
        <v>Llanta 16" Simple Agrícola Centro 92</v>
      </c>
      <c r="CD122" s="3" t="str">
        <f>IFERROR(__xludf.DUMMYFUNCTION("""COMPUTED_VALUE"""),"Llanta 16"" Dual Agrícola Centro 92")</f>
        <v>Llanta 16" Dual Agrícola Centro 92</v>
      </c>
      <c r="CE122" s="3" t="str">
        <f>IFERROR(__xludf.DUMMYFUNCTION("""COMPUTED_VALUE"""),"Llanta 17"" Simple Agrícola Centro 92")</f>
        <v>Llanta 17" Simple Agrícola Centro 92</v>
      </c>
      <c r="CF122" s="3" t="str">
        <f>IFERROR(__xludf.DUMMYFUNCTION("""COMPUTED_VALUE"""),"Llanta 17"" Dual Agrícola Centro 92")</f>
        <v>Llanta 17" Dual Agrícola Centro 92</v>
      </c>
      <c r="CG122" s="3" t="str">
        <f>IFERROR(__xludf.DUMMYFUNCTION("""COMPUTED_VALUE"""),"Llanta 16"" Dual Agrícola Centro 152")</f>
        <v>Llanta 16" Dual Agrícola Centro 152</v>
      </c>
      <c r="CH122" s="3" t="str">
        <f>IFERROR(__xludf.DUMMYFUNCTION("""COMPUTED_VALUE"""),"Llanta 17"" Dual Agrícola Centro 152")</f>
        <v>Llanta 17" Dual Agrícola Centro 152</v>
      </c>
      <c r="CI122" s="3" t="str">
        <f>IFERROR(__xludf.DUMMYFUNCTION("""COMPUTED_VALUE"""),"Eje Acoplado 2"" x 1600 (05/07) Agrícola Centro 92")</f>
        <v>Eje Acoplado 2" x 1600 (05/07) Agrícola Centro 92</v>
      </c>
      <c r="CJ122" s="3" t="str">
        <f>IFERROR(__xludf.DUMMYFUNCTION("""COMPUTED_VALUE"""),"Paquete de Elásticos 50 mm x 8 mm x 12 Hojas")</f>
        <v>Paquete de Elásticos 50 mm x 8 mm x 12 Hojas</v>
      </c>
      <c r="CK122" s="3" t="str">
        <f>IFERROR(__xludf.DUMMYFUNCTION("""COMPUTED_VALUE"""),"Plataforma Playo 4.00 x 1.90 x 0.45 Lateral Simple Baranda Fija")</f>
        <v>Plataforma Playo 4.00 x 1.90 x 0.45 Lateral Simple Baranda Fija</v>
      </c>
      <c r="CL122" s="3" t="str">
        <f>IFERROR(__xludf.DUMMYFUNCTION("""COMPUTED_VALUE"""),"Plataforma Playo 4.00 x 1.90 x 0.45 Lateral Simple Baranda Ventilada")</f>
        <v>Plataforma Playo 4.00 x 1.90 x 0.45 Lateral Simple Baranda Ventilada</v>
      </c>
      <c r="CM122" s="3" t="str">
        <f>IFERROR(__xludf.DUMMYFUNCTION("""COMPUTED_VALUE"""),"Plataforma Playo 4.00 x 1.90 x 0.45 Lateral Doble Baranda Ventilada")</f>
        <v>Plataforma Playo 4.00 x 1.90 x 0.45 Lateral Doble Baranda Ventilada</v>
      </c>
      <c r="CN122" s="3" t="str">
        <f>IFERROR(__xludf.DUMMYFUNCTION("""COMPUTED_VALUE"""),"Plataforma Playo 4.00 x 1.90 x 0.45 Lateral Doble Baranda Fija")</f>
        <v>Plataforma Playo 4.00 x 1.90 x 0.45 Lateral Doble Baranda Fija</v>
      </c>
      <c r="CO122" s="3" t="str">
        <f>IFERROR(__xludf.DUMMYFUNCTION("""COMPUTED_VALUE"""),"Plataforma Playo 4.00 x 1.90 x 0.72 Lateral Simple Baranda Fija")</f>
        <v>Plataforma Playo 4.00 x 1.90 x 0.72 Lateral Simple Baranda Fija</v>
      </c>
      <c r="CP122" s="3" t="str">
        <f>IFERROR(__xludf.DUMMYFUNCTION("""COMPUTED_VALUE"""),"Plataforma Playo 4.00 x 1.90 x 0.72 Lateral Doble Baranda Fija")</f>
        <v>Plataforma Playo 4.00 x 1.90 x 0.72 Lateral Doble Baranda Fija</v>
      </c>
      <c r="CQ122" s="3" t="str">
        <f>IFERROR(__xludf.DUMMYFUNCTION("""COMPUTED_VALUE"""),"Plataforma Playo 5.00 x 2.20 x 0.60 Lateral Doble Trasera Rebatible")</f>
        <v>Plataforma Playo 5.00 x 2.20 x 0.60 Lateral Doble Trasera Rebatible</v>
      </c>
      <c r="CR122" s="3" t="str">
        <f>IFERROR(__xludf.DUMMYFUNCTION("""COMPUTED_VALUE"""),"Plataforma Playo 5.00 x 2.20 x 0.60 Lateral Doble Baranda Fija C/Toldo")</f>
        <v>Plataforma Playo 5.00 x 2.20 x 0.60 Lateral Doble Baranda Fija C/Toldo</v>
      </c>
      <c r="CS122" s="3" t="str">
        <f>IFERROR(__xludf.DUMMYFUNCTION("""COMPUTED_VALUE"""),"Plataforma Playo 3.00 x 1.90 x 0.45 Lateral Simple Baranda Fija")</f>
        <v>Plataforma Playo 3.00 x 1.90 x 0.45 Lateral Simple Baranda Fija</v>
      </c>
      <c r="CT122" s="3" t="str">
        <f>IFERROR(__xludf.DUMMYFUNCTION("""COMPUTED_VALUE"""),"Plataforma Playo 3.00 x 1.90 x 0.45 Lateral Simple Baranda Ventilada")</f>
        <v>Plataforma Playo 3.00 x 1.90 x 0.45 Lateral Simple Baranda Ventilada</v>
      </c>
      <c r="CU122" s="3" t="str">
        <f>IFERROR(__xludf.DUMMYFUNCTION("""COMPUTED_VALUE"""),"Plataforma Playo 2.00 x 1.90 x 0.45 Lateral Simple Baranda Fija")</f>
        <v>Plataforma Playo 2.00 x 1.90 x 0.45 Lateral Simple Baranda Fija</v>
      </c>
      <c r="CV122" s="3" t="str">
        <f>IFERROR(__xludf.DUMMYFUNCTION("""COMPUTED_VALUE"""),"Plataforma Playo 5.00 x 1.90 x 0.60 Lateral Doble Baranda Fija")</f>
        <v>Plataforma Playo 5.00 x 1.90 x 0.60 Lateral Doble Baranda Fija</v>
      </c>
      <c r="CW122" s="3" t="str">
        <f>IFERROR(__xludf.DUMMYFUNCTION("""COMPUTED_VALUE"""),"Plataforma Playo 6.40 x 2.70 x 0.72 Lateral Doble Baranda Fija")</f>
        <v>Plataforma Playo 6.40 x 2.70 x 0.72 Lateral Doble Baranda Fija</v>
      </c>
      <c r="CX122" s="3" t="str">
        <f>IFERROR(__xludf.DUMMYFUNCTION("""COMPUTED_VALUE"""),"Chasis Acoplado Balancin L4000 Lanza Recta")</f>
        <v>Chasis Acoplado Balancin L4000 Lanza Recta</v>
      </c>
      <c r="CY122" s="3" t="str">
        <f>IFERROR(__xludf.DUMMYFUNCTION("""COMPUTED_VALUE"""),"Llanta simple Agrícola 750x20 centro 152")</f>
        <v>Llanta simple Agrícola 750x20 centro 152</v>
      </c>
      <c r="CZ122" s="3" t="str">
        <f>IFERROR(__xludf.DUMMYFUNCTION("""COMPUTED_VALUE"""),"Cajón de Herramientas Mediano adelante")</f>
        <v>Cajón de Herramientas Mediano adelante</v>
      </c>
      <c r="DA122" s="3" t="str">
        <f>IFERROR(__xludf.DUMMYFUNCTION("""COMPUTED_VALUE"""),"Llanta 15"" Simple Agrícola Centro 92")</f>
        <v>Llanta 15" Simple Agrícola Centro 92</v>
      </c>
    </row>
    <row r="123" hidden="1">
      <c r="A123" s="38">
        <f t="shared" si="1"/>
        <v>122</v>
      </c>
      <c r="B123" s="38">
        <f>IF(F123="","",SUMIF(Prearmados!E:E,F123,Prearmados!A:A))</f>
        <v>23</v>
      </c>
      <c r="C123" s="38">
        <f>IF(F123="","",SUMIF(Productos!E:E,G123,Productos!A:A))</f>
        <v>101</v>
      </c>
      <c r="D123" s="83" t="str">
        <f t="array" ref="D123">IF(OR(F123="",F123="Seleccionar.."),"",XLOOKUP(F123,Prearmados!E:E,Prearmados!F:F,"",0,1))</f>
        <v>Acoplados Rurales</v>
      </c>
      <c r="E123" s="83">
        <f>IF(H123="","",SUMIF(Precio_Productos!K:K,C123,Precio_Productos!J:J)*H123)</f>
        <v>780000</v>
      </c>
      <c r="F123" s="84" t="s">
        <v>346</v>
      </c>
      <c r="G123" s="84" t="s">
        <v>133</v>
      </c>
      <c r="H123" s="13">
        <v>2.0</v>
      </c>
      <c r="P123" s="3" t="str">
        <f>IFERROR(__xludf.DUMMYFUNCTION("IF(OR(F123="""",F123=""Seleccionar..""),"""",TRANSPOSE(FILTER(Productos!E:E,(Productos!F:F=D123)+(Productos!F:F=XLOOKUP(D123,Implementos!B:B,Implementos!C:C,""-"",0,1)))))"),"Tanque Combustible 1100 lts Bajo")</f>
        <v>Tanque Combustible 1100 lts Bajo</v>
      </c>
      <c r="Q123" s="3" t="str">
        <f>IFERROR(__xludf.DUMMYFUNCTION("""COMPUTED_VALUE"""),"Tanque Combustible 1500 lts Standard")</f>
        <v>Tanque Combustible 1500 lts Standard</v>
      </c>
      <c r="R123" s="3" t="str">
        <f>IFERROR(__xludf.DUMMYFUNCTION("""COMPUTED_VALUE"""),"Tanque Combustible 1800 lts Standard")</f>
        <v>Tanque Combustible 1800 lts Standard</v>
      </c>
      <c r="S123" s="3" t="str">
        <f>IFERROR(__xludf.DUMMYFUNCTION("""COMPUTED_VALUE"""),"Tanque Combustible 2000 lts Bajo")</f>
        <v>Tanque Combustible 2000 lts Bajo</v>
      </c>
      <c r="T123" s="3" t="str">
        <f>IFERROR(__xludf.DUMMYFUNCTION("""COMPUTED_VALUE"""),"Tanque Combustible 2000 lts Standard")</f>
        <v>Tanque Combustible 2000 lts Standard</v>
      </c>
      <c r="U123" s="3" t="str">
        <f>IFERROR(__xludf.DUMMYFUNCTION("""COMPUTED_VALUE"""),"Tanque Combustible 3000 lts Standard")</f>
        <v>Tanque Combustible 3000 lts Standard</v>
      </c>
      <c r="V123" s="3" t="str">
        <f>IFERROR(__xludf.DUMMYFUNCTION("""COMPUTED_VALUE"""),"Tanque Combustible 3000 lts Alto")</f>
        <v>Tanque Combustible 3000 lts Alto</v>
      </c>
      <c r="W123" s="3" t="str">
        <f>IFERROR(__xludf.DUMMYFUNCTION("""COMPUTED_VALUE"""),"Tanque Combustible 4000 lts Standard")</f>
        <v>Tanque Combustible 4000 lts Standard</v>
      </c>
      <c r="X123" s="3" t="str">
        <f>IFERROR(__xludf.DUMMYFUNCTION("""COMPUTED_VALUE"""),"Tanque Combustible 5000 lts Standard")</f>
        <v>Tanque Combustible 5000 lts Standard</v>
      </c>
      <c r="Y123" s="3" t="str">
        <f>IFERROR(__xludf.DUMMYFUNCTION("""COMPUTED_VALUE"""),"Tanque Combustible 5000 lts Alto")</f>
        <v>Tanque Combustible 5000 lts Alto</v>
      </c>
      <c r="Z123" s="3" t="str">
        <f>IFERROR(__xludf.DUMMYFUNCTION("""COMPUTED_VALUE"""),"Tanque Combustible 2000 lts Alto")</f>
        <v>Tanque Combustible 2000 lts Alto</v>
      </c>
      <c r="AA123" s="3" t="str">
        <f>IFERROR(__xludf.DUMMYFUNCTION("""COMPUTED_VALUE"""),"Tanque Combustible 4000 lts Alto")</f>
        <v>Tanque Combustible 4000 lts Alto</v>
      </c>
      <c r="AB123" s="3" t="str">
        <f>IFERROR(__xludf.DUMMYFUNCTION("""COMPUTED_VALUE"""),"Baulera Standard - 750")</f>
        <v>Baulera Standard - 750</v>
      </c>
      <c r="AC123" s="3" t="str">
        <f>IFERROR(__xludf.DUMMYFUNCTION("""COMPUTED_VALUE"""),"Baulera Standard - 1700 - C/Laterales")</f>
        <v>Baulera Standard - 1700 - C/Laterales</v>
      </c>
      <c r="AD123" s="3" t="str">
        <f>IFERROR(__xludf.DUMMYFUNCTION("""COMPUTED_VALUE"""),"Baulera Standard - 1000 - C/Laterales")</f>
        <v>Baulera Standard - 1000 - C/Laterales</v>
      </c>
      <c r="AE123" s="3" t="str">
        <f>IFERROR(__xludf.DUMMYFUNCTION("""COMPUTED_VALUE"""),"Baulera Standard - 750 - C/Laterales")</f>
        <v>Baulera Standard - 750 - C/Laterales</v>
      </c>
      <c r="AF123" s="3" t="str">
        <f>IFERROR(__xludf.DUMMYFUNCTION("""COMPUTED_VALUE"""),"Baulera Standard - 1300 - C/Laterales")</f>
        <v>Baulera Standard - 1300 - C/Laterales</v>
      </c>
      <c r="AG123" s="3" t="str">
        <f>IFERROR(__xludf.DUMMYFUNCTION("""COMPUTED_VALUE"""),"Baulera Alta - 750")</f>
        <v>Baulera Alta - 750</v>
      </c>
      <c r="AH123" s="3" t="str">
        <f>IFERROR(__xludf.DUMMYFUNCTION("""COMPUTED_VALUE"""),"Baulera Alta - 1500 - C/Laterales")</f>
        <v>Baulera Alta - 1500 - C/Laterales</v>
      </c>
      <c r="AI123" s="3" t="str">
        <f>IFERROR(__xludf.DUMMYFUNCTION("""COMPUTED_VALUE"""),"Baulera Extendida 1700 - C/Laterales")</f>
        <v>Baulera Extendida 1700 - C/Laterales</v>
      </c>
      <c r="AJ123" s="3" t="str">
        <f>IFERROR(__xludf.DUMMYFUNCTION("""COMPUTED_VALUE"""),"Taller Móvil - 1500 x 1500 x 1700")</f>
        <v>Taller Móvil - 1500 x 1500 x 1700</v>
      </c>
      <c r="AK123" s="3" t="str">
        <f>IFERROR(__xludf.DUMMYFUNCTION("""COMPUTED_VALUE"""),"Cajón Herramientas Standard Derecho")</f>
        <v>Cajón Herramientas Standard Derecho</v>
      </c>
      <c r="AL123" s="3" t="str">
        <f>IFERROR(__xludf.DUMMYFUNCTION("""COMPUTED_VALUE"""),"Cajón Herramientas Standard Izquierdo")</f>
        <v>Cajón Herramientas Standard Izquierdo</v>
      </c>
      <c r="AM123" s="3" t="str">
        <f>IFERROR(__xludf.DUMMYFUNCTION("""COMPUTED_VALUE"""),"Cajón Herramientas Corto Derecho")</f>
        <v>Cajón Herramientas Corto Derecho</v>
      </c>
      <c r="AN123" s="3" t="str">
        <f>IFERROR(__xludf.DUMMYFUNCTION("""COMPUTED_VALUE"""),"Cajón Herramientas Corto Izquierdo")</f>
        <v>Cajón Herramientas Corto Izquierdo</v>
      </c>
      <c r="AO123" s="3" t="str">
        <f>IFERROR(__xludf.DUMMYFUNCTION("""COMPUTED_VALUE"""),"Cajón Herramientas Mediano Derecho")</f>
        <v>Cajón Herramientas Mediano Derecho</v>
      </c>
      <c r="AP123" s="3" t="str">
        <f>IFERROR(__xludf.DUMMYFUNCTION("""COMPUTED_VALUE"""),"Cajón Herramientas Mediano Izquierdo")</f>
        <v>Cajón Herramientas Mediano Izquierdo</v>
      </c>
      <c r="AQ123" s="3" t="str">
        <f>IFERROR(__xludf.DUMMYFUNCTION("""COMPUTED_VALUE"""),"Chasis Acoplado 2 Ejes L3000")</f>
        <v>Chasis Acoplado 2 Ejes L3000</v>
      </c>
      <c r="AR123" s="3" t="str">
        <f>IFERROR(__xludf.DUMMYFUNCTION("""COMPUTED_VALUE"""),"Chasis Acoplado 2 Ejes L3750")</f>
        <v>Chasis Acoplado 2 Ejes L3750</v>
      </c>
      <c r="AS123" s="3" t="str">
        <f>IFERROR(__xludf.DUMMYFUNCTION("""COMPUTED_VALUE"""),"Chasis Acoplado 2 Ejes L4000")</f>
        <v>Chasis Acoplado 2 Ejes L4000</v>
      </c>
      <c r="AT123" s="3" t="str">
        <f>IFERROR(__xludf.DUMMYFUNCTION("""COMPUTED_VALUE"""),"Chasis Acoplado 2 Ejes L4000 Reforzado")</f>
        <v>Chasis Acoplado 2 Ejes L4000 Reforzado</v>
      </c>
      <c r="AU123" s="3" t="str">
        <f>IFERROR(__xludf.DUMMYFUNCTION("""COMPUTED_VALUE"""),"Chasis Acoplado 2 Ejes L4750")</f>
        <v>Chasis Acoplado 2 Ejes L4750</v>
      </c>
      <c r="AV123" s="3" t="str">
        <f>IFERROR(__xludf.DUMMYFUNCTION("""COMPUTED_VALUE"""),"Chasis Acoplado 2 Ejes L4750 Reforzado")</f>
        <v>Chasis Acoplado 2 Ejes L4750 Reforzado</v>
      </c>
      <c r="AW123" s="3" t="str">
        <f>IFERROR(__xludf.DUMMYFUNCTION("""COMPUTED_VALUE"""),"Chasis Acoplado 2 Ejes L4750 Reforzado R. Camion")</f>
        <v>Chasis Acoplado 2 Ejes L4750 Reforzado R. Camion</v>
      </c>
      <c r="AX123" s="3" t="str">
        <f>IFERROR(__xludf.DUMMYFUNCTION("""COMPUTED_VALUE"""),"Chasis Acoplado 2 Ejes L5000")</f>
        <v>Chasis Acoplado 2 Ejes L5000</v>
      </c>
      <c r="AY123" s="3" t="str">
        <f>IFERROR(__xludf.DUMMYFUNCTION("""COMPUTED_VALUE"""),"Chasis Acoplado 2 Ejes L5750")</f>
        <v>Chasis Acoplado 2 Ejes L5750</v>
      </c>
      <c r="AZ123" s="3" t="str">
        <f>IFERROR(__xludf.DUMMYFUNCTION("""COMPUTED_VALUE"""),"Chasis Acoplado 2 Ejes L6400")</f>
        <v>Chasis Acoplado 2 Ejes L6400</v>
      </c>
      <c r="BA123" s="3" t="str">
        <f>IFERROR(__xludf.DUMMYFUNCTION("""COMPUTED_VALUE"""),"Chasis Acoplado 2 Ejes L4500")</f>
        <v>Chasis Acoplado 2 Ejes L4500</v>
      </c>
      <c r="BB123" s="3" t="str">
        <f>IFERROR(__xludf.DUMMYFUNCTION("""COMPUTED_VALUE"""),"Chasis Acoplado 1 Eje L1500")</f>
        <v>Chasis Acoplado 1 Eje L1500</v>
      </c>
      <c r="BC123" s="3" t="str">
        <f>IFERROR(__xludf.DUMMYFUNCTION("""COMPUTED_VALUE"""),"Chasis Acoplado 1 Eje L1800")</f>
        <v>Chasis Acoplado 1 Eje L1800</v>
      </c>
      <c r="BD123" s="3" t="str">
        <f>IFERROR(__xludf.DUMMYFUNCTION("""COMPUTED_VALUE"""),"Chasis Acoplado 1 Eje L1400")</f>
        <v>Chasis Acoplado 1 Eje L1400</v>
      </c>
      <c r="BE123" s="3" t="str">
        <f>IFERROR(__xludf.DUMMYFUNCTION("""COMPUTED_VALUE"""),"Chasis Acoplado Balancin L3000")</f>
        <v>Chasis Acoplado Balancin L3000</v>
      </c>
      <c r="BF123" s="3" t="str">
        <f>IFERROR(__xludf.DUMMYFUNCTION("""COMPUTED_VALUE"""),"Chasis Acoplado Balancin L3000 Lanza Corta")</f>
        <v>Chasis Acoplado Balancin L3000 Lanza Corta</v>
      </c>
      <c r="BG123" s="3" t="str">
        <f>IFERROR(__xludf.DUMMYFUNCTION("""COMPUTED_VALUE"""),"Chasis Acoplado Balancin L2000 Lanza Corta")</f>
        <v>Chasis Acoplado Balancin L2000 Lanza Corta</v>
      </c>
      <c r="BH123" s="3" t="str">
        <f>IFERROR(__xludf.DUMMYFUNCTION("""COMPUTED_VALUE"""),"Chasis Acoplado Balancin L3200 Lanza Corta")</f>
        <v>Chasis Acoplado Balancin L3200 Lanza Corta</v>
      </c>
      <c r="BI123" s="3" t="str">
        <f>IFERROR(__xludf.DUMMYFUNCTION("""COMPUTED_VALUE"""),"Chasis Acoplado Balancin L3200 Lanza Recta")</f>
        <v>Chasis Acoplado Balancin L3200 Lanza Recta</v>
      </c>
      <c r="BJ123" s="3" t="str">
        <f>IFERROR(__xludf.DUMMYFUNCTION("""COMPUTED_VALUE"""),"Chasis Acoplado Balancin L3200 Bajo Lanza Recta")</f>
        <v>Chasis Acoplado Balancin L3200 Bajo Lanza Recta</v>
      </c>
      <c r="BK123" s="3" t="str">
        <f>IFERROR(__xludf.DUMMYFUNCTION("""COMPUTED_VALUE"""),"Tanque Plastico Horizontal 750 Lts")</f>
        <v>Tanque Plastico Horizontal 750 Lts</v>
      </c>
      <c r="BL123" s="3" t="str">
        <f>IFERROR(__xludf.DUMMYFUNCTION("""COMPUTED_VALUE"""),"Medio Tanque Plastico Superior 700 Lts")</f>
        <v>Medio Tanque Plastico Superior 700 Lts</v>
      </c>
      <c r="BM123" s="3" t="str">
        <f>IFERROR(__xludf.DUMMYFUNCTION("""COMPUTED_VALUE"""),"Paquete de Elasticos 50 mm x 8 mm x 10 Hojas L850")</f>
        <v>Paquete de Elasticos 50 mm x 8 mm x 10 Hojas L850</v>
      </c>
      <c r="BN123" s="3" t="str">
        <f>IFERROR(__xludf.DUMMYFUNCTION("""COMPUTED_VALUE"""),"Paquete de Elasticos 63 mm x 8 mm x 10 Hojas L950")</f>
        <v>Paquete de Elasticos 63 mm x 8 mm x 10 Hojas L950</v>
      </c>
      <c r="BO123" s="3" t="str">
        <f>IFERROR(__xludf.DUMMYFUNCTION("""COMPUTED_VALUE"""),"Paquete de Elasticos 50 mm x 7 mm x 9 Hojas L850")</f>
        <v>Paquete de Elasticos 50 mm x 7 mm x 9 Hojas L850</v>
      </c>
      <c r="BP123" s="3" t="str">
        <f>IFERROR(__xludf.DUMMYFUNCTION("""COMPUTED_VALUE"""),"Paquete de Elasticos 63 mm x 8 mm x 8 Hojas L850")</f>
        <v>Paquete de Elasticos 63 mm x 8 mm x 8 Hojas L850</v>
      </c>
      <c r="BQ123" s="3" t="str">
        <f>IFERROR(__xludf.DUMMYFUNCTION("""COMPUTED_VALUE"""),"Paquete de Elasticos 63 mm x 10 mm x 10 Hojas L950")</f>
        <v>Paquete de Elasticos 63 mm x 10 mm x 10 Hojas L950</v>
      </c>
      <c r="BR123" s="3" t="str">
        <f>IFERROR(__xludf.DUMMYFUNCTION("""COMPUTED_VALUE"""),"Paquete de Elasticos 63 mm x 10 mm x 13 Hojas L975")</f>
        <v>Paquete de Elasticos 63 mm x 10 mm x 13 Hojas L975</v>
      </c>
      <c r="BS123" s="3" t="str">
        <f>IFERROR(__xludf.DUMMYFUNCTION("""COMPUTED_VALUE"""),"Paquete de Elasticos 50 mm x 7 mm x 9 Hojas L650")</f>
        <v>Paquete de Elasticos 50 mm x 7 mm x 9 Hojas L650</v>
      </c>
      <c r="BT123" s="3" t="str">
        <f>IFERROR(__xludf.DUMMYFUNCTION("""COMPUTED_VALUE"""),"Eje Acoplado 2"" x 1600 (06/08) Agrícola Centro 92")</f>
        <v>Eje Acoplado 2" x 1600 (06/08) Agrícola Centro 92</v>
      </c>
      <c r="BU123" s="3" t="str">
        <f>IFERROR(__xludf.DUMMYFUNCTION("""COMPUTED_VALUE"""),"Eje Acoplado 2 1/2"" x 1600 (07/09) Agrícola Centro 92")</f>
        <v>Eje Acoplado 2 1/2" x 1600 (07/09) Agrícola Centro 92</v>
      </c>
      <c r="BV123" s="3" t="str">
        <f>IFERROR(__xludf.DUMMYFUNCTION("""COMPUTED_VALUE"""),"Eje Acoplado 2 1/2"" x 1600 (09/11) Agrícola Centro 150")</f>
        <v>Eje Acoplado 2 1/2" x 1600 (09/11) Agrícola Centro 150</v>
      </c>
      <c r="BW123" s="3" t="str">
        <f>IFERROR(__xludf.DUMMYFUNCTION("""COMPUTED_VALUE"""),"Eje Acoplado 3"" x 1600 (10/13) Agrícola Centro 150")</f>
        <v>Eje Acoplado 3" x 1600 (10/13) Agrícola Centro 150</v>
      </c>
      <c r="BX123" s="3" t="str">
        <f>IFERROR(__xludf.DUMMYFUNCTION("""COMPUTED_VALUE"""),"Eje Acoplado 2 1/2"" x 2140 (07/09) Agrícola Centro 92")</f>
        <v>Eje Acoplado 2 1/2" x 2140 (07/09) Agrícola Centro 92</v>
      </c>
      <c r="BY123" s="3" t="str">
        <f>IFERROR(__xludf.DUMMYFUNCTION("""COMPUTED_VALUE"""),"Eje Acoplado 2"" x 1400 (06/08) Agrícola Centro 92")</f>
        <v>Eje Acoplado 2" x 1400 (06/08) Agrícola Centro 92</v>
      </c>
      <c r="BZ123" s="3" t="str">
        <f>IFERROR(__xludf.DUMMYFUNCTION("""COMPUTED_VALUE"""),"Eje Acoplado 2 1/2"" x 1500 (07/09) Agrícola Centro 92")</f>
        <v>Eje Acoplado 2 1/2" x 1500 (07/09) Agrícola Centro 92</v>
      </c>
      <c r="CA123" s="3" t="str">
        <f>IFERROR(__xludf.DUMMYFUNCTION("""COMPUTED_VALUE"""),"Eje Acoplado 2 1/2"" x 2000 (07/09) Agrícola Centro 92")</f>
        <v>Eje Acoplado 2 1/2" x 2000 (07/09) Agrícola Centro 92</v>
      </c>
      <c r="CB123" s="3" t="str">
        <f>IFERROR(__xludf.DUMMYFUNCTION("""COMPUTED_VALUE"""),"Eje Acoplado 2 1/2"" x 2100 (09/11) Agrícola Centro 150")</f>
        <v>Eje Acoplado 2 1/2" x 2100 (09/11) Agrícola Centro 150</v>
      </c>
      <c r="CC123" s="3" t="str">
        <f>IFERROR(__xludf.DUMMYFUNCTION("""COMPUTED_VALUE"""),"Llanta 16"" Simple Agrícola Centro 92")</f>
        <v>Llanta 16" Simple Agrícola Centro 92</v>
      </c>
      <c r="CD123" s="3" t="str">
        <f>IFERROR(__xludf.DUMMYFUNCTION("""COMPUTED_VALUE"""),"Llanta 16"" Dual Agrícola Centro 92")</f>
        <v>Llanta 16" Dual Agrícola Centro 92</v>
      </c>
      <c r="CE123" s="3" t="str">
        <f>IFERROR(__xludf.DUMMYFUNCTION("""COMPUTED_VALUE"""),"Llanta 17"" Simple Agrícola Centro 92")</f>
        <v>Llanta 17" Simple Agrícola Centro 92</v>
      </c>
      <c r="CF123" s="3" t="str">
        <f>IFERROR(__xludf.DUMMYFUNCTION("""COMPUTED_VALUE"""),"Llanta 17"" Dual Agrícola Centro 92")</f>
        <v>Llanta 17" Dual Agrícola Centro 92</v>
      </c>
      <c r="CG123" s="3" t="str">
        <f>IFERROR(__xludf.DUMMYFUNCTION("""COMPUTED_VALUE"""),"Llanta 16"" Dual Agrícola Centro 152")</f>
        <v>Llanta 16" Dual Agrícola Centro 152</v>
      </c>
      <c r="CH123" s="3" t="str">
        <f>IFERROR(__xludf.DUMMYFUNCTION("""COMPUTED_VALUE"""),"Llanta 17"" Dual Agrícola Centro 152")</f>
        <v>Llanta 17" Dual Agrícola Centro 152</v>
      </c>
      <c r="CI123" s="3" t="str">
        <f>IFERROR(__xludf.DUMMYFUNCTION("""COMPUTED_VALUE"""),"Eje Acoplado 2"" x 1600 (05/07) Agrícola Centro 92")</f>
        <v>Eje Acoplado 2" x 1600 (05/07) Agrícola Centro 92</v>
      </c>
      <c r="CJ123" s="3" t="str">
        <f>IFERROR(__xludf.DUMMYFUNCTION("""COMPUTED_VALUE"""),"Paquete de Elásticos 50 mm x 8 mm x 12 Hojas")</f>
        <v>Paquete de Elásticos 50 mm x 8 mm x 12 Hojas</v>
      </c>
      <c r="CK123" s="3" t="str">
        <f>IFERROR(__xludf.DUMMYFUNCTION("""COMPUTED_VALUE"""),"Plataforma Playo 4.00 x 1.90 x 0.45 Lateral Simple Baranda Fija")</f>
        <v>Plataforma Playo 4.00 x 1.90 x 0.45 Lateral Simple Baranda Fija</v>
      </c>
      <c r="CL123" s="3" t="str">
        <f>IFERROR(__xludf.DUMMYFUNCTION("""COMPUTED_VALUE"""),"Plataforma Playo 4.00 x 1.90 x 0.45 Lateral Simple Baranda Ventilada")</f>
        <v>Plataforma Playo 4.00 x 1.90 x 0.45 Lateral Simple Baranda Ventilada</v>
      </c>
      <c r="CM123" s="3" t="str">
        <f>IFERROR(__xludf.DUMMYFUNCTION("""COMPUTED_VALUE"""),"Plataforma Playo 4.00 x 1.90 x 0.45 Lateral Doble Baranda Ventilada")</f>
        <v>Plataforma Playo 4.00 x 1.90 x 0.45 Lateral Doble Baranda Ventilada</v>
      </c>
      <c r="CN123" s="3" t="str">
        <f>IFERROR(__xludf.DUMMYFUNCTION("""COMPUTED_VALUE"""),"Plataforma Playo 4.00 x 1.90 x 0.45 Lateral Doble Baranda Fija")</f>
        <v>Plataforma Playo 4.00 x 1.90 x 0.45 Lateral Doble Baranda Fija</v>
      </c>
      <c r="CO123" s="3" t="str">
        <f>IFERROR(__xludf.DUMMYFUNCTION("""COMPUTED_VALUE"""),"Plataforma Playo 4.00 x 1.90 x 0.72 Lateral Simple Baranda Fija")</f>
        <v>Plataforma Playo 4.00 x 1.90 x 0.72 Lateral Simple Baranda Fija</v>
      </c>
      <c r="CP123" s="3" t="str">
        <f>IFERROR(__xludf.DUMMYFUNCTION("""COMPUTED_VALUE"""),"Plataforma Playo 4.00 x 1.90 x 0.72 Lateral Doble Baranda Fija")</f>
        <v>Plataforma Playo 4.00 x 1.90 x 0.72 Lateral Doble Baranda Fija</v>
      </c>
      <c r="CQ123" s="3" t="str">
        <f>IFERROR(__xludf.DUMMYFUNCTION("""COMPUTED_VALUE"""),"Plataforma Playo 5.00 x 2.20 x 0.60 Lateral Doble Trasera Rebatible")</f>
        <v>Plataforma Playo 5.00 x 2.20 x 0.60 Lateral Doble Trasera Rebatible</v>
      </c>
      <c r="CR123" s="3" t="str">
        <f>IFERROR(__xludf.DUMMYFUNCTION("""COMPUTED_VALUE"""),"Plataforma Playo 5.00 x 2.20 x 0.60 Lateral Doble Baranda Fija C/Toldo")</f>
        <v>Plataforma Playo 5.00 x 2.20 x 0.60 Lateral Doble Baranda Fija C/Toldo</v>
      </c>
      <c r="CS123" s="3" t="str">
        <f>IFERROR(__xludf.DUMMYFUNCTION("""COMPUTED_VALUE"""),"Plataforma Playo 3.00 x 1.90 x 0.45 Lateral Simple Baranda Fija")</f>
        <v>Plataforma Playo 3.00 x 1.90 x 0.45 Lateral Simple Baranda Fija</v>
      </c>
      <c r="CT123" s="3" t="str">
        <f>IFERROR(__xludf.DUMMYFUNCTION("""COMPUTED_VALUE"""),"Plataforma Playo 3.00 x 1.90 x 0.45 Lateral Simple Baranda Ventilada")</f>
        <v>Plataforma Playo 3.00 x 1.90 x 0.45 Lateral Simple Baranda Ventilada</v>
      </c>
      <c r="CU123" s="3" t="str">
        <f>IFERROR(__xludf.DUMMYFUNCTION("""COMPUTED_VALUE"""),"Plataforma Playo 2.00 x 1.90 x 0.45 Lateral Simple Baranda Fija")</f>
        <v>Plataforma Playo 2.00 x 1.90 x 0.45 Lateral Simple Baranda Fija</v>
      </c>
      <c r="CV123" s="3" t="str">
        <f>IFERROR(__xludf.DUMMYFUNCTION("""COMPUTED_VALUE"""),"Plataforma Playo 5.00 x 1.90 x 0.60 Lateral Doble Baranda Fija")</f>
        <v>Plataforma Playo 5.00 x 1.90 x 0.60 Lateral Doble Baranda Fija</v>
      </c>
      <c r="CW123" s="3" t="str">
        <f>IFERROR(__xludf.DUMMYFUNCTION("""COMPUTED_VALUE"""),"Plataforma Playo 6.40 x 2.70 x 0.72 Lateral Doble Baranda Fija")</f>
        <v>Plataforma Playo 6.40 x 2.70 x 0.72 Lateral Doble Baranda Fija</v>
      </c>
      <c r="CX123" s="3" t="str">
        <f>IFERROR(__xludf.DUMMYFUNCTION("""COMPUTED_VALUE"""),"Chasis Acoplado Balancin L4000 Lanza Recta")</f>
        <v>Chasis Acoplado Balancin L4000 Lanza Recta</v>
      </c>
      <c r="CY123" s="3" t="str">
        <f>IFERROR(__xludf.DUMMYFUNCTION("""COMPUTED_VALUE"""),"Llanta simple Agrícola 750x20 centro 152")</f>
        <v>Llanta simple Agrícola 750x20 centro 152</v>
      </c>
      <c r="CZ123" s="3" t="str">
        <f>IFERROR(__xludf.DUMMYFUNCTION("""COMPUTED_VALUE"""),"Cajón de Herramientas Mediano adelante")</f>
        <v>Cajón de Herramientas Mediano adelante</v>
      </c>
      <c r="DA123" s="3" t="str">
        <f>IFERROR(__xludf.DUMMYFUNCTION("""COMPUTED_VALUE"""),"Llanta 15"" Simple Agrícola Centro 92")</f>
        <v>Llanta 15" Simple Agrícola Centro 92</v>
      </c>
    </row>
    <row r="124" hidden="1">
      <c r="A124" s="38">
        <f t="shared" si="1"/>
        <v>123</v>
      </c>
      <c r="B124" s="38">
        <f>IF(F124="","",SUMIF(Prearmados!E:E,F124,Prearmados!A:A))</f>
        <v>23</v>
      </c>
      <c r="C124" s="38">
        <f>IF(F124="","",SUMIF(Productos!E:E,G124,Productos!A:A))</f>
        <v>94</v>
      </c>
      <c r="D124" s="83" t="str">
        <f t="array" ref="D124">IF(OR(F124="",F124="Seleccionar.."),"",XLOOKUP(F124,Prearmados!E:E,Prearmados!F:F,"",0,1))</f>
        <v>Acoplados Rurales</v>
      </c>
      <c r="E124" s="83">
        <f>IF(H124="","",SUMIF(Precio_Productos!K:K,C124,Precio_Productos!J:J)*H124)</f>
        <v>540764</v>
      </c>
      <c r="F124" s="84" t="s">
        <v>346</v>
      </c>
      <c r="G124" s="84" t="s">
        <v>121</v>
      </c>
      <c r="H124" s="13">
        <v>4.0</v>
      </c>
      <c r="P124" s="3" t="str">
        <f>IFERROR(__xludf.DUMMYFUNCTION("IF(OR(F124="""",F124=""Seleccionar..""),"""",TRANSPOSE(FILTER(Productos!E:E,(Productos!F:F=D124)+(Productos!F:F=XLOOKUP(D124,Implementos!B:B,Implementos!C:C,""-"",0,1)))))"),"Tanque Combustible 1100 lts Bajo")</f>
        <v>Tanque Combustible 1100 lts Bajo</v>
      </c>
      <c r="Q124" s="3" t="str">
        <f>IFERROR(__xludf.DUMMYFUNCTION("""COMPUTED_VALUE"""),"Tanque Combustible 1500 lts Standard")</f>
        <v>Tanque Combustible 1500 lts Standard</v>
      </c>
      <c r="R124" s="3" t="str">
        <f>IFERROR(__xludf.DUMMYFUNCTION("""COMPUTED_VALUE"""),"Tanque Combustible 1800 lts Standard")</f>
        <v>Tanque Combustible 1800 lts Standard</v>
      </c>
      <c r="S124" s="3" t="str">
        <f>IFERROR(__xludf.DUMMYFUNCTION("""COMPUTED_VALUE"""),"Tanque Combustible 2000 lts Bajo")</f>
        <v>Tanque Combustible 2000 lts Bajo</v>
      </c>
      <c r="T124" s="3" t="str">
        <f>IFERROR(__xludf.DUMMYFUNCTION("""COMPUTED_VALUE"""),"Tanque Combustible 2000 lts Standard")</f>
        <v>Tanque Combustible 2000 lts Standard</v>
      </c>
      <c r="U124" s="3" t="str">
        <f>IFERROR(__xludf.DUMMYFUNCTION("""COMPUTED_VALUE"""),"Tanque Combustible 3000 lts Standard")</f>
        <v>Tanque Combustible 3000 lts Standard</v>
      </c>
      <c r="V124" s="3" t="str">
        <f>IFERROR(__xludf.DUMMYFUNCTION("""COMPUTED_VALUE"""),"Tanque Combustible 3000 lts Alto")</f>
        <v>Tanque Combustible 3000 lts Alto</v>
      </c>
      <c r="W124" s="3" t="str">
        <f>IFERROR(__xludf.DUMMYFUNCTION("""COMPUTED_VALUE"""),"Tanque Combustible 4000 lts Standard")</f>
        <v>Tanque Combustible 4000 lts Standard</v>
      </c>
      <c r="X124" s="3" t="str">
        <f>IFERROR(__xludf.DUMMYFUNCTION("""COMPUTED_VALUE"""),"Tanque Combustible 5000 lts Standard")</f>
        <v>Tanque Combustible 5000 lts Standard</v>
      </c>
      <c r="Y124" s="3" t="str">
        <f>IFERROR(__xludf.DUMMYFUNCTION("""COMPUTED_VALUE"""),"Tanque Combustible 5000 lts Alto")</f>
        <v>Tanque Combustible 5000 lts Alto</v>
      </c>
      <c r="Z124" s="3" t="str">
        <f>IFERROR(__xludf.DUMMYFUNCTION("""COMPUTED_VALUE"""),"Tanque Combustible 2000 lts Alto")</f>
        <v>Tanque Combustible 2000 lts Alto</v>
      </c>
      <c r="AA124" s="3" t="str">
        <f>IFERROR(__xludf.DUMMYFUNCTION("""COMPUTED_VALUE"""),"Tanque Combustible 4000 lts Alto")</f>
        <v>Tanque Combustible 4000 lts Alto</v>
      </c>
      <c r="AB124" s="3" t="str">
        <f>IFERROR(__xludf.DUMMYFUNCTION("""COMPUTED_VALUE"""),"Baulera Standard - 750")</f>
        <v>Baulera Standard - 750</v>
      </c>
      <c r="AC124" s="3" t="str">
        <f>IFERROR(__xludf.DUMMYFUNCTION("""COMPUTED_VALUE"""),"Baulera Standard - 1700 - C/Laterales")</f>
        <v>Baulera Standard - 1700 - C/Laterales</v>
      </c>
      <c r="AD124" s="3" t="str">
        <f>IFERROR(__xludf.DUMMYFUNCTION("""COMPUTED_VALUE"""),"Baulera Standard - 1000 - C/Laterales")</f>
        <v>Baulera Standard - 1000 - C/Laterales</v>
      </c>
      <c r="AE124" s="3" t="str">
        <f>IFERROR(__xludf.DUMMYFUNCTION("""COMPUTED_VALUE"""),"Baulera Standard - 750 - C/Laterales")</f>
        <v>Baulera Standard - 750 - C/Laterales</v>
      </c>
      <c r="AF124" s="3" t="str">
        <f>IFERROR(__xludf.DUMMYFUNCTION("""COMPUTED_VALUE"""),"Baulera Standard - 1300 - C/Laterales")</f>
        <v>Baulera Standard - 1300 - C/Laterales</v>
      </c>
      <c r="AG124" s="3" t="str">
        <f>IFERROR(__xludf.DUMMYFUNCTION("""COMPUTED_VALUE"""),"Baulera Alta - 750")</f>
        <v>Baulera Alta - 750</v>
      </c>
      <c r="AH124" s="3" t="str">
        <f>IFERROR(__xludf.DUMMYFUNCTION("""COMPUTED_VALUE"""),"Baulera Alta - 1500 - C/Laterales")</f>
        <v>Baulera Alta - 1500 - C/Laterales</v>
      </c>
      <c r="AI124" s="3" t="str">
        <f>IFERROR(__xludf.DUMMYFUNCTION("""COMPUTED_VALUE"""),"Baulera Extendida 1700 - C/Laterales")</f>
        <v>Baulera Extendida 1700 - C/Laterales</v>
      </c>
      <c r="AJ124" s="3" t="str">
        <f>IFERROR(__xludf.DUMMYFUNCTION("""COMPUTED_VALUE"""),"Taller Móvil - 1500 x 1500 x 1700")</f>
        <v>Taller Móvil - 1500 x 1500 x 1700</v>
      </c>
      <c r="AK124" s="3" t="str">
        <f>IFERROR(__xludf.DUMMYFUNCTION("""COMPUTED_VALUE"""),"Cajón Herramientas Standard Derecho")</f>
        <v>Cajón Herramientas Standard Derecho</v>
      </c>
      <c r="AL124" s="3" t="str">
        <f>IFERROR(__xludf.DUMMYFUNCTION("""COMPUTED_VALUE"""),"Cajón Herramientas Standard Izquierdo")</f>
        <v>Cajón Herramientas Standard Izquierdo</v>
      </c>
      <c r="AM124" s="3" t="str">
        <f>IFERROR(__xludf.DUMMYFUNCTION("""COMPUTED_VALUE"""),"Cajón Herramientas Corto Derecho")</f>
        <v>Cajón Herramientas Corto Derecho</v>
      </c>
      <c r="AN124" s="3" t="str">
        <f>IFERROR(__xludf.DUMMYFUNCTION("""COMPUTED_VALUE"""),"Cajón Herramientas Corto Izquierdo")</f>
        <v>Cajón Herramientas Corto Izquierdo</v>
      </c>
      <c r="AO124" s="3" t="str">
        <f>IFERROR(__xludf.DUMMYFUNCTION("""COMPUTED_VALUE"""),"Cajón Herramientas Mediano Derecho")</f>
        <v>Cajón Herramientas Mediano Derecho</v>
      </c>
      <c r="AP124" s="3" t="str">
        <f>IFERROR(__xludf.DUMMYFUNCTION("""COMPUTED_VALUE"""),"Cajón Herramientas Mediano Izquierdo")</f>
        <v>Cajón Herramientas Mediano Izquierdo</v>
      </c>
      <c r="AQ124" s="3" t="str">
        <f>IFERROR(__xludf.DUMMYFUNCTION("""COMPUTED_VALUE"""),"Chasis Acoplado 2 Ejes L3000")</f>
        <v>Chasis Acoplado 2 Ejes L3000</v>
      </c>
      <c r="AR124" s="3" t="str">
        <f>IFERROR(__xludf.DUMMYFUNCTION("""COMPUTED_VALUE"""),"Chasis Acoplado 2 Ejes L3750")</f>
        <v>Chasis Acoplado 2 Ejes L3750</v>
      </c>
      <c r="AS124" s="3" t="str">
        <f>IFERROR(__xludf.DUMMYFUNCTION("""COMPUTED_VALUE"""),"Chasis Acoplado 2 Ejes L4000")</f>
        <v>Chasis Acoplado 2 Ejes L4000</v>
      </c>
      <c r="AT124" s="3" t="str">
        <f>IFERROR(__xludf.DUMMYFUNCTION("""COMPUTED_VALUE"""),"Chasis Acoplado 2 Ejes L4000 Reforzado")</f>
        <v>Chasis Acoplado 2 Ejes L4000 Reforzado</v>
      </c>
      <c r="AU124" s="3" t="str">
        <f>IFERROR(__xludf.DUMMYFUNCTION("""COMPUTED_VALUE"""),"Chasis Acoplado 2 Ejes L4750")</f>
        <v>Chasis Acoplado 2 Ejes L4750</v>
      </c>
      <c r="AV124" s="3" t="str">
        <f>IFERROR(__xludf.DUMMYFUNCTION("""COMPUTED_VALUE"""),"Chasis Acoplado 2 Ejes L4750 Reforzado")</f>
        <v>Chasis Acoplado 2 Ejes L4750 Reforzado</v>
      </c>
      <c r="AW124" s="3" t="str">
        <f>IFERROR(__xludf.DUMMYFUNCTION("""COMPUTED_VALUE"""),"Chasis Acoplado 2 Ejes L4750 Reforzado R. Camion")</f>
        <v>Chasis Acoplado 2 Ejes L4750 Reforzado R. Camion</v>
      </c>
      <c r="AX124" s="3" t="str">
        <f>IFERROR(__xludf.DUMMYFUNCTION("""COMPUTED_VALUE"""),"Chasis Acoplado 2 Ejes L5000")</f>
        <v>Chasis Acoplado 2 Ejes L5000</v>
      </c>
      <c r="AY124" s="3" t="str">
        <f>IFERROR(__xludf.DUMMYFUNCTION("""COMPUTED_VALUE"""),"Chasis Acoplado 2 Ejes L5750")</f>
        <v>Chasis Acoplado 2 Ejes L5750</v>
      </c>
      <c r="AZ124" s="3" t="str">
        <f>IFERROR(__xludf.DUMMYFUNCTION("""COMPUTED_VALUE"""),"Chasis Acoplado 2 Ejes L6400")</f>
        <v>Chasis Acoplado 2 Ejes L6400</v>
      </c>
      <c r="BA124" s="3" t="str">
        <f>IFERROR(__xludf.DUMMYFUNCTION("""COMPUTED_VALUE"""),"Chasis Acoplado 2 Ejes L4500")</f>
        <v>Chasis Acoplado 2 Ejes L4500</v>
      </c>
      <c r="BB124" s="3" t="str">
        <f>IFERROR(__xludf.DUMMYFUNCTION("""COMPUTED_VALUE"""),"Chasis Acoplado 1 Eje L1500")</f>
        <v>Chasis Acoplado 1 Eje L1500</v>
      </c>
      <c r="BC124" s="3" t="str">
        <f>IFERROR(__xludf.DUMMYFUNCTION("""COMPUTED_VALUE"""),"Chasis Acoplado 1 Eje L1800")</f>
        <v>Chasis Acoplado 1 Eje L1800</v>
      </c>
      <c r="BD124" s="3" t="str">
        <f>IFERROR(__xludf.DUMMYFUNCTION("""COMPUTED_VALUE"""),"Chasis Acoplado 1 Eje L1400")</f>
        <v>Chasis Acoplado 1 Eje L1400</v>
      </c>
      <c r="BE124" s="3" t="str">
        <f>IFERROR(__xludf.DUMMYFUNCTION("""COMPUTED_VALUE"""),"Chasis Acoplado Balancin L3000")</f>
        <v>Chasis Acoplado Balancin L3000</v>
      </c>
      <c r="BF124" s="3" t="str">
        <f>IFERROR(__xludf.DUMMYFUNCTION("""COMPUTED_VALUE"""),"Chasis Acoplado Balancin L3000 Lanza Corta")</f>
        <v>Chasis Acoplado Balancin L3000 Lanza Corta</v>
      </c>
      <c r="BG124" s="3" t="str">
        <f>IFERROR(__xludf.DUMMYFUNCTION("""COMPUTED_VALUE"""),"Chasis Acoplado Balancin L2000 Lanza Corta")</f>
        <v>Chasis Acoplado Balancin L2000 Lanza Corta</v>
      </c>
      <c r="BH124" s="3" t="str">
        <f>IFERROR(__xludf.DUMMYFUNCTION("""COMPUTED_VALUE"""),"Chasis Acoplado Balancin L3200 Lanza Corta")</f>
        <v>Chasis Acoplado Balancin L3200 Lanza Corta</v>
      </c>
      <c r="BI124" s="3" t="str">
        <f>IFERROR(__xludf.DUMMYFUNCTION("""COMPUTED_VALUE"""),"Chasis Acoplado Balancin L3200 Lanza Recta")</f>
        <v>Chasis Acoplado Balancin L3200 Lanza Recta</v>
      </c>
      <c r="BJ124" s="3" t="str">
        <f>IFERROR(__xludf.DUMMYFUNCTION("""COMPUTED_VALUE"""),"Chasis Acoplado Balancin L3200 Bajo Lanza Recta")</f>
        <v>Chasis Acoplado Balancin L3200 Bajo Lanza Recta</v>
      </c>
      <c r="BK124" s="3" t="str">
        <f>IFERROR(__xludf.DUMMYFUNCTION("""COMPUTED_VALUE"""),"Tanque Plastico Horizontal 750 Lts")</f>
        <v>Tanque Plastico Horizontal 750 Lts</v>
      </c>
      <c r="BL124" s="3" t="str">
        <f>IFERROR(__xludf.DUMMYFUNCTION("""COMPUTED_VALUE"""),"Medio Tanque Plastico Superior 700 Lts")</f>
        <v>Medio Tanque Plastico Superior 700 Lts</v>
      </c>
      <c r="BM124" s="3" t="str">
        <f>IFERROR(__xludf.DUMMYFUNCTION("""COMPUTED_VALUE"""),"Paquete de Elasticos 50 mm x 8 mm x 10 Hojas L850")</f>
        <v>Paquete de Elasticos 50 mm x 8 mm x 10 Hojas L850</v>
      </c>
      <c r="BN124" s="3" t="str">
        <f>IFERROR(__xludf.DUMMYFUNCTION("""COMPUTED_VALUE"""),"Paquete de Elasticos 63 mm x 8 mm x 10 Hojas L950")</f>
        <v>Paquete de Elasticos 63 mm x 8 mm x 10 Hojas L950</v>
      </c>
      <c r="BO124" s="3" t="str">
        <f>IFERROR(__xludf.DUMMYFUNCTION("""COMPUTED_VALUE"""),"Paquete de Elasticos 50 mm x 7 mm x 9 Hojas L850")</f>
        <v>Paquete de Elasticos 50 mm x 7 mm x 9 Hojas L850</v>
      </c>
      <c r="BP124" s="3" t="str">
        <f>IFERROR(__xludf.DUMMYFUNCTION("""COMPUTED_VALUE"""),"Paquete de Elasticos 63 mm x 8 mm x 8 Hojas L850")</f>
        <v>Paquete de Elasticos 63 mm x 8 mm x 8 Hojas L850</v>
      </c>
      <c r="BQ124" s="3" t="str">
        <f>IFERROR(__xludf.DUMMYFUNCTION("""COMPUTED_VALUE"""),"Paquete de Elasticos 63 mm x 10 mm x 10 Hojas L950")</f>
        <v>Paquete de Elasticos 63 mm x 10 mm x 10 Hojas L950</v>
      </c>
      <c r="BR124" s="3" t="str">
        <f>IFERROR(__xludf.DUMMYFUNCTION("""COMPUTED_VALUE"""),"Paquete de Elasticos 63 mm x 10 mm x 13 Hojas L975")</f>
        <v>Paquete de Elasticos 63 mm x 10 mm x 13 Hojas L975</v>
      </c>
      <c r="BS124" s="3" t="str">
        <f>IFERROR(__xludf.DUMMYFUNCTION("""COMPUTED_VALUE"""),"Paquete de Elasticos 50 mm x 7 mm x 9 Hojas L650")</f>
        <v>Paquete de Elasticos 50 mm x 7 mm x 9 Hojas L650</v>
      </c>
      <c r="BT124" s="3" t="str">
        <f>IFERROR(__xludf.DUMMYFUNCTION("""COMPUTED_VALUE"""),"Eje Acoplado 2"" x 1600 (06/08) Agrícola Centro 92")</f>
        <v>Eje Acoplado 2" x 1600 (06/08) Agrícola Centro 92</v>
      </c>
      <c r="BU124" s="3" t="str">
        <f>IFERROR(__xludf.DUMMYFUNCTION("""COMPUTED_VALUE"""),"Eje Acoplado 2 1/2"" x 1600 (07/09) Agrícola Centro 92")</f>
        <v>Eje Acoplado 2 1/2" x 1600 (07/09) Agrícola Centro 92</v>
      </c>
      <c r="BV124" s="3" t="str">
        <f>IFERROR(__xludf.DUMMYFUNCTION("""COMPUTED_VALUE"""),"Eje Acoplado 2 1/2"" x 1600 (09/11) Agrícola Centro 150")</f>
        <v>Eje Acoplado 2 1/2" x 1600 (09/11) Agrícola Centro 150</v>
      </c>
      <c r="BW124" s="3" t="str">
        <f>IFERROR(__xludf.DUMMYFUNCTION("""COMPUTED_VALUE"""),"Eje Acoplado 3"" x 1600 (10/13) Agrícola Centro 150")</f>
        <v>Eje Acoplado 3" x 1600 (10/13) Agrícola Centro 150</v>
      </c>
      <c r="BX124" s="3" t="str">
        <f>IFERROR(__xludf.DUMMYFUNCTION("""COMPUTED_VALUE"""),"Eje Acoplado 2 1/2"" x 2140 (07/09) Agrícola Centro 92")</f>
        <v>Eje Acoplado 2 1/2" x 2140 (07/09) Agrícola Centro 92</v>
      </c>
      <c r="BY124" s="3" t="str">
        <f>IFERROR(__xludf.DUMMYFUNCTION("""COMPUTED_VALUE"""),"Eje Acoplado 2"" x 1400 (06/08) Agrícola Centro 92")</f>
        <v>Eje Acoplado 2" x 1400 (06/08) Agrícola Centro 92</v>
      </c>
      <c r="BZ124" s="3" t="str">
        <f>IFERROR(__xludf.DUMMYFUNCTION("""COMPUTED_VALUE"""),"Eje Acoplado 2 1/2"" x 1500 (07/09) Agrícola Centro 92")</f>
        <v>Eje Acoplado 2 1/2" x 1500 (07/09) Agrícola Centro 92</v>
      </c>
      <c r="CA124" s="3" t="str">
        <f>IFERROR(__xludf.DUMMYFUNCTION("""COMPUTED_VALUE"""),"Eje Acoplado 2 1/2"" x 2000 (07/09) Agrícola Centro 92")</f>
        <v>Eje Acoplado 2 1/2" x 2000 (07/09) Agrícola Centro 92</v>
      </c>
      <c r="CB124" s="3" t="str">
        <f>IFERROR(__xludf.DUMMYFUNCTION("""COMPUTED_VALUE"""),"Eje Acoplado 2 1/2"" x 2100 (09/11) Agrícola Centro 150")</f>
        <v>Eje Acoplado 2 1/2" x 2100 (09/11) Agrícola Centro 150</v>
      </c>
      <c r="CC124" s="3" t="str">
        <f>IFERROR(__xludf.DUMMYFUNCTION("""COMPUTED_VALUE"""),"Llanta 16"" Simple Agrícola Centro 92")</f>
        <v>Llanta 16" Simple Agrícola Centro 92</v>
      </c>
      <c r="CD124" s="3" t="str">
        <f>IFERROR(__xludf.DUMMYFUNCTION("""COMPUTED_VALUE"""),"Llanta 16"" Dual Agrícola Centro 92")</f>
        <v>Llanta 16" Dual Agrícola Centro 92</v>
      </c>
      <c r="CE124" s="3" t="str">
        <f>IFERROR(__xludf.DUMMYFUNCTION("""COMPUTED_VALUE"""),"Llanta 17"" Simple Agrícola Centro 92")</f>
        <v>Llanta 17" Simple Agrícola Centro 92</v>
      </c>
      <c r="CF124" s="3" t="str">
        <f>IFERROR(__xludf.DUMMYFUNCTION("""COMPUTED_VALUE"""),"Llanta 17"" Dual Agrícola Centro 92")</f>
        <v>Llanta 17" Dual Agrícola Centro 92</v>
      </c>
      <c r="CG124" s="3" t="str">
        <f>IFERROR(__xludf.DUMMYFUNCTION("""COMPUTED_VALUE"""),"Llanta 16"" Dual Agrícola Centro 152")</f>
        <v>Llanta 16" Dual Agrícola Centro 152</v>
      </c>
      <c r="CH124" s="3" t="str">
        <f>IFERROR(__xludf.DUMMYFUNCTION("""COMPUTED_VALUE"""),"Llanta 17"" Dual Agrícola Centro 152")</f>
        <v>Llanta 17" Dual Agrícola Centro 152</v>
      </c>
      <c r="CI124" s="3" t="str">
        <f>IFERROR(__xludf.DUMMYFUNCTION("""COMPUTED_VALUE"""),"Eje Acoplado 2"" x 1600 (05/07) Agrícola Centro 92")</f>
        <v>Eje Acoplado 2" x 1600 (05/07) Agrícola Centro 92</v>
      </c>
      <c r="CJ124" s="3" t="str">
        <f>IFERROR(__xludf.DUMMYFUNCTION("""COMPUTED_VALUE"""),"Paquete de Elásticos 50 mm x 8 mm x 12 Hojas")</f>
        <v>Paquete de Elásticos 50 mm x 8 mm x 12 Hojas</v>
      </c>
      <c r="CK124" s="3" t="str">
        <f>IFERROR(__xludf.DUMMYFUNCTION("""COMPUTED_VALUE"""),"Plataforma Playo 4.00 x 1.90 x 0.45 Lateral Simple Baranda Fija")</f>
        <v>Plataforma Playo 4.00 x 1.90 x 0.45 Lateral Simple Baranda Fija</v>
      </c>
      <c r="CL124" s="3" t="str">
        <f>IFERROR(__xludf.DUMMYFUNCTION("""COMPUTED_VALUE"""),"Plataforma Playo 4.00 x 1.90 x 0.45 Lateral Simple Baranda Ventilada")</f>
        <v>Plataforma Playo 4.00 x 1.90 x 0.45 Lateral Simple Baranda Ventilada</v>
      </c>
      <c r="CM124" s="3" t="str">
        <f>IFERROR(__xludf.DUMMYFUNCTION("""COMPUTED_VALUE"""),"Plataforma Playo 4.00 x 1.90 x 0.45 Lateral Doble Baranda Ventilada")</f>
        <v>Plataforma Playo 4.00 x 1.90 x 0.45 Lateral Doble Baranda Ventilada</v>
      </c>
      <c r="CN124" s="3" t="str">
        <f>IFERROR(__xludf.DUMMYFUNCTION("""COMPUTED_VALUE"""),"Plataforma Playo 4.00 x 1.90 x 0.45 Lateral Doble Baranda Fija")</f>
        <v>Plataforma Playo 4.00 x 1.90 x 0.45 Lateral Doble Baranda Fija</v>
      </c>
      <c r="CO124" s="3" t="str">
        <f>IFERROR(__xludf.DUMMYFUNCTION("""COMPUTED_VALUE"""),"Plataforma Playo 4.00 x 1.90 x 0.72 Lateral Simple Baranda Fija")</f>
        <v>Plataforma Playo 4.00 x 1.90 x 0.72 Lateral Simple Baranda Fija</v>
      </c>
      <c r="CP124" s="3" t="str">
        <f>IFERROR(__xludf.DUMMYFUNCTION("""COMPUTED_VALUE"""),"Plataforma Playo 4.00 x 1.90 x 0.72 Lateral Doble Baranda Fija")</f>
        <v>Plataforma Playo 4.00 x 1.90 x 0.72 Lateral Doble Baranda Fija</v>
      </c>
      <c r="CQ124" s="3" t="str">
        <f>IFERROR(__xludf.DUMMYFUNCTION("""COMPUTED_VALUE"""),"Plataforma Playo 5.00 x 2.20 x 0.60 Lateral Doble Trasera Rebatible")</f>
        <v>Plataforma Playo 5.00 x 2.20 x 0.60 Lateral Doble Trasera Rebatible</v>
      </c>
      <c r="CR124" s="3" t="str">
        <f>IFERROR(__xludf.DUMMYFUNCTION("""COMPUTED_VALUE"""),"Plataforma Playo 5.00 x 2.20 x 0.60 Lateral Doble Baranda Fija C/Toldo")</f>
        <v>Plataforma Playo 5.00 x 2.20 x 0.60 Lateral Doble Baranda Fija C/Toldo</v>
      </c>
      <c r="CS124" s="3" t="str">
        <f>IFERROR(__xludf.DUMMYFUNCTION("""COMPUTED_VALUE"""),"Plataforma Playo 3.00 x 1.90 x 0.45 Lateral Simple Baranda Fija")</f>
        <v>Plataforma Playo 3.00 x 1.90 x 0.45 Lateral Simple Baranda Fija</v>
      </c>
      <c r="CT124" s="3" t="str">
        <f>IFERROR(__xludf.DUMMYFUNCTION("""COMPUTED_VALUE"""),"Plataforma Playo 3.00 x 1.90 x 0.45 Lateral Simple Baranda Ventilada")</f>
        <v>Plataforma Playo 3.00 x 1.90 x 0.45 Lateral Simple Baranda Ventilada</v>
      </c>
      <c r="CU124" s="3" t="str">
        <f>IFERROR(__xludf.DUMMYFUNCTION("""COMPUTED_VALUE"""),"Plataforma Playo 2.00 x 1.90 x 0.45 Lateral Simple Baranda Fija")</f>
        <v>Plataforma Playo 2.00 x 1.90 x 0.45 Lateral Simple Baranda Fija</v>
      </c>
      <c r="CV124" s="3" t="str">
        <f>IFERROR(__xludf.DUMMYFUNCTION("""COMPUTED_VALUE"""),"Plataforma Playo 5.00 x 1.90 x 0.60 Lateral Doble Baranda Fija")</f>
        <v>Plataforma Playo 5.00 x 1.90 x 0.60 Lateral Doble Baranda Fija</v>
      </c>
      <c r="CW124" s="3" t="str">
        <f>IFERROR(__xludf.DUMMYFUNCTION("""COMPUTED_VALUE"""),"Plataforma Playo 6.40 x 2.70 x 0.72 Lateral Doble Baranda Fija")</f>
        <v>Plataforma Playo 6.40 x 2.70 x 0.72 Lateral Doble Baranda Fija</v>
      </c>
      <c r="CX124" s="3" t="str">
        <f>IFERROR(__xludf.DUMMYFUNCTION("""COMPUTED_VALUE"""),"Chasis Acoplado Balancin L4000 Lanza Recta")</f>
        <v>Chasis Acoplado Balancin L4000 Lanza Recta</v>
      </c>
      <c r="CY124" s="3" t="str">
        <f>IFERROR(__xludf.DUMMYFUNCTION("""COMPUTED_VALUE"""),"Llanta simple Agrícola 750x20 centro 152")</f>
        <v>Llanta simple Agrícola 750x20 centro 152</v>
      </c>
      <c r="CZ124" s="3" t="str">
        <f>IFERROR(__xludf.DUMMYFUNCTION("""COMPUTED_VALUE"""),"Cajón de Herramientas Mediano adelante")</f>
        <v>Cajón de Herramientas Mediano adelante</v>
      </c>
      <c r="DA124" s="3" t="str">
        <f>IFERROR(__xludf.DUMMYFUNCTION("""COMPUTED_VALUE"""),"Llanta 15"" Simple Agrícola Centro 92")</f>
        <v>Llanta 15" Simple Agrícola Centro 92</v>
      </c>
    </row>
    <row r="125" hidden="1">
      <c r="A125" s="38">
        <f t="shared" si="1"/>
        <v>124</v>
      </c>
      <c r="B125" s="38">
        <f>IF(F125="","",SUMIF(Prearmados!E:E,F125,Prearmados!A:A))</f>
        <v>23</v>
      </c>
      <c r="C125" s="38">
        <f>IF(F125="","",SUMIF(Productos!E:E,G125,Productos!A:A))</f>
        <v>110</v>
      </c>
      <c r="D125" s="83" t="str">
        <f t="array" ref="D125">IF(OR(F125="",F125="Seleccionar.."),"",XLOOKUP(F125,Prearmados!E:E,Prearmados!F:F,"",0,1))</f>
        <v>Acoplados Rurales</v>
      </c>
      <c r="E125" s="83">
        <f>IF(H125="","",SUMIF(Precio_Productos!K:K,C125,Precio_Productos!J:J)*H125)</f>
        <v>476800</v>
      </c>
      <c r="F125" s="84" t="s">
        <v>346</v>
      </c>
      <c r="G125" s="84" t="s">
        <v>129</v>
      </c>
      <c r="H125" s="13">
        <v>4.0</v>
      </c>
      <c r="P125" s="3" t="str">
        <f>IFERROR(__xludf.DUMMYFUNCTION("IF(OR(F125="""",F125=""Seleccionar..""),"""",TRANSPOSE(FILTER(Productos!E:E,(Productos!F:F=D125)+(Productos!F:F=XLOOKUP(D125,Implementos!B:B,Implementos!C:C,""-"",0,1)))))"),"Tanque Combustible 1100 lts Bajo")</f>
        <v>Tanque Combustible 1100 lts Bajo</v>
      </c>
      <c r="Q125" s="3" t="str">
        <f>IFERROR(__xludf.DUMMYFUNCTION("""COMPUTED_VALUE"""),"Tanque Combustible 1500 lts Standard")</f>
        <v>Tanque Combustible 1500 lts Standard</v>
      </c>
      <c r="R125" s="3" t="str">
        <f>IFERROR(__xludf.DUMMYFUNCTION("""COMPUTED_VALUE"""),"Tanque Combustible 1800 lts Standard")</f>
        <v>Tanque Combustible 1800 lts Standard</v>
      </c>
      <c r="S125" s="3" t="str">
        <f>IFERROR(__xludf.DUMMYFUNCTION("""COMPUTED_VALUE"""),"Tanque Combustible 2000 lts Bajo")</f>
        <v>Tanque Combustible 2000 lts Bajo</v>
      </c>
      <c r="T125" s="3" t="str">
        <f>IFERROR(__xludf.DUMMYFUNCTION("""COMPUTED_VALUE"""),"Tanque Combustible 2000 lts Standard")</f>
        <v>Tanque Combustible 2000 lts Standard</v>
      </c>
      <c r="U125" s="3" t="str">
        <f>IFERROR(__xludf.DUMMYFUNCTION("""COMPUTED_VALUE"""),"Tanque Combustible 3000 lts Standard")</f>
        <v>Tanque Combustible 3000 lts Standard</v>
      </c>
      <c r="V125" s="3" t="str">
        <f>IFERROR(__xludf.DUMMYFUNCTION("""COMPUTED_VALUE"""),"Tanque Combustible 3000 lts Alto")</f>
        <v>Tanque Combustible 3000 lts Alto</v>
      </c>
      <c r="W125" s="3" t="str">
        <f>IFERROR(__xludf.DUMMYFUNCTION("""COMPUTED_VALUE"""),"Tanque Combustible 4000 lts Standard")</f>
        <v>Tanque Combustible 4000 lts Standard</v>
      </c>
      <c r="X125" s="3" t="str">
        <f>IFERROR(__xludf.DUMMYFUNCTION("""COMPUTED_VALUE"""),"Tanque Combustible 5000 lts Standard")</f>
        <v>Tanque Combustible 5000 lts Standard</v>
      </c>
      <c r="Y125" s="3" t="str">
        <f>IFERROR(__xludf.DUMMYFUNCTION("""COMPUTED_VALUE"""),"Tanque Combustible 5000 lts Alto")</f>
        <v>Tanque Combustible 5000 lts Alto</v>
      </c>
      <c r="Z125" s="3" t="str">
        <f>IFERROR(__xludf.DUMMYFUNCTION("""COMPUTED_VALUE"""),"Tanque Combustible 2000 lts Alto")</f>
        <v>Tanque Combustible 2000 lts Alto</v>
      </c>
      <c r="AA125" s="3" t="str">
        <f>IFERROR(__xludf.DUMMYFUNCTION("""COMPUTED_VALUE"""),"Tanque Combustible 4000 lts Alto")</f>
        <v>Tanque Combustible 4000 lts Alto</v>
      </c>
      <c r="AB125" s="3" t="str">
        <f>IFERROR(__xludf.DUMMYFUNCTION("""COMPUTED_VALUE"""),"Baulera Standard - 750")</f>
        <v>Baulera Standard - 750</v>
      </c>
      <c r="AC125" s="3" t="str">
        <f>IFERROR(__xludf.DUMMYFUNCTION("""COMPUTED_VALUE"""),"Baulera Standard - 1700 - C/Laterales")</f>
        <v>Baulera Standard - 1700 - C/Laterales</v>
      </c>
      <c r="AD125" s="3" t="str">
        <f>IFERROR(__xludf.DUMMYFUNCTION("""COMPUTED_VALUE"""),"Baulera Standard - 1000 - C/Laterales")</f>
        <v>Baulera Standard - 1000 - C/Laterales</v>
      </c>
      <c r="AE125" s="3" t="str">
        <f>IFERROR(__xludf.DUMMYFUNCTION("""COMPUTED_VALUE"""),"Baulera Standard - 750 - C/Laterales")</f>
        <v>Baulera Standard - 750 - C/Laterales</v>
      </c>
      <c r="AF125" s="3" t="str">
        <f>IFERROR(__xludf.DUMMYFUNCTION("""COMPUTED_VALUE"""),"Baulera Standard - 1300 - C/Laterales")</f>
        <v>Baulera Standard - 1300 - C/Laterales</v>
      </c>
      <c r="AG125" s="3" t="str">
        <f>IFERROR(__xludf.DUMMYFUNCTION("""COMPUTED_VALUE"""),"Baulera Alta - 750")</f>
        <v>Baulera Alta - 750</v>
      </c>
      <c r="AH125" s="3" t="str">
        <f>IFERROR(__xludf.DUMMYFUNCTION("""COMPUTED_VALUE"""),"Baulera Alta - 1500 - C/Laterales")</f>
        <v>Baulera Alta - 1500 - C/Laterales</v>
      </c>
      <c r="AI125" s="3" t="str">
        <f>IFERROR(__xludf.DUMMYFUNCTION("""COMPUTED_VALUE"""),"Baulera Extendida 1700 - C/Laterales")</f>
        <v>Baulera Extendida 1700 - C/Laterales</v>
      </c>
      <c r="AJ125" s="3" t="str">
        <f>IFERROR(__xludf.DUMMYFUNCTION("""COMPUTED_VALUE"""),"Taller Móvil - 1500 x 1500 x 1700")</f>
        <v>Taller Móvil - 1500 x 1500 x 1700</v>
      </c>
      <c r="AK125" s="3" t="str">
        <f>IFERROR(__xludf.DUMMYFUNCTION("""COMPUTED_VALUE"""),"Cajón Herramientas Standard Derecho")</f>
        <v>Cajón Herramientas Standard Derecho</v>
      </c>
      <c r="AL125" s="3" t="str">
        <f>IFERROR(__xludf.DUMMYFUNCTION("""COMPUTED_VALUE"""),"Cajón Herramientas Standard Izquierdo")</f>
        <v>Cajón Herramientas Standard Izquierdo</v>
      </c>
      <c r="AM125" s="3" t="str">
        <f>IFERROR(__xludf.DUMMYFUNCTION("""COMPUTED_VALUE"""),"Cajón Herramientas Corto Derecho")</f>
        <v>Cajón Herramientas Corto Derecho</v>
      </c>
      <c r="AN125" s="3" t="str">
        <f>IFERROR(__xludf.DUMMYFUNCTION("""COMPUTED_VALUE"""),"Cajón Herramientas Corto Izquierdo")</f>
        <v>Cajón Herramientas Corto Izquierdo</v>
      </c>
      <c r="AO125" s="3" t="str">
        <f>IFERROR(__xludf.DUMMYFUNCTION("""COMPUTED_VALUE"""),"Cajón Herramientas Mediano Derecho")</f>
        <v>Cajón Herramientas Mediano Derecho</v>
      </c>
      <c r="AP125" s="3" t="str">
        <f>IFERROR(__xludf.DUMMYFUNCTION("""COMPUTED_VALUE"""),"Cajón Herramientas Mediano Izquierdo")</f>
        <v>Cajón Herramientas Mediano Izquierdo</v>
      </c>
      <c r="AQ125" s="3" t="str">
        <f>IFERROR(__xludf.DUMMYFUNCTION("""COMPUTED_VALUE"""),"Chasis Acoplado 2 Ejes L3000")</f>
        <v>Chasis Acoplado 2 Ejes L3000</v>
      </c>
      <c r="AR125" s="3" t="str">
        <f>IFERROR(__xludf.DUMMYFUNCTION("""COMPUTED_VALUE"""),"Chasis Acoplado 2 Ejes L3750")</f>
        <v>Chasis Acoplado 2 Ejes L3750</v>
      </c>
      <c r="AS125" s="3" t="str">
        <f>IFERROR(__xludf.DUMMYFUNCTION("""COMPUTED_VALUE"""),"Chasis Acoplado 2 Ejes L4000")</f>
        <v>Chasis Acoplado 2 Ejes L4000</v>
      </c>
      <c r="AT125" s="3" t="str">
        <f>IFERROR(__xludf.DUMMYFUNCTION("""COMPUTED_VALUE"""),"Chasis Acoplado 2 Ejes L4000 Reforzado")</f>
        <v>Chasis Acoplado 2 Ejes L4000 Reforzado</v>
      </c>
      <c r="AU125" s="3" t="str">
        <f>IFERROR(__xludf.DUMMYFUNCTION("""COMPUTED_VALUE"""),"Chasis Acoplado 2 Ejes L4750")</f>
        <v>Chasis Acoplado 2 Ejes L4750</v>
      </c>
      <c r="AV125" s="3" t="str">
        <f>IFERROR(__xludf.DUMMYFUNCTION("""COMPUTED_VALUE"""),"Chasis Acoplado 2 Ejes L4750 Reforzado")</f>
        <v>Chasis Acoplado 2 Ejes L4750 Reforzado</v>
      </c>
      <c r="AW125" s="3" t="str">
        <f>IFERROR(__xludf.DUMMYFUNCTION("""COMPUTED_VALUE"""),"Chasis Acoplado 2 Ejes L4750 Reforzado R. Camion")</f>
        <v>Chasis Acoplado 2 Ejes L4750 Reforzado R. Camion</v>
      </c>
      <c r="AX125" s="3" t="str">
        <f>IFERROR(__xludf.DUMMYFUNCTION("""COMPUTED_VALUE"""),"Chasis Acoplado 2 Ejes L5000")</f>
        <v>Chasis Acoplado 2 Ejes L5000</v>
      </c>
      <c r="AY125" s="3" t="str">
        <f>IFERROR(__xludf.DUMMYFUNCTION("""COMPUTED_VALUE"""),"Chasis Acoplado 2 Ejes L5750")</f>
        <v>Chasis Acoplado 2 Ejes L5750</v>
      </c>
      <c r="AZ125" s="3" t="str">
        <f>IFERROR(__xludf.DUMMYFUNCTION("""COMPUTED_VALUE"""),"Chasis Acoplado 2 Ejes L6400")</f>
        <v>Chasis Acoplado 2 Ejes L6400</v>
      </c>
      <c r="BA125" s="3" t="str">
        <f>IFERROR(__xludf.DUMMYFUNCTION("""COMPUTED_VALUE"""),"Chasis Acoplado 2 Ejes L4500")</f>
        <v>Chasis Acoplado 2 Ejes L4500</v>
      </c>
      <c r="BB125" s="3" t="str">
        <f>IFERROR(__xludf.DUMMYFUNCTION("""COMPUTED_VALUE"""),"Chasis Acoplado 1 Eje L1500")</f>
        <v>Chasis Acoplado 1 Eje L1500</v>
      </c>
      <c r="BC125" s="3" t="str">
        <f>IFERROR(__xludf.DUMMYFUNCTION("""COMPUTED_VALUE"""),"Chasis Acoplado 1 Eje L1800")</f>
        <v>Chasis Acoplado 1 Eje L1800</v>
      </c>
      <c r="BD125" s="3" t="str">
        <f>IFERROR(__xludf.DUMMYFUNCTION("""COMPUTED_VALUE"""),"Chasis Acoplado 1 Eje L1400")</f>
        <v>Chasis Acoplado 1 Eje L1400</v>
      </c>
      <c r="BE125" s="3" t="str">
        <f>IFERROR(__xludf.DUMMYFUNCTION("""COMPUTED_VALUE"""),"Chasis Acoplado Balancin L3000")</f>
        <v>Chasis Acoplado Balancin L3000</v>
      </c>
      <c r="BF125" s="3" t="str">
        <f>IFERROR(__xludf.DUMMYFUNCTION("""COMPUTED_VALUE"""),"Chasis Acoplado Balancin L3000 Lanza Corta")</f>
        <v>Chasis Acoplado Balancin L3000 Lanza Corta</v>
      </c>
      <c r="BG125" s="3" t="str">
        <f>IFERROR(__xludf.DUMMYFUNCTION("""COMPUTED_VALUE"""),"Chasis Acoplado Balancin L2000 Lanza Corta")</f>
        <v>Chasis Acoplado Balancin L2000 Lanza Corta</v>
      </c>
      <c r="BH125" s="3" t="str">
        <f>IFERROR(__xludf.DUMMYFUNCTION("""COMPUTED_VALUE"""),"Chasis Acoplado Balancin L3200 Lanza Corta")</f>
        <v>Chasis Acoplado Balancin L3200 Lanza Corta</v>
      </c>
      <c r="BI125" s="3" t="str">
        <f>IFERROR(__xludf.DUMMYFUNCTION("""COMPUTED_VALUE"""),"Chasis Acoplado Balancin L3200 Lanza Recta")</f>
        <v>Chasis Acoplado Balancin L3200 Lanza Recta</v>
      </c>
      <c r="BJ125" s="3" t="str">
        <f>IFERROR(__xludf.DUMMYFUNCTION("""COMPUTED_VALUE"""),"Chasis Acoplado Balancin L3200 Bajo Lanza Recta")</f>
        <v>Chasis Acoplado Balancin L3200 Bajo Lanza Recta</v>
      </c>
      <c r="BK125" s="3" t="str">
        <f>IFERROR(__xludf.DUMMYFUNCTION("""COMPUTED_VALUE"""),"Tanque Plastico Horizontal 750 Lts")</f>
        <v>Tanque Plastico Horizontal 750 Lts</v>
      </c>
      <c r="BL125" s="3" t="str">
        <f>IFERROR(__xludf.DUMMYFUNCTION("""COMPUTED_VALUE"""),"Medio Tanque Plastico Superior 700 Lts")</f>
        <v>Medio Tanque Plastico Superior 700 Lts</v>
      </c>
      <c r="BM125" s="3" t="str">
        <f>IFERROR(__xludf.DUMMYFUNCTION("""COMPUTED_VALUE"""),"Paquete de Elasticos 50 mm x 8 mm x 10 Hojas L850")</f>
        <v>Paquete de Elasticos 50 mm x 8 mm x 10 Hojas L850</v>
      </c>
      <c r="BN125" s="3" t="str">
        <f>IFERROR(__xludf.DUMMYFUNCTION("""COMPUTED_VALUE"""),"Paquete de Elasticos 63 mm x 8 mm x 10 Hojas L950")</f>
        <v>Paquete de Elasticos 63 mm x 8 mm x 10 Hojas L950</v>
      </c>
      <c r="BO125" s="3" t="str">
        <f>IFERROR(__xludf.DUMMYFUNCTION("""COMPUTED_VALUE"""),"Paquete de Elasticos 50 mm x 7 mm x 9 Hojas L850")</f>
        <v>Paquete de Elasticos 50 mm x 7 mm x 9 Hojas L850</v>
      </c>
      <c r="BP125" s="3" t="str">
        <f>IFERROR(__xludf.DUMMYFUNCTION("""COMPUTED_VALUE"""),"Paquete de Elasticos 63 mm x 8 mm x 8 Hojas L850")</f>
        <v>Paquete de Elasticos 63 mm x 8 mm x 8 Hojas L850</v>
      </c>
      <c r="BQ125" s="3" t="str">
        <f>IFERROR(__xludf.DUMMYFUNCTION("""COMPUTED_VALUE"""),"Paquete de Elasticos 63 mm x 10 mm x 10 Hojas L950")</f>
        <v>Paquete de Elasticos 63 mm x 10 mm x 10 Hojas L950</v>
      </c>
      <c r="BR125" s="3" t="str">
        <f>IFERROR(__xludf.DUMMYFUNCTION("""COMPUTED_VALUE"""),"Paquete de Elasticos 63 mm x 10 mm x 13 Hojas L975")</f>
        <v>Paquete de Elasticos 63 mm x 10 mm x 13 Hojas L975</v>
      </c>
      <c r="BS125" s="3" t="str">
        <f>IFERROR(__xludf.DUMMYFUNCTION("""COMPUTED_VALUE"""),"Paquete de Elasticos 50 mm x 7 mm x 9 Hojas L650")</f>
        <v>Paquete de Elasticos 50 mm x 7 mm x 9 Hojas L650</v>
      </c>
      <c r="BT125" s="3" t="str">
        <f>IFERROR(__xludf.DUMMYFUNCTION("""COMPUTED_VALUE"""),"Eje Acoplado 2"" x 1600 (06/08) Agrícola Centro 92")</f>
        <v>Eje Acoplado 2" x 1600 (06/08) Agrícola Centro 92</v>
      </c>
      <c r="BU125" s="3" t="str">
        <f>IFERROR(__xludf.DUMMYFUNCTION("""COMPUTED_VALUE"""),"Eje Acoplado 2 1/2"" x 1600 (07/09) Agrícola Centro 92")</f>
        <v>Eje Acoplado 2 1/2" x 1600 (07/09) Agrícola Centro 92</v>
      </c>
      <c r="BV125" s="3" t="str">
        <f>IFERROR(__xludf.DUMMYFUNCTION("""COMPUTED_VALUE"""),"Eje Acoplado 2 1/2"" x 1600 (09/11) Agrícola Centro 150")</f>
        <v>Eje Acoplado 2 1/2" x 1600 (09/11) Agrícola Centro 150</v>
      </c>
      <c r="BW125" s="3" t="str">
        <f>IFERROR(__xludf.DUMMYFUNCTION("""COMPUTED_VALUE"""),"Eje Acoplado 3"" x 1600 (10/13) Agrícola Centro 150")</f>
        <v>Eje Acoplado 3" x 1600 (10/13) Agrícola Centro 150</v>
      </c>
      <c r="BX125" s="3" t="str">
        <f>IFERROR(__xludf.DUMMYFUNCTION("""COMPUTED_VALUE"""),"Eje Acoplado 2 1/2"" x 2140 (07/09) Agrícola Centro 92")</f>
        <v>Eje Acoplado 2 1/2" x 2140 (07/09) Agrícola Centro 92</v>
      </c>
      <c r="BY125" s="3" t="str">
        <f>IFERROR(__xludf.DUMMYFUNCTION("""COMPUTED_VALUE"""),"Eje Acoplado 2"" x 1400 (06/08) Agrícola Centro 92")</f>
        <v>Eje Acoplado 2" x 1400 (06/08) Agrícola Centro 92</v>
      </c>
      <c r="BZ125" s="3" t="str">
        <f>IFERROR(__xludf.DUMMYFUNCTION("""COMPUTED_VALUE"""),"Eje Acoplado 2 1/2"" x 1500 (07/09) Agrícola Centro 92")</f>
        <v>Eje Acoplado 2 1/2" x 1500 (07/09) Agrícola Centro 92</v>
      </c>
      <c r="CA125" s="3" t="str">
        <f>IFERROR(__xludf.DUMMYFUNCTION("""COMPUTED_VALUE"""),"Eje Acoplado 2 1/2"" x 2000 (07/09) Agrícola Centro 92")</f>
        <v>Eje Acoplado 2 1/2" x 2000 (07/09) Agrícola Centro 92</v>
      </c>
      <c r="CB125" s="3" t="str">
        <f>IFERROR(__xludf.DUMMYFUNCTION("""COMPUTED_VALUE"""),"Eje Acoplado 2 1/2"" x 2100 (09/11) Agrícola Centro 150")</f>
        <v>Eje Acoplado 2 1/2" x 2100 (09/11) Agrícola Centro 150</v>
      </c>
      <c r="CC125" s="3" t="str">
        <f>IFERROR(__xludf.DUMMYFUNCTION("""COMPUTED_VALUE"""),"Llanta 16"" Simple Agrícola Centro 92")</f>
        <v>Llanta 16" Simple Agrícola Centro 92</v>
      </c>
      <c r="CD125" s="3" t="str">
        <f>IFERROR(__xludf.DUMMYFUNCTION("""COMPUTED_VALUE"""),"Llanta 16"" Dual Agrícola Centro 92")</f>
        <v>Llanta 16" Dual Agrícola Centro 92</v>
      </c>
      <c r="CE125" s="3" t="str">
        <f>IFERROR(__xludf.DUMMYFUNCTION("""COMPUTED_VALUE"""),"Llanta 17"" Simple Agrícola Centro 92")</f>
        <v>Llanta 17" Simple Agrícola Centro 92</v>
      </c>
      <c r="CF125" s="3" t="str">
        <f>IFERROR(__xludf.DUMMYFUNCTION("""COMPUTED_VALUE"""),"Llanta 17"" Dual Agrícola Centro 92")</f>
        <v>Llanta 17" Dual Agrícola Centro 92</v>
      </c>
      <c r="CG125" s="3" t="str">
        <f>IFERROR(__xludf.DUMMYFUNCTION("""COMPUTED_VALUE"""),"Llanta 16"" Dual Agrícola Centro 152")</f>
        <v>Llanta 16" Dual Agrícola Centro 152</v>
      </c>
      <c r="CH125" s="3" t="str">
        <f>IFERROR(__xludf.DUMMYFUNCTION("""COMPUTED_VALUE"""),"Llanta 17"" Dual Agrícola Centro 152")</f>
        <v>Llanta 17" Dual Agrícola Centro 152</v>
      </c>
      <c r="CI125" s="3" t="str">
        <f>IFERROR(__xludf.DUMMYFUNCTION("""COMPUTED_VALUE"""),"Eje Acoplado 2"" x 1600 (05/07) Agrícola Centro 92")</f>
        <v>Eje Acoplado 2" x 1600 (05/07) Agrícola Centro 92</v>
      </c>
      <c r="CJ125" s="3" t="str">
        <f>IFERROR(__xludf.DUMMYFUNCTION("""COMPUTED_VALUE"""),"Paquete de Elásticos 50 mm x 8 mm x 12 Hojas")</f>
        <v>Paquete de Elásticos 50 mm x 8 mm x 12 Hojas</v>
      </c>
      <c r="CK125" s="3" t="str">
        <f>IFERROR(__xludf.DUMMYFUNCTION("""COMPUTED_VALUE"""),"Plataforma Playo 4.00 x 1.90 x 0.45 Lateral Simple Baranda Fija")</f>
        <v>Plataforma Playo 4.00 x 1.90 x 0.45 Lateral Simple Baranda Fija</v>
      </c>
      <c r="CL125" s="3" t="str">
        <f>IFERROR(__xludf.DUMMYFUNCTION("""COMPUTED_VALUE"""),"Plataforma Playo 4.00 x 1.90 x 0.45 Lateral Simple Baranda Ventilada")</f>
        <v>Plataforma Playo 4.00 x 1.90 x 0.45 Lateral Simple Baranda Ventilada</v>
      </c>
      <c r="CM125" s="3" t="str">
        <f>IFERROR(__xludf.DUMMYFUNCTION("""COMPUTED_VALUE"""),"Plataforma Playo 4.00 x 1.90 x 0.45 Lateral Doble Baranda Ventilada")</f>
        <v>Plataforma Playo 4.00 x 1.90 x 0.45 Lateral Doble Baranda Ventilada</v>
      </c>
      <c r="CN125" s="3" t="str">
        <f>IFERROR(__xludf.DUMMYFUNCTION("""COMPUTED_VALUE"""),"Plataforma Playo 4.00 x 1.90 x 0.45 Lateral Doble Baranda Fija")</f>
        <v>Plataforma Playo 4.00 x 1.90 x 0.45 Lateral Doble Baranda Fija</v>
      </c>
      <c r="CO125" s="3" t="str">
        <f>IFERROR(__xludf.DUMMYFUNCTION("""COMPUTED_VALUE"""),"Plataforma Playo 4.00 x 1.90 x 0.72 Lateral Simple Baranda Fija")</f>
        <v>Plataforma Playo 4.00 x 1.90 x 0.72 Lateral Simple Baranda Fija</v>
      </c>
      <c r="CP125" s="3" t="str">
        <f>IFERROR(__xludf.DUMMYFUNCTION("""COMPUTED_VALUE"""),"Plataforma Playo 4.00 x 1.90 x 0.72 Lateral Doble Baranda Fija")</f>
        <v>Plataforma Playo 4.00 x 1.90 x 0.72 Lateral Doble Baranda Fija</v>
      </c>
      <c r="CQ125" s="3" t="str">
        <f>IFERROR(__xludf.DUMMYFUNCTION("""COMPUTED_VALUE"""),"Plataforma Playo 5.00 x 2.20 x 0.60 Lateral Doble Trasera Rebatible")</f>
        <v>Plataforma Playo 5.00 x 2.20 x 0.60 Lateral Doble Trasera Rebatible</v>
      </c>
      <c r="CR125" s="3" t="str">
        <f>IFERROR(__xludf.DUMMYFUNCTION("""COMPUTED_VALUE"""),"Plataforma Playo 5.00 x 2.20 x 0.60 Lateral Doble Baranda Fija C/Toldo")</f>
        <v>Plataforma Playo 5.00 x 2.20 x 0.60 Lateral Doble Baranda Fija C/Toldo</v>
      </c>
      <c r="CS125" s="3" t="str">
        <f>IFERROR(__xludf.DUMMYFUNCTION("""COMPUTED_VALUE"""),"Plataforma Playo 3.00 x 1.90 x 0.45 Lateral Simple Baranda Fija")</f>
        <v>Plataforma Playo 3.00 x 1.90 x 0.45 Lateral Simple Baranda Fija</v>
      </c>
      <c r="CT125" s="3" t="str">
        <f>IFERROR(__xludf.DUMMYFUNCTION("""COMPUTED_VALUE"""),"Plataforma Playo 3.00 x 1.90 x 0.45 Lateral Simple Baranda Ventilada")</f>
        <v>Plataforma Playo 3.00 x 1.90 x 0.45 Lateral Simple Baranda Ventilada</v>
      </c>
      <c r="CU125" s="3" t="str">
        <f>IFERROR(__xludf.DUMMYFUNCTION("""COMPUTED_VALUE"""),"Plataforma Playo 2.00 x 1.90 x 0.45 Lateral Simple Baranda Fija")</f>
        <v>Plataforma Playo 2.00 x 1.90 x 0.45 Lateral Simple Baranda Fija</v>
      </c>
      <c r="CV125" s="3" t="str">
        <f>IFERROR(__xludf.DUMMYFUNCTION("""COMPUTED_VALUE"""),"Plataforma Playo 5.00 x 1.90 x 0.60 Lateral Doble Baranda Fija")</f>
        <v>Plataforma Playo 5.00 x 1.90 x 0.60 Lateral Doble Baranda Fija</v>
      </c>
      <c r="CW125" s="3" t="str">
        <f>IFERROR(__xludf.DUMMYFUNCTION("""COMPUTED_VALUE"""),"Plataforma Playo 6.40 x 2.70 x 0.72 Lateral Doble Baranda Fija")</f>
        <v>Plataforma Playo 6.40 x 2.70 x 0.72 Lateral Doble Baranda Fija</v>
      </c>
      <c r="CX125" s="3" t="str">
        <f>IFERROR(__xludf.DUMMYFUNCTION("""COMPUTED_VALUE"""),"Chasis Acoplado Balancin L4000 Lanza Recta")</f>
        <v>Chasis Acoplado Balancin L4000 Lanza Recta</v>
      </c>
      <c r="CY125" s="3" t="str">
        <f>IFERROR(__xludf.DUMMYFUNCTION("""COMPUTED_VALUE"""),"Llanta simple Agrícola 750x20 centro 152")</f>
        <v>Llanta simple Agrícola 750x20 centro 152</v>
      </c>
      <c r="CZ125" s="3" t="str">
        <f>IFERROR(__xludf.DUMMYFUNCTION("""COMPUTED_VALUE"""),"Cajón de Herramientas Mediano adelante")</f>
        <v>Cajón de Herramientas Mediano adelante</v>
      </c>
      <c r="DA125" s="3" t="str">
        <f>IFERROR(__xludf.DUMMYFUNCTION("""COMPUTED_VALUE"""),"Llanta 15"" Simple Agrícola Centro 92")</f>
        <v>Llanta 15" Simple Agrícola Centro 92</v>
      </c>
    </row>
    <row r="126" hidden="1">
      <c r="A126" s="38">
        <f t="shared" si="1"/>
        <v>125</v>
      </c>
      <c r="B126" s="38">
        <f>IF(F126="","",SUMIF(Prearmados!E:E,F126,Prearmados!A:A))</f>
        <v>24</v>
      </c>
      <c r="C126" s="38">
        <f>IF(F126="","",SUMIF(Productos!E:E,G126,Productos!A:A))</f>
        <v>131</v>
      </c>
      <c r="D126" s="83" t="str">
        <f t="array" ref="D126">IF(OR(F126="",F126="Seleccionar.."),"",XLOOKUP(F126,Prearmados!E:E,Prearmados!F:F,"",0,1))</f>
        <v>Acoplados Rurales</v>
      </c>
      <c r="E126" s="83">
        <f>IF(H126="","",SUMIF(Precio_Productos!K:K,C126,Precio_Productos!J:J)*H126)</f>
        <v>2719818</v>
      </c>
      <c r="F126" s="84" t="s">
        <v>347</v>
      </c>
      <c r="G126" s="84" t="s">
        <v>120</v>
      </c>
      <c r="H126" s="13">
        <v>1.0</v>
      </c>
      <c r="P126" s="3" t="str">
        <f>IFERROR(__xludf.DUMMYFUNCTION("IF(OR(F126="""",F126=""Seleccionar..""),"""",TRANSPOSE(FILTER(Productos!E:E,(Productos!F:F=D126)+(Productos!F:F=XLOOKUP(D126,Implementos!B:B,Implementos!C:C,""-"",0,1)))))"),"Tanque Combustible 1100 lts Bajo")</f>
        <v>Tanque Combustible 1100 lts Bajo</v>
      </c>
      <c r="Q126" s="3" t="str">
        <f>IFERROR(__xludf.DUMMYFUNCTION("""COMPUTED_VALUE"""),"Tanque Combustible 1500 lts Standard")</f>
        <v>Tanque Combustible 1500 lts Standard</v>
      </c>
      <c r="R126" s="3" t="str">
        <f>IFERROR(__xludf.DUMMYFUNCTION("""COMPUTED_VALUE"""),"Tanque Combustible 1800 lts Standard")</f>
        <v>Tanque Combustible 1800 lts Standard</v>
      </c>
      <c r="S126" s="3" t="str">
        <f>IFERROR(__xludf.DUMMYFUNCTION("""COMPUTED_VALUE"""),"Tanque Combustible 2000 lts Bajo")</f>
        <v>Tanque Combustible 2000 lts Bajo</v>
      </c>
      <c r="T126" s="3" t="str">
        <f>IFERROR(__xludf.DUMMYFUNCTION("""COMPUTED_VALUE"""),"Tanque Combustible 2000 lts Standard")</f>
        <v>Tanque Combustible 2000 lts Standard</v>
      </c>
      <c r="U126" s="3" t="str">
        <f>IFERROR(__xludf.DUMMYFUNCTION("""COMPUTED_VALUE"""),"Tanque Combustible 3000 lts Standard")</f>
        <v>Tanque Combustible 3000 lts Standard</v>
      </c>
      <c r="V126" s="3" t="str">
        <f>IFERROR(__xludf.DUMMYFUNCTION("""COMPUTED_VALUE"""),"Tanque Combustible 3000 lts Alto")</f>
        <v>Tanque Combustible 3000 lts Alto</v>
      </c>
      <c r="W126" s="3" t="str">
        <f>IFERROR(__xludf.DUMMYFUNCTION("""COMPUTED_VALUE"""),"Tanque Combustible 4000 lts Standard")</f>
        <v>Tanque Combustible 4000 lts Standard</v>
      </c>
      <c r="X126" s="3" t="str">
        <f>IFERROR(__xludf.DUMMYFUNCTION("""COMPUTED_VALUE"""),"Tanque Combustible 5000 lts Standard")</f>
        <v>Tanque Combustible 5000 lts Standard</v>
      </c>
      <c r="Y126" s="3" t="str">
        <f>IFERROR(__xludf.DUMMYFUNCTION("""COMPUTED_VALUE"""),"Tanque Combustible 5000 lts Alto")</f>
        <v>Tanque Combustible 5000 lts Alto</v>
      </c>
      <c r="Z126" s="3" t="str">
        <f>IFERROR(__xludf.DUMMYFUNCTION("""COMPUTED_VALUE"""),"Tanque Combustible 2000 lts Alto")</f>
        <v>Tanque Combustible 2000 lts Alto</v>
      </c>
      <c r="AA126" s="3" t="str">
        <f>IFERROR(__xludf.DUMMYFUNCTION("""COMPUTED_VALUE"""),"Tanque Combustible 4000 lts Alto")</f>
        <v>Tanque Combustible 4000 lts Alto</v>
      </c>
      <c r="AB126" s="3" t="str">
        <f>IFERROR(__xludf.DUMMYFUNCTION("""COMPUTED_VALUE"""),"Baulera Standard - 750")</f>
        <v>Baulera Standard - 750</v>
      </c>
      <c r="AC126" s="3" t="str">
        <f>IFERROR(__xludf.DUMMYFUNCTION("""COMPUTED_VALUE"""),"Baulera Standard - 1700 - C/Laterales")</f>
        <v>Baulera Standard - 1700 - C/Laterales</v>
      </c>
      <c r="AD126" s="3" t="str">
        <f>IFERROR(__xludf.DUMMYFUNCTION("""COMPUTED_VALUE"""),"Baulera Standard - 1000 - C/Laterales")</f>
        <v>Baulera Standard - 1000 - C/Laterales</v>
      </c>
      <c r="AE126" s="3" t="str">
        <f>IFERROR(__xludf.DUMMYFUNCTION("""COMPUTED_VALUE"""),"Baulera Standard - 750 - C/Laterales")</f>
        <v>Baulera Standard - 750 - C/Laterales</v>
      </c>
      <c r="AF126" s="3" t="str">
        <f>IFERROR(__xludf.DUMMYFUNCTION("""COMPUTED_VALUE"""),"Baulera Standard - 1300 - C/Laterales")</f>
        <v>Baulera Standard - 1300 - C/Laterales</v>
      </c>
      <c r="AG126" s="3" t="str">
        <f>IFERROR(__xludf.DUMMYFUNCTION("""COMPUTED_VALUE"""),"Baulera Alta - 750")</f>
        <v>Baulera Alta - 750</v>
      </c>
      <c r="AH126" s="3" t="str">
        <f>IFERROR(__xludf.DUMMYFUNCTION("""COMPUTED_VALUE"""),"Baulera Alta - 1500 - C/Laterales")</f>
        <v>Baulera Alta - 1500 - C/Laterales</v>
      </c>
      <c r="AI126" s="3" t="str">
        <f>IFERROR(__xludf.DUMMYFUNCTION("""COMPUTED_VALUE"""),"Baulera Extendida 1700 - C/Laterales")</f>
        <v>Baulera Extendida 1700 - C/Laterales</v>
      </c>
      <c r="AJ126" s="3" t="str">
        <f>IFERROR(__xludf.DUMMYFUNCTION("""COMPUTED_VALUE"""),"Taller Móvil - 1500 x 1500 x 1700")</f>
        <v>Taller Móvil - 1500 x 1500 x 1700</v>
      </c>
      <c r="AK126" s="3" t="str">
        <f>IFERROR(__xludf.DUMMYFUNCTION("""COMPUTED_VALUE"""),"Cajón Herramientas Standard Derecho")</f>
        <v>Cajón Herramientas Standard Derecho</v>
      </c>
      <c r="AL126" s="3" t="str">
        <f>IFERROR(__xludf.DUMMYFUNCTION("""COMPUTED_VALUE"""),"Cajón Herramientas Standard Izquierdo")</f>
        <v>Cajón Herramientas Standard Izquierdo</v>
      </c>
      <c r="AM126" s="3" t="str">
        <f>IFERROR(__xludf.DUMMYFUNCTION("""COMPUTED_VALUE"""),"Cajón Herramientas Corto Derecho")</f>
        <v>Cajón Herramientas Corto Derecho</v>
      </c>
      <c r="AN126" s="3" t="str">
        <f>IFERROR(__xludf.DUMMYFUNCTION("""COMPUTED_VALUE"""),"Cajón Herramientas Corto Izquierdo")</f>
        <v>Cajón Herramientas Corto Izquierdo</v>
      </c>
      <c r="AO126" s="3" t="str">
        <f>IFERROR(__xludf.DUMMYFUNCTION("""COMPUTED_VALUE"""),"Cajón Herramientas Mediano Derecho")</f>
        <v>Cajón Herramientas Mediano Derecho</v>
      </c>
      <c r="AP126" s="3" t="str">
        <f>IFERROR(__xludf.DUMMYFUNCTION("""COMPUTED_VALUE"""),"Cajón Herramientas Mediano Izquierdo")</f>
        <v>Cajón Herramientas Mediano Izquierdo</v>
      </c>
      <c r="AQ126" s="3" t="str">
        <f>IFERROR(__xludf.DUMMYFUNCTION("""COMPUTED_VALUE"""),"Chasis Acoplado 2 Ejes L3000")</f>
        <v>Chasis Acoplado 2 Ejes L3000</v>
      </c>
      <c r="AR126" s="3" t="str">
        <f>IFERROR(__xludf.DUMMYFUNCTION("""COMPUTED_VALUE"""),"Chasis Acoplado 2 Ejes L3750")</f>
        <v>Chasis Acoplado 2 Ejes L3750</v>
      </c>
      <c r="AS126" s="3" t="str">
        <f>IFERROR(__xludf.DUMMYFUNCTION("""COMPUTED_VALUE"""),"Chasis Acoplado 2 Ejes L4000")</f>
        <v>Chasis Acoplado 2 Ejes L4000</v>
      </c>
      <c r="AT126" s="3" t="str">
        <f>IFERROR(__xludf.DUMMYFUNCTION("""COMPUTED_VALUE"""),"Chasis Acoplado 2 Ejes L4000 Reforzado")</f>
        <v>Chasis Acoplado 2 Ejes L4000 Reforzado</v>
      </c>
      <c r="AU126" s="3" t="str">
        <f>IFERROR(__xludf.DUMMYFUNCTION("""COMPUTED_VALUE"""),"Chasis Acoplado 2 Ejes L4750")</f>
        <v>Chasis Acoplado 2 Ejes L4750</v>
      </c>
      <c r="AV126" s="3" t="str">
        <f>IFERROR(__xludf.DUMMYFUNCTION("""COMPUTED_VALUE"""),"Chasis Acoplado 2 Ejes L4750 Reforzado")</f>
        <v>Chasis Acoplado 2 Ejes L4750 Reforzado</v>
      </c>
      <c r="AW126" s="3" t="str">
        <f>IFERROR(__xludf.DUMMYFUNCTION("""COMPUTED_VALUE"""),"Chasis Acoplado 2 Ejes L4750 Reforzado R. Camion")</f>
        <v>Chasis Acoplado 2 Ejes L4750 Reforzado R. Camion</v>
      </c>
      <c r="AX126" s="3" t="str">
        <f>IFERROR(__xludf.DUMMYFUNCTION("""COMPUTED_VALUE"""),"Chasis Acoplado 2 Ejes L5000")</f>
        <v>Chasis Acoplado 2 Ejes L5000</v>
      </c>
      <c r="AY126" s="3" t="str">
        <f>IFERROR(__xludf.DUMMYFUNCTION("""COMPUTED_VALUE"""),"Chasis Acoplado 2 Ejes L5750")</f>
        <v>Chasis Acoplado 2 Ejes L5750</v>
      </c>
      <c r="AZ126" s="3" t="str">
        <f>IFERROR(__xludf.DUMMYFUNCTION("""COMPUTED_VALUE"""),"Chasis Acoplado 2 Ejes L6400")</f>
        <v>Chasis Acoplado 2 Ejes L6400</v>
      </c>
      <c r="BA126" s="3" t="str">
        <f>IFERROR(__xludf.DUMMYFUNCTION("""COMPUTED_VALUE"""),"Chasis Acoplado 2 Ejes L4500")</f>
        <v>Chasis Acoplado 2 Ejes L4500</v>
      </c>
      <c r="BB126" s="3" t="str">
        <f>IFERROR(__xludf.DUMMYFUNCTION("""COMPUTED_VALUE"""),"Chasis Acoplado 1 Eje L1500")</f>
        <v>Chasis Acoplado 1 Eje L1500</v>
      </c>
      <c r="BC126" s="3" t="str">
        <f>IFERROR(__xludf.DUMMYFUNCTION("""COMPUTED_VALUE"""),"Chasis Acoplado 1 Eje L1800")</f>
        <v>Chasis Acoplado 1 Eje L1800</v>
      </c>
      <c r="BD126" s="3" t="str">
        <f>IFERROR(__xludf.DUMMYFUNCTION("""COMPUTED_VALUE"""),"Chasis Acoplado 1 Eje L1400")</f>
        <v>Chasis Acoplado 1 Eje L1400</v>
      </c>
      <c r="BE126" s="3" t="str">
        <f>IFERROR(__xludf.DUMMYFUNCTION("""COMPUTED_VALUE"""),"Chasis Acoplado Balancin L3000")</f>
        <v>Chasis Acoplado Balancin L3000</v>
      </c>
      <c r="BF126" s="3" t="str">
        <f>IFERROR(__xludf.DUMMYFUNCTION("""COMPUTED_VALUE"""),"Chasis Acoplado Balancin L3000 Lanza Corta")</f>
        <v>Chasis Acoplado Balancin L3000 Lanza Corta</v>
      </c>
      <c r="BG126" s="3" t="str">
        <f>IFERROR(__xludf.DUMMYFUNCTION("""COMPUTED_VALUE"""),"Chasis Acoplado Balancin L2000 Lanza Corta")</f>
        <v>Chasis Acoplado Balancin L2000 Lanza Corta</v>
      </c>
      <c r="BH126" s="3" t="str">
        <f>IFERROR(__xludf.DUMMYFUNCTION("""COMPUTED_VALUE"""),"Chasis Acoplado Balancin L3200 Lanza Corta")</f>
        <v>Chasis Acoplado Balancin L3200 Lanza Corta</v>
      </c>
      <c r="BI126" s="3" t="str">
        <f>IFERROR(__xludf.DUMMYFUNCTION("""COMPUTED_VALUE"""),"Chasis Acoplado Balancin L3200 Lanza Recta")</f>
        <v>Chasis Acoplado Balancin L3200 Lanza Recta</v>
      </c>
      <c r="BJ126" s="3" t="str">
        <f>IFERROR(__xludf.DUMMYFUNCTION("""COMPUTED_VALUE"""),"Chasis Acoplado Balancin L3200 Bajo Lanza Recta")</f>
        <v>Chasis Acoplado Balancin L3200 Bajo Lanza Recta</v>
      </c>
      <c r="BK126" s="3" t="str">
        <f>IFERROR(__xludf.DUMMYFUNCTION("""COMPUTED_VALUE"""),"Tanque Plastico Horizontal 750 Lts")</f>
        <v>Tanque Plastico Horizontal 750 Lts</v>
      </c>
      <c r="BL126" s="3" t="str">
        <f>IFERROR(__xludf.DUMMYFUNCTION("""COMPUTED_VALUE"""),"Medio Tanque Plastico Superior 700 Lts")</f>
        <v>Medio Tanque Plastico Superior 700 Lts</v>
      </c>
      <c r="BM126" s="3" t="str">
        <f>IFERROR(__xludf.DUMMYFUNCTION("""COMPUTED_VALUE"""),"Paquete de Elasticos 50 mm x 8 mm x 10 Hojas L850")</f>
        <v>Paquete de Elasticos 50 mm x 8 mm x 10 Hojas L850</v>
      </c>
      <c r="BN126" s="3" t="str">
        <f>IFERROR(__xludf.DUMMYFUNCTION("""COMPUTED_VALUE"""),"Paquete de Elasticos 63 mm x 8 mm x 10 Hojas L950")</f>
        <v>Paquete de Elasticos 63 mm x 8 mm x 10 Hojas L950</v>
      </c>
      <c r="BO126" s="3" t="str">
        <f>IFERROR(__xludf.DUMMYFUNCTION("""COMPUTED_VALUE"""),"Paquete de Elasticos 50 mm x 7 mm x 9 Hojas L850")</f>
        <v>Paquete de Elasticos 50 mm x 7 mm x 9 Hojas L850</v>
      </c>
      <c r="BP126" s="3" t="str">
        <f>IFERROR(__xludf.DUMMYFUNCTION("""COMPUTED_VALUE"""),"Paquete de Elasticos 63 mm x 8 mm x 8 Hojas L850")</f>
        <v>Paquete de Elasticos 63 mm x 8 mm x 8 Hojas L850</v>
      </c>
      <c r="BQ126" s="3" t="str">
        <f>IFERROR(__xludf.DUMMYFUNCTION("""COMPUTED_VALUE"""),"Paquete de Elasticos 63 mm x 10 mm x 10 Hojas L950")</f>
        <v>Paquete de Elasticos 63 mm x 10 mm x 10 Hojas L950</v>
      </c>
      <c r="BR126" s="3" t="str">
        <f>IFERROR(__xludf.DUMMYFUNCTION("""COMPUTED_VALUE"""),"Paquete de Elasticos 63 mm x 10 mm x 13 Hojas L975")</f>
        <v>Paquete de Elasticos 63 mm x 10 mm x 13 Hojas L975</v>
      </c>
      <c r="BS126" s="3" t="str">
        <f>IFERROR(__xludf.DUMMYFUNCTION("""COMPUTED_VALUE"""),"Paquete de Elasticos 50 mm x 7 mm x 9 Hojas L650")</f>
        <v>Paquete de Elasticos 50 mm x 7 mm x 9 Hojas L650</v>
      </c>
      <c r="BT126" s="3" t="str">
        <f>IFERROR(__xludf.DUMMYFUNCTION("""COMPUTED_VALUE"""),"Eje Acoplado 2"" x 1600 (06/08) Agrícola Centro 92")</f>
        <v>Eje Acoplado 2" x 1600 (06/08) Agrícola Centro 92</v>
      </c>
      <c r="BU126" s="3" t="str">
        <f>IFERROR(__xludf.DUMMYFUNCTION("""COMPUTED_VALUE"""),"Eje Acoplado 2 1/2"" x 1600 (07/09) Agrícola Centro 92")</f>
        <v>Eje Acoplado 2 1/2" x 1600 (07/09) Agrícola Centro 92</v>
      </c>
      <c r="BV126" s="3" t="str">
        <f>IFERROR(__xludf.DUMMYFUNCTION("""COMPUTED_VALUE"""),"Eje Acoplado 2 1/2"" x 1600 (09/11) Agrícola Centro 150")</f>
        <v>Eje Acoplado 2 1/2" x 1600 (09/11) Agrícola Centro 150</v>
      </c>
      <c r="BW126" s="3" t="str">
        <f>IFERROR(__xludf.DUMMYFUNCTION("""COMPUTED_VALUE"""),"Eje Acoplado 3"" x 1600 (10/13) Agrícola Centro 150")</f>
        <v>Eje Acoplado 3" x 1600 (10/13) Agrícola Centro 150</v>
      </c>
      <c r="BX126" s="3" t="str">
        <f>IFERROR(__xludf.DUMMYFUNCTION("""COMPUTED_VALUE"""),"Eje Acoplado 2 1/2"" x 2140 (07/09) Agrícola Centro 92")</f>
        <v>Eje Acoplado 2 1/2" x 2140 (07/09) Agrícola Centro 92</v>
      </c>
      <c r="BY126" s="3" t="str">
        <f>IFERROR(__xludf.DUMMYFUNCTION("""COMPUTED_VALUE"""),"Eje Acoplado 2"" x 1400 (06/08) Agrícola Centro 92")</f>
        <v>Eje Acoplado 2" x 1400 (06/08) Agrícola Centro 92</v>
      </c>
      <c r="BZ126" s="3" t="str">
        <f>IFERROR(__xludf.DUMMYFUNCTION("""COMPUTED_VALUE"""),"Eje Acoplado 2 1/2"" x 1500 (07/09) Agrícola Centro 92")</f>
        <v>Eje Acoplado 2 1/2" x 1500 (07/09) Agrícola Centro 92</v>
      </c>
      <c r="CA126" s="3" t="str">
        <f>IFERROR(__xludf.DUMMYFUNCTION("""COMPUTED_VALUE"""),"Eje Acoplado 2 1/2"" x 2000 (07/09) Agrícola Centro 92")</f>
        <v>Eje Acoplado 2 1/2" x 2000 (07/09) Agrícola Centro 92</v>
      </c>
      <c r="CB126" s="3" t="str">
        <f>IFERROR(__xludf.DUMMYFUNCTION("""COMPUTED_VALUE"""),"Eje Acoplado 2 1/2"" x 2100 (09/11) Agrícola Centro 150")</f>
        <v>Eje Acoplado 2 1/2" x 2100 (09/11) Agrícola Centro 150</v>
      </c>
      <c r="CC126" s="3" t="str">
        <f>IFERROR(__xludf.DUMMYFUNCTION("""COMPUTED_VALUE"""),"Llanta 16"" Simple Agrícola Centro 92")</f>
        <v>Llanta 16" Simple Agrícola Centro 92</v>
      </c>
      <c r="CD126" s="3" t="str">
        <f>IFERROR(__xludf.DUMMYFUNCTION("""COMPUTED_VALUE"""),"Llanta 16"" Dual Agrícola Centro 92")</f>
        <v>Llanta 16" Dual Agrícola Centro 92</v>
      </c>
      <c r="CE126" s="3" t="str">
        <f>IFERROR(__xludf.DUMMYFUNCTION("""COMPUTED_VALUE"""),"Llanta 17"" Simple Agrícola Centro 92")</f>
        <v>Llanta 17" Simple Agrícola Centro 92</v>
      </c>
      <c r="CF126" s="3" t="str">
        <f>IFERROR(__xludf.DUMMYFUNCTION("""COMPUTED_VALUE"""),"Llanta 17"" Dual Agrícola Centro 92")</f>
        <v>Llanta 17" Dual Agrícola Centro 92</v>
      </c>
      <c r="CG126" s="3" t="str">
        <f>IFERROR(__xludf.DUMMYFUNCTION("""COMPUTED_VALUE"""),"Llanta 16"" Dual Agrícola Centro 152")</f>
        <v>Llanta 16" Dual Agrícola Centro 152</v>
      </c>
      <c r="CH126" s="3" t="str">
        <f>IFERROR(__xludf.DUMMYFUNCTION("""COMPUTED_VALUE"""),"Llanta 17"" Dual Agrícola Centro 152")</f>
        <v>Llanta 17" Dual Agrícola Centro 152</v>
      </c>
      <c r="CI126" s="3" t="str">
        <f>IFERROR(__xludf.DUMMYFUNCTION("""COMPUTED_VALUE"""),"Eje Acoplado 2"" x 1600 (05/07) Agrícola Centro 92")</f>
        <v>Eje Acoplado 2" x 1600 (05/07) Agrícola Centro 92</v>
      </c>
      <c r="CJ126" s="3" t="str">
        <f>IFERROR(__xludf.DUMMYFUNCTION("""COMPUTED_VALUE"""),"Paquete de Elásticos 50 mm x 8 mm x 12 Hojas")</f>
        <v>Paquete de Elásticos 50 mm x 8 mm x 12 Hojas</v>
      </c>
      <c r="CK126" s="3" t="str">
        <f>IFERROR(__xludf.DUMMYFUNCTION("""COMPUTED_VALUE"""),"Plataforma Playo 4.00 x 1.90 x 0.45 Lateral Simple Baranda Fija")</f>
        <v>Plataforma Playo 4.00 x 1.90 x 0.45 Lateral Simple Baranda Fija</v>
      </c>
      <c r="CL126" s="3" t="str">
        <f>IFERROR(__xludf.DUMMYFUNCTION("""COMPUTED_VALUE"""),"Plataforma Playo 4.00 x 1.90 x 0.45 Lateral Simple Baranda Ventilada")</f>
        <v>Plataforma Playo 4.00 x 1.90 x 0.45 Lateral Simple Baranda Ventilada</v>
      </c>
      <c r="CM126" s="3" t="str">
        <f>IFERROR(__xludf.DUMMYFUNCTION("""COMPUTED_VALUE"""),"Plataforma Playo 4.00 x 1.90 x 0.45 Lateral Doble Baranda Ventilada")</f>
        <v>Plataforma Playo 4.00 x 1.90 x 0.45 Lateral Doble Baranda Ventilada</v>
      </c>
      <c r="CN126" s="3" t="str">
        <f>IFERROR(__xludf.DUMMYFUNCTION("""COMPUTED_VALUE"""),"Plataforma Playo 4.00 x 1.90 x 0.45 Lateral Doble Baranda Fija")</f>
        <v>Plataforma Playo 4.00 x 1.90 x 0.45 Lateral Doble Baranda Fija</v>
      </c>
      <c r="CO126" s="3" t="str">
        <f>IFERROR(__xludf.DUMMYFUNCTION("""COMPUTED_VALUE"""),"Plataforma Playo 4.00 x 1.90 x 0.72 Lateral Simple Baranda Fija")</f>
        <v>Plataforma Playo 4.00 x 1.90 x 0.72 Lateral Simple Baranda Fija</v>
      </c>
      <c r="CP126" s="3" t="str">
        <f>IFERROR(__xludf.DUMMYFUNCTION("""COMPUTED_VALUE"""),"Plataforma Playo 4.00 x 1.90 x 0.72 Lateral Doble Baranda Fija")</f>
        <v>Plataforma Playo 4.00 x 1.90 x 0.72 Lateral Doble Baranda Fija</v>
      </c>
      <c r="CQ126" s="3" t="str">
        <f>IFERROR(__xludf.DUMMYFUNCTION("""COMPUTED_VALUE"""),"Plataforma Playo 5.00 x 2.20 x 0.60 Lateral Doble Trasera Rebatible")</f>
        <v>Plataforma Playo 5.00 x 2.20 x 0.60 Lateral Doble Trasera Rebatible</v>
      </c>
      <c r="CR126" s="3" t="str">
        <f>IFERROR(__xludf.DUMMYFUNCTION("""COMPUTED_VALUE"""),"Plataforma Playo 5.00 x 2.20 x 0.60 Lateral Doble Baranda Fija C/Toldo")</f>
        <v>Plataforma Playo 5.00 x 2.20 x 0.60 Lateral Doble Baranda Fija C/Toldo</v>
      </c>
      <c r="CS126" s="3" t="str">
        <f>IFERROR(__xludf.DUMMYFUNCTION("""COMPUTED_VALUE"""),"Plataforma Playo 3.00 x 1.90 x 0.45 Lateral Simple Baranda Fija")</f>
        <v>Plataforma Playo 3.00 x 1.90 x 0.45 Lateral Simple Baranda Fija</v>
      </c>
      <c r="CT126" s="3" t="str">
        <f>IFERROR(__xludf.DUMMYFUNCTION("""COMPUTED_VALUE"""),"Plataforma Playo 3.00 x 1.90 x 0.45 Lateral Simple Baranda Ventilada")</f>
        <v>Plataforma Playo 3.00 x 1.90 x 0.45 Lateral Simple Baranda Ventilada</v>
      </c>
      <c r="CU126" s="3" t="str">
        <f>IFERROR(__xludf.DUMMYFUNCTION("""COMPUTED_VALUE"""),"Plataforma Playo 2.00 x 1.90 x 0.45 Lateral Simple Baranda Fija")</f>
        <v>Plataforma Playo 2.00 x 1.90 x 0.45 Lateral Simple Baranda Fija</v>
      </c>
      <c r="CV126" s="3" t="str">
        <f>IFERROR(__xludf.DUMMYFUNCTION("""COMPUTED_VALUE"""),"Plataforma Playo 5.00 x 1.90 x 0.60 Lateral Doble Baranda Fija")</f>
        <v>Plataforma Playo 5.00 x 1.90 x 0.60 Lateral Doble Baranda Fija</v>
      </c>
      <c r="CW126" s="3" t="str">
        <f>IFERROR(__xludf.DUMMYFUNCTION("""COMPUTED_VALUE"""),"Plataforma Playo 6.40 x 2.70 x 0.72 Lateral Doble Baranda Fija")</f>
        <v>Plataforma Playo 6.40 x 2.70 x 0.72 Lateral Doble Baranda Fija</v>
      </c>
      <c r="CX126" s="3" t="str">
        <f>IFERROR(__xludf.DUMMYFUNCTION("""COMPUTED_VALUE"""),"Chasis Acoplado Balancin L4000 Lanza Recta")</f>
        <v>Chasis Acoplado Balancin L4000 Lanza Recta</v>
      </c>
      <c r="CY126" s="3" t="str">
        <f>IFERROR(__xludf.DUMMYFUNCTION("""COMPUTED_VALUE"""),"Llanta simple Agrícola 750x20 centro 152")</f>
        <v>Llanta simple Agrícola 750x20 centro 152</v>
      </c>
      <c r="CZ126" s="3" t="str">
        <f>IFERROR(__xludf.DUMMYFUNCTION("""COMPUTED_VALUE"""),"Cajón de Herramientas Mediano adelante")</f>
        <v>Cajón de Herramientas Mediano adelante</v>
      </c>
      <c r="DA126" s="3" t="str">
        <f>IFERROR(__xludf.DUMMYFUNCTION("""COMPUTED_VALUE"""),"Llanta 15"" Simple Agrícola Centro 92")</f>
        <v>Llanta 15" Simple Agrícola Centro 92</v>
      </c>
    </row>
    <row r="127" hidden="1">
      <c r="A127" s="38">
        <f t="shared" si="1"/>
        <v>126</v>
      </c>
      <c r="B127" s="38">
        <f>IF(F127="","",SUMIF(Prearmados!E:E,F127,Prearmados!A:A))</f>
        <v>24</v>
      </c>
      <c r="C127" s="38">
        <f>IF(F127="","",SUMIF(Productos!E:E,G127,Productos!A:A))</f>
        <v>121</v>
      </c>
      <c r="D127" s="83" t="str">
        <f t="array" ref="D127">IF(OR(F127="",F127="Seleccionar.."),"",XLOOKUP(F127,Prearmados!E:E,Prearmados!F:F,"",0,1))</f>
        <v>Acoplados Rurales</v>
      </c>
      <c r="E127" s="83">
        <f>IF(H127="","",SUMIF(Precio_Productos!K:K,C127,Precio_Productos!J:J)*H127)</f>
        <v>2639644</v>
      </c>
      <c r="F127" s="84" t="s">
        <v>347</v>
      </c>
      <c r="G127" s="84" t="s">
        <v>163</v>
      </c>
      <c r="H127" s="13">
        <v>1.0</v>
      </c>
      <c r="P127" s="3" t="str">
        <f>IFERROR(__xludf.DUMMYFUNCTION("IF(OR(F127="""",F127=""Seleccionar..""),"""",TRANSPOSE(FILTER(Productos!E:E,(Productos!F:F=D127)+(Productos!F:F=XLOOKUP(D127,Implementos!B:B,Implementos!C:C,""-"",0,1)))))"),"Tanque Combustible 1100 lts Bajo")</f>
        <v>Tanque Combustible 1100 lts Bajo</v>
      </c>
      <c r="Q127" s="3" t="str">
        <f>IFERROR(__xludf.DUMMYFUNCTION("""COMPUTED_VALUE"""),"Tanque Combustible 1500 lts Standard")</f>
        <v>Tanque Combustible 1500 lts Standard</v>
      </c>
      <c r="R127" s="3" t="str">
        <f>IFERROR(__xludf.DUMMYFUNCTION("""COMPUTED_VALUE"""),"Tanque Combustible 1800 lts Standard")</f>
        <v>Tanque Combustible 1800 lts Standard</v>
      </c>
      <c r="S127" s="3" t="str">
        <f>IFERROR(__xludf.DUMMYFUNCTION("""COMPUTED_VALUE"""),"Tanque Combustible 2000 lts Bajo")</f>
        <v>Tanque Combustible 2000 lts Bajo</v>
      </c>
      <c r="T127" s="3" t="str">
        <f>IFERROR(__xludf.DUMMYFUNCTION("""COMPUTED_VALUE"""),"Tanque Combustible 2000 lts Standard")</f>
        <v>Tanque Combustible 2000 lts Standard</v>
      </c>
      <c r="U127" s="3" t="str">
        <f>IFERROR(__xludf.DUMMYFUNCTION("""COMPUTED_VALUE"""),"Tanque Combustible 3000 lts Standard")</f>
        <v>Tanque Combustible 3000 lts Standard</v>
      </c>
      <c r="V127" s="3" t="str">
        <f>IFERROR(__xludf.DUMMYFUNCTION("""COMPUTED_VALUE"""),"Tanque Combustible 3000 lts Alto")</f>
        <v>Tanque Combustible 3000 lts Alto</v>
      </c>
      <c r="W127" s="3" t="str">
        <f>IFERROR(__xludf.DUMMYFUNCTION("""COMPUTED_VALUE"""),"Tanque Combustible 4000 lts Standard")</f>
        <v>Tanque Combustible 4000 lts Standard</v>
      </c>
      <c r="X127" s="3" t="str">
        <f>IFERROR(__xludf.DUMMYFUNCTION("""COMPUTED_VALUE"""),"Tanque Combustible 5000 lts Standard")</f>
        <v>Tanque Combustible 5000 lts Standard</v>
      </c>
      <c r="Y127" s="3" t="str">
        <f>IFERROR(__xludf.DUMMYFUNCTION("""COMPUTED_VALUE"""),"Tanque Combustible 5000 lts Alto")</f>
        <v>Tanque Combustible 5000 lts Alto</v>
      </c>
      <c r="Z127" s="3" t="str">
        <f>IFERROR(__xludf.DUMMYFUNCTION("""COMPUTED_VALUE"""),"Tanque Combustible 2000 lts Alto")</f>
        <v>Tanque Combustible 2000 lts Alto</v>
      </c>
      <c r="AA127" s="3" t="str">
        <f>IFERROR(__xludf.DUMMYFUNCTION("""COMPUTED_VALUE"""),"Tanque Combustible 4000 lts Alto")</f>
        <v>Tanque Combustible 4000 lts Alto</v>
      </c>
      <c r="AB127" s="3" t="str">
        <f>IFERROR(__xludf.DUMMYFUNCTION("""COMPUTED_VALUE"""),"Baulera Standard - 750")</f>
        <v>Baulera Standard - 750</v>
      </c>
      <c r="AC127" s="3" t="str">
        <f>IFERROR(__xludf.DUMMYFUNCTION("""COMPUTED_VALUE"""),"Baulera Standard - 1700 - C/Laterales")</f>
        <v>Baulera Standard - 1700 - C/Laterales</v>
      </c>
      <c r="AD127" s="3" t="str">
        <f>IFERROR(__xludf.DUMMYFUNCTION("""COMPUTED_VALUE"""),"Baulera Standard - 1000 - C/Laterales")</f>
        <v>Baulera Standard - 1000 - C/Laterales</v>
      </c>
      <c r="AE127" s="3" t="str">
        <f>IFERROR(__xludf.DUMMYFUNCTION("""COMPUTED_VALUE"""),"Baulera Standard - 750 - C/Laterales")</f>
        <v>Baulera Standard - 750 - C/Laterales</v>
      </c>
      <c r="AF127" s="3" t="str">
        <f>IFERROR(__xludf.DUMMYFUNCTION("""COMPUTED_VALUE"""),"Baulera Standard - 1300 - C/Laterales")</f>
        <v>Baulera Standard - 1300 - C/Laterales</v>
      </c>
      <c r="AG127" s="3" t="str">
        <f>IFERROR(__xludf.DUMMYFUNCTION("""COMPUTED_VALUE"""),"Baulera Alta - 750")</f>
        <v>Baulera Alta - 750</v>
      </c>
      <c r="AH127" s="3" t="str">
        <f>IFERROR(__xludf.DUMMYFUNCTION("""COMPUTED_VALUE"""),"Baulera Alta - 1500 - C/Laterales")</f>
        <v>Baulera Alta - 1500 - C/Laterales</v>
      </c>
      <c r="AI127" s="3" t="str">
        <f>IFERROR(__xludf.DUMMYFUNCTION("""COMPUTED_VALUE"""),"Baulera Extendida 1700 - C/Laterales")</f>
        <v>Baulera Extendida 1700 - C/Laterales</v>
      </c>
      <c r="AJ127" s="3" t="str">
        <f>IFERROR(__xludf.DUMMYFUNCTION("""COMPUTED_VALUE"""),"Taller Móvil - 1500 x 1500 x 1700")</f>
        <v>Taller Móvil - 1500 x 1500 x 1700</v>
      </c>
      <c r="AK127" s="3" t="str">
        <f>IFERROR(__xludf.DUMMYFUNCTION("""COMPUTED_VALUE"""),"Cajón Herramientas Standard Derecho")</f>
        <v>Cajón Herramientas Standard Derecho</v>
      </c>
      <c r="AL127" s="3" t="str">
        <f>IFERROR(__xludf.DUMMYFUNCTION("""COMPUTED_VALUE"""),"Cajón Herramientas Standard Izquierdo")</f>
        <v>Cajón Herramientas Standard Izquierdo</v>
      </c>
      <c r="AM127" s="3" t="str">
        <f>IFERROR(__xludf.DUMMYFUNCTION("""COMPUTED_VALUE"""),"Cajón Herramientas Corto Derecho")</f>
        <v>Cajón Herramientas Corto Derecho</v>
      </c>
      <c r="AN127" s="3" t="str">
        <f>IFERROR(__xludf.DUMMYFUNCTION("""COMPUTED_VALUE"""),"Cajón Herramientas Corto Izquierdo")</f>
        <v>Cajón Herramientas Corto Izquierdo</v>
      </c>
      <c r="AO127" s="3" t="str">
        <f>IFERROR(__xludf.DUMMYFUNCTION("""COMPUTED_VALUE"""),"Cajón Herramientas Mediano Derecho")</f>
        <v>Cajón Herramientas Mediano Derecho</v>
      </c>
      <c r="AP127" s="3" t="str">
        <f>IFERROR(__xludf.DUMMYFUNCTION("""COMPUTED_VALUE"""),"Cajón Herramientas Mediano Izquierdo")</f>
        <v>Cajón Herramientas Mediano Izquierdo</v>
      </c>
      <c r="AQ127" s="3" t="str">
        <f>IFERROR(__xludf.DUMMYFUNCTION("""COMPUTED_VALUE"""),"Chasis Acoplado 2 Ejes L3000")</f>
        <v>Chasis Acoplado 2 Ejes L3000</v>
      </c>
      <c r="AR127" s="3" t="str">
        <f>IFERROR(__xludf.DUMMYFUNCTION("""COMPUTED_VALUE"""),"Chasis Acoplado 2 Ejes L3750")</f>
        <v>Chasis Acoplado 2 Ejes L3750</v>
      </c>
      <c r="AS127" s="3" t="str">
        <f>IFERROR(__xludf.DUMMYFUNCTION("""COMPUTED_VALUE"""),"Chasis Acoplado 2 Ejes L4000")</f>
        <v>Chasis Acoplado 2 Ejes L4000</v>
      </c>
      <c r="AT127" s="3" t="str">
        <f>IFERROR(__xludf.DUMMYFUNCTION("""COMPUTED_VALUE"""),"Chasis Acoplado 2 Ejes L4000 Reforzado")</f>
        <v>Chasis Acoplado 2 Ejes L4000 Reforzado</v>
      </c>
      <c r="AU127" s="3" t="str">
        <f>IFERROR(__xludf.DUMMYFUNCTION("""COMPUTED_VALUE"""),"Chasis Acoplado 2 Ejes L4750")</f>
        <v>Chasis Acoplado 2 Ejes L4750</v>
      </c>
      <c r="AV127" s="3" t="str">
        <f>IFERROR(__xludf.DUMMYFUNCTION("""COMPUTED_VALUE"""),"Chasis Acoplado 2 Ejes L4750 Reforzado")</f>
        <v>Chasis Acoplado 2 Ejes L4750 Reforzado</v>
      </c>
      <c r="AW127" s="3" t="str">
        <f>IFERROR(__xludf.DUMMYFUNCTION("""COMPUTED_VALUE"""),"Chasis Acoplado 2 Ejes L4750 Reforzado R. Camion")</f>
        <v>Chasis Acoplado 2 Ejes L4750 Reforzado R. Camion</v>
      </c>
      <c r="AX127" s="3" t="str">
        <f>IFERROR(__xludf.DUMMYFUNCTION("""COMPUTED_VALUE"""),"Chasis Acoplado 2 Ejes L5000")</f>
        <v>Chasis Acoplado 2 Ejes L5000</v>
      </c>
      <c r="AY127" s="3" t="str">
        <f>IFERROR(__xludf.DUMMYFUNCTION("""COMPUTED_VALUE"""),"Chasis Acoplado 2 Ejes L5750")</f>
        <v>Chasis Acoplado 2 Ejes L5750</v>
      </c>
      <c r="AZ127" s="3" t="str">
        <f>IFERROR(__xludf.DUMMYFUNCTION("""COMPUTED_VALUE"""),"Chasis Acoplado 2 Ejes L6400")</f>
        <v>Chasis Acoplado 2 Ejes L6400</v>
      </c>
      <c r="BA127" s="3" t="str">
        <f>IFERROR(__xludf.DUMMYFUNCTION("""COMPUTED_VALUE"""),"Chasis Acoplado 2 Ejes L4500")</f>
        <v>Chasis Acoplado 2 Ejes L4500</v>
      </c>
      <c r="BB127" s="3" t="str">
        <f>IFERROR(__xludf.DUMMYFUNCTION("""COMPUTED_VALUE"""),"Chasis Acoplado 1 Eje L1500")</f>
        <v>Chasis Acoplado 1 Eje L1500</v>
      </c>
      <c r="BC127" s="3" t="str">
        <f>IFERROR(__xludf.DUMMYFUNCTION("""COMPUTED_VALUE"""),"Chasis Acoplado 1 Eje L1800")</f>
        <v>Chasis Acoplado 1 Eje L1800</v>
      </c>
      <c r="BD127" s="3" t="str">
        <f>IFERROR(__xludf.DUMMYFUNCTION("""COMPUTED_VALUE"""),"Chasis Acoplado 1 Eje L1400")</f>
        <v>Chasis Acoplado 1 Eje L1400</v>
      </c>
      <c r="BE127" s="3" t="str">
        <f>IFERROR(__xludf.DUMMYFUNCTION("""COMPUTED_VALUE"""),"Chasis Acoplado Balancin L3000")</f>
        <v>Chasis Acoplado Balancin L3000</v>
      </c>
      <c r="BF127" s="3" t="str">
        <f>IFERROR(__xludf.DUMMYFUNCTION("""COMPUTED_VALUE"""),"Chasis Acoplado Balancin L3000 Lanza Corta")</f>
        <v>Chasis Acoplado Balancin L3000 Lanza Corta</v>
      </c>
      <c r="BG127" s="3" t="str">
        <f>IFERROR(__xludf.DUMMYFUNCTION("""COMPUTED_VALUE"""),"Chasis Acoplado Balancin L2000 Lanza Corta")</f>
        <v>Chasis Acoplado Balancin L2000 Lanza Corta</v>
      </c>
      <c r="BH127" s="3" t="str">
        <f>IFERROR(__xludf.DUMMYFUNCTION("""COMPUTED_VALUE"""),"Chasis Acoplado Balancin L3200 Lanza Corta")</f>
        <v>Chasis Acoplado Balancin L3200 Lanza Corta</v>
      </c>
      <c r="BI127" s="3" t="str">
        <f>IFERROR(__xludf.DUMMYFUNCTION("""COMPUTED_VALUE"""),"Chasis Acoplado Balancin L3200 Lanza Recta")</f>
        <v>Chasis Acoplado Balancin L3200 Lanza Recta</v>
      </c>
      <c r="BJ127" s="3" t="str">
        <f>IFERROR(__xludf.DUMMYFUNCTION("""COMPUTED_VALUE"""),"Chasis Acoplado Balancin L3200 Bajo Lanza Recta")</f>
        <v>Chasis Acoplado Balancin L3200 Bajo Lanza Recta</v>
      </c>
      <c r="BK127" s="3" t="str">
        <f>IFERROR(__xludf.DUMMYFUNCTION("""COMPUTED_VALUE"""),"Tanque Plastico Horizontal 750 Lts")</f>
        <v>Tanque Plastico Horizontal 750 Lts</v>
      </c>
      <c r="BL127" s="3" t="str">
        <f>IFERROR(__xludf.DUMMYFUNCTION("""COMPUTED_VALUE"""),"Medio Tanque Plastico Superior 700 Lts")</f>
        <v>Medio Tanque Plastico Superior 700 Lts</v>
      </c>
      <c r="BM127" s="3" t="str">
        <f>IFERROR(__xludf.DUMMYFUNCTION("""COMPUTED_VALUE"""),"Paquete de Elasticos 50 mm x 8 mm x 10 Hojas L850")</f>
        <v>Paquete de Elasticos 50 mm x 8 mm x 10 Hojas L850</v>
      </c>
      <c r="BN127" s="3" t="str">
        <f>IFERROR(__xludf.DUMMYFUNCTION("""COMPUTED_VALUE"""),"Paquete de Elasticos 63 mm x 8 mm x 10 Hojas L950")</f>
        <v>Paquete de Elasticos 63 mm x 8 mm x 10 Hojas L950</v>
      </c>
      <c r="BO127" s="3" t="str">
        <f>IFERROR(__xludf.DUMMYFUNCTION("""COMPUTED_VALUE"""),"Paquete de Elasticos 50 mm x 7 mm x 9 Hojas L850")</f>
        <v>Paquete de Elasticos 50 mm x 7 mm x 9 Hojas L850</v>
      </c>
      <c r="BP127" s="3" t="str">
        <f>IFERROR(__xludf.DUMMYFUNCTION("""COMPUTED_VALUE"""),"Paquete de Elasticos 63 mm x 8 mm x 8 Hojas L850")</f>
        <v>Paquete de Elasticos 63 mm x 8 mm x 8 Hojas L850</v>
      </c>
      <c r="BQ127" s="3" t="str">
        <f>IFERROR(__xludf.DUMMYFUNCTION("""COMPUTED_VALUE"""),"Paquete de Elasticos 63 mm x 10 mm x 10 Hojas L950")</f>
        <v>Paquete de Elasticos 63 mm x 10 mm x 10 Hojas L950</v>
      </c>
      <c r="BR127" s="3" t="str">
        <f>IFERROR(__xludf.DUMMYFUNCTION("""COMPUTED_VALUE"""),"Paquete de Elasticos 63 mm x 10 mm x 13 Hojas L975")</f>
        <v>Paquete de Elasticos 63 mm x 10 mm x 13 Hojas L975</v>
      </c>
      <c r="BS127" s="3" t="str">
        <f>IFERROR(__xludf.DUMMYFUNCTION("""COMPUTED_VALUE"""),"Paquete de Elasticos 50 mm x 7 mm x 9 Hojas L650")</f>
        <v>Paquete de Elasticos 50 mm x 7 mm x 9 Hojas L650</v>
      </c>
      <c r="BT127" s="3" t="str">
        <f>IFERROR(__xludf.DUMMYFUNCTION("""COMPUTED_VALUE"""),"Eje Acoplado 2"" x 1600 (06/08) Agrícola Centro 92")</f>
        <v>Eje Acoplado 2" x 1600 (06/08) Agrícola Centro 92</v>
      </c>
      <c r="BU127" s="3" t="str">
        <f>IFERROR(__xludf.DUMMYFUNCTION("""COMPUTED_VALUE"""),"Eje Acoplado 2 1/2"" x 1600 (07/09) Agrícola Centro 92")</f>
        <v>Eje Acoplado 2 1/2" x 1600 (07/09) Agrícola Centro 92</v>
      </c>
      <c r="BV127" s="3" t="str">
        <f>IFERROR(__xludf.DUMMYFUNCTION("""COMPUTED_VALUE"""),"Eje Acoplado 2 1/2"" x 1600 (09/11) Agrícola Centro 150")</f>
        <v>Eje Acoplado 2 1/2" x 1600 (09/11) Agrícola Centro 150</v>
      </c>
      <c r="BW127" s="3" t="str">
        <f>IFERROR(__xludf.DUMMYFUNCTION("""COMPUTED_VALUE"""),"Eje Acoplado 3"" x 1600 (10/13) Agrícola Centro 150")</f>
        <v>Eje Acoplado 3" x 1600 (10/13) Agrícola Centro 150</v>
      </c>
      <c r="BX127" s="3" t="str">
        <f>IFERROR(__xludf.DUMMYFUNCTION("""COMPUTED_VALUE"""),"Eje Acoplado 2 1/2"" x 2140 (07/09) Agrícola Centro 92")</f>
        <v>Eje Acoplado 2 1/2" x 2140 (07/09) Agrícola Centro 92</v>
      </c>
      <c r="BY127" s="3" t="str">
        <f>IFERROR(__xludf.DUMMYFUNCTION("""COMPUTED_VALUE"""),"Eje Acoplado 2"" x 1400 (06/08) Agrícola Centro 92")</f>
        <v>Eje Acoplado 2" x 1400 (06/08) Agrícola Centro 92</v>
      </c>
      <c r="BZ127" s="3" t="str">
        <f>IFERROR(__xludf.DUMMYFUNCTION("""COMPUTED_VALUE"""),"Eje Acoplado 2 1/2"" x 1500 (07/09) Agrícola Centro 92")</f>
        <v>Eje Acoplado 2 1/2" x 1500 (07/09) Agrícola Centro 92</v>
      </c>
      <c r="CA127" s="3" t="str">
        <f>IFERROR(__xludf.DUMMYFUNCTION("""COMPUTED_VALUE"""),"Eje Acoplado 2 1/2"" x 2000 (07/09) Agrícola Centro 92")</f>
        <v>Eje Acoplado 2 1/2" x 2000 (07/09) Agrícola Centro 92</v>
      </c>
      <c r="CB127" s="3" t="str">
        <f>IFERROR(__xludf.DUMMYFUNCTION("""COMPUTED_VALUE"""),"Eje Acoplado 2 1/2"" x 2100 (09/11) Agrícola Centro 150")</f>
        <v>Eje Acoplado 2 1/2" x 2100 (09/11) Agrícola Centro 150</v>
      </c>
      <c r="CC127" s="3" t="str">
        <f>IFERROR(__xludf.DUMMYFUNCTION("""COMPUTED_VALUE"""),"Llanta 16"" Simple Agrícola Centro 92")</f>
        <v>Llanta 16" Simple Agrícola Centro 92</v>
      </c>
      <c r="CD127" s="3" t="str">
        <f>IFERROR(__xludf.DUMMYFUNCTION("""COMPUTED_VALUE"""),"Llanta 16"" Dual Agrícola Centro 92")</f>
        <v>Llanta 16" Dual Agrícola Centro 92</v>
      </c>
      <c r="CE127" s="3" t="str">
        <f>IFERROR(__xludf.DUMMYFUNCTION("""COMPUTED_VALUE"""),"Llanta 17"" Simple Agrícola Centro 92")</f>
        <v>Llanta 17" Simple Agrícola Centro 92</v>
      </c>
      <c r="CF127" s="3" t="str">
        <f>IFERROR(__xludf.DUMMYFUNCTION("""COMPUTED_VALUE"""),"Llanta 17"" Dual Agrícola Centro 92")</f>
        <v>Llanta 17" Dual Agrícola Centro 92</v>
      </c>
      <c r="CG127" s="3" t="str">
        <f>IFERROR(__xludf.DUMMYFUNCTION("""COMPUTED_VALUE"""),"Llanta 16"" Dual Agrícola Centro 152")</f>
        <v>Llanta 16" Dual Agrícola Centro 152</v>
      </c>
      <c r="CH127" s="3" t="str">
        <f>IFERROR(__xludf.DUMMYFUNCTION("""COMPUTED_VALUE"""),"Llanta 17"" Dual Agrícola Centro 152")</f>
        <v>Llanta 17" Dual Agrícola Centro 152</v>
      </c>
      <c r="CI127" s="3" t="str">
        <f>IFERROR(__xludf.DUMMYFUNCTION("""COMPUTED_VALUE"""),"Eje Acoplado 2"" x 1600 (05/07) Agrícola Centro 92")</f>
        <v>Eje Acoplado 2" x 1600 (05/07) Agrícola Centro 92</v>
      </c>
      <c r="CJ127" s="3" t="str">
        <f>IFERROR(__xludf.DUMMYFUNCTION("""COMPUTED_VALUE"""),"Paquete de Elásticos 50 mm x 8 mm x 12 Hojas")</f>
        <v>Paquete de Elásticos 50 mm x 8 mm x 12 Hojas</v>
      </c>
      <c r="CK127" s="3" t="str">
        <f>IFERROR(__xludf.DUMMYFUNCTION("""COMPUTED_VALUE"""),"Plataforma Playo 4.00 x 1.90 x 0.45 Lateral Simple Baranda Fija")</f>
        <v>Plataforma Playo 4.00 x 1.90 x 0.45 Lateral Simple Baranda Fija</v>
      </c>
      <c r="CL127" s="3" t="str">
        <f>IFERROR(__xludf.DUMMYFUNCTION("""COMPUTED_VALUE"""),"Plataforma Playo 4.00 x 1.90 x 0.45 Lateral Simple Baranda Ventilada")</f>
        <v>Plataforma Playo 4.00 x 1.90 x 0.45 Lateral Simple Baranda Ventilada</v>
      </c>
      <c r="CM127" s="3" t="str">
        <f>IFERROR(__xludf.DUMMYFUNCTION("""COMPUTED_VALUE"""),"Plataforma Playo 4.00 x 1.90 x 0.45 Lateral Doble Baranda Ventilada")</f>
        <v>Plataforma Playo 4.00 x 1.90 x 0.45 Lateral Doble Baranda Ventilada</v>
      </c>
      <c r="CN127" s="3" t="str">
        <f>IFERROR(__xludf.DUMMYFUNCTION("""COMPUTED_VALUE"""),"Plataforma Playo 4.00 x 1.90 x 0.45 Lateral Doble Baranda Fija")</f>
        <v>Plataforma Playo 4.00 x 1.90 x 0.45 Lateral Doble Baranda Fija</v>
      </c>
      <c r="CO127" s="3" t="str">
        <f>IFERROR(__xludf.DUMMYFUNCTION("""COMPUTED_VALUE"""),"Plataforma Playo 4.00 x 1.90 x 0.72 Lateral Simple Baranda Fija")</f>
        <v>Plataforma Playo 4.00 x 1.90 x 0.72 Lateral Simple Baranda Fija</v>
      </c>
      <c r="CP127" s="3" t="str">
        <f>IFERROR(__xludf.DUMMYFUNCTION("""COMPUTED_VALUE"""),"Plataforma Playo 4.00 x 1.90 x 0.72 Lateral Doble Baranda Fija")</f>
        <v>Plataforma Playo 4.00 x 1.90 x 0.72 Lateral Doble Baranda Fija</v>
      </c>
      <c r="CQ127" s="3" t="str">
        <f>IFERROR(__xludf.DUMMYFUNCTION("""COMPUTED_VALUE"""),"Plataforma Playo 5.00 x 2.20 x 0.60 Lateral Doble Trasera Rebatible")</f>
        <v>Plataforma Playo 5.00 x 2.20 x 0.60 Lateral Doble Trasera Rebatible</v>
      </c>
      <c r="CR127" s="3" t="str">
        <f>IFERROR(__xludf.DUMMYFUNCTION("""COMPUTED_VALUE"""),"Plataforma Playo 5.00 x 2.20 x 0.60 Lateral Doble Baranda Fija C/Toldo")</f>
        <v>Plataforma Playo 5.00 x 2.20 x 0.60 Lateral Doble Baranda Fija C/Toldo</v>
      </c>
      <c r="CS127" s="3" t="str">
        <f>IFERROR(__xludf.DUMMYFUNCTION("""COMPUTED_VALUE"""),"Plataforma Playo 3.00 x 1.90 x 0.45 Lateral Simple Baranda Fija")</f>
        <v>Plataforma Playo 3.00 x 1.90 x 0.45 Lateral Simple Baranda Fija</v>
      </c>
      <c r="CT127" s="3" t="str">
        <f>IFERROR(__xludf.DUMMYFUNCTION("""COMPUTED_VALUE"""),"Plataforma Playo 3.00 x 1.90 x 0.45 Lateral Simple Baranda Ventilada")</f>
        <v>Plataforma Playo 3.00 x 1.90 x 0.45 Lateral Simple Baranda Ventilada</v>
      </c>
      <c r="CU127" s="3" t="str">
        <f>IFERROR(__xludf.DUMMYFUNCTION("""COMPUTED_VALUE"""),"Plataforma Playo 2.00 x 1.90 x 0.45 Lateral Simple Baranda Fija")</f>
        <v>Plataforma Playo 2.00 x 1.90 x 0.45 Lateral Simple Baranda Fija</v>
      </c>
      <c r="CV127" s="3" t="str">
        <f>IFERROR(__xludf.DUMMYFUNCTION("""COMPUTED_VALUE"""),"Plataforma Playo 5.00 x 1.90 x 0.60 Lateral Doble Baranda Fija")</f>
        <v>Plataforma Playo 5.00 x 1.90 x 0.60 Lateral Doble Baranda Fija</v>
      </c>
      <c r="CW127" s="3" t="str">
        <f>IFERROR(__xludf.DUMMYFUNCTION("""COMPUTED_VALUE"""),"Plataforma Playo 6.40 x 2.70 x 0.72 Lateral Doble Baranda Fija")</f>
        <v>Plataforma Playo 6.40 x 2.70 x 0.72 Lateral Doble Baranda Fija</v>
      </c>
      <c r="CX127" s="3" t="str">
        <f>IFERROR(__xludf.DUMMYFUNCTION("""COMPUTED_VALUE"""),"Chasis Acoplado Balancin L4000 Lanza Recta")</f>
        <v>Chasis Acoplado Balancin L4000 Lanza Recta</v>
      </c>
      <c r="CY127" s="3" t="str">
        <f>IFERROR(__xludf.DUMMYFUNCTION("""COMPUTED_VALUE"""),"Llanta simple Agrícola 750x20 centro 152")</f>
        <v>Llanta simple Agrícola 750x20 centro 152</v>
      </c>
      <c r="CZ127" s="3" t="str">
        <f>IFERROR(__xludf.DUMMYFUNCTION("""COMPUTED_VALUE"""),"Cajón de Herramientas Mediano adelante")</f>
        <v>Cajón de Herramientas Mediano adelante</v>
      </c>
      <c r="DA127" s="3" t="str">
        <f>IFERROR(__xludf.DUMMYFUNCTION("""COMPUTED_VALUE"""),"Llanta 15"" Simple Agrícola Centro 92")</f>
        <v>Llanta 15" Simple Agrícola Centro 92</v>
      </c>
    </row>
    <row r="128" hidden="1">
      <c r="A128" s="38">
        <f t="shared" si="1"/>
        <v>127</v>
      </c>
      <c r="B128" s="38">
        <f>IF(F128="","",SUMIF(Prearmados!E:E,F128,Prearmados!A:A))</f>
        <v>24</v>
      </c>
      <c r="C128" s="38">
        <f>IF(F128="","",SUMIF(Productos!E:E,G128,Productos!A:A))</f>
        <v>101</v>
      </c>
      <c r="D128" s="83" t="str">
        <f t="array" ref="D128">IF(OR(F128="",F128="Seleccionar.."),"",XLOOKUP(F128,Prearmados!E:E,Prearmados!F:F,"",0,1))</f>
        <v>Acoplados Rurales</v>
      </c>
      <c r="E128" s="83">
        <f>IF(H128="","",SUMIF(Precio_Productos!K:K,C128,Precio_Productos!J:J)*H128)</f>
        <v>780000</v>
      </c>
      <c r="F128" s="84" t="s">
        <v>347</v>
      </c>
      <c r="G128" s="84" t="s">
        <v>133</v>
      </c>
      <c r="H128" s="13">
        <v>2.0</v>
      </c>
      <c r="P128" s="3" t="str">
        <f>IFERROR(__xludf.DUMMYFUNCTION("IF(OR(F128="""",F128=""Seleccionar..""),"""",TRANSPOSE(FILTER(Productos!E:E,(Productos!F:F=D128)+(Productos!F:F=XLOOKUP(D128,Implementos!B:B,Implementos!C:C,""-"",0,1)))))"),"Tanque Combustible 1100 lts Bajo")</f>
        <v>Tanque Combustible 1100 lts Bajo</v>
      </c>
      <c r="Q128" s="3" t="str">
        <f>IFERROR(__xludf.DUMMYFUNCTION("""COMPUTED_VALUE"""),"Tanque Combustible 1500 lts Standard")</f>
        <v>Tanque Combustible 1500 lts Standard</v>
      </c>
      <c r="R128" s="3" t="str">
        <f>IFERROR(__xludf.DUMMYFUNCTION("""COMPUTED_VALUE"""),"Tanque Combustible 1800 lts Standard")</f>
        <v>Tanque Combustible 1800 lts Standard</v>
      </c>
      <c r="S128" s="3" t="str">
        <f>IFERROR(__xludf.DUMMYFUNCTION("""COMPUTED_VALUE"""),"Tanque Combustible 2000 lts Bajo")</f>
        <v>Tanque Combustible 2000 lts Bajo</v>
      </c>
      <c r="T128" s="3" t="str">
        <f>IFERROR(__xludf.DUMMYFUNCTION("""COMPUTED_VALUE"""),"Tanque Combustible 2000 lts Standard")</f>
        <v>Tanque Combustible 2000 lts Standard</v>
      </c>
      <c r="U128" s="3" t="str">
        <f>IFERROR(__xludf.DUMMYFUNCTION("""COMPUTED_VALUE"""),"Tanque Combustible 3000 lts Standard")</f>
        <v>Tanque Combustible 3000 lts Standard</v>
      </c>
      <c r="V128" s="3" t="str">
        <f>IFERROR(__xludf.DUMMYFUNCTION("""COMPUTED_VALUE"""),"Tanque Combustible 3000 lts Alto")</f>
        <v>Tanque Combustible 3000 lts Alto</v>
      </c>
      <c r="W128" s="3" t="str">
        <f>IFERROR(__xludf.DUMMYFUNCTION("""COMPUTED_VALUE"""),"Tanque Combustible 4000 lts Standard")</f>
        <v>Tanque Combustible 4000 lts Standard</v>
      </c>
      <c r="X128" s="3" t="str">
        <f>IFERROR(__xludf.DUMMYFUNCTION("""COMPUTED_VALUE"""),"Tanque Combustible 5000 lts Standard")</f>
        <v>Tanque Combustible 5000 lts Standard</v>
      </c>
      <c r="Y128" s="3" t="str">
        <f>IFERROR(__xludf.DUMMYFUNCTION("""COMPUTED_VALUE"""),"Tanque Combustible 5000 lts Alto")</f>
        <v>Tanque Combustible 5000 lts Alto</v>
      </c>
      <c r="Z128" s="3" t="str">
        <f>IFERROR(__xludf.DUMMYFUNCTION("""COMPUTED_VALUE"""),"Tanque Combustible 2000 lts Alto")</f>
        <v>Tanque Combustible 2000 lts Alto</v>
      </c>
      <c r="AA128" s="3" t="str">
        <f>IFERROR(__xludf.DUMMYFUNCTION("""COMPUTED_VALUE"""),"Tanque Combustible 4000 lts Alto")</f>
        <v>Tanque Combustible 4000 lts Alto</v>
      </c>
      <c r="AB128" s="3" t="str">
        <f>IFERROR(__xludf.DUMMYFUNCTION("""COMPUTED_VALUE"""),"Baulera Standard - 750")</f>
        <v>Baulera Standard - 750</v>
      </c>
      <c r="AC128" s="3" t="str">
        <f>IFERROR(__xludf.DUMMYFUNCTION("""COMPUTED_VALUE"""),"Baulera Standard - 1700 - C/Laterales")</f>
        <v>Baulera Standard - 1700 - C/Laterales</v>
      </c>
      <c r="AD128" s="3" t="str">
        <f>IFERROR(__xludf.DUMMYFUNCTION("""COMPUTED_VALUE"""),"Baulera Standard - 1000 - C/Laterales")</f>
        <v>Baulera Standard - 1000 - C/Laterales</v>
      </c>
      <c r="AE128" s="3" t="str">
        <f>IFERROR(__xludf.DUMMYFUNCTION("""COMPUTED_VALUE"""),"Baulera Standard - 750 - C/Laterales")</f>
        <v>Baulera Standard - 750 - C/Laterales</v>
      </c>
      <c r="AF128" s="3" t="str">
        <f>IFERROR(__xludf.DUMMYFUNCTION("""COMPUTED_VALUE"""),"Baulera Standard - 1300 - C/Laterales")</f>
        <v>Baulera Standard - 1300 - C/Laterales</v>
      </c>
      <c r="AG128" s="3" t="str">
        <f>IFERROR(__xludf.DUMMYFUNCTION("""COMPUTED_VALUE"""),"Baulera Alta - 750")</f>
        <v>Baulera Alta - 750</v>
      </c>
      <c r="AH128" s="3" t="str">
        <f>IFERROR(__xludf.DUMMYFUNCTION("""COMPUTED_VALUE"""),"Baulera Alta - 1500 - C/Laterales")</f>
        <v>Baulera Alta - 1500 - C/Laterales</v>
      </c>
      <c r="AI128" s="3" t="str">
        <f>IFERROR(__xludf.DUMMYFUNCTION("""COMPUTED_VALUE"""),"Baulera Extendida 1700 - C/Laterales")</f>
        <v>Baulera Extendida 1700 - C/Laterales</v>
      </c>
      <c r="AJ128" s="3" t="str">
        <f>IFERROR(__xludf.DUMMYFUNCTION("""COMPUTED_VALUE"""),"Taller Móvil - 1500 x 1500 x 1700")</f>
        <v>Taller Móvil - 1500 x 1500 x 1700</v>
      </c>
      <c r="AK128" s="3" t="str">
        <f>IFERROR(__xludf.DUMMYFUNCTION("""COMPUTED_VALUE"""),"Cajón Herramientas Standard Derecho")</f>
        <v>Cajón Herramientas Standard Derecho</v>
      </c>
      <c r="AL128" s="3" t="str">
        <f>IFERROR(__xludf.DUMMYFUNCTION("""COMPUTED_VALUE"""),"Cajón Herramientas Standard Izquierdo")</f>
        <v>Cajón Herramientas Standard Izquierdo</v>
      </c>
      <c r="AM128" s="3" t="str">
        <f>IFERROR(__xludf.DUMMYFUNCTION("""COMPUTED_VALUE"""),"Cajón Herramientas Corto Derecho")</f>
        <v>Cajón Herramientas Corto Derecho</v>
      </c>
      <c r="AN128" s="3" t="str">
        <f>IFERROR(__xludf.DUMMYFUNCTION("""COMPUTED_VALUE"""),"Cajón Herramientas Corto Izquierdo")</f>
        <v>Cajón Herramientas Corto Izquierdo</v>
      </c>
      <c r="AO128" s="3" t="str">
        <f>IFERROR(__xludf.DUMMYFUNCTION("""COMPUTED_VALUE"""),"Cajón Herramientas Mediano Derecho")</f>
        <v>Cajón Herramientas Mediano Derecho</v>
      </c>
      <c r="AP128" s="3" t="str">
        <f>IFERROR(__xludf.DUMMYFUNCTION("""COMPUTED_VALUE"""),"Cajón Herramientas Mediano Izquierdo")</f>
        <v>Cajón Herramientas Mediano Izquierdo</v>
      </c>
      <c r="AQ128" s="3" t="str">
        <f>IFERROR(__xludf.DUMMYFUNCTION("""COMPUTED_VALUE"""),"Chasis Acoplado 2 Ejes L3000")</f>
        <v>Chasis Acoplado 2 Ejes L3000</v>
      </c>
      <c r="AR128" s="3" t="str">
        <f>IFERROR(__xludf.DUMMYFUNCTION("""COMPUTED_VALUE"""),"Chasis Acoplado 2 Ejes L3750")</f>
        <v>Chasis Acoplado 2 Ejes L3750</v>
      </c>
      <c r="AS128" s="3" t="str">
        <f>IFERROR(__xludf.DUMMYFUNCTION("""COMPUTED_VALUE"""),"Chasis Acoplado 2 Ejes L4000")</f>
        <v>Chasis Acoplado 2 Ejes L4000</v>
      </c>
      <c r="AT128" s="3" t="str">
        <f>IFERROR(__xludf.DUMMYFUNCTION("""COMPUTED_VALUE"""),"Chasis Acoplado 2 Ejes L4000 Reforzado")</f>
        <v>Chasis Acoplado 2 Ejes L4000 Reforzado</v>
      </c>
      <c r="AU128" s="3" t="str">
        <f>IFERROR(__xludf.DUMMYFUNCTION("""COMPUTED_VALUE"""),"Chasis Acoplado 2 Ejes L4750")</f>
        <v>Chasis Acoplado 2 Ejes L4750</v>
      </c>
      <c r="AV128" s="3" t="str">
        <f>IFERROR(__xludf.DUMMYFUNCTION("""COMPUTED_VALUE"""),"Chasis Acoplado 2 Ejes L4750 Reforzado")</f>
        <v>Chasis Acoplado 2 Ejes L4750 Reforzado</v>
      </c>
      <c r="AW128" s="3" t="str">
        <f>IFERROR(__xludf.DUMMYFUNCTION("""COMPUTED_VALUE"""),"Chasis Acoplado 2 Ejes L4750 Reforzado R. Camion")</f>
        <v>Chasis Acoplado 2 Ejes L4750 Reforzado R. Camion</v>
      </c>
      <c r="AX128" s="3" t="str">
        <f>IFERROR(__xludf.DUMMYFUNCTION("""COMPUTED_VALUE"""),"Chasis Acoplado 2 Ejes L5000")</f>
        <v>Chasis Acoplado 2 Ejes L5000</v>
      </c>
      <c r="AY128" s="3" t="str">
        <f>IFERROR(__xludf.DUMMYFUNCTION("""COMPUTED_VALUE"""),"Chasis Acoplado 2 Ejes L5750")</f>
        <v>Chasis Acoplado 2 Ejes L5750</v>
      </c>
      <c r="AZ128" s="3" t="str">
        <f>IFERROR(__xludf.DUMMYFUNCTION("""COMPUTED_VALUE"""),"Chasis Acoplado 2 Ejes L6400")</f>
        <v>Chasis Acoplado 2 Ejes L6400</v>
      </c>
      <c r="BA128" s="3" t="str">
        <f>IFERROR(__xludf.DUMMYFUNCTION("""COMPUTED_VALUE"""),"Chasis Acoplado 2 Ejes L4500")</f>
        <v>Chasis Acoplado 2 Ejes L4500</v>
      </c>
      <c r="BB128" s="3" t="str">
        <f>IFERROR(__xludf.DUMMYFUNCTION("""COMPUTED_VALUE"""),"Chasis Acoplado 1 Eje L1500")</f>
        <v>Chasis Acoplado 1 Eje L1500</v>
      </c>
      <c r="BC128" s="3" t="str">
        <f>IFERROR(__xludf.DUMMYFUNCTION("""COMPUTED_VALUE"""),"Chasis Acoplado 1 Eje L1800")</f>
        <v>Chasis Acoplado 1 Eje L1800</v>
      </c>
      <c r="BD128" s="3" t="str">
        <f>IFERROR(__xludf.DUMMYFUNCTION("""COMPUTED_VALUE"""),"Chasis Acoplado 1 Eje L1400")</f>
        <v>Chasis Acoplado 1 Eje L1400</v>
      </c>
      <c r="BE128" s="3" t="str">
        <f>IFERROR(__xludf.DUMMYFUNCTION("""COMPUTED_VALUE"""),"Chasis Acoplado Balancin L3000")</f>
        <v>Chasis Acoplado Balancin L3000</v>
      </c>
      <c r="BF128" s="3" t="str">
        <f>IFERROR(__xludf.DUMMYFUNCTION("""COMPUTED_VALUE"""),"Chasis Acoplado Balancin L3000 Lanza Corta")</f>
        <v>Chasis Acoplado Balancin L3000 Lanza Corta</v>
      </c>
      <c r="BG128" s="3" t="str">
        <f>IFERROR(__xludf.DUMMYFUNCTION("""COMPUTED_VALUE"""),"Chasis Acoplado Balancin L2000 Lanza Corta")</f>
        <v>Chasis Acoplado Balancin L2000 Lanza Corta</v>
      </c>
      <c r="BH128" s="3" t="str">
        <f>IFERROR(__xludf.DUMMYFUNCTION("""COMPUTED_VALUE"""),"Chasis Acoplado Balancin L3200 Lanza Corta")</f>
        <v>Chasis Acoplado Balancin L3200 Lanza Corta</v>
      </c>
      <c r="BI128" s="3" t="str">
        <f>IFERROR(__xludf.DUMMYFUNCTION("""COMPUTED_VALUE"""),"Chasis Acoplado Balancin L3200 Lanza Recta")</f>
        <v>Chasis Acoplado Balancin L3200 Lanza Recta</v>
      </c>
      <c r="BJ128" s="3" t="str">
        <f>IFERROR(__xludf.DUMMYFUNCTION("""COMPUTED_VALUE"""),"Chasis Acoplado Balancin L3200 Bajo Lanza Recta")</f>
        <v>Chasis Acoplado Balancin L3200 Bajo Lanza Recta</v>
      </c>
      <c r="BK128" s="3" t="str">
        <f>IFERROR(__xludf.DUMMYFUNCTION("""COMPUTED_VALUE"""),"Tanque Plastico Horizontal 750 Lts")</f>
        <v>Tanque Plastico Horizontal 750 Lts</v>
      </c>
      <c r="BL128" s="3" t="str">
        <f>IFERROR(__xludf.DUMMYFUNCTION("""COMPUTED_VALUE"""),"Medio Tanque Plastico Superior 700 Lts")</f>
        <v>Medio Tanque Plastico Superior 700 Lts</v>
      </c>
      <c r="BM128" s="3" t="str">
        <f>IFERROR(__xludf.DUMMYFUNCTION("""COMPUTED_VALUE"""),"Paquete de Elasticos 50 mm x 8 mm x 10 Hojas L850")</f>
        <v>Paquete de Elasticos 50 mm x 8 mm x 10 Hojas L850</v>
      </c>
      <c r="BN128" s="3" t="str">
        <f>IFERROR(__xludf.DUMMYFUNCTION("""COMPUTED_VALUE"""),"Paquete de Elasticos 63 mm x 8 mm x 10 Hojas L950")</f>
        <v>Paquete de Elasticos 63 mm x 8 mm x 10 Hojas L950</v>
      </c>
      <c r="BO128" s="3" t="str">
        <f>IFERROR(__xludf.DUMMYFUNCTION("""COMPUTED_VALUE"""),"Paquete de Elasticos 50 mm x 7 mm x 9 Hojas L850")</f>
        <v>Paquete de Elasticos 50 mm x 7 mm x 9 Hojas L850</v>
      </c>
      <c r="BP128" s="3" t="str">
        <f>IFERROR(__xludf.DUMMYFUNCTION("""COMPUTED_VALUE"""),"Paquete de Elasticos 63 mm x 8 mm x 8 Hojas L850")</f>
        <v>Paquete de Elasticos 63 mm x 8 mm x 8 Hojas L850</v>
      </c>
      <c r="BQ128" s="3" t="str">
        <f>IFERROR(__xludf.DUMMYFUNCTION("""COMPUTED_VALUE"""),"Paquete de Elasticos 63 mm x 10 mm x 10 Hojas L950")</f>
        <v>Paquete de Elasticos 63 mm x 10 mm x 10 Hojas L950</v>
      </c>
      <c r="BR128" s="3" t="str">
        <f>IFERROR(__xludf.DUMMYFUNCTION("""COMPUTED_VALUE"""),"Paquete de Elasticos 63 mm x 10 mm x 13 Hojas L975")</f>
        <v>Paquete de Elasticos 63 mm x 10 mm x 13 Hojas L975</v>
      </c>
      <c r="BS128" s="3" t="str">
        <f>IFERROR(__xludf.DUMMYFUNCTION("""COMPUTED_VALUE"""),"Paquete de Elasticos 50 mm x 7 mm x 9 Hojas L650")</f>
        <v>Paquete de Elasticos 50 mm x 7 mm x 9 Hojas L650</v>
      </c>
      <c r="BT128" s="3" t="str">
        <f>IFERROR(__xludf.DUMMYFUNCTION("""COMPUTED_VALUE"""),"Eje Acoplado 2"" x 1600 (06/08) Agrícola Centro 92")</f>
        <v>Eje Acoplado 2" x 1600 (06/08) Agrícola Centro 92</v>
      </c>
      <c r="BU128" s="3" t="str">
        <f>IFERROR(__xludf.DUMMYFUNCTION("""COMPUTED_VALUE"""),"Eje Acoplado 2 1/2"" x 1600 (07/09) Agrícola Centro 92")</f>
        <v>Eje Acoplado 2 1/2" x 1600 (07/09) Agrícola Centro 92</v>
      </c>
      <c r="BV128" s="3" t="str">
        <f>IFERROR(__xludf.DUMMYFUNCTION("""COMPUTED_VALUE"""),"Eje Acoplado 2 1/2"" x 1600 (09/11) Agrícola Centro 150")</f>
        <v>Eje Acoplado 2 1/2" x 1600 (09/11) Agrícola Centro 150</v>
      </c>
      <c r="BW128" s="3" t="str">
        <f>IFERROR(__xludf.DUMMYFUNCTION("""COMPUTED_VALUE"""),"Eje Acoplado 3"" x 1600 (10/13) Agrícola Centro 150")</f>
        <v>Eje Acoplado 3" x 1600 (10/13) Agrícola Centro 150</v>
      </c>
      <c r="BX128" s="3" t="str">
        <f>IFERROR(__xludf.DUMMYFUNCTION("""COMPUTED_VALUE"""),"Eje Acoplado 2 1/2"" x 2140 (07/09) Agrícola Centro 92")</f>
        <v>Eje Acoplado 2 1/2" x 2140 (07/09) Agrícola Centro 92</v>
      </c>
      <c r="BY128" s="3" t="str">
        <f>IFERROR(__xludf.DUMMYFUNCTION("""COMPUTED_VALUE"""),"Eje Acoplado 2"" x 1400 (06/08) Agrícola Centro 92")</f>
        <v>Eje Acoplado 2" x 1400 (06/08) Agrícola Centro 92</v>
      </c>
      <c r="BZ128" s="3" t="str">
        <f>IFERROR(__xludf.DUMMYFUNCTION("""COMPUTED_VALUE"""),"Eje Acoplado 2 1/2"" x 1500 (07/09) Agrícola Centro 92")</f>
        <v>Eje Acoplado 2 1/2" x 1500 (07/09) Agrícola Centro 92</v>
      </c>
      <c r="CA128" s="3" t="str">
        <f>IFERROR(__xludf.DUMMYFUNCTION("""COMPUTED_VALUE"""),"Eje Acoplado 2 1/2"" x 2000 (07/09) Agrícola Centro 92")</f>
        <v>Eje Acoplado 2 1/2" x 2000 (07/09) Agrícola Centro 92</v>
      </c>
      <c r="CB128" s="3" t="str">
        <f>IFERROR(__xludf.DUMMYFUNCTION("""COMPUTED_VALUE"""),"Eje Acoplado 2 1/2"" x 2100 (09/11) Agrícola Centro 150")</f>
        <v>Eje Acoplado 2 1/2" x 2100 (09/11) Agrícola Centro 150</v>
      </c>
      <c r="CC128" s="3" t="str">
        <f>IFERROR(__xludf.DUMMYFUNCTION("""COMPUTED_VALUE"""),"Llanta 16"" Simple Agrícola Centro 92")</f>
        <v>Llanta 16" Simple Agrícola Centro 92</v>
      </c>
      <c r="CD128" s="3" t="str">
        <f>IFERROR(__xludf.DUMMYFUNCTION("""COMPUTED_VALUE"""),"Llanta 16"" Dual Agrícola Centro 92")</f>
        <v>Llanta 16" Dual Agrícola Centro 92</v>
      </c>
      <c r="CE128" s="3" t="str">
        <f>IFERROR(__xludf.DUMMYFUNCTION("""COMPUTED_VALUE"""),"Llanta 17"" Simple Agrícola Centro 92")</f>
        <v>Llanta 17" Simple Agrícola Centro 92</v>
      </c>
      <c r="CF128" s="3" t="str">
        <f>IFERROR(__xludf.DUMMYFUNCTION("""COMPUTED_VALUE"""),"Llanta 17"" Dual Agrícola Centro 92")</f>
        <v>Llanta 17" Dual Agrícola Centro 92</v>
      </c>
      <c r="CG128" s="3" t="str">
        <f>IFERROR(__xludf.DUMMYFUNCTION("""COMPUTED_VALUE"""),"Llanta 16"" Dual Agrícola Centro 152")</f>
        <v>Llanta 16" Dual Agrícola Centro 152</v>
      </c>
      <c r="CH128" s="3" t="str">
        <f>IFERROR(__xludf.DUMMYFUNCTION("""COMPUTED_VALUE"""),"Llanta 17"" Dual Agrícola Centro 152")</f>
        <v>Llanta 17" Dual Agrícola Centro 152</v>
      </c>
      <c r="CI128" s="3" t="str">
        <f>IFERROR(__xludf.DUMMYFUNCTION("""COMPUTED_VALUE"""),"Eje Acoplado 2"" x 1600 (05/07) Agrícola Centro 92")</f>
        <v>Eje Acoplado 2" x 1600 (05/07) Agrícola Centro 92</v>
      </c>
      <c r="CJ128" s="3" t="str">
        <f>IFERROR(__xludf.DUMMYFUNCTION("""COMPUTED_VALUE"""),"Paquete de Elásticos 50 mm x 8 mm x 12 Hojas")</f>
        <v>Paquete de Elásticos 50 mm x 8 mm x 12 Hojas</v>
      </c>
      <c r="CK128" s="3" t="str">
        <f>IFERROR(__xludf.DUMMYFUNCTION("""COMPUTED_VALUE"""),"Plataforma Playo 4.00 x 1.90 x 0.45 Lateral Simple Baranda Fija")</f>
        <v>Plataforma Playo 4.00 x 1.90 x 0.45 Lateral Simple Baranda Fija</v>
      </c>
      <c r="CL128" s="3" t="str">
        <f>IFERROR(__xludf.DUMMYFUNCTION("""COMPUTED_VALUE"""),"Plataforma Playo 4.00 x 1.90 x 0.45 Lateral Simple Baranda Ventilada")</f>
        <v>Plataforma Playo 4.00 x 1.90 x 0.45 Lateral Simple Baranda Ventilada</v>
      </c>
      <c r="CM128" s="3" t="str">
        <f>IFERROR(__xludf.DUMMYFUNCTION("""COMPUTED_VALUE"""),"Plataforma Playo 4.00 x 1.90 x 0.45 Lateral Doble Baranda Ventilada")</f>
        <v>Plataforma Playo 4.00 x 1.90 x 0.45 Lateral Doble Baranda Ventilada</v>
      </c>
      <c r="CN128" s="3" t="str">
        <f>IFERROR(__xludf.DUMMYFUNCTION("""COMPUTED_VALUE"""),"Plataforma Playo 4.00 x 1.90 x 0.45 Lateral Doble Baranda Fija")</f>
        <v>Plataforma Playo 4.00 x 1.90 x 0.45 Lateral Doble Baranda Fija</v>
      </c>
      <c r="CO128" s="3" t="str">
        <f>IFERROR(__xludf.DUMMYFUNCTION("""COMPUTED_VALUE"""),"Plataforma Playo 4.00 x 1.90 x 0.72 Lateral Simple Baranda Fija")</f>
        <v>Plataforma Playo 4.00 x 1.90 x 0.72 Lateral Simple Baranda Fija</v>
      </c>
      <c r="CP128" s="3" t="str">
        <f>IFERROR(__xludf.DUMMYFUNCTION("""COMPUTED_VALUE"""),"Plataforma Playo 4.00 x 1.90 x 0.72 Lateral Doble Baranda Fija")</f>
        <v>Plataforma Playo 4.00 x 1.90 x 0.72 Lateral Doble Baranda Fija</v>
      </c>
      <c r="CQ128" s="3" t="str">
        <f>IFERROR(__xludf.DUMMYFUNCTION("""COMPUTED_VALUE"""),"Plataforma Playo 5.00 x 2.20 x 0.60 Lateral Doble Trasera Rebatible")</f>
        <v>Plataforma Playo 5.00 x 2.20 x 0.60 Lateral Doble Trasera Rebatible</v>
      </c>
      <c r="CR128" s="3" t="str">
        <f>IFERROR(__xludf.DUMMYFUNCTION("""COMPUTED_VALUE"""),"Plataforma Playo 5.00 x 2.20 x 0.60 Lateral Doble Baranda Fija C/Toldo")</f>
        <v>Plataforma Playo 5.00 x 2.20 x 0.60 Lateral Doble Baranda Fija C/Toldo</v>
      </c>
      <c r="CS128" s="3" t="str">
        <f>IFERROR(__xludf.DUMMYFUNCTION("""COMPUTED_VALUE"""),"Plataforma Playo 3.00 x 1.90 x 0.45 Lateral Simple Baranda Fija")</f>
        <v>Plataforma Playo 3.00 x 1.90 x 0.45 Lateral Simple Baranda Fija</v>
      </c>
      <c r="CT128" s="3" t="str">
        <f>IFERROR(__xludf.DUMMYFUNCTION("""COMPUTED_VALUE"""),"Plataforma Playo 3.00 x 1.90 x 0.45 Lateral Simple Baranda Ventilada")</f>
        <v>Plataforma Playo 3.00 x 1.90 x 0.45 Lateral Simple Baranda Ventilada</v>
      </c>
      <c r="CU128" s="3" t="str">
        <f>IFERROR(__xludf.DUMMYFUNCTION("""COMPUTED_VALUE"""),"Plataforma Playo 2.00 x 1.90 x 0.45 Lateral Simple Baranda Fija")</f>
        <v>Plataforma Playo 2.00 x 1.90 x 0.45 Lateral Simple Baranda Fija</v>
      </c>
      <c r="CV128" s="3" t="str">
        <f>IFERROR(__xludf.DUMMYFUNCTION("""COMPUTED_VALUE"""),"Plataforma Playo 5.00 x 1.90 x 0.60 Lateral Doble Baranda Fija")</f>
        <v>Plataforma Playo 5.00 x 1.90 x 0.60 Lateral Doble Baranda Fija</v>
      </c>
      <c r="CW128" s="3" t="str">
        <f>IFERROR(__xludf.DUMMYFUNCTION("""COMPUTED_VALUE"""),"Plataforma Playo 6.40 x 2.70 x 0.72 Lateral Doble Baranda Fija")</f>
        <v>Plataforma Playo 6.40 x 2.70 x 0.72 Lateral Doble Baranda Fija</v>
      </c>
      <c r="CX128" s="3" t="str">
        <f>IFERROR(__xludf.DUMMYFUNCTION("""COMPUTED_VALUE"""),"Chasis Acoplado Balancin L4000 Lanza Recta")</f>
        <v>Chasis Acoplado Balancin L4000 Lanza Recta</v>
      </c>
      <c r="CY128" s="3" t="str">
        <f>IFERROR(__xludf.DUMMYFUNCTION("""COMPUTED_VALUE"""),"Llanta simple Agrícola 750x20 centro 152")</f>
        <v>Llanta simple Agrícola 750x20 centro 152</v>
      </c>
      <c r="CZ128" s="3" t="str">
        <f>IFERROR(__xludf.DUMMYFUNCTION("""COMPUTED_VALUE"""),"Cajón de Herramientas Mediano adelante")</f>
        <v>Cajón de Herramientas Mediano adelante</v>
      </c>
      <c r="DA128" s="3" t="str">
        <f>IFERROR(__xludf.DUMMYFUNCTION("""COMPUTED_VALUE"""),"Llanta 15"" Simple Agrícola Centro 92")</f>
        <v>Llanta 15" Simple Agrícola Centro 92</v>
      </c>
    </row>
    <row r="129" hidden="1">
      <c r="A129" s="38">
        <f t="shared" si="1"/>
        <v>128</v>
      </c>
      <c r="B129" s="38">
        <f>IF(F129="","",SUMIF(Prearmados!E:E,F129,Prearmados!A:A))</f>
        <v>24</v>
      </c>
      <c r="C129" s="38">
        <f>IF(F129="","",SUMIF(Productos!E:E,G129,Productos!A:A))</f>
        <v>94</v>
      </c>
      <c r="D129" s="83" t="str">
        <f t="array" ref="D129">IF(OR(F129="",F129="Seleccionar.."),"",XLOOKUP(F129,Prearmados!E:E,Prearmados!F:F,"",0,1))</f>
        <v>Acoplados Rurales</v>
      </c>
      <c r="E129" s="83">
        <f>IF(H129="","",SUMIF(Precio_Productos!K:K,C129,Precio_Productos!J:J)*H129)</f>
        <v>540764</v>
      </c>
      <c r="F129" s="84" t="s">
        <v>347</v>
      </c>
      <c r="G129" s="84" t="s">
        <v>121</v>
      </c>
      <c r="H129" s="13">
        <v>4.0</v>
      </c>
      <c r="P129" s="3" t="str">
        <f>IFERROR(__xludf.DUMMYFUNCTION("IF(OR(F129="""",F129=""Seleccionar..""),"""",TRANSPOSE(FILTER(Productos!E:E,(Productos!F:F=D129)+(Productos!F:F=XLOOKUP(D129,Implementos!B:B,Implementos!C:C,""-"",0,1)))))"),"Tanque Combustible 1100 lts Bajo")</f>
        <v>Tanque Combustible 1100 lts Bajo</v>
      </c>
      <c r="Q129" s="3" t="str">
        <f>IFERROR(__xludf.DUMMYFUNCTION("""COMPUTED_VALUE"""),"Tanque Combustible 1500 lts Standard")</f>
        <v>Tanque Combustible 1500 lts Standard</v>
      </c>
      <c r="R129" s="3" t="str">
        <f>IFERROR(__xludf.DUMMYFUNCTION("""COMPUTED_VALUE"""),"Tanque Combustible 1800 lts Standard")</f>
        <v>Tanque Combustible 1800 lts Standard</v>
      </c>
      <c r="S129" s="3" t="str">
        <f>IFERROR(__xludf.DUMMYFUNCTION("""COMPUTED_VALUE"""),"Tanque Combustible 2000 lts Bajo")</f>
        <v>Tanque Combustible 2000 lts Bajo</v>
      </c>
      <c r="T129" s="3" t="str">
        <f>IFERROR(__xludf.DUMMYFUNCTION("""COMPUTED_VALUE"""),"Tanque Combustible 2000 lts Standard")</f>
        <v>Tanque Combustible 2000 lts Standard</v>
      </c>
      <c r="U129" s="3" t="str">
        <f>IFERROR(__xludf.DUMMYFUNCTION("""COMPUTED_VALUE"""),"Tanque Combustible 3000 lts Standard")</f>
        <v>Tanque Combustible 3000 lts Standard</v>
      </c>
      <c r="V129" s="3" t="str">
        <f>IFERROR(__xludf.DUMMYFUNCTION("""COMPUTED_VALUE"""),"Tanque Combustible 3000 lts Alto")</f>
        <v>Tanque Combustible 3000 lts Alto</v>
      </c>
      <c r="W129" s="3" t="str">
        <f>IFERROR(__xludf.DUMMYFUNCTION("""COMPUTED_VALUE"""),"Tanque Combustible 4000 lts Standard")</f>
        <v>Tanque Combustible 4000 lts Standard</v>
      </c>
      <c r="X129" s="3" t="str">
        <f>IFERROR(__xludf.DUMMYFUNCTION("""COMPUTED_VALUE"""),"Tanque Combustible 5000 lts Standard")</f>
        <v>Tanque Combustible 5000 lts Standard</v>
      </c>
      <c r="Y129" s="3" t="str">
        <f>IFERROR(__xludf.DUMMYFUNCTION("""COMPUTED_VALUE"""),"Tanque Combustible 5000 lts Alto")</f>
        <v>Tanque Combustible 5000 lts Alto</v>
      </c>
      <c r="Z129" s="3" t="str">
        <f>IFERROR(__xludf.DUMMYFUNCTION("""COMPUTED_VALUE"""),"Tanque Combustible 2000 lts Alto")</f>
        <v>Tanque Combustible 2000 lts Alto</v>
      </c>
      <c r="AA129" s="3" t="str">
        <f>IFERROR(__xludf.DUMMYFUNCTION("""COMPUTED_VALUE"""),"Tanque Combustible 4000 lts Alto")</f>
        <v>Tanque Combustible 4000 lts Alto</v>
      </c>
      <c r="AB129" s="3" t="str">
        <f>IFERROR(__xludf.DUMMYFUNCTION("""COMPUTED_VALUE"""),"Baulera Standard - 750")</f>
        <v>Baulera Standard - 750</v>
      </c>
      <c r="AC129" s="3" t="str">
        <f>IFERROR(__xludf.DUMMYFUNCTION("""COMPUTED_VALUE"""),"Baulera Standard - 1700 - C/Laterales")</f>
        <v>Baulera Standard - 1700 - C/Laterales</v>
      </c>
      <c r="AD129" s="3" t="str">
        <f>IFERROR(__xludf.DUMMYFUNCTION("""COMPUTED_VALUE"""),"Baulera Standard - 1000 - C/Laterales")</f>
        <v>Baulera Standard - 1000 - C/Laterales</v>
      </c>
      <c r="AE129" s="3" t="str">
        <f>IFERROR(__xludf.DUMMYFUNCTION("""COMPUTED_VALUE"""),"Baulera Standard - 750 - C/Laterales")</f>
        <v>Baulera Standard - 750 - C/Laterales</v>
      </c>
      <c r="AF129" s="3" t="str">
        <f>IFERROR(__xludf.DUMMYFUNCTION("""COMPUTED_VALUE"""),"Baulera Standard - 1300 - C/Laterales")</f>
        <v>Baulera Standard - 1300 - C/Laterales</v>
      </c>
      <c r="AG129" s="3" t="str">
        <f>IFERROR(__xludf.DUMMYFUNCTION("""COMPUTED_VALUE"""),"Baulera Alta - 750")</f>
        <v>Baulera Alta - 750</v>
      </c>
      <c r="AH129" s="3" t="str">
        <f>IFERROR(__xludf.DUMMYFUNCTION("""COMPUTED_VALUE"""),"Baulera Alta - 1500 - C/Laterales")</f>
        <v>Baulera Alta - 1500 - C/Laterales</v>
      </c>
      <c r="AI129" s="3" t="str">
        <f>IFERROR(__xludf.DUMMYFUNCTION("""COMPUTED_VALUE"""),"Baulera Extendida 1700 - C/Laterales")</f>
        <v>Baulera Extendida 1700 - C/Laterales</v>
      </c>
      <c r="AJ129" s="3" t="str">
        <f>IFERROR(__xludf.DUMMYFUNCTION("""COMPUTED_VALUE"""),"Taller Móvil - 1500 x 1500 x 1700")</f>
        <v>Taller Móvil - 1500 x 1500 x 1700</v>
      </c>
      <c r="AK129" s="3" t="str">
        <f>IFERROR(__xludf.DUMMYFUNCTION("""COMPUTED_VALUE"""),"Cajón Herramientas Standard Derecho")</f>
        <v>Cajón Herramientas Standard Derecho</v>
      </c>
      <c r="AL129" s="3" t="str">
        <f>IFERROR(__xludf.DUMMYFUNCTION("""COMPUTED_VALUE"""),"Cajón Herramientas Standard Izquierdo")</f>
        <v>Cajón Herramientas Standard Izquierdo</v>
      </c>
      <c r="AM129" s="3" t="str">
        <f>IFERROR(__xludf.DUMMYFUNCTION("""COMPUTED_VALUE"""),"Cajón Herramientas Corto Derecho")</f>
        <v>Cajón Herramientas Corto Derecho</v>
      </c>
      <c r="AN129" s="3" t="str">
        <f>IFERROR(__xludf.DUMMYFUNCTION("""COMPUTED_VALUE"""),"Cajón Herramientas Corto Izquierdo")</f>
        <v>Cajón Herramientas Corto Izquierdo</v>
      </c>
      <c r="AO129" s="3" t="str">
        <f>IFERROR(__xludf.DUMMYFUNCTION("""COMPUTED_VALUE"""),"Cajón Herramientas Mediano Derecho")</f>
        <v>Cajón Herramientas Mediano Derecho</v>
      </c>
      <c r="AP129" s="3" t="str">
        <f>IFERROR(__xludf.DUMMYFUNCTION("""COMPUTED_VALUE"""),"Cajón Herramientas Mediano Izquierdo")</f>
        <v>Cajón Herramientas Mediano Izquierdo</v>
      </c>
      <c r="AQ129" s="3" t="str">
        <f>IFERROR(__xludf.DUMMYFUNCTION("""COMPUTED_VALUE"""),"Chasis Acoplado 2 Ejes L3000")</f>
        <v>Chasis Acoplado 2 Ejes L3000</v>
      </c>
      <c r="AR129" s="3" t="str">
        <f>IFERROR(__xludf.DUMMYFUNCTION("""COMPUTED_VALUE"""),"Chasis Acoplado 2 Ejes L3750")</f>
        <v>Chasis Acoplado 2 Ejes L3750</v>
      </c>
      <c r="AS129" s="3" t="str">
        <f>IFERROR(__xludf.DUMMYFUNCTION("""COMPUTED_VALUE"""),"Chasis Acoplado 2 Ejes L4000")</f>
        <v>Chasis Acoplado 2 Ejes L4000</v>
      </c>
      <c r="AT129" s="3" t="str">
        <f>IFERROR(__xludf.DUMMYFUNCTION("""COMPUTED_VALUE"""),"Chasis Acoplado 2 Ejes L4000 Reforzado")</f>
        <v>Chasis Acoplado 2 Ejes L4000 Reforzado</v>
      </c>
      <c r="AU129" s="3" t="str">
        <f>IFERROR(__xludf.DUMMYFUNCTION("""COMPUTED_VALUE"""),"Chasis Acoplado 2 Ejes L4750")</f>
        <v>Chasis Acoplado 2 Ejes L4750</v>
      </c>
      <c r="AV129" s="3" t="str">
        <f>IFERROR(__xludf.DUMMYFUNCTION("""COMPUTED_VALUE"""),"Chasis Acoplado 2 Ejes L4750 Reforzado")</f>
        <v>Chasis Acoplado 2 Ejes L4750 Reforzado</v>
      </c>
      <c r="AW129" s="3" t="str">
        <f>IFERROR(__xludf.DUMMYFUNCTION("""COMPUTED_VALUE"""),"Chasis Acoplado 2 Ejes L4750 Reforzado R. Camion")</f>
        <v>Chasis Acoplado 2 Ejes L4750 Reforzado R. Camion</v>
      </c>
      <c r="AX129" s="3" t="str">
        <f>IFERROR(__xludf.DUMMYFUNCTION("""COMPUTED_VALUE"""),"Chasis Acoplado 2 Ejes L5000")</f>
        <v>Chasis Acoplado 2 Ejes L5000</v>
      </c>
      <c r="AY129" s="3" t="str">
        <f>IFERROR(__xludf.DUMMYFUNCTION("""COMPUTED_VALUE"""),"Chasis Acoplado 2 Ejes L5750")</f>
        <v>Chasis Acoplado 2 Ejes L5750</v>
      </c>
      <c r="AZ129" s="3" t="str">
        <f>IFERROR(__xludf.DUMMYFUNCTION("""COMPUTED_VALUE"""),"Chasis Acoplado 2 Ejes L6400")</f>
        <v>Chasis Acoplado 2 Ejes L6400</v>
      </c>
      <c r="BA129" s="3" t="str">
        <f>IFERROR(__xludf.DUMMYFUNCTION("""COMPUTED_VALUE"""),"Chasis Acoplado 2 Ejes L4500")</f>
        <v>Chasis Acoplado 2 Ejes L4500</v>
      </c>
      <c r="BB129" s="3" t="str">
        <f>IFERROR(__xludf.DUMMYFUNCTION("""COMPUTED_VALUE"""),"Chasis Acoplado 1 Eje L1500")</f>
        <v>Chasis Acoplado 1 Eje L1500</v>
      </c>
      <c r="BC129" s="3" t="str">
        <f>IFERROR(__xludf.DUMMYFUNCTION("""COMPUTED_VALUE"""),"Chasis Acoplado 1 Eje L1800")</f>
        <v>Chasis Acoplado 1 Eje L1800</v>
      </c>
      <c r="BD129" s="3" t="str">
        <f>IFERROR(__xludf.DUMMYFUNCTION("""COMPUTED_VALUE"""),"Chasis Acoplado 1 Eje L1400")</f>
        <v>Chasis Acoplado 1 Eje L1400</v>
      </c>
      <c r="BE129" s="3" t="str">
        <f>IFERROR(__xludf.DUMMYFUNCTION("""COMPUTED_VALUE"""),"Chasis Acoplado Balancin L3000")</f>
        <v>Chasis Acoplado Balancin L3000</v>
      </c>
      <c r="BF129" s="3" t="str">
        <f>IFERROR(__xludf.DUMMYFUNCTION("""COMPUTED_VALUE"""),"Chasis Acoplado Balancin L3000 Lanza Corta")</f>
        <v>Chasis Acoplado Balancin L3000 Lanza Corta</v>
      </c>
      <c r="BG129" s="3" t="str">
        <f>IFERROR(__xludf.DUMMYFUNCTION("""COMPUTED_VALUE"""),"Chasis Acoplado Balancin L2000 Lanza Corta")</f>
        <v>Chasis Acoplado Balancin L2000 Lanza Corta</v>
      </c>
      <c r="BH129" s="3" t="str">
        <f>IFERROR(__xludf.DUMMYFUNCTION("""COMPUTED_VALUE"""),"Chasis Acoplado Balancin L3200 Lanza Corta")</f>
        <v>Chasis Acoplado Balancin L3200 Lanza Corta</v>
      </c>
      <c r="BI129" s="3" t="str">
        <f>IFERROR(__xludf.DUMMYFUNCTION("""COMPUTED_VALUE"""),"Chasis Acoplado Balancin L3200 Lanza Recta")</f>
        <v>Chasis Acoplado Balancin L3200 Lanza Recta</v>
      </c>
      <c r="BJ129" s="3" t="str">
        <f>IFERROR(__xludf.DUMMYFUNCTION("""COMPUTED_VALUE"""),"Chasis Acoplado Balancin L3200 Bajo Lanza Recta")</f>
        <v>Chasis Acoplado Balancin L3200 Bajo Lanza Recta</v>
      </c>
      <c r="BK129" s="3" t="str">
        <f>IFERROR(__xludf.DUMMYFUNCTION("""COMPUTED_VALUE"""),"Tanque Plastico Horizontal 750 Lts")</f>
        <v>Tanque Plastico Horizontal 750 Lts</v>
      </c>
      <c r="BL129" s="3" t="str">
        <f>IFERROR(__xludf.DUMMYFUNCTION("""COMPUTED_VALUE"""),"Medio Tanque Plastico Superior 700 Lts")</f>
        <v>Medio Tanque Plastico Superior 700 Lts</v>
      </c>
      <c r="BM129" s="3" t="str">
        <f>IFERROR(__xludf.DUMMYFUNCTION("""COMPUTED_VALUE"""),"Paquete de Elasticos 50 mm x 8 mm x 10 Hojas L850")</f>
        <v>Paquete de Elasticos 50 mm x 8 mm x 10 Hojas L850</v>
      </c>
      <c r="BN129" s="3" t="str">
        <f>IFERROR(__xludf.DUMMYFUNCTION("""COMPUTED_VALUE"""),"Paquete de Elasticos 63 mm x 8 mm x 10 Hojas L950")</f>
        <v>Paquete de Elasticos 63 mm x 8 mm x 10 Hojas L950</v>
      </c>
      <c r="BO129" s="3" t="str">
        <f>IFERROR(__xludf.DUMMYFUNCTION("""COMPUTED_VALUE"""),"Paquete de Elasticos 50 mm x 7 mm x 9 Hojas L850")</f>
        <v>Paquete de Elasticos 50 mm x 7 mm x 9 Hojas L850</v>
      </c>
      <c r="BP129" s="3" t="str">
        <f>IFERROR(__xludf.DUMMYFUNCTION("""COMPUTED_VALUE"""),"Paquete de Elasticos 63 mm x 8 mm x 8 Hojas L850")</f>
        <v>Paquete de Elasticos 63 mm x 8 mm x 8 Hojas L850</v>
      </c>
      <c r="BQ129" s="3" t="str">
        <f>IFERROR(__xludf.DUMMYFUNCTION("""COMPUTED_VALUE"""),"Paquete de Elasticos 63 mm x 10 mm x 10 Hojas L950")</f>
        <v>Paquete de Elasticos 63 mm x 10 mm x 10 Hojas L950</v>
      </c>
      <c r="BR129" s="3" t="str">
        <f>IFERROR(__xludf.DUMMYFUNCTION("""COMPUTED_VALUE"""),"Paquete de Elasticos 63 mm x 10 mm x 13 Hojas L975")</f>
        <v>Paquete de Elasticos 63 mm x 10 mm x 13 Hojas L975</v>
      </c>
      <c r="BS129" s="3" t="str">
        <f>IFERROR(__xludf.DUMMYFUNCTION("""COMPUTED_VALUE"""),"Paquete de Elasticos 50 mm x 7 mm x 9 Hojas L650")</f>
        <v>Paquete de Elasticos 50 mm x 7 mm x 9 Hojas L650</v>
      </c>
      <c r="BT129" s="3" t="str">
        <f>IFERROR(__xludf.DUMMYFUNCTION("""COMPUTED_VALUE"""),"Eje Acoplado 2"" x 1600 (06/08) Agrícola Centro 92")</f>
        <v>Eje Acoplado 2" x 1600 (06/08) Agrícola Centro 92</v>
      </c>
      <c r="BU129" s="3" t="str">
        <f>IFERROR(__xludf.DUMMYFUNCTION("""COMPUTED_VALUE"""),"Eje Acoplado 2 1/2"" x 1600 (07/09) Agrícola Centro 92")</f>
        <v>Eje Acoplado 2 1/2" x 1600 (07/09) Agrícola Centro 92</v>
      </c>
      <c r="BV129" s="3" t="str">
        <f>IFERROR(__xludf.DUMMYFUNCTION("""COMPUTED_VALUE"""),"Eje Acoplado 2 1/2"" x 1600 (09/11) Agrícola Centro 150")</f>
        <v>Eje Acoplado 2 1/2" x 1600 (09/11) Agrícola Centro 150</v>
      </c>
      <c r="BW129" s="3" t="str">
        <f>IFERROR(__xludf.DUMMYFUNCTION("""COMPUTED_VALUE"""),"Eje Acoplado 3"" x 1600 (10/13) Agrícola Centro 150")</f>
        <v>Eje Acoplado 3" x 1600 (10/13) Agrícola Centro 150</v>
      </c>
      <c r="BX129" s="3" t="str">
        <f>IFERROR(__xludf.DUMMYFUNCTION("""COMPUTED_VALUE"""),"Eje Acoplado 2 1/2"" x 2140 (07/09) Agrícola Centro 92")</f>
        <v>Eje Acoplado 2 1/2" x 2140 (07/09) Agrícola Centro 92</v>
      </c>
      <c r="BY129" s="3" t="str">
        <f>IFERROR(__xludf.DUMMYFUNCTION("""COMPUTED_VALUE"""),"Eje Acoplado 2"" x 1400 (06/08) Agrícola Centro 92")</f>
        <v>Eje Acoplado 2" x 1400 (06/08) Agrícola Centro 92</v>
      </c>
      <c r="BZ129" s="3" t="str">
        <f>IFERROR(__xludf.DUMMYFUNCTION("""COMPUTED_VALUE"""),"Eje Acoplado 2 1/2"" x 1500 (07/09) Agrícola Centro 92")</f>
        <v>Eje Acoplado 2 1/2" x 1500 (07/09) Agrícola Centro 92</v>
      </c>
      <c r="CA129" s="3" t="str">
        <f>IFERROR(__xludf.DUMMYFUNCTION("""COMPUTED_VALUE"""),"Eje Acoplado 2 1/2"" x 2000 (07/09) Agrícola Centro 92")</f>
        <v>Eje Acoplado 2 1/2" x 2000 (07/09) Agrícola Centro 92</v>
      </c>
      <c r="CB129" s="3" t="str">
        <f>IFERROR(__xludf.DUMMYFUNCTION("""COMPUTED_VALUE"""),"Eje Acoplado 2 1/2"" x 2100 (09/11) Agrícola Centro 150")</f>
        <v>Eje Acoplado 2 1/2" x 2100 (09/11) Agrícola Centro 150</v>
      </c>
      <c r="CC129" s="3" t="str">
        <f>IFERROR(__xludf.DUMMYFUNCTION("""COMPUTED_VALUE"""),"Llanta 16"" Simple Agrícola Centro 92")</f>
        <v>Llanta 16" Simple Agrícola Centro 92</v>
      </c>
      <c r="CD129" s="3" t="str">
        <f>IFERROR(__xludf.DUMMYFUNCTION("""COMPUTED_VALUE"""),"Llanta 16"" Dual Agrícola Centro 92")</f>
        <v>Llanta 16" Dual Agrícola Centro 92</v>
      </c>
      <c r="CE129" s="3" t="str">
        <f>IFERROR(__xludf.DUMMYFUNCTION("""COMPUTED_VALUE"""),"Llanta 17"" Simple Agrícola Centro 92")</f>
        <v>Llanta 17" Simple Agrícola Centro 92</v>
      </c>
      <c r="CF129" s="3" t="str">
        <f>IFERROR(__xludf.DUMMYFUNCTION("""COMPUTED_VALUE"""),"Llanta 17"" Dual Agrícola Centro 92")</f>
        <v>Llanta 17" Dual Agrícola Centro 92</v>
      </c>
      <c r="CG129" s="3" t="str">
        <f>IFERROR(__xludf.DUMMYFUNCTION("""COMPUTED_VALUE"""),"Llanta 16"" Dual Agrícola Centro 152")</f>
        <v>Llanta 16" Dual Agrícola Centro 152</v>
      </c>
      <c r="CH129" s="3" t="str">
        <f>IFERROR(__xludf.DUMMYFUNCTION("""COMPUTED_VALUE"""),"Llanta 17"" Dual Agrícola Centro 152")</f>
        <v>Llanta 17" Dual Agrícola Centro 152</v>
      </c>
      <c r="CI129" s="3" t="str">
        <f>IFERROR(__xludf.DUMMYFUNCTION("""COMPUTED_VALUE"""),"Eje Acoplado 2"" x 1600 (05/07) Agrícola Centro 92")</f>
        <v>Eje Acoplado 2" x 1600 (05/07) Agrícola Centro 92</v>
      </c>
      <c r="CJ129" s="3" t="str">
        <f>IFERROR(__xludf.DUMMYFUNCTION("""COMPUTED_VALUE"""),"Paquete de Elásticos 50 mm x 8 mm x 12 Hojas")</f>
        <v>Paquete de Elásticos 50 mm x 8 mm x 12 Hojas</v>
      </c>
      <c r="CK129" s="3" t="str">
        <f>IFERROR(__xludf.DUMMYFUNCTION("""COMPUTED_VALUE"""),"Plataforma Playo 4.00 x 1.90 x 0.45 Lateral Simple Baranda Fija")</f>
        <v>Plataforma Playo 4.00 x 1.90 x 0.45 Lateral Simple Baranda Fija</v>
      </c>
      <c r="CL129" s="3" t="str">
        <f>IFERROR(__xludf.DUMMYFUNCTION("""COMPUTED_VALUE"""),"Plataforma Playo 4.00 x 1.90 x 0.45 Lateral Simple Baranda Ventilada")</f>
        <v>Plataforma Playo 4.00 x 1.90 x 0.45 Lateral Simple Baranda Ventilada</v>
      </c>
      <c r="CM129" s="3" t="str">
        <f>IFERROR(__xludf.DUMMYFUNCTION("""COMPUTED_VALUE"""),"Plataforma Playo 4.00 x 1.90 x 0.45 Lateral Doble Baranda Ventilada")</f>
        <v>Plataforma Playo 4.00 x 1.90 x 0.45 Lateral Doble Baranda Ventilada</v>
      </c>
      <c r="CN129" s="3" t="str">
        <f>IFERROR(__xludf.DUMMYFUNCTION("""COMPUTED_VALUE"""),"Plataforma Playo 4.00 x 1.90 x 0.45 Lateral Doble Baranda Fija")</f>
        <v>Plataforma Playo 4.00 x 1.90 x 0.45 Lateral Doble Baranda Fija</v>
      </c>
      <c r="CO129" s="3" t="str">
        <f>IFERROR(__xludf.DUMMYFUNCTION("""COMPUTED_VALUE"""),"Plataforma Playo 4.00 x 1.90 x 0.72 Lateral Simple Baranda Fija")</f>
        <v>Plataforma Playo 4.00 x 1.90 x 0.72 Lateral Simple Baranda Fija</v>
      </c>
      <c r="CP129" s="3" t="str">
        <f>IFERROR(__xludf.DUMMYFUNCTION("""COMPUTED_VALUE"""),"Plataforma Playo 4.00 x 1.90 x 0.72 Lateral Doble Baranda Fija")</f>
        <v>Plataforma Playo 4.00 x 1.90 x 0.72 Lateral Doble Baranda Fija</v>
      </c>
      <c r="CQ129" s="3" t="str">
        <f>IFERROR(__xludf.DUMMYFUNCTION("""COMPUTED_VALUE"""),"Plataforma Playo 5.00 x 2.20 x 0.60 Lateral Doble Trasera Rebatible")</f>
        <v>Plataforma Playo 5.00 x 2.20 x 0.60 Lateral Doble Trasera Rebatible</v>
      </c>
      <c r="CR129" s="3" t="str">
        <f>IFERROR(__xludf.DUMMYFUNCTION("""COMPUTED_VALUE"""),"Plataforma Playo 5.00 x 2.20 x 0.60 Lateral Doble Baranda Fija C/Toldo")</f>
        <v>Plataforma Playo 5.00 x 2.20 x 0.60 Lateral Doble Baranda Fija C/Toldo</v>
      </c>
      <c r="CS129" s="3" t="str">
        <f>IFERROR(__xludf.DUMMYFUNCTION("""COMPUTED_VALUE"""),"Plataforma Playo 3.00 x 1.90 x 0.45 Lateral Simple Baranda Fija")</f>
        <v>Plataforma Playo 3.00 x 1.90 x 0.45 Lateral Simple Baranda Fija</v>
      </c>
      <c r="CT129" s="3" t="str">
        <f>IFERROR(__xludf.DUMMYFUNCTION("""COMPUTED_VALUE"""),"Plataforma Playo 3.00 x 1.90 x 0.45 Lateral Simple Baranda Ventilada")</f>
        <v>Plataforma Playo 3.00 x 1.90 x 0.45 Lateral Simple Baranda Ventilada</v>
      </c>
      <c r="CU129" s="3" t="str">
        <f>IFERROR(__xludf.DUMMYFUNCTION("""COMPUTED_VALUE"""),"Plataforma Playo 2.00 x 1.90 x 0.45 Lateral Simple Baranda Fija")</f>
        <v>Plataforma Playo 2.00 x 1.90 x 0.45 Lateral Simple Baranda Fija</v>
      </c>
      <c r="CV129" s="3" t="str">
        <f>IFERROR(__xludf.DUMMYFUNCTION("""COMPUTED_VALUE"""),"Plataforma Playo 5.00 x 1.90 x 0.60 Lateral Doble Baranda Fija")</f>
        <v>Plataforma Playo 5.00 x 1.90 x 0.60 Lateral Doble Baranda Fija</v>
      </c>
      <c r="CW129" s="3" t="str">
        <f>IFERROR(__xludf.DUMMYFUNCTION("""COMPUTED_VALUE"""),"Plataforma Playo 6.40 x 2.70 x 0.72 Lateral Doble Baranda Fija")</f>
        <v>Plataforma Playo 6.40 x 2.70 x 0.72 Lateral Doble Baranda Fija</v>
      </c>
      <c r="CX129" s="3" t="str">
        <f>IFERROR(__xludf.DUMMYFUNCTION("""COMPUTED_VALUE"""),"Chasis Acoplado Balancin L4000 Lanza Recta")</f>
        <v>Chasis Acoplado Balancin L4000 Lanza Recta</v>
      </c>
      <c r="CY129" s="3" t="str">
        <f>IFERROR(__xludf.DUMMYFUNCTION("""COMPUTED_VALUE"""),"Llanta simple Agrícola 750x20 centro 152")</f>
        <v>Llanta simple Agrícola 750x20 centro 152</v>
      </c>
      <c r="CZ129" s="3" t="str">
        <f>IFERROR(__xludf.DUMMYFUNCTION("""COMPUTED_VALUE"""),"Cajón de Herramientas Mediano adelante")</f>
        <v>Cajón de Herramientas Mediano adelante</v>
      </c>
      <c r="DA129" s="3" t="str">
        <f>IFERROR(__xludf.DUMMYFUNCTION("""COMPUTED_VALUE"""),"Llanta 15"" Simple Agrícola Centro 92")</f>
        <v>Llanta 15" Simple Agrícola Centro 92</v>
      </c>
    </row>
    <row r="130" hidden="1">
      <c r="A130" s="38">
        <f t="shared" si="1"/>
        <v>129</v>
      </c>
      <c r="B130" s="38">
        <f>IF(F130="","",SUMIF(Prearmados!E:E,F130,Prearmados!A:A))</f>
        <v>24</v>
      </c>
      <c r="C130" s="38">
        <f>IF(F130="","",SUMIF(Productos!E:E,G130,Productos!A:A))</f>
        <v>110</v>
      </c>
      <c r="D130" s="83" t="str">
        <f t="array" ref="D130">IF(OR(F130="",F130="Seleccionar.."),"",XLOOKUP(F130,Prearmados!E:E,Prearmados!F:F,"",0,1))</f>
        <v>Acoplados Rurales</v>
      </c>
      <c r="E130" s="83">
        <f>IF(H130="","",SUMIF(Precio_Productos!K:K,C130,Precio_Productos!J:J)*H130)</f>
        <v>476800</v>
      </c>
      <c r="F130" s="84" t="s">
        <v>347</v>
      </c>
      <c r="G130" s="84" t="s">
        <v>129</v>
      </c>
      <c r="H130" s="13">
        <v>4.0</v>
      </c>
      <c r="P130" s="3" t="str">
        <f>IFERROR(__xludf.DUMMYFUNCTION("IF(OR(F130="""",F130=""Seleccionar..""),"""",TRANSPOSE(FILTER(Productos!E:E,(Productos!F:F=D130)+(Productos!F:F=XLOOKUP(D130,Implementos!B:B,Implementos!C:C,""-"",0,1)))))"),"Tanque Combustible 1100 lts Bajo")</f>
        <v>Tanque Combustible 1100 lts Bajo</v>
      </c>
      <c r="Q130" s="3" t="str">
        <f>IFERROR(__xludf.DUMMYFUNCTION("""COMPUTED_VALUE"""),"Tanque Combustible 1500 lts Standard")</f>
        <v>Tanque Combustible 1500 lts Standard</v>
      </c>
      <c r="R130" s="3" t="str">
        <f>IFERROR(__xludf.DUMMYFUNCTION("""COMPUTED_VALUE"""),"Tanque Combustible 1800 lts Standard")</f>
        <v>Tanque Combustible 1800 lts Standard</v>
      </c>
      <c r="S130" s="3" t="str">
        <f>IFERROR(__xludf.DUMMYFUNCTION("""COMPUTED_VALUE"""),"Tanque Combustible 2000 lts Bajo")</f>
        <v>Tanque Combustible 2000 lts Bajo</v>
      </c>
      <c r="T130" s="3" t="str">
        <f>IFERROR(__xludf.DUMMYFUNCTION("""COMPUTED_VALUE"""),"Tanque Combustible 2000 lts Standard")</f>
        <v>Tanque Combustible 2000 lts Standard</v>
      </c>
      <c r="U130" s="3" t="str">
        <f>IFERROR(__xludf.DUMMYFUNCTION("""COMPUTED_VALUE"""),"Tanque Combustible 3000 lts Standard")</f>
        <v>Tanque Combustible 3000 lts Standard</v>
      </c>
      <c r="V130" s="3" t="str">
        <f>IFERROR(__xludf.DUMMYFUNCTION("""COMPUTED_VALUE"""),"Tanque Combustible 3000 lts Alto")</f>
        <v>Tanque Combustible 3000 lts Alto</v>
      </c>
      <c r="W130" s="3" t="str">
        <f>IFERROR(__xludf.DUMMYFUNCTION("""COMPUTED_VALUE"""),"Tanque Combustible 4000 lts Standard")</f>
        <v>Tanque Combustible 4000 lts Standard</v>
      </c>
      <c r="X130" s="3" t="str">
        <f>IFERROR(__xludf.DUMMYFUNCTION("""COMPUTED_VALUE"""),"Tanque Combustible 5000 lts Standard")</f>
        <v>Tanque Combustible 5000 lts Standard</v>
      </c>
      <c r="Y130" s="3" t="str">
        <f>IFERROR(__xludf.DUMMYFUNCTION("""COMPUTED_VALUE"""),"Tanque Combustible 5000 lts Alto")</f>
        <v>Tanque Combustible 5000 lts Alto</v>
      </c>
      <c r="Z130" s="3" t="str">
        <f>IFERROR(__xludf.DUMMYFUNCTION("""COMPUTED_VALUE"""),"Tanque Combustible 2000 lts Alto")</f>
        <v>Tanque Combustible 2000 lts Alto</v>
      </c>
      <c r="AA130" s="3" t="str">
        <f>IFERROR(__xludf.DUMMYFUNCTION("""COMPUTED_VALUE"""),"Tanque Combustible 4000 lts Alto")</f>
        <v>Tanque Combustible 4000 lts Alto</v>
      </c>
      <c r="AB130" s="3" t="str">
        <f>IFERROR(__xludf.DUMMYFUNCTION("""COMPUTED_VALUE"""),"Baulera Standard - 750")</f>
        <v>Baulera Standard - 750</v>
      </c>
      <c r="AC130" s="3" t="str">
        <f>IFERROR(__xludf.DUMMYFUNCTION("""COMPUTED_VALUE"""),"Baulera Standard - 1700 - C/Laterales")</f>
        <v>Baulera Standard - 1700 - C/Laterales</v>
      </c>
      <c r="AD130" s="3" t="str">
        <f>IFERROR(__xludf.DUMMYFUNCTION("""COMPUTED_VALUE"""),"Baulera Standard - 1000 - C/Laterales")</f>
        <v>Baulera Standard - 1000 - C/Laterales</v>
      </c>
      <c r="AE130" s="3" t="str">
        <f>IFERROR(__xludf.DUMMYFUNCTION("""COMPUTED_VALUE"""),"Baulera Standard - 750 - C/Laterales")</f>
        <v>Baulera Standard - 750 - C/Laterales</v>
      </c>
      <c r="AF130" s="3" t="str">
        <f>IFERROR(__xludf.DUMMYFUNCTION("""COMPUTED_VALUE"""),"Baulera Standard - 1300 - C/Laterales")</f>
        <v>Baulera Standard - 1300 - C/Laterales</v>
      </c>
      <c r="AG130" s="3" t="str">
        <f>IFERROR(__xludf.DUMMYFUNCTION("""COMPUTED_VALUE"""),"Baulera Alta - 750")</f>
        <v>Baulera Alta - 750</v>
      </c>
      <c r="AH130" s="3" t="str">
        <f>IFERROR(__xludf.DUMMYFUNCTION("""COMPUTED_VALUE"""),"Baulera Alta - 1500 - C/Laterales")</f>
        <v>Baulera Alta - 1500 - C/Laterales</v>
      </c>
      <c r="AI130" s="3" t="str">
        <f>IFERROR(__xludf.DUMMYFUNCTION("""COMPUTED_VALUE"""),"Baulera Extendida 1700 - C/Laterales")</f>
        <v>Baulera Extendida 1700 - C/Laterales</v>
      </c>
      <c r="AJ130" s="3" t="str">
        <f>IFERROR(__xludf.DUMMYFUNCTION("""COMPUTED_VALUE"""),"Taller Móvil - 1500 x 1500 x 1700")</f>
        <v>Taller Móvil - 1500 x 1500 x 1700</v>
      </c>
      <c r="AK130" s="3" t="str">
        <f>IFERROR(__xludf.DUMMYFUNCTION("""COMPUTED_VALUE"""),"Cajón Herramientas Standard Derecho")</f>
        <v>Cajón Herramientas Standard Derecho</v>
      </c>
      <c r="AL130" s="3" t="str">
        <f>IFERROR(__xludf.DUMMYFUNCTION("""COMPUTED_VALUE"""),"Cajón Herramientas Standard Izquierdo")</f>
        <v>Cajón Herramientas Standard Izquierdo</v>
      </c>
      <c r="AM130" s="3" t="str">
        <f>IFERROR(__xludf.DUMMYFUNCTION("""COMPUTED_VALUE"""),"Cajón Herramientas Corto Derecho")</f>
        <v>Cajón Herramientas Corto Derecho</v>
      </c>
      <c r="AN130" s="3" t="str">
        <f>IFERROR(__xludf.DUMMYFUNCTION("""COMPUTED_VALUE"""),"Cajón Herramientas Corto Izquierdo")</f>
        <v>Cajón Herramientas Corto Izquierdo</v>
      </c>
      <c r="AO130" s="3" t="str">
        <f>IFERROR(__xludf.DUMMYFUNCTION("""COMPUTED_VALUE"""),"Cajón Herramientas Mediano Derecho")</f>
        <v>Cajón Herramientas Mediano Derecho</v>
      </c>
      <c r="AP130" s="3" t="str">
        <f>IFERROR(__xludf.DUMMYFUNCTION("""COMPUTED_VALUE"""),"Cajón Herramientas Mediano Izquierdo")</f>
        <v>Cajón Herramientas Mediano Izquierdo</v>
      </c>
      <c r="AQ130" s="3" t="str">
        <f>IFERROR(__xludf.DUMMYFUNCTION("""COMPUTED_VALUE"""),"Chasis Acoplado 2 Ejes L3000")</f>
        <v>Chasis Acoplado 2 Ejes L3000</v>
      </c>
      <c r="AR130" s="3" t="str">
        <f>IFERROR(__xludf.DUMMYFUNCTION("""COMPUTED_VALUE"""),"Chasis Acoplado 2 Ejes L3750")</f>
        <v>Chasis Acoplado 2 Ejes L3750</v>
      </c>
      <c r="AS130" s="3" t="str">
        <f>IFERROR(__xludf.DUMMYFUNCTION("""COMPUTED_VALUE"""),"Chasis Acoplado 2 Ejes L4000")</f>
        <v>Chasis Acoplado 2 Ejes L4000</v>
      </c>
      <c r="AT130" s="3" t="str">
        <f>IFERROR(__xludf.DUMMYFUNCTION("""COMPUTED_VALUE"""),"Chasis Acoplado 2 Ejes L4000 Reforzado")</f>
        <v>Chasis Acoplado 2 Ejes L4000 Reforzado</v>
      </c>
      <c r="AU130" s="3" t="str">
        <f>IFERROR(__xludf.DUMMYFUNCTION("""COMPUTED_VALUE"""),"Chasis Acoplado 2 Ejes L4750")</f>
        <v>Chasis Acoplado 2 Ejes L4750</v>
      </c>
      <c r="AV130" s="3" t="str">
        <f>IFERROR(__xludf.DUMMYFUNCTION("""COMPUTED_VALUE"""),"Chasis Acoplado 2 Ejes L4750 Reforzado")</f>
        <v>Chasis Acoplado 2 Ejes L4750 Reforzado</v>
      </c>
      <c r="AW130" s="3" t="str">
        <f>IFERROR(__xludf.DUMMYFUNCTION("""COMPUTED_VALUE"""),"Chasis Acoplado 2 Ejes L4750 Reforzado R. Camion")</f>
        <v>Chasis Acoplado 2 Ejes L4750 Reforzado R. Camion</v>
      </c>
      <c r="AX130" s="3" t="str">
        <f>IFERROR(__xludf.DUMMYFUNCTION("""COMPUTED_VALUE"""),"Chasis Acoplado 2 Ejes L5000")</f>
        <v>Chasis Acoplado 2 Ejes L5000</v>
      </c>
      <c r="AY130" s="3" t="str">
        <f>IFERROR(__xludf.DUMMYFUNCTION("""COMPUTED_VALUE"""),"Chasis Acoplado 2 Ejes L5750")</f>
        <v>Chasis Acoplado 2 Ejes L5750</v>
      </c>
      <c r="AZ130" s="3" t="str">
        <f>IFERROR(__xludf.DUMMYFUNCTION("""COMPUTED_VALUE"""),"Chasis Acoplado 2 Ejes L6400")</f>
        <v>Chasis Acoplado 2 Ejes L6400</v>
      </c>
      <c r="BA130" s="3" t="str">
        <f>IFERROR(__xludf.DUMMYFUNCTION("""COMPUTED_VALUE"""),"Chasis Acoplado 2 Ejes L4500")</f>
        <v>Chasis Acoplado 2 Ejes L4500</v>
      </c>
      <c r="BB130" s="3" t="str">
        <f>IFERROR(__xludf.DUMMYFUNCTION("""COMPUTED_VALUE"""),"Chasis Acoplado 1 Eje L1500")</f>
        <v>Chasis Acoplado 1 Eje L1500</v>
      </c>
      <c r="BC130" s="3" t="str">
        <f>IFERROR(__xludf.DUMMYFUNCTION("""COMPUTED_VALUE"""),"Chasis Acoplado 1 Eje L1800")</f>
        <v>Chasis Acoplado 1 Eje L1800</v>
      </c>
      <c r="BD130" s="3" t="str">
        <f>IFERROR(__xludf.DUMMYFUNCTION("""COMPUTED_VALUE"""),"Chasis Acoplado 1 Eje L1400")</f>
        <v>Chasis Acoplado 1 Eje L1400</v>
      </c>
      <c r="BE130" s="3" t="str">
        <f>IFERROR(__xludf.DUMMYFUNCTION("""COMPUTED_VALUE"""),"Chasis Acoplado Balancin L3000")</f>
        <v>Chasis Acoplado Balancin L3000</v>
      </c>
      <c r="BF130" s="3" t="str">
        <f>IFERROR(__xludf.DUMMYFUNCTION("""COMPUTED_VALUE"""),"Chasis Acoplado Balancin L3000 Lanza Corta")</f>
        <v>Chasis Acoplado Balancin L3000 Lanza Corta</v>
      </c>
      <c r="BG130" s="3" t="str">
        <f>IFERROR(__xludf.DUMMYFUNCTION("""COMPUTED_VALUE"""),"Chasis Acoplado Balancin L2000 Lanza Corta")</f>
        <v>Chasis Acoplado Balancin L2000 Lanza Corta</v>
      </c>
      <c r="BH130" s="3" t="str">
        <f>IFERROR(__xludf.DUMMYFUNCTION("""COMPUTED_VALUE"""),"Chasis Acoplado Balancin L3200 Lanza Corta")</f>
        <v>Chasis Acoplado Balancin L3200 Lanza Corta</v>
      </c>
      <c r="BI130" s="3" t="str">
        <f>IFERROR(__xludf.DUMMYFUNCTION("""COMPUTED_VALUE"""),"Chasis Acoplado Balancin L3200 Lanza Recta")</f>
        <v>Chasis Acoplado Balancin L3200 Lanza Recta</v>
      </c>
      <c r="BJ130" s="3" t="str">
        <f>IFERROR(__xludf.DUMMYFUNCTION("""COMPUTED_VALUE"""),"Chasis Acoplado Balancin L3200 Bajo Lanza Recta")</f>
        <v>Chasis Acoplado Balancin L3200 Bajo Lanza Recta</v>
      </c>
      <c r="BK130" s="3" t="str">
        <f>IFERROR(__xludf.DUMMYFUNCTION("""COMPUTED_VALUE"""),"Tanque Plastico Horizontal 750 Lts")</f>
        <v>Tanque Plastico Horizontal 750 Lts</v>
      </c>
      <c r="BL130" s="3" t="str">
        <f>IFERROR(__xludf.DUMMYFUNCTION("""COMPUTED_VALUE"""),"Medio Tanque Plastico Superior 700 Lts")</f>
        <v>Medio Tanque Plastico Superior 700 Lts</v>
      </c>
      <c r="BM130" s="3" t="str">
        <f>IFERROR(__xludf.DUMMYFUNCTION("""COMPUTED_VALUE"""),"Paquete de Elasticos 50 mm x 8 mm x 10 Hojas L850")</f>
        <v>Paquete de Elasticos 50 mm x 8 mm x 10 Hojas L850</v>
      </c>
      <c r="BN130" s="3" t="str">
        <f>IFERROR(__xludf.DUMMYFUNCTION("""COMPUTED_VALUE"""),"Paquete de Elasticos 63 mm x 8 mm x 10 Hojas L950")</f>
        <v>Paquete de Elasticos 63 mm x 8 mm x 10 Hojas L950</v>
      </c>
      <c r="BO130" s="3" t="str">
        <f>IFERROR(__xludf.DUMMYFUNCTION("""COMPUTED_VALUE"""),"Paquete de Elasticos 50 mm x 7 mm x 9 Hojas L850")</f>
        <v>Paquete de Elasticos 50 mm x 7 mm x 9 Hojas L850</v>
      </c>
      <c r="BP130" s="3" t="str">
        <f>IFERROR(__xludf.DUMMYFUNCTION("""COMPUTED_VALUE"""),"Paquete de Elasticos 63 mm x 8 mm x 8 Hojas L850")</f>
        <v>Paquete de Elasticos 63 mm x 8 mm x 8 Hojas L850</v>
      </c>
      <c r="BQ130" s="3" t="str">
        <f>IFERROR(__xludf.DUMMYFUNCTION("""COMPUTED_VALUE"""),"Paquete de Elasticos 63 mm x 10 mm x 10 Hojas L950")</f>
        <v>Paquete de Elasticos 63 mm x 10 mm x 10 Hojas L950</v>
      </c>
      <c r="BR130" s="3" t="str">
        <f>IFERROR(__xludf.DUMMYFUNCTION("""COMPUTED_VALUE"""),"Paquete de Elasticos 63 mm x 10 mm x 13 Hojas L975")</f>
        <v>Paquete de Elasticos 63 mm x 10 mm x 13 Hojas L975</v>
      </c>
      <c r="BS130" s="3" t="str">
        <f>IFERROR(__xludf.DUMMYFUNCTION("""COMPUTED_VALUE"""),"Paquete de Elasticos 50 mm x 7 mm x 9 Hojas L650")</f>
        <v>Paquete de Elasticos 50 mm x 7 mm x 9 Hojas L650</v>
      </c>
      <c r="BT130" s="3" t="str">
        <f>IFERROR(__xludf.DUMMYFUNCTION("""COMPUTED_VALUE"""),"Eje Acoplado 2"" x 1600 (06/08) Agrícola Centro 92")</f>
        <v>Eje Acoplado 2" x 1600 (06/08) Agrícola Centro 92</v>
      </c>
      <c r="BU130" s="3" t="str">
        <f>IFERROR(__xludf.DUMMYFUNCTION("""COMPUTED_VALUE"""),"Eje Acoplado 2 1/2"" x 1600 (07/09) Agrícola Centro 92")</f>
        <v>Eje Acoplado 2 1/2" x 1600 (07/09) Agrícola Centro 92</v>
      </c>
      <c r="BV130" s="3" t="str">
        <f>IFERROR(__xludf.DUMMYFUNCTION("""COMPUTED_VALUE"""),"Eje Acoplado 2 1/2"" x 1600 (09/11) Agrícola Centro 150")</f>
        <v>Eje Acoplado 2 1/2" x 1600 (09/11) Agrícola Centro 150</v>
      </c>
      <c r="BW130" s="3" t="str">
        <f>IFERROR(__xludf.DUMMYFUNCTION("""COMPUTED_VALUE"""),"Eje Acoplado 3"" x 1600 (10/13) Agrícola Centro 150")</f>
        <v>Eje Acoplado 3" x 1600 (10/13) Agrícola Centro 150</v>
      </c>
      <c r="BX130" s="3" t="str">
        <f>IFERROR(__xludf.DUMMYFUNCTION("""COMPUTED_VALUE"""),"Eje Acoplado 2 1/2"" x 2140 (07/09) Agrícola Centro 92")</f>
        <v>Eje Acoplado 2 1/2" x 2140 (07/09) Agrícola Centro 92</v>
      </c>
      <c r="BY130" s="3" t="str">
        <f>IFERROR(__xludf.DUMMYFUNCTION("""COMPUTED_VALUE"""),"Eje Acoplado 2"" x 1400 (06/08) Agrícola Centro 92")</f>
        <v>Eje Acoplado 2" x 1400 (06/08) Agrícola Centro 92</v>
      </c>
      <c r="BZ130" s="3" t="str">
        <f>IFERROR(__xludf.DUMMYFUNCTION("""COMPUTED_VALUE"""),"Eje Acoplado 2 1/2"" x 1500 (07/09) Agrícola Centro 92")</f>
        <v>Eje Acoplado 2 1/2" x 1500 (07/09) Agrícola Centro 92</v>
      </c>
      <c r="CA130" s="3" t="str">
        <f>IFERROR(__xludf.DUMMYFUNCTION("""COMPUTED_VALUE"""),"Eje Acoplado 2 1/2"" x 2000 (07/09) Agrícola Centro 92")</f>
        <v>Eje Acoplado 2 1/2" x 2000 (07/09) Agrícola Centro 92</v>
      </c>
      <c r="CB130" s="3" t="str">
        <f>IFERROR(__xludf.DUMMYFUNCTION("""COMPUTED_VALUE"""),"Eje Acoplado 2 1/2"" x 2100 (09/11) Agrícola Centro 150")</f>
        <v>Eje Acoplado 2 1/2" x 2100 (09/11) Agrícola Centro 150</v>
      </c>
      <c r="CC130" s="3" t="str">
        <f>IFERROR(__xludf.DUMMYFUNCTION("""COMPUTED_VALUE"""),"Llanta 16"" Simple Agrícola Centro 92")</f>
        <v>Llanta 16" Simple Agrícola Centro 92</v>
      </c>
      <c r="CD130" s="3" t="str">
        <f>IFERROR(__xludf.DUMMYFUNCTION("""COMPUTED_VALUE"""),"Llanta 16"" Dual Agrícola Centro 92")</f>
        <v>Llanta 16" Dual Agrícola Centro 92</v>
      </c>
      <c r="CE130" s="3" t="str">
        <f>IFERROR(__xludf.DUMMYFUNCTION("""COMPUTED_VALUE"""),"Llanta 17"" Simple Agrícola Centro 92")</f>
        <v>Llanta 17" Simple Agrícola Centro 92</v>
      </c>
      <c r="CF130" s="3" t="str">
        <f>IFERROR(__xludf.DUMMYFUNCTION("""COMPUTED_VALUE"""),"Llanta 17"" Dual Agrícola Centro 92")</f>
        <v>Llanta 17" Dual Agrícola Centro 92</v>
      </c>
      <c r="CG130" s="3" t="str">
        <f>IFERROR(__xludf.DUMMYFUNCTION("""COMPUTED_VALUE"""),"Llanta 16"" Dual Agrícola Centro 152")</f>
        <v>Llanta 16" Dual Agrícola Centro 152</v>
      </c>
      <c r="CH130" s="3" t="str">
        <f>IFERROR(__xludf.DUMMYFUNCTION("""COMPUTED_VALUE"""),"Llanta 17"" Dual Agrícola Centro 152")</f>
        <v>Llanta 17" Dual Agrícola Centro 152</v>
      </c>
      <c r="CI130" s="3" t="str">
        <f>IFERROR(__xludf.DUMMYFUNCTION("""COMPUTED_VALUE"""),"Eje Acoplado 2"" x 1600 (05/07) Agrícola Centro 92")</f>
        <v>Eje Acoplado 2" x 1600 (05/07) Agrícola Centro 92</v>
      </c>
      <c r="CJ130" s="3" t="str">
        <f>IFERROR(__xludf.DUMMYFUNCTION("""COMPUTED_VALUE"""),"Paquete de Elásticos 50 mm x 8 mm x 12 Hojas")</f>
        <v>Paquete de Elásticos 50 mm x 8 mm x 12 Hojas</v>
      </c>
      <c r="CK130" s="3" t="str">
        <f>IFERROR(__xludf.DUMMYFUNCTION("""COMPUTED_VALUE"""),"Plataforma Playo 4.00 x 1.90 x 0.45 Lateral Simple Baranda Fija")</f>
        <v>Plataforma Playo 4.00 x 1.90 x 0.45 Lateral Simple Baranda Fija</v>
      </c>
      <c r="CL130" s="3" t="str">
        <f>IFERROR(__xludf.DUMMYFUNCTION("""COMPUTED_VALUE"""),"Plataforma Playo 4.00 x 1.90 x 0.45 Lateral Simple Baranda Ventilada")</f>
        <v>Plataforma Playo 4.00 x 1.90 x 0.45 Lateral Simple Baranda Ventilada</v>
      </c>
      <c r="CM130" s="3" t="str">
        <f>IFERROR(__xludf.DUMMYFUNCTION("""COMPUTED_VALUE"""),"Plataforma Playo 4.00 x 1.90 x 0.45 Lateral Doble Baranda Ventilada")</f>
        <v>Plataforma Playo 4.00 x 1.90 x 0.45 Lateral Doble Baranda Ventilada</v>
      </c>
      <c r="CN130" s="3" t="str">
        <f>IFERROR(__xludf.DUMMYFUNCTION("""COMPUTED_VALUE"""),"Plataforma Playo 4.00 x 1.90 x 0.45 Lateral Doble Baranda Fija")</f>
        <v>Plataforma Playo 4.00 x 1.90 x 0.45 Lateral Doble Baranda Fija</v>
      </c>
      <c r="CO130" s="3" t="str">
        <f>IFERROR(__xludf.DUMMYFUNCTION("""COMPUTED_VALUE"""),"Plataforma Playo 4.00 x 1.90 x 0.72 Lateral Simple Baranda Fija")</f>
        <v>Plataforma Playo 4.00 x 1.90 x 0.72 Lateral Simple Baranda Fija</v>
      </c>
      <c r="CP130" s="3" t="str">
        <f>IFERROR(__xludf.DUMMYFUNCTION("""COMPUTED_VALUE"""),"Plataforma Playo 4.00 x 1.90 x 0.72 Lateral Doble Baranda Fija")</f>
        <v>Plataforma Playo 4.00 x 1.90 x 0.72 Lateral Doble Baranda Fija</v>
      </c>
      <c r="CQ130" s="3" t="str">
        <f>IFERROR(__xludf.DUMMYFUNCTION("""COMPUTED_VALUE"""),"Plataforma Playo 5.00 x 2.20 x 0.60 Lateral Doble Trasera Rebatible")</f>
        <v>Plataforma Playo 5.00 x 2.20 x 0.60 Lateral Doble Trasera Rebatible</v>
      </c>
      <c r="CR130" s="3" t="str">
        <f>IFERROR(__xludf.DUMMYFUNCTION("""COMPUTED_VALUE"""),"Plataforma Playo 5.00 x 2.20 x 0.60 Lateral Doble Baranda Fija C/Toldo")</f>
        <v>Plataforma Playo 5.00 x 2.20 x 0.60 Lateral Doble Baranda Fija C/Toldo</v>
      </c>
      <c r="CS130" s="3" t="str">
        <f>IFERROR(__xludf.DUMMYFUNCTION("""COMPUTED_VALUE"""),"Plataforma Playo 3.00 x 1.90 x 0.45 Lateral Simple Baranda Fija")</f>
        <v>Plataforma Playo 3.00 x 1.90 x 0.45 Lateral Simple Baranda Fija</v>
      </c>
      <c r="CT130" s="3" t="str">
        <f>IFERROR(__xludf.DUMMYFUNCTION("""COMPUTED_VALUE"""),"Plataforma Playo 3.00 x 1.90 x 0.45 Lateral Simple Baranda Ventilada")</f>
        <v>Plataforma Playo 3.00 x 1.90 x 0.45 Lateral Simple Baranda Ventilada</v>
      </c>
      <c r="CU130" s="3" t="str">
        <f>IFERROR(__xludf.DUMMYFUNCTION("""COMPUTED_VALUE"""),"Plataforma Playo 2.00 x 1.90 x 0.45 Lateral Simple Baranda Fija")</f>
        <v>Plataforma Playo 2.00 x 1.90 x 0.45 Lateral Simple Baranda Fija</v>
      </c>
      <c r="CV130" s="3" t="str">
        <f>IFERROR(__xludf.DUMMYFUNCTION("""COMPUTED_VALUE"""),"Plataforma Playo 5.00 x 1.90 x 0.60 Lateral Doble Baranda Fija")</f>
        <v>Plataforma Playo 5.00 x 1.90 x 0.60 Lateral Doble Baranda Fija</v>
      </c>
      <c r="CW130" s="3" t="str">
        <f>IFERROR(__xludf.DUMMYFUNCTION("""COMPUTED_VALUE"""),"Plataforma Playo 6.40 x 2.70 x 0.72 Lateral Doble Baranda Fija")</f>
        <v>Plataforma Playo 6.40 x 2.70 x 0.72 Lateral Doble Baranda Fija</v>
      </c>
      <c r="CX130" s="3" t="str">
        <f>IFERROR(__xludf.DUMMYFUNCTION("""COMPUTED_VALUE"""),"Chasis Acoplado Balancin L4000 Lanza Recta")</f>
        <v>Chasis Acoplado Balancin L4000 Lanza Recta</v>
      </c>
      <c r="CY130" s="3" t="str">
        <f>IFERROR(__xludf.DUMMYFUNCTION("""COMPUTED_VALUE"""),"Llanta simple Agrícola 750x20 centro 152")</f>
        <v>Llanta simple Agrícola 750x20 centro 152</v>
      </c>
      <c r="CZ130" s="3" t="str">
        <f>IFERROR(__xludf.DUMMYFUNCTION("""COMPUTED_VALUE"""),"Cajón de Herramientas Mediano adelante")</f>
        <v>Cajón de Herramientas Mediano adelante</v>
      </c>
      <c r="DA130" s="3" t="str">
        <f>IFERROR(__xludf.DUMMYFUNCTION("""COMPUTED_VALUE"""),"Llanta 15"" Simple Agrícola Centro 92")</f>
        <v>Llanta 15" Simple Agrícola Centro 92</v>
      </c>
    </row>
    <row r="131" hidden="1">
      <c r="A131" s="38">
        <f t="shared" si="1"/>
        <v>130</v>
      </c>
      <c r="B131" s="38">
        <f>IF(F131="","",SUMIF(Prearmados!E:E,F131,Prearmados!A:A))</f>
        <v>25</v>
      </c>
      <c r="C131" s="38">
        <f>IF(F131="","",SUMIF(Productos!E:E,G131,Productos!A:A))</f>
        <v>1</v>
      </c>
      <c r="D131" s="83" t="str">
        <f t="array" ref="D131">IF(OR(F131="",F131="Seleccionar.."),"",XLOOKUP(F131,Prearmados!E:E,Prearmados!F:F,"",0,1))</f>
        <v>Elevadores Frontales</v>
      </c>
      <c r="E131" s="83">
        <f>IF(H131="","",SUMIF(Precio_Productos!K:K,C131,Precio_Productos!J:J)*H131)</f>
        <v>3739021</v>
      </c>
      <c r="F131" s="84" t="s">
        <v>348</v>
      </c>
      <c r="G131" s="84" t="s">
        <v>164</v>
      </c>
      <c r="H131" s="13">
        <v>1.0</v>
      </c>
      <c r="P131" s="3" t="str">
        <f>IFERROR(__xludf.DUMMYFUNCTION("IF(OR(F131="""",F131=""Seleccionar..""),"""",TRANSPOSE(FILTER(Productos!E:E,(Productos!F:F=D131)+(Productos!F:F=XLOOKUP(D131,Implementos!B:B,Implementos!C:C,""-"",0,1)))))"),"Chasis Elevador Frontal M1000")</f>
        <v>Chasis Elevador Frontal M1000</v>
      </c>
      <c r="Q131" s="3" t="str">
        <f>IFERROR(__xludf.DUMMYFUNCTION("""COMPUTED_VALUE"""),"Chasis Elevador Frontal M1000.5")</f>
        <v>Chasis Elevador Frontal M1000.5</v>
      </c>
      <c r="R131" s="3" t="str">
        <f>IFERROR(__xludf.DUMMYFUNCTION("""COMPUTED_VALUE"""),"Chasis Elevador Frontal M1001")</f>
        <v>Chasis Elevador Frontal M1001</v>
      </c>
      <c r="S131" s="3" t="str">
        <f>IFERROR(__xludf.DUMMYFUNCTION("""COMPUTED_VALUE"""),"Chasis Elevador Frontal C/Paralelogramo M1002")</f>
        <v>Chasis Elevador Frontal C/Paralelogramo M1002</v>
      </c>
      <c r="T131" s="3" t="str">
        <f>IFERROR(__xludf.DUMMYFUNCTION("""COMPUTED_VALUE"""),"Chasis Elevador Frontal con Cilindro 3"" M1003")</f>
        <v>Chasis Elevador Frontal con Cilindro 3" M1003</v>
      </c>
      <c r="U131" s="3" t="str">
        <f>IFERROR(__xludf.DUMMYFUNCTION("""COMPUTED_VALUE"""),"Chasis Elevador Frontal C/Paralelogramo y Cilindro 3"" M1004")</f>
        <v>Chasis Elevador Frontal C/Paralelogramo y Cilindro 3" M1004</v>
      </c>
      <c r="V131" s="3" t="str">
        <f>IFERROR(__xludf.DUMMYFUNCTION("""COMPUTED_VALUE"""),"Cuchara común")</f>
        <v>Cuchara común</v>
      </c>
      <c r="W131" s="3" t="str">
        <f>IFERROR(__xludf.DUMMYFUNCTION("""COMPUTED_VALUE"""),"Cuchara silera")</f>
        <v>Cuchara silera</v>
      </c>
      <c r="X131" s="3" t="str">
        <f>IFERROR(__xludf.DUMMYFUNCTION("""COMPUTED_VALUE"""),"Cuchara silera 1,80")</f>
        <v>Cuchara silera 1,80</v>
      </c>
      <c r="Y131" s="3" t="str">
        <f>IFERROR(__xludf.DUMMYFUNCTION("""COMPUTED_VALUE"""),"Cuchara grande 1,80")</f>
        <v>Cuchara grande 1,80</v>
      </c>
      <c r="Z131" s="3" t="str">
        <f>IFERROR(__xludf.DUMMYFUNCTION("""COMPUTED_VALUE"""),"Cuchara grande 2,10")</f>
        <v>Cuchara grande 2,10</v>
      </c>
      <c r="AA131" s="3" t="str">
        <f>IFERROR(__xludf.DUMMYFUNCTION("""COMPUTED_VALUE"""),"Cuchara silera 1,60 mts. ( 1/2 m3) diferencia")</f>
        <v>Cuchara silera 1,60 mts. ( 1/2 m3) diferencia</v>
      </c>
      <c r="AB131" s="3" t="str">
        <f>IFERROR(__xludf.DUMMYFUNCTION("""COMPUTED_VALUE"""),"Cuchara 1,80 mts.( 0,60 m3) diferencia")</f>
        <v>Cuchara 1,80 mts.( 0,60 m3) diferencia</v>
      </c>
      <c r="AC131" s="3" t="str">
        <f>IFERROR(__xludf.DUMMYFUNCTION("""COMPUTED_VALUE"""),"Cuchara 1,80 mts. ( 3/4 m3) diferencia")</f>
        <v>Cuchara 1,80 mts. ( 3/4 m3) diferencia</v>
      </c>
      <c r="AD131" s="3" t="str">
        <f>IFERROR(__xludf.DUMMYFUNCTION("""COMPUTED_VALUE"""),"Cuchara 2,10 mts ( 1m3) diferencia")</f>
        <v>Cuchara 2,10 mts ( 1m3) diferencia</v>
      </c>
      <c r="AE131" s="3" t="str">
        <f>IFERROR(__xludf.DUMMYFUNCTION("""COMPUTED_VALUE"""),"Levanta rollo o palletera")</f>
        <v>Levanta rollo o palletera</v>
      </c>
      <c r="AF131" s="3" t="str">
        <f>IFERROR(__xludf.DUMMYFUNCTION("""COMPUTED_VALUE"""),"Levanta bolsones")</f>
        <v>Levanta bolsones</v>
      </c>
      <c r="AG131" s="3" t="str">
        <f>IFERROR(__xludf.DUMMYFUNCTION("""COMPUTED_VALUE"""),"Canasto con tapa")</f>
        <v>Canasto con tapa</v>
      </c>
      <c r="AH131" s="3" t="str">
        <f>IFERROR(__xludf.DUMMYFUNCTION("""COMPUTED_VALUE"""),"Púas sileras")</f>
        <v>Púas sileras</v>
      </c>
      <c r="AI131" s="3" t="str">
        <f>IFERROR(__xludf.DUMMYFUNCTION("""COMPUTED_VALUE"""),"Tapa de cuchara")</f>
        <v>Tapa de cuchara</v>
      </c>
      <c r="AJ131" s="3" t="str">
        <f>IFERROR(__xludf.DUMMYFUNCTION("""COMPUTED_VALUE"""),"Accesorio para mega fardos")</f>
        <v>Accesorio para mega fardos</v>
      </c>
      <c r="AK131" s="3" t="str">
        <f>IFERROR(__xludf.DUMMYFUNCTION("""COMPUTED_VALUE"""),"Refuerzo palas M1001 / M1002 y Cilindro 3""")</f>
        <v>Refuerzo palas M1001 / M1002 y Cilindro 3"</v>
      </c>
      <c r="AL131" s="3" t="str">
        <f>IFERROR(__xludf.DUMMYFUNCTION("""COMPUTED_VALUE"""),"Válvula dos comandos")</f>
        <v>Válvula dos comandos</v>
      </c>
      <c r="AM131" s="3" t="str">
        <f>IFERROR(__xludf.DUMMYFUNCTION("""COMPUTED_VALUE"""),"Válvula tres comandos")</f>
        <v>Válvula tres comandos</v>
      </c>
      <c r="AN131" s="3" t="str">
        <f>IFERROR(__xludf.DUMMYFUNCTION("""COMPUTED_VALUE"""),"Joystick mecánico")</f>
        <v>Joystick mecánico</v>
      </c>
      <c r="AO131" s="3" t="str">
        <f>IFERROR(__xludf.DUMMYFUNCTION("""COMPUTED_VALUE"""),"Joystick electrónico")</f>
        <v>Joystick electrónico</v>
      </c>
      <c r="AP131" s="3" t="str">
        <f>IFERROR(__xludf.DUMMYFUNCTION("""COMPUTED_VALUE"""),"Adaptador para Joystick Case o New Holland")</f>
        <v>Adaptador para Joystick Case o New Holland</v>
      </c>
      <c r="AQ131" s="3" t="str">
        <f>IFERROR(__xludf.DUMMYFUNCTION("""COMPUTED_VALUE"""),"Acople común")</f>
        <v>Acople común</v>
      </c>
      <c r="AR131" s="3" t="str">
        <f>IFERROR(__xludf.DUMMYFUNCTION("""COMPUTED_VALUE"""),"Acople especial")</f>
        <v>Acople especial</v>
      </c>
      <c r="AS131" s="3" t="str">
        <f>IFERROR(__xludf.DUMMYFUNCTION("""COMPUTED_VALUE"""),"Acople doble tracción")</f>
        <v>Acople doble tracción</v>
      </c>
      <c r="AT131" s="3" t="str">
        <f>IFERROR(__xludf.DUMMYFUNCTION("""COMPUTED_VALUE"""),"Juego cajas negras")</f>
        <v>Juego cajas negras</v>
      </c>
      <c r="AU131" s="3" t="str">
        <f>IFERROR(__xludf.DUMMYFUNCTION("""COMPUTED_VALUE"""),"Acople hasta la manga")</f>
        <v>Acople hasta la manga</v>
      </c>
      <c r="AV131" s="3" t="str">
        <f>IFERROR(__xludf.DUMMYFUNCTION("""COMPUTED_VALUE"""),"Juego de cuchillas 1,60")</f>
        <v>Juego de cuchillas 1,60</v>
      </c>
      <c r="AW131" s="3" t="str">
        <f>IFERROR(__xludf.DUMMYFUNCTION("""COMPUTED_VALUE"""),"Juego de cuchillas 1,80")</f>
        <v>Juego de cuchillas 1,80</v>
      </c>
      <c r="AX131" s="3" t="str">
        <f>IFERROR(__xludf.DUMMYFUNCTION("""COMPUTED_VALUE"""),"Juego de cuchillas 2,10")</f>
        <v>Juego de cuchillas 2,10</v>
      </c>
      <c r="AY131" s="3" t="str">
        <f>IFERROR(__xludf.DUMMYFUNCTION("""COMPUTED_VALUE"""),"Cuchara chica pala M1000")</f>
        <v>Cuchara chica pala M1000</v>
      </c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</row>
    <row r="132" hidden="1">
      <c r="A132" s="38">
        <f t="shared" si="1"/>
        <v>131</v>
      </c>
      <c r="B132" s="38">
        <f>IF(F132="","",SUMIF(Prearmados!E:E,F132,Prearmados!A:A))</f>
        <v>25</v>
      </c>
      <c r="C132" s="38">
        <f>IF(F132="","",SUMIF(Productos!E:E,G132,Productos!A:A))</f>
        <v>138</v>
      </c>
      <c r="D132" s="83" t="str">
        <f t="array" ref="D132">IF(OR(F132="",F132="Seleccionar.."),"",XLOOKUP(F132,Prearmados!E:E,Prearmados!F:F,"",0,1))</f>
        <v>Elevadores Frontales</v>
      </c>
      <c r="E132" s="83">
        <f>IF(H132="","",SUMIF(Precio_Productos!K:K,C132,Precio_Productos!J:J)*H132)</f>
        <v>565000</v>
      </c>
      <c r="F132" s="84" t="s">
        <v>348</v>
      </c>
      <c r="G132" s="84" t="s">
        <v>165</v>
      </c>
      <c r="H132" s="13">
        <v>1.0</v>
      </c>
      <c r="P132" s="3" t="str">
        <f>IFERROR(__xludf.DUMMYFUNCTION("IF(OR(F132="""",F132=""Seleccionar..""),"""",TRANSPOSE(FILTER(Productos!E:E,(Productos!F:F=D132)+(Productos!F:F=XLOOKUP(D132,Implementos!B:B,Implementos!C:C,""-"",0,1)))))"),"Chasis Elevador Frontal M1000")</f>
        <v>Chasis Elevador Frontal M1000</v>
      </c>
      <c r="Q132" s="3" t="str">
        <f>IFERROR(__xludf.DUMMYFUNCTION("""COMPUTED_VALUE"""),"Chasis Elevador Frontal M1000.5")</f>
        <v>Chasis Elevador Frontal M1000.5</v>
      </c>
      <c r="R132" s="3" t="str">
        <f>IFERROR(__xludf.DUMMYFUNCTION("""COMPUTED_VALUE"""),"Chasis Elevador Frontal M1001")</f>
        <v>Chasis Elevador Frontal M1001</v>
      </c>
      <c r="S132" s="3" t="str">
        <f>IFERROR(__xludf.DUMMYFUNCTION("""COMPUTED_VALUE"""),"Chasis Elevador Frontal C/Paralelogramo M1002")</f>
        <v>Chasis Elevador Frontal C/Paralelogramo M1002</v>
      </c>
      <c r="T132" s="3" t="str">
        <f>IFERROR(__xludf.DUMMYFUNCTION("""COMPUTED_VALUE"""),"Chasis Elevador Frontal con Cilindro 3"" M1003")</f>
        <v>Chasis Elevador Frontal con Cilindro 3" M1003</v>
      </c>
      <c r="U132" s="3" t="str">
        <f>IFERROR(__xludf.DUMMYFUNCTION("""COMPUTED_VALUE"""),"Chasis Elevador Frontal C/Paralelogramo y Cilindro 3"" M1004")</f>
        <v>Chasis Elevador Frontal C/Paralelogramo y Cilindro 3" M1004</v>
      </c>
      <c r="V132" s="3" t="str">
        <f>IFERROR(__xludf.DUMMYFUNCTION("""COMPUTED_VALUE"""),"Cuchara común")</f>
        <v>Cuchara común</v>
      </c>
      <c r="W132" s="3" t="str">
        <f>IFERROR(__xludf.DUMMYFUNCTION("""COMPUTED_VALUE"""),"Cuchara silera")</f>
        <v>Cuchara silera</v>
      </c>
      <c r="X132" s="3" t="str">
        <f>IFERROR(__xludf.DUMMYFUNCTION("""COMPUTED_VALUE"""),"Cuchara silera 1,80")</f>
        <v>Cuchara silera 1,80</v>
      </c>
      <c r="Y132" s="3" t="str">
        <f>IFERROR(__xludf.DUMMYFUNCTION("""COMPUTED_VALUE"""),"Cuchara grande 1,80")</f>
        <v>Cuchara grande 1,80</v>
      </c>
      <c r="Z132" s="3" t="str">
        <f>IFERROR(__xludf.DUMMYFUNCTION("""COMPUTED_VALUE"""),"Cuchara grande 2,10")</f>
        <v>Cuchara grande 2,10</v>
      </c>
      <c r="AA132" s="3" t="str">
        <f>IFERROR(__xludf.DUMMYFUNCTION("""COMPUTED_VALUE"""),"Cuchara silera 1,60 mts. ( 1/2 m3) diferencia")</f>
        <v>Cuchara silera 1,60 mts. ( 1/2 m3) diferencia</v>
      </c>
      <c r="AB132" s="3" t="str">
        <f>IFERROR(__xludf.DUMMYFUNCTION("""COMPUTED_VALUE"""),"Cuchara 1,80 mts.( 0,60 m3) diferencia")</f>
        <v>Cuchara 1,80 mts.( 0,60 m3) diferencia</v>
      </c>
      <c r="AC132" s="3" t="str">
        <f>IFERROR(__xludf.DUMMYFUNCTION("""COMPUTED_VALUE"""),"Cuchara 1,80 mts. ( 3/4 m3) diferencia")</f>
        <v>Cuchara 1,80 mts. ( 3/4 m3) diferencia</v>
      </c>
      <c r="AD132" s="3" t="str">
        <f>IFERROR(__xludf.DUMMYFUNCTION("""COMPUTED_VALUE"""),"Cuchara 2,10 mts ( 1m3) diferencia")</f>
        <v>Cuchara 2,10 mts ( 1m3) diferencia</v>
      </c>
      <c r="AE132" s="3" t="str">
        <f>IFERROR(__xludf.DUMMYFUNCTION("""COMPUTED_VALUE"""),"Levanta rollo o palletera")</f>
        <v>Levanta rollo o palletera</v>
      </c>
      <c r="AF132" s="3" t="str">
        <f>IFERROR(__xludf.DUMMYFUNCTION("""COMPUTED_VALUE"""),"Levanta bolsones")</f>
        <v>Levanta bolsones</v>
      </c>
      <c r="AG132" s="3" t="str">
        <f>IFERROR(__xludf.DUMMYFUNCTION("""COMPUTED_VALUE"""),"Canasto con tapa")</f>
        <v>Canasto con tapa</v>
      </c>
      <c r="AH132" s="3" t="str">
        <f>IFERROR(__xludf.DUMMYFUNCTION("""COMPUTED_VALUE"""),"Púas sileras")</f>
        <v>Púas sileras</v>
      </c>
      <c r="AI132" s="3" t="str">
        <f>IFERROR(__xludf.DUMMYFUNCTION("""COMPUTED_VALUE"""),"Tapa de cuchara")</f>
        <v>Tapa de cuchara</v>
      </c>
      <c r="AJ132" s="3" t="str">
        <f>IFERROR(__xludf.DUMMYFUNCTION("""COMPUTED_VALUE"""),"Accesorio para mega fardos")</f>
        <v>Accesorio para mega fardos</v>
      </c>
      <c r="AK132" s="3" t="str">
        <f>IFERROR(__xludf.DUMMYFUNCTION("""COMPUTED_VALUE"""),"Refuerzo palas M1001 / M1002 y Cilindro 3""")</f>
        <v>Refuerzo palas M1001 / M1002 y Cilindro 3"</v>
      </c>
      <c r="AL132" s="3" t="str">
        <f>IFERROR(__xludf.DUMMYFUNCTION("""COMPUTED_VALUE"""),"Válvula dos comandos")</f>
        <v>Válvula dos comandos</v>
      </c>
      <c r="AM132" s="3" t="str">
        <f>IFERROR(__xludf.DUMMYFUNCTION("""COMPUTED_VALUE"""),"Válvula tres comandos")</f>
        <v>Válvula tres comandos</v>
      </c>
      <c r="AN132" s="3" t="str">
        <f>IFERROR(__xludf.DUMMYFUNCTION("""COMPUTED_VALUE"""),"Joystick mecánico")</f>
        <v>Joystick mecánico</v>
      </c>
      <c r="AO132" s="3" t="str">
        <f>IFERROR(__xludf.DUMMYFUNCTION("""COMPUTED_VALUE"""),"Joystick electrónico")</f>
        <v>Joystick electrónico</v>
      </c>
      <c r="AP132" s="3" t="str">
        <f>IFERROR(__xludf.DUMMYFUNCTION("""COMPUTED_VALUE"""),"Adaptador para Joystick Case o New Holland")</f>
        <v>Adaptador para Joystick Case o New Holland</v>
      </c>
      <c r="AQ132" s="3" t="str">
        <f>IFERROR(__xludf.DUMMYFUNCTION("""COMPUTED_VALUE"""),"Acople común")</f>
        <v>Acople común</v>
      </c>
      <c r="AR132" s="3" t="str">
        <f>IFERROR(__xludf.DUMMYFUNCTION("""COMPUTED_VALUE"""),"Acople especial")</f>
        <v>Acople especial</v>
      </c>
      <c r="AS132" s="3" t="str">
        <f>IFERROR(__xludf.DUMMYFUNCTION("""COMPUTED_VALUE"""),"Acople doble tracción")</f>
        <v>Acople doble tracción</v>
      </c>
      <c r="AT132" s="3" t="str">
        <f>IFERROR(__xludf.DUMMYFUNCTION("""COMPUTED_VALUE"""),"Juego cajas negras")</f>
        <v>Juego cajas negras</v>
      </c>
      <c r="AU132" s="3" t="str">
        <f>IFERROR(__xludf.DUMMYFUNCTION("""COMPUTED_VALUE"""),"Acople hasta la manga")</f>
        <v>Acople hasta la manga</v>
      </c>
      <c r="AV132" s="3" t="str">
        <f>IFERROR(__xludf.DUMMYFUNCTION("""COMPUTED_VALUE"""),"Juego de cuchillas 1,60")</f>
        <v>Juego de cuchillas 1,60</v>
      </c>
      <c r="AW132" s="3" t="str">
        <f>IFERROR(__xludf.DUMMYFUNCTION("""COMPUTED_VALUE"""),"Juego de cuchillas 1,80")</f>
        <v>Juego de cuchillas 1,80</v>
      </c>
      <c r="AX132" s="3" t="str">
        <f>IFERROR(__xludf.DUMMYFUNCTION("""COMPUTED_VALUE"""),"Juego de cuchillas 2,10")</f>
        <v>Juego de cuchillas 2,10</v>
      </c>
      <c r="AY132" s="3" t="str">
        <f>IFERROR(__xludf.DUMMYFUNCTION("""COMPUTED_VALUE"""),"Cuchara chica pala M1000")</f>
        <v>Cuchara chica pala M1000</v>
      </c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</row>
    <row r="133" hidden="1">
      <c r="A133" s="38">
        <f t="shared" si="1"/>
        <v>132</v>
      </c>
      <c r="B133" s="38">
        <f>IF(F133="","",SUMIF(Prearmados!E:E,F133,Prearmados!A:A))</f>
        <v>27</v>
      </c>
      <c r="C133" s="38">
        <f>IF(F133="","",SUMIF(Productos!E:E,G133,Productos!A:A))</f>
        <v>3</v>
      </c>
      <c r="D133" s="83" t="str">
        <f t="array" ref="D133">IF(OR(F133="",F133="Seleccionar.."),"",XLOOKUP(F133,Prearmados!E:E,Prearmados!F:F,"",0,1))</f>
        <v>Elevadores Frontales</v>
      </c>
      <c r="E133" s="83">
        <f>IF(H133="","",SUMIF(Precio_Productos!K:K,C133,Precio_Productos!J:J)*H133)</f>
        <v>4200527</v>
      </c>
      <c r="F133" s="84" t="s">
        <v>351</v>
      </c>
      <c r="G133" s="84" t="s">
        <v>167</v>
      </c>
      <c r="H133" s="13">
        <v>1.0</v>
      </c>
      <c r="P133" s="3" t="str">
        <f>IFERROR(__xludf.DUMMYFUNCTION("IF(OR(F133="""",F133=""Seleccionar..""),"""",TRANSPOSE(FILTER(Productos!E:E,(Productos!F:F=D133)+(Productos!F:F=XLOOKUP(D133,Implementos!B:B,Implementos!C:C,""-"",0,1)))))"),"Chasis Elevador Frontal M1000")</f>
        <v>Chasis Elevador Frontal M1000</v>
      </c>
      <c r="Q133" s="3" t="str">
        <f>IFERROR(__xludf.DUMMYFUNCTION("""COMPUTED_VALUE"""),"Chasis Elevador Frontal M1000.5")</f>
        <v>Chasis Elevador Frontal M1000.5</v>
      </c>
      <c r="R133" s="3" t="str">
        <f>IFERROR(__xludf.DUMMYFUNCTION("""COMPUTED_VALUE"""),"Chasis Elevador Frontal M1001")</f>
        <v>Chasis Elevador Frontal M1001</v>
      </c>
      <c r="S133" s="3" t="str">
        <f>IFERROR(__xludf.DUMMYFUNCTION("""COMPUTED_VALUE"""),"Chasis Elevador Frontal C/Paralelogramo M1002")</f>
        <v>Chasis Elevador Frontal C/Paralelogramo M1002</v>
      </c>
      <c r="T133" s="3" t="str">
        <f>IFERROR(__xludf.DUMMYFUNCTION("""COMPUTED_VALUE"""),"Chasis Elevador Frontal con Cilindro 3"" M1003")</f>
        <v>Chasis Elevador Frontal con Cilindro 3" M1003</v>
      </c>
      <c r="U133" s="3" t="str">
        <f>IFERROR(__xludf.DUMMYFUNCTION("""COMPUTED_VALUE"""),"Chasis Elevador Frontal C/Paralelogramo y Cilindro 3"" M1004")</f>
        <v>Chasis Elevador Frontal C/Paralelogramo y Cilindro 3" M1004</v>
      </c>
      <c r="V133" s="3" t="str">
        <f>IFERROR(__xludf.DUMMYFUNCTION("""COMPUTED_VALUE"""),"Cuchara común")</f>
        <v>Cuchara común</v>
      </c>
      <c r="W133" s="3" t="str">
        <f>IFERROR(__xludf.DUMMYFUNCTION("""COMPUTED_VALUE"""),"Cuchara silera")</f>
        <v>Cuchara silera</v>
      </c>
      <c r="X133" s="3" t="str">
        <f>IFERROR(__xludf.DUMMYFUNCTION("""COMPUTED_VALUE"""),"Cuchara silera 1,80")</f>
        <v>Cuchara silera 1,80</v>
      </c>
      <c r="Y133" s="3" t="str">
        <f>IFERROR(__xludf.DUMMYFUNCTION("""COMPUTED_VALUE"""),"Cuchara grande 1,80")</f>
        <v>Cuchara grande 1,80</v>
      </c>
      <c r="Z133" s="3" t="str">
        <f>IFERROR(__xludf.DUMMYFUNCTION("""COMPUTED_VALUE"""),"Cuchara grande 2,10")</f>
        <v>Cuchara grande 2,10</v>
      </c>
      <c r="AA133" s="3" t="str">
        <f>IFERROR(__xludf.DUMMYFUNCTION("""COMPUTED_VALUE"""),"Cuchara silera 1,60 mts. ( 1/2 m3) diferencia")</f>
        <v>Cuchara silera 1,60 mts. ( 1/2 m3) diferencia</v>
      </c>
      <c r="AB133" s="3" t="str">
        <f>IFERROR(__xludf.DUMMYFUNCTION("""COMPUTED_VALUE"""),"Cuchara 1,80 mts.( 0,60 m3) diferencia")</f>
        <v>Cuchara 1,80 mts.( 0,60 m3) diferencia</v>
      </c>
      <c r="AC133" s="3" t="str">
        <f>IFERROR(__xludf.DUMMYFUNCTION("""COMPUTED_VALUE"""),"Cuchara 1,80 mts. ( 3/4 m3) diferencia")</f>
        <v>Cuchara 1,80 mts. ( 3/4 m3) diferencia</v>
      </c>
      <c r="AD133" s="3" t="str">
        <f>IFERROR(__xludf.DUMMYFUNCTION("""COMPUTED_VALUE"""),"Cuchara 2,10 mts ( 1m3) diferencia")</f>
        <v>Cuchara 2,10 mts ( 1m3) diferencia</v>
      </c>
      <c r="AE133" s="3" t="str">
        <f>IFERROR(__xludf.DUMMYFUNCTION("""COMPUTED_VALUE"""),"Levanta rollo o palletera")</f>
        <v>Levanta rollo o palletera</v>
      </c>
      <c r="AF133" s="3" t="str">
        <f>IFERROR(__xludf.DUMMYFUNCTION("""COMPUTED_VALUE"""),"Levanta bolsones")</f>
        <v>Levanta bolsones</v>
      </c>
      <c r="AG133" s="3" t="str">
        <f>IFERROR(__xludf.DUMMYFUNCTION("""COMPUTED_VALUE"""),"Canasto con tapa")</f>
        <v>Canasto con tapa</v>
      </c>
      <c r="AH133" s="3" t="str">
        <f>IFERROR(__xludf.DUMMYFUNCTION("""COMPUTED_VALUE"""),"Púas sileras")</f>
        <v>Púas sileras</v>
      </c>
      <c r="AI133" s="3" t="str">
        <f>IFERROR(__xludf.DUMMYFUNCTION("""COMPUTED_VALUE"""),"Tapa de cuchara")</f>
        <v>Tapa de cuchara</v>
      </c>
      <c r="AJ133" s="3" t="str">
        <f>IFERROR(__xludf.DUMMYFUNCTION("""COMPUTED_VALUE"""),"Accesorio para mega fardos")</f>
        <v>Accesorio para mega fardos</v>
      </c>
      <c r="AK133" s="3" t="str">
        <f>IFERROR(__xludf.DUMMYFUNCTION("""COMPUTED_VALUE"""),"Refuerzo palas M1001 / M1002 y Cilindro 3""")</f>
        <v>Refuerzo palas M1001 / M1002 y Cilindro 3"</v>
      </c>
      <c r="AL133" s="3" t="str">
        <f>IFERROR(__xludf.DUMMYFUNCTION("""COMPUTED_VALUE"""),"Válvula dos comandos")</f>
        <v>Válvula dos comandos</v>
      </c>
      <c r="AM133" s="3" t="str">
        <f>IFERROR(__xludf.DUMMYFUNCTION("""COMPUTED_VALUE"""),"Válvula tres comandos")</f>
        <v>Válvula tres comandos</v>
      </c>
      <c r="AN133" s="3" t="str">
        <f>IFERROR(__xludf.DUMMYFUNCTION("""COMPUTED_VALUE"""),"Joystick mecánico")</f>
        <v>Joystick mecánico</v>
      </c>
      <c r="AO133" s="3" t="str">
        <f>IFERROR(__xludf.DUMMYFUNCTION("""COMPUTED_VALUE"""),"Joystick electrónico")</f>
        <v>Joystick electrónico</v>
      </c>
      <c r="AP133" s="3" t="str">
        <f>IFERROR(__xludf.DUMMYFUNCTION("""COMPUTED_VALUE"""),"Adaptador para Joystick Case o New Holland")</f>
        <v>Adaptador para Joystick Case o New Holland</v>
      </c>
      <c r="AQ133" s="3" t="str">
        <f>IFERROR(__xludf.DUMMYFUNCTION("""COMPUTED_VALUE"""),"Acople común")</f>
        <v>Acople común</v>
      </c>
      <c r="AR133" s="3" t="str">
        <f>IFERROR(__xludf.DUMMYFUNCTION("""COMPUTED_VALUE"""),"Acople especial")</f>
        <v>Acople especial</v>
      </c>
      <c r="AS133" s="3" t="str">
        <f>IFERROR(__xludf.DUMMYFUNCTION("""COMPUTED_VALUE"""),"Acople doble tracción")</f>
        <v>Acople doble tracción</v>
      </c>
      <c r="AT133" s="3" t="str">
        <f>IFERROR(__xludf.DUMMYFUNCTION("""COMPUTED_VALUE"""),"Juego cajas negras")</f>
        <v>Juego cajas negras</v>
      </c>
      <c r="AU133" s="3" t="str">
        <f>IFERROR(__xludf.DUMMYFUNCTION("""COMPUTED_VALUE"""),"Acople hasta la manga")</f>
        <v>Acople hasta la manga</v>
      </c>
      <c r="AV133" s="3" t="str">
        <f>IFERROR(__xludf.DUMMYFUNCTION("""COMPUTED_VALUE"""),"Juego de cuchillas 1,60")</f>
        <v>Juego de cuchillas 1,60</v>
      </c>
      <c r="AW133" s="3" t="str">
        <f>IFERROR(__xludf.DUMMYFUNCTION("""COMPUTED_VALUE"""),"Juego de cuchillas 1,80")</f>
        <v>Juego de cuchillas 1,80</v>
      </c>
      <c r="AX133" s="3" t="str">
        <f>IFERROR(__xludf.DUMMYFUNCTION("""COMPUTED_VALUE"""),"Juego de cuchillas 2,10")</f>
        <v>Juego de cuchillas 2,10</v>
      </c>
      <c r="AY133" s="3" t="str">
        <f>IFERROR(__xludf.DUMMYFUNCTION("""COMPUTED_VALUE"""),"Cuchara chica pala M1000")</f>
        <v>Cuchara chica pala M1000</v>
      </c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</row>
    <row r="134" hidden="1">
      <c r="A134" s="38">
        <f t="shared" si="1"/>
        <v>133</v>
      </c>
      <c r="B134" s="38">
        <f>IF(F134="","",SUMIF(Prearmados!E:E,F134,Prearmados!A:A))</f>
        <v>27</v>
      </c>
      <c r="C134" s="38">
        <f>IF(F134="","",SUMIF(Productos!E:E,G134,Productos!A:A))</f>
        <v>7</v>
      </c>
      <c r="D134" s="83" t="str">
        <f t="array" ref="D134">IF(OR(F134="",F134="Seleccionar.."),"",XLOOKUP(F134,Prearmados!E:E,Prearmados!F:F,"",0,1))</f>
        <v>Elevadores Frontales</v>
      </c>
      <c r="E134" s="83">
        <f>IF(H134="","",SUMIF(Precio_Productos!K:K,C134,Precio_Productos!J:J)*H134)</f>
        <v>726317</v>
      </c>
      <c r="F134" s="84" t="s">
        <v>351</v>
      </c>
      <c r="G134" s="84" t="s">
        <v>168</v>
      </c>
      <c r="H134" s="13">
        <v>1.0</v>
      </c>
      <c r="P134" s="3" t="str">
        <f>IFERROR(__xludf.DUMMYFUNCTION("IF(OR(F134="""",F134=""Seleccionar..""),"""",TRANSPOSE(FILTER(Productos!E:E,(Productos!F:F=D134)+(Productos!F:F=XLOOKUP(D134,Implementos!B:B,Implementos!C:C,""-"",0,1)))))"),"Chasis Elevador Frontal M1000")</f>
        <v>Chasis Elevador Frontal M1000</v>
      </c>
      <c r="Q134" s="3" t="str">
        <f>IFERROR(__xludf.DUMMYFUNCTION("""COMPUTED_VALUE"""),"Chasis Elevador Frontal M1000.5")</f>
        <v>Chasis Elevador Frontal M1000.5</v>
      </c>
      <c r="R134" s="3" t="str">
        <f>IFERROR(__xludf.DUMMYFUNCTION("""COMPUTED_VALUE"""),"Chasis Elevador Frontal M1001")</f>
        <v>Chasis Elevador Frontal M1001</v>
      </c>
      <c r="S134" s="3" t="str">
        <f>IFERROR(__xludf.DUMMYFUNCTION("""COMPUTED_VALUE"""),"Chasis Elevador Frontal C/Paralelogramo M1002")</f>
        <v>Chasis Elevador Frontal C/Paralelogramo M1002</v>
      </c>
      <c r="T134" s="3" t="str">
        <f>IFERROR(__xludf.DUMMYFUNCTION("""COMPUTED_VALUE"""),"Chasis Elevador Frontal con Cilindro 3"" M1003")</f>
        <v>Chasis Elevador Frontal con Cilindro 3" M1003</v>
      </c>
      <c r="U134" s="3" t="str">
        <f>IFERROR(__xludf.DUMMYFUNCTION("""COMPUTED_VALUE"""),"Chasis Elevador Frontal C/Paralelogramo y Cilindro 3"" M1004")</f>
        <v>Chasis Elevador Frontal C/Paralelogramo y Cilindro 3" M1004</v>
      </c>
      <c r="V134" s="3" t="str">
        <f>IFERROR(__xludf.DUMMYFUNCTION("""COMPUTED_VALUE"""),"Cuchara común")</f>
        <v>Cuchara común</v>
      </c>
      <c r="W134" s="3" t="str">
        <f>IFERROR(__xludf.DUMMYFUNCTION("""COMPUTED_VALUE"""),"Cuchara silera")</f>
        <v>Cuchara silera</v>
      </c>
      <c r="X134" s="3" t="str">
        <f>IFERROR(__xludf.DUMMYFUNCTION("""COMPUTED_VALUE"""),"Cuchara silera 1,80")</f>
        <v>Cuchara silera 1,80</v>
      </c>
      <c r="Y134" s="3" t="str">
        <f>IFERROR(__xludf.DUMMYFUNCTION("""COMPUTED_VALUE"""),"Cuchara grande 1,80")</f>
        <v>Cuchara grande 1,80</v>
      </c>
      <c r="Z134" s="3" t="str">
        <f>IFERROR(__xludf.DUMMYFUNCTION("""COMPUTED_VALUE"""),"Cuchara grande 2,10")</f>
        <v>Cuchara grande 2,10</v>
      </c>
      <c r="AA134" s="3" t="str">
        <f>IFERROR(__xludf.DUMMYFUNCTION("""COMPUTED_VALUE"""),"Cuchara silera 1,60 mts. ( 1/2 m3) diferencia")</f>
        <v>Cuchara silera 1,60 mts. ( 1/2 m3) diferencia</v>
      </c>
      <c r="AB134" s="3" t="str">
        <f>IFERROR(__xludf.DUMMYFUNCTION("""COMPUTED_VALUE"""),"Cuchara 1,80 mts.( 0,60 m3) diferencia")</f>
        <v>Cuchara 1,80 mts.( 0,60 m3) diferencia</v>
      </c>
      <c r="AC134" s="3" t="str">
        <f>IFERROR(__xludf.DUMMYFUNCTION("""COMPUTED_VALUE"""),"Cuchara 1,80 mts. ( 3/4 m3) diferencia")</f>
        <v>Cuchara 1,80 mts. ( 3/4 m3) diferencia</v>
      </c>
      <c r="AD134" s="3" t="str">
        <f>IFERROR(__xludf.DUMMYFUNCTION("""COMPUTED_VALUE"""),"Cuchara 2,10 mts ( 1m3) diferencia")</f>
        <v>Cuchara 2,10 mts ( 1m3) diferencia</v>
      </c>
      <c r="AE134" s="3" t="str">
        <f>IFERROR(__xludf.DUMMYFUNCTION("""COMPUTED_VALUE"""),"Levanta rollo o palletera")</f>
        <v>Levanta rollo o palletera</v>
      </c>
      <c r="AF134" s="3" t="str">
        <f>IFERROR(__xludf.DUMMYFUNCTION("""COMPUTED_VALUE"""),"Levanta bolsones")</f>
        <v>Levanta bolsones</v>
      </c>
      <c r="AG134" s="3" t="str">
        <f>IFERROR(__xludf.DUMMYFUNCTION("""COMPUTED_VALUE"""),"Canasto con tapa")</f>
        <v>Canasto con tapa</v>
      </c>
      <c r="AH134" s="3" t="str">
        <f>IFERROR(__xludf.DUMMYFUNCTION("""COMPUTED_VALUE"""),"Púas sileras")</f>
        <v>Púas sileras</v>
      </c>
      <c r="AI134" s="3" t="str">
        <f>IFERROR(__xludf.DUMMYFUNCTION("""COMPUTED_VALUE"""),"Tapa de cuchara")</f>
        <v>Tapa de cuchara</v>
      </c>
      <c r="AJ134" s="3" t="str">
        <f>IFERROR(__xludf.DUMMYFUNCTION("""COMPUTED_VALUE"""),"Accesorio para mega fardos")</f>
        <v>Accesorio para mega fardos</v>
      </c>
      <c r="AK134" s="3" t="str">
        <f>IFERROR(__xludf.DUMMYFUNCTION("""COMPUTED_VALUE"""),"Refuerzo palas M1001 / M1002 y Cilindro 3""")</f>
        <v>Refuerzo palas M1001 / M1002 y Cilindro 3"</v>
      </c>
      <c r="AL134" s="3" t="str">
        <f>IFERROR(__xludf.DUMMYFUNCTION("""COMPUTED_VALUE"""),"Válvula dos comandos")</f>
        <v>Válvula dos comandos</v>
      </c>
      <c r="AM134" s="3" t="str">
        <f>IFERROR(__xludf.DUMMYFUNCTION("""COMPUTED_VALUE"""),"Válvula tres comandos")</f>
        <v>Válvula tres comandos</v>
      </c>
      <c r="AN134" s="3" t="str">
        <f>IFERROR(__xludf.DUMMYFUNCTION("""COMPUTED_VALUE"""),"Joystick mecánico")</f>
        <v>Joystick mecánico</v>
      </c>
      <c r="AO134" s="3" t="str">
        <f>IFERROR(__xludf.DUMMYFUNCTION("""COMPUTED_VALUE"""),"Joystick electrónico")</f>
        <v>Joystick electrónico</v>
      </c>
      <c r="AP134" s="3" t="str">
        <f>IFERROR(__xludf.DUMMYFUNCTION("""COMPUTED_VALUE"""),"Adaptador para Joystick Case o New Holland")</f>
        <v>Adaptador para Joystick Case o New Holland</v>
      </c>
      <c r="AQ134" s="3" t="str">
        <f>IFERROR(__xludf.DUMMYFUNCTION("""COMPUTED_VALUE"""),"Acople común")</f>
        <v>Acople común</v>
      </c>
      <c r="AR134" s="3" t="str">
        <f>IFERROR(__xludf.DUMMYFUNCTION("""COMPUTED_VALUE"""),"Acople especial")</f>
        <v>Acople especial</v>
      </c>
      <c r="AS134" s="3" t="str">
        <f>IFERROR(__xludf.DUMMYFUNCTION("""COMPUTED_VALUE"""),"Acople doble tracción")</f>
        <v>Acople doble tracción</v>
      </c>
      <c r="AT134" s="3" t="str">
        <f>IFERROR(__xludf.DUMMYFUNCTION("""COMPUTED_VALUE"""),"Juego cajas negras")</f>
        <v>Juego cajas negras</v>
      </c>
      <c r="AU134" s="3" t="str">
        <f>IFERROR(__xludf.DUMMYFUNCTION("""COMPUTED_VALUE"""),"Acople hasta la manga")</f>
        <v>Acople hasta la manga</v>
      </c>
      <c r="AV134" s="3" t="str">
        <f>IFERROR(__xludf.DUMMYFUNCTION("""COMPUTED_VALUE"""),"Juego de cuchillas 1,60")</f>
        <v>Juego de cuchillas 1,60</v>
      </c>
      <c r="AW134" s="3" t="str">
        <f>IFERROR(__xludf.DUMMYFUNCTION("""COMPUTED_VALUE"""),"Juego de cuchillas 1,80")</f>
        <v>Juego de cuchillas 1,80</v>
      </c>
      <c r="AX134" s="3" t="str">
        <f>IFERROR(__xludf.DUMMYFUNCTION("""COMPUTED_VALUE"""),"Juego de cuchillas 2,10")</f>
        <v>Juego de cuchillas 2,10</v>
      </c>
      <c r="AY134" s="3" t="str">
        <f>IFERROR(__xludf.DUMMYFUNCTION("""COMPUTED_VALUE"""),"Cuchara chica pala M1000")</f>
        <v>Cuchara chica pala M1000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</row>
    <row r="135" hidden="1">
      <c r="A135" s="38">
        <f t="shared" si="1"/>
        <v>134</v>
      </c>
      <c r="B135" s="38">
        <f>IF(F135="","",SUMIF(Prearmados!E:E,F135,Prearmados!A:A))</f>
        <v>26</v>
      </c>
      <c r="C135" s="38">
        <f>IF(F135="","",SUMIF(Productos!E:E,G135,Productos!A:A))</f>
        <v>2</v>
      </c>
      <c r="D135" s="83" t="str">
        <f t="array" ref="D135">IF(OR(F135="",F135="Seleccionar.."),"",XLOOKUP(F135,Prearmados!E:E,Prearmados!F:F,"",0,1))</f>
        <v>Elevadores Frontales</v>
      </c>
      <c r="E135" s="83">
        <f>IF(H135="","",SUMIF(Precio_Productos!K:K,C135,Precio_Productos!J:J)*H135)</f>
        <v>3973683</v>
      </c>
      <c r="F135" s="84" t="s">
        <v>350</v>
      </c>
      <c r="G135" s="84" t="s">
        <v>169</v>
      </c>
      <c r="H135" s="13">
        <v>1.0</v>
      </c>
      <c r="P135" s="3" t="str">
        <f>IFERROR(__xludf.DUMMYFUNCTION("IF(OR(F135="""",F135=""Seleccionar..""),"""",TRANSPOSE(FILTER(Productos!E:E,(Productos!F:F=D135)+(Productos!F:F=XLOOKUP(D135,Implementos!B:B,Implementos!C:C,""-"",0,1)))))"),"Chasis Elevador Frontal M1000")</f>
        <v>Chasis Elevador Frontal M1000</v>
      </c>
      <c r="Q135" s="3" t="str">
        <f>IFERROR(__xludf.DUMMYFUNCTION("""COMPUTED_VALUE"""),"Chasis Elevador Frontal M1000.5")</f>
        <v>Chasis Elevador Frontal M1000.5</v>
      </c>
      <c r="R135" s="3" t="str">
        <f>IFERROR(__xludf.DUMMYFUNCTION("""COMPUTED_VALUE"""),"Chasis Elevador Frontal M1001")</f>
        <v>Chasis Elevador Frontal M1001</v>
      </c>
      <c r="S135" s="3" t="str">
        <f>IFERROR(__xludf.DUMMYFUNCTION("""COMPUTED_VALUE"""),"Chasis Elevador Frontal C/Paralelogramo M1002")</f>
        <v>Chasis Elevador Frontal C/Paralelogramo M1002</v>
      </c>
      <c r="T135" s="3" t="str">
        <f>IFERROR(__xludf.DUMMYFUNCTION("""COMPUTED_VALUE"""),"Chasis Elevador Frontal con Cilindro 3"" M1003")</f>
        <v>Chasis Elevador Frontal con Cilindro 3" M1003</v>
      </c>
      <c r="U135" s="3" t="str">
        <f>IFERROR(__xludf.DUMMYFUNCTION("""COMPUTED_VALUE"""),"Chasis Elevador Frontal C/Paralelogramo y Cilindro 3"" M1004")</f>
        <v>Chasis Elevador Frontal C/Paralelogramo y Cilindro 3" M1004</v>
      </c>
      <c r="V135" s="3" t="str">
        <f>IFERROR(__xludf.DUMMYFUNCTION("""COMPUTED_VALUE"""),"Cuchara común")</f>
        <v>Cuchara común</v>
      </c>
      <c r="W135" s="3" t="str">
        <f>IFERROR(__xludf.DUMMYFUNCTION("""COMPUTED_VALUE"""),"Cuchara silera")</f>
        <v>Cuchara silera</v>
      </c>
      <c r="X135" s="3" t="str">
        <f>IFERROR(__xludf.DUMMYFUNCTION("""COMPUTED_VALUE"""),"Cuchara silera 1,80")</f>
        <v>Cuchara silera 1,80</v>
      </c>
      <c r="Y135" s="3" t="str">
        <f>IFERROR(__xludf.DUMMYFUNCTION("""COMPUTED_VALUE"""),"Cuchara grande 1,80")</f>
        <v>Cuchara grande 1,80</v>
      </c>
      <c r="Z135" s="3" t="str">
        <f>IFERROR(__xludf.DUMMYFUNCTION("""COMPUTED_VALUE"""),"Cuchara grande 2,10")</f>
        <v>Cuchara grande 2,10</v>
      </c>
      <c r="AA135" s="3" t="str">
        <f>IFERROR(__xludf.DUMMYFUNCTION("""COMPUTED_VALUE"""),"Cuchara silera 1,60 mts. ( 1/2 m3) diferencia")</f>
        <v>Cuchara silera 1,60 mts. ( 1/2 m3) diferencia</v>
      </c>
      <c r="AB135" s="3" t="str">
        <f>IFERROR(__xludf.DUMMYFUNCTION("""COMPUTED_VALUE"""),"Cuchara 1,80 mts.( 0,60 m3) diferencia")</f>
        <v>Cuchara 1,80 mts.( 0,60 m3) diferencia</v>
      </c>
      <c r="AC135" s="3" t="str">
        <f>IFERROR(__xludf.DUMMYFUNCTION("""COMPUTED_VALUE"""),"Cuchara 1,80 mts. ( 3/4 m3) diferencia")</f>
        <v>Cuchara 1,80 mts. ( 3/4 m3) diferencia</v>
      </c>
      <c r="AD135" s="3" t="str">
        <f>IFERROR(__xludf.DUMMYFUNCTION("""COMPUTED_VALUE"""),"Cuchara 2,10 mts ( 1m3) diferencia")</f>
        <v>Cuchara 2,10 mts ( 1m3) diferencia</v>
      </c>
      <c r="AE135" s="3" t="str">
        <f>IFERROR(__xludf.DUMMYFUNCTION("""COMPUTED_VALUE"""),"Levanta rollo o palletera")</f>
        <v>Levanta rollo o palletera</v>
      </c>
      <c r="AF135" s="3" t="str">
        <f>IFERROR(__xludf.DUMMYFUNCTION("""COMPUTED_VALUE"""),"Levanta bolsones")</f>
        <v>Levanta bolsones</v>
      </c>
      <c r="AG135" s="3" t="str">
        <f>IFERROR(__xludf.DUMMYFUNCTION("""COMPUTED_VALUE"""),"Canasto con tapa")</f>
        <v>Canasto con tapa</v>
      </c>
      <c r="AH135" s="3" t="str">
        <f>IFERROR(__xludf.DUMMYFUNCTION("""COMPUTED_VALUE"""),"Púas sileras")</f>
        <v>Púas sileras</v>
      </c>
      <c r="AI135" s="3" t="str">
        <f>IFERROR(__xludf.DUMMYFUNCTION("""COMPUTED_VALUE"""),"Tapa de cuchara")</f>
        <v>Tapa de cuchara</v>
      </c>
      <c r="AJ135" s="3" t="str">
        <f>IFERROR(__xludf.DUMMYFUNCTION("""COMPUTED_VALUE"""),"Accesorio para mega fardos")</f>
        <v>Accesorio para mega fardos</v>
      </c>
      <c r="AK135" s="3" t="str">
        <f>IFERROR(__xludf.DUMMYFUNCTION("""COMPUTED_VALUE"""),"Refuerzo palas M1001 / M1002 y Cilindro 3""")</f>
        <v>Refuerzo palas M1001 / M1002 y Cilindro 3"</v>
      </c>
      <c r="AL135" s="3" t="str">
        <f>IFERROR(__xludf.DUMMYFUNCTION("""COMPUTED_VALUE"""),"Válvula dos comandos")</f>
        <v>Válvula dos comandos</v>
      </c>
      <c r="AM135" s="3" t="str">
        <f>IFERROR(__xludf.DUMMYFUNCTION("""COMPUTED_VALUE"""),"Válvula tres comandos")</f>
        <v>Válvula tres comandos</v>
      </c>
      <c r="AN135" s="3" t="str">
        <f>IFERROR(__xludf.DUMMYFUNCTION("""COMPUTED_VALUE"""),"Joystick mecánico")</f>
        <v>Joystick mecánico</v>
      </c>
      <c r="AO135" s="3" t="str">
        <f>IFERROR(__xludf.DUMMYFUNCTION("""COMPUTED_VALUE"""),"Joystick electrónico")</f>
        <v>Joystick electrónico</v>
      </c>
      <c r="AP135" s="3" t="str">
        <f>IFERROR(__xludf.DUMMYFUNCTION("""COMPUTED_VALUE"""),"Adaptador para Joystick Case o New Holland")</f>
        <v>Adaptador para Joystick Case o New Holland</v>
      </c>
      <c r="AQ135" s="3" t="str">
        <f>IFERROR(__xludf.DUMMYFUNCTION("""COMPUTED_VALUE"""),"Acople común")</f>
        <v>Acople común</v>
      </c>
      <c r="AR135" s="3" t="str">
        <f>IFERROR(__xludf.DUMMYFUNCTION("""COMPUTED_VALUE"""),"Acople especial")</f>
        <v>Acople especial</v>
      </c>
      <c r="AS135" s="3" t="str">
        <f>IFERROR(__xludf.DUMMYFUNCTION("""COMPUTED_VALUE"""),"Acople doble tracción")</f>
        <v>Acople doble tracción</v>
      </c>
      <c r="AT135" s="3" t="str">
        <f>IFERROR(__xludf.DUMMYFUNCTION("""COMPUTED_VALUE"""),"Juego cajas negras")</f>
        <v>Juego cajas negras</v>
      </c>
      <c r="AU135" s="3" t="str">
        <f>IFERROR(__xludf.DUMMYFUNCTION("""COMPUTED_VALUE"""),"Acople hasta la manga")</f>
        <v>Acople hasta la manga</v>
      </c>
      <c r="AV135" s="3" t="str">
        <f>IFERROR(__xludf.DUMMYFUNCTION("""COMPUTED_VALUE"""),"Juego de cuchillas 1,60")</f>
        <v>Juego de cuchillas 1,60</v>
      </c>
      <c r="AW135" s="3" t="str">
        <f>IFERROR(__xludf.DUMMYFUNCTION("""COMPUTED_VALUE"""),"Juego de cuchillas 1,80")</f>
        <v>Juego de cuchillas 1,80</v>
      </c>
      <c r="AX135" s="3" t="str">
        <f>IFERROR(__xludf.DUMMYFUNCTION("""COMPUTED_VALUE"""),"Juego de cuchillas 2,10")</f>
        <v>Juego de cuchillas 2,10</v>
      </c>
      <c r="AY135" s="3" t="str">
        <f>IFERROR(__xludf.DUMMYFUNCTION("""COMPUTED_VALUE"""),"Cuchara chica pala M1000")</f>
        <v>Cuchara chica pala M1000</v>
      </c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</row>
    <row r="136" hidden="1">
      <c r="A136" s="38">
        <f t="shared" si="1"/>
        <v>135</v>
      </c>
      <c r="B136" s="38">
        <f>IF(F136="","",SUMIF(Prearmados!E:E,F136,Prearmados!A:A))</f>
        <v>26</v>
      </c>
      <c r="C136" s="38">
        <f>IF(F136="","",SUMIF(Productos!E:E,G136,Productos!A:A))</f>
        <v>7</v>
      </c>
      <c r="D136" s="83" t="str">
        <f t="array" ref="D136">IF(OR(F136="",F136="Seleccionar.."),"",XLOOKUP(F136,Prearmados!E:E,Prearmados!F:F,"",0,1))</f>
        <v>Elevadores Frontales</v>
      </c>
      <c r="E136" s="83">
        <f>IF(H136="","",SUMIF(Precio_Productos!K:K,C136,Precio_Productos!J:J)*H136)</f>
        <v>726317</v>
      </c>
      <c r="F136" s="84" t="s">
        <v>350</v>
      </c>
      <c r="G136" s="84" t="s">
        <v>168</v>
      </c>
      <c r="H136" s="13">
        <v>1.0</v>
      </c>
      <c r="P136" s="3" t="str">
        <f>IFERROR(__xludf.DUMMYFUNCTION("IF(OR(F136="""",F136=""Seleccionar..""),"""",TRANSPOSE(FILTER(Productos!E:E,(Productos!F:F=D136)+(Productos!F:F=XLOOKUP(D136,Implementos!B:B,Implementos!C:C,""-"",0,1)))))"),"Chasis Elevador Frontal M1000")</f>
        <v>Chasis Elevador Frontal M1000</v>
      </c>
      <c r="Q136" s="3" t="str">
        <f>IFERROR(__xludf.DUMMYFUNCTION("""COMPUTED_VALUE"""),"Chasis Elevador Frontal M1000.5")</f>
        <v>Chasis Elevador Frontal M1000.5</v>
      </c>
      <c r="R136" s="3" t="str">
        <f>IFERROR(__xludf.DUMMYFUNCTION("""COMPUTED_VALUE"""),"Chasis Elevador Frontal M1001")</f>
        <v>Chasis Elevador Frontal M1001</v>
      </c>
      <c r="S136" s="3" t="str">
        <f>IFERROR(__xludf.DUMMYFUNCTION("""COMPUTED_VALUE"""),"Chasis Elevador Frontal C/Paralelogramo M1002")</f>
        <v>Chasis Elevador Frontal C/Paralelogramo M1002</v>
      </c>
      <c r="T136" s="3" t="str">
        <f>IFERROR(__xludf.DUMMYFUNCTION("""COMPUTED_VALUE"""),"Chasis Elevador Frontal con Cilindro 3"" M1003")</f>
        <v>Chasis Elevador Frontal con Cilindro 3" M1003</v>
      </c>
      <c r="U136" s="3" t="str">
        <f>IFERROR(__xludf.DUMMYFUNCTION("""COMPUTED_VALUE"""),"Chasis Elevador Frontal C/Paralelogramo y Cilindro 3"" M1004")</f>
        <v>Chasis Elevador Frontal C/Paralelogramo y Cilindro 3" M1004</v>
      </c>
      <c r="V136" s="3" t="str">
        <f>IFERROR(__xludf.DUMMYFUNCTION("""COMPUTED_VALUE"""),"Cuchara común")</f>
        <v>Cuchara común</v>
      </c>
      <c r="W136" s="3" t="str">
        <f>IFERROR(__xludf.DUMMYFUNCTION("""COMPUTED_VALUE"""),"Cuchara silera")</f>
        <v>Cuchara silera</v>
      </c>
      <c r="X136" s="3" t="str">
        <f>IFERROR(__xludf.DUMMYFUNCTION("""COMPUTED_VALUE"""),"Cuchara silera 1,80")</f>
        <v>Cuchara silera 1,80</v>
      </c>
      <c r="Y136" s="3" t="str">
        <f>IFERROR(__xludf.DUMMYFUNCTION("""COMPUTED_VALUE"""),"Cuchara grande 1,80")</f>
        <v>Cuchara grande 1,80</v>
      </c>
      <c r="Z136" s="3" t="str">
        <f>IFERROR(__xludf.DUMMYFUNCTION("""COMPUTED_VALUE"""),"Cuchara grande 2,10")</f>
        <v>Cuchara grande 2,10</v>
      </c>
      <c r="AA136" s="3" t="str">
        <f>IFERROR(__xludf.DUMMYFUNCTION("""COMPUTED_VALUE"""),"Cuchara silera 1,60 mts. ( 1/2 m3) diferencia")</f>
        <v>Cuchara silera 1,60 mts. ( 1/2 m3) diferencia</v>
      </c>
      <c r="AB136" s="3" t="str">
        <f>IFERROR(__xludf.DUMMYFUNCTION("""COMPUTED_VALUE"""),"Cuchara 1,80 mts.( 0,60 m3) diferencia")</f>
        <v>Cuchara 1,80 mts.( 0,60 m3) diferencia</v>
      </c>
      <c r="AC136" s="3" t="str">
        <f>IFERROR(__xludf.DUMMYFUNCTION("""COMPUTED_VALUE"""),"Cuchara 1,80 mts. ( 3/4 m3) diferencia")</f>
        <v>Cuchara 1,80 mts. ( 3/4 m3) diferencia</v>
      </c>
      <c r="AD136" s="3" t="str">
        <f>IFERROR(__xludf.DUMMYFUNCTION("""COMPUTED_VALUE"""),"Cuchara 2,10 mts ( 1m3) diferencia")</f>
        <v>Cuchara 2,10 mts ( 1m3) diferencia</v>
      </c>
      <c r="AE136" s="3" t="str">
        <f>IFERROR(__xludf.DUMMYFUNCTION("""COMPUTED_VALUE"""),"Levanta rollo o palletera")</f>
        <v>Levanta rollo o palletera</v>
      </c>
      <c r="AF136" s="3" t="str">
        <f>IFERROR(__xludf.DUMMYFUNCTION("""COMPUTED_VALUE"""),"Levanta bolsones")</f>
        <v>Levanta bolsones</v>
      </c>
      <c r="AG136" s="3" t="str">
        <f>IFERROR(__xludf.DUMMYFUNCTION("""COMPUTED_VALUE"""),"Canasto con tapa")</f>
        <v>Canasto con tapa</v>
      </c>
      <c r="AH136" s="3" t="str">
        <f>IFERROR(__xludf.DUMMYFUNCTION("""COMPUTED_VALUE"""),"Púas sileras")</f>
        <v>Púas sileras</v>
      </c>
      <c r="AI136" s="3" t="str">
        <f>IFERROR(__xludf.DUMMYFUNCTION("""COMPUTED_VALUE"""),"Tapa de cuchara")</f>
        <v>Tapa de cuchara</v>
      </c>
      <c r="AJ136" s="3" t="str">
        <f>IFERROR(__xludf.DUMMYFUNCTION("""COMPUTED_VALUE"""),"Accesorio para mega fardos")</f>
        <v>Accesorio para mega fardos</v>
      </c>
      <c r="AK136" s="3" t="str">
        <f>IFERROR(__xludf.DUMMYFUNCTION("""COMPUTED_VALUE"""),"Refuerzo palas M1001 / M1002 y Cilindro 3""")</f>
        <v>Refuerzo palas M1001 / M1002 y Cilindro 3"</v>
      </c>
      <c r="AL136" s="3" t="str">
        <f>IFERROR(__xludf.DUMMYFUNCTION("""COMPUTED_VALUE"""),"Válvula dos comandos")</f>
        <v>Válvula dos comandos</v>
      </c>
      <c r="AM136" s="3" t="str">
        <f>IFERROR(__xludf.DUMMYFUNCTION("""COMPUTED_VALUE"""),"Válvula tres comandos")</f>
        <v>Válvula tres comandos</v>
      </c>
      <c r="AN136" s="3" t="str">
        <f>IFERROR(__xludf.DUMMYFUNCTION("""COMPUTED_VALUE"""),"Joystick mecánico")</f>
        <v>Joystick mecánico</v>
      </c>
      <c r="AO136" s="3" t="str">
        <f>IFERROR(__xludf.DUMMYFUNCTION("""COMPUTED_VALUE"""),"Joystick electrónico")</f>
        <v>Joystick electrónico</v>
      </c>
      <c r="AP136" s="3" t="str">
        <f>IFERROR(__xludf.DUMMYFUNCTION("""COMPUTED_VALUE"""),"Adaptador para Joystick Case o New Holland")</f>
        <v>Adaptador para Joystick Case o New Holland</v>
      </c>
      <c r="AQ136" s="3" t="str">
        <f>IFERROR(__xludf.DUMMYFUNCTION("""COMPUTED_VALUE"""),"Acople común")</f>
        <v>Acople común</v>
      </c>
      <c r="AR136" s="3" t="str">
        <f>IFERROR(__xludf.DUMMYFUNCTION("""COMPUTED_VALUE"""),"Acople especial")</f>
        <v>Acople especial</v>
      </c>
      <c r="AS136" s="3" t="str">
        <f>IFERROR(__xludf.DUMMYFUNCTION("""COMPUTED_VALUE"""),"Acople doble tracción")</f>
        <v>Acople doble tracción</v>
      </c>
      <c r="AT136" s="3" t="str">
        <f>IFERROR(__xludf.DUMMYFUNCTION("""COMPUTED_VALUE"""),"Juego cajas negras")</f>
        <v>Juego cajas negras</v>
      </c>
      <c r="AU136" s="3" t="str">
        <f>IFERROR(__xludf.DUMMYFUNCTION("""COMPUTED_VALUE"""),"Acople hasta la manga")</f>
        <v>Acople hasta la manga</v>
      </c>
      <c r="AV136" s="3" t="str">
        <f>IFERROR(__xludf.DUMMYFUNCTION("""COMPUTED_VALUE"""),"Juego de cuchillas 1,60")</f>
        <v>Juego de cuchillas 1,60</v>
      </c>
      <c r="AW136" s="3" t="str">
        <f>IFERROR(__xludf.DUMMYFUNCTION("""COMPUTED_VALUE"""),"Juego de cuchillas 1,80")</f>
        <v>Juego de cuchillas 1,80</v>
      </c>
      <c r="AX136" s="3" t="str">
        <f>IFERROR(__xludf.DUMMYFUNCTION("""COMPUTED_VALUE"""),"Juego de cuchillas 2,10")</f>
        <v>Juego de cuchillas 2,10</v>
      </c>
      <c r="AY136" s="3" t="str">
        <f>IFERROR(__xludf.DUMMYFUNCTION("""COMPUTED_VALUE"""),"Cuchara chica pala M1000")</f>
        <v>Cuchara chica pala M1000</v>
      </c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</row>
    <row r="137" hidden="1">
      <c r="A137" s="38">
        <f t="shared" si="1"/>
        <v>136</v>
      </c>
      <c r="B137" s="38">
        <f>IF(F137="","",SUMIF(Prearmados!E:E,F137,Prearmados!A:A))</f>
        <v>28</v>
      </c>
      <c r="C137" s="38">
        <f>IF(F137="","",SUMIF(Productos!E:E,G137,Productos!A:A))</f>
        <v>4</v>
      </c>
      <c r="D137" s="83" t="str">
        <f t="array" ref="D137">IF(OR(F137="",F137="Seleccionar.."),"",XLOOKUP(F137,Prearmados!E:E,Prearmados!F:F,"",0,1))</f>
        <v>Elevadores Frontales</v>
      </c>
      <c r="E137" s="83">
        <f>IF(H137="","",SUMIF(Precio_Productos!K:K,C137,Precio_Productos!J:J)*H137)</f>
        <v>4995120</v>
      </c>
      <c r="F137" s="84" t="s">
        <v>352</v>
      </c>
      <c r="G137" s="84" t="s">
        <v>170</v>
      </c>
      <c r="H137" s="13">
        <v>1.0</v>
      </c>
      <c r="P137" s="3" t="str">
        <f>IFERROR(__xludf.DUMMYFUNCTION("IF(OR(F137="""",F137=""Seleccionar..""),"""",TRANSPOSE(FILTER(Productos!E:E,(Productos!F:F=D137)+(Productos!F:F=XLOOKUP(D137,Implementos!B:B,Implementos!C:C,""-"",0,1)))))"),"Chasis Elevador Frontal M1000")</f>
        <v>Chasis Elevador Frontal M1000</v>
      </c>
      <c r="Q137" s="3" t="str">
        <f>IFERROR(__xludf.DUMMYFUNCTION("""COMPUTED_VALUE"""),"Chasis Elevador Frontal M1000.5")</f>
        <v>Chasis Elevador Frontal M1000.5</v>
      </c>
      <c r="R137" s="3" t="str">
        <f>IFERROR(__xludf.DUMMYFUNCTION("""COMPUTED_VALUE"""),"Chasis Elevador Frontal M1001")</f>
        <v>Chasis Elevador Frontal M1001</v>
      </c>
      <c r="S137" s="3" t="str">
        <f>IFERROR(__xludf.DUMMYFUNCTION("""COMPUTED_VALUE"""),"Chasis Elevador Frontal C/Paralelogramo M1002")</f>
        <v>Chasis Elevador Frontal C/Paralelogramo M1002</v>
      </c>
      <c r="T137" s="3" t="str">
        <f>IFERROR(__xludf.DUMMYFUNCTION("""COMPUTED_VALUE"""),"Chasis Elevador Frontal con Cilindro 3"" M1003")</f>
        <v>Chasis Elevador Frontal con Cilindro 3" M1003</v>
      </c>
      <c r="U137" s="3" t="str">
        <f>IFERROR(__xludf.DUMMYFUNCTION("""COMPUTED_VALUE"""),"Chasis Elevador Frontal C/Paralelogramo y Cilindro 3"" M1004")</f>
        <v>Chasis Elevador Frontal C/Paralelogramo y Cilindro 3" M1004</v>
      </c>
      <c r="V137" s="3" t="str">
        <f>IFERROR(__xludf.DUMMYFUNCTION("""COMPUTED_VALUE"""),"Cuchara común")</f>
        <v>Cuchara común</v>
      </c>
      <c r="W137" s="3" t="str">
        <f>IFERROR(__xludf.DUMMYFUNCTION("""COMPUTED_VALUE"""),"Cuchara silera")</f>
        <v>Cuchara silera</v>
      </c>
      <c r="X137" s="3" t="str">
        <f>IFERROR(__xludf.DUMMYFUNCTION("""COMPUTED_VALUE"""),"Cuchara silera 1,80")</f>
        <v>Cuchara silera 1,80</v>
      </c>
      <c r="Y137" s="3" t="str">
        <f>IFERROR(__xludf.DUMMYFUNCTION("""COMPUTED_VALUE"""),"Cuchara grande 1,80")</f>
        <v>Cuchara grande 1,80</v>
      </c>
      <c r="Z137" s="3" t="str">
        <f>IFERROR(__xludf.DUMMYFUNCTION("""COMPUTED_VALUE"""),"Cuchara grande 2,10")</f>
        <v>Cuchara grande 2,10</v>
      </c>
      <c r="AA137" s="3" t="str">
        <f>IFERROR(__xludf.DUMMYFUNCTION("""COMPUTED_VALUE"""),"Cuchara silera 1,60 mts. ( 1/2 m3) diferencia")</f>
        <v>Cuchara silera 1,60 mts. ( 1/2 m3) diferencia</v>
      </c>
      <c r="AB137" s="3" t="str">
        <f>IFERROR(__xludf.DUMMYFUNCTION("""COMPUTED_VALUE"""),"Cuchara 1,80 mts.( 0,60 m3) diferencia")</f>
        <v>Cuchara 1,80 mts.( 0,60 m3) diferencia</v>
      </c>
      <c r="AC137" s="3" t="str">
        <f>IFERROR(__xludf.DUMMYFUNCTION("""COMPUTED_VALUE"""),"Cuchara 1,80 mts. ( 3/4 m3) diferencia")</f>
        <v>Cuchara 1,80 mts. ( 3/4 m3) diferencia</v>
      </c>
      <c r="AD137" s="3" t="str">
        <f>IFERROR(__xludf.DUMMYFUNCTION("""COMPUTED_VALUE"""),"Cuchara 2,10 mts ( 1m3) diferencia")</f>
        <v>Cuchara 2,10 mts ( 1m3) diferencia</v>
      </c>
      <c r="AE137" s="3" t="str">
        <f>IFERROR(__xludf.DUMMYFUNCTION("""COMPUTED_VALUE"""),"Levanta rollo o palletera")</f>
        <v>Levanta rollo o palletera</v>
      </c>
      <c r="AF137" s="3" t="str">
        <f>IFERROR(__xludf.DUMMYFUNCTION("""COMPUTED_VALUE"""),"Levanta bolsones")</f>
        <v>Levanta bolsones</v>
      </c>
      <c r="AG137" s="3" t="str">
        <f>IFERROR(__xludf.DUMMYFUNCTION("""COMPUTED_VALUE"""),"Canasto con tapa")</f>
        <v>Canasto con tapa</v>
      </c>
      <c r="AH137" s="3" t="str">
        <f>IFERROR(__xludf.DUMMYFUNCTION("""COMPUTED_VALUE"""),"Púas sileras")</f>
        <v>Púas sileras</v>
      </c>
      <c r="AI137" s="3" t="str">
        <f>IFERROR(__xludf.DUMMYFUNCTION("""COMPUTED_VALUE"""),"Tapa de cuchara")</f>
        <v>Tapa de cuchara</v>
      </c>
      <c r="AJ137" s="3" t="str">
        <f>IFERROR(__xludf.DUMMYFUNCTION("""COMPUTED_VALUE"""),"Accesorio para mega fardos")</f>
        <v>Accesorio para mega fardos</v>
      </c>
      <c r="AK137" s="3" t="str">
        <f>IFERROR(__xludf.DUMMYFUNCTION("""COMPUTED_VALUE"""),"Refuerzo palas M1001 / M1002 y Cilindro 3""")</f>
        <v>Refuerzo palas M1001 / M1002 y Cilindro 3"</v>
      </c>
      <c r="AL137" s="3" t="str">
        <f>IFERROR(__xludf.DUMMYFUNCTION("""COMPUTED_VALUE"""),"Válvula dos comandos")</f>
        <v>Válvula dos comandos</v>
      </c>
      <c r="AM137" s="3" t="str">
        <f>IFERROR(__xludf.DUMMYFUNCTION("""COMPUTED_VALUE"""),"Válvula tres comandos")</f>
        <v>Válvula tres comandos</v>
      </c>
      <c r="AN137" s="3" t="str">
        <f>IFERROR(__xludf.DUMMYFUNCTION("""COMPUTED_VALUE"""),"Joystick mecánico")</f>
        <v>Joystick mecánico</v>
      </c>
      <c r="AO137" s="3" t="str">
        <f>IFERROR(__xludf.DUMMYFUNCTION("""COMPUTED_VALUE"""),"Joystick electrónico")</f>
        <v>Joystick electrónico</v>
      </c>
      <c r="AP137" s="3" t="str">
        <f>IFERROR(__xludf.DUMMYFUNCTION("""COMPUTED_VALUE"""),"Adaptador para Joystick Case o New Holland")</f>
        <v>Adaptador para Joystick Case o New Holland</v>
      </c>
      <c r="AQ137" s="3" t="str">
        <f>IFERROR(__xludf.DUMMYFUNCTION("""COMPUTED_VALUE"""),"Acople común")</f>
        <v>Acople común</v>
      </c>
      <c r="AR137" s="3" t="str">
        <f>IFERROR(__xludf.DUMMYFUNCTION("""COMPUTED_VALUE"""),"Acople especial")</f>
        <v>Acople especial</v>
      </c>
      <c r="AS137" s="3" t="str">
        <f>IFERROR(__xludf.DUMMYFUNCTION("""COMPUTED_VALUE"""),"Acople doble tracción")</f>
        <v>Acople doble tracción</v>
      </c>
      <c r="AT137" s="3" t="str">
        <f>IFERROR(__xludf.DUMMYFUNCTION("""COMPUTED_VALUE"""),"Juego cajas negras")</f>
        <v>Juego cajas negras</v>
      </c>
      <c r="AU137" s="3" t="str">
        <f>IFERROR(__xludf.DUMMYFUNCTION("""COMPUTED_VALUE"""),"Acople hasta la manga")</f>
        <v>Acople hasta la manga</v>
      </c>
      <c r="AV137" s="3" t="str">
        <f>IFERROR(__xludf.DUMMYFUNCTION("""COMPUTED_VALUE"""),"Juego de cuchillas 1,60")</f>
        <v>Juego de cuchillas 1,60</v>
      </c>
      <c r="AW137" s="3" t="str">
        <f>IFERROR(__xludf.DUMMYFUNCTION("""COMPUTED_VALUE"""),"Juego de cuchillas 1,80")</f>
        <v>Juego de cuchillas 1,80</v>
      </c>
      <c r="AX137" s="3" t="str">
        <f>IFERROR(__xludf.DUMMYFUNCTION("""COMPUTED_VALUE"""),"Juego de cuchillas 2,10")</f>
        <v>Juego de cuchillas 2,10</v>
      </c>
      <c r="AY137" s="3" t="str">
        <f>IFERROR(__xludf.DUMMYFUNCTION("""COMPUTED_VALUE"""),"Cuchara chica pala M1000")</f>
        <v>Cuchara chica pala M1000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</row>
    <row r="138" hidden="1">
      <c r="A138" s="38">
        <f t="shared" si="1"/>
        <v>137</v>
      </c>
      <c r="B138" s="38">
        <f>IF(F138="","",SUMIF(Prearmados!E:E,F138,Prearmados!A:A))</f>
        <v>28</v>
      </c>
      <c r="C138" s="38">
        <f>IF(F138="","",SUMIF(Productos!E:E,G138,Productos!A:A))</f>
        <v>7</v>
      </c>
      <c r="D138" s="83" t="str">
        <f t="array" ref="D138">IF(OR(F138="",F138="Seleccionar.."),"",XLOOKUP(F138,Prearmados!E:E,Prearmados!F:F,"",0,1))</f>
        <v>Elevadores Frontales</v>
      </c>
      <c r="E138" s="83">
        <f>IF(H138="","",SUMIF(Precio_Productos!K:K,C138,Precio_Productos!J:J)*H138)</f>
        <v>726317</v>
      </c>
      <c r="F138" s="84" t="s">
        <v>352</v>
      </c>
      <c r="G138" s="84" t="s">
        <v>168</v>
      </c>
      <c r="H138" s="13">
        <v>1.0</v>
      </c>
      <c r="P138" s="3" t="str">
        <f>IFERROR(__xludf.DUMMYFUNCTION("IF(OR(F138="""",F138=""Seleccionar..""),"""",TRANSPOSE(FILTER(Productos!E:E,(Productos!F:F=D138)+(Productos!F:F=XLOOKUP(D138,Implementos!B:B,Implementos!C:C,""-"",0,1)))))"),"Chasis Elevador Frontal M1000")</f>
        <v>Chasis Elevador Frontal M1000</v>
      </c>
      <c r="Q138" s="3" t="str">
        <f>IFERROR(__xludf.DUMMYFUNCTION("""COMPUTED_VALUE"""),"Chasis Elevador Frontal M1000.5")</f>
        <v>Chasis Elevador Frontal M1000.5</v>
      </c>
      <c r="R138" s="3" t="str">
        <f>IFERROR(__xludf.DUMMYFUNCTION("""COMPUTED_VALUE"""),"Chasis Elevador Frontal M1001")</f>
        <v>Chasis Elevador Frontal M1001</v>
      </c>
      <c r="S138" s="3" t="str">
        <f>IFERROR(__xludf.DUMMYFUNCTION("""COMPUTED_VALUE"""),"Chasis Elevador Frontal C/Paralelogramo M1002")</f>
        <v>Chasis Elevador Frontal C/Paralelogramo M1002</v>
      </c>
      <c r="T138" s="3" t="str">
        <f>IFERROR(__xludf.DUMMYFUNCTION("""COMPUTED_VALUE"""),"Chasis Elevador Frontal con Cilindro 3"" M1003")</f>
        <v>Chasis Elevador Frontal con Cilindro 3" M1003</v>
      </c>
      <c r="U138" s="3" t="str">
        <f>IFERROR(__xludf.DUMMYFUNCTION("""COMPUTED_VALUE"""),"Chasis Elevador Frontal C/Paralelogramo y Cilindro 3"" M1004")</f>
        <v>Chasis Elevador Frontal C/Paralelogramo y Cilindro 3" M1004</v>
      </c>
      <c r="V138" s="3" t="str">
        <f>IFERROR(__xludf.DUMMYFUNCTION("""COMPUTED_VALUE"""),"Cuchara común")</f>
        <v>Cuchara común</v>
      </c>
      <c r="W138" s="3" t="str">
        <f>IFERROR(__xludf.DUMMYFUNCTION("""COMPUTED_VALUE"""),"Cuchara silera")</f>
        <v>Cuchara silera</v>
      </c>
      <c r="X138" s="3" t="str">
        <f>IFERROR(__xludf.DUMMYFUNCTION("""COMPUTED_VALUE"""),"Cuchara silera 1,80")</f>
        <v>Cuchara silera 1,80</v>
      </c>
      <c r="Y138" s="3" t="str">
        <f>IFERROR(__xludf.DUMMYFUNCTION("""COMPUTED_VALUE"""),"Cuchara grande 1,80")</f>
        <v>Cuchara grande 1,80</v>
      </c>
      <c r="Z138" s="3" t="str">
        <f>IFERROR(__xludf.DUMMYFUNCTION("""COMPUTED_VALUE"""),"Cuchara grande 2,10")</f>
        <v>Cuchara grande 2,10</v>
      </c>
      <c r="AA138" s="3" t="str">
        <f>IFERROR(__xludf.DUMMYFUNCTION("""COMPUTED_VALUE"""),"Cuchara silera 1,60 mts. ( 1/2 m3) diferencia")</f>
        <v>Cuchara silera 1,60 mts. ( 1/2 m3) diferencia</v>
      </c>
      <c r="AB138" s="3" t="str">
        <f>IFERROR(__xludf.DUMMYFUNCTION("""COMPUTED_VALUE"""),"Cuchara 1,80 mts.( 0,60 m3) diferencia")</f>
        <v>Cuchara 1,80 mts.( 0,60 m3) diferencia</v>
      </c>
      <c r="AC138" s="3" t="str">
        <f>IFERROR(__xludf.DUMMYFUNCTION("""COMPUTED_VALUE"""),"Cuchara 1,80 mts. ( 3/4 m3) diferencia")</f>
        <v>Cuchara 1,80 mts. ( 3/4 m3) diferencia</v>
      </c>
      <c r="AD138" s="3" t="str">
        <f>IFERROR(__xludf.DUMMYFUNCTION("""COMPUTED_VALUE"""),"Cuchara 2,10 mts ( 1m3) diferencia")</f>
        <v>Cuchara 2,10 mts ( 1m3) diferencia</v>
      </c>
      <c r="AE138" s="3" t="str">
        <f>IFERROR(__xludf.DUMMYFUNCTION("""COMPUTED_VALUE"""),"Levanta rollo o palletera")</f>
        <v>Levanta rollo o palletera</v>
      </c>
      <c r="AF138" s="3" t="str">
        <f>IFERROR(__xludf.DUMMYFUNCTION("""COMPUTED_VALUE"""),"Levanta bolsones")</f>
        <v>Levanta bolsones</v>
      </c>
      <c r="AG138" s="3" t="str">
        <f>IFERROR(__xludf.DUMMYFUNCTION("""COMPUTED_VALUE"""),"Canasto con tapa")</f>
        <v>Canasto con tapa</v>
      </c>
      <c r="AH138" s="3" t="str">
        <f>IFERROR(__xludf.DUMMYFUNCTION("""COMPUTED_VALUE"""),"Púas sileras")</f>
        <v>Púas sileras</v>
      </c>
      <c r="AI138" s="3" t="str">
        <f>IFERROR(__xludf.DUMMYFUNCTION("""COMPUTED_VALUE"""),"Tapa de cuchara")</f>
        <v>Tapa de cuchara</v>
      </c>
      <c r="AJ138" s="3" t="str">
        <f>IFERROR(__xludf.DUMMYFUNCTION("""COMPUTED_VALUE"""),"Accesorio para mega fardos")</f>
        <v>Accesorio para mega fardos</v>
      </c>
      <c r="AK138" s="3" t="str">
        <f>IFERROR(__xludf.DUMMYFUNCTION("""COMPUTED_VALUE"""),"Refuerzo palas M1001 / M1002 y Cilindro 3""")</f>
        <v>Refuerzo palas M1001 / M1002 y Cilindro 3"</v>
      </c>
      <c r="AL138" s="3" t="str">
        <f>IFERROR(__xludf.DUMMYFUNCTION("""COMPUTED_VALUE"""),"Válvula dos comandos")</f>
        <v>Válvula dos comandos</v>
      </c>
      <c r="AM138" s="3" t="str">
        <f>IFERROR(__xludf.DUMMYFUNCTION("""COMPUTED_VALUE"""),"Válvula tres comandos")</f>
        <v>Válvula tres comandos</v>
      </c>
      <c r="AN138" s="3" t="str">
        <f>IFERROR(__xludf.DUMMYFUNCTION("""COMPUTED_VALUE"""),"Joystick mecánico")</f>
        <v>Joystick mecánico</v>
      </c>
      <c r="AO138" s="3" t="str">
        <f>IFERROR(__xludf.DUMMYFUNCTION("""COMPUTED_VALUE"""),"Joystick electrónico")</f>
        <v>Joystick electrónico</v>
      </c>
      <c r="AP138" s="3" t="str">
        <f>IFERROR(__xludf.DUMMYFUNCTION("""COMPUTED_VALUE"""),"Adaptador para Joystick Case o New Holland")</f>
        <v>Adaptador para Joystick Case o New Holland</v>
      </c>
      <c r="AQ138" s="3" t="str">
        <f>IFERROR(__xludf.DUMMYFUNCTION("""COMPUTED_VALUE"""),"Acople común")</f>
        <v>Acople común</v>
      </c>
      <c r="AR138" s="3" t="str">
        <f>IFERROR(__xludf.DUMMYFUNCTION("""COMPUTED_VALUE"""),"Acople especial")</f>
        <v>Acople especial</v>
      </c>
      <c r="AS138" s="3" t="str">
        <f>IFERROR(__xludf.DUMMYFUNCTION("""COMPUTED_VALUE"""),"Acople doble tracción")</f>
        <v>Acople doble tracción</v>
      </c>
      <c r="AT138" s="3" t="str">
        <f>IFERROR(__xludf.DUMMYFUNCTION("""COMPUTED_VALUE"""),"Juego cajas negras")</f>
        <v>Juego cajas negras</v>
      </c>
      <c r="AU138" s="3" t="str">
        <f>IFERROR(__xludf.DUMMYFUNCTION("""COMPUTED_VALUE"""),"Acople hasta la manga")</f>
        <v>Acople hasta la manga</v>
      </c>
      <c r="AV138" s="3" t="str">
        <f>IFERROR(__xludf.DUMMYFUNCTION("""COMPUTED_VALUE"""),"Juego de cuchillas 1,60")</f>
        <v>Juego de cuchillas 1,60</v>
      </c>
      <c r="AW138" s="3" t="str">
        <f>IFERROR(__xludf.DUMMYFUNCTION("""COMPUTED_VALUE"""),"Juego de cuchillas 1,80")</f>
        <v>Juego de cuchillas 1,80</v>
      </c>
      <c r="AX138" s="3" t="str">
        <f>IFERROR(__xludf.DUMMYFUNCTION("""COMPUTED_VALUE"""),"Juego de cuchillas 2,10")</f>
        <v>Juego de cuchillas 2,10</v>
      </c>
      <c r="AY138" s="3" t="str">
        <f>IFERROR(__xludf.DUMMYFUNCTION("""COMPUTED_VALUE"""),"Cuchara chica pala M1000")</f>
        <v>Cuchara chica pala M1000</v>
      </c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</row>
    <row r="139" hidden="1">
      <c r="A139" s="38">
        <f t="shared" si="1"/>
        <v>138</v>
      </c>
      <c r="B139" s="38">
        <f>IF(F139="","",SUMIF(Prearmados!E:E,F139,Prearmados!A:A))</f>
        <v>29</v>
      </c>
      <c r="C139" s="38">
        <f>IF(F139="","",SUMIF(Productos!E:E,G139,Productos!A:A))</f>
        <v>5</v>
      </c>
      <c r="D139" s="83" t="str">
        <f t="array" ref="D139">IF(OR(F139="",F139="Seleccionar.."),"",XLOOKUP(F139,Prearmados!E:E,Prearmados!F:F,"",0,1))</f>
        <v>Elevadores Frontales</v>
      </c>
      <c r="E139" s="83">
        <f>IF(H139="","",SUMIF(Precio_Productos!K:K,C139,Precio_Productos!J:J)*H139)</f>
        <v>5390337</v>
      </c>
      <c r="F139" s="84" t="s">
        <v>353</v>
      </c>
      <c r="G139" s="84" t="s">
        <v>171</v>
      </c>
      <c r="H139" s="13">
        <v>1.0</v>
      </c>
      <c r="P139" s="3" t="str">
        <f>IFERROR(__xludf.DUMMYFUNCTION("IF(OR(F139="""",F139=""Seleccionar..""),"""",TRANSPOSE(FILTER(Productos!E:E,(Productos!F:F=D139)+(Productos!F:F=XLOOKUP(D139,Implementos!B:B,Implementos!C:C,""-"",0,1)))))"),"Chasis Elevador Frontal M1000")</f>
        <v>Chasis Elevador Frontal M1000</v>
      </c>
      <c r="Q139" s="3" t="str">
        <f>IFERROR(__xludf.DUMMYFUNCTION("""COMPUTED_VALUE"""),"Chasis Elevador Frontal M1000.5")</f>
        <v>Chasis Elevador Frontal M1000.5</v>
      </c>
      <c r="R139" s="3" t="str">
        <f>IFERROR(__xludf.DUMMYFUNCTION("""COMPUTED_VALUE"""),"Chasis Elevador Frontal M1001")</f>
        <v>Chasis Elevador Frontal M1001</v>
      </c>
      <c r="S139" s="3" t="str">
        <f>IFERROR(__xludf.DUMMYFUNCTION("""COMPUTED_VALUE"""),"Chasis Elevador Frontal C/Paralelogramo M1002")</f>
        <v>Chasis Elevador Frontal C/Paralelogramo M1002</v>
      </c>
      <c r="T139" s="3" t="str">
        <f>IFERROR(__xludf.DUMMYFUNCTION("""COMPUTED_VALUE"""),"Chasis Elevador Frontal con Cilindro 3"" M1003")</f>
        <v>Chasis Elevador Frontal con Cilindro 3" M1003</v>
      </c>
      <c r="U139" s="3" t="str">
        <f>IFERROR(__xludf.DUMMYFUNCTION("""COMPUTED_VALUE"""),"Chasis Elevador Frontal C/Paralelogramo y Cilindro 3"" M1004")</f>
        <v>Chasis Elevador Frontal C/Paralelogramo y Cilindro 3" M1004</v>
      </c>
      <c r="V139" s="3" t="str">
        <f>IFERROR(__xludf.DUMMYFUNCTION("""COMPUTED_VALUE"""),"Cuchara común")</f>
        <v>Cuchara común</v>
      </c>
      <c r="W139" s="3" t="str">
        <f>IFERROR(__xludf.DUMMYFUNCTION("""COMPUTED_VALUE"""),"Cuchara silera")</f>
        <v>Cuchara silera</v>
      </c>
      <c r="X139" s="3" t="str">
        <f>IFERROR(__xludf.DUMMYFUNCTION("""COMPUTED_VALUE"""),"Cuchara silera 1,80")</f>
        <v>Cuchara silera 1,80</v>
      </c>
      <c r="Y139" s="3" t="str">
        <f>IFERROR(__xludf.DUMMYFUNCTION("""COMPUTED_VALUE"""),"Cuchara grande 1,80")</f>
        <v>Cuchara grande 1,80</v>
      </c>
      <c r="Z139" s="3" t="str">
        <f>IFERROR(__xludf.DUMMYFUNCTION("""COMPUTED_VALUE"""),"Cuchara grande 2,10")</f>
        <v>Cuchara grande 2,10</v>
      </c>
      <c r="AA139" s="3" t="str">
        <f>IFERROR(__xludf.DUMMYFUNCTION("""COMPUTED_VALUE"""),"Cuchara silera 1,60 mts. ( 1/2 m3) diferencia")</f>
        <v>Cuchara silera 1,60 mts. ( 1/2 m3) diferencia</v>
      </c>
      <c r="AB139" s="3" t="str">
        <f>IFERROR(__xludf.DUMMYFUNCTION("""COMPUTED_VALUE"""),"Cuchara 1,80 mts.( 0,60 m3) diferencia")</f>
        <v>Cuchara 1,80 mts.( 0,60 m3) diferencia</v>
      </c>
      <c r="AC139" s="3" t="str">
        <f>IFERROR(__xludf.DUMMYFUNCTION("""COMPUTED_VALUE"""),"Cuchara 1,80 mts. ( 3/4 m3) diferencia")</f>
        <v>Cuchara 1,80 mts. ( 3/4 m3) diferencia</v>
      </c>
      <c r="AD139" s="3" t="str">
        <f>IFERROR(__xludf.DUMMYFUNCTION("""COMPUTED_VALUE"""),"Cuchara 2,10 mts ( 1m3) diferencia")</f>
        <v>Cuchara 2,10 mts ( 1m3) diferencia</v>
      </c>
      <c r="AE139" s="3" t="str">
        <f>IFERROR(__xludf.DUMMYFUNCTION("""COMPUTED_VALUE"""),"Levanta rollo o palletera")</f>
        <v>Levanta rollo o palletera</v>
      </c>
      <c r="AF139" s="3" t="str">
        <f>IFERROR(__xludf.DUMMYFUNCTION("""COMPUTED_VALUE"""),"Levanta bolsones")</f>
        <v>Levanta bolsones</v>
      </c>
      <c r="AG139" s="3" t="str">
        <f>IFERROR(__xludf.DUMMYFUNCTION("""COMPUTED_VALUE"""),"Canasto con tapa")</f>
        <v>Canasto con tapa</v>
      </c>
      <c r="AH139" s="3" t="str">
        <f>IFERROR(__xludf.DUMMYFUNCTION("""COMPUTED_VALUE"""),"Púas sileras")</f>
        <v>Púas sileras</v>
      </c>
      <c r="AI139" s="3" t="str">
        <f>IFERROR(__xludf.DUMMYFUNCTION("""COMPUTED_VALUE"""),"Tapa de cuchara")</f>
        <v>Tapa de cuchara</v>
      </c>
      <c r="AJ139" s="3" t="str">
        <f>IFERROR(__xludf.DUMMYFUNCTION("""COMPUTED_VALUE"""),"Accesorio para mega fardos")</f>
        <v>Accesorio para mega fardos</v>
      </c>
      <c r="AK139" s="3" t="str">
        <f>IFERROR(__xludf.DUMMYFUNCTION("""COMPUTED_VALUE"""),"Refuerzo palas M1001 / M1002 y Cilindro 3""")</f>
        <v>Refuerzo palas M1001 / M1002 y Cilindro 3"</v>
      </c>
      <c r="AL139" s="3" t="str">
        <f>IFERROR(__xludf.DUMMYFUNCTION("""COMPUTED_VALUE"""),"Válvula dos comandos")</f>
        <v>Válvula dos comandos</v>
      </c>
      <c r="AM139" s="3" t="str">
        <f>IFERROR(__xludf.DUMMYFUNCTION("""COMPUTED_VALUE"""),"Válvula tres comandos")</f>
        <v>Válvula tres comandos</v>
      </c>
      <c r="AN139" s="3" t="str">
        <f>IFERROR(__xludf.DUMMYFUNCTION("""COMPUTED_VALUE"""),"Joystick mecánico")</f>
        <v>Joystick mecánico</v>
      </c>
      <c r="AO139" s="3" t="str">
        <f>IFERROR(__xludf.DUMMYFUNCTION("""COMPUTED_VALUE"""),"Joystick electrónico")</f>
        <v>Joystick electrónico</v>
      </c>
      <c r="AP139" s="3" t="str">
        <f>IFERROR(__xludf.DUMMYFUNCTION("""COMPUTED_VALUE"""),"Adaptador para Joystick Case o New Holland")</f>
        <v>Adaptador para Joystick Case o New Holland</v>
      </c>
      <c r="AQ139" s="3" t="str">
        <f>IFERROR(__xludf.DUMMYFUNCTION("""COMPUTED_VALUE"""),"Acople común")</f>
        <v>Acople común</v>
      </c>
      <c r="AR139" s="3" t="str">
        <f>IFERROR(__xludf.DUMMYFUNCTION("""COMPUTED_VALUE"""),"Acople especial")</f>
        <v>Acople especial</v>
      </c>
      <c r="AS139" s="3" t="str">
        <f>IFERROR(__xludf.DUMMYFUNCTION("""COMPUTED_VALUE"""),"Acople doble tracción")</f>
        <v>Acople doble tracción</v>
      </c>
      <c r="AT139" s="3" t="str">
        <f>IFERROR(__xludf.DUMMYFUNCTION("""COMPUTED_VALUE"""),"Juego cajas negras")</f>
        <v>Juego cajas negras</v>
      </c>
      <c r="AU139" s="3" t="str">
        <f>IFERROR(__xludf.DUMMYFUNCTION("""COMPUTED_VALUE"""),"Acople hasta la manga")</f>
        <v>Acople hasta la manga</v>
      </c>
      <c r="AV139" s="3" t="str">
        <f>IFERROR(__xludf.DUMMYFUNCTION("""COMPUTED_VALUE"""),"Juego de cuchillas 1,60")</f>
        <v>Juego de cuchillas 1,60</v>
      </c>
      <c r="AW139" s="3" t="str">
        <f>IFERROR(__xludf.DUMMYFUNCTION("""COMPUTED_VALUE"""),"Juego de cuchillas 1,80")</f>
        <v>Juego de cuchillas 1,80</v>
      </c>
      <c r="AX139" s="3" t="str">
        <f>IFERROR(__xludf.DUMMYFUNCTION("""COMPUTED_VALUE"""),"Juego de cuchillas 2,10")</f>
        <v>Juego de cuchillas 2,10</v>
      </c>
      <c r="AY139" s="3" t="str">
        <f>IFERROR(__xludf.DUMMYFUNCTION("""COMPUTED_VALUE"""),"Cuchara chica pala M1000")</f>
        <v>Cuchara chica pala M1000</v>
      </c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</row>
    <row r="140" hidden="1">
      <c r="A140" s="38">
        <f t="shared" si="1"/>
        <v>139</v>
      </c>
      <c r="B140" s="38">
        <f>IF(F140="","",SUMIF(Prearmados!E:E,F140,Prearmados!A:A))</f>
        <v>29</v>
      </c>
      <c r="C140" s="38">
        <f>IF(F140="","",SUMIF(Productos!E:E,G140,Productos!A:A))</f>
        <v>7</v>
      </c>
      <c r="D140" s="83" t="str">
        <f t="array" ref="D140">IF(OR(F140="",F140="Seleccionar.."),"",XLOOKUP(F140,Prearmados!E:E,Prearmados!F:F,"",0,1))</f>
        <v>Elevadores Frontales</v>
      </c>
      <c r="E140" s="83">
        <f>IF(H140="","",SUMIF(Precio_Productos!K:K,C140,Precio_Productos!J:J)*H140)</f>
        <v>726317</v>
      </c>
      <c r="F140" s="84" t="s">
        <v>353</v>
      </c>
      <c r="G140" s="84" t="s">
        <v>168</v>
      </c>
      <c r="H140" s="13">
        <v>1.0</v>
      </c>
      <c r="P140" s="3" t="str">
        <f>IFERROR(__xludf.DUMMYFUNCTION("IF(OR(F140="""",F140=""Seleccionar..""),"""",TRANSPOSE(FILTER(Productos!E:E,(Productos!F:F=D140)+(Productos!F:F=XLOOKUP(D140,Implementos!B:B,Implementos!C:C,""-"",0,1)))))"),"Chasis Elevador Frontal M1000")</f>
        <v>Chasis Elevador Frontal M1000</v>
      </c>
      <c r="Q140" s="3" t="str">
        <f>IFERROR(__xludf.DUMMYFUNCTION("""COMPUTED_VALUE"""),"Chasis Elevador Frontal M1000.5")</f>
        <v>Chasis Elevador Frontal M1000.5</v>
      </c>
      <c r="R140" s="3" t="str">
        <f>IFERROR(__xludf.DUMMYFUNCTION("""COMPUTED_VALUE"""),"Chasis Elevador Frontal M1001")</f>
        <v>Chasis Elevador Frontal M1001</v>
      </c>
      <c r="S140" s="3" t="str">
        <f>IFERROR(__xludf.DUMMYFUNCTION("""COMPUTED_VALUE"""),"Chasis Elevador Frontal C/Paralelogramo M1002")</f>
        <v>Chasis Elevador Frontal C/Paralelogramo M1002</v>
      </c>
      <c r="T140" s="3" t="str">
        <f>IFERROR(__xludf.DUMMYFUNCTION("""COMPUTED_VALUE"""),"Chasis Elevador Frontal con Cilindro 3"" M1003")</f>
        <v>Chasis Elevador Frontal con Cilindro 3" M1003</v>
      </c>
      <c r="U140" s="3" t="str">
        <f>IFERROR(__xludf.DUMMYFUNCTION("""COMPUTED_VALUE"""),"Chasis Elevador Frontal C/Paralelogramo y Cilindro 3"" M1004")</f>
        <v>Chasis Elevador Frontal C/Paralelogramo y Cilindro 3" M1004</v>
      </c>
      <c r="V140" s="3" t="str">
        <f>IFERROR(__xludf.DUMMYFUNCTION("""COMPUTED_VALUE"""),"Cuchara común")</f>
        <v>Cuchara común</v>
      </c>
      <c r="W140" s="3" t="str">
        <f>IFERROR(__xludf.DUMMYFUNCTION("""COMPUTED_VALUE"""),"Cuchara silera")</f>
        <v>Cuchara silera</v>
      </c>
      <c r="X140" s="3" t="str">
        <f>IFERROR(__xludf.DUMMYFUNCTION("""COMPUTED_VALUE"""),"Cuchara silera 1,80")</f>
        <v>Cuchara silera 1,80</v>
      </c>
      <c r="Y140" s="3" t="str">
        <f>IFERROR(__xludf.DUMMYFUNCTION("""COMPUTED_VALUE"""),"Cuchara grande 1,80")</f>
        <v>Cuchara grande 1,80</v>
      </c>
      <c r="Z140" s="3" t="str">
        <f>IFERROR(__xludf.DUMMYFUNCTION("""COMPUTED_VALUE"""),"Cuchara grande 2,10")</f>
        <v>Cuchara grande 2,10</v>
      </c>
      <c r="AA140" s="3" t="str">
        <f>IFERROR(__xludf.DUMMYFUNCTION("""COMPUTED_VALUE"""),"Cuchara silera 1,60 mts. ( 1/2 m3) diferencia")</f>
        <v>Cuchara silera 1,60 mts. ( 1/2 m3) diferencia</v>
      </c>
      <c r="AB140" s="3" t="str">
        <f>IFERROR(__xludf.DUMMYFUNCTION("""COMPUTED_VALUE"""),"Cuchara 1,80 mts.( 0,60 m3) diferencia")</f>
        <v>Cuchara 1,80 mts.( 0,60 m3) diferencia</v>
      </c>
      <c r="AC140" s="3" t="str">
        <f>IFERROR(__xludf.DUMMYFUNCTION("""COMPUTED_VALUE"""),"Cuchara 1,80 mts. ( 3/4 m3) diferencia")</f>
        <v>Cuchara 1,80 mts. ( 3/4 m3) diferencia</v>
      </c>
      <c r="AD140" s="3" t="str">
        <f>IFERROR(__xludf.DUMMYFUNCTION("""COMPUTED_VALUE"""),"Cuchara 2,10 mts ( 1m3) diferencia")</f>
        <v>Cuchara 2,10 mts ( 1m3) diferencia</v>
      </c>
      <c r="AE140" s="3" t="str">
        <f>IFERROR(__xludf.DUMMYFUNCTION("""COMPUTED_VALUE"""),"Levanta rollo o palletera")</f>
        <v>Levanta rollo o palletera</v>
      </c>
      <c r="AF140" s="3" t="str">
        <f>IFERROR(__xludf.DUMMYFUNCTION("""COMPUTED_VALUE"""),"Levanta bolsones")</f>
        <v>Levanta bolsones</v>
      </c>
      <c r="AG140" s="3" t="str">
        <f>IFERROR(__xludf.DUMMYFUNCTION("""COMPUTED_VALUE"""),"Canasto con tapa")</f>
        <v>Canasto con tapa</v>
      </c>
      <c r="AH140" s="3" t="str">
        <f>IFERROR(__xludf.DUMMYFUNCTION("""COMPUTED_VALUE"""),"Púas sileras")</f>
        <v>Púas sileras</v>
      </c>
      <c r="AI140" s="3" t="str">
        <f>IFERROR(__xludf.DUMMYFUNCTION("""COMPUTED_VALUE"""),"Tapa de cuchara")</f>
        <v>Tapa de cuchara</v>
      </c>
      <c r="AJ140" s="3" t="str">
        <f>IFERROR(__xludf.DUMMYFUNCTION("""COMPUTED_VALUE"""),"Accesorio para mega fardos")</f>
        <v>Accesorio para mega fardos</v>
      </c>
      <c r="AK140" s="3" t="str">
        <f>IFERROR(__xludf.DUMMYFUNCTION("""COMPUTED_VALUE"""),"Refuerzo palas M1001 / M1002 y Cilindro 3""")</f>
        <v>Refuerzo palas M1001 / M1002 y Cilindro 3"</v>
      </c>
      <c r="AL140" s="3" t="str">
        <f>IFERROR(__xludf.DUMMYFUNCTION("""COMPUTED_VALUE"""),"Válvula dos comandos")</f>
        <v>Válvula dos comandos</v>
      </c>
      <c r="AM140" s="3" t="str">
        <f>IFERROR(__xludf.DUMMYFUNCTION("""COMPUTED_VALUE"""),"Válvula tres comandos")</f>
        <v>Válvula tres comandos</v>
      </c>
      <c r="AN140" s="3" t="str">
        <f>IFERROR(__xludf.DUMMYFUNCTION("""COMPUTED_VALUE"""),"Joystick mecánico")</f>
        <v>Joystick mecánico</v>
      </c>
      <c r="AO140" s="3" t="str">
        <f>IFERROR(__xludf.DUMMYFUNCTION("""COMPUTED_VALUE"""),"Joystick electrónico")</f>
        <v>Joystick electrónico</v>
      </c>
      <c r="AP140" s="3" t="str">
        <f>IFERROR(__xludf.DUMMYFUNCTION("""COMPUTED_VALUE"""),"Adaptador para Joystick Case o New Holland")</f>
        <v>Adaptador para Joystick Case o New Holland</v>
      </c>
      <c r="AQ140" s="3" t="str">
        <f>IFERROR(__xludf.DUMMYFUNCTION("""COMPUTED_VALUE"""),"Acople común")</f>
        <v>Acople común</v>
      </c>
      <c r="AR140" s="3" t="str">
        <f>IFERROR(__xludf.DUMMYFUNCTION("""COMPUTED_VALUE"""),"Acople especial")</f>
        <v>Acople especial</v>
      </c>
      <c r="AS140" s="3" t="str">
        <f>IFERROR(__xludf.DUMMYFUNCTION("""COMPUTED_VALUE"""),"Acople doble tracción")</f>
        <v>Acople doble tracción</v>
      </c>
      <c r="AT140" s="3" t="str">
        <f>IFERROR(__xludf.DUMMYFUNCTION("""COMPUTED_VALUE"""),"Juego cajas negras")</f>
        <v>Juego cajas negras</v>
      </c>
      <c r="AU140" s="3" t="str">
        <f>IFERROR(__xludf.DUMMYFUNCTION("""COMPUTED_VALUE"""),"Acople hasta la manga")</f>
        <v>Acople hasta la manga</v>
      </c>
      <c r="AV140" s="3" t="str">
        <f>IFERROR(__xludf.DUMMYFUNCTION("""COMPUTED_VALUE"""),"Juego de cuchillas 1,60")</f>
        <v>Juego de cuchillas 1,60</v>
      </c>
      <c r="AW140" s="3" t="str">
        <f>IFERROR(__xludf.DUMMYFUNCTION("""COMPUTED_VALUE"""),"Juego de cuchillas 1,80")</f>
        <v>Juego de cuchillas 1,80</v>
      </c>
      <c r="AX140" s="3" t="str">
        <f>IFERROR(__xludf.DUMMYFUNCTION("""COMPUTED_VALUE"""),"Juego de cuchillas 2,10")</f>
        <v>Juego de cuchillas 2,10</v>
      </c>
      <c r="AY140" s="3" t="str">
        <f>IFERROR(__xludf.DUMMYFUNCTION("""COMPUTED_VALUE"""),"Cuchara chica pala M1000")</f>
        <v>Cuchara chica pala M1000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</row>
    <row r="141" hidden="1">
      <c r="A141" s="38">
        <f t="shared" si="1"/>
        <v>140</v>
      </c>
      <c r="B141" s="38">
        <f>IF(F141="","",SUMIF(Prearmados!E:E,F141,Prearmados!A:A))</f>
        <v>30</v>
      </c>
      <c r="C141" s="38">
        <f>IF(F141="","",SUMIF(Productos!E:E,G141,Productos!A:A))</f>
        <v>6</v>
      </c>
      <c r="D141" s="83" t="str">
        <f t="array" ref="D141">IF(OR(F141="",F141="Seleccionar.."),"",XLOOKUP(F141,Prearmados!E:E,Prearmados!F:F,"",0,1))</f>
        <v>Elevadores Frontales</v>
      </c>
      <c r="E141" s="83">
        <f>IF(H141="","",SUMIF(Precio_Productos!K:K,C141,Precio_Productos!J:J)*H141)</f>
        <v>6059977</v>
      </c>
      <c r="F141" s="84" t="s">
        <v>354</v>
      </c>
      <c r="G141" s="84" t="s">
        <v>172</v>
      </c>
      <c r="H141" s="13">
        <v>1.0</v>
      </c>
      <c r="P141" s="3" t="str">
        <f>IFERROR(__xludf.DUMMYFUNCTION("IF(OR(F141="""",F141=""Seleccionar..""),"""",TRANSPOSE(FILTER(Productos!E:E,(Productos!F:F=D141)+(Productos!F:F=XLOOKUP(D141,Implementos!B:B,Implementos!C:C,""-"",0,1)))))"),"Chasis Elevador Frontal M1000")</f>
        <v>Chasis Elevador Frontal M1000</v>
      </c>
      <c r="Q141" s="3" t="str">
        <f>IFERROR(__xludf.DUMMYFUNCTION("""COMPUTED_VALUE"""),"Chasis Elevador Frontal M1000.5")</f>
        <v>Chasis Elevador Frontal M1000.5</v>
      </c>
      <c r="R141" s="3" t="str">
        <f>IFERROR(__xludf.DUMMYFUNCTION("""COMPUTED_VALUE"""),"Chasis Elevador Frontal M1001")</f>
        <v>Chasis Elevador Frontal M1001</v>
      </c>
      <c r="S141" s="3" t="str">
        <f>IFERROR(__xludf.DUMMYFUNCTION("""COMPUTED_VALUE"""),"Chasis Elevador Frontal C/Paralelogramo M1002")</f>
        <v>Chasis Elevador Frontal C/Paralelogramo M1002</v>
      </c>
      <c r="T141" s="3" t="str">
        <f>IFERROR(__xludf.DUMMYFUNCTION("""COMPUTED_VALUE"""),"Chasis Elevador Frontal con Cilindro 3"" M1003")</f>
        <v>Chasis Elevador Frontal con Cilindro 3" M1003</v>
      </c>
      <c r="U141" s="3" t="str">
        <f>IFERROR(__xludf.DUMMYFUNCTION("""COMPUTED_VALUE"""),"Chasis Elevador Frontal C/Paralelogramo y Cilindro 3"" M1004")</f>
        <v>Chasis Elevador Frontal C/Paralelogramo y Cilindro 3" M1004</v>
      </c>
      <c r="V141" s="3" t="str">
        <f>IFERROR(__xludf.DUMMYFUNCTION("""COMPUTED_VALUE"""),"Cuchara común")</f>
        <v>Cuchara común</v>
      </c>
      <c r="W141" s="3" t="str">
        <f>IFERROR(__xludf.DUMMYFUNCTION("""COMPUTED_VALUE"""),"Cuchara silera")</f>
        <v>Cuchara silera</v>
      </c>
      <c r="X141" s="3" t="str">
        <f>IFERROR(__xludf.DUMMYFUNCTION("""COMPUTED_VALUE"""),"Cuchara silera 1,80")</f>
        <v>Cuchara silera 1,80</v>
      </c>
      <c r="Y141" s="3" t="str">
        <f>IFERROR(__xludf.DUMMYFUNCTION("""COMPUTED_VALUE"""),"Cuchara grande 1,80")</f>
        <v>Cuchara grande 1,80</v>
      </c>
      <c r="Z141" s="3" t="str">
        <f>IFERROR(__xludf.DUMMYFUNCTION("""COMPUTED_VALUE"""),"Cuchara grande 2,10")</f>
        <v>Cuchara grande 2,10</v>
      </c>
      <c r="AA141" s="3" t="str">
        <f>IFERROR(__xludf.DUMMYFUNCTION("""COMPUTED_VALUE"""),"Cuchara silera 1,60 mts. ( 1/2 m3) diferencia")</f>
        <v>Cuchara silera 1,60 mts. ( 1/2 m3) diferencia</v>
      </c>
      <c r="AB141" s="3" t="str">
        <f>IFERROR(__xludf.DUMMYFUNCTION("""COMPUTED_VALUE"""),"Cuchara 1,80 mts.( 0,60 m3) diferencia")</f>
        <v>Cuchara 1,80 mts.( 0,60 m3) diferencia</v>
      </c>
      <c r="AC141" s="3" t="str">
        <f>IFERROR(__xludf.DUMMYFUNCTION("""COMPUTED_VALUE"""),"Cuchara 1,80 mts. ( 3/4 m3) diferencia")</f>
        <v>Cuchara 1,80 mts. ( 3/4 m3) diferencia</v>
      </c>
      <c r="AD141" s="3" t="str">
        <f>IFERROR(__xludf.DUMMYFUNCTION("""COMPUTED_VALUE"""),"Cuchara 2,10 mts ( 1m3) diferencia")</f>
        <v>Cuchara 2,10 mts ( 1m3) diferencia</v>
      </c>
      <c r="AE141" s="3" t="str">
        <f>IFERROR(__xludf.DUMMYFUNCTION("""COMPUTED_VALUE"""),"Levanta rollo o palletera")</f>
        <v>Levanta rollo o palletera</v>
      </c>
      <c r="AF141" s="3" t="str">
        <f>IFERROR(__xludf.DUMMYFUNCTION("""COMPUTED_VALUE"""),"Levanta bolsones")</f>
        <v>Levanta bolsones</v>
      </c>
      <c r="AG141" s="3" t="str">
        <f>IFERROR(__xludf.DUMMYFUNCTION("""COMPUTED_VALUE"""),"Canasto con tapa")</f>
        <v>Canasto con tapa</v>
      </c>
      <c r="AH141" s="3" t="str">
        <f>IFERROR(__xludf.DUMMYFUNCTION("""COMPUTED_VALUE"""),"Púas sileras")</f>
        <v>Púas sileras</v>
      </c>
      <c r="AI141" s="3" t="str">
        <f>IFERROR(__xludf.DUMMYFUNCTION("""COMPUTED_VALUE"""),"Tapa de cuchara")</f>
        <v>Tapa de cuchara</v>
      </c>
      <c r="AJ141" s="3" t="str">
        <f>IFERROR(__xludf.DUMMYFUNCTION("""COMPUTED_VALUE"""),"Accesorio para mega fardos")</f>
        <v>Accesorio para mega fardos</v>
      </c>
      <c r="AK141" s="3" t="str">
        <f>IFERROR(__xludf.DUMMYFUNCTION("""COMPUTED_VALUE"""),"Refuerzo palas M1001 / M1002 y Cilindro 3""")</f>
        <v>Refuerzo palas M1001 / M1002 y Cilindro 3"</v>
      </c>
      <c r="AL141" s="3" t="str">
        <f>IFERROR(__xludf.DUMMYFUNCTION("""COMPUTED_VALUE"""),"Válvula dos comandos")</f>
        <v>Válvula dos comandos</v>
      </c>
      <c r="AM141" s="3" t="str">
        <f>IFERROR(__xludf.DUMMYFUNCTION("""COMPUTED_VALUE"""),"Válvula tres comandos")</f>
        <v>Válvula tres comandos</v>
      </c>
      <c r="AN141" s="3" t="str">
        <f>IFERROR(__xludf.DUMMYFUNCTION("""COMPUTED_VALUE"""),"Joystick mecánico")</f>
        <v>Joystick mecánico</v>
      </c>
      <c r="AO141" s="3" t="str">
        <f>IFERROR(__xludf.DUMMYFUNCTION("""COMPUTED_VALUE"""),"Joystick electrónico")</f>
        <v>Joystick electrónico</v>
      </c>
      <c r="AP141" s="3" t="str">
        <f>IFERROR(__xludf.DUMMYFUNCTION("""COMPUTED_VALUE"""),"Adaptador para Joystick Case o New Holland")</f>
        <v>Adaptador para Joystick Case o New Holland</v>
      </c>
      <c r="AQ141" s="3" t="str">
        <f>IFERROR(__xludf.DUMMYFUNCTION("""COMPUTED_VALUE"""),"Acople común")</f>
        <v>Acople común</v>
      </c>
      <c r="AR141" s="3" t="str">
        <f>IFERROR(__xludf.DUMMYFUNCTION("""COMPUTED_VALUE"""),"Acople especial")</f>
        <v>Acople especial</v>
      </c>
      <c r="AS141" s="3" t="str">
        <f>IFERROR(__xludf.DUMMYFUNCTION("""COMPUTED_VALUE"""),"Acople doble tracción")</f>
        <v>Acople doble tracción</v>
      </c>
      <c r="AT141" s="3" t="str">
        <f>IFERROR(__xludf.DUMMYFUNCTION("""COMPUTED_VALUE"""),"Juego cajas negras")</f>
        <v>Juego cajas negras</v>
      </c>
      <c r="AU141" s="3" t="str">
        <f>IFERROR(__xludf.DUMMYFUNCTION("""COMPUTED_VALUE"""),"Acople hasta la manga")</f>
        <v>Acople hasta la manga</v>
      </c>
      <c r="AV141" s="3" t="str">
        <f>IFERROR(__xludf.DUMMYFUNCTION("""COMPUTED_VALUE"""),"Juego de cuchillas 1,60")</f>
        <v>Juego de cuchillas 1,60</v>
      </c>
      <c r="AW141" s="3" t="str">
        <f>IFERROR(__xludf.DUMMYFUNCTION("""COMPUTED_VALUE"""),"Juego de cuchillas 1,80")</f>
        <v>Juego de cuchillas 1,80</v>
      </c>
      <c r="AX141" s="3" t="str">
        <f>IFERROR(__xludf.DUMMYFUNCTION("""COMPUTED_VALUE"""),"Juego de cuchillas 2,10")</f>
        <v>Juego de cuchillas 2,10</v>
      </c>
      <c r="AY141" s="3" t="str">
        <f>IFERROR(__xludf.DUMMYFUNCTION("""COMPUTED_VALUE"""),"Cuchara chica pala M1000")</f>
        <v>Cuchara chica pala M1000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</row>
    <row r="142" hidden="1">
      <c r="A142" s="38">
        <f t="shared" si="1"/>
        <v>141</v>
      </c>
      <c r="B142" s="38">
        <f>IF(F142="","",SUMIF(Prearmados!E:E,F142,Prearmados!A:A))</f>
        <v>30</v>
      </c>
      <c r="C142" s="38">
        <f>IF(F142="","",SUMIF(Productos!E:E,G142,Productos!A:A))</f>
        <v>7</v>
      </c>
      <c r="D142" s="83" t="str">
        <f t="array" ref="D142">IF(OR(F142="",F142="Seleccionar.."),"",XLOOKUP(F142,Prearmados!E:E,Prearmados!F:F,"",0,1))</f>
        <v>Elevadores Frontales</v>
      </c>
      <c r="E142" s="83">
        <f>IF(H142="","",SUMIF(Precio_Productos!K:K,C142,Precio_Productos!J:J)*H142)</f>
        <v>726317</v>
      </c>
      <c r="F142" s="84" t="s">
        <v>354</v>
      </c>
      <c r="G142" s="84" t="s">
        <v>168</v>
      </c>
      <c r="H142" s="13">
        <v>1.0</v>
      </c>
      <c r="P142" s="3" t="str">
        <f>IFERROR(__xludf.DUMMYFUNCTION("IF(OR(F142="""",F142=""Seleccionar..""),"""",TRANSPOSE(FILTER(Productos!E:E,(Productos!F:F=D142)+(Productos!F:F=XLOOKUP(D142,Implementos!B:B,Implementos!C:C,""-"",0,1)))))"),"Chasis Elevador Frontal M1000")</f>
        <v>Chasis Elevador Frontal M1000</v>
      </c>
      <c r="Q142" s="3" t="str">
        <f>IFERROR(__xludf.DUMMYFUNCTION("""COMPUTED_VALUE"""),"Chasis Elevador Frontal M1000.5")</f>
        <v>Chasis Elevador Frontal M1000.5</v>
      </c>
      <c r="R142" s="3" t="str">
        <f>IFERROR(__xludf.DUMMYFUNCTION("""COMPUTED_VALUE"""),"Chasis Elevador Frontal M1001")</f>
        <v>Chasis Elevador Frontal M1001</v>
      </c>
      <c r="S142" s="3" t="str">
        <f>IFERROR(__xludf.DUMMYFUNCTION("""COMPUTED_VALUE"""),"Chasis Elevador Frontal C/Paralelogramo M1002")</f>
        <v>Chasis Elevador Frontal C/Paralelogramo M1002</v>
      </c>
      <c r="T142" s="3" t="str">
        <f>IFERROR(__xludf.DUMMYFUNCTION("""COMPUTED_VALUE"""),"Chasis Elevador Frontal con Cilindro 3"" M1003")</f>
        <v>Chasis Elevador Frontal con Cilindro 3" M1003</v>
      </c>
      <c r="U142" s="3" t="str">
        <f>IFERROR(__xludf.DUMMYFUNCTION("""COMPUTED_VALUE"""),"Chasis Elevador Frontal C/Paralelogramo y Cilindro 3"" M1004")</f>
        <v>Chasis Elevador Frontal C/Paralelogramo y Cilindro 3" M1004</v>
      </c>
      <c r="V142" s="3" t="str">
        <f>IFERROR(__xludf.DUMMYFUNCTION("""COMPUTED_VALUE"""),"Cuchara común")</f>
        <v>Cuchara común</v>
      </c>
      <c r="W142" s="3" t="str">
        <f>IFERROR(__xludf.DUMMYFUNCTION("""COMPUTED_VALUE"""),"Cuchara silera")</f>
        <v>Cuchara silera</v>
      </c>
      <c r="X142" s="3" t="str">
        <f>IFERROR(__xludf.DUMMYFUNCTION("""COMPUTED_VALUE"""),"Cuchara silera 1,80")</f>
        <v>Cuchara silera 1,80</v>
      </c>
      <c r="Y142" s="3" t="str">
        <f>IFERROR(__xludf.DUMMYFUNCTION("""COMPUTED_VALUE"""),"Cuchara grande 1,80")</f>
        <v>Cuchara grande 1,80</v>
      </c>
      <c r="Z142" s="3" t="str">
        <f>IFERROR(__xludf.DUMMYFUNCTION("""COMPUTED_VALUE"""),"Cuchara grande 2,10")</f>
        <v>Cuchara grande 2,10</v>
      </c>
      <c r="AA142" s="3" t="str">
        <f>IFERROR(__xludf.DUMMYFUNCTION("""COMPUTED_VALUE"""),"Cuchara silera 1,60 mts. ( 1/2 m3) diferencia")</f>
        <v>Cuchara silera 1,60 mts. ( 1/2 m3) diferencia</v>
      </c>
      <c r="AB142" s="3" t="str">
        <f>IFERROR(__xludf.DUMMYFUNCTION("""COMPUTED_VALUE"""),"Cuchara 1,80 mts.( 0,60 m3) diferencia")</f>
        <v>Cuchara 1,80 mts.( 0,60 m3) diferencia</v>
      </c>
      <c r="AC142" s="3" t="str">
        <f>IFERROR(__xludf.DUMMYFUNCTION("""COMPUTED_VALUE"""),"Cuchara 1,80 mts. ( 3/4 m3) diferencia")</f>
        <v>Cuchara 1,80 mts. ( 3/4 m3) diferencia</v>
      </c>
      <c r="AD142" s="3" t="str">
        <f>IFERROR(__xludf.DUMMYFUNCTION("""COMPUTED_VALUE"""),"Cuchara 2,10 mts ( 1m3) diferencia")</f>
        <v>Cuchara 2,10 mts ( 1m3) diferencia</v>
      </c>
      <c r="AE142" s="3" t="str">
        <f>IFERROR(__xludf.DUMMYFUNCTION("""COMPUTED_VALUE"""),"Levanta rollo o palletera")</f>
        <v>Levanta rollo o palletera</v>
      </c>
      <c r="AF142" s="3" t="str">
        <f>IFERROR(__xludf.DUMMYFUNCTION("""COMPUTED_VALUE"""),"Levanta bolsones")</f>
        <v>Levanta bolsones</v>
      </c>
      <c r="AG142" s="3" t="str">
        <f>IFERROR(__xludf.DUMMYFUNCTION("""COMPUTED_VALUE"""),"Canasto con tapa")</f>
        <v>Canasto con tapa</v>
      </c>
      <c r="AH142" s="3" t="str">
        <f>IFERROR(__xludf.DUMMYFUNCTION("""COMPUTED_VALUE"""),"Púas sileras")</f>
        <v>Púas sileras</v>
      </c>
      <c r="AI142" s="3" t="str">
        <f>IFERROR(__xludf.DUMMYFUNCTION("""COMPUTED_VALUE"""),"Tapa de cuchara")</f>
        <v>Tapa de cuchara</v>
      </c>
      <c r="AJ142" s="3" t="str">
        <f>IFERROR(__xludf.DUMMYFUNCTION("""COMPUTED_VALUE"""),"Accesorio para mega fardos")</f>
        <v>Accesorio para mega fardos</v>
      </c>
      <c r="AK142" s="3" t="str">
        <f>IFERROR(__xludf.DUMMYFUNCTION("""COMPUTED_VALUE"""),"Refuerzo palas M1001 / M1002 y Cilindro 3""")</f>
        <v>Refuerzo palas M1001 / M1002 y Cilindro 3"</v>
      </c>
      <c r="AL142" s="3" t="str">
        <f>IFERROR(__xludf.DUMMYFUNCTION("""COMPUTED_VALUE"""),"Válvula dos comandos")</f>
        <v>Válvula dos comandos</v>
      </c>
      <c r="AM142" s="3" t="str">
        <f>IFERROR(__xludf.DUMMYFUNCTION("""COMPUTED_VALUE"""),"Válvula tres comandos")</f>
        <v>Válvula tres comandos</v>
      </c>
      <c r="AN142" s="3" t="str">
        <f>IFERROR(__xludf.DUMMYFUNCTION("""COMPUTED_VALUE"""),"Joystick mecánico")</f>
        <v>Joystick mecánico</v>
      </c>
      <c r="AO142" s="3" t="str">
        <f>IFERROR(__xludf.DUMMYFUNCTION("""COMPUTED_VALUE"""),"Joystick electrónico")</f>
        <v>Joystick electrónico</v>
      </c>
      <c r="AP142" s="3" t="str">
        <f>IFERROR(__xludf.DUMMYFUNCTION("""COMPUTED_VALUE"""),"Adaptador para Joystick Case o New Holland")</f>
        <v>Adaptador para Joystick Case o New Holland</v>
      </c>
      <c r="AQ142" s="3" t="str">
        <f>IFERROR(__xludf.DUMMYFUNCTION("""COMPUTED_VALUE"""),"Acople común")</f>
        <v>Acople común</v>
      </c>
      <c r="AR142" s="3" t="str">
        <f>IFERROR(__xludf.DUMMYFUNCTION("""COMPUTED_VALUE"""),"Acople especial")</f>
        <v>Acople especial</v>
      </c>
      <c r="AS142" s="3" t="str">
        <f>IFERROR(__xludf.DUMMYFUNCTION("""COMPUTED_VALUE"""),"Acople doble tracción")</f>
        <v>Acople doble tracción</v>
      </c>
      <c r="AT142" s="3" t="str">
        <f>IFERROR(__xludf.DUMMYFUNCTION("""COMPUTED_VALUE"""),"Juego cajas negras")</f>
        <v>Juego cajas negras</v>
      </c>
      <c r="AU142" s="3" t="str">
        <f>IFERROR(__xludf.DUMMYFUNCTION("""COMPUTED_VALUE"""),"Acople hasta la manga")</f>
        <v>Acople hasta la manga</v>
      </c>
      <c r="AV142" s="3" t="str">
        <f>IFERROR(__xludf.DUMMYFUNCTION("""COMPUTED_VALUE"""),"Juego de cuchillas 1,60")</f>
        <v>Juego de cuchillas 1,60</v>
      </c>
      <c r="AW142" s="3" t="str">
        <f>IFERROR(__xludf.DUMMYFUNCTION("""COMPUTED_VALUE"""),"Juego de cuchillas 1,80")</f>
        <v>Juego de cuchillas 1,80</v>
      </c>
      <c r="AX142" s="3" t="str">
        <f>IFERROR(__xludf.DUMMYFUNCTION("""COMPUTED_VALUE"""),"Juego de cuchillas 2,10")</f>
        <v>Juego de cuchillas 2,10</v>
      </c>
      <c r="AY142" s="3" t="str">
        <f>IFERROR(__xludf.DUMMYFUNCTION("""COMPUTED_VALUE"""),"Cuchara chica pala M1000")</f>
        <v>Cuchara chica pala M1000</v>
      </c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</row>
    <row r="143" hidden="1">
      <c r="A143" s="38">
        <f t="shared" si="1"/>
        <v>142</v>
      </c>
      <c r="B143" s="38">
        <f>IF(F143="","",SUMIF(Prearmados!E:E,F143,Prearmados!A:A))</f>
        <v>33</v>
      </c>
      <c r="C143" s="38">
        <f>IF(F143="","",SUMIF(Productos!E:E,G143,Productos!A:A))</f>
        <v>132</v>
      </c>
      <c r="D143" s="83" t="str">
        <f t="array" ref="D143">IF(OR(F143="",F143="Seleccionar.."),"",XLOOKUP(F143,Prearmados!E:E,Prearmados!F:F,"",0,1))</f>
        <v>Gruas</v>
      </c>
      <c r="E143" s="83">
        <f>IF(H143="","",SUMIF(Precio_Productos!K:K,C143,Precio_Productos!J:J)*H143)</f>
        <v>6528578</v>
      </c>
      <c r="F143" s="84" t="s">
        <v>357</v>
      </c>
      <c r="G143" s="84" t="s">
        <v>40</v>
      </c>
      <c r="H143" s="13">
        <v>1.0</v>
      </c>
      <c r="P143" s="3" t="str">
        <f>IFERROR(__xludf.DUMMYFUNCTION("IF(OR(F143="""",F143=""Seleccionar..""),"""",TRANSPOSE(FILTER(Productos!E:E,(Productos!F:F=D143)+(Productos!F:F=XLOOKUP(D143,Implementos!B:B,Implementos!C:C,""-"",0,1)))))"),"Paquete de Elasticos 50 mm x 8 mm x 10 Hojas L850")</f>
        <v>Paquete de Elasticos 50 mm x 8 mm x 10 Hojas L850</v>
      </c>
      <c r="Q143" s="3" t="str">
        <f>IFERROR(__xludf.DUMMYFUNCTION("""COMPUTED_VALUE"""),"Paquete de Elasticos 63 mm x 8 mm x 10 Hojas L950")</f>
        <v>Paquete de Elasticos 63 mm x 8 mm x 10 Hojas L950</v>
      </c>
      <c r="R143" s="3" t="str">
        <f>IFERROR(__xludf.DUMMYFUNCTION("""COMPUTED_VALUE"""),"Paquete de Elasticos 50 mm x 7 mm x 9 Hojas L850")</f>
        <v>Paquete de Elasticos 50 mm x 7 mm x 9 Hojas L850</v>
      </c>
      <c r="S143" s="3" t="str">
        <f>IFERROR(__xludf.DUMMYFUNCTION("""COMPUTED_VALUE"""),"Paquete de Elasticos 63 mm x 8 mm x 8 Hojas L850")</f>
        <v>Paquete de Elasticos 63 mm x 8 mm x 8 Hojas L850</v>
      </c>
      <c r="T143" s="3" t="str">
        <f>IFERROR(__xludf.DUMMYFUNCTION("""COMPUTED_VALUE"""),"Paquete de Elasticos 63 mm x 10 mm x 10 Hojas L950")</f>
        <v>Paquete de Elasticos 63 mm x 10 mm x 10 Hojas L950</v>
      </c>
      <c r="U143" s="3" t="str">
        <f>IFERROR(__xludf.DUMMYFUNCTION("""COMPUTED_VALUE"""),"Paquete de Elasticos 63 mm x 10 mm x 13 Hojas L975")</f>
        <v>Paquete de Elasticos 63 mm x 10 mm x 13 Hojas L975</v>
      </c>
      <c r="V143" s="3" t="str">
        <f>IFERROR(__xludf.DUMMYFUNCTION("""COMPUTED_VALUE"""),"Paquete de Elasticos 50 mm x 7 mm x 9 Hojas L650")</f>
        <v>Paquete de Elasticos 50 mm x 7 mm x 9 Hojas L650</v>
      </c>
      <c r="W143" s="3" t="str">
        <f>IFERROR(__xludf.DUMMYFUNCTION("""COMPUTED_VALUE"""),"Eje Acoplado 2"" x 1600 (06/08) Agrícola Centro 92")</f>
        <v>Eje Acoplado 2" x 1600 (06/08) Agrícola Centro 92</v>
      </c>
      <c r="X143" s="3" t="str">
        <f>IFERROR(__xludf.DUMMYFUNCTION("""COMPUTED_VALUE"""),"Eje Acoplado 2 1/2"" x 1600 (07/09) Agrícola Centro 92")</f>
        <v>Eje Acoplado 2 1/2" x 1600 (07/09) Agrícola Centro 92</v>
      </c>
      <c r="Y143" s="3" t="str">
        <f>IFERROR(__xludf.DUMMYFUNCTION("""COMPUTED_VALUE"""),"Eje Acoplado 2 1/2"" x 1600 (09/11) Agrícola Centro 150")</f>
        <v>Eje Acoplado 2 1/2" x 1600 (09/11) Agrícola Centro 150</v>
      </c>
      <c r="Z143" s="3" t="str">
        <f>IFERROR(__xludf.DUMMYFUNCTION("""COMPUTED_VALUE"""),"Eje Acoplado 3"" x 1600 (10/13) Agrícola Centro 150")</f>
        <v>Eje Acoplado 3" x 1600 (10/13) Agrícola Centro 150</v>
      </c>
      <c r="AA143" s="3" t="str">
        <f>IFERROR(__xludf.DUMMYFUNCTION("""COMPUTED_VALUE"""),"Eje Acoplado 2 1/2"" x 2140 (07/09) Agrícola Centro 92")</f>
        <v>Eje Acoplado 2 1/2" x 2140 (07/09) Agrícola Centro 92</v>
      </c>
      <c r="AB143" s="3" t="str">
        <f>IFERROR(__xludf.DUMMYFUNCTION("""COMPUTED_VALUE"""),"Eje Acoplado 2"" x 1400 (06/08) Agrícola Centro 92")</f>
        <v>Eje Acoplado 2" x 1400 (06/08) Agrícola Centro 92</v>
      </c>
      <c r="AC143" s="3" t="str">
        <f>IFERROR(__xludf.DUMMYFUNCTION("""COMPUTED_VALUE"""),"Eje Acoplado 2 1/2"" x 1500 (07/09) Agrícola Centro 92")</f>
        <v>Eje Acoplado 2 1/2" x 1500 (07/09) Agrícola Centro 92</v>
      </c>
      <c r="AD143" s="3" t="str">
        <f>IFERROR(__xludf.DUMMYFUNCTION("""COMPUTED_VALUE"""),"Eje Acoplado 2 1/2"" x 2000 (07/09) Agrícola Centro 92")</f>
        <v>Eje Acoplado 2 1/2" x 2000 (07/09) Agrícola Centro 92</v>
      </c>
      <c r="AE143" s="3" t="str">
        <f>IFERROR(__xludf.DUMMYFUNCTION("""COMPUTED_VALUE"""),"Eje Acoplado 2 1/2"" x 2100 (09/11) Agrícola Centro 150")</f>
        <v>Eje Acoplado 2 1/2" x 2100 (09/11) Agrícola Centro 150</v>
      </c>
      <c r="AF143" s="3" t="str">
        <f>IFERROR(__xludf.DUMMYFUNCTION("""COMPUTED_VALUE"""),"Llanta 16"" Simple Agrícola Centro 92")</f>
        <v>Llanta 16" Simple Agrícola Centro 92</v>
      </c>
      <c r="AG143" s="3" t="str">
        <f>IFERROR(__xludf.DUMMYFUNCTION("""COMPUTED_VALUE"""),"Llanta 16"" Dual Agrícola Centro 92")</f>
        <v>Llanta 16" Dual Agrícola Centro 92</v>
      </c>
      <c r="AH143" s="3" t="str">
        <f>IFERROR(__xludf.DUMMYFUNCTION("""COMPUTED_VALUE"""),"Llanta 17"" Simple Agrícola Centro 92")</f>
        <v>Llanta 17" Simple Agrícola Centro 92</v>
      </c>
      <c r="AI143" s="3" t="str">
        <f>IFERROR(__xludf.DUMMYFUNCTION("""COMPUTED_VALUE"""),"Llanta 17"" Dual Agrícola Centro 92")</f>
        <v>Llanta 17" Dual Agrícola Centro 92</v>
      </c>
      <c r="AJ143" s="3" t="str">
        <f>IFERROR(__xludf.DUMMYFUNCTION("""COMPUTED_VALUE"""),"Llanta 16"" Dual Agrícola Centro 152")</f>
        <v>Llanta 16" Dual Agrícola Centro 152</v>
      </c>
      <c r="AK143" s="3" t="str">
        <f>IFERROR(__xludf.DUMMYFUNCTION("""COMPUTED_VALUE"""),"Llanta 17"" Dual Agrícola Centro 152")</f>
        <v>Llanta 17" Dual Agrícola Centro 152</v>
      </c>
      <c r="AL143" s="3" t="str">
        <f>IFERROR(__xludf.DUMMYFUNCTION("""COMPUTED_VALUE"""),"Eje Acoplado 2"" x 1600 (05/07) Agrícola Centro 92")</f>
        <v>Eje Acoplado 2" x 1600 (05/07) Agrícola Centro 92</v>
      </c>
      <c r="AM143" s="3" t="str">
        <f>IFERROR(__xludf.DUMMYFUNCTION("""COMPUTED_VALUE"""),"Paquete de Elásticos 50 mm x 8 mm x 12 Hojas")</f>
        <v>Paquete de Elásticos 50 mm x 8 mm x 12 Hojas</v>
      </c>
      <c r="AN143" s="3" t="str">
        <f>IFERROR(__xludf.DUMMYFUNCTION("""COMPUTED_VALUE"""),"Chasis Grua G1500 Standard")</f>
        <v>Chasis Grua G1500 Standard</v>
      </c>
      <c r="AO143" s="3" t="str">
        <f>IFERROR(__xludf.DUMMYFUNCTION("""COMPUTED_VALUE"""),"Chasis Grua G2000 Standard")</f>
        <v>Chasis Grua G2000 Standard</v>
      </c>
      <c r="AP143" s="3" t="str">
        <f>IFERROR(__xludf.DUMMYFUNCTION("""COMPUTED_VALUE"""),"Cilindros Pies Grua G2000")</f>
        <v>Cilindros Pies Grua G2000</v>
      </c>
      <c r="AQ143" s="3" t="str">
        <f>IFERROR(__xludf.DUMMYFUNCTION("""COMPUTED_VALUE"""),"Brazo Extendido Grua de Arrastre")</f>
        <v>Brazo Extendido Grua de Arrastre</v>
      </c>
      <c r="AR143" s="3" t="str">
        <f>IFERROR(__xludf.DUMMYFUNCTION("""COMPUTED_VALUE"""),"Barquilla Grua de Arrastre")</f>
        <v>Barquilla Grua de Arrastre</v>
      </c>
      <c r="AS143" s="3" t="str">
        <f>IFERROR(__xludf.DUMMYFUNCTION("""COMPUTED_VALUE"""),"Levanta Pallet Grua de Arrastre")</f>
        <v>Levanta Pallet Grua de Arrastre</v>
      </c>
      <c r="AT143" s="3" t="str">
        <f>IFERROR(__xludf.DUMMYFUNCTION("""COMPUTED_VALUE"""),"Central Hidráulica con Motor a Explosión")</f>
        <v>Central Hidráulica con Motor a Explosión</v>
      </c>
      <c r="AU143" s="3" t="str">
        <f>IFERROR(__xludf.DUMMYFUNCTION("""COMPUTED_VALUE"""),"Llanta simple Agrícola 750x20 centro 152")</f>
        <v>Llanta simple Agrícola 750x20 centro 152</v>
      </c>
      <c r="AV143" s="3" t="str">
        <f>IFERROR(__xludf.DUMMYFUNCTION("""COMPUTED_VALUE"""),"Llanta 15"" Simple Agrícola Centro 92")</f>
        <v>Llanta 15" Simple Agrícola Centro 92</v>
      </c>
    </row>
    <row r="144" hidden="1">
      <c r="A144" s="38">
        <f t="shared" si="1"/>
        <v>143</v>
      </c>
      <c r="B144" s="38">
        <f>IF(F144="","",SUMIF(Prearmados!E:E,F144,Prearmados!A:A))</f>
        <v>33</v>
      </c>
      <c r="C144" s="38">
        <f>IF(F144="","",SUMIF(Productos!E:E,G144,Productos!A:A))</f>
        <v>111</v>
      </c>
      <c r="D144" s="83" t="str">
        <f t="array" ref="D144">IF(OR(F144="",F144="Seleccionar.."),"",XLOOKUP(F144,Prearmados!E:E,Prearmados!F:F,"",0,1))</f>
        <v>Gruas</v>
      </c>
      <c r="E144" s="83">
        <f>IF(H144="","",SUMIF(Precio_Productos!K:K,C144,Precio_Productos!J:J)*H144)</f>
        <v>558000</v>
      </c>
      <c r="F144" s="84" t="s">
        <v>357</v>
      </c>
      <c r="G144" s="84" t="s">
        <v>130</v>
      </c>
      <c r="H144" s="13">
        <v>4.0</v>
      </c>
      <c r="P144" s="3" t="str">
        <f>IFERROR(__xludf.DUMMYFUNCTION("IF(OR(F144="""",F144=""Seleccionar..""),"""",TRANSPOSE(FILTER(Productos!E:E,(Productos!F:F=D144)+(Productos!F:F=XLOOKUP(D144,Implementos!B:B,Implementos!C:C,""-"",0,1)))))"),"Paquete de Elasticos 50 mm x 8 mm x 10 Hojas L850")</f>
        <v>Paquete de Elasticos 50 mm x 8 mm x 10 Hojas L850</v>
      </c>
      <c r="Q144" s="3" t="str">
        <f>IFERROR(__xludf.DUMMYFUNCTION("""COMPUTED_VALUE"""),"Paquete de Elasticos 63 mm x 8 mm x 10 Hojas L950")</f>
        <v>Paquete de Elasticos 63 mm x 8 mm x 10 Hojas L950</v>
      </c>
      <c r="R144" s="3" t="str">
        <f>IFERROR(__xludf.DUMMYFUNCTION("""COMPUTED_VALUE"""),"Paquete de Elasticos 50 mm x 7 mm x 9 Hojas L850")</f>
        <v>Paquete de Elasticos 50 mm x 7 mm x 9 Hojas L850</v>
      </c>
      <c r="S144" s="3" t="str">
        <f>IFERROR(__xludf.DUMMYFUNCTION("""COMPUTED_VALUE"""),"Paquete de Elasticos 63 mm x 8 mm x 8 Hojas L850")</f>
        <v>Paquete de Elasticos 63 mm x 8 mm x 8 Hojas L850</v>
      </c>
      <c r="T144" s="3" t="str">
        <f>IFERROR(__xludf.DUMMYFUNCTION("""COMPUTED_VALUE"""),"Paquete de Elasticos 63 mm x 10 mm x 10 Hojas L950")</f>
        <v>Paquete de Elasticos 63 mm x 10 mm x 10 Hojas L950</v>
      </c>
      <c r="U144" s="3" t="str">
        <f>IFERROR(__xludf.DUMMYFUNCTION("""COMPUTED_VALUE"""),"Paquete de Elasticos 63 mm x 10 mm x 13 Hojas L975")</f>
        <v>Paquete de Elasticos 63 mm x 10 mm x 13 Hojas L975</v>
      </c>
      <c r="V144" s="3" t="str">
        <f>IFERROR(__xludf.DUMMYFUNCTION("""COMPUTED_VALUE"""),"Paquete de Elasticos 50 mm x 7 mm x 9 Hojas L650")</f>
        <v>Paquete de Elasticos 50 mm x 7 mm x 9 Hojas L650</v>
      </c>
      <c r="W144" s="3" t="str">
        <f>IFERROR(__xludf.DUMMYFUNCTION("""COMPUTED_VALUE"""),"Eje Acoplado 2"" x 1600 (06/08) Agrícola Centro 92")</f>
        <v>Eje Acoplado 2" x 1600 (06/08) Agrícola Centro 92</v>
      </c>
      <c r="X144" s="3" t="str">
        <f>IFERROR(__xludf.DUMMYFUNCTION("""COMPUTED_VALUE"""),"Eje Acoplado 2 1/2"" x 1600 (07/09) Agrícola Centro 92")</f>
        <v>Eje Acoplado 2 1/2" x 1600 (07/09) Agrícola Centro 92</v>
      </c>
      <c r="Y144" s="3" t="str">
        <f>IFERROR(__xludf.DUMMYFUNCTION("""COMPUTED_VALUE"""),"Eje Acoplado 2 1/2"" x 1600 (09/11) Agrícola Centro 150")</f>
        <v>Eje Acoplado 2 1/2" x 1600 (09/11) Agrícola Centro 150</v>
      </c>
      <c r="Z144" s="3" t="str">
        <f>IFERROR(__xludf.DUMMYFUNCTION("""COMPUTED_VALUE"""),"Eje Acoplado 3"" x 1600 (10/13) Agrícola Centro 150")</f>
        <v>Eje Acoplado 3" x 1600 (10/13) Agrícola Centro 150</v>
      </c>
      <c r="AA144" s="3" t="str">
        <f>IFERROR(__xludf.DUMMYFUNCTION("""COMPUTED_VALUE"""),"Eje Acoplado 2 1/2"" x 2140 (07/09) Agrícola Centro 92")</f>
        <v>Eje Acoplado 2 1/2" x 2140 (07/09) Agrícola Centro 92</v>
      </c>
      <c r="AB144" s="3" t="str">
        <f>IFERROR(__xludf.DUMMYFUNCTION("""COMPUTED_VALUE"""),"Eje Acoplado 2"" x 1400 (06/08) Agrícola Centro 92")</f>
        <v>Eje Acoplado 2" x 1400 (06/08) Agrícola Centro 92</v>
      </c>
      <c r="AC144" s="3" t="str">
        <f>IFERROR(__xludf.DUMMYFUNCTION("""COMPUTED_VALUE"""),"Eje Acoplado 2 1/2"" x 1500 (07/09) Agrícola Centro 92")</f>
        <v>Eje Acoplado 2 1/2" x 1500 (07/09) Agrícola Centro 92</v>
      </c>
      <c r="AD144" s="3" t="str">
        <f>IFERROR(__xludf.DUMMYFUNCTION("""COMPUTED_VALUE"""),"Eje Acoplado 2 1/2"" x 2000 (07/09) Agrícola Centro 92")</f>
        <v>Eje Acoplado 2 1/2" x 2000 (07/09) Agrícola Centro 92</v>
      </c>
      <c r="AE144" s="3" t="str">
        <f>IFERROR(__xludf.DUMMYFUNCTION("""COMPUTED_VALUE"""),"Eje Acoplado 2 1/2"" x 2100 (09/11) Agrícola Centro 150")</f>
        <v>Eje Acoplado 2 1/2" x 2100 (09/11) Agrícola Centro 150</v>
      </c>
      <c r="AF144" s="3" t="str">
        <f>IFERROR(__xludf.DUMMYFUNCTION("""COMPUTED_VALUE"""),"Llanta 16"" Simple Agrícola Centro 92")</f>
        <v>Llanta 16" Simple Agrícola Centro 92</v>
      </c>
      <c r="AG144" s="3" t="str">
        <f>IFERROR(__xludf.DUMMYFUNCTION("""COMPUTED_VALUE"""),"Llanta 16"" Dual Agrícola Centro 92")</f>
        <v>Llanta 16" Dual Agrícola Centro 92</v>
      </c>
      <c r="AH144" s="3" t="str">
        <f>IFERROR(__xludf.DUMMYFUNCTION("""COMPUTED_VALUE"""),"Llanta 17"" Simple Agrícola Centro 92")</f>
        <v>Llanta 17" Simple Agrícola Centro 92</v>
      </c>
      <c r="AI144" s="3" t="str">
        <f>IFERROR(__xludf.DUMMYFUNCTION("""COMPUTED_VALUE"""),"Llanta 17"" Dual Agrícola Centro 92")</f>
        <v>Llanta 17" Dual Agrícola Centro 92</v>
      </c>
      <c r="AJ144" s="3" t="str">
        <f>IFERROR(__xludf.DUMMYFUNCTION("""COMPUTED_VALUE"""),"Llanta 16"" Dual Agrícola Centro 152")</f>
        <v>Llanta 16" Dual Agrícola Centro 152</v>
      </c>
      <c r="AK144" s="3" t="str">
        <f>IFERROR(__xludf.DUMMYFUNCTION("""COMPUTED_VALUE"""),"Llanta 17"" Dual Agrícola Centro 152")</f>
        <v>Llanta 17" Dual Agrícola Centro 152</v>
      </c>
      <c r="AL144" s="3" t="str">
        <f>IFERROR(__xludf.DUMMYFUNCTION("""COMPUTED_VALUE"""),"Eje Acoplado 2"" x 1600 (05/07) Agrícola Centro 92")</f>
        <v>Eje Acoplado 2" x 1600 (05/07) Agrícola Centro 92</v>
      </c>
      <c r="AM144" s="3" t="str">
        <f>IFERROR(__xludf.DUMMYFUNCTION("""COMPUTED_VALUE"""),"Paquete de Elásticos 50 mm x 8 mm x 12 Hojas")</f>
        <v>Paquete de Elásticos 50 mm x 8 mm x 12 Hojas</v>
      </c>
      <c r="AN144" s="3" t="str">
        <f>IFERROR(__xludf.DUMMYFUNCTION("""COMPUTED_VALUE"""),"Chasis Grua G1500 Standard")</f>
        <v>Chasis Grua G1500 Standard</v>
      </c>
      <c r="AO144" s="3" t="str">
        <f>IFERROR(__xludf.DUMMYFUNCTION("""COMPUTED_VALUE"""),"Chasis Grua G2000 Standard")</f>
        <v>Chasis Grua G2000 Standard</v>
      </c>
      <c r="AP144" s="3" t="str">
        <f>IFERROR(__xludf.DUMMYFUNCTION("""COMPUTED_VALUE"""),"Cilindros Pies Grua G2000")</f>
        <v>Cilindros Pies Grua G2000</v>
      </c>
      <c r="AQ144" s="3" t="str">
        <f>IFERROR(__xludf.DUMMYFUNCTION("""COMPUTED_VALUE"""),"Brazo Extendido Grua de Arrastre")</f>
        <v>Brazo Extendido Grua de Arrastre</v>
      </c>
      <c r="AR144" s="3" t="str">
        <f>IFERROR(__xludf.DUMMYFUNCTION("""COMPUTED_VALUE"""),"Barquilla Grua de Arrastre")</f>
        <v>Barquilla Grua de Arrastre</v>
      </c>
      <c r="AS144" s="3" t="str">
        <f>IFERROR(__xludf.DUMMYFUNCTION("""COMPUTED_VALUE"""),"Levanta Pallet Grua de Arrastre")</f>
        <v>Levanta Pallet Grua de Arrastre</v>
      </c>
      <c r="AT144" s="3" t="str">
        <f>IFERROR(__xludf.DUMMYFUNCTION("""COMPUTED_VALUE"""),"Central Hidráulica con Motor a Explosión")</f>
        <v>Central Hidráulica con Motor a Explosión</v>
      </c>
      <c r="AU144" s="3" t="str">
        <f>IFERROR(__xludf.DUMMYFUNCTION("""COMPUTED_VALUE"""),"Llanta simple Agrícola 750x20 centro 152")</f>
        <v>Llanta simple Agrícola 750x20 centro 152</v>
      </c>
      <c r="AV144" s="3" t="str">
        <f>IFERROR(__xludf.DUMMYFUNCTION("""COMPUTED_VALUE"""),"Llanta 15"" Simple Agrícola Centro 92")</f>
        <v>Llanta 15" Simple Agrícola Centro 92</v>
      </c>
    </row>
    <row r="145" hidden="1">
      <c r="A145" s="38">
        <f t="shared" si="1"/>
        <v>144</v>
      </c>
      <c r="B145" s="38">
        <f>IF(F145="","",SUMIF(Prearmados!E:E,F145,Prearmados!A:A))</f>
        <v>34</v>
      </c>
      <c r="C145" s="38">
        <f>IF(F145="","",SUMIF(Productos!E:E,G145,Productos!A:A))</f>
        <v>133</v>
      </c>
      <c r="D145" s="83" t="str">
        <f t="array" ref="D145">IF(OR(F145="",F145="Seleccionar.."),"",XLOOKUP(F145,Prearmados!E:E,Prearmados!F:F,"",0,1))</f>
        <v>Gruas</v>
      </c>
      <c r="E145" s="83">
        <f>IF(H145="","",SUMIF(Precio_Productos!K:K,C145,Precio_Productos!J:J)*H145)</f>
        <v>9942000</v>
      </c>
      <c r="F145" s="84" t="s">
        <v>359</v>
      </c>
      <c r="G145" s="84" t="s">
        <v>44</v>
      </c>
      <c r="H145" s="13">
        <v>1.0</v>
      </c>
      <c r="P145" s="3" t="str">
        <f>IFERROR(__xludf.DUMMYFUNCTION("IF(OR(F145="""",F145=""Seleccionar..""),"""",TRANSPOSE(FILTER(Productos!E:E,(Productos!F:F=D145)+(Productos!F:F=XLOOKUP(D145,Implementos!B:B,Implementos!C:C,""-"",0,1)))))"),"Paquete de Elasticos 50 mm x 8 mm x 10 Hojas L850")</f>
        <v>Paquete de Elasticos 50 mm x 8 mm x 10 Hojas L850</v>
      </c>
      <c r="Q145" s="3" t="str">
        <f>IFERROR(__xludf.DUMMYFUNCTION("""COMPUTED_VALUE"""),"Paquete de Elasticos 63 mm x 8 mm x 10 Hojas L950")</f>
        <v>Paquete de Elasticos 63 mm x 8 mm x 10 Hojas L950</v>
      </c>
      <c r="R145" s="3" t="str">
        <f>IFERROR(__xludf.DUMMYFUNCTION("""COMPUTED_VALUE"""),"Paquete de Elasticos 50 mm x 7 mm x 9 Hojas L850")</f>
        <v>Paquete de Elasticos 50 mm x 7 mm x 9 Hojas L850</v>
      </c>
      <c r="S145" s="3" t="str">
        <f>IFERROR(__xludf.DUMMYFUNCTION("""COMPUTED_VALUE"""),"Paquete de Elasticos 63 mm x 8 mm x 8 Hojas L850")</f>
        <v>Paquete de Elasticos 63 mm x 8 mm x 8 Hojas L850</v>
      </c>
      <c r="T145" s="3" t="str">
        <f>IFERROR(__xludf.DUMMYFUNCTION("""COMPUTED_VALUE"""),"Paquete de Elasticos 63 mm x 10 mm x 10 Hojas L950")</f>
        <v>Paquete de Elasticos 63 mm x 10 mm x 10 Hojas L950</v>
      </c>
      <c r="U145" s="3" t="str">
        <f>IFERROR(__xludf.DUMMYFUNCTION("""COMPUTED_VALUE"""),"Paquete de Elasticos 63 mm x 10 mm x 13 Hojas L975")</f>
        <v>Paquete de Elasticos 63 mm x 10 mm x 13 Hojas L975</v>
      </c>
      <c r="V145" s="3" t="str">
        <f>IFERROR(__xludf.DUMMYFUNCTION("""COMPUTED_VALUE"""),"Paquete de Elasticos 50 mm x 7 mm x 9 Hojas L650")</f>
        <v>Paquete de Elasticos 50 mm x 7 mm x 9 Hojas L650</v>
      </c>
      <c r="W145" s="3" t="str">
        <f>IFERROR(__xludf.DUMMYFUNCTION("""COMPUTED_VALUE"""),"Eje Acoplado 2"" x 1600 (06/08) Agrícola Centro 92")</f>
        <v>Eje Acoplado 2" x 1600 (06/08) Agrícola Centro 92</v>
      </c>
      <c r="X145" s="3" t="str">
        <f>IFERROR(__xludf.DUMMYFUNCTION("""COMPUTED_VALUE"""),"Eje Acoplado 2 1/2"" x 1600 (07/09) Agrícola Centro 92")</f>
        <v>Eje Acoplado 2 1/2" x 1600 (07/09) Agrícola Centro 92</v>
      </c>
      <c r="Y145" s="3" t="str">
        <f>IFERROR(__xludf.DUMMYFUNCTION("""COMPUTED_VALUE"""),"Eje Acoplado 2 1/2"" x 1600 (09/11) Agrícola Centro 150")</f>
        <v>Eje Acoplado 2 1/2" x 1600 (09/11) Agrícola Centro 150</v>
      </c>
      <c r="Z145" s="3" t="str">
        <f>IFERROR(__xludf.DUMMYFUNCTION("""COMPUTED_VALUE"""),"Eje Acoplado 3"" x 1600 (10/13) Agrícola Centro 150")</f>
        <v>Eje Acoplado 3" x 1600 (10/13) Agrícola Centro 150</v>
      </c>
      <c r="AA145" s="3" t="str">
        <f>IFERROR(__xludf.DUMMYFUNCTION("""COMPUTED_VALUE"""),"Eje Acoplado 2 1/2"" x 2140 (07/09) Agrícola Centro 92")</f>
        <v>Eje Acoplado 2 1/2" x 2140 (07/09) Agrícola Centro 92</v>
      </c>
      <c r="AB145" s="3" t="str">
        <f>IFERROR(__xludf.DUMMYFUNCTION("""COMPUTED_VALUE"""),"Eje Acoplado 2"" x 1400 (06/08) Agrícola Centro 92")</f>
        <v>Eje Acoplado 2" x 1400 (06/08) Agrícola Centro 92</v>
      </c>
      <c r="AC145" s="3" t="str">
        <f>IFERROR(__xludf.DUMMYFUNCTION("""COMPUTED_VALUE"""),"Eje Acoplado 2 1/2"" x 1500 (07/09) Agrícola Centro 92")</f>
        <v>Eje Acoplado 2 1/2" x 1500 (07/09) Agrícola Centro 92</v>
      </c>
      <c r="AD145" s="3" t="str">
        <f>IFERROR(__xludf.DUMMYFUNCTION("""COMPUTED_VALUE"""),"Eje Acoplado 2 1/2"" x 2000 (07/09) Agrícola Centro 92")</f>
        <v>Eje Acoplado 2 1/2" x 2000 (07/09) Agrícola Centro 92</v>
      </c>
      <c r="AE145" s="3" t="str">
        <f>IFERROR(__xludf.DUMMYFUNCTION("""COMPUTED_VALUE"""),"Eje Acoplado 2 1/2"" x 2100 (09/11) Agrícola Centro 150")</f>
        <v>Eje Acoplado 2 1/2" x 2100 (09/11) Agrícola Centro 150</v>
      </c>
      <c r="AF145" s="3" t="str">
        <f>IFERROR(__xludf.DUMMYFUNCTION("""COMPUTED_VALUE"""),"Llanta 16"" Simple Agrícola Centro 92")</f>
        <v>Llanta 16" Simple Agrícola Centro 92</v>
      </c>
      <c r="AG145" s="3" t="str">
        <f>IFERROR(__xludf.DUMMYFUNCTION("""COMPUTED_VALUE"""),"Llanta 16"" Dual Agrícola Centro 92")</f>
        <v>Llanta 16" Dual Agrícola Centro 92</v>
      </c>
      <c r="AH145" s="3" t="str">
        <f>IFERROR(__xludf.DUMMYFUNCTION("""COMPUTED_VALUE"""),"Llanta 17"" Simple Agrícola Centro 92")</f>
        <v>Llanta 17" Simple Agrícola Centro 92</v>
      </c>
      <c r="AI145" s="3" t="str">
        <f>IFERROR(__xludf.DUMMYFUNCTION("""COMPUTED_VALUE"""),"Llanta 17"" Dual Agrícola Centro 92")</f>
        <v>Llanta 17" Dual Agrícola Centro 92</v>
      </c>
      <c r="AJ145" s="3" t="str">
        <f>IFERROR(__xludf.DUMMYFUNCTION("""COMPUTED_VALUE"""),"Llanta 16"" Dual Agrícola Centro 152")</f>
        <v>Llanta 16" Dual Agrícola Centro 152</v>
      </c>
      <c r="AK145" s="3" t="str">
        <f>IFERROR(__xludf.DUMMYFUNCTION("""COMPUTED_VALUE"""),"Llanta 17"" Dual Agrícola Centro 152")</f>
        <v>Llanta 17" Dual Agrícola Centro 152</v>
      </c>
      <c r="AL145" s="3" t="str">
        <f>IFERROR(__xludf.DUMMYFUNCTION("""COMPUTED_VALUE"""),"Eje Acoplado 2"" x 1600 (05/07) Agrícola Centro 92")</f>
        <v>Eje Acoplado 2" x 1600 (05/07) Agrícola Centro 92</v>
      </c>
      <c r="AM145" s="3" t="str">
        <f>IFERROR(__xludf.DUMMYFUNCTION("""COMPUTED_VALUE"""),"Paquete de Elásticos 50 mm x 8 mm x 12 Hojas")</f>
        <v>Paquete de Elásticos 50 mm x 8 mm x 12 Hojas</v>
      </c>
      <c r="AN145" s="3" t="str">
        <f>IFERROR(__xludf.DUMMYFUNCTION("""COMPUTED_VALUE"""),"Chasis Grua G1500 Standard")</f>
        <v>Chasis Grua G1500 Standard</v>
      </c>
      <c r="AO145" s="3" t="str">
        <f>IFERROR(__xludf.DUMMYFUNCTION("""COMPUTED_VALUE"""),"Chasis Grua G2000 Standard")</f>
        <v>Chasis Grua G2000 Standard</v>
      </c>
      <c r="AP145" s="3" t="str">
        <f>IFERROR(__xludf.DUMMYFUNCTION("""COMPUTED_VALUE"""),"Cilindros Pies Grua G2000")</f>
        <v>Cilindros Pies Grua G2000</v>
      </c>
      <c r="AQ145" s="3" t="str">
        <f>IFERROR(__xludf.DUMMYFUNCTION("""COMPUTED_VALUE"""),"Brazo Extendido Grua de Arrastre")</f>
        <v>Brazo Extendido Grua de Arrastre</v>
      </c>
      <c r="AR145" s="3" t="str">
        <f>IFERROR(__xludf.DUMMYFUNCTION("""COMPUTED_VALUE"""),"Barquilla Grua de Arrastre")</f>
        <v>Barquilla Grua de Arrastre</v>
      </c>
      <c r="AS145" s="3" t="str">
        <f>IFERROR(__xludf.DUMMYFUNCTION("""COMPUTED_VALUE"""),"Levanta Pallet Grua de Arrastre")</f>
        <v>Levanta Pallet Grua de Arrastre</v>
      </c>
      <c r="AT145" s="3" t="str">
        <f>IFERROR(__xludf.DUMMYFUNCTION("""COMPUTED_VALUE"""),"Central Hidráulica con Motor a Explosión")</f>
        <v>Central Hidráulica con Motor a Explosión</v>
      </c>
      <c r="AU145" s="3" t="str">
        <f>IFERROR(__xludf.DUMMYFUNCTION("""COMPUTED_VALUE"""),"Llanta simple Agrícola 750x20 centro 152")</f>
        <v>Llanta simple Agrícola 750x20 centro 152</v>
      </c>
      <c r="AV145" s="3" t="str">
        <f>IFERROR(__xludf.DUMMYFUNCTION("""COMPUTED_VALUE"""),"Llanta 15"" Simple Agrícola Centro 92")</f>
        <v>Llanta 15" Simple Agrícola Centro 92</v>
      </c>
    </row>
    <row r="146" hidden="1">
      <c r="A146" s="38">
        <f t="shared" si="1"/>
        <v>145</v>
      </c>
      <c r="B146" s="38">
        <f>IF(F146="","",SUMIF(Prearmados!E:E,F146,Prearmados!A:A))</f>
        <v>34</v>
      </c>
      <c r="C146" s="38">
        <f>IF(F146="","",SUMIF(Productos!E:E,G146,Productos!A:A))</f>
        <v>111</v>
      </c>
      <c r="D146" s="83" t="str">
        <f t="array" ref="D146">IF(OR(F146="",F146="Seleccionar.."),"",XLOOKUP(F146,Prearmados!E:E,Prearmados!F:F,"",0,1))</f>
        <v>Gruas</v>
      </c>
      <c r="E146" s="83">
        <f>IF(H146="","",SUMIF(Precio_Productos!K:K,C146,Precio_Productos!J:J)*H146)</f>
        <v>558000</v>
      </c>
      <c r="F146" s="84" t="s">
        <v>359</v>
      </c>
      <c r="G146" s="84" t="s">
        <v>130</v>
      </c>
      <c r="H146" s="13">
        <v>4.0</v>
      </c>
      <c r="P146" s="3" t="str">
        <f>IFERROR(__xludf.DUMMYFUNCTION("IF(OR(F146="""",F146=""Seleccionar..""),"""",TRANSPOSE(FILTER(Productos!E:E,(Productos!F:F=D146)+(Productos!F:F=XLOOKUP(D146,Implementos!B:B,Implementos!C:C,""-"",0,1)))))"),"Paquete de Elasticos 50 mm x 8 mm x 10 Hojas L850")</f>
        <v>Paquete de Elasticos 50 mm x 8 mm x 10 Hojas L850</v>
      </c>
      <c r="Q146" s="3" t="str">
        <f>IFERROR(__xludf.DUMMYFUNCTION("""COMPUTED_VALUE"""),"Paquete de Elasticos 63 mm x 8 mm x 10 Hojas L950")</f>
        <v>Paquete de Elasticos 63 mm x 8 mm x 10 Hojas L950</v>
      </c>
      <c r="R146" s="3" t="str">
        <f>IFERROR(__xludf.DUMMYFUNCTION("""COMPUTED_VALUE"""),"Paquete de Elasticos 50 mm x 7 mm x 9 Hojas L850")</f>
        <v>Paquete de Elasticos 50 mm x 7 mm x 9 Hojas L850</v>
      </c>
      <c r="S146" s="3" t="str">
        <f>IFERROR(__xludf.DUMMYFUNCTION("""COMPUTED_VALUE"""),"Paquete de Elasticos 63 mm x 8 mm x 8 Hojas L850")</f>
        <v>Paquete de Elasticos 63 mm x 8 mm x 8 Hojas L850</v>
      </c>
      <c r="T146" s="3" t="str">
        <f>IFERROR(__xludf.DUMMYFUNCTION("""COMPUTED_VALUE"""),"Paquete de Elasticos 63 mm x 10 mm x 10 Hojas L950")</f>
        <v>Paquete de Elasticos 63 mm x 10 mm x 10 Hojas L950</v>
      </c>
      <c r="U146" s="3" t="str">
        <f>IFERROR(__xludf.DUMMYFUNCTION("""COMPUTED_VALUE"""),"Paquete de Elasticos 63 mm x 10 mm x 13 Hojas L975")</f>
        <v>Paquete de Elasticos 63 mm x 10 mm x 13 Hojas L975</v>
      </c>
      <c r="V146" s="3" t="str">
        <f>IFERROR(__xludf.DUMMYFUNCTION("""COMPUTED_VALUE"""),"Paquete de Elasticos 50 mm x 7 mm x 9 Hojas L650")</f>
        <v>Paquete de Elasticos 50 mm x 7 mm x 9 Hojas L650</v>
      </c>
      <c r="W146" s="3" t="str">
        <f>IFERROR(__xludf.DUMMYFUNCTION("""COMPUTED_VALUE"""),"Eje Acoplado 2"" x 1600 (06/08) Agrícola Centro 92")</f>
        <v>Eje Acoplado 2" x 1600 (06/08) Agrícola Centro 92</v>
      </c>
      <c r="X146" s="3" t="str">
        <f>IFERROR(__xludf.DUMMYFUNCTION("""COMPUTED_VALUE"""),"Eje Acoplado 2 1/2"" x 1600 (07/09) Agrícola Centro 92")</f>
        <v>Eje Acoplado 2 1/2" x 1600 (07/09) Agrícola Centro 92</v>
      </c>
      <c r="Y146" s="3" t="str">
        <f>IFERROR(__xludf.DUMMYFUNCTION("""COMPUTED_VALUE"""),"Eje Acoplado 2 1/2"" x 1600 (09/11) Agrícola Centro 150")</f>
        <v>Eje Acoplado 2 1/2" x 1600 (09/11) Agrícola Centro 150</v>
      </c>
      <c r="Z146" s="3" t="str">
        <f>IFERROR(__xludf.DUMMYFUNCTION("""COMPUTED_VALUE"""),"Eje Acoplado 3"" x 1600 (10/13) Agrícola Centro 150")</f>
        <v>Eje Acoplado 3" x 1600 (10/13) Agrícola Centro 150</v>
      </c>
      <c r="AA146" s="3" t="str">
        <f>IFERROR(__xludf.DUMMYFUNCTION("""COMPUTED_VALUE"""),"Eje Acoplado 2 1/2"" x 2140 (07/09) Agrícola Centro 92")</f>
        <v>Eje Acoplado 2 1/2" x 2140 (07/09) Agrícola Centro 92</v>
      </c>
      <c r="AB146" s="3" t="str">
        <f>IFERROR(__xludf.DUMMYFUNCTION("""COMPUTED_VALUE"""),"Eje Acoplado 2"" x 1400 (06/08) Agrícola Centro 92")</f>
        <v>Eje Acoplado 2" x 1400 (06/08) Agrícola Centro 92</v>
      </c>
      <c r="AC146" s="3" t="str">
        <f>IFERROR(__xludf.DUMMYFUNCTION("""COMPUTED_VALUE"""),"Eje Acoplado 2 1/2"" x 1500 (07/09) Agrícola Centro 92")</f>
        <v>Eje Acoplado 2 1/2" x 1500 (07/09) Agrícola Centro 92</v>
      </c>
      <c r="AD146" s="3" t="str">
        <f>IFERROR(__xludf.DUMMYFUNCTION("""COMPUTED_VALUE"""),"Eje Acoplado 2 1/2"" x 2000 (07/09) Agrícola Centro 92")</f>
        <v>Eje Acoplado 2 1/2" x 2000 (07/09) Agrícola Centro 92</v>
      </c>
      <c r="AE146" s="3" t="str">
        <f>IFERROR(__xludf.DUMMYFUNCTION("""COMPUTED_VALUE"""),"Eje Acoplado 2 1/2"" x 2100 (09/11) Agrícola Centro 150")</f>
        <v>Eje Acoplado 2 1/2" x 2100 (09/11) Agrícola Centro 150</v>
      </c>
      <c r="AF146" s="3" t="str">
        <f>IFERROR(__xludf.DUMMYFUNCTION("""COMPUTED_VALUE"""),"Llanta 16"" Simple Agrícola Centro 92")</f>
        <v>Llanta 16" Simple Agrícola Centro 92</v>
      </c>
      <c r="AG146" s="3" t="str">
        <f>IFERROR(__xludf.DUMMYFUNCTION("""COMPUTED_VALUE"""),"Llanta 16"" Dual Agrícola Centro 92")</f>
        <v>Llanta 16" Dual Agrícola Centro 92</v>
      </c>
      <c r="AH146" s="3" t="str">
        <f>IFERROR(__xludf.DUMMYFUNCTION("""COMPUTED_VALUE"""),"Llanta 17"" Simple Agrícola Centro 92")</f>
        <v>Llanta 17" Simple Agrícola Centro 92</v>
      </c>
      <c r="AI146" s="3" t="str">
        <f>IFERROR(__xludf.DUMMYFUNCTION("""COMPUTED_VALUE"""),"Llanta 17"" Dual Agrícola Centro 92")</f>
        <v>Llanta 17" Dual Agrícola Centro 92</v>
      </c>
      <c r="AJ146" s="3" t="str">
        <f>IFERROR(__xludf.DUMMYFUNCTION("""COMPUTED_VALUE"""),"Llanta 16"" Dual Agrícola Centro 152")</f>
        <v>Llanta 16" Dual Agrícola Centro 152</v>
      </c>
      <c r="AK146" s="3" t="str">
        <f>IFERROR(__xludf.DUMMYFUNCTION("""COMPUTED_VALUE"""),"Llanta 17"" Dual Agrícola Centro 152")</f>
        <v>Llanta 17" Dual Agrícola Centro 152</v>
      </c>
      <c r="AL146" s="3" t="str">
        <f>IFERROR(__xludf.DUMMYFUNCTION("""COMPUTED_VALUE"""),"Eje Acoplado 2"" x 1600 (05/07) Agrícola Centro 92")</f>
        <v>Eje Acoplado 2" x 1600 (05/07) Agrícola Centro 92</v>
      </c>
      <c r="AM146" s="3" t="str">
        <f>IFERROR(__xludf.DUMMYFUNCTION("""COMPUTED_VALUE"""),"Paquete de Elásticos 50 mm x 8 mm x 12 Hojas")</f>
        <v>Paquete de Elásticos 50 mm x 8 mm x 12 Hojas</v>
      </c>
      <c r="AN146" s="3" t="str">
        <f>IFERROR(__xludf.DUMMYFUNCTION("""COMPUTED_VALUE"""),"Chasis Grua G1500 Standard")</f>
        <v>Chasis Grua G1500 Standard</v>
      </c>
      <c r="AO146" s="3" t="str">
        <f>IFERROR(__xludf.DUMMYFUNCTION("""COMPUTED_VALUE"""),"Chasis Grua G2000 Standard")</f>
        <v>Chasis Grua G2000 Standard</v>
      </c>
      <c r="AP146" s="3" t="str">
        <f>IFERROR(__xludf.DUMMYFUNCTION("""COMPUTED_VALUE"""),"Cilindros Pies Grua G2000")</f>
        <v>Cilindros Pies Grua G2000</v>
      </c>
      <c r="AQ146" s="3" t="str">
        <f>IFERROR(__xludf.DUMMYFUNCTION("""COMPUTED_VALUE"""),"Brazo Extendido Grua de Arrastre")</f>
        <v>Brazo Extendido Grua de Arrastre</v>
      </c>
      <c r="AR146" s="3" t="str">
        <f>IFERROR(__xludf.DUMMYFUNCTION("""COMPUTED_VALUE"""),"Barquilla Grua de Arrastre")</f>
        <v>Barquilla Grua de Arrastre</v>
      </c>
      <c r="AS146" s="3" t="str">
        <f>IFERROR(__xludf.DUMMYFUNCTION("""COMPUTED_VALUE"""),"Levanta Pallet Grua de Arrastre")</f>
        <v>Levanta Pallet Grua de Arrastre</v>
      </c>
      <c r="AT146" s="3" t="str">
        <f>IFERROR(__xludf.DUMMYFUNCTION("""COMPUTED_VALUE"""),"Central Hidráulica con Motor a Explosión")</f>
        <v>Central Hidráulica con Motor a Explosión</v>
      </c>
      <c r="AU146" s="3" t="str">
        <f>IFERROR(__xludf.DUMMYFUNCTION("""COMPUTED_VALUE"""),"Llanta simple Agrícola 750x20 centro 152")</f>
        <v>Llanta simple Agrícola 750x20 centro 152</v>
      </c>
      <c r="AV146" s="3" t="str">
        <f>IFERROR(__xludf.DUMMYFUNCTION("""COMPUTED_VALUE"""),"Llanta 15"" Simple Agrícola Centro 92")</f>
        <v>Llanta 15" Simple Agrícola Centro 92</v>
      </c>
    </row>
    <row r="147">
      <c r="A147" s="38">
        <f t="shared" si="1"/>
        <v>146</v>
      </c>
      <c r="B147" s="38">
        <f>IF(F147="","",SUMIF(Prearmados!E:E,F147,Prearmados!A:A))</f>
        <v>35</v>
      </c>
      <c r="C147" s="38">
        <f>IF(F147="","",SUMIF(Productos!E:E,G147,Productos!A:A))</f>
        <v>133</v>
      </c>
      <c r="D147" s="83" t="str">
        <f t="array" ref="D147">IF(OR(F147="",F147="Seleccionar.."),"",XLOOKUP(F147,Prearmados!E:E,Prearmados!F:F,"",0,1))</f>
        <v>Gruas</v>
      </c>
      <c r="E147" s="83">
        <f>IF(H147="","",SUMIF(Precio_Productos!K:K,C147,Precio_Productos!J:J)*H147)</f>
        <v>9942000</v>
      </c>
      <c r="F147" s="84" t="s">
        <v>360</v>
      </c>
      <c r="G147" s="84" t="s">
        <v>44</v>
      </c>
      <c r="H147" s="13">
        <v>1.0</v>
      </c>
      <c r="P147" s="3" t="str">
        <f>IFERROR(__xludf.DUMMYFUNCTION("IF(OR(F147="""",F147=""Seleccionar..""),"""",TRANSPOSE(FILTER(Productos!E:E,(Productos!F:F=D147)+(Productos!F:F=XLOOKUP(D147,Implementos!B:B,Implementos!C:C,""-"",0,1)))))"),"Paquete de Elasticos 50 mm x 8 mm x 10 Hojas L850")</f>
        <v>Paquete de Elasticos 50 mm x 8 mm x 10 Hojas L850</v>
      </c>
      <c r="Q147" s="3" t="str">
        <f>IFERROR(__xludf.DUMMYFUNCTION("""COMPUTED_VALUE"""),"Paquete de Elasticos 63 mm x 8 mm x 10 Hojas L950")</f>
        <v>Paquete de Elasticos 63 mm x 8 mm x 10 Hojas L950</v>
      </c>
      <c r="R147" s="3" t="str">
        <f>IFERROR(__xludf.DUMMYFUNCTION("""COMPUTED_VALUE"""),"Paquete de Elasticos 50 mm x 7 mm x 9 Hojas L850")</f>
        <v>Paquete de Elasticos 50 mm x 7 mm x 9 Hojas L850</v>
      </c>
      <c r="S147" s="3" t="str">
        <f>IFERROR(__xludf.DUMMYFUNCTION("""COMPUTED_VALUE"""),"Paquete de Elasticos 63 mm x 8 mm x 8 Hojas L850")</f>
        <v>Paquete de Elasticos 63 mm x 8 mm x 8 Hojas L850</v>
      </c>
      <c r="T147" s="3" t="str">
        <f>IFERROR(__xludf.DUMMYFUNCTION("""COMPUTED_VALUE"""),"Paquete de Elasticos 63 mm x 10 mm x 10 Hojas L950")</f>
        <v>Paquete de Elasticos 63 mm x 10 mm x 10 Hojas L950</v>
      </c>
      <c r="U147" s="3" t="str">
        <f>IFERROR(__xludf.DUMMYFUNCTION("""COMPUTED_VALUE"""),"Paquete de Elasticos 63 mm x 10 mm x 13 Hojas L975")</f>
        <v>Paquete de Elasticos 63 mm x 10 mm x 13 Hojas L975</v>
      </c>
      <c r="V147" s="3" t="str">
        <f>IFERROR(__xludf.DUMMYFUNCTION("""COMPUTED_VALUE"""),"Paquete de Elasticos 50 mm x 7 mm x 9 Hojas L650")</f>
        <v>Paquete de Elasticos 50 mm x 7 mm x 9 Hojas L650</v>
      </c>
      <c r="W147" s="3" t="str">
        <f>IFERROR(__xludf.DUMMYFUNCTION("""COMPUTED_VALUE"""),"Eje Acoplado 2"" x 1600 (06/08) Agrícola Centro 92")</f>
        <v>Eje Acoplado 2" x 1600 (06/08) Agrícola Centro 92</v>
      </c>
      <c r="X147" s="3" t="str">
        <f>IFERROR(__xludf.DUMMYFUNCTION("""COMPUTED_VALUE"""),"Eje Acoplado 2 1/2"" x 1600 (07/09) Agrícola Centro 92")</f>
        <v>Eje Acoplado 2 1/2" x 1600 (07/09) Agrícola Centro 92</v>
      </c>
      <c r="Y147" s="3" t="str">
        <f>IFERROR(__xludf.DUMMYFUNCTION("""COMPUTED_VALUE"""),"Eje Acoplado 2 1/2"" x 1600 (09/11) Agrícola Centro 150")</f>
        <v>Eje Acoplado 2 1/2" x 1600 (09/11) Agrícola Centro 150</v>
      </c>
      <c r="Z147" s="3" t="str">
        <f>IFERROR(__xludf.DUMMYFUNCTION("""COMPUTED_VALUE"""),"Eje Acoplado 3"" x 1600 (10/13) Agrícola Centro 150")</f>
        <v>Eje Acoplado 3" x 1600 (10/13) Agrícola Centro 150</v>
      </c>
      <c r="AA147" s="3" t="str">
        <f>IFERROR(__xludf.DUMMYFUNCTION("""COMPUTED_VALUE"""),"Eje Acoplado 2 1/2"" x 2140 (07/09) Agrícola Centro 92")</f>
        <v>Eje Acoplado 2 1/2" x 2140 (07/09) Agrícola Centro 92</v>
      </c>
      <c r="AB147" s="3" t="str">
        <f>IFERROR(__xludf.DUMMYFUNCTION("""COMPUTED_VALUE"""),"Eje Acoplado 2"" x 1400 (06/08) Agrícola Centro 92")</f>
        <v>Eje Acoplado 2" x 1400 (06/08) Agrícola Centro 92</v>
      </c>
      <c r="AC147" s="3" t="str">
        <f>IFERROR(__xludf.DUMMYFUNCTION("""COMPUTED_VALUE"""),"Eje Acoplado 2 1/2"" x 1500 (07/09) Agrícola Centro 92")</f>
        <v>Eje Acoplado 2 1/2" x 1500 (07/09) Agrícola Centro 92</v>
      </c>
      <c r="AD147" s="3" t="str">
        <f>IFERROR(__xludf.DUMMYFUNCTION("""COMPUTED_VALUE"""),"Eje Acoplado 2 1/2"" x 2000 (07/09) Agrícola Centro 92")</f>
        <v>Eje Acoplado 2 1/2" x 2000 (07/09) Agrícola Centro 92</v>
      </c>
      <c r="AE147" s="3" t="str">
        <f>IFERROR(__xludf.DUMMYFUNCTION("""COMPUTED_VALUE"""),"Eje Acoplado 2 1/2"" x 2100 (09/11) Agrícola Centro 150")</f>
        <v>Eje Acoplado 2 1/2" x 2100 (09/11) Agrícola Centro 150</v>
      </c>
      <c r="AF147" s="3" t="str">
        <f>IFERROR(__xludf.DUMMYFUNCTION("""COMPUTED_VALUE"""),"Llanta 16"" Simple Agrícola Centro 92")</f>
        <v>Llanta 16" Simple Agrícola Centro 92</v>
      </c>
      <c r="AG147" s="3" t="str">
        <f>IFERROR(__xludf.DUMMYFUNCTION("""COMPUTED_VALUE"""),"Llanta 16"" Dual Agrícola Centro 92")</f>
        <v>Llanta 16" Dual Agrícola Centro 92</v>
      </c>
      <c r="AH147" s="3" t="str">
        <f>IFERROR(__xludf.DUMMYFUNCTION("""COMPUTED_VALUE"""),"Llanta 17"" Simple Agrícola Centro 92")</f>
        <v>Llanta 17" Simple Agrícola Centro 92</v>
      </c>
      <c r="AI147" s="3" t="str">
        <f>IFERROR(__xludf.DUMMYFUNCTION("""COMPUTED_VALUE"""),"Llanta 17"" Dual Agrícola Centro 92")</f>
        <v>Llanta 17" Dual Agrícola Centro 92</v>
      </c>
      <c r="AJ147" s="3" t="str">
        <f>IFERROR(__xludf.DUMMYFUNCTION("""COMPUTED_VALUE"""),"Llanta 16"" Dual Agrícola Centro 152")</f>
        <v>Llanta 16" Dual Agrícola Centro 152</v>
      </c>
      <c r="AK147" s="3" t="str">
        <f>IFERROR(__xludf.DUMMYFUNCTION("""COMPUTED_VALUE"""),"Llanta 17"" Dual Agrícola Centro 152")</f>
        <v>Llanta 17" Dual Agrícola Centro 152</v>
      </c>
      <c r="AL147" s="3" t="str">
        <f>IFERROR(__xludf.DUMMYFUNCTION("""COMPUTED_VALUE"""),"Eje Acoplado 2"" x 1600 (05/07) Agrícola Centro 92")</f>
        <v>Eje Acoplado 2" x 1600 (05/07) Agrícola Centro 92</v>
      </c>
      <c r="AM147" s="3" t="str">
        <f>IFERROR(__xludf.DUMMYFUNCTION("""COMPUTED_VALUE"""),"Paquete de Elásticos 50 mm x 8 mm x 12 Hojas")</f>
        <v>Paquete de Elásticos 50 mm x 8 mm x 12 Hojas</v>
      </c>
      <c r="AN147" s="3" t="str">
        <f>IFERROR(__xludf.DUMMYFUNCTION("""COMPUTED_VALUE"""),"Chasis Grua G1500 Standard")</f>
        <v>Chasis Grua G1500 Standard</v>
      </c>
      <c r="AO147" s="3" t="str">
        <f>IFERROR(__xludf.DUMMYFUNCTION("""COMPUTED_VALUE"""),"Chasis Grua G2000 Standard")</f>
        <v>Chasis Grua G2000 Standard</v>
      </c>
      <c r="AP147" s="3" t="str">
        <f>IFERROR(__xludf.DUMMYFUNCTION("""COMPUTED_VALUE"""),"Cilindros Pies Grua G2000")</f>
        <v>Cilindros Pies Grua G2000</v>
      </c>
      <c r="AQ147" s="3" t="str">
        <f>IFERROR(__xludf.DUMMYFUNCTION("""COMPUTED_VALUE"""),"Brazo Extendido Grua de Arrastre")</f>
        <v>Brazo Extendido Grua de Arrastre</v>
      </c>
      <c r="AR147" s="3" t="str">
        <f>IFERROR(__xludf.DUMMYFUNCTION("""COMPUTED_VALUE"""),"Barquilla Grua de Arrastre")</f>
        <v>Barquilla Grua de Arrastre</v>
      </c>
      <c r="AS147" s="3" t="str">
        <f>IFERROR(__xludf.DUMMYFUNCTION("""COMPUTED_VALUE"""),"Levanta Pallet Grua de Arrastre")</f>
        <v>Levanta Pallet Grua de Arrastre</v>
      </c>
      <c r="AT147" s="3" t="str">
        <f>IFERROR(__xludf.DUMMYFUNCTION("""COMPUTED_VALUE"""),"Central Hidráulica con Motor a Explosión")</f>
        <v>Central Hidráulica con Motor a Explosión</v>
      </c>
      <c r="AU147" s="3" t="str">
        <f>IFERROR(__xludf.DUMMYFUNCTION("""COMPUTED_VALUE"""),"Llanta simple Agrícola 750x20 centro 152")</f>
        <v>Llanta simple Agrícola 750x20 centro 152</v>
      </c>
      <c r="AV147" s="3" t="str">
        <f>IFERROR(__xludf.DUMMYFUNCTION("""COMPUTED_VALUE"""),"Llanta 15"" Simple Agrícola Centro 92")</f>
        <v>Llanta 15" Simple Agrícola Centro 92</v>
      </c>
    </row>
    <row r="148">
      <c r="A148" s="38">
        <f t="shared" si="1"/>
        <v>147</v>
      </c>
      <c r="B148" s="38">
        <f>IF(F148="","",SUMIF(Prearmados!E:E,F148,Prearmados!A:A))</f>
        <v>35</v>
      </c>
      <c r="C148" s="38">
        <f>IF(F148="","",SUMIF(Productos!E:E,G148,Productos!A:A))</f>
        <v>134</v>
      </c>
      <c r="D148" s="83" t="str">
        <f t="array" ref="D148">IF(OR(F148="",F148="Seleccionar.."),"",XLOOKUP(F148,Prearmados!E:E,Prearmados!F:F,"",0,1))</f>
        <v>Gruas</v>
      </c>
      <c r="E148" s="83">
        <f>IF(H148="","",SUMIF(Precio_Productos!K:K,C148,Precio_Productos!J:J)*H148)</f>
        <v>2442810</v>
      </c>
      <c r="F148" s="84" t="s">
        <v>360</v>
      </c>
      <c r="G148" s="84" t="s">
        <v>150</v>
      </c>
      <c r="H148" s="13">
        <v>1.0</v>
      </c>
      <c r="P148" s="3" t="str">
        <f>IFERROR(__xludf.DUMMYFUNCTION("IF(OR(F148="""",F148=""Seleccionar..""),"""",TRANSPOSE(FILTER(Productos!E:E,(Productos!F:F=D148)+(Productos!F:F=XLOOKUP(D148,Implementos!B:B,Implementos!C:C,""-"",0,1)))))"),"Paquete de Elasticos 50 mm x 8 mm x 10 Hojas L850")</f>
        <v>Paquete de Elasticos 50 mm x 8 mm x 10 Hojas L850</v>
      </c>
      <c r="Q148" s="3" t="str">
        <f>IFERROR(__xludf.DUMMYFUNCTION("""COMPUTED_VALUE"""),"Paquete de Elasticos 63 mm x 8 mm x 10 Hojas L950")</f>
        <v>Paquete de Elasticos 63 mm x 8 mm x 10 Hojas L950</v>
      </c>
      <c r="R148" s="3" t="str">
        <f>IFERROR(__xludf.DUMMYFUNCTION("""COMPUTED_VALUE"""),"Paquete de Elasticos 50 mm x 7 mm x 9 Hojas L850")</f>
        <v>Paquete de Elasticos 50 mm x 7 mm x 9 Hojas L850</v>
      </c>
      <c r="S148" s="3" t="str">
        <f>IFERROR(__xludf.DUMMYFUNCTION("""COMPUTED_VALUE"""),"Paquete de Elasticos 63 mm x 8 mm x 8 Hojas L850")</f>
        <v>Paquete de Elasticos 63 mm x 8 mm x 8 Hojas L850</v>
      </c>
      <c r="T148" s="3" t="str">
        <f>IFERROR(__xludf.DUMMYFUNCTION("""COMPUTED_VALUE"""),"Paquete de Elasticos 63 mm x 10 mm x 10 Hojas L950")</f>
        <v>Paquete de Elasticos 63 mm x 10 mm x 10 Hojas L950</v>
      </c>
      <c r="U148" s="3" t="str">
        <f>IFERROR(__xludf.DUMMYFUNCTION("""COMPUTED_VALUE"""),"Paquete de Elasticos 63 mm x 10 mm x 13 Hojas L975")</f>
        <v>Paquete de Elasticos 63 mm x 10 mm x 13 Hojas L975</v>
      </c>
      <c r="V148" s="3" t="str">
        <f>IFERROR(__xludf.DUMMYFUNCTION("""COMPUTED_VALUE"""),"Paquete de Elasticos 50 mm x 7 mm x 9 Hojas L650")</f>
        <v>Paquete de Elasticos 50 mm x 7 mm x 9 Hojas L650</v>
      </c>
      <c r="W148" s="3" t="str">
        <f>IFERROR(__xludf.DUMMYFUNCTION("""COMPUTED_VALUE"""),"Eje Acoplado 2"" x 1600 (06/08) Agrícola Centro 92")</f>
        <v>Eje Acoplado 2" x 1600 (06/08) Agrícola Centro 92</v>
      </c>
      <c r="X148" s="3" t="str">
        <f>IFERROR(__xludf.DUMMYFUNCTION("""COMPUTED_VALUE"""),"Eje Acoplado 2 1/2"" x 1600 (07/09) Agrícola Centro 92")</f>
        <v>Eje Acoplado 2 1/2" x 1600 (07/09) Agrícola Centro 92</v>
      </c>
      <c r="Y148" s="3" t="str">
        <f>IFERROR(__xludf.DUMMYFUNCTION("""COMPUTED_VALUE"""),"Eje Acoplado 2 1/2"" x 1600 (09/11) Agrícola Centro 150")</f>
        <v>Eje Acoplado 2 1/2" x 1600 (09/11) Agrícola Centro 150</v>
      </c>
      <c r="Z148" s="3" t="str">
        <f>IFERROR(__xludf.DUMMYFUNCTION("""COMPUTED_VALUE"""),"Eje Acoplado 3"" x 1600 (10/13) Agrícola Centro 150")</f>
        <v>Eje Acoplado 3" x 1600 (10/13) Agrícola Centro 150</v>
      </c>
      <c r="AA148" s="3" t="str">
        <f>IFERROR(__xludf.DUMMYFUNCTION("""COMPUTED_VALUE"""),"Eje Acoplado 2 1/2"" x 2140 (07/09) Agrícola Centro 92")</f>
        <v>Eje Acoplado 2 1/2" x 2140 (07/09) Agrícola Centro 92</v>
      </c>
      <c r="AB148" s="3" t="str">
        <f>IFERROR(__xludf.DUMMYFUNCTION("""COMPUTED_VALUE"""),"Eje Acoplado 2"" x 1400 (06/08) Agrícola Centro 92")</f>
        <v>Eje Acoplado 2" x 1400 (06/08) Agrícola Centro 92</v>
      </c>
      <c r="AC148" s="3" t="str">
        <f>IFERROR(__xludf.DUMMYFUNCTION("""COMPUTED_VALUE"""),"Eje Acoplado 2 1/2"" x 1500 (07/09) Agrícola Centro 92")</f>
        <v>Eje Acoplado 2 1/2" x 1500 (07/09) Agrícola Centro 92</v>
      </c>
      <c r="AD148" s="3" t="str">
        <f>IFERROR(__xludf.DUMMYFUNCTION("""COMPUTED_VALUE"""),"Eje Acoplado 2 1/2"" x 2000 (07/09) Agrícola Centro 92")</f>
        <v>Eje Acoplado 2 1/2" x 2000 (07/09) Agrícola Centro 92</v>
      </c>
      <c r="AE148" s="3" t="str">
        <f>IFERROR(__xludf.DUMMYFUNCTION("""COMPUTED_VALUE"""),"Eje Acoplado 2 1/2"" x 2100 (09/11) Agrícola Centro 150")</f>
        <v>Eje Acoplado 2 1/2" x 2100 (09/11) Agrícola Centro 150</v>
      </c>
      <c r="AF148" s="3" t="str">
        <f>IFERROR(__xludf.DUMMYFUNCTION("""COMPUTED_VALUE"""),"Llanta 16"" Simple Agrícola Centro 92")</f>
        <v>Llanta 16" Simple Agrícola Centro 92</v>
      </c>
      <c r="AG148" s="3" t="str">
        <f>IFERROR(__xludf.DUMMYFUNCTION("""COMPUTED_VALUE"""),"Llanta 16"" Dual Agrícola Centro 92")</f>
        <v>Llanta 16" Dual Agrícola Centro 92</v>
      </c>
      <c r="AH148" s="3" t="str">
        <f>IFERROR(__xludf.DUMMYFUNCTION("""COMPUTED_VALUE"""),"Llanta 17"" Simple Agrícola Centro 92")</f>
        <v>Llanta 17" Simple Agrícola Centro 92</v>
      </c>
      <c r="AI148" s="3" t="str">
        <f>IFERROR(__xludf.DUMMYFUNCTION("""COMPUTED_VALUE"""),"Llanta 17"" Dual Agrícola Centro 92")</f>
        <v>Llanta 17" Dual Agrícola Centro 92</v>
      </c>
      <c r="AJ148" s="3" t="str">
        <f>IFERROR(__xludf.DUMMYFUNCTION("""COMPUTED_VALUE"""),"Llanta 16"" Dual Agrícola Centro 152")</f>
        <v>Llanta 16" Dual Agrícola Centro 152</v>
      </c>
      <c r="AK148" s="3" t="str">
        <f>IFERROR(__xludf.DUMMYFUNCTION("""COMPUTED_VALUE"""),"Llanta 17"" Dual Agrícola Centro 152")</f>
        <v>Llanta 17" Dual Agrícola Centro 152</v>
      </c>
      <c r="AL148" s="3" t="str">
        <f>IFERROR(__xludf.DUMMYFUNCTION("""COMPUTED_VALUE"""),"Eje Acoplado 2"" x 1600 (05/07) Agrícola Centro 92")</f>
        <v>Eje Acoplado 2" x 1600 (05/07) Agrícola Centro 92</v>
      </c>
      <c r="AM148" s="3" t="str">
        <f>IFERROR(__xludf.DUMMYFUNCTION("""COMPUTED_VALUE"""),"Paquete de Elásticos 50 mm x 8 mm x 12 Hojas")</f>
        <v>Paquete de Elásticos 50 mm x 8 mm x 12 Hojas</v>
      </c>
      <c r="AN148" s="3" t="str">
        <f>IFERROR(__xludf.DUMMYFUNCTION("""COMPUTED_VALUE"""),"Chasis Grua G1500 Standard")</f>
        <v>Chasis Grua G1500 Standard</v>
      </c>
      <c r="AO148" s="3" t="str">
        <f>IFERROR(__xludf.DUMMYFUNCTION("""COMPUTED_VALUE"""),"Chasis Grua G2000 Standard")</f>
        <v>Chasis Grua G2000 Standard</v>
      </c>
      <c r="AP148" s="3" t="str">
        <f>IFERROR(__xludf.DUMMYFUNCTION("""COMPUTED_VALUE"""),"Cilindros Pies Grua G2000")</f>
        <v>Cilindros Pies Grua G2000</v>
      </c>
      <c r="AQ148" s="3" t="str">
        <f>IFERROR(__xludf.DUMMYFUNCTION("""COMPUTED_VALUE"""),"Brazo Extendido Grua de Arrastre")</f>
        <v>Brazo Extendido Grua de Arrastre</v>
      </c>
      <c r="AR148" s="3" t="str">
        <f>IFERROR(__xludf.DUMMYFUNCTION("""COMPUTED_VALUE"""),"Barquilla Grua de Arrastre")</f>
        <v>Barquilla Grua de Arrastre</v>
      </c>
      <c r="AS148" s="3" t="str">
        <f>IFERROR(__xludf.DUMMYFUNCTION("""COMPUTED_VALUE"""),"Levanta Pallet Grua de Arrastre")</f>
        <v>Levanta Pallet Grua de Arrastre</v>
      </c>
      <c r="AT148" s="3" t="str">
        <f>IFERROR(__xludf.DUMMYFUNCTION("""COMPUTED_VALUE"""),"Central Hidráulica con Motor a Explosión")</f>
        <v>Central Hidráulica con Motor a Explosión</v>
      </c>
      <c r="AU148" s="3" t="str">
        <f>IFERROR(__xludf.DUMMYFUNCTION("""COMPUTED_VALUE"""),"Llanta simple Agrícola 750x20 centro 152")</f>
        <v>Llanta simple Agrícola 750x20 centro 152</v>
      </c>
      <c r="AV148" s="3" t="str">
        <f>IFERROR(__xludf.DUMMYFUNCTION("""COMPUTED_VALUE"""),"Llanta 15"" Simple Agrícola Centro 92")</f>
        <v>Llanta 15" Simple Agrícola Centro 92</v>
      </c>
    </row>
    <row r="149">
      <c r="A149" s="38">
        <f t="shared" si="1"/>
        <v>148</v>
      </c>
      <c r="B149" s="38">
        <f>IF(F149="","",SUMIF(Prearmados!E:E,F149,Prearmados!A:A))</f>
        <v>35</v>
      </c>
      <c r="C149" s="38">
        <f>IF(F149="","",SUMIF(Productos!E:E,G149,Productos!A:A))</f>
        <v>111</v>
      </c>
      <c r="D149" s="83" t="str">
        <f t="array" ref="D149">IF(OR(F149="",F149="Seleccionar.."),"",XLOOKUP(F149,Prearmados!E:E,Prearmados!F:F,"",0,1))</f>
        <v>Gruas</v>
      </c>
      <c r="E149" s="83">
        <f>IF(H149="","",SUMIF(Precio_Productos!K:K,C149,Precio_Productos!J:J)*H149)</f>
        <v>558000</v>
      </c>
      <c r="F149" s="84" t="s">
        <v>360</v>
      </c>
      <c r="G149" s="84" t="s">
        <v>130</v>
      </c>
      <c r="H149" s="13">
        <v>4.0</v>
      </c>
      <c r="P149" s="3" t="str">
        <f>IFERROR(__xludf.DUMMYFUNCTION("IF(OR(F149="""",F149=""Seleccionar..""),"""",TRANSPOSE(FILTER(Productos!E:E,(Productos!F:F=D149)+(Productos!F:F=XLOOKUP(D149,Implementos!B:B,Implementos!C:C,""-"",0,1)))))"),"Paquete de Elasticos 50 mm x 8 mm x 10 Hojas L850")</f>
        <v>Paquete de Elasticos 50 mm x 8 mm x 10 Hojas L850</v>
      </c>
      <c r="Q149" s="3" t="str">
        <f>IFERROR(__xludf.DUMMYFUNCTION("""COMPUTED_VALUE"""),"Paquete de Elasticos 63 mm x 8 mm x 10 Hojas L950")</f>
        <v>Paquete de Elasticos 63 mm x 8 mm x 10 Hojas L950</v>
      </c>
      <c r="R149" s="3" t="str">
        <f>IFERROR(__xludf.DUMMYFUNCTION("""COMPUTED_VALUE"""),"Paquete de Elasticos 50 mm x 7 mm x 9 Hojas L850")</f>
        <v>Paquete de Elasticos 50 mm x 7 mm x 9 Hojas L850</v>
      </c>
      <c r="S149" s="3" t="str">
        <f>IFERROR(__xludf.DUMMYFUNCTION("""COMPUTED_VALUE"""),"Paquete de Elasticos 63 mm x 8 mm x 8 Hojas L850")</f>
        <v>Paquete de Elasticos 63 mm x 8 mm x 8 Hojas L850</v>
      </c>
      <c r="T149" s="3" t="str">
        <f>IFERROR(__xludf.DUMMYFUNCTION("""COMPUTED_VALUE"""),"Paquete de Elasticos 63 mm x 10 mm x 10 Hojas L950")</f>
        <v>Paquete de Elasticos 63 mm x 10 mm x 10 Hojas L950</v>
      </c>
      <c r="U149" s="3" t="str">
        <f>IFERROR(__xludf.DUMMYFUNCTION("""COMPUTED_VALUE"""),"Paquete de Elasticos 63 mm x 10 mm x 13 Hojas L975")</f>
        <v>Paquete de Elasticos 63 mm x 10 mm x 13 Hojas L975</v>
      </c>
      <c r="V149" s="3" t="str">
        <f>IFERROR(__xludf.DUMMYFUNCTION("""COMPUTED_VALUE"""),"Paquete de Elasticos 50 mm x 7 mm x 9 Hojas L650")</f>
        <v>Paquete de Elasticos 50 mm x 7 mm x 9 Hojas L650</v>
      </c>
      <c r="W149" s="3" t="str">
        <f>IFERROR(__xludf.DUMMYFUNCTION("""COMPUTED_VALUE"""),"Eje Acoplado 2"" x 1600 (06/08) Agrícola Centro 92")</f>
        <v>Eje Acoplado 2" x 1600 (06/08) Agrícola Centro 92</v>
      </c>
      <c r="X149" s="3" t="str">
        <f>IFERROR(__xludf.DUMMYFUNCTION("""COMPUTED_VALUE"""),"Eje Acoplado 2 1/2"" x 1600 (07/09) Agrícola Centro 92")</f>
        <v>Eje Acoplado 2 1/2" x 1600 (07/09) Agrícola Centro 92</v>
      </c>
      <c r="Y149" s="3" t="str">
        <f>IFERROR(__xludf.DUMMYFUNCTION("""COMPUTED_VALUE"""),"Eje Acoplado 2 1/2"" x 1600 (09/11) Agrícola Centro 150")</f>
        <v>Eje Acoplado 2 1/2" x 1600 (09/11) Agrícola Centro 150</v>
      </c>
      <c r="Z149" s="3" t="str">
        <f>IFERROR(__xludf.DUMMYFUNCTION("""COMPUTED_VALUE"""),"Eje Acoplado 3"" x 1600 (10/13) Agrícola Centro 150")</f>
        <v>Eje Acoplado 3" x 1600 (10/13) Agrícola Centro 150</v>
      </c>
      <c r="AA149" s="3" t="str">
        <f>IFERROR(__xludf.DUMMYFUNCTION("""COMPUTED_VALUE"""),"Eje Acoplado 2 1/2"" x 2140 (07/09) Agrícola Centro 92")</f>
        <v>Eje Acoplado 2 1/2" x 2140 (07/09) Agrícola Centro 92</v>
      </c>
      <c r="AB149" s="3" t="str">
        <f>IFERROR(__xludf.DUMMYFUNCTION("""COMPUTED_VALUE"""),"Eje Acoplado 2"" x 1400 (06/08) Agrícola Centro 92")</f>
        <v>Eje Acoplado 2" x 1400 (06/08) Agrícola Centro 92</v>
      </c>
      <c r="AC149" s="3" t="str">
        <f>IFERROR(__xludf.DUMMYFUNCTION("""COMPUTED_VALUE"""),"Eje Acoplado 2 1/2"" x 1500 (07/09) Agrícola Centro 92")</f>
        <v>Eje Acoplado 2 1/2" x 1500 (07/09) Agrícola Centro 92</v>
      </c>
      <c r="AD149" s="3" t="str">
        <f>IFERROR(__xludf.DUMMYFUNCTION("""COMPUTED_VALUE"""),"Eje Acoplado 2 1/2"" x 2000 (07/09) Agrícola Centro 92")</f>
        <v>Eje Acoplado 2 1/2" x 2000 (07/09) Agrícola Centro 92</v>
      </c>
      <c r="AE149" s="3" t="str">
        <f>IFERROR(__xludf.DUMMYFUNCTION("""COMPUTED_VALUE"""),"Eje Acoplado 2 1/2"" x 2100 (09/11) Agrícola Centro 150")</f>
        <v>Eje Acoplado 2 1/2" x 2100 (09/11) Agrícola Centro 150</v>
      </c>
      <c r="AF149" s="3" t="str">
        <f>IFERROR(__xludf.DUMMYFUNCTION("""COMPUTED_VALUE"""),"Llanta 16"" Simple Agrícola Centro 92")</f>
        <v>Llanta 16" Simple Agrícola Centro 92</v>
      </c>
      <c r="AG149" s="3" t="str">
        <f>IFERROR(__xludf.DUMMYFUNCTION("""COMPUTED_VALUE"""),"Llanta 16"" Dual Agrícola Centro 92")</f>
        <v>Llanta 16" Dual Agrícola Centro 92</v>
      </c>
      <c r="AH149" s="3" t="str">
        <f>IFERROR(__xludf.DUMMYFUNCTION("""COMPUTED_VALUE"""),"Llanta 17"" Simple Agrícola Centro 92")</f>
        <v>Llanta 17" Simple Agrícola Centro 92</v>
      </c>
      <c r="AI149" s="3" t="str">
        <f>IFERROR(__xludf.DUMMYFUNCTION("""COMPUTED_VALUE"""),"Llanta 17"" Dual Agrícola Centro 92")</f>
        <v>Llanta 17" Dual Agrícola Centro 92</v>
      </c>
      <c r="AJ149" s="3" t="str">
        <f>IFERROR(__xludf.DUMMYFUNCTION("""COMPUTED_VALUE"""),"Llanta 16"" Dual Agrícola Centro 152")</f>
        <v>Llanta 16" Dual Agrícola Centro 152</v>
      </c>
      <c r="AK149" s="3" t="str">
        <f>IFERROR(__xludf.DUMMYFUNCTION("""COMPUTED_VALUE"""),"Llanta 17"" Dual Agrícola Centro 152")</f>
        <v>Llanta 17" Dual Agrícola Centro 152</v>
      </c>
      <c r="AL149" s="3" t="str">
        <f>IFERROR(__xludf.DUMMYFUNCTION("""COMPUTED_VALUE"""),"Eje Acoplado 2"" x 1600 (05/07) Agrícola Centro 92")</f>
        <v>Eje Acoplado 2" x 1600 (05/07) Agrícola Centro 92</v>
      </c>
      <c r="AM149" s="3" t="str">
        <f>IFERROR(__xludf.DUMMYFUNCTION("""COMPUTED_VALUE"""),"Paquete de Elásticos 50 mm x 8 mm x 12 Hojas")</f>
        <v>Paquete de Elásticos 50 mm x 8 mm x 12 Hojas</v>
      </c>
      <c r="AN149" s="3" t="str">
        <f>IFERROR(__xludf.DUMMYFUNCTION("""COMPUTED_VALUE"""),"Chasis Grua G1500 Standard")</f>
        <v>Chasis Grua G1500 Standard</v>
      </c>
      <c r="AO149" s="3" t="str">
        <f>IFERROR(__xludf.DUMMYFUNCTION("""COMPUTED_VALUE"""),"Chasis Grua G2000 Standard")</f>
        <v>Chasis Grua G2000 Standard</v>
      </c>
      <c r="AP149" s="3" t="str">
        <f>IFERROR(__xludf.DUMMYFUNCTION("""COMPUTED_VALUE"""),"Cilindros Pies Grua G2000")</f>
        <v>Cilindros Pies Grua G2000</v>
      </c>
      <c r="AQ149" s="3" t="str">
        <f>IFERROR(__xludf.DUMMYFUNCTION("""COMPUTED_VALUE"""),"Brazo Extendido Grua de Arrastre")</f>
        <v>Brazo Extendido Grua de Arrastre</v>
      </c>
      <c r="AR149" s="3" t="str">
        <f>IFERROR(__xludf.DUMMYFUNCTION("""COMPUTED_VALUE"""),"Barquilla Grua de Arrastre")</f>
        <v>Barquilla Grua de Arrastre</v>
      </c>
      <c r="AS149" s="3" t="str">
        <f>IFERROR(__xludf.DUMMYFUNCTION("""COMPUTED_VALUE"""),"Levanta Pallet Grua de Arrastre")</f>
        <v>Levanta Pallet Grua de Arrastre</v>
      </c>
      <c r="AT149" s="3" t="str">
        <f>IFERROR(__xludf.DUMMYFUNCTION("""COMPUTED_VALUE"""),"Central Hidráulica con Motor a Explosión")</f>
        <v>Central Hidráulica con Motor a Explosión</v>
      </c>
      <c r="AU149" s="3" t="str">
        <f>IFERROR(__xludf.DUMMYFUNCTION("""COMPUTED_VALUE"""),"Llanta simple Agrícola 750x20 centro 152")</f>
        <v>Llanta simple Agrícola 750x20 centro 152</v>
      </c>
      <c r="AV149" s="3" t="str">
        <f>IFERROR(__xludf.DUMMYFUNCTION("""COMPUTED_VALUE"""),"Llanta 15"" Simple Agrícola Centro 92")</f>
        <v>Llanta 15" Simple Agrícola Centro 92</v>
      </c>
    </row>
    <row r="150" hidden="1">
      <c r="A150" s="38">
        <f t="shared" si="1"/>
        <v>149</v>
      </c>
      <c r="B150" s="38">
        <f>IF(F150="","",SUMIF(Prearmados!E:E,F150,Prearmados!A:A))</f>
        <v>36</v>
      </c>
      <c r="C150" s="38">
        <f>IF(F150="","",SUMIF(Productos!E:E,G150,Productos!A:A))</f>
        <v>133</v>
      </c>
      <c r="D150" s="83" t="str">
        <f t="array" ref="D150">IF(OR(F150="",F150="Seleccionar.."),"",XLOOKUP(F150,Prearmados!E:E,Prearmados!F:F,"",0,1))</f>
        <v>Gruas</v>
      </c>
      <c r="E150" s="83">
        <f>IF(H150="","",SUMIF(Precio_Productos!K:K,C150,Precio_Productos!J:J)*H150)</f>
        <v>9942000</v>
      </c>
      <c r="F150" s="84" t="s">
        <v>361</v>
      </c>
      <c r="G150" s="84" t="s">
        <v>44</v>
      </c>
      <c r="H150" s="13">
        <v>1.0</v>
      </c>
      <c r="P150" s="3" t="str">
        <f>IFERROR(__xludf.DUMMYFUNCTION("IF(OR(F150="""",F150=""Seleccionar..""),"""",TRANSPOSE(FILTER(Productos!E:E,(Productos!F:F=D150)+(Productos!F:F=XLOOKUP(D150,Implementos!B:B,Implementos!C:C,""-"",0,1)))))"),"Paquete de Elasticos 50 mm x 8 mm x 10 Hojas L850")</f>
        <v>Paquete de Elasticos 50 mm x 8 mm x 10 Hojas L850</v>
      </c>
      <c r="Q150" s="3" t="str">
        <f>IFERROR(__xludf.DUMMYFUNCTION("""COMPUTED_VALUE"""),"Paquete de Elasticos 63 mm x 8 mm x 10 Hojas L950")</f>
        <v>Paquete de Elasticos 63 mm x 8 mm x 10 Hojas L950</v>
      </c>
      <c r="R150" s="3" t="str">
        <f>IFERROR(__xludf.DUMMYFUNCTION("""COMPUTED_VALUE"""),"Paquete de Elasticos 50 mm x 7 mm x 9 Hojas L850")</f>
        <v>Paquete de Elasticos 50 mm x 7 mm x 9 Hojas L850</v>
      </c>
      <c r="S150" s="3" t="str">
        <f>IFERROR(__xludf.DUMMYFUNCTION("""COMPUTED_VALUE"""),"Paquete de Elasticos 63 mm x 8 mm x 8 Hojas L850")</f>
        <v>Paquete de Elasticos 63 mm x 8 mm x 8 Hojas L850</v>
      </c>
      <c r="T150" s="3" t="str">
        <f>IFERROR(__xludf.DUMMYFUNCTION("""COMPUTED_VALUE"""),"Paquete de Elasticos 63 mm x 10 mm x 10 Hojas L950")</f>
        <v>Paquete de Elasticos 63 mm x 10 mm x 10 Hojas L950</v>
      </c>
      <c r="U150" s="3" t="str">
        <f>IFERROR(__xludf.DUMMYFUNCTION("""COMPUTED_VALUE"""),"Paquete de Elasticos 63 mm x 10 mm x 13 Hojas L975")</f>
        <v>Paquete de Elasticos 63 mm x 10 mm x 13 Hojas L975</v>
      </c>
      <c r="V150" s="3" t="str">
        <f>IFERROR(__xludf.DUMMYFUNCTION("""COMPUTED_VALUE"""),"Paquete de Elasticos 50 mm x 7 mm x 9 Hojas L650")</f>
        <v>Paquete de Elasticos 50 mm x 7 mm x 9 Hojas L650</v>
      </c>
      <c r="W150" s="3" t="str">
        <f>IFERROR(__xludf.DUMMYFUNCTION("""COMPUTED_VALUE"""),"Eje Acoplado 2"" x 1600 (06/08) Agrícola Centro 92")</f>
        <v>Eje Acoplado 2" x 1600 (06/08) Agrícola Centro 92</v>
      </c>
      <c r="X150" s="3" t="str">
        <f>IFERROR(__xludf.DUMMYFUNCTION("""COMPUTED_VALUE"""),"Eje Acoplado 2 1/2"" x 1600 (07/09) Agrícola Centro 92")</f>
        <v>Eje Acoplado 2 1/2" x 1600 (07/09) Agrícola Centro 92</v>
      </c>
      <c r="Y150" s="3" t="str">
        <f>IFERROR(__xludf.DUMMYFUNCTION("""COMPUTED_VALUE"""),"Eje Acoplado 2 1/2"" x 1600 (09/11) Agrícola Centro 150")</f>
        <v>Eje Acoplado 2 1/2" x 1600 (09/11) Agrícola Centro 150</v>
      </c>
      <c r="Z150" s="3" t="str">
        <f>IFERROR(__xludf.DUMMYFUNCTION("""COMPUTED_VALUE"""),"Eje Acoplado 3"" x 1600 (10/13) Agrícola Centro 150")</f>
        <v>Eje Acoplado 3" x 1600 (10/13) Agrícola Centro 150</v>
      </c>
      <c r="AA150" s="3" t="str">
        <f>IFERROR(__xludf.DUMMYFUNCTION("""COMPUTED_VALUE"""),"Eje Acoplado 2 1/2"" x 2140 (07/09) Agrícola Centro 92")</f>
        <v>Eje Acoplado 2 1/2" x 2140 (07/09) Agrícola Centro 92</v>
      </c>
      <c r="AB150" s="3" t="str">
        <f>IFERROR(__xludf.DUMMYFUNCTION("""COMPUTED_VALUE"""),"Eje Acoplado 2"" x 1400 (06/08) Agrícola Centro 92")</f>
        <v>Eje Acoplado 2" x 1400 (06/08) Agrícola Centro 92</v>
      </c>
      <c r="AC150" s="3" t="str">
        <f>IFERROR(__xludf.DUMMYFUNCTION("""COMPUTED_VALUE"""),"Eje Acoplado 2 1/2"" x 1500 (07/09) Agrícola Centro 92")</f>
        <v>Eje Acoplado 2 1/2" x 1500 (07/09) Agrícola Centro 92</v>
      </c>
      <c r="AD150" s="3" t="str">
        <f>IFERROR(__xludf.DUMMYFUNCTION("""COMPUTED_VALUE"""),"Eje Acoplado 2 1/2"" x 2000 (07/09) Agrícola Centro 92")</f>
        <v>Eje Acoplado 2 1/2" x 2000 (07/09) Agrícola Centro 92</v>
      </c>
      <c r="AE150" s="3" t="str">
        <f>IFERROR(__xludf.DUMMYFUNCTION("""COMPUTED_VALUE"""),"Eje Acoplado 2 1/2"" x 2100 (09/11) Agrícola Centro 150")</f>
        <v>Eje Acoplado 2 1/2" x 2100 (09/11) Agrícola Centro 150</v>
      </c>
      <c r="AF150" s="3" t="str">
        <f>IFERROR(__xludf.DUMMYFUNCTION("""COMPUTED_VALUE"""),"Llanta 16"" Simple Agrícola Centro 92")</f>
        <v>Llanta 16" Simple Agrícola Centro 92</v>
      </c>
      <c r="AG150" s="3" t="str">
        <f>IFERROR(__xludf.DUMMYFUNCTION("""COMPUTED_VALUE"""),"Llanta 16"" Dual Agrícola Centro 92")</f>
        <v>Llanta 16" Dual Agrícola Centro 92</v>
      </c>
      <c r="AH150" s="3" t="str">
        <f>IFERROR(__xludf.DUMMYFUNCTION("""COMPUTED_VALUE"""),"Llanta 17"" Simple Agrícola Centro 92")</f>
        <v>Llanta 17" Simple Agrícola Centro 92</v>
      </c>
      <c r="AI150" s="3" t="str">
        <f>IFERROR(__xludf.DUMMYFUNCTION("""COMPUTED_VALUE"""),"Llanta 17"" Dual Agrícola Centro 92")</f>
        <v>Llanta 17" Dual Agrícola Centro 92</v>
      </c>
      <c r="AJ150" s="3" t="str">
        <f>IFERROR(__xludf.DUMMYFUNCTION("""COMPUTED_VALUE"""),"Llanta 16"" Dual Agrícola Centro 152")</f>
        <v>Llanta 16" Dual Agrícola Centro 152</v>
      </c>
      <c r="AK150" s="3" t="str">
        <f>IFERROR(__xludf.DUMMYFUNCTION("""COMPUTED_VALUE"""),"Llanta 17"" Dual Agrícola Centro 152")</f>
        <v>Llanta 17" Dual Agrícola Centro 152</v>
      </c>
      <c r="AL150" s="3" t="str">
        <f>IFERROR(__xludf.DUMMYFUNCTION("""COMPUTED_VALUE"""),"Eje Acoplado 2"" x 1600 (05/07) Agrícola Centro 92")</f>
        <v>Eje Acoplado 2" x 1600 (05/07) Agrícola Centro 92</v>
      </c>
      <c r="AM150" s="3" t="str">
        <f>IFERROR(__xludf.DUMMYFUNCTION("""COMPUTED_VALUE"""),"Paquete de Elásticos 50 mm x 8 mm x 12 Hojas")</f>
        <v>Paquete de Elásticos 50 mm x 8 mm x 12 Hojas</v>
      </c>
      <c r="AN150" s="3" t="str">
        <f>IFERROR(__xludf.DUMMYFUNCTION("""COMPUTED_VALUE"""),"Chasis Grua G1500 Standard")</f>
        <v>Chasis Grua G1500 Standard</v>
      </c>
      <c r="AO150" s="3" t="str">
        <f>IFERROR(__xludf.DUMMYFUNCTION("""COMPUTED_VALUE"""),"Chasis Grua G2000 Standard")</f>
        <v>Chasis Grua G2000 Standard</v>
      </c>
      <c r="AP150" s="3" t="str">
        <f>IFERROR(__xludf.DUMMYFUNCTION("""COMPUTED_VALUE"""),"Cilindros Pies Grua G2000")</f>
        <v>Cilindros Pies Grua G2000</v>
      </c>
      <c r="AQ150" s="3" t="str">
        <f>IFERROR(__xludf.DUMMYFUNCTION("""COMPUTED_VALUE"""),"Brazo Extendido Grua de Arrastre")</f>
        <v>Brazo Extendido Grua de Arrastre</v>
      </c>
      <c r="AR150" s="3" t="str">
        <f>IFERROR(__xludf.DUMMYFUNCTION("""COMPUTED_VALUE"""),"Barquilla Grua de Arrastre")</f>
        <v>Barquilla Grua de Arrastre</v>
      </c>
      <c r="AS150" s="3" t="str">
        <f>IFERROR(__xludf.DUMMYFUNCTION("""COMPUTED_VALUE"""),"Levanta Pallet Grua de Arrastre")</f>
        <v>Levanta Pallet Grua de Arrastre</v>
      </c>
      <c r="AT150" s="3" t="str">
        <f>IFERROR(__xludf.DUMMYFUNCTION("""COMPUTED_VALUE"""),"Central Hidráulica con Motor a Explosión")</f>
        <v>Central Hidráulica con Motor a Explosión</v>
      </c>
      <c r="AU150" s="3" t="str">
        <f>IFERROR(__xludf.DUMMYFUNCTION("""COMPUTED_VALUE"""),"Llanta simple Agrícola 750x20 centro 152")</f>
        <v>Llanta simple Agrícola 750x20 centro 152</v>
      </c>
      <c r="AV150" s="3" t="str">
        <f>IFERROR(__xludf.DUMMYFUNCTION("""COMPUTED_VALUE"""),"Llanta 15"" Simple Agrícola Centro 92")</f>
        <v>Llanta 15" Simple Agrícola Centro 92</v>
      </c>
    </row>
    <row r="151" hidden="1">
      <c r="A151" s="38">
        <f t="shared" si="1"/>
        <v>150</v>
      </c>
      <c r="B151" s="38">
        <f>IF(F151="","",SUMIF(Prearmados!E:E,F151,Prearmados!A:A))</f>
        <v>36</v>
      </c>
      <c r="C151" s="38">
        <f>IF(F151="","",SUMIF(Productos!E:E,G151,Productos!A:A))</f>
        <v>135</v>
      </c>
      <c r="D151" s="83" t="str">
        <f t="array" ref="D151">IF(OR(F151="",F151="Seleccionar.."),"",XLOOKUP(F151,Prearmados!E:E,Prearmados!F:F,"",0,1))</f>
        <v>Gruas</v>
      </c>
      <c r="E151" s="83">
        <f>IF(H151="","",SUMIF(Precio_Productos!K:K,C151,Precio_Productos!J:J)*H151)</f>
        <v>1080104</v>
      </c>
      <c r="F151" s="84" t="s">
        <v>361</v>
      </c>
      <c r="G151" s="84" t="s">
        <v>173</v>
      </c>
      <c r="H151" s="13">
        <v>1.0</v>
      </c>
      <c r="P151" s="3" t="str">
        <f>IFERROR(__xludf.DUMMYFUNCTION("IF(OR(F151="""",F151=""Seleccionar..""),"""",TRANSPOSE(FILTER(Productos!E:E,(Productos!F:F=D151)+(Productos!F:F=XLOOKUP(D151,Implementos!B:B,Implementos!C:C,""-"",0,1)))))"),"Paquete de Elasticos 50 mm x 8 mm x 10 Hojas L850")</f>
        <v>Paquete de Elasticos 50 mm x 8 mm x 10 Hojas L850</v>
      </c>
      <c r="Q151" s="3" t="str">
        <f>IFERROR(__xludf.DUMMYFUNCTION("""COMPUTED_VALUE"""),"Paquete de Elasticos 63 mm x 8 mm x 10 Hojas L950")</f>
        <v>Paquete de Elasticos 63 mm x 8 mm x 10 Hojas L950</v>
      </c>
      <c r="R151" s="3" t="str">
        <f>IFERROR(__xludf.DUMMYFUNCTION("""COMPUTED_VALUE"""),"Paquete de Elasticos 50 mm x 7 mm x 9 Hojas L850")</f>
        <v>Paquete de Elasticos 50 mm x 7 mm x 9 Hojas L850</v>
      </c>
      <c r="S151" s="3" t="str">
        <f>IFERROR(__xludf.DUMMYFUNCTION("""COMPUTED_VALUE"""),"Paquete de Elasticos 63 mm x 8 mm x 8 Hojas L850")</f>
        <v>Paquete de Elasticos 63 mm x 8 mm x 8 Hojas L850</v>
      </c>
      <c r="T151" s="3" t="str">
        <f>IFERROR(__xludf.DUMMYFUNCTION("""COMPUTED_VALUE"""),"Paquete de Elasticos 63 mm x 10 mm x 10 Hojas L950")</f>
        <v>Paquete de Elasticos 63 mm x 10 mm x 10 Hojas L950</v>
      </c>
      <c r="U151" s="3" t="str">
        <f>IFERROR(__xludf.DUMMYFUNCTION("""COMPUTED_VALUE"""),"Paquete de Elasticos 63 mm x 10 mm x 13 Hojas L975")</f>
        <v>Paquete de Elasticos 63 mm x 10 mm x 13 Hojas L975</v>
      </c>
      <c r="V151" s="3" t="str">
        <f>IFERROR(__xludf.DUMMYFUNCTION("""COMPUTED_VALUE"""),"Paquete de Elasticos 50 mm x 7 mm x 9 Hojas L650")</f>
        <v>Paquete de Elasticos 50 mm x 7 mm x 9 Hojas L650</v>
      </c>
      <c r="W151" s="3" t="str">
        <f>IFERROR(__xludf.DUMMYFUNCTION("""COMPUTED_VALUE"""),"Eje Acoplado 2"" x 1600 (06/08) Agrícola Centro 92")</f>
        <v>Eje Acoplado 2" x 1600 (06/08) Agrícola Centro 92</v>
      </c>
      <c r="X151" s="3" t="str">
        <f>IFERROR(__xludf.DUMMYFUNCTION("""COMPUTED_VALUE"""),"Eje Acoplado 2 1/2"" x 1600 (07/09) Agrícola Centro 92")</f>
        <v>Eje Acoplado 2 1/2" x 1600 (07/09) Agrícola Centro 92</v>
      </c>
      <c r="Y151" s="3" t="str">
        <f>IFERROR(__xludf.DUMMYFUNCTION("""COMPUTED_VALUE"""),"Eje Acoplado 2 1/2"" x 1600 (09/11) Agrícola Centro 150")</f>
        <v>Eje Acoplado 2 1/2" x 1600 (09/11) Agrícola Centro 150</v>
      </c>
      <c r="Z151" s="3" t="str">
        <f>IFERROR(__xludf.DUMMYFUNCTION("""COMPUTED_VALUE"""),"Eje Acoplado 3"" x 1600 (10/13) Agrícola Centro 150")</f>
        <v>Eje Acoplado 3" x 1600 (10/13) Agrícola Centro 150</v>
      </c>
      <c r="AA151" s="3" t="str">
        <f>IFERROR(__xludf.DUMMYFUNCTION("""COMPUTED_VALUE"""),"Eje Acoplado 2 1/2"" x 2140 (07/09) Agrícola Centro 92")</f>
        <v>Eje Acoplado 2 1/2" x 2140 (07/09) Agrícola Centro 92</v>
      </c>
      <c r="AB151" s="3" t="str">
        <f>IFERROR(__xludf.DUMMYFUNCTION("""COMPUTED_VALUE"""),"Eje Acoplado 2"" x 1400 (06/08) Agrícola Centro 92")</f>
        <v>Eje Acoplado 2" x 1400 (06/08) Agrícola Centro 92</v>
      </c>
      <c r="AC151" s="3" t="str">
        <f>IFERROR(__xludf.DUMMYFUNCTION("""COMPUTED_VALUE"""),"Eje Acoplado 2 1/2"" x 1500 (07/09) Agrícola Centro 92")</f>
        <v>Eje Acoplado 2 1/2" x 1500 (07/09) Agrícola Centro 92</v>
      </c>
      <c r="AD151" s="3" t="str">
        <f>IFERROR(__xludf.DUMMYFUNCTION("""COMPUTED_VALUE"""),"Eje Acoplado 2 1/2"" x 2000 (07/09) Agrícola Centro 92")</f>
        <v>Eje Acoplado 2 1/2" x 2000 (07/09) Agrícola Centro 92</v>
      </c>
      <c r="AE151" s="3" t="str">
        <f>IFERROR(__xludf.DUMMYFUNCTION("""COMPUTED_VALUE"""),"Eje Acoplado 2 1/2"" x 2100 (09/11) Agrícola Centro 150")</f>
        <v>Eje Acoplado 2 1/2" x 2100 (09/11) Agrícola Centro 150</v>
      </c>
      <c r="AF151" s="3" t="str">
        <f>IFERROR(__xludf.DUMMYFUNCTION("""COMPUTED_VALUE"""),"Llanta 16"" Simple Agrícola Centro 92")</f>
        <v>Llanta 16" Simple Agrícola Centro 92</v>
      </c>
      <c r="AG151" s="3" t="str">
        <f>IFERROR(__xludf.DUMMYFUNCTION("""COMPUTED_VALUE"""),"Llanta 16"" Dual Agrícola Centro 92")</f>
        <v>Llanta 16" Dual Agrícola Centro 92</v>
      </c>
      <c r="AH151" s="3" t="str">
        <f>IFERROR(__xludf.DUMMYFUNCTION("""COMPUTED_VALUE"""),"Llanta 17"" Simple Agrícola Centro 92")</f>
        <v>Llanta 17" Simple Agrícola Centro 92</v>
      </c>
      <c r="AI151" s="3" t="str">
        <f>IFERROR(__xludf.DUMMYFUNCTION("""COMPUTED_VALUE"""),"Llanta 17"" Dual Agrícola Centro 92")</f>
        <v>Llanta 17" Dual Agrícola Centro 92</v>
      </c>
      <c r="AJ151" s="3" t="str">
        <f>IFERROR(__xludf.DUMMYFUNCTION("""COMPUTED_VALUE"""),"Llanta 16"" Dual Agrícola Centro 152")</f>
        <v>Llanta 16" Dual Agrícola Centro 152</v>
      </c>
      <c r="AK151" s="3" t="str">
        <f>IFERROR(__xludf.DUMMYFUNCTION("""COMPUTED_VALUE"""),"Llanta 17"" Dual Agrícola Centro 152")</f>
        <v>Llanta 17" Dual Agrícola Centro 152</v>
      </c>
      <c r="AL151" s="3" t="str">
        <f>IFERROR(__xludf.DUMMYFUNCTION("""COMPUTED_VALUE"""),"Eje Acoplado 2"" x 1600 (05/07) Agrícola Centro 92")</f>
        <v>Eje Acoplado 2" x 1600 (05/07) Agrícola Centro 92</v>
      </c>
      <c r="AM151" s="3" t="str">
        <f>IFERROR(__xludf.DUMMYFUNCTION("""COMPUTED_VALUE"""),"Paquete de Elásticos 50 mm x 8 mm x 12 Hojas")</f>
        <v>Paquete de Elásticos 50 mm x 8 mm x 12 Hojas</v>
      </c>
      <c r="AN151" s="3" t="str">
        <f>IFERROR(__xludf.DUMMYFUNCTION("""COMPUTED_VALUE"""),"Chasis Grua G1500 Standard")</f>
        <v>Chasis Grua G1500 Standard</v>
      </c>
      <c r="AO151" s="3" t="str">
        <f>IFERROR(__xludf.DUMMYFUNCTION("""COMPUTED_VALUE"""),"Chasis Grua G2000 Standard")</f>
        <v>Chasis Grua G2000 Standard</v>
      </c>
      <c r="AP151" s="3" t="str">
        <f>IFERROR(__xludf.DUMMYFUNCTION("""COMPUTED_VALUE"""),"Cilindros Pies Grua G2000")</f>
        <v>Cilindros Pies Grua G2000</v>
      </c>
      <c r="AQ151" s="3" t="str">
        <f>IFERROR(__xludf.DUMMYFUNCTION("""COMPUTED_VALUE"""),"Brazo Extendido Grua de Arrastre")</f>
        <v>Brazo Extendido Grua de Arrastre</v>
      </c>
      <c r="AR151" s="3" t="str">
        <f>IFERROR(__xludf.DUMMYFUNCTION("""COMPUTED_VALUE"""),"Barquilla Grua de Arrastre")</f>
        <v>Barquilla Grua de Arrastre</v>
      </c>
      <c r="AS151" s="3" t="str">
        <f>IFERROR(__xludf.DUMMYFUNCTION("""COMPUTED_VALUE"""),"Levanta Pallet Grua de Arrastre")</f>
        <v>Levanta Pallet Grua de Arrastre</v>
      </c>
      <c r="AT151" s="3" t="str">
        <f>IFERROR(__xludf.DUMMYFUNCTION("""COMPUTED_VALUE"""),"Central Hidráulica con Motor a Explosión")</f>
        <v>Central Hidráulica con Motor a Explosión</v>
      </c>
      <c r="AU151" s="3" t="str">
        <f>IFERROR(__xludf.DUMMYFUNCTION("""COMPUTED_VALUE"""),"Llanta simple Agrícola 750x20 centro 152")</f>
        <v>Llanta simple Agrícola 750x20 centro 152</v>
      </c>
      <c r="AV151" s="3" t="str">
        <f>IFERROR(__xludf.DUMMYFUNCTION("""COMPUTED_VALUE"""),"Llanta 15"" Simple Agrícola Centro 92")</f>
        <v>Llanta 15" Simple Agrícola Centro 92</v>
      </c>
    </row>
    <row r="152" hidden="1">
      <c r="A152" s="38">
        <f t="shared" si="1"/>
        <v>151</v>
      </c>
      <c r="B152" s="38">
        <f>IF(F152="","",SUMIF(Prearmados!E:E,F152,Prearmados!A:A))</f>
        <v>36</v>
      </c>
      <c r="C152" s="38">
        <f>IF(F152="","",SUMIF(Productos!E:E,G152,Productos!A:A))</f>
        <v>113</v>
      </c>
      <c r="D152" s="83" t="str">
        <f t="array" ref="D152">IF(OR(F152="",F152="Seleccionar.."),"",XLOOKUP(F152,Prearmados!E:E,Prearmados!F:F,"",0,1))</f>
        <v>Gruas</v>
      </c>
      <c r="E152" s="83">
        <f>IF(H152="","",SUMIF(Precio_Productos!K:K,C152,Precio_Productos!J:J)*H152)</f>
        <v>734652</v>
      </c>
      <c r="F152" s="84" t="s">
        <v>361</v>
      </c>
      <c r="G152" s="84" t="s">
        <v>131</v>
      </c>
      <c r="H152" s="13">
        <v>4.0</v>
      </c>
      <c r="P152" s="3" t="str">
        <f>IFERROR(__xludf.DUMMYFUNCTION("IF(OR(F152="""",F152=""Seleccionar..""),"""",TRANSPOSE(FILTER(Productos!E:E,(Productos!F:F=D152)+(Productos!F:F=XLOOKUP(D152,Implementos!B:B,Implementos!C:C,""-"",0,1)))))"),"Paquete de Elasticos 50 mm x 8 mm x 10 Hojas L850")</f>
        <v>Paquete de Elasticos 50 mm x 8 mm x 10 Hojas L850</v>
      </c>
      <c r="Q152" s="3" t="str">
        <f>IFERROR(__xludf.DUMMYFUNCTION("""COMPUTED_VALUE"""),"Paquete de Elasticos 63 mm x 8 mm x 10 Hojas L950")</f>
        <v>Paquete de Elasticos 63 mm x 8 mm x 10 Hojas L950</v>
      </c>
      <c r="R152" s="3" t="str">
        <f>IFERROR(__xludf.DUMMYFUNCTION("""COMPUTED_VALUE"""),"Paquete de Elasticos 50 mm x 7 mm x 9 Hojas L850")</f>
        <v>Paquete de Elasticos 50 mm x 7 mm x 9 Hojas L850</v>
      </c>
      <c r="S152" s="3" t="str">
        <f>IFERROR(__xludf.DUMMYFUNCTION("""COMPUTED_VALUE"""),"Paquete de Elasticos 63 mm x 8 mm x 8 Hojas L850")</f>
        <v>Paquete de Elasticos 63 mm x 8 mm x 8 Hojas L850</v>
      </c>
      <c r="T152" s="3" t="str">
        <f>IFERROR(__xludf.DUMMYFUNCTION("""COMPUTED_VALUE"""),"Paquete de Elasticos 63 mm x 10 mm x 10 Hojas L950")</f>
        <v>Paquete de Elasticos 63 mm x 10 mm x 10 Hojas L950</v>
      </c>
      <c r="U152" s="3" t="str">
        <f>IFERROR(__xludf.DUMMYFUNCTION("""COMPUTED_VALUE"""),"Paquete de Elasticos 63 mm x 10 mm x 13 Hojas L975")</f>
        <v>Paquete de Elasticos 63 mm x 10 mm x 13 Hojas L975</v>
      </c>
      <c r="V152" s="3" t="str">
        <f>IFERROR(__xludf.DUMMYFUNCTION("""COMPUTED_VALUE"""),"Paquete de Elasticos 50 mm x 7 mm x 9 Hojas L650")</f>
        <v>Paquete de Elasticos 50 mm x 7 mm x 9 Hojas L650</v>
      </c>
      <c r="W152" s="3" t="str">
        <f>IFERROR(__xludf.DUMMYFUNCTION("""COMPUTED_VALUE"""),"Eje Acoplado 2"" x 1600 (06/08) Agrícola Centro 92")</f>
        <v>Eje Acoplado 2" x 1600 (06/08) Agrícola Centro 92</v>
      </c>
      <c r="X152" s="3" t="str">
        <f>IFERROR(__xludf.DUMMYFUNCTION("""COMPUTED_VALUE"""),"Eje Acoplado 2 1/2"" x 1600 (07/09) Agrícola Centro 92")</f>
        <v>Eje Acoplado 2 1/2" x 1600 (07/09) Agrícola Centro 92</v>
      </c>
      <c r="Y152" s="3" t="str">
        <f>IFERROR(__xludf.DUMMYFUNCTION("""COMPUTED_VALUE"""),"Eje Acoplado 2 1/2"" x 1600 (09/11) Agrícola Centro 150")</f>
        <v>Eje Acoplado 2 1/2" x 1600 (09/11) Agrícola Centro 150</v>
      </c>
      <c r="Z152" s="3" t="str">
        <f>IFERROR(__xludf.DUMMYFUNCTION("""COMPUTED_VALUE"""),"Eje Acoplado 3"" x 1600 (10/13) Agrícola Centro 150")</f>
        <v>Eje Acoplado 3" x 1600 (10/13) Agrícola Centro 150</v>
      </c>
      <c r="AA152" s="3" t="str">
        <f>IFERROR(__xludf.DUMMYFUNCTION("""COMPUTED_VALUE"""),"Eje Acoplado 2 1/2"" x 2140 (07/09) Agrícola Centro 92")</f>
        <v>Eje Acoplado 2 1/2" x 2140 (07/09) Agrícola Centro 92</v>
      </c>
      <c r="AB152" s="3" t="str">
        <f>IFERROR(__xludf.DUMMYFUNCTION("""COMPUTED_VALUE"""),"Eje Acoplado 2"" x 1400 (06/08) Agrícola Centro 92")</f>
        <v>Eje Acoplado 2" x 1400 (06/08) Agrícola Centro 92</v>
      </c>
      <c r="AC152" s="3" t="str">
        <f>IFERROR(__xludf.DUMMYFUNCTION("""COMPUTED_VALUE"""),"Eje Acoplado 2 1/2"" x 1500 (07/09) Agrícola Centro 92")</f>
        <v>Eje Acoplado 2 1/2" x 1500 (07/09) Agrícola Centro 92</v>
      </c>
      <c r="AD152" s="3" t="str">
        <f>IFERROR(__xludf.DUMMYFUNCTION("""COMPUTED_VALUE"""),"Eje Acoplado 2 1/2"" x 2000 (07/09) Agrícola Centro 92")</f>
        <v>Eje Acoplado 2 1/2" x 2000 (07/09) Agrícola Centro 92</v>
      </c>
      <c r="AE152" s="3" t="str">
        <f>IFERROR(__xludf.DUMMYFUNCTION("""COMPUTED_VALUE"""),"Eje Acoplado 2 1/2"" x 2100 (09/11) Agrícola Centro 150")</f>
        <v>Eje Acoplado 2 1/2" x 2100 (09/11) Agrícola Centro 150</v>
      </c>
      <c r="AF152" s="3" t="str">
        <f>IFERROR(__xludf.DUMMYFUNCTION("""COMPUTED_VALUE"""),"Llanta 16"" Simple Agrícola Centro 92")</f>
        <v>Llanta 16" Simple Agrícola Centro 92</v>
      </c>
      <c r="AG152" s="3" t="str">
        <f>IFERROR(__xludf.DUMMYFUNCTION("""COMPUTED_VALUE"""),"Llanta 16"" Dual Agrícola Centro 92")</f>
        <v>Llanta 16" Dual Agrícola Centro 92</v>
      </c>
      <c r="AH152" s="3" t="str">
        <f>IFERROR(__xludf.DUMMYFUNCTION("""COMPUTED_VALUE"""),"Llanta 17"" Simple Agrícola Centro 92")</f>
        <v>Llanta 17" Simple Agrícola Centro 92</v>
      </c>
      <c r="AI152" s="3" t="str">
        <f>IFERROR(__xludf.DUMMYFUNCTION("""COMPUTED_VALUE"""),"Llanta 17"" Dual Agrícola Centro 92")</f>
        <v>Llanta 17" Dual Agrícola Centro 92</v>
      </c>
      <c r="AJ152" s="3" t="str">
        <f>IFERROR(__xludf.DUMMYFUNCTION("""COMPUTED_VALUE"""),"Llanta 16"" Dual Agrícola Centro 152")</f>
        <v>Llanta 16" Dual Agrícola Centro 152</v>
      </c>
      <c r="AK152" s="3" t="str">
        <f>IFERROR(__xludf.DUMMYFUNCTION("""COMPUTED_VALUE"""),"Llanta 17"" Dual Agrícola Centro 152")</f>
        <v>Llanta 17" Dual Agrícola Centro 152</v>
      </c>
      <c r="AL152" s="3" t="str">
        <f>IFERROR(__xludf.DUMMYFUNCTION("""COMPUTED_VALUE"""),"Eje Acoplado 2"" x 1600 (05/07) Agrícola Centro 92")</f>
        <v>Eje Acoplado 2" x 1600 (05/07) Agrícola Centro 92</v>
      </c>
      <c r="AM152" s="3" t="str">
        <f>IFERROR(__xludf.DUMMYFUNCTION("""COMPUTED_VALUE"""),"Paquete de Elásticos 50 mm x 8 mm x 12 Hojas")</f>
        <v>Paquete de Elásticos 50 mm x 8 mm x 12 Hojas</v>
      </c>
      <c r="AN152" s="3" t="str">
        <f>IFERROR(__xludf.DUMMYFUNCTION("""COMPUTED_VALUE"""),"Chasis Grua G1500 Standard")</f>
        <v>Chasis Grua G1500 Standard</v>
      </c>
      <c r="AO152" s="3" t="str">
        <f>IFERROR(__xludf.DUMMYFUNCTION("""COMPUTED_VALUE"""),"Chasis Grua G2000 Standard")</f>
        <v>Chasis Grua G2000 Standard</v>
      </c>
      <c r="AP152" s="3" t="str">
        <f>IFERROR(__xludf.DUMMYFUNCTION("""COMPUTED_VALUE"""),"Cilindros Pies Grua G2000")</f>
        <v>Cilindros Pies Grua G2000</v>
      </c>
      <c r="AQ152" s="3" t="str">
        <f>IFERROR(__xludf.DUMMYFUNCTION("""COMPUTED_VALUE"""),"Brazo Extendido Grua de Arrastre")</f>
        <v>Brazo Extendido Grua de Arrastre</v>
      </c>
      <c r="AR152" s="3" t="str">
        <f>IFERROR(__xludf.DUMMYFUNCTION("""COMPUTED_VALUE"""),"Barquilla Grua de Arrastre")</f>
        <v>Barquilla Grua de Arrastre</v>
      </c>
      <c r="AS152" s="3" t="str">
        <f>IFERROR(__xludf.DUMMYFUNCTION("""COMPUTED_VALUE"""),"Levanta Pallet Grua de Arrastre")</f>
        <v>Levanta Pallet Grua de Arrastre</v>
      </c>
      <c r="AT152" s="3" t="str">
        <f>IFERROR(__xludf.DUMMYFUNCTION("""COMPUTED_VALUE"""),"Central Hidráulica con Motor a Explosión")</f>
        <v>Central Hidráulica con Motor a Explosión</v>
      </c>
      <c r="AU152" s="3" t="str">
        <f>IFERROR(__xludf.DUMMYFUNCTION("""COMPUTED_VALUE"""),"Llanta simple Agrícola 750x20 centro 152")</f>
        <v>Llanta simple Agrícola 750x20 centro 152</v>
      </c>
      <c r="AV152" s="3" t="str">
        <f>IFERROR(__xludf.DUMMYFUNCTION("""COMPUTED_VALUE"""),"Llanta 15"" Simple Agrícola Centro 92")</f>
        <v>Llanta 15" Simple Agrícola Centro 92</v>
      </c>
    </row>
    <row r="153" hidden="1">
      <c r="A153" s="38">
        <f t="shared" si="1"/>
        <v>152</v>
      </c>
      <c r="B153" s="38">
        <f>IF(F153="","",SUMIF(Prearmados!E:E,F153,Prearmados!A:A))</f>
        <v>37</v>
      </c>
      <c r="C153" s="38">
        <f>IF(F153="","",SUMIF(Productos!E:E,G153,Productos!A:A))</f>
        <v>133</v>
      </c>
      <c r="D153" s="83" t="str">
        <f t="array" ref="D153">IF(OR(F153="",F153="Seleccionar.."),"",XLOOKUP(F153,Prearmados!E:E,Prearmados!F:F,"",0,1))</f>
        <v>Gruas</v>
      </c>
      <c r="E153" s="83">
        <f>IF(H153="","",SUMIF(Precio_Productos!K:K,C153,Precio_Productos!J:J)*H153)</f>
        <v>9942000</v>
      </c>
      <c r="F153" s="84" t="s">
        <v>362</v>
      </c>
      <c r="G153" s="84" t="s">
        <v>44</v>
      </c>
      <c r="H153" s="13">
        <v>1.0</v>
      </c>
      <c r="P153" s="3" t="str">
        <f>IFERROR(__xludf.DUMMYFUNCTION("IF(OR(F153="""",F153=""Seleccionar..""),"""",TRANSPOSE(FILTER(Productos!E:E,(Productos!F:F=D153)+(Productos!F:F=XLOOKUP(D153,Implementos!B:B,Implementos!C:C,""-"",0,1)))))"),"Paquete de Elasticos 50 mm x 8 mm x 10 Hojas L850")</f>
        <v>Paquete de Elasticos 50 mm x 8 mm x 10 Hojas L850</v>
      </c>
      <c r="Q153" s="3" t="str">
        <f>IFERROR(__xludf.DUMMYFUNCTION("""COMPUTED_VALUE"""),"Paquete de Elasticos 63 mm x 8 mm x 10 Hojas L950")</f>
        <v>Paquete de Elasticos 63 mm x 8 mm x 10 Hojas L950</v>
      </c>
      <c r="R153" s="3" t="str">
        <f>IFERROR(__xludf.DUMMYFUNCTION("""COMPUTED_VALUE"""),"Paquete de Elasticos 50 mm x 7 mm x 9 Hojas L850")</f>
        <v>Paquete de Elasticos 50 mm x 7 mm x 9 Hojas L850</v>
      </c>
      <c r="S153" s="3" t="str">
        <f>IFERROR(__xludf.DUMMYFUNCTION("""COMPUTED_VALUE"""),"Paquete de Elasticos 63 mm x 8 mm x 8 Hojas L850")</f>
        <v>Paquete de Elasticos 63 mm x 8 mm x 8 Hojas L850</v>
      </c>
      <c r="T153" s="3" t="str">
        <f>IFERROR(__xludf.DUMMYFUNCTION("""COMPUTED_VALUE"""),"Paquete de Elasticos 63 mm x 10 mm x 10 Hojas L950")</f>
        <v>Paquete de Elasticos 63 mm x 10 mm x 10 Hojas L950</v>
      </c>
      <c r="U153" s="3" t="str">
        <f>IFERROR(__xludf.DUMMYFUNCTION("""COMPUTED_VALUE"""),"Paquete de Elasticos 63 mm x 10 mm x 13 Hojas L975")</f>
        <v>Paquete de Elasticos 63 mm x 10 mm x 13 Hojas L975</v>
      </c>
      <c r="V153" s="3" t="str">
        <f>IFERROR(__xludf.DUMMYFUNCTION("""COMPUTED_VALUE"""),"Paquete de Elasticos 50 mm x 7 mm x 9 Hojas L650")</f>
        <v>Paquete de Elasticos 50 mm x 7 mm x 9 Hojas L650</v>
      </c>
      <c r="W153" s="3" t="str">
        <f>IFERROR(__xludf.DUMMYFUNCTION("""COMPUTED_VALUE"""),"Eje Acoplado 2"" x 1600 (06/08) Agrícola Centro 92")</f>
        <v>Eje Acoplado 2" x 1600 (06/08) Agrícola Centro 92</v>
      </c>
      <c r="X153" s="3" t="str">
        <f>IFERROR(__xludf.DUMMYFUNCTION("""COMPUTED_VALUE"""),"Eje Acoplado 2 1/2"" x 1600 (07/09) Agrícola Centro 92")</f>
        <v>Eje Acoplado 2 1/2" x 1600 (07/09) Agrícola Centro 92</v>
      </c>
      <c r="Y153" s="3" t="str">
        <f>IFERROR(__xludf.DUMMYFUNCTION("""COMPUTED_VALUE"""),"Eje Acoplado 2 1/2"" x 1600 (09/11) Agrícola Centro 150")</f>
        <v>Eje Acoplado 2 1/2" x 1600 (09/11) Agrícola Centro 150</v>
      </c>
      <c r="Z153" s="3" t="str">
        <f>IFERROR(__xludf.DUMMYFUNCTION("""COMPUTED_VALUE"""),"Eje Acoplado 3"" x 1600 (10/13) Agrícola Centro 150")</f>
        <v>Eje Acoplado 3" x 1600 (10/13) Agrícola Centro 150</v>
      </c>
      <c r="AA153" s="3" t="str">
        <f>IFERROR(__xludf.DUMMYFUNCTION("""COMPUTED_VALUE"""),"Eje Acoplado 2 1/2"" x 2140 (07/09) Agrícola Centro 92")</f>
        <v>Eje Acoplado 2 1/2" x 2140 (07/09) Agrícola Centro 92</v>
      </c>
      <c r="AB153" s="3" t="str">
        <f>IFERROR(__xludf.DUMMYFUNCTION("""COMPUTED_VALUE"""),"Eje Acoplado 2"" x 1400 (06/08) Agrícola Centro 92")</f>
        <v>Eje Acoplado 2" x 1400 (06/08) Agrícola Centro 92</v>
      </c>
      <c r="AC153" s="3" t="str">
        <f>IFERROR(__xludf.DUMMYFUNCTION("""COMPUTED_VALUE"""),"Eje Acoplado 2 1/2"" x 1500 (07/09) Agrícola Centro 92")</f>
        <v>Eje Acoplado 2 1/2" x 1500 (07/09) Agrícola Centro 92</v>
      </c>
      <c r="AD153" s="3" t="str">
        <f>IFERROR(__xludf.DUMMYFUNCTION("""COMPUTED_VALUE"""),"Eje Acoplado 2 1/2"" x 2000 (07/09) Agrícola Centro 92")</f>
        <v>Eje Acoplado 2 1/2" x 2000 (07/09) Agrícola Centro 92</v>
      </c>
      <c r="AE153" s="3" t="str">
        <f>IFERROR(__xludf.DUMMYFUNCTION("""COMPUTED_VALUE"""),"Eje Acoplado 2 1/2"" x 2100 (09/11) Agrícola Centro 150")</f>
        <v>Eje Acoplado 2 1/2" x 2100 (09/11) Agrícola Centro 150</v>
      </c>
      <c r="AF153" s="3" t="str">
        <f>IFERROR(__xludf.DUMMYFUNCTION("""COMPUTED_VALUE"""),"Llanta 16"" Simple Agrícola Centro 92")</f>
        <v>Llanta 16" Simple Agrícola Centro 92</v>
      </c>
      <c r="AG153" s="3" t="str">
        <f>IFERROR(__xludf.DUMMYFUNCTION("""COMPUTED_VALUE"""),"Llanta 16"" Dual Agrícola Centro 92")</f>
        <v>Llanta 16" Dual Agrícola Centro 92</v>
      </c>
      <c r="AH153" s="3" t="str">
        <f>IFERROR(__xludf.DUMMYFUNCTION("""COMPUTED_VALUE"""),"Llanta 17"" Simple Agrícola Centro 92")</f>
        <v>Llanta 17" Simple Agrícola Centro 92</v>
      </c>
      <c r="AI153" s="3" t="str">
        <f>IFERROR(__xludf.DUMMYFUNCTION("""COMPUTED_VALUE"""),"Llanta 17"" Dual Agrícola Centro 92")</f>
        <v>Llanta 17" Dual Agrícola Centro 92</v>
      </c>
      <c r="AJ153" s="3" t="str">
        <f>IFERROR(__xludf.DUMMYFUNCTION("""COMPUTED_VALUE"""),"Llanta 16"" Dual Agrícola Centro 152")</f>
        <v>Llanta 16" Dual Agrícola Centro 152</v>
      </c>
      <c r="AK153" s="3" t="str">
        <f>IFERROR(__xludf.DUMMYFUNCTION("""COMPUTED_VALUE"""),"Llanta 17"" Dual Agrícola Centro 152")</f>
        <v>Llanta 17" Dual Agrícola Centro 152</v>
      </c>
      <c r="AL153" s="3" t="str">
        <f>IFERROR(__xludf.DUMMYFUNCTION("""COMPUTED_VALUE"""),"Eje Acoplado 2"" x 1600 (05/07) Agrícola Centro 92")</f>
        <v>Eje Acoplado 2" x 1600 (05/07) Agrícola Centro 92</v>
      </c>
      <c r="AM153" s="3" t="str">
        <f>IFERROR(__xludf.DUMMYFUNCTION("""COMPUTED_VALUE"""),"Paquete de Elásticos 50 mm x 8 mm x 12 Hojas")</f>
        <v>Paquete de Elásticos 50 mm x 8 mm x 12 Hojas</v>
      </c>
      <c r="AN153" s="3" t="str">
        <f>IFERROR(__xludf.DUMMYFUNCTION("""COMPUTED_VALUE"""),"Chasis Grua G1500 Standard")</f>
        <v>Chasis Grua G1500 Standard</v>
      </c>
      <c r="AO153" s="3" t="str">
        <f>IFERROR(__xludf.DUMMYFUNCTION("""COMPUTED_VALUE"""),"Chasis Grua G2000 Standard")</f>
        <v>Chasis Grua G2000 Standard</v>
      </c>
      <c r="AP153" s="3" t="str">
        <f>IFERROR(__xludf.DUMMYFUNCTION("""COMPUTED_VALUE"""),"Cilindros Pies Grua G2000")</f>
        <v>Cilindros Pies Grua G2000</v>
      </c>
      <c r="AQ153" s="3" t="str">
        <f>IFERROR(__xludf.DUMMYFUNCTION("""COMPUTED_VALUE"""),"Brazo Extendido Grua de Arrastre")</f>
        <v>Brazo Extendido Grua de Arrastre</v>
      </c>
      <c r="AR153" s="3" t="str">
        <f>IFERROR(__xludf.DUMMYFUNCTION("""COMPUTED_VALUE"""),"Barquilla Grua de Arrastre")</f>
        <v>Barquilla Grua de Arrastre</v>
      </c>
      <c r="AS153" s="3" t="str">
        <f>IFERROR(__xludf.DUMMYFUNCTION("""COMPUTED_VALUE"""),"Levanta Pallet Grua de Arrastre")</f>
        <v>Levanta Pallet Grua de Arrastre</v>
      </c>
      <c r="AT153" s="3" t="str">
        <f>IFERROR(__xludf.DUMMYFUNCTION("""COMPUTED_VALUE"""),"Central Hidráulica con Motor a Explosión")</f>
        <v>Central Hidráulica con Motor a Explosión</v>
      </c>
      <c r="AU153" s="3" t="str">
        <f>IFERROR(__xludf.DUMMYFUNCTION("""COMPUTED_VALUE"""),"Llanta simple Agrícola 750x20 centro 152")</f>
        <v>Llanta simple Agrícola 750x20 centro 152</v>
      </c>
      <c r="AV153" s="3" t="str">
        <f>IFERROR(__xludf.DUMMYFUNCTION("""COMPUTED_VALUE"""),"Llanta 15"" Simple Agrícola Centro 92")</f>
        <v>Llanta 15" Simple Agrícola Centro 92</v>
      </c>
    </row>
    <row r="154" hidden="1">
      <c r="A154" s="38">
        <f t="shared" si="1"/>
        <v>153</v>
      </c>
      <c r="B154" s="38">
        <f>IF(F154="","",SUMIF(Prearmados!E:E,F154,Prearmados!A:A))</f>
        <v>37</v>
      </c>
      <c r="C154" s="38">
        <f>IF(F154="","",SUMIF(Productos!E:E,G154,Productos!A:A))</f>
        <v>134</v>
      </c>
      <c r="D154" s="83" t="str">
        <f t="array" ref="D154">IF(OR(F154="",F154="Seleccionar.."),"",XLOOKUP(F154,Prearmados!E:E,Prearmados!F:F,"",0,1))</f>
        <v>Gruas</v>
      </c>
      <c r="E154" s="83">
        <f>IF(H154="","",SUMIF(Precio_Productos!K:K,C154,Precio_Productos!J:J)*H154)</f>
        <v>2442810</v>
      </c>
      <c r="F154" s="84" t="s">
        <v>362</v>
      </c>
      <c r="G154" s="84" t="s">
        <v>150</v>
      </c>
      <c r="H154" s="13">
        <v>1.0</v>
      </c>
      <c r="P154" s="3" t="str">
        <f>IFERROR(__xludf.DUMMYFUNCTION("IF(OR(F154="""",F154=""Seleccionar..""),"""",TRANSPOSE(FILTER(Productos!E:E,(Productos!F:F=D154)+(Productos!F:F=XLOOKUP(D154,Implementos!B:B,Implementos!C:C,""-"",0,1)))))"),"Paquete de Elasticos 50 mm x 8 mm x 10 Hojas L850")</f>
        <v>Paquete de Elasticos 50 mm x 8 mm x 10 Hojas L850</v>
      </c>
      <c r="Q154" s="3" t="str">
        <f>IFERROR(__xludf.DUMMYFUNCTION("""COMPUTED_VALUE"""),"Paquete de Elasticos 63 mm x 8 mm x 10 Hojas L950")</f>
        <v>Paquete de Elasticos 63 mm x 8 mm x 10 Hojas L950</v>
      </c>
      <c r="R154" s="3" t="str">
        <f>IFERROR(__xludf.DUMMYFUNCTION("""COMPUTED_VALUE"""),"Paquete de Elasticos 50 mm x 7 mm x 9 Hojas L850")</f>
        <v>Paquete de Elasticos 50 mm x 7 mm x 9 Hojas L850</v>
      </c>
      <c r="S154" s="3" t="str">
        <f>IFERROR(__xludf.DUMMYFUNCTION("""COMPUTED_VALUE"""),"Paquete de Elasticos 63 mm x 8 mm x 8 Hojas L850")</f>
        <v>Paquete de Elasticos 63 mm x 8 mm x 8 Hojas L850</v>
      </c>
      <c r="T154" s="3" t="str">
        <f>IFERROR(__xludf.DUMMYFUNCTION("""COMPUTED_VALUE"""),"Paquete de Elasticos 63 mm x 10 mm x 10 Hojas L950")</f>
        <v>Paquete de Elasticos 63 mm x 10 mm x 10 Hojas L950</v>
      </c>
      <c r="U154" s="3" t="str">
        <f>IFERROR(__xludf.DUMMYFUNCTION("""COMPUTED_VALUE"""),"Paquete de Elasticos 63 mm x 10 mm x 13 Hojas L975")</f>
        <v>Paquete de Elasticos 63 mm x 10 mm x 13 Hojas L975</v>
      </c>
      <c r="V154" s="3" t="str">
        <f>IFERROR(__xludf.DUMMYFUNCTION("""COMPUTED_VALUE"""),"Paquete de Elasticos 50 mm x 7 mm x 9 Hojas L650")</f>
        <v>Paquete de Elasticos 50 mm x 7 mm x 9 Hojas L650</v>
      </c>
      <c r="W154" s="3" t="str">
        <f>IFERROR(__xludf.DUMMYFUNCTION("""COMPUTED_VALUE"""),"Eje Acoplado 2"" x 1600 (06/08) Agrícola Centro 92")</f>
        <v>Eje Acoplado 2" x 1600 (06/08) Agrícola Centro 92</v>
      </c>
      <c r="X154" s="3" t="str">
        <f>IFERROR(__xludf.DUMMYFUNCTION("""COMPUTED_VALUE"""),"Eje Acoplado 2 1/2"" x 1600 (07/09) Agrícola Centro 92")</f>
        <v>Eje Acoplado 2 1/2" x 1600 (07/09) Agrícola Centro 92</v>
      </c>
      <c r="Y154" s="3" t="str">
        <f>IFERROR(__xludf.DUMMYFUNCTION("""COMPUTED_VALUE"""),"Eje Acoplado 2 1/2"" x 1600 (09/11) Agrícola Centro 150")</f>
        <v>Eje Acoplado 2 1/2" x 1600 (09/11) Agrícola Centro 150</v>
      </c>
      <c r="Z154" s="3" t="str">
        <f>IFERROR(__xludf.DUMMYFUNCTION("""COMPUTED_VALUE"""),"Eje Acoplado 3"" x 1600 (10/13) Agrícola Centro 150")</f>
        <v>Eje Acoplado 3" x 1600 (10/13) Agrícola Centro 150</v>
      </c>
      <c r="AA154" s="3" t="str">
        <f>IFERROR(__xludf.DUMMYFUNCTION("""COMPUTED_VALUE"""),"Eje Acoplado 2 1/2"" x 2140 (07/09) Agrícola Centro 92")</f>
        <v>Eje Acoplado 2 1/2" x 2140 (07/09) Agrícola Centro 92</v>
      </c>
      <c r="AB154" s="3" t="str">
        <f>IFERROR(__xludf.DUMMYFUNCTION("""COMPUTED_VALUE"""),"Eje Acoplado 2"" x 1400 (06/08) Agrícola Centro 92")</f>
        <v>Eje Acoplado 2" x 1400 (06/08) Agrícola Centro 92</v>
      </c>
      <c r="AC154" s="3" t="str">
        <f>IFERROR(__xludf.DUMMYFUNCTION("""COMPUTED_VALUE"""),"Eje Acoplado 2 1/2"" x 1500 (07/09) Agrícola Centro 92")</f>
        <v>Eje Acoplado 2 1/2" x 1500 (07/09) Agrícola Centro 92</v>
      </c>
      <c r="AD154" s="3" t="str">
        <f>IFERROR(__xludf.DUMMYFUNCTION("""COMPUTED_VALUE"""),"Eje Acoplado 2 1/2"" x 2000 (07/09) Agrícola Centro 92")</f>
        <v>Eje Acoplado 2 1/2" x 2000 (07/09) Agrícola Centro 92</v>
      </c>
      <c r="AE154" s="3" t="str">
        <f>IFERROR(__xludf.DUMMYFUNCTION("""COMPUTED_VALUE"""),"Eje Acoplado 2 1/2"" x 2100 (09/11) Agrícola Centro 150")</f>
        <v>Eje Acoplado 2 1/2" x 2100 (09/11) Agrícola Centro 150</v>
      </c>
      <c r="AF154" s="3" t="str">
        <f>IFERROR(__xludf.DUMMYFUNCTION("""COMPUTED_VALUE"""),"Llanta 16"" Simple Agrícola Centro 92")</f>
        <v>Llanta 16" Simple Agrícola Centro 92</v>
      </c>
      <c r="AG154" s="3" t="str">
        <f>IFERROR(__xludf.DUMMYFUNCTION("""COMPUTED_VALUE"""),"Llanta 16"" Dual Agrícola Centro 92")</f>
        <v>Llanta 16" Dual Agrícola Centro 92</v>
      </c>
      <c r="AH154" s="3" t="str">
        <f>IFERROR(__xludf.DUMMYFUNCTION("""COMPUTED_VALUE"""),"Llanta 17"" Simple Agrícola Centro 92")</f>
        <v>Llanta 17" Simple Agrícola Centro 92</v>
      </c>
      <c r="AI154" s="3" t="str">
        <f>IFERROR(__xludf.DUMMYFUNCTION("""COMPUTED_VALUE"""),"Llanta 17"" Dual Agrícola Centro 92")</f>
        <v>Llanta 17" Dual Agrícola Centro 92</v>
      </c>
      <c r="AJ154" s="3" t="str">
        <f>IFERROR(__xludf.DUMMYFUNCTION("""COMPUTED_VALUE"""),"Llanta 16"" Dual Agrícola Centro 152")</f>
        <v>Llanta 16" Dual Agrícola Centro 152</v>
      </c>
      <c r="AK154" s="3" t="str">
        <f>IFERROR(__xludf.DUMMYFUNCTION("""COMPUTED_VALUE"""),"Llanta 17"" Dual Agrícola Centro 152")</f>
        <v>Llanta 17" Dual Agrícola Centro 152</v>
      </c>
      <c r="AL154" s="3" t="str">
        <f>IFERROR(__xludf.DUMMYFUNCTION("""COMPUTED_VALUE"""),"Eje Acoplado 2"" x 1600 (05/07) Agrícola Centro 92")</f>
        <v>Eje Acoplado 2" x 1600 (05/07) Agrícola Centro 92</v>
      </c>
      <c r="AM154" s="3" t="str">
        <f>IFERROR(__xludf.DUMMYFUNCTION("""COMPUTED_VALUE"""),"Paquete de Elásticos 50 mm x 8 mm x 12 Hojas")</f>
        <v>Paquete de Elásticos 50 mm x 8 mm x 12 Hojas</v>
      </c>
      <c r="AN154" s="3" t="str">
        <f>IFERROR(__xludf.DUMMYFUNCTION("""COMPUTED_VALUE"""),"Chasis Grua G1500 Standard")</f>
        <v>Chasis Grua G1500 Standard</v>
      </c>
      <c r="AO154" s="3" t="str">
        <f>IFERROR(__xludf.DUMMYFUNCTION("""COMPUTED_VALUE"""),"Chasis Grua G2000 Standard")</f>
        <v>Chasis Grua G2000 Standard</v>
      </c>
      <c r="AP154" s="3" t="str">
        <f>IFERROR(__xludf.DUMMYFUNCTION("""COMPUTED_VALUE"""),"Cilindros Pies Grua G2000")</f>
        <v>Cilindros Pies Grua G2000</v>
      </c>
      <c r="AQ154" s="3" t="str">
        <f>IFERROR(__xludf.DUMMYFUNCTION("""COMPUTED_VALUE"""),"Brazo Extendido Grua de Arrastre")</f>
        <v>Brazo Extendido Grua de Arrastre</v>
      </c>
      <c r="AR154" s="3" t="str">
        <f>IFERROR(__xludf.DUMMYFUNCTION("""COMPUTED_VALUE"""),"Barquilla Grua de Arrastre")</f>
        <v>Barquilla Grua de Arrastre</v>
      </c>
      <c r="AS154" s="3" t="str">
        <f>IFERROR(__xludf.DUMMYFUNCTION("""COMPUTED_VALUE"""),"Levanta Pallet Grua de Arrastre")</f>
        <v>Levanta Pallet Grua de Arrastre</v>
      </c>
      <c r="AT154" s="3" t="str">
        <f>IFERROR(__xludf.DUMMYFUNCTION("""COMPUTED_VALUE"""),"Central Hidráulica con Motor a Explosión")</f>
        <v>Central Hidráulica con Motor a Explosión</v>
      </c>
      <c r="AU154" s="3" t="str">
        <f>IFERROR(__xludf.DUMMYFUNCTION("""COMPUTED_VALUE"""),"Llanta simple Agrícola 750x20 centro 152")</f>
        <v>Llanta simple Agrícola 750x20 centro 152</v>
      </c>
      <c r="AV154" s="3" t="str">
        <f>IFERROR(__xludf.DUMMYFUNCTION("""COMPUTED_VALUE"""),"Llanta 15"" Simple Agrícola Centro 92")</f>
        <v>Llanta 15" Simple Agrícola Centro 92</v>
      </c>
    </row>
    <row r="155" hidden="1">
      <c r="A155" s="38">
        <f t="shared" si="1"/>
        <v>154</v>
      </c>
      <c r="B155" s="38">
        <f>IF(F155="","",SUMIF(Prearmados!E:E,F155,Prearmados!A:A))</f>
        <v>37</v>
      </c>
      <c r="C155" s="38">
        <f>IF(F155="","",SUMIF(Productos!E:E,G155,Productos!A:A))</f>
        <v>135</v>
      </c>
      <c r="D155" s="83" t="str">
        <f t="array" ref="D155">IF(OR(F155="",F155="Seleccionar.."),"",XLOOKUP(F155,Prearmados!E:E,Prearmados!F:F,"",0,1))</f>
        <v>Gruas</v>
      </c>
      <c r="E155" s="83">
        <f>IF(H155="","",SUMIF(Precio_Productos!K:K,C155,Precio_Productos!J:J)*H155)</f>
        <v>1080104</v>
      </c>
      <c r="F155" s="84" t="s">
        <v>362</v>
      </c>
      <c r="G155" s="84" t="s">
        <v>173</v>
      </c>
      <c r="H155" s="13">
        <v>1.0</v>
      </c>
      <c r="P155" s="3" t="str">
        <f>IFERROR(__xludf.DUMMYFUNCTION("IF(OR(F155="""",F155=""Seleccionar..""),"""",TRANSPOSE(FILTER(Productos!E:E,(Productos!F:F=D155)+(Productos!F:F=XLOOKUP(D155,Implementos!B:B,Implementos!C:C,""-"",0,1)))))"),"Paquete de Elasticos 50 mm x 8 mm x 10 Hojas L850")</f>
        <v>Paquete de Elasticos 50 mm x 8 mm x 10 Hojas L850</v>
      </c>
      <c r="Q155" s="3" t="str">
        <f>IFERROR(__xludf.DUMMYFUNCTION("""COMPUTED_VALUE"""),"Paquete de Elasticos 63 mm x 8 mm x 10 Hojas L950")</f>
        <v>Paquete de Elasticos 63 mm x 8 mm x 10 Hojas L950</v>
      </c>
      <c r="R155" s="3" t="str">
        <f>IFERROR(__xludf.DUMMYFUNCTION("""COMPUTED_VALUE"""),"Paquete de Elasticos 50 mm x 7 mm x 9 Hojas L850")</f>
        <v>Paquete de Elasticos 50 mm x 7 mm x 9 Hojas L850</v>
      </c>
      <c r="S155" s="3" t="str">
        <f>IFERROR(__xludf.DUMMYFUNCTION("""COMPUTED_VALUE"""),"Paquete de Elasticos 63 mm x 8 mm x 8 Hojas L850")</f>
        <v>Paquete de Elasticos 63 mm x 8 mm x 8 Hojas L850</v>
      </c>
      <c r="T155" s="3" t="str">
        <f>IFERROR(__xludf.DUMMYFUNCTION("""COMPUTED_VALUE"""),"Paquete de Elasticos 63 mm x 10 mm x 10 Hojas L950")</f>
        <v>Paquete de Elasticos 63 mm x 10 mm x 10 Hojas L950</v>
      </c>
      <c r="U155" s="3" t="str">
        <f>IFERROR(__xludf.DUMMYFUNCTION("""COMPUTED_VALUE"""),"Paquete de Elasticos 63 mm x 10 mm x 13 Hojas L975")</f>
        <v>Paquete de Elasticos 63 mm x 10 mm x 13 Hojas L975</v>
      </c>
      <c r="V155" s="3" t="str">
        <f>IFERROR(__xludf.DUMMYFUNCTION("""COMPUTED_VALUE"""),"Paquete de Elasticos 50 mm x 7 mm x 9 Hojas L650")</f>
        <v>Paquete de Elasticos 50 mm x 7 mm x 9 Hojas L650</v>
      </c>
      <c r="W155" s="3" t="str">
        <f>IFERROR(__xludf.DUMMYFUNCTION("""COMPUTED_VALUE"""),"Eje Acoplado 2"" x 1600 (06/08) Agrícola Centro 92")</f>
        <v>Eje Acoplado 2" x 1600 (06/08) Agrícola Centro 92</v>
      </c>
      <c r="X155" s="3" t="str">
        <f>IFERROR(__xludf.DUMMYFUNCTION("""COMPUTED_VALUE"""),"Eje Acoplado 2 1/2"" x 1600 (07/09) Agrícola Centro 92")</f>
        <v>Eje Acoplado 2 1/2" x 1600 (07/09) Agrícola Centro 92</v>
      </c>
      <c r="Y155" s="3" t="str">
        <f>IFERROR(__xludf.DUMMYFUNCTION("""COMPUTED_VALUE"""),"Eje Acoplado 2 1/2"" x 1600 (09/11) Agrícola Centro 150")</f>
        <v>Eje Acoplado 2 1/2" x 1600 (09/11) Agrícola Centro 150</v>
      </c>
      <c r="Z155" s="3" t="str">
        <f>IFERROR(__xludf.DUMMYFUNCTION("""COMPUTED_VALUE"""),"Eje Acoplado 3"" x 1600 (10/13) Agrícola Centro 150")</f>
        <v>Eje Acoplado 3" x 1600 (10/13) Agrícola Centro 150</v>
      </c>
      <c r="AA155" s="3" t="str">
        <f>IFERROR(__xludf.DUMMYFUNCTION("""COMPUTED_VALUE"""),"Eje Acoplado 2 1/2"" x 2140 (07/09) Agrícola Centro 92")</f>
        <v>Eje Acoplado 2 1/2" x 2140 (07/09) Agrícola Centro 92</v>
      </c>
      <c r="AB155" s="3" t="str">
        <f>IFERROR(__xludf.DUMMYFUNCTION("""COMPUTED_VALUE"""),"Eje Acoplado 2"" x 1400 (06/08) Agrícola Centro 92")</f>
        <v>Eje Acoplado 2" x 1400 (06/08) Agrícola Centro 92</v>
      </c>
      <c r="AC155" s="3" t="str">
        <f>IFERROR(__xludf.DUMMYFUNCTION("""COMPUTED_VALUE"""),"Eje Acoplado 2 1/2"" x 1500 (07/09) Agrícola Centro 92")</f>
        <v>Eje Acoplado 2 1/2" x 1500 (07/09) Agrícola Centro 92</v>
      </c>
      <c r="AD155" s="3" t="str">
        <f>IFERROR(__xludf.DUMMYFUNCTION("""COMPUTED_VALUE"""),"Eje Acoplado 2 1/2"" x 2000 (07/09) Agrícola Centro 92")</f>
        <v>Eje Acoplado 2 1/2" x 2000 (07/09) Agrícola Centro 92</v>
      </c>
      <c r="AE155" s="3" t="str">
        <f>IFERROR(__xludf.DUMMYFUNCTION("""COMPUTED_VALUE"""),"Eje Acoplado 2 1/2"" x 2100 (09/11) Agrícola Centro 150")</f>
        <v>Eje Acoplado 2 1/2" x 2100 (09/11) Agrícola Centro 150</v>
      </c>
      <c r="AF155" s="3" t="str">
        <f>IFERROR(__xludf.DUMMYFUNCTION("""COMPUTED_VALUE"""),"Llanta 16"" Simple Agrícola Centro 92")</f>
        <v>Llanta 16" Simple Agrícola Centro 92</v>
      </c>
      <c r="AG155" s="3" t="str">
        <f>IFERROR(__xludf.DUMMYFUNCTION("""COMPUTED_VALUE"""),"Llanta 16"" Dual Agrícola Centro 92")</f>
        <v>Llanta 16" Dual Agrícola Centro 92</v>
      </c>
      <c r="AH155" s="3" t="str">
        <f>IFERROR(__xludf.DUMMYFUNCTION("""COMPUTED_VALUE"""),"Llanta 17"" Simple Agrícola Centro 92")</f>
        <v>Llanta 17" Simple Agrícola Centro 92</v>
      </c>
      <c r="AI155" s="3" t="str">
        <f>IFERROR(__xludf.DUMMYFUNCTION("""COMPUTED_VALUE"""),"Llanta 17"" Dual Agrícola Centro 92")</f>
        <v>Llanta 17" Dual Agrícola Centro 92</v>
      </c>
      <c r="AJ155" s="3" t="str">
        <f>IFERROR(__xludf.DUMMYFUNCTION("""COMPUTED_VALUE"""),"Llanta 16"" Dual Agrícola Centro 152")</f>
        <v>Llanta 16" Dual Agrícola Centro 152</v>
      </c>
      <c r="AK155" s="3" t="str">
        <f>IFERROR(__xludf.DUMMYFUNCTION("""COMPUTED_VALUE"""),"Llanta 17"" Dual Agrícola Centro 152")</f>
        <v>Llanta 17" Dual Agrícola Centro 152</v>
      </c>
      <c r="AL155" s="3" t="str">
        <f>IFERROR(__xludf.DUMMYFUNCTION("""COMPUTED_VALUE"""),"Eje Acoplado 2"" x 1600 (05/07) Agrícola Centro 92")</f>
        <v>Eje Acoplado 2" x 1600 (05/07) Agrícola Centro 92</v>
      </c>
      <c r="AM155" s="3" t="str">
        <f>IFERROR(__xludf.DUMMYFUNCTION("""COMPUTED_VALUE"""),"Paquete de Elásticos 50 mm x 8 mm x 12 Hojas")</f>
        <v>Paquete de Elásticos 50 mm x 8 mm x 12 Hojas</v>
      </c>
      <c r="AN155" s="3" t="str">
        <f>IFERROR(__xludf.DUMMYFUNCTION("""COMPUTED_VALUE"""),"Chasis Grua G1500 Standard")</f>
        <v>Chasis Grua G1500 Standard</v>
      </c>
      <c r="AO155" s="3" t="str">
        <f>IFERROR(__xludf.DUMMYFUNCTION("""COMPUTED_VALUE"""),"Chasis Grua G2000 Standard")</f>
        <v>Chasis Grua G2000 Standard</v>
      </c>
      <c r="AP155" s="3" t="str">
        <f>IFERROR(__xludf.DUMMYFUNCTION("""COMPUTED_VALUE"""),"Cilindros Pies Grua G2000")</f>
        <v>Cilindros Pies Grua G2000</v>
      </c>
      <c r="AQ155" s="3" t="str">
        <f>IFERROR(__xludf.DUMMYFUNCTION("""COMPUTED_VALUE"""),"Brazo Extendido Grua de Arrastre")</f>
        <v>Brazo Extendido Grua de Arrastre</v>
      </c>
      <c r="AR155" s="3" t="str">
        <f>IFERROR(__xludf.DUMMYFUNCTION("""COMPUTED_VALUE"""),"Barquilla Grua de Arrastre")</f>
        <v>Barquilla Grua de Arrastre</v>
      </c>
      <c r="AS155" s="3" t="str">
        <f>IFERROR(__xludf.DUMMYFUNCTION("""COMPUTED_VALUE"""),"Levanta Pallet Grua de Arrastre")</f>
        <v>Levanta Pallet Grua de Arrastre</v>
      </c>
      <c r="AT155" s="3" t="str">
        <f>IFERROR(__xludf.DUMMYFUNCTION("""COMPUTED_VALUE"""),"Central Hidráulica con Motor a Explosión")</f>
        <v>Central Hidráulica con Motor a Explosión</v>
      </c>
      <c r="AU155" s="3" t="str">
        <f>IFERROR(__xludf.DUMMYFUNCTION("""COMPUTED_VALUE"""),"Llanta simple Agrícola 750x20 centro 152")</f>
        <v>Llanta simple Agrícola 750x20 centro 152</v>
      </c>
      <c r="AV155" s="3" t="str">
        <f>IFERROR(__xludf.DUMMYFUNCTION("""COMPUTED_VALUE"""),"Llanta 15"" Simple Agrícola Centro 92")</f>
        <v>Llanta 15" Simple Agrícola Centro 92</v>
      </c>
    </row>
    <row r="156" hidden="1">
      <c r="A156" s="38">
        <f t="shared" si="1"/>
        <v>155</v>
      </c>
      <c r="B156" s="38">
        <f>IF(F156="","",SUMIF(Prearmados!E:E,F156,Prearmados!A:A))</f>
        <v>37</v>
      </c>
      <c r="C156" s="38">
        <f>IF(F156="","",SUMIF(Productos!E:E,G156,Productos!A:A))</f>
        <v>115</v>
      </c>
      <c r="D156" s="83" t="str">
        <f t="array" ref="D156">IF(OR(F156="",F156="Seleccionar.."),"",XLOOKUP(F156,Prearmados!E:E,Prearmados!F:F,"",0,1))</f>
        <v>Gruas</v>
      </c>
      <c r="E156" s="83">
        <f>IF(H156="","",SUMIF(Precio_Productos!K:K,C156,Precio_Productos!J:J)*H156)</f>
        <v>660000</v>
      </c>
      <c r="F156" s="84" t="s">
        <v>362</v>
      </c>
      <c r="G156" s="84" t="s">
        <v>43</v>
      </c>
      <c r="H156" s="13">
        <v>4.0</v>
      </c>
      <c r="P156" s="3" t="str">
        <f>IFERROR(__xludf.DUMMYFUNCTION("IF(OR(F156="""",F156=""Seleccionar..""),"""",TRANSPOSE(FILTER(Productos!E:E,(Productos!F:F=D156)+(Productos!F:F=XLOOKUP(D156,Implementos!B:B,Implementos!C:C,""-"",0,1)))))"),"Paquete de Elasticos 50 mm x 8 mm x 10 Hojas L850")</f>
        <v>Paquete de Elasticos 50 mm x 8 mm x 10 Hojas L850</v>
      </c>
      <c r="Q156" s="3" t="str">
        <f>IFERROR(__xludf.DUMMYFUNCTION("""COMPUTED_VALUE"""),"Paquete de Elasticos 63 mm x 8 mm x 10 Hojas L950")</f>
        <v>Paquete de Elasticos 63 mm x 8 mm x 10 Hojas L950</v>
      </c>
      <c r="R156" s="3" t="str">
        <f>IFERROR(__xludf.DUMMYFUNCTION("""COMPUTED_VALUE"""),"Paquete de Elasticos 50 mm x 7 mm x 9 Hojas L850")</f>
        <v>Paquete de Elasticos 50 mm x 7 mm x 9 Hojas L850</v>
      </c>
      <c r="S156" s="3" t="str">
        <f>IFERROR(__xludf.DUMMYFUNCTION("""COMPUTED_VALUE"""),"Paquete de Elasticos 63 mm x 8 mm x 8 Hojas L850")</f>
        <v>Paquete de Elasticos 63 mm x 8 mm x 8 Hojas L850</v>
      </c>
      <c r="T156" s="3" t="str">
        <f>IFERROR(__xludf.DUMMYFUNCTION("""COMPUTED_VALUE"""),"Paquete de Elasticos 63 mm x 10 mm x 10 Hojas L950")</f>
        <v>Paquete de Elasticos 63 mm x 10 mm x 10 Hojas L950</v>
      </c>
      <c r="U156" s="3" t="str">
        <f>IFERROR(__xludf.DUMMYFUNCTION("""COMPUTED_VALUE"""),"Paquete de Elasticos 63 mm x 10 mm x 13 Hojas L975")</f>
        <v>Paquete de Elasticos 63 mm x 10 mm x 13 Hojas L975</v>
      </c>
      <c r="V156" s="3" t="str">
        <f>IFERROR(__xludf.DUMMYFUNCTION("""COMPUTED_VALUE"""),"Paquete de Elasticos 50 mm x 7 mm x 9 Hojas L650")</f>
        <v>Paquete de Elasticos 50 mm x 7 mm x 9 Hojas L650</v>
      </c>
      <c r="W156" s="3" t="str">
        <f>IFERROR(__xludf.DUMMYFUNCTION("""COMPUTED_VALUE"""),"Eje Acoplado 2"" x 1600 (06/08) Agrícola Centro 92")</f>
        <v>Eje Acoplado 2" x 1600 (06/08) Agrícola Centro 92</v>
      </c>
      <c r="X156" s="3" t="str">
        <f>IFERROR(__xludf.DUMMYFUNCTION("""COMPUTED_VALUE"""),"Eje Acoplado 2 1/2"" x 1600 (07/09) Agrícola Centro 92")</f>
        <v>Eje Acoplado 2 1/2" x 1600 (07/09) Agrícola Centro 92</v>
      </c>
      <c r="Y156" s="3" t="str">
        <f>IFERROR(__xludf.DUMMYFUNCTION("""COMPUTED_VALUE"""),"Eje Acoplado 2 1/2"" x 1600 (09/11) Agrícola Centro 150")</f>
        <v>Eje Acoplado 2 1/2" x 1600 (09/11) Agrícola Centro 150</v>
      </c>
      <c r="Z156" s="3" t="str">
        <f>IFERROR(__xludf.DUMMYFUNCTION("""COMPUTED_VALUE"""),"Eje Acoplado 3"" x 1600 (10/13) Agrícola Centro 150")</f>
        <v>Eje Acoplado 3" x 1600 (10/13) Agrícola Centro 150</v>
      </c>
      <c r="AA156" s="3" t="str">
        <f>IFERROR(__xludf.DUMMYFUNCTION("""COMPUTED_VALUE"""),"Eje Acoplado 2 1/2"" x 2140 (07/09) Agrícola Centro 92")</f>
        <v>Eje Acoplado 2 1/2" x 2140 (07/09) Agrícola Centro 92</v>
      </c>
      <c r="AB156" s="3" t="str">
        <f>IFERROR(__xludf.DUMMYFUNCTION("""COMPUTED_VALUE"""),"Eje Acoplado 2"" x 1400 (06/08) Agrícola Centro 92")</f>
        <v>Eje Acoplado 2" x 1400 (06/08) Agrícola Centro 92</v>
      </c>
      <c r="AC156" s="3" t="str">
        <f>IFERROR(__xludf.DUMMYFUNCTION("""COMPUTED_VALUE"""),"Eje Acoplado 2 1/2"" x 1500 (07/09) Agrícola Centro 92")</f>
        <v>Eje Acoplado 2 1/2" x 1500 (07/09) Agrícola Centro 92</v>
      </c>
      <c r="AD156" s="3" t="str">
        <f>IFERROR(__xludf.DUMMYFUNCTION("""COMPUTED_VALUE"""),"Eje Acoplado 2 1/2"" x 2000 (07/09) Agrícola Centro 92")</f>
        <v>Eje Acoplado 2 1/2" x 2000 (07/09) Agrícola Centro 92</v>
      </c>
      <c r="AE156" s="3" t="str">
        <f>IFERROR(__xludf.DUMMYFUNCTION("""COMPUTED_VALUE"""),"Eje Acoplado 2 1/2"" x 2100 (09/11) Agrícola Centro 150")</f>
        <v>Eje Acoplado 2 1/2" x 2100 (09/11) Agrícola Centro 150</v>
      </c>
      <c r="AF156" s="3" t="str">
        <f>IFERROR(__xludf.DUMMYFUNCTION("""COMPUTED_VALUE"""),"Llanta 16"" Simple Agrícola Centro 92")</f>
        <v>Llanta 16" Simple Agrícola Centro 92</v>
      </c>
      <c r="AG156" s="3" t="str">
        <f>IFERROR(__xludf.DUMMYFUNCTION("""COMPUTED_VALUE"""),"Llanta 16"" Dual Agrícola Centro 92")</f>
        <v>Llanta 16" Dual Agrícola Centro 92</v>
      </c>
      <c r="AH156" s="3" t="str">
        <f>IFERROR(__xludf.DUMMYFUNCTION("""COMPUTED_VALUE"""),"Llanta 17"" Simple Agrícola Centro 92")</f>
        <v>Llanta 17" Simple Agrícola Centro 92</v>
      </c>
      <c r="AI156" s="3" t="str">
        <f>IFERROR(__xludf.DUMMYFUNCTION("""COMPUTED_VALUE"""),"Llanta 17"" Dual Agrícola Centro 92")</f>
        <v>Llanta 17" Dual Agrícola Centro 92</v>
      </c>
      <c r="AJ156" s="3" t="str">
        <f>IFERROR(__xludf.DUMMYFUNCTION("""COMPUTED_VALUE"""),"Llanta 16"" Dual Agrícola Centro 152")</f>
        <v>Llanta 16" Dual Agrícola Centro 152</v>
      </c>
      <c r="AK156" s="3" t="str">
        <f>IFERROR(__xludf.DUMMYFUNCTION("""COMPUTED_VALUE"""),"Llanta 17"" Dual Agrícola Centro 152")</f>
        <v>Llanta 17" Dual Agrícola Centro 152</v>
      </c>
      <c r="AL156" s="3" t="str">
        <f>IFERROR(__xludf.DUMMYFUNCTION("""COMPUTED_VALUE"""),"Eje Acoplado 2"" x 1600 (05/07) Agrícola Centro 92")</f>
        <v>Eje Acoplado 2" x 1600 (05/07) Agrícola Centro 92</v>
      </c>
      <c r="AM156" s="3" t="str">
        <f>IFERROR(__xludf.DUMMYFUNCTION("""COMPUTED_VALUE"""),"Paquete de Elásticos 50 mm x 8 mm x 12 Hojas")</f>
        <v>Paquete de Elásticos 50 mm x 8 mm x 12 Hojas</v>
      </c>
      <c r="AN156" s="3" t="str">
        <f>IFERROR(__xludf.DUMMYFUNCTION("""COMPUTED_VALUE"""),"Chasis Grua G1500 Standard")</f>
        <v>Chasis Grua G1500 Standard</v>
      </c>
      <c r="AO156" s="3" t="str">
        <f>IFERROR(__xludf.DUMMYFUNCTION("""COMPUTED_VALUE"""),"Chasis Grua G2000 Standard")</f>
        <v>Chasis Grua G2000 Standard</v>
      </c>
      <c r="AP156" s="3" t="str">
        <f>IFERROR(__xludf.DUMMYFUNCTION("""COMPUTED_VALUE"""),"Cilindros Pies Grua G2000")</f>
        <v>Cilindros Pies Grua G2000</v>
      </c>
      <c r="AQ156" s="3" t="str">
        <f>IFERROR(__xludf.DUMMYFUNCTION("""COMPUTED_VALUE"""),"Brazo Extendido Grua de Arrastre")</f>
        <v>Brazo Extendido Grua de Arrastre</v>
      </c>
      <c r="AR156" s="3" t="str">
        <f>IFERROR(__xludf.DUMMYFUNCTION("""COMPUTED_VALUE"""),"Barquilla Grua de Arrastre")</f>
        <v>Barquilla Grua de Arrastre</v>
      </c>
      <c r="AS156" s="3" t="str">
        <f>IFERROR(__xludf.DUMMYFUNCTION("""COMPUTED_VALUE"""),"Levanta Pallet Grua de Arrastre")</f>
        <v>Levanta Pallet Grua de Arrastre</v>
      </c>
      <c r="AT156" s="3" t="str">
        <f>IFERROR(__xludf.DUMMYFUNCTION("""COMPUTED_VALUE"""),"Central Hidráulica con Motor a Explosión")</f>
        <v>Central Hidráulica con Motor a Explosión</v>
      </c>
      <c r="AU156" s="3" t="str">
        <f>IFERROR(__xludf.DUMMYFUNCTION("""COMPUTED_VALUE"""),"Llanta simple Agrícola 750x20 centro 152")</f>
        <v>Llanta simple Agrícola 750x20 centro 152</v>
      </c>
      <c r="AV156" s="3" t="str">
        <f>IFERROR(__xludf.DUMMYFUNCTION("""COMPUTED_VALUE"""),"Llanta 15"" Simple Agrícola Centro 92")</f>
        <v>Llanta 15" Simple Agrícola Centro 92</v>
      </c>
    </row>
    <row r="157" hidden="1">
      <c r="A157" s="38">
        <f t="shared" si="1"/>
        <v>156</v>
      </c>
      <c r="B157" s="38">
        <f>IF(F157="","",SUMIF(Prearmados!E:E,F157,Prearmados!A:A))</f>
        <v>38</v>
      </c>
      <c r="C157" s="38">
        <f>IF(F157="","",SUMIF(Productos!E:E,G157,Productos!A:A))</f>
        <v>36</v>
      </c>
      <c r="D157" s="83" t="str">
        <f t="array" ref="D157">IF(OR(F157="",F157="Seleccionar.."),"",XLOOKUP(F157,Prearmados!E:E,Prearmados!F:F,"",0,1))</f>
        <v>Desmalezadoras</v>
      </c>
      <c r="E157" s="83">
        <f>IF(H157="","",SUMIF(Precio_Productos!K:K,C157,Precio_Productos!J:J)*H157)</f>
        <v>3395000</v>
      </c>
      <c r="F157" s="84" t="s">
        <v>363</v>
      </c>
      <c r="G157" s="84" t="s">
        <v>89</v>
      </c>
      <c r="H157" s="13">
        <v>1.0</v>
      </c>
      <c r="P157" s="3" t="str">
        <f>IFERROR(__xludf.DUMMYFUNCTION("IF(OR(F157="""",F157=""Seleccionar..""),"""",TRANSPOSE(FILTER(Productos!E:E,(Productos!F:F=D157)+(Productos!F:F=XLOOKUP(D157,Implementos!B:B,Implementos!C:C,""-"",0,1)))))"),"Base Desmalezadora 1,50")</f>
        <v>Base Desmalezadora 1,50</v>
      </c>
      <c r="Q157" s="3" t="str">
        <f>IFERROR(__xludf.DUMMYFUNCTION("""COMPUTED_VALUE"""),"Base Desmalezadora 2,00")</f>
        <v>Base Desmalezadora 2,00</v>
      </c>
      <c r="R157" s="3" t="str">
        <f>IFERROR(__xludf.DUMMYFUNCTION("""COMPUTED_VALUE"""),"Acople 3P Desmalezadora 1,50")</f>
        <v>Acople 3P Desmalezadora 1,50</v>
      </c>
      <c r="S157" s="3" t="str">
        <f>IFERROR(__xludf.DUMMYFUNCTION("""COMPUTED_VALUE"""),"Acople 3P Desmalezadora 2,00")</f>
        <v>Acople 3P Desmalezadora 2,00</v>
      </c>
      <c r="T157" s="3" t="str">
        <f>IFERROR(__xludf.DUMMYFUNCTION("""COMPUTED_VALUE"""),"Tren de Arrastre Desmalezadora 1,50")</f>
        <v>Tren de Arrastre Desmalezadora 1,50</v>
      </c>
      <c r="U157" s="3" t="str">
        <f>IFERROR(__xludf.DUMMYFUNCTION("""COMPUTED_VALUE"""),"Tren de Arrastre Desmalezadora 2,00")</f>
        <v>Tren de Arrastre Desmalezadora 2,00</v>
      </c>
      <c r="V157" s="3" t="str">
        <f>IFERROR(__xludf.DUMMYFUNCTION("""COMPUTED_VALUE"""),"Rueda Trasera de Apoyo y Criquet para Desm 3P")</f>
        <v>Rueda Trasera de Apoyo y Criquet para Desm 3P</v>
      </c>
      <c r="W157" s="3" t="str">
        <f>IFERROR(__xludf.DUMMYFUNCTION("""COMPUTED_VALUE"""),"Cilindro con mangueras para Desm de Arrastre")</f>
        <v>Cilindro con mangueras para Desm de Arrastre</v>
      </c>
      <c r="X157" s="3" t="str">
        <f>IFERROR(__xludf.DUMMYFUNCTION("""COMPUTED_VALUE"""),"Repuesto Cuchilla para Desmalezadora por Unidad")</f>
        <v>Repuesto Cuchilla para Desmalezadora por Unidad</v>
      </c>
      <c r="Y157" s="3" t="str">
        <f>IFERROR(__xludf.DUMMYFUNCTION("""COMPUTED_VALUE"""),"Paquete de Elasticos 50 mm x 8 mm x 10 Hojas L850")</f>
        <v>Paquete de Elasticos 50 mm x 8 mm x 10 Hojas L850</v>
      </c>
      <c r="Z157" s="3" t="str">
        <f>IFERROR(__xludf.DUMMYFUNCTION("""COMPUTED_VALUE"""),"Paquete de Elasticos 63 mm x 8 mm x 10 Hojas L950")</f>
        <v>Paquete de Elasticos 63 mm x 8 mm x 10 Hojas L950</v>
      </c>
      <c r="AA157" s="3" t="str">
        <f>IFERROR(__xludf.DUMMYFUNCTION("""COMPUTED_VALUE"""),"Paquete de Elasticos 50 mm x 7 mm x 9 Hojas L850")</f>
        <v>Paquete de Elasticos 50 mm x 7 mm x 9 Hojas L850</v>
      </c>
      <c r="AB157" s="3" t="str">
        <f>IFERROR(__xludf.DUMMYFUNCTION("""COMPUTED_VALUE"""),"Paquete de Elasticos 63 mm x 8 mm x 8 Hojas L850")</f>
        <v>Paquete de Elasticos 63 mm x 8 mm x 8 Hojas L850</v>
      </c>
      <c r="AC157" s="3" t="str">
        <f>IFERROR(__xludf.DUMMYFUNCTION("""COMPUTED_VALUE"""),"Paquete de Elasticos 63 mm x 10 mm x 10 Hojas L950")</f>
        <v>Paquete de Elasticos 63 mm x 10 mm x 10 Hojas L950</v>
      </c>
      <c r="AD157" s="3" t="str">
        <f>IFERROR(__xludf.DUMMYFUNCTION("""COMPUTED_VALUE"""),"Paquete de Elasticos 63 mm x 10 mm x 13 Hojas L975")</f>
        <v>Paquete de Elasticos 63 mm x 10 mm x 13 Hojas L975</v>
      </c>
      <c r="AE157" s="3" t="str">
        <f>IFERROR(__xludf.DUMMYFUNCTION("""COMPUTED_VALUE"""),"Paquete de Elasticos 50 mm x 7 mm x 9 Hojas L650")</f>
        <v>Paquete de Elasticos 50 mm x 7 mm x 9 Hojas L650</v>
      </c>
      <c r="AF157" s="3" t="str">
        <f>IFERROR(__xludf.DUMMYFUNCTION("""COMPUTED_VALUE"""),"Eje Acoplado 2"" x 1600 (06/08) Agrícola Centro 92")</f>
        <v>Eje Acoplado 2" x 1600 (06/08) Agrícola Centro 92</v>
      </c>
      <c r="AG157" s="3" t="str">
        <f>IFERROR(__xludf.DUMMYFUNCTION("""COMPUTED_VALUE"""),"Eje Acoplado 2 1/2"" x 1600 (07/09) Agrícola Centro 92")</f>
        <v>Eje Acoplado 2 1/2" x 1600 (07/09) Agrícola Centro 92</v>
      </c>
      <c r="AH157" s="3" t="str">
        <f>IFERROR(__xludf.DUMMYFUNCTION("""COMPUTED_VALUE"""),"Eje Acoplado 2 1/2"" x 1600 (09/11) Agrícola Centro 150")</f>
        <v>Eje Acoplado 2 1/2" x 1600 (09/11) Agrícola Centro 150</v>
      </c>
      <c r="AI157" s="3" t="str">
        <f>IFERROR(__xludf.DUMMYFUNCTION("""COMPUTED_VALUE"""),"Eje Acoplado 3"" x 1600 (10/13) Agrícola Centro 150")</f>
        <v>Eje Acoplado 3" x 1600 (10/13) Agrícola Centro 150</v>
      </c>
      <c r="AJ157" s="3" t="str">
        <f>IFERROR(__xludf.DUMMYFUNCTION("""COMPUTED_VALUE"""),"Eje Acoplado 2 1/2"" x 2140 (07/09) Agrícola Centro 92")</f>
        <v>Eje Acoplado 2 1/2" x 2140 (07/09) Agrícola Centro 92</v>
      </c>
      <c r="AK157" s="3" t="str">
        <f>IFERROR(__xludf.DUMMYFUNCTION("""COMPUTED_VALUE"""),"Eje Acoplado 2"" x 1400 (06/08) Agrícola Centro 92")</f>
        <v>Eje Acoplado 2" x 1400 (06/08) Agrícola Centro 92</v>
      </c>
      <c r="AL157" s="3" t="str">
        <f>IFERROR(__xludf.DUMMYFUNCTION("""COMPUTED_VALUE"""),"Eje Acoplado 2 1/2"" x 1500 (07/09) Agrícola Centro 92")</f>
        <v>Eje Acoplado 2 1/2" x 1500 (07/09) Agrícola Centro 92</v>
      </c>
      <c r="AM157" s="3" t="str">
        <f>IFERROR(__xludf.DUMMYFUNCTION("""COMPUTED_VALUE"""),"Eje Acoplado 2 1/2"" x 2000 (07/09) Agrícola Centro 92")</f>
        <v>Eje Acoplado 2 1/2" x 2000 (07/09) Agrícola Centro 92</v>
      </c>
      <c r="AN157" s="3" t="str">
        <f>IFERROR(__xludf.DUMMYFUNCTION("""COMPUTED_VALUE"""),"Eje Acoplado 2 1/2"" x 2100 (09/11) Agrícola Centro 150")</f>
        <v>Eje Acoplado 2 1/2" x 2100 (09/11) Agrícola Centro 150</v>
      </c>
      <c r="AO157" s="3" t="str">
        <f>IFERROR(__xludf.DUMMYFUNCTION("""COMPUTED_VALUE"""),"Llanta 16"" Simple Agrícola Centro 92")</f>
        <v>Llanta 16" Simple Agrícola Centro 92</v>
      </c>
      <c r="AP157" s="3" t="str">
        <f>IFERROR(__xludf.DUMMYFUNCTION("""COMPUTED_VALUE"""),"Llanta 16"" Dual Agrícola Centro 92")</f>
        <v>Llanta 16" Dual Agrícola Centro 92</v>
      </c>
      <c r="AQ157" s="3" t="str">
        <f>IFERROR(__xludf.DUMMYFUNCTION("""COMPUTED_VALUE"""),"Llanta 17"" Simple Agrícola Centro 92")</f>
        <v>Llanta 17" Simple Agrícola Centro 92</v>
      </c>
      <c r="AR157" s="3" t="str">
        <f>IFERROR(__xludf.DUMMYFUNCTION("""COMPUTED_VALUE"""),"Llanta 17"" Dual Agrícola Centro 92")</f>
        <v>Llanta 17" Dual Agrícola Centro 92</v>
      </c>
      <c r="AS157" s="3" t="str">
        <f>IFERROR(__xludf.DUMMYFUNCTION("""COMPUTED_VALUE"""),"Llanta 16"" Dual Agrícola Centro 152")</f>
        <v>Llanta 16" Dual Agrícola Centro 152</v>
      </c>
      <c r="AT157" s="3" t="str">
        <f>IFERROR(__xludf.DUMMYFUNCTION("""COMPUTED_VALUE"""),"Llanta 17"" Dual Agrícola Centro 152")</f>
        <v>Llanta 17" Dual Agrícola Centro 152</v>
      </c>
      <c r="AU157" s="3" t="str">
        <f>IFERROR(__xludf.DUMMYFUNCTION("""COMPUTED_VALUE"""),"Eje Acoplado 2"" x 1600 (05/07) Agrícola Centro 92")</f>
        <v>Eje Acoplado 2" x 1600 (05/07) Agrícola Centro 92</v>
      </c>
      <c r="AV157" s="3" t="str">
        <f>IFERROR(__xludf.DUMMYFUNCTION("""COMPUTED_VALUE"""),"Paquete de Elásticos 50 mm x 8 mm x 12 Hojas")</f>
        <v>Paquete de Elásticos 50 mm x 8 mm x 12 Hojas</v>
      </c>
      <c r="AW157" s="3" t="str">
        <f>IFERROR(__xludf.DUMMYFUNCTION("""COMPUTED_VALUE"""),"Llanta simple Agrícola 750x20 centro 152")</f>
        <v>Llanta simple Agrícola 750x20 centro 152</v>
      </c>
      <c r="AX157" s="3" t="str">
        <f>IFERROR(__xludf.DUMMYFUNCTION("""COMPUTED_VALUE"""),"Llanta 15"" Simple Agrícola Centro 92")</f>
        <v>Llanta 15" Simple Agrícola Centro 92</v>
      </c>
    </row>
    <row r="158" hidden="1">
      <c r="A158" s="38">
        <f t="shared" si="1"/>
        <v>157</v>
      </c>
      <c r="B158" s="38">
        <f>IF(F158="","",SUMIF(Prearmados!E:E,F158,Prearmados!A:A))</f>
        <v>38</v>
      </c>
      <c r="C158" s="38">
        <f>IF(F158="","",SUMIF(Productos!E:E,G158,Productos!A:A))</f>
        <v>40</v>
      </c>
      <c r="D158" s="83" t="str">
        <f t="array" ref="D158">IF(OR(F158="",F158="Seleccionar.."),"",XLOOKUP(F158,Prearmados!E:E,Prearmados!F:F,"",0,1))</f>
        <v>Desmalezadoras</v>
      </c>
      <c r="E158" s="83">
        <f>IF(H158="","",SUMIF(Precio_Productos!K:K,C158,Precio_Productos!J:J)*H158)</f>
        <v>496600</v>
      </c>
      <c r="F158" s="84" t="s">
        <v>363</v>
      </c>
      <c r="G158" s="84" t="s">
        <v>93</v>
      </c>
      <c r="H158" s="13">
        <v>1.0</v>
      </c>
      <c r="P158" s="3" t="str">
        <f>IFERROR(__xludf.DUMMYFUNCTION("IF(OR(F158="""",F158=""Seleccionar..""),"""",TRANSPOSE(FILTER(Productos!E:E,(Productos!F:F=D158)+(Productos!F:F=XLOOKUP(D158,Implementos!B:B,Implementos!C:C,""-"",0,1)))))"),"Base Desmalezadora 1,50")</f>
        <v>Base Desmalezadora 1,50</v>
      </c>
      <c r="Q158" s="3" t="str">
        <f>IFERROR(__xludf.DUMMYFUNCTION("""COMPUTED_VALUE"""),"Base Desmalezadora 2,00")</f>
        <v>Base Desmalezadora 2,00</v>
      </c>
      <c r="R158" s="3" t="str">
        <f>IFERROR(__xludf.DUMMYFUNCTION("""COMPUTED_VALUE"""),"Acople 3P Desmalezadora 1,50")</f>
        <v>Acople 3P Desmalezadora 1,50</v>
      </c>
      <c r="S158" s="3" t="str">
        <f>IFERROR(__xludf.DUMMYFUNCTION("""COMPUTED_VALUE"""),"Acople 3P Desmalezadora 2,00")</f>
        <v>Acople 3P Desmalezadora 2,00</v>
      </c>
      <c r="T158" s="3" t="str">
        <f>IFERROR(__xludf.DUMMYFUNCTION("""COMPUTED_VALUE"""),"Tren de Arrastre Desmalezadora 1,50")</f>
        <v>Tren de Arrastre Desmalezadora 1,50</v>
      </c>
      <c r="U158" s="3" t="str">
        <f>IFERROR(__xludf.DUMMYFUNCTION("""COMPUTED_VALUE"""),"Tren de Arrastre Desmalezadora 2,00")</f>
        <v>Tren de Arrastre Desmalezadora 2,00</v>
      </c>
      <c r="V158" s="3" t="str">
        <f>IFERROR(__xludf.DUMMYFUNCTION("""COMPUTED_VALUE"""),"Rueda Trasera de Apoyo y Criquet para Desm 3P")</f>
        <v>Rueda Trasera de Apoyo y Criquet para Desm 3P</v>
      </c>
      <c r="W158" s="3" t="str">
        <f>IFERROR(__xludf.DUMMYFUNCTION("""COMPUTED_VALUE"""),"Cilindro con mangueras para Desm de Arrastre")</f>
        <v>Cilindro con mangueras para Desm de Arrastre</v>
      </c>
      <c r="X158" s="3" t="str">
        <f>IFERROR(__xludf.DUMMYFUNCTION("""COMPUTED_VALUE"""),"Repuesto Cuchilla para Desmalezadora por Unidad")</f>
        <v>Repuesto Cuchilla para Desmalezadora por Unidad</v>
      </c>
      <c r="Y158" s="3" t="str">
        <f>IFERROR(__xludf.DUMMYFUNCTION("""COMPUTED_VALUE"""),"Paquete de Elasticos 50 mm x 8 mm x 10 Hojas L850")</f>
        <v>Paquete de Elasticos 50 mm x 8 mm x 10 Hojas L850</v>
      </c>
      <c r="Z158" s="3" t="str">
        <f>IFERROR(__xludf.DUMMYFUNCTION("""COMPUTED_VALUE"""),"Paquete de Elasticos 63 mm x 8 mm x 10 Hojas L950")</f>
        <v>Paquete de Elasticos 63 mm x 8 mm x 10 Hojas L950</v>
      </c>
      <c r="AA158" s="3" t="str">
        <f>IFERROR(__xludf.DUMMYFUNCTION("""COMPUTED_VALUE"""),"Paquete de Elasticos 50 mm x 7 mm x 9 Hojas L850")</f>
        <v>Paquete de Elasticos 50 mm x 7 mm x 9 Hojas L850</v>
      </c>
      <c r="AB158" s="3" t="str">
        <f>IFERROR(__xludf.DUMMYFUNCTION("""COMPUTED_VALUE"""),"Paquete de Elasticos 63 mm x 8 mm x 8 Hojas L850")</f>
        <v>Paquete de Elasticos 63 mm x 8 mm x 8 Hojas L850</v>
      </c>
      <c r="AC158" s="3" t="str">
        <f>IFERROR(__xludf.DUMMYFUNCTION("""COMPUTED_VALUE"""),"Paquete de Elasticos 63 mm x 10 mm x 10 Hojas L950")</f>
        <v>Paquete de Elasticos 63 mm x 10 mm x 10 Hojas L950</v>
      </c>
      <c r="AD158" s="3" t="str">
        <f>IFERROR(__xludf.DUMMYFUNCTION("""COMPUTED_VALUE"""),"Paquete de Elasticos 63 mm x 10 mm x 13 Hojas L975")</f>
        <v>Paquete de Elasticos 63 mm x 10 mm x 13 Hojas L975</v>
      </c>
      <c r="AE158" s="3" t="str">
        <f>IFERROR(__xludf.DUMMYFUNCTION("""COMPUTED_VALUE"""),"Paquete de Elasticos 50 mm x 7 mm x 9 Hojas L650")</f>
        <v>Paquete de Elasticos 50 mm x 7 mm x 9 Hojas L650</v>
      </c>
      <c r="AF158" s="3" t="str">
        <f>IFERROR(__xludf.DUMMYFUNCTION("""COMPUTED_VALUE"""),"Eje Acoplado 2"" x 1600 (06/08) Agrícola Centro 92")</f>
        <v>Eje Acoplado 2" x 1600 (06/08) Agrícola Centro 92</v>
      </c>
      <c r="AG158" s="3" t="str">
        <f>IFERROR(__xludf.DUMMYFUNCTION("""COMPUTED_VALUE"""),"Eje Acoplado 2 1/2"" x 1600 (07/09) Agrícola Centro 92")</f>
        <v>Eje Acoplado 2 1/2" x 1600 (07/09) Agrícola Centro 92</v>
      </c>
      <c r="AH158" s="3" t="str">
        <f>IFERROR(__xludf.DUMMYFUNCTION("""COMPUTED_VALUE"""),"Eje Acoplado 2 1/2"" x 1600 (09/11) Agrícola Centro 150")</f>
        <v>Eje Acoplado 2 1/2" x 1600 (09/11) Agrícola Centro 150</v>
      </c>
      <c r="AI158" s="3" t="str">
        <f>IFERROR(__xludf.DUMMYFUNCTION("""COMPUTED_VALUE"""),"Eje Acoplado 3"" x 1600 (10/13) Agrícola Centro 150")</f>
        <v>Eje Acoplado 3" x 1600 (10/13) Agrícola Centro 150</v>
      </c>
      <c r="AJ158" s="3" t="str">
        <f>IFERROR(__xludf.DUMMYFUNCTION("""COMPUTED_VALUE"""),"Eje Acoplado 2 1/2"" x 2140 (07/09) Agrícola Centro 92")</f>
        <v>Eje Acoplado 2 1/2" x 2140 (07/09) Agrícola Centro 92</v>
      </c>
      <c r="AK158" s="3" t="str">
        <f>IFERROR(__xludf.DUMMYFUNCTION("""COMPUTED_VALUE"""),"Eje Acoplado 2"" x 1400 (06/08) Agrícola Centro 92")</f>
        <v>Eje Acoplado 2" x 1400 (06/08) Agrícola Centro 92</v>
      </c>
      <c r="AL158" s="3" t="str">
        <f>IFERROR(__xludf.DUMMYFUNCTION("""COMPUTED_VALUE"""),"Eje Acoplado 2 1/2"" x 1500 (07/09) Agrícola Centro 92")</f>
        <v>Eje Acoplado 2 1/2" x 1500 (07/09) Agrícola Centro 92</v>
      </c>
      <c r="AM158" s="3" t="str">
        <f>IFERROR(__xludf.DUMMYFUNCTION("""COMPUTED_VALUE"""),"Eje Acoplado 2 1/2"" x 2000 (07/09) Agrícola Centro 92")</f>
        <v>Eje Acoplado 2 1/2" x 2000 (07/09) Agrícola Centro 92</v>
      </c>
      <c r="AN158" s="3" t="str">
        <f>IFERROR(__xludf.DUMMYFUNCTION("""COMPUTED_VALUE"""),"Eje Acoplado 2 1/2"" x 2100 (09/11) Agrícola Centro 150")</f>
        <v>Eje Acoplado 2 1/2" x 2100 (09/11) Agrícola Centro 150</v>
      </c>
      <c r="AO158" s="3" t="str">
        <f>IFERROR(__xludf.DUMMYFUNCTION("""COMPUTED_VALUE"""),"Llanta 16"" Simple Agrícola Centro 92")</f>
        <v>Llanta 16" Simple Agrícola Centro 92</v>
      </c>
      <c r="AP158" s="3" t="str">
        <f>IFERROR(__xludf.DUMMYFUNCTION("""COMPUTED_VALUE"""),"Llanta 16"" Dual Agrícola Centro 92")</f>
        <v>Llanta 16" Dual Agrícola Centro 92</v>
      </c>
      <c r="AQ158" s="3" t="str">
        <f>IFERROR(__xludf.DUMMYFUNCTION("""COMPUTED_VALUE"""),"Llanta 17"" Simple Agrícola Centro 92")</f>
        <v>Llanta 17" Simple Agrícola Centro 92</v>
      </c>
      <c r="AR158" s="3" t="str">
        <f>IFERROR(__xludf.DUMMYFUNCTION("""COMPUTED_VALUE"""),"Llanta 17"" Dual Agrícola Centro 92")</f>
        <v>Llanta 17" Dual Agrícola Centro 92</v>
      </c>
      <c r="AS158" s="3" t="str">
        <f>IFERROR(__xludf.DUMMYFUNCTION("""COMPUTED_VALUE"""),"Llanta 16"" Dual Agrícola Centro 152")</f>
        <v>Llanta 16" Dual Agrícola Centro 152</v>
      </c>
      <c r="AT158" s="3" t="str">
        <f>IFERROR(__xludf.DUMMYFUNCTION("""COMPUTED_VALUE"""),"Llanta 17"" Dual Agrícola Centro 152")</f>
        <v>Llanta 17" Dual Agrícola Centro 152</v>
      </c>
      <c r="AU158" s="3" t="str">
        <f>IFERROR(__xludf.DUMMYFUNCTION("""COMPUTED_VALUE"""),"Eje Acoplado 2"" x 1600 (05/07) Agrícola Centro 92")</f>
        <v>Eje Acoplado 2" x 1600 (05/07) Agrícola Centro 92</v>
      </c>
      <c r="AV158" s="3" t="str">
        <f>IFERROR(__xludf.DUMMYFUNCTION("""COMPUTED_VALUE"""),"Paquete de Elásticos 50 mm x 8 mm x 12 Hojas")</f>
        <v>Paquete de Elásticos 50 mm x 8 mm x 12 Hojas</v>
      </c>
      <c r="AW158" s="3" t="str">
        <f>IFERROR(__xludf.DUMMYFUNCTION("""COMPUTED_VALUE"""),"Llanta simple Agrícola 750x20 centro 152")</f>
        <v>Llanta simple Agrícola 750x20 centro 152</v>
      </c>
      <c r="AX158" s="3" t="str">
        <f>IFERROR(__xludf.DUMMYFUNCTION("""COMPUTED_VALUE"""),"Llanta 15"" Simple Agrícola Centro 92")</f>
        <v>Llanta 15" Simple Agrícola Centro 92</v>
      </c>
    </row>
    <row r="159" hidden="1">
      <c r="A159" s="38">
        <f t="shared" si="1"/>
        <v>158</v>
      </c>
      <c r="B159" s="38">
        <f>IF(F159="","",SUMIF(Prearmados!E:E,F159,Prearmados!A:A))</f>
        <v>38</v>
      </c>
      <c r="C159" s="38">
        <f>IF(F159="","",SUMIF(Productos!E:E,G159,Productos!A:A))</f>
        <v>110</v>
      </c>
      <c r="D159" s="83" t="str">
        <f t="array" ref="D159">IF(OR(F159="",F159="Seleccionar.."),"",XLOOKUP(F159,Prearmados!E:E,Prearmados!F:F,"",0,1))</f>
        <v>Desmalezadoras</v>
      </c>
      <c r="E159" s="83">
        <f>IF(H159="","",SUMIF(Precio_Productos!K:K,C159,Precio_Productos!J:J)*H159)</f>
        <v>238400</v>
      </c>
      <c r="F159" s="84" t="s">
        <v>363</v>
      </c>
      <c r="G159" s="84" t="s">
        <v>129</v>
      </c>
      <c r="H159" s="13">
        <v>2.0</v>
      </c>
      <c r="P159" s="3" t="str">
        <f>IFERROR(__xludf.DUMMYFUNCTION("IF(OR(F159="""",F159=""Seleccionar..""),"""",TRANSPOSE(FILTER(Productos!E:E,(Productos!F:F=D159)+(Productos!F:F=XLOOKUP(D159,Implementos!B:B,Implementos!C:C,""-"",0,1)))))"),"Base Desmalezadora 1,50")</f>
        <v>Base Desmalezadora 1,50</v>
      </c>
      <c r="Q159" s="3" t="str">
        <f>IFERROR(__xludf.DUMMYFUNCTION("""COMPUTED_VALUE"""),"Base Desmalezadora 2,00")</f>
        <v>Base Desmalezadora 2,00</v>
      </c>
      <c r="R159" s="3" t="str">
        <f>IFERROR(__xludf.DUMMYFUNCTION("""COMPUTED_VALUE"""),"Acople 3P Desmalezadora 1,50")</f>
        <v>Acople 3P Desmalezadora 1,50</v>
      </c>
      <c r="S159" s="3" t="str">
        <f>IFERROR(__xludf.DUMMYFUNCTION("""COMPUTED_VALUE"""),"Acople 3P Desmalezadora 2,00")</f>
        <v>Acople 3P Desmalezadora 2,00</v>
      </c>
      <c r="T159" s="3" t="str">
        <f>IFERROR(__xludf.DUMMYFUNCTION("""COMPUTED_VALUE"""),"Tren de Arrastre Desmalezadora 1,50")</f>
        <v>Tren de Arrastre Desmalezadora 1,50</v>
      </c>
      <c r="U159" s="3" t="str">
        <f>IFERROR(__xludf.DUMMYFUNCTION("""COMPUTED_VALUE"""),"Tren de Arrastre Desmalezadora 2,00")</f>
        <v>Tren de Arrastre Desmalezadora 2,00</v>
      </c>
      <c r="V159" s="3" t="str">
        <f>IFERROR(__xludf.DUMMYFUNCTION("""COMPUTED_VALUE"""),"Rueda Trasera de Apoyo y Criquet para Desm 3P")</f>
        <v>Rueda Trasera de Apoyo y Criquet para Desm 3P</v>
      </c>
      <c r="W159" s="3" t="str">
        <f>IFERROR(__xludf.DUMMYFUNCTION("""COMPUTED_VALUE"""),"Cilindro con mangueras para Desm de Arrastre")</f>
        <v>Cilindro con mangueras para Desm de Arrastre</v>
      </c>
      <c r="X159" s="3" t="str">
        <f>IFERROR(__xludf.DUMMYFUNCTION("""COMPUTED_VALUE"""),"Repuesto Cuchilla para Desmalezadora por Unidad")</f>
        <v>Repuesto Cuchilla para Desmalezadora por Unidad</v>
      </c>
      <c r="Y159" s="3" t="str">
        <f>IFERROR(__xludf.DUMMYFUNCTION("""COMPUTED_VALUE"""),"Paquete de Elasticos 50 mm x 8 mm x 10 Hojas L850")</f>
        <v>Paquete de Elasticos 50 mm x 8 mm x 10 Hojas L850</v>
      </c>
      <c r="Z159" s="3" t="str">
        <f>IFERROR(__xludf.DUMMYFUNCTION("""COMPUTED_VALUE"""),"Paquete de Elasticos 63 mm x 8 mm x 10 Hojas L950")</f>
        <v>Paquete de Elasticos 63 mm x 8 mm x 10 Hojas L950</v>
      </c>
      <c r="AA159" s="3" t="str">
        <f>IFERROR(__xludf.DUMMYFUNCTION("""COMPUTED_VALUE"""),"Paquete de Elasticos 50 mm x 7 mm x 9 Hojas L850")</f>
        <v>Paquete de Elasticos 50 mm x 7 mm x 9 Hojas L850</v>
      </c>
      <c r="AB159" s="3" t="str">
        <f>IFERROR(__xludf.DUMMYFUNCTION("""COMPUTED_VALUE"""),"Paquete de Elasticos 63 mm x 8 mm x 8 Hojas L850")</f>
        <v>Paquete de Elasticos 63 mm x 8 mm x 8 Hojas L850</v>
      </c>
      <c r="AC159" s="3" t="str">
        <f>IFERROR(__xludf.DUMMYFUNCTION("""COMPUTED_VALUE"""),"Paquete de Elasticos 63 mm x 10 mm x 10 Hojas L950")</f>
        <v>Paquete de Elasticos 63 mm x 10 mm x 10 Hojas L950</v>
      </c>
      <c r="AD159" s="3" t="str">
        <f>IFERROR(__xludf.DUMMYFUNCTION("""COMPUTED_VALUE"""),"Paquete de Elasticos 63 mm x 10 mm x 13 Hojas L975")</f>
        <v>Paquete de Elasticos 63 mm x 10 mm x 13 Hojas L975</v>
      </c>
      <c r="AE159" s="3" t="str">
        <f>IFERROR(__xludf.DUMMYFUNCTION("""COMPUTED_VALUE"""),"Paquete de Elasticos 50 mm x 7 mm x 9 Hojas L650")</f>
        <v>Paquete de Elasticos 50 mm x 7 mm x 9 Hojas L650</v>
      </c>
      <c r="AF159" s="3" t="str">
        <f>IFERROR(__xludf.DUMMYFUNCTION("""COMPUTED_VALUE"""),"Eje Acoplado 2"" x 1600 (06/08) Agrícola Centro 92")</f>
        <v>Eje Acoplado 2" x 1600 (06/08) Agrícola Centro 92</v>
      </c>
      <c r="AG159" s="3" t="str">
        <f>IFERROR(__xludf.DUMMYFUNCTION("""COMPUTED_VALUE"""),"Eje Acoplado 2 1/2"" x 1600 (07/09) Agrícola Centro 92")</f>
        <v>Eje Acoplado 2 1/2" x 1600 (07/09) Agrícola Centro 92</v>
      </c>
      <c r="AH159" s="3" t="str">
        <f>IFERROR(__xludf.DUMMYFUNCTION("""COMPUTED_VALUE"""),"Eje Acoplado 2 1/2"" x 1600 (09/11) Agrícola Centro 150")</f>
        <v>Eje Acoplado 2 1/2" x 1600 (09/11) Agrícola Centro 150</v>
      </c>
      <c r="AI159" s="3" t="str">
        <f>IFERROR(__xludf.DUMMYFUNCTION("""COMPUTED_VALUE"""),"Eje Acoplado 3"" x 1600 (10/13) Agrícola Centro 150")</f>
        <v>Eje Acoplado 3" x 1600 (10/13) Agrícola Centro 150</v>
      </c>
      <c r="AJ159" s="3" t="str">
        <f>IFERROR(__xludf.DUMMYFUNCTION("""COMPUTED_VALUE"""),"Eje Acoplado 2 1/2"" x 2140 (07/09) Agrícola Centro 92")</f>
        <v>Eje Acoplado 2 1/2" x 2140 (07/09) Agrícola Centro 92</v>
      </c>
      <c r="AK159" s="3" t="str">
        <f>IFERROR(__xludf.DUMMYFUNCTION("""COMPUTED_VALUE"""),"Eje Acoplado 2"" x 1400 (06/08) Agrícola Centro 92")</f>
        <v>Eje Acoplado 2" x 1400 (06/08) Agrícola Centro 92</v>
      </c>
      <c r="AL159" s="3" t="str">
        <f>IFERROR(__xludf.DUMMYFUNCTION("""COMPUTED_VALUE"""),"Eje Acoplado 2 1/2"" x 1500 (07/09) Agrícola Centro 92")</f>
        <v>Eje Acoplado 2 1/2" x 1500 (07/09) Agrícola Centro 92</v>
      </c>
      <c r="AM159" s="3" t="str">
        <f>IFERROR(__xludf.DUMMYFUNCTION("""COMPUTED_VALUE"""),"Eje Acoplado 2 1/2"" x 2000 (07/09) Agrícola Centro 92")</f>
        <v>Eje Acoplado 2 1/2" x 2000 (07/09) Agrícola Centro 92</v>
      </c>
      <c r="AN159" s="3" t="str">
        <f>IFERROR(__xludf.DUMMYFUNCTION("""COMPUTED_VALUE"""),"Eje Acoplado 2 1/2"" x 2100 (09/11) Agrícola Centro 150")</f>
        <v>Eje Acoplado 2 1/2" x 2100 (09/11) Agrícola Centro 150</v>
      </c>
      <c r="AO159" s="3" t="str">
        <f>IFERROR(__xludf.DUMMYFUNCTION("""COMPUTED_VALUE"""),"Llanta 16"" Simple Agrícola Centro 92")</f>
        <v>Llanta 16" Simple Agrícola Centro 92</v>
      </c>
      <c r="AP159" s="3" t="str">
        <f>IFERROR(__xludf.DUMMYFUNCTION("""COMPUTED_VALUE"""),"Llanta 16"" Dual Agrícola Centro 92")</f>
        <v>Llanta 16" Dual Agrícola Centro 92</v>
      </c>
      <c r="AQ159" s="3" t="str">
        <f>IFERROR(__xludf.DUMMYFUNCTION("""COMPUTED_VALUE"""),"Llanta 17"" Simple Agrícola Centro 92")</f>
        <v>Llanta 17" Simple Agrícola Centro 92</v>
      </c>
      <c r="AR159" s="3" t="str">
        <f>IFERROR(__xludf.DUMMYFUNCTION("""COMPUTED_VALUE"""),"Llanta 17"" Dual Agrícola Centro 92")</f>
        <v>Llanta 17" Dual Agrícola Centro 92</v>
      </c>
      <c r="AS159" s="3" t="str">
        <f>IFERROR(__xludf.DUMMYFUNCTION("""COMPUTED_VALUE"""),"Llanta 16"" Dual Agrícola Centro 152")</f>
        <v>Llanta 16" Dual Agrícola Centro 152</v>
      </c>
      <c r="AT159" s="3" t="str">
        <f>IFERROR(__xludf.DUMMYFUNCTION("""COMPUTED_VALUE"""),"Llanta 17"" Dual Agrícola Centro 152")</f>
        <v>Llanta 17" Dual Agrícola Centro 152</v>
      </c>
      <c r="AU159" s="3" t="str">
        <f>IFERROR(__xludf.DUMMYFUNCTION("""COMPUTED_VALUE"""),"Eje Acoplado 2"" x 1600 (05/07) Agrícola Centro 92")</f>
        <v>Eje Acoplado 2" x 1600 (05/07) Agrícola Centro 92</v>
      </c>
      <c r="AV159" s="3" t="str">
        <f>IFERROR(__xludf.DUMMYFUNCTION("""COMPUTED_VALUE"""),"Paquete de Elásticos 50 mm x 8 mm x 12 Hojas")</f>
        <v>Paquete de Elásticos 50 mm x 8 mm x 12 Hojas</v>
      </c>
      <c r="AW159" s="3" t="str">
        <f>IFERROR(__xludf.DUMMYFUNCTION("""COMPUTED_VALUE"""),"Llanta simple Agrícola 750x20 centro 152")</f>
        <v>Llanta simple Agrícola 750x20 centro 152</v>
      </c>
      <c r="AX159" s="3" t="str">
        <f>IFERROR(__xludf.DUMMYFUNCTION("""COMPUTED_VALUE"""),"Llanta 15"" Simple Agrícola Centro 92")</f>
        <v>Llanta 15" Simple Agrícola Centro 92</v>
      </c>
    </row>
    <row r="160" hidden="1">
      <c r="A160" s="38">
        <f t="shared" si="1"/>
        <v>159</v>
      </c>
      <c r="B160" s="38">
        <f>IF(F160="","",SUMIF(Prearmados!E:E,F160,Prearmados!A:A))</f>
        <v>39</v>
      </c>
      <c r="C160" s="38">
        <f>IF(F160="","",SUMIF(Productos!E:E,G160,Productos!A:A))</f>
        <v>36</v>
      </c>
      <c r="D160" s="83" t="str">
        <f t="array" ref="D160">IF(OR(F160="",F160="Seleccionar.."),"",XLOOKUP(F160,Prearmados!E:E,Prearmados!F:F,"",0,1))</f>
        <v>Desmalezadoras</v>
      </c>
      <c r="E160" s="83">
        <f>IF(H160="","",SUMIF(Precio_Productos!K:K,C160,Precio_Productos!J:J)*H160)</f>
        <v>3395000</v>
      </c>
      <c r="F160" s="84" t="s">
        <v>365</v>
      </c>
      <c r="G160" s="84" t="s">
        <v>89</v>
      </c>
      <c r="H160" s="13">
        <v>1.0</v>
      </c>
      <c r="P160" s="3" t="str">
        <f>IFERROR(__xludf.DUMMYFUNCTION("IF(OR(F160="""",F160=""Seleccionar..""),"""",TRANSPOSE(FILTER(Productos!E:E,(Productos!F:F=D160)+(Productos!F:F=XLOOKUP(D160,Implementos!B:B,Implementos!C:C,""-"",0,1)))))"),"Base Desmalezadora 1,50")</f>
        <v>Base Desmalezadora 1,50</v>
      </c>
      <c r="Q160" s="3" t="str">
        <f>IFERROR(__xludf.DUMMYFUNCTION("""COMPUTED_VALUE"""),"Base Desmalezadora 2,00")</f>
        <v>Base Desmalezadora 2,00</v>
      </c>
      <c r="R160" s="3" t="str">
        <f>IFERROR(__xludf.DUMMYFUNCTION("""COMPUTED_VALUE"""),"Acople 3P Desmalezadora 1,50")</f>
        <v>Acople 3P Desmalezadora 1,50</v>
      </c>
      <c r="S160" s="3" t="str">
        <f>IFERROR(__xludf.DUMMYFUNCTION("""COMPUTED_VALUE"""),"Acople 3P Desmalezadora 2,00")</f>
        <v>Acople 3P Desmalezadora 2,00</v>
      </c>
      <c r="T160" s="3" t="str">
        <f>IFERROR(__xludf.DUMMYFUNCTION("""COMPUTED_VALUE"""),"Tren de Arrastre Desmalezadora 1,50")</f>
        <v>Tren de Arrastre Desmalezadora 1,50</v>
      </c>
      <c r="U160" s="3" t="str">
        <f>IFERROR(__xludf.DUMMYFUNCTION("""COMPUTED_VALUE"""),"Tren de Arrastre Desmalezadora 2,00")</f>
        <v>Tren de Arrastre Desmalezadora 2,00</v>
      </c>
      <c r="V160" s="3" t="str">
        <f>IFERROR(__xludf.DUMMYFUNCTION("""COMPUTED_VALUE"""),"Rueda Trasera de Apoyo y Criquet para Desm 3P")</f>
        <v>Rueda Trasera de Apoyo y Criquet para Desm 3P</v>
      </c>
      <c r="W160" s="3" t="str">
        <f>IFERROR(__xludf.DUMMYFUNCTION("""COMPUTED_VALUE"""),"Cilindro con mangueras para Desm de Arrastre")</f>
        <v>Cilindro con mangueras para Desm de Arrastre</v>
      </c>
      <c r="X160" s="3" t="str">
        <f>IFERROR(__xludf.DUMMYFUNCTION("""COMPUTED_VALUE"""),"Repuesto Cuchilla para Desmalezadora por Unidad")</f>
        <v>Repuesto Cuchilla para Desmalezadora por Unidad</v>
      </c>
      <c r="Y160" s="3" t="str">
        <f>IFERROR(__xludf.DUMMYFUNCTION("""COMPUTED_VALUE"""),"Paquete de Elasticos 50 mm x 8 mm x 10 Hojas L850")</f>
        <v>Paquete de Elasticos 50 mm x 8 mm x 10 Hojas L850</v>
      </c>
      <c r="Z160" s="3" t="str">
        <f>IFERROR(__xludf.DUMMYFUNCTION("""COMPUTED_VALUE"""),"Paquete de Elasticos 63 mm x 8 mm x 10 Hojas L950")</f>
        <v>Paquete de Elasticos 63 mm x 8 mm x 10 Hojas L950</v>
      </c>
      <c r="AA160" s="3" t="str">
        <f>IFERROR(__xludf.DUMMYFUNCTION("""COMPUTED_VALUE"""),"Paquete de Elasticos 50 mm x 7 mm x 9 Hojas L850")</f>
        <v>Paquete de Elasticos 50 mm x 7 mm x 9 Hojas L850</v>
      </c>
      <c r="AB160" s="3" t="str">
        <f>IFERROR(__xludf.DUMMYFUNCTION("""COMPUTED_VALUE"""),"Paquete de Elasticos 63 mm x 8 mm x 8 Hojas L850")</f>
        <v>Paquete de Elasticos 63 mm x 8 mm x 8 Hojas L850</v>
      </c>
      <c r="AC160" s="3" t="str">
        <f>IFERROR(__xludf.DUMMYFUNCTION("""COMPUTED_VALUE"""),"Paquete de Elasticos 63 mm x 10 mm x 10 Hojas L950")</f>
        <v>Paquete de Elasticos 63 mm x 10 mm x 10 Hojas L950</v>
      </c>
      <c r="AD160" s="3" t="str">
        <f>IFERROR(__xludf.DUMMYFUNCTION("""COMPUTED_VALUE"""),"Paquete de Elasticos 63 mm x 10 mm x 13 Hojas L975")</f>
        <v>Paquete de Elasticos 63 mm x 10 mm x 13 Hojas L975</v>
      </c>
      <c r="AE160" s="3" t="str">
        <f>IFERROR(__xludf.DUMMYFUNCTION("""COMPUTED_VALUE"""),"Paquete de Elasticos 50 mm x 7 mm x 9 Hojas L650")</f>
        <v>Paquete de Elasticos 50 mm x 7 mm x 9 Hojas L650</v>
      </c>
      <c r="AF160" s="3" t="str">
        <f>IFERROR(__xludf.DUMMYFUNCTION("""COMPUTED_VALUE"""),"Eje Acoplado 2"" x 1600 (06/08) Agrícola Centro 92")</f>
        <v>Eje Acoplado 2" x 1600 (06/08) Agrícola Centro 92</v>
      </c>
      <c r="AG160" s="3" t="str">
        <f>IFERROR(__xludf.DUMMYFUNCTION("""COMPUTED_VALUE"""),"Eje Acoplado 2 1/2"" x 1600 (07/09) Agrícola Centro 92")</f>
        <v>Eje Acoplado 2 1/2" x 1600 (07/09) Agrícola Centro 92</v>
      </c>
      <c r="AH160" s="3" t="str">
        <f>IFERROR(__xludf.DUMMYFUNCTION("""COMPUTED_VALUE"""),"Eje Acoplado 2 1/2"" x 1600 (09/11) Agrícola Centro 150")</f>
        <v>Eje Acoplado 2 1/2" x 1600 (09/11) Agrícola Centro 150</v>
      </c>
      <c r="AI160" s="3" t="str">
        <f>IFERROR(__xludf.DUMMYFUNCTION("""COMPUTED_VALUE"""),"Eje Acoplado 3"" x 1600 (10/13) Agrícola Centro 150")</f>
        <v>Eje Acoplado 3" x 1600 (10/13) Agrícola Centro 150</v>
      </c>
      <c r="AJ160" s="3" t="str">
        <f>IFERROR(__xludf.DUMMYFUNCTION("""COMPUTED_VALUE"""),"Eje Acoplado 2 1/2"" x 2140 (07/09) Agrícola Centro 92")</f>
        <v>Eje Acoplado 2 1/2" x 2140 (07/09) Agrícola Centro 92</v>
      </c>
      <c r="AK160" s="3" t="str">
        <f>IFERROR(__xludf.DUMMYFUNCTION("""COMPUTED_VALUE"""),"Eje Acoplado 2"" x 1400 (06/08) Agrícola Centro 92")</f>
        <v>Eje Acoplado 2" x 1400 (06/08) Agrícola Centro 92</v>
      </c>
      <c r="AL160" s="3" t="str">
        <f>IFERROR(__xludf.DUMMYFUNCTION("""COMPUTED_VALUE"""),"Eje Acoplado 2 1/2"" x 1500 (07/09) Agrícola Centro 92")</f>
        <v>Eje Acoplado 2 1/2" x 1500 (07/09) Agrícola Centro 92</v>
      </c>
      <c r="AM160" s="3" t="str">
        <f>IFERROR(__xludf.DUMMYFUNCTION("""COMPUTED_VALUE"""),"Eje Acoplado 2 1/2"" x 2000 (07/09) Agrícola Centro 92")</f>
        <v>Eje Acoplado 2 1/2" x 2000 (07/09) Agrícola Centro 92</v>
      </c>
      <c r="AN160" s="3" t="str">
        <f>IFERROR(__xludf.DUMMYFUNCTION("""COMPUTED_VALUE"""),"Eje Acoplado 2 1/2"" x 2100 (09/11) Agrícola Centro 150")</f>
        <v>Eje Acoplado 2 1/2" x 2100 (09/11) Agrícola Centro 150</v>
      </c>
      <c r="AO160" s="3" t="str">
        <f>IFERROR(__xludf.DUMMYFUNCTION("""COMPUTED_VALUE"""),"Llanta 16"" Simple Agrícola Centro 92")</f>
        <v>Llanta 16" Simple Agrícola Centro 92</v>
      </c>
      <c r="AP160" s="3" t="str">
        <f>IFERROR(__xludf.DUMMYFUNCTION("""COMPUTED_VALUE"""),"Llanta 16"" Dual Agrícola Centro 92")</f>
        <v>Llanta 16" Dual Agrícola Centro 92</v>
      </c>
      <c r="AQ160" s="3" t="str">
        <f>IFERROR(__xludf.DUMMYFUNCTION("""COMPUTED_VALUE"""),"Llanta 17"" Simple Agrícola Centro 92")</f>
        <v>Llanta 17" Simple Agrícola Centro 92</v>
      </c>
      <c r="AR160" s="3" t="str">
        <f>IFERROR(__xludf.DUMMYFUNCTION("""COMPUTED_VALUE"""),"Llanta 17"" Dual Agrícola Centro 92")</f>
        <v>Llanta 17" Dual Agrícola Centro 92</v>
      </c>
      <c r="AS160" s="3" t="str">
        <f>IFERROR(__xludf.DUMMYFUNCTION("""COMPUTED_VALUE"""),"Llanta 16"" Dual Agrícola Centro 152")</f>
        <v>Llanta 16" Dual Agrícola Centro 152</v>
      </c>
      <c r="AT160" s="3" t="str">
        <f>IFERROR(__xludf.DUMMYFUNCTION("""COMPUTED_VALUE"""),"Llanta 17"" Dual Agrícola Centro 152")</f>
        <v>Llanta 17" Dual Agrícola Centro 152</v>
      </c>
      <c r="AU160" s="3" t="str">
        <f>IFERROR(__xludf.DUMMYFUNCTION("""COMPUTED_VALUE"""),"Eje Acoplado 2"" x 1600 (05/07) Agrícola Centro 92")</f>
        <v>Eje Acoplado 2" x 1600 (05/07) Agrícola Centro 92</v>
      </c>
      <c r="AV160" s="3" t="str">
        <f>IFERROR(__xludf.DUMMYFUNCTION("""COMPUTED_VALUE"""),"Paquete de Elásticos 50 mm x 8 mm x 12 Hojas")</f>
        <v>Paquete de Elásticos 50 mm x 8 mm x 12 Hojas</v>
      </c>
      <c r="AW160" s="3" t="str">
        <f>IFERROR(__xludf.DUMMYFUNCTION("""COMPUTED_VALUE"""),"Llanta simple Agrícola 750x20 centro 152")</f>
        <v>Llanta simple Agrícola 750x20 centro 152</v>
      </c>
      <c r="AX160" s="3" t="str">
        <f>IFERROR(__xludf.DUMMYFUNCTION("""COMPUTED_VALUE"""),"Llanta 15"" Simple Agrícola Centro 92")</f>
        <v>Llanta 15" Simple Agrícola Centro 92</v>
      </c>
    </row>
    <row r="161" hidden="1">
      <c r="A161" s="38">
        <f t="shared" si="1"/>
        <v>160</v>
      </c>
      <c r="B161" s="38">
        <f>IF(F161="","",SUMIF(Prearmados!E:E,F161,Prearmados!A:A))</f>
        <v>39</v>
      </c>
      <c r="C161" s="38">
        <f>IF(F161="","",SUMIF(Productos!E:E,G161,Productos!A:A))</f>
        <v>38</v>
      </c>
      <c r="D161" s="83" t="str">
        <f t="array" ref="D161">IF(OR(F161="",F161="Seleccionar.."),"",XLOOKUP(F161,Prearmados!E:E,Prearmados!F:F,"",0,1))</f>
        <v>Desmalezadoras</v>
      </c>
      <c r="E161" s="83">
        <f>IF(H161="","",SUMIF(Precio_Productos!K:K,C161,Precio_Productos!J:J)*H161)</f>
        <v>125000</v>
      </c>
      <c r="F161" s="84" t="s">
        <v>365</v>
      </c>
      <c r="G161" s="84" t="s">
        <v>91</v>
      </c>
      <c r="H161" s="13">
        <v>1.0</v>
      </c>
      <c r="P161" s="3" t="str">
        <f>IFERROR(__xludf.DUMMYFUNCTION("IF(OR(F161="""",F161=""Seleccionar..""),"""",TRANSPOSE(FILTER(Productos!E:E,(Productos!F:F=D161)+(Productos!F:F=XLOOKUP(D161,Implementos!B:B,Implementos!C:C,""-"",0,1)))))"),"Base Desmalezadora 1,50")</f>
        <v>Base Desmalezadora 1,50</v>
      </c>
      <c r="Q161" s="3" t="str">
        <f>IFERROR(__xludf.DUMMYFUNCTION("""COMPUTED_VALUE"""),"Base Desmalezadora 2,00")</f>
        <v>Base Desmalezadora 2,00</v>
      </c>
      <c r="R161" s="3" t="str">
        <f>IFERROR(__xludf.DUMMYFUNCTION("""COMPUTED_VALUE"""),"Acople 3P Desmalezadora 1,50")</f>
        <v>Acople 3P Desmalezadora 1,50</v>
      </c>
      <c r="S161" s="3" t="str">
        <f>IFERROR(__xludf.DUMMYFUNCTION("""COMPUTED_VALUE"""),"Acople 3P Desmalezadora 2,00")</f>
        <v>Acople 3P Desmalezadora 2,00</v>
      </c>
      <c r="T161" s="3" t="str">
        <f>IFERROR(__xludf.DUMMYFUNCTION("""COMPUTED_VALUE"""),"Tren de Arrastre Desmalezadora 1,50")</f>
        <v>Tren de Arrastre Desmalezadora 1,50</v>
      </c>
      <c r="U161" s="3" t="str">
        <f>IFERROR(__xludf.DUMMYFUNCTION("""COMPUTED_VALUE"""),"Tren de Arrastre Desmalezadora 2,00")</f>
        <v>Tren de Arrastre Desmalezadora 2,00</v>
      </c>
      <c r="V161" s="3" t="str">
        <f>IFERROR(__xludf.DUMMYFUNCTION("""COMPUTED_VALUE"""),"Rueda Trasera de Apoyo y Criquet para Desm 3P")</f>
        <v>Rueda Trasera de Apoyo y Criquet para Desm 3P</v>
      </c>
      <c r="W161" s="3" t="str">
        <f>IFERROR(__xludf.DUMMYFUNCTION("""COMPUTED_VALUE"""),"Cilindro con mangueras para Desm de Arrastre")</f>
        <v>Cilindro con mangueras para Desm de Arrastre</v>
      </c>
      <c r="X161" s="3" t="str">
        <f>IFERROR(__xludf.DUMMYFUNCTION("""COMPUTED_VALUE"""),"Repuesto Cuchilla para Desmalezadora por Unidad")</f>
        <v>Repuesto Cuchilla para Desmalezadora por Unidad</v>
      </c>
      <c r="Y161" s="3" t="str">
        <f>IFERROR(__xludf.DUMMYFUNCTION("""COMPUTED_VALUE"""),"Paquete de Elasticos 50 mm x 8 mm x 10 Hojas L850")</f>
        <v>Paquete de Elasticos 50 mm x 8 mm x 10 Hojas L850</v>
      </c>
      <c r="Z161" s="3" t="str">
        <f>IFERROR(__xludf.DUMMYFUNCTION("""COMPUTED_VALUE"""),"Paquete de Elasticos 63 mm x 8 mm x 10 Hojas L950")</f>
        <v>Paquete de Elasticos 63 mm x 8 mm x 10 Hojas L950</v>
      </c>
      <c r="AA161" s="3" t="str">
        <f>IFERROR(__xludf.DUMMYFUNCTION("""COMPUTED_VALUE"""),"Paquete de Elasticos 50 mm x 7 mm x 9 Hojas L850")</f>
        <v>Paquete de Elasticos 50 mm x 7 mm x 9 Hojas L850</v>
      </c>
      <c r="AB161" s="3" t="str">
        <f>IFERROR(__xludf.DUMMYFUNCTION("""COMPUTED_VALUE"""),"Paquete de Elasticos 63 mm x 8 mm x 8 Hojas L850")</f>
        <v>Paquete de Elasticos 63 mm x 8 mm x 8 Hojas L850</v>
      </c>
      <c r="AC161" s="3" t="str">
        <f>IFERROR(__xludf.DUMMYFUNCTION("""COMPUTED_VALUE"""),"Paquete de Elasticos 63 mm x 10 mm x 10 Hojas L950")</f>
        <v>Paquete de Elasticos 63 mm x 10 mm x 10 Hojas L950</v>
      </c>
      <c r="AD161" s="3" t="str">
        <f>IFERROR(__xludf.DUMMYFUNCTION("""COMPUTED_VALUE"""),"Paquete de Elasticos 63 mm x 10 mm x 13 Hojas L975")</f>
        <v>Paquete de Elasticos 63 mm x 10 mm x 13 Hojas L975</v>
      </c>
      <c r="AE161" s="3" t="str">
        <f>IFERROR(__xludf.DUMMYFUNCTION("""COMPUTED_VALUE"""),"Paquete de Elasticos 50 mm x 7 mm x 9 Hojas L650")</f>
        <v>Paquete de Elasticos 50 mm x 7 mm x 9 Hojas L650</v>
      </c>
      <c r="AF161" s="3" t="str">
        <f>IFERROR(__xludf.DUMMYFUNCTION("""COMPUTED_VALUE"""),"Eje Acoplado 2"" x 1600 (06/08) Agrícola Centro 92")</f>
        <v>Eje Acoplado 2" x 1600 (06/08) Agrícola Centro 92</v>
      </c>
      <c r="AG161" s="3" t="str">
        <f>IFERROR(__xludf.DUMMYFUNCTION("""COMPUTED_VALUE"""),"Eje Acoplado 2 1/2"" x 1600 (07/09) Agrícola Centro 92")</f>
        <v>Eje Acoplado 2 1/2" x 1600 (07/09) Agrícola Centro 92</v>
      </c>
      <c r="AH161" s="3" t="str">
        <f>IFERROR(__xludf.DUMMYFUNCTION("""COMPUTED_VALUE"""),"Eje Acoplado 2 1/2"" x 1600 (09/11) Agrícola Centro 150")</f>
        <v>Eje Acoplado 2 1/2" x 1600 (09/11) Agrícola Centro 150</v>
      </c>
      <c r="AI161" s="3" t="str">
        <f>IFERROR(__xludf.DUMMYFUNCTION("""COMPUTED_VALUE"""),"Eje Acoplado 3"" x 1600 (10/13) Agrícola Centro 150")</f>
        <v>Eje Acoplado 3" x 1600 (10/13) Agrícola Centro 150</v>
      </c>
      <c r="AJ161" s="3" t="str">
        <f>IFERROR(__xludf.DUMMYFUNCTION("""COMPUTED_VALUE"""),"Eje Acoplado 2 1/2"" x 2140 (07/09) Agrícola Centro 92")</f>
        <v>Eje Acoplado 2 1/2" x 2140 (07/09) Agrícola Centro 92</v>
      </c>
      <c r="AK161" s="3" t="str">
        <f>IFERROR(__xludf.DUMMYFUNCTION("""COMPUTED_VALUE"""),"Eje Acoplado 2"" x 1400 (06/08) Agrícola Centro 92")</f>
        <v>Eje Acoplado 2" x 1400 (06/08) Agrícola Centro 92</v>
      </c>
      <c r="AL161" s="3" t="str">
        <f>IFERROR(__xludf.DUMMYFUNCTION("""COMPUTED_VALUE"""),"Eje Acoplado 2 1/2"" x 1500 (07/09) Agrícola Centro 92")</f>
        <v>Eje Acoplado 2 1/2" x 1500 (07/09) Agrícola Centro 92</v>
      </c>
      <c r="AM161" s="3" t="str">
        <f>IFERROR(__xludf.DUMMYFUNCTION("""COMPUTED_VALUE"""),"Eje Acoplado 2 1/2"" x 2000 (07/09) Agrícola Centro 92")</f>
        <v>Eje Acoplado 2 1/2" x 2000 (07/09) Agrícola Centro 92</v>
      </c>
      <c r="AN161" s="3" t="str">
        <f>IFERROR(__xludf.DUMMYFUNCTION("""COMPUTED_VALUE"""),"Eje Acoplado 2 1/2"" x 2100 (09/11) Agrícola Centro 150")</f>
        <v>Eje Acoplado 2 1/2" x 2100 (09/11) Agrícola Centro 150</v>
      </c>
      <c r="AO161" s="3" t="str">
        <f>IFERROR(__xludf.DUMMYFUNCTION("""COMPUTED_VALUE"""),"Llanta 16"" Simple Agrícola Centro 92")</f>
        <v>Llanta 16" Simple Agrícola Centro 92</v>
      </c>
      <c r="AP161" s="3" t="str">
        <f>IFERROR(__xludf.DUMMYFUNCTION("""COMPUTED_VALUE"""),"Llanta 16"" Dual Agrícola Centro 92")</f>
        <v>Llanta 16" Dual Agrícola Centro 92</v>
      </c>
      <c r="AQ161" s="3" t="str">
        <f>IFERROR(__xludf.DUMMYFUNCTION("""COMPUTED_VALUE"""),"Llanta 17"" Simple Agrícola Centro 92")</f>
        <v>Llanta 17" Simple Agrícola Centro 92</v>
      </c>
      <c r="AR161" s="3" t="str">
        <f>IFERROR(__xludf.DUMMYFUNCTION("""COMPUTED_VALUE"""),"Llanta 17"" Dual Agrícola Centro 92")</f>
        <v>Llanta 17" Dual Agrícola Centro 92</v>
      </c>
      <c r="AS161" s="3" t="str">
        <f>IFERROR(__xludf.DUMMYFUNCTION("""COMPUTED_VALUE"""),"Llanta 16"" Dual Agrícola Centro 152")</f>
        <v>Llanta 16" Dual Agrícola Centro 152</v>
      </c>
      <c r="AT161" s="3" t="str">
        <f>IFERROR(__xludf.DUMMYFUNCTION("""COMPUTED_VALUE"""),"Llanta 17"" Dual Agrícola Centro 152")</f>
        <v>Llanta 17" Dual Agrícola Centro 152</v>
      </c>
      <c r="AU161" s="3" t="str">
        <f>IFERROR(__xludf.DUMMYFUNCTION("""COMPUTED_VALUE"""),"Eje Acoplado 2"" x 1600 (05/07) Agrícola Centro 92")</f>
        <v>Eje Acoplado 2" x 1600 (05/07) Agrícola Centro 92</v>
      </c>
      <c r="AV161" s="3" t="str">
        <f>IFERROR(__xludf.DUMMYFUNCTION("""COMPUTED_VALUE"""),"Paquete de Elásticos 50 mm x 8 mm x 12 Hojas")</f>
        <v>Paquete de Elásticos 50 mm x 8 mm x 12 Hojas</v>
      </c>
      <c r="AW161" s="3" t="str">
        <f>IFERROR(__xludf.DUMMYFUNCTION("""COMPUTED_VALUE"""),"Llanta simple Agrícola 750x20 centro 152")</f>
        <v>Llanta simple Agrícola 750x20 centro 152</v>
      </c>
      <c r="AX161" s="3" t="str">
        <f>IFERROR(__xludf.DUMMYFUNCTION("""COMPUTED_VALUE"""),"Llanta 15"" Simple Agrícola Centro 92")</f>
        <v>Llanta 15" Simple Agrícola Centro 92</v>
      </c>
    </row>
    <row r="162" hidden="1">
      <c r="A162" s="38">
        <f t="shared" si="1"/>
        <v>161</v>
      </c>
      <c r="B162" s="38">
        <f>IF(F162="","",SUMIF(Prearmados!E:E,F162,Prearmados!A:A))</f>
        <v>44</v>
      </c>
      <c r="C162" s="38">
        <f>IF(F162="","",SUMIF(Productos!E:E,G162,Productos!A:A))</f>
        <v>36</v>
      </c>
      <c r="D162" s="83" t="str">
        <f t="array" ref="D162">IF(OR(F162="",F162="Seleccionar.."),"",XLOOKUP(F162,Prearmados!E:E,Prearmados!F:F,"",0,1))</f>
        <v>Desmalezadoras</v>
      </c>
      <c r="E162" s="83">
        <f>IF(H162="","",SUMIF(Precio_Productos!K:K,C162,Precio_Productos!J:J)*H162)</f>
        <v>3395000</v>
      </c>
      <c r="F162" s="84" t="s">
        <v>370</v>
      </c>
      <c r="G162" s="84" t="s">
        <v>89</v>
      </c>
      <c r="H162" s="13">
        <v>1.0</v>
      </c>
      <c r="P162" s="3" t="str">
        <f>IFERROR(__xludf.DUMMYFUNCTION("IF(OR(F162="""",F162=""Seleccionar..""),"""",TRANSPOSE(FILTER(Productos!E:E,(Productos!F:F=D162)+(Productos!F:F=XLOOKUP(D162,Implementos!B:B,Implementos!C:C,""-"",0,1)))))"),"Base Desmalezadora 1,50")</f>
        <v>Base Desmalezadora 1,50</v>
      </c>
      <c r="Q162" s="3" t="str">
        <f>IFERROR(__xludf.DUMMYFUNCTION("""COMPUTED_VALUE"""),"Base Desmalezadora 2,00")</f>
        <v>Base Desmalezadora 2,00</v>
      </c>
      <c r="R162" s="3" t="str">
        <f>IFERROR(__xludf.DUMMYFUNCTION("""COMPUTED_VALUE"""),"Acople 3P Desmalezadora 1,50")</f>
        <v>Acople 3P Desmalezadora 1,50</v>
      </c>
      <c r="S162" s="3" t="str">
        <f>IFERROR(__xludf.DUMMYFUNCTION("""COMPUTED_VALUE"""),"Acople 3P Desmalezadora 2,00")</f>
        <v>Acople 3P Desmalezadora 2,00</v>
      </c>
      <c r="T162" s="3" t="str">
        <f>IFERROR(__xludf.DUMMYFUNCTION("""COMPUTED_VALUE"""),"Tren de Arrastre Desmalezadora 1,50")</f>
        <v>Tren de Arrastre Desmalezadora 1,50</v>
      </c>
      <c r="U162" s="3" t="str">
        <f>IFERROR(__xludf.DUMMYFUNCTION("""COMPUTED_VALUE"""),"Tren de Arrastre Desmalezadora 2,00")</f>
        <v>Tren de Arrastre Desmalezadora 2,00</v>
      </c>
      <c r="V162" s="3" t="str">
        <f>IFERROR(__xludf.DUMMYFUNCTION("""COMPUTED_VALUE"""),"Rueda Trasera de Apoyo y Criquet para Desm 3P")</f>
        <v>Rueda Trasera de Apoyo y Criquet para Desm 3P</v>
      </c>
      <c r="W162" s="3" t="str">
        <f>IFERROR(__xludf.DUMMYFUNCTION("""COMPUTED_VALUE"""),"Cilindro con mangueras para Desm de Arrastre")</f>
        <v>Cilindro con mangueras para Desm de Arrastre</v>
      </c>
      <c r="X162" s="3" t="str">
        <f>IFERROR(__xludf.DUMMYFUNCTION("""COMPUTED_VALUE"""),"Repuesto Cuchilla para Desmalezadora por Unidad")</f>
        <v>Repuesto Cuchilla para Desmalezadora por Unidad</v>
      </c>
      <c r="Y162" s="3" t="str">
        <f>IFERROR(__xludf.DUMMYFUNCTION("""COMPUTED_VALUE"""),"Paquete de Elasticos 50 mm x 8 mm x 10 Hojas L850")</f>
        <v>Paquete de Elasticos 50 mm x 8 mm x 10 Hojas L850</v>
      </c>
      <c r="Z162" s="3" t="str">
        <f>IFERROR(__xludf.DUMMYFUNCTION("""COMPUTED_VALUE"""),"Paquete de Elasticos 63 mm x 8 mm x 10 Hojas L950")</f>
        <v>Paquete de Elasticos 63 mm x 8 mm x 10 Hojas L950</v>
      </c>
      <c r="AA162" s="3" t="str">
        <f>IFERROR(__xludf.DUMMYFUNCTION("""COMPUTED_VALUE"""),"Paquete de Elasticos 50 mm x 7 mm x 9 Hojas L850")</f>
        <v>Paquete de Elasticos 50 mm x 7 mm x 9 Hojas L850</v>
      </c>
      <c r="AB162" s="3" t="str">
        <f>IFERROR(__xludf.DUMMYFUNCTION("""COMPUTED_VALUE"""),"Paquete de Elasticos 63 mm x 8 mm x 8 Hojas L850")</f>
        <v>Paquete de Elasticos 63 mm x 8 mm x 8 Hojas L850</v>
      </c>
      <c r="AC162" s="3" t="str">
        <f>IFERROR(__xludf.DUMMYFUNCTION("""COMPUTED_VALUE"""),"Paquete de Elasticos 63 mm x 10 mm x 10 Hojas L950")</f>
        <v>Paquete de Elasticos 63 mm x 10 mm x 10 Hojas L950</v>
      </c>
      <c r="AD162" s="3" t="str">
        <f>IFERROR(__xludf.DUMMYFUNCTION("""COMPUTED_VALUE"""),"Paquete de Elasticos 63 mm x 10 mm x 13 Hojas L975")</f>
        <v>Paquete de Elasticos 63 mm x 10 mm x 13 Hojas L975</v>
      </c>
      <c r="AE162" s="3" t="str">
        <f>IFERROR(__xludf.DUMMYFUNCTION("""COMPUTED_VALUE"""),"Paquete de Elasticos 50 mm x 7 mm x 9 Hojas L650")</f>
        <v>Paquete de Elasticos 50 mm x 7 mm x 9 Hojas L650</v>
      </c>
      <c r="AF162" s="3" t="str">
        <f>IFERROR(__xludf.DUMMYFUNCTION("""COMPUTED_VALUE"""),"Eje Acoplado 2"" x 1600 (06/08) Agrícola Centro 92")</f>
        <v>Eje Acoplado 2" x 1600 (06/08) Agrícola Centro 92</v>
      </c>
      <c r="AG162" s="3" t="str">
        <f>IFERROR(__xludf.DUMMYFUNCTION("""COMPUTED_VALUE"""),"Eje Acoplado 2 1/2"" x 1600 (07/09) Agrícola Centro 92")</f>
        <v>Eje Acoplado 2 1/2" x 1600 (07/09) Agrícola Centro 92</v>
      </c>
      <c r="AH162" s="3" t="str">
        <f>IFERROR(__xludf.DUMMYFUNCTION("""COMPUTED_VALUE"""),"Eje Acoplado 2 1/2"" x 1600 (09/11) Agrícola Centro 150")</f>
        <v>Eje Acoplado 2 1/2" x 1600 (09/11) Agrícola Centro 150</v>
      </c>
      <c r="AI162" s="3" t="str">
        <f>IFERROR(__xludf.DUMMYFUNCTION("""COMPUTED_VALUE"""),"Eje Acoplado 3"" x 1600 (10/13) Agrícola Centro 150")</f>
        <v>Eje Acoplado 3" x 1600 (10/13) Agrícola Centro 150</v>
      </c>
      <c r="AJ162" s="3" t="str">
        <f>IFERROR(__xludf.DUMMYFUNCTION("""COMPUTED_VALUE"""),"Eje Acoplado 2 1/2"" x 2140 (07/09) Agrícola Centro 92")</f>
        <v>Eje Acoplado 2 1/2" x 2140 (07/09) Agrícola Centro 92</v>
      </c>
      <c r="AK162" s="3" t="str">
        <f>IFERROR(__xludf.DUMMYFUNCTION("""COMPUTED_VALUE"""),"Eje Acoplado 2"" x 1400 (06/08) Agrícola Centro 92")</f>
        <v>Eje Acoplado 2" x 1400 (06/08) Agrícola Centro 92</v>
      </c>
      <c r="AL162" s="3" t="str">
        <f>IFERROR(__xludf.DUMMYFUNCTION("""COMPUTED_VALUE"""),"Eje Acoplado 2 1/2"" x 1500 (07/09) Agrícola Centro 92")</f>
        <v>Eje Acoplado 2 1/2" x 1500 (07/09) Agrícola Centro 92</v>
      </c>
      <c r="AM162" s="3" t="str">
        <f>IFERROR(__xludf.DUMMYFUNCTION("""COMPUTED_VALUE"""),"Eje Acoplado 2 1/2"" x 2000 (07/09) Agrícola Centro 92")</f>
        <v>Eje Acoplado 2 1/2" x 2000 (07/09) Agrícola Centro 92</v>
      </c>
      <c r="AN162" s="3" t="str">
        <f>IFERROR(__xludf.DUMMYFUNCTION("""COMPUTED_VALUE"""),"Eje Acoplado 2 1/2"" x 2100 (09/11) Agrícola Centro 150")</f>
        <v>Eje Acoplado 2 1/2" x 2100 (09/11) Agrícola Centro 150</v>
      </c>
      <c r="AO162" s="3" t="str">
        <f>IFERROR(__xludf.DUMMYFUNCTION("""COMPUTED_VALUE"""),"Llanta 16"" Simple Agrícola Centro 92")</f>
        <v>Llanta 16" Simple Agrícola Centro 92</v>
      </c>
      <c r="AP162" s="3" t="str">
        <f>IFERROR(__xludf.DUMMYFUNCTION("""COMPUTED_VALUE"""),"Llanta 16"" Dual Agrícola Centro 92")</f>
        <v>Llanta 16" Dual Agrícola Centro 92</v>
      </c>
      <c r="AQ162" s="3" t="str">
        <f>IFERROR(__xludf.DUMMYFUNCTION("""COMPUTED_VALUE"""),"Llanta 17"" Simple Agrícola Centro 92")</f>
        <v>Llanta 17" Simple Agrícola Centro 92</v>
      </c>
      <c r="AR162" s="3" t="str">
        <f>IFERROR(__xludf.DUMMYFUNCTION("""COMPUTED_VALUE"""),"Llanta 17"" Dual Agrícola Centro 92")</f>
        <v>Llanta 17" Dual Agrícola Centro 92</v>
      </c>
      <c r="AS162" s="3" t="str">
        <f>IFERROR(__xludf.DUMMYFUNCTION("""COMPUTED_VALUE"""),"Llanta 16"" Dual Agrícola Centro 152")</f>
        <v>Llanta 16" Dual Agrícola Centro 152</v>
      </c>
      <c r="AT162" s="3" t="str">
        <f>IFERROR(__xludf.DUMMYFUNCTION("""COMPUTED_VALUE"""),"Llanta 17"" Dual Agrícola Centro 152")</f>
        <v>Llanta 17" Dual Agrícola Centro 152</v>
      </c>
      <c r="AU162" s="3" t="str">
        <f>IFERROR(__xludf.DUMMYFUNCTION("""COMPUTED_VALUE"""),"Eje Acoplado 2"" x 1600 (05/07) Agrícola Centro 92")</f>
        <v>Eje Acoplado 2" x 1600 (05/07) Agrícola Centro 92</v>
      </c>
      <c r="AV162" s="3" t="str">
        <f>IFERROR(__xludf.DUMMYFUNCTION("""COMPUTED_VALUE"""),"Paquete de Elásticos 50 mm x 8 mm x 12 Hojas")</f>
        <v>Paquete de Elásticos 50 mm x 8 mm x 12 Hojas</v>
      </c>
      <c r="AW162" s="3" t="str">
        <f>IFERROR(__xludf.DUMMYFUNCTION("""COMPUTED_VALUE"""),"Llanta simple Agrícola 750x20 centro 152")</f>
        <v>Llanta simple Agrícola 750x20 centro 152</v>
      </c>
      <c r="AX162" s="3" t="str">
        <f>IFERROR(__xludf.DUMMYFUNCTION("""COMPUTED_VALUE"""),"Llanta 15"" Simple Agrícola Centro 92")</f>
        <v>Llanta 15" Simple Agrícola Centro 92</v>
      </c>
    </row>
    <row r="163" hidden="1">
      <c r="A163" s="38">
        <f t="shared" si="1"/>
        <v>162</v>
      </c>
      <c r="B163" s="38">
        <f>IF(F163="","",SUMIF(Prearmados!E:E,F163,Prearmados!A:A))</f>
        <v>44</v>
      </c>
      <c r="C163" s="38">
        <f>IF(F163="","",SUMIF(Productos!E:E,G163,Productos!A:A))</f>
        <v>40</v>
      </c>
      <c r="D163" s="83" t="str">
        <f t="array" ref="D163">IF(OR(F163="",F163="Seleccionar.."),"",XLOOKUP(F163,Prearmados!E:E,Prearmados!F:F,"",0,1))</f>
        <v>Desmalezadoras</v>
      </c>
      <c r="E163" s="83">
        <f>IF(H163="","",SUMIF(Precio_Productos!K:K,C163,Precio_Productos!J:J)*H163)</f>
        <v>496600</v>
      </c>
      <c r="F163" s="84" t="s">
        <v>370</v>
      </c>
      <c r="G163" s="84" t="s">
        <v>93</v>
      </c>
      <c r="H163" s="13">
        <v>1.0</v>
      </c>
      <c r="P163" s="3" t="str">
        <f>IFERROR(__xludf.DUMMYFUNCTION("IF(OR(F163="""",F163=""Seleccionar..""),"""",TRANSPOSE(FILTER(Productos!E:E,(Productos!F:F=D163)+(Productos!F:F=XLOOKUP(D163,Implementos!B:B,Implementos!C:C,""-"",0,1)))))"),"Base Desmalezadora 1,50")</f>
        <v>Base Desmalezadora 1,50</v>
      </c>
      <c r="Q163" s="3" t="str">
        <f>IFERROR(__xludf.DUMMYFUNCTION("""COMPUTED_VALUE"""),"Base Desmalezadora 2,00")</f>
        <v>Base Desmalezadora 2,00</v>
      </c>
      <c r="R163" s="3" t="str">
        <f>IFERROR(__xludf.DUMMYFUNCTION("""COMPUTED_VALUE"""),"Acople 3P Desmalezadora 1,50")</f>
        <v>Acople 3P Desmalezadora 1,50</v>
      </c>
      <c r="S163" s="3" t="str">
        <f>IFERROR(__xludf.DUMMYFUNCTION("""COMPUTED_VALUE"""),"Acople 3P Desmalezadora 2,00")</f>
        <v>Acople 3P Desmalezadora 2,00</v>
      </c>
      <c r="T163" s="3" t="str">
        <f>IFERROR(__xludf.DUMMYFUNCTION("""COMPUTED_VALUE"""),"Tren de Arrastre Desmalezadora 1,50")</f>
        <v>Tren de Arrastre Desmalezadora 1,50</v>
      </c>
      <c r="U163" s="3" t="str">
        <f>IFERROR(__xludf.DUMMYFUNCTION("""COMPUTED_VALUE"""),"Tren de Arrastre Desmalezadora 2,00")</f>
        <v>Tren de Arrastre Desmalezadora 2,00</v>
      </c>
      <c r="V163" s="3" t="str">
        <f>IFERROR(__xludf.DUMMYFUNCTION("""COMPUTED_VALUE"""),"Rueda Trasera de Apoyo y Criquet para Desm 3P")</f>
        <v>Rueda Trasera de Apoyo y Criquet para Desm 3P</v>
      </c>
      <c r="W163" s="3" t="str">
        <f>IFERROR(__xludf.DUMMYFUNCTION("""COMPUTED_VALUE"""),"Cilindro con mangueras para Desm de Arrastre")</f>
        <v>Cilindro con mangueras para Desm de Arrastre</v>
      </c>
      <c r="X163" s="3" t="str">
        <f>IFERROR(__xludf.DUMMYFUNCTION("""COMPUTED_VALUE"""),"Repuesto Cuchilla para Desmalezadora por Unidad")</f>
        <v>Repuesto Cuchilla para Desmalezadora por Unidad</v>
      </c>
      <c r="Y163" s="3" t="str">
        <f>IFERROR(__xludf.DUMMYFUNCTION("""COMPUTED_VALUE"""),"Paquete de Elasticos 50 mm x 8 mm x 10 Hojas L850")</f>
        <v>Paquete de Elasticos 50 mm x 8 mm x 10 Hojas L850</v>
      </c>
      <c r="Z163" s="3" t="str">
        <f>IFERROR(__xludf.DUMMYFUNCTION("""COMPUTED_VALUE"""),"Paquete de Elasticos 63 mm x 8 mm x 10 Hojas L950")</f>
        <v>Paquete de Elasticos 63 mm x 8 mm x 10 Hojas L950</v>
      </c>
      <c r="AA163" s="3" t="str">
        <f>IFERROR(__xludf.DUMMYFUNCTION("""COMPUTED_VALUE"""),"Paquete de Elasticos 50 mm x 7 mm x 9 Hojas L850")</f>
        <v>Paquete de Elasticos 50 mm x 7 mm x 9 Hojas L850</v>
      </c>
      <c r="AB163" s="3" t="str">
        <f>IFERROR(__xludf.DUMMYFUNCTION("""COMPUTED_VALUE"""),"Paquete de Elasticos 63 mm x 8 mm x 8 Hojas L850")</f>
        <v>Paquete de Elasticos 63 mm x 8 mm x 8 Hojas L850</v>
      </c>
      <c r="AC163" s="3" t="str">
        <f>IFERROR(__xludf.DUMMYFUNCTION("""COMPUTED_VALUE"""),"Paquete de Elasticos 63 mm x 10 mm x 10 Hojas L950")</f>
        <v>Paquete de Elasticos 63 mm x 10 mm x 10 Hojas L950</v>
      </c>
      <c r="AD163" s="3" t="str">
        <f>IFERROR(__xludf.DUMMYFUNCTION("""COMPUTED_VALUE"""),"Paquete de Elasticos 63 mm x 10 mm x 13 Hojas L975")</f>
        <v>Paquete de Elasticos 63 mm x 10 mm x 13 Hojas L975</v>
      </c>
      <c r="AE163" s="3" t="str">
        <f>IFERROR(__xludf.DUMMYFUNCTION("""COMPUTED_VALUE"""),"Paquete de Elasticos 50 mm x 7 mm x 9 Hojas L650")</f>
        <v>Paquete de Elasticos 50 mm x 7 mm x 9 Hojas L650</v>
      </c>
      <c r="AF163" s="3" t="str">
        <f>IFERROR(__xludf.DUMMYFUNCTION("""COMPUTED_VALUE"""),"Eje Acoplado 2"" x 1600 (06/08) Agrícola Centro 92")</f>
        <v>Eje Acoplado 2" x 1600 (06/08) Agrícola Centro 92</v>
      </c>
      <c r="AG163" s="3" t="str">
        <f>IFERROR(__xludf.DUMMYFUNCTION("""COMPUTED_VALUE"""),"Eje Acoplado 2 1/2"" x 1600 (07/09) Agrícola Centro 92")</f>
        <v>Eje Acoplado 2 1/2" x 1600 (07/09) Agrícola Centro 92</v>
      </c>
      <c r="AH163" s="3" t="str">
        <f>IFERROR(__xludf.DUMMYFUNCTION("""COMPUTED_VALUE"""),"Eje Acoplado 2 1/2"" x 1600 (09/11) Agrícola Centro 150")</f>
        <v>Eje Acoplado 2 1/2" x 1600 (09/11) Agrícola Centro 150</v>
      </c>
      <c r="AI163" s="3" t="str">
        <f>IFERROR(__xludf.DUMMYFUNCTION("""COMPUTED_VALUE"""),"Eje Acoplado 3"" x 1600 (10/13) Agrícola Centro 150")</f>
        <v>Eje Acoplado 3" x 1600 (10/13) Agrícola Centro 150</v>
      </c>
      <c r="AJ163" s="3" t="str">
        <f>IFERROR(__xludf.DUMMYFUNCTION("""COMPUTED_VALUE"""),"Eje Acoplado 2 1/2"" x 2140 (07/09) Agrícola Centro 92")</f>
        <v>Eje Acoplado 2 1/2" x 2140 (07/09) Agrícola Centro 92</v>
      </c>
      <c r="AK163" s="3" t="str">
        <f>IFERROR(__xludf.DUMMYFUNCTION("""COMPUTED_VALUE"""),"Eje Acoplado 2"" x 1400 (06/08) Agrícola Centro 92")</f>
        <v>Eje Acoplado 2" x 1400 (06/08) Agrícola Centro 92</v>
      </c>
      <c r="AL163" s="3" t="str">
        <f>IFERROR(__xludf.DUMMYFUNCTION("""COMPUTED_VALUE"""),"Eje Acoplado 2 1/2"" x 1500 (07/09) Agrícola Centro 92")</f>
        <v>Eje Acoplado 2 1/2" x 1500 (07/09) Agrícola Centro 92</v>
      </c>
      <c r="AM163" s="3" t="str">
        <f>IFERROR(__xludf.DUMMYFUNCTION("""COMPUTED_VALUE"""),"Eje Acoplado 2 1/2"" x 2000 (07/09) Agrícola Centro 92")</f>
        <v>Eje Acoplado 2 1/2" x 2000 (07/09) Agrícola Centro 92</v>
      </c>
      <c r="AN163" s="3" t="str">
        <f>IFERROR(__xludf.DUMMYFUNCTION("""COMPUTED_VALUE"""),"Eje Acoplado 2 1/2"" x 2100 (09/11) Agrícola Centro 150")</f>
        <v>Eje Acoplado 2 1/2" x 2100 (09/11) Agrícola Centro 150</v>
      </c>
      <c r="AO163" s="3" t="str">
        <f>IFERROR(__xludf.DUMMYFUNCTION("""COMPUTED_VALUE"""),"Llanta 16"" Simple Agrícola Centro 92")</f>
        <v>Llanta 16" Simple Agrícola Centro 92</v>
      </c>
      <c r="AP163" s="3" t="str">
        <f>IFERROR(__xludf.DUMMYFUNCTION("""COMPUTED_VALUE"""),"Llanta 16"" Dual Agrícola Centro 92")</f>
        <v>Llanta 16" Dual Agrícola Centro 92</v>
      </c>
      <c r="AQ163" s="3" t="str">
        <f>IFERROR(__xludf.DUMMYFUNCTION("""COMPUTED_VALUE"""),"Llanta 17"" Simple Agrícola Centro 92")</f>
        <v>Llanta 17" Simple Agrícola Centro 92</v>
      </c>
      <c r="AR163" s="3" t="str">
        <f>IFERROR(__xludf.DUMMYFUNCTION("""COMPUTED_VALUE"""),"Llanta 17"" Dual Agrícola Centro 92")</f>
        <v>Llanta 17" Dual Agrícola Centro 92</v>
      </c>
      <c r="AS163" s="3" t="str">
        <f>IFERROR(__xludf.DUMMYFUNCTION("""COMPUTED_VALUE"""),"Llanta 16"" Dual Agrícola Centro 152")</f>
        <v>Llanta 16" Dual Agrícola Centro 152</v>
      </c>
      <c r="AT163" s="3" t="str">
        <f>IFERROR(__xludf.DUMMYFUNCTION("""COMPUTED_VALUE"""),"Llanta 17"" Dual Agrícola Centro 152")</f>
        <v>Llanta 17" Dual Agrícola Centro 152</v>
      </c>
      <c r="AU163" s="3" t="str">
        <f>IFERROR(__xludf.DUMMYFUNCTION("""COMPUTED_VALUE"""),"Eje Acoplado 2"" x 1600 (05/07) Agrícola Centro 92")</f>
        <v>Eje Acoplado 2" x 1600 (05/07) Agrícola Centro 92</v>
      </c>
      <c r="AV163" s="3" t="str">
        <f>IFERROR(__xludf.DUMMYFUNCTION("""COMPUTED_VALUE"""),"Paquete de Elásticos 50 mm x 8 mm x 12 Hojas")</f>
        <v>Paquete de Elásticos 50 mm x 8 mm x 12 Hojas</v>
      </c>
      <c r="AW163" s="3" t="str">
        <f>IFERROR(__xludf.DUMMYFUNCTION("""COMPUTED_VALUE"""),"Llanta simple Agrícola 750x20 centro 152")</f>
        <v>Llanta simple Agrícola 750x20 centro 152</v>
      </c>
      <c r="AX163" s="3" t="str">
        <f>IFERROR(__xludf.DUMMYFUNCTION("""COMPUTED_VALUE"""),"Llanta 15"" Simple Agrícola Centro 92")</f>
        <v>Llanta 15" Simple Agrícola Centro 92</v>
      </c>
    </row>
    <row r="164" hidden="1">
      <c r="A164" s="38">
        <f t="shared" si="1"/>
        <v>163</v>
      </c>
      <c r="B164" s="38">
        <f>IF(F164="","",SUMIF(Prearmados!E:E,F164,Prearmados!A:A))</f>
        <v>44</v>
      </c>
      <c r="C164" s="38">
        <f>IF(F164="","",SUMIF(Productos!E:E,G164,Productos!A:A))</f>
        <v>110</v>
      </c>
      <c r="D164" s="83" t="str">
        <f t="array" ref="D164">IF(OR(F164="",F164="Seleccionar.."),"",XLOOKUP(F164,Prearmados!E:E,Prearmados!F:F,"",0,1))</f>
        <v>Desmalezadoras</v>
      </c>
      <c r="E164" s="83">
        <f>IF(H164="","",SUMIF(Precio_Productos!K:K,C164,Precio_Productos!J:J)*H164)</f>
        <v>238400</v>
      </c>
      <c r="F164" s="84" t="s">
        <v>370</v>
      </c>
      <c r="G164" s="84" t="s">
        <v>129</v>
      </c>
      <c r="H164" s="13">
        <v>2.0</v>
      </c>
      <c r="P164" s="3" t="str">
        <f>IFERROR(__xludf.DUMMYFUNCTION("IF(OR(F164="""",F164=""Seleccionar..""),"""",TRANSPOSE(FILTER(Productos!E:E,(Productos!F:F=D164)+(Productos!F:F=XLOOKUP(D164,Implementos!B:B,Implementos!C:C,""-"",0,1)))))"),"Base Desmalezadora 1,50")</f>
        <v>Base Desmalezadora 1,50</v>
      </c>
      <c r="Q164" s="3" t="str">
        <f>IFERROR(__xludf.DUMMYFUNCTION("""COMPUTED_VALUE"""),"Base Desmalezadora 2,00")</f>
        <v>Base Desmalezadora 2,00</v>
      </c>
      <c r="R164" s="3" t="str">
        <f>IFERROR(__xludf.DUMMYFUNCTION("""COMPUTED_VALUE"""),"Acople 3P Desmalezadora 1,50")</f>
        <v>Acople 3P Desmalezadora 1,50</v>
      </c>
      <c r="S164" s="3" t="str">
        <f>IFERROR(__xludf.DUMMYFUNCTION("""COMPUTED_VALUE"""),"Acople 3P Desmalezadora 2,00")</f>
        <v>Acople 3P Desmalezadora 2,00</v>
      </c>
      <c r="T164" s="3" t="str">
        <f>IFERROR(__xludf.DUMMYFUNCTION("""COMPUTED_VALUE"""),"Tren de Arrastre Desmalezadora 1,50")</f>
        <v>Tren de Arrastre Desmalezadora 1,50</v>
      </c>
      <c r="U164" s="3" t="str">
        <f>IFERROR(__xludf.DUMMYFUNCTION("""COMPUTED_VALUE"""),"Tren de Arrastre Desmalezadora 2,00")</f>
        <v>Tren de Arrastre Desmalezadora 2,00</v>
      </c>
      <c r="V164" s="3" t="str">
        <f>IFERROR(__xludf.DUMMYFUNCTION("""COMPUTED_VALUE"""),"Rueda Trasera de Apoyo y Criquet para Desm 3P")</f>
        <v>Rueda Trasera de Apoyo y Criquet para Desm 3P</v>
      </c>
      <c r="W164" s="3" t="str">
        <f>IFERROR(__xludf.DUMMYFUNCTION("""COMPUTED_VALUE"""),"Cilindro con mangueras para Desm de Arrastre")</f>
        <v>Cilindro con mangueras para Desm de Arrastre</v>
      </c>
      <c r="X164" s="3" t="str">
        <f>IFERROR(__xludf.DUMMYFUNCTION("""COMPUTED_VALUE"""),"Repuesto Cuchilla para Desmalezadora por Unidad")</f>
        <v>Repuesto Cuchilla para Desmalezadora por Unidad</v>
      </c>
      <c r="Y164" s="3" t="str">
        <f>IFERROR(__xludf.DUMMYFUNCTION("""COMPUTED_VALUE"""),"Paquete de Elasticos 50 mm x 8 mm x 10 Hojas L850")</f>
        <v>Paquete de Elasticos 50 mm x 8 mm x 10 Hojas L850</v>
      </c>
      <c r="Z164" s="3" t="str">
        <f>IFERROR(__xludf.DUMMYFUNCTION("""COMPUTED_VALUE"""),"Paquete de Elasticos 63 mm x 8 mm x 10 Hojas L950")</f>
        <v>Paquete de Elasticos 63 mm x 8 mm x 10 Hojas L950</v>
      </c>
      <c r="AA164" s="3" t="str">
        <f>IFERROR(__xludf.DUMMYFUNCTION("""COMPUTED_VALUE"""),"Paquete de Elasticos 50 mm x 7 mm x 9 Hojas L850")</f>
        <v>Paquete de Elasticos 50 mm x 7 mm x 9 Hojas L850</v>
      </c>
      <c r="AB164" s="3" t="str">
        <f>IFERROR(__xludf.DUMMYFUNCTION("""COMPUTED_VALUE"""),"Paquete de Elasticos 63 mm x 8 mm x 8 Hojas L850")</f>
        <v>Paquete de Elasticos 63 mm x 8 mm x 8 Hojas L850</v>
      </c>
      <c r="AC164" s="3" t="str">
        <f>IFERROR(__xludf.DUMMYFUNCTION("""COMPUTED_VALUE"""),"Paquete de Elasticos 63 mm x 10 mm x 10 Hojas L950")</f>
        <v>Paquete de Elasticos 63 mm x 10 mm x 10 Hojas L950</v>
      </c>
      <c r="AD164" s="3" t="str">
        <f>IFERROR(__xludf.DUMMYFUNCTION("""COMPUTED_VALUE"""),"Paquete de Elasticos 63 mm x 10 mm x 13 Hojas L975")</f>
        <v>Paquete de Elasticos 63 mm x 10 mm x 13 Hojas L975</v>
      </c>
      <c r="AE164" s="3" t="str">
        <f>IFERROR(__xludf.DUMMYFUNCTION("""COMPUTED_VALUE"""),"Paquete de Elasticos 50 mm x 7 mm x 9 Hojas L650")</f>
        <v>Paquete de Elasticos 50 mm x 7 mm x 9 Hojas L650</v>
      </c>
      <c r="AF164" s="3" t="str">
        <f>IFERROR(__xludf.DUMMYFUNCTION("""COMPUTED_VALUE"""),"Eje Acoplado 2"" x 1600 (06/08) Agrícola Centro 92")</f>
        <v>Eje Acoplado 2" x 1600 (06/08) Agrícola Centro 92</v>
      </c>
      <c r="AG164" s="3" t="str">
        <f>IFERROR(__xludf.DUMMYFUNCTION("""COMPUTED_VALUE"""),"Eje Acoplado 2 1/2"" x 1600 (07/09) Agrícola Centro 92")</f>
        <v>Eje Acoplado 2 1/2" x 1600 (07/09) Agrícola Centro 92</v>
      </c>
      <c r="AH164" s="3" t="str">
        <f>IFERROR(__xludf.DUMMYFUNCTION("""COMPUTED_VALUE"""),"Eje Acoplado 2 1/2"" x 1600 (09/11) Agrícola Centro 150")</f>
        <v>Eje Acoplado 2 1/2" x 1600 (09/11) Agrícola Centro 150</v>
      </c>
      <c r="AI164" s="3" t="str">
        <f>IFERROR(__xludf.DUMMYFUNCTION("""COMPUTED_VALUE"""),"Eje Acoplado 3"" x 1600 (10/13) Agrícola Centro 150")</f>
        <v>Eje Acoplado 3" x 1600 (10/13) Agrícola Centro 150</v>
      </c>
      <c r="AJ164" s="3" t="str">
        <f>IFERROR(__xludf.DUMMYFUNCTION("""COMPUTED_VALUE"""),"Eje Acoplado 2 1/2"" x 2140 (07/09) Agrícola Centro 92")</f>
        <v>Eje Acoplado 2 1/2" x 2140 (07/09) Agrícola Centro 92</v>
      </c>
      <c r="AK164" s="3" t="str">
        <f>IFERROR(__xludf.DUMMYFUNCTION("""COMPUTED_VALUE"""),"Eje Acoplado 2"" x 1400 (06/08) Agrícola Centro 92")</f>
        <v>Eje Acoplado 2" x 1400 (06/08) Agrícola Centro 92</v>
      </c>
      <c r="AL164" s="3" t="str">
        <f>IFERROR(__xludf.DUMMYFUNCTION("""COMPUTED_VALUE"""),"Eje Acoplado 2 1/2"" x 1500 (07/09) Agrícola Centro 92")</f>
        <v>Eje Acoplado 2 1/2" x 1500 (07/09) Agrícola Centro 92</v>
      </c>
      <c r="AM164" s="3" t="str">
        <f>IFERROR(__xludf.DUMMYFUNCTION("""COMPUTED_VALUE"""),"Eje Acoplado 2 1/2"" x 2000 (07/09) Agrícola Centro 92")</f>
        <v>Eje Acoplado 2 1/2" x 2000 (07/09) Agrícola Centro 92</v>
      </c>
      <c r="AN164" s="3" t="str">
        <f>IFERROR(__xludf.DUMMYFUNCTION("""COMPUTED_VALUE"""),"Eje Acoplado 2 1/2"" x 2100 (09/11) Agrícola Centro 150")</f>
        <v>Eje Acoplado 2 1/2" x 2100 (09/11) Agrícola Centro 150</v>
      </c>
      <c r="AO164" s="3" t="str">
        <f>IFERROR(__xludf.DUMMYFUNCTION("""COMPUTED_VALUE"""),"Llanta 16"" Simple Agrícola Centro 92")</f>
        <v>Llanta 16" Simple Agrícola Centro 92</v>
      </c>
      <c r="AP164" s="3" t="str">
        <f>IFERROR(__xludf.DUMMYFUNCTION("""COMPUTED_VALUE"""),"Llanta 16"" Dual Agrícola Centro 92")</f>
        <v>Llanta 16" Dual Agrícola Centro 92</v>
      </c>
      <c r="AQ164" s="3" t="str">
        <f>IFERROR(__xludf.DUMMYFUNCTION("""COMPUTED_VALUE"""),"Llanta 17"" Simple Agrícola Centro 92")</f>
        <v>Llanta 17" Simple Agrícola Centro 92</v>
      </c>
      <c r="AR164" s="3" t="str">
        <f>IFERROR(__xludf.DUMMYFUNCTION("""COMPUTED_VALUE"""),"Llanta 17"" Dual Agrícola Centro 92")</f>
        <v>Llanta 17" Dual Agrícola Centro 92</v>
      </c>
      <c r="AS164" s="3" t="str">
        <f>IFERROR(__xludf.DUMMYFUNCTION("""COMPUTED_VALUE"""),"Llanta 16"" Dual Agrícola Centro 152")</f>
        <v>Llanta 16" Dual Agrícola Centro 152</v>
      </c>
      <c r="AT164" s="3" t="str">
        <f>IFERROR(__xludf.DUMMYFUNCTION("""COMPUTED_VALUE"""),"Llanta 17"" Dual Agrícola Centro 152")</f>
        <v>Llanta 17" Dual Agrícola Centro 152</v>
      </c>
      <c r="AU164" s="3" t="str">
        <f>IFERROR(__xludf.DUMMYFUNCTION("""COMPUTED_VALUE"""),"Eje Acoplado 2"" x 1600 (05/07) Agrícola Centro 92")</f>
        <v>Eje Acoplado 2" x 1600 (05/07) Agrícola Centro 92</v>
      </c>
      <c r="AV164" s="3" t="str">
        <f>IFERROR(__xludf.DUMMYFUNCTION("""COMPUTED_VALUE"""),"Paquete de Elásticos 50 mm x 8 mm x 12 Hojas")</f>
        <v>Paquete de Elásticos 50 mm x 8 mm x 12 Hojas</v>
      </c>
      <c r="AW164" s="3" t="str">
        <f>IFERROR(__xludf.DUMMYFUNCTION("""COMPUTED_VALUE"""),"Llanta simple Agrícola 750x20 centro 152")</f>
        <v>Llanta simple Agrícola 750x20 centro 152</v>
      </c>
      <c r="AX164" s="3" t="str">
        <f>IFERROR(__xludf.DUMMYFUNCTION("""COMPUTED_VALUE"""),"Llanta 15"" Simple Agrícola Centro 92")</f>
        <v>Llanta 15" Simple Agrícola Centro 92</v>
      </c>
    </row>
    <row r="165" hidden="1">
      <c r="A165" s="38">
        <f t="shared" si="1"/>
        <v>164</v>
      </c>
      <c r="B165" s="38">
        <f>IF(F165="","",SUMIF(Prearmados!E:E,F165,Prearmados!A:A))</f>
        <v>44</v>
      </c>
      <c r="C165" s="38">
        <f>IF(F165="","",SUMIF(Productos!E:E,G165,Productos!A:A))</f>
        <v>43</v>
      </c>
      <c r="D165" s="83" t="str">
        <f t="array" ref="D165">IF(OR(F165="",F165="Seleccionar.."),"",XLOOKUP(F165,Prearmados!E:E,Prearmados!F:F,"",0,1))</f>
        <v>Desmalezadoras</v>
      </c>
      <c r="E165" s="83">
        <f>IF(H165="","",SUMIF(Precio_Productos!K:K,C165,Precio_Productos!J:J)*H165)</f>
        <v>457084</v>
      </c>
      <c r="F165" s="84" t="s">
        <v>370</v>
      </c>
      <c r="G165" s="84" t="s">
        <v>95</v>
      </c>
      <c r="H165" s="13">
        <v>1.0</v>
      </c>
      <c r="P165" s="3" t="str">
        <f>IFERROR(__xludf.DUMMYFUNCTION("IF(OR(F165="""",F165=""Seleccionar..""),"""",TRANSPOSE(FILTER(Productos!E:E,(Productos!F:F=D165)+(Productos!F:F=XLOOKUP(D165,Implementos!B:B,Implementos!C:C,""-"",0,1)))))"),"Base Desmalezadora 1,50")</f>
        <v>Base Desmalezadora 1,50</v>
      </c>
      <c r="Q165" s="3" t="str">
        <f>IFERROR(__xludf.DUMMYFUNCTION("""COMPUTED_VALUE"""),"Base Desmalezadora 2,00")</f>
        <v>Base Desmalezadora 2,00</v>
      </c>
      <c r="R165" s="3" t="str">
        <f>IFERROR(__xludf.DUMMYFUNCTION("""COMPUTED_VALUE"""),"Acople 3P Desmalezadora 1,50")</f>
        <v>Acople 3P Desmalezadora 1,50</v>
      </c>
      <c r="S165" s="3" t="str">
        <f>IFERROR(__xludf.DUMMYFUNCTION("""COMPUTED_VALUE"""),"Acople 3P Desmalezadora 2,00")</f>
        <v>Acople 3P Desmalezadora 2,00</v>
      </c>
      <c r="T165" s="3" t="str">
        <f>IFERROR(__xludf.DUMMYFUNCTION("""COMPUTED_VALUE"""),"Tren de Arrastre Desmalezadora 1,50")</f>
        <v>Tren de Arrastre Desmalezadora 1,50</v>
      </c>
      <c r="U165" s="3" t="str">
        <f>IFERROR(__xludf.DUMMYFUNCTION("""COMPUTED_VALUE"""),"Tren de Arrastre Desmalezadora 2,00")</f>
        <v>Tren de Arrastre Desmalezadora 2,00</v>
      </c>
      <c r="V165" s="3" t="str">
        <f>IFERROR(__xludf.DUMMYFUNCTION("""COMPUTED_VALUE"""),"Rueda Trasera de Apoyo y Criquet para Desm 3P")</f>
        <v>Rueda Trasera de Apoyo y Criquet para Desm 3P</v>
      </c>
      <c r="W165" s="3" t="str">
        <f>IFERROR(__xludf.DUMMYFUNCTION("""COMPUTED_VALUE"""),"Cilindro con mangueras para Desm de Arrastre")</f>
        <v>Cilindro con mangueras para Desm de Arrastre</v>
      </c>
      <c r="X165" s="3" t="str">
        <f>IFERROR(__xludf.DUMMYFUNCTION("""COMPUTED_VALUE"""),"Repuesto Cuchilla para Desmalezadora por Unidad")</f>
        <v>Repuesto Cuchilla para Desmalezadora por Unidad</v>
      </c>
      <c r="Y165" s="3" t="str">
        <f>IFERROR(__xludf.DUMMYFUNCTION("""COMPUTED_VALUE"""),"Paquete de Elasticos 50 mm x 8 mm x 10 Hojas L850")</f>
        <v>Paquete de Elasticos 50 mm x 8 mm x 10 Hojas L850</v>
      </c>
      <c r="Z165" s="3" t="str">
        <f>IFERROR(__xludf.DUMMYFUNCTION("""COMPUTED_VALUE"""),"Paquete de Elasticos 63 mm x 8 mm x 10 Hojas L950")</f>
        <v>Paquete de Elasticos 63 mm x 8 mm x 10 Hojas L950</v>
      </c>
      <c r="AA165" s="3" t="str">
        <f>IFERROR(__xludf.DUMMYFUNCTION("""COMPUTED_VALUE"""),"Paquete de Elasticos 50 mm x 7 mm x 9 Hojas L850")</f>
        <v>Paquete de Elasticos 50 mm x 7 mm x 9 Hojas L850</v>
      </c>
      <c r="AB165" s="3" t="str">
        <f>IFERROR(__xludf.DUMMYFUNCTION("""COMPUTED_VALUE"""),"Paquete de Elasticos 63 mm x 8 mm x 8 Hojas L850")</f>
        <v>Paquete de Elasticos 63 mm x 8 mm x 8 Hojas L850</v>
      </c>
      <c r="AC165" s="3" t="str">
        <f>IFERROR(__xludf.DUMMYFUNCTION("""COMPUTED_VALUE"""),"Paquete de Elasticos 63 mm x 10 mm x 10 Hojas L950")</f>
        <v>Paquete de Elasticos 63 mm x 10 mm x 10 Hojas L950</v>
      </c>
      <c r="AD165" s="3" t="str">
        <f>IFERROR(__xludf.DUMMYFUNCTION("""COMPUTED_VALUE"""),"Paquete de Elasticos 63 mm x 10 mm x 13 Hojas L975")</f>
        <v>Paquete de Elasticos 63 mm x 10 mm x 13 Hojas L975</v>
      </c>
      <c r="AE165" s="3" t="str">
        <f>IFERROR(__xludf.DUMMYFUNCTION("""COMPUTED_VALUE"""),"Paquete de Elasticos 50 mm x 7 mm x 9 Hojas L650")</f>
        <v>Paquete de Elasticos 50 mm x 7 mm x 9 Hojas L650</v>
      </c>
      <c r="AF165" s="3" t="str">
        <f>IFERROR(__xludf.DUMMYFUNCTION("""COMPUTED_VALUE"""),"Eje Acoplado 2"" x 1600 (06/08) Agrícola Centro 92")</f>
        <v>Eje Acoplado 2" x 1600 (06/08) Agrícola Centro 92</v>
      </c>
      <c r="AG165" s="3" t="str">
        <f>IFERROR(__xludf.DUMMYFUNCTION("""COMPUTED_VALUE"""),"Eje Acoplado 2 1/2"" x 1600 (07/09) Agrícola Centro 92")</f>
        <v>Eje Acoplado 2 1/2" x 1600 (07/09) Agrícola Centro 92</v>
      </c>
      <c r="AH165" s="3" t="str">
        <f>IFERROR(__xludf.DUMMYFUNCTION("""COMPUTED_VALUE"""),"Eje Acoplado 2 1/2"" x 1600 (09/11) Agrícola Centro 150")</f>
        <v>Eje Acoplado 2 1/2" x 1600 (09/11) Agrícola Centro 150</v>
      </c>
      <c r="AI165" s="3" t="str">
        <f>IFERROR(__xludf.DUMMYFUNCTION("""COMPUTED_VALUE"""),"Eje Acoplado 3"" x 1600 (10/13) Agrícola Centro 150")</f>
        <v>Eje Acoplado 3" x 1600 (10/13) Agrícola Centro 150</v>
      </c>
      <c r="AJ165" s="3" t="str">
        <f>IFERROR(__xludf.DUMMYFUNCTION("""COMPUTED_VALUE"""),"Eje Acoplado 2 1/2"" x 2140 (07/09) Agrícola Centro 92")</f>
        <v>Eje Acoplado 2 1/2" x 2140 (07/09) Agrícola Centro 92</v>
      </c>
      <c r="AK165" s="3" t="str">
        <f>IFERROR(__xludf.DUMMYFUNCTION("""COMPUTED_VALUE"""),"Eje Acoplado 2"" x 1400 (06/08) Agrícola Centro 92")</f>
        <v>Eje Acoplado 2" x 1400 (06/08) Agrícola Centro 92</v>
      </c>
      <c r="AL165" s="3" t="str">
        <f>IFERROR(__xludf.DUMMYFUNCTION("""COMPUTED_VALUE"""),"Eje Acoplado 2 1/2"" x 1500 (07/09) Agrícola Centro 92")</f>
        <v>Eje Acoplado 2 1/2" x 1500 (07/09) Agrícola Centro 92</v>
      </c>
      <c r="AM165" s="3" t="str">
        <f>IFERROR(__xludf.DUMMYFUNCTION("""COMPUTED_VALUE"""),"Eje Acoplado 2 1/2"" x 2000 (07/09) Agrícola Centro 92")</f>
        <v>Eje Acoplado 2 1/2" x 2000 (07/09) Agrícola Centro 92</v>
      </c>
      <c r="AN165" s="3" t="str">
        <f>IFERROR(__xludf.DUMMYFUNCTION("""COMPUTED_VALUE"""),"Eje Acoplado 2 1/2"" x 2100 (09/11) Agrícola Centro 150")</f>
        <v>Eje Acoplado 2 1/2" x 2100 (09/11) Agrícola Centro 150</v>
      </c>
      <c r="AO165" s="3" t="str">
        <f>IFERROR(__xludf.DUMMYFUNCTION("""COMPUTED_VALUE"""),"Llanta 16"" Simple Agrícola Centro 92")</f>
        <v>Llanta 16" Simple Agrícola Centro 92</v>
      </c>
      <c r="AP165" s="3" t="str">
        <f>IFERROR(__xludf.DUMMYFUNCTION("""COMPUTED_VALUE"""),"Llanta 16"" Dual Agrícola Centro 92")</f>
        <v>Llanta 16" Dual Agrícola Centro 92</v>
      </c>
      <c r="AQ165" s="3" t="str">
        <f>IFERROR(__xludf.DUMMYFUNCTION("""COMPUTED_VALUE"""),"Llanta 17"" Simple Agrícola Centro 92")</f>
        <v>Llanta 17" Simple Agrícola Centro 92</v>
      </c>
      <c r="AR165" s="3" t="str">
        <f>IFERROR(__xludf.DUMMYFUNCTION("""COMPUTED_VALUE"""),"Llanta 17"" Dual Agrícola Centro 92")</f>
        <v>Llanta 17" Dual Agrícola Centro 92</v>
      </c>
      <c r="AS165" s="3" t="str">
        <f>IFERROR(__xludf.DUMMYFUNCTION("""COMPUTED_VALUE"""),"Llanta 16"" Dual Agrícola Centro 152")</f>
        <v>Llanta 16" Dual Agrícola Centro 152</v>
      </c>
      <c r="AT165" s="3" t="str">
        <f>IFERROR(__xludf.DUMMYFUNCTION("""COMPUTED_VALUE"""),"Llanta 17"" Dual Agrícola Centro 152")</f>
        <v>Llanta 17" Dual Agrícola Centro 152</v>
      </c>
      <c r="AU165" s="3" t="str">
        <f>IFERROR(__xludf.DUMMYFUNCTION("""COMPUTED_VALUE"""),"Eje Acoplado 2"" x 1600 (05/07) Agrícola Centro 92")</f>
        <v>Eje Acoplado 2" x 1600 (05/07) Agrícola Centro 92</v>
      </c>
      <c r="AV165" s="3" t="str">
        <f>IFERROR(__xludf.DUMMYFUNCTION("""COMPUTED_VALUE"""),"Paquete de Elásticos 50 mm x 8 mm x 12 Hojas")</f>
        <v>Paquete de Elásticos 50 mm x 8 mm x 12 Hojas</v>
      </c>
      <c r="AW165" s="3" t="str">
        <f>IFERROR(__xludf.DUMMYFUNCTION("""COMPUTED_VALUE"""),"Llanta simple Agrícola 750x20 centro 152")</f>
        <v>Llanta simple Agrícola 750x20 centro 152</v>
      </c>
      <c r="AX165" s="3" t="str">
        <f>IFERROR(__xludf.DUMMYFUNCTION("""COMPUTED_VALUE"""),"Llanta 15"" Simple Agrícola Centro 92")</f>
        <v>Llanta 15" Simple Agrícola Centro 92</v>
      </c>
    </row>
    <row r="166" hidden="1">
      <c r="A166" s="38">
        <f t="shared" si="1"/>
        <v>165</v>
      </c>
      <c r="B166" s="38">
        <f>IF(F166="","",SUMIF(Prearmados!E:E,F166,Prearmados!A:A))</f>
        <v>42</v>
      </c>
      <c r="C166" s="38">
        <f>IF(F166="","",SUMIF(Productos!E:E,G166,Productos!A:A))</f>
        <v>36</v>
      </c>
      <c r="D166" s="83" t="str">
        <f t="array" ref="D166">IF(OR(F166="",F166="Seleccionar.."),"",XLOOKUP(F166,Prearmados!E:E,Prearmados!F:F,"",0,1))</f>
        <v>Desmalezadoras</v>
      </c>
      <c r="E166" s="83">
        <f>IF(H166="","",SUMIF(Precio_Productos!K:K,C166,Precio_Productos!J:J)*H166)</f>
        <v>3395000</v>
      </c>
      <c r="F166" s="84" t="s">
        <v>368</v>
      </c>
      <c r="G166" s="84" t="s">
        <v>89</v>
      </c>
      <c r="H166" s="13">
        <v>1.0</v>
      </c>
      <c r="P166" s="3" t="str">
        <f>IFERROR(__xludf.DUMMYFUNCTION("IF(OR(F166="""",F166=""Seleccionar..""),"""",TRANSPOSE(FILTER(Productos!E:E,(Productos!F:F=D166)+(Productos!F:F=XLOOKUP(D166,Implementos!B:B,Implementos!C:C,""-"",0,1)))))"),"Base Desmalezadora 1,50")</f>
        <v>Base Desmalezadora 1,50</v>
      </c>
      <c r="Q166" s="3" t="str">
        <f>IFERROR(__xludf.DUMMYFUNCTION("""COMPUTED_VALUE"""),"Base Desmalezadora 2,00")</f>
        <v>Base Desmalezadora 2,00</v>
      </c>
      <c r="R166" s="3" t="str">
        <f>IFERROR(__xludf.DUMMYFUNCTION("""COMPUTED_VALUE"""),"Acople 3P Desmalezadora 1,50")</f>
        <v>Acople 3P Desmalezadora 1,50</v>
      </c>
      <c r="S166" s="3" t="str">
        <f>IFERROR(__xludf.DUMMYFUNCTION("""COMPUTED_VALUE"""),"Acople 3P Desmalezadora 2,00")</f>
        <v>Acople 3P Desmalezadora 2,00</v>
      </c>
      <c r="T166" s="3" t="str">
        <f>IFERROR(__xludf.DUMMYFUNCTION("""COMPUTED_VALUE"""),"Tren de Arrastre Desmalezadora 1,50")</f>
        <v>Tren de Arrastre Desmalezadora 1,50</v>
      </c>
      <c r="U166" s="3" t="str">
        <f>IFERROR(__xludf.DUMMYFUNCTION("""COMPUTED_VALUE"""),"Tren de Arrastre Desmalezadora 2,00")</f>
        <v>Tren de Arrastre Desmalezadora 2,00</v>
      </c>
      <c r="V166" s="3" t="str">
        <f>IFERROR(__xludf.DUMMYFUNCTION("""COMPUTED_VALUE"""),"Rueda Trasera de Apoyo y Criquet para Desm 3P")</f>
        <v>Rueda Trasera de Apoyo y Criquet para Desm 3P</v>
      </c>
      <c r="W166" s="3" t="str">
        <f>IFERROR(__xludf.DUMMYFUNCTION("""COMPUTED_VALUE"""),"Cilindro con mangueras para Desm de Arrastre")</f>
        <v>Cilindro con mangueras para Desm de Arrastre</v>
      </c>
      <c r="X166" s="3" t="str">
        <f>IFERROR(__xludf.DUMMYFUNCTION("""COMPUTED_VALUE"""),"Repuesto Cuchilla para Desmalezadora por Unidad")</f>
        <v>Repuesto Cuchilla para Desmalezadora por Unidad</v>
      </c>
      <c r="Y166" s="3" t="str">
        <f>IFERROR(__xludf.DUMMYFUNCTION("""COMPUTED_VALUE"""),"Paquete de Elasticos 50 mm x 8 mm x 10 Hojas L850")</f>
        <v>Paquete de Elasticos 50 mm x 8 mm x 10 Hojas L850</v>
      </c>
      <c r="Z166" s="3" t="str">
        <f>IFERROR(__xludf.DUMMYFUNCTION("""COMPUTED_VALUE"""),"Paquete de Elasticos 63 mm x 8 mm x 10 Hojas L950")</f>
        <v>Paquete de Elasticos 63 mm x 8 mm x 10 Hojas L950</v>
      </c>
      <c r="AA166" s="3" t="str">
        <f>IFERROR(__xludf.DUMMYFUNCTION("""COMPUTED_VALUE"""),"Paquete de Elasticos 50 mm x 7 mm x 9 Hojas L850")</f>
        <v>Paquete de Elasticos 50 mm x 7 mm x 9 Hojas L850</v>
      </c>
      <c r="AB166" s="3" t="str">
        <f>IFERROR(__xludf.DUMMYFUNCTION("""COMPUTED_VALUE"""),"Paquete de Elasticos 63 mm x 8 mm x 8 Hojas L850")</f>
        <v>Paquete de Elasticos 63 mm x 8 mm x 8 Hojas L850</v>
      </c>
      <c r="AC166" s="3" t="str">
        <f>IFERROR(__xludf.DUMMYFUNCTION("""COMPUTED_VALUE"""),"Paquete de Elasticos 63 mm x 10 mm x 10 Hojas L950")</f>
        <v>Paquete de Elasticos 63 mm x 10 mm x 10 Hojas L950</v>
      </c>
      <c r="AD166" s="3" t="str">
        <f>IFERROR(__xludf.DUMMYFUNCTION("""COMPUTED_VALUE"""),"Paquete de Elasticos 63 mm x 10 mm x 13 Hojas L975")</f>
        <v>Paquete de Elasticos 63 mm x 10 mm x 13 Hojas L975</v>
      </c>
      <c r="AE166" s="3" t="str">
        <f>IFERROR(__xludf.DUMMYFUNCTION("""COMPUTED_VALUE"""),"Paquete de Elasticos 50 mm x 7 mm x 9 Hojas L650")</f>
        <v>Paquete de Elasticos 50 mm x 7 mm x 9 Hojas L650</v>
      </c>
      <c r="AF166" s="3" t="str">
        <f>IFERROR(__xludf.DUMMYFUNCTION("""COMPUTED_VALUE"""),"Eje Acoplado 2"" x 1600 (06/08) Agrícola Centro 92")</f>
        <v>Eje Acoplado 2" x 1600 (06/08) Agrícola Centro 92</v>
      </c>
      <c r="AG166" s="3" t="str">
        <f>IFERROR(__xludf.DUMMYFUNCTION("""COMPUTED_VALUE"""),"Eje Acoplado 2 1/2"" x 1600 (07/09) Agrícola Centro 92")</f>
        <v>Eje Acoplado 2 1/2" x 1600 (07/09) Agrícola Centro 92</v>
      </c>
      <c r="AH166" s="3" t="str">
        <f>IFERROR(__xludf.DUMMYFUNCTION("""COMPUTED_VALUE"""),"Eje Acoplado 2 1/2"" x 1600 (09/11) Agrícola Centro 150")</f>
        <v>Eje Acoplado 2 1/2" x 1600 (09/11) Agrícola Centro 150</v>
      </c>
      <c r="AI166" s="3" t="str">
        <f>IFERROR(__xludf.DUMMYFUNCTION("""COMPUTED_VALUE"""),"Eje Acoplado 3"" x 1600 (10/13) Agrícola Centro 150")</f>
        <v>Eje Acoplado 3" x 1600 (10/13) Agrícola Centro 150</v>
      </c>
      <c r="AJ166" s="3" t="str">
        <f>IFERROR(__xludf.DUMMYFUNCTION("""COMPUTED_VALUE"""),"Eje Acoplado 2 1/2"" x 2140 (07/09) Agrícola Centro 92")</f>
        <v>Eje Acoplado 2 1/2" x 2140 (07/09) Agrícola Centro 92</v>
      </c>
      <c r="AK166" s="3" t="str">
        <f>IFERROR(__xludf.DUMMYFUNCTION("""COMPUTED_VALUE"""),"Eje Acoplado 2"" x 1400 (06/08) Agrícola Centro 92")</f>
        <v>Eje Acoplado 2" x 1400 (06/08) Agrícola Centro 92</v>
      </c>
      <c r="AL166" s="3" t="str">
        <f>IFERROR(__xludf.DUMMYFUNCTION("""COMPUTED_VALUE"""),"Eje Acoplado 2 1/2"" x 1500 (07/09) Agrícola Centro 92")</f>
        <v>Eje Acoplado 2 1/2" x 1500 (07/09) Agrícola Centro 92</v>
      </c>
      <c r="AM166" s="3" t="str">
        <f>IFERROR(__xludf.DUMMYFUNCTION("""COMPUTED_VALUE"""),"Eje Acoplado 2 1/2"" x 2000 (07/09) Agrícola Centro 92")</f>
        <v>Eje Acoplado 2 1/2" x 2000 (07/09) Agrícola Centro 92</v>
      </c>
      <c r="AN166" s="3" t="str">
        <f>IFERROR(__xludf.DUMMYFUNCTION("""COMPUTED_VALUE"""),"Eje Acoplado 2 1/2"" x 2100 (09/11) Agrícola Centro 150")</f>
        <v>Eje Acoplado 2 1/2" x 2100 (09/11) Agrícola Centro 150</v>
      </c>
      <c r="AO166" s="3" t="str">
        <f>IFERROR(__xludf.DUMMYFUNCTION("""COMPUTED_VALUE"""),"Llanta 16"" Simple Agrícola Centro 92")</f>
        <v>Llanta 16" Simple Agrícola Centro 92</v>
      </c>
      <c r="AP166" s="3" t="str">
        <f>IFERROR(__xludf.DUMMYFUNCTION("""COMPUTED_VALUE"""),"Llanta 16"" Dual Agrícola Centro 92")</f>
        <v>Llanta 16" Dual Agrícola Centro 92</v>
      </c>
      <c r="AQ166" s="3" t="str">
        <f>IFERROR(__xludf.DUMMYFUNCTION("""COMPUTED_VALUE"""),"Llanta 17"" Simple Agrícola Centro 92")</f>
        <v>Llanta 17" Simple Agrícola Centro 92</v>
      </c>
      <c r="AR166" s="3" t="str">
        <f>IFERROR(__xludf.DUMMYFUNCTION("""COMPUTED_VALUE"""),"Llanta 17"" Dual Agrícola Centro 92")</f>
        <v>Llanta 17" Dual Agrícola Centro 92</v>
      </c>
      <c r="AS166" s="3" t="str">
        <f>IFERROR(__xludf.DUMMYFUNCTION("""COMPUTED_VALUE"""),"Llanta 16"" Dual Agrícola Centro 152")</f>
        <v>Llanta 16" Dual Agrícola Centro 152</v>
      </c>
      <c r="AT166" s="3" t="str">
        <f>IFERROR(__xludf.DUMMYFUNCTION("""COMPUTED_VALUE"""),"Llanta 17"" Dual Agrícola Centro 152")</f>
        <v>Llanta 17" Dual Agrícola Centro 152</v>
      </c>
      <c r="AU166" s="3" t="str">
        <f>IFERROR(__xludf.DUMMYFUNCTION("""COMPUTED_VALUE"""),"Eje Acoplado 2"" x 1600 (05/07) Agrícola Centro 92")</f>
        <v>Eje Acoplado 2" x 1600 (05/07) Agrícola Centro 92</v>
      </c>
      <c r="AV166" s="3" t="str">
        <f>IFERROR(__xludf.DUMMYFUNCTION("""COMPUTED_VALUE"""),"Paquete de Elásticos 50 mm x 8 mm x 12 Hojas")</f>
        <v>Paquete de Elásticos 50 mm x 8 mm x 12 Hojas</v>
      </c>
      <c r="AW166" s="3" t="str">
        <f>IFERROR(__xludf.DUMMYFUNCTION("""COMPUTED_VALUE"""),"Llanta simple Agrícola 750x20 centro 152")</f>
        <v>Llanta simple Agrícola 750x20 centro 152</v>
      </c>
      <c r="AX166" s="3" t="str">
        <f>IFERROR(__xludf.DUMMYFUNCTION("""COMPUTED_VALUE"""),"Llanta 15"" Simple Agrícola Centro 92")</f>
        <v>Llanta 15" Simple Agrícola Centro 92</v>
      </c>
    </row>
    <row r="167" hidden="1">
      <c r="A167" s="38">
        <f t="shared" si="1"/>
        <v>166</v>
      </c>
      <c r="B167" s="38">
        <f>IF(F167="","",SUMIF(Prearmados!E:E,F167,Prearmados!A:A))</f>
        <v>42</v>
      </c>
      <c r="C167" s="38">
        <f>IF(F167="","",SUMIF(Productos!E:E,G167,Productos!A:A))</f>
        <v>38</v>
      </c>
      <c r="D167" s="83" t="str">
        <f t="array" ref="D167">IF(OR(F167="",F167="Seleccionar.."),"",XLOOKUP(F167,Prearmados!E:E,Prearmados!F:F,"",0,1))</f>
        <v>Desmalezadoras</v>
      </c>
      <c r="E167" s="83">
        <f>IF(H167="","",SUMIF(Precio_Productos!K:K,C167,Precio_Productos!J:J)*H167)</f>
        <v>125000</v>
      </c>
      <c r="F167" s="84" t="s">
        <v>368</v>
      </c>
      <c r="G167" s="84" t="s">
        <v>91</v>
      </c>
      <c r="H167" s="13">
        <v>1.0</v>
      </c>
      <c r="P167" s="3" t="str">
        <f>IFERROR(__xludf.DUMMYFUNCTION("IF(OR(F167="""",F167=""Seleccionar..""),"""",TRANSPOSE(FILTER(Productos!E:E,(Productos!F:F=D167)+(Productos!F:F=XLOOKUP(D167,Implementos!B:B,Implementos!C:C,""-"",0,1)))))"),"Base Desmalezadora 1,50")</f>
        <v>Base Desmalezadora 1,50</v>
      </c>
      <c r="Q167" s="3" t="str">
        <f>IFERROR(__xludf.DUMMYFUNCTION("""COMPUTED_VALUE"""),"Base Desmalezadora 2,00")</f>
        <v>Base Desmalezadora 2,00</v>
      </c>
      <c r="R167" s="3" t="str">
        <f>IFERROR(__xludf.DUMMYFUNCTION("""COMPUTED_VALUE"""),"Acople 3P Desmalezadora 1,50")</f>
        <v>Acople 3P Desmalezadora 1,50</v>
      </c>
      <c r="S167" s="3" t="str">
        <f>IFERROR(__xludf.DUMMYFUNCTION("""COMPUTED_VALUE"""),"Acople 3P Desmalezadora 2,00")</f>
        <v>Acople 3P Desmalezadora 2,00</v>
      </c>
      <c r="T167" s="3" t="str">
        <f>IFERROR(__xludf.DUMMYFUNCTION("""COMPUTED_VALUE"""),"Tren de Arrastre Desmalezadora 1,50")</f>
        <v>Tren de Arrastre Desmalezadora 1,50</v>
      </c>
      <c r="U167" s="3" t="str">
        <f>IFERROR(__xludf.DUMMYFUNCTION("""COMPUTED_VALUE"""),"Tren de Arrastre Desmalezadora 2,00")</f>
        <v>Tren de Arrastre Desmalezadora 2,00</v>
      </c>
      <c r="V167" s="3" t="str">
        <f>IFERROR(__xludf.DUMMYFUNCTION("""COMPUTED_VALUE"""),"Rueda Trasera de Apoyo y Criquet para Desm 3P")</f>
        <v>Rueda Trasera de Apoyo y Criquet para Desm 3P</v>
      </c>
      <c r="W167" s="3" t="str">
        <f>IFERROR(__xludf.DUMMYFUNCTION("""COMPUTED_VALUE"""),"Cilindro con mangueras para Desm de Arrastre")</f>
        <v>Cilindro con mangueras para Desm de Arrastre</v>
      </c>
      <c r="X167" s="3" t="str">
        <f>IFERROR(__xludf.DUMMYFUNCTION("""COMPUTED_VALUE"""),"Repuesto Cuchilla para Desmalezadora por Unidad")</f>
        <v>Repuesto Cuchilla para Desmalezadora por Unidad</v>
      </c>
      <c r="Y167" s="3" t="str">
        <f>IFERROR(__xludf.DUMMYFUNCTION("""COMPUTED_VALUE"""),"Paquete de Elasticos 50 mm x 8 mm x 10 Hojas L850")</f>
        <v>Paquete de Elasticos 50 mm x 8 mm x 10 Hojas L850</v>
      </c>
      <c r="Z167" s="3" t="str">
        <f>IFERROR(__xludf.DUMMYFUNCTION("""COMPUTED_VALUE"""),"Paquete de Elasticos 63 mm x 8 mm x 10 Hojas L950")</f>
        <v>Paquete de Elasticos 63 mm x 8 mm x 10 Hojas L950</v>
      </c>
      <c r="AA167" s="3" t="str">
        <f>IFERROR(__xludf.DUMMYFUNCTION("""COMPUTED_VALUE"""),"Paquete de Elasticos 50 mm x 7 mm x 9 Hojas L850")</f>
        <v>Paquete de Elasticos 50 mm x 7 mm x 9 Hojas L850</v>
      </c>
      <c r="AB167" s="3" t="str">
        <f>IFERROR(__xludf.DUMMYFUNCTION("""COMPUTED_VALUE"""),"Paquete de Elasticos 63 mm x 8 mm x 8 Hojas L850")</f>
        <v>Paquete de Elasticos 63 mm x 8 mm x 8 Hojas L850</v>
      </c>
      <c r="AC167" s="3" t="str">
        <f>IFERROR(__xludf.DUMMYFUNCTION("""COMPUTED_VALUE"""),"Paquete de Elasticos 63 mm x 10 mm x 10 Hojas L950")</f>
        <v>Paquete de Elasticos 63 mm x 10 mm x 10 Hojas L950</v>
      </c>
      <c r="AD167" s="3" t="str">
        <f>IFERROR(__xludf.DUMMYFUNCTION("""COMPUTED_VALUE"""),"Paquete de Elasticos 63 mm x 10 mm x 13 Hojas L975")</f>
        <v>Paquete de Elasticos 63 mm x 10 mm x 13 Hojas L975</v>
      </c>
      <c r="AE167" s="3" t="str">
        <f>IFERROR(__xludf.DUMMYFUNCTION("""COMPUTED_VALUE"""),"Paquete de Elasticos 50 mm x 7 mm x 9 Hojas L650")</f>
        <v>Paquete de Elasticos 50 mm x 7 mm x 9 Hojas L650</v>
      </c>
      <c r="AF167" s="3" t="str">
        <f>IFERROR(__xludf.DUMMYFUNCTION("""COMPUTED_VALUE"""),"Eje Acoplado 2"" x 1600 (06/08) Agrícola Centro 92")</f>
        <v>Eje Acoplado 2" x 1600 (06/08) Agrícola Centro 92</v>
      </c>
      <c r="AG167" s="3" t="str">
        <f>IFERROR(__xludf.DUMMYFUNCTION("""COMPUTED_VALUE"""),"Eje Acoplado 2 1/2"" x 1600 (07/09) Agrícola Centro 92")</f>
        <v>Eje Acoplado 2 1/2" x 1600 (07/09) Agrícola Centro 92</v>
      </c>
      <c r="AH167" s="3" t="str">
        <f>IFERROR(__xludf.DUMMYFUNCTION("""COMPUTED_VALUE"""),"Eje Acoplado 2 1/2"" x 1600 (09/11) Agrícola Centro 150")</f>
        <v>Eje Acoplado 2 1/2" x 1600 (09/11) Agrícola Centro 150</v>
      </c>
      <c r="AI167" s="3" t="str">
        <f>IFERROR(__xludf.DUMMYFUNCTION("""COMPUTED_VALUE"""),"Eje Acoplado 3"" x 1600 (10/13) Agrícola Centro 150")</f>
        <v>Eje Acoplado 3" x 1600 (10/13) Agrícola Centro 150</v>
      </c>
      <c r="AJ167" s="3" t="str">
        <f>IFERROR(__xludf.DUMMYFUNCTION("""COMPUTED_VALUE"""),"Eje Acoplado 2 1/2"" x 2140 (07/09) Agrícola Centro 92")</f>
        <v>Eje Acoplado 2 1/2" x 2140 (07/09) Agrícola Centro 92</v>
      </c>
      <c r="AK167" s="3" t="str">
        <f>IFERROR(__xludf.DUMMYFUNCTION("""COMPUTED_VALUE"""),"Eje Acoplado 2"" x 1400 (06/08) Agrícola Centro 92")</f>
        <v>Eje Acoplado 2" x 1400 (06/08) Agrícola Centro 92</v>
      </c>
      <c r="AL167" s="3" t="str">
        <f>IFERROR(__xludf.DUMMYFUNCTION("""COMPUTED_VALUE"""),"Eje Acoplado 2 1/2"" x 1500 (07/09) Agrícola Centro 92")</f>
        <v>Eje Acoplado 2 1/2" x 1500 (07/09) Agrícola Centro 92</v>
      </c>
      <c r="AM167" s="3" t="str">
        <f>IFERROR(__xludf.DUMMYFUNCTION("""COMPUTED_VALUE"""),"Eje Acoplado 2 1/2"" x 2000 (07/09) Agrícola Centro 92")</f>
        <v>Eje Acoplado 2 1/2" x 2000 (07/09) Agrícola Centro 92</v>
      </c>
      <c r="AN167" s="3" t="str">
        <f>IFERROR(__xludf.DUMMYFUNCTION("""COMPUTED_VALUE"""),"Eje Acoplado 2 1/2"" x 2100 (09/11) Agrícola Centro 150")</f>
        <v>Eje Acoplado 2 1/2" x 2100 (09/11) Agrícola Centro 150</v>
      </c>
      <c r="AO167" s="3" t="str">
        <f>IFERROR(__xludf.DUMMYFUNCTION("""COMPUTED_VALUE"""),"Llanta 16"" Simple Agrícola Centro 92")</f>
        <v>Llanta 16" Simple Agrícola Centro 92</v>
      </c>
      <c r="AP167" s="3" t="str">
        <f>IFERROR(__xludf.DUMMYFUNCTION("""COMPUTED_VALUE"""),"Llanta 16"" Dual Agrícola Centro 92")</f>
        <v>Llanta 16" Dual Agrícola Centro 92</v>
      </c>
      <c r="AQ167" s="3" t="str">
        <f>IFERROR(__xludf.DUMMYFUNCTION("""COMPUTED_VALUE"""),"Llanta 17"" Simple Agrícola Centro 92")</f>
        <v>Llanta 17" Simple Agrícola Centro 92</v>
      </c>
      <c r="AR167" s="3" t="str">
        <f>IFERROR(__xludf.DUMMYFUNCTION("""COMPUTED_VALUE"""),"Llanta 17"" Dual Agrícola Centro 92")</f>
        <v>Llanta 17" Dual Agrícola Centro 92</v>
      </c>
      <c r="AS167" s="3" t="str">
        <f>IFERROR(__xludf.DUMMYFUNCTION("""COMPUTED_VALUE"""),"Llanta 16"" Dual Agrícola Centro 152")</f>
        <v>Llanta 16" Dual Agrícola Centro 152</v>
      </c>
      <c r="AT167" s="3" t="str">
        <f>IFERROR(__xludf.DUMMYFUNCTION("""COMPUTED_VALUE"""),"Llanta 17"" Dual Agrícola Centro 152")</f>
        <v>Llanta 17" Dual Agrícola Centro 152</v>
      </c>
      <c r="AU167" s="3" t="str">
        <f>IFERROR(__xludf.DUMMYFUNCTION("""COMPUTED_VALUE"""),"Eje Acoplado 2"" x 1600 (05/07) Agrícola Centro 92")</f>
        <v>Eje Acoplado 2" x 1600 (05/07) Agrícola Centro 92</v>
      </c>
      <c r="AV167" s="3" t="str">
        <f>IFERROR(__xludf.DUMMYFUNCTION("""COMPUTED_VALUE"""),"Paquete de Elásticos 50 mm x 8 mm x 12 Hojas")</f>
        <v>Paquete de Elásticos 50 mm x 8 mm x 12 Hojas</v>
      </c>
      <c r="AW167" s="3" t="str">
        <f>IFERROR(__xludf.DUMMYFUNCTION("""COMPUTED_VALUE"""),"Llanta simple Agrícola 750x20 centro 152")</f>
        <v>Llanta simple Agrícola 750x20 centro 152</v>
      </c>
      <c r="AX167" s="3" t="str">
        <f>IFERROR(__xludf.DUMMYFUNCTION("""COMPUTED_VALUE"""),"Llanta 15"" Simple Agrícola Centro 92")</f>
        <v>Llanta 15" Simple Agrícola Centro 92</v>
      </c>
    </row>
    <row r="168" hidden="1">
      <c r="A168" s="38">
        <f t="shared" si="1"/>
        <v>167</v>
      </c>
      <c r="B168" s="38">
        <f>IF(F168="","",SUMIF(Prearmados!E:E,F168,Prearmados!A:A))</f>
        <v>42</v>
      </c>
      <c r="C168" s="38">
        <f>IF(F168="","",SUMIF(Productos!E:E,G168,Productos!A:A))</f>
        <v>42</v>
      </c>
      <c r="D168" s="83" t="str">
        <f t="array" ref="D168">IF(OR(F168="",F168="Seleccionar.."),"",XLOOKUP(F168,Prearmados!E:E,Prearmados!F:F,"",0,1))</f>
        <v>Desmalezadoras</v>
      </c>
      <c r="E168" s="83">
        <f>IF(H168="","",SUMIF(Precio_Productos!K:K,C168,Precio_Productos!J:J)*H168)</f>
        <v>315920</v>
      </c>
      <c r="F168" s="84" t="s">
        <v>368</v>
      </c>
      <c r="G168" s="84" t="s">
        <v>96</v>
      </c>
      <c r="H168" s="13">
        <v>1.0</v>
      </c>
      <c r="P168" s="3" t="str">
        <f>IFERROR(__xludf.DUMMYFUNCTION("IF(OR(F168="""",F168=""Seleccionar..""),"""",TRANSPOSE(FILTER(Productos!E:E,(Productos!F:F=D168)+(Productos!F:F=XLOOKUP(D168,Implementos!B:B,Implementos!C:C,""-"",0,1)))))"),"Base Desmalezadora 1,50")</f>
        <v>Base Desmalezadora 1,50</v>
      </c>
      <c r="Q168" s="3" t="str">
        <f>IFERROR(__xludf.DUMMYFUNCTION("""COMPUTED_VALUE"""),"Base Desmalezadora 2,00")</f>
        <v>Base Desmalezadora 2,00</v>
      </c>
      <c r="R168" s="3" t="str">
        <f>IFERROR(__xludf.DUMMYFUNCTION("""COMPUTED_VALUE"""),"Acople 3P Desmalezadora 1,50")</f>
        <v>Acople 3P Desmalezadora 1,50</v>
      </c>
      <c r="S168" s="3" t="str">
        <f>IFERROR(__xludf.DUMMYFUNCTION("""COMPUTED_VALUE"""),"Acople 3P Desmalezadora 2,00")</f>
        <v>Acople 3P Desmalezadora 2,00</v>
      </c>
      <c r="T168" s="3" t="str">
        <f>IFERROR(__xludf.DUMMYFUNCTION("""COMPUTED_VALUE"""),"Tren de Arrastre Desmalezadora 1,50")</f>
        <v>Tren de Arrastre Desmalezadora 1,50</v>
      </c>
      <c r="U168" s="3" t="str">
        <f>IFERROR(__xludf.DUMMYFUNCTION("""COMPUTED_VALUE"""),"Tren de Arrastre Desmalezadora 2,00")</f>
        <v>Tren de Arrastre Desmalezadora 2,00</v>
      </c>
      <c r="V168" s="3" t="str">
        <f>IFERROR(__xludf.DUMMYFUNCTION("""COMPUTED_VALUE"""),"Rueda Trasera de Apoyo y Criquet para Desm 3P")</f>
        <v>Rueda Trasera de Apoyo y Criquet para Desm 3P</v>
      </c>
      <c r="W168" s="3" t="str">
        <f>IFERROR(__xludf.DUMMYFUNCTION("""COMPUTED_VALUE"""),"Cilindro con mangueras para Desm de Arrastre")</f>
        <v>Cilindro con mangueras para Desm de Arrastre</v>
      </c>
      <c r="X168" s="3" t="str">
        <f>IFERROR(__xludf.DUMMYFUNCTION("""COMPUTED_VALUE"""),"Repuesto Cuchilla para Desmalezadora por Unidad")</f>
        <v>Repuesto Cuchilla para Desmalezadora por Unidad</v>
      </c>
      <c r="Y168" s="3" t="str">
        <f>IFERROR(__xludf.DUMMYFUNCTION("""COMPUTED_VALUE"""),"Paquete de Elasticos 50 mm x 8 mm x 10 Hojas L850")</f>
        <v>Paquete de Elasticos 50 mm x 8 mm x 10 Hojas L850</v>
      </c>
      <c r="Z168" s="3" t="str">
        <f>IFERROR(__xludf.DUMMYFUNCTION("""COMPUTED_VALUE"""),"Paquete de Elasticos 63 mm x 8 mm x 10 Hojas L950")</f>
        <v>Paquete de Elasticos 63 mm x 8 mm x 10 Hojas L950</v>
      </c>
      <c r="AA168" s="3" t="str">
        <f>IFERROR(__xludf.DUMMYFUNCTION("""COMPUTED_VALUE"""),"Paquete de Elasticos 50 mm x 7 mm x 9 Hojas L850")</f>
        <v>Paquete de Elasticos 50 mm x 7 mm x 9 Hojas L850</v>
      </c>
      <c r="AB168" s="3" t="str">
        <f>IFERROR(__xludf.DUMMYFUNCTION("""COMPUTED_VALUE"""),"Paquete de Elasticos 63 mm x 8 mm x 8 Hojas L850")</f>
        <v>Paquete de Elasticos 63 mm x 8 mm x 8 Hojas L850</v>
      </c>
      <c r="AC168" s="3" t="str">
        <f>IFERROR(__xludf.DUMMYFUNCTION("""COMPUTED_VALUE"""),"Paquete de Elasticos 63 mm x 10 mm x 10 Hojas L950")</f>
        <v>Paquete de Elasticos 63 mm x 10 mm x 10 Hojas L950</v>
      </c>
      <c r="AD168" s="3" t="str">
        <f>IFERROR(__xludf.DUMMYFUNCTION("""COMPUTED_VALUE"""),"Paquete de Elasticos 63 mm x 10 mm x 13 Hojas L975")</f>
        <v>Paquete de Elasticos 63 mm x 10 mm x 13 Hojas L975</v>
      </c>
      <c r="AE168" s="3" t="str">
        <f>IFERROR(__xludf.DUMMYFUNCTION("""COMPUTED_VALUE"""),"Paquete de Elasticos 50 mm x 7 mm x 9 Hojas L650")</f>
        <v>Paquete de Elasticos 50 mm x 7 mm x 9 Hojas L650</v>
      </c>
      <c r="AF168" s="3" t="str">
        <f>IFERROR(__xludf.DUMMYFUNCTION("""COMPUTED_VALUE"""),"Eje Acoplado 2"" x 1600 (06/08) Agrícola Centro 92")</f>
        <v>Eje Acoplado 2" x 1600 (06/08) Agrícola Centro 92</v>
      </c>
      <c r="AG168" s="3" t="str">
        <f>IFERROR(__xludf.DUMMYFUNCTION("""COMPUTED_VALUE"""),"Eje Acoplado 2 1/2"" x 1600 (07/09) Agrícola Centro 92")</f>
        <v>Eje Acoplado 2 1/2" x 1600 (07/09) Agrícola Centro 92</v>
      </c>
      <c r="AH168" s="3" t="str">
        <f>IFERROR(__xludf.DUMMYFUNCTION("""COMPUTED_VALUE"""),"Eje Acoplado 2 1/2"" x 1600 (09/11) Agrícola Centro 150")</f>
        <v>Eje Acoplado 2 1/2" x 1600 (09/11) Agrícola Centro 150</v>
      </c>
      <c r="AI168" s="3" t="str">
        <f>IFERROR(__xludf.DUMMYFUNCTION("""COMPUTED_VALUE"""),"Eje Acoplado 3"" x 1600 (10/13) Agrícola Centro 150")</f>
        <v>Eje Acoplado 3" x 1600 (10/13) Agrícola Centro 150</v>
      </c>
      <c r="AJ168" s="3" t="str">
        <f>IFERROR(__xludf.DUMMYFUNCTION("""COMPUTED_VALUE"""),"Eje Acoplado 2 1/2"" x 2140 (07/09) Agrícola Centro 92")</f>
        <v>Eje Acoplado 2 1/2" x 2140 (07/09) Agrícola Centro 92</v>
      </c>
      <c r="AK168" s="3" t="str">
        <f>IFERROR(__xludf.DUMMYFUNCTION("""COMPUTED_VALUE"""),"Eje Acoplado 2"" x 1400 (06/08) Agrícola Centro 92")</f>
        <v>Eje Acoplado 2" x 1400 (06/08) Agrícola Centro 92</v>
      </c>
      <c r="AL168" s="3" t="str">
        <f>IFERROR(__xludf.DUMMYFUNCTION("""COMPUTED_VALUE"""),"Eje Acoplado 2 1/2"" x 1500 (07/09) Agrícola Centro 92")</f>
        <v>Eje Acoplado 2 1/2" x 1500 (07/09) Agrícola Centro 92</v>
      </c>
      <c r="AM168" s="3" t="str">
        <f>IFERROR(__xludf.DUMMYFUNCTION("""COMPUTED_VALUE"""),"Eje Acoplado 2 1/2"" x 2000 (07/09) Agrícola Centro 92")</f>
        <v>Eje Acoplado 2 1/2" x 2000 (07/09) Agrícola Centro 92</v>
      </c>
      <c r="AN168" s="3" t="str">
        <f>IFERROR(__xludf.DUMMYFUNCTION("""COMPUTED_VALUE"""),"Eje Acoplado 2 1/2"" x 2100 (09/11) Agrícola Centro 150")</f>
        <v>Eje Acoplado 2 1/2" x 2100 (09/11) Agrícola Centro 150</v>
      </c>
      <c r="AO168" s="3" t="str">
        <f>IFERROR(__xludf.DUMMYFUNCTION("""COMPUTED_VALUE"""),"Llanta 16"" Simple Agrícola Centro 92")</f>
        <v>Llanta 16" Simple Agrícola Centro 92</v>
      </c>
      <c r="AP168" s="3" t="str">
        <f>IFERROR(__xludf.DUMMYFUNCTION("""COMPUTED_VALUE"""),"Llanta 16"" Dual Agrícola Centro 92")</f>
        <v>Llanta 16" Dual Agrícola Centro 92</v>
      </c>
      <c r="AQ168" s="3" t="str">
        <f>IFERROR(__xludf.DUMMYFUNCTION("""COMPUTED_VALUE"""),"Llanta 17"" Simple Agrícola Centro 92")</f>
        <v>Llanta 17" Simple Agrícola Centro 92</v>
      </c>
      <c r="AR168" s="3" t="str">
        <f>IFERROR(__xludf.DUMMYFUNCTION("""COMPUTED_VALUE"""),"Llanta 17"" Dual Agrícola Centro 92")</f>
        <v>Llanta 17" Dual Agrícola Centro 92</v>
      </c>
      <c r="AS168" s="3" t="str">
        <f>IFERROR(__xludf.DUMMYFUNCTION("""COMPUTED_VALUE"""),"Llanta 16"" Dual Agrícola Centro 152")</f>
        <v>Llanta 16" Dual Agrícola Centro 152</v>
      </c>
      <c r="AT168" s="3" t="str">
        <f>IFERROR(__xludf.DUMMYFUNCTION("""COMPUTED_VALUE"""),"Llanta 17"" Dual Agrícola Centro 152")</f>
        <v>Llanta 17" Dual Agrícola Centro 152</v>
      </c>
      <c r="AU168" s="3" t="str">
        <f>IFERROR(__xludf.DUMMYFUNCTION("""COMPUTED_VALUE"""),"Eje Acoplado 2"" x 1600 (05/07) Agrícola Centro 92")</f>
        <v>Eje Acoplado 2" x 1600 (05/07) Agrícola Centro 92</v>
      </c>
      <c r="AV168" s="3" t="str">
        <f>IFERROR(__xludf.DUMMYFUNCTION("""COMPUTED_VALUE"""),"Paquete de Elásticos 50 mm x 8 mm x 12 Hojas")</f>
        <v>Paquete de Elásticos 50 mm x 8 mm x 12 Hojas</v>
      </c>
      <c r="AW168" s="3" t="str">
        <f>IFERROR(__xludf.DUMMYFUNCTION("""COMPUTED_VALUE"""),"Llanta simple Agrícola 750x20 centro 152")</f>
        <v>Llanta simple Agrícola 750x20 centro 152</v>
      </c>
      <c r="AX168" s="3" t="str">
        <f>IFERROR(__xludf.DUMMYFUNCTION("""COMPUTED_VALUE"""),"Llanta 15"" Simple Agrícola Centro 92")</f>
        <v>Llanta 15" Simple Agrícola Centro 92</v>
      </c>
    </row>
    <row r="169" hidden="1">
      <c r="A169" s="38">
        <f t="shared" si="1"/>
        <v>168</v>
      </c>
      <c r="B169" s="38">
        <f>IF(F169="","",SUMIF(Prearmados!E:E,F169,Prearmados!A:A))</f>
        <v>45</v>
      </c>
      <c r="C169" s="38">
        <f>IF(F169="","",SUMIF(Productos!E:E,G169,Productos!A:A))</f>
        <v>0</v>
      </c>
      <c r="D169" s="83" t="str">
        <f t="array" ref="D169">IF(OR(F169="",F169="Seleccionar.."),"",XLOOKUP(F169,Prearmados!E:E,Prearmados!F:F,"",0,1))</f>
        <v>Desmalezadoras</v>
      </c>
      <c r="E169" s="83">
        <f>IF(H169="","",SUMIF(Precio_Productos!K:K,C169,Precio_Productos!J:J)*H169)</f>
        <v>365700</v>
      </c>
      <c r="F169" s="84" t="s">
        <v>371</v>
      </c>
      <c r="G169" s="84" t="s">
        <v>381</v>
      </c>
      <c r="H169" s="13">
        <v>1.0</v>
      </c>
      <c r="P169" s="3" t="str">
        <f>IFERROR(__xludf.DUMMYFUNCTION("IF(OR(F169="""",F169=""Seleccionar..""),"""",TRANSPOSE(FILTER(Productos!E:E,(Productos!F:F=D169)+(Productos!F:F=XLOOKUP(D169,Implementos!B:B,Implementos!C:C,""-"",0,1)))))"),"Base Desmalezadora 1,50")</f>
        <v>Base Desmalezadora 1,50</v>
      </c>
      <c r="Q169" s="3" t="str">
        <f>IFERROR(__xludf.DUMMYFUNCTION("""COMPUTED_VALUE"""),"Base Desmalezadora 2,00")</f>
        <v>Base Desmalezadora 2,00</v>
      </c>
      <c r="R169" s="3" t="str">
        <f>IFERROR(__xludf.DUMMYFUNCTION("""COMPUTED_VALUE"""),"Acople 3P Desmalezadora 1,50")</f>
        <v>Acople 3P Desmalezadora 1,50</v>
      </c>
      <c r="S169" s="3" t="str">
        <f>IFERROR(__xludf.DUMMYFUNCTION("""COMPUTED_VALUE"""),"Acople 3P Desmalezadora 2,00")</f>
        <v>Acople 3P Desmalezadora 2,00</v>
      </c>
      <c r="T169" s="3" t="str">
        <f>IFERROR(__xludf.DUMMYFUNCTION("""COMPUTED_VALUE"""),"Tren de Arrastre Desmalezadora 1,50")</f>
        <v>Tren de Arrastre Desmalezadora 1,50</v>
      </c>
      <c r="U169" s="3" t="str">
        <f>IFERROR(__xludf.DUMMYFUNCTION("""COMPUTED_VALUE"""),"Tren de Arrastre Desmalezadora 2,00")</f>
        <v>Tren de Arrastre Desmalezadora 2,00</v>
      </c>
      <c r="V169" s="3" t="str">
        <f>IFERROR(__xludf.DUMMYFUNCTION("""COMPUTED_VALUE"""),"Rueda Trasera de Apoyo y Criquet para Desm 3P")</f>
        <v>Rueda Trasera de Apoyo y Criquet para Desm 3P</v>
      </c>
      <c r="W169" s="3" t="str">
        <f>IFERROR(__xludf.DUMMYFUNCTION("""COMPUTED_VALUE"""),"Cilindro con mangueras para Desm de Arrastre")</f>
        <v>Cilindro con mangueras para Desm de Arrastre</v>
      </c>
      <c r="X169" s="3" t="str">
        <f>IFERROR(__xludf.DUMMYFUNCTION("""COMPUTED_VALUE"""),"Repuesto Cuchilla para Desmalezadora por Unidad")</f>
        <v>Repuesto Cuchilla para Desmalezadora por Unidad</v>
      </c>
      <c r="Y169" s="3" t="str">
        <f>IFERROR(__xludf.DUMMYFUNCTION("""COMPUTED_VALUE"""),"Paquete de Elasticos 50 mm x 8 mm x 10 Hojas L850")</f>
        <v>Paquete de Elasticos 50 mm x 8 mm x 10 Hojas L850</v>
      </c>
      <c r="Z169" s="3" t="str">
        <f>IFERROR(__xludf.DUMMYFUNCTION("""COMPUTED_VALUE"""),"Paquete de Elasticos 63 mm x 8 mm x 10 Hojas L950")</f>
        <v>Paquete de Elasticos 63 mm x 8 mm x 10 Hojas L950</v>
      </c>
      <c r="AA169" s="3" t="str">
        <f>IFERROR(__xludf.DUMMYFUNCTION("""COMPUTED_VALUE"""),"Paquete de Elasticos 50 mm x 7 mm x 9 Hojas L850")</f>
        <v>Paquete de Elasticos 50 mm x 7 mm x 9 Hojas L850</v>
      </c>
      <c r="AB169" s="3" t="str">
        <f>IFERROR(__xludf.DUMMYFUNCTION("""COMPUTED_VALUE"""),"Paquete de Elasticos 63 mm x 8 mm x 8 Hojas L850")</f>
        <v>Paquete de Elasticos 63 mm x 8 mm x 8 Hojas L850</v>
      </c>
      <c r="AC169" s="3" t="str">
        <f>IFERROR(__xludf.DUMMYFUNCTION("""COMPUTED_VALUE"""),"Paquete de Elasticos 63 mm x 10 mm x 10 Hojas L950")</f>
        <v>Paquete de Elasticos 63 mm x 10 mm x 10 Hojas L950</v>
      </c>
      <c r="AD169" s="3" t="str">
        <f>IFERROR(__xludf.DUMMYFUNCTION("""COMPUTED_VALUE"""),"Paquete de Elasticos 63 mm x 10 mm x 13 Hojas L975")</f>
        <v>Paquete de Elasticos 63 mm x 10 mm x 13 Hojas L975</v>
      </c>
      <c r="AE169" s="3" t="str">
        <f>IFERROR(__xludf.DUMMYFUNCTION("""COMPUTED_VALUE"""),"Paquete de Elasticos 50 mm x 7 mm x 9 Hojas L650")</f>
        <v>Paquete de Elasticos 50 mm x 7 mm x 9 Hojas L650</v>
      </c>
      <c r="AF169" s="3" t="str">
        <f>IFERROR(__xludf.DUMMYFUNCTION("""COMPUTED_VALUE"""),"Eje Acoplado 2"" x 1600 (06/08) Agrícola Centro 92")</f>
        <v>Eje Acoplado 2" x 1600 (06/08) Agrícola Centro 92</v>
      </c>
      <c r="AG169" s="3" t="str">
        <f>IFERROR(__xludf.DUMMYFUNCTION("""COMPUTED_VALUE"""),"Eje Acoplado 2 1/2"" x 1600 (07/09) Agrícola Centro 92")</f>
        <v>Eje Acoplado 2 1/2" x 1600 (07/09) Agrícola Centro 92</v>
      </c>
      <c r="AH169" s="3" t="str">
        <f>IFERROR(__xludf.DUMMYFUNCTION("""COMPUTED_VALUE"""),"Eje Acoplado 2 1/2"" x 1600 (09/11) Agrícola Centro 150")</f>
        <v>Eje Acoplado 2 1/2" x 1600 (09/11) Agrícola Centro 150</v>
      </c>
      <c r="AI169" s="3" t="str">
        <f>IFERROR(__xludf.DUMMYFUNCTION("""COMPUTED_VALUE"""),"Eje Acoplado 3"" x 1600 (10/13) Agrícola Centro 150")</f>
        <v>Eje Acoplado 3" x 1600 (10/13) Agrícola Centro 150</v>
      </c>
      <c r="AJ169" s="3" t="str">
        <f>IFERROR(__xludf.DUMMYFUNCTION("""COMPUTED_VALUE"""),"Eje Acoplado 2 1/2"" x 2140 (07/09) Agrícola Centro 92")</f>
        <v>Eje Acoplado 2 1/2" x 2140 (07/09) Agrícola Centro 92</v>
      </c>
      <c r="AK169" s="3" t="str">
        <f>IFERROR(__xludf.DUMMYFUNCTION("""COMPUTED_VALUE"""),"Eje Acoplado 2"" x 1400 (06/08) Agrícola Centro 92")</f>
        <v>Eje Acoplado 2" x 1400 (06/08) Agrícola Centro 92</v>
      </c>
      <c r="AL169" s="3" t="str">
        <f>IFERROR(__xludf.DUMMYFUNCTION("""COMPUTED_VALUE"""),"Eje Acoplado 2 1/2"" x 1500 (07/09) Agrícola Centro 92")</f>
        <v>Eje Acoplado 2 1/2" x 1500 (07/09) Agrícola Centro 92</v>
      </c>
      <c r="AM169" s="3" t="str">
        <f>IFERROR(__xludf.DUMMYFUNCTION("""COMPUTED_VALUE"""),"Eje Acoplado 2 1/2"" x 2000 (07/09) Agrícola Centro 92")</f>
        <v>Eje Acoplado 2 1/2" x 2000 (07/09) Agrícola Centro 92</v>
      </c>
      <c r="AN169" s="3" t="str">
        <f>IFERROR(__xludf.DUMMYFUNCTION("""COMPUTED_VALUE"""),"Eje Acoplado 2 1/2"" x 2100 (09/11) Agrícola Centro 150")</f>
        <v>Eje Acoplado 2 1/2" x 2100 (09/11) Agrícola Centro 150</v>
      </c>
      <c r="AO169" s="3" t="str">
        <f>IFERROR(__xludf.DUMMYFUNCTION("""COMPUTED_VALUE"""),"Llanta 16"" Simple Agrícola Centro 92")</f>
        <v>Llanta 16" Simple Agrícola Centro 92</v>
      </c>
      <c r="AP169" s="3" t="str">
        <f>IFERROR(__xludf.DUMMYFUNCTION("""COMPUTED_VALUE"""),"Llanta 16"" Dual Agrícola Centro 92")</f>
        <v>Llanta 16" Dual Agrícola Centro 92</v>
      </c>
      <c r="AQ169" s="3" t="str">
        <f>IFERROR(__xludf.DUMMYFUNCTION("""COMPUTED_VALUE"""),"Llanta 17"" Simple Agrícola Centro 92")</f>
        <v>Llanta 17" Simple Agrícola Centro 92</v>
      </c>
      <c r="AR169" s="3" t="str">
        <f>IFERROR(__xludf.DUMMYFUNCTION("""COMPUTED_VALUE"""),"Llanta 17"" Dual Agrícola Centro 92")</f>
        <v>Llanta 17" Dual Agrícola Centro 92</v>
      </c>
      <c r="AS169" s="3" t="str">
        <f>IFERROR(__xludf.DUMMYFUNCTION("""COMPUTED_VALUE"""),"Llanta 16"" Dual Agrícola Centro 152")</f>
        <v>Llanta 16" Dual Agrícola Centro 152</v>
      </c>
      <c r="AT169" s="3" t="str">
        <f>IFERROR(__xludf.DUMMYFUNCTION("""COMPUTED_VALUE"""),"Llanta 17"" Dual Agrícola Centro 152")</f>
        <v>Llanta 17" Dual Agrícola Centro 152</v>
      </c>
      <c r="AU169" s="3" t="str">
        <f>IFERROR(__xludf.DUMMYFUNCTION("""COMPUTED_VALUE"""),"Eje Acoplado 2"" x 1600 (05/07) Agrícola Centro 92")</f>
        <v>Eje Acoplado 2" x 1600 (05/07) Agrícola Centro 92</v>
      </c>
      <c r="AV169" s="3" t="str">
        <f>IFERROR(__xludf.DUMMYFUNCTION("""COMPUTED_VALUE"""),"Paquete de Elásticos 50 mm x 8 mm x 12 Hojas")</f>
        <v>Paquete de Elásticos 50 mm x 8 mm x 12 Hojas</v>
      </c>
      <c r="AW169" s="3" t="str">
        <f>IFERROR(__xludf.DUMMYFUNCTION("""COMPUTED_VALUE"""),"Llanta simple Agrícola 750x20 centro 152")</f>
        <v>Llanta simple Agrícola 750x20 centro 152</v>
      </c>
      <c r="AX169" s="3" t="str">
        <f>IFERROR(__xludf.DUMMYFUNCTION("""COMPUTED_VALUE"""),"Llanta 15"" Simple Agrícola Centro 92")</f>
        <v>Llanta 15" Simple Agrícola Centro 92</v>
      </c>
    </row>
    <row r="170" hidden="1">
      <c r="A170" s="38">
        <f t="shared" si="1"/>
        <v>169</v>
      </c>
      <c r="B170" s="38">
        <f>IF(F170="","",SUMIF(Prearmados!E:E,F170,Prearmados!A:A))</f>
        <v>45</v>
      </c>
      <c r="C170" s="38">
        <f>IF(F170="","",SUMIF(Productos!E:E,G170,Productos!A:A))</f>
        <v>41</v>
      </c>
      <c r="D170" s="83" t="str">
        <f t="array" ref="D170">IF(OR(F170="",F170="Seleccionar.."),"",XLOOKUP(F170,Prearmados!E:E,Prearmados!F:F,"",0,1))</f>
        <v>Desmalezadoras</v>
      </c>
      <c r="E170" s="83">
        <f>IF(H170="","",SUMIF(Precio_Productos!K:K,C170,Precio_Productos!J:J)*H170)</f>
        <v>514763</v>
      </c>
      <c r="F170" s="84" t="s">
        <v>371</v>
      </c>
      <c r="G170" s="84" t="s">
        <v>94</v>
      </c>
      <c r="H170" s="13">
        <v>1.0</v>
      </c>
      <c r="P170" s="3" t="str">
        <f>IFERROR(__xludf.DUMMYFUNCTION("IF(OR(F170="""",F170=""Seleccionar..""),"""",TRANSPOSE(FILTER(Productos!E:E,(Productos!F:F=D170)+(Productos!F:F=XLOOKUP(D170,Implementos!B:B,Implementos!C:C,""-"",0,1)))))"),"Base Desmalezadora 1,50")</f>
        <v>Base Desmalezadora 1,50</v>
      </c>
      <c r="Q170" s="3" t="str">
        <f>IFERROR(__xludf.DUMMYFUNCTION("""COMPUTED_VALUE"""),"Base Desmalezadora 2,00")</f>
        <v>Base Desmalezadora 2,00</v>
      </c>
      <c r="R170" s="3" t="str">
        <f>IFERROR(__xludf.DUMMYFUNCTION("""COMPUTED_VALUE"""),"Acople 3P Desmalezadora 1,50")</f>
        <v>Acople 3P Desmalezadora 1,50</v>
      </c>
      <c r="S170" s="3" t="str">
        <f>IFERROR(__xludf.DUMMYFUNCTION("""COMPUTED_VALUE"""),"Acople 3P Desmalezadora 2,00")</f>
        <v>Acople 3P Desmalezadora 2,00</v>
      </c>
      <c r="T170" s="3" t="str">
        <f>IFERROR(__xludf.DUMMYFUNCTION("""COMPUTED_VALUE"""),"Tren de Arrastre Desmalezadora 1,50")</f>
        <v>Tren de Arrastre Desmalezadora 1,50</v>
      </c>
      <c r="U170" s="3" t="str">
        <f>IFERROR(__xludf.DUMMYFUNCTION("""COMPUTED_VALUE"""),"Tren de Arrastre Desmalezadora 2,00")</f>
        <v>Tren de Arrastre Desmalezadora 2,00</v>
      </c>
      <c r="V170" s="3" t="str">
        <f>IFERROR(__xludf.DUMMYFUNCTION("""COMPUTED_VALUE"""),"Rueda Trasera de Apoyo y Criquet para Desm 3P")</f>
        <v>Rueda Trasera de Apoyo y Criquet para Desm 3P</v>
      </c>
      <c r="W170" s="3" t="str">
        <f>IFERROR(__xludf.DUMMYFUNCTION("""COMPUTED_VALUE"""),"Cilindro con mangueras para Desm de Arrastre")</f>
        <v>Cilindro con mangueras para Desm de Arrastre</v>
      </c>
      <c r="X170" s="3" t="str">
        <f>IFERROR(__xludf.DUMMYFUNCTION("""COMPUTED_VALUE"""),"Repuesto Cuchilla para Desmalezadora por Unidad")</f>
        <v>Repuesto Cuchilla para Desmalezadora por Unidad</v>
      </c>
      <c r="Y170" s="3" t="str">
        <f>IFERROR(__xludf.DUMMYFUNCTION("""COMPUTED_VALUE"""),"Paquete de Elasticos 50 mm x 8 mm x 10 Hojas L850")</f>
        <v>Paquete de Elasticos 50 mm x 8 mm x 10 Hojas L850</v>
      </c>
      <c r="Z170" s="3" t="str">
        <f>IFERROR(__xludf.DUMMYFUNCTION("""COMPUTED_VALUE"""),"Paquete de Elasticos 63 mm x 8 mm x 10 Hojas L950")</f>
        <v>Paquete de Elasticos 63 mm x 8 mm x 10 Hojas L950</v>
      </c>
      <c r="AA170" s="3" t="str">
        <f>IFERROR(__xludf.DUMMYFUNCTION("""COMPUTED_VALUE"""),"Paquete de Elasticos 50 mm x 7 mm x 9 Hojas L850")</f>
        <v>Paquete de Elasticos 50 mm x 7 mm x 9 Hojas L850</v>
      </c>
      <c r="AB170" s="3" t="str">
        <f>IFERROR(__xludf.DUMMYFUNCTION("""COMPUTED_VALUE"""),"Paquete de Elasticos 63 mm x 8 mm x 8 Hojas L850")</f>
        <v>Paquete de Elasticos 63 mm x 8 mm x 8 Hojas L850</v>
      </c>
      <c r="AC170" s="3" t="str">
        <f>IFERROR(__xludf.DUMMYFUNCTION("""COMPUTED_VALUE"""),"Paquete de Elasticos 63 mm x 10 mm x 10 Hojas L950")</f>
        <v>Paquete de Elasticos 63 mm x 10 mm x 10 Hojas L950</v>
      </c>
      <c r="AD170" s="3" t="str">
        <f>IFERROR(__xludf.DUMMYFUNCTION("""COMPUTED_VALUE"""),"Paquete de Elasticos 63 mm x 10 mm x 13 Hojas L975")</f>
        <v>Paquete de Elasticos 63 mm x 10 mm x 13 Hojas L975</v>
      </c>
      <c r="AE170" s="3" t="str">
        <f>IFERROR(__xludf.DUMMYFUNCTION("""COMPUTED_VALUE"""),"Paquete de Elasticos 50 mm x 7 mm x 9 Hojas L650")</f>
        <v>Paquete de Elasticos 50 mm x 7 mm x 9 Hojas L650</v>
      </c>
      <c r="AF170" s="3" t="str">
        <f>IFERROR(__xludf.DUMMYFUNCTION("""COMPUTED_VALUE"""),"Eje Acoplado 2"" x 1600 (06/08) Agrícola Centro 92")</f>
        <v>Eje Acoplado 2" x 1600 (06/08) Agrícola Centro 92</v>
      </c>
      <c r="AG170" s="3" t="str">
        <f>IFERROR(__xludf.DUMMYFUNCTION("""COMPUTED_VALUE"""),"Eje Acoplado 2 1/2"" x 1600 (07/09) Agrícola Centro 92")</f>
        <v>Eje Acoplado 2 1/2" x 1600 (07/09) Agrícola Centro 92</v>
      </c>
      <c r="AH170" s="3" t="str">
        <f>IFERROR(__xludf.DUMMYFUNCTION("""COMPUTED_VALUE"""),"Eje Acoplado 2 1/2"" x 1600 (09/11) Agrícola Centro 150")</f>
        <v>Eje Acoplado 2 1/2" x 1600 (09/11) Agrícola Centro 150</v>
      </c>
      <c r="AI170" s="3" t="str">
        <f>IFERROR(__xludf.DUMMYFUNCTION("""COMPUTED_VALUE"""),"Eje Acoplado 3"" x 1600 (10/13) Agrícola Centro 150")</f>
        <v>Eje Acoplado 3" x 1600 (10/13) Agrícola Centro 150</v>
      </c>
      <c r="AJ170" s="3" t="str">
        <f>IFERROR(__xludf.DUMMYFUNCTION("""COMPUTED_VALUE"""),"Eje Acoplado 2 1/2"" x 2140 (07/09) Agrícola Centro 92")</f>
        <v>Eje Acoplado 2 1/2" x 2140 (07/09) Agrícola Centro 92</v>
      </c>
      <c r="AK170" s="3" t="str">
        <f>IFERROR(__xludf.DUMMYFUNCTION("""COMPUTED_VALUE"""),"Eje Acoplado 2"" x 1400 (06/08) Agrícola Centro 92")</f>
        <v>Eje Acoplado 2" x 1400 (06/08) Agrícola Centro 92</v>
      </c>
      <c r="AL170" s="3" t="str">
        <f>IFERROR(__xludf.DUMMYFUNCTION("""COMPUTED_VALUE"""),"Eje Acoplado 2 1/2"" x 1500 (07/09) Agrícola Centro 92")</f>
        <v>Eje Acoplado 2 1/2" x 1500 (07/09) Agrícola Centro 92</v>
      </c>
      <c r="AM170" s="3" t="str">
        <f>IFERROR(__xludf.DUMMYFUNCTION("""COMPUTED_VALUE"""),"Eje Acoplado 2 1/2"" x 2000 (07/09) Agrícola Centro 92")</f>
        <v>Eje Acoplado 2 1/2" x 2000 (07/09) Agrícola Centro 92</v>
      </c>
      <c r="AN170" s="3" t="str">
        <f>IFERROR(__xludf.DUMMYFUNCTION("""COMPUTED_VALUE"""),"Eje Acoplado 2 1/2"" x 2100 (09/11) Agrícola Centro 150")</f>
        <v>Eje Acoplado 2 1/2" x 2100 (09/11) Agrícola Centro 150</v>
      </c>
      <c r="AO170" s="3" t="str">
        <f>IFERROR(__xludf.DUMMYFUNCTION("""COMPUTED_VALUE"""),"Llanta 16"" Simple Agrícola Centro 92")</f>
        <v>Llanta 16" Simple Agrícola Centro 92</v>
      </c>
      <c r="AP170" s="3" t="str">
        <f>IFERROR(__xludf.DUMMYFUNCTION("""COMPUTED_VALUE"""),"Llanta 16"" Dual Agrícola Centro 92")</f>
        <v>Llanta 16" Dual Agrícola Centro 92</v>
      </c>
      <c r="AQ170" s="3" t="str">
        <f>IFERROR(__xludf.DUMMYFUNCTION("""COMPUTED_VALUE"""),"Llanta 17"" Simple Agrícola Centro 92")</f>
        <v>Llanta 17" Simple Agrícola Centro 92</v>
      </c>
      <c r="AR170" s="3" t="str">
        <f>IFERROR(__xludf.DUMMYFUNCTION("""COMPUTED_VALUE"""),"Llanta 17"" Dual Agrícola Centro 92")</f>
        <v>Llanta 17" Dual Agrícola Centro 92</v>
      </c>
      <c r="AS170" s="3" t="str">
        <f>IFERROR(__xludf.DUMMYFUNCTION("""COMPUTED_VALUE"""),"Llanta 16"" Dual Agrícola Centro 152")</f>
        <v>Llanta 16" Dual Agrícola Centro 152</v>
      </c>
      <c r="AT170" s="3" t="str">
        <f>IFERROR(__xludf.DUMMYFUNCTION("""COMPUTED_VALUE"""),"Llanta 17"" Dual Agrícola Centro 152")</f>
        <v>Llanta 17" Dual Agrícola Centro 152</v>
      </c>
      <c r="AU170" s="3" t="str">
        <f>IFERROR(__xludf.DUMMYFUNCTION("""COMPUTED_VALUE"""),"Eje Acoplado 2"" x 1600 (05/07) Agrícola Centro 92")</f>
        <v>Eje Acoplado 2" x 1600 (05/07) Agrícola Centro 92</v>
      </c>
      <c r="AV170" s="3" t="str">
        <f>IFERROR(__xludf.DUMMYFUNCTION("""COMPUTED_VALUE"""),"Paquete de Elásticos 50 mm x 8 mm x 12 Hojas")</f>
        <v>Paquete de Elásticos 50 mm x 8 mm x 12 Hojas</v>
      </c>
      <c r="AW170" s="3" t="str">
        <f>IFERROR(__xludf.DUMMYFUNCTION("""COMPUTED_VALUE"""),"Llanta simple Agrícola 750x20 centro 152")</f>
        <v>Llanta simple Agrícola 750x20 centro 152</v>
      </c>
      <c r="AX170" s="3" t="str">
        <f>IFERROR(__xludf.DUMMYFUNCTION("""COMPUTED_VALUE"""),"Llanta 15"" Simple Agrícola Centro 92")</f>
        <v>Llanta 15" Simple Agrícola Centro 92</v>
      </c>
    </row>
    <row r="171" hidden="1">
      <c r="A171" s="38">
        <f t="shared" si="1"/>
        <v>170</v>
      </c>
      <c r="B171" s="38">
        <f>IF(F171="","",SUMIF(Prearmados!E:E,F171,Prearmados!A:A))</f>
        <v>45</v>
      </c>
      <c r="C171" s="38">
        <f>IF(F171="","",SUMIF(Productos!E:E,G171,Productos!A:A))</f>
        <v>110</v>
      </c>
      <c r="D171" s="83" t="str">
        <f t="array" ref="D171">IF(OR(F171="",F171="Seleccionar.."),"",XLOOKUP(F171,Prearmados!E:E,Prearmados!F:F,"",0,1))</f>
        <v>Desmalezadoras</v>
      </c>
      <c r="E171" s="83">
        <f>IF(H171="","",SUMIF(Precio_Productos!K:K,C171,Precio_Productos!J:J)*H171)</f>
        <v>238400</v>
      </c>
      <c r="F171" s="84" t="s">
        <v>371</v>
      </c>
      <c r="G171" s="84" t="s">
        <v>129</v>
      </c>
      <c r="H171" s="13">
        <v>2.0</v>
      </c>
      <c r="P171" s="3" t="str">
        <f>IFERROR(__xludf.DUMMYFUNCTION("IF(OR(F171="""",F171=""Seleccionar..""),"""",TRANSPOSE(FILTER(Productos!E:E,(Productos!F:F=D171)+(Productos!F:F=XLOOKUP(D171,Implementos!B:B,Implementos!C:C,""-"",0,1)))))"),"Base Desmalezadora 1,50")</f>
        <v>Base Desmalezadora 1,50</v>
      </c>
      <c r="Q171" s="3" t="str">
        <f>IFERROR(__xludf.DUMMYFUNCTION("""COMPUTED_VALUE"""),"Base Desmalezadora 2,00")</f>
        <v>Base Desmalezadora 2,00</v>
      </c>
      <c r="R171" s="3" t="str">
        <f>IFERROR(__xludf.DUMMYFUNCTION("""COMPUTED_VALUE"""),"Acople 3P Desmalezadora 1,50")</f>
        <v>Acople 3P Desmalezadora 1,50</v>
      </c>
      <c r="S171" s="3" t="str">
        <f>IFERROR(__xludf.DUMMYFUNCTION("""COMPUTED_VALUE"""),"Acople 3P Desmalezadora 2,00")</f>
        <v>Acople 3P Desmalezadora 2,00</v>
      </c>
      <c r="T171" s="3" t="str">
        <f>IFERROR(__xludf.DUMMYFUNCTION("""COMPUTED_VALUE"""),"Tren de Arrastre Desmalezadora 1,50")</f>
        <v>Tren de Arrastre Desmalezadora 1,50</v>
      </c>
      <c r="U171" s="3" t="str">
        <f>IFERROR(__xludf.DUMMYFUNCTION("""COMPUTED_VALUE"""),"Tren de Arrastre Desmalezadora 2,00")</f>
        <v>Tren de Arrastre Desmalezadora 2,00</v>
      </c>
      <c r="V171" s="3" t="str">
        <f>IFERROR(__xludf.DUMMYFUNCTION("""COMPUTED_VALUE"""),"Rueda Trasera de Apoyo y Criquet para Desm 3P")</f>
        <v>Rueda Trasera de Apoyo y Criquet para Desm 3P</v>
      </c>
      <c r="W171" s="3" t="str">
        <f>IFERROR(__xludf.DUMMYFUNCTION("""COMPUTED_VALUE"""),"Cilindro con mangueras para Desm de Arrastre")</f>
        <v>Cilindro con mangueras para Desm de Arrastre</v>
      </c>
      <c r="X171" s="3" t="str">
        <f>IFERROR(__xludf.DUMMYFUNCTION("""COMPUTED_VALUE"""),"Repuesto Cuchilla para Desmalezadora por Unidad")</f>
        <v>Repuesto Cuchilla para Desmalezadora por Unidad</v>
      </c>
      <c r="Y171" s="3" t="str">
        <f>IFERROR(__xludf.DUMMYFUNCTION("""COMPUTED_VALUE"""),"Paquete de Elasticos 50 mm x 8 mm x 10 Hojas L850")</f>
        <v>Paquete de Elasticos 50 mm x 8 mm x 10 Hojas L850</v>
      </c>
      <c r="Z171" s="3" t="str">
        <f>IFERROR(__xludf.DUMMYFUNCTION("""COMPUTED_VALUE"""),"Paquete de Elasticos 63 mm x 8 mm x 10 Hojas L950")</f>
        <v>Paquete de Elasticos 63 mm x 8 mm x 10 Hojas L950</v>
      </c>
      <c r="AA171" s="3" t="str">
        <f>IFERROR(__xludf.DUMMYFUNCTION("""COMPUTED_VALUE"""),"Paquete de Elasticos 50 mm x 7 mm x 9 Hojas L850")</f>
        <v>Paquete de Elasticos 50 mm x 7 mm x 9 Hojas L850</v>
      </c>
      <c r="AB171" s="3" t="str">
        <f>IFERROR(__xludf.DUMMYFUNCTION("""COMPUTED_VALUE"""),"Paquete de Elasticos 63 mm x 8 mm x 8 Hojas L850")</f>
        <v>Paquete de Elasticos 63 mm x 8 mm x 8 Hojas L850</v>
      </c>
      <c r="AC171" s="3" t="str">
        <f>IFERROR(__xludf.DUMMYFUNCTION("""COMPUTED_VALUE"""),"Paquete de Elasticos 63 mm x 10 mm x 10 Hojas L950")</f>
        <v>Paquete de Elasticos 63 mm x 10 mm x 10 Hojas L950</v>
      </c>
      <c r="AD171" s="3" t="str">
        <f>IFERROR(__xludf.DUMMYFUNCTION("""COMPUTED_VALUE"""),"Paquete de Elasticos 63 mm x 10 mm x 13 Hojas L975")</f>
        <v>Paquete de Elasticos 63 mm x 10 mm x 13 Hojas L975</v>
      </c>
      <c r="AE171" s="3" t="str">
        <f>IFERROR(__xludf.DUMMYFUNCTION("""COMPUTED_VALUE"""),"Paquete de Elasticos 50 mm x 7 mm x 9 Hojas L650")</f>
        <v>Paquete de Elasticos 50 mm x 7 mm x 9 Hojas L650</v>
      </c>
      <c r="AF171" s="3" t="str">
        <f>IFERROR(__xludf.DUMMYFUNCTION("""COMPUTED_VALUE"""),"Eje Acoplado 2"" x 1600 (06/08) Agrícola Centro 92")</f>
        <v>Eje Acoplado 2" x 1600 (06/08) Agrícola Centro 92</v>
      </c>
      <c r="AG171" s="3" t="str">
        <f>IFERROR(__xludf.DUMMYFUNCTION("""COMPUTED_VALUE"""),"Eje Acoplado 2 1/2"" x 1600 (07/09) Agrícola Centro 92")</f>
        <v>Eje Acoplado 2 1/2" x 1600 (07/09) Agrícola Centro 92</v>
      </c>
      <c r="AH171" s="3" t="str">
        <f>IFERROR(__xludf.DUMMYFUNCTION("""COMPUTED_VALUE"""),"Eje Acoplado 2 1/2"" x 1600 (09/11) Agrícola Centro 150")</f>
        <v>Eje Acoplado 2 1/2" x 1600 (09/11) Agrícola Centro 150</v>
      </c>
      <c r="AI171" s="3" t="str">
        <f>IFERROR(__xludf.DUMMYFUNCTION("""COMPUTED_VALUE"""),"Eje Acoplado 3"" x 1600 (10/13) Agrícola Centro 150")</f>
        <v>Eje Acoplado 3" x 1600 (10/13) Agrícola Centro 150</v>
      </c>
      <c r="AJ171" s="3" t="str">
        <f>IFERROR(__xludf.DUMMYFUNCTION("""COMPUTED_VALUE"""),"Eje Acoplado 2 1/2"" x 2140 (07/09) Agrícola Centro 92")</f>
        <v>Eje Acoplado 2 1/2" x 2140 (07/09) Agrícola Centro 92</v>
      </c>
      <c r="AK171" s="3" t="str">
        <f>IFERROR(__xludf.DUMMYFUNCTION("""COMPUTED_VALUE"""),"Eje Acoplado 2"" x 1400 (06/08) Agrícola Centro 92")</f>
        <v>Eje Acoplado 2" x 1400 (06/08) Agrícola Centro 92</v>
      </c>
      <c r="AL171" s="3" t="str">
        <f>IFERROR(__xludf.DUMMYFUNCTION("""COMPUTED_VALUE"""),"Eje Acoplado 2 1/2"" x 1500 (07/09) Agrícola Centro 92")</f>
        <v>Eje Acoplado 2 1/2" x 1500 (07/09) Agrícola Centro 92</v>
      </c>
      <c r="AM171" s="3" t="str">
        <f>IFERROR(__xludf.DUMMYFUNCTION("""COMPUTED_VALUE"""),"Eje Acoplado 2 1/2"" x 2000 (07/09) Agrícola Centro 92")</f>
        <v>Eje Acoplado 2 1/2" x 2000 (07/09) Agrícola Centro 92</v>
      </c>
      <c r="AN171" s="3" t="str">
        <f>IFERROR(__xludf.DUMMYFUNCTION("""COMPUTED_VALUE"""),"Eje Acoplado 2 1/2"" x 2100 (09/11) Agrícola Centro 150")</f>
        <v>Eje Acoplado 2 1/2" x 2100 (09/11) Agrícola Centro 150</v>
      </c>
      <c r="AO171" s="3" t="str">
        <f>IFERROR(__xludf.DUMMYFUNCTION("""COMPUTED_VALUE"""),"Llanta 16"" Simple Agrícola Centro 92")</f>
        <v>Llanta 16" Simple Agrícola Centro 92</v>
      </c>
      <c r="AP171" s="3" t="str">
        <f>IFERROR(__xludf.DUMMYFUNCTION("""COMPUTED_VALUE"""),"Llanta 16"" Dual Agrícola Centro 92")</f>
        <v>Llanta 16" Dual Agrícola Centro 92</v>
      </c>
      <c r="AQ171" s="3" t="str">
        <f>IFERROR(__xludf.DUMMYFUNCTION("""COMPUTED_VALUE"""),"Llanta 17"" Simple Agrícola Centro 92")</f>
        <v>Llanta 17" Simple Agrícola Centro 92</v>
      </c>
      <c r="AR171" s="3" t="str">
        <f>IFERROR(__xludf.DUMMYFUNCTION("""COMPUTED_VALUE"""),"Llanta 17"" Dual Agrícola Centro 92")</f>
        <v>Llanta 17" Dual Agrícola Centro 92</v>
      </c>
      <c r="AS171" s="3" t="str">
        <f>IFERROR(__xludf.DUMMYFUNCTION("""COMPUTED_VALUE"""),"Llanta 16"" Dual Agrícola Centro 152")</f>
        <v>Llanta 16" Dual Agrícola Centro 152</v>
      </c>
      <c r="AT171" s="3" t="str">
        <f>IFERROR(__xludf.DUMMYFUNCTION("""COMPUTED_VALUE"""),"Llanta 17"" Dual Agrícola Centro 152")</f>
        <v>Llanta 17" Dual Agrícola Centro 152</v>
      </c>
      <c r="AU171" s="3" t="str">
        <f>IFERROR(__xludf.DUMMYFUNCTION("""COMPUTED_VALUE"""),"Eje Acoplado 2"" x 1600 (05/07) Agrícola Centro 92")</f>
        <v>Eje Acoplado 2" x 1600 (05/07) Agrícola Centro 92</v>
      </c>
      <c r="AV171" s="3" t="str">
        <f>IFERROR(__xludf.DUMMYFUNCTION("""COMPUTED_VALUE"""),"Paquete de Elásticos 50 mm x 8 mm x 12 Hojas")</f>
        <v>Paquete de Elásticos 50 mm x 8 mm x 12 Hojas</v>
      </c>
      <c r="AW171" s="3" t="str">
        <f>IFERROR(__xludf.DUMMYFUNCTION("""COMPUTED_VALUE"""),"Llanta simple Agrícola 750x20 centro 152")</f>
        <v>Llanta simple Agrícola 750x20 centro 152</v>
      </c>
      <c r="AX171" s="3" t="str">
        <f>IFERROR(__xludf.DUMMYFUNCTION("""COMPUTED_VALUE"""),"Llanta 15"" Simple Agrícola Centro 92")</f>
        <v>Llanta 15" Simple Agrícola Centro 92</v>
      </c>
    </row>
    <row r="172" hidden="1">
      <c r="A172" s="38">
        <f t="shared" si="1"/>
        <v>171</v>
      </c>
      <c r="B172" s="38">
        <f>IF(F172="","",SUMIF(Prearmados!E:E,F172,Prearmados!A:A))</f>
        <v>45</v>
      </c>
      <c r="C172" s="38">
        <f>IF(F172="","",SUMIF(Productos!E:E,G172,Productos!A:A))</f>
        <v>43</v>
      </c>
      <c r="D172" s="83" t="str">
        <f t="array" ref="D172">IF(OR(F172="",F172="Seleccionar.."),"",XLOOKUP(F172,Prearmados!E:E,Prearmados!F:F,"",0,1))</f>
        <v>Desmalezadoras</v>
      </c>
      <c r="E172" s="83">
        <f>IF(H172="","",SUMIF(Precio_Productos!K:K,C172,Precio_Productos!J:J)*H172)</f>
        <v>457084</v>
      </c>
      <c r="F172" s="84" t="s">
        <v>371</v>
      </c>
      <c r="G172" s="84" t="s">
        <v>95</v>
      </c>
      <c r="H172" s="13">
        <v>1.0</v>
      </c>
      <c r="P172" s="3" t="str">
        <f>IFERROR(__xludf.DUMMYFUNCTION("IF(OR(F172="""",F172=""Seleccionar..""),"""",TRANSPOSE(FILTER(Productos!E:E,(Productos!F:F=D172)+(Productos!F:F=XLOOKUP(D172,Implementos!B:B,Implementos!C:C,""-"",0,1)))))"),"Base Desmalezadora 1,50")</f>
        <v>Base Desmalezadora 1,50</v>
      </c>
      <c r="Q172" s="3" t="str">
        <f>IFERROR(__xludf.DUMMYFUNCTION("""COMPUTED_VALUE"""),"Base Desmalezadora 2,00")</f>
        <v>Base Desmalezadora 2,00</v>
      </c>
      <c r="R172" s="3" t="str">
        <f>IFERROR(__xludf.DUMMYFUNCTION("""COMPUTED_VALUE"""),"Acople 3P Desmalezadora 1,50")</f>
        <v>Acople 3P Desmalezadora 1,50</v>
      </c>
      <c r="S172" s="3" t="str">
        <f>IFERROR(__xludf.DUMMYFUNCTION("""COMPUTED_VALUE"""),"Acople 3P Desmalezadora 2,00")</f>
        <v>Acople 3P Desmalezadora 2,00</v>
      </c>
      <c r="T172" s="3" t="str">
        <f>IFERROR(__xludf.DUMMYFUNCTION("""COMPUTED_VALUE"""),"Tren de Arrastre Desmalezadora 1,50")</f>
        <v>Tren de Arrastre Desmalezadora 1,50</v>
      </c>
      <c r="U172" s="3" t="str">
        <f>IFERROR(__xludf.DUMMYFUNCTION("""COMPUTED_VALUE"""),"Tren de Arrastre Desmalezadora 2,00")</f>
        <v>Tren de Arrastre Desmalezadora 2,00</v>
      </c>
      <c r="V172" s="3" t="str">
        <f>IFERROR(__xludf.DUMMYFUNCTION("""COMPUTED_VALUE"""),"Rueda Trasera de Apoyo y Criquet para Desm 3P")</f>
        <v>Rueda Trasera de Apoyo y Criquet para Desm 3P</v>
      </c>
      <c r="W172" s="3" t="str">
        <f>IFERROR(__xludf.DUMMYFUNCTION("""COMPUTED_VALUE"""),"Cilindro con mangueras para Desm de Arrastre")</f>
        <v>Cilindro con mangueras para Desm de Arrastre</v>
      </c>
      <c r="X172" s="3" t="str">
        <f>IFERROR(__xludf.DUMMYFUNCTION("""COMPUTED_VALUE"""),"Repuesto Cuchilla para Desmalezadora por Unidad")</f>
        <v>Repuesto Cuchilla para Desmalezadora por Unidad</v>
      </c>
      <c r="Y172" s="3" t="str">
        <f>IFERROR(__xludf.DUMMYFUNCTION("""COMPUTED_VALUE"""),"Paquete de Elasticos 50 mm x 8 mm x 10 Hojas L850")</f>
        <v>Paquete de Elasticos 50 mm x 8 mm x 10 Hojas L850</v>
      </c>
      <c r="Z172" s="3" t="str">
        <f>IFERROR(__xludf.DUMMYFUNCTION("""COMPUTED_VALUE"""),"Paquete de Elasticos 63 mm x 8 mm x 10 Hojas L950")</f>
        <v>Paquete de Elasticos 63 mm x 8 mm x 10 Hojas L950</v>
      </c>
      <c r="AA172" s="3" t="str">
        <f>IFERROR(__xludf.DUMMYFUNCTION("""COMPUTED_VALUE"""),"Paquete de Elasticos 50 mm x 7 mm x 9 Hojas L850")</f>
        <v>Paquete de Elasticos 50 mm x 7 mm x 9 Hojas L850</v>
      </c>
      <c r="AB172" s="3" t="str">
        <f>IFERROR(__xludf.DUMMYFUNCTION("""COMPUTED_VALUE"""),"Paquete de Elasticos 63 mm x 8 mm x 8 Hojas L850")</f>
        <v>Paquete de Elasticos 63 mm x 8 mm x 8 Hojas L850</v>
      </c>
      <c r="AC172" s="3" t="str">
        <f>IFERROR(__xludf.DUMMYFUNCTION("""COMPUTED_VALUE"""),"Paquete de Elasticos 63 mm x 10 mm x 10 Hojas L950")</f>
        <v>Paquete de Elasticos 63 mm x 10 mm x 10 Hojas L950</v>
      </c>
      <c r="AD172" s="3" t="str">
        <f>IFERROR(__xludf.DUMMYFUNCTION("""COMPUTED_VALUE"""),"Paquete de Elasticos 63 mm x 10 mm x 13 Hojas L975")</f>
        <v>Paquete de Elasticos 63 mm x 10 mm x 13 Hojas L975</v>
      </c>
      <c r="AE172" s="3" t="str">
        <f>IFERROR(__xludf.DUMMYFUNCTION("""COMPUTED_VALUE"""),"Paquete de Elasticos 50 mm x 7 mm x 9 Hojas L650")</f>
        <v>Paquete de Elasticos 50 mm x 7 mm x 9 Hojas L650</v>
      </c>
      <c r="AF172" s="3" t="str">
        <f>IFERROR(__xludf.DUMMYFUNCTION("""COMPUTED_VALUE"""),"Eje Acoplado 2"" x 1600 (06/08) Agrícola Centro 92")</f>
        <v>Eje Acoplado 2" x 1600 (06/08) Agrícola Centro 92</v>
      </c>
      <c r="AG172" s="3" t="str">
        <f>IFERROR(__xludf.DUMMYFUNCTION("""COMPUTED_VALUE"""),"Eje Acoplado 2 1/2"" x 1600 (07/09) Agrícola Centro 92")</f>
        <v>Eje Acoplado 2 1/2" x 1600 (07/09) Agrícola Centro 92</v>
      </c>
      <c r="AH172" s="3" t="str">
        <f>IFERROR(__xludf.DUMMYFUNCTION("""COMPUTED_VALUE"""),"Eje Acoplado 2 1/2"" x 1600 (09/11) Agrícola Centro 150")</f>
        <v>Eje Acoplado 2 1/2" x 1600 (09/11) Agrícola Centro 150</v>
      </c>
      <c r="AI172" s="3" t="str">
        <f>IFERROR(__xludf.DUMMYFUNCTION("""COMPUTED_VALUE"""),"Eje Acoplado 3"" x 1600 (10/13) Agrícola Centro 150")</f>
        <v>Eje Acoplado 3" x 1600 (10/13) Agrícola Centro 150</v>
      </c>
      <c r="AJ172" s="3" t="str">
        <f>IFERROR(__xludf.DUMMYFUNCTION("""COMPUTED_VALUE"""),"Eje Acoplado 2 1/2"" x 2140 (07/09) Agrícola Centro 92")</f>
        <v>Eje Acoplado 2 1/2" x 2140 (07/09) Agrícola Centro 92</v>
      </c>
      <c r="AK172" s="3" t="str">
        <f>IFERROR(__xludf.DUMMYFUNCTION("""COMPUTED_VALUE"""),"Eje Acoplado 2"" x 1400 (06/08) Agrícola Centro 92")</f>
        <v>Eje Acoplado 2" x 1400 (06/08) Agrícola Centro 92</v>
      </c>
      <c r="AL172" s="3" t="str">
        <f>IFERROR(__xludf.DUMMYFUNCTION("""COMPUTED_VALUE"""),"Eje Acoplado 2 1/2"" x 1500 (07/09) Agrícola Centro 92")</f>
        <v>Eje Acoplado 2 1/2" x 1500 (07/09) Agrícola Centro 92</v>
      </c>
      <c r="AM172" s="3" t="str">
        <f>IFERROR(__xludf.DUMMYFUNCTION("""COMPUTED_VALUE"""),"Eje Acoplado 2 1/2"" x 2000 (07/09) Agrícola Centro 92")</f>
        <v>Eje Acoplado 2 1/2" x 2000 (07/09) Agrícola Centro 92</v>
      </c>
      <c r="AN172" s="3" t="str">
        <f>IFERROR(__xludf.DUMMYFUNCTION("""COMPUTED_VALUE"""),"Eje Acoplado 2 1/2"" x 2100 (09/11) Agrícola Centro 150")</f>
        <v>Eje Acoplado 2 1/2" x 2100 (09/11) Agrícola Centro 150</v>
      </c>
      <c r="AO172" s="3" t="str">
        <f>IFERROR(__xludf.DUMMYFUNCTION("""COMPUTED_VALUE"""),"Llanta 16"" Simple Agrícola Centro 92")</f>
        <v>Llanta 16" Simple Agrícola Centro 92</v>
      </c>
      <c r="AP172" s="3" t="str">
        <f>IFERROR(__xludf.DUMMYFUNCTION("""COMPUTED_VALUE"""),"Llanta 16"" Dual Agrícola Centro 92")</f>
        <v>Llanta 16" Dual Agrícola Centro 92</v>
      </c>
      <c r="AQ172" s="3" t="str">
        <f>IFERROR(__xludf.DUMMYFUNCTION("""COMPUTED_VALUE"""),"Llanta 17"" Simple Agrícola Centro 92")</f>
        <v>Llanta 17" Simple Agrícola Centro 92</v>
      </c>
      <c r="AR172" s="3" t="str">
        <f>IFERROR(__xludf.DUMMYFUNCTION("""COMPUTED_VALUE"""),"Llanta 17"" Dual Agrícola Centro 92")</f>
        <v>Llanta 17" Dual Agrícola Centro 92</v>
      </c>
      <c r="AS172" s="3" t="str">
        <f>IFERROR(__xludf.DUMMYFUNCTION("""COMPUTED_VALUE"""),"Llanta 16"" Dual Agrícola Centro 152")</f>
        <v>Llanta 16" Dual Agrícola Centro 152</v>
      </c>
      <c r="AT172" s="3" t="str">
        <f>IFERROR(__xludf.DUMMYFUNCTION("""COMPUTED_VALUE"""),"Llanta 17"" Dual Agrícola Centro 152")</f>
        <v>Llanta 17" Dual Agrícola Centro 152</v>
      </c>
      <c r="AU172" s="3" t="str">
        <f>IFERROR(__xludf.DUMMYFUNCTION("""COMPUTED_VALUE"""),"Eje Acoplado 2"" x 1600 (05/07) Agrícola Centro 92")</f>
        <v>Eje Acoplado 2" x 1600 (05/07) Agrícola Centro 92</v>
      </c>
      <c r="AV172" s="3" t="str">
        <f>IFERROR(__xludf.DUMMYFUNCTION("""COMPUTED_VALUE"""),"Paquete de Elásticos 50 mm x 8 mm x 12 Hojas")</f>
        <v>Paquete de Elásticos 50 mm x 8 mm x 12 Hojas</v>
      </c>
      <c r="AW172" s="3" t="str">
        <f>IFERROR(__xludf.DUMMYFUNCTION("""COMPUTED_VALUE"""),"Llanta simple Agrícola 750x20 centro 152")</f>
        <v>Llanta simple Agrícola 750x20 centro 152</v>
      </c>
      <c r="AX172" s="3" t="str">
        <f>IFERROR(__xludf.DUMMYFUNCTION("""COMPUTED_VALUE"""),"Llanta 15"" Simple Agrícola Centro 92")</f>
        <v>Llanta 15" Simple Agrícola Centro 92</v>
      </c>
    </row>
    <row r="173" hidden="1">
      <c r="A173" s="38">
        <f t="shared" si="1"/>
        <v>172</v>
      </c>
      <c r="B173" s="38">
        <f>IF(F173="","",SUMIF(Prearmados!E:E,F173,Prearmados!A:A))</f>
        <v>41</v>
      </c>
      <c r="C173" s="38">
        <f>IF(F173="","",SUMIF(Productos!E:E,G173,Productos!A:A))</f>
        <v>0</v>
      </c>
      <c r="D173" s="83" t="str">
        <f t="array" ref="D173">IF(OR(F173="",F173="Seleccionar.."),"",XLOOKUP(F173,Prearmados!E:E,Prearmados!F:F,"",0,1))</f>
        <v>Desmalezadoras</v>
      </c>
      <c r="E173" s="83">
        <f>IF(H173="","",SUMIF(Precio_Productos!K:K,C173,Precio_Productos!J:J)*H173)</f>
        <v>365700</v>
      </c>
      <c r="F173" s="84" t="s">
        <v>367</v>
      </c>
      <c r="G173" s="84" t="s">
        <v>381</v>
      </c>
      <c r="H173" s="13">
        <v>1.0</v>
      </c>
      <c r="P173" s="3" t="str">
        <f>IFERROR(__xludf.DUMMYFUNCTION("IF(OR(F173="""",F173=""Seleccionar..""),"""",TRANSPOSE(FILTER(Productos!E:E,(Productos!F:F=D173)+(Productos!F:F=XLOOKUP(D173,Implementos!B:B,Implementos!C:C,""-"",0,1)))))"),"Base Desmalezadora 1,50")</f>
        <v>Base Desmalezadora 1,50</v>
      </c>
      <c r="Q173" s="3" t="str">
        <f>IFERROR(__xludf.DUMMYFUNCTION("""COMPUTED_VALUE"""),"Base Desmalezadora 2,00")</f>
        <v>Base Desmalezadora 2,00</v>
      </c>
      <c r="R173" s="3" t="str">
        <f>IFERROR(__xludf.DUMMYFUNCTION("""COMPUTED_VALUE"""),"Acople 3P Desmalezadora 1,50")</f>
        <v>Acople 3P Desmalezadora 1,50</v>
      </c>
      <c r="S173" s="3" t="str">
        <f>IFERROR(__xludf.DUMMYFUNCTION("""COMPUTED_VALUE"""),"Acople 3P Desmalezadora 2,00")</f>
        <v>Acople 3P Desmalezadora 2,00</v>
      </c>
      <c r="T173" s="3" t="str">
        <f>IFERROR(__xludf.DUMMYFUNCTION("""COMPUTED_VALUE"""),"Tren de Arrastre Desmalezadora 1,50")</f>
        <v>Tren de Arrastre Desmalezadora 1,50</v>
      </c>
      <c r="U173" s="3" t="str">
        <f>IFERROR(__xludf.DUMMYFUNCTION("""COMPUTED_VALUE"""),"Tren de Arrastre Desmalezadora 2,00")</f>
        <v>Tren de Arrastre Desmalezadora 2,00</v>
      </c>
      <c r="V173" s="3" t="str">
        <f>IFERROR(__xludf.DUMMYFUNCTION("""COMPUTED_VALUE"""),"Rueda Trasera de Apoyo y Criquet para Desm 3P")</f>
        <v>Rueda Trasera de Apoyo y Criquet para Desm 3P</v>
      </c>
      <c r="W173" s="3" t="str">
        <f>IFERROR(__xludf.DUMMYFUNCTION("""COMPUTED_VALUE"""),"Cilindro con mangueras para Desm de Arrastre")</f>
        <v>Cilindro con mangueras para Desm de Arrastre</v>
      </c>
      <c r="X173" s="3" t="str">
        <f>IFERROR(__xludf.DUMMYFUNCTION("""COMPUTED_VALUE"""),"Repuesto Cuchilla para Desmalezadora por Unidad")</f>
        <v>Repuesto Cuchilla para Desmalezadora por Unidad</v>
      </c>
      <c r="Y173" s="3" t="str">
        <f>IFERROR(__xludf.DUMMYFUNCTION("""COMPUTED_VALUE"""),"Paquete de Elasticos 50 mm x 8 mm x 10 Hojas L850")</f>
        <v>Paquete de Elasticos 50 mm x 8 mm x 10 Hojas L850</v>
      </c>
      <c r="Z173" s="3" t="str">
        <f>IFERROR(__xludf.DUMMYFUNCTION("""COMPUTED_VALUE"""),"Paquete de Elasticos 63 mm x 8 mm x 10 Hojas L950")</f>
        <v>Paquete de Elasticos 63 mm x 8 mm x 10 Hojas L950</v>
      </c>
      <c r="AA173" s="3" t="str">
        <f>IFERROR(__xludf.DUMMYFUNCTION("""COMPUTED_VALUE"""),"Paquete de Elasticos 50 mm x 7 mm x 9 Hojas L850")</f>
        <v>Paquete de Elasticos 50 mm x 7 mm x 9 Hojas L850</v>
      </c>
      <c r="AB173" s="3" t="str">
        <f>IFERROR(__xludf.DUMMYFUNCTION("""COMPUTED_VALUE"""),"Paquete de Elasticos 63 mm x 8 mm x 8 Hojas L850")</f>
        <v>Paquete de Elasticos 63 mm x 8 mm x 8 Hojas L850</v>
      </c>
      <c r="AC173" s="3" t="str">
        <f>IFERROR(__xludf.DUMMYFUNCTION("""COMPUTED_VALUE"""),"Paquete de Elasticos 63 mm x 10 mm x 10 Hojas L950")</f>
        <v>Paquete de Elasticos 63 mm x 10 mm x 10 Hojas L950</v>
      </c>
      <c r="AD173" s="3" t="str">
        <f>IFERROR(__xludf.DUMMYFUNCTION("""COMPUTED_VALUE"""),"Paquete de Elasticos 63 mm x 10 mm x 13 Hojas L975")</f>
        <v>Paquete de Elasticos 63 mm x 10 mm x 13 Hojas L975</v>
      </c>
      <c r="AE173" s="3" t="str">
        <f>IFERROR(__xludf.DUMMYFUNCTION("""COMPUTED_VALUE"""),"Paquete de Elasticos 50 mm x 7 mm x 9 Hojas L650")</f>
        <v>Paquete de Elasticos 50 mm x 7 mm x 9 Hojas L650</v>
      </c>
      <c r="AF173" s="3" t="str">
        <f>IFERROR(__xludf.DUMMYFUNCTION("""COMPUTED_VALUE"""),"Eje Acoplado 2"" x 1600 (06/08) Agrícola Centro 92")</f>
        <v>Eje Acoplado 2" x 1600 (06/08) Agrícola Centro 92</v>
      </c>
      <c r="AG173" s="3" t="str">
        <f>IFERROR(__xludf.DUMMYFUNCTION("""COMPUTED_VALUE"""),"Eje Acoplado 2 1/2"" x 1600 (07/09) Agrícola Centro 92")</f>
        <v>Eje Acoplado 2 1/2" x 1600 (07/09) Agrícola Centro 92</v>
      </c>
      <c r="AH173" s="3" t="str">
        <f>IFERROR(__xludf.DUMMYFUNCTION("""COMPUTED_VALUE"""),"Eje Acoplado 2 1/2"" x 1600 (09/11) Agrícola Centro 150")</f>
        <v>Eje Acoplado 2 1/2" x 1600 (09/11) Agrícola Centro 150</v>
      </c>
      <c r="AI173" s="3" t="str">
        <f>IFERROR(__xludf.DUMMYFUNCTION("""COMPUTED_VALUE"""),"Eje Acoplado 3"" x 1600 (10/13) Agrícola Centro 150")</f>
        <v>Eje Acoplado 3" x 1600 (10/13) Agrícola Centro 150</v>
      </c>
      <c r="AJ173" s="3" t="str">
        <f>IFERROR(__xludf.DUMMYFUNCTION("""COMPUTED_VALUE"""),"Eje Acoplado 2 1/2"" x 2140 (07/09) Agrícola Centro 92")</f>
        <v>Eje Acoplado 2 1/2" x 2140 (07/09) Agrícola Centro 92</v>
      </c>
      <c r="AK173" s="3" t="str">
        <f>IFERROR(__xludf.DUMMYFUNCTION("""COMPUTED_VALUE"""),"Eje Acoplado 2"" x 1400 (06/08) Agrícola Centro 92")</f>
        <v>Eje Acoplado 2" x 1400 (06/08) Agrícola Centro 92</v>
      </c>
      <c r="AL173" s="3" t="str">
        <f>IFERROR(__xludf.DUMMYFUNCTION("""COMPUTED_VALUE"""),"Eje Acoplado 2 1/2"" x 1500 (07/09) Agrícola Centro 92")</f>
        <v>Eje Acoplado 2 1/2" x 1500 (07/09) Agrícola Centro 92</v>
      </c>
      <c r="AM173" s="3" t="str">
        <f>IFERROR(__xludf.DUMMYFUNCTION("""COMPUTED_VALUE"""),"Eje Acoplado 2 1/2"" x 2000 (07/09) Agrícola Centro 92")</f>
        <v>Eje Acoplado 2 1/2" x 2000 (07/09) Agrícola Centro 92</v>
      </c>
      <c r="AN173" s="3" t="str">
        <f>IFERROR(__xludf.DUMMYFUNCTION("""COMPUTED_VALUE"""),"Eje Acoplado 2 1/2"" x 2100 (09/11) Agrícola Centro 150")</f>
        <v>Eje Acoplado 2 1/2" x 2100 (09/11) Agrícola Centro 150</v>
      </c>
      <c r="AO173" s="3" t="str">
        <f>IFERROR(__xludf.DUMMYFUNCTION("""COMPUTED_VALUE"""),"Llanta 16"" Simple Agrícola Centro 92")</f>
        <v>Llanta 16" Simple Agrícola Centro 92</v>
      </c>
      <c r="AP173" s="3" t="str">
        <f>IFERROR(__xludf.DUMMYFUNCTION("""COMPUTED_VALUE"""),"Llanta 16"" Dual Agrícola Centro 92")</f>
        <v>Llanta 16" Dual Agrícola Centro 92</v>
      </c>
      <c r="AQ173" s="3" t="str">
        <f>IFERROR(__xludf.DUMMYFUNCTION("""COMPUTED_VALUE"""),"Llanta 17"" Simple Agrícola Centro 92")</f>
        <v>Llanta 17" Simple Agrícola Centro 92</v>
      </c>
      <c r="AR173" s="3" t="str">
        <f>IFERROR(__xludf.DUMMYFUNCTION("""COMPUTED_VALUE"""),"Llanta 17"" Dual Agrícola Centro 92")</f>
        <v>Llanta 17" Dual Agrícola Centro 92</v>
      </c>
      <c r="AS173" s="3" t="str">
        <f>IFERROR(__xludf.DUMMYFUNCTION("""COMPUTED_VALUE"""),"Llanta 16"" Dual Agrícola Centro 152")</f>
        <v>Llanta 16" Dual Agrícola Centro 152</v>
      </c>
      <c r="AT173" s="3" t="str">
        <f>IFERROR(__xludf.DUMMYFUNCTION("""COMPUTED_VALUE"""),"Llanta 17"" Dual Agrícola Centro 152")</f>
        <v>Llanta 17" Dual Agrícola Centro 152</v>
      </c>
      <c r="AU173" s="3" t="str">
        <f>IFERROR(__xludf.DUMMYFUNCTION("""COMPUTED_VALUE"""),"Eje Acoplado 2"" x 1600 (05/07) Agrícola Centro 92")</f>
        <v>Eje Acoplado 2" x 1600 (05/07) Agrícola Centro 92</v>
      </c>
      <c r="AV173" s="3" t="str">
        <f>IFERROR(__xludf.DUMMYFUNCTION("""COMPUTED_VALUE"""),"Paquete de Elásticos 50 mm x 8 mm x 12 Hojas")</f>
        <v>Paquete de Elásticos 50 mm x 8 mm x 12 Hojas</v>
      </c>
      <c r="AW173" s="3" t="str">
        <f>IFERROR(__xludf.DUMMYFUNCTION("""COMPUTED_VALUE"""),"Llanta simple Agrícola 750x20 centro 152")</f>
        <v>Llanta simple Agrícola 750x20 centro 152</v>
      </c>
      <c r="AX173" s="3" t="str">
        <f>IFERROR(__xludf.DUMMYFUNCTION("""COMPUTED_VALUE"""),"Llanta 15"" Simple Agrícola Centro 92")</f>
        <v>Llanta 15" Simple Agrícola Centro 92</v>
      </c>
    </row>
    <row r="174" hidden="1">
      <c r="A174" s="38">
        <f t="shared" si="1"/>
        <v>173</v>
      </c>
      <c r="B174" s="38">
        <f>IF(F174="","",SUMIF(Prearmados!E:E,F174,Prearmados!A:A))</f>
        <v>41</v>
      </c>
      <c r="C174" s="38">
        <f>IF(F174="","",SUMIF(Productos!E:E,G174,Productos!A:A))</f>
        <v>39</v>
      </c>
      <c r="D174" s="83" t="str">
        <f t="array" ref="D174">IF(OR(F174="",F174="Seleccionar.."),"",XLOOKUP(F174,Prearmados!E:E,Prearmados!F:F,"",0,1))</f>
        <v>Desmalezadoras</v>
      </c>
      <c r="E174" s="83">
        <f>IF(H174="","",SUMIF(Precio_Productos!K:K,C174,Precio_Productos!J:J)*H174)</f>
        <v>210000</v>
      </c>
      <c r="F174" s="84" t="s">
        <v>367</v>
      </c>
      <c r="G174" s="84" t="s">
        <v>92</v>
      </c>
      <c r="H174" s="13">
        <v>1.0</v>
      </c>
      <c r="P174" s="3" t="str">
        <f>IFERROR(__xludf.DUMMYFUNCTION("IF(OR(F174="""",F174=""Seleccionar..""),"""",TRANSPOSE(FILTER(Productos!E:E,(Productos!F:F=D174)+(Productos!F:F=XLOOKUP(D174,Implementos!B:B,Implementos!C:C,""-"",0,1)))))"),"Base Desmalezadora 1,50")</f>
        <v>Base Desmalezadora 1,50</v>
      </c>
      <c r="Q174" s="3" t="str">
        <f>IFERROR(__xludf.DUMMYFUNCTION("""COMPUTED_VALUE"""),"Base Desmalezadora 2,00")</f>
        <v>Base Desmalezadora 2,00</v>
      </c>
      <c r="R174" s="3" t="str">
        <f>IFERROR(__xludf.DUMMYFUNCTION("""COMPUTED_VALUE"""),"Acople 3P Desmalezadora 1,50")</f>
        <v>Acople 3P Desmalezadora 1,50</v>
      </c>
      <c r="S174" s="3" t="str">
        <f>IFERROR(__xludf.DUMMYFUNCTION("""COMPUTED_VALUE"""),"Acople 3P Desmalezadora 2,00")</f>
        <v>Acople 3P Desmalezadora 2,00</v>
      </c>
      <c r="T174" s="3" t="str">
        <f>IFERROR(__xludf.DUMMYFUNCTION("""COMPUTED_VALUE"""),"Tren de Arrastre Desmalezadora 1,50")</f>
        <v>Tren de Arrastre Desmalezadora 1,50</v>
      </c>
      <c r="U174" s="3" t="str">
        <f>IFERROR(__xludf.DUMMYFUNCTION("""COMPUTED_VALUE"""),"Tren de Arrastre Desmalezadora 2,00")</f>
        <v>Tren de Arrastre Desmalezadora 2,00</v>
      </c>
      <c r="V174" s="3" t="str">
        <f>IFERROR(__xludf.DUMMYFUNCTION("""COMPUTED_VALUE"""),"Rueda Trasera de Apoyo y Criquet para Desm 3P")</f>
        <v>Rueda Trasera de Apoyo y Criquet para Desm 3P</v>
      </c>
      <c r="W174" s="3" t="str">
        <f>IFERROR(__xludf.DUMMYFUNCTION("""COMPUTED_VALUE"""),"Cilindro con mangueras para Desm de Arrastre")</f>
        <v>Cilindro con mangueras para Desm de Arrastre</v>
      </c>
      <c r="X174" s="3" t="str">
        <f>IFERROR(__xludf.DUMMYFUNCTION("""COMPUTED_VALUE"""),"Repuesto Cuchilla para Desmalezadora por Unidad")</f>
        <v>Repuesto Cuchilla para Desmalezadora por Unidad</v>
      </c>
      <c r="Y174" s="3" t="str">
        <f>IFERROR(__xludf.DUMMYFUNCTION("""COMPUTED_VALUE"""),"Paquete de Elasticos 50 mm x 8 mm x 10 Hojas L850")</f>
        <v>Paquete de Elasticos 50 mm x 8 mm x 10 Hojas L850</v>
      </c>
      <c r="Z174" s="3" t="str">
        <f>IFERROR(__xludf.DUMMYFUNCTION("""COMPUTED_VALUE"""),"Paquete de Elasticos 63 mm x 8 mm x 10 Hojas L950")</f>
        <v>Paquete de Elasticos 63 mm x 8 mm x 10 Hojas L950</v>
      </c>
      <c r="AA174" s="3" t="str">
        <f>IFERROR(__xludf.DUMMYFUNCTION("""COMPUTED_VALUE"""),"Paquete de Elasticos 50 mm x 7 mm x 9 Hojas L850")</f>
        <v>Paquete de Elasticos 50 mm x 7 mm x 9 Hojas L850</v>
      </c>
      <c r="AB174" s="3" t="str">
        <f>IFERROR(__xludf.DUMMYFUNCTION("""COMPUTED_VALUE"""),"Paquete de Elasticos 63 mm x 8 mm x 8 Hojas L850")</f>
        <v>Paquete de Elasticos 63 mm x 8 mm x 8 Hojas L850</v>
      </c>
      <c r="AC174" s="3" t="str">
        <f>IFERROR(__xludf.DUMMYFUNCTION("""COMPUTED_VALUE"""),"Paquete de Elasticos 63 mm x 10 mm x 10 Hojas L950")</f>
        <v>Paquete de Elasticos 63 mm x 10 mm x 10 Hojas L950</v>
      </c>
      <c r="AD174" s="3" t="str">
        <f>IFERROR(__xludf.DUMMYFUNCTION("""COMPUTED_VALUE"""),"Paquete de Elasticos 63 mm x 10 mm x 13 Hojas L975")</f>
        <v>Paquete de Elasticos 63 mm x 10 mm x 13 Hojas L975</v>
      </c>
      <c r="AE174" s="3" t="str">
        <f>IFERROR(__xludf.DUMMYFUNCTION("""COMPUTED_VALUE"""),"Paquete de Elasticos 50 mm x 7 mm x 9 Hojas L650")</f>
        <v>Paquete de Elasticos 50 mm x 7 mm x 9 Hojas L650</v>
      </c>
      <c r="AF174" s="3" t="str">
        <f>IFERROR(__xludf.DUMMYFUNCTION("""COMPUTED_VALUE"""),"Eje Acoplado 2"" x 1600 (06/08) Agrícola Centro 92")</f>
        <v>Eje Acoplado 2" x 1600 (06/08) Agrícola Centro 92</v>
      </c>
      <c r="AG174" s="3" t="str">
        <f>IFERROR(__xludf.DUMMYFUNCTION("""COMPUTED_VALUE"""),"Eje Acoplado 2 1/2"" x 1600 (07/09) Agrícola Centro 92")</f>
        <v>Eje Acoplado 2 1/2" x 1600 (07/09) Agrícola Centro 92</v>
      </c>
      <c r="AH174" s="3" t="str">
        <f>IFERROR(__xludf.DUMMYFUNCTION("""COMPUTED_VALUE"""),"Eje Acoplado 2 1/2"" x 1600 (09/11) Agrícola Centro 150")</f>
        <v>Eje Acoplado 2 1/2" x 1600 (09/11) Agrícola Centro 150</v>
      </c>
      <c r="AI174" s="3" t="str">
        <f>IFERROR(__xludf.DUMMYFUNCTION("""COMPUTED_VALUE"""),"Eje Acoplado 3"" x 1600 (10/13) Agrícola Centro 150")</f>
        <v>Eje Acoplado 3" x 1600 (10/13) Agrícola Centro 150</v>
      </c>
      <c r="AJ174" s="3" t="str">
        <f>IFERROR(__xludf.DUMMYFUNCTION("""COMPUTED_VALUE"""),"Eje Acoplado 2 1/2"" x 2140 (07/09) Agrícola Centro 92")</f>
        <v>Eje Acoplado 2 1/2" x 2140 (07/09) Agrícola Centro 92</v>
      </c>
      <c r="AK174" s="3" t="str">
        <f>IFERROR(__xludf.DUMMYFUNCTION("""COMPUTED_VALUE"""),"Eje Acoplado 2"" x 1400 (06/08) Agrícola Centro 92")</f>
        <v>Eje Acoplado 2" x 1400 (06/08) Agrícola Centro 92</v>
      </c>
      <c r="AL174" s="3" t="str">
        <f>IFERROR(__xludf.DUMMYFUNCTION("""COMPUTED_VALUE"""),"Eje Acoplado 2 1/2"" x 1500 (07/09) Agrícola Centro 92")</f>
        <v>Eje Acoplado 2 1/2" x 1500 (07/09) Agrícola Centro 92</v>
      </c>
      <c r="AM174" s="3" t="str">
        <f>IFERROR(__xludf.DUMMYFUNCTION("""COMPUTED_VALUE"""),"Eje Acoplado 2 1/2"" x 2000 (07/09) Agrícola Centro 92")</f>
        <v>Eje Acoplado 2 1/2" x 2000 (07/09) Agrícola Centro 92</v>
      </c>
      <c r="AN174" s="3" t="str">
        <f>IFERROR(__xludf.DUMMYFUNCTION("""COMPUTED_VALUE"""),"Eje Acoplado 2 1/2"" x 2100 (09/11) Agrícola Centro 150")</f>
        <v>Eje Acoplado 2 1/2" x 2100 (09/11) Agrícola Centro 150</v>
      </c>
      <c r="AO174" s="3" t="str">
        <f>IFERROR(__xludf.DUMMYFUNCTION("""COMPUTED_VALUE"""),"Llanta 16"" Simple Agrícola Centro 92")</f>
        <v>Llanta 16" Simple Agrícola Centro 92</v>
      </c>
      <c r="AP174" s="3" t="str">
        <f>IFERROR(__xludf.DUMMYFUNCTION("""COMPUTED_VALUE"""),"Llanta 16"" Dual Agrícola Centro 92")</f>
        <v>Llanta 16" Dual Agrícola Centro 92</v>
      </c>
      <c r="AQ174" s="3" t="str">
        <f>IFERROR(__xludf.DUMMYFUNCTION("""COMPUTED_VALUE"""),"Llanta 17"" Simple Agrícola Centro 92")</f>
        <v>Llanta 17" Simple Agrícola Centro 92</v>
      </c>
      <c r="AR174" s="3" t="str">
        <f>IFERROR(__xludf.DUMMYFUNCTION("""COMPUTED_VALUE"""),"Llanta 17"" Dual Agrícola Centro 92")</f>
        <v>Llanta 17" Dual Agrícola Centro 92</v>
      </c>
      <c r="AS174" s="3" t="str">
        <f>IFERROR(__xludf.DUMMYFUNCTION("""COMPUTED_VALUE"""),"Llanta 16"" Dual Agrícola Centro 152")</f>
        <v>Llanta 16" Dual Agrícola Centro 152</v>
      </c>
      <c r="AT174" s="3" t="str">
        <f>IFERROR(__xludf.DUMMYFUNCTION("""COMPUTED_VALUE"""),"Llanta 17"" Dual Agrícola Centro 152")</f>
        <v>Llanta 17" Dual Agrícola Centro 152</v>
      </c>
      <c r="AU174" s="3" t="str">
        <f>IFERROR(__xludf.DUMMYFUNCTION("""COMPUTED_VALUE"""),"Eje Acoplado 2"" x 1600 (05/07) Agrícola Centro 92")</f>
        <v>Eje Acoplado 2" x 1600 (05/07) Agrícola Centro 92</v>
      </c>
      <c r="AV174" s="3" t="str">
        <f>IFERROR(__xludf.DUMMYFUNCTION("""COMPUTED_VALUE"""),"Paquete de Elásticos 50 mm x 8 mm x 12 Hojas")</f>
        <v>Paquete de Elásticos 50 mm x 8 mm x 12 Hojas</v>
      </c>
      <c r="AW174" s="3" t="str">
        <f>IFERROR(__xludf.DUMMYFUNCTION("""COMPUTED_VALUE"""),"Llanta simple Agrícola 750x20 centro 152")</f>
        <v>Llanta simple Agrícola 750x20 centro 152</v>
      </c>
      <c r="AX174" s="3" t="str">
        <f>IFERROR(__xludf.DUMMYFUNCTION("""COMPUTED_VALUE"""),"Llanta 15"" Simple Agrícola Centro 92")</f>
        <v>Llanta 15" Simple Agrícola Centro 92</v>
      </c>
    </row>
    <row r="175" hidden="1">
      <c r="A175" s="38">
        <f t="shared" si="1"/>
        <v>174</v>
      </c>
      <c r="B175" s="38">
        <f>IF(F175="","",SUMIF(Prearmados!E:E,F175,Prearmados!A:A))</f>
        <v>43</v>
      </c>
      <c r="C175" s="38">
        <f>IF(F175="","",SUMIF(Productos!E:E,G175,Productos!A:A))</f>
        <v>0</v>
      </c>
      <c r="D175" s="83" t="str">
        <f t="array" ref="D175">IF(OR(F175="",F175="Seleccionar.."),"",XLOOKUP(F175,Prearmados!E:E,Prearmados!F:F,"",0,1))</f>
        <v>Desmalezadoras</v>
      </c>
      <c r="E175" s="83">
        <f>IF(H175="","",SUMIF(Precio_Productos!K:K,C175,Precio_Productos!J:J)*H175)</f>
        <v>365700</v>
      </c>
      <c r="F175" s="84" t="s">
        <v>369</v>
      </c>
      <c r="G175" s="84" t="s">
        <v>381</v>
      </c>
      <c r="H175" s="13">
        <v>1.0</v>
      </c>
      <c r="P175" s="3" t="str">
        <f>IFERROR(__xludf.DUMMYFUNCTION("IF(OR(F175="""",F175=""Seleccionar..""),"""",TRANSPOSE(FILTER(Productos!E:E,(Productos!F:F=D175)+(Productos!F:F=XLOOKUP(D175,Implementos!B:B,Implementos!C:C,""-"",0,1)))))"),"Base Desmalezadora 1,50")</f>
        <v>Base Desmalezadora 1,50</v>
      </c>
      <c r="Q175" s="3" t="str">
        <f>IFERROR(__xludf.DUMMYFUNCTION("""COMPUTED_VALUE"""),"Base Desmalezadora 2,00")</f>
        <v>Base Desmalezadora 2,00</v>
      </c>
      <c r="R175" s="3" t="str">
        <f>IFERROR(__xludf.DUMMYFUNCTION("""COMPUTED_VALUE"""),"Acople 3P Desmalezadora 1,50")</f>
        <v>Acople 3P Desmalezadora 1,50</v>
      </c>
      <c r="S175" s="3" t="str">
        <f>IFERROR(__xludf.DUMMYFUNCTION("""COMPUTED_VALUE"""),"Acople 3P Desmalezadora 2,00")</f>
        <v>Acople 3P Desmalezadora 2,00</v>
      </c>
      <c r="T175" s="3" t="str">
        <f>IFERROR(__xludf.DUMMYFUNCTION("""COMPUTED_VALUE"""),"Tren de Arrastre Desmalezadora 1,50")</f>
        <v>Tren de Arrastre Desmalezadora 1,50</v>
      </c>
      <c r="U175" s="3" t="str">
        <f>IFERROR(__xludf.DUMMYFUNCTION("""COMPUTED_VALUE"""),"Tren de Arrastre Desmalezadora 2,00")</f>
        <v>Tren de Arrastre Desmalezadora 2,00</v>
      </c>
      <c r="V175" s="3" t="str">
        <f>IFERROR(__xludf.DUMMYFUNCTION("""COMPUTED_VALUE"""),"Rueda Trasera de Apoyo y Criquet para Desm 3P")</f>
        <v>Rueda Trasera de Apoyo y Criquet para Desm 3P</v>
      </c>
      <c r="W175" s="3" t="str">
        <f>IFERROR(__xludf.DUMMYFUNCTION("""COMPUTED_VALUE"""),"Cilindro con mangueras para Desm de Arrastre")</f>
        <v>Cilindro con mangueras para Desm de Arrastre</v>
      </c>
      <c r="X175" s="3" t="str">
        <f>IFERROR(__xludf.DUMMYFUNCTION("""COMPUTED_VALUE"""),"Repuesto Cuchilla para Desmalezadora por Unidad")</f>
        <v>Repuesto Cuchilla para Desmalezadora por Unidad</v>
      </c>
      <c r="Y175" s="3" t="str">
        <f>IFERROR(__xludf.DUMMYFUNCTION("""COMPUTED_VALUE"""),"Paquete de Elasticos 50 mm x 8 mm x 10 Hojas L850")</f>
        <v>Paquete de Elasticos 50 mm x 8 mm x 10 Hojas L850</v>
      </c>
      <c r="Z175" s="3" t="str">
        <f>IFERROR(__xludf.DUMMYFUNCTION("""COMPUTED_VALUE"""),"Paquete de Elasticos 63 mm x 8 mm x 10 Hojas L950")</f>
        <v>Paquete de Elasticos 63 mm x 8 mm x 10 Hojas L950</v>
      </c>
      <c r="AA175" s="3" t="str">
        <f>IFERROR(__xludf.DUMMYFUNCTION("""COMPUTED_VALUE"""),"Paquete de Elasticos 50 mm x 7 mm x 9 Hojas L850")</f>
        <v>Paquete de Elasticos 50 mm x 7 mm x 9 Hojas L850</v>
      </c>
      <c r="AB175" s="3" t="str">
        <f>IFERROR(__xludf.DUMMYFUNCTION("""COMPUTED_VALUE"""),"Paquete de Elasticos 63 mm x 8 mm x 8 Hojas L850")</f>
        <v>Paquete de Elasticos 63 mm x 8 mm x 8 Hojas L850</v>
      </c>
      <c r="AC175" s="3" t="str">
        <f>IFERROR(__xludf.DUMMYFUNCTION("""COMPUTED_VALUE"""),"Paquete de Elasticos 63 mm x 10 mm x 10 Hojas L950")</f>
        <v>Paquete de Elasticos 63 mm x 10 mm x 10 Hojas L950</v>
      </c>
      <c r="AD175" s="3" t="str">
        <f>IFERROR(__xludf.DUMMYFUNCTION("""COMPUTED_VALUE"""),"Paquete de Elasticos 63 mm x 10 mm x 13 Hojas L975")</f>
        <v>Paquete de Elasticos 63 mm x 10 mm x 13 Hojas L975</v>
      </c>
      <c r="AE175" s="3" t="str">
        <f>IFERROR(__xludf.DUMMYFUNCTION("""COMPUTED_VALUE"""),"Paquete de Elasticos 50 mm x 7 mm x 9 Hojas L650")</f>
        <v>Paquete de Elasticos 50 mm x 7 mm x 9 Hojas L650</v>
      </c>
      <c r="AF175" s="3" t="str">
        <f>IFERROR(__xludf.DUMMYFUNCTION("""COMPUTED_VALUE"""),"Eje Acoplado 2"" x 1600 (06/08) Agrícola Centro 92")</f>
        <v>Eje Acoplado 2" x 1600 (06/08) Agrícola Centro 92</v>
      </c>
      <c r="AG175" s="3" t="str">
        <f>IFERROR(__xludf.DUMMYFUNCTION("""COMPUTED_VALUE"""),"Eje Acoplado 2 1/2"" x 1600 (07/09) Agrícola Centro 92")</f>
        <v>Eje Acoplado 2 1/2" x 1600 (07/09) Agrícola Centro 92</v>
      </c>
      <c r="AH175" s="3" t="str">
        <f>IFERROR(__xludf.DUMMYFUNCTION("""COMPUTED_VALUE"""),"Eje Acoplado 2 1/2"" x 1600 (09/11) Agrícola Centro 150")</f>
        <v>Eje Acoplado 2 1/2" x 1600 (09/11) Agrícola Centro 150</v>
      </c>
      <c r="AI175" s="3" t="str">
        <f>IFERROR(__xludf.DUMMYFUNCTION("""COMPUTED_VALUE"""),"Eje Acoplado 3"" x 1600 (10/13) Agrícola Centro 150")</f>
        <v>Eje Acoplado 3" x 1600 (10/13) Agrícola Centro 150</v>
      </c>
      <c r="AJ175" s="3" t="str">
        <f>IFERROR(__xludf.DUMMYFUNCTION("""COMPUTED_VALUE"""),"Eje Acoplado 2 1/2"" x 2140 (07/09) Agrícola Centro 92")</f>
        <v>Eje Acoplado 2 1/2" x 2140 (07/09) Agrícola Centro 92</v>
      </c>
      <c r="AK175" s="3" t="str">
        <f>IFERROR(__xludf.DUMMYFUNCTION("""COMPUTED_VALUE"""),"Eje Acoplado 2"" x 1400 (06/08) Agrícola Centro 92")</f>
        <v>Eje Acoplado 2" x 1400 (06/08) Agrícola Centro 92</v>
      </c>
      <c r="AL175" s="3" t="str">
        <f>IFERROR(__xludf.DUMMYFUNCTION("""COMPUTED_VALUE"""),"Eje Acoplado 2 1/2"" x 1500 (07/09) Agrícola Centro 92")</f>
        <v>Eje Acoplado 2 1/2" x 1500 (07/09) Agrícola Centro 92</v>
      </c>
      <c r="AM175" s="3" t="str">
        <f>IFERROR(__xludf.DUMMYFUNCTION("""COMPUTED_VALUE"""),"Eje Acoplado 2 1/2"" x 2000 (07/09) Agrícola Centro 92")</f>
        <v>Eje Acoplado 2 1/2" x 2000 (07/09) Agrícola Centro 92</v>
      </c>
      <c r="AN175" s="3" t="str">
        <f>IFERROR(__xludf.DUMMYFUNCTION("""COMPUTED_VALUE"""),"Eje Acoplado 2 1/2"" x 2100 (09/11) Agrícola Centro 150")</f>
        <v>Eje Acoplado 2 1/2" x 2100 (09/11) Agrícola Centro 150</v>
      </c>
      <c r="AO175" s="3" t="str">
        <f>IFERROR(__xludf.DUMMYFUNCTION("""COMPUTED_VALUE"""),"Llanta 16"" Simple Agrícola Centro 92")</f>
        <v>Llanta 16" Simple Agrícola Centro 92</v>
      </c>
      <c r="AP175" s="3" t="str">
        <f>IFERROR(__xludf.DUMMYFUNCTION("""COMPUTED_VALUE"""),"Llanta 16"" Dual Agrícola Centro 92")</f>
        <v>Llanta 16" Dual Agrícola Centro 92</v>
      </c>
      <c r="AQ175" s="3" t="str">
        <f>IFERROR(__xludf.DUMMYFUNCTION("""COMPUTED_VALUE"""),"Llanta 17"" Simple Agrícola Centro 92")</f>
        <v>Llanta 17" Simple Agrícola Centro 92</v>
      </c>
      <c r="AR175" s="3" t="str">
        <f>IFERROR(__xludf.DUMMYFUNCTION("""COMPUTED_VALUE"""),"Llanta 17"" Dual Agrícola Centro 92")</f>
        <v>Llanta 17" Dual Agrícola Centro 92</v>
      </c>
      <c r="AS175" s="3" t="str">
        <f>IFERROR(__xludf.DUMMYFUNCTION("""COMPUTED_VALUE"""),"Llanta 16"" Dual Agrícola Centro 152")</f>
        <v>Llanta 16" Dual Agrícola Centro 152</v>
      </c>
      <c r="AT175" s="3" t="str">
        <f>IFERROR(__xludf.DUMMYFUNCTION("""COMPUTED_VALUE"""),"Llanta 17"" Dual Agrícola Centro 152")</f>
        <v>Llanta 17" Dual Agrícola Centro 152</v>
      </c>
      <c r="AU175" s="3" t="str">
        <f>IFERROR(__xludf.DUMMYFUNCTION("""COMPUTED_VALUE"""),"Eje Acoplado 2"" x 1600 (05/07) Agrícola Centro 92")</f>
        <v>Eje Acoplado 2" x 1600 (05/07) Agrícola Centro 92</v>
      </c>
      <c r="AV175" s="3" t="str">
        <f>IFERROR(__xludf.DUMMYFUNCTION("""COMPUTED_VALUE"""),"Paquete de Elásticos 50 mm x 8 mm x 12 Hojas")</f>
        <v>Paquete de Elásticos 50 mm x 8 mm x 12 Hojas</v>
      </c>
      <c r="AW175" s="3" t="str">
        <f>IFERROR(__xludf.DUMMYFUNCTION("""COMPUTED_VALUE"""),"Llanta simple Agrícola 750x20 centro 152")</f>
        <v>Llanta simple Agrícola 750x20 centro 152</v>
      </c>
      <c r="AX175" s="3" t="str">
        <f>IFERROR(__xludf.DUMMYFUNCTION("""COMPUTED_VALUE"""),"Llanta 15"" Simple Agrícola Centro 92")</f>
        <v>Llanta 15" Simple Agrícola Centro 92</v>
      </c>
    </row>
    <row r="176" hidden="1">
      <c r="A176" s="38">
        <f t="shared" si="1"/>
        <v>175</v>
      </c>
      <c r="B176" s="38">
        <f>IF(F176="","",SUMIF(Prearmados!E:E,F176,Prearmados!A:A))</f>
        <v>43</v>
      </c>
      <c r="C176" s="38">
        <f>IF(F176="","",SUMIF(Productos!E:E,G176,Productos!A:A))</f>
        <v>39</v>
      </c>
      <c r="D176" s="83" t="str">
        <f t="array" ref="D176">IF(OR(F176="",F176="Seleccionar.."),"",XLOOKUP(F176,Prearmados!E:E,Prearmados!F:F,"",0,1))</f>
        <v>Desmalezadoras</v>
      </c>
      <c r="E176" s="83">
        <f>IF(H176="","",SUMIF(Precio_Productos!K:K,C176,Precio_Productos!J:J)*H176)</f>
        <v>210000</v>
      </c>
      <c r="F176" s="84" t="s">
        <v>369</v>
      </c>
      <c r="G176" s="84" t="s">
        <v>92</v>
      </c>
      <c r="H176" s="13">
        <v>1.0</v>
      </c>
      <c r="P176" s="3" t="str">
        <f>IFERROR(__xludf.DUMMYFUNCTION("IF(OR(F176="""",F176=""Seleccionar..""),"""",TRANSPOSE(FILTER(Productos!E:E,(Productos!F:F=D176)+(Productos!F:F=XLOOKUP(D176,Implementos!B:B,Implementos!C:C,""-"",0,1)))))"),"Base Desmalezadora 1,50")</f>
        <v>Base Desmalezadora 1,50</v>
      </c>
      <c r="Q176" s="3" t="str">
        <f>IFERROR(__xludf.DUMMYFUNCTION("""COMPUTED_VALUE"""),"Base Desmalezadora 2,00")</f>
        <v>Base Desmalezadora 2,00</v>
      </c>
      <c r="R176" s="3" t="str">
        <f>IFERROR(__xludf.DUMMYFUNCTION("""COMPUTED_VALUE"""),"Acople 3P Desmalezadora 1,50")</f>
        <v>Acople 3P Desmalezadora 1,50</v>
      </c>
      <c r="S176" s="3" t="str">
        <f>IFERROR(__xludf.DUMMYFUNCTION("""COMPUTED_VALUE"""),"Acople 3P Desmalezadora 2,00")</f>
        <v>Acople 3P Desmalezadora 2,00</v>
      </c>
      <c r="T176" s="3" t="str">
        <f>IFERROR(__xludf.DUMMYFUNCTION("""COMPUTED_VALUE"""),"Tren de Arrastre Desmalezadora 1,50")</f>
        <v>Tren de Arrastre Desmalezadora 1,50</v>
      </c>
      <c r="U176" s="3" t="str">
        <f>IFERROR(__xludf.DUMMYFUNCTION("""COMPUTED_VALUE"""),"Tren de Arrastre Desmalezadora 2,00")</f>
        <v>Tren de Arrastre Desmalezadora 2,00</v>
      </c>
      <c r="V176" s="3" t="str">
        <f>IFERROR(__xludf.DUMMYFUNCTION("""COMPUTED_VALUE"""),"Rueda Trasera de Apoyo y Criquet para Desm 3P")</f>
        <v>Rueda Trasera de Apoyo y Criquet para Desm 3P</v>
      </c>
      <c r="W176" s="3" t="str">
        <f>IFERROR(__xludf.DUMMYFUNCTION("""COMPUTED_VALUE"""),"Cilindro con mangueras para Desm de Arrastre")</f>
        <v>Cilindro con mangueras para Desm de Arrastre</v>
      </c>
      <c r="X176" s="3" t="str">
        <f>IFERROR(__xludf.DUMMYFUNCTION("""COMPUTED_VALUE"""),"Repuesto Cuchilla para Desmalezadora por Unidad")</f>
        <v>Repuesto Cuchilla para Desmalezadora por Unidad</v>
      </c>
      <c r="Y176" s="3" t="str">
        <f>IFERROR(__xludf.DUMMYFUNCTION("""COMPUTED_VALUE"""),"Paquete de Elasticos 50 mm x 8 mm x 10 Hojas L850")</f>
        <v>Paquete de Elasticos 50 mm x 8 mm x 10 Hojas L850</v>
      </c>
      <c r="Z176" s="3" t="str">
        <f>IFERROR(__xludf.DUMMYFUNCTION("""COMPUTED_VALUE"""),"Paquete de Elasticos 63 mm x 8 mm x 10 Hojas L950")</f>
        <v>Paquete de Elasticos 63 mm x 8 mm x 10 Hojas L950</v>
      </c>
      <c r="AA176" s="3" t="str">
        <f>IFERROR(__xludf.DUMMYFUNCTION("""COMPUTED_VALUE"""),"Paquete de Elasticos 50 mm x 7 mm x 9 Hojas L850")</f>
        <v>Paquete de Elasticos 50 mm x 7 mm x 9 Hojas L850</v>
      </c>
      <c r="AB176" s="3" t="str">
        <f>IFERROR(__xludf.DUMMYFUNCTION("""COMPUTED_VALUE"""),"Paquete de Elasticos 63 mm x 8 mm x 8 Hojas L850")</f>
        <v>Paquete de Elasticos 63 mm x 8 mm x 8 Hojas L850</v>
      </c>
      <c r="AC176" s="3" t="str">
        <f>IFERROR(__xludf.DUMMYFUNCTION("""COMPUTED_VALUE"""),"Paquete de Elasticos 63 mm x 10 mm x 10 Hojas L950")</f>
        <v>Paquete de Elasticos 63 mm x 10 mm x 10 Hojas L950</v>
      </c>
      <c r="AD176" s="3" t="str">
        <f>IFERROR(__xludf.DUMMYFUNCTION("""COMPUTED_VALUE"""),"Paquete de Elasticos 63 mm x 10 mm x 13 Hojas L975")</f>
        <v>Paquete de Elasticos 63 mm x 10 mm x 13 Hojas L975</v>
      </c>
      <c r="AE176" s="3" t="str">
        <f>IFERROR(__xludf.DUMMYFUNCTION("""COMPUTED_VALUE"""),"Paquete de Elasticos 50 mm x 7 mm x 9 Hojas L650")</f>
        <v>Paquete de Elasticos 50 mm x 7 mm x 9 Hojas L650</v>
      </c>
      <c r="AF176" s="3" t="str">
        <f>IFERROR(__xludf.DUMMYFUNCTION("""COMPUTED_VALUE"""),"Eje Acoplado 2"" x 1600 (06/08) Agrícola Centro 92")</f>
        <v>Eje Acoplado 2" x 1600 (06/08) Agrícola Centro 92</v>
      </c>
      <c r="AG176" s="3" t="str">
        <f>IFERROR(__xludf.DUMMYFUNCTION("""COMPUTED_VALUE"""),"Eje Acoplado 2 1/2"" x 1600 (07/09) Agrícola Centro 92")</f>
        <v>Eje Acoplado 2 1/2" x 1600 (07/09) Agrícola Centro 92</v>
      </c>
      <c r="AH176" s="3" t="str">
        <f>IFERROR(__xludf.DUMMYFUNCTION("""COMPUTED_VALUE"""),"Eje Acoplado 2 1/2"" x 1600 (09/11) Agrícola Centro 150")</f>
        <v>Eje Acoplado 2 1/2" x 1600 (09/11) Agrícola Centro 150</v>
      </c>
      <c r="AI176" s="3" t="str">
        <f>IFERROR(__xludf.DUMMYFUNCTION("""COMPUTED_VALUE"""),"Eje Acoplado 3"" x 1600 (10/13) Agrícola Centro 150")</f>
        <v>Eje Acoplado 3" x 1600 (10/13) Agrícola Centro 150</v>
      </c>
      <c r="AJ176" s="3" t="str">
        <f>IFERROR(__xludf.DUMMYFUNCTION("""COMPUTED_VALUE"""),"Eje Acoplado 2 1/2"" x 2140 (07/09) Agrícola Centro 92")</f>
        <v>Eje Acoplado 2 1/2" x 2140 (07/09) Agrícola Centro 92</v>
      </c>
      <c r="AK176" s="3" t="str">
        <f>IFERROR(__xludf.DUMMYFUNCTION("""COMPUTED_VALUE"""),"Eje Acoplado 2"" x 1400 (06/08) Agrícola Centro 92")</f>
        <v>Eje Acoplado 2" x 1400 (06/08) Agrícola Centro 92</v>
      </c>
      <c r="AL176" s="3" t="str">
        <f>IFERROR(__xludf.DUMMYFUNCTION("""COMPUTED_VALUE"""),"Eje Acoplado 2 1/2"" x 1500 (07/09) Agrícola Centro 92")</f>
        <v>Eje Acoplado 2 1/2" x 1500 (07/09) Agrícola Centro 92</v>
      </c>
      <c r="AM176" s="3" t="str">
        <f>IFERROR(__xludf.DUMMYFUNCTION("""COMPUTED_VALUE"""),"Eje Acoplado 2 1/2"" x 2000 (07/09) Agrícola Centro 92")</f>
        <v>Eje Acoplado 2 1/2" x 2000 (07/09) Agrícola Centro 92</v>
      </c>
      <c r="AN176" s="3" t="str">
        <f>IFERROR(__xludf.DUMMYFUNCTION("""COMPUTED_VALUE"""),"Eje Acoplado 2 1/2"" x 2100 (09/11) Agrícola Centro 150")</f>
        <v>Eje Acoplado 2 1/2" x 2100 (09/11) Agrícola Centro 150</v>
      </c>
      <c r="AO176" s="3" t="str">
        <f>IFERROR(__xludf.DUMMYFUNCTION("""COMPUTED_VALUE"""),"Llanta 16"" Simple Agrícola Centro 92")</f>
        <v>Llanta 16" Simple Agrícola Centro 92</v>
      </c>
      <c r="AP176" s="3" t="str">
        <f>IFERROR(__xludf.DUMMYFUNCTION("""COMPUTED_VALUE"""),"Llanta 16"" Dual Agrícola Centro 92")</f>
        <v>Llanta 16" Dual Agrícola Centro 92</v>
      </c>
      <c r="AQ176" s="3" t="str">
        <f>IFERROR(__xludf.DUMMYFUNCTION("""COMPUTED_VALUE"""),"Llanta 17"" Simple Agrícola Centro 92")</f>
        <v>Llanta 17" Simple Agrícola Centro 92</v>
      </c>
      <c r="AR176" s="3" t="str">
        <f>IFERROR(__xludf.DUMMYFUNCTION("""COMPUTED_VALUE"""),"Llanta 17"" Dual Agrícola Centro 92")</f>
        <v>Llanta 17" Dual Agrícola Centro 92</v>
      </c>
      <c r="AS176" s="3" t="str">
        <f>IFERROR(__xludf.DUMMYFUNCTION("""COMPUTED_VALUE"""),"Llanta 16"" Dual Agrícola Centro 152")</f>
        <v>Llanta 16" Dual Agrícola Centro 152</v>
      </c>
      <c r="AT176" s="3" t="str">
        <f>IFERROR(__xludf.DUMMYFUNCTION("""COMPUTED_VALUE"""),"Llanta 17"" Dual Agrícola Centro 152")</f>
        <v>Llanta 17" Dual Agrícola Centro 152</v>
      </c>
      <c r="AU176" s="3" t="str">
        <f>IFERROR(__xludf.DUMMYFUNCTION("""COMPUTED_VALUE"""),"Eje Acoplado 2"" x 1600 (05/07) Agrícola Centro 92")</f>
        <v>Eje Acoplado 2" x 1600 (05/07) Agrícola Centro 92</v>
      </c>
      <c r="AV176" s="3" t="str">
        <f>IFERROR(__xludf.DUMMYFUNCTION("""COMPUTED_VALUE"""),"Paquete de Elásticos 50 mm x 8 mm x 12 Hojas")</f>
        <v>Paquete de Elásticos 50 mm x 8 mm x 12 Hojas</v>
      </c>
      <c r="AW176" s="3" t="str">
        <f>IFERROR(__xludf.DUMMYFUNCTION("""COMPUTED_VALUE"""),"Llanta simple Agrícola 750x20 centro 152")</f>
        <v>Llanta simple Agrícola 750x20 centro 152</v>
      </c>
      <c r="AX176" s="3" t="str">
        <f>IFERROR(__xludf.DUMMYFUNCTION("""COMPUTED_VALUE"""),"Llanta 15"" Simple Agrícola Centro 92")</f>
        <v>Llanta 15" Simple Agrícola Centro 92</v>
      </c>
    </row>
    <row r="177" hidden="1">
      <c r="A177" s="38">
        <f t="shared" si="1"/>
        <v>176</v>
      </c>
      <c r="B177" s="38">
        <f>IF(F177="","",SUMIF(Prearmados!E:E,F177,Prearmados!A:A))</f>
        <v>43</v>
      </c>
      <c r="C177" s="38">
        <f>IF(F177="","",SUMIF(Productos!E:E,G177,Productos!A:A))</f>
        <v>42</v>
      </c>
      <c r="D177" s="83" t="str">
        <f t="array" ref="D177">IF(OR(F177="",F177="Seleccionar.."),"",XLOOKUP(F177,Prearmados!E:E,Prearmados!F:F,"",0,1))</f>
        <v>Desmalezadoras</v>
      </c>
      <c r="E177" s="83">
        <f>IF(H177="","",SUMIF(Precio_Productos!K:K,C177,Precio_Productos!J:J)*H177)</f>
        <v>315920</v>
      </c>
      <c r="F177" s="84" t="s">
        <v>369</v>
      </c>
      <c r="G177" s="84" t="s">
        <v>96</v>
      </c>
      <c r="H177" s="13">
        <v>1.0</v>
      </c>
      <c r="P177" s="3" t="str">
        <f>IFERROR(__xludf.DUMMYFUNCTION("IF(OR(F177="""",F177=""Seleccionar..""),"""",TRANSPOSE(FILTER(Productos!E:E,(Productos!F:F=D177)+(Productos!F:F=XLOOKUP(D177,Implementos!B:B,Implementos!C:C,""-"",0,1)))))"),"Base Desmalezadora 1,50")</f>
        <v>Base Desmalezadora 1,50</v>
      </c>
      <c r="Q177" s="3" t="str">
        <f>IFERROR(__xludf.DUMMYFUNCTION("""COMPUTED_VALUE"""),"Base Desmalezadora 2,00")</f>
        <v>Base Desmalezadora 2,00</v>
      </c>
      <c r="R177" s="3" t="str">
        <f>IFERROR(__xludf.DUMMYFUNCTION("""COMPUTED_VALUE"""),"Acople 3P Desmalezadora 1,50")</f>
        <v>Acople 3P Desmalezadora 1,50</v>
      </c>
      <c r="S177" s="3" t="str">
        <f>IFERROR(__xludf.DUMMYFUNCTION("""COMPUTED_VALUE"""),"Acople 3P Desmalezadora 2,00")</f>
        <v>Acople 3P Desmalezadora 2,00</v>
      </c>
      <c r="T177" s="3" t="str">
        <f>IFERROR(__xludf.DUMMYFUNCTION("""COMPUTED_VALUE"""),"Tren de Arrastre Desmalezadora 1,50")</f>
        <v>Tren de Arrastre Desmalezadora 1,50</v>
      </c>
      <c r="U177" s="3" t="str">
        <f>IFERROR(__xludf.DUMMYFUNCTION("""COMPUTED_VALUE"""),"Tren de Arrastre Desmalezadora 2,00")</f>
        <v>Tren de Arrastre Desmalezadora 2,00</v>
      </c>
      <c r="V177" s="3" t="str">
        <f>IFERROR(__xludf.DUMMYFUNCTION("""COMPUTED_VALUE"""),"Rueda Trasera de Apoyo y Criquet para Desm 3P")</f>
        <v>Rueda Trasera de Apoyo y Criquet para Desm 3P</v>
      </c>
      <c r="W177" s="3" t="str">
        <f>IFERROR(__xludf.DUMMYFUNCTION("""COMPUTED_VALUE"""),"Cilindro con mangueras para Desm de Arrastre")</f>
        <v>Cilindro con mangueras para Desm de Arrastre</v>
      </c>
      <c r="X177" s="3" t="str">
        <f>IFERROR(__xludf.DUMMYFUNCTION("""COMPUTED_VALUE"""),"Repuesto Cuchilla para Desmalezadora por Unidad")</f>
        <v>Repuesto Cuchilla para Desmalezadora por Unidad</v>
      </c>
      <c r="Y177" s="3" t="str">
        <f>IFERROR(__xludf.DUMMYFUNCTION("""COMPUTED_VALUE"""),"Paquete de Elasticos 50 mm x 8 mm x 10 Hojas L850")</f>
        <v>Paquete de Elasticos 50 mm x 8 mm x 10 Hojas L850</v>
      </c>
      <c r="Z177" s="3" t="str">
        <f>IFERROR(__xludf.DUMMYFUNCTION("""COMPUTED_VALUE"""),"Paquete de Elasticos 63 mm x 8 mm x 10 Hojas L950")</f>
        <v>Paquete de Elasticos 63 mm x 8 mm x 10 Hojas L950</v>
      </c>
      <c r="AA177" s="3" t="str">
        <f>IFERROR(__xludf.DUMMYFUNCTION("""COMPUTED_VALUE"""),"Paquete de Elasticos 50 mm x 7 mm x 9 Hojas L850")</f>
        <v>Paquete de Elasticos 50 mm x 7 mm x 9 Hojas L850</v>
      </c>
      <c r="AB177" s="3" t="str">
        <f>IFERROR(__xludf.DUMMYFUNCTION("""COMPUTED_VALUE"""),"Paquete de Elasticos 63 mm x 8 mm x 8 Hojas L850")</f>
        <v>Paquete de Elasticos 63 mm x 8 mm x 8 Hojas L850</v>
      </c>
      <c r="AC177" s="3" t="str">
        <f>IFERROR(__xludf.DUMMYFUNCTION("""COMPUTED_VALUE"""),"Paquete de Elasticos 63 mm x 10 mm x 10 Hojas L950")</f>
        <v>Paquete de Elasticos 63 mm x 10 mm x 10 Hojas L950</v>
      </c>
      <c r="AD177" s="3" t="str">
        <f>IFERROR(__xludf.DUMMYFUNCTION("""COMPUTED_VALUE"""),"Paquete de Elasticos 63 mm x 10 mm x 13 Hojas L975")</f>
        <v>Paquete de Elasticos 63 mm x 10 mm x 13 Hojas L975</v>
      </c>
      <c r="AE177" s="3" t="str">
        <f>IFERROR(__xludf.DUMMYFUNCTION("""COMPUTED_VALUE"""),"Paquete de Elasticos 50 mm x 7 mm x 9 Hojas L650")</f>
        <v>Paquete de Elasticos 50 mm x 7 mm x 9 Hojas L650</v>
      </c>
      <c r="AF177" s="3" t="str">
        <f>IFERROR(__xludf.DUMMYFUNCTION("""COMPUTED_VALUE"""),"Eje Acoplado 2"" x 1600 (06/08) Agrícola Centro 92")</f>
        <v>Eje Acoplado 2" x 1600 (06/08) Agrícola Centro 92</v>
      </c>
      <c r="AG177" s="3" t="str">
        <f>IFERROR(__xludf.DUMMYFUNCTION("""COMPUTED_VALUE"""),"Eje Acoplado 2 1/2"" x 1600 (07/09) Agrícola Centro 92")</f>
        <v>Eje Acoplado 2 1/2" x 1600 (07/09) Agrícola Centro 92</v>
      </c>
      <c r="AH177" s="3" t="str">
        <f>IFERROR(__xludf.DUMMYFUNCTION("""COMPUTED_VALUE"""),"Eje Acoplado 2 1/2"" x 1600 (09/11) Agrícola Centro 150")</f>
        <v>Eje Acoplado 2 1/2" x 1600 (09/11) Agrícola Centro 150</v>
      </c>
      <c r="AI177" s="3" t="str">
        <f>IFERROR(__xludf.DUMMYFUNCTION("""COMPUTED_VALUE"""),"Eje Acoplado 3"" x 1600 (10/13) Agrícola Centro 150")</f>
        <v>Eje Acoplado 3" x 1600 (10/13) Agrícola Centro 150</v>
      </c>
      <c r="AJ177" s="3" t="str">
        <f>IFERROR(__xludf.DUMMYFUNCTION("""COMPUTED_VALUE"""),"Eje Acoplado 2 1/2"" x 2140 (07/09) Agrícola Centro 92")</f>
        <v>Eje Acoplado 2 1/2" x 2140 (07/09) Agrícola Centro 92</v>
      </c>
      <c r="AK177" s="3" t="str">
        <f>IFERROR(__xludf.DUMMYFUNCTION("""COMPUTED_VALUE"""),"Eje Acoplado 2"" x 1400 (06/08) Agrícola Centro 92")</f>
        <v>Eje Acoplado 2" x 1400 (06/08) Agrícola Centro 92</v>
      </c>
      <c r="AL177" s="3" t="str">
        <f>IFERROR(__xludf.DUMMYFUNCTION("""COMPUTED_VALUE"""),"Eje Acoplado 2 1/2"" x 1500 (07/09) Agrícola Centro 92")</f>
        <v>Eje Acoplado 2 1/2" x 1500 (07/09) Agrícola Centro 92</v>
      </c>
      <c r="AM177" s="3" t="str">
        <f>IFERROR(__xludf.DUMMYFUNCTION("""COMPUTED_VALUE"""),"Eje Acoplado 2 1/2"" x 2000 (07/09) Agrícola Centro 92")</f>
        <v>Eje Acoplado 2 1/2" x 2000 (07/09) Agrícola Centro 92</v>
      </c>
      <c r="AN177" s="3" t="str">
        <f>IFERROR(__xludf.DUMMYFUNCTION("""COMPUTED_VALUE"""),"Eje Acoplado 2 1/2"" x 2100 (09/11) Agrícola Centro 150")</f>
        <v>Eje Acoplado 2 1/2" x 2100 (09/11) Agrícola Centro 150</v>
      </c>
      <c r="AO177" s="3" t="str">
        <f>IFERROR(__xludf.DUMMYFUNCTION("""COMPUTED_VALUE"""),"Llanta 16"" Simple Agrícola Centro 92")</f>
        <v>Llanta 16" Simple Agrícola Centro 92</v>
      </c>
      <c r="AP177" s="3" t="str">
        <f>IFERROR(__xludf.DUMMYFUNCTION("""COMPUTED_VALUE"""),"Llanta 16"" Dual Agrícola Centro 92")</f>
        <v>Llanta 16" Dual Agrícola Centro 92</v>
      </c>
      <c r="AQ177" s="3" t="str">
        <f>IFERROR(__xludf.DUMMYFUNCTION("""COMPUTED_VALUE"""),"Llanta 17"" Simple Agrícola Centro 92")</f>
        <v>Llanta 17" Simple Agrícola Centro 92</v>
      </c>
      <c r="AR177" s="3" t="str">
        <f>IFERROR(__xludf.DUMMYFUNCTION("""COMPUTED_VALUE"""),"Llanta 17"" Dual Agrícola Centro 92")</f>
        <v>Llanta 17" Dual Agrícola Centro 92</v>
      </c>
      <c r="AS177" s="3" t="str">
        <f>IFERROR(__xludf.DUMMYFUNCTION("""COMPUTED_VALUE"""),"Llanta 16"" Dual Agrícola Centro 152")</f>
        <v>Llanta 16" Dual Agrícola Centro 152</v>
      </c>
      <c r="AT177" s="3" t="str">
        <f>IFERROR(__xludf.DUMMYFUNCTION("""COMPUTED_VALUE"""),"Llanta 17"" Dual Agrícola Centro 152")</f>
        <v>Llanta 17" Dual Agrícola Centro 152</v>
      </c>
      <c r="AU177" s="3" t="str">
        <f>IFERROR(__xludf.DUMMYFUNCTION("""COMPUTED_VALUE"""),"Eje Acoplado 2"" x 1600 (05/07) Agrícola Centro 92")</f>
        <v>Eje Acoplado 2" x 1600 (05/07) Agrícola Centro 92</v>
      </c>
      <c r="AV177" s="3" t="str">
        <f>IFERROR(__xludf.DUMMYFUNCTION("""COMPUTED_VALUE"""),"Paquete de Elásticos 50 mm x 8 mm x 12 Hojas")</f>
        <v>Paquete de Elásticos 50 mm x 8 mm x 12 Hojas</v>
      </c>
      <c r="AW177" s="3" t="str">
        <f>IFERROR(__xludf.DUMMYFUNCTION("""COMPUTED_VALUE"""),"Llanta simple Agrícola 750x20 centro 152")</f>
        <v>Llanta simple Agrícola 750x20 centro 152</v>
      </c>
      <c r="AX177" s="3" t="str">
        <f>IFERROR(__xludf.DUMMYFUNCTION("""COMPUTED_VALUE"""),"Llanta 15"" Simple Agrícola Centro 92")</f>
        <v>Llanta 15" Simple Agrícola Centro 92</v>
      </c>
    </row>
    <row r="178" hidden="1">
      <c r="A178" s="38">
        <f t="shared" si="1"/>
        <v>177</v>
      </c>
      <c r="B178" s="38">
        <f>IF(F178="","",SUMIF(Prearmados!E:E,F178,Prearmados!A:A))</f>
        <v>46</v>
      </c>
      <c r="C178" s="38">
        <f>IF(F178="","",SUMIF(Productos!E:E,G178,Productos!A:A))</f>
        <v>139</v>
      </c>
      <c r="D178" s="83" t="str">
        <f t="array" ref="D178">IF(OR(F178="",F178="Seleccionar.."),"",XLOOKUP(F178,Prearmados!E:E,Prearmados!F:F,"",0,1))</f>
        <v>Niveladoras</v>
      </c>
      <c r="E178" s="83">
        <f>IF(H178="","",SUMIF(Precio_Productos!K:K,C178,Precio_Productos!J:J)*H178)</f>
        <v>8183421</v>
      </c>
      <c r="F178" s="84" t="s">
        <v>372</v>
      </c>
      <c r="G178" s="84" t="s">
        <v>174</v>
      </c>
      <c r="H178" s="13">
        <v>1.0</v>
      </c>
      <c r="P178" s="3" t="str">
        <f>IFERROR(__xludf.DUMMYFUNCTION("IF(OR(F178="""",F178=""Seleccionar..""),"""",TRANSPOSE(FILTER(Productos!E:E,(Productos!F:F=D178)+(Productos!F:F=XLOOKUP(D178,Implementos!B:B,Implementos!C:C,""-"",0,1)))))"),"Paquete de Elasticos 50 mm x 8 mm x 10 Hojas L850")</f>
        <v>Paquete de Elasticos 50 mm x 8 mm x 10 Hojas L850</v>
      </c>
      <c r="Q178" s="3" t="str">
        <f>IFERROR(__xludf.DUMMYFUNCTION("""COMPUTED_VALUE"""),"Paquete de Elasticos 63 mm x 8 mm x 10 Hojas L950")</f>
        <v>Paquete de Elasticos 63 mm x 8 mm x 10 Hojas L950</v>
      </c>
      <c r="R178" s="3" t="str">
        <f>IFERROR(__xludf.DUMMYFUNCTION("""COMPUTED_VALUE"""),"Paquete de Elasticos 50 mm x 7 mm x 9 Hojas L850")</f>
        <v>Paquete de Elasticos 50 mm x 7 mm x 9 Hojas L850</v>
      </c>
      <c r="S178" s="3" t="str">
        <f>IFERROR(__xludf.DUMMYFUNCTION("""COMPUTED_VALUE"""),"Paquete de Elasticos 63 mm x 8 mm x 8 Hojas L850")</f>
        <v>Paquete de Elasticos 63 mm x 8 mm x 8 Hojas L850</v>
      </c>
      <c r="T178" s="3" t="str">
        <f>IFERROR(__xludf.DUMMYFUNCTION("""COMPUTED_VALUE"""),"Paquete de Elasticos 63 mm x 10 mm x 10 Hojas L950")</f>
        <v>Paquete de Elasticos 63 mm x 10 mm x 10 Hojas L950</v>
      </c>
      <c r="U178" s="3" t="str">
        <f>IFERROR(__xludf.DUMMYFUNCTION("""COMPUTED_VALUE"""),"Paquete de Elasticos 63 mm x 10 mm x 13 Hojas L975")</f>
        <v>Paquete de Elasticos 63 mm x 10 mm x 13 Hojas L975</v>
      </c>
      <c r="V178" s="3" t="str">
        <f>IFERROR(__xludf.DUMMYFUNCTION("""COMPUTED_VALUE"""),"Paquete de Elasticos 50 mm x 7 mm x 9 Hojas L650")</f>
        <v>Paquete de Elasticos 50 mm x 7 mm x 9 Hojas L650</v>
      </c>
      <c r="W178" s="3" t="str">
        <f>IFERROR(__xludf.DUMMYFUNCTION("""COMPUTED_VALUE"""),"Eje Acoplado 2"" x 1600 (06/08) Agrícola Centro 92")</f>
        <v>Eje Acoplado 2" x 1600 (06/08) Agrícola Centro 92</v>
      </c>
      <c r="X178" s="3" t="str">
        <f>IFERROR(__xludf.DUMMYFUNCTION("""COMPUTED_VALUE"""),"Eje Acoplado 2 1/2"" x 1600 (07/09) Agrícola Centro 92")</f>
        <v>Eje Acoplado 2 1/2" x 1600 (07/09) Agrícola Centro 92</v>
      </c>
      <c r="Y178" s="3" t="str">
        <f>IFERROR(__xludf.DUMMYFUNCTION("""COMPUTED_VALUE"""),"Eje Acoplado 2 1/2"" x 1600 (09/11) Agrícola Centro 150")</f>
        <v>Eje Acoplado 2 1/2" x 1600 (09/11) Agrícola Centro 150</v>
      </c>
      <c r="Z178" s="3" t="str">
        <f>IFERROR(__xludf.DUMMYFUNCTION("""COMPUTED_VALUE"""),"Eje Acoplado 3"" x 1600 (10/13) Agrícola Centro 150")</f>
        <v>Eje Acoplado 3" x 1600 (10/13) Agrícola Centro 150</v>
      </c>
      <c r="AA178" s="3" t="str">
        <f>IFERROR(__xludf.DUMMYFUNCTION("""COMPUTED_VALUE"""),"Eje Acoplado 2 1/2"" x 2140 (07/09) Agrícola Centro 92")</f>
        <v>Eje Acoplado 2 1/2" x 2140 (07/09) Agrícola Centro 92</v>
      </c>
      <c r="AB178" s="3" t="str">
        <f>IFERROR(__xludf.DUMMYFUNCTION("""COMPUTED_VALUE"""),"Eje Acoplado 2"" x 1400 (06/08) Agrícola Centro 92")</f>
        <v>Eje Acoplado 2" x 1400 (06/08) Agrícola Centro 92</v>
      </c>
      <c r="AC178" s="3" t="str">
        <f>IFERROR(__xludf.DUMMYFUNCTION("""COMPUTED_VALUE"""),"Eje Acoplado 2 1/2"" x 1500 (07/09) Agrícola Centro 92")</f>
        <v>Eje Acoplado 2 1/2" x 1500 (07/09) Agrícola Centro 92</v>
      </c>
      <c r="AD178" s="3" t="str">
        <f>IFERROR(__xludf.DUMMYFUNCTION("""COMPUTED_VALUE"""),"Eje Acoplado 2 1/2"" x 2000 (07/09) Agrícola Centro 92")</f>
        <v>Eje Acoplado 2 1/2" x 2000 (07/09) Agrícola Centro 92</v>
      </c>
      <c r="AE178" s="3" t="str">
        <f>IFERROR(__xludf.DUMMYFUNCTION("""COMPUTED_VALUE"""),"Eje Acoplado 2 1/2"" x 2100 (09/11) Agrícola Centro 150")</f>
        <v>Eje Acoplado 2 1/2" x 2100 (09/11) Agrícola Centro 150</v>
      </c>
      <c r="AF178" s="3" t="str">
        <f>IFERROR(__xludf.DUMMYFUNCTION("""COMPUTED_VALUE"""),"Llanta 16"" Simple Agrícola Centro 92")</f>
        <v>Llanta 16" Simple Agrícola Centro 92</v>
      </c>
      <c r="AG178" s="3" t="str">
        <f>IFERROR(__xludf.DUMMYFUNCTION("""COMPUTED_VALUE"""),"Llanta 16"" Dual Agrícola Centro 92")</f>
        <v>Llanta 16" Dual Agrícola Centro 92</v>
      </c>
      <c r="AH178" s="3" t="str">
        <f>IFERROR(__xludf.DUMMYFUNCTION("""COMPUTED_VALUE"""),"Llanta 17"" Simple Agrícola Centro 92")</f>
        <v>Llanta 17" Simple Agrícola Centro 92</v>
      </c>
      <c r="AI178" s="3" t="str">
        <f>IFERROR(__xludf.DUMMYFUNCTION("""COMPUTED_VALUE"""),"Llanta 17"" Dual Agrícola Centro 92")</f>
        <v>Llanta 17" Dual Agrícola Centro 92</v>
      </c>
      <c r="AJ178" s="3" t="str">
        <f>IFERROR(__xludf.DUMMYFUNCTION("""COMPUTED_VALUE"""),"Llanta 16"" Dual Agrícola Centro 152")</f>
        <v>Llanta 16" Dual Agrícola Centro 152</v>
      </c>
      <c r="AK178" s="3" t="str">
        <f>IFERROR(__xludf.DUMMYFUNCTION("""COMPUTED_VALUE"""),"Llanta 17"" Dual Agrícola Centro 152")</f>
        <v>Llanta 17" Dual Agrícola Centro 152</v>
      </c>
      <c r="AL178" s="3" t="str">
        <f>IFERROR(__xludf.DUMMYFUNCTION("""COMPUTED_VALUE"""),"Eje Acoplado 2"" x 1600 (05/07) Agrícola Centro 92")</f>
        <v>Eje Acoplado 2" x 1600 (05/07) Agrícola Centro 92</v>
      </c>
      <c r="AM178" s="3" t="str">
        <f>IFERROR(__xludf.DUMMYFUNCTION("""COMPUTED_VALUE"""),"Paquete de Elásticos 50 mm x 8 mm x 12 Hojas")</f>
        <v>Paquete de Elásticos 50 mm x 8 mm x 12 Hojas</v>
      </c>
      <c r="AN178" s="3" t="str">
        <f>IFERROR(__xludf.DUMMYFUNCTION("""COMPUTED_VALUE"""),"Niveladora de Arrastre Base")</f>
        <v>Niveladora de Arrastre Base</v>
      </c>
      <c r="AO178" s="3" t="str">
        <f>IFERROR(__xludf.DUMMYFUNCTION("""COMPUTED_VALUE"""),"Giro Cuchilla Hidráulico Niveladora")</f>
        <v>Giro Cuchilla Hidráulico Niveladora</v>
      </c>
      <c r="AP178" s="3" t="str">
        <f>IFERROR(__xludf.DUMMYFUNCTION("""COMPUTED_VALUE"""),"Avantren Enganche Niveladora")</f>
        <v>Avantren Enganche Niveladora</v>
      </c>
      <c r="AQ178" s="3" t="str">
        <f>IFERROR(__xludf.DUMMYFUNCTION("""COMPUTED_VALUE"""),"Llanta simple Agrícola 750x20 centro 152")</f>
        <v>Llanta simple Agrícola 750x20 centro 152</v>
      </c>
      <c r="AR178" s="3" t="str">
        <f>IFERROR(__xludf.DUMMYFUNCTION("""COMPUTED_VALUE"""),"Llanta 15"" Simple Agrícola Centro 92")</f>
        <v>Llanta 15" Simple Agrícola Centro 92</v>
      </c>
    </row>
    <row r="179" hidden="1">
      <c r="A179" s="38">
        <f t="shared" si="1"/>
        <v>178</v>
      </c>
      <c r="B179" s="38">
        <f>IF(F179="","",SUMIF(Prearmados!E:E,F179,Prearmados!A:A))</f>
        <v>46</v>
      </c>
      <c r="C179" s="38">
        <f>IF(F179="","",SUMIF(Productos!E:E,G179,Productos!A:A))</f>
        <v>0</v>
      </c>
      <c r="D179" s="83" t="str">
        <f t="array" ref="D179">IF(OR(F179="",F179="Seleccionar.."),"",XLOOKUP(F179,Prearmados!E:E,Prearmados!F:F,"",0,1))</f>
        <v>Niveladoras</v>
      </c>
      <c r="E179" s="83">
        <f>IF(H179="","",SUMIF(Precio_Productos!K:K,C179,Precio_Productos!J:J)*H179)</f>
        <v>731400</v>
      </c>
      <c r="F179" s="84" t="s">
        <v>372</v>
      </c>
      <c r="G179" s="84" t="s">
        <v>175</v>
      </c>
      <c r="H179" s="13">
        <v>2.0</v>
      </c>
      <c r="P179" s="3" t="str">
        <f>IFERROR(__xludf.DUMMYFUNCTION("IF(OR(F179="""",F179=""Seleccionar..""),"""",TRANSPOSE(FILTER(Productos!E:E,(Productos!F:F=D179)+(Productos!F:F=XLOOKUP(D179,Implementos!B:B,Implementos!C:C,""-"",0,1)))))"),"Paquete de Elasticos 50 mm x 8 mm x 10 Hojas L850")</f>
        <v>Paquete de Elasticos 50 mm x 8 mm x 10 Hojas L850</v>
      </c>
      <c r="Q179" s="3" t="str">
        <f>IFERROR(__xludf.DUMMYFUNCTION("""COMPUTED_VALUE"""),"Paquete de Elasticos 63 mm x 8 mm x 10 Hojas L950")</f>
        <v>Paquete de Elasticos 63 mm x 8 mm x 10 Hojas L950</v>
      </c>
      <c r="R179" s="3" t="str">
        <f>IFERROR(__xludf.DUMMYFUNCTION("""COMPUTED_VALUE"""),"Paquete de Elasticos 50 mm x 7 mm x 9 Hojas L850")</f>
        <v>Paquete de Elasticos 50 mm x 7 mm x 9 Hojas L850</v>
      </c>
      <c r="S179" s="3" t="str">
        <f>IFERROR(__xludf.DUMMYFUNCTION("""COMPUTED_VALUE"""),"Paquete de Elasticos 63 mm x 8 mm x 8 Hojas L850")</f>
        <v>Paquete de Elasticos 63 mm x 8 mm x 8 Hojas L850</v>
      </c>
      <c r="T179" s="3" t="str">
        <f>IFERROR(__xludf.DUMMYFUNCTION("""COMPUTED_VALUE"""),"Paquete de Elasticos 63 mm x 10 mm x 10 Hojas L950")</f>
        <v>Paquete de Elasticos 63 mm x 10 mm x 10 Hojas L950</v>
      </c>
      <c r="U179" s="3" t="str">
        <f>IFERROR(__xludf.DUMMYFUNCTION("""COMPUTED_VALUE"""),"Paquete de Elasticos 63 mm x 10 mm x 13 Hojas L975")</f>
        <v>Paquete de Elasticos 63 mm x 10 mm x 13 Hojas L975</v>
      </c>
      <c r="V179" s="3" t="str">
        <f>IFERROR(__xludf.DUMMYFUNCTION("""COMPUTED_VALUE"""),"Paquete de Elasticos 50 mm x 7 mm x 9 Hojas L650")</f>
        <v>Paquete de Elasticos 50 mm x 7 mm x 9 Hojas L650</v>
      </c>
      <c r="W179" s="3" t="str">
        <f>IFERROR(__xludf.DUMMYFUNCTION("""COMPUTED_VALUE"""),"Eje Acoplado 2"" x 1600 (06/08) Agrícola Centro 92")</f>
        <v>Eje Acoplado 2" x 1600 (06/08) Agrícola Centro 92</v>
      </c>
      <c r="X179" s="3" t="str">
        <f>IFERROR(__xludf.DUMMYFUNCTION("""COMPUTED_VALUE"""),"Eje Acoplado 2 1/2"" x 1600 (07/09) Agrícola Centro 92")</f>
        <v>Eje Acoplado 2 1/2" x 1600 (07/09) Agrícola Centro 92</v>
      </c>
      <c r="Y179" s="3" t="str">
        <f>IFERROR(__xludf.DUMMYFUNCTION("""COMPUTED_VALUE"""),"Eje Acoplado 2 1/2"" x 1600 (09/11) Agrícola Centro 150")</f>
        <v>Eje Acoplado 2 1/2" x 1600 (09/11) Agrícola Centro 150</v>
      </c>
      <c r="Z179" s="3" t="str">
        <f>IFERROR(__xludf.DUMMYFUNCTION("""COMPUTED_VALUE"""),"Eje Acoplado 3"" x 1600 (10/13) Agrícola Centro 150")</f>
        <v>Eje Acoplado 3" x 1600 (10/13) Agrícola Centro 150</v>
      </c>
      <c r="AA179" s="3" t="str">
        <f>IFERROR(__xludf.DUMMYFUNCTION("""COMPUTED_VALUE"""),"Eje Acoplado 2 1/2"" x 2140 (07/09) Agrícola Centro 92")</f>
        <v>Eje Acoplado 2 1/2" x 2140 (07/09) Agrícola Centro 92</v>
      </c>
      <c r="AB179" s="3" t="str">
        <f>IFERROR(__xludf.DUMMYFUNCTION("""COMPUTED_VALUE"""),"Eje Acoplado 2"" x 1400 (06/08) Agrícola Centro 92")</f>
        <v>Eje Acoplado 2" x 1400 (06/08) Agrícola Centro 92</v>
      </c>
      <c r="AC179" s="3" t="str">
        <f>IFERROR(__xludf.DUMMYFUNCTION("""COMPUTED_VALUE"""),"Eje Acoplado 2 1/2"" x 1500 (07/09) Agrícola Centro 92")</f>
        <v>Eje Acoplado 2 1/2" x 1500 (07/09) Agrícola Centro 92</v>
      </c>
      <c r="AD179" s="3" t="str">
        <f>IFERROR(__xludf.DUMMYFUNCTION("""COMPUTED_VALUE"""),"Eje Acoplado 2 1/2"" x 2000 (07/09) Agrícola Centro 92")</f>
        <v>Eje Acoplado 2 1/2" x 2000 (07/09) Agrícola Centro 92</v>
      </c>
      <c r="AE179" s="3" t="str">
        <f>IFERROR(__xludf.DUMMYFUNCTION("""COMPUTED_VALUE"""),"Eje Acoplado 2 1/2"" x 2100 (09/11) Agrícola Centro 150")</f>
        <v>Eje Acoplado 2 1/2" x 2100 (09/11) Agrícola Centro 150</v>
      </c>
      <c r="AF179" s="3" t="str">
        <f>IFERROR(__xludf.DUMMYFUNCTION("""COMPUTED_VALUE"""),"Llanta 16"" Simple Agrícola Centro 92")</f>
        <v>Llanta 16" Simple Agrícola Centro 92</v>
      </c>
      <c r="AG179" s="3" t="str">
        <f>IFERROR(__xludf.DUMMYFUNCTION("""COMPUTED_VALUE"""),"Llanta 16"" Dual Agrícola Centro 92")</f>
        <v>Llanta 16" Dual Agrícola Centro 92</v>
      </c>
      <c r="AH179" s="3" t="str">
        <f>IFERROR(__xludf.DUMMYFUNCTION("""COMPUTED_VALUE"""),"Llanta 17"" Simple Agrícola Centro 92")</f>
        <v>Llanta 17" Simple Agrícola Centro 92</v>
      </c>
      <c r="AI179" s="3" t="str">
        <f>IFERROR(__xludf.DUMMYFUNCTION("""COMPUTED_VALUE"""),"Llanta 17"" Dual Agrícola Centro 92")</f>
        <v>Llanta 17" Dual Agrícola Centro 92</v>
      </c>
      <c r="AJ179" s="3" t="str">
        <f>IFERROR(__xludf.DUMMYFUNCTION("""COMPUTED_VALUE"""),"Llanta 16"" Dual Agrícola Centro 152")</f>
        <v>Llanta 16" Dual Agrícola Centro 152</v>
      </c>
      <c r="AK179" s="3" t="str">
        <f>IFERROR(__xludf.DUMMYFUNCTION("""COMPUTED_VALUE"""),"Llanta 17"" Dual Agrícola Centro 152")</f>
        <v>Llanta 17" Dual Agrícola Centro 152</v>
      </c>
      <c r="AL179" s="3" t="str">
        <f>IFERROR(__xludf.DUMMYFUNCTION("""COMPUTED_VALUE"""),"Eje Acoplado 2"" x 1600 (05/07) Agrícola Centro 92")</f>
        <v>Eje Acoplado 2" x 1600 (05/07) Agrícola Centro 92</v>
      </c>
      <c r="AM179" s="3" t="str">
        <f>IFERROR(__xludf.DUMMYFUNCTION("""COMPUTED_VALUE"""),"Paquete de Elásticos 50 mm x 8 mm x 12 Hojas")</f>
        <v>Paquete de Elásticos 50 mm x 8 mm x 12 Hojas</v>
      </c>
      <c r="AN179" s="3" t="str">
        <f>IFERROR(__xludf.DUMMYFUNCTION("""COMPUTED_VALUE"""),"Niveladora de Arrastre Base")</f>
        <v>Niveladora de Arrastre Base</v>
      </c>
      <c r="AO179" s="3" t="str">
        <f>IFERROR(__xludf.DUMMYFUNCTION("""COMPUTED_VALUE"""),"Giro Cuchilla Hidráulico Niveladora")</f>
        <v>Giro Cuchilla Hidráulico Niveladora</v>
      </c>
      <c r="AP179" s="3" t="str">
        <f>IFERROR(__xludf.DUMMYFUNCTION("""COMPUTED_VALUE"""),"Avantren Enganche Niveladora")</f>
        <v>Avantren Enganche Niveladora</v>
      </c>
      <c r="AQ179" s="3" t="str">
        <f>IFERROR(__xludf.DUMMYFUNCTION("""COMPUTED_VALUE"""),"Llanta simple Agrícola 750x20 centro 152")</f>
        <v>Llanta simple Agrícola 750x20 centro 152</v>
      </c>
      <c r="AR179" s="3" t="str">
        <f>IFERROR(__xludf.DUMMYFUNCTION("""COMPUTED_VALUE"""),"Llanta 15"" Simple Agrícola Centro 92")</f>
        <v>Llanta 15" Simple Agrícola Centro 92</v>
      </c>
    </row>
    <row r="180" hidden="1">
      <c r="A180" s="38">
        <f t="shared" si="1"/>
        <v>179</v>
      </c>
      <c r="B180" s="38">
        <f>IF(F180="","",SUMIF(Prearmados!E:E,F180,Prearmados!A:A))</f>
        <v>47</v>
      </c>
      <c r="C180" s="38">
        <f>IF(F180="","",SUMIF(Productos!E:E,G180,Productos!A:A))</f>
        <v>139</v>
      </c>
      <c r="D180" s="83" t="str">
        <f t="array" ref="D180">IF(OR(F180="",F180="Seleccionar.."),"",XLOOKUP(F180,Prearmados!E:E,Prearmados!F:F,"",0,1))</f>
        <v>Niveladoras</v>
      </c>
      <c r="E180" s="83">
        <f>IF(H180="","",SUMIF(Precio_Productos!K:K,C180,Precio_Productos!J:J)*H180)</f>
        <v>8183421</v>
      </c>
      <c r="F180" s="84" t="s">
        <v>374</v>
      </c>
      <c r="G180" s="84" t="s">
        <v>174</v>
      </c>
      <c r="H180" s="13">
        <v>1.0</v>
      </c>
      <c r="P180" s="3" t="str">
        <f>IFERROR(__xludf.DUMMYFUNCTION("IF(OR(F180="""",F180=""Seleccionar..""),"""",TRANSPOSE(FILTER(Productos!E:E,(Productos!F:F=D180)+(Productos!F:F=XLOOKUP(D180,Implementos!B:B,Implementos!C:C,""-"",0,1)))))"),"Paquete de Elasticos 50 mm x 8 mm x 10 Hojas L850")</f>
        <v>Paquete de Elasticos 50 mm x 8 mm x 10 Hojas L850</v>
      </c>
      <c r="Q180" s="3" t="str">
        <f>IFERROR(__xludf.DUMMYFUNCTION("""COMPUTED_VALUE"""),"Paquete de Elasticos 63 mm x 8 mm x 10 Hojas L950")</f>
        <v>Paquete de Elasticos 63 mm x 8 mm x 10 Hojas L950</v>
      </c>
      <c r="R180" s="3" t="str">
        <f>IFERROR(__xludf.DUMMYFUNCTION("""COMPUTED_VALUE"""),"Paquete de Elasticos 50 mm x 7 mm x 9 Hojas L850")</f>
        <v>Paquete de Elasticos 50 mm x 7 mm x 9 Hojas L850</v>
      </c>
      <c r="S180" s="3" t="str">
        <f>IFERROR(__xludf.DUMMYFUNCTION("""COMPUTED_VALUE"""),"Paquete de Elasticos 63 mm x 8 mm x 8 Hojas L850")</f>
        <v>Paquete de Elasticos 63 mm x 8 mm x 8 Hojas L850</v>
      </c>
      <c r="T180" s="3" t="str">
        <f>IFERROR(__xludf.DUMMYFUNCTION("""COMPUTED_VALUE"""),"Paquete de Elasticos 63 mm x 10 mm x 10 Hojas L950")</f>
        <v>Paquete de Elasticos 63 mm x 10 mm x 10 Hojas L950</v>
      </c>
      <c r="U180" s="3" t="str">
        <f>IFERROR(__xludf.DUMMYFUNCTION("""COMPUTED_VALUE"""),"Paquete de Elasticos 63 mm x 10 mm x 13 Hojas L975")</f>
        <v>Paquete de Elasticos 63 mm x 10 mm x 13 Hojas L975</v>
      </c>
      <c r="V180" s="3" t="str">
        <f>IFERROR(__xludf.DUMMYFUNCTION("""COMPUTED_VALUE"""),"Paquete de Elasticos 50 mm x 7 mm x 9 Hojas L650")</f>
        <v>Paquete de Elasticos 50 mm x 7 mm x 9 Hojas L650</v>
      </c>
      <c r="W180" s="3" t="str">
        <f>IFERROR(__xludf.DUMMYFUNCTION("""COMPUTED_VALUE"""),"Eje Acoplado 2"" x 1600 (06/08) Agrícola Centro 92")</f>
        <v>Eje Acoplado 2" x 1600 (06/08) Agrícola Centro 92</v>
      </c>
      <c r="X180" s="3" t="str">
        <f>IFERROR(__xludf.DUMMYFUNCTION("""COMPUTED_VALUE"""),"Eje Acoplado 2 1/2"" x 1600 (07/09) Agrícola Centro 92")</f>
        <v>Eje Acoplado 2 1/2" x 1600 (07/09) Agrícola Centro 92</v>
      </c>
      <c r="Y180" s="3" t="str">
        <f>IFERROR(__xludf.DUMMYFUNCTION("""COMPUTED_VALUE"""),"Eje Acoplado 2 1/2"" x 1600 (09/11) Agrícola Centro 150")</f>
        <v>Eje Acoplado 2 1/2" x 1600 (09/11) Agrícola Centro 150</v>
      </c>
      <c r="Z180" s="3" t="str">
        <f>IFERROR(__xludf.DUMMYFUNCTION("""COMPUTED_VALUE"""),"Eje Acoplado 3"" x 1600 (10/13) Agrícola Centro 150")</f>
        <v>Eje Acoplado 3" x 1600 (10/13) Agrícola Centro 150</v>
      </c>
      <c r="AA180" s="3" t="str">
        <f>IFERROR(__xludf.DUMMYFUNCTION("""COMPUTED_VALUE"""),"Eje Acoplado 2 1/2"" x 2140 (07/09) Agrícola Centro 92")</f>
        <v>Eje Acoplado 2 1/2" x 2140 (07/09) Agrícola Centro 92</v>
      </c>
      <c r="AB180" s="3" t="str">
        <f>IFERROR(__xludf.DUMMYFUNCTION("""COMPUTED_VALUE"""),"Eje Acoplado 2"" x 1400 (06/08) Agrícola Centro 92")</f>
        <v>Eje Acoplado 2" x 1400 (06/08) Agrícola Centro 92</v>
      </c>
      <c r="AC180" s="3" t="str">
        <f>IFERROR(__xludf.DUMMYFUNCTION("""COMPUTED_VALUE"""),"Eje Acoplado 2 1/2"" x 1500 (07/09) Agrícola Centro 92")</f>
        <v>Eje Acoplado 2 1/2" x 1500 (07/09) Agrícola Centro 92</v>
      </c>
      <c r="AD180" s="3" t="str">
        <f>IFERROR(__xludf.DUMMYFUNCTION("""COMPUTED_VALUE"""),"Eje Acoplado 2 1/2"" x 2000 (07/09) Agrícola Centro 92")</f>
        <v>Eje Acoplado 2 1/2" x 2000 (07/09) Agrícola Centro 92</v>
      </c>
      <c r="AE180" s="3" t="str">
        <f>IFERROR(__xludf.DUMMYFUNCTION("""COMPUTED_VALUE"""),"Eje Acoplado 2 1/2"" x 2100 (09/11) Agrícola Centro 150")</f>
        <v>Eje Acoplado 2 1/2" x 2100 (09/11) Agrícola Centro 150</v>
      </c>
      <c r="AF180" s="3" t="str">
        <f>IFERROR(__xludf.DUMMYFUNCTION("""COMPUTED_VALUE"""),"Llanta 16"" Simple Agrícola Centro 92")</f>
        <v>Llanta 16" Simple Agrícola Centro 92</v>
      </c>
      <c r="AG180" s="3" t="str">
        <f>IFERROR(__xludf.DUMMYFUNCTION("""COMPUTED_VALUE"""),"Llanta 16"" Dual Agrícola Centro 92")</f>
        <v>Llanta 16" Dual Agrícola Centro 92</v>
      </c>
      <c r="AH180" s="3" t="str">
        <f>IFERROR(__xludf.DUMMYFUNCTION("""COMPUTED_VALUE"""),"Llanta 17"" Simple Agrícola Centro 92")</f>
        <v>Llanta 17" Simple Agrícola Centro 92</v>
      </c>
      <c r="AI180" s="3" t="str">
        <f>IFERROR(__xludf.DUMMYFUNCTION("""COMPUTED_VALUE"""),"Llanta 17"" Dual Agrícola Centro 92")</f>
        <v>Llanta 17" Dual Agrícola Centro 92</v>
      </c>
      <c r="AJ180" s="3" t="str">
        <f>IFERROR(__xludf.DUMMYFUNCTION("""COMPUTED_VALUE"""),"Llanta 16"" Dual Agrícola Centro 152")</f>
        <v>Llanta 16" Dual Agrícola Centro 152</v>
      </c>
      <c r="AK180" s="3" t="str">
        <f>IFERROR(__xludf.DUMMYFUNCTION("""COMPUTED_VALUE"""),"Llanta 17"" Dual Agrícola Centro 152")</f>
        <v>Llanta 17" Dual Agrícola Centro 152</v>
      </c>
      <c r="AL180" s="3" t="str">
        <f>IFERROR(__xludf.DUMMYFUNCTION("""COMPUTED_VALUE"""),"Eje Acoplado 2"" x 1600 (05/07) Agrícola Centro 92")</f>
        <v>Eje Acoplado 2" x 1600 (05/07) Agrícola Centro 92</v>
      </c>
      <c r="AM180" s="3" t="str">
        <f>IFERROR(__xludf.DUMMYFUNCTION("""COMPUTED_VALUE"""),"Paquete de Elásticos 50 mm x 8 mm x 12 Hojas")</f>
        <v>Paquete de Elásticos 50 mm x 8 mm x 12 Hojas</v>
      </c>
      <c r="AN180" s="3" t="str">
        <f>IFERROR(__xludf.DUMMYFUNCTION("""COMPUTED_VALUE"""),"Niveladora de Arrastre Base")</f>
        <v>Niveladora de Arrastre Base</v>
      </c>
      <c r="AO180" s="3" t="str">
        <f>IFERROR(__xludf.DUMMYFUNCTION("""COMPUTED_VALUE"""),"Giro Cuchilla Hidráulico Niveladora")</f>
        <v>Giro Cuchilla Hidráulico Niveladora</v>
      </c>
      <c r="AP180" s="3" t="str">
        <f>IFERROR(__xludf.DUMMYFUNCTION("""COMPUTED_VALUE"""),"Avantren Enganche Niveladora")</f>
        <v>Avantren Enganche Niveladora</v>
      </c>
      <c r="AQ180" s="3" t="str">
        <f>IFERROR(__xludf.DUMMYFUNCTION("""COMPUTED_VALUE"""),"Llanta simple Agrícola 750x20 centro 152")</f>
        <v>Llanta simple Agrícola 750x20 centro 152</v>
      </c>
      <c r="AR180" s="3" t="str">
        <f>IFERROR(__xludf.DUMMYFUNCTION("""COMPUTED_VALUE"""),"Llanta 15"" Simple Agrícola Centro 92")</f>
        <v>Llanta 15" Simple Agrícola Centro 92</v>
      </c>
    </row>
    <row r="181" hidden="1">
      <c r="A181" s="38">
        <f t="shared" si="1"/>
        <v>180</v>
      </c>
      <c r="B181" s="38">
        <f>IF(F181="","",SUMIF(Prearmados!E:E,F181,Prearmados!A:A))</f>
        <v>47</v>
      </c>
      <c r="C181" s="38">
        <f>IF(F181="","",SUMIF(Productos!E:E,G181,Productos!A:A))</f>
        <v>140</v>
      </c>
      <c r="D181" s="83" t="str">
        <f t="array" ref="D181">IF(OR(F181="",F181="Seleccionar.."),"",XLOOKUP(F181,Prearmados!E:E,Prearmados!F:F,"",0,1))</f>
        <v>Niveladoras</v>
      </c>
      <c r="E181" s="83">
        <f>IF(H181="","",SUMIF(Precio_Productos!K:K,C181,Precio_Productos!J:J)*H181)</f>
        <v>1627301</v>
      </c>
      <c r="F181" s="84" t="s">
        <v>374</v>
      </c>
      <c r="G181" s="84" t="s">
        <v>176</v>
      </c>
      <c r="H181" s="13">
        <v>1.0</v>
      </c>
      <c r="P181" s="3" t="str">
        <f>IFERROR(__xludf.DUMMYFUNCTION("IF(OR(F181="""",F181=""Seleccionar..""),"""",TRANSPOSE(FILTER(Productos!E:E,(Productos!F:F=D181)+(Productos!F:F=XLOOKUP(D181,Implementos!B:B,Implementos!C:C,""-"",0,1)))))"),"Paquete de Elasticos 50 mm x 8 mm x 10 Hojas L850")</f>
        <v>Paquete de Elasticos 50 mm x 8 mm x 10 Hojas L850</v>
      </c>
      <c r="Q181" s="3" t="str">
        <f>IFERROR(__xludf.DUMMYFUNCTION("""COMPUTED_VALUE"""),"Paquete de Elasticos 63 mm x 8 mm x 10 Hojas L950")</f>
        <v>Paquete de Elasticos 63 mm x 8 mm x 10 Hojas L950</v>
      </c>
      <c r="R181" s="3" t="str">
        <f>IFERROR(__xludf.DUMMYFUNCTION("""COMPUTED_VALUE"""),"Paquete de Elasticos 50 mm x 7 mm x 9 Hojas L850")</f>
        <v>Paquete de Elasticos 50 mm x 7 mm x 9 Hojas L850</v>
      </c>
      <c r="S181" s="3" t="str">
        <f>IFERROR(__xludf.DUMMYFUNCTION("""COMPUTED_VALUE"""),"Paquete de Elasticos 63 mm x 8 mm x 8 Hojas L850")</f>
        <v>Paquete de Elasticos 63 mm x 8 mm x 8 Hojas L850</v>
      </c>
      <c r="T181" s="3" t="str">
        <f>IFERROR(__xludf.DUMMYFUNCTION("""COMPUTED_VALUE"""),"Paquete de Elasticos 63 mm x 10 mm x 10 Hojas L950")</f>
        <v>Paquete de Elasticos 63 mm x 10 mm x 10 Hojas L950</v>
      </c>
      <c r="U181" s="3" t="str">
        <f>IFERROR(__xludf.DUMMYFUNCTION("""COMPUTED_VALUE"""),"Paquete de Elasticos 63 mm x 10 mm x 13 Hojas L975")</f>
        <v>Paquete de Elasticos 63 mm x 10 mm x 13 Hojas L975</v>
      </c>
      <c r="V181" s="3" t="str">
        <f>IFERROR(__xludf.DUMMYFUNCTION("""COMPUTED_VALUE"""),"Paquete de Elasticos 50 mm x 7 mm x 9 Hojas L650")</f>
        <v>Paquete de Elasticos 50 mm x 7 mm x 9 Hojas L650</v>
      </c>
      <c r="W181" s="3" t="str">
        <f>IFERROR(__xludf.DUMMYFUNCTION("""COMPUTED_VALUE"""),"Eje Acoplado 2"" x 1600 (06/08) Agrícola Centro 92")</f>
        <v>Eje Acoplado 2" x 1600 (06/08) Agrícola Centro 92</v>
      </c>
      <c r="X181" s="3" t="str">
        <f>IFERROR(__xludf.DUMMYFUNCTION("""COMPUTED_VALUE"""),"Eje Acoplado 2 1/2"" x 1600 (07/09) Agrícola Centro 92")</f>
        <v>Eje Acoplado 2 1/2" x 1600 (07/09) Agrícola Centro 92</v>
      </c>
      <c r="Y181" s="3" t="str">
        <f>IFERROR(__xludf.DUMMYFUNCTION("""COMPUTED_VALUE"""),"Eje Acoplado 2 1/2"" x 1600 (09/11) Agrícola Centro 150")</f>
        <v>Eje Acoplado 2 1/2" x 1600 (09/11) Agrícola Centro 150</v>
      </c>
      <c r="Z181" s="3" t="str">
        <f>IFERROR(__xludf.DUMMYFUNCTION("""COMPUTED_VALUE"""),"Eje Acoplado 3"" x 1600 (10/13) Agrícola Centro 150")</f>
        <v>Eje Acoplado 3" x 1600 (10/13) Agrícola Centro 150</v>
      </c>
      <c r="AA181" s="3" t="str">
        <f>IFERROR(__xludf.DUMMYFUNCTION("""COMPUTED_VALUE"""),"Eje Acoplado 2 1/2"" x 2140 (07/09) Agrícola Centro 92")</f>
        <v>Eje Acoplado 2 1/2" x 2140 (07/09) Agrícola Centro 92</v>
      </c>
      <c r="AB181" s="3" t="str">
        <f>IFERROR(__xludf.DUMMYFUNCTION("""COMPUTED_VALUE"""),"Eje Acoplado 2"" x 1400 (06/08) Agrícola Centro 92")</f>
        <v>Eje Acoplado 2" x 1400 (06/08) Agrícola Centro 92</v>
      </c>
      <c r="AC181" s="3" t="str">
        <f>IFERROR(__xludf.DUMMYFUNCTION("""COMPUTED_VALUE"""),"Eje Acoplado 2 1/2"" x 1500 (07/09) Agrícola Centro 92")</f>
        <v>Eje Acoplado 2 1/2" x 1500 (07/09) Agrícola Centro 92</v>
      </c>
      <c r="AD181" s="3" t="str">
        <f>IFERROR(__xludf.DUMMYFUNCTION("""COMPUTED_VALUE"""),"Eje Acoplado 2 1/2"" x 2000 (07/09) Agrícola Centro 92")</f>
        <v>Eje Acoplado 2 1/2" x 2000 (07/09) Agrícola Centro 92</v>
      </c>
      <c r="AE181" s="3" t="str">
        <f>IFERROR(__xludf.DUMMYFUNCTION("""COMPUTED_VALUE"""),"Eje Acoplado 2 1/2"" x 2100 (09/11) Agrícola Centro 150")</f>
        <v>Eje Acoplado 2 1/2" x 2100 (09/11) Agrícola Centro 150</v>
      </c>
      <c r="AF181" s="3" t="str">
        <f>IFERROR(__xludf.DUMMYFUNCTION("""COMPUTED_VALUE"""),"Llanta 16"" Simple Agrícola Centro 92")</f>
        <v>Llanta 16" Simple Agrícola Centro 92</v>
      </c>
      <c r="AG181" s="3" t="str">
        <f>IFERROR(__xludf.DUMMYFUNCTION("""COMPUTED_VALUE"""),"Llanta 16"" Dual Agrícola Centro 92")</f>
        <v>Llanta 16" Dual Agrícola Centro 92</v>
      </c>
      <c r="AH181" s="3" t="str">
        <f>IFERROR(__xludf.DUMMYFUNCTION("""COMPUTED_VALUE"""),"Llanta 17"" Simple Agrícola Centro 92")</f>
        <v>Llanta 17" Simple Agrícola Centro 92</v>
      </c>
      <c r="AI181" s="3" t="str">
        <f>IFERROR(__xludf.DUMMYFUNCTION("""COMPUTED_VALUE"""),"Llanta 17"" Dual Agrícola Centro 92")</f>
        <v>Llanta 17" Dual Agrícola Centro 92</v>
      </c>
      <c r="AJ181" s="3" t="str">
        <f>IFERROR(__xludf.DUMMYFUNCTION("""COMPUTED_VALUE"""),"Llanta 16"" Dual Agrícola Centro 152")</f>
        <v>Llanta 16" Dual Agrícola Centro 152</v>
      </c>
      <c r="AK181" s="3" t="str">
        <f>IFERROR(__xludf.DUMMYFUNCTION("""COMPUTED_VALUE"""),"Llanta 17"" Dual Agrícola Centro 152")</f>
        <v>Llanta 17" Dual Agrícola Centro 152</v>
      </c>
      <c r="AL181" s="3" t="str">
        <f>IFERROR(__xludf.DUMMYFUNCTION("""COMPUTED_VALUE"""),"Eje Acoplado 2"" x 1600 (05/07) Agrícola Centro 92")</f>
        <v>Eje Acoplado 2" x 1600 (05/07) Agrícola Centro 92</v>
      </c>
      <c r="AM181" s="3" t="str">
        <f>IFERROR(__xludf.DUMMYFUNCTION("""COMPUTED_VALUE"""),"Paquete de Elásticos 50 mm x 8 mm x 12 Hojas")</f>
        <v>Paquete de Elásticos 50 mm x 8 mm x 12 Hojas</v>
      </c>
      <c r="AN181" s="3" t="str">
        <f>IFERROR(__xludf.DUMMYFUNCTION("""COMPUTED_VALUE"""),"Niveladora de Arrastre Base")</f>
        <v>Niveladora de Arrastre Base</v>
      </c>
      <c r="AO181" s="3" t="str">
        <f>IFERROR(__xludf.DUMMYFUNCTION("""COMPUTED_VALUE"""),"Giro Cuchilla Hidráulico Niveladora")</f>
        <v>Giro Cuchilla Hidráulico Niveladora</v>
      </c>
      <c r="AP181" s="3" t="str">
        <f>IFERROR(__xludf.DUMMYFUNCTION("""COMPUTED_VALUE"""),"Avantren Enganche Niveladora")</f>
        <v>Avantren Enganche Niveladora</v>
      </c>
      <c r="AQ181" s="3" t="str">
        <f>IFERROR(__xludf.DUMMYFUNCTION("""COMPUTED_VALUE"""),"Llanta simple Agrícola 750x20 centro 152")</f>
        <v>Llanta simple Agrícola 750x20 centro 152</v>
      </c>
      <c r="AR181" s="3" t="str">
        <f>IFERROR(__xludf.DUMMYFUNCTION("""COMPUTED_VALUE"""),"Llanta 15"" Simple Agrícola Centro 92")</f>
        <v>Llanta 15" Simple Agrícola Centro 92</v>
      </c>
    </row>
    <row r="182" hidden="1">
      <c r="A182" s="38">
        <f t="shared" si="1"/>
        <v>181</v>
      </c>
      <c r="B182" s="38">
        <f>IF(F182="","",SUMIF(Prearmados!E:E,F182,Prearmados!A:A))</f>
        <v>47</v>
      </c>
      <c r="C182" s="38">
        <f>IF(F182="","",SUMIF(Productos!E:E,G182,Productos!A:A))</f>
        <v>0</v>
      </c>
      <c r="D182" s="83" t="str">
        <f t="array" ref="D182">IF(OR(F182="",F182="Seleccionar.."),"",XLOOKUP(F182,Prearmados!E:E,Prearmados!F:F,"",0,1))</f>
        <v>Niveladoras</v>
      </c>
      <c r="E182" s="83">
        <f>IF(H182="","",SUMIF(Precio_Productos!K:K,C182,Precio_Productos!J:J)*H182)</f>
        <v>731400</v>
      </c>
      <c r="F182" s="84" t="s">
        <v>374</v>
      </c>
      <c r="G182" s="84" t="s">
        <v>175</v>
      </c>
      <c r="H182" s="13">
        <v>2.0</v>
      </c>
      <c r="P182" s="3" t="str">
        <f>IFERROR(__xludf.DUMMYFUNCTION("IF(OR(F182="""",F182=""Seleccionar..""),"""",TRANSPOSE(FILTER(Productos!E:E,(Productos!F:F=D182)+(Productos!F:F=XLOOKUP(D182,Implementos!B:B,Implementos!C:C,""-"",0,1)))))"),"Paquete de Elasticos 50 mm x 8 mm x 10 Hojas L850")</f>
        <v>Paquete de Elasticos 50 mm x 8 mm x 10 Hojas L850</v>
      </c>
      <c r="Q182" s="3" t="str">
        <f>IFERROR(__xludf.DUMMYFUNCTION("""COMPUTED_VALUE"""),"Paquete de Elasticos 63 mm x 8 mm x 10 Hojas L950")</f>
        <v>Paquete de Elasticos 63 mm x 8 mm x 10 Hojas L950</v>
      </c>
      <c r="R182" s="3" t="str">
        <f>IFERROR(__xludf.DUMMYFUNCTION("""COMPUTED_VALUE"""),"Paquete de Elasticos 50 mm x 7 mm x 9 Hojas L850")</f>
        <v>Paquete de Elasticos 50 mm x 7 mm x 9 Hojas L850</v>
      </c>
      <c r="S182" s="3" t="str">
        <f>IFERROR(__xludf.DUMMYFUNCTION("""COMPUTED_VALUE"""),"Paquete de Elasticos 63 mm x 8 mm x 8 Hojas L850")</f>
        <v>Paquete de Elasticos 63 mm x 8 mm x 8 Hojas L850</v>
      </c>
      <c r="T182" s="3" t="str">
        <f>IFERROR(__xludf.DUMMYFUNCTION("""COMPUTED_VALUE"""),"Paquete de Elasticos 63 mm x 10 mm x 10 Hojas L950")</f>
        <v>Paquete de Elasticos 63 mm x 10 mm x 10 Hojas L950</v>
      </c>
      <c r="U182" s="3" t="str">
        <f>IFERROR(__xludf.DUMMYFUNCTION("""COMPUTED_VALUE"""),"Paquete de Elasticos 63 mm x 10 mm x 13 Hojas L975")</f>
        <v>Paquete de Elasticos 63 mm x 10 mm x 13 Hojas L975</v>
      </c>
      <c r="V182" s="3" t="str">
        <f>IFERROR(__xludf.DUMMYFUNCTION("""COMPUTED_VALUE"""),"Paquete de Elasticos 50 mm x 7 mm x 9 Hojas L650")</f>
        <v>Paquete de Elasticos 50 mm x 7 mm x 9 Hojas L650</v>
      </c>
      <c r="W182" s="3" t="str">
        <f>IFERROR(__xludf.DUMMYFUNCTION("""COMPUTED_VALUE"""),"Eje Acoplado 2"" x 1600 (06/08) Agrícola Centro 92")</f>
        <v>Eje Acoplado 2" x 1600 (06/08) Agrícola Centro 92</v>
      </c>
      <c r="X182" s="3" t="str">
        <f>IFERROR(__xludf.DUMMYFUNCTION("""COMPUTED_VALUE"""),"Eje Acoplado 2 1/2"" x 1600 (07/09) Agrícola Centro 92")</f>
        <v>Eje Acoplado 2 1/2" x 1600 (07/09) Agrícola Centro 92</v>
      </c>
      <c r="Y182" s="3" t="str">
        <f>IFERROR(__xludf.DUMMYFUNCTION("""COMPUTED_VALUE"""),"Eje Acoplado 2 1/2"" x 1600 (09/11) Agrícola Centro 150")</f>
        <v>Eje Acoplado 2 1/2" x 1600 (09/11) Agrícola Centro 150</v>
      </c>
      <c r="Z182" s="3" t="str">
        <f>IFERROR(__xludf.DUMMYFUNCTION("""COMPUTED_VALUE"""),"Eje Acoplado 3"" x 1600 (10/13) Agrícola Centro 150")</f>
        <v>Eje Acoplado 3" x 1600 (10/13) Agrícola Centro 150</v>
      </c>
      <c r="AA182" s="3" t="str">
        <f>IFERROR(__xludf.DUMMYFUNCTION("""COMPUTED_VALUE"""),"Eje Acoplado 2 1/2"" x 2140 (07/09) Agrícola Centro 92")</f>
        <v>Eje Acoplado 2 1/2" x 2140 (07/09) Agrícola Centro 92</v>
      </c>
      <c r="AB182" s="3" t="str">
        <f>IFERROR(__xludf.DUMMYFUNCTION("""COMPUTED_VALUE"""),"Eje Acoplado 2"" x 1400 (06/08) Agrícola Centro 92")</f>
        <v>Eje Acoplado 2" x 1400 (06/08) Agrícola Centro 92</v>
      </c>
      <c r="AC182" s="3" t="str">
        <f>IFERROR(__xludf.DUMMYFUNCTION("""COMPUTED_VALUE"""),"Eje Acoplado 2 1/2"" x 1500 (07/09) Agrícola Centro 92")</f>
        <v>Eje Acoplado 2 1/2" x 1500 (07/09) Agrícola Centro 92</v>
      </c>
      <c r="AD182" s="3" t="str">
        <f>IFERROR(__xludf.DUMMYFUNCTION("""COMPUTED_VALUE"""),"Eje Acoplado 2 1/2"" x 2000 (07/09) Agrícola Centro 92")</f>
        <v>Eje Acoplado 2 1/2" x 2000 (07/09) Agrícola Centro 92</v>
      </c>
      <c r="AE182" s="3" t="str">
        <f>IFERROR(__xludf.DUMMYFUNCTION("""COMPUTED_VALUE"""),"Eje Acoplado 2 1/2"" x 2100 (09/11) Agrícola Centro 150")</f>
        <v>Eje Acoplado 2 1/2" x 2100 (09/11) Agrícola Centro 150</v>
      </c>
      <c r="AF182" s="3" t="str">
        <f>IFERROR(__xludf.DUMMYFUNCTION("""COMPUTED_VALUE"""),"Llanta 16"" Simple Agrícola Centro 92")</f>
        <v>Llanta 16" Simple Agrícola Centro 92</v>
      </c>
      <c r="AG182" s="3" t="str">
        <f>IFERROR(__xludf.DUMMYFUNCTION("""COMPUTED_VALUE"""),"Llanta 16"" Dual Agrícola Centro 92")</f>
        <v>Llanta 16" Dual Agrícola Centro 92</v>
      </c>
      <c r="AH182" s="3" t="str">
        <f>IFERROR(__xludf.DUMMYFUNCTION("""COMPUTED_VALUE"""),"Llanta 17"" Simple Agrícola Centro 92")</f>
        <v>Llanta 17" Simple Agrícola Centro 92</v>
      </c>
      <c r="AI182" s="3" t="str">
        <f>IFERROR(__xludf.DUMMYFUNCTION("""COMPUTED_VALUE"""),"Llanta 17"" Dual Agrícola Centro 92")</f>
        <v>Llanta 17" Dual Agrícola Centro 92</v>
      </c>
      <c r="AJ182" s="3" t="str">
        <f>IFERROR(__xludf.DUMMYFUNCTION("""COMPUTED_VALUE"""),"Llanta 16"" Dual Agrícola Centro 152")</f>
        <v>Llanta 16" Dual Agrícola Centro 152</v>
      </c>
      <c r="AK182" s="3" t="str">
        <f>IFERROR(__xludf.DUMMYFUNCTION("""COMPUTED_VALUE"""),"Llanta 17"" Dual Agrícola Centro 152")</f>
        <v>Llanta 17" Dual Agrícola Centro 152</v>
      </c>
      <c r="AL182" s="3" t="str">
        <f>IFERROR(__xludf.DUMMYFUNCTION("""COMPUTED_VALUE"""),"Eje Acoplado 2"" x 1600 (05/07) Agrícola Centro 92")</f>
        <v>Eje Acoplado 2" x 1600 (05/07) Agrícola Centro 92</v>
      </c>
      <c r="AM182" s="3" t="str">
        <f>IFERROR(__xludf.DUMMYFUNCTION("""COMPUTED_VALUE"""),"Paquete de Elásticos 50 mm x 8 mm x 12 Hojas")</f>
        <v>Paquete de Elásticos 50 mm x 8 mm x 12 Hojas</v>
      </c>
      <c r="AN182" s="3" t="str">
        <f>IFERROR(__xludf.DUMMYFUNCTION("""COMPUTED_VALUE"""),"Niveladora de Arrastre Base")</f>
        <v>Niveladora de Arrastre Base</v>
      </c>
      <c r="AO182" s="3" t="str">
        <f>IFERROR(__xludf.DUMMYFUNCTION("""COMPUTED_VALUE"""),"Giro Cuchilla Hidráulico Niveladora")</f>
        <v>Giro Cuchilla Hidráulico Niveladora</v>
      </c>
      <c r="AP182" s="3" t="str">
        <f>IFERROR(__xludf.DUMMYFUNCTION("""COMPUTED_VALUE"""),"Avantren Enganche Niveladora")</f>
        <v>Avantren Enganche Niveladora</v>
      </c>
      <c r="AQ182" s="3" t="str">
        <f>IFERROR(__xludf.DUMMYFUNCTION("""COMPUTED_VALUE"""),"Llanta simple Agrícola 750x20 centro 152")</f>
        <v>Llanta simple Agrícola 750x20 centro 152</v>
      </c>
      <c r="AR182" s="3" t="str">
        <f>IFERROR(__xludf.DUMMYFUNCTION("""COMPUTED_VALUE"""),"Llanta 15"" Simple Agrícola Centro 92")</f>
        <v>Llanta 15" Simple Agrícola Centro 92</v>
      </c>
    </row>
    <row r="183" hidden="1">
      <c r="A183" s="38">
        <f t="shared" si="1"/>
        <v>182</v>
      </c>
      <c r="B183" s="38">
        <f>IF(F183="","",SUMIF(Prearmados!E:E,F183,Prearmados!A:A))</f>
        <v>48</v>
      </c>
      <c r="C183" s="38">
        <f>IF(F183="","",SUMIF(Productos!E:E,G183,Productos!A:A))</f>
        <v>143</v>
      </c>
      <c r="D183" s="83" t="str">
        <f t="array" ref="D183">IF(OR(F183="",F183="Seleccionar.."),"",XLOOKUP(F183,Prearmados!E:E,Prearmados!F:F,"",0,1))</f>
        <v>Retroexcavadoras</v>
      </c>
      <c r="E183" s="83">
        <f>IF(H183="","",SUMIF(Precio_Productos!K:K,C183,Precio_Productos!J:J)*H183)</f>
        <v>8074729</v>
      </c>
      <c r="F183" s="84" t="s">
        <v>375</v>
      </c>
      <c r="G183" s="84" t="s">
        <v>144</v>
      </c>
      <c r="H183" s="13">
        <v>1.0</v>
      </c>
      <c r="P183" s="3" t="str">
        <f>IFERROR(__xludf.DUMMYFUNCTION("IF(OR(F183="""",F183=""Seleccionar..""),"""",TRANSPOSE(FILTER(Productos!E:E,(Productos!F:F=D183)+(Productos!F:F=XLOOKUP(D183,Implementos!B:B,Implementos!C:C,""-"",0,1)))))"),"Base Retroexcavadora RT-210")</f>
        <v>Base Retroexcavadora RT-210</v>
      </c>
      <c r="Q183" s="3" t="str">
        <f>IFERROR(__xludf.DUMMYFUNCTION("""COMPUTED_VALUE"""),"Base Retroexcavadora RT-290")</f>
        <v>Base Retroexcavadora RT-290</v>
      </c>
      <c r="R183" s="3" t="str">
        <f>IFERROR(__xludf.DUMMYFUNCTION("""COMPUTED_VALUE"""),"Acople 3P Clase 1")</f>
        <v>Acople 3P Clase 1</v>
      </c>
      <c r="S183" s="3" t="str">
        <f>IFERROR(__xludf.DUMMYFUNCTION("""COMPUTED_VALUE"""),"Acople 3P Clase 2")</f>
        <v>Acople 3P Clase 2</v>
      </c>
      <c r="T183" s="3" t="str">
        <f>IFERROR(__xludf.DUMMYFUNCTION("""COMPUTED_VALUE"""),"Acople 3P Clase 3")</f>
        <v>Acople 3P Clase 3</v>
      </c>
      <c r="U183" s="3" t="str">
        <f>IFERROR(__xludf.DUMMYFUNCTION("""COMPUTED_VALUE"""),"Acople Para Tractor Retroexcavadora")</f>
        <v>Acople Para Tractor Retroexcavadora</v>
      </c>
      <c r="V183" s="3" t="str">
        <f>IFERROR(__xludf.DUMMYFUNCTION("""COMPUTED_VALUE"""),"Central Hidráulica para Toma de Fuerza")</f>
        <v>Central Hidráulica para Toma de Fuerza</v>
      </c>
      <c r="W183" s="3" t="str">
        <f>IFERROR(__xludf.DUMMYFUNCTION("""COMPUTED_VALUE"""),"Carro de Arrastre con Bomba para Retroexcavadora")</f>
        <v>Carro de Arrastre con Bomba para Retroexcavadora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</row>
    <row r="184" hidden="1">
      <c r="A184" s="38">
        <f t="shared" si="1"/>
        <v>183</v>
      </c>
      <c r="B184" s="38">
        <f>IF(F184="","",SUMIF(Prearmados!E:E,F184,Prearmados!A:A))</f>
        <v>48</v>
      </c>
      <c r="C184" s="38">
        <f>IF(F184="","",SUMIF(Productos!E:E,G184,Productos!A:A))</f>
        <v>145</v>
      </c>
      <c r="D184" s="83" t="str">
        <f t="array" ref="D184">IF(OR(F184="",F184="Seleccionar.."),"",XLOOKUP(F184,Prearmados!E:E,Prearmados!F:F,"",0,1))</f>
        <v>Retroexcavadoras</v>
      </c>
      <c r="E184" s="83">
        <f>IF(H184="","",SUMIF(Precio_Productos!K:K,C184,Precio_Productos!J:J)*H184)</f>
        <v>180000</v>
      </c>
      <c r="F184" s="84" t="s">
        <v>375</v>
      </c>
      <c r="G184" s="84" t="s">
        <v>146</v>
      </c>
      <c r="H184" s="13">
        <v>1.0</v>
      </c>
      <c r="P184" s="3" t="str">
        <f>IFERROR(__xludf.DUMMYFUNCTION("IF(OR(F184="""",F184=""Seleccionar..""),"""",TRANSPOSE(FILTER(Productos!E:E,(Productos!F:F=D184)+(Productos!F:F=XLOOKUP(D184,Implementos!B:B,Implementos!C:C,""-"",0,1)))))"),"Base Retroexcavadora RT-210")</f>
        <v>Base Retroexcavadora RT-210</v>
      </c>
      <c r="Q184" s="3" t="str">
        <f>IFERROR(__xludf.DUMMYFUNCTION("""COMPUTED_VALUE"""),"Base Retroexcavadora RT-290")</f>
        <v>Base Retroexcavadora RT-290</v>
      </c>
      <c r="R184" s="3" t="str">
        <f>IFERROR(__xludf.DUMMYFUNCTION("""COMPUTED_VALUE"""),"Acople 3P Clase 1")</f>
        <v>Acople 3P Clase 1</v>
      </c>
      <c r="S184" s="3" t="str">
        <f>IFERROR(__xludf.DUMMYFUNCTION("""COMPUTED_VALUE"""),"Acople 3P Clase 2")</f>
        <v>Acople 3P Clase 2</v>
      </c>
      <c r="T184" s="3" t="str">
        <f>IFERROR(__xludf.DUMMYFUNCTION("""COMPUTED_VALUE"""),"Acople 3P Clase 3")</f>
        <v>Acople 3P Clase 3</v>
      </c>
      <c r="U184" s="3" t="str">
        <f>IFERROR(__xludf.DUMMYFUNCTION("""COMPUTED_VALUE"""),"Acople Para Tractor Retroexcavadora")</f>
        <v>Acople Para Tractor Retroexcavadora</v>
      </c>
      <c r="V184" s="3" t="str">
        <f>IFERROR(__xludf.DUMMYFUNCTION("""COMPUTED_VALUE"""),"Central Hidráulica para Toma de Fuerza")</f>
        <v>Central Hidráulica para Toma de Fuerza</v>
      </c>
      <c r="W184" s="3" t="str">
        <f>IFERROR(__xludf.DUMMYFUNCTION("""COMPUTED_VALUE"""),"Carro de Arrastre con Bomba para Retroexcavadora")</f>
        <v>Carro de Arrastre con Bomba para Retroexcavadora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</row>
    <row r="185" hidden="1">
      <c r="A185" s="38">
        <f t="shared" si="1"/>
        <v>184</v>
      </c>
      <c r="B185" s="38">
        <f>IF(F185="","",SUMIF(Prearmados!E:E,F185,Prearmados!A:A))</f>
        <v>49</v>
      </c>
      <c r="C185" s="38">
        <f>IF(F185="","",SUMIF(Productos!E:E,G185,Productos!A:A))</f>
        <v>143</v>
      </c>
      <c r="D185" s="83" t="str">
        <f t="array" ref="D185">IF(OR(F185="",F185="Seleccionar.."),"",XLOOKUP(F185,Prearmados!E:E,Prearmados!F:F,"",0,1))</f>
        <v>Retroexcavadoras</v>
      </c>
      <c r="E185" s="83">
        <f>IF(H185="","",SUMIF(Precio_Productos!K:K,C185,Precio_Productos!J:J)*H185)</f>
        <v>8074729</v>
      </c>
      <c r="F185" s="84" t="s">
        <v>377</v>
      </c>
      <c r="G185" s="84" t="s">
        <v>144</v>
      </c>
      <c r="H185" s="13">
        <v>1.0</v>
      </c>
      <c r="P185" s="3" t="str">
        <f>IFERROR(__xludf.DUMMYFUNCTION("IF(OR(F185="""",F185=""Seleccionar..""),"""",TRANSPOSE(FILTER(Productos!E:E,(Productos!F:F=D185)+(Productos!F:F=XLOOKUP(D185,Implementos!B:B,Implementos!C:C,""-"",0,1)))))"),"Base Retroexcavadora RT-210")</f>
        <v>Base Retroexcavadora RT-210</v>
      </c>
      <c r="Q185" s="3" t="str">
        <f>IFERROR(__xludf.DUMMYFUNCTION("""COMPUTED_VALUE"""),"Base Retroexcavadora RT-290")</f>
        <v>Base Retroexcavadora RT-290</v>
      </c>
      <c r="R185" s="3" t="str">
        <f>IFERROR(__xludf.DUMMYFUNCTION("""COMPUTED_VALUE"""),"Acople 3P Clase 1")</f>
        <v>Acople 3P Clase 1</v>
      </c>
      <c r="S185" s="3" t="str">
        <f>IFERROR(__xludf.DUMMYFUNCTION("""COMPUTED_VALUE"""),"Acople 3P Clase 2")</f>
        <v>Acople 3P Clase 2</v>
      </c>
      <c r="T185" s="3" t="str">
        <f>IFERROR(__xludf.DUMMYFUNCTION("""COMPUTED_VALUE"""),"Acople 3P Clase 3")</f>
        <v>Acople 3P Clase 3</v>
      </c>
      <c r="U185" s="3" t="str">
        <f>IFERROR(__xludf.DUMMYFUNCTION("""COMPUTED_VALUE"""),"Acople Para Tractor Retroexcavadora")</f>
        <v>Acople Para Tractor Retroexcavadora</v>
      </c>
      <c r="V185" s="3" t="str">
        <f>IFERROR(__xludf.DUMMYFUNCTION("""COMPUTED_VALUE"""),"Central Hidráulica para Toma de Fuerza")</f>
        <v>Central Hidráulica para Toma de Fuerza</v>
      </c>
      <c r="W185" s="3" t="str">
        <f>IFERROR(__xludf.DUMMYFUNCTION("""COMPUTED_VALUE"""),"Carro de Arrastre con Bomba para Retroexcavadora")</f>
        <v>Carro de Arrastre con Bomba para Retroexcavadora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</row>
    <row r="186" hidden="1">
      <c r="A186" s="38">
        <f t="shared" si="1"/>
        <v>185</v>
      </c>
      <c r="B186" s="38">
        <f>IF(F186="","",SUMIF(Prearmados!E:E,F186,Prearmados!A:A))</f>
        <v>49</v>
      </c>
      <c r="C186" s="38">
        <f>IF(F186="","",SUMIF(Productos!E:E,G186,Productos!A:A))</f>
        <v>146</v>
      </c>
      <c r="D186" s="83" t="str">
        <f t="array" ref="D186">IF(OR(F186="",F186="Seleccionar.."),"",XLOOKUP(F186,Prearmados!E:E,Prearmados!F:F,"",0,1))</f>
        <v>Retroexcavadoras</v>
      </c>
      <c r="E186" s="83">
        <f>IF(H186="","",SUMIF(Precio_Productos!K:K,C186,Precio_Productos!J:J)*H186)</f>
        <v>180000</v>
      </c>
      <c r="F186" s="84" t="s">
        <v>377</v>
      </c>
      <c r="G186" s="84" t="s">
        <v>147</v>
      </c>
      <c r="H186" s="13">
        <v>1.0</v>
      </c>
      <c r="P186" s="3" t="str">
        <f>IFERROR(__xludf.DUMMYFUNCTION("IF(OR(F186="""",F186=""Seleccionar..""),"""",TRANSPOSE(FILTER(Productos!E:E,(Productos!F:F=D186)+(Productos!F:F=XLOOKUP(D186,Implementos!B:B,Implementos!C:C,""-"",0,1)))))"),"Base Retroexcavadora RT-210")</f>
        <v>Base Retroexcavadora RT-210</v>
      </c>
      <c r="Q186" s="3" t="str">
        <f>IFERROR(__xludf.DUMMYFUNCTION("""COMPUTED_VALUE"""),"Base Retroexcavadora RT-290")</f>
        <v>Base Retroexcavadora RT-290</v>
      </c>
      <c r="R186" s="3" t="str">
        <f>IFERROR(__xludf.DUMMYFUNCTION("""COMPUTED_VALUE"""),"Acople 3P Clase 1")</f>
        <v>Acople 3P Clase 1</v>
      </c>
      <c r="S186" s="3" t="str">
        <f>IFERROR(__xludf.DUMMYFUNCTION("""COMPUTED_VALUE"""),"Acople 3P Clase 2")</f>
        <v>Acople 3P Clase 2</v>
      </c>
      <c r="T186" s="3" t="str">
        <f>IFERROR(__xludf.DUMMYFUNCTION("""COMPUTED_VALUE"""),"Acople 3P Clase 3")</f>
        <v>Acople 3P Clase 3</v>
      </c>
      <c r="U186" s="3" t="str">
        <f>IFERROR(__xludf.DUMMYFUNCTION("""COMPUTED_VALUE"""),"Acople Para Tractor Retroexcavadora")</f>
        <v>Acople Para Tractor Retroexcavadora</v>
      </c>
      <c r="V186" s="3" t="str">
        <f>IFERROR(__xludf.DUMMYFUNCTION("""COMPUTED_VALUE"""),"Central Hidráulica para Toma de Fuerza")</f>
        <v>Central Hidráulica para Toma de Fuerza</v>
      </c>
      <c r="W186" s="3" t="str">
        <f>IFERROR(__xludf.DUMMYFUNCTION("""COMPUTED_VALUE"""),"Carro de Arrastre con Bomba para Retroexcavadora")</f>
        <v>Carro de Arrastre con Bomba para Retroexcavadora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</row>
    <row r="187" hidden="1">
      <c r="A187" s="38">
        <f t="shared" si="1"/>
        <v>186</v>
      </c>
      <c r="B187" s="38">
        <f>IF(F187="","",SUMIF(Prearmados!E:E,F187,Prearmados!A:A))</f>
        <v>50</v>
      </c>
      <c r="C187" s="38">
        <f>IF(F187="","",SUMIF(Productos!E:E,G187,Productos!A:A))</f>
        <v>144</v>
      </c>
      <c r="D187" s="83" t="str">
        <f t="array" ref="D187">IF(OR(F187="",F187="Seleccionar.."),"",XLOOKUP(F187,Prearmados!E:E,Prearmados!F:F,"",0,1))</f>
        <v>Retroexcavadoras</v>
      </c>
      <c r="E187" s="83">
        <f>IF(H187="","",SUMIF(Precio_Productos!K:K,C187,Precio_Productos!J:J)*H187)</f>
        <v>10406890</v>
      </c>
      <c r="F187" s="84" t="s">
        <v>378</v>
      </c>
      <c r="G187" s="84" t="s">
        <v>145</v>
      </c>
      <c r="H187" s="13">
        <v>1.0</v>
      </c>
      <c r="P187" s="3" t="str">
        <f>IFERROR(__xludf.DUMMYFUNCTION("IF(OR(F187="""",F187=""Seleccionar..""),"""",TRANSPOSE(FILTER(Productos!E:E,(Productos!F:F=D187)+(Productos!F:F=XLOOKUP(D187,Implementos!B:B,Implementos!C:C,""-"",0,1)))))"),"Base Retroexcavadora RT-210")</f>
        <v>Base Retroexcavadora RT-210</v>
      </c>
      <c r="Q187" s="3" t="str">
        <f>IFERROR(__xludf.DUMMYFUNCTION("""COMPUTED_VALUE"""),"Base Retroexcavadora RT-290")</f>
        <v>Base Retroexcavadora RT-290</v>
      </c>
      <c r="R187" s="3" t="str">
        <f>IFERROR(__xludf.DUMMYFUNCTION("""COMPUTED_VALUE"""),"Acople 3P Clase 1")</f>
        <v>Acople 3P Clase 1</v>
      </c>
      <c r="S187" s="3" t="str">
        <f>IFERROR(__xludf.DUMMYFUNCTION("""COMPUTED_VALUE"""),"Acople 3P Clase 2")</f>
        <v>Acople 3P Clase 2</v>
      </c>
      <c r="T187" s="3" t="str">
        <f>IFERROR(__xludf.DUMMYFUNCTION("""COMPUTED_VALUE"""),"Acople 3P Clase 3")</f>
        <v>Acople 3P Clase 3</v>
      </c>
      <c r="U187" s="3" t="str">
        <f>IFERROR(__xludf.DUMMYFUNCTION("""COMPUTED_VALUE"""),"Acople Para Tractor Retroexcavadora")</f>
        <v>Acople Para Tractor Retroexcavadora</v>
      </c>
      <c r="V187" s="3" t="str">
        <f>IFERROR(__xludf.DUMMYFUNCTION("""COMPUTED_VALUE"""),"Central Hidráulica para Toma de Fuerza")</f>
        <v>Central Hidráulica para Toma de Fuerza</v>
      </c>
      <c r="W187" s="3" t="str">
        <f>IFERROR(__xludf.DUMMYFUNCTION("""COMPUTED_VALUE"""),"Carro de Arrastre con Bomba para Retroexcavadora")</f>
        <v>Carro de Arrastre con Bomba para Retroexcavadora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</row>
    <row r="188" hidden="1">
      <c r="A188" s="38">
        <f t="shared" si="1"/>
        <v>187</v>
      </c>
      <c r="B188" s="38">
        <f>IF(F188="","",SUMIF(Prearmados!E:E,F188,Prearmados!A:A))</f>
        <v>50</v>
      </c>
      <c r="C188" s="38">
        <f>IF(F188="","",SUMIF(Productos!E:E,G188,Productos!A:A))</f>
        <v>146</v>
      </c>
      <c r="D188" s="83" t="str">
        <f t="array" ref="D188">IF(OR(F188="",F188="Seleccionar.."),"",XLOOKUP(F188,Prearmados!E:E,Prearmados!F:F,"",0,1))</f>
        <v>Retroexcavadoras</v>
      </c>
      <c r="E188" s="83">
        <f>IF(H188="","",SUMIF(Precio_Productos!K:K,C188,Precio_Productos!J:J)*H188)</f>
        <v>180000</v>
      </c>
      <c r="F188" s="84" t="s">
        <v>378</v>
      </c>
      <c r="G188" s="84" t="s">
        <v>147</v>
      </c>
      <c r="H188" s="13">
        <v>1.0</v>
      </c>
      <c r="P188" s="3" t="str">
        <f>IFERROR(__xludf.DUMMYFUNCTION("IF(OR(F188="""",F188=""Seleccionar..""),"""",TRANSPOSE(FILTER(Productos!E:E,(Productos!F:F=D188)+(Productos!F:F=XLOOKUP(D188,Implementos!B:B,Implementos!C:C,""-"",0,1)))))"),"Base Retroexcavadora RT-210")</f>
        <v>Base Retroexcavadora RT-210</v>
      </c>
      <c r="Q188" s="3" t="str">
        <f>IFERROR(__xludf.DUMMYFUNCTION("""COMPUTED_VALUE"""),"Base Retroexcavadora RT-290")</f>
        <v>Base Retroexcavadora RT-290</v>
      </c>
      <c r="R188" s="3" t="str">
        <f>IFERROR(__xludf.DUMMYFUNCTION("""COMPUTED_VALUE"""),"Acople 3P Clase 1")</f>
        <v>Acople 3P Clase 1</v>
      </c>
      <c r="S188" s="3" t="str">
        <f>IFERROR(__xludf.DUMMYFUNCTION("""COMPUTED_VALUE"""),"Acople 3P Clase 2")</f>
        <v>Acople 3P Clase 2</v>
      </c>
      <c r="T188" s="3" t="str">
        <f>IFERROR(__xludf.DUMMYFUNCTION("""COMPUTED_VALUE"""),"Acople 3P Clase 3")</f>
        <v>Acople 3P Clase 3</v>
      </c>
      <c r="U188" s="3" t="str">
        <f>IFERROR(__xludf.DUMMYFUNCTION("""COMPUTED_VALUE"""),"Acople Para Tractor Retroexcavadora")</f>
        <v>Acople Para Tractor Retroexcavadora</v>
      </c>
      <c r="V188" s="3" t="str">
        <f>IFERROR(__xludf.DUMMYFUNCTION("""COMPUTED_VALUE"""),"Central Hidráulica para Toma de Fuerza")</f>
        <v>Central Hidráulica para Toma de Fuerza</v>
      </c>
      <c r="W188" s="3" t="str">
        <f>IFERROR(__xludf.DUMMYFUNCTION("""COMPUTED_VALUE"""),"Carro de Arrastre con Bomba para Retroexcavadora")</f>
        <v>Carro de Arrastre con Bomba para Retroexcavadora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</row>
    <row r="189" hidden="1">
      <c r="A189" s="38">
        <f t="shared" si="1"/>
        <v>188</v>
      </c>
      <c r="B189" s="38">
        <f>IF(F189="","",SUMIF(Prearmados!E:E,F189,Prearmados!A:A))</f>
        <v>51</v>
      </c>
      <c r="C189" s="38">
        <f>IF(F189="","",SUMIF(Productos!E:E,G189,Productos!A:A))</f>
        <v>144</v>
      </c>
      <c r="D189" s="83" t="str">
        <f t="array" ref="D189">IF(OR(F189="",F189="Seleccionar.."),"",XLOOKUP(F189,Prearmados!E:E,Prearmados!F:F,"",0,1))</f>
        <v>Retroexcavadoras</v>
      </c>
      <c r="E189" s="83">
        <f>IF(H189="","",SUMIF(Precio_Productos!K:K,C189,Precio_Productos!J:J)*H189)</f>
        <v>10406890</v>
      </c>
      <c r="F189" s="84" t="s">
        <v>158</v>
      </c>
      <c r="G189" s="84" t="s">
        <v>145</v>
      </c>
      <c r="H189" s="13">
        <v>1.0</v>
      </c>
      <c r="P189" s="3" t="str">
        <f>IFERROR(__xludf.DUMMYFUNCTION("IF(OR(F189="""",F189=""Seleccionar..""),"""",TRANSPOSE(FILTER(Productos!E:E,(Productos!F:F=D189)+(Productos!F:F=XLOOKUP(D189,Implementos!B:B,Implementos!C:C,""-"",0,1)))))"),"Base Retroexcavadora RT-210")</f>
        <v>Base Retroexcavadora RT-210</v>
      </c>
      <c r="Q189" s="3" t="str">
        <f>IFERROR(__xludf.DUMMYFUNCTION("""COMPUTED_VALUE"""),"Base Retroexcavadora RT-290")</f>
        <v>Base Retroexcavadora RT-290</v>
      </c>
      <c r="R189" s="3" t="str">
        <f>IFERROR(__xludf.DUMMYFUNCTION("""COMPUTED_VALUE"""),"Acople 3P Clase 1")</f>
        <v>Acople 3P Clase 1</v>
      </c>
      <c r="S189" s="3" t="str">
        <f>IFERROR(__xludf.DUMMYFUNCTION("""COMPUTED_VALUE"""),"Acople 3P Clase 2")</f>
        <v>Acople 3P Clase 2</v>
      </c>
      <c r="T189" s="3" t="str">
        <f>IFERROR(__xludf.DUMMYFUNCTION("""COMPUTED_VALUE"""),"Acople 3P Clase 3")</f>
        <v>Acople 3P Clase 3</v>
      </c>
      <c r="U189" s="3" t="str">
        <f>IFERROR(__xludf.DUMMYFUNCTION("""COMPUTED_VALUE"""),"Acople Para Tractor Retroexcavadora")</f>
        <v>Acople Para Tractor Retroexcavadora</v>
      </c>
      <c r="V189" s="3" t="str">
        <f>IFERROR(__xludf.DUMMYFUNCTION("""COMPUTED_VALUE"""),"Central Hidráulica para Toma de Fuerza")</f>
        <v>Central Hidráulica para Toma de Fuerza</v>
      </c>
      <c r="W189" s="3" t="str">
        <f>IFERROR(__xludf.DUMMYFUNCTION("""COMPUTED_VALUE"""),"Carro de Arrastre con Bomba para Retroexcavadora")</f>
        <v>Carro de Arrastre con Bomba para Retroexcavadora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</row>
    <row r="190" hidden="1">
      <c r="A190" s="38">
        <f t="shared" si="1"/>
        <v>189</v>
      </c>
      <c r="B190" s="38">
        <f>IF(F190="","",SUMIF(Prearmados!E:E,F190,Prearmados!A:A))</f>
        <v>51</v>
      </c>
      <c r="C190" s="38">
        <f>IF(F190="","",SUMIF(Productos!E:E,G190,Productos!A:A))</f>
        <v>147</v>
      </c>
      <c r="D190" s="83" t="str">
        <f t="array" ref="D190">IF(OR(F190="",F190="Seleccionar.."),"",XLOOKUP(F190,Prearmados!E:E,Prearmados!F:F,"",0,1))</f>
        <v>Retroexcavadoras</v>
      </c>
      <c r="E190" s="83">
        <f>IF(H190="","",SUMIF(Precio_Productos!K:K,C190,Precio_Productos!J:J)*H190)</f>
        <v>799391</v>
      </c>
      <c r="F190" s="84" t="s">
        <v>158</v>
      </c>
      <c r="G190" s="84" t="s">
        <v>148</v>
      </c>
      <c r="H190" s="13">
        <v>1.0</v>
      </c>
      <c r="P190" s="3" t="str">
        <f>IFERROR(__xludf.DUMMYFUNCTION("IF(OR(F190="""",F190=""Seleccionar..""),"""",TRANSPOSE(FILTER(Productos!E:E,(Productos!F:F=D190)+(Productos!F:F=XLOOKUP(D190,Implementos!B:B,Implementos!C:C,""-"",0,1)))))"),"Base Retroexcavadora RT-210")</f>
        <v>Base Retroexcavadora RT-210</v>
      </c>
      <c r="Q190" s="3" t="str">
        <f>IFERROR(__xludf.DUMMYFUNCTION("""COMPUTED_VALUE"""),"Base Retroexcavadora RT-290")</f>
        <v>Base Retroexcavadora RT-290</v>
      </c>
      <c r="R190" s="3" t="str">
        <f>IFERROR(__xludf.DUMMYFUNCTION("""COMPUTED_VALUE"""),"Acople 3P Clase 1")</f>
        <v>Acople 3P Clase 1</v>
      </c>
      <c r="S190" s="3" t="str">
        <f>IFERROR(__xludf.DUMMYFUNCTION("""COMPUTED_VALUE"""),"Acople 3P Clase 2")</f>
        <v>Acople 3P Clase 2</v>
      </c>
      <c r="T190" s="3" t="str">
        <f>IFERROR(__xludf.DUMMYFUNCTION("""COMPUTED_VALUE"""),"Acople 3P Clase 3")</f>
        <v>Acople 3P Clase 3</v>
      </c>
      <c r="U190" s="3" t="str">
        <f>IFERROR(__xludf.DUMMYFUNCTION("""COMPUTED_VALUE"""),"Acople Para Tractor Retroexcavadora")</f>
        <v>Acople Para Tractor Retroexcavadora</v>
      </c>
      <c r="V190" s="3" t="str">
        <f>IFERROR(__xludf.DUMMYFUNCTION("""COMPUTED_VALUE"""),"Central Hidráulica para Toma de Fuerza")</f>
        <v>Central Hidráulica para Toma de Fuerza</v>
      </c>
      <c r="W190" s="3" t="str">
        <f>IFERROR(__xludf.DUMMYFUNCTION("""COMPUTED_VALUE"""),"Carro de Arrastre con Bomba para Retroexcavadora")</f>
        <v>Carro de Arrastre con Bomba para Retroexcavadora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</row>
    <row r="191" hidden="1">
      <c r="A191" s="38">
        <f t="shared" si="1"/>
        <v>190</v>
      </c>
      <c r="B191" s="38">
        <f>IF(F191="","",SUMIF(Prearmados!E:E,F191,Prearmados!A:A))</f>
        <v>0</v>
      </c>
      <c r="C191" s="38">
        <f>IF(F191="","",SUMIF(Productos!E:E,G191,Productos!A:A))</f>
        <v>0</v>
      </c>
      <c r="D191" s="85" t="str">
        <f t="array" ref="D191">IF(OR(F191="",F191="Seleccionar.."),"",XLOOKUP(F191,Prearmados!E:E,Prearmados!F:F,"",0,1))</f>
        <v/>
      </c>
      <c r="E191" s="83" t="str">
        <f>IF(H191="","",SUMIF(Precio_Productos!K:K,C191,Precio_Productos!J:J)*H191)</f>
        <v/>
      </c>
      <c r="F191" s="86" t="str">
        <f t="shared" ref="F191:F998" si="2">IF(OR(F190="",F190="Seleccionar.."),"","Seleccionar..")</f>
        <v>Seleccionar..</v>
      </c>
      <c r="G191" s="86" t="str">
        <f t="shared" ref="G191:G998" si="3">IF(OR(F191="",F191="Seleccionar.."),"","Seleccionar..")</f>
        <v/>
      </c>
      <c r="H191" s="15"/>
      <c r="P191" s="3" t="str">
        <f>IFERROR(__xludf.DUMMYFUNCTION("IF(OR(F191="""",F191=""Seleccionar..""),"""",TRANSPOSE(FILTER(Productos!E:E,(Productos!F:F=D191)+(Productos!F:F=XLOOKUP(D191,Implementos!B:B,Implementos!C:C,""-"",0,1)))))"),"")</f>
        <v/>
      </c>
    </row>
    <row r="192" hidden="1">
      <c r="A192" s="38" t="str">
        <f t="shared" si="1"/>
        <v/>
      </c>
      <c r="B192" s="38" t="str">
        <f>IF(F192="","",SUMIF(Prearmados!E:E,F192,Prearmados!A:A))</f>
        <v/>
      </c>
      <c r="C192" s="38" t="str">
        <f>IF(F192="","",SUMIF(Productos!E:E,G192,Productos!A:A))</f>
        <v/>
      </c>
      <c r="D192" s="85" t="str">
        <f t="array" ref="D192">IF(OR(F192="",F192="Seleccionar.."),"",XLOOKUP(F192,Prearmados!E:E,Prearmados!F:F,"",0,1))</f>
        <v/>
      </c>
      <c r="E192" s="83" t="str">
        <f>IF(H192="","",SUMIF(Precio_Productos!K:K,C192,Precio_Productos!J:J)*H192)</f>
        <v/>
      </c>
      <c r="F192" s="86" t="str">
        <f t="shared" si="2"/>
        <v/>
      </c>
      <c r="G192" s="86" t="str">
        <f t="shared" si="3"/>
        <v/>
      </c>
      <c r="H192" s="15"/>
      <c r="P192" s="3" t="str">
        <f>IFERROR(__xludf.DUMMYFUNCTION("IF(OR(F192="""",F192=""Seleccionar..""),"""",TRANSPOSE(FILTER(Productos!E:E,(Productos!F:F=D192)+(Productos!F:F=XLOOKUP(D192,Implementos!B:B,Implementos!C:C,""-"",0,1)))))"),"")</f>
        <v/>
      </c>
    </row>
    <row r="193" hidden="1">
      <c r="A193" s="38" t="str">
        <f t="shared" si="1"/>
        <v/>
      </c>
      <c r="B193" s="38" t="str">
        <f>IF(F193="","",SUMIF(Prearmados!E:E,F193,Prearmados!A:A))</f>
        <v/>
      </c>
      <c r="C193" s="38" t="str">
        <f>IF(F193="","",SUMIF(Productos!E:E,G193,Productos!A:A))</f>
        <v/>
      </c>
      <c r="D193" s="85" t="str">
        <f t="array" ref="D193">IF(OR(F193="",F193="Seleccionar.."),"",XLOOKUP(F193,Prearmados!E:E,Prearmados!F:F,"",0,1))</f>
        <v/>
      </c>
      <c r="E193" s="83" t="str">
        <f>IF(H193="","",SUMIF(Precio_Productos!K:K,C193,Precio_Productos!J:J)*H193)</f>
        <v/>
      </c>
      <c r="F193" s="86" t="str">
        <f t="shared" si="2"/>
        <v/>
      </c>
      <c r="G193" s="86" t="str">
        <f t="shared" si="3"/>
        <v/>
      </c>
      <c r="H193" s="15"/>
      <c r="P193" s="3" t="str">
        <f>IFERROR(__xludf.DUMMYFUNCTION("IF(OR(F193="""",F193=""Seleccionar..""),"""",TRANSPOSE(FILTER(Productos!E:E,(Productos!F:F=D193)+(Productos!F:F=XLOOKUP(D193,Implementos!B:B,Implementos!C:C,""-"",0,1)))))"),"")</f>
        <v/>
      </c>
    </row>
    <row r="194" hidden="1">
      <c r="A194" s="38" t="str">
        <f t="shared" si="1"/>
        <v/>
      </c>
      <c r="B194" s="38" t="str">
        <f>IF(F194="","",SUMIF(Prearmados!E:E,F194,Prearmados!A:A))</f>
        <v/>
      </c>
      <c r="C194" s="38" t="str">
        <f>IF(F194="","",SUMIF(Productos!E:E,G194,Productos!A:A))</f>
        <v/>
      </c>
      <c r="D194" s="85" t="str">
        <f t="array" ref="D194">IF(OR(F194="",F194="Seleccionar.."),"",XLOOKUP(F194,Prearmados!E:E,Prearmados!F:F,"",0,1))</f>
        <v/>
      </c>
      <c r="E194" s="83" t="str">
        <f>IF(H194="","",SUMIF(Precio_Productos!K:K,C194,Precio_Productos!J:J)*H194)</f>
        <v/>
      </c>
      <c r="F194" s="86" t="str">
        <f t="shared" si="2"/>
        <v/>
      </c>
      <c r="G194" s="86" t="str">
        <f t="shared" si="3"/>
        <v/>
      </c>
      <c r="H194" s="15"/>
      <c r="P194" s="3" t="str">
        <f>IFERROR(__xludf.DUMMYFUNCTION("IF(OR(F194="""",F194=""Seleccionar..""),"""",TRANSPOSE(FILTER(Productos!E:E,(Productos!F:F=D194)+(Productos!F:F=XLOOKUP(D194,Implementos!B:B,Implementos!C:C,""-"",0,1)))))"),"")</f>
        <v/>
      </c>
    </row>
    <row r="195" hidden="1">
      <c r="A195" s="38" t="str">
        <f t="shared" si="1"/>
        <v/>
      </c>
      <c r="B195" s="38" t="str">
        <f>IF(F195="","",SUMIF(Prearmados!E:E,F195,Prearmados!A:A))</f>
        <v/>
      </c>
      <c r="C195" s="38" t="str">
        <f>IF(F195="","",SUMIF(Productos!E:E,G195,Productos!A:A))</f>
        <v/>
      </c>
      <c r="D195" s="85" t="str">
        <f t="array" ref="D195">IF(OR(F195="",F195="Seleccionar.."),"",XLOOKUP(F195,Prearmados!E:E,Prearmados!F:F,"",0,1))</f>
        <v/>
      </c>
      <c r="E195" s="83" t="str">
        <f>IF(H195="","",SUMIF(Precio_Productos!K:K,C195,Precio_Productos!J:J)*H195)</f>
        <v/>
      </c>
      <c r="F195" s="86" t="str">
        <f t="shared" si="2"/>
        <v/>
      </c>
      <c r="G195" s="86" t="str">
        <f t="shared" si="3"/>
        <v/>
      </c>
      <c r="H195" s="15"/>
      <c r="P195" s="3" t="str">
        <f>IFERROR(__xludf.DUMMYFUNCTION("IF(OR(F195="""",F195=""Seleccionar..""),"""",TRANSPOSE(FILTER(Productos!E:E,(Productos!F:F=D195)+(Productos!F:F=XLOOKUP(D195,Implementos!B:B,Implementos!C:C,""-"",0,1)))))"),"")</f>
        <v/>
      </c>
    </row>
    <row r="196" hidden="1">
      <c r="A196" s="38" t="str">
        <f t="shared" si="1"/>
        <v/>
      </c>
      <c r="B196" s="38" t="str">
        <f>IF(F196="","",SUMIF(Prearmados!E:E,F196,Prearmados!A:A))</f>
        <v/>
      </c>
      <c r="C196" s="38" t="str">
        <f>IF(F196="","",SUMIF(Productos!E:E,G196,Productos!A:A))</f>
        <v/>
      </c>
      <c r="D196" s="85" t="str">
        <f t="array" ref="D196">IF(OR(F196="",F196="Seleccionar.."),"",XLOOKUP(F196,Prearmados!E:E,Prearmados!F:F,"",0,1))</f>
        <v/>
      </c>
      <c r="E196" s="83" t="str">
        <f>IF(H196="","",SUMIF(Precio_Productos!K:K,C196,Precio_Productos!J:J)*H196)</f>
        <v/>
      </c>
      <c r="F196" s="86" t="str">
        <f t="shared" si="2"/>
        <v/>
      </c>
      <c r="G196" s="86" t="str">
        <f t="shared" si="3"/>
        <v/>
      </c>
      <c r="H196" s="15"/>
      <c r="P196" s="3" t="str">
        <f>IFERROR(__xludf.DUMMYFUNCTION("IF(OR(F196="""",F196=""Seleccionar..""),"""",TRANSPOSE(FILTER(Productos!E:E,(Productos!F:F=D196)+(Productos!F:F=XLOOKUP(D196,Implementos!B:B,Implementos!C:C,""-"",0,1)))))"),"")</f>
        <v/>
      </c>
    </row>
    <row r="197" hidden="1">
      <c r="A197" s="38" t="str">
        <f t="shared" si="1"/>
        <v/>
      </c>
      <c r="B197" s="38" t="str">
        <f>IF(F197="","",SUMIF(Prearmados!E:E,F197,Prearmados!A:A))</f>
        <v/>
      </c>
      <c r="C197" s="38" t="str">
        <f>IF(F197="","",SUMIF(Productos!E:E,G197,Productos!A:A))</f>
        <v/>
      </c>
      <c r="D197" s="85" t="str">
        <f t="array" ref="D197">IF(OR(F197="",F197="Seleccionar.."),"",XLOOKUP(F197,Prearmados!E:E,Prearmados!F:F,"",0,1))</f>
        <v/>
      </c>
      <c r="E197" s="83" t="str">
        <f>IF(H197="","",SUMIF(Precio_Productos!K:K,C197,Precio_Productos!J:J)*H197)</f>
        <v/>
      </c>
      <c r="F197" s="86" t="str">
        <f t="shared" si="2"/>
        <v/>
      </c>
      <c r="G197" s="86" t="str">
        <f t="shared" si="3"/>
        <v/>
      </c>
      <c r="H197" s="15"/>
      <c r="P197" s="3" t="str">
        <f>IFERROR(__xludf.DUMMYFUNCTION("IF(OR(F197="""",F197=""Seleccionar..""),"""",TRANSPOSE(FILTER(Productos!E:E,(Productos!F:F=D197)+(Productos!F:F=XLOOKUP(D197,Implementos!B:B,Implementos!C:C,""-"",0,1)))))"),"")</f>
        <v/>
      </c>
    </row>
    <row r="198" hidden="1">
      <c r="A198" s="38" t="str">
        <f t="shared" si="1"/>
        <v/>
      </c>
      <c r="B198" s="38" t="str">
        <f>IF(F198="","",SUMIF(Prearmados!E:E,F198,Prearmados!A:A))</f>
        <v/>
      </c>
      <c r="C198" s="38" t="str">
        <f>IF(F198="","",SUMIF(Productos!E:E,G198,Productos!A:A))</f>
        <v/>
      </c>
      <c r="D198" s="85" t="str">
        <f t="array" ref="D198">IF(OR(F198="",F198="Seleccionar.."),"",XLOOKUP(F198,Prearmados!E:E,Prearmados!F:F,"",0,1))</f>
        <v/>
      </c>
      <c r="E198" s="83" t="str">
        <f>IF(H198="","",SUMIF(Precio_Productos!K:K,C198,Precio_Productos!J:J)*H198)</f>
        <v/>
      </c>
      <c r="F198" s="86" t="str">
        <f t="shared" si="2"/>
        <v/>
      </c>
      <c r="G198" s="86" t="str">
        <f t="shared" si="3"/>
        <v/>
      </c>
      <c r="H198" s="15"/>
      <c r="P198" s="3" t="str">
        <f>IFERROR(__xludf.DUMMYFUNCTION("IF(OR(F198="""",F198=""Seleccionar..""),"""",TRANSPOSE(FILTER(Productos!E:E,(Productos!F:F=D198)+(Productos!F:F=XLOOKUP(D198,Implementos!B:B,Implementos!C:C,""-"",0,1)))))"),"")</f>
        <v/>
      </c>
    </row>
    <row r="199" hidden="1">
      <c r="A199" s="38" t="str">
        <f t="shared" si="1"/>
        <v/>
      </c>
      <c r="B199" s="38" t="str">
        <f>IF(F199="","",SUMIF(Prearmados!E:E,F199,Prearmados!A:A))</f>
        <v/>
      </c>
      <c r="C199" s="38" t="str">
        <f>IF(F199="","",SUMIF(Productos!E:E,G199,Productos!A:A))</f>
        <v/>
      </c>
      <c r="D199" s="85" t="str">
        <f t="array" ref="D199">IF(OR(F199="",F199="Seleccionar.."),"",XLOOKUP(F199,Prearmados!E:E,Prearmados!F:F,"",0,1))</f>
        <v/>
      </c>
      <c r="E199" s="83" t="str">
        <f>IF(H199="","",SUMIF(Precio_Productos!K:K,C199,Precio_Productos!J:J)*H199)</f>
        <v/>
      </c>
      <c r="F199" s="86" t="str">
        <f t="shared" si="2"/>
        <v/>
      </c>
      <c r="G199" s="86" t="str">
        <f t="shared" si="3"/>
        <v/>
      </c>
      <c r="H199" s="15"/>
      <c r="P199" s="3" t="str">
        <f>IFERROR(__xludf.DUMMYFUNCTION("IF(OR(F199="""",F199=""Seleccionar..""),"""",TRANSPOSE(FILTER(Productos!E:E,(Productos!F:F=D199)+(Productos!F:F=XLOOKUP(D199,Implementos!B:B,Implementos!C:C,""-"",0,1)))))"),"")</f>
        <v/>
      </c>
    </row>
    <row r="200" hidden="1">
      <c r="A200" s="38" t="str">
        <f t="shared" si="1"/>
        <v/>
      </c>
      <c r="B200" s="38" t="str">
        <f>IF(F200="","",SUMIF(Prearmados!E:E,F200,Prearmados!A:A))</f>
        <v/>
      </c>
      <c r="C200" s="38" t="str">
        <f>IF(F200="","",SUMIF(Productos!E:E,G200,Productos!A:A))</f>
        <v/>
      </c>
      <c r="D200" s="85" t="str">
        <f t="array" ref="D200">IF(OR(F200="",F200="Seleccionar.."),"",XLOOKUP(F200,Prearmados!E:E,Prearmados!F:F,"",0,1))</f>
        <v/>
      </c>
      <c r="E200" s="83" t="str">
        <f>IF(H200="","",SUMIF(Precio_Productos!K:K,C200,Precio_Productos!J:J)*H200)</f>
        <v/>
      </c>
      <c r="F200" s="86" t="str">
        <f t="shared" si="2"/>
        <v/>
      </c>
      <c r="G200" s="86" t="str">
        <f t="shared" si="3"/>
        <v/>
      </c>
      <c r="H200" s="15"/>
      <c r="P200" s="3" t="str">
        <f>IFERROR(__xludf.DUMMYFUNCTION("IF(OR(F200="""",F200=""Seleccionar..""),"""",TRANSPOSE(FILTER(Productos!E:E,(Productos!F:F=D200)+(Productos!F:F=XLOOKUP(D200,Implementos!B:B,Implementos!C:C,""-"",0,1)))))"),"")</f>
        <v/>
      </c>
    </row>
    <row r="201" hidden="1">
      <c r="A201" s="38" t="str">
        <f t="shared" si="1"/>
        <v/>
      </c>
      <c r="B201" s="38" t="str">
        <f>IF(F201="","",SUMIF(Prearmados!E:E,F201,Prearmados!A:A))</f>
        <v/>
      </c>
      <c r="C201" s="38" t="str">
        <f>IF(F201="","",SUMIF(Productos!E:E,G201,Productos!A:A))</f>
        <v/>
      </c>
      <c r="D201" s="85" t="str">
        <f t="array" ref="D201">IF(OR(F201="",F201="Seleccionar.."),"",XLOOKUP(F201,Prearmados!E:E,Prearmados!F:F,"",0,1))</f>
        <v/>
      </c>
      <c r="E201" s="83" t="str">
        <f>IF(H201="","",SUMIF(Precio_Productos!K:K,C201,Precio_Productos!J:J)*H201)</f>
        <v/>
      </c>
      <c r="F201" s="86" t="str">
        <f t="shared" si="2"/>
        <v/>
      </c>
      <c r="G201" s="86" t="str">
        <f t="shared" si="3"/>
        <v/>
      </c>
      <c r="H201" s="15"/>
      <c r="P201" s="3" t="str">
        <f>IFERROR(__xludf.DUMMYFUNCTION("IF(OR(F201="""",F201=""Seleccionar..""),"""",TRANSPOSE(FILTER(Productos!E:E,(Productos!F:F=D201)+(Productos!F:F=XLOOKUP(D201,Implementos!B:B,Implementos!C:C,""-"",0,1)))))"),"")</f>
        <v/>
      </c>
    </row>
    <row r="202" hidden="1">
      <c r="A202" s="38" t="str">
        <f t="shared" si="1"/>
        <v/>
      </c>
      <c r="B202" s="38" t="str">
        <f>IF(F202="","",SUMIF(Prearmados!E:E,F202,Prearmados!A:A))</f>
        <v/>
      </c>
      <c r="C202" s="38" t="str">
        <f>IF(F202="","",SUMIF(Productos!E:E,G202,Productos!A:A))</f>
        <v/>
      </c>
      <c r="D202" s="85" t="str">
        <f t="array" ref="D202">IF(OR(F202="",F202="Seleccionar.."),"",XLOOKUP(F202,Prearmados!E:E,Prearmados!F:F,"",0,1))</f>
        <v/>
      </c>
      <c r="E202" s="83" t="str">
        <f>IF(H202="","",SUMIF(Precio_Productos!K:K,C202,Precio_Productos!J:J)*H202)</f>
        <v/>
      </c>
      <c r="F202" s="86" t="str">
        <f t="shared" si="2"/>
        <v/>
      </c>
      <c r="G202" s="86" t="str">
        <f t="shared" si="3"/>
        <v/>
      </c>
      <c r="H202" s="15"/>
      <c r="P202" s="3" t="str">
        <f>IFERROR(__xludf.DUMMYFUNCTION("IF(OR(F202="""",F202=""Seleccionar..""),"""",TRANSPOSE(FILTER(Productos!E:E,(Productos!F:F=D202)+(Productos!F:F=XLOOKUP(D202,Implementos!B:B,Implementos!C:C,""-"",0,1)))))"),"")</f>
        <v/>
      </c>
    </row>
    <row r="203" hidden="1">
      <c r="A203" s="38" t="str">
        <f t="shared" si="1"/>
        <v/>
      </c>
      <c r="B203" s="38" t="str">
        <f>IF(F203="","",SUMIF(Prearmados!E:E,F203,Prearmados!A:A))</f>
        <v/>
      </c>
      <c r="C203" s="38" t="str">
        <f>IF(F203="","",SUMIF(Productos!E:E,G203,Productos!A:A))</f>
        <v/>
      </c>
      <c r="D203" s="85" t="str">
        <f t="array" ref="D203">IF(OR(F203="",F203="Seleccionar.."),"",XLOOKUP(F203,Prearmados!E:E,Prearmados!F:F,"",0,1))</f>
        <v/>
      </c>
      <c r="E203" s="83" t="str">
        <f>IF(H203="","",SUMIF(Precio_Productos!K:K,C203,Precio_Productos!J:J)*H203)</f>
        <v/>
      </c>
      <c r="F203" s="86" t="str">
        <f t="shared" si="2"/>
        <v/>
      </c>
      <c r="G203" s="86" t="str">
        <f t="shared" si="3"/>
        <v/>
      </c>
      <c r="H203" s="15"/>
      <c r="P203" s="3" t="str">
        <f>IFERROR(__xludf.DUMMYFUNCTION("IF(OR(F203="""",F203=""Seleccionar..""),"""",TRANSPOSE(FILTER(Productos!E:E,(Productos!F:F=D203)+(Productos!F:F=XLOOKUP(D203,Implementos!B:B,Implementos!C:C,""-"",0,1)))))"),"")</f>
        <v/>
      </c>
    </row>
    <row r="204" hidden="1">
      <c r="A204" s="38" t="str">
        <f t="shared" si="1"/>
        <v/>
      </c>
      <c r="B204" s="38" t="str">
        <f>IF(F204="","",SUMIF(Prearmados!E:E,F204,Prearmados!A:A))</f>
        <v/>
      </c>
      <c r="C204" s="38" t="str">
        <f>IF(F204="","",SUMIF(Productos!E:E,G204,Productos!A:A))</f>
        <v/>
      </c>
      <c r="D204" s="85" t="str">
        <f t="array" ref="D204">IF(OR(F204="",F204="Seleccionar.."),"",XLOOKUP(F204,Prearmados!E:E,Prearmados!F:F,"",0,1))</f>
        <v/>
      </c>
      <c r="E204" s="83" t="str">
        <f>IF(H204="","",SUMIF(Precio_Productos!K:K,C204,Precio_Productos!J:J)*H204)</f>
        <v/>
      </c>
      <c r="F204" s="86" t="str">
        <f t="shared" si="2"/>
        <v/>
      </c>
      <c r="G204" s="86" t="str">
        <f t="shared" si="3"/>
        <v/>
      </c>
      <c r="H204" s="15"/>
      <c r="P204" s="3" t="str">
        <f>IFERROR(__xludf.DUMMYFUNCTION("IF(OR(F204="""",F204=""Seleccionar..""),"""",TRANSPOSE(FILTER(Productos!E:E,(Productos!F:F=D204)+(Productos!F:F=XLOOKUP(D204,Implementos!B:B,Implementos!C:C,""-"",0,1)))))"),"")</f>
        <v/>
      </c>
    </row>
    <row r="205" hidden="1">
      <c r="A205" s="38" t="str">
        <f t="shared" si="1"/>
        <v/>
      </c>
      <c r="B205" s="38" t="str">
        <f>IF(F205="","",SUMIF(Prearmados!E:E,F205,Prearmados!A:A))</f>
        <v/>
      </c>
      <c r="C205" s="38" t="str">
        <f>IF(F205="","",SUMIF(Productos!E:E,G205,Productos!A:A))</f>
        <v/>
      </c>
      <c r="D205" s="85" t="str">
        <f t="array" ref="D205">IF(OR(F205="",F205="Seleccionar.."),"",XLOOKUP(F205,Prearmados!E:E,Prearmados!F:F,"",0,1))</f>
        <v/>
      </c>
      <c r="E205" s="83" t="str">
        <f>IF(H205="","",SUMIF(Precio_Productos!K:K,C205,Precio_Productos!J:J)*H205)</f>
        <v/>
      </c>
      <c r="F205" s="86" t="str">
        <f t="shared" si="2"/>
        <v/>
      </c>
      <c r="G205" s="86" t="str">
        <f t="shared" si="3"/>
        <v/>
      </c>
      <c r="H205" s="15"/>
      <c r="P205" s="3" t="str">
        <f>IFERROR(__xludf.DUMMYFUNCTION("IF(OR(F205="""",F205=""Seleccionar..""),"""",TRANSPOSE(FILTER(Productos!E:E,(Productos!F:F=D205)+(Productos!F:F=XLOOKUP(D205,Implementos!B:B,Implementos!C:C,""-"",0,1)))))"),"")</f>
        <v/>
      </c>
    </row>
    <row r="206" hidden="1">
      <c r="A206" s="38" t="str">
        <f t="shared" si="1"/>
        <v/>
      </c>
      <c r="B206" s="38" t="str">
        <f>IF(F206="","",SUMIF(Prearmados!E:E,F206,Prearmados!A:A))</f>
        <v/>
      </c>
      <c r="C206" s="38" t="str">
        <f>IF(F206="","",SUMIF(Productos!E:E,G206,Productos!A:A))</f>
        <v/>
      </c>
      <c r="D206" s="85" t="str">
        <f t="array" ref="D206">IF(OR(F206="",F206="Seleccionar.."),"",XLOOKUP(F206,Prearmados!E:E,Prearmados!F:F,"",0,1))</f>
        <v/>
      </c>
      <c r="E206" s="83" t="str">
        <f>IF(H206="","",SUMIF(Precio_Productos!K:K,C206,Precio_Productos!J:J)*H206)</f>
        <v/>
      </c>
      <c r="F206" s="86" t="str">
        <f t="shared" si="2"/>
        <v/>
      </c>
      <c r="G206" s="86" t="str">
        <f t="shared" si="3"/>
        <v/>
      </c>
      <c r="H206" s="15"/>
      <c r="P206" s="3" t="str">
        <f>IFERROR(__xludf.DUMMYFUNCTION("IF(OR(F206="""",F206=""Seleccionar..""),"""",TRANSPOSE(FILTER(Productos!E:E,(Productos!F:F=D206)+(Productos!F:F=XLOOKUP(D206,Implementos!B:B,Implementos!C:C,""-"",0,1)))))"),"")</f>
        <v/>
      </c>
    </row>
    <row r="207" hidden="1">
      <c r="A207" s="38" t="str">
        <f t="shared" si="1"/>
        <v/>
      </c>
      <c r="B207" s="38" t="str">
        <f>IF(F207="","",SUMIF(Prearmados!E:E,F207,Prearmados!A:A))</f>
        <v/>
      </c>
      <c r="C207" s="38" t="str">
        <f>IF(F207="","",SUMIF(Productos!E:E,G207,Productos!A:A))</f>
        <v/>
      </c>
      <c r="D207" s="85" t="str">
        <f t="array" ref="D207">IF(OR(F207="",F207="Seleccionar.."),"",XLOOKUP(F207,Prearmados!E:E,Prearmados!F:F,"",0,1))</f>
        <v/>
      </c>
      <c r="E207" s="83" t="str">
        <f>IF(H207="","",SUMIF(Precio_Productos!K:K,C207,Precio_Productos!J:J)*H207)</f>
        <v/>
      </c>
      <c r="F207" s="86" t="str">
        <f t="shared" si="2"/>
        <v/>
      </c>
      <c r="G207" s="86" t="str">
        <f t="shared" si="3"/>
        <v/>
      </c>
      <c r="H207" s="15"/>
      <c r="P207" s="3" t="str">
        <f>IFERROR(__xludf.DUMMYFUNCTION("IF(OR(F207="""",F207=""Seleccionar..""),"""",TRANSPOSE(FILTER(Productos!E:E,(Productos!F:F=D207)+(Productos!F:F=XLOOKUP(D207,Implementos!B:B,Implementos!C:C,""-"",0,1)))))"),"")</f>
        <v/>
      </c>
    </row>
    <row r="208" hidden="1">
      <c r="A208" s="38" t="str">
        <f t="shared" si="1"/>
        <v/>
      </c>
      <c r="B208" s="38" t="str">
        <f>IF(F208="","",SUMIF(Prearmados!E:E,F208,Prearmados!A:A))</f>
        <v/>
      </c>
      <c r="C208" s="38" t="str">
        <f>IF(F208="","",SUMIF(Productos!E:E,G208,Productos!A:A))</f>
        <v/>
      </c>
      <c r="D208" s="85" t="str">
        <f t="array" ref="D208">IF(OR(F208="",F208="Seleccionar.."),"",XLOOKUP(F208,Prearmados!E:E,Prearmados!F:F,"",0,1))</f>
        <v/>
      </c>
      <c r="E208" s="83" t="str">
        <f>IF(H208="","",SUMIF(Precio_Productos!K:K,C208,Precio_Productos!J:J)*H208)</f>
        <v/>
      </c>
      <c r="F208" s="86" t="str">
        <f t="shared" si="2"/>
        <v/>
      </c>
      <c r="G208" s="86" t="str">
        <f t="shared" si="3"/>
        <v/>
      </c>
      <c r="H208" s="15"/>
      <c r="P208" s="3" t="str">
        <f>IFERROR(__xludf.DUMMYFUNCTION("IF(OR(F208="""",F208=""Seleccionar..""),"""",TRANSPOSE(FILTER(Productos!E:E,(Productos!F:F=D208)+(Productos!F:F=XLOOKUP(D208,Implementos!B:B,Implementos!C:C,""-"",0,1)))))"),"")</f>
        <v/>
      </c>
    </row>
    <row r="209" hidden="1">
      <c r="A209" s="38" t="str">
        <f t="shared" si="1"/>
        <v/>
      </c>
      <c r="B209" s="38" t="str">
        <f>IF(F209="","",SUMIF(Prearmados!E:E,F209,Prearmados!A:A))</f>
        <v/>
      </c>
      <c r="C209" s="38" t="str">
        <f>IF(F209="","",SUMIF(Productos!E:E,G209,Productos!A:A))</f>
        <v/>
      </c>
      <c r="D209" s="85" t="str">
        <f t="array" ref="D209">IF(OR(F209="",F209="Seleccionar.."),"",XLOOKUP(F209,Prearmados!E:E,Prearmados!F:F,"",0,1))</f>
        <v/>
      </c>
      <c r="E209" s="83" t="str">
        <f>IF(H209="","",SUMIF(Precio_Productos!K:K,C209,Precio_Productos!J:J)*H209)</f>
        <v/>
      </c>
      <c r="F209" s="86" t="str">
        <f t="shared" si="2"/>
        <v/>
      </c>
      <c r="G209" s="86" t="str">
        <f t="shared" si="3"/>
        <v/>
      </c>
      <c r="H209" s="15"/>
      <c r="P209" s="3" t="str">
        <f>IFERROR(__xludf.DUMMYFUNCTION("IF(OR(F209="""",F209=""Seleccionar..""),"""",TRANSPOSE(FILTER(Productos!E:E,(Productos!F:F=D209)+(Productos!F:F=XLOOKUP(D209,Implementos!B:B,Implementos!C:C,""-"",0,1)))))"),"")</f>
        <v/>
      </c>
    </row>
    <row r="210" hidden="1">
      <c r="A210" s="38" t="str">
        <f t="shared" si="1"/>
        <v/>
      </c>
      <c r="B210" s="38" t="str">
        <f>IF(F210="","",SUMIF(Prearmados!E:E,F210,Prearmados!A:A))</f>
        <v/>
      </c>
      <c r="C210" s="38" t="str">
        <f>IF(F210="","",SUMIF(Productos!E:E,G210,Productos!A:A))</f>
        <v/>
      </c>
      <c r="D210" s="85" t="str">
        <f t="array" ref="D210">IF(OR(F210="",F210="Seleccionar.."),"",XLOOKUP(F210,Prearmados!E:E,Prearmados!F:F,"",0,1))</f>
        <v/>
      </c>
      <c r="E210" s="83" t="str">
        <f>IF(H210="","",SUMIF(Precio_Productos!K:K,C210,Precio_Productos!J:J)*H210)</f>
        <v/>
      </c>
      <c r="F210" s="86" t="str">
        <f t="shared" si="2"/>
        <v/>
      </c>
      <c r="G210" s="86" t="str">
        <f t="shared" si="3"/>
        <v/>
      </c>
      <c r="H210" s="15"/>
      <c r="P210" s="3" t="str">
        <f>IFERROR(__xludf.DUMMYFUNCTION("IF(OR(F210="""",F210=""Seleccionar..""),"""",TRANSPOSE(FILTER(Productos!E:E,(Productos!F:F=D210)+(Productos!F:F=XLOOKUP(D210,Implementos!B:B,Implementos!C:C,""-"",0,1)))))"),"")</f>
        <v/>
      </c>
    </row>
    <row r="211" hidden="1">
      <c r="A211" s="38" t="str">
        <f t="shared" si="1"/>
        <v/>
      </c>
      <c r="B211" s="38" t="str">
        <f>IF(F211="","",SUMIF(Prearmados!E:E,F211,Prearmados!A:A))</f>
        <v/>
      </c>
      <c r="C211" s="38" t="str">
        <f>IF(F211="","",SUMIF(Productos!E:E,G211,Productos!A:A))</f>
        <v/>
      </c>
      <c r="D211" s="85" t="str">
        <f t="array" ref="D211">IF(OR(F211="",F211="Seleccionar.."),"",XLOOKUP(F211,Prearmados!E:E,Prearmados!F:F,"",0,1))</f>
        <v/>
      </c>
      <c r="E211" s="83" t="str">
        <f>IF(H211="","",SUMIF(Precio_Productos!K:K,C211,Precio_Productos!J:J)*H211)</f>
        <v/>
      </c>
      <c r="F211" s="86" t="str">
        <f t="shared" si="2"/>
        <v/>
      </c>
      <c r="G211" s="86" t="str">
        <f t="shared" si="3"/>
        <v/>
      </c>
      <c r="H211" s="15"/>
      <c r="P211" s="3" t="str">
        <f>IFERROR(__xludf.DUMMYFUNCTION("IF(OR(F211="""",F211=""Seleccionar..""),"""",TRANSPOSE(FILTER(Productos!E:E,(Productos!F:F=D211)+(Productos!F:F=XLOOKUP(D211,Implementos!B:B,Implementos!C:C,""-"",0,1)))))"),"")</f>
        <v/>
      </c>
    </row>
    <row r="212" hidden="1">
      <c r="A212" s="38" t="str">
        <f t="shared" si="1"/>
        <v/>
      </c>
      <c r="B212" s="38" t="str">
        <f>IF(F212="","",SUMIF(Prearmados!E:E,F212,Prearmados!A:A))</f>
        <v/>
      </c>
      <c r="C212" s="38" t="str">
        <f>IF(F212="","",SUMIF(Productos!E:E,G212,Productos!A:A))</f>
        <v/>
      </c>
      <c r="D212" s="85" t="str">
        <f t="array" ref="D212">IF(OR(F212="",F212="Seleccionar.."),"",XLOOKUP(F212,Prearmados!E:E,Prearmados!F:F,"",0,1))</f>
        <v/>
      </c>
      <c r="E212" s="83" t="str">
        <f>IF(H212="","",SUMIF(Precio_Productos!K:K,C212,Precio_Productos!J:J)*H212)</f>
        <v/>
      </c>
      <c r="F212" s="86" t="str">
        <f t="shared" si="2"/>
        <v/>
      </c>
      <c r="G212" s="86" t="str">
        <f t="shared" si="3"/>
        <v/>
      </c>
      <c r="H212" s="15"/>
      <c r="P212" s="3" t="str">
        <f>IFERROR(__xludf.DUMMYFUNCTION("IF(OR(F212="""",F212=""Seleccionar..""),"""",TRANSPOSE(FILTER(Productos!E:E,(Productos!F:F=D212)+(Productos!F:F=XLOOKUP(D212,Implementos!B:B,Implementos!C:C,""-"",0,1)))))"),"")</f>
        <v/>
      </c>
    </row>
    <row r="213" hidden="1">
      <c r="A213" s="38" t="str">
        <f t="shared" si="1"/>
        <v/>
      </c>
      <c r="B213" s="38" t="str">
        <f>IF(F213="","",SUMIF(Prearmados!E:E,F213,Prearmados!A:A))</f>
        <v/>
      </c>
      <c r="C213" s="38" t="str">
        <f>IF(F213="","",SUMIF(Productos!E:E,G213,Productos!A:A))</f>
        <v/>
      </c>
      <c r="D213" s="85" t="str">
        <f t="array" ref="D213">IF(OR(F213="",F213="Seleccionar.."),"",XLOOKUP(F213,Prearmados!E:E,Prearmados!F:F,"",0,1))</f>
        <v/>
      </c>
      <c r="E213" s="83" t="str">
        <f>IF(H213="","",SUMIF(Precio_Productos!K:K,C213,Precio_Productos!J:J)*H213)</f>
        <v/>
      </c>
      <c r="F213" s="86" t="str">
        <f t="shared" si="2"/>
        <v/>
      </c>
      <c r="G213" s="86" t="str">
        <f t="shared" si="3"/>
        <v/>
      </c>
      <c r="H213" s="15"/>
      <c r="P213" s="3" t="str">
        <f>IFERROR(__xludf.DUMMYFUNCTION("IF(OR(F213="""",F213=""Seleccionar..""),"""",TRANSPOSE(FILTER(Productos!E:E,(Productos!F:F=D213)+(Productos!F:F=XLOOKUP(D213,Implementos!B:B,Implementos!C:C,""-"",0,1)))))"),"")</f>
        <v/>
      </c>
    </row>
    <row r="214" hidden="1">
      <c r="A214" s="38" t="str">
        <f t="shared" si="1"/>
        <v/>
      </c>
      <c r="B214" s="38" t="str">
        <f>IF(F214="","",SUMIF(Prearmados!E:E,F214,Prearmados!A:A))</f>
        <v/>
      </c>
      <c r="C214" s="38" t="str">
        <f>IF(F214="","",SUMIF(Productos!E:E,G214,Productos!A:A))</f>
        <v/>
      </c>
      <c r="D214" s="85" t="str">
        <f t="array" ref="D214">IF(OR(F214="",F214="Seleccionar.."),"",XLOOKUP(F214,Prearmados!E:E,Prearmados!F:F,"",0,1))</f>
        <v/>
      </c>
      <c r="E214" s="83" t="str">
        <f>IF(H214="","",SUMIF(Precio_Productos!K:K,C214,Precio_Productos!J:J)*H214)</f>
        <v/>
      </c>
      <c r="F214" s="86" t="str">
        <f t="shared" si="2"/>
        <v/>
      </c>
      <c r="G214" s="86" t="str">
        <f t="shared" si="3"/>
        <v/>
      </c>
      <c r="H214" s="15"/>
      <c r="P214" s="3" t="str">
        <f>IFERROR(__xludf.DUMMYFUNCTION("IF(OR(F214="""",F214=""Seleccionar..""),"""",TRANSPOSE(FILTER(Productos!E:E,(Productos!F:F=D214)+(Productos!F:F=XLOOKUP(D214,Implementos!B:B,Implementos!C:C,""-"",0,1)))))"),"")</f>
        <v/>
      </c>
    </row>
    <row r="215" hidden="1">
      <c r="A215" s="38" t="str">
        <f t="shared" si="1"/>
        <v/>
      </c>
      <c r="B215" s="38" t="str">
        <f>IF(F215="","",SUMIF(Prearmados!E:E,F215,Prearmados!A:A))</f>
        <v/>
      </c>
      <c r="C215" s="38" t="str">
        <f>IF(F215="","",SUMIF(Productos!E:E,G215,Productos!A:A))</f>
        <v/>
      </c>
      <c r="D215" s="85" t="str">
        <f t="array" ref="D215">IF(OR(F215="",F215="Seleccionar.."),"",XLOOKUP(F215,Prearmados!E:E,Prearmados!F:F,"",0,1))</f>
        <v/>
      </c>
      <c r="E215" s="83" t="str">
        <f>IF(H215="","",SUMIF(Precio_Productos!K:K,C215,Precio_Productos!J:J)*H215)</f>
        <v/>
      </c>
      <c r="F215" s="86" t="str">
        <f t="shared" si="2"/>
        <v/>
      </c>
      <c r="G215" s="86" t="str">
        <f t="shared" si="3"/>
        <v/>
      </c>
      <c r="H215" s="15"/>
      <c r="P215" s="3" t="str">
        <f>IFERROR(__xludf.DUMMYFUNCTION("IF(OR(F215="""",F215=""Seleccionar..""),"""",TRANSPOSE(FILTER(Productos!E:E,(Productos!F:F=D215)+(Productos!F:F=XLOOKUP(D215,Implementos!B:B,Implementos!C:C,""-"",0,1)))))"),"")</f>
        <v/>
      </c>
    </row>
    <row r="216" hidden="1">
      <c r="A216" s="38" t="str">
        <f t="shared" si="1"/>
        <v/>
      </c>
      <c r="B216" s="38" t="str">
        <f>IF(F216="","",SUMIF(Prearmados!E:E,F216,Prearmados!A:A))</f>
        <v/>
      </c>
      <c r="C216" s="38" t="str">
        <f>IF(F216="","",SUMIF(Productos!E:E,G216,Productos!A:A))</f>
        <v/>
      </c>
      <c r="D216" s="85" t="str">
        <f t="array" ref="D216">IF(OR(F216="",F216="Seleccionar.."),"",XLOOKUP(F216,Prearmados!E:E,Prearmados!F:F,"",0,1))</f>
        <v/>
      </c>
      <c r="E216" s="83" t="str">
        <f>IF(H216="","",SUMIF(Precio_Productos!K:K,C216,Precio_Productos!J:J)*H216)</f>
        <v/>
      </c>
      <c r="F216" s="86" t="str">
        <f t="shared" si="2"/>
        <v/>
      </c>
      <c r="G216" s="86" t="str">
        <f t="shared" si="3"/>
        <v/>
      </c>
      <c r="H216" s="15"/>
      <c r="P216" s="3" t="str">
        <f>IFERROR(__xludf.DUMMYFUNCTION("IF(OR(F216="""",F216=""Seleccionar..""),"""",TRANSPOSE(FILTER(Productos!E:E,(Productos!F:F=D216)+(Productos!F:F=XLOOKUP(D216,Implementos!B:B,Implementos!C:C,""-"",0,1)))))"),"")</f>
        <v/>
      </c>
    </row>
    <row r="217" hidden="1">
      <c r="A217" s="38" t="str">
        <f t="shared" si="1"/>
        <v/>
      </c>
      <c r="B217" s="38" t="str">
        <f>IF(F217="","",SUMIF(Prearmados!E:E,F217,Prearmados!A:A))</f>
        <v/>
      </c>
      <c r="C217" s="38" t="str">
        <f>IF(F217="","",SUMIF(Productos!E:E,G217,Productos!A:A))</f>
        <v/>
      </c>
      <c r="D217" s="85" t="str">
        <f t="array" ref="D217">IF(OR(F217="",F217="Seleccionar.."),"",XLOOKUP(F217,Prearmados!E:E,Prearmados!F:F,"",0,1))</f>
        <v/>
      </c>
      <c r="E217" s="83" t="str">
        <f>IF(H217="","",SUMIF(Precio_Productos!K:K,C217,Precio_Productos!J:J)*H217)</f>
        <v/>
      </c>
      <c r="F217" s="86" t="str">
        <f t="shared" si="2"/>
        <v/>
      </c>
      <c r="G217" s="86" t="str">
        <f t="shared" si="3"/>
        <v/>
      </c>
      <c r="H217" s="15"/>
      <c r="P217" s="3" t="str">
        <f>IFERROR(__xludf.DUMMYFUNCTION("IF(OR(F217="""",F217=""Seleccionar..""),"""",TRANSPOSE(FILTER(Productos!E:E,(Productos!F:F=D217)+(Productos!F:F=XLOOKUP(D217,Implementos!B:B,Implementos!C:C,""-"",0,1)))))"),"")</f>
        <v/>
      </c>
    </row>
    <row r="218" hidden="1">
      <c r="A218" s="38" t="str">
        <f t="shared" si="1"/>
        <v/>
      </c>
      <c r="B218" s="38" t="str">
        <f>IF(F218="","",SUMIF(Prearmados!E:E,F218,Prearmados!A:A))</f>
        <v/>
      </c>
      <c r="C218" s="38" t="str">
        <f>IF(F218="","",SUMIF(Productos!E:E,G218,Productos!A:A))</f>
        <v/>
      </c>
      <c r="D218" s="85" t="str">
        <f t="array" ref="D218">IF(OR(F218="",F218="Seleccionar.."),"",XLOOKUP(F218,Prearmados!E:E,Prearmados!F:F,"",0,1))</f>
        <v/>
      </c>
      <c r="E218" s="83" t="str">
        <f>IF(H218="","",SUMIF(Precio_Productos!K:K,C218,Precio_Productos!J:J)*H218)</f>
        <v/>
      </c>
      <c r="F218" s="86" t="str">
        <f t="shared" si="2"/>
        <v/>
      </c>
      <c r="G218" s="86" t="str">
        <f t="shared" si="3"/>
        <v/>
      </c>
      <c r="H218" s="15"/>
      <c r="P218" s="3" t="str">
        <f>IFERROR(__xludf.DUMMYFUNCTION("IF(OR(F218="""",F218=""Seleccionar..""),"""",TRANSPOSE(FILTER(Productos!E:E,(Productos!F:F=D218)+(Productos!F:F=XLOOKUP(D218,Implementos!B:B,Implementos!C:C,""-"",0,1)))))"),"")</f>
        <v/>
      </c>
    </row>
    <row r="219" hidden="1">
      <c r="A219" s="38" t="str">
        <f t="shared" si="1"/>
        <v/>
      </c>
      <c r="B219" s="38" t="str">
        <f>IF(F219="","",SUMIF(Prearmados!E:E,F219,Prearmados!A:A))</f>
        <v/>
      </c>
      <c r="C219" s="38" t="str">
        <f>IF(F219="","",SUMIF(Productos!E:E,G219,Productos!A:A))</f>
        <v/>
      </c>
      <c r="D219" s="85" t="str">
        <f t="array" ref="D219">IF(OR(F219="",F219="Seleccionar.."),"",XLOOKUP(F219,Prearmados!E:E,Prearmados!F:F,"",0,1))</f>
        <v/>
      </c>
      <c r="E219" s="83" t="str">
        <f>IF(H219="","",SUMIF(Precio_Productos!K:K,C219,Precio_Productos!J:J)*H219)</f>
        <v/>
      </c>
      <c r="F219" s="86" t="str">
        <f t="shared" si="2"/>
        <v/>
      </c>
      <c r="G219" s="86" t="str">
        <f t="shared" si="3"/>
        <v/>
      </c>
      <c r="H219" s="15"/>
      <c r="P219" s="3" t="str">
        <f>IFERROR(__xludf.DUMMYFUNCTION("IF(OR(F219="""",F219=""Seleccionar..""),"""",TRANSPOSE(FILTER(Productos!E:E,(Productos!F:F=D219)+(Productos!F:F=XLOOKUP(D219,Implementos!B:B,Implementos!C:C,""-"",0,1)))))"),"")</f>
        <v/>
      </c>
    </row>
    <row r="220" hidden="1">
      <c r="A220" s="38" t="str">
        <f t="shared" si="1"/>
        <v/>
      </c>
      <c r="B220" s="38" t="str">
        <f>IF(F220="","",SUMIF(Prearmados!E:E,F220,Prearmados!A:A))</f>
        <v/>
      </c>
      <c r="C220" s="38" t="str">
        <f>IF(F220="","",SUMIF(Productos!E:E,G220,Productos!A:A))</f>
        <v/>
      </c>
      <c r="D220" s="85" t="str">
        <f t="array" ref="D220">IF(OR(F220="",F220="Seleccionar.."),"",XLOOKUP(F220,Prearmados!E:E,Prearmados!F:F,"",0,1))</f>
        <v/>
      </c>
      <c r="E220" s="83" t="str">
        <f>IF(H220="","",SUMIF(Precio_Productos!K:K,C220,Precio_Productos!J:J)*H220)</f>
        <v/>
      </c>
      <c r="F220" s="86" t="str">
        <f t="shared" si="2"/>
        <v/>
      </c>
      <c r="G220" s="86" t="str">
        <f t="shared" si="3"/>
        <v/>
      </c>
      <c r="H220" s="15"/>
      <c r="P220" s="3" t="str">
        <f>IFERROR(__xludf.DUMMYFUNCTION("IF(OR(F220="""",F220=""Seleccionar..""),"""",TRANSPOSE(FILTER(Productos!E:E,(Productos!F:F=D220)+(Productos!F:F=XLOOKUP(D220,Implementos!B:B,Implementos!C:C,""-"",0,1)))))"),"")</f>
        <v/>
      </c>
    </row>
    <row r="221" hidden="1">
      <c r="A221" s="38" t="str">
        <f t="shared" si="1"/>
        <v/>
      </c>
      <c r="B221" s="38" t="str">
        <f>IF(F221="","",SUMIF(Prearmados!E:E,F221,Prearmados!A:A))</f>
        <v/>
      </c>
      <c r="C221" s="38" t="str">
        <f>IF(F221="","",SUMIF(Productos!E:E,G221,Productos!A:A))</f>
        <v/>
      </c>
      <c r="D221" s="85" t="str">
        <f t="array" ref="D221">IF(OR(F221="",F221="Seleccionar.."),"",XLOOKUP(F221,Prearmados!E:E,Prearmados!F:F,"",0,1))</f>
        <v/>
      </c>
      <c r="E221" s="83" t="str">
        <f>IF(H221="","",SUMIF(Precio_Productos!K:K,C221,Precio_Productos!J:J)*H221)</f>
        <v/>
      </c>
      <c r="F221" s="86" t="str">
        <f t="shared" si="2"/>
        <v/>
      </c>
      <c r="G221" s="86" t="str">
        <f t="shared" si="3"/>
        <v/>
      </c>
      <c r="H221" s="15"/>
      <c r="P221" s="3" t="str">
        <f>IFERROR(__xludf.DUMMYFUNCTION("IF(OR(F221="""",F221=""Seleccionar..""),"""",TRANSPOSE(FILTER(Productos!E:E,(Productos!F:F=D221)+(Productos!F:F=XLOOKUP(D221,Implementos!B:B,Implementos!C:C,""-"",0,1)))))"),"")</f>
        <v/>
      </c>
    </row>
    <row r="222" hidden="1">
      <c r="A222" s="38" t="str">
        <f t="shared" si="1"/>
        <v/>
      </c>
      <c r="B222" s="38" t="str">
        <f>IF(F222="","",SUMIF(Prearmados!E:E,F222,Prearmados!A:A))</f>
        <v/>
      </c>
      <c r="C222" s="38" t="str">
        <f>IF(F222="","",SUMIF(Productos!E:E,G222,Productos!A:A))</f>
        <v/>
      </c>
      <c r="D222" s="85" t="str">
        <f t="array" ref="D222">IF(OR(F222="",F222="Seleccionar.."),"",XLOOKUP(F222,Prearmados!E:E,Prearmados!F:F,"",0,1))</f>
        <v/>
      </c>
      <c r="E222" s="83" t="str">
        <f>IF(H222="","",SUMIF(Precio_Productos!K:K,C222,Precio_Productos!J:J)*H222)</f>
        <v/>
      </c>
      <c r="F222" s="86" t="str">
        <f t="shared" si="2"/>
        <v/>
      </c>
      <c r="G222" s="86" t="str">
        <f t="shared" si="3"/>
        <v/>
      </c>
      <c r="H222" s="15"/>
      <c r="P222" s="3" t="str">
        <f>IFERROR(__xludf.DUMMYFUNCTION("IF(OR(F222="""",F222=""Seleccionar..""),"""",TRANSPOSE(FILTER(Productos!E:E,(Productos!F:F=D222)+(Productos!F:F=XLOOKUP(D222,Implementos!B:B,Implementos!C:C,""-"",0,1)))))"),"")</f>
        <v/>
      </c>
    </row>
    <row r="223" hidden="1">
      <c r="A223" s="38" t="str">
        <f t="shared" si="1"/>
        <v/>
      </c>
      <c r="B223" s="38" t="str">
        <f>IF(F223="","",SUMIF(Prearmados!E:E,F223,Prearmados!A:A))</f>
        <v/>
      </c>
      <c r="C223" s="38" t="str">
        <f>IF(F223="","",SUMIF(Productos!E:E,G223,Productos!A:A))</f>
        <v/>
      </c>
      <c r="D223" s="85" t="str">
        <f t="array" ref="D223">IF(OR(F223="",F223="Seleccionar.."),"",XLOOKUP(F223,Prearmados!E:E,Prearmados!F:F,"",0,1))</f>
        <v/>
      </c>
      <c r="E223" s="83" t="str">
        <f>IF(H223="","",SUMIF(Precio_Productos!K:K,C223,Precio_Productos!J:J)*H223)</f>
        <v/>
      </c>
      <c r="F223" s="86" t="str">
        <f t="shared" si="2"/>
        <v/>
      </c>
      <c r="G223" s="86" t="str">
        <f t="shared" si="3"/>
        <v/>
      </c>
      <c r="H223" s="15"/>
      <c r="P223" s="3" t="str">
        <f>IFERROR(__xludf.DUMMYFUNCTION("IF(OR(F223="""",F223=""Seleccionar..""),"""",TRANSPOSE(FILTER(Productos!E:E,(Productos!F:F=D223)+(Productos!F:F=XLOOKUP(D223,Implementos!B:B,Implementos!C:C,""-"",0,1)))))"),"")</f>
        <v/>
      </c>
    </row>
    <row r="224" hidden="1">
      <c r="A224" s="38" t="str">
        <f t="shared" si="1"/>
        <v/>
      </c>
      <c r="B224" s="38" t="str">
        <f>IF(F224="","",SUMIF(Prearmados!E:E,F224,Prearmados!A:A))</f>
        <v/>
      </c>
      <c r="C224" s="38" t="str">
        <f>IF(F224="","",SUMIF(Productos!E:E,G224,Productos!A:A))</f>
        <v/>
      </c>
      <c r="D224" s="85" t="str">
        <f t="array" ref="D224">IF(OR(F224="",F224="Seleccionar.."),"",XLOOKUP(F224,Prearmados!E:E,Prearmados!F:F,"",0,1))</f>
        <v/>
      </c>
      <c r="E224" s="83" t="str">
        <f>IF(H224="","",SUMIF(Precio_Productos!K:K,C224,Precio_Productos!J:J)*H224)</f>
        <v/>
      </c>
      <c r="F224" s="86" t="str">
        <f t="shared" si="2"/>
        <v/>
      </c>
      <c r="G224" s="86" t="str">
        <f t="shared" si="3"/>
        <v/>
      </c>
      <c r="H224" s="15"/>
      <c r="P224" s="3" t="str">
        <f>IFERROR(__xludf.DUMMYFUNCTION("IF(OR(F224="""",F224=""Seleccionar..""),"""",TRANSPOSE(FILTER(Productos!E:E,(Productos!F:F=D224)+(Productos!F:F=XLOOKUP(D224,Implementos!B:B,Implementos!C:C,""-"",0,1)))))"),"")</f>
        <v/>
      </c>
    </row>
    <row r="225" hidden="1">
      <c r="A225" s="38" t="str">
        <f t="shared" si="1"/>
        <v/>
      </c>
      <c r="B225" s="38" t="str">
        <f>IF(F225="","",SUMIF(Prearmados!E:E,F225,Prearmados!A:A))</f>
        <v/>
      </c>
      <c r="C225" s="38" t="str">
        <f>IF(F225="","",SUMIF(Productos!E:E,G225,Productos!A:A))</f>
        <v/>
      </c>
      <c r="D225" s="85" t="str">
        <f t="array" ref="D225">IF(OR(F225="",F225="Seleccionar.."),"",XLOOKUP(F225,Prearmados!E:E,Prearmados!F:F,"",0,1))</f>
        <v/>
      </c>
      <c r="E225" s="83" t="str">
        <f>IF(H225="","",SUMIF(Precio_Productos!K:K,C225,Precio_Productos!J:J)*H225)</f>
        <v/>
      </c>
      <c r="F225" s="86" t="str">
        <f t="shared" si="2"/>
        <v/>
      </c>
      <c r="G225" s="86" t="str">
        <f t="shared" si="3"/>
        <v/>
      </c>
      <c r="H225" s="15"/>
      <c r="P225" s="3" t="str">
        <f>IFERROR(__xludf.DUMMYFUNCTION("IF(OR(F225="""",F225=""Seleccionar..""),"""",TRANSPOSE(FILTER(Productos!E:E,(Productos!F:F=D225)+(Productos!F:F=XLOOKUP(D225,Implementos!B:B,Implementos!C:C,""-"",0,1)))))"),"")</f>
        <v/>
      </c>
    </row>
    <row r="226" hidden="1">
      <c r="A226" s="38" t="str">
        <f t="shared" si="1"/>
        <v/>
      </c>
      <c r="B226" s="38" t="str">
        <f>IF(F226="","",SUMIF(Prearmados!E:E,F226,Prearmados!A:A))</f>
        <v/>
      </c>
      <c r="C226" s="38" t="str">
        <f>IF(F226="","",SUMIF(Productos!E:E,G226,Productos!A:A))</f>
        <v/>
      </c>
      <c r="D226" s="85" t="str">
        <f t="array" ref="D226">IF(OR(F226="",F226="Seleccionar.."),"",XLOOKUP(F226,Prearmados!E:E,Prearmados!F:F,"",0,1))</f>
        <v/>
      </c>
      <c r="E226" s="83" t="str">
        <f>IF(H226="","",SUMIF(Precio_Productos!K:K,C226,Precio_Productos!J:J)*H226)</f>
        <v/>
      </c>
      <c r="F226" s="86" t="str">
        <f t="shared" si="2"/>
        <v/>
      </c>
      <c r="G226" s="86" t="str">
        <f t="shared" si="3"/>
        <v/>
      </c>
      <c r="H226" s="15"/>
      <c r="P226" s="3" t="str">
        <f>IFERROR(__xludf.DUMMYFUNCTION("IF(OR(F226="""",F226=""Seleccionar..""),"""",TRANSPOSE(FILTER(Productos!E:E,(Productos!F:F=D226)+(Productos!F:F=XLOOKUP(D226,Implementos!B:B,Implementos!C:C,""-"",0,1)))))"),"")</f>
        <v/>
      </c>
    </row>
    <row r="227" hidden="1">
      <c r="A227" s="38" t="str">
        <f t="shared" si="1"/>
        <v/>
      </c>
      <c r="B227" s="38" t="str">
        <f>IF(F227="","",SUMIF(Prearmados!E:E,F227,Prearmados!A:A))</f>
        <v/>
      </c>
      <c r="C227" s="38" t="str">
        <f>IF(F227="","",SUMIF(Productos!E:E,G227,Productos!A:A))</f>
        <v/>
      </c>
      <c r="D227" s="85" t="str">
        <f t="array" ref="D227">IF(OR(F227="",F227="Seleccionar.."),"",XLOOKUP(F227,Prearmados!E:E,Prearmados!F:F,"",0,1))</f>
        <v/>
      </c>
      <c r="E227" s="83" t="str">
        <f>IF(H227="","",SUMIF(Precio_Productos!K:K,C227,Precio_Productos!J:J)*H227)</f>
        <v/>
      </c>
      <c r="F227" s="86" t="str">
        <f t="shared" si="2"/>
        <v/>
      </c>
      <c r="G227" s="86" t="str">
        <f t="shared" si="3"/>
        <v/>
      </c>
      <c r="H227" s="15"/>
      <c r="P227" s="3" t="str">
        <f>IFERROR(__xludf.DUMMYFUNCTION("IF(OR(F227="""",F227=""Seleccionar..""),"""",TRANSPOSE(FILTER(Productos!E:E,(Productos!F:F=D227)+(Productos!F:F=XLOOKUP(D227,Implementos!B:B,Implementos!C:C,""-"",0,1)))))"),"")</f>
        <v/>
      </c>
    </row>
    <row r="228" hidden="1">
      <c r="A228" s="38" t="str">
        <f t="shared" si="1"/>
        <v/>
      </c>
      <c r="B228" s="38" t="str">
        <f>IF(F228="","",SUMIF(Prearmados!E:E,F228,Prearmados!A:A))</f>
        <v/>
      </c>
      <c r="C228" s="38" t="str">
        <f>IF(F228="","",SUMIF(Productos!E:E,G228,Productos!A:A))</f>
        <v/>
      </c>
      <c r="D228" s="85" t="str">
        <f t="array" ref="D228">IF(OR(F228="",F228="Seleccionar.."),"",XLOOKUP(F228,Prearmados!E:E,Prearmados!F:F,"",0,1))</f>
        <v/>
      </c>
      <c r="E228" s="83" t="str">
        <f>IF(H228="","",SUMIF(Precio_Productos!K:K,C228,Precio_Productos!J:J)*H228)</f>
        <v/>
      </c>
      <c r="F228" s="86" t="str">
        <f t="shared" si="2"/>
        <v/>
      </c>
      <c r="G228" s="86" t="str">
        <f t="shared" si="3"/>
        <v/>
      </c>
      <c r="H228" s="15"/>
      <c r="P228" s="3" t="str">
        <f>IFERROR(__xludf.DUMMYFUNCTION("IF(OR(F228="""",F228=""Seleccionar..""),"""",TRANSPOSE(FILTER(Productos!E:E,(Productos!F:F=D228)+(Productos!F:F=XLOOKUP(D228,Implementos!B:B,Implementos!C:C,""-"",0,1)))))"),"")</f>
        <v/>
      </c>
    </row>
    <row r="229" hidden="1">
      <c r="A229" s="38" t="str">
        <f t="shared" si="1"/>
        <v/>
      </c>
      <c r="B229" s="38" t="str">
        <f>IF(F229="","",SUMIF(Prearmados!E:E,F229,Prearmados!A:A))</f>
        <v/>
      </c>
      <c r="C229" s="38" t="str">
        <f>IF(F229="","",SUMIF(Productos!E:E,G229,Productos!A:A))</f>
        <v/>
      </c>
      <c r="D229" s="85" t="str">
        <f t="array" ref="D229">IF(OR(F229="",F229="Seleccionar.."),"",XLOOKUP(F229,Prearmados!E:E,Prearmados!F:F,"",0,1))</f>
        <v/>
      </c>
      <c r="E229" s="83" t="str">
        <f>IF(H229="","",SUMIF(Precio_Productos!K:K,C229,Precio_Productos!J:J)*H229)</f>
        <v/>
      </c>
      <c r="F229" s="86" t="str">
        <f t="shared" si="2"/>
        <v/>
      </c>
      <c r="G229" s="86" t="str">
        <f t="shared" si="3"/>
        <v/>
      </c>
      <c r="H229" s="15"/>
      <c r="P229" s="3" t="str">
        <f>IFERROR(__xludf.DUMMYFUNCTION("IF(OR(F229="""",F229=""Seleccionar..""),"""",TRANSPOSE(FILTER(Productos!E:E,(Productos!F:F=D229)+(Productos!F:F=XLOOKUP(D229,Implementos!B:B,Implementos!C:C,""-"",0,1)))))"),"")</f>
        <v/>
      </c>
    </row>
    <row r="230" hidden="1">
      <c r="A230" s="38" t="str">
        <f t="shared" si="1"/>
        <v/>
      </c>
      <c r="B230" s="38" t="str">
        <f>IF(F230="","",SUMIF(Prearmados!E:E,F230,Prearmados!A:A))</f>
        <v/>
      </c>
      <c r="C230" s="38" t="str">
        <f>IF(F230="","",SUMIF(Productos!E:E,G230,Productos!A:A))</f>
        <v/>
      </c>
      <c r="D230" s="85" t="str">
        <f t="array" ref="D230">IF(OR(F230="",F230="Seleccionar.."),"",XLOOKUP(F230,Prearmados!E:E,Prearmados!F:F,"",0,1))</f>
        <v/>
      </c>
      <c r="E230" s="83" t="str">
        <f>IF(H230="","",SUMIF(Precio_Productos!K:K,C230,Precio_Productos!J:J)*H230)</f>
        <v/>
      </c>
      <c r="F230" s="86" t="str">
        <f t="shared" si="2"/>
        <v/>
      </c>
      <c r="G230" s="86" t="str">
        <f t="shared" si="3"/>
        <v/>
      </c>
      <c r="H230" s="15"/>
      <c r="P230" s="3" t="str">
        <f>IFERROR(__xludf.DUMMYFUNCTION("IF(OR(F230="""",F230=""Seleccionar..""),"""",TRANSPOSE(FILTER(Productos!E:E,(Productos!F:F=D230)+(Productos!F:F=XLOOKUP(D230,Implementos!B:B,Implementos!C:C,""-"",0,1)))))"),"")</f>
        <v/>
      </c>
    </row>
    <row r="231" hidden="1">
      <c r="A231" s="38" t="str">
        <f t="shared" si="1"/>
        <v/>
      </c>
      <c r="B231" s="38" t="str">
        <f>IF(F231="","",SUMIF(Prearmados!E:E,F231,Prearmados!A:A))</f>
        <v/>
      </c>
      <c r="C231" s="38" t="str">
        <f>IF(F231="","",SUMIF(Productos!E:E,G231,Productos!A:A))</f>
        <v/>
      </c>
      <c r="D231" s="85" t="str">
        <f t="array" ref="D231">IF(OR(F231="",F231="Seleccionar.."),"",XLOOKUP(F231,Prearmados!E:E,Prearmados!F:F,"",0,1))</f>
        <v/>
      </c>
      <c r="E231" s="83" t="str">
        <f>IF(H231="","",SUMIF(Precio_Productos!K:K,C231,Precio_Productos!J:J)*H231)</f>
        <v/>
      </c>
      <c r="F231" s="86" t="str">
        <f t="shared" si="2"/>
        <v/>
      </c>
      <c r="G231" s="86" t="str">
        <f t="shared" si="3"/>
        <v/>
      </c>
      <c r="H231" s="15"/>
      <c r="P231" s="3" t="str">
        <f>IFERROR(__xludf.DUMMYFUNCTION("IF(OR(F231="""",F231=""Seleccionar..""),"""",TRANSPOSE(FILTER(Productos!E:E,(Productos!F:F=D231)+(Productos!F:F=XLOOKUP(D231,Implementos!B:B,Implementos!C:C,""-"",0,1)))))"),"")</f>
        <v/>
      </c>
    </row>
    <row r="232" hidden="1">
      <c r="A232" s="38" t="str">
        <f t="shared" si="1"/>
        <v/>
      </c>
      <c r="B232" s="38" t="str">
        <f>IF(F232="","",SUMIF(Prearmados!E:E,F232,Prearmados!A:A))</f>
        <v/>
      </c>
      <c r="C232" s="38" t="str">
        <f>IF(F232="","",SUMIF(Productos!E:E,G232,Productos!A:A))</f>
        <v/>
      </c>
      <c r="D232" s="85" t="str">
        <f t="array" ref="D232">IF(OR(F232="",F232="Seleccionar.."),"",XLOOKUP(F232,Prearmados!E:E,Prearmados!F:F,"",0,1))</f>
        <v/>
      </c>
      <c r="E232" s="83" t="str">
        <f>IF(H232="","",SUMIF(Precio_Productos!K:K,C232,Precio_Productos!J:J)*H232)</f>
        <v/>
      </c>
      <c r="F232" s="86" t="str">
        <f t="shared" si="2"/>
        <v/>
      </c>
      <c r="G232" s="86" t="str">
        <f t="shared" si="3"/>
        <v/>
      </c>
      <c r="H232" s="15"/>
      <c r="P232" s="3" t="str">
        <f>IFERROR(__xludf.DUMMYFUNCTION("IF(OR(F232="""",F232=""Seleccionar..""),"""",TRANSPOSE(FILTER(Productos!E:E,(Productos!F:F=D232)+(Productos!F:F=XLOOKUP(D232,Implementos!B:B,Implementos!C:C,""-"",0,1)))))"),"")</f>
        <v/>
      </c>
    </row>
    <row r="233" hidden="1">
      <c r="A233" s="38" t="str">
        <f t="shared" si="1"/>
        <v/>
      </c>
      <c r="B233" s="38" t="str">
        <f>IF(F233="","",SUMIF(Prearmados!E:E,F233,Prearmados!A:A))</f>
        <v/>
      </c>
      <c r="C233" s="38" t="str">
        <f>IF(F233="","",SUMIF(Productos!E:E,G233,Productos!A:A))</f>
        <v/>
      </c>
      <c r="D233" s="85" t="str">
        <f t="array" ref="D233">IF(OR(F233="",F233="Seleccionar.."),"",XLOOKUP(F233,Prearmados!E:E,Prearmados!F:F,"",0,1))</f>
        <v/>
      </c>
      <c r="E233" s="83" t="str">
        <f>IF(H233="","",SUMIF(Precio_Productos!K:K,C233,Precio_Productos!J:J)*H233)</f>
        <v/>
      </c>
      <c r="F233" s="86" t="str">
        <f t="shared" si="2"/>
        <v/>
      </c>
      <c r="G233" s="86" t="str">
        <f t="shared" si="3"/>
        <v/>
      </c>
      <c r="H233" s="15"/>
      <c r="P233" s="3" t="str">
        <f>IFERROR(__xludf.DUMMYFUNCTION("IF(OR(F233="""",F233=""Seleccionar..""),"""",TRANSPOSE(FILTER(Productos!E:E,(Productos!F:F=D233)+(Productos!F:F=XLOOKUP(D233,Implementos!B:B,Implementos!C:C,""-"",0,1)))))"),"")</f>
        <v/>
      </c>
    </row>
    <row r="234" hidden="1">
      <c r="A234" s="38" t="str">
        <f t="shared" si="1"/>
        <v/>
      </c>
      <c r="B234" s="38" t="str">
        <f>IF(F234="","",SUMIF(Prearmados!E:E,F234,Prearmados!A:A))</f>
        <v/>
      </c>
      <c r="C234" s="38" t="str">
        <f>IF(F234="","",SUMIF(Productos!E:E,G234,Productos!A:A))</f>
        <v/>
      </c>
      <c r="D234" s="85" t="str">
        <f t="array" ref="D234">IF(OR(F234="",F234="Seleccionar.."),"",XLOOKUP(F234,Prearmados!E:E,Prearmados!F:F,"",0,1))</f>
        <v/>
      </c>
      <c r="E234" s="83" t="str">
        <f>IF(H234="","",SUMIF(Precio_Productos!K:K,C234,Precio_Productos!J:J)*H234)</f>
        <v/>
      </c>
      <c r="F234" s="86" t="str">
        <f t="shared" si="2"/>
        <v/>
      </c>
      <c r="G234" s="86" t="str">
        <f t="shared" si="3"/>
        <v/>
      </c>
      <c r="H234" s="15"/>
      <c r="P234" s="3" t="str">
        <f>IFERROR(__xludf.DUMMYFUNCTION("IF(OR(F234="""",F234=""Seleccionar..""),"""",TRANSPOSE(FILTER(Productos!E:E,(Productos!F:F=D234)+(Productos!F:F=XLOOKUP(D234,Implementos!B:B,Implementos!C:C,""-"",0,1)))))"),"")</f>
        <v/>
      </c>
    </row>
    <row r="235" hidden="1">
      <c r="A235" s="38" t="str">
        <f t="shared" si="1"/>
        <v/>
      </c>
      <c r="B235" s="38" t="str">
        <f>IF(F235="","",SUMIF(Prearmados!E:E,F235,Prearmados!A:A))</f>
        <v/>
      </c>
      <c r="C235" s="38" t="str">
        <f>IF(F235="","",SUMIF(Productos!E:E,G235,Productos!A:A))</f>
        <v/>
      </c>
      <c r="D235" s="85" t="str">
        <f t="array" ref="D235">IF(OR(F235="",F235="Seleccionar.."),"",XLOOKUP(F235,Prearmados!E:E,Prearmados!F:F,"",0,1))</f>
        <v/>
      </c>
      <c r="E235" s="83" t="str">
        <f>IF(H235="","",SUMIF(Precio_Productos!K:K,C235,Precio_Productos!J:J)*H235)</f>
        <v/>
      </c>
      <c r="F235" s="86" t="str">
        <f t="shared" si="2"/>
        <v/>
      </c>
      <c r="G235" s="86" t="str">
        <f t="shared" si="3"/>
        <v/>
      </c>
      <c r="H235" s="15"/>
      <c r="P235" s="3" t="str">
        <f>IFERROR(__xludf.DUMMYFUNCTION("IF(OR(F235="""",F235=""Seleccionar..""),"""",TRANSPOSE(FILTER(Productos!E:E,(Productos!F:F=D235)+(Productos!F:F=XLOOKUP(D235,Implementos!B:B,Implementos!C:C,""-"",0,1)))))"),"")</f>
        <v/>
      </c>
    </row>
    <row r="236" hidden="1">
      <c r="A236" s="38" t="str">
        <f t="shared" si="1"/>
        <v/>
      </c>
      <c r="B236" s="38" t="str">
        <f>IF(F236="","",SUMIF(Prearmados!E:E,F236,Prearmados!A:A))</f>
        <v/>
      </c>
      <c r="C236" s="38" t="str">
        <f>IF(F236="","",SUMIF(Productos!E:E,G236,Productos!A:A))</f>
        <v/>
      </c>
      <c r="D236" s="85" t="str">
        <f t="array" ref="D236">IF(OR(F236="",F236="Seleccionar.."),"",XLOOKUP(F236,Prearmados!E:E,Prearmados!F:F,"",0,1))</f>
        <v/>
      </c>
      <c r="E236" s="83" t="str">
        <f>IF(H236="","",SUMIF(Precio_Productos!K:K,C236,Precio_Productos!J:J)*H236)</f>
        <v/>
      </c>
      <c r="F236" s="86" t="str">
        <f t="shared" si="2"/>
        <v/>
      </c>
      <c r="G236" s="86" t="str">
        <f t="shared" si="3"/>
        <v/>
      </c>
      <c r="H236" s="15"/>
      <c r="P236" s="3" t="str">
        <f>IFERROR(__xludf.DUMMYFUNCTION("IF(OR(F236="""",F236=""Seleccionar..""),"""",TRANSPOSE(FILTER(Productos!E:E,(Productos!F:F=D236)+(Productos!F:F=XLOOKUP(D236,Implementos!B:B,Implementos!C:C,""-"",0,1)))))"),"")</f>
        <v/>
      </c>
    </row>
    <row r="237" hidden="1">
      <c r="A237" s="38" t="str">
        <f t="shared" si="1"/>
        <v/>
      </c>
      <c r="B237" s="38" t="str">
        <f>IF(F237="","",SUMIF(Prearmados!E:E,F237,Prearmados!A:A))</f>
        <v/>
      </c>
      <c r="C237" s="38" t="str">
        <f>IF(F237="","",SUMIF(Productos!E:E,G237,Productos!A:A))</f>
        <v/>
      </c>
      <c r="D237" s="85" t="str">
        <f t="array" ref="D237">IF(OR(F237="",F237="Seleccionar.."),"",XLOOKUP(F237,Prearmados!E:E,Prearmados!F:F,"",0,1))</f>
        <v/>
      </c>
      <c r="E237" s="83" t="str">
        <f>IF(H237="","",SUMIF(Precio_Productos!K:K,C237,Precio_Productos!J:J)*H237)</f>
        <v/>
      </c>
      <c r="F237" s="86" t="str">
        <f t="shared" si="2"/>
        <v/>
      </c>
      <c r="G237" s="86" t="str">
        <f t="shared" si="3"/>
        <v/>
      </c>
      <c r="H237" s="15"/>
      <c r="P237" s="3" t="str">
        <f>IFERROR(__xludf.DUMMYFUNCTION("IF(OR(F237="""",F237=""Seleccionar..""),"""",TRANSPOSE(FILTER(Productos!E:E,(Productos!F:F=D237)+(Productos!F:F=XLOOKUP(D237,Implementos!B:B,Implementos!C:C,""-"",0,1)))))"),"")</f>
        <v/>
      </c>
    </row>
    <row r="238" hidden="1">
      <c r="A238" s="38" t="str">
        <f t="shared" si="1"/>
        <v/>
      </c>
      <c r="B238" s="38" t="str">
        <f>IF(F238="","",SUMIF(Prearmados!E:E,F238,Prearmados!A:A))</f>
        <v/>
      </c>
      <c r="C238" s="38" t="str">
        <f>IF(F238="","",SUMIF(Productos!E:E,G238,Productos!A:A))</f>
        <v/>
      </c>
      <c r="D238" s="85" t="str">
        <f t="array" ref="D238">IF(OR(F238="",F238="Seleccionar.."),"",XLOOKUP(F238,Prearmados!E:E,Prearmados!F:F,"",0,1))</f>
        <v/>
      </c>
      <c r="E238" s="83" t="str">
        <f>IF(H238="","",SUMIF(Precio_Productos!K:K,C238,Precio_Productos!J:J)*H238)</f>
        <v/>
      </c>
      <c r="F238" s="86" t="str">
        <f t="shared" si="2"/>
        <v/>
      </c>
      <c r="G238" s="86" t="str">
        <f t="shared" si="3"/>
        <v/>
      </c>
      <c r="H238" s="15"/>
      <c r="P238" s="3" t="str">
        <f>IFERROR(__xludf.DUMMYFUNCTION("IF(OR(F238="""",F238=""Seleccionar..""),"""",TRANSPOSE(FILTER(Productos!E:E,(Productos!F:F=D238)+(Productos!F:F=XLOOKUP(D238,Implementos!B:B,Implementos!C:C,""-"",0,1)))))"),"")</f>
        <v/>
      </c>
    </row>
    <row r="239" hidden="1">
      <c r="A239" s="38" t="str">
        <f t="shared" si="1"/>
        <v/>
      </c>
      <c r="B239" s="38" t="str">
        <f>IF(F239="","",SUMIF(Prearmados!E:E,F239,Prearmados!A:A))</f>
        <v/>
      </c>
      <c r="C239" s="38" t="str">
        <f>IF(F239="","",SUMIF(Productos!E:E,G239,Productos!A:A))</f>
        <v/>
      </c>
      <c r="D239" s="85" t="str">
        <f t="array" ref="D239">IF(OR(F239="",F239="Seleccionar.."),"",XLOOKUP(F239,Prearmados!E:E,Prearmados!F:F,"",0,1))</f>
        <v/>
      </c>
      <c r="E239" s="83" t="str">
        <f>IF(H239="","",SUMIF(Precio_Productos!K:K,C239,Precio_Productos!J:J)*H239)</f>
        <v/>
      </c>
      <c r="F239" s="86" t="str">
        <f t="shared" si="2"/>
        <v/>
      </c>
      <c r="G239" s="86" t="str">
        <f t="shared" si="3"/>
        <v/>
      </c>
      <c r="H239" s="15"/>
      <c r="P239" s="3" t="str">
        <f>IFERROR(__xludf.DUMMYFUNCTION("IF(OR(F239="""",F239=""Seleccionar..""),"""",TRANSPOSE(FILTER(Productos!E:E,(Productos!F:F=D239)+(Productos!F:F=XLOOKUP(D239,Implementos!B:B,Implementos!C:C,""-"",0,1)))))"),"")</f>
        <v/>
      </c>
    </row>
    <row r="240" hidden="1">
      <c r="A240" s="38" t="str">
        <f t="shared" si="1"/>
        <v/>
      </c>
      <c r="B240" s="38" t="str">
        <f>IF(F240="","",SUMIF(Prearmados!E:E,F240,Prearmados!A:A))</f>
        <v/>
      </c>
      <c r="C240" s="38" t="str">
        <f>IF(F240="","",SUMIF(Productos!E:E,G240,Productos!A:A))</f>
        <v/>
      </c>
      <c r="D240" s="85" t="str">
        <f t="array" ref="D240">IF(OR(F240="",F240="Seleccionar.."),"",XLOOKUP(F240,Prearmados!E:E,Prearmados!F:F,"",0,1))</f>
        <v/>
      </c>
      <c r="E240" s="83" t="str">
        <f>IF(H240="","",SUMIF(Precio_Productos!K:K,C240,Precio_Productos!J:J)*H240)</f>
        <v/>
      </c>
      <c r="F240" s="86" t="str">
        <f t="shared" si="2"/>
        <v/>
      </c>
      <c r="G240" s="86" t="str">
        <f t="shared" si="3"/>
        <v/>
      </c>
      <c r="H240" s="15"/>
      <c r="P240" s="3" t="str">
        <f>IFERROR(__xludf.DUMMYFUNCTION("IF(OR(F240="""",F240=""Seleccionar..""),"""",TRANSPOSE(FILTER(Productos!E:E,(Productos!F:F=D240)+(Productos!F:F=XLOOKUP(D240,Implementos!B:B,Implementos!C:C,""-"",0,1)))))"),"")</f>
        <v/>
      </c>
    </row>
    <row r="241" hidden="1">
      <c r="A241" s="38" t="str">
        <f t="shared" si="1"/>
        <v/>
      </c>
      <c r="B241" s="38" t="str">
        <f>IF(F241="","",SUMIF(Prearmados!E:E,F241,Prearmados!A:A))</f>
        <v/>
      </c>
      <c r="C241" s="38" t="str">
        <f>IF(F241="","",SUMIF(Productos!E:E,G241,Productos!A:A))</f>
        <v/>
      </c>
      <c r="D241" s="85" t="str">
        <f t="array" ref="D241">IF(OR(F241="",F241="Seleccionar.."),"",XLOOKUP(F241,Prearmados!E:E,Prearmados!F:F,"",0,1))</f>
        <v/>
      </c>
      <c r="E241" s="83" t="str">
        <f>IF(H241="","",SUMIF(Precio_Productos!K:K,C241,Precio_Productos!J:J)*H241)</f>
        <v/>
      </c>
      <c r="F241" s="86" t="str">
        <f t="shared" si="2"/>
        <v/>
      </c>
      <c r="G241" s="86" t="str">
        <f t="shared" si="3"/>
        <v/>
      </c>
      <c r="H241" s="15"/>
      <c r="P241" s="3" t="str">
        <f>IFERROR(__xludf.DUMMYFUNCTION("IF(OR(F241="""",F241=""Seleccionar..""),"""",TRANSPOSE(FILTER(Productos!E:E,(Productos!F:F=D241)+(Productos!F:F=XLOOKUP(D241,Implementos!B:B,Implementos!C:C,""-"",0,1)))))"),"")</f>
        <v/>
      </c>
    </row>
    <row r="242" hidden="1">
      <c r="A242" s="38" t="str">
        <f t="shared" si="1"/>
        <v/>
      </c>
      <c r="B242" s="38" t="str">
        <f>IF(F242="","",SUMIF(Prearmados!E:E,F242,Prearmados!A:A))</f>
        <v/>
      </c>
      <c r="C242" s="38" t="str">
        <f>IF(F242="","",SUMIF(Productos!E:E,G242,Productos!A:A))</f>
        <v/>
      </c>
      <c r="D242" s="85" t="str">
        <f t="array" ref="D242">IF(OR(F242="",F242="Seleccionar.."),"",XLOOKUP(F242,Prearmados!E:E,Prearmados!F:F,"",0,1))</f>
        <v/>
      </c>
      <c r="E242" s="83" t="str">
        <f>IF(H242="","",SUMIF(Precio_Productos!K:K,C242,Precio_Productos!J:J)*H242)</f>
        <v/>
      </c>
      <c r="F242" s="86" t="str">
        <f t="shared" si="2"/>
        <v/>
      </c>
      <c r="G242" s="86" t="str">
        <f t="shared" si="3"/>
        <v/>
      </c>
      <c r="H242" s="15"/>
      <c r="P242" s="3" t="str">
        <f>IFERROR(__xludf.DUMMYFUNCTION("IF(OR(F242="""",F242=""Seleccionar..""),"""",TRANSPOSE(FILTER(Productos!E:E,(Productos!F:F=D242)+(Productos!F:F=XLOOKUP(D242,Implementos!B:B,Implementos!C:C,""-"",0,1)))))"),"")</f>
        <v/>
      </c>
    </row>
    <row r="243" hidden="1">
      <c r="A243" s="38" t="str">
        <f t="shared" si="1"/>
        <v/>
      </c>
      <c r="B243" s="38" t="str">
        <f>IF(F243="","",SUMIF(Prearmados!E:E,F243,Prearmados!A:A))</f>
        <v/>
      </c>
      <c r="C243" s="38" t="str">
        <f>IF(F243="","",SUMIF(Productos!E:E,G243,Productos!A:A))</f>
        <v/>
      </c>
      <c r="D243" s="85" t="str">
        <f t="array" ref="D243">IF(OR(F243="",F243="Seleccionar.."),"",XLOOKUP(F243,Prearmados!E:E,Prearmados!F:F,"",0,1))</f>
        <v/>
      </c>
      <c r="E243" s="83" t="str">
        <f>IF(H243="","",SUMIF(Precio_Productos!K:K,C243,Precio_Productos!J:J)*H243)</f>
        <v/>
      </c>
      <c r="F243" s="86" t="str">
        <f t="shared" si="2"/>
        <v/>
      </c>
      <c r="G243" s="86" t="str">
        <f t="shared" si="3"/>
        <v/>
      </c>
      <c r="H243" s="15"/>
      <c r="P243" s="3" t="str">
        <f>IFERROR(__xludf.DUMMYFUNCTION("IF(OR(F243="""",F243=""Seleccionar..""),"""",TRANSPOSE(FILTER(Productos!E:E,(Productos!F:F=D243)+(Productos!F:F=XLOOKUP(D243,Implementos!B:B,Implementos!C:C,""-"",0,1)))))"),"")</f>
        <v/>
      </c>
    </row>
    <row r="244" hidden="1">
      <c r="A244" s="38" t="str">
        <f t="shared" si="1"/>
        <v/>
      </c>
      <c r="B244" s="38" t="str">
        <f>IF(F244="","",SUMIF(Prearmados!E:E,F244,Prearmados!A:A))</f>
        <v/>
      </c>
      <c r="C244" s="38" t="str">
        <f>IF(F244="","",SUMIF(Productos!E:E,G244,Productos!A:A))</f>
        <v/>
      </c>
      <c r="D244" s="85" t="str">
        <f t="array" ref="D244">IF(OR(F244="",F244="Seleccionar.."),"",XLOOKUP(F244,Prearmados!E:E,Prearmados!F:F,"",0,1))</f>
        <v/>
      </c>
      <c r="E244" s="83" t="str">
        <f>IF(H244="","",SUMIF(Precio_Productos!K:K,C244,Precio_Productos!J:J)*H244)</f>
        <v/>
      </c>
      <c r="F244" s="86" t="str">
        <f t="shared" si="2"/>
        <v/>
      </c>
      <c r="G244" s="86" t="str">
        <f t="shared" si="3"/>
        <v/>
      </c>
      <c r="H244" s="15"/>
      <c r="P244" s="3" t="str">
        <f>IFERROR(__xludf.DUMMYFUNCTION("IF(OR(F244="""",F244=""Seleccionar..""),"""",TRANSPOSE(FILTER(Productos!E:E,(Productos!F:F=D244)+(Productos!F:F=XLOOKUP(D244,Implementos!B:B,Implementos!C:C,""-"",0,1)))))"),"")</f>
        <v/>
      </c>
    </row>
    <row r="245" hidden="1">
      <c r="A245" s="38" t="str">
        <f t="shared" si="1"/>
        <v/>
      </c>
      <c r="B245" s="38" t="str">
        <f>IF(F245="","",SUMIF(Prearmados!E:E,F245,Prearmados!A:A))</f>
        <v/>
      </c>
      <c r="C245" s="38" t="str">
        <f>IF(F245="","",SUMIF(Productos!E:E,G245,Productos!A:A))</f>
        <v/>
      </c>
      <c r="D245" s="85" t="str">
        <f t="array" ref="D245">IF(OR(F245="",F245="Seleccionar.."),"",XLOOKUP(F245,Prearmados!E:E,Prearmados!F:F,"",0,1))</f>
        <v/>
      </c>
      <c r="E245" s="83" t="str">
        <f>IF(H245="","",SUMIF(Precio_Productos!K:K,C245,Precio_Productos!J:J)*H245)</f>
        <v/>
      </c>
      <c r="F245" s="86" t="str">
        <f t="shared" si="2"/>
        <v/>
      </c>
      <c r="G245" s="86" t="str">
        <f t="shared" si="3"/>
        <v/>
      </c>
      <c r="H245" s="15"/>
      <c r="P245" s="3" t="str">
        <f>IFERROR(__xludf.DUMMYFUNCTION("IF(OR(F245="""",F245=""Seleccionar..""),"""",TRANSPOSE(FILTER(Productos!E:E,(Productos!F:F=D245)+(Productos!F:F=XLOOKUP(D245,Implementos!B:B,Implementos!C:C,""-"",0,1)))))"),"")</f>
        <v/>
      </c>
    </row>
    <row r="246" hidden="1">
      <c r="A246" s="38" t="str">
        <f t="shared" si="1"/>
        <v/>
      </c>
      <c r="B246" s="38" t="str">
        <f>IF(F246="","",SUMIF(Prearmados!E:E,F246,Prearmados!A:A))</f>
        <v/>
      </c>
      <c r="C246" s="38" t="str">
        <f>IF(F246="","",SUMIF(Productos!E:E,G246,Productos!A:A))</f>
        <v/>
      </c>
      <c r="D246" s="85" t="str">
        <f t="array" ref="D246">IF(OR(F246="",F246="Seleccionar.."),"",XLOOKUP(F246,Prearmados!E:E,Prearmados!F:F,"",0,1))</f>
        <v/>
      </c>
      <c r="E246" s="83" t="str">
        <f>IF(H246="","",SUMIF(Precio_Productos!K:K,C246,Precio_Productos!J:J)*H246)</f>
        <v/>
      </c>
      <c r="F246" s="86" t="str">
        <f t="shared" si="2"/>
        <v/>
      </c>
      <c r="G246" s="86" t="str">
        <f t="shared" si="3"/>
        <v/>
      </c>
      <c r="H246" s="15"/>
      <c r="P246" s="3" t="str">
        <f>IFERROR(__xludf.DUMMYFUNCTION("IF(OR(F246="""",F246=""Seleccionar..""),"""",TRANSPOSE(FILTER(Productos!E:E,(Productos!F:F=D246)+(Productos!F:F=XLOOKUP(D246,Implementos!B:B,Implementos!C:C,""-"",0,1)))))"),"")</f>
        <v/>
      </c>
    </row>
    <row r="247" hidden="1">
      <c r="A247" s="38" t="str">
        <f t="shared" si="1"/>
        <v/>
      </c>
      <c r="B247" s="38" t="str">
        <f>IF(F247="","",SUMIF(Prearmados!E:E,F247,Prearmados!A:A))</f>
        <v/>
      </c>
      <c r="C247" s="38" t="str">
        <f>IF(F247="","",SUMIF(Productos!E:E,G247,Productos!A:A))</f>
        <v/>
      </c>
      <c r="D247" s="85" t="str">
        <f t="array" ref="D247">IF(OR(F247="",F247="Seleccionar.."),"",XLOOKUP(F247,Prearmados!E:E,Prearmados!F:F,"",0,1))</f>
        <v/>
      </c>
      <c r="E247" s="83" t="str">
        <f>IF(H247="","",SUMIF(Precio_Productos!K:K,C247,Precio_Productos!J:J)*H247)</f>
        <v/>
      </c>
      <c r="F247" s="86" t="str">
        <f t="shared" si="2"/>
        <v/>
      </c>
      <c r="G247" s="86" t="str">
        <f t="shared" si="3"/>
        <v/>
      </c>
      <c r="H247" s="15"/>
      <c r="P247" s="3" t="str">
        <f>IFERROR(__xludf.DUMMYFUNCTION("IF(OR(F247="""",F247=""Seleccionar..""),"""",TRANSPOSE(FILTER(Productos!E:E,(Productos!F:F=D247)+(Productos!F:F=XLOOKUP(D247,Implementos!B:B,Implementos!C:C,""-"",0,1)))))"),"")</f>
        <v/>
      </c>
    </row>
    <row r="248" hidden="1">
      <c r="A248" s="38" t="str">
        <f t="shared" si="1"/>
        <v/>
      </c>
      <c r="B248" s="38" t="str">
        <f>IF(F248="","",SUMIF(Prearmados!E:E,F248,Prearmados!A:A))</f>
        <v/>
      </c>
      <c r="C248" s="38" t="str">
        <f>IF(F248="","",SUMIF(Productos!E:E,G248,Productos!A:A))</f>
        <v/>
      </c>
      <c r="D248" s="85" t="str">
        <f t="array" ref="D248">IF(OR(F248="",F248="Seleccionar.."),"",XLOOKUP(F248,Prearmados!E:E,Prearmados!F:F,"",0,1))</f>
        <v/>
      </c>
      <c r="E248" s="83" t="str">
        <f>IF(H248="","",SUMIF(Precio_Productos!K:K,C248,Precio_Productos!J:J)*H248)</f>
        <v/>
      </c>
      <c r="F248" s="86" t="str">
        <f t="shared" si="2"/>
        <v/>
      </c>
      <c r="G248" s="86" t="str">
        <f t="shared" si="3"/>
        <v/>
      </c>
      <c r="H248" s="15"/>
      <c r="P248" s="3" t="str">
        <f>IFERROR(__xludf.DUMMYFUNCTION("IF(OR(F248="""",F248=""Seleccionar..""),"""",TRANSPOSE(FILTER(Productos!E:E,(Productos!F:F=D248)+(Productos!F:F=XLOOKUP(D248,Implementos!B:B,Implementos!C:C,""-"",0,1)))))"),"")</f>
        <v/>
      </c>
    </row>
    <row r="249" hidden="1">
      <c r="A249" s="38" t="str">
        <f t="shared" si="1"/>
        <v/>
      </c>
      <c r="B249" s="38" t="str">
        <f>IF(F249="","",SUMIF(Prearmados!E:E,F249,Prearmados!A:A))</f>
        <v/>
      </c>
      <c r="C249" s="38" t="str">
        <f>IF(F249="","",SUMIF(Productos!E:E,G249,Productos!A:A))</f>
        <v/>
      </c>
      <c r="D249" s="85" t="str">
        <f t="array" ref="D249">IF(OR(F249="",F249="Seleccionar.."),"",XLOOKUP(F249,Prearmados!E:E,Prearmados!F:F,"",0,1))</f>
        <v/>
      </c>
      <c r="E249" s="83" t="str">
        <f>IF(H249="","",SUMIF(Precio_Productos!K:K,C249,Precio_Productos!J:J)*H249)</f>
        <v/>
      </c>
      <c r="F249" s="86" t="str">
        <f t="shared" si="2"/>
        <v/>
      </c>
      <c r="G249" s="86" t="str">
        <f t="shared" si="3"/>
        <v/>
      </c>
      <c r="H249" s="15"/>
      <c r="P249" s="3" t="str">
        <f>IFERROR(__xludf.DUMMYFUNCTION("IF(OR(F249="""",F249=""Seleccionar..""),"""",TRANSPOSE(FILTER(Productos!E:E,(Productos!F:F=D249)+(Productos!F:F=XLOOKUP(D249,Implementos!B:B,Implementos!C:C,""-"",0,1)))))"),"")</f>
        <v/>
      </c>
    </row>
    <row r="250" hidden="1">
      <c r="A250" s="38" t="str">
        <f t="shared" si="1"/>
        <v/>
      </c>
      <c r="B250" s="38" t="str">
        <f>IF(F250="","",SUMIF(Prearmados!E:E,F250,Prearmados!A:A))</f>
        <v/>
      </c>
      <c r="C250" s="38" t="str">
        <f>IF(F250="","",SUMIF(Productos!E:E,G250,Productos!A:A))</f>
        <v/>
      </c>
      <c r="D250" s="85" t="str">
        <f t="array" ref="D250">IF(OR(F250="",F250="Seleccionar.."),"",XLOOKUP(F250,Prearmados!E:E,Prearmados!F:F,"",0,1))</f>
        <v/>
      </c>
      <c r="E250" s="83" t="str">
        <f>IF(H250="","",SUMIF(Precio_Productos!K:K,C250,Precio_Productos!J:J)*H250)</f>
        <v/>
      </c>
      <c r="F250" s="86" t="str">
        <f t="shared" si="2"/>
        <v/>
      </c>
      <c r="G250" s="86" t="str">
        <f t="shared" si="3"/>
        <v/>
      </c>
      <c r="H250" s="15"/>
      <c r="P250" s="3" t="str">
        <f>IFERROR(__xludf.DUMMYFUNCTION("IF(OR(F250="""",F250=""Seleccionar..""),"""",TRANSPOSE(FILTER(Productos!E:E,(Productos!F:F=D250)+(Productos!F:F=XLOOKUP(D250,Implementos!B:B,Implementos!C:C,""-"",0,1)))))"),"")</f>
        <v/>
      </c>
    </row>
    <row r="251" hidden="1">
      <c r="A251" s="38" t="str">
        <f t="shared" si="1"/>
        <v/>
      </c>
      <c r="B251" s="38" t="str">
        <f>IF(F251="","",SUMIF(Prearmados!E:E,F251,Prearmados!A:A))</f>
        <v/>
      </c>
      <c r="C251" s="38" t="str">
        <f>IF(F251="","",SUMIF(Productos!E:E,G251,Productos!A:A))</f>
        <v/>
      </c>
      <c r="D251" s="85" t="str">
        <f t="array" ref="D251">IF(OR(F251="",F251="Seleccionar.."),"",XLOOKUP(F251,Prearmados!E:E,Prearmados!F:F,"",0,1))</f>
        <v/>
      </c>
      <c r="E251" s="83" t="str">
        <f>IF(H251="","",SUMIF(Precio_Productos!K:K,C251,Precio_Productos!J:J)*H251)</f>
        <v/>
      </c>
      <c r="F251" s="86" t="str">
        <f t="shared" si="2"/>
        <v/>
      </c>
      <c r="G251" s="86" t="str">
        <f t="shared" si="3"/>
        <v/>
      </c>
      <c r="H251" s="15"/>
      <c r="P251" s="3" t="str">
        <f>IFERROR(__xludf.DUMMYFUNCTION("IF(OR(F251="""",F251=""Seleccionar..""),"""",TRANSPOSE(FILTER(Productos!E:E,(Productos!F:F=D251)+(Productos!F:F=XLOOKUP(D251,Implementos!B:B,Implementos!C:C,""-"",0,1)))))"),"")</f>
        <v/>
      </c>
    </row>
    <row r="252" hidden="1">
      <c r="A252" s="38" t="str">
        <f t="shared" si="1"/>
        <v/>
      </c>
      <c r="B252" s="38" t="str">
        <f>IF(F252="","",SUMIF(Prearmados!E:E,F252,Prearmados!A:A))</f>
        <v/>
      </c>
      <c r="C252" s="38" t="str">
        <f>IF(F252="","",SUMIF(Productos!E:E,G252,Productos!A:A))</f>
        <v/>
      </c>
      <c r="D252" s="85" t="str">
        <f t="array" ref="D252">IF(OR(F252="",F252="Seleccionar.."),"",XLOOKUP(F252,Prearmados!E:E,Prearmados!F:F,"",0,1))</f>
        <v/>
      </c>
      <c r="E252" s="83" t="str">
        <f>IF(H252="","",SUMIF(Precio_Productos!K:K,C252,Precio_Productos!J:J)*H252)</f>
        <v/>
      </c>
      <c r="F252" s="86" t="str">
        <f t="shared" si="2"/>
        <v/>
      </c>
      <c r="G252" s="86" t="str">
        <f t="shared" si="3"/>
        <v/>
      </c>
      <c r="H252" s="15"/>
      <c r="P252" s="3" t="str">
        <f>IFERROR(__xludf.DUMMYFUNCTION("IF(OR(F252="""",F252=""Seleccionar..""),"""",TRANSPOSE(FILTER(Productos!E:E,(Productos!F:F=D252)+(Productos!F:F=XLOOKUP(D252,Implementos!B:B,Implementos!C:C,""-"",0,1)))))"),"")</f>
        <v/>
      </c>
    </row>
    <row r="253" hidden="1">
      <c r="A253" s="38" t="str">
        <f t="shared" si="1"/>
        <v/>
      </c>
      <c r="B253" s="38" t="str">
        <f>IF(F253="","",SUMIF(Prearmados!E:E,F253,Prearmados!A:A))</f>
        <v/>
      </c>
      <c r="C253" s="38" t="str">
        <f>IF(F253="","",SUMIF(Productos!E:E,G253,Productos!A:A))</f>
        <v/>
      </c>
      <c r="D253" s="85" t="str">
        <f t="array" ref="D253">IF(OR(F253="",F253="Seleccionar.."),"",XLOOKUP(F253,Prearmados!E:E,Prearmados!F:F,"",0,1))</f>
        <v/>
      </c>
      <c r="E253" s="83" t="str">
        <f>IF(H253="","",SUMIF(Precio_Productos!K:K,C253,Precio_Productos!J:J)*H253)</f>
        <v/>
      </c>
      <c r="F253" s="86" t="str">
        <f t="shared" si="2"/>
        <v/>
      </c>
      <c r="G253" s="86" t="str">
        <f t="shared" si="3"/>
        <v/>
      </c>
      <c r="H253" s="15"/>
      <c r="P253" s="3" t="str">
        <f>IFERROR(__xludf.DUMMYFUNCTION("IF(OR(F253="""",F253=""Seleccionar..""),"""",TRANSPOSE(FILTER(Productos!E:E,(Productos!F:F=D253)+(Productos!F:F=XLOOKUP(D253,Implementos!B:B,Implementos!C:C,""-"",0,1)))))"),"")</f>
        <v/>
      </c>
    </row>
    <row r="254" hidden="1">
      <c r="A254" s="38" t="str">
        <f t="shared" si="1"/>
        <v/>
      </c>
      <c r="B254" s="38" t="str">
        <f>IF(F254="","",SUMIF(Prearmados!E:E,F254,Prearmados!A:A))</f>
        <v/>
      </c>
      <c r="C254" s="38" t="str">
        <f>IF(F254="","",SUMIF(Productos!E:E,G254,Productos!A:A))</f>
        <v/>
      </c>
      <c r="D254" s="85" t="str">
        <f t="array" ref="D254">IF(OR(F254="",F254="Seleccionar.."),"",XLOOKUP(F254,Prearmados!E:E,Prearmados!F:F,"",0,1))</f>
        <v/>
      </c>
      <c r="E254" s="83" t="str">
        <f>IF(H254="","",SUMIF(Precio_Productos!K:K,C254,Precio_Productos!J:J)*H254)</f>
        <v/>
      </c>
      <c r="F254" s="86" t="str">
        <f t="shared" si="2"/>
        <v/>
      </c>
      <c r="G254" s="86" t="str">
        <f t="shared" si="3"/>
        <v/>
      </c>
      <c r="H254" s="15"/>
      <c r="P254" s="3" t="str">
        <f>IFERROR(__xludf.DUMMYFUNCTION("IF(OR(F254="""",F254=""Seleccionar..""),"""",TRANSPOSE(FILTER(Productos!E:E,(Productos!F:F=D254)+(Productos!F:F=XLOOKUP(D254,Implementos!B:B,Implementos!C:C,""-"",0,1)))))"),"")</f>
        <v/>
      </c>
    </row>
    <row r="255" hidden="1">
      <c r="A255" s="38" t="str">
        <f t="shared" si="1"/>
        <v/>
      </c>
      <c r="B255" s="38" t="str">
        <f>IF(F255="","",SUMIF(Prearmados!E:E,F255,Prearmados!A:A))</f>
        <v/>
      </c>
      <c r="C255" s="38" t="str">
        <f>IF(F255="","",SUMIF(Productos!E:E,G255,Productos!A:A))</f>
        <v/>
      </c>
      <c r="D255" s="85" t="str">
        <f t="array" ref="D255">IF(OR(F255="",F255="Seleccionar.."),"",XLOOKUP(F255,Prearmados!E:E,Prearmados!F:F,"",0,1))</f>
        <v/>
      </c>
      <c r="E255" s="83" t="str">
        <f>IF(H255="","",SUMIF(Precio_Productos!K:K,C255,Precio_Productos!J:J)*H255)</f>
        <v/>
      </c>
      <c r="F255" s="86" t="str">
        <f t="shared" si="2"/>
        <v/>
      </c>
      <c r="G255" s="86" t="str">
        <f t="shared" si="3"/>
        <v/>
      </c>
      <c r="H255" s="15"/>
      <c r="P255" s="3" t="str">
        <f>IFERROR(__xludf.DUMMYFUNCTION("IF(OR(F255="""",F255=""Seleccionar..""),"""",TRANSPOSE(FILTER(Productos!E:E,(Productos!F:F=D255)+(Productos!F:F=XLOOKUP(D255,Implementos!B:B,Implementos!C:C,""-"",0,1)))))"),"")</f>
        <v/>
      </c>
    </row>
    <row r="256" hidden="1">
      <c r="A256" s="38" t="str">
        <f t="shared" si="1"/>
        <v/>
      </c>
      <c r="B256" s="38" t="str">
        <f>IF(F256="","",SUMIF(Prearmados!E:E,F256,Prearmados!A:A))</f>
        <v/>
      </c>
      <c r="C256" s="38" t="str">
        <f>IF(F256="","",SUMIF(Productos!E:E,G256,Productos!A:A))</f>
        <v/>
      </c>
      <c r="D256" s="85" t="str">
        <f t="array" ref="D256">IF(OR(F256="",F256="Seleccionar.."),"",XLOOKUP(F256,Prearmados!E:E,Prearmados!F:F,"",0,1))</f>
        <v/>
      </c>
      <c r="E256" s="83" t="str">
        <f>IF(H256="","",SUMIF(Precio_Productos!K:K,C256,Precio_Productos!J:J)*H256)</f>
        <v/>
      </c>
      <c r="F256" s="86" t="str">
        <f t="shared" si="2"/>
        <v/>
      </c>
      <c r="G256" s="86" t="str">
        <f t="shared" si="3"/>
        <v/>
      </c>
      <c r="H256" s="15"/>
      <c r="P256" s="3" t="str">
        <f>IFERROR(__xludf.DUMMYFUNCTION("IF(OR(F256="""",F256=""Seleccionar..""),"""",TRANSPOSE(FILTER(Productos!E:E,(Productos!F:F=D256)+(Productos!F:F=XLOOKUP(D256,Implementos!B:B,Implementos!C:C,""-"",0,1)))))"),"")</f>
        <v/>
      </c>
    </row>
    <row r="257" hidden="1">
      <c r="A257" s="38" t="str">
        <f t="shared" si="1"/>
        <v/>
      </c>
      <c r="B257" s="38" t="str">
        <f>IF(F257="","",SUMIF(Prearmados!E:E,F257,Prearmados!A:A))</f>
        <v/>
      </c>
      <c r="C257" s="38" t="str">
        <f>IF(F257="","",SUMIF(Productos!E:E,G257,Productos!A:A))</f>
        <v/>
      </c>
      <c r="D257" s="85" t="str">
        <f t="array" ref="D257">IF(OR(F257="",F257="Seleccionar.."),"",XLOOKUP(F257,Prearmados!E:E,Prearmados!F:F,"",0,1))</f>
        <v/>
      </c>
      <c r="E257" s="83" t="str">
        <f>IF(H257="","",SUMIF(Precio_Productos!K:K,C257,Precio_Productos!J:J)*H257)</f>
        <v/>
      </c>
      <c r="F257" s="86" t="str">
        <f t="shared" si="2"/>
        <v/>
      </c>
      <c r="G257" s="86" t="str">
        <f t="shared" si="3"/>
        <v/>
      </c>
      <c r="H257" s="15"/>
      <c r="P257" s="3" t="str">
        <f>IFERROR(__xludf.DUMMYFUNCTION("IF(OR(F257="""",F257=""Seleccionar..""),"""",TRANSPOSE(FILTER(Productos!E:E,(Productos!F:F=D257)+(Productos!F:F=XLOOKUP(D257,Implementos!B:B,Implementos!C:C,""-"",0,1)))))"),"")</f>
        <v/>
      </c>
    </row>
    <row r="258" hidden="1">
      <c r="A258" s="38" t="str">
        <f t="shared" si="1"/>
        <v/>
      </c>
      <c r="B258" s="38" t="str">
        <f>IF(F258="","",SUMIF(Prearmados!E:E,F258,Prearmados!A:A))</f>
        <v/>
      </c>
      <c r="C258" s="38" t="str">
        <f>IF(F258="","",SUMIF(Productos!E:E,G258,Productos!A:A))</f>
        <v/>
      </c>
      <c r="D258" s="85" t="str">
        <f t="array" ref="D258">IF(OR(F258="",F258="Seleccionar.."),"",XLOOKUP(F258,Prearmados!E:E,Prearmados!F:F,"",0,1))</f>
        <v/>
      </c>
      <c r="E258" s="83" t="str">
        <f>IF(H258="","",SUMIF(Precio_Productos!K:K,C258,Precio_Productos!J:J)*H258)</f>
        <v/>
      </c>
      <c r="F258" s="86" t="str">
        <f t="shared" si="2"/>
        <v/>
      </c>
      <c r="G258" s="86" t="str">
        <f t="shared" si="3"/>
        <v/>
      </c>
      <c r="H258" s="15"/>
      <c r="P258" s="3" t="str">
        <f>IFERROR(__xludf.DUMMYFUNCTION("IF(OR(F258="""",F258=""Seleccionar..""),"""",TRANSPOSE(FILTER(Productos!E:E,(Productos!F:F=D258)+(Productos!F:F=XLOOKUP(D258,Implementos!B:B,Implementos!C:C,""-"",0,1)))))"),"")</f>
        <v/>
      </c>
    </row>
    <row r="259" hidden="1">
      <c r="A259" s="38" t="str">
        <f t="shared" si="1"/>
        <v/>
      </c>
      <c r="B259" s="38" t="str">
        <f>IF(F259="","",SUMIF(Prearmados!E:E,F259,Prearmados!A:A))</f>
        <v/>
      </c>
      <c r="C259" s="38" t="str">
        <f>IF(F259="","",SUMIF(Productos!E:E,G259,Productos!A:A))</f>
        <v/>
      </c>
      <c r="D259" s="85" t="str">
        <f t="array" ref="D259">IF(OR(F259="",F259="Seleccionar.."),"",XLOOKUP(F259,Prearmados!E:E,Prearmados!F:F,"",0,1))</f>
        <v/>
      </c>
      <c r="E259" s="83" t="str">
        <f>IF(H259="","",SUMIF(Precio_Productos!K:K,C259,Precio_Productos!J:J)*H259)</f>
        <v/>
      </c>
      <c r="F259" s="86" t="str">
        <f t="shared" si="2"/>
        <v/>
      </c>
      <c r="G259" s="86" t="str">
        <f t="shared" si="3"/>
        <v/>
      </c>
      <c r="H259" s="15"/>
      <c r="P259" s="3" t="str">
        <f>IFERROR(__xludf.DUMMYFUNCTION("IF(OR(F259="""",F259=""Seleccionar..""),"""",TRANSPOSE(FILTER(Productos!E:E,(Productos!F:F=D259)+(Productos!F:F=XLOOKUP(D259,Implementos!B:B,Implementos!C:C,""-"",0,1)))))"),"")</f>
        <v/>
      </c>
    </row>
    <row r="260" hidden="1">
      <c r="A260" s="38" t="str">
        <f t="shared" si="1"/>
        <v/>
      </c>
      <c r="B260" s="38" t="str">
        <f>IF(F260="","",SUMIF(Prearmados!E:E,F260,Prearmados!A:A))</f>
        <v/>
      </c>
      <c r="C260" s="38" t="str">
        <f>IF(F260="","",SUMIF(Productos!E:E,G260,Productos!A:A))</f>
        <v/>
      </c>
      <c r="D260" s="85" t="str">
        <f t="array" ref="D260">IF(OR(F260="",F260="Seleccionar.."),"",XLOOKUP(F260,Prearmados!E:E,Prearmados!F:F,"",0,1))</f>
        <v/>
      </c>
      <c r="E260" s="83" t="str">
        <f>IF(H260="","",SUMIF(Precio_Productos!K:K,C260,Precio_Productos!J:J)*H260)</f>
        <v/>
      </c>
      <c r="F260" s="86" t="str">
        <f t="shared" si="2"/>
        <v/>
      </c>
      <c r="G260" s="86" t="str">
        <f t="shared" si="3"/>
        <v/>
      </c>
      <c r="H260" s="15"/>
      <c r="P260" s="3" t="str">
        <f>IFERROR(__xludf.DUMMYFUNCTION("IF(OR(F260="""",F260=""Seleccionar..""),"""",TRANSPOSE(FILTER(Productos!E:E,(Productos!F:F=D260)+(Productos!F:F=XLOOKUP(D260,Implementos!B:B,Implementos!C:C,""-"",0,1)))))"),"")</f>
        <v/>
      </c>
    </row>
    <row r="261" hidden="1">
      <c r="A261" s="38" t="str">
        <f t="shared" si="1"/>
        <v/>
      </c>
      <c r="B261" s="38" t="str">
        <f>IF(F261="","",SUMIF(Prearmados!E:E,F261,Prearmados!A:A))</f>
        <v/>
      </c>
      <c r="C261" s="38" t="str">
        <f>IF(F261="","",SUMIF(Productos!E:E,G261,Productos!A:A))</f>
        <v/>
      </c>
      <c r="D261" s="85" t="str">
        <f t="array" ref="D261">IF(OR(F261="",F261="Seleccionar.."),"",XLOOKUP(F261,Prearmados!E:E,Prearmados!F:F,"",0,1))</f>
        <v/>
      </c>
      <c r="E261" s="83" t="str">
        <f>IF(H261="","",SUMIF(Precio_Productos!K:K,C261,Precio_Productos!J:J)*H261)</f>
        <v/>
      </c>
      <c r="F261" s="86" t="str">
        <f t="shared" si="2"/>
        <v/>
      </c>
      <c r="G261" s="86" t="str">
        <f t="shared" si="3"/>
        <v/>
      </c>
      <c r="H261" s="15"/>
      <c r="P261" s="3" t="str">
        <f>IFERROR(__xludf.DUMMYFUNCTION("IF(OR(F261="""",F261=""Seleccionar..""),"""",TRANSPOSE(FILTER(Productos!E:E,(Productos!F:F=D261)+(Productos!F:F=XLOOKUP(D261,Implementos!B:B,Implementos!C:C,""-"",0,1)))))"),"")</f>
        <v/>
      </c>
    </row>
    <row r="262" hidden="1">
      <c r="A262" s="38" t="str">
        <f t="shared" si="1"/>
        <v/>
      </c>
      <c r="B262" s="38" t="str">
        <f>IF(F262="","",SUMIF(Prearmados!E:E,F262,Prearmados!A:A))</f>
        <v/>
      </c>
      <c r="C262" s="38" t="str">
        <f>IF(F262="","",SUMIF(Productos!E:E,G262,Productos!A:A))</f>
        <v/>
      </c>
      <c r="D262" s="85" t="str">
        <f t="array" ref="D262">IF(OR(F262="",F262="Seleccionar.."),"",XLOOKUP(F262,Prearmados!E:E,Prearmados!F:F,"",0,1))</f>
        <v/>
      </c>
      <c r="E262" s="83" t="str">
        <f>IF(H262="","",SUMIF(Precio_Productos!K:K,C262,Precio_Productos!J:J)*H262)</f>
        <v/>
      </c>
      <c r="F262" s="86" t="str">
        <f t="shared" si="2"/>
        <v/>
      </c>
      <c r="G262" s="86" t="str">
        <f t="shared" si="3"/>
        <v/>
      </c>
      <c r="H262" s="15"/>
      <c r="P262" s="3" t="str">
        <f>IFERROR(__xludf.DUMMYFUNCTION("IF(OR(F262="""",F262=""Seleccionar..""),"""",TRANSPOSE(FILTER(Productos!E:E,(Productos!F:F=D262)+(Productos!F:F=XLOOKUP(D262,Implementos!B:B,Implementos!C:C,""-"",0,1)))))"),"")</f>
        <v/>
      </c>
    </row>
    <row r="263" hidden="1">
      <c r="A263" s="38" t="str">
        <f t="shared" si="1"/>
        <v/>
      </c>
      <c r="B263" s="38" t="str">
        <f>IF(F263="","",SUMIF(Prearmados!E:E,F263,Prearmados!A:A))</f>
        <v/>
      </c>
      <c r="C263" s="38" t="str">
        <f>IF(F263="","",SUMIF(Productos!E:E,G263,Productos!A:A))</f>
        <v/>
      </c>
      <c r="D263" s="85" t="str">
        <f t="array" ref="D263">IF(OR(F263="",F263="Seleccionar.."),"",XLOOKUP(F263,Prearmados!E:E,Prearmados!F:F,"",0,1))</f>
        <v/>
      </c>
      <c r="E263" s="83" t="str">
        <f>IF(H263="","",SUMIF(Precio_Productos!K:K,C263,Precio_Productos!J:J)*H263)</f>
        <v/>
      </c>
      <c r="F263" s="86" t="str">
        <f t="shared" si="2"/>
        <v/>
      </c>
      <c r="G263" s="86" t="str">
        <f t="shared" si="3"/>
        <v/>
      </c>
      <c r="H263" s="15"/>
      <c r="P263" s="3" t="str">
        <f>IFERROR(__xludf.DUMMYFUNCTION("IF(OR(F263="""",F263=""Seleccionar..""),"""",TRANSPOSE(FILTER(Productos!E:E,(Productos!F:F=D263)+(Productos!F:F=XLOOKUP(D263,Implementos!B:B,Implementos!C:C,""-"",0,1)))))"),"")</f>
        <v/>
      </c>
    </row>
    <row r="264" hidden="1">
      <c r="A264" s="38" t="str">
        <f t="shared" si="1"/>
        <v/>
      </c>
      <c r="B264" s="38" t="str">
        <f>IF(F264="","",SUMIF(Prearmados!E:E,F264,Prearmados!A:A))</f>
        <v/>
      </c>
      <c r="C264" s="38" t="str">
        <f>IF(F264="","",SUMIF(Productos!E:E,G264,Productos!A:A))</f>
        <v/>
      </c>
      <c r="D264" s="85" t="str">
        <f t="array" ref="D264">IF(OR(F264="",F264="Seleccionar.."),"",XLOOKUP(F264,Prearmados!E:E,Prearmados!F:F,"",0,1))</f>
        <v/>
      </c>
      <c r="E264" s="83" t="str">
        <f>IF(H264="","",SUMIF(Precio_Productos!K:K,C264,Precio_Productos!J:J)*H264)</f>
        <v/>
      </c>
      <c r="F264" s="86" t="str">
        <f t="shared" si="2"/>
        <v/>
      </c>
      <c r="G264" s="86" t="str">
        <f t="shared" si="3"/>
        <v/>
      </c>
      <c r="H264" s="15"/>
      <c r="P264" s="3" t="str">
        <f>IFERROR(__xludf.DUMMYFUNCTION("IF(OR(F264="""",F264=""Seleccionar..""),"""",TRANSPOSE(FILTER(Productos!E:E,(Productos!F:F=D264)+(Productos!F:F=XLOOKUP(D264,Implementos!B:B,Implementos!C:C,""-"",0,1)))))"),"")</f>
        <v/>
      </c>
    </row>
    <row r="265" hidden="1">
      <c r="A265" s="38" t="str">
        <f t="shared" si="1"/>
        <v/>
      </c>
      <c r="B265" s="38" t="str">
        <f>IF(F265="","",SUMIF(Prearmados!E:E,F265,Prearmados!A:A))</f>
        <v/>
      </c>
      <c r="C265" s="38" t="str">
        <f>IF(F265="","",SUMIF(Productos!E:E,G265,Productos!A:A))</f>
        <v/>
      </c>
      <c r="D265" s="85" t="str">
        <f t="array" ref="D265">IF(OR(F265="",F265="Seleccionar.."),"",XLOOKUP(F265,Prearmados!E:E,Prearmados!F:F,"",0,1))</f>
        <v/>
      </c>
      <c r="E265" s="83" t="str">
        <f>IF(H265="","",SUMIF(Precio_Productos!K:K,C265,Precio_Productos!J:J)*H265)</f>
        <v/>
      </c>
      <c r="F265" s="86" t="str">
        <f t="shared" si="2"/>
        <v/>
      </c>
      <c r="G265" s="86" t="str">
        <f t="shared" si="3"/>
        <v/>
      </c>
      <c r="H265" s="15"/>
      <c r="P265" s="3" t="str">
        <f>IFERROR(__xludf.DUMMYFUNCTION("IF(OR(F265="""",F265=""Seleccionar..""),"""",TRANSPOSE(FILTER(Productos!E:E,(Productos!F:F=D265)+(Productos!F:F=XLOOKUP(D265,Implementos!B:B,Implementos!C:C,""-"",0,1)))))"),"")</f>
        <v/>
      </c>
    </row>
    <row r="266" hidden="1">
      <c r="A266" s="38" t="str">
        <f t="shared" si="1"/>
        <v/>
      </c>
      <c r="B266" s="38" t="str">
        <f>IF(F266="","",SUMIF(Prearmados!E:E,F266,Prearmados!A:A))</f>
        <v/>
      </c>
      <c r="C266" s="38" t="str">
        <f>IF(F266="","",SUMIF(Productos!E:E,G266,Productos!A:A))</f>
        <v/>
      </c>
      <c r="D266" s="85" t="str">
        <f t="array" ref="D266">IF(OR(F266="",F266="Seleccionar.."),"",XLOOKUP(F266,Prearmados!E:E,Prearmados!F:F,"",0,1))</f>
        <v/>
      </c>
      <c r="E266" s="83" t="str">
        <f>IF(H266="","",SUMIF(Precio_Productos!K:K,C266,Precio_Productos!J:J)*H266)</f>
        <v/>
      </c>
      <c r="F266" s="86" t="str">
        <f t="shared" si="2"/>
        <v/>
      </c>
      <c r="G266" s="86" t="str">
        <f t="shared" si="3"/>
        <v/>
      </c>
      <c r="H266" s="15"/>
      <c r="P266" s="3" t="str">
        <f>IFERROR(__xludf.DUMMYFUNCTION("IF(OR(F266="""",F266=""Seleccionar..""),"""",TRANSPOSE(FILTER(Productos!E:E,(Productos!F:F=D266)+(Productos!F:F=XLOOKUP(D266,Implementos!B:B,Implementos!C:C,""-"",0,1)))))"),"")</f>
        <v/>
      </c>
    </row>
    <row r="267" hidden="1">
      <c r="A267" s="38" t="str">
        <f t="shared" si="1"/>
        <v/>
      </c>
      <c r="B267" s="38" t="str">
        <f>IF(F267="","",SUMIF(Prearmados!E:E,F267,Prearmados!A:A))</f>
        <v/>
      </c>
      <c r="C267" s="38" t="str">
        <f>IF(F267="","",SUMIF(Productos!E:E,G267,Productos!A:A))</f>
        <v/>
      </c>
      <c r="D267" s="85" t="str">
        <f t="array" ref="D267">IF(OR(F267="",F267="Seleccionar.."),"",XLOOKUP(F267,Prearmados!E:E,Prearmados!F:F,"",0,1))</f>
        <v/>
      </c>
      <c r="E267" s="83" t="str">
        <f>IF(H267="","",SUMIF(Precio_Productos!K:K,C267,Precio_Productos!J:J)*H267)</f>
        <v/>
      </c>
      <c r="F267" s="86" t="str">
        <f t="shared" si="2"/>
        <v/>
      </c>
      <c r="G267" s="86" t="str">
        <f t="shared" si="3"/>
        <v/>
      </c>
      <c r="H267" s="15"/>
      <c r="P267" s="3" t="str">
        <f>IFERROR(__xludf.DUMMYFUNCTION("IF(OR(F267="""",F267=""Seleccionar..""),"""",TRANSPOSE(FILTER(Productos!E:E,(Productos!F:F=D267)+(Productos!F:F=XLOOKUP(D267,Implementos!B:B,Implementos!C:C,""-"",0,1)))))"),"")</f>
        <v/>
      </c>
    </row>
    <row r="268" hidden="1">
      <c r="A268" s="38" t="str">
        <f t="shared" si="1"/>
        <v/>
      </c>
      <c r="B268" s="38" t="str">
        <f>IF(F268="","",SUMIF(Prearmados!E:E,F268,Prearmados!A:A))</f>
        <v/>
      </c>
      <c r="C268" s="38" t="str">
        <f>IF(F268="","",SUMIF(Productos!E:E,G268,Productos!A:A))</f>
        <v/>
      </c>
      <c r="D268" s="85" t="str">
        <f t="array" ref="D268">IF(OR(F268="",F268="Seleccionar.."),"",XLOOKUP(F268,Prearmados!E:E,Prearmados!F:F,"",0,1))</f>
        <v/>
      </c>
      <c r="E268" s="83" t="str">
        <f>IF(H268="","",SUMIF(Precio_Productos!K:K,C268,Precio_Productos!J:J)*H268)</f>
        <v/>
      </c>
      <c r="F268" s="86" t="str">
        <f t="shared" si="2"/>
        <v/>
      </c>
      <c r="G268" s="86" t="str">
        <f t="shared" si="3"/>
        <v/>
      </c>
      <c r="H268" s="15"/>
      <c r="P268" s="3" t="str">
        <f>IFERROR(__xludf.DUMMYFUNCTION("IF(OR(F268="""",F268=""Seleccionar..""),"""",TRANSPOSE(FILTER(Productos!E:E,(Productos!F:F=D268)+(Productos!F:F=XLOOKUP(D268,Implementos!B:B,Implementos!C:C,""-"",0,1)))))"),"")</f>
        <v/>
      </c>
    </row>
    <row r="269" hidden="1">
      <c r="A269" s="38" t="str">
        <f t="shared" si="1"/>
        <v/>
      </c>
      <c r="B269" s="38" t="str">
        <f>IF(F269="","",SUMIF(Prearmados!E:E,F269,Prearmados!A:A))</f>
        <v/>
      </c>
      <c r="C269" s="38" t="str">
        <f>IF(F269="","",SUMIF(Productos!E:E,G269,Productos!A:A))</f>
        <v/>
      </c>
      <c r="D269" s="85" t="str">
        <f t="array" ref="D269">IF(OR(F269="",F269="Seleccionar.."),"",XLOOKUP(F269,Prearmados!E:E,Prearmados!F:F,"",0,1))</f>
        <v/>
      </c>
      <c r="E269" s="83" t="str">
        <f>IF(H269="","",SUMIF(Precio_Productos!K:K,C269,Precio_Productos!J:J)*H269)</f>
        <v/>
      </c>
      <c r="F269" s="86" t="str">
        <f t="shared" si="2"/>
        <v/>
      </c>
      <c r="G269" s="86" t="str">
        <f t="shared" si="3"/>
        <v/>
      </c>
      <c r="H269" s="15"/>
      <c r="P269" s="3" t="str">
        <f>IFERROR(__xludf.DUMMYFUNCTION("IF(OR(F269="""",F269=""Seleccionar..""),"""",TRANSPOSE(FILTER(Productos!E:E,(Productos!F:F=D269)+(Productos!F:F=XLOOKUP(D269,Implementos!B:B,Implementos!C:C,""-"",0,1)))))"),"")</f>
        <v/>
      </c>
    </row>
    <row r="270" hidden="1">
      <c r="A270" s="38" t="str">
        <f t="shared" si="1"/>
        <v/>
      </c>
      <c r="B270" s="38" t="str">
        <f>IF(F270="","",SUMIF(Prearmados!E:E,F270,Prearmados!A:A))</f>
        <v/>
      </c>
      <c r="C270" s="38" t="str">
        <f>IF(F270="","",SUMIF(Productos!E:E,G270,Productos!A:A))</f>
        <v/>
      </c>
      <c r="D270" s="85" t="str">
        <f t="array" ref="D270">IF(OR(F270="",F270="Seleccionar.."),"",XLOOKUP(F270,Prearmados!E:E,Prearmados!F:F,"",0,1))</f>
        <v/>
      </c>
      <c r="E270" s="83" t="str">
        <f>IF(H270="","",SUMIF(Precio_Productos!K:K,C270,Precio_Productos!J:J)*H270)</f>
        <v/>
      </c>
      <c r="F270" s="86" t="str">
        <f t="shared" si="2"/>
        <v/>
      </c>
      <c r="G270" s="86" t="str">
        <f t="shared" si="3"/>
        <v/>
      </c>
      <c r="H270" s="15"/>
      <c r="P270" s="3" t="str">
        <f>IFERROR(__xludf.DUMMYFUNCTION("IF(OR(F270="""",F270=""Seleccionar..""),"""",TRANSPOSE(FILTER(Productos!E:E,(Productos!F:F=D270)+(Productos!F:F=XLOOKUP(D270,Implementos!B:B,Implementos!C:C,""-"",0,1)))))"),"")</f>
        <v/>
      </c>
    </row>
    <row r="271" hidden="1">
      <c r="A271" s="38" t="str">
        <f t="shared" si="1"/>
        <v/>
      </c>
      <c r="B271" s="38" t="str">
        <f>IF(F271="","",SUMIF(Prearmados!E:E,F271,Prearmados!A:A))</f>
        <v/>
      </c>
      <c r="C271" s="38" t="str">
        <f>IF(F271="","",SUMIF(Productos!E:E,G271,Productos!A:A))</f>
        <v/>
      </c>
      <c r="D271" s="85" t="str">
        <f t="array" ref="D271">IF(OR(F271="",F271="Seleccionar.."),"",XLOOKUP(F271,Prearmados!E:E,Prearmados!F:F,"",0,1))</f>
        <v/>
      </c>
      <c r="E271" s="83" t="str">
        <f>IF(H271="","",SUMIF(Precio_Productos!K:K,C271,Precio_Productos!J:J)*H271)</f>
        <v/>
      </c>
      <c r="F271" s="86" t="str">
        <f t="shared" si="2"/>
        <v/>
      </c>
      <c r="G271" s="86" t="str">
        <f t="shared" si="3"/>
        <v/>
      </c>
      <c r="H271" s="15"/>
      <c r="P271" s="3" t="str">
        <f>IFERROR(__xludf.DUMMYFUNCTION("IF(OR(F271="""",F271=""Seleccionar..""),"""",TRANSPOSE(FILTER(Productos!E:E,(Productos!F:F=D271)+(Productos!F:F=XLOOKUP(D271,Implementos!B:B,Implementos!C:C,""-"",0,1)))))"),"")</f>
        <v/>
      </c>
    </row>
    <row r="272" hidden="1">
      <c r="A272" s="38" t="str">
        <f t="shared" si="1"/>
        <v/>
      </c>
      <c r="B272" s="38" t="str">
        <f>IF(F272="","",SUMIF(Prearmados!E:E,F272,Prearmados!A:A))</f>
        <v/>
      </c>
      <c r="C272" s="38" t="str">
        <f>IF(F272="","",SUMIF(Productos!E:E,G272,Productos!A:A))</f>
        <v/>
      </c>
      <c r="D272" s="85" t="str">
        <f t="array" ref="D272">IF(OR(F272="",F272="Seleccionar.."),"",XLOOKUP(F272,Prearmados!E:E,Prearmados!F:F,"",0,1))</f>
        <v/>
      </c>
      <c r="E272" s="83" t="str">
        <f>IF(H272="","",SUMIF(Precio_Productos!K:K,C272,Precio_Productos!J:J)*H272)</f>
        <v/>
      </c>
      <c r="F272" s="86" t="str">
        <f t="shared" si="2"/>
        <v/>
      </c>
      <c r="G272" s="86" t="str">
        <f t="shared" si="3"/>
        <v/>
      </c>
      <c r="H272" s="15"/>
      <c r="P272" s="3" t="str">
        <f>IFERROR(__xludf.DUMMYFUNCTION("IF(OR(F272="""",F272=""Seleccionar..""),"""",TRANSPOSE(FILTER(Productos!E:E,(Productos!F:F=D272)+(Productos!F:F=XLOOKUP(D272,Implementos!B:B,Implementos!C:C,""-"",0,1)))))"),"")</f>
        <v/>
      </c>
    </row>
    <row r="273" hidden="1">
      <c r="A273" s="38" t="str">
        <f t="shared" si="1"/>
        <v/>
      </c>
      <c r="B273" s="38" t="str">
        <f>IF(F273="","",SUMIF(Prearmados!E:E,F273,Prearmados!A:A))</f>
        <v/>
      </c>
      <c r="C273" s="38" t="str">
        <f>IF(F273="","",SUMIF(Productos!E:E,G273,Productos!A:A))</f>
        <v/>
      </c>
      <c r="D273" s="85" t="str">
        <f t="array" ref="D273">IF(OR(F273="",F273="Seleccionar.."),"",XLOOKUP(F273,Prearmados!E:E,Prearmados!F:F,"",0,1))</f>
        <v/>
      </c>
      <c r="E273" s="83" t="str">
        <f>IF(H273="","",SUMIF(Precio_Productos!K:K,C273,Precio_Productos!J:J)*H273)</f>
        <v/>
      </c>
      <c r="F273" s="86" t="str">
        <f t="shared" si="2"/>
        <v/>
      </c>
      <c r="G273" s="86" t="str">
        <f t="shared" si="3"/>
        <v/>
      </c>
      <c r="H273" s="15"/>
      <c r="P273" s="3" t="str">
        <f>IFERROR(__xludf.DUMMYFUNCTION("IF(OR(F273="""",F273=""Seleccionar..""),"""",TRANSPOSE(FILTER(Productos!E:E,(Productos!F:F=D273)+(Productos!F:F=XLOOKUP(D273,Implementos!B:B,Implementos!C:C,""-"",0,1)))))"),"")</f>
        <v/>
      </c>
    </row>
    <row r="274" hidden="1">
      <c r="A274" s="38" t="str">
        <f t="shared" si="1"/>
        <v/>
      </c>
      <c r="B274" s="38" t="str">
        <f>IF(F274="","",SUMIF(Prearmados!E:E,F274,Prearmados!A:A))</f>
        <v/>
      </c>
      <c r="C274" s="38" t="str">
        <f>IF(F274="","",SUMIF(Productos!E:E,G274,Productos!A:A))</f>
        <v/>
      </c>
      <c r="D274" s="85" t="str">
        <f t="array" ref="D274">IF(OR(F274="",F274="Seleccionar.."),"",XLOOKUP(F274,Prearmados!E:E,Prearmados!F:F,"",0,1))</f>
        <v/>
      </c>
      <c r="E274" s="83" t="str">
        <f>IF(H274="","",SUMIF(Precio_Productos!K:K,C274,Precio_Productos!J:J)*H274)</f>
        <v/>
      </c>
      <c r="F274" s="86" t="str">
        <f t="shared" si="2"/>
        <v/>
      </c>
      <c r="G274" s="86" t="str">
        <f t="shared" si="3"/>
        <v/>
      </c>
      <c r="H274" s="15"/>
      <c r="P274" s="3" t="str">
        <f>IFERROR(__xludf.DUMMYFUNCTION("IF(OR(F274="""",F274=""Seleccionar..""),"""",TRANSPOSE(FILTER(Productos!E:E,(Productos!F:F=D274)+(Productos!F:F=XLOOKUP(D274,Implementos!B:B,Implementos!C:C,""-"",0,1)))))"),"")</f>
        <v/>
      </c>
    </row>
    <row r="275" hidden="1">
      <c r="A275" s="38" t="str">
        <f t="shared" si="1"/>
        <v/>
      </c>
      <c r="B275" s="38" t="str">
        <f>IF(F275="","",SUMIF(Prearmados!E:E,F275,Prearmados!A:A))</f>
        <v/>
      </c>
      <c r="C275" s="38" t="str">
        <f>IF(F275="","",SUMIF(Productos!E:E,G275,Productos!A:A))</f>
        <v/>
      </c>
      <c r="D275" s="85" t="str">
        <f t="array" ref="D275">IF(OR(F275="",F275="Seleccionar.."),"",XLOOKUP(F275,Prearmados!E:E,Prearmados!F:F,"",0,1))</f>
        <v/>
      </c>
      <c r="E275" s="83" t="str">
        <f>IF(H275="","",SUMIF(Precio_Productos!K:K,C275,Precio_Productos!J:J)*H275)</f>
        <v/>
      </c>
      <c r="F275" s="86" t="str">
        <f t="shared" si="2"/>
        <v/>
      </c>
      <c r="G275" s="86" t="str">
        <f t="shared" si="3"/>
        <v/>
      </c>
      <c r="H275" s="15"/>
      <c r="P275" s="3" t="str">
        <f>IFERROR(__xludf.DUMMYFUNCTION("IF(OR(F275="""",F275=""Seleccionar..""),"""",TRANSPOSE(FILTER(Productos!E:E,(Productos!F:F=D275)+(Productos!F:F=XLOOKUP(D275,Implementos!B:B,Implementos!C:C,""-"",0,1)))))"),"")</f>
        <v/>
      </c>
    </row>
    <row r="276" hidden="1">
      <c r="A276" s="38" t="str">
        <f t="shared" si="1"/>
        <v/>
      </c>
      <c r="B276" s="38" t="str">
        <f>IF(F276="","",SUMIF(Prearmados!E:E,F276,Prearmados!A:A))</f>
        <v/>
      </c>
      <c r="C276" s="38" t="str">
        <f>IF(F276="","",SUMIF(Productos!E:E,G276,Productos!A:A))</f>
        <v/>
      </c>
      <c r="D276" s="85" t="str">
        <f t="array" ref="D276">IF(OR(F276="",F276="Seleccionar.."),"",XLOOKUP(F276,Prearmados!E:E,Prearmados!F:F,"",0,1))</f>
        <v/>
      </c>
      <c r="E276" s="83" t="str">
        <f>IF(H276="","",SUMIF(Precio_Productos!K:K,C276,Precio_Productos!J:J)*H276)</f>
        <v/>
      </c>
      <c r="F276" s="86" t="str">
        <f t="shared" si="2"/>
        <v/>
      </c>
      <c r="G276" s="86" t="str">
        <f t="shared" si="3"/>
        <v/>
      </c>
      <c r="H276" s="15"/>
      <c r="P276" s="3" t="str">
        <f>IFERROR(__xludf.DUMMYFUNCTION("IF(OR(F276="""",F276=""Seleccionar..""),"""",TRANSPOSE(FILTER(Productos!E:E,(Productos!F:F=D276)+(Productos!F:F=XLOOKUP(D276,Implementos!B:B,Implementos!C:C,""-"",0,1)))))"),"")</f>
        <v/>
      </c>
    </row>
    <row r="277" hidden="1">
      <c r="A277" s="38" t="str">
        <f t="shared" si="1"/>
        <v/>
      </c>
      <c r="B277" s="38" t="str">
        <f>IF(F277="","",SUMIF(Prearmados!E:E,F277,Prearmados!A:A))</f>
        <v/>
      </c>
      <c r="C277" s="38" t="str">
        <f>IF(F277="","",SUMIF(Productos!E:E,G277,Productos!A:A))</f>
        <v/>
      </c>
      <c r="D277" s="85" t="str">
        <f t="array" ref="D277">IF(OR(F277="",F277="Seleccionar.."),"",XLOOKUP(F277,Prearmados!E:E,Prearmados!F:F,"",0,1))</f>
        <v/>
      </c>
      <c r="E277" s="83" t="str">
        <f>IF(H277="","",SUMIF(Precio_Productos!K:K,C277,Precio_Productos!J:J)*H277)</f>
        <v/>
      </c>
      <c r="F277" s="86" t="str">
        <f t="shared" si="2"/>
        <v/>
      </c>
      <c r="G277" s="86" t="str">
        <f t="shared" si="3"/>
        <v/>
      </c>
      <c r="H277" s="15"/>
      <c r="P277" s="3" t="str">
        <f>IFERROR(__xludf.DUMMYFUNCTION("IF(OR(F277="""",F277=""Seleccionar..""),"""",TRANSPOSE(FILTER(Productos!E:E,(Productos!F:F=D277)+(Productos!F:F=XLOOKUP(D277,Implementos!B:B,Implementos!C:C,""-"",0,1)))))"),"")</f>
        <v/>
      </c>
    </row>
    <row r="278" hidden="1">
      <c r="A278" s="38" t="str">
        <f t="shared" si="1"/>
        <v/>
      </c>
      <c r="B278" s="38" t="str">
        <f>IF(F278="","",SUMIF(Prearmados!E:E,F278,Prearmados!A:A))</f>
        <v/>
      </c>
      <c r="C278" s="38" t="str">
        <f>IF(F278="","",SUMIF(Productos!E:E,G278,Productos!A:A))</f>
        <v/>
      </c>
      <c r="D278" s="85" t="str">
        <f t="array" ref="D278">IF(OR(F278="",F278="Seleccionar.."),"",XLOOKUP(F278,Prearmados!E:E,Prearmados!F:F,"",0,1))</f>
        <v/>
      </c>
      <c r="E278" s="83" t="str">
        <f>IF(H278="","",SUMIF(Precio_Productos!K:K,C278,Precio_Productos!J:J)*H278)</f>
        <v/>
      </c>
      <c r="F278" s="86" t="str">
        <f t="shared" si="2"/>
        <v/>
      </c>
      <c r="G278" s="86" t="str">
        <f t="shared" si="3"/>
        <v/>
      </c>
      <c r="H278" s="15"/>
      <c r="P278" s="3" t="str">
        <f>IFERROR(__xludf.DUMMYFUNCTION("IF(OR(F278="""",F278=""Seleccionar..""),"""",TRANSPOSE(FILTER(Productos!E:E,(Productos!F:F=D278)+(Productos!F:F=XLOOKUP(D278,Implementos!B:B,Implementos!C:C,""-"",0,1)))))"),"")</f>
        <v/>
      </c>
    </row>
    <row r="279" hidden="1">
      <c r="A279" s="38" t="str">
        <f t="shared" si="1"/>
        <v/>
      </c>
      <c r="B279" s="38" t="str">
        <f>IF(F279="","",SUMIF(Prearmados!E:E,F279,Prearmados!A:A))</f>
        <v/>
      </c>
      <c r="C279" s="38" t="str">
        <f>IF(F279="","",SUMIF(Productos!E:E,G279,Productos!A:A))</f>
        <v/>
      </c>
      <c r="D279" s="85" t="str">
        <f t="array" ref="D279">IF(OR(F279="",F279="Seleccionar.."),"",XLOOKUP(F279,Prearmados!E:E,Prearmados!F:F,"",0,1))</f>
        <v/>
      </c>
      <c r="E279" s="83" t="str">
        <f>IF(H279="","",SUMIF(Precio_Productos!K:K,C279,Precio_Productos!J:J)*H279)</f>
        <v/>
      </c>
      <c r="F279" s="86" t="str">
        <f t="shared" si="2"/>
        <v/>
      </c>
      <c r="G279" s="86" t="str">
        <f t="shared" si="3"/>
        <v/>
      </c>
      <c r="H279" s="15"/>
      <c r="P279" s="3" t="str">
        <f>IFERROR(__xludf.DUMMYFUNCTION("IF(OR(F279="""",F279=""Seleccionar..""),"""",TRANSPOSE(FILTER(Productos!E:E,(Productos!F:F=D279)+(Productos!F:F=XLOOKUP(D279,Implementos!B:B,Implementos!C:C,""-"",0,1)))))"),"")</f>
        <v/>
      </c>
    </row>
    <row r="280" hidden="1">
      <c r="A280" s="38" t="str">
        <f t="shared" si="1"/>
        <v/>
      </c>
      <c r="B280" s="38" t="str">
        <f>IF(F280="","",SUMIF(Prearmados!E:E,F280,Prearmados!A:A))</f>
        <v/>
      </c>
      <c r="C280" s="38" t="str">
        <f>IF(F280="","",SUMIF(Productos!E:E,G280,Productos!A:A))</f>
        <v/>
      </c>
      <c r="D280" s="85" t="str">
        <f t="array" ref="D280">IF(OR(F280="",F280="Seleccionar.."),"",XLOOKUP(F280,Prearmados!E:E,Prearmados!F:F,"",0,1))</f>
        <v/>
      </c>
      <c r="E280" s="83" t="str">
        <f>IF(H280="","",SUMIF(Precio_Productos!K:K,C280,Precio_Productos!J:J)*H280)</f>
        <v/>
      </c>
      <c r="F280" s="86" t="str">
        <f t="shared" si="2"/>
        <v/>
      </c>
      <c r="G280" s="86" t="str">
        <f t="shared" si="3"/>
        <v/>
      </c>
      <c r="H280" s="15"/>
      <c r="P280" s="3" t="str">
        <f>IFERROR(__xludf.DUMMYFUNCTION("IF(OR(F280="""",F280=""Seleccionar..""),"""",TRANSPOSE(FILTER(Productos!E:E,(Productos!F:F=D280)+(Productos!F:F=XLOOKUP(D280,Implementos!B:B,Implementos!C:C,""-"",0,1)))))"),"")</f>
        <v/>
      </c>
    </row>
    <row r="281" hidden="1">
      <c r="A281" s="38" t="str">
        <f t="shared" si="1"/>
        <v/>
      </c>
      <c r="B281" s="38" t="str">
        <f>IF(F281="","",SUMIF(Prearmados!E:E,F281,Prearmados!A:A))</f>
        <v/>
      </c>
      <c r="C281" s="38" t="str">
        <f>IF(F281="","",SUMIF(Productos!E:E,G281,Productos!A:A))</f>
        <v/>
      </c>
      <c r="D281" s="85" t="str">
        <f t="array" ref="D281">IF(OR(F281="",F281="Seleccionar.."),"",XLOOKUP(F281,Prearmados!E:E,Prearmados!F:F,"",0,1))</f>
        <v/>
      </c>
      <c r="E281" s="83" t="str">
        <f>IF(H281="","",SUMIF(Precio_Productos!K:K,C281,Precio_Productos!J:J)*H281)</f>
        <v/>
      </c>
      <c r="F281" s="86" t="str">
        <f t="shared" si="2"/>
        <v/>
      </c>
      <c r="G281" s="86" t="str">
        <f t="shared" si="3"/>
        <v/>
      </c>
      <c r="H281" s="15"/>
      <c r="P281" s="3" t="str">
        <f>IFERROR(__xludf.DUMMYFUNCTION("IF(OR(F281="""",F281=""Seleccionar..""),"""",TRANSPOSE(FILTER(Productos!E:E,(Productos!F:F=D281)+(Productos!F:F=XLOOKUP(D281,Implementos!B:B,Implementos!C:C,""-"",0,1)))))"),"")</f>
        <v/>
      </c>
    </row>
    <row r="282" hidden="1">
      <c r="A282" s="38" t="str">
        <f t="shared" si="1"/>
        <v/>
      </c>
      <c r="B282" s="38" t="str">
        <f>IF(F282="","",SUMIF(Prearmados!E:E,F282,Prearmados!A:A))</f>
        <v/>
      </c>
      <c r="C282" s="38" t="str">
        <f>IF(F282="","",SUMIF(Productos!E:E,G282,Productos!A:A))</f>
        <v/>
      </c>
      <c r="D282" s="85" t="str">
        <f t="array" ref="D282">IF(OR(F282="",F282="Seleccionar.."),"",XLOOKUP(F282,Prearmados!E:E,Prearmados!F:F,"",0,1))</f>
        <v/>
      </c>
      <c r="E282" s="83" t="str">
        <f>IF(H282="","",SUMIF(Precio_Productos!K:K,C282,Precio_Productos!J:J)*H282)</f>
        <v/>
      </c>
      <c r="F282" s="86" t="str">
        <f t="shared" si="2"/>
        <v/>
      </c>
      <c r="G282" s="86" t="str">
        <f t="shared" si="3"/>
        <v/>
      </c>
      <c r="H282" s="15"/>
      <c r="P282" s="3" t="str">
        <f>IFERROR(__xludf.DUMMYFUNCTION("IF(OR(F282="""",F282=""Seleccionar..""),"""",TRANSPOSE(FILTER(Productos!E:E,(Productos!F:F=D282)+(Productos!F:F=XLOOKUP(D282,Implementos!B:B,Implementos!C:C,""-"",0,1)))))"),"")</f>
        <v/>
      </c>
    </row>
    <row r="283" hidden="1">
      <c r="A283" s="38" t="str">
        <f t="shared" si="1"/>
        <v/>
      </c>
      <c r="B283" s="38" t="str">
        <f>IF(F283="","",SUMIF(Prearmados!E:E,F283,Prearmados!A:A))</f>
        <v/>
      </c>
      <c r="C283" s="38" t="str">
        <f>IF(F283="","",SUMIF(Productos!E:E,G283,Productos!A:A))</f>
        <v/>
      </c>
      <c r="D283" s="85" t="str">
        <f t="array" ref="D283">IF(OR(F283="",F283="Seleccionar.."),"",XLOOKUP(F283,Prearmados!E:E,Prearmados!F:F,"",0,1))</f>
        <v/>
      </c>
      <c r="E283" s="83" t="str">
        <f>IF(H283="","",SUMIF(Precio_Productos!K:K,C283,Precio_Productos!J:J)*H283)</f>
        <v/>
      </c>
      <c r="F283" s="86" t="str">
        <f t="shared" si="2"/>
        <v/>
      </c>
      <c r="G283" s="86" t="str">
        <f t="shared" si="3"/>
        <v/>
      </c>
      <c r="H283" s="15"/>
      <c r="P283" s="3" t="str">
        <f>IFERROR(__xludf.DUMMYFUNCTION("IF(OR(F283="""",F283=""Seleccionar..""),"""",TRANSPOSE(FILTER(Productos!E:E,(Productos!F:F=D283)+(Productos!F:F=XLOOKUP(D283,Implementos!B:B,Implementos!C:C,""-"",0,1)))))"),"")</f>
        <v/>
      </c>
    </row>
    <row r="284" hidden="1">
      <c r="A284" s="38" t="str">
        <f t="shared" si="1"/>
        <v/>
      </c>
      <c r="B284" s="38" t="str">
        <f>IF(F284="","",SUMIF(Prearmados!E:E,F284,Prearmados!A:A))</f>
        <v/>
      </c>
      <c r="C284" s="38" t="str">
        <f>IF(F284="","",SUMIF(Productos!E:E,G284,Productos!A:A))</f>
        <v/>
      </c>
      <c r="D284" s="85" t="str">
        <f t="array" ref="D284">IF(OR(F284="",F284="Seleccionar.."),"",XLOOKUP(F284,Prearmados!E:E,Prearmados!F:F,"",0,1))</f>
        <v/>
      </c>
      <c r="E284" s="83" t="str">
        <f>IF(H284="","",SUMIF(Precio_Productos!K:K,C284,Precio_Productos!J:J)*H284)</f>
        <v/>
      </c>
      <c r="F284" s="86" t="str">
        <f t="shared" si="2"/>
        <v/>
      </c>
      <c r="G284" s="86" t="str">
        <f t="shared" si="3"/>
        <v/>
      </c>
      <c r="H284" s="15"/>
      <c r="P284" s="3" t="str">
        <f>IFERROR(__xludf.DUMMYFUNCTION("IF(OR(F284="""",F284=""Seleccionar..""),"""",TRANSPOSE(FILTER(Productos!E:E,(Productos!F:F=D284)+(Productos!F:F=XLOOKUP(D284,Implementos!B:B,Implementos!C:C,""-"",0,1)))))"),"")</f>
        <v/>
      </c>
    </row>
    <row r="285" hidden="1">
      <c r="A285" s="38" t="str">
        <f t="shared" si="1"/>
        <v/>
      </c>
      <c r="B285" s="38" t="str">
        <f>IF(F285="","",SUMIF(Prearmados!E:E,F285,Prearmados!A:A))</f>
        <v/>
      </c>
      <c r="C285" s="38" t="str">
        <f>IF(F285="","",SUMIF(Productos!E:E,G285,Productos!A:A))</f>
        <v/>
      </c>
      <c r="D285" s="85" t="str">
        <f t="array" ref="D285">IF(OR(F285="",F285="Seleccionar.."),"",XLOOKUP(F285,Prearmados!E:E,Prearmados!F:F,"",0,1))</f>
        <v/>
      </c>
      <c r="E285" s="83" t="str">
        <f>IF(H285="","",SUMIF(Precio_Productos!K:K,C285,Precio_Productos!J:J)*H285)</f>
        <v/>
      </c>
      <c r="F285" s="86" t="str">
        <f t="shared" si="2"/>
        <v/>
      </c>
      <c r="G285" s="86" t="str">
        <f t="shared" si="3"/>
        <v/>
      </c>
      <c r="H285" s="15"/>
      <c r="P285" s="3" t="str">
        <f>IFERROR(__xludf.DUMMYFUNCTION("IF(OR(F285="""",F285=""Seleccionar..""),"""",TRANSPOSE(FILTER(Productos!E:E,(Productos!F:F=D285)+(Productos!F:F=XLOOKUP(D285,Implementos!B:B,Implementos!C:C,""-"",0,1)))))"),"")</f>
        <v/>
      </c>
    </row>
    <row r="286" hidden="1">
      <c r="A286" s="38" t="str">
        <f t="shared" si="1"/>
        <v/>
      </c>
      <c r="B286" s="38" t="str">
        <f>IF(F286="","",SUMIF(Prearmados!E:E,F286,Prearmados!A:A))</f>
        <v/>
      </c>
      <c r="C286" s="38" t="str">
        <f>IF(F286="","",SUMIF(Productos!E:E,G286,Productos!A:A))</f>
        <v/>
      </c>
      <c r="D286" s="85" t="str">
        <f t="array" ref="D286">IF(OR(F286="",F286="Seleccionar.."),"",XLOOKUP(F286,Prearmados!E:E,Prearmados!F:F,"",0,1))</f>
        <v/>
      </c>
      <c r="E286" s="83" t="str">
        <f>IF(H286="","",SUMIF(Precio_Productos!K:K,C286,Precio_Productos!J:J)*H286)</f>
        <v/>
      </c>
      <c r="F286" s="86" t="str">
        <f t="shared" si="2"/>
        <v/>
      </c>
      <c r="G286" s="86" t="str">
        <f t="shared" si="3"/>
        <v/>
      </c>
      <c r="H286" s="15"/>
      <c r="P286" s="3" t="str">
        <f>IFERROR(__xludf.DUMMYFUNCTION("IF(OR(F286="""",F286=""Seleccionar..""),"""",TRANSPOSE(FILTER(Productos!E:E,(Productos!F:F=D286)+(Productos!F:F=XLOOKUP(D286,Implementos!B:B,Implementos!C:C,""-"",0,1)))))"),"")</f>
        <v/>
      </c>
    </row>
    <row r="287" hidden="1">
      <c r="A287" s="38" t="str">
        <f t="shared" si="1"/>
        <v/>
      </c>
      <c r="B287" s="38" t="str">
        <f>IF(F287="","",SUMIF(Prearmados!E:E,F287,Prearmados!A:A))</f>
        <v/>
      </c>
      <c r="C287" s="38" t="str">
        <f>IF(F287="","",SUMIF(Productos!E:E,G287,Productos!A:A))</f>
        <v/>
      </c>
      <c r="D287" s="85" t="str">
        <f t="array" ref="D287">IF(OR(F287="",F287="Seleccionar.."),"",XLOOKUP(F287,Prearmados!E:E,Prearmados!F:F,"",0,1))</f>
        <v/>
      </c>
      <c r="E287" s="83" t="str">
        <f>IF(H287="","",SUMIF(Precio_Productos!K:K,C287,Precio_Productos!J:J)*H287)</f>
        <v/>
      </c>
      <c r="F287" s="86" t="str">
        <f t="shared" si="2"/>
        <v/>
      </c>
      <c r="G287" s="86" t="str">
        <f t="shared" si="3"/>
        <v/>
      </c>
      <c r="H287" s="15"/>
      <c r="P287" s="3" t="str">
        <f>IFERROR(__xludf.DUMMYFUNCTION("IF(OR(F287="""",F287=""Seleccionar..""),"""",TRANSPOSE(FILTER(Productos!E:E,(Productos!F:F=D287)+(Productos!F:F=XLOOKUP(D287,Implementos!B:B,Implementos!C:C,""-"",0,1)))))"),"")</f>
        <v/>
      </c>
    </row>
    <row r="288" hidden="1">
      <c r="A288" s="38" t="str">
        <f t="shared" si="1"/>
        <v/>
      </c>
      <c r="B288" s="38" t="str">
        <f>IF(F288="","",SUMIF(Prearmados!E:E,F288,Prearmados!A:A))</f>
        <v/>
      </c>
      <c r="C288" s="38" t="str">
        <f>IF(F288="","",SUMIF(Productos!E:E,G288,Productos!A:A))</f>
        <v/>
      </c>
      <c r="D288" s="85" t="str">
        <f t="array" ref="D288">IF(OR(F288="",F288="Seleccionar.."),"",XLOOKUP(F288,Prearmados!E:E,Prearmados!F:F,"",0,1))</f>
        <v/>
      </c>
      <c r="E288" s="83" t="str">
        <f>IF(H288="","",SUMIF(Precio_Productos!K:K,C288,Precio_Productos!J:J)*H288)</f>
        <v/>
      </c>
      <c r="F288" s="86" t="str">
        <f t="shared" si="2"/>
        <v/>
      </c>
      <c r="G288" s="86" t="str">
        <f t="shared" si="3"/>
        <v/>
      </c>
      <c r="H288" s="15"/>
      <c r="P288" s="3" t="str">
        <f>IFERROR(__xludf.DUMMYFUNCTION("IF(OR(F288="""",F288=""Seleccionar..""),"""",TRANSPOSE(FILTER(Productos!E:E,(Productos!F:F=D288)+(Productos!F:F=XLOOKUP(D288,Implementos!B:B,Implementos!C:C,""-"",0,1)))))"),"")</f>
        <v/>
      </c>
    </row>
    <row r="289" hidden="1">
      <c r="A289" s="38" t="str">
        <f t="shared" si="1"/>
        <v/>
      </c>
      <c r="B289" s="38" t="str">
        <f>IF(F289="","",SUMIF(Prearmados!E:E,F289,Prearmados!A:A))</f>
        <v/>
      </c>
      <c r="C289" s="38" t="str">
        <f>IF(F289="","",SUMIF(Productos!E:E,G289,Productos!A:A))</f>
        <v/>
      </c>
      <c r="D289" s="85" t="str">
        <f t="array" ref="D289">IF(OR(F289="",F289="Seleccionar.."),"",XLOOKUP(F289,Prearmados!E:E,Prearmados!F:F,"",0,1))</f>
        <v/>
      </c>
      <c r="E289" s="83" t="str">
        <f>IF(H289="","",SUMIF(Precio_Productos!K:K,C289,Precio_Productos!J:J)*H289)</f>
        <v/>
      </c>
      <c r="F289" s="86" t="str">
        <f t="shared" si="2"/>
        <v/>
      </c>
      <c r="G289" s="86" t="str">
        <f t="shared" si="3"/>
        <v/>
      </c>
      <c r="H289" s="15"/>
      <c r="P289" s="3" t="str">
        <f>IFERROR(__xludf.DUMMYFUNCTION("IF(OR(F289="""",F289=""Seleccionar..""),"""",TRANSPOSE(FILTER(Productos!E:E,(Productos!F:F=D289)+(Productos!F:F=XLOOKUP(D289,Implementos!B:B,Implementos!C:C,""-"",0,1)))))"),"")</f>
        <v/>
      </c>
    </row>
    <row r="290" hidden="1">
      <c r="A290" s="38" t="str">
        <f t="shared" si="1"/>
        <v/>
      </c>
      <c r="B290" s="38" t="str">
        <f>IF(F290="","",SUMIF(Prearmados!E:E,F290,Prearmados!A:A))</f>
        <v/>
      </c>
      <c r="C290" s="38" t="str">
        <f>IF(F290="","",SUMIF(Productos!E:E,G290,Productos!A:A))</f>
        <v/>
      </c>
      <c r="D290" s="85" t="str">
        <f t="array" ref="D290">IF(OR(F290="",F290="Seleccionar.."),"",XLOOKUP(F290,Prearmados!E:E,Prearmados!F:F,"",0,1))</f>
        <v/>
      </c>
      <c r="E290" s="83" t="str">
        <f>IF(H290="","",SUMIF(Precio_Productos!K:K,C290,Precio_Productos!J:J)*H290)</f>
        <v/>
      </c>
      <c r="F290" s="86" t="str">
        <f t="shared" si="2"/>
        <v/>
      </c>
      <c r="G290" s="86" t="str">
        <f t="shared" si="3"/>
        <v/>
      </c>
      <c r="H290" s="15"/>
      <c r="P290" s="3" t="str">
        <f>IFERROR(__xludf.DUMMYFUNCTION("IF(OR(F290="""",F290=""Seleccionar..""),"""",TRANSPOSE(FILTER(Productos!E:E,(Productos!F:F=D290)+(Productos!F:F=XLOOKUP(D290,Implementos!B:B,Implementos!C:C,""-"",0,1)))))"),"")</f>
        <v/>
      </c>
    </row>
    <row r="291" hidden="1">
      <c r="A291" s="38" t="str">
        <f t="shared" si="1"/>
        <v/>
      </c>
      <c r="B291" s="38" t="str">
        <f>IF(F291="","",SUMIF(Prearmados!E:E,F291,Prearmados!A:A))</f>
        <v/>
      </c>
      <c r="C291" s="38" t="str">
        <f>IF(F291="","",SUMIF(Productos!E:E,G291,Productos!A:A))</f>
        <v/>
      </c>
      <c r="D291" s="85" t="str">
        <f t="array" ref="D291">IF(OR(F291="",F291="Seleccionar.."),"",XLOOKUP(F291,Prearmados!E:E,Prearmados!F:F,"",0,1))</f>
        <v/>
      </c>
      <c r="E291" s="83" t="str">
        <f>IF(H291="","",SUMIF(Precio_Productos!K:K,C291,Precio_Productos!J:J)*H291)</f>
        <v/>
      </c>
      <c r="F291" s="86" t="str">
        <f t="shared" si="2"/>
        <v/>
      </c>
      <c r="G291" s="86" t="str">
        <f t="shared" si="3"/>
        <v/>
      </c>
      <c r="H291" s="15"/>
      <c r="P291" s="3" t="str">
        <f>IFERROR(__xludf.DUMMYFUNCTION("IF(OR(F291="""",F291=""Seleccionar..""),"""",TRANSPOSE(FILTER(Productos!E:E,(Productos!F:F=D291)+(Productos!F:F=XLOOKUP(D291,Implementos!B:B,Implementos!C:C,""-"",0,1)))))"),"")</f>
        <v/>
      </c>
    </row>
    <row r="292" hidden="1">
      <c r="A292" s="38" t="str">
        <f t="shared" si="1"/>
        <v/>
      </c>
      <c r="B292" s="38" t="str">
        <f>IF(F292="","",SUMIF(Prearmados!E:E,F292,Prearmados!A:A))</f>
        <v/>
      </c>
      <c r="C292" s="38" t="str">
        <f>IF(F292="","",SUMIF(Productos!E:E,G292,Productos!A:A))</f>
        <v/>
      </c>
      <c r="D292" s="85" t="str">
        <f t="array" ref="D292">IF(OR(F292="",F292="Seleccionar.."),"",XLOOKUP(F292,Prearmados!E:E,Prearmados!F:F,"",0,1))</f>
        <v/>
      </c>
      <c r="E292" s="83" t="str">
        <f>IF(H292="","",SUMIF(Precio_Productos!K:K,C292,Precio_Productos!J:J)*H292)</f>
        <v/>
      </c>
      <c r="F292" s="86" t="str">
        <f t="shared" si="2"/>
        <v/>
      </c>
      <c r="G292" s="86" t="str">
        <f t="shared" si="3"/>
        <v/>
      </c>
      <c r="H292" s="15"/>
      <c r="P292" s="3" t="str">
        <f>IFERROR(__xludf.DUMMYFUNCTION("IF(OR(F292="""",F292=""Seleccionar..""),"""",TRANSPOSE(FILTER(Productos!E:E,(Productos!F:F=D292)+(Productos!F:F=XLOOKUP(D292,Implementos!B:B,Implementos!C:C,""-"",0,1)))))"),"")</f>
        <v/>
      </c>
    </row>
    <row r="293" hidden="1">
      <c r="A293" s="38" t="str">
        <f t="shared" si="1"/>
        <v/>
      </c>
      <c r="B293" s="38" t="str">
        <f>IF(F293="","",SUMIF(Prearmados!E:E,F293,Prearmados!A:A))</f>
        <v/>
      </c>
      <c r="C293" s="38" t="str">
        <f>IF(F293="","",SUMIF(Productos!E:E,G293,Productos!A:A))</f>
        <v/>
      </c>
      <c r="D293" s="85" t="str">
        <f t="array" ref="D293">IF(OR(F293="",F293="Seleccionar.."),"",XLOOKUP(F293,Prearmados!E:E,Prearmados!F:F,"",0,1))</f>
        <v/>
      </c>
      <c r="E293" s="83" t="str">
        <f>IF(H293="","",SUMIF(Precio_Productos!K:K,C293,Precio_Productos!J:J)*H293)</f>
        <v/>
      </c>
      <c r="F293" s="86" t="str">
        <f t="shared" si="2"/>
        <v/>
      </c>
      <c r="G293" s="86" t="str">
        <f t="shared" si="3"/>
        <v/>
      </c>
      <c r="H293" s="15"/>
      <c r="P293" s="3" t="str">
        <f>IFERROR(__xludf.DUMMYFUNCTION("IF(OR(F293="""",F293=""Seleccionar..""),"""",TRANSPOSE(FILTER(Productos!E:E,(Productos!F:F=D293)+(Productos!F:F=XLOOKUP(D293,Implementos!B:B,Implementos!C:C,""-"",0,1)))))"),"")</f>
        <v/>
      </c>
    </row>
    <row r="294" hidden="1">
      <c r="A294" s="38" t="str">
        <f t="shared" si="1"/>
        <v/>
      </c>
      <c r="B294" s="38" t="str">
        <f>IF(F294="","",SUMIF(Prearmados!E:E,F294,Prearmados!A:A))</f>
        <v/>
      </c>
      <c r="C294" s="38" t="str">
        <f>IF(F294="","",SUMIF(Productos!E:E,G294,Productos!A:A))</f>
        <v/>
      </c>
      <c r="D294" s="85" t="str">
        <f t="array" ref="D294">IF(OR(F294="",F294="Seleccionar.."),"",XLOOKUP(F294,Prearmados!E:E,Prearmados!F:F,"",0,1))</f>
        <v/>
      </c>
      <c r="E294" s="83" t="str">
        <f>IF(H294="","",SUMIF(Precio_Productos!K:K,C294,Precio_Productos!J:J)*H294)</f>
        <v/>
      </c>
      <c r="F294" s="86" t="str">
        <f t="shared" si="2"/>
        <v/>
      </c>
      <c r="G294" s="86" t="str">
        <f t="shared" si="3"/>
        <v/>
      </c>
      <c r="H294" s="15"/>
      <c r="P294" s="3" t="str">
        <f>IFERROR(__xludf.DUMMYFUNCTION("IF(OR(F294="""",F294=""Seleccionar..""),"""",TRANSPOSE(FILTER(Productos!E:E,(Productos!F:F=D294)+(Productos!F:F=XLOOKUP(D294,Implementos!B:B,Implementos!C:C,""-"",0,1)))))"),"")</f>
        <v/>
      </c>
    </row>
    <row r="295" hidden="1">
      <c r="A295" s="38" t="str">
        <f t="shared" si="1"/>
        <v/>
      </c>
      <c r="B295" s="38" t="str">
        <f>IF(F295="","",SUMIF(Prearmados!E:E,F295,Prearmados!A:A))</f>
        <v/>
      </c>
      <c r="C295" s="38" t="str">
        <f>IF(F295="","",SUMIF(Productos!E:E,G295,Productos!A:A))</f>
        <v/>
      </c>
      <c r="D295" s="85" t="str">
        <f t="array" ref="D295">IF(OR(F295="",F295="Seleccionar.."),"",XLOOKUP(F295,Prearmados!E:E,Prearmados!F:F,"",0,1))</f>
        <v/>
      </c>
      <c r="E295" s="83" t="str">
        <f>IF(H295="","",SUMIF(Precio_Productos!K:K,C295,Precio_Productos!J:J)*H295)</f>
        <v/>
      </c>
      <c r="F295" s="86" t="str">
        <f t="shared" si="2"/>
        <v/>
      </c>
      <c r="G295" s="86" t="str">
        <f t="shared" si="3"/>
        <v/>
      </c>
      <c r="H295" s="15"/>
      <c r="P295" s="3" t="str">
        <f>IFERROR(__xludf.DUMMYFUNCTION("IF(OR(F295="""",F295=""Seleccionar..""),"""",TRANSPOSE(FILTER(Productos!E:E,(Productos!F:F=D295)+(Productos!F:F=XLOOKUP(D295,Implementos!B:B,Implementos!C:C,""-"",0,1)))))"),"")</f>
        <v/>
      </c>
    </row>
    <row r="296" hidden="1">
      <c r="A296" s="38" t="str">
        <f t="shared" si="1"/>
        <v/>
      </c>
      <c r="B296" s="38" t="str">
        <f>IF(F296="","",SUMIF(Prearmados!E:E,F296,Prearmados!A:A))</f>
        <v/>
      </c>
      <c r="C296" s="38" t="str">
        <f>IF(F296="","",SUMIF(Productos!E:E,G296,Productos!A:A))</f>
        <v/>
      </c>
      <c r="D296" s="85" t="str">
        <f t="array" ref="D296">IF(OR(F296="",F296="Seleccionar.."),"",XLOOKUP(F296,Prearmados!E:E,Prearmados!F:F,"",0,1))</f>
        <v/>
      </c>
      <c r="E296" s="83" t="str">
        <f>IF(H296="","",SUMIF(Precio_Productos!K:K,C296,Precio_Productos!J:J)*H296)</f>
        <v/>
      </c>
      <c r="F296" s="86" t="str">
        <f t="shared" si="2"/>
        <v/>
      </c>
      <c r="G296" s="86" t="str">
        <f t="shared" si="3"/>
        <v/>
      </c>
      <c r="H296" s="15"/>
      <c r="P296" s="3" t="str">
        <f>IFERROR(__xludf.DUMMYFUNCTION("IF(OR(F296="""",F296=""Seleccionar..""),"""",TRANSPOSE(FILTER(Productos!E:E,(Productos!F:F=D296)+(Productos!F:F=XLOOKUP(D296,Implementos!B:B,Implementos!C:C,""-"",0,1)))))"),"")</f>
        <v/>
      </c>
    </row>
    <row r="297" hidden="1">
      <c r="A297" s="38" t="str">
        <f t="shared" si="1"/>
        <v/>
      </c>
      <c r="B297" s="38" t="str">
        <f>IF(F297="","",SUMIF(Prearmados!E:E,F297,Prearmados!A:A))</f>
        <v/>
      </c>
      <c r="C297" s="38" t="str">
        <f>IF(F297="","",SUMIF(Productos!E:E,G297,Productos!A:A))</f>
        <v/>
      </c>
      <c r="D297" s="85" t="str">
        <f t="array" ref="D297">IF(OR(F297="",F297="Seleccionar.."),"",XLOOKUP(F297,Prearmados!E:E,Prearmados!F:F,"",0,1))</f>
        <v/>
      </c>
      <c r="E297" s="83" t="str">
        <f>IF(H297="","",SUMIF(Precio_Productos!K:K,C297,Precio_Productos!J:J)*H297)</f>
        <v/>
      </c>
      <c r="F297" s="86" t="str">
        <f t="shared" si="2"/>
        <v/>
      </c>
      <c r="G297" s="86" t="str">
        <f t="shared" si="3"/>
        <v/>
      </c>
      <c r="H297" s="15"/>
      <c r="P297" s="3" t="str">
        <f>IFERROR(__xludf.DUMMYFUNCTION("IF(OR(F297="""",F297=""Seleccionar..""),"""",TRANSPOSE(FILTER(Productos!E:E,(Productos!F:F=D297)+(Productos!F:F=XLOOKUP(D297,Implementos!B:B,Implementos!C:C,""-"",0,1)))))"),"")</f>
        <v/>
      </c>
    </row>
    <row r="298" hidden="1">
      <c r="A298" s="38" t="str">
        <f t="shared" si="1"/>
        <v/>
      </c>
      <c r="B298" s="38" t="str">
        <f>IF(F298="","",SUMIF(Prearmados!E:E,F298,Prearmados!A:A))</f>
        <v/>
      </c>
      <c r="C298" s="38" t="str">
        <f>IF(F298="","",SUMIF(Productos!E:E,G298,Productos!A:A))</f>
        <v/>
      </c>
      <c r="D298" s="85" t="str">
        <f t="array" ref="D298">IF(OR(F298="",F298="Seleccionar.."),"",XLOOKUP(F298,Prearmados!E:E,Prearmados!F:F,"",0,1))</f>
        <v/>
      </c>
      <c r="E298" s="83" t="str">
        <f>IF(H298="","",SUMIF(Precio_Productos!K:K,C298,Precio_Productos!J:J)*H298)</f>
        <v/>
      </c>
      <c r="F298" s="86" t="str">
        <f t="shared" si="2"/>
        <v/>
      </c>
      <c r="G298" s="86" t="str">
        <f t="shared" si="3"/>
        <v/>
      </c>
      <c r="H298" s="15"/>
      <c r="P298" s="3" t="str">
        <f>IFERROR(__xludf.DUMMYFUNCTION("IF(OR(F298="""",F298=""Seleccionar..""),"""",TRANSPOSE(FILTER(Productos!E:E,(Productos!F:F=D298)+(Productos!F:F=XLOOKUP(D298,Implementos!B:B,Implementos!C:C,""-"",0,1)))))"),"")</f>
        <v/>
      </c>
    </row>
    <row r="299" hidden="1">
      <c r="A299" s="38" t="str">
        <f t="shared" si="1"/>
        <v/>
      </c>
      <c r="B299" s="38" t="str">
        <f>IF(F299="","",SUMIF(Prearmados!E:E,F299,Prearmados!A:A))</f>
        <v/>
      </c>
      <c r="C299" s="38" t="str">
        <f>IF(F299="","",SUMIF(Productos!E:E,G299,Productos!A:A))</f>
        <v/>
      </c>
      <c r="D299" s="85" t="str">
        <f t="array" ref="D299">IF(OR(F299="",F299="Seleccionar.."),"",XLOOKUP(F299,Prearmados!E:E,Prearmados!F:F,"",0,1))</f>
        <v/>
      </c>
      <c r="E299" s="83" t="str">
        <f>IF(H299="","",SUMIF(Precio_Productos!K:K,C299,Precio_Productos!J:J)*H299)</f>
        <v/>
      </c>
      <c r="F299" s="86" t="str">
        <f t="shared" si="2"/>
        <v/>
      </c>
      <c r="G299" s="86" t="str">
        <f t="shared" si="3"/>
        <v/>
      </c>
      <c r="H299" s="15"/>
      <c r="P299" s="3" t="str">
        <f>IFERROR(__xludf.DUMMYFUNCTION("IF(OR(F299="""",F299=""Seleccionar..""),"""",TRANSPOSE(FILTER(Productos!E:E,(Productos!F:F=D299)+(Productos!F:F=XLOOKUP(D299,Implementos!B:B,Implementos!C:C,""-"",0,1)))))"),"")</f>
        <v/>
      </c>
    </row>
    <row r="300" hidden="1">
      <c r="A300" s="38" t="str">
        <f t="shared" si="1"/>
        <v/>
      </c>
      <c r="B300" s="38" t="str">
        <f>IF(F300="","",SUMIF(Prearmados!E:E,F300,Prearmados!A:A))</f>
        <v/>
      </c>
      <c r="C300" s="38" t="str">
        <f>IF(F300="","",SUMIF(Productos!E:E,G300,Productos!A:A))</f>
        <v/>
      </c>
      <c r="D300" s="85" t="str">
        <f t="array" ref="D300">IF(OR(F300="",F300="Seleccionar.."),"",XLOOKUP(F300,Prearmados!E:E,Prearmados!F:F,"",0,1))</f>
        <v/>
      </c>
      <c r="E300" s="83" t="str">
        <f>IF(H300="","",SUMIF(Precio_Productos!K:K,C300,Precio_Productos!J:J)*H300)</f>
        <v/>
      </c>
      <c r="F300" s="86" t="str">
        <f t="shared" si="2"/>
        <v/>
      </c>
      <c r="G300" s="86" t="str">
        <f t="shared" si="3"/>
        <v/>
      </c>
      <c r="H300" s="15"/>
      <c r="P300" s="3" t="str">
        <f>IFERROR(__xludf.DUMMYFUNCTION("IF(OR(F300="""",F300=""Seleccionar..""),"""",TRANSPOSE(FILTER(Productos!E:E,(Productos!F:F=D300)+(Productos!F:F=XLOOKUP(D300,Implementos!B:B,Implementos!C:C,""-"",0,1)))))"),"")</f>
        <v/>
      </c>
    </row>
    <row r="301" hidden="1">
      <c r="A301" s="38" t="str">
        <f t="shared" si="1"/>
        <v/>
      </c>
      <c r="B301" s="38" t="str">
        <f>IF(F301="","",SUMIF(Prearmados!E:E,F301,Prearmados!A:A))</f>
        <v/>
      </c>
      <c r="C301" s="38" t="str">
        <f>IF(F301="","",SUMIF(Productos!E:E,G301,Productos!A:A))</f>
        <v/>
      </c>
      <c r="D301" s="85" t="str">
        <f t="array" ref="D301">IF(OR(F301="",F301="Seleccionar.."),"",XLOOKUP(F301,Prearmados!E:E,Prearmados!F:F,"",0,1))</f>
        <v/>
      </c>
      <c r="E301" s="83" t="str">
        <f>IF(H301="","",SUMIF(Precio_Productos!K:K,C301,Precio_Productos!J:J)*H301)</f>
        <v/>
      </c>
      <c r="F301" s="86" t="str">
        <f t="shared" si="2"/>
        <v/>
      </c>
      <c r="G301" s="86" t="str">
        <f t="shared" si="3"/>
        <v/>
      </c>
      <c r="H301" s="15"/>
      <c r="P301" s="3" t="str">
        <f>IFERROR(__xludf.DUMMYFUNCTION("IF(OR(F301="""",F301=""Seleccionar..""),"""",TRANSPOSE(FILTER(Productos!E:E,(Productos!F:F=D301)+(Productos!F:F=XLOOKUP(D301,Implementos!B:B,Implementos!C:C,""-"",0,1)))))"),"")</f>
        <v/>
      </c>
    </row>
    <row r="302" hidden="1">
      <c r="A302" s="38" t="str">
        <f t="shared" si="1"/>
        <v/>
      </c>
      <c r="B302" s="38" t="str">
        <f>IF(F302="","",SUMIF(Prearmados!E:E,F302,Prearmados!A:A))</f>
        <v/>
      </c>
      <c r="C302" s="38" t="str">
        <f>IF(F302="","",SUMIF(Productos!E:E,G302,Productos!A:A))</f>
        <v/>
      </c>
      <c r="D302" s="85" t="str">
        <f t="array" ref="D302">IF(OR(F302="",F302="Seleccionar.."),"",XLOOKUP(F302,Prearmados!E:E,Prearmados!F:F,"",0,1))</f>
        <v/>
      </c>
      <c r="E302" s="83" t="str">
        <f>IF(H302="","",SUMIF(Precio_Productos!K:K,C302,Precio_Productos!J:J)*H302)</f>
        <v/>
      </c>
      <c r="F302" s="86" t="str">
        <f t="shared" si="2"/>
        <v/>
      </c>
      <c r="G302" s="86" t="str">
        <f t="shared" si="3"/>
        <v/>
      </c>
      <c r="H302" s="15"/>
      <c r="P302" s="3" t="str">
        <f>IFERROR(__xludf.DUMMYFUNCTION("IF(OR(F302="""",F302=""Seleccionar..""),"""",TRANSPOSE(FILTER(Productos!E:E,(Productos!F:F=D302)+(Productos!F:F=XLOOKUP(D302,Implementos!B:B,Implementos!C:C,""-"",0,1)))))"),"")</f>
        <v/>
      </c>
    </row>
    <row r="303" hidden="1">
      <c r="A303" s="38" t="str">
        <f t="shared" si="1"/>
        <v/>
      </c>
      <c r="B303" s="38" t="str">
        <f>IF(F303="","",SUMIF(Prearmados!E:E,F303,Prearmados!A:A))</f>
        <v/>
      </c>
      <c r="C303" s="38" t="str">
        <f>IF(F303="","",SUMIF(Productos!E:E,G303,Productos!A:A))</f>
        <v/>
      </c>
      <c r="D303" s="85" t="str">
        <f t="array" ref="D303">IF(OR(F303="",F303="Seleccionar.."),"",XLOOKUP(F303,Prearmados!E:E,Prearmados!F:F,"",0,1))</f>
        <v/>
      </c>
      <c r="E303" s="83" t="str">
        <f>IF(H303="","",SUMIF(Precio_Productos!K:K,C303,Precio_Productos!J:J)*H303)</f>
        <v/>
      </c>
      <c r="F303" s="86" t="str">
        <f t="shared" si="2"/>
        <v/>
      </c>
      <c r="G303" s="86" t="str">
        <f t="shared" si="3"/>
        <v/>
      </c>
      <c r="H303" s="15"/>
      <c r="P303" s="3" t="str">
        <f>IFERROR(__xludf.DUMMYFUNCTION("IF(OR(F303="""",F303=""Seleccionar..""),"""",TRANSPOSE(FILTER(Productos!E:E,(Productos!F:F=D303)+(Productos!F:F=XLOOKUP(D303,Implementos!B:B,Implementos!C:C,""-"",0,1)))))"),"")</f>
        <v/>
      </c>
    </row>
    <row r="304" hidden="1">
      <c r="A304" s="38" t="str">
        <f t="shared" si="1"/>
        <v/>
      </c>
      <c r="B304" s="38" t="str">
        <f>IF(F304="","",SUMIF(Prearmados!E:E,F304,Prearmados!A:A))</f>
        <v/>
      </c>
      <c r="C304" s="38" t="str">
        <f>IF(F304="","",SUMIF(Productos!E:E,G304,Productos!A:A))</f>
        <v/>
      </c>
      <c r="D304" s="85" t="str">
        <f t="array" ref="D304">IF(OR(F304="",F304="Seleccionar.."),"",XLOOKUP(F304,Prearmados!E:E,Prearmados!F:F,"",0,1))</f>
        <v/>
      </c>
      <c r="E304" s="83" t="str">
        <f>IF(H304="","",SUMIF(Precio_Productos!K:K,C304,Precio_Productos!J:J)*H304)</f>
        <v/>
      </c>
      <c r="F304" s="86" t="str">
        <f t="shared" si="2"/>
        <v/>
      </c>
      <c r="G304" s="86" t="str">
        <f t="shared" si="3"/>
        <v/>
      </c>
      <c r="H304" s="15"/>
      <c r="P304" s="3" t="str">
        <f>IFERROR(__xludf.DUMMYFUNCTION("IF(OR(F304="""",F304=""Seleccionar..""),"""",TRANSPOSE(FILTER(Productos!E:E,(Productos!F:F=D304)+(Productos!F:F=XLOOKUP(D304,Implementos!B:B,Implementos!C:C,""-"",0,1)))))"),"")</f>
        <v/>
      </c>
    </row>
    <row r="305" hidden="1">
      <c r="A305" s="38" t="str">
        <f t="shared" si="1"/>
        <v/>
      </c>
      <c r="B305" s="38" t="str">
        <f>IF(F305="","",SUMIF(Prearmados!E:E,F305,Prearmados!A:A))</f>
        <v/>
      </c>
      <c r="C305" s="38" t="str">
        <f>IF(F305="","",SUMIF(Productos!E:E,G305,Productos!A:A))</f>
        <v/>
      </c>
      <c r="D305" s="85" t="str">
        <f t="array" ref="D305">IF(OR(F305="",F305="Seleccionar.."),"",XLOOKUP(F305,Prearmados!E:E,Prearmados!F:F,"",0,1))</f>
        <v/>
      </c>
      <c r="E305" s="83" t="str">
        <f>IF(H305="","",SUMIF(Precio_Productos!K:K,C305,Precio_Productos!J:J)*H305)</f>
        <v/>
      </c>
      <c r="F305" s="86" t="str">
        <f t="shared" si="2"/>
        <v/>
      </c>
      <c r="G305" s="86" t="str">
        <f t="shared" si="3"/>
        <v/>
      </c>
      <c r="H305" s="15"/>
      <c r="P305" s="3" t="str">
        <f>IFERROR(__xludf.DUMMYFUNCTION("IF(OR(F305="""",F305=""Seleccionar..""),"""",TRANSPOSE(FILTER(Productos!E:E,(Productos!F:F=D305)+(Productos!F:F=XLOOKUP(D305,Implementos!B:B,Implementos!C:C,""-"",0,1)))))"),"")</f>
        <v/>
      </c>
    </row>
    <row r="306" hidden="1">
      <c r="A306" s="38" t="str">
        <f t="shared" si="1"/>
        <v/>
      </c>
      <c r="B306" s="38" t="str">
        <f>IF(F306="","",SUMIF(Prearmados!E:E,F306,Prearmados!A:A))</f>
        <v/>
      </c>
      <c r="C306" s="38" t="str">
        <f>IF(F306="","",SUMIF(Productos!E:E,G306,Productos!A:A))</f>
        <v/>
      </c>
      <c r="D306" s="85" t="str">
        <f t="array" ref="D306">IF(OR(F306="",F306="Seleccionar.."),"",XLOOKUP(F306,Prearmados!E:E,Prearmados!F:F,"",0,1))</f>
        <v/>
      </c>
      <c r="E306" s="83" t="str">
        <f>IF(H306="","",SUMIF(Precio_Productos!K:K,C306,Precio_Productos!J:J)*H306)</f>
        <v/>
      </c>
      <c r="F306" s="86" t="str">
        <f t="shared" si="2"/>
        <v/>
      </c>
      <c r="G306" s="86" t="str">
        <f t="shared" si="3"/>
        <v/>
      </c>
      <c r="H306" s="15"/>
      <c r="P306" s="3" t="str">
        <f>IFERROR(__xludf.DUMMYFUNCTION("IF(OR(F306="""",F306=""Seleccionar..""),"""",TRANSPOSE(FILTER(Productos!E:E,(Productos!F:F=D306)+(Productos!F:F=XLOOKUP(D306,Implementos!B:B,Implementos!C:C,""-"",0,1)))))"),"")</f>
        <v/>
      </c>
    </row>
    <row r="307" hidden="1">
      <c r="A307" s="38" t="str">
        <f t="shared" si="1"/>
        <v/>
      </c>
      <c r="B307" s="38" t="str">
        <f>IF(F307="","",SUMIF(Prearmados!E:E,F307,Prearmados!A:A))</f>
        <v/>
      </c>
      <c r="C307" s="38" t="str">
        <f>IF(F307="","",SUMIF(Productos!E:E,G307,Productos!A:A))</f>
        <v/>
      </c>
      <c r="D307" s="85" t="str">
        <f t="array" ref="D307">IF(OR(F307="",F307="Seleccionar.."),"",XLOOKUP(F307,Prearmados!E:E,Prearmados!F:F,"",0,1))</f>
        <v/>
      </c>
      <c r="E307" s="83" t="str">
        <f>IF(H307="","",SUMIF(Precio_Productos!K:K,C307,Precio_Productos!J:J)*H307)</f>
        <v/>
      </c>
      <c r="F307" s="86" t="str">
        <f t="shared" si="2"/>
        <v/>
      </c>
      <c r="G307" s="86" t="str">
        <f t="shared" si="3"/>
        <v/>
      </c>
      <c r="H307" s="15"/>
      <c r="P307" s="3" t="str">
        <f>IFERROR(__xludf.DUMMYFUNCTION("IF(OR(F307="""",F307=""Seleccionar..""),"""",TRANSPOSE(FILTER(Productos!E:E,(Productos!F:F=D307)+(Productos!F:F=XLOOKUP(D307,Implementos!B:B,Implementos!C:C,""-"",0,1)))))"),"")</f>
        <v/>
      </c>
    </row>
    <row r="308" hidden="1">
      <c r="A308" s="38" t="str">
        <f t="shared" si="1"/>
        <v/>
      </c>
      <c r="B308" s="38" t="str">
        <f>IF(F308="","",SUMIF(Prearmados!E:E,F308,Prearmados!A:A))</f>
        <v/>
      </c>
      <c r="C308" s="38" t="str">
        <f>IF(F308="","",SUMIF(Productos!E:E,G308,Productos!A:A))</f>
        <v/>
      </c>
      <c r="D308" s="85" t="str">
        <f t="array" ref="D308">IF(OR(F308="",F308="Seleccionar.."),"",XLOOKUP(F308,Prearmados!E:E,Prearmados!F:F,"",0,1))</f>
        <v/>
      </c>
      <c r="E308" s="83" t="str">
        <f>IF(H308="","",SUMIF(Precio_Productos!K:K,C308,Precio_Productos!J:J)*H308)</f>
        <v/>
      </c>
      <c r="F308" s="86" t="str">
        <f t="shared" si="2"/>
        <v/>
      </c>
      <c r="G308" s="86" t="str">
        <f t="shared" si="3"/>
        <v/>
      </c>
      <c r="H308" s="15"/>
      <c r="P308" s="3" t="str">
        <f>IFERROR(__xludf.DUMMYFUNCTION("IF(OR(F308="""",F308=""Seleccionar..""),"""",TRANSPOSE(FILTER(Productos!E:E,(Productos!F:F=D308)+(Productos!F:F=XLOOKUP(D308,Implementos!B:B,Implementos!C:C,""-"",0,1)))))"),"")</f>
        <v/>
      </c>
    </row>
    <row r="309" hidden="1">
      <c r="A309" s="38" t="str">
        <f t="shared" si="1"/>
        <v/>
      </c>
      <c r="B309" s="38" t="str">
        <f>IF(F309="","",SUMIF(Prearmados!E:E,F309,Prearmados!A:A))</f>
        <v/>
      </c>
      <c r="C309" s="38" t="str">
        <f>IF(F309="","",SUMIF(Productos!E:E,G309,Productos!A:A))</f>
        <v/>
      </c>
      <c r="D309" s="85" t="str">
        <f t="array" ref="D309">IF(OR(F309="",F309="Seleccionar.."),"",XLOOKUP(F309,Prearmados!E:E,Prearmados!F:F,"",0,1))</f>
        <v/>
      </c>
      <c r="E309" s="83" t="str">
        <f>IF(H309="","",SUMIF(Precio_Productos!K:K,C309,Precio_Productos!J:J)*H309)</f>
        <v/>
      </c>
      <c r="F309" s="86" t="str">
        <f t="shared" si="2"/>
        <v/>
      </c>
      <c r="G309" s="86" t="str">
        <f t="shared" si="3"/>
        <v/>
      </c>
      <c r="H309" s="15"/>
      <c r="P309" s="3" t="str">
        <f>IFERROR(__xludf.DUMMYFUNCTION("IF(OR(F309="""",F309=""Seleccionar..""),"""",TRANSPOSE(FILTER(Productos!E:E,(Productos!F:F=D309)+(Productos!F:F=XLOOKUP(D309,Implementos!B:B,Implementos!C:C,""-"",0,1)))))"),"")</f>
        <v/>
      </c>
    </row>
    <row r="310" hidden="1">
      <c r="A310" s="38" t="str">
        <f t="shared" si="1"/>
        <v/>
      </c>
      <c r="B310" s="38" t="str">
        <f>IF(F310="","",SUMIF(Prearmados!E:E,F310,Prearmados!A:A))</f>
        <v/>
      </c>
      <c r="C310" s="38" t="str">
        <f>IF(F310="","",SUMIF(Productos!E:E,G310,Productos!A:A))</f>
        <v/>
      </c>
      <c r="D310" s="85" t="str">
        <f t="array" ref="D310">IF(OR(F310="",F310="Seleccionar.."),"",XLOOKUP(F310,Prearmados!E:E,Prearmados!F:F,"",0,1))</f>
        <v/>
      </c>
      <c r="E310" s="83" t="str">
        <f>IF(H310="","",SUMIF(Precio_Productos!K:K,C310,Precio_Productos!J:J)*H310)</f>
        <v/>
      </c>
      <c r="F310" s="86" t="str">
        <f t="shared" si="2"/>
        <v/>
      </c>
      <c r="G310" s="86" t="str">
        <f t="shared" si="3"/>
        <v/>
      </c>
      <c r="H310" s="15"/>
      <c r="P310" s="3" t="str">
        <f>IFERROR(__xludf.DUMMYFUNCTION("IF(OR(F310="""",F310=""Seleccionar..""),"""",TRANSPOSE(FILTER(Productos!E:E,(Productos!F:F=D310)+(Productos!F:F=XLOOKUP(D310,Implementos!B:B,Implementos!C:C,""-"",0,1)))))"),"")</f>
        <v/>
      </c>
    </row>
    <row r="311" hidden="1">
      <c r="A311" s="38" t="str">
        <f t="shared" si="1"/>
        <v/>
      </c>
      <c r="B311" s="38" t="str">
        <f>IF(F311="","",SUMIF(Prearmados!E:E,F311,Prearmados!A:A))</f>
        <v/>
      </c>
      <c r="C311" s="38" t="str">
        <f>IF(F311="","",SUMIF(Productos!E:E,G311,Productos!A:A))</f>
        <v/>
      </c>
      <c r="D311" s="85" t="str">
        <f t="array" ref="D311">IF(OR(F311="",F311="Seleccionar.."),"",XLOOKUP(F311,Prearmados!E:E,Prearmados!F:F,"",0,1))</f>
        <v/>
      </c>
      <c r="E311" s="83" t="str">
        <f>IF(H311="","",SUMIF(Precio_Productos!K:K,C311,Precio_Productos!J:J)*H311)</f>
        <v/>
      </c>
      <c r="F311" s="86" t="str">
        <f t="shared" si="2"/>
        <v/>
      </c>
      <c r="G311" s="86" t="str">
        <f t="shared" si="3"/>
        <v/>
      </c>
      <c r="H311" s="15"/>
      <c r="P311" s="3" t="str">
        <f>IFERROR(__xludf.DUMMYFUNCTION("IF(OR(F311="""",F311=""Seleccionar..""),"""",TRANSPOSE(FILTER(Productos!E:E,(Productos!F:F=D311)+(Productos!F:F=XLOOKUP(D311,Implementos!B:B,Implementos!C:C,""-"",0,1)))))"),"")</f>
        <v/>
      </c>
    </row>
    <row r="312" hidden="1">
      <c r="A312" s="38" t="str">
        <f t="shared" si="1"/>
        <v/>
      </c>
      <c r="B312" s="38" t="str">
        <f>IF(F312="","",SUMIF(Prearmados!E:E,F312,Prearmados!A:A))</f>
        <v/>
      </c>
      <c r="C312" s="38" t="str">
        <f>IF(F312="","",SUMIF(Productos!E:E,G312,Productos!A:A))</f>
        <v/>
      </c>
      <c r="D312" s="85" t="str">
        <f t="array" ref="D312">IF(OR(F312="",F312="Seleccionar.."),"",XLOOKUP(F312,Prearmados!E:E,Prearmados!F:F,"",0,1))</f>
        <v/>
      </c>
      <c r="E312" s="83" t="str">
        <f>IF(H312="","",SUMIF(Precio_Productos!K:K,C312,Precio_Productos!J:J)*H312)</f>
        <v/>
      </c>
      <c r="F312" s="86" t="str">
        <f t="shared" si="2"/>
        <v/>
      </c>
      <c r="G312" s="86" t="str">
        <f t="shared" si="3"/>
        <v/>
      </c>
      <c r="H312" s="15"/>
      <c r="P312" s="3" t="str">
        <f>IFERROR(__xludf.DUMMYFUNCTION("IF(OR(F312="""",F312=""Seleccionar..""),"""",TRANSPOSE(FILTER(Productos!E:E,(Productos!F:F=D312)+(Productos!F:F=XLOOKUP(D312,Implementos!B:B,Implementos!C:C,""-"",0,1)))))"),"")</f>
        <v/>
      </c>
    </row>
    <row r="313" hidden="1">
      <c r="A313" s="38" t="str">
        <f t="shared" si="1"/>
        <v/>
      </c>
      <c r="B313" s="38" t="str">
        <f>IF(F313="","",SUMIF(Prearmados!E:E,F313,Prearmados!A:A))</f>
        <v/>
      </c>
      <c r="C313" s="38" t="str">
        <f>IF(F313="","",SUMIF(Productos!E:E,G313,Productos!A:A))</f>
        <v/>
      </c>
      <c r="D313" s="85" t="str">
        <f t="array" ref="D313">IF(OR(F313="",F313="Seleccionar.."),"",XLOOKUP(F313,Prearmados!E:E,Prearmados!F:F,"",0,1))</f>
        <v/>
      </c>
      <c r="E313" s="83" t="str">
        <f>IF(H313="","",SUMIF(Precio_Productos!K:K,C313,Precio_Productos!J:J)*H313)</f>
        <v/>
      </c>
      <c r="F313" s="86" t="str">
        <f t="shared" si="2"/>
        <v/>
      </c>
      <c r="G313" s="86" t="str">
        <f t="shared" si="3"/>
        <v/>
      </c>
      <c r="H313" s="15"/>
      <c r="P313" s="3" t="str">
        <f>IFERROR(__xludf.DUMMYFUNCTION("IF(OR(F313="""",F313=""Seleccionar..""),"""",TRANSPOSE(FILTER(Productos!E:E,(Productos!F:F=D313)+(Productos!F:F=XLOOKUP(D313,Implementos!B:B,Implementos!C:C,""-"",0,1)))))"),"")</f>
        <v/>
      </c>
    </row>
    <row r="314" hidden="1">
      <c r="A314" s="38" t="str">
        <f t="shared" si="1"/>
        <v/>
      </c>
      <c r="B314" s="38" t="str">
        <f>IF(F314="","",SUMIF(Prearmados!E:E,F314,Prearmados!A:A))</f>
        <v/>
      </c>
      <c r="C314" s="38" t="str">
        <f>IF(F314="","",SUMIF(Productos!E:E,G314,Productos!A:A))</f>
        <v/>
      </c>
      <c r="D314" s="85" t="str">
        <f t="array" ref="D314">IF(OR(F314="",F314="Seleccionar.."),"",XLOOKUP(F314,Prearmados!E:E,Prearmados!F:F,"",0,1))</f>
        <v/>
      </c>
      <c r="E314" s="83" t="str">
        <f>IF(H314="","",SUMIF(Precio_Productos!K:K,C314,Precio_Productos!J:J)*H314)</f>
        <v/>
      </c>
      <c r="F314" s="86" t="str">
        <f t="shared" si="2"/>
        <v/>
      </c>
      <c r="G314" s="86" t="str">
        <f t="shared" si="3"/>
        <v/>
      </c>
      <c r="H314" s="15"/>
      <c r="P314" s="3" t="str">
        <f>IFERROR(__xludf.DUMMYFUNCTION("IF(OR(F314="""",F314=""Seleccionar..""),"""",TRANSPOSE(FILTER(Productos!E:E,(Productos!F:F=D314)+(Productos!F:F=XLOOKUP(D314,Implementos!B:B,Implementos!C:C,""-"",0,1)))))"),"")</f>
        <v/>
      </c>
    </row>
    <row r="315" hidden="1">
      <c r="A315" s="38" t="str">
        <f t="shared" si="1"/>
        <v/>
      </c>
      <c r="B315" s="38" t="str">
        <f>IF(F315="","",SUMIF(Prearmados!E:E,F315,Prearmados!A:A))</f>
        <v/>
      </c>
      <c r="C315" s="38" t="str">
        <f>IF(F315="","",SUMIF(Productos!E:E,G315,Productos!A:A))</f>
        <v/>
      </c>
      <c r="D315" s="85" t="str">
        <f t="array" ref="D315">IF(OR(F315="",F315="Seleccionar.."),"",XLOOKUP(F315,Prearmados!E:E,Prearmados!F:F,"",0,1))</f>
        <v/>
      </c>
      <c r="E315" s="83" t="str">
        <f>IF(H315="","",SUMIF(Precio_Productos!K:K,C315,Precio_Productos!J:J)*H315)</f>
        <v/>
      </c>
      <c r="F315" s="86" t="str">
        <f t="shared" si="2"/>
        <v/>
      </c>
      <c r="G315" s="86" t="str">
        <f t="shared" si="3"/>
        <v/>
      </c>
      <c r="H315" s="15"/>
      <c r="P315" s="3" t="str">
        <f>IFERROR(__xludf.DUMMYFUNCTION("IF(OR(F315="""",F315=""Seleccionar..""),"""",TRANSPOSE(FILTER(Productos!E:E,(Productos!F:F=D315)+(Productos!F:F=XLOOKUP(D315,Implementos!B:B,Implementos!C:C,""-"",0,1)))))"),"")</f>
        <v/>
      </c>
    </row>
    <row r="316" hidden="1">
      <c r="A316" s="38" t="str">
        <f t="shared" si="1"/>
        <v/>
      </c>
      <c r="B316" s="38" t="str">
        <f>IF(F316="","",SUMIF(Prearmados!E:E,F316,Prearmados!A:A))</f>
        <v/>
      </c>
      <c r="C316" s="38" t="str">
        <f>IF(F316="","",SUMIF(Productos!E:E,G316,Productos!A:A))</f>
        <v/>
      </c>
      <c r="D316" s="85" t="str">
        <f t="array" ref="D316">IF(OR(F316="",F316="Seleccionar.."),"",XLOOKUP(F316,Prearmados!E:E,Prearmados!F:F,"",0,1))</f>
        <v/>
      </c>
      <c r="E316" s="83" t="str">
        <f>IF(H316="","",SUMIF(Precio_Productos!K:K,C316,Precio_Productos!J:J)*H316)</f>
        <v/>
      </c>
      <c r="F316" s="86" t="str">
        <f t="shared" si="2"/>
        <v/>
      </c>
      <c r="G316" s="86" t="str">
        <f t="shared" si="3"/>
        <v/>
      </c>
      <c r="H316" s="15"/>
      <c r="P316" s="3" t="str">
        <f>IFERROR(__xludf.DUMMYFUNCTION("IF(OR(F316="""",F316=""Seleccionar..""),"""",TRANSPOSE(FILTER(Productos!E:E,(Productos!F:F=D316)+(Productos!F:F=XLOOKUP(D316,Implementos!B:B,Implementos!C:C,""-"",0,1)))))"),"")</f>
        <v/>
      </c>
    </row>
    <row r="317" hidden="1">
      <c r="A317" s="38" t="str">
        <f t="shared" si="1"/>
        <v/>
      </c>
      <c r="B317" s="38" t="str">
        <f>IF(F317="","",SUMIF(Prearmados!E:E,F317,Prearmados!A:A))</f>
        <v/>
      </c>
      <c r="C317" s="38" t="str">
        <f>IF(F317="","",SUMIF(Productos!E:E,G317,Productos!A:A))</f>
        <v/>
      </c>
      <c r="D317" s="85" t="str">
        <f t="array" ref="D317">IF(OR(F317="",F317="Seleccionar.."),"",XLOOKUP(F317,Prearmados!E:E,Prearmados!F:F,"",0,1))</f>
        <v/>
      </c>
      <c r="E317" s="83" t="str">
        <f>IF(H317="","",SUMIF(Precio_Productos!K:K,C317,Precio_Productos!J:J)*H317)</f>
        <v/>
      </c>
      <c r="F317" s="86" t="str">
        <f t="shared" si="2"/>
        <v/>
      </c>
      <c r="G317" s="86" t="str">
        <f t="shared" si="3"/>
        <v/>
      </c>
      <c r="H317" s="15"/>
      <c r="P317" s="3" t="str">
        <f>IFERROR(__xludf.DUMMYFUNCTION("IF(OR(F317="""",F317=""Seleccionar..""),"""",TRANSPOSE(FILTER(Productos!E:E,(Productos!F:F=D317)+(Productos!F:F=XLOOKUP(D317,Implementos!B:B,Implementos!C:C,""-"",0,1)))))"),"")</f>
        <v/>
      </c>
    </row>
    <row r="318" hidden="1">
      <c r="A318" s="38" t="str">
        <f t="shared" si="1"/>
        <v/>
      </c>
      <c r="B318" s="38" t="str">
        <f>IF(F318="","",SUMIF(Prearmados!E:E,F318,Prearmados!A:A))</f>
        <v/>
      </c>
      <c r="C318" s="38" t="str">
        <f>IF(F318="","",SUMIF(Productos!E:E,G318,Productos!A:A))</f>
        <v/>
      </c>
      <c r="D318" s="85" t="str">
        <f t="array" ref="D318">IF(OR(F318="",F318="Seleccionar.."),"",XLOOKUP(F318,Prearmados!E:E,Prearmados!F:F,"",0,1))</f>
        <v/>
      </c>
      <c r="E318" s="83" t="str">
        <f>IF(H318="","",SUMIF(Precio_Productos!K:K,C318,Precio_Productos!J:J)*H318)</f>
        <v/>
      </c>
      <c r="F318" s="86" t="str">
        <f t="shared" si="2"/>
        <v/>
      </c>
      <c r="G318" s="86" t="str">
        <f t="shared" si="3"/>
        <v/>
      </c>
      <c r="H318" s="15"/>
      <c r="P318" s="3" t="str">
        <f>IFERROR(__xludf.DUMMYFUNCTION("IF(OR(F318="""",F318=""Seleccionar..""),"""",TRANSPOSE(FILTER(Productos!E:E,(Productos!F:F=D318)+(Productos!F:F=XLOOKUP(D318,Implementos!B:B,Implementos!C:C,""-"",0,1)))))"),"")</f>
        <v/>
      </c>
    </row>
    <row r="319" hidden="1">
      <c r="A319" s="38" t="str">
        <f t="shared" si="1"/>
        <v/>
      </c>
      <c r="B319" s="38" t="str">
        <f>IF(F319="","",SUMIF(Prearmados!E:E,F319,Prearmados!A:A))</f>
        <v/>
      </c>
      <c r="C319" s="38" t="str">
        <f>IF(F319="","",SUMIF(Productos!E:E,G319,Productos!A:A))</f>
        <v/>
      </c>
      <c r="D319" s="85" t="str">
        <f t="array" ref="D319">IF(OR(F319="",F319="Seleccionar.."),"",XLOOKUP(F319,Prearmados!E:E,Prearmados!F:F,"",0,1))</f>
        <v/>
      </c>
      <c r="E319" s="83" t="str">
        <f>IF(H319="","",SUMIF(Precio_Productos!K:K,C319,Precio_Productos!J:J)*H319)</f>
        <v/>
      </c>
      <c r="F319" s="86" t="str">
        <f t="shared" si="2"/>
        <v/>
      </c>
      <c r="G319" s="86" t="str">
        <f t="shared" si="3"/>
        <v/>
      </c>
      <c r="H319" s="15"/>
      <c r="P319" s="3" t="str">
        <f>IFERROR(__xludf.DUMMYFUNCTION("IF(OR(F319="""",F319=""Seleccionar..""),"""",TRANSPOSE(FILTER(Productos!E:E,(Productos!F:F=D319)+(Productos!F:F=XLOOKUP(D319,Implementos!B:B,Implementos!C:C,""-"",0,1)))))"),"")</f>
        <v/>
      </c>
    </row>
    <row r="320" hidden="1">
      <c r="A320" s="38" t="str">
        <f t="shared" si="1"/>
        <v/>
      </c>
      <c r="B320" s="38" t="str">
        <f>IF(F320="","",SUMIF(Prearmados!E:E,F320,Prearmados!A:A))</f>
        <v/>
      </c>
      <c r="C320" s="38" t="str">
        <f>IF(F320="","",SUMIF(Productos!E:E,G320,Productos!A:A))</f>
        <v/>
      </c>
      <c r="D320" s="85" t="str">
        <f t="array" ref="D320">IF(OR(F320="",F320="Seleccionar.."),"",XLOOKUP(F320,Prearmados!E:E,Prearmados!F:F,"",0,1))</f>
        <v/>
      </c>
      <c r="E320" s="83" t="str">
        <f>IF(H320="","",SUMIF(Precio_Productos!K:K,C320,Precio_Productos!J:J)*H320)</f>
        <v/>
      </c>
      <c r="F320" s="86" t="str">
        <f t="shared" si="2"/>
        <v/>
      </c>
      <c r="G320" s="86" t="str">
        <f t="shared" si="3"/>
        <v/>
      </c>
      <c r="H320" s="15"/>
      <c r="P320" s="3" t="str">
        <f>IFERROR(__xludf.DUMMYFUNCTION("IF(OR(F320="""",F320=""Seleccionar..""),"""",TRANSPOSE(FILTER(Productos!E:E,(Productos!F:F=D320)+(Productos!F:F=XLOOKUP(D320,Implementos!B:B,Implementos!C:C,""-"",0,1)))))"),"")</f>
        <v/>
      </c>
    </row>
    <row r="321" hidden="1">
      <c r="A321" s="38" t="str">
        <f t="shared" si="1"/>
        <v/>
      </c>
      <c r="B321" s="38" t="str">
        <f>IF(F321="","",SUMIF(Prearmados!E:E,F321,Prearmados!A:A))</f>
        <v/>
      </c>
      <c r="C321" s="38" t="str">
        <f>IF(F321="","",SUMIF(Productos!E:E,G321,Productos!A:A))</f>
        <v/>
      </c>
      <c r="D321" s="85" t="str">
        <f t="array" ref="D321">IF(OR(F321="",F321="Seleccionar.."),"",XLOOKUP(F321,Prearmados!E:E,Prearmados!F:F,"",0,1))</f>
        <v/>
      </c>
      <c r="E321" s="83" t="str">
        <f>IF(H321="","",SUMIF(Precio_Productos!K:K,C321,Precio_Productos!J:J)*H321)</f>
        <v/>
      </c>
      <c r="F321" s="86" t="str">
        <f t="shared" si="2"/>
        <v/>
      </c>
      <c r="G321" s="86" t="str">
        <f t="shared" si="3"/>
        <v/>
      </c>
      <c r="H321" s="15"/>
      <c r="P321" s="3" t="str">
        <f>IFERROR(__xludf.DUMMYFUNCTION("IF(OR(F321="""",F321=""Seleccionar..""),"""",TRANSPOSE(FILTER(Productos!E:E,(Productos!F:F=D321)+(Productos!F:F=XLOOKUP(D321,Implementos!B:B,Implementos!C:C,""-"",0,1)))))"),"")</f>
        <v/>
      </c>
    </row>
    <row r="322" hidden="1">
      <c r="A322" s="38" t="str">
        <f t="shared" si="1"/>
        <v/>
      </c>
      <c r="B322" s="38" t="str">
        <f>IF(F322="","",SUMIF(Prearmados!E:E,F322,Prearmados!A:A))</f>
        <v/>
      </c>
      <c r="C322" s="38" t="str">
        <f>IF(F322="","",SUMIF(Productos!E:E,G322,Productos!A:A))</f>
        <v/>
      </c>
      <c r="D322" s="85" t="str">
        <f t="array" ref="D322">IF(OR(F322="",F322="Seleccionar.."),"",XLOOKUP(F322,Prearmados!E:E,Prearmados!F:F,"",0,1))</f>
        <v/>
      </c>
      <c r="E322" s="83" t="str">
        <f>IF(H322="","",SUMIF(Precio_Productos!K:K,C322,Precio_Productos!J:J)*H322)</f>
        <v/>
      </c>
      <c r="F322" s="86" t="str">
        <f t="shared" si="2"/>
        <v/>
      </c>
      <c r="G322" s="86" t="str">
        <f t="shared" si="3"/>
        <v/>
      </c>
      <c r="H322" s="15"/>
      <c r="P322" s="3" t="str">
        <f>IFERROR(__xludf.DUMMYFUNCTION("IF(OR(F322="""",F322=""Seleccionar..""),"""",TRANSPOSE(FILTER(Productos!E:E,(Productos!F:F=D322)+(Productos!F:F=XLOOKUP(D322,Implementos!B:B,Implementos!C:C,""-"",0,1)))))"),"")</f>
        <v/>
      </c>
    </row>
    <row r="323" hidden="1">
      <c r="A323" s="38" t="str">
        <f t="shared" si="1"/>
        <v/>
      </c>
      <c r="B323" s="38" t="str">
        <f>IF(F323="","",SUMIF(Prearmados!E:E,F323,Prearmados!A:A))</f>
        <v/>
      </c>
      <c r="C323" s="38" t="str">
        <f>IF(F323="","",SUMIF(Productos!E:E,G323,Productos!A:A))</f>
        <v/>
      </c>
      <c r="D323" s="85" t="str">
        <f t="array" ref="D323">IF(OR(F323="",F323="Seleccionar.."),"",XLOOKUP(F323,Prearmados!E:E,Prearmados!F:F,"",0,1))</f>
        <v/>
      </c>
      <c r="E323" s="83" t="str">
        <f>IF(H323="","",SUMIF(Precio_Productos!K:K,C323,Precio_Productos!J:J)*H323)</f>
        <v/>
      </c>
      <c r="F323" s="86" t="str">
        <f t="shared" si="2"/>
        <v/>
      </c>
      <c r="G323" s="86" t="str">
        <f t="shared" si="3"/>
        <v/>
      </c>
      <c r="H323" s="15"/>
      <c r="P323" s="3" t="str">
        <f>IFERROR(__xludf.DUMMYFUNCTION("IF(OR(F323="""",F323=""Seleccionar..""),"""",TRANSPOSE(FILTER(Productos!E:E,(Productos!F:F=D323)+(Productos!F:F=XLOOKUP(D323,Implementos!B:B,Implementos!C:C,""-"",0,1)))))"),"")</f>
        <v/>
      </c>
    </row>
    <row r="324" hidden="1">
      <c r="A324" s="38" t="str">
        <f t="shared" si="1"/>
        <v/>
      </c>
      <c r="B324" s="38" t="str">
        <f>IF(F324="","",SUMIF(Prearmados!E:E,F324,Prearmados!A:A))</f>
        <v/>
      </c>
      <c r="C324" s="38" t="str">
        <f>IF(F324="","",SUMIF(Productos!E:E,G324,Productos!A:A))</f>
        <v/>
      </c>
      <c r="D324" s="85" t="str">
        <f t="array" ref="D324">IF(OR(F324="",F324="Seleccionar.."),"",XLOOKUP(F324,Prearmados!E:E,Prearmados!F:F,"",0,1))</f>
        <v/>
      </c>
      <c r="E324" s="83" t="str">
        <f>IF(H324="","",SUMIF(Precio_Productos!K:K,C324,Precio_Productos!J:J)*H324)</f>
        <v/>
      </c>
      <c r="F324" s="86" t="str">
        <f t="shared" si="2"/>
        <v/>
      </c>
      <c r="G324" s="86" t="str">
        <f t="shared" si="3"/>
        <v/>
      </c>
      <c r="H324" s="15"/>
      <c r="P324" s="3" t="str">
        <f>IFERROR(__xludf.DUMMYFUNCTION("IF(OR(F324="""",F324=""Seleccionar..""),"""",TRANSPOSE(FILTER(Productos!E:E,(Productos!F:F=D324)+(Productos!F:F=XLOOKUP(D324,Implementos!B:B,Implementos!C:C,""-"",0,1)))))"),"")</f>
        <v/>
      </c>
    </row>
    <row r="325" hidden="1">
      <c r="A325" s="38" t="str">
        <f t="shared" si="1"/>
        <v/>
      </c>
      <c r="B325" s="38" t="str">
        <f>IF(F325="","",SUMIF(Prearmados!E:E,F325,Prearmados!A:A))</f>
        <v/>
      </c>
      <c r="C325" s="38" t="str">
        <f>IF(F325="","",SUMIF(Productos!E:E,G325,Productos!A:A))</f>
        <v/>
      </c>
      <c r="D325" s="85" t="str">
        <f t="array" ref="D325">IF(OR(F325="",F325="Seleccionar.."),"",XLOOKUP(F325,Prearmados!E:E,Prearmados!F:F,"",0,1))</f>
        <v/>
      </c>
      <c r="E325" s="83" t="str">
        <f>IF(H325="","",SUMIF(Precio_Productos!K:K,C325,Precio_Productos!J:J)*H325)</f>
        <v/>
      </c>
      <c r="F325" s="86" t="str">
        <f t="shared" si="2"/>
        <v/>
      </c>
      <c r="G325" s="86" t="str">
        <f t="shared" si="3"/>
        <v/>
      </c>
      <c r="H325" s="15"/>
      <c r="P325" s="3" t="str">
        <f>IFERROR(__xludf.DUMMYFUNCTION("IF(OR(F325="""",F325=""Seleccionar..""),"""",TRANSPOSE(FILTER(Productos!E:E,(Productos!F:F=D325)+(Productos!F:F=XLOOKUP(D325,Implementos!B:B,Implementos!C:C,""-"",0,1)))))"),"")</f>
        <v/>
      </c>
    </row>
    <row r="326" hidden="1">
      <c r="A326" s="38" t="str">
        <f t="shared" si="1"/>
        <v/>
      </c>
      <c r="B326" s="38" t="str">
        <f>IF(F326="","",SUMIF(Prearmados!E:E,F326,Prearmados!A:A))</f>
        <v/>
      </c>
      <c r="C326" s="38" t="str">
        <f>IF(F326="","",SUMIF(Productos!E:E,G326,Productos!A:A))</f>
        <v/>
      </c>
      <c r="D326" s="85" t="str">
        <f t="array" ref="D326">IF(OR(F326="",F326="Seleccionar.."),"",XLOOKUP(F326,Prearmados!E:E,Prearmados!F:F,"",0,1))</f>
        <v/>
      </c>
      <c r="E326" s="83" t="str">
        <f>IF(H326="","",SUMIF(Precio_Productos!K:K,C326,Precio_Productos!J:J)*H326)</f>
        <v/>
      </c>
      <c r="F326" s="86" t="str">
        <f t="shared" si="2"/>
        <v/>
      </c>
      <c r="G326" s="86" t="str">
        <f t="shared" si="3"/>
        <v/>
      </c>
      <c r="H326" s="15"/>
      <c r="P326" s="3" t="str">
        <f>IFERROR(__xludf.DUMMYFUNCTION("IF(OR(F326="""",F326=""Seleccionar..""),"""",TRANSPOSE(FILTER(Productos!E:E,(Productos!F:F=D326)+(Productos!F:F=XLOOKUP(D326,Implementos!B:B,Implementos!C:C,""-"",0,1)))))"),"")</f>
        <v/>
      </c>
    </row>
    <row r="327" hidden="1">
      <c r="A327" s="38" t="str">
        <f t="shared" si="1"/>
        <v/>
      </c>
      <c r="B327" s="38" t="str">
        <f>IF(F327="","",SUMIF(Prearmados!E:E,F327,Prearmados!A:A))</f>
        <v/>
      </c>
      <c r="C327" s="38" t="str">
        <f>IF(F327="","",SUMIF(Productos!E:E,G327,Productos!A:A))</f>
        <v/>
      </c>
      <c r="D327" s="85" t="str">
        <f t="array" ref="D327">IF(OR(F327="",F327="Seleccionar.."),"",XLOOKUP(F327,Prearmados!E:E,Prearmados!F:F,"",0,1))</f>
        <v/>
      </c>
      <c r="E327" s="83" t="str">
        <f>IF(H327="","",SUMIF(Precio_Productos!K:K,C327,Precio_Productos!J:J)*H327)</f>
        <v/>
      </c>
      <c r="F327" s="86" t="str">
        <f t="shared" si="2"/>
        <v/>
      </c>
      <c r="G327" s="86" t="str">
        <f t="shared" si="3"/>
        <v/>
      </c>
      <c r="H327" s="15"/>
      <c r="P327" s="3" t="str">
        <f>IFERROR(__xludf.DUMMYFUNCTION("IF(OR(F327="""",F327=""Seleccionar..""),"""",TRANSPOSE(FILTER(Productos!E:E,(Productos!F:F=D327)+(Productos!F:F=XLOOKUP(D327,Implementos!B:B,Implementos!C:C,""-"",0,1)))))"),"")</f>
        <v/>
      </c>
    </row>
    <row r="328" hidden="1">
      <c r="A328" s="38" t="str">
        <f t="shared" si="1"/>
        <v/>
      </c>
      <c r="B328" s="38" t="str">
        <f>IF(F328="","",SUMIF(Prearmados!E:E,F328,Prearmados!A:A))</f>
        <v/>
      </c>
      <c r="C328" s="38" t="str">
        <f>IF(F328="","",SUMIF(Productos!E:E,G328,Productos!A:A))</f>
        <v/>
      </c>
      <c r="D328" s="85" t="str">
        <f t="array" ref="D328">IF(OR(F328="",F328="Seleccionar.."),"",XLOOKUP(F328,Prearmados!E:E,Prearmados!F:F,"",0,1))</f>
        <v/>
      </c>
      <c r="E328" s="83" t="str">
        <f>IF(H328="","",SUMIF(Precio_Productos!K:K,C328,Precio_Productos!J:J)*H328)</f>
        <v/>
      </c>
      <c r="F328" s="86" t="str">
        <f t="shared" si="2"/>
        <v/>
      </c>
      <c r="G328" s="86" t="str">
        <f t="shared" si="3"/>
        <v/>
      </c>
      <c r="H328" s="15"/>
      <c r="P328" s="3" t="str">
        <f>IFERROR(__xludf.DUMMYFUNCTION("IF(OR(F328="""",F328=""Seleccionar..""),"""",TRANSPOSE(FILTER(Productos!E:E,(Productos!F:F=D328)+(Productos!F:F=XLOOKUP(D328,Implementos!B:B,Implementos!C:C,""-"",0,1)))))"),"")</f>
        <v/>
      </c>
    </row>
    <row r="329" hidden="1">
      <c r="A329" s="38" t="str">
        <f t="shared" si="1"/>
        <v/>
      </c>
      <c r="B329" s="38" t="str">
        <f>IF(F329="","",SUMIF(Prearmados!E:E,F329,Prearmados!A:A))</f>
        <v/>
      </c>
      <c r="C329" s="38" t="str">
        <f>IF(F329="","",SUMIF(Productos!E:E,G329,Productos!A:A))</f>
        <v/>
      </c>
      <c r="D329" s="85" t="str">
        <f t="array" ref="D329">IF(OR(F329="",F329="Seleccionar.."),"",XLOOKUP(F329,Prearmados!E:E,Prearmados!F:F,"",0,1))</f>
        <v/>
      </c>
      <c r="E329" s="83" t="str">
        <f>IF(H329="","",SUMIF(Precio_Productos!K:K,C329,Precio_Productos!J:J)*H329)</f>
        <v/>
      </c>
      <c r="F329" s="86" t="str">
        <f t="shared" si="2"/>
        <v/>
      </c>
      <c r="G329" s="86" t="str">
        <f t="shared" si="3"/>
        <v/>
      </c>
      <c r="H329" s="15"/>
      <c r="P329" s="3" t="str">
        <f>IFERROR(__xludf.DUMMYFUNCTION("IF(OR(F329="""",F329=""Seleccionar..""),"""",TRANSPOSE(FILTER(Productos!E:E,(Productos!F:F=D329)+(Productos!F:F=XLOOKUP(D329,Implementos!B:B,Implementos!C:C,""-"",0,1)))))"),"")</f>
        <v/>
      </c>
    </row>
    <row r="330" hidden="1">
      <c r="A330" s="38" t="str">
        <f t="shared" si="1"/>
        <v/>
      </c>
      <c r="B330" s="38" t="str">
        <f>IF(F330="","",SUMIF(Prearmados!E:E,F330,Prearmados!A:A))</f>
        <v/>
      </c>
      <c r="C330" s="38" t="str">
        <f>IF(F330="","",SUMIF(Productos!E:E,G330,Productos!A:A))</f>
        <v/>
      </c>
      <c r="D330" s="85" t="str">
        <f t="array" ref="D330">IF(OR(F330="",F330="Seleccionar.."),"",XLOOKUP(F330,Prearmados!E:E,Prearmados!F:F,"",0,1))</f>
        <v/>
      </c>
      <c r="E330" s="83" t="str">
        <f>IF(H330="","",SUMIF(Precio_Productos!K:K,C330,Precio_Productos!J:J)*H330)</f>
        <v/>
      </c>
      <c r="F330" s="86" t="str">
        <f t="shared" si="2"/>
        <v/>
      </c>
      <c r="G330" s="86" t="str">
        <f t="shared" si="3"/>
        <v/>
      </c>
      <c r="H330" s="15"/>
      <c r="P330" s="3" t="str">
        <f>IFERROR(__xludf.DUMMYFUNCTION("IF(OR(F330="""",F330=""Seleccionar..""),"""",TRANSPOSE(FILTER(Productos!E:E,(Productos!F:F=D330)+(Productos!F:F=XLOOKUP(D330,Implementos!B:B,Implementos!C:C,""-"",0,1)))))"),"")</f>
        <v/>
      </c>
    </row>
    <row r="331" hidden="1">
      <c r="A331" s="38" t="str">
        <f t="shared" si="1"/>
        <v/>
      </c>
      <c r="B331" s="38" t="str">
        <f>IF(F331="","",SUMIF(Prearmados!E:E,F331,Prearmados!A:A))</f>
        <v/>
      </c>
      <c r="C331" s="38" t="str">
        <f>IF(F331="","",SUMIF(Productos!E:E,G331,Productos!A:A))</f>
        <v/>
      </c>
      <c r="D331" s="85" t="str">
        <f t="array" ref="D331">IF(OR(F331="",F331="Seleccionar.."),"",XLOOKUP(F331,Prearmados!E:E,Prearmados!F:F,"",0,1))</f>
        <v/>
      </c>
      <c r="E331" s="83" t="str">
        <f>IF(H331="","",SUMIF(Precio_Productos!K:K,C331,Precio_Productos!J:J)*H331)</f>
        <v/>
      </c>
      <c r="F331" s="86" t="str">
        <f t="shared" si="2"/>
        <v/>
      </c>
      <c r="G331" s="86" t="str">
        <f t="shared" si="3"/>
        <v/>
      </c>
      <c r="H331" s="15"/>
      <c r="P331" s="3" t="str">
        <f>IFERROR(__xludf.DUMMYFUNCTION("IF(OR(F331="""",F331=""Seleccionar..""),"""",TRANSPOSE(FILTER(Productos!E:E,(Productos!F:F=D331)+(Productos!F:F=XLOOKUP(D331,Implementos!B:B,Implementos!C:C,""-"",0,1)))))"),"")</f>
        <v/>
      </c>
    </row>
    <row r="332" hidden="1">
      <c r="A332" s="38" t="str">
        <f t="shared" si="1"/>
        <v/>
      </c>
      <c r="B332" s="38" t="str">
        <f>IF(F332="","",SUMIF(Prearmados!E:E,F332,Prearmados!A:A))</f>
        <v/>
      </c>
      <c r="C332" s="38" t="str">
        <f>IF(F332="","",SUMIF(Productos!E:E,G332,Productos!A:A))</f>
        <v/>
      </c>
      <c r="D332" s="85" t="str">
        <f t="array" ref="D332">IF(OR(F332="",F332="Seleccionar.."),"",XLOOKUP(F332,Prearmados!E:E,Prearmados!F:F,"",0,1))</f>
        <v/>
      </c>
      <c r="E332" s="83" t="str">
        <f>IF(H332="","",SUMIF(Precio_Productos!K:K,C332,Precio_Productos!J:J)*H332)</f>
        <v/>
      </c>
      <c r="F332" s="86" t="str">
        <f t="shared" si="2"/>
        <v/>
      </c>
      <c r="G332" s="86" t="str">
        <f t="shared" si="3"/>
        <v/>
      </c>
      <c r="H332" s="15"/>
      <c r="P332" s="3" t="str">
        <f>IFERROR(__xludf.DUMMYFUNCTION("IF(OR(F332="""",F332=""Seleccionar..""),"""",TRANSPOSE(FILTER(Productos!E:E,(Productos!F:F=D332)+(Productos!F:F=XLOOKUP(D332,Implementos!B:B,Implementos!C:C,""-"",0,1)))))"),"")</f>
        <v/>
      </c>
    </row>
    <row r="333" hidden="1">
      <c r="A333" s="38" t="str">
        <f t="shared" si="1"/>
        <v/>
      </c>
      <c r="B333" s="38" t="str">
        <f>IF(F333="","",SUMIF(Prearmados!E:E,F333,Prearmados!A:A))</f>
        <v/>
      </c>
      <c r="C333" s="38" t="str">
        <f>IF(F333="","",SUMIF(Productos!E:E,G333,Productos!A:A))</f>
        <v/>
      </c>
      <c r="D333" s="85" t="str">
        <f t="array" ref="D333">IF(OR(F333="",F333="Seleccionar.."),"",XLOOKUP(F333,Prearmados!E:E,Prearmados!F:F,"",0,1))</f>
        <v/>
      </c>
      <c r="E333" s="83" t="str">
        <f>IF(H333="","",SUMIF(Precio_Productos!K:K,C333,Precio_Productos!J:J)*H333)</f>
        <v/>
      </c>
      <c r="F333" s="86" t="str">
        <f t="shared" si="2"/>
        <v/>
      </c>
      <c r="G333" s="86" t="str">
        <f t="shared" si="3"/>
        <v/>
      </c>
      <c r="H333" s="15"/>
      <c r="P333" s="3" t="str">
        <f>IFERROR(__xludf.DUMMYFUNCTION("IF(OR(F333="""",F333=""Seleccionar..""),"""",TRANSPOSE(FILTER(Productos!E:E,(Productos!F:F=D333)+(Productos!F:F=XLOOKUP(D333,Implementos!B:B,Implementos!C:C,""-"",0,1)))))"),"")</f>
        <v/>
      </c>
    </row>
    <row r="334" hidden="1">
      <c r="A334" s="38" t="str">
        <f t="shared" si="1"/>
        <v/>
      </c>
      <c r="B334" s="38" t="str">
        <f>IF(F334="","",SUMIF(Prearmados!E:E,F334,Prearmados!A:A))</f>
        <v/>
      </c>
      <c r="C334" s="38" t="str">
        <f>IF(F334="","",SUMIF(Productos!E:E,G334,Productos!A:A))</f>
        <v/>
      </c>
      <c r="D334" s="85" t="str">
        <f t="array" ref="D334">IF(OR(F334="",F334="Seleccionar.."),"",XLOOKUP(F334,Prearmados!E:E,Prearmados!F:F,"",0,1))</f>
        <v/>
      </c>
      <c r="E334" s="83" t="str">
        <f>IF(H334="","",SUMIF(Precio_Productos!K:K,C334,Precio_Productos!J:J)*H334)</f>
        <v/>
      </c>
      <c r="F334" s="86" t="str">
        <f t="shared" si="2"/>
        <v/>
      </c>
      <c r="G334" s="86" t="str">
        <f t="shared" si="3"/>
        <v/>
      </c>
      <c r="H334" s="15"/>
      <c r="P334" s="3" t="str">
        <f>IFERROR(__xludf.DUMMYFUNCTION("IF(OR(F334="""",F334=""Seleccionar..""),"""",TRANSPOSE(FILTER(Productos!E:E,(Productos!F:F=D334)+(Productos!F:F=XLOOKUP(D334,Implementos!B:B,Implementos!C:C,""-"",0,1)))))"),"")</f>
        <v/>
      </c>
    </row>
    <row r="335" hidden="1">
      <c r="A335" s="38" t="str">
        <f t="shared" si="1"/>
        <v/>
      </c>
      <c r="B335" s="38" t="str">
        <f>IF(F335="","",SUMIF(Prearmados!E:E,F335,Prearmados!A:A))</f>
        <v/>
      </c>
      <c r="C335" s="38" t="str">
        <f>IF(F335="","",SUMIF(Productos!E:E,G335,Productos!A:A))</f>
        <v/>
      </c>
      <c r="D335" s="85" t="str">
        <f t="array" ref="D335">IF(OR(F335="",F335="Seleccionar.."),"",XLOOKUP(F335,Prearmados!E:E,Prearmados!F:F,"",0,1))</f>
        <v/>
      </c>
      <c r="E335" s="83" t="str">
        <f>IF(H335="","",SUMIF(Precio_Productos!K:K,C335,Precio_Productos!J:J)*H335)</f>
        <v/>
      </c>
      <c r="F335" s="86" t="str">
        <f t="shared" si="2"/>
        <v/>
      </c>
      <c r="G335" s="86" t="str">
        <f t="shared" si="3"/>
        <v/>
      </c>
      <c r="H335" s="15"/>
      <c r="P335" s="3" t="str">
        <f>IFERROR(__xludf.DUMMYFUNCTION("IF(OR(F335="""",F335=""Seleccionar..""),"""",TRANSPOSE(FILTER(Productos!E:E,(Productos!F:F=D335)+(Productos!F:F=XLOOKUP(D335,Implementos!B:B,Implementos!C:C,""-"",0,1)))))"),"")</f>
        <v/>
      </c>
    </row>
    <row r="336" hidden="1">
      <c r="A336" s="38" t="str">
        <f t="shared" si="1"/>
        <v/>
      </c>
      <c r="B336" s="38" t="str">
        <f>IF(F336="","",SUMIF(Prearmados!E:E,F336,Prearmados!A:A))</f>
        <v/>
      </c>
      <c r="C336" s="38" t="str">
        <f>IF(F336="","",SUMIF(Productos!E:E,G336,Productos!A:A))</f>
        <v/>
      </c>
      <c r="D336" s="85" t="str">
        <f t="array" ref="D336">IF(OR(F336="",F336="Seleccionar.."),"",XLOOKUP(F336,Prearmados!E:E,Prearmados!F:F,"",0,1))</f>
        <v/>
      </c>
      <c r="E336" s="83" t="str">
        <f>IF(H336="","",SUMIF(Precio_Productos!K:K,C336,Precio_Productos!J:J)*H336)</f>
        <v/>
      </c>
      <c r="F336" s="86" t="str">
        <f t="shared" si="2"/>
        <v/>
      </c>
      <c r="G336" s="86" t="str">
        <f t="shared" si="3"/>
        <v/>
      </c>
      <c r="H336" s="15"/>
      <c r="P336" s="3" t="str">
        <f>IFERROR(__xludf.DUMMYFUNCTION("IF(OR(F336="""",F336=""Seleccionar..""),"""",TRANSPOSE(FILTER(Productos!E:E,(Productos!F:F=D336)+(Productos!F:F=XLOOKUP(D336,Implementos!B:B,Implementos!C:C,""-"",0,1)))))"),"")</f>
        <v/>
      </c>
    </row>
    <row r="337" hidden="1">
      <c r="A337" s="38" t="str">
        <f t="shared" si="1"/>
        <v/>
      </c>
      <c r="B337" s="38" t="str">
        <f>IF(F337="","",SUMIF(Prearmados!E:E,F337,Prearmados!A:A))</f>
        <v/>
      </c>
      <c r="C337" s="38" t="str">
        <f>IF(F337="","",SUMIF(Productos!E:E,G337,Productos!A:A))</f>
        <v/>
      </c>
      <c r="D337" s="85" t="str">
        <f t="array" ref="D337">IF(OR(F337="",F337="Seleccionar.."),"",XLOOKUP(F337,Prearmados!E:E,Prearmados!F:F,"",0,1))</f>
        <v/>
      </c>
      <c r="E337" s="83" t="str">
        <f>IF(H337="","",SUMIF(Precio_Productos!K:K,C337,Precio_Productos!J:J)*H337)</f>
        <v/>
      </c>
      <c r="F337" s="86" t="str">
        <f t="shared" si="2"/>
        <v/>
      </c>
      <c r="G337" s="86" t="str">
        <f t="shared" si="3"/>
        <v/>
      </c>
      <c r="H337" s="15"/>
      <c r="P337" s="3" t="str">
        <f>IFERROR(__xludf.DUMMYFUNCTION("IF(OR(F337="""",F337=""Seleccionar..""),"""",TRANSPOSE(FILTER(Productos!E:E,(Productos!F:F=D337)+(Productos!F:F=XLOOKUP(D337,Implementos!B:B,Implementos!C:C,""-"",0,1)))))"),"")</f>
        <v/>
      </c>
    </row>
    <row r="338" hidden="1">
      <c r="A338" s="38" t="str">
        <f t="shared" si="1"/>
        <v/>
      </c>
      <c r="B338" s="38" t="str">
        <f>IF(F338="","",SUMIF(Prearmados!E:E,F338,Prearmados!A:A))</f>
        <v/>
      </c>
      <c r="C338" s="38" t="str">
        <f>IF(F338="","",SUMIF(Productos!E:E,G338,Productos!A:A))</f>
        <v/>
      </c>
      <c r="D338" s="85" t="str">
        <f t="array" ref="D338">IF(OR(F338="",F338="Seleccionar.."),"",XLOOKUP(F338,Prearmados!E:E,Prearmados!F:F,"",0,1))</f>
        <v/>
      </c>
      <c r="E338" s="83" t="str">
        <f>IF(H338="","",SUMIF(Precio_Productos!K:K,C338,Precio_Productos!J:J)*H338)</f>
        <v/>
      </c>
      <c r="F338" s="86" t="str">
        <f t="shared" si="2"/>
        <v/>
      </c>
      <c r="G338" s="86" t="str">
        <f t="shared" si="3"/>
        <v/>
      </c>
      <c r="H338" s="15"/>
      <c r="P338" s="3" t="str">
        <f>IFERROR(__xludf.DUMMYFUNCTION("IF(OR(F338="""",F338=""Seleccionar..""),"""",TRANSPOSE(FILTER(Productos!E:E,(Productos!F:F=D338)+(Productos!F:F=XLOOKUP(D338,Implementos!B:B,Implementos!C:C,""-"",0,1)))))"),"")</f>
        <v/>
      </c>
    </row>
    <row r="339" hidden="1">
      <c r="A339" s="38" t="str">
        <f t="shared" si="1"/>
        <v/>
      </c>
      <c r="B339" s="38" t="str">
        <f>IF(F339="","",SUMIF(Prearmados!E:E,F339,Prearmados!A:A))</f>
        <v/>
      </c>
      <c r="C339" s="38" t="str">
        <f>IF(F339="","",SUMIF(Productos!E:E,G339,Productos!A:A))</f>
        <v/>
      </c>
      <c r="D339" s="85" t="str">
        <f t="array" ref="D339">IF(OR(F339="",F339="Seleccionar.."),"",XLOOKUP(F339,Prearmados!E:E,Prearmados!F:F,"",0,1))</f>
        <v/>
      </c>
      <c r="E339" s="83" t="str">
        <f>IF(H339="","",SUMIF(Precio_Productos!K:K,C339,Precio_Productos!J:J)*H339)</f>
        <v/>
      </c>
      <c r="F339" s="86" t="str">
        <f t="shared" si="2"/>
        <v/>
      </c>
      <c r="G339" s="86" t="str">
        <f t="shared" si="3"/>
        <v/>
      </c>
      <c r="H339" s="15"/>
      <c r="P339" s="3" t="str">
        <f>IFERROR(__xludf.DUMMYFUNCTION("IF(OR(F339="""",F339=""Seleccionar..""),"""",TRANSPOSE(FILTER(Productos!E:E,(Productos!F:F=D339)+(Productos!F:F=XLOOKUP(D339,Implementos!B:B,Implementos!C:C,""-"",0,1)))))"),"")</f>
        <v/>
      </c>
    </row>
    <row r="340" hidden="1">
      <c r="A340" s="38" t="str">
        <f t="shared" si="1"/>
        <v/>
      </c>
      <c r="B340" s="38" t="str">
        <f>IF(F340="","",SUMIF(Prearmados!E:E,F340,Prearmados!A:A))</f>
        <v/>
      </c>
      <c r="C340" s="38" t="str">
        <f>IF(F340="","",SUMIF(Productos!E:E,G340,Productos!A:A))</f>
        <v/>
      </c>
      <c r="D340" s="85" t="str">
        <f t="array" ref="D340">IF(OR(F340="",F340="Seleccionar.."),"",XLOOKUP(F340,Prearmados!E:E,Prearmados!F:F,"",0,1))</f>
        <v/>
      </c>
      <c r="E340" s="83" t="str">
        <f>IF(H340="","",SUMIF(Precio_Productos!K:K,C340,Precio_Productos!J:J)*H340)</f>
        <v/>
      </c>
      <c r="F340" s="86" t="str">
        <f t="shared" si="2"/>
        <v/>
      </c>
      <c r="G340" s="86" t="str">
        <f t="shared" si="3"/>
        <v/>
      </c>
      <c r="H340" s="15"/>
      <c r="P340" s="3" t="str">
        <f>IFERROR(__xludf.DUMMYFUNCTION("IF(OR(F340="""",F340=""Seleccionar..""),"""",TRANSPOSE(FILTER(Productos!E:E,(Productos!F:F=D340)+(Productos!F:F=XLOOKUP(D340,Implementos!B:B,Implementos!C:C,""-"",0,1)))))"),"")</f>
        <v/>
      </c>
    </row>
    <row r="341" hidden="1">
      <c r="A341" s="38" t="str">
        <f t="shared" si="1"/>
        <v/>
      </c>
      <c r="B341" s="38" t="str">
        <f>IF(F341="","",SUMIF(Prearmados!E:E,F341,Prearmados!A:A))</f>
        <v/>
      </c>
      <c r="C341" s="38" t="str">
        <f>IF(F341="","",SUMIF(Productos!E:E,G341,Productos!A:A))</f>
        <v/>
      </c>
      <c r="D341" s="85" t="str">
        <f t="array" ref="D341">IF(OR(F341="",F341="Seleccionar.."),"",XLOOKUP(F341,Prearmados!E:E,Prearmados!F:F,"",0,1))</f>
        <v/>
      </c>
      <c r="E341" s="83" t="str">
        <f>IF(H341="","",SUMIF(Precio_Productos!K:K,C341,Precio_Productos!J:J)*H341)</f>
        <v/>
      </c>
      <c r="F341" s="86" t="str">
        <f t="shared" si="2"/>
        <v/>
      </c>
      <c r="G341" s="86" t="str">
        <f t="shared" si="3"/>
        <v/>
      </c>
      <c r="H341" s="15"/>
      <c r="P341" s="3" t="str">
        <f>IFERROR(__xludf.DUMMYFUNCTION("IF(OR(F341="""",F341=""Seleccionar..""),"""",TRANSPOSE(FILTER(Productos!E:E,(Productos!F:F=D341)+(Productos!F:F=XLOOKUP(D341,Implementos!B:B,Implementos!C:C,""-"",0,1)))))"),"")</f>
        <v/>
      </c>
    </row>
    <row r="342" hidden="1">
      <c r="A342" s="38" t="str">
        <f t="shared" si="1"/>
        <v/>
      </c>
      <c r="B342" s="38" t="str">
        <f>IF(F342="","",SUMIF(Prearmados!E:E,F342,Prearmados!A:A))</f>
        <v/>
      </c>
      <c r="C342" s="38" t="str">
        <f>IF(F342="","",SUMIF(Productos!E:E,G342,Productos!A:A))</f>
        <v/>
      </c>
      <c r="D342" s="85" t="str">
        <f t="array" ref="D342">IF(OR(F342="",F342="Seleccionar.."),"",XLOOKUP(F342,Prearmados!E:E,Prearmados!F:F,"",0,1))</f>
        <v/>
      </c>
      <c r="E342" s="83" t="str">
        <f>IF(H342="","",SUMIF(Precio_Productos!K:K,C342,Precio_Productos!J:J)*H342)</f>
        <v/>
      </c>
      <c r="F342" s="86" t="str">
        <f t="shared" si="2"/>
        <v/>
      </c>
      <c r="G342" s="86" t="str">
        <f t="shared" si="3"/>
        <v/>
      </c>
      <c r="H342" s="15"/>
      <c r="P342" s="3" t="str">
        <f>IFERROR(__xludf.DUMMYFUNCTION("IF(OR(F342="""",F342=""Seleccionar..""),"""",TRANSPOSE(FILTER(Productos!E:E,(Productos!F:F=D342)+(Productos!F:F=XLOOKUP(D342,Implementos!B:B,Implementos!C:C,""-"",0,1)))))"),"")</f>
        <v/>
      </c>
    </row>
    <row r="343" hidden="1">
      <c r="A343" s="38" t="str">
        <f t="shared" si="1"/>
        <v/>
      </c>
      <c r="B343" s="38" t="str">
        <f>IF(F343="","",SUMIF(Prearmados!E:E,F343,Prearmados!A:A))</f>
        <v/>
      </c>
      <c r="C343" s="38" t="str">
        <f>IF(F343="","",SUMIF(Productos!E:E,G343,Productos!A:A))</f>
        <v/>
      </c>
      <c r="D343" s="85" t="str">
        <f t="array" ref="D343">IF(OR(F343="",F343="Seleccionar.."),"",XLOOKUP(F343,Prearmados!E:E,Prearmados!F:F,"",0,1))</f>
        <v/>
      </c>
      <c r="E343" s="83" t="str">
        <f>IF(H343="","",SUMIF(Precio_Productos!K:K,C343,Precio_Productos!J:J)*H343)</f>
        <v/>
      </c>
      <c r="F343" s="86" t="str">
        <f t="shared" si="2"/>
        <v/>
      </c>
      <c r="G343" s="86" t="str">
        <f t="shared" si="3"/>
        <v/>
      </c>
      <c r="H343" s="15"/>
      <c r="P343" s="3" t="str">
        <f>IFERROR(__xludf.DUMMYFUNCTION("IF(OR(F343="""",F343=""Seleccionar..""),"""",TRANSPOSE(FILTER(Productos!E:E,(Productos!F:F=D343)+(Productos!F:F=XLOOKUP(D343,Implementos!B:B,Implementos!C:C,""-"",0,1)))))"),"")</f>
        <v/>
      </c>
    </row>
    <row r="344" hidden="1">
      <c r="A344" s="38" t="str">
        <f t="shared" si="1"/>
        <v/>
      </c>
      <c r="B344" s="38" t="str">
        <f>IF(F344="","",SUMIF(Prearmados!E:E,F344,Prearmados!A:A))</f>
        <v/>
      </c>
      <c r="C344" s="38" t="str">
        <f>IF(F344="","",SUMIF(Productos!E:E,G344,Productos!A:A))</f>
        <v/>
      </c>
      <c r="D344" s="85" t="str">
        <f t="array" ref="D344">IF(OR(F344="",F344="Seleccionar.."),"",XLOOKUP(F344,Prearmados!E:E,Prearmados!F:F,"",0,1))</f>
        <v/>
      </c>
      <c r="E344" s="83" t="str">
        <f>IF(H344="","",SUMIF(Precio_Productos!K:K,C344,Precio_Productos!J:J)*H344)</f>
        <v/>
      </c>
      <c r="F344" s="86" t="str">
        <f t="shared" si="2"/>
        <v/>
      </c>
      <c r="G344" s="86" t="str">
        <f t="shared" si="3"/>
        <v/>
      </c>
      <c r="H344" s="15"/>
      <c r="P344" s="3" t="str">
        <f>IFERROR(__xludf.DUMMYFUNCTION("IF(OR(F344="""",F344=""Seleccionar..""),"""",TRANSPOSE(FILTER(Productos!E:E,(Productos!F:F=D344)+(Productos!F:F=XLOOKUP(D344,Implementos!B:B,Implementos!C:C,""-"",0,1)))))"),"")</f>
        <v/>
      </c>
    </row>
    <row r="345" hidden="1">
      <c r="A345" s="38" t="str">
        <f t="shared" si="1"/>
        <v/>
      </c>
      <c r="B345" s="38" t="str">
        <f>IF(F345="","",SUMIF(Prearmados!E:E,F345,Prearmados!A:A))</f>
        <v/>
      </c>
      <c r="C345" s="38" t="str">
        <f>IF(F345="","",SUMIF(Productos!E:E,G345,Productos!A:A))</f>
        <v/>
      </c>
      <c r="D345" s="85" t="str">
        <f t="array" ref="D345">IF(OR(F345="",F345="Seleccionar.."),"",XLOOKUP(F345,Prearmados!E:E,Prearmados!F:F,"",0,1))</f>
        <v/>
      </c>
      <c r="E345" s="83" t="str">
        <f>IF(H345="","",SUMIF(Precio_Productos!K:K,C345,Precio_Productos!J:J)*H345)</f>
        <v/>
      </c>
      <c r="F345" s="86" t="str">
        <f t="shared" si="2"/>
        <v/>
      </c>
      <c r="G345" s="86" t="str">
        <f t="shared" si="3"/>
        <v/>
      </c>
      <c r="H345" s="15"/>
      <c r="P345" s="3" t="str">
        <f>IFERROR(__xludf.DUMMYFUNCTION("IF(OR(F345="""",F345=""Seleccionar..""),"""",TRANSPOSE(FILTER(Productos!E:E,(Productos!F:F=D345)+(Productos!F:F=XLOOKUP(D345,Implementos!B:B,Implementos!C:C,""-"",0,1)))))"),"")</f>
        <v/>
      </c>
    </row>
    <row r="346" hidden="1">
      <c r="A346" s="38" t="str">
        <f t="shared" si="1"/>
        <v/>
      </c>
      <c r="B346" s="38" t="str">
        <f>IF(F346="","",SUMIF(Prearmados!E:E,F346,Prearmados!A:A))</f>
        <v/>
      </c>
      <c r="C346" s="38" t="str">
        <f>IF(F346="","",SUMIF(Productos!E:E,G346,Productos!A:A))</f>
        <v/>
      </c>
      <c r="D346" s="85" t="str">
        <f t="array" ref="D346">IF(OR(F346="",F346="Seleccionar.."),"",XLOOKUP(F346,Prearmados!E:E,Prearmados!F:F,"",0,1))</f>
        <v/>
      </c>
      <c r="E346" s="83" t="str">
        <f>IF(H346="","",SUMIF(Precio_Productos!K:K,C346,Precio_Productos!J:J)*H346)</f>
        <v/>
      </c>
      <c r="F346" s="86" t="str">
        <f t="shared" si="2"/>
        <v/>
      </c>
      <c r="G346" s="86" t="str">
        <f t="shared" si="3"/>
        <v/>
      </c>
      <c r="H346" s="15"/>
      <c r="P346" s="3" t="str">
        <f>IFERROR(__xludf.DUMMYFUNCTION("IF(OR(F346="""",F346=""Seleccionar..""),"""",TRANSPOSE(FILTER(Productos!E:E,(Productos!F:F=D346)+(Productos!F:F=XLOOKUP(D346,Implementos!B:B,Implementos!C:C,""-"",0,1)))))"),"")</f>
        <v/>
      </c>
    </row>
    <row r="347" hidden="1">
      <c r="A347" s="38" t="str">
        <f t="shared" si="1"/>
        <v/>
      </c>
      <c r="B347" s="38" t="str">
        <f>IF(F347="","",SUMIF(Prearmados!E:E,F347,Prearmados!A:A))</f>
        <v/>
      </c>
      <c r="C347" s="38" t="str">
        <f>IF(F347="","",SUMIF(Productos!E:E,G347,Productos!A:A))</f>
        <v/>
      </c>
      <c r="D347" s="85" t="str">
        <f t="array" ref="D347">IF(OR(F347="",F347="Seleccionar.."),"",XLOOKUP(F347,Prearmados!E:E,Prearmados!F:F,"",0,1))</f>
        <v/>
      </c>
      <c r="E347" s="83" t="str">
        <f>IF(H347="","",SUMIF(Precio_Productos!K:K,C347,Precio_Productos!J:J)*H347)</f>
        <v/>
      </c>
      <c r="F347" s="86" t="str">
        <f t="shared" si="2"/>
        <v/>
      </c>
      <c r="G347" s="86" t="str">
        <f t="shared" si="3"/>
        <v/>
      </c>
      <c r="H347" s="15"/>
      <c r="P347" s="3" t="str">
        <f>IFERROR(__xludf.DUMMYFUNCTION("IF(OR(F347="""",F347=""Seleccionar..""),"""",TRANSPOSE(FILTER(Productos!E:E,(Productos!F:F=D347)+(Productos!F:F=XLOOKUP(D347,Implementos!B:B,Implementos!C:C,""-"",0,1)))))"),"")</f>
        <v/>
      </c>
    </row>
    <row r="348" hidden="1">
      <c r="A348" s="38" t="str">
        <f t="shared" si="1"/>
        <v/>
      </c>
      <c r="B348" s="38" t="str">
        <f>IF(F348="","",SUMIF(Prearmados!E:E,F348,Prearmados!A:A))</f>
        <v/>
      </c>
      <c r="C348" s="38" t="str">
        <f>IF(F348="","",SUMIF(Productos!E:E,G348,Productos!A:A))</f>
        <v/>
      </c>
      <c r="D348" s="85" t="str">
        <f t="array" ref="D348">IF(OR(F348="",F348="Seleccionar.."),"",XLOOKUP(F348,Prearmados!E:E,Prearmados!F:F,"",0,1))</f>
        <v/>
      </c>
      <c r="E348" s="83" t="str">
        <f>IF(H348="","",SUMIF(Precio_Productos!K:K,C348,Precio_Productos!J:J)*H348)</f>
        <v/>
      </c>
      <c r="F348" s="86" t="str">
        <f t="shared" si="2"/>
        <v/>
      </c>
      <c r="G348" s="86" t="str">
        <f t="shared" si="3"/>
        <v/>
      </c>
      <c r="H348" s="15"/>
      <c r="P348" s="3" t="str">
        <f>IFERROR(__xludf.DUMMYFUNCTION("IF(OR(F348="""",F348=""Seleccionar..""),"""",TRANSPOSE(FILTER(Productos!E:E,(Productos!F:F=D348)+(Productos!F:F=XLOOKUP(D348,Implementos!B:B,Implementos!C:C,""-"",0,1)))))"),"")</f>
        <v/>
      </c>
    </row>
    <row r="349" hidden="1">
      <c r="A349" s="38" t="str">
        <f t="shared" si="1"/>
        <v/>
      </c>
      <c r="B349" s="38" t="str">
        <f>IF(F349="","",SUMIF(Prearmados!E:E,F349,Prearmados!A:A))</f>
        <v/>
      </c>
      <c r="C349" s="38" t="str">
        <f>IF(F349="","",SUMIF(Productos!E:E,G349,Productos!A:A))</f>
        <v/>
      </c>
      <c r="D349" s="85" t="str">
        <f t="array" ref="D349">IF(OR(F349="",F349="Seleccionar.."),"",XLOOKUP(F349,Prearmados!E:E,Prearmados!F:F,"",0,1))</f>
        <v/>
      </c>
      <c r="E349" s="83" t="str">
        <f>IF(H349="","",SUMIF(Precio_Productos!K:K,C349,Precio_Productos!J:J)*H349)</f>
        <v/>
      </c>
      <c r="F349" s="86" t="str">
        <f t="shared" si="2"/>
        <v/>
      </c>
      <c r="G349" s="86" t="str">
        <f t="shared" si="3"/>
        <v/>
      </c>
      <c r="H349" s="15"/>
      <c r="P349" s="3" t="str">
        <f>IFERROR(__xludf.DUMMYFUNCTION("IF(OR(F349="""",F349=""Seleccionar..""),"""",TRANSPOSE(FILTER(Productos!E:E,(Productos!F:F=D349)+(Productos!F:F=XLOOKUP(D349,Implementos!B:B,Implementos!C:C,""-"",0,1)))))"),"")</f>
        <v/>
      </c>
    </row>
    <row r="350" hidden="1">
      <c r="A350" s="38" t="str">
        <f t="shared" si="1"/>
        <v/>
      </c>
      <c r="B350" s="38" t="str">
        <f>IF(F350="","",SUMIF(Prearmados!E:E,F350,Prearmados!A:A))</f>
        <v/>
      </c>
      <c r="C350" s="38" t="str">
        <f>IF(F350="","",SUMIF(Productos!E:E,G350,Productos!A:A))</f>
        <v/>
      </c>
      <c r="D350" s="85" t="str">
        <f t="array" ref="D350">IF(OR(F350="",F350="Seleccionar.."),"",XLOOKUP(F350,Prearmados!E:E,Prearmados!F:F,"",0,1))</f>
        <v/>
      </c>
      <c r="E350" s="83" t="str">
        <f>IF(H350="","",SUMIF(Precio_Productos!K:K,C350,Precio_Productos!J:J)*H350)</f>
        <v/>
      </c>
      <c r="F350" s="86" t="str">
        <f t="shared" si="2"/>
        <v/>
      </c>
      <c r="G350" s="86" t="str">
        <f t="shared" si="3"/>
        <v/>
      </c>
      <c r="H350" s="15"/>
      <c r="P350" s="3" t="str">
        <f>IFERROR(__xludf.DUMMYFUNCTION("IF(OR(F350="""",F350=""Seleccionar..""),"""",TRANSPOSE(FILTER(Productos!E:E,(Productos!F:F=D350)+(Productos!F:F=XLOOKUP(D350,Implementos!B:B,Implementos!C:C,""-"",0,1)))))"),"")</f>
        <v/>
      </c>
    </row>
    <row r="351" hidden="1">
      <c r="A351" s="38" t="str">
        <f t="shared" si="1"/>
        <v/>
      </c>
      <c r="B351" s="38" t="str">
        <f>IF(F351="","",SUMIF(Prearmados!E:E,F351,Prearmados!A:A))</f>
        <v/>
      </c>
      <c r="C351" s="38" t="str">
        <f>IF(F351="","",SUMIF(Productos!E:E,G351,Productos!A:A))</f>
        <v/>
      </c>
      <c r="D351" s="85" t="str">
        <f t="array" ref="D351">IF(OR(F351="",F351="Seleccionar.."),"",XLOOKUP(F351,Prearmados!E:E,Prearmados!F:F,"",0,1))</f>
        <v/>
      </c>
      <c r="E351" s="83" t="str">
        <f>IF(H351="","",SUMIF(Precio_Productos!K:K,C351,Precio_Productos!J:J)*H351)</f>
        <v/>
      </c>
      <c r="F351" s="86" t="str">
        <f t="shared" si="2"/>
        <v/>
      </c>
      <c r="G351" s="86" t="str">
        <f t="shared" si="3"/>
        <v/>
      </c>
      <c r="H351" s="15"/>
      <c r="P351" s="3" t="str">
        <f>IFERROR(__xludf.DUMMYFUNCTION("IF(OR(F351="""",F351=""Seleccionar..""),"""",TRANSPOSE(FILTER(Productos!E:E,(Productos!F:F=D351)+(Productos!F:F=XLOOKUP(D351,Implementos!B:B,Implementos!C:C,""-"",0,1)))))"),"")</f>
        <v/>
      </c>
    </row>
    <row r="352" hidden="1">
      <c r="A352" s="38" t="str">
        <f t="shared" si="1"/>
        <v/>
      </c>
      <c r="B352" s="38" t="str">
        <f>IF(F352="","",SUMIF(Prearmados!E:E,F352,Prearmados!A:A))</f>
        <v/>
      </c>
      <c r="C352" s="38" t="str">
        <f>IF(F352="","",SUMIF(Productos!E:E,G352,Productos!A:A))</f>
        <v/>
      </c>
      <c r="D352" s="85" t="str">
        <f t="array" ref="D352">IF(OR(F352="",F352="Seleccionar.."),"",XLOOKUP(F352,Prearmados!E:E,Prearmados!F:F,"",0,1))</f>
        <v/>
      </c>
      <c r="E352" s="83" t="str">
        <f>IF(H352="","",SUMIF(Precio_Productos!K:K,C352,Precio_Productos!J:J)*H352)</f>
        <v/>
      </c>
      <c r="F352" s="86" t="str">
        <f t="shared" si="2"/>
        <v/>
      </c>
      <c r="G352" s="86" t="str">
        <f t="shared" si="3"/>
        <v/>
      </c>
      <c r="H352" s="15"/>
      <c r="P352" s="3" t="str">
        <f>IFERROR(__xludf.DUMMYFUNCTION("IF(OR(F352="""",F352=""Seleccionar..""),"""",TRANSPOSE(FILTER(Productos!E:E,(Productos!F:F=D352)+(Productos!F:F=XLOOKUP(D352,Implementos!B:B,Implementos!C:C,""-"",0,1)))))"),"")</f>
        <v/>
      </c>
    </row>
    <row r="353" hidden="1">
      <c r="A353" s="38" t="str">
        <f t="shared" si="1"/>
        <v/>
      </c>
      <c r="B353" s="38" t="str">
        <f>IF(F353="","",SUMIF(Prearmados!E:E,F353,Prearmados!A:A))</f>
        <v/>
      </c>
      <c r="C353" s="38" t="str">
        <f>IF(F353="","",SUMIF(Productos!E:E,G353,Productos!A:A))</f>
        <v/>
      </c>
      <c r="D353" s="85" t="str">
        <f t="array" ref="D353">IF(OR(F353="",F353="Seleccionar.."),"",XLOOKUP(F353,Prearmados!E:E,Prearmados!F:F,"",0,1))</f>
        <v/>
      </c>
      <c r="E353" s="83" t="str">
        <f>IF(H353="","",SUMIF(Precio_Productos!K:K,C353,Precio_Productos!J:J)*H353)</f>
        <v/>
      </c>
      <c r="F353" s="86" t="str">
        <f t="shared" si="2"/>
        <v/>
      </c>
      <c r="G353" s="86" t="str">
        <f t="shared" si="3"/>
        <v/>
      </c>
      <c r="H353" s="15"/>
      <c r="P353" s="3" t="str">
        <f>IFERROR(__xludf.DUMMYFUNCTION("IF(OR(F353="""",F353=""Seleccionar..""),"""",TRANSPOSE(FILTER(Productos!E:E,(Productos!F:F=D353)+(Productos!F:F=XLOOKUP(D353,Implementos!B:B,Implementos!C:C,""-"",0,1)))))"),"")</f>
        <v/>
      </c>
    </row>
    <row r="354" hidden="1">
      <c r="A354" s="38" t="str">
        <f t="shared" si="1"/>
        <v/>
      </c>
      <c r="B354" s="38" t="str">
        <f>IF(F354="","",SUMIF(Prearmados!E:E,F354,Prearmados!A:A))</f>
        <v/>
      </c>
      <c r="C354" s="38" t="str">
        <f>IF(F354="","",SUMIF(Productos!E:E,G354,Productos!A:A))</f>
        <v/>
      </c>
      <c r="D354" s="85" t="str">
        <f t="array" ref="D354">IF(OR(F354="",F354="Seleccionar.."),"",XLOOKUP(F354,Prearmados!E:E,Prearmados!F:F,"",0,1))</f>
        <v/>
      </c>
      <c r="E354" s="83" t="str">
        <f>IF(H354="","",SUMIF(Precio_Productos!K:K,C354,Precio_Productos!J:J)*H354)</f>
        <v/>
      </c>
      <c r="F354" s="86" t="str">
        <f t="shared" si="2"/>
        <v/>
      </c>
      <c r="G354" s="86" t="str">
        <f t="shared" si="3"/>
        <v/>
      </c>
      <c r="H354" s="15"/>
      <c r="P354" s="3" t="str">
        <f>IFERROR(__xludf.DUMMYFUNCTION("IF(OR(F354="""",F354=""Seleccionar..""),"""",TRANSPOSE(FILTER(Productos!E:E,(Productos!F:F=D354)+(Productos!F:F=XLOOKUP(D354,Implementos!B:B,Implementos!C:C,""-"",0,1)))))"),"")</f>
        <v/>
      </c>
    </row>
    <row r="355" hidden="1">
      <c r="A355" s="38" t="str">
        <f t="shared" si="1"/>
        <v/>
      </c>
      <c r="B355" s="38" t="str">
        <f>IF(F355="","",SUMIF(Prearmados!E:E,F355,Prearmados!A:A))</f>
        <v/>
      </c>
      <c r="C355" s="38" t="str">
        <f>IF(F355="","",SUMIF(Productos!E:E,G355,Productos!A:A))</f>
        <v/>
      </c>
      <c r="D355" s="85" t="str">
        <f t="array" ref="D355">IF(OR(F355="",F355="Seleccionar.."),"",XLOOKUP(F355,Prearmados!E:E,Prearmados!F:F,"",0,1))</f>
        <v/>
      </c>
      <c r="E355" s="83" t="str">
        <f>IF(H355="","",SUMIF(Precio_Productos!K:K,C355,Precio_Productos!J:J)*H355)</f>
        <v/>
      </c>
      <c r="F355" s="86" t="str">
        <f t="shared" si="2"/>
        <v/>
      </c>
      <c r="G355" s="86" t="str">
        <f t="shared" si="3"/>
        <v/>
      </c>
      <c r="H355" s="15"/>
      <c r="P355" s="3" t="str">
        <f>IFERROR(__xludf.DUMMYFUNCTION("IF(OR(F355="""",F355=""Seleccionar..""),"""",TRANSPOSE(FILTER(Productos!E:E,(Productos!F:F=D355)+(Productos!F:F=XLOOKUP(D355,Implementos!B:B,Implementos!C:C,""-"",0,1)))))"),"")</f>
        <v/>
      </c>
    </row>
    <row r="356" hidden="1">
      <c r="A356" s="38" t="str">
        <f t="shared" si="1"/>
        <v/>
      </c>
      <c r="B356" s="38" t="str">
        <f>IF(F356="","",SUMIF(Prearmados!E:E,F356,Prearmados!A:A))</f>
        <v/>
      </c>
      <c r="C356" s="38" t="str">
        <f>IF(F356="","",SUMIF(Productos!E:E,G356,Productos!A:A))</f>
        <v/>
      </c>
      <c r="D356" s="85" t="str">
        <f t="array" ref="D356">IF(OR(F356="",F356="Seleccionar.."),"",XLOOKUP(F356,Prearmados!E:E,Prearmados!F:F,"",0,1))</f>
        <v/>
      </c>
      <c r="E356" s="83" t="str">
        <f>IF(H356="","",SUMIF(Precio_Productos!K:K,C356,Precio_Productos!J:J)*H356)</f>
        <v/>
      </c>
      <c r="F356" s="86" t="str">
        <f t="shared" si="2"/>
        <v/>
      </c>
      <c r="G356" s="86" t="str">
        <f t="shared" si="3"/>
        <v/>
      </c>
      <c r="H356" s="15"/>
      <c r="P356" s="3" t="str">
        <f>IFERROR(__xludf.DUMMYFUNCTION("IF(OR(F356="""",F356=""Seleccionar..""),"""",TRANSPOSE(FILTER(Productos!E:E,(Productos!F:F=D356)+(Productos!F:F=XLOOKUP(D356,Implementos!B:B,Implementos!C:C,""-"",0,1)))))"),"")</f>
        <v/>
      </c>
    </row>
    <row r="357" hidden="1">
      <c r="A357" s="38" t="str">
        <f t="shared" si="1"/>
        <v/>
      </c>
      <c r="B357" s="38" t="str">
        <f>IF(F357="","",SUMIF(Prearmados!E:E,F357,Prearmados!A:A))</f>
        <v/>
      </c>
      <c r="C357" s="38" t="str">
        <f>IF(F357="","",SUMIF(Productos!E:E,G357,Productos!A:A))</f>
        <v/>
      </c>
      <c r="D357" s="85" t="str">
        <f t="array" ref="D357">IF(OR(F357="",F357="Seleccionar.."),"",XLOOKUP(F357,Prearmados!E:E,Prearmados!F:F,"",0,1))</f>
        <v/>
      </c>
      <c r="E357" s="83" t="str">
        <f>IF(H357="","",SUMIF(Precio_Productos!K:K,C357,Precio_Productos!J:J)*H357)</f>
        <v/>
      </c>
      <c r="F357" s="86" t="str">
        <f t="shared" si="2"/>
        <v/>
      </c>
      <c r="G357" s="86" t="str">
        <f t="shared" si="3"/>
        <v/>
      </c>
      <c r="H357" s="15"/>
      <c r="P357" s="3" t="str">
        <f>IFERROR(__xludf.DUMMYFUNCTION("IF(OR(F357="""",F357=""Seleccionar..""),"""",TRANSPOSE(FILTER(Productos!E:E,(Productos!F:F=D357)+(Productos!F:F=XLOOKUP(D357,Implementos!B:B,Implementos!C:C,""-"",0,1)))))"),"")</f>
        <v/>
      </c>
    </row>
    <row r="358" hidden="1">
      <c r="A358" s="38" t="str">
        <f t="shared" si="1"/>
        <v/>
      </c>
      <c r="B358" s="38" t="str">
        <f>IF(F358="","",SUMIF(Prearmados!E:E,F358,Prearmados!A:A))</f>
        <v/>
      </c>
      <c r="C358" s="38" t="str">
        <f>IF(F358="","",SUMIF(Productos!E:E,G358,Productos!A:A))</f>
        <v/>
      </c>
      <c r="D358" s="85" t="str">
        <f t="array" ref="D358">IF(OR(F358="",F358="Seleccionar.."),"",XLOOKUP(F358,Prearmados!E:E,Prearmados!F:F,"",0,1))</f>
        <v/>
      </c>
      <c r="E358" s="83" t="str">
        <f>IF(H358="","",SUMIF(Precio_Productos!K:K,C358,Precio_Productos!J:J)*H358)</f>
        <v/>
      </c>
      <c r="F358" s="86" t="str">
        <f t="shared" si="2"/>
        <v/>
      </c>
      <c r="G358" s="86" t="str">
        <f t="shared" si="3"/>
        <v/>
      </c>
      <c r="H358" s="15"/>
      <c r="P358" s="3" t="str">
        <f>IFERROR(__xludf.DUMMYFUNCTION("IF(OR(F358="""",F358=""Seleccionar..""),"""",TRANSPOSE(FILTER(Productos!E:E,(Productos!F:F=D358)+(Productos!F:F=XLOOKUP(D358,Implementos!B:B,Implementos!C:C,""-"",0,1)))))"),"")</f>
        <v/>
      </c>
    </row>
    <row r="359" hidden="1">
      <c r="A359" s="38" t="str">
        <f t="shared" si="1"/>
        <v/>
      </c>
      <c r="B359" s="38" t="str">
        <f>IF(F359="","",SUMIF(Prearmados!E:E,F359,Prearmados!A:A))</f>
        <v/>
      </c>
      <c r="C359" s="38" t="str">
        <f>IF(F359="","",SUMIF(Productos!E:E,G359,Productos!A:A))</f>
        <v/>
      </c>
      <c r="D359" s="85" t="str">
        <f t="array" ref="D359">IF(OR(F359="",F359="Seleccionar.."),"",XLOOKUP(F359,Prearmados!E:E,Prearmados!F:F,"",0,1))</f>
        <v/>
      </c>
      <c r="E359" s="83" t="str">
        <f>IF(H359="","",SUMIF(Precio_Productos!K:K,C359,Precio_Productos!J:J)*H359)</f>
        <v/>
      </c>
      <c r="F359" s="86" t="str">
        <f t="shared" si="2"/>
        <v/>
      </c>
      <c r="G359" s="86" t="str">
        <f t="shared" si="3"/>
        <v/>
      </c>
      <c r="H359" s="15"/>
      <c r="P359" s="3" t="str">
        <f>IFERROR(__xludf.DUMMYFUNCTION("IF(OR(F359="""",F359=""Seleccionar..""),"""",TRANSPOSE(FILTER(Productos!E:E,(Productos!F:F=D359)+(Productos!F:F=XLOOKUP(D359,Implementos!B:B,Implementos!C:C,""-"",0,1)))))"),"")</f>
        <v/>
      </c>
    </row>
    <row r="360" hidden="1">
      <c r="A360" s="38" t="str">
        <f t="shared" si="1"/>
        <v/>
      </c>
      <c r="B360" s="38" t="str">
        <f>IF(F360="","",SUMIF(Prearmados!E:E,F360,Prearmados!A:A))</f>
        <v/>
      </c>
      <c r="C360" s="38" t="str">
        <f>IF(F360="","",SUMIF(Productos!E:E,G360,Productos!A:A))</f>
        <v/>
      </c>
      <c r="D360" s="85" t="str">
        <f t="array" ref="D360">IF(OR(F360="",F360="Seleccionar.."),"",XLOOKUP(F360,Prearmados!E:E,Prearmados!F:F,"",0,1))</f>
        <v/>
      </c>
      <c r="E360" s="83" t="str">
        <f>IF(H360="","",SUMIF(Precio_Productos!K:K,C360,Precio_Productos!J:J)*H360)</f>
        <v/>
      </c>
      <c r="F360" s="86" t="str">
        <f t="shared" si="2"/>
        <v/>
      </c>
      <c r="G360" s="86" t="str">
        <f t="shared" si="3"/>
        <v/>
      </c>
      <c r="H360" s="15"/>
      <c r="P360" s="3" t="str">
        <f>IFERROR(__xludf.DUMMYFUNCTION("IF(OR(F360="""",F360=""Seleccionar..""),"""",TRANSPOSE(FILTER(Productos!E:E,(Productos!F:F=D360)+(Productos!F:F=XLOOKUP(D360,Implementos!B:B,Implementos!C:C,""-"",0,1)))))"),"")</f>
        <v/>
      </c>
    </row>
    <row r="361" hidden="1">
      <c r="A361" s="38" t="str">
        <f t="shared" si="1"/>
        <v/>
      </c>
      <c r="B361" s="38" t="str">
        <f>IF(F361="","",SUMIF(Prearmados!E:E,F361,Prearmados!A:A))</f>
        <v/>
      </c>
      <c r="C361" s="38" t="str">
        <f>IF(F361="","",SUMIF(Productos!E:E,G361,Productos!A:A))</f>
        <v/>
      </c>
      <c r="D361" s="85" t="str">
        <f t="array" ref="D361">IF(OR(F361="",F361="Seleccionar.."),"",XLOOKUP(F361,Prearmados!E:E,Prearmados!F:F,"",0,1))</f>
        <v/>
      </c>
      <c r="E361" s="83" t="str">
        <f>IF(H361="","",SUMIF(Precio_Productos!K:K,C361,Precio_Productos!J:J)*H361)</f>
        <v/>
      </c>
      <c r="F361" s="86" t="str">
        <f t="shared" si="2"/>
        <v/>
      </c>
      <c r="G361" s="86" t="str">
        <f t="shared" si="3"/>
        <v/>
      </c>
      <c r="H361" s="15"/>
      <c r="P361" s="3" t="str">
        <f>IFERROR(__xludf.DUMMYFUNCTION("IF(OR(F361="""",F361=""Seleccionar..""),"""",TRANSPOSE(FILTER(Productos!E:E,(Productos!F:F=D361)+(Productos!F:F=XLOOKUP(D361,Implementos!B:B,Implementos!C:C,""-"",0,1)))))"),"")</f>
        <v/>
      </c>
    </row>
    <row r="362" hidden="1">
      <c r="A362" s="38" t="str">
        <f t="shared" si="1"/>
        <v/>
      </c>
      <c r="B362" s="38" t="str">
        <f>IF(F362="","",SUMIF(Prearmados!E:E,F362,Prearmados!A:A))</f>
        <v/>
      </c>
      <c r="C362" s="38" t="str">
        <f>IF(F362="","",SUMIF(Productos!E:E,G362,Productos!A:A))</f>
        <v/>
      </c>
      <c r="D362" s="85" t="str">
        <f t="array" ref="D362">IF(OR(F362="",F362="Seleccionar.."),"",XLOOKUP(F362,Prearmados!E:E,Prearmados!F:F,"",0,1))</f>
        <v/>
      </c>
      <c r="E362" s="83" t="str">
        <f>IF(H362="","",SUMIF(Precio_Productos!K:K,C362,Precio_Productos!J:J)*H362)</f>
        <v/>
      </c>
      <c r="F362" s="86" t="str">
        <f t="shared" si="2"/>
        <v/>
      </c>
      <c r="G362" s="86" t="str">
        <f t="shared" si="3"/>
        <v/>
      </c>
      <c r="H362" s="15"/>
      <c r="P362" s="3" t="str">
        <f>IFERROR(__xludf.DUMMYFUNCTION("IF(OR(F362="""",F362=""Seleccionar..""),"""",TRANSPOSE(FILTER(Productos!E:E,(Productos!F:F=D362)+(Productos!F:F=XLOOKUP(D362,Implementos!B:B,Implementos!C:C,""-"",0,1)))))"),"")</f>
        <v/>
      </c>
    </row>
    <row r="363" hidden="1">
      <c r="A363" s="38" t="str">
        <f t="shared" si="1"/>
        <v/>
      </c>
      <c r="B363" s="38" t="str">
        <f>IF(F363="","",SUMIF(Prearmados!E:E,F363,Prearmados!A:A))</f>
        <v/>
      </c>
      <c r="C363" s="38" t="str">
        <f>IF(F363="","",SUMIF(Productos!E:E,G363,Productos!A:A))</f>
        <v/>
      </c>
      <c r="D363" s="85" t="str">
        <f t="array" ref="D363">IF(OR(F363="",F363="Seleccionar.."),"",XLOOKUP(F363,Prearmados!E:E,Prearmados!F:F,"",0,1))</f>
        <v/>
      </c>
      <c r="E363" s="83" t="str">
        <f>IF(H363="","",SUMIF(Precio_Productos!K:K,C363,Precio_Productos!J:J)*H363)</f>
        <v/>
      </c>
      <c r="F363" s="86" t="str">
        <f t="shared" si="2"/>
        <v/>
      </c>
      <c r="G363" s="86" t="str">
        <f t="shared" si="3"/>
        <v/>
      </c>
      <c r="H363" s="15"/>
      <c r="P363" s="3" t="str">
        <f>IFERROR(__xludf.DUMMYFUNCTION("IF(OR(F363="""",F363=""Seleccionar..""),"""",TRANSPOSE(FILTER(Productos!E:E,(Productos!F:F=D363)+(Productos!F:F=XLOOKUP(D363,Implementos!B:B,Implementos!C:C,""-"",0,1)))))"),"")</f>
        <v/>
      </c>
    </row>
    <row r="364" hidden="1">
      <c r="A364" s="38" t="str">
        <f t="shared" si="1"/>
        <v/>
      </c>
      <c r="B364" s="38" t="str">
        <f>IF(F364="","",SUMIF(Prearmados!E:E,F364,Prearmados!A:A))</f>
        <v/>
      </c>
      <c r="C364" s="38" t="str">
        <f>IF(F364="","",SUMIF(Productos!E:E,G364,Productos!A:A))</f>
        <v/>
      </c>
      <c r="D364" s="85" t="str">
        <f t="array" ref="D364">IF(OR(F364="",F364="Seleccionar.."),"",XLOOKUP(F364,Prearmados!E:E,Prearmados!F:F,"",0,1))</f>
        <v/>
      </c>
      <c r="E364" s="83" t="str">
        <f>IF(H364="","",SUMIF(Precio_Productos!K:K,C364,Precio_Productos!J:J)*H364)</f>
        <v/>
      </c>
      <c r="F364" s="86" t="str">
        <f t="shared" si="2"/>
        <v/>
      </c>
      <c r="G364" s="86" t="str">
        <f t="shared" si="3"/>
        <v/>
      </c>
      <c r="H364" s="15"/>
      <c r="P364" s="3" t="str">
        <f>IFERROR(__xludf.DUMMYFUNCTION("IF(OR(F364="""",F364=""Seleccionar..""),"""",TRANSPOSE(FILTER(Productos!E:E,(Productos!F:F=D364)+(Productos!F:F=XLOOKUP(D364,Implementos!B:B,Implementos!C:C,""-"",0,1)))))"),"")</f>
        <v/>
      </c>
    </row>
    <row r="365" hidden="1">
      <c r="A365" s="38" t="str">
        <f t="shared" si="1"/>
        <v/>
      </c>
      <c r="B365" s="38" t="str">
        <f>IF(F365="","",SUMIF(Prearmados!E:E,F365,Prearmados!A:A))</f>
        <v/>
      </c>
      <c r="C365" s="38" t="str">
        <f>IF(F365="","",SUMIF(Productos!E:E,G365,Productos!A:A))</f>
        <v/>
      </c>
      <c r="D365" s="85" t="str">
        <f t="array" ref="D365">IF(OR(F365="",F365="Seleccionar.."),"",XLOOKUP(F365,Prearmados!E:E,Prearmados!F:F,"",0,1))</f>
        <v/>
      </c>
      <c r="E365" s="83" t="str">
        <f>IF(H365="","",SUMIF(Precio_Productos!K:K,C365,Precio_Productos!J:J)*H365)</f>
        <v/>
      </c>
      <c r="F365" s="86" t="str">
        <f t="shared" si="2"/>
        <v/>
      </c>
      <c r="G365" s="86" t="str">
        <f t="shared" si="3"/>
        <v/>
      </c>
      <c r="H365" s="15"/>
      <c r="P365" s="3" t="str">
        <f>IFERROR(__xludf.DUMMYFUNCTION("IF(OR(F365="""",F365=""Seleccionar..""),"""",TRANSPOSE(FILTER(Productos!E:E,(Productos!F:F=D365)+(Productos!F:F=XLOOKUP(D365,Implementos!B:B,Implementos!C:C,""-"",0,1)))))"),"")</f>
        <v/>
      </c>
    </row>
    <row r="366" hidden="1">
      <c r="A366" s="38" t="str">
        <f t="shared" si="1"/>
        <v/>
      </c>
      <c r="B366" s="38" t="str">
        <f>IF(F366="","",SUMIF(Prearmados!E:E,F366,Prearmados!A:A))</f>
        <v/>
      </c>
      <c r="C366" s="38" t="str">
        <f>IF(F366="","",SUMIF(Productos!E:E,G366,Productos!A:A))</f>
        <v/>
      </c>
      <c r="D366" s="85" t="str">
        <f t="array" ref="D366">IF(OR(F366="",F366="Seleccionar.."),"",XLOOKUP(F366,Prearmados!E:E,Prearmados!F:F,"",0,1))</f>
        <v/>
      </c>
      <c r="E366" s="83" t="str">
        <f>IF(H366="","",SUMIF(Precio_Productos!K:K,C366,Precio_Productos!J:J)*H366)</f>
        <v/>
      </c>
      <c r="F366" s="86" t="str">
        <f t="shared" si="2"/>
        <v/>
      </c>
      <c r="G366" s="86" t="str">
        <f t="shared" si="3"/>
        <v/>
      </c>
      <c r="H366" s="15"/>
      <c r="P366" s="3" t="str">
        <f>IFERROR(__xludf.DUMMYFUNCTION("IF(OR(F366="""",F366=""Seleccionar..""),"""",TRANSPOSE(FILTER(Productos!E:E,(Productos!F:F=D366)+(Productos!F:F=XLOOKUP(D366,Implementos!B:B,Implementos!C:C,""-"",0,1)))))"),"")</f>
        <v/>
      </c>
    </row>
    <row r="367" hidden="1">
      <c r="A367" s="38" t="str">
        <f t="shared" si="1"/>
        <v/>
      </c>
      <c r="B367" s="38" t="str">
        <f>IF(F367="","",SUMIF(Prearmados!E:E,F367,Prearmados!A:A))</f>
        <v/>
      </c>
      <c r="C367" s="38" t="str">
        <f>IF(F367="","",SUMIF(Productos!E:E,G367,Productos!A:A))</f>
        <v/>
      </c>
      <c r="D367" s="85" t="str">
        <f t="array" ref="D367">IF(OR(F367="",F367="Seleccionar.."),"",XLOOKUP(F367,Prearmados!E:E,Prearmados!F:F,"",0,1))</f>
        <v/>
      </c>
      <c r="E367" s="83" t="str">
        <f>IF(H367="","",SUMIF(Precio_Productos!K:K,C367,Precio_Productos!J:J)*H367)</f>
        <v/>
      </c>
      <c r="F367" s="86" t="str">
        <f t="shared" si="2"/>
        <v/>
      </c>
      <c r="G367" s="86" t="str">
        <f t="shared" si="3"/>
        <v/>
      </c>
      <c r="H367" s="15"/>
      <c r="P367" s="3" t="str">
        <f>IFERROR(__xludf.DUMMYFUNCTION("IF(OR(F367="""",F367=""Seleccionar..""),"""",TRANSPOSE(FILTER(Productos!E:E,(Productos!F:F=D367)+(Productos!F:F=XLOOKUP(D367,Implementos!B:B,Implementos!C:C,""-"",0,1)))))"),"")</f>
        <v/>
      </c>
    </row>
    <row r="368" hidden="1">
      <c r="A368" s="38" t="str">
        <f t="shared" si="1"/>
        <v/>
      </c>
      <c r="B368" s="38" t="str">
        <f>IF(F368="","",SUMIF(Prearmados!E:E,F368,Prearmados!A:A))</f>
        <v/>
      </c>
      <c r="C368" s="38" t="str">
        <f>IF(F368="","",SUMIF(Productos!E:E,G368,Productos!A:A))</f>
        <v/>
      </c>
      <c r="D368" s="85" t="str">
        <f t="array" ref="D368">IF(OR(F368="",F368="Seleccionar.."),"",XLOOKUP(F368,Prearmados!E:E,Prearmados!F:F,"",0,1))</f>
        <v/>
      </c>
      <c r="E368" s="83" t="str">
        <f>IF(H368="","",SUMIF(Precio_Productos!K:K,C368,Precio_Productos!J:J)*H368)</f>
        <v/>
      </c>
      <c r="F368" s="86" t="str">
        <f t="shared" si="2"/>
        <v/>
      </c>
      <c r="G368" s="86" t="str">
        <f t="shared" si="3"/>
        <v/>
      </c>
      <c r="H368" s="15"/>
      <c r="P368" s="3" t="str">
        <f>IFERROR(__xludf.DUMMYFUNCTION("IF(OR(F368="""",F368=""Seleccionar..""),"""",TRANSPOSE(FILTER(Productos!E:E,(Productos!F:F=D368)+(Productos!F:F=XLOOKUP(D368,Implementos!B:B,Implementos!C:C,""-"",0,1)))))"),"")</f>
        <v/>
      </c>
    </row>
    <row r="369" hidden="1">
      <c r="A369" s="38" t="str">
        <f t="shared" si="1"/>
        <v/>
      </c>
      <c r="B369" s="38" t="str">
        <f>IF(F369="","",SUMIF(Prearmados!E:E,F369,Prearmados!A:A))</f>
        <v/>
      </c>
      <c r="C369" s="38" t="str">
        <f>IF(F369="","",SUMIF(Productos!E:E,G369,Productos!A:A))</f>
        <v/>
      </c>
      <c r="D369" s="85" t="str">
        <f t="array" ref="D369">IF(OR(F369="",F369="Seleccionar.."),"",XLOOKUP(F369,Prearmados!E:E,Prearmados!F:F,"",0,1))</f>
        <v/>
      </c>
      <c r="E369" s="83" t="str">
        <f>IF(H369="","",SUMIF(Precio_Productos!K:K,C369,Precio_Productos!J:J)*H369)</f>
        <v/>
      </c>
      <c r="F369" s="86" t="str">
        <f t="shared" si="2"/>
        <v/>
      </c>
      <c r="G369" s="86" t="str">
        <f t="shared" si="3"/>
        <v/>
      </c>
      <c r="H369" s="15"/>
      <c r="P369" s="3" t="str">
        <f>IFERROR(__xludf.DUMMYFUNCTION("IF(OR(F369="""",F369=""Seleccionar..""),"""",TRANSPOSE(FILTER(Productos!E:E,(Productos!F:F=D369)+(Productos!F:F=XLOOKUP(D369,Implementos!B:B,Implementos!C:C,""-"",0,1)))))"),"")</f>
        <v/>
      </c>
    </row>
    <row r="370" hidden="1">
      <c r="A370" s="38" t="str">
        <f t="shared" si="1"/>
        <v/>
      </c>
      <c r="B370" s="38" t="str">
        <f>IF(F370="","",SUMIF(Prearmados!E:E,F370,Prearmados!A:A))</f>
        <v/>
      </c>
      <c r="C370" s="38" t="str">
        <f>IF(F370="","",SUMIF(Productos!E:E,G370,Productos!A:A))</f>
        <v/>
      </c>
      <c r="D370" s="85" t="str">
        <f t="array" ref="D370">IF(OR(F370="",F370="Seleccionar.."),"",XLOOKUP(F370,Prearmados!E:E,Prearmados!F:F,"",0,1))</f>
        <v/>
      </c>
      <c r="E370" s="83" t="str">
        <f>IF(H370="","",SUMIF(Precio_Productos!K:K,C370,Precio_Productos!J:J)*H370)</f>
        <v/>
      </c>
      <c r="F370" s="86" t="str">
        <f t="shared" si="2"/>
        <v/>
      </c>
      <c r="G370" s="86" t="str">
        <f t="shared" si="3"/>
        <v/>
      </c>
      <c r="H370" s="15"/>
      <c r="P370" s="3" t="str">
        <f>IFERROR(__xludf.DUMMYFUNCTION("IF(OR(F370="""",F370=""Seleccionar..""),"""",TRANSPOSE(FILTER(Productos!E:E,(Productos!F:F=D370)+(Productos!F:F=XLOOKUP(D370,Implementos!B:B,Implementos!C:C,""-"",0,1)))))"),"")</f>
        <v/>
      </c>
    </row>
    <row r="371" hidden="1">
      <c r="A371" s="38" t="str">
        <f t="shared" si="1"/>
        <v/>
      </c>
      <c r="B371" s="38" t="str">
        <f>IF(F371="","",SUMIF(Prearmados!E:E,F371,Prearmados!A:A))</f>
        <v/>
      </c>
      <c r="C371" s="38" t="str">
        <f>IF(F371="","",SUMIF(Productos!E:E,G371,Productos!A:A))</f>
        <v/>
      </c>
      <c r="D371" s="85" t="str">
        <f t="array" ref="D371">IF(OR(F371="",F371="Seleccionar.."),"",XLOOKUP(F371,Prearmados!E:E,Prearmados!F:F,"",0,1))</f>
        <v/>
      </c>
      <c r="E371" s="83" t="str">
        <f>IF(H371="","",SUMIF(Precio_Productos!K:K,C371,Precio_Productos!J:J)*H371)</f>
        <v/>
      </c>
      <c r="F371" s="86" t="str">
        <f t="shared" si="2"/>
        <v/>
      </c>
      <c r="G371" s="86" t="str">
        <f t="shared" si="3"/>
        <v/>
      </c>
      <c r="H371" s="15"/>
      <c r="P371" s="3" t="str">
        <f>IFERROR(__xludf.DUMMYFUNCTION("IF(OR(F371="""",F371=""Seleccionar..""),"""",TRANSPOSE(FILTER(Productos!E:E,(Productos!F:F=D371)+(Productos!F:F=XLOOKUP(D371,Implementos!B:B,Implementos!C:C,""-"",0,1)))))"),"")</f>
        <v/>
      </c>
    </row>
    <row r="372" hidden="1">
      <c r="A372" s="38" t="str">
        <f t="shared" si="1"/>
        <v/>
      </c>
      <c r="B372" s="38" t="str">
        <f>IF(F372="","",SUMIF(Prearmados!E:E,F372,Prearmados!A:A))</f>
        <v/>
      </c>
      <c r="C372" s="38" t="str">
        <f>IF(F372="","",SUMIF(Productos!E:E,G372,Productos!A:A))</f>
        <v/>
      </c>
      <c r="D372" s="85" t="str">
        <f t="array" ref="D372">IF(OR(F372="",F372="Seleccionar.."),"",XLOOKUP(F372,Prearmados!E:E,Prearmados!F:F,"",0,1))</f>
        <v/>
      </c>
      <c r="E372" s="83" t="str">
        <f>IF(H372="","",SUMIF(Precio_Productos!K:K,C372,Precio_Productos!J:J)*H372)</f>
        <v/>
      </c>
      <c r="F372" s="86" t="str">
        <f t="shared" si="2"/>
        <v/>
      </c>
      <c r="G372" s="86" t="str">
        <f t="shared" si="3"/>
        <v/>
      </c>
      <c r="H372" s="15"/>
      <c r="P372" s="3" t="str">
        <f>IFERROR(__xludf.DUMMYFUNCTION("IF(OR(F372="""",F372=""Seleccionar..""),"""",TRANSPOSE(FILTER(Productos!E:E,(Productos!F:F=D372)+(Productos!F:F=XLOOKUP(D372,Implementos!B:B,Implementos!C:C,""-"",0,1)))))"),"")</f>
        <v/>
      </c>
    </row>
    <row r="373" hidden="1">
      <c r="A373" s="38" t="str">
        <f t="shared" si="1"/>
        <v/>
      </c>
      <c r="B373" s="38" t="str">
        <f>IF(F373="","",SUMIF(Prearmados!E:E,F373,Prearmados!A:A))</f>
        <v/>
      </c>
      <c r="C373" s="38" t="str">
        <f>IF(F373="","",SUMIF(Productos!E:E,G373,Productos!A:A))</f>
        <v/>
      </c>
      <c r="D373" s="85" t="str">
        <f t="array" ref="D373">IF(OR(F373="",F373="Seleccionar.."),"",XLOOKUP(F373,Prearmados!E:E,Prearmados!F:F,"",0,1))</f>
        <v/>
      </c>
      <c r="E373" s="83" t="str">
        <f>IF(H373="","",SUMIF(Precio_Productos!K:K,C373,Precio_Productos!J:J)*H373)</f>
        <v/>
      </c>
      <c r="F373" s="86" t="str">
        <f t="shared" si="2"/>
        <v/>
      </c>
      <c r="G373" s="86" t="str">
        <f t="shared" si="3"/>
        <v/>
      </c>
      <c r="H373" s="15"/>
      <c r="P373" s="3" t="str">
        <f>IFERROR(__xludf.DUMMYFUNCTION("IF(OR(F373="""",F373=""Seleccionar..""),"""",TRANSPOSE(FILTER(Productos!E:E,(Productos!F:F=D373)+(Productos!F:F=XLOOKUP(D373,Implementos!B:B,Implementos!C:C,""-"",0,1)))))"),"")</f>
        <v/>
      </c>
    </row>
    <row r="374" hidden="1">
      <c r="A374" s="38" t="str">
        <f t="shared" si="1"/>
        <v/>
      </c>
      <c r="B374" s="38" t="str">
        <f>IF(F374="","",SUMIF(Prearmados!E:E,F374,Prearmados!A:A))</f>
        <v/>
      </c>
      <c r="C374" s="38" t="str">
        <f>IF(F374="","",SUMIF(Productos!E:E,G374,Productos!A:A))</f>
        <v/>
      </c>
      <c r="D374" s="85" t="str">
        <f t="array" ref="D374">IF(OR(F374="",F374="Seleccionar.."),"",XLOOKUP(F374,Prearmados!E:E,Prearmados!F:F,"",0,1))</f>
        <v/>
      </c>
      <c r="E374" s="83" t="str">
        <f>IF(H374="","",SUMIF(Precio_Productos!K:K,C374,Precio_Productos!J:J)*H374)</f>
        <v/>
      </c>
      <c r="F374" s="86" t="str">
        <f t="shared" si="2"/>
        <v/>
      </c>
      <c r="G374" s="86" t="str">
        <f t="shared" si="3"/>
        <v/>
      </c>
      <c r="H374" s="15"/>
      <c r="P374" s="3" t="str">
        <f>IFERROR(__xludf.DUMMYFUNCTION("IF(OR(F374="""",F374=""Seleccionar..""),"""",TRANSPOSE(FILTER(Productos!E:E,(Productos!F:F=D374)+(Productos!F:F=XLOOKUP(D374,Implementos!B:B,Implementos!C:C,""-"",0,1)))))"),"")</f>
        <v/>
      </c>
    </row>
    <row r="375" hidden="1">
      <c r="A375" s="38" t="str">
        <f t="shared" si="1"/>
        <v/>
      </c>
      <c r="B375" s="38" t="str">
        <f>IF(F375="","",SUMIF(Prearmados!E:E,F375,Prearmados!A:A))</f>
        <v/>
      </c>
      <c r="C375" s="38" t="str">
        <f>IF(F375="","",SUMIF(Productos!E:E,G375,Productos!A:A))</f>
        <v/>
      </c>
      <c r="D375" s="85" t="str">
        <f t="array" ref="D375">IF(OR(F375="",F375="Seleccionar.."),"",XLOOKUP(F375,Prearmados!E:E,Prearmados!F:F,"",0,1))</f>
        <v/>
      </c>
      <c r="E375" s="83" t="str">
        <f>IF(H375="","",SUMIF(Precio_Productos!K:K,C375,Precio_Productos!J:J)*H375)</f>
        <v/>
      </c>
      <c r="F375" s="86" t="str">
        <f t="shared" si="2"/>
        <v/>
      </c>
      <c r="G375" s="86" t="str">
        <f t="shared" si="3"/>
        <v/>
      </c>
      <c r="H375" s="15"/>
      <c r="P375" s="3" t="str">
        <f>IFERROR(__xludf.DUMMYFUNCTION("IF(OR(F375="""",F375=""Seleccionar..""),"""",TRANSPOSE(FILTER(Productos!E:E,(Productos!F:F=D375)+(Productos!F:F=XLOOKUP(D375,Implementos!B:B,Implementos!C:C,""-"",0,1)))))"),"")</f>
        <v/>
      </c>
    </row>
    <row r="376" hidden="1">
      <c r="A376" s="38" t="str">
        <f t="shared" si="1"/>
        <v/>
      </c>
      <c r="B376" s="38" t="str">
        <f>IF(F376="","",SUMIF(Prearmados!E:E,F376,Prearmados!A:A))</f>
        <v/>
      </c>
      <c r="C376" s="38" t="str">
        <f>IF(F376="","",SUMIF(Productos!E:E,G376,Productos!A:A))</f>
        <v/>
      </c>
      <c r="D376" s="85" t="str">
        <f t="array" ref="D376">IF(OR(F376="",F376="Seleccionar.."),"",XLOOKUP(F376,Prearmados!E:E,Prearmados!F:F,"",0,1))</f>
        <v/>
      </c>
      <c r="E376" s="83" t="str">
        <f>IF(H376="","",SUMIF(Precio_Productos!K:K,C376,Precio_Productos!J:J)*H376)</f>
        <v/>
      </c>
      <c r="F376" s="86" t="str">
        <f t="shared" si="2"/>
        <v/>
      </c>
      <c r="G376" s="86" t="str">
        <f t="shared" si="3"/>
        <v/>
      </c>
      <c r="H376" s="15"/>
      <c r="P376" s="3" t="str">
        <f>IFERROR(__xludf.DUMMYFUNCTION("IF(OR(F376="""",F376=""Seleccionar..""),"""",TRANSPOSE(FILTER(Productos!E:E,(Productos!F:F=D376)+(Productos!F:F=XLOOKUP(D376,Implementos!B:B,Implementos!C:C,""-"",0,1)))))"),"")</f>
        <v/>
      </c>
    </row>
    <row r="377" hidden="1">
      <c r="A377" s="38" t="str">
        <f t="shared" si="1"/>
        <v/>
      </c>
      <c r="B377" s="38" t="str">
        <f>IF(F377="","",SUMIF(Prearmados!E:E,F377,Prearmados!A:A))</f>
        <v/>
      </c>
      <c r="C377" s="38" t="str">
        <f>IF(F377="","",SUMIF(Productos!E:E,G377,Productos!A:A))</f>
        <v/>
      </c>
      <c r="D377" s="85" t="str">
        <f t="array" ref="D377">IF(OR(F377="",F377="Seleccionar.."),"",XLOOKUP(F377,Prearmados!E:E,Prearmados!F:F,"",0,1))</f>
        <v/>
      </c>
      <c r="E377" s="83" t="str">
        <f>IF(H377="","",SUMIF(Precio_Productos!K:K,C377,Precio_Productos!J:J)*H377)</f>
        <v/>
      </c>
      <c r="F377" s="86" t="str">
        <f t="shared" si="2"/>
        <v/>
      </c>
      <c r="G377" s="86" t="str">
        <f t="shared" si="3"/>
        <v/>
      </c>
      <c r="H377" s="15"/>
      <c r="P377" s="3" t="str">
        <f>IFERROR(__xludf.DUMMYFUNCTION("IF(OR(F377="""",F377=""Seleccionar..""),"""",TRANSPOSE(FILTER(Productos!E:E,(Productos!F:F=D377)+(Productos!F:F=XLOOKUP(D377,Implementos!B:B,Implementos!C:C,""-"",0,1)))))"),"")</f>
        <v/>
      </c>
    </row>
    <row r="378" hidden="1">
      <c r="A378" s="38" t="str">
        <f t="shared" si="1"/>
        <v/>
      </c>
      <c r="B378" s="38" t="str">
        <f>IF(F378="","",SUMIF(Prearmados!E:E,F378,Prearmados!A:A))</f>
        <v/>
      </c>
      <c r="C378" s="38" t="str">
        <f>IF(F378="","",SUMIF(Productos!E:E,G378,Productos!A:A))</f>
        <v/>
      </c>
      <c r="D378" s="85" t="str">
        <f t="array" ref="D378">IF(OR(F378="",F378="Seleccionar.."),"",XLOOKUP(F378,Prearmados!E:E,Prearmados!F:F,"",0,1))</f>
        <v/>
      </c>
      <c r="E378" s="83" t="str">
        <f>IF(H378="","",SUMIF(Precio_Productos!K:K,C378,Precio_Productos!J:J)*H378)</f>
        <v/>
      </c>
      <c r="F378" s="86" t="str">
        <f t="shared" si="2"/>
        <v/>
      </c>
      <c r="G378" s="86" t="str">
        <f t="shared" si="3"/>
        <v/>
      </c>
      <c r="H378" s="15"/>
      <c r="P378" s="3" t="str">
        <f>IFERROR(__xludf.DUMMYFUNCTION("IF(OR(F378="""",F378=""Seleccionar..""),"""",TRANSPOSE(FILTER(Productos!E:E,(Productos!F:F=D378)+(Productos!F:F=XLOOKUP(D378,Implementos!B:B,Implementos!C:C,""-"",0,1)))))"),"")</f>
        <v/>
      </c>
    </row>
    <row r="379" hidden="1">
      <c r="A379" s="38" t="str">
        <f t="shared" si="1"/>
        <v/>
      </c>
      <c r="B379" s="38" t="str">
        <f>IF(F379="","",SUMIF(Prearmados!E:E,F379,Prearmados!A:A))</f>
        <v/>
      </c>
      <c r="C379" s="38" t="str">
        <f>IF(F379="","",SUMIF(Productos!E:E,G379,Productos!A:A))</f>
        <v/>
      </c>
      <c r="D379" s="85" t="str">
        <f t="array" ref="D379">IF(OR(F379="",F379="Seleccionar.."),"",XLOOKUP(F379,Prearmados!E:E,Prearmados!F:F,"",0,1))</f>
        <v/>
      </c>
      <c r="E379" s="83" t="str">
        <f>IF(H379="","",SUMIF(Precio_Productos!K:K,C379,Precio_Productos!J:J)*H379)</f>
        <v/>
      </c>
      <c r="F379" s="86" t="str">
        <f t="shared" si="2"/>
        <v/>
      </c>
      <c r="G379" s="86" t="str">
        <f t="shared" si="3"/>
        <v/>
      </c>
      <c r="H379" s="15"/>
      <c r="P379" s="3" t="str">
        <f>IFERROR(__xludf.DUMMYFUNCTION("IF(OR(F379="""",F379=""Seleccionar..""),"""",TRANSPOSE(FILTER(Productos!E:E,(Productos!F:F=D379)+(Productos!F:F=XLOOKUP(D379,Implementos!B:B,Implementos!C:C,""-"",0,1)))))"),"")</f>
        <v/>
      </c>
    </row>
    <row r="380" hidden="1">
      <c r="A380" s="38" t="str">
        <f t="shared" si="1"/>
        <v/>
      </c>
      <c r="B380" s="38" t="str">
        <f>IF(F380="","",SUMIF(Prearmados!E:E,F380,Prearmados!A:A))</f>
        <v/>
      </c>
      <c r="C380" s="38" t="str">
        <f>IF(F380="","",SUMIF(Productos!E:E,G380,Productos!A:A))</f>
        <v/>
      </c>
      <c r="D380" s="85" t="str">
        <f t="array" ref="D380">IF(OR(F380="",F380="Seleccionar.."),"",XLOOKUP(F380,Prearmados!E:E,Prearmados!F:F,"",0,1))</f>
        <v/>
      </c>
      <c r="E380" s="83" t="str">
        <f>IF(H380="","",SUMIF(Precio_Productos!K:K,C380,Precio_Productos!J:J)*H380)</f>
        <v/>
      </c>
      <c r="F380" s="86" t="str">
        <f t="shared" si="2"/>
        <v/>
      </c>
      <c r="G380" s="86" t="str">
        <f t="shared" si="3"/>
        <v/>
      </c>
      <c r="H380" s="15"/>
      <c r="P380" s="3" t="str">
        <f>IFERROR(__xludf.DUMMYFUNCTION("IF(OR(F380="""",F380=""Seleccionar..""),"""",TRANSPOSE(FILTER(Productos!E:E,(Productos!F:F=D380)+(Productos!F:F=XLOOKUP(D380,Implementos!B:B,Implementos!C:C,""-"",0,1)))))"),"")</f>
        <v/>
      </c>
    </row>
    <row r="381" hidden="1">
      <c r="A381" s="38" t="str">
        <f t="shared" si="1"/>
        <v/>
      </c>
      <c r="B381" s="38" t="str">
        <f>IF(F381="","",SUMIF(Prearmados!E:E,F381,Prearmados!A:A))</f>
        <v/>
      </c>
      <c r="C381" s="38" t="str">
        <f>IF(F381="","",SUMIF(Productos!E:E,G381,Productos!A:A))</f>
        <v/>
      </c>
      <c r="D381" s="85" t="str">
        <f t="array" ref="D381">IF(OR(F381="",F381="Seleccionar.."),"",XLOOKUP(F381,Prearmados!E:E,Prearmados!F:F,"",0,1))</f>
        <v/>
      </c>
      <c r="E381" s="83" t="str">
        <f>IF(H381="","",SUMIF(Precio_Productos!K:K,C381,Precio_Productos!J:J)*H381)</f>
        <v/>
      </c>
      <c r="F381" s="86" t="str">
        <f t="shared" si="2"/>
        <v/>
      </c>
      <c r="G381" s="86" t="str">
        <f t="shared" si="3"/>
        <v/>
      </c>
      <c r="H381" s="15"/>
      <c r="P381" s="3" t="str">
        <f>IFERROR(__xludf.DUMMYFUNCTION("IF(OR(F381="""",F381=""Seleccionar..""),"""",TRANSPOSE(FILTER(Productos!E:E,(Productos!F:F=D381)+(Productos!F:F=XLOOKUP(D381,Implementos!B:B,Implementos!C:C,""-"",0,1)))))"),"")</f>
        <v/>
      </c>
    </row>
    <row r="382" hidden="1">
      <c r="A382" s="38" t="str">
        <f t="shared" si="1"/>
        <v/>
      </c>
      <c r="B382" s="38" t="str">
        <f>IF(F382="","",SUMIF(Prearmados!E:E,F382,Prearmados!A:A))</f>
        <v/>
      </c>
      <c r="C382" s="38" t="str">
        <f>IF(F382="","",SUMIF(Productos!E:E,G382,Productos!A:A))</f>
        <v/>
      </c>
      <c r="D382" s="85" t="str">
        <f t="array" ref="D382">IF(OR(F382="",F382="Seleccionar.."),"",XLOOKUP(F382,Prearmados!E:E,Prearmados!F:F,"",0,1))</f>
        <v/>
      </c>
      <c r="E382" s="83" t="str">
        <f>IF(H382="","",SUMIF(Precio_Productos!K:K,C382,Precio_Productos!J:J)*H382)</f>
        <v/>
      </c>
      <c r="F382" s="86" t="str">
        <f t="shared" si="2"/>
        <v/>
      </c>
      <c r="G382" s="86" t="str">
        <f t="shared" si="3"/>
        <v/>
      </c>
      <c r="H382" s="15"/>
      <c r="P382" s="3" t="str">
        <f>IFERROR(__xludf.DUMMYFUNCTION("IF(OR(F382="""",F382=""Seleccionar..""),"""",TRANSPOSE(FILTER(Productos!E:E,(Productos!F:F=D382)+(Productos!F:F=XLOOKUP(D382,Implementos!B:B,Implementos!C:C,""-"",0,1)))))"),"")</f>
        <v/>
      </c>
    </row>
    <row r="383" hidden="1">
      <c r="A383" s="38" t="str">
        <f t="shared" si="1"/>
        <v/>
      </c>
      <c r="B383" s="38" t="str">
        <f>IF(F383="","",SUMIF(Prearmados!E:E,F383,Prearmados!A:A))</f>
        <v/>
      </c>
      <c r="C383" s="38" t="str">
        <f>IF(F383="","",SUMIF(Productos!E:E,G383,Productos!A:A))</f>
        <v/>
      </c>
      <c r="D383" s="85" t="str">
        <f t="array" ref="D383">IF(OR(F383="",F383="Seleccionar.."),"",XLOOKUP(F383,Prearmados!E:E,Prearmados!F:F,"",0,1))</f>
        <v/>
      </c>
      <c r="E383" s="83" t="str">
        <f>IF(H383="","",SUMIF(Precio_Productos!K:K,C383,Precio_Productos!J:J)*H383)</f>
        <v/>
      </c>
      <c r="F383" s="86" t="str">
        <f t="shared" si="2"/>
        <v/>
      </c>
      <c r="G383" s="86" t="str">
        <f t="shared" si="3"/>
        <v/>
      </c>
      <c r="H383" s="15"/>
      <c r="P383" s="3" t="str">
        <f>IFERROR(__xludf.DUMMYFUNCTION("IF(OR(F383="""",F383=""Seleccionar..""),"""",TRANSPOSE(FILTER(Productos!E:E,(Productos!F:F=D383)+(Productos!F:F=XLOOKUP(D383,Implementos!B:B,Implementos!C:C,""-"",0,1)))))"),"")</f>
        <v/>
      </c>
    </row>
    <row r="384" hidden="1">
      <c r="A384" s="38" t="str">
        <f t="shared" si="1"/>
        <v/>
      </c>
      <c r="B384" s="38" t="str">
        <f>IF(F384="","",SUMIF(Prearmados!E:E,F384,Prearmados!A:A))</f>
        <v/>
      </c>
      <c r="C384" s="38" t="str">
        <f>IF(F384="","",SUMIF(Productos!E:E,G384,Productos!A:A))</f>
        <v/>
      </c>
      <c r="D384" s="85" t="str">
        <f t="array" ref="D384">IF(OR(F384="",F384="Seleccionar.."),"",XLOOKUP(F384,Prearmados!E:E,Prearmados!F:F,"",0,1))</f>
        <v/>
      </c>
      <c r="E384" s="83" t="str">
        <f>IF(H384="","",SUMIF(Precio_Productos!K:K,C384,Precio_Productos!J:J)*H384)</f>
        <v/>
      </c>
      <c r="F384" s="86" t="str">
        <f t="shared" si="2"/>
        <v/>
      </c>
      <c r="G384" s="86" t="str">
        <f t="shared" si="3"/>
        <v/>
      </c>
      <c r="H384" s="15"/>
      <c r="P384" s="3" t="str">
        <f>IFERROR(__xludf.DUMMYFUNCTION("IF(OR(F384="""",F384=""Seleccionar..""),"""",TRANSPOSE(FILTER(Productos!E:E,(Productos!F:F=D384)+(Productos!F:F=XLOOKUP(D384,Implementos!B:B,Implementos!C:C,""-"",0,1)))))"),"")</f>
        <v/>
      </c>
    </row>
    <row r="385" hidden="1">
      <c r="A385" s="38" t="str">
        <f t="shared" si="1"/>
        <v/>
      </c>
      <c r="B385" s="38" t="str">
        <f>IF(F385="","",SUMIF(Prearmados!E:E,F385,Prearmados!A:A))</f>
        <v/>
      </c>
      <c r="C385" s="38" t="str">
        <f>IF(F385="","",SUMIF(Productos!E:E,G385,Productos!A:A))</f>
        <v/>
      </c>
      <c r="D385" s="85" t="str">
        <f t="array" ref="D385">IF(OR(F385="",F385="Seleccionar.."),"",XLOOKUP(F385,Prearmados!E:E,Prearmados!F:F,"",0,1))</f>
        <v/>
      </c>
      <c r="E385" s="83" t="str">
        <f>IF(H385="","",SUMIF(Precio_Productos!K:K,C385,Precio_Productos!J:J)*H385)</f>
        <v/>
      </c>
      <c r="F385" s="86" t="str">
        <f t="shared" si="2"/>
        <v/>
      </c>
      <c r="G385" s="86" t="str">
        <f t="shared" si="3"/>
        <v/>
      </c>
      <c r="H385" s="15"/>
      <c r="P385" s="3" t="str">
        <f>IFERROR(__xludf.DUMMYFUNCTION("IF(OR(F385="""",F385=""Seleccionar..""),"""",TRANSPOSE(FILTER(Productos!E:E,(Productos!F:F=D385)+(Productos!F:F=XLOOKUP(D385,Implementos!B:B,Implementos!C:C,""-"",0,1)))))"),"")</f>
        <v/>
      </c>
    </row>
    <row r="386" hidden="1">
      <c r="A386" s="38" t="str">
        <f t="shared" si="1"/>
        <v/>
      </c>
      <c r="B386" s="38" t="str">
        <f>IF(F386="","",SUMIF(Prearmados!E:E,F386,Prearmados!A:A))</f>
        <v/>
      </c>
      <c r="C386" s="38" t="str">
        <f>IF(F386="","",SUMIF(Productos!E:E,G386,Productos!A:A))</f>
        <v/>
      </c>
      <c r="D386" s="85" t="str">
        <f t="array" ref="D386">IF(OR(F386="",F386="Seleccionar.."),"",XLOOKUP(F386,Prearmados!E:E,Prearmados!F:F,"",0,1))</f>
        <v/>
      </c>
      <c r="E386" s="83" t="str">
        <f>IF(H386="","",SUMIF(Precio_Productos!K:K,C386,Precio_Productos!J:J)*H386)</f>
        <v/>
      </c>
      <c r="F386" s="86" t="str">
        <f t="shared" si="2"/>
        <v/>
      </c>
      <c r="G386" s="86" t="str">
        <f t="shared" si="3"/>
        <v/>
      </c>
      <c r="H386" s="15"/>
      <c r="P386" s="3" t="str">
        <f>IFERROR(__xludf.DUMMYFUNCTION("IF(OR(F386="""",F386=""Seleccionar..""),"""",TRANSPOSE(FILTER(Productos!E:E,(Productos!F:F=D386)+(Productos!F:F=XLOOKUP(D386,Implementos!B:B,Implementos!C:C,""-"",0,1)))))"),"")</f>
        <v/>
      </c>
    </row>
    <row r="387" hidden="1">
      <c r="A387" s="38" t="str">
        <f t="shared" si="1"/>
        <v/>
      </c>
      <c r="B387" s="38" t="str">
        <f>IF(F387="","",SUMIF(Prearmados!E:E,F387,Prearmados!A:A))</f>
        <v/>
      </c>
      <c r="C387" s="38" t="str">
        <f>IF(F387="","",SUMIF(Productos!E:E,G387,Productos!A:A))</f>
        <v/>
      </c>
      <c r="D387" s="85" t="str">
        <f t="array" ref="D387">IF(OR(F387="",F387="Seleccionar.."),"",XLOOKUP(F387,Prearmados!E:E,Prearmados!F:F,"",0,1))</f>
        <v/>
      </c>
      <c r="E387" s="83" t="str">
        <f>IF(H387="","",SUMIF(Precio_Productos!K:K,C387,Precio_Productos!J:J)*H387)</f>
        <v/>
      </c>
      <c r="F387" s="86" t="str">
        <f t="shared" si="2"/>
        <v/>
      </c>
      <c r="G387" s="86" t="str">
        <f t="shared" si="3"/>
        <v/>
      </c>
      <c r="H387" s="15"/>
      <c r="P387" s="3" t="str">
        <f>IFERROR(__xludf.DUMMYFUNCTION("IF(OR(F387="""",F387=""Seleccionar..""),"""",TRANSPOSE(FILTER(Productos!E:E,(Productos!F:F=D387)+(Productos!F:F=XLOOKUP(D387,Implementos!B:B,Implementos!C:C,""-"",0,1)))))"),"")</f>
        <v/>
      </c>
    </row>
    <row r="388" hidden="1">
      <c r="A388" s="38" t="str">
        <f t="shared" si="1"/>
        <v/>
      </c>
      <c r="B388" s="38" t="str">
        <f>IF(F388="","",SUMIF(Prearmados!E:E,F388,Prearmados!A:A))</f>
        <v/>
      </c>
      <c r="C388" s="38" t="str">
        <f>IF(F388="","",SUMIF(Productos!E:E,G388,Productos!A:A))</f>
        <v/>
      </c>
      <c r="D388" s="85" t="str">
        <f t="array" ref="D388">IF(OR(F388="",F388="Seleccionar.."),"",XLOOKUP(F388,Prearmados!E:E,Prearmados!F:F,"",0,1))</f>
        <v/>
      </c>
      <c r="E388" s="83" t="str">
        <f>IF(H388="","",SUMIF(Precio_Productos!K:K,C388,Precio_Productos!J:J)*H388)</f>
        <v/>
      </c>
      <c r="F388" s="86" t="str">
        <f t="shared" si="2"/>
        <v/>
      </c>
      <c r="G388" s="86" t="str">
        <f t="shared" si="3"/>
        <v/>
      </c>
      <c r="H388" s="15"/>
      <c r="P388" s="3" t="str">
        <f>IFERROR(__xludf.DUMMYFUNCTION("IF(OR(F388="""",F388=""Seleccionar..""),"""",TRANSPOSE(FILTER(Productos!E:E,(Productos!F:F=D388)+(Productos!F:F=XLOOKUP(D388,Implementos!B:B,Implementos!C:C,""-"",0,1)))))"),"")</f>
        <v/>
      </c>
    </row>
    <row r="389" hidden="1">
      <c r="A389" s="38" t="str">
        <f t="shared" si="1"/>
        <v/>
      </c>
      <c r="B389" s="38" t="str">
        <f>IF(F389="","",SUMIF(Prearmados!E:E,F389,Prearmados!A:A))</f>
        <v/>
      </c>
      <c r="C389" s="38" t="str">
        <f>IF(F389="","",SUMIF(Productos!E:E,G389,Productos!A:A))</f>
        <v/>
      </c>
      <c r="D389" s="85" t="str">
        <f t="array" ref="D389">IF(OR(F389="",F389="Seleccionar.."),"",XLOOKUP(F389,Prearmados!E:E,Prearmados!F:F,"",0,1))</f>
        <v/>
      </c>
      <c r="E389" s="83" t="str">
        <f>IF(H389="","",SUMIF(Precio_Productos!K:K,C389,Precio_Productos!J:J)*H389)</f>
        <v/>
      </c>
      <c r="F389" s="86" t="str">
        <f t="shared" si="2"/>
        <v/>
      </c>
      <c r="G389" s="86" t="str">
        <f t="shared" si="3"/>
        <v/>
      </c>
      <c r="H389" s="15"/>
      <c r="P389" s="3" t="str">
        <f>IFERROR(__xludf.DUMMYFUNCTION("IF(OR(F389="""",F389=""Seleccionar..""),"""",TRANSPOSE(FILTER(Productos!E:E,(Productos!F:F=D389)+(Productos!F:F=XLOOKUP(D389,Implementos!B:B,Implementos!C:C,""-"",0,1)))))"),"")</f>
        <v/>
      </c>
    </row>
    <row r="390" hidden="1">
      <c r="A390" s="38" t="str">
        <f t="shared" si="1"/>
        <v/>
      </c>
      <c r="B390" s="38" t="str">
        <f>IF(F390="","",SUMIF(Prearmados!E:E,F390,Prearmados!A:A))</f>
        <v/>
      </c>
      <c r="C390" s="38" t="str">
        <f>IF(F390="","",SUMIF(Productos!E:E,G390,Productos!A:A))</f>
        <v/>
      </c>
      <c r="D390" s="85" t="str">
        <f t="array" ref="D390">IF(OR(F390="",F390="Seleccionar.."),"",XLOOKUP(F390,Prearmados!E:E,Prearmados!F:F,"",0,1))</f>
        <v/>
      </c>
      <c r="E390" s="83" t="str">
        <f>IF(H390="","",SUMIF(Precio_Productos!K:K,C390,Precio_Productos!J:J)*H390)</f>
        <v/>
      </c>
      <c r="F390" s="86" t="str">
        <f t="shared" si="2"/>
        <v/>
      </c>
      <c r="G390" s="86" t="str">
        <f t="shared" si="3"/>
        <v/>
      </c>
      <c r="H390" s="15"/>
      <c r="P390" s="3" t="str">
        <f>IFERROR(__xludf.DUMMYFUNCTION("IF(OR(F390="""",F390=""Seleccionar..""),"""",TRANSPOSE(FILTER(Productos!E:E,(Productos!F:F=D390)+(Productos!F:F=XLOOKUP(D390,Implementos!B:B,Implementos!C:C,""-"",0,1)))))"),"")</f>
        <v/>
      </c>
    </row>
    <row r="391" hidden="1">
      <c r="A391" s="38" t="str">
        <f t="shared" si="1"/>
        <v/>
      </c>
      <c r="B391" s="38" t="str">
        <f>IF(F391="","",SUMIF(Prearmados!E:E,F391,Prearmados!A:A))</f>
        <v/>
      </c>
      <c r="C391" s="38" t="str">
        <f>IF(F391="","",SUMIF(Productos!E:E,G391,Productos!A:A))</f>
        <v/>
      </c>
      <c r="D391" s="85" t="str">
        <f t="array" ref="D391">IF(OR(F391="",F391="Seleccionar.."),"",XLOOKUP(F391,Prearmados!E:E,Prearmados!F:F,"",0,1))</f>
        <v/>
      </c>
      <c r="E391" s="83" t="str">
        <f>IF(H391="","",SUMIF(Precio_Productos!K:K,C391,Precio_Productos!J:J)*H391)</f>
        <v/>
      </c>
      <c r="F391" s="86" t="str">
        <f t="shared" si="2"/>
        <v/>
      </c>
      <c r="G391" s="86" t="str">
        <f t="shared" si="3"/>
        <v/>
      </c>
      <c r="H391" s="15"/>
      <c r="P391" s="3" t="str">
        <f>IFERROR(__xludf.DUMMYFUNCTION("IF(OR(F391="""",F391=""Seleccionar..""),"""",TRANSPOSE(FILTER(Productos!E:E,(Productos!F:F=D391)+(Productos!F:F=XLOOKUP(D391,Implementos!B:B,Implementos!C:C,""-"",0,1)))))"),"")</f>
        <v/>
      </c>
    </row>
    <row r="392" hidden="1">
      <c r="A392" s="38" t="str">
        <f t="shared" si="1"/>
        <v/>
      </c>
      <c r="B392" s="38" t="str">
        <f>IF(F392="","",SUMIF(Prearmados!E:E,F392,Prearmados!A:A))</f>
        <v/>
      </c>
      <c r="C392" s="38" t="str">
        <f>IF(F392="","",SUMIF(Productos!E:E,G392,Productos!A:A))</f>
        <v/>
      </c>
      <c r="D392" s="85" t="str">
        <f t="array" ref="D392">IF(OR(F392="",F392="Seleccionar.."),"",XLOOKUP(F392,Prearmados!E:E,Prearmados!F:F,"",0,1))</f>
        <v/>
      </c>
      <c r="E392" s="83" t="str">
        <f>IF(H392="","",SUMIF(Precio_Productos!K:K,C392,Precio_Productos!J:J)*H392)</f>
        <v/>
      </c>
      <c r="F392" s="86" t="str">
        <f t="shared" si="2"/>
        <v/>
      </c>
      <c r="G392" s="86" t="str">
        <f t="shared" si="3"/>
        <v/>
      </c>
      <c r="H392" s="15"/>
      <c r="P392" s="3" t="str">
        <f>IFERROR(__xludf.DUMMYFUNCTION("IF(OR(F392="""",F392=""Seleccionar..""),"""",TRANSPOSE(FILTER(Productos!E:E,(Productos!F:F=D392)+(Productos!F:F=XLOOKUP(D392,Implementos!B:B,Implementos!C:C,""-"",0,1)))))"),"")</f>
        <v/>
      </c>
    </row>
    <row r="393" hidden="1">
      <c r="A393" s="38" t="str">
        <f t="shared" si="1"/>
        <v/>
      </c>
      <c r="B393" s="38" t="str">
        <f>IF(F393="","",SUMIF(Prearmados!E:E,F393,Prearmados!A:A))</f>
        <v/>
      </c>
      <c r="C393" s="38" t="str">
        <f>IF(F393="","",SUMIF(Productos!E:E,G393,Productos!A:A))</f>
        <v/>
      </c>
      <c r="D393" s="85" t="str">
        <f t="array" ref="D393">IF(OR(F393="",F393="Seleccionar.."),"",XLOOKUP(F393,Prearmados!E:E,Prearmados!F:F,"",0,1))</f>
        <v/>
      </c>
      <c r="E393" s="83" t="str">
        <f>IF(H393="","",SUMIF(Precio_Productos!K:K,C393,Precio_Productos!J:J)*H393)</f>
        <v/>
      </c>
      <c r="F393" s="86" t="str">
        <f t="shared" si="2"/>
        <v/>
      </c>
      <c r="G393" s="86" t="str">
        <f t="shared" si="3"/>
        <v/>
      </c>
      <c r="H393" s="15"/>
      <c r="P393" s="3" t="str">
        <f>IFERROR(__xludf.DUMMYFUNCTION("IF(OR(F393="""",F393=""Seleccionar..""),"""",TRANSPOSE(FILTER(Productos!E:E,(Productos!F:F=D393)+(Productos!F:F=XLOOKUP(D393,Implementos!B:B,Implementos!C:C,""-"",0,1)))))"),"")</f>
        <v/>
      </c>
    </row>
    <row r="394" hidden="1">
      <c r="A394" s="38" t="str">
        <f t="shared" si="1"/>
        <v/>
      </c>
      <c r="B394" s="38" t="str">
        <f>IF(F394="","",SUMIF(Prearmados!E:E,F394,Prearmados!A:A))</f>
        <v/>
      </c>
      <c r="C394" s="38" t="str">
        <f>IF(F394="","",SUMIF(Productos!E:E,G394,Productos!A:A))</f>
        <v/>
      </c>
      <c r="D394" s="85" t="str">
        <f t="array" ref="D394">IF(OR(F394="",F394="Seleccionar.."),"",XLOOKUP(F394,Prearmados!E:E,Prearmados!F:F,"",0,1))</f>
        <v/>
      </c>
      <c r="E394" s="83" t="str">
        <f>IF(H394="","",SUMIF(Precio_Productos!K:K,C394,Precio_Productos!J:J)*H394)</f>
        <v/>
      </c>
      <c r="F394" s="86" t="str">
        <f t="shared" si="2"/>
        <v/>
      </c>
      <c r="G394" s="86" t="str">
        <f t="shared" si="3"/>
        <v/>
      </c>
      <c r="H394" s="15"/>
      <c r="P394" s="3" t="str">
        <f>IFERROR(__xludf.DUMMYFUNCTION("IF(OR(F394="""",F394=""Seleccionar..""),"""",TRANSPOSE(FILTER(Productos!E:E,(Productos!F:F=D394)+(Productos!F:F=XLOOKUP(D394,Implementos!B:B,Implementos!C:C,""-"",0,1)))))"),"")</f>
        <v/>
      </c>
    </row>
    <row r="395" hidden="1">
      <c r="A395" s="38" t="str">
        <f t="shared" si="1"/>
        <v/>
      </c>
      <c r="B395" s="38" t="str">
        <f>IF(F395="","",SUMIF(Prearmados!E:E,F395,Prearmados!A:A))</f>
        <v/>
      </c>
      <c r="C395" s="38" t="str">
        <f>IF(F395="","",SUMIF(Productos!E:E,G395,Productos!A:A))</f>
        <v/>
      </c>
      <c r="D395" s="85" t="str">
        <f t="array" ref="D395">IF(OR(F395="",F395="Seleccionar.."),"",XLOOKUP(F395,Prearmados!E:E,Prearmados!F:F,"",0,1))</f>
        <v/>
      </c>
      <c r="E395" s="83" t="str">
        <f>IF(H395="","",SUMIF(Precio_Productos!K:K,C395,Precio_Productos!J:J)*H395)</f>
        <v/>
      </c>
      <c r="F395" s="86" t="str">
        <f t="shared" si="2"/>
        <v/>
      </c>
      <c r="G395" s="86" t="str">
        <f t="shared" si="3"/>
        <v/>
      </c>
      <c r="H395" s="15"/>
      <c r="P395" s="3" t="str">
        <f>IFERROR(__xludf.DUMMYFUNCTION("IF(OR(F395="""",F395=""Seleccionar..""),"""",TRANSPOSE(FILTER(Productos!E:E,(Productos!F:F=D395)+(Productos!F:F=XLOOKUP(D395,Implementos!B:B,Implementos!C:C,""-"",0,1)))))"),"")</f>
        <v/>
      </c>
    </row>
    <row r="396" hidden="1">
      <c r="A396" s="38" t="str">
        <f t="shared" si="1"/>
        <v/>
      </c>
      <c r="B396" s="38" t="str">
        <f>IF(F396="","",SUMIF(Prearmados!E:E,F396,Prearmados!A:A))</f>
        <v/>
      </c>
      <c r="C396" s="38" t="str">
        <f>IF(F396="","",SUMIF(Productos!E:E,G396,Productos!A:A))</f>
        <v/>
      </c>
      <c r="D396" s="85" t="str">
        <f t="array" ref="D396">IF(OR(F396="",F396="Seleccionar.."),"",XLOOKUP(F396,Prearmados!E:E,Prearmados!F:F,"",0,1))</f>
        <v/>
      </c>
      <c r="E396" s="83" t="str">
        <f>IF(H396="","",SUMIF(Precio_Productos!K:K,C396,Precio_Productos!J:J)*H396)</f>
        <v/>
      </c>
      <c r="F396" s="86" t="str">
        <f t="shared" si="2"/>
        <v/>
      </c>
      <c r="G396" s="86" t="str">
        <f t="shared" si="3"/>
        <v/>
      </c>
      <c r="H396" s="15"/>
      <c r="P396" s="3" t="str">
        <f>IFERROR(__xludf.DUMMYFUNCTION("IF(OR(F396="""",F396=""Seleccionar..""),"""",TRANSPOSE(FILTER(Productos!E:E,(Productos!F:F=D396)+(Productos!F:F=XLOOKUP(D396,Implementos!B:B,Implementos!C:C,""-"",0,1)))))"),"")</f>
        <v/>
      </c>
    </row>
    <row r="397" hidden="1">
      <c r="A397" s="38" t="str">
        <f t="shared" si="1"/>
        <v/>
      </c>
      <c r="B397" s="38" t="str">
        <f>IF(F397="","",SUMIF(Prearmados!E:E,F397,Prearmados!A:A))</f>
        <v/>
      </c>
      <c r="C397" s="38" t="str">
        <f>IF(F397="","",SUMIF(Productos!E:E,G397,Productos!A:A))</f>
        <v/>
      </c>
      <c r="D397" s="85" t="str">
        <f t="array" ref="D397">IF(OR(F397="",F397="Seleccionar.."),"",XLOOKUP(F397,Prearmados!E:E,Prearmados!F:F,"",0,1))</f>
        <v/>
      </c>
      <c r="E397" s="83" t="str">
        <f>IF(H397="","",SUMIF(Precio_Productos!K:K,C397,Precio_Productos!J:J)*H397)</f>
        <v/>
      </c>
      <c r="F397" s="86" t="str">
        <f t="shared" si="2"/>
        <v/>
      </c>
      <c r="G397" s="86" t="str">
        <f t="shared" si="3"/>
        <v/>
      </c>
      <c r="H397" s="15"/>
      <c r="P397" s="3" t="str">
        <f>IFERROR(__xludf.DUMMYFUNCTION("IF(OR(F397="""",F397=""Seleccionar..""),"""",TRANSPOSE(FILTER(Productos!E:E,(Productos!F:F=D397)+(Productos!F:F=XLOOKUP(D397,Implementos!B:B,Implementos!C:C,""-"",0,1)))))"),"")</f>
        <v/>
      </c>
    </row>
    <row r="398" hidden="1">
      <c r="A398" s="38" t="str">
        <f t="shared" si="1"/>
        <v/>
      </c>
      <c r="B398" s="38" t="str">
        <f>IF(F398="","",SUMIF(Prearmados!E:E,F398,Prearmados!A:A))</f>
        <v/>
      </c>
      <c r="C398" s="38" t="str">
        <f>IF(F398="","",SUMIF(Productos!E:E,G398,Productos!A:A))</f>
        <v/>
      </c>
      <c r="D398" s="85" t="str">
        <f t="array" ref="D398">IF(OR(F398="",F398="Seleccionar.."),"",XLOOKUP(F398,Prearmados!E:E,Prearmados!F:F,"",0,1))</f>
        <v/>
      </c>
      <c r="E398" s="83" t="str">
        <f>IF(H398="","",SUMIF(Precio_Productos!K:K,C398,Precio_Productos!J:J)*H398)</f>
        <v/>
      </c>
      <c r="F398" s="86" t="str">
        <f t="shared" si="2"/>
        <v/>
      </c>
      <c r="G398" s="86" t="str">
        <f t="shared" si="3"/>
        <v/>
      </c>
      <c r="H398" s="15"/>
      <c r="P398" s="3" t="str">
        <f>IFERROR(__xludf.DUMMYFUNCTION("IF(OR(F398="""",F398=""Seleccionar..""),"""",TRANSPOSE(FILTER(Productos!E:E,(Productos!F:F=D398)+(Productos!F:F=XLOOKUP(D398,Implementos!B:B,Implementos!C:C,""-"",0,1)))))"),"")</f>
        <v/>
      </c>
    </row>
    <row r="399" hidden="1">
      <c r="A399" s="38" t="str">
        <f t="shared" si="1"/>
        <v/>
      </c>
      <c r="B399" s="38" t="str">
        <f>IF(F399="","",SUMIF(Prearmados!E:E,F399,Prearmados!A:A))</f>
        <v/>
      </c>
      <c r="C399" s="38" t="str">
        <f>IF(F399="","",SUMIF(Productos!E:E,G399,Productos!A:A))</f>
        <v/>
      </c>
      <c r="D399" s="85" t="str">
        <f t="array" ref="D399">IF(OR(F399="",F399="Seleccionar.."),"",XLOOKUP(F399,Prearmados!E:E,Prearmados!F:F,"",0,1))</f>
        <v/>
      </c>
      <c r="E399" s="83" t="str">
        <f>IF(H399="","",SUMIF(Precio_Productos!K:K,C399,Precio_Productos!J:J)*H399)</f>
        <v/>
      </c>
      <c r="F399" s="86" t="str">
        <f t="shared" si="2"/>
        <v/>
      </c>
      <c r="G399" s="86" t="str">
        <f t="shared" si="3"/>
        <v/>
      </c>
      <c r="H399" s="15"/>
      <c r="P399" s="3" t="str">
        <f>IFERROR(__xludf.DUMMYFUNCTION("IF(OR(F399="""",F399=""Seleccionar..""),"""",TRANSPOSE(FILTER(Productos!E:E,(Productos!F:F=D399)+(Productos!F:F=XLOOKUP(D399,Implementos!B:B,Implementos!C:C,""-"",0,1)))))"),"")</f>
        <v/>
      </c>
    </row>
    <row r="400" hidden="1">
      <c r="A400" s="38" t="str">
        <f t="shared" si="1"/>
        <v/>
      </c>
      <c r="B400" s="38" t="str">
        <f>IF(F400="","",SUMIF(Prearmados!E:E,F400,Prearmados!A:A))</f>
        <v/>
      </c>
      <c r="C400" s="38" t="str">
        <f>IF(F400="","",SUMIF(Productos!E:E,G400,Productos!A:A))</f>
        <v/>
      </c>
      <c r="D400" s="85" t="str">
        <f t="array" ref="D400">IF(OR(F400="",F400="Seleccionar.."),"",XLOOKUP(F400,Prearmados!E:E,Prearmados!F:F,"",0,1))</f>
        <v/>
      </c>
      <c r="E400" s="83" t="str">
        <f>IF(H400="","",SUMIF(Precio_Productos!K:K,C400,Precio_Productos!J:J)*H400)</f>
        <v/>
      </c>
      <c r="F400" s="86" t="str">
        <f t="shared" si="2"/>
        <v/>
      </c>
      <c r="G400" s="86" t="str">
        <f t="shared" si="3"/>
        <v/>
      </c>
      <c r="H400" s="15"/>
      <c r="P400" s="3" t="str">
        <f>IFERROR(__xludf.DUMMYFUNCTION("IF(OR(F400="""",F400=""Seleccionar..""),"""",TRANSPOSE(FILTER(Productos!E:E,(Productos!F:F=D400)+(Productos!F:F=XLOOKUP(D400,Implementos!B:B,Implementos!C:C,""-"",0,1)))))"),"")</f>
        <v/>
      </c>
    </row>
    <row r="401" hidden="1">
      <c r="A401" s="38" t="str">
        <f t="shared" si="1"/>
        <v/>
      </c>
      <c r="B401" s="38" t="str">
        <f>IF(F401="","",SUMIF(Prearmados!E:E,F401,Prearmados!A:A))</f>
        <v/>
      </c>
      <c r="C401" s="38" t="str">
        <f>IF(F401="","",SUMIF(Productos!E:E,G401,Productos!A:A))</f>
        <v/>
      </c>
      <c r="D401" s="85" t="str">
        <f t="array" ref="D401">IF(OR(F401="",F401="Seleccionar.."),"",XLOOKUP(F401,Prearmados!E:E,Prearmados!F:F,"",0,1))</f>
        <v/>
      </c>
      <c r="E401" s="83" t="str">
        <f>IF(H401="","",SUMIF(Precio_Productos!K:K,C401,Precio_Productos!J:J)*H401)</f>
        <v/>
      </c>
      <c r="F401" s="86" t="str">
        <f t="shared" si="2"/>
        <v/>
      </c>
      <c r="G401" s="86" t="str">
        <f t="shared" si="3"/>
        <v/>
      </c>
      <c r="H401" s="15"/>
      <c r="P401" s="3" t="str">
        <f>IFERROR(__xludf.DUMMYFUNCTION("IF(OR(F401="""",F401=""Seleccionar..""),"""",TRANSPOSE(FILTER(Productos!E:E,(Productos!F:F=D401)+(Productos!F:F=XLOOKUP(D401,Implementos!B:B,Implementos!C:C,""-"",0,1)))))"),"")</f>
        <v/>
      </c>
    </row>
    <row r="402" hidden="1">
      <c r="A402" s="38" t="str">
        <f t="shared" si="1"/>
        <v/>
      </c>
      <c r="B402" s="38" t="str">
        <f>IF(F402="","",SUMIF(Prearmados!E:E,F402,Prearmados!A:A))</f>
        <v/>
      </c>
      <c r="C402" s="38" t="str">
        <f>IF(F402="","",SUMIF(Productos!E:E,G402,Productos!A:A))</f>
        <v/>
      </c>
      <c r="D402" s="85" t="str">
        <f t="array" ref="D402">IF(OR(F402="",F402="Seleccionar.."),"",XLOOKUP(F402,Prearmados!E:E,Prearmados!F:F,"",0,1))</f>
        <v/>
      </c>
      <c r="E402" s="83" t="str">
        <f>IF(H402="","",SUMIF(Precio_Productos!K:K,C402,Precio_Productos!J:J)*H402)</f>
        <v/>
      </c>
      <c r="F402" s="86" t="str">
        <f t="shared" si="2"/>
        <v/>
      </c>
      <c r="G402" s="86" t="str">
        <f t="shared" si="3"/>
        <v/>
      </c>
      <c r="H402" s="15"/>
      <c r="P402" s="3" t="str">
        <f>IFERROR(__xludf.DUMMYFUNCTION("IF(OR(F402="""",F402=""Seleccionar..""),"""",TRANSPOSE(FILTER(Productos!E:E,(Productos!F:F=D402)+(Productos!F:F=XLOOKUP(D402,Implementos!B:B,Implementos!C:C,""-"",0,1)))))"),"")</f>
        <v/>
      </c>
    </row>
    <row r="403" hidden="1">
      <c r="A403" s="38" t="str">
        <f t="shared" si="1"/>
        <v/>
      </c>
      <c r="B403" s="38" t="str">
        <f>IF(F403="","",SUMIF(Prearmados!E:E,F403,Prearmados!A:A))</f>
        <v/>
      </c>
      <c r="C403" s="38" t="str">
        <f>IF(F403="","",SUMIF(Productos!E:E,G403,Productos!A:A))</f>
        <v/>
      </c>
      <c r="D403" s="85" t="str">
        <f t="array" ref="D403">IF(OR(F403="",F403="Seleccionar.."),"",XLOOKUP(F403,Prearmados!E:E,Prearmados!F:F,"",0,1))</f>
        <v/>
      </c>
      <c r="E403" s="83" t="str">
        <f>IF(H403="","",SUMIF(Precio_Productos!K:K,C403,Precio_Productos!J:J)*H403)</f>
        <v/>
      </c>
      <c r="F403" s="86" t="str">
        <f t="shared" si="2"/>
        <v/>
      </c>
      <c r="G403" s="86" t="str">
        <f t="shared" si="3"/>
        <v/>
      </c>
      <c r="H403" s="15"/>
      <c r="P403" s="3" t="str">
        <f>IFERROR(__xludf.DUMMYFUNCTION("IF(OR(F403="""",F403=""Seleccionar..""),"""",TRANSPOSE(FILTER(Productos!E:E,(Productos!F:F=D403)+(Productos!F:F=XLOOKUP(D403,Implementos!B:B,Implementos!C:C,""-"",0,1)))))"),"")</f>
        <v/>
      </c>
    </row>
    <row r="404" hidden="1">
      <c r="A404" s="38" t="str">
        <f t="shared" si="1"/>
        <v/>
      </c>
      <c r="B404" s="38" t="str">
        <f>IF(F404="","",SUMIF(Prearmados!E:E,F404,Prearmados!A:A))</f>
        <v/>
      </c>
      <c r="C404" s="38" t="str">
        <f>IF(F404="","",SUMIF(Productos!E:E,G404,Productos!A:A))</f>
        <v/>
      </c>
      <c r="D404" s="85" t="str">
        <f t="array" ref="D404">IF(OR(F404="",F404="Seleccionar.."),"",XLOOKUP(F404,Prearmados!E:E,Prearmados!F:F,"",0,1))</f>
        <v/>
      </c>
      <c r="E404" s="83" t="str">
        <f>IF(H404="","",SUMIF(Precio_Productos!K:K,C404,Precio_Productos!J:J)*H404)</f>
        <v/>
      </c>
      <c r="F404" s="86" t="str">
        <f t="shared" si="2"/>
        <v/>
      </c>
      <c r="G404" s="86" t="str">
        <f t="shared" si="3"/>
        <v/>
      </c>
      <c r="H404" s="15"/>
      <c r="P404" s="3" t="str">
        <f>IFERROR(__xludf.DUMMYFUNCTION("IF(OR(F404="""",F404=""Seleccionar..""),"""",TRANSPOSE(FILTER(Productos!E:E,(Productos!F:F=D404)+(Productos!F:F=XLOOKUP(D404,Implementos!B:B,Implementos!C:C,""-"",0,1)))))"),"")</f>
        <v/>
      </c>
    </row>
    <row r="405" hidden="1">
      <c r="A405" s="38" t="str">
        <f t="shared" si="1"/>
        <v/>
      </c>
      <c r="B405" s="38" t="str">
        <f>IF(F405="","",SUMIF(Prearmados!E:E,F405,Prearmados!A:A))</f>
        <v/>
      </c>
      <c r="C405" s="38" t="str">
        <f>IF(F405="","",SUMIF(Productos!E:E,G405,Productos!A:A))</f>
        <v/>
      </c>
      <c r="D405" s="85" t="str">
        <f t="array" ref="D405">IF(OR(F405="",F405="Seleccionar.."),"",XLOOKUP(F405,Prearmados!E:E,Prearmados!F:F,"",0,1))</f>
        <v/>
      </c>
      <c r="E405" s="83" t="str">
        <f>IF(H405="","",SUMIF(Precio_Productos!K:K,C405,Precio_Productos!J:J)*H405)</f>
        <v/>
      </c>
      <c r="F405" s="86" t="str">
        <f t="shared" si="2"/>
        <v/>
      </c>
      <c r="G405" s="86" t="str">
        <f t="shared" si="3"/>
        <v/>
      </c>
      <c r="H405" s="15"/>
      <c r="P405" s="3" t="str">
        <f>IFERROR(__xludf.DUMMYFUNCTION("IF(OR(F405="""",F405=""Seleccionar..""),"""",TRANSPOSE(FILTER(Productos!E:E,(Productos!F:F=D405)+(Productos!F:F=XLOOKUP(D405,Implementos!B:B,Implementos!C:C,""-"",0,1)))))"),"")</f>
        <v/>
      </c>
    </row>
    <row r="406" hidden="1">
      <c r="A406" s="38" t="str">
        <f t="shared" si="1"/>
        <v/>
      </c>
      <c r="B406" s="38" t="str">
        <f>IF(F406="","",SUMIF(Prearmados!E:E,F406,Prearmados!A:A))</f>
        <v/>
      </c>
      <c r="C406" s="38" t="str">
        <f>IF(F406="","",SUMIF(Productos!E:E,G406,Productos!A:A))</f>
        <v/>
      </c>
      <c r="D406" s="85" t="str">
        <f t="array" ref="D406">IF(OR(F406="",F406="Seleccionar.."),"",XLOOKUP(F406,Prearmados!E:E,Prearmados!F:F,"",0,1))</f>
        <v/>
      </c>
      <c r="E406" s="83" t="str">
        <f>IF(H406="","",SUMIF(Precio_Productos!K:K,C406,Precio_Productos!J:J)*H406)</f>
        <v/>
      </c>
      <c r="F406" s="86" t="str">
        <f t="shared" si="2"/>
        <v/>
      </c>
      <c r="G406" s="86" t="str">
        <f t="shared" si="3"/>
        <v/>
      </c>
      <c r="H406" s="15"/>
      <c r="P406" s="3" t="str">
        <f>IFERROR(__xludf.DUMMYFUNCTION("IF(OR(F406="""",F406=""Seleccionar..""),"""",TRANSPOSE(FILTER(Productos!E:E,(Productos!F:F=D406)+(Productos!F:F=XLOOKUP(D406,Implementos!B:B,Implementos!C:C,""-"",0,1)))))"),"")</f>
        <v/>
      </c>
    </row>
    <row r="407" hidden="1">
      <c r="A407" s="38" t="str">
        <f t="shared" si="1"/>
        <v/>
      </c>
      <c r="B407" s="38" t="str">
        <f>IF(F407="","",SUMIF(Prearmados!E:E,F407,Prearmados!A:A))</f>
        <v/>
      </c>
      <c r="C407" s="38" t="str">
        <f>IF(F407="","",SUMIF(Productos!E:E,G407,Productos!A:A))</f>
        <v/>
      </c>
      <c r="D407" s="85" t="str">
        <f t="array" ref="D407">IF(OR(F407="",F407="Seleccionar.."),"",XLOOKUP(F407,Prearmados!E:E,Prearmados!F:F,"",0,1))</f>
        <v/>
      </c>
      <c r="E407" s="83" t="str">
        <f>IF(H407="","",SUMIF(Precio_Productos!K:K,C407,Precio_Productos!J:J)*H407)</f>
        <v/>
      </c>
      <c r="F407" s="86" t="str">
        <f t="shared" si="2"/>
        <v/>
      </c>
      <c r="G407" s="86" t="str">
        <f t="shared" si="3"/>
        <v/>
      </c>
      <c r="H407" s="15"/>
      <c r="P407" s="3" t="str">
        <f>IFERROR(__xludf.DUMMYFUNCTION("IF(OR(F407="""",F407=""Seleccionar..""),"""",TRANSPOSE(FILTER(Productos!E:E,(Productos!F:F=D407)+(Productos!F:F=XLOOKUP(D407,Implementos!B:B,Implementos!C:C,""-"",0,1)))))"),"")</f>
        <v/>
      </c>
    </row>
    <row r="408" hidden="1">
      <c r="A408" s="38" t="str">
        <f t="shared" si="1"/>
        <v/>
      </c>
      <c r="B408" s="38" t="str">
        <f>IF(F408="","",SUMIF(Prearmados!E:E,F408,Prearmados!A:A))</f>
        <v/>
      </c>
      <c r="C408" s="38" t="str">
        <f>IF(F408="","",SUMIF(Productos!E:E,G408,Productos!A:A))</f>
        <v/>
      </c>
      <c r="D408" s="85" t="str">
        <f t="array" ref="D408">IF(OR(F408="",F408="Seleccionar.."),"",XLOOKUP(F408,Prearmados!E:E,Prearmados!F:F,"",0,1))</f>
        <v/>
      </c>
      <c r="E408" s="83" t="str">
        <f>IF(H408="","",SUMIF(Precio_Productos!K:K,C408,Precio_Productos!J:J)*H408)</f>
        <v/>
      </c>
      <c r="F408" s="86" t="str">
        <f t="shared" si="2"/>
        <v/>
      </c>
      <c r="G408" s="86" t="str">
        <f t="shared" si="3"/>
        <v/>
      </c>
      <c r="H408" s="15"/>
      <c r="P408" s="3" t="str">
        <f>IFERROR(__xludf.DUMMYFUNCTION("IF(OR(F408="""",F408=""Seleccionar..""),"""",TRANSPOSE(FILTER(Productos!E:E,(Productos!F:F=D408)+(Productos!F:F=XLOOKUP(D408,Implementos!B:B,Implementos!C:C,""-"",0,1)))))"),"")</f>
        <v/>
      </c>
    </row>
    <row r="409" hidden="1">
      <c r="A409" s="38" t="str">
        <f t="shared" si="1"/>
        <v/>
      </c>
      <c r="B409" s="38" t="str">
        <f>IF(F409="","",SUMIF(Prearmados!E:E,F409,Prearmados!A:A))</f>
        <v/>
      </c>
      <c r="C409" s="38" t="str">
        <f>IF(F409="","",SUMIF(Productos!E:E,G409,Productos!A:A))</f>
        <v/>
      </c>
      <c r="D409" s="85" t="str">
        <f t="array" ref="D409">IF(OR(F409="",F409="Seleccionar.."),"",XLOOKUP(F409,Prearmados!E:E,Prearmados!F:F,"",0,1))</f>
        <v/>
      </c>
      <c r="E409" s="83" t="str">
        <f>IF(H409="","",SUMIF(Precio_Productos!K:K,C409,Precio_Productos!J:J)*H409)</f>
        <v/>
      </c>
      <c r="F409" s="86" t="str">
        <f t="shared" si="2"/>
        <v/>
      </c>
      <c r="G409" s="86" t="str">
        <f t="shared" si="3"/>
        <v/>
      </c>
      <c r="H409" s="15"/>
      <c r="P409" s="3" t="str">
        <f>IFERROR(__xludf.DUMMYFUNCTION("IF(OR(F409="""",F409=""Seleccionar..""),"""",TRANSPOSE(FILTER(Productos!E:E,(Productos!F:F=D409)+(Productos!F:F=XLOOKUP(D409,Implementos!B:B,Implementos!C:C,""-"",0,1)))))"),"")</f>
        <v/>
      </c>
    </row>
    <row r="410" hidden="1">
      <c r="A410" s="38" t="str">
        <f t="shared" si="1"/>
        <v/>
      </c>
      <c r="B410" s="38" t="str">
        <f>IF(F410="","",SUMIF(Prearmados!E:E,F410,Prearmados!A:A))</f>
        <v/>
      </c>
      <c r="C410" s="38" t="str">
        <f>IF(F410="","",SUMIF(Productos!E:E,G410,Productos!A:A))</f>
        <v/>
      </c>
      <c r="D410" s="85" t="str">
        <f t="array" ref="D410">IF(OR(F410="",F410="Seleccionar.."),"",XLOOKUP(F410,Prearmados!E:E,Prearmados!F:F,"",0,1))</f>
        <v/>
      </c>
      <c r="E410" s="83" t="str">
        <f>IF(H410="","",SUMIF(Precio_Productos!K:K,C410,Precio_Productos!J:J)*H410)</f>
        <v/>
      </c>
      <c r="F410" s="86" t="str">
        <f t="shared" si="2"/>
        <v/>
      </c>
      <c r="G410" s="86" t="str">
        <f t="shared" si="3"/>
        <v/>
      </c>
      <c r="H410" s="15"/>
      <c r="P410" s="3" t="str">
        <f>IFERROR(__xludf.DUMMYFUNCTION("IF(OR(F410="""",F410=""Seleccionar..""),"""",TRANSPOSE(FILTER(Productos!E:E,(Productos!F:F=D410)+(Productos!F:F=XLOOKUP(D410,Implementos!B:B,Implementos!C:C,""-"",0,1)))))"),"")</f>
        <v/>
      </c>
    </row>
    <row r="411" hidden="1">
      <c r="A411" s="38" t="str">
        <f t="shared" si="1"/>
        <v/>
      </c>
      <c r="B411" s="38" t="str">
        <f>IF(F411="","",SUMIF(Prearmados!E:E,F411,Prearmados!A:A))</f>
        <v/>
      </c>
      <c r="C411" s="38" t="str">
        <f>IF(F411="","",SUMIF(Productos!E:E,G411,Productos!A:A))</f>
        <v/>
      </c>
      <c r="D411" s="85" t="str">
        <f t="array" ref="D411">IF(OR(F411="",F411="Seleccionar.."),"",XLOOKUP(F411,Prearmados!E:E,Prearmados!F:F,"",0,1))</f>
        <v/>
      </c>
      <c r="E411" s="83" t="str">
        <f>IF(H411="","",SUMIF(Precio_Productos!K:K,C411,Precio_Productos!J:J)*H411)</f>
        <v/>
      </c>
      <c r="F411" s="86" t="str">
        <f t="shared" si="2"/>
        <v/>
      </c>
      <c r="G411" s="86" t="str">
        <f t="shared" si="3"/>
        <v/>
      </c>
      <c r="H411" s="15"/>
      <c r="P411" s="3" t="str">
        <f>IFERROR(__xludf.DUMMYFUNCTION("IF(OR(F411="""",F411=""Seleccionar..""),"""",TRANSPOSE(FILTER(Productos!E:E,(Productos!F:F=D411)+(Productos!F:F=XLOOKUP(D411,Implementos!B:B,Implementos!C:C,""-"",0,1)))))"),"")</f>
        <v/>
      </c>
    </row>
    <row r="412" hidden="1">
      <c r="A412" s="38" t="str">
        <f t="shared" si="1"/>
        <v/>
      </c>
      <c r="B412" s="38" t="str">
        <f>IF(F412="","",SUMIF(Prearmados!E:E,F412,Prearmados!A:A))</f>
        <v/>
      </c>
      <c r="C412" s="38" t="str">
        <f>IF(F412="","",SUMIF(Productos!E:E,G412,Productos!A:A))</f>
        <v/>
      </c>
      <c r="D412" s="85" t="str">
        <f t="array" ref="D412">IF(OR(F412="",F412="Seleccionar.."),"",XLOOKUP(F412,Prearmados!E:E,Prearmados!F:F,"",0,1))</f>
        <v/>
      </c>
      <c r="E412" s="83" t="str">
        <f>IF(H412="","",SUMIF(Precio_Productos!K:K,C412,Precio_Productos!J:J)*H412)</f>
        <v/>
      </c>
      <c r="F412" s="86" t="str">
        <f t="shared" si="2"/>
        <v/>
      </c>
      <c r="G412" s="86" t="str">
        <f t="shared" si="3"/>
        <v/>
      </c>
      <c r="H412" s="15"/>
      <c r="P412" s="3" t="str">
        <f>IFERROR(__xludf.DUMMYFUNCTION("IF(OR(F412="""",F412=""Seleccionar..""),"""",TRANSPOSE(FILTER(Productos!E:E,(Productos!F:F=D412)+(Productos!F:F=XLOOKUP(D412,Implementos!B:B,Implementos!C:C,""-"",0,1)))))"),"")</f>
        <v/>
      </c>
    </row>
    <row r="413" hidden="1">
      <c r="A413" s="38" t="str">
        <f t="shared" si="1"/>
        <v/>
      </c>
      <c r="B413" s="38" t="str">
        <f>IF(F413="","",SUMIF(Prearmados!E:E,F413,Prearmados!A:A))</f>
        <v/>
      </c>
      <c r="C413" s="38" t="str">
        <f>IF(F413="","",SUMIF(Productos!E:E,G413,Productos!A:A))</f>
        <v/>
      </c>
      <c r="D413" s="85" t="str">
        <f t="array" ref="D413">IF(OR(F413="",F413="Seleccionar.."),"",XLOOKUP(F413,Prearmados!E:E,Prearmados!F:F,"",0,1))</f>
        <v/>
      </c>
      <c r="E413" s="83" t="str">
        <f>IF(H413="","",SUMIF(Precio_Productos!K:K,C413,Precio_Productos!J:J)*H413)</f>
        <v/>
      </c>
      <c r="F413" s="86" t="str">
        <f t="shared" si="2"/>
        <v/>
      </c>
      <c r="G413" s="86" t="str">
        <f t="shared" si="3"/>
        <v/>
      </c>
      <c r="H413" s="15"/>
      <c r="P413" s="3" t="str">
        <f>IFERROR(__xludf.DUMMYFUNCTION("IF(OR(F413="""",F413=""Seleccionar..""),"""",TRANSPOSE(FILTER(Productos!E:E,(Productos!F:F=D413)+(Productos!F:F=XLOOKUP(D413,Implementos!B:B,Implementos!C:C,""-"",0,1)))))"),"")</f>
        <v/>
      </c>
    </row>
    <row r="414" hidden="1">
      <c r="A414" s="38" t="str">
        <f t="shared" si="1"/>
        <v/>
      </c>
      <c r="B414" s="38" t="str">
        <f>IF(F414="","",SUMIF(Prearmados!E:E,F414,Prearmados!A:A))</f>
        <v/>
      </c>
      <c r="C414" s="38" t="str">
        <f>IF(F414="","",SUMIF(Productos!E:E,G414,Productos!A:A))</f>
        <v/>
      </c>
      <c r="D414" s="85" t="str">
        <f t="array" ref="D414">IF(OR(F414="",F414="Seleccionar.."),"",XLOOKUP(F414,Prearmados!E:E,Prearmados!F:F,"",0,1))</f>
        <v/>
      </c>
      <c r="E414" s="83" t="str">
        <f>IF(H414="","",SUMIF(Precio_Productos!K:K,C414,Precio_Productos!J:J)*H414)</f>
        <v/>
      </c>
      <c r="F414" s="86" t="str">
        <f t="shared" si="2"/>
        <v/>
      </c>
      <c r="G414" s="86" t="str">
        <f t="shared" si="3"/>
        <v/>
      </c>
      <c r="H414" s="15"/>
      <c r="P414" s="3" t="str">
        <f>IFERROR(__xludf.DUMMYFUNCTION("IF(OR(F414="""",F414=""Seleccionar..""),"""",TRANSPOSE(FILTER(Productos!E:E,(Productos!F:F=D414)+(Productos!F:F=XLOOKUP(D414,Implementos!B:B,Implementos!C:C,""-"",0,1)))))"),"")</f>
        <v/>
      </c>
    </row>
    <row r="415" hidden="1">
      <c r="A415" s="38" t="str">
        <f t="shared" si="1"/>
        <v/>
      </c>
      <c r="B415" s="38" t="str">
        <f>IF(F415="","",SUMIF(Prearmados!E:E,F415,Prearmados!A:A))</f>
        <v/>
      </c>
      <c r="C415" s="38" t="str">
        <f>IF(F415="","",SUMIF(Productos!E:E,G415,Productos!A:A))</f>
        <v/>
      </c>
      <c r="D415" s="85" t="str">
        <f t="array" ref="D415">IF(OR(F415="",F415="Seleccionar.."),"",XLOOKUP(F415,Prearmados!E:E,Prearmados!F:F,"",0,1))</f>
        <v/>
      </c>
      <c r="E415" s="83" t="str">
        <f>IF(H415="","",SUMIF(Precio_Productos!K:K,C415,Precio_Productos!J:J)*H415)</f>
        <v/>
      </c>
      <c r="F415" s="86" t="str">
        <f t="shared" si="2"/>
        <v/>
      </c>
      <c r="G415" s="86" t="str">
        <f t="shared" si="3"/>
        <v/>
      </c>
      <c r="H415" s="15"/>
      <c r="P415" s="3" t="str">
        <f>IFERROR(__xludf.DUMMYFUNCTION("IF(OR(F415="""",F415=""Seleccionar..""),"""",TRANSPOSE(FILTER(Productos!E:E,(Productos!F:F=D415)+(Productos!F:F=XLOOKUP(D415,Implementos!B:B,Implementos!C:C,""-"",0,1)))))"),"")</f>
        <v/>
      </c>
    </row>
    <row r="416" hidden="1">
      <c r="A416" s="38" t="str">
        <f t="shared" si="1"/>
        <v/>
      </c>
      <c r="B416" s="38" t="str">
        <f>IF(F416="","",SUMIF(Prearmados!E:E,F416,Prearmados!A:A))</f>
        <v/>
      </c>
      <c r="C416" s="38" t="str">
        <f>IF(F416="","",SUMIF(Productos!E:E,G416,Productos!A:A))</f>
        <v/>
      </c>
      <c r="D416" s="85" t="str">
        <f t="array" ref="D416">IF(OR(F416="",F416="Seleccionar.."),"",XLOOKUP(F416,Prearmados!E:E,Prearmados!F:F,"",0,1))</f>
        <v/>
      </c>
      <c r="E416" s="83" t="str">
        <f>IF(H416="","",SUMIF(Precio_Productos!K:K,C416,Precio_Productos!J:J)*H416)</f>
        <v/>
      </c>
      <c r="F416" s="86" t="str">
        <f t="shared" si="2"/>
        <v/>
      </c>
      <c r="G416" s="86" t="str">
        <f t="shared" si="3"/>
        <v/>
      </c>
      <c r="H416" s="15"/>
      <c r="P416" s="3" t="str">
        <f>IFERROR(__xludf.DUMMYFUNCTION("IF(OR(F416="""",F416=""Seleccionar..""),"""",TRANSPOSE(FILTER(Productos!E:E,(Productos!F:F=D416)+(Productos!F:F=XLOOKUP(D416,Implementos!B:B,Implementos!C:C,""-"",0,1)))))"),"")</f>
        <v/>
      </c>
    </row>
    <row r="417" hidden="1">
      <c r="A417" s="38" t="str">
        <f t="shared" si="1"/>
        <v/>
      </c>
      <c r="B417" s="38" t="str">
        <f>IF(F417="","",SUMIF(Prearmados!E:E,F417,Prearmados!A:A))</f>
        <v/>
      </c>
      <c r="C417" s="38" t="str">
        <f>IF(F417="","",SUMIF(Productos!E:E,G417,Productos!A:A))</f>
        <v/>
      </c>
      <c r="D417" s="85" t="str">
        <f t="array" ref="D417">IF(OR(F417="",F417="Seleccionar.."),"",XLOOKUP(F417,Prearmados!E:E,Prearmados!F:F,"",0,1))</f>
        <v/>
      </c>
      <c r="E417" s="83" t="str">
        <f>IF(H417="","",SUMIF(Precio_Productos!K:K,C417,Precio_Productos!J:J)*H417)</f>
        <v/>
      </c>
      <c r="F417" s="86" t="str">
        <f t="shared" si="2"/>
        <v/>
      </c>
      <c r="G417" s="86" t="str">
        <f t="shared" si="3"/>
        <v/>
      </c>
      <c r="H417" s="15"/>
      <c r="P417" s="3" t="str">
        <f>IFERROR(__xludf.DUMMYFUNCTION("IF(OR(F417="""",F417=""Seleccionar..""),"""",TRANSPOSE(FILTER(Productos!E:E,(Productos!F:F=D417)+(Productos!F:F=XLOOKUP(D417,Implementos!B:B,Implementos!C:C,""-"",0,1)))))"),"")</f>
        <v/>
      </c>
    </row>
    <row r="418" hidden="1">
      <c r="A418" s="38" t="str">
        <f t="shared" si="1"/>
        <v/>
      </c>
      <c r="B418" s="38" t="str">
        <f>IF(F418="","",SUMIF(Prearmados!E:E,F418,Prearmados!A:A))</f>
        <v/>
      </c>
      <c r="C418" s="38" t="str">
        <f>IF(F418="","",SUMIF(Productos!E:E,G418,Productos!A:A))</f>
        <v/>
      </c>
      <c r="D418" s="85" t="str">
        <f t="array" ref="D418">IF(OR(F418="",F418="Seleccionar.."),"",XLOOKUP(F418,Prearmados!E:E,Prearmados!F:F,"",0,1))</f>
        <v/>
      </c>
      <c r="E418" s="83" t="str">
        <f>IF(H418="","",SUMIF(Precio_Productos!K:K,C418,Precio_Productos!J:J)*H418)</f>
        <v/>
      </c>
      <c r="F418" s="86" t="str">
        <f t="shared" si="2"/>
        <v/>
      </c>
      <c r="G418" s="86" t="str">
        <f t="shared" si="3"/>
        <v/>
      </c>
      <c r="H418" s="15"/>
      <c r="P418" s="3" t="str">
        <f>IFERROR(__xludf.DUMMYFUNCTION("IF(OR(F418="""",F418=""Seleccionar..""),"""",TRANSPOSE(FILTER(Productos!E:E,(Productos!F:F=D418)+(Productos!F:F=XLOOKUP(D418,Implementos!B:B,Implementos!C:C,""-"",0,1)))))"),"")</f>
        <v/>
      </c>
    </row>
    <row r="419" hidden="1">
      <c r="A419" s="38" t="str">
        <f t="shared" si="1"/>
        <v/>
      </c>
      <c r="B419" s="38" t="str">
        <f>IF(F419="","",SUMIF(Prearmados!E:E,F419,Prearmados!A:A))</f>
        <v/>
      </c>
      <c r="C419" s="38" t="str">
        <f>IF(F419="","",SUMIF(Productos!E:E,G419,Productos!A:A))</f>
        <v/>
      </c>
      <c r="D419" s="85" t="str">
        <f t="array" ref="D419">IF(OR(F419="",F419="Seleccionar.."),"",XLOOKUP(F419,Prearmados!E:E,Prearmados!F:F,"",0,1))</f>
        <v/>
      </c>
      <c r="E419" s="83" t="str">
        <f>IF(H419="","",SUMIF(Precio_Productos!K:K,C419,Precio_Productos!J:J)*H419)</f>
        <v/>
      </c>
      <c r="F419" s="86" t="str">
        <f t="shared" si="2"/>
        <v/>
      </c>
      <c r="G419" s="86" t="str">
        <f t="shared" si="3"/>
        <v/>
      </c>
      <c r="H419" s="15"/>
      <c r="P419" s="3" t="str">
        <f>IFERROR(__xludf.DUMMYFUNCTION("IF(OR(F419="""",F419=""Seleccionar..""),"""",TRANSPOSE(FILTER(Productos!E:E,(Productos!F:F=D419)+(Productos!F:F=XLOOKUP(D419,Implementos!B:B,Implementos!C:C,""-"",0,1)))))"),"")</f>
        <v/>
      </c>
    </row>
    <row r="420" hidden="1">
      <c r="A420" s="38" t="str">
        <f t="shared" si="1"/>
        <v/>
      </c>
      <c r="B420" s="38" t="str">
        <f>IF(F420="","",SUMIF(Prearmados!E:E,F420,Prearmados!A:A))</f>
        <v/>
      </c>
      <c r="C420" s="38" t="str">
        <f>IF(F420="","",SUMIF(Productos!E:E,G420,Productos!A:A))</f>
        <v/>
      </c>
      <c r="D420" s="85" t="str">
        <f t="array" ref="D420">IF(OR(F420="",F420="Seleccionar.."),"",XLOOKUP(F420,Prearmados!E:E,Prearmados!F:F,"",0,1))</f>
        <v/>
      </c>
      <c r="E420" s="83" t="str">
        <f>IF(H420="","",SUMIF(Precio_Productos!K:K,C420,Precio_Productos!J:J)*H420)</f>
        <v/>
      </c>
      <c r="F420" s="86" t="str">
        <f t="shared" si="2"/>
        <v/>
      </c>
      <c r="G420" s="86" t="str">
        <f t="shared" si="3"/>
        <v/>
      </c>
      <c r="H420" s="15"/>
      <c r="P420" s="3" t="str">
        <f>IFERROR(__xludf.DUMMYFUNCTION("IF(OR(F420="""",F420=""Seleccionar..""),"""",TRANSPOSE(FILTER(Productos!E:E,(Productos!F:F=D420)+(Productos!F:F=XLOOKUP(D420,Implementos!B:B,Implementos!C:C,""-"",0,1)))))"),"")</f>
        <v/>
      </c>
    </row>
    <row r="421" hidden="1">
      <c r="A421" s="38" t="str">
        <f t="shared" si="1"/>
        <v/>
      </c>
      <c r="B421" s="38" t="str">
        <f>IF(F421="","",SUMIF(Prearmados!E:E,F421,Prearmados!A:A))</f>
        <v/>
      </c>
      <c r="C421" s="38" t="str">
        <f>IF(F421="","",SUMIF(Productos!E:E,G421,Productos!A:A))</f>
        <v/>
      </c>
      <c r="D421" s="85" t="str">
        <f t="array" ref="D421">IF(OR(F421="",F421="Seleccionar.."),"",XLOOKUP(F421,Prearmados!E:E,Prearmados!F:F,"",0,1))</f>
        <v/>
      </c>
      <c r="E421" s="83" t="str">
        <f>IF(H421="","",SUMIF(Precio_Productos!K:K,C421,Precio_Productos!J:J)*H421)</f>
        <v/>
      </c>
      <c r="F421" s="86" t="str">
        <f t="shared" si="2"/>
        <v/>
      </c>
      <c r="G421" s="86" t="str">
        <f t="shared" si="3"/>
        <v/>
      </c>
      <c r="H421" s="15"/>
      <c r="P421" s="3" t="str">
        <f>IFERROR(__xludf.DUMMYFUNCTION("IF(OR(F421="""",F421=""Seleccionar..""),"""",TRANSPOSE(FILTER(Productos!E:E,(Productos!F:F=D421)+(Productos!F:F=XLOOKUP(D421,Implementos!B:B,Implementos!C:C,""-"",0,1)))))"),"")</f>
        <v/>
      </c>
    </row>
    <row r="422" hidden="1">
      <c r="A422" s="38" t="str">
        <f t="shared" si="1"/>
        <v/>
      </c>
      <c r="B422" s="38" t="str">
        <f>IF(F422="","",SUMIF(Prearmados!E:E,F422,Prearmados!A:A))</f>
        <v/>
      </c>
      <c r="C422" s="38" t="str">
        <f>IF(F422="","",SUMIF(Productos!E:E,G422,Productos!A:A))</f>
        <v/>
      </c>
      <c r="D422" s="85" t="str">
        <f t="array" ref="D422">IF(OR(F422="",F422="Seleccionar.."),"",XLOOKUP(F422,Prearmados!E:E,Prearmados!F:F,"",0,1))</f>
        <v/>
      </c>
      <c r="E422" s="83" t="str">
        <f>IF(H422="","",SUMIF(Precio_Productos!K:K,C422,Precio_Productos!J:J)*H422)</f>
        <v/>
      </c>
      <c r="F422" s="86" t="str">
        <f t="shared" si="2"/>
        <v/>
      </c>
      <c r="G422" s="86" t="str">
        <f t="shared" si="3"/>
        <v/>
      </c>
      <c r="H422" s="15"/>
      <c r="P422" s="3" t="str">
        <f>IFERROR(__xludf.DUMMYFUNCTION("IF(OR(F422="""",F422=""Seleccionar..""),"""",TRANSPOSE(FILTER(Productos!E:E,(Productos!F:F=D422)+(Productos!F:F=XLOOKUP(D422,Implementos!B:B,Implementos!C:C,""-"",0,1)))))"),"")</f>
        <v/>
      </c>
    </row>
    <row r="423" hidden="1">
      <c r="A423" s="38" t="str">
        <f t="shared" si="1"/>
        <v/>
      </c>
      <c r="B423" s="38" t="str">
        <f>IF(F423="","",SUMIF(Prearmados!E:E,F423,Prearmados!A:A))</f>
        <v/>
      </c>
      <c r="C423" s="38" t="str">
        <f>IF(F423="","",SUMIF(Productos!E:E,G423,Productos!A:A))</f>
        <v/>
      </c>
      <c r="D423" s="85" t="str">
        <f t="array" ref="D423">IF(OR(F423="",F423="Seleccionar.."),"",XLOOKUP(F423,Prearmados!E:E,Prearmados!F:F,"",0,1))</f>
        <v/>
      </c>
      <c r="E423" s="83" t="str">
        <f>IF(H423="","",SUMIF(Precio_Productos!K:K,C423,Precio_Productos!J:J)*H423)</f>
        <v/>
      </c>
      <c r="F423" s="86" t="str">
        <f t="shared" si="2"/>
        <v/>
      </c>
      <c r="G423" s="86" t="str">
        <f t="shared" si="3"/>
        <v/>
      </c>
      <c r="H423" s="15"/>
      <c r="P423" s="3" t="str">
        <f>IFERROR(__xludf.DUMMYFUNCTION("IF(OR(F423="""",F423=""Seleccionar..""),"""",TRANSPOSE(FILTER(Productos!E:E,(Productos!F:F=D423)+(Productos!F:F=XLOOKUP(D423,Implementos!B:B,Implementos!C:C,""-"",0,1)))))"),"")</f>
        <v/>
      </c>
    </row>
    <row r="424" hidden="1">
      <c r="A424" s="38" t="str">
        <f t="shared" si="1"/>
        <v/>
      </c>
      <c r="B424" s="38" t="str">
        <f>IF(F424="","",SUMIF(Prearmados!E:E,F424,Prearmados!A:A))</f>
        <v/>
      </c>
      <c r="C424" s="38" t="str">
        <f>IF(F424="","",SUMIF(Productos!E:E,G424,Productos!A:A))</f>
        <v/>
      </c>
      <c r="D424" s="85" t="str">
        <f t="array" ref="D424">IF(OR(F424="",F424="Seleccionar.."),"",XLOOKUP(F424,Prearmados!E:E,Prearmados!F:F,"",0,1))</f>
        <v/>
      </c>
      <c r="E424" s="83" t="str">
        <f>IF(H424="","",SUMIF(Precio_Productos!K:K,C424,Precio_Productos!J:J)*H424)</f>
        <v/>
      </c>
      <c r="F424" s="86" t="str">
        <f t="shared" si="2"/>
        <v/>
      </c>
      <c r="G424" s="86" t="str">
        <f t="shared" si="3"/>
        <v/>
      </c>
      <c r="H424" s="15"/>
      <c r="P424" s="3" t="str">
        <f>IFERROR(__xludf.DUMMYFUNCTION("IF(OR(F424="""",F424=""Seleccionar..""),"""",TRANSPOSE(FILTER(Productos!E:E,(Productos!F:F=D424)+(Productos!F:F=XLOOKUP(D424,Implementos!B:B,Implementos!C:C,""-"",0,1)))))"),"")</f>
        <v/>
      </c>
    </row>
    <row r="425" hidden="1">
      <c r="A425" s="38" t="str">
        <f t="shared" si="1"/>
        <v/>
      </c>
      <c r="B425" s="38" t="str">
        <f>IF(F425="","",SUMIF(Prearmados!E:E,F425,Prearmados!A:A))</f>
        <v/>
      </c>
      <c r="C425" s="38" t="str">
        <f>IF(F425="","",SUMIF(Productos!E:E,G425,Productos!A:A))</f>
        <v/>
      </c>
      <c r="D425" s="85" t="str">
        <f t="array" ref="D425">IF(OR(F425="",F425="Seleccionar.."),"",XLOOKUP(F425,Prearmados!E:E,Prearmados!F:F,"",0,1))</f>
        <v/>
      </c>
      <c r="E425" s="83" t="str">
        <f>IF(H425="","",SUMIF(Precio_Productos!K:K,C425,Precio_Productos!J:J)*H425)</f>
        <v/>
      </c>
      <c r="F425" s="86" t="str">
        <f t="shared" si="2"/>
        <v/>
      </c>
      <c r="G425" s="86" t="str">
        <f t="shared" si="3"/>
        <v/>
      </c>
      <c r="H425" s="15"/>
      <c r="P425" s="3" t="str">
        <f>IFERROR(__xludf.DUMMYFUNCTION("IF(OR(F425="""",F425=""Seleccionar..""),"""",TRANSPOSE(FILTER(Productos!E:E,(Productos!F:F=D425)+(Productos!F:F=XLOOKUP(D425,Implementos!B:B,Implementos!C:C,""-"",0,1)))))"),"")</f>
        <v/>
      </c>
    </row>
    <row r="426" hidden="1">
      <c r="A426" s="38" t="str">
        <f t="shared" si="1"/>
        <v/>
      </c>
      <c r="B426" s="38" t="str">
        <f>IF(F426="","",SUMIF(Prearmados!E:E,F426,Prearmados!A:A))</f>
        <v/>
      </c>
      <c r="C426" s="38" t="str">
        <f>IF(F426="","",SUMIF(Productos!E:E,G426,Productos!A:A))</f>
        <v/>
      </c>
      <c r="D426" s="85" t="str">
        <f t="array" ref="D426">IF(OR(F426="",F426="Seleccionar.."),"",XLOOKUP(F426,Prearmados!E:E,Prearmados!F:F,"",0,1))</f>
        <v/>
      </c>
      <c r="E426" s="83" t="str">
        <f>IF(H426="","",SUMIF(Precio_Productos!K:K,C426,Precio_Productos!J:J)*H426)</f>
        <v/>
      </c>
      <c r="F426" s="86" t="str">
        <f t="shared" si="2"/>
        <v/>
      </c>
      <c r="G426" s="86" t="str">
        <f t="shared" si="3"/>
        <v/>
      </c>
      <c r="H426" s="15"/>
      <c r="P426" s="3" t="str">
        <f>IFERROR(__xludf.DUMMYFUNCTION("IF(OR(F426="""",F426=""Seleccionar..""),"""",TRANSPOSE(FILTER(Productos!E:E,(Productos!F:F=D426)+(Productos!F:F=XLOOKUP(D426,Implementos!B:B,Implementos!C:C,""-"",0,1)))))"),"")</f>
        <v/>
      </c>
    </row>
    <row r="427" hidden="1">
      <c r="A427" s="38" t="str">
        <f t="shared" si="1"/>
        <v/>
      </c>
      <c r="B427" s="38" t="str">
        <f>IF(F427="","",SUMIF(Prearmados!E:E,F427,Prearmados!A:A))</f>
        <v/>
      </c>
      <c r="C427" s="38" t="str">
        <f>IF(F427="","",SUMIF(Productos!E:E,G427,Productos!A:A))</f>
        <v/>
      </c>
      <c r="D427" s="85" t="str">
        <f t="array" ref="D427">IF(OR(F427="",F427="Seleccionar.."),"",XLOOKUP(F427,Prearmados!E:E,Prearmados!F:F,"",0,1))</f>
        <v/>
      </c>
      <c r="E427" s="83" t="str">
        <f>IF(H427="","",SUMIF(Precio_Productos!K:K,C427,Precio_Productos!J:J)*H427)</f>
        <v/>
      </c>
      <c r="F427" s="86" t="str">
        <f t="shared" si="2"/>
        <v/>
      </c>
      <c r="G427" s="86" t="str">
        <f t="shared" si="3"/>
        <v/>
      </c>
      <c r="H427" s="15"/>
      <c r="P427" s="3" t="str">
        <f>IFERROR(__xludf.DUMMYFUNCTION("IF(OR(F427="""",F427=""Seleccionar..""),"""",TRANSPOSE(FILTER(Productos!E:E,(Productos!F:F=D427)+(Productos!F:F=XLOOKUP(D427,Implementos!B:B,Implementos!C:C,""-"",0,1)))))"),"")</f>
        <v/>
      </c>
    </row>
    <row r="428" hidden="1">
      <c r="A428" s="38" t="str">
        <f t="shared" si="1"/>
        <v/>
      </c>
      <c r="B428" s="38" t="str">
        <f>IF(F428="","",SUMIF(Prearmados!E:E,F428,Prearmados!A:A))</f>
        <v/>
      </c>
      <c r="C428" s="38" t="str">
        <f>IF(F428="","",SUMIF(Productos!E:E,G428,Productos!A:A))</f>
        <v/>
      </c>
      <c r="D428" s="85" t="str">
        <f t="array" ref="D428">IF(OR(F428="",F428="Seleccionar.."),"",XLOOKUP(F428,Prearmados!E:E,Prearmados!F:F,"",0,1))</f>
        <v/>
      </c>
      <c r="E428" s="83" t="str">
        <f>IF(H428="","",SUMIF(Precio_Productos!K:K,C428,Precio_Productos!J:J)*H428)</f>
        <v/>
      </c>
      <c r="F428" s="86" t="str">
        <f t="shared" si="2"/>
        <v/>
      </c>
      <c r="G428" s="86" t="str">
        <f t="shared" si="3"/>
        <v/>
      </c>
      <c r="H428" s="15"/>
      <c r="P428" s="3" t="str">
        <f>IFERROR(__xludf.DUMMYFUNCTION("IF(OR(F428="""",F428=""Seleccionar..""),"""",TRANSPOSE(FILTER(Productos!E:E,(Productos!F:F=D428)+(Productos!F:F=XLOOKUP(D428,Implementos!B:B,Implementos!C:C,""-"",0,1)))))"),"")</f>
        <v/>
      </c>
    </row>
    <row r="429" hidden="1">
      <c r="A429" s="38" t="str">
        <f t="shared" si="1"/>
        <v/>
      </c>
      <c r="B429" s="38" t="str">
        <f>IF(F429="","",SUMIF(Prearmados!E:E,F429,Prearmados!A:A))</f>
        <v/>
      </c>
      <c r="C429" s="38" t="str">
        <f>IF(F429="","",SUMIF(Productos!E:E,G429,Productos!A:A))</f>
        <v/>
      </c>
      <c r="D429" s="85" t="str">
        <f t="array" ref="D429">IF(OR(F429="",F429="Seleccionar.."),"",XLOOKUP(F429,Prearmados!E:E,Prearmados!F:F,"",0,1))</f>
        <v/>
      </c>
      <c r="E429" s="83" t="str">
        <f>IF(H429="","",SUMIF(Precio_Productos!K:K,C429,Precio_Productos!J:J)*H429)</f>
        <v/>
      </c>
      <c r="F429" s="86" t="str">
        <f t="shared" si="2"/>
        <v/>
      </c>
      <c r="G429" s="86" t="str">
        <f t="shared" si="3"/>
        <v/>
      </c>
      <c r="H429" s="15"/>
      <c r="P429" s="3" t="str">
        <f>IFERROR(__xludf.DUMMYFUNCTION("IF(OR(F429="""",F429=""Seleccionar..""),"""",TRANSPOSE(FILTER(Productos!E:E,(Productos!F:F=D429)+(Productos!F:F=XLOOKUP(D429,Implementos!B:B,Implementos!C:C,""-"",0,1)))))"),"")</f>
        <v/>
      </c>
    </row>
    <row r="430" hidden="1">
      <c r="A430" s="38" t="str">
        <f t="shared" si="1"/>
        <v/>
      </c>
      <c r="B430" s="38" t="str">
        <f>IF(F430="","",SUMIF(Prearmados!E:E,F430,Prearmados!A:A))</f>
        <v/>
      </c>
      <c r="C430" s="38" t="str">
        <f>IF(F430="","",SUMIF(Productos!E:E,G430,Productos!A:A))</f>
        <v/>
      </c>
      <c r="D430" s="85" t="str">
        <f t="array" ref="D430">IF(OR(F430="",F430="Seleccionar.."),"",XLOOKUP(F430,Prearmados!E:E,Prearmados!F:F,"",0,1))</f>
        <v/>
      </c>
      <c r="E430" s="83" t="str">
        <f>IF(H430="","",SUMIF(Precio_Productos!K:K,C430,Precio_Productos!J:J)*H430)</f>
        <v/>
      </c>
      <c r="F430" s="86" t="str">
        <f t="shared" si="2"/>
        <v/>
      </c>
      <c r="G430" s="86" t="str">
        <f t="shared" si="3"/>
        <v/>
      </c>
      <c r="H430" s="15"/>
      <c r="P430" s="3" t="str">
        <f>IFERROR(__xludf.DUMMYFUNCTION("IF(OR(F430="""",F430=""Seleccionar..""),"""",TRANSPOSE(FILTER(Productos!E:E,(Productos!F:F=D430)+(Productos!F:F=XLOOKUP(D430,Implementos!B:B,Implementos!C:C,""-"",0,1)))))"),"")</f>
        <v/>
      </c>
    </row>
    <row r="431" hidden="1">
      <c r="A431" s="38" t="str">
        <f t="shared" si="1"/>
        <v/>
      </c>
      <c r="B431" s="38" t="str">
        <f>IF(F431="","",SUMIF(Prearmados!E:E,F431,Prearmados!A:A))</f>
        <v/>
      </c>
      <c r="C431" s="38" t="str">
        <f>IF(F431="","",SUMIF(Productos!E:E,G431,Productos!A:A))</f>
        <v/>
      </c>
      <c r="D431" s="85" t="str">
        <f t="array" ref="D431">IF(OR(F431="",F431="Seleccionar.."),"",XLOOKUP(F431,Prearmados!E:E,Prearmados!F:F,"",0,1))</f>
        <v/>
      </c>
      <c r="E431" s="83" t="str">
        <f>IF(H431="","",SUMIF(Precio_Productos!K:K,C431,Precio_Productos!J:J)*H431)</f>
        <v/>
      </c>
      <c r="F431" s="86" t="str">
        <f t="shared" si="2"/>
        <v/>
      </c>
      <c r="G431" s="86" t="str">
        <f t="shared" si="3"/>
        <v/>
      </c>
      <c r="H431" s="15"/>
      <c r="P431" s="3" t="str">
        <f>IFERROR(__xludf.DUMMYFUNCTION("IF(OR(F431="""",F431=""Seleccionar..""),"""",TRANSPOSE(FILTER(Productos!E:E,(Productos!F:F=D431)+(Productos!F:F=XLOOKUP(D431,Implementos!B:B,Implementos!C:C,""-"",0,1)))))"),"")</f>
        <v/>
      </c>
    </row>
    <row r="432" hidden="1">
      <c r="A432" s="38" t="str">
        <f t="shared" si="1"/>
        <v/>
      </c>
      <c r="B432" s="38" t="str">
        <f>IF(F432="","",SUMIF(Prearmados!E:E,F432,Prearmados!A:A))</f>
        <v/>
      </c>
      <c r="C432" s="38" t="str">
        <f>IF(F432="","",SUMIF(Productos!E:E,G432,Productos!A:A))</f>
        <v/>
      </c>
      <c r="D432" s="85" t="str">
        <f t="array" ref="D432">IF(OR(F432="",F432="Seleccionar.."),"",XLOOKUP(F432,Prearmados!E:E,Prearmados!F:F,"",0,1))</f>
        <v/>
      </c>
      <c r="E432" s="83" t="str">
        <f>IF(H432="","",SUMIF(Precio_Productos!K:K,C432,Precio_Productos!J:J)*H432)</f>
        <v/>
      </c>
      <c r="F432" s="86" t="str">
        <f t="shared" si="2"/>
        <v/>
      </c>
      <c r="G432" s="86" t="str">
        <f t="shared" si="3"/>
        <v/>
      </c>
      <c r="H432" s="15"/>
      <c r="P432" s="3" t="str">
        <f>IFERROR(__xludf.DUMMYFUNCTION("IF(OR(F432="""",F432=""Seleccionar..""),"""",TRANSPOSE(FILTER(Productos!E:E,(Productos!F:F=D432)+(Productos!F:F=XLOOKUP(D432,Implementos!B:B,Implementos!C:C,""-"",0,1)))))"),"")</f>
        <v/>
      </c>
    </row>
    <row r="433" hidden="1">
      <c r="A433" s="38" t="str">
        <f t="shared" si="1"/>
        <v/>
      </c>
      <c r="B433" s="38" t="str">
        <f>IF(F433="","",SUMIF(Prearmados!E:E,F433,Prearmados!A:A))</f>
        <v/>
      </c>
      <c r="C433" s="38" t="str">
        <f>IF(F433="","",SUMIF(Productos!E:E,G433,Productos!A:A))</f>
        <v/>
      </c>
      <c r="D433" s="85" t="str">
        <f t="array" ref="D433">IF(OR(F433="",F433="Seleccionar.."),"",XLOOKUP(F433,Prearmados!E:E,Prearmados!F:F,"",0,1))</f>
        <v/>
      </c>
      <c r="E433" s="83" t="str">
        <f>IF(H433="","",SUMIF(Precio_Productos!K:K,C433,Precio_Productos!J:J)*H433)</f>
        <v/>
      </c>
      <c r="F433" s="86" t="str">
        <f t="shared" si="2"/>
        <v/>
      </c>
      <c r="G433" s="86" t="str">
        <f t="shared" si="3"/>
        <v/>
      </c>
      <c r="H433" s="15"/>
      <c r="P433" s="3" t="str">
        <f>IFERROR(__xludf.DUMMYFUNCTION("IF(OR(F433="""",F433=""Seleccionar..""),"""",TRANSPOSE(FILTER(Productos!E:E,(Productos!F:F=D433)+(Productos!F:F=XLOOKUP(D433,Implementos!B:B,Implementos!C:C,""-"",0,1)))))"),"")</f>
        <v/>
      </c>
    </row>
    <row r="434" hidden="1">
      <c r="A434" s="38" t="str">
        <f t="shared" si="1"/>
        <v/>
      </c>
      <c r="B434" s="38" t="str">
        <f>IF(F434="","",SUMIF(Prearmados!E:E,F434,Prearmados!A:A))</f>
        <v/>
      </c>
      <c r="C434" s="38" t="str">
        <f>IF(F434="","",SUMIF(Productos!E:E,G434,Productos!A:A))</f>
        <v/>
      </c>
      <c r="D434" s="85" t="str">
        <f t="array" ref="D434">IF(OR(F434="",F434="Seleccionar.."),"",XLOOKUP(F434,Prearmados!E:E,Prearmados!F:F,"",0,1))</f>
        <v/>
      </c>
      <c r="E434" s="83" t="str">
        <f>IF(H434="","",SUMIF(Precio_Productos!K:K,C434,Precio_Productos!J:J)*H434)</f>
        <v/>
      </c>
      <c r="F434" s="86" t="str">
        <f t="shared" si="2"/>
        <v/>
      </c>
      <c r="G434" s="86" t="str">
        <f t="shared" si="3"/>
        <v/>
      </c>
      <c r="H434" s="15"/>
      <c r="P434" s="3" t="str">
        <f>IFERROR(__xludf.DUMMYFUNCTION("IF(OR(F434="""",F434=""Seleccionar..""),"""",TRANSPOSE(FILTER(Productos!E:E,(Productos!F:F=D434)+(Productos!F:F=XLOOKUP(D434,Implementos!B:B,Implementos!C:C,""-"",0,1)))))"),"")</f>
        <v/>
      </c>
    </row>
    <row r="435" hidden="1">
      <c r="A435" s="38" t="str">
        <f t="shared" si="1"/>
        <v/>
      </c>
      <c r="B435" s="38" t="str">
        <f>IF(F435="","",SUMIF(Prearmados!E:E,F435,Prearmados!A:A))</f>
        <v/>
      </c>
      <c r="C435" s="38" t="str">
        <f>IF(F435="","",SUMIF(Productos!E:E,G435,Productos!A:A))</f>
        <v/>
      </c>
      <c r="D435" s="85" t="str">
        <f t="array" ref="D435">IF(OR(F435="",F435="Seleccionar.."),"",XLOOKUP(F435,Prearmados!E:E,Prearmados!F:F,"",0,1))</f>
        <v/>
      </c>
      <c r="E435" s="83" t="str">
        <f>IF(H435="","",SUMIF(Precio_Productos!K:K,C435,Precio_Productos!J:J)*H435)</f>
        <v/>
      </c>
      <c r="F435" s="86" t="str">
        <f t="shared" si="2"/>
        <v/>
      </c>
      <c r="G435" s="86" t="str">
        <f t="shared" si="3"/>
        <v/>
      </c>
      <c r="H435" s="15"/>
      <c r="P435" s="3" t="str">
        <f>IFERROR(__xludf.DUMMYFUNCTION("IF(OR(F435="""",F435=""Seleccionar..""),"""",TRANSPOSE(FILTER(Productos!E:E,(Productos!F:F=D435)+(Productos!F:F=XLOOKUP(D435,Implementos!B:B,Implementos!C:C,""-"",0,1)))))"),"")</f>
        <v/>
      </c>
    </row>
    <row r="436" hidden="1">
      <c r="A436" s="38" t="str">
        <f t="shared" si="1"/>
        <v/>
      </c>
      <c r="B436" s="38" t="str">
        <f>IF(F436="","",SUMIF(Prearmados!E:E,F436,Prearmados!A:A))</f>
        <v/>
      </c>
      <c r="C436" s="38" t="str">
        <f>IF(F436="","",SUMIF(Productos!E:E,G436,Productos!A:A))</f>
        <v/>
      </c>
      <c r="D436" s="85" t="str">
        <f t="array" ref="D436">IF(OR(F436="",F436="Seleccionar.."),"",XLOOKUP(F436,Prearmados!E:E,Prearmados!F:F,"",0,1))</f>
        <v/>
      </c>
      <c r="E436" s="83" t="str">
        <f>IF(H436="","",SUMIF(Precio_Productos!K:K,C436,Precio_Productos!J:J)*H436)</f>
        <v/>
      </c>
      <c r="F436" s="86" t="str">
        <f t="shared" si="2"/>
        <v/>
      </c>
      <c r="G436" s="86" t="str">
        <f t="shared" si="3"/>
        <v/>
      </c>
      <c r="H436" s="15"/>
      <c r="P436" s="3" t="str">
        <f>IFERROR(__xludf.DUMMYFUNCTION("IF(OR(F436="""",F436=""Seleccionar..""),"""",TRANSPOSE(FILTER(Productos!E:E,(Productos!F:F=D436)+(Productos!F:F=XLOOKUP(D436,Implementos!B:B,Implementos!C:C,""-"",0,1)))))"),"")</f>
        <v/>
      </c>
    </row>
    <row r="437" hidden="1">
      <c r="A437" s="38" t="str">
        <f t="shared" si="1"/>
        <v/>
      </c>
      <c r="B437" s="38" t="str">
        <f>IF(F437="","",SUMIF(Prearmados!E:E,F437,Prearmados!A:A))</f>
        <v/>
      </c>
      <c r="C437" s="38" t="str">
        <f>IF(F437="","",SUMIF(Productos!E:E,G437,Productos!A:A))</f>
        <v/>
      </c>
      <c r="D437" s="85" t="str">
        <f t="array" ref="D437">IF(OR(F437="",F437="Seleccionar.."),"",XLOOKUP(F437,Prearmados!E:E,Prearmados!F:F,"",0,1))</f>
        <v/>
      </c>
      <c r="E437" s="83" t="str">
        <f>IF(H437="","",SUMIF(Precio_Productos!K:K,C437,Precio_Productos!J:J)*H437)</f>
        <v/>
      </c>
      <c r="F437" s="86" t="str">
        <f t="shared" si="2"/>
        <v/>
      </c>
      <c r="G437" s="86" t="str">
        <f t="shared" si="3"/>
        <v/>
      </c>
      <c r="H437" s="15"/>
      <c r="P437" s="3" t="str">
        <f>IFERROR(__xludf.DUMMYFUNCTION("IF(OR(F437="""",F437=""Seleccionar..""),"""",TRANSPOSE(FILTER(Productos!E:E,(Productos!F:F=D437)+(Productos!F:F=XLOOKUP(D437,Implementos!B:B,Implementos!C:C,""-"",0,1)))))"),"")</f>
        <v/>
      </c>
    </row>
    <row r="438" hidden="1">
      <c r="A438" s="38" t="str">
        <f t="shared" si="1"/>
        <v/>
      </c>
      <c r="B438" s="38" t="str">
        <f>IF(F438="","",SUMIF(Prearmados!E:E,F438,Prearmados!A:A))</f>
        <v/>
      </c>
      <c r="C438" s="38" t="str">
        <f>IF(F438="","",SUMIF(Productos!E:E,G438,Productos!A:A))</f>
        <v/>
      </c>
      <c r="D438" s="85" t="str">
        <f t="array" ref="D438">IF(OR(F438="",F438="Seleccionar.."),"",XLOOKUP(F438,Prearmados!E:E,Prearmados!F:F,"",0,1))</f>
        <v/>
      </c>
      <c r="E438" s="83" t="str">
        <f>IF(H438="","",SUMIF(Precio_Productos!K:K,C438,Precio_Productos!J:J)*H438)</f>
        <v/>
      </c>
      <c r="F438" s="86" t="str">
        <f t="shared" si="2"/>
        <v/>
      </c>
      <c r="G438" s="86" t="str">
        <f t="shared" si="3"/>
        <v/>
      </c>
      <c r="H438" s="15"/>
      <c r="P438" s="3" t="str">
        <f>IFERROR(__xludf.DUMMYFUNCTION("IF(OR(F438="""",F438=""Seleccionar..""),"""",TRANSPOSE(FILTER(Productos!E:E,(Productos!F:F=D438)+(Productos!F:F=XLOOKUP(D438,Implementos!B:B,Implementos!C:C,""-"",0,1)))))"),"")</f>
        <v/>
      </c>
    </row>
    <row r="439" hidden="1">
      <c r="A439" s="38" t="str">
        <f t="shared" si="1"/>
        <v/>
      </c>
      <c r="B439" s="38" t="str">
        <f>IF(F439="","",SUMIF(Prearmados!E:E,F439,Prearmados!A:A))</f>
        <v/>
      </c>
      <c r="C439" s="38" t="str">
        <f>IF(F439="","",SUMIF(Productos!E:E,G439,Productos!A:A))</f>
        <v/>
      </c>
      <c r="D439" s="85" t="str">
        <f t="array" ref="D439">IF(OR(F439="",F439="Seleccionar.."),"",XLOOKUP(F439,Prearmados!E:E,Prearmados!F:F,"",0,1))</f>
        <v/>
      </c>
      <c r="E439" s="83" t="str">
        <f>IF(H439="","",SUMIF(Precio_Productos!K:K,C439,Precio_Productos!J:J)*H439)</f>
        <v/>
      </c>
      <c r="F439" s="86" t="str">
        <f t="shared" si="2"/>
        <v/>
      </c>
      <c r="G439" s="86" t="str">
        <f t="shared" si="3"/>
        <v/>
      </c>
      <c r="H439" s="15"/>
      <c r="P439" s="3" t="str">
        <f>IFERROR(__xludf.DUMMYFUNCTION("IF(OR(F439="""",F439=""Seleccionar..""),"""",TRANSPOSE(FILTER(Productos!E:E,(Productos!F:F=D439)+(Productos!F:F=XLOOKUP(D439,Implementos!B:B,Implementos!C:C,""-"",0,1)))))"),"")</f>
        <v/>
      </c>
    </row>
    <row r="440" hidden="1">
      <c r="A440" s="38" t="str">
        <f t="shared" si="1"/>
        <v/>
      </c>
      <c r="B440" s="38" t="str">
        <f>IF(F440="","",SUMIF(Prearmados!E:E,F440,Prearmados!A:A))</f>
        <v/>
      </c>
      <c r="C440" s="38" t="str">
        <f>IF(F440="","",SUMIF(Productos!E:E,G440,Productos!A:A))</f>
        <v/>
      </c>
      <c r="D440" s="85" t="str">
        <f t="array" ref="D440">IF(OR(F440="",F440="Seleccionar.."),"",XLOOKUP(F440,Prearmados!E:E,Prearmados!F:F,"",0,1))</f>
        <v/>
      </c>
      <c r="E440" s="83" t="str">
        <f>IF(H440="","",SUMIF(Precio_Productos!K:K,C440,Precio_Productos!J:J)*H440)</f>
        <v/>
      </c>
      <c r="F440" s="86" t="str">
        <f t="shared" si="2"/>
        <v/>
      </c>
      <c r="G440" s="86" t="str">
        <f t="shared" si="3"/>
        <v/>
      </c>
      <c r="H440" s="15"/>
      <c r="P440" s="3" t="str">
        <f>IFERROR(__xludf.DUMMYFUNCTION("IF(OR(F440="""",F440=""Seleccionar..""),"""",TRANSPOSE(FILTER(Productos!E:E,(Productos!F:F=D440)+(Productos!F:F=XLOOKUP(D440,Implementos!B:B,Implementos!C:C,""-"",0,1)))))"),"")</f>
        <v/>
      </c>
    </row>
    <row r="441" hidden="1">
      <c r="A441" s="38" t="str">
        <f t="shared" si="1"/>
        <v/>
      </c>
      <c r="B441" s="38" t="str">
        <f>IF(F441="","",SUMIF(Prearmados!E:E,F441,Prearmados!A:A))</f>
        <v/>
      </c>
      <c r="C441" s="38" t="str">
        <f>IF(F441="","",SUMIF(Productos!E:E,G441,Productos!A:A))</f>
        <v/>
      </c>
      <c r="D441" s="85" t="str">
        <f t="array" ref="D441">IF(OR(F441="",F441="Seleccionar.."),"",XLOOKUP(F441,Prearmados!E:E,Prearmados!F:F,"",0,1))</f>
        <v/>
      </c>
      <c r="E441" s="83" t="str">
        <f>IF(H441="","",SUMIF(Precio_Productos!K:K,C441,Precio_Productos!J:J)*H441)</f>
        <v/>
      </c>
      <c r="F441" s="86" t="str">
        <f t="shared" si="2"/>
        <v/>
      </c>
      <c r="G441" s="86" t="str">
        <f t="shared" si="3"/>
        <v/>
      </c>
      <c r="H441" s="15"/>
      <c r="P441" s="3" t="str">
        <f>IFERROR(__xludf.DUMMYFUNCTION("IF(OR(F441="""",F441=""Seleccionar..""),"""",TRANSPOSE(FILTER(Productos!E:E,(Productos!F:F=D441)+(Productos!F:F=XLOOKUP(D441,Implementos!B:B,Implementos!C:C,""-"",0,1)))))"),"")</f>
        <v/>
      </c>
    </row>
    <row r="442" hidden="1">
      <c r="A442" s="38" t="str">
        <f t="shared" si="1"/>
        <v/>
      </c>
      <c r="B442" s="38" t="str">
        <f>IF(F442="","",SUMIF(Prearmados!E:E,F442,Prearmados!A:A))</f>
        <v/>
      </c>
      <c r="C442" s="38" t="str">
        <f>IF(F442="","",SUMIF(Productos!E:E,G442,Productos!A:A))</f>
        <v/>
      </c>
      <c r="D442" s="85" t="str">
        <f t="array" ref="D442">IF(OR(F442="",F442="Seleccionar.."),"",XLOOKUP(F442,Prearmados!E:E,Prearmados!F:F,"",0,1))</f>
        <v/>
      </c>
      <c r="E442" s="83" t="str">
        <f>IF(H442="","",SUMIF(Precio_Productos!K:K,C442,Precio_Productos!J:J)*H442)</f>
        <v/>
      </c>
      <c r="F442" s="86" t="str">
        <f t="shared" si="2"/>
        <v/>
      </c>
      <c r="G442" s="86" t="str">
        <f t="shared" si="3"/>
        <v/>
      </c>
      <c r="H442" s="15"/>
      <c r="P442" s="3" t="str">
        <f>IFERROR(__xludf.DUMMYFUNCTION("IF(OR(F442="""",F442=""Seleccionar..""),"""",TRANSPOSE(FILTER(Productos!E:E,(Productos!F:F=D442)+(Productos!F:F=XLOOKUP(D442,Implementos!B:B,Implementos!C:C,""-"",0,1)))))"),"")</f>
        <v/>
      </c>
    </row>
    <row r="443" hidden="1">
      <c r="A443" s="38" t="str">
        <f t="shared" si="1"/>
        <v/>
      </c>
      <c r="B443" s="38" t="str">
        <f>IF(F443="","",SUMIF(Prearmados!E:E,F443,Prearmados!A:A))</f>
        <v/>
      </c>
      <c r="C443" s="38" t="str">
        <f>IF(F443="","",SUMIF(Productos!E:E,G443,Productos!A:A))</f>
        <v/>
      </c>
      <c r="D443" s="85" t="str">
        <f t="array" ref="D443">IF(OR(F443="",F443="Seleccionar.."),"",XLOOKUP(F443,Prearmados!E:E,Prearmados!F:F,"",0,1))</f>
        <v/>
      </c>
      <c r="E443" s="83" t="str">
        <f>IF(H443="","",SUMIF(Precio_Productos!K:K,C443,Precio_Productos!J:J)*H443)</f>
        <v/>
      </c>
      <c r="F443" s="86" t="str">
        <f t="shared" si="2"/>
        <v/>
      </c>
      <c r="G443" s="86" t="str">
        <f t="shared" si="3"/>
        <v/>
      </c>
      <c r="H443" s="15"/>
      <c r="P443" s="3" t="str">
        <f>IFERROR(__xludf.DUMMYFUNCTION("IF(OR(F443="""",F443=""Seleccionar..""),"""",TRANSPOSE(FILTER(Productos!E:E,(Productos!F:F=D443)+(Productos!F:F=XLOOKUP(D443,Implementos!B:B,Implementos!C:C,""-"",0,1)))))"),"")</f>
        <v/>
      </c>
    </row>
    <row r="444" hidden="1">
      <c r="A444" s="38" t="str">
        <f t="shared" si="1"/>
        <v/>
      </c>
      <c r="B444" s="38" t="str">
        <f>IF(F444="","",SUMIF(Prearmados!E:E,F444,Prearmados!A:A))</f>
        <v/>
      </c>
      <c r="C444" s="38" t="str">
        <f>IF(F444="","",SUMIF(Productos!E:E,G444,Productos!A:A))</f>
        <v/>
      </c>
      <c r="D444" s="85" t="str">
        <f t="array" ref="D444">IF(OR(F444="",F444="Seleccionar.."),"",XLOOKUP(F444,Prearmados!E:E,Prearmados!F:F,"",0,1))</f>
        <v/>
      </c>
      <c r="E444" s="83" t="str">
        <f>IF(H444="","",SUMIF(Precio_Productos!K:K,C444,Precio_Productos!J:J)*H444)</f>
        <v/>
      </c>
      <c r="F444" s="86" t="str">
        <f t="shared" si="2"/>
        <v/>
      </c>
      <c r="G444" s="86" t="str">
        <f t="shared" si="3"/>
        <v/>
      </c>
      <c r="H444" s="15"/>
      <c r="P444" s="3" t="str">
        <f>IFERROR(__xludf.DUMMYFUNCTION("IF(OR(F444="""",F444=""Seleccionar..""),"""",TRANSPOSE(FILTER(Productos!E:E,(Productos!F:F=D444)+(Productos!F:F=XLOOKUP(D444,Implementos!B:B,Implementos!C:C,""-"",0,1)))))"),"")</f>
        <v/>
      </c>
    </row>
    <row r="445" hidden="1">
      <c r="A445" s="38" t="str">
        <f t="shared" si="1"/>
        <v/>
      </c>
      <c r="B445" s="38" t="str">
        <f>IF(F445="","",SUMIF(Prearmados!E:E,F445,Prearmados!A:A))</f>
        <v/>
      </c>
      <c r="C445" s="38" t="str">
        <f>IF(F445="","",SUMIF(Productos!E:E,G445,Productos!A:A))</f>
        <v/>
      </c>
      <c r="D445" s="85" t="str">
        <f t="array" ref="D445">IF(OR(F445="",F445="Seleccionar.."),"",XLOOKUP(F445,Prearmados!E:E,Prearmados!F:F,"",0,1))</f>
        <v/>
      </c>
      <c r="E445" s="83" t="str">
        <f>IF(H445="","",SUMIF(Precio_Productos!K:K,C445,Precio_Productos!J:J)*H445)</f>
        <v/>
      </c>
      <c r="F445" s="86" t="str">
        <f t="shared" si="2"/>
        <v/>
      </c>
      <c r="G445" s="86" t="str">
        <f t="shared" si="3"/>
        <v/>
      </c>
      <c r="H445" s="15"/>
      <c r="P445" s="3" t="str">
        <f>IFERROR(__xludf.DUMMYFUNCTION("IF(OR(F445="""",F445=""Seleccionar..""),"""",TRANSPOSE(FILTER(Productos!E:E,(Productos!F:F=D445)+(Productos!F:F=XLOOKUP(D445,Implementos!B:B,Implementos!C:C,""-"",0,1)))))"),"")</f>
        <v/>
      </c>
    </row>
    <row r="446" hidden="1">
      <c r="A446" s="38" t="str">
        <f t="shared" si="1"/>
        <v/>
      </c>
      <c r="B446" s="38" t="str">
        <f>IF(F446="","",SUMIF(Prearmados!E:E,F446,Prearmados!A:A))</f>
        <v/>
      </c>
      <c r="C446" s="38" t="str">
        <f>IF(F446="","",SUMIF(Productos!E:E,G446,Productos!A:A))</f>
        <v/>
      </c>
      <c r="D446" s="85" t="str">
        <f t="array" ref="D446">IF(OR(F446="",F446="Seleccionar.."),"",XLOOKUP(F446,Prearmados!E:E,Prearmados!F:F,"",0,1))</f>
        <v/>
      </c>
      <c r="E446" s="83" t="str">
        <f>IF(H446="","",SUMIF(Precio_Productos!K:K,C446,Precio_Productos!J:J)*H446)</f>
        <v/>
      </c>
      <c r="F446" s="86" t="str">
        <f t="shared" si="2"/>
        <v/>
      </c>
      <c r="G446" s="86" t="str">
        <f t="shared" si="3"/>
        <v/>
      </c>
      <c r="H446" s="15"/>
      <c r="P446" s="3" t="str">
        <f>IFERROR(__xludf.DUMMYFUNCTION("IF(OR(F446="""",F446=""Seleccionar..""),"""",TRANSPOSE(FILTER(Productos!E:E,(Productos!F:F=D446)+(Productos!F:F=XLOOKUP(D446,Implementos!B:B,Implementos!C:C,""-"",0,1)))))"),"")</f>
        <v/>
      </c>
    </row>
    <row r="447" hidden="1">
      <c r="A447" s="38" t="str">
        <f t="shared" si="1"/>
        <v/>
      </c>
      <c r="B447" s="38" t="str">
        <f>IF(F447="","",SUMIF(Prearmados!E:E,F447,Prearmados!A:A))</f>
        <v/>
      </c>
      <c r="C447" s="38" t="str">
        <f>IF(F447="","",SUMIF(Productos!E:E,G447,Productos!A:A))</f>
        <v/>
      </c>
      <c r="D447" s="85" t="str">
        <f t="array" ref="D447">IF(OR(F447="",F447="Seleccionar.."),"",XLOOKUP(F447,Prearmados!E:E,Prearmados!F:F,"",0,1))</f>
        <v/>
      </c>
      <c r="E447" s="83" t="str">
        <f>IF(H447="","",SUMIF(Precio_Productos!K:K,C447,Precio_Productos!J:J)*H447)</f>
        <v/>
      </c>
      <c r="F447" s="86" t="str">
        <f t="shared" si="2"/>
        <v/>
      </c>
      <c r="G447" s="86" t="str">
        <f t="shared" si="3"/>
        <v/>
      </c>
      <c r="H447" s="15"/>
      <c r="P447" s="3" t="str">
        <f>IFERROR(__xludf.DUMMYFUNCTION("IF(OR(F447="""",F447=""Seleccionar..""),"""",TRANSPOSE(FILTER(Productos!E:E,(Productos!F:F=D447)+(Productos!F:F=XLOOKUP(D447,Implementos!B:B,Implementos!C:C,""-"",0,1)))))"),"")</f>
        <v/>
      </c>
    </row>
    <row r="448" hidden="1">
      <c r="A448" s="38" t="str">
        <f t="shared" si="1"/>
        <v/>
      </c>
      <c r="B448" s="38" t="str">
        <f>IF(F448="","",SUMIF(Prearmados!E:E,F448,Prearmados!A:A))</f>
        <v/>
      </c>
      <c r="C448" s="38" t="str">
        <f>IF(F448="","",SUMIF(Productos!E:E,G448,Productos!A:A))</f>
        <v/>
      </c>
      <c r="D448" s="85" t="str">
        <f t="array" ref="D448">IF(OR(F448="",F448="Seleccionar.."),"",XLOOKUP(F448,Prearmados!E:E,Prearmados!F:F,"",0,1))</f>
        <v/>
      </c>
      <c r="E448" s="83" t="str">
        <f>IF(H448="","",SUMIF(Precio_Productos!K:K,C448,Precio_Productos!J:J)*H448)</f>
        <v/>
      </c>
      <c r="F448" s="86" t="str">
        <f t="shared" si="2"/>
        <v/>
      </c>
      <c r="G448" s="86" t="str">
        <f t="shared" si="3"/>
        <v/>
      </c>
      <c r="H448" s="15"/>
      <c r="P448" s="3" t="str">
        <f>IFERROR(__xludf.DUMMYFUNCTION("IF(OR(F448="""",F448=""Seleccionar..""),"""",TRANSPOSE(FILTER(Productos!E:E,(Productos!F:F=D448)+(Productos!F:F=XLOOKUP(D448,Implementos!B:B,Implementos!C:C,""-"",0,1)))))"),"")</f>
        <v/>
      </c>
    </row>
    <row r="449" hidden="1">
      <c r="A449" s="38" t="str">
        <f t="shared" si="1"/>
        <v/>
      </c>
      <c r="B449" s="38" t="str">
        <f>IF(F449="","",SUMIF(Prearmados!E:E,F449,Prearmados!A:A))</f>
        <v/>
      </c>
      <c r="C449" s="38" t="str">
        <f>IF(F449="","",SUMIF(Productos!E:E,G449,Productos!A:A))</f>
        <v/>
      </c>
      <c r="D449" s="85" t="str">
        <f t="array" ref="D449">IF(OR(F449="",F449="Seleccionar.."),"",XLOOKUP(F449,Prearmados!E:E,Prearmados!F:F,"",0,1))</f>
        <v/>
      </c>
      <c r="E449" s="83" t="str">
        <f>IF(H449="","",SUMIF(Precio_Productos!K:K,C449,Precio_Productos!J:J)*H449)</f>
        <v/>
      </c>
      <c r="F449" s="86" t="str">
        <f t="shared" si="2"/>
        <v/>
      </c>
      <c r="G449" s="86" t="str">
        <f t="shared" si="3"/>
        <v/>
      </c>
      <c r="H449" s="15"/>
      <c r="P449" s="3" t="str">
        <f>IFERROR(__xludf.DUMMYFUNCTION("IF(OR(F449="""",F449=""Seleccionar..""),"""",TRANSPOSE(FILTER(Productos!E:E,(Productos!F:F=D449)+(Productos!F:F=XLOOKUP(D449,Implementos!B:B,Implementos!C:C,""-"",0,1)))))"),"")</f>
        <v/>
      </c>
    </row>
    <row r="450" hidden="1">
      <c r="A450" s="38" t="str">
        <f t="shared" si="1"/>
        <v/>
      </c>
      <c r="B450" s="38" t="str">
        <f>IF(F450="","",SUMIF(Prearmados!E:E,F450,Prearmados!A:A))</f>
        <v/>
      </c>
      <c r="C450" s="38" t="str">
        <f>IF(F450="","",SUMIF(Productos!E:E,G450,Productos!A:A))</f>
        <v/>
      </c>
      <c r="D450" s="85" t="str">
        <f t="array" ref="D450">IF(OR(F450="",F450="Seleccionar.."),"",XLOOKUP(F450,Prearmados!E:E,Prearmados!F:F,"",0,1))</f>
        <v/>
      </c>
      <c r="E450" s="83" t="str">
        <f>IF(H450="","",SUMIF(Precio_Productos!K:K,C450,Precio_Productos!J:J)*H450)</f>
        <v/>
      </c>
      <c r="F450" s="86" t="str">
        <f t="shared" si="2"/>
        <v/>
      </c>
      <c r="G450" s="86" t="str">
        <f t="shared" si="3"/>
        <v/>
      </c>
      <c r="H450" s="15"/>
      <c r="P450" s="3" t="str">
        <f>IFERROR(__xludf.DUMMYFUNCTION("IF(OR(F450="""",F450=""Seleccionar..""),"""",TRANSPOSE(FILTER(Productos!E:E,(Productos!F:F=D450)+(Productos!F:F=XLOOKUP(D450,Implementos!B:B,Implementos!C:C,""-"",0,1)))))"),"")</f>
        <v/>
      </c>
    </row>
    <row r="451" hidden="1">
      <c r="A451" s="38" t="str">
        <f t="shared" si="1"/>
        <v/>
      </c>
      <c r="B451" s="38" t="str">
        <f>IF(F451="","",SUMIF(Prearmados!E:E,F451,Prearmados!A:A))</f>
        <v/>
      </c>
      <c r="C451" s="38" t="str">
        <f>IF(F451="","",SUMIF(Productos!E:E,G451,Productos!A:A))</f>
        <v/>
      </c>
      <c r="D451" s="85" t="str">
        <f t="array" ref="D451">IF(OR(F451="",F451="Seleccionar.."),"",XLOOKUP(F451,Prearmados!E:E,Prearmados!F:F,"",0,1))</f>
        <v/>
      </c>
      <c r="E451" s="83" t="str">
        <f>IF(H451="","",SUMIF(Precio_Productos!K:K,C451,Precio_Productos!J:J)*H451)</f>
        <v/>
      </c>
      <c r="F451" s="86" t="str">
        <f t="shared" si="2"/>
        <v/>
      </c>
      <c r="G451" s="86" t="str">
        <f t="shared" si="3"/>
        <v/>
      </c>
      <c r="H451" s="15"/>
      <c r="P451" s="3" t="str">
        <f>IFERROR(__xludf.DUMMYFUNCTION("IF(OR(F451="""",F451=""Seleccionar..""),"""",TRANSPOSE(FILTER(Productos!E:E,(Productos!F:F=D451)+(Productos!F:F=XLOOKUP(D451,Implementos!B:B,Implementos!C:C,""-"",0,1)))))"),"")</f>
        <v/>
      </c>
    </row>
    <row r="452" hidden="1">
      <c r="A452" s="38" t="str">
        <f t="shared" si="1"/>
        <v/>
      </c>
      <c r="B452" s="38" t="str">
        <f>IF(F452="","",SUMIF(Prearmados!E:E,F452,Prearmados!A:A))</f>
        <v/>
      </c>
      <c r="C452" s="38" t="str">
        <f>IF(F452="","",SUMIF(Productos!E:E,G452,Productos!A:A))</f>
        <v/>
      </c>
      <c r="D452" s="85" t="str">
        <f t="array" ref="D452">IF(OR(F452="",F452="Seleccionar.."),"",XLOOKUP(F452,Prearmados!E:E,Prearmados!F:F,"",0,1))</f>
        <v/>
      </c>
      <c r="E452" s="83" t="str">
        <f>IF(H452="","",SUMIF(Precio_Productos!K:K,C452,Precio_Productos!J:J)*H452)</f>
        <v/>
      </c>
      <c r="F452" s="86" t="str">
        <f t="shared" si="2"/>
        <v/>
      </c>
      <c r="G452" s="86" t="str">
        <f t="shared" si="3"/>
        <v/>
      </c>
      <c r="H452" s="15"/>
      <c r="P452" s="3" t="str">
        <f>IFERROR(__xludf.DUMMYFUNCTION("IF(OR(F452="""",F452=""Seleccionar..""),"""",TRANSPOSE(FILTER(Productos!E:E,(Productos!F:F=D452)+(Productos!F:F=XLOOKUP(D452,Implementos!B:B,Implementos!C:C,""-"",0,1)))))"),"")</f>
        <v/>
      </c>
    </row>
    <row r="453" hidden="1">
      <c r="A453" s="38" t="str">
        <f t="shared" si="1"/>
        <v/>
      </c>
      <c r="B453" s="38" t="str">
        <f>IF(F453="","",SUMIF(Prearmados!E:E,F453,Prearmados!A:A))</f>
        <v/>
      </c>
      <c r="C453" s="38" t="str">
        <f>IF(F453="","",SUMIF(Productos!E:E,G453,Productos!A:A))</f>
        <v/>
      </c>
      <c r="D453" s="85" t="str">
        <f t="array" ref="D453">IF(OR(F453="",F453="Seleccionar.."),"",XLOOKUP(F453,Prearmados!E:E,Prearmados!F:F,"",0,1))</f>
        <v/>
      </c>
      <c r="E453" s="83" t="str">
        <f>IF(H453="","",SUMIF(Precio_Productos!K:K,C453,Precio_Productos!J:J)*H453)</f>
        <v/>
      </c>
      <c r="F453" s="86" t="str">
        <f t="shared" si="2"/>
        <v/>
      </c>
      <c r="G453" s="86" t="str">
        <f t="shared" si="3"/>
        <v/>
      </c>
      <c r="H453" s="15"/>
      <c r="P453" s="3" t="str">
        <f>IFERROR(__xludf.DUMMYFUNCTION("IF(OR(F453="""",F453=""Seleccionar..""),"""",TRANSPOSE(FILTER(Productos!E:E,(Productos!F:F=D453)+(Productos!F:F=XLOOKUP(D453,Implementos!B:B,Implementos!C:C,""-"",0,1)))))"),"")</f>
        <v/>
      </c>
    </row>
    <row r="454" hidden="1">
      <c r="A454" s="38" t="str">
        <f t="shared" si="1"/>
        <v/>
      </c>
      <c r="B454" s="38" t="str">
        <f>IF(F454="","",SUMIF(Prearmados!E:E,F454,Prearmados!A:A))</f>
        <v/>
      </c>
      <c r="C454" s="38" t="str">
        <f>IF(F454="","",SUMIF(Productos!E:E,G454,Productos!A:A))</f>
        <v/>
      </c>
      <c r="D454" s="85" t="str">
        <f t="array" ref="D454">IF(OR(F454="",F454="Seleccionar.."),"",XLOOKUP(F454,Prearmados!E:E,Prearmados!F:F,"",0,1))</f>
        <v/>
      </c>
      <c r="E454" s="83" t="str">
        <f>IF(H454="","",SUMIF(Precio_Productos!K:K,C454,Precio_Productos!J:J)*H454)</f>
        <v/>
      </c>
      <c r="F454" s="86" t="str">
        <f t="shared" si="2"/>
        <v/>
      </c>
      <c r="G454" s="86" t="str">
        <f t="shared" si="3"/>
        <v/>
      </c>
      <c r="H454" s="15"/>
      <c r="P454" s="3" t="str">
        <f>IFERROR(__xludf.DUMMYFUNCTION("IF(OR(F454="""",F454=""Seleccionar..""),"""",TRANSPOSE(FILTER(Productos!E:E,(Productos!F:F=D454)+(Productos!F:F=XLOOKUP(D454,Implementos!B:B,Implementos!C:C,""-"",0,1)))))"),"")</f>
        <v/>
      </c>
    </row>
    <row r="455" hidden="1">
      <c r="A455" s="38" t="str">
        <f t="shared" si="1"/>
        <v/>
      </c>
      <c r="B455" s="38" t="str">
        <f>IF(F455="","",SUMIF(Prearmados!E:E,F455,Prearmados!A:A))</f>
        <v/>
      </c>
      <c r="C455" s="38" t="str">
        <f>IF(F455="","",SUMIF(Productos!E:E,G455,Productos!A:A))</f>
        <v/>
      </c>
      <c r="D455" s="85" t="str">
        <f t="array" ref="D455">IF(OR(F455="",F455="Seleccionar.."),"",XLOOKUP(F455,Prearmados!E:E,Prearmados!F:F,"",0,1))</f>
        <v/>
      </c>
      <c r="E455" s="83" t="str">
        <f>IF(H455="","",SUMIF(Precio_Productos!K:K,C455,Precio_Productos!J:J)*H455)</f>
        <v/>
      </c>
      <c r="F455" s="86" t="str">
        <f t="shared" si="2"/>
        <v/>
      </c>
      <c r="G455" s="86" t="str">
        <f t="shared" si="3"/>
        <v/>
      </c>
      <c r="H455" s="15"/>
      <c r="P455" s="3" t="str">
        <f>IFERROR(__xludf.DUMMYFUNCTION("IF(OR(F455="""",F455=""Seleccionar..""),"""",TRANSPOSE(FILTER(Productos!E:E,(Productos!F:F=D455)+(Productos!F:F=XLOOKUP(D455,Implementos!B:B,Implementos!C:C,""-"",0,1)))))"),"")</f>
        <v/>
      </c>
    </row>
    <row r="456" hidden="1">
      <c r="A456" s="38" t="str">
        <f t="shared" si="1"/>
        <v/>
      </c>
      <c r="B456" s="38" t="str">
        <f>IF(F456="","",SUMIF(Prearmados!E:E,F456,Prearmados!A:A))</f>
        <v/>
      </c>
      <c r="C456" s="38" t="str">
        <f>IF(F456="","",SUMIF(Productos!E:E,G456,Productos!A:A))</f>
        <v/>
      </c>
      <c r="D456" s="85" t="str">
        <f t="array" ref="D456">IF(OR(F456="",F456="Seleccionar.."),"",XLOOKUP(F456,Prearmados!E:E,Prearmados!F:F,"",0,1))</f>
        <v/>
      </c>
      <c r="E456" s="83" t="str">
        <f>IF(H456="","",SUMIF(Precio_Productos!K:K,C456,Precio_Productos!J:J)*H456)</f>
        <v/>
      </c>
      <c r="F456" s="86" t="str">
        <f t="shared" si="2"/>
        <v/>
      </c>
      <c r="G456" s="86" t="str">
        <f t="shared" si="3"/>
        <v/>
      </c>
      <c r="H456" s="15"/>
      <c r="P456" s="3" t="str">
        <f>IFERROR(__xludf.DUMMYFUNCTION("IF(OR(F456="""",F456=""Seleccionar..""),"""",TRANSPOSE(FILTER(Productos!E:E,(Productos!F:F=D456)+(Productos!F:F=XLOOKUP(D456,Implementos!B:B,Implementos!C:C,""-"",0,1)))))"),"")</f>
        <v/>
      </c>
    </row>
    <row r="457" hidden="1">
      <c r="A457" s="38" t="str">
        <f t="shared" si="1"/>
        <v/>
      </c>
      <c r="B457" s="38" t="str">
        <f>IF(F457="","",SUMIF(Prearmados!E:E,F457,Prearmados!A:A))</f>
        <v/>
      </c>
      <c r="C457" s="38" t="str">
        <f>IF(F457="","",SUMIF(Productos!E:E,G457,Productos!A:A))</f>
        <v/>
      </c>
      <c r="D457" s="85" t="str">
        <f t="array" ref="D457">IF(OR(F457="",F457="Seleccionar.."),"",XLOOKUP(F457,Prearmados!E:E,Prearmados!F:F,"",0,1))</f>
        <v/>
      </c>
      <c r="E457" s="83" t="str">
        <f>IF(H457="","",SUMIF(Precio_Productos!K:K,C457,Precio_Productos!J:J)*H457)</f>
        <v/>
      </c>
      <c r="F457" s="86" t="str">
        <f t="shared" si="2"/>
        <v/>
      </c>
      <c r="G457" s="86" t="str">
        <f t="shared" si="3"/>
        <v/>
      </c>
      <c r="H457" s="15"/>
      <c r="P457" s="3" t="str">
        <f>IFERROR(__xludf.DUMMYFUNCTION("IF(OR(F457="""",F457=""Seleccionar..""),"""",TRANSPOSE(FILTER(Productos!E:E,(Productos!F:F=D457)+(Productos!F:F=XLOOKUP(D457,Implementos!B:B,Implementos!C:C,""-"",0,1)))))"),"")</f>
        <v/>
      </c>
    </row>
    <row r="458" hidden="1">
      <c r="A458" s="38" t="str">
        <f t="shared" si="1"/>
        <v/>
      </c>
      <c r="B458" s="38" t="str">
        <f>IF(F458="","",SUMIF(Prearmados!E:E,F458,Prearmados!A:A))</f>
        <v/>
      </c>
      <c r="C458" s="38" t="str">
        <f>IF(F458="","",SUMIF(Productos!E:E,G458,Productos!A:A))</f>
        <v/>
      </c>
      <c r="D458" s="85" t="str">
        <f t="array" ref="D458">IF(OR(F458="",F458="Seleccionar.."),"",XLOOKUP(F458,Prearmados!E:E,Prearmados!F:F,"",0,1))</f>
        <v/>
      </c>
      <c r="E458" s="83" t="str">
        <f>IF(H458="","",SUMIF(Precio_Productos!K:K,C458,Precio_Productos!J:J)*H458)</f>
        <v/>
      </c>
      <c r="F458" s="86" t="str">
        <f t="shared" si="2"/>
        <v/>
      </c>
      <c r="G458" s="86" t="str">
        <f t="shared" si="3"/>
        <v/>
      </c>
      <c r="H458" s="15"/>
      <c r="P458" s="3" t="str">
        <f>IFERROR(__xludf.DUMMYFUNCTION("IF(OR(F458="""",F458=""Seleccionar..""),"""",TRANSPOSE(FILTER(Productos!E:E,(Productos!F:F=D458)+(Productos!F:F=XLOOKUP(D458,Implementos!B:B,Implementos!C:C,""-"",0,1)))))"),"")</f>
        <v/>
      </c>
    </row>
    <row r="459" hidden="1">
      <c r="A459" s="38" t="str">
        <f t="shared" si="1"/>
        <v/>
      </c>
      <c r="B459" s="38" t="str">
        <f>IF(F459="","",SUMIF(Prearmados!E:E,F459,Prearmados!A:A))</f>
        <v/>
      </c>
      <c r="C459" s="38" t="str">
        <f>IF(F459="","",SUMIF(Productos!E:E,G459,Productos!A:A))</f>
        <v/>
      </c>
      <c r="D459" s="85" t="str">
        <f t="array" ref="D459">IF(OR(F459="",F459="Seleccionar.."),"",XLOOKUP(F459,Prearmados!E:E,Prearmados!F:F,"",0,1))</f>
        <v/>
      </c>
      <c r="E459" s="83" t="str">
        <f>IF(H459="","",SUMIF(Precio_Productos!K:K,C459,Precio_Productos!J:J)*H459)</f>
        <v/>
      </c>
      <c r="F459" s="86" t="str">
        <f t="shared" si="2"/>
        <v/>
      </c>
      <c r="G459" s="86" t="str">
        <f t="shared" si="3"/>
        <v/>
      </c>
      <c r="H459" s="15"/>
      <c r="P459" s="3" t="str">
        <f>IFERROR(__xludf.DUMMYFUNCTION("IF(OR(F459="""",F459=""Seleccionar..""),"""",TRANSPOSE(FILTER(Productos!E:E,(Productos!F:F=D459)+(Productos!F:F=XLOOKUP(D459,Implementos!B:B,Implementos!C:C,""-"",0,1)))))"),"")</f>
        <v/>
      </c>
    </row>
    <row r="460" hidden="1">
      <c r="A460" s="38" t="str">
        <f t="shared" si="1"/>
        <v/>
      </c>
      <c r="B460" s="38" t="str">
        <f>IF(F460="","",SUMIF(Prearmados!E:E,F460,Prearmados!A:A))</f>
        <v/>
      </c>
      <c r="C460" s="38" t="str">
        <f>IF(F460="","",SUMIF(Productos!E:E,G460,Productos!A:A))</f>
        <v/>
      </c>
      <c r="D460" s="85" t="str">
        <f t="array" ref="D460">IF(OR(F460="",F460="Seleccionar.."),"",XLOOKUP(F460,Prearmados!E:E,Prearmados!F:F,"",0,1))</f>
        <v/>
      </c>
      <c r="E460" s="83" t="str">
        <f>IF(H460="","",SUMIF(Precio_Productos!K:K,C460,Precio_Productos!J:J)*H460)</f>
        <v/>
      </c>
      <c r="F460" s="86" t="str">
        <f t="shared" si="2"/>
        <v/>
      </c>
      <c r="G460" s="86" t="str">
        <f t="shared" si="3"/>
        <v/>
      </c>
      <c r="H460" s="15"/>
      <c r="P460" s="3" t="str">
        <f>IFERROR(__xludf.DUMMYFUNCTION("IF(OR(F460="""",F460=""Seleccionar..""),"""",TRANSPOSE(FILTER(Productos!E:E,(Productos!F:F=D460)+(Productos!F:F=XLOOKUP(D460,Implementos!B:B,Implementos!C:C,""-"",0,1)))))"),"")</f>
        <v/>
      </c>
    </row>
    <row r="461" hidden="1">
      <c r="A461" s="38" t="str">
        <f t="shared" si="1"/>
        <v/>
      </c>
      <c r="B461" s="38" t="str">
        <f>IF(F461="","",SUMIF(Prearmados!E:E,F461,Prearmados!A:A))</f>
        <v/>
      </c>
      <c r="C461" s="38" t="str">
        <f>IF(F461="","",SUMIF(Productos!E:E,G461,Productos!A:A))</f>
        <v/>
      </c>
      <c r="D461" s="85" t="str">
        <f t="array" ref="D461">IF(OR(F461="",F461="Seleccionar.."),"",XLOOKUP(F461,Prearmados!E:E,Prearmados!F:F,"",0,1))</f>
        <v/>
      </c>
      <c r="E461" s="83" t="str">
        <f>IF(H461="","",SUMIF(Precio_Productos!K:K,C461,Precio_Productos!J:J)*H461)</f>
        <v/>
      </c>
      <c r="F461" s="86" t="str">
        <f t="shared" si="2"/>
        <v/>
      </c>
      <c r="G461" s="86" t="str">
        <f t="shared" si="3"/>
        <v/>
      </c>
      <c r="H461" s="15"/>
      <c r="P461" s="3" t="str">
        <f>IFERROR(__xludf.DUMMYFUNCTION("IF(OR(F461="""",F461=""Seleccionar..""),"""",TRANSPOSE(FILTER(Productos!E:E,(Productos!F:F=D461)+(Productos!F:F=XLOOKUP(D461,Implementos!B:B,Implementos!C:C,""-"",0,1)))))"),"")</f>
        <v/>
      </c>
    </row>
    <row r="462" hidden="1">
      <c r="A462" s="38" t="str">
        <f t="shared" si="1"/>
        <v/>
      </c>
      <c r="B462" s="38" t="str">
        <f>IF(F462="","",SUMIF(Prearmados!E:E,F462,Prearmados!A:A))</f>
        <v/>
      </c>
      <c r="C462" s="38" t="str">
        <f>IF(F462="","",SUMIF(Productos!E:E,G462,Productos!A:A))</f>
        <v/>
      </c>
      <c r="D462" s="85" t="str">
        <f t="array" ref="D462">IF(OR(F462="",F462="Seleccionar.."),"",XLOOKUP(F462,Prearmados!E:E,Prearmados!F:F,"",0,1))</f>
        <v/>
      </c>
      <c r="E462" s="83" t="str">
        <f>IF(H462="","",SUMIF(Precio_Productos!K:K,C462,Precio_Productos!J:J)*H462)</f>
        <v/>
      </c>
      <c r="F462" s="86" t="str">
        <f t="shared" si="2"/>
        <v/>
      </c>
      <c r="G462" s="86" t="str">
        <f t="shared" si="3"/>
        <v/>
      </c>
      <c r="H462" s="15"/>
      <c r="P462" s="3" t="str">
        <f>IFERROR(__xludf.DUMMYFUNCTION("IF(OR(F462="""",F462=""Seleccionar..""),"""",TRANSPOSE(FILTER(Productos!E:E,(Productos!F:F=D462)+(Productos!F:F=XLOOKUP(D462,Implementos!B:B,Implementos!C:C,""-"",0,1)))))"),"")</f>
        <v/>
      </c>
    </row>
    <row r="463" hidden="1">
      <c r="A463" s="38" t="str">
        <f t="shared" si="1"/>
        <v/>
      </c>
      <c r="B463" s="38" t="str">
        <f>IF(F463="","",SUMIF(Prearmados!E:E,F463,Prearmados!A:A))</f>
        <v/>
      </c>
      <c r="C463" s="38" t="str">
        <f>IF(F463="","",SUMIF(Productos!E:E,G463,Productos!A:A))</f>
        <v/>
      </c>
      <c r="D463" s="85" t="str">
        <f t="array" ref="D463">IF(OR(F463="",F463="Seleccionar.."),"",XLOOKUP(F463,Prearmados!E:E,Prearmados!F:F,"",0,1))</f>
        <v/>
      </c>
      <c r="E463" s="83" t="str">
        <f>IF(H463="","",SUMIF(Precio_Productos!K:K,C463,Precio_Productos!J:J)*H463)</f>
        <v/>
      </c>
      <c r="F463" s="86" t="str">
        <f t="shared" si="2"/>
        <v/>
      </c>
      <c r="G463" s="86" t="str">
        <f t="shared" si="3"/>
        <v/>
      </c>
      <c r="H463" s="15"/>
      <c r="P463" s="3" t="str">
        <f>IFERROR(__xludf.DUMMYFUNCTION("IF(OR(F463="""",F463=""Seleccionar..""),"""",TRANSPOSE(FILTER(Productos!E:E,(Productos!F:F=D463)+(Productos!F:F=XLOOKUP(D463,Implementos!B:B,Implementos!C:C,""-"",0,1)))))"),"")</f>
        <v/>
      </c>
    </row>
    <row r="464" hidden="1">
      <c r="A464" s="38" t="str">
        <f t="shared" si="1"/>
        <v/>
      </c>
      <c r="B464" s="38" t="str">
        <f>IF(F464="","",SUMIF(Prearmados!E:E,F464,Prearmados!A:A))</f>
        <v/>
      </c>
      <c r="C464" s="38" t="str">
        <f>IF(F464="","",SUMIF(Productos!E:E,G464,Productos!A:A))</f>
        <v/>
      </c>
      <c r="D464" s="85" t="str">
        <f t="array" ref="D464">IF(OR(F464="",F464="Seleccionar.."),"",XLOOKUP(F464,Prearmados!E:E,Prearmados!F:F,"",0,1))</f>
        <v/>
      </c>
      <c r="E464" s="83" t="str">
        <f>IF(H464="","",SUMIF(Precio_Productos!K:K,C464,Precio_Productos!J:J)*H464)</f>
        <v/>
      </c>
      <c r="F464" s="86" t="str">
        <f t="shared" si="2"/>
        <v/>
      </c>
      <c r="G464" s="86" t="str">
        <f t="shared" si="3"/>
        <v/>
      </c>
      <c r="H464" s="15"/>
      <c r="P464" s="3" t="str">
        <f>IFERROR(__xludf.DUMMYFUNCTION("IF(OR(F464="""",F464=""Seleccionar..""),"""",TRANSPOSE(FILTER(Productos!E:E,(Productos!F:F=D464)+(Productos!F:F=XLOOKUP(D464,Implementos!B:B,Implementos!C:C,""-"",0,1)))))"),"")</f>
        <v/>
      </c>
    </row>
    <row r="465" hidden="1">
      <c r="A465" s="38" t="str">
        <f t="shared" si="1"/>
        <v/>
      </c>
      <c r="B465" s="38" t="str">
        <f>IF(F465="","",SUMIF(Prearmados!E:E,F465,Prearmados!A:A))</f>
        <v/>
      </c>
      <c r="C465" s="38" t="str">
        <f>IF(F465="","",SUMIF(Productos!E:E,G465,Productos!A:A))</f>
        <v/>
      </c>
      <c r="D465" s="85" t="str">
        <f t="array" ref="D465">IF(OR(F465="",F465="Seleccionar.."),"",XLOOKUP(F465,Prearmados!E:E,Prearmados!F:F,"",0,1))</f>
        <v/>
      </c>
      <c r="E465" s="83" t="str">
        <f>IF(H465="","",SUMIF(Precio_Productos!K:K,C465,Precio_Productos!J:J)*H465)</f>
        <v/>
      </c>
      <c r="F465" s="86" t="str">
        <f t="shared" si="2"/>
        <v/>
      </c>
      <c r="G465" s="86" t="str">
        <f t="shared" si="3"/>
        <v/>
      </c>
      <c r="H465" s="15"/>
      <c r="P465" s="3" t="str">
        <f>IFERROR(__xludf.DUMMYFUNCTION("IF(OR(F465="""",F465=""Seleccionar..""),"""",TRANSPOSE(FILTER(Productos!E:E,(Productos!F:F=D465)+(Productos!F:F=XLOOKUP(D465,Implementos!B:B,Implementos!C:C,""-"",0,1)))))"),"")</f>
        <v/>
      </c>
    </row>
    <row r="466" hidden="1">
      <c r="A466" s="38" t="str">
        <f t="shared" si="1"/>
        <v/>
      </c>
      <c r="B466" s="38" t="str">
        <f>IF(F466="","",SUMIF(Prearmados!E:E,F466,Prearmados!A:A))</f>
        <v/>
      </c>
      <c r="C466" s="38" t="str">
        <f>IF(F466="","",SUMIF(Productos!E:E,G466,Productos!A:A))</f>
        <v/>
      </c>
      <c r="D466" s="85" t="str">
        <f t="array" ref="D466">IF(OR(F466="",F466="Seleccionar.."),"",XLOOKUP(F466,Prearmados!E:E,Prearmados!F:F,"",0,1))</f>
        <v/>
      </c>
      <c r="E466" s="83" t="str">
        <f>IF(H466="","",SUMIF(Precio_Productos!K:K,C466,Precio_Productos!J:J)*H466)</f>
        <v/>
      </c>
      <c r="F466" s="86" t="str">
        <f t="shared" si="2"/>
        <v/>
      </c>
      <c r="G466" s="86" t="str">
        <f t="shared" si="3"/>
        <v/>
      </c>
      <c r="H466" s="15"/>
      <c r="P466" s="3" t="str">
        <f>IFERROR(__xludf.DUMMYFUNCTION("IF(OR(F466="""",F466=""Seleccionar..""),"""",TRANSPOSE(FILTER(Productos!E:E,(Productos!F:F=D466)+(Productos!F:F=XLOOKUP(D466,Implementos!B:B,Implementos!C:C,""-"",0,1)))))"),"")</f>
        <v/>
      </c>
    </row>
    <row r="467" hidden="1">
      <c r="A467" s="38" t="str">
        <f t="shared" si="1"/>
        <v/>
      </c>
      <c r="B467" s="38" t="str">
        <f>IF(F467="","",SUMIF(Prearmados!E:E,F467,Prearmados!A:A))</f>
        <v/>
      </c>
      <c r="C467" s="38" t="str">
        <f>IF(F467="","",SUMIF(Productos!E:E,G467,Productos!A:A))</f>
        <v/>
      </c>
      <c r="D467" s="85" t="str">
        <f t="array" ref="D467">IF(OR(F467="",F467="Seleccionar.."),"",XLOOKUP(F467,Prearmados!E:E,Prearmados!F:F,"",0,1))</f>
        <v/>
      </c>
      <c r="E467" s="83" t="str">
        <f>IF(H467="","",SUMIF(Precio_Productos!K:K,C467,Precio_Productos!J:J)*H467)</f>
        <v/>
      </c>
      <c r="F467" s="86" t="str">
        <f t="shared" si="2"/>
        <v/>
      </c>
      <c r="G467" s="86" t="str">
        <f t="shared" si="3"/>
        <v/>
      </c>
      <c r="H467" s="15"/>
      <c r="P467" s="3" t="str">
        <f>IFERROR(__xludf.DUMMYFUNCTION("IF(OR(F467="""",F467=""Seleccionar..""),"""",TRANSPOSE(FILTER(Productos!E:E,(Productos!F:F=D467)+(Productos!F:F=XLOOKUP(D467,Implementos!B:B,Implementos!C:C,""-"",0,1)))))"),"")</f>
        <v/>
      </c>
    </row>
    <row r="468" hidden="1">
      <c r="A468" s="38" t="str">
        <f t="shared" si="1"/>
        <v/>
      </c>
      <c r="B468" s="38" t="str">
        <f>IF(F468="","",SUMIF(Prearmados!E:E,F468,Prearmados!A:A))</f>
        <v/>
      </c>
      <c r="C468" s="38" t="str">
        <f>IF(F468="","",SUMIF(Productos!E:E,G468,Productos!A:A))</f>
        <v/>
      </c>
      <c r="D468" s="85" t="str">
        <f t="array" ref="D468">IF(OR(F468="",F468="Seleccionar.."),"",XLOOKUP(F468,Prearmados!E:E,Prearmados!F:F,"",0,1))</f>
        <v/>
      </c>
      <c r="E468" s="83" t="str">
        <f>IF(H468="","",SUMIF(Precio_Productos!K:K,C468,Precio_Productos!J:J)*H468)</f>
        <v/>
      </c>
      <c r="F468" s="86" t="str">
        <f t="shared" si="2"/>
        <v/>
      </c>
      <c r="G468" s="86" t="str">
        <f t="shared" si="3"/>
        <v/>
      </c>
      <c r="H468" s="15"/>
      <c r="P468" s="3" t="str">
        <f>IFERROR(__xludf.DUMMYFUNCTION("IF(OR(F468="""",F468=""Seleccionar..""),"""",TRANSPOSE(FILTER(Productos!E:E,(Productos!F:F=D468)+(Productos!F:F=XLOOKUP(D468,Implementos!B:B,Implementos!C:C,""-"",0,1)))))"),"")</f>
        <v/>
      </c>
    </row>
    <row r="469" hidden="1">
      <c r="A469" s="38" t="str">
        <f t="shared" si="1"/>
        <v/>
      </c>
      <c r="B469" s="38" t="str">
        <f>IF(F469="","",SUMIF(Prearmados!E:E,F469,Prearmados!A:A))</f>
        <v/>
      </c>
      <c r="C469" s="38" t="str">
        <f>IF(F469="","",SUMIF(Productos!E:E,G469,Productos!A:A))</f>
        <v/>
      </c>
      <c r="D469" s="85" t="str">
        <f t="array" ref="D469">IF(OR(F469="",F469="Seleccionar.."),"",XLOOKUP(F469,Prearmados!E:E,Prearmados!F:F,"",0,1))</f>
        <v/>
      </c>
      <c r="E469" s="83" t="str">
        <f>IF(H469="","",SUMIF(Precio_Productos!K:K,C469,Precio_Productos!J:J)*H469)</f>
        <v/>
      </c>
      <c r="F469" s="86" t="str">
        <f t="shared" si="2"/>
        <v/>
      </c>
      <c r="G469" s="86" t="str">
        <f t="shared" si="3"/>
        <v/>
      </c>
      <c r="H469" s="15"/>
      <c r="P469" s="3" t="str">
        <f>IFERROR(__xludf.DUMMYFUNCTION("IF(OR(F469="""",F469=""Seleccionar..""),"""",TRANSPOSE(FILTER(Productos!E:E,(Productos!F:F=D469)+(Productos!F:F=XLOOKUP(D469,Implementos!B:B,Implementos!C:C,""-"",0,1)))))"),"")</f>
        <v/>
      </c>
    </row>
    <row r="470" hidden="1">
      <c r="A470" s="38" t="str">
        <f t="shared" si="1"/>
        <v/>
      </c>
      <c r="B470" s="38" t="str">
        <f>IF(F470="","",SUMIF(Prearmados!E:E,F470,Prearmados!A:A))</f>
        <v/>
      </c>
      <c r="C470" s="38" t="str">
        <f>IF(F470="","",SUMIF(Productos!E:E,G470,Productos!A:A))</f>
        <v/>
      </c>
      <c r="D470" s="85" t="str">
        <f t="array" ref="D470">IF(OR(F470="",F470="Seleccionar.."),"",XLOOKUP(F470,Prearmados!E:E,Prearmados!F:F,"",0,1))</f>
        <v/>
      </c>
      <c r="E470" s="83" t="str">
        <f>IF(H470="","",SUMIF(Precio_Productos!K:K,C470,Precio_Productos!J:J)*H470)</f>
        <v/>
      </c>
      <c r="F470" s="86" t="str">
        <f t="shared" si="2"/>
        <v/>
      </c>
      <c r="G470" s="86" t="str">
        <f t="shared" si="3"/>
        <v/>
      </c>
      <c r="H470" s="15"/>
      <c r="P470" s="3" t="str">
        <f>IFERROR(__xludf.DUMMYFUNCTION("IF(OR(F470="""",F470=""Seleccionar..""),"""",TRANSPOSE(FILTER(Productos!E:E,(Productos!F:F=D470)+(Productos!F:F=XLOOKUP(D470,Implementos!B:B,Implementos!C:C,""-"",0,1)))))"),"")</f>
        <v/>
      </c>
    </row>
    <row r="471" hidden="1">
      <c r="A471" s="38" t="str">
        <f t="shared" si="1"/>
        <v/>
      </c>
      <c r="B471" s="38" t="str">
        <f>IF(F471="","",SUMIF(Prearmados!E:E,F471,Prearmados!A:A))</f>
        <v/>
      </c>
      <c r="C471" s="38" t="str">
        <f>IF(F471="","",SUMIF(Productos!E:E,G471,Productos!A:A))</f>
        <v/>
      </c>
      <c r="D471" s="85" t="str">
        <f t="array" ref="D471">IF(OR(F471="",F471="Seleccionar.."),"",XLOOKUP(F471,Prearmados!E:E,Prearmados!F:F,"",0,1))</f>
        <v/>
      </c>
      <c r="E471" s="83" t="str">
        <f>IF(H471="","",SUMIF(Precio_Productos!K:K,C471,Precio_Productos!J:J)*H471)</f>
        <v/>
      </c>
      <c r="F471" s="86" t="str">
        <f t="shared" si="2"/>
        <v/>
      </c>
      <c r="G471" s="86" t="str">
        <f t="shared" si="3"/>
        <v/>
      </c>
      <c r="H471" s="15"/>
      <c r="P471" s="3" t="str">
        <f>IFERROR(__xludf.DUMMYFUNCTION("IF(OR(F471="""",F471=""Seleccionar..""),"""",TRANSPOSE(FILTER(Productos!E:E,(Productos!F:F=D471)+(Productos!F:F=XLOOKUP(D471,Implementos!B:B,Implementos!C:C,""-"",0,1)))))"),"")</f>
        <v/>
      </c>
    </row>
    <row r="472" hidden="1">
      <c r="A472" s="38" t="str">
        <f t="shared" si="1"/>
        <v/>
      </c>
      <c r="B472" s="38" t="str">
        <f>IF(F472="","",SUMIF(Prearmados!E:E,F472,Prearmados!A:A))</f>
        <v/>
      </c>
      <c r="C472" s="38" t="str">
        <f>IF(F472="","",SUMIF(Productos!E:E,G472,Productos!A:A))</f>
        <v/>
      </c>
      <c r="D472" s="85" t="str">
        <f t="array" ref="D472">IF(OR(F472="",F472="Seleccionar.."),"",XLOOKUP(F472,Prearmados!E:E,Prearmados!F:F,"",0,1))</f>
        <v/>
      </c>
      <c r="E472" s="83" t="str">
        <f>IF(H472="","",SUMIF(Precio_Productos!K:K,C472,Precio_Productos!J:J)*H472)</f>
        <v/>
      </c>
      <c r="F472" s="86" t="str">
        <f t="shared" si="2"/>
        <v/>
      </c>
      <c r="G472" s="86" t="str">
        <f t="shared" si="3"/>
        <v/>
      </c>
      <c r="H472" s="15"/>
      <c r="P472" s="3" t="str">
        <f>IFERROR(__xludf.DUMMYFUNCTION("IF(OR(F472="""",F472=""Seleccionar..""),"""",TRANSPOSE(FILTER(Productos!E:E,(Productos!F:F=D472)+(Productos!F:F=XLOOKUP(D472,Implementos!B:B,Implementos!C:C,""-"",0,1)))))"),"")</f>
        <v/>
      </c>
    </row>
    <row r="473" hidden="1">
      <c r="A473" s="38" t="str">
        <f t="shared" si="1"/>
        <v/>
      </c>
      <c r="B473" s="38" t="str">
        <f>IF(F473="","",SUMIF(Prearmados!E:E,F473,Prearmados!A:A))</f>
        <v/>
      </c>
      <c r="C473" s="38" t="str">
        <f>IF(F473="","",SUMIF(Productos!E:E,G473,Productos!A:A))</f>
        <v/>
      </c>
      <c r="D473" s="85" t="str">
        <f t="array" ref="D473">IF(OR(F473="",F473="Seleccionar.."),"",XLOOKUP(F473,Prearmados!E:E,Prearmados!F:F,"",0,1))</f>
        <v/>
      </c>
      <c r="E473" s="83" t="str">
        <f>IF(H473="","",SUMIF(Precio_Productos!K:K,C473,Precio_Productos!J:J)*H473)</f>
        <v/>
      </c>
      <c r="F473" s="86" t="str">
        <f t="shared" si="2"/>
        <v/>
      </c>
      <c r="G473" s="86" t="str">
        <f t="shared" si="3"/>
        <v/>
      </c>
      <c r="H473" s="15"/>
      <c r="P473" s="3" t="str">
        <f>IFERROR(__xludf.DUMMYFUNCTION("IF(OR(F473="""",F473=""Seleccionar..""),"""",TRANSPOSE(FILTER(Productos!E:E,(Productos!F:F=D473)+(Productos!F:F=XLOOKUP(D473,Implementos!B:B,Implementos!C:C,""-"",0,1)))))"),"")</f>
        <v/>
      </c>
    </row>
    <row r="474" hidden="1">
      <c r="A474" s="38" t="str">
        <f t="shared" si="1"/>
        <v/>
      </c>
      <c r="B474" s="38" t="str">
        <f>IF(F474="","",SUMIF(Prearmados!E:E,F474,Prearmados!A:A))</f>
        <v/>
      </c>
      <c r="C474" s="38" t="str">
        <f>IF(F474="","",SUMIF(Productos!E:E,G474,Productos!A:A))</f>
        <v/>
      </c>
      <c r="D474" s="85" t="str">
        <f t="array" ref="D474">IF(OR(F474="",F474="Seleccionar.."),"",XLOOKUP(F474,Prearmados!E:E,Prearmados!F:F,"",0,1))</f>
        <v/>
      </c>
      <c r="E474" s="83" t="str">
        <f>IF(H474="","",SUMIF(Precio_Productos!K:K,C474,Precio_Productos!J:J)*H474)</f>
        <v/>
      </c>
      <c r="F474" s="86" t="str">
        <f t="shared" si="2"/>
        <v/>
      </c>
      <c r="G474" s="86" t="str">
        <f t="shared" si="3"/>
        <v/>
      </c>
      <c r="H474" s="15"/>
      <c r="P474" s="3" t="str">
        <f>IFERROR(__xludf.DUMMYFUNCTION("IF(OR(F474="""",F474=""Seleccionar..""),"""",TRANSPOSE(FILTER(Productos!E:E,(Productos!F:F=D474)+(Productos!F:F=XLOOKUP(D474,Implementos!B:B,Implementos!C:C,""-"",0,1)))))"),"")</f>
        <v/>
      </c>
    </row>
    <row r="475" hidden="1">
      <c r="A475" s="38" t="str">
        <f t="shared" si="1"/>
        <v/>
      </c>
      <c r="B475" s="38" t="str">
        <f>IF(F475="","",SUMIF(Prearmados!E:E,F475,Prearmados!A:A))</f>
        <v/>
      </c>
      <c r="C475" s="38" t="str">
        <f>IF(F475="","",SUMIF(Productos!E:E,G475,Productos!A:A))</f>
        <v/>
      </c>
      <c r="D475" s="85" t="str">
        <f t="array" ref="D475">IF(OR(F475="",F475="Seleccionar.."),"",XLOOKUP(F475,Prearmados!E:E,Prearmados!F:F,"",0,1))</f>
        <v/>
      </c>
      <c r="E475" s="83" t="str">
        <f>IF(H475="","",SUMIF(Precio_Productos!K:K,C475,Precio_Productos!J:J)*H475)</f>
        <v/>
      </c>
      <c r="F475" s="86" t="str">
        <f t="shared" si="2"/>
        <v/>
      </c>
      <c r="G475" s="86" t="str">
        <f t="shared" si="3"/>
        <v/>
      </c>
      <c r="H475" s="15"/>
      <c r="P475" s="3" t="str">
        <f>IFERROR(__xludf.DUMMYFUNCTION("IF(OR(F475="""",F475=""Seleccionar..""),"""",TRANSPOSE(FILTER(Productos!E:E,(Productos!F:F=D475)+(Productos!F:F=XLOOKUP(D475,Implementos!B:B,Implementos!C:C,""-"",0,1)))))"),"")</f>
        <v/>
      </c>
    </row>
    <row r="476" hidden="1">
      <c r="A476" s="38" t="str">
        <f t="shared" si="1"/>
        <v/>
      </c>
      <c r="B476" s="38" t="str">
        <f>IF(F476="","",SUMIF(Prearmados!E:E,F476,Prearmados!A:A))</f>
        <v/>
      </c>
      <c r="C476" s="38" t="str">
        <f>IF(F476="","",SUMIF(Productos!E:E,G476,Productos!A:A))</f>
        <v/>
      </c>
      <c r="D476" s="85" t="str">
        <f t="array" ref="D476">IF(OR(F476="",F476="Seleccionar.."),"",XLOOKUP(F476,Prearmados!E:E,Prearmados!F:F,"",0,1))</f>
        <v/>
      </c>
      <c r="E476" s="83" t="str">
        <f>IF(H476="","",SUMIF(Precio_Productos!K:K,C476,Precio_Productos!J:J)*H476)</f>
        <v/>
      </c>
      <c r="F476" s="86" t="str">
        <f t="shared" si="2"/>
        <v/>
      </c>
      <c r="G476" s="86" t="str">
        <f t="shared" si="3"/>
        <v/>
      </c>
      <c r="H476" s="15"/>
      <c r="P476" s="3" t="str">
        <f>IFERROR(__xludf.DUMMYFUNCTION("IF(OR(F476="""",F476=""Seleccionar..""),"""",TRANSPOSE(FILTER(Productos!E:E,(Productos!F:F=D476)+(Productos!F:F=XLOOKUP(D476,Implementos!B:B,Implementos!C:C,""-"",0,1)))))"),"")</f>
        <v/>
      </c>
    </row>
    <row r="477" hidden="1">
      <c r="A477" s="38" t="str">
        <f t="shared" si="1"/>
        <v/>
      </c>
      <c r="B477" s="38" t="str">
        <f>IF(F477="","",SUMIF(Prearmados!E:E,F477,Prearmados!A:A))</f>
        <v/>
      </c>
      <c r="C477" s="38" t="str">
        <f>IF(F477="","",SUMIF(Productos!E:E,G477,Productos!A:A))</f>
        <v/>
      </c>
      <c r="D477" s="85" t="str">
        <f t="array" ref="D477">IF(OR(F477="",F477="Seleccionar.."),"",XLOOKUP(F477,Prearmados!E:E,Prearmados!F:F,"",0,1))</f>
        <v/>
      </c>
      <c r="E477" s="83" t="str">
        <f>IF(H477="","",SUMIF(Precio_Productos!K:K,C477,Precio_Productos!J:J)*H477)</f>
        <v/>
      </c>
      <c r="F477" s="86" t="str">
        <f t="shared" si="2"/>
        <v/>
      </c>
      <c r="G477" s="86" t="str">
        <f t="shared" si="3"/>
        <v/>
      </c>
      <c r="H477" s="15"/>
      <c r="P477" s="3" t="str">
        <f>IFERROR(__xludf.DUMMYFUNCTION("IF(OR(F477="""",F477=""Seleccionar..""),"""",TRANSPOSE(FILTER(Productos!E:E,(Productos!F:F=D477)+(Productos!F:F=XLOOKUP(D477,Implementos!B:B,Implementos!C:C,""-"",0,1)))))"),"")</f>
        <v/>
      </c>
    </row>
    <row r="478" hidden="1">
      <c r="A478" s="38" t="str">
        <f t="shared" si="1"/>
        <v/>
      </c>
      <c r="B478" s="38" t="str">
        <f>IF(F478="","",SUMIF(Prearmados!E:E,F478,Prearmados!A:A))</f>
        <v/>
      </c>
      <c r="C478" s="38" t="str">
        <f>IF(F478="","",SUMIF(Productos!E:E,G478,Productos!A:A))</f>
        <v/>
      </c>
      <c r="D478" s="85" t="str">
        <f t="array" ref="D478">IF(OR(F478="",F478="Seleccionar.."),"",XLOOKUP(F478,Prearmados!E:E,Prearmados!F:F,"",0,1))</f>
        <v/>
      </c>
      <c r="E478" s="83" t="str">
        <f>IF(H478="","",SUMIF(Precio_Productos!K:K,C478,Precio_Productos!J:J)*H478)</f>
        <v/>
      </c>
      <c r="F478" s="86" t="str">
        <f t="shared" si="2"/>
        <v/>
      </c>
      <c r="G478" s="86" t="str">
        <f t="shared" si="3"/>
        <v/>
      </c>
      <c r="H478" s="15"/>
      <c r="P478" s="3" t="str">
        <f>IFERROR(__xludf.DUMMYFUNCTION("IF(OR(F478="""",F478=""Seleccionar..""),"""",TRANSPOSE(FILTER(Productos!E:E,(Productos!F:F=D478)+(Productos!F:F=XLOOKUP(D478,Implementos!B:B,Implementos!C:C,""-"",0,1)))))"),"")</f>
        <v/>
      </c>
    </row>
    <row r="479" hidden="1">
      <c r="A479" s="38" t="str">
        <f t="shared" si="1"/>
        <v/>
      </c>
      <c r="B479" s="38" t="str">
        <f>IF(F479="","",SUMIF(Prearmados!E:E,F479,Prearmados!A:A))</f>
        <v/>
      </c>
      <c r="C479" s="38" t="str">
        <f>IF(F479="","",SUMIF(Productos!E:E,G479,Productos!A:A))</f>
        <v/>
      </c>
      <c r="D479" s="85" t="str">
        <f t="array" ref="D479">IF(OR(F479="",F479="Seleccionar.."),"",XLOOKUP(F479,Prearmados!E:E,Prearmados!F:F,"",0,1))</f>
        <v/>
      </c>
      <c r="E479" s="83" t="str">
        <f>IF(H479="","",SUMIF(Precio_Productos!K:K,C479,Precio_Productos!J:J)*H479)</f>
        <v/>
      </c>
      <c r="F479" s="86" t="str">
        <f t="shared" si="2"/>
        <v/>
      </c>
      <c r="G479" s="86" t="str">
        <f t="shared" si="3"/>
        <v/>
      </c>
      <c r="H479" s="15"/>
      <c r="P479" s="3" t="str">
        <f>IFERROR(__xludf.DUMMYFUNCTION("IF(OR(F479="""",F479=""Seleccionar..""),"""",TRANSPOSE(FILTER(Productos!E:E,(Productos!F:F=D479)+(Productos!F:F=XLOOKUP(D479,Implementos!B:B,Implementos!C:C,""-"",0,1)))))"),"")</f>
        <v/>
      </c>
    </row>
    <row r="480" hidden="1">
      <c r="A480" s="38" t="str">
        <f t="shared" si="1"/>
        <v/>
      </c>
      <c r="B480" s="38" t="str">
        <f>IF(F480="","",SUMIF(Prearmados!E:E,F480,Prearmados!A:A))</f>
        <v/>
      </c>
      <c r="C480" s="38" t="str">
        <f>IF(F480="","",SUMIF(Productos!E:E,G480,Productos!A:A))</f>
        <v/>
      </c>
      <c r="D480" s="85" t="str">
        <f t="array" ref="D480">IF(OR(F480="",F480="Seleccionar.."),"",XLOOKUP(F480,Prearmados!E:E,Prearmados!F:F,"",0,1))</f>
        <v/>
      </c>
      <c r="E480" s="83" t="str">
        <f>IF(H480="","",SUMIF(Precio_Productos!K:K,C480,Precio_Productos!J:J)*H480)</f>
        <v/>
      </c>
      <c r="F480" s="86" t="str">
        <f t="shared" si="2"/>
        <v/>
      </c>
      <c r="G480" s="86" t="str">
        <f t="shared" si="3"/>
        <v/>
      </c>
      <c r="H480" s="15"/>
      <c r="P480" s="3" t="str">
        <f>IFERROR(__xludf.DUMMYFUNCTION("IF(OR(F480="""",F480=""Seleccionar..""),"""",TRANSPOSE(FILTER(Productos!E:E,(Productos!F:F=D480)+(Productos!F:F=XLOOKUP(D480,Implementos!B:B,Implementos!C:C,""-"",0,1)))))"),"")</f>
        <v/>
      </c>
    </row>
    <row r="481" hidden="1">
      <c r="A481" s="38" t="str">
        <f t="shared" si="1"/>
        <v/>
      </c>
      <c r="B481" s="38" t="str">
        <f>IF(F481="","",SUMIF(Prearmados!E:E,F481,Prearmados!A:A))</f>
        <v/>
      </c>
      <c r="C481" s="38" t="str">
        <f>IF(F481="","",SUMIF(Productos!E:E,G481,Productos!A:A))</f>
        <v/>
      </c>
      <c r="D481" s="85" t="str">
        <f t="array" ref="D481">IF(OR(F481="",F481="Seleccionar.."),"",XLOOKUP(F481,Prearmados!E:E,Prearmados!F:F,"",0,1))</f>
        <v/>
      </c>
      <c r="E481" s="83" t="str">
        <f>IF(H481="","",SUMIF(Precio_Productos!K:K,C481,Precio_Productos!J:J)*H481)</f>
        <v/>
      </c>
      <c r="F481" s="86" t="str">
        <f t="shared" si="2"/>
        <v/>
      </c>
      <c r="G481" s="86" t="str">
        <f t="shared" si="3"/>
        <v/>
      </c>
      <c r="H481" s="15"/>
      <c r="P481" s="3" t="str">
        <f>IFERROR(__xludf.DUMMYFUNCTION("IF(OR(F481="""",F481=""Seleccionar..""),"""",TRANSPOSE(FILTER(Productos!E:E,(Productos!F:F=D481)+(Productos!F:F=XLOOKUP(D481,Implementos!B:B,Implementos!C:C,""-"",0,1)))))"),"")</f>
        <v/>
      </c>
    </row>
    <row r="482" hidden="1">
      <c r="A482" s="38" t="str">
        <f t="shared" si="1"/>
        <v/>
      </c>
      <c r="B482" s="38" t="str">
        <f>IF(F482="","",SUMIF(Prearmados!E:E,F482,Prearmados!A:A))</f>
        <v/>
      </c>
      <c r="C482" s="38" t="str">
        <f>IF(F482="","",SUMIF(Productos!E:E,G482,Productos!A:A))</f>
        <v/>
      </c>
      <c r="D482" s="85" t="str">
        <f t="array" ref="D482">IF(OR(F482="",F482="Seleccionar.."),"",XLOOKUP(F482,Prearmados!E:E,Prearmados!F:F,"",0,1))</f>
        <v/>
      </c>
      <c r="E482" s="83" t="str">
        <f>IF(H482="","",SUMIF(Precio_Productos!K:K,C482,Precio_Productos!J:J)*H482)</f>
        <v/>
      </c>
      <c r="F482" s="86" t="str">
        <f t="shared" si="2"/>
        <v/>
      </c>
      <c r="G482" s="86" t="str">
        <f t="shared" si="3"/>
        <v/>
      </c>
      <c r="H482" s="15"/>
      <c r="P482" s="3" t="str">
        <f>IFERROR(__xludf.DUMMYFUNCTION("IF(OR(F482="""",F482=""Seleccionar..""),"""",TRANSPOSE(FILTER(Productos!E:E,(Productos!F:F=D482)+(Productos!F:F=XLOOKUP(D482,Implementos!B:B,Implementos!C:C,""-"",0,1)))))"),"")</f>
        <v/>
      </c>
    </row>
    <row r="483" hidden="1">
      <c r="A483" s="38" t="str">
        <f t="shared" si="1"/>
        <v/>
      </c>
      <c r="B483" s="38" t="str">
        <f>IF(F483="","",SUMIF(Prearmados!E:E,F483,Prearmados!A:A))</f>
        <v/>
      </c>
      <c r="C483" s="38" t="str">
        <f>IF(F483="","",SUMIF(Productos!E:E,G483,Productos!A:A))</f>
        <v/>
      </c>
      <c r="D483" s="85" t="str">
        <f t="array" ref="D483">IF(OR(F483="",F483="Seleccionar.."),"",XLOOKUP(F483,Prearmados!E:E,Prearmados!F:F,"",0,1))</f>
        <v/>
      </c>
      <c r="E483" s="83" t="str">
        <f>IF(H483="","",SUMIF(Precio_Productos!K:K,C483,Precio_Productos!J:J)*H483)</f>
        <v/>
      </c>
      <c r="F483" s="86" t="str">
        <f t="shared" si="2"/>
        <v/>
      </c>
      <c r="G483" s="86" t="str">
        <f t="shared" si="3"/>
        <v/>
      </c>
      <c r="H483" s="15"/>
      <c r="P483" s="3" t="str">
        <f>IFERROR(__xludf.DUMMYFUNCTION("IF(OR(F483="""",F483=""Seleccionar..""),"""",TRANSPOSE(FILTER(Productos!E:E,(Productos!F:F=D483)+(Productos!F:F=XLOOKUP(D483,Implementos!B:B,Implementos!C:C,""-"",0,1)))))"),"")</f>
        <v/>
      </c>
    </row>
    <row r="484" hidden="1">
      <c r="A484" s="38" t="str">
        <f t="shared" si="1"/>
        <v/>
      </c>
      <c r="B484" s="38" t="str">
        <f>IF(F484="","",SUMIF(Prearmados!E:E,F484,Prearmados!A:A))</f>
        <v/>
      </c>
      <c r="C484" s="38" t="str">
        <f>IF(F484="","",SUMIF(Productos!E:E,G484,Productos!A:A))</f>
        <v/>
      </c>
      <c r="D484" s="85" t="str">
        <f t="array" ref="D484">IF(OR(F484="",F484="Seleccionar.."),"",XLOOKUP(F484,Prearmados!E:E,Prearmados!F:F,"",0,1))</f>
        <v/>
      </c>
      <c r="E484" s="83" t="str">
        <f>IF(H484="","",SUMIF(Precio_Productos!K:K,C484,Precio_Productos!J:J)*H484)</f>
        <v/>
      </c>
      <c r="F484" s="86" t="str">
        <f t="shared" si="2"/>
        <v/>
      </c>
      <c r="G484" s="86" t="str">
        <f t="shared" si="3"/>
        <v/>
      </c>
      <c r="H484" s="15"/>
      <c r="P484" s="3" t="str">
        <f>IFERROR(__xludf.DUMMYFUNCTION("IF(OR(F484="""",F484=""Seleccionar..""),"""",TRANSPOSE(FILTER(Productos!E:E,(Productos!F:F=D484)+(Productos!F:F=XLOOKUP(D484,Implementos!B:B,Implementos!C:C,""-"",0,1)))))"),"")</f>
        <v/>
      </c>
    </row>
    <row r="485" hidden="1">
      <c r="A485" s="38" t="str">
        <f t="shared" si="1"/>
        <v/>
      </c>
      <c r="B485" s="38" t="str">
        <f>IF(F485="","",SUMIF(Prearmados!E:E,F485,Prearmados!A:A))</f>
        <v/>
      </c>
      <c r="C485" s="38" t="str">
        <f>IF(F485="","",SUMIF(Productos!E:E,G485,Productos!A:A))</f>
        <v/>
      </c>
      <c r="D485" s="85" t="str">
        <f t="array" ref="D485">IF(OR(F485="",F485="Seleccionar.."),"",XLOOKUP(F485,Prearmados!E:E,Prearmados!F:F,"",0,1))</f>
        <v/>
      </c>
      <c r="E485" s="83" t="str">
        <f>IF(H485="","",SUMIF(Precio_Productos!K:K,C485,Precio_Productos!J:J)*H485)</f>
        <v/>
      </c>
      <c r="F485" s="86" t="str">
        <f t="shared" si="2"/>
        <v/>
      </c>
      <c r="G485" s="86" t="str">
        <f t="shared" si="3"/>
        <v/>
      </c>
      <c r="H485" s="15"/>
      <c r="P485" s="3" t="str">
        <f>IFERROR(__xludf.DUMMYFUNCTION("IF(OR(F485="""",F485=""Seleccionar..""),"""",TRANSPOSE(FILTER(Productos!E:E,(Productos!F:F=D485)+(Productos!F:F=XLOOKUP(D485,Implementos!B:B,Implementos!C:C,""-"",0,1)))))"),"")</f>
        <v/>
      </c>
    </row>
    <row r="486" hidden="1">
      <c r="A486" s="38" t="str">
        <f t="shared" si="1"/>
        <v/>
      </c>
      <c r="B486" s="38" t="str">
        <f>IF(F486="","",SUMIF(Prearmados!E:E,F486,Prearmados!A:A))</f>
        <v/>
      </c>
      <c r="C486" s="38" t="str">
        <f>IF(F486="","",SUMIF(Productos!E:E,G486,Productos!A:A))</f>
        <v/>
      </c>
      <c r="D486" s="85" t="str">
        <f t="array" ref="D486">IF(OR(F486="",F486="Seleccionar.."),"",XLOOKUP(F486,Prearmados!E:E,Prearmados!F:F,"",0,1))</f>
        <v/>
      </c>
      <c r="E486" s="83" t="str">
        <f>IF(H486="","",SUMIF(Precio_Productos!K:K,C486,Precio_Productos!J:J)*H486)</f>
        <v/>
      </c>
      <c r="F486" s="86" t="str">
        <f t="shared" si="2"/>
        <v/>
      </c>
      <c r="G486" s="86" t="str">
        <f t="shared" si="3"/>
        <v/>
      </c>
      <c r="H486" s="15"/>
      <c r="P486" s="3" t="str">
        <f>IFERROR(__xludf.DUMMYFUNCTION("IF(OR(F486="""",F486=""Seleccionar..""),"""",TRANSPOSE(FILTER(Productos!E:E,(Productos!F:F=D486)+(Productos!F:F=XLOOKUP(D486,Implementos!B:B,Implementos!C:C,""-"",0,1)))))"),"")</f>
        <v/>
      </c>
    </row>
    <row r="487" hidden="1">
      <c r="A487" s="38" t="str">
        <f t="shared" si="1"/>
        <v/>
      </c>
      <c r="B487" s="38" t="str">
        <f>IF(F487="","",SUMIF(Prearmados!E:E,F487,Prearmados!A:A))</f>
        <v/>
      </c>
      <c r="C487" s="38" t="str">
        <f>IF(F487="","",SUMIF(Productos!E:E,G487,Productos!A:A))</f>
        <v/>
      </c>
      <c r="D487" s="85" t="str">
        <f t="array" ref="D487">IF(OR(F487="",F487="Seleccionar.."),"",XLOOKUP(F487,Prearmados!E:E,Prearmados!F:F,"",0,1))</f>
        <v/>
      </c>
      <c r="E487" s="83" t="str">
        <f>IF(H487="","",SUMIF(Precio_Productos!K:K,C487,Precio_Productos!J:J)*H487)</f>
        <v/>
      </c>
      <c r="F487" s="86" t="str">
        <f t="shared" si="2"/>
        <v/>
      </c>
      <c r="G487" s="86" t="str">
        <f t="shared" si="3"/>
        <v/>
      </c>
      <c r="H487" s="15"/>
      <c r="P487" s="3" t="str">
        <f>IFERROR(__xludf.DUMMYFUNCTION("IF(OR(F487="""",F487=""Seleccionar..""),"""",TRANSPOSE(FILTER(Productos!E:E,(Productos!F:F=D487)+(Productos!F:F=XLOOKUP(D487,Implementos!B:B,Implementos!C:C,""-"",0,1)))))"),"")</f>
        <v/>
      </c>
    </row>
    <row r="488" hidden="1">
      <c r="A488" s="38" t="str">
        <f t="shared" si="1"/>
        <v/>
      </c>
      <c r="B488" s="38" t="str">
        <f>IF(F488="","",SUMIF(Prearmados!E:E,F488,Prearmados!A:A))</f>
        <v/>
      </c>
      <c r="C488" s="38" t="str">
        <f>IF(F488="","",SUMIF(Productos!E:E,G488,Productos!A:A))</f>
        <v/>
      </c>
      <c r="D488" s="85" t="str">
        <f t="array" ref="D488">IF(OR(F488="",F488="Seleccionar.."),"",XLOOKUP(F488,Prearmados!E:E,Prearmados!F:F,"",0,1))</f>
        <v/>
      </c>
      <c r="E488" s="83" t="str">
        <f>IF(H488="","",SUMIF(Precio_Productos!K:K,C488,Precio_Productos!J:J)*H488)</f>
        <v/>
      </c>
      <c r="F488" s="86" t="str">
        <f t="shared" si="2"/>
        <v/>
      </c>
      <c r="G488" s="86" t="str">
        <f t="shared" si="3"/>
        <v/>
      </c>
      <c r="H488" s="15"/>
      <c r="P488" s="3" t="str">
        <f>IFERROR(__xludf.DUMMYFUNCTION("IF(OR(F488="""",F488=""Seleccionar..""),"""",TRANSPOSE(FILTER(Productos!E:E,(Productos!F:F=D488)+(Productos!F:F=XLOOKUP(D488,Implementos!B:B,Implementos!C:C,""-"",0,1)))))"),"")</f>
        <v/>
      </c>
    </row>
    <row r="489" hidden="1">
      <c r="A489" s="38" t="str">
        <f t="shared" si="1"/>
        <v/>
      </c>
      <c r="B489" s="38" t="str">
        <f>IF(F489="","",SUMIF(Prearmados!E:E,F489,Prearmados!A:A))</f>
        <v/>
      </c>
      <c r="C489" s="38" t="str">
        <f>IF(F489="","",SUMIF(Productos!E:E,G489,Productos!A:A))</f>
        <v/>
      </c>
      <c r="D489" s="85" t="str">
        <f t="array" ref="D489">IF(OR(F489="",F489="Seleccionar.."),"",XLOOKUP(F489,Prearmados!E:E,Prearmados!F:F,"",0,1))</f>
        <v/>
      </c>
      <c r="E489" s="83" t="str">
        <f>IF(H489="","",SUMIF(Precio_Productos!K:K,C489,Precio_Productos!J:J)*H489)</f>
        <v/>
      </c>
      <c r="F489" s="86" t="str">
        <f t="shared" si="2"/>
        <v/>
      </c>
      <c r="G489" s="86" t="str">
        <f t="shared" si="3"/>
        <v/>
      </c>
      <c r="H489" s="15"/>
      <c r="P489" s="3" t="str">
        <f>IFERROR(__xludf.DUMMYFUNCTION("IF(OR(F489="""",F489=""Seleccionar..""),"""",TRANSPOSE(FILTER(Productos!E:E,(Productos!F:F=D489)+(Productos!F:F=XLOOKUP(D489,Implementos!B:B,Implementos!C:C,""-"",0,1)))))"),"")</f>
        <v/>
      </c>
    </row>
    <row r="490" hidden="1">
      <c r="A490" s="38" t="str">
        <f t="shared" si="1"/>
        <v/>
      </c>
      <c r="B490" s="38" t="str">
        <f>IF(F490="","",SUMIF(Prearmados!E:E,F490,Prearmados!A:A))</f>
        <v/>
      </c>
      <c r="C490" s="38" t="str">
        <f>IF(F490="","",SUMIF(Productos!E:E,G490,Productos!A:A))</f>
        <v/>
      </c>
      <c r="D490" s="85" t="str">
        <f t="array" ref="D490">IF(OR(F490="",F490="Seleccionar.."),"",XLOOKUP(F490,Prearmados!E:E,Prearmados!F:F,"",0,1))</f>
        <v/>
      </c>
      <c r="E490" s="83" t="str">
        <f>IF(H490="","",SUMIF(Precio_Productos!K:K,C490,Precio_Productos!J:J)*H490)</f>
        <v/>
      </c>
      <c r="F490" s="86" t="str">
        <f t="shared" si="2"/>
        <v/>
      </c>
      <c r="G490" s="86" t="str">
        <f t="shared" si="3"/>
        <v/>
      </c>
      <c r="H490" s="15"/>
      <c r="P490" s="3" t="str">
        <f>IFERROR(__xludf.DUMMYFUNCTION("IF(OR(F490="""",F490=""Seleccionar..""),"""",TRANSPOSE(FILTER(Productos!E:E,(Productos!F:F=D490)+(Productos!F:F=XLOOKUP(D490,Implementos!B:B,Implementos!C:C,""-"",0,1)))))"),"")</f>
        <v/>
      </c>
    </row>
    <row r="491" hidden="1">
      <c r="A491" s="38" t="str">
        <f t="shared" si="1"/>
        <v/>
      </c>
      <c r="B491" s="38" t="str">
        <f>IF(F491="","",SUMIF(Prearmados!E:E,F491,Prearmados!A:A))</f>
        <v/>
      </c>
      <c r="C491" s="38" t="str">
        <f>IF(F491="","",SUMIF(Productos!E:E,G491,Productos!A:A))</f>
        <v/>
      </c>
      <c r="D491" s="85" t="str">
        <f t="array" ref="D491">IF(OR(F491="",F491="Seleccionar.."),"",XLOOKUP(F491,Prearmados!E:E,Prearmados!F:F,"",0,1))</f>
        <v/>
      </c>
      <c r="E491" s="83" t="str">
        <f>IF(H491="","",SUMIF(Precio_Productos!K:K,C491,Precio_Productos!J:J)*H491)</f>
        <v/>
      </c>
      <c r="F491" s="86" t="str">
        <f t="shared" si="2"/>
        <v/>
      </c>
      <c r="G491" s="86" t="str">
        <f t="shared" si="3"/>
        <v/>
      </c>
      <c r="H491" s="15"/>
      <c r="P491" s="3" t="str">
        <f>IFERROR(__xludf.DUMMYFUNCTION("IF(OR(F491="""",F491=""Seleccionar..""),"""",TRANSPOSE(FILTER(Productos!E:E,(Productos!F:F=D491)+(Productos!F:F=XLOOKUP(D491,Implementos!B:B,Implementos!C:C,""-"",0,1)))))"),"")</f>
        <v/>
      </c>
    </row>
    <row r="492" hidden="1">
      <c r="A492" s="38" t="str">
        <f t="shared" si="1"/>
        <v/>
      </c>
      <c r="B492" s="38" t="str">
        <f>IF(F492="","",SUMIF(Prearmados!E:E,F492,Prearmados!A:A))</f>
        <v/>
      </c>
      <c r="C492" s="38" t="str">
        <f>IF(F492="","",SUMIF(Productos!E:E,G492,Productos!A:A))</f>
        <v/>
      </c>
      <c r="D492" s="85" t="str">
        <f t="array" ref="D492">IF(OR(F492="",F492="Seleccionar.."),"",XLOOKUP(F492,Prearmados!E:E,Prearmados!F:F,"",0,1))</f>
        <v/>
      </c>
      <c r="E492" s="83" t="str">
        <f>IF(H492="","",SUMIF(Precio_Productos!K:K,C492,Precio_Productos!J:J)*H492)</f>
        <v/>
      </c>
      <c r="F492" s="86" t="str">
        <f t="shared" si="2"/>
        <v/>
      </c>
      <c r="G492" s="86" t="str">
        <f t="shared" si="3"/>
        <v/>
      </c>
      <c r="H492" s="15"/>
      <c r="P492" s="3" t="str">
        <f>IFERROR(__xludf.DUMMYFUNCTION("IF(OR(F492="""",F492=""Seleccionar..""),"""",TRANSPOSE(FILTER(Productos!E:E,(Productos!F:F=D492)+(Productos!F:F=XLOOKUP(D492,Implementos!B:B,Implementos!C:C,""-"",0,1)))))"),"")</f>
        <v/>
      </c>
    </row>
    <row r="493" hidden="1">
      <c r="A493" s="38" t="str">
        <f t="shared" si="1"/>
        <v/>
      </c>
      <c r="B493" s="38" t="str">
        <f>IF(F493="","",SUMIF(Prearmados!E:E,F493,Prearmados!A:A))</f>
        <v/>
      </c>
      <c r="C493" s="38" t="str">
        <f>IF(F493="","",SUMIF(Productos!E:E,G493,Productos!A:A))</f>
        <v/>
      </c>
      <c r="D493" s="85" t="str">
        <f t="array" ref="D493">IF(OR(F493="",F493="Seleccionar.."),"",XLOOKUP(F493,Prearmados!E:E,Prearmados!F:F,"",0,1))</f>
        <v/>
      </c>
      <c r="E493" s="83" t="str">
        <f>IF(H493="","",SUMIF(Precio_Productos!K:K,C493,Precio_Productos!J:J)*H493)</f>
        <v/>
      </c>
      <c r="F493" s="86" t="str">
        <f t="shared" si="2"/>
        <v/>
      </c>
      <c r="G493" s="86" t="str">
        <f t="shared" si="3"/>
        <v/>
      </c>
      <c r="H493" s="15"/>
      <c r="P493" s="3" t="str">
        <f>IFERROR(__xludf.DUMMYFUNCTION("IF(OR(F493="""",F493=""Seleccionar..""),"""",TRANSPOSE(FILTER(Productos!E:E,(Productos!F:F=D493)+(Productos!F:F=XLOOKUP(D493,Implementos!B:B,Implementos!C:C,""-"",0,1)))))"),"")</f>
        <v/>
      </c>
    </row>
    <row r="494" hidden="1">
      <c r="A494" s="38" t="str">
        <f t="shared" si="1"/>
        <v/>
      </c>
      <c r="B494" s="38" t="str">
        <f>IF(F494="","",SUMIF(Prearmados!E:E,F494,Prearmados!A:A))</f>
        <v/>
      </c>
      <c r="C494" s="38" t="str">
        <f>IF(F494="","",SUMIF(Productos!E:E,G494,Productos!A:A))</f>
        <v/>
      </c>
      <c r="D494" s="85" t="str">
        <f t="array" ref="D494">IF(OR(F494="",F494="Seleccionar.."),"",XLOOKUP(F494,Prearmados!E:E,Prearmados!F:F,"",0,1))</f>
        <v/>
      </c>
      <c r="E494" s="83" t="str">
        <f>IF(H494="","",SUMIF(Precio_Productos!K:K,C494,Precio_Productos!J:J)*H494)</f>
        <v/>
      </c>
      <c r="F494" s="86" t="str">
        <f t="shared" si="2"/>
        <v/>
      </c>
      <c r="G494" s="86" t="str">
        <f t="shared" si="3"/>
        <v/>
      </c>
      <c r="H494" s="15"/>
      <c r="P494" s="3" t="str">
        <f>IFERROR(__xludf.DUMMYFUNCTION("IF(OR(F494="""",F494=""Seleccionar..""),"""",TRANSPOSE(FILTER(Productos!E:E,(Productos!F:F=D494)+(Productos!F:F=XLOOKUP(D494,Implementos!B:B,Implementos!C:C,""-"",0,1)))))"),"")</f>
        <v/>
      </c>
    </row>
    <row r="495" hidden="1">
      <c r="A495" s="38" t="str">
        <f t="shared" si="1"/>
        <v/>
      </c>
      <c r="B495" s="38" t="str">
        <f>IF(F495="","",SUMIF(Prearmados!E:E,F495,Prearmados!A:A))</f>
        <v/>
      </c>
      <c r="C495" s="38" t="str">
        <f>IF(F495="","",SUMIF(Productos!E:E,G495,Productos!A:A))</f>
        <v/>
      </c>
      <c r="D495" s="85" t="str">
        <f t="array" ref="D495">IF(OR(F495="",F495="Seleccionar.."),"",XLOOKUP(F495,Prearmados!E:E,Prearmados!F:F,"",0,1))</f>
        <v/>
      </c>
      <c r="E495" s="83" t="str">
        <f>IF(H495="","",SUMIF(Precio_Productos!K:K,C495,Precio_Productos!J:J)*H495)</f>
        <v/>
      </c>
      <c r="F495" s="86" t="str">
        <f t="shared" si="2"/>
        <v/>
      </c>
      <c r="G495" s="86" t="str">
        <f t="shared" si="3"/>
        <v/>
      </c>
      <c r="H495" s="15"/>
      <c r="P495" s="3" t="str">
        <f>IFERROR(__xludf.DUMMYFUNCTION("IF(OR(F495="""",F495=""Seleccionar..""),"""",TRANSPOSE(FILTER(Productos!E:E,(Productos!F:F=D495)+(Productos!F:F=XLOOKUP(D495,Implementos!B:B,Implementos!C:C,""-"",0,1)))))"),"")</f>
        <v/>
      </c>
    </row>
    <row r="496" hidden="1">
      <c r="A496" s="38" t="str">
        <f t="shared" si="1"/>
        <v/>
      </c>
      <c r="B496" s="38" t="str">
        <f>IF(F496="","",SUMIF(Prearmados!E:E,F496,Prearmados!A:A))</f>
        <v/>
      </c>
      <c r="C496" s="38" t="str">
        <f>IF(F496="","",SUMIF(Productos!E:E,G496,Productos!A:A))</f>
        <v/>
      </c>
      <c r="D496" s="85" t="str">
        <f t="array" ref="D496">IF(OR(F496="",F496="Seleccionar.."),"",XLOOKUP(F496,Prearmados!E:E,Prearmados!F:F,"",0,1))</f>
        <v/>
      </c>
      <c r="E496" s="83" t="str">
        <f>IF(H496="","",SUMIF(Precio_Productos!K:K,C496,Precio_Productos!J:J)*H496)</f>
        <v/>
      </c>
      <c r="F496" s="86" t="str">
        <f t="shared" si="2"/>
        <v/>
      </c>
      <c r="G496" s="86" t="str">
        <f t="shared" si="3"/>
        <v/>
      </c>
      <c r="H496" s="15"/>
      <c r="P496" s="3" t="str">
        <f>IFERROR(__xludf.DUMMYFUNCTION("IF(OR(F496="""",F496=""Seleccionar..""),"""",TRANSPOSE(FILTER(Productos!E:E,(Productos!F:F=D496)+(Productos!F:F=XLOOKUP(D496,Implementos!B:B,Implementos!C:C,""-"",0,1)))))"),"")</f>
        <v/>
      </c>
    </row>
    <row r="497" hidden="1">
      <c r="A497" s="38" t="str">
        <f t="shared" si="1"/>
        <v/>
      </c>
      <c r="B497" s="38" t="str">
        <f>IF(F497="","",SUMIF(Prearmados!E:E,F497,Prearmados!A:A))</f>
        <v/>
      </c>
      <c r="C497" s="38" t="str">
        <f>IF(F497="","",SUMIF(Productos!E:E,G497,Productos!A:A))</f>
        <v/>
      </c>
      <c r="D497" s="85" t="str">
        <f t="array" ref="D497">IF(OR(F497="",F497="Seleccionar.."),"",XLOOKUP(F497,Prearmados!E:E,Prearmados!F:F,"",0,1))</f>
        <v/>
      </c>
      <c r="E497" s="83" t="str">
        <f>IF(H497="","",SUMIF(Precio_Productos!K:K,C497,Precio_Productos!J:J)*H497)</f>
        <v/>
      </c>
      <c r="F497" s="86" t="str">
        <f t="shared" si="2"/>
        <v/>
      </c>
      <c r="G497" s="86" t="str">
        <f t="shared" si="3"/>
        <v/>
      </c>
      <c r="H497" s="15"/>
      <c r="P497" s="3" t="str">
        <f>IFERROR(__xludf.DUMMYFUNCTION("IF(OR(F497="""",F497=""Seleccionar..""),"""",TRANSPOSE(FILTER(Productos!E:E,(Productos!F:F=D497)+(Productos!F:F=XLOOKUP(D497,Implementos!B:B,Implementos!C:C,""-"",0,1)))))"),"")</f>
        <v/>
      </c>
    </row>
    <row r="498" hidden="1">
      <c r="A498" s="38" t="str">
        <f t="shared" si="1"/>
        <v/>
      </c>
      <c r="B498" s="38" t="str">
        <f>IF(F498="","",SUMIF(Prearmados!E:E,F498,Prearmados!A:A))</f>
        <v/>
      </c>
      <c r="C498" s="38" t="str">
        <f>IF(F498="","",SUMIF(Productos!E:E,G498,Productos!A:A))</f>
        <v/>
      </c>
      <c r="D498" s="85" t="str">
        <f t="array" ref="D498">IF(OR(F498="",F498="Seleccionar.."),"",XLOOKUP(F498,Prearmados!E:E,Prearmados!F:F,"",0,1))</f>
        <v/>
      </c>
      <c r="E498" s="83" t="str">
        <f>IF(H498="","",SUMIF(Precio_Productos!K:K,C498,Precio_Productos!J:J)*H498)</f>
        <v/>
      </c>
      <c r="F498" s="86" t="str">
        <f t="shared" si="2"/>
        <v/>
      </c>
      <c r="G498" s="86" t="str">
        <f t="shared" si="3"/>
        <v/>
      </c>
      <c r="H498" s="15"/>
      <c r="P498" s="3" t="str">
        <f>IFERROR(__xludf.DUMMYFUNCTION("IF(OR(F498="""",F498=""Seleccionar..""),"""",TRANSPOSE(FILTER(Productos!E:E,(Productos!F:F=D498)+(Productos!F:F=XLOOKUP(D498,Implementos!B:B,Implementos!C:C,""-"",0,1)))))"),"")</f>
        <v/>
      </c>
    </row>
    <row r="499" hidden="1">
      <c r="A499" s="38" t="str">
        <f t="shared" si="1"/>
        <v/>
      </c>
      <c r="B499" s="38" t="str">
        <f>IF(F499="","",SUMIF(Prearmados!E:E,F499,Prearmados!A:A))</f>
        <v/>
      </c>
      <c r="C499" s="38" t="str">
        <f>IF(F499="","",SUMIF(Productos!E:E,G499,Productos!A:A))</f>
        <v/>
      </c>
      <c r="D499" s="85" t="str">
        <f t="array" ref="D499">IF(OR(F499="",F499="Seleccionar.."),"",XLOOKUP(F499,Prearmados!E:E,Prearmados!F:F,"",0,1))</f>
        <v/>
      </c>
      <c r="E499" s="83" t="str">
        <f>IF(H499="","",SUMIF(Precio_Productos!K:K,C499,Precio_Productos!J:J)*H499)</f>
        <v/>
      </c>
      <c r="F499" s="86" t="str">
        <f t="shared" si="2"/>
        <v/>
      </c>
      <c r="G499" s="86" t="str">
        <f t="shared" si="3"/>
        <v/>
      </c>
      <c r="H499" s="15"/>
      <c r="P499" s="3" t="str">
        <f>IFERROR(__xludf.DUMMYFUNCTION("IF(OR(F499="""",F499=""Seleccionar..""),"""",TRANSPOSE(FILTER(Productos!E:E,(Productos!F:F=D499)+(Productos!F:F=XLOOKUP(D499,Implementos!B:B,Implementos!C:C,""-"",0,1)))))"),"")</f>
        <v/>
      </c>
    </row>
    <row r="500" hidden="1">
      <c r="A500" s="38" t="str">
        <f t="shared" si="1"/>
        <v/>
      </c>
      <c r="B500" s="38" t="str">
        <f>IF(F500="","",SUMIF(Prearmados!E:E,F500,Prearmados!A:A))</f>
        <v/>
      </c>
      <c r="C500" s="38" t="str">
        <f>IF(F500="","",SUMIF(Productos!E:E,G500,Productos!A:A))</f>
        <v/>
      </c>
      <c r="D500" s="85" t="str">
        <f t="array" ref="D500">IF(OR(F500="",F500="Seleccionar.."),"",XLOOKUP(F500,Prearmados!E:E,Prearmados!F:F,"",0,1))</f>
        <v/>
      </c>
      <c r="E500" s="83" t="str">
        <f>IF(H500="","",SUMIF(Precio_Productos!K:K,C500,Precio_Productos!J:J)*H500)</f>
        <v/>
      </c>
      <c r="F500" s="86" t="str">
        <f t="shared" si="2"/>
        <v/>
      </c>
      <c r="G500" s="86" t="str">
        <f t="shared" si="3"/>
        <v/>
      </c>
      <c r="H500" s="15"/>
      <c r="P500" s="3" t="str">
        <f>IFERROR(__xludf.DUMMYFUNCTION("IF(OR(F500="""",F500=""Seleccionar..""),"""",TRANSPOSE(FILTER(Productos!E:E,(Productos!F:F=D500)+(Productos!F:F=XLOOKUP(D500,Implementos!B:B,Implementos!C:C,""-"",0,1)))))"),"")</f>
        <v/>
      </c>
    </row>
    <row r="501" hidden="1">
      <c r="A501" s="38" t="str">
        <f t="shared" si="1"/>
        <v/>
      </c>
      <c r="B501" s="38" t="str">
        <f>IF(F501="","",SUMIF(Prearmados!E:E,F501,Prearmados!A:A))</f>
        <v/>
      </c>
      <c r="C501" s="38" t="str">
        <f>IF(F501="","",SUMIF(Productos!E:E,G501,Productos!A:A))</f>
        <v/>
      </c>
      <c r="D501" s="85" t="str">
        <f t="array" ref="D501">IF(OR(F501="",F501="Seleccionar.."),"",XLOOKUP(F501,Prearmados!E:E,Prearmados!F:F,"",0,1))</f>
        <v/>
      </c>
      <c r="E501" s="83" t="str">
        <f>IF(H501="","",SUMIF(Precio_Productos!K:K,C501,Precio_Productos!J:J)*H501)</f>
        <v/>
      </c>
      <c r="F501" s="86" t="str">
        <f t="shared" si="2"/>
        <v/>
      </c>
      <c r="G501" s="86" t="str">
        <f t="shared" si="3"/>
        <v/>
      </c>
      <c r="H501" s="15"/>
      <c r="P501" s="3" t="str">
        <f>IFERROR(__xludf.DUMMYFUNCTION("IF(OR(F501="""",F501=""Seleccionar..""),"""",TRANSPOSE(FILTER(Productos!E:E,(Productos!F:F=D501)+(Productos!F:F=XLOOKUP(D501,Implementos!B:B,Implementos!C:C,""-"",0,1)))))"),"")</f>
        <v/>
      </c>
    </row>
    <row r="502" hidden="1">
      <c r="A502" s="38" t="str">
        <f t="shared" si="1"/>
        <v/>
      </c>
      <c r="B502" s="38" t="str">
        <f>IF(F502="","",SUMIF(Prearmados!E:E,F502,Prearmados!A:A))</f>
        <v/>
      </c>
      <c r="C502" s="38" t="str">
        <f>IF(F502="","",SUMIF(Productos!E:E,G502,Productos!A:A))</f>
        <v/>
      </c>
      <c r="D502" s="85" t="str">
        <f t="array" ref="D502">IF(OR(F502="",F502="Seleccionar.."),"",XLOOKUP(F502,Prearmados!E:E,Prearmados!F:F,"",0,1))</f>
        <v/>
      </c>
      <c r="E502" s="83" t="str">
        <f>IF(H502="","",SUMIF(Precio_Productos!K:K,C502,Precio_Productos!J:J)*H502)</f>
        <v/>
      </c>
      <c r="F502" s="86" t="str">
        <f t="shared" si="2"/>
        <v/>
      </c>
      <c r="G502" s="86" t="str">
        <f t="shared" si="3"/>
        <v/>
      </c>
      <c r="H502" s="15"/>
      <c r="P502" s="3" t="str">
        <f>IFERROR(__xludf.DUMMYFUNCTION("IF(OR(F502="""",F502=""Seleccionar..""),"""",TRANSPOSE(FILTER(Productos!E:E,(Productos!F:F=D502)+(Productos!F:F=XLOOKUP(D502,Implementos!B:B,Implementos!C:C,""-"",0,1)))))"),"")</f>
        <v/>
      </c>
    </row>
    <row r="503" hidden="1">
      <c r="A503" s="38" t="str">
        <f t="shared" si="1"/>
        <v/>
      </c>
      <c r="B503" s="38" t="str">
        <f>IF(F503="","",SUMIF(Prearmados!E:E,F503,Prearmados!A:A))</f>
        <v/>
      </c>
      <c r="C503" s="38" t="str">
        <f>IF(F503="","",SUMIF(Productos!E:E,G503,Productos!A:A))</f>
        <v/>
      </c>
      <c r="D503" s="85" t="str">
        <f t="array" ref="D503">IF(OR(F503="",F503="Seleccionar.."),"",XLOOKUP(F503,Prearmados!E:E,Prearmados!F:F,"",0,1))</f>
        <v/>
      </c>
      <c r="E503" s="83" t="str">
        <f>IF(H503="","",SUMIF(Precio_Productos!K:K,C503,Precio_Productos!J:J)*H503)</f>
        <v/>
      </c>
      <c r="F503" s="86" t="str">
        <f t="shared" si="2"/>
        <v/>
      </c>
      <c r="G503" s="86" t="str">
        <f t="shared" si="3"/>
        <v/>
      </c>
      <c r="H503" s="15"/>
      <c r="P503" s="3" t="str">
        <f>IFERROR(__xludf.DUMMYFUNCTION("IF(OR(F503="""",F503=""Seleccionar..""),"""",TRANSPOSE(FILTER(Productos!E:E,(Productos!F:F=D503)+(Productos!F:F=XLOOKUP(D503,Implementos!B:B,Implementos!C:C,""-"",0,1)))))"),"")</f>
        <v/>
      </c>
    </row>
    <row r="504" hidden="1">
      <c r="A504" s="38" t="str">
        <f t="shared" si="1"/>
        <v/>
      </c>
      <c r="B504" s="38" t="str">
        <f>IF(F504="","",SUMIF(Prearmados!E:E,F504,Prearmados!A:A))</f>
        <v/>
      </c>
      <c r="C504" s="38" t="str">
        <f>IF(F504="","",SUMIF(Productos!E:E,G504,Productos!A:A))</f>
        <v/>
      </c>
      <c r="D504" s="85" t="str">
        <f t="array" ref="D504">IF(OR(F504="",F504="Seleccionar.."),"",XLOOKUP(F504,Prearmados!E:E,Prearmados!F:F,"",0,1))</f>
        <v/>
      </c>
      <c r="E504" s="83" t="str">
        <f>IF(H504="","",SUMIF(Precio_Productos!K:K,C504,Precio_Productos!J:J)*H504)</f>
        <v/>
      </c>
      <c r="F504" s="86" t="str">
        <f t="shared" si="2"/>
        <v/>
      </c>
      <c r="G504" s="86" t="str">
        <f t="shared" si="3"/>
        <v/>
      </c>
      <c r="H504" s="15"/>
      <c r="P504" s="3" t="str">
        <f>IFERROR(__xludf.DUMMYFUNCTION("IF(OR(F504="""",F504=""Seleccionar..""),"""",TRANSPOSE(FILTER(Productos!E:E,(Productos!F:F=D504)+(Productos!F:F=XLOOKUP(D504,Implementos!B:B,Implementos!C:C,""-"",0,1)))))"),"")</f>
        <v/>
      </c>
    </row>
    <row r="505" hidden="1">
      <c r="A505" s="38" t="str">
        <f t="shared" si="1"/>
        <v/>
      </c>
      <c r="B505" s="38" t="str">
        <f>IF(F505="","",SUMIF(Prearmados!E:E,F505,Prearmados!A:A))</f>
        <v/>
      </c>
      <c r="C505" s="38" t="str">
        <f>IF(F505="","",SUMIF(Productos!E:E,G505,Productos!A:A))</f>
        <v/>
      </c>
      <c r="D505" s="85" t="str">
        <f t="array" ref="D505">IF(OR(F505="",F505="Seleccionar.."),"",XLOOKUP(F505,Prearmados!E:E,Prearmados!F:F,"",0,1))</f>
        <v/>
      </c>
      <c r="E505" s="83" t="str">
        <f>IF(H505="","",SUMIF(Precio_Productos!K:K,C505,Precio_Productos!J:J)*H505)</f>
        <v/>
      </c>
      <c r="F505" s="86" t="str">
        <f t="shared" si="2"/>
        <v/>
      </c>
      <c r="G505" s="86" t="str">
        <f t="shared" si="3"/>
        <v/>
      </c>
      <c r="H505" s="15"/>
      <c r="P505" s="3" t="str">
        <f>IFERROR(__xludf.DUMMYFUNCTION("IF(OR(F505="""",F505=""Seleccionar..""),"""",TRANSPOSE(FILTER(Productos!E:E,(Productos!F:F=D505)+(Productos!F:F=XLOOKUP(D505,Implementos!B:B,Implementos!C:C,""-"",0,1)))))"),"")</f>
        <v/>
      </c>
    </row>
    <row r="506" hidden="1">
      <c r="A506" s="38" t="str">
        <f t="shared" si="1"/>
        <v/>
      </c>
      <c r="B506" s="38" t="str">
        <f>IF(F506="","",SUMIF(Prearmados!E:E,F506,Prearmados!A:A))</f>
        <v/>
      </c>
      <c r="C506" s="38" t="str">
        <f>IF(F506="","",SUMIF(Productos!E:E,G506,Productos!A:A))</f>
        <v/>
      </c>
      <c r="D506" s="85" t="str">
        <f t="array" ref="D506">IF(OR(F506="",F506="Seleccionar.."),"",XLOOKUP(F506,Prearmados!E:E,Prearmados!F:F,"",0,1))</f>
        <v/>
      </c>
      <c r="E506" s="83" t="str">
        <f>IF(H506="","",SUMIF(Precio_Productos!K:K,C506,Precio_Productos!J:J)*H506)</f>
        <v/>
      </c>
      <c r="F506" s="86" t="str">
        <f t="shared" si="2"/>
        <v/>
      </c>
      <c r="G506" s="86" t="str">
        <f t="shared" si="3"/>
        <v/>
      </c>
      <c r="H506" s="15"/>
      <c r="P506" s="3" t="str">
        <f>IFERROR(__xludf.DUMMYFUNCTION("IF(OR(F506="""",F506=""Seleccionar..""),"""",TRANSPOSE(FILTER(Productos!E:E,(Productos!F:F=D506)+(Productos!F:F=XLOOKUP(D506,Implementos!B:B,Implementos!C:C,""-"",0,1)))))"),"")</f>
        <v/>
      </c>
    </row>
    <row r="507" hidden="1">
      <c r="A507" s="38" t="str">
        <f t="shared" si="1"/>
        <v/>
      </c>
      <c r="B507" s="38" t="str">
        <f>IF(F507="","",SUMIF(Prearmados!E:E,F507,Prearmados!A:A))</f>
        <v/>
      </c>
      <c r="C507" s="38" t="str">
        <f>IF(F507="","",SUMIF(Productos!E:E,G507,Productos!A:A))</f>
        <v/>
      </c>
      <c r="D507" s="85" t="str">
        <f t="array" ref="D507">IF(OR(F507="",F507="Seleccionar.."),"",XLOOKUP(F507,Prearmados!E:E,Prearmados!F:F,"",0,1))</f>
        <v/>
      </c>
      <c r="E507" s="83" t="str">
        <f>IF(H507="","",SUMIF(Precio_Productos!K:K,C507,Precio_Productos!J:J)*H507)</f>
        <v/>
      </c>
      <c r="F507" s="86" t="str">
        <f t="shared" si="2"/>
        <v/>
      </c>
      <c r="G507" s="86" t="str">
        <f t="shared" si="3"/>
        <v/>
      </c>
      <c r="H507" s="15"/>
      <c r="P507" s="3" t="str">
        <f>IFERROR(__xludf.DUMMYFUNCTION("IF(OR(F507="""",F507=""Seleccionar..""),"""",TRANSPOSE(FILTER(Productos!E:E,(Productos!F:F=D507)+(Productos!F:F=XLOOKUP(D507,Implementos!B:B,Implementos!C:C,""-"",0,1)))))"),"")</f>
        <v/>
      </c>
    </row>
    <row r="508" hidden="1">
      <c r="A508" s="38" t="str">
        <f t="shared" si="1"/>
        <v/>
      </c>
      <c r="B508" s="38" t="str">
        <f>IF(F508="","",SUMIF(Prearmados!E:E,F508,Prearmados!A:A))</f>
        <v/>
      </c>
      <c r="C508" s="38" t="str">
        <f>IF(F508="","",SUMIF(Productos!E:E,G508,Productos!A:A))</f>
        <v/>
      </c>
      <c r="D508" s="85" t="str">
        <f t="array" ref="D508">IF(OR(F508="",F508="Seleccionar.."),"",XLOOKUP(F508,Prearmados!E:E,Prearmados!F:F,"",0,1))</f>
        <v/>
      </c>
      <c r="E508" s="83" t="str">
        <f>IF(H508="","",SUMIF(Precio_Productos!K:K,C508,Precio_Productos!J:J)*H508)</f>
        <v/>
      </c>
      <c r="F508" s="86" t="str">
        <f t="shared" si="2"/>
        <v/>
      </c>
      <c r="G508" s="86" t="str">
        <f t="shared" si="3"/>
        <v/>
      </c>
      <c r="H508" s="15"/>
      <c r="P508" s="3" t="str">
        <f>IFERROR(__xludf.DUMMYFUNCTION("IF(OR(F508="""",F508=""Seleccionar..""),"""",TRANSPOSE(FILTER(Productos!E:E,(Productos!F:F=D508)+(Productos!F:F=XLOOKUP(D508,Implementos!B:B,Implementos!C:C,""-"",0,1)))))"),"")</f>
        <v/>
      </c>
    </row>
    <row r="509" hidden="1">
      <c r="A509" s="38" t="str">
        <f t="shared" si="1"/>
        <v/>
      </c>
      <c r="B509" s="38" t="str">
        <f>IF(F509="","",SUMIF(Prearmados!E:E,F509,Prearmados!A:A))</f>
        <v/>
      </c>
      <c r="C509" s="38" t="str">
        <f>IF(F509="","",SUMIF(Productos!E:E,G509,Productos!A:A))</f>
        <v/>
      </c>
      <c r="D509" s="85" t="str">
        <f t="array" ref="D509">IF(OR(F509="",F509="Seleccionar.."),"",XLOOKUP(F509,Prearmados!E:E,Prearmados!F:F,"",0,1))</f>
        <v/>
      </c>
      <c r="E509" s="83" t="str">
        <f>IF(H509="","",SUMIF(Precio_Productos!K:K,C509,Precio_Productos!J:J)*H509)</f>
        <v/>
      </c>
      <c r="F509" s="86" t="str">
        <f t="shared" si="2"/>
        <v/>
      </c>
      <c r="G509" s="86" t="str">
        <f t="shared" si="3"/>
        <v/>
      </c>
      <c r="H509" s="15"/>
      <c r="P509" s="3" t="str">
        <f>IFERROR(__xludf.DUMMYFUNCTION("IF(OR(F509="""",F509=""Seleccionar..""),"""",TRANSPOSE(FILTER(Productos!E:E,(Productos!F:F=D509)+(Productos!F:F=XLOOKUP(D509,Implementos!B:B,Implementos!C:C,""-"",0,1)))))"),"")</f>
        <v/>
      </c>
    </row>
    <row r="510" hidden="1">
      <c r="A510" s="38" t="str">
        <f t="shared" si="1"/>
        <v/>
      </c>
      <c r="B510" s="38" t="str">
        <f>IF(F510="","",SUMIF(Prearmados!E:E,F510,Prearmados!A:A))</f>
        <v/>
      </c>
      <c r="C510" s="38" t="str">
        <f>IF(F510="","",SUMIF(Productos!E:E,G510,Productos!A:A))</f>
        <v/>
      </c>
      <c r="D510" s="85" t="str">
        <f t="array" ref="D510">IF(OR(F510="",F510="Seleccionar.."),"",XLOOKUP(F510,Prearmados!E:E,Prearmados!F:F,"",0,1))</f>
        <v/>
      </c>
      <c r="E510" s="83" t="str">
        <f>IF(H510="","",SUMIF(Precio_Productos!K:K,C510,Precio_Productos!J:J)*H510)</f>
        <v/>
      </c>
      <c r="F510" s="86" t="str">
        <f t="shared" si="2"/>
        <v/>
      </c>
      <c r="G510" s="86" t="str">
        <f t="shared" si="3"/>
        <v/>
      </c>
      <c r="H510" s="15"/>
      <c r="P510" s="3" t="str">
        <f>IFERROR(__xludf.DUMMYFUNCTION("IF(OR(F510="""",F510=""Seleccionar..""),"""",TRANSPOSE(FILTER(Productos!E:E,(Productos!F:F=D510)+(Productos!F:F=XLOOKUP(D510,Implementos!B:B,Implementos!C:C,""-"",0,1)))))"),"")</f>
        <v/>
      </c>
    </row>
    <row r="511" hidden="1">
      <c r="A511" s="38" t="str">
        <f t="shared" si="1"/>
        <v/>
      </c>
      <c r="B511" s="38" t="str">
        <f>IF(F511="","",SUMIF(Prearmados!E:E,F511,Prearmados!A:A))</f>
        <v/>
      </c>
      <c r="C511" s="38" t="str">
        <f>IF(F511="","",SUMIF(Productos!E:E,G511,Productos!A:A))</f>
        <v/>
      </c>
      <c r="D511" s="85" t="str">
        <f t="array" ref="D511">IF(OR(F511="",F511="Seleccionar.."),"",XLOOKUP(F511,Prearmados!E:E,Prearmados!F:F,"",0,1))</f>
        <v/>
      </c>
      <c r="E511" s="83" t="str">
        <f>IF(H511="","",SUMIF(Precio_Productos!K:K,C511,Precio_Productos!J:J)*H511)</f>
        <v/>
      </c>
      <c r="F511" s="86" t="str">
        <f t="shared" si="2"/>
        <v/>
      </c>
      <c r="G511" s="86" t="str">
        <f t="shared" si="3"/>
        <v/>
      </c>
      <c r="H511" s="15"/>
      <c r="P511" s="3" t="str">
        <f>IFERROR(__xludf.DUMMYFUNCTION("IF(OR(F511="""",F511=""Seleccionar..""),"""",TRANSPOSE(FILTER(Productos!E:E,(Productos!F:F=D511)+(Productos!F:F=XLOOKUP(D511,Implementos!B:B,Implementos!C:C,""-"",0,1)))))"),"")</f>
        <v/>
      </c>
    </row>
    <row r="512" hidden="1">
      <c r="A512" s="38" t="str">
        <f t="shared" si="1"/>
        <v/>
      </c>
      <c r="B512" s="38" t="str">
        <f>IF(F512="","",SUMIF(Prearmados!E:E,F512,Prearmados!A:A))</f>
        <v/>
      </c>
      <c r="C512" s="38" t="str">
        <f>IF(F512="","",SUMIF(Productos!E:E,G512,Productos!A:A))</f>
        <v/>
      </c>
      <c r="D512" s="85" t="str">
        <f t="array" ref="D512">IF(OR(F512="",F512="Seleccionar.."),"",XLOOKUP(F512,Prearmados!E:E,Prearmados!F:F,"",0,1))</f>
        <v/>
      </c>
      <c r="E512" s="83" t="str">
        <f>IF(H512="","",SUMIF(Precio_Productos!K:K,C512,Precio_Productos!J:J)*H512)</f>
        <v/>
      </c>
      <c r="F512" s="86" t="str">
        <f t="shared" si="2"/>
        <v/>
      </c>
      <c r="G512" s="86" t="str">
        <f t="shared" si="3"/>
        <v/>
      </c>
      <c r="H512" s="15"/>
      <c r="P512" s="3" t="str">
        <f>IFERROR(__xludf.DUMMYFUNCTION("IF(OR(F512="""",F512=""Seleccionar..""),"""",TRANSPOSE(FILTER(Productos!E:E,(Productos!F:F=D512)+(Productos!F:F=XLOOKUP(D512,Implementos!B:B,Implementos!C:C,""-"",0,1)))))"),"")</f>
        <v/>
      </c>
    </row>
    <row r="513" hidden="1">
      <c r="A513" s="38" t="str">
        <f t="shared" si="1"/>
        <v/>
      </c>
      <c r="B513" s="38" t="str">
        <f>IF(F513="","",SUMIF(Prearmados!E:E,F513,Prearmados!A:A))</f>
        <v/>
      </c>
      <c r="C513" s="38" t="str">
        <f>IF(F513="","",SUMIF(Productos!E:E,G513,Productos!A:A))</f>
        <v/>
      </c>
      <c r="D513" s="85" t="str">
        <f t="array" ref="D513">IF(OR(F513="",F513="Seleccionar.."),"",XLOOKUP(F513,Prearmados!E:E,Prearmados!F:F,"",0,1))</f>
        <v/>
      </c>
      <c r="E513" s="83" t="str">
        <f>IF(H513="","",SUMIF(Precio_Productos!K:K,C513,Precio_Productos!J:J)*H513)</f>
        <v/>
      </c>
      <c r="F513" s="86" t="str">
        <f t="shared" si="2"/>
        <v/>
      </c>
      <c r="G513" s="86" t="str">
        <f t="shared" si="3"/>
        <v/>
      </c>
      <c r="H513" s="15"/>
      <c r="P513" s="3" t="str">
        <f>IFERROR(__xludf.DUMMYFUNCTION("IF(OR(F513="""",F513=""Seleccionar..""),"""",TRANSPOSE(FILTER(Productos!E:E,(Productos!F:F=D513)+(Productos!F:F=XLOOKUP(D513,Implementos!B:B,Implementos!C:C,""-"",0,1)))))"),"")</f>
        <v/>
      </c>
    </row>
    <row r="514" hidden="1">
      <c r="A514" s="38" t="str">
        <f t="shared" si="1"/>
        <v/>
      </c>
      <c r="B514" s="38" t="str">
        <f>IF(F514="","",SUMIF(Prearmados!E:E,F514,Prearmados!A:A))</f>
        <v/>
      </c>
      <c r="C514" s="38" t="str">
        <f>IF(F514="","",SUMIF(Productos!E:E,G514,Productos!A:A))</f>
        <v/>
      </c>
      <c r="D514" s="85" t="str">
        <f t="array" ref="D514">IF(OR(F514="",F514="Seleccionar.."),"",XLOOKUP(F514,Prearmados!E:E,Prearmados!F:F,"",0,1))</f>
        <v/>
      </c>
      <c r="E514" s="83" t="str">
        <f>IF(H514="","",SUMIF(Precio_Productos!K:K,C514,Precio_Productos!J:J)*H514)</f>
        <v/>
      </c>
      <c r="F514" s="86" t="str">
        <f t="shared" si="2"/>
        <v/>
      </c>
      <c r="G514" s="86" t="str">
        <f t="shared" si="3"/>
        <v/>
      </c>
      <c r="H514" s="15"/>
      <c r="P514" s="3" t="str">
        <f>IFERROR(__xludf.DUMMYFUNCTION("IF(OR(F514="""",F514=""Seleccionar..""),"""",TRANSPOSE(FILTER(Productos!E:E,(Productos!F:F=D514)+(Productos!F:F=XLOOKUP(D514,Implementos!B:B,Implementos!C:C,""-"",0,1)))))"),"")</f>
        <v/>
      </c>
    </row>
    <row r="515" hidden="1">
      <c r="A515" s="38" t="str">
        <f t="shared" si="1"/>
        <v/>
      </c>
      <c r="B515" s="38" t="str">
        <f>IF(F515="","",SUMIF(Prearmados!E:E,F515,Prearmados!A:A))</f>
        <v/>
      </c>
      <c r="C515" s="38" t="str">
        <f>IF(F515="","",SUMIF(Productos!E:E,G515,Productos!A:A))</f>
        <v/>
      </c>
      <c r="D515" s="85" t="str">
        <f t="array" ref="D515">IF(OR(F515="",F515="Seleccionar.."),"",XLOOKUP(F515,Prearmados!E:E,Prearmados!F:F,"",0,1))</f>
        <v/>
      </c>
      <c r="E515" s="83" t="str">
        <f>IF(H515="","",SUMIF(Precio_Productos!K:K,C515,Precio_Productos!J:J)*H515)</f>
        <v/>
      </c>
      <c r="F515" s="86" t="str">
        <f t="shared" si="2"/>
        <v/>
      </c>
      <c r="G515" s="86" t="str">
        <f t="shared" si="3"/>
        <v/>
      </c>
      <c r="H515" s="15"/>
      <c r="P515" s="3" t="str">
        <f>IFERROR(__xludf.DUMMYFUNCTION("IF(OR(F515="""",F515=""Seleccionar..""),"""",TRANSPOSE(FILTER(Productos!E:E,(Productos!F:F=D515)+(Productos!F:F=XLOOKUP(D515,Implementos!B:B,Implementos!C:C,""-"",0,1)))))"),"")</f>
        <v/>
      </c>
    </row>
    <row r="516" hidden="1">
      <c r="A516" s="38" t="str">
        <f t="shared" si="1"/>
        <v/>
      </c>
      <c r="B516" s="38" t="str">
        <f>IF(F516="","",SUMIF(Prearmados!E:E,F516,Prearmados!A:A))</f>
        <v/>
      </c>
      <c r="C516" s="38" t="str">
        <f>IF(F516="","",SUMIF(Productos!E:E,G516,Productos!A:A))</f>
        <v/>
      </c>
      <c r="D516" s="85" t="str">
        <f t="array" ref="D516">IF(OR(F516="",F516="Seleccionar.."),"",XLOOKUP(F516,Prearmados!E:E,Prearmados!F:F,"",0,1))</f>
        <v/>
      </c>
      <c r="E516" s="83" t="str">
        <f>IF(H516="","",SUMIF(Precio_Productos!K:K,C516,Precio_Productos!J:J)*H516)</f>
        <v/>
      </c>
      <c r="F516" s="86" t="str">
        <f t="shared" si="2"/>
        <v/>
      </c>
      <c r="G516" s="86" t="str">
        <f t="shared" si="3"/>
        <v/>
      </c>
      <c r="H516" s="15"/>
      <c r="P516" s="3" t="str">
        <f>IFERROR(__xludf.DUMMYFUNCTION("IF(OR(F516="""",F516=""Seleccionar..""),"""",TRANSPOSE(FILTER(Productos!E:E,(Productos!F:F=D516)+(Productos!F:F=XLOOKUP(D516,Implementos!B:B,Implementos!C:C,""-"",0,1)))))"),"")</f>
        <v/>
      </c>
    </row>
    <row r="517" hidden="1">
      <c r="A517" s="38" t="str">
        <f t="shared" si="1"/>
        <v/>
      </c>
      <c r="B517" s="38" t="str">
        <f>IF(F517="","",SUMIF(Prearmados!E:E,F517,Prearmados!A:A))</f>
        <v/>
      </c>
      <c r="C517" s="38" t="str">
        <f>IF(F517="","",SUMIF(Productos!E:E,G517,Productos!A:A))</f>
        <v/>
      </c>
      <c r="D517" s="85" t="str">
        <f t="array" ref="D517">IF(OR(F517="",F517="Seleccionar.."),"",XLOOKUP(F517,Prearmados!E:E,Prearmados!F:F,"",0,1))</f>
        <v/>
      </c>
      <c r="E517" s="83" t="str">
        <f>IF(H517="","",SUMIF(Precio_Productos!K:K,C517,Precio_Productos!J:J)*H517)</f>
        <v/>
      </c>
      <c r="F517" s="86" t="str">
        <f t="shared" si="2"/>
        <v/>
      </c>
      <c r="G517" s="86" t="str">
        <f t="shared" si="3"/>
        <v/>
      </c>
      <c r="H517" s="15"/>
      <c r="P517" s="3" t="str">
        <f>IFERROR(__xludf.DUMMYFUNCTION("IF(OR(F517="""",F517=""Seleccionar..""),"""",TRANSPOSE(FILTER(Productos!E:E,(Productos!F:F=D517)+(Productos!F:F=XLOOKUP(D517,Implementos!B:B,Implementos!C:C,""-"",0,1)))))"),"")</f>
        <v/>
      </c>
    </row>
    <row r="518" hidden="1">
      <c r="A518" s="38" t="str">
        <f t="shared" si="1"/>
        <v/>
      </c>
      <c r="B518" s="38" t="str">
        <f>IF(F518="","",SUMIF(Prearmados!E:E,F518,Prearmados!A:A))</f>
        <v/>
      </c>
      <c r="C518" s="38" t="str">
        <f>IF(F518="","",SUMIF(Productos!E:E,G518,Productos!A:A))</f>
        <v/>
      </c>
      <c r="D518" s="85" t="str">
        <f t="array" ref="D518">IF(OR(F518="",F518="Seleccionar.."),"",XLOOKUP(F518,Prearmados!E:E,Prearmados!F:F,"",0,1))</f>
        <v/>
      </c>
      <c r="E518" s="83" t="str">
        <f>IF(H518="","",SUMIF(Precio_Productos!K:K,C518,Precio_Productos!J:J)*H518)</f>
        <v/>
      </c>
      <c r="F518" s="86" t="str">
        <f t="shared" si="2"/>
        <v/>
      </c>
      <c r="G518" s="86" t="str">
        <f t="shared" si="3"/>
        <v/>
      </c>
      <c r="H518" s="15"/>
      <c r="P518" s="3" t="str">
        <f>IFERROR(__xludf.DUMMYFUNCTION("IF(OR(F518="""",F518=""Seleccionar..""),"""",TRANSPOSE(FILTER(Productos!E:E,(Productos!F:F=D518)+(Productos!F:F=XLOOKUP(D518,Implementos!B:B,Implementos!C:C,""-"",0,1)))))"),"")</f>
        <v/>
      </c>
    </row>
    <row r="519" hidden="1">
      <c r="A519" s="38" t="str">
        <f t="shared" si="1"/>
        <v/>
      </c>
      <c r="B519" s="38" t="str">
        <f>IF(F519="","",SUMIF(Prearmados!E:E,F519,Prearmados!A:A))</f>
        <v/>
      </c>
      <c r="C519" s="38" t="str">
        <f>IF(F519="","",SUMIF(Productos!E:E,G519,Productos!A:A))</f>
        <v/>
      </c>
      <c r="D519" s="85" t="str">
        <f t="array" ref="D519">IF(OR(F519="",F519="Seleccionar.."),"",XLOOKUP(F519,Prearmados!E:E,Prearmados!F:F,"",0,1))</f>
        <v/>
      </c>
      <c r="E519" s="83" t="str">
        <f>IF(H519="","",SUMIF(Precio_Productos!K:K,C519,Precio_Productos!J:J)*H519)</f>
        <v/>
      </c>
      <c r="F519" s="86" t="str">
        <f t="shared" si="2"/>
        <v/>
      </c>
      <c r="G519" s="86" t="str">
        <f t="shared" si="3"/>
        <v/>
      </c>
      <c r="H519" s="15"/>
      <c r="P519" s="3" t="str">
        <f>IFERROR(__xludf.DUMMYFUNCTION("IF(OR(F519="""",F519=""Seleccionar..""),"""",TRANSPOSE(FILTER(Productos!E:E,(Productos!F:F=D519)+(Productos!F:F=XLOOKUP(D519,Implementos!B:B,Implementos!C:C,""-"",0,1)))))"),"")</f>
        <v/>
      </c>
    </row>
    <row r="520" hidden="1">
      <c r="A520" s="38" t="str">
        <f t="shared" si="1"/>
        <v/>
      </c>
      <c r="B520" s="38" t="str">
        <f>IF(F520="","",SUMIF(Prearmados!E:E,F520,Prearmados!A:A))</f>
        <v/>
      </c>
      <c r="C520" s="38" t="str">
        <f>IF(F520="","",SUMIF(Productos!E:E,G520,Productos!A:A))</f>
        <v/>
      </c>
      <c r="D520" s="85" t="str">
        <f t="array" ref="D520">IF(OR(F520="",F520="Seleccionar.."),"",XLOOKUP(F520,Prearmados!E:E,Prearmados!F:F,"",0,1))</f>
        <v/>
      </c>
      <c r="E520" s="83" t="str">
        <f>IF(H520="","",SUMIF(Precio_Productos!K:K,C520,Precio_Productos!J:J)*H520)</f>
        <v/>
      </c>
      <c r="F520" s="86" t="str">
        <f t="shared" si="2"/>
        <v/>
      </c>
      <c r="G520" s="86" t="str">
        <f t="shared" si="3"/>
        <v/>
      </c>
      <c r="H520" s="15"/>
      <c r="P520" s="3" t="str">
        <f>IFERROR(__xludf.DUMMYFUNCTION("IF(OR(F520="""",F520=""Seleccionar..""),"""",TRANSPOSE(FILTER(Productos!E:E,(Productos!F:F=D520)+(Productos!F:F=XLOOKUP(D520,Implementos!B:B,Implementos!C:C,""-"",0,1)))))"),"")</f>
        <v/>
      </c>
    </row>
    <row r="521" hidden="1">
      <c r="A521" s="38" t="str">
        <f t="shared" si="1"/>
        <v/>
      </c>
      <c r="B521" s="38" t="str">
        <f>IF(F521="","",SUMIF(Prearmados!E:E,F521,Prearmados!A:A))</f>
        <v/>
      </c>
      <c r="C521" s="38" t="str">
        <f>IF(F521="","",SUMIF(Productos!E:E,G521,Productos!A:A))</f>
        <v/>
      </c>
      <c r="D521" s="85" t="str">
        <f t="array" ref="D521">IF(OR(F521="",F521="Seleccionar.."),"",XLOOKUP(F521,Prearmados!E:E,Prearmados!F:F,"",0,1))</f>
        <v/>
      </c>
      <c r="E521" s="83" t="str">
        <f>IF(H521="","",SUMIF(Precio_Productos!K:K,C521,Precio_Productos!J:J)*H521)</f>
        <v/>
      </c>
      <c r="F521" s="86" t="str">
        <f t="shared" si="2"/>
        <v/>
      </c>
      <c r="G521" s="86" t="str">
        <f t="shared" si="3"/>
        <v/>
      </c>
      <c r="H521" s="15"/>
      <c r="P521" s="3" t="str">
        <f>IFERROR(__xludf.DUMMYFUNCTION("IF(OR(F521="""",F521=""Seleccionar..""),"""",TRANSPOSE(FILTER(Productos!E:E,(Productos!F:F=D521)+(Productos!F:F=XLOOKUP(D521,Implementos!B:B,Implementos!C:C,""-"",0,1)))))"),"")</f>
        <v/>
      </c>
    </row>
    <row r="522" hidden="1">
      <c r="A522" s="38" t="str">
        <f t="shared" si="1"/>
        <v/>
      </c>
      <c r="B522" s="38" t="str">
        <f>IF(F522="","",SUMIF(Prearmados!E:E,F522,Prearmados!A:A))</f>
        <v/>
      </c>
      <c r="C522" s="38" t="str">
        <f>IF(F522="","",SUMIF(Productos!E:E,G522,Productos!A:A))</f>
        <v/>
      </c>
      <c r="D522" s="85" t="str">
        <f t="array" ref="D522">IF(OR(F522="",F522="Seleccionar.."),"",XLOOKUP(F522,Prearmados!E:E,Prearmados!F:F,"",0,1))</f>
        <v/>
      </c>
      <c r="E522" s="83" t="str">
        <f>IF(H522="","",SUMIF(Precio_Productos!K:K,C522,Precio_Productos!J:J)*H522)</f>
        <v/>
      </c>
      <c r="F522" s="86" t="str">
        <f t="shared" si="2"/>
        <v/>
      </c>
      <c r="G522" s="86" t="str">
        <f t="shared" si="3"/>
        <v/>
      </c>
      <c r="H522" s="15"/>
      <c r="P522" s="3" t="str">
        <f>IFERROR(__xludf.DUMMYFUNCTION("IF(OR(F522="""",F522=""Seleccionar..""),"""",TRANSPOSE(FILTER(Productos!E:E,(Productos!F:F=D522)+(Productos!F:F=XLOOKUP(D522,Implementos!B:B,Implementos!C:C,""-"",0,1)))))"),"")</f>
        <v/>
      </c>
    </row>
    <row r="523" hidden="1">
      <c r="A523" s="38" t="str">
        <f t="shared" si="1"/>
        <v/>
      </c>
      <c r="B523" s="38" t="str">
        <f>IF(F523="","",SUMIF(Prearmados!E:E,F523,Prearmados!A:A))</f>
        <v/>
      </c>
      <c r="C523" s="38" t="str">
        <f>IF(F523="","",SUMIF(Productos!E:E,G523,Productos!A:A))</f>
        <v/>
      </c>
      <c r="D523" s="85" t="str">
        <f t="array" ref="D523">IF(OR(F523="",F523="Seleccionar.."),"",XLOOKUP(F523,Prearmados!E:E,Prearmados!F:F,"",0,1))</f>
        <v/>
      </c>
      <c r="E523" s="83" t="str">
        <f>IF(H523="","",SUMIF(Precio_Productos!K:K,C523,Precio_Productos!J:J)*H523)</f>
        <v/>
      </c>
      <c r="F523" s="86" t="str">
        <f t="shared" si="2"/>
        <v/>
      </c>
      <c r="G523" s="86" t="str">
        <f t="shared" si="3"/>
        <v/>
      </c>
      <c r="H523" s="15"/>
      <c r="P523" s="3" t="str">
        <f>IFERROR(__xludf.DUMMYFUNCTION("IF(OR(F523="""",F523=""Seleccionar..""),"""",TRANSPOSE(FILTER(Productos!E:E,(Productos!F:F=D523)+(Productos!F:F=XLOOKUP(D523,Implementos!B:B,Implementos!C:C,""-"",0,1)))))"),"")</f>
        <v/>
      </c>
    </row>
    <row r="524" hidden="1">
      <c r="A524" s="38" t="str">
        <f t="shared" si="1"/>
        <v/>
      </c>
      <c r="B524" s="38" t="str">
        <f>IF(F524="","",SUMIF(Prearmados!E:E,F524,Prearmados!A:A))</f>
        <v/>
      </c>
      <c r="C524" s="38" t="str">
        <f>IF(F524="","",SUMIF(Productos!E:E,G524,Productos!A:A))</f>
        <v/>
      </c>
      <c r="D524" s="85" t="str">
        <f t="array" ref="D524">IF(OR(F524="",F524="Seleccionar.."),"",XLOOKUP(F524,Prearmados!E:E,Prearmados!F:F,"",0,1))</f>
        <v/>
      </c>
      <c r="E524" s="83" t="str">
        <f>IF(H524="","",SUMIF(Precio_Productos!K:K,C524,Precio_Productos!J:J)*H524)</f>
        <v/>
      </c>
      <c r="F524" s="86" t="str">
        <f t="shared" si="2"/>
        <v/>
      </c>
      <c r="G524" s="86" t="str">
        <f t="shared" si="3"/>
        <v/>
      </c>
      <c r="H524" s="15"/>
      <c r="P524" s="3" t="str">
        <f>IFERROR(__xludf.DUMMYFUNCTION("IF(OR(F524="""",F524=""Seleccionar..""),"""",TRANSPOSE(FILTER(Productos!E:E,(Productos!F:F=D524)+(Productos!F:F=XLOOKUP(D524,Implementos!B:B,Implementos!C:C,""-"",0,1)))))"),"")</f>
        <v/>
      </c>
    </row>
    <row r="525" hidden="1">
      <c r="A525" s="38" t="str">
        <f t="shared" si="1"/>
        <v/>
      </c>
      <c r="B525" s="38" t="str">
        <f>IF(F525="","",SUMIF(Prearmados!E:E,F525,Prearmados!A:A))</f>
        <v/>
      </c>
      <c r="C525" s="38" t="str">
        <f>IF(F525="","",SUMIF(Productos!E:E,G525,Productos!A:A))</f>
        <v/>
      </c>
      <c r="D525" s="85" t="str">
        <f t="array" ref="D525">IF(OR(F525="",F525="Seleccionar.."),"",XLOOKUP(F525,Prearmados!E:E,Prearmados!F:F,"",0,1))</f>
        <v/>
      </c>
      <c r="E525" s="83" t="str">
        <f>IF(H525="","",SUMIF(Precio_Productos!K:K,C525,Precio_Productos!J:J)*H525)</f>
        <v/>
      </c>
      <c r="F525" s="86" t="str">
        <f t="shared" si="2"/>
        <v/>
      </c>
      <c r="G525" s="86" t="str">
        <f t="shared" si="3"/>
        <v/>
      </c>
      <c r="H525" s="15"/>
      <c r="P525" s="3" t="str">
        <f>IFERROR(__xludf.DUMMYFUNCTION("IF(OR(F525="""",F525=""Seleccionar..""),"""",TRANSPOSE(FILTER(Productos!E:E,(Productos!F:F=D525)+(Productos!F:F=XLOOKUP(D525,Implementos!B:B,Implementos!C:C,""-"",0,1)))))"),"")</f>
        <v/>
      </c>
    </row>
    <row r="526" hidden="1">
      <c r="A526" s="38" t="str">
        <f t="shared" si="1"/>
        <v/>
      </c>
      <c r="B526" s="38" t="str">
        <f>IF(F526="","",SUMIF(Prearmados!E:E,F526,Prearmados!A:A))</f>
        <v/>
      </c>
      <c r="C526" s="38" t="str">
        <f>IF(F526="","",SUMIF(Productos!E:E,G526,Productos!A:A))</f>
        <v/>
      </c>
      <c r="D526" s="85" t="str">
        <f t="array" ref="D526">IF(OR(F526="",F526="Seleccionar.."),"",XLOOKUP(F526,Prearmados!E:E,Prearmados!F:F,"",0,1))</f>
        <v/>
      </c>
      <c r="E526" s="83" t="str">
        <f>IF(H526="","",SUMIF(Precio_Productos!K:K,C526,Precio_Productos!J:J)*H526)</f>
        <v/>
      </c>
      <c r="F526" s="86" t="str">
        <f t="shared" si="2"/>
        <v/>
      </c>
      <c r="G526" s="86" t="str">
        <f t="shared" si="3"/>
        <v/>
      </c>
      <c r="H526" s="15"/>
      <c r="P526" s="3" t="str">
        <f>IFERROR(__xludf.DUMMYFUNCTION("IF(OR(F526="""",F526=""Seleccionar..""),"""",TRANSPOSE(FILTER(Productos!E:E,(Productos!F:F=D526)+(Productos!F:F=XLOOKUP(D526,Implementos!B:B,Implementos!C:C,""-"",0,1)))))"),"")</f>
        <v/>
      </c>
    </row>
    <row r="527" hidden="1">
      <c r="A527" s="38" t="str">
        <f t="shared" si="1"/>
        <v/>
      </c>
      <c r="B527" s="38" t="str">
        <f>IF(F527="","",SUMIF(Prearmados!E:E,F527,Prearmados!A:A))</f>
        <v/>
      </c>
      <c r="C527" s="38" t="str">
        <f>IF(F527="","",SUMIF(Productos!E:E,G527,Productos!A:A))</f>
        <v/>
      </c>
      <c r="D527" s="85" t="str">
        <f t="array" ref="D527">IF(OR(F527="",F527="Seleccionar.."),"",XLOOKUP(F527,Prearmados!E:E,Prearmados!F:F,"",0,1))</f>
        <v/>
      </c>
      <c r="E527" s="83" t="str">
        <f>IF(H527="","",SUMIF(Precio_Productos!K:K,C527,Precio_Productos!J:J)*H527)</f>
        <v/>
      </c>
      <c r="F527" s="86" t="str">
        <f t="shared" si="2"/>
        <v/>
      </c>
      <c r="G527" s="86" t="str">
        <f t="shared" si="3"/>
        <v/>
      </c>
      <c r="H527" s="15"/>
      <c r="P527" s="3" t="str">
        <f>IFERROR(__xludf.DUMMYFUNCTION("IF(OR(F527="""",F527=""Seleccionar..""),"""",TRANSPOSE(FILTER(Productos!E:E,(Productos!F:F=D527)+(Productos!F:F=XLOOKUP(D527,Implementos!B:B,Implementos!C:C,""-"",0,1)))))"),"")</f>
        <v/>
      </c>
    </row>
    <row r="528" hidden="1">
      <c r="A528" s="38" t="str">
        <f t="shared" si="1"/>
        <v/>
      </c>
      <c r="B528" s="38" t="str">
        <f>IF(F528="","",SUMIF(Prearmados!E:E,F528,Prearmados!A:A))</f>
        <v/>
      </c>
      <c r="C528" s="38" t="str">
        <f>IF(F528="","",SUMIF(Productos!E:E,G528,Productos!A:A))</f>
        <v/>
      </c>
      <c r="D528" s="85" t="str">
        <f t="array" ref="D528">IF(OR(F528="",F528="Seleccionar.."),"",XLOOKUP(F528,Prearmados!E:E,Prearmados!F:F,"",0,1))</f>
        <v/>
      </c>
      <c r="E528" s="83" t="str">
        <f>IF(H528="","",SUMIF(Precio_Productos!K:K,C528,Precio_Productos!J:J)*H528)</f>
        <v/>
      </c>
      <c r="F528" s="86" t="str">
        <f t="shared" si="2"/>
        <v/>
      </c>
      <c r="G528" s="86" t="str">
        <f t="shared" si="3"/>
        <v/>
      </c>
      <c r="H528" s="15"/>
      <c r="P528" s="3" t="str">
        <f>IFERROR(__xludf.DUMMYFUNCTION("IF(OR(F528="""",F528=""Seleccionar..""),"""",TRANSPOSE(FILTER(Productos!E:E,(Productos!F:F=D528)+(Productos!F:F=XLOOKUP(D528,Implementos!B:B,Implementos!C:C,""-"",0,1)))))"),"")</f>
        <v/>
      </c>
    </row>
    <row r="529" hidden="1">
      <c r="A529" s="38" t="str">
        <f t="shared" si="1"/>
        <v/>
      </c>
      <c r="B529" s="38" t="str">
        <f>IF(F529="","",SUMIF(Prearmados!E:E,F529,Prearmados!A:A))</f>
        <v/>
      </c>
      <c r="C529" s="38" t="str">
        <f>IF(F529="","",SUMIF(Productos!E:E,G529,Productos!A:A))</f>
        <v/>
      </c>
      <c r="D529" s="85" t="str">
        <f t="array" ref="D529">IF(OR(F529="",F529="Seleccionar.."),"",XLOOKUP(F529,Prearmados!E:E,Prearmados!F:F,"",0,1))</f>
        <v/>
      </c>
      <c r="E529" s="83" t="str">
        <f>IF(H529="","",SUMIF(Precio_Productos!K:K,C529,Precio_Productos!J:J)*H529)</f>
        <v/>
      </c>
      <c r="F529" s="86" t="str">
        <f t="shared" si="2"/>
        <v/>
      </c>
      <c r="G529" s="86" t="str">
        <f t="shared" si="3"/>
        <v/>
      </c>
      <c r="H529" s="15"/>
      <c r="P529" s="3" t="str">
        <f>IFERROR(__xludf.DUMMYFUNCTION("IF(OR(F529="""",F529=""Seleccionar..""),"""",TRANSPOSE(FILTER(Productos!E:E,(Productos!F:F=D529)+(Productos!F:F=XLOOKUP(D529,Implementos!B:B,Implementos!C:C,""-"",0,1)))))"),"")</f>
        <v/>
      </c>
    </row>
    <row r="530" hidden="1">
      <c r="A530" s="38" t="str">
        <f t="shared" si="1"/>
        <v/>
      </c>
      <c r="B530" s="38" t="str">
        <f>IF(F530="","",SUMIF(Prearmados!E:E,F530,Prearmados!A:A))</f>
        <v/>
      </c>
      <c r="C530" s="38" t="str">
        <f>IF(F530="","",SUMIF(Productos!E:E,G530,Productos!A:A))</f>
        <v/>
      </c>
      <c r="D530" s="85" t="str">
        <f t="array" ref="D530">IF(OR(F530="",F530="Seleccionar.."),"",XLOOKUP(F530,Prearmados!E:E,Prearmados!F:F,"",0,1))</f>
        <v/>
      </c>
      <c r="E530" s="83" t="str">
        <f>IF(H530="","",SUMIF(Precio_Productos!K:K,C530,Precio_Productos!J:J)*H530)</f>
        <v/>
      </c>
      <c r="F530" s="86" t="str">
        <f t="shared" si="2"/>
        <v/>
      </c>
      <c r="G530" s="86" t="str">
        <f t="shared" si="3"/>
        <v/>
      </c>
      <c r="H530" s="15"/>
      <c r="P530" s="3" t="str">
        <f>IFERROR(__xludf.DUMMYFUNCTION("IF(OR(F530="""",F530=""Seleccionar..""),"""",TRANSPOSE(FILTER(Productos!E:E,(Productos!F:F=D530)+(Productos!F:F=XLOOKUP(D530,Implementos!B:B,Implementos!C:C,""-"",0,1)))))"),"")</f>
        <v/>
      </c>
    </row>
    <row r="531" hidden="1">
      <c r="A531" s="38" t="str">
        <f t="shared" si="1"/>
        <v/>
      </c>
      <c r="B531" s="38" t="str">
        <f>IF(F531="","",SUMIF(Prearmados!E:E,F531,Prearmados!A:A))</f>
        <v/>
      </c>
      <c r="C531" s="38" t="str">
        <f>IF(F531="","",SUMIF(Productos!E:E,G531,Productos!A:A))</f>
        <v/>
      </c>
      <c r="D531" s="85" t="str">
        <f t="array" ref="D531">IF(OR(F531="",F531="Seleccionar.."),"",XLOOKUP(F531,Prearmados!E:E,Prearmados!F:F,"",0,1))</f>
        <v/>
      </c>
      <c r="E531" s="83" t="str">
        <f>IF(H531="","",SUMIF(Precio_Productos!K:K,C531,Precio_Productos!J:J)*H531)</f>
        <v/>
      </c>
      <c r="F531" s="86" t="str">
        <f t="shared" si="2"/>
        <v/>
      </c>
      <c r="G531" s="86" t="str">
        <f t="shared" si="3"/>
        <v/>
      </c>
      <c r="H531" s="15"/>
      <c r="P531" s="3" t="str">
        <f>IFERROR(__xludf.DUMMYFUNCTION("IF(OR(F531="""",F531=""Seleccionar..""),"""",TRANSPOSE(FILTER(Productos!E:E,(Productos!F:F=D531)+(Productos!F:F=XLOOKUP(D531,Implementos!B:B,Implementos!C:C,""-"",0,1)))))"),"")</f>
        <v/>
      </c>
    </row>
    <row r="532" hidden="1">
      <c r="A532" s="38" t="str">
        <f t="shared" si="1"/>
        <v/>
      </c>
      <c r="B532" s="38" t="str">
        <f>IF(F532="","",SUMIF(Prearmados!E:E,F532,Prearmados!A:A))</f>
        <v/>
      </c>
      <c r="C532" s="38" t="str">
        <f>IF(F532="","",SUMIF(Productos!E:E,G532,Productos!A:A))</f>
        <v/>
      </c>
      <c r="D532" s="85" t="str">
        <f t="array" ref="D532">IF(OR(F532="",F532="Seleccionar.."),"",XLOOKUP(F532,Prearmados!E:E,Prearmados!F:F,"",0,1))</f>
        <v/>
      </c>
      <c r="E532" s="83" t="str">
        <f>IF(H532="","",SUMIF(Precio_Productos!K:K,C532,Precio_Productos!J:J)*H532)</f>
        <v/>
      </c>
      <c r="F532" s="86" t="str">
        <f t="shared" si="2"/>
        <v/>
      </c>
      <c r="G532" s="86" t="str">
        <f t="shared" si="3"/>
        <v/>
      </c>
      <c r="H532" s="15"/>
      <c r="P532" s="3" t="str">
        <f>IFERROR(__xludf.DUMMYFUNCTION("IF(OR(F532="""",F532=""Seleccionar..""),"""",TRANSPOSE(FILTER(Productos!E:E,(Productos!F:F=D532)+(Productos!F:F=XLOOKUP(D532,Implementos!B:B,Implementos!C:C,""-"",0,1)))))"),"")</f>
        <v/>
      </c>
    </row>
    <row r="533" hidden="1">
      <c r="A533" s="38" t="str">
        <f t="shared" si="1"/>
        <v/>
      </c>
      <c r="B533" s="38" t="str">
        <f>IF(F533="","",SUMIF(Prearmados!E:E,F533,Prearmados!A:A))</f>
        <v/>
      </c>
      <c r="C533" s="38" t="str">
        <f>IF(F533="","",SUMIF(Productos!E:E,G533,Productos!A:A))</f>
        <v/>
      </c>
      <c r="D533" s="85" t="str">
        <f t="array" ref="D533">IF(OR(F533="",F533="Seleccionar.."),"",XLOOKUP(F533,Prearmados!E:E,Prearmados!F:F,"",0,1))</f>
        <v/>
      </c>
      <c r="E533" s="83" t="str">
        <f>IF(H533="","",SUMIF(Precio_Productos!K:K,C533,Precio_Productos!J:J)*H533)</f>
        <v/>
      </c>
      <c r="F533" s="86" t="str">
        <f t="shared" si="2"/>
        <v/>
      </c>
      <c r="G533" s="86" t="str">
        <f t="shared" si="3"/>
        <v/>
      </c>
      <c r="H533" s="15"/>
      <c r="P533" s="3" t="str">
        <f>IFERROR(__xludf.DUMMYFUNCTION("IF(OR(F533="""",F533=""Seleccionar..""),"""",TRANSPOSE(FILTER(Productos!E:E,(Productos!F:F=D533)+(Productos!F:F=XLOOKUP(D533,Implementos!B:B,Implementos!C:C,""-"",0,1)))))"),"")</f>
        <v/>
      </c>
    </row>
    <row r="534" hidden="1">
      <c r="A534" s="38" t="str">
        <f t="shared" si="1"/>
        <v/>
      </c>
      <c r="B534" s="38" t="str">
        <f>IF(F534="","",SUMIF(Prearmados!E:E,F534,Prearmados!A:A))</f>
        <v/>
      </c>
      <c r="C534" s="38" t="str">
        <f>IF(F534="","",SUMIF(Productos!E:E,G534,Productos!A:A))</f>
        <v/>
      </c>
      <c r="D534" s="85" t="str">
        <f t="array" ref="D534">IF(OR(F534="",F534="Seleccionar.."),"",XLOOKUP(F534,Prearmados!E:E,Prearmados!F:F,"",0,1))</f>
        <v/>
      </c>
      <c r="E534" s="83" t="str">
        <f>IF(H534="","",SUMIF(Precio_Productos!K:K,C534,Precio_Productos!J:J)*H534)</f>
        <v/>
      </c>
      <c r="F534" s="86" t="str">
        <f t="shared" si="2"/>
        <v/>
      </c>
      <c r="G534" s="86" t="str">
        <f t="shared" si="3"/>
        <v/>
      </c>
      <c r="H534" s="15"/>
      <c r="P534" s="3" t="str">
        <f>IFERROR(__xludf.DUMMYFUNCTION("IF(OR(F534="""",F534=""Seleccionar..""),"""",TRANSPOSE(FILTER(Productos!E:E,(Productos!F:F=D534)+(Productos!F:F=XLOOKUP(D534,Implementos!B:B,Implementos!C:C,""-"",0,1)))))"),"")</f>
        <v/>
      </c>
    </row>
    <row r="535" hidden="1">
      <c r="A535" s="38" t="str">
        <f t="shared" si="1"/>
        <v/>
      </c>
      <c r="B535" s="38" t="str">
        <f>IF(F535="","",SUMIF(Prearmados!E:E,F535,Prearmados!A:A))</f>
        <v/>
      </c>
      <c r="C535" s="38" t="str">
        <f>IF(F535="","",SUMIF(Productos!E:E,G535,Productos!A:A))</f>
        <v/>
      </c>
      <c r="D535" s="85" t="str">
        <f t="array" ref="D535">IF(OR(F535="",F535="Seleccionar.."),"",XLOOKUP(F535,Prearmados!E:E,Prearmados!F:F,"",0,1))</f>
        <v/>
      </c>
      <c r="E535" s="83" t="str">
        <f>IF(H535="","",SUMIF(Precio_Productos!K:K,C535,Precio_Productos!J:J)*H535)</f>
        <v/>
      </c>
      <c r="F535" s="86" t="str">
        <f t="shared" si="2"/>
        <v/>
      </c>
      <c r="G535" s="86" t="str">
        <f t="shared" si="3"/>
        <v/>
      </c>
      <c r="H535" s="15"/>
      <c r="P535" s="3" t="str">
        <f>IFERROR(__xludf.DUMMYFUNCTION("IF(OR(F535="""",F535=""Seleccionar..""),"""",TRANSPOSE(FILTER(Productos!E:E,(Productos!F:F=D535)+(Productos!F:F=XLOOKUP(D535,Implementos!B:B,Implementos!C:C,""-"",0,1)))))"),"")</f>
        <v/>
      </c>
    </row>
    <row r="536" hidden="1">
      <c r="A536" s="38" t="str">
        <f t="shared" si="1"/>
        <v/>
      </c>
      <c r="B536" s="38" t="str">
        <f>IF(F536="","",SUMIF(Prearmados!E:E,F536,Prearmados!A:A))</f>
        <v/>
      </c>
      <c r="C536" s="38" t="str">
        <f>IF(F536="","",SUMIF(Productos!E:E,G536,Productos!A:A))</f>
        <v/>
      </c>
      <c r="D536" s="85" t="str">
        <f t="array" ref="D536">IF(OR(F536="",F536="Seleccionar.."),"",XLOOKUP(F536,Prearmados!E:E,Prearmados!F:F,"",0,1))</f>
        <v/>
      </c>
      <c r="E536" s="83" t="str">
        <f>IF(H536="","",SUMIF(Precio_Productos!K:K,C536,Precio_Productos!J:J)*H536)</f>
        <v/>
      </c>
      <c r="F536" s="86" t="str">
        <f t="shared" si="2"/>
        <v/>
      </c>
      <c r="G536" s="86" t="str">
        <f t="shared" si="3"/>
        <v/>
      </c>
      <c r="H536" s="15"/>
      <c r="P536" s="3" t="str">
        <f>IFERROR(__xludf.DUMMYFUNCTION("IF(OR(F536="""",F536=""Seleccionar..""),"""",TRANSPOSE(FILTER(Productos!E:E,(Productos!F:F=D536)+(Productos!F:F=XLOOKUP(D536,Implementos!B:B,Implementos!C:C,""-"",0,1)))))"),"")</f>
        <v/>
      </c>
    </row>
    <row r="537" hidden="1">
      <c r="A537" s="38" t="str">
        <f t="shared" si="1"/>
        <v/>
      </c>
      <c r="B537" s="38" t="str">
        <f>IF(F537="","",SUMIF(Prearmados!E:E,F537,Prearmados!A:A))</f>
        <v/>
      </c>
      <c r="C537" s="38" t="str">
        <f>IF(F537="","",SUMIF(Productos!E:E,G537,Productos!A:A))</f>
        <v/>
      </c>
      <c r="D537" s="85" t="str">
        <f t="array" ref="D537">IF(OR(F537="",F537="Seleccionar.."),"",XLOOKUP(F537,Prearmados!E:E,Prearmados!F:F,"",0,1))</f>
        <v/>
      </c>
      <c r="E537" s="83" t="str">
        <f>IF(H537="","",SUMIF(Precio_Productos!K:K,C537,Precio_Productos!J:J)*H537)</f>
        <v/>
      </c>
      <c r="F537" s="86" t="str">
        <f t="shared" si="2"/>
        <v/>
      </c>
      <c r="G537" s="86" t="str">
        <f t="shared" si="3"/>
        <v/>
      </c>
      <c r="H537" s="15"/>
      <c r="P537" s="3" t="str">
        <f>IFERROR(__xludf.DUMMYFUNCTION("IF(OR(F537="""",F537=""Seleccionar..""),"""",TRANSPOSE(FILTER(Productos!E:E,(Productos!F:F=D537)+(Productos!F:F=XLOOKUP(D537,Implementos!B:B,Implementos!C:C,""-"",0,1)))))"),"")</f>
        <v/>
      </c>
    </row>
    <row r="538" hidden="1">
      <c r="A538" s="38" t="str">
        <f t="shared" si="1"/>
        <v/>
      </c>
      <c r="B538" s="38" t="str">
        <f>IF(F538="","",SUMIF(Prearmados!E:E,F538,Prearmados!A:A))</f>
        <v/>
      </c>
      <c r="C538" s="38" t="str">
        <f>IF(F538="","",SUMIF(Productos!E:E,G538,Productos!A:A))</f>
        <v/>
      </c>
      <c r="D538" s="85" t="str">
        <f t="array" ref="D538">IF(OR(F538="",F538="Seleccionar.."),"",XLOOKUP(F538,Prearmados!E:E,Prearmados!F:F,"",0,1))</f>
        <v/>
      </c>
      <c r="E538" s="83" t="str">
        <f>IF(H538="","",SUMIF(Precio_Productos!K:K,C538,Precio_Productos!J:J)*H538)</f>
        <v/>
      </c>
      <c r="F538" s="86" t="str">
        <f t="shared" si="2"/>
        <v/>
      </c>
      <c r="G538" s="86" t="str">
        <f t="shared" si="3"/>
        <v/>
      </c>
      <c r="H538" s="15"/>
      <c r="P538" s="3" t="str">
        <f>IFERROR(__xludf.DUMMYFUNCTION("IF(OR(F538="""",F538=""Seleccionar..""),"""",TRANSPOSE(FILTER(Productos!E:E,(Productos!F:F=D538)+(Productos!F:F=XLOOKUP(D538,Implementos!B:B,Implementos!C:C,""-"",0,1)))))"),"")</f>
        <v/>
      </c>
    </row>
    <row r="539" hidden="1">
      <c r="A539" s="38" t="str">
        <f t="shared" si="1"/>
        <v/>
      </c>
      <c r="B539" s="38" t="str">
        <f>IF(F539="","",SUMIF(Prearmados!E:E,F539,Prearmados!A:A))</f>
        <v/>
      </c>
      <c r="C539" s="38" t="str">
        <f>IF(F539="","",SUMIF(Productos!E:E,G539,Productos!A:A))</f>
        <v/>
      </c>
      <c r="D539" s="85" t="str">
        <f t="array" ref="D539">IF(OR(F539="",F539="Seleccionar.."),"",XLOOKUP(F539,Prearmados!E:E,Prearmados!F:F,"",0,1))</f>
        <v/>
      </c>
      <c r="E539" s="83" t="str">
        <f>IF(H539="","",SUMIF(Precio_Productos!K:K,C539,Precio_Productos!J:J)*H539)</f>
        <v/>
      </c>
      <c r="F539" s="86" t="str">
        <f t="shared" si="2"/>
        <v/>
      </c>
      <c r="G539" s="86" t="str">
        <f t="shared" si="3"/>
        <v/>
      </c>
      <c r="H539" s="15"/>
      <c r="P539" s="3" t="str">
        <f>IFERROR(__xludf.DUMMYFUNCTION("IF(OR(F539="""",F539=""Seleccionar..""),"""",TRANSPOSE(FILTER(Productos!E:E,(Productos!F:F=D539)+(Productos!F:F=XLOOKUP(D539,Implementos!B:B,Implementos!C:C,""-"",0,1)))))"),"")</f>
        <v/>
      </c>
    </row>
    <row r="540" hidden="1">
      <c r="A540" s="38" t="str">
        <f t="shared" si="1"/>
        <v/>
      </c>
      <c r="B540" s="38" t="str">
        <f>IF(F540="","",SUMIF(Prearmados!E:E,F540,Prearmados!A:A))</f>
        <v/>
      </c>
      <c r="C540" s="38" t="str">
        <f>IF(F540="","",SUMIF(Productos!E:E,G540,Productos!A:A))</f>
        <v/>
      </c>
      <c r="D540" s="85" t="str">
        <f t="array" ref="D540">IF(OR(F540="",F540="Seleccionar.."),"",XLOOKUP(F540,Prearmados!E:E,Prearmados!F:F,"",0,1))</f>
        <v/>
      </c>
      <c r="E540" s="83" t="str">
        <f>IF(H540="","",SUMIF(Precio_Productos!K:K,C540,Precio_Productos!J:J)*H540)</f>
        <v/>
      </c>
      <c r="F540" s="86" t="str">
        <f t="shared" si="2"/>
        <v/>
      </c>
      <c r="G540" s="86" t="str">
        <f t="shared" si="3"/>
        <v/>
      </c>
      <c r="H540" s="15"/>
      <c r="P540" s="3" t="str">
        <f>IFERROR(__xludf.DUMMYFUNCTION("IF(OR(F540="""",F540=""Seleccionar..""),"""",TRANSPOSE(FILTER(Productos!E:E,(Productos!F:F=D540)+(Productos!F:F=XLOOKUP(D540,Implementos!B:B,Implementos!C:C,""-"",0,1)))))"),"")</f>
        <v/>
      </c>
    </row>
    <row r="541" hidden="1">
      <c r="A541" s="38" t="str">
        <f t="shared" si="1"/>
        <v/>
      </c>
      <c r="B541" s="38" t="str">
        <f>IF(F541="","",SUMIF(Prearmados!E:E,F541,Prearmados!A:A))</f>
        <v/>
      </c>
      <c r="C541" s="38" t="str">
        <f>IF(F541="","",SUMIF(Productos!E:E,G541,Productos!A:A))</f>
        <v/>
      </c>
      <c r="D541" s="85" t="str">
        <f t="array" ref="D541">IF(OR(F541="",F541="Seleccionar.."),"",XLOOKUP(F541,Prearmados!E:E,Prearmados!F:F,"",0,1))</f>
        <v/>
      </c>
      <c r="E541" s="83" t="str">
        <f>IF(H541="","",SUMIF(Precio_Productos!K:K,C541,Precio_Productos!J:J)*H541)</f>
        <v/>
      </c>
      <c r="F541" s="86" t="str">
        <f t="shared" si="2"/>
        <v/>
      </c>
      <c r="G541" s="86" t="str">
        <f t="shared" si="3"/>
        <v/>
      </c>
      <c r="H541" s="15"/>
      <c r="P541" s="3" t="str">
        <f>IFERROR(__xludf.DUMMYFUNCTION("IF(OR(F541="""",F541=""Seleccionar..""),"""",TRANSPOSE(FILTER(Productos!E:E,(Productos!F:F=D541)+(Productos!F:F=XLOOKUP(D541,Implementos!B:B,Implementos!C:C,""-"",0,1)))))"),"")</f>
        <v/>
      </c>
    </row>
    <row r="542" hidden="1">
      <c r="A542" s="38" t="str">
        <f t="shared" si="1"/>
        <v/>
      </c>
      <c r="B542" s="38" t="str">
        <f>IF(F542="","",SUMIF(Prearmados!E:E,F542,Prearmados!A:A))</f>
        <v/>
      </c>
      <c r="C542" s="38" t="str">
        <f>IF(F542="","",SUMIF(Productos!E:E,G542,Productos!A:A))</f>
        <v/>
      </c>
      <c r="D542" s="85" t="str">
        <f t="array" ref="D542">IF(OR(F542="",F542="Seleccionar.."),"",XLOOKUP(F542,Prearmados!E:E,Prearmados!F:F,"",0,1))</f>
        <v/>
      </c>
      <c r="E542" s="83" t="str">
        <f>IF(H542="","",SUMIF(Precio_Productos!K:K,C542,Precio_Productos!J:J)*H542)</f>
        <v/>
      </c>
      <c r="F542" s="86" t="str">
        <f t="shared" si="2"/>
        <v/>
      </c>
      <c r="G542" s="86" t="str">
        <f t="shared" si="3"/>
        <v/>
      </c>
      <c r="H542" s="15"/>
      <c r="P542" s="3" t="str">
        <f>IFERROR(__xludf.DUMMYFUNCTION("IF(OR(F542="""",F542=""Seleccionar..""),"""",TRANSPOSE(FILTER(Productos!E:E,(Productos!F:F=D542)+(Productos!F:F=XLOOKUP(D542,Implementos!B:B,Implementos!C:C,""-"",0,1)))))"),"")</f>
        <v/>
      </c>
    </row>
    <row r="543" hidden="1">
      <c r="A543" s="38" t="str">
        <f t="shared" si="1"/>
        <v/>
      </c>
      <c r="B543" s="38" t="str">
        <f>IF(F543="","",SUMIF(Prearmados!E:E,F543,Prearmados!A:A))</f>
        <v/>
      </c>
      <c r="C543" s="38" t="str">
        <f>IF(F543="","",SUMIF(Productos!E:E,G543,Productos!A:A))</f>
        <v/>
      </c>
      <c r="D543" s="85" t="str">
        <f t="array" ref="D543">IF(OR(F543="",F543="Seleccionar.."),"",XLOOKUP(F543,Prearmados!E:E,Prearmados!F:F,"",0,1))</f>
        <v/>
      </c>
      <c r="E543" s="83" t="str">
        <f>IF(H543="","",SUMIF(Precio_Productos!K:K,C543,Precio_Productos!J:J)*H543)</f>
        <v/>
      </c>
      <c r="F543" s="86" t="str">
        <f t="shared" si="2"/>
        <v/>
      </c>
      <c r="G543" s="86" t="str">
        <f t="shared" si="3"/>
        <v/>
      </c>
      <c r="H543" s="15"/>
      <c r="P543" s="3" t="str">
        <f>IFERROR(__xludf.DUMMYFUNCTION("IF(OR(F543="""",F543=""Seleccionar..""),"""",TRANSPOSE(FILTER(Productos!E:E,(Productos!F:F=D543)+(Productos!F:F=XLOOKUP(D543,Implementos!B:B,Implementos!C:C,""-"",0,1)))))"),"")</f>
        <v/>
      </c>
    </row>
    <row r="544" hidden="1">
      <c r="A544" s="38" t="str">
        <f t="shared" si="1"/>
        <v/>
      </c>
      <c r="B544" s="38" t="str">
        <f>IF(F544="","",SUMIF(Prearmados!E:E,F544,Prearmados!A:A))</f>
        <v/>
      </c>
      <c r="C544" s="38" t="str">
        <f>IF(F544="","",SUMIF(Productos!E:E,G544,Productos!A:A))</f>
        <v/>
      </c>
      <c r="D544" s="85" t="str">
        <f t="array" ref="D544">IF(OR(F544="",F544="Seleccionar.."),"",XLOOKUP(F544,Prearmados!E:E,Prearmados!F:F,"",0,1))</f>
        <v/>
      </c>
      <c r="E544" s="83" t="str">
        <f>IF(H544="","",SUMIF(Precio_Productos!K:K,C544,Precio_Productos!J:J)*H544)</f>
        <v/>
      </c>
      <c r="F544" s="86" t="str">
        <f t="shared" si="2"/>
        <v/>
      </c>
      <c r="G544" s="86" t="str">
        <f t="shared" si="3"/>
        <v/>
      </c>
      <c r="H544" s="15"/>
      <c r="P544" s="3" t="str">
        <f>IFERROR(__xludf.DUMMYFUNCTION("IF(OR(F544="""",F544=""Seleccionar..""),"""",TRANSPOSE(FILTER(Productos!E:E,(Productos!F:F=D544)+(Productos!F:F=XLOOKUP(D544,Implementos!B:B,Implementos!C:C,""-"",0,1)))))"),"")</f>
        <v/>
      </c>
    </row>
    <row r="545" hidden="1">
      <c r="A545" s="38" t="str">
        <f t="shared" si="1"/>
        <v/>
      </c>
      <c r="B545" s="38" t="str">
        <f>IF(F545="","",SUMIF(Prearmados!E:E,F545,Prearmados!A:A))</f>
        <v/>
      </c>
      <c r="C545" s="38" t="str">
        <f>IF(F545="","",SUMIF(Productos!E:E,G545,Productos!A:A))</f>
        <v/>
      </c>
      <c r="D545" s="85" t="str">
        <f t="array" ref="D545">IF(OR(F545="",F545="Seleccionar.."),"",XLOOKUP(F545,Prearmados!E:E,Prearmados!F:F,"",0,1))</f>
        <v/>
      </c>
      <c r="E545" s="83" t="str">
        <f>IF(H545="","",SUMIF(Precio_Productos!K:K,C545,Precio_Productos!J:J)*H545)</f>
        <v/>
      </c>
      <c r="F545" s="86" t="str">
        <f t="shared" si="2"/>
        <v/>
      </c>
      <c r="G545" s="86" t="str">
        <f t="shared" si="3"/>
        <v/>
      </c>
      <c r="H545" s="15"/>
      <c r="P545" s="3" t="str">
        <f>IFERROR(__xludf.DUMMYFUNCTION("IF(OR(F545="""",F545=""Seleccionar..""),"""",TRANSPOSE(FILTER(Productos!E:E,(Productos!F:F=D545)+(Productos!F:F=XLOOKUP(D545,Implementos!B:B,Implementos!C:C,""-"",0,1)))))"),"")</f>
        <v/>
      </c>
    </row>
    <row r="546" hidden="1">
      <c r="A546" s="38" t="str">
        <f t="shared" si="1"/>
        <v/>
      </c>
      <c r="B546" s="38" t="str">
        <f>IF(F546="","",SUMIF(Prearmados!E:E,F546,Prearmados!A:A))</f>
        <v/>
      </c>
      <c r="C546" s="38" t="str">
        <f>IF(F546="","",SUMIF(Productos!E:E,G546,Productos!A:A))</f>
        <v/>
      </c>
      <c r="D546" s="85" t="str">
        <f t="array" ref="D546">IF(OR(F546="",F546="Seleccionar.."),"",XLOOKUP(F546,Prearmados!E:E,Prearmados!F:F,"",0,1))</f>
        <v/>
      </c>
      <c r="E546" s="83" t="str">
        <f>IF(H546="","",SUMIF(Precio_Productos!K:K,C546,Precio_Productos!J:J)*H546)</f>
        <v/>
      </c>
      <c r="F546" s="86" t="str">
        <f t="shared" si="2"/>
        <v/>
      </c>
      <c r="G546" s="86" t="str">
        <f t="shared" si="3"/>
        <v/>
      </c>
      <c r="H546" s="15"/>
      <c r="P546" s="3" t="str">
        <f>IFERROR(__xludf.DUMMYFUNCTION("IF(OR(F546="""",F546=""Seleccionar..""),"""",TRANSPOSE(FILTER(Productos!E:E,(Productos!F:F=D546)+(Productos!F:F=XLOOKUP(D546,Implementos!B:B,Implementos!C:C,""-"",0,1)))))"),"")</f>
        <v/>
      </c>
    </row>
    <row r="547" hidden="1">
      <c r="A547" s="38" t="str">
        <f t="shared" si="1"/>
        <v/>
      </c>
      <c r="B547" s="38" t="str">
        <f>IF(F547="","",SUMIF(Prearmados!E:E,F547,Prearmados!A:A))</f>
        <v/>
      </c>
      <c r="C547" s="38" t="str">
        <f>IF(F547="","",SUMIF(Productos!E:E,G547,Productos!A:A))</f>
        <v/>
      </c>
      <c r="D547" s="85" t="str">
        <f t="array" ref="D547">IF(OR(F547="",F547="Seleccionar.."),"",XLOOKUP(F547,Prearmados!E:E,Prearmados!F:F,"",0,1))</f>
        <v/>
      </c>
      <c r="E547" s="83" t="str">
        <f>IF(H547="","",SUMIF(Precio_Productos!K:K,C547,Precio_Productos!J:J)*H547)</f>
        <v/>
      </c>
      <c r="F547" s="86" t="str">
        <f t="shared" si="2"/>
        <v/>
      </c>
      <c r="G547" s="86" t="str">
        <f t="shared" si="3"/>
        <v/>
      </c>
      <c r="H547" s="15"/>
      <c r="P547" s="3" t="str">
        <f>IFERROR(__xludf.DUMMYFUNCTION("IF(OR(F547="""",F547=""Seleccionar..""),"""",TRANSPOSE(FILTER(Productos!E:E,(Productos!F:F=D547)+(Productos!F:F=XLOOKUP(D547,Implementos!B:B,Implementos!C:C,""-"",0,1)))))"),"")</f>
        <v/>
      </c>
    </row>
    <row r="548" hidden="1">
      <c r="A548" s="38" t="str">
        <f t="shared" si="1"/>
        <v/>
      </c>
      <c r="B548" s="38" t="str">
        <f>IF(F548="","",SUMIF(Prearmados!E:E,F548,Prearmados!A:A))</f>
        <v/>
      </c>
      <c r="C548" s="38" t="str">
        <f>IF(F548="","",SUMIF(Productos!E:E,G548,Productos!A:A))</f>
        <v/>
      </c>
      <c r="D548" s="85" t="str">
        <f t="array" ref="D548">IF(OR(F548="",F548="Seleccionar.."),"",XLOOKUP(F548,Prearmados!E:E,Prearmados!F:F,"",0,1))</f>
        <v/>
      </c>
      <c r="E548" s="83" t="str">
        <f>IF(H548="","",SUMIF(Precio_Productos!K:K,C548,Precio_Productos!J:J)*H548)</f>
        <v/>
      </c>
      <c r="F548" s="86" t="str">
        <f t="shared" si="2"/>
        <v/>
      </c>
      <c r="G548" s="86" t="str">
        <f t="shared" si="3"/>
        <v/>
      </c>
      <c r="H548" s="15"/>
      <c r="P548" s="3" t="str">
        <f>IFERROR(__xludf.DUMMYFUNCTION("IF(OR(F548="""",F548=""Seleccionar..""),"""",TRANSPOSE(FILTER(Productos!E:E,(Productos!F:F=D548)+(Productos!F:F=XLOOKUP(D548,Implementos!B:B,Implementos!C:C,""-"",0,1)))))"),"")</f>
        <v/>
      </c>
    </row>
    <row r="549" hidden="1">
      <c r="A549" s="38" t="str">
        <f t="shared" si="1"/>
        <v/>
      </c>
      <c r="B549" s="38" t="str">
        <f>IF(F549="","",SUMIF(Prearmados!E:E,F549,Prearmados!A:A))</f>
        <v/>
      </c>
      <c r="C549" s="38" t="str">
        <f>IF(F549="","",SUMIF(Productos!E:E,G549,Productos!A:A))</f>
        <v/>
      </c>
      <c r="D549" s="85" t="str">
        <f t="array" ref="D549">IF(OR(F549="",F549="Seleccionar.."),"",XLOOKUP(F549,Prearmados!E:E,Prearmados!F:F,"",0,1))</f>
        <v/>
      </c>
      <c r="E549" s="83" t="str">
        <f>IF(H549="","",SUMIF(Precio_Productos!K:K,C549,Precio_Productos!J:J)*H549)</f>
        <v/>
      </c>
      <c r="F549" s="86" t="str">
        <f t="shared" si="2"/>
        <v/>
      </c>
      <c r="G549" s="86" t="str">
        <f t="shared" si="3"/>
        <v/>
      </c>
      <c r="H549" s="15"/>
      <c r="P549" s="3" t="str">
        <f>IFERROR(__xludf.DUMMYFUNCTION("IF(OR(F549="""",F549=""Seleccionar..""),"""",TRANSPOSE(FILTER(Productos!E:E,(Productos!F:F=D549)+(Productos!F:F=XLOOKUP(D549,Implementos!B:B,Implementos!C:C,""-"",0,1)))))"),"")</f>
        <v/>
      </c>
    </row>
    <row r="550" hidden="1">
      <c r="A550" s="38" t="str">
        <f t="shared" si="1"/>
        <v/>
      </c>
      <c r="B550" s="38" t="str">
        <f>IF(F550="","",SUMIF(Prearmados!E:E,F550,Prearmados!A:A))</f>
        <v/>
      </c>
      <c r="C550" s="38" t="str">
        <f>IF(F550="","",SUMIF(Productos!E:E,G550,Productos!A:A))</f>
        <v/>
      </c>
      <c r="D550" s="85" t="str">
        <f t="array" ref="D550">IF(OR(F550="",F550="Seleccionar.."),"",XLOOKUP(F550,Prearmados!E:E,Prearmados!F:F,"",0,1))</f>
        <v/>
      </c>
      <c r="E550" s="83" t="str">
        <f>IF(H550="","",SUMIF(Precio_Productos!K:K,C550,Precio_Productos!J:J)*H550)</f>
        <v/>
      </c>
      <c r="F550" s="86" t="str">
        <f t="shared" si="2"/>
        <v/>
      </c>
      <c r="G550" s="86" t="str">
        <f t="shared" si="3"/>
        <v/>
      </c>
      <c r="H550" s="15"/>
      <c r="P550" s="3" t="str">
        <f>IFERROR(__xludf.DUMMYFUNCTION("IF(OR(F550="""",F550=""Seleccionar..""),"""",TRANSPOSE(FILTER(Productos!E:E,(Productos!F:F=D550)+(Productos!F:F=XLOOKUP(D550,Implementos!B:B,Implementos!C:C,""-"",0,1)))))"),"")</f>
        <v/>
      </c>
    </row>
    <row r="551" hidden="1">
      <c r="A551" s="38" t="str">
        <f t="shared" si="1"/>
        <v/>
      </c>
      <c r="B551" s="38" t="str">
        <f>IF(F551="","",SUMIF(Prearmados!E:E,F551,Prearmados!A:A))</f>
        <v/>
      </c>
      <c r="C551" s="38" t="str">
        <f>IF(F551="","",SUMIF(Productos!E:E,G551,Productos!A:A))</f>
        <v/>
      </c>
      <c r="D551" s="85" t="str">
        <f t="array" ref="D551">IF(OR(F551="",F551="Seleccionar.."),"",XLOOKUP(F551,Prearmados!E:E,Prearmados!F:F,"",0,1))</f>
        <v/>
      </c>
      <c r="E551" s="83" t="str">
        <f>IF(H551="","",SUMIF(Precio_Productos!K:K,C551,Precio_Productos!J:J)*H551)</f>
        <v/>
      </c>
      <c r="F551" s="86" t="str">
        <f t="shared" si="2"/>
        <v/>
      </c>
      <c r="G551" s="86" t="str">
        <f t="shared" si="3"/>
        <v/>
      </c>
      <c r="H551" s="15"/>
      <c r="P551" s="3" t="str">
        <f>IFERROR(__xludf.DUMMYFUNCTION("IF(OR(F551="""",F551=""Seleccionar..""),"""",TRANSPOSE(FILTER(Productos!E:E,(Productos!F:F=D551)+(Productos!F:F=XLOOKUP(D551,Implementos!B:B,Implementos!C:C,""-"",0,1)))))"),"")</f>
        <v/>
      </c>
    </row>
    <row r="552" hidden="1">
      <c r="A552" s="38" t="str">
        <f t="shared" si="1"/>
        <v/>
      </c>
      <c r="B552" s="38" t="str">
        <f>IF(F552="","",SUMIF(Prearmados!E:E,F552,Prearmados!A:A))</f>
        <v/>
      </c>
      <c r="C552" s="38" t="str">
        <f>IF(F552="","",SUMIF(Productos!E:E,G552,Productos!A:A))</f>
        <v/>
      </c>
      <c r="D552" s="85" t="str">
        <f t="array" ref="D552">IF(OR(F552="",F552="Seleccionar.."),"",XLOOKUP(F552,Prearmados!E:E,Prearmados!F:F,"",0,1))</f>
        <v/>
      </c>
      <c r="E552" s="83" t="str">
        <f>IF(H552="","",SUMIF(Precio_Productos!K:K,C552,Precio_Productos!J:J)*H552)</f>
        <v/>
      </c>
      <c r="F552" s="86" t="str">
        <f t="shared" si="2"/>
        <v/>
      </c>
      <c r="G552" s="86" t="str">
        <f t="shared" si="3"/>
        <v/>
      </c>
      <c r="H552" s="15"/>
      <c r="P552" s="3" t="str">
        <f>IFERROR(__xludf.DUMMYFUNCTION("IF(OR(F552="""",F552=""Seleccionar..""),"""",TRANSPOSE(FILTER(Productos!E:E,(Productos!F:F=D552)+(Productos!F:F=XLOOKUP(D552,Implementos!B:B,Implementos!C:C,""-"",0,1)))))"),"")</f>
        <v/>
      </c>
    </row>
    <row r="553" hidden="1">
      <c r="A553" s="38" t="str">
        <f t="shared" si="1"/>
        <v/>
      </c>
      <c r="B553" s="38" t="str">
        <f>IF(F553="","",SUMIF(Prearmados!E:E,F553,Prearmados!A:A))</f>
        <v/>
      </c>
      <c r="C553" s="38" t="str">
        <f>IF(F553="","",SUMIF(Productos!E:E,G553,Productos!A:A))</f>
        <v/>
      </c>
      <c r="D553" s="85" t="str">
        <f t="array" ref="D553">IF(OR(F553="",F553="Seleccionar.."),"",XLOOKUP(F553,Prearmados!E:E,Prearmados!F:F,"",0,1))</f>
        <v/>
      </c>
      <c r="E553" s="83" t="str">
        <f>IF(H553="","",SUMIF(Precio_Productos!K:K,C553,Precio_Productos!J:J)*H553)</f>
        <v/>
      </c>
      <c r="F553" s="86" t="str">
        <f t="shared" si="2"/>
        <v/>
      </c>
      <c r="G553" s="86" t="str">
        <f t="shared" si="3"/>
        <v/>
      </c>
      <c r="H553" s="15"/>
      <c r="P553" s="3" t="str">
        <f>IFERROR(__xludf.DUMMYFUNCTION("IF(OR(F553="""",F553=""Seleccionar..""),"""",TRANSPOSE(FILTER(Productos!E:E,(Productos!F:F=D553)+(Productos!F:F=XLOOKUP(D553,Implementos!B:B,Implementos!C:C,""-"",0,1)))))"),"")</f>
        <v/>
      </c>
    </row>
    <row r="554" hidden="1">
      <c r="A554" s="38" t="str">
        <f t="shared" si="1"/>
        <v/>
      </c>
      <c r="B554" s="38" t="str">
        <f>IF(F554="","",SUMIF(Prearmados!E:E,F554,Prearmados!A:A))</f>
        <v/>
      </c>
      <c r="C554" s="38" t="str">
        <f>IF(F554="","",SUMIF(Productos!E:E,G554,Productos!A:A))</f>
        <v/>
      </c>
      <c r="D554" s="85" t="str">
        <f t="array" ref="D554">IF(OR(F554="",F554="Seleccionar.."),"",XLOOKUP(F554,Prearmados!E:E,Prearmados!F:F,"",0,1))</f>
        <v/>
      </c>
      <c r="E554" s="83" t="str">
        <f>IF(H554="","",SUMIF(Precio_Productos!K:K,C554,Precio_Productos!J:J)*H554)</f>
        <v/>
      </c>
      <c r="F554" s="86" t="str">
        <f t="shared" si="2"/>
        <v/>
      </c>
      <c r="G554" s="86" t="str">
        <f t="shared" si="3"/>
        <v/>
      </c>
      <c r="H554" s="15"/>
      <c r="P554" s="3" t="str">
        <f>IFERROR(__xludf.DUMMYFUNCTION("IF(OR(F554="""",F554=""Seleccionar..""),"""",TRANSPOSE(FILTER(Productos!E:E,(Productos!F:F=D554)+(Productos!F:F=XLOOKUP(D554,Implementos!B:B,Implementos!C:C,""-"",0,1)))))"),"")</f>
        <v/>
      </c>
    </row>
    <row r="555" hidden="1">
      <c r="A555" s="38" t="str">
        <f t="shared" si="1"/>
        <v/>
      </c>
      <c r="B555" s="38" t="str">
        <f>IF(F555="","",SUMIF(Prearmados!E:E,F555,Prearmados!A:A))</f>
        <v/>
      </c>
      <c r="C555" s="38" t="str">
        <f>IF(F555="","",SUMIF(Productos!E:E,G555,Productos!A:A))</f>
        <v/>
      </c>
      <c r="D555" s="85" t="str">
        <f t="array" ref="D555">IF(OR(F555="",F555="Seleccionar.."),"",XLOOKUP(F555,Prearmados!E:E,Prearmados!F:F,"",0,1))</f>
        <v/>
      </c>
      <c r="E555" s="83" t="str">
        <f>IF(H555="","",SUMIF(Precio_Productos!K:K,C555,Precio_Productos!J:J)*H555)</f>
        <v/>
      </c>
      <c r="F555" s="86" t="str">
        <f t="shared" si="2"/>
        <v/>
      </c>
      <c r="G555" s="86" t="str">
        <f t="shared" si="3"/>
        <v/>
      </c>
      <c r="H555" s="15"/>
      <c r="P555" s="3" t="str">
        <f>IFERROR(__xludf.DUMMYFUNCTION("IF(OR(F555="""",F555=""Seleccionar..""),"""",TRANSPOSE(FILTER(Productos!E:E,(Productos!F:F=D555)+(Productos!F:F=XLOOKUP(D555,Implementos!B:B,Implementos!C:C,""-"",0,1)))))"),"")</f>
        <v/>
      </c>
    </row>
    <row r="556" hidden="1">
      <c r="A556" s="38" t="str">
        <f t="shared" si="1"/>
        <v/>
      </c>
      <c r="B556" s="38" t="str">
        <f>IF(F556="","",SUMIF(Prearmados!E:E,F556,Prearmados!A:A))</f>
        <v/>
      </c>
      <c r="C556" s="38" t="str">
        <f>IF(F556="","",SUMIF(Productos!E:E,G556,Productos!A:A))</f>
        <v/>
      </c>
      <c r="D556" s="85" t="str">
        <f t="array" ref="D556">IF(OR(F556="",F556="Seleccionar.."),"",XLOOKUP(F556,Prearmados!E:E,Prearmados!F:F,"",0,1))</f>
        <v/>
      </c>
      <c r="E556" s="83" t="str">
        <f>IF(H556="","",SUMIF(Precio_Productos!K:K,C556,Precio_Productos!J:J)*H556)</f>
        <v/>
      </c>
      <c r="F556" s="86" t="str">
        <f t="shared" si="2"/>
        <v/>
      </c>
      <c r="G556" s="86" t="str">
        <f t="shared" si="3"/>
        <v/>
      </c>
      <c r="H556" s="15"/>
      <c r="P556" s="3" t="str">
        <f>IFERROR(__xludf.DUMMYFUNCTION("IF(OR(F556="""",F556=""Seleccionar..""),"""",TRANSPOSE(FILTER(Productos!E:E,(Productos!F:F=D556)+(Productos!F:F=XLOOKUP(D556,Implementos!B:B,Implementos!C:C,""-"",0,1)))))"),"")</f>
        <v/>
      </c>
    </row>
    <row r="557" hidden="1">
      <c r="A557" s="38" t="str">
        <f t="shared" si="1"/>
        <v/>
      </c>
      <c r="B557" s="38" t="str">
        <f>IF(F557="","",SUMIF(Prearmados!E:E,F557,Prearmados!A:A))</f>
        <v/>
      </c>
      <c r="C557" s="38" t="str">
        <f>IF(F557="","",SUMIF(Productos!E:E,G557,Productos!A:A))</f>
        <v/>
      </c>
      <c r="D557" s="85" t="str">
        <f t="array" ref="D557">IF(OR(F557="",F557="Seleccionar.."),"",XLOOKUP(F557,Prearmados!E:E,Prearmados!F:F,"",0,1))</f>
        <v/>
      </c>
      <c r="E557" s="83" t="str">
        <f>IF(H557="","",SUMIF(Precio_Productos!K:K,C557,Precio_Productos!J:J)*H557)</f>
        <v/>
      </c>
      <c r="F557" s="86" t="str">
        <f t="shared" si="2"/>
        <v/>
      </c>
      <c r="G557" s="86" t="str">
        <f t="shared" si="3"/>
        <v/>
      </c>
      <c r="H557" s="15"/>
      <c r="P557" s="3" t="str">
        <f>IFERROR(__xludf.DUMMYFUNCTION("IF(OR(F557="""",F557=""Seleccionar..""),"""",TRANSPOSE(FILTER(Productos!E:E,(Productos!F:F=D557)+(Productos!F:F=XLOOKUP(D557,Implementos!B:B,Implementos!C:C,""-"",0,1)))))"),"")</f>
        <v/>
      </c>
    </row>
    <row r="558" hidden="1">
      <c r="A558" s="38" t="str">
        <f t="shared" si="1"/>
        <v/>
      </c>
      <c r="B558" s="38" t="str">
        <f>IF(F558="","",SUMIF(Prearmados!E:E,F558,Prearmados!A:A))</f>
        <v/>
      </c>
      <c r="C558" s="38" t="str">
        <f>IF(F558="","",SUMIF(Productos!E:E,G558,Productos!A:A))</f>
        <v/>
      </c>
      <c r="D558" s="85" t="str">
        <f t="array" ref="D558">IF(OR(F558="",F558="Seleccionar.."),"",XLOOKUP(F558,Prearmados!E:E,Prearmados!F:F,"",0,1))</f>
        <v/>
      </c>
      <c r="E558" s="83" t="str">
        <f>IF(H558="","",SUMIF(Precio_Productos!K:K,C558,Precio_Productos!J:J)*H558)</f>
        <v/>
      </c>
      <c r="F558" s="86" t="str">
        <f t="shared" si="2"/>
        <v/>
      </c>
      <c r="G558" s="86" t="str">
        <f t="shared" si="3"/>
        <v/>
      </c>
      <c r="H558" s="15"/>
      <c r="P558" s="3" t="str">
        <f>IFERROR(__xludf.DUMMYFUNCTION("IF(OR(F558="""",F558=""Seleccionar..""),"""",TRANSPOSE(FILTER(Productos!E:E,(Productos!F:F=D558)+(Productos!F:F=XLOOKUP(D558,Implementos!B:B,Implementos!C:C,""-"",0,1)))))"),"")</f>
        <v/>
      </c>
    </row>
    <row r="559" hidden="1">
      <c r="A559" s="38" t="str">
        <f t="shared" si="1"/>
        <v/>
      </c>
      <c r="B559" s="38" t="str">
        <f>IF(F559="","",SUMIF(Prearmados!E:E,F559,Prearmados!A:A))</f>
        <v/>
      </c>
      <c r="C559" s="38" t="str">
        <f>IF(F559="","",SUMIF(Productos!E:E,G559,Productos!A:A))</f>
        <v/>
      </c>
      <c r="D559" s="85" t="str">
        <f t="array" ref="D559">IF(OR(F559="",F559="Seleccionar.."),"",XLOOKUP(F559,Prearmados!E:E,Prearmados!F:F,"",0,1))</f>
        <v/>
      </c>
      <c r="E559" s="83" t="str">
        <f>IF(H559="","",SUMIF(Precio_Productos!K:K,C559,Precio_Productos!J:J)*H559)</f>
        <v/>
      </c>
      <c r="F559" s="86" t="str">
        <f t="shared" si="2"/>
        <v/>
      </c>
      <c r="G559" s="86" t="str">
        <f t="shared" si="3"/>
        <v/>
      </c>
      <c r="H559" s="15"/>
      <c r="P559" s="3" t="str">
        <f>IFERROR(__xludf.DUMMYFUNCTION("IF(OR(F559="""",F559=""Seleccionar..""),"""",TRANSPOSE(FILTER(Productos!E:E,(Productos!F:F=D559)+(Productos!F:F=XLOOKUP(D559,Implementos!B:B,Implementos!C:C,""-"",0,1)))))"),"")</f>
        <v/>
      </c>
    </row>
    <row r="560" hidden="1">
      <c r="A560" s="38" t="str">
        <f t="shared" si="1"/>
        <v/>
      </c>
      <c r="B560" s="38" t="str">
        <f>IF(F560="","",SUMIF(Prearmados!E:E,F560,Prearmados!A:A))</f>
        <v/>
      </c>
      <c r="C560" s="38" t="str">
        <f>IF(F560="","",SUMIF(Productos!E:E,G560,Productos!A:A))</f>
        <v/>
      </c>
      <c r="D560" s="85" t="str">
        <f t="array" ref="D560">IF(OR(F560="",F560="Seleccionar.."),"",XLOOKUP(F560,Prearmados!E:E,Prearmados!F:F,"",0,1))</f>
        <v/>
      </c>
      <c r="E560" s="83" t="str">
        <f>IF(H560="","",SUMIF(Precio_Productos!K:K,C560,Precio_Productos!J:J)*H560)</f>
        <v/>
      </c>
      <c r="F560" s="86" t="str">
        <f t="shared" si="2"/>
        <v/>
      </c>
      <c r="G560" s="86" t="str">
        <f t="shared" si="3"/>
        <v/>
      </c>
      <c r="H560" s="15"/>
      <c r="P560" s="3" t="str">
        <f>IFERROR(__xludf.DUMMYFUNCTION("IF(OR(F560="""",F560=""Seleccionar..""),"""",TRANSPOSE(FILTER(Productos!E:E,(Productos!F:F=D560)+(Productos!F:F=XLOOKUP(D560,Implementos!B:B,Implementos!C:C,""-"",0,1)))))"),"")</f>
        <v/>
      </c>
    </row>
    <row r="561" hidden="1">
      <c r="A561" s="38" t="str">
        <f t="shared" si="1"/>
        <v/>
      </c>
      <c r="B561" s="38" t="str">
        <f>IF(F561="","",SUMIF(Prearmados!E:E,F561,Prearmados!A:A))</f>
        <v/>
      </c>
      <c r="C561" s="38" t="str">
        <f>IF(F561="","",SUMIF(Productos!E:E,G561,Productos!A:A))</f>
        <v/>
      </c>
      <c r="D561" s="85" t="str">
        <f t="array" ref="D561">IF(OR(F561="",F561="Seleccionar.."),"",XLOOKUP(F561,Prearmados!E:E,Prearmados!F:F,"",0,1))</f>
        <v/>
      </c>
      <c r="E561" s="83" t="str">
        <f>IF(H561="","",SUMIF(Precio_Productos!K:K,C561,Precio_Productos!J:J)*H561)</f>
        <v/>
      </c>
      <c r="F561" s="86" t="str">
        <f t="shared" si="2"/>
        <v/>
      </c>
      <c r="G561" s="86" t="str">
        <f t="shared" si="3"/>
        <v/>
      </c>
      <c r="H561" s="15"/>
      <c r="P561" s="3" t="str">
        <f>IFERROR(__xludf.DUMMYFUNCTION("IF(OR(F561="""",F561=""Seleccionar..""),"""",TRANSPOSE(FILTER(Productos!E:E,(Productos!F:F=D561)+(Productos!F:F=XLOOKUP(D561,Implementos!B:B,Implementos!C:C,""-"",0,1)))))"),"")</f>
        <v/>
      </c>
    </row>
    <row r="562" hidden="1">
      <c r="A562" s="38" t="str">
        <f t="shared" si="1"/>
        <v/>
      </c>
      <c r="B562" s="38" t="str">
        <f>IF(F562="","",SUMIF(Prearmados!E:E,F562,Prearmados!A:A))</f>
        <v/>
      </c>
      <c r="C562" s="38" t="str">
        <f>IF(F562="","",SUMIF(Productos!E:E,G562,Productos!A:A))</f>
        <v/>
      </c>
      <c r="D562" s="85" t="str">
        <f t="array" ref="D562">IF(OR(F562="",F562="Seleccionar.."),"",XLOOKUP(F562,Prearmados!E:E,Prearmados!F:F,"",0,1))</f>
        <v/>
      </c>
      <c r="E562" s="83" t="str">
        <f>IF(H562="","",SUMIF(Precio_Productos!K:K,C562,Precio_Productos!J:J)*H562)</f>
        <v/>
      </c>
      <c r="F562" s="86" t="str">
        <f t="shared" si="2"/>
        <v/>
      </c>
      <c r="G562" s="86" t="str">
        <f t="shared" si="3"/>
        <v/>
      </c>
      <c r="H562" s="15"/>
      <c r="P562" s="3" t="str">
        <f>IFERROR(__xludf.DUMMYFUNCTION("IF(OR(F562="""",F562=""Seleccionar..""),"""",TRANSPOSE(FILTER(Productos!E:E,(Productos!F:F=D562)+(Productos!F:F=XLOOKUP(D562,Implementos!B:B,Implementos!C:C,""-"",0,1)))))"),"")</f>
        <v/>
      </c>
    </row>
    <row r="563" hidden="1">
      <c r="A563" s="38" t="str">
        <f t="shared" si="1"/>
        <v/>
      </c>
      <c r="B563" s="38" t="str">
        <f>IF(F563="","",SUMIF(Prearmados!E:E,F563,Prearmados!A:A))</f>
        <v/>
      </c>
      <c r="C563" s="38" t="str">
        <f>IF(F563="","",SUMIF(Productos!E:E,G563,Productos!A:A))</f>
        <v/>
      </c>
      <c r="D563" s="85" t="str">
        <f t="array" ref="D563">IF(OR(F563="",F563="Seleccionar.."),"",XLOOKUP(F563,Prearmados!E:E,Prearmados!F:F,"",0,1))</f>
        <v/>
      </c>
      <c r="E563" s="83" t="str">
        <f>IF(H563="","",SUMIF(Precio_Productos!K:K,C563,Precio_Productos!J:J)*H563)</f>
        <v/>
      </c>
      <c r="F563" s="86" t="str">
        <f t="shared" si="2"/>
        <v/>
      </c>
      <c r="G563" s="86" t="str">
        <f t="shared" si="3"/>
        <v/>
      </c>
      <c r="H563" s="15"/>
      <c r="P563" s="3" t="str">
        <f>IFERROR(__xludf.DUMMYFUNCTION("IF(OR(F563="""",F563=""Seleccionar..""),"""",TRANSPOSE(FILTER(Productos!E:E,(Productos!F:F=D563)+(Productos!F:F=XLOOKUP(D563,Implementos!B:B,Implementos!C:C,""-"",0,1)))))"),"")</f>
        <v/>
      </c>
    </row>
    <row r="564" hidden="1">
      <c r="A564" s="38" t="str">
        <f t="shared" si="1"/>
        <v/>
      </c>
      <c r="B564" s="38" t="str">
        <f>IF(F564="","",SUMIF(Prearmados!E:E,F564,Prearmados!A:A))</f>
        <v/>
      </c>
      <c r="C564" s="38" t="str">
        <f>IF(F564="","",SUMIF(Productos!E:E,G564,Productos!A:A))</f>
        <v/>
      </c>
      <c r="D564" s="85" t="str">
        <f t="array" ref="D564">IF(OR(F564="",F564="Seleccionar.."),"",XLOOKUP(F564,Prearmados!E:E,Prearmados!F:F,"",0,1))</f>
        <v/>
      </c>
      <c r="E564" s="83" t="str">
        <f>IF(H564="","",SUMIF(Precio_Productos!K:K,C564,Precio_Productos!J:J)*H564)</f>
        <v/>
      </c>
      <c r="F564" s="86" t="str">
        <f t="shared" si="2"/>
        <v/>
      </c>
      <c r="G564" s="86" t="str">
        <f t="shared" si="3"/>
        <v/>
      </c>
      <c r="H564" s="15"/>
      <c r="P564" s="3" t="str">
        <f>IFERROR(__xludf.DUMMYFUNCTION("IF(OR(F564="""",F564=""Seleccionar..""),"""",TRANSPOSE(FILTER(Productos!E:E,(Productos!F:F=D564)+(Productos!F:F=XLOOKUP(D564,Implementos!B:B,Implementos!C:C,""-"",0,1)))))"),"")</f>
        <v/>
      </c>
    </row>
    <row r="565" hidden="1">
      <c r="A565" s="38" t="str">
        <f t="shared" si="1"/>
        <v/>
      </c>
      <c r="B565" s="38" t="str">
        <f>IF(F565="","",SUMIF(Prearmados!E:E,F565,Prearmados!A:A))</f>
        <v/>
      </c>
      <c r="C565" s="38" t="str">
        <f>IF(F565="","",SUMIF(Productos!E:E,G565,Productos!A:A))</f>
        <v/>
      </c>
      <c r="D565" s="85" t="str">
        <f t="array" ref="D565">IF(OR(F565="",F565="Seleccionar.."),"",XLOOKUP(F565,Prearmados!E:E,Prearmados!F:F,"",0,1))</f>
        <v/>
      </c>
      <c r="E565" s="83" t="str">
        <f>IF(H565="","",SUMIF(Precio_Productos!K:K,C565,Precio_Productos!J:J)*H565)</f>
        <v/>
      </c>
      <c r="F565" s="86" t="str">
        <f t="shared" si="2"/>
        <v/>
      </c>
      <c r="G565" s="86" t="str">
        <f t="shared" si="3"/>
        <v/>
      </c>
      <c r="H565" s="15"/>
      <c r="P565" s="3" t="str">
        <f>IFERROR(__xludf.DUMMYFUNCTION("IF(OR(F565="""",F565=""Seleccionar..""),"""",TRANSPOSE(FILTER(Productos!E:E,(Productos!F:F=D565)+(Productos!F:F=XLOOKUP(D565,Implementos!B:B,Implementos!C:C,""-"",0,1)))))"),"")</f>
        <v/>
      </c>
    </row>
    <row r="566" hidden="1">
      <c r="A566" s="38" t="str">
        <f t="shared" si="1"/>
        <v/>
      </c>
      <c r="B566" s="38" t="str">
        <f>IF(F566="","",SUMIF(Prearmados!E:E,F566,Prearmados!A:A))</f>
        <v/>
      </c>
      <c r="C566" s="38" t="str">
        <f>IF(F566="","",SUMIF(Productos!E:E,G566,Productos!A:A))</f>
        <v/>
      </c>
      <c r="D566" s="85" t="str">
        <f t="array" ref="D566">IF(OR(F566="",F566="Seleccionar.."),"",XLOOKUP(F566,Prearmados!E:E,Prearmados!F:F,"",0,1))</f>
        <v/>
      </c>
      <c r="E566" s="83" t="str">
        <f>IF(H566="","",SUMIF(Precio_Productos!K:K,C566,Precio_Productos!J:J)*H566)</f>
        <v/>
      </c>
      <c r="F566" s="86" t="str">
        <f t="shared" si="2"/>
        <v/>
      </c>
      <c r="G566" s="86" t="str">
        <f t="shared" si="3"/>
        <v/>
      </c>
      <c r="H566" s="15"/>
      <c r="P566" s="3" t="str">
        <f>IFERROR(__xludf.DUMMYFUNCTION("IF(OR(F566="""",F566=""Seleccionar..""),"""",TRANSPOSE(FILTER(Productos!E:E,(Productos!F:F=D566)+(Productos!F:F=XLOOKUP(D566,Implementos!B:B,Implementos!C:C,""-"",0,1)))))"),"")</f>
        <v/>
      </c>
    </row>
    <row r="567" hidden="1">
      <c r="A567" s="38" t="str">
        <f t="shared" si="1"/>
        <v/>
      </c>
      <c r="B567" s="38" t="str">
        <f>IF(F567="","",SUMIF(Prearmados!E:E,F567,Prearmados!A:A))</f>
        <v/>
      </c>
      <c r="C567" s="38" t="str">
        <f>IF(F567="","",SUMIF(Productos!E:E,G567,Productos!A:A))</f>
        <v/>
      </c>
      <c r="D567" s="85" t="str">
        <f t="array" ref="D567">IF(OR(F567="",F567="Seleccionar.."),"",XLOOKUP(F567,Prearmados!E:E,Prearmados!F:F,"",0,1))</f>
        <v/>
      </c>
      <c r="E567" s="83" t="str">
        <f>IF(H567="","",SUMIF(Precio_Productos!K:K,C567,Precio_Productos!J:J)*H567)</f>
        <v/>
      </c>
      <c r="F567" s="86" t="str">
        <f t="shared" si="2"/>
        <v/>
      </c>
      <c r="G567" s="86" t="str">
        <f t="shared" si="3"/>
        <v/>
      </c>
      <c r="H567" s="15"/>
      <c r="P567" s="3" t="str">
        <f>IFERROR(__xludf.DUMMYFUNCTION("IF(OR(F567="""",F567=""Seleccionar..""),"""",TRANSPOSE(FILTER(Productos!E:E,(Productos!F:F=D567)+(Productos!F:F=XLOOKUP(D567,Implementos!B:B,Implementos!C:C,""-"",0,1)))))"),"")</f>
        <v/>
      </c>
    </row>
    <row r="568" hidden="1">
      <c r="A568" s="38" t="str">
        <f t="shared" si="1"/>
        <v/>
      </c>
      <c r="B568" s="38" t="str">
        <f>IF(F568="","",SUMIF(Prearmados!E:E,F568,Prearmados!A:A))</f>
        <v/>
      </c>
      <c r="C568" s="38" t="str">
        <f>IF(F568="","",SUMIF(Productos!E:E,G568,Productos!A:A))</f>
        <v/>
      </c>
      <c r="D568" s="85" t="str">
        <f t="array" ref="D568">IF(OR(F568="",F568="Seleccionar.."),"",XLOOKUP(F568,Prearmados!E:E,Prearmados!F:F,"",0,1))</f>
        <v/>
      </c>
      <c r="E568" s="83" t="str">
        <f>IF(H568="","",SUMIF(Precio_Productos!K:K,C568,Precio_Productos!J:J)*H568)</f>
        <v/>
      </c>
      <c r="F568" s="86" t="str">
        <f t="shared" si="2"/>
        <v/>
      </c>
      <c r="G568" s="86" t="str">
        <f t="shared" si="3"/>
        <v/>
      </c>
      <c r="H568" s="15"/>
      <c r="P568" s="3" t="str">
        <f>IFERROR(__xludf.DUMMYFUNCTION("IF(OR(F568="""",F568=""Seleccionar..""),"""",TRANSPOSE(FILTER(Productos!E:E,(Productos!F:F=D568)+(Productos!F:F=XLOOKUP(D568,Implementos!B:B,Implementos!C:C,""-"",0,1)))))"),"")</f>
        <v/>
      </c>
    </row>
    <row r="569" hidden="1">
      <c r="A569" s="38" t="str">
        <f t="shared" si="1"/>
        <v/>
      </c>
      <c r="B569" s="38" t="str">
        <f>IF(F569="","",SUMIF(Prearmados!E:E,F569,Prearmados!A:A))</f>
        <v/>
      </c>
      <c r="C569" s="38" t="str">
        <f>IF(F569="","",SUMIF(Productos!E:E,G569,Productos!A:A))</f>
        <v/>
      </c>
      <c r="D569" s="85" t="str">
        <f t="array" ref="D569">IF(OR(F569="",F569="Seleccionar.."),"",XLOOKUP(F569,Prearmados!E:E,Prearmados!F:F,"",0,1))</f>
        <v/>
      </c>
      <c r="E569" s="83" t="str">
        <f>IF(H569="","",SUMIF(Precio_Productos!K:K,C569,Precio_Productos!J:J)*H569)</f>
        <v/>
      </c>
      <c r="F569" s="86" t="str">
        <f t="shared" si="2"/>
        <v/>
      </c>
      <c r="G569" s="86" t="str">
        <f t="shared" si="3"/>
        <v/>
      </c>
      <c r="H569" s="15"/>
      <c r="P569" s="3" t="str">
        <f>IFERROR(__xludf.DUMMYFUNCTION("IF(OR(F569="""",F569=""Seleccionar..""),"""",TRANSPOSE(FILTER(Productos!E:E,(Productos!F:F=D569)+(Productos!F:F=XLOOKUP(D569,Implementos!B:B,Implementos!C:C,""-"",0,1)))))"),"")</f>
        <v/>
      </c>
    </row>
    <row r="570" hidden="1">
      <c r="A570" s="38" t="str">
        <f t="shared" si="1"/>
        <v/>
      </c>
      <c r="B570" s="38" t="str">
        <f>IF(F570="","",SUMIF(Prearmados!E:E,F570,Prearmados!A:A))</f>
        <v/>
      </c>
      <c r="C570" s="38" t="str">
        <f>IF(F570="","",SUMIF(Productos!E:E,G570,Productos!A:A))</f>
        <v/>
      </c>
      <c r="D570" s="85" t="str">
        <f t="array" ref="D570">IF(OR(F570="",F570="Seleccionar.."),"",XLOOKUP(F570,Prearmados!E:E,Prearmados!F:F,"",0,1))</f>
        <v/>
      </c>
      <c r="E570" s="83" t="str">
        <f>IF(H570="","",SUMIF(Precio_Productos!K:K,C570,Precio_Productos!J:J)*H570)</f>
        <v/>
      </c>
      <c r="F570" s="86" t="str">
        <f t="shared" si="2"/>
        <v/>
      </c>
      <c r="G570" s="86" t="str">
        <f t="shared" si="3"/>
        <v/>
      </c>
      <c r="H570" s="15"/>
      <c r="P570" s="3" t="str">
        <f>IFERROR(__xludf.DUMMYFUNCTION("IF(OR(F570="""",F570=""Seleccionar..""),"""",TRANSPOSE(FILTER(Productos!E:E,(Productos!F:F=D570)+(Productos!F:F=XLOOKUP(D570,Implementos!B:B,Implementos!C:C,""-"",0,1)))))"),"")</f>
        <v/>
      </c>
    </row>
    <row r="571" hidden="1">
      <c r="A571" s="38" t="str">
        <f t="shared" si="1"/>
        <v/>
      </c>
      <c r="B571" s="38" t="str">
        <f>IF(F571="","",SUMIF(Prearmados!E:E,F571,Prearmados!A:A))</f>
        <v/>
      </c>
      <c r="C571" s="38" t="str">
        <f>IF(F571="","",SUMIF(Productos!E:E,G571,Productos!A:A))</f>
        <v/>
      </c>
      <c r="D571" s="85" t="str">
        <f t="array" ref="D571">IF(OR(F571="",F571="Seleccionar.."),"",XLOOKUP(F571,Prearmados!E:E,Prearmados!F:F,"",0,1))</f>
        <v/>
      </c>
      <c r="E571" s="83" t="str">
        <f>IF(H571="","",SUMIF(Precio_Productos!K:K,C571,Precio_Productos!J:J)*H571)</f>
        <v/>
      </c>
      <c r="F571" s="86" t="str">
        <f t="shared" si="2"/>
        <v/>
      </c>
      <c r="G571" s="86" t="str">
        <f t="shared" si="3"/>
        <v/>
      </c>
      <c r="H571" s="15"/>
      <c r="P571" s="3" t="str">
        <f>IFERROR(__xludf.DUMMYFUNCTION("IF(OR(F571="""",F571=""Seleccionar..""),"""",TRANSPOSE(FILTER(Productos!E:E,(Productos!F:F=D571)+(Productos!F:F=XLOOKUP(D571,Implementos!B:B,Implementos!C:C,""-"",0,1)))))"),"")</f>
        <v/>
      </c>
    </row>
    <row r="572" hidden="1">
      <c r="A572" s="38" t="str">
        <f t="shared" si="1"/>
        <v/>
      </c>
      <c r="B572" s="38" t="str">
        <f>IF(F572="","",SUMIF(Prearmados!E:E,F572,Prearmados!A:A))</f>
        <v/>
      </c>
      <c r="C572" s="38" t="str">
        <f>IF(F572="","",SUMIF(Productos!E:E,G572,Productos!A:A))</f>
        <v/>
      </c>
      <c r="D572" s="85" t="str">
        <f t="array" ref="D572">IF(OR(F572="",F572="Seleccionar.."),"",XLOOKUP(F572,Prearmados!E:E,Prearmados!F:F,"",0,1))</f>
        <v/>
      </c>
      <c r="E572" s="83" t="str">
        <f>IF(H572="","",SUMIF(Precio_Productos!K:K,C572,Precio_Productos!J:J)*H572)</f>
        <v/>
      </c>
      <c r="F572" s="86" t="str">
        <f t="shared" si="2"/>
        <v/>
      </c>
      <c r="G572" s="86" t="str">
        <f t="shared" si="3"/>
        <v/>
      </c>
      <c r="H572" s="15"/>
      <c r="P572" s="3" t="str">
        <f>IFERROR(__xludf.DUMMYFUNCTION("IF(OR(F572="""",F572=""Seleccionar..""),"""",TRANSPOSE(FILTER(Productos!E:E,(Productos!F:F=D572)+(Productos!F:F=XLOOKUP(D572,Implementos!B:B,Implementos!C:C,""-"",0,1)))))"),"")</f>
        <v/>
      </c>
    </row>
    <row r="573" hidden="1">
      <c r="A573" s="38" t="str">
        <f t="shared" si="1"/>
        <v/>
      </c>
      <c r="B573" s="38" t="str">
        <f>IF(F573="","",SUMIF(Prearmados!E:E,F573,Prearmados!A:A))</f>
        <v/>
      </c>
      <c r="C573" s="38" t="str">
        <f>IF(F573="","",SUMIF(Productos!E:E,G573,Productos!A:A))</f>
        <v/>
      </c>
      <c r="D573" s="85" t="str">
        <f t="array" ref="D573">IF(OR(F573="",F573="Seleccionar.."),"",XLOOKUP(F573,Prearmados!E:E,Prearmados!F:F,"",0,1))</f>
        <v/>
      </c>
      <c r="E573" s="83" t="str">
        <f>IF(H573="","",SUMIF(Precio_Productos!K:K,C573,Precio_Productos!J:J)*H573)</f>
        <v/>
      </c>
      <c r="F573" s="86" t="str">
        <f t="shared" si="2"/>
        <v/>
      </c>
      <c r="G573" s="86" t="str">
        <f t="shared" si="3"/>
        <v/>
      </c>
      <c r="H573" s="15"/>
      <c r="P573" s="3" t="str">
        <f>IFERROR(__xludf.DUMMYFUNCTION("IF(OR(F573="""",F573=""Seleccionar..""),"""",TRANSPOSE(FILTER(Productos!E:E,(Productos!F:F=D573)+(Productos!F:F=XLOOKUP(D573,Implementos!B:B,Implementos!C:C,""-"",0,1)))))"),"")</f>
        <v/>
      </c>
    </row>
    <row r="574" hidden="1">
      <c r="A574" s="38" t="str">
        <f t="shared" si="1"/>
        <v/>
      </c>
      <c r="B574" s="38" t="str">
        <f>IF(F574="","",SUMIF(Prearmados!E:E,F574,Prearmados!A:A))</f>
        <v/>
      </c>
      <c r="C574" s="38" t="str">
        <f>IF(F574="","",SUMIF(Productos!E:E,G574,Productos!A:A))</f>
        <v/>
      </c>
      <c r="D574" s="85" t="str">
        <f t="array" ref="D574">IF(OR(F574="",F574="Seleccionar.."),"",XLOOKUP(F574,Prearmados!E:E,Prearmados!F:F,"",0,1))</f>
        <v/>
      </c>
      <c r="E574" s="83" t="str">
        <f>IF(H574="","",SUMIF(Precio_Productos!K:K,C574,Precio_Productos!J:J)*H574)</f>
        <v/>
      </c>
      <c r="F574" s="86" t="str">
        <f t="shared" si="2"/>
        <v/>
      </c>
      <c r="G574" s="86" t="str">
        <f t="shared" si="3"/>
        <v/>
      </c>
      <c r="H574" s="15"/>
      <c r="P574" s="3" t="str">
        <f>IFERROR(__xludf.DUMMYFUNCTION("IF(OR(F574="""",F574=""Seleccionar..""),"""",TRANSPOSE(FILTER(Productos!E:E,(Productos!F:F=D574)+(Productos!F:F=XLOOKUP(D574,Implementos!B:B,Implementos!C:C,""-"",0,1)))))"),"")</f>
        <v/>
      </c>
    </row>
    <row r="575" hidden="1">
      <c r="A575" s="38" t="str">
        <f t="shared" si="1"/>
        <v/>
      </c>
      <c r="B575" s="38" t="str">
        <f>IF(F575="","",SUMIF(Prearmados!E:E,F575,Prearmados!A:A))</f>
        <v/>
      </c>
      <c r="C575" s="38" t="str">
        <f>IF(F575="","",SUMIF(Productos!E:E,G575,Productos!A:A))</f>
        <v/>
      </c>
      <c r="D575" s="85" t="str">
        <f t="array" ref="D575">IF(OR(F575="",F575="Seleccionar.."),"",XLOOKUP(F575,Prearmados!E:E,Prearmados!F:F,"",0,1))</f>
        <v/>
      </c>
      <c r="E575" s="83" t="str">
        <f>IF(H575="","",SUMIF(Precio_Productos!K:K,C575,Precio_Productos!J:J)*H575)</f>
        <v/>
      </c>
      <c r="F575" s="86" t="str">
        <f t="shared" si="2"/>
        <v/>
      </c>
      <c r="G575" s="86" t="str">
        <f t="shared" si="3"/>
        <v/>
      </c>
      <c r="H575" s="15"/>
      <c r="P575" s="3" t="str">
        <f>IFERROR(__xludf.DUMMYFUNCTION("IF(OR(F575="""",F575=""Seleccionar..""),"""",TRANSPOSE(FILTER(Productos!E:E,(Productos!F:F=D575)+(Productos!F:F=XLOOKUP(D575,Implementos!B:B,Implementos!C:C,""-"",0,1)))))"),"")</f>
        <v/>
      </c>
    </row>
    <row r="576" hidden="1">
      <c r="A576" s="38" t="str">
        <f t="shared" si="1"/>
        <v/>
      </c>
      <c r="B576" s="38" t="str">
        <f>IF(F576="","",SUMIF(Prearmados!E:E,F576,Prearmados!A:A))</f>
        <v/>
      </c>
      <c r="C576" s="38" t="str">
        <f>IF(F576="","",SUMIF(Productos!E:E,G576,Productos!A:A))</f>
        <v/>
      </c>
      <c r="D576" s="85" t="str">
        <f t="array" ref="D576">IF(OR(F576="",F576="Seleccionar.."),"",XLOOKUP(F576,Prearmados!E:E,Prearmados!F:F,"",0,1))</f>
        <v/>
      </c>
      <c r="E576" s="83" t="str">
        <f>IF(H576="","",SUMIF(Precio_Productos!K:K,C576,Precio_Productos!J:J)*H576)</f>
        <v/>
      </c>
      <c r="F576" s="86" t="str">
        <f t="shared" si="2"/>
        <v/>
      </c>
      <c r="G576" s="86" t="str">
        <f t="shared" si="3"/>
        <v/>
      </c>
      <c r="H576" s="15"/>
      <c r="P576" s="3" t="str">
        <f>IFERROR(__xludf.DUMMYFUNCTION("IF(OR(F576="""",F576=""Seleccionar..""),"""",TRANSPOSE(FILTER(Productos!E:E,(Productos!F:F=D576)+(Productos!F:F=XLOOKUP(D576,Implementos!B:B,Implementos!C:C,""-"",0,1)))))"),"")</f>
        <v/>
      </c>
    </row>
    <row r="577" hidden="1">
      <c r="A577" s="38" t="str">
        <f t="shared" si="1"/>
        <v/>
      </c>
      <c r="B577" s="38" t="str">
        <f>IF(F577="","",SUMIF(Prearmados!E:E,F577,Prearmados!A:A))</f>
        <v/>
      </c>
      <c r="C577" s="38" t="str">
        <f>IF(F577="","",SUMIF(Productos!E:E,G577,Productos!A:A))</f>
        <v/>
      </c>
      <c r="D577" s="85" t="str">
        <f t="array" ref="D577">IF(OR(F577="",F577="Seleccionar.."),"",XLOOKUP(F577,Prearmados!E:E,Prearmados!F:F,"",0,1))</f>
        <v/>
      </c>
      <c r="E577" s="83" t="str">
        <f>IF(H577="","",SUMIF(Precio_Productos!K:K,C577,Precio_Productos!J:J)*H577)</f>
        <v/>
      </c>
      <c r="F577" s="86" t="str">
        <f t="shared" si="2"/>
        <v/>
      </c>
      <c r="G577" s="86" t="str">
        <f t="shared" si="3"/>
        <v/>
      </c>
      <c r="H577" s="15"/>
      <c r="P577" s="3" t="str">
        <f>IFERROR(__xludf.DUMMYFUNCTION("IF(OR(F577="""",F577=""Seleccionar..""),"""",TRANSPOSE(FILTER(Productos!E:E,(Productos!F:F=D577)+(Productos!F:F=XLOOKUP(D577,Implementos!B:B,Implementos!C:C,""-"",0,1)))))"),"")</f>
        <v/>
      </c>
    </row>
    <row r="578" hidden="1">
      <c r="A578" s="38" t="str">
        <f t="shared" si="1"/>
        <v/>
      </c>
      <c r="B578" s="38" t="str">
        <f>IF(F578="","",SUMIF(Prearmados!E:E,F578,Prearmados!A:A))</f>
        <v/>
      </c>
      <c r="C578" s="38" t="str">
        <f>IF(F578="","",SUMIF(Productos!E:E,G578,Productos!A:A))</f>
        <v/>
      </c>
      <c r="D578" s="85" t="str">
        <f t="array" ref="D578">IF(OR(F578="",F578="Seleccionar.."),"",XLOOKUP(F578,Prearmados!E:E,Prearmados!F:F,"",0,1))</f>
        <v/>
      </c>
      <c r="E578" s="83" t="str">
        <f>IF(H578="","",SUMIF(Precio_Productos!K:K,C578,Precio_Productos!J:J)*H578)</f>
        <v/>
      </c>
      <c r="F578" s="86" t="str">
        <f t="shared" si="2"/>
        <v/>
      </c>
      <c r="G578" s="86" t="str">
        <f t="shared" si="3"/>
        <v/>
      </c>
      <c r="H578" s="15"/>
      <c r="P578" s="3" t="str">
        <f>IFERROR(__xludf.DUMMYFUNCTION("IF(OR(F578="""",F578=""Seleccionar..""),"""",TRANSPOSE(FILTER(Productos!E:E,(Productos!F:F=D578)+(Productos!F:F=XLOOKUP(D578,Implementos!B:B,Implementos!C:C,""-"",0,1)))))"),"")</f>
        <v/>
      </c>
    </row>
    <row r="579" hidden="1">
      <c r="A579" s="38" t="str">
        <f t="shared" si="1"/>
        <v/>
      </c>
      <c r="B579" s="38" t="str">
        <f>IF(F579="","",SUMIF(Prearmados!E:E,F579,Prearmados!A:A))</f>
        <v/>
      </c>
      <c r="C579" s="38" t="str">
        <f>IF(F579="","",SUMIF(Productos!E:E,G579,Productos!A:A))</f>
        <v/>
      </c>
      <c r="D579" s="85" t="str">
        <f t="array" ref="D579">IF(OR(F579="",F579="Seleccionar.."),"",XLOOKUP(F579,Prearmados!E:E,Prearmados!F:F,"",0,1))</f>
        <v/>
      </c>
      <c r="E579" s="83" t="str">
        <f>IF(H579="","",SUMIF(Precio_Productos!K:K,C579,Precio_Productos!J:J)*H579)</f>
        <v/>
      </c>
      <c r="F579" s="86" t="str">
        <f t="shared" si="2"/>
        <v/>
      </c>
      <c r="G579" s="86" t="str">
        <f t="shared" si="3"/>
        <v/>
      </c>
      <c r="H579" s="15"/>
      <c r="P579" s="3" t="str">
        <f>IFERROR(__xludf.DUMMYFUNCTION("IF(OR(F579="""",F579=""Seleccionar..""),"""",TRANSPOSE(FILTER(Productos!E:E,(Productos!F:F=D579)+(Productos!F:F=XLOOKUP(D579,Implementos!B:B,Implementos!C:C,""-"",0,1)))))"),"")</f>
        <v/>
      </c>
    </row>
    <row r="580" hidden="1">
      <c r="A580" s="38" t="str">
        <f t="shared" si="1"/>
        <v/>
      </c>
      <c r="B580" s="38" t="str">
        <f>IF(F580="","",SUMIF(Prearmados!E:E,F580,Prearmados!A:A))</f>
        <v/>
      </c>
      <c r="C580" s="38" t="str">
        <f>IF(F580="","",SUMIF(Productos!E:E,G580,Productos!A:A))</f>
        <v/>
      </c>
      <c r="D580" s="85" t="str">
        <f t="array" ref="D580">IF(OR(F580="",F580="Seleccionar.."),"",XLOOKUP(F580,Prearmados!E:E,Prearmados!F:F,"",0,1))</f>
        <v/>
      </c>
      <c r="E580" s="83" t="str">
        <f>IF(H580="","",SUMIF(Precio_Productos!K:K,C580,Precio_Productos!J:J)*H580)</f>
        <v/>
      </c>
      <c r="F580" s="86" t="str">
        <f t="shared" si="2"/>
        <v/>
      </c>
      <c r="G580" s="86" t="str">
        <f t="shared" si="3"/>
        <v/>
      </c>
      <c r="H580" s="15"/>
      <c r="P580" s="3" t="str">
        <f>IFERROR(__xludf.DUMMYFUNCTION("IF(OR(F580="""",F580=""Seleccionar..""),"""",TRANSPOSE(FILTER(Productos!E:E,(Productos!F:F=D580)+(Productos!F:F=XLOOKUP(D580,Implementos!B:B,Implementos!C:C,""-"",0,1)))))"),"")</f>
        <v/>
      </c>
    </row>
    <row r="581" hidden="1">
      <c r="A581" s="38" t="str">
        <f t="shared" si="1"/>
        <v/>
      </c>
      <c r="B581" s="38" t="str">
        <f>IF(F581="","",SUMIF(Prearmados!E:E,F581,Prearmados!A:A))</f>
        <v/>
      </c>
      <c r="C581" s="38" t="str">
        <f>IF(F581="","",SUMIF(Productos!E:E,G581,Productos!A:A))</f>
        <v/>
      </c>
      <c r="D581" s="85" t="str">
        <f t="array" ref="D581">IF(OR(F581="",F581="Seleccionar.."),"",XLOOKUP(F581,Prearmados!E:E,Prearmados!F:F,"",0,1))</f>
        <v/>
      </c>
      <c r="E581" s="83" t="str">
        <f>IF(H581="","",SUMIF(Precio_Productos!K:K,C581,Precio_Productos!J:J)*H581)</f>
        <v/>
      </c>
      <c r="F581" s="86" t="str">
        <f t="shared" si="2"/>
        <v/>
      </c>
      <c r="G581" s="86" t="str">
        <f t="shared" si="3"/>
        <v/>
      </c>
      <c r="H581" s="15"/>
      <c r="P581" s="3" t="str">
        <f>IFERROR(__xludf.DUMMYFUNCTION("IF(OR(F581="""",F581=""Seleccionar..""),"""",TRANSPOSE(FILTER(Productos!E:E,(Productos!F:F=D581)+(Productos!F:F=XLOOKUP(D581,Implementos!B:B,Implementos!C:C,""-"",0,1)))))"),"")</f>
        <v/>
      </c>
    </row>
    <row r="582" hidden="1">
      <c r="A582" s="38" t="str">
        <f t="shared" si="1"/>
        <v/>
      </c>
      <c r="B582" s="38" t="str">
        <f>IF(F582="","",SUMIF(Prearmados!E:E,F582,Prearmados!A:A))</f>
        <v/>
      </c>
      <c r="C582" s="38" t="str">
        <f>IF(F582="","",SUMIF(Productos!E:E,G582,Productos!A:A))</f>
        <v/>
      </c>
      <c r="D582" s="85" t="str">
        <f t="array" ref="D582">IF(OR(F582="",F582="Seleccionar.."),"",XLOOKUP(F582,Prearmados!E:E,Prearmados!F:F,"",0,1))</f>
        <v/>
      </c>
      <c r="E582" s="83" t="str">
        <f>IF(H582="","",SUMIF(Precio_Productos!K:K,C582,Precio_Productos!J:J)*H582)</f>
        <v/>
      </c>
      <c r="F582" s="86" t="str">
        <f t="shared" si="2"/>
        <v/>
      </c>
      <c r="G582" s="86" t="str">
        <f t="shared" si="3"/>
        <v/>
      </c>
      <c r="H582" s="15"/>
      <c r="P582" s="3" t="str">
        <f>IFERROR(__xludf.DUMMYFUNCTION("IF(OR(F582="""",F582=""Seleccionar..""),"""",TRANSPOSE(FILTER(Productos!E:E,(Productos!F:F=D582)+(Productos!F:F=XLOOKUP(D582,Implementos!B:B,Implementos!C:C,""-"",0,1)))))"),"")</f>
        <v/>
      </c>
    </row>
    <row r="583" hidden="1">
      <c r="A583" s="38" t="str">
        <f t="shared" si="1"/>
        <v/>
      </c>
      <c r="B583" s="38" t="str">
        <f>IF(F583="","",SUMIF(Prearmados!E:E,F583,Prearmados!A:A))</f>
        <v/>
      </c>
      <c r="C583" s="38" t="str">
        <f>IF(F583="","",SUMIF(Productos!E:E,G583,Productos!A:A))</f>
        <v/>
      </c>
      <c r="D583" s="85" t="str">
        <f t="array" ref="D583">IF(OR(F583="",F583="Seleccionar.."),"",XLOOKUP(F583,Prearmados!E:E,Prearmados!F:F,"",0,1))</f>
        <v/>
      </c>
      <c r="E583" s="83" t="str">
        <f>IF(H583="","",SUMIF(Precio_Productos!K:K,C583,Precio_Productos!J:J)*H583)</f>
        <v/>
      </c>
      <c r="F583" s="86" t="str">
        <f t="shared" si="2"/>
        <v/>
      </c>
      <c r="G583" s="86" t="str">
        <f t="shared" si="3"/>
        <v/>
      </c>
      <c r="H583" s="15"/>
      <c r="P583" s="3" t="str">
        <f>IFERROR(__xludf.DUMMYFUNCTION("IF(OR(F583="""",F583=""Seleccionar..""),"""",TRANSPOSE(FILTER(Productos!E:E,(Productos!F:F=D583)+(Productos!F:F=XLOOKUP(D583,Implementos!B:B,Implementos!C:C,""-"",0,1)))))"),"")</f>
        <v/>
      </c>
    </row>
    <row r="584" hidden="1">
      <c r="A584" s="38" t="str">
        <f t="shared" si="1"/>
        <v/>
      </c>
      <c r="B584" s="38" t="str">
        <f>IF(F584="","",SUMIF(Prearmados!E:E,F584,Prearmados!A:A))</f>
        <v/>
      </c>
      <c r="C584" s="38" t="str">
        <f>IF(F584="","",SUMIF(Productos!E:E,G584,Productos!A:A))</f>
        <v/>
      </c>
      <c r="D584" s="85" t="str">
        <f t="array" ref="D584">IF(OR(F584="",F584="Seleccionar.."),"",XLOOKUP(F584,Prearmados!E:E,Prearmados!F:F,"",0,1))</f>
        <v/>
      </c>
      <c r="E584" s="83" t="str">
        <f>IF(H584="","",SUMIF(Precio_Productos!K:K,C584,Precio_Productos!J:J)*H584)</f>
        <v/>
      </c>
      <c r="F584" s="86" t="str">
        <f t="shared" si="2"/>
        <v/>
      </c>
      <c r="G584" s="86" t="str">
        <f t="shared" si="3"/>
        <v/>
      </c>
      <c r="H584" s="15"/>
      <c r="P584" s="3" t="str">
        <f>IFERROR(__xludf.DUMMYFUNCTION("IF(OR(F584="""",F584=""Seleccionar..""),"""",TRANSPOSE(FILTER(Productos!E:E,(Productos!F:F=D584)+(Productos!F:F=XLOOKUP(D584,Implementos!B:B,Implementos!C:C,""-"",0,1)))))"),"")</f>
        <v/>
      </c>
    </row>
    <row r="585" hidden="1">
      <c r="A585" s="38" t="str">
        <f t="shared" si="1"/>
        <v/>
      </c>
      <c r="B585" s="38" t="str">
        <f>IF(F585="","",SUMIF(Prearmados!E:E,F585,Prearmados!A:A))</f>
        <v/>
      </c>
      <c r="C585" s="38" t="str">
        <f>IF(F585="","",SUMIF(Productos!E:E,G585,Productos!A:A))</f>
        <v/>
      </c>
      <c r="D585" s="85" t="str">
        <f t="array" ref="D585">IF(OR(F585="",F585="Seleccionar.."),"",XLOOKUP(F585,Prearmados!E:E,Prearmados!F:F,"",0,1))</f>
        <v/>
      </c>
      <c r="E585" s="83" t="str">
        <f>IF(H585="","",SUMIF(Precio_Productos!K:K,C585,Precio_Productos!J:J)*H585)</f>
        <v/>
      </c>
      <c r="F585" s="86" t="str">
        <f t="shared" si="2"/>
        <v/>
      </c>
      <c r="G585" s="86" t="str">
        <f t="shared" si="3"/>
        <v/>
      </c>
      <c r="H585" s="15"/>
      <c r="P585" s="3" t="str">
        <f>IFERROR(__xludf.DUMMYFUNCTION("IF(OR(F585="""",F585=""Seleccionar..""),"""",TRANSPOSE(FILTER(Productos!E:E,(Productos!F:F=D585)+(Productos!F:F=XLOOKUP(D585,Implementos!B:B,Implementos!C:C,""-"",0,1)))))"),"")</f>
        <v/>
      </c>
    </row>
    <row r="586" hidden="1">
      <c r="A586" s="38" t="str">
        <f t="shared" si="1"/>
        <v/>
      </c>
      <c r="B586" s="38" t="str">
        <f>IF(F586="","",SUMIF(Prearmados!E:E,F586,Prearmados!A:A))</f>
        <v/>
      </c>
      <c r="C586" s="38" t="str">
        <f>IF(F586="","",SUMIF(Productos!E:E,G586,Productos!A:A))</f>
        <v/>
      </c>
      <c r="D586" s="85" t="str">
        <f t="array" ref="D586">IF(OR(F586="",F586="Seleccionar.."),"",XLOOKUP(F586,Prearmados!E:E,Prearmados!F:F,"",0,1))</f>
        <v/>
      </c>
      <c r="E586" s="83" t="str">
        <f>IF(H586="","",SUMIF(Precio_Productos!K:K,C586,Precio_Productos!J:J)*H586)</f>
        <v/>
      </c>
      <c r="F586" s="86" t="str">
        <f t="shared" si="2"/>
        <v/>
      </c>
      <c r="G586" s="86" t="str">
        <f t="shared" si="3"/>
        <v/>
      </c>
      <c r="H586" s="15"/>
      <c r="P586" s="3" t="str">
        <f>IFERROR(__xludf.DUMMYFUNCTION("IF(OR(F586="""",F586=""Seleccionar..""),"""",TRANSPOSE(FILTER(Productos!E:E,(Productos!F:F=D586)+(Productos!F:F=XLOOKUP(D586,Implementos!B:B,Implementos!C:C,""-"",0,1)))))"),"")</f>
        <v/>
      </c>
    </row>
    <row r="587" hidden="1">
      <c r="A587" s="38" t="str">
        <f t="shared" si="1"/>
        <v/>
      </c>
      <c r="B587" s="38" t="str">
        <f>IF(F587="","",SUMIF(Prearmados!E:E,F587,Prearmados!A:A))</f>
        <v/>
      </c>
      <c r="C587" s="38" t="str">
        <f>IF(F587="","",SUMIF(Productos!E:E,G587,Productos!A:A))</f>
        <v/>
      </c>
      <c r="D587" s="85" t="str">
        <f t="array" ref="D587">IF(OR(F587="",F587="Seleccionar.."),"",XLOOKUP(F587,Prearmados!E:E,Prearmados!F:F,"",0,1))</f>
        <v/>
      </c>
      <c r="E587" s="83" t="str">
        <f>IF(H587="","",SUMIF(Precio_Productos!K:K,C587,Precio_Productos!J:J)*H587)</f>
        <v/>
      </c>
      <c r="F587" s="86" t="str">
        <f t="shared" si="2"/>
        <v/>
      </c>
      <c r="G587" s="86" t="str">
        <f t="shared" si="3"/>
        <v/>
      </c>
      <c r="H587" s="15"/>
      <c r="P587" s="3" t="str">
        <f>IFERROR(__xludf.DUMMYFUNCTION("IF(OR(F587="""",F587=""Seleccionar..""),"""",TRANSPOSE(FILTER(Productos!E:E,(Productos!F:F=D587)+(Productos!F:F=XLOOKUP(D587,Implementos!B:B,Implementos!C:C,""-"",0,1)))))"),"")</f>
        <v/>
      </c>
    </row>
    <row r="588" hidden="1">
      <c r="A588" s="38" t="str">
        <f t="shared" si="1"/>
        <v/>
      </c>
      <c r="B588" s="38" t="str">
        <f>IF(F588="","",SUMIF(Prearmados!E:E,F588,Prearmados!A:A))</f>
        <v/>
      </c>
      <c r="C588" s="38" t="str">
        <f>IF(F588="","",SUMIF(Productos!E:E,G588,Productos!A:A))</f>
        <v/>
      </c>
      <c r="D588" s="85" t="str">
        <f t="array" ref="D588">IF(OR(F588="",F588="Seleccionar.."),"",XLOOKUP(F588,Prearmados!E:E,Prearmados!F:F,"",0,1))</f>
        <v/>
      </c>
      <c r="E588" s="83" t="str">
        <f>IF(H588="","",SUMIF(Precio_Productos!K:K,C588,Precio_Productos!J:J)*H588)</f>
        <v/>
      </c>
      <c r="F588" s="86" t="str">
        <f t="shared" si="2"/>
        <v/>
      </c>
      <c r="G588" s="86" t="str">
        <f t="shared" si="3"/>
        <v/>
      </c>
      <c r="H588" s="15"/>
      <c r="P588" s="3" t="str">
        <f>IFERROR(__xludf.DUMMYFUNCTION("IF(OR(F588="""",F588=""Seleccionar..""),"""",TRANSPOSE(FILTER(Productos!E:E,(Productos!F:F=D588)+(Productos!F:F=XLOOKUP(D588,Implementos!B:B,Implementos!C:C,""-"",0,1)))))"),"")</f>
        <v/>
      </c>
    </row>
    <row r="589" hidden="1">
      <c r="A589" s="38" t="str">
        <f t="shared" si="1"/>
        <v/>
      </c>
      <c r="B589" s="38" t="str">
        <f>IF(F589="","",SUMIF(Prearmados!E:E,F589,Prearmados!A:A))</f>
        <v/>
      </c>
      <c r="C589" s="38" t="str">
        <f>IF(F589="","",SUMIF(Productos!E:E,G589,Productos!A:A))</f>
        <v/>
      </c>
      <c r="D589" s="85" t="str">
        <f t="array" ref="D589">IF(OR(F589="",F589="Seleccionar.."),"",XLOOKUP(F589,Prearmados!E:E,Prearmados!F:F,"",0,1))</f>
        <v/>
      </c>
      <c r="E589" s="83" t="str">
        <f>IF(H589="","",SUMIF(Precio_Productos!K:K,C589,Precio_Productos!J:J)*H589)</f>
        <v/>
      </c>
      <c r="F589" s="86" t="str">
        <f t="shared" si="2"/>
        <v/>
      </c>
      <c r="G589" s="86" t="str">
        <f t="shared" si="3"/>
        <v/>
      </c>
      <c r="H589" s="15"/>
      <c r="P589" s="3" t="str">
        <f>IFERROR(__xludf.DUMMYFUNCTION("IF(OR(F589="""",F589=""Seleccionar..""),"""",TRANSPOSE(FILTER(Productos!E:E,(Productos!F:F=D589)+(Productos!F:F=XLOOKUP(D589,Implementos!B:B,Implementos!C:C,""-"",0,1)))))"),"")</f>
        <v/>
      </c>
    </row>
    <row r="590" hidden="1">
      <c r="A590" s="38" t="str">
        <f t="shared" si="1"/>
        <v/>
      </c>
      <c r="B590" s="38" t="str">
        <f>IF(F590="","",SUMIF(Prearmados!E:E,F590,Prearmados!A:A))</f>
        <v/>
      </c>
      <c r="C590" s="38" t="str">
        <f>IF(F590="","",SUMIF(Productos!E:E,G590,Productos!A:A))</f>
        <v/>
      </c>
      <c r="D590" s="85" t="str">
        <f t="array" ref="D590">IF(OR(F590="",F590="Seleccionar.."),"",XLOOKUP(F590,Prearmados!E:E,Prearmados!F:F,"",0,1))</f>
        <v/>
      </c>
      <c r="E590" s="83" t="str">
        <f>IF(H590="","",SUMIF(Precio_Productos!K:K,C590,Precio_Productos!J:J)*H590)</f>
        <v/>
      </c>
      <c r="F590" s="86" t="str">
        <f t="shared" si="2"/>
        <v/>
      </c>
      <c r="G590" s="86" t="str">
        <f t="shared" si="3"/>
        <v/>
      </c>
      <c r="H590" s="15"/>
      <c r="P590" s="3" t="str">
        <f>IFERROR(__xludf.DUMMYFUNCTION("IF(OR(F590="""",F590=""Seleccionar..""),"""",TRANSPOSE(FILTER(Productos!E:E,(Productos!F:F=D590)+(Productos!F:F=XLOOKUP(D590,Implementos!B:B,Implementos!C:C,""-"",0,1)))))"),"")</f>
        <v/>
      </c>
    </row>
    <row r="591" hidden="1">
      <c r="A591" s="38" t="str">
        <f t="shared" si="1"/>
        <v/>
      </c>
      <c r="B591" s="38" t="str">
        <f>IF(F591="","",SUMIF(Prearmados!E:E,F591,Prearmados!A:A))</f>
        <v/>
      </c>
      <c r="C591" s="38" t="str">
        <f>IF(F591="","",SUMIF(Productos!E:E,G591,Productos!A:A))</f>
        <v/>
      </c>
      <c r="D591" s="85" t="str">
        <f t="array" ref="D591">IF(OR(F591="",F591="Seleccionar.."),"",XLOOKUP(F591,Prearmados!E:E,Prearmados!F:F,"",0,1))</f>
        <v/>
      </c>
      <c r="E591" s="83" t="str">
        <f>IF(H591="","",SUMIF(Precio_Productos!K:K,C591,Precio_Productos!J:J)*H591)</f>
        <v/>
      </c>
      <c r="F591" s="86" t="str">
        <f t="shared" si="2"/>
        <v/>
      </c>
      <c r="G591" s="86" t="str">
        <f t="shared" si="3"/>
        <v/>
      </c>
      <c r="H591" s="15"/>
      <c r="P591" s="3" t="str">
        <f>IFERROR(__xludf.DUMMYFUNCTION("IF(OR(F591="""",F591=""Seleccionar..""),"""",TRANSPOSE(FILTER(Productos!E:E,(Productos!F:F=D591)+(Productos!F:F=XLOOKUP(D591,Implementos!B:B,Implementos!C:C,""-"",0,1)))))"),"")</f>
        <v/>
      </c>
    </row>
    <row r="592" hidden="1">
      <c r="A592" s="38" t="str">
        <f t="shared" si="1"/>
        <v/>
      </c>
      <c r="B592" s="38" t="str">
        <f>IF(F592="","",SUMIF(Prearmados!E:E,F592,Prearmados!A:A))</f>
        <v/>
      </c>
      <c r="C592" s="38" t="str">
        <f>IF(F592="","",SUMIF(Productos!E:E,G592,Productos!A:A))</f>
        <v/>
      </c>
      <c r="D592" s="85" t="str">
        <f t="array" ref="D592">IF(OR(F592="",F592="Seleccionar.."),"",XLOOKUP(F592,Prearmados!E:E,Prearmados!F:F,"",0,1))</f>
        <v/>
      </c>
      <c r="E592" s="83" t="str">
        <f>IF(H592="","",SUMIF(Precio_Productos!K:K,C592,Precio_Productos!J:J)*H592)</f>
        <v/>
      </c>
      <c r="F592" s="86" t="str">
        <f t="shared" si="2"/>
        <v/>
      </c>
      <c r="G592" s="86" t="str">
        <f t="shared" si="3"/>
        <v/>
      </c>
      <c r="H592" s="15"/>
      <c r="P592" s="3" t="str">
        <f>IFERROR(__xludf.DUMMYFUNCTION("IF(OR(F592="""",F592=""Seleccionar..""),"""",TRANSPOSE(FILTER(Productos!E:E,(Productos!F:F=D592)+(Productos!F:F=XLOOKUP(D592,Implementos!B:B,Implementos!C:C,""-"",0,1)))))"),"")</f>
        <v/>
      </c>
    </row>
    <row r="593" hidden="1">
      <c r="A593" s="38" t="str">
        <f t="shared" si="1"/>
        <v/>
      </c>
      <c r="B593" s="38" t="str">
        <f>IF(F593="","",SUMIF(Prearmados!E:E,F593,Prearmados!A:A))</f>
        <v/>
      </c>
      <c r="C593" s="38" t="str">
        <f>IF(F593="","",SUMIF(Productos!E:E,G593,Productos!A:A))</f>
        <v/>
      </c>
      <c r="D593" s="85" t="str">
        <f t="array" ref="D593">IF(OR(F593="",F593="Seleccionar.."),"",XLOOKUP(F593,Prearmados!E:E,Prearmados!F:F,"",0,1))</f>
        <v/>
      </c>
      <c r="E593" s="83" t="str">
        <f>IF(H593="","",SUMIF(Precio_Productos!K:K,C593,Precio_Productos!J:J)*H593)</f>
        <v/>
      </c>
      <c r="F593" s="86" t="str">
        <f t="shared" si="2"/>
        <v/>
      </c>
      <c r="G593" s="86" t="str">
        <f t="shared" si="3"/>
        <v/>
      </c>
      <c r="H593" s="15"/>
      <c r="P593" s="3" t="str">
        <f>IFERROR(__xludf.DUMMYFUNCTION("IF(OR(F593="""",F593=""Seleccionar..""),"""",TRANSPOSE(FILTER(Productos!E:E,(Productos!F:F=D593)+(Productos!F:F=XLOOKUP(D593,Implementos!B:B,Implementos!C:C,""-"",0,1)))))"),"")</f>
        <v/>
      </c>
    </row>
    <row r="594" hidden="1">
      <c r="A594" s="38" t="str">
        <f t="shared" si="1"/>
        <v/>
      </c>
      <c r="B594" s="38" t="str">
        <f>IF(F594="","",SUMIF(Prearmados!E:E,F594,Prearmados!A:A))</f>
        <v/>
      </c>
      <c r="C594" s="38" t="str">
        <f>IF(F594="","",SUMIF(Productos!E:E,G594,Productos!A:A))</f>
        <v/>
      </c>
      <c r="D594" s="85" t="str">
        <f t="array" ref="D594">IF(OR(F594="",F594="Seleccionar.."),"",XLOOKUP(F594,Prearmados!E:E,Prearmados!F:F,"",0,1))</f>
        <v/>
      </c>
      <c r="E594" s="83" t="str">
        <f>IF(H594="","",SUMIF(Precio_Productos!K:K,C594,Precio_Productos!J:J)*H594)</f>
        <v/>
      </c>
      <c r="F594" s="86" t="str">
        <f t="shared" si="2"/>
        <v/>
      </c>
      <c r="G594" s="86" t="str">
        <f t="shared" si="3"/>
        <v/>
      </c>
      <c r="H594" s="15"/>
      <c r="P594" s="3" t="str">
        <f>IFERROR(__xludf.DUMMYFUNCTION("IF(OR(F594="""",F594=""Seleccionar..""),"""",TRANSPOSE(FILTER(Productos!E:E,(Productos!F:F=D594)+(Productos!F:F=XLOOKUP(D594,Implementos!B:B,Implementos!C:C,""-"",0,1)))))"),"")</f>
        <v/>
      </c>
    </row>
    <row r="595" hidden="1">
      <c r="A595" s="38" t="str">
        <f t="shared" si="1"/>
        <v/>
      </c>
      <c r="B595" s="38" t="str">
        <f>IF(F595="","",SUMIF(Prearmados!E:E,F595,Prearmados!A:A))</f>
        <v/>
      </c>
      <c r="C595" s="38" t="str">
        <f>IF(F595="","",SUMIF(Productos!E:E,G595,Productos!A:A))</f>
        <v/>
      </c>
      <c r="D595" s="85" t="str">
        <f t="array" ref="D595">IF(OR(F595="",F595="Seleccionar.."),"",XLOOKUP(F595,Prearmados!E:E,Prearmados!F:F,"",0,1))</f>
        <v/>
      </c>
      <c r="E595" s="83" t="str">
        <f>IF(H595="","",SUMIF(Precio_Productos!K:K,C595,Precio_Productos!J:J)*H595)</f>
        <v/>
      </c>
      <c r="F595" s="86" t="str">
        <f t="shared" si="2"/>
        <v/>
      </c>
      <c r="G595" s="86" t="str">
        <f t="shared" si="3"/>
        <v/>
      </c>
      <c r="H595" s="15"/>
      <c r="P595" s="3" t="str">
        <f>IFERROR(__xludf.DUMMYFUNCTION("IF(OR(F595="""",F595=""Seleccionar..""),"""",TRANSPOSE(FILTER(Productos!E:E,(Productos!F:F=D595)+(Productos!F:F=XLOOKUP(D595,Implementos!B:B,Implementos!C:C,""-"",0,1)))))"),"")</f>
        <v/>
      </c>
    </row>
    <row r="596" hidden="1">
      <c r="A596" s="38" t="str">
        <f t="shared" si="1"/>
        <v/>
      </c>
      <c r="B596" s="38" t="str">
        <f>IF(F596="","",SUMIF(Prearmados!E:E,F596,Prearmados!A:A))</f>
        <v/>
      </c>
      <c r="C596" s="38" t="str">
        <f>IF(F596="","",SUMIF(Productos!E:E,G596,Productos!A:A))</f>
        <v/>
      </c>
      <c r="D596" s="85" t="str">
        <f t="array" ref="D596">IF(OR(F596="",F596="Seleccionar.."),"",XLOOKUP(F596,Prearmados!E:E,Prearmados!F:F,"",0,1))</f>
        <v/>
      </c>
      <c r="E596" s="83" t="str">
        <f>IF(H596="","",SUMIF(Precio_Productos!K:K,C596,Precio_Productos!J:J)*H596)</f>
        <v/>
      </c>
      <c r="F596" s="86" t="str">
        <f t="shared" si="2"/>
        <v/>
      </c>
      <c r="G596" s="86" t="str">
        <f t="shared" si="3"/>
        <v/>
      </c>
      <c r="H596" s="15"/>
      <c r="P596" s="3" t="str">
        <f>IFERROR(__xludf.DUMMYFUNCTION("IF(OR(F596="""",F596=""Seleccionar..""),"""",TRANSPOSE(FILTER(Productos!E:E,(Productos!F:F=D596)+(Productos!F:F=XLOOKUP(D596,Implementos!B:B,Implementos!C:C,""-"",0,1)))))"),"")</f>
        <v/>
      </c>
    </row>
    <row r="597" hidden="1">
      <c r="A597" s="38" t="str">
        <f t="shared" si="1"/>
        <v/>
      </c>
      <c r="B597" s="38" t="str">
        <f>IF(F597="","",SUMIF(Prearmados!E:E,F597,Prearmados!A:A))</f>
        <v/>
      </c>
      <c r="C597" s="38" t="str">
        <f>IF(F597="","",SUMIF(Productos!E:E,G597,Productos!A:A))</f>
        <v/>
      </c>
      <c r="D597" s="85" t="str">
        <f t="array" ref="D597">IF(OR(F597="",F597="Seleccionar.."),"",XLOOKUP(F597,Prearmados!E:E,Prearmados!F:F,"",0,1))</f>
        <v/>
      </c>
      <c r="E597" s="83" t="str">
        <f>IF(H597="","",SUMIF(Precio_Productos!K:K,C597,Precio_Productos!J:J)*H597)</f>
        <v/>
      </c>
      <c r="F597" s="86" t="str">
        <f t="shared" si="2"/>
        <v/>
      </c>
      <c r="G597" s="86" t="str">
        <f t="shared" si="3"/>
        <v/>
      </c>
      <c r="H597" s="15"/>
      <c r="P597" s="3" t="str">
        <f>IFERROR(__xludf.DUMMYFUNCTION("IF(OR(F597="""",F597=""Seleccionar..""),"""",TRANSPOSE(FILTER(Productos!E:E,(Productos!F:F=D597)+(Productos!F:F=XLOOKUP(D597,Implementos!B:B,Implementos!C:C,""-"",0,1)))))"),"")</f>
        <v/>
      </c>
    </row>
    <row r="598" hidden="1">
      <c r="A598" s="38" t="str">
        <f t="shared" si="1"/>
        <v/>
      </c>
      <c r="B598" s="38" t="str">
        <f>IF(F598="","",SUMIF(Prearmados!E:E,F598,Prearmados!A:A))</f>
        <v/>
      </c>
      <c r="C598" s="38" t="str">
        <f>IF(F598="","",SUMIF(Productos!E:E,G598,Productos!A:A))</f>
        <v/>
      </c>
      <c r="D598" s="85" t="str">
        <f t="array" ref="D598">IF(OR(F598="",F598="Seleccionar.."),"",XLOOKUP(F598,Prearmados!E:E,Prearmados!F:F,"",0,1))</f>
        <v/>
      </c>
      <c r="E598" s="83" t="str">
        <f>IF(H598="","",SUMIF(Precio_Productos!K:K,C598,Precio_Productos!J:J)*H598)</f>
        <v/>
      </c>
      <c r="F598" s="86" t="str">
        <f t="shared" si="2"/>
        <v/>
      </c>
      <c r="G598" s="86" t="str">
        <f t="shared" si="3"/>
        <v/>
      </c>
      <c r="H598" s="15"/>
      <c r="P598" s="3" t="str">
        <f>IFERROR(__xludf.DUMMYFUNCTION("IF(OR(F598="""",F598=""Seleccionar..""),"""",TRANSPOSE(FILTER(Productos!E:E,(Productos!F:F=D598)+(Productos!F:F=XLOOKUP(D598,Implementos!B:B,Implementos!C:C,""-"",0,1)))))"),"")</f>
        <v/>
      </c>
    </row>
    <row r="599" hidden="1">
      <c r="A599" s="38" t="str">
        <f t="shared" si="1"/>
        <v/>
      </c>
      <c r="B599" s="38" t="str">
        <f>IF(F599="","",SUMIF(Prearmados!E:E,F599,Prearmados!A:A))</f>
        <v/>
      </c>
      <c r="C599" s="38" t="str">
        <f>IF(F599="","",SUMIF(Productos!E:E,G599,Productos!A:A))</f>
        <v/>
      </c>
      <c r="D599" s="85" t="str">
        <f t="array" ref="D599">IF(OR(F599="",F599="Seleccionar.."),"",XLOOKUP(F599,Prearmados!E:E,Prearmados!F:F,"",0,1))</f>
        <v/>
      </c>
      <c r="E599" s="83" t="str">
        <f>IF(H599="","",SUMIF(Precio_Productos!K:K,C599,Precio_Productos!J:J)*H599)</f>
        <v/>
      </c>
      <c r="F599" s="86" t="str">
        <f t="shared" si="2"/>
        <v/>
      </c>
      <c r="G599" s="86" t="str">
        <f t="shared" si="3"/>
        <v/>
      </c>
      <c r="H599" s="15"/>
      <c r="P599" s="3" t="str">
        <f>IFERROR(__xludf.DUMMYFUNCTION("IF(OR(F599="""",F599=""Seleccionar..""),"""",TRANSPOSE(FILTER(Productos!E:E,(Productos!F:F=D599)+(Productos!F:F=XLOOKUP(D599,Implementos!B:B,Implementos!C:C,""-"",0,1)))))"),"")</f>
        <v/>
      </c>
    </row>
    <row r="600" hidden="1">
      <c r="A600" s="38" t="str">
        <f t="shared" si="1"/>
        <v/>
      </c>
      <c r="B600" s="38" t="str">
        <f>IF(F600="","",SUMIF(Prearmados!E:E,F600,Prearmados!A:A))</f>
        <v/>
      </c>
      <c r="C600" s="38" t="str">
        <f>IF(F600="","",SUMIF(Productos!E:E,G600,Productos!A:A))</f>
        <v/>
      </c>
      <c r="D600" s="85" t="str">
        <f t="array" ref="D600">IF(OR(F600="",F600="Seleccionar.."),"",XLOOKUP(F600,Prearmados!E:E,Prearmados!F:F,"",0,1))</f>
        <v/>
      </c>
      <c r="E600" s="83" t="str">
        <f>IF(H600="","",SUMIF(Precio_Productos!K:K,C600,Precio_Productos!J:J)*H600)</f>
        <v/>
      </c>
      <c r="F600" s="86" t="str">
        <f t="shared" si="2"/>
        <v/>
      </c>
      <c r="G600" s="86" t="str">
        <f t="shared" si="3"/>
        <v/>
      </c>
      <c r="H600" s="15"/>
      <c r="P600" s="3" t="str">
        <f>IFERROR(__xludf.DUMMYFUNCTION("IF(OR(F600="""",F600=""Seleccionar..""),"""",TRANSPOSE(FILTER(Productos!E:E,(Productos!F:F=D600)+(Productos!F:F=XLOOKUP(D600,Implementos!B:B,Implementos!C:C,""-"",0,1)))))"),"")</f>
        <v/>
      </c>
    </row>
    <row r="601" hidden="1">
      <c r="A601" s="38" t="str">
        <f t="shared" si="1"/>
        <v/>
      </c>
      <c r="B601" s="38" t="str">
        <f>IF(F601="","",SUMIF(Prearmados!E:E,F601,Prearmados!A:A))</f>
        <v/>
      </c>
      <c r="C601" s="38" t="str">
        <f>IF(F601="","",SUMIF(Productos!E:E,G601,Productos!A:A))</f>
        <v/>
      </c>
      <c r="D601" s="85" t="str">
        <f t="array" ref="D601">IF(OR(F601="",F601="Seleccionar.."),"",XLOOKUP(F601,Prearmados!E:E,Prearmados!F:F,"",0,1))</f>
        <v/>
      </c>
      <c r="E601" s="83" t="str">
        <f>IF(H601="","",SUMIF(Precio_Productos!K:K,C601,Precio_Productos!J:J)*H601)</f>
        <v/>
      </c>
      <c r="F601" s="86" t="str">
        <f t="shared" si="2"/>
        <v/>
      </c>
      <c r="G601" s="86" t="str">
        <f t="shared" si="3"/>
        <v/>
      </c>
      <c r="H601" s="15"/>
      <c r="P601" s="3" t="str">
        <f>IFERROR(__xludf.DUMMYFUNCTION("IF(OR(F601="""",F601=""Seleccionar..""),"""",TRANSPOSE(FILTER(Productos!E:E,(Productos!F:F=D601)+(Productos!F:F=XLOOKUP(D601,Implementos!B:B,Implementos!C:C,""-"",0,1)))))"),"")</f>
        <v/>
      </c>
    </row>
    <row r="602" hidden="1">
      <c r="A602" s="38" t="str">
        <f t="shared" si="1"/>
        <v/>
      </c>
      <c r="B602" s="38" t="str">
        <f>IF(F602="","",SUMIF(Prearmados!E:E,F602,Prearmados!A:A))</f>
        <v/>
      </c>
      <c r="C602" s="38" t="str">
        <f>IF(F602="","",SUMIF(Productos!E:E,G602,Productos!A:A))</f>
        <v/>
      </c>
      <c r="D602" s="85" t="str">
        <f t="array" ref="D602">IF(OR(F602="",F602="Seleccionar.."),"",XLOOKUP(F602,Prearmados!E:E,Prearmados!F:F,"",0,1))</f>
        <v/>
      </c>
      <c r="E602" s="83" t="str">
        <f>IF(H602="","",SUMIF(Precio_Productos!K:K,C602,Precio_Productos!J:J)*H602)</f>
        <v/>
      </c>
      <c r="F602" s="86" t="str">
        <f t="shared" si="2"/>
        <v/>
      </c>
      <c r="G602" s="86" t="str">
        <f t="shared" si="3"/>
        <v/>
      </c>
      <c r="H602" s="15"/>
      <c r="P602" s="3" t="str">
        <f>IFERROR(__xludf.DUMMYFUNCTION("IF(OR(F602="""",F602=""Seleccionar..""),"""",TRANSPOSE(FILTER(Productos!E:E,(Productos!F:F=D602)+(Productos!F:F=XLOOKUP(D602,Implementos!B:B,Implementos!C:C,""-"",0,1)))))"),"")</f>
        <v/>
      </c>
    </row>
    <row r="603" hidden="1">
      <c r="A603" s="38" t="str">
        <f t="shared" si="1"/>
        <v/>
      </c>
      <c r="B603" s="38" t="str">
        <f>IF(F603="","",SUMIF(Prearmados!E:E,F603,Prearmados!A:A))</f>
        <v/>
      </c>
      <c r="C603" s="38" t="str">
        <f>IF(F603="","",SUMIF(Productos!E:E,G603,Productos!A:A))</f>
        <v/>
      </c>
      <c r="D603" s="85" t="str">
        <f t="array" ref="D603">IF(OR(F603="",F603="Seleccionar.."),"",XLOOKUP(F603,Prearmados!E:E,Prearmados!F:F,"",0,1))</f>
        <v/>
      </c>
      <c r="E603" s="83" t="str">
        <f>IF(H603="","",SUMIF(Precio_Productos!K:K,C603,Precio_Productos!J:J)*H603)</f>
        <v/>
      </c>
      <c r="F603" s="86" t="str">
        <f t="shared" si="2"/>
        <v/>
      </c>
      <c r="G603" s="86" t="str">
        <f t="shared" si="3"/>
        <v/>
      </c>
      <c r="H603" s="15"/>
      <c r="P603" s="3" t="str">
        <f>IFERROR(__xludf.DUMMYFUNCTION("IF(OR(F603="""",F603=""Seleccionar..""),"""",TRANSPOSE(FILTER(Productos!E:E,(Productos!F:F=D603)+(Productos!F:F=XLOOKUP(D603,Implementos!B:B,Implementos!C:C,""-"",0,1)))))"),"")</f>
        <v/>
      </c>
    </row>
    <row r="604" hidden="1">
      <c r="A604" s="38" t="str">
        <f t="shared" si="1"/>
        <v/>
      </c>
      <c r="B604" s="38" t="str">
        <f>IF(F604="","",SUMIF(Prearmados!E:E,F604,Prearmados!A:A))</f>
        <v/>
      </c>
      <c r="C604" s="38" t="str">
        <f>IF(F604="","",SUMIF(Productos!E:E,G604,Productos!A:A))</f>
        <v/>
      </c>
      <c r="D604" s="85" t="str">
        <f t="array" ref="D604">IF(OR(F604="",F604="Seleccionar.."),"",XLOOKUP(F604,Prearmados!E:E,Prearmados!F:F,"",0,1))</f>
        <v/>
      </c>
      <c r="E604" s="83" t="str">
        <f>IF(H604="","",SUMIF(Precio_Productos!K:K,C604,Precio_Productos!J:J)*H604)</f>
        <v/>
      </c>
      <c r="F604" s="86" t="str">
        <f t="shared" si="2"/>
        <v/>
      </c>
      <c r="G604" s="86" t="str">
        <f t="shared" si="3"/>
        <v/>
      </c>
      <c r="H604" s="15"/>
      <c r="P604" s="3" t="str">
        <f>IFERROR(__xludf.DUMMYFUNCTION("IF(OR(F604="""",F604=""Seleccionar..""),"""",TRANSPOSE(FILTER(Productos!E:E,(Productos!F:F=D604)+(Productos!F:F=XLOOKUP(D604,Implementos!B:B,Implementos!C:C,""-"",0,1)))))"),"")</f>
        <v/>
      </c>
    </row>
    <row r="605" hidden="1">
      <c r="A605" s="38" t="str">
        <f t="shared" si="1"/>
        <v/>
      </c>
      <c r="B605" s="38" t="str">
        <f>IF(F605="","",SUMIF(Prearmados!E:E,F605,Prearmados!A:A))</f>
        <v/>
      </c>
      <c r="C605" s="38" t="str">
        <f>IF(F605="","",SUMIF(Productos!E:E,G605,Productos!A:A))</f>
        <v/>
      </c>
      <c r="D605" s="85" t="str">
        <f t="array" ref="D605">IF(OR(F605="",F605="Seleccionar.."),"",XLOOKUP(F605,Prearmados!E:E,Prearmados!F:F,"",0,1))</f>
        <v/>
      </c>
      <c r="E605" s="83" t="str">
        <f>IF(H605="","",SUMIF(Precio_Productos!K:K,C605,Precio_Productos!J:J)*H605)</f>
        <v/>
      </c>
      <c r="F605" s="86" t="str">
        <f t="shared" si="2"/>
        <v/>
      </c>
      <c r="G605" s="86" t="str">
        <f t="shared" si="3"/>
        <v/>
      </c>
      <c r="H605" s="15"/>
      <c r="P605" s="3" t="str">
        <f>IFERROR(__xludf.DUMMYFUNCTION("IF(OR(F605="""",F605=""Seleccionar..""),"""",TRANSPOSE(FILTER(Productos!E:E,(Productos!F:F=D605)+(Productos!F:F=XLOOKUP(D605,Implementos!B:B,Implementos!C:C,""-"",0,1)))))"),"")</f>
        <v/>
      </c>
    </row>
    <row r="606" hidden="1">
      <c r="A606" s="38" t="str">
        <f t="shared" si="1"/>
        <v/>
      </c>
      <c r="B606" s="38" t="str">
        <f>IF(F606="","",SUMIF(Prearmados!E:E,F606,Prearmados!A:A))</f>
        <v/>
      </c>
      <c r="C606" s="38" t="str">
        <f>IF(F606="","",SUMIF(Productos!E:E,G606,Productos!A:A))</f>
        <v/>
      </c>
      <c r="D606" s="85" t="str">
        <f t="array" ref="D606">IF(OR(F606="",F606="Seleccionar.."),"",XLOOKUP(F606,Prearmados!E:E,Prearmados!F:F,"",0,1))</f>
        <v/>
      </c>
      <c r="E606" s="83" t="str">
        <f>IF(H606="","",SUMIF(Precio_Productos!K:K,C606,Precio_Productos!J:J)*H606)</f>
        <v/>
      </c>
      <c r="F606" s="86" t="str">
        <f t="shared" si="2"/>
        <v/>
      </c>
      <c r="G606" s="86" t="str">
        <f t="shared" si="3"/>
        <v/>
      </c>
      <c r="H606" s="15"/>
      <c r="P606" s="3" t="str">
        <f>IFERROR(__xludf.DUMMYFUNCTION("IF(OR(F606="""",F606=""Seleccionar..""),"""",TRANSPOSE(FILTER(Productos!E:E,(Productos!F:F=D606)+(Productos!F:F=XLOOKUP(D606,Implementos!B:B,Implementos!C:C,""-"",0,1)))))"),"")</f>
        <v/>
      </c>
    </row>
    <row r="607" hidden="1">
      <c r="A607" s="38" t="str">
        <f t="shared" si="1"/>
        <v/>
      </c>
      <c r="B607" s="38" t="str">
        <f>IF(F607="","",SUMIF(Prearmados!E:E,F607,Prearmados!A:A))</f>
        <v/>
      </c>
      <c r="C607" s="38" t="str">
        <f>IF(F607="","",SUMIF(Productos!E:E,G607,Productos!A:A))</f>
        <v/>
      </c>
      <c r="D607" s="85" t="str">
        <f t="array" ref="D607">IF(OR(F607="",F607="Seleccionar.."),"",XLOOKUP(F607,Prearmados!E:E,Prearmados!F:F,"",0,1))</f>
        <v/>
      </c>
      <c r="E607" s="83" t="str">
        <f>IF(H607="","",SUMIF(Precio_Productos!K:K,C607,Precio_Productos!J:J)*H607)</f>
        <v/>
      </c>
      <c r="F607" s="86" t="str">
        <f t="shared" si="2"/>
        <v/>
      </c>
      <c r="G607" s="86" t="str">
        <f t="shared" si="3"/>
        <v/>
      </c>
      <c r="H607" s="15"/>
      <c r="P607" s="3" t="str">
        <f>IFERROR(__xludf.DUMMYFUNCTION("IF(OR(F607="""",F607=""Seleccionar..""),"""",TRANSPOSE(FILTER(Productos!E:E,(Productos!F:F=D607)+(Productos!F:F=XLOOKUP(D607,Implementos!B:B,Implementos!C:C,""-"",0,1)))))"),"")</f>
        <v/>
      </c>
    </row>
    <row r="608" hidden="1">
      <c r="A608" s="38" t="str">
        <f t="shared" si="1"/>
        <v/>
      </c>
      <c r="B608" s="38" t="str">
        <f>IF(F608="","",SUMIF(Prearmados!E:E,F608,Prearmados!A:A))</f>
        <v/>
      </c>
      <c r="C608" s="38" t="str">
        <f>IF(F608="","",SUMIF(Productos!E:E,G608,Productos!A:A))</f>
        <v/>
      </c>
      <c r="D608" s="85" t="str">
        <f t="array" ref="D608">IF(OR(F608="",F608="Seleccionar.."),"",XLOOKUP(F608,Prearmados!E:E,Prearmados!F:F,"",0,1))</f>
        <v/>
      </c>
      <c r="E608" s="83" t="str">
        <f>IF(H608="","",SUMIF(Precio_Productos!K:K,C608,Precio_Productos!J:J)*H608)</f>
        <v/>
      </c>
      <c r="F608" s="86" t="str">
        <f t="shared" si="2"/>
        <v/>
      </c>
      <c r="G608" s="86" t="str">
        <f t="shared" si="3"/>
        <v/>
      </c>
      <c r="H608" s="15"/>
      <c r="P608" s="3" t="str">
        <f>IFERROR(__xludf.DUMMYFUNCTION("IF(OR(F608="""",F608=""Seleccionar..""),"""",TRANSPOSE(FILTER(Productos!E:E,(Productos!F:F=D608)+(Productos!F:F=XLOOKUP(D608,Implementos!B:B,Implementos!C:C,""-"",0,1)))))"),"")</f>
        <v/>
      </c>
    </row>
    <row r="609" hidden="1">
      <c r="A609" s="38" t="str">
        <f t="shared" si="1"/>
        <v/>
      </c>
      <c r="B609" s="38" t="str">
        <f>IF(F609="","",SUMIF(Prearmados!E:E,F609,Prearmados!A:A))</f>
        <v/>
      </c>
      <c r="C609" s="38" t="str">
        <f>IF(F609="","",SUMIF(Productos!E:E,G609,Productos!A:A))</f>
        <v/>
      </c>
      <c r="D609" s="85" t="str">
        <f t="array" ref="D609">IF(OR(F609="",F609="Seleccionar.."),"",XLOOKUP(F609,Prearmados!E:E,Prearmados!F:F,"",0,1))</f>
        <v/>
      </c>
      <c r="E609" s="83" t="str">
        <f>IF(H609="","",SUMIF(Precio_Productos!K:K,C609,Precio_Productos!J:J)*H609)</f>
        <v/>
      </c>
      <c r="F609" s="86" t="str">
        <f t="shared" si="2"/>
        <v/>
      </c>
      <c r="G609" s="86" t="str">
        <f t="shared" si="3"/>
        <v/>
      </c>
      <c r="H609" s="15"/>
      <c r="P609" s="3" t="str">
        <f>IFERROR(__xludf.DUMMYFUNCTION("IF(OR(F609="""",F609=""Seleccionar..""),"""",TRANSPOSE(FILTER(Productos!E:E,(Productos!F:F=D609)+(Productos!F:F=XLOOKUP(D609,Implementos!B:B,Implementos!C:C,""-"",0,1)))))"),"")</f>
        <v/>
      </c>
    </row>
    <row r="610" hidden="1">
      <c r="A610" s="38" t="str">
        <f t="shared" si="1"/>
        <v/>
      </c>
      <c r="B610" s="38" t="str">
        <f>IF(F610="","",SUMIF(Prearmados!E:E,F610,Prearmados!A:A))</f>
        <v/>
      </c>
      <c r="C610" s="38" t="str">
        <f>IF(F610="","",SUMIF(Productos!E:E,G610,Productos!A:A))</f>
        <v/>
      </c>
      <c r="D610" s="85" t="str">
        <f t="array" ref="D610">IF(OR(F610="",F610="Seleccionar.."),"",XLOOKUP(F610,Prearmados!E:E,Prearmados!F:F,"",0,1))</f>
        <v/>
      </c>
      <c r="E610" s="83" t="str">
        <f>IF(H610="","",SUMIF(Precio_Productos!K:K,C610,Precio_Productos!J:J)*H610)</f>
        <v/>
      </c>
      <c r="F610" s="86" t="str">
        <f t="shared" si="2"/>
        <v/>
      </c>
      <c r="G610" s="86" t="str">
        <f t="shared" si="3"/>
        <v/>
      </c>
      <c r="H610" s="15"/>
      <c r="P610" s="3" t="str">
        <f>IFERROR(__xludf.DUMMYFUNCTION("IF(OR(F610="""",F610=""Seleccionar..""),"""",TRANSPOSE(FILTER(Productos!E:E,(Productos!F:F=D610)+(Productos!F:F=XLOOKUP(D610,Implementos!B:B,Implementos!C:C,""-"",0,1)))))"),"")</f>
        <v/>
      </c>
    </row>
    <row r="611" hidden="1">
      <c r="A611" s="38" t="str">
        <f t="shared" si="1"/>
        <v/>
      </c>
      <c r="B611" s="38" t="str">
        <f>IF(F611="","",SUMIF(Prearmados!E:E,F611,Prearmados!A:A))</f>
        <v/>
      </c>
      <c r="C611" s="38" t="str">
        <f>IF(F611="","",SUMIF(Productos!E:E,G611,Productos!A:A))</f>
        <v/>
      </c>
      <c r="D611" s="85" t="str">
        <f t="array" ref="D611">IF(OR(F611="",F611="Seleccionar.."),"",XLOOKUP(F611,Prearmados!E:E,Prearmados!F:F,"",0,1))</f>
        <v/>
      </c>
      <c r="E611" s="83" t="str">
        <f>IF(H611="","",SUMIF(Precio_Productos!K:K,C611,Precio_Productos!J:J)*H611)</f>
        <v/>
      </c>
      <c r="F611" s="86" t="str">
        <f t="shared" si="2"/>
        <v/>
      </c>
      <c r="G611" s="86" t="str">
        <f t="shared" si="3"/>
        <v/>
      </c>
      <c r="H611" s="15"/>
      <c r="P611" s="3" t="str">
        <f>IFERROR(__xludf.DUMMYFUNCTION("IF(OR(F611="""",F611=""Seleccionar..""),"""",TRANSPOSE(FILTER(Productos!E:E,(Productos!F:F=D611)+(Productos!F:F=XLOOKUP(D611,Implementos!B:B,Implementos!C:C,""-"",0,1)))))"),"")</f>
        <v/>
      </c>
    </row>
    <row r="612" hidden="1">
      <c r="A612" s="38" t="str">
        <f t="shared" si="1"/>
        <v/>
      </c>
      <c r="B612" s="38" t="str">
        <f>IF(F612="","",SUMIF(Prearmados!E:E,F612,Prearmados!A:A))</f>
        <v/>
      </c>
      <c r="C612" s="38" t="str">
        <f>IF(F612="","",SUMIF(Productos!E:E,G612,Productos!A:A))</f>
        <v/>
      </c>
      <c r="D612" s="85" t="str">
        <f t="array" ref="D612">IF(OR(F612="",F612="Seleccionar.."),"",XLOOKUP(F612,Prearmados!E:E,Prearmados!F:F,"",0,1))</f>
        <v/>
      </c>
      <c r="E612" s="83" t="str">
        <f>IF(H612="","",SUMIF(Precio_Productos!K:K,C612,Precio_Productos!J:J)*H612)</f>
        <v/>
      </c>
      <c r="F612" s="86" t="str">
        <f t="shared" si="2"/>
        <v/>
      </c>
      <c r="G612" s="86" t="str">
        <f t="shared" si="3"/>
        <v/>
      </c>
      <c r="H612" s="15"/>
      <c r="P612" s="3" t="str">
        <f>IFERROR(__xludf.DUMMYFUNCTION("IF(OR(F612="""",F612=""Seleccionar..""),"""",TRANSPOSE(FILTER(Productos!E:E,(Productos!F:F=D612)+(Productos!F:F=XLOOKUP(D612,Implementos!B:B,Implementos!C:C,""-"",0,1)))))"),"")</f>
        <v/>
      </c>
    </row>
    <row r="613" hidden="1">
      <c r="A613" s="38" t="str">
        <f t="shared" si="1"/>
        <v/>
      </c>
      <c r="B613" s="38" t="str">
        <f>IF(F613="","",SUMIF(Prearmados!E:E,F613,Prearmados!A:A))</f>
        <v/>
      </c>
      <c r="C613" s="38" t="str">
        <f>IF(F613="","",SUMIF(Productos!E:E,G613,Productos!A:A))</f>
        <v/>
      </c>
      <c r="D613" s="85" t="str">
        <f t="array" ref="D613">IF(OR(F613="",F613="Seleccionar.."),"",XLOOKUP(F613,Prearmados!E:E,Prearmados!F:F,"",0,1))</f>
        <v/>
      </c>
      <c r="E613" s="83" t="str">
        <f>IF(H613="","",SUMIF(Precio_Productos!K:K,C613,Precio_Productos!J:J)*H613)</f>
        <v/>
      </c>
      <c r="F613" s="86" t="str">
        <f t="shared" si="2"/>
        <v/>
      </c>
      <c r="G613" s="86" t="str">
        <f t="shared" si="3"/>
        <v/>
      </c>
      <c r="H613" s="15"/>
      <c r="P613" s="3" t="str">
        <f>IFERROR(__xludf.DUMMYFUNCTION("IF(OR(F613="""",F613=""Seleccionar..""),"""",TRANSPOSE(FILTER(Productos!E:E,(Productos!F:F=D613)+(Productos!F:F=XLOOKUP(D613,Implementos!B:B,Implementos!C:C,""-"",0,1)))))"),"")</f>
        <v/>
      </c>
    </row>
    <row r="614" hidden="1">
      <c r="A614" s="38" t="str">
        <f t="shared" si="1"/>
        <v/>
      </c>
      <c r="B614" s="38" t="str">
        <f>IF(F614="","",SUMIF(Prearmados!E:E,F614,Prearmados!A:A))</f>
        <v/>
      </c>
      <c r="C614" s="38" t="str">
        <f>IF(F614="","",SUMIF(Productos!E:E,G614,Productos!A:A))</f>
        <v/>
      </c>
      <c r="D614" s="85" t="str">
        <f t="array" ref="D614">IF(OR(F614="",F614="Seleccionar.."),"",XLOOKUP(F614,Prearmados!E:E,Prearmados!F:F,"",0,1))</f>
        <v/>
      </c>
      <c r="E614" s="83" t="str">
        <f>IF(H614="","",SUMIF(Precio_Productos!K:K,C614,Precio_Productos!J:J)*H614)</f>
        <v/>
      </c>
      <c r="F614" s="86" t="str">
        <f t="shared" si="2"/>
        <v/>
      </c>
      <c r="G614" s="86" t="str">
        <f t="shared" si="3"/>
        <v/>
      </c>
      <c r="H614" s="15"/>
      <c r="P614" s="3" t="str">
        <f>IFERROR(__xludf.DUMMYFUNCTION("IF(OR(F614="""",F614=""Seleccionar..""),"""",TRANSPOSE(FILTER(Productos!E:E,(Productos!F:F=D614)+(Productos!F:F=XLOOKUP(D614,Implementos!B:B,Implementos!C:C,""-"",0,1)))))"),"")</f>
        <v/>
      </c>
    </row>
    <row r="615" hidden="1">
      <c r="A615" s="38" t="str">
        <f t="shared" si="1"/>
        <v/>
      </c>
      <c r="B615" s="38" t="str">
        <f>IF(F615="","",SUMIF(Prearmados!E:E,F615,Prearmados!A:A))</f>
        <v/>
      </c>
      <c r="C615" s="38" t="str">
        <f>IF(F615="","",SUMIF(Productos!E:E,G615,Productos!A:A))</f>
        <v/>
      </c>
      <c r="D615" s="85" t="str">
        <f t="array" ref="D615">IF(OR(F615="",F615="Seleccionar.."),"",XLOOKUP(F615,Prearmados!E:E,Prearmados!F:F,"",0,1))</f>
        <v/>
      </c>
      <c r="E615" s="83" t="str">
        <f>IF(H615="","",SUMIF(Precio_Productos!K:K,C615,Precio_Productos!J:J)*H615)</f>
        <v/>
      </c>
      <c r="F615" s="86" t="str">
        <f t="shared" si="2"/>
        <v/>
      </c>
      <c r="G615" s="86" t="str">
        <f t="shared" si="3"/>
        <v/>
      </c>
      <c r="H615" s="15"/>
      <c r="P615" s="3" t="str">
        <f>IFERROR(__xludf.DUMMYFUNCTION("IF(OR(F615="""",F615=""Seleccionar..""),"""",TRANSPOSE(FILTER(Productos!E:E,(Productos!F:F=D615)+(Productos!F:F=XLOOKUP(D615,Implementos!B:B,Implementos!C:C,""-"",0,1)))))"),"")</f>
        <v/>
      </c>
    </row>
    <row r="616" hidden="1">
      <c r="A616" s="38" t="str">
        <f t="shared" si="1"/>
        <v/>
      </c>
      <c r="B616" s="38" t="str">
        <f>IF(F616="","",SUMIF(Prearmados!E:E,F616,Prearmados!A:A))</f>
        <v/>
      </c>
      <c r="C616" s="38" t="str">
        <f>IF(F616="","",SUMIF(Productos!E:E,G616,Productos!A:A))</f>
        <v/>
      </c>
      <c r="D616" s="85" t="str">
        <f t="array" ref="D616">IF(OR(F616="",F616="Seleccionar.."),"",XLOOKUP(F616,Prearmados!E:E,Prearmados!F:F,"",0,1))</f>
        <v/>
      </c>
      <c r="E616" s="83" t="str">
        <f>IF(H616="","",SUMIF(Precio_Productos!K:K,C616,Precio_Productos!J:J)*H616)</f>
        <v/>
      </c>
      <c r="F616" s="86" t="str">
        <f t="shared" si="2"/>
        <v/>
      </c>
      <c r="G616" s="86" t="str">
        <f t="shared" si="3"/>
        <v/>
      </c>
      <c r="H616" s="15"/>
      <c r="P616" s="3" t="str">
        <f>IFERROR(__xludf.DUMMYFUNCTION("IF(OR(F616="""",F616=""Seleccionar..""),"""",TRANSPOSE(FILTER(Productos!E:E,(Productos!F:F=D616)+(Productos!F:F=XLOOKUP(D616,Implementos!B:B,Implementos!C:C,""-"",0,1)))))"),"")</f>
        <v/>
      </c>
    </row>
    <row r="617" hidden="1">
      <c r="A617" s="38" t="str">
        <f t="shared" si="1"/>
        <v/>
      </c>
      <c r="B617" s="38" t="str">
        <f>IF(F617="","",SUMIF(Prearmados!E:E,F617,Prearmados!A:A))</f>
        <v/>
      </c>
      <c r="C617" s="38" t="str">
        <f>IF(F617="","",SUMIF(Productos!E:E,G617,Productos!A:A))</f>
        <v/>
      </c>
      <c r="D617" s="85" t="str">
        <f t="array" ref="D617">IF(OR(F617="",F617="Seleccionar.."),"",XLOOKUP(F617,Prearmados!E:E,Prearmados!F:F,"",0,1))</f>
        <v/>
      </c>
      <c r="E617" s="83" t="str">
        <f>IF(H617="","",SUMIF(Precio_Productos!K:K,C617,Precio_Productos!J:J)*H617)</f>
        <v/>
      </c>
      <c r="F617" s="86" t="str">
        <f t="shared" si="2"/>
        <v/>
      </c>
      <c r="G617" s="86" t="str">
        <f t="shared" si="3"/>
        <v/>
      </c>
      <c r="H617" s="15"/>
      <c r="P617" s="3" t="str">
        <f>IFERROR(__xludf.DUMMYFUNCTION("IF(OR(F617="""",F617=""Seleccionar..""),"""",TRANSPOSE(FILTER(Productos!E:E,(Productos!F:F=D617)+(Productos!F:F=XLOOKUP(D617,Implementos!B:B,Implementos!C:C,""-"",0,1)))))"),"")</f>
        <v/>
      </c>
    </row>
    <row r="618" hidden="1">
      <c r="A618" s="38" t="str">
        <f t="shared" si="1"/>
        <v/>
      </c>
      <c r="B618" s="38" t="str">
        <f>IF(F618="","",SUMIF(Prearmados!E:E,F618,Prearmados!A:A))</f>
        <v/>
      </c>
      <c r="C618" s="38" t="str">
        <f>IF(F618="","",SUMIF(Productos!E:E,G618,Productos!A:A))</f>
        <v/>
      </c>
      <c r="D618" s="85" t="str">
        <f t="array" ref="D618">IF(OR(F618="",F618="Seleccionar.."),"",XLOOKUP(F618,Prearmados!E:E,Prearmados!F:F,"",0,1))</f>
        <v/>
      </c>
      <c r="E618" s="83" t="str">
        <f>IF(H618="","",SUMIF(Precio_Productos!K:K,C618,Precio_Productos!J:J)*H618)</f>
        <v/>
      </c>
      <c r="F618" s="86" t="str">
        <f t="shared" si="2"/>
        <v/>
      </c>
      <c r="G618" s="86" t="str">
        <f t="shared" si="3"/>
        <v/>
      </c>
      <c r="H618" s="15"/>
      <c r="P618" s="3" t="str">
        <f>IFERROR(__xludf.DUMMYFUNCTION("IF(OR(F618="""",F618=""Seleccionar..""),"""",TRANSPOSE(FILTER(Productos!E:E,(Productos!F:F=D618)+(Productos!F:F=XLOOKUP(D618,Implementos!B:B,Implementos!C:C,""-"",0,1)))))"),"")</f>
        <v/>
      </c>
    </row>
    <row r="619" hidden="1">
      <c r="A619" s="38" t="str">
        <f t="shared" si="1"/>
        <v/>
      </c>
      <c r="B619" s="38" t="str">
        <f>IF(F619="","",SUMIF(Prearmados!E:E,F619,Prearmados!A:A))</f>
        <v/>
      </c>
      <c r="C619" s="38" t="str">
        <f>IF(F619="","",SUMIF(Productos!E:E,G619,Productos!A:A))</f>
        <v/>
      </c>
      <c r="D619" s="85" t="str">
        <f t="array" ref="D619">IF(OR(F619="",F619="Seleccionar.."),"",XLOOKUP(F619,Prearmados!E:E,Prearmados!F:F,"",0,1))</f>
        <v/>
      </c>
      <c r="E619" s="83" t="str">
        <f>IF(H619="","",SUMIF(Precio_Productos!K:K,C619,Precio_Productos!J:J)*H619)</f>
        <v/>
      </c>
      <c r="F619" s="86" t="str">
        <f t="shared" si="2"/>
        <v/>
      </c>
      <c r="G619" s="86" t="str">
        <f t="shared" si="3"/>
        <v/>
      </c>
      <c r="H619" s="15"/>
      <c r="P619" s="3" t="str">
        <f>IFERROR(__xludf.DUMMYFUNCTION("IF(OR(F619="""",F619=""Seleccionar..""),"""",TRANSPOSE(FILTER(Productos!E:E,(Productos!F:F=D619)+(Productos!F:F=XLOOKUP(D619,Implementos!B:B,Implementos!C:C,""-"",0,1)))))"),"")</f>
        <v/>
      </c>
    </row>
    <row r="620" hidden="1">
      <c r="A620" s="38" t="str">
        <f t="shared" si="1"/>
        <v/>
      </c>
      <c r="B620" s="38" t="str">
        <f>IF(F620="","",SUMIF(Prearmados!E:E,F620,Prearmados!A:A))</f>
        <v/>
      </c>
      <c r="C620" s="38" t="str">
        <f>IF(F620="","",SUMIF(Productos!E:E,G620,Productos!A:A))</f>
        <v/>
      </c>
      <c r="D620" s="85" t="str">
        <f t="array" ref="D620">IF(OR(F620="",F620="Seleccionar.."),"",XLOOKUP(F620,Prearmados!E:E,Prearmados!F:F,"",0,1))</f>
        <v/>
      </c>
      <c r="E620" s="83" t="str">
        <f>IF(H620="","",SUMIF(Precio_Productos!K:K,C620,Precio_Productos!J:J)*H620)</f>
        <v/>
      </c>
      <c r="F620" s="86" t="str">
        <f t="shared" si="2"/>
        <v/>
      </c>
      <c r="G620" s="86" t="str">
        <f t="shared" si="3"/>
        <v/>
      </c>
      <c r="H620" s="15"/>
      <c r="P620" s="3" t="str">
        <f>IFERROR(__xludf.DUMMYFUNCTION("IF(OR(F620="""",F620=""Seleccionar..""),"""",TRANSPOSE(FILTER(Productos!E:E,(Productos!F:F=D620)+(Productos!F:F=XLOOKUP(D620,Implementos!B:B,Implementos!C:C,""-"",0,1)))))"),"")</f>
        <v/>
      </c>
    </row>
    <row r="621" hidden="1">
      <c r="A621" s="38" t="str">
        <f t="shared" si="1"/>
        <v/>
      </c>
      <c r="B621" s="38" t="str">
        <f>IF(F621="","",SUMIF(Prearmados!E:E,F621,Prearmados!A:A))</f>
        <v/>
      </c>
      <c r="C621" s="38" t="str">
        <f>IF(F621="","",SUMIF(Productos!E:E,G621,Productos!A:A))</f>
        <v/>
      </c>
      <c r="D621" s="85" t="str">
        <f t="array" ref="D621">IF(OR(F621="",F621="Seleccionar.."),"",XLOOKUP(F621,Prearmados!E:E,Prearmados!F:F,"",0,1))</f>
        <v/>
      </c>
      <c r="E621" s="83" t="str">
        <f>IF(H621="","",SUMIF(Precio_Productos!K:K,C621,Precio_Productos!J:J)*H621)</f>
        <v/>
      </c>
      <c r="F621" s="86" t="str">
        <f t="shared" si="2"/>
        <v/>
      </c>
      <c r="G621" s="86" t="str">
        <f t="shared" si="3"/>
        <v/>
      </c>
      <c r="H621" s="15"/>
      <c r="P621" s="3" t="str">
        <f>IFERROR(__xludf.DUMMYFUNCTION("IF(OR(F621="""",F621=""Seleccionar..""),"""",TRANSPOSE(FILTER(Productos!E:E,(Productos!F:F=D621)+(Productos!F:F=XLOOKUP(D621,Implementos!B:B,Implementos!C:C,""-"",0,1)))))"),"")</f>
        <v/>
      </c>
    </row>
    <row r="622" hidden="1">
      <c r="A622" s="38" t="str">
        <f t="shared" si="1"/>
        <v/>
      </c>
      <c r="B622" s="38" t="str">
        <f>IF(F622="","",SUMIF(Prearmados!E:E,F622,Prearmados!A:A))</f>
        <v/>
      </c>
      <c r="C622" s="38" t="str">
        <f>IF(F622="","",SUMIF(Productos!E:E,G622,Productos!A:A))</f>
        <v/>
      </c>
      <c r="D622" s="85" t="str">
        <f t="array" ref="D622">IF(OR(F622="",F622="Seleccionar.."),"",XLOOKUP(F622,Prearmados!E:E,Prearmados!F:F,"",0,1))</f>
        <v/>
      </c>
      <c r="E622" s="83" t="str">
        <f>IF(H622="","",SUMIF(Precio_Productos!K:K,C622,Precio_Productos!J:J)*H622)</f>
        <v/>
      </c>
      <c r="F622" s="86" t="str">
        <f t="shared" si="2"/>
        <v/>
      </c>
      <c r="G622" s="86" t="str">
        <f t="shared" si="3"/>
        <v/>
      </c>
      <c r="H622" s="15"/>
      <c r="P622" s="3" t="str">
        <f>IFERROR(__xludf.DUMMYFUNCTION("IF(OR(F622="""",F622=""Seleccionar..""),"""",TRANSPOSE(FILTER(Productos!E:E,(Productos!F:F=D622)+(Productos!F:F=XLOOKUP(D622,Implementos!B:B,Implementos!C:C,""-"",0,1)))))"),"")</f>
        <v/>
      </c>
    </row>
    <row r="623" hidden="1">
      <c r="A623" s="38" t="str">
        <f t="shared" si="1"/>
        <v/>
      </c>
      <c r="B623" s="38" t="str">
        <f>IF(F623="","",SUMIF(Prearmados!E:E,F623,Prearmados!A:A))</f>
        <v/>
      </c>
      <c r="C623" s="38" t="str">
        <f>IF(F623="","",SUMIF(Productos!E:E,G623,Productos!A:A))</f>
        <v/>
      </c>
      <c r="D623" s="85" t="str">
        <f t="array" ref="D623">IF(OR(F623="",F623="Seleccionar.."),"",XLOOKUP(F623,Prearmados!E:E,Prearmados!F:F,"",0,1))</f>
        <v/>
      </c>
      <c r="E623" s="83" t="str">
        <f>IF(H623="","",SUMIF(Precio_Productos!K:K,C623,Precio_Productos!J:J)*H623)</f>
        <v/>
      </c>
      <c r="F623" s="86" t="str">
        <f t="shared" si="2"/>
        <v/>
      </c>
      <c r="G623" s="86" t="str">
        <f t="shared" si="3"/>
        <v/>
      </c>
      <c r="H623" s="15"/>
      <c r="P623" s="3" t="str">
        <f>IFERROR(__xludf.DUMMYFUNCTION("IF(OR(F623="""",F623=""Seleccionar..""),"""",TRANSPOSE(FILTER(Productos!E:E,(Productos!F:F=D623)+(Productos!F:F=XLOOKUP(D623,Implementos!B:B,Implementos!C:C,""-"",0,1)))))"),"")</f>
        <v/>
      </c>
    </row>
    <row r="624" hidden="1">
      <c r="A624" s="38" t="str">
        <f t="shared" si="1"/>
        <v/>
      </c>
      <c r="B624" s="38" t="str">
        <f>IF(F624="","",SUMIF(Prearmados!E:E,F624,Prearmados!A:A))</f>
        <v/>
      </c>
      <c r="C624" s="38" t="str">
        <f>IF(F624="","",SUMIF(Productos!E:E,G624,Productos!A:A))</f>
        <v/>
      </c>
      <c r="D624" s="85" t="str">
        <f t="array" ref="D624">IF(OR(F624="",F624="Seleccionar.."),"",XLOOKUP(F624,Prearmados!E:E,Prearmados!F:F,"",0,1))</f>
        <v/>
      </c>
      <c r="E624" s="83" t="str">
        <f>IF(H624="","",SUMIF(Precio_Productos!K:K,C624,Precio_Productos!J:J)*H624)</f>
        <v/>
      </c>
      <c r="F624" s="86" t="str">
        <f t="shared" si="2"/>
        <v/>
      </c>
      <c r="G624" s="86" t="str">
        <f t="shared" si="3"/>
        <v/>
      </c>
      <c r="H624" s="15"/>
      <c r="P624" s="3" t="str">
        <f>IFERROR(__xludf.DUMMYFUNCTION("IF(OR(F624="""",F624=""Seleccionar..""),"""",TRANSPOSE(FILTER(Productos!E:E,(Productos!F:F=D624)+(Productos!F:F=XLOOKUP(D624,Implementos!B:B,Implementos!C:C,""-"",0,1)))))"),"")</f>
        <v/>
      </c>
    </row>
    <row r="625" hidden="1">
      <c r="A625" s="38" t="str">
        <f t="shared" si="1"/>
        <v/>
      </c>
      <c r="B625" s="38" t="str">
        <f>IF(F625="","",SUMIF(Prearmados!E:E,F625,Prearmados!A:A))</f>
        <v/>
      </c>
      <c r="C625" s="38" t="str">
        <f>IF(F625="","",SUMIF(Productos!E:E,G625,Productos!A:A))</f>
        <v/>
      </c>
      <c r="D625" s="85" t="str">
        <f t="array" ref="D625">IF(OR(F625="",F625="Seleccionar.."),"",XLOOKUP(F625,Prearmados!E:E,Prearmados!F:F,"",0,1))</f>
        <v/>
      </c>
      <c r="E625" s="83" t="str">
        <f>IF(H625="","",SUMIF(Precio_Productos!K:K,C625,Precio_Productos!J:J)*H625)</f>
        <v/>
      </c>
      <c r="F625" s="86" t="str">
        <f t="shared" si="2"/>
        <v/>
      </c>
      <c r="G625" s="86" t="str">
        <f t="shared" si="3"/>
        <v/>
      </c>
      <c r="H625" s="15"/>
      <c r="P625" s="3" t="str">
        <f>IFERROR(__xludf.DUMMYFUNCTION("IF(OR(F625="""",F625=""Seleccionar..""),"""",TRANSPOSE(FILTER(Productos!E:E,(Productos!F:F=D625)+(Productos!F:F=XLOOKUP(D625,Implementos!B:B,Implementos!C:C,""-"",0,1)))))"),"")</f>
        <v/>
      </c>
    </row>
    <row r="626" hidden="1">
      <c r="A626" s="38" t="str">
        <f t="shared" si="1"/>
        <v/>
      </c>
      <c r="B626" s="38" t="str">
        <f>IF(F626="","",SUMIF(Prearmados!E:E,F626,Prearmados!A:A))</f>
        <v/>
      </c>
      <c r="C626" s="38" t="str">
        <f>IF(F626="","",SUMIF(Productos!E:E,G626,Productos!A:A))</f>
        <v/>
      </c>
      <c r="D626" s="85" t="str">
        <f t="array" ref="D626">IF(OR(F626="",F626="Seleccionar.."),"",XLOOKUP(F626,Prearmados!E:E,Prearmados!F:F,"",0,1))</f>
        <v/>
      </c>
      <c r="E626" s="83" t="str">
        <f>IF(H626="","",SUMIF(Precio_Productos!K:K,C626,Precio_Productos!J:J)*H626)</f>
        <v/>
      </c>
      <c r="F626" s="86" t="str">
        <f t="shared" si="2"/>
        <v/>
      </c>
      <c r="G626" s="86" t="str">
        <f t="shared" si="3"/>
        <v/>
      </c>
      <c r="H626" s="15"/>
      <c r="P626" s="3" t="str">
        <f>IFERROR(__xludf.DUMMYFUNCTION("IF(OR(F626="""",F626=""Seleccionar..""),"""",TRANSPOSE(FILTER(Productos!E:E,(Productos!F:F=D626)+(Productos!F:F=XLOOKUP(D626,Implementos!B:B,Implementos!C:C,""-"",0,1)))))"),"")</f>
        <v/>
      </c>
    </row>
    <row r="627" hidden="1">
      <c r="A627" s="38" t="str">
        <f t="shared" si="1"/>
        <v/>
      </c>
      <c r="B627" s="38" t="str">
        <f>IF(F627="","",SUMIF(Prearmados!E:E,F627,Prearmados!A:A))</f>
        <v/>
      </c>
      <c r="C627" s="38" t="str">
        <f>IF(F627="","",SUMIF(Productos!E:E,G627,Productos!A:A))</f>
        <v/>
      </c>
      <c r="D627" s="85" t="str">
        <f t="array" ref="D627">IF(OR(F627="",F627="Seleccionar.."),"",XLOOKUP(F627,Prearmados!E:E,Prearmados!F:F,"",0,1))</f>
        <v/>
      </c>
      <c r="E627" s="83" t="str">
        <f>IF(H627="","",SUMIF(Precio_Productos!K:K,C627,Precio_Productos!J:J)*H627)</f>
        <v/>
      </c>
      <c r="F627" s="86" t="str">
        <f t="shared" si="2"/>
        <v/>
      </c>
      <c r="G627" s="86" t="str">
        <f t="shared" si="3"/>
        <v/>
      </c>
      <c r="H627" s="15"/>
      <c r="P627" s="3" t="str">
        <f>IFERROR(__xludf.DUMMYFUNCTION("IF(OR(F627="""",F627=""Seleccionar..""),"""",TRANSPOSE(FILTER(Productos!E:E,(Productos!F:F=D627)+(Productos!F:F=XLOOKUP(D627,Implementos!B:B,Implementos!C:C,""-"",0,1)))))"),"")</f>
        <v/>
      </c>
    </row>
    <row r="628" hidden="1">
      <c r="A628" s="38" t="str">
        <f t="shared" si="1"/>
        <v/>
      </c>
      <c r="B628" s="38" t="str">
        <f>IF(F628="","",SUMIF(Prearmados!E:E,F628,Prearmados!A:A))</f>
        <v/>
      </c>
      <c r="C628" s="38" t="str">
        <f>IF(F628="","",SUMIF(Productos!E:E,G628,Productos!A:A))</f>
        <v/>
      </c>
      <c r="D628" s="85" t="str">
        <f t="array" ref="D628">IF(OR(F628="",F628="Seleccionar.."),"",XLOOKUP(F628,Prearmados!E:E,Prearmados!F:F,"",0,1))</f>
        <v/>
      </c>
      <c r="E628" s="83" t="str">
        <f>IF(H628="","",SUMIF(Precio_Productos!K:K,C628,Precio_Productos!J:J)*H628)</f>
        <v/>
      </c>
      <c r="F628" s="86" t="str">
        <f t="shared" si="2"/>
        <v/>
      </c>
      <c r="G628" s="86" t="str">
        <f t="shared" si="3"/>
        <v/>
      </c>
      <c r="H628" s="15"/>
      <c r="P628" s="3" t="str">
        <f>IFERROR(__xludf.DUMMYFUNCTION("IF(OR(F628="""",F628=""Seleccionar..""),"""",TRANSPOSE(FILTER(Productos!E:E,(Productos!F:F=D628)+(Productos!F:F=XLOOKUP(D628,Implementos!B:B,Implementos!C:C,""-"",0,1)))))"),"")</f>
        <v/>
      </c>
    </row>
    <row r="629" hidden="1">
      <c r="A629" s="38" t="str">
        <f t="shared" si="1"/>
        <v/>
      </c>
      <c r="B629" s="38" t="str">
        <f>IF(F629="","",SUMIF(Prearmados!E:E,F629,Prearmados!A:A))</f>
        <v/>
      </c>
      <c r="C629" s="38" t="str">
        <f>IF(F629="","",SUMIF(Productos!E:E,G629,Productos!A:A))</f>
        <v/>
      </c>
      <c r="D629" s="85" t="str">
        <f t="array" ref="D629">IF(OR(F629="",F629="Seleccionar.."),"",XLOOKUP(F629,Prearmados!E:E,Prearmados!F:F,"",0,1))</f>
        <v/>
      </c>
      <c r="E629" s="83" t="str">
        <f>IF(H629="","",SUMIF(Precio_Productos!K:K,C629,Precio_Productos!J:J)*H629)</f>
        <v/>
      </c>
      <c r="F629" s="86" t="str">
        <f t="shared" si="2"/>
        <v/>
      </c>
      <c r="G629" s="86" t="str">
        <f t="shared" si="3"/>
        <v/>
      </c>
      <c r="H629" s="15"/>
      <c r="P629" s="3" t="str">
        <f>IFERROR(__xludf.DUMMYFUNCTION("IF(OR(F629="""",F629=""Seleccionar..""),"""",TRANSPOSE(FILTER(Productos!E:E,(Productos!F:F=D629)+(Productos!F:F=XLOOKUP(D629,Implementos!B:B,Implementos!C:C,""-"",0,1)))))"),"")</f>
        <v/>
      </c>
    </row>
    <row r="630" hidden="1">
      <c r="A630" s="38" t="str">
        <f t="shared" si="1"/>
        <v/>
      </c>
      <c r="B630" s="38" t="str">
        <f>IF(F630="","",SUMIF(Prearmados!E:E,F630,Prearmados!A:A))</f>
        <v/>
      </c>
      <c r="C630" s="38" t="str">
        <f>IF(F630="","",SUMIF(Productos!E:E,G630,Productos!A:A))</f>
        <v/>
      </c>
      <c r="D630" s="85" t="str">
        <f t="array" ref="D630">IF(OR(F630="",F630="Seleccionar.."),"",XLOOKUP(F630,Prearmados!E:E,Prearmados!F:F,"",0,1))</f>
        <v/>
      </c>
      <c r="E630" s="83" t="str">
        <f>IF(H630="","",SUMIF(Precio_Productos!K:K,C630,Precio_Productos!J:J)*H630)</f>
        <v/>
      </c>
      <c r="F630" s="86" t="str">
        <f t="shared" si="2"/>
        <v/>
      </c>
      <c r="G630" s="86" t="str">
        <f t="shared" si="3"/>
        <v/>
      </c>
      <c r="H630" s="15"/>
      <c r="P630" s="3" t="str">
        <f>IFERROR(__xludf.DUMMYFUNCTION("IF(OR(F630="""",F630=""Seleccionar..""),"""",TRANSPOSE(FILTER(Productos!E:E,(Productos!F:F=D630)+(Productos!F:F=XLOOKUP(D630,Implementos!B:B,Implementos!C:C,""-"",0,1)))))"),"")</f>
        <v/>
      </c>
    </row>
    <row r="631" hidden="1">
      <c r="A631" s="38" t="str">
        <f t="shared" si="1"/>
        <v/>
      </c>
      <c r="B631" s="38" t="str">
        <f>IF(F631="","",SUMIF(Prearmados!E:E,F631,Prearmados!A:A))</f>
        <v/>
      </c>
      <c r="C631" s="38" t="str">
        <f>IF(F631="","",SUMIF(Productos!E:E,G631,Productos!A:A))</f>
        <v/>
      </c>
      <c r="D631" s="85" t="str">
        <f t="array" ref="D631">IF(OR(F631="",F631="Seleccionar.."),"",XLOOKUP(F631,Prearmados!E:E,Prearmados!F:F,"",0,1))</f>
        <v/>
      </c>
      <c r="E631" s="83" t="str">
        <f>IF(H631="","",SUMIF(Precio_Productos!K:K,C631,Precio_Productos!J:J)*H631)</f>
        <v/>
      </c>
      <c r="F631" s="86" t="str">
        <f t="shared" si="2"/>
        <v/>
      </c>
      <c r="G631" s="86" t="str">
        <f t="shared" si="3"/>
        <v/>
      </c>
      <c r="H631" s="15"/>
      <c r="P631" s="3" t="str">
        <f>IFERROR(__xludf.DUMMYFUNCTION("IF(OR(F631="""",F631=""Seleccionar..""),"""",TRANSPOSE(FILTER(Productos!E:E,(Productos!F:F=D631)+(Productos!F:F=XLOOKUP(D631,Implementos!B:B,Implementos!C:C,""-"",0,1)))))"),"")</f>
        <v/>
      </c>
    </row>
    <row r="632" hidden="1">
      <c r="A632" s="38" t="str">
        <f t="shared" si="1"/>
        <v/>
      </c>
      <c r="B632" s="38" t="str">
        <f>IF(F632="","",SUMIF(Prearmados!E:E,F632,Prearmados!A:A))</f>
        <v/>
      </c>
      <c r="C632" s="38" t="str">
        <f>IF(F632="","",SUMIF(Productos!E:E,G632,Productos!A:A))</f>
        <v/>
      </c>
      <c r="D632" s="85" t="str">
        <f t="array" ref="D632">IF(OR(F632="",F632="Seleccionar.."),"",XLOOKUP(F632,Prearmados!E:E,Prearmados!F:F,"",0,1))</f>
        <v/>
      </c>
      <c r="E632" s="83" t="str">
        <f>IF(H632="","",SUMIF(Precio_Productos!K:K,C632,Precio_Productos!J:J)*H632)</f>
        <v/>
      </c>
      <c r="F632" s="86" t="str">
        <f t="shared" si="2"/>
        <v/>
      </c>
      <c r="G632" s="86" t="str">
        <f t="shared" si="3"/>
        <v/>
      </c>
      <c r="H632" s="15"/>
      <c r="P632" s="3" t="str">
        <f>IFERROR(__xludf.DUMMYFUNCTION("IF(OR(F632="""",F632=""Seleccionar..""),"""",TRANSPOSE(FILTER(Productos!E:E,(Productos!F:F=D632)+(Productos!F:F=XLOOKUP(D632,Implementos!B:B,Implementos!C:C,""-"",0,1)))))"),"")</f>
        <v/>
      </c>
    </row>
    <row r="633" hidden="1">
      <c r="A633" s="38" t="str">
        <f t="shared" si="1"/>
        <v/>
      </c>
      <c r="B633" s="38" t="str">
        <f>IF(F633="","",SUMIF(Prearmados!E:E,F633,Prearmados!A:A))</f>
        <v/>
      </c>
      <c r="C633" s="38" t="str">
        <f>IF(F633="","",SUMIF(Productos!E:E,G633,Productos!A:A))</f>
        <v/>
      </c>
      <c r="D633" s="85" t="str">
        <f t="array" ref="D633">IF(OR(F633="",F633="Seleccionar.."),"",XLOOKUP(F633,Prearmados!E:E,Prearmados!F:F,"",0,1))</f>
        <v/>
      </c>
      <c r="E633" s="83" t="str">
        <f>IF(H633="","",SUMIF(Precio_Productos!K:K,C633,Precio_Productos!J:J)*H633)</f>
        <v/>
      </c>
      <c r="F633" s="86" t="str">
        <f t="shared" si="2"/>
        <v/>
      </c>
      <c r="G633" s="86" t="str">
        <f t="shared" si="3"/>
        <v/>
      </c>
      <c r="H633" s="15"/>
      <c r="P633" s="3" t="str">
        <f>IFERROR(__xludf.DUMMYFUNCTION("IF(OR(F633="""",F633=""Seleccionar..""),"""",TRANSPOSE(FILTER(Productos!E:E,(Productos!F:F=D633)+(Productos!F:F=XLOOKUP(D633,Implementos!B:B,Implementos!C:C,""-"",0,1)))))"),"")</f>
        <v/>
      </c>
    </row>
    <row r="634" hidden="1">
      <c r="A634" s="38" t="str">
        <f t="shared" si="1"/>
        <v/>
      </c>
      <c r="B634" s="38" t="str">
        <f>IF(F634="","",SUMIF(Prearmados!E:E,F634,Prearmados!A:A))</f>
        <v/>
      </c>
      <c r="C634" s="38" t="str">
        <f>IF(F634="","",SUMIF(Productos!E:E,G634,Productos!A:A))</f>
        <v/>
      </c>
      <c r="D634" s="85" t="str">
        <f t="array" ref="D634">IF(OR(F634="",F634="Seleccionar.."),"",XLOOKUP(F634,Prearmados!E:E,Prearmados!F:F,"",0,1))</f>
        <v/>
      </c>
      <c r="E634" s="83" t="str">
        <f>IF(H634="","",SUMIF(Precio_Productos!K:K,C634,Precio_Productos!J:J)*H634)</f>
        <v/>
      </c>
      <c r="F634" s="86" t="str">
        <f t="shared" si="2"/>
        <v/>
      </c>
      <c r="G634" s="86" t="str">
        <f t="shared" si="3"/>
        <v/>
      </c>
      <c r="H634" s="15"/>
      <c r="P634" s="3" t="str">
        <f>IFERROR(__xludf.DUMMYFUNCTION("IF(OR(F634="""",F634=""Seleccionar..""),"""",TRANSPOSE(FILTER(Productos!E:E,(Productos!F:F=D634)+(Productos!F:F=XLOOKUP(D634,Implementos!B:B,Implementos!C:C,""-"",0,1)))))"),"")</f>
        <v/>
      </c>
    </row>
    <row r="635" hidden="1">
      <c r="A635" s="38" t="str">
        <f t="shared" si="1"/>
        <v/>
      </c>
      <c r="B635" s="38" t="str">
        <f>IF(F635="","",SUMIF(Prearmados!E:E,F635,Prearmados!A:A))</f>
        <v/>
      </c>
      <c r="C635" s="38" t="str">
        <f>IF(F635="","",SUMIF(Productos!E:E,G635,Productos!A:A))</f>
        <v/>
      </c>
      <c r="D635" s="85" t="str">
        <f t="array" ref="D635">IF(OR(F635="",F635="Seleccionar.."),"",XLOOKUP(F635,Prearmados!E:E,Prearmados!F:F,"",0,1))</f>
        <v/>
      </c>
      <c r="E635" s="83" t="str">
        <f>IF(H635="","",SUMIF(Precio_Productos!K:K,C635,Precio_Productos!J:J)*H635)</f>
        <v/>
      </c>
      <c r="F635" s="86" t="str">
        <f t="shared" si="2"/>
        <v/>
      </c>
      <c r="G635" s="86" t="str">
        <f t="shared" si="3"/>
        <v/>
      </c>
      <c r="H635" s="15"/>
      <c r="P635" s="3" t="str">
        <f>IFERROR(__xludf.DUMMYFUNCTION("IF(OR(F635="""",F635=""Seleccionar..""),"""",TRANSPOSE(FILTER(Productos!E:E,(Productos!F:F=D635)+(Productos!F:F=XLOOKUP(D635,Implementos!B:B,Implementos!C:C,""-"",0,1)))))"),"")</f>
        <v/>
      </c>
    </row>
    <row r="636" hidden="1">
      <c r="A636" s="38" t="str">
        <f t="shared" si="1"/>
        <v/>
      </c>
      <c r="B636" s="38" t="str">
        <f>IF(F636="","",SUMIF(Prearmados!E:E,F636,Prearmados!A:A))</f>
        <v/>
      </c>
      <c r="C636" s="38" t="str">
        <f>IF(F636="","",SUMIF(Productos!E:E,G636,Productos!A:A))</f>
        <v/>
      </c>
      <c r="D636" s="85" t="str">
        <f t="array" ref="D636">IF(OR(F636="",F636="Seleccionar.."),"",XLOOKUP(F636,Prearmados!E:E,Prearmados!F:F,"",0,1))</f>
        <v/>
      </c>
      <c r="E636" s="83" t="str">
        <f>IF(H636="","",SUMIF(Precio_Productos!K:K,C636,Precio_Productos!J:J)*H636)</f>
        <v/>
      </c>
      <c r="F636" s="86" t="str">
        <f t="shared" si="2"/>
        <v/>
      </c>
      <c r="G636" s="86" t="str">
        <f t="shared" si="3"/>
        <v/>
      </c>
      <c r="H636" s="15"/>
      <c r="P636" s="3" t="str">
        <f>IFERROR(__xludf.DUMMYFUNCTION("IF(OR(F636="""",F636=""Seleccionar..""),"""",TRANSPOSE(FILTER(Productos!E:E,(Productos!F:F=D636)+(Productos!F:F=XLOOKUP(D636,Implementos!B:B,Implementos!C:C,""-"",0,1)))))"),"")</f>
        <v/>
      </c>
    </row>
    <row r="637" hidden="1">
      <c r="A637" s="38" t="str">
        <f t="shared" si="1"/>
        <v/>
      </c>
      <c r="B637" s="38" t="str">
        <f>IF(F637="","",SUMIF(Prearmados!E:E,F637,Prearmados!A:A))</f>
        <v/>
      </c>
      <c r="C637" s="38" t="str">
        <f>IF(F637="","",SUMIF(Productos!E:E,G637,Productos!A:A))</f>
        <v/>
      </c>
      <c r="D637" s="85" t="str">
        <f t="array" ref="D637">IF(OR(F637="",F637="Seleccionar.."),"",XLOOKUP(F637,Prearmados!E:E,Prearmados!F:F,"",0,1))</f>
        <v/>
      </c>
      <c r="E637" s="83" t="str">
        <f>IF(H637="","",SUMIF(Precio_Productos!K:K,C637,Precio_Productos!J:J)*H637)</f>
        <v/>
      </c>
      <c r="F637" s="86" t="str">
        <f t="shared" si="2"/>
        <v/>
      </c>
      <c r="G637" s="86" t="str">
        <f t="shared" si="3"/>
        <v/>
      </c>
      <c r="H637" s="15"/>
      <c r="P637" s="3" t="str">
        <f>IFERROR(__xludf.DUMMYFUNCTION("IF(OR(F637="""",F637=""Seleccionar..""),"""",TRANSPOSE(FILTER(Productos!E:E,(Productos!F:F=D637)+(Productos!F:F=XLOOKUP(D637,Implementos!B:B,Implementos!C:C,""-"",0,1)))))"),"")</f>
        <v/>
      </c>
    </row>
    <row r="638" hidden="1">
      <c r="A638" s="38" t="str">
        <f t="shared" si="1"/>
        <v/>
      </c>
      <c r="B638" s="38" t="str">
        <f>IF(F638="","",SUMIF(Prearmados!E:E,F638,Prearmados!A:A))</f>
        <v/>
      </c>
      <c r="C638" s="38" t="str">
        <f>IF(F638="","",SUMIF(Productos!E:E,G638,Productos!A:A))</f>
        <v/>
      </c>
      <c r="D638" s="85" t="str">
        <f t="array" ref="D638">IF(OR(F638="",F638="Seleccionar.."),"",XLOOKUP(F638,Prearmados!E:E,Prearmados!F:F,"",0,1))</f>
        <v/>
      </c>
      <c r="E638" s="83" t="str">
        <f>IF(H638="","",SUMIF(Precio_Productos!K:K,C638,Precio_Productos!J:J)*H638)</f>
        <v/>
      </c>
      <c r="F638" s="86" t="str">
        <f t="shared" si="2"/>
        <v/>
      </c>
      <c r="G638" s="86" t="str">
        <f t="shared" si="3"/>
        <v/>
      </c>
      <c r="H638" s="15"/>
      <c r="P638" s="3" t="str">
        <f>IFERROR(__xludf.DUMMYFUNCTION("IF(OR(F638="""",F638=""Seleccionar..""),"""",TRANSPOSE(FILTER(Productos!E:E,(Productos!F:F=D638)+(Productos!F:F=XLOOKUP(D638,Implementos!B:B,Implementos!C:C,""-"",0,1)))))"),"")</f>
        <v/>
      </c>
    </row>
    <row r="639" hidden="1">
      <c r="A639" s="38" t="str">
        <f t="shared" si="1"/>
        <v/>
      </c>
      <c r="B639" s="38" t="str">
        <f>IF(F639="","",SUMIF(Prearmados!E:E,F639,Prearmados!A:A))</f>
        <v/>
      </c>
      <c r="C639" s="38" t="str">
        <f>IF(F639="","",SUMIF(Productos!E:E,G639,Productos!A:A))</f>
        <v/>
      </c>
      <c r="D639" s="85" t="str">
        <f t="array" ref="D639">IF(OR(F639="",F639="Seleccionar.."),"",XLOOKUP(F639,Prearmados!E:E,Prearmados!F:F,"",0,1))</f>
        <v/>
      </c>
      <c r="E639" s="83" t="str">
        <f>IF(H639="","",SUMIF(Precio_Productos!K:K,C639,Precio_Productos!J:J)*H639)</f>
        <v/>
      </c>
      <c r="F639" s="86" t="str">
        <f t="shared" si="2"/>
        <v/>
      </c>
      <c r="G639" s="86" t="str">
        <f t="shared" si="3"/>
        <v/>
      </c>
      <c r="H639" s="15"/>
      <c r="P639" s="3" t="str">
        <f>IFERROR(__xludf.DUMMYFUNCTION("IF(OR(F639="""",F639=""Seleccionar..""),"""",TRANSPOSE(FILTER(Productos!E:E,(Productos!F:F=D639)+(Productos!F:F=XLOOKUP(D639,Implementos!B:B,Implementos!C:C,""-"",0,1)))))"),"")</f>
        <v/>
      </c>
    </row>
    <row r="640" hidden="1">
      <c r="A640" s="38" t="str">
        <f t="shared" si="1"/>
        <v/>
      </c>
      <c r="B640" s="38" t="str">
        <f>IF(F640="","",SUMIF(Prearmados!E:E,F640,Prearmados!A:A))</f>
        <v/>
      </c>
      <c r="C640" s="38" t="str">
        <f>IF(F640="","",SUMIF(Productos!E:E,G640,Productos!A:A))</f>
        <v/>
      </c>
      <c r="D640" s="85" t="str">
        <f t="array" ref="D640">IF(OR(F640="",F640="Seleccionar.."),"",XLOOKUP(F640,Prearmados!E:E,Prearmados!F:F,"",0,1))</f>
        <v/>
      </c>
      <c r="E640" s="83" t="str">
        <f>IF(H640="","",SUMIF(Precio_Productos!K:K,C640,Precio_Productos!J:J)*H640)</f>
        <v/>
      </c>
      <c r="F640" s="86" t="str">
        <f t="shared" si="2"/>
        <v/>
      </c>
      <c r="G640" s="86" t="str">
        <f t="shared" si="3"/>
        <v/>
      </c>
      <c r="H640" s="15"/>
      <c r="P640" s="3" t="str">
        <f>IFERROR(__xludf.DUMMYFUNCTION("IF(OR(F640="""",F640=""Seleccionar..""),"""",TRANSPOSE(FILTER(Productos!E:E,(Productos!F:F=D640)+(Productos!F:F=XLOOKUP(D640,Implementos!B:B,Implementos!C:C,""-"",0,1)))))"),"")</f>
        <v/>
      </c>
    </row>
    <row r="641" hidden="1">
      <c r="A641" s="38" t="str">
        <f t="shared" si="1"/>
        <v/>
      </c>
      <c r="B641" s="38" t="str">
        <f>IF(F641="","",SUMIF(Prearmados!E:E,F641,Prearmados!A:A))</f>
        <v/>
      </c>
      <c r="C641" s="38" t="str">
        <f>IF(F641="","",SUMIF(Productos!E:E,G641,Productos!A:A))</f>
        <v/>
      </c>
      <c r="D641" s="85" t="str">
        <f t="array" ref="D641">IF(OR(F641="",F641="Seleccionar.."),"",XLOOKUP(F641,Prearmados!E:E,Prearmados!F:F,"",0,1))</f>
        <v/>
      </c>
      <c r="E641" s="83" t="str">
        <f>IF(H641="","",SUMIF(Precio_Productos!K:K,C641,Precio_Productos!J:J)*H641)</f>
        <v/>
      </c>
      <c r="F641" s="86" t="str">
        <f t="shared" si="2"/>
        <v/>
      </c>
      <c r="G641" s="86" t="str">
        <f t="shared" si="3"/>
        <v/>
      </c>
      <c r="H641" s="15"/>
      <c r="P641" s="3" t="str">
        <f>IFERROR(__xludf.DUMMYFUNCTION("IF(OR(F641="""",F641=""Seleccionar..""),"""",TRANSPOSE(FILTER(Productos!E:E,(Productos!F:F=D641)+(Productos!F:F=XLOOKUP(D641,Implementos!B:B,Implementos!C:C,""-"",0,1)))))"),"")</f>
        <v/>
      </c>
    </row>
    <row r="642" hidden="1">
      <c r="A642" s="38" t="str">
        <f t="shared" si="1"/>
        <v/>
      </c>
      <c r="B642" s="38" t="str">
        <f>IF(F642="","",SUMIF(Prearmados!E:E,F642,Prearmados!A:A))</f>
        <v/>
      </c>
      <c r="C642" s="38" t="str">
        <f>IF(F642="","",SUMIF(Productos!E:E,G642,Productos!A:A))</f>
        <v/>
      </c>
      <c r="D642" s="85" t="str">
        <f t="array" ref="D642">IF(OR(F642="",F642="Seleccionar.."),"",XLOOKUP(F642,Prearmados!E:E,Prearmados!F:F,"",0,1))</f>
        <v/>
      </c>
      <c r="E642" s="83" t="str">
        <f>IF(H642="","",SUMIF(Precio_Productos!K:K,C642,Precio_Productos!J:J)*H642)</f>
        <v/>
      </c>
      <c r="F642" s="86" t="str">
        <f t="shared" si="2"/>
        <v/>
      </c>
      <c r="G642" s="86" t="str">
        <f t="shared" si="3"/>
        <v/>
      </c>
      <c r="H642" s="15"/>
      <c r="P642" s="3" t="str">
        <f>IFERROR(__xludf.DUMMYFUNCTION("IF(OR(F642="""",F642=""Seleccionar..""),"""",TRANSPOSE(FILTER(Productos!E:E,(Productos!F:F=D642)+(Productos!F:F=XLOOKUP(D642,Implementos!B:B,Implementos!C:C,""-"",0,1)))))"),"")</f>
        <v/>
      </c>
    </row>
    <row r="643" hidden="1">
      <c r="A643" s="38" t="str">
        <f t="shared" si="1"/>
        <v/>
      </c>
      <c r="B643" s="38" t="str">
        <f>IF(F643="","",SUMIF(Prearmados!E:E,F643,Prearmados!A:A))</f>
        <v/>
      </c>
      <c r="C643" s="38" t="str">
        <f>IF(F643="","",SUMIF(Productos!E:E,G643,Productos!A:A))</f>
        <v/>
      </c>
      <c r="D643" s="85" t="str">
        <f t="array" ref="D643">IF(OR(F643="",F643="Seleccionar.."),"",XLOOKUP(F643,Prearmados!E:E,Prearmados!F:F,"",0,1))</f>
        <v/>
      </c>
      <c r="E643" s="83" t="str">
        <f>IF(H643="","",SUMIF(Precio_Productos!K:K,C643,Precio_Productos!J:J)*H643)</f>
        <v/>
      </c>
      <c r="F643" s="86" t="str">
        <f t="shared" si="2"/>
        <v/>
      </c>
      <c r="G643" s="86" t="str">
        <f t="shared" si="3"/>
        <v/>
      </c>
      <c r="H643" s="15"/>
      <c r="P643" s="3" t="str">
        <f>IFERROR(__xludf.DUMMYFUNCTION("IF(OR(F643="""",F643=""Seleccionar..""),"""",TRANSPOSE(FILTER(Productos!E:E,(Productos!F:F=D643)+(Productos!F:F=XLOOKUP(D643,Implementos!B:B,Implementos!C:C,""-"",0,1)))))"),"")</f>
        <v/>
      </c>
    </row>
    <row r="644" hidden="1">
      <c r="A644" s="38" t="str">
        <f t="shared" si="1"/>
        <v/>
      </c>
      <c r="B644" s="38" t="str">
        <f>IF(F644="","",SUMIF(Prearmados!E:E,F644,Prearmados!A:A))</f>
        <v/>
      </c>
      <c r="C644" s="38" t="str">
        <f>IF(F644="","",SUMIF(Productos!E:E,G644,Productos!A:A))</f>
        <v/>
      </c>
      <c r="D644" s="85" t="str">
        <f t="array" ref="D644">IF(OR(F644="",F644="Seleccionar.."),"",XLOOKUP(F644,Prearmados!E:E,Prearmados!F:F,"",0,1))</f>
        <v/>
      </c>
      <c r="E644" s="83" t="str">
        <f>IF(H644="","",SUMIF(Precio_Productos!K:K,C644,Precio_Productos!J:J)*H644)</f>
        <v/>
      </c>
      <c r="F644" s="86" t="str">
        <f t="shared" si="2"/>
        <v/>
      </c>
      <c r="G644" s="86" t="str">
        <f t="shared" si="3"/>
        <v/>
      </c>
      <c r="H644" s="15"/>
      <c r="P644" s="3" t="str">
        <f>IFERROR(__xludf.DUMMYFUNCTION("IF(OR(F644="""",F644=""Seleccionar..""),"""",TRANSPOSE(FILTER(Productos!E:E,(Productos!F:F=D644)+(Productos!F:F=XLOOKUP(D644,Implementos!B:B,Implementos!C:C,""-"",0,1)))))"),"")</f>
        <v/>
      </c>
    </row>
    <row r="645" hidden="1">
      <c r="A645" s="38" t="str">
        <f t="shared" si="1"/>
        <v/>
      </c>
      <c r="B645" s="38" t="str">
        <f>IF(F645="","",SUMIF(Prearmados!E:E,F645,Prearmados!A:A))</f>
        <v/>
      </c>
      <c r="C645" s="38" t="str">
        <f>IF(F645="","",SUMIF(Productos!E:E,G645,Productos!A:A))</f>
        <v/>
      </c>
      <c r="D645" s="85" t="str">
        <f t="array" ref="D645">IF(OR(F645="",F645="Seleccionar.."),"",XLOOKUP(F645,Prearmados!E:E,Prearmados!F:F,"",0,1))</f>
        <v/>
      </c>
      <c r="E645" s="83" t="str">
        <f>IF(H645="","",SUMIF(Precio_Productos!K:K,C645,Precio_Productos!J:J)*H645)</f>
        <v/>
      </c>
      <c r="F645" s="86" t="str">
        <f t="shared" si="2"/>
        <v/>
      </c>
      <c r="G645" s="86" t="str">
        <f t="shared" si="3"/>
        <v/>
      </c>
      <c r="H645" s="15"/>
      <c r="P645" s="3" t="str">
        <f>IFERROR(__xludf.DUMMYFUNCTION("IF(OR(F645="""",F645=""Seleccionar..""),"""",TRANSPOSE(FILTER(Productos!E:E,(Productos!F:F=D645)+(Productos!F:F=XLOOKUP(D645,Implementos!B:B,Implementos!C:C,""-"",0,1)))))"),"")</f>
        <v/>
      </c>
    </row>
    <row r="646" hidden="1">
      <c r="A646" s="38" t="str">
        <f t="shared" si="1"/>
        <v/>
      </c>
      <c r="B646" s="38" t="str">
        <f>IF(F646="","",SUMIF(Prearmados!E:E,F646,Prearmados!A:A))</f>
        <v/>
      </c>
      <c r="C646" s="38" t="str">
        <f>IF(F646="","",SUMIF(Productos!E:E,G646,Productos!A:A))</f>
        <v/>
      </c>
      <c r="D646" s="85" t="str">
        <f t="array" ref="D646">IF(OR(F646="",F646="Seleccionar.."),"",XLOOKUP(F646,Prearmados!E:E,Prearmados!F:F,"",0,1))</f>
        <v/>
      </c>
      <c r="E646" s="83" t="str">
        <f>IF(H646="","",SUMIF(Precio_Productos!K:K,C646,Precio_Productos!J:J)*H646)</f>
        <v/>
      </c>
      <c r="F646" s="86" t="str">
        <f t="shared" si="2"/>
        <v/>
      </c>
      <c r="G646" s="86" t="str">
        <f t="shared" si="3"/>
        <v/>
      </c>
      <c r="H646" s="15"/>
      <c r="P646" s="3" t="str">
        <f>IFERROR(__xludf.DUMMYFUNCTION("IF(OR(F646="""",F646=""Seleccionar..""),"""",TRANSPOSE(FILTER(Productos!E:E,(Productos!F:F=D646)+(Productos!F:F=XLOOKUP(D646,Implementos!B:B,Implementos!C:C,""-"",0,1)))))"),"")</f>
        <v/>
      </c>
    </row>
    <row r="647" hidden="1">
      <c r="A647" s="38" t="str">
        <f t="shared" si="1"/>
        <v/>
      </c>
      <c r="B647" s="38" t="str">
        <f>IF(F647="","",SUMIF(Prearmados!E:E,F647,Prearmados!A:A))</f>
        <v/>
      </c>
      <c r="C647" s="38" t="str">
        <f>IF(F647="","",SUMIF(Productos!E:E,G647,Productos!A:A))</f>
        <v/>
      </c>
      <c r="D647" s="85" t="str">
        <f t="array" ref="D647">IF(OR(F647="",F647="Seleccionar.."),"",XLOOKUP(F647,Prearmados!E:E,Prearmados!F:F,"",0,1))</f>
        <v/>
      </c>
      <c r="E647" s="83" t="str">
        <f>IF(H647="","",SUMIF(Precio_Productos!K:K,C647,Precio_Productos!J:J)*H647)</f>
        <v/>
      </c>
      <c r="F647" s="86" t="str">
        <f t="shared" si="2"/>
        <v/>
      </c>
      <c r="G647" s="86" t="str">
        <f t="shared" si="3"/>
        <v/>
      </c>
      <c r="H647" s="15"/>
      <c r="P647" s="3" t="str">
        <f>IFERROR(__xludf.DUMMYFUNCTION("IF(OR(F647="""",F647=""Seleccionar..""),"""",TRANSPOSE(FILTER(Productos!E:E,(Productos!F:F=D647)+(Productos!F:F=XLOOKUP(D647,Implementos!B:B,Implementos!C:C,""-"",0,1)))))"),"")</f>
        <v/>
      </c>
    </row>
    <row r="648" hidden="1">
      <c r="A648" s="38" t="str">
        <f t="shared" si="1"/>
        <v/>
      </c>
      <c r="B648" s="38" t="str">
        <f>IF(F648="","",SUMIF(Prearmados!E:E,F648,Prearmados!A:A))</f>
        <v/>
      </c>
      <c r="C648" s="38" t="str">
        <f>IF(F648="","",SUMIF(Productos!E:E,G648,Productos!A:A))</f>
        <v/>
      </c>
      <c r="D648" s="85" t="str">
        <f t="array" ref="D648">IF(OR(F648="",F648="Seleccionar.."),"",XLOOKUP(F648,Prearmados!E:E,Prearmados!F:F,"",0,1))</f>
        <v/>
      </c>
      <c r="E648" s="83" t="str">
        <f>IF(H648="","",SUMIF(Precio_Productos!K:K,C648,Precio_Productos!J:J)*H648)</f>
        <v/>
      </c>
      <c r="F648" s="86" t="str">
        <f t="shared" si="2"/>
        <v/>
      </c>
      <c r="G648" s="86" t="str">
        <f t="shared" si="3"/>
        <v/>
      </c>
      <c r="H648" s="15"/>
      <c r="P648" s="3" t="str">
        <f>IFERROR(__xludf.DUMMYFUNCTION("IF(OR(F648="""",F648=""Seleccionar..""),"""",TRANSPOSE(FILTER(Productos!E:E,(Productos!F:F=D648)+(Productos!F:F=XLOOKUP(D648,Implementos!B:B,Implementos!C:C,""-"",0,1)))))"),"")</f>
        <v/>
      </c>
    </row>
    <row r="649" hidden="1">
      <c r="A649" s="38" t="str">
        <f t="shared" si="1"/>
        <v/>
      </c>
      <c r="B649" s="38" t="str">
        <f>IF(F649="","",SUMIF(Prearmados!E:E,F649,Prearmados!A:A))</f>
        <v/>
      </c>
      <c r="C649" s="38" t="str">
        <f>IF(F649="","",SUMIF(Productos!E:E,G649,Productos!A:A))</f>
        <v/>
      </c>
      <c r="D649" s="85" t="str">
        <f t="array" ref="D649">IF(OR(F649="",F649="Seleccionar.."),"",XLOOKUP(F649,Prearmados!E:E,Prearmados!F:F,"",0,1))</f>
        <v/>
      </c>
      <c r="E649" s="83" t="str">
        <f>IF(H649="","",SUMIF(Precio_Productos!K:K,C649,Precio_Productos!J:J)*H649)</f>
        <v/>
      </c>
      <c r="F649" s="86" t="str">
        <f t="shared" si="2"/>
        <v/>
      </c>
      <c r="G649" s="86" t="str">
        <f t="shared" si="3"/>
        <v/>
      </c>
      <c r="H649" s="15"/>
      <c r="P649" s="3" t="str">
        <f>IFERROR(__xludf.DUMMYFUNCTION("IF(OR(F649="""",F649=""Seleccionar..""),"""",TRANSPOSE(FILTER(Productos!E:E,(Productos!F:F=D649)+(Productos!F:F=XLOOKUP(D649,Implementos!B:B,Implementos!C:C,""-"",0,1)))))"),"")</f>
        <v/>
      </c>
    </row>
    <row r="650" hidden="1">
      <c r="A650" s="38" t="str">
        <f t="shared" si="1"/>
        <v/>
      </c>
      <c r="B650" s="38" t="str">
        <f>IF(F650="","",SUMIF(Prearmados!E:E,F650,Prearmados!A:A))</f>
        <v/>
      </c>
      <c r="C650" s="38" t="str">
        <f>IF(F650="","",SUMIF(Productos!E:E,G650,Productos!A:A))</f>
        <v/>
      </c>
      <c r="D650" s="85" t="str">
        <f t="array" ref="D650">IF(OR(F650="",F650="Seleccionar.."),"",XLOOKUP(F650,Prearmados!E:E,Prearmados!F:F,"",0,1))</f>
        <v/>
      </c>
      <c r="E650" s="83" t="str">
        <f>IF(H650="","",SUMIF(Precio_Productos!K:K,C650,Precio_Productos!J:J)*H650)</f>
        <v/>
      </c>
      <c r="F650" s="86" t="str">
        <f t="shared" si="2"/>
        <v/>
      </c>
      <c r="G650" s="86" t="str">
        <f t="shared" si="3"/>
        <v/>
      </c>
      <c r="H650" s="15"/>
      <c r="P650" s="3" t="str">
        <f>IFERROR(__xludf.DUMMYFUNCTION("IF(OR(F650="""",F650=""Seleccionar..""),"""",TRANSPOSE(FILTER(Productos!E:E,(Productos!F:F=D650)+(Productos!F:F=XLOOKUP(D650,Implementos!B:B,Implementos!C:C,""-"",0,1)))))"),"")</f>
        <v/>
      </c>
    </row>
    <row r="651" hidden="1">
      <c r="A651" s="38" t="str">
        <f t="shared" si="1"/>
        <v/>
      </c>
      <c r="B651" s="38" t="str">
        <f>IF(F651="","",SUMIF(Prearmados!E:E,F651,Prearmados!A:A))</f>
        <v/>
      </c>
      <c r="C651" s="38" t="str">
        <f>IF(F651="","",SUMIF(Productos!E:E,G651,Productos!A:A))</f>
        <v/>
      </c>
      <c r="D651" s="85" t="str">
        <f t="array" ref="D651">IF(OR(F651="",F651="Seleccionar.."),"",XLOOKUP(F651,Prearmados!E:E,Prearmados!F:F,"",0,1))</f>
        <v/>
      </c>
      <c r="E651" s="83" t="str">
        <f>IF(H651="","",SUMIF(Precio_Productos!K:K,C651,Precio_Productos!J:J)*H651)</f>
        <v/>
      </c>
      <c r="F651" s="86" t="str">
        <f t="shared" si="2"/>
        <v/>
      </c>
      <c r="G651" s="86" t="str">
        <f t="shared" si="3"/>
        <v/>
      </c>
      <c r="H651" s="15"/>
      <c r="P651" s="3" t="str">
        <f>IFERROR(__xludf.DUMMYFUNCTION("IF(OR(F651="""",F651=""Seleccionar..""),"""",TRANSPOSE(FILTER(Productos!E:E,(Productos!F:F=D651)+(Productos!F:F=XLOOKUP(D651,Implementos!B:B,Implementos!C:C,""-"",0,1)))))"),"")</f>
        <v/>
      </c>
    </row>
    <row r="652" hidden="1">
      <c r="A652" s="38" t="str">
        <f t="shared" si="1"/>
        <v/>
      </c>
      <c r="B652" s="38" t="str">
        <f>IF(F652="","",SUMIF(Prearmados!E:E,F652,Prearmados!A:A))</f>
        <v/>
      </c>
      <c r="C652" s="38" t="str">
        <f>IF(F652="","",SUMIF(Productos!E:E,G652,Productos!A:A))</f>
        <v/>
      </c>
      <c r="D652" s="85" t="str">
        <f t="array" ref="D652">IF(OR(F652="",F652="Seleccionar.."),"",XLOOKUP(F652,Prearmados!E:E,Prearmados!F:F,"",0,1))</f>
        <v/>
      </c>
      <c r="E652" s="83" t="str">
        <f>IF(H652="","",SUMIF(Precio_Productos!K:K,C652,Precio_Productos!J:J)*H652)</f>
        <v/>
      </c>
      <c r="F652" s="86" t="str">
        <f t="shared" si="2"/>
        <v/>
      </c>
      <c r="G652" s="86" t="str">
        <f t="shared" si="3"/>
        <v/>
      </c>
      <c r="H652" s="15"/>
      <c r="P652" s="3" t="str">
        <f>IFERROR(__xludf.DUMMYFUNCTION("IF(OR(F652="""",F652=""Seleccionar..""),"""",TRANSPOSE(FILTER(Productos!E:E,(Productos!F:F=D652)+(Productos!F:F=XLOOKUP(D652,Implementos!B:B,Implementos!C:C,""-"",0,1)))))"),"")</f>
        <v/>
      </c>
    </row>
    <row r="653" hidden="1">
      <c r="A653" s="38" t="str">
        <f t="shared" si="1"/>
        <v/>
      </c>
      <c r="B653" s="38" t="str">
        <f>IF(F653="","",SUMIF(Prearmados!E:E,F653,Prearmados!A:A))</f>
        <v/>
      </c>
      <c r="C653" s="38" t="str">
        <f>IF(F653="","",SUMIF(Productos!E:E,G653,Productos!A:A))</f>
        <v/>
      </c>
      <c r="D653" s="85" t="str">
        <f t="array" ref="D653">IF(OR(F653="",F653="Seleccionar.."),"",XLOOKUP(F653,Prearmados!E:E,Prearmados!F:F,"",0,1))</f>
        <v/>
      </c>
      <c r="E653" s="83" t="str">
        <f>IF(H653="","",SUMIF(Precio_Productos!K:K,C653,Precio_Productos!J:J)*H653)</f>
        <v/>
      </c>
      <c r="F653" s="86" t="str">
        <f t="shared" si="2"/>
        <v/>
      </c>
      <c r="G653" s="86" t="str">
        <f t="shared" si="3"/>
        <v/>
      </c>
      <c r="H653" s="15"/>
      <c r="P653" s="3" t="str">
        <f>IFERROR(__xludf.DUMMYFUNCTION("IF(OR(F653="""",F653=""Seleccionar..""),"""",TRANSPOSE(FILTER(Productos!E:E,(Productos!F:F=D653)+(Productos!F:F=XLOOKUP(D653,Implementos!B:B,Implementos!C:C,""-"",0,1)))))"),"")</f>
        <v/>
      </c>
    </row>
    <row r="654" hidden="1">
      <c r="A654" s="38" t="str">
        <f t="shared" si="1"/>
        <v/>
      </c>
      <c r="B654" s="38" t="str">
        <f>IF(F654="","",SUMIF(Prearmados!E:E,F654,Prearmados!A:A))</f>
        <v/>
      </c>
      <c r="C654" s="38" t="str">
        <f>IF(F654="","",SUMIF(Productos!E:E,G654,Productos!A:A))</f>
        <v/>
      </c>
      <c r="D654" s="85" t="str">
        <f t="array" ref="D654">IF(OR(F654="",F654="Seleccionar.."),"",XLOOKUP(F654,Prearmados!E:E,Prearmados!F:F,"",0,1))</f>
        <v/>
      </c>
      <c r="E654" s="83" t="str">
        <f>IF(H654="","",SUMIF(Precio_Productos!K:K,C654,Precio_Productos!J:J)*H654)</f>
        <v/>
      </c>
      <c r="F654" s="86" t="str">
        <f t="shared" si="2"/>
        <v/>
      </c>
      <c r="G654" s="86" t="str">
        <f t="shared" si="3"/>
        <v/>
      </c>
      <c r="H654" s="15"/>
      <c r="P654" s="3" t="str">
        <f>IFERROR(__xludf.DUMMYFUNCTION("IF(OR(F654="""",F654=""Seleccionar..""),"""",TRANSPOSE(FILTER(Productos!E:E,(Productos!F:F=D654)+(Productos!F:F=XLOOKUP(D654,Implementos!B:B,Implementos!C:C,""-"",0,1)))))"),"")</f>
        <v/>
      </c>
    </row>
    <row r="655" hidden="1">
      <c r="A655" s="38" t="str">
        <f t="shared" si="1"/>
        <v/>
      </c>
      <c r="B655" s="38" t="str">
        <f>IF(F655="","",SUMIF(Prearmados!E:E,F655,Prearmados!A:A))</f>
        <v/>
      </c>
      <c r="C655" s="38" t="str">
        <f>IF(F655="","",SUMIF(Productos!E:E,G655,Productos!A:A))</f>
        <v/>
      </c>
      <c r="D655" s="85" t="str">
        <f t="array" ref="D655">IF(OR(F655="",F655="Seleccionar.."),"",XLOOKUP(F655,Prearmados!E:E,Prearmados!F:F,"",0,1))</f>
        <v/>
      </c>
      <c r="E655" s="83" t="str">
        <f>IF(H655="","",SUMIF(Precio_Productos!K:K,C655,Precio_Productos!J:J)*H655)</f>
        <v/>
      </c>
      <c r="F655" s="86" t="str">
        <f t="shared" si="2"/>
        <v/>
      </c>
      <c r="G655" s="86" t="str">
        <f t="shared" si="3"/>
        <v/>
      </c>
      <c r="H655" s="15"/>
      <c r="P655" s="3" t="str">
        <f>IFERROR(__xludf.DUMMYFUNCTION("IF(OR(F655="""",F655=""Seleccionar..""),"""",TRANSPOSE(FILTER(Productos!E:E,(Productos!F:F=D655)+(Productos!F:F=XLOOKUP(D655,Implementos!B:B,Implementos!C:C,""-"",0,1)))))"),"")</f>
        <v/>
      </c>
    </row>
    <row r="656" hidden="1">
      <c r="A656" s="38" t="str">
        <f t="shared" si="1"/>
        <v/>
      </c>
      <c r="B656" s="38" t="str">
        <f>IF(F656="","",SUMIF(Prearmados!E:E,F656,Prearmados!A:A))</f>
        <v/>
      </c>
      <c r="C656" s="38" t="str">
        <f>IF(F656="","",SUMIF(Productos!E:E,G656,Productos!A:A))</f>
        <v/>
      </c>
      <c r="D656" s="85" t="str">
        <f t="array" ref="D656">IF(OR(F656="",F656="Seleccionar.."),"",XLOOKUP(F656,Prearmados!E:E,Prearmados!F:F,"",0,1))</f>
        <v/>
      </c>
      <c r="E656" s="83" t="str">
        <f>IF(H656="","",SUMIF(Precio_Productos!K:K,C656,Precio_Productos!J:J)*H656)</f>
        <v/>
      </c>
      <c r="F656" s="86" t="str">
        <f t="shared" si="2"/>
        <v/>
      </c>
      <c r="G656" s="86" t="str">
        <f t="shared" si="3"/>
        <v/>
      </c>
      <c r="H656" s="15"/>
      <c r="P656" s="3" t="str">
        <f>IFERROR(__xludf.DUMMYFUNCTION("IF(OR(F656="""",F656=""Seleccionar..""),"""",TRANSPOSE(FILTER(Productos!E:E,(Productos!F:F=D656)+(Productos!F:F=XLOOKUP(D656,Implementos!B:B,Implementos!C:C,""-"",0,1)))))"),"")</f>
        <v/>
      </c>
    </row>
    <row r="657" hidden="1">
      <c r="A657" s="38" t="str">
        <f t="shared" si="1"/>
        <v/>
      </c>
      <c r="B657" s="38" t="str">
        <f>IF(F657="","",SUMIF(Prearmados!E:E,F657,Prearmados!A:A))</f>
        <v/>
      </c>
      <c r="C657" s="38" t="str">
        <f>IF(F657="","",SUMIF(Productos!E:E,G657,Productos!A:A))</f>
        <v/>
      </c>
      <c r="D657" s="85" t="str">
        <f t="array" ref="D657">IF(OR(F657="",F657="Seleccionar.."),"",XLOOKUP(F657,Prearmados!E:E,Prearmados!F:F,"",0,1))</f>
        <v/>
      </c>
      <c r="E657" s="83" t="str">
        <f>IF(H657="","",SUMIF(Precio_Productos!K:K,C657,Precio_Productos!J:J)*H657)</f>
        <v/>
      </c>
      <c r="F657" s="86" t="str">
        <f t="shared" si="2"/>
        <v/>
      </c>
      <c r="G657" s="86" t="str">
        <f t="shared" si="3"/>
        <v/>
      </c>
      <c r="H657" s="15"/>
      <c r="P657" s="3" t="str">
        <f>IFERROR(__xludf.DUMMYFUNCTION("IF(OR(F657="""",F657=""Seleccionar..""),"""",TRANSPOSE(FILTER(Productos!E:E,(Productos!F:F=D657)+(Productos!F:F=XLOOKUP(D657,Implementos!B:B,Implementos!C:C,""-"",0,1)))))"),"")</f>
        <v/>
      </c>
    </row>
    <row r="658" hidden="1">
      <c r="A658" s="38" t="str">
        <f t="shared" si="1"/>
        <v/>
      </c>
      <c r="B658" s="38" t="str">
        <f>IF(F658="","",SUMIF(Prearmados!E:E,F658,Prearmados!A:A))</f>
        <v/>
      </c>
      <c r="C658" s="38" t="str">
        <f>IF(F658="","",SUMIF(Productos!E:E,G658,Productos!A:A))</f>
        <v/>
      </c>
      <c r="D658" s="85" t="str">
        <f t="array" ref="D658">IF(OR(F658="",F658="Seleccionar.."),"",XLOOKUP(F658,Prearmados!E:E,Prearmados!F:F,"",0,1))</f>
        <v/>
      </c>
      <c r="E658" s="83" t="str">
        <f>IF(H658="","",SUMIF(Precio_Productos!K:K,C658,Precio_Productos!J:J)*H658)</f>
        <v/>
      </c>
      <c r="F658" s="86" t="str">
        <f t="shared" si="2"/>
        <v/>
      </c>
      <c r="G658" s="86" t="str">
        <f t="shared" si="3"/>
        <v/>
      </c>
      <c r="H658" s="15"/>
      <c r="P658" s="3" t="str">
        <f>IFERROR(__xludf.DUMMYFUNCTION("IF(OR(F658="""",F658=""Seleccionar..""),"""",TRANSPOSE(FILTER(Productos!E:E,(Productos!F:F=D658)+(Productos!F:F=XLOOKUP(D658,Implementos!B:B,Implementos!C:C,""-"",0,1)))))"),"")</f>
        <v/>
      </c>
    </row>
    <row r="659" hidden="1">
      <c r="A659" s="38" t="str">
        <f t="shared" si="1"/>
        <v/>
      </c>
      <c r="B659" s="38" t="str">
        <f>IF(F659="","",SUMIF(Prearmados!E:E,F659,Prearmados!A:A))</f>
        <v/>
      </c>
      <c r="C659" s="38" t="str">
        <f>IF(F659="","",SUMIF(Productos!E:E,G659,Productos!A:A))</f>
        <v/>
      </c>
      <c r="D659" s="85" t="str">
        <f t="array" ref="D659">IF(OR(F659="",F659="Seleccionar.."),"",XLOOKUP(F659,Prearmados!E:E,Prearmados!F:F,"",0,1))</f>
        <v/>
      </c>
      <c r="E659" s="83" t="str">
        <f>IF(H659="","",SUMIF(Precio_Productos!K:K,C659,Precio_Productos!J:J)*H659)</f>
        <v/>
      </c>
      <c r="F659" s="86" t="str">
        <f t="shared" si="2"/>
        <v/>
      </c>
      <c r="G659" s="86" t="str">
        <f t="shared" si="3"/>
        <v/>
      </c>
      <c r="H659" s="15"/>
      <c r="P659" s="3" t="str">
        <f>IFERROR(__xludf.DUMMYFUNCTION("IF(OR(F659="""",F659=""Seleccionar..""),"""",TRANSPOSE(FILTER(Productos!E:E,(Productos!F:F=D659)+(Productos!F:F=XLOOKUP(D659,Implementos!B:B,Implementos!C:C,""-"",0,1)))))"),"")</f>
        <v/>
      </c>
    </row>
    <row r="660" hidden="1">
      <c r="A660" s="38" t="str">
        <f t="shared" si="1"/>
        <v/>
      </c>
      <c r="B660" s="38" t="str">
        <f>IF(F660="","",SUMIF(Prearmados!E:E,F660,Prearmados!A:A))</f>
        <v/>
      </c>
      <c r="C660" s="38" t="str">
        <f>IF(F660="","",SUMIF(Productos!E:E,G660,Productos!A:A))</f>
        <v/>
      </c>
      <c r="D660" s="85" t="str">
        <f t="array" ref="D660">IF(OR(F660="",F660="Seleccionar.."),"",XLOOKUP(F660,Prearmados!E:E,Prearmados!F:F,"",0,1))</f>
        <v/>
      </c>
      <c r="E660" s="83" t="str">
        <f>IF(H660="","",SUMIF(Precio_Productos!K:K,C660,Precio_Productos!J:J)*H660)</f>
        <v/>
      </c>
      <c r="F660" s="86" t="str">
        <f t="shared" si="2"/>
        <v/>
      </c>
      <c r="G660" s="86" t="str">
        <f t="shared" si="3"/>
        <v/>
      </c>
      <c r="H660" s="15"/>
      <c r="P660" s="3" t="str">
        <f>IFERROR(__xludf.DUMMYFUNCTION("IF(OR(F660="""",F660=""Seleccionar..""),"""",TRANSPOSE(FILTER(Productos!E:E,(Productos!F:F=D660)+(Productos!F:F=XLOOKUP(D660,Implementos!B:B,Implementos!C:C,""-"",0,1)))))"),"")</f>
        <v/>
      </c>
    </row>
    <row r="661" hidden="1">
      <c r="A661" s="38" t="str">
        <f t="shared" si="1"/>
        <v/>
      </c>
      <c r="B661" s="38" t="str">
        <f>IF(F661="","",SUMIF(Prearmados!E:E,F661,Prearmados!A:A))</f>
        <v/>
      </c>
      <c r="C661" s="38" t="str">
        <f>IF(F661="","",SUMIF(Productos!E:E,G661,Productos!A:A))</f>
        <v/>
      </c>
      <c r="D661" s="85" t="str">
        <f t="array" ref="D661">IF(OR(F661="",F661="Seleccionar.."),"",XLOOKUP(F661,Prearmados!E:E,Prearmados!F:F,"",0,1))</f>
        <v/>
      </c>
      <c r="E661" s="83" t="str">
        <f>IF(H661="","",SUMIF(Precio_Productos!K:K,C661,Precio_Productos!J:J)*H661)</f>
        <v/>
      </c>
      <c r="F661" s="86" t="str">
        <f t="shared" si="2"/>
        <v/>
      </c>
      <c r="G661" s="86" t="str">
        <f t="shared" si="3"/>
        <v/>
      </c>
      <c r="H661" s="15"/>
      <c r="P661" s="3" t="str">
        <f>IFERROR(__xludf.DUMMYFUNCTION("IF(OR(F661="""",F661=""Seleccionar..""),"""",TRANSPOSE(FILTER(Productos!E:E,(Productos!F:F=D661)+(Productos!F:F=XLOOKUP(D661,Implementos!B:B,Implementos!C:C,""-"",0,1)))))"),"")</f>
        <v/>
      </c>
    </row>
    <row r="662" hidden="1">
      <c r="A662" s="38" t="str">
        <f t="shared" si="1"/>
        <v/>
      </c>
      <c r="B662" s="38" t="str">
        <f>IF(F662="","",SUMIF(Prearmados!E:E,F662,Prearmados!A:A))</f>
        <v/>
      </c>
      <c r="C662" s="38" t="str">
        <f>IF(F662="","",SUMIF(Productos!E:E,G662,Productos!A:A))</f>
        <v/>
      </c>
      <c r="D662" s="85" t="str">
        <f t="array" ref="D662">IF(OR(F662="",F662="Seleccionar.."),"",XLOOKUP(F662,Prearmados!E:E,Prearmados!F:F,"",0,1))</f>
        <v/>
      </c>
      <c r="E662" s="83" t="str">
        <f>IF(H662="","",SUMIF(Precio_Productos!K:K,C662,Precio_Productos!J:J)*H662)</f>
        <v/>
      </c>
      <c r="F662" s="86" t="str">
        <f t="shared" si="2"/>
        <v/>
      </c>
      <c r="G662" s="86" t="str">
        <f t="shared" si="3"/>
        <v/>
      </c>
      <c r="H662" s="15"/>
      <c r="P662" s="3" t="str">
        <f>IFERROR(__xludf.DUMMYFUNCTION("IF(OR(F662="""",F662=""Seleccionar..""),"""",TRANSPOSE(FILTER(Productos!E:E,(Productos!F:F=D662)+(Productos!F:F=XLOOKUP(D662,Implementos!B:B,Implementos!C:C,""-"",0,1)))))"),"")</f>
        <v/>
      </c>
    </row>
    <row r="663" hidden="1">
      <c r="A663" s="38" t="str">
        <f t="shared" si="1"/>
        <v/>
      </c>
      <c r="B663" s="38" t="str">
        <f>IF(F663="","",SUMIF(Prearmados!E:E,F663,Prearmados!A:A))</f>
        <v/>
      </c>
      <c r="C663" s="38" t="str">
        <f>IF(F663="","",SUMIF(Productos!E:E,G663,Productos!A:A))</f>
        <v/>
      </c>
      <c r="D663" s="85" t="str">
        <f t="array" ref="D663">IF(OR(F663="",F663="Seleccionar.."),"",XLOOKUP(F663,Prearmados!E:E,Prearmados!F:F,"",0,1))</f>
        <v/>
      </c>
      <c r="E663" s="83" t="str">
        <f>IF(H663="","",SUMIF(Precio_Productos!K:K,C663,Precio_Productos!J:J)*H663)</f>
        <v/>
      </c>
      <c r="F663" s="86" t="str">
        <f t="shared" si="2"/>
        <v/>
      </c>
      <c r="G663" s="86" t="str">
        <f t="shared" si="3"/>
        <v/>
      </c>
      <c r="H663" s="15"/>
      <c r="P663" s="3" t="str">
        <f>IFERROR(__xludf.DUMMYFUNCTION("IF(OR(F663="""",F663=""Seleccionar..""),"""",TRANSPOSE(FILTER(Productos!E:E,(Productos!F:F=D663)+(Productos!F:F=XLOOKUP(D663,Implementos!B:B,Implementos!C:C,""-"",0,1)))))"),"")</f>
        <v/>
      </c>
    </row>
    <row r="664" hidden="1">
      <c r="A664" s="38" t="str">
        <f t="shared" si="1"/>
        <v/>
      </c>
      <c r="B664" s="38" t="str">
        <f>IF(F664="","",SUMIF(Prearmados!E:E,F664,Prearmados!A:A))</f>
        <v/>
      </c>
      <c r="C664" s="38" t="str">
        <f>IF(F664="","",SUMIF(Productos!E:E,G664,Productos!A:A))</f>
        <v/>
      </c>
      <c r="D664" s="85" t="str">
        <f t="array" ref="D664">IF(OR(F664="",F664="Seleccionar.."),"",XLOOKUP(F664,Prearmados!E:E,Prearmados!F:F,"",0,1))</f>
        <v/>
      </c>
      <c r="E664" s="83" t="str">
        <f>IF(H664="","",SUMIF(Precio_Productos!K:K,C664,Precio_Productos!J:J)*H664)</f>
        <v/>
      </c>
      <c r="F664" s="86" t="str">
        <f t="shared" si="2"/>
        <v/>
      </c>
      <c r="G664" s="86" t="str">
        <f t="shared" si="3"/>
        <v/>
      </c>
      <c r="H664" s="15"/>
      <c r="P664" s="3" t="str">
        <f>IFERROR(__xludf.DUMMYFUNCTION("IF(OR(F664="""",F664=""Seleccionar..""),"""",TRANSPOSE(FILTER(Productos!E:E,(Productos!F:F=D664)+(Productos!F:F=XLOOKUP(D664,Implementos!B:B,Implementos!C:C,""-"",0,1)))))"),"")</f>
        <v/>
      </c>
    </row>
    <row r="665" hidden="1">
      <c r="A665" s="38" t="str">
        <f t="shared" si="1"/>
        <v/>
      </c>
      <c r="B665" s="38" t="str">
        <f>IF(F665="","",SUMIF(Prearmados!E:E,F665,Prearmados!A:A))</f>
        <v/>
      </c>
      <c r="C665" s="38" t="str">
        <f>IF(F665="","",SUMIF(Productos!E:E,G665,Productos!A:A))</f>
        <v/>
      </c>
      <c r="D665" s="85" t="str">
        <f t="array" ref="D665">IF(OR(F665="",F665="Seleccionar.."),"",XLOOKUP(F665,Prearmados!E:E,Prearmados!F:F,"",0,1))</f>
        <v/>
      </c>
      <c r="E665" s="83" t="str">
        <f>IF(H665="","",SUMIF(Precio_Productos!K:K,C665,Precio_Productos!J:J)*H665)</f>
        <v/>
      </c>
      <c r="F665" s="86" t="str">
        <f t="shared" si="2"/>
        <v/>
      </c>
      <c r="G665" s="86" t="str">
        <f t="shared" si="3"/>
        <v/>
      </c>
      <c r="H665" s="15"/>
      <c r="P665" s="3" t="str">
        <f>IFERROR(__xludf.DUMMYFUNCTION("IF(OR(F665="""",F665=""Seleccionar..""),"""",TRANSPOSE(FILTER(Productos!E:E,(Productos!F:F=D665)+(Productos!F:F=XLOOKUP(D665,Implementos!B:B,Implementos!C:C,""-"",0,1)))))"),"")</f>
        <v/>
      </c>
    </row>
    <row r="666" hidden="1">
      <c r="A666" s="38" t="str">
        <f t="shared" si="1"/>
        <v/>
      </c>
      <c r="B666" s="38" t="str">
        <f>IF(F666="","",SUMIF(Prearmados!E:E,F666,Prearmados!A:A))</f>
        <v/>
      </c>
      <c r="C666" s="38" t="str">
        <f>IF(F666="","",SUMIF(Productos!E:E,G666,Productos!A:A))</f>
        <v/>
      </c>
      <c r="D666" s="85" t="str">
        <f t="array" ref="D666">IF(OR(F666="",F666="Seleccionar.."),"",XLOOKUP(F666,Prearmados!E:E,Prearmados!F:F,"",0,1))</f>
        <v/>
      </c>
      <c r="E666" s="83" t="str">
        <f>IF(H666="","",SUMIF(Precio_Productos!K:K,C666,Precio_Productos!J:J)*H666)</f>
        <v/>
      </c>
      <c r="F666" s="86" t="str">
        <f t="shared" si="2"/>
        <v/>
      </c>
      <c r="G666" s="86" t="str">
        <f t="shared" si="3"/>
        <v/>
      </c>
      <c r="H666" s="15"/>
      <c r="P666" s="3" t="str">
        <f>IFERROR(__xludf.DUMMYFUNCTION("IF(OR(F666="""",F666=""Seleccionar..""),"""",TRANSPOSE(FILTER(Productos!E:E,(Productos!F:F=D666)+(Productos!F:F=XLOOKUP(D666,Implementos!B:B,Implementos!C:C,""-"",0,1)))))"),"")</f>
        <v/>
      </c>
    </row>
    <row r="667" hidden="1">
      <c r="A667" s="38" t="str">
        <f t="shared" si="1"/>
        <v/>
      </c>
      <c r="B667" s="38" t="str">
        <f>IF(F667="","",SUMIF(Prearmados!E:E,F667,Prearmados!A:A))</f>
        <v/>
      </c>
      <c r="C667" s="38" t="str">
        <f>IF(F667="","",SUMIF(Productos!E:E,G667,Productos!A:A))</f>
        <v/>
      </c>
      <c r="D667" s="85" t="str">
        <f t="array" ref="D667">IF(OR(F667="",F667="Seleccionar.."),"",XLOOKUP(F667,Prearmados!E:E,Prearmados!F:F,"",0,1))</f>
        <v/>
      </c>
      <c r="E667" s="83" t="str">
        <f>IF(H667="","",SUMIF(Precio_Productos!K:K,C667,Precio_Productos!J:J)*H667)</f>
        <v/>
      </c>
      <c r="F667" s="86" t="str">
        <f t="shared" si="2"/>
        <v/>
      </c>
      <c r="G667" s="86" t="str">
        <f t="shared" si="3"/>
        <v/>
      </c>
      <c r="H667" s="15"/>
      <c r="P667" s="3" t="str">
        <f>IFERROR(__xludf.DUMMYFUNCTION("IF(OR(F667="""",F667=""Seleccionar..""),"""",TRANSPOSE(FILTER(Productos!E:E,(Productos!F:F=D667)+(Productos!F:F=XLOOKUP(D667,Implementos!B:B,Implementos!C:C,""-"",0,1)))))"),"")</f>
        <v/>
      </c>
    </row>
    <row r="668" hidden="1">
      <c r="A668" s="38" t="str">
        <f t="shared" si="1"/>
        <v/>
      </c>
      <c r="B668" s="38" t="str">
        <f>IF(F668="","",SUMIF(Prearmados!E:E,F668,Prearmados!A:A))</f>
        <v/>
      </c>
      <c r="C668" s="38" t="str">
        <f>IF(F668="","",SUMIF(Productos!E:E,G668,Productos!A:A))</f>
        <v/>
      </c>
      <c r="D668" s="85" t="str">
        <f t="array" ref="D668">IF(OR(F668="",F668="Seleccionar.."),"",XLOOKUP(F668,Prearmados!E:E,Prearmados!F:F,"",0,1))</f>
        <v/>
      </c>
      <c r="E668" s="83" t="str">
        <f>IF(H668="","",SUMIF(Precio_Productos!K:K,C668,Precio_Productos!J:J)*H668)</f>
        <v/>
      </c>
      <c r="F668" s="86" t="str">
        <f t="shared" si="2"/>
        <v/>
      </c>
      <c r="G668" s="86" t="str">
        <f t="shared" si="3"/>
        <v/>
      </c>
      <c r="H668" s="15"/>
      <c r="P668" s="3" t="str">
        <f>IFERROR(__xludf.DUMMYFUNCTION("IF(OR(F668="""",F668=""Seleccionar..""),"""",TRANSPOSE(FILTER(Productos!E:E,(Productos!F:F=D668)+(Productos!F:F=XLOOKUP(D668,Implementos!B:B,Implementos!C:C,""-"",0,1)))))"),"")</f>
        <v/>
      </c>
    </row>
    <row r="669" hidden="1">
      <c r="A669" s="38" t="str">
        <f t="shared" si="1"/>
        <v/>
      </c>
      <c r="B669" s="38" t="str">
        <f>IF(F669="","",SUMIF(Prearmados!E:E,F669,Prearmados!A:A))</f>
        <v/>
      </c>
      <c r="C669" s="38" t="str">
        <f>IF(F669="","",SUMIF(Productos!E:E,G669,Productos!A:A))</f>
        <v/>
      </c>
      <c r="D669" s="85" t="str">
        <f t="array" ref="D669">IF(OR(F669="",F669="Seleccionar.."),"",XLOOKUP(F669,Prearmados!E:E,Prearmados!F:F,"",0,1))</f>
        <v/>
      </c>
      <c r="E669" s="83" t="str">
        <f>IF(H669="","",SUMIF(Precio_Productos!K:K,C669,Precio_Productos!J:J)*H669)</f>
        <v/>
      </c>
      <c r="F669" s="86" t="str">
        <f t="shared" si="2"/>
        <v/>
      </c>
      <c r="G669" s="86" t="str">
        <f t="shared" si="3"/>
        <v/>
      </c>
      <c r="H669" s="15"/>
      <c r="P669" s="3" t="str">
        <f>IFERROR(__xludf.DUMMYFUNCTION("IF(OR(F669="""",F669=""Seleccionar..""),"""",TRANSPOSE(FILTER(Productos!E:E,(Productos!F:F=D669)+(Productos!F:F=XLOOKUP(D669,Implementos!B:B,Implementos!C:C,""-"",0,1)))))"),"")</f>
        <v/>
      </c>
    </row>
    <row r="670" hidden="1">
      <c r="A670" s="38" t="str">
        <f t="shared" si="1"/>
        <v/>
      </c>
      <c r="B670" s="38" t="str">
        <f>IF(F670="","",SUMIF(Prearmados!E:E,F670,Prearmados!A:A))</f>
        <v/>
      </c>
      <c r="C670" s="38" t="str">
        <f>IF(F670="","",SUMIF(Productos!E:E,G670,Productos!A:A))</f>
        <v/>
      </c>
      <c r="D670" s="85" t="str">
        <f t="array" ref="D670">IF(OR(F670="",F670="Seleccionar.."),"",XLOOKUP(F670,Prearmados!E:E,Prearmados!F:F,"",0,1))</f>
        <v/>
      </c>
      <c r="E670" s="83" t="str">
        <f>IF(H670="","",SUMIF(Precio_Productos!K:K,C670,Precio_Productos!J:J)*H670)</f>
        <v/>
      </c>
      <c r="F670" s="86" t="str">
        <f t="shared" si="2"/>
        <v/>
      </c>
      <c r="G670" s="86" t="str">
        <f t="shared" si="3"/>
        <v/>
      </c>
      <c r="H670" s="15"/>
      <c r="P670" s="3" t="str">
        <f>IFERROR(__xludf.DUMMYFUNCTION("IF(OR(F670="""",F670=""Seleccionar..""),"""",TRANSPOSE(FILTER(Productos!E:E,(Productos!F:F=D670)+(Productos!F:F=XLOOKUP(D670,Implementos!B:B,Implementos!C:C,""-"",0,1)))))"),"")</f>
        <v/>
      </c>
    </row>
    <row r="671" hidden="1">
      <c r="A671" s="38" t="str">
        <f t="shared" si="1"/>
        <v/>
      </c>
      <c r="B671" s="38" t="str">
        <f>IF(F671="","",SUMIF(Prearmados!E:E,F671,Prearmados!A:A))</f>
        <v/>
      </c>
      <c r="C671" s="38" t="str">
        <f>IF(F671="","",SUMIF(Productos!E:E,G671,Productos!A:A))</f>
        <v/>
      </c>
      <c r="D671" s="85" t="str">
        <f t="array" ref="D671">IF(OR(F671="",F671="Seleccionar.."),"",XLOOKUP(F671,Prearmados!E:E,Prearmados!F:F,"",0,1))</f>
        <v/>
      </c>
      <c r="E671" s="83" t="str">
        <f>IF(H671="","",SUMIF(Precio_Productos!K:K,C671,Precio_Productos!J:J)*H671)</f>
        <v/>
      </c>
      <c r="F671" s="86" t="str">
        <f t="shared" si="2"/>
        <v/>
      </c>
      <c r="G671" s="86" t="str">
        <f t="shared" si="3"/>
        <v/>
      </c>
      <c r="H671" s="15"/>
      <c r="P671" s="3" t="str">
        <f>IFERROR(__xludf.DUMMYFUNCTION("IF(OR(F671="""",F671=""Seleccionar..""),"""",TRANSPOSE(FILTER(Productos!E:E,(Productos!F:F=D671)+(Productos!F:F=XLOOKUP(D671,Implementos!B:B,Implementos!C:C,""-"",0,1)))))"),"")</f>
        <v/>
      </c>
    </row>
    <row r="672" hidden="1">
      <c r="A672" s="38" t="str">
        <f t="shared" si="1"/>
        <v/>
      </c>
      <c r="B672" s="38" t="str">
        <f>IF(F672="","",SUMIF(Prearmados!E:E,F672,Prearmados!A:A))</f>
        <v/>
      </c>
      <c r="C672" s="38" t="str">
        <f>IF(F672="","",SUMIF(Productos!E:E,G672,Productos!A:A))</f>
        <v/>
      </c>
      <c r="D672" s="85" t="str">
        <f t="array" ref="D672">IF(OR(F672="",F672="Seleccionar.."),"",XLOOKUP(F672,Prearmados!E:E,Prearmados!F:F,"",0,1))</f>
        <v/>
      </c>
      <c r="E672" s="83" t="str">
        <f>IF(H672="","",SUMIF(Precio_Productos!K:K,C672,Precio_Productos!J:J)*H672)</f>
        <v/>
      </c>
      <c r="F672" s="86" t="str">
        <f t="shared" si="2"/>
        <v/>
      </c>
      <c r="G672" s="86" t="str">
        <f t="shared" si="3"/>
        <v/>
      </c>
      <c r="H672" s="15"/>
      <c r="P672" s="3" t="str">
        <f>IFERROR(__xludf.DUMMYFUNCTION("IF(OR(F672="""",F672=""Seleccionar..""),"""",TRANSPOSE(FILTER(Productos!E:E,(Productos!F:F=D672)+(Productos!F:F=XLOOKUP(D672,Implementos!B:B,Implementos!C:C,""-"",0,1)))))"),"")</f>
        <v/>
      </c>
    </row>
    <row r="673" hidden="1">
      <c r="A673" s="38" t="str">
        <f t="shared" si="1"/>
        <v/>
      </c>
      <c r="B673" s="38" t="str">
        <f>IF(F673="","",SUMIF(Prearmados!E:E,F673,Prearmados!A:A))</f>
        <v/>
      </c>
      <c r="C673" s="38" t="str">
        <f>IF(F673="","",SUMIF(Productos!E:E,G673,Productos!A:A))</f>
        <v/>
      </c>
      <c r="D673" s="85" t="str">
        <f t="array" ref="D673">IF(OR(F673="",F673="Seleccionar.."),"",XLOOKUP(F673,Prearmados!E:E,Prearmados!F:F,"",0,1))</f>
        <v/>
      </c>
      <c r="E673" s="83" t="str">
        <f>IF(H673="","",SUMIF(Precio_Productos!K:K,C673,Precio_Productos!J:J)*H673)</f>
        <v/>
      </c>
      <c r="F673" s="86" t="str">
        <f t="shared" si="2"/>
        <v/>
      </c>
      <c r="G673" s="86" t="str">
        <f t="shared" si="3"/>
        <v/>
      </c>
      <c r="H673" s="15"/>
      <c r="P673" s="3" t="str">
        <f>IFERROR(__xludf.DUMMYFUNCTION("IF(OR(F673="""",F673=""Seleccionar..""),"""",TRANSPOSE(FILTER(Productos!E:E,(Productos!F:F=D673)+(Productos!F:F=XLOOKUP(D673,Implementos!B:B,Implementos!C:C,""-"",0,1)))))"),"")</f>
        <v/>
      </c>
    </row>
    <row r="674" hidden="1">
      <c r="A674" s="38" t="str">
        <f t="shared" si="1"/>
        <v/>
      </c>
      <c r="B674" s="38" t="str">
        <f>IF(F674="","",SUMIF(Prearmados!E:E,F674,Prearmados!A:A))</f>
        <v/>
      </c>
      <c r="C674" s="38" t="str">
        <f>IF(F674="","",SUMIF(Productos!E:E,G674,Productos!A:A))</f>
        <v/>
      </c>
      <c r="D674" s="85" t="str">
        <f t="array" ref="D674">IF(OR(F674="",F674="Seleccionar.."),"",XLOOKUP(F674,Prearmados!E:E,Prearmados!F:F,"",0,1))</f>
        <v/>
      </c>
      <c r="E674" s="83" t="str">
        <f>IF(H674="","",SUMIF(Precio_Productos!K:K,C674,Precio_Productos!J:J)*H674)</f>
        <v/>
      </c>
      <c r="F674" s="86" t="str">
        <f t="shared" si="2"/>
        <v/>
      </c>
      <c r="G674" s="86" t="str">
        <f t="shared" si="3"/>
        <v/>
      </c>
      <c r="H674" s="15"/>
      <c r="P674" s="3" t="str">
        <f>IFERROR(__xludf.DUMMYFUNCTION("IF(OR(F674="""",F674=""Seleccionar..""),"""",TRANSPOSE(FILTER(Productos!E:E,(Productos!F:F=D674)+(Productos!F:F=XLOOKUP(D674,Implementos!B:B,Implementos!C:C,""-"",0,1)))))"),"")</f>
        <v/>
      </c>
    </row>
    <row r="675" hidden="1">
      <c r="A675" s="38" t="str">
        <f t="shared" si="1"/>
        <v/>
      </c>
      <c r="B675" s="38" t="str">
        <f>IF(F675="","",SUMIF(Prearmados!E:E,F675,Prearmados!A:A))</f>
        <v/>
      </c>
      <c r="C675" s="38" t="str">
        <f>IF(F675="","",SUMIF(Productos!E:E,G675,Productos!A:A))</f>
        <v/>
      </c>
      <c r="D675" s="85" t="str">
        <f t="array" ref="D675">IF(OR(F675="",F675="Seleccionar.."),"",XLOOKUP(F675,Prearmados!E:E,Prearmados!F:F,"",0,1))</f>
        <v/>
      </c>
      <c r="E675" s="83" t="str">
        <f>IF(H675="","",SUMIF(Precio_Productos!K:K,C675,Precio_Productos!J:J)*H675)</f>
        <v/>
      </c>
      <c r="F675" s="86" t="str">
        <f t="shared" si="2"/>
        <v/>
      </c>
      <c r="G675" s="86" t="str">
        <f t="shared" si="3"/>
        <v/>
      </c>
      <c r="H675" s="15"/>
      <c r="P675" s="3" t="str">
        <f>IFERROR(__xludf.DUMMYFUNCTION("IF(OR(F675="""",F675=""Seleccionar..""),"""",TRANSPOSE(FILTER(Productos!E:E,(Productos!F:F=D675)+(Productos!F:F=XLOOKUP(D675,Implementos!B:B,Implementos!C:C,""-"",0,1)))))"),"")</f>
        <v/>
      </c>
    </row>
    <row r="676" hidden="1">
      <c r="A676" s="38" t="str">
        <f t="shared" si="1"/>
        <v/>
      </c>
      <c r="B676" s="38" t="str">
        <f>IF(F676="","",SUMIF(Prearmados!E:E,F676,Prearmados!A:A))</f>
        <v/>
      </c>
      <c r="C676" s="38" t="str">
        <f>IF(F676="","",SUMIF(Productos!E:E,G676,Productos!A:A))</f>
        <v/>
      </c>
      <c r="D676" s="85" t="str">
        <f t="array" ref="D676">IF(OR(F676="",F676="Seleccionar.."),"",XLOOKUP(F676,Prearmados!E:E,Prearmados!F:F,"",0,1))</f>
        <v/>
      </c>
      <c r="E676" s="83" t="str">
        <f>IF(H676="","",SUMIF(Precio_Productos!K:K,C676,Precio_Productos!J:J)*H676)</f>
        <v/>
      </c>
      <c r="F676" s="86" t="str">
        <f t="shared" si="2"/>
        <v/>
      </c>
      <c r="G676" s="86" t="str">
        <f t="shared" si="3"/>
        <v/>
      </c>
      <c r="H676" s="15"/>
      <c r="P676" s="3" t="str">
        <f>IFERROR(__xludf.DUMMYFUNCTION("IF(OR(F676="""",F676=""Seleccionar..""),"""",TRANSPOSE(FILTER(Productos!E:E,(Productos!F:F=D676)+(Productos!F:F=XLOOKUP(D676,Implementos!B:B,Implementos!C:C,""-"",0,1)))))"),"")</f>
        <v/>
      </c>
    </row>
    <row r="677" hidden="1">
      <c r="A677" s="38" t="str">
        <f t="shared" si="1"/>
        <v/>
      </c>
      <c r="B677" s="38" t="str">
        <f>IF(F677="","",SUMIF(Prearmados!E:E,F677,Prearmados!A:A))</f>
        <v/>
      </c>
      <c r="C677" s="38" t="str">
        <f>IF(F677="","",SUMIF(Productos!E:E,G677,Productos!A:A))</f>
        <v/>
      </c>
      <c r="D677" s="85" t="str">
        <f t="array" ref="D677">IF(OR(F677="",F677="Seleccionar.."),"",XLOOKUP(F677,Prearmados!E:E,Prearmados!F:F,"",0,1))</f>
        <v/>
      </c>
      <c r="E677" s="83" t="str">
        <f>IF(H677="","",SUMIF(Precio_Productos!K:K,C677,Precio_Productos!J:J)*H677)</f>
        <v/>
      </c>
      <c r="F677" s="86" t="str">
        <f t="shared" si="2"/>
        <v/>
      </c>
      <c r="G677" s="86" t="str">
        <f t="shared" si="3"/>
        <v/>
      </c>
      <c r="H677" s="15"/>
      <c r="P677" s="3" t="str">
        <f>IFERROR(__xludf.DUMMYFUNCTION("IF(OR(F677="""",F677=""Seleccionar..""),"""",TRANSPOSE(FILTER(Productos!E:E,(Productos!F:F=D677)+(Productos!F:F=XLOOKUP(D677,Implementos!B:B,Implementos!C:C,""-"",0,1)))))"),"")</f>
        <v/>
      </c>
    </row>
    <row r="678" hidden="1">
      <c r="A678" s="38" t="str">
        <f t="shared" si="1"/>
        <v/>
      </c>
      <c r="B678" s="38" t="str">
        <f>IF(F678="","",SUMIF(Prearmados!E:E,F678,Prearmados!A:A))</f>
        <v/>
      </c>
      <c r="C678" s="38" t="str">
        <f>IF(F678="","",SUMIF(Productos!E:E,G678,Productos!A:A))</f>
        <v/>
      </c>
      <c r="D678" s="85" t="str">
        <f t="array" ref="D678">IF(OR(F678="",F678="Seleccionar.."),"",XLOOKUP(F678,Prearmados!E:E,Prearmados!F:F,"",0,1))</f>
        <v/>
      </c>
      <c r="E678" s="83" t="str">
        <f>IF(H678="","",SUMIF(Precio_Productos!K:K,C678,Precio_Productos!J:J)*H678)</f>
        <v/>
      </c>
      <c r="F678" s="86" t="str">
        <f t="shared" si="2"/>
        <v/>
      </c>
      <c r="G678" s="86" t="str">
        <f t="shared" si="3"/>
        <v/>
      </c>
      <c r="H678" s="15"/>
      <c r="P678" s="3" t="str">
        <f>IFERROR(__xludf.DUMMYFUNCTION("IF(OR(F678="""",F678=""Seleccionar..""),"""",TRANSPOSE(FILTER(Productos!E:E,(Productos!F:F=D678)+(Productos!F:F=XLOOKUP(D678,Implementos!B:B,Implementos!C:C,""-"",0,1)))))"),"")</f>
        <v/>
      </c>
    </row>
    <row r="679" hidden="1">
      <c r="A679" s="38" t="str">
        <f t="shared" si="1"/>
        <v/>
      </c>
      <c r="B679" s="38" t="str">
        <f>IF(F679="","",SUMIF(Prearmados!E:E,F679,Prearmados!A:A))</f>
        <v/>
      </c>
      <c r="C679" s="38" t="str">
        <f>IF(F679="","",SUMIF(Productos!E:E,G679,Productos!A:A))</f>
        <v/>
      </c>
      <c r="D679" s="85" t="str">
        <f t="array" ref="D679">IF(OR(F679="",F679="Seleccionar.."),"",XLOOKUP(F679,Prearmados!E:E,Prearmados!F:F,"",0,1))</f>
        <v/>
      </c>
      <c r="E679" s="83" t="str">
        <f>IF(H679="","",SUMIF(Precio_Productos!K:K,C679,Precio_Productos!J:J)*H679)</f>
        <v/>
      </c>
      <c r="F679" s="86" t="str">
        <f t="shared" si="2"/>
        <v/>
      </c>
      <c r="G679" s="86" t="str">
        <f t="shared" si="3"/>
        <v/>
      </c>
      <c r="H679" s="15"/>
      <c r="P679" s="3" t="str">
        <f>IFERROR(__xludf.DUMMYFUNCTION("IF(OR(F679="""",F679=""Seleccionar..""),"""",TRANSPOSE(FILTER(Productos!E:E,(Productos!F:F=D679)+(Productos!F:F=XLOOKUP(D679,Implementos!B:B,Implementos!C:C,""-"",0,1)))))"),"")</f>
        <v/>
      </c>
    </row>
    <row r="680" hidden="1">
      <c r="A680" s="38" t="str">
        <f t="shared" si="1"/>
        <v/>
      </c>
      <c r="B680" s="38" t="str">
        <f>IF(F680="","",SUMIF(Prearmados!E:E,F680,Prearmados!A:A))</f>
        <v/>
      </c>
      <c r="C680" s="38" t="str">
        <f>IF(F680="","",SUMIF(Productos!E:E,G680,Productos!A:A))</f>
        <v/>
      </c>
      <c r="D680" s="85" t="str">
        <f t="array" ref="D680">IF(OR(F680="",F680="Seleccionar.."),"",XLOOKUP(F680,Prearmados!E:E,Prearmados!F:F,"",0,1))</f>
        <v/>
      </c>
      <c r="E680" s="83" t="str">
        <f>IF(H680="","",SUMIF(Precio_Productos!K:K,C680,Precio_Productos!J:J)*H680)</f>
        <v/>
      </c>
      <c r="F680" s="86" t="str">
        <f t="shared" si="2"/>
        <v/>
      </c>
      <c r="G680" s="86" t="str">
        <f t="shared" si="3"/>
        <v/>
      </c>
      <c r="H680" s="15"/>
      <c r="P680" s="3" t="str">
        <f>IFERROR(__xludf.DUMMYFUNCTION("IF(OR(F680="""",F680=""Seleccionar..""),"""",TRANSPOSE(FILTER(Productos!E:E,(Productos!F:F=D680)+(Productos!F:F=XLOOKUP(D680,Implementos!B:B,Implementos!C:C,""-"",0,1)))))"),"")</f>
        <v/>
      </c>
    </row>
    <row r="681" hidden="1">
      <c r="A681" s="38" t="str">
        <f t="shared" si="1"/>
        <v/>
      </c>
      <c r="B681" s="38" t="str">
        <f>IF(F681="","",SUMIF(Prearmados!E:E,F681,Prearmados!A:A))</f>
        <v/>
      </c>
      <c r="C681" s="38" t="str">
        <f>IF(F681="","",SUMIF(Productos!E:E,G681,Productos!A:A))</f>
        <v/>
      </c>
      <c r="D681" s="85" t="str">
        <f t="array" ref="D681">IF(OR(F681="",F681="Seleccionar.."),"",XLOOKUP(F681,Prearmados!E:E,Prearmados!F:F,"",0,1))</f>
        <v/>
      </c>
      <c r="E681" s="83" t="str">
        <f>IF(H681="","",SUMIF(Precio_Productos!K:K,C681,Precio_Productos!J:J)*H681)</f>
        <v/>
      </c>
      <c r="F681" s="86" t="str">
        <f t="shared" si="2"/>
        <v/>
      </c>
      <c r="G681" s="86" t="str">
        <f t="shared" si="3"/>
        <v/>
      </c>
      <c r="H681" s="15"/>
      <c r="P681" s="3" t="str">
        <f>IFERROR(__xludf.DUMMYFUNCTION("IF(OR(F681="""",F681=""Seleccionar..""),"""",TRANSPOSE(FILTER(Productos!E:E,(Productos!F:F=D681)+(Productos!F:F=XLOOKUP(D681,Implementos!B:B,Implementos!C:C,""-"",0,1)))))"),"")</f>
        <v/>
      </c>
    </row>
    <row r="682" hidden="1">
      <c r="A682" s="38" t="str">
        <f t="shared" si="1"/>
        <v/>
      </c>
      <c r="B682" s="38" t="str">
        <f>IF(F682="","",SUMIF(Prearmados!E:E,F682,Prearmados!A:A))</f>
        <v/>
      </c>
      <c r="C682" s="38" t="str">
        <f>IF(F682="","",SUMIF(Productos!E:E,G682,Productos!A:A))</f>
        <v/>
      </c>
      <c r="D682" s="85" t="str">
        <f t="array" ref="D682">IF(OR(F682="",F682="Seleccionar.."),"",XLOOKUP(F682,Prearmados!E:E,Prearmados!F:F,"",0,1))</f>
        <v/>
      </c>
      <c r="E682" s="83" t="str">
        <f>IF(H682="","",SUMIF(Precio_Productos!K:K,C682,Precio_Productos!J:J)*H682)</f>
        <v/>
      </c>
      <c r="F682" s="86" t="str">
        <f t="shared" si="2"/>
        <v/>
      </c>
      <c r="G682" s="86" t="str">
        <f t="shared" si="3"/>
        <v/>
      </c>
      <c r="H682" s="15"/>
      <c r="P682" s="3" t="str">
        <f>IFERROR(__xludf.DUMMYFUNCTION("IF(OR(F682="""",F682=""Seleccionar..""),"""",TRANSPOSE(FILTER(Productos!E:E,(Productos!F:F=D682)+(Productos!F:F=XLOOKUP(D682,Implementos!B:B,Implementos!C:C,""-"",0,1)))))"),"")</f>
        <v/>
      </c>
    </row>
    <row r="683" hidden="1">
      <c r="A683" s="38" t="str">
        <f t="shared" si="1"/>
        <v/>
      </c>
      <c r="B683" s="38" t="str">
        <f>IF(F683="","",SUMIF(Prearmados!E:E,F683,Prearmados!A:A))</f>
        <v/>
      </c>
      <c r="C683" s="38" t="str">
        <f>IF(F683="","",SUMIF(Productos!E:E,G683,Productos!A:A))</f>
        <v/>
      </c>
      <c r="D683" s="85" t="str">
        <f t="array" ref="D683">IF(OR(F683="",F683="Seleccionar.."),"",XLOOKUP(F683,Prearmados!E:E,Prearmados!F:F,"",0,1))</f>
        <v/>
      </c>
      <c r="E683" s="83" t="str">
        <f>IF(H683="","",SUMIF(Precio_Productos!K:K,C683,Precio_Productos!J:J)*H683)</f>
        <v/>
      </c>
      <c r="F683" s="86" t="str">
        <f t="shared" si="2"/>
        <v/>
      </c>
      <c r="G683" s="86" t="str">
        <f t="shared" si="3"/>
        <v/>
      </c>
      <c r="H683" s="15"/>
      <c r="P683" s="3" t="str">
        <f>IFERROR(__xludf.DUMMYFUNCTION("IF(OR(F683="""",F683=""Seleccionar..""),"""",TRANSPOSE(FILTER(Productos!E:E,(Productos!F:F=D683)+(Productos!F:F=XLOOKUP(D683,Implementos!B:B,Implementos!C:C,""-"",0,1)))))"),"")</f>
        <v/>
      </c>
    </row>
    <row r="684" hidden="1">
      <c r="A684" s="38" t="str">
        <f t="shared" si="1"/>
        <v/>
      </c>
      <c r="B684" s="38" t="str">
        <f>IF(F684="","",SUMIF(Prearmados!E:E,F684,Prearmados!A:A))</f>
        <v/>
      </c>
      <c r="C684" s="38" t="str">
        <f>IF(F684="","",SUMIF(Productos!E:E,G684,Productos!A:A))</f>
        <v/>
      </c>
      <c r="D684" s="85" t="str">
        <f t="array" ref="D684">IF(OR(F684="",F684="Seleccionar.."),"",XLOOKUP(F684,Prearmados!E:E,Prearmados!F:F,"",0,1))</f>
        <v/>
      </c>
      <c r="E684" s="83" t="str">
        <f>IF(H684="","",SUMIF(Precio_Productos!K:K,C684,Precio_Productos!J:J)*H684)</f>
        <v/>
      </c>
      <c r="F684" s="86" t="str">
        <f t="shared" si="2"/>
        <v/>
      </c>
      <c r="G684" s="86" t="str">
        <f t="shared" si="3"/>
        <v/>
      </c>
      <c r="H684" s="15"/>
      <c r="P684" s="3" t="str">
        <f>IFERROR(__xludf.DUMMYFUNCTION("IF(OR(F684="""",F684=""Seleccionar..""),"""",TRANSPOSE(FILTER(Productos!E:E,(Productos!F:F=D684)+(Productos!F:F=XLOOKUP(D684,Implementos!B:B,Implementos!C:C,""-"",0,1)))))"),"")</f>
        <v/>
      </c>
    </row>
    <row r="685" hidden="1">
      <c r="A685" s="38" t="str">
        <f t="shared" si="1"/>
        <v/>
      </c>
      <c r="B685" s="38" t="str">
        <f>IF(F685="","",SUMIF(Prearmados!E:E,F685,Prearmados!A:A))</f>
        <v/>
      </c>
      <c r="C685" s="38" t="str">
        <f>IF(F685="","",SUMIF(Productos!E:E,G685,Productos!A:A))</f>
        <v/>
      </c>
      <c r="D685" s="85" t="str">
        <f t="array" ref="D685">IF(OR(F685="",F685="Seleccionar.."),"",XLOOKUP(F685,Prearmados!E:E,Prearmados!F:F,"",0,1))</f>
        <v/>
      </c>
      <c r="E685" s="83" t="str">
        <f>IF(H685="","",SUMIF(Precio_Productos!K:K,C685,Precio_Productos!J:J)*H685)</f>
        <v/>
      </c>
      <c r="F685" s="86" t="str">
        <f t="shared" si="2"/>
        <v/>
      </c>
      <c r="G685" s="86" t="str">
        <f t="shared" si="3"/>
        <v/>
      </c>
      <c r="H685" s="15"/>
      <c r="P685" s="3" t="str">
        <f>IFERROR(__xludf.DUMMYFUNCTION("IF(OR(F685="""",F685=""Seleccionar..""),"""",TRANSPOSE(FILTER(Productos!E:E,(Productos!F:F=D685)+(Productos!F:F=XLOOKUP(D685,Implementos!B:B,Implementos!C:C,""-"",0,1)))))"),"")</f>
        <v/>
      </c>
    </row>
    <row r="686" hidden="1">
      <c r="A686" s="38" t="str">
        <f t="shared" si="1"/>
        <v/>
      </c>
      <c r="B686" s="38" t="str">
        <f>IF(F686="","",SUMIF(Prearmados!E:E,F686,Prearmados!A:A))</f>
        <v/>
      </c>
      <c r="C686" s="38" t="str">
        <f>IF(F686="","",SUMIF(Productos!E:E,G686,Productos!A:A))</f>
        <v/>
      </c>
      <c r="D686" s="85" t="str">
        <f t="array" ref="D686">IF(OR(F686="",F686="Seleccionar.."),"",XLOOKUP(F686,Prearmados!E:E,Prearmados!F:F,"",0,1))</f>
        <v/>
      </c>
      <c r="E686" s="83" t="str">
        <f>IF(H686="","",SUMIF(Precio_Productos!K:K,C686,Precio_Productos!J:J)*H686)</f>
        <v/>
      </c>
      <c r="F686" s="86" t="str">
        <f t="shared" si="2"/>
        <v/>
      </c>
      <c r="G686" s="86" t="str">
        <f t="shared" si="3"/>
        <v/>
      </c>
      <c r="H686" s="15"/>
      <c r="P686" s="3" t="str">
        <f>IFERROR(__xludf.DUMMYFUNCTION("IF(OR(F686="""",F686=""Seleccionar..""),"""",TRANSPOSE(FILTER(Productos!E:E,(Productos!F:F=D686)+(Productos!F:F=XLOOKUP(D686,Implementos!B:B,Implementos!C:C,""-"",0,1)))))"),"")</f>
        <v/>
      </c>
    </row>
    <row r="687" hidden="1">
      <c r="A687" s="38" t="str">
        <f t="shared" si="1"/>
        <v/>
      </c>
      <c r="B687" s="38" t="str">
        <f>IF(F687="","",SUMIF(Prearmados!E:E,F687,Prearmados!A:A))</f>
        <v/>
      </c>
      <c r="C687" s="38" t="str">
        <f>IF(F687="","",SUMIF(Productos!E:E,G687,Productos!A:A))</f>
        <v/>
      </c>
      <c r="D687" s="85" t="str">
        <f t="array" ref="D687">IF(OR(F687="",F687="Seleccionar.."),"",XLOOKUP(F687,Prearmados!E:E,Prearmados!F:F,"",0,1))</f>
        <v/>
      </c>
      <c r="E687" s="83" t="str">
        <f>IF(H687="","",SUMIF(Precio_Productos!K:K,C687,Precio_Productos!J:J)*H687)</f>
        <v/>
      </c>
      <c r="F687" s="86" t="str">
        <f t="shared" si="2"/>
        <v/>
      </c>
      <c r="G687" s="86" t="str">
        <f t="shared" si="3"/>
        <v/>
      </c>
      <c r="H687" s="15"/>
      <c r="P687" s="3" t="str">
        <f>IFERROR(__xludf.DUMMYFUNCTION("IF(OR(F687="""",F687=""Seleccionar..""),"""",TRANSPOSE(FILTER(Productos!E:E,(Productos!F:F=D687)+(Productos!F:F=XLOOKUP(D687,Implementos!B:B,Implementos!C:C,""-"",0,1)))))"),"")</f>
        <v/>
      </c>
    </row>
    <row r="688" hidden="1">
      <c r="A688" s="38" t="str">
        <f t="shared" si="1"/>
        <v/>
      </c>
      <c r="B688" s="38" t="str">
        <f>IF(F688="","",SUMIF(Prearmados!E:E,F688,Prearmados!A:A))</f>
        <v/>
      </c>
      <c r="C688" s="38" t="str">
        <f>IF(F688="","",SUMIF(Productos!E:E,G688,Productos!A:A))</f>
        <v/>
      </c>
      <c r="D688" s="85" t="str">
        <f t="array" ref="D688">IF(OR(F688="",F688="Seleccionar.."),"",XLOOKUP(F688,Prearmados!E:E,Prearmados!F:F,"",0,1))</f>
        <v/>
      </c>
      <c r="E688" s="83" t="str">
        <f>IF(H688="","",SUMIF(Precio_Productos!K:K,C688,Precio_Productos!J:J)*H688)</f>
        <v/>
      </c>
      <c r="F688" s="86" t="str">
        <f t="shared" si="2"/>
        <v/>
      </c>
      <c r="G688" s="86" t="str">
        <f t="shared" si="3"/>
        <v/>
      </c>
      <c r="H688" s="15"/>
      <c r="P688" s="3" t="str">
        <f>IFERROR(__xludf.DUMMYFUNCTION("IF(OR(F688="""",F688=""Seleccionar..""),"""",TRANSPOSE(FILTER(Productos!E:E,(Productos!F:F=D688)+(Productos!F:F=XLOOKUP(D688,Implementos!B:B,Implementos!C:C,""-"",0,1)))))"),"")</f>
        <v/>
      </c>
    </row>
    <row r="689" hidden="1">
      <c r="A689" s="38" t="str">
        <f t="shared" si="1"/>
        <v/>
      </c>
      <c r="B689" s="38" t="str">
        <f>IF(F689="","",SUMIF(Prearmados!E:E,F689,Prearmados!A:A))</f>
        <v/>
      </c>
      <c r="C689" s="38" t="str">
        <f>IF(F689="","",SUMIF(Productos!E:E,G689,Productos!A:A))</f>
        <v/>
      </c>
      <c r="D689" s="85" t="str">
        <f t="array" ref="D689">IF(OR(F689="",F689="Seleccionar.."),"",XLOOKUP(F689,Prearmados!E:E,Prearmados!F:F,"",0,1))</f>
        <v/>
      </c>
      <c r="E689" s="83" t="str">
        <f>IF(H689="","",SUMIF(Precio_Productos!K:K,C689,Precio_Productos!J:J)*H689)</f>
        <v/>
      </c>
      <c r="F689" s="86" t="str">
        <f t="shared" si="2"/>
        <v/>
      </c>
      <c r="G689" s="86" t="str">
        <f t="shared" si="3"/>
        <v/>
      </c>
      <c r="H689" s="15"/>
      <c r="P689" s="3" t="str">
        <f>IFERROR(__xludf.DUMMYFUNCTION("IF(OR(F689="""",F689=""Seleccionar..""),"""",TRANSPOSE(FILTER(Productos!E:E,(Productos!F:F=D689)+(Productos!F:F=XLOOKUP(D689,Implementos!B:B,Implementos!C:C,""-"",0,1)))))"),"")</f>
        <v/>
      </c>
    </row>
    <row r="690" hidden="1">
      <c r="A690" s="38" t="str">
        <f t="shared" si="1"/>
        <v/>
      </c>
      <c r="B690" s="38" t="str">
        <f>IF(F690="","",SUMIF(Prearmados!E:E,F690,Prearmados!A:A))</f>
        <v/>
      </c>
      <c r="C690" s="38" t="str">
        <f>IF(F690="","",SUMIF(Productos!E:E,G690,Productos!A:A))</f>
        <v/>
      </c>
      <c r="D690" s="85" t="str">
        <f t="array" ref="D690">IF(OR(F690="",F690="Seleccionar.."),"",XLOOKUP(F690,Prearmados!E:E,Prearmados!F:F,"",0,1))</f>
        <v/>
      </c>
      <c r="E690" s="83" t="str">
        <f>IF(H690="","",SUMIF(Precio_Productos!K:K,C690,Precio_Productos!J:J)*H690)</f>
        <v/>
      </c>
      <c r="F690" s="86" t="str">
        <f t="shared" si="2"/>
        <v/>
      </c>
      <c r="G690" s="86" t="str">
        <f t="shared" si="3"/>
        <v/>
      </c>
      <c r="H690" s="15"/>
      <c r="P690" s="3" t="str">
        <f>IFERROR(__xludf.DUMMYFUNCTION("IF(OR(F690="""",F690=""Seleccionar..""),"""",TRANSPOSE(FILTER(Productos!E:E,(Productos!F:F=D690)+(Productos!F:F=XLOOKUP(D690,Implementos!B:B,Implementos!C:C,""-"",0,1)))))"),"")</f>
        <v/>
      </c>
    </row>
    <row r="691" hidden="1">
      <c r="A691" s="38" t="str">
        <f t="shared" si="1"/>
        <v/>
      </c>
      <c r="B691" s="38" t="str">
        <f>IF(F691="","",SUMIF(Prearmados!E:E,F691,Prearmados!A:A))</f>
        <v/>
      </c>
      <c r="C691" s="38" t="str">
        <f>IF(F691="","",SUMIF(Productos!E:E,G691,Productos!A:A))</f>
        <v/>
      </c>
      <c r="D691" s="85" t="str">
        <f t="array" ref="D691">IF(OR(F691="",F691="Seleccionar.."),"",XLOOKUP(F691,Prearmados!E:E,Prearmados!F:F,"",0,1))</f>
        <v/>
      </c>
      <c r="E691" s="83" t="str">
        <f>IF(H691="","",SUMIF(Precio_Productos!K:K,C691,Precio_Productos!J:J)*H691)</f>
        <v/>
      </c>
      <c r="F691" s="86" t="str">
        <f t="shared" si="2"/>
        <v/>
      </c>
      <c r="G691" s="86" t="str">
        <f t="shared" si="3"/>
        <v/>
      </c>
      <c r="H691" s="15"/>
      <c r="P691" s="3" t="str">
        <f>IFERROR(__xludf.DUMMYFUNCTION("IF(OR(F691="""",F691=""Seleccionar..""),"""",TRANSPOSE(FILTER(Productos!E:E,(Productos!F:F=D691)+(Productos!F:F=XLOOKUP(D691,Implementos!B:B,Implementos!C:C,""-"",0,1)))))"),"")</f>
        <v/>
      </c>
    </row>
    <row r="692" hidden="1">
      <c r="A692" s="38" t="str">
        <f t="shared" si="1"/>
        <v/>
      </c>
      <c r="B692" s="38" t="str">
        <f>IF(F692="","",SUMIF(Prearmados!E:E,F692,Prearmados!A:A))</f>
        <v/>
      </c>
      <c r="C692" s="38" t="str">
        <f>IF(F692="","",SUMIF(Productos!E:E,G692,Productos!A:A))</f>
        <v/>
      </c>
      <c r="D692" s="85" t="str">
        <f t="array" ref="D692">IF(OR(F692="",F692="Seleccionar.."),"",XLOOKUP(F692,Prearmados!E:E,Prearmados!F:F,"",0,1))</f>
        <v/>
      </c>
      <c r="E692" s="83" t="str">
        <f>IF(H692="","",SUMIF(Precio_Productos!K:K,C692,Precio_Productos!J:J)*H692)</f>
        <v/>
      </c>
      <c r="F692" s="86" t="str">
        <f t="shared" si="2"/>
        <v/>
      </c>
      <c r="G692" s="86" t="str">
        <f t="shared" si="3"/>
        <v/>
      </c>
      <c r="H692" s="15"/>
      <c r="P692" s="3" t="str">
        <f>IFERROR(__xludf.DUMMYFUNCTION("IF(OR(F692="""",F692=""Seleccionar..""),"""",TRANSPOSE(FILTER(Productos!E:E,(Productos!F:F=D692)+(Productos!F:F=XLOOKUP(D692,Implementos!B:B,Implementos!C:C,""-"",0,1)))))"),"")</f>
        <v/>
      </c>
    </row>
    <row r="693" hidden="1">
      <c r="A693" s="38" t="str">
        <f t="shared" si="1"/>
        <v/>
      </c>
      <c r="B693" s="38" t="str">
        <f>IF(F693="","",SUMIF(Prearmados!E:E,F693,Prearmados!A:A))</f>
        <v/>
      </c>
      <c r="C693" s="38" t="str">
        <f>IF(F693="","",SUMIF(Productos!E:E,G693,Productos!A:A))</f>
        <v/>
      </c>
      <c r="D693" s="85" t="str">
        <f t="array" ref="D693">IF(OR(F693="",F693="Seleccionar.."),"",XLOOKUP(F693,Prearmados!E:E,Prearmados!F:F,"",0,1))</f>
        <v/>
      </c>
      <c r="E693" s="83" t="str">
        <f>IF(H693="","",SUMIF(Precio_Productos!K:K,C693,Precio_Productos!J:J)*H693)</f>
        <v/>
      </c>
      <c r="F693" s="86" t="str">
        <f t="shared" si="2"/>
        <v/>
      </c>
      <c r="G693" s="86" t="str">
        <f t="shared" si="3"/>
        <v/>
      </c>
      <c r="H693" s="15"/>
      <c r="P693" s="3" t="str">
        <f>IFERROR(__xludf.DUMMYFUNCTION("IF(OR(F693="""",F693=""Seleccionar..""),"""",TRANSPOSE(FILTER(Productos!E:E,(Productos!F:F=D693)+(Productos!F:F=XLOOKUP(D693,Implementos!B:B,Implementos!C:C,""-"",0,1)))))"),"")</f>
        <v/>
      </c>
    </row>
    <row r="694" hidden="1">
      <c r="A694" s="38" t="str">
        <f t="shared" si="1"/>
        <v/>
      </c>
      <c r="B694" s="38" t="str">
        <f>IF(F694="","",SUMIF(Prearmados!E:E,F694,Prearmados!A:A))</f>
        <v/>
      </c>
      <c r="C694" s="38" t="str">
        <f>IF(F694="","",SUMIF(Productos!E:E,G694,Productos!A:A))</f>
        <v/>
      </c>
      <c r="D694" s="85" t="str">
        <f t="array" ref="D694">IF(OR(F694="",F694="Seleccionar.."),"",XLOOKUP(F694,Prearmados!E:E,Prearmados!F:F,"",0,1))</f>
        <v/>
      </c>
      <c r="E694" s="83" t="str">
        <f>IF(H694="","",SUMIF(Precio_Productos!K:K,C694,Precio_Productos!J:J)*H694)</f>
        <v/>
      </c>
      <c r="F694" s="86" t="str">
        <f t="shared" si="2"/>
        <v/>
      </c>
      <c r="G694" s="86" t="str">
        <f t="shared" si="3"/>
        <v/>
      </c>
      <c r="H694" s="15"/>
      <c r="P694" s="3" t="str">
        <f>IFERROR(__xludf.DUMMYFUNCTION("IF(OR(F694="""",F694=""Seleccionar..""),"""",TRANSPOSE(FILTER(Productos!E:E,(Productos!F:F=D694)+(Productos!F:F=XLOOKUP(D694,Implementos!B:B,Implementos!C:C,""-"",0,1)))))"),"")</f>
        <v/>
      </c>
    </row>
    <row r="695" hidden="1">
      <c r="A695" s="38" t="str">
        <f t="shared" si="1"/>
        <v/>
      </c>
      <c r="B695" s="38" t="str">
        <f>IF(F695="","",SUMIF(Prearmados!E:E,F695,Prearmados!A:A))</f>
        <v/>
      </c>
      <c r="C695" s="38" t="str">
        <f>IF(F695="","",SUMIF(Productos!E:E,G695,Productos!A:A))</f>
        <v/>
      </c>
      <c r="D695" s="85" t="str">
        <f t="array" ref="D695">IF(OR(F695="",F695="Seleccionar.."),"",XLOOKUP(F695,Prearmados!E:E,Prearmados!F:F,"",0,1))</f>
        <v/>
      </c>
      <c r="E695" s="83" t="str">
        <f>IF(H695="","",SUMIF(Precio_Productos!K:K,C695,Precio_Productos!J:J)*H695)</f>
        <v/>
      </c>
      <c r="F695" s="86" t="str">
        <f t="shared" si="2"/>
        <v/>
      </c>
      <c r="G695" s="86" t="str">
        <f t="shared" si="3"/>
        <v/>
      </c>
      <c r="H695" s="15"/>
      <c r="P695" s="3" t="str">
        <f>IFERROR(__xludf.DUMMYFUNCTION("IF(OR(F695="""",F695=""Seleccionar..""),"""",TRANSPOSE(FILTER(Productos!E:E,(Productos!F:F=D695)+(Productos!F:F=XLOOKUP(D695,Implementos!B:B,Implementos!C:C,""-"",0,1)))))"),"")</f>
        <v/>
      </c>
    </row>
    <row r="696" hidden="1">
      <c r="A696" s="38" t="str">
        <f t="shared" si="1"/>
        <v/>
      </c>
      <c r="B696" s="38" t="str">
        <f>IF(F696="","",SUMIF(Prearmados!E:E,F696,Prearmados!A:A))</f>
        <v/>
      </c>
      <c r="C696" s="38" t="str">
        <f>IF(F696="","",SUMIF(Productos!E:E,G696,Productos!A:A))</f>
        <v/>
      </c>
      <c r="D696" s="85" t="str">
        <f t="array" ref="D696">IF(OR(F696="",F696="Seleccionar.."),"",XLOOKUP(F696,Prearmados!E:E,Prearmados!F:F,"",0,1))</f>
        <v/>
      </c>
      <c r="E696" s="83" t="str">
        <f>IF(H696="","",SUMIF(Precio_Productos!K:K,C696,Precio_Productos!J:J)*H696)</f>
        <v/>
      </c>
      <c r="F696" s="86" t="str">
        <f t="shared" si="2"/>
        <v/>
      </c>
      <c r="G696" s="86" t="str">
        <f t="shared" si="3"/>
        <v/>
      </c>
      <c r="H696" s="15"/>
      <c r="P696" s="3" t="str">
        <f>IFERROR(__xludf.DUMMYFUNCTION("IF(OR(F696="""",F696=""Seleccionar..""),"""",TRANSPOSE(FILTER(Productos!E:E,(Productos!F:F=D696)+(Productos!F:F=XLOOKUP(D696,Implementos!B:B,Implementos!C:C,""-"",0,1)))))"),"")</f>
        <v/>
      </c>
    </row>
    <row r="697" hidden="1">
      <c r="A697" s="38" t="str">
        <f t="shared" si="1"/>
        <v/>
      </c>
      <c r="B697" s="38" t="str">
        <f>IF(F697="","",SUMIF(Prearmados!E:E,F697,Prearmados!A:A))</f>
        <v/>
      </c>
      <c r="C697" s="38" t="str">
        <f>IF(F697="","",SUMIF(Productos!E:E,G697,Productos!A:A))</f>
        <v/>
      </c>
      <c r="D697" s="85" t="str">
        <f t="array" ref="D697">IF(OR(F697="",F697="Seleccionar.."),"",XLOOKUP(F697,Prearmados!E:E,Prearmados!F:F,"",0,1))</f>
        <v/>
      </c>
      <c r="E697" s="83" t="str">
        <f>IF(H697="","",SUMIF(Precio_Productos!K:K,C697,Precio_Productos!J:J)*H697)</f>
        <v/>
      </c>
      <c r="F697" s="86" t="str">
        <f t="shared" si="2"/>
        <v/>
      </c>
      <c r="G697" s="86" t="str">
        <f t="shared" si="3"/>
        <v/>
      </c>
      <c r="H697" s="15"/>
      <c r="P697" s="3" t="str">
        <f>IFERROR(__xludf.DUMMYFUNCTION("IF(OR(F697="""",F697=""Seleccionar..""),"""",TRANSPOSE(FILTER(Productos!E:E,(Productos!F:F=D697)+(Productos!F:F=XLOOKUP(D697,Implementos!B:B,Implementos!C:C,""-"",0,1)))))"),"")</f>
        <v/>
      </c>
    </row>
    <row r="698" hidden="1">
      <c r="A698" s="38" t="str">
        <f t="shared" si="1"/>
        <v/>
      </c>
      <c r="B698" s="38" t="str">
        <f>IF(F698="","",SUMIF(Prearmados!E:E,F698,Prearmados!A:A))</f>
        <v/>
      </c>
      <c r="C698" s="38" t="str">
        <f>IF(F698="","",SUMIF(Productos!E:E,G698,Productos!A:A))</f>
        <v/>
      </c>
      <c r="D698" s="85" t="str">
        <f t="array" ref="D698">IF(OR(F698="",F698="Seleccionar.."),"",XLOOKUP(F698,Prearmados!E:E,Prearmados!F:F,"",0,1))</f>
        <v/>
      </c>
      <c r="E698" s="83" t="str">
        <f>IF(H698="","",SUMIF(Precio_Productos!K:K,C698,Precio_Productos!J:J)*H698)</f>
        <v/>
      </c>
      <c r="F698" s="86" t="str">
        <f t="shared" si="2"/>
        <v/>
      </c>
      <c r="G698" s="86" t="str">
        <f t="shared" si="3"/>
        <v/>
      </c>
      <c r="H698" s="15"/>
      <c r="P698" s="3" t="str">
        <f>IFERROR(__xludf.DUMMYFUNCTION("IF(OR(F698="""",F698=""Seleccionar..""),"""",TRANSPOSE(FILTER(Productos!E:E,(Productos!F:F=D698)+(Productos!F:F=XLOOKUP(D698,Implementos!B:B,Implementos!C:C,""-"",0,1)))))"),"")</f>
        <v/>
      </c>
    </row>
    <row r="699" hidden="1">
      <c r="A699" s="38" t="str">
        <f t="shared" si="1"/>
        <v/>
      </c>
      <c r="B699" s="38" t="str">
        <f>IF(F699="","",SUMIF(Prearmados!E:E,F699,Prearmados!A:A))</f>
        <v/>
      </c>
      <c r="C699" s="38" t="str">
        <f>IF(F699="","",SUMIF(Productos!E:E,G699,Productos!A:A))</f>
        <v/>
      </c>
      <c r="D699" s="85" t="str">
        <f t="array" ref="D699">IF(OR(F699="",F699="Seleccionar.."),"",XLOOKUP(F699,Prearmados!E:E,Prearmados!F:F,"",0,1))</f>
        <v/>
      </c>
      <c r="E699" s="83" t="str">
        <f>IF(H699="","",SUMIF(Precio_Productos!K:K,C699,Precio_Productos!J:J)*H699)</f>
        <v/>
      </c>
      <c r="F699" s="86" t="str">
        <f t="shared" si="2"/>
        <v/>
      </c>
      <c r="G699" s="86" t="str">
        <f t="shared" si="3"/>
        <v/>
      </c>
      <c r="H699" s="15"/>
      <c r="P699" s="3" t="str">
        <f>IFERROR(__xludf.DUMMYFUNCTION("IF(OR(F699="""",F699=""Seleccionar..""),"""",TRANSPOSE(FILTER(Productos!E:E,(Productos!F:F=D699)+(Productos!F:F=XLOOKUP(D699,Implementos!B:B,Implementos!C:C,""-"",0,1)))))"),"")</f>
        <v/>
      </c>
    </row>
    <row r="700" hidden="1">
      <c r="A700" s="38" t="str">
        <f t="shared" si="1"/>
        <v/>
      </c>
      <c r="B700" s="38" t="str">
        <f>IF(F700="","",SUMIF(Prearmados!E:E,F700,Prearmados!A:A))</f>
        <v/>
      </c>
      <c r="C700" s="38" t="str">
        <f>IF(F700="","",SUMIF(Productos!E:E,G700,Productos!A:A))</f>
        <v/>
      </c>
      <c r="D700" s="85" t="str">
        <f t="array" ref="D700">IF(OR(F700="",F700="Seleccionar.."),"",XLOOKUP(F700,Prearmados!E:E,Prearmados!F:F,"",0,1))</f>
        <v/>
      </c>
      <c r="E700" s="83" t="str">
        <f>IF(H700="","",SUMIF(Precio_Productos!K:K,C700,Precio_Productos!J:J)*H700)</f>
        <v/>
      </c>
      <c r="F700" s="86" t="str">
        <f t="shared" si="2"/>
        <v/>
      </c>
      <c r="G700" s="86" t="str">
        <f t="shared" si="3"/>
        <v/>
      </c>
      <c r="H700" s="15"/>
      <c r="P700" s="3" t="str">
        <f>IFERROR(__xludf.DUMMYFUNCTION("IF(OR(F700="""",F700=""Seleccionar..""),"""",TRANSPOSE(FILTER(Productos!E:E,(Productos!F:F=D700)+(Productos!F:F=XLOOKUP(D700,Implementos!B:B,Implementos!C:C,""-"",0,1)))))"),"")</f>
        <v/>
      </c>
    </row>
    <row r="701" hidden="1">
      <c r="A701" s="38" t="str">
        <f t="shared" si="1"/>
        <v/>
      </c>
      <c r="B701" s="38" t="str">
        <f>IF(F701="","",SUMIF(Prearmados!E:E,F701,Prearmados!A:A))</f>
        <v/>
      </c>
      <c r="C701" s="38" t="str">
        <f>IF(F701="","",SUMIF(Productos!E:E,G701,Productos!A:A))</f>
        <v/>
      </c>
      <c r="D701" s="85" t="str">
        <f t="array" ref="D701">IF(OR(F701="",F701="Seleccionar.."),"",XLOOKUP(F701,Prearmados!E:E,Prearmados!F:F,"",0,1))</f>
        <v/>
      </c>
      <c r="E701" s="83" t="str">
        <f>IF(H701="","",SUMIF(Precio_Productos!K:K,C701,Precio_Productos!J:J)*H701)</f>
        <v/>
      </c>
      <c r="F701" s="86" t="str">
        <f t="shared" si="2"/>
        <v/>
      </c>
      <c r="G701" s="86" t="str">
        <f t="shared" si="3"/>
        <v/>
      </c>
      <c r="H701" s="15"/>
      <c r="P701" s="3" t="str">
        <f>IFERROR(__xludf.DUMMYFUNCTION("IF(OR(F701="""",F701=""Seleccionar..""),"""",TRANSPOSE(FILTER(Productos!E:E,(Productos!F:F=D701)+(Productos!F:F=XLOOKUP(D701,Implementos!B:B,Implementos!C:C,""-"",0,1)))))"),"")</f>
        <v/>
      </c>
    </row>
    <row r="702" hidden="1">
      <c r="A702" s="38" t="str">
        <f t="shared" si="1"/>
        <v/>
      </c>
      <c r="B702" s="38" t="str">
        <f>IF(F702="","",SUMIF(Prearmados!E:E,F702,Prearmados!A:A))</f>
        <v/>
      </c>
      <c r="C702" s="38" t="str">
        <f>IF(F702="","",SUMIF(Productos!E:E,G702,Productos!A:A))</f>
        <v/>
      </c>
      <c r="D702" s="85" t="str">
        <f t="array" ref="D702">IF(OR(F702="",F702="Seleccionar.."),"",XLOOKUP(F702,Prearmados!E:E,Prearmados!F:F,"",0,1))</f>
        <v/>
      </c>
      <c r="E702" s="83" t="str">
        <f>IF(H702="","",SUMIF(Precio_Productos!K:K,C702,Precio_Productos!J:J)*H702)</f>
        <v/>
      </c>
      <c r="F702" s="86" t="str">
        <f t="shared" si="2"/>
        <v/>
      </c>
      <c r="G702" s="86" t="str">
        <f t="shared" si="3"/>
        <v/>
      </c>
      <c r="H702" s="15"/>
      <c r="P702" s="3" t="str">
        <f>IFERROR(__xludf.DUMMYFUNCTION("IF(OR(F702="""",F702=""Seleccionar..""),"""",TRANSPOSE(FILTER(Productos!E:E,(Productos!F:F=D702)+(Productos!F:F=XLOOKUP(D702,Implementos!B:B,Implementos!C:C,""-"",0,1)))))"),"")</f>
        <v/>
      </c>
    </row>
    <row r="703" hidden="1">
      <c r="A703" s="38" t="str">
        <f t="shared" si="1"/>
        <v/>
      </c>
      <c r="B703" s="38" t="str">
        <f>IF(F703="","",SUMIF(Prearmados!E:E,F703,Prearmados!A:A))</f>
        <v/>
      </c>
      <c r="C703" s="38" t="str">
        <f>IF(F703="","",SUMIF(Productos!E:E,G703,Productos!A:A))</f>
        <v/>
      </c>
      <c r="D703" s="85" t="str">
        <f t="array" ref="D703">IF(OR(F703="",F703="Seleccionar.."),"",XLOOKUP(F703,Prearmados!E:E,Prearmados!F:F,"",0,1))</f>
        <v/>
      </c>
      <c r="E703" s="83" t="str">
        <f>IF(H703="","",SUMIF(Precio_Productos!K:K,C703,Precio_Productos!J:J)*H703)</f>
        <v/>
      </c>
      <c r="F703" s="86" t="str">
        <f t="shared" si="2"/>
        <v/>
      </c>
      <c r="G703" s="86" t="str">
        <f t="shared" si="3"/>
        <v/>
      </c>
      <c r="H703" s="15"/>
      <c r="P703" s="3" t="str">
        <f>IFERROR(__xludf.DUMMYFUNCTION("IF(OR(F703="""",F703=""Seleccionar..""),"""",TRANSPOSE(FILTER(Productos!E:E,(Productos!F:F=D703)+(Productos!F:F=XLOOKUP(D703,Implementos!B:B,Implementos!C:C,""-"",0,1)))))"),"")</f>
        <v/>
      </c>
    </row>
    <row r="704" hidden="1">
      <c r="A704" s="38" t="str">
        <f t="shared" si="1"/>
        <v/>
      </c>
      <c r="B704" s="38" t="str">
        <f>IF(F704="","",SUMIF(Prearmados!E:E,F704,Prearmados!A:A))</f>
        <v/>
      </c>
      <c r="C704" s="38" t="str">
        <f>IF(F704="","",SUMIF(Productos!E:E,G704,Productos!A:A))</f>
        <v/>
      </c>
      <c r="D704" s="85" t="str">
        <f t="array" ref="D704">IF(OR(F704="",F704="Seleccionar.."),"",XLOOKUP(F704,Prearmados!E:E,Prearmados!F:F,"",0,1))</f>
        <v/>
      </c>
      <c r="E704" s="83" t="str">
        <f>IF(H704="","",SUMIF(Precio_Productos!K:K,C704,Precio_Productos!J:J)*H704)</f>
        <v/>
      </c>
      <c r="F704" s="86" t="str">
        <f t="shared" si="2"/>
        <v/>
      </c>
      <c r="G704" s="86" t="str">
        <f t="shared" si="3"/>
        <v/>
      </c>
      <c r="H704" s="15"/>
      <c r="P704" s="3" t="str">
        <f>IFERROR(__xludf.DUMMYFUNCTION("IF(OR(F704="""",F704=""Seleccionar..""),"""",TRANSPOSE(FILTER(Productos!E:E,(Productos!F:F=D704)+(Productos!F:F=XLOOKUP(D704,Implementos!B:B,Implementos!C:C,""-"",0,1)))))"),"")</f>
        <v/>
      </c>
    </row>
    <row r="705" hidden="1">
      <c r="A705" s="38" t="str">
        <f t="shared" si="1"/>
        <v/>
      </c>
      <c r="B705" s="38" t="str">
        <f>IF(F705="","",SUMIF(Prearmados!E:E,F705,Prearmados!A:A))</f>
        <v/>
      </c>
      <c r="C705" s="38" t="str">
        <f>IF(F705="","",SUMIF(Productos!E:E,G705,Productos!A:A))</f>
        <v/>
      </c>
      <c r="D705" s="85" t="str">
        <f t="array" ref="D705">IF(OR(F705="",F705="Seleccionar.."),"",XLOOKUP(F705,Prearmados!E:E,Prearmados!F:F,"",0,1))</f>
        <v/>
      </c>
      <c r="E705" s="83" t="str">
        <f>IF(H705="","",SUMIF(Precio_Productos!K:K,C705,Precio_Productos!J:J)*H705)</f>
        <v/>
      </c>
      <c r="F705" s="86" t="str">
        <f t="shared" si="2"/>
        <v/>
      </c>
      <c r="G705" s="86" t="str">
        <f t="shared" si="3"/>
        <v/>
      </c>
      <c r="H705" s="15"/>
      <c r="P705" s="3" t="str">
        <f>IFERROR(__xludf.DUMMYFUNCTION("IF(OR(F705="""",F705=""Seleccionar..""),"""",TRANSPOSE(FILTER(Productos!E:E,(Productos!F:F=D705)+(Productos!F:F=XLOOKUP(D705,Implementos!B:B,Implementos!C:C,""-"",0,1)))))"),"")</f>
        <v/>
      </c>
    </row>
    <row r="706" hidden="1">
      <c r="A706" s="38" t="str">
        <f t="shared" si="1"/>
        <v/>
      </c>
      <c r="B706" s="38" t="str">
        <f>IF(F706="","",SUMIF(Prearmados!E:E,F706,Prearmados!A:A))</f>
        <v/>
      </c>
      <c r="C706" s="38" t="str">
        <f>IF(F706="","",SUMIF(Productos!E:E,G706,Productos!A:A))</f>
        <v/>
      </c>
      <c r="D706" s="85" t="str">
        <f t="array" ref="D706">IF(OR(F706="",F706="Seleccionar.."),"",XLOOKUP(F706,Prearmados!E:E,Prearmados!F:F,"",0,1))</f>
        <v/>
      </c>
      <c r="E706" s="83" t="str">
        <f>IF(H706="","",SUMIF(Precio_Productos!K:K,C706,Precio_Productos!J:J)*H706)</f>
        <v/>
      </c>
      <c r="F706" s="86" t="str">
        <f t="shared" si="2"/>
        <v/>
      </c>
      <c r="G706" s="86" t="str">
        <f t="shared" si="3"/>
        <v/>
      </c>
      <c r="H706" s="15"/>
      <c r="P706" s="3" t="str">
        <f>IFERROR(__xludf.DUMMYFUNCTION("IF(OR(F706="""",F706=""Seleccionar..""),"""",TRANSPOSE(FILTER(Productos!E:E,(Productos!F:F=D706)+(Productos!F:F=XLOOKUP(D706,Implementos!B:B,Implementos!C:C,""-"",0,1)))))"),"")</f>
        <v/>
      </c>
    </row>
    <row r="707" hidden="1">
      <c r="A707" s="38" t="str">
        <f t="shared" si="1"/>
        <v/>
      </c>
      <c r="B707" s="38" t="str">
        <f>IF(F707="","",SUMIF(Prearmados!E:E,F707,Prearmados!A:A))</f>
        <v/>
      </c>
      <c r="C707" s="38" t="str">
        <f>IF(F707="","",SUMIF(Productos!E:E,G707,Productos!A:A))</f>
        <v/>
      </c>
      <c r="D707" s="85" t="str">
        <f t="array" ref="D707">IF(OR(F707="",F707="Seleccionar.."),"",XLOOKUP(F707,Prearmados!E:E,Prearmados!F:F,"",0,1))</f>
        <v/>
      </c>
      <c r="E707" s="83" t="str">
        <f>IF(H707="","",SUMIF(Precio_Productos!K:K,C707,Precio_Productos!J:J)*H707)</f>
        <v/>
      </c>
      <c r="F707" s="86" t="str">
        <f t="shared" si="2"/>
        <v/>
      </c>
      <c r="G707" s="86" t="str">
        <f t="shared" si="3"/>
        <v/>
      </c>
      <c r="H707" s="15"/>
      <c r="P707" s="3" t="str">
        <f>IFERROR(__xludf.DUMMYFUNCTION("IF(OR(F707="""",F707=""Seleccionar..""),"""",TRANSPOSE(FILTER(Productos!E:E,(Productos!F:F=D707)+(Productos!F:F=XLOOKUP(D707,Implementos!B:B,Implementos!C:C,""-"",0,1)))))"),"")</f>
        <v/>
      </c>
    </row>
    <row r="708" hidden="1">
      <c r="A708" s="38" t="str">
        <f t="shared" si="1"/>
        <v/>
      </c>
      <c r="B708" s="38" t="str">
        <f>IF(F708="","",SUMIF(Prearmados!E:E,F708,Prearmados!A:A))</f>
        <v/>
      </c>
      <c r="C708" s="38" t="str">
        <f>IF(F708="","",SUMIF(Productos!E:E,G708,Productos!A:A))</f>
        <v/>
      </c>
      <c r="D708" s="85" t="str">
        <f t="array" ref="D708">IF(OR(F708="",F708="Seleccionar.."),"",XLOOKUP(F708,Prearmados!E:E,Prearmados!F:F,"",0,1))</f>
        <v/>
      </c>
      <c r="E708" s="83" t="str">
        <f>IF(H708="","",SUMIF(Precio_Productos!K:K,C708,Precio_Productos!J:J)*H708)</f>
        <v/>
      </c>
      <c r="F708" s="86" t="str">
        <f t="shared" si="2"/>
        <v/>
      </c>
      <c r="G708" s="86" t="str">
        <f t="shared" si="3"/>
        <v/>
      </c>
      <c r="H708" s="15"/>
      <c r="P708" s="3" t="str">
        <f>IFERROR(__xludf.DUMMYFUNCTION("IF(OR(F708="""",F708=""Seleccionar..""),"""",TRANSPOSE(FILTER(Productos!E:E,(Productos!F:F=D708)+(Productos!F:F=XLOOKUP(D708,Implementos!B:B,Implementos!C:C,""-"",0,1)))))"),"")</f>
        <v/>
      </c>
    </row>
    <row r="709" hidden="1">
      <c r="A709" s="38" t="str">
        <f t="shared" si="1"/>
        <v/>
      </c>
      <c r="B709" s="38" t="str">
        <f>IF(F709="","",SUMIF(Prearmados!E:E,F709,Prearmados!A:A))</f>
        <v/>
      </c>
      <c r="C709" s="38" t="str">
        <f>IF(F709="","",SUMIF(Productos!E:E,G709,Productos!A:A))</f>
        <v/>
      </c>
      <c r="D709" s="85" t="str">
        <f t="array" ref="D709">IF(OR(F709="",F709="Seleccionar.."),"",XLOOKUP(F709,Prearmados!E:E,Prearmados!F:F,"",0,1))</f>
        <v/>
      </c>
      <c r="E709" s="83" t="str">
        <f>IF(H709="","",SUMIF(Precio_Productos!K:K,C709,Precio_Productos!J:J)*H709)</f>
        <v/>
      </c>
      <c r="F709" s="86" t="str">
        <f t="shared" si="2"/>
        <v/>
      </c>
      <c r="G709" s="86" t="str">
        <f t="shared" si="3"/>
        <v/>
      </c>
      <c r="H709" s="15"/>
      <c r="P709" s="3" t="str">
        <f>IFERROR(__xludf.DUMMYFUNCTION("IF(OR(F709="""",F709=""Seleccionar..""),"""",TRANSPOSE(FILTER(Productos!E:E,(Productos!F:F=D709)+(Productos!F:F=XLOOKUP(D709,Implementos!B:B,Implementos!C:C,""-"",0,1)))))"),"")</f>
        <v/>
      </c>
    </row>
    <row r="710" hidden="1">
      <c r="A710" s="38" t="str">
        <f t="shared" si="1"/>
        <v/>
      </c>
      <c r="B710" s="38" t="str">
        <f>IF(F710="","",SUMIF(Prearmados!E:E,F710,Prearmados!A:A))</f>
        <v/>
      </c>
      <c r="C710" s="38" t="str">
        <f>IF(F710="","",SUMIF(Productos!E:E,G710,Productos!A:A))</f>
        <v/>
      </c>
      <c r="D710" s="85" t="str">
        <f t="array" ref="D710">IF(OR(F710="",F710="Seleccionar.."),"",XLOOKUP(F710,Prearmados!E:E,Prearmados!F:F,"",0,1))</f>
        <v/>
      </c>
      <c r="E710" s="83" t="str">
        <f>IF(H710="","",SUMIF(Precio_Productos!K:K,C710,Precio_Productos!J:J)*H710)</f>
        <v/>
      </c>
      <c r="F710" s="86" t="str">
        <f t="shared" si="2"/>
        <v/>
      </c>
      <c r="G710" s="86" t="str">
        <f t="shared" si="3"/>
        <v/>
      </c>
      <c r="H710" s="15"/>
      <c r="P710" s="3" t="str">
        <f>IFERROR(__xludf.DUMMYFUNCTION("IF(OR(F710="""",F710=""Seleccionar..""),"""",TRANSPOSE(FILTER(Productos!E:E,(Productos!F:F=D710)+(Productos!F:F=XLOOKUP(D710,Implementos!B:B,Implementos!C:C,""-"",0,1)))))"),"")</f>
        <v/>
      </c>
    </row>
    <row r="711" hidden="1">
      <c r="A711" s="38" t="str">
        <f t="shared" si="1"/>
        <v/>
      </c>
      <c r="B711" s="38" t="str">
        <f>IF(F711="","",SUMIF(Prearmados!E:E,F711,Prearmados!A:A))</f>
        <v/>
      </c>
      <c r="C711" s="38" t="str">
        <f>IF(F711="","",SUMIF(Productos!E:E,G711,Productos!A:A))</f>
        <v/>
      </c>
      <c r="D711" s="85" t="str">
        <f t="array" ref="D711">IF(OR(F711="",F711="Seleccionar.."),"",XLOOKUP(F711,Prearmados!E:E,Prearmados!F:F,"",0,1))</f>
        <v/>
      </c>
      <c r="E711" s="83" t="str">
        <f>IF(H711="","",SUMIF(Precio_Productos!K:K,C711,Precio_Productos!J:J)*H711)</f>
        <v/>
      </c>
      <c r="F711" s="86" t="str">
        <f t="shared" si="2"/>
        <v/>
      </c>
      <c r="G711" s="86" t="str">
        <f t="shared" si="3"/>
        <v/>
      </c>
      <c r="H711" s="15"/>
      <c r="P711" s="3" t="str">
        <f>IFERROR(__xludf.DUMMYFUNCTION("IF(OR(F711="""",F711=""Seleccionar..""),"""",TRANSPOSE(FILTER(Productos!E:E,(Productos!F:F=D711)+(Productos!F:F=XLOOKUP(D711,Implementos!B:B,Implementos!C:C,""-"",0,1)))))"),"")</f>
        <v/>
      </c>
    </row>
    <row r="712" hidden="1">
      <c r="A712" s="38" t="str">
        <f t="shared" si="1"/>
        <v/>
      </c>
      <c r="B712" s="38" t="str">
        <f>IF(F712="","",SUMIF(Prearmados!E:E,F712,Prearmados!A:A))</f>
        <v/>
      </c>
      <c r="C712" s="38" t="str">
        <f>IF(F712="","",SUMIF(Productos!E:E,G712,Productos!A:A))</f>
        <v/>
      </c>
      <c r="D712" s="85" t="str">
        <f t="array" ref="D712">IF(OR(F712="",F712="Seleccionar.."),"",XLOOKUP(F712,Prearmados!E:E,Prearmados!F:F,"",0,1))</f>
        <v/>
      </c>
      <c r="E712" s="83" t="str">
        <f>IF(H712="","",SUMIF(Precio_Productos!K:K,C712,Precio_Productos!J:J)*H712)</f>
        <v/>
      </c>
      <c r="F712" s="86" t="str">
        <f t="shared" si="2"/>
        <v/>
      </c>
      <c r="G712" s="86" t="str">
        <f t="shared" si="3"/>
        <v/>
      </c>
      <c r="H712" s="15"/>
      <c r="P712" s="3" t="str">
        <f>IFERROR(__xludf.DUMMYFUNCTION("IF(OR(F712="""",F712=""Seleccionar..""),"""",TRANSPOSE(FILTER(Productos!E:E,(Productos!F:F=D712)+(Productos!F:F=XLOOKUP(D712,Implementos!B:B,Implementos!C:C,""-"",0,1)))))"),"")</f>
        <v/>
      </c>
    </row>
    <row r="713" hidden="1">
      <c r="A713" s="38" t="str">
        <f t="shared" si="1"/>
        <v/>
      </c>
      <c r="B713" s="38" t="str">
        <f>IF(F713="","",SUMIF(Prearmados!E:E,F713,Prearmados!A:A))</f>
        <v/>
      </c>
      <c r="C713" s="38" t="str">
        <f>IF(F713="","",SUMIF(Productos!E:E,G713,Productos!A:A))</f>
        <v/>
      </c>
      <c r="D713" s="85" t="str">
        <f t="array" ref="D713">IF(OR(F713="",F713="Seleccionar.."),"",XLOOKUP(F713,Prearmados!E:E,Prearmados!F:F,"",0,1))</f>
        <v/>
      </c>
      <c r="E713" s="83" t="str">
        <f>IF(H713="","",SUMIF(Precio_Productos!K:K,C713,Precio_Productos!J:J)*H713)</f>
        <v/>
      </c>
      <c r="F713" s="86" t="str">
        <f t="shared" si="2"/>
        <v/>
      </c>
      <c r="G713" s="86" t="str">
        <f t="shared" si="3"/>
        <v/>
      </c>
      <c r="H713" s="15"/>
      <c r="P713" s="3" t="str">
        <f>IFERROR(__xludf.DUMMYFUNCTION("IF(OR(F713="""",F713=""Seleccionar..""),"""",TRANSPOSE(FILTER(Productos!E:E,(Productos!F:F=D713)+(Productos!F:F=XLOOKUP(D713,Implementos!B:B,Implementos!C:C,""-"",0,1)))))"),"")</f>
        <v/>
      </c>
    </row>
    <row r="714" hidden="1">
      <c r="A714" s="38" t="str">
        <f t="shared" si="1"/>
        <v/>
      </c>
      <c r="B714" s="38" t="str">
        <f>IF(F714="","",SUMIF(Prearmados!E:E,F714,Prearmados!A:A))</f>
        <v/>
      </c>
      <c r="C714" s="38" t="str">
        <f>IF(F714="","",SUMIF(Productos!E:E,G714,Productos!A:A))</f>
        <v/>
      </c>
      <c r="D714" s="85" t="str">
        <f t="array" ref="D714">IF(OR(F714="",F714="Seleccionar.."),"",XLOOKUP(F714,Prearmados!E:E,Prearmados!F:F,"",0,1))</f>
        <v/>
      </c>
      <c r="E714" s="83" t="str">
        <f>IF(H714="","",SUMIF(Precio_Productos!K:K,C714,Precio_Productos!J:J)*H714)</f>
        <v/>
      </c>
      <c r="F714" s="86" t="str">
        <f t="shared" si="2"/>
        <v/>
      </c>
      <c r="G714" s="86" t="str">
        <f t="shared" si="3"/>
        <v/>
      </c>
      <c r="H714" s="15"/>
      <c r="P714" s="3" t="str">
        <f>IFERROR(__xludf.DUMMYFUNCTION("IF(OR(F714="""",F714=""Seleccionar..""),"""",TRANSPOSE(FILTER(Productos!E:E,(Productos!F:F=D714)+(Productos!F:F=XLOOKUP(D714,Implementos!B:B,Implementos!C:C,""-"",0,1)))))"),"")</f>
        <v/>
      </c>
    </row>
    <row r="715" hidden="1">
      <c r="A715" s="38" t="str">
        <f t="shared" si="1"/>
        <v/>
      </c>
      <c r="B715" s="38" t="str">
        <f>IF(F715="","",SUMIF(Prearmados!E:E,F715,Prearmados!A:A))</f>
        <v/>
      </c>
      <c r="C715" s="38" t="str">
        <f>IF(F715="","",SUMIF(Productos!E:E,G715,Productos!A:A))</f>
        <v/>
      </c>
      <c r="D715" s="85" t="str">
        <f t="array" ref="D715">IF(OR(F715="",F715="Seleccionar.."),"",XLOOKUP(F715,Prearmados!E:E,Prearmados!F:F,"",0,1))</f>
        <v/>
      </c>
      <c r="E715" s="83" t="str">
        <f>IF(H715="","",SUMIF(Precio_Productos!K:K,C715,Precio_Productos!J:J)*H715)</f>
        <v/>
      </c>
      <c r="F715" s="86" t="str">
        <f t="shared" si="2"/>
        <v/>
      </c>
      <c r="G715" s="86" t="str">
        <f t="shared" si="3"/>
        <v/>
      </c>
      <c r="H715" s="15"/>
      <c r="P715" s="3" t="str">
        <f>IFERROR(__xludf.DUMMYFUNCTION("IF(OR(F715="""",F715=""Seleccionar..""),"""",TRANSPOSE(FILTER(Productos!E:E,(Productos!F:F=D715)+(Productos!F:F=XLOOKUP(D715,Implementos!B:B,Implementos!C:C,""-"",0,1)))))"),"")</f>
        <v/>
      </c>
    </row>
    <row r="716" hidden="1">
      <c r="A716" s="38" t="str">
        <f t="shared" si="1"/>
        <v/>
      </c>
      <c r="B716" s="38" t="str">
        <f>IF(F716="","",SUMIF(Prearmados!E:E,F716,Prearmados!A:A))</f>
        <v/>
      </c>
      <c r="C716" s="38" t="str">
        <f>IF(F716="","",SUMIF(Productos!E:E,G716,Productos!A:A))</f>
        <v/>
      </c>
      <c r="D716" s="85" t="str">
        <f t="array" ref="D716">IF(OR(F716="",F716="Seleccionar.."),"",XLOOKUP(F716,Prearmados!E:E,Prearmados!F:F,"",0,1))</f>
        <v/>
      </c>
      <c r="E716" s="83" t="str">
        <f>IF(H716="","",SUMIF(Precio_Productos!K:K,C716,Precio_Productos!J:J)*H716)</f>
        <v/>
      </c>
      <c r="F716" s="86" t="str">
        <f t="shared" si="2"/>
        <v/>
      </c>
      <c r="G716" s="86" t="str">
        <f t="shared" si="3"/>
        <v/>
      </c>
      <c r="H716" s="15"/>
      <c r="P716" s="3" t="str">
        <f>IFERROR(__xludf.DUMMYFUNCTION("IF(OR(F716="""",F716=""Seleccionar..""),"""",TRANSPOSE(FILTER(Productos!E:E,(Productos!F:F=D716)+(Productos!F:F=XLOOKUP(D716,Implementos!B:B,Implementos!C:C,""-"",0,1)))))"),"")</f>
        <v/>
      </c>
    </row>
    <row r="717" hidden="1">
      <c r="A717" s="38" t="str">
        <f t="shared" si="1"/>
        <v/>
      </c>
      <c r="B717" s="38" t="str">
        <f>IF(F717="","",SUMIF(Prearmados!E:E,F717,Prearmados!A:A))</f>
        <v/>
      </c>
      <c r="C717" s="38" t="str">
        <f>IF(F717="","",SUMIF(Productos!E:E,G717,Productos!A:A))</f>
        <v/>
      </c>
      <c r="D717" s="85" t="str">
        <f t="array" ref="D717">IF(OR(F717="",F717="Seleccionar.."),"",XLOOKUP(F717,Prearmados!E:E,Prearmados!F:F,"",0,1))</f>
        <v/>
      </c>
      <c r="E717" s="83" t="str">
        <f>IF(H717="","",SUMIF(Precio_Productos!K:K,C717,Precio_Productos!J:J)*H717)</f>
        <v/>
      </c>
      <c r="F717" s="86" t="str">
        <f t="shared" si="2"/>
        <v/>
      </c>
      <c r="G717" s="86" t="str">
        <f t="shared" si="3"/>
        <v/>
      </c>
      <c r="H717" s="15"/>
      <c r="P717" s="3" t="str">
        <f>IFERROR(__xludf.DUMMYFUNCTION("IF(OR(F717="""",F717=""Seleccionar..""),"""",TRANSPOSE(FILTER(Productos!E:E,(Productos!F:F=D717)+(Productos!F:F=XLOOKUP(D717,Implementos!B:B,Implementos!C:C,""-"",0,1)))))"),"")</f>
        <v/>
      </c>
    </row>
    <row r="718" hidden="1">
      <c r="A718" s="38" t="str">
        <f t="shared" si="1"/>
        <v/>
      </c>
      <c r="B718" s="38" t="str">
        <f>IF(F718="","",SUMIF(Prearmados!E:E,F718,Prearmados!A:A))</f>
        <v/>
      </c>
      <c r="C718" s="38" t="str">
        <f>IF(F718="","",SUMIF(Productos!E:E,G718,Productos!A:A))</f>
        <v/>
      </c>
      <c r="D718" s="85" t="str">
        <f t="array" ref="D718">IF(OR(F718="",F718="Seleccionar.."),"",XLOOKUP(F718,Prearmados!E:E,Prearmados!F:F,"",0,1))</f>
        <v/>
      </c>
      <c r="E718" s="83" t="str">
        <f>IF(H718="","",SUMIF(Precio_Productos!K:K,C718,Precio_Productos!J:J)*H718)</f>
        <v/>
      </c>
      <c r="F718" s="86" t="str">
        <f t="shared" si="2"/>
        <v/>
      </c>
      <c r="G718" s="86" t="str">
        <f t="shared" si="3"/>
        <v/>
      </c>
      <c r="H718" s="15"/>
      <c r="P718" s="3" t="str">
        <f>IFERROR(__xludf.DUMMYFUNCTION("IF(OR(F718="""",F718=""Seleccionar..""),"""",TRANSPOSE(FILTER(Productos!E:E,(Productos!F:F=D718)+(Productos!F:F=XLOOKUP(D718,Implementos!B:B,Implementos!C:C,""-"",0,1)))))"),"")</f>
        <v/>
      </c>
    </row>
    <row r="719" hidden="1">
      <c r="A719" s="38" t="str">
        <f t="shared" si="1"/>
        <v/>
      </c>
      <c r="B719" s="38" t="str">
        <f>IF(F719="","",SUMIF(Prearmados!E:E,F719,Prearmados!A:A))</f>
        <v/>
      </c>
      <c r="C719" s="38" t="str">
        <f>IF(F719="","",SUMIF(Productos!E:E,G719,Productos!A:A))</f>
        <v/>
      </c>
      <c r="D719" s="85" t="str">
        <f t="array" ref="D719">IF(OR(F719="",F719="Seleccionar.."),"",XLOOKUP(F719,Prearmados!E:E,Prearmados!F:F,"",0,1))</f>
        <v/>
      </c>
      <c r="E719" s="83" t="str">
        <f>IF(H719="","",SUMIF(Precio_Productos!K:K,C719,Precio_Productos!J:J)*H719)</f>
        <v/>
      </c>
      <c r="F719" s="86" t="str">
        <f t="shared" si="2"/>
        <v/>
      </c>
      <c r="G719" s="86" t="str">
        <f t="shared" si="3"/>
        <v/>
      </c>
      <c r="H719" s="15"/>
      <c r="P719" s="3" t="str">
        <f>IFERROR(__xludf.DUMMYFUNCTION("IF(OR(F719="""",F719=""Seleccionar..""),"""",TRANSPOSE(FILTER(Productos!E:E,(Productos!F:F=D719)+(Productos!F:F=XLOOKUP(D719,Implementos!B:B,Implementos!C:C,""-"",0,1)))))"),"")</f>
        <v/>
      </c>
    </row>
    <row r="720" hidden="1">
      <c r="A720" s="38" t="str">
        <f t="shared" si="1"/>
        <v/>
      </c>
      <c r="B720" s="38" t="str">
        <f>IF(F720="","",SUMIF(Prearmados!E:E,F720,Prearmados!A:A))</f>
        <v/>
      </c>
      <c r="C720" s="38" t="str">
        <f>IF(F720="","",SUMIF(Productos!E:E,G720,Productos!A:A))</f>
        <v/>
      </c>
      <c r="D720" s="85" t="str">
        <f t="array" ref="D720">IF(OR(F720="",F720="Seleccionar.."),"",XLOOKUP(F720,Prearmados!E:E,Prearmados!F:F,"",0,1))</f>
        <v/>
      </c>
      <c r="E720" s="83" t="str">
        <f>IF(H720="","",SUMIF(Precio_Productos!K:K,C720,Precio_Productos!J:J)*H720)</f>
        <v/>
      </c>
      <c r="F720" s="86" t="str">
        <f t="shared" si="2"/>
        <v/>
      </c>
      <c r="G720" s="86" t="str">
        <f t="shared" si="3"/>
        <v/>
      </c>
      <c r="H720" s="15"/>
      <c r="P720" s="3" t="str">
        <f>IFERROR(__xludf.DUMMYFUNCTION("IF(OR(F720="""",F720=""Seleccionar..""),"""",TRANSPOSE(FILTER(Productos!E:E,(Productos!F:F=D720)+(Productos!F:F=XLOOKUP(D720,Implementos!B:B,Implementos!C:C,""-"",0,1)))))"),"")</f>
        <v/>
      </c>
    </row>
    <row r="721" hidden="1">
      <c r="A721" s="38" t="str">
        <f t="shared" si="1"/>
        <v/>
      </c>
      <c r="B721" s="38" t="str">
        <f>IF(F721="","",SUMIF(Prearmados!E:E,F721,Prearmados!A:A))</f>
        <v/>
      </c>
      <c r="C721" s="38" t="str">
        <f>IF(F721="","",SUMIF(Productos!E:E,G721,Productos!A:A))</f>
        <v/>
      </c>
      <c r="D721" s="85" t="str">
        <f t="array" ref="D721">IF(OR(F721="",F721="Seleccionar.."),"",XLOOKUP(F721,Prearmados!E:E,Prearmados!F:F,"",0,1))</f>
        <v/>
      </c>
      <c r="E721" s="83" t="str">
        <f>IF(H721="","",SUMIF(Precio_Productos!K:K,C721,Precio_Productos!J:J)*H721)</f>
        <v/>
      </c>
      <c r="F721" s="86" t="str">
        <f t="shared" si="2"/>
        <v/>
      </c>
      <c r="G721" s="86" t="str">
        <f t="shared" si="3"/>
        <v/>
      </c>
      <c r="H721" s="15"/>
      <c r="P721" s="3" t="str">
        <f>IFERROR(__xludf.DUMMYFUNCTION("IF(OR(F721="""",F721=""Seleccionar..""),"""",TRANSPOSE(FILTER(Productos!E:E,(Productos!F:F=D721)+(Productos!F:F=XLOOKUP(D721,Implementos!B:B,Implementos!C:C,""-"",0,1)))))"),"")</f>
        <v/>
      </c>
    </row>
    <row r="722" hidden="1">
      <c r="A722" s="38" t="str">
        <f t="shared" si="1"/>
        <v/>
      </c>
      <c r="B722" s="38" t="str">
        <f>IF(F722="","",SUMIF(Prearmados!E:E,F722,Prearmados!A:A))</f>
        <v/>
      </c>
      <c r="C722" s="38" t="str">
        <f>IF(F722="","",SUMIF(Productos!E:E,G722,Productos!A:A))</f>
        <v/>
      </c>
      <c r="D722" s="85" t="str">
        <f t="array" ref="D722">IF(OR(F722="",F722="Seleccionar.."),"",XLOOKUP(F722,Prearmados!E:E,Prearmados!F:F,"",0,1))</f>
        <v/>
      </c>
      <c r="E722" s="83" t="str">
        <f>IF(H722="","",SUMIF(Precio_Productos!K:K,C722,Precio_Productos!J:J)*H722)</f>
        <v/>
      </c>
      <c r="F722" s="86" t="str">
        <f t="shared" si="2"/>
        <v/>
      </c>
      <c r="G722" s="86" t="str">
        <f t="shared" si="3"/>
        <v/>
      </c>
      <c r="H722" s="15"/>
      <c r="P722" s="3" t="str">
        <f>IFERROR(__xludf.DUMMYFUNCTION("IF(OR(F722="""",F722=""Seleccionar..""),"""",TRANSPOSE(FILTER(Productos!E:E,(Productos!F:F=D722)+(Productos!F:F=XLOOKUP(D722,Implementos!B:B,Implementos!C:C,""-"",0,1)))))"),"")</f>
        <v/>
      </c>
    </row>
    <row r="723" hidden="1">
      <c r="A723" s="38" t="str">
        <f t="shared" si="1"/>
        <v/>
      </c>
      <c r="B723" s="38" t="str">
        <f>IF(F723="","",SUMIF(Prearmados!E:E,F723,Prearmados!A:A))</f>
        <v/>
      </c>
      <c r="C723" s="38" t="str">
        <f>IF(F723="","",SUMIF(Productos!E:E,G723,Productos!A:A))</f>
        <v/>
      </c>
      <c r="D723" s="85" t="str">
        <f t="array" ref="D723">IF(OR(F723="",F723="Seleccionar.."),"",XLOOKUP(F723,Prearmados!E:E,Prearmados!F:F,"",0,1))</f>
        <v/>
      </c>
      <c r="E723" s="83" t="str">
        <f>IF(H723="","",SUMIF(Precio_Productos!K:K,C723,Precio_Productos!J:J)*H723)</f>
        <v/>
      </c>
      <c r="F723" s="86" t="str">
        <f t="shared" si="2"/>
        <v/>
      </c>
      <c r="G723" s="86" t="str">
        <f t="shared" si="3"/>
        <v/>
      </c>
      <c r="H723" s="15"/>
      <c r="P723" s="3" t="str">
        <f>IFERROR(__xludf.DUMMYFUNCTION("IF(OR(F723="""",F723=""Seleccionar..""),"""",TRANSPOSE(FILTER(Productos!E:E,(Productos!F:F=D723)+(Productos!F:F=XLOOKUP(D723,Implementos!B:B,Implementos!C:C,""-"",0,1)))))"),"")</f>
        <v/>
      </c>
    </row>
    <row r="724" hidden="1">
      <c r="A724" s="38" t="str">
        <f t="shared" si="1"/>
        <v/>
      </c>
      <c r="B724" s="38" t="str">
        <f>IF(F724="","",SUMIF(Prearmados!E:E,F724,Prearmados!A:A))</f>
        <v/>
      </c>
      <c r="C724" s="38" t="str">
        <f>IF(F724="","",SUMIF(Productos!E:E,G724,Productos!A:A))</f>
        <v/>
      </c>
      <c r="D724" s="85" t="str">
        <f t="array" ref="D724">IF(OR(F724="",F724="Seleccionar.."),"",XLOOKUP(F724,Prearmados!E:E,Prearmados!F:F,"",0,1))</f>
        <v/>
      </c>
      <c r="E724" s="83" t="str">
        <f>IF(H724="","",SUMIF(Precio_Productos!K:K,C724,Precio_Productos!J:J)*H724)</f>
        <v/>
      </c>
      <c r="F724" s="86" t="str">
        <f t="shared" si="2"/>
        <v/>
      </c>
      <c r="G724" s="86" t="str">
        <f t="shared" si="3"/>
        <v/>
      </c>
      <c r="H724" s="15"/>
      <c r="P724" s="3" t="str">
        <f>IFERROR(__xludf.DUMMYFUNCTION("IF(OR(F724="""",F724=""Seleccionar..""),"""",TRANSPOSE(FILTER(Productos!E:E,(Productos!F:F=D724)+(Productos!F:F=XLOOKUP(D724,Implementos!B:B,Implementos!C:C,""-"",0,1)))))"),"")</f>
        <v/>
      </c>
    </row>
    <row r="725" hidden="1">
      <c r="A725" s="38" t="str">
        <f t="shared" si="1"/>
        <v/>
      </c>
      <c r="B725" s="38" t="str">
        <f>IF(F725="","",SUMIF(Prearmados!E:E,F725,Prearmados!A:A))</f>
        <v/>
      </c>
      <c r="C725" s="38" t="str">
        <f>IF(F725="","",SUMIF(Productos!E:E,G725,Productos!A:A))</f>
        <v/>
      </c>
      <c r="D725" s="85" t="str">
        <f t="array" ref="D725">IF(OR(F725="",F725="Seleccionar.."),"",XLOOKUP(F725,Prearmados!E:E,Prearmados!F:F,"",0,1))</f>
        <v/>
      </c>
      <c r="E725" s="83" t="str">
        <f>IF(H725="","",SUMIF(Precio_Productos!K:K,C725,Precio_Productos!J:J)*H725)</f>
        <v/>
      </c>
      <c r="F725" s="86" t="str">
        <f t="shared" si="2"/>
        <v/>
      </c>
      <c r="G725" s="86" t="str">
        <f t="shared" si="3"/>
        <v/>
      </c>
      <c r="H725" s="15"/>
      <c r="P725" s="3" t="str">
        <f>IFERROR(__xludf.DUMMYFUNCTION("IF(OR(F725="""",F725=""Seleccionar..""),"""",TRANSPOSE(FILTER(Productos!E:E,(Productos!F:F=D725)+(Productos!F:F=XLOOKUP(D725,Implementos!B:B,Implementos!C:C,""-"",0,1)))))"),"")</f>
        <v/>
      </c>
    </row>
    <row r="726" hidden="1">
      <c r="A726" s="38" t="str">
        <f t="shared" si="1"/>
        <v/>
      </c>
      <c r="B726" s="38" t="str">
        <f>IF(F726="","",SUMIF(Prearmados!E:E,F726,Prearmados!A:A))</f>
        <v/>
      </c>
      <c r="C726" s="38" t="str">
        <f>IF(F726="","",SUMIF(Productos!E:E,G726,Productos!A:A))</f>
        <v/>
      </c>
      <c r="D726" s="85" t="str">
        <f t="array" ref="D726">IF(OR(F726="",F726="Seleccionar.."),"",XLOOKUP(F726,Prearmados!E:E,Prearmados!F:F,"",0,1))</f>
        <v/>
      </c>
      <c r="E726" s="83" t="str">
        <f>IF(H726="","",SUMIF(Precio_Productos!K:K,C726,Precio_Productos!J:J)*H726)</f>
        <v/>
      </c>
      <c r="F726" s="86" t="str">
        <f t="shared" si="2"/>
        <v/>
      </c>
      <c r="G726" s="86" t="str">
        <f t="shared" si="3"/>
        <v/>
      </c>
      <c r="H726" s="15"/>
      <c r="P726" s="3" t="str">
        <f>IFERROR(__xludf.DUMMYFUNCTION("IF(OR(F726="""",F726=""Seleccionar..""),"""",TRANSPOSE(FILTER(Productos!E:E,(Productos!F:F=D726)+(Productos!F:F=XLOOKUP(D726,Implementos!B:B,Implementos!C:C,""-"",0,1)))))"),"")</f>
        <v/>
      </c>
    </row>
    <row r="727" hidden="1">
      <c r="A727" s="38" t="str">
        <f t="shared" si="1"/>
        <v/>
      </c>
      <c r="B727" s="38" t="str">
        <f>IF(F727="","",SUMIF(Prearmados!E:E,F727,Prearmados!A:A))</f>
        <v/>
      </c>
      <c r="C727" s="38" t="str">
        <f>IF(F727="","",SUMIF(Productos!E:E,G727,Productos!A:A))</f>
        <v/>
      </c>
      <c r="D727" s="85" t="str">
        <f t="array" ref="D727">IF(OR(F727="",F727="Seleccionar.."),"",XLOOKUP(F727,Prearmados!E:E,Prearmados!F:F,"",0,1))</f>
        <v/>
      </c>
      <c r="E727" s="83" t="str">
        <f>IF(H727="","",SUMIF(Precio_Productos!K:K,C727,Precio_Productos!J:J)*H727)</f>
        <v/>
      </c>
      <c r="F727" s="86" t="str">
        <f t="shared" si="2"/>
        <v/>
      </c>
      <c r="G727" s="86" t="str">
        <f t="shared" si="3"/>
        <v/>
      </c>
      <c r="H727" s="15"/>
      <c r="P727" s="3" t="str">
        <f>IFERROR(__xludf.DUMMYFUNCTION("IF(OR(F727="""",F727=""Seleccionar..""),"""",TRANSPOSE(FILTER(Productos!E:E,(Productos!F:F=D727)+(Productos!F:F=XLOOKUP(D727,Implementos!B:B,Implementos!C:C,""-"",0,1)))))"),"")</f>
        <v/>
      </c>
    </row>
    <row r="728" hidden="1">
      <c r="A728" s="38" t="str">
        <f t="shared" si="1"/>
        <v/>
      </c>
      <c r="B728" s="38" t="str">
        <f>IF(F728="","",SUMIF(Prearmados!E:E,F728,Prearmados!A:A))</f>
        <v/>
      </c>
      <c r="C728" s="38" t="str">
        <f>IF(F728="","",SUMIF(Productos!E:E,G728,Productos!A:A))</f>
        <v/>
      </c>
      <c r="D728" s="85" t="str">
        <f t="array" ref="D728">IF(OR(F728="",F728="Seleccionar.."),"",XLOOKUP(F728,Prearmados!E:E,Prearmados!F:F,"",0,1))</f>
        <v/>
      </c>
      <c r="E728" s="83" t="str">
        <f>IF(H728="","",SUMIF(Precio_Productos!K:K,C728,Precio_Productos!J:J)*H728)</f>
        <v/>
      </c>
      <c r="F728" s="86" t="str">
        <f t="shared" si="2"/>
        <v/>
      </c>
      <c r="G728" s="86" t="str">
        <f t="shared" si="3"/>
        <v/>
      </c>
      <c r="H728" s="15"/>
      <c r="P728" s="3" t="str">
        <f>IFERROR(__xludf.DUMMYFUNCTION("IF(OR(F728="""",F728=""Seleccionar..""),"""",TRANSPOSE(FILTER(Productos!E:E,(Productos!F:F=D728)+(Productos!F:F=XLOOKUP(D728,Implementos!B:B,Implementos!C:C,""-"",0,1)))))"),"")</f>
        <v/>
      </c>
    </row>
    <row r="729" hidden="1">
      <c r="A729" s="38" t="str">
        <f t="shared" si="1"/>
        <v/>
      </c>
      <c r="B729" s="38" t="str">
        <f>IF(F729="","",SUMIF(Prearmados!E:E,F729,Prearmados!A:A))</f>
        <v/>
      </c>
      <c r="C729" s="38" t="str">
        <f>IF(F729="","",SUMIF(Productos!E:E,G729,Productos!A:A))</f>
        <v/>
      </c>
      <c r="D729" s="85" t="str">
        <f t="array" ref="D729">IF(OR(F729="",F729="Seleccionar.."),"",XLOOKUP(F729,Prearmados!E:E,Prearmados!F:F,"",0,1))</f>
        <v/>
      </c>
      <c r="E729" s="83" t="str">
        <f>IF(H729="","",SUMIF(Precio_Productos!K:K,C729,Precio_Productos!J:J)*H729)</f>
        <v/>
      </c>
      <c r="F729" s="86" t="str">
        <f t="shared" si="2"/>
        <v/>
      </c>
      <c r="G729" s="86" t="str">
        <f t="shared" si="3"/>
        <v/>
      </c>
      <c r="H729" s="15"/>
      <c r="P729" s="3" t="str">
        <f>IFERROR(__xludf.DUMMYFUNCTION("IF(OR(F729="""",F729=""Seleccionar..""),"""",TRANSPOSE(FILTER(Productos!E:E,(Productos!F:F=D729)+(Productos!F:F=XLOOKUP(D729,Implementos!B:B,Implementos!C:C,""-"",0,1)))))"),"")</f>
        <v/>
      </c>
    </row>
    <row r="730" hidden="1">
      <c r="A730" s="38" t="str">
        <f t="shared" si="1"/>
        <v/>
      </c>
      <c r="B730" s="38" t="str">
        <f>IF(F730="","",SUMIF(Prearmados!E:E,F730,Prearmados!A:A))</f>
        <v/>
      </c>
      <c r="C730" s="38" t="str">
        <f>IF(F730="","",SUMIF(Productos!E:E,G730,Productos!A:A))</f>
        <v/>
      </c>
      <c r="D730" s="85" t="str">
        <f t="array" ref="D730">IF(OR(F730="",F730="Seleccionar.."),"",XLOOKUP(F730,Prearmados!E:E,Prearmados!F:F,"",0,1))</f>
        <v/>
      </c>
      <c r="E730" s="83" t="str">
        <f>IF(H730="","",SUMIF(Precio_Productos!K:K,C730,Precio_Productos!J:J)*H730)</f>
        <v/>
      </c>
      <c r="F730" s="86" t="str">
        <f t="shared" si="2"/>
        <v/>
      </c>
      <c r="G730" s="86" t="str">
        <f t="shared" si="3"/>
        <v/>
      </c>
      <c r="H730" s="15"/>
      <c r="P730" s="3" t="str">
        <f>IFERROR(__xludf.DUMMYFUNCTION("IF(OR(F730="""",F730=""Seleccionar..""),"""",TRANSPOSE(FILTER(Productos!E:E,(Productos!F:F=D730)+(Productos!F:F=XLOOKUP(D730,Implementos!B:B,Implementos!C:C,""-"",0,1)))))"),"")</f>
        <v/>
      </c>
    </row>
    <row r="731" hidden="1">
      <c r="A731" s="38" t="str">
        <f t="shared" si="1"/>
        <v/>
      </c>
      <c r="B731" s="38" t="str">
        <f>IF(F731="","",SUMIF(Prearmados!E:E,F731,Prearmados!A:A))</f>
        <v/>
      </c>
      <c r="C731" s="38" t="str">
        <f>IF(F731="","",SUMIF(Productos!E:E,G731,Productos!A:A))</f>
        <v/>
      </c>
      <c r="D731" s="85" t="str">
        <f t="array" ref="D731">IF(OR(F731="",F731="Seleccionar.."),"",XLOOKUP(F731,Prearmados!E:E,Prearmados!F:F,"",0,1))</f>
        <v/>
      </c>
      <c r="E731" s="83" t="str">
        <f>IF(H731="","",SUMIF(Precio_Productos!K:K,C731,Precio_Productos!J:J)*H731)</f>
        <v/>
      </c>
      <c r="F731" s="86" t="str">
        <f t="shared" si="2"/>
        <v/>
      </c>
      <c r="G731" s="86" t="str">
        <f t="shared" si="3"/>
        <v/>
      </c>
      <c r="H731" s="15"/>
      <c r="P731" s="3" t="str">
        <f>IFERROR(__xludf.DUMMYFUNCTION("IF(OR(F731="""",F731=""Seleccionar..""),"""",TRANSPOSE(FILTER(Productos!E:E,(Productos!F:F=D731)+(Productos!F:F=XLOOKUP(D731,Implementos!B:B,Implementos!C:C,""-"",0,1)))))"),"")</f>
        <v/>
      </c>
    </row>
    <row r="732" hidden="1">
      <c r="A732" s="38" t="str">
        <f t="shared" si="1"/>
        <v/>
      </c>
      <c r="B732" s="38" t="str">
        <f>IF(F732="","",SUMIF(Prearmados!E:E,F732,Prearmados!A:A))</f>
        <v/>
      </c>
      <c r="C732" s="38" t="str">
        <f>IF(F732="","",SUMIF(Productos!E:E,G732,Productos!A:A))</f>
        <v/>
      </c>
      <c r="D732" s="85" t="str">
        <f t="array" ref="D732">IF(OR(F732="",F732="Seleccionar.."),"",XLOOKUP(F732,Prearmados!E:E,Prearmados!F:F,"",0,1))</f>
        <v/>
      </c>
      <c r="E732" s="83" t="str">
        <f>IF(H732="","",SUMIF(Precio_Productos!K:K,C732,Precio_Productos!J:J)*H732)</f>
        <v/>
      </c>
      <c r="F732" s="86" t="str">
        <f t="shared" si="2"/>
        <v/>
      </c>
      <c r="G732" s="86" t="str">
        <f t="shared" si="3"/>
        <v/>
      </c>
      <c r="H732" s="15"/>
      <c r="P732" s="3" t="str">
        <f>IFERROR(__xludf.DUMMYFUNCTION("IF(OR(F732="""",F732=""Seleccionar..""),"""",TRANSPOSE(FILTER(Productos!E:E,(Productos!F:F=D732)+(Productos!F:F=XLOOKUP(D732,Implementos!B:B,Implementos!C:C,""-"",0,1)))))"),"")</f>
        <v/>
      </c>
    </row>
    <row r="733" hidden="1">
      <c r="A733" s="38" t="str">
        <f t="shared" si="1"/>
        <v/>
      </c>
      <c r="B733" s="38" t="str">
        <f>IF(F733="","",SUMIF(Prearmados!E:E,F733,Prearmados!A:A))</f>
        <v/>
      </c>
      <c r="C733" s="38" t="str">
        <f>IF(F733="","",SUMIF(Productos!E:E,G733,Productos!A:A))</f>
        <v/>
      </c>
      <c r="D733" s="85" t="str">
        <f t="array" ref="D733">IF(OR(F733="",F733="Seleccionar.."),"",XLOOKUP(F733,Prearmados!E:E,Prearmados!F:F,"",0,1))</f>
        <v/>
      </c>
      <c r="E733" s="83" t="str">
        <f>IF(H733="","",SUMIF(Precio_Productos!K:K,C733,Precio_Productos!J:J)*H733)</f>
        <v/>
      </c>
      <c r="F733" s="86" t="str">
        <f t="shared" si="2"/>
        <v/>
      </c>
      <c r="G733" s="86" t="str">
        <f t="shared" si="3"/>
        <v/>
      </c>
      <c r="H733" s="15"/>
      <c r="P733" s="3" t="str">
        <f>IFERROR(__xludf.DUMMYFUNCTION("IF(OR(F733="""",F733=""Seleccionar..""),"""",TRANSPOSE(FILTER(Productos!E:E,(Productos!F:F=D733)+(Productos!F:F=XLOOKUP(D733,Implementos!B:B,Implementos!C:C,""-"",0,1)))))"),"")</f>
        <v/>
      </c>
    </row>
    <row r="734" hidden="1">
      <c r="A734" s="38" t="str">
        <f t="shared" si="1"/>
        <v/>
      </c>
      <c r="B734" s="38" t="str">
        <f>IF(F734="","",SUMIF(Prearmados!E:E,F734,Prearmados!A:A))</f>
        <v/>
      </c>
      <c r="C734" s="38" t="str">
        <f>IF(F734="","",SUMIF(Productos!E:E,G734,Productos!A:A))</f>
        <v/>
      </c>
      <c r="D734" s="85" t="str">
        <f t="array" ref="D734">IF(OR(F734="",F734="Seleccionar.."),"",XLOOKUP(F734,Prearmados!E:E,Prearmados!F:F,"",0,1))</f>
        <v/>
      </c>
      <c r="E734" s="83" t="str">
        <f>IF(H734="","",SUMIF(Precio_Productos!K:K,C734,Precio_Productos!J:J)*H734)</f>
        <v/>
      </c>
      <c r="F734" s="86" t="str">
        <f t="shared" si="2"/>
        <v/>
      </c>
      <c r="G734" s="86" t="str">
        <f t="shared" si="3"/>
        <v/>
      </c>
      <c r="H734" s="15"/>
      <c r="P734" s="3" t="str">
        <f>IFERROR(__xludf.DUMMYFUNCTION("IF(OR(F734="""",F734=""Seleccionar..""),"""",TRANSPOSE(FILTER(Productos!E:E,(Productos!F:F=D734)+(Productos!F:F=XLOOKUP(D734,Implementos!B:B,Implementos!C:C,""-"",0,1)))))"),"")</f>
        <v/>
      </c>
    </row>
    <row r="735" hidden="1">
      <c r="A735" s="38" t="str">
        <f t="shared" si="1"/>
        <v/>
      </c>
      <c r="B735" s="38" t="str">
        <f>IF(F735="","",SUMIF(Prearmados!E:E,F735,Prearmados!A:A))</f>
        <v/>
      </c>
      <c r="C735" s="38" t="str">
        <f>IF(F735="","",SUMIF(Productos!E:E,G735,Productos!A:A))</f>
        <v/>
      </c>
      <c r="D735" s="85" t="str">
        <f t="array" ref="D735">IF(OR(F735="",F735="Seleccionar.."),"",XLOOKUP(F735,Prearmados!E:E,Prearmados!F:F,"",0,1))</f>
        <v/>
      </c>
      <c r="E735" s="83" t="str">
        <f>IF(H735="","",SUMIF(Precio_Productos!K:K,C735,Precio_Productos!J:J)*H735)</f>
        <v/>
      </c>
      <c r="F735" s="86" t="str">
        <f t="shared" si="2"/>
        <v/>
      </c>
      <c r="G735" s="86" t="str">
        <f t="shared" si="3"/>
        <v/>
      </c>
      <c r="H735" s="15"/>
      <c r="P735" s="3" t="str">
        <f>IFERROR(__xludf.DUMMYFUNCTION("IF(OR(F735="""",F735=""Seleccionar..""),"""",TRANSPOSE(FILTER(Productos!E:E,(Productos!F:F=D735)+(Productos!F:F=XLOOKUP(D735,Implementos!B:B,Implementos!C:C,""-"",0,1)))))"),"")</f>
        <v/>
      </c>
    </row>
    <row r="736" hidden="1">
      <c r="A736" s="38" t="str">
        <f t="shared" si="1"/>
        <v/>
      </c>
      <c r="B736" s="38" t="str">
        <f>IF(F736="","",SUMIF(Prearmados!E:E,F736,Prearmados!A:A))</f>
        <v/>
      </c>
      <c r="C736" s="38" t="str">
        <f>IF(F736="","",SUMIF(Productos!E:E,G736,Productos!A:A))</f>
        <v/>
      </c>
      <c r="D736" s="85" t="str">
        <f t="array" ref="D736">IF(OR(F736="",F736="Seleccionar.."),"",XLOOKUP(F736,Prearmados!E:E,Prearmados!F:F,"",0,1))</f>
        <v/>
      </c>
      <c r="E736" s="83" t="str">
        <f>IF(H736="","",SUMIF(Precio_Productos!K:K,C736,Precio_Productos!J:J)*H736)</f>
        <v/>
      </c>
      <c r="F736" s="86" t="str">
        <f t="shared" si="2"/>
        <v/>
      </c>
      <c r="G736" s="86" t="str">
        <f t="shared" si="3"/>
        <v/>
      </c>
      <c r="H736" s="15"/>
      <c r="P736" s="3" t="str">
        <f>IFERROR(__xludf.DUMMYFUNCTION("IF(OR(F736="""",F736=""Seleccionar..""),"""",TRANSPOSE(FILTER(Productos!E:E,(Productos!F:F=D736)+(Productos!F:F=XLOOKUP(D736,Implementos!B:B,Implementos!C:C,""-"",0,1)))))"),"")</f>
        <v/>
      </c>
    </row>
    <row r="737" hidden="1">
      <c r="A737" s="38" t="str">
        <f t="shared" si="1"/>
        <v/>
      </c>
      <c r="B737" s="38" t="str">
        <f>IF(F737="","",SUMIF(Prearmados!E:E,F737,Prearmados!A:A))</f>
        <v/>
      </c>
      <c r="C737" s="38" t="str">
        <f>IF(F737="","",SUMIF(Productos!E:E,G737,Productos!A:A))</f>
        <v/>
      </c>
      <c r="D737" s="85" t="str">
        <f t="array" ref="D737">IF(OR(F737="",F737="Seleccionar.."),"",XLOOKUP(F737,Prearmados!E:E,Prearmados!F:F,"",0,1))</f>
        <v/>
      </c>
      <c r="E737" s="83" t="str">
        <f>IF(H737="","",SUMIF(Precio_Productos!K:K,C737,Precio_Productos!J:J)*H737)</f>
        <v/>
      </c>
      <c r="F737" s="86" t="str">
        <f t="shared" si="2"/>
        <v/>
      </c>
      <c r="G737" s="86" t="str">
        <f t="shared" si="3"/>
        <v/>
      </c>
      <c r="H737" s="15"/>
      <c r="P737" s="3" t="str">
        <f>IFERROR(__xludf.DUMMYFUNCTION("IF(OR(F737="""",F737=""Seleccionar..""),"""",TRANSPOSE(FILTER(Productos!E:E,(Productos!F:F=D737)+(Productos!F:F=XLOOKUP(D737,Implementos!B:B,Implementos!C:C,""-"",0,1)))))"),"")</f>
        <v/>
      </c>
    </row>
    <row r="738" hidden="1">
      <c r="A738" s="38" t="str">
        <f t="shared" si="1"/>
        <v/>
      </c>
      <c r="B738" s="38" t="str">
        <f>IF(F738="","",SUMIF(Prearmados!E:E,F738,Prearmados!A:A))</f>
        <v/>
      </c>
      <c r="C738" s="38" t="str">
        <f>IF(F738="","",SUMIF(Productos!E:E,G738,Productos!A:A))</f>
        <v/>
      </c>
      <c r="D738" s="85" t="str">
        <f t="array" ref="D738">IF(OR(F738="",F738="Seleccionar.."),"",XLOOKUP(F738,Prearmados!E:E,Prearmados!F:F,"",0,1))</f>
        <v/>
      </c>
      <c r="E738" s="83" t="str">
        <f>IF(H738="","",SUMIF(Precio_Productos!K:K,C738,Precio_Productos!J:J)*H738)</f>
        <v/>
      </c>
      <c r="F738" s="86" t="str">
        <f t="shared" si="2"/>
        <v/>
      </c>
      <c r="G738" s="86" t="str">
        <f t="shared" si="3"/>
        <v/>
      </c>
      <c r="H738" s="15"/>
      <c r="P738" s="3" t="str">
        <f>IFERROR(__xludf.DUMMYFUNCTION("IF(OR(F738="""",F738=""Seleccionar..""),"""",TRANSPOSE(FILTER(Productos!E:E,(Productos!F:F=D738)+(Productos!F:F=XLOOKUP(D738,Implementos!B:B,Implementos!C:C,""-"",0,1)))))"),"")</f>
        <v/>
      </c>
    </row>
    <row r="739" hidden="1">
      <c r="A739" s="38" t="str">
        <f t="shared" si="1"/>
        <v/>
      </c>
      <c r="B739" s="38" t="str">
        <f>IF(F739="","",SUMIF(Prearmados!E:E,F739,Prearmados!A:A))</f>
        <v/>
      </c>
      <c r="C739" s="38" t="str">
        <f>IF(F739="","",SUMIF(Productos!E:E,G739,Productos!A:A))</f>
        <v/>
      </c>
      <c r="D739" s="85" t="str">
        <f t="array" ref="D739">IF(OR(F739="",F739="Seleccionar.."),"",XLOOKUP(F739,Prearmados!E:E,Prearmados!F:F,"",0,1))</f>
        <v/>
      </c>
      <c r="E739" s="83" t="str">
        <f>IF(H739="","",SUMIF(Precio_Productos!K:K,C739,Precio_Productos!J:J)*H739)</f>
        <v/>
      </c>
      <c r="F739" s="86" t="str">
        <f t="shared" si="2"/>
        <v/>
      </c>
      <c r="G739" s="86" t="str">
        <f t="shared" si="3"/>
        <v/>
      </c>
      <c r="H739" s="15"/>
      <c r="P739" s="3" t="str">
        <f>IFERROR(__xludf.DUMMYFUNCTION("IF(OR(F739="""",F739=""Seleccionar..""),"""",TRANSPOSE(FILTER(Productos!E:E,(Productos!F:F=D739)+(Productos!F:F=XLOOKUP(D739,Implementos!B:B,Implementos!C:C,""-"",0,1)))))"),"")</f>
        <v/>
      </c>
    </row>
    <row r="740" hidden="1">
      <c r="A740" s="38" t="str">
        <f t="shared" si="1"/>
        <v/>
      </c>
      <c r="B740" s="38" t="str">
        <f>IF(F740="","",SUMIF(Prearmados!E:E,F740,Prearmados!A:A))</f>
        <v/>
      </c>
      <c r="C740" s="38" t="str">
        <f>IF(F740="","",SUMIF(Productos!E:E,G740,Productos!A:A))</f>
        <v/>
      </c>
      <c r="D740" s="85" t="str">
        <f t="array" ref="D740">IF(OR(F740="",F740="Seleccionar.."),"",XLOOKUP(F740,Prearmados!E:E,Prearmados!F:F,"",0,1))</f>
        <v/>
      </c>
      <c r="E740" s="83" t="str">
        <f>IF(H740="","",SUMIF(Precio_Productos!K:K,C740,Precio_Productos!J:J)*H740)</f>
        <v/>
      </c>
      <c r="F740" s="86" t="str">
        <f t="shared" si="2"/>
        <v/>
      </c>
      <c r="G740" s="86" t="str">
        <f t="shared" si="3"/>
        <v/>
      </c>
      <c r="H740" s="15"/>
      <c r="P740" s="3" t="str">
        <f>IFERROR(__xludf.DUMMYFUNCTION("IF(OR(F740="""",F740=""Seleccionar..""),"""",TRANSPOSE(FILTER(Productos!E:E,(Productos!F:F=D740)+(Productos!F:F=XLOOKUP(D740,Implementos!B:B,Implementos!C:C,""-"",0,1)))))"),"")</f>
        <v/>
      </c>
    </row>
    <row r="741" hidden="1">
      <c r="A741" s="38" t="str">
        <f t="shared" si="1"/>
        <v/>
      </c>
      <c r="B741" s="38" t="str">
        <f>IF(F741="","",SUMIF(Prearmados!E:E,F741,Prearmados!A:A))</f>
        <v/>
      </c>
      <c r="C741" s="38" t="str">
        <f>IF(F741="","",SUMIF(Productos!E:E,G741,Productos!A:A))</f>
        <v/>
      </c>
      <c r="D741" s="85" t="str">
        <f t="array" ref="D741">IF(OR(F741="",F741="Seleccionar.."),"",XLOOKUP(F741,Prearmados!E:E,Prearmados!F:F,"",0,1))</f>
        <v/>
      </c>
      <c r="E741" s="83" t="str">
        <f>IF(H741="","",SUMIF(Precio_Productos!K:K,C741,Precio_Productos!J:J)*H741)</f>
        <v/>
      </c>
      <c r="F741" s="86" t="str">
        <f t="shared" si="2"/>
        <v/>
      </c>
      <c r="G741" s="86" t="str">
        <f t="shared" si="3"/>
        <v/>
      </c>
      <c r="H741" s="15"/>
      <c r="P741" s="3" t="str">
        <f>IFERROR(__xludf.DUMMYFUNCTION("IF(OR(F741="""",F741=""Seleccionar..""),"""",TRANSPOSE(FILTER(Productos!E:E,(Productos!F:F=D741)+(Productos!F:F=XLOOKUP(D741,Implementos!B:B,Implementos!C:C,""-"",0,1)))))"),"")</f>
        <v/>
      </c>
    </row>
    <row r="742" hidden="1">
      <c r="A742" s="38" t="str">
        <f t="shared" si="1"/>
        <v/>
      </c>
      <c r="B742" s="38" t="str">
        <f>IF(F742="","",SUMIF(Prearmados!E:E,F742,Prearmados!A:A))</f>
        <v/>
      </c>
      <c r="C742" s="38" t="str">
        <f>IF(F742="","",SUMIF(Productos!E:E,G742,Productos!A:A))</f>
        <v/>
      </c>
      <c r="D742" s="85" t="str">
        <f t="array" ref="D742">IF(OR(F742="",F742="Seleccionar.."),"",XLOOKUP(F742,Prearmados!E:E,Prearmados!F:F,"",0,1))</f>
        <v/>
      </c>
      <c r="E742" s="83" t="str">
        <f>IF(H742="","",SUMIF(Precio_Productos!K:K,C742,Precio_Productos!J:J)*H742)</f>
        <v/>
      </c>
      <c r="F742" s="86" t="str">
        <f t="shared" si="2"/>
        <v/>
      </c>
      <c r="G742" s="86" t="str">
        <f t="shared" si="3"/>
        <v/>
      </c>
      <c r="H742" s="15"/>
      <c r="P742" s="3" t="str">
        <f>IFERROR(__xludf.DUMMYFUNCTION("IF(OR(F742="""",F742=""Seleccionar..""),"""",TRANSPOSE(FILTER(Productos!E:E,(Productos!F:F=D742)+(Productos!F:F=XLOOKUP(D742,Implementos!B:B,Implementos!C:C,""-"",0,1)))))"),"")</f>
        <v/>
      </c>
    </row>
    <row r="743" hidden="1">
      <c r="A743" s="38" t="str">
        <f t="shared" si="1"/>
        <v/>
      </c>
      <c r="B743" s="38" t="str">
        <f>IF(F743="","",SUMIF(Prearmados!E:E,F743,Prearmados!A:A))</f>
        <v/>
      </c>
      <c r="C743" s="38" t="str">
        <f>IF(F743="","",SUMIF(Productos!E:E,G743,Productos!A:A))</f>
        <v/>
      </c>
      <c r="D743" s="85" t="str">
        <f t="array" ref="D743">IF(OR(F743="",F743="Seleccionar.."),"",XLOOKUP(F743,Prearmados!E:E,Prearmados!F:F,"",0,1))</f>
        <v/>
      </c>
      <c r="E743" s="83" t="str">
        <f>IF(H743="","",SUMIF(Precio_Productos!K:K,C743,Precio_Productos!J:J)*H743)</f>
        <v/>
      </c>
      <c r="F743" s="86" t="str">
        <f t="shared" si="2"/>
        <v/>
      </c>
      <c r="G743" s="86" t="str">
        <f t="shared" si="3"/>
        <v/>
      </c>
      <c r="H743" s="15"/>
      <c r="P743" s="3" t="str">
        <f>IFERROR(__xludf.DUMMYFUNCTION("IF(OR(F743="""",F743=""Seleccionar..""),"""",TRANSPOSE(FILTER(Productos!E:E,(Productos!F:F=D743)+(Productos!F:F=XLOOKUP(D743,Implementos!B:B,Implementos!C:C,""-"",0,1)))))"),"")</f>
        <v/>
      </c>
    </row>
    <row r="744" hidden="1">
      <c r="A744" s="38" t="str">
        <f t="shared" si="1"/>
        <v/>
      </c>
      <c r="B744" s="38" t="str">
        <f>IF(F744="","",SUMIF(Prearmados!E:E,F744,Prearmados!A:A))</f>
        <v/>
      </c>
      <c r="C744" s="38" t="str">
        <f>IF(F744="","",SUMIF(Productos!E:E,G744,Productos!A:A))</f>
        <v/>
      </c>
      <c r="D744" s="85" t="str">
        <f t="array" ref="D744">IF(OR(F744="",F744="Seleccionar.."),"",XLOOKUP(F744,Prearmados!E:E,Prearmados!F:F,"",0,1))</f>
        <v/>
      </c>
      <c r="E744" s="83" t="str">
        <f>IF(H744="","",SUMIF(Precio_Productos!K:K,C744,Precio_Productos!J:J)*H744)</f>
        <v/>
      </c>
      <c r="F744" s="86" t="str">
        <f t="shared" si="2"/>
        <v/>
      </c>
      <c r="G744" s="86" t="str">
        <f t="shared" si="3"/>
        <v/>
      </c>
      <c r="H744" s="15"/>
      <c r="P744" s="3" t="str">
        <f>IFERROR(__xludf.DUMMYFUNCTION("IF(OR(F744="""",F744=""Seleccionar..""),"""",TRANSPOSE(FILTER(Productos!E:E,(Productos!F:F=D744)+(Productos!F:F=XLOOKUP(D744,Implementos!B:B,Implementos!C:C,""-"",0,1)))))"),"")</f>
        <v/>
      </c>
    </row>
    <row r="745" hidden="1">
      <c r="A745" s="38" t="str">
        <f t="shared" si="1"/>
        <v/>
      </c>
      <c r="B745" s="38" t="str">
        <f>IF(F745="","",SUMIF(Prearmados!E:E,F745,Prearmados!A:A))</f>
        <v/>
      </c>
      <c r="C745" s="38" t="str">
        <f>IF(F745="","",SUMIF(Productos!E:E,G745,Productos!A:A))</f>
        <v/>
      </c>
      <c r="D745" s="85" t="str">
        <f t="array" ref="D745">IF(OR(F745="",F745="Seleccionar.."),"",XLOOKUP(F745,Prearmados!E:E,Prearmados!F:F,"",0,1))</f>
        <v/>
      </c>
      <c r="E745" s="83" t="str">
        <f>IF(H745="","",SUMIF(Precio_Productos!K:K,C745,Precio_Productos!J:J)*H745)</f>
        <v/>
      </c>
      <c r="F745" s="86" t="str">
        <f t="shared" si="2"/>
        <v/>
      </c>
      <c r="G745" s="86" t="str">
        <f t="shared" si="3"/>
        <v/>
      </c>
      <c r="H745" s="15"/>
      <c r="P745" s="3" t="str">
        <f>IFERROR(__xludf.DUMMYFUNCTION("IF(OR(F745="""",F745=""Seleccionar..""),"""",TRANSPOSE(FILTER(Productos!E:E,(Productos!F:F=D745)+(Productos!F:F=XLOOKUP(D745,Implementos!B:B,Implementos!C:C,""-"",0,1)))))"),"")</f>
        <v/>
      </c>
    </row>
    <row r="746" hidden="1">
      <c r="A746" s="38" t="str">
        <f t="shared" si="1"/>
        <v/>
      </c>
      <c r="B746" s="38" t="str">
        <f>IF(F746="","",SUMIF(Prearmados!E:E,F746,Prearmados!A:A))</f>
        <v/>
      </c>
      <c r="C746" s="38" t="str">
        <f>IF(F746="","",SUMIF(Productos!E:E,G746,Productos!A:A))</f>
        <v/>
      </c>
      <c r="D746" s="85" t="str">
        <f t="array" ref="D746">IF(OR(F746="",F746="Seleccionar.."),"",XLOOKUP(F746,Prearmados!E:E,Prearmados!F:F,"",0,1))</f>
        <v/>
      </c>
      <c r="E746" s="83" t="str">
        <f>IF(H746="","",SUMIF(Precio_Productos!K:K,C746,Precio_Productos!J:J)*H746)</f>
        <v/>
      </c>
      <c r="F746" s="86" t="str">
        <f t="shared" si="2"/>
        <v/>
      </c>
      <c r="G746" s="86" t="str">
        <f t="shared" si="3"/>
        <v/>
      </c>
      <c r="H746" s="15"/>
      <c r="P746" s="3" t="str">
        <f>IFERROR(__xludf.DUMMYFUNCTION("IF(OR(F746="""",F746=""Seleccionar..""),"""",TRANSPOSE(FILTER(Productos!E:E,(Productos!F:F=D746)+(Productos!F:F=XLOOKUP(D746,Implementos!B:B,Implementos!C:C,""-"",0,1)))))"),"")</f>
        <v/>
      </c>
    </row>
    <row r="747" hidden="1">
      <c r="A747" s="38" t="str">
        <f t="shared" si="1"/>
        <v/>
      </c>
      <c r="B747" s="38" t="str">
        <f>IF(F747="","",SUMIF(Prearmados!E:E,F747,Prearmados!A:A))</f>
        <v/>
      </c>
      <c r="C747" s="38" t="str">
        <f>IF(F747="","",SUMIF(Productos!E:E,G747,Productos!A:A))</f>
        <v/>
      </c>
      <c r="D747" s="85" t="str">
        <f t="array" ref="D747">IF(OR(F747="",F747="Seleccionar.."),"",XLOOKUP(F747,Prearmados!E:E,Prearmados!F:F,"",0,1))</f>
        <v/>
      </c>
      <c r="E747" s="83" t="str">
        <f>IF(H747="","",SUMIF(Precio_Productos!K:K,C747,Precio_Productos!J:J)*H747)</f>
        <v/>
      </c>
      <c r="F747" s="86" t="str">
        <f t="shared" si="2"/>
        <v/>
      </c>
      <c r="G747" s="86" t="str">
        <f t="shared" si="3"/>
        <v/>
      </c>
      <c r="H747" s="15"/>
      <c r="P747" s="3" t="str">
        <f>IFERROR(__xludf.DUMMYFUNCTION("IF(OR(F747="""",F747=""Seleccionar..""),"""",TRANSPOSE(FILTER(Productos!E:E,(Productos!F:F=D747)+(Productos!F:F=XLOOKUP(D747,Implementos!B:B,Implementos!C:C,""-"",0,1)))))"),"")</f>
        <v/>
      </c>
    </row>
    <row r="748" hidden="1">
      <c r="A748" s="38" t="str">
        <f t="shared" si="1"/>
        <v/>
      </c>
      <c r="B748" s="38" t="str">
        <f>IF(F748="","",SUMIF(Prearmados!E:E,F748,Prearmados!A:A))</f>
        <v/>
      </c>
      <c r="C748" s="38" t="str">
        <f>IF(F748="","",SUMIF(Productos!E:E,G748,Productos!A:A))</f>
        <v/>
      </c>
      <c r="D748" s="85" t="str">
        <f t="array" ref="D748">IF(OR(F748="",F748="Seleccionar.."),"",XLOOKUP(F748,Prearmados!E:E,Prearmados!F:F,"",0,1))</f>
        <v/>
      </c>
      <c r="E748" s="83" t="str">
        <f>IF(H748="","",SUMIF(Precio_Productos!K:K,C748,Precio_Productos!J:J)*H748)</f>
        <v/>
      </c>
      <c r="F748" s="86" t="str">
        <f t="shared" si="2"/>
        <v/>
      </c>
      <c r="G748" s="86" t="str">
        <f t="shared" si="3"/>
        <v/>
      </c>
      <c r="H748" s="15"/>
      <c r="P748" s="3" t="str">
        <f>IFERROR(__xludf.DUMMYFUNCTION("IF(OR(F748="""",F748=""Seleccionar..""),"""",TRANSPOSE(FILTER(Productos!E:E,(Productos!F:F=D748)+(Productos!F:F=XLOOKUP(D748,Implementos!B:B,Implementos!C:C,""-"",0,1)))))"),"")</f>
        <v/>
      </c>
    </row>
    <row r="749" hidden="1">
      <c r="A749" s="38" t="str">
        <f t="shared" si="1"/>
        <v/>
      </c>
      <c r="B749" s="38" t="str">
        <f>IF(F749="","",SUMIF(Prearmados!E:E,F749,Prearmados!A:A))</f>
        <v/>
      </c>
      <c r="C749" s="38" t="str">
        <f>IF(F749="","",SUMIF(Productos!E:E,G749,Productos!A:A))</f>
        <v/>
      </c>
      <c r="D749" s="85" t="str">
        <f t="array" ref="D749">IF(OR(F749="",F749="Seleccionar.."),"",XLOOKUP(F749,Prearmados!E:E,Prearmados!F:F,"",0,1))</f>
        <v/>
      </c>
      <c r="E749" s="83" t="str">
        <f>IF(H749="","",SUMIF(Precio_Productos!K:K,C749,Precio_Productos!J:J)*H749)</f>
        <v/>
      </c>
      <c r="F749" s="86" t="str">
        <f t="shared" si="2"/>
        <v/>
      </c>
      <c r="G749" s="86" t="str">
        <f t="shared" si="3"/>
        <v/>
      </c>
      <c r="H749" s="15"/>
      <c r="P749" s="3" t="str">
        <f>IFERROR(__xludf.DUMMYFUNCTION("IF(OR(F749="""",F749=""Seleccionar..""),"""",TRANSPOSE(FILTER(Productos!E:E,(Productos!F:F=D749)+(Productos!F:F=XLOOKUP(D749,Implementos!B:B,Implementos!C:C,""-"",0,1)))))"),"")</f>
        <v/>
      </c>
    </row>
    <row r="750" hidden="1">
      <c r="A750" s="38" t="str">
        <f t="shared" si="1"/>
        <v/>
      </c>
      <c r="B750" s="38" t="str">
        <f>IF(F750="","",SUMIF(Prearmados!E:E,F750,Prearmados!A:A))</f>
        <v/>
      </c>
      <c r="C750" s="38" t="str">
        <f>IF(F750="","",SUMIF(Productos!E:E,G750,Productos!A:A))</f>
        <v/>
      </c>
      <c r="D750" s="85" t="str">
        <f t="array" ref="D750">IF(OR(F750="",F750="Seleccionar.."),"",XLOOKUP(F750,Prearmados!E:E,Prearmados!F:F,"",0,1))</f>
        <v/>
      </c>
      <c r="E750" s="83" t="str">
        <f>IF(H750="","",SUMIF(Precio_Productos!K:K,C750,Precio_Productos!J:J)*H750)</f>
        <v/>
      </c>
      <c r="F750" s="86" t="str">
        <f t="shared" si="2"/>
        <v/>
      </c>
      <c r="G750" s="86" t="str">
        <f t="shared" si="3"/>
        <v/>
      </c>
      <c r="H750" s="15"/>
      <c r="P750" s="3" t="str">
        <f>IFERROR(__xludf.DUMMYFUNCTION("IF(OR(F750="""",F750=""Seleccionar..""),"""",TRANSPOSE(FILTER(Productos!E:E,(Productos!F:F=D750)+(Productos!F:F=XLOOKUP(D750,Implementos!B:B,Implementos!C:C,""-"",0,1)))))"),"")</f>
        <v/>
      </c>
    </row>
    <row r="751" hidden="1">
      <c r="A751" s="38" t="str">
        <f t="shared" si="1"/>
        <v/>
      </c>
      <c r="B751" s="38" t="str">
        <f>IF(F751="","",SUMIF(Prearmados!E:E,F751,Prearmados!A:A))</f>
        <v/>
      </c>
      <c r="C751" s="38" t="str">
        <f>IF(F751="","",SUMIF(Productos!E:E,G751,Productos!A:A))</f>
        <v/>
      </c>
      <c r="D751" s="85" t="str">
        <f t="array" ref="D751">IF(OR(F751="",F751="Seleccionar.."),"",XLOOKUP(F751,Prearmados!E:E,Prearmados!F:F,"",0,1))</f>
        <v/>
      </c>
      <c r="E751" s="83" t="str">
        <f>IF(H751="","",SUMIF(Precio_Productos!K:K,C751,Precio_Productos!J:J)*H751)</f>
        <v/>
      </c>
      <c r="F751" s="86" t="str">
        <f t="shared" si="2"/>
        <v/>
      </c>
      <c r="G751" s="86" t="str">
        <f t="shared" si="3"/>
        <v/>
      </c>
      <c r="H751" s="15"/>
      <c r="P751" s="3" t="str">
        <f>IFERROR(__xludf.DUMMYFUNCTION("IF(OR(F751="""",F751=""Seleccionar..""),"""",TRANSPOSE(FILTER(Productos!E:E,(Productos!F:F=D751)+(Productos!F:F=XLOOKUP(D751,Implementos!B:B,Implementos!C:C,""-"",0,1)))))"),"")</f>
        <v/>
      </c>
    </row>
    <row r="752" hidden="1">
      <c r="A752" s="38" t="str">
        <f t="shared" si="1"/>
        <v/>
      </c>
      <c r="B752" s="38" t="str">
        <f>IF(F752="","",SUMIF(Prearmados!E:E,F752,Prearmados!A:A))</f>
        <v/>
      </c>
      <c r="C752" s="38" t="str">
        <f>IF(F752="","",SUMIF(Productos!E:E,G752,Productos!A:A))</f>
        <v/>
      </c>
      <c r="D752" s="85" t="str">
        <f t="array" ref="D752">IF(OR(F752="",F752="Seleccionar.."),"",XLOOKUP(F752,Prearmados!E:E,Prearmados!F:F,"",0,1))</f>
        <v/>
      </c>
      <c r="E752" s="83" t="str">
        <f>IF(H752="","",SUMIF(Precio_Productos!K:K,C752,Precio_Productos!J:J)*H752)</f>
        <v/>
      </c>
      <c r="F752" s="86" t="str">
        <f t="shared" si="2"/>
        <v/>
      </c>
      <c r="G752" s="86" t="str">
        <f t="shared" si="3"/>
        <v/>
      </c>
      <c r="H752" s="15"/>
      <c r="P752" s="3" t="str">
        <f>IFERROR(__xludf.DUMMYFUNCTION("IF(OR(F752="""",F752=""Seleccionar..""),"""",TRANSPOSE(FILTER(Productos!E:E,(Productos!F:F=D752)+(Productos!F:F=XLOOKUP(D752,Implementos!B:B,Implementos!C:C,""-"",0,1)))))"),"")</f>
        <v/>
      </c>
    </row>
    <row r="753" hidden="1">
      <c r="A753" s="38" t="str">
        <f t="shared" si="1"/>
        <v/>
      </c>
      <c r="B753" s="38" t="str">
        <f>IF(F753="","",SUMIF(Prearmados!E:E,F753,Prearmados!A:A))</f>
        <v/>
      </c>
      <c r="C753" s="38" t="str">
        <f>IF(F753="","",SUMIF(Productos!E:E,G753,Productos!A:A))</f>
        <v/>
      </c>
      <c r="D753" s="85" t="str">
        <f t="array" ref="D753">IF(OR(F753="",F753="Seleccionar.."),"",XLOOKUP(F753,Prearmados!E:E,Prearmados!F:F,"",0,1))</f>
        <v/>
      </c>
      <c r="E753" s="83" t="str">
        <f>IF(H753="","",SUMIF(Precio_Productos!K:K,C753,Precio_Productos!J:J)*H753)</f>
        <v/>
      </c>
      <c r="F753" s="86" t="str">
        <f t="shared" si="2"/>
        <v/>
      </c>
      <c r="G753" s="86" t="str">
        <f t="shared" si="3"/>
        <v/>
      </c>
      <c r="H753" s="15"/>
      <c r="P753" s="3" t="str">
        <f>IFERROR(__xludf.DUMMYFUNCTION("IF(OR(F753="""",F753=""Seleccionar..""),"""",TRANSPOSE(FILTER(Productos!E:E,(Productos!F:F=D753)+(Productos!F:F=XLOOKUP(D753,Implementos!B:B,Implementos!C:C,""-"",0,1)))))"),"")</f>
        <v/>
      </c>
    </row>
    <row r="754" hidden="1">
      <c r="A754" s="38" t="str">
        <f t="shared" si="1"/>
        <v/>
      </c>
      <c r="B754" s="38" t="str">
        <f>IF(F754="","",SUMIF(Prearmados!E:E,F754,Prearmados!A:A))</f>
        <v/>
      </c>
      <c r="C754" s="38" t="str">
        <f>IF(F754="","",SUMIF(Productos!E:E,G754,Productos!A:A))</f>
        <v/>
      </c>
      <c r="D754" s="85" t="str">
        <f t="array" ref="D754">IF(OR(F754="",F754="Seleccionar.."),"",XLOOKUP(F754,Prearmados!E:E,Prearmados!F:F,"",0,1))</f>
        <v/>
      </c>
      <c r="E754" s="83" t="str">
        <f>IF(H754="","",SUMIF(Precio_Productos!K:K,C754,Precio_Productos!J:J)*H754)</f>
        <v/>
      </c>
      <c r="F754" s="86" t="str">
        <f t="shared" si="2"/>
        <v/>
      </c>
      <c r="G754" s="86" t="str">
        <f t="shared" si="3"/>
        <v/>
      </c>
      <c r="H754" s="15"/>
      <c r="P754" s="3" t="str">
        <f>IFERROR(__xludf.DUMMYFUNCTION("IF(OR(F754="""",F754=""Seleccionar..""),"""",TRANSPOSE(FILTER(Productos!E:E,(Productos!F:F=D754)+(Productos!F:F=XLOOKUP(D754,Implementos!B:B,Implementos!C:C,""-"",0,1)))))"),"")</f>
        <v/>
      </c>
    </row>
    <row r="755" hidden="1">
      <c r="A755" s="38" t="str">
        <f t="shared" si="1"/>
        <v/>
      </c>
      <c r="B755" s="38" t="str">
        <f>IF(F755="","",SUMIF(Prearmados!E:E,F755,Prearmados!A:A))</f>
        <v/>
      </c>
      <c r="C755" s="38" t="str">
        <f>IF(F755="","",SUMIF(Productos!E:E,G755,Productos!A:A))</f>
        <v/>
      </c>
      <c r="D755" s="85" t="str">
        <f t="array" ref="D755">IF(OR(F755="",F755="Seleccionar.."),"",XLOOKUP(F755,Prearmados!E:E,Prearmados!F:F,"",0,1))</f>
        <v/>
      </c>
      <c r="E755" s="83" t="str">
        <f>IF(H755="","",SUMIF(Precio_Productos!K:K,C755,Precio_Productos!J:J)*H755)</f>
        <v/>
      </c>
      <c r="F755" s="86" t="str">
        <f t="shared" si="2"/>
        <v/>
      </c>
      <c r="G755" s="86" t="str">
        <f t="shared" si="3"/>
        <v/>
      </c>
      <c r="H755" s="15"/>
      <c r="P755" s="3" t="str">
        <f>IFERROR(__xludf.DUMMYFUNCTION("IF(OR(F755="""",F755=""Seleccionar..""),"""",TRANSPOSE(FILTER(Productos!E:E,(Productos!F:F=D755)+(Productos!F:F=XLOOKUP(D755,Implementos!B:B,Implementos!C:C,""-"",0,1)))))"),"")</f>
        <v/>
      </c>
    </row>
    <row r="756" hidden="1">
      <c r="A756" s="38" t="str">
        <f t="shared" si="1"/>
        <v/>
      </c>
      <c r="B756" s="38" t="str">
        <f>IF(F756="","",SUMIF(Prearmados!E:E,F756,Prearmados!A:A))</f>
        <v/>
      </c>
      <c r="C756" s="38" t="str">
        <f>IF(F756="","",SUMIF(Productos!E:E,G756,Productos!A:A))</f>
        <v/>
      </c>
      <c r="D756" s="85" t="str">
        <f t="array" ref="D756">IF(OR(F756="",F756="Seleccionar.."),"",XLOOKUP(F756,Prearmados!E:E,Prearmados!F:F,"",0,1))</f>
        <v/>
      </c>
      <c r="E756" s="83" t="str">
        <f>IF(H756="","",SUMIF(Precio_Productos!K:K,C756,Precio_Productos!J:J)*H756)</f>
        <v/>
      </c>
      <c r="F756" s="86" t="str">
        <f t="shared" si="2"/>
        <v/>
      </c>
      <c r="G756" s="86" t="str">
        <f t="shared" si="3"/>
        <v/>
      </c>
      <c r="H756" s="15"/>
      <c r="P756" s="3" t="str">
        <f>IFERROR(__xludf.DUMMYFUNCTION("IF(OR(F756="""",F756=""Seleccionar..""),"""",TRANSPOSE(FILTER(Productos!E:E,(Productos!F:F=D756)+(Productos!F:F=XLOOKUP(D756,Implementos!B:B,Implementos!C:C,""-"",0,1)))))"),"")</f>
        <v/>
      </c>
    </row>
    <row r="757" hidden="1">
      <c r="A757" s="38" t="str">
        <f t="shared" si="1"/>
        <v/>
      </c>
      <c r="B757" s="38" t="str">
        <f>IF(F757="","",SUMIF(Prearmados!E:E,F757,Prearmados!A:A))</f>
        <v/>
      </c>
      <c r="C757" s="38" t="str">
        <f>IF(F757="","",SUMIF(Productos!E:E,G757,Productos!A:A))</f>
        <v/>
      </c>
      <c r="D757" s="85" t="str">
        <f t="array" ref="D757">IF(OR(F757="",F757="Seleccionar.."),"",XLOOKUP(F757,Prearmados!E:E,Prearmados!F:F,"",0,1))</f>
        <v/>
      </c>
      <c r="E757" s="83" t="str">
        <f>IF(H757="","",SUMIF(Precio_Productos!K:K,C757,Precio_Productos!J:J)*H757)</f>
        <v/>
      </c>
      <c r="F757" s="86" t="str">
        <f t="shared" si="2"/>
        <v/>
      </c>
      <c r="G757" s="86" t="str">
        <f t="shared" si="3"/>
        <v/>
      </c>
      <c r="H757" s="15"/>
      <c r="P757" s="3" t="str">
        <f>IFERROR(__xludf.DUMMYFUNCTION("IF(OR(F757="""",F757=""Seleccionar..""),"""",TRANSPOSE(FILTER(Productos!E:E,(Productos!F:F=D757)+(Productos!F:F=XLOOKUP(D757,Implementos!B:B,Implementos!C:C,""-"",0,1)))))"),"")</f>
        <v/>
      </c>
    </row>
    <row r="758" hidden="1">
      <c r="A758" s="38" t="str">
        <f t="shared" si="1"/>
        <v/>
      </c>
      <c r="B758" s="38" t="str">
        <f>IF(F758="","",SUMIF(Prearmados!E:E,F758,Prearmados!A:A))</f>
        <v/>
      </c>
      <c r="C758" s="38" t="str">
        <f>IF(F758="","",SUMIF(Productos!E:E,G758,Productos!A:A))</f>
        <v/>
      </c>
      <c r="D758" s="85" t="str">
        <f t="array" ref="D758">IF(OR(F758="",F758="Seleccionar.."),"",XLOOKUP(F758,Prearmados!E:E,Prearmados!F:F,"",0,1))</f>
        <v/>
      </c>
      <c r="E758" s="83" t="str">
        <f>IF(H758="","",SUMIF(Precio_Productos!K:K,C758,Precio_Productos!J:J)*H758)</f>
        <v/>
      </c>
      <c r="F758" s="86" t="str">
        <f t="shared" si="2"/>
        <v/>
      </c>
      <c r="G758" s="86" t="str">
        <f t="shared" si="3"/>
        <v/>
      </c>
      <c r="H758" s="15"/>
      <c r="P758" s="3" t="str">
        <f>IFERROR(__xludf.DUMMYFUNCTION("IF(OR(F758="""",F758=""Seleccionar..""),"""",TRANSPOSE(FILTER(Productos!E:E,(Productos!F:F=D758)+(Productos!F:F=XLOOKUP(D758,Implementos!B:B,Implementos!C:C,""-"",0,1)))))"),"")</f>
        <v/>
      </c>
    </row>
    <row r="759" hidden="1">
      <c r="A759" s="38" t="str">
        <f t="shared" si="1"/>
        <v/>
      </c>
      <c r="B759" s="38" t="str">
        <f>IF(F759="","",SUMIF(Prearmados!E:E,F759,Prearmados!A:A))</f>
        <v/>
      </c>
      <c r="C759" s="38" t="str">
        <f>IF(F759="","",SUMIF(Productos!E:E,G759,Productos!A:A))</f>
        <v/>
      </c>
      <c r="D759" s="85" t="str">
        <f t="array" ref="D759">IF(OR(F759="",F759="Seleccionar.."),"",XLOOKUP(F759,Prearmados!E:E,Prearmados!F:F,"",0,1))</f>
        <v/>
      </c>
      <c r="E759" s="83" t="str">
        <f>IF(H759="","",SUMIF(Precio_Productos!K:K,C759,Precio_Productos!J:J)*H759)</f>
        <v/>
      </c>
      <c r="F759" s="86" t="str">
        <f t="shared" si="2"/>
        <v/>
      </c>
      <c r="G759" s="86" t="str">
        <f t="shared" si="3"/>
        <v/>
      </c>
      <c r="H759" s="15"/>
      <c r="P759" s="3" t="str">
        <f>IFERROR(__xludf.DUMMYFUNCTION("IF(OR(F759="""",F759=""Seleccionar..""),"""",TRANSPOSE(FILTER(Productos!E:E,(Productos!F:F=D759)+(Productos!F:F=XLOOKUP(D759,Implementos!B:B,Implementos!C:C,""-"",0,1)))))"),"")</f>
        <v/>
      </c>
    </row>
    <row r="760" hidden="1">
      <c r="A760" s="38" t="str">
        <f t="shared" si="1"/>
        <v/>
      </c>
      <c r="B760" s="38" t="str">
        <f>IF(F760="","",SUMIF(Prearmados!E:E,F760,Prearmados!A:A))</f>
        <v/>
      </c>
      <c r="C760" s="38" t="str">
        <f>IF(F760="","",SUMIF(Productos!E:E,G760,Productos!A:A))</f>
        <v/>
      </c>
      <c r="D760" s="85" t="str">
        <f t="array" ref="D760">IF(OR(F760="",F760="Seleccionar.."),"",XLOOKUP(F760,Prearmados!E:E,Prearmados!F:F,"",0,1))</f>
        <v/>
      </c>
      <c r="E760" s="83" t="str">
        <f>IF(H760="","",SUMIF(Precio_Productos!K:K,C760,Precio_Productos!J:J)*H760)</f>
        <v/>
      </c>
      <c r="F760" s="86" t="str">
        <f t="shared" si="2"/>
        <v/>
      </c>
      <c r="G760" s="86" t="str">
        <f t="shared" si="3"/>
        <v/>
      </c>
      <c r="H760" s="15"/>
      <c r="P760" s="3" t="str">
        <f>IFERROR(__xludf.DUMMYFUNCTION("IF(OR(F760="""",F760=""Seleccionar..""),"""",TRANSPOSE(FILTER(Productos!E:E,(Productos!F:F=D760)+(Productos!F:F=XLOOKUP(D760,Implementos!B:B,Implementos!C:C,""-"",0,1)))))"),"")</f>
        <v/>
      </c>
    </row>
    <row r="761" hidden="1">
      <c r="A761" s="38" t="str">
        <f t="shared" si="1"/>
        <v/>
      </c>
      <c r="B761" s="38" t="str">
        <f>IF(F761="","",SUMIF(Prearmados!E:E,F761,Prearmados!A:A))</f>
        <v/>
      </c>
      <c r="C761" s="38" t="str">
        <f>IF(F761="","",SUMIF(Productos!E:E,G761,Productos!A:A))</f>
        <v/>
      </c>
      <c r="D761" s="85" t="str">
        <f t="array" ref="D761">IF(OR(F761="",F761="Seleccionar.."),"",XLOOKUP(F761,Prearmados!E:E,Prearmados!F:F,"",0,1))</f>
        <v/>
      </c>
      <c r="E761" s="83" t="str">
        <f>IF(H761="","",SUMIF(Precio_Productos!K:K,C761,Precio_Productos!J:J)*H761)</f>
        <v/>
      </c>
      <c r="F761" s="86" t="str">
        <f t="shared" si="2"/>
        <v/>
      </c>
      <c r="G761" s="86" t="str">
        <f t="shared" si="3"/>
        <v/>
      </c>
      <c r="H761" s="15"/>
      <c r="P761" s="3" t="str">
        <f>IFERROR(__xludf.DUMMYFUNCTION("IF(OR(F761="""",F761=""Seleccionar..""),"""",TRANSPOSE(FILTER(Productos!E:E,(Productos!F:F=D761)+(Productos!F:F=XLOOKUP(D761,Implementos!B:B,Implementos!C:C,""-"",0,1)))))"),"")</f>
        <v/>
      </c>
    </row>
    <row r="762" hidden="1">
      <c r="A762" s="38" t="str">
        <f t="shared" si="1"/>
        <v/>
      </c>
      <c r="B762" s="38" t="str">
        <f>IF(F762="","",SUMIF(Prearmados!E:E,F762,Prearmados!A:A))</f>
        <v/>
      </c>
      <c r="C762" s="38" t="str">
        <f>IF(F762="","",SUMIF(Productos!E:E,G762,Productos!A:A))</f>
        <v/>
      </c>
      <c r="D762" s="85" t="str">
        <f t="array" ref="D762">IF(OR(F762="",F762="Seleccionar.."),"",XLOOKUP(F762,Prearmados!E:E,Prearmados!F:F,"",0,1))</f>
        <v/>
      </c>
      <c r="E762" s="83" t="str">
        <f>IF(H762="","",SUMIF(Precio_Productos!K:K,C762,Precio_Productos!J:J)*H762)</f>
        <v/>
      </c>
      <c r="F762" s="86" t="str">
        <f t="shared" si="2"/>
        <v/>
      </c>
      <c r="G762" s="86" t="str">
        <f t="shared" si="3"/>
        <v/>
      </c>
      <c r="H762" s="15"/>
      <c r="P762" s="3" t="str">
        <f>IFERROR(__xludf.DUMMYFUNCTION("IF(OR(F762="""",F762=""Seleccionar..""),"""",TRANSPOSE(FILTER(Productos!E:E,(Productos!F:F=D762)+(Productos!F:F=XLOOKUP(D762,Implementos!B:B,Implementos!C:C,""-"",0,1)))))"),"")</f>
        <v/>
      </c>
    </row>
    <row r="763" hidden="1">
      <c r="A763" s="38" t="str">
        <f t="shared" si="1"/>
        <v/>
      </c>
      <c r="B763" s="38" t="str">
        <f>IF(F763="","",SUMIF(Prearmados!E:E,F763,Prearmados!A:A))</f>
        <v/>
      </c>
      <c r="C763" s="38" t="str">
        <f>IF(F763="","",SUMIF(Productos!E:E,G763,Productos!A:A))</f>
        <v/>
      </c>
      <c r="D763" s="85" t="str">
        <f t="array" ref="D763">IF(OR(F763="",F763="Seleccionar.."),"",XLOOKUP(F763,Prearmados!E:E,Prearmados!F:F,"",0,1))</f>
        <v/>
      </c>
      <c r="E763" s="83" t="str">
        <f>IF(H763="","",SUMIF(Precio_Productos!K:K,C763,Precio_Productos!J:J)*H763)</f>
        <v/>
      </c>
      <c r="F763" s="86" t="str">
        <f t="shared" si="2"/>
        <v/>
      </c>
      <c r="G763" s="86" t="str">
        <f t="shared" si="3"/>
        <v/>
      </c>
      <c r="H763" s="15"/>
      <c r="P763" s="3" t="str">
        <f>IFERROR(__xludf.DUMMYFUNCTION("IF(OR(F763="""",F763=""Seleccionar..""),"""",TRANSPOSE(FILTER(Productos!E:E,(Productos!F:F=D763)+(Productos!F:F=XLOOKUP(D763,Implementos!B:B,Implementos!C:C,""-"",0,1)))))"),"")</f>
        <v/>
      </c>
    </row>
    <row r="764" hidden="1">
      <c r="A764" s="38" t="str">
        <f t="shared" si="1"/>
        <v/>
      </c>
      <c r="B764" s="38" t="str">
        <f>IF(F764="","",SUMIF(Prearmados!E:E,F764,Prearmados!A:A))</f>
        <v/>
      </c>
      <c r="C764" s="38" t="str">
        <f>IF(F764="","",SUMIF(Productos!E:E,G764,Productos!A:A))</f>
        <v/>
      </c>
      <c r="D764" s="85" t="str">
        <f t="array" ref="D764">IF(OR(F764="",F764="Seleccionar.."),"",XLOOKUP(F764,Prearmados!E:E,Prearmados!F:F,"",0,1))</f>
        <v/>
      </c>
      <c r="E764" s="83" t="str">
        <f>IF(H764="","",SUMIF(Precio_Productos!K:K,C764,Precio_Productos!J:J)*H764)</f>
        <v/>
      </c>
      <c r="F764" s="86" t="str">
        <f t="shared" si="2"/>
        <v/>
      </c>
      <c r="G764" s="86" t="str">
        <f t="shared" si="3"/>
        <v/>
      </c>
      <c r="H764" s="15"/>
      <c r="P764" s="3" t="str">
        <f>IFERROR(__xludf.DUMMYFUNCTION("IF(OR(F764="""",F764=""Seleccionar..""),"""",TRANSPOSE(FILTER(Productos!E:E,(Productos!F:F=D764)+(Productos!F:F=XLOOKUP(D764,Implementos!B:B,Implementos!C:C,""-"",0,1)))))"),"")</f>
        <v/>
      </c>
    </row>
    <row r="765" hidden="1">
      <c r="A765" s="38" t="str">
        <f t="shared" si="1"/>
        <v/>
      </c>
      <c r="B765" s="38" t="str">
        <f>IF(F765="","",SUMIF(Prearmados!E:E,F765,Prearmados!A:A))</f>
        <v/>
      </c>
      <c r="C765" s="38" t="str">
        <f>IF(F765="","",SUMIF(Productos!E:E,G765,Productos!A:A))</f>
        <v/>
      </c>
      <c r="D765" s="85" t="str">
        <f t="array" ref="D765">IF(OR(F765="",F765="Seleccionar.."),"",XLOOKUP(F765,Prearmados!E:E,Prearmados!F:F,"",0,1))</f>
        <v/>
      </c>
      <c r="E765" s="83" t="str">
        <f>IF(H765="","",SUMIF(Precio_Productos!K:K,C765,Precio_Productos!J:J)*H765)</f>
        <v/>
      </c>
      <c r="F765" s="86" t="str">
        <f t="shared" si="2"/>
        <v/>
      </c>
      <c r="G765" s="86" t="str">
        <f t="shared" si="3"/>
        <v/>
      </c>
      <c r="H765" s="15"/>
      <c r="P765" s="3" t="str">
        <f>IFERROR(__xludf.DUMMYFUNCTION("IF(OR(F765="""",F765=""Seleccionar..""),"""",TRANSPOSE(FILTER(Productos!E:E,(Productos!F:F=D765)+(Productos!F:F=XLOOKUP(D765,Implementos!B:B,Implementos!C:C,""-"",0,1)))))"),"")</f>
        <v/>
      </c>
    </row>
    <row r="766" hidden="1">
      <c r="A766" s="38" t="str">
        <f t="shared" si="1"/>
        <v/>
      </c>
      <c r="B766" s="38" t="str">
        <f>IF(F766="","",SUMIF(Prearmados!E:E,F766,Prearmados!A:A))</f>
        <v/>
      </c>
      <c r="C766" s="38" t="str">
        <f>IF(F766="","",SUMIF(Productos!E:E,G766,Productos!A:A))</f>
        <v/>
      </c>
      <c r="D766" s="85" t="str">
        <f t="array" ref="D766">IF(OR(F766="",F766="Seleccionar.."),"",XLOOKUP(F766,Prearmados!E:E,Prearmados!F:F,"",0,1))</f>
        <v/>
      </c>
      <c r="E766" s="83" t="str">
        <f>IF(H766="","",SUMIF(Precio_Productos!K:K,C766,Precio_Productos!J:J)*H766)</f>
        <v/>
      </c>
      <c r="F766" s="86" t="str">
        <f t="shared" si="2"/>
        <v/>
      </c>
      <c r="G766" s="86" t="str">
        <f t="shared" si="3"/>
        <v/>
      </c>
      <c r="H766" s="15"/>
      <c r="P766" s="3" t="str">
        <f>IFERROR(__xludf.DUMMYFUNCTION("IF(OR(F766="""",F766=""Seleccionar..""),"""",TRANSPOSE(FILTER(Productos!E:E,(Productos!F:F=D766)+(Productos!F:F=XLOOKUP(D766,Implementos!B:B,Implementos!C:C,""-"",0,1)))))"),"")</f>
        <v/>
      </c>
    </row>
    <row r="767" hidden="1">
      <c r="A767" s="38" t="str">
        <f t="shared" si="1"/>
        <v/>
      </c>
      <c r="B767" s="38" t="str">
        <f>IF(F767="","",SUMIF(Prearmados!E:E,F767,Prearmados!A:A))</f>
        <v/>
      </c>
      <c r="C767" s="38" t="str">
        <f>IF(F767="","",SUMIF(Productos!E:E,G767,Productos!A:A))</f>
        <v/>
      </c>
      <c r="D767" s="85" t="str">
        <f t="array" ref="D767">IF(OR(F767="",F767="Seleccionar.."),"",XLOOKUP(F767,Prearmados!E:E,Prearmados!F:F,"",0,1))</f>
        <v/>
      </c>
      <c r="E767" s="83" t="str">
        <f>IF(H767="","",SUMIF(Precio_Productos!K:K,C767,Precio_Productos!J:J)*H767)</f>
        <v/>
      </c>
      <c r="F767" s="86" t="str">
        <f t="shared" si="2"/>
        <v/>
      </c>
      <c r="G767" s="86" t="str">
        <f t="shared" si="3"/>
        <v/>
      </c>
      <c r="H767" s="15"/>
      <c r="P767" s="3" t="str">
        <f>IFERROR(__xludf.DUMMYFUNCTION("IF(OR(F767="""",F767=""Seleccionar..""),"""",TRANSPOSE(FILTER(Productos!E:E,(Productos!F:F=D767)+(Productos!F:F=XLOOKUP(D767,Implementos!B:B,Implementos!C:C,""-"",0,1)))))"),"")</f>
        <v/>
      </c>
    </row>
    <row r="768" hidden="1">
      <c r="A768" s="38" t="str">
        <f t="shared" si="1"/>
        <v/>
      </c>
      <c r="B768" s="38" t="str">
        <f>IF(F768="","",SUMIF(Prearmados!E:E,F768,Prearmados!A:A))</f>
        <v/>
      </c>
      <c r="C768" s="38" t="str">
        <f>IF(F768="","",SUMIF(Productos!E:E,G768,Productos!A:A))</f>
        <v/>
      </c>
      <c r="D768" s="85" t="str">
        <f t="array" ref="D768">IF(OR(F768="",F768="Seleccionar.."),"",XLOOKUP(F768,Prearmados!E:E,Prearmados!F:F,"",0,1))</f>
        <v/>
      </c>
      <c r="E768" s="83" t="str">
        <f>IF(H768="","",SUMIF(Precio_Productos!K:K,C768,Precio_Productos!J:J)*H768)</f>
        <v/>
      </c>
      <c r="F768" s="86" t="str">
        <f t="shared" si="2"/>
        <v/>
      </c>
      <c r="G768" s="86" t="str">
        <f t="shared" si="3"/>
        <v/>
      </c>
      <c r="H768" s="15"/>
      <c r="P768" s="3" t="str">
        <f>IFERROR(__xludf.DUMMYFUNCTION("IF(OR(F768="""",F768=""Seleccionar..""),"""",TRANSPOSE(FILTER(Productos!E:E,(Productos!F:F=D768)+(Productos!F:F=XLOOKUP(D768,Implementos!B:B,Implementos!C:C,""-"",0,1)))))"),"")</f>
        <v/>
      </c>
    </row>
    <row r="769" hidden="1">
      <c r="A769" s="38" t="str">
        <f t="shared" si="1"/>
        <v/>
      </c>
      <c r="B769" s="38" t="str">
        <f>IF(F769="","",SUMIF(Prearmados!E:E,F769,Prearmados!A:A))</f>
        <v/>
      </c>
      <c r="C769" s="38" t="str">
        <f>IF(F769="","",SUMIF(Productos!E:E,G769,Productos!A:A))</f>
        <v/>
      </c>
      <c r="D769" s="85" t="str">
        <f t="array" ref="D769">IF(OR(F769="",F769="Seleccionar.."),"",XLOOKUP(F769,Prearmados!E:E,Prearmados!F:F,"",0,1))</f>
        <v/>
      </c>
      <c r="E769" s="83" t="str">
        <f>IF(H769="","",SUMIF(Precio_Productos!K:K,C769,Precio_Productos!J:J)*H769)</f>
        <v/>
      </c>
      <c r="F769" s="86" t="str">
        <f t="shared" si="2"/>
        <v/>
      </c>
      <c r="G769" s="86" t="str">
        <f t="shared" si="3"/>
        <v/>
      </c>
      <c r="H769" s="15"/>
      <c r="P769" s="3" t="str">
        <f>IFERROR(__xludf.DUMMYFUNCTION("IF(OR(F769="""",F769=""Seleccionar..""),"""",TRANSPOSE(FILTER(Productos!E:E,(Productos!F:F=D769)+(Productos!F:F=XLOOKUP(D769,Implementos!B:B,Implementos!C:C,""-"",0,1)))))"),"")</f>
        <v/>
      </c>
    </row>
    <row r="770" hidden="1">
      <c r="A770" s="38" t="str">
        <f t="shared" si="1"/>
        <v/>
      </c>
      <c r="B770" s="38" t="str">
        <f>IF(F770="","",SUMIF(Prearmados!E:E,F770,Prearmados!A:A))</f>
        <v/>
      </c>
      <c r="C770" s="38" t="str">
        <f>IF(F770="","",SUMIF(Productos!E:E,G770,Productos!A:A))</f>
        <v/>
      </c>
      <c r="D770" s="85" t="str">
        <f t="array" ref="D770">IF(OR(F770="",F770="Seleccionar.."),"",XLOOKUP(F770,Prearmados!E:E,Prearmados!F:F,"",0,1))</f>
        <v/>
      </c>
      <c r="E770" s="83" t="str">
        <f>IF(H770="","",SUMIF(Precio_Productos!K:K,C770,Precio_Productos!J:J)*H770)</f>
        <v/>
      </c>
      <c r="F770" s="86" t="str">
        <f t="shared" si="2"/>
        <v/>
      </c>
      <c r="G770" s="86" t="str">
        <f t="shared" si="3"/>
        <v/>
      </c>
      <c r="H770" s="15"/>
      <c r="P770" s="3" t="str">
        <f>IFERROR(__xludf.DUMMYFUNCTION("IF(OR(F770="""",F770=""Seleccionar..""),"""",TRANSPOSE(FILTER(Productos!E:E,(Productos!F:F=D770)+(Productos!F:F=XLOOKUP(D770,Implementos!B:B,Implementos!C:C,""-"",0,1)))))"),"")</f>
        <v/>
      </c>
    </row>
    <row r="771" hidden="1">
      <c r="A771" s="38" t="str">
        <f t="shared" si="1"/>
        <v/>
      </c>
      <c r="B771" s="38" t="str">
        <f>IF(F771="","",SUMIF(Prearmados!E:E,F771,Prearmados!A:A))</f>
        <v/>
      </c>
      <c r="C771" s="38" t="str">
        <f>IF(F771="","",SUMIF(Productos!E:E,G771,Productos!A:A))</f>
        <v/>
      </c>
      <c r="D771" s="85" t="str">
        <f t="array" ref="D771">IF(OR(F771="",F771="Seleccionar.."),"",XLOOKUP(F771,Prearmados!E:E,Prearmados!F:F,"",0,1))</f>
        <v/>
      </c>
      <c r="E771" s="83" t="str">
        <f>IF(H771="","",SUMIF(Precio_Productos!K:K,C771,Precio_Productos!J:J)*H771)</f>
        <v/>
      </c>
      <c r="F771" s="86" t="str">
        <f t="shared" si="2"/>
        <v/>
      </c>
      <c r="G771" s="86" t="str">
        <f t="shared" si="3"/>
        <v/>
      </c>
      <c r="H771" s="15"/>
      <c r="P771" s="3" t="str">
        <f>IFERROR(__xludf.DUMMYFUNCTION("IF(OR(F771="""",F771=""Seleccionar..""),"""",TRANSPOSE(FILTER(Productos!E:E,(Productos!F:F=D771)+(Productos!F:F=XLOOKUP(D771,Implementos!B:B,Implementos!C:C,""-"",0,1)))))"),"")</f>
        <v/>
      </c>
    </row>
    <row r="772" hidden="1">
      <c r="A772" s="38" t="str">
        <f t="shared" si="1"/>
        <v/>
      </c>
      <c r="B772" s="38" t="str">
        <f>IF(F772="","",SUMIF(Prearmados!E:E,F772,Prearmados!A:A))</f>
        <v/>
      </c>
      <c r="C772" s="38" t="str">
        <f>IF(F772="","",SUMIF(Productos!E:E,G772,Productos!A:A))</f>
        <v/>
      </c>
      <c r="D772" s="85" t="str">
        <f t="array" ref="D772">IF(OR(F772="",F772="Seleccionar.."),"",XLOOKUP(F772,Prearmados!E:E,Prearmados!F:F,"",0,1))</f>
        <v/>
      </c>
      <c r="E772" s="83" t="str">
        <f>IF(H772="","",SUMIF(Precio_Productos!K:K,C772,Precio_Productos!J:J)*H772)</f>
        <v/>
      </c>
      <c r="F772" s="86" t="str">
        <f t="shared" si="2"/>
        <v/>
      </c>
      <c r="G772" s="86" t="str">
        <f t="shared" si="3"/>
        <v/>
      </c>
      <c r="H772" s="15"/>
      <c r="P772" s="3" t="str">
        <f>IFERROR(__xludf.DUMMYFUNCTION("IF(OR(F772="""",F772=""Seleccionar..""),"""",TRANSPOSE(FILTER(Productos!E:E,(Productos!F:F=D772)+(Productos!F:F=XLOOKUP(D772,Implementos!B:B,Implementos!C:C,""-"",0,1)))))"),"")</f>
        <v/>
      </c>
    </row>
    <row r="773" hidden="1">
      <c r="A773" s="38" t="str">
        <f t="shared" si="1"/>
        <v/>
      </c>
      <c r="B773" s="38" t="str">
        <f>IF(F773="","",SUMIF(Prearmados!E:E,F773,Prearmados!A:A))</f>
        <v/>
      </c>
      <c r="C773" s="38" t="str">
        <f>IF(F773="","",SUMIF(Productos!E:E,G773,Productos!A:A))</f>
        <v/>
      </c>
      <c r="D773" s="85" t="str">
        <f t="array" ref="D773">IF(OR(F773="",F773="Seleccionar.."),"",XLOOKUP(F773,Prearmados!E:E,Prearmados!F:F,"",0,1))</f>
        <v/>
      </c>
      <c r="E773" s="83" t="str">
        <f>IF(H773="","",SUMIF(Precio_Productos!K:K,C773,Precio_Productos!J:J)*H773)</f>
        <v/>
      </c>
      <c r="F773" s="86" t="str">
        <f t="shared" si="2"/>
        <v/>
      </c>
      <c r="G773" s="86" t="str">
        <f t="shared" si="3"/>
        <v/>
      </c>
      <c r="H773" s="15"/>
      <c r="P773" s="3" t="str">
        <f>IFERROR(__xludf.DUMMYFUNCTION("IF(OR(F773="""",F773=""Seleccionar..""),"""",TRANSPOSE(FILTER(Productos!E:E,(Productos!F:F=D773)+(Productos!F:F=XLOOKUP(D773,Implementos!B:B,Implementos!C:C,""-"",0,1)))))"),"")</f>
        <v/>
      </c>
    </row>
    <row r="774" hidden="1">
      <c r="A774" s="38" t="str">
        <f t="shared" si="1"/>
        <v/>
      </c>
      <c r="B774" s="38" t="str">
        <f>IF(F774="","",SUMIF(Prearmados!E:E,F774,Prearmados!A:A))</f>
        <v/>
      </c>
      <c r="C774" s="38" t="str">
        <f>IF(F774="","",SUMIF(Productos!E:E,G774,Productos!A:A))</f>
        <v/>
      </c>
      <c r="D774" s="85" t="str">
        <f t="array" ref="D774">IF(OR(F774="",F774="Seleccionar.."),"",XLOOKUP(F774,Prearmados!E:E,Prearmados!F:F,"",0,1))</f>
        <v/>
      </c>
      <c r="E774" s="83" t="str">
        <f>IF(H774="","",SUMIF(Precio_Productos!K:K,C774,Precio_Productos!J:J)*H774)</f>
        <v/>
      </c>
      <c r="F774" s="86" t="str">
        <f t="shared" si="2"/>
        <v/>
      </c>
      <c r="G774" s="86" t="str">
        <f t="shared" si="3"/>
        <v/>
      </c>
      <c r="H774" s="15"/>
      <c r="P774" s="3" t="str">
        <f>IFERROR(__xludf.DUMMYFUNCTION("IF(OR(F774="""",F774=""Seleccionar..""),"""",TRANSPOSE(FILTER(Productos!E:E,(Productos!F:F=D774)+(Productos!F:F=XLOOKUP(D774,Implementos!B:B,Implementos!C:C,""-"",0,1)))))"),"")</f>
        <v/>
      </c>
    </row>
    <row r="775" hidden="1">
      <c r="A775" s="38" t="str">
        <f t="shared" si="1"/>
        <v/>
      </c>
      <c r="B775" s="38" t="str">
        <f>IF(F775="","",SUMIF(Prearmados!E:E,F775,Prearmados!A:A))</f>
        <v/>
      </c>
      <c r="C775" s="38" t="str">
        <f>IF(F775="","",SUMIF(Productos!E:E,G775,Productos!A:A))</f>
        <v/>
      </c>
      <c r="D775" s="85" t="str">
        <f t="array" ref="D775">IF(OR(F775="",F775="Seleccionar.."),"",XLOOKUP(F775,Prearmados!E:E,Prearmados!F:F,"",0,1))</f>
        <v/>
      </c>
      <c r="E775" s="83" t="str">
        <f>IF(H775="","",SUMIF(Precio_Productos!K:K,C775,Precio_Productos!J:J)*H775)</f>
        <v/>
      </c>
      <c r="F775" s="86" t="str">
        <f t="shared" si="2"/>
        <v/>
      </c>
      <c r="G775" s="86" t="str">
        <f t="shared" si="3"/>
        <v/>
      </c>
      <c r="H775" s="15"/>
      <c r="P775" s="3" t="str">
        <f>IFERROR(__xludf.DUMMYFUNCTION("IF(OR(F775="""",F775=""Seleccionar..""),"""",TRANSPOSE(FILTER(Productos!E:E,(Productos!F:F=D775)+(Productos!F:F=XLOOKUP(D775,Implementos!B:B,Implementos!C:C,""-"",0,1)))))"),"")</f>
        <v/>
      </c>
    </row>
    <row r="776" hidden="1">
      <c r="A776" s="38" t="str">
        <f t="shared" si="1"/>
        <v/>
      </c>
      <c r="B776" s="38" t="str">
        <f>IF(F776="","",SUMIF(Prearmados!E:E,F776,Prearmados!A:A))</f>
        <v/>
      </c>
      <c r="C776" s="38" t="str">
        <f>IF(F776="","",SUMIF(Productos!E:E,G776,Productos!A:A))</f>
        <v/>
      </c>
      <c r="D776" s="85" t="str">
        <f t="array" ref="D776">IF(OR(F776="",F776="Seleccionar.."),"",XLOOKUP(F776,Prearmados!E:E,Prearmados!F:F,"",0,1))</f>
        <v/>
      </c>
      <c r="E776" s="83" t="str">
        <f>IF(H776="","",SUMIF(Precio_Productos!K:K,C776,Precio_Productos!J:J)*H776)</f>
        <v/>
      </c>
      <c r="F776" s="86" t="str">
        <f t="shared" si="2"/>
        <v/>
      </c>
      <c r="G776" s="86" t="str">
        <f t="shared" si="3"/>
        <v/>
      </c>
      <c r="H776" s="15"/>
      <c r="P776" s="3" t="str">
        <f>IFERROR(__xludf.DUMMYFUNCTION("IF(OR(F776="""",F776=""Seleccionar..""),"""",TRANSPOSE(FILTER(Productos!E:E,(Productos!F:F=D776)+(Productos!F:F=XLOOKUP(D776,Implementos!B:B,Implementos!C:C,""-"",0,1)))))"),"")</f>
        <v/>
      </c>
    </row>
    <row r="777" hidden="1">
      <c r="A777" s="38" t="str">
        <f t="shared" si="1"/>
        <v/>
      </c>
      <c r="B777" s="38" t="str">
        <f>IF(F777="","",SUMIF(Prearmados!E:E,F777,Prearmados!A:A))</f>
        <v/>
      </c>
      <c r="C777" s="38" t="str">
        <f>IF(F777="","",SUMIF(Productos!E:E,G777,Productos!A:A))</f>
        <v/>
      </c>
      <c r="D777" s="85" t="str">
        <f t="array" ref="D777">IF(OR(F777="",F777="Seleccionar.."),"",XLOOKUP(F777,Prearmados!E:E,Prearmados!F:F,"",0,1))</f>
        <v/>
      </c>
      <c r="E777" s="83" t="str">
        <f>IF(H777="","",SUMIF(Precio_Productos!K:K,C777,Precio_Productos!J:J)*H777)</f>
        <v/>
      </c>
      <c r="F777" s="86" t="str">
        <f t="shared" si="2"/>
        <v/>
      </c>
      <c r="G777" s="86" t="str">
        <f t="shared" si="3"/>
        <v/>
      </c>
      <c r="H777" s="15"/>
      <c r="P777" s="3" t="str">
        <f>IFERROR(__xludf.DUMMYFUNCTION("IF(OR(F777="""",F777=""Seleccionar..""),"""",TRANSPOSE(FILTER(Productos!E:E,(Productos!F:F=D777)+(Productos!F:F=XLOOKUP(D777,Implementos!B:B,Implementos!C:C,""-"",0,1)))))"),"")</f>
        <v/>
      </c>
    </row>
    <row r="778" hidden="1">
      <c r="A778" s="38" t="str">
        <f t="shared" si="1"/>
        <v/>
      </c>
      <c r="B778" s="38" t="str">
        <f>IF(F778="","",SUMIF(Prearmados!E:E,F778,Prearmados!A:A))</f>
        <v/>
      </c>
      <c r="C778" s="38" t="str">
        <f>IF(F778="","",SUMIF(Productos!E:E,G778,Productos!A:A))</f>
        <v/>
      </c>
      <c r="D778" s="85" t="str">
        <f t="array" ref="D778">IF(OR(F778="",F778="Seleccionar.."),"",XLOOKUP(F778,Prearmados!E:E,Prearmados!F:F,"",0,1))</f>
        <v/>
      </c>
      <c r="E778" s="83" t="str">
        <f>IF(H778="","",SUMIF(Precio_Productos!K:K,C778,Precio_Productos!J:J)*H778)</f>
        <v/>
      </c>
      <c r="F778" s="86" t="str">
        <f t="shared" si="2"/>
        <v/>
      </c>
      <c r="G778" s="86" t="str">
        <f t="shared" si="3"/>
        <v/>
      </c>
      <c r="H778" s="15"/>
      <c r="P778" s="3" t="str">
        <f>IFERROR(__xludf.DUMMYFUNCTION("IF(OR(F778="""",F778=""Seleccionar..""),"""",TRANSPOSE(FILTER(Productos!E:E,(Productos!F:F=D778)+(Productos!F:F=XLOOKUP(D778,Implementos!B:B,Implementos!C:C,""-"",0,1)))))"),"")</f>
        <v/>
      </c>
    </row>
    <row r="779" hidden="1">
      <c r="A779" s="38" t="str">
        <f t="shared" si="1"/>
        <v/>
      </c>
      <c r="B779" s="38" t="str">
        <f>IF(F779="","",SUMIF(Prearmados!E:E,F779,Prearmados!A:A))</f>
        <v/>
      </c>
      <c r="C779" s="38" t="str">
        <f>IF(F779="","",SUMIF(Productos!E:E,G779,Productos!A:A))</f>
        <v/>
      </c>
      <c r="D779" s="85" t="str">
        <f t="array" ref="D779">IF(OR(F779="",F779="Seleccionar.."),"",XLOOKUP(F779,Prearmados!E:E,Prearmados!F:F,"",0,1))</f>
        <v/>
      </c>
      <c r="E779" s="83" t="str">
        <f>IF(H779="","",SUMIF(Precio_Productos!K:K,C779,Precio_Productos!J:J)*H779)</f>
        <v/>
      </c>
      <c r="F779" s="86" t="str">
        <f t="shared" si="2"/>
        <v/>
      </c>
      <c r="G779" s="86" t="str">
        <f t="shared" si="3"/>
        <v/>
      </c>
      <c r="H779" s="15"/>
      <c r="P779" s="3" t="str">
        <f>IFERROR(__xludf.DUMMYFUNCTION("IF(OR(F779="""",F779=""Seleccionar..""),"""",TRANSPOSE(FILTER(Productos!E:E,(Productos!F:F=D779)+(Productos!F:F=XLOOKUP(D779,Implementos!B:B,Implementos!C:C,""-"",0,1)))))"),"")</f>
        <v/>
      </c>
    </row>
    <row r="780" hidden="1">
      <c r="A780" s="38" t="str">
        <f t="shared" si="1"/>
        <v/>
      </c>
      <c r="B780" s="38" t="str">
        <f>IF(F780="","",SUMIF(Prearmados!E:E,F780,Prearmados!A:A))</f>
        <v/>
      </c>
      <c r="C780" s="38" t="str">
        <f>IF(F780="","",SUMIF(Productos!E:E,G780,Productos!A:A))</f>
        <v/>
      </c>
      <c r="D780" s="85" t="str">
        <f t="array" ref="D780">IF(OR(F780="",F780="Seleccionar.."),"",XLOOKUP(F780,Prearmados!E:E,Prearmados!F:F,"",0,1))</f>
        <v/>
      </c>
      <c r="E780" s="83" t="str">
        <f>IF(H780="","",SUMIF(Precio_Productos!K:K,C780,Precio_Productos!J:J)*H780)</f>
        <v/>
      </c>
      <c r="F780" s="86" t="str">
        <f t="shared" si="2"/>
        <v/>
      </c>
      <c r="G780" s="86" t="str">
        <f t="shared" si="3"/>
        <v/>
      </c>
      <c r="H780" s="15"/>
      <c r="P780" s="3" t="str">
        <f>IFERROR(__xludf.DUMMYFUNCTION("IF(OR(F780="""",F780=""Seleccionar..""),"""",TRANSPOSE(FILTER(Productos!E:E,(Productos!F:F=D780)+(Productos!F:F=XLOOKUP(D780,Implementos!B:B,Implementos!C:C,""-"",0,1)))))"),"")</f>
        <v/>
      </c>
    </row>
    <row r="781" hidden="1">
      <c r="A781" s="38" t="str">
        <f t="shared" si="1"/>
        <v/>
      </c>
      <c r="B781" s="38" t="str">
        <f>IF(F781="","",SUMIF(Prearmados!E:E,F781,Prearmados!A:A))</f>
        <v/>
      </c>
      <c r="C781" s="38" t="str">
        <f>IF(F781="","",SUMIF(Productos!E:E,G781,Productos!A:A))</f>
        <v/>
      </c>
      <c r="D781" s="85" t="str">
        <f t="array" ref="D781">IF(OR(F781="",F781="Seleccionar.."),"",XLOOKUP(F781,Prearmados!E:E,Prearmados!F:F,"",0,1))</f>
        <v/>
      </c>
      <c r="E781" s="83" t="str">
        <f>IF(H781="","",SUMIF(Precio_Productos!K:K,C781,Precio_Productos!J:J)*H781)</f>
        <v/>
      </c>
      <c r="F781" s="86" t="str">
        <f t="shared" si="2"/>
        <v/>
      </c>
      <c r="G781" s="86" t="str">
        <f t="shared" si="3"/>
        <v/>
      </c>
      <c r="H781" s="15"/>
      <c r="P781" s="3" t="str">
        <f>IFERROR(__xludf.DUMMYFUNCTION("IF(OR(F781="""",F781=""Seleccionar..""),"""",TRANSPOSE(FILTER(Productos!E:E,(Productos!F:F=D781)+(Productos!F:F=XLOOKUP(D781,Implementos!B:B,Implementos!C:C,""-"",0,1)))))"),"")</f>
        <v/>
      </c>
    </row>
    <row r="782" hidden="1">
      <c r="A782" s="38" t="str">
        <f t="shared" si="1"/>
        <v/>
      </c>
      <c r="B782" s="38" t="str">
        <f>IF(F782="","",SUMIF(Prearmados!E:E,F782,Prearmados!A:A))</f>
        <v/>
      </c>
      <c r="C782" s="38" t="str">
        <f>IF(F782="","",SUMIF(Productos!E:E,G782,Productos!A:A))</f>
        <v/>
      </c>
      <c r="D782" s="85" t="str">
        <f t="array" ref="D782">IF(OR(F782="",F782="Seleccionar.."),"",XLOOKUP(F782,Prearmados!E:E,Prearmados!F:F,"",0,1))</f>
        <v/>
      </c>
      <c r="E782" s="83" t="str">
        <f>IF(H782="","",SUMIF(Precio_Productos!K:K,C782,Precio_Productos!J:J)*H782)</f>
        <v/>
      </c>
      <c r="F782" s="86" t="str">
        <f t="shared" si="2"/>
        <v/>
      </c>
      <c r="G782" s="86" t="str">
        <f t="shared" si="3"/>
        <v/>
      </c>
      <c r="H782" s="15"/>
      <c r="P782" s="3" t="str">
        <f>IFERROR(__xludf.DUMMYFUNCTION("IF(OR(F782="""",F782=""Seleccionar..""),"""",TRANSPOSE(FILTER(Productos!E:E,(Productos!F:F=D782)+(Productos!F:F=XLOOKUP(D782,Implementos!B:B,Implementos!C:C,""-"",0,1)))))"),"")</f>
        <v/>
      </c>
    </row>
    <row r="783" hidden="1">
      <c r="A783" s="38" t="str">
        <f t="shared" si="1"/>
        <v/>
      </c>
      <c r="B783" s="38" t="str">
        <f>IF(F783="","",SUMIF(Prearmados!E:E,F783,Prearmados!A:A))</f>
        <v/>
      </c>
      <c r="C783" s="38" t="str">
        <f>IF(F783="","",SUMIF(Productos!E:E,G783,Productos!A:A))</f>
        <v/>
      </c>
      <c r="D783" s="85" t="str">
        <f t="array" ref="D783">IF(OR(F783="",F783="Seleccionar.."),"",XLOOKUP(F783,Prearmados!E:E,Prearmados!F:F,"",0,1))</f>
        <v/>
      </c>
      <c r="E783" s="83" t="str">
        <f>IF(H783="","",SUMIF(Precio_Productos!K:K,C783,Precio_Productos!J:J)*H783)</f>
        <v/>
      </c>
      <c r="F783" s="86" t="str">
        <f t="shared" si="2"/>
        <v/>
      </c>
      <c r="G783" s="86" t="str">
        <f t="shared" si="3"/>
        <v/>
      </c>
      <c r="H783" s="15"/>
      <c r="P783" s="3" t="str">
        <f>IFERROR(__xludf.DUMMYFUNCTION("IF(OR(F783="""",F783=""Seleccionar..""),"""",TRANSPOSE(FILTER(Productos!E:E,(Productos!F:F=D783)+(Productos!F:F=XLOOKUP(D783,Implementos!B:B,Implementos!C:C,""-"",0,1)))))"),"")</f>
        <v/>
      </c>
    </row>
    <row r="784" hidden="1">
      <c r="A784" s="38" t="str">
        <f t="shared" si="1"/>
        <v/>
      </c>
      <c r="B784" s="38" t="str">
        <f>IF(F784="","",SUMIF(Prearmados!E:E,F784,Prearmados!A:A))</f>
        <v/>
      </c>
      <c r="C784" s="38" t="str">
        <f>IF(F784="","",SUMIF(Productos!E:E,G784,Productos!A:A))</f>
        <v/>
      </c>
      <c r="D784" s="85" t="str">
        <f t="array" ref="D784">IF(OR(F784="",F784="Seleccionar.."),"",XLOOKUP(F784,Prearmados!E:E,Prearmados!F:F,"",0,1))</f>
        <v/>
      </c>
      <c r="E784" s="83" t="str">
        <f>IF(H784="","",SUMIF(Precio_Productos!K:K,C784,Precio_Productos!J:J)*H784)</f>
        <v/>
      </c>
      <c r="F784" s="86" t="str">
        <f t="shared" si="2"/>
        <v/>
      </c>
      <c r="G784" s="86" t="str">
        <f t="shared" si="3"/>
        <v/>
      </c>
      <c r="H784" s="15"/>
      <c r="P784" s="3" t="str">
        <f>IFERROR(__xludf.DUMMYFUNCTION("IF(OR(F784="""",F784=""Seleccionar..""),"""",TRANSPOSE(FILTER(Productos!E:E,(Productos!F:F=D784)+(Productos!F:F=XLOOKUP(D784,Implementos!B:B,Implementos!C:C,""-"",0,1)))))"),"")</f>
        <v/>
      </c>
    </row>
    <row r="785" hidden="1">
      <c r="A785" s="38" t="str">
        <f t="shared" si="1"/>
        <v/>
      </c>
      <c r="B785" s="38" t="str">
        <f>IF(F785="","",SUMIF(Prearmados!E:E,F785,Prearmados!A:A))</f>
        <v/>
      </c>
      <c r="C785" s="38" t="str">
        <f>IF(F785="","",SUMIF(Productos!E:E,G785,Productos!A:A))</f>
        <v/>
      </c>
      <c r="D785" s="85" t="str">
        <f t="array" ref="D785">IF(OR(F785="",F785="Seleccionar.."),"",XLOOKUP(F785,Prearmados!E:E,Prearmados!F:F,"",0,1))</f>
        <v/>
      </c>
      <c r="E785" s="83" t="str">
        <f>IF(H785="","",SUMIF(Precio_Productos!K:K,C785,Precio_Productos!J:J)*H785)</f>
        <v/>
      </c>
      <c r="F785" s="86" t="str">
        <f t="shared" si="2"/>
        <v/>
      </c>
      <c r="G785" s="86" t="str">
        <f t="shared" si="3"/>
        <v/>
      </c>
      <c r="H785" s="15"/>
      <c r="P785" s="3" t="str">
        <f>IFERROR(__xludf.DUMMYFUNCTION("IF(OR(F785="""",F785=""Seleccionar..""),"""",TRANSPOSE(FILTER(Productos!E:E,(Productos!F:F=D785)+(Productos!F:F=XLOOKUP(D785,Implementos!B:B,Implementos!C:C,""-"",0,1)))))"),"")</f>
        <v/>
      </c>
    </row>
    <row r="786" hidden="1">
      <c r="A786" s="38" t="str">
        <f t="shared" si="1"/>
        <v/>
      </c>
      <c r="B786" s="38" t="str">
        <f>IF(F786="","",SUMIF(Prearmados!E:E,F786,Prearmados!A:A))</f>
        <v/>
      </c>
      <c r="C786" s="38" t="str">
        <f>IF(F786="","",SUMIF(Productos!E:E,G786,Productos!A:A))</f>
        <v/>
      </c>
      <c r="D786" s="85" t="str">
        <f t="array" ref="D786">IF(OR(F786="",F786="Seleccionar.."),"",XLOOKUP(F786,Prearmados!E:E,Prearmados!F:F,"",0,1))</f>
        <v/>
      </c>
      <c r="E786" s="83" t="str">
        <f>IF(H786="","",SUMIF(Precio_Productos!K:K,C786,Precio_Productos!J:J)*H786)</f>
        <v/>
      </c>
      <c r="F786" s="86" t="str">
        <f t="shared" si="2"/>
        <v/>
      </c>
      <c r="G786" s="86" t="str">
        <f t="shared" si="3"/>
        <v/>
      </c>
      <c r="H786" s="15"/>
      <c r="P786" s="3" t="str">
        <f>IFERROR(__xludf.DUMMYFUNCTION("IF(OR(F786="""",F786=""Seleccionar..""),"""",TRANSPOSE(FILTER(Productos!E:E,(Productos!F:F=D786)+(Productos!F:F=XLOOKUP(D786,Implementos!B:B,Implementos!C:C,""-"",0,1)))))"),"")</f>
        <v/>
      </c>
    </row>
    <row r="787" hidden="1">
      <c r="A787" s="38" t="str">
        <f t="shared" si="1"/>
        <v/>
      </c>
      <c r="B787" s="38" t="str">
        <f>IF(F787="","",SUMIF(Prearmados!E:E,F787,Prearmados!A:A))</f>
        <v/>
      </c>
      <c r="C787" s="38" t="str">
        <f>IF(F787="","",SUMIF(Productos!E:E,G787,Productos!A:A))</f>
        <v/>
      </c>
      <c r="D787" s="85" t="str">
        <f t="array" ref="D787">IF(OR(F787="",F787="Seleccionar.."),"",XLOOKUP(F787,Prearmados!E:E,Prearmados!F:F,"",0,1))</f>
        <v/>
      </c>
      <c r="E787" s="83" t="str">
        <f>IF(H787="","",SUMIF(Precio_Productos!K:K,C787,Precio_Productos!J:J)*H787)</f>
        <v/>
      </c>
      <c r="F787" s="86" t="str">
        <f t="shared" si="2"/>
        <v/>
      </c>
      <c r="G787" s="86" t="str">
        <f t="shared" si="3"/>
        <v/>
      </c>
      <c r="H787" s="15"/>
      <c r="P787" s="3" t="str">
        <f>IFERROR(__xludf.DUMMYFUNCTION("IF(OR(F787="""",F787=""Seleccionar..""),"""",TRANSPOSE(FILTER(Productos!E:E,(Productos!F:F=D787)+(Productos!F:F=XLOOKUP(D787,Implementos!B:B,Implementos!C:C,""-"",0,1)))))"),"")</f>
        <v/>
      </c>
    </row>
    <row r="788" hidden="1">
      <c r="A788" s="38" t="str">
        <f t="shared" si="1"/>
        <v/>
      </c>
      <c r="B788" s="38" t="str">
        <f>IF(F788="","",SUMIF(Prearmados!E:E,F788,Prearmados!A:A))</f>
        <v/>
      </c>
      <c r="C788" s="38" t="str">
        <f>IF(F788="","",SUMIF(Productos!E:E,G788,Productos!A:A))</f>
        <v/>
      </c>
      <c r="D788" s="85" t="str">
        <f t="array" ref="D788">IF(OR(F788="",F788="Seleccionar.."),"",XLOOKUP(F788,Prearmados!E:E,Prearmados!F:F,"",0,1))</f>
        <v/>
      </c>
      <c r="E788" s="83" t="str">
        <f>IF(H788="","",SUMIF(Precio_Productos!K:K,C788,Precio_Productos!J:J)*H788)</f>
        <v/>
      </c>
      <c r="F788" s="86" t="str">
        <f t="shared" si="2"/>
        <v/>
      </c>
      <c r="G788" s="86" t="str">
        <f t="shared" si="3"/>
        <v/>
      </c>
      <c r="H788" s="15"/>
      <c r="P788" s="3" t="str">
        <f>IFERROR(__xludf.DUMMYFUNCTION("IF(OR(F788="""",F788=""Seleccionar..""),"""",TRANSPOSE(FILTER(Productos!E:E,(Productos!F:F=D788)+(Productos!F:F=XLOOKUP(D788,Implementos!B:B,Implementos!C:C,""-"",0,1)))))"),"")</f>
        <v/>
      </c>
    </row>
    <row r="789" hidden="1">
      <c r="A789" s="38" t="str">
        <f t="shared" si="1"/>
        <v/>
      </c>
      <c r="B789" s="38" t="str">
        <f>IF(F789="","",SUMIF(Prearmados!E:E,F789,Prearmados!A:A))</f>
        <v/>
      </c>
      <c r="C789" s="38" t="str">
        <f>IF(F789="","",SUMIF(Productos!E:E,G789,Productos!A:A))</f>
        <v/>
      </c>
      <c r="D789" s="85" t="str">
        <f t="array" ref="D789">IF(OR(F789="",F789="Seleccionar.."),"",XLOOKUP(F789,Prearmados!E:E,Prearmados!F:F,"",0,1))</f>
        <v/>
      </c>
      <c r="E789" s="83" t="str">
        <f>IF(H789="","",SUMIF(Precio_Productos!K:K,C789,Precio_Productos!J:J)*H789)</f>
        <v/>
      </c>
      <c r="F789" s="86" t="str">
        <f t="shared" si="2"/>
        <v/>
      </c>
      <c r="G789" s="86" t="str">
        <f t="shared" si="3"/>
        <v/>
      </c>
      <c r="H789" s="15"/>
      <c r="P789" s="3" t="str">
        <f>IFERROR(__xludf.DUMMYFUNCTION("IF(OR(F789="""",F789=""Seleccionar..""),"""",TRANSPOSE(FILTER(Productos!E:E,(Productos!F:F=D789)+(Productos!F:F=XLOOKUP(D789,Implementos!B:B,Implementos!C:C,""-"",0,1)))))"),"")</f>
        <v/>
      </c>
    </row>
    <row r="790" hidden="1">
      <c r="A790" s="38" t="str">
        <f t="shared" si="1"/>
        <v/>
      </c>
      <c r="B790" s="38" t="str">
        <f>IF(F790="","",SUMIF(Prearmados!E:E,F790,Prearmados!A:A))</f>
        <v/>
      </c>
      <c r="C790" s="38" t="str">
        <f>IF(F790="","",SUMIF(Productos!E:E,G790,Productos!A:A))</f>
        <v/>
      </c>
      <c r="D790" s="85" t="str">
        <f t="array" ref="D790">IF(OR(F790="",F790="Seleccionar.."),"",XLOOKUP(F790,Prearmados!E:E,Prearmados!F:F,"",0,1))</f>
        <v/>
      </c>
      <c r="E790" s="83" t="str">
        <f>IF(H790="","",SUMIF(Precio_Productos!K:K,C790,Precio_Productos!J:J)*H790)</f>
        <v/>
      </c>
      <c r="F790" s="86" t="str">
        <f t="shared" si="2"/>
        <v/>
      </c>
      <c r="G790" s="86" t="str">
        <f t="shared" si="3"/>
        <v/>
      </c>
      <c r="H790" s="15"/>
      <c r="P790" s="3" t="str">
        <f>IFERROR(__xludf.DUMMYFUNCTION("IF(OR(F790="""",F790=""Seleccionar..""),"""",TRANSPOSE(FILTER(Productos!E:E,(Productos!F:F=D790)+(Productos!F:F=XLOOKUP(D790,Implementos!B:B,Implementos!C:C,""-"",0,1)))))"),"")</f>
        <v/>
      </c>
    </row>
    <row r="791" hidden="1">
      <c r="A791" s="38" t="str">
        <f t="shared" si="1"/>
        <v/>
      </c>
      <c r="B791" s="38" t="str">
        <f>IF(F791="","",SUMIF(Prearmados!E:E,F791,Prearmados!A:A))</f>
        <v/>
      </c>
      <c r="C791" s="38" t="str">
        <f>IF(F791="","",SUMIF(Productos!E:E,G791,Productos!A:A))</f>
        <v/>
      </c>
      <c r="D791" s="85" t="str">
        <f t="array" ref="D791">IF(OR(F791="",F791="Seleccionar.."),"",XLOOKUP(F791,Prearmados!E:E,Prearmados!F:F,"",0,1))</f>
        <v/>
      </c>
      <c r="E791" s="83" t="str">
        <f>IF(H791="","",SUMIF(Precio_Productos!K:K,C791,Precio_Productos!J:J)*H791)</f>
        <v/>
      </c>
      <c r="F791" s="86" t="str">
        <f t="shared" si="2"/>
        <v/>
      </c>
      <c r="G791" s="86" t="str">
        <f t="shared" si="3"/>
        <v/>
      </c>
      <c r="H791" s="15"/>
      <c r="P791" s="3" t="str">
        <f>IFERROR(__xludf.DUMMYFUNCTION("IF(OR(F791="""",F791=""Seleccionar..""),"""",TRANSPOSE(FILTER(Productos!E:E,(Productos!F:F=D791)+(Productos!F:F=XLOOKUP(D791,Implementos!B:B,Implementos!C:C,""-"",0,1)))))"),"")</f>
        <v/>
      </c>
    </row>
    <row r="792" hidden="1">
      <c r="A792" s="38" t="str">
        <f t="shared" si="1"/>
        <v/>
      </c>
      <c r="B792" s="38" t="str">
        <f>IF(F792="","",SUMIF(Prearmados!E:E,F792,Prearmados!A:A))</f>
        <v/>
      </c>
      <c r="C792" s="38" t="str">
        <f>IF(F792="","",SUMIF(Productos!E:E,G792,Productos!A:A))</f>
        <v/>
      </c>
      <c r="D792" s="85" t="str">
        <f t="array" ref="D792">IF(OR(F792="",F792="Seleccionar.."),"",XLOOKUP(F792,Prearmados!E:E,Prearmados!F:F,"",0,1))</f>
        <v/>
      </c>
      <c r="E792" s="83" t="str">
        <f>IF(H792="","",SUMIF(Precio_Productos!K:K,C792,Precio_Productos!J:J)*H792)</f>
        <v/>
      </c>
      <c r="F792" s="86" t="str">
        <f t="shared" si="2"/>
        <v/>
      </c>
      <c r="G792" s="86" t="str">
        <f t="shared" si="3"/>
        <v/>
      </c>
      <c r="H792" s="15"/>
      <c r="P792" s="3" t="str">
        <f>IFERROR(__xludf.DUMMYFUNCTION("IF(OR(F792="""",F792=""Seleccionar..""),"""",TRANSPOSE(FILTER(Productos!E:E,(Productos!F:F=D792)+(Productos!F:F=XLOOKUP(D792,Implementos!B:B,Implementos!C:C,""-"",0,1)))))"),"")</f>
        <v/>
      </c>
    </row>
    <row r="793" hidden="1">
      <c r="A793" s="38" t="str">
        <f t="shared" si="1"/>
        <v/>
      </c>
      <c r="B793" s="38" t="str">
        <f>IF(F793="","",SUMIF(Prearmados!E:E,F793,Prearmados!A:A))</f>
        <v/>
      </c>
      <c r="C793" s="38" t="str">
        <f>IF(F793="","",SUMIF(Productos!E:E,G793,Productos!A:A))</f>
        <v/>
      </c>
      <c r="D793" s="85" t="str">
        <f t="array" ref="D793">IF(OR(F793="",F793="Seleccionar.."),"",XLOOKUP(F793,Prearmados!E:E,Prearmados!F:F,"",0,1))</f>
        <v/>
      </c>
      <c r="E793" s="83" t="str">
        <f>IF(H793="","",SUMIF(Precio_Productos!K:K,C793,Precio_Productos!J:J)*H793)</f>
        <v/>
      </c>
      <c r="F793" s="86" t="str">
        <f t="shared" si="2"/>
        <v/>
      </c>
      <c r="G793" s="86" t="str">
        <f t="shared" si="3"/>
        <v/>
      </c>
      <c r="H793" s="15"/>
      <c r="P793" s="3" t="str">
        <f>IFERROR(__xludf.DUMMYFUNCTION("IF(OR(F793="""",F793=""Seleccionar..""),"""",TRANSPOSE(FILTER(Productos!E:E,(Productos!F:F=D793)+(Productos!F:F=XLOOKUP(D793,Implementos!B:B,Implementos!C:C,""-"",0,1)))))"),"")</f>
        <v/>
      </c>
    </row>
    <row r="794" hidden="1">
      <c r="A794" s="38" t="str">
        <f t="shared" si="1"/>
        <v/>
      </c>
      <c r="B794" s="38" t="str">
        <f>IF(F794="","",SUMIF(Prearmados!E:E,F794,Prearmados!A:A))</f>
        <v/>
      </c>
      <c r="C794" s="38" t="str">
        <f>IF(F794="","",SUMIF(Productos!E:E,G794,Productos!A:A))</f>
        <v/>
      </c>
      <c r="D794" s="85" t="str">
        <f t="array" ref="D794">IF(OR(F794="",F794="Seleccionar.."),"",XLOOKUP(F794,Prearmados!E:E,Prearmados!F:F,"",0,1))</f>
        <v/>
      </c>
      <c r="E794" s="83" t="str">
        <f>IF(H794="","",SUMIF(Precio_Productos!K:K,C794,Precio_Productos!J:J)*H794)</f>
        <v/>
      </c>
      <c r="F794" s="86" t="str">
        <f t="shared" si="2"/>
        <v/>
      </c>
      <c r="G794" s="86" t="str">
        <f t="shared" si="3"/>
        <v/>
      </c>
      <c r="H794" s="15"/>
      <c r="P794" s="3" t="str">
        <f>IFERROR(__xludf.DUMMYFUNCTION("IF(OR(F794="""",F794=""Seleccionar..""),"""",TRANSPOSE(FILTER(Productos!E:E,(Productos!F:F=D794)+(Productos!F:F=XLOOKUP(D794,Implementos!B:B,Implementos!C:C,""-"",0,1)))))"),"")</f>
        <v/>
      </c>
    </row>
    <row r="795" hidden="1">
      <c r="A795" s="38" t="str">
        <f t="shared" si="1"/>
        <v/>
      </c>
      <c r="B795" s="38" t="str">
        <f>IF(F795="","",SUMIF(Prearmados!E:E,F795,Prearmados!A:A))</f>
        <v/>
      </c>
      <c r="C795" s="38" t="str">
        <f>IF(F795="","",SUMIF(Productos!E:E,G795,Productos!A:A))</f>
        <v/>
      </c>
      <c r="D795" s="85" t="str">
        <f t="array" ref="D795">IF(OR(F795="",F795="Seleccionar.."),"",XLOOKUP(F795,Prearmados!E:E,Prearmados!F:F,"",0,1))</f>
        <v/>
      </c>
      <c r="E795" s="83" t="str">
        <f>IF(H795="","",SUMIF(Precio_Productos!K:K,C795,Precio_Productos!J:J)*H795)</f>
        <v/>
      </c>
      <c r="F795" s="86" t="str">
        <f t="shared" si="2"/>
        <v/>
      </c>
      <c r="G795" s="86" t="str">
        <f t="shared" si="3"/>
        <v/>
      </c>
      <c r="H795" s="15"/>
      <c r="P795" s="3" t="str">
        <f>IFERROR(__xludf.DUMMYFUNCTION("IF(OR(F795="""",F795=""Seleccionar..""),"""",TRANSPOSE(FILTER(Productos!E:E,(Productos!F:F=D795)+(Productos!F:F=XLOOKUP(D795,Implementos!B:B,Implementos!C:C,""-"",0,1)))))"),"")</f>
        <v/>
      </c>
    </row>
    <row r="796" hidden="1">
      <c r="A796" s="38" t="str">
        <f t="shared" si="1"/>
        <v/>
      </c>
      <c r="B796" s="38" t="str">
        <f>IF(F796="","",SUMIF(Prearmados!E:E,F796,Prearmados!A:A))</f>
        <v/>
      </c>
      <c r="C796" s="38" t="str">
        <f>IF(F796="","",SUMIF(Productos!E:E,G796,Productos!A:A))</f>
        <v/>
      </c>
      <c r="D796" s="85" t="str">
        <f t="array" ref="D796">IF(OR(F796="",F796="Seleccionar.."),"",XLOOKUP(F796,Prearmados!E:E,Prearmados!F:F,"",0,1))</f>
        <v/>
      </c>
      <c r="E796" s="83" t="str">
        <f>IF(H796="","",SUMIF(Precio_Productos!K:K,C796,Precio_Productos!J:J)*H796)</f>
        <v/>
      </c>
      <c r="F796" s="86" t="str">
        <f t="shared" si="2"/>
        <v/>
      </c>
      <c r="G796" s="86" t="str">
        <f t="shared" si="3"/>
        <v/>
      </c>
      <c r="H796" s="15"/>
      <c r="P796" s="3" t="str">
        <f>IFERROR(__xludf.DUMMYFUNCTION("IF(OR(F796="""",F796=""Seleccionar..""),"""",TRANSPOSE(FILTER(Productos!E:E,(Productos!F:F=D796)+(Productos!F:F=XLOOKUP(D796,Implementos!B:B,Implementos!C:C,""-"",0,1)))))"),"")</f>
        <v/>
      </c>
    </row>
    <row r="797" hidden="1">
      <c r="A797" s="38" t="str">
        <f t="shared" si="1"/>
        <v/>
      </c>
      <c r="B797" s="38" t="str">
        <f>IF(F797="","",SUMIF(Prearmados!E:E,F797,Prearmados!A:A))</f>
        <v/>
      </c>
      <c r="C797" s="38" t="str">
        <f>IF(F797="","",SUMIF(Productos!E:E,G797,Productos!A:A))</f>
        <v/>
      </c>
      <c r="D797" s="85" t="str">
        <f t="array" ref="D797">IF(OR(F797="",F797="Seleccionar.."),"",XLOOKUP(F797,Prearmados!E:E,Prearmados!F:F,"",0,1))</f>
        <v/>
      </c>
      <c r="E797" s="83" t="str">
        <f>IF(H797="","",SUMIF(Precio_Productos!K:K,C797,Precio_Productos!J:J)*H797)</f>
        <v/>
      </c>
      <c r="F797" s="86" t="str">
        <f t="shared" si="2"/>
        <v/>
      </c>
      <c r="G797" s="86" t="str">
        <f t="shared" si="3"/>
        <v/>
      </c>
      <c r="H797" s="15"/>
      <c r="P797" s="3" t="str">
        <f>IFERROR(__xludf.DUMMYFUNCTION("IF(OR(F797="""",F797=""Seleccionar..""),"""",TRANSPOSE(FILTER(Productos!E:E,(Productos!F:F=D797)+(Productos!F:F=XLOOKUP(D797,Implementos!B:B,Implementos!C:C,""-"",0,1)))))"),"")</f>
        <v/>
      </c>
    </row>
    <row r="798" hidden="1">
      <c r="A798" s="38" t="str">
        <f t="shared" si="1"/>
        <v/>
      </c>
      <c r="B798" s="38" t="str">
        <f>IF(F798="","",SUMIF(Prearmados!E:E,F798,Prearmados!A:A))</f>
        <v/>
      </c>
      <c r="C798" s="38" t="str">
        <f>IF(F798="","",SUMIF(Productos!E:E,G798,Productos!A:A))</f>
        <v/>
      </c>
      <c r="D798" s="85" t="str">
        <f t="array" ref="D798">IF(OR(F798="",F798="Seleccionar.."),"",XLOOKUP(F798,Prearmados!E:E,Prearmados!F:F,"",0,1))</f>
        <v/>
      </c>
      <c r="E798" s="83" t="str">
        <f>IF(H798="","",SUMIF(Precio_Productos!K:K,C798,Precio_Productos!J:J)*H798)</f>
        <v/>
      </c>
      <c r="F798" s="86" t="str">
        <f t="shared" si="2"/>
        <v/>
      </c>
      <c r="G798" s="86" t="str">
        <f t="shared" si="3"/>
        <v/>
      </c>
      <c r="H798" s="15"/>
      <c r="P798" s="3" t="str">
        <f>IFERROR(__xludf.DUMMYFUNCTION("IF(OR(F798="""",F798=""Seleccionar..""),"""",TRANSPOSE(FILTER(Productos!E:E,(Productos!F:F=D798)+(Productos!F:F=XLOOKUP(D798,Implementos!B:B,Implementos!C:C,""-"",0,1)))))"),"")</f>
        <v/>
      </c>
    </row>
    <row r="799" hidden="1">
      <c r="A799" s="38" t="str">
        <f t="shared" si="1"/>
        <v/>
      </c>
      <c r="B799" s="38" t="str">
        <f>IF(F799="","",SUMIF(Prearmados!E:E,F799,Prearmados!A:A))</f>
        <v/>
      </c>
      <c r="C799" s="38" t="str">
        <f>IF(F799="","",SUMIF(Productos!E:E,G799,Productos!A:A))</f>
        <v/>
      </c>
      <c r="D799" s="85" t="str">
        <f t="array" ref="D799">IF(OR(F799="",F799="Seleccionar.."),"",XLOOKUP(F799,Prearmados!E:E,Prearmados!F:F,"",0,1))</f>
        <v/>
      </c>
      <c r="E799" s="83" t="str">
        <f>IF(H799="","",SUMIF(Precio_Productos!K:K,C799,Precio_Productos!J:J)*H799)</f>
        <v/>
      </c>
      <c r="F799" s="86" t="str">
        <f t="shared" si="2"/>
        <v/>
      </c>
      <c r="G799" s="86" t="str">
        <f t="shared" si="3"/>
        <v/>
      </c>
      <c r="H799" s="15"/>
      <c r="P799" s="3" t="str">
        <f>IFERROR(__xludf.DUMMYFUNCTION("IF(OR(F799="""",F799=""Seleccionar..""),"""",TRANSPOSE(FILTER(Productos!E:E,(Productos!F:F=D799)+(Productos!F:F=XLOOKUP(D799,Implementos!B:B,Implementos!C:C,""-"",0,1)))))"),"")</f>
        <v/>
      </c>
    </row>
    <row r="800" hidden="1">
      <c r="A800" s="38" t="str">
        <f t="shared" si="1"/>
        <v/>
      </c>
      <c r="B800" s="38" t="str">
        <f>IF(F800="","",SUMIF(Prearmados!E:E,F800,Prearmados!A:A))</f>
        <v/>
      </c>
      <c r="C800" s="38" t="str">
        <f>IF(F800="","",SUMIF(Productos!E:E,G800,Productos!A:A))</f>
        <v/>
      </c>
      <c r="D800" s="85" t="str">
        <f t="array" ref="D800">IF(OR(F800="",F800="Seleccionar.."),"",XLOOKUP(F800,Prearmados!E:E,Prearmados!F:F,"",0,1))</f>
        <v/>
      </c>
      <c r="E800" s="83" t="str">
        <f>IF(H800="","",SUMIF(Precio_Productos!K:K,C800,Precio_Productos!J:J)*H800)</f>
        <v/>
      </c>
      <c r="F800" s="86" t="str">
        <f t="shared" si="2"/>
        <v/>
      </c>
      <c r="G800" s="86" t="str">
        <f t="shared" si="3"/>
        <v/>
      </c>
      <c r="H800" s="15"/>
      <c r="P800" s="3" t="str">
        <f>IFERROR(__xludf.DUMMYFUNCTION("IF(OR(F800="""",F800=""Seleccionar..""),"""",TRANSPOSE(FILTER(Productos!E:E,(Productos!F:F=D800)+(Productos!F:F=XLOOKUP(D800,Implementos!B:B,Implementos!C:C,""-"",0,1)))))"),"")</f>
        <v/>
      </c>
    </row>
    <row r="801" hidden="1">
      <c r="A801" s="38" t="str">
        <f t="shared" si="1"/>
        <v/>
      </c>
      <c r="B801" s="38" t="str">
        <f>IF(F801="","",SUMIF(Prearmados!E:E,F801,Prearmados!A:A))</f>
        <v/>
      </c>
      <c r="C801" s="38" t="str">
        <f>IF(F801="","",SUMIF(Productos!E:E,G801,Productos!A:A))</f>
        <v/>
      </c>
      <c r="D801" s="85" t="str">
        <f t="array" ref="D801">IF(OR(F801="",F801="Seleccionar.."),"",XLOOKUP(F801,Prearmados!E:E,Prearmados!F:F,"",0,1))</f>
        <v/>
      </c>
      <c r="E801" s="83" t="str">
        <f>IF(H801="","",SUMIF(Precio_Productos!K:K,C801,Precio_Productos!J:J)*H801)</f>
        <v/>
      </c>
      <c r="F801" s="86" t="str">
        <f t="shared" si="2"/>
        <v/>
      </c>
      <c r="G801" s="86" t="str">
        <f t="shared" si="3"/>
        <v/>
      </c>
      <c r="H801" s="15"/>
      <c r="P801" s="3" t="str">
        <f>IFERROR(__xludf.DUMMYFUNCTION("IF(OR(F801="""",F801=""Seleccionar..""),"""",TRANSPOSE(FILTER(Productos!E:E,(Productos!F:F=D801)+(Productos!F:F=XLOOKUP(D801,Implementos!B:B,Implementos!C:C,""-"",0,1)))))"),"")</f>
        <v/>
      </c>
    </row>
    <row r="802" hidden="1">
      <c r="A802" s="38" t="str">
        <f t="shared" si="1"/>
        <v/>
      </c>
      <c r="B802" s="38" t="str">
        <f>IF(F802="","",SUMIF(Prearmados!E:E,F802,Prearmados!A:A))</f>
        <v/>
      </c>
      <c r="C802" s="38" t="str">
        <f>IF(F802="","",SUMIF(Productos!E:E,G802,Productos!A:A))</f>
        <v/>
      </c>
      <c r="D802" s="85" t="str">
        <f t="array" ref="D802">IF(OR(F802="",F802="Seleccionar.."),"",XLOOKUP(F802,Prearmados!E:E,Prearmados!F:F,"",0,1))</f>
        <v/>
      </c>
      <c r="E802" s="83" t="str">
        <f>IF(H802="","",SUMIF(Precio_Productos!K:K,C802,Precio_Productos!J:J)*H802)</f>
        <v/>
      </c>
      <c r="F802" s="86" t="str">
        <f t="shared" si="2"/>
        <v/>
      </c>
      <c r="G802" s="86" t="str">
        <f t="shared" si="3"/>
        <v/>
      </c>
      <c r="H802" s="15"/>
      <c r="P802" s="3" t="str">
        <f>IFERROR(__xludf.DUMMYFUNCTION("IF(OR(F802="""",F802=""Seleccionar..""),"""",TRANSPOSE(FILTER(Productos!E:E,(Productos!F:F=D802)+(Productos!F:F=XLOOKUP(D802,Implementos!B:B,Implementos!C:C,""-"",0,1)))))"),"")</f>
        <v/>
      </c>
    </row>
    <row r="803" hidden="1">
      <c r="A803" s="38" t="str">
        <f t="shared" si="1"/>
        <v/>
      </c>
      <c r="B803" s="38" t="str">
        <f>IF(F803="","",SUMIF(Prearmados!E:E,F803,Prearmados!A:A))</f>
        <v/>
      </c>
      <c r="C803" s="38" t="str">
        <f>IF(F803="","",SUMIF(Productos!E:E,G803,Productos!A:A))</f>
        <v/>
      </c>
      <c r="D803" s="85" t="str">
        <f t="array" ref="D803">IF(OR(F803="",F803="Seleccionar.."),"",XLOOKUP(F803,Prearmados!E:E,Prearmados!F:F,"",0,1))</f>
        <v/>
      </c>
      <c r="E803" s="83" t="str">
        <f>IF(H803="","",SUMIF(Precio_Productos!K:K,C803,Precio_Productos!J:J)*H803)</f>
        <v/>
      </c>
      <c r="F803" s="86" t="str">
        <f t="shared" si="2"/>
        <v/>
      </c>
      <c r="G803" s="86" t="str">
        <f t="shared" si="3"/>
        <v/>
      </c>
      <c r="H803" s="15"/>
      <c r="P803" s="3" t="str">
        <f>IFERROR(__xludf.DUMMYFUNCTION("IF(OR(F803="""",F803=""Seleccionar..""),"""",TRANSPOSE(FILTER(Productos!E:E,(Productos!F:F=D803)+(Productos!F:F=XLOOKUP(D803,Implementos!B:B,Implementos!C:C,""-"",0,1)))))"),"")</f>
        <v/>
      </c>
    </row>
    <row r="804" hidden="1">
      <c r="A804" s="38" t="str">
        <f t="shared" si="1"/>
        <v/>
      </c>
      <c r="B804" s="38" t="str">
        <f>IF(F804="","",SUMIF(Prearmados!E:E,F804,Prearmados!A:A))</f>
        <v/>
      </c>
      <c r="C804" s="38" t="str">
        <f>IF(F804="","",SUMIF(Productos!E:E,G804,Productos!A:A))</f>
        <v/>
      </c>
      <c r="D804" s="85" t="str">
        <f t="array" ref="D804">IF(OR(F804="",F804="Seleccionar.."),"",XLOOKUP(F804,Prearmados!E:E,Prearmados!F:F,"",0,1))</f>
        <v/>
      </c>
      <c r="E804" s="83" t="str">
        <f>IF(H804="","",SUMIF(Precio_Productos!K:K,C804,Precio_Productos!J:J)*H804)</f>
        <v/>
      </c>
      <c r="F804" s="86" t="str">
        <f t="shared" si="2"/>
        <v/>
      </c>
      <c r="G804" s="86" t="str">
        <f t="shared" si="3"/>
        <v/>
      </c>
      <c r="H804" s="15"/>
      <c r="P804" s="3" t="str">
        <f>IFERROR(__xludf.DUMMYFUNCTION("IF(OR(F804="""",F804=""Seleccionar..""),"""",TRANSPOSE(FILTER(Productos!E:E,(Productos!F:F=D804)+(Productos!F:F=XLOOKUP(D804,Implementos!B:B,Implementos!C:C,""-"",0,1)))))"),"")</f>
        <v/>
      </c>
    </row>
    <row r="805" hidden="1">
      <c r="A805" s="38" t="str">
        <f t="shared" si="1"/>
        <v/>
      </c>
      <c r="B805" s="38" t="str">
        <f>IF(F805="","",SUMIF(Prearmados!E:E,F805,Prearmados!A:A))</f>
        <v/>
      </c>
      <c r="C805" s="38" t="str">
        <f>IF(F805="","",SUMIF(Productos!E:E,G805,Productos!A:A))</f>
        <v/>
      </c>
      <c r="D805" s="85" t="str">
        <f t="array" ref="D805">IF(OR(F805="",F805="Seleccionar.."),"",XLOOKUP(F805,Prearmados!E:E,Prearmados!F:F,"",0,1))</f>
        <v/>
      </c>
      <c r="E805" s="83" t="str">
        <f>IF(H805="","",SUMIF(Precio_Productos!K:K,C805,Precio_Productos!J:J)*H805)</f>
        <v/>
      </c>
      <c r="F805" s="86" t="str">
        <f t="shared" si="2"/>
        <v/>
      </c>
      <c r="G805" s="86" t="str">
        <f t="shared" si="3"/>
        <v/>
      </c>
      <c r="H805" s="15"/>
      <c r="P805" s="3" t="str">
        <f>IFERROR(__xludf.DUMMYFUNCTION("IF(OR(F805="""",F805=""Seleccionar..""),"""",TRANSPOSE(FILTER(Productos!E:E,(Productos!F:F=D805)+(Productos!F:F=XLOOKUP(D805,Implementos!B:B,Implementos!C:C,""-"",0,1)))))"),"")</f>
        <v/>
      </c>
    </row>
    <row r="806" hidden="1">
      <c r="A806" s="38" t="str">
        <f t="shared" si="1"/>
        <v/>
      </c>
      <c r="B806" s="38" t="str">
        <f>IF(F806="","",SUMIF(Prearmados!E:E,F806,Prearmados!A:A))</f>
        <v/>
      </c>
      <c r="C806" s="38" t="str">
        <f>IF(F806="","",SUMIF(Productos!E:E,G806,Productos!A:A))</f>
        <v/>
      </c>
      <c r="D806" s="85" t="str">
        <f t="array" ref="D806">IF(OR(F806="",F806="Seleccionar.."),"",XLOOKUP(F806,Prearmados!E:E,Prearmados!F:F,"",0,1))</f>
        <v/>
      </c>
      <c r="E806" s="83" t="str">
        <f>IF(H806="","",SUMIF(Precio_Productos!K:K,C806,Precio_Productos!J:J)*H806)</f>
        <v/>
      </c>
      <c r="F806" s="86" t="str">
        <f t="shared" si="2"/>
        <v/>
      </c>
      <c r="G806" s="86" t="str">
        <f t="shared" si="3"/>
        <v/>
      </c>
      <c r="H806" s="15"/>
      <c r="P806" s="3" t="str">
        <f>IFERROR(__xludf.DUMMYFUNCTION("IF(OR(F806="""",F806=""Seleccionar..""),"""",TRANSPOSE(FILTER(Productos!E:E,(Productos!F:F=D806)+(Productos!F:F=XLOOKUP(D806,Implementos!B:B,Implementos!C:C,""-"",0,1)))))"),"")</f>
        <v/>
      </c>
    </row>
    <row r="807" hidden="1">
      <c r="A807" s="38" t="str">
        <f t="shared" si="1"/>
        <v/>
      </c>
      <c r="B807" s="38" t="str">
        <f>IF(F807="","",SUMIF(Prearmados!E:E,F807,Prearmados!A:A))</f>
        <v/>
      </c>
      <c r="C807" s="38" t="str">
        <f>IF(F807="","",SUMIF(Productos!E:E,G807,Productos!A:A))</f>
        <v/>
      </c>
      <c r="D807" s="85" t="str">
        <f t="array" ref="D807">IF(OR(F807="",F807="Seleccionar.."),"",XLOOKUP(F807,Prearmados!E:E,Prearmados!F:F,"",0,1))</f>
        <v/>
      </c>
      <c r="E807" s="83" t="str">
        <f>IF(H807="","",SUMIF(Precio_Productos!K:K,C807,Precio_Productos!J:J)*H807)</f>
        <v/>
      </c>
      <c r="F807" s="86" t="str">
        <f t="shared" si="2"/>
        <v/>
      </c>
      <c r="G807" s="86" t="str">
        <f t="shared" si="3"/>
        <v/>
      </c>
      <c r="H807" s="15"/>
      <c r="P807" s="3" t="str">
        <f>IFERROR(__xludf.DUMMYFUNCTION("IF(OR(F807="""",F807=""Seleccionar..""),"""",TRANSPOSE(FILTER(Productos!E:E,(Productos!F:F=D807)+(Productos!F:F=XLOOKUP(D807,Implementos!B:B,Implementos!C:C,""-"",0,1)))))"),"")</f>
        <v/>
      </c>
    </row>
    <row r="808" hidden="1">
      <c r="A808" s="38" t="str">
        <f t="shared" si="1"/>
        <v/>
      </c>
      <c r="B808" s="38" t="str">
        <f>IF(F808="","",SUMIF(Prearmados!E:E,F808,Prearmados!A:A))</f>
        <v/>
      </c>
      <c r="C808" s="38" t="str">
        <f>IF(F808="","",SUMIF(Productos!E:E,G808,Productos!A:A))</f>
        <v/>
      </c>
      <c r="D808" s="85" t="str">
        <f t="array" ref="D808">IF(OR(F808="",F808="Seleccionar.."),"",XLOOKUP(F808,Prearmados!E:E,Prearmados!F:F,"",0,1))</f>
        <v/>
      </c>
      <c r="E808" s="83" t="str">
        <f>IF(H808="","",SUMIF(Precio_Productos!K:K,C808,Precio_Productos!J:J)*H808)</f>
        <v/>
      </c>
      <c r="F808" s="86" t="str">
        <f t="shared" si="2"/>
        <v/>
      </c>
      <c r="G808" s="86" t="str">
        <f t="shared" si="3"/>
        <v/>
      </c>
      <c r="H808" s="15"/>
      <c r="P808" s="3" t="str">
        <f>IFERROR(__xludf.DUMMYFUNCTION("IF(OR(F808="""",F808=""Seleccionar..""),"""",TRANSPOSE(FILTER(Productos!E:E,(Productos!F:F=D808)+(Productos!F:F=XLOOKUP(D808,Implementos!B:B,Implementos!C:C,""-"",0,1)))))"),"")</f>
        <v/>
      </c>
    </row>
    <row r="809" hidden="1">
      <c r="A809" s="38" t="str">
        <f t="shared" si="1"/>
        <v/>
      </c>
      <c r="B809" s="38" t="str">
        <f>IF(F809="","",SUMIF(Prearmados!E:E,F809,Prearmados!A:A))</f>
        <v/>
      </c>
      <c r="C809" s="38" t="str">
        <f>IF(F809="","",SUMIF(Productos!E:E,G809,Productos!A:A))</f>
        <v/>
      </c>
      <c r="D809" s="85" t="str">
        <f t="array" ref="D809">IF(OR(F809="",F809="Seleccionar.."),"",XLOOKUP(F809,Prearmados!E:E,Prearmados!F:F,"",0,1))</f>
        <v/>
      </c>
      <c r="E809" s="83" t="str">
        <f>IF(H809="","",SUMIF(Precio_Productos!K:K,C809,Precio_Productos!J:J)*H809)</f>
        <v/>
      </c>
      <c r="F809" s="86" t="str">
        <f t="shared" si="2"/>
        <v/>
      </c>
      <c r="G809" s="86" t="str">
        <f t="shared" si="3"/>
        <v/>
      </c>
      <c r="H809" s="15"/>
      <c r="P809" s="3" t="str">
        <f>IFERROR(__xludf.DUMMYFUNCTION("IF(OR(F809="""",F809=""Seleccionar..""),"""",TRANSPOSE(FILTER(Productos!E:E,(Productos!F:F=D809)+(Productos!F:F=XLOOKUP(D809,Implementos!B:B,Implementos!C:C,""-"",0,1)))))"),"")</f>
        <v/>
      </c>
    </row>
    <row r="810" hidden="1">
      <c r="A810" s="38" t="str">
        <f t="shared" si="1"/>
        <v/>
      </c>
      <c r="B810" s="38" t="str">
        <f>IF(F810="","",SUMIF(Prearmados!E:E,F810,Prearmados!A:A))</f>
        <v/>
      </c>
      <c r="C810" s="38" t="str">
        <f>IF(F810="","",SUMIF(Productos!E:E,G810,Productos!A:A))</f>
        <v/>
      </c>
      <c r="D810" s="85" t="str">
        <f t="array" ref="D810">IF(OR(F810="",F810="Seleccionar.."),"",XLOOKUP(F810,Prearmados!E:E,Prearmados!F:F,"",0,1))</f>
        <v/>
      </c>
      <c r="E810" s="83" t="str">
        <f>IF(H810="","",SUMIF(Precio_Productos!K:K,C810,Precio_Productos!J:J)*H810)</f>
        <v/>
      </c>
      <c r="F810" s="86" t="str">
        <f t="shared" si="2"/>
        <v/>
      </c>
      <c r="G810" s="86" t="str">
        <f t="shared" si="3"/>
        <v/>
      </c>
      <c r="H810" s="15"/>
      <c r="P810" s="3" t="str">
        <f>IFERROR(__xludf.DUMMYFUNCTION("IF(OR(F810="""",F810=""Seleccionar..""),"""",TRANSPOSE(FILTER(Productos!E:E,(Productos!F:F=D810)+(Productos!F:F=XLOOKUP(D810,Implementos!B:B,Implementos!C:C,""-"",0,1)))))"),"")</f>
        <v/>
      </c>
    </row>
    <row r="811" hidden="1">
      <c r="A811" s="38" t="str">
        <f t="shared" si="1"/>
        <v/>
      </c>
      <c r="B811" s="38" t="str">
        <f>IF(F811="","",SUMIF(Prearmados!E:E,F811,Prearmados!A:A))</f>
        <v/>
      </c>
      <c r="C811" s="38" t="str">
        <f>IF(F811="","",SUMIF(Productos!E:E,G811,Productos!A:A))</f>
        <v/>
      </c>
      <c r="D811" s="85" t="str">
        <f t="array" ref="D811">IF(OR(F811="",F811="Seleccionar.."),"",XLOOKUP(F811,Prearmados!E:E,Prearmados!F:F,"",0,1))</f>
        <v/>
      </c>
      <c r="E811" s="83" t="str">
        <f>IF(H811="","",SUMIF(Precio_Productos!K:K,C811,Precio_Productos!J:J)*H811)</f>
        <v/>
      </c>
      <c r="F811" s="86" t="str">
        <f t="shared" si="2"/>
        <v/>
      </c>
      <c r="G811" s="86" t="str">
        <f t="shared" si="3"/>
        <v/>
      </c>
      <c r="H811" s="15"/>
      <c r="P811" s="3" t="str">
        <f>IFERROR(__xludf.DUMMYFUNCTION("IF(OR(F811="""",F811=""Seleccionar..""),"""",TRANSPOSE(FILTER(Productos!E:E,(Productos!F:F=D811)+(Productos!F:F=XLOOKUP(D811,Implementos!B:B,Implementos!C:C,""-"",0,1)))))"),"")</f>
        <v/>
      </c>
    </row>
    <row r="812" hidden="1">
      <c r="A812" s="38" t="str">
        <f t="shared" si="1"/>
        <v/>
      </c>
      <c r="B812" s="38" t="str">
        <f>IF(F812="","",SUMIF(Prearmados!E:E,F812,Prearmados!A:A))</f>
        <v/>
      </c>
      <c r="C812" s="38" t="str">
        <f>IF(F812="","",SUMIF(Productos!E:E,G812,Productos!A:A))</f>
        <v/>
      </c>
      <c r="D812" s="85" t="str">
        <f t="array" ref="D812">IF(OR(F812="",F812="Seleccionar.."),"",XLOOKUP(F812,Prearmados!E:E,Prearmados!F:F,"",0,1))</f>
        <v/>
      </c>
      <c r="E812" s="83" t="str">
        <f>IF(H812="","",SUMIF(Precio_Productos!K:K,C812,Precio_Productos!J:J)*H812)</f>
        <v/>
      </c>
      <c r="F812" s="86" t="str">
        <f t="shared" si="2"/>
        <v/>
      </c>
      <c r="G812" s="86" t="str">
        <f t="shared" si="3"/>
        <v/>
      </c>
      <c r="H812" s="15"/>
      <c r="P812" s="3" t="str">
        <f>IFERROR(__xludf.DUMMYFUNCTION("IF(OR(F812="""",F812=""Seleccionar..""),"""",TRANSPOSE(FILTER(Productos!E:E,(Productos!F:F=D812)+(Productos!F:F=XLOOKUP(D812,Implementos!B:B,Implementos!C:C,""-"",0,1)))))"),"")</f>
        <v/>
      </c>
    </row>
    <row r="813" hidden="1">
      <c r="A813" s="38" t="str">
        <f t="shared" si="1"/>
        <v/>
      </c>
      <c r="B813" s="38" t="str">
        <f>IF(F813="","",SUMIF(Prearmados!E:E,F813,Prearmados!A:A))</f>
        <v/>
      </c>
      <c r="C813" s="38" t="str">
        <f>IF(F813="","",SUMIF(Productos!E:E,G813,Productos!A:A))</f>
        <v/>
      </c>
      <c r="D813" s="85" t="str">
        <f t="array" ref="D813">IF(OR(F813="",F813="Seleccionar.."),"",XLOOKUP(F813,Prearmados!E:E,Prearmados!F:F,"",0,1))</f>
        <v/>
      </c>
      <c r="E813" s="83" t="str">
        <f>IF(H813="","",SUMIF(Precio_Productos!K:K,C813,Precio_Productos!J:J)*H813)</f>
        <v/>
      </c>
      <c r="F813" s="86" t="str">
        <f t="shared" si="2"/>
        <v/>
      </c>
      <c r="G813" s="86" t="str">
        <f t="shared" si="3"/>
        <v/>
      </c>
      <c r="H813" s="15"/>
      <c r="P813" s="3" t="str">
        <f>IFERROR(__xludf.DUMMYFUNCTION("IF(OR(F813="""",F813=""Seleccionar..""),"""",TRANSPOSE(FILTER(Productos!E:E,(Productos!F:F=D813)+(Productos!F:F=XLOOKUP(D813,Implementos!B:B,Implementos!C:C,""-"",0,1)))))"),"")</f>
        <v/>
      </c>
    </row>
    <row r="814" hidden="1">
      <c r="A814" s="38" t="str">
        <f t="shared" si="1"/>
        <v/>
      </c>
      <c r="B814" s="38" t="str">
        <f>IF(F814="","",SUMIF(Prearmados!E:E,F814,Prearmados!A:A))</f>
        <v/>
      </c>
      <c r="C814" s="38" t="str">
        <f>IF(F814="","",SUMIF(Productos!E:E,G814,Productos!A:A))</f>
        <v/>
      </c>
      <c r="D814" s="85" t="str">
        <f t="array" ref="D814">IF(OR(F814="",F814="Seleccionar.."),"",XLOOKUP(F814,Prearmados!E:E,Prearmados!F:F,"",0,1))</f>
        <v/>
      </c>
      <c r="E814" s="83" t="str">
        <f>IF(H814="","",SUMIF(Precio_Productos!K:K,C814,Precio_Productos!J:J)*H814)</f>
        <v/>
      </c>
      <c r="F814" s="86" t="str">
        <f t="shared" si="2"/>
        <v/>
      </c>
      <c r="G814" s="86" t="str">
        <f t="shared" si="3"/>
        <v/>
      </c>
      <c r="H814" s="15"/>
      <c r="P814" s="3" t="str">
        <f>IFERROR(__xludf.DUMMYFUNCTION("IF(OR(F814="""",F814=""Seleccionar..""),"""",TRANSPOSE(FILTER(Productos!E:E,(Productos!F:F=D814)+(Productos!F:F=XLOOKUP(D814,Implementos!B:B,Implementos!C:C,""-"",0,1)))))"),"")</f>
        <v/>
      </c>
    </row>
    <row r="815" hidden="1">
      <c r="A815" s="38" t="str">
        <f t="shared" si="1"/>
        <v/>
      </c>
      <c r="B815" s="38" t="str">
        <f>IF(F815="","",SUMIF(Prearmados!E:E,F815,Prearmados!A:A))</f>
        <v/>
      </c>
      <c r="C815" s="38" t="str">
        <f>IF(F815="","",SUMIF(Productos!E:E,G815,Productos!A:A))</f>
        <v/>
      </c>
      <c r="D815" s="85" t="str">
        <f t="array" ref="D815">IF(OR(F815="",F815="Seleccionar.."),"",XLOOKUP(F815,Prearmados!E:E,Prearmados!F:F,"",0,1))</f>
        <v/>
      </c>
      <c r="E815" s="83" t="str">
        <f>IF(H815="","",SUMIF(Precio_Productos!K:K,C815,Precio_Productos!J:J)*H815)</f>
        <v/>
      </c>
      <c r="F815" s="86" t="str">
        <f t="shared" si="2"/>
        <v/>
      </c>
      <c r="G815" s="86" t="str">
        <f t="shared" si="3"/>
        <v/>
      </c>
      <c r="H815" s="15"/>
      <c r="P815" s="3" t="str">
        <f>IFERROR(__xludf.DUMMYFUNCTION("IF(OR(F815="""",F815=""Seleccionar..""),"""",TRANSPOSE(FILTER(Productos!E:E,(Productos!F:F=D815)+(Productos!F:F=XLOOKUP(D815,Implementos!B:B,Implementos!C:C,""-"",0,1)))))"),"")</f>
        <v/>
      </c>
    </row>
    <row r="816" hidden="1">
      <c r="A816" s="38" t="str">
        <f t="shared" si="1"/>
        <v/>
      </c>
      <c r="B816" s="38" t="str">
        <f>IF(F816="","",SUMIF(Prearmados!E:E,F816,Prearmados!A:A))</f>
        <v/>
      </c>
      <c r="C816" s="38" t="str">
        <f>IF(F816="","",SUMIF(Productos!E:E,G816,Productos!A:A))</f>
        <v/>
      </c>
      <c r="D816" s="85" t="str">
        <f t="array" ref="D816">IF(OR(F816="",F816="Seleccionar.."),"",XLOOKUP(F816,Prearmados!E:E,Prearmados!F:F,"",0,1))</f>
        <v/>
      </c>
      <c r="E816" s="83" t="str">
        <f>IF(H816="","",SUMIF(Precio_Productos!K:K,C816,Precio_Productos!J:J)*H816)</f>
        <v/>
      </c>
      <c r="F816" s="86" t="str">
        <f t="shared" si="2"/>
        <v/>
      </c>
      <c r="G816" s="86" t="str">
        <f t="shared" si="3"/>
        <v/>
      </c>
      <c r="H816" s="15"/>
      <c r="P816" s="3" t="str">
        <f>IFERROR(__xludf.DUMMYFUNCTION("IF(OR(F816="""",F816=""Seleccionar..""),"""",TRANSPOSE(FILTER(Productos!E:E,(Productos!F:F=D816)+(Productos!F:F=XLOOKUP(D816,Implementos!B:B,Implementos!C:C,""-"",0,1)))))"),"")</f>
        <v/>
      </c>
    </row>
    <row r="817" hidden="1">
      <c r="A817" s="38" t="str">
        <f t="shared" si="1"/>
        <v/>
      </c>
      <c r="B817" s="38" t="str">
        <f>IF(F817="","",SUMIF(Prearmados!E:E,F817,Prearmados!A:A))</f>
        <v/>
      </c>
      <c r="C817" s="38" t="str">
        <f>IF(F817="","",SUMIF(Productos!E:E,G817,Productos!A:A))</f>
        <v/>
      </c>
      <c r="D817" s="85" t="str">
        <f t="array" ref="D817">IF(OR(F817="",F817="Seleccionar.."),"",XLOOKUP(F817,Prearmados!E:E,Prearmados!F:F,"",0,1))</f>
        <v/>
      </c>
      <c r="E817" s="83" t="str">
        <f>IF(H817="","",SUMIF(Precio_Productos!K:K,C817,Precio_Productos!J:J)*H817)</f>
        <v/>
      </c>
      <c r="F817" s="86" t="str">
        <f t="shared" si="2"/>
        <v/>
      </c>
      <c r="G817" s="86" t="str">
        <f t="shared" si="3"/>
        <v/>
      </c>
      <c r="H817" s="15"/>
      <c r="P817" s="3" t="str">
        <f>IFERROR(__xludf.DUMMYFUNCTION("IF(OR(F817="""",F817=""Seleccionar..""),"""",TRANSPOSE(FILTER(Productos!E:E,(Productos!F:F=D817)+(Productos!F:F=XLOOKUP(D817,Implementos!B:B,Implementos!C:C,""-"",0,1)))))"),"")</f>
        <v/>
      </c>
    </row>
    <row r="818" hidden="1">
      <c r="A818" s="38" t="str">
        <f t="shared" si="1"/>
        <v/>
      </c>
      <c r="B818" s="38" t="str">
        <f>IF(F818="","",SUMIF(Prearmados!E:E,F818,Prearmados!A:A))</f>
        <v/>
      </c>
      <c r="C818" s="38" t="str">
        <f>IF(F818="","",SUMIF(Productos!E:E,G818,Productos!A:A))</f>
        <v/>
      </c>
      <c r="D818" s="85" t="str">
        <f t="array" ref="D818">IF(OR(F818="",F818="Seleccionar.."),"",XLOOKUP(F818,Prearmados!E:E,Prearmados!F:F,"",0,1))</f>
        <v/>
      </c>
      <c r="E818" s="83" t="str">
        <f>IF(H818="","",SUMIF(Precio_Productos!K:K,C818,Precio_Productos!J:J)*H818)</f>
        <v/>
      </c>
      <c r="F818" s="86" t="str">
        <f t="shared" si="2"/>
        <v/>
      </c>
      <c r="G818" s="86" t="str">
        <f t="shared" si="3"/>
        <v/>
      </c>
      <c r="H818" s="15"/>
      <c r="P818" s="3" t="str">
        <f>IFERROR(__xludf.DUMMYFUNCTION("IF(OR(F818="""",F818=""Seleccionar..""),"""",TRANSPOSE(FILTER(Productos!E:E,(Productos!F:F=D818)+(Productos!F:F=XLOOKUP(D818,Implementos!B:B,Implementos!C:C,""-"",0,1)))))"),"")</f>
        <v/>
      </c>
    </row>
    <row r="819" hidden="1">
      <c r="A819" s="38" t="str">
        <f t="shared" si="1"/>
        <v/>
      </c>
      <c r="B819" s="38" t="str">
        <f>IF(F819="","",SUMIF(Prearmados!E:E,F819,Prearmados!A:A))</f>
        <v/>
      </c>
      <c r="C819" s="38" t="str">
        <f>IF(F819="","",SUMIF(Productos!E:E,G819,Productos!A:A))</f>
        <v/>
      </c>
      <c r="D819" s="85" t="str">
        <f t="array" ref="D819">IF(OR(F819="",F819="Seleccionar.."),"",XLOOKUP(F819,Prearmados!E:E,Prearmados!F:F,"",0,1))</f>
        <v/>
      </c>
      <c r="E819" s="83" t="str">
        <f>IF(H819="","",SUMIF(Precio_Productos!K:K,C819,Precio_Productos!J:J)*H819)</f>
        <v/>
      </c>
      <c r="F819" s="86" t="str">
        <f t="shared" si="2"/>
        <v/>
      </c>
      <c r="G819" s="86" t="str">
        <f t="shared" si="3"/>
        <v/>
      </c>
      <c r="H819" s="15"/>
      <c r="P819" s="3" t="str">
        <f>IFERROR(__xludf.DUMMYFUNCTION("IF(OR(F819="""",F819=""Seleccionar..""),"""",TRANSPOSE(FILTER(Productos!E:E,(Productos!F:F=D819)+(Productos!F:F=XLOOKUP(D819,Implementos!B:B,Implementos!C:C,""-"",0,1)))))"),"")</f>
        <v/>
      </c>
    </row>
    <row r="820" hidden="1">
      <c r="A820" s="38" t="str">
        <f t="shared" si="1"/>
        <v/>
      </c>
      <c r="B820" s="38" t="str">
        <f>IF(F820="","",SUMIF(Prearmados!E:E,F820,Prearmados!A:A))</f>
        <v/>
      </c>
      <c r="C820" s="38" t="str">
        <f>IF(F820="","",SUMIF(Productos!E:E,G820,Productos!A:A))</f>
        <v/>
      </c>
      <c r="D820" s="85" t="str">
        <f t="array" ref="D820">IF(OR(F820="",F820="Seleccionar.."),"",XLOOKUP(F820,Prearmados!E:E,Prearmados!F:F,"",0,1))</f>
        <v/>
      </c>
      <c r="E820" s="83" t="str">
        <f>IF(H820="","",SUMIF(Precio_Productos!K:K,C820,Precio_Productos!J:J)*H820)</f>
        <v/>
      </c>
      <c r="F820" s="86" t="str">
        <f t="shared" si="2"/>
        <v/>
      </c>
      <c r="G820" s="86" t="str">
        <f t="shared" si="3"/>
        <v/>
      </c>
      <c r="H820" s="15"/>
      <c r="P820" s="3" t="str">
        <f>IFERROR(__xludf.DUMMYFUNCTION("IF(OR(F820="""",F820=""Seleccionar..""),"""",TRANSPOSE(FILTER(Productos!E:E,(Productos!F:F=D820)+(Productos!F:F=XLOOKUP(D820,Implementos!B:B,Implementos!C:C,""-"",0,1)))))"),"")</f>
        <v/>
      </c>
    </row>
    <row r="821" hidden="1">
      <c r="A821" s="38" t="str">
        <f t="shared" si="1"/>
        <v/>
      </c>
      <c r="B821" s="38" t="str">
        <f>IF(F821="","",SUMIF(Prearmados!E:E,F821,Prearmados!A:A))</f>
        <v/>
      </c>
      <c r="C821" s="38" t="str">
        <f>IF(F821="","",SUMIF(Productos!E:E,G821,Productos!A:A))</f>
        <v/>
      </c>
      <c r="D821" s="85" t="str">
        <f t="array" ref="D821">IF(OR(F821="",F821="Seleccionar.."),"",XLOOKUP(F821,Prearmados!E:E,Prearmados!F:F,"",0,1))</f>
        <v/>
      </c>
      <c r="E821" s="83" t="str">
        <f>IF(H821="","",SUMIF(Precio_Productos!K:K,C821,Precio_Productos!J:J)*H821)</f>
        <v/>
      </c>
      <c r="F821" s="86" t="str">
        <f t="shared" si="2"/>
        <v/>
      </c>
      <c r="G821" s="86" t="str">
        <f t="shared" si="3"/>
        <v/>
      </c>
      <c r="H821" s="15"/>
      <c r="P821" s="3" t="str">
        <f>IFERROR(__xludf.DUMMYFUNCTION("IF(OR(F821="""",F821=""Seleccionar..""),"""",TRANSPOSE(FILTER(Productos!E:E,(Productos!F:F=D821)+(Productos!F:F=XLOOKUP(D821,Implementos!B:B,Implementos!C:C,""-"",0,1)))))"),"")</f>
        <v/>
      </c>
    </row>
    <row r="822" hidden="1">
      <c r="A822" s="38" t="str">
        <f t="shared" si="1"/>
        <v/>
      </c>
      <c r="B822" s="38" t="str">
        <f>IF(F822="","",SUMIF(Prearmados!E:E,F822,Prearmados!A:A))</f>
        <v/>
      </c>
      <c r="C822" s="38" t="str">
        <f>IF(F822="","",SUMIF(Productos!E:E,G822,Productos!A:A))</f>
        <v/>
      </c>
      <c r="D822" s="85" t="str">
        <f t="array" ref="D822">IF(OR(F822="",F822="Seleccionar.."),"",XLOOKUP(F822,Prearmados!E:E,Prearmados!F:F,"",0,1))</f>
        <v/>
      </c>
      <c r="E822" s="83" t="str">
        <f>IF(H822="","",SUMIF(Precio_Productos!K:K,C822,Precio_Productos!J:J)*H822)</f>
        <v/>
      </c>
      <c r="F822" s="86" t="str">
        <f t="shared" si="2"/>
        <v/>
      </c>
      <c r="G822" s="86" t="str">
        <f t="shared" si="3"/>
        <v/>
      </c>
      <c r="H822" s="15"/>
      <c r="P822" s="3" t="str">
        <f>IFERROR(__xludf.DUMMYFUNCTION("IF(OR(F822="""",F822=""Seleccionar..""),"""",TRANSPOSE(FILTER(Productos!E:E,(Productos!F:F=D822)+(Productos!F:F=XLOOKUP(D822,Implementos!B:B,Implementos!C:C,""-"",0,1)))))"),"")</f>
        <v/>
      </c>
    </row>
    <row r="823" hidden="1">
      <c r="A823" s="38" t="str">
        <f t="shared" si="1"/>
        <v/>
      </c>
      <c r="B823" s="38" t="str">
        <f>IF(F823="","",SUMIF(Prearmados!E:E,F823,Prearmados!A:A))</f>
        <v/>
      </c>
      <c r="C823" s="38" t="str">
        <f>IF(F823="","",SUMIF(Productos!E:E,G823,Productos!A:A))</f>
        <v/>
      </c>
      <c r="D823" s="85" t="str">
        <f t="array" ref="D823">IF(OR(F823="",F823="Seleccionar.."),"",XLOOKUP(F823,Prearmados!E:E,Prearmados!F:F,"",0,1))</f>
        <v/>
      </c>
      <c r="E823" s="83" t="str">
        <f>IF(H823="","",SUMIF(Precio_Productos!K:K,C823,Precio_Productos!J:J)*H823)</f>
        <v/>
      </c>
      <c r="F823" s="86" t="str">
        <f t="shared" si="2"/>
        <v/>
      </c>
      <c r="G823" s="86" t="str">
        <f t="shared" si="3"/>
        <v/>
      </c>
      <c r="H823" s="15"/>
      <c r="P823" s="3" t="str">
        <f>IFERROR(__xludf.DUMMYFUNCTION("IF(OR(F823="""",F823=""Seleccionar..""),"""",TRANSPOSE(FILTER(Productos!E:E,(Productos!F:F=D823)+(Productos!F:F=XLOOKUP(D823,Implementos!B:B,Implementos!C:C,""-"",0,1)))))"),"")</f>
        <v/>
      </c>
    </row>
    <row r="824" hidden="1">
      <c r="A824" s="38" t="str">
        <f t="shared" si="1"/>
        <v/>
      </c>
      <c r="B824" s="38" t="str">
        <f>IF(F824="","",SUMIF(Prearmados!E:E,F824,Prearmados!A:A))</f>
        <v/>
      </c>
      <c r="C824" s="38" t="str">
        <f>IF(F824="","",SUMIF(Productos!E:E,G824,Productos!A:A))</f>
        <v/>
      </c>
      <c r="D824" s="85" t="str">
        <f t="array" ref="D824">IF(OR(F824="",F824="Seleccionar.."),"",XLOOKUP(F824,Prearmados!E:E,Prearmados!F:F,"",0,1))</f>
        <v/>
      </c>
      <c r="E824" s="83" t="str">
        <f>IF(H824="","",SUMIF(Precio_Productos!K:K,C824,Precio_Productos!J:J)*H824)</f>
        <v/>
      </c>
      <c r="F824" s="86" t="str">
        <f t="shared" si="2"/>
        <v/>
      </c>
      <c r="G824" s="86" t="str">
        <f t="shared" si="3"/>
        <v/>
      </c>
      <c r="H824" s="15"/>
      <c r="P824" s="3" t="str">
        <f>IFERROR(__xludf.DUMMYFUNCTION("IF(OR(F824="""",F824=""Seleccionar..""),"""",TRANSPOSE(FILTER(Productos!E:E,(Productos!F:F=D824)+(Productos!F:F=XLOOKUP(D824,Implementos!B:B,Implementos!C:C,""-"",0,1)))))"),"")</f>
        <v/>
      </c>
    </row>
    <row r="825" hidden="1">
      <c r="A825" s="38" t="str">
        <f t="shared" si="1"/>
        <v/>
      </c>
      <c r="B825" s="38" t="str">
        <f>IF(F825="","",SUMIF(Prearmados!E:E,F825,Prearmados!A:A))</f>
        <v/>
      </c>
      <c r="C825" s="38" t="str">
        <f>IF(F825="","",SUMIF(Productos!E:E,G825,Productos!A:A))</f>
        <v/>
      </c>
      <c r="D825" s="85" t="str">
        <f t="array" ref="D825">IF(OR(F825="",F825="Seleccionar.."),"",XLOOKUP(F825,Prearmados!E:E,Prearmados!F:F,"",0,1))</f>
        <v/>
      </c>
      <c r="E825" s="83" t="str">
        <f>IF(H825="","",SUMIF(Precio_Productos!K:K,C825,Precio_Productos!J:J)*H825)</f>
        <v/>
      </c>
      <c r="F825" s="86" t="str">
        <f t="shared" si="2"/>
        <v/>
      </c>
      <c r="G825" s="86" t="str">
        <f t="shared" si="3"/>
        <v/>
      </c>
      <c r="H825" s="15"/>
      <c r="P825" s="3" t="str">
        <f>IFERROR(__xludf.DUMMYFUNCTION("IF(OR(F825="""",F825=""Seleccionar..""),"""",TRANSPOSE(FILTER(Productos!E:E,(Productos!F:F=D825)+(Productos!F:F=XLOOKUP(D825,Implementos!B:B,Implementos!C:C,""-"",0,1)))))"),"")</f>
        <v/>
      </c>
    </row>
    <row r="826" hidden="1">
      <c r="A826" s="38" t="str">
        <f t="shared" si="1"/>
        <v/>
      </c>
      <c r="B826" s="38" t="str">
        <f>IF(F826="","",SUMIF(Prearmados!E:E,F826,Prearmados!A:A))</f>
        <v/>
      </c>
      <c r="C826" s="38" t="str">
        <f>IF(F826="","",SUMIF(Productos!E:E,G826,Productos!A:A))</f>
        <v/>
      </c>
      <c r="D826" s="85" t="str">
        <f t="array" ref="D826">IF(OR(F826="",F826="Seleccionar.."),"",XLOOKUP(F826,Prearmados!E:E,Prearmados!F:F,"",0,1))</f>
        <v/>
      </c>
      <c r="E826" s="83" t="str">
        <f>IF(H826="","",SUMIF(Precio_Productos!K:K,C826,Precio_Productos!J:J)*H826)</f>
        <v/>
      </c>
      <c r="F826" s="86" t="str">
        <f t="shared" si="2"/>
        <v/>
      </c>
      <c r="G826" s="86" t="str">
        <f t="shared" si="3"/>
        <v/>
      </c>
      <c r="H826" s="15"/>
      <c r="P826" s="3" t="str">
        <f>IFERROR(__xludf.DUMMYFUNCTION("IF(OR(F826="""",F826=""Seleccionar..""),"""",TRANSPOSE(FILTER(Productos!E:E,(Productos!F:F=D826)+(Productos!F:F=XLOOKUP(D826,Implementos!B:B,Implementos!C:C,""-"",0,1)))))"),"")</f>
        <v/>
      </c>
    </row>
    <row r="827" hidden="1">
      <c r="A827" s="38" t="str">
        <f t="shared" si="1"/>
        <v/>
      </c>
      <c r="B827" s="38" t="str">
        <f>IF(F827="","",SUMIF(Prearmados!E:E,F827,Prearmados!A:A))</f>
        <v/>
      </c>
      <c r="C827" s="38" t="str">
        <f>IF(F827="","",SUMIF(Productos!E:E,G827,Productos!A:A))</f>
        <v/>
      </c>
      <c r="D827" s="85" t="str">
        <f t="array" ref="D827">IF(OR(F827="",F827="Seleccionar.."),"",XLOOKUP(F827,Prearmados!E:E,Prearmados!F:F,"",0,1))</f>
        <v/>
      </c>
      <c r="E827" s="83" t="str">
        <f>IF(H827="","",SUMIF(Precio_Productos!K:K,C827,Precio_Productos!J:J)*H827)</f>
        <v/>
      </c>
      <c r="F827" s="86" t="str">
        <f t="shared" si="2"/>
        <v/>
      </c>
      <c r="G827" s="86" t="str">
        <f t="shared" si="3"/>
        <v/>
      </c>
      <c r="H827" s="15"/>
      <c r="P827" s="3" t="str">
        <f>IFERROR(__xludf.DUMMYFUNCTION("IF(OR(F827="""",F827=""Seleccionar..""),"""",TRANSPOSE(FILTER(Productos!E:E,(Productos!F:F=D827)+(Productos!F:F=XLOOKUP(D827,Implementos!B:B,Implementos!C:C,""-"",0,1)))))"),"")</f>
        <v/>
      </c>
    </row>
    <row r="828" hidden="1">
      <c r="A828" s="38" t="str">
        <f t="shared" si="1"/>
        <v/>
      </c>
      <c r="B828" s="38" t="str">
        <f>IF(F828="","",SUMIF(Prearmados!E:E,F828,Prearmados!A:A))</f>
        <v/>
      </c>
      <c r="C828" s="38" t="str">
        <f>IF(F828="","",SUMIF(Productos!E:E,G828,Productos!A:A))</f>
        <v/>
      </c>
      <c r="D828" s="85" t="str">
        <f t="array" ref="D828">IF(OR(F828="",F828="Seleccionar.."),"",XLOOKUP(F828,Prearmados!E:E,Prearmados!F:F,"",0,1))</f>
        <v/>
      </c>
      <c r="E828" s="83" t="str">
        <f>IF(H828="","",SUMIF(Precio_Productos!K:K,C828,Precio_Productos!J:J)*H828)</f>
        <v/>
      </c>
      <c r="F828" s="86" t="str">
        <f t="shared" si="2"/>
        <v/>
      </c>
      <c r="G828" s="86" t="str">
        <f t="shared" si="3"/>
        <v/>
      </c>
      <c r="H828" s="15"/>
      <c r="P828" s="3" t="str">
        <f>IFERROR(__xludf.DUMMYFUNCTION("IF(OR(F828="""",F828=""Seleccionar..""),"""",TRANSPOSE(FILTER(Productos!E:E,(Productos!F:F=D828)+(Productos!F:F=XLOOKUP(D828,Implementos!B:B,Implementos!C:C,""-"",0,1)))))"),"")</f>
        <v/>
      </c>
    </row>
    <row r="829" hidden="1">
      <c r="A829" s="38" t="str">
        <f t="shared" si="1"/>
        <v/>
      </c>
      <c r="B829" s="38" t="str">
        <f>IF(F829="","",SUMIF(Prearmados!E:E,F829,Prearmados!A:A))</f>
        <v/>
      </c>
      <c r="C829" s="38" t="str">
        <f>IF(F829="","",SUMIF(Productos!E:E,G829,Productos!A:A))</f>
        <v/>
      </c>
      <c r="D829" s="85" t="str">
        <f t="array" ref="D829">IF(OR(F829="",F829="Seleccionar.."),"",XLOOKUP(F829,Prearmados!E:E,Prearmados!F:F,"",0,1))</f>
        <v/>
      </c>
      <c r="E829" s="83" t="str">
        <f>IF(H829="","",SUMIF(Precio_Productos!K:K,C829,Precio_Productos!J:J)*H829)</f>
        <v/>
      </c>
      <c r="F829" s="86" t="str">
        <f t="shared" si="2"/>
        <v/>
      </c>
      <c r="G829" s="86" t="str">
        <f t="shared" si="3"/>
        <v/>
      </c>
      <c r="H829" s="15"/>
      <c r="P829" s="3" t="str">
        <f>IFERROR(__xludf.DUMMYFUNCTION("IF(OR(F829="""",F829=""Seleccionar..""),"""",TRANSPOSE(FILTER(Productos!E:E,(Productos!F:F=D829)+(Productos!F:F=XLOOKUP(D829,Implementos!B:B,Implementos!C:C,""-"",0,1)))))"),"")</f>
        <v/>
      </c>
    </row>
    <row r="830" hidden="1">
      <c r="A830" s="38" t="str">
        <f t="shared" si="1"/>
        <v/>
      </c>
      <c r="B830" s="38" t="str">
        <f>IF(F830="","",SUMIF(Prearmados!E:E,F830,Prearmados!A:A))</f>
        <v/>
      </c>
      <c r="C830" s="38" t="str">
        <f>IF(F830="","",SUMIF(Productos!E:E,G830,Productos!A:A))</f>
        <v/>
      </c>
      <c r="D830" s="85" t="str">
        <f t="array" ref="D830">IF(OR(F830="",F830="Seleccionar.."),"",XLOOKUP(F830,Prearmados!E:E,Prearmados!F:F,"",0,1))</f>
        <v/>
      </c>
      <c r="E830" s="83" t="str">
        <f>IF(H830="","",SUMIF(Precio_Productos!K:K,C830,Precio_Productos!J:J)*H830)</f>
        <v/>
      </c>
      <c r="F830" s="86" t="str">
        <f t="shared" si="2"/>
        <v/>
      </c>
      <c r="G830" s="86" t="str">
        <f t="shared" si="3"/>
        <v/>
      </c>
      <c r="H830" s="15"/>
      <c r="P830" s="3" t="str">
        <f>IFERROR(__xludf.DUMMYFUNCTION("IF(OR(F830="""",F830=""Seleccionar..""),"""",TRANSPOSE(FILTER(Productos!E:E,(Productos!F:F=D830)+(Productos!F:F=XLOOKUP(D830,Implementos!B:B,Implementos!C:C,""-"",0,1)))))"),"")</f>
        <v/>
      </c>
    </row>
    <row r="831" hidden="1">
      <c r="A831" s="38" t="str">
        <f t="shared" si="1"/>
        <v/>
      </c>
      <c r="B831" s="38" t="str">
        <f>IF(F831="","",SUMIF(Prearmados!E:E,F831,Prearmados!A:A))</f>
        <v/>
      </c>
      <c r="C831" s="38" t="str">
        <f>IF(F831="","",SUMIF(Productos!E:E,G831,Productos!A:A))</f>
        <v/>
      </c>
      <c r="D831" s="85" t="str">
        <f t="array" ref="D831">IF(OR(F831="",F831="Seleccionar.."),"",XLOOKUP(F831,Prearmados!E:E,Prearmados!F:F,"",0,1))</f>
        <v/>
      </c>
      <c r="E831" s="83" t="str">
        <f>IF(H831="","",SUMIF(Precio_Productos!K:K,C831,Precio_Productos!J:J)*H831)</f>
        <v/>
      </c>
      <c r="F831" s="86" t="str">
        <f t="shared" si="2"/>
        <v/>
      </c>
      <c r="G831" s="86" t="str">
        <f t="shared" si="3"/>
        <v/>
      </c>
      <c r="H831" s="15"/>
      <c r="P831" s="3" t="str">
        <f>IFERROR(__xludf.DUMMYFUNCTION("IF(OR(F831="""",F831=""Seleccionar..""),"""",TRANSPOSE(FILTER(Productos!E:E,(Productos!F:F=D831)+(Productos!F:F=XLOOKUP(D831,Implementos!B:B,Implementos!C:C,""-"",0,1)))))"),"")</f>
        <v/>
      </c>
    </row>
    <row r="832" hidden="1">
      <c r="A832" s="38" t="str">
        <f t="shared" si="1"/>
        <v/>
      </c>
      <c r="B832" s="38" t="str">
        <f>IF(F832="","",SUMIF(Prearmados!E:E,F832,Prearmados!A:A))</f>
        <v/>
      </c>
      <c r="C832" s="38" t="str">
        <f>IF(F832="","",SUMIF(Productos!E:E,G832,Productos!A:A))</f>
        <v/>
      </c>
      <c r="D832" s="85" t="str">
        <f t="array" ref="D832">IF(OR(F832="",F832="Seleccionar.."),"",XLOOKUP(F832,Prearmados!E:E,Prearmados!F:F,"",0,1))</f>
        <v/>
      </c>
      <c r="E832" s="83" t="str">
        <f>IF(H832="","",SUMIF(Precio_Productos!K:K,C832,Precio_Productos!J:J)*H832)</f>
        <v/>
      </c>
      <c r="F832" s="86" t="str">
        <f t="shared" si="2"/>
        <v/>
      </c>
      <c r="G832" s="86" t="str">
        <f t="shared" si="3"/>
        <v/>
      </c>
      <c r="H832" s="15"/>
      <c r="P832" s="3" t="str">
        <f>IFERROR(__xludf.DUMMYFUNCTION("IF(OR(F832="""",F832=""Seleccionar..""),"""",TRANSPOSE(FILTER(Productos!E:E,(Productos!F:F=D832)+(Productos!F:F=XLOOKUP(D832,Implementos!B:B,Implementos!C:C,""-"",0,1)))))"),"")</f>
        <v/>
      </c>
    </row>
    <row r="833" hidden="1">
      <c r="A833" s="38" t="str">
        <f t="shared" si="1"/>
        <v/>
      </c>
      <c r="B833" s="38" t="str">
        <f>IF(F833="","",SUMIF(Prearmados!E:E,F833,Prearmados!A:A))</f>
        <v/>
      </c>
      <c r="C833" s="38" t="str">
        <f>IF(F833="","",SUMIF(Productos!E:E,G833,Productos!A:A))</f>
        <v/>
      </c>
      <c r="D833" s="85" t="str">
        <f t="array" ref="D833">IF(OR(F833="",F833="Seleccionar.."),"",XLOOKUP(F833,Prearmados!E:E,Prearmados!F:F,"",0,1))</f>
        <v/>
      </c>
      <c r="E833" s="83" t="str">
        <f>IF(H833="","",SUMIF(Precio_Productos!K:K,C833,Precio_Productos!J:J)*H833)</f>
        <v/>
      </c>
      <c r="F833" s="86" t="str">
        <f t="shared" si="2"/>
        <v/>
      </c>
      <c r="G833" s="86" t="str">
        <f t="shared" si="3"/>
        <v/>
      </c>
      <c r="H833" s="15"/>
      <c r="P833" s="3" t="str">
        <f>IFERROR(__xludf.DUMMYFUNCTION("IF(OR(F833="""",F833=""Seleccionar..""),"""",TRANSPOSE(FILTER(Productos!E:E,(Productos!F:F=D833)+(Productos!F:F=XLOOKUP(D833,Implementos!B:B,Implementos!C:C,""-"",0,1)))))"),"")</f>
        <v/>
      </c>
    </row>
    <row r="834" hidden="1">
      <c r="A834" s="38" t="str">
        <f t="shared" si="1"/>
        <v/>
      </c>
      <c r="B834" s="38" t="str">
        <f>IF(F834="","",SUMIF(Prearmados!E:E,F834,Prearmados!A:A))</f>
        <v/>
      </c>
      <c r="C834" s="38" t="str">
        <f>IF(F834="","",SUMIF(Productos!E:E,G834,Productos!A:A))</f>
        <v/>
      </c>
      <c r="D834" s="85" t="str">
        <f t="array" ref="D834">IF(OR(F834="",F834="Seleccionar.."),"",XLOOKUP(F834,Prearmados!E:E,Prearmados!F:F,"",0,1))</f>
        <v/>
      </c>
      <c r="E834" s="83" t="str">
        <f>IF(H834="","",SUMIF(Precio_Productos!K:K,C834,Precio_Productos!J:J)*H834)</f>
        <v/>
      </c>
      <c r="F834" s="86" t="str">
        <f t="shared" si="2"/>
        <v/>
      </c>
      <c r="G834" s="86" t="str">
        <f t="shared" si="3"/>
        <v/>
      </c>
      <c r="H834" s="15"/>
      <c r="P834" s="3" t="str">
        <f>IFERROR(__xludf.DUMMYFUNCTION("IF(OR(F834="""",F834=""Seleccionar..""),"""",TRANSPOSE(FILTER(Productos!E:E,(Productos!F:F=D834)+(Productos!F:F=XLOOKUP(D834,Implementos!B:B,Implementos!C:C,""-"",0,1)))))"),"")</f>
        <v/>
      </c>
    </row>
    <row r="835" hidden="1">
      <c r="A835" s="38" t="str">
        <f t="shared" si="1"/>
        <v/>
      </c>
      <c r="B835" s="38" t="str">
        <f>IF(F835="","",SUMIF(Prearmados!E:E,F835,Prearmados!A:A))</f>
        <v/>
      </c>
      <c r="C835" s="38" t="str">
        <f>IF(F835="","",SUMIF(Productos!E:E,G835,Productos!A:A))</f>
        <v/>
      </c>
      <c r="D835" s="85" t="str">
        <f t="array" ref="D835">IF(OR(F835="",F835="Seleccionar.."),"",XLOOKUP(F835,Prearmados!E:E,Prearmados!F:F,"",0,1))</f>
        <v/>
      </c>
      <c r="E835" s="83" t="str">
        <f>IF(H835="","",SUMIF(Precio_Productos!K:K,C835,Precio_Productos!J:J)*H835)</f>
        <v/>
      </c>
      <c r="F835" s="86" t="str">
        <f t="shared" si="2"/>
        <v/>
      </c>
      <c r="G835" s="86" t="str">
        <f t="shared" si="3"/>
        <v/>
      </c>
      <c r="H835" s="15"/>
      <c r="P835" s="3" t="str">
        <f>IFERROR(__xludf.DUMMYFUNCTION("IF(OR(F835="""",F835=""Seleccionar..""),"""",TRANSPOSE(FILTER(Productos!E:E,(Productos!F:F=D835)+(Productos!F:F=XLOOKUP(D835,Implementos!B:B,Implementos!C:C,""-"",0,1)))))"),"")</f>
        <v/>
      </c>
    </row>
    <row r="836" hidden="1">
      <c r="A836" s="38" t="str">
        <f t="shared" si="1"/>
        <v/>
      </c>
      <c r="B836" s="38" t="str">
        <f>IF(F836="","",SUMIF(Prearmados!E:E,F836,Prearmados!A:A))</f>
        <v/>
      </c>
      <c r="C836" s="38" t="str">
        <f>IF(F836="","",SUMIF(Productos!E:E,G836,Productos!A:A))</f>
        <v/>
      </c>
      <c r="D836" s="85" t="str">
        <f t="array" ref="D836">IF(OR(F836="",F836="Seleccionar.."),"",XLOOKUP(F836,Prearmados!E:E,Prearmados!F:F,"",0,1))</f>
        <v/>
      </c>
      <c r="E836" s="83" t="str">
        <f>IF(H836="","",SUMIF(Precio_Productos!K:K,C836,Precio_Productos!J:J)*H836)</f>
        <v/>
      </c>
      <c r="F836" s="86" t="str">
        <f t="shared" si="2"/>
        <v/>
      </c>
      <c r="G836" s="86" t="str">
        <f t="shared" si="3"/>
        <v/>
      </c>
      <c r="H836" s="15"/>
      <c r="P836" s="3" t="str">
        <f>IFERROR(__xludf.DUMMYFUNCTION("IF(OR(F836="""",F836=""Seleccionar..""),"""",TRANSPOSE(FILTER(Productos!E:E,(Productos!F:F=D836)+(Productos!F:F=XLOOKUP(D836,Implementos!B:B,Implementos!C:C,""-"",0,1)))))"),"")</f>
        <v/>
      </c>
    </row>
    <row r="837" hidden="1">
      <c r="A837" s="38" t="str">
        <f t="shared" si="1"/>
        <v/>
      </c>
      <c r="B837" s="38" t="str">
        <f>IF(F837="","",SUMIF(Prearmados!E:E,F837,Prearmados!A:A))</f>
        <v/>
      </c>
      <c r="C837" s="38" t="str">
        <f>IF(F837="","",SUMIF(Productos!E:E,G837,Productos!A:A))</f>
        <v/>
      </c>
      <c r="D837" s="85" t="str">
        <f t="array" ref="D837">IF(OR(F837="",F837="Seleccionar.."),"",XLOOKUP(F837,Prearmados!E:E,Prearmados!F:F,"",0,1))</f>
        <v/>
      </c>
      <c r="E837" s="83" t="str">
        <f>IF(H837="","",SUMIF(Precio_Productos!K:K,C837,Precio_Productos!J:J)*H837)</f>
        <v/>
      </c>
      <c r="F837" s="86" t="str">
        <f t="shared" si="2"/>
        <v/>
      </c>
      <c r="G837" s="86" t="str">
        <f t="shared" si="3"/>
        <v/>
      </c>
      <c r="H837" s="15"/>
      <c r="P837" s="3" t="str">
        <f>IFERROR(__xludf.DUMMYFUNCTION("IF(OR(F837="""",F837=""Seleccionar..""),"""",TRANSPOSE(FILTER(Productos!E:E,(Productos!F:F=D837)+(Productos!F:F=XLOOKUP(D837,Implementos!B:B,Implementos!C:C,""-"",0,1)))))"),"")</f>
        <v/>
      </c>
    </row>
    <row r="838" hidden="1">
      <c r="A838" s="38" t="str">
        <f t="shared" si="1"/>
        <v/>
      </c>
      <c r="B838" s="38" t="str">
        <f>IF(F838="","",SUMIF(Prearmados!E:E,F838,Prearmados!A:A))</f>
        <v/>
      </c>
      <c r="C838" s="38" t="str">
        <f>IF(F838="","",SUMIF(Productos!E:E,G838,Productos!A:A))</f>
        <v/>
      </c>
      <c r="D838" s="85" t="str">
        <f t="array" ref="D838">IF(OR(F838="",F838="Seleccionar.."),"",XLOOKUP(F838,Prearmados!E:E,Prearmados!F:F,"",0,1))</f>
        <v/>
      </c>
      <c r="E838" s="83" t="str">
        <f>IF(H838="","",SUMIF(Precio_Productos!K:K,C838,Precio_Productos!J:J)*H838)</f>
        <v/>
      </c>
      <c r="F838" s="86" t="str">
        <f t="shared" si="2"/>
        <v/>
      </c>
      <c r="G838" s="86" t="str">
        <f t="shared" si="3"/>
        <v/>
      </c>
      <c r="H838" s="15"/>
      <c r="P838" s="3" t="str">
        <f>IFERROR(__xludf.DUMMYFUNCTION("IF(OR(F838="""",F838=""Seleccionar..""),"""",TRANSPOSE(FILTER(Productos!E:E,(Productos!F:F=D838)+(Productos!F:F=XLOOKUP(D838,Implementos!B:B,Implementos!C:C,""-"",0,1)))))"),"")</f>
        <v/>
      </c>
    </row>
    <row r="839" hidden="1">
      <c r="A839" s="38" t="str">
        <f t="shared" si="1"/>
        <v/>
      </c>
      <c r="B839" s="38" t="str">
        <f>IF(F839="","",SUMIF(Prearmados!E:E,F839,Prearmados!A:A))</f>
        <v/>
      </c>
      <c r="C839" s="38" t="str">
        <f>IF(F839="","",SUMIF(Productos!E:E,G839,Productos!A:A))</f>
        <v/>
      </c>
      <c r="D839" s="85" t="str">
        <f t="array" ref="D839">IF(OR(F839="",F839="Seleccionar.."),"",XLOOKUP(F839,Prearmados!E:E,Prearmados!F:F,"",0,1))</f>
        <v/>
      </c>
      <c r="E839" s="83" t="str">
        <f>IF(H839="","",SUMIF(Precio_Productos!K:K,C839,Precio_Productos!J:J)*H839)</f>
        <v/>
      </c>
      <c r="F839" s="86" t="str">
        <f t="shared" si="2"/>
        <v/>
      </c>
      <c r="G839" s="86" t="str">
        <f t="shared" si="3"/>
        <v/>
      </c>
      <c r="H839" s="15"/>
      <c r="P839" s="3" t="str">
        <f>IFERROR(__xludf.DUMMYFUNCTION("IF(OR(F839="""",F839=""Seleccionar..""),"""",TRANSPOSE(FILTER(Productos!E:E,(Productos!F:F=D839)+(Productos!F:F=XLOOKUP(D839,Implementos!B:B,Implementos!C:C,""-"",0,1)))))"),"")</f>
        <v/>
      </c>
    </row>
    <row r="840" hidden="1">
      <c r="A840" s="38" t="str">
        <f t="shared" si="1"/>
        <v/>
      </c>
      <c r="B840" s="38" t="str">
        <f>IF(F840="","",SUMIF(Prearmados!E:E,F840,Prearmados!A:A))</f>
        <v/>
      </c>
      <c r="C840" s="38" t="str">
        <f>IF(F840="","",SUMIF(Productos!E:E,G840,Productos!A:A))</f>
        <v/>
      </c>
      <c r="D840" s="85" t="str">
        <f t="array" ref="D840">IF(OR(F840="",F840="Seleccionar.."),"",XLOOKUP(F840,Prearmados!E:E,Prearmados!F:F,"",0,1))</f>
        <v/>
      </c>
      <c r="E840" s="83" t="str">
        <f>IF(H840="","",SUMIF(Precio_Productos!K:K,C840,Precio_Productos!J:J)*H840)</f>
        <v/>
      </c>
      <c r="F840" s="86" t="str">
        <f t="shared" si="2"/>
        <v/>
      </c>
      <c r="G840" s="86" t="str">
        <f t="shared" si="3"/>
        <v/>
      </c>
      <c r="H840" s="15"/>
      <c r="P840" s="3" t="str">
        <f>IFERROR(__xludf.DUMMYFUNCTION("IF(OR(F840="""",F840=""Seleccionar..""),"""",TRANSPOSE(FILTER(Productos!E:E,(Productos!F:F=D840)+(Productos!F:F=XLOOKUP(D840,Implementos!B:B,Implementos!C:C,""-"",0,1)))))"),"")</f>
        <v/>
      </c>
    </row>
    <row r="841" hidden="1">
      <c r="A841" s="38" t="str">
        <f t="shared" si="1"/>
        <v/>
      </c>
      <c r="B841" s="38" t="str">
        <f>IF(F841="","",SUMIF(Prearmados!E:E,F841,Prearmados!A:A))</f>
        <v/>
      </c>
      <c r="C841" s="38" t="str">
        <f>IF(F841="","",SUMIF(Productos!E:E,G841,Productos!A:A))</f>
        <v/>
      </c>
      <c r="D841" s="85" t="str">
        <f t="array" ref="D841">IF(OR(F841="",F841="Seleccionar.."),"",XLOOKUP(F841,Prearmados!E:E,Prearmados!F:F,"",0,1))</f>
        <v/>
      </c>
      <c r="E841" s="83" t="str">
        <f>IF(H841="","",SUMIF(Precio_Productos!K:K,C841,Precio_Productos!J:J)*H841)</f>
        <v/>
      </c>
      <c r="F841" s="86" t="str">
        <f t="shared" si="2"/>
        <v/>
      </c>
      <c r="G841" s="86" t="str">
        <f t="shared" si="3"/>
        <v/>
      </c>
      <c r="H841" s="15"/>
      <c r="P841" s="3" t="str">
        <f>IFERROR(__xludf.DUMMYFUNCTION("IF(OR(F841="""",F841=""Seleccionar..""),"""",TRANSPOSE(FILTER(Productos!E:E,(Productos!F:F=D841)+(Productos!F:F=XLOOKUP(D841,Implementos!B:B,Implementos!C:C,""-"",0,1)))))"),"")</f>
        <v/>
      </c>
    </row>
    <row r="842" hidden="1">
      <c r="A842" s="38" t="str">
        <f t="shared" si="1"/>
        <v/>
      </c>
      <c r="B842" s="38" t="str">
        <f>IF(F842="","",SUMIF(Prearmados!E:E,F842,Prearmados!A:A))</f>
        <v/>
      </c>
      <c r="C842" s="38" t="str">
        <f>IF(F842="","",SUMIF(Productos!E:E,G842,Productos!A:A))</f>
        <v/>
      </c>
      <c r="D842" s="85" t="str">
        <f t="array" ref="D842">IF(OR(F842="",F842="Seleccionar.."),"",XLOOKUP(F842,Prearmados!E:E,Prearmados!F:F,"",0,1))</f>
        <v/>
      </c>
      <c r="E842" s="83" t="str">
        <f>IF(H842="","",SUMIF(Precio_Productos!K:K,C842,Precio_Productos!J:J)*H842)</f>
        <v/>
      </c>
      <c r="F842" s="86" t="str">
        <f t="shared" si="2"/>
        <v/>
      </c>
      <c r="G842" s="86" t="str">
        <f t="shared" si="3"/>
        <v/>
      </c>
      <c r="H842" s="15"/>
      <c r="P842" s="3" t="str">
        <f>IFERROR(__xludf.DUMMYFUNCTION("IF(OR(F842="""",F842=""Seleccionar..""),"""",TRANSPOSE(FILTER(Productos!E:E,(Productos!F:F=D842)+(Productos!F:F=XLOOKUP(D842,Implementos!B:B,Implementos!C:C,""-"",0,1)))))"),"")</f>
        <v/>
      </c>
    </row>
    <row r="843" hidden="1">
      <c r="A843" s="38" t="str">
        <f t="shared" si="1"/>
        <v/>
      </c>
      <c r="B843" s="38" t="str">
        <f>IF(F843="","",SUMIF(Prearmados!E:E,F843,Prearmados!A:A))</f>
        <v/>
      </c>
      <c r="C843" s="38" t="str">
        <f>IF(F843="","",SUMIF(Productos!E:E,G843,Productos!A:A))</f>
        <v/>
      </c>
      <c r="D843" s="85" t="str">
        <f t="array" ref="D843">IF(OR(F843="",F843="Seleccionar.."),"",XLOOKUP(F843,Prearmados!E:E,Prearmados!F:F,"",0,1))</f>
        <v/>
      </c>
      <c r="E843" s="83" t="str">
        <f>IF(H843="","",SUMIF(Precio_Productos!K:K,C843,Precio_Productos!J:J)*H843)</f>
        <v/>
      </c>
      <c r="F843" s="86" t="str">
        <f t="shared" si="2"/>
        <v/>
      </c>
      <c r="G843" s="86" t="str">
        <f t="shared" si="3"/>
        <v/>
      </c>
      <c r="H843" s="15"/>
      <c r="P843" s="3" t="str">
        <f>IFERROR(__xludf.DUMMYFUNCTION("IF(OR(F843="""",F843=""Seleccionar..""),"""",TRANSPOSE(FILTER(Productos!E:E,(Productos!F:F=D843)+(Productos!F:F=XLOOKUP(D843,Implementos!B:B,Implementos!C:C,""-"",0,1)))))"),"")</f>
        <v/>
      </c>
    </row>
    <row r="844" hidden="1">
      <c r="A844" s="38" t="str">
        <f t="shared" si="1"/>
        <v/>
      </c>
      <c r="B844" s="38" t="str">
        <f>IF(F844="","",SUMIF(Prearmados!E:E,F844,Prearmados!A:A))</f>
        <v/>
      </c>
      <c r="C844" s="38" t="str">
        <f>IF(F844="","",SUMIF(Productos!E:E,G844,Productos!A:A))</f>
        <v/>
      </c>
      <c r="D844" s="85" t="str">
        <f t="array" ref="D844">IF(OR(F844="",F844="Seleccionar.."),"",XLOOKUP(F844,Prearmados!E:E,Prearmados!F:F,"",0,1))</f>
        <v/>
      </c>
      <c r="E844" s="83" t="str">
        <f>IF(H844="","",SUMIF(Precio_Productos!K:K,C844,Precio_Productos!J:J)*H844)</f>
        <v/>
      </c>
      <c r="F844" s="86" t="str">
        <f t="shared" si="2"/>
        <v/>
      </c>
      <c r="G844" s="86" t="str">
        <f t="shared" si="3"/>
        <v/>
      </c>
      <c r="H844" s="15"/>
      <c r="P844" s="3" t="str">
        <f>IFERROR(__xludf.DUMMYFUNCTION("IF(OR(F844="""",F844=""Seleccionar..""),"""",TRANSPOSE(FILTER(Productos!E:E,(Productos!F:F=D844)+(Productos!F:F=XLOOKUP(D844,Implementos!B:B,Implementos!C:C,""-"",0,1)))))"),"")</f>
        <v/>
      </c>
    </row>
    <row r="845" hidden="1">
      <c r="A845" s="38" t="str">
        <f t="shared" si="1"/>
        <v/>
      </c>
      <c r="B845" s="38" t="str">
        <f>IF(F845="","",SUMIF(Prearmados!E:E,F845,Prearmados!A:A))</f>
        <v/>
      </c>
      <c r="C845" s="38" t="str">
        <f>IF(F845="","",SUMIF(Productos!E:E,G845,Productos!A:A))</f>
        <v/>
      </c>
      <c r="D845" s="85" t="str">
        <f t="array" ref="D845">IF(OR(F845="",F845="Seleccionar.."),"",XLOOKUP(F845,Prearmados!E:E,Prearmados!F:F,"",0,1))</f>
        <v/>
      </c>
      <c r="E845" s="83" t="str">
        <f>IF(H845="","",SUMIF(Precio_Productos!K:K,C845,Precio_Productos!J:J)*H845)</f>
        <v/>
      </c>
      <c r="F845" s="86" t="str">
        <f t="shared" si="2"/>
        <v/>
      </c>
      <c r="G845" s="86" t="str">
        <f t="shared" si="3"/>
        <v/>
      </c>
      <c r="H845" s="15"/>
      <c r="P845" s="3" t="str">
        <f>IFERROR(__xludf.DUMMYFUNCTION("IF(OR(F845="""",F845=""Seleccionar..""),"""",TRANSPOSE(FILTER(Productos!E:E,(Productos!F:F=D845)+(Productos!F:F=XLOOKUP(D845,Implementos!B:B,Implementos!C:C,""-"",0,1)))))"),"")</f>
        <v/>
      </c>
    </row>
    <row r="846" hidden="1">
      <c r="A846" s="38" t="str">
        <f t="shared" si="1"/>
        <v/>
      </c>
      <c r="B846" s="38" t="str">
        <f>IF(F846="","",SUMIF(Prearmados!E:E,F846,Prearmados!A:A))</f>
        <v/>
      </c>
      <c r="C846" s="38" t="str">
        <f>IF(F846="","",SUMIF(Productos!E:E,G846,Productos!A:A))</f>
        <v/>
      </c>
      <c r="D846" s="85" t="str">
        <f t="array" ref="D846">IF(OR(F846="",F846="Seleccionar.."),"",XLOOKUP(F846,Prearmados!E:E,Prearmados!F:F,"",0,1))</f>
        <v/>
      </c>
      <c r="E846" s="83" t="str">
        <f>IF(H846="","",SUMIF(Precio_Productos!K:K,C846,Precio_Productos!J:J)*H846)</f>
        <v/>
      </c>
      <c r="F846" s="86" t="str">
        <f t="shared" si="2"/>
        <v/>
      </c>
      <c r="G846" s="86" t="str">
        <f t="shared" si="3"/>
        <v/>
      </c>
      <c r="H846" s="15"/>
      <c r="P846" s="3" t="str">
        <f>IFERROR(__xludf.DUMMYFUNCTION("IF(OR(F846="""",F846=""Seleccionar..""),"""",TRANSPOSE(FILTER(Productos!E:E,(Productos!F:F=D846)+(Productos!F:F=XLOOKUP(D846,Implementos!B:B,Implementos!C:C,""-"",0,1)))))"),"")</f>
        <v/>
      </c>
    </row>
    <row r="847" hidden="1">
      <c r="A847" s="38" t="str">
        <f t="shared" si="1"/>
        <v/>
      </c>
      <c r="B847" s="38" t="str">
        <f>IF(F847="","",SUMIF(Prearmados!E:E,F847,Prearmados!A:A))</f>
        <v/>
      </c>
      <c r="C847" s="38" t="str">
        <f>IF(F847="","",SUMIF(Productos!E:E,G847,Productos!A:A))</f>
        <v/>
      </c>
      <c r="D847" s="85" t="str">
        <f t="array" ref="D847">IF(OR(F847="",F847="Seleccionar.."),"",XLOOKUP(F847,Prearmados!E:E,Prearmados!F:F,"",0,1))</f>
        <v/>
      </c>
      <c r="E847" s="83" t="str">
        <f>IF(H847="","",SUMIF(Precio_Productos!K:K,C847,Precio_Productos!J:J)*H847)</f>
        <v/>
      </c>
      <c r="F847" s="86" t="str">
        <f t="shared" si="2"/>
        <v/>
      </c>
      <c r="G847" s="86" t="str">
        <f t="shared" si="3"/>
        <v/>
      </c>
      <c r="H847" s="15"/>
      <c r="P847" s="3" t="str">
        <f>IFERROR(__xludf.DUMMYFUNCTION("IF(OR(F847="""",F847=""Seleccionar..""),"""",TRANSPOSE(FILTER(Productos!E:E,(Productos!F:F=D847)+(Productos!F:F=XLOOKUP(D847,Implementos!B:B,Implementos!C:C,""-"",0,1)))))"),"")</f>
        <v/>
      </c>
    </row>
    <row r="848" hidden="1">
      <c r="A848" s="38" t="str">
        <f t="shared" si="1"/>
        <v/>
      </c>
      <c r="B848" s="38" t="str">
        <f>IF(F848="","",SUMIF(Prearmados!E:E,F848,Prearmados!A:A))</f>
        <v/>
      </c>
      <c r="C848" s="38" t="str">
        <f>IF(F848="","",SUMIF(Productos!E:E,G848,Productos!A:A))</f>
        <v/>
      </c>
      <c r="D848" s="85" t="str">
        <f t="array" ref="D848">IF(OR(F848="",F848="Seleccionar.."),"",XLOOKUP(F848,Prearmados!E:E,Prearmados!F:F,"",0,1))</f>
        <v/>
      </c>
      <c r="E848" s="83" t="str">
        <f>IF(H848="","",SUMIF(Precio_Productos!K:K,C848,Precio_Productos!J:J)*H848)</f>
        <v/>
      </c>
      <c r="F848" s="86" t="str">
        <f t="shared" si="2"/>
        <v/>
      </c>
      <c r="G848" s="86" t="str">
        <f t="shared" si="3"/>
        <v/>
      </c>
      <c r="H848" s="15"/>
      <c r="P848" s="3" t="str">
        <f>IFERROR(__xludf.DUMMYFUNCTION("IF(OR(F848="""",F848=""Seleccionar..""),"""",TRANSPOSE(FILTER(Productos!E:E,(Productos!F:F=D848)+(Productos!F:F=XLOOKUP(D848,Implementos!B:B,Implementos!C:C,""-"",0,1)))))"),"")</f>
        <v/>
      </c>
    </row>
    <row r="849" hidden="1">
      <c r="A849" s="38" t="str">
        <f t="shared" si="1"/>
        <v/>
      </c>
      <c r="B849" s="38" t="str">
        <f>IF(F849="","",SUMIF(Prearmados!E:E,F849,Prearmados!A:A))</f>
        <v/>
      </c>
      <c r="C849" s="38" t="str">
        <f>IF(F849="","",SUMIF(Productos!E:E,G849,Productos!A:A))</f>
        <v/>
      </c>
      <c r="D849" s="85" t="str">
        <f t="array" ref="D849">IF(OR(F849="",F849="Seleccionar.."),"",XLOOKUP(F849,Prearmados!E:E,Prearmados!F:F,"",0,1))</f>
        <v/>
      </c>
      <c r="E849" s="83" t="str">
        <f>IF(H849="","",SUMIF(Precio_Productos!K:K,C849,Precio_Productos!J:J)*H849)</f>
        <v/>
      </c>
      <c r="F849" s="86" t="str">
        <f t="shared" si="2"/>
        <v/>
      </c>
      <c r="G849" s="86" t="str">
        <f t="shared" si="3"/>
        <v/>
      </c>
      <c r="H849" s="15"/>
      <c r="P849" s="3" t="str">
        <f>IFERROR(__xludf.DUMMYFUNCTION("IF(OR(F849="""",F849=""Seleccionar..""),"""",TRANSPOSE(FILTER(Productos!E:E,(Productos!F:F=D849)+(Productos!F:F=XLOOKUP(D849,Implementos!B:B,Implementos!C:C,""-"",0,1)))))"),"")</f>
        <v/>
      </c>
    </row>
    <row r="850" hidden="1">
      <c r="A850" s="38" t="str">
        <f t="shared" si="1"/>
        <v/>
      </c>
      <c r="B850" s="38" t="str">
        <f>IF(F850="","",SUMIF(Prearmados!E:E,F850,Prearmados!A:A))</f>
        <v/>
      </c>
      <c r="C850" s="38" t="str">
        <f>IF(F850="","",SUMIF(Productos!E:E,G850,Productos!A:A))</f>
        <v/>
      </c>
      <c r="D850" s="85" t="str">
        <f t="array" ref="D850">IF(OR(F850="",F850="Seleccionar.."),"",XLOOKUP(F850,Prearmados!E:E,Prearmados!F:F,"",0,1))</f>
        <v/>
      </c>
      <c r="E850" s="83" t="str">
        <f>IF(H850="","",SUMIF(Precio_Productos!K:K,C850,Precio_Productos!J:J)*H850)</f>
        <v/>
      </c>
      <c r="F850" s="86" t="str">
        <f t="shared" si="2"/>
        <v/>
      </c>
      <c r="G850" s="86" t="str">
        <f t="shared" si="3"/>
        <v/>
      </c>
      <c r="H850" s="15"/>
      <c r="P850" s="3" t="str">
        <f>IFERROR(__xludf.DUMMYFUNCTION("IF(OR(F850="""",F850=""Seleccionar..""),"""",TRANSPOSE(FILTER(Productos!E:E,(Productos!F:F=D850)+(Productos!F:F=XLOOKUP(D850,Implementos!B:B,Implementos!C:C,""-"",0,1)))))"),"")</f>
        <v/>
      </c>
    </row>
    <row r="851" hidden="1">
      <c r="A851" s="38" t="str">
        <f t="shared" si="1"/>
        <v/>
      </c>
      <c r="B851" s="38" t="str">
        <f>IF(F851="","",SUMIF(Prearmados!E:E,F851,Prearmados!A:A))</f>
        <v/>
      </c>
      <c r="C851" s="38" t="str">
        <f>IF(F851="","",SUMIF(Productos!E:E,G851,Productos!A:A))</f>
        <v/>
      </c>
      <c r="D851" s="85" t="str">
        <f t="array" ref="D851">IF(OR(F851="",F851="Seleccionar.."),"",XLOOKUP(F851,Prearmados!E:E,Prearmados!F:F,"",0,1))</f>
        <v/>
      </c>
      <c r="E851" s="83" t="str">
        <f>IF(H851="","",SUMIF(Precio_Productos!K:K,C851,Precio_Productos!J:J)*H851)</f>
        <v/>
      </c>
      <c r="F851" s="86" t="str">
        <f t="shared" si="2"/>
        <v/>
      </c>
      <c r="G851" s="86" t="str">
        <f t="shared" si="3"/>
        <v/>
      </c>
      <c r="H851" s="15"/>
      <c r="P851" s="3" t="str">
        <f>IFERROR(__xludf.DUMMYFUNCTION("IF(OR(F851="""",F851=""Seleccionar..""),"""",TRANSPOSE(FILTER(Productos!E:E,(Productos!F:F=D851)+(Productos!F:F=XLOOKUP(D851,Implementos!B:B,Implementos!C:C,""-"",0,1)))))"),"")</f>
        <v/>
      </c>
    </row>
    <row r="852" hidden="1">
      <c r="A852" s="38" t="str">
        <f t="shared" si="1"/>
        <v/>
      </c>
      <c r="B852" s="38" t="str">
        <f>IF(F852="","",SUMIF(Prearmados!E:E,F852,Prearmados!A:A))</f>
        <v/>
      </c>
      <c r="C852" s="38" t="str">
        <f>IF(F852="","",SUMIF(Productos!E:E,G852,Productos!A:A))</f>
        <v/>
      </c>
      <c r="D852" s="85" t="str">
        <f t="array" ref="D852">IF(OR(F852="",F852="Seleccionar.."),"",XLOOKUP(F852,Prearmados!E:E,Prearmados!F:F,"",0,1))</f>
        <v/>
      </c>
      <c r="E852" s="83" t="str">
        <f>IF(H852="","",SUMIF(Precio_Productos!K:K,C852,Precio_Productos!J:J)*H852)</f>
        <v/>
      </c>
      <c r="F852" s="86" t="str">
        <f t="shared" si="2"/>
        <v/>
      </c>
      <c r="G852" s="86" t="str">
        <f t="shared" si="3"/>
        <v/>
      </c>
      <c r="H852" s="15"/>
      <c r="P852" s="3" t="str">
        <f>IFERROR(__xludf.DUMMYFUNCTION("IF(OR(F852="""",F852=""Seleccionar..""),"""",TRANSPOSE(FILTER(Productos!E:E,(Productos!F:F=D852)+(Productos!F:F=XLOOKUP(D852,Implementos!B:B,Implementos!C:C,""-"",0,1)))))"),"")</f>
        <v/>
      </c>
    </row>
    <row r="853" hidden="1">
      <c r="A853" s="38" t="str">
        <f t="shared" si="1"/>
        <v/>
      </c>
      <c r="B853" s="38" t="str">
        <f>IF(F853="","",SUMIF(Prearmados!E:E,F853,Prearmados!A:A))</f>
        <v/>
      </c>
      <c r="C853" s="38" t="str">
        <f>IF(F853="","",SUMIF(Productos!E:E,G853,Productos!A:A))</f>
        <v/>
      </c>
      <c r="D853" s="85" t="str">
        <f t="array" ref="D853">IF(OR(F853="",F853="Seleccionar.."),"",XLOOKUP(F853,Prearmados!E:E,Prearmados!F:F,"",0,1))</f>
        <v/>
      </c>
      <c r="E853" s="83" t="str">
        <f>IF(H853="","",SUMIF(Precio_Productos!K:K,C853,Precio_Productos!J:J)*H853)</f>
        <v/>
      </c>
      <c r="F853" s="86" t="str">
        <f t="shared" si="2"/>
        <v/>
      </c>
      <c r="G853" s="86" t="str">
        <f t="shared" si="3"/>
        <v/>
      </c>
      <c r="H853" s="15"/>
      <c r="P853" s="3" t="str">
        <f>IFERROR(__xludf.DUMMYFUNCTION("IF(OR(F853="""",F853=""Seleccionar..""),"""",TRANSPOSE(FILTER(Productos!E:E,(Productos!F:F=D853)+(Productos!F:F=XLOOKUP(D853,Implementos!B:B,Implementos!C:C,""-"",0,1)))))"),"")</f>
        <v/>
      </c>
    </row>
    <row r="854" hidden="1">
      <c r="A854" s="38" t="str">
        <f t="shared" si="1"/>
        <v/>
      </c>
      <c r="B854" s="38" t="str">
        <f>IF(F854="","",SUMIF(Prearmados!E:E,F854,Prearmados!A:A))</f>
        <v/>
      </c>
      <c r="C854" s="38" t="str">
        <f>IF(F854="","",SUMIF(Productos!E:E,G854,Productos!A:A))</f>
        <v/>
      </c>
      <c r="D854" s="85" t="str">
        <f t="array" ref="D854">IF(OR(F854="",F854="Seleccionar.."),"",XLOOKUP(F854,Prearmados!E:E,Prearmados!F:F,"",0,1))</f>
        <v/>
      </c>
      <c r="E854" s="83" t="str">
        <f>IF(H854="","",SUMIF(Precio_Productos!K:K,C854,Precio_Productos!J:J)*H854)</f>
        <v/>
      </c>
      <c r="F854" s="86" t="str">
        <f t="shared" si="2"/>
        <v/>
      </c>
      <c r="G854" s="86" t="str">
        <f t="shared" si="3"/>
        <v/>
      </c>
      <c r="H854" s="15"/>
      <c r="P854" s="3" t="str">
        <f>IFERROR(__xludf.DUMMYFUNCTION("IF(OR(F854="""",F854=""Seleccionar..""),"""",TRANSPOSE(FILTER(Productos!E:E,(Productos!F:F=D854)+(Productos!F:F=XLOOKUP(D854,Implementos!B:B,Implementos!C:C,""-"",0,1)))))"),"")</f>
        <v/>
      </c>
    </row>
    <row r="855" hidden="1">
      <c r="A855" s="38" t="str">
        <f t="shared" si="1"/>
        <v/>
      </c>
      <c r="B855" s="38" t="str">
        <f>IF(F855="","",SUMIF(Prearmados!E:E,F855,Prearmados!A:A))</f>
        <v/>
      </c>
      <c r="C855" s="38" t="str">
        <f>IF(F855="","",SUMIF(Productos!E:E,G855,Productos!A:A))</f>
        <v/>
      </c>
      <c r="D855" s="85" t="str">
        <f t="array" ref="D855">IF(OR(F855="",F855="Seleccionar.."),"",XLOOKUP(F855,Prearmados!E:E,Prearmados!F:F,"",0,1))</f>
        <v/>
      </c>
      <c r="E855" s="83" t="str">
        <f>IF(H855="","",SUMIF(Precio_Productos!K:K,C855,Precio_Productos!J:J)*H855)</f>
        <v/>
      </c>
      <c r="F855" s="86" t="str">
        <f t="shared" si="2"/>
        <v/>
      </c>
      <c r="G855" s="86" t="str">
        <f t="shared" si="3"/>
        <v/>
      </c>
      <c r="H855" s="15"/>
      <c r="P855" s="3" t="str">
        <f>IFERROR(__xludf.DUMMYFUNCTION("IF(OR(F855="""",F855=""Seleccionar..""),"""",TRANSPOSE(FILTER(Productos!E:E,(Productos!F:F=D855)+(Productos!F:F=XLOOKUP(D855,Implementos!B:B,Implementos!C:C,""-"",0,1)))))"),"")</f>
        <v/>
      </c>
    </row>
    <row r="856" hidden="1">
      <c r="A856" s="38" t="str">
        <f t="shared" si="1"/>
        <v/>
      </c>
      <c r="B856" s="38" t="str">
        <f>IF(F856="","",SUMIF(Prearmados!E:E,F856,Prearmados!A:A))</f>
        <v/>
      </c>
      <c r="C856" s="38" t="str">
        <f>IF(F856="","",SUMIF(Productos!E:E,G856,Productos!A:A))</f>
        <v/>
      </c>
      <c r="D856" s="85" t="str">
        <f t="array" ref="D856">IF(OR(F856="",F856="Seleccionar.."),"",XLOOKUP(F856,Prearmados!E:E,Prearmados!F:F,"",0,1))</f>
        <v/>
      </c>
      <c r="E856" s="83" t="str">
        <f>IF(H856="","",SUMIF(Precio_Productos!K:K,C856,Precio_Productos!J:J)*H856)</f>
        <v/>
      </c>
      <c r="F856" s="86" t="str">
        <f t="shared" si="2"/>
        <v/>
      </c>
      <c r="G856" s="86" t="str">
        <f t="shared" si="3"/>
        <v/>
      </c>
      <c r="H856" s="15"/>
      <c r="P856" s="3" t="str">
        <f>IFERROR(__xludf.DUMMYFUNCTION("IF(OR(F856="""",F856=""Seleccionar..""),"""",TRANSPOSE(FILTER(Productos!E:E,(Productos!F:F=D856)+(Productos!F:F=XLOOKUP(D856,Implementos!B:B,Implementos!C:C,""-"",0,1)))))"),"")</f>
        <v/>
      </c>
    </row>
    <row r="857" hidden="1">
      <c r="A857" s="38" t="str">
        <f t="shared" si="1"/>
        <v/>
      </c>
      <c r="B857" s="38" t="str">
        <f>IF(F857="","",SUMIF(Prearmados!E:E,F857,Prearmados!A:A))</f>
        <v/>
      </c>
      <c r="C857" s="38" t="str">
        <f>IF(F857="","",SUMIF(Productos!E:E,G857,Productos!A:A))</f>
        <v/>
      </c>
      <c r="D857" s="85" t="str">
        <f t="array" ref="D857">IF(OR(F857="",F857="Seleccionar.."),"",XLOOKUP(F857,Prearmados!E:E,Prearmados!F:F,"",0,1))</f>
        <v/>
      </c>
      <c r="E857" s="83" t="str">
        <f>IF(H857="","",SUMIF(Precio_Productos!K:K,C857,Precio_Productos!J:J)*H857)</f>
        <v/>
      </c>
      <c r="F857" s="86" t="str">
        <f t="shared" si="2"/>
        <v/>
      </c>
      <c r="G857" s="86" t="str">
        <f t="shared" si="3"/>
        <v/>
      </c>
      <c r="H857" s="15"/>
      <c r="P857" s="3" t="str">
        <f>IFERROR(__xludf.DUMMYFUNCTION("IF(OR(F857="""",F857=""Seleccionar..""),"""",TRANSPOSE(FILTER(Productos!E:E,(Productos!F:F=D857)+(Productos!F:F=XLOOKUP(D857,Implementos!B:B,Implementos!C:C,""-"",0,1)))))"),"")</f>
        <v/>
      </c>
    </row>
    <row r="858" hidden="1">
      <c r="A858" s="38" t="str">
        <f t="shared" si="1"/>
        <v/>
      </c>
      <c r="B858" s="38" t="str">
        <f>IF(F858="","",SUMIF(Prearmados!E:E,F858,Prearmados!A:A))</f>
        <v/>
      </c>
      <c r="C858" s="38" t="str">
        <f>IF(F858="","",SUMIF(Productos!E:E,G858,Productos!A:A))</f>
        <v/>
      </c>
      <c r="D858" s="85" t="str">
        <f t="array" ref="D858">IF(OR(F858="",F858="Seleccionar.."),"",XLOOKUP(F858,Prearmados!E:E,Prearmados!F:F,"",0,1))</f>
        <v/>
      </c>
      <c r="E858" s="83" t="str">
        <f>IF(H858="","",SUMIF(Precio_Productos!K:K,C858,Precio_Productos!J:J)*H858)</f>
        <v/>
      </c>
      <c r="F858" s="86" t="str">
        <f t="shared" si="2"/>
        <v/>
      </c>
      <c r="G858" s="86" t="str">
        <f t="shared" si="3"/>
        <v/>
      </c>
      <c r="H858" s="15"/>
      <c r="P858" s="3" t="str">
        <f>IFERROR(__xludf.DUMMYFUNCTION("IF(OR(F858="""",F858=""Seleccionar..""),"""",TRANSPOSE(FILTER(Productos!E:E,(Productos!F:F=D858)+(Productos!F:F=XLOOKUP(D858,Implementos!B:B,Implementos!C:C,""-"",0,1)))))"),"")</f>
        <v/>
      </c>
    </row>
    <row r="859" hidden="1">
      <c r="A859" s="38" t="str">
        <f t="shared" si="1"/>
        <v/>
      </c>
      <c r="B859" s="38" t="str">
        <f>IF(F859="","",SUMIF(Prearmados!E:E,F859,Prearmados!A:A))</f>
        <v/>
      </c>
      <c r="C859" s="38" t="str">
        <f>IF(F859="","",SUMIF(Productos!E:E,G859,Productos!A:A))</f>
        <v/>
      </c>
      <c r="D859" s="85" t="str">
        <f t="array" ref="D859">IF(OR(F859="",F859="Seleccionar.."),"",XLOOKUP(F859,Prearmados!E:E,Prearmados!F:F,"",0,1))</f>
        <v/>
      </c>
      <c r="E859" s="83" t="str">
        <f>IF(H859="","",SUMIF(Precio_Productos!K:K,C859,Precio_Productos!J:J)*H859)</f>
        <v/>
      </c>
      <c r="F859" s="86" t="str">
        <f t="shared" si="2"/>
        <v/>
      </c>
      <c r="G859" s="86" t="str">
        <f t="shared" si="3"/>
        <v/>
      </c>
      <c r="H859" s="15"/>
      <c r="P859" s="3" t="str">
        <f>IFERROR(__xludf.DUMMYFUNCTION("IF(OR(F859="""",F859=""Seleccionar..""),"""",TRANSPOSE(FILTER(Productos!E:E,(Productos!F:F=D859)+(Productos!F:F=XLOOKUP(D859,Implementos!B:B,Implementos!C:C,""-"",0,1)))))"),"")</f>
        <v/>
      </c>
    </row>
    <row r="860" hidden="1">
      <c r="A860" s="38" t="str">
        <f t="shared" si="1"/>
        <v/>
      </c>
      <c r="B860" s="38" t="str">
        <f>IF(F860="","",SUMIF(Prearmados!E:E,F860,Prearmados!A:A))</f>
        <v/>
      </c>
      <c r="C860" s="38" t="str">
        <f>IF(F860="","",SUMIF(Productos!E:E,G860,Productos!A:A))</f>
        <v/>
      </c>
      <c r="D860" s="85" t="str">
        <f t="array" ref="D860">IF(OR(F860="",F860="Seleccionar.."),"",XLOOKUP(F860,Prearmados!E:E,Prearmados!F:F,"",0,1))</f>
        <v/>
      </c>
      <c r="E860" s="83" t="str">
        <f>IF(H860="","",SUMIF(Precio_Productos!K:K,C860,Precio_Productos!J:J)*H860)</f>
        <v/>
      </c>
      <c r="F860" s="86" t="str">
        <f t="shared" si="2"/>
        <v/>
      </c>
      <c r="G860" s="86" t="str">
        <f t="shared" si="3"/>
        <v/>
      </c>
      <c r="H860" s="15"/>
      <c r="P860" s="3" t="str">
        <f>IFERROR(__xludf.DUMMYFUNCTION("IF(OR(F860="""",F860=""Seleccionar..""),"""",TRANSPOSE(FILTER(Productos!E:E,(Productos!F:F=D860)+(Productos!F:F=XLOOKUP(D860,Implementos!B:B,Implementos!C:C,""-"",0,1)))))"),"")</f>
        <v/>
      </c>
    </row>
    <row r="861" hidden="1">
      <c r="A861" s="38" t="str">
        <f t="shared" si="1"/>
        <v/>
      </c>
      <c r="B861" s="38" t="str">
        <f>IF(F861="","",SUMIF(Prearmados!E:E,F861,Prearmados!A:A))</f>
        <v/>
      </c>
      <c r="C861" s="38" t="str">
        <f>IF(F861="","",SUMIF(Productos!E:E,G861,Productos!A:A))</f>
        <v/>
      </c>
      <c r="D861" s="85" t="str">
        <f t="array" ref="D861">IF(OR(F861="",F861="Seleccionar.."),"",XLOOKUP(F861,Prearmados!E:E,Prearmados!F:F,"",0,1))</f>
        <v/>
      </c>
      <c r="E861" s="83" t="str">
        <f>IF(H861="","",SUMIF(Precio_Productos!K:K,C861,Precio_Productos!J:J)*H861)</f>
        <v/>
      </c>
      <c r="F861" s="86" t="str">
        <f t="shared" si="2"/>
        <v/>
      </c>
      <c r="G861" s="86" t="str">
        <f t="shared" si="3"/>
        <v/>
      </c>
      <c r="H861" s="15"/>
      <c r="P861" s="3" t="str">
        <f>IFERROR(__xludf.DUMMYFUNCTION("IF(OR(F861="""",F861=""Seleccionar..""),"""",TRANSPOSE(FILTER(Productos!E:E,(Productos!F:F=D861)+(Productos!F:F=XLOOKUP(D861,Implementos!B:B,Implementos!C:C,""-"",0,1)))))"),"")</f>
        <v/>
      </c>
    </row>
    <row r="862" hidden="1">
      <c r="A862" s="38" t="str">
        <f t="shared" si="1"/>
        <v/>
      </c>
      <c r="B862" s="38" t="str">
        <f>IF(F862="","",SUMIF(Prearmados!E:E,F862,Prearmados!A:A))</f>
        <v/>
      </c>
      <c r="C862" s="38" t="str">
        <f>IF(F862="","",SUMIF(Productos!E:E,G862,Productos!A:A))</f>
        <v/>
      </c>
      <c r="D862" s="85" t="str">
        <f t="array" ref="D862">IF(OR(F862="",F862="Seleccionar.."),"",XLOOKUP(F862,Prearmados!E:E,Prearmados!F:F,"",0,1))</f>
        <v/>
      </c>
      <c r="E862" s="83" t="str">
        <f>IF(H862="","",SUMIF(Precio_Productos!K:K,C862,Precio_Productos!J:J)*H862)</f>
        <v/>
      </c>
      <c r="F862" s="86" t="str">
        <f t="shared" si="2"/>
        <v/>
      </c>
      <c r="G862" s="86" t="str">
        <f t="shared" si="3"/>
        <v/>
      </c>
      <c r="H862" s="15"/>
      <c r="P862" s="3" t="str">
        <f>IFERROR(__xludf.DUMMYFUNCTION("IF(OR(F862="""",F862=""Seleccionar..""),"""",TRANSPOSE(FILTER(Productos!E:E,(Productos!F:F=D862)+(Productos!F:F=XLOOKUP(D862,Implementos!B:B,Implementos!C:C,""-"",0,1)))))"),"")</f>
        <v/>
      </c>
    </row>
    <row r="863" hidden="1">
      <c r="A863" s="38" t="str">
        <f t="shared" si="1"/>
        <v/>
      </c>
      <c r="B863" s="38" t="str">
        <f>IF(F863="","",SUMIF(Prearmados!E:E,F863,Prearmados!A:A))</f>
        <v/>
      </c>
      <c r="C863" s="38" t="str">
        <f>IF(F863="","",SUMIF(Productos!E:E,G863,Productos!A:A))</f>
        <v/>
      </c>
      <c r="D863" s="85" t="str">
        <f t="array" ref="D863">IF(OR(F863="",F863="Seleccionar.."),"",XLOOKUP(F863,Prearmados!E:E,Prearmados!F:F,"",0,1))</f>
        <v/>
      </c>
      <c r="E863" s="83" t="str">
        <f>IF(H863="","",SUMIF(Precio_Productos!K:K,C863,Precio_Productos!J:J)*H863)</f>
        <v/>
      </c>
      <c r="F863" s="86" t="str">
        <f t="shared" si="2"/>
        <v/>
      </c>
      <c r="G863" s="86" t="str">
        <f t="shared" si="3"/>
        <v/>
      </c>
      <c r="H863" s="15"/>
      <c r="P863" s="3" t="str">
        <f>IFERROR(__xludf.DUMMYFUNCTION("IF(OR(F863="""",F863=""Seleccionar..""),"""",TRANSPOSE(FILTER(Productos!E:E,(Productos!F:F=D863)+(Productos!F:F=XLOOKUP(D863,Implementos!B:B,Implementos!C:C,""-"",0,1)))))"),"")</f>
        <v/>
      </c>
    </row>
    <row r="864" hidden="1">
      <c r="A864" s="38" t="str">
        <f t="shared" si="1"/>
        <v/>
      </c>
      <c r="B864" s="38" t="str">
        <f>IF(F864="","",SUMIF(Prearmados!E:E,F864,Prearmados!A:A))</f>
        <v/>
      </c>
      <c r="C864" s="38" t="str">
        <f>IF(F864="","",SUMIF(Productos!E:E,G864,Productos!A:A))</f>
        <v/>
      </c>
      <c r="D864" s="85" t="str">
        <f t="array" ref="D864">IF(OR(F864="",F864="Seleccionar.."),"",XLOOKUP(F864,Prearmados!E:E,Prearmados!F:F,"",0,1))</f>
        <v/>
      </c>
      <c r="E864" s="83" t="str">
        <f>IF(H864="","",SUMIF(Precio_Productos!K:K,C864,Precio_Productos!J:J)*H864)</f>
        <v/>
      </c>
      <c r="F864" s="86" t="str">
        <f t="shared" si="2"/>
        <v/>
      </c>
      <c r="G864" s="86" t="str">
        <f t="shared" si="3"/>
        <v/>
      </c>
      <c r="H864" s="15"/>
      <c r="P864" s="3" t="str">
        <f>IFERROR(__xludf.DUMMYFUNCTION("IF(OR(F864="""",F864=""Seleccionar..""),"""",TRANSPOSE(FILTER(Productos!E:E,(Productos!F:F=D864)+(Productos!F:F=XLOOKUP(D864,Implementos!B:B,Implementos!C:C,""-"",0,1)))))"),"")</f>
        <v/>
      </c>
    </row>
    <row r="865" hidden="1">
      <c r="A865" s="38" t="str">
        <f t="shared" si="1"/>
        <v/>
      </c>
      <c r="B865" s="38" t="str">
        <f>IF(F865="","",SUMIF(Prearmados!E:E,F865,Prearmados!A:A))</f>
        <v/>
      </c>
      <c r="C865" s="38" t="str">
        <f>IF(F865="","",SUMIF(Productos!E:E,G865,Productos!A:A))</f>
        <v/>
      </c>
      <c r="D865" s="85" t="str">
        <f t="array" ref="D865">IF(OR(F865="",F865="Seleccionar.."),"",XLOOKUP(F865,Prearmados!E:E,Prearmados!F:F,"",0,1))</f>
        <v/>
      </c>
      <c r="E865" s="83" t="str">
        <f>IF(H865="","",SUMIF(Precio_Productos!K:K,C865,Precio_Productos!J:J)*H865)</f>
        <v/>
      </c>
      <c r="F865" s="86" t="str">
        <f t="shared" si="2"/>
        <v/>
      </c>
      <c r="G865" s="86" t="str">
        <f t="shared" si="3"/>
        <v/>
      </c>
      <c r="H865" s="15"/>
      <c r="P865" s="3" t="str">
        <f>IFERROR(__xludf.DUMMYFUNCTION("IF(OR(F865="""",F865=""Seleccionar..""),"""",TRANSPOSE(FILTER(Productos!E:E,(Productos!F:F=D865)+(Productos!F:F=XLOOKUP(D865,Implementos!B:B,Implementos!C:C,""-"",0,1)))))"),"")</f>
        <v/>
      </c>
    </row>
    <row r="866" hidden="1">
      <c r="A866" s="38" t="str">
        <f t="shared" si="1"/>
        <v/>
      </c>
      <c r="B866" s="38" t="str">
        <f>IF(F866="","",SUMIF(Prearmados!E:E,F866,Prearmados!A:A))</f>
        <v/>
      </c>
      <c r="C866" s="38" t="str">
        <f>IF(F866="","",SUMIF(Productos!E:E,G866,Productos!A:A))</f>
        <v/>
      </c>
      <c r="D866" s="85" t="str">
        <f t="array" ref="D866">IF(OR(F866="",F866="Seleccionar.."),"",XLOOKUP(F866,Prearmados!E:E,Prearmados!F:F,"",0,1))</f>
        <v/>
      </c>
      <c r="E866" s="83" t="str">
        <f>IF(H866="","",SUMIF(Precio_Productos!K:K,C866,Precio_Productos!J:J)*H866)</f>
        <v/>
      </c>
      <c r="F866" s="86" t="str">
        <f t="shared" si="2"/>
        <v/>
      </c>
      <c r="G866" s="86" t="str">
        <f t="shared" si="3"/>
        <v/>
      </c>
      <c r="H866" s="15"/>
      <c r="P866" s="3" t="str">
        <f>IFERROR(__xludf.DUMMYFUNCTION("IF(OR(F866="""",F866=""Seleccionar..""),"""",TRANSPOSE(FILTER(Productos!E:E,(Productos!F:F=D866)+(Productos!F:F=XLOOKUP(D866,Implementos!B:B,Implementos!C:C,""-"",0,1)))))"),"")</f>
        <v/>
      </c>
    </row>
    <row r="867" hidden="1">
      <c r="A867" s="38" t="str">
        <f t="shared" si="1"/>
        <v/>
      </c>
      <c r="B867" s="38" t="str">
        <f>IF(F867="","",SUMIF(Prearmados!E:E,F867,Prearmados!A:A))</f>
        <v/>
      </c>
      <c r="C867" s="38" t="str">
        <f>IF(F867="","",SUMIF(Productos!E:E,G867,Productos!A:A))</f>
        <v/>
      </c>
      <c r="D867" s="85" t="str">
        <f t="array" ref="D867">IF(OR(F867="",F867="Seleccionar.."),"",XLOOKUP(F867,Prearmados!E:E,Prearmados!F:F,"",0,1))</f>
        <v/>
      </c>
      <c r="E867" s="83" t="str">
        <f>IF(H867="","",SUMIF(Precio_Productos!K:K,C867,Precio_Productos!J:J)*H867)</f>
        <v/>
      </c>
      <c r="F867" s="86" t="str">
        <f t="shared" si="2"/>
        <v/>
      </c>
      <c r="G867" s="86" t="str">
        <f t="shared" si="3"/>
        <v/>
      </c>
      <c r="H867" s="15"/>
      <c r="P867" s="3" t="str">
        <f>IFERROR(__xludf.DUMMYFUNCTION("IF(OR(F867="""",F867=""Seleccionar..""),"""",TRANSPOSE(FILTER(Productos!E:E,(Productos!F:F=D867)+(Productos!F:F=XLOOKUP(D867,Implementos!B:B,Implementos!C:C,""-"",0,1)))))"),"")</f>
        <v/>
      </c>
    </row>
    <row r="868" hidden="1">
      <c r="A868" s="38" t="str">
        <f t="shared" si="1"/>
        <v/>
      </c>
      <c r="B868" s="38" t="str">
        <f>IF(F868="","",SUMIF(Prearmados!E:E,F868,Prearmados!A:A))</f>
        <v/>
      </c>
      <c r="C868" s="38" t="str">
        <f>IF(F868="","",SUMIF(Productos!E:E,G868,Productos!A:A))</f>
        <v/>
      </c>
      <c r="D868" s="85" t="str">
        <f t="array" ref="D868">IF(OR(F868="",F868="Seleccionar.."),"",XLOOKUP(F868,Prearmados!E:E,Prearmados!F:F,"",0,1))</f>
        <v/>
      </c>
      <c r="E868" s="83" t="str">
        <f>IF(H868="","",SUMIF(Precio_Productos!K:K,C868,Precio_Productos!J:J)*H868)</f>
        <v/>
      </c>
      <c r="F868" s="86" t="str">
        <f t="shared" si="2"/>
        <v/>
      </c>
      <c r="G868" s="86" t="str">
        <f t="shared" si="3"/>
        <v/>
      </c>
      <c r="H868" s="15"/>
      <c r="P868" s="3" t="str">
        <f>IFERROR(__xludf.DUMMYFUNCTION("IF(OR(F868="""",F868=""Seleccionar..""),"""",TRANSPOSE(FILTER(Productos!E:E,(Productos!F:F=D868)+(Productos!F:F=XLOOKUP(D868,Implementos!B:B,Implementos!C:C,""-"",0,1)))))"),"")</f>
        <v/>
      </c>
    </row>
    <row r="869" hidden="1">
      <c r="A869" s="38" t="str">
        <f t="shared" si="1"/>
        <v/>
      </c>
      <c r="B869" s="38" t="str">
        <f>IF(F869="","",SUMIF(Prearmados!E:E,F869,Prearmados!A:A))</f>
        <v/>
      </c>
      <c r="C869" s="38" t="str">
        <f>IF(F869="","",SUMIF(Productos!E:E,G869,Productos!A:A))</f>
        <v/>
      </c>
      <c r="D869" s="85" t="str">
        <f t="array" ref="D869">IF(OR(F869="",F869="Seleccionar.."),"",XLOOKUP(F869,Prearmados!E:E,Prearmados!F:F,"",0,1))</f>
        <v/>
      </c>
      <c r="E869" s="83" t="str">
        <f>IF(H869="","",SUMIF(Precio_Productos!K:K,C869,Precio_Productos!J:J)*H869)</f>
        <v/>
      </c>
      <c r="F869" s="86" t="str">
        <f t="shared" si="2"/>
        <v/>
      </c>
      <c r="G869" s="86" t="str">
        <f t="shared" si="3"/>
        <v/>
      </c>
      <c r="H869" s="15"/>
      <c r="P869" s="3" t="str">
        <f>IFERROR(__xludf.DUMMYFUNCTION("IF(OR(F869="""",F869=""Seleccionar..""),"""",TRANSPOSE(FILTER(Productos!E:E,(Productos!F:F=D869)+(Productos!F:F=XLOOKUP(D869,Implementos!B:B,Implementos!C:C,""-"",0,1)))))"),"")</f>
        <v/>
      </c>
    </row>
    <row r="870" hidden="1">
      <c r="A870" s="38" t="str">
        <f t="shared" si="1"/>
        <v/>
      </c>
      <c r="B870" s="38" t="str">
        <f>IF(F870="","",SUMIF(Prearmados!E:E,F870,Prearmados!A:A))</f>
        <v/>
      </c>
      <c r="C870" s="38" t="str">
        <f>IF(F870="","",SUMIF(Productos!E:E,G870,Productos!A:A))</f>
        <v/>
      </c>
      <c r="D870" s="85" t="str">
        <f t="array" ref="D870">IF(OR(F870="",F870="Seleccionar.."),"",XLOOKUP(F870,Prearmados!E:E,Prearmados!F:F,"",0,1))</f>
        <v/>
      </c>
      <c r="E870" s="83" t="str">
        <f>IF(H870="","",SUMIF(Precio_Productos!K:K,C870,Precio_Productos!J:J)*H870)</f>
        <v/>
      </c>
      <c r="F870" s="86" t="str">
        <f t="shared" si="2"/>
        <v/>
      </c>
      <c r="G870" s="86" t="str">
        <f t="shared" si="3"/>
        <v/>
      </c>
      <c r="H870" s="15"/>
      <c r="P870" s="3" t="str">
        <f>IFERROR(__xludf.DUMMYFUNCTION("IF(OR(F870="""",F870=""Seleccionar..""),"""",TRANSPOSE(FILTER(Productos!E:E,(Productos!F:F=D870)+(Productos!F:F=XLOOKUP(D870,Implementos!B:B,Implementos!C:C,""-"",0,1)))))"),"")</f>
        <v/>
      </c>
    </row>
    <row r="871" hidden="1">
      <c r="A871" s="38" t="str">
        <f t="shared" si="1"/>
        <v/>
      </c>
      <c r="B871" s="38" t="str">
        <f>IF(F871="","",SUMIF(Prearmados!E:E,F871,Prearmados!A:A))</f>
        <v/>
      </c>
      <c r="C871" s="38" t="str">
        <f>IF(F871="","",SUMIF(Productos!E:E,G871,Productos!A:A))</f>
        <v/>
      </c>
      <c r="D871" s="85" t="str">
        <f t="array" ref="D871">IF(OR(F871="",F871="Seleccionar.."),"",XLOOKUP(F871,Prearmados!E:E,Prearmados!F:F,"",0,1))</f>
        <v/>
      </c>
      <c r="E871" s="83" t="str">
        <f>IF(H871="","",SUMIF(Precio_Productos!K:K,C871,Precio_Productos!J:J)*H871)</f>
        <v/>
      </c>
      <c r="F871" s="86" t="str">
        <f t="shared" si="2"/>
        <v/>
      </c>
      <c r="G871" s="86" t="str">
        <f t="shared" si="3"/>
        <v/>
      </c>
      <c r="H871" s="15"/>
      <c r="P871" s="3" t="str">
        <f>IFERROR(__xludf.DUMMYFUNCTION("IF(OR(F871="""",F871=""Seleccionar..""),"""",TRANSPOSE(FILTER(Productos!E:E,(Productos!F:F=D871)+(Productos!F:F=XLOOKUP(D871,Implementos!B:B,Implementos!C:C,""-"",0,1)))))"),"")</f>
        <v/>
      </c>
    </row>
    <row r="872" hidden="1">
      <c r="A872" s="38" t="str">
        <f t="shared" si="1"/>
        <v/>
      </c>
      <c r="B872" s="38" t="str">
        <f>IF(F872="","",SUMIF(Prearmados!E:E,F872,Prearmados!A:A))</f>
        <v/>
      </c>
      <c r="C872" s="38" t="str">
        <f>IF(F872="","",SUMIF(Productos!E:E,G872,Productos!A:A))</f>
        <v/>
      </c>
      <c r="D872" s="85" t="str">
        <f t="array" ref="D872">IF(OR(F872="",F872="Seleccionar.."),"",XLOOKUP(F872,Prearmados!E:E,Prearmados!F:F,"",0,1))</f>
        <v/>
      </c>
      <c r="E872" s="83" t="str">
        <f>IF(H872="","",SUMIF(Precio_Productos!K:K,C872,Precio_Productos!J:J)*H872)</f>
        <v/>
      </c>
      <c r="F872" s="86" t="str">
        <f t="shared" si="2"/>
        <v/>
      </c>
      <c r="G872" s="86" t="str">
        <f t="shared" si="3"/>
        <v/>
      </c>
      <c r="H872" s="15"/>
      <c r="P872" s="3" t="str">
        <f>IFERROR(__xludf.DUMMYFUNCTION("IF(OR(F872="""",F872=""Seleccionar..""),"""",TRANSPOSE(FILTER(Productos!E:E,(Productos!F:F=D872)+(Productos!F:F=XLOOKUP(D872,Implementos!B:B,Implementos!C:C,""-"",0,1)))))"),"")</f>
        <v/>
      </c>
    </row>
    <row r="873" hidden="1">
      <c r="A873" s="38" t="str">
        <f t="shared" si="1"/>
        <v/>
      </c>
      <c r="B873" s="38" t="str">
        <f>IF(F873="","",SUMIF(Prearmados!E:E,F873,Prearmados!A:A))</f>
        <v/>
      </c>
      <c r="C873" s="38" t="str">
        <f>IF(F873="","",SUMIF(Productos!E:E,G873,Productos!A:A))</f>
        <v/>
      </c>
      <c r="D873" s="85" t="str">
        <f t="array" ref="D873">IF(OR(F873="",F873="Seleccionar.."),"",XLOOKUP(F873,Prearmados!E:E,Prearmados!F:F,"",0,1))</f>
        <v/>
      </c>
      <c r="E873" s="83" t="str">
        <f>IF(H873="","",SUMIF(Precio_Productos!K:K,C873,Precio_Productos!J:J)*H873)</f>
        <v/>
      </c>
      <c r="F873" s="86" t="str">
        <f t="shared" si="2"/>
        <v/>
      </c>
      <c r="G873" s="86" t="str">
        <f t="shared" si="3"/>
        <v/>
      </c>
      <c r="H873" s="15"/>
      <c r="P873" s="3" t="str">
        <f>IFERROR(__xludf.DUMMYFUNCTION("IF(OR(F873="""",F873=""Seleccionar..""),"""",TRANSPOSE(FILTER(Productos!E:E,(Productos!F:F=D873)+(Productos!F:F=XLOOKUP(D873,Implementos!B:B,Implementos!C:C,""-"",0,1)))))"),"")</f>
        <v/>
      </c>
    </row>
    <row r="874" hidden="1">
      <c r="A874" s="38" t="str">
        <f t="shared" si="1"/>
        <v/>
      </c>
      <c r="B874" s="38" t="str">
        <f>IF(F874="","",SUMIF(Prearmados!E:E,F874,Prearmados!A:A))</f>
        <v/>
      </c>
      <c r="C874" s="38" t="str">
        <f>IF(F874="","",SUMIF(Productos!E:E,G874,Productos!A:A))</f>
        <v/>
      </c>
      <c r="D874" s="85" t="str">
        <f t="array" ref="D874">IF(OR(F874="",F874="Seleccionar.."),"",XLOOKUP(F874,Prearmados!E:E,Prearmados!F:F,"",0,1))</f>
        <v/>
      </c>
      <c r="E874" s="83" t="str">
        <f>IF(H874="","",SUMIF(Precio_Productos!K:K,C874,Precio_Productos!J:J)*H874)</f>
        <v/>
      </c>
      <c r="F874" s="86" t="str">
        <f t="shared" si="2"/>
        <v/>
      </c>
      <c r="G874" s="86" t="str">
        <f t="shared" si="3"/>
        <v/>
      </c>
      <c r="H874" s="15"/>
      <c r="P874" s="3" t="str">
        <f>IFERROR(__xludf.DUMMYFUNCTION("IF(OR(F874="""",F874=""Seleccionar..""),"""",TRANSPOSE(FILTER(Productos!E:E,(Productos!F:F=D874)+(Productos!F:F=XLOOKUP(D874,Implementos!B:B,Implementos!C:C,""-"",0,1)))))"),"")</f>
        <v/>
      </c>
    </row>
    <row r="875" hidden="1">
      <c r="A875" s="38" t="str">
        <f t="shared" si="1"/>
        <v/>
      </c>
      <c r="B875" s="38" t="str">
        <f>IF(F875="","",SUMIF(Prearmados!E:E,F875,Prearmados!A:A))</f>
        <v/>
      </c>
      <c r="C875" s="38" t="str">
        <f>IF(F875="","",SUMIF(Productos!E:E,G875,Productos!A:A))</f>
        <v/>
      </c>
      <c r="D875" s="85" t="str">
        <f t="array" ref="D875">IF(OR(F875="",F875="Seleccionar.."),"",XLOOKUP(F875,Prearmados!E:E,Prearmados!F:F,"",0,1))</f>
        <v/>
      </c>
      <c r="E875" s="83" t="str">
        <f>IF(H875="","",SUMIF(Precio_Productos!K:K,C875,Precio_Productos!J:J)*H875)</f>
        <v/>
      </c>
      <c r="F875" s="86" t="str">
        <f t="shared" si="2"/>
        <v/>
      </c>
      <c r="G875" s="86" t="str">
        <f t="shared" si="3"/>
        <v/>
      </c>
      <c r="H875" s="15"/>
      <c r="P875" s="3" t="str">
        <f>IFERROR(__xludf.DUMMYFUNCTION("IF(OR(F875="""",F875=""Seleccionar..""),"""",TRANSPOSE(FILTER(Productos!E:E,(Productos!F:F=D875)+(Productos!F:F=XLOOKUP(D875,Implementos!B:B,Implementos!C:C,""-"",0,1)))))"),"")</f>
        <v/>
      </c>
    </row>
    <row r="876" hidden="1">
      <c r="A876" s="38" t="str">
        <f t="shared" si="1"/>
        <v/>
      </c>
      <c r="B876" s="38" t="str">
        <f>IF(F876="","",SUMIF(Prearmados!E:E,F876,Prearmados!A:A))</f>
        <v/>
      </c>
      <c r="C876" s="38" t="str">
        <f>IF(F876="","",SUMIF(Productos!E:E,G876,Productos!A:A))</f>
        <v/>
      </c>
      <c r="D876" s="85" t="str">
        <f t="array" ref="D876">IF(OR(F876="",F876="Seleccionar.."),"",XLOOKUP(F876,Prearmados!E:E,Prearmados!F:F,"",0,1))</f>
        <v/>
      </c>
      <c r="E876" s="83" t="str">
        <f>IF(H876="","",SUMIF(Precio_Productos!K:K,C876,Precio_Productos!J:J)*H876)</f>
        <v/>
      </c>
      <c r="F876" s="86" t="str">
        <f t="shared" si="2"/>
        <v/>
      </c>
      <c r="G876" s="86" t="str">
        <f t="shared" si="3"/>
        <v/>
      </c>
      <c r="H876" s="15"/>
      <c r="P876" s="3" t="str">
        <f>IFERROR(__xludf.DUMMYFUNCTION("IF(OR(F876="""",F876=""Seleccionar..""),"""",TRANSPOSE(FILTER(Productos!E:E,(Productos!F:F=D876)+(Productos!F:F=XLOOKUP(D876,Implementos!B:B,Implementos!C:C,""-"",0,1)))))"),"")</f>
        <v/>
      </c>
    </row>
    <row r="877" hidden="1">
      <c r="A877" s="38" t="str">
        <f t="shared" si="1"/>
        <v/>
      </c>
      <c r="B877" s="38" t="str">
        <f>IF(F877="","",SUMIF(Prearmados!E:E,F877,Prearmados!A:A))</f>
        <v/>
      </c>
      <c r="C877" s="38" t="str">
        <f>IF(F877="","",SUMIF(Productos!E:E,G877,Productos!A:A))</f>
        <v/>
      </c>
      <c r="D877" s="85" t="str">
        <f t="array" ref="D877">IF(OR(F877="",F877="Seleccionar.."),"",XLOOKUP(F877,Prearmados!E:E,Prearmados!F:F,"",0,1))</f>
        <v/>
      </c>
      <c r="E877" s="83" t="str">
        <f>IF(H877="","",SUMIF(Precio_Productos!K:K,C877,Precio_Productos!J:J)*H877)</f>
        <v/>
      </c>
      <c r="F877" s="86" t="str">
        <f t="shared" si="2"/>
        <v/>
      </c>
      <c r="G877" s="86" t="str">
        <f t="shared" si="3"/>
        <v/>
      </c>
      <c r="H877" s="15"/>
      <c r="P877" s="3" t="str">
        <f>IFERROR(__xludf.DUMMYFUNCTION("IF(OR(F877="""",F877=""Seleccionar..""),"""",TRANSPOSE(FILTER(Productos!E:E,(Productos!F:F=D877)+(Productos!F:F=XLOOKUP(D877,Implementos!B:B,Implementos!C:C,""-"",0,1)))))"),"")</f>
        <v/>
      </c>
    </row>
    <row r="878" hidden="1">
      <c r="A878" s="38" t="str">
        <f t="shared" si="1"/>
        <v/>
      </c>
      <c r="B878" s="38" t="str">
        <f>IF(F878="","",SUMIF(Prearmados!E:E,F878,Prearmados!A:A))</f>
        <v/>
      </c>
      <c r="C878" s="38" t="str">
        <f>IF(F878="","",SUMIF(Productos!E:E,G878,Productos!A:A))</f>
        <v/>
      </c>
      <c r="D878" s="85" t="str">
        <f t="array" ref="D878">IF(OR(F878="",F878="Seleccionar.."),"",XLOOKUP(F878,Prearmados!E:E,Prearmados!F:F,"",0,1))</f>
        <v/>
      </c>
      <c r="E878" s="83" t="str">
        <f>IF(H878="","",SUMIF(Precio_Productos!K:K,C878,Precio_Productos!J:J)*H878)</f>
        <v/>
      </c>
      <c r="F878" s="86" t="str">
        <f t="shared" si="2"/>
        <v/>
      </c>
      <c r="G878" s="86" t="str">
        <f t="shared" si="3"/>
        <v/>
      </c>
      <c r="H878" s="15"/>
      <c r="P878" s="3" t="str">
        <f>IFERROR(__xludf.DUMMYFUNCTION("IF(OR(F878="""",F878=""Seleccionar..""),"""",TRANSPOSE(FILTER(Productos!E:E,(Productos!F:F=D878)+(Productos!F:F=XLOOKUP(D878,Implementos!B:B,Implementos!C:C,""-"",0,1)))))"),"")</f>
        <v/>
      </c>
    </row>
    <row r="879" hidden="1">
      <c r="A879" s="38" t="str">
        <f t="shared" si="1"/>
        <v/>
      </c>
      <c r="B879" s="38" t="str">
        <f>IF(F879="","",SUMIF(Prearmados!E:E,F879,Prearmados!A:A))</f>
        <v/>
      </c>
      <c r="C879" s="38" t="str">
        <f>IF(F879="","",SUMIF(Productos!E:E,G879,Productos!A:A))</f>
        <v/>
      </c>
      <c r="D879" s="85" t="str">
        <f t="array" ref="D879">IF(OR(F879="",F879="Seleccionar.."),"",XLOOKUP(F879,Prearmados!E:E,Prearmados!F:F,"",0,1))</f>
        <v/>
      </c>
      <c r="E879" s="83" t="str">
        <f>IF(H879="","",SUMIF(Precio_Productos!K:K,C879,Precio_Productos!J:J)*H879)</f>
        <v/>
      </c>
      <c r="F879" s="86" t="str">
        <f t="shared" si="2"/>
        <v/>
      </c>
      <c r="G879" s="86" t="str">
        <f t="shared" si="3"/>
        <v/>
      </c>
      <c r="H879" s="15"/>
      <c r="P879" s="3" t="str">
        <f>IFERROR(__xludf.DUMMYFUNCTION("IF(OR(F879="""",F879=""Seleccionar..""),"""",TRANSPOSE(FILTER(Productos!E:E,(Productos!F:F=D879)+(Productos!F:F=XLOOKUP(D879,Implementos!B:B,Implementos!C:C,""-"",0,1)))))"),"")</f>
        <v/>
      </c>
    </row>
    <row r="880" hidden="1">
      <c r="A880" s="38" t="str">
        <f t="shared" si="1"/>
        <v/>
      </c>
      <c r="B880" s="38" t="str">
        <f>IF(F880="","",SUMIF(Prearmados!E:E,F880,Prearmados!A:A))</f>
        <v/>
      </c>
      <c r="C880" s="38" t="str">
        <f>IF(F880="","",SUMIF(Productos!E:E,G880,Productos!A:A))</f>
        <v/>
      </c>
      <c r="D880" s="85" t="str">
        <f t="array" ref="D880">IF(OR(F880="",F880="Seleccionar.."),"",XLOOKUP(F880,Prearmados!E:E,Prearmados!F:F,"",0,1))</f>
        <v/>
      </c>
      <c r="E880" s="83" t="str">
        <f>IF(H880="","",SUMIF(Precio_Productos!K:K,C880,Precio_Productos!J:J)*H880)</f>
        <v/>
      </c>
      <c r="F880" s="86" t="str">
        <f t="shared" si="2"/>
        <v/>
      </c>
      <c r="G880" s="86" t="str">
        <f t="shared" si="3"/>
        <v/>
      </c>
      <c r="H880" s="15"/>
      <c r="P880" s="3" t="str">
        <f>IFERROR(__xludf.DUMMYFUNCTION("IF(OR(F880="""",F880=""Seleccionar..""),"""",TRANSPOSE(FILTER(Productos!E:E,(Productos!F:F=D880)+(Productos!F:F=XLOOKUP(D880,Implementos!B:B,Implementos!C:C,""-"",0,1)))))"),"")</f>
        <v/>
      </c>
    </row>
    <row r="881" hidden="1">
      <c r="A881" s="38" t="str">
        <f t="shared" si="1"/>
        <v/>
      </c>
      <c r="B881" s="38" t="str">
        <f>IF(F881="","",SUMIF(Prearmados!E:E,F881,Prearmados!A:A))</f>
        <v/>
      </c>
      <c r="C881" s="38" t="str">
        <f>IF(F881="","",SUMIF(Productos!E:E,G881,Productos!A:A))</f>
        <v/>
      </c>
      <c r="D881" s="85" t="str">
        <f t="array" ref="D881">IF(OR(F881="",F881="Seleccionar.."),"",XLOOKUP(F881,Prearmados!E:E,Prearmados!F:F,"",0,1))</f>
        <v/>
      </c>
      <c r="E881" s="83" t="str">
        <f>IF(H881="","",SUMIF(Precio_Productos!K:K,C881,Precio_Productos!J:J)*H881)</f>
        <v/>
      </c>
      <c r="F881" s="86" t="str">
        <f t="shared" si="2"/>
        <v/>
      </c>
      <c r="G881" s="86" t="str">
        <f t="shared" si="3"/>
        <v/>
      </c>
      <c r="H881" s="15"/>
      <c r="P881" s="3" t="str">
        <f>IFERROR(__xludf.DUMMYFUNCTION("IF(OR(F881="""",F881=""Seleccionar..""),"""",TRANSPOSE(FILTER(Productos!E:E,(Productos!F:F=D881)+(Productos!F:F=XLOOKUP(D881,Implementos!B:B,Implementos!C:C,""-"",0,1)))))"),"")</f>
        <v/>
      </c>
    </row>
    <row r="882" hidden="1">
      <c r="A882" s="38" t="str">
        <f t="shared" si="1"/>
        <v/>
      </c>
      <c r="B882" s="38" t="str">
        <f>IF(F882="","",SUMIF(Prearmados!E:E,F882,Prearmados!A:A))</f>
        <v/>
      </c>
      <c r="C882" s="38" t="str">
        <f>IF(F882="","",SUMIF(Productos!E:E,G882,Productos!A:A))</f>
        <v/>
      </c>
      <c r="D882" s="85" t="str">
        <f t="array" ref="D882">IF(OR(F882="",F882="Seleccionar.."),"",XLOOKUP(F882,Prearmados!E:E,Prearmados!F:F,"",0,1))</f>
        <v/>
      </c>
      <c r="E882" s="83" t="str">
        <f>IF(H882="","",SUMIF(Precio_Productos!K:K,C882,Precio_Productos!J:J)*H882)</f>
        <v/>
      </c>
      <c r="F882" s="86" t="str">
        <f t="shared" si="2"/>
        <v/>
      </c>
      <c r="G882" s="86" t="str">
        <f t="shared" si="3"/>
        <v/>
      </c>
      <c r="H882" s="15"/>
      <c r="P882" s="3" t="str">
        <f>IFERROR(__xludf.DUMMYFUNCTION("IF(OR(F882="""",F882=""Seleccionar..""),"""",TRANSPOSE(FILTER(Productos!E:E,(Productos!F:F=D882)+(Productos!F:F=XLOOKUP(D882,Implementos!B:B,Implementos!C:C,""-"",0,1)))))"),"")</f>
        <v/>
      </c>
    </row>
    <row r="883" hidden="1">
      <c r="A883" s="38" t="str">
        <f t="shared" si="1"/>
        <v/>
      </c>
      <c r="B883" s="38" t="str">
        <f>IF(F883="","",SUMIF(Prearmados!E:E,F883,Prearmados!A:A))</f>
        <v/>
      </c>
      <c r="C883" s="38" t="str">
        <f>IF(F883="","",SUMIF(Productos!E:E,G883,Productos!A:A))</f>
        <v/>
      </c>
      <c r="D883" s="85" t="str">
        <f t="array" ref="D883">IF(OR(F883="",F883="Seleccionar.."),"",XLOOKUP(F883,Prearmados!E:E,Prearmados!F:F,"",0,1))</f>
        <v/>
      </c>
      <c r="E883" s="83" t="str">
        <f>IF(H883="","",SUMIF(Precio_Productos!K:K,C883,Precio_Productos!J:J)*H883)</f>
        <v/>
      </c>
      <c r="F883" s="86" t="str">
        <f t="shared" si="2"/>
        <v/>
      </c>
      <c r="G883" s="86" t="str">
        <f t="shared" si="3"/>
        <v/>
      </c>
      <c r="H883" s="15"/>
      <c r="P883" s="3" t="str">
        <f>IFERROR(__xludf.DUMMYFUNCTION("IF(OR(F883="""",F883=""Seleccionar..""),"""",TRANSPOSE(FILTER(Productos!E:E,(Productos!F:F=D883)+(Productos!F:F=XLOOKUP(D883,Implementos!B:B,Implementos!C:C,""-"",0,1)))))"),"")</f>
        <v/>
      </c>
    </row>
    <row r="884" hidden="1">
      <c r="A884" s="38" t="str">
        <f t="shared" si="1"/>
        <v/>
      </c>
      <c r="B884" s="38" t="str">
        <f>IF(F884="","",SUMIF(Prearmados!E:E,F884,Prearmados!A:A))</f>
        <v/>
      </c>
      <c r="C884" s="38" t="str">
        <f>IF(F884="","",SUMIF(Productos!E:E,G884,Productos!A:A))</f>
        <v/>
      </c>
      <c r="D884" s="85" t="str">
        <f t="array" ref="D884">IF(OR(F884="",F884="Seleccionar.."),"",XLOOKUP(F884,Prearmados!E:E,Prearmados!F:F,"",0,1))</f>
        <v/>
      </c>
      <c r="E884" s="83" t="str">
        <f>IF(H884="","",SUMIF(Precio_Productos!K:K,C884,Precio_Productos!J:J)*H884)</f>
        <v/>
      </c>
      <c r="F884" s="86" t="str">
        <f t="shared" si="2"/>
        <v/>
      </c>
      <c r="G884" s="86" t="str">
        <f t="shared" si="3"/>
        <v/>
      </c>
      <c r="H884" s="15"/>
      <c r="P884" s="3" t="str">
        <f>IFERROR(__xludf.DUMMYFUNCTION("IF(OR(F884="""",F884=""Seleccionar..""),"""",TRANSPOSE(FILTER(Productos!E:E,(Productos!F:F=D884)+(Productos!F:F=XLOOKUP(D884,Implementos!B:B,Implementos!C:C,""-"",0,1)))))"),"")</f>
        <v/>
      </c>
    </row>
    <row r="885" hidden="1">
      <c r="A885" s="38" t="str">
        <f t="shared" si="1"/>
        <v/>
      </c>
      <c r="B885" s="38" t="str">
        <f>IF(F885="","",SUMIF(Prearmados!E:E,F885,Prearmados!A:A))</f>
        <v/>
      </c>
      <c r="C885" s="38" t="str">
        <f>IF(F885="","",SUMIF(Productos!E:E,G885,Productos!A:A))</f>
        <v/>
      </c>
      <c r="D885" s="85" t="str">
        <f t="array" ref="D885">IF(OR(F885="",F885="Seleccionar.."),"",XLOOKUP(F885,Prearmados!E:E,Prearmados!F:F,"",0,1))</f>
        <v/>
      </c>
      <c r="E885" s="83" t="str">
        <f>IF(H885="","",SUMIF(Precio_Productos!K:K,C885,Precio_Productos!J:J)*H885)</f>
        <v/>
      </c>
      <c r="F885" s="86" t="str">
        <f t="shared" si="2"/>
        <v/>
      </c>
      <c r="G885" s="86" t="str">
        <f t="shared" si="3"/>
        <v/>
      </c>
      <c r="H885" s="15"/>
      <c r="P885" s="3" t="str">
        <f>IFERROR(__xludf.DUMMYFUNCTION("IF(OR(F885="""",F885=""Seleccionar..""),"""",TRANSPOSE(FILTER(Productos!E:E,(Productos!F:F=D885)+(Productos!F:F=XLOOKUP(D885,Implementos!B:B,Implementos!C:C,""-"",0,1)))))"),"")</f>
        <v/>
      </c>
    </row>
    <row r="886" hidden="1">
      <c r="A886" s="38" t="str">
        <f t="shared" si="1"/>
        <v/>
      </c>
      <c r="B886" s="38" t="str">
        <f>IF(F886="","",SUMIF(Prearmados!E:E,F886,Prearmados!A:A))</f>
        <v/>
      </c>
      <c r="C886" s="38" t="str">
        <f>IF(F886="","",SUMIF(Productos!E:E,G886,Productos!A:A))</f>
        <v/>
      </c>
      <c r="D886" s="85" t="str">
        <f t="array" ref="D886">IF(OR(F886="",F886="Seleccionar.."),"",XLOOKUP(F886,Prearmados!E:E,Prearmados!F:F,"",0,1))</f>
        <v/>
      </c>
      <c r="E886" s="83" t="str">
        <f>IF(H886="","",SUMIF(Precio_Productos!K:K,C886,Precio_Productos!J:J)*H886)</f>
        <v/>
      </c>
      <c r="F886" s="86" t="str">
        <f t="shared" si="2"/>
        <v/>
      </c>
      <c r="G886" s="86" t="str">
        <f t="shared" si="3"/>
        <v/>
      </c>
      <c r="H886" s="15"/>
      <c r="P886" s="3" t="str">
        <f>IFERROR(__xludf.DUMMYFUNCTION("IF(OR(F886="""",F886=""Seleccionar..""),"""",TRANSPOSE(FILTER(Productos!E:E,(Productos!F:F=D886)+(Productos!F:F=XLOOKUP(D886,Implementos!B:B,Implementos!C:C,""-"",0,1)))))"),"")</f>
        <v/>
      </c>
    </row>
    <row r="887" hidden="1">
      <c r="A887" s="38" t="str">
        <f t="shared" si="1"/>
        <v/>
      </c>
      <c r="B887" s="38" t="str">
        <f>IF(F887="","",SUMIF(Prearmados!E:E,F887,Prearmados!A:A))</f>
        <v/>
      </c>
      <c r="C887" s="38" t="str">
        <f>IF(F887="","",SUMIF(Productos!E:E,G887,Productos!A:A))</f>
        <v/>
      </c>
      <c r="D887" s="85" t="str">
        <f t="array" ref="D887">IF(OR(F887="",F887="Seleccionar.."),"",XLOOKUP(F887,Prearmados!E:E,Prearmados!F:F,"",0,1))</f>
        <v/>
      </c>
      <c r="E887" s="83" t="str">
        <f>IF(H887="","",SUMIF(Precio_Productos!K:K,C887,Precio_Productos!J:J)*H887)</f>
        <v/>
      </c>
      <c r="F887" s="86" t="str">
        <f t="shared" si="2"/>
        <v/>
      </c>
      <c r="G887" s="86" t="str">
        <f t="shared" si="3"/>
        <v/>
      </c>
      <c r="H887" s="15"/>
      <c r="P887" s="3" t="str">
        <f>IFERROR(__xludf.DUMMYFUNCTION("IF(OR(F887="""",F887=""Seleccionar..""),"""",TRANSPOSE(FILTER(Productos!E:E,(Productos!F:F=D887)+(Productos!F:F=XLOOKUP(D887,Implementos!B:B,Implementos!C:C,""-"",0,1)))))"),"")</f>
        <v/>
      </c>
    </row>
    <row r="888" hidden="1">
      <c r="A888" s="38" t="str">
        <f t="shared" si="1"/>
        <v/>
      </c>
      <c r="B888" s="38" t="str">
        <f>IF(F888="","",SUMIF(Prearmados!E:E,F888,Prearmados!A:A))</f>
        <v/>
      </c>
      <c r="C888" s="38" t="str">
        <f>IF(F888="","",SUMIF(Productos!E:E,G888,Productos!A:A))</f>
        <v/>
      </c>
      <c r="D888" s="85" t="str">
        <f t="array" ref="D888">IF(OR(F888="",F888="Seleccionar.."),"",XLOOKUP(F888,Prearmados!E:E,Prearmados!F:F,"",0,1))</f>
        <v/>
      </c>
      <c r="E888" s="83" t="str">
        <f>IF(H888="","",SUMIF(Precio_Productos!K:K,C888,Precio_Productos!J:J)*H888)</f>
        <v/>
      </c>
      <c r="F888" s="86" t="str">
        <f t="shared" si="2"/>
        <v/>
      </c>
      <c r="G888" s="86" t="str">
        <f t="shared" si="3"/>
        <v/>
      </c>
      <c r="H888" s="15"/>
      <c r="P888" s="3" t="str">
        <f>IFERROR(__xludf.DUMMYFUNCTION("IF(OR(F888="""",F888=""Seleccionar..""),"""",TRANSPOSE(FILTER(Productos!E:E,(Productos!F:F=D888)+(Productos!F:F=XLOOKUP(D888,Implementos!B:B,Implementos!C:C,""-"",0,1)))))"),"")</f>
        <v/>
      </c>
    </row>
    <row r="889" hidden="1">
      <c r="A889" s="38" t="str">
        <f t="shared" si="1"/>
        <v/>
      </c>
      <c r="B889" s="38" t="str">
        <f>IF(F889="","",SUMIF(Prearmados!E:E,F889,Prearmados!A:A))</f>
        <v/>
      </c>
      <c r="C889" s="38" t="str">
        <f>IF(F889="","",SUMIF(Productos!E:E,G889,Productos!A:A))</f>
        <v/>
      </c>
      <c r="D889" s="85" t="str">
        <f t="array" ref="D889">IF(OR(F889="",F889="Seleccionar.."),"",XLOOKUP(F889,Prearmados!E:E,Prearmados!F:F,"",0,1))</f>
        <v/>
      </c>
      <c r="E889" s="83" t="str">
        <f>IF(H889="","",SUMIF(Precio_Productos!K:K,C889,Precio_Productos!J:J)*H889)</f>
        <v/>
      </c>
      <c r="F889" s="86" t="str">
        <f t="shared" si="2"/>
        <v/>
      </c>
      <c r="G889" s="86" t="str">
        <f t="shared" si="3"/>
        <v/>
      </c>
      <c r="H889" s="15"/>
      <c r="P889" s="3" t="str">
        <f>IFERROR(__xludf.DUMMYFUNCTION("IF(OR(F889="""",F889=""Seleccionar..""),"""",TRANSPOSE(FILTER(Productos!E:E,(Productos!F:F=D889)+(Productos!F:F=XLOOKUP(D889,Implementos!B:B,Implementos!C:C,""-"",0,1)))))"),"")</f>
        <v/>
      </c>
    </row>
    <row r="890" hidden="1">
      <c r="A890" s="38" t="str">
        <f t="shared" si="1"/>
        <v/>
      </c>
      <c r="B890" s="38" t="str">
        <f>IF(F890="","",SUMIF(Prearmados!E:E,F890,Prearmados!A:A))</f>
        <v/>
      </c>
      <c r="C890" s="38" t="str">
        <f>IF(F890="","",SUMIF(Productos!E:E,G890,Productos!A:A))</f>
        <v/>
      </c>
      <c r="D890" s="85" t="str">
        <f t="array" ref="D890">IF(OR(F890="",F890="Seleccionar.."),"",XLOOKUP(F890,Prearmados!E:E,Prearmados!F:F,"",0,1))</f>
        <v/>
      </c>
      <c r="E890" s="83" t="str">
        <f>IF(H890="","",SUMIF(Precio_Productos!K:K,C890,Precio_Productos!J:J)*H890)</f>
        <v/>
      </c>
      <c r="F890" s="86" t="str">
        <f t="shared" si="2"/>
        <v/>
      </c>
      <c r="G890" s="86" t="str">
        <f t="shared" si="3"/>
        <v/>
      </c>
      <c r="H890" s="15"/>
      <c r="P890" s="3" t="str">
        <f>IFERROR(__xludf.DUMMYFUNCTION("IF(OR(F890="""",F890=""Seleccionar..""),"""",TRANSPOSE(FILTER(Productos!E:E,(Productos!F:F=D890)+(Productos!F:F=XLOOKUP(D890,Implementos!B:B,Implementos!C:C,""-"",0,1)))))"),"")</f>
        <v/>
      </c>
    </row>
    <row r="891" hidden="1">
      <c r="A891" s="38" t="str">
        <f t="shared" si="1"/>
        <v/>
      </c>
      <c r="B891" s="38" t="str">
        <f>IF(F891="","",SUMIF(Prearmados!E:E,F891,Prearmados!A:A))</f>
        <v/>
      </c>
      <c r="C891" s="38" t="str">
        <f>IF(F891="","",SUMIF(Productos!E:E,G891,Productos!A:A))</f>
        <v/>
      </c>
      <c r="D891" s="85" t="str">
        <f t="array" ref="D891">IF(OR(F891="",F891="Seleccionar.."),"",XLOOKUP(F891,Prearmados!E:E,Prearmados!F:F,"",0,1))</f>
        <v/>
      </c>
      <c r="E891" s="83" t="str">
        <f>IF(H891="","",SUMIF(Precio_Productos!K:K,C891,Precio_Productos!J:J)*H891)</f>
        <v/>
      </c>
      <c r="F891" s="86" t="str">
        <f t="shared" si="2"/>
        <v/>
      </c>
      <c r="G891" s="86" t="str">
        <f t="shared" si="3"/>
        <v/>
      </c>
      <c r="H891" s="15"/>
      <c r="P891" s="3" t="str">
        <f>IFERROR(__xludf.DUMMYFUNCTION("IF(OR(F891="""",F891=""Seleccionar..""),"""",TRANSPOSE(FILTER(Productos!E:E,(Productos!F:F=D891)+(Productos!F:F=XLOOKUP(D891,Implementos!B:B,Implementos!C:C,""-"",0,1)))))"),"")</f>
        <v/>
      </c>
    </row>
    <row r="892" hidden="1">
      <c r="A892" s="38" t="str">
        <f t="shared" si="1"/>
        <v/>
      </c>
      <c r="B892" s="38" t="str">
        <f>IF(F892="","",SUMIF(Prearmados!E:E,F892,Prearmados!A:A))</f>
        <v/>
      </c>
      <c r="C892" s="38" t="str">
        <f>IF(F892="","",SUMIF(Productos!E:E,G892,Productos!A:A))</f>
        <v/>
      </c>
      <c r="D892" s="85" t="str">
        <f t="array" ref="D892">IF(OR(F892="",F892="Seleccionar.."),"",XLOOKUP(F892,Prearmados!E:E,Prearmados!F:F,"",0,1))</f>
        <v/>
      </c>
      <c r="E892" s="83" t="str">
        <f>IF(H892="","",SUMIF(Precio_Productos!K:K,C892,Precio_Productos!J:J)*H892)</f>
        <v/>
      </c>
      <c r="F892" s="86" t="str">
        <f t="shared" si="2"/>
        <v/>
      </c>
      <c r="G892" s="86" t="str">
        <f t="shared" si="3"/>
        <v/>
      </c>
      <c r="H892" s="15"/>
      <c r="P892" s="3" t="str">
        <f>IFERROR(__xludf.DUMMYFUNCTION("IF(OR(F892="""",F892=""Seleccionar..""),"""",TRANSPOSE(FILTER(Productos!E:E,(Productos!F:F=D892)+(Productos!F:F=XLOOKUP(D892,Implementos!B:B,Implementos!C:C,""-"",0,1)))))"),"")</f>
        <v/>
      </c>
    </row>
    <row r="893" hidden="1">
      <c r="A893" s="38" t="str">
        <f t="shared" si="1"/>
        <v/>
      </c>
      <c r="B893" s="38" t="str">
        <f>IF(F893="","",SUMIF(Prearmados!E:E,F893,Prearmados!A:A))</f>
        <v/>
      </c>
      <c r="C893" s="38" t="str">
        <f>IF(F893="","",SUMIF(Productos!E:E,G893,Productos!A:A))</f>
        <v/>
      </c>
      <c r="D893" s="85" t="str">
        <f t="array" ref="D893">IF(OR(F893="",F893="Seleccionar.."),"",XLOOKUP(F893,Prearmados!E:E,Prearmados!F:F,"",0,1))</f>
        <v/>
      </c>
      <c r="E893" s="83" t="str">
        <f>IF(H893="","",SUMIF(Precio_Productos!K:K,C893,Precio_Productos!J:J)*H893)</f>
        <v/>
      </c>
      <c r="F893" s="86" t="str">
        <f t="shared" si="2"/>
        <v/>
      </c>
      <c r="G893" s="86" t="str">
        <f t="shared" si="3"/>
        <v/>
      </c>
      <c r="H893" s="15"/>
      <c r="P893" s="3" t="str">
        <f>IFERROR(__xludf.DUMMYFUNCTION("IF(OR(F893="""",F893=""Seleccionar..""),"""",TRANSPOSE(FILTER(Productos!E:E,(Productos!F:F=D893)+(Productos!F:F=XLOOKUP(D893,Implementos!B:B,Implementos!C:C,""-"",0,1)))))"),"")</f>
        <v/>
      </c>
    </row>
    <row r="894" hidden="1">
      <c r="A894" s="38" t="str">
        <f t="shared" si="1"/>
        <v/>
      </c>
      <c r="B894" s="38" t="str">
        <f>IF(F894="","",SUMIF(Prearmados!E:E,F894,Prearmados!A:A))</f>
        <v/>
      </c>
      <c r="C894" s="38" t="str">
        <f>IF(F894="","",SUMIF(Productos!E:E,G894,Productos!A:A))</f>
        <v/>
      </c>
      <c r="D894" s="85" t="str">
        <f t="array" ref="D894">IF(OR(F894="",F894="Seleccionar.."),"",XLOOKUP(F894,Prearmados!E:E,Prearmados!F:F,"",0,1))</f>
        <v/>
      </c>
      <c r="E894" s="83" t="str">
        <f>IF(H894="","",SUMIF(Precio_Productos!K:K,C894,Precio_Productos!J:J)*H894)</f>
        <v/>
      </c>
      <c r="F894" s="86" t="str">
        <f t="shared" si="2"/>
        <v/>
      </c>
      <c r="G894" s="86" t="str">
        <f t="shared" si="3"/>
        <v/>
      </c>
      <c r="H894" s="15"/>
      <c r="P894" s="3" t="str">
        <f>IFERROR(__xludf.DUMMYFUNCTION("IF(OR(F894="""",F894=""Seleccionar..""),"""",TRANSPOSE(FILTER(Productos!E:E,(Productos!F:F=D894)+(Productos!F:F=XLOOKUP(D894,Implementos!B:B,Implementos!C:C,""-"",0,1)))))"),"")</f>
        <v/>
      </c>
    </row>
    <row r="895" hidden="1">
      <c r="A895" s="38" t="str">
        <f t="shared" si="1"/>
        <v/>
      </c>
      <c r="B895" s="38" t="str">
        <f>IF(F895="","",SUMIF(Prearmados!E:E,F895,Prearmados!A:A))</f>
        <v/>
      </c>
      <c r="C895" s="38" t="str">
        <f>IF(F895="","",SUMIF(Productos!E:E,G895,Productos!A:A))</f>
        <v/>
      </c>
      <c r="D895" s="85" t="str">
        <f t="array" ref="D895">IF(OR(F895="",F895="Seleccionar.."),"",XLOOKUP(F895,Prearmados!E:E,Prearmados!F:F,"",0,1))</f>
        <v/>
      </c>
      <c r="E895" s="83" t="str">
        <f>IF(H895="","",SUMIF(Precio_Productos!K:K,C895,Precio_Productos!J:J)*H895)</f>
        <v/>
      </c>
      <c r="F895" s="86" t="str">
        <f t="shared" si="2"/>
        <v/>
      </c>
      <c r="G895" s="86" t="str">
        <f t="shared" si="3"/>
        <v/>
      </c>
      <c r="H895" s="15"/>
      <c r="P895" s="3" t="str">
        <f>IFERROR(__xludf.DUMMYFUNCTION("IF(OR(F895="""",F895=""Seleccionar..""),"""",TRANSPOSE(FILTER(Productos!E:E,(Productos!F:F=D895)+(Productos!F:F=XLOOKUP(D895,Implementos!B:B,Implementos!C:C,""-"",0,1)))))"),"")</f>
        <v/>
      </c>
    </row>
    <row r="896" hidden="1">
      <c r="A896" s="38" t="str">
        <f t="shared" si="1"/>
        <v/>
      </c>
      <c r="B896" s="38" t="str">
        <f>IF(F896="","",SUMIF(Prearmados!E:E,F896,Prearmados!A:A))</f>
        <v/>
      </c>
      <c r="C896" s="38" t="str">
        <f>IF(F896="","",SUMIF(Productos!E:E,G896,Productos!A:A))</f>
        <v/>
      </c>
      <c r="D896" s="85" t="str">
        <f t="array" ref="D896">IF(OR(F896="",F896="Seleccionar.."),"",XLOOKUP(F896,Prearmados!E:E,Prearmados!F:F,"",0,1))</f>
        <v/>
      </c>
      <c r="E896" s="83" t="str">
        <f>IF(H896="","",SUMIF(Precio_Productos!K:K,C896,Precio_Productos!J:J)*H896)</f>
        <v/>
      </c>
      <c r="F896" s="86" t="str">
        <f t="shared" si="2"/>
        <v/>
      </c>
      <c r="G896" s="86" t="str">
        <f t="shared" si="3"/>
        <v/>
      </c>
      <c r="H896" s="15"/>
      <c r="P896" s="3" t="str">
        <f>IFERROR(__xludf.DUMMYFUNCTION("IF(OR(F896="""",F896=""Seleccionar..""),"""",TRANSPOSE(FILTER(Productos!E:E,(Productos!F:F=D896)+(Productos!F:F=XLOOKUP(D896,Implementos!B:B,Implementos!C:C,""-"",0,1)))))"),"")</f>
        <v/>
      </c>
    </row>
    <row r="897" hidden="1">
      <c r="A897" s="38" t="str">
        <f t="shared" si="1"/>
        <v/>
      </c>
      <c r="B897" s="38" t="str">
        <f>IF(F897="","",SUMIF(Prearmados!E:E,F897,Prearmados!A:A))</f>
        <v/>
      </c>
      <c r="C897" s="38" t="str">
        <f>IF(F897="","",SUMIF(Productos!E:E,G897,Productos!A:A))</f>
        <v/>
      </c>
      <c r="D897" s="85" t="str">
        <f t="array" ref="D897">IF(OR(F897="",F897="Seleccionar.."),"",XLOOKUP(F897,Prearmados!E:E,Prearmados!F:F,"",0,1))</f>
        <v/>
      </c>
      <c r="E897" s="83" t="str">
        <f>IF(H897="","",SUMIF(Precio_Productos!K:K,C897,Precio_Productos!J:J)*H897)</f>
        <v/>
      </c>
      <c r="F897" s="86" t="str">
        <f t="shared" si="2"/>
        <v/>
      </c>
      <c r="G897" s="86" t="str">
        <f t="shared" si="3"/>
        <v/>
      </c>
      <c r="H897" s="15"/>
      <c r="P897" s="3" t="str">
        <f>IFERROR(__xludf.DUMMYFUNCTION("IF(OR(F897="""",F897=""Seleccionar..""),"""",TRANSPOSE(FILTER(Productos!E:E,(Productos!F:F=D897)+(Productos!F:F=XLOOKUP(D897,Implementos!B:B,Implementos!C:C,""-"",0,1)))))"),"")</f>
        <v/>
      </c>
    </row>
    <row r="898" hidden="1">
      <c r="A898" s="38" t="str">
        <f t="shared" si="1"/>
        <v/>
      </c>
      <c r="B898" s="38" t="str">
        <f>IF(F898="","",SUMIF(Prearmados!E:E,F898,Prearmados!A:A))</f>
        <v/>
      </c>
      <c r="C898" s="38" t="str">
        <f>IF(F898="","",SUMIF(Productos!E:E,G898,Productos!A:A))</f>
        <v/>
      </c>
      <c r="D898" s="85" t="str">
        <f t="array" ref="D898">IF(OR(F898="",F898="Seleccionar.."),"",XLOOKUP(F898,Prearmados!E:E,Prearmados!F:F,"",0,1))</f>
        <v/>
      </c>
      <c r="E898" s="83" t="str">
        <f>IF(H898="","",SUMIF(Precio_Productos!K:K,C898,Precio_Productos!J:J)*H898)</f>
        <v/>
      </c>
      <c r="F898" s="86" t="str">
        <f t="shared" si="2"/>
        <v/>
      </c>
      <c r="G898" s="86" t="str">
        <f t="shared" si="3"/>
        <v/>
      </c>
      <c r="H898" s="15"/>
      <c r="P898" s="3" t="str">
        <f>IFERROR(__xludf.DUMMYFUNCTION("IF(OR(F898="""",F898=""Seleccionar..""),"""",TRANSPOSE(FILTER(Productos!E:E,(Productos!F:F=D898)+(Productos!F:F=XLOOKUP(D898,Implementos!B:B,Implementos!C:C,""-"",0,1)))))"),"")</f>
        <v/>
      </c>
    </row>
    <row r="899" hidden="1">
      <c r="A899" s="38" t="str">
        <f t="shared" si="1"/>
        <v/>
      </c>
      <c r="B899" s="38" t="str">
        <f>IF(F899="","",SUMIF(Prearmados!E:E,F899,Prearmados!A:A))</f>
        <v/>
      </c>
      <c r="C899" s="38" t="str">
        <f>IF(F899="","",SUMIF(Productos!E:E,G899,Productos!A:A))</f>
        <v/>
      </c>
      <c r="D899" s="85" t="str">
        <f t="array" ref="D899">IF(OR(F899="",F899="Seleccionar.."),"",XLOOKUP(F899,Prearmados!E:E,Prearmados!F:F,"",0,1))</f>
        <v/>
      </c>
      <c r="E899" s="83" t="str">
        <f>IF(H899="","",SUMIF(Precio_Productos!K:K,C899,Precio_Productos!J:J)*H899)</f>
        <v/>
      </c>
      <c r="F899" s="86" t="str">
        <f t="shared" si="2"/>
        <v/>
      </c>
      <c r="G899" s="86" t="str">
        <f t="shared" si="3"/>
        <v/>
      </c>
      <c r="H899" s="15"/>
      <c r="P899" s="3" t="str">
        <f>IFERROR(__xludf.DUMMYFUNCTION("IF(OR(F899="""",F899=""Seleccionar..""),"""",TRANSPOSE(FILTER(Productos!E:E,(Productos!F:F=D899)+(Productos!F:F=XLOOKUP(D899,Implementos!B:B,Implementos!C:C,""-"",0,1)))))"),"")</f>
        <v/>
      </c>
    </row>
    <row r="900" hidden="1">
      <c r="A900" s="38" t="str">
        <f t="shared" si="1"/>
        <v/>
      </c>
      <c r="B900" s="38" t="str">
        <f>IF(F900="","",SUMIF(Prearmados!E:E,F900,Prearmados!A:A))</f>
        <v/>
      </c>
      <c r="C900" s="38" t="str">
        <f>IF(F900="","",SUMIF(Productos!E:E,G900,Productos!A:A))</f>
        <v/>
      </c>
      <c r="D900" s="85" t="str">
        <f t="array" ref="D900">IF(OR(F900="",F900="Seleccionar.."),"",XLOOKUP(F900,Prearmados!E:E,Prearmados!F:F,"",0,1))</f>
        <v/>
      </c>
      <c r="E900" s="83" t="str">
        <f>IF(H900="","",SUMIF(Precio_Productos!K:K,C900,Precio_Productos!J:J)*H900)</f>
        <v/>
      </c>
      <c r="F900" s="86" t="str">
        <f t="shared" si="2"/>
        <v/>
      </c>
      <c r="G900" s="86" t="str">
        <f t="shared" si="3"/>
        <v/>
      </c>
      <c r="H900" s="15"/>
      <c r="P900" s="3" t="str">
        <f>IFERROR(__xludf.DUMMYFUNCTION("IF(OR(F900="""",F900=""Seleccionar..""),"""",TRANSPOSE(FILTER(Productos!E:E,(Productos!F:F=D900)+(Productos!F:F=XLOOKUP(D900,Implementos!B:B,Implementos!C:C,""-"",0,1)))))"),"")</f>
        <v/>
      </c>
    </row>
    <row r="901" hidden="1">
      <c r="A901" s="38" t="str">
        <f t="shared" si="1"/>
        <v/>
      </c>
      <c r="B901" s="38" t="str">
        <f>IF(F901="","",SUMIF(Prearmados!E:E,F901,Prearmados!A:A))</f>
        <v/>
      </c>
      <c r="C901" s="38" t="str">
        <f>IF(F901="","",SUMIF(Productos!E:E,G901,Productos!A:A))</f>
        <v/>
      </c>
      <c r="D901" s="85" t="str">
        <f t="array" ref="D901">IF(OR(F901="",F901="Seleccionar.."),"",XLOOKUP(F901,Prearmados!E:E,Prearmados!F:F,"",0,1))</f>
        <v/>
      </c>
      <c r="E901" s="83" t="str">
        <f>IF(H901="","",SUMIF(Precio_Productos!K:K,C901,Precio_Productos!J:J)*H901)</f>
        <v/>
      </c>
      <c r="F901" s="86" t="str">
        <f t="shared" si="2"/>
        <v/>
      </c>
      <c r="G901" s="86" t="str">
        <f t="shared" si="3"/>
        <v/>
      </c>
      <c r="H901" s="15"/>
      <c r="P901" s="3" t="str">
        <f>IFERROR(__xludf.DUMMYFUNCTION("IF(OR(F901="""",F901=""Seleccionar..""),"""",TRANSPOSE(FILTER(Productos!E:E,(Productos!F:F=D901)+(Productos!F:F=XLOOKUP(D901,Implementos!B:B,Implementos!C:C,""-"",0,1)))))"),"")</f>
        <v/>
      </c>
    </row>
    <row r="902" hidden="1">
      <c r="A902" s="38" t="str">
        <f t="shared" si="1"/>
        <v/>
      </c>
      <c r="B902" s="38" t="str">
        <f>IF(F902="","",SUMIF(Prearmados!E:E,F902,Prearmados!A:A))</f>
        <v/>
      </c>
      <c r="C902" s="38" t="str">
        <f>IF(F902="","",SUMIF(Productos!E:E,G902,Productos!A:A))</f>
        <v/>
      </c>
      <c r="D902" s="85" t="str">
        <f t="array" ref="D902">IF(OR(F902="",F902="Seleccionar.."),"",XLOOKUP(F902,Prearmados!E:E,Prearmados!F:F,"",0,1))</f>
        <v/>
      </c>
      <c r="E902" s="83" t="str">
        <f>IF(H902="","",SUMIF(Precio_Productos!K:K,C902,Precio_Productos!J:J)*H902)</f>
        <v/>
      </c>
      <c r="F902" s="86" t="str">
        <f t="shared" si="2"/>
        <v/>
      </c>
      <c r="G902" s="86" t="str">
        <f t="shared" si="3"/>
        <v/>
      </c>
      <c r="H902" s="15"/>
      <c r="P902" s="3" t="str">
        <f>IFERROR(__xludf.DUMMYFUNCTION("IF(OR(F902="""",F902=""Seleccionar..""),"""",TRANSPOSE(FILTER(Productos!E:E,(Productos!F:F=D902)+(Productos!F:F=XLOOKUP(D902,Implementos!B:B,Implementos!C:C,""-"",0,1)))))"),"")</f>
        <v/>
      </c>
    </row>
    <row r="903" hidden="1">
      <c r="A903" s="38" t="str">
        <f t="shared" si="1"/>
        <v/>
      </c>
      <c r="B903" s="38" t="str">
        <f>IF(F903="","",SUMIF(Prearmados!E:E,F903,Prearmados!A:A))</f>
        <v/>
      </c>
      <c r="C903" s="38" t="str">
        <f>IF(F903="","",SUMIF(Productos!E:E,G903,Productos!A:A))</f>
        <v/>
      </c>
      <c r="D903" s="85" t="str">
        <f t="array" ref="D903">IF(OR(F903="",F903="Seleccionar.."),"",XLOOKUP(F903,Prearmados!E:E,Prearmados!F:F,"",0,1))</f>
        <v/>
      </c>
      <c r="E903" s="83" t="str">
        <f>IF(H903="","",SUMIF(Precio_Productos!K:K,C903,Precio_Productos!J:J)*H903)</f>
        <v/>
      </c>
      <c r="F903" s="86" t="str">
        <f t="shared" si="2"/>
        <v/>
      </c>
      <c r="G903" s="86" t="str">
        <f t="shared" si="3"/>
        <v/>
      </c>
      <c r="H903" s="15"/>
      <c r="P903" s="3" t="str">
        <f>IFERROR(__xludf.DUMMYFUNCTION("IF(OR(F903="""",F903=""Seleccionar..""),"""",TRANSPOSE(FILTER(Productos!E:E,(Productos!F:F=D903)+(Productos!F:F=XLOOKUP(D903,Implementos!B:B,Implementos!C:C,""-"",0,1)))))"),"")</f>
        <v/>
      </c>
    </row>
    <row r="904" hidden="1">
      <c r="A904" s="38" t="str">
        <f t="shared" si="1"/>
        <v/>
      </c>
      <c r="B904" s="38" t="str">
        <f>IF(F904="","",SUMIF(Prearmados!E:E,F904,Prearmados!A:A))</f>
        <v/>
      </c>
      <c r="C904" s="38" t="str">
        <f>IF(F904="","",SUMIF(Productos!E:E,G904,Productos!A:A))</f>
        <v/>
      </c>
      <c r="D904" s="85" t="str">
        <f t="array" ref="D904">IF(OR(F904="",F904="Seleccionar.."),"",XLOOKUP(F904,Prearmados!E:E,Prearmados!F:F,"",0,1))</f>
        <v/>
      </c>
      <c r="E904" s="83" t="str">
        <f>IF(H904="","",SUMIF(Precio_Productos!K:K,C904,Precio_Productos!J:J)*H904)</f>
        <v/>
      </c>
      <c r="F904" s="86" t="str">
        <f t="shared" si="2"/>
        <v/>
      </c>
      <c r="G904" s="86" t="str">
        <f t="shared" si="3"/>
        <v/>
      </c>
      <c r="H904" s="15"/>
      <c r="P904" s="3" t="str">
        <f>IFERROR(__xludf.DUMMYFUNCTION("IF(OR(F904="""",F904=""Seleccionar..""),"""",TRANSPOSE(FILTER(Productos!E:E,(Productos!F:F=D904)+(Productos!F:F=XLOOKUP(D904,Implementos!B:B,Implementos!C:C,""-"",0,1)))))"),"")</f>
        <v/>
      </c>
    </row>
    <row r="905" hidden="1">
      <c r="A905" s="38" t="str">
        <f t="shared" si="1"/>
        <v/>
      </c>
      <c r="B905" s="38" t="str">
        <f>IF(F905="","",SUMIF(Prearmados!E:E,F905,Prearmados!A:A))</f>
        <v/>
      </c>
      <c r="C905" s="38" t="str">
        <f>IF(F905="","",SUMIF(Productos!E:E,G905,Productos!A:A))</f>
        <v/>
      </c>
      <c r="D905" s="85" t="str">
        <f t="array" ref="D905">IF(OR(F905="",F905="Seleccionar.."),"",XLOOKUP(F905,Prearmados!E:E,Prearmados!F:F,"",0,1))</f>
        <v/>
      </c>
      <c r="E905" s="83" t="str">
        <f>IF(H905="","",SUMIF(Precio_Productos!K:K,C905,Precio_Productos!J:J)*H905)</f>
        <v/>
      </c>
      <c r="F905" s="86" t="str">
        <f t="shared" si="2"/>
        <v/>
      </c>
      <c r="G905" s="86" t="str">
        <f t="shared" si="3"/>
        <v/>
      </c>
      <c r="H905" s="15"/>
      <c r="P905" s="3" t="str">
        <f>IFERROR(__xludf.DUMMYFUNCTION("IF(OR(F905="""",F905=""Seleccionar..""),"""",TRANSPOSE(FILTER(Productos!E:E,(Productos!F:F=D905)+(Productos!F:F=XLOOKUP(D905,Implementos!B:B,Implementos!C:C,""-"",0,1)))))"),"")</f>
        <v/>
      </c>
    </row>
    <row r="906" hidden="1">
      <c r="A906" s="38" t="str">
        <f t="shared" si="1"/>
        <v/>
      </c>
      <c r="B906" s="38" t="str">
        <f>IF(F906="","",SUMIF(Prearmados!E:E,F906,Prearmados!A:A))</f>
        <v/>
      </c>
      <c r="C906" s="38" t="str">
        <f>IF(F906="","",SUMIF(Productos!E:E,G906,Productos!A:A))</f>
        <v/>
      </c>
      <c r="D906" s="85" t="str">
        <f t="array" ref="D906">IF(OR(F906="",F906="Seleccionar.."),"",XLOOKUP(F906,Prearmados!E:E,Prearmados!F:F,"",0,1))</f>
        <v/>
      </c>
      <c r="E906" s="83" t="str">
        <f>IF(H906="","",SUMIF(Precio_Productos!K:K,C906,Precio_Productos!J:J)*H906)</f>
        <v/>
      </c>
      <c r="F906" s="86" t="str">
        <f t="shared" si="2"/>
        <v/>
      </c>
      <c r="G906" s="86" t="str">
        <f t="shared" si="3"/>
        <v/>
      </c>
      <c r="H906" s="15"/>
      <c r="P906" s="3" t="str">
        <f>IFERROR(__xludf.DUMMYFUNCTION("IF(OR(F906="""",F906=""Seleccionar..""),"""",TRANSPOSE(FILTER(Productos!E:E,(Productos!F:F=D906)+(Productos!F:F=XLOOKUP(D906,Implementos!B:B,Implementos!C:C,""-"",0,1)))))"),"")</f>
        <v/>
      </c>
    </row>
    <row r="907" hidden="1">
      <c r="A907" s="38" t="str">
        <f t="shared" si="1"/>
        <v/>
      </c>
      <c r="B907" s="38" t="str">
        <f>IF(F907="","",SUMIF(Prearmados!E:E,F907,Prearmados!A:A))</f>
        <v/>
      </c>
      <c r="C907" s="38" t="str">
        <f>IF(F907="","",SUMIF(Productos!E:E,G907,Productos!A:A))</f>
        <v/>
      </c>
      <c r="D907" s="85" t="str">
        <f t="array" ref="D907">IF(OR(F907="",F907="Seleccionar.."),"",XLOOKUP(F907,Prearmados!E:E,Prearmados!F:F,"",0,1))</f>
        <v/>
      </c>
      <c r="E907" s="83" t="str">
        <f>IF(H907="","",SUMIF(Precio_Productos!K:K,C907,Precio_Productos!J:J)*H907)</f>
        <v/>
      </c>
      <c r="F907" s="86" t="str">
        <f t="shared" si="2"/>
        <v/>
      </c>
      <c r="G907" s="86" t="str">
        <f t="shared" si="3"/>
        <v/>
      </c>
      <c r="H907" s="15"/>
      <c r="P907" s="3" t="str">
        <f>IFERROR(__xludf.DUMMYFUNCTION("IF(OR(F907="""",F907=""Seleccionar..""),"""",TRANSPOSE(FILTER(Productos!E:E,(Productos!F:F=D907)+(Productos!F:F=XLOOKUP(D907,Implementos!B:B,Implementos!C:C,""-"",0,1)))))"),"")</f>
        <v/>
      </c>
    </row>
    <row r="908" hidden="1">
      <c r="A908" s="38" t="str">
        <f t="shared" si="1"/>
        <v/>
      </c>
      <c r="B908" s="38" t="str">
        <f>IF(F908="","",SUMIF(Prearmados!E:E,F908,Prearmados!A:A))</f>
        <v/>
      </c>
      <c r="C908" s="38" t="str">
        <f>IF(F908="","",SUMIF(Productos!E:E,G908,Productos!A:A))</f>
        <v/>
      </c>
      <c r="D908" s="85" t="str">
        <f t="array" ref="D908">IF(OR(F908="",F908="Seleccionar.."),"",XLOOKUP(F908,Prearmados!E:E,Prearmados!F:F,"",0,1))</f>
        <v/>
      </c>
      <c r="E908" s="83" t="str">
        <f>IF(H908="","",SUMIF(Precio_Productos!K:K,C908,Precio_Productos!J:J)*H908)</f>
        <v/>
      </c>
      <c r="F908" s="86" t="str">
        <f t="shared" si="2"/>
        <v/>
      </c>
      <c r="G908" s="86" t="str">
        <f t="shared" si="3"/>
        <v/>
      </c>
      <c r="H908" s="15"/>
      <c r="P908" s="3" t="str">
        <f>IFERROR(__xludf.DUMMYFUNCTION("IF(OR(F908="""",F908=""Seleccionar..""),"""",TRANSPOSE(FILTER(Productos!E:E,(Productos!F:F=D908)+(Productos!F:F=XLOOKUP(D908,Implementos!B:B,Implementos!C:C,""-"",0,1)))))"),"")</f>
        <v/>
      </c>
    </row>
    <row r="909" hidden="1">
      <c r="A909" s="38" t="str">
        <f t="shared" si="1"/>
        <v/>
      </c>
      <c r="B909" s="38" t="str">
        <f>IF(F909="","",SUMIF(Prearmados!E:E,F909,Prearmados!A:A))</f>
        <v/>
      </c>
      <c r="C909" s="38" t="str">
        <f>IF(F909="","",SUMIF(Productos!E:E,G909,Productos!A:A))</f>
        <v/>
      </c>
      <c r="D909" s="85" t="str">
        <f t="array" ref="D909">IF(OR(F909="",F909="Seleccionar.."),"",XLOOKUP(F909,Prearmados!E:E,Prearmados!F:F,"",0,1))</f>
        <v/>
      </c>
      <c r="E909" s="83" t="str">
        <f>IF(H909="","",SUMIF(Precio_Productos!K:K,C909,Precio_Productos!J:J)*H909)</f>
        <v/>
      </c>
      <c r="F909" s="86" t="str">
        <f t="shared" si="2"/>
        <v/>
      </c>
      <c r="G909" s="86" t="str">
        <f t="shared" si="3"/>
        <v/>
      </c>
      <c r="H909" s="15"/>
      <c r="P909" s="3" t="str">
        <f>IFERROR(__xludf.DUMMYFUNCTION("IF(OR(F909="""",F909=""Seleccionar..""),"""",TRANSPOSE(FILTER(Productos!E:E,(Productos!F:F=D909)+(Productos!F:F=XLOOKUP(D909,Implementos!B:B,Implementos!C:C,""-"",0,1)))))"),"")</f>
        <v/>
      </c>
    </row>
    <row r="910" hidden="1">
      <c r="A910" s="38" t="str">
        <f t="shared" si="1"/>
        <v/>
      </c>
      <c r="B910" s="38" t="str">
        <f>IF(F910="","",SUMIF(Prearmados!E:E,F910,Prearmados!A:A))</f>
        <v/>
      </c>
      <c r="C910" s="38" t="str">
        <f>IF(F910="","",SUMIF(Productos!E:E,G910,Productos!A:A))</f>
        <v/>
      </c>
      <c r="D910" s="85" t="str">
        <f t="array" ref="D910">IF(OR(F910="",F910="Seleccionar.."),"",XLOOKUP(F910,Prearmados!E:E,Prearmados!F:F,"",0,1))</f>
        <v/>
      </c>
      <c r="E910" s="83" t="str">
        <f>IF(H910="","",SUMIF(Precio_Productos!K:K,C910,Precio_Productos!J:J)*H910)</f>
        <v/>
      </c>
      <c r="F910" s="86" t="str">
        <f t="shared" si="2"/>
        <v/>
      </c>
      <c r="G910" s="86" t="str">
        <f t="shared" si="3"/>
        <v/>
      </c>
      <c r="H910" s="15"/>
      <c r="P910" s="3" t="str">
        <f>IFERROR(__xludf.DUMMYFUNCTION("IF(OR(F910="""",F910=""Seleccionar..""),"""",TRANSPOSE(FILTER(Productos!E:E,(Productos!F:F=D910)+(Productos!F:F=XLOOKUP(D910,Implementos!B:B,Implementos!C:C,""-"",0,1)))))"),"")</f>
        <v/>
      </c>
    </row>
    <row r="911" hidden="1">
      <c r="A911" s="38" t="str">
        <f t="shared" si="1"/>
        <v/>
      </c>
      <c r="B911" s="38" t="str">
        <f>IF(F911="","",SUMIF(Prearmados!E:E,F911,Prearmados!A:A))</f>
        <v/>
      </c>
      <c r="C911" s="38" t="str">
        <f>IF(F911="","",SUMIF(Productos!E:E,G911,Productos!A:A))</f>
        <v/>
      </c>
      <c r="D911" s="85" t="str">
        <f t="array" ref="D911">IF(OR(F911="",F911="Seleccionar.."),"",XLOOKUP(F911,Prearmados!E:E,Prearmados!F:F,"",0,1))</f>
        <v/>
      </c>
      <c r="E911" s="83" t="str">
        <f>IF(H911="","",SUMIF(Precio_Productos!K:K,C911,Precio_Productos!J:J)*H911)</f>
        <v/>
      </c>
      <c r="F911" s="86" t="str">
        <f t="shared" si="2"/>
        <v/>
      </c>
      <c r="G911" s="86" t="str">
        <f t="shared" si="3"/>
        <v/>
      </c>
      <c r="H911" s="15"/>
      <c r="P911" s="3" t="str">
        <f>IFERROR(__xludf.DUMMYFUNCTION("IF(OR(F911="""",F911=""Seleccionar..""),"""",TRANSPOSE(FILTER(Productos!E:E,(Productos!F:F=D911)+(Productos!F:F=XLOOKUP(D911,Implementos!B:B,Implementos!C:C,""-"",0,1)))))"),"")</f>
        <v/>
      </c>
    </row>
    <row r="912" hidden="1">
      <c r="A912" s="38" t="str">
        <f t="shared" si="1"/>
        <v/>
      </c>
      <c r="B912" s="38" t="str">
        <f>IF(F912="","",SUMIF(Prearmados!E:E,F912,Prearmados!A:A))</f>
        <v/>
      </c>
      <c r="C912" s="38" t="str">
        <f>IF(F912="","",SUMIF(Productos!E:E,G912,Productos!A:A))</f>
        <v/>
      </c>
      <c r="D912" s="85" t="str">
        <f t="array" ref="D912">IF(OR(F912="",F912="Seleccionar.."),"",XLOOKUP(F912,Prearmados!E:E,Prearmados!F:F,"",0,1))</f>
        <v/>
      </c>
      <c r="E912" s="83" t="str">
        <f>IF(H912="","",SUMIF(Precio_Productos!K:K,C912,Precio_Productos!J:J)*H912)</f>
        <v/>
      </c>
      <c r="F912" s="86" t="str">
        <f t="shared" si="2"/>
        <v/>
      </c>
      <c r="G912" s="86" t="str">
        <f t="shared" si="3"/>
        <v/>
      </c>
      <c r="H912" s="15"/>
      <c r="P912" s="3" t="str">
        <f>IFERROR(__xludf.DUMMYFUNCTION("IF(OR(F912="""",F912=""Seleccionar..""),"""",TRANSPOSE(FILTER(Productos!E:E,(Productos!F:F=D912)+(Productos!F:F=XLOOKUP(D912,Implementos!B:B,Implementos!C:C,""-"",0,1)))))"),"")</f>
        <v/>
      </c>
    </row>
    <row r="913" hidden="1">
      <c r="A913" s="38" t="str">
        <f t="shared" si="1"/>
        <v/>
      </c>
      <c r="B913" s="38" t="str">
        <f>IF(F913="","",SUMIF(Prearmados!E:E,F913,Prearmados!A:A))</f>
        <v/>
      </c>
      <c r="C913" s="38" t="str">
        <f>IF(F913="","",SUMIF(Productos!E:E,G913,Productos!A:A))</f>
        <v/>
      </c>
      <c r="D913" s="85" t="str">
        <f t="array" ref="D913">IF(OR(F913="",F913="Seleccionar.."),"",XLOOKUP(F913,Prearmados!E:E,Prearmados!F:F,"",0,1))</f>
        <v/>
      </c>
      <c r="E913" s="83" t="str">
        <f>IF(H913="","",SUMIF(Precio_Productos!K:K,C913,Precio_Productos!J:J)*H913)</f>
        <v/>
      </c>
      <c r="F913" s="86" t="str">
        <f t="shared" si="2"/>
        <v/>
      </c>
      <c r="G913" s="86" t="str">
        <f t="shared" si="3"/>
        <v/>
      </c>
      <c r="H913" s="15"/>
      <c r="P913" s="3" t="str">
        <f>IFERROR(__xludf.DUMMYFUNCTION("IF(OR(F913="""",F913=""Seleccionar..""),"""",TRANSPOSE(FILTER(Productos!E:E,(Productos!F:F=D913)+(Productos!F:F=XLOOKUP(D913,Implementos!B:B,Implementos!C:C,""-"",0,1)))))"),"")</f>
        <v/>
      </c>
    </row>
    <row r="914" hidden="1">
      <c r="A914" s="38" t="str">
        <f t="shared" si="1"/>
        <v/>
      </c>
      <c r="B914" s="38" t="str">
        <f>IF(F914="","",SUMIF(Prearmados!E:E,F914,Prearmados!A:A))</f>
        <v/>
      </c>
      <c r="C914" s="38" t="str">
        <f>IF(F914="","",SUMIF(Productos!E:E,G914,Productos!A:A))</f>
        <v/>
      </c>
      <c r="D914" s="85" t="str">
        <f t="array" ref="D914">IF(OR(F914="",F914="Seleccionar.."),"",XLOOKUP(F914,Prearmados!E:E,Prearmados!F:F,"",0,1))</f>
        <v/>
      </c>
      <c r="E914" s="83" t="str">
        <f>IF(H914="","",SUMIF(Precio_Productos!K:K,C914,Precio_Productos!J:J)*H914)</f>
        <v/>
      </c>
      <c r="F914" s="86" t="str">
        <f t="shared" si="2"/>
        <v/>
      </c>
      <c r="G914" s="86" t="str">
        <f t="shared" si="3"/>
        <v/>
      </c>
      <c r="H914" s="15"/>
      <c r="P914" s="3" t="str">
        <f>IFERROR(__xludf.DUMMYFUNCTION("IF(OR(F914="""",F914=""Seleccionar..""),"""",TRANSPOSE(FILTER(Productos!E:E,(Productos!F:F=D914)+(Productos!F:F=XLOOKUP(D914,Implementos!B:B,Implementos!C:C,""-"",0,1)))))"),"")</f>
        <v/>
      </c>
    </row>
    <row r="915" hidden="1">
      <c r="A915" s="38" t="str">
        <f t="shared" si="1"/>
        <v/>
      </c>
      <c r="B915" s="38" t="str">
        <f>IF(F915="","",SUMIF(Prearmados!E:E,F915,Prearmados!A:A))</f>
        <v/>
      </c>
      <c r="C915" s="38" t="str">
        <f>IF(F915="","",SUMIF(Productos!E:E,G915,Productos!A:A))</f>
        <v/>
      </c>
      <c r="D915" s="85" t="str">
        <f t="array" ref="D915">IF(OR(F915="",F915="Seleccionar.."),"",XLOOKUP(F915,Prearmados!E:E,Prearmados!F:F,"",0,1))</f>
        <v/>
      </c>
      <c r="E915" s="83" t="str">
        <f>IF(H915="","",SUMIF(Precio_Productos!K:K,C915,Precio_Productos!J:J)*H915)</f>
        <v/>
      </c>
      <c r="F915" s="86" t="str">
        <f t="shared" si="2"/>
        <v/>
      </c>
      <c r="G915" s="86" t="str">
        <f t="shared" si="3"/>
        <v/>
      </c>
      <c r="H915" s="15"/>
      <c r="P915" s="3" t="str">
        <f>IFERROR(__xludf.DUMMYFUNCTION("IF(OR(F915="""",F915=""Seleccionar..""),"""",TRANSPOSE(FILTER(Productos!E:E,(Productos!F:F=D915)+(Productos!F:F=XLOOKUP(D915,Implementos!B:B,Implementos!C:C,""-"",0,1)))))"),"")</f>
        <v/>
      </c>
    </row>
    <row r="916" hidden="1">
      <c r="A916" s="38" t="str">
        <f t="shared" si="1"/>
        <v/>
      </c>
      <c r="B916" s="38" t="str">
        <f>IF(F916="","",SUMIF(Prearmados!E:E,F916,Prearmados!A:A))</f>
        <v/>
      </c>
      <c r="C916" s="38" t="str">
        <f>IF(F916="","",SUMIF(Productos!E:E,G916,Productos!A:A))</f>
        <v/>
      </c>
      <c r="D916" s="85" t="str">
        <f t="array" ref="D916">IF(OR(F916="",F916="Seleccionar.."),"",XLOOKUP(F916,Prearmados!E:E,Prearmados!F:F,"",0,1))</f>
        <v/>
      </c>
      <c r="E916" s="83" t="str">
        <f>IF(H916="","",SUMIF(Precio_Productos!K:K,C916,Precio_Productos!J:J)*H916)</f>
        <v/>
      </c>
      <c r="F916" s="86" t="str">
        <f t="shared" si="2"/>
        <v/>
      </c>
      <c r="G916" s="86" t="str">
        <f t="shared" si="3"/>
        <v/>
      </c>
      <c r="H916" s="15"/>
      <c r="P916" s="3" t="str">
        <f>IFERROR(__xludf.DUMMYFUNCTION("IF(OR(F916="""",F916=""Seleccionar..""),"""",TRANSPOSE(FILTER(Productos!E:E,(Productos!F:F=D916)+(Productos!F:F=XLOOKUP(D916,Implementos!B:B,Implementos!C:C,""-"",0,1)))))"),"")</f>
        <v/>
      </c>
    </row>
    <row r="917" hidden="1">
      <c r="A917" s="38" t="str">
        <f t="shared" si="1"/>
        <v/>
      </c>
      <c r="B917" s="38" t="str">
        <f>IF(F917="","",SUMIF(Prearmados!E:E,F917,Prearmados!A:A))</f>
        <v/>
      </c>
      <c r="C917" s="38" t="str">
        <f>IF(F917="","",SUMIF(Productos!E:E,G917,Productos!A:A))</f>
        <v/>
      </c>
      <c r="D917" s="85" t="str">
        <f t="array" ref="D917">IF(OR(F917="",F917="Seleccionar.."),"",XLOOKUP(F917,Prearmados!E:E,Prearmados!F:F,"",0,1))</f>
        <v/>
      </c>
      <c r="E917" s="83" t="str">
        <f>IF(H917="","",SUMIF(Precio_Productos!K:K,C917,Precio_Productos!J:J)*H917)</f>
        <v/>
      </c>
      <c r="F917" s="86" t="str">
        <f t="shared" si="2"/>
        <v/>
      </c>
      <c r="G917" s="86" t="str">
        <f t="shared" si="3"/>
        <v/>
      </c>
      <c r="H917" s="15"/>
      <c r="P917" s="3" t="str">
        <f>IFERROR(__xludf.DUMMYFUNCTION("IF(OR(F917="""",F917=""Seleccionar..""),"""",TRANSPOSE(FILTER(Productos!E:E,(Productos!F:F=D917)+(Productos!F:F=XLOOKUP(D917,Implementos!B:B,Implementos!C:C,""-"",0,1)))))"),"")</f>
        <v/>
      </c>
    </row>
    <row r="918" hidden="1">
      <c r="A918" s="38" t="str">
        <f t="shared" si="1"/>
        <v/>
      </c>
      <c r="B918" s="38" t="str">
        <f>IF(F918="","",SUMIF(Prearmados!E:E,F918,Prearmados!A:A))</f>
        <v/>
      </c>
      <c r="C918" s="38" t="str">
        <f>IF(F918="","",SUMIF(Productos!E:E,G918,Productos!A:A))</f>
        <v/>
      </c>
      <c r="D918" s="85" t="str">
        <f t="array" ref="D918">IF(OR(F918="",F918="Seleccionar.."),"",XLOOKUP(F918,Prearmados!E:E,Prearmados!F:F,"",0,1))</f>
        <v/>
      </c>
      <c r="E918" s="83" t="str">
        <f>IF(H918="","",SUMIF(Precio_Productos!K:K,C918,Precio_Productos!J:J)*H918)</f>
        <v/>
      </c>
      <c r="F918" s="86" t="str">
        <f t="shared" si="2"/>
        <v/>
      </c>
      <c r="G918" s="86" t="str">
        <f t="shared" si="3"/>
        <v/>
      </c>
      <c r="H918" s="15"/>
      <c r="P918" s="3" t="str">
        <f>IFERROR(__xludf.DUMMYFUNCTION("IF(OR(F918="""",F918=""Seleccionar..""),"""",TRANSPOSE(FILTER(Productos!E:E,(Productos!F:F=D918)+(Productos!F:F=XLOOKUP(D918,Implementos!B:B,Implementos!C:C,""-"",0,1)))))"),"")</f>
        <v/>
      </c>
    </row>
    <row r="919" hidden="1">
      <c r="A919" s="38" t="str">
        <f t="shared" si="1"/>
        <v/>
      </c>
      <c r="B919" s="38" t="str">
        <f>IF(F919="","",SUMIF(Prearmados!E:E,F919,Prearmados!A:A))</f>
        <v/>
      </c>
      <c r="C919" s="38" t="str">
        <f>IF(F919="","",SUMIF(Productos!E:E,G919,Productos!A:A))</f>
        <v/>
      </c>
      <c r="D919" s="85" t="str">
        <f t="array" ref="D919">IF(OR(F919="",F919="Seleccionar.."),"",XLOOKUP(F919,Prearmados!E:E,Prearmados!F:F,"",0,1))</f>
        <v/>
      </c>
      <c r="E919" s="83" t="str">
        <f>IF(H919="","",SUMIF(Precio_Productos!K:K,C919,Precio_Productos!J:J)*H919)</f>
        <v/>
      </c>
      <c r="F919" s="86" t="str">
        <f t="shared" si="2"/>
        <v/>
      </c>
      <c r="G919" s="86" t="str">
        <f t="shared" si="3"/>
        <v/>
      </c>
      <c r="H919" s="15"/>
      <c r="P919" s="3" t="str">
        <f>IFERROR(__xludf.DUMMYFUNCTION("IF(OR(F919="""",F919=""Seleccionar..""),"""",TRANSPOSE(FILTER(Productos!E:E,(Productos!F:F=D919)+(Productos!F:F=XLOOKUP(D919,Implementos!B:B,Implementos!C:C,""-"",0,1)))))"),"")</f>
        <v/>
      </c>
    </row>
    <row r="920" hidden="1">
      <c r="A920" s="38" t="str">
        <f t="shared" si="1"/>
        <v/>
      </c>
      <c r="B920" s="38" t="str">
        <f>IF(F920="","",SUMIF(Prearmados!E:E,F920,Prearmados!A:A))</f>
        <v/>
      </c>
      <c r="C920" s="38" t="str">
        <f>IF(F920="","",SUMIF(Productos!E:E,G920,Productos!A:A))</f>
        <v/>
      </c>
      <c r="D920" s="85" t="str">
        <f t="array" ref="D920">IF(OR(F920="",F920="Seleccionar.."),"",XLOOKUP(F920,Prearmados!E:E,Prearmados!F:F,"",0,1))</f>
        <v/>
      </c>
      <c r="E920" s="83" t="str">
        <f>IF(H920="","",SUMIF(Precio_Productos!K:K,C920,Precio_Productos!J:J)*H920)</f>
        <v/>
      </c>
      <c r="F920" s="86" t="str">
        <f t="shared" si="2"/>
        <v/>
      </c>
      <c r="G920" s="86" t="str">
        <f t="shared" si="3"/>
        <v/>
      </c>
      <c r="H920" s="15"/>
      <c r="P920" s="3" t="str">
        <f>IFERROR(__xludf.DUMMYFUNCTION("IF(OR(F920="""",F920=""Seleccionar..""),"""",TRANSPOSE(FILTER(Productos!E:E,(Productos!F:F=D920)+(Productos!F:F=XLOOKUP(D920,Implementos!B:B,Implementos!C:C,""-"",0,1)))))"),"")</f>
        <v/>
      </c>
    </row>
    <row r="921" hidden="1">
      <c r="A921" s="38" t="str">
        <f t="shared" si="1"/>
        <v/>
      </c>
      <c r="B921" s="38" t="str">
        <f>IF(F921="","",SUMIF(Prearmados!E:E,F921,Prearmados!A:A))</f>
        <v/>
      </c>
      <c r="C921" s="38" t="str">
        <f>IF(F921="","",SUMIF(Productos!E:E,G921,Productos!A:A))</f>
        <v/>
      </c>
      <c r="D921" s="85" t="str">
        <f t="array" ref="D921">IF(OR(F921="",F921="Seleccionar.."),"",XLOOKUP(F921,Prearmados!E:E,Prearmados!F:F,"",0,1))</f>
        <v/>
      </c>
      <c r="E921" s="83" t="str">
        <f>IF(H921="","",SUMIF(Precio_Productos!K:K,C921,Precio_Productos!J:J)*H921)</f>
        <v/>
      </c>
      <c r="F921" s="86" t="str">
        <f t="shared" si="2"/>
        <v/>
      </c>
      <c r="G921" s="86" t="str">
        <f t="shared" si="3"/>
        <v/>
      </c>
      <c r="H921" s="15"/>
      <c r="P921" s="3" t="str">
        <f>IFERROR(__xludf.DUMMYFUNCTION("IF(OR(F921="""",F921=""Seleccionar..""),"""",TRANSPOSE(FILTER(Productos!E:E,(Productos!F:F=D921)+(Productos!F:F=XLOOKUP(D921,Implementos!B:B,Implementos!C:C,""-"",0,1)))))"),"")</f>
        <v/>
      </c>
    </row>
    <row r="922" hidden="1">
      <c r="A922" s="38" t="str">
        <f t="shared" si="1"/>
        <v/>
      </c>
      <c r="B922" s="38" t="str">
        <f>IF(F922="","",SUMIF(Prearmados!E:E,F922,Prearmados!A:A))</f>
        <v/>
      </c>
      <c r="C922" s="38" t="str">
        <f>IF(F922="","",SUMIF(Productos!E:E,G922,Productos!A:A))</f>
        <v/>
      </c>
      <c r="D922" s="85" t="str">
        <f t="array" ref="D922">IF(OR(F922="",F922="Seleccionar.."),"",XLOOKUP(F922,Prearmados!E:E,Prearmados!F:F,"",0,1))</f>
        <v/>
      </c>
      <c r="E922" s="83" t="str">
        <f>IF(H922="","",SUMIF(Precio_Productos!K:K,C922,Precio_Productos!J:J)*H922)</f>
        <v/>
      </c>
      <c r="F922" s="86" t="str">
        <f t="shared" si="2"/>
        <v/>
      </c>
      <c r="G922" s="86" t="str">
        <f t="shared" si="3"/>
        <v/>
      </c>
      <c r="H922" s="15"/>
      <c r="P922" s="3" t="str">
        <f>IFERROR(__xludf.DUMMYFUNCTION("IF(OR(F922="""",F922=""Seleccionar..""),"""",TRANSPOSE(FILTER(Productos!E:E,(Productos!F:F=D922)+(Productos!F:F=XLOOKUP(D922,Implementos!B:B,Implementos!C:C,""-"",0,1)))))"),"")</f>
        <v/>
      </c>
    </row>
    <row r="923" hidden="1">
      <c r="A923" s="38" t="str">
        <f t="shared" si="1"/>
        <v/>
      </c>
      <c r="B923" s="38" t="str">
        <f>IF(F923="","",SUMIF(Prearmados!E:E,F923,Prearmados!A:A))</f>
        <v/>
      </c>
      <c r="C923" s="38" t="str">
        <f>IF(F923="","",SUMIF(Productos!E:E,G923,Productos!A:A))</f>
        <v/>
      </c>
      <c r="D923" s="85" t="str">
        <f t="array" ref="D923">IF(OR(F923="",F923="Seleccionar.."),"",XLOOKUP(F923,Prearmados!E:E,Prearmados!F:F,"",0,1))</f>
        <v/>
      </c>
      <c r="E923" s="83" t="str">
        <f>IF(H923="","",SUMIF(Precio_Productos!K:K,C923,Precio_Productos!J:J)*H923)</f>
        <v/>
      </c>
      <c r="F923" s="86" t="str">
        <f t="shared" si="2"/>
        <v/>
      </c>
      <c r="G923" s="86" t="str">
        <f t="shared" si="3"/>
        <v/>
      </c>
      <c r="H923" s="15"/>
      <c r="P923" s="3" t="str">
        <f>IFERROR(__xludf.DUMMYFUNCTION("IF(OR(F923="""",F923=""Seleccionar..""),"""",TRANSPOSE(FILTER(Productos!E:E,(Productos!F:F=D923)+(Productos!F:F=XLOOKUP(D923,Implementos!B:B,Implementos!C:C,""-"",0,1)))))"),"")</f>
        <v/>
      </c>
    </row>
    <row r="924" hidden="1">
      <c r="A924" s="38" t="str">
        <f t="shared" si="1"/>
        <v/>
      </c>
      <c r="B924" s="38" t="str">
        <f>IF(F924="","",SUMIF(Prearmados!E:E,F924,Prearmados!A:A))</f>
        <v/>
      </c>
      <c r="C924" s="38" t="str">
        <f>IF(F924="","",SUMIF(Productos!E:E,G924,Productos!A:A))</f>
        <v/>
      </c>
      <c r="D924" s="85" t="str">
        <f t="array" ref="D924">IF(OR(F924="",F924="Seleccionar.."),"",XLOOKUP(F924,Prearmados!E:E,Prearmados!F:F,"",0,1))</f>
        <v/>
      </c>
      <c r="E924" s="83" t="str">
        <f>IF(H924="","",SUMIF(Precio_Productos!K:K,C924,Precio_Productos!J:J)*H924)</f>
        <v/>
      </c>
      <c r="F924" s="86" t="str">
        <f t="shared" si="2"/>
        <v/>
      </c>
      <c r="G924" s="86" t="str">
        <f t="shared" si="3"/>
        <v/>
      </c>
      <c r="H924" s="15"/>
      <c r="P924" s="3" t="str">
        <f>IFERROR(__xludf.DUMMYFUNCTION("IF(OR(F924="""",F924=""Seleccionar..""),"""",TRANSPOSE(FILTER(Productos!E:E,(Productos!F:F=D924)+(Productos!F:F=XLOOKUP(D924,Implementos!B:B,Implementos!C:C,""-"",0,1)))))"),"")</f>
        <v/>
      </c>
    </row>
    <row r="925" hidden="1">
      <c r="A925" s="38" t="str">
        <f t="shared" si="1"/>
        <v/>
      </c>
      <c r="B925" s="38" t="str">
        <f>IF(F925="","",SUMIF(Prearmados!E:E,F925,Prearmados!A:A))</f>
        <v/>
      </c>
      <c r="C925" s="38" t="str">
        <f>IF(F925="","",SUMIF(Productos!E:E,G925,Productos!A:A))</f>
        <v/>
      </c>
      <c r="D925" s="85" t="str">
        <f t="array" ref="D925">IF(OR(F925="",F925="Seleccionar.."),"",XLOOKUP(F925,Prearmados!E:E,Prearmados!F:F,"",0,1))</f>
        <v/>
      </c>
      <c r="E925" s="83" t="str">
        <f>IF(H925="","",SUMIF(Precio_Productos!K:K,C925,Precio_Productos!J:J)*H925)</f>
        <v/>
      </c>
      <c r="F925" s="86" t="str">
        <f t="shared" si="2"/>
        <v/>
      </c>
      <c r="G925" s="86" t="str">
        <f t="shared" si="3"/>
        <v/>
      </c>
      <c r="H925" s="15"/>
      <c r="P925" s="3" t="str">
        <f>IFERROR(__xludf.DUMMYFUNCTION("IF(OR(F925="""",F925=""Seleccionar..""),"""",TRANSPOSE(FILTER(Productos!E:E,(Productos!F:F=D925)+(Productos!F:F=XLOOKUP(D925,Implementos!B:B,Implementos!C:C,""-"",0,1)))))"),"")</f>
        <v/>
      </c>
    </row>
    <row r="926" hidden="1">
      <c r="A926" s="38" t="str">
        <f t="shared" si="1"/>
        <v/>
      </c>
      <c r="B926" s="38" t="str">
        <f>IF(F926="","",SUMIF(Prearmados!E:E,F926,Prearmados!A:A))</f>
        <v/>
      </c>
      <c r="C926" s="38" t="str">
        <f>IF(F926="","",SUMIF(Productos!E:E,G926,Productos!A:A))</f>
        <v/>
      </c>
      <c r="D926" s="85" t="str">
        <f t="array" ref="D926">IF(OR(F926="",F926="Seleccionar.."),"",XLOOKUP(F926,Prearmados!E:E,Prearmados!F:F,"",0,1))</f>
        <v/>
      </c>
      <c r="E926" s="83" t="str">
        <f>IF(H926="","",SUMIF(Precio_Productos!K:K,C926,Precio_Productos!J:J)*H926)</f>
        <v/>
      </c>
      <c r="F926" s="86" t="str">
        <f t="shared" si="2"/>
        <v/>
      </c>
      <c r="G926" s="86" t="str">
        <f t="shared" si="3"/>
        <v/>
      </c>
      <c r="H926" s="15"/>
      <c r="P926" s="3" t="str">
        <f>IFERROR(__xludf.DUMMYFUNCTION("IF(OR(F926="""",F926=""Seleccionar..""),"""",TRANSPOSE(FILTER(Productos!E:E,(Productos!F:F=D926)+(Productos!F:F=XLOOKUP(D926,Implementos!B:B,Implementos!C:C,""-"",0,1)))))"),"")</f>
        <v/>
      </c>
    </row>
    <row r="927" hidden="1">
      <c r="A927" s="38" t="str">
        <f t="shared" si="1"/>
        <v/>
      </c>
      <c r="B927" s="38" t="str">
        <f>IF(F927="","",SUMIF(Prearmados!E:E,F927,Prearmados!A:A))</f>
        <v/>
      </c>
      <c r="C927" s="38" t="str">
        <f>IF(F927="","",SUMIF(Productos!E:E,G927,Productos!A:A))</f>
        <v/>
      </c>
      <c r="D927" s="85" t="str">
        <f t="array" ref="D927">IF(OR(F927="",F927="Seleccionar.."),"",XLOOKUP(F927,Prearmados!E:E,Prearmados!F:F,"",0,1))</f>
        <v/>
      </c>
      <c r="E927" s="83" t="str">
        <f>IF(H927="","",SUMIF(Precio_Productos!K:K,C927,Precio_Productos!J:J)*H927)</f>
        <v/>
      </c>
      <c r="F927" s="86" t="str">
        <f t="shared" si="2"/>
        <v/>
      </c>
      <c r="G927" s="86" t="str">
        <f t="shared" si="3"/>
        <v/>
      </c>
      <c r="H927" s="15"/>
      <c r="P927" s="3" t="str">
        <f>IFERROR(__xludf.DUMMYFUNCTION("IF(OR(F927="""",F927=""Seleccionar..""),"""",TRANSPOSE(FILTER(Productos!E:E,(Productos!F:F=D927)+(Productos!F:F=XLOOKUP(D927,Implementos!B:B,Implementos!C:C,""-"",0,1)))))"),"")</f>
        <v/>
      </c>
    </row>
    <row r="928" hidden="1">
      <c r="A928" s="38" t="str">
        <f t="shared" si="1"/>
        <v/>
      </c>
      <c r="B928" s="38" t="str">
        <f>IF(F928="","",SUMIF(Prearmados!E:E,F928,Prearmados!A:A))</f>
        <v/>
      </c>
      <c r="C928" s="38" t="str">
        <f>IF(F928="","",SUMIF(Productos!E:E,G928,Productos!A:A))</f>
        <v/>
      </c>
      <c r="D928" s="85" t="str">
        <f t="array" ref="D928">IF(OR(F928="",F928="Seleccionar.."),"",XLOOKUP(F928,Prearmados!E:E,Prearmados!F:F,"",0,1))</f>
        <v/>
      </c>
      <c r="E928" s="83" t="str">
        <f>IF(H928="","",SUMIF(Precio_Productos!K:K,C928,Precio_Productos!J:J)*H928)</f>
        <v/>
      </c>
      <c r="F928" s="86" t="str">
        <f t="shared" si="2"/>
        <v/>
      </c>
      <c r="G928" s="86" t="str">
        <f t="shared" si="3"/>
        <v/>
      </c>
      <c r="H928" s="15"/>
      <c r="P928" s="3" t="str">
        <f>IFERROR(__xludf.DUMMYFUNCTION("IF(OR(F928="""",F928=""Seleccionar..""),"""",TRANSPOSE(FILTER(Productos!E:E,(Productos!F:F=D928)+(Productos!F:F=XLOOKUP(D928,Implementos!B:B,Implementos!C:C,""-"",0,1)))))"),"")</f>
        <v/>
      </c>
    </row>
    <row r="929" hidden="1">
      <c r="A929" s="38" t="str">
        <f t="shared" si="1"/>
        <v/>
      </c>
      <c r="B929" s="38" t="str">
        <f>IF(F929="","",SUMIF(Prearmados!E:E,F929,Prearmados!A:A))</f>
        <v/>
      </c>
      <c r="C929" s="38" t="str">
        <f>IF(F929="","",SUMIF(Productos!E:E,G929,Productos!A:A))</f>
        <v/>
      </c>
      <c r="D929" s="85" t="str">
        <f t="array" ref="D929">IF(OR(F929="",F929="Seleccionar.."),"",XLOOKUP(F929,Prearmados!E:E,Prearmados!F:F,"",0,1))</f>
        <v/>
      </c>
      <c r="E929" s="83" t="str">
        <f>IF(H929="","",SUMIF(Precio_Productos!K:K,C929,Precio_Productos!J:J)*H929)</f>
        <v/>
      </c>
      <c r="F929" s="86" t="str">
        <f t="shared" si="2"/>
        <v/>
      </c>
      <c r="G929" s="86" t="str">
        <f t="shared" si="3"/>
        <v/>
      </c>
      <c r="H929" s="15"/>
      <c r="P929" s="3" t="str">
        <f>IFERROR(__xludf.DUMMYFUNCTION("IF(OR(F929="""",F929=""Seleccionar..""),"""",TRANSPOSE(FILTER(Productos!E:E,(Productos!F:F=D929)+(Productos!F:F=XLOOKUP(D929,Implementos!B:B,Implementos!C:C,""-"",0,1)))))"),"")</f>
        <v/>
      </c>
    </row>
    <row r="930" hidden="1">
      <c r="A930" s="38" t="str">
        <f t="shared" si="1"/>
        <v/>
      </c>
      <c r="B930" s="38" t="str">
        <f>IF(F930="","",SUMIF(Prearmados!E:E,F930,Prearmados!A:A))</f>
        <v/>
      </c>
      <c r="C930" s="38" t="str">
        <f>IF(F930="","",SUMIF(Productos!E:E,G930,Productos!A:A))</f>
        <v/>
      </c>
      <c r="D930" s="85" t="str">
        <f t="array" ref="D930">IF(OR(F930="",F930="Seleccionar.."),"",XLOOKUP(F930,Prearmados!E:E,Prearmados!F:F,"",0,1))</f>
        <v/>
      </c>
      <c r="E930" s="83" t="str">
        <f>IF(H930="","",SUMIF(Precio_Productos!K:K,C930,Precio_Productos!J:J)*H930)</f>
        <v/>
      </c>
      <c r="F930" s="86" t="str">
        <f t="shared" si="2"/>
        <v/>
      </c>
      <c r="G930" s="86" t="str">
        <f t="shared" si="3"/>
        <v/>
      </c>
      <c r="H930" s="15"/>
      <c r="P930" s="3" t="str">
        <f>IFERROR(__xludf.DUMMYFUNCTION("IF(OR(F930="""",F930=""Seleccionar..""),"""",TRANSPOSE(FILTER(Productos!E:E,(Productos!F:F=D930)+(Productos!F:F=XLOOKUP(D930,Implementos!B:B,Implementos!C:C,""-"",0,1)))))"),"")</f>
        <v/>
      </c>
    </row>
    <row r="931" hidden="1">
      <c r="A931" s="38" t="str">
        <f t="shared" si="1"/>
        <v/>
      </c>
      <c r="B931" s="38" t="str">
        <f>IF(F931="","",SUMIF(Prearmados!E:E,F931,Prearmados!A:A))</f>
        <v/>
      </c>
      <c r="C931" s="38" t="str">
        <f>IF(F931="","",SUMIF(Productos!E:E,G931,Productos!A:A))</f>
        <v/>
      </c>
      <c r="D931" s="85" t="str">
        <f t="array" ref="D931">IF(OR(F931="",F931="Seleccionar.."),"",XLOOKUP(F931,Prearmados!E:E,Prearmados!F:F,"",0,1))</f>
        <v/>
      </c>
      <c r="E931" s="83" t="str">
        <f>IF(H931="","",SUMIF(Precio_Productos!K:K,C931,Precio_Productos!J:J)*H931)</f>
        <v/>
      </c>
      <c r="F931" s="86" t="str">
        <f t="shared" si="2"/>
        <v/>
      </c>
      <c r="G931" s="86" t="str">
        <f t="shared" si="3"/>
        <v/>
      </c>
      <c r="H931" s="15"/>
      <c r="P931" s="3" t="str">
        <f>IFERROR(__xludf.DUMMYFUNCTION("IF(OR(F931="""",F931=""Seleccionar..""),"""",TRANSPOSE(FILTER(Productos!E:E,(Productos!F:F=D931)+(Productos!F:F=XLOOKUP(D931,Implementos!B:B,Implementos!C:C,""-"",0,1)))))"),"")</f>
        <v/>
      </c>
    </row>
    <row r="932" hidden="1">
      <c r="A932" s="38" t="str">
        <f t="shared" si="1"/>
        <v/>
      </c>
      <c r="B932" s="38" t="str">
        <f>IF(F932="","",SUMIF(Prearmados!E:E,F932,Prearmados!A:A))</f>
        <v/>
      </c>
      <c r="C932" s="38" t="str">
        <f>IF(F932="","",SUMIF(Productos!E:E,G932,Productos!A:A))</f>
        <v/>
      </c>
      <c r="D932" s="85" t="str">
        <f t="array" ref="D932">IF(OR(F932="",F932="Seleccionar.."),"",XLOOKUP(F932,Prearmados!E:E,Prearmados!F:F,"",0,1))</f>
        <v/>
      </c>
      <c r="E932" s="83" t="str">
        <f>IF(H932="","",SUMIF(Precio_Productos!K:K,C932,Precio_Productos!J:J)*H932)</f>
        <v/>
      </c>
      <c r="F932" s="86" t="str">
        <f t="shared" si="2"/>
        <v/>
      </c>
      <c r="G932" s="86" t="str">
        <f t="shared" si="3"/>
        <v/>
      </c>
      <c r="H932" s="15"/>
      <c r="P932" s="3" t="str">
        <f>IFERROR(__xludf.DUMMYFUNCTION("IF(OR(F932="""",F932=""Seleccionar..""),"""",TRANSPOSE(FILTER(Productos!E:E,(Productos!F:F=D932)+(Productos!F:F=XLOOKUP(D932,Implementos!B:B,Implementos!C:C,""-"",0,1)))))"),"")</f>
        <v/>
      </c>
    </row>
    <row r="933" hidden="1">
      <c r="A933" s="38" t="str">
        <f t="shared" si="1"/>
        <v/>
      </c>
      <c r="B933" s="38" t="str">
        <f>IF(F933="","",SUMIF(Prearmados!E:E,F933,Prearmados!A:A))</f>
        <v/>
      </c>
      <c r="C933" s="38" t="str">
        <f>IF(F933="","",SUMIF(Productos!E:E,G933,Productos!A:A))</f>
        <v/>
      </c>
      <c r="D933" s="85" t="str">
        <f t="array" ref="D933">IF(OR(F933="",F933="Seleccionar.."),"",XLOOKUP(F933,Prearmados!E:E,Prearmados!F:F,"",0,1))</f>
        <v/>
      </c>
      <c r="E933" s="83" t="str">
        <f>IF(H933="","",SUMIF(Precio_Productos!K:K,C933,Precio_Productos!J:J)*H933)</f>
        <v/>
      </c>
      <c r="F933" s="86" t="str">
        <f t="shared" si="2"/>
        <v/>
      </c>
      <c r="G933" s="86" t="str">
        <f t="shared" si="3"/>
        <v/>
      </c>
      <c r="H933" s="15"/>
      <c r="P933" s="3" t="str">
        <f>IFERROR(__xludf.DUMMYFUNCTION("IF(OR(F933="""",F933=""Seleccionar..""),"""",TRANSPOSE(FILTER(Productos!E:E,(Productos!F:F=D933)+(Productos!F:F=XLOOKUP(D933,Implementos!B:B,Implementos!C:C,""-"",0,1)))))"),"")</f>
        <v/>
      </c>
    </row>
    <row r="934" hidden="1">
      <c r="A934" s="38" t="str">
        <f t="shared" si="1"/>
        <v/>
      </c>
      <c r="B934" s="38" t="str">
        <f>IF(F934="","",SUMIF(Prearmados!E:E,F934,Prearmados!A:A))</f>
        <v/>
      </c>
      <c r="C934" s="38" t="str">
        <f>IF(F934="","",SUMIF(Productos!E:E,G934,Productos!A:A))</f>
        <v/>
      </c>
      <c r="D934" s="85" t="str">
        <f t="array" ref="D934">IF(OR(F934="",F934="Seleccionar.."),"",XLOOKUP(F934,Prearmados!E:E,Prearmados!F:F,"",0,1))</f>
        <v/>
      </c>
      <c r="E934" s="83" t="str">
        <f>IF(H934="","",SUMIF(Precio_Productos!K:K,C934,Precio_Productos!J:J)*H934)</f>
        <v/>
      </c>
      <c r="F934" s="86" t="str">
        <f t="shared" si="2"/>
        <v/>
      </c>
      <c r="G934" s="86" t="str">
        <f t="shared" si="3"/>
        <v/>
      </c>
      <c r="H934" s="15"/>
      <c r="P934" s="3" t="str">
        <f>IFERROR(__xludf.DUMMYFUNCTION("IF(OR(F934="""",F934=""Seleccionar..""),"""",TRANSPOSE(FILTER(Productos!E:E,(Productos!F:F=D934)+(Productos!F:F=XLOOKUP(D934,Implementos!B:B,Implementos!C:C,""-"",0,1)))))"),"")</f>
        <v/>
      </c>
    </row>
    <row r="935" hidden="1">
      <c r="A935" s="38" t="str">
        <f t="shared" si="1"/>
        <v/>
      </c>
      <c r="B935" s="38" t="str">
        <f>IF(F935="","",SUMIF(Prearmados!E:E,F935,Prearmados!A:A))</f>
        <v/>
      </c>
      <c r="C935" s="38" t="str">
        <f>IF(F935="","",SUMIF(Productos!E:E,G935,Productos!A:A))</f>
        <v/>
      </c>
      <c r="D935" s="85" t="str">
        <f t="array" ref="D935">IF(OR(F935="",F935="Seleccionar.."),"",XLOOKUP(F935,Prearmados!E:E,Prearmados!F:F,"",0,1))</f>
        <v/>
      </c>
      <c r="E935" s="83" t="str">
        <f>IF(H935="","",SUMIF(Precio_Productos!K:K,C935,Precio_Productos!J:J)*H935)</f>
        <v/>
      </c>
      <c r="F935" s="86" t="str">
        <f t="shared" si="2"/>
        <v/>
      </c>
      <c r="G935" s="86" t="str">
        <f t="shared" si="3"/>
        <v/>
      </c>
      <c r="H935" s="15"/>
      <c r="P935" s="3" t="str">
        <f>IFERROR(__xludf.DUMMYFUNCTION("IF(OR(F935="""",F935=""Seleccionar..""),"""",TRANSPOSE(FILTER(Productos!E:E,(Productos!F:F=D935)+(Productos!F:F=XLOOKUP(D935,Implementos!B:B,Implementos!C:C,""-"",0,1)))))"),"")</f>
        <v/>
      </c>
    </row>
    <row r="936" hidden="1">
      <c r="A936" s="38" t="str">
        <f t="shared" si="1"/>
        <v/>
      </c>
      <c r="B936" s="38" t="str">
        <f>IF(F936="","",SUMIF(Prearmados!E:E,F936,Prearmados!A:A))</f>
        <v/>
      </c>
      <c r="C936" s="38" t="str">
        <f>IF(F936="","",SUMIF(Productos!E:E,G936,Productos!A:A))</f>
        <v/>
      </c>
      <c r="D936" s="85" t="str">
        <f t="array" ref="D936">IF(OR(F936="",F936="Seleccionar.."),"",XLOOKUP(F936,Prearmados!E:E,Prearmados!F:F,"",0,1))</f>
        <v/>
      </c>
      <c r="E936" s="83" t="str">
        <f>IF(H936="","",SUMIF(Precio_Productos!K:K,C936,Precio_Productos!J:J)*H936)</f>
        <v/>
      </c>
      <c r="F936" s="86" t="str">
        <f t="shared" si="2"/>
        <v/>
      </c>
      <c r="G936" s="86" t="str">
        <f t="shared" si="3"/>
        <v/>
      </c>
      <c r="H936" s="15"/>
      <c r="P936" s="3" t="str">
        <f>IFERROR(__xludf.DUMMYFUNCTION("IF(OR(F936="""",F936=""Seleccionar..""),"""",TRANSPOSE(FILTER(Productos!E:E,(Productos!F:F=D936)+(Productos!F:F=XLOOKUP(D936,Implementos!B:B,Implementos!C:C,""-"",0,1)))))"),"")</f>
        <v/>
      </c>
    </row>
    <row r="937" hidden="1">
      <c r="A937" s="38" t="str">
        <f t="shared" si="1"/>
        <v/>
      </c>
      <c r="B937" s="38" t="str">
        <f>IF(F937="","",SUMIF(Prearmados!E:E,F937,Prearmados!A:A))</f>
        <v/>
      </c>
      <c r="C937" s="38" t="str">
        <f>IF(F937="","",SUMIF(Productos!E:E,G937,Productos!A:A))</f>
        <v/>
      </c>
      <c r="D937" s="85" t="str">
        <f t="array" ref="D937">IF(OR(F937="",F937="Seleccionar.."),"",XLOOKUP(F937,Prearmados!E:E,Prearmados!F:F,"",0,1))</f>
        <v/>
      </c>
      <c r="E937" s="83" t="str">
        <f>IF(H937="","",SUMIF(Precio_Productos!K:K,C937,Precio_Productos!J:J)*H937)</f>
        <v/>
      </c>
      <c r="F937" s="86" t="str">
        <f t="shared" si="2"/>
        <v/>
      </c>
      <c r="G937" s="86" t="str">
        <f t="shared" si="3"/>
        <v/>
      </c>
      <c r="H937" s="15"/>
      <c r="P937" s="3" t="str">
        <f>IFERROR(__xludf.DUMMYFUNCTION("IF(OR(F937="""",F937=""Seleccionar..""),"""",TRANSPOSE(FILTER(Productos!E:E,(Productos!F:F=D937)+(Productos!F:F=XLOOKUP(D937,Implementos!B:B,Implementos!C:C,""-"",0,1)))))"),"")</f>
        <v/>
      </c>
    </row>
    <row r="938" hidden="1">
      <c r="A938" s="38" t="str">
        <f t="shared" si="1"/>
        <v/>
      </c>
      <c r="B938" s="38" t="str">
        <f>IF(F938="","",SUMIF(Prearmados!E:E,F938,Prearmados!A:A))</f>
        <v/>
      </c>
      <c r="C938" s="38" t="str">
        <f>IF(F938="","",SUMIF(Productos!E:E,G938,Productos!A:A))</f>
        <v/>
      </c>
      <c r="D938" s="85" t="str">
        <f t="array" ref="D938">IF(OR(F938="",F938="Seleccionar.."),"",XLOOKUP(F938,Prearmados!E:E,Prearmados!F:F,"",0,1))</f>
        <v/>
      </c>
      <c r="E938" s="83" t="str">
        <f>IF(H938="","",SUMIF(Precio_Productos!K:K,C938,Precio_Productos!J:J)*H938)</f>
        <v/>
      </c>
      <c r="F938" s="86" t="str">
        <f t="shared" si="2"/>
        <v/>
      </c>
      <c r="G938" s="86" t="str">
        <f t="shared" si="3"/>
        <v/>
      </c>
      <c r="H938" s="15"/>
      <c r="P938" s="3" t="str">
        <f>IFERROR(__xludf.DUMMYFUNCTION("IF(OR(F938="""",F938=""Seleccionar..""),"""",TRANSPOSE(FILTER(Productos!E:E,(Productos!F:F=D938)+(Productos!F:F=XLOOKUP(D938,Implementos!B:B,Implementos!C:C,""-"",0,1)))))"),"")</f>
        <v/>
      </c>
    </row>
    <row r="939" hidden="1">
      <c r="A939" s="38" t="str">
        <f t="shared" si="1"/>
        <v/>
      </c>
      <c r="B939" s="38" t="str">
        <f>IF(F939="","",SUMIF(Prearmados!E:E,F939,Prearmados!A:A))</f>
        <v/>
      </c>
      <c r="C939" s="38" t="str">
        <f>IF(F939="","",SUMIF(Productos!E:E,G939,Productos!A:A))</f>
        <v/>
      </c>
      <c r="D939" s="85" t="str">
        <f t="array" ref="D939">IF(OR(F939="",F939="Seleccionar.."),"",XLOOKUP(F939,Prearmados!E:E,Prearmados!F:F,"",0,1))</f>
        <v/>
      </c>
      <c r="E939" s="83" t="str">
        <f>IF(H939="","",SUMIF(Precio_Productos!K:K,C939,Precio_Productos!J:J)*H939)</f>
        <v/>
      </c>
      <c r="F939" s="86" t="str">
        <f t="shared" si="2"/>
        <v/>
      </c>
      <c r="G939" s="86" t="str">
        <f t="shared" si="3"/>
        <v/>
      </c>
      <c r="H939" s="15"/>
      <c r="P939" s="3" t="str">
        <f>IFERROR(__xludf.DUMMYFUNCTION("IF(OR(F939="""",F939=""Seleccionar..""),"""",TRANSPOSE(FILTER(Productos!E:E,(Productos!F:F=D939)+(Productos!F:F=XLOOKUP(D939,Implementos!B:B,Implementos!C:C,""-"",0,1)))))"),"")</f>
        <v/>
      </c>
    </row>
    <row r="940" hidden="1">
      <c r="A940" s="38" t="str">
        <f t="shared" si="1"/>
        <v/>
      </c>
      <c r="B940" s="38" t="str">
        <f>IF(F940="","",SUMIF(Prearmados!E:E,F940,Prearmados!A:A))</f>
        <v/>
      </c>
      <c r="C940" s="38" t="str">
        <f>IF(F940="","",SUMIF(Productos!E:E,G940,Productos!A:A))</f>
        <v/>
      </c>
      <c r="D940" s="85" t="str">
        <f t="array" ref="D940">IF(OR(F940="",F940="Seleccionar.."),"",XLOOKUP(F940,Prearmados!E:E,Prearmados!F:F,"",0,1))</f>
        <v/>
      </c>
      <c r="E940" s="83" t="str">
        <f>IF(H940="","",SUMIF(Precio_Productos!K:K,C940,Precio_Productos!J:J)*H940)</f>
        <v/>
      </c>
      <c r="F940" s="86" t="str">
        <f t="shared" si="2"/>
        <v/>
      </c>
      <c r="G940" s="86" t="str">
        <f t="shared" si="3"/>
        <v/>
      </c>
      <c r="H940" s="15"/>
      <c r="P940" s="3" t="str">
        <f>IFERROR(__xludf.DUMMYFUNCTION("IF(OR(F940="""",F940=""Seleccionar..""),"""",TRANSPOSE(FILTER(Productos!E:E,(Productos!F:F=D940)+(Productos!F:F=XLOOKUP(D940,Implementos!B:B,Implementos!C:C,""-"",0,1)))))"),"")</f>
        <v/>
      </c>
    </row>
    <row r="941" hidden="1">
      <c r="A941" s="38" t="str">
        <f t="shared" si="1"/>
        <v/>
      </c>
      <c r="B941" s="38" t="str">
        <f>IF(F941="","",SUMIF(Prearmados!E:E,F941,Prearmados!A:A))</f>
        <v/>
      </c>
      <c r="C941" s="38" t="str">
        <f>IF(F941="","",SUMIF(Productos!E:E,G941,Productos!A:A))</f>
        <v/>
      </c>
      <c r="D941" s="85" t="str">
        <f t="array" ref="D941">IF(OR(F941="",F941="Seleccionar.."),"",XLOOKUP(F941,Prearmados!E:E,Prearmados!F:F,"",0,1))</f>
        <v/>
      </c>
      <c r="E941" s="83" t="str">
        <f>IF(H941="","",SUMIF(Precio_Productos!K:K,C941,Precio_Productos!J:J)*H941)</f>
        <v/>
      </c>
      <c r="F941" s="86" t="str">
        <f t="shared" si="2"/>
        <v/>
      </c>
      <c r="G941" s="86" t="str">
        <f t="shared" si="3"/>
        <v/>
      </c>
      <c r="H941" s="15"/>
      <c r="P941" s="3" t="str">
        <f>IFERROR(__xludf.DUMMYFUNCTION("IF(OR(F941="""",F941=""Seleccionar..""),"""",TRANSPOSE(FILTER(Productos!E:E,(Productos!F:F=D941)+(Productos!F:F=XLOOKUP(D941,Implementos!B:B,Implementos!C:C,""-"",0,1)))))"),"")</f>
        <v/>
      </c>
    </row>
    <row r="942" hidden="1">
      <c r="A942" s="38" t="str">
        <f t="shared" si="1"/>
        <v/>
      </c>
      <c r="B942" s="38" t="str">
        <f>IF(F942="","",SUMIF(Prearmados!E:E,F942,Prearmados!A:A))</f>
        <v/>
      </c>
      <c r="C942" s="38" t="str">
        <f>IF(F942="","",SUMIF(Productos!E:E,G942,Productos!A:A))</f>
        <v/>
      </c>
      <c r="D942" s="85" t="str">
        <f t="array" ref="D942">IF(OR(F942="",F942="Seleccionar.."),"",XLOOKUP(F942,Prearmados!E:E,Prearmados!F:F,"",0,1))</f>
        <v/>
      </c>
      <c r="E942" s="83" t="str">
        <f>IF(H942="","",SUMIF(Precio_Productos!K:K,C942,Precio_Productos!J:J)*H942)</f>
        <v/>
      </c>
      <c r="F942" s="86" t="str">
        <f t="shared" si="2"/>
        <v/>
      </c>
      <c r="G942" s="86" t="str">
        <f t="shared" si="3"/>
        <v/>
      </c>
      <c r="H942" s="15"/>
      <c r="P942" s="3" t="str">
        <f>IFERROR(__xludf.DUMMYFUNCTION("IF(OR(F942="""",F942=""Seleccionar..""),"""",TRANSPOSE(FILTER(Productos!E:E,(Productos!F:F=D942)+(Productos!F:F=XLOOKUP(D942,Implementos!B:B,Implementos!C:C,""-"",0,1)))))"),"")</f>
        <v/>
      </c>
    </row>
    <row r="943" hidden="1">
      <c r="A943" s="38" t="str">
        <f t="shared" si="1"/>
        <v/>
      </c>
      <c r="B943" s="38" t="str">
        <f>IF(F943="","",SUMIF(Prearmados!E:E,F943,Prearmados!A:A))</f>
        <v/>
      </c>
      <c r="C943" s="38" t="str">
        <f>IF(F943="","",SUMIF(Productos!E:E,G943,Productos!A:A))</f>
        <v/>
      </c>
      <c r="D943" s="85" t="str">
        <f t="array" ref="D943">IF(OR(F943="",F943="Seleccionar.."),"",XLOOKUP(F943,Prearmados!E:E,Prearmados!F:F,"",0,1))</f>
        <v/>
      </c>
      <c r="E943" s="83" t="str">
        <f>IF(H943="","",SUMIF(Precio_Productos!K:K,C943,Precio_Productos!J:J)*H943)</f>
        <v/>
      </c>
      <c r="F943" s="86" t="str">
        <f t="shared" si="2"/>
        <v/>
      </c>
      <c r="G943" s="86" t="str">
        <f t="shared" si="3"/>
        <v/>
      </c>
      <c r="H943" s="15"/>
      <c r="P943" s="3" t="str">
        <f>IFERROR(__xludf.DUMMYFUNCTION("IF(OR(F943="""",F943=""Seleccionar..""),"""",TRANSPOSE(FILTER(Productos!E:E,(Productos!F:F=D943)+(Productos!F:F=XLOOKUP(D943,Implementos!B:B,Implementos!C:C,""-"",0,1)))))"),"")</f>
        <v/>
      </c>
    </row>
    <row r="944" hidden="1">
      <c r="A944" s="38" t="str">
        <f t="shared" si="1"/>
        <v/>
      </c>
      <c r="B944" s="38" t="str">
        <f>IF(F944="","",SUMIF(Prearmados!E:E,F944,Prearmados!A:A))</f>
        <v/>
      </c>
      <c r="C944" s="38" t="str">
        <f>IF(F944="","",SUMIF(Productos!E:E,G944,Productos!A:A))</f>
        <v/>
      </c>
      <c r="D944" s="85" t="str">
        <f t="array" ref="D944">IF(OR(F944="",F944="Seleccionar.."),"",XLOOKUP(F944,Prearmados!E:E,Prearmados!F:F,"",0,1))</f>
        <v/>
      </c>
      <c r="E944" s="83" t="str">
        <f>IF(H944="","",SUMIF(Precio_Productos!K:K,C944,Precio_Productos!J:J)*H944)</f>
        <v/>
      </c>
      <c r="F944" s="86" t="str">
        <f t="shared" si="2"/>
        <v/>
      </c>
      <c r="G944" s="86" t="str">
        <f t="shared" si="3"/>
        <v/>
      </c>
      <c r="H944" s="15"/>
      <c r="P944" s="3" t="str">
        <f>IFERROR(__xludf.DUMMYFUNCTION("IF(OR(F944="""",F944=""Seleccionar..""),"""",TRANSPOSE(FILTER(Productos!E:E,(Productos!F:F=D944)+(Productos!F:F=XLOOKUP(D944,Implementos!B:B,Implementos!C:C,""-"",0,1)))))"),"")</f>
        <v/>
      </c>
    </row>
    <row r="945" hidden="1">
      <c r="A945" s="38" t="str">
        <f t="shared" si="1"/>
        <v/>
      </c>
      <c r="B945" s="38" t="str">
        <f>IF(F945="","",SUMIF(Prearmados!E:E,F945,Prearmados!A:A))</f>
        <v/>
      </c>
      <c r="C945" s="38" t="str">
        <f>IF(F945="","",SUMIF(Productos!E:E,G945,Productos!A:A))</f>
        <v/>
      </c>
      <c r="D945" s="85" t="str">
        <f t="array" ref="D945">IF(OR(F945="",F945="Seleccionar.."),"",XLOOKUP(F945,Prearmados!E:E,Prearmados!F:F,"",0,1))</f>
        <v/>
      </c>
      <c r="E945" s="83" t="str">
        <f>IF(H945="","",SUMIF(Precio_Productos!K:K,C945,Precio_Productos!J:J)*H945)</f>
        <v/>
      </c>
      <c r="F945" s="86" t="str">
        <f t="shared" si="2"/>
        <v/>
      </c>
      <c r="G945" s="86" t="str">
        <f t="shared" si="3"/>
        <v/>
      </c>
      <c r="H945" s="15"/>
      <c r="P945" s="3" t="str">
        <f>IFERROR(__xludf.DUMMYFUNCTION("IF(OR(F945="""",F945=""Seleccionar..""),"""",TRANSPOSE(FILTER(Productos!E:E,(Productos!F:F=D945)+(Productos!F:F=XLOOKUP(D945,Implementos!B:B,Implementos!C:C,""-"",0,1)))))"),"")</f>
        <v/>
      </c>
    </row>
    <row r="946" hidden="1">
      <c r="A946" s="38" t="str">
        <f t="shared" si="1"/>
        <v/>
      </c>
      <c r="B946" s="38" t="str">
        <f>IF(F946="","",SUMIF(Prearmados!E:E,F946,Prearmados!A:A))</f>
        <v/>
      </c>
      <c r="C946" s="38" t="str">
        <f>IF(F946="","",SUMIF(Productos!E:E,G946,Productos!A:A))</f>
        <v/>
      </c>
      <c r="D946" s="85" t="str">
        <f t="array" ref="D946">IF(OR(F946="",F946="Seleccionar.."),"",XLOOKUP(F946,Prearmados!E:E,Prearmados!F:F,"",0,1))</f>
        <v/>
      </c>
      <c r="E946" s="83" t="str">
        <f>IF(H946="","",SUMIF(Precio_Productos!K:K,C946,Precio_Productos!J:J)*H946)</f>
        <v/>
      </c>
      <c r="F946" s="86" t="str">
        <f t="shared" si="2"/>
        <v/>
      </c>
      <c r="G946" s="86" t="str">
        <f t="shared" si="3"/>
        <v/>
      </c>
      <c r="H946" s="15"/>
      <c r="P946" s="3" t="str">
        <f>IFERROR(__xludf.DUMMYFUNCTION("IF(OR(F946="""",F946=""Seleccionar..""),"""",TRANSPOSE(FILTER(Productos!E:E,(Productos!F:F=D946)+(Productos!F:F=XLOOKUP(D946,Implementos!B:B,Implementos!C:C,""-"",0,1)))))"),"")</f>
        <v/>
      </c>
    </row>
    <row r="947" hidden="1">
      <c r="A947" s="38" t="str">
        <f t="shared" si="1"/>
        <v/>
      </c>
      <c r="B947" s="38" t="str">
        <f>IF(F947="","",SUMIF(Prearmados!E:E,F947,Prearmados!A:A))</f>
        <v/>
      </c>
      <c r="C947" s="38" t="str">
        <f>IF(F947="","",SUMIF(Productos!E:E,G947,Productos!A:A))</f>
        <v/>
      </c>
      <c r="D947" s="85" t="str">
        <f t="array" ref="D947">IF(OR(F947="",F947="Seleccionar.."),"",XLOOKUP(F947,Prearmados!E:E,Prearmados!F:F,"",0,1))</f>
        <v/>
      </c>
      <c r="E947" s="83" t="str">
        <f>IF(H947="","",SUMIF(Precio_Productos!K:K,C947,Precio_Productos!J:J)*H947)</f>
        <v/>
      </c>
      <c r="F947" s="86" t="str">
        <f t="shared" si="2"/>
        <v/>
      </c>
      <c r="G947" s="86" t="str">
        <f t="shared" si="3"/>
        <v/>
      </c>
      <c r="H947" s="15"/>
      <c r="P947" s="3" t="str">
        <f>IFERROR(__xludf.DUMMYFUNCTION("IF(OR(F947="""",F947=""Seleccionar..""),"""",TRANSPOSE(FILTER(Productos!E:E,(Productos!F:F=D947)+(Productos!F:F=XLOOKUP(D947,Implementos!B:B,Implementos!C:C,""-"",0,1)))))"),"")</f>
        <v/>
      </c>
    </row>
    <row r="948" hidden="1">
      <c r="A948" s="38" t="str">
        <f t="shared" si="1"/>
        <v/>
      </c>
      <c r="B948" s="38" t="str">
        <f>IF(F948="","",SUMIF(Prearmados!E:E,F948,Prearmados!A:A))</f>
        <v/>
      </c>
      <c r="C948" s="38" t="str">
        <f>IF(F948="","",SUMIF(Productos!E:E,G948,Productos!A:A))</f>
        <v/>
      </c>
      <c r="D948" s="85" t="str">
        <f t="array" ref="D948">IF(OR(F948="",F948="Seleccionar.."),"",XLOOKUP(F948,Prearmados!E:E,Prearmados!F:F,"",0,1))</f>
        <v/>
      </c>
      <c r="E948" s="83" t="str">
        <f>IF(H948="","",SUMIF(Precio_Productos!K:K,C948,Precio_Productos!J:J)*H948)</f>
        <v/>
      </c>
      <c r="F948" s="86" t="str">
        <f t="shared" si="2"/>
        <v/>
      </c>
      <c r="G948" s="86" t="str">
        <f t="shared" si="3"/>
        <v/>
      </c>
      <c r="H948" s="15"/>
      <c r="P948" s="3" t="str">
        <f>IFERROR(__xludf.DUMMYFUNCTION("IF(OR(F948="""",F948=""Seleccionar..""),"""",TRANSPOSE(FILTER(Productos!E:E,(Productos!F:F=D948)+(Productos!F:F=XLOOKUP(D948,Implementos!B:B,Implementos!C:C,""-"",0,1)))))"),"")</f>
        <v/>
      </c>
    </row>
    <row r="949" hidden="1">
      <c r="A949" s="38" t="str">
        <f t="shared" si="1"/>
        <v/>
      </c>
      <c r="B949" s="38" t="str">
        <f>IF(F949="","",SUMIF(Prearmados!E:E,F949,Prearmados!A:A))</f>
        <v/>
      </c>
      <c r="C949" s="38" t="str">
        <f>IF(F949="","",SUMIF(Productos!E:E,G949,Productos!A:A))</f>
        <v/>
      </c>
      <c r="D949" s="85" t="str">
        <f t="array" ref="D949">IF(OR(F949="",F949="Seleccionar.."),"",XLOOKUP(F949,Prearmados!E:E,Prearmados!F:F,"",0,1))</f>
        <v/>
      </c>
      <c r="E949" s="83" t="str">
        <f>IF(H949="","",SUMIF(Precio_Productos!K:K,C949,Precio_Productos!J:J)*H949)</f>
        <v/>
      </c>
      <c r="F949" s="86" t="str">
        <f t="shared" si="2"/>
        <v/>
      </c>
      <c r="G949" s="86" t="str">
        <f t="shared" si="3"/>
        <v/>
      </c>
      <c r="H949" s="15"/>
      <c r="P949" s="3" t="str">
        <f>IFERROR(__xludf.DUMMYFUNCTION("IF(OR(F949="""",F949=""Seleccionar..""),"""",TRANSPOSE(FILTER(Productos!E:E,(Productos!F:F=D949)+(Productos!F:F=XLOOKUP(D949,Implementos!B:B,Implementos!C:C,""-"",0,1)))))"),"")</f>
        <v/>
      </c>
    </row>
    <row r="950" hidden="1">
      <c r="A950" s="38" t="str">
        <f t="shared" si="1"/>
        <v/>
      </c>
      <c r="B950" s="38" t="str">
        <f>IF(F950="","",SUMIF(Prearmados!E:E,F950,Prearmados!A:A))</f>
        <v/>
      </c>
      <c r="C950" s="38" t="str">
        <f>IF(F950="","",SUMIF(Productos!E:E,G950,Productos!A:A))</f>
        <v/>
      </c>
      <c r="D950" s="85" t="str">
        <f t="array" ref="D950">IF(OR(F950="",F950="Seleccionar.."),"",XLOOKUP(F950,Prearmados!E:E,Prearmados!F:F,"",0,1))</f>
        <v/>
      </c>
      <c r="E950" s="83" t="str">
        <f>IF(H950="","",SUMIF(Precio_Productos!K:K,C950,Precio_Productos!J:J)*H950)</f>
        <v/>
      </c>
      <c r="F950" s="86" t="str">
        <f t="shared" si="2"/>
        <v/>
      </c>
      <c r="G950" s="86" t="str">
        <f t="shared" si="3"/>
        <v/>
      </c>
      <c r="H950" s="15"/>
      <c r="P950" s="3" t="str">
        <f>IFERROR(__xludf.DUMMYFUNCTION("IF(OR(F950="""",F950=""Seleccionar..""),"""",TRANSPOSE(FILTER(Productos!E:E,(Productos!F:F=D950)+(Productos!F:F=XLOOKUP(D950,Implementos!B:B,Implementos!C:C,""-"",0,1)))))"),"")</f>
        <v/>
      </c>
    </row>
    <row r="951" hidden="1">
      <c r="A951" s="38" t="str">
        <f t="shared" si="1"/>
        <v/>
      </c>
      <c r="B951" s="38" t="str">
        <f>IF(F951="","",SUMIF(Prearmados!E:E,F951,Prearmados!A:A))</f>
        <v/>
      </c>
      <c r="C951" s="38" t="str">
        <f>IF(F951="","",SUMIF(Productos!E:E,G951,Productos!A:A))</f>
        <v/>
      </c>
      <c r="D951" s="85" t="str">
        <f t="array" ref="D951">IF(OR(F951="",F951="Seleccionar.."),"",XLOOKUP(F951,Prearmados!E:E,Prearmados!F:F,"",0,1))</f>
        <v/>
      </c>
      <c r="E951" s="83" t="str">
        <f>IF(H951="","",SUMIF(Precio_Productos!K:K,C951,Precio_Productos!J:J)*H951)</f>
        <v/>
      </c>
      <c r="F951" s="86" t="str">
        <f t="shared" si="2"/>
        <v/>
      </c>
      <c r="G951" s="86" t="str">
        <f t="shared" si="3"/>
        <v/>
      </c>
      <c r="H951" s="15"/>
      <c r="P951" s="3" t="str">
        <f>IFERROR(__xludf.DUMMYFUNCTION("IF(OR(F951="""",F951=""Seleccionar..""),"""",TRANSPOSE(FILTER(Productos!E:E,(Productos!F:F=D951)+(Productos!F:F=XLOOKUP(D951,Implementos!B:B,Implementos!C:C,""-"",0,1)))))"),"")</f>
        <v/>
      </c>
    </row>
    <row r="952" hidden="1">
      <c r="A952" s="38" t="str">
        <f t="shared" si="1"/>
        <v/>
      </c>
      <c r="B952" s="38" t="str">
        <f>IF(F952="","",SUMIF(Prearmados!E:E,F952,Prearmados!A:A))</f>
        <v/>
      </c>
      <c r="C952" s="38" t="str">
        <f>IF(F952="","",SUMIF(Productos!E:E,G952,Productos!A:A))</f>
        <v/>
      </c>
      <c r="D952" s="85" t="str">
        <f t="array" ref="D952">IF(OR(F952="",F952="Seleccionar.."),"",XLOOKUP(F952,Prearmados!E:E,Prearmados!F:F,"",0,1))</f>
        <v/>
      </c>
      <c r="E952" s="83" t="str">
        <f>IF(H952="","",SUMIF(Precio_Productos!K:K,C952,Precio_Productos!J:J)*H952)</f>
        <v/>
      </c>
      <c r="F952" s="86" t="str">
        <f t="shared" si="2"/>
        <v/>
      </c>
      <c r="G952" s="86" t="str">
        <f t="shared" si="3"/>
        <v/>
      </c>
      <c r="H952" s="15"/>
      <c r="P952" s="3" t="str">
        <f>IFERROR(__xludf.DUMMYFUNCTION("IF(OR(F952="""",F952=""Seleccionar..""),"""",TRANSPOSE(FILTER(Productos!E:E,(Productos!F:F=D952)+(Productos!F:F=XLOOKUP(D952,Implementos!B:B,Implementos!C:C,""-"",0,1)))))"),"")</f>
        <v/>
      </c>
    </row>
    <row r="953" hidden="1">
      <c r="A953" s="38" t="str">
        <f t="shared" si="1"/>
        <v/>
      </c>
      <c r="B953" s="38" t="str">
        <f>IF(F953="","",SUMIF(Prearmados!E:E,F953,Prearmados!A:A))</f>
        <v/>
      </c>
      <c r="C953" s="38" t="str">
        <f>IF(F953="","",SUMIF(Productos!E:E,G953,Productos!A:A))</f>
        <v/>
      </c>
      <c r="D953" s="85" t="str">
        <f t="array" ref="D953">IF(OR(F953="",F953="Seleccionar.."),"",XLOOKUP(F953,Prearmados!E:E,Prearmados!F:F,"",0,1))</f>
        <v/>
      </c>
      <c r="E953" s="83" t="str">
        <f>IF(H953="","",SUMIF(Precio_Productos!K:K,C953,Precio_Productos!J:J)*H953)</f>
        <v/>
      </c>
      <c r="F953" s="86" t="str">
        <f t="shared" si="2"/>
        <v/>
      </c>
      <c r="G953" s="86" t="str">
        <f t="shared" si="3"/>
        <v/>
      </c>
      <c r="H953" s="15"/>
      <c r="P953" s="3" t="str">
        <f>IFERROR(__xludf.DUMMYFUNCTION("IF(OR(F953="""",F953=""Seleccionar..""),"""",TRANSPOSE(FILTER(Productos!E:E,(Productos!F:F=D953)+(Productos!F:F=XLOOKUP(D953,Implementos!B:B,Implementos!C:C,""-"",0,1)))))"),"")</f>
        <v/>
      </c>
    </row>
    <row r="954" hidden="1">
      <c r="A954" s="38" t="str">
        <f t="shared" si="1"/>
        <v/>
      </c>
      <c r="B954" s="38" t="str">
        <f>IF(F954="","",SUMIF(Prearmados!E:E,F954,Prearmados!A:A))</f>
        <v/>
      </c>
      <c r="C954" s="38" t="str">
        <f>IF(F954="","",SUMIF(Productos!E:E,G954,Productos!A:A))</f>
        <v/>
      </c>
      <c r="D954" s="85" t="str">
        <f t="array" ref="D954">IF(OR(F954="",F954="Seleccionar.."),"",XLOOKUP(F954,Prearmados!E:E,Prearmados!F:F,"",0,1))</f>
        <v/>
      </c>
      <c r="E954" s="83" t="str">
        <f>IF(H954="","",SUMIF(Precio_Productos!K:K,C954,Precio_Productos!J:J)*H954)</f>
        <v/>
      </c>
      <c r="F954" s="86" t="str">
        <f t="shared" si="2"/>
        <v/>
      </c>
      <c r="G954" s="86" t="str">
        <f t="shared" si="3"/>
        <v/>
      </c>
      <c r="H954" s="15"/>
      <c r="P954" s="3" t="str">
        <f>IFERROR(__xludf.DUMMYFUNCTION("IF(OR(F954="""",F954=""Seleccionar..""),"""",TRANSPOSE(FILTER(Productos!E:E,(Productos!F:F=D954)+(Productos!F:F=XLOOKUP(D954,Implementos!B:B,Implementos!C:C,""-"",0,1)))))"),"")</f>
        <v/>
      </c>
    </row>
    <row r="955" hidden="1">
      <c r="A955" s="38" t="str">
        <f t="shared" si="1"/>
        <v/>
      </c>
      <c r="B955" s="38" t="str">
        <f>IF(F955="","",SUMIF(Prearmados!E:E,F955,Prearmados!A:A))</f>
        <v/>
      </c>
      <c r="C955" s="38" t="str">
        <f>IF(F955="","",SUMIF(Productos!E:E,G955,Productos!A:A))</f>
        <v/>
      </c>
      <c r="D955" s="85" t="str">
        <f t="array" ref="D955">IF(OR(F955="",F955="Seleccionar.."),"",XLOOKUP(F955,Prearmados!E:E,Prearmados!F:F,"",0,1))</f>
        <v/>
      </c>
      <c r="E955" s="83" t="str">
        <f>IF(H955="","",SUMIF(Precio_Productos!K:K,C955,Precio_Productos!J:J)*H955)</f>
        <v/>
      </c>
      <c r="F955" s="86" t="str">
        <f t="shared" si="2"/>
        <v/>
      </c>
      <c r="G955" s="86" t="str">
        <f t="shared" si="3"/>
        <v/>
      </c>
      <c r="H955" s="15"/>
      <c r="P955" s="3" t="str">
        <f>IFERROR(__xludf.DUMMYFUNCTION("IF(OR(F955="""",F955=""Seleccionar..""),"""",TRANSPOSE(FILTER(Productos!E:E,(Productos!F:F=D955)+(Productos!F:F=XLOOKUP(D955,Implementos!B:B,Implementos!C:C,""-"",0,1)))))"),"")</f>
        <v/>
      </c>
    </row>
    <row r="956" hidden="1">
      <c r="A956" s="38" t="str">
        <f t="shared" si="1"/>
        <v/>
      </c>
      <c r="B956" s="38" t="str">
        <f>IF(F956="","",SUMIF(Prearmados!E:E,F956,Prearmados!A:A))</f>
        <v/>
      </c>
      <c r="C956" s="38" t="str">
        <f>IF(F956="","",SUMIF(Productos!E:E,G956,Productos!A:A))</f>
        <v/>
      </c>
      <c r="D956" s="85" t="str">
        <f t="array" ref="D956">IF(OR(F956="",F956="Seleccionar.."),"",XLOOKUP(F956,Prearmados!E:E,Prearmados!F:F,"",0,1))</f>
        <v/>
      </c>
      <c r="E956" s="83" t="str">
        <f>IF(H956="","",SUMIF(Precio_Productos!K:K,C956,Precio_Productos!J:J)*H956)</f>
        <v/>
      </c>
      <c r="F956" s="86" t="str">
        <f t="shared" si="2"/>
        <v/>
      </c>
      <c r="G956" s="86" t="str">
        <f t="shared" si="3"/>
        <v/>
      </c>
      <c r="H956" s="15"/>
      <c r="P956" s="3" t="str">
        <f>IFERROR(__xludf.DUMMYFUNCTION("IF(OR(F956="""",F956=""Seleccionar..""),"""",TRANSPOSE(FILTER(Productos!E:E,(Productos!F:F=D956)+(Productos!F:F=XLOOKUP(D956,Implementos!B:B,Implementos!C:C,""-"",0,1)))))"),"")</f>
        <v/>
      </c>
    </row>
    <row r="957" hidden="1">
      <c r="A957" s="38" t="str">
        <f t="shared" si="1"/>
        <v/>
      </c>
      <c r="B957" s="38" t="str">
        <f>IF(F957="","",SUMIF(Prearmados!E:E,F957,Prearmados!A:A))</f>
        <v/>
      </c>
      <c r="C957" s="38" t="str">
        <f>IF(F957="","",SUMIF(Productos!E:E,G957,Productos!A:A))</f>
        <v/>
      </c>
      <c r="D957" s="85" t="str">
        <f t="array" ref="D957">IF(OR(F957="",F957="Seleccionar.."),"",XLOOKUP(F957,Prearmados!E:E,Prearmados!F:F,"",0,1))</f>
        <v/>
      </c>
      <c r="E957" s="83" t="str">
        <f>IF(H957="","",SUMIF(Precio_Productos!K:K,C957,Precio_Productos!J:J)*H957)</f>
        <v/>
      </c>
      <c r="F957" s="86" t="str">
        <f t="shared" si="2"/>
        <v/>
      </c>
      <c r="G957" s="86" t="str">
        <f t="shared" si="3"/>
        <v/>
      </c>
      <c r="H957" s="15"/>
      <c r="P957" s="3" t="str">
        <f>IFERROR(__xludf.DUMMYFUNCTION("IF(OR(F957="""",F957=""Seleccionar..""),"""",TRANSPOSE(FILTER(Productos!E:E,(Productos!F:F=D957)+(Productos!F:F=XLOOKUP(D957,Implementos!B:B,Implementos!C:C,""-"",0,1)))))"),"")</f>
        <v/>
      </c>
    </row>
    <row r="958" hidden="1">
      <c r="A958" s="38" t="str">
        <f t="shared" si="1"/>
        <v/>
      </c>
      <c r="B958" s="38" t="str">
        <f>IF(F958="","",SUMIF(Prearmados!E:E,F958,Prearmados!A:A))</f>
        <v/>
      </c>
      <c r="C958" s="38" t="str">
        <f>IF(F958="","",SUMIF(Productos!E:E,G958,Productos!A:A))</f>
        <v/>
      </c>
      <c r="D958" s="85" t="str">
        <f t="array" ref="D958">IF(OR(F958="",F958="Seleccionar.."),"",XLOOKUP(F958,Prearmados!E:E,Prearmados!F:F,"",0,1))</f>
        <v/>
      </c>
      <c r="E958" s="83" t="str">
        <f>IF(H958="","",SUMIF(Precio_Productos!K:K,C958,Precio_Productos!J:J)*H958)</f>
        <v/>
      </c>
      <c r="F958" s="86" t="str">
        <f t="shared" si="2"/>
        <v/>
      </c>
      <c r="G958" s="86" t="str">
        <f t="shared" si="3"/>
        <v/>
      </c>
      <c r="H958" s="15"/>
      <c r="P958" s="3" t="str">
        <f>IFERROR(__xludf.DUMMYFUNCTION("IF(OR(F958="""",F958=""Seleccionar..""),"""",TRANSPOSE(FILTER(Productos!E:E,(Productos!F:F=D958)+(Productos!F:F=XLOOKUP(D958,Implementos!B:B,Implementos!C:C,""-"",0,1)))))"),"")</f>
        <v/>
      </c>
    </row>
    <row r="959" hidden="1">
      <c r="A959" s="38" t="str">
        <f t="shared" si="1"/>
        <v/>
      </c>
      <c r="B959" s="38" t="str">
        <f>IF(F959="","",SUMIF(Prearmados!E:E,F959,Prearmados!A:A))</f>
        <v/>
      </c>
      <c r="C959" s="38" t="str">
        <f>IF(F959="","",SUMIF(Productos!E:E,G959,Productos!A:A))</f>
        <v/>
      </c>
      <c r="D959" s="85" t="str">
        <f t="array" ref="D959">IF(OR(F959="",F959="Seleccionar.."),"",XLOOKUP(F959,Prearmados!E:E,Prearmados!F:F,"",0,1))</f>
        <v/>
      </c>
      <c r="E959" s="83" t="str">
        <f>IF(H959="","",SUMIF(Precio_Productos!K:K,C959,Precio_Productos!J:J)*H959)</f>
        <v/>
      </c>
      <c r="F959" s="86" t="str">
        <f t="shared" si="2"/>
        <v/>
      </c>
      <c r="G959" s="86" t="str">
        <f t="shared" si="3"/>
        <v/>
      </c>
      <c r="H959" s="15"/>
      <c r="P959" s="3" t="str">
        <f>IFERROR(__xludf.DUMMYFUNCTION("IF(OR(F959="""",F959=""Seleccionar..""),"""",TRANSPOSE(FILTER(Productos!E:E,(Productos!F:F=D959)+(Productos!F:F=XLOOKUP(D959,Implementos!B:B,Implementos!C:C,""-"",0,1)))))"),"")</f>
        <v/>
      </c>
    </row>
    <row r="960" hidden="1">
      <c r="A960" s="38" t="str">
        <f t="shared" si="1"/>
        <v/>
      </c>
      <c r="B960" s="38" t="str">
        <f>IF(F960="","",SUMIF(Prearmados!E:E,F960,Prearmados!A:A))</f>
        <v/>
      </c>
      <c r="C960" s="38" t="str">
        <f>IF(F960="","",SUMIF(Productos!E:E,G960,Productos!A:A))</f>
        <v/>
      </c>
      <c r="D960" s="85" t="str">
        <f t="array" ref="D960">IF(OR(F960="",F960="Seleccionar.."),"",XLOOKUP(F960,Prearmados!E:E,Prearmados!F:F,"",0,1))</f>
        <v/>
      </c>
      <c r="E960" s="83" t="str">
        <f>IF(H960="","",SUMIF(Precio_Productos!K:K,C960,Precio_Productos!J:J)*H960)</f>
        <v/>
      </c>
      <c r="F960" s="86" t="str">
        <f t="shared" si="2"/>
        <v/>
      </c>
      <c r="G960" s="86" t="str">
        <f t="shared" si="3"/>
        <v/>
      </c>
      <c r="H960" s="15"/>
      <c r="P960" s="3" t="str">
        <f>IFERROR(__xludf.DUMMYFUNCTION("IF(OR(F960="""",F960=""Seleccionar..""),"""",TRANSPOSE(FILTER(Productos!E:E,(Productos!F:F=D960)+(Productos!F:F=XLOOKUP(D960,Implementos!B:B,Implementos!C:C,""-"",0,1)))))"),"")</f>
        <v/>
      </c>
    </row>
    <row r="961" hidden="1">
      <c r="A961" s="38" t="str">
        <f t="shared" si="1"/>
        <v/>
      </c>
      <c r="B961" s="38" t="str">
        <f>IF(F961="","",SUMIF(Prearmados!E:E,F961,Prearmados!A:A))</f>
        <v/>
      </c>
      <c r="C961" s="38" t="str">
        <f>IF(F961="","",SUMIF(Productos!E:E,G961,Productos!A:A))</f>
        <v/>
      </c>
      <c r="D961" s="85" t="str">
        <f t="array" ref="D961">IF(OR(F961="",F961="Seleccionar.."),"",XLOOKUP(F961,Prearmados!E:E,Prearmados!F:F,"",0,1))</f>
        <v/>
      </c>
      <c r="E961" s="83" t="str">
        <f>IF(H961="","",SUMIF(Precio_Productos!K:K,C961,Precio_Productos!J:J)*H961)</f>
        <v/>
      </c>
      <c r="F961" s="86" t="str">
        <f t="shared" si="2"/>
        <v/>
      </c>
      <c r="G961" s="86" t="str">
        <f t="shared" si="3"/>
        <v/>
      </c>
      <c r="H961" s="15"/>
      <c r="P961" s="3" t="str">
        <f>IFERROR(__xludf.DUMMYFUNCTION("IF(OR(F961="""",F961=""Seleccionar..""),"""",TRANSPOSE(FILTER(Productos!E:E,(Productos!F:F=D961)+(Productos!F:F=XLOOKUP(D961,Implementos!B:B,Implementos!C:C,""-"",0,1)))))"),"")</f>
        <v/>
      </c>
    </row>
    <row r="962" hidden="1">
      <c r="A962" s="38" t="str">
        <f t="shared" si="1"/>
        <v/>
      </c>
      <c r="B962" s="38" t="str">
        <f>IF(F962="","",SUMIF(Prearmados!E:E,F962,Prearmados!A:A))</f>
        <v/>
      </c>
      <c r="C962" s="38" t="str">
        <f>IF(F962="","",SUMIF(Productos!E:E,G962,Productos!A:A))</f>
        <v/>
      </c>
      <c r="D962" s="85" t="str">
        <f t="array" ref="D962">IF(OR(F962="",F962="Seleccionar.."),"",XLOOKUP(F962,Prearmados!E:E,Prearmados!F:F,"",0,1))</f>
        <v/>
      </c>
      <c r="E962" s="83" t="str">
        <f>IF(H962="","",SUMIF(Precio_Productos!K:K,C962,Precio_Productos!J:J)*H962)</f>
        <v/>
      </c>
      <c r="F962" s="86" t="str">
        <f t="shared" si="2"/>
        <v/>
      </c>
      <c r="G962" s="86" t="str">
        <f t="shared" si="3"/>
        <v/>
      </c>
      <c r="H962" s="15"/>
      <c r="P962" s="3" t="str">
        <f>IFERROR(__xludf.DUMMYFUNCTION("IF(OR(F962="""",F962=""Seleccionar..""),"""",TRANSPOSE(FILTER(Productos!E:E,(Productos!F:F=D962)+(Productos!F:F=XLOOKUP(D962,Implementos!B:B,Implementos!C:C,""-"",0,1)))))"),"")</f>
        <v/>
      </c>
    </row>
    <row r="963" hidden="1">
      <c r="A963" s="38" t="str">
        <f t="shared" si="1"/>
        <v/>
      </c>
      <c r="B963" s="38" t="str">
        <f>IF(F963="","",SUMIF(Prearmados!E:E,F963,Prearmados!A:A))</f>
        <v/>
      </c>
      <c r="C963" s="38" t="str">
        <f>IF(F963="","",SUMIF(Productos!E:E,G963,Productos!A:A))</f>
        <v/>
      </c>
      <c r="D963" s="85" t="str">
        <f t="array" ref="D963">IF(OR(F963="",F963="Seleccionar.."),"",XLOOKUP(F963,Prearmados!E:E,Prearmados!F:F,"",0,1))</f>
        <v/>
      </c>
      <c r="E963" s="83" t="str">
        <f>IF(H963="","",SUMIF(Precio_Productos!K:K,C963,Precio_Productos!J:J)*H963)</f>
        <v/>
      </c>
      <c r="F963" s="86" t="str">
        <f t="shared" si="2"/>
        <v/>
      </c>
      <c r="G963" s="86" t="str">
        <f t="shared" si="3"/>
        <v/>
      </c>
      <c r="H963" s="15"/>
      <c r="P963" s="3" t="str">
        <f>IFERROR(__xludf.DUMMYFUNCTION("IF(OR(F963="""",F963=""Seleccionar..""),"""",TRANSPOSE(FILTER(Productos!E:E,(Productos!F:F=D963)+(Productos!F:F=XLOOKUP(D963,Implementos!B:B,Implementos!C:C,""-"",0,1)))))"),"")</f>
        <v/>
      </c>
    </row>
    <row r="964" hidden="1">
      <c r="A964" s="38" t="str">
        <f t="shared" si="1"/>
        <v/>
      </c>
      <c r="B964" s="38" t="str">
        <f>IF(F964="","",SUMIF(Prearmados!E:E,F964,Prearmados!A:A))</f>
        <v/>
      </c>
      <c r="C964" s="38" t="str">
        <f>IF(F964="","",SUMIF(Productos!E:E,G964,Productos!A:A))</f>
        <v/>
      </c>
      <c r="D964" s="85" t="str">
        <f t="array" ref="D964">IF(OR(F964="",F964="Seleccionar.."),"",XLOOKUP(F964,Prearmados!E:E,Prearmados!F:F,"",0,1))</f>
        <v/>
      </c>
      <c r="E964" s="83" t="str">
        <f>IF(H964="","",SUMIF(Precio_Productos!K:K,C964,Precio_Productos!J:J)*H964)</f>
        <v/>
      </c>
      <c r="F964" s="86" t="str">
        <f t="shared" si="2"/>
        <v/>
      </c>
      <c r="G964" s="86" t="str">
        <f t="shared" si="3"/>
        <v/>
      </c>
      <c r="H964" s="15"/>
      <c r="P964" s="3" t="str">
        <f>IFERROR(__xludf.DUMMYFUNCTION("IF(OR(F964="""",F964=""Seleccionar..""),"""",TRANSPOSE(FILTER(Productos!E:E,(Productos!F:F=D964)+(Productos!F:F=XLOOKUP(D964,Implementos!B:B,Implementos!C:C,""-"",0,1)))))"),"")</f>
        <v/>
      </c>
    </row>
    <row r="965" hidden="1">
      <c r="A965" s="38" t="str">
        <f t="shared" si="1"/>
        <v/>
      </c>
      <c r="B965" s="38" t="str">
        <f>IF(F965="","",SUMIF(Prearmados!E:E,F965,Prearmados!A:A))</f>
        <v/>
      </c>
      <c r="C965" s="38" t="str">
        <f>IF(F965="","",SUMIF(Productos!E:E,G965,Productos!A:A))</f>
        <v/>
      </c>
      <c r="D965" s="85" t="str">
        <f t="array" ref="D965">IF(OR(F965="",F965="Seleccionar.."),"",XLOOKUP(F965,Prearmados!E:E,Prearmados!F:F,"",0,1))</f>
        <v/>
      </c>
      <c r="E965" s="83" t="str">
        <f>IF(H965="","",SUMIF(Precio_Productos!K:K,C965,Precio_Productos!J:J)*H965)</f>
        <v/>
      </c>
      <c r="F965" s="86" t="str">
        <f t="shared" si="2"/>
        <v/>
      </c>
      <c r="G965" s="86" t="str">
        <f t="shared" si="3"/>
        <v/>
      </c>
      <c r="H965" s="15"/>
      <c r="P965" s="3" t="str">
        <f>IFERROR(__xludf.DUMMYFUNCTION("IF(OR(F965="""",F965=""Seleccionar..""),"""",TRANSPOSE(FILTER(Productos!E:E,(Productos!F:F=D965)+(Productos!F:F=XLOOKUP(D965,Implementos!B:B,Implementos!C:C,""-"",0,1)))))"),"")</f>
        <v/>
      </c>
    </row>
    <row r="966" hidden="1">
      <c r="A966" s="38" t="str">
        <f t="shared" si="1"/>
        <v/>
      </c>
      <c r="B966" s="38" t="str">
        <f>IF(F966="","",SUMIF(Prearmados!E:E,F966,Prearmados!A:A))</f>
        <v/>
      </c>
      <c r="C966" s="38" t="str">
        <f>IF(F966="","",SUMIF(Productos!E:E,G966,Productos!A:A))</f>
        <v/>
      </c>
      <c r="D966" s="85" t="str">
        <f t="array" ref="D966">IF(OR(F966="",F966="Seleccionar.."),"",XLOOKUP(F966,Prearmados!E:E,Prearmados!F:F,"",0,1))</f>
        <v/>
      </c>
      <c r="E966" s="83" t="str">
        <f>IF(H966="","",SUMIF(Precio_Productos!K:K,C966,Precio_Productos!J:J)*H966)</f>
        <v/>
      </c>
      <c r="F966" s="86" t="str">
        <f t="shared" si="2"/>
        <v/>
      </c>
      <c r="G966" s="86" t="str">
        <f t="shared" si="3"/>
        <v/>
      </c>
      <c r="H966" s="15"/>
      <c r="P966" s="3" t="str">
        <f>IFERROR(__xludf.DUMMYFUNCTION("IF(OR(F966="""",F966=""Seleccionar..""),"""",TRANSPOSE(FILTER(Productos!E:E,(Productos!F:F=D966)+(Productos!F:F=XLOOKUP(D966,Implementos!B:B,Implementos!C:C,""-"",0,1)))))"),"")</f>
        <v/>
      </c>
    </row>
    <row r="967" hidden="1">
      <c r="A967" s="38" t="str">
        <f t="shared" si="1"/>
        <v/>
      </c>
      <c r="B967" s="38" t="str">
        <f>IF(F967="","",SUMIF(Prearmados!E:E,F967,Prearmados!A:A))</f>
        <v/>
      </c>
      <c r="C967" s="38" t="str">
        <f>IF(F967="","",SUMIF(Productos!E:E,G967,Productos!A:A))</f>
        <v/>
      </c>
      <c r="D967" s="85" t="str">
        <f t="array" ref="D967">IF(OR(F967="",F967="Seleccionar.."),"",XLOOKUP(F967,Prearmados!E:E,Prearmados!F:F,"",0,1))</f>
        <v/>
      </c>
      <c r="E967" s="83" t="str">
        <f>IF(H967="","",SUMIF(Precio_Productos!K:K,C967,Precio_Productos!J:J)*H967)</f>
        <v/>
      </c>
      <c r="F967" s="86" t="str">
        <f t="shared" si="2"/>
        <v/>
      </c>
      <c r="G967" s="86" t="str">
        <f t="shared" si="3"/>
        <v/>
      </c>
      <c r="H967" s="15"/>
      <c r="P967" s="3" t="str">
        <f>IFERROR(__xludf.DUMMYFUNCTION("IF(OR(F967="""",F967=""Seleccionar..""),"""",TRANSPOSE(FILTER(Productos!E:E,(Productos!F:F=D967)+(Productos!F:F=XLOOKUP(D967,Implementos!B:B,Implementos!C:C,""-"",0,1)))))"),"")</f>
        <v/>
      </c>
    </row>
    <row r="968" hidden="1">
      <c r="A968" s="38" t="str">
        <f t="shared" si="1"/>
        <v/>
      </c>
      <c r="B968" s="38" t="str">
        <f>IF(F968="","",SUMIF(Prearmados!E:E,F968,Prearmados!A:A))</f>
        <v/>
      </c>
      <c r="C968" s="38" t="str">
        <f>IF(F968="","",SUMIF(Productos!E:E,G968,Productos!A:A))</f>
        <v/>
      </c>
      <c r="D968" s="85" t="str">
        <f t="array" ref="D968">IF(OR(F968="",F968="Seleccionar.."),"",XLOOKUP(F968,Prearmados!E:E,Prearmados!F:F,"",0,1))</f>
        <v/>
      </c>
      <c r="E968" s="83" t="str">
        <f>IF(H968="","",SUMIF(Precio_Productos!K:K,C968,Precio_Productos!J:J)*H968)</f>
        <v/>
      </c>
      <c r="F968" s="86" t="str">
        <f t="shared" si="2"/>
        <v/>
      </c>
      <c r="G968" s="86" t="str">
        <f t="shared" si="3"/>
        <v/>
      </c>
      <c r="H968" s="15"/>
      <c r="P968" s="3" t="str">
        <f>IFERROR(__xludf.DUMMYFUNCTION("IF(OR(F968="""",F968=""Seleccionar..""),"""",TRANSPOSE(FILTER(Productos!E:E,(Productos!F:F=D968)+(Productos!F:F=XLOOKUP(D968,Implementos!B:B,Implementos!C:C,""-"",0,1)))))"),"")</f>
        <v/>
      </c>
    </row>
    <row r="969" hidden="1">
      <c r="A969" s="38" t="str">
        <f t="shared" si="1"/>
        <v/>
      </c>
      <c r="B969" s="38" t="str">
        <f>IF(F969="","",SUMIF(Prearmados!E:E,F969,Prearmados!A:A))</f>
        <v/>
      </c>
      <c r="C969" s="38" t="str">
        <f>IF(F969="","",SUMIF(Productos!E:E,G969,Productos!A:A))</f>
        <v/>
      </c>
      <c r="D969" s="85" t="str">
        <f t="array" ref="D969">IF(OR(F969="",F969="Seleccionar.."),"",XLOOKUP(F969,Prearmados!E:E,Prearmados!F:F,"",0,1))</f>
        <v/>
      </c>
      <c r="E969" s="83" t="str">
        <f>IF(H969="","",SUMIF(Precio_Productos!K:K,C969,Precio_Productos!J:J)*H969)</f>
        <v/>
      </c>
      <c r="F969" s="86" t="str">
        <f t="shared" si="2"/>
        <v/>
      </c>
      <c r="G969" s="86" t="str">
        <f t="shared" si="3"/>
        <v/>
      </c>
      <c r="H969" s="15"/>
      <c r="P969" s="3" t="str">
        <f>IFERROR(__xludf.DUMMYFUNCTION("IF(OR(F969="""",F969=""Seleccionar..""),"""",TRANSPOSE(FILTER(Productos!E:E,(Productos!F:F=D969)+(Productos!F:F=XLOOKUP(D969,Implementos!B:B,Implementos!C:C,""-"",0,1)))))"),"")</f>
        <v/>
      </c>
    </row>
    <row r="970" hidden="1">
      <c r="A970" s="38" t="str">
        <f t="shared" si="1"/>
        <v/>
      </c>
      <c r="B970" s="38" t="str">
        <f>IF(F970="","",SUMIF(Prearmados!E:E,F970,Prearmados!A:A))</f>
        <v/>
      </c>
      <c r="C970" s="38" t="str">
        <f>IF(F970="","",SUMIF(Productos!E:E,G970,Productos!A:A))</f>
        <v/>
      </c>
      <c r="D970" s="85" t="str">
        <f t="array" ref="D970">IF(OR(F970="",F970="Seleccionar.."),"",XLOOKUP(F970,Prearmados!E:E,Prearmados!F:F,"",0,1))</f>
        <v/>
      </c>
      <c r="E970" s="83" t="str">
        <f>IF(H970="","",SUMIF(Precio_Productos!K:K,C970,Precio_Productos!J:J)*H970)</f>
        <v/>
      </c>
      <c r="F970" s="86" t="str">
        <f t="shared" si="2"/>
        <v/>
      </c>
      <c r="G970" s="86" t="str">
        <f t="shared" si="3"/>
        <v/>
      </c>
      <c r="H970" s="15"/>
      <c r="P970" s="3" t="str">
        <f>IFERROR(__xludf.DUMMYFUNCTION("IF(OR(F970="""",F970=""Seleccionar..""),"""",TRANSPOSE(FILTER(Productos!E:E,(Productos!F:F=D970)+(Productos!F:F=XLOOKUP(D970,Implementos!B:B,Implementos!C:C,""-"",0,1)))))"),"")</f>
        <v/>
      </c>
    </row>
    <row r="971" hidden="1">
      <c r="A971" s="38" t="str">
        <f t="shared" si="1"/>
        <v/>
      </c>
      <c r="B971" s="38" t="str">
        <f>IF(F971="","",SUMIF(Prearmados!E:E,F971,Prearmados!A:A))</f>
        <v/>
      </c>
      <c r="C971" s="38" t="str">
        <f>IF(F971="","",SUMIF(Productos!E:E,G971,Productos!A:A))</f>
        <v/>
      </c>
      <c r="D971" s="85" t="str">
        <f t="array" ref="D971">IF(OR(F971="",F971="Seleccionar.."),"",XLOOKUP(F971,Prearmados!E:E,Prearmados!F:F,"",0,1))</f>
        <v/>
      </c>
      <c r="E971" s="83" t="str">
        <f>IF(H971="","",SUMIF(Precio_Productos!K:K,C971,Precio_Productos!J:J)*H971)</f>
        <v/>
      </c>
      <c r="F971" s="86" t="str">
        <f t="shared" si="2"/>
        <v/>
      </c>
      <c r="G971" s="86" t="str">
        <f t="shared" si="3"/>
        <v/>
      </c>
      <c r="H971" s="15"/>
      <c r="P971" s="3" t="str">
        <f>IFERROR(__xludf.DUMMYFUNCTION("IF(OR(F971="""",F971=""Seleccionar..""),"""",TRANSPOSE(FILTER(Productos!E:E,(Productos!F:F=D971)+(Productos!F:F=XLOOKUP(D971,Implementos!B:B,Implementos!C:C,""-"",0,1)))))"),"")</f>
        <v/>
      </c>
    </row>
    <row r="972" hidden="1">
      <c r="A972" s="38" t="str">
        <f t="shared" si="1"/>
        <v/>
      </c>
      <c r="B972" s="38" t="str">
        <f>IF(F972="","",SUMIF(Prearmados!E:E,F972,Prearmados!A:A))</f>
        <v/>
      </c>
      <c r="C972" s="38" t="str">
        <f>IF(F972="","",SUMIF(Productos!E:E,G972,Productos!A:A))</f>
        <v/>
      </c>
      <c r="D972" s="85" t="str">
        <f t="array" ref="D972">IF(OR(F972="",F972="Seleccionar.."),"",XLOOKUP(F972,Prearmados!E:E,Prearmados!F:F,"",0,1))</f>
        <v/>
      </c>
      <c r="E972" s="83" t="str">
        <f>IF(H972="","",SUMIF(Precio_Productos!K:K,C972,Precio_Productos!J:J)*H972)</f>
        <v/>
      </c>
      <c r="F972" s="86" t="str">
        <f t="shared" si="2"/>
        <v/>
      </c>
      <c r="G972" s="86" t="str">
        <f t="shared" si="3"/>
        <v/>
      </c>
      <c r="H972" s="15"/>
      <c r="P972" s="3" t="str">
        <f>IFERROR(__xludf.DUMMYFUNCTION("IF(OR(F972="""",F972=""Seleccionar..""),"""",TRANSPOSE(FILTER(Productos!E:E,(Productos!F:F=D972)+(Productos!F:F=XLOOKUP(D972,Implementos!B:B,Implementos!C:C,""-"",0,1)))))"),"")</f>
        <v/>
      </c>
    </row>
    <row r="973" hidden="1">
      <c r="A973" s="38" t="str">
        <f t="shared" si="1"/>
        <v/>
      </c>
      <c r="B973" s="38" t="str">
        <f>IF(F973="","",SUMIF(Prearmados!E:E,F973,Prearmados!A:A))</f>
        <v/>
      </c>
      <c r="C973" s="38" t="str">
        <f>IF(F973="","",SUMIF(Productos!E:E,G973,Productos!A:A))</f>
        <v/>
      </c>
      <c r="D973" s="85" t="str">
        <f t="array" ref="D973">IF(OR(F973="",F973="Seleccionar.."),"",XLOOKUP(F973,Prearmados!E:E,Prearmados!F:F,"",0,1))</f>
        <v/>
      </c>
      <c r="E973" s="83" t="str">
        <f>IF(H973="","",SUMIF(Precio_Productos!K:K,C973,Precio_Productos!J:J)*H973)</f>
        <v/>
      </c>
      <c r="F973" s="86" t="str">
        <f t="shared" si="2"/>
        <v/>
      </c>
      <c r="G973" s="86" t="str">
        <f t="shared" si="3"/>
        <v/>
      </c>
      <c r="H973" s="15"/>
      <c r="P973" s="3" t="str">
        <f>IFERROR(__xludf.DUMMYFUNCTION("IF(OR(F973="""",F973=""Seleccionar..""),"""",TRANSPOSE(FILTER(Productos!E:E,(Productos!F:F=D973)+(Productos!F:F=XLOOKUP(D973,Implementos!B:B,Implementos!C:C,""-"",0,1)))))"),"")</f>
        <v/>
      </c>
    </row>
    <row r="974" hidden="1">
      <c r="A974" s="38" t="str">
        <f t="shared" si="1"/>
        <v/>
      </c>
      <c r="B974" s="38" t="str">
        <f>IF(F974="","",SUMIF(Prearmados!E:E,F974,Prearmados!A:A))</f>
        <v/>
      </c>
      <c r="C974" s="38" t="str">
        <f>IF(F974="","",SUMIF(Productos!E:E,G974,Productos!A:A))</f>
        <v/>
      </c>
      <c r="D974" s="85" t="str">
        <f t="array" ref="D974">IF(OR(F974="",F974="Seleccionar.."),"",XLOOKUP(F974,Prearmados!E:E,Prearmados!F:F,"",0,1))</f>
        <v/>
      </c>
      <c r="E974" s="83" t="str">
        <f>IF(H974="","",SUMIF(Precio_Productos!K:K,C974,Precio_Productos!J:J)*H974)</f>
        <v/>
      </c>
      <c r="F974" s="86" t="str">
        <f t="shared" si="2"/>
        <v/>
      </c>
      <c r="G974" s="86" t="str">
        <f t="shared" si="3"/>
        <v/>
      </c>
      <c r="H974" s="15"/>
      <c r="P974" s="3" t="str">
        <f>IFERROR(__xludf.DUMMYFUNCTION("IF(OR(F974="""",F974=""Seleccionar..""),"""",TRANSPOSE(FILTER(Productos!E:E,(Productos!F:F=D974)+(Productos!F:F=XLOOKUP(D974,Implementos!B:B,Implementos!C:C,""-"",0,1)))))"),"")</f>
        <v/>
      </c>
    </row>
    <row r="975" hidden="1">
      <c r="A975" s="38" t="str">
        <f t="shared" si="1"/>
        <v/>
      </c>
      <c r="B975" s="38" t="str">
        <f>IF(F975="","",SUMIF(Prearmados!E:E,F975,Prearmados!A:A))</f>
        <v/>
      </c>
      <c r="C975" s="38" t="str">
        <f>IF(F975="","",SUMIF(Productos!E:E,G975,Productos!A:A))</f>
        <v/>
      </c>
      <c r="D975" s="85" t="str">
        <f t="array" ref="D975">IF(OR(F975="",F975="Seleccionar.."),"",XLOOKUP(F975,Prearmados!E:E,Prearmados!F:F,"",0,1))</f>
        <v/>
      </c>
      <c r="E975" s="83" t="str">
        <f>IF(H975="","",SUMIF(Precio_Productos!K:K,C975,Precio_Productos!J:J)*H975)</f>
        <v/>
      </c>
      <c r="F975" s="86" t="str">
        <f t="shared" si="2"/>
        <v/>
      </c>
      <c r="G975" s="86" t="str">
        <f t="shared" si="3"/>
        <v/>
      </c>
      <c r="H975" s="15"/>
      <c r="P975" s="3" t="str">
        <f>IFERROR(__xludf.DUMMYFUNCTION("IF(OR(F975="""",F975=""Seleccionar..""),"""",TRANSPOSE(FILTER(Productos!E:E,(Productos!F:F=D975)+(Productos!F:F=XLOOKUP(D975,Implementos!B:B,Implementos!C:C,""-"",0,1)))))"),"")</f>
        <v/>
      </c>
    </row>
    <row r="976" hidden="1">
      <c r="A976" s="38" t="str">
        <f t="shared" si="1"/>
        <v/>
      </c>
      <c r="B976" s="38" t="str">
        <f>IF(F976="","",SUMIF(Prearmados!E:E,F976,Prearmados!A:A))</f>
        <v/>
      </c>
      <c r="C976" s="38" t="str">
        <f>IF(F976="","",SUMIF(Productos!E:E,G976,Productos!A:A))</f>
        <v/>
      </c>
      <c r="D976" s="85" t="str">
        <f t="array" ref="D976">IF(OR(F976="",F976="Seleccionar.."),"",XLOOKUP(F976,Prearmados!E:E,Prearmados!F:F,"",0,1))</f>
        <v/>
      </c>
      <c r="E976" s="83" t="str">
        <f>IF(H976="","",SUMIF(Precio_Productos!K:K,C976,Precio_Productos!J:J)*H976)</f>
        <v/>
      </c>
      <c r="F976" s="86" t="str">
        <f t="shared" si="2"/>
        <v/>
      </c>
      <c r="G976" s="86" t="str">
        <f t="shared" si="3"/>
        <v/>
      </c>
      <c r="H976" s="15"/>
      <c r="P976" s="3" t="str">
        <f>IFERROR(__xludf.DUMMYFUNCTION("IF(OR(F976="""",F976=""Seleccionar..""),"""",TRANSPOSE(FILTER(Productos!E:E,(Productos!F:F=D976)+(Productos!F:F=XLOOKUP(D976,Implementos!B:B,Implementos!C:C,""-"",0,1)))))"),"")</f>
        <v/>
      </c>
    </row>
    <row r="977" hidden="1">
      <c r="A977" s="38" t="str">
        <f t="shared" si="1"/>
        <v/>
      </c>
      <c r="B977" s="38" t="str">
        <f>IF(F977="","",SUMIF(Prearmados!E:E,F977,Prearmados!A:A))</f>
        <v/>
      </c>
      <c r="C977" s="38" t="str">
        <f>IF(F977="","",SUMIF(Productos!E:E,G977,Productos!A:A))</f>
        <v/>
      </c>
      <c r="D977" s="85" t="str">
        <f t="array" ref="D977">IF(OR(F977="",F977="Seleccionar.."),"",XLOOKUP(F977,Prearmados!E:E,Prearmados!F:F,"",0,1))</f>
        <v/>
      </c>
      <c r="E977" s="83" t="str">
        <f>IF(H977="","",SUMIF(Precio_Productos!K:K,C977,Precio_Productos!J:J)*H977)</f>
        <v/>
      </c>
      <c r="F977" s="86" t="str">
        <f t="shared" si="2"/>
        <v/>
      </c>
      <c r="G977" s="86" t="str">
        <f t="shared" si="3"/>
        <v/>
      </c>
      <c r="H977" s="15"/>
      <c r="P977" s="3" t="str">
        <f>IFERROR(__xludf.DUMMYFUNCTION("IF(OR(F977="""",F977=""Seleccionar..""),"""",TRANSPOSE(FILTER(Productos!E:E,(Productos!F:F=D977)+(Productos!F:F=XLOOKUP(D977,Implementos!B:B,Implementos!C:C,""-"",0,1)))))"),"")</f>
        <v/>
      </c>
    </row>
    <row r="978" hidden="1">
      <c r="A978" s="38" t="str">
        <f t="shared" si="1"/>
        <v/>
      </c>
      <c r="B978" s="38" t="str">
        <f>IF(F978="","",SUMIF(Prearmados!E:E,F978,Prearmados!A:A))</f>
        <v/>
      </c>
      <c r="C978" s="38" t="str">
        <f>IF(F978="","",SUMIF(Productos!E:E,G978,Productos!A:A))</f>
        <v/>
      </c>
      <c r="D978" s="85" t="str">
        <f t="array" ref="D978">IF(OR(F978="",F978="Seleccionar.."),"",XLOOKUP(F978,Prearmados!E:E,Prearmados!F:F,"",0,1))</f>
        <v/>
      </c>
      <c r="E978" s="83" t="str">
        <f>IF(H978="","",SUMIF(Precio_Productos!K:K,C978,Precio_Productos!J:J)*H978)</f>
        <v/>
      </c>
      <c r="F978" s="86" t="str">
        <f t="shared" si="2"/>
        <v/>
      </c>
      <c r="G978" s="86" t="str">
        <f t="shared" si="3"/>
        <v/>
      </c>
      <c r="H978" s="15"/>
      <c r="P978" s="3" t="str">
        <f>IFERROR(__xludf.DUMMYFUNCTION("IF(OR(F978="""",F978=""Seleccionar..""),"""",TRANSPOSE(FILTER(Productos!E:E,(Productos!F:F=D978)+(Productos!F:F=XLOOKUP(D978,Implementos!B:B,Implementos!C:C,""-"",0,1)))))"),"")</f>
        <v/>
      </c>
    </row>
    <row r="979" hidden="1">
      <c r="A979" s="38" t="str">
        <f t="shared" si="1"/>
        <v/>
      </c>
      <c r="B979" s="38" t="str">
        <f>IF(F979="","",SUMIF(Prearmados!E:E,F979,Prearmados!A:A))</f>
        <v/>
      </c>
      <c r="C979" s="38" t="str">
        <f>IF(F979="","",SUMIF(Productos!E:E,G979,Productos!A:A))</f>
        <v/>
      </c>
      <c r="D979" s="85" t="str">
        <f t="array" ref="D979">IF(OR(F979="",F979="Seleccionar.."),"",XLOOKUP(F979,Prearmados!E:E,Prearmados!F:F,"",0,1))</f>
        <v/>
      </c>
      <c r="E979" s="83" t="str">
        <f>IF(H979="","",SUMIF(Precio_Productos!K:K,C979,Precio_Productos!J:J)*H979)</f>
        <v/>
      </c>
      <c r="F979" s="86" t="str">
        <f t="shared" si="2"/>
        <v/>
      </c>
      <c r="G979" s="86" t="str">
        <f t="shared" si="3"/>
        <v/>
      </c>
      <c r="H979" s="15"/>
      <c r="P979" s="3" t="str">
        <f>IFERROR(__xludf.DUMMYFUNCTION("IF(OR(F979="""",F979=""Seleccionar..""),"""",TRANSPOSE(FILTER(Productos!E:E,(Productos!F:F=D979)+(Productos!F:F=XLOOKUP(D979,Implementos!B:B,Implementos!C:C,""-"",0,1)))))"),"")</f>
        <v/>
      </c>
    </row>
    <row r="980" hidden="1">
      <c r="A980" s="38" t="str">
        <f t="shared" si="1"/>
        <v/>
      </c>
      <c r="B980" s="38" t="str">
        <f>IF(F980="","",SUMIF(Prearmados!E:E,F980,Prearmados!A:A))</f>
        <v/>
      </c>
      <c r="C980" s="38" t="str">
        <f>IF(F980="","",SUMIF(Productos!E:E,G980,Productos!A:A))</f>
        <v/>
      </c>
      <c r="D980" s="85" t="str">
        <f t="array" ref="D980">IF(OR(F980="",F980="Seleccionar.."),"",XLOOKUP(F980,Prearmados!E:E,Prearmados!F:F,"",0,1))</f>
        <v/>
      </c>
      <c r="E980" s="83" t="str">
        <f>IF(H980="","",SUMIF(Precio_Productos!K:K,C980,Precio_Productos!J:J)*H980)</f>
        <v/>
      </c>
      <c r="F980" s="86" t="str">
        <f t="shared" si="2"/>
        <v/>
      </c>
      <c r="G980" s="86" t="str">
        <f t="shared" si="3"/>
        <v/>
      </c>
      <c r="H980" s="15"/>
      <c r="P980" s="3" t="str">
        <f>IFERROR(__xludf.DUMMYFUNCTION("IF(OR(F980="""",F980=""Seleccionar..""),"""",TRANSPOSE(FILTER(Productos!E:E,(Productos!F:F=D980)+(Productos!F:F=XLOOKUP(D980,Implementos!B:B,Implementos!C:C,""-"",0,1)))))"),"")</f>
        <v/>
      </c>
    </row>
    <row r="981" hidden="1">
      <c r="A981" s="38" t="str">
        <f t="shared" si="1"/>
        <v/>
      </c>
      <c r="B981" s="38" t="str">
        <f>IF(F981="","",SUMIF(Prearmados!E:E,F981,Prearmados!A:A))</f>
        <v/>
      </c>
      <c r="C981" s="38" t="str">
        <f>IF(F981="","",SUMIF(Productos!E:E,G981,Productos!A:A))</f>
        <v/>
      </c>
      <c r="D981" s="85" t="str">
        <f t="array" ref="D981">IF(OR(F981="",F981="Seleccionar.."),"",XLOOKUP(F981,Prearmados!E:E,Prearmados!F:F,"",0,1))</f>
        <v/>
      </c>
      <c r="E981" s="83" t="str">
        <f>IF(H981="","",SUMIF(Precio_Productos!K:K,C981,Precio_Productos!J:J)*H981)</f>
        <v/>
      </c>
      <c r="F981" s="86" t="str">
        <f t="shared" si="2"/>
        <v/>
      </c>
      <c r="G981" s="86" t="str">
        <f t="shared" si="3"/>
        <v/>
      </c>
      <c r="H981" s="15"/>
      <c r="P981" s="3" t="str">
        <f>IFERROR(__xludf.DUMMYFUNCTION("IF(OR(F981="""",F981=""Seleccionar..""),"""",TRANSPOSE(FILTER(Productos!E:E,(Productos!F:F=D981)+(Productos!F:F=XLOOKUP(D981,Implementos!B:B,Implementos!C:C,""-"",0,1)))))"),"")</f>
        <v/>
      </c>
    </row>
    <row r="982" hidden="1">
      <c r="A982" s="38" t="str">
        <f t="shared" si="1"/>
        <v/>
      </c>
      <c r="B982" s="38" t="str">
        <f>IF(F982="","",SUMIF(Prearmados!E:E,F982,Prearmados!A:A))</f>
        <v/>
      </c>
      <c r="C982" s="38" t="str">
        <f>IF(F982="","",SUMIF(Productos!E:E,G982,Productos!A:A))</f>
        <v/>
      </c>
      <c r="D982" s="85" t="str">
        <f t="array" ref="D982">IF(OR(F982="",F982="Seleccionar.."),"",XLOOKUP(F982,Prearmados!E:E,Prearmados!F:F,"",0,1))</f>
        <v/>
      </c>
      <c r="E982" s="83" t="str">
        <f>IF(H982="","",SUMIF(Precio_Productos!K:K,C982,Precio_Productos!J:J)*H982)</f>
        <v/>
      </c>
      <c r="F982" s="86" t="str">
        <f t="shared" si="2"/>
        <v/>
      </c>
      <c r="G982" s="86" t="str">
        <f t="shared" si="3"/>
        <v/>
      </c>
      <c r="H982" s="15"/>
      <c r="P982" s="3" t="str">
        <f>IFERROR(__xludf.DUMMYFUNCTION("IF(OR(F982="""",F982=""Seleccionar..""),"""",TRANSPOSE(FILTER(Productos!E:E,(Productos!F:F=D982)+(Productos!F:F=XLOOKUP(D982,Implementos!B:B,Implementos!C:C,""-"",0,1)))))"),"")</f>
        <v/>
      </c>
    </row>
    <row r="983" hidden="1">
      <c r="A983" s="38" t="str">
        <f t="shared" si="1"/>
        <v/>
      </c>
      <c r="B983" s="38" t="str">
        <f>IF(F983="","",SUMIF(Prearmados!E:E,F983,Prearmados!A:A))</f>
        <v/>
      </c>
      <c r="C983" s="38" t="str">
        <f>IF(F983="","",SUMIF(Productos!E:E,G983,Productos!A:A))</f>
        <v/>
      </c>
      <c r="D983" s="85" t="str">
        <f t="array" ref="D983">IF(OR(F983="",F983="Seleccionar.."),"",XLOOKUP(F983,Prearmados!E:E,Prearmados!F:F,"",0,1))</f>
        <v/>
      </c>
      <c r="E983" s="83" t="str">
        <f>IF(H983="","",SUMIF(Precio_Productos!K:K,C983,Precio_Productos!J:J)*H983)</f>
        <v/>
      </c>
      <c r="F983" s="86" t="str">
        <f t="shared" si="2"/>
        <v/>
      </c>
      <c r="G983" s="86" t="str">
        <f t="shared" si="3"/>
        <v/>
      </c>
      <c r="H983" s="15"/>
      <c r="P983" s="3" t="str">
        <f>IFERROR(__xludf.DUMMYFUNCTION("IF(OR(F983="""",F983=""Seleccionar..""),"""",TRANSPOSE(FILTER(Productos!E:E,(Productos!F:F=D983)+(Productos!F:F=XLOOKUP(D983,Implementos!B:B,Implementos!C:C,""-"",0,1)))))"),"")</f>
        <v/>
      </c>
    </row>
    <row r="984" hidden="1">
      <c r="A984" s="38" t="str">
        <f t="shared" si="1"/>
        <v/>
      </c>
      <c r="B984" s="38" t="str">
        <f>IF(F984="","",SUMIF(Prearmados!E:E,F984,Prearmados!A:A))</f>
        <v/>
      </c>
      <c r="C984" s="38" t="str">
        <f>IF(F984="","",SUMIF(Productos!E:E,G984,Productos!A:A))</f>
        <v/>
      </c>
      <c r="D984" s="85" t="str">
        <f t="array" ref="D984">IF(OR(F984="",F984="Seleccionar.."),"",XLOOKUP(F984,Prearmados!E:E,Prearmados!F:F,"",0,1))</f>
        <v/>
      </c>
      <c r="E984" s="83" t="str">
        <f>IF(H984="","",SUMIF(Precio_Productos!K:K,C984,Precio_Productos!J:J)*H984)</f>
        <v/>
      </c>
      <c r="F984" s="86" t="str">
        <f t="shared" si="2"/>
        <v/>
      </c>
      <c r="G984" s="86" t="str">
        <f t="shared" si="3"/>
        <v/>
      </c>
      <c r="H984" s="15"/>
      <c r="P984" s="3" t="str">
        <f>IFERROR(__xludf.DUMMYFUNCTION("IF(OR(F984="""",F984=""Seleccionar..""),"""",TRANSPOSE(FILTER(Productos!E:E,(Productos!F:F=D984)+(Productos!F:F=XLOOKUP(D984,Implementos!B:B,Implementos!C:C,""-"",0,1)))))"),"")</f>
        <v/>
      </c>
    </row>
    <row r="985" hidden="1">
      <c r="A985" s="38" t="str">
        <f t="shared" si="1"/>
        <v/>
      </c>
      <c r="B985" s="38" t="str">
        <f>IF(F985="","",SUMIF(Prearmados!E:E,F985,Prearmados!A:A))</f>
        <v/>
      </c>
      <c r="C985" s="38" t="str">
        <f>IF(F985="","",SUMIF(Productos!E:E,G985,Productos!A:A))</f>
        <v/>
      </c>
      <c r="D985" s="85" t="str">
        <f t="array" ref="D985">IF(OR(F985="",F985="Seleccionar.."),"",XLOOKUP(F985,Prearmados!E:E,Prearmados!F:F,"",0,1))</f>
        <v/>
      </c>
      <c r="E985" s="83" t="str">
        <f>IF(H985="","",SUMIF(Precio_Productos!K:K,C985,Precio_Productos!J:J)*H985)</f>
        <v/>
      </c>
      <c r="F985" s="86" t="str">
        <f t="shared" si="2"/>
        <v/>
      </c>
      <c r="G985" s="86" t="str">
        <f t="shared" si="3"/>
        <v/>
      </c>
      <c r="H985" s="15"/>
      <c r="P985" s="3" t="str">
        <f>IFERROR(__xludf.DUMMYFUNCTION("IF(OR(F985="""",F985=""Seleccionar..""),"""",TRANSPOSE(FILTER(Productos!E:E,(Productos!F:F=D985)+(Productos!F:F=XLOOKUP(D985,Implementos!B:B,Implementos!C:C,""-"",0,1)))))"),"")</f>
        <v/>
      </c>
    </row>
    <row r="986" hidden="1">
      <c r="A986" s="38" t="str">
        <f t="shared" si="1"/>
        <v/>
      </c>
      <c r="B986" s="38" t="str">
        <f>IF(F986="","",SUMIF(Prearmados!E:E,F986,Prearmados!A:A))</f>
        <v/>
      </c>
      <c r="C986" s="38" t="str">
        <f>IF(F986="","",SUMIF(Productos!E:E,G986,Productos!A:A))</f>
        <v/>
      </c>
      <c r="D986" s="85" t="str">
        <f t="array" ref="D986">IF(OR(F986="",F986="Seleccionar.."),"",XLOOKUP(F986,Prearmados!E:E,Prearmados!F:F,"",0,1))</f>
        <v/>
      </c>
      <c r="E986" s="83" t="str">
        <f>IF(H986="","",SUMIF(Precio_Productos!K:K,C986,Precio_Productos!J:J)*H986)</f>
        <v/>
      </c>
      <c r="F986" s="86" t="str">
        <f t="shared" si="2"/>
        <v/>
      </c>
      <c r="G986" s="86" t="str">
        <f t="shared" si="3"/>
        <v/>
      </c>
      <c r="H986" s="15"/>
      <c r="P986" s="3" t="str">
        <f>IFERROR(__xludf.DUMMYFUNCTION("IF(OR(F986="""",F986=""Seleccionar..""),"""",TRANSPOSE(FILTER(Productos!E:E,(Productos!F:F=D986)+(Productos!F:F=XLOOKUP(D986,Implementos!B:B,Implementos!C:C,""-"",0,1)))))"),"")</f>
        <v/>
      </c>
    </row>
    <row r="987" hidden="1">
      <c r="A987" s="38" t="str">
        <f t="shared" si="1"/>
        <v/>
      </c>
      <c r="B987" s="38" t="str">
        <f>IF(F987="","",SUMIF(Prearmados!E:E,F987,Prearmados!A:A))</f>
        <v/>
      </c>
      <c r="C987" s="38" t="str">
        <f>IF(F987="","",SUMIF(Productos!E:E,G987,Productos!A:A))</f>
        <v/>
      </c>
      <c r="D987" s="85" t="str">
        <f t="array" ref="D987">IF(OR(F987="",F987="Seleccionar.."),"",XLOOKUP(F987,Prearmados!E:E,Prearmados!F:F,"",0,1))</f>
        <v/>
      </c>
      <c r="E987" s="83" t="str">
        <f>IF(H987="","",SUMIF(Precio_Productos!K:K,C987,Precio_Productos!J:J)*H987)</f>
        <v/>
      </c>
      <c r="F987" s="86" t="str">
        <f t="shared" si="2"/>
        <v/>
      </c>
      <c r="G987" s="86" t="str">
        <f t="shared" si="3"/>
        <v/>
      </c>
      <c r="H987" s="15"/>
      <c r="P987" s="3" t="str">
        <f>IFERROR(__xludf.DUMMYFUNCTION("IF(OR(F987="""",F987=""Seleccionar..""),"""",TRANSPOSE(FILTER(Productos!E:E,(Productos!F:F=D987)+(Productos!F:F=XLOOKUP(D987,Implementos!B:B,Implementos!C:C,""-"",0,1)))))"),"")</f>
        <v/>
      </c>
    </row>
    <row r="988" hidden="1">
      <c r="A988" s="38" t="str">
        <f t="shared" si="1"/>
        <v/>
      </c>
      <c r="B988" s="38" t="str">
        <f>IF(F988="","",SUMIF(Prearmados!E:E,F988,Prearmados!A:A))</f>
        <v/>
      </c>
      <c r="C988" s="38" t="str">
        <f>IF(F988="","",SUMIF(Productos!E:E,G988,Productos!A:A))</f>
        <v/>
      </c>
      <c r="D988" s="85" t="str">
        <f t="array" ref="D988">IF(OR(F988="",F988="Seleccionar.."),"",XLOOKUP(F988,Prearmados!E:E,Prearmados!F:F,"",0,1))</f>
        <v/>
      </c>
      <c r="E988" s="83" t="str">
        <f>IF(H988="","",SUMIF(Precio_Productos!K:K,C988,Precio_Productos!J:J)*H988)</f>
        <v/>
      </c>
      <c r="F988" s="86" t="str">
        <f t="shared" si="2"/>
        <v/>
      </c>
      <c r="G988" s="86" t="str">
        <f t="shared" si="3"/>
        <v/>
      </c>
      <c r="H988" s="15"/>
      <c r="P988" s="3" t="str">
        <f>IFERROR(__xludf.DUMMYFUNCTION("IF(OR(F988="""",F988=""Seleccionar..""),"""",TRANSPOSE(FILTER(Productos!E:E,(Productos!F:F=D988)+(Productos!F:F=XLOOKUP(D988,Implementos!B:B,Implementos!C:C,""-"",0,1)))))"),"")</f>
        <v/>
      </c>
    </row>
    <row r="989" hidden="1">
      <c r="A989" s="38" t="str">
        <f t="shared" si="1"/>
        <v/>
      </c>
      <c r="B989" s="38" t="str">
        <f>IF(F989="","",SUMIF(Prearmados!E:E,F989,Prearmados!A:A))</f>
        <v/>
      </c>
      <c r="C989" s="38" t="str">
        <f>IF(F989="","",SUMIF(Productos!E:E,G989,Productos!A:A))</f>
        <v/>
      </c>
      <c r="D989" s="85" t="str">
        <f t="array" ref="D989">IF(OR(F989="",F989="Seleccionar.."),"",XLOOKUP(F989,Prearmados!E:E,Prearmados!F:F,"",0,1))</f>
        <v/>
      </c>
      <c r="E989" s="83" t="str">
        <f>IF(H989="","",SUMIF(Precio_Productos!K:K,C989,Precio_Productos!J:J)*H989)</f>
        <v/>
      </c>
      <c r="F989" s="86" t="str">
        <f t="shared" si="2"/>
        <v/>
      </c>
      <c r="G989" s="86" t="str">
        <f t="shared" si="3"/>
        <v/>
      </c>
      <c r="H989" s="15"/>
      <c r="P989" s="3" t="str">
        <f>IFERROR(__xludf.DUMMYFUNCTION("IF(OR(F989="""",F989=""Seleccionar..""),"""",TRANSPOSE(FILTER(Productos!E:E,(Productos!F:F=D989)+(Productos!F:F=XLOOKUP(D989,Implementos!B:B,Implementos!C:C,""-"",0,1)))))"),"")</f>
        <v/>
      </c>
    </row>
    <row r="990" hidden="1">
      <c r="A990" s="38" t="str">
        <f t="shared" si="1"/>
        <v/>
      </c>
      <c r="B990" s="38" t="str">
        <f>IF(F990="","",SUMIF(Prearmados!E:E,F990,Prearmados!A:A))</f>
        <v/>
      </c>
      <c r="C990" s="38" t="str">
        <f>IF(F990="","",SUMIF(Productos!E:E,G990,Productos!A:A))</f>
        <v/>
      </c>
      <c r="D990" s="85" t="str">
        <f t="array" ref="D990">IF(OR(F990="",F990="Seleccionar.."),"",XLOOKUP(F990,Prearmados!E:E,Prearmados!F:F,"",0,1))</f>
        <v/>
      </c>
      <c r="E990" s="83" t="str">
        <f>IF(H990="","",SUMIF(Precio_Productos!K:K,C990,Precio_Productos!J:J)*H990)</f>
        <v/>
      </c>
      <c r="F990" s="86" t="str">
        <f t="shared" si="2"/>
        <v/>
      </c>
      <c r="G990" s="86" t="str">
        <f t="shared" si="3"/>
        <v/>
      </c>
      <c r="H990" s="15"/>
      <c r="P990" s="3" t="str">
        <f>IFERROR(__xludf.DUMMYFUNCTION("IF(OR(F990="""",F990=""Seleccionar..""),"""",TRANSPOSE(FILTER(Productos!E:E,(Productos!F:F=D990)+(Productos!F:F=XLOOKUP(D990,Implementos!B:B,Implementos!C:C,""-"",0,1)))))"),"")</f>
        <v/>
      </c>
    </row>
    <row r="991" hidden="1">
      <c r="A991" s="38" t="str">
        <f t="shared" si="1"/>
        <v/>
      </c>
      <c r="B991" s="38" t="str">
        <f>IF(F991="","",SUMIF(Prearmados!E:E,F991,Prearmados!A:A))</f>
        <v/>
      </c>
      <c r="C991" s="38" t="str">
        <f>IF(F991="","",SUMIF(Productos!E:E,G991,Productos!A:A))</f>
        <v/>
      </c>
      <c r="D991" s="85" t="str">
        <f t="array" ref="D991">IF(OR(F991="",F991="Seleccionar.."),"",XLOOKUP(F991,Prearmados!E:E,Prearmados!F:F,"",0,1))</f>
        <v/>
      </c>
      <c r="E991" s="83" t="str">
        <f>IF(H991="","",SUMIF(Precio_Productos!K:K,C991,Precio_Productos!J:J)*H991)</f>
        <v/>
      </c>
      <c r="F991" s="86" t="str">
        <f t="shared" si="2"/>
        <v/>
      </c>
      <c r="G991" s="86" t="str">
        <f t="shared" si="3"/>
        <v/>
      </c>
      <c r="H991" s="15"/>
      <c r="P991" s="3" t="str">
        <f>IFERROR(__xludf.DUMMYFUNCTION("IF(OR(F991="""",F991=""Seleccionar..""),"""",TRANSPOSE(FILTER(Productos!E:E,(Productos!F:F=D991)+(Productos!F:F=XLOOKUP(D991,Implementos!B:B,Implementos!C:C,""-"",0,1)))))"),"")</f>
        <v/>
      </c>
    </row>
    <row r="992" hidden="1">
      <c r="A992" s="38" t="str">
        <f t="shared" si="1"/>
        <v/>
      </c>
      <c r="B992" s="38" t="str">
        <f>IF(F992="","",SUMIF(Prearmados!E:E,F992,Prearmados!A:A))</f>
        <v/>
      </c>
      <c r="C992" s="38" t="str">
        <f>IF(F992="","",SUMIF(Productos!E:E,G992,Productos!A:A))</f>
        <v/>
      </c>
      <c r="D992" s="85" t="str">
        <f t="array" ref="D992">IF(OR(F992="",F992="Seleccionar.."),"",XLOOKUP(F992,Prearmados!E:E,Prearmados!F:F,"",0,1))</f>
        <v/>
      </c>
      <c r="E992" s="83" t="str">
        <f>IF(H992="","",SUMIF(Precio_Productos!K:K,C992,Precio_Productos!J:J)*H992)</f>
        <v/>
      </c>
      <c r="F992" s="86" t="str">
        <f t="shared" si="2"/>
        <v/>
      </c>
      <c r="G992" s="86" t="str">
        <f t="shared" si="3"/>
        <v/>
      </c>
      <c r="H992" s="15"/>
      <c r="P992" s="3" t="str">
        <f>IFERROR(__xludf.DUMMYFUNCTION("IF(OR(F992="""",F992=""Seleccionar..""),"""",TRANSPOSE(FILTER(Productos!E:E,(Productos!F:F=D992)+(Productos!F:F=XLOOKUP(D992,Implementos!B:B,Implementos!C:C,""-"",0,1)))))"),"")</f>
        <v/>
      </c>
    </row>
    <row r="993" hidden="1">
      <c r="A993" s="38" t="str">
        <f t="shared" si="1"/>
        <v/>
      </c>
      <c r="B993" s="38" t="str">
        <f>IF(F993="","",SUMIF(Prearmados!E:E,F993,Prearmados!A:A))</f>
        <v/>
      </c>
      <c r="C993" s="38" t="str">
        <f>IF(F993="","",SUMIF(Productos!E:E,G993,Productos!A:A))</f>
        <v/>
      </c>
      <c r="D993" s="85" t="str">
        <f t="array" ref="D993">IF(OR(F993="",F993="Seleccionar.."),"",XLOOKUP(F993,Prearmados!E:E,Prearmados!F:F,"",0,1))</f>
        <v/>
      </c>
      <c r="E993" s="83" t="str">
        <f>IF(H993="","",SUMIF(Precio_Productos!K:K,C993,Precio_Productos!J:J)*H993)</f>
        <v/>
      </c>
      <c r="F993" s="86" t="str">
        <f t="shared" si="2"/>
        <v/>
      </c>
      <c r="G993" s="86" t="str">
        <f t="shared" si="3"/>
        <v/>
      </c>
      <c r="H993" s="15"/>
      <c r="P993" s="3" t="str">
        <f>IFERROR(__xludf.DUMMYFUNCTION("IF(OR(F993="""",F993=""Seleccionar..""),"""",TRANSPOSE(FILTER(Productos!E:E,(Productos!F:F=D993)+(Productos!F:F=XLOOKUP(D993,Implementos!B:B,Implementos!C:C,""-"",0,1)))))"),"")</f>
        <v/>
      </c>
    </row>
    <row r="994" hidden="1">
      <c r="A994" s="38" t="str">
        <f t="shared" si="1"/>
        <v/>
      </c>
      <c r="B994" s="38" t="str">
        <f>IF(F994="","",SUMIF(Prearmados!E:E,F994,Prearmados!A:A))</f>
        <v/>
      </c>
      <c r="C994" s="38" t="str">
        <f>IF(F994="","",SUMIF(Productos!E:E,G994,Productos!A:A))</f>
        <v/>
      </c>
      <c r="D994" s="85" t="str">
        <f t="array" ref="D994">IF(OR(F994="",F994="Seleccionar.."),"",XLOOKUP(F994,Prearmados!E:E,Prearmados!F:F,"",0,1))</f>
        <v/>
      </c>
      <c r="E994" s="83" t="str">
        <f>IF(H994="","",SUMIF(Precio_Productos!K:K,C994,Precio_Productos!J:J)*H994)</f>
        <v/>
      </c>
      <c r="F994" s="86" t="str">
        <f t="shared" si="2"/>
        <v/>
      </c>
      <c r="G994" s="86" t="str">
        <f t="shared" si="3"/>
        <v/>
      </c>
      <c r="H994" s="15"/>
      <c r="P994" s="3" t="str">
        <f>IFERROR(__xludf.DUMMYFUNCTION("IF(OR(F994="""",F994=""Seleccionar..""),"""",TRANSPOSE(FILTER(Productos!E:E,(Productos!F:F=D994)+(Productos!F:F=XLOOKUP(D994,Implementos!B:B,Implementos!C:C,""-"",0,1)))))"),"")</f>
        <v/>
      </c>
    </row>
    <row r="995" hidden="1">
      <c r="A995" s="38" t="str">
        <f t="shared" si="1"/>
        <v/>
      </c>
      <c r="B995" s="38" t="str">
        <f>IF(F995="","",SUMIF(Prearmados!E:E,F995,Prearmados!A:A))</f>
        <v/>
      </c>
      <c r="C995" s="38" t="str">
        <f>IF(F995="","",SUMIF(Productos!E:E,G995,Productos!A:A))</f>
        <v/>
      </c>
      <c r="D995" s="85" t="str">
        <f t="array" ref="D995">IF(OR(F995="",F995="Seleccionar.."),"",XLOOKUP(F995,Prearmados!E:E,Prearmados!F:F,"",0,1))</f>
        <v/>
      </c>
      <c r="E995" s="83" t="str">
        <f>IF(H995="","",SUMIF(Precio_Productos!K:K,C995,Precio_Productos!J:J)*H995)</f>
        <v/>
      </c>
      <c r="F995" s="86" t="str">
        <f t="shared" si="2"/>
        <v/>
      </c>
      <c r="G995" s="86" t="str">
        <f t="shared" si="3"/>
        <v/>
      </c>
      <c r="H995" s="15"/>
      <c r="P995" s="3" t="str">
        <f>IFERROR(__xludf.DUMMYFUNCTION("IF(OR(F995="""",F995=""Seleccionar..""),"""",TRANSPOSE(FILTER(Productos!E:E,(Productos!F:F=D995)+(Productos!F:F=XLOOKUP(D995,Implementos!B:B,Implementos!C:C,""-"",0,1)))))"),"")</f>
        <v/>
      </c>
    </row>
    <row r="996" hidden="1">
      <c r="A996" s="38" t="str">
        <f t="shared" si="1"/>
        <v/>
      </c>
      <c r="B996" s="38" t="str">
        <f>IF(F996="","",SUMIF(Prearmados!E:E,F996,Prearmados!A:A))</f>
        <v/>
      </c>
      <c r="C996" s="38" t="str">
        <f>IF(F996="","",SUMIF(Productos!E:E,G996,Productos!A:A))</f>
        <v/>
      </c>
      <c r="D996" s="85" t="str">
        <f t="array" ref="D996">IF(OR(F996="",F996="Seleccionar.."),"",XLOOKUP(F996,Prearmados!E:E,Prearmados!F:F,"",0,1))</f>
        <v/>
      </c>
      <c r="E996" s="83" t="str">
        <f>IF(H996="","",SUMIF(Precio_Productos!K:K,C996,Precio_Productos!J:J)*H996)</f>
        <v/>
      </c>
      <c r="F996" s="86" t="str">
        <f t="shared" si="2"/>
        <v/>
      </c>
      <c r="G996" s="86" t="str">
        <f t="shared" si="3"/>
        <v/>
      </c>
      <c r="H996" s="15"/>
      <c r="P996" s="3" t="str">
        <f>IFERROR(__xludf.DUMMYFUNCTION("IF(OR(F996="""",F996=""Seleccionar..""),"""",TRANSPOSE(FILTER(Productos!E:E,(Productos!F:F=D996)+(Productos!F:F=XLOOKUP(D996,Implementos!B:B,Implementos!C:C,""-"",0,1)))))"),"")</f>
        <v/>
      </c>
    </row>
    <row r="997" hidden="1">
      <c r="A997" s="38" t="str">
        <f t="shared" si="1"/>
        <v/>
      </c>
      <c r="B997" s="38" t="str">
        <f>IF(F997="","",SUMIF(Prearmados!E:E,F997,Prearmados!A:A))</f>
        <v/>
      </c>
      <c r="C997" s="38" t="str">
        <f>IF(F997="","",SUMIF(Productos!E:E,G997,Productos!A:A))</f>
        <v/>
      </c>
      <c r="D997" s="85" t="str">
        <f t="array" ref="D997">IF(OR(F997="",F997="Seleccionar.."),"",XLOOKUP(F997,Prearmados!E:E,Prearmados!F:F,"",0,1))</f>
        <v/>
      </c>
      <c r="E997" s="83" t="str">
        <f>IF(H997="","",SUMIF(Precio_Productos!K:K,C997,Precio_Productos!J:J)*H997)</f>
        <v/>
      </c>
      <c r="F997" s="86" t="str">
        <f t="shared" si="2"/>
        <v/>
      </c>
      <c r="G997" s="86" t="str">
        <f t="shared" si="3"/>
        <v/>
      </c>
      <c r="H997" s="15"/>
      <c r="P997" s="3" t="str">
        <f>IFERROR(__xludf.DUMMYFUNCTION("IF(OR(F997="""",F997=""Seleccionar..""),"""",TRANSPOSE(FILTER(Productos!E:E,(Productos!F:F=D997)+(Productos!F:F=XLOOKUP(D997,Implementos!B:B,Implementos!C:C,""-"",0,1)))))"),"")</f>
        <v/>
      </c>
    </row>
    <row r="998" hidden="1">
      <c r="A998" s="38" t="str">
        <f t="shared" si="1"/>
        <v/>
      </c>
      <c r="B998" s="38" t="str">
        <f>IF(F998="","",SUMIF(Prearmados!E:E,F998,Prearmados!A:A))</f>
        <v/>
      </c>
      <c r="C998" s="38" t="str">
        <f>IF(F998="","",SUMIF(Productos!E:E,G998,Productos!A:A))</f>
        <v/>
      </c>
      <c r="D998" s="85" t="str">
        <f t="array" ref="D998">IF(OR(F998="",F998="Seleccionar.."),"",XLOOKUP(F998,Prearmados!E:E,Prearmados!F:F,"",0,1))</f>
        <v/>
      </c>
      <c r="E998" s="83" t="str">
        <f>IF(H998="","",SUMIF(Precio_Productos!K:K,C998,Precio_Productos!J:J)*H998)</f>
        <v/>
      </c>
      <c r="F998" s="86" t="str">
        <f t="shared" si="2"/>
        <v/>
      </c>
      <c r="G998" s="86" t="str">
        <f t="shared" si="3"/>
        <v/>
      </c>
      <c r="H998" s="15"/>
      <c r="P998" s="3" t="str">
        <f>IFERROR(__xludf.DUMMYFUNCTION("IF(OR(F998="""",F998=""Seleccionar..""),"""",TRANSPOSE(FILTER(Productos!E:E,(Productos!F:F=D998)+(Productos!F:F=XLOOKUP(D998,Implementos!B:B,Implementos!C:C,""-"",0,1)))))"),"")</f>
        <v/>
      </c>
    </row>
  </sheetData>
  <autoFilter ref="$A$1:$H$998">
    <filterColumn colId="5">
      <filters>
        <filter val="Grua de Arrastre G2000 Hidráulica"/>
      </filters>
    </filterColumn>
  </autoFilter>
  <dataValidations>
    <dataValidation type="list" allowBlank="1" showErrorMessage="1" sqref="G2:G998">
      <formula1>Estructuras!$P2:$DW2</formula1>
    </dataValidation>
    <dataValidation type="list" allowBlank="1" showErrorMessage="1" sqref="F2:F998">
      <formula1>Prearmados!$E$3:$E$1001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5" t="s">
        <v>47</v>
      </c>
      <c r="B1" s="5" t="s">
        <v>382</v>
      </c>
      <c r="C1" s="5" t="s">
        <v>383</v>
      </c>
      <c r="D1" s="2" t="s">
        <v>384</v>
      </c>
      <c r="E1" s="1" t="s">
        <v>385</v>
      </c>
    </row>
    <row r="2">
      <c r="A2" s="4">
        <f t="shared" ref="A2:A10" si="1">IF(B2="","",max(A$1:A1)+1)</f>
        <v>1</v>
      </c>
      <c r="B2" s="2" t="s">
        <v>349</v>
      </c>
      <c r="C2" s="4"/>
      <c r="D2" s="4"/>
    </row>
    <row r="3">
      <c r="A3" s="4">
        <f t="shared" si="1"/>
        <v>2</v>
      </c>
      <c r="B3" s="2" t="s">
        <v>376</v>
      </c>
      <c r="C3" s="2"/>
      <c r="D3" s="2"/>
      <c r="E3" s="1" t="s">
        <v>386</v>
      </c>
    </row>
    <row r="4">
      <c r="A4" s="4">
        <f t="shared" si="1"/>
        <v>3</v>
      </c>
      <c r="B4" s="2" t="s">
        <v>364</v>
      </c>
      <c r="C4" s="2" t="s">
        <v>387</v>
      </c>
      <c r="D4" s="2">
        <v>1.0</v>
      </c>
    </row>
    <row r="5">
      <c r="A5" s="4">
        <f t="shared" si="1"/>
        <v>4</v>
      </c>
      <c r="B5" s="2" t="s">
        <v>358</v>
      </c>
      <c r="C5" s="2" t="s">
        <v>387</v>
      </c>
      <c r="D5" s="2">
        <v>1.0</v>
      </c>
    </row>
    <row r="6">
      <c r="A6" s="4">
        <f t="shared" si="1"/>
        <v>5</v>
      </c>
      <c r="B6" s="2" t="s">
        <v>373</v>
      </c>
      <c r="C6" s="2" t="s">
        <v>387</v>
      </c>
      <c r="D6" s="2">
        <v>1.0</v>
      </c>
    </row>
    <row r="7">
      <c r="A7" s="4">
        <f t="shared" si="1"/>
        <v>6</v>
      </c>
      <c r="B7" s="2" t="s">
        <v>28</v>
      </c>
      <c r="C7" s="2" t="s">
        <v>387</v>
      </c>
      <c r="D7" s="2">
        <v>3.0</v>
      </c>
    </row>
    <row r="8">
      <c r="A8" s="4">
        <f t="shared" si="1"/>
        <v>7</v>
      </c>
      <c r="B8" s="2" t="s">
        <v>388</v>
      </c>
      <c r="C8" s="2" t="s">
        <v>387</v>
      </c>
      <c r="D8" s="2">
        <v>3.0</v>
      </c>
    </row>
    <row r="9">
      <c r="A9" s="4">
        <f t="shared" si="1"/>
        <v>8</v>
      </c>
      <c r="B9" s="2" t="s">
        <v>389</v>
      </c>
      <c r="C9" s="2" t="s">
        <v>387</v>
      </c>
      <c r="D9" s="2">
        <v>1.0</v>
      </c>
    </row>
    <row r="10">
      <c r="A10" s="4">
        <f t="shared" si="1"/>
        <v>9</v>
      </c>
      <c r="B10" s="2" t="s">
        <v>390</v>
      </c>
      <c r="C10" s="2" t="s">
        <v>387</v>
      </c>
      <c r="D10" s="2">
        <v>2.0</v>
      </c>
    </row>
    <row r="11">
      <c r="A11" s="2">
        <v>10.0</v>
      </c>
      <c r="B11" s="2" t="s">
        <v>387</v>
      </c>
      <c r="C11" s="4"/>
      <c r="D11" s="4"/>
    </row>
    <row r="12">
      <c r="A12" s="4">
        <f t="shared" ref="A12:A1000" si="2">IF(B12="","",max(A$1:A11)+1)</f>
        <v>11</v>
      </c>
      <c r="B12" s="2" t="s">
        <v>391</v>
      </c>
      <c r="C12" s="4"/>
      <c r="D12" s="4"/>
    </row>
    <row r="13">
      <c r="A13" s="4" t="str">
        <f t="shared" si="2"/>
        <v/>
      </c>
      <c r="B13" s="4"/>
      <c r="C13" s="4"/>
      <c r="D13" s="4"/>
    </row>
    <row r="14">
      <c r="A14" s="4" t="str">
        <f t="shared" si="2"/>
        <v/>
      </c>
      <c r="B14" s="4"/>
      <c r="C14" s="4"/>
      <c r="D14" s="4"/>
    </row>
    <row r="15">
      <c r="A15" s="4" t="str">
        <f t="shared" si="2"/>
        <v/>
      </c>
      <c r="B15" s="4"/>
      <c r="C15" s="4"/>
      <c r="D15" s="4"/>
    </row>
    <row r="16">
      <c r="A16" s="4" t="str">
        <f t="shared" si="2"/>
        <v/>
      </c>
      <c r="B16" s="4"/>
      <c r="C16" s="4"/>
      <c r="D16" s="4"/>
    </row>
    <row r="17">
      <c r="A17" s="4" t="str">
        <f t="shared" si="2"/>
        <v/>
      </c>
      <c r="B17" s="4"/>
      <c r="C17" s="4"/>
      <c r="D17" s="4"/>
    </row>
    <row r="18">
      <c r="A18" s="4" t="str">
        <f t="shared" si="2"/>
        <v/>
      </c>
      <c r="B18" s="4"/>
      <c r="C18" s="4"/>
      <c r="D18" s="4"/>
    </row>
    <row r="19">
      <c r="A19" s="4" t="str">
        <f t="shared" si="2"/>
        <v/>
      </c>
      <c r="B19" s="4"/>
      <c r="C19" s="4"/>
      <c r="D19" s="4"/>
    </row>
    <row r="20">
      <c r="A20" s="4" t="str">
        <f t="shared" si="2"/>
        <v/>
      </c>
      <c r="B20" s="4"/>
      <c r="C20" s="4"/>
      <c r="D20" s="4"/>
    </row>
    <row r="21">
      <c r="A21" s="4" t="str">
        <f t="shared" si="2"/>
        <v/>
      </c>
      <c r="B21" s="4"/>
      <c r="C21" s="4"/>
      <c r="D21" s="4"/>
    </row>
    <row r="22">
      <c r="A22" s="4" t="str">
        <f t="shared" si="2"/>
        <v/>
      </c>
      <c r="B22" s="4"/>
      <c r="C22" s="4"/>
      <c r="D22" s="4"/>
    </row>
    <row r="23">
      <c r="A23" s="4" t="str">
        <f t="shared" si="2"/>
        <v/>
      </c>
      <c r="B23" s="4"/>
      <c r="C23" s="4"/>
      <c r="D23" s="4"/>
    </row>
    <row r="24">
      <c r="A24" s="4" t="str">
        <f t="shared" si="2"/>
        <v/>
      </c>
      <c r="B24" s="4"/>
      <c r="C24" s="4"/>
      <c r="D24" s="4"/>
    </row>
    <row r="25">
      <c r="A25" s="4" t="str">
        <f t="shared" si="2"/>
        <v/>
      </c>
      <c r="B25" s="4"/>
      <c r="C25" s="4"/>
      <c r="D25" s="4"/>
    </row>
    <row r="26">
      <c r="A26" s="4" t="str">
        <f t="shared" si="2"/>
        <v/>
      </c>
      <c r="B26" s="4"/>
      <c r="C26" s="4"/>
      <c r="D26" s="4"/>
    </row>
    <row r="27">
      <c r="A27" s="4" t="str">
        <f t="shared" si="2"/>
        <v/>
      </c>
      <c r="B27" s="4"/>
      <c r="C27" s="4"/>
      <c r="D27" s="4"/>
    </row>
    <row r="28">
      <c r="A28" s="4" t="str">
        <f t="shared" si="2"/>
        <v/>
      </c>
      <c r="B28" s="4"/>
      <c r="C28" s="4"/>
      <c r="D28" s="4"/>
    </row>
    <row r="29">
      <c r="A29" s="4" t="str">
        <f t="shared" si="2"/>
        <v/>
      </c>
      <c r="B29" s="4"/>
      <c r="C29" s="4"/>
      <c r="D29" s="4"/>
    </row>
    <row r="30">
      <c r="A30" s="4" t="str">
        <f t="shared" si="2"/>
        <v/>
      </c>
      <c r="B30" s="4"/>
      <c r="C30" s="4"/>
      <c r="D30" s="4"/>
    </row>
    <row r="31">
      <c r="A31" s="4" t="str">
        <f t="shared" si="2"/>
        <v/>
      </c>
      <c r="B31" s="4"/>
      <c r="C31" s="4"/>
      <c r="D31" s="4"/>
    </row>
    <row r="32">
      <c r="A32" s="4" t="str">
        <f t="shared" si="2"/>
        <v/>
      </c>
      <c r="B32" s="4"/>
      <c r="C32" s="4"/>
      <c r="D32" s="4"/>
    </row>
    <row r="33">
      <c r="A33" s="4" t="str">
        <f t="shared" si="2"/>
        <v/>
      </c>
      <c r="B33" s="4"/>
      <c r="C33" s="4"/>
      <c r="D33" s="4"/>
    </row>
    <row r="34">
      <c r="A34" s="4" t="str">
        <f t="shared" si="2"/>
        <v/>
      </c>
      <c r="B34" s="4"/>
      <c r="C34" s="4"/>
      <c r="D34" s="4"/>
    </row>
    <row r="35">
      <c r="A35" s="4" t="str">
        <f t="shared" si="2"/>
        <v/>
      </c>
      <c r="B35" s="4"/>
      <c r="C35" s="4"/>
      <c r="D35" s="4"/>
    </row>
    <row r="36">
      <c r="A36" s="4" t="str">
        <f t="shared" si="2"/>
        <v/>
      </c>
      <c r="B36" s="4"/>
      <c r="C36" s="4"/>
      <c r="D36" s="4"/>
    </row>
    <row r="37">
      <c r="A37" s="4" t="str">
        <f t="shared" si="2"/>
        <v/>
      </c>
      <c r="B37" s="4"/>
      <c r="C37" s="4"/>
      <c r="D37" s="4"/>
    </row>
    <row r="38">
      <c r="A38" s="4" t="str">
        <f t="shared" si="2"/>
        <v/>
      </c>
      <c r="B38" s="4"/>
      <c r="C38" s="4"/>
      <c r="D38" s="4"/>
    </row>
    <row r="39">
      <c r="A39" s="4" t="str">
        <f t="shared" si="2"/>
        <v/>
      </c>
      <c r="B39" s="4"/>
      <c r="C39" s="4"/>
      <c r="D39" s="4"/>
    </row>
    <row r="40">
      <c r="A40" s="4" t="str">
        <f t="shared" si="2"/>
        <v/>
      </c>
      <c r="B40" s="4"/>
      <c r="C40" s="4"/>
      <c r="D40" s="4"/>
    </row>
    <row r="41">
      <c r="A41" s="4" t="str">
        <f t="shared" si="2"/>
        <v/>
      </c>
      <c r="B41" s="4"/>
      <c r="C41" s="4"/>
      <c r="D41" s="4"/>
    </row>
    <row r="42">
      <c r="A42" s="4" t="str">
        <f t="shared" si="2"/>
        <v/>
      </c>
      <c r="B42" s="4"/>
      <c r="C42" s="4"/>
      <c r="D42" s="4"/>
    </row>
    <row r="43">
      <c r="A43" s="4" t="str">
        <f t="shared" si="2"/>
        <v/>
      </c>
      <c r="B43" s="4"/>
      <c r="C43" s="4"/>
      <c r="D43" s="4"/>
    </row>
    <row r="44">
      <c r="A44" s="4" t="str">
        <f t="shared" si="2"/>
        <v/>
      </c>
      <c r="B44" s="4"/>
      <c r="C44" s="4"/>
      <c r="D44" s="4"/>
    </row>
    <row r="45">
      <c r="A45" s="4" t="str">
        <f t="shared" si="2"/>
        <v/>
      </c>
      <c r="B45" s="4"/>
      <c r="C45" s="4"/>
      <c r="D45" s="4"/>
    </row>
    <row r="46">
      <c r="A46" s="4" t="str">
        <f t="shared" si="2"/>
        <v/>
      </c>
      <c r="B46" s="4"/>
      <c r="C46" s="4"/>
      <c r="D46" s="4"/>
    </row>
    <row r="47">
      <c r="A47" s="4" t="str">
        <f t="shared" si="2"/>
        <v/>
      </c>
      <c r="B47" s="4"/>
      <c r="C47" s="4"/>
      <c r="D47" s="4"/>
    </row>
    <row r="48">
      <c r="A48" s="4" t="str">
        <f t="shared" si="2"/>
        <v/>
      </c>
      <c r="B48" s="4"/>
      <c r="C48" s="4"/>
      <c r="D48" s="4"/>
    </row>
    <row r="49">
      <c r="A49" s="4" t="str">
        <f t="shared" si="2"/>
        <v/>
      </c>
      <c r="B49" s="4"/>
      <c r="C49" s="4"/>
      <c r="D49" s="4"/>
    </row>
    <row r="50">
      <c r="A50" s="4" t="str">
        <f t="shared" si="2"/>
        <v/>
      </c>
      <c r="B50" s="4"/>
      <c r="C50" s="4"/>
      <c r="D50" s="4"/>
    </row>
    <row r="51">
      <c r="A51" s="4" t="str">
        <f t="shared" si="2"/>
        <v/>
      </c>
      <c r="B51" s="4"/>
      <c r="C51" s="4"/>
      <c r="D51" s="4"/>
    </row>
    <row r="52">
      <c r="A52" s="4" t="str">
        <f t="shared" si="2"/>
        <v/>
      </c>
      <c r="B52" s="4"/>
      <c r="C52" s="4"/>
      <c r="D52" s="4"/>
    </row>
    <row r="53">
      <c r="A53" s="4" t="str">
        <f t="shared" si="2"/>
        <v/>
      </c>
      <c r="B53" s="4"/>
      <c r="C53" s="4"/>
      <c r="D53" s="4"/>
    </row>
    <row r="54">
      <c r="A54" s="4" t="str">
        <f t="shared" si="2"/>
        <v/>
      </c>
      <c r="B54" s="4"/>
      <c r="C54" s="4"/>
      <c r="D54" s="4"/>
    </row>
    <row r="55">
      <c r="A55" s="4" t="str">
        <f t="shared" si="2"/>
        <v/>
      </c>
      <c r="B55" s="4"/>
      <c r="C55" s="4"/>
      <c r="D55" s="4"/>
    </row>
    <row r="56">
      <c r="A56" s="4" t="str">
        <f t="shared" si="2"/>
        <v/>
      </c>
      <c r="B56" s="4"/>
      <c r="C56" s="4"/>
      <c r="D56" s="4"/>
    </row>
    <row r="57">
      <c r="A57" s="4" t="str">
        <f t="shared" si="2"/>
        <v/>
      </c>
      <c r="B57" s="4"/>
      <c r="C57" s="4"/>
      <c r="D57" s="4"/>
    </row>
    <row r="58">
      <c r="A58" s="4" t="str">
        <f t="shared" si="2"/>
        <v/>
      </c>
      <c r="B58" s="4"/>
      <c r="C58" s="4"/>
      <c r="D58" s="4"/>
    </row>
    <row r="59">
      <c r="A59" s="4" t="str">
        <f t="shared" si="2"/>
        <v/>
      </c>
      <c r="B59" s="4"/>
      <c r="C59" s="4"/>
      <c r="D59" s="4"/>
    </row>
    <row r="60">
      <c r="A60" s="4" t="str">
        <f t="shared" si="2"/>
        <v/>
      </c>
      <c r="B60" s="4"/>
      <c r="C60" s="4"/>
      <c r="D60" s="4"/>
    </row>
    <row r="61">
      <c r="A61" s="4" t="str">
        <f t="shared" si="2"/>
        <v/>
      </c>
      <c r="B61" s="4"/>
      <c r="C61" s="4"/>
      <c r="D61" s="4"/>
    </row>
    <row r="62">
      <c r="A62" s="4" t="str">
        <f t="shared" si="2"/>
        <v/>
      </c>
      <c r="B62" s="4"/>
      <c r="C62" s="4"/>
      <c r="D62" s="4"/>
    </row>
    <row r="63">
      <c r="A63" s="4" t="str">
        <f t="shared" si="2"/>
        <v/>
      </c>
      <c r="B63" s="4"/>
      <c r="C63" s="4"/>
      <c r="D63" s="4"/>
    </row>
    <row r="64">
      <c r="A64" s="4" t="str">
        <f t="shared" si="2"/>
        <v/>
      </c>
      <c r="B64" s="4"/>
      <c r="C64" s="4"/>
      <c r="D64" s="4"/>
    </row>
    <row r="65">
      <c r="A65" s="4" t="str">
        <f t="shared" si="2"/>
        <v/>
      </c>
      <c r="B65" s="4"/>
      <c r="C65" s="4"/>
      <c r="D65" s="4"/>
    </row>
    <row r="66">
      <c r="A66" s="4" t="str">
        <f t="shared" si="2"/>
        <v/>
      </c>
      <c r="B66" s="4"/>
      <c r="C66" s="4"/>
      <c r="D66" s="4"/>
    </row>
    <row r="67">
      <c r="A67" s="4" t="str">
        <f t="shared" si="2"/>
        <v/>
      </c>
      <c r="B67" s="4"/>
      <c r="C67" s="4"/>
      <c r="D67" s="4"/>
    </row>
    <row r="68">
      <c r="A68" s="4" t="str">
        <f t="shared" si="2"/>
        <v/>
      </c>
      <c r="B68" s="4"/>
      <c r="C68" s="4"/>
      <c r="D68" s="4"/>
    </row>
    <row r="69">
      <c r="A69" s="4" t="str">
        <f t="shared" si="2"/>
        <v/>
      </c>
      <c r="B69" s="4"/>
      <c r="C69" s="4"/>
      <c r="D69" s="4"/>
    </row>
    <row r="70">
      <c r="A70" s="4" t="str">
        <f t="shared" si="2"/>
        <v/>
      </c>
      <c r="B70" s="4"/>
      <c r="C70" s="4"/>
      <c r="D70" s="4"/>
    </row>
    <row r="71">
      <c r="A71" s="4" t="str">
        <f t="shared" si="2"/>
        <v/>
      </c>
      <c r="B71" s="4"/>
      <c r="C71" s="4"/>
      <c r="D71" s="4"/>
    </row>
    <row r="72">
      <c r="A72" s="4" t="str">
        <f t="shared" si="2"/>
        <v/>
      </c>
      <c r="B72" s="4"/>
      <c r="C72" s="4"/>
      <c r="D72" s="4"/>
    </row>
    <row r="73">
      <c r="A73" s="4" t="str">
        <f t="shared" si="2"/>
        <v/>
      </c>
      <c r="B73" s="4"/>
      <c r="C73" s="4"/>
      <c r="D73" s="4"/>
    </row>
    <row r="74">
      <c r="A74" s="4" t="str">
        <f t="shared" si="2"/>
        <v/>
      </c>
      <c r="B74" s="4"/>
      <c r="C74" s="4"/>
      <c r="D74" s="4"/>
    </row>
    <row r="75">
      <c r="A75" s="4" t="str">
        <f t="shared" si="2"/>
        <v/>
      </c>
      <c r="B75" s="4"/>
      <c r="C75" s="4"/>
      <c r="D75" s="4"/>
    </row>
    <row r="76">
      <c r="A76" s="4" t="str">
        <f t="shared" si="2"/>
        <v/>
      </c>
      <c r="B76" s="4"/>
      <c r="C76" s="4"/>
      <c r="D76" s="4"/>
    </row>
    <row r="77">
      <c r="A77" s="4" t="str">
        <f t="shared" si="2"/>
        <v/>
      </c>
      <c r="B77" s="4"/>
      <c r="C77" s="4"/>
      <c r="D77" s="4"/>
    </row>
    <row r="78">
      <c r="A78" s="4" t="str">
        <f t="shared" si="2"/>
        <v/>
      </c>
      <c r="B78" s="4"/>
      <c r="C78" s="4"/>
      <c r="D78" s="4"/>
    </row>
    <row r="79">
      <c r="A79" s="4" t="str">
        <f t="shared" si="2"/>
        <v/>
      </c>
      <c r="B79" s="4"/>
      <c r="C79" s="4"/>
      <c r="D79" s="4"/>
    </row>
    <row r="80">
      <c r="A80" s="4" t="str">
        <f t="shared" si="2"/>
        <v/>
      </c>
      <c r="B80" s="4"/>
      <c r="C80" s="4"/>
      <c r="D80" s="4"/>
    </row>
    <row r="81">
      <c r="A81" s="4" t="str">
        <f t="shared" si="2"/>
        <v/>
      </c>
      <c r="B81" s="4"/>
      <c r="C81" s="4"/>
      <c r="D81" s="4"/>
    </row>
    <row r="82">
      <c r="A82" s="4" t="str">
        <f t="shared" si="2"/>
        <v/>
      </c>
      <c r="B82" s="4"/>
      <c r="C82" s="4"/>
      <c r="D82" s="4"/>
    </row>
    <row r="83">
      <c r="A83" s="4" t="str">
        <f t="shared" si="2"/>
        <v/>
      </c>
      <c r="B83" s="4"/>
      <c r="C83" s="4"/>
      <c r="D83" s="4"/>
    </row>
    <row r="84">
      <c r="A84" s="4" t="str">
        <f t="shared" si="2"/>
        <v/>
      </c>
      <c r="B84" s="4"/>
      <c r="C84" s="4"/>
      <c r="D84" s="4"/>
    </row>
    <row r="85">
      <c r="A85" s="4" t="str">
        <f t="shared" si="2"/>
        <v/>
      </c>
      <c r="B85" s="4"/>
      <c r="C85" s="4"/>
      <c r="D85" s="4"/>
    </row>
    <row r="86">
      <c r="A86" s="4" t="str">
        <f t="shared" si="2"/>
        <v/>
      </c>
      <c r="B86" s="4"/>
      <c r="C86" s="4"/>
      <c r="D86" s="4"/>
    </row>
    <row r="87">
      <c r="A87" s="4" t="str">
        <f t="shared" si="2"/>
        <v/>
      </c>
      <c r="B87" s="4"/>
      <c r="C87" s="4"/>
      <c r="D87" s="4"/>
    </row>
    <row r="88">
      <c r="A88" s="4" t="str">
        <f t="shared" si="2"/>
        <v/>
      </c>
      <c r="B88" s="4"/>
      <c r="C88" s="4"/>
      <c r="D88" s="4"/>
    </row>
    <row r="89">
      <c r="A89" s="4" t="str">
        <f t="shared" si="2"/>
        <v/>
      </c>
      <c r="B89" s="4"/>
      <c r="C89" s="4"/>
      <c r="D89" s="4"/>
    </row>
    <row r="90">
      <c r="A90" s="4" t="str">
        <f t="shared" si="2"/>
        <v/>
      </c>
      <c r="B90" s="4"/>
      <c r="C90" s="4"/>
      <c r="D90" s="4"/>
    </row>
    <row r="91">
      <c r="A91" s="4" t="str">
        <f t="shared" si="2"/>
        <v/>
      </c>
      <c r="B91" s="4"/>
      <c r="C91" s="4"/>
      <c r="D91" s="4"/>
    </row>
    <row r="92">
      <c r="A92" s="4" t="str">
        <f t="shared" si="2"/>
        <v/>
      </c>
      <c r="B92" s="4"/>
      <c r="C92" s="4"/>
      <c r="D92" s="4"/>
    </row>
    <row r="93">
      <c r="A93" s="4" t="str">
        <f t="shared" si="2"/>
        <v/>
      </c>
      <c r="B93" s="4"/>
      <c r="C93" s="4"/>
      <c r="D93" s="4"/>
    </row>
    <row r="94">
      <c r="A94" s="4" t="str">
        <f t="shared" si="2"/>
        <v/>
      </c>
      <c r="B94" s="4"/>
      <c r="C94" s="4"/>
      <c r="D94" s="4"/>
    </row>
    <row r="95">
      <c r="A95" s="4" t="str">
        <f t="shared" si="2"/>
        <v/>
      </c>
      <c r="B95" s="4"/>
      <c r="C95" s="4"/>
      <c r="D95" s="4"/>
    </row>
    <row r="96">
      <c r="A96" s="4" t="str">
        <f t="shared" si="2"/>
        <v/>
      </c>
      <c r="B96" s="4"/>
      <c r="C96" s="4"/>
      <c r="D96" s="4"/>
    </row>
    <row r="97">
      <c r="A97" s="4" t="str">
        <f t="shared" si="2"/>
        <v/>
      </c>
      <c r="B97" s="4"/>
      <c r="C97" s="4"/>
      <c r="D97" s="4"/>
    </row>
    <row r="98">
      <c r="A98" s="4" t="str">
        <f t="shared" si="2"/>
        <v/>
      </c>
      <c r="B98" s="4"/>
      <c r="C98" s="4"/>
      <c r="D98" s="4"/>
    </row>
    <row r="99">
      <c r="A99" s="4" t="str">
        <f t="shared" si="2"/>
        <v/>
      </c>
      <c r="B99" s="4"/>
      <c r="C99" s="4"/>
      <c r="D99" s="4"/>
    </row>
    <row r="100">
      <c r="A100" s="4" t="str">
        <f t="shared" si="2"/>
        <v/>
      </c>
      <c r="B100" s="4"/>
      <c r="C100" s="4"/>
      <c r="D100" s="4"/>
    </row>
    <row r="101">
      <c r="A101" s="4" t="str">
        <f t="shared" si="2"/>
        <v/>
      </c>
      <c r="B101" s="4"/>
      <c r="C101" s="4"/>
      <c r="D101" s="4"/>
    </row>
    <row r="102">
      <c r="A102" s="4" t="str">
        <f t="shared" si="2"/>
        <v/>
      </c>
      <c r="B102" s="4"/>
      <c r="C102" s="4"/>
      <c r="D102" s="4"/>
    </row>
    <row r="103">
      <c r="A103" s="4" t="str">
        <f t="shared" si="2"/>
        <v/>
      </c>
      <c r="B103" s="4"/>
      <c r="C103" s="4"/>
      <c r="D103" s="4"/>
    </row>
    <row r="104">
      <c r="A104" s="4" t="str">
        <f t="shared" si="2"/>
        <v/>
      </c>
      <c r="B104" s="4"/>
      <c r="C104" s="4"/>
      <c r="D104" s="4"/>
    </row>
    <row r="105">
      <c r="A105" s="4" t="str">
        <f t="shared" si="2"/>
        <v/>
      </c>
      <c r="B105" s="4"/>
      <c r="C105" s="4"/>
      <c r="D105" s="4"/>
    </row>
    <row r="106">
      <c r="A106" s="4" t="str">
        <f t="shared" si="2"/>
        <v/>
      </c>
      <c r="B106" s="4"/>
      <c r="C106" s="4"/>
      <c r="D106" s="4"/>
    </row>
    <row r="107">
      <c r="A107" s="4" t="str">
        <f t="shared" si="2"/>
        <v/>
      </c>
      <c r="B107" s="4"/>
      <c r="C107" s="4"/>
      <c r="D107" s="4"/>
    </row>
    <row r="108">
      <c r="A108" s="4" t="str">
        <f t="shared" si="2"/>
        <v/>
      </c>
      <c r="B108" s="4"/>
      <c r="C108" s="4"/>
      <c r="D108" s="4"/>
    </row>
    <row r="109">
      <c r="A109" s="4" t="str">
        <f t="shared" si="2"/>
        <v/>
      </c>
      <c r="B109" s="4"/>
      <c r="C109" s="4"/>
      <c r="D109" s="4"/>
    </row>
    <row r="110">
      <c r="A110" s="4" t="str">
        <f t="shared" si="2"/>
        <v/>
      </c>
      <c r="B110" s="4"/>
      <c r="C110" s="4"/>
      <c r="D110" s="4"/>
    </row>
    <row r="111">
      <c r="A111" s="4" t="str">
        <f t="shared" si="2"/>
        <v/>
      </c>
      <c r="B111" s="4"/>
      <c r="C111" s="4"/>
      <c r="D111" s="4"/>
    </row>
    <row r="112">
      <c r="A112" s="4" t="str">
        <f t="shared" si="2"/>
        <v/>
      </c>
      <c r="B112" s="4"/>
      <c r="C112" s="4"/>
      <c r="D112" s="4"/>
    </row>
    <row r="113">
      <c r="A113" s="4" t="str">
        <f t="shared" si="2"/>
        <v/>
      </c>
      <c r="B113" s="4"/>
      <c r="C113" s="4"/>
      <c r="D113" s="4"/>
    </row>
    <row r="114">
      <c r="A114" s="4" t="str">
        <f t="shared" si="2"/>
        <v/>
      </c>
      <c r="B114" s="4"/>
      <c r="C114" s="4"/>
      <c r="D114" s="4"/>
    </row>
    <row r="115">
      <c r="A115" s="4" t="str">
        <f t="shared" si="2"/>
        <v/>
      </c>
      <c r="B115" s="4"/>
      <c r="C115" s="4"/>
      <c r="D115" s="4"/>
    </row>
    <row r="116">
      <c r="A116" s="4" t="str">
        <f t="shared" si="2"/>
        <v/>
      </c>
      <c r="B116" s="4"/>
      <c r="C116" s="4"/>
      <c r="D116" s="4"/>
    </row>
    <row r="117">
      <c r="A117" s="4" t="str">
        <f t="shared" si="2"/>
        <v/>
      </c>
      <c r="B117" s="4"/>
      <c r="C117" s="4"/>
      <c r="D117" s="4"/>
    </row>
    <row r="118">
      <c r="A118" s="4" t="str">
        <f t="shared" si="2"/>
        <v/>
      </c>
      <c r="B118" s="4"/>
      <c r="C118" s="4"/>
      <c r="D118" s="4"/>
    </row>
    <row r="119">
      <c r="A119" s="4" t="str">
        <f t="shared" si="2"/>
        <v/>
      </c>
      <c r="B119" s="4"/>
      <c r="C119" s="4"/>
      <c r="D119" s="4"/>
    </row>
    <row r="120">
      <c r="A120" s="4" t="str">
        <f t="shared" si="2"/>
        <v/>
      </c>
      <c r="B120" s="4"/>
      <c r="C120" s="4"/>
      <c r="D120" s="4"/>
    </row>
    <row r="121">
      <c r="A121" s="4" t="str">
        <f t="shared" si="2"/>
        <v/>
      </c>
      <c r="B121" s="4"/>
      <c r="C121" s="4"/>
      <c r="D121" s="4"/>
    </row>
    <row r="122">
      <c r="A122" s="4" t="str">
        <f t="shared" si="2"/>
        <v/>
      </c>
      <c r="B122" s="4"/>
      <c r="C122" s="4"/>
      <c r="D122" s="4"/>
    </row>
    <row r="123">
      <c r="A123" s="4" t="str">
        <f t="shared" si="2"/>
        <v/>
      </c>
      <c r="B123" s="4"/>
      <c r="C123" s="4"/>
      <c r="D123" s="4"/>
    </row>
    <row r="124">
      <c r="A124" s="4" t="str">
        <f t="shared" si="2"/>
        <v/>
      </c>
      <c r="B124" s="4"/>
      <c r="C124" s="4"/>
      <c r="D124" s="4"/>
    </row>
    <row r="125">
      <c r="A125" s="4" t="str">
        <f t="shared" si="2"/>
        <v/>
      </c>
      <c r="B125" s="4"/>
      <c r="C125" s="4"/>
      <c r="D125" s="4"/>
    </row>
    <row r="126">
      <c r="A126" s="4" t="str">
        <f t="shared" si="2"/>
        <v/>
      </c>
      <c r="B126" s="4"/>
      <c r="C126" s="4"/>
      <c r="D126" s="4"/>
    </row>
    <row r="127">
      <c r="A127" s="4" t="str">
        <f t="shared" si="2"/>
        <v/>
      </c>
      <c r="B127" s="4"/>
      <c r="C127" s="4"/>
      <c r="D127" s="4"/>
    </row>
    <row r="128">
      <c r="A128" s="4" t="str">
        <f t="shared" si="2"/>
        <v/>
      </c>
      <c r="B128" s="4"/>
      <c r="C128" s="4"/>
      <c r="D128" s="4"/>
    </row>
    <row r="129">
      <c r="A129" s="4" t="str">
        <f t="shared" si="2"/>
        <v/>
      </c>
      <c r="B129" s="4"/>
      <c r="C129" s="4"/>
      <c r="D129" s="4"/>
    </row>
    <row r="130">
      <c r="A130" s="4" t="str">
        <f t="shared" si="2"/>
        <v/>
      </c>
      <c r="B130" s="4"/>
      <c r="C130" s="4"/>
      <c r="D130" s="4"/>
    </row>
    <row r="131">
      <c r="A131" s="4" t="str">
        <f t="shared" si="2"/>
        <v/>
      </c>
      <c r="B131" s="4"/>
      <c r="C131" s="4"/>
      <c r="D131" s="4"/>
    </row>
    <row r="132">
      <c r="A132" s="4" t="str">
        <f t="shared" si="2"/>
        <v/>
      </c>
      <c r="B132" s="4"/>
      <c r="C132" s="4"/>
      <c r="D132" s="4"/>
    </row>
    <row r="133">
      <c r="A133" s="4" t="str">
        <f t="shared" si="2"/>
        <v/>
      </c>
      <c r="B133" s="4"/>
      <c r="C133" s="4"/>
      <c r="D133" s="4"/>
    </row>
    <row r="134">
      <c r="A134" s="4" t="str">
        <f t="shared" si="2"/>
        <v/>
      </c>
      <c r="B134" s="4"/>
      <c r="C134" s="4"/>
      <c r="D134" s="4"/>
    </row>
    <row r="135">
      <c r="A135" s="4" t="str">
        <f t="shared" si="2"/>
        <v/>
      </c>
      <c r="B135" s="4"/>
      <c r="C135" s="4"/>
      <c r="D135" s="4"/>
    </row>
    <row r="136">
      <c r="A136" s="4" t="str">
        <f t="shared" si="2"/>
        <v/>
      </c>
      <c r="B136" s="4"/>
      <c r="C136" s="4"/>
      <c r="D136" s="4"/>
    </row>
    <row r="137">
      <c r="A137" s="4" t="str">
        <f t="shared" si="2"/>
        <v/>
      </c>
      <c r="B137" s="4"/>
      <c r="C137" s="4"/>
      <c r="D137" s="4"/>
    </row>
    <row r="138">
      <c r="A138" s="4" t="str">
        <f t="shared" si="2"/>
        <v/>
      </c>
      <c r="B138" s="4"/>
      <c r="C138" s="4"/>
      <c r="D138" s="4"/>
    </row>
    <row r="139">
      <c r="A139" s="4" t="str">
        <f t="shared" si="2"/>
        <v/>
      </c>
      <c r="B139" s="4"/>
      <c r="C139" s="4"/>
      <c r="D139" s="4"/>
    </row>
    <row r="140">
      <c r="A140" s="4" t="str">
        <f t="shared" si="2"/>
        <v/>
      </c>
      <c r="B140" s="4"/>
      <c r="C140" s="4"/>
      <c r="D140" s="4"/>
    </row>
    <row r="141">
      <c r="A141" s="4" t="str">
        <f t="shared" si="2"/>
        <v/>
      </c>
      <c r="B141" s="4"/>
      <c r="C141" s="4"/>
      <c r="D141" s="4"/>
    </row>
    <row r="142">
      <c r="A142" s="4" t="str">
        <f t="shared" si="2"/>
        <v/>
      </c>
      <c r="B142" s="4"/>
      <c r="C142" s="4"/>
      <c r="D142" s="4"/>
    </row>
    <row r="143">
      <c r="A143" s="4" t="str">
        <f t="shared" si="2"/>
        <v/>
      </c>
      <c r="B143" s="4"/>
      <c r="C143" s="4"/>
      <c r="D143" s="4"/>
    </row>
    <row r="144">
      <c r="A144" s="4" t="str">
        <f t="shared" si="2"/>
        <v/>
      </c>
      <c r="B144" s="4"/>
      <c r="C144" s="4"/>
      <c r="D144" s="4"/>
    </row>
    <row r="145">
      <c r="A145" s="4" t="str">
        <f t="shared" si="2"/>
        <v/>
      </c>
      <c r="B145" s="4"/>
      <c r="C145" s="4"/>
      <c r="D145" s="4"/>
    </row>
    <row r="146">
      <c r="A146" s="4" t="str">
        <f t="shared" si="2"/>
        <v/>
      </c>
      <c r="B146" s="4"/>
      <c r="C146" s="4"/>
      <c r="D146" s="4"/>
    </row>
    <row r="147">
      <c r="A147" s="4" t="str">
        <f t="shared" si="2"/>
        <v/>
      </c>
      <c r="B147" s="4"/>
      <c r="C147" s="4"/>
      <c r="D147" s="4"/>
    </row>
    <row r="148">
      <c r="A148" s="4" t="str">
        <f t="shared" si="2"/>
        <v/>
      </c>
      <c r="B148" s="4"/>
      <c r="C148" s="4"/>
      <c r="D148" s="4"/>
    </row>
    <row r="149">
      <c r="A149" s="4" t="str">
        <f t="shared" si="2"/>
        <v/>
      </c>
      <c r="B149" s="4"/>
      <c r="C149" s="4"/>
      <c r="D149" s="4"/>
    </row>
    <row r="150">
      <c r="A150" s="4" t="str">
        <f t="shared" si="2"/>
        <v/>
      </c>
      <c r="B150" s="4"/>
      <c r="C150" s="4"/>
      <c r="D150" s="4"/>
    </row>
    <row r="151">
      <c r="A151" s="4" t="str">
        <f t="shared" si="2"/>
        <v/>
      </c>
      <c r="B151" s="4"/>
      <c r="C151" s="4"/>
      <c r="D151" s="4"/>
    </row>
    <row r="152">
      <c r="A152" s="4" t="str">
        <f t="shared" si="2"/>
        <v/>
      </c>
      <c r="B152" s="4"/>
      <c r="C152" s="4"/>
      <c r="D152" s="4"/>
    </row>
    <row r="153">
      <c r="A153" s="4" t="str">
        <f t="shared" si="2"/>
        <v/>
      </c>
      <c r="B153" s="4"/>
      <c r="C153" s="4"/>
      <c r="D153" s="4"/>
    </row>
    <row r="154">
      <c r="A154" s="4" t="str">
        <f t="shared" si="2"/>
        <v/>
      </c>
      <c r="B154" s="4"/>
      <c r="C154" s="4"/>
      <c r="D154" s="4"/>
    </row>
    <row r="155">
      <c r="A155" s="4" t="str">
        <f t="shared" si="2"/>
        <v/>
      </c>
      <c r="B155" s="4"/>
      <c r="C155" s="4"/>
      <c r="D155" s="4"/>
    </row>
    <row r="156">
      <c r="A156" s="4" t="str">
        <f t="shared" si="2"/>
        <v/>
      </c>
      <c r="B156" s="4"/>
      <c r="C156" s="4"/>
      <c r="D156" s="4"/>
    </row>
    <row r="157">
      <c r="A157" s="4" t="str">
        <f t="shared" si="2"/>
        <v/>
      </c>
      <c r="B157" s="4"/>
      <c r="C157" s="4"/>
      <c r="D157" s="4"/>
    </row>
    <row r="158">
      <c r="A158" s="4" t="str">
        <f t="shared" si="2"/>
        <v/>
      </c>
      <c r="B158" s="4"/>
      <c r="C158" s="4"/>
      <c r="D158" s="4"/>
    </row>
    <row r="159">
      <c r="A159" s="4" t="str">
        <f t="shared" si="2"/>
        <v/>
      </c>
      <c r="B159" s="4"/>
      <c r="C159" s="4"/>
      <c r="D159" s="4"/>
    </row>
    <row r="160">
      <c r="A160" s="4" t="str">
        <f t="shared" si="2"/>
        <v/>
      </c>
      <c r="B160" s="4"/>
      <c r="C160" s="4"/>
      <c r="D160" s="4"/>
    </row>
    <row r="161">
      <c r="A161" s="4" t="str">
        <f t="shared" si="2"/>
        <v/>
      </c>
      <c r="B161" s="4"/>
      <c r="C161" s="4"/>
      <c r="D161" s="4"/>
    </row>
    <row r="162">
      <c r="A162" s="4" t="str">
        <f t="shared" si="2"/>
        <v/>
      </c>
      <c r="B162" s="4"/>
      <c r="C162" s="4"/>
      <c r="D162" s="4"/>
    </row>
    <row r="163">
      <c r="A163" s="4" t="str">
        <f t="shared" si="2"/>
        <v/>
      </c>
      <c r="B163" s="4"/>
      <c r="C163" s="4"/>
      <c r="D163" s="4"/>
    </row>
    <row r="164">
      <c r="A164" s="4" t="str">
        <f t="shared" si="2"/>
        <v/>
      </c>
      <c r="B164" s="4"/>
      <c r="C164" s="4"/>
      <c r="D164" s="4"/>
    </row>
    <row r="165">
      <c r="A165" s="4" t="str">
        <f t="shared" si="2"/>
        <v/>
      </c>
      <c r="B165" s="4"/>
      <c r="C165" s="4"/>
      <c r="D165" s="4"/>
    </row>
    <row r="166">
      <c r="A166" s="4" t="str">
        <f t="shared" si="2"/>
        <v/>
      </c>
      <c r="B166" s="4"/>
      <c r="C166" s="4"/>
      <c r="D166" s="4"/>
    </row>
    <row r="167">
      <c r="A167" s="4" t="str">
        <f t="shared" si="2"/>
        <v/>
      </c>
      <c r="B167" s="4"/>
      <c r="C167" s="4"/>
      <c r="D167" s="4"/>
    </row>
    <row r="168">
      <c r="A168" s="4" t="str">
        <f t="shared" si="2"/>
        <v/>
      </c>
      <c r="B168" s="4"/>
      <c r="C168" s="4"/>
      <c r="D168" s="4"/>
    </row>
    <row r="169">
      <c r="A169" s="4" t="str">
        <f t="shared" si="2"/>
        <v/>
      </c>
      <c r="B169" s="4"/>
      <c r="C169" s="4"/>
      <c r="D169" s="4"/>
    </row>
    <row r="170">
      <c r="A170" s="4" t="str">
        <f t="shared" si="2"/>
        <v/>
      </c>
      <c r="B170" s="4"/>
      <c r="C170" s="4"/>
      <c r="D170" s="4"/>
    </row>
    <row r="171">
      <c r="A171" s="4" t="str">
        <f t="shared" si="2"/>
        <v/>
      </c>
      <c r="B171" s="4"/>
      <c r="C171" s="4"/>
      <c r="D171" s="4"/>
    </row>
    <row r="172">
      <c r="A172" s="4" t="str">
        <f t="shared" si="2"/>
        <v/>
      </c>
      <c r="B172" s="4"/>
      <c r="C172" s="4"/>
      <c r="D172" s="4"/>
    </row>
    <row r="173">
      <c r="A173" s="4" t="str">
        <f t="shared" si="2"/>
        <v/>
      </c>
      <c r="B173" s="4"/>
      <c r="C173" s="4"/>
      <c r="D173" s="4"/>
    </row>
    <row r="174">
      <c r="A174" s="4" t="str">
        <f t="shared" si="2"/>
        <v/>
      </c>
      <c r="B174" s="4"/>
      <c r="C174" s="4"/>
      <c r="D174" s="4"/>
    </row>
    <row r="175">
      <c r="A175" s="4" t="str">
        <f t="shared" si="2"/>
        <v/>
      </c>
      <c r="B175" s="4"/>
      <c r="C175" s="4"/>
      <c r="D175" s="4"/>
    </row>
    <row r="176">
      <c r="A176" s="4" t="str">
        <f t="shared" si="2"/>
        <v/>
      </c>
      <c r="B176" s="4"/>
      <c r="C176" s="4"/>
      <c r="D176" s="4"/>
    </row>
    <row r="177">
      <c r="A177" s="4" t="str">
        <f t="shared" si="2"/>
        <v/>
      </c>
      <c r="B177" s="4"/>
      <c r="C177" s="4"/>
      <c r="D177" s="4"/>
    </row>
    <row r="178">
      <c r="A178" s="4" t="str">
        <f t="shared" si="2"/>
        <v/>
      </c>
      <c r="B178" s="4"/>
      <c r="C178" s="4"/>
      <c r="D178" s="4"/>
    </row>
    <row r="179">
      <c r="A179" s="4" t="str">
        <f t="shared" si="2"/>
        <v/>
      </c>
      <c r="B179" s="4"/>
      <c r="C179" s="4"/>
      <c r="D179" s="4"/>
    </row>
    <row r="180">
      <c r="A180" s="4" t="str">
        <f t="shared" si="2"/>
        <v/>
      </c>
      <c r="B180" s="4"/>
      <c r="C180" s="4"/>
      <c r="D180" s="4"/>
    </row>
    <row r="181">
      <c r="A181" s="4" t="str">
        <f t="shared" si="2"/>
        <v/>
      </c>
      <c r="B181" s="4"/>
      <c r="C181" s="4"/>
      <c r="D181" s="4"/>
    </row>
    <row r="182">
      <c r="A182" s="4" t="str">
        <f t="shared" si="2"/>
        <v/>
      </c>
      <c r="B182" s="4"/>
      <c r="C182" s="4"/>
      <c r="D182" s="4"/>
    </row>
    <row r="183">
      <c r="A183" s="4" t="str">
        <f t="shared" si="2"/>
        <v/>
      </c>
      <c r="B183" s="4"/>
      <c r="C183" s="4"/>
      <c r="D183" s="4"/>
    </row>
    <row r="184">
      <c r="A184" s="4" t="str">
        <f t="shared" si="2"/>
        <v/>
      </c>
      <c r="B184" s="4"/>
      <c r="C184" s="4"/>
      <c r="D184" s="4"/>
    </row>
    <row r="185">
      <c r="A185" s="4" t="str">
        <f t="shared" si="2"/>
        <v/>
      </c>
      <c r="B185" s="4"/>
      <c r="C185" s="4"/>
      <c r="D185" s="4"/>
    </row>
    <row r="186">
      <c r="A186" s="4" t="str">
        <f t="shared" si="2"/>
        <v/>
      </c>
      <c r="B186" s="4"/>
      <c r="C186" s="4"/>
      <c r="D186" s="4"/>
    </row>
    <row r="187">
      <c r="A187" s="4" t="str">
        <f t="shared" si="2"/>
        <v/>
      </c>
      <c r="B187" s="4"/>
      <c r="C187" s="4"/>
      <c r="D187" s="4"/>
    </row>
    <row r="188">
      <c r="A188" s="4" t="str">
        <f t="shared" si="2"/>
        <v/>
      </c>
      <c r="B188" s="4"/>
      <c r="C188" s="4"/>
      <c r="D188" s="4"/>
    </row>
    <row r="189">
      <c r="A189" s="4" t="str">
        <f t="shared" si="2"/>
        <v/>
      </c>
      <c r="B189" s="4"/>
      <c r="C189" s="4"/>
      <c r="D189" s="4"/>
    </row>
    <row r="190">
      <c r="A190" s="4" t="str">
        <f t="shared" si="2"/>
        <v/>
      </c>
      <c r="B190" s="4"/>
      <c r="C190" s="4"/>
      <c r="D190" s="4"/>
    </row>
    <row r="191">
      <c r="A191" s="4" t="str">
        <f t="shared" si="2"/>
        <v/>
      </c>
      <c r="B191" s="4"/>
      <c r="C191" s="4"/>
      <c r="D191" s="4"/>
    </row>
    <row r="192">
      <c r="A192" s="4" t="str">
        <f t="shared" si="2"/>
        <v/>
      </c>
      <c r="B192" s="4"/>
      <c r="C192" s="4"/>
      <c r="D192" s="4"/>
    </row>
    <row r="193">
      <c r="A193" s="4" t="str">
        <f t="shared" si="2"/>
        <v/>
      </c>
      <c r="B193" s="4"/>
      <c r="C193" s="4"/>
      <c r="D193" s="4"/>
    </row>
    <row r="194">
      <c r="A194" s="4" t="str">
        <f t="shared" si="2"/>
        <v/>
      </c>
      <c r="B194" s="4"/>
      <c r="C194" s="4"/>
      <c r="D194" s="4"/>
    </row>
    <row r="195">
      <c r="A195" s="4" t="str">
        <f t="shared" si="2"/>
        <v/>
      </c>
      <c r="B195" s="4"/>
      <c r="C195" s="4"/>
      <c r="D195" s="4"/>
    </row>
    <row r="196">
      <c r="A196" s="4" t="str">
        <f t="shared" si="2"/>
        <v/>
      </c>
      <c r="B196" s="4"/>
      <c r="C196" s="4"/>
      <c r="D196" s="4"/>
    </row>
    <row r="197">
      <c r="A197" s="4" t="str">
        <f t="shared" si="2"/>
        <v/>
      </c>
      <c r="B197" s="4"/>
      <c r="C197" s="4"/>
      <c r="D197" s="4"/>
    </row>
    <row r="198">
      <c r="A198" s="4" t="str">
        <f t="shared" si="2"/>
        <v/>
      </c>
      <c r="B198" s="4"/>
      <c r="C198" s="4"/>
      <c r="D198" s="4"/>
    </row>
    <row r="199">
      <c r="A199" s="4" t="str">
        <f t="shared" si="2"/>
        <v/>
      </c>
      <c r="B199" s="4"/>
      <c r="C199" s="4"/>
      <c r="D199" s="4"/>
    </row>
    <row r="200">
      <c r="A200" s="4" t="str">
        <f t="shared" si="2"/>
        <v/>
      </c>
      <c r="B200" s="4"/>
      <c r="C200" s="4"/>
      <c r="D200" s="4"/>
    </row>
    <row r="201">
      <c r="A201" s="4" t="str">
        <f t="shared" si="2"/>
        <v/>
      </c>
      <c r="B201" s="4"/>
      <c r="C201" s="4"/>
      <c r="D201" s="4"/>
    </row>
    <row r="202">
      <c r="A202" s="4" t="str">
        <f t="shared" si="2"/>
        <v/>
      </c>
      <c r="B202" s="4"/>
      <c r="C202" s="4"/>
      <c r="D202" s="4"/>
    </row>
    <row r="203">
      <c r="A203" s="4" t="str">
        <f t="shared" si="2"/>
        <v/>
      </c>
      <c r="B203" s="4"/>
      <c r="C203" s="4"/>
      <c r="D203" s="4"/>
    </row>
    <row r="204">
      <c r="A204" s="4" t="str">
        <f t="shared" si="2"/>
        <v/>
      </c>
      <c r="B204" s="4"/>
      <c r="C204" s="4"/>
      <c r="D204" s="4"/>
    </row>
    <row r="205">
      <c r="A205" s="4" t="str">
        <f t="shared" si="2"/>
        <v/>
      </c>
      <c r="B205" s="4"/>
      <c r="C205" s="4"/>
      <c r="D205" s="4"/>
    </row>
    <row r="206">
      <c r="A206" s="4" t="str">
        <f t="shared" si="2"/>
        <v/>
      </c>
      <c r="B206" s="4"/>
      <c r="C206" s="4"/>
      <c r="D206" s="4"/>
    </row>
    <row r="207">
      <c r="A207" s="4" t="str">
        <f t="shared" si="2"/>
        <v/>
      </c>
      <c r="B207" s="4"/>
      <c r="C207" s="4"/>
      <c r="D207" s="4"/>
    </row>
    <row r="208">
      <c r="A208" s="4" t="str">
        <f t="shared" si="2"/>
        <v/>
      </c>
      <c r="B208" s="4"/>
      <c r="C208" s="4"/>
      <c r="D208" s="4"/>
    </row>
    <row r="209">
      <c r="A209" s="4" t="str">
        <f t="shared" si="2"/>
        <v/>
      </c>
      <c r="B209" s="4"/>
      <c r="C209" s="4"/>
      <c r="D209" s="4"/>
    </row>
    <row r="210">
      <c r="A210" s="4" t="str">
        <f t="shared" si="2"/>
        <v/>
      </c>
      <c r="B210" s="4"/>
      <c r="C210" s="4"/>
      <c r="D210" s="4"/>
    </row>
    <row r="211">
      <c r="A211" s="4" t="str">
        <f t="shared" si="2"/>
        <v/>
      </c>
      <c r="B211" s="4"/>
      <c r="C211" s="4"/>
      <c r="D211" s="4"/>
    </row>
    <row r="212">
      <c r="A212" s="4" t="str">
        <f t="shared" si="2"/>
        <v/>
      </c>
      <c r="B212" s="4"/>
      <c r="C212" s="4"/>
      <c r="D212" s="4"/>
    </row>
    <row r="213">
      <c r="A213" s="4" t="str">
        <f t="shared" si="2"/>
        <v/>
      </c>
      <c r="B213" s="4"/>
      <c r="C213" s="4"/>
      <c r="D213" s="4"/>
    </row>
    <row r="214">
      <c r="A214" s="4" t="str">
        <f t="shared" si="2"/>
        <v/>
      </c>
      <c r="B214" s="4"/>
      <c r="C214" s="4"/>
      <c r="D214" s="4"/>
    </row>
    <row r="215">
      <c r="A215" s="4" t="str">
        <f t="shared" si="2"/>
        <v/>
      </c>
      <c r="B215" s="4"/>
      <c r="C215" s="4"/>
      <c r="D215" s="4"/>
    </row>
    <row r="216">
      <c r="A216" s="4" t="str">
        <f t="shared" si="2"/>
        <v/>
      </c>
      <c r="B216" s="4"/>
      <c r="C216" s="4"/>
      <c r="D216" s="4"/>
    </row>
    <row r="217">
      <c r="A217" s="4" t="str">
        <f t="shared" si="2"/>
        <v/>
      </c>
      <c r="B217" s="4"/>
      <c r="C217" s="4"/>
      <c r="D217" s="4"/>
    </row>
    <row r="218">
      <c r="A218" s="4" t="str">
        <f t="shared" si="2"/>
        <v/>
      </c>
      <c r="B218" s="4"/>
      <c r="C218" s="4"/>
      <c r="D218" s="4"/>
    </row>
    <row r="219">
      <c r="A219" s="4" t="str">
        <f t="shared" si="2"/>
        <v/>
      </c>
      <c r="B219" s="4"/>
      <c r="C219" s="4"/>
      <c r="D219" s="4"/>
    </row>
    <row r="220">
      <c r="A220" s="4" t="str">
        <f t="shared" si="2"/>
        <v/>
      </c>
      <c r="B220" s="4"/>
      <c r="C220" s="4"/>
      <c r="D220" s="4"/>
    </row>
    <row r="221">
      <c r="A221" s="4" t="str">
        <f t="shared" si="2"/>
        <v/>
      </c>
      <c r="B221" s="4"/>
      <c r="C221" s="4"/>
      <c r="D221" s="4"/>
    </row>
    <row r="222">
      <c r="A222" s="4" t="str">
        <f t="shared" si="2"/>
        <v/>
      </c>
      <c r="B222" s="4"/>
      <c r="C222" s="4"/>
      <c r="D222" s="4"/>
    </row>
    <row r="223">
      <c r="A223" s="4" t="str">
        <f t="shared" si="2"/>
        <v/>
      </c>
      <c r="B223" s="4"/>
      <c r="C223" s="4"/>
      <c r="D223" s="4"/>
    </row>
    <row r="224">
      <c r="A224" s="4" t="str">
        <f t="shared" si="2"/>
        <v/>
      </c>
      <c r="B224" s="4"/>
      <c r="C224" s="4"/>
      <c r="D224" s="4"/>
    </row>
    <row r="225">
      <c r="A225" s="4" t="str">
        <f t="shared" si="2"/>
        <v/>
      </c>
      <c r="B225" s="4"/>
      <c r="C225" s="4"/>
      <c r="D225" s="4"/>
    </row>
    <row r="226">
      <c r="A226" s="4" t="str">
        <f t="shared" si="2"/>
        <v/>
      </c>
      <c r="B226" s="4"/>
      <c r="C226" s="4"/>
      <c r="D226" s="4"/>
    </row>
    <row r="227">
      <c r="A227" s="4" t="str">
        <f t="shared" si="2"/>
        <v/>
      </c>
      <c r="B227" s="4"/>
      <c r="C227" s="4"/>
      <c r="D227" s="4"/>
    </row>
    <row r="228">
      <c r="A228" s="4" t="str">
        <f t="shared" si="2"/>
        <v/>
      </c>
      <c r="B228" s="4"/>
      <c r="C228" s="4"/>
      <c r="D228" s="4"/>
    </row>
    <row r="229">
      <c r="A229" s="4" t="str">
        <f t="shared" si="2"/>
        <v/>
      </c>
      <c r="B229" s="4"/>
      <c r="C229" s="4"/>
      <c r="D229" s="4"/>
    </row>
    <row r="230">
      <c r="A230" s="4" t="str">
        <f t="shared" si="2"/>
        <v/>
      </c>
      <c r="B230" s="4"/>
      <c r="C230" s="4"/>
      <c r="D230" s="4"/>
    </row>
    <row r="231">
      <c r="A231" s="4" t="str">
        <f t="shared" si="2"/>
        <v/>
      </c>
      <c r="B231" s="4"/>
      <c r="C231" s="4"/>
      <c r="D231" s="4"/>
    </row>
    <row r="232">
      <c r="A232" s="4" t="str">
        <f t="shared" si="2"/>
        <v/>
      </c>
      <c r="B232" s="4"/>
      <c r="C232" s="4"/>
      <c r="D232" s="4"/>
    </row>
    <row r="233">
      <c r="A233" s="4" t="str">
        <f t="shared" si="2"/>
        <v/>
      </c>
      <c r="B233" s="4"/>
      <c r="C233" s="4"/>
      <c r="D233" s="4"/>
    </row>
    <row r="234">
      <c r="A234" s="4" t="str">
        <f t="shared" si="2"/>
        <v/>
      </c>
      <c r="B234" s="4"/>
      <c r="C234" s="4"/>
      <c r="D234" s="4"/>
    </row>
    <row r="235">
      <c r="A235" s="4" t="str">
        <f t="shared" si="2"/>
        <v/>
      </c>
      <c r="B235" s="4"/>
      <c r="C235" s="4"/>
      <c r="D235" s="4"/>
    </row>
    <row r="236">
      <c r="A236" s="4" t="str">
        <f t="shared" si="2"/>
        <v/>
      </c>
      <c r="B236" s="4"/>
      <c r="C236" s="4"/>
      <c r="D236" s="4"/>
    </row>
    <row r="237">
      <c r="A237" s="4" t="str">
        <f t="shared" si="2"/>
        <v/>
      </c>
      <c r="B237" s="4"/>
      <c r="C237" s="4"/>
      <c r="D237" s="4"/>
    </row>
    <row r="238">
      <c r="A238" s="4" t="str">
        <f t="shared" si="2"/>
        <v/>
      </c>
      <c r="B238" s="4"/>
      <c r="C238" s="4"/>
      <c r="D238" s="4"/>
    </row>
    <row r="239">
      <c r="A239" s="4" t="str">
        <f t="shared" si="2"/>
        <v/>
      </c>
      <c r="B239" s="4"/>
      <c r="C239" s="4"/>
      <c r="D239" s="4"/>
    </row>
    <row r="240">
      <c r="A240" s="4" t="str">
        <f t="shared" si="2"/>
        <v/>
      </c>
      <c r="B240" s="4"/>
      <c r="C240" s="4"/>
      <c r="D240" s="4"/>
    </row>
    <row r="241">
      <c r="A241" s="4" t="str">
        <f t="shared" si="2"/>
        <v/>
      </c>
      <c r="B241" s="4"/>
      <c r="C241" s="4"/>
      <c r="D241" s="4"/>
    </row>
    <row r="242">
      <c r="A242" s="4" t="str">
        <f t="shared" si="2"/>
        <v/>
      </c>
      <c r="B242" s="4"/>
      <c r="C242" s="4"/>
      <c r="D242" s="4"/>
    </row>
    <row r="243">
      <c r="A243" s="4" t="str">
        <f t="shared" si="2"/>
        <v/>
      </c>
      <c r="B243" s="4"/>
      <c r="C243" s="4"/>
      <c r="D243" s="4"/>
    </row>
    <row r="244">
      <c r="A244" s="4" t="str">
        <f t="shared" si="2"/>
        <v/>
      </c>
      <c r="B244" s="4"/>
      <c r="C244" s="4"/>
      <c r="D244" s="4"/>
    </row>
    <row r="245">
      <c r="A245" s="4" t="str">
        <f t="shared" si="2"/>
        <v/>
      </c>
      <c r="B245" s="4"/>
      <c r="C245" s="4"/>
      <c r="D245" s="4"/>
    </row>
    <row r="246">
      <c r="A246" s="4" t="str">
        <f t="shared" si="2"/>
        <v/>
      </c>
      <c r="B246" s="4"/>
      <c r="C246" s="4"/>
      <c r="D246" s="4"/>
    </row>
    <row r="247">
      <c r="A247" s="4" t="str">
        <f t="shared" si="2"/>
        <v/>
      </c>
      <c r="B247" s="4"/>
      <c r="C247" s="4"/>
      <c r="D247" s="4"/>
    </row>
    <row r="248">
      <c r="A248" s="4" t="str">
        <f t="shared" si="2"/>
        <v/>
      </c>
      <c r="B248" s="4"/>
      <c r="C248" s="4"/>
      <c r="D248" s="4"/>
    </row>
    <row r="249">
      <c r="A249" s="4" t="str">
        <f t="shared" si="2"/>
        <v/>
      </c>
      <c r="B249" s="4"/>
      <c r="C249" s="4"/>
      <c r="D249" s="4"/>
    </row>
    <row r="250">
      <c r="A250" s="4" t="str">
        <f t="shared" si="2"/>
        <v/>
      </c>
      <c r="B250" s="4"/>
      <c r="C250" s="4"/>
      <c r="D250" s="4"/>
    </row>
    <row r="251">
      <c r="A251" s="4" t="str">
        <f t="shared" si="2"/>
        <v/>
      </c>
      <c r="B251" s="4"/>
      <c r="C251" s="4"/>
      <c r="D251" s="4"/>
    </row>
    <row r="252">
      <c r="A252" s="4" t="str">
        <f t="shared" si="2"/>
        <v/>
      </c>
      <c r="B252" s="4"/>
      <c r="C252" s="4"/>
      <c r="D252" s="4"/>
    </row>
    <row r="253">
      <c r="A253" s="4" t="str">
        <f t="shared" si="2"/>
        <v/>
      </c>
      <c r="B253" s="4"/>
      <c r="C253" s="4"/>
      <c r="D253" s="4"/>
    </row>
    <row r="254">
      <c r="A254" s="4" t="str">
        <f t="shared" si="2"/>
        <v/>
      </c>
      <c r="B254" s="4"/>
      <c r="C254" s="4"/>
      <c r="D254" s="4"/>
    </row>
    <row r="255">
      <c r="A255" s="4" t="str">
        <f t="shared" si="2"/>
        <v/>
      </c>
      <c r="B255" s="4"/>
      <c r="C255" s="4"/>
      <c r="D255" s="4"/>
    </row>
    <row r="256">
      <c r="A256" s="4" t="str">
        <f t="shared" si="2"/>
        <v/>
      </c>
      <c r="B256" s="4"/>
      <c r="C256" s="4"/>
      <c r="D256" s="4"/>
    </row>
    <row r="257">
      <c r="A257" s="4" t="str">
        <f t="shared" si="2"/>
        <v/>
      </c>
      <c r="B257" s="4"/>
      <c r="C257" s="4"/>
      <c r="D257" s="4"/>
    </row>
    <row r="258">
      <c r="A258" s="4" t="str">
        <f t="shared" si="2"/>
        <v/>
      </c>
      <c r="B258" s="4"/>
      <c r="C258" s="4"/>
      <c r="D258" s="4"/>
    </row>
    <row r="259">
      <c r="A259" s="4" t="str">
        <f t="shared" si="2"/>
        <v/>
      </c>
      <c r="B259" s="4"/>
      <c r="C259" s="4"/>
      <c r="D259" s="4"/>
    </row>
    <row r="260">
      <c r="A260" s="4" t="str">
        <f t="shared" si="2"/>
        <v/>
      </c>
      <c r="B260" s="4"/>
      <c r="C260" s="4"/>
      <c r="D260" s="4"/>
    </row>
    <row r="261">
      <c r="A261" s="4" t="str">
        <f t="shared" si="2"/>
        <v/>
      </c>
      <c r="B261" s="4"/>
      <c r="C261" s="4"/>
      <c r="D261" s="4"/>
    </row>
    <row r="262">
      <c r="A262" s="4" t="str">
        <f t="shared" si="2"/>
        <v/>
      </c>
      <c r="B262" s="4"/>
      <c r="C262" s="4"/>
      <c r="D262" s="4"/>
    </row>
    <row r="263">
      <c r="A263" s="4" t="str">
        <f t="shared" si="2"/>
        <v/>
      </c>
      <c r="B263" s="4"/>
      <c r="C263" s="4"/>
      <c r="D263" s="4"/>
    </row>
    <row r="264">
      <c r="A264" s="4" t="str">
        <f t="shared" si="2"/>
        <v/>
      </c>
      <c r="B264" s="4"/>
      <c r="C264" s="4"/>
      <c r="D264" s="4"/>
    </row>
    <row r="265">
      <c r="A265" s="4" t="str">
        <f t="shared" si="2"/>
        <v/>
      </c>
      <c r="B265" s="4"/>
      <c r="C265" s="4"/>
      <c r="D265" s="4"/>
    </row>
    <row r="266">
      <c r="A266" s="4" t="str">
        <f t="shared" si="2"/>
        <v/>
      </c>
      <c r="B266" s="4"/>
      <c r="C266" s="4"/>
      <c r="D266" s="4"/>
    </row>
    <row r="267">
      <c r="A267" s="4" t="str">
        <f t="shared" si="2"/>
        <v/>
      </c>
      <c r="B267" s="4"/>
      <c r="C267" s="4"/>
      <c r="D267" s="4"/>
    </row>
    <row r="268">
      <c r="A268" s="4" t="str">
        <f t="shared" si="2"/>
        <v/>
      </c>
      <c r="B268" s="4"/>
      <c r="C268" s="4"/>
      <c r="D268" s="4"/>
    </row>
    <row r="269">
      <c r="A269" s="4" t="str">
        <f t="shared" si="2"/>
        <v/>
      </c>
      <c r="B269" s="4"/>
      <c r="C269" s="4"/>
      <c r="D269" s="4"/>
    </row>
    <row r="270">
      <c r="A270" s="4" t="str">
        <f t="shared" si="2"/>
        <v/>
      </c>
      <c r="B270" s="4"/>
      <c r="C270" s="4"/>
      <c r="D270" s="4"/>
    </row>
    <row r="271">
      <c r="A271" s="4" t="str">
        <f t="shared" si="2"/>
        <v/>
      </c>
      <c r="B271" s="4"/>
      <c r="C271" s="4"/>
      <c r="D271" s="4"/>
    </row>
    <row r="272">
      <c r="A272" s="4" t="str">
        <f t="shared" si="2"/>
        <v/>
      </c>
      <c r="B272" s="4"/>
      <c r="C272" s="4"/>
      <c r="D272" s="4"/>
    </row>
    <row r="273">
      <c r="A273" s="4" t="str">
        <f t="shared" si="2"/>
        <v/>
      </c>
      <c r="B273" s="4"/>
      <c r="C273" s="4"/>
      <c r="D273" s="4"/>
    </row>
    <row r="274">
      <c r="A274" s="4" t="str">
        <f t="shared" si="2"/>
        <v/>
      </c>
      <c r="B274" s="4"/>
      <c r="C274" s="4"/>
      <c r="D274" s="4"/>
    </row>
    <row r="275">
      <c r="A275" s="4" t="str">
        <f t="shared" si="2"/>
        <v/>
      </c>
      <c r="B275" s="4"/>
      <c r="C275" s="4"/>
      <c r="D275" s="4"/>
    </row>
    <row r="276">
      <c r="A276" s="4" t="str">
        <f t="shared" si="2"/>
        <v/>
      </c>
      <c r="B276" s="4"/>
      <c r="C276" s="4"/>
      <c r="D276" s="4"/>
    </row>
    <row r="277">
      <c r="A277" s="4" t="str">
        <f t="shared" si="2"/>
        <v/>
      </c>
      <c r="B277" s="4"/>
      <c r="C277" s="4"/>
      <c r="D277" s="4"/>
    </row>
    <row r="278">
      <c r="A278" s="4" t="str">
        <f t="shared" si="2"/>
        <v/>
      </c>
      <c r="B278" s="4"/>
      <c r="C278" s="4"/>
      <c r="D278" s="4"/>
    </row>
    <row r="279">
      <c r="A279" s="4" t="str">
        <f t="shared" si="2"/>
        <v/>
      </c>
      <c r="B279" s="4"/>
      <c r="C279" s="4"/>
      <c r="D279" s="4"/>
    </row>
    <row r="280">
      <c r="A280" s="4" t="str">
        <f t="shared" si="2"/>
        <v/>
      </c>
      <c r="B280" s="4"/>
      <c r="C280" s="4"/>
      <c r="D280" s="4"/>
    </row>
    <row r="281">
      <c r="A281" s="4" t="str">
        <f t="shared" si="2"/>
        <v/>
      </c>
      <c r="B281" s="4"/>
      <c r="C281" s="4"/>
      <c r="D281" s="4"/>
    </row>
    <row r="282">
      <c r="A282" s="4" t="str">
        <f t="shared" si="2"/>
        <v/>
      </c>
      <c r="B282" s="4"/>
      <c r="C282" s="4"/>
      <c r="D282" s="4"/>
    </row>
    <row r="283">
      <c r="A283" s="4" t="str">
        <f t="shared" si="2"/>
        <v/>
      </c>
      <c r="B283" s="4"/>
      <c r="C283" s="4"/>
      <c r="D283" s="4"/>
    </row>
    <row r="284">
      <c r="A284" s="4" t="str">
        <f t="shared" si="2"/>
        <v/>
      </c>
      <c r="B284" s="4"/>
      <c r="C284" s="4"/>
      <c r="D284" s="4"/>
    </row>
    <row r="285">
      <c r="A285" s="4" t="str">
        <f t="shared" si="2"/>
        <v/>
      </c>
      <c r="B285" s="4"/>
      <c r="C285" s="4"/>
      <c r="D285" s="4"/>
    </row>
    <row r="286">
      <c r="A286" s="4" t="str">
        <f t="shared" si="2"/>
        <v/>
      </c>
      <c r="B286" s="4"/>
      <c r="C286" s="4"/>
      <c r="D286" s="4"/>
    </row>
    <row r="287">
      <c r="A287" s="4" t="str">
        <f t="shared" si="2"/>
        <v/>
      </c>
      <c r="B287" s="4"/>
      <c r="C287" s="4"/>
      <c r="D287" s="4"/>
    </row>
    <row r="288">
      <c r="A288" s="4" t="str">
        <f t="shared" si="2"/>
        <v/>
      </c>
      <c r="B288" s="4"/>
      <c r="C288" s="4"/>
      <c r="D288" s="4"/>
    </row>
    <row r="289">
      <c r="A289" s="4" t="str">
        <f t="shared" si="2"/>
        <v/>
      </c>
      <c r="B289" s="4"/>
      <c r="C289" s="4"/>
      <c r="D289" s="4"/>
    </row>
    <row r="290">
      <c r="A290" s="4" t="str">
        <f t="shared" si="2"/>
        <v/>
      </c>
      <c r="B290" s="4"/>
      <c r="C290" s="4"/>
      <c r="D290" s="4"/>
    </row>
    <row r="291">
      <c r="A291" s="4" t="str">
        <f t="shared" si="2"/>
        <v/>
      </c>
      <c r="B291" s="4"/>
      <c r="C291" s="4"/>
      <c r="D291" s="4"/>
    </row>
    <row r="292">
      <c r="A292" s="4" t="str">
        <f t="shared" si="2"/>
        <v/>
      </c>
      <c r="B292" s="4"/>
      <c r="C292" s="4"/>
      <c r="D292" s="4"/>
    </row>
    <row r="293">
      <c r="A293" s="4" t="str">
        <f t="shared" si="2"/>
        <v/>
      </c>
      <c r="B293" s="4"/>
      <c r="C293" s="4"/>
      <c r="D293" s="4"/>
    </row>
    <row r="294">
      <c r="A294" s="4" t="str">
        <f t="shared" si="2"/>
        <v/>
      </c>
      <c r="B294" s="4"/>
      <c r="C294" s="4"/>
      <c r="D294" s="4"/>
    </row>
    <row r="295">
      <c r="A295" s="4" t="str">
        <f t="shared" si="2"/>
        <v/>
      </c>
      <c r="B295" s="4"/>
      <c r="C295" s="4"/>
      <c r="D295" s="4"/>
    </row>
    <row r="296">
      <c r="A296" s="4" t="str">
        <f t="shared" si="2"/>
        <v/>
      </c>
      <c r="B296" s="4"/>
      <c r="C296" s="4"/>
      <c r="D296" s="4"/>
    </row>
    <row r="297">
      <c r="A297" s="4" t="str">
        <f t="shared" si="2"/>
        <v/>
      </c>
      <c r="B297" s="4"/>
      <c r="C297" s="4"/>
      <c r="D297" s="4"/>
    </row>
    <row r="298">
      <c r="A298" s="4" t="str">
        <f t="shared" si="2"/>
        <v/>
      </c>
      <c r="B298" s="4"/>
      <c r="C298" s="4"/>
      <c r="D298" s="4"/>
    </row>
    <row r="299">
      <c r="A299" s="4" t="str">
        <f t="shared" si="2"/>
        <v/>
      </c>
      <c r="B299" s="4"/>
      <c r="C299" s="4"/>
      <c r="D299" s="4"/>
    </row>
    <row r="300">
      <c r="A300" s="4" t="str">
        <f t="shared" si="2"/>
        <v/>
      </c>
      <c r="B300" s="4"/>
      <c r="C300" s="4"/>
      <c r="D300" s="4"/>
    </row>
    <row r="301">
      <c r="A301" s="4" t="str">
        <f t="shared" si="2"/>
        <v/>
      </c>
      <c r="B301" s="4"/>
      <c r="C301" s="4"/>
      <c r="D301" s="4"/>
    </row>
    <row r="302">
      <c r="A302" s="4" t="str">
        <f t="shared" si="2"/>
        <v/>
      </c>
      <c r="B302" s="4"/>
      <c r="C302" s="4"/>
      <c r="D302" s="4"/>
    </row>
    <row r="303">
      <c r="A303" s="4" t="str">
        <f t="shared" si="2"/>
        <v/>
      </c>
      <c r="B303" s="4"/>
      <c r="C303" s="4"/>
      <c r="D303" s="4"/>
    </row>
    <row r="304">
      <c r="A304" s="4" t="str">
        <f t="shared" si="2"/>
        <v/>
      </c>
      <c r="B304" s="4"/>
      <c r="C304" s="4"/>
      <c r="D304" s="4"/>
    </row>
    <row r="305">
      <c r="A305" s="4" t="str">
        <f t="shared" si="2"/>
        <v/>
      </c>
      <c r="B305" s="4"/>
      <c r="C305" s="4"/>
      <c r="D305" s="4"/>
    </row>
    <row r="306">
      <c r="A306" s="4" t="str">
        <f t="shared" si="2"/>
        <v/>
      </c>
      <c r="B306" s="4"/>
      <c r="C306" s="4"/>
      <c r="D306" s="4"/>
    </row>
    <row r="307">
      <c r="A307" s="4" t="str">
        <f t="shared" si="2"/>
        <v/>
      </c>
      <c r="B307" s="4"/>
      <c r="C307" s="4"/>
      <c r="D307" s="4"/>
    </row>
    <row r="308">
      <c r="A308" s="4" t="str">
        <f t="shared" si="2"/>
        <v/>
      </c>
      <c r="B308" s="4"/>
      <c r="C308" s="4"/>
      <c r="D308" s="4"/>
    </row>
    <row r="309">
      <c r="A309" s="4" t="str">
        <f t="shared" si="2"/>
        <v/>
      </c>
      <c r="B309" s="4"/>
      <c r="C309" s="4"/>
      <c r="D309" s="4"/>
    </row>
    <row r="310">
      <c r="A310" s="4" t="str">
        <f t="shared" si="2"/>
        <v/>
      </c>
      <c r="B310" s="4"/>
      <c r="C310" s="4"/>
      <c r="D310" s="4"/>
    </row>
    <row r="311">
      <c r="A311" s="4" t="str">
        <f t="shared" si="2"/>
        <v/>
      </c>
      <c r="B311" s="4"/>
      <c r="C311" s="4"/>
      <c r="D311" s="4"/>
    </row>
    <row r="312">
      <c r="A312" s="4" t="str">
        <f t="shared" si="2"/>
        <v/>
      </c>
      <c r="B312" s="4"/>
      <c r="C312" s="4"/>
      <c r="D312" s="4"/>
    </row>
    <row r="313">
      <c r="A313" s="4" t="str">
        <f t="shared" si="2"/>
        <v/>
      </c>
      <c r="B313" s="4"/>
      <c r="C313" s="4"/>
      <c r="D313" s="4"/>
    </row>
    <row r="314">
      <c r="A314" s="4" t="str">
        <f t="shared" si="2"/>
        <v/>
      </c>
      <c r="B314" s="4"/>
      <c r="C314" s="4"/>
      <c r="D314" s="4"/>
    </row>
    <row r="315">
      <c r="A315" s="4" t="str">
        <f t="shared" si="2"/>
        <v/>
      </c>
      <c r="B315" s="4"/>
      <c r="C315" s="4"/>
      <c r="D315" s="4"/>
    </row>
    <row r="316">
      <c r="A316" s="4" t="str">
        <f t="shared" si="2"/>
        <v/>
      </c>
      <c r="B316" s="4"/>
      <c r="C316" s="4"/>
      <c r="D316" s="4"/>
    </row>
    <row r="317">
      <c r="A317" s="4" t="str">
        <f t="shared" si="2"/>
        <v/>
      </c>
      <c r="B317" s="4"/>
      <c r="C317" s="4"/>
      <c r="D317" s="4"/>
    </row>
    <row r="318">
      <c r="A318" s="4" t="str">
        <f t="shared" si="2"/>
        <v/>
      </c>
      <c r="B318" s="4"/>
      <c r="C318" s="4"/>
      <c r="D318" s="4"/>
    </row>
    <row r="319">
      <c r="A319" s="4" t="str">
        <f t="shared" si="2"/>
        <v/>
      </c>
      <c r="B319" s="4"/>
      <c r="C319" s="4"/>
      <c r="D319" s="4"/>
    </row>
    <row r="320">
      <c r="A320" s="4" t="str">
        <f t="shared" si="2"/>
        <v/>
      </c>
      <c r="B320" s="4"/>
      <c r="C320" s="4"/>
      <c r="D320" s="4"/>
    </row>
    <row r="321">
      <c r="A321" s="4" t="str">
        <f t="shared" si="2"/>
        <v/>
      </c>
      <c r="B321" s="4"/>
      <c r="C321" s="4"/>
      <c r="D321" s="4"/>
    </row>
    <row r="322">
      <c r="A322" s="4" t="str">
        <f t="shared" si="2"/>
        <v/>
      </c>
      <c r="B322" s="4"/>
      <c r="C322" s="4"/>
      <c r="D322" s="4"/>
    </row>
    <row r="323">
      <c r="A323" s="4" t="str">
        <f t="shared" si="2"/>
        <v/>
      </c>
      <c r="B323" s="4"/>
      <c r="C323" s="4"/>
      <c r="D323" s="4"/>
    </row>
    <row r="324">
      <c r="A324" s="4" t="str">
        <f t="shared" si="2"/>
        <v/>
      </c>
      <c r="B324" s="4"/>
      <c r="C324" s="4"/>
      <c r="D324" s="4"/>
    </row>
    <row r="325">
      <c r="A325" s="4" t="str">
        <f t="shared" si="2"/>
        <v/>
      </c>
      <c r="B325" s="4"/>
      <c r="C325" s="4"/>
      <c r="D325" s="4"/>
    </row>
    <row r="326">
      <c r="A326" s="4" t="str">
        <f t="shared" si="2"/>
        <v/>
      </c>
      <c r="B326" s="4"/>
      <c r="C326" s="4"/>
      <c r="D326" s="4"/>
    </row>
    <row r="327">
      <c r="A327" s="4" t="str">
        <f t="shared" si="2"/>
        <v/>
      </c>
      <c r="B327" s="4"/>
      <c r="C327" s="4"/>
      <c r="D327" s="4"/>
    </row>
    <row r="328">
      <c r="A328" s="4" t="str">
        <f t="shared" si="2"/>
        <v/>
      </c>
      <c r="B328" s="4"/>
      <c r="C328" s="4"/>
      <c r="D328" s="4"/>
    </row>
    <row r="329">
      <c r="A329" s="4" t="str">
        <f t="shared" si="2"/>
        <v/>
      </c>
      <c r="B329" s="4"/>
      <c r="C329" s="4"/>
      <c r="D329" s="4"/>
    </row>
    <row r="330">
      <c r="A330" s="4" t="str">
        <f t="shared" si="2"/>
        <v/>
      </c>
      <c r="B330" s="4"/>
      <c r="C330" s="4"/>
      <c r="D330" s="4"/>
    </row>
    <row r="331">
      <c r="A331" s="4" t="str">
        <f t="shared" si="2"/>
        <v/>
      </c>
      <c r="B331" s="4"/>
      <c r="C331" s="4"/>
      <c r="D331" s="4"/>
    </row>
    <row r="332">
      <c r="A332" s="4" t="str">
        <f t="shared" si="2"/>
        <v/>
      </c>
      <c r="B332" s="4"/>
      <c r="C332" s="4"/>
      <c r="D332" s="4"/>
    </row>
    <row r="333">
      <c r="A333" s="4" t="str">
        <f t="shared" si="2"/>
        <v/>
      </c>
      <c r="B333" s="4"/>
      <c r="C333" s="4"/>
      <c r="D333" s="4"/>
    </row>
    <row r="334">
      <c r="A334" s="4" t="str">
        <f t="shared" si="2"/>
        <v/>
      </c>
      <c r="B334" s="4"/>
      <c r="C334" s="4"/>
      <c r="D334" s="4"/>
    </row>
    <row r="335">
      <c r="A335" s="4" t="str">
        <f t="shared" si="2"/>
        <v/>
      </c>
      <c r="B335" s="4"/>
      <c r="C335" s="4"/>
      <c r="D335" s="4"/>
    </row>
    <row r="336">
      <c r="A336" s="4" t="str">
        <f t="shared" si="2"/>
        <v/>
      </c>
      <c r="B336" s="4"/>
      <c r="C336" s="4"/>
      <c r="D336" s="4"/>
    </row>
    <row r="337">
      <c r="A337" s="4" t="str">
        <f t="shared" si="2"/>
        <v/>
      </c>
      <c r="B337" s="4"/>
      <c r="C337" s="4"/>
      <c r="D337" s="4"/>
    </row>
    <row r="338">
      <c r="A338" s="4" t="str">
        <f t="shared" si="2"/>
        <v/>
      </c>
      <c r="B338" s="4"/>
      <c r="C338" s="4"/>
      <c r="D338" s="4"/>
    </row>
    <row r="339">
      <c r="A339" s="4" t="str">
        <f t="shared" si="2"/>
        <v/>
      </c>
      <c r="B339" s="4"/>
      <c r="C339" s="4"/>
      <c r="D339" s="4"/>
    </row>
    <row r="340">
      <c r="A340" s="4" t="str">
        <f t="shared" si="2"/>
        <v/>
      </c>
      <c r="B340" s="4"/>
      <c r="C340" s="4"/>
      <c r="D340" s="4"/>
    </row>
    <row r="341">
      <c r="A341" s="4" t="str">
        <f t="shared" si="2"/>
        <v/>
      </c>
      <c r="B341" s="4"/>
      <c r="C341" s="4"/>
      <c r="D341" s="4"/>
    </row>
    <row r="342">
      <c r="A342" s="4" t="str">
        <f t="shared" si="2"/>
        <v/>
      </c>
      <c r="B342" s="4"/>
      <c r="C342" s="4"/>
      <c r="D342" s="4"/>
    </row>
    <row r="343">
      <c r="A343" s="4" t="str">
        <f t="shared" si="2"/>
        <v/>
      </c>
      <c r="B343" s="4"/>
      <c r="C343" s="4"/>
      <c r="D343" s="4"/>
    </row>
    <row r="344">
      <c r="A344" s="4" t="str">
        <f t="shared" si="2"/>
        <v/>
      </c>
      <c r="B344" s="4"/>
      <c r="C344" s="4"/>
      <c r="D344" s="4"/>
    </row>
    <row r="345">
      <c r="A345" s="4" t="str">
        <f t="shared" si="2"/>
        <v/>
      </c>
      <c r="B345" s="4"/>
      <c r="C345" s="4"/>
      <c r="D345" s="4"/>
    </row>
    <row r="346">
      <c r="A346" s="4" t="str">
        <f t="shared" si="2"/>
        <v/>
      </c>
      <c r="B346" s="4"/>
      <c r="C346" s="4"/>
      <c r="D346" s="4"/>
    </row>
    <row r="347">
      <c r="A347" s="4" t="str">
        <f t="shared" si="2"/>
        <v/>
      </c>
      <c r="B347" s="4"/>
      <c r="C347" s="4"/>
      <c r="D347" s="4"/>
    </row>
    <row r="348">
      <c r="A348" s="4" t="str">
        <f t="shared" si="2"/>
        <v/>
      </c>
      <c r="B348" s="4"/>
      <c r="C348" s="4"/>
      <c r="D348" s="4"/>
    </row>
    <row r="349">
      <c r="A349" s="4" t="str">
        <f t="shared" si="2"/>
        <v/>
      </c>
      <c r="B349" s="4"/>
      <c r="C349" s="4"/>
      <c r="D349" s="4"/>
    </row>
    <row r="350">
      <c r="A350" s="4" t="str">
        <f t="shared" si="2"/>
        <v/>
      </c>
      <c r="B350" s="4"/>
      <c r="C350" s="4"/>
      <c r="D350" s="4"/>
    </row>
    <row r="351">
      <c r="A351" s="4" t="str">
        <f t="shared" si="2"/>
        <v/>
      </c>
      <c r="B351" s="4"/>
      <c r="C351" s="4"/>
      <c r="D351" s="4"/>
    </row>
    <row r="352">
      <c r="A352" s="4" t="str">
        <f t="shared" si="2"/>
        <v/>
      </c>
      <c r="B352" s="4"/>
      <c r="C352" s="4"/>
      <c r="D352" s="4"/>
    </row>
    <row r="353">
      <c r="A353" s="4" t="str">
        <f t="shared" si="2"/>
        <v/>
      </c>
      <c r="B353" s="4"/>
      <c r="C353" s="4"/>
      <c r="D353" s="4"/>
    </row>
    <row r="354">
      <c r="A354" s="4" t="str">
        <f t="shared" si="2"/>
        <v/>
      </c>
      <c r="B354" s="4"/>
      <c r="C354" s="4"/>
      <c r="D354" s="4"/>
    </row>
    <row r="355">
      <c r="A355" s="4" t="str">
        <f t="shared" si="2"/>
        <v/>
      </c>
      <c r="B355" s="4"/>
      <c r="C355" s="4"/>
      <c r="D355" s="4"/>
    </row>
    <row r="356">
      <c r="A356" s="4" t="str">
        <f t="shared" si="2"/>
        <v/>
      </c>
      <c r="B356" s="4"/>
      <c r="C356" s="4"/>
      <c r="D356" s="4"/>
    </row>
    <row r="357">
      <c r="A357" s="4" t="str">
        <f t="shared" si="2"/>
        <v/>
      </c>
      <c r="B357" s="4"/>
      <c r="C357" s="4"/>
      <c r="D357" s="4"/>
    </row>
    <row r="358">
      <c r="A358" s="4" t="str">
        <f t="shared" si="2"/>
        <v/>
      </c>
      <c r="B358" s="4"/>
      <c r="C358" s="4"/>
      <c r="D358" s="4"/>
    </row>
    <row r="359">
      <c r="A359" s="4" t="str">
        <f t="shared" si="2"/>
        <v/>
      </c>
      <c r="B359" s="4"/>
      <c r="C359" s="4"/>
      <c r="D359" s="4"/>
    </row>
    <row r="360">
      <c r="A360" s="4" t="str">
        <f t="shared" si="2"/>
        <v/>
      </c>
      <c r="B360" s="4"/>
      <c r="C360" s="4"/>
      <c r="D360" s="4"/>
    </row>
    <row r="361">
      <c r="A361" s="4" t="str">
        <f t="shared" si="2"/>
        <v/>
      </c>
      <c r="B361" s="4"/>
      <c r="C361" s="4"/>
      <c r="D361" s="4"/>
    </row>
    <row r="362">
      <c r="A362" s="4" t="str">
        <f t="shared" si="2"/>
        <v/>
      </c>
      <c r="B362" s="4"/>
      <c r="C362" s="4"/>
      <c r="D362" s="4"/>
    </row>
    <row r="363">
      <c r="A363" s="4" t="str">
        <f t="shared" si="2"/>
        <v/>
      </c>
      <c r="B363" s="4"/>
      <c r="C363" s="4"/>
      <c r="D363" s="4"/>
    </row>
    <row r="364">
      <c r="A364" s="4" t="str">
        <f t="shared" si="2"/>
        <v/>
      </c>
      <c r="B364" s="4"/>
      <c r="C364" s="4"/>
      <c r="D364" s="4"/>
    </row>
    <row r="365">
      <c r="A365" s="4" t="str">
        <f t="shared" si="2"/>
        <v/>
      </c>
      <c r="B365" s="4"/>
      <c r="C365" s="4"/>
      <c r="D365" s="4"/>
    </row>
    <row r="366">
      <c r="A366" s="4" t="str">
        <f t="shared" si="2"/>
        <v/>
      </c>
      <c r="B366" s="4"/>
      <c r="C366" s="4"/>
      <c r="D366" s="4"/>
    </row>
    <row r="367">
      <c r="A367" s="4" t="str">
        <f t="shared" si="2"/>
        <v/>
      </c>
      <c r="B367" s="4"/>
      <c r="C367" s="4"/>
      <c r="D367" s="4"/>
    </row>
    <row r="368">
      <c r="A368" s="4" t="str">
        <f t="shared" si="2"/>
        <v/>
      </c>
      <c r="B368" s="4"/>
      <c r="C368" s="4"/>
      <c r="D368" s="4"/>
    </row>
    <row r="369">
      <c r="A369" s="4" t="str">
        <f t="shared" si="2"/>
        <v/>
      </c>
      <c r="B369" s="4"/>
      <c r="C369" s="4"/>
      <c r="D369" s="4"/>
    </row>
    <row r="370">
      <c r="A370" s="4" t="str">
        <f t="shared" si="2"/>
        <v/>
      </c>
      <c r="B370" s="4"/>
      <c r="C370" s="4"/>
      <c r="D370" s="4"/>
    </row>
    <row r="371">
      <c r="A371" s="4" t="str">
        <f t="shared" si="2"/>
        <v/>
      </c>
      <c r="B371" s="4"/>
      <c r="C371" s="4"/>
      <c r="D371" s="4"/>
    </row>
    <row r="372">
      <c r="A372" s="4" t="str">
        <f t="shared" si="2"/>
        <v/>
      </c>
      <c r="B372" s="4"/>
      <c r="C372" s="4"/>
      <c r="D372" s="4"/>
    </row>
    <row r="373">
      <c r="A373" s="4" t="str">
        <f t="shared" si="2"/>
        <v/>
      </c>
      <c r="B373" s="4"/>
      <c r="C373" s="4"/>
      <c r="D373" s="4"/>
    </row>
    <row r="374">
      <c r="A374" s="4" t="str">
        <f t="shared" si="2"/>
        <v/>
      </c>
      <c r="B374" s="4"/>
      <c r="C374" s="4"/>
      <c r="D374" s="4"/>
    </row>
    <row r="375">
      <c r="A375" s="4" t="str">
        <f t="shared" si="2"/>
        <v/>
      </c>
      <c r="B375" s="4"/>
      <c r="C375" s="4"/>
      <c r="D375" s="4"/>
    </row>
    <row r="376">
      <c r="A376" s="4" t="str">
        <f t="shared" si="2"/>
        <v/>
      </c>
      <c r="B376" s="4"/>
      <c r="C376" s="4"/>
      <c r="D376" s="4"/>
    </row>
    <row r="377">
      <c r="A377" s="4" t="str">
        <f t="shared" si="2"/>
        <v/>
      </c>
      <c r="B377" s="4"/>
      <c r="C377" s="4"/>
      <c r="D377" s="4"/>
    </row>
    <row r="378">
      <c r="A378" s="4" t="str">
        <f t="shared" si="2"/>
        <v/>
      </c>
      <c r="B378" s="4"/>
      <c r="C378" s="4"/>
      <c r="D378" s="4"/>
    </row>
    <row r="379">
      <c r="A379" s="4" t="str">
        <f t="shared" si="2"/>
        <v/>
      </c>
      <c r="B379" s="4"/>
      <c r="C379" s="4"/>
      <c r="D379" s="4"/>
    </row>
    <row r="380">
      <c r="A380" s="4" t="str">
        <f t="shared" si="2"/>
        <v/>
      </c>
      <c r="B380" s="4"/>
      <c r="C380" s="4"/>
      <c r="D380" s="4"/>
    </row>
    <row r="381">
      <c r="A381" s="4" t="str">
        <f t="shared" si="2"/>
        <v/>
      </c>
      <c r="B381" s="4"/>
      <c r="C381" s="4"/>
      <c r="D381" s="4"/>
    </row>
    <row r="382">
      <c r="A382" s="4" t="str">
        <f t="shared" si="2"/>
        <v/>
      </c>
      <c r="B382" s="4"/>
      <c r="C382" s="4"/>
      <c r="D382" s="4"/>
    </row>
    <row r="383">
      <c r="A383" s="4" t="str">
        <f t="shared" si="2"/>
        <v/>
      </c>
      <c r="B383" s="4"/>
      <c r="C383" s="4"/>
      <c r="D383" s="4"/>
    </row>
    <row r="384">
      <c r="A384" s="4" t="str">
        <f t="shared" si="2"/>
        <v/>
      </c>
      <c r="B384" s="4"/>
      <c r="C384" s="4"/>
      <c r="D384" s="4"/>
    </row>
    <row r="385">
      <c r="A385" s="4" t="str">
        <f t="shared" si="2"/>
        <v/>
      </c>
      <c r="B385" s="4"/>
      <c r="C385" s="4"/>
      <c r="D385" s="4"/>
    </row>
    <row r="386">
      <c r="A386" s="4" t="str">
        <f t="shared" si="2"/>
        <v/>
      </c>
      <c r="B386" s="4"/>
      <c r="C386" s="4"/>
      <c r="D386" s="4"/>
    </row>
    <row r="387">
      <c r="A387" s="4" t="str">
        <f t="shared" si="2"/>
        <v/>
      </c>
      <c r="B387" s="4"/>
      <c r="C387" s="4"/>
      <c r="D387" s="4"/>
    </row>
    <row r="388">
      <c r="A388" s="4" t="str">
        <f t="shared" si="2"/>
        <v/>
      </c>
      <c r="B388" s="4"/>
      <c r="C388" s="4"/>
      <c r="D388" s="4"/>
    </row>
    <row r="389">
      <c r="A389" s="4" t="str">
        <f t="shared" si="2"/>
        <v/>
      </c>
      <c r="B389" s="4"/>
      <c r="C389" s="4"/>
      <c r="D389" s="4"/>
    </row>
    <row r="390">
      <c r="A390" s="4" t="str">
        <f t="shared" si="2"/>
        <v/>
      </c>
      <c r="B390" s="4"/>
      <c r="C390" s="4"/>
      <c r="D390" s="4"/>
    </row>
    <row r="391">
      <c r="A391" s="4" t="str">
        <f t="shared" si="2"/>
        <v/>
      </c>
      <c r="B391" s="4"/>
      <c r="C391" s="4"/>
      <c r="D391" s="4"/>
    </row>
    <row r="392">
      <c r="A392" s="4" t="str">
        <f t="shared" si="2"/>
        <v/>
      </c>
      <c r="B392" s="4"/>
      <c r="C392" s="4"/>
      <c r="D392" s="4"/>
    </row>
    <row r="393">
      <c r="A393" s="4" t="str">
        <f t="shared" si="2"/>
        <v/>
      </c>
      <c r="B393" s="4"/>
      <c r="C393" s="4"/>
      <c r="D393" s="4"/>
    </row>
    <row r="394">
      <c r="A394" s="4" t="str">
        <f t="shared" si="2"/>
        <v/>
      </c>
      <c r="B394" s="4"/>
      <c r="C394" s="4"/>
      <c r="D394" s="4"/>
    </row>
    <row r="395">
      <c r="A395" s="4" t="str">
        <f t="shared" si="2"/>
        <v/>
      </c>
      <c r="B395" s="4"/>
      <c r="C395" s="4"/>
      <c r="D395" s="4"/>
    </row>
    <row r="396">
      <c r="A396" s="4" t="str">
        <f t="shared" si="2"/>
        <v/>
      </c>
      <c r="B396" s="4"/>
      <c r="C396" s="4"/>
      <c r="D396" s="4"/>
    </row>
    <row r="397">
      <c r="A397" s="4" t="str">
        <f t="shared" si="2"/>
        <v/>
      </c>
      <c r="B397" s="4"/>
      <c r="C397" s="4"/>
      <c r="D397" s="4"/>
    </row>
    <row r="398">
      <c r="A398" s="4" t="str">
        <f t="shared" si="2"/>
        <v/>
      </c>
      <c r="B398" s="4"/>
      <c r="C398" s="4"/>
      <c r="D398" s="4"/>
    </row>
    <row r="399">
      <c r="A399" s="4" t="str">
        <f t="shared" si="2"/>
        <v/>
      </c>
      <c r="B399" s="4"/>
      <c r="C399" s="4"/>
      <c r="D399" s="4"/>
    </row>
    <row r="400">
      <c r="A400" s="4" t="str">
        <f t="shared" si="2"/>
        <v/>
      </c>
      <c r="B400" s="4"/>
      <c r="C400" s="4"/>
      <c r="D400" s="4"/>
    </row>
    <row r="401">
      <c r="A401" s="4" t="str">
        <f t="shared" si="2"/>
        <v/>
      </c>
      <c r="B401" s="4"/>
      <c r="C401" s="4"/>
      <c r="D401" s="4"/>
    </row>
    <row r="402">
      <c r="A402" s="4" t="str">
        <f t="shared" si="2"/>
        <v/>
      </c>
      <c r="B402" s="4"/>
      <c r="C402" s="4"/>
      <c r="D402" s="4"/>
    </row>
    <row r="403">
      <c r="A403" s="4" t="str">
        <f t="shared" si="2"/>
        <v/>
      </c>
      <c r="B403" s="4"/>
      <c r="C403" s="4"/>
      <c r="D403" s="4"/>
    </row>
    <row r="404">
      <c r="A404" s="4" t="str">
        <f t="shared" si="2"/>
        <v/>
      </c>
      <c r="B404" s="4"/>
      <c r="C404" s="4"/>
      <c r="D404" s="4"/>
    </row>
    <row r="405">
      <c r="A405" s="4" t="str">
        <f t="shared" si="2"/>
        <v/>
      </c>
      <c r="B405" s="4"/>
      <c r="C405" s="4"/>
      <c r="D405" s="4"/>
    </row>
    <row r="406">
      <c r="A406" s="4" t="str">
        <f t="shared" si="2"/>
        <v/>
      </c>
      <c r="B406" s="4"/>
      <c r="C406" s="4"/>
      <c r="D406" s="4"/>
    </row>
    <row r="407">
      <c r="A407" s="4" t="str">
        <f t="shared" si="2"/>
        <v/>
      </c>
      <c r="B407" s="4"/>
      <c r="C407" s="4"/>
      <c r="D407" s="4"/>
    </row>
    <row r="408">
      <c r="A408" s="4" t="str">
        <f t="shared" si="2"/>
        <v/>
      </c>
      <c r="B408" s="4"/>
      <c r="C408" s="4"/>
      <c r="D408" s="4"/>
    </row>
    <row r="409">
      <c r="A409" s="4" t="str">
        <f t="shared" si="2"/>
        <v/>
      </c>
      <c r="B409" s="4"/>
      <c r="C409" s="4"/>
      <c r="D409" s="4"/>
    </row>
    <row r="410">
      <c r="A410" s="4" t="str">
        <f t="shared" si="2"/>
        <v/>
      </c>
      <c r="B410" s="4"/>
      <c r="C410" s="4"/>
      <c r="D410" s="4"/>
    </row>
    <row r="411">
      <c r="A411" s="4" t="str">
        <f t="shared" si="2"/>
        <v/>
      </c>
      <c r="B411" s="4"/>
      <c r="C411" s="4"/>
      <c r="D411" s="4"/>
    </row>
    <row r="412">
      <c r="A412" s="4" t="str">
        <f t="shared" si="2"/>
        <v/>
      </c>
      <c r="B412" s="4"/>
      <c r="C412" s="4"/>
      <c r="D412" s="4"/>
    </row>
    <row r="413">
      <c r="A413" s="4" t="str">
        <f t="shared" si="2"/>
        <v/>
      </c>
      <c r="B413" s="4"/>
      <c r="C413" s="4"/>
      <c r="D413" s="4"/>
    </row>
    <row r="414">
      <c r="A414" s="4" t="str">
        <f t="shared" si="2"/>
        <v/>
      </c>
      <c r="B414" s="4"/>
      <c r="C414" s="4"/>
      <c r="D414" s="4"/>
    </row>
    <row r="415">
      <c r="A415" s="4" t="str">
        <f t="shared" si="2"/>
        <v/>
      </c>
      <c r="B415" s="4"/>
      <c r="C415" s="4"/>
      <c r="D415" s="4"/>
    </row>
    <row r="416">
      <c r="A416" s="4" t="str">
        <f t="shared" si="2"/>
        <v/>
      </c>
      <c r="B416" s="4"/>
      <c r="C416" s="4"/>
      <c r="D416" s="4"/>
    </row>
    <row r="417">
      <c r="A417" s="4" t="str">
        <f t="shared" si="2"/>
        <v/>
      </c>
      <c r="B417" s="4"/>
      <c r="C417" s="4"/>
      <c r="D417" s="4"/>
    </row>
    <row r="418">
      <c r="A418" s="4" t="str">
        <f t="shared" si="2"/>
        <v/>
      </c>
      <c r="B418" s="4"/>
      <c r="C418" s="4"/>
      <c r="D418" s="4"/>
    </row>
    <row r="419">
      <c r="A419" s="4" t="str">
        <f t="shared" si="2"/>
        <v/>
      </c>
      <c r="B419" s="4"/>
      <c r="C419" s="4"/>
      <c r="D419" s="4"/>
    </row>
    <row r="420">
      <c r="A420" s="4" t="str">
        <f t="shared" si="2"/>
        <v/>
      </c>
      <c r="B420" s="4"/>
      <c r="C420" s="4"/>
      <c r="D420" s="4"/>
    </row>
    <row r="421">
      <c r="A421" s="4" t="str">
        <f t="shared" si="2"/>
        <v/>
      </c>
      <c r="B421" s="4"/>
      <c r="C421" s="4"/>
      <c r="D421" s="4"/>
    </row>
    <row r="422">
      <c r="A422" s="4" t="str">
        <f t="shared" si="2"/>
        <v/>
      </c>
      <c r="B422" s="4"/>
      <c r="C422" s="4"/>
      <c r="D422" s="4"/>
    </row>
    <row r="423">
      <c r="A423" s="4" t="str">
        <f t="shared" si="2"/>
        <v/>
      </c>
      <c r="B423" s="4"/>
      <c r="C423" s="4"/>
      <c r="D423" s="4"/>
    </row>
    <row r="424">
      <c r="A424" s="4" t="str">
        <f t="shared" si="2"/>
        <v/>
      </c>
      <c r="B424" s="4"/>
      <c r="C424" s="4"/>
      <c r="D424" s="4"/>
    </row>
    <row r="425">
      <c r="A425" s="4" t="str">
        <f t="shared" si="2"/>
        <v/>
      </c>
      <c r="B425" s="4"/>
      <c r="C425" s="4"/>
      <c r="D425" s="4"/>
    </row>
    <row r="426">
      <c r="A426" s="4" t="str">
        <f t="shared" si="2"/>
        <v/>
      </c>
      <c r="B426" s="4"/>
      <c r="C426" s="4"/>
      <c r="D426" s="4"/>
    </row>
    <row r="427">
      <c r="A427" s="4" t="str">
        <f t="shared" si="2"/>
        <v/>
      </c>
      <c r="B427" s="4"/>
      <c r="C427" s="4"/>
      <c r="D427" s="4"/>
    </row>
    <row r="428">
      <c r="A428" s="4" t="str">
        <f t="shared" si="2"/>
        <v/>
      </c>
      <c r="B428" s="4"/>
      <c r="C428" s="4"/>
      <c r="D428" s="4"/>
    </row>
    <row r="429">
      <c r="A429" s="4" t="str">
        <f t="shared" si="2"/>
        <v/>
      </c>
      <c r="B429" s="4"/>
      <c r="C429" s="4"/>
      <c r="D429" s="4"/>
    </row>
    <row r="430">
      <c r="A430" s="4" t="str">
        <f t="shared" si="2"/>
        <v/>
      </c>
      <c r="B430" s="4"/>
      <c r="C430" s="4"/>
      <c r="D430" s="4"/>
    </row>
    <row r="431">
      <c r="A431" s="4" t="str">
        <f t="shared" si="2"/>
        <v/>
      </c>
      <c r="B431" s="4"/>
      <c r="C431" s="4"/>
      <c r="D431" s="4"/>
    </row>
    <row r="432">
      <c r="A432" s="4" t="str">
        <f t="shared" si="2"/>
        <v/>
      </c>
      <c r="B432" s="4"/>
      <c r="C432" s="4"/>
      <c r="D432" s="4"/>
    </row>
    <row r="433">
      <c r="A433" s="4" t="str">
        <f t="shared" si="2"/>
        <v/>
      </c>
      <c r="B433" s="4"/>
      <c r="C433" s="4"/>
      <c r="D433" s="4"/>
    </row>
    <row r="434">
      <c r="A434" s="4" t="str">
        <f t="shared" si="2"/>
        <v/>
      </c>
      <c r="B434" s="4"/>
      <c r="C434" s="4"/>
      <c r="D434" s="4"/>
    </row>
    <row r="435">
      <c r="A435" s="4" t="str">
        <f t="shared" si="2"/>
        <v/>
      </c>
      <c r="B435" s="4"/>
      <c r="C435" s="4"/>
      <c r="D435" s="4"/>
    </row>
    <row r="436">
      <c r="A436" s="4" t="str">
        <f t="shared" si="2"/>
        <v/>
      </c>
      <c r="B436" s="4"/>
      <c r="C436" s="4"/>
      <c r="D436" s="4"/>
    </row>
    <row r="437">
      <c r="A437" s="4" t="str">
        <f t="shared" si="2"/>
        <v/>
      </c>
      <c r="B437" s="4"/>
      <c r="C437" s="4"/>
      <c r="D437" s="4"/>
    </row>
    <row r="438">
      <c r="A438" s="4" t="str">
        <f t="shared" si="2"/>
        <v/>
      </c>
      <c r="B438" s="4"/>
      <c r="C438" s="4"/>
      <c r="D438" s="4"/>
    </row>
    <row r="439">
      <c r="A439" s="4" t="str">
        <f t="shared" si="2"/>
        <v/>
      </c>
      <c r="B439" s="4"/>
      <c r="C439" s="4"/>
      <c r="D439" s="4"/>
    </row>
    <row r="440">
      <c r="A440" s="4" t="str">
        <f t="shared" si="2"/>
        <v/>
      </c>
      <c r="B440" s="4"/>
      <c r="C440" s="4"/>
      <c r="D440" s="4"/>
    </row>
    <row r="441">
      <c r="A441" s="4" t="str">
        <f t="shared" si="2"/>
        <v/>
      </c>
      <c r="B441" s="4"/>
      <c r="C441" s="4"/>
      <c r="D441" s="4"/>
    </row>
    <row r="442">
      <c r="A442" s="4" t="str">
        <f t="shared" si="2"/>
        <v/>
      </c>
      <c r="B442" s="4"/>
      <c r="C442" s="4"/>
      <c r="D442" s="4"/>
    </row>
    <row r="443">
      <c r="A443" s="4" t="str">
        <f t="shared" si="2"/>
        <v/>
      </c>
      <c r="B443" s="4"/>
      <c r="C443" s="4"/>
      <c r="D443" s="4"/>
    </row>
    <row r="444">
      <c r="A444" s="4" t="str">
        <f t="shared" si="2"/>
        <v/>
      </c>
      <c r="B444" s="4"/>
      <c r="C444" s="4"/>
      <c r="D444" s="4"/>
    </row>
    <row r="445">
      <c r="A445" s="4" t="str">
        <f t="shared" si="2"/>
        <v/>
      </c>
      <c r="B445" s="4"/>
      <c r="C445" s="4"/>
      <c r="D445" s="4"/>
    </row>
    <row r="446">
      <c r="A446" s="4" t="str">
        <f t="shared" si="2"/>
        <v/>
      </c>
      <c r="B446" s="4"/>
      <c r="C446" s="4"/>
      <c r="D446" s="4"/>
    </row>
    <row r="447">
      <c r="A447" s="4" t="str">
        <f t="shared" si="2"/>
        <v/>
      </c>
      <c r="B447" s="4"/>
      <c r="C447" s="4"/>
      <c r="D447" s="4"/>
    </row>
    <row r="448">
      <c r="A448" s="4" t="str">
        <f t="shared" si="2"/>
        <v/>
      </c>
      <c r="B448" s="4"/>
      <c r="C448" s="4"/>
      <c r="D448" s="4"/>
    </row>
    <row r="449">
      <c r="A449" s="4" t="str">
        <f t="shared" si="2"/>
        <v/>
      </c>
      <c r="B449" s="4"/>
      <c r="C449" s="4"/>
      <c r="D449" s="4"/>
    </row>
    <row r="450">
      <c r="A450" s="4" t="str">
        <f t="shared" si="2"/>
        <v/>
      </c>
      <c r="B450" s="4"/>
      <c r="C450" s="4"/>
      <c r="D450" s="4"/>
    </row>
    <row r="451">
      <c r="A451" s="4" t="str">
        <f t="shared" si="2"/>
        <v/>
      </c>
      <c r="B451" s="4"/>
      <c r="C451" s="4"/>
      <c r="D451" s="4"/>
    </row>
    <row r="452">
      <c r="A452" s="4" t="str">
        <f t="shared" si="2"/>
        <v/>
      </c>
      <c r="B452" s="4"/>
      <c r="C452" s="4"/>
      <c r="D452" s="4"/>
    </row>
    <row r="453">
      <c r="A453" s="4" t="str">
        <f t="shared" si="2"/>
        <v/>
      </c>
      <c r="B453" s="4"/>
      <c r="C453" s="4"/>
      <c r="D453" s="4"/>
    </row>
    <row r="454">
      <c r="A454" s="4" t="str">
        <f t="shared" si="2"/>
        <v/>
      </c>
      <c r="B454" s="4"/>
      <c r="C454" s="4"/>
      <c r="D454" s="4"/>
    </row>
    <row r="455">
      <c r="A455" s="4" t="str">
        <f t="shared" si="2"/>
        <v/>
      </c>
      <c r="B455" s="4"/>
      <c r="C455" s="4"/>
      <c r="D455" s="4"/>
    </row>
    <row r="456">
      <c r="A456" s="4" t="str">
        <f t="shared" si="2"/>
        <v/>
      </c>
      <c r="B456" s="4"/>
      <c r="C456" s="4"/>
      <c r="D456" s="4"/>
    </row>
    <row r="457">
      <c r="A457" s="4" t="str">
        <f t="shared" si="2"/>
        <v/>
      </c>
      <c r="B457" s="4"/>
      <c r="C457" s="4"/>
      <c r="D457" s="4"/>
    </row>
    <row r="458">
      <c r="A458" s="4" t="str">
        <f t="shared" si="2"/>
        <v/>
      </c>
      <c r="B458" s="4"/>
      <c r="C458" s="4"/>
      <c r="D458" s="4"/>
    </row>
    <row r="459">
      <c r="A459" s="4" t="str">
        <f t="shared" si="2"/>
        <v/>
      </c>
      <c r="B459" s="4"/>
      <c r="C459" s="4"/>
      <c r="D459" s="4"/>
    </row>
    <row r="460">
      <c r="A460" s="4" t="str">
        <f t="shared" si="2"/>
        <v/>
      </c>
      <c r="B460" s="4"/>
      <c r="C460" s="4"/>
      <c r="D460" s="4"/>
    </row>
    <row r="461">
      <c r="A461" s="4" t="str">
        <f t="shared" si="2"/>
        <v/>
      </c>
      <c r="B461" s="4"/>
      <c r="C461" s="4"/>
      <c r="D461" s="4"/>
    </row>
    <row r="462">
      <c r="A462" s="4" t="str">
        <f t="shared" si="2"/>
        <v/>
      </c>
      <c r="B462" s="4"/>
      <c r="C462" s="4"/>
      <c r="D462" s="4"/>
    </row>
    <row r="463">
      <c r="A463" s="4" t="str">
        <f t="shared" si="2"/>
        <v/>
      </c>
      <c r="B463" s="4"/>
      <c r="C463" s="4"/>
      <c r="D463" s="4"/>
    </row>
    <row r="464">
      <c r="A464" s="4" t="str">
        <f t="shared" si="2"/>
        <v/>
      </c>
      <c r="B464" s="4"/>
      <c r="C464" s="4"/>
      <c r="D464" s="4"/>
    </row>
    <row r="465">
      <c r="A465" s="4" t="str">
        <f t="shared" si="2"/>
        <v/>
      </c>
      <c r="B465" s="4"/>
      <c r="C465" s="4"/>
      <c r="D465" s="4"/>
    </row>
    <row r="466">
      <c r="A466" s="4" t="str">
        <f t="shared" si="2"/>
        <v/>
      </c>
      <c r="B466" s="4"/>
      <c r="C466" s="4"/>
      <c r="D466" s="4"/>
    </row>
    <row r="467">
      <c r="A467" s="4" t="str">
        <f t="shared" si="2"/>
        <v/>
      </c>
      <c r="B467" s="4"/>
      <c r="C467" s="4"/>
      <c r="D467" s="4"/>
    </row>
    <row r="468">
      <c r="A468" s="4" t="str">
        <f t="shared" si="2"/>
        <v/>
      </c>
      <c r="B468" s="4"/>
      <c r="C468" s="4"/>
      <c r="D468" s="4"/>
    </row>
    <row r="469">
      <c r="A469" s="4" t="str">
        <f t="shared" si="2"/>
        <v/>
      </c>
      <c r="B469" s="4"/>
      <c r="C469" s="4"/>
      <c r="D469" s="4"/>
    </row>
    <row r="470">
      <c r="A470" s="4" t="str">
        <f t="shared" si="2"/>
        <v/>
      </c>
      <c r="B470" s="4"/>
      <c r="C470" s="4"/>
      <c r="D470" s="4"/>
    </row>
    <row r="471">
      <c r="A471" s="4" t="str">
        <f t="shared" si="2"/>
        <v/>
      </c>
      <c r="B471" s="4"/>
      <c r="C471" s="4"/>
      <c r="D471" s="4"/>
    </row>
    <row r="472">
      <c r="A472" s="4" t="str">
        <f t="shared" si="2"/>
        <v/>
      </c>
      <c r="B472" s="4"/>
      <c r="C472" s="4"/>
      <c r="D472" s="4"/>
    </row>
    <row r="473">
      <c r="A473" s="4" t="str">
        <f t="shared" si="2"/>
        <v/>
      </c>
      <c r="B473" s="4"/>
      <c r="C473" s="4"/>
      <c r="D473" s="4"/>
    </row>
    <row r="474">
      <c r="A474" s="4" t="str">
        <f t="shared" si="2"/>
        <v/>
      </c>
      <c r="B474" s="4"/>
      <c r="C474" s="4"/>
      <c r="D474" s="4"/>
    </row>
    <row r="475">
      <c r="A475" s="4" t="str">
        <f t="shared" si="2"/>
        <v/>
      </c>
      <c r="B475" s="4"/>
      <c r="C475" s="4"/>
      <c r="D475" s="4"/>
    </row>
    <row r="476">
      <c r="A476" s="4" t="str">
        <f t="shared" si="2"/>
        <v/>
      </c>
      <c r="B476" s="4"/>
      <c r="C476" s="4"/>
      <c r="D476" s="4"/>
    </row>
    <row r="477">
      <c r="A477" s="4" t="str">
        <f t="shared" si="2"/>
        <v/>
      </c>
      <c r="B477" s="4"/>
      <c r="C477" s="4"/>
      <c r="D477" s="4"/>
    </row>
    <row r="478">
      <c r="A478" s="4" t="str">
        <f t="shared" si="2"/>
        <v/>
      </c>
      <c r="B478" s="4"/>
      <c r="C478" s="4"/>
      <c r="D478" s="4"/>
    </row>
    <row r="479">
      <c r="A479" s="4" t="str">
        <f t="shared" si="2"/>
        <v/>
      </c>
      <c r="B479" s="4"/>
      <c r="C479" s="4"/>
      <c r="D479" s="4"/>
    </row>
    <row r="480">
      <c r="A480" s="4" t="str">
        <f t="shared" si="2"/>
        <v/>
      </c>
      <c r="B480" s="4"/>
      <c r="C480" s="4"/>
      <c r="D480" s="4"/>
    </row>
    <row r="481">
      <c r="A481" s="4" t="str">
        <f t="shared" si="2"/>
        <v/>
      </c>
      <c r="B481" s="4"/>
      <c r="C481" s="4"/>
      <c r="D481" s="4"/>
    </row>
    <row r="482">
      <c r="A482" s="4" t="str">
        <f t="shared" si="2"/>
        <v/>
      </c>
      <c r="B482" s="4"/>
      <c r="C482" s="4"/>
      <c r="D482" s="4"/>
    </row>
    <row r="483">
      <c r="A483" s="4" t="str">
        <f t="shared" si="2"/>
        <v/>
      </c>
      <c r="B483" s="4"/>
      <c r="C483" s="4"/>
      <c r="D483" s="4"/>
    </row>
    <row r="484">
      <c r="A484" s="4" t="str">
        <f t="shared" si="2"/>
        <v/>
      </c>
      <c r="B484" s="4"/>
      <c r="C484" s="4"/>
      <c r="D484" s="4"/>
    </row>
    <row r="485">
      <c r="A485" s="4" t="str">
        <f t="shared" si="2"/>
        <v/>
      </c>
      <c r="B485" s="4"/>
      <c r="C485" s="4"/>
      <c r="D485" s="4"/>
    </row>
    <row r="486">
      <c r="A486" s="4" t="str">
        <f t="shared" si="2"/>
        <v/>
      </c>
      <c r="B486" s="4"/>
      <c r="C486" s="4"/>
      <c r="D486" s="4"/>
    </row>
    <row r="487">
      <c r="A487" s="4" t="str">
        <f t="shared" si="2"/>
        <v/>
      </c>
      <c r="B487" s="4"/>
      <c r="C487" s="4"/>
      <c r="D487" s="4"/>
    </row>
    <row r="488">
      <c r="A488" s="4" t="str">
        <f t="shared" si="2"/>
        <v/>
      </c>
      <c r="B488" s="4"/>
      <c r="C488" s="4"/>
      <c r="D488" s="4"/>
    </row>
    <row r="489">
      <c r="A489" s="4" t="str">
        <f t="shared" si="2"/>
        <v/>
      </c>
      <c r="B489" s="4"/>
      <c r="C489" s="4"/>
      <c r="D489" s="4"/>
    </row>
    <row r="490">
      <c r="A490" s="4" t="str">
        <f t="shared" si="2"/>
        <v/>
      </c>
      <c r="B490" s="4"/>
      <c r="C490" s="4"/>
      <c r="D490" s="4"/>
    </row>
    <row r="491">
      <c r="A491" s="4" t="str">
        <f t="shared" si="2"/>
        <v/>
      </c>
      <c r="B491" s="4"/>
      <c r="C491" s="4"/>
      <c r="D491" s="4"/>
    </row>
    <row r="492">
      <c r="A492" s="4" t="str">
        <f t="shared" si="2"/>
        <v/>
      </c>
      <c r="B492" s="4"/>
      <c r="C492" s="4"/>
      <c r="D492" s="4"/>
    </row>
    <row r="493">
      <c r="A493" s="4" t="str">
        <f t="shared" si="2"/>
        <v/>
      </c>
      <c r="B493" s="4"/>
      <c r="C493" s="4"/>
      <c r="D493" s="4"/>
    </row>
    <row r="494">
      <c r="A494" s="4" t="str">
        <f t="shared" si="2"/>
        <v/>
      </c>
      <c r="B494" s="4"/>
      <c r="C494" s="4"/>
      <c r="D494" s="4"/>
    </row>
    <row r="495">
      <c r="A495" s="4" t="str">
        <f t="shared" si="2"/>
        <v/>
      </c>
      <c r="B495" s="4"/>
      <c r="C495" s="4"/>
      <c r="D495" s="4"/>
    </row>
    <row r="496">
      <c r="A496" s="4" t="str">
        <f t="shared" si="2"/>
        <v/>
      </c>
      <c r="B496" s="4"/>
      <c r="C496" s="4"/>
      <c r="D496" s="4"/>
    </row>
    <row r="497">
      <c r="A497" s="4" t="str">
        <f t="shared" si="2"/>
        <v/>
      </c>
      <c r="B497" s="4"/>
      <c r="C497" s="4"/>
      <c r="D497" s="4"/>
    </row>
    <row r="498">
      <c r="A498" s="4" t="str">
        <f t="shared" si="2"/>
        <v/>
      </c>
      <c r="B498" s="4"/>
      <c r="C498" s="4"/>
      <c r="D498" s="4"/>
    </row>
    <row r="499">
      <c r="A499" s="4" t="str">
        <f t="shared" si="2"/>
        <v/>
      </c>
      <c r="B499" s="4"/>
      <c r="C499" s="4"/>
      <c r="D499" s="4"/>
    </row>
    <row r="500">
      <c r="A500" s="4" t="str">
        <f t="shared" si="2"/>
        <v/>
      </c>
      <c r="B500" s="4"/>
      <c r="C500" s="4"/>
      <c r="D500" s="4"/>
    </row>
    <row r="501">
      <c r="A501" s="4" t="str">
        <f t="shared" si="2"/>
        <v/>
      </c>
      <c r="B501" s="4"/>
      <c r="C501" s="4"/>
      <c r="D501" s="4"/>
    </row>
    <row r="502">
      <c r="A502" s="4" t="str">
        <f t="shared" si="2"/>
        <v/>
      </c>
      <c r="B502" s="4"/>
      <c r="C502" s="4"/>
      <c r="D502" s="4"/>
    </row>
    <row r="503">
      <c r="A503" s="4" t="str">
        <f t="shared" si="2"/>
        <v/>
      </c>
      <c r="B503" s="4"/>
      <c r="C503" s="4"/>
      <c r="D503" s="4"/>
    </row>
    <row r="504">
      <c r="A504" s="4" t="str">
        <f t="shared" si="2"/>
        <v/>
      </c>
      <c r="B504" s="4"/>
      <c r="C504" s="4"/>
      <c r="D504" s="4"/>
    </row>
    <row r="505">
      <c r="A505" s="4" t="str">
        <f t="shared" si="2"/>
        <v/>
      </c>
      <c r="B505" s="4"/>
      <c r="C505" s="4"/>
      <c r="D505" s="4"/>
    </row>
    <row r="506">
      <c r="A506" s="4" t="str">
        <f t="shared" si="2"/>
        <v/>
      </c>
      <c r="B506" s="4"/>
      <c r="C506" s="4"/>
      <c r="D506" s="4"/>
    </row>
    <row r="507">
      <c r="A507" s="4" t="str">
        <f t="shared" si="2"/>
        <v/>
      </c>
      <c r="B507" s="4"/>
      <c r="C507" s="4"/>
      <c r="D507" s="4"/>
    </row>
    <row r="508">
      <c r="A508" s="4" t="str">
        <f t="shared" si="2"/>
        <v/>
      </c>
      <c r="B508" s="4"/>
      <c r="C508" s="4"/>
      <c r="D508" s="4"/>
    </row>
    <row r="509">
      <c r="A509" s="4" t="str">
        <f t="shared" si="2"/>
        <v/>
      </c>
      <c r="B509" s="4"/>
      <c r="C509" s="4"/>
      <c r="D509" s="4"/>
    </row>
    <row r="510">
      <c r="A510" s="4" t="str">
        <f t="shared" si="2"/>
        <v/>
      </c>
      <c r="B510" s="4"/>
      <c r="C510" s="4"/>
      <c r="D510" s="4"/>
    </row>
    <row r="511">
      <c r="A511" s="4" t="str">
        <f t="shared" si="2"/>
        <v/>
      </c>
      <c r="B511" s="4"/>
      <c r="C511" s="4"/>
      <c r="D511" s="4"/>
    </row>
    <row r="512">
      <c r="A512" s="4" t="str">
        <f t="shared" si="2"/>
        <v/>
      </c>
      <c r="B512" s="4"/>
      <c r="C512" s="4"/>
      <c r="D512" s="4"/>
    </row>
    <row r="513">
      <c r="A513" s="4" t="str">
        <f t="shared" si="2"/>
        <v/>
      </c>
      <c r="B513" s="4"/>
      <c r="C513" s="4"/>
      <c r="D513" s="4"/>
    </row>
    <row r="514">
      <c r="A514" s="4" t="str">
        <f t="shared" si="2"/>
        <v/>
      </c>
      <c r="B514" s="4"/>
      <c r="C514" s="4"/>
      <c r="D514" s="4"/>
    </row>
    <row r="515">
      <c r="A515" s="4" t="str">
        <f t="shared" si="2"/>
        <v/>
      </c>
      <c r="B515" s="4"/>
      <c r="C515" s="4"/>
      <c r="D515" s="4"/>
    </row>
    <row r="516">
      <c r="A516" s="4" t="str">
        <f t="shared" si="2"/>
        <v/>
      </c>
      <c r="B516" s="4"/>
      <c r="C516" s="4"/>
      <c r="D516" s="4"/>
    </row>
    <row r="517">
      <c r="A517" s="4" t="str">
        <f t="shared" si="2"/>
        <v/>
      </c>
      <c r="B517" s="4"/>
      <c r="C517" s="4"/>
      <c r="D517" s="4"/>
    </row>
    <row r="518">
      <c r="A518" s="4" t="str">
        <f t="shared" si="2"/>
        <v/>
      </c>
      <c r="B518" s="4"/>
      <c r="C518" s="4"/>
      <c r="D518" s="4"/>
    </row>
    <row r="519">
      <c r="A519" s="4" t="str">
        <f t="shared" si="2"/>
        <v/>
      </c>
      <c r="B519" s="4"/>
      <c r="C519" s="4"/>
      <c r="D519" s="4"/>
    </row>
    <row r="520">
      <c r="A520" s="4" t="str">
        <f t="shared" si="2"/>
        <v/>
      </c>
      <c r="B520" s="4"/>
      <c r="C520" s="4"/>
      <c r="D520" s="4"/>
    </row>
    <row r="521">
      <c r="A521" s="4" t="str">
        <f t="shared" si="2"/>
        <v/>
      </c>
      <c r="B521" s="4"/>
      <c r="C521" s="4"/>
      <c r="D521" s="4"/>
    </row>
    <row r="522">
      <c r="A522" s="4" t="str">
        <f t="shared" si="2"/>
        <v/>
      </c>
      <c r="B522" s="4"/>
      <c r="C522" s="4"/>
      <c r="D522" s="4"/>
    </row>
    <row r="523">
      <c r="A523" s="4" t="str">
        <f t="shared" si="2"/>
        <v/>
      </c>
      <c r="B523" s="4"/>
      <c r="C523" s="4"/>
      <c r="D523" s="4"/>
    </row>
    <row r="524">
      <c r="A524" s="4" t="str">
        <f t="shared" si="2"/>
        <v/>
      </c>
      <c r="B524" s="4"/>
      <c r="C524" s="4"/>
      <c r="D524" s="4"/>
    </row>
    <row r="525">
      <c r="A525" s="4" t="str">
        <f t="shared" si="2"/>
        <v/>
      </c>
      <c r="B525" s="4"/>
      <c r="C525" s="4"/>
      <c r="D525" s="4"/>
    </row>
    <row r="526">
      <c r="A526" s="4" t="str">
        <f t="shared" si="2"/>
        <v/>
      </c>
      <c r="B526" s="4"/>
      <c r="C526" s="4"/>
      <c r="D526" s="4"/>
    </row>
    <row r="527">
      <c r="A527" s="4" t="str">
        <f t="shared" si="2"/>
        <v/>
      </c>
      <c r="B527" s="4"/>
      <c r="C527" s="4"/>
      <c r="D527" s="4"/>
    </row>
    <row r="528">
      <c r="A528" s="4" t="str">
        <f t="shared" si="2"/>
        <v/>
      </c>
      <c r="B528" s="4"/>
      <c r="C528" s="4"/>
      <c r="D528" s="4"/>
    </row>
    <row r="529">
      <c r="A529" s="4" t="str">
        <f t="shared" si="2"/>
        <v/>
      </c>
      <c r="B529" s="4"/>
      <c r="C529" s="4"/>
      <c r="D529" s="4"/>
    </row>
    <row r="530">
      <c r="A530" s="4" t="str">
        <f t="shared" si="2"/>
        <v/>
      </c>
      <c r="B530" s="4"/>
      <c r="C530" s="4"/>
      <c r="D530" s="4"/>
    </row>
    <row r="531">
      <c r="A531" s="4" t="str">
        <f t="shared" si="2"/>
        <v/>
      </c>
      <c r="B531" s="4"/>
      <c r="C531" s="4"/>
      <c r="D531" s="4"/>
    </row>
    <row r="532">
      <c r="A532" s="4" t="str">
        <f t="shared" si="2"/>
        <v/>
      </c>
      <c r="B532" s="4"/>
      <c r="C532" s="4"/>
      <c r="D532" s="4"/>
    </row>
    <row r="533">
      <c r="A533" s="4" t="str">
        <f t="shared" si="2"/>
        <v/>
      </c>
      <c r="B533" s="4"/>
      <c r="C533" s="4"/>
      <c r="D533" s="4"/>
    </row>
    <row r="534">
      <c r="A534" s="4" t="str">
        <f t="shared" si="2"/>
        <v/>
      </c>
      <c r="B534" s="4"/>
      <c r="C534" s="4"/>
      <c r="D534" s="4"/>
    </row>
    <row r="535">
      <c r="A535" s="4" t="str">
        <f t="shared" si="2"/>
        <v/>
      </c>
      <c r="B535" s="4"/>
      <c r="C535" s="4"/>
      <c r="D535" s="4"/>
    </row>
    <row r="536">
      <c r="A536" s="4" t="str">
        <f t="shared" si="2"/>
        <v/>
      </c>
      <c r="B536" s="4"/>
      <c r="C536" s="4"/>
      <c r="D536" s="4"/>
    </row>
    <row r="537">
      <c r="A537" s="4" t="str">
        <f t="shared" si="2"/>
        <v/>
      </c>
      <c r="B537" s="4"/>
      <c r="C537" s="4"/>
      <c r="D537" s="4"/>
    </row>
    <row r="538">
      <c r="A538" s="4" t="str">
        <f t="shared" si="2"/>
        <v/>
      </c>
      <c r="B538" s="4"/>
      <c r="C538" s="4"/>
      <c r="D538" s="4"/>
    </row>
    <row r="539">
      <c r="A539" s="4" t="str">
        <f t="shared" si="2"/>
        <v/>
      </c>
      <c r="B539" s="4"/>
      <c r="C539" s="4"/>
      <c r="D539" s="4"/>
    </row>
    <row r="540">
      <c r="A540" s="4" t="str">
        <f t="shared" si="2"/>
        <v/>
      </c>
      <c r="B540" s="4"/>
      <c r="C540" s="4"/>
      <c r="D540" s="4"/>
    </row>
    <row r="541">
      <c r="A541" s="4" t="str">
        <f t="shared" si="2"/>
        <v/>
      </c>
      <c r="B541" s="4"/>
      <c r="C541" s="4"/>
      <c r="D541" s="4"/>
    </row>
    <row r="542">
      <c r="A542" s="4" t="str">
        <f t="shared" si="2"/>
        <v/>
      </c>
      <c r="B542" s="4"/>
      <c r="C542" s="4"/>
      <c r="D542" s="4"/>
    </row>
    <row r="543">
      <c r="A543" s="4" t="str">
        <f t="shared" si="2"/>
        <v/>
      </c>
      <c r="B543" s="4"/>
      <c r="C543" s="4"/>
      <c r="D543" s="4"/>
    </row>
    <row r="544">
      <c r="A544" s="4" t="str">
        <f t="shared" si="2"/>
        <v/>
      </c>
      <c r="B544" s="4"/>
      <c r="C544" s="4"/>
      <c r="D544" s="4"/>
    </row>
    <row r="545">
      <c r="A545" s="4" t="str">
        <f t="shared" si="2"/>
        <v/>
      </c>
      <c r="B545" s="4"/>
      <c r="C545" s="4"/>
      <c r="D545" s="4"/>
    </row>
    <row r="546">
      <c r="A546" s="4" t="str">
        <f t="shared" si="2"/>
        <v/>
      </c>
      <c r="B546" s="4"/>
      <c r="C546" s="4"/>
      <c r="D546" s="4"/>
    </row>
    <row r="547">
      <c r="A547" s="4" t="str">
        <f t="shared" si="2"/>
        <v/>
      </c>
      <c r="B547" s="4"/>
      <c r="C547" s="4"/>
      <c r="D547" s="4"/>
    </row>
    <row r="548">
      <c r="A548" s="4" t="str">
        <f t="shared" si="2"/>
        <v/>
      </c>
      <c r="B548" s="4"/>
      <c r="C548" s="4"/>
      <c r="D548" s="4"/>
    </row>
    <row r="549">
      <c r="A549" s="4" t="str">
        <f t="shared" si="2"/>
        <v/>
      </c>
      <c r="B549" s="4"/>
      <c r="C549" s="4"/>
      <c r="D549" s="4"/>
    </row>
    <row r="550">
      <c r="A550" s="4" t="str">
        <f t="shared" si="2"/>
        <v/>
      </c>
      <c r="B550" s="4"/>
      <c r="C550" s="4"/>
      <c r="D550" s="4"/>
    </row>
    <row r="551">
      <c r="A551" s="4" t="str">
        <f t="shared" si="2"/>
        <v/>
      </c>
      <c r="B551" s="4"/>
      <c r="C551" s="4"/>
      <c r="D551" s="4"/>
    </row>
    <row r="552">
      <c r="A552" s="4" t="str">
        <f t="shared" si="2"/>
        <v/>
      </c>
      <c r="B552" s="4"/>
      <c r="C552" s="4"/>
      <c r="D552" s="4"/>
    </row>
    <row r="553">
      <c r="A553" s="4" t="str">
        <f t="shared" si="2"/>
        <v/>
      </c>
      <c r="B553" s="4"/>
      <c r="C553" s="4"/>
      <c r="D553" s="4"/>
    </row>
    <row r="554">
      <c r="A554" s="4" t="str">
        <f t="shared" si="2"/>
        <v/>
      </c>
      <c r="B554" s="4"/>
      <c r="C554" s="4"/>
      <c r="D554" s="4"/>
    </row>
    <row r="555">
      <c r="A555" s="4" t="str">
        <f t="shared" si="2"/>
        <v/>
      </c>
      <c r="B555" s="4"/>
      <c r="C555" s="4"/>
      <c r="D555" s="4"/>
    </row>
    <row r="556">
      <c r="A556" s="4" t="str">
        <f t="shared" si="2"/>
        <v/>
      </c>
      <c r="B556" s="4"/>
      <c r="C556" s="4"/>
      <c r="D556" s="4"/>
    </row>
    <row r="557">
      <c r="A557" s="4" t="str">
        <f t="shared" si="2"/>
        <v/>
      </c>
      <c r="B557" s="4"/>
      <c r="C557" s="4"/>
      <c r="D557" s="4"/>
    </row>
    <row r="558">
      <c r="A558" s="4" t="str">
        <f t="shared" si="2"/>
        <v/>
      </c>
      <c r="B558" s="4"/>
      <c r="C558" s="4"/>
      <c r="D558" s="4"/>
    </row>
    <row r="559">
      <c r="A559" s="4" t="str">
        <f t="shared" si="2"/>
        <v/>
      </c>
      <c r="B559" s="4"/>
      <c r="C559" s="4"/>
      <c r="D559" s="4"/>
    </row>
    <row r="560">
      <c r="A560" s="4" t="str">
        <f t="shared" si="2"/>
        <v/>
      </c>
      <c r="B560" s="4"/>
      <c r="C560" s="4"/>
      <c r="D560" s="4"/>
    </row>
    <row r="561">
      <c r="A561" s="4" t="str">
        <f t="shared" si="2"/>
        <v/>
      </c>
      <c r="B561" s="4"/>
      <c r="C561" s="4"/>
      <c r="D561" s="4"/>
    </row>
    <row r="562">
      <c r="A562" s="4" t="str">
        <f t="shared" si="2"/>
        <v/>
      </c>
      <c r="B562" s="4"/>
      <c r="C562" s="4"/>
      <c r="D562" s="4"/>
    </row>
    <row r="563">
      <c r="A563" s="4" t="str">
        <f t="shared" si="2"/>
        <v/>
      </c>
      <c r="B563" s="4"/>
      <c r="C563" s="4"/>
      <c r="D563" s="4"/>
    </row>
    <row r="564">
      <c r="A564" s="4" t="str">
        <f t="shared" si="2"/>
        <v/>
      </c>
      <c r="B564" s="4"/>
      <c r="C564" s="4"/>
      <c r="D564" s="4"/>
    </row>
    <row r="565">
      <c r="A565" s="4" t="str">
        <f t="shared" si="2"/>
        <v/>
      </c>
      <c r="B565" s="4"/>
      <c r="C565" s="4"/>
      <c r="D565" s="4"/>
    </row>
    <row r="566">
      <c r="A566" s="4" t="str">
        <f t="shared" si="2"/>
        <v/>
      </c>
      <c r="B566" s="4"/>
      <c r="C566" s="4"/>
      <c r="D566" s="4"/>
    </row>
    <row r="567">
      <c r="A567" s="4" t="str">
        <f t="shared" si="2"/>
        <v/>
      </c>
      <c r="B567" s="4"/>
      <c r="C567" s="4"/>
      <c r="D567" s="4"/>
    </row>
    <row r="568">
      <c r="A568" s="4" t="str">
        <f t="shared" si="2"/>
        <v/>
      </c>
      <c r="B568" s="4"/>
      <c r="C568" s="4"/>
      <c r="D568" s="4"/>
    </row>
    <row r="569">
      <c r="A569" s="4" t="str">
        <f t="shared" si="2"/>
        <v/>
      </c>
      <c r="B569" s="4"/>
      <c r="C569" s="4"/>
      <c r="D569" s="4"/>
    </row>
    <row r="570">
      <c r="A570" s="4" t="str">
        <f t="shared" si="2"/>
        <v/>
      </c>
      <c r="B570" s="4"/>
      <c r="C570" s="4"/>
      <c r="D570" s="4"/>
    </row>
    <row r="571">
      <c r="A571" s="4" t="str">
        <f t="shared" si="2"/>
        <v/>
      </c>
      <c r="B571" s="4"/>
      <c r="C571" s="4"/>
      <c r="D571" s="4"/>
    </row>
    <row r="572">
      <c r="A572" s="4" t="str">
        <f t="shared" si="2"/>
        <v/>
      </c>
      <c r="B572" s="4"/>
      <c r="C572" s="4"/>
      <c r="D572" s="4"/>
    </row>
    <row r="573">
      <c r="A573" s="4" t="str">
        <f t="shared" si="2"/>
        <v/>
      </c>
      <c r="B573" s="4"/>
      <c r="C573" s="4"/>
      <c r="D573" s="4"/>
    </row>
    <row r="574">
      <c r="A574" s="4" t="str">
        <f t="shared" si="2"/>
        <v/>
      </c>
      <c r="B574" s="4"/>
      <c r="C574" s="4"/>
      <c r="D574" s="4"/>
    </row>
    <row r="575">
      <c r="A575" s="4" t="str">
        <f t="shared" si="2"/>
        <v/>
      </c>
      <c r="B575" s="4"/>
      <c r="C575" s="4"/>
      <c r="D575" s="4"/>
    </row>
    <row r="576">
      <c r="A576" s="4" t="str">
        <f t="shared" si="2"/>
        <v/>
      </c>
      <c r="B576" s="4"/>
      <c r="C576" s="4"/>
      <c r="D576" s="4"/>
    </row>
    <row r="577">
      <c r="A577" s="4" t="str">
        <f t="shared" si="2"/>
        <v/>
      </c>
      <c r="B577" s="4"/>
      <c r="C577" s="4"/>
      <c r="D577" s="4"/>
    </row>
    <row r="578">
      <c r="A578" s="4" t="str">
        <f t="shared" si="2"/>
        <v/>
      </c>
      <c r="B578" s="4"/>
      <c r="C578" s="4"/>
      <c r="D578" s="4"/>
    </row>
    <row r="579">
      <c r="A579" s="4" t="str">
        <f t="shared" si="2"/>
        <v/>
      </c>
      <c r="B579" s="4"/>
      <c r="C579" s="4"/>
      <c r="D579" s="4"/>
    </row>
    <row r="580">
      <c r="A580" s="4" t="str">
        <f t="shared" si="2"/>
        <v/>
      </c>
      <c r="B580" s="4"/>
      <c r="C580" s="4"/>
      <c r="D580" s="4"/>
    </row>
    <row r="581">
      <c r="A581" s="4" t="str">
        <f t="shared" si="2"/>
        <v/>
      </c>
      <c r="B581" s="4"/>
      <c r="C581" s="4"/>
      <c r="D581" s="4"/>
    </row>
    <row r="582">
      <c r="A582" s="4" t="str">
        <f t="shared" si="2"/>
        <v/>
      </c>
      <c r="B582" s="4"/>
      <c r="C582" s="4"/>
      <c r="D582" s="4"/>
    </row>
    <row r="583">
      <c r="A583" s="4" t="str">
        <f t="shared" si="2"/>
        <v/>
      </c>
      <c r="B583" s="4"/>
      <c r="C583" s="4"/>
      <c r="D583" s="4"/>
    </row>
    <row r="584">
      <c r="A584" s="4" t="str">
        <f t="shared" si="2"/>
        <v/>
      </c>
      <c r="B584" s="4"/>
      <c r="C584" s="4"/>
      <c r="D584" s="4"/>
    </row>
    <row r="585">
      <c r="A585" s="4" t="str">
        <f t="shared" si="2"/>
        <v/>
      </c>
      <c r="B585" s="4"/>
      <c r="C585" s="4"/>
      <c r="D585" s="4"/>
    </row>
    <row r="586">
      <c r="A586" s="4" t="str">
        <f t="shared" si="2"/>
        <v/>
      </c>
      <c r="B586" s="4"/>
      <c r="C586" s="4"/>
      <c r="D586" s="4"/>
    </row>
    <row r="587">
      <c r="A587" s="4" t="str">
        <f t="shared" si="2"/>
        <v/>
      </c>
      <c r="B587" s="4"/>
      <c r="C587" s="4"/>
      <c r="D587" s="4"/>
    </row>
    <row r="588">
      <c r="A588" s="4" t="str">
        <f t="shared" si="2"/>
        <v/>
      </c>
      <c r="B588" s="4"/>
      <c r="C588" s="4"/>
      <c r="D588" s="4"/>
    </row>
    <row r="589">
      <c r="A589" s="4" t="str">
        <f t="shared" si="2"/>
        <v/>
      </c>
      <c r="B589" s="4"/>
      <c r="C589" s="4"/>
      <c r="D589" s="4"/>
    </row>
    <row r="590">
      <c r="A590" s="4" t="str">
        <f t="shared" si="2"/>
        <v/>
      </c>
      <c r="B590" s="4"/>
      <c r="C590" s="4"/>
      <c r="D590" s="4"/>
    </row>
    <row r="591">
      <c r="A591" s="4" t="str">
        <f t="shared" si="2"/>
        <v/>
      </c>
      <c r="B591" s="4"/>
      <c r="C591" s="4"/>
      <c r="D591" s="4"/>
    </row>
    <row r="592">
      <c r="A592" s="4" t="str">
        <f t="shared" si="2"/>
        <v/>
      </c>
      <c r="B592" s="4"/>
      <c r="C592" s="4"/>
      <c r="D592" s="4"/>
    </row>
    <row r="593">
      <c r="A593" s="4" t="str">
        <f t="shared" si="2"/>
        <v/>
      </c>
      <c r="B593" s="4"/>
      <c r="C593" s="4"/>
      <c r="D593" s="4"/>
    </row>
    <row r="594">
      <c r="A594" s="4" t="str">
        <f t="shared" si="2"/>
        <v/>
      </c>
      <c r="B594" s="4"/>
      <c r="C594" s="4"/>
      <c r="D594" s="4"/>
    </row>
    <row r="595">
      <c r="A595" s="4" t="str">
        <f t="shared" si="2"/>
        <v/>
      </c>
      <c r="B595" s="4"/>
      <c r="C595" s="4"/>
      <c r="D595" s="4"/>
    </row>
    <row r="596">
      <c r="A596" s="4" t="str">
        <f t="shared" si="2"/>
        <v/>
      </c>
      <c r="B596" s="4"/>
      <c r="C596" s="4"/>
      <c r="D596" s="4"/>
    </row>
    <row r="597">
      <c r="A597" s="4" t="str">
        <f t="shared" si="2"/>
        <v/>
      </c>
      <c r="B597" s="4"/>
      <c r="C597" s="4"/>
      <c r="D597" s="4"/>
    </row>
    <row r="598">
      <c r="A598" s="4" t="str">
        <f t="shared" si="2"/>
        <v/>
      </c>
      <c r="B598" s="4"/>
      <c r="C598" s="4"/>
      <c r="D598" s="4"/>
    </row>
    <row r="599">
      <c r="A599" s="4" t="str">
        <f t="shared" si="2"/>
        <v/>
      </c>
      <c r="B599" s="4"/>
      <c r="C599" s="4"/>
      <c r="D599" s="4"/>
    </row>
    <row r="600">
      <c r="A600" s="4" t="str">
        <f t="shared" si="2"/>
        <v/>
      </c>
      <c r="B600" s="4"/>
      <c r="C600" s="4"/>
      <c r="D600" s="4"/>
    </row>
    <row r="601">
      <c r="A601" s="4" t="str">
        <f t="shared" si="2"/>
        <v/>
      </c>
      <c r="B601" s="4"/>
      <c r="C601" s="4"/>
      <c r="D601" s="4"/>
    </row>
    <row r="602">
      <c r="A602" s="4" t="str">
        <f t="shared" si="2"/>
        <v/>
      </c>
      <c r="B602" s="4"/>
      <c r="C602" s="4"/>
      <c r="D602" s="4"/>
    </row>
    <row r="603">
      <c r="A603" s="4" t="str">
        <f t="shared" si="2"/>
        <v/>
      </c>
      <c r="B603" s="4"/>
      <c r="C603" s="4"/>
      <c r="D603" s="4"/>
    </row>
    <row r="604">
      <c r="A604" s="4" t="str">
        <f t="shared" si="2"/>
        <v/>
      </c>
      <c r="B604" s="4"/>
      <c r="C604" s="4"/>
      <c r="D604" s="4"/>
    </row>
    <row r="605">
      <c r="A605" s="4" t="str">
        <f t="shared" si="2"/>
        <v/>
      </c>
      <c r="B605" s="4"/>
      <c r="C605" s="4"/>
      <c r="D605" s="4"/>
    </row>
    <row r="606">
      <c r="A606" s="4" t="str">
        <f t="shared" si="2"/>
        <v/>
      </c>
      <c r="B606" s="4"/>
      <c r="C606" s="4"/>
      <c r="D606" s="4"/>
    </row>
    <row r="607">
      <c r="A607" s="4" t="str">
        <f t="shared" si="2"/>
        <v/>
      </c>
      <c r="B607" s="4"/>
      <c r="C607" s="4"/>
      <c r="D607" s="4"/>
    </row>
    <row r="608">
      <c r="A608" s="4" t="str">
        <f t="shared" si="2"/>
        <v/>
      </c>
      <c r="B608" s="4"/>
      <c r="C608" s="4"/>
      <c r="D608" s="4"/>
    </row>
    <row r="609">
      <c r="A609" s="4" t="str">
        <f t="shared" si="2"/>
        <v/>
      </c>
      <c r="B609" s="4"/>
      <c r="C609" s="4"/>
      <c r="D609" s="4"/>
    </row>
    <row r="610">
      <c r="A610" s="4" t="str">
        <f t="shared" si="2"/>
        <v/>
      </c>
      <c r="B610" s="4"/>
      <c r="C610" s="4"/>
      <c r="D610" s="4"/>
    </row>
    <row r="611">
      <c r="A611" s="4" t="str">
        <f t="shared" si="2"/>
        <v/>
      </c>
      <c r="B611" s="4"/>
      <c r="C611" s="4"/>
      <c r="D611" s="4"/>
    </row>
    <row r="612">
      <c r="A612" s="4" t="str">
        <f t="shared" si="2"/>
        <v/>
      </c>
      <c r="B612" s="4"/>
      <c r="C612" s="4"/>
      <c r="D612" s="4"/>
    </row>
    <row r="613">
      <c r="A613" s="4" t="str">
        <f t="shared" si="2"/>
        <v/>
      </c>
      <c r="B613" s="4"/>
      <c r="C613" s="4"/>
      <c r="D613" s="4"/>
    </row>
    <row r="614">
      <c r="A614" s="4" t="str">
        <f t="shared" si="2"/>
        <v/>
      </c>
      <c r="B614" s="4"/>
      <c r="C614" s="4"/>
      <c r="D614" s="4"/>
    </row>
    <row r="615">
      <c r="A615" s="4" t="str">
        <f t="shared" si="2"/>
        <v/>
      </c>
      <c r="B615" s="4"/>
      <c r="C615" s="4"/>
      <c r="D615" s="4"/>
    </row>
    <row r="616">
      <c r="A616" s="4" t="str">
        <f t="shared" si="2"/>
        <v/>
      </c>
      <c r="B616" s="4"/>
      <c r="C616" s="4"/>
      <c r="D616" s="4"/>
    </row>
    <row r="617">
      <c r="A617" s="4" t="str">
        <f t="shared" si="2"/>
        <v/>
      </c>
      <c r="B617" s="4"/>
      <c r="C617" s="4"/>
      <c r="D617" s="4"/>
    </row>
    <row r="618">
      <c r="A618" s="4" t="str">
        <f t="shared" si="2"/>
        <v/>
      </c>
      <c r="B618" s="4"/>
      <c r="C618" s="4"/>
      <c r="D618" s="4"/>
    </row>
    <row r="619">
      <c r="A619" s="4" t="str">
        <f t="shared" si="2"/>
        <v/>
      </c>
      <c r="B619" s="4"/>
      <c r="C619" s="4"/>
      <c r="D619" s="4"/>
    </row>
    <row r="620">
      <c r="A620" s="4" t="str">
        <f t="shared" si="2"/>
        <v/>
      </c>
      <c r="B620" s="4"/>
      <c r="C620" s="4"/>
      <c r="D620" s="4"/>
    </row>
    <row r="621">
      <c r="A621" s="4" t="str">
        <f t="shared" si="2"/>
        <v/>
      </c>
      <c r="B621" s="4"/>
      <c r="C621" s="4"/>
      <c r="D621" s="4"/>
    </row>
    <row r="622">
      <c r="A622" s="4" t="str">
        <f t="shared" si="2"/>
        <v/>
      </c>
      <c r="B622" s="4"/>
      <c r="C622" s="4"/>
      <c r="D622" s="4"/>
    </row>
    <row r="623">
      <c r="A623" s="4" t="str">
        <f t="shared" si="2"/>
        <v/>
      </c>
      <c r="B623" s="4"/>
      <c r="C623" s="4"/>
      <c r="D623" s="4"/>
    </row>
    <row r="624">
      <c r="A624" s="4" t="str">
        <f t="shared" si="2"/>
        <v/>
      </c>
      <c r="B624" s="4"/>
      <c r="C624" s="4"/>
      <c r="D624" s="4"/>
    </row>
    <row r="625">
      <c r="A625" s="4" t="str">
        <f t="shared" si="2"/>
        <v/>
      </c>
      <c r="B625" s="4"/>
      <c r="C625" s="4"/>
      <c r="D625" s="4"/>
    </row>
    <row r="626">
      <c r="A626" s="4" t="str">
        <f t="shared" si="2"/>
        <v/>
      </c>
      <c r="B626" s="4"/>
      <c r="C626" s="4"/>
      <c r="D626" s="4"/>
    </row>
    <row r="627">
      <c r="A627" s="4" t="str">
        <f t="shared" si="2"/>
        <v/>
      </c>
      <c r="B627" s="4"/>
      <c r="C627" s="4"/>
      <c r="D627" s="4"/>
    </row>
    <row r="628">
      <c r="A628" s="4" t="str">
        <f t="shared" si="2"/>
        <v/>
      </c>
      <c r="B628" s="4"/>
      <c r="C628" s="4"/>
      <c r="D628" s="4"/>
    </row>
    <row r="629">
      <c r="A629" s="4" t="str">
        <f t="shared" si="2"/>
        <v/>
      </c>
      <c r="B629" s="4"/>
      <c r="C629" s="4"/>
      <c r="D629" s="4"/>
    </row>
    <row r="630">
      <c r="A630" s="4" t="str">
        <f t="shared" si="2"/>
        <v/>
      </c>
      <c r="B630" s="4"/>
      <c r="C630" s="4"/>
      <c r="D630" s="4"/>
    </row>
    <row r="631">
      <c r="A631" s="4" t="str">
        <f t="shared" si="2"/>
        <v/>
      </c>
      <c r="B631" s="4"/>
      <c r="C631" s="4"/>
      <c r="D631" s="4"/>
    </row>
    <row r="632">
      <c r="A632" s="4" t="str">
        <f t="shared" si="2"/>
        <v/>
      </c>
      <c r="B632" s="4"/>
      <c r="C632" s="4"/>
      <c r="D632" s="4"/>
    </row>
    <row r="633">
      <c r="A633" s="4" t="str">
        <f t="shared" si="2"/>
        <v/>
      </c>
      <c r="B633" s="4"/>
      <c r="C633" s="4"/>
      <c r="D633" s="4"/>
    </row>
    <row r="634">
      <c r="A634" s="4" t="str">
        <f t="shared" si="2"/>
        <v/>
      </c>
      <c r="B634" s="4"/>
      <c r="C634" s="4"/>
      <c r="D634" s="4"/>
    </row>
    <row r="635">
      <c r="A635" s="4" t="str">
        <f t="shared" si="2"/>
        <v/>
      </c>
      <c r="B635" s="4"/>
      <c r="C635" s="4"/>
      <c r="D635" s="4"/>
    </row>
    <row r="636">
      <c r="A636" s="4" t="str">
        <f t="shared" si="2"/>
        <v/>
      </c>
      <c r="B636" s="4"/>
      <c r="C636" s="4"/>
      <c r="D636" s="4"/>
    </row>
    <row r="637">
      <c r="A637" s="4" t="str">
        <f t="shared" si="2"/>
        <v/>
      </c>
      <c r="B637" s="4"/>
      <c r="C637" s="4"/>
      <c r="D637" s="4"/>
    </row>
    <row r="638">
      <c r="A638" s="4" t="str">
        <f t="shared" si="2"/>
        <v/>
      </c>
      <c r="B638" s="4"/>
      <c r="C638" s="4"/>
      <c r="D638" s="4"/>
    </row>
    <row r="639">
      <c r="A639" s="4" t="str">
        <f t="shared" si="2"/>
        <v/>
      </c>
      <c r="B639" s="4"/>
      <c r="C639" s="4"/>
      <c r="D639" s="4"/>
    </row>
    <row r="640">
      <c r="A640" s="4" t="str">
        <f t="shared" si="2"/>
        <v/>
      </c>
      <c r="B640" s="4"/>
      <c r="C640" s="4"/>
      <c r="D640" s="4"/>
    </row>
    <row r="641">
      <c r="A641" s="4" t="str">
        <f t="shared" si="2"/>
        <v/>
      </c>
      <c r="B641" s="4"/>
      <c r="C641" s="4"/>
      <c r="D641" s="4"/>
    </row>
    <row r="642">
      <c r="A642" s="4" t="str">
        <f t="shared" si="2"/>
        <v/>
      </c>
      <c r="B642" s="4"/>
      <c r="C642" s="4"/>
      <c r="D642" s="4"/>
    </row>
    <row r="643">
      <c r="A643" s="4" t="str">
        <f t="shared" si="2"/>
        <v/>
      </c>
      <c r="B643" s="4"/>
      <c r="C643" s="4"/>
      <c r="D643" s="4"/>
    </row>
    <row r="644">
      <c r="A644" s="4" t="str">
        <f t="shared" si="2"/>
        <v/>
      </c>
      <c r="B644" s="4"/>
      <c r="C644" s="4"/>
      <c r="D644" s="4"/>
    </row>
    <row r="645">
      <c r="A645" s="4" t="str">
        <f t="shared" si="2"/>
        <v/>
      </c>
      <c r="B645" s="4"/>
      <c r="C645" s="4"/>
      <c r="D645" s="4"/>
    </row>
    <row r="646">
      <c r="A646" s="4" t="str">
        <f t="shared" si="2"/>
        <v/>
      </c>
      <c r="B646" s="4"/>
      <c r="C646" s="4"/>
      <c r="D646" s="4"/>
    </row>
    <row r="647">
      <c r="A647" s="4" t="str">
        <f t="shared" si="2"/>
        <v/>
      </c>
      <c r="B647" s="4"/>
      <c r="C647" s="4"/>
      <c r="D647" s="4"/>
    </row>
    <row r="648">
      <c r="A648" s="4" t="str">
        <f t="shared" si="2"/>
        <v/>
      </c>
      <c r="B648" s="4"/>
      <c r="C648" s="4"/>
      <c r="D648" s="4"/>
    </row>
    <row r="649">
      <c r="A649" s="4" t="str">
        <f t="shared" si="2"/>
        <v/>
      </c>
      <c r="B649" s="4"/>
      <c r="C649" s="4"/>
      <c r="D649" s="4"/>
    </row>
    <row r="650">
      <c r="A650" s="4" t="str">
        <f t="shared" si="2"/>
        <v/>
      </c>
      <c r="B650" s="4"/>
      <c r="C650" s="4"/>
      <c r="D650" s="4"/>
    </row>
    <row r="651">
      <c r="A651" s="4" t="str">
        <f t="shared" si="2"/>
        <v/>
      </c>
      <c r="B651" s="4"/>
      <c r="C651" s="4"/>
      <c r="D651" s="4"/>
    </row>
    <row r="652">
      <c r="A652" s="4" t="str">
        <f t="shared" si="2"/>
        <v/>
      </c>
      <c r="B652" s="4"/>
      <c r="C652" s="4"/>
      <c r="D652" s="4"/>
    </row>
    <row r="653">
      <c r="A653" s="4" t="str">
        <f t="shared" si="2"/>
        <v/>
      </c>
      <c r="B653" s="4"/>
      <c r="C653" s="4"/>
      <c r="D653" s="4"/>
    </row>
    <row r="654">
      <c r="A654" s="4" t="str">
        <f t="shared" si="2"/>
        <v/>
      </c>
      <c r="B654" s="4"/>
      <c r="C654" s="4"/>
      <c r="D654" s="4"/>
    </row>
    <row r="655">
      <c r="A655" s="4" t="str">
        <f t="shared" si="2"/>
        <v/>
      </c>
      <c r="B655" s="4"/>
      <c r="C655" s="4"/>
      <c r="D655" s="4"/>
    </row>
    <row r="656">
      <c r="A656" s="4" t="str">
        <f t="shared" si="2"/>
        <v/>
      </c>
      <c r="B656" s="4"/>
      <c r="C656" s="4"/>
      <c r="D656" s="4"/>
    </row>
    <row r="657">
      <c r="A657" s="4" t="str">
        <f t="shared" si="2"/>
        <v/>
      </c>
      <c r="B657" s="4"/>
      <c r="C657" s="4"/>
      <c r="D657" s="4"/>
    </row>
    <row r="658">
      <c r="A658" s="4" t="str">
        <f t="shared" si="2"/>
        <v/>
      </c>
      <c r="B658" s="4"/>
      <c r="C658" s="4"/>
      <c r="D658" s="4"/>
    </row>
    <row r="659">
      <c r="A659" s="4" t="str">
        <f t="shared" si="2"/>
        <v/>
      </c>
      <c r="B659" s="4"/>
      <c r="C659" s="4"/>
      <c r="D659" s="4"/>
    </row>
    <row r="660">
      <c r="A660" s="4" t="str">
        <f t="shared" si="2"/>
        <v/>
      </c>
      <c r="B660" s="4"/>
      <c r="C660" s="4"/>
      <c r="D660" s="4"/>
    </row>
    <row r="661">
      <c r="A661" s="4" t="str">
        <f t="shared" si="2"/>
        <v/>
      </c>
      <c r="B661" s="4"/>
      <c r="C661" s="4"/>
      <c r="D661" s="4"/>
    </row>
    <row r="662">
      <c r="A662" s="4" t="str">
        <f t="shared" si="2"/>
        <v/>
      </c>
      <c r="B662" s="4"/>
      <c r="C662" s="4"/>
      <c r="D662" s="4"/>
    </row>
    <row r="663">
      <c r="A663" s="4" t="str">
        <f t="shared" si="2"/>
        <v/>
      </c>
      <c r="B663" s="4"/>
      <c r="C663" s="4"/>
      <c r="D663" s="4"/>
    </row>
    <row r="664">
      <c r="A664" s="4" t="str">
        <f t="shared" si="2"/>
        <v/>
      </c>
      <c r="B664" s="4"/>
      <c r="C664" s="4"/>
      <c r="D664" s="4"/>
    </row>
    <row r="665">
      <c r="A665" s="4" t="str">
        <f t="shared" si="2"/>
        <v/>
      </c>
      <c r="B665" s="4"/>
      <c r="C665" s="4"/>
      <c r="D665" s="4"/>
    </row>
    <row r="666">
      <c r="A666" s="4" t="str">
        <f t="shared" si="2"/>
        <v/>
      </c>
      <c r="B666" s="4"/>
      <c r="C666" s="4"/>
      <c r="D666" s="4"/>
    </row>
    <row r="667">
      <c r="A667" s="4" t="str">
        <f t="shared" si="2"/>
        <v/>
      </c>
      <c r="B667" s="4"/>
      <c r="C667" s="4"/>
      <c r="D667" s="4"/>
    </row>
    <row r="668">
      <c r="A668" s="4" t="str">
        <f t="shared" si="2"/>
        <v/>
      </c>
      <c r="B668" s="4"/>
      <c r="C668" s="4"/>
      <c r="D668" s="4"/>
    </row>
    <row r="669">
      <c r="A669" s="4" t="str">
        <f t="shared" si="2"/>
        <v/>
      </c>
      <c r="B669" s="4"/>
      <c r="C669" s="4"/>
      <c r="D669" s="4"/>
    </row>
    <row r="670">
      <c r="A670" s="4" t="str">
        <f t="shared" si="2"/>
        <v/>
      </c>
      <c r="B670" s="4"/>
      <c r="C670" s="4"/>
      <c r="D670" s="4"/>
    </row>
    <row r="671">
      <c r="A671" s="4" t="str">
        <f t="shared" si="2"/>
        <v/>
      </c>
      <c r="B671" s="4"/>
      <c r="C671" s="4"/>
      <c r="D671" s="4"/>
    </row>
    <row r="672">
      <c r="A672" s="4" t="str">
        <f t="shared" si="2"/>
        <v/>
      </c>
      <c r="B672" s="4"/>
      <c r="C672" s="4"/>
      <c r="D672" s="4"/>
    </row>
    <row r="673">
      <c r="A673" s="4" t="str">
        <f t="shared" si="2"/>
        <v/>
      </c>
      <c r="B673" s="4"/>
      <c r="C673" s="4"/>
      <c r="D673" s="4"/>
    </row>
    <row r="674">
      <c r="A674" s="4" t="str">
        <f t="shared" si="2"/>
        <v/>
      </c>
      <c r="B674" s="4"/>
      <c r="C674" s="4"/>
      <c r="D674" s="4"/>
    </row>
    <row r="675">
      <c r="A675" s="4" t="str">
        <f t="shared" si="2"/>
        <v/>
      </c>
      <c r="B675" s="4"/>
      <c r="C675" s="4"/>
      <c r="D675" s="4"/>
    </row>
    <row r="676">
      <c r="A676" s="4" t="str">
        <f t="shared" si="2"/>
        <v/>
      </c>
      <c r="B676" s="4"/>
      <c r="C676" s="4"/>
      <c r="D676" s="4"/>
    </row>
    <row r="677">
      <c r="A677" s="4" t="str">
        <f t="shared" si="2"/>
        <v/>
      </c>
      <c r="B677" s="4"/>
      <c r="C677" s="4"/>
      <c r="D677" s="4"/>
    </row>
    <row r="678">
      <c r="A678" s="4" t="str">
        <f t="shared" si="2"/>
        <v/>
      </c>
      <c r="B678" s="4"/>
      <c r="C678" s="4"/>
      <c r="D678" s="4"/>
    </row>
    <row r="679">
      <c r="A679" s="4" t="str">
        <f t="shared" si="2"/>
        <v/>
      </c>
      <c r="B679" s="4"/>
      <c r="C679" s="4"/>
      <c r="D679" s="4"/>
    </row>
    <row r="680">
      <c r="A680" s="4" t="str">
        <f t="shared" si="2"/>
        <v/>
      </c>
      <c r="B680" s="4"/>
      <c r="C680" s="4"/>
      <c r="D680" s="4"/>
    </row>
    <row r="681">
      <c r="A681" s="4" t="str">
        <f t="shared" si="2"/>
        <v/>
      </c>
      <c r="B681" s="4"/>
      <c r="C681" s="4"/>
      <c r="D681" s="4"/>
    </row>
    <row r="682">
      <c r="A682" s="4" t="str">
        <f t="shared" si="2"/>
        <v/>
      </c>
      <c r="B682" s="4"/>
      <c r="C682" s="4"/>
      <c r="D682" s="4"/>
    </row>
    <row r="683">
      <c r="A683" s="4" t="str">
        <f t="shared" si="2"/>
        <v/>
      </c>
      <c r="B683" s="4"/>
      <c r="C683" s="4"/>
      <c r="D683" s="4"/>
    </row>
    <row r="684">
      <c r="A684" s="4" t="str">
        <f t="shared" si="2"/>
        <v/>
      </c>
      <c r="B684" s="4"/>
      <c r="C684" s="4"/>
      <c r="D684" s="4"/>
    </row>
    <row r="685">
      <c r="A685" s="4" t="str">
        <f t="shared" si="2"/>
        <v/>
      </c>
      <c r="B685" s="4"/>
      <c r="C685" s="4"/>
      <c r="D685" s="4"/>
    </row>
    <row r="686">
      <c r="A686" s="4" t="str">
        <f t="shared" si="2"/>
        <v/>
      </c>
      <c r="B686" s="4"/>
      <c r="C686" s="4"/>
      <c r="D686" s="4"/>
    </row>
    <row r="687">
      <c r="A687" s="4" t="str">
        <f t="shared" si="2"/>
        <v/>
      </c>
      <c r="B687" s="4"/>
      <c r="C687" s="4"/>
      <c r="D687" s="4"/>
    </row>
    <row r="688">
      <c r="A688" s="4" t="str">
        <f t="shared" si="2"/>
        <v/>
      </c>
      <c r="B688" s="4"/>
      <c r="C688" s="4"/>
      <c r="D688" s="4"/>
    </row>
    <row r="689">
      <c r="A689" s="4" t="str">
        <f t="shared" si="2"/>
        <v/>
      </c>
      <c r="B689" s="4"/>
      <c r="C689" s="4"/>
      <c r="D689" s="4"/>
    </row>
    <row r="690">
      <c r="A690" s="4" t="str">
        <f t="shared" si="2"/>
        <v/>
      </c>
      <c r="B690" s="4"/>
      <c r="C690" s="4"/>
      <c r="D690" s="4"/>
    </row>
    <row r="691">
      <c r="A691" s="4" t="str">
        <f t="shared" si="2"/>
        <v/>
      </c>
      <c r="B691" s="4"/>
      <c r="C691" s="4"/>
      <c r="D691" s="4"/>
    </row>
    <row r="692">
      <c r="A692" s="4" t="str">
        <f t="shared" si="2"/>
        <v/>
      </c>
      <c r="B692" s="4"/>
      <c r="C692" s="4"/>
      <c r="D692" s="4"/>
    </row>
    <row r="693">
      <c r="A693" s="4" t="str">
        <f t="shared" si="2"/>
        <v/>
      </c>
      <c r="B693" s="4"/>
      <c r="C693" s="4"/>
      <c r="D693" s="4"/>
    </row>
    <row r="694">
      <c r="A694" s="4" t="str">
        <f t="shared" si="2"/>
        <v/>
      </c>
      <c r="B694" s="4"/>
      <c r="C694" s="4"/>
      <c r="D694" s="4"/>
    </row>
    <row r="695">
      <c r="A695" s="4" t="str">
        <f t="shared" si="2"/>
        <v/>
      </c>
      <c r="B695" s="4"/>
      <c r="C695" s="4"/>
      <c r="D695" s="4"/>
    </row>
    <row r="696">
      <c r="A696" s="4" t="str">
        <f t="shared" si="2"/>
        <v/>
      </c>
      <c r="B696" s="4"/>
      <c r="C696" s="4"/>
      <c r="D696" s="4"/>
    </row>
    <row r="697">
      <c r="A697" s="4" t="str">
        <f t="shared" si="2"/>
        <v/>
      </c>
      <c r="B697" s="4"/>
      <c r="C697" s="4"/>
      <c r="D697" s="4"/>
    </row>
    <row r="698">
      <c r="A698" s="4" t="str">
        <f t="shared" si="2"/>
        <v/>
      </c>
      <c r="B698" s="4"/>
      <c r="C698" s="4"/>
      <c r="D698" s="4"/>
    </row>
    <row r="699">
      <c r="A699" s="4" t="str">
        <f t="shared" si="2"/>
        <v/>
      </c>
      <c r="B699" s="4"/>
      <c r="C699" s="4"/>
      <c r="D699" s="4"/>
    </row>
    <row r="700">
      <c r="A700" s="4" t="str">
        <f t="shared" si="2"/>
        <v/>
      </c>
      <c r="B700" s="4"/>
      <c r="C700" s="4"/>
      <c r="D700" s="4"/>
    </row>
    <row r="701">
      <c r="A701" s="4" t="str">
        <f t="shared" si="2"/>
        <v/>
      </c>
      <c r="B701" s="4"/>
      <c r="C701" s="4"/>
      <c r="D701" s="4"/>
    </row>
    <row r="702">
      <c r="A702" s="4" t="str">
        <f t="shared" si="2"/>
        <v/>
      </c>
      <c r="B702" s="4"/>
      <c r="C702" s="4"/>
      <c r="D702" s="4"/>
    </row>
    <row r="703">
      <c r="A703" s="4" t="str">
        <f t="shared" si="2"/>
        <v/>
      </c>
      <c r="B703" s="4"/>
      <c r="C703" s="4"/>
      <c r="D703" s="4"/>
    </row>
    <row r="704">
      <c r="A704" s="4" t="str">
        <f t="shared" si="2"/>
        <v/>
      </c>
      <c r="B704" s="4"/>
      <c r="C704" s="4"/>
      <c r="D704" s="4"/>
    </row>
    <row r="705">
      <c r="A705" s="4" t="str">
        <f t="shared" si="2"/>
        <v/>
      </c>
      <c r="B705" s="4"/>
      <c r="C705" s="4"/>
      <c r="D705" s="4"/>
    </row>
    <row r="706">
      <c r="A706" s="4" t="str">
        <f t="shared" si="2"/>
        <v/>
      </c>
      <c r="B706" s="4"/>
      <c r="C706" s="4"/>
      <c r="D706" s="4"/>
    </row>
    <row r="707">
      <c r="A707" s="4" t="str">
        <f t="shared" si="2"/>
        <v/>
      </c>
      <c r="B707" s="4"/>
      <c r="C707" s="4"/>
      <c r="D707" s="4"/>
    </row>
    <row r="708">
      <c r="A708" s="4" t="str">
        <f t="shared" si="2"/>
        <v/>
      </c>
      <c r="B708" s="4"/>
      <c r="C708" s="4"/>
      <c r="D708" s="4"/>
    </row>
    <row r="709">
      <c r="A709" s="4" t="str">
        <f t="shared" si="2"/>
        <v/>
      </c>
      <c r="B709" s="4"/>
      <c r="C709" s="4"/>
      <c r="D709" s="4"/>
    </row>
    <row r="710">
      <c r="A710" s="4" t="str">
        <f t="shared" si="2"/>
        <v/>
      </c>
      <c r="B710" s="4"/>
      <c r="C710" s="4"/>
      <c r="D710" s="4"/>
    </row>
    <row r="711">
      <c r="A711" s="4" t="str">
        <f t="shared" si="2"/>
        <v/>
      </c>
      <c r="B711" s="4"/>
      <c r="C711" s="4"/>
      <c r="D711" s="4"/>
    </row>
    <row r="712">
      <c r="A712" s="4" t="str">
        <f t="shared" si="2"/>
        <v/>
      </c>
      <c r="B712" s="4"/>
      <c r="C712" s="4"/>
      <c r="D712" s="4"/>
    </row>
    <row r="713">
      <c r="A713" s="4" t="str">
        <f t="shared" si="2"/>
        <v/>
      </c>
      <c r="B713" s="4"/>
      <c r="C713" s="4"/>
      <c r="D713" s="4"/>
    </row>
    <row r="714">
      <c r="A714" s="4" t="str">
        <f t="shared" si="2"/>
        <v/>
      </c>
      <c r="B714" s="4"/>
      <c r="C714" s="4"/>
      <c r="D714" s="4"/>
    </row>
    <row r="715">
      <c r="A715" s="4" t="str">
        <f t="shared" si="2"/>
        <v/>
      </c>
      <c r="B715" s="4"/>
      <c r="C715" s="4"/>
      <c r="D715" s="4"/>
    </row>
    <row r="716">
      <c r="A716" s="4" t="str">
        <f t="shared" si="2"/>
        <v/>
      </c>
      <c r="B716" s="4"/>
      <c r="C716" s="4"/>
      <c r="D716" s="4"/>
    </row>
    <row r="717">
      <c r="A717" s="4" t="str">
        <f t="shared" si="2"/>
        <v/>
      </c>
      <c r="B717" s="4"/>
      <c r="C717" s="4"/>
      <c r="D717" s="4"/>
    </row>
    <row r="718">
      <c r="A718" s="4" t="str">
        <f t="shared" si="2"/>
        <v/>
      </c>
      <c r="B718" s="4"/>
      <c r="C718" s="4"/>
      <c r="D718" s="4"/>
    </row>
    <row r="719">
      <c r="A719" s="4" t="str">
        <f t="shared" si="2"/>
        <v/>
      </c>
      <c r="B719" s="4"/>
      <c r="C719" s="4"/>
      <c r="D719" s="4"/>
    </row>
    <row r="720">
      <c r="A720" s="4" t="str">
        <f t="shared" si="2"/>
        <v/>
      </c>
      <c r="B720" s="4"/>
      <c r="C720" s="4"/>
      <c r="D720" s="4"/>
    </row>
    <row r="721">
      <c r="A721" s="4" t="str">
        <f t="shared" si="2"/>
        <v/>
      </c>
      <c r="B721" s="4"/>
      <c r="C721" s="4"/>
      <c r="D721" s="4"/>
    </row>
    <row r="722">
      <c r="A722" s="4" t="str">
        <f t="shared" si="2"/>
        <v/>
      </c>
      <c r="B722" s="4"/>
      <c r="C722" s="4"/>
      <c r="D722" s="4"/>
    </row>
    <row r="723">
      <c r="A723" s="4" t="str">
        <f t="shared" si="2"/>
        <v/>
      </c>
      <c r="B723" s="4"/>
      <c r="C723" s="4"/>
      <c r="D723" s="4"/>
    </row>
    <row r="724">
      <c r="A724" s="4" t="str">
        <f t="shared" si="2"/>
        <v/>
      </c>
      <c r="B724" s="4"/>
      <c r="C724" s="4"/>
      <c r="D724" s="4"/>
    </row>
    <row r="725">
      <c r="A725" s="4" t="str">
        <f t="shared" si="2"/>
        <v/>
      </c>
      <c r="B725" s="4"/>
      <c r="C725" s="4"/>
      <c r="D725" s="4"/>
    </row>
    <row r="726">
      <c r="A726" s="4" t="str">
        <f t="shared" si="2"/>
        <v/>
      </c>
      <c r="B726" s="4"/>
      <c r="C726" s="4"/>
      <c r="D726" s="4"/>
    </row>
    <row r="727">
      <c r="A727" s="4" t="str">
        <f t="shared" si="2"/>
        <v/>
      </c>
      <c r="B727" s="4"/>
      <c r="C727" s="4"/>
      <c r="D727" s="4"/>
    </row>
    <row r="728">
      <c r="A728" s="4" t="str">
        <f t="shared" si="2"/>
        <v/>
      </c>
      <c r="B728" s="4"/>
      <c r="C728" s="4"/>
      <c r="D728" s="4"/>
    </row>
    <row r="729">
      <c r="A729" s="4" t="str">
        <f t="shared" si="2"/>
        <v/>
      </c>
      <c r="B729" s="4"/>
      <c r="C729" s="4"/>
      <c r="D729" s="4"/>
    </row>
    <row r="730">
      <c r="A730" s="4" t="str">
        <f t="shared" si="2"/>
        <v/>
      </c>
      <c r="B730" s="4"/>
      <c r="C730" s="4"/>
      <c r="D730" s="4"/>
    </row>
    <row r="731">
      <c r="A731" s="4" t="str">
        <f t="shared" si="2"/>
        <v/>
      </c>
      <c r="B731" s="4"/>
      <c r="C731" s="4"/>
      <c r="D731" s="4"/>
    </row>
    <row r="732">
      <c r="A732" s="4" t="str">
        <f t="shared" si="2"/>
        <v/>
      </c>
      <c r="B732" s="4"/>
      <c r="C732" s="4"/>
      <c r="D732" s="4"/>
    </row>
    <row r="733">
      <c r="A733" s="4" t="str">
        <f t="shared" si="2"/>
        <v/>
      </c>
      <c r="B733" s="4"/>
      <c r="C733" s="4"/>
      <c r="D733" s="4"/>
    </row>
    <row r="734">
      <c r="A734" s="4" t="str">
        <f t="shared" si="2"/>
        <v/>
      </c>
      <c r="B734" s="4"/>
      <c r="C734" s="4"/>
      <c r="D734" s="4"/>
    </row>
    <row r="735">
      <c r="A735" s="4" t="str">
        <f t="shared" si="2"/>
        <v/>
      </c>
      <c r="B735" s="4"/>
      <c r="C735" s="4"/>
      <c r="D735" s="4"/>
    </row>
    <row r="736">
      <c r="A736" s="4" t="str">
        <f t="shared" si="2"/>
        <v/>
      </c>
      <c r="B736" s="4"/>
      <c r="C736" s="4"/>
      <c r="D736" s="4"/>
    </row>
    <row r="737">
      <c r="A737" s="4" t="str">
        <f t="shared" si="2"/>
        <v/>
      </c>
      <c r="B737" s="4"/>
      <c r="C737" s="4"/>
      <c r="D737" s="4"/>
    </row>
    <row r="738">
      <c r="A738" s="4" t="str">
        <f t="shared" si="2"/>
        <v/>
      </c>
      <c r="B738" s="4"/>
      <c r="C738" s="4"/>
      <c r="D738" s="4"/>
    </row>
    <row r="739">
      <c r="A739" s="4" t="str">
        <f t="shared" si="2"/>
        <v/>
      </c>
      <c r="B739" s="4"/>
      <c r="C739" s="4"/>
      <c r="D739" s="4"/>
    </row>
    <row r="740">
      <c r="A740" s="4" t="str">
        <f t="shared" si="2"/>
        <v/>
      </c>
      <c r="B740" s="4"/>
      <c r="C740" s="4"/>
      <c r="D740" s="4"/>
    </row>
    <row r="741">
      <c r="A741" s="4" t="str">
        <f t="shared" si="2"/>
        <v/>
      </c>
      <c r="B741" s="4"/>
      <c r="C741" s="4"/>
      <c r="D741" s="4"/>
    </row>
    <row r="742">
      <c r="A742" s="4" t="str">
        <f t="shared" si="2"/>
        <v/>
      </c>
      <c r="B742" s="4"/>
      <c r="C742" s="4"/>
      <c r="D742" s="4"/>
    </row>
    <row r="743">
      <c r="A743" s="4" t="str">
        <f t="shared" si="2"/>
        <v/>
      </c>
      <c r="B743" s="4"/>
      <c r="C743" s="4"/>
      <c r="D743" s="4"/>
    </row>
    <row r="744">
      <c r="A744" s="4" t="str">
        <f t="shared" si="2"/>
        <v/>
      </c>
      <c r="B744" s="4"/>
      <c r="C744" s="4"/>
      <c r="D744" s="4"/>
    </row>
    <row r="745">
      <c r="A745" s="4" t="str">
        <f t="shared" si="2"/>
        <v/>
      </c>
      <c r="B745" s="4"/>
      <c r="C745" s="4"/>
      <c r="D745" s="4"/>
    </row>
    <row r="746">
      <c r="A746" s="4" t="str">
        <f t="shared" si="2"/>
        <v/>
      </c>
      <c r="B746" s="4"/>
      <c r="C746" s="4"/>
      <c r="D746" s="4"/>
    </row>
    <row r="747">
      <c r="A747" s="4" t="str">
        <f t="shared" si="2"/>
        <v/>
      </c>
      <c r="B747" s="4"/>
      <c r="C747" s="4"/>
      <c r="D747" s="4"/>
    </row>
    <row r="748">
      <c r="A748" s="4" t="str">
        <f t="shared" si="2"/>
        <v/>
      </c>
      <c r="B748" s="4"/>
      <c r="C748" s="4"/>
      <c r="D748" s="4"/>
    </row>
    <row r="749">
      <c r="A749" s="4" t="str">
        <f t="shared" si="2"/>
        <v/>
      </c>
      <c r="B749" s="4"/>
      <c r="C749" s="4"/>
      <c r="D749" s="4"/>
    </row>
    <row r="750">
      <c r="A750" s="4" t="str">
        <f t="shared" si="2"/>
        <v/>
      </c>
      <c r="B750" s="4"/>
      <c r="C750" s="4"/>
      <c r="D750" s="4"/>
    </row>
    <row r="751">
      <c r="A751" s="4" t="str">
        <f t="shared" si="2"/>
        <v/>
      </c>
      <c r="B751" s="4"/>
      <c r="C751" s="4"/>
      <c r="D751" s="4"/>
    </row>
    <row r="752">
      <c r="A752" s="4" t="str">
        <f t="shared" si="2"/>
        <v/>
      </c>
      <c r="B752" s="4"/>
      <c r="C752" s="4"/>
      <c r="D752" s="4"/>
    </row>
    <row r="753">
      <c r="A753" s="4" t="str">
        <f t="shared" si="2"/>
        <v/>
      </c>
      <c r="B753" s="4"/>
      <c r="C753" s="4"/>
      <c r="D753" s="4"/>
    </row>
    <row r="754">
      <c r="A754" s="4" t="str">
        <f t="shared" si="2"/>
        <v/>
      </c>
      <c r="B754" s="4"/>
      <c r="C754" s="4"/>
      <c r="D754" s="4"/>
    </row>
    <row r="755">
      <c r="A755" s="4" t="str">
        <f t="shared" si="2"/>
        <v/>
      </c>
      <c r="B755" s="4"/>
      <c r="C755" s="4"/>
      <c r="D755" s="4"/>
    </row>
    <row r="756">
      <c r="A756" s="4" t="str">
        <f t="shared" si="2"/>
        <v/>
      </c>
      <c r="B756" s="4"/>
      <c r="C756" s="4"/>
      <c r="D756" s="4"/>
    </row>
    <row r="757">
      <c r="A757" s="4" t="str">
        <f t="shared" si="2"/>
        <v/>
      </c>
      <c r="B757" s="4"/>
      <c r="C757" s="4"/>
      <c r="D757" s="4"/>
    </row>
    <row r="758">
      <c r="A758" s="4" t="str">
        <f t="shared" si="2"/>
        <v/>
      </c>
      <c r="B758" s="4"/>
      <c r="C758" s="4"/>
      <c r="D758" s="4"/>
    </row>
    <row r="759">
      <c r="A759" s="4" t="str">
        <f t="shared" si="2"/>
        <v/>
      </c>
      <c r="B759" s="4"/>
      <c r="C759" s="4"/>
      <c r="D759" s="4"/>
    </row>
    <row r="760">
      <c r="A760" s="4" t="str">
        <f t="shared" si="2"/>
        <v/>
      </c>
      <c r="B760" s="4"/>
      <c r="C760" s="4"/>
      <c r="D760" s="4"/>
    </row>
    <row r="761">
      <c r="A761" s="4" t="str">
        <f t="shared" si="2"/>
        <v/>
      </c>
      <c r="B761" s="4"/>
      <c r="C761" s="4"/>
      <c r="D761" s="4"/>
    </row>
    <row r="762">
      <c r="A762" s="4" t="str">
        <f t="shared" si="2"/>
        <v/>
      </c>
      <c r="B762" s="4"/>
      <c r="C762" s="4"/>
      <c r="D762" s="4"/>
    </row>
    <row r="763">
      <c r="A763" s="4" t="str">
        <f t="shared" si="2"/>
        <v/>
      </c>
      <c r="B763" s="4"/>
      <c r="C763" s="4"/>
      <c r="D763" s="4"/>
    </row>
    <row r="764">
      <c r="A764" s="4" t="str">
        <f t="shared" si="2"/>
        <v/>
      </c>
      <c r="B764" s="4"/>
      <c r="C764" s="4"/>
      <c r="D764" s="4"/>
    </row>
    <row r="765">
      <c r="A765" s="4" t="str">
        <f t="shared" si="2"/>
        <v/>
      </c>
      <c r="B765" s="4"/>
      <c r="C765" s="4"/>
      <c r="D765" s="4"/>
    </row>
    <row r="766">
      <c r="A766" s="4" t="str">
        <f t="shared" si="2"/>
        <v/>
      </c>
      <c r="B766" s="4"/>
      <c r="C766" s="4"/>
      <c r="D766" s="4"/>
    </row>
    <row r="767">
      <c r="A767" s="4" t="str">
        <f t="shared" si="2"/>
        <v/>
      </c>
      <c r="B767" s="4"/>
      <c r="C767" s="4"/>
      <c r="D767" s="4"/>
    </row>
    <row r="768">
      <c r="A768" s="4" t="str">
        <f t="shared" si="2"/>
        <v/>
      </c>
      <c r="B768" s="4"/>
      <c r="C768" s="4"/>
      <c r="D768" s="4"/>
    </row>
    <row r="769">
      <c r="A769" s="4" t="str">
        <f t="shared" si="2"/>
        <v/>
      </c>
      <c r="B769" s="4"/>
      <c r="C769" s="4"/>
      <c r="D769" s="4"/>
    </row>
    <row r="770">
      <c r="A770" s="4" t="str">
        <f t="shared" si="2"/>
        <v/>
      </c>
      <c r="B770" s="4"/>
      <c r="C770" s="4"/>
      <c r="D770" s="4"/>
    </row>
    <row r="771">
      <c r="A771" s="4" t="str">
        <f t="shared" si="2"/>
        <v/>
      </c>
      <c r="B771" s="4"/>
      <c r="C771" s="4"/>
      <c r="D771" s="4"/>
    </row>
    <row r="772">
      <c r="A772" s="4" t="str">
        <f t="shared" si="2"/>
        <v/>
      </c>
      <c r="B772" s="4"/>
      <c r="C772" s="4"/>
      <c r="D772" s="4"/>
    </row>
    <row r="773">
      <c r="A773" s="4" t="str">
        <f t="shared" si="2"/>
        <v/>
      </c>
      <c r="B773" s="4"/>
      <c r="C773" s="4"/>
      <c r="D773" s="4"/>
    </row>
    <row r="774">
      <c r="A774" s="4" t="str">
        <f t="shared" si="2"/>
        <v/>
      </c>
      <c r="B774" s="4"/>
      <c r="C774" s="4"/>
      <c r="D774" s="4"/>
    </row>
    <row r="775">
      <c r="A775" s="4" t="str">
        <f t="shared" si="2"/>
        <v/>
      </c>
      <c r="B775" s="4"/>
      <c r="C775" s="4"/>
      <c r="D775" s="4"/>
    </row>
    <row r="776">
      <c r="A776" s="4" t="str">
        <f t="shared" si="2"/>
        <v/>
      </c>
      <c r="B776" s="4"/>
      <c r="C776" s="4"/>
      <c r="D776" s="4"/>
    </row>
    <row r="777">
      <c r="A777" s="4" t="str">
        <f t="shared" si="2"/>
        <v/>
      </c>
      <c r="B777" s="4"/>
      <c r="C777" s="4"/>
      <c r="D777" s="4"/>
    </row>
    <row r="778">
      <c r="A778" s="4" t="str">
        <f t="shared" si="2"/>
        <v/>
      </c>
      <c r="B778" s="4"/>
      <c r="C778" s="4"/>
      <c r="D778" s="4"/>
    </row>
    <row r="779">
      <c r="A779" s="4" t="str">
        <f t="shared" si="2"/>
        <v/>
      </c>
      <c r="B779" s="4"/>
      <c r="C779" s="4"/>
      <c r="D779" s="4"/>
    </row>
    <row r="780">
      <c r="A780" s="4" t="str">
        <f t="shared" si="2"/>
        <v/>
      </c>
      <c r="B780" s="4"/>
      <c r="C780" s="4"/>
      <c r="D780" s="4"/>
    </row>
    <row r="781">
      <c r="A781" s="4" t="str">
        <f t="shared" si="2"/>
        <v/>
      </c>
      <c r="B781" s="4"/>
      <c r="C781" s="4"/>
      <c r="D781" s="4"/>
    </row>
    <row r="782">
      <c r="A782" s="4" t="str">
        <f t="shared" si="2"/>
        <v/>
      </c>
      <c r="B782" s="4"/>
      <c r="C782" s="4"/>
      <c r="D782" s="4"/>
    </row>
    <row r="783">
      <c r="A783" s="4" t="str">
        <f t="shared" si="2"/>
        <v/>
      </c>
      <c r="B783" s="4"/>
      <c r="C783" s="4"/>
      <c r="D783" s="4"/>
    </row>
    <row r="784">
      <c r="A784" s="4" t="str">
        <f t="shared" si="2"/>
        <v/>
      </c>
      <c r="B784" s="4"/>
      <c r="C784" s="4"/>
      <c r="D784" s="4"/>
    </row>
    <row r="785">
      <c r="A785" s="4" t="str">
        <f t="shared" si="2"/>
        <v/>
      </c>
      <c r="B785" s="4"/>
      <c r="C785" s="4"/>
      <c r="D785" s="4"/>
    </row>
    <row r="786">
      <c r="A786" s="4" t="str">
        <f t="shared" si="2"/>
        <v/>
      </c>
      <c r="B786" s="4"/>
      <c r="C786" s="4"/>
      <c r="D786" s="4"/>
    </row>
    <row r="787">
      <c r="A787" s="4" t="str">
        <f t="shared" si="2"/>
        <v/>
      </c>
      <c r="B787" s="4"/>
      <c r="C787" s="4"/>
      <c r="D787" s="4"/>
    </row>
    <row r="788">
      <c r="A788" s="4" t="str">
        <f t="shared" si="2"/>
        <v/>
      </c>
      <c r="B788" s="4"/>
      <c r="C788" s="4"/>
      <c r="D788" s="4"/>
    </row>
    <row r="789">
      <c r="A789" s="4" t="str">
        <f t="shared" si="2"/>
        <v/>
      </c>
      <c r="B789" s="4"/>
      <c r="C789" s="4"/>
      <c r="D789" s="4"/>
    </row>
    <row r="790">
      <c r="A790" s="4" t="str">
        <f t="shared" si="2"/>
        <v/>
      </c>
      <c r="B790" s="4"/>
      <c r="C790" s="4"/>
      <c r="D790" s="4"/>
    </row>
    <row r="791">
      <c r="A791" s="4" t="str">
        <f t="shared" si="2"/>
        <v/>
      </c>
      <c r="B791" s="4"/>
      <c r="C791" s="4"/>
      <c r="D791" s="4"/>
    </row>
    <row r="792">
      <c r="A792" s="4" t="str">
        <f t="shared" si="2"/>
        <v/>
      </c>
      <c r="B792" s="4"/>
      <c r="C792" s="4"/>
      <c r="D792" s="4"/>
    </row>
    <row r="793">
      <c r="A793" s="4" t="str">
        <f t="shared" si="2"/>
        <v/>
      </c>
      <c r="B793" s="4"/>
      <c r="C793" s="4"/>
      <c r="D793" s="4"/>
    </row>
    <row r="794">
      <c r="A794" s="4" t="str">
        <f t="shared" si="2"/>
        <v/>
      </c>
      <c r="B794" s="4"/>
      <c r="C794" s="4"/>
      <c r="D794" s="4"/>
    </row>
    <row r="795">
      <c r="A795" s="4" t="str">
        <f t="shared" si="2"/>
        <v/>
      </c>
      <c r="B795" s="4"/>
      <c r="C795" s="4"/>
      <c r="D795" s="4"/>
    </row>
    <row r="796">
      <c r="A796" s="4" t="str">
        <f t="shared" si="2"/>
        <v/>
      </c>
      <c r="B796" s="4"/>
      <c r="C796" s="4"/>
      <c r="D796" s="4"/>
    </row>
    <row r="797">
      <c r="A797" s="4" t="str">
        <f t="shared" si="2"/>
        <v/>
      </c>
      <c r="B797" s="4"/>
      <c r="C797" s="4"/>
      <c r="D797" s="4"/>
    </row>
    <row r="798">
      <c r="A798" s="4" t="str">
        <f t="shared" si="2"/>
        <v/>
      </c>
      <c r="B798" s="4"/>
      <c r="C798" s="4"/>
      <c r="D798" s="4"/>
    </row>
    <row r="799">
      <c r="A799" s="4" t="str">
        <f t="shared" si="2"/>
        <v/>
      </c>
      <c r="B799" s="4"/>
      <c r="C799" s="4"/>
      <c r="D799" s="4"/>
    </row>
    <row r="800">
      <c r="A800" s="4" t="str">
        <f t="shared" si="2"/>
        <v/>
      </c>
      <c r="B800" s="4"/>
      <c r="C800" s="4"/>
      <c r="D800" s="4"/>
    </row>
    <row r="801">
      <c r="A801" s="4" t="str">
        <f t="shared" si="2"/>
        <v/>
      </c>
      <c r="B801" s="4"/>
      <c r="C801" s="4"/>
      <c r="D801" s="4"/>
    </row>
    <row r="802">
      <c r="A802" s="4" t="str">
        <f t="shared" si="2"/>
        <v/>
      </c>
      <c r="B802" s="4"/>
      <c r="C802" s="4"/>
      <c r="D802" s="4"/>
    </row>
    <row r="803">
      <c r="A803" s="4" t="str">
        <f t="shared" si="2"/>
        <v/>
      </c>
      <c r="B803" s="4"/>
      <c r="C803" s="4"/>
      <c r="D803" s="4"/>
    </row>
    <row r="804">
      <c r="A804" s="4" t="str">
        <f t="shared" si="2"/>
        <v/>
      </c>
      <c r="B804" s="4"/>
      <c r="C804" s="4"/>
      <c r="D804" s="4"/>
    </row>
    <row r="805">
      <c r="A805" s="4" t="str">
        <f t="shared" si="2"/>
        <v/>
      </c>
      <c r="B805" s="4"/>
      <c r="C805" s="4"/>
      <c r="D805" s="4"/>
    </row>
    <row r="806">
      <c r="A806" s="4" t="str">
        <f t="shared" si="2"/>
        <v/>
      </c>
      <c r="B806" s="4"/>
      <c r="C806" s="4"/>
      <c r="D806" s="4"/>
    </row>
    <row r="807">
      <c r="A807" s="4" t="str">
        <f t="shared" si="2"/>
        <v/>
      </c>
      <c r="B807" s="4"/>
      <c r="C807" s="4"/>
      <c r="D807" s="4"/>
    </row>
    <row r="808">
      <c r="A808" s="4" t="str">
        <f t="shared" si="2"/>
        <v/>
      </c>
      <c r="B808" s="4"/>
      <c r="C808" s="4"/>
      <c r="D808" s="4"/>
    </row>
    <row r="809">
      <c r="A809" s="4" t="str">
        <f t="shared" si="2"/>
        <v/>
      </c>
      <c r="B809" s="4"/>
      <c r="C809" s="4"/>
      <c r="D809" s="4"/>
    </row>
    <row r="810">
      <c r="A810" s="4" t="str">
        <f t="shared" si="2"/>
        <v/>
      </c>
      <c r="B810" s="4"/>
      <c r="C810" s="4"/>
      <c r="D810" s="4"/>
    </row>
    <row r="811">
      <c r="A811" s="4" t="str">
        <f t="shared" si="2"/>
        <v/>
      </c>
      <c r="B811" s="4"/>
      <c r="C811" s="4"/>
      <c r="D811" s="4"/>
    </row>
    <row r="812">
      <c r="A812" s="4" t="str">
        <f t="shared" si="2"/>
        <v/>
      </c>
      <c r="B812" s="4"/>
      <c r="C812" s="4"/>
      <c r="D812" s="4"/>
    </row>
    <row r="813">
      <c r="A813" s="4" t="str">
        <f t="shared" si="2"/>
        <v/>
      </c>
      <c r="B813" s="4"/>
      <c r="C813" s="4"/>
      <c r="D813" s="4"/>
    </row>
    <row r="814">
      <c r="A814" s="4" t="str">
        <f t="shared" si="2"/>
        <v/>
      </c>
      <c r="B814" s="4"/>
      <c r="C814" s="4"/>
      <c r="D814" s="4"/>
    </row>
    <row r="815">
      <c r="A815" s="4" t="str">
        <f t="shared" si="2"/>
        <v/>
      </c>
      <c r="B815" s="4"/>
      <c r="C815" s="4"/>
      <c r="D815" s="4"/>
    </row>
    <row r="816">
      <c r="A816" s="4" t="str">
        <f t="shared" si="2"/>
        <v/>
      </c>
      <c r="B816" s="4"/>
      <c r="C816" s="4"/>
      <c r="D816" s="4"/>
    </row>
    <row r="817">
      <c r="A817" s="4" t="str">
        <f t="shared" si="2"/>
        <v/>
      </c>
      <c r="B817" s="4"/>
      <c r="C817" s="4"/>
      <c r="D817" s="4"/>
    </row>
    <row r="818">
      <c r="A818" s="4" t="str">
        <f t="shared" si="2"/>
        <v/>
      </c>
      <c r="B818" s="4"/>
      <c r="C818" s="4"/>
      <c r="D818" s="4"/>
    </row>
    <row r="819">
      <c r="A819" s="4" t="str">
        <f t="shared" si="2"/>
        <v/>
      </c>
      <c r="B819" s="4"/>
      <c r="C819" s="4"/>
      <c r="D819" s="4"/>
    </row>
    <row r="820">
      <c r="A820" s="4" t="str">
        <f t="shared" si="2"/>
        <v/>
      </c>
      <c r="B820" s="4"/>
      <c r="C820" s="4"/>
      <c r="D820" s="4"/>
    </row>
    <row r="821">
      <c r="A821" s="4" t="str">
        <f t="shared" si="2"/>
        <v/>
      </c>
      <c r="B821" s="4"/>
      <c r="C821" s="4"/>
      <c r="D821" s="4"/>
    </row>
    <row r="822">
      <c r="A822" s="4" t="str">
        <f t="shared" si="2"/>
        <v/>
      </c>
      <c r="B822" s="4"/>
      <c r="C822" s="4"/>
      <c r="D822" s="4"/>
    </row>
    <row r="823">
      <c r="A823" s="4" t="str">
        <f t="shared" si="2"/>
        <v/>
      </c>
      <c r="B823" s="4"/>
      <c r="C823" s="4"/>
      <c r="D823" s="4"/>
    </row>
    <row r="824">
      <c r="A824" s="4" t="str">
        <f t="shared" si="2"/>
        <v/>
      </c>
      <c r="B824" s="4"/>
      <c r="C824" s="4"/>
      <c r="D824" s="4"/>
    </row>
    <row r="825">
      <c r="A825" s="4" t="str">
        <f t="shared" si="2"/>
        <v/>
      </c>
      <c r="B825" s="4"/>
      <c r="C825" s="4"/>
      <c r="D825" s="4"/>
    </row>
    <row r="826">
      <c r="A826" s="4" t="str">
        <f t="shared" si="2"/>
        <v/>
      </c>
      <c r="B826" s="4"/>
      <c r="C826" s="4"/>
      <c r="D826" s="4"/>
    </row>
    <row r="827">
      <c r="A827" s="4" t="str">
        <f t="shared" si="2"/>
        <v/>
      </c>
      <c r="B827" s="4"/>
      <c r="C827" s="4"/>
      <c r="D827" s="4"/>
    </row>
    <row r="828">
      <c r="A828" s="4" t="str">
        <f t="shared" si="2"/>
        <v/>
      </c>
      <c r="B828" s="4"/>
      <c r="C828" s="4"/>
      <c r="D828" s="4"/>
    </row>
    <row r="829">
      <c r="A829" s="4" t="str">
        <f t="shared" si="2"/>
        <v/>
      </c>
      <c r="B829" s="4"/>
      <c r="C829" s="4"/>
      <c r="D829" s="4"/>
    </row>
    <row r="830">
      <c r="A830" s="4" t="str">
        <f t="shared" si="2"/>
        <v/>
      </c>
      <c r="B830" s="4"/>
      <c r="C830" s="4"/>
      <c r="D830" s="4"/>
    </row>
    <row r="831">
      <c r="A831" s="4" t="str">
        <f t="shared" si="2"/>
        <v/>
      </c>
      <c r="B831" s="4"/>
      <c r="C831" s="4"/>
      <c r="D831" s="4"/>
    </row>
    <row r="832">
      <c r="A832" s="4" t="str">
        <f t="shared" si="2"/>
        <v/>
      </c>
      <c r="B832" s="4"/>
      <c r="C832" s="4"/>
      <c r="D832" s="4"/>
    </row>
    <row r="833">
      <c r="A833" s="4" t="str">
        <f t="shared" si="2"/>
        <v/>
      </c>
      <c r="B833" s="4"/>
      <c r="C833" s="4"/>
      <c r="D833" s="4"/>
    </row>
    <row r="834">
      <c r="A834" s="4" t="str">
        <f t="shared" si="2"/>
        <v/>
      </c>
      <c r="B834" s="4"/>
      <c r="C834" s="4"/>
      <c r="D834" s="4"/>
    </row>
    <row r="835">
      <c r="A835" s="4" t="str">
        <f t="shared" si="2"/>
        <v/>
      </c>
      <c r="B835" s="4"/>
      <c r="C835" s="4"/>
      <c r="D835" s="4"/>
    </row>
    <row r="836">
      <c r="A836" s="4" t="str">
        <f t="shared" si="2"/>
        <v/>
      </c>
      <c r="B836" s="4"/>
      <c r="C836" s="4"/>
      <c r="D836" s="4"/>
    </row>
    <row r="837">
      <c r="A837" s="4" t="str">
        <f t="shared" si="2"/>
        <v/>
      </c>
      <c r="B837" s="4"/>
      <c r="C837" s="4"/>
      <c r="D837" s="4"/>
    </row>
    <row r="838">
      <c r="A838" s="4" t="str">
        <f t="shared" si="2"/>
        <v/>
      </c>
      <c r="B838" s="4"/>
      <c r="C838" s="4"/>
      <c r="D838" s="4"/>
    </row>
    <row r="839">
      <c r="A839" s="4" t="str">
        <f t="shared" si="2"/>
        <v/>
      </c>
      <c r="B839" s="4"/>
      <c r="C839" s="4"/>
      <c r="D839" s="4"/>
    </row>
    <row r="840">
      <c r="A840" s="4" t="str">
        <f t="shared" si="2"/>
        <v/>
      </c>
      <c r="B840" s="4"/>
      <c r="C840" s="4"/>
      <c r="D840" s="4"/>
    </row>
    <row r="841">
      <c r="A841" s="4" t="str">
        <f t="shared" si="2"/>
        <v/>
      </c>
      <c r="B841" s="4"/>
      <c r="C841" s="4"/>
      <c r="D841" s="4"/>
    </row>
    <row r="842">
      <c r="A842" s="4" t="str">
        <f t="shared" si="2"/>
        <v/>
      </c>
      <c r="B842" s="4"/>
      <c r="C842" s="4"/>
      <c r="D842" s="4"/>
    </row>
    <row r="843">
      <c r="A843" s="4" t="str">
        <f t="shared" si="2"/>
        <v/>
      </c>
      <c r="B843" s="4"/>
      <c r="C843" s="4"/>
      <c r="D843" s="4"/>
    </row>
    <row r="844">
      <c r="A844" s="4" t="str">
        <f t="shared" si="2"/>
        <v/>
      </c>
      <c r="B844" s="4"/>
      <c r="C844" s="4"/>
      <c r="D844" s="4"/>
    </row>
    <row r="845">
      <c r="A845" s="4" t="str">
        <f t="shared" si="2"/>
        <v/>
      </c>
      <c r="B845" s="4"/>
      <c r="C845" s="4"/>
      <c r="D845" s="4"/>
    </row>
    <row r="846">
      <c r="A846" s="4" t="str">
        <f t="shared" si="2"/>
        <v/>
      </c>
      <c r="B846" s="4"/>
      <c r="C846" s="4"/>
      <c r="D846" s="4"/>
    </row>
    <row r="847">
      <c r="A847" s="4" t="str">
        <f t="shared" si="2"/>
        <v/>
      </c>
      <c r="B847" s="4"/>
      <c r="C847" s="4"/>
      <c r="D847" s="4"/>
    </row>
    <row r="848">
      <c r="A848" s="4" t="str">
        <f t="shared" si="2"/>
        <v/>
      </c>
      <c r="B848" s="4"/>
      <c r="C848" s="4"/>
      <c r="D848" s="4"/>
    </row>
    <row r="849">
      <c r="A849" s="4" t="str">
        <f t="shared" si="2"/>
        <v/>
      </c>
      <c r="B849" s="4"/>
      <c r="C849" s="4"/>
      <c r="D849" s="4"/>
    </row>
    <row r="850">
      <c r="A850" s="4" t="str">
        <f t="shared" si="2"/>
        <v/>
      </c>
      <c r="B850" s="4"/>
      <c r="C850" s="4"/>
      <c r="D850" s="4"/>
    </row>
    <row r="851">
      <c r="A851" s="4" t="str">
        <f t="shared" si="2"/>
        <v/>
      </c>
      <c r="B851" s="4"/>
      <c r="C851" s="4"/>
      <c r="D851" s="4"/>
    </row>
    <row r="852">
      <c r="A852" s="4" t="str">
        <f t="shared" si="2"/>
        <v/>
      </c>
      <c r="B852" s="4"/>
      <c r="C852" s="4"/>
      <c r="D852" s="4"/>
    </row>
    <row r="853">
      <c r="A853" s="4" t="str">
        <f t="shared" si="2"/>
        <v/>
      </c>
      <c r="B853" s="4"/>
      <c r="C853" s="4"/>
      <c r="D853" s="4"/>
    </row>
    <row r="854">
      <c r="A854" s="4" t="str">
        <f t="shared" si="2"/>
        <v/>
      </c>
      <c r="B854" s="4"/>
      <c r="C854" s="4"/>
      <c r="D854" s="4"/>
    </row>
    <row r="855">
      <c r="A855" s="4" t="str">
        <f t="shared" si="2"/>
        <v/>
      </c>
      <c r="B855" s="4"/>
      <c r="C855" s="4"/>
      <c r="D855" s="4"/>
    </row>
    <row r="856">
      <c r="A856" s="4" t="str">
        <f t="shared" si="2"/>
        <v/>
      </c>
      <c r="B856" s="4"/>
      <c r="C856" s="4"/>
      <c r="D856" s="4"/>
    </row>
    <row r="857">
      <c r="A857" s="4" t="str">
        <f t="shared" si="2"/>
        <v/>
      </c>
      <c r="B857" s="4"/>
      <c r="C857" s="4"/>
      <c r="D857" s="4"/>
    </row>
    <row r="858">
      <c r="A858" s="4" t="str">
        <f t="shared" si="2"/>
        <v/>
      </c>
      <c r="B858" s="4"/>
      <c r="C858" s="4"/>
      <c r="D858" s="4"/>
    </row>
    <row r="859">
      <c r="A859" s="4" t="str">
        <f t="shared" si="2"/>
        <v/>
      </c>
      <c r="B859" s="4"/>
      <c r="C859" s="4"/>
      <c r="D859" s="4"/>
    </row>
    <row r="860">
      <c r="A860" s="4" t="str">
        <f t="shared" si="2"/>
        <v/>
      </c>
      <c r="B860" s="4"/>
      <c r="C860" s="4"/>
      <c r="D860" s="4"/>
    </row>
    <row r="861">
      <c r="A861" s="4" t="str">
        <f t="shared" si="2"/>
        <v/>
      </c>
      <c r="B861" s="4"/>
      <c r="C861" s="4"/>
      <c r="D861" s="4"/>
    </row>
    <row r="862">
      <c r="A862" s="4" t="str">
        <f t="shared" si="2"/>
        <v/>
      </c>
      <c r="B862" s="4"/>
      <c r="C862" s="4"/>
      <c r="D862" s="4"/>
    </row>
    <row r="863">
      <c r="A863" s="4" t="str">
        <f t="shared" si="2"/>
        <v/>
      </c>
      <c r="B863" s="4"/>
      <c r="C863" s="4"/>
      <c r="D863" s="4"/>
    </row>
    <row r="864">
      <c r="A864" s="4" t="str">
        <f t="shared" si="2"/>
        <v/>
      </c>
      <c r="B864" s="4"/>
      <c r="C864" s="4"/>
      <c r="D864" s="4"/>
    </row>
    <row r="865">
      <c r="A865" s="4" t="str">
        <f t="shared" si="2"/>
        <v/>
      </c>
      <c r="B865" s="4"/>
      <c r="C865" s="4"/>
      <c r="D865" s="4"/>
    </row>
    <row r="866">
      <c r="A866" s="4" t="str">
        <f t="shared" si="2"/>
        <v/>
      </c>
      <c r="B866" s="4"/>
      <c r="C866" s="4"/>
      <c r="D866" s="4"/>
    </row>
    <row r="867">
      <c r="A867" s="4" t="str">
        <f t="shared" si="2"/>
        <v/>
      </c>
      <c r="B867" s="4"/>
      <c r="C867" s="4"/>
      <c r="D867" s="4"/>
    </row>
    <row r="868">
      <c r="A868" s="4" t="str">
        <f t="shared" si="2"/>
        <v/>
      </c>
      <c r="B868" s="4"/>
      <c r="C868" s="4"/>
      <c r="D868" s="4"/>
    </row>
    <row r="869">
      <c r="A869" s="4" t="str">
        <f t="shared" si="2"/>
        <v/>
      </c>
      <c r="B869" s="4"/>
      <c r="C869" s="4"/>
      <c r="D869" s="4"/>
    </row>
    <row r="870">
      <c r="A870" s="4" t="str">
        <f t="shared" si="2"/>
        <v/>
      </c>
      <c r="B870" s="4"/>
      <c r="C870" s="4"/>
      <c r="D870" s="4"/>
    </row>
    <row r="871">
      <c r="A871" s="4" t="str">
        <f t="shared" si="2"/>
        <v/>
      </c>
      <c r="B871" s="4"/>
      <c r="C871" s="4"/>
      <c r="D871" s="4"/>
    </row>
    <row r="872">
      <c r="A872" s="4" t="str">
        <f t="shared" si="2"/>
        <v/>
      </c>
      <c r="B872" s="4"/>
      <c r="C872" s="4"/>
      <c r="D872" s="4"/>
    </row>
    <row r="873">
      <c r="A873" s="4" t="str">
        <f t="shared" si="2"/>
        <v/>
      </c>
      <c r="B873" s="4"/>
      <c r="C873" s="4"/>
      <c r="D873" s="4"/>
    </row>
    <row r="874">
      <c r="A874" s="4" t="str">
        <f t="shared" si="2"/>
        <v/>
      </c>
      <c r="B874" s="4"/>
      <c r="C874" s="4"/>
      <c r="D874" s="4"/>
    </row>
    <row r="875">
      <c r="A875" s="4" t="str">
        <f t="shared" si="2"/>
        <v/>
      </c>
      <c r="B875" s="4"/>
      <c r="C875" s="4"/>
      <c r="D875" s="4"/>
    </row>
    <row r="876">
      <c r="A876" s="4" t="str">
        <f t="shared" si="2"/>
        <v/>
      </c>
      <c r="B876" s="4"/>
      <c r="C876" s="4"/>
      <c r="D876" s="4"/>
    </row>
    <row r="877">
      <c r="A877" s="4" t="str">
        <f t="shared" si="2"/>
        <v/>
      </c>
      <c r="B877" s="4"/>
      <c r="C877" s="4"/>
      <c r="D877" s="4"/>
    </row>
    <row r="878">
      <c r="A878" s="4" t="str">
        <f t="shared" si="2"/>
        <v/>
      </c>
      <c r="B878" s="4"/>
      <c r="C878" s="4"/>
      <c r="D878" s="4"/>
    </row>
    <row r="879">
      <c r="A879" s="4" t="str">
        <f t="shared" si="2"/>
        <v/>
      </c>
      <c r="B879" s="4"/>
      <c r="C879" s="4"/>
      <c r="D879" s="4"/>
    </row>
    <row r="880">
      <c r="A880" s="4" t="str">
        <f t="shared" si="2"/>
        <v/>
      </c>
      <c r="B880" s="4"/>
      <c r="C880" s="4"/>
      <c r="D880" s="4"/>
    </row>
    <row r="881">
      <c r="A881" s="4" t="str">
        <f t="shared" si="2"/>
        <v/>
      </c>
      <c r="B881" s="4"/>
      <c r="C881" s="4"/>
      <c r="D881" s="4"/>
    </row>
    <row r="882">
      <c r="A882" s="4" t="str">
        <f t="shared" si="2"/>
        <v/>
      </c>
      <c r="B882" s="4"/>
      <c r="C882" s="4"/>
      <c r="D882" s="4"/>
    </row>
    <row r="883">
      <c r="A883" s="4" t="str">
        <f t="shared" si="2"/>
        <v/>
      </c>
      <c r="B883" s="4"/>
      <c r="C883" s="4"/>
      <c r="D883" s="4"/>
    </row>
    <row r="884">
      <c r="A884" s="4" t="str">
        <f t="shared" si="2"/>
        <v/>
      </c>
      <c r="B884" s="4"/>
      <c r="C884" s="4"/>
      <c r="D884" s="4"/>
    </row>
    <row r="885">
      <c r="A885" s="4" t="str">
        <f t="shared" si="2"/>
        <v/>
      </c>
      <c r="B885" s="4"/>
      <c r="C885" s="4"/>
      <c r="D885" s="4"/>
    </row>
    <row r="886">
      <c r="A886" s="4" t="str">
        <f t="shared" si="2"/>
        <v/>
      </c>
      <c r="B886" s="4"/>
      <c r="C886" s="4"/>
      <c r="D886" s="4"/>
    </row>
    <row r="887">
      <c r="A887" s="4" t="str">
        <f t="shared" si="2"/>
        <v/>
      </c>
      <c r="B887" s="4"/>
      <c r="C887" s="4"/>
      <c r="D887" s="4"/>
    </row>
    <row r="888">
      <c r="A888" s="4" t="str">
        <f t="shared" si="2"/>
        <v/>
      </c>
      <c r="B888" s="4"/>
      <c r="C888" s="4"/>
      <c r="D888" s="4"/>
    </row>
    <row r="889">
      <c r="A889" s="4" t="str">
        <f t="shared" si="2"/>
        <v/>
      </c>
      <c r="B889" s="4"/>
      <c r="C889" s="4"/>
      <c r="D889" s="4"/>
    </row>
    <row r="890">
      <c r="A890" s="4" t="str">
        <f t="shared" si="2"/>
        <v/>
      </c>
      <c r="B890" s="4"/>
      <c r="C890" s="4"/>
      <c r="D890" s="4"/>
    </row>
    <row r="891">
      <c r="A891" s="4" t="str">
        <f t="shared" si="2"/>
        <v/>
      </c>
      <c r="B891" s="4"/>
      <c r="C891" s="4"/>
      <c r="D891" s="4"/>
    </row>
    <row r="892">
      <c r="A892" s="4" t="str">
        <f t="shared" si="2"/>
        <v/>
      </c>
      <c r="B892" s="4"/>
      <c r="C892" s="4"/>
      <c r="D892" s="4"/>
    </row>
    <row r="893">
      <c r="A893" s="4" t="str">
        <f t="shared" si="2"/>
        <v/>
      </c>
      <c r="B893" s="4"/>
      <c r="C893" s="4"/>
      <c r="D893" s="4"/>
    </row>
    <row r="894">
      <c r="A894" s="4" t="str">
        <f t="shared" si="2"/>
        <v/>
      </c>
      <c r="B894" s="4"/>
      <c r="C894" s="4"/>
      <c r="D894" s="4"/>
    </row>
    <row r="895">
      <c r="A895" s="4" t="str">
        <f t="shared" si="2"/>
        <v/>
      </c>
      <c r="B895" s="4"/>
      <c r="C895" s="4"/>
      <c r="D895" s="4"/>
    </row>
    <row r="896">
      <c r="A896" s="4" t="str">
        <f t="shared" si="2"/>
        <v/>
      </c>
      <c r="B896" s="4"/>
      <c r="C896" s="4"/>
      <c r="D896" s="4"/>
    </row>
    <row r="897">
      <c r="A897" s="4" t="str">
        <f t="shared" si="2"/>
        <v/>
      </c>
      <c r="B897" s="4"/>
      <c r="C897" s="4"/>
      <c r="D897" s="4"/>
    </row>
    <row r="898">
      <c r="A898" s="4" t="str">
        <f t="shared" si="2"/>
        <v/>
      </c>
      <c r="B898" s="4"/>
      <c r="C898" s="4"/>
      <c r="D898" s="4"/>
    </row>
    <row r="899">
      <c r="A899" s="4" t="str">
        <f t="shared" si="2"/>
        <v/>
      </c>
      <c r="B899" s="4"/>
      <c r="C899" s="4"/>
      <c r="D899" s="4"/>
    </row>
    <row r="900">
      <c r="A900" s="4" t="str">
        <f t="shared" si="2"/>
        <v/>
      </c>
      <c r="B900" s="4"/>
      <c r="C900" s="4"/>
      <c r="D900" s="4"/>
    </row>
    <row r="901">
      <c r="A901" s="4" t="str">
        <f t="shared" si="2"/>
        <v/>
      </c>
      <c r="B901" s="4"/>
      <c r="C901" s="4"/>
      <c r="D901" s="4"/>
    </row>
    <row r="902">
      <c r="A902" s="4" t="str">
        <f t="shared" si="2"/>
        <v/>
      </c>
      <c r="B902" s="4"/>
      <c r="C902" s="4"/>
      <c r="D902" s="4"/>
    </row>
    <row r="903">
      <c r="A903" s="4" t="str">
        <f t="shared" si="2"/>
        <v/>
      </c>
      <c r="B903" s="4"/>
      <c r="C903" s="4"/>
      <c r="D903" s="4"/>
    </row>
    <row r="904">
      <c r="A904" s="4" t="str">
        <f t="shared" si="2"/>
        <v/>
      </c>
      <c r="B904" s="4"/>
      <c r="C904" s="4"/>
      <c r="D904" s="4"/>
    </row>
    <row r="905">
      <c r="A905" s="4" t="str">
        <f t="shared" si="2"/>
        <v/>
      </c>
      <c r="B905" s="4"/>
      <c r="C905" s="4"/>
      <c r="D905" s="4"/>
    </row>
    <row r="906">
      <c r="A906" s="4" t="str">
        <f t="shared" si="2"/>
        <v/>
      </c>
      <c r="B906" s="4"/>
      <c r="C906" s="4"/>
      <c r="D906" s="4"/>
    </row>
    <row r="907">
      <c r="A907" s="4" t="str">
        <f t="shared" si="2"/>
        <v/>
      </c>
      <c r="B907" s="4"/>
      <c r="C907" s="4"/>
      <c r="D907" s="4"/>
    </row>
    <row r="908">
      <c r="A908" s="4" t="str">
        <f t="shared" si="2"/>
        <v/>
      </c>
      <c r="B908" s="4"/>
      <c r="C908" s="4"/>
      <c r="D908" s="4"/>
    </row>
    <row r="909">
      <c r="A909" s="4" t="str">
        <f t="shared" si="2"/>
        <v/>
      </c>
      <c r="B909" s="4"/>
      <c r="C909" s="4"/>
      <c r="D909" s="4"/>
    </row>
    <row r="910">
      <c r="A910" s="4" t="str">
        <f t="shared" si="2"/>
        <v/>
      </c>
      <c r="B910" s="4"/>
      <c r="C910" s="4"/>
      <c r="D910" s="4"/>
    </row>
    <row r="911">
      <c r="A911" s="4" t="str">
        <f t="shared" si="2"/>
        <v/>
      </c>
      <c r="B911" s="4"/>
      <c r="C911" s="4"/>
      <c r="D911" s="4"/>
    </row>
    <row r="912">
      <c r="A912" s="4" t="str">
        <f t="shared" si="2"/>
        <v/>
      </c>
      <c r="B912" s="4"/>
      <c r="C912" s="4"/>
      <c r="D912" s="4"/>
    </row>
    <row r="913">
      <c r="A913" s="4" t="str">
        <f t="shared" si="2"/>
        <v/>
      </c>
      <c r="B913" s="4"/>
      <c r="C913" s="4"/>
      <c r="D913" s="4"/>
    </row>
    <row r="914">
      <c r="A914" s="4" t="str">
        <f t="shared" si="2"/>
        <v/>
      </c>
      <c r="B914" s="4"/>
      <c r="C914" s="4"/>
      <c r="D914" s="4"/>
    </row>
    <row r="915">
      <c r="A915" s="4" t="str">
        <f t="shared" si="2"/>
        <v/>
      </c>
      <c r="B915" s="4"/>
      <c r="C915" s="4"/>
      <c r="D915" s="4"/>
    </row>
    <row r="916">
      <c r="A916" s="4" t="str">
        <f t="shared" si="2"/>
        <v/>
      </c>
      <c r="B916" s="4"/>
      <c r="C916" s="4"/>
      <c r="D916" s="4"/>
    </row>
    <row r="917">
      <c r="A917" s="4" t="str">
        <f t="shared" si="2"/>
        <v/>
      </c>
      <c r="B917" s="4"/>
      <c r="C917" s="4"/>
      <c r="D917" s="4"/>
    </row>
    <row r="918">
      <c r="A918" s="4" t="str">
        <f t="shared" si="2"/>
        <v/>
      </c>
      <c r="B918" s="4"/>
      <c r="C918" s="4"/>
      <c r="D918" s="4"/>
    </row>
    <row r="919">
      <c r="A919" s="4" t="str">
        <f t="shared" si="2"/>
        <v/>
      </c>
      <c r="B919" s="4"/>
      <c r="C919" s="4"/>
      <c r="D919" s="4"/>
    </row>
    <row r="920">
      <c r="A920" s="4" t="str">
        <f t="shared" si="2"/>
        <v/>
      </c>
      <c r="B920" s="4"/>
      <c r="C920" s="4"/>
      <c r="D920" s="4"/>
    </row>
    <row r="921">
      <c r="A921" s="4" t="str">
        <f t="shared" si="2"/>
        <v/>
      </c>
      <c r="B921" s="4"/>
      <c r="C921" s="4"/>
      <c r="D921" s="4"/>
    </row>
    <row r="922">
      <c r="A922" s="4" t="str">
        <f t="shared" si="2"/>
        <v/>
      </c>
      <c r="B922" s="4"/>
      <c r="C922" s="4"/>
      <c r="D922" s="4"/>
    </row>
    <row r="923">
      <c r="A923" s="4" t="str">
        <f t="shared" si="2"/>
        <v/>
      </c>
      <c r="B923" s="4"/>
      <c r="C923" s="4"/>
      <c r="D923" s="4"/>
    </row>
    <row r="924">
      <c r="A924" s="4" t="str">
        <f t="shared" si="2"/>
        <v/>
      </c>
      <c r="B924" s="4"/>
      <c r="C924" s="4"/>
      <c r="D924" s="4"/>
    </row>
    <row r="925">
      <c r="A925" s="4" t="str">
        <f t="shared" si="2"/>
        <v/>
      </c>
      <c r="B925" s="4"/>
      <c r="C925" s="4"/>
      <c r="D925" s="4"/>
    </row>
    <row r="926">
      <c r="A926" s="4" t="str">
        <f t="shared" si="2"/>
        <v/>
      </c>
      <c r="B926" s="4"/>
      <c r="C926" s="4"/>
      <c r="D926" s="4"/>
    </row>
    <row r="927">
      <c r="A927" s="4" t="str">
        <f t="shared" si="2"/>
        <v/>
      </c>
      <c r="B927" s="4"/>
      <c r="C927" s="4"/>
      <c r="D927" s="4"/>
    </row>
    <row r="928">
      <c r="A928" s="4" t="str">
        <f t="shared" si="2"/>
        <v/>
      </c>
      <c r="B928" s="4"/>
      <c r="C928" s="4"/>
      <c r="D928" s="4"/>
    </row>
    <row r="929">
      <c r="A929" s="4" t="str">
        <f t="shared" si="2"/>
        <v/>
      </c>
      <c r="B929" s="4"/>
      <c r="C929" s="4"/>
      <c r="D929" s="4"/>
    </row>
    <row r="930">
      <c r="A930" s="4" t="str">
        <f t="shared" si="2"/>
        <v/>
      </c>
      <c r="B930" s="4"/>
      <c r="C930" s="4"/>
      <c r="D930" s="4"/>
    </row>
    <row r="931">
      <c r="A931" s="4" t="str">
        <f t="shared" si="2"/>
        <v/>
      </c>
      <c r="B931" s="4"/>
      <c r="C931" s="4"/>
      <c r="D931" s="4"/>
    </row>
    <row r="932">
      <c r="A932" s="4" t="str">
        <f t="shared" si="2"/>
        <v/>
      </c>
      <c r="B932" s="4"/>
      <c r="C932" s="4"/>
      <c r="D932" s="4"/>
    </row>
    <row r="933">
      <c r="A933" s="4" t="str">
        <f t="shared" si="2"/>
        <v/>
      </c>
      <c r="B933" s="4"/>
      <c r="C933" s="4"/>
      <c r="D933" s="4"/>
    </row>
    <row r="934">
      <c r="A934" s="4" t="str">
        <f t="shared" si="2"/>
        <v/>
      </c>
      <c r="B934" s="4"/>
      <c r="C934" s="4"/>
      <c r="D934" s="4"/>
    </row>
    <row r="935">
      <c r="A935" s="4" t="str">
        <f t="shared" si="2"/>
        <v/>
      </c>
      <c r="B935" s="4"/>
      <c r="C935" s="4"/>
      <c r="D935" s="4"/>
    </row>
    <row r="936">
      <c r="A936" s="4" t="str">
        <f t="shared" si="2"/>
        <v/>
      </c>
      <c r="B936" s="4"/>
      <c r="C936" s="4"/>
      <c r="D936" s="4"/>
    </row>
    <row r="937">
      <c r="A937" s="4" t="str">
        <f t="shared" si="2"/>
        <v/>
      </c>
      <c r="B937" s="4"/>
      <c r="C937" s="4"/>
      <c r="D937" s="4"/>
    </row>
    <row r="938">
      <c r="A938" s="4" t="str">
        <f t="shared" si="2"/>
        <v/>
      </c>
      <c r="B938" s="4"/>
      <c r="C938" s="4"/>
      <c r="D938" s="4"/>
    </row>
    <row r="939">
      <c r="A939" s="4" t="str">
        <f t="shared" si="2"/>
        <v/>
      </c>
      <c r="B939" s="4"/>
      <c r="C939" s="4"/>
      <c r="D939" s="4"/>
    </row>
    <row r="940">
      <c r="A940" s="4" t="str">
        <f t="shared" si="2"/>
        <v/>
      </c>
      <c r="B940" s="4"/>
      <c r="C940" s="4"/>
      <c r="D940" s="4"/>
    </row>
    <row r="941">
      <c r="A941" s="4" t="str">
        <f t="shared" si="2"/>
        <v/>
      </c>
      <c r="B941" s="4"/>
      <c r="C941" s="4"/>
      <c r="D941" s="4"/>
    </row>
    <row r="942">
      <c r="A942" s="4" t="str">
        <f t="shared" si="2"/>
        <v/>
      </c>
      <c r="B942" s="4"/>
      <c r="C942" s="4"/>
      <c r="D942" s="4"/>
    </row>
    <row r="943">
      <c r="A943" s="4" t="str">
        <f t="shared" si="2"/>
        <v/>
      </c>
      <c r="B943" s="4"/>
      <c r="C943" s="4"/>
      <c r="D943" s="4"/>
    </row>
    <row r="944">
      <c r="A944" s="4" t="str">
        <f t="shared" si="2"/>
        <v/>
      </c>
      <c r="B944" s="4"/>
      <c r="C944" s="4"/>
      <c r="D944" s="4"/>
    </row>
    <row r="945">
      <c r="A945" s="4" t="str">
        <f t="shared" si="2"/>
        <v/>
      </c>
      <c r="B945" s="4"/>
      <c r="C945" s="4"/>
      <c r="D945" s="4"/>
    </row>
    <row r="946">
      <c r="A946" s="4" t="str">
        <f t="shared" si="2"/>
        <v/>
      </c>
      <c r="B946" s="4"/>
      <c r="C946" s="4"/>
      <c r="D946" s="4"/>
    </row>
    <row r="947">
      <c r="A947" s="4" t="str">
        <f t="shared" si="2"/>
        <v/>
      </c>
      <c r="B947" s="4"/>
      <c r="C947" s="4"/>
      <c r="D947" s="4"/>
    </row>
    <row r="948">
      <c r="A948" s="4" t="str">
        <f t="shared" si="2"/>
        <v/>
      </c>
      <c r="B948" s="4"/>
      <c r="C948" s="4"/>
      <c r="D948" s="4"/>
    </row>
    <row r="949">
      <c r="A949" s="4" t="str">
        <f t="shared" si="2"/>
        <v/>
      </c>
      <c r="B949" s="4"/>
      <c r="C949" s="4"/>
      <c r="D949" s="4"/>
    </row>
    <row r="950">
      <c r="A950" s="4" t="str">
        <f t="shared" si="2"/>
        <v/>
      </c>
      <c r="B950" s="4"/>
      <c r="C950" s="4"/>
      <c r="D950" s="4"/>
    </row>
    <row r="951">
      <c r="A951" s="4" t="str">
        <f t="shared" si="2"/>
        <v/>
      </c>
      <c r="B951" s="4"/>
      <c r="C951" s="4"/>
      <c r="D951" s="4"/>
    </row>
    <row r="952">
      <c r="A952" s="4" t="str">
        <f t="shared" si="2"/>
        <v/>
      </c>
      <c r="B952" s="4"/>
      <c r="C952" s="4"/>
      <c r="D952" s="4"/>
    </row>
    <row r="953">
      <c r="A953" s="4" t="str">
        <f t="shared" si="2"/>
        <v/>
      </c>
      <c r="B953" s="4"/>
      <c r="C953" s="4"/>
      <c r="D953" s="4"/>
    </row>
    <row r="954">
      <c r="A954" s="4" t="str">
        <f t="shared" si="2"/>
        <v/>
      </c>
      <c r="B954" s="4"/>
      <c r="C954" s="4"/>
      <c r="D954" s="4"/>
    </row>
    <row r="955">
      <c r="A955" s="4" t="str">
        <f t="shared" si="2"/>
        <v/>
      </c>
      <c r="B955" s="4"/>
      <c r="C955" s="4"/>
      <c r="D955" s="4"/>
    </row>
    <row r="956">
      <c r="A956" s="4" t="str">
        <f t="shared" si="2"/>
        <v/>
      </c>
      <c r="B956" s="4"/>
      <c r="C956" s="4"/>
      <c r="D956" s="4"/>
    </row>
    <row r="957">
      <c r="A957" s="4" t="str">
        <f t="shared" si="2"/>
        <v/>
      </c>
      <c r="B957" s="4"/>
      <c r="C957" s="4"/>
      <c r="D957" s="4"/>
    </row>
    <row r="958">
      <c r="A958" s="4" t="str">
        <f t="shared" si="2"/>
        <v/>
      </c>
      <c r="B958" s="4"/>
      <c r="C958" s="4"/>
      <c r="D958" s="4"/>
    </row>
    <row r="959">
      <c r="A959" s="4" t="str">
        <f t="shared" si="2"/>
        <v/>
      </c>
      <c r="B959" s="4"/>
      <c r="C959" s="4"/>
      <c r="D959" s="4"/>
    </row>
    <row r="960">
      <c r="A960" s="4" t="str">
        <f t="shared" si="2"/>
        <v/>
      </c>
      <c r="B960" s="4"/>
      <c r="C960" s="4"/>
      <c r="D960" s="4"/>
    </row>
    <row r="961">
      <c r="A961" s="4" t="str">
        <f t="shared" si="2"/>
        <v/>
      </c>
      <c r="B961" s="4"/>
      <c r="C961" s="4"/>
      <c r="D961" s="4"/>
    </row>
    <row r="962">
      <c r="A962" s="4" t="str">
        <f t="shared" si="2"/>
        <v/>
      </c>
      <c r="B962" s="4"/>
      <c r="C962" s="4"/>
      <c r="D962" s="4"/>
    </row>
    <row r="963">
      <c r="A963" s="4" t="str">
        <f t="shared" si="2"/>
        <v/>
      </c>
      <c r="B963" s="4"/>
      <c r="C963" s="4"/>
      <c r="D963" s="4"/>
    </row>
    <row r="964">
      <c r="A964" s="4" t="str">
        <f t="shared" si="2"/>
        <v/>
      </c>
      <c r="B964" s="4"/>
      <c r="C964" s="4"/>
      <c r="D964" s="4"/>
    </row>
    <row r="965">
      <c r="A965" s="4" t="str">
        <f t="shared" si="2"/>
        <v/>
      </c>
      <c r="B965" s="4"/>
      <c r="C965" s="4"/>
      <c r="D965" s="4"/>
    </row>
    <row r="966">
      <c r="A966" s="4" t="str">
        <f t="shared" si="2"/>
        <v/>
      </c>
      <c r="B966" s="4"/>
      <c r="C966" s="4"/>
      <c r="D966" s="4"/>
    </row>
    <row r="967">
      <c r="A967" s="4" t="str">
        <f t="shared" si="2"/>
        <v/>
      </c>
      <c r="B967" s="4"/>
      <c r="C967" s="4"/>
      <c r="D967" s="4"/>
    </row>
    <row r="968">
      <c r="A968" s="4" t="str">
        <f t="shared" si="2"/>
        <v/>
      </c>
      <c r="B968" s="4"/>
      <c r="C968" s="4"/>
      <c r="D968" s="4"/>
    </row>
    <row r="969">
      <c r="A969" s="4" t="str">
        <f t="shared" si="2"/>
        <v/>
      </c>
      <c r="B969" s="4"/>
      <c r="C969" s="4"/>
      <c r="D969" s="4"/>
    </row>
    <row r="970">
      <c r="A970" s="4" t="str">
        <f t="shared" si="2"/>
        <v/>
      </c>
      <c r="B970" s="4"/>
      <c r="C970" s="4"/>
      <c r="D970" s="4"/>
    </row>
    <row r="971">
      <c r="A971" s="4" t="str">
        <f t="shared" si="2"/>
        <v/>
      </c>
      <c r="B971" s="4"/>
      <c r="C971" s="4"/>
      <c r="D971" s="4"/>
    </row>
    <row r="972">
      <c r="A972" s="4" t="str">
        <f t="shared" si="2"/>
        <v/>
      </c>
      <c r="B972" s="4"/>
      <c r="C972" s="4"/>
      <c r="D972" s="4"/>
    </row>
    <row r="973">
      <c r="A973" s="4" t="str">
        <f t="shared" si="2"/>
        <v/>
      </c>
      <c r="B973" s="4"/>
      <c r="C973" s="4"/>
      <c r="D973" s="4"/>
    </row>
    <row r="974">
      <c r="A974" s="4" t="str">
        <f t="shared" si="2"/>
        <v/>
      </c>
      <c r="B974" s="4"/>
      <c r="C974" s="4"/>
      <c r="D974" s="4"/>
    </row>
    <row r="975">
      <c r="A975" s="4" t="str">
        <f t="shared" si="2"/>
        <v/>
      </c>
      <c r="B975" s="4"/>
      <c r="C975" s="4"/>
      <c r="D975" s="4"/>
    </row>
    <row r="976">
      <c r="A976" s="4" t="str">
        <f t="shared" si="2"/>
        <v/>
      </c>
      <c r="B976" s="4"/>
      <c r="C976" s="4"/>
      <c r="D976" s="4"/>
    </row>
    <row r="977">
      <c r="A977" s="4" t="str">
        <f t="shared" si="2"/>
        <v/>
      </c>
      <c r="B977" s="4"/>
      <c r="C977" s="4"/>
      <c r="D977" s="4"/>
    </row>
    <row r="978">
      <c r="A978" s="4" t="str">
        <f t="shared" si="2"/>
        <v/>
      </c>
      <c r="B978" s="4"/>
      <c r="C978" s="4"/>
      <c r="D978" s="4"/>
    </row>
    <row r="979">
      <c r="A979" s="4" t="str">
        <f t="shared" si="2"/>
        <v/>
      </c>
      <c r="B979" s="4"/>
      <c r="C979" s="4"/>
      <c r="D979" s="4"/>
    </row>
    <row r="980">
      <c r="A980" s="4" t="str">
        <f t="shared" si="2"/>
        <v/>
      </c>
      <c r="B980" s="4"/>
      <c r="C980" s="4"/>
      <c r="D980" s="4"/>
    </row>
    <row r="981">
      <c r="A981" s="4" t="str">
        <f t="shared" si="2"/>
        <v/>
      </c>
      <c r="B981" s="4"/>
      <c r="C981" s="4"/>
      <c r="D981" s="4"/>
    </row>
    <row r="982">
      <c r="A982" s="4" t="str">
        <f t="shared" si="2"/>
        <v/>
      </c>
      <c r="B982" s="4"/>
      <c r="C982" s="4"/>
      <c r="D982" s="4"/>
    </row>
    <row r="983">
      <c r="A983" s="4" t="str">
        <f t="shared" si="2"/>
        <v/>
      </c>
      <c r="B983" s="4"/>
      <c r="C983" s="4"/>
      <c r="D983" s="4"/>
    </row>
    <row r="984">
      <c r="A984" s="4" t="str">
        <f t="shared" si="2"/>
        <v/>
      </c>
      <c r="B984" s="4"/>
      <c r="C984" s="4"/>
      <c r="D984" s="4"/>
    </row>
    <row r="985">
      <c r="A985" s="4" t="str">
        <f t="shared" si="2"/>
        <v/>
      </c>
      <c r="B985" s="4"/>
      <c r="C985" s="4"/>
      <c r="D985" s="4"/>
    </row>
    <row r="986">
      <c r="A986" s="4" t="str">
        <f t="shared" si="2"/>
        <v/>
      </c>
      <c r="B986" s="4"/>
      <c r="C986" s="4"/>
      <c r="D986" s="4"/>
    </row>
    <row r="987">
      <c r="A987" s="4" t="str">
        <f t="shared" si="2"/>
        <v/>
      </c>
      <c r="B987" s="4"/>
      <c r="C987" s="4"/>
      <c r="D987" s="4"/>
    </row>
    <row r="988">
      <c r="A988" s="4" t="str">
        <f t="shared" si="2"/>
        <v/>
      </c>
      <c r="B988" s="4"/>
      <c r="C988" s="4"/>
      <c r="D988" s="4"/>
    </row>
    <row r="989">
      <c r="A989" s="4" t="str">
        <f t="shared" si="2"/>
        <v/>
      </c>
      <c r="B989" s="4"/>
      <c r="C989" s="4"/>
      <c r="D989" s="4"/>
    </row>
    <row r="990">
      <c r="A990" s="4" t="str">
        <f t="shared" si="2"/>
        <v/>
      </c>
      <c r="B990" s="4"/>
      <c r="C990" s="4"/>
      <c r="D990" s="4"/>
    </row>
    <row r="991">
      <c r="A991" s="4" t="str">
        <f t="shared" si="2"/>
        <v/>
      </c>
      <c r="B991" s="4"/>
      <c r="C991" s="4"/>
      <c r="D991" s="4"/>
    </row>
    <row r="992">
      <c r="A992" s="4" t="str">
        <f t="shared" si="2"/>
        <v/>
      </c>
      <c r="B992" s="4"/>
      <c r="C992" s="4"/>
      <c r="D992" s="4"/>
    </row>
    <row r="993">
      <c r="A993" s="4" t="str">
        <f t="shared" si="2"/>
        <v/>
      </c>
      <c r="B993" s="4"/>
      <c r="C993" s="4"/>
      <c r="D993" s="4"/>
    </row>
    <row r="994">
      <c r="A994" s="4" t="str">
        <f t="shared" si="2"/>
        <v/>
      </c>
      <c r="B994" s="4"/>
      <c r="C994" s="4"/>
      <c r="D994" s="4"/>
    </row>
    <row r="995">
      <c r="A995" s="4" t="str">
        <f t="shared" si="2"/>
        <v/>
      </c>
      <c r="B995" s="4"/>
      <c r="C995" s="4"/>
      <c r="D995" s="4"/>
    </row>
    <row r="996">
      <c r="A996" s="4" t="str">
        <f t="shared" si="2"/>
        <v/>
      </c>
      <c r="B996" s="4"/>
      <c r="C996" s="4"/>
      <c r="D996" s="4"/>
    </row>
    <row r="997">
      <c r="A997" s="4" t="str">
        <f t="shared" si="2"/>
        <v/>
      </c>
      <c r="B997" s="4"/>
      <c r="C997" s="4"/>
      <c r="D997" s="4"/>
    </row>
    <row r="998">
      <c r="A998" s="4" t="str">
        <f t="shared" si="2"/>
        <v/>
      </c>
      <c r="B998" s="4"/>
      <c r="C998" s="4"/>
      <c r="D998" s="4"/>
    </row>
    <row r="999">
      <c r="A999" s="4" t="str">
        <f t="shared" si="2"/>
        <v/>
      </c>
      <c r="B999" s="4"/>
      <c r="C999" s="4"/>
      <c r="D999" s="4"/>
    </row>
    <row r="1000">
      <c r="A1000" s="4" t="str">
        <f t="shared" si="2"/>
        <v/>
      </c>
      <c r="B1000" s="4"/>
      <c r="C1000" s="4"/>
      <c r="D1000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26.75"/>
    <col customWidth="1" min="4" max="4" width="22.5"/>
    <col customWidth="1" min="6" max="7" width="15.0"/>
    <col customWidth="1" min="8" max="8" width="11.75"/>
  </cols>
  <sheetData>
    <row r="1">
      <c r="A1" s="5" t="s">
        <v>392</v>
      </c>
      <c r="B1" s="5" t="s">
        <v>25</v>
      </c>
      <c r="C1" s="5" t="s">
        <v>24</v>
      </c>
      <c r="D1" s="5" t="s">
        <v>5</v>
      </c>
      <c r="E1" s="5" t="s">
        <v>15</v>
      </c>
      <c r="F1" s="5" t="s">
        <v>393</v>
      </c>
      <c r="G1" s="5" t="s">
        <v>394</v>
      </c>
      <c r="H1" s="5" t="s">
        <v>8</v>
      </c>
      <c r="I1" s="87"/>
      <c r="J1" s="88"/>
      <c r="K1" s="5"/>
      <c r="L1" s="5"/>
      <c r="M1" s="5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</row>
    <row r="2">
      <c r="A2" s="2">
        <f t="shared" ref="A2:A1007" si="1">IF(C2="","",max(A$1:A1)+1)</f>
        <v>1</v>
      </c>
      <c r="B2" s="2" t="s">
        <v>395</v>
      </c>
      <c r="C2" s="2" t="s">
        <v>396</v>
      </c>
      <c r="D2" s="1" t="s">
        <v>349</v>
      </c>
      <c r="E2" s="2">
        <v>1.0</v>
      </c>
      <c r="F2" s="2" t="s">
        <v>397</v>
      </c>
      <c r="G2" s="2" t="s">
        <v>398</v>
      </c>
      <c r="H2" s="4">
        <f>IF(D2="","",COUNTIF(Productos!G:G,C2))</f>
        <v>6</v>
      </c>
      <c r="J2" s="89"/>
    </row>
    <row r="3">
      <c r="A3" s="2">
        <f t="shared" si="1"/>
        <v>2</v>
      </c>
      <c r="B3" s="2" t="s">
        <v>399</v>
      </c>
      <c r="C3" s="2" t="s">
        <v>400</v>
      </c>
      <c r="D3" s="1" t="s">
        <v>349</v>
      </c>
      <c r="E3" s="2">
        <v>2.0</v>
      </c>
      <c r="F3" s="2" t="s">
        <v>401</v>
      </c>
      <c r="G3" s="2" t="s">
        <v>402</v>
      </c>
      <c r="H3" s="4">
        <f>IF(D3="","",COUNTIF(Productos!G:G,C3))</f>
        <v>13</v>
      </c>
      <c r="J3" s="89"/>
    </row>
    <row r="4">
      <c r="A4" s="2">
        <f t="shared" si="1"/>
        <v>3</v>
      </c>
      <c r="B4" s="2" t="s">
        <v>403</v>
      </c>
      <c r="C4" s="2" t="s">
        <v>404</v>
      </c>
      <c r="D4" s="1" t="s">
        <v>349</v>
      </c>
      <c r="E4" s="2">
        <v>3.0</v>
      </c>
      <c r="F4" s="2" t="s">
        <v>401</v>
      </c>
      <c r="G4" s="2" t="s">
        <v>402</v>
      </c>
      <c r="H4" s="4">
        <f>IF(D4="","",COUNTIF(Productos!G:G,C4))</f>
        <v>3</v>
      </c>
      <c r="J4" s="89"/>
    </row>
    <row r="5">
      <c r="A5" s="2">
        <f t="shared" si="1"/>
        <v>4</v>
      </c>
      <c r="B5" s="2" t="s">
        <v>405</v>
      </c>
      <c r="C5" s="2" t="s">
        <v>406</v>
      </c>
      <c r="D5" s="1" t="s">
        <v>349</v>
      </c>
      <c r="E5" s="2">
        <v>4.0</v>
      </c>
      <c r="F5" s="2" t="s">
        <v>401</v>
      </c>
      <c r="G5" s="2" t="s">
        <v>402</v>
      </c>
      <c r="H5" s="4">
        <f>IF(D5="","",COUNTIF(Productos!G:G,C5))</f>
        <v>6</v>
      </c>
      <c r="J5" s="89"/>
    </row>
    <row r="6">
      <c r="A6" s="2">
        <f t="shared" si="1"/>
        <v>5</v>
      </c>
      <c r="B6" s="2" t="s">
        <v>407</v>
      </c>
      <c r="C6" s="2" t="s">
        <v>408</v>
      </c>
      <c r="D6" s="1" t="s">
        <v>349</v>
      </c>
      <c r="E6" s="2">
        <v>5.0</v>
      </c>
      <c r="F6" s="2" t="s">
        <v>401</v>
      </c>
      <c r="G6" s="2" t="s">
        <v>402</v>
      </c>
      <c r="H6" s="4">
        <f>IF(D6="","",COUNTIF(Productos!G:G,C6))</f>
        <v>5</v>
      </c>
      <c r="J6" s="89"/>
    </row>
    <row r="7">
      <c r="A7" s="2">
        <f t="shared" si="1"/>
        <v>6</v>
      </c>
      <c r="B7" s="2" t="s">
        <v>409</v>
      </c>
      <c r="C7" s="2" t="s">
        <v>410</v>
      </c>
      <c r="D7" s="1" t="s">
        <v>349</v>
      </c>
      <c r="E7" s="2">
        <v>6.0</v>
      </c>
      <c r="F7" s="2" t="s">
        <v>401</v>
      </c>
      <c r="G7" s="2" t="s">
        <v>402</v>
      </c>
      <c r="H7" s="4">
        <f>IF(D7="","",COUNTIF(Productos!G:G,C7))</f>
        <v>3</v>
      </c>
      <c r="J7" s="89"/>
    </row>
    <row r="8">
      <c r="A8" s="2">
        <f t="shared" si="1"/>
        <v>7</v>
      </c>
      <c r="B8" s="2" t="s">
        <v>411</v>
      </c>
      <c r="C8" s="2" t="s">
        <v>412</v>
      </c>
      <c r="D8" s="1" t="s">
        <v>28</v>
      </c>
      <c r="E8" s="2">
        <v>3.0</v>
      </c>
      <c r="F8" s="2" t="s">
        <v>397</v>
      </c>
      <c r="G8" s="2" t="s">
        <v>398</v>
      </c>
      <c r="H8" s="4">
        <f>IF(D8="","",COUNTIF(Productos!G:G,C8))</f>
        <v>3</v>
      </c>
      <c r="J8" s="89"/>
    </row>
    <row r="9">
      <c r="A9" s="2">
        <f t="shared" si="1"/>
        <v>8</v>
      </c>
      <c r="B9" s="2" t="s">
        <v>413</v>
      </c>
      <c r="C9" s="2" t="s">
        <v>414</v>
      </c>
      <c r="D9" s="1" t="s">
        <v>28</v>
      </c>
      <c r="E9" s="2">
        <v>3.0</v>
      </c>
      <c r="F9" s="2" t="str">
        <f>IFERROR(__xludf.DUMMYFUNCTION("IF(E9="""","""",IF(COUNTIFS(D$1:D8,D9,E$1:E8,E9)&gt;0,INDEX(filter(F$1:F8,D$1:D8=D9,E$1:E8=E9),1),""Selecciona..""))"),"O")</f>
        <v>O</v>
      </c>
      <c r="G9" s="2" t="s">
        <v>398</v>
      </c>
      <c r="H9" s="4">
        <f>IF(D9="","",COUNTIF(Productos!G:G,C9))</f>
        <v>11</v>
      </c>
      <c r="J9" s="89"/>
    </row>
    <row r="10">
      <c r="A10" s="2">
        <f t="shared" si="1"/>
        <v>9</v>
      </c>
      <c r="B10" s="2" t="s">
        <v>415</v>
      </c>
      <c r="C10" s="2" t="s">
        <v>416</v>
      </c>
      <c r="D10" s="1" t="s">
        <v>28</v>
      </c>
      <c r="E10" s="2">
        <v>3.0</v>
      </c>
      <c r="F10" s="2" t="str">
        <f>IFERROR(__xludf.DUMMYFUNCTION("IF($E10="""","""",IF(COUNTIFS($D$1:$D9,$D10,$E$1:$E9,$E10)&gt;0,INDEX(filter(F$1:F9,$D$1:$D9=$D10,$E$1:$E9=E10),1),""Selecciona..""))"),"O")</f>
        <v>O</v>
      </c>
      <c r="G10" s="2" t="str">
        <f>IFERROR(__xludf.DUMMYFUNCTION("IF($E10="""","""",IF(COUNTIFS($D$1:$D9,$D10,$E$1:$E9,$E10)&gt;0,INDEX(filter(G$1:G9,$D$1:$D9=$D10,$E$1:$E9=E10),1),""Selecciona..""))"),"SI")</f>
        <v>SI</v>
      </c>
      <c r="H10" s="4">
        <f>IF(D10="","",COUNTIF(Productos!G:G,C10))</f>
        <v>7</v>
      </c>
      <c r="J10" s="89"/>
    </row>
    <row r="11">
      <c r="A11" s="2">
        <f t="shared" si="1"/>
        <v>10</v>
      </c>
      <c r="B11" s="2" t="s">
        <v>417</v>
      </c>
      <c r="C11" s="2" t="s">
        <v>418</v>
      </c>
      <c r="D11" s="1" t="s">
        <v>388</v>
      </c>
      <c r="E11" s="2">
        <v>2.0</v>
      </c>
      <c r="F11" s="2" t="s">
        <v>397</v>
      </c>
      <c r="G11" s="2" t="s">
        <v>398</v>
      </c>
      <c r="H11" s="4">
        <f>IF(D11="","",COUNTIF(Productos!G:G,C11))</f>
        <v>0</v>
      </c>
      <c r="J11" s="89"/>
    </row>
    <row r="12">
      <c r="A12" s="2">
        <f t="shared" si="1"/>
        <v>11</v>
      </c>
      <c r="B12" s="2" t="s">
        <v>419</v>
      </c>
      <c r="C12" s="2" t="s">
        <v>420</v>
      </c>
      <c r="D12" s="1" t="s">
        <v>389</v>
      </c>
      <c r="E12" s="2">
        <v>2.0</v>
      </c>
      <c r="F12" s="2" t="s">
        <v>397</v>
      </c>
      <c r="G12" s="2" t="s">
        <v>398</v>
      </c>
      <c r="H12" s="4">
        <f>IF(D12="","",COUNTIF(Productos!G:G,C12))</f>
        <v>0</v>
      </c>
      <c r="J12" s="89"/>
    </row>
    <row r="13">
      <c r="A13" s="2">
        <f t="shared" si="1"/>
        <v>12</v>
      </c>
      <c r="B13" s="2" t="s">
        <v>421</v>
      </c>
      <c r="C13" s="2" t="s">
        <v>422</v>
      </c>
      <c r="D13" s="1" t="s">
        <v>390</v>
      </c>
      <c r="E13" s="2">
        <v>2.0</v>
      </c>
      <c r="F13" s="2" t="s">
        <v>397</v>
      </c>
      <c r="G13" s="2" t="s">
        <v>398</v>
      </c>
      <c r="H13" s="4">
        <f>IF(D13="","",COUNTIF(Productos!G:G,C13))</f>
        <v>0</v>
      </c>
      <c r="J13" s="89"/>
    </row>
    <row r="14">
      <c r="A14" s="2">
        <f t="shared" si="1"/>
        <v>13</v>
      </c>
      <c r="B14" s="2" t="s">
        <v>423</v>
      </c>
      <c r="C14" s="2" t="s">
        <v>424</v>
      </c>
      <c r="D14" s="1" t="s">
        <v>28</v>
      </c>
      <c r="E14" s="2">
        <v>2.0</v>
      </c>
      <c r="F14" s="2" t="s">
        <v>401</v>
      </c>
      <c r="G14" s="2" t="s">
        <v>402</v>
      </c>
      <c r="H14" s="4">
        <f>IF(D14="","",COUNTIF(Productos!G:G,C14))</f>
        <v>10</v>
      </c>
      <c r="J14" s="89"/>
    </row>
    <row r="15">
      <c r="A15" s="2">
        <f t="shared" si="1"/>
        <v>14</v>
      </c>
      <c r="B15" s="2" t="s">
        <v>425</v>
      </c>
      <c r="C15" s="2" t="s">
        <v>426</v>
      </c>
      <c r="D15" s="1" t="s">
        <v>28</v>
      </c>
      <c r="E15" s="2">
        <v>4.0</v>
      </c>
      <c r="F15" s="2" t="s">
        <v>401</v>
      </c>
      <c r="G15" s="2" t="s">
        <v>402</v>
      </c>
      <c r="H15" s="4">
        <f>IF(D15="","",COUNTIF(Productos!G:G,C15))</f>
        <v>6</v>
      </c>
      <c r="J15" s="89"/>
    </row>
    <row r="16">
      <c r="A16" s="2">
        <f t="shared" si="1"/>
        <v>15</v>
      </c>
      <c r="B16" s="2" t="s">
        <v>427</v>
      </c>
      <c r="C16" s="2" t="s">
        <v>428</v>
      </c>
      <c r="D16" s="1" t="s">
        <v>28</v>
      </c>
      <c r="E16" s="2">
        <v>1.0</v>
      </c>
      <c r="F16" s="2" t="s">
        <v>401</v>
      </c>
      <c r="G16" s="2" t="s">
        <v>402</v>
      </c>
      <c r="H16" s="4">
        <f>IF(D16="","",COUNTIF(Productos!G:G,C16))</f>
        <v>12</v>
      </c>
      <c r="J16" s="89"/>
    </row>
    <row r="17">
      <c r="A17" s="2">
        <f t="shared" si="1"/>
        <v>16</v>
      </c>
      <c r="B17" s="2" t="s">
        <v>429</v>
      </c>
      <c r="C17" s="2" t="s">
        <v>430</v>
      </c>
      <c r="D17" s="1" t="s">
        <v>28</v>
      </c>
      <c r="E17" s="2">
        <v>1.0</v>
      </c>
      <c r="F17" s="2" t="str">
        <f>IFERROR(__xludf.DUMMYFUNCTION("IF(E17="""","""",IF(COUNTIFS(D$1:D16,D17,E$1:E16,E17)&gt;0,INDEX(filter(F$1:F16,D$1:D16=D17,E$1:E16=E17),1),""Selecciona..""))"),"Y")</f>
        <v>Y</v>
      </c>
      <c r="G17" s="2" t="s">
        <v>402</v>
      </c>
      <c r="H17" s="4">
        <f>IF(D17="","",COUNTIF(Productos!G:G,C17))</f>
        <v>2</v>
      </c>
      <c r="J17" s="89"/>
    </row>
    <row r="18">
      <c r="A18" s="2">
        <f t="shared" si="1"/>
        <v>17</v>
      </c>
      <c r="B18" s="2" t="s">
        <v>431</v>
      </c>
      <c r="C18" s="2" t="s">
        <v>432</v>
      </c>
      <c r="D18" s="1" t="s">
        <v>28</v>
      </c>
      <c r="E18" s="2">
        <v>1.0</v>
      </c>
      <c r="F18" s="2" t="str">
        <f>IFERROR(__xludf.DUMMYFUNCTION("IF(E18="""","""",IF(COUNTIFS(D$1:D17,D18,E$1:E17,E18)&gt;0,INDEX(filter(F$1:F17,D$1:D17=D18,E$1:E17=E18),1),""Selecciona..""))"),"Y")</f>
        <v>Y</v>
      </c>
      <c r="G18" s="2" t="s">
        <v>402</v>
      </c>
      <c r="H18" s="4">
        <f>IF(D18="","",COUNTIF(Productos!G:G,C18))</f>
        <v>13</v>
      </c>
      <c r="J18" s="89"/>
    </row>
    <row r="19">
      <c r="A19" s="2">
        <f t="shared" si="1"/>
        <v>18</v>
      </c>
      <c r="B19" s="2" t="s">
        <v>433</v>
      </c>
      <c r="C19" s="2" t="s">
        <v>434</v>
      </c>
      <c r="D19" s="1" t="s">
        <v>364</v>
      </c>
      <c r="E19" s="2">
        <v>1.0</v>
      </c>
      <c r="F19" s="2" t="s">
        <v>397</v>
      </c>
      <c r="G19" s="2" t="s">
        <v>398</v>
      </c>
      <c r="H19" s="4">
        <f>IF(D19="","",COUNTIF(Productos!G:G,C19))</f>
        <v>2</v>
      </c>
      <c r="J19" s="89"/>
    </row>
    <row r="20">
      <c r="A20" s="2">
        <f t="shared" si="1"/>
        <v>19</v>
      </c>
      <c r="B20" s="2" t="s">
        <v>435</v>
      </c>
      <c r="C20" s="2" t="s">
        <v>436</v>
      </c>
      <c r="D20" s="1" t="s">
        <v>364</v>
      </c>
      <c r="E20" s="2">
        <v>3.0</v>
      </c>
      <c r="F20" s="2" t="s">
        <v>397</v>
      </c>
      <c r="G20" s="2" t="s">
        <v>402</v>
      </c>
      <c r="H20" s="4">
        <f>IF(D20="","",COUNTIF(Productos!G:G,C20))</f>
        <v>2</v>
      </c>
      <c r="J20" s="89"/>
    </row>
    <row r="21">
      <c r="A21" s="2">
        <f t="shared" si="1"/>
        <v>20</v>
      </c>
      <c r="B21" s="2" t="s">
        <v>437</v>
      </c>
      <c r="C21" s="2" t="s">
        <v>438</v>
      </c>
      <c r="D21" s="1" t="s">
        <v>364</v>
      </c>
      <c r="E21" s="2">
        <v>4.0</v>
      </c>
      <c r="F21" s="2" t="s">
        <v>401</v>
      </c>
      <c r="G21" s="2" t="s">
        <v>402</v>
      </c>
      <c r="H21" s="4">
        <f>IF(D21="","",COUNTIF(Productos!G:G,C21))</f>
        <v>1</v>
      </c>
      <c r="J21" s="89"/>
    </row>
    <row r="22">
      <c r="A22" s="2">
        <f t="shared" si="1"/>
        <v>21</v>
      </c>
      <c r="B22" s="2" t="s">
        <v>439</v>
      </c>
      <c r="C22" s="2" t="s">
        <v>440</v>
      </c>
      <c r="D22" s="1" t="s">
        <v>358</v>
      </c>
      <c r="E22" s="2">
        <v>1.0</v>
      </c>
      <c r="F22" s="2" t="s">
        <v>397</v>
      </c>
      <c r="G22" s="2" t="s">
        <v>398</v>
      </c>
      <c r="H22" s="4">
        <f>IF(D22="","",COUNTIF(Productos!G:G,C22))</f>
        <v>2</v>
      </c>
      <c r="J22" s="89"/>
    </row>
    <row r="23">
      <c r="A23" s="2">
        <f t="shared" si="1"/>
        <v>22</v>
      </c>
      <c r="B23" s="2" t="s">
        <v>441</v>
      </c>
      <c r="C23" s="2" t="s">
        <v>442</v>
      </c>
      <c r="D23" s="1" t="s">
        <v>373</v>
      </c>
      <c r="E23" s="2">
        <v>1.0</v>
      </c>
      <c r="F23" s="2" t="s">
        <v>397</v>
      </c>
      <c r="G23" s="2" t="s">
        <v>398</v>
      </c>
      <c r="H23" s="4">
        <f>IF(D23="","",COUNTIF(Productos!G:G,C23))</f>
        <v>1</v>
      </c>
      <c r="J23" s="89"/>
    </row>
    <row r="24">
      <c r="A24" s="2">
        <f t="shared" si="1"/>
        <v>23</v>
      </c>
      <c r="B24" s="2" t="s">
        <v>443</v>
      </c>
      <c r="C24" s="2" t="s">
        <v>376</v>
      </c>
      <c r="D24" s="1" t="s">
        <v>376</v>
      </c>
      <c r="E24" s="2">
        <v>1.0</v>
      </c>
      <c r="F24" s="2" t="s">
        <v>397</v>
      </c>
      <c r="G24" s="2" t="s">
        <v>398</v>
      </c>
      <c r="H24" s="4">
        <f>IF(D24="","",COUNTIF(Productos!G:G,C24))</f>
        <v>2</v>
      </c>
      <c r="J24" s="89"/>
    </row>
    <row r="25">
      <c r="A25" s="2">
        <f t="shared" si="1"/>
        <v>24</v>
      </c>
      <c r="B25" s="2" t="s">
        <v>444</v>
      </c>
      <c r="C25" s="2" t="s">
        <v>118</v>
      </c>
      <c r="D25" s="1" t="s">
        <v>387</v>
      </c>
      <c r="E25" s="2">
        <v>1.0</v>
      </c>
      <c r="F25" s="2" t="s">
        <v>397</v>
      </c>
      <c r="G25" s="2" t="s">
        <v>398</v>
      </c>
      <c r="H25" s="4">
        <f>IF(D25="","",COUNTIF(Productos!G:G,C25))</f>
        <v>8</v>
      </c>
      <c r="J25" s="89"/>
    </row>
    <row r="26">
      <c r="A26" s="2">
        <f t="shared" si="1"/>
        <v>25</v>
      </c>
      <c r="B26" s="2" t="s">
        <v>445</v>
      </c>
      <c r="C26" s="2" t="s">
        <v>119</v>
      </c>
      <c r="D26" s="1" t="s">
        <v>387</v>
      </c>
      <c r="E26" s="2">
        <v>2.0</v>
      </c>
      <c r="F26" s="2" t="s">
        <v>397</v>
      </c>
      <c r="G26" s="2" t="s">
        <v>398</v>
      </c>
      <c r="H26" s="4">
        <f>IF(D26="","",COUNTIF(Productos!G:G,C26))</f>
        <v>10</v>
      </c>
      <c r="J26" s="89"/>
    </row>
    <row r="27">
      <c r="A27" s="2">
        <f t="shared" si="1"/>
        <v>26</v>
      </c>
      <c r="B27" s="2" t="s">
        <v>446</v>
      </c>
      <c r="C27" s="2" t="s">
        <v>98</v>
      </c>
      <c r="D27" s="1" t="s">
        <v>387</v>
      </c>
      <c r="E27" s="2">
        <v>3.0</v>
      </c>
      <c r="F27" s="2" t="s">
        <v>397</v>
      </c>
      <c r="G27" s="2" t="s">
        <v>398</v>
      </c>
      <c r="H27" s="4">
        <f>IF(D27="","",COUNTIF(Productos!G:G,C27))</f>
        <v>8</v>
      </c>
      <c r="J27" s="89"/>
    </row>
    <row r="28">
      <c r="A28" s="2">
        <f t="shared" si="1"/>
        <v>27</v>
      </c>
      <c r="B28" s="4"/>
      <c r="C28" s="2" t="s">
        <v>447</v>
      </c>
      <c r="D28" s="1" t="s">
        <v>358</v>
      </c>
      <c r="E28" s="2">
        <v>2.0</v>
      </c>
      <c r="F28" s="2" t="s">
        <v>401</v>
      </c>
      <c r="G28" s="2" t="s">
        <v>402</v>
      </c>
      <c r="H28" s="4">
        <f>IF(D28="","",COUNTIF(Productos!G:G,C28))</f>
        <v>5</v>
      </c>
      <c r="J28" s="89"/>
    </row>
    <row r="29">
      <c r="A29" s="2">
        <f t="shared" si="1"/>
        <v>28</v>
      </c>
      <c r="B29" s="4"/>
      <c r="C29" s="2" t="s">
        <v>448</v>
      </c>
      <c r="D29" s="1" t="s">
        <v>373</v>
      </c>
      <c r="E29" s="2">
        <v>3.0</v>
      </c>
      <c r="F29" s="2" t="s">
        <v>401</v>
      </c>
      <c r="G29" s="2" t="s">
        <v>402</v>
      </c>
      <c r="H29" s="4">
        <f>IF(D29="","",COUNTIF(Productos!G:G,C29))</f>
        <v>2</v>
      </c>
      <c r="J29" s="89"/>
    </row>
    <row r="30">
      <c r="A30" s="2">
        <f t="shared" si="1"/>
        <v>29</v>
      </c>
      <c r="B30" s="4"/>
      <c r="C30" s="2" t="s">
        <v>449</v>
      </c>
      <c r="D30" s="1" t="s">
        <v>376</v>
      </c>
      <c r="E30" s="2">
        <v>2.0</v>
      </c>
      <c r="F30" s="2" t="s">
        <v>397</v>
      </c>
      <c r="G30" s="2" t="s">
        <v>402</v>
      </c>
      <c r="H30" s="4">
        <f>IF(D30="","",COUNTIF(Productos!G:G,C30))</f>
        <v>3</v>
      </c>
      <c r="J30" s="89"/>
    </row>
    <row r="31">
      <c r="A31" s="2">
        <f t="shared" si="1"/>
        <v>30</v>
      </c>
      <c r="B31" s="4"/>
      <c r="C31" s="2" t="s">
        <v>450</v>
      </c>
      <c r="D31" s="1" t="s">
        <v>376</v>
      </c>
      <c r="E31" s="2">
        <v>3.0</v>
      </c>
      <c r="F31" s="2" t="s">
        <v>401</v>
      </c>
      <c r="G31" s="2" t="s">
        <v>402</v>
      </c>
      <c r="H31" s="4">
        <f>IF(D31="","",COUNTIF(Productos!G:G,C31))</f>
        <v>3</v>
      </c>
      <c r="J31" s="89"/>
    </row>
    <row r="32">
      <c r="A32" s="2">
        <f t="shared" si="1"/>
        <v>31</v>
      </c>
      <c r="B32" s="4"/>
      <c r="C32" s="2" t="s">
        <v>451</v>
      </c>
      <c r="D32" s="1" t="s">
        <v>364</v>
      </c>
      <c r="E32" s="2">
        <v>2.0</v>
      </c>
      <c r="F32" s="2" t="s">
        <v>397</v>
      </c>
      <c r="G32" s="2" t="s">
        <v>398</v>
      </c>
      <c r="H32" s="4">
        <f>IF(D32="","",COUNTIF(Productos!G:G,C32))</f>
        <v>4</v>
      </c>
      <c r="J32" s="89"/>
    </row>
    <row r="33">
      <c r="A33" s="2" t="str">
        <f t="shared" si="1"/>
        <v/>
      </c>
      <c r="B33" s="4"/>
      <c r="C33" s="4"/>
      <c r="D33" s="3" t="str">
        <f t="shared" ref="D33:D1007" si="2">IF(C33="","","Selecciona..")</f>
        <v/>
      </c>
      <c r="E33" s="4"/>
      <c r="F33" s="2" t="str">
        <f>IFERROR(__xludf.DUMMYFUNCTION("IF(E33="""","""",IF(COUNTIFS(D$1:D32,D33,E$1:E32,E33)&gt;0,INDEX(filter(F$1:F32,D$1:D32=D33,E$1:E32=E33),1),""Selecciona..""))"),"")</f>
        <v/>
      </c>
      <c r="G33" s="2" t="str">
        <f>IFERROR(__xludf.DUMMYFUNCTION("IF($E33="""","""",IF(COUNTIFS($D$1:$D32,$D33,$E$1:$E32,$E33)&gt;0,INDEX(filter(G$1:G32,$D$1:$D32=$D33,$E$1:$E32=E33),1),""Selecciona..""))"),"")</f>
        <v/>
      </c>
      <c r="H33" s="4" t="str">
        <f>IF(D33="","",COUNTIF(Productos!G:G,C33))</f>
        <v/>
      </c>
      <c r="J33" s="90"/>
    </row>
    <row r="34">
      <c r="A34" s="2" t="str">
        <f t="shared" si="1"/>
        <v/>
      </c>
      <c r="B34" s="4"/>
      <c r="C34" s="4"/>
      <c r="D34" s="3" t="str">
        <f t="shared" si="2"/>
        <v/>
      </c>
      <c r="E34" s="4"/>
      <c r="F34" s="2" t="str">
        <f>IFERROR(__xludf.DUMMYFUNCTION("IF(E34="""","""",IF(COUNTIFS(D$1:D33,D34,E$1:E33,E34)&gt;0,INDEX(filter(F$1:F33,D$1:D33=D34,E$1:E33=E34),1),""Selecciona..""))"),"")</f>
        <v/>
      </c>
      <c r="G34" s="2" t="str">
        <f>IFERROR(__xludf.DUMMYFUNCTION("IF($E34="""","""",IF(COUNTIFS($D$1:$D33,$D34,$E$1:$E33,$E34)&gt;0,INDEX(filter(G$1:G33,$D$1:$D33=$D34,$E$1:$E33=E34),1),""Selecciona..""))"),"")</f>
        <v/>
      </c>
      <c r="H34" s="4" t="str">
        <f>IF(D34="","",COUNTIF(Productos!G:G,C34))</f>
        <v/>
      </c>
      <c r="J34" s="90"/>
    </row>
    <row r="35">
      <c r="A35" s="2" t="str">
        <f t="shared" si="1"/>
        <v/>
      </c>
      <c r="B35" s="4"/>
      <c r="C35" s="4"/>
      <c r="D35" s="3" t="str">
        <f t="shared" si="2"/>
        <v/>
      </c>
      <c r="E35" s="4"/>
      <c r="F35" s="2" t="str">
        <f>IFERROR(__xludf.DUMMYFUNCTION("IF(E35="""","""",IF(COUNTIFS(D$1:D34,D35,E$1:E34,E35)&gt;0,INDEX(filter(F$1:F34,D$1:D34=D35,E$1:E34=E35),1),""Selecciona..""))"),"")</f>
        <v/>
      </c>
      <c r="G35" s="2" t="str">
        <f>IFERROR(__xludf.DUMMYFUNCTION("IF($E35="""","""",IF(COUNTIFS($D$1:$D34,$D35,$E$1:$E34,$E35)&gt;0,INDEX(filter(G$1:G34,$D$1:$D34=$D35,$E$1:$E34=E35),1),""Selecciona..""))"),"")</f>
        <v/>
      </c>
      <c r="H35" s="4" t="str">
        <f>IF(D35="","",COUNTIF(Productos!G:G,C35))</f>
        <v/>
      </c>
      <c r="J35" s="90"/>
    </row>
    <row r="36">
      <c r="A36" s="2" t="str">
        <f t="shared" si="1"/>
        <v/>
      </c>
      <c r="B36" s="4"/>
      <c r="C36" s="4"/>
      <c r="D36" s="3" t="str">
        <f t="shared" si="2"/>
        <v/>
      </c>
      <c r="E36" s="4"/>
      <c r="F36" s="2" t="str">
        <f>IFERROR(__xludf.DUMMYFUNCTION("IF(E36="""","""",IF(COUNTIFS(D$1:D35,D36,E$1:E35,E36)&gt;0,INDEX(filter(F$1:F35,D$1:D35=D36,E$1:E35=E36),1),""Selecciona..""))"),"")</f>
        <v/>
      </c>
      <c r="G36" s="2" t="str">
        <f>IFERROR(__xludf.DUMMYFUNCTION("IF($E36="""","""",IF(COUNTIFS($D$1:$D35,$D36,$E$1:$E35,$E36)&gt;0,INDEX(filter(G$1:G35,$D$1:$D35=$D36,$E$1:$E35=E36),1),""Selecciona..""))"),"")</f>
        <v/>
      </c>
      <c r="H36" s="4" t="str">
        <f>IF(D36="","",COUNTIF(Productos!G:G,C36))</f>
        <v/>
      </c>
      <c r="J36" s="90"/>
    </row>
    <row r="37">
      <c r="A37" s="2" t="str">
        <f t="shared" si="1"/>
        <v/>
      </c>
      <c r="B37" s="4"/>
      <c r="C37" s="4"/>
      <c r="D37" s="3" t="str">
        <f t="shared" si="2"/>
        <v/>
      </c>
      <c r="E37" s="4"/>
      <c r="F37" s="2" t="str">
        <f>IFERROR(__xludf.DUMMYFUNCTION("IF(E37="""","""",IF(COUNTIFS(D$1:D36,D37,E$1:E36,E37)&gt;0,INDEX(filter(F$1:F36,D$1:D36=D37,E$1:E36=E37),1),""Selecciona..""))"),"")</f>
        <v/>
      </c>
      <c r="G37" s="2" t="str">
        <f>IFERROR(__xludf.DUMMYFUNCTION("IF($E37="""","""",IF(COUNTIFS($D$1:$D36,$D37,$E$1:$E36,$E37)&gt;0,INDEX(filter(G$1:G36,$D$1:$D36=$D37,$E$1:$E36=E37),1),""Selecciona..""))"),"")</f>
        <v/>
      </c>
      <c r="H37" s="4" t="str">
        <f>IF(D37="","",COUNTIF(Productos!G:G,C37))</f>
        <v/>
      </c>
      <c r="J37" s="90"/>
    </row>
    <row r="38">
      <c r="A38" s="2" t="str">
        <f t="shared" si="1"/>
        <v/>
      </c>
      <c r="B38" s="4"/>
      <c r="C38" s="4"/>
      <c r="D38" s="3" t="str">
        <f t="shared" si="2"/>
        <v/>
      </c>
      <c r="E38" s="4"/>
      <c r="F38" s="2" t="str">
        <f>IFERROR(__xludf.DUMMYFUNCTION("IF(E38="""","""",IF(COUNTIFS(D$1:D37,D38,E$1:E37,E38)&gt;0,INDEX(filter(F$1:F37,D$1:D37=D38,E$1:E37=E38),1),""Selecciona..""))"),"")</f>
        <v/>
      </c>
      <c r="G38" s="2" t="str">
        <f>IFERROR(__xludf.DUMMYFUNCTION("IF($E38="""","""",IF(COUNTIFS($D$1:$D37,$D38,$E$1:$E37,$E38)&gt;0,INDEX(filter(G$1:G37,$D$1:$D37=$D38,$E$1:$E37=E38),1),""Selecciona..""))"),"")</f>
        <v/>
      </c>
      <c r="H38" s="4" t="str">
        <f>IF(D38="","",COUNTIF(Productos!G:G,C38))</f>
        <v/>
      </c>
      <c r="J38" s="90"/>
    </row>
    <row r="39">
      <c r="A39" s="2" t="str">
        <f t="shared" si="1"/>
        <v/>
      </c>
      <c r="B39" s="4"/>
      <c r="C39" s="4"/>
      <c r="D39" s="3" t="str">
        <f t="shared" si="2"/>
        <v/>
      </c>
      <c r="E39" s="4"/>
      <c r="F39" s="2" t="str">
        <f>IFERROR(__xludf.DUMMYFUNCTION("IF(E39="""","""",IF(COUNTIFS(D$1:D38,D39,E$1:E38,E39)&gt;0,INDEX(filter(F$1:F38,D$1:D38=D39,E$1:E38=E39),1),""Selecciona..""))"),"")</f>
        <v/>
      </c>
      <c r="G39" s="2" t="str">
        <f>IFERROR(__xludf.DUMMYFUNCTION("IF($E39="""","""",IF(COUNTIFS($D$1:$D38,$D39,$E$1:$E38,$E39)&gt;0,INDEX(filter(G$1:G38,$D$1:$D38=$D39,$E$1:$E38=E39),1),""Selecciona..""))"),"")</f>
        <v/>
      </c>
      <c r="H39" s="4" t="str">
        <f>IF(D39="","",COUNTIF(Productos!G:G,C39))</f>
        <v/>
      </c>
      <c r="J39" s="90"/>
    </row>
    <row r="40">
      <c r="A40" s="2" t="str">
        <f t="shared" si="1"/>
        <v/>
      </c>
      <c r="B40" s="4"/>
      <c r="C40" s="4"/>
      <c r="D40" s="3" t="str">
        <f t="shared" si="2"/>
        <v/>
      </c>
      <c r="E40" s="4"/>
      <c r="F40" s="2" t="str">
        <f>IFERROR(__xludf.DUMMYFUNCTION("IF(E40="""","""",IF(COUNTIFS(D$1:D39,D40,E$1:E39,E40)&gt;0,INDEX(filter(F$1:F39,D$1:D39=D40,E$1:E39=E40),1),""Selecciona..""))"),"")</f>
        <v/>
      </c>
      <c r="G40" s="2" t="str">
        <f>IFERROR(__xludf.DUMMYFUNCTION("IF($E40="""","""",IF(COUNTIFS($D$1:$D39,$D40,$E$1:$E39,$E40)&gt;0,INDEX(filter(G$1:G39,$D$1:$D39=$D40,$E$1:$E39=E40),1),""Selecciona..""))"),"")</f>
        <v/>
      </c>
      <c r="H40" s="4" t="str">
        <f>IF(D40="","",COUNTIF(Productos!G:G,C40))</f>
        <v/>
      </c>
      <c r="J40" s="90"/>
    </row>
    <row r="41">
      <c r="A41" s="2" t="str">
        <f t="shared" si="1"/>
        <v/>
      </c>
      <c r="B41" s="4"/>
      <c r="C41" s="4"/>
      <c r="D41" s="3" t="str">
        <f t="shared" si="2"/>
        <v/>
      </c>
      <c r="E41" s="4"/>
      <c r="F41" s="2" t="str">
        <f>IFERROR(__xludf.DUMMYFUNCTION("IF(E41="""","""",IF(COUNTIFS(D$1:D40,D41,E$1:E40,E41)&gt;0,INDEX(filter(F$1:F40,D$1:D40=D41,E$1:E40=E41),1),""Selecciona..""))"),"")</f>
        <v/>
      </c>
      <c r="G41" s="2" t="str">
        <f>IFERROR(__xludf.DUMMYFUNCTION("IF($E41="""","""",IF(COUNTIFS($D$1:$D40,$D41,$E$1:$E40,$E41)&gt;0,INDEX(filter(G$1:G40,$D$1:$D40=$D41,$E$1:$E40=E41),1),""Selecciona..""))"),"")</f>
        <v/>
      </c>
      <c r="H41" s="4" t="str">
        <f>IF(D41="","",COUNTIF(Productos!G:G,C41))</f>
        <v/>
      </c>
      <c r="J41" s="90"/>
    </row>
    <row r="42">
      <c r="A42" s="2" t="str">
        <f t="shared" si="1"/>
        <v/>
      </c>
      <c r="B42" s="4"/>
      <c r="C42" s="4"/>
      <c r="D42" s="3" t="str">
        <f t="shared" si="2"/>
        <v/>
      </c>
      <c r="E42" s="4"/>
      <c r="F42" s="2" t="str">
        <f>IFERROR(__xludf.DUMMYFUNCTION("IF(E42="""","""",IF(COUNTIFS(D$1:D41,D42,E$1:E41,E42)&gt;0,INDEX(filter(F$1:F41,D$1:D41=D42,E$1:E41=E42),1),""Selecciona..""))"),"")</f>
        <v/>
      </c>
      <c r="G42" s="2" t="str">
        <f>IFERROR(__xludf.DUMMYFUNCTION("IF($E42="""","""",IF(COUNTIFS($D$1:$D41,$D42,$E$1:$E41,$E42)&gt;0,INDEX(filter(G$1:G41,$D$1:$D41=$D42,$E$1:$E41=E42),1),""Selecciona..""))"),"")</f>
        <v/>
      </c>
      <c r="H42" s="4" t="str">
        <f>IF(D42="","",COUNTIF(Productos!G:G,C42))</f>
        <v/>
      </c>
      <c r="J42" s="90"/>
    </row>
    <row r="43">
      <c r="A43" s="2" t="str">
        <f t="shared" si="1"/>
        <v/>
      </c>
      <c r="B43" s="4"/>
      <c r="C43" s="4"/>
      <c r="D43" s="3" t="str">
        <f t="shared" si="2"/>
        <v/>
      </c>
      <c r="E43" s="4"/>
      <c r="F43" s="2" t="str">
        <f>IFERROR(__xludf.DUMMYFUNCTION("IF(E43="""","""",IF(COUNTIFS(D$1:D42,D43,E$1:E42,E43)&gt;0,INDEX(filter(F$1:F42,D$1:D42=D43,E$1:E42=E43),1),""Selecciona..""))"),"")</f>
        <v/>
      </c>
      <c r="G43" s="2" t="str">
        <f>IFERROR(__xludf.DUMMYFUNCTION("IF($E43="""","""",IF(COUNTIFS($D$1:$D42,$D43,$E$1:$E42,$E43)&gt;0,INDEX(filter(G$1:G42,$D$1:$D42=$D43,$E$1:$E42=E43),1),""Selecciona..""))"),"")</f>
        <v/>
      </c>
      <c r="H43" s="4" t="str">
        <f>IF(D43="","",COUNTIF(Productos!G:G,C43))</f>
        <v/>
      </c>
      <c r="J43" s="90"/>
    </row>
    <row r="44">
      <c r="A44" s="2" t="str">
        <f t="shared" si="1"/>
        <v/>
      </c>
      <c r="B44" s="4"/>
      <c r="C44" s="4"/>
      <c r="D44" s="3" t="str">
        <f t="shared" si="2"/>
        <v/>
      </c>
      <c r="E44" s="4"/>
      <c r="F44" s="2" t="str">
        <f>IFERROR(__xludf.DUMMYFUNCTION("IF(E44="""","""",IF(COUNTIFS(D$1:D43,D44,E$1:E43,E44)&gt;0,INDEX(filter(F$1:F43,D$1:D43=D44,E$1:E43=E44),1),""Selecciona..""))"),"")</f>
        <v/>
      </c>
      <c r="G44" s="2" t="str">
        <f>IFERROR(__xludf.DUMMYFUNCTION("IF($E44="""","""",IF(COUNTIFS($D$1:$D43,$D44,$E$1:$E43,$E44)&gt;0,INDEX(filter(G$1:G43,$D$1:$D43=$D44,$E$1:$E43=E44),1),""Selecciona..""))"),"")</f>
        <v/>
      </c>
      <c r="H44" s="4" t="str">
        <f>IF(D44="","",COUNTIF(Productos!G:G,C44))</f>
        <v/>
      </c>
      <c r="J44" s="90"/>
    </row>
    <row r="45">
      <c r="A45" s="2" t="str">
        <f t="shared" si="1"/>
        <v/>
      </c>
      <c r="B45" s="4"/>
      <c r="C45" s="4"/>
      <c r="D45" s="3" t="str">
        <f t="shared" si="2"/>
        <v/>
      </c>
      <c r="E45" s="4"/>
      <c r="F45" s="2" t="str">
        <f>IFERROR(__xludf.DUMMYFUNCTION("IF(E45="""","""",IF(COUNTIFS(D$1:D44,D45,E$1:E44,E45)&gt;0,INDEX(filter(F$1:F44,D$1:D44=D45,E$1:E44=E45),1),""Selecciona..""))"),"")</f>
        <v/>
      </c>
      <c r="G45" s="2" t="str">
        <f>IFERROR(__xludf.DUMMYFUNCTION("IF($E45="""","""",IF(COUNTIFS($D$1:$D44,$D45,$E$1:$E44,$E45)&gt;0,INDEX(filter(G$1:G44,$D$1:$D44=$D45,$E$1:$E44=E45),1),""Selecciona..""))"),"")</f>
        <v/>
      </c>
      <c r="H45" s="4" t="str">
        <f>IF(D45="","",COUNTIF(Productos!G:G,C45))</f>
        <v/>
      </c>
      <c r="J45" s="90"/>
    </row>
    <row r="46">
      <c r="A46" s="2" t="str">
        <f t="shared" si="1"/>
        <v/>
      </c>
      <c r="B46" s="4"/>
      <c r="C46" s="4"/>
      <c r="D46" s="3" t="str">
        <f t="shared" si="2"/>
        <v/>
      </c>
      <c r="E46" s="4"/>
      <c r="F46" s="2" t="str">
        <f>IFERROR(__xludf.DUMMYFUNCTION("IF(E46="""","""",IF(COUNTIFS(D$1:D45,D46,E$1:E45,E46)&gt;0,INDEX(filter(F$1:F45,D$1:D45=D46,E$1:E45=E46),1),""Selecciona..""))"),"")</f>
        <v/>
      </c>
      <c r="G46" s="2" t="str">
        <f>IFERROR(__xludf.DUMMYFUNCTION("IF($E46="""","""",IF(COUNTIFS($D$1:$D45,$D46,$E$1:$E45,$E46)&gt;0,INDEX(filter(G$1:G45,$D$1:$D45=$D46,$E$1:$E45=E46),1),""Selecciona..""))"),"")</f>
        <v/>
      </c>
      <c r="H46" s="4" t="str">
        <f>IF(D46="","",COUNTIF(Productos!G:G,C46))</f>
        <v/>
      </c>
      <c r="J46" s="90"/>
    </row>
    <row r="47">
      <c r="A47" s="2" t="str">
        <f t="shared" si="1"/>
        <v/>
      </c>
      <c r="B47" s="4"/>
      <c r="C47" s="4"/>
      <c r="D47" s="3" t="str">
        <f t="shared" si="2"/>
        <v/>
      </c>
      <c r="E47" s="4"/>
      <c r="F47" s="2" t="str">
        <f>IFERROR(__xludf.DUMMYFUNCTION("IF(E47="""","""",IF(COUNTIFS(D$1:D46,D47,E$1:E46,E47)&gt;0,INDEX(filter(F$1:F46,D$1:D46=D47,E$1:E46=E47),1),""Selecciona..""))"),"")</f>
        <v/>
      </c>
      <c r="G47" s="2" t="str">
        <f>IFERROR(__xludf.DUMMYFUNCTION("IF($E47="""","""",IF(COUNTIFS($D$1:$D46,$D47,$E$1:$E46,$E47)&gt;0,INDEX(filter(G$1:G46,$D$1:$D46=$D47,$E$1:$E46=E47),1),""Selecciona..""))"),"")</f>
        <v/>
      </c>
      <c r="H47" s="4" t="str">
        <f>IF(D47="","",COUNTIF(Productos!G:G,C47))</f>
        <v/>
      </c>
      <c r="J47" s="90"/>
    </row>
    <row r="48">
      <c r="A48" s="2" t="str">
        <f t="shared" si="1"/>
        <v/>
      </c>
      <c r="B48" s="4"/>
      <c r="C48" s="4"/>
      <c r="D48" s="3" t="str">
        <f t="shared" si="2"/>
        <v/>
      </c>
      <c r="E48" s="4"/>
      <c r="F48" s="2" t="str">
        <f>IFERROR(__xludf.DUMMYFUNCTION("IF(E48="""","""",IF(COUNTIFS(D$1:D47,D48,E$1:E47,E48)&gt;0,INDEX(filter(F$1:F47,D$1:D47=D48,E$1:E47=E48),1),""Selecciona..""))"),"")</f>
        <v/>
      </c>
      <c r="G48" s="2" t="str">
        <f>IFERROR(__xludf.DUMMYFUNCTION("IF($E48="""","""",IF(COUNTIFS($D$1:$D47,$D48,$E$1:$E47,$E48)&gt;0,INDEX(filter(G$1:G47,$D$1:$D47=$D48,$E$1:$E47=E48),1),""Selecciona..""))"),"")</f>
        <v/>
      </c>
      <c r="H48" s="4" t="str">
        <f>IF(D48="","",COUNTIF(Productos!G:G,C48))</f>
        <v/>
      </c>
      <c r="J48" s="90"/>
    </row>
    <row r="49">
      <c r="A49" s="2" t="str">
        <f t="shared" si="1"/>
        <v/>
      </c>
      <c r="B49" s="4"/>
      <c r="C49" s="4"/>
      <c r="D49" s="3" t="str">
        <f t="shared" si="2"/>
        <v/>
      </c>
      <c r="E49" s="4"/>
      <c r="F49" s="2" t="str">
        <f>IFERROR(__xludf.DUMMYFUNCTION("IF(E49="""","""",IF(COUNTIFS(D$1:D48,D49,E$1:E48,E49)&gt;0,INDEX(filter(F$1:F48,D$1:D48=D49,E$1:E48=E49),1),""Selecciona..""))"),"")</f>
        <v/>
      </c>
      <c r="G49" s="2" t="str">
        <f>IFERROR(__xludf.DUMMYFUNCTION("IF($E49="""","""",IF(COUNTIFS($D$1:$D48,$D49,$E$1:$E48,$E49)&gt;0,INDEX(filter(G$1:G48,$D$1:$D48=$D49,$E$1:$E48=E49),1),""Selecciona..""))"),"")</f>
        <v/>
      </c>
      <c r="H49" s="4" t="str">
        <f>IF(D49="","",COUNTIF(Productos!G:G,C49))</f>
        <v/>
      </c>
      <c r="J49" s="90"/>
    </row>
    <row r="50">
      <c r="A50" s="2" t="str">
        <f t="shared" si="1"/>
        <v/>
      </c>
      <c r="B50" s="4"/>
      <c r="C50" s="4"/>
      <c r="D50" s="3" t="str">
        <f t="shared" si="2"/>
        <v/>
      </c>
      <c r="E50" s="4"/>
      <c r="F50" s="2" t="str">
        <f>IFERROR(__xludf.DUMMYFUNCTION("IF(E50="""","""",IF(COUNTIFS(D$1:D49,D50,E$1:E49,E50)&gt;0,INDEX(filter(F$1:F49,D$1:D49=D50,E$1:E49=E50),1),""Selecciona..""))"),"")</f>
        <v/>
      </c>
      <c r="G50" s="2" t="str">
        <f>IFERROR(__xludf.DUMMYFUNCTION("IF($E50="""","""",IF(COUNTIFS($D$1:$D49,$D50,$E$1:$E49,$E50)&gt;0,INDEX(filter(G$1:G49,$D$1:$D49=$D50,$E$1:$E49=E50),1),""Selecciona..""))"),"")</f>
        <v/>
      </c>
      <c r="H50" s="4" t="str">
        <f>IF(D50="","",COUNTIF(Productos!G:G,C50))</f>
        <v/>
      </c>
      <c r="J50" s="90"/>
    </row>
    <row r="51">
      <c r="A51" s="2" t="str">
        <f t="shared" si="1"/>
        <v/>
      </c>
      <c r="B51" s="4"/>
      <c r="C51" s="4"/>
      <c r="D51" s="3" t="str">
        <f t="shared" si="2"/>
        <v/>
      </c>
      <c r="E51" s="4"/>
      <c r="F51" s="2" t="str">
        <f>IFERROR(__xludf.DUMMYFUNCTION("IF(E51="""","""",IF(COUNTIFS(D$1:D50,D51,E$1:E50,E51)&gt;0,INDEX(filter(F$1:F50,D$1:D50=D51,E$1:E50=E51),1),""Selecciona..""))"),"")</f>
        <v/>
      </c>
      <c r="G51" s="2" t="str">
        <f>IFERROR(__xludf.DUMMYFUNCTION("IF($E51="""","""",IF(COUNTIFS($D$1:$D50,$D51,$E$1:$E50,$E51)&gt;0,INDEX(filter(G$1:G50,$D$1:$D50=$D51,$E$1:$E50=E51),1),""Selecciona..""))"),"")</f>
        <v/>
      </c>
      <c r="H51" s="4" t="str">
        <f>IF(D51="","",COUNTIF(Productos!G:G,C51))</f>
        <v/>
      </c>
      <c r="J51" s="90"/>
    </row>
    <row r="52">
      <c r="A52" s="2" t="str">
        <f t="shared" si="1"/>
        <v/>
      </c>
      <c r="B52" s="4"/>
      <c r="C52" s="4"/>
      <c r="D52" s="3" t="str">
        <f t="shared" si="2"/>
        <v/>
      </c>
      <c r="E52" s="4"/>
      <c r="F52" s="2" t="str">
        <f>IFERROR(__xludf.DUMMYFUNCTION("IF(E52="""","""",IF(COUNTIFS(D$1:D51,D52,E$1:E51,E52)&gt;0,INDEX(filter(F$1:F51,D$1:D51=D52,E$1:E51=E52),1),""Selecciona..""))"),"")</f>
        <v/>
      </c>
      <c r="G52" s="2" t="str">
        <f>IFERROR(__xludf.DUMMYFUNCTION("IF($E52="""","""",IF(COUNTIFS($D$1:$D51,$D52,$E$1:$E51,$E52)&gt;0,INDEX(filter(G$1:G51,$D$1:$D51=$D52,$E$1:$E51=E52),1),""Selecciona..""))"),"")</f>
        <v/>
      </c>
      <c r="H52" s="4" t="str">
        <f>IF(D52="","",COUNTIF(Productos!G:G,C52))</f>
        <v/>
      </c>
      <c r="J52" s="90"/>
    </row>
    <row r="53">
      <c r="A53" s="2" t="str">
        <f t="shared" si="1"/>
        <v/>
      </c>
      <c r="B53" s="4"/>
      <c r="C53" s="4"/>
      <c r="D53" s="3" t="str">
        <f t="shared" si="2"/>
        <v/>
      </c>
      <c r="E53" s="4"/>
      <c r="F53" s="2" t="str">
        <f>IFERROR(__xludf.DUMMYFUNCTION("IF(E53="""","""",IF(COUNTIFS(D$1:D52,D53,E$1:E52,E53)&gt;0,INDEX(filter(F$1:F52,D$1:D52=D53,E$1:E52=E53),1),""Selecciona..""))"),"")</f>
        <v/>
      </c>
      <c r="G53" s="2" t="str">
        <f>IFERROR(__xludf.DUMMYFUNCTION("IF($E53="""","""",IF(COUNTIFS($D$1:$D52,$D53,$E$1:$E52,$E53)&gt;0,INDEX(filter(G$1:G52,$D$1:$D52=$D53,$E$1:$E52=E53),1),""Selecciona..""))"),"")</f>
        <v/>
      </c>
      <c r="H53" s="4" t="str">
        <f>IF(D53="","",COUNTIF(Productos!G:G,C53))</f>
        <v/>
      </c>
      <c r="J53" s="90"/>
    </row>
    <row r="54">
      <c r="A54" s="2" t="str">
        <f t="shared" si="1"/>
        <v/>
      </c>
      <c r="B54" s="4"/>
      <c r="C54" s="4"/>
      <c r="D54" s="3" t="str">
        <f t="shared" si="2"/>
        <v/>
      </c>
      <c r="E54" s="4"/>
      <c r="F54" s="2" t="str">
        <f>IFERROR(__xludf.DUMMYFUNCTION("IF(E54="""","""",IF(COUNTIFS(D$1:D53,D54,E$1:E53,E54)&gt;0,INDEX(filter(F$1:F53,D$1:D53=D54,E$1:E53=E54),1),""Selecciona..""))"),"")</f>
        <v/>
      </c>
      <c r="G54" s="2" t="str">
        <f>IFERROR(__xludf.DUMMYFUNCTION("IF($E54="""","""",IF(COUNTIFS($D$1:$D53,$D54,$E$1:$E53,$E54)&gt;0,INDEX(filter(G$1:G53,$D$1:$D53=$D54,$E$1:$E53=E54),1),""Selecciona..""))"),"")</f>
        <v/>
      </c>
      <c r="H54" s="4" t="str">
        <f>IF(D54="","",COUNTIF(Productos!G:G,C54))</f>
        <v/>
      </c>
      <c r="J54" s="90"/>
    </row>
    <row r="55">
      <c r="A55" s="2" t="str">
        <f t="shared" si="1"/>
        <v/>
      </c>
      <c r="B55" s="4"/>
      <c r="C55" s="4"/>
      <c r="D55" s="3" t="str">
        <f t="shared" si="2"/>
        <v/>
      </c>
      <c r="E55" s="4"/>
      <c r="F55" s="2" t="str">
        <f>IFERROR(__xludf.DUMMYFUNCTION("IF(E55="""","""",IF(COUNTIFS(D$1:D54,D55,E$1:E54,E55)&gt;0,INDEX(filter(F$1:F54,D$1:D54=D55,E$1:E54=E55),1),""Selecciona..""))"),"")</f>
        <v/>
      </c>
      <c r="G55" s="2" t="str">
        <f>IFERROR(__xludf.DUMMYFUNCTION("IF($E55="""","""",IF(COUNTIFS($D$1:$D54,$D55,$E$1:$E54,$E55)&gt;0,INDEX(filter(G$1:G54,$D$1:$D54=$D55,$E$1:$E54=E55),1),""Selecciona..""))"),"")</f>
        <v/>
      </c>
      <c r="H55" s="4" t="str">
        <f>IF(D55="","",COUNTIF(Productos!G:G,C55))</f>
        <v/>
      </c>
      <c r="J55" s="90"/>
    </row>
    <row r="56">
      <c r="A56" s="2" t="str">
        <f t="shared" si="1"/>
        <v/>
      </c>
      <c r="B56" s="4"/>
      <c r="C56" s="4"/>
      <c r="D56" s="3" t="str">
        <f t="shared" si="2"/>
        <v/>
      </c>
      <c r="E56" s="4"/>
      <c r="F56" s="2" t="str">
        <f>IFERROR(__xludf.DUMMYFUNCTION("IF(E56="""","""",IF(COUNTIFS(D$1:D55,D56,E$1:E55,E56)&gt;0,INDEX(filter(F$1:F55,D$1:D55=D56,E$1:E55=E56),1),""Selecciona..""))"),"")</f>
        <v/>
      </c>
      <c r="G56" s="2" t="str">
        <f>IFERROR(__xludf.DUMMYFUNCTION("IF($E56="""","""",IF(COUNTIFS($D$1:$D55,$D56,$E$1:$E55,$E56)&gt;0,INDEX(filter(G$1:G55,$D$1:$D55=$D56,$E$1:$E55=E56),1),""Selecciona..""))"),"")</f>
        <v/>
      </c>
      <c r="H56" s="4" t="str">
        <f>IF(D56="","",COUNTIF(Productos!G:G,C56))</f>
        <v/>
      </c>
      <c r="J56" s="90"/>
    </row>
    <row r="57">
      <c r="A57" s="2" t="str">
        <f t="shared" si="1"/>
        <v/>
      </c>
      <c r="B57" s="4"/>
      <c r="C57" s="4"/>
      <c r="D57" s="3" t="str">
        <f t="shared" si="2"/>
        <v/>
      </c>
      <c r="E57" s="4"/>
      <c r="F57" s="2" t="str">
        <f>IFERROR(__xludf.DUMMYFUNCTION("IF(E57="""","""",IF(COUNTIFS(D$1:D56,D57,E$1:E56,E57)&gt;0,INDEX(filter(F$1:F56,D$1:D56=D57,E$1:E56=E57),1),""Selecciona..""))"),"")</f>
        <v/>
      </c>
      <c r="G57" s="2" t="str">
        <f>IFERROR(__xludf.DUMMYFUNCTION("IF($E57="""","""",IF(COUNTIFS($D$1:$D56,$D57,$E$1:$E56,$E57)&gt;0,INDEX(filter(G$1:G56,$D$1:$D56=$D57,$E$1:$E56=E57),1),""Selecciona..""))"),"")</f>
        <v/>
      </c>
      <c r="H57" s="4" t="str">
        <f>IF(D57="","",COUNTIF(Productos!G:G,C57))</f>
        <v/>
      </c>
      <c r="J57" s="90"/>
    </row>
    <row r="58">
      <c r="A58" s="2" t="str">
        <f t="shared" si="1"/>
        <v/>
      </c>
      <c r="B58" s="4"/>
      <c r="C58" s="4"/>
      <c r="D58" s="3" t="str">
        <f t="shared" si="2"/>
        <v/>
      </c>
      <c r="E58" s="4"/>
      <c r="F58" s="2" t="str">
        <f>IFERROR(__xludf.DUMMYFUNCTION("IF(E58="""","""",IF(COUNTIFS(D$1:D57,D58,E$1:E57,E58)&gt;0,INDEX(filter(F$1:F57,D$1:D57=D58,E$1:E57=E58),1),""Selecciona..""))"),"")</f>
        <v/>
      </c>
      <c r="G58" s="2" t="str">
        <f>IFERROR(__xludf.DUMMYFUNCTION("IF($E58="""","""",IF(COUNTIFS($D$1:$D57,$D58,$E$1:$E57,$E58)&gt;0,INDEX(filter(G$1:G57,$D$1:$D57=$D58,$E$1:$E57=E58),1),""Selecciona..""))"),"")</f>
        <v/>
      </c>
      <c r="H58" s="4" t="str">
        <f>IF(D58="","",COUNTIF(Productos!G:G,C58))</f>
        <v/>
      </c>
      <c r="J58" s="90"/>
    </row>
    <row r="59">
      <c r="A59" s="2" t="str">
        <f t="shared" si="1"/>
        <v/>
      </c>
      <c r="B59" s="4"/>
      <c r="C59" s="4"/>
      <c r="D59" s="3" t="str">
        <f t="shared" si="2"/>
        <v/>
      </c>
      <c r="E59" s="4"/>
      <c r="F59" s="2" t="str">
        <f>IFERROR(__xludf.DUMMYFUNCTION("IF(E59="""","""",IF(COUNTIFS(D$1:D58,D59,E$1:E58,E59)&gt;0,INDEX(filter(F$1:F58,D$1:D58=D59,E$1:E58=E59),1),""Selecciona..""))"),"")</f>
        <v/>
      </c>
      <c r="G59" s="2" t="str">
        <f>IFERROR(__xludf.DUMMYFUNCTION("IF($E59="""","""",IF(COUNTIFS($D$1:$D58,$D59,$E$1:$E58,$E59)&gt;0,INDEX(filter(G$1:G58,$D$1:$D58=$D59,$E$1:$E58=E59),1),""Selecciona..""))"),"")</f>
        <v/>
      </c>
      <c r="H59" s="4" t="str">
        <f>IF(D59="","",COUNTIF(Productos!G:G,C59))</f>
        <v/>
      </c>
      <c r="J59" s="90"/>
    </row>
    <row r="60">
      <c r="A60" s="2" t="str">
        <f t="shared" si="1"/>
        <v/>
      </c>
      <c r="B60" s="4"/>
      <c r="C60" s="4"/>
      <c r="D60" s="3" t="str">
        <f t="shared" si="2"/>
        <v/>
      </c>
      <c r="E60" s="4"/>
      <c r="F60" s="2" t="str">
        <f>IFERROR(__xludf.DUMMYFUNCTION("IF(E60="""","""",IF(COUNTIFS(D$1:D59,D60,E$1:E59,E60)&gt;0,INDEX(filter(F$1:F59,D$1:D59=D60,E$1:E59=E60),1),""Selecciona..""))"),"")</f>
        <v/>
      </c>
      <c r="G60" s="2" t="str">
        <f>IFERROR(__xludf.DUMMYFUNCTION("IF($E60="""","""",IF(COUNTIFS($D$1:$D59,$D60,$E$1:$E59,$E60)&gt;0,INDEX(filter(G$1:G59,$D$1:$D59=$D60,$E$1:$E59=E60),1),""Selecciona..""))"),"")</f>
        <v/>
      </c>
      <c r="H60" s="4" t="str">
        <f>IF(D60="","",COUNTIF(Productos!G:G,C60))</f>
        <v/>
      </c>
      <c r="J60" s="90"/>
    </row>
    <row r="61">
      <c r="A61" s="2" t="str">
        <f t="shared" si="1"/>
        <v/>
      </c>
      <c r="B61" s="4"/>
      <c r="C61" s="4"/>
      <c r="D61" s="3" t="str">
        <f t="shared" si="2"/>
        <v/>
      </c>
      <c r="E61" s="4"/>
      <c r="F61" s="2" t="str">
        <f>IFERROR(__xludf.DUMMYFUNCTION("IF(E61="""","""",IF(COUNTIFS(D$1:D60,D61,E$1:E60,E61)&gt;0,INDEX(filter(F$1:F60,D$1:D60=D61,E$1:E60=E61),1),""Selecciona..""))"),"")</f>
        <v/>
      </c>
      <c r="G61" s="2" t="str">
        <f>IFERROR(__xludf.DUMMYFUNCTION("IF($E61="""","""",IF(COUNTIFS($D$1:$D60,$D61,$E$1:$E60,$E61)&gt;0,INDEX(filter(G$1:G60,$D$1:$D60=$D61,$E$1:$E60=E61),1),""Selecciona..""))"),"")</f>
        <v/>
      </c>
      <c r="H61" s="4" t="str">
        <f>IF(D61="","",COUNTIF(Productos!G:G,C61))</f>
        <v/>
      </c>
      <c r="J61" s="90"/>
    </row>
    <row r="62">
      <c r="A62" s="2" t="str">
        <f t="shared" si="1"/>
        <v/>
      </c>
      <c r="B62" s="4"/>
      <c r="C62" s="4"/>
      <c r="D62" s="3" t="str">
        <f t="shared" si="2"/>
        <v/>
      </c>
      <c r="E62" s="4"/>
      <c r="F62" s="2" t="str">
        <f>IFERROR(__xludf.DUMMYFUNCTION("IF(E62="""","""",IF(COUNTIFS(D$1:D61,D62,E$1:E61,E62)&gt;0,INDEX(filter(F$1:F61,D$1:D61=D62,E$1:E61=E62),1),""Selecciona..""))"),"")</f>
        <v/>
      </c>
      <c r="G62" s="2" t="str">
        <f>IFERROR(__xludf.DUMMYFUNCTION("IF($E62="""","""",IF(COUNTIFS($D$1:$D61,$D62,$E$1:$E61,$E62)&gt;0,INDEX(filter(G$1:G61,$D$1:$D61=$D62,$E$1:$E61=E62),1),""Selecciona..""))"),"")</f>
        <v/>
      </c>
      <c r="H62" s="4" t="str">
        <f>IF(D62="","",COUNTIF(Productos!G:G,C62))</f>
        <v/>
      </c>
      <c r="J62" s="90"/>
    </row>
    <row r="63">
      <c r="A63" s="2" t="str">
        <f t="shared" si="1"/>
        <v/>
      </c>
      <c r="B63" s="4"/>
      <c r="C63" s="4"/>
      <c r="D63" s="3" t="str">
        <f t="shared" si="2"/>
        <v/>
      </c>
      <c r="E63" s="4"/>
      <c r="F63" s="2" t="str">
        <f>IFERROR(__xludf.DUMMYFUNCTION("IF(E63="""","""",IF(COUNTIFS(D$1:D62,D63,E$1:E62,E63)&gt;0,INDEX(filter(F$1:F62,D$1:D62=D63,E$1:E62=E63),1),""Selecciona..""))"),"")</f>
        <v/>
      </c>
      <c r="G63" s="2" t="str">
        <f>IFERROR(__xludf.DUMMYFUNCTION("IF($E63="""","""",IF(COUNTIFS($D$1:$D62,$D63,$E$1:$E62,$E63)&gt;0,INDEX(filter(G$1:G62,$D$1:$D62=$D63,$E$1:$E62=E63),1),""Selecciona..""))"),"")</f>
        <v/>
      </c>
      <c r="H63" s="4" t="str">
        <f>IF(D63="","",COUNTIF(Productos!G:G,C63))</f>
        <v/>
      </c>
      <c r="J63" s="90"/>
    </row>
    <row r="64">
      <c r="A64" s="2" t="str">
        <f t="shared" si="1"/>
        <v/>
      </c>
      <c r="B64" s="4"/>
      <c r="C64" s="4"/>
      <c r="D64" s="3" t="str">
        <f t="shared" si="2"/>
        <v/>
      </c>
      <c r="E64" s="4"/>
      <c r="F64" s="2" t="str">
        <f>IFERROR(__xludf.DUMMYFUNCTION("IF(E64="""","""",IF(COUNTIFS(D$1:D63,D64,E$1:E63,E64)&gt;0,INDEX(filter(F$1:F63,D$1:D63=D64,E$1:E63=E64),1),""Selecciona..""))"),"")</f>
        <v/>
      </c>
      <c r="G64" s="2" t="str">
        <f>IFERROR(__xludf.DUMMYFUNCTION("IF($E64="""","""",IF(COUNTIFS($D$1:$D63,$D64,$E$1:$E63,$E64)&gt;0,INDEX(filter(G$1:G63,$D$1:$D63=$D64,$E$1:$E63=E64),1),""Selecciona..""))"),"")</f>
        <v/>
      </c>
      <c r="H64" s="4" t="str">
        <f>IF(D64="","",COUNTIF(Productos!G:G,C64))</f>
        <v/>
      </c>
      <c r="J64" s="90"/>
    </row>
    <row r="65">
      <c r="A65" s="2" t="str">
        <f t="shared" si="1"/>
        <v/>
      </c>
      <c r="B65" s="4"/>
      <c r="C65" s="4"/>
      <c r="D65" s="3" t="str">
        <f t="shared" si="2"/>
        <v/>
      </c>
      <c r="E65" s="4"/>
      <c r="F65" s="2" t="str">
        <f>IFERROR(__xludf.DUMMYFUNCTION("IF(E65="""","""",IF(COUNTIFS(D$1:D64,D65,E$1:E64,E65)&gt;0,INDEX(filter(F$1:F64,D$1:D64=D65,E$1:E64=E65),1),""Selecciona..""))"),"")</f>
        <v/>
      </c>
      <c r="G65" s="2" t="str">
        <f>IFERROR(__xludf.DUMMYFUNCTION("IF($E65="""","""",IF(COUNTIFS($D$1:$D64,$D65,$E$1:$E64,$E65)&gt;0,INDEX(filter(G$1:G64,$D$1:$D64=$D65,$E$1:$E64=E65),1),""Selecciona..""))"),"")</f>
        <v/>
      </c>
      <c r="H65" s="4" t="str">
        <f>IF(D65="","",COUNTIF(Productos!G:G,C65))</f>
        <v/>
      </c>
      <c r="J65" s="90"/>
    </row>
    <row r="66">
      <c r="A66" s="2" t="str">
        <f t="shared" si="1"/>
        <v/>
      </c>
      <c r="B66" s="4"/>
      <c r="C66" s="4"/>
      <c r="D66" s="3" t="str">
        <f t="shared" si="2"/>
        <v/>
      </c>
      <c r="E66" s="4"/>
      <c r="F66" s="2" t="str">
        <f>IFERROR(__xludf.DUMMYFUNCTION("IF(E66="""","""",IF(COUNTIFS(D$1:D65,D66,E$1:E65,E66)&gt;0,INDEX(filter(F$1:F65,D$1:D65=D66,E$1:E65=E66),1),""Selecciona..""))"),"")</f>
        <v/>
      </c>
      <c r="G66" s="2" t="str">
        <f>IFERROR(__xludf.DUMMYFUNCTION("IF($E66="""","""",IF(COUNTIFS($D$1:$D65,$D66,$E$1:$E65,$E66)&gt;0,INDEX(filter(G$1:G65,$D$1:$D65=$D66,$E$1:$E65=E66),1),""Selecciona..""))"),"")</f>
        <v/>
      </c>
      <c r="H66" s="4" t="str">
        <f>IF(D66="","",COUNTIF(Productos!G:G,C66))</f>
        <v/>
      </c>
      <c r="J66" s="90"/>
    </row>
    <row r="67">
      <c r="A67" s="2" t="str">
        <f t="shared" si="1"/>
        <v/>
      </c>
      <c r="B67" s="4"/>
      <c r="C67" s="4"/>
      <c r="D67" s="3" t="str">
        <f t="shared" si="2"/>
        <v/>
      </c>
      <c r="E67" s="4"/>
      <c r="F67" s="2" t="str">
        <f>IFERROR(__xludf.DUMMYFUNCTION("IF(E67="""","""",IF(COUNTIFS(D$1:D66,D67,E$1:E66,E67)&gt;0,INDEX(filter(F$1:F66,D$1:D66=D67,E$1:E66=E67),1),""Selecciona..""))"),"")</f>
        <v/>
      </c>
      <c r="G67" s="2" t="str">
        <f>IFERROR(__xludf.DUMMYFUNCTION("IF($E67="""","""",IF(COUNTIFS($D$1:$D66,$D67,$E$1:$E66,$E67)&gt;0,INDEX(filter(G$1:G66,$D$1:$D66=$D67,$E$1:$E66=E67),1),""Selecciona..""))"),"")</f>
        <v/>
      </c>
      <c r="H67" s="4" t="str">
        <f>IF(D67="","",COUNTIF(Productos!G:G,C67))</f>
        <v/>
      </c>
      <c r="J67" s="90"/>
    </row>
    <row r="68">
      <c r="A68" s="2" t="str">
        <f t="shared" si="1"/>
        <v/>
      </c>
      <c r="B68" s="4"/>
      <c r="C68" s="4"/>
      <c r="D68" s="3" t="str">
        <f t="shared" si="2"/>
        <v/>
      </c>
      <c r="E68" s="4"/>
      <c r="F68" s="2" t="str">
        <f>IFERROR(__xludf.DUMMYFUNCTION("IF(E68="""","""",IF(COUNTIFS(D$1:D67,D68,E$1:E67,E68)&gt;0,INDEX(filter(F$1:F67,D$1:D67=D68,E$1:E67=E68),1),""Selecciona..""))"),"")</f>
        <v/>
      </c>
      <c r="G68" s="2" t="str">
        <f>IFERROR(__xludf.DUMMYFUNCTION("IF($E68="""","""",IF(COUNTIFS($D$1:$D67,$D68,$E$1:$E67,$E68)&gt;0,INDEX(filter(G$1:G67,$D$1:$D67=$D68,$E$1:$E67=E68),1),""Selecciona..""))"),"")</f>
        <v/>
      </c>
      <c r="H68" s="4" t="str">
        <f>IF(D68="","",COUNTIF(Productos!G:G,C68))</f>
        <v/>
      </c>
      <c r="J68" s="90"/>
    </row>
    <row r="69">
      <c r="A69" s="2" t="str">
        <f t="shared" si="1"/>
        <v/>
      </c>
      <c r="B69" s="4"/>
      <c r="C69" s="4"/>
      <c r="D69" s="3" t="str">
        <f t="shared" si="2"/>
        <v/>
      </c>
      <c r="E69" s="4"/>
      <c r="F69" s="2" t="str">
        <f>IFERROR(__xludf.DUMMYFUNCTION("IF(E69="""","""",IF(COUNTIFS(D$1:D68,D69,E$1:E68,E69)&gt;0,INDEX(filter(F$1:F68,D$1:D68=D69,E$1:E68=E69),1),""Selecciona..""))"),"")</f>
        <v/>
      </c>
      <c r="G69" s="2" t="str">
        <f>IFERROR(__xludf.DUMMYFUNCTION("IF($E69="""","""",IF(COUNTIFS($D$1:$D68,$D69,$E$1:$E68,$E69)&gt;0,INDEX(filter(G$1:G68,$D$1:$D68=$D69,$E$1:$E68=E69),1),""Selecciona..""))"),"")</f>
        <v/>
      </c>
      <c r="H69" s="4" t="str">
        <f>IF(D69="","",COUNTIF(Productos!G:G,C69))</f>
        <v/>
      </c>
      <c r="J69" s="90"/>
    </row>
    <row r="70">
      <c r="A70" s="2" t="str">
        <f t="shared" si="1"/>
        <v/>
      </c>
      <c r="B70" s="4"/>
      <c r="C70" s="4"/>
      <c r="D70" s="3" t="str">
        <f t="shared" si="2"/>
        <v/>
      </c>
      <c r="E70" s="4"/>
      <c r="F70" s="2" t="str">
        <f>IFERROR(__xludf.DUMMYFUNCTION("IF(E70="""","""",IF(COUNTIFS(D$1:D69,D70,E$1:E69,E70)&gt;0,INDEX(filter(F$1:F69,D$1:D69=D70,E$1:E69=E70),1),""Selecciona..""))"),"")</f>
        <v/>
      </c>
      <c r="G70" s="2" t="str">
        <f>IFERROR(__xludf.DUMMYFUNCTION("IF($E70="""","""",IF(COUNTIFS($D$1:$D69,$D70,$E$1:$E69,$E70)&gt;0,INDEX(filter(G$1:G69,$D$1:$D69=$D70,$E$1:$E69=E70),1),""Selecciona..""))"),"")</f>
        <v/>
      </c>
      <c r="H70" s="4" t="str">
        <f>IF(D70="","",COUNTIF(Productos!G:G,C70))</f>
        <v/>
      </c>
      <c r="J70" s="90"/>
    </row>
    <row r="71">
      <c r="A71" s="2" t="str">
        <f t="shared" si="1"/>
        <v/>
      </c>
      <c r="B71" s="4"/>
      <c r="C71" s="4"/>
      <c r="D71" s="3" t="str">
        <f t="shared" si="2"/>
        <v/>
      </c>
      <c r="E71" s="4"/>
      <c r="F71" s="2" t="str">
        <f>IFERROR(__xludf.DUMMYFUNCTION("IF(E71="""","""",IF(COUNTIFS(D$1:D70,D71,E$1:E70,E71)&gt;0,INDEX(filter(F$1:F70,D$1:D70=D71,E$1:E70=E71),1),""Selecciona..""))"),"")</f>
        <v/>
      </c>
      <c r="G71" s="2" t="str">
        <f>IFERROR(__xludf.DUMMYFUNCTION("IF($E71="""","""",IF(COUNTIFS($D$1:$D70,$D71,$E$1:$E70,$E71)&gt;0,INDEX(filter(G$1:G70,$D$1:$D70=$D71,$E$1:$E70=E71),1),""Selecciona..""))"),"")</f>
        <v/>
      </c>
      <c r="H71" s="4" t="str">
        <f>IF(D71="","",COUNTIF(Productos!G:G,C71))</f>
        <v/>
      </c>
      <c r="J71" s="90"/>
    </row>
    <row r="72">
      <c r="A72" s="2" t="str">
        <f t="shared" si="1"/>
        <v/>
      </c>
      <c r="B72" s="4"/>
      <c r="C72" s="4"/>
      <c r="D72" s="3" t="str">
        <f t="shared" si="2"/>
        <v/>
      </c>
      <c r="E72" s="4"/>
      <c r="F72" s="2" t="str">
        <f>IFERROR(__xludf.DUMMYFUNCTION("IF(E72="""","""",IF(COUNTIFS(D$1:D71,D72,E$1:E71,E72)&gt;0,INDEX(filter(F$1:F71,D$1:D71=D72,E$1:E71=E72),1),""Selecciona..""))"),"")</f>
        <v/>
      </c>
      <c r="G72" s="2" t="str">
        <f>IFERROR(__xludf.DUMMYFUNCTION("IF($E72="""","""",IF(COUNTIFS($D$1:$D71,$D72,$E$1:$E71,$E72)&gt;0,INDEX(filter(G$1:G71,$D$1:$D71=$D72,$E$1:$E71=E72),1),""Selecciona..""))"),"")</f>
        <v/>
      </c>
      <c r="H72" s="4" t="str">
        <f>IF(D72="","",COUNTIF(Productos!G:G,C72))</f>
        <v/>
      </c>
      <c r="J72" s="90"/>
    </row>
    <row r="73">
      <c r="A73" s="2" t="str">
        <f t="shared" si="1"/>
        <v/>
      </c>
      <c r="B73" s="4"/>
      <c r="C73" s="4"/>
      <c r="D73" s="3" t="str">
        <f t="shared" si="2"/>
        <v/>
      </c>
      <c r="E73" s="4"/>
      <c r="F73" s="2" t="str">
        <f>IFERROR(__xludf.DUMMYFUNCTION("IF(E73="""","""",IF(COUNTIFS(D$1:D72,D73,E$1:E72,E73)&gt;0,INDEX(filter(F$1:F72,D$1:D72=D73,E$1:E72=E73),1),""Selecciona..""))"),"")</f>
        <v/>
      </c>
      <c r="G73" s="2" t="str">
        <f>IFERROR(__xludf.DUMMYFUNCTION("IF($E73="""","""",IF(COUNTIFS($D$1:$D72,$D73,$E$1:$E72,$E73)&gt;0,INDEX(filter(G$1:G72,$D$1:$D72=$D73,$E$1:$E72=E73),1),""Selecciona..""))"),"")</f>
        <v/>
      </c>
      <c r="H73" s="4" t="str">
        <f>IF(D73="","",COUNTIF(Productos!G:G,C73))</f>
        <v/>
      </c>
      <c r="J73" s="90"/>
    </row>
    <row r="74">
      <c r="A74" s="2" t="str">
        <f t="shared" si="1"/>
        <v/>
      </c>
      <c r="B74" s="4"/>
      <c r="C74" s="4"/>
      <c r="D74" s="3" t="str">
        <f t="shared" si="2"/>
        <v/>
      </c>
      <c r="E74" s="4"/>
      <c r="F74" s="2" t="str">
        <f>IFERROR(__xludf.DUMMYFUNCTION("IF(E74="""","""",IF(COUNTIFS(D$1:D73,D74,E$1:E73,E74)&gt;0,INDEX(filter(F$1:F73,D$1:D73=D74,E$1:E73=E74),1),""Selecciona..""))"),"")</f>
        <v/>
      </c>
      <c r="G74" s="2" t="str">
        <f>IFERROR(__xludf.DUMMYFUNCTION("IF($E74="""","""",IF(COUNTIFS($D$1:$D73,$D74,$E$1:$E73,$E74)&gt;0,INDEX(filter(G$1:G73,$D$1:$D73=$D74,$E$1:$E73=E74),1),""Selecciona..""))"),"")</f>
        <v/>
      </c>
      <c r="H74" s="4" t="str">
        <f>IF(D74="","",COUNTIF(Productos!G:G,C74))</f>
        <v/>
      </c>
      <c r="J74" s="90"/>
    </row>
    <row r="75">
      <c r="A75" s="2" t="str">
        <f t="shared" si="1"/>
        <v/>
      </c>
      <c r="B75" s="4"/>
      <c r="C75" s="4"/>
      <c r="D75" s="3" t="str">
        <f t="shared" si="2"/>
        <v/>
      </c>
      <c r="E75" s="4"/>
      <c r="F75" s="2" t="str">
        <f>IFERROR(__xludf.DUMMYFUNCTION("IF(E75="""","""",IF(COUNTIFS(D$1:D74,D75,E$1:E74,E75)&gt;0,INDEX(filter(F$1:F74,D$1:D74=D75,E$1:E74=E75),1),""Selecciona..""))"),"")</f>
        <v/>
      </c>
      <c r="G75" s="2" t="str">
        <f>IFERROR(__xludf.DUMMYFUNCTION("IF($E75="""","""",IF(COUNTIFS($D$1:$D74,$D75,$E$1:$E74,$E75)&gt;0,INDEX(filter(G$1:G74,$D$1:$D74=$D75,$E$1:$E74=E75),1),""Selecciona..""))"),"")</f>
        <v/>
      </c>
      <c r="H75" s="4" t="str">
        <f>IF(D75="","",COUNTIF(Productos!G:G,C75))</f>
        <v/>
      </c>
      <c r="J75" s="90"/>
    </row>
    <row r="76">
      <c r="A76" s="2" t="str">
        <f t="shared" si="1"/>
        <v/>
      </c>
      <c r="B76" s="4"/>
      <c r="C76" s="4"/>
      <c r="D76" s="3" t="str">
        <f t="shared" si="2"/>
        <v/>
      </c>
      <c r="E76" s="4"/>
      <c r="F76" s="2" t="str">
        <f>IFERROR(__xludf.DUMMYFUNCTION("IF(E76="""","""",IF(COUNTIFS(D$1:D75,D76,E$1:E75,E76)&gt;0,INDEX(filter(F$1:F75,D$1:D75=D76,E$1:E75=E76),1),""Selecciona..""))"),"")</f>
        <v/>
      </c>
      <c r="G76" s="2" t="str">
        <f>IFERROR(__xludf.DUMMYFUNCTION("IF($E76="""","""",IF(COUNTIFS($D$1:$D75,$D76,$E$1:$E75,$E76)&gt;0,INDEX(filter(G$1:G75,$D$1:$D75=$D76,$E$1:$E75=E76),1),""Selecciona..""))"),"")</f>
        <v/>
      </c>
      <c r="H76" s="4" t="str">
        <f>IF(D76="","",COUNTIF(Productos!G:G,C76))</f>
        <v/>
      </c>
      <c r="J76" s="90"/>
    </row>
    <row r="77">
      <c r="A77" s="2" t="str">
        <f t="shared" si="1"/>
        <v/>
      </c>
      <c r="B77" s="4"/>
      <c r="C77" s="4"/>
      <c r="D77" s="3" t="str">
        <f t="shared" si="2"/>
        <v/>
      </c>
      <c r="E77" s="4"/>
      <c r="F77" s="2" t="str">
        <f>IFERROR(__xludf.DUMMYFUNCTION("IF(E77="""","""",IF(COUNTIFS(D$1:D76,D77,E$1:E76,E77)&gt;0,INDEX(filter(F$1:F76,D$1:D76=D77,E$1:E76=E77),1),""Selecciona..""))"),"")</f>
        <v/>
      </c>
      <c r="G77" s="2" t="str">
        <f>IFERROR(__xludf.DUMMYFUNCTION("IF($E77="""","""",IF(COUNTIFS($D$1:$D76,$D77,$E$1:$E76,$E77)&gt;0,INDEX(filter(G$1:G76,$D$1:$D76=$D77,$E$1:$E76=E77),1),""Selecciona..""))"),"")</f>
        <v/>
      </c>
      <c r="H77" s="4" t="str">
        <f>IF(D77="","",COUNTIF(Productos!G:G,C77))</f>
        <v/>
      </c>
      <c r="J77" s="90"/>
    </row>
    <row r="78">
      <c r="A78" s="2" t="str">
        <f t="shared" si="1"/>
        <v/>
      </c>
      <c r="B78" s="4"/>
      <c r="C78" s="4"/>
      <c r="D78" s="3" t="str">
        <f t="shared" si="2"/>
        <v/>
      </c>
      <c r="E78" s="4"/>
      <c r="F78" s="2" t="str">
        <f>IFERROR(__xludf.DUMMYFUNCTION("IF(E78="""","""",IF(COUNTIFS(D$1:D77,D78,E$1:E77,E78)&gt;0,INDEX(filter(F$1:F77,D$1:D77=D78,E$1:E77=E78),1),""Selecciona..""))"),"")</f>
        <v/>
      </c>
      <c r="G78" s="2" t="str">
        <f>IFERROR(__xludf.DUMMYFUNCTION("IF($E78="""","""",IF(COUNTIFS($D$1:$D77,$D78,$E$1:$E77,$E78)&gt;0,INDEX(filter(G$1:G77,$D$1:$D77=$D78,$E$1:$E77=E78),1),""Selecciona..""))"),"")</f>
        <v/>
      </c>
      <c r="H78" s="4" t="str">
        <f>IF(D78="","",COUNTIF(Productos!G:G,C78))</f>
        <v/>
      </c>
      <c r="J78" s="90"/>
    </row>
    <row r="79">
      <c r="A79" s="2" t="str">
        <f t="shared" si="1"/>
        <v/>
      </c>
      <c r="B79" s="4"/>
      <c r="C79" s="4"/>
      <c r="D79" s="3" t="str">
        <f t="shared" si="2"/>
        <v/>
      </c>
      <c r="E79" s="4"/>
      <c r="F79" s="2" t="str">
        <f>IFERROR(__xludf.DUMMYFUNCTION("IF(E79="""","""",IF(COUNTIFS(D$1:D78,D79,E$1:E78,E79)&gt;0,INDEX(filter(F$1:F78,D$1:D78=D79,E$1:E78=E79),1),""Selecciona..""))"),"")</f>
        <v/>
      </c>
      <c r="G79" s="2" t="str">
        <f>IFERROR(__xludf.DUMMYFUNCTION("IF($E79="""","""",IF(COUNTIFS($D$1:$D78,$D79,$E$1:$E78,$E79)&gt;0,INDEX(filter(G$1:G78,$D$1:$D78=$D79,$E$1:$E78=E79),1),""Selecciona..""))"),"")</f>
        <v/>
      </c>
      <c r="H79" s="4" t="str">
        <f>IF(D79="","",COUNTIF(Productos!G:G,C79))</f>
        <v/>
      </c>
      <c r="J79" s="90"/>
    </row>
    <row r="80">
      <c r="A80" s="2" t="str">
        <f t="shared" si="1"/>
        <v/>
      </c>
      <c r="B80" s="4"/>
      <c r="C80" s="4"/>
      <c r="D80" s="3" t="str">
        <f t="shared" si="2"/>
        <v/>
      </c>
      <c r="E80" s="4"/>
      <c r="F80" s="2" t="str">
        <f>IFERROR(__xludf.DUMMYFUNCTION("IF(E80="""","""",IF(COUNTIFS(D$1:D79,D80,E$1:E79,E80)&gt;0,INDEX(filter(F$1:F79,D$1:D79=D80,E$1:E79=E80),1),""Selecciona..""))"),"")</f>
        <v/>
      </c>
      <c r="G80" s="2" t="str">
        <f>IFERROR(__xludf.DUMMYFUNCTION("IF($E80="""","""",IF(COUNTIFS($D$1:$D79,$D80,$E$1:$E79,$E80)&gt;0,INDEX(filter(G$1:G79,$D$1:$D79=$D80,$E$1:$E79=E80),1),""Selecciona..""))"),"")</f>
        <v/>
      </c>
      <c r="H80" s="4" t="str">
        <f>IF(D80="","",COUNTIF(Productos!G:G,C80))</f>
        <v/>
      </c>
      <c r="J80" s="90"/>
    </row>
    <row r="81">
      <c r="A81" s="2" t="str">
        <f t="shared" si="1"/>
        <v/>
      </c>
      <c r="B81" s="4"/>
      <c r="C81" s="4"/>
      <c r="D81" s="3" t="str">
        <f t="shared" si="2"/>
        <v/>
      </c>
      <c r="E81" s="4"/>
      <c r="F81" s="2" t="str">
        <f>IFERROR(__xludf.DUMMYFUNCTION("IF(E81="""","""",IF(COUNTIFS(D$1:D80,D81,E$1:E80,E81)&gt;0,INDEX(filter(F$1:F80,D$1:D80=D81,E$1:E80=E81),1),""Selecciona..""))"),"")</f>
        <v/>
      </c>
      <c r="G81" s="2" t="str">
        <f>IFERROR(__xludf.DUMMYFUNCTION("IF($E81="""","""",IF(COUNTIFS($D$1:$D80,$D81,$E$1:$E80,$E81)&gt;0,INDEX(filter(G$1:G80,$D$1:$D80=$D81,$E$1:$E80=E81),1),""Selecciona..""))"),"")</f>
        <v/>
      </c>
      <c r="H81" s="4" t="str">
        <f>IF(D81="","",COUNTIF(Productos!G:G,C81))</f>
        <v/>
      </c>
      <c r="J81" s="90"/>
    </row>
    <row r="82">
      <c r="A82" s="2" t="str">
        <f t="shared" si="1"/>
        <v/>
      </c>
      <c r="B82" s="4"/>
      <c r="C82" s="4"/>
      <c r="D82" s="3" t="str">
        <f t="shared" si="2"/>
        <v/>
      </c>
      <c r="E82" s="4"/>
      <c r="F82" s="2" t="str">
        <f>IFERROR(__xludf.DUMMYFUNCTION("IF(E82="""","""",IF(COUNTIFS(D$1:D81,D82,E$1:E81,E82)&gt;0,INDEX(filter(F$1:F81,D$1:D81=D82,E$1:E81=E82),1),""Selecciona..""))"),"")</f>
        <v/>
      </c>
      <c r="G82" s="2" t="str">
        <f>IFERROR(__xludf.DUMMYFUNCTION("IF($E82="""","""",IF(COUNTIFS($D$1:$D81,$D82,$E$1:$E81,$E82)&gt;0,INDEX(filter(G$1:G81,$D$1:$D81=$D82,$E$1:$E81=E82),1),""Selecciona..""))"),"")</f>
        <v/>
      </c>
      <c r="H82" s="4" t="str">
        <f>IF(D82="","",COUNTIF(Productos!G:G,C82))</f>
        <v/>
      </c>
      <c r="J82" s="90"/>
    </row>
    <row r="83">
      <c r="A83" s="2" t="str">
        <f t="shared" si="1"/>
        <v/>
      </c>
      <c r="B83" s="4"/>
      <c r="C83" s="4"/>
      <c r="D83" s="3" t="str">
        <f t="shared" si="2"/>
        <v/>
      </c>
      <c r="E83" s="4"/>
      <c r="F83" s="2" t="str">
        <f>IFERROR(__xludf.DUMMYFUNCTION("IF(E83="""","""",IF(COUNTIFS(D$1:D82,D83,E$1:E82,E83)&gt;0,INDEX(filter(F$1:F82,D$1:D82=D83,E$1:E82=E83),1),""Selecciona..""))"),"")</f>
        <v/>
      </c>
      <c r="G83" s="2" t="str">
        <f>IFERROR(__xludf.DUMMYFUNCTION("IF($E83="""","""",IF(COUNTIFS($D$1:$D82,$D83,$E$1:$E82,$E83)&gt;0,INDEX(filter(G$1:G82,$D$1:$D82=$D83,$E$1:$E82=E83),1),""Selecciona..""))"),"")</f>
        <v/>
      </c>
      <c r="H83" s="4" t="str">
        <f>IF(D83="","",COUNTIF(Productos!G:G,C83))</f>
        <v/>
      </c>
      <c r="J83" s="90"/>
    </row>
    <row r="84">
      <c r="A84" s="2" t="str">
        <f t="shared" si="1"/>
        <v/>
      </c>
      <c r="B84" s="4"/>
      <c r="C84" s="4"/>
      <c r="D84" s="3" t="str">
        <f t="shared" si="2"/>
        <v/>
      </c>
      <c r="E84" s="4"/>
      <c r="F84" s="2" t="str">
        <f>IFERROR(__xludf.DUMMYFUNCTION("IF(E84="""","""",IF(COUNTIFS(D$1:D83,D84,E$1:E83,E84)&gt;0,INDEX(filter(F$1:F83,D$1:D83=D84,E$1:E83=E84),1),""Selecciona..""))"),"")</f>
        <v/>
      </c>
      <c r="G84" s="2" t="str">
        <f>IFERROR(__xludf.DUMMYFUNCTION("IF($E84="""","""",IF(COUNTIFS($D$1:$D83,$D84,$E$1:$E83,$E84)&gt;0,INDEX(filter(G$1:G83,$D$1:$D83=$D84,$E$1:$E83=E84),1),""Selecciona..""))"),"")</f>
        <v/>
      </c>
      <c r="H84" s="4" t="str">
        <f>IF(D84="","",COUNTIF(Productos!G:G,C84))</f>
        <v/>
      </c>
      <c r="J84" s="90"/>
    </row>
    <row r="85">
      <c r="A85" s="2" t="str">
        <f t="shared" si="1"/>
        <v/>
      </c>
      <c r="B85" s="4"/>
      <c r="C85" s="4"/>
      <c r="D85" s="3" t="str">
        <f t="shared" si="2"/>
        <v/>
      </c>
      <c r="E85" s="4"/>
      <c r="F85" s="2" t="str">
        <f>IFERROR(__xludf.DUMMYFUNCTION("IF(E85="""","""",IF(COUNTIFS(D$1:D84,D85,E$1:E84,E85)&gt;0,INDEX(filter(F$1:F84,D$1:D84=D85,E$1:E84=E85),1),""Selecciona..""))"),"")</f>
        <v/>
      </c>
      <c r="G85" s="2" t="str">
        <f>IFERROR(__xludf.DUMMYFUNCTION("IF($E85="""","""",IF(COUNTIFS($D$1:$D84,$D85,$E$1:$E84,$E85)&gt;0,INDEX(filter(G$1:G84,$D$1:$D84=$D85,$E$1:$E84=E85),1),""Selecciona..""))"),"")</f>
        <v/>
      </c>
      <c r="H85" s="4" t="str">
        <f>IF(D85="","",COUNTIF(Productos!G:G,C85))</f>
        <v/>
      </c>
      <c r="J85" s="90"/>
    </row>
    <row r="86">
      <c r="A86" s="2" t="str">
        <f t="shared" si="1"/>
        <v/>
      </c>
      <c r="B86" s="4"/>
      <c r="C86" s="4"/>
      <c r="D86" s="3" t="str">
        <f t="shared" si="2"/>
        <v/>
      </c>
      <c r="E86" s="4"/>
      <c r="F86" s="2" t="str">
        <f>IFERROR(__xludf.DUMMYFUNCTION("IF(E86="""","""",IF(COUNTIFS(D$1:D85,D86,E$1:E85,E86)&gt;0,INDEX(filter(F$1:F85,D$1:D85=D86,E$1:E85=E86),1),""Selecciona..""))"),"")</f>
        <v/>
      </c>
      <c r="G86" s="2" t="str">
        <f>IFERROR(__xludf.DUMMYFUNCTION("IF($E86="""","""",IF(COUNTIFS($D$1:$D85,$D86,$E$1:$E85,$E86)&gt;0,INDEX(filter(G$1:G85,$D$1:$D85=$D86,$E$1:$E85=E86),1),""Selecciona..""))"),"")</f>
        <v/>
      </c>
      <c r="H86" s="4" t="str">
        <f>IF(D86="","",COUNTIF(Productos!G:G,C86))</f>
        <v/>
      </c>
      <c r="J86" s="90"/>
    </row>
    <row r="87">
      <c r="A87" s="2" t="str">
        <f t="shared" si="1"/>
        <v/>
      </c>
      <c r="B87" s="4"/>
      <c r="C87" s="4"/>
      <c r="D87" s="3" t="str">
        <f t="shared" si="2"/>
        <v/>
      </c>
      <c r="E87" s="4"/>
      <c r="F87" s="2" t="str">
        <f>IFERROR(__xludf.DUMMYFUNCTION("IF(E87="""","""",IF(COUNTIFS(D$1:D86,D87,E$1:E86,E87)&gt;0,INDEX(filter(F$1:F86,D$1:D86=D87,E$1:E86=E87),1),""Selecciona..""))"),"")</f>
        <v/>
      </c>
      <c r="G87" s="2" t="str">
        <f>IFERROR(__xludf.DUMMYFUNCTION("IF($E87="""","""",IF(COUNTIFS($D$1:$D86,$D87,$E$1:$E86,$E87)&gt;0,INDEX(filter(G$1:G86,$D$1:$D86=$D87,$E$1:$E86=E87),1),""Selecciona..""))"),"")</f>
        <v/>
      </c>
      <c r="H87" s="4" t="str">
        <f>IF(D87="","",COUNTIF(Productos!G:G,C87))</f>
        <v/>
      </c>
      <c r="J87" s="90"/>
    </row>
    <row r="88">
      <c r="A88" s="2" t="str">
        <f t="shared" si="1"/>
        <v/>
      </c>
      <c r="B88" s="4"/>
      <c r="C88" s="4"/>
      <c r="D88" s="3" t="str">
        <f t="shared" si="2"/>
        <v/>
      </c>
      <c r="E88" s="4"/>
      <c r="F88" s="2" t="str">
        <f>IFERROR(__xludf.DUMMYFUNCTION("IF(E88="""","""",IF(COUNTIFS(D$1:D87,D88,E$1:E87,E88)&gt;0,INDEX(filter(F$1:F87,D$1:D87=D88,E$1:E87=E88),1),""Selecciona..""))"),"")</f>
        <v/>
      </c>
      <c r="G88" s="2" t="str">
        <f>IFERROR(__xludf.DUMMYFUNCTION("IF($E88="""","""",IF(COUNTIFS($D$1:$D87,$D88,$E$1:$E87,$E88)&gt;0,INDEX(filter(G$1:G87,$D$1:$D87=$D88,$E$1:$E87=E88),1),""Selecciona..""))"),"")</f>
        <v/>
      </c>
      <c r="H88" s="4" t="str">
        <f>IF(D88="","",COUNTIF(Productos!G:G,C88))</f>
        <v/>
      </c>
      <c r="J88" s="90"/>
    </row>
    <row r="89">
      <c r="A89" s="2" t="str">
        <f t="shared" si="1"/>
        <v/>
      </c>
      <c r="B89" s="4"/>
      <c r="C89" s="4"/>
      <c r="D89" s="3" t="str">
        <f t="shared" si="2"/>
        <v/>
      </c>
      <c r="E89" s="4"/>
      <c r="F89" s="2" t="str">
        <f>IFERROR(__xludf.DUMMYFUNCTION("IF(E89="""","""",IF(COUNTIFS(D$1:D88,D89,E$1:E88,E89)&gt;0,INDEX(filter(F$1:F88,D$1:D88=D89,E$1:E88=E89),1),""Selecciona..""))"),"")</f>
        <v/>
      </c>
      <c r="G89" s="2" t="str">
        <f>IFERROR(__xludf.DUMMYFUNCTION("IF($E89="""","""",IF(COUNTIFS($D$1:$D88,$D89,$E$1:$E88,$E89)&gt;0,INDEX(filter(G$1:G88,$D$1:$D88=$D89,$E$1:$E88=E89),1),""Selecciona..""))"),"")</f>
        <v/>
      </c>
      <c r="H89" s="4" t="str">
        <f>IF(D89="","",COUNTIF(Productos!G:G,C89))</f>
        <v/>
      </c>
      <c r="J89" s="90"/>
    </row>
    <row r="90">
      <c r="A90" s="2" t="str">
        <f t="shared" si="1"/>
        <v/>
      </c>
      <c r="B90" s="4"/>
      <c r="C90" s="4"/>
      <c r="D90" s="3" t="str">
        <f t="shared" si="2"/>
        <v/>
      </c>
      <c r="E90" s="4"/>
      <c r="F90" s="2" t="str">
        <f>IFERROR(__xludf.DUMMYFUNCTION("IF(E90="""","""",IF(COUNTIFS(D$1:D89,D90,E$1:E89,E90)&gt;0,INDEX(filter(F$1:F89,D$1:D89=D90,E$1:E89=E90),1),""Selecciona..""))"),"")</f>
        <v/>
      </c>
      <c r="G90" s="2" t="str">
        <f>IFERROR(__xludf.DUMMYFUNCTION("IF($E90="""","""",IF(COUNTIFS($D$1:$D89,$D90,$E$1:$E89,$E90)&gt;0,INDEX(filter(G$1:G89,$D$1:$D89=$D90,$E$1:$E89=E90),1),""Selecciona..""))"),"")</f>
        <v/>
      </c>
      <c r="H90" s="4" t="str">
        <f>IF(D90="","",COUNTIF(Productos!G:G,C90))</f>
        <v/>
      </c>
      <c r="J90" s="90"/>
    </row>
    <row r="91">
      <c r="A91" s="2" t="str">
        <f t="shared" si="1"/>
        <v/>
      </c>
      <c r="B91" s="4"/>
      <c r="C91" s="4"/>
      <c r="D91" s="3" t="str">
        <f t="shared" si="2"/>
        <v/>
      </c>
      <c r="E91" s="4"/>
      <c r="F91" s="2" t="str">
        <f>IFERROR(__xludf.DUMMYFUNCTION("IF(E91="""","""",IF(COUNTIFS(D$1:D90,D91,E$1:E90,E91)&gt;0,INDEX(filter(F$1:F90,D$1:D90=D91,E$1:E90=E91),1),""Selecciona..""))"),"")</f>
        <v/>
      </c>
      <c r="G91" s="2" t="str">
        <f>IFERROR(__xludf.DUMMYFUNCTION("IF($E91="""","""",IF(COUNTIFS($D$1:$D90,$D91,$E$1:$E90,$E91)&gt;0,INDEX(filter(G$1:G90,$D$1:$D90=$D91,$E$1:$E90=E91),1),""Selecciona..""))"),"")</f>
        <v/>
      </c>
      <c r="H91" s="4" t="str">
        <f>IF(D91="","",COUNTIF(Productos!G:G,C91))</f>
        <v/>
      </c>
      <c r="J91" s="90"/>
    </row>
    <row r="92">
      <c r="A92" s="2" t="str">
        <f t="shared" si="1"/>
        <v/>
      </c>
      <c r="B92" s="4"/>
      <c r="C92" s="4"/>
      <c r="D92" s="3" t="str">
        <f t="shared" si="2"/>
        <v/>
      </c>
      <c r="E92" s="4"/>
      <c r="F92" s="2" t="str">
        <f>IFERROR(__xludf.DUMMYFUNCTION("IF(E92="""","""",IF(COUNTIFS(D$1:D91,D92,E$1:E91,E92)&gt;0,INDEX(filter(F$1:F91,D$1:D91=D92,E$1:E91=E92),1),""Selecciona..""))"),"")</f>
        <v/>
      </c>
      <c r="G92" s="2" t="str">
        <f>IFERROR(__xludf.DUMMYFUNCTION("IF($E92="""","""",IF(COUNTIFS($D$1:$D91,$D92,$E$1:$E91,$E92)&gt;0,INDEX(filter(G$1:G91,$D$1:$D91=$D92,$E$1:$E91=E92),1),""Selecciona..""))"),"")</f>
        <v/>
      </c>
      <c r="H92" s="4" t="str">
        <f>IF(D92="","",COUNTIF(Productos!G:G,C92))</f>
        <v/>
      </c>
      <c r="J92" s="90"/>
    </row>
    <row r="93">
      <c r="A93" s="2" t="str">
        <f t="shared" si="1"/>
        <v/>
      </c>
      <c r="B93" s="4"/>
      <c r="C93" s="4"/>
      <c r="D93" s="3" t="str">
        <f t="shared" si="2"/>
        <v/>
      </c>
      <c r="E93" s="4"/>
      <c r="F93" s="2" t="str">
        <f>IFERROR(__xludf.DUMMYFUNCTION("IF(E93="""","""",IF(COUNTIFS(D$1:D92,D93,E$1:E92,E93)&gt;0,INDEX(filter(F$1:F92,D$1:D92=D93,E$1:E92=E93),1),""Selecciona..""))"),"")</f>
        <v/>
      </c>
      <c r="G93" s="2" t="str">
        <f>IFERROR(__xludf.DUMMYFUNCTION("IF($E93="""","""",IF(COUNTIFS($D$1:$D92,$D93,$E$1:$E92,$E93)&gt;0,INDEX(filter(G$1:G92,$D$1:$D92=$D93,$E$1:$E92=E93),1),""Selecciona..""))"),"")</f>
        <v/>
      </c>
      <c r="H93" s="4" t="str">
        <f>IF(D93="","",COUNTIF(Productos!G:G,C93))</f>
        <v/>
      </c>
      <c r="J93" s="90"/>
    </row>
    <row r="94">
      <c r="A94" s="2" t="str">
        <f t="shared" si="1"/>
        <v/>
      </c>
      <c r="B94" s="4"/>
      <c r="C94" s="4"/>
      <c r="D94" s="3" t="str">
        <f t="shared" si="2"/>
        <v/>
      </c>
      <c r="E94" s="4"/>
      <c r="F94" s="2" t="str">
        <f>IFERROR(__xludf.DUMMYFUNCTION("IF(E94="""","""",IF(COUNTIFS(D$1:D93,D94,E$1:E93,E94)&gt;0,INDEX(filter(F$1:F93,D$1:D93=D94,E$1:E93=E94),1),""Selecciona..""))"),"")</f>
        <v/>
      </c>
      <c r="G94" s="2" t="str">
        <f>IFERROR(__xludf.DUMMYFUNCTION("IF($E94="""","""",IF(COUNTIFS($D$1:$D93,$D94,$E$1:$E93,$E94)&gt;0,INDEX(filter(G$1:G93,$D$1:$D93=$D94,$E$1:$E93=E94),1),""Selecciona..""))"),"")</f>
        <v/>
      </c>
      <c r="H94" s="4" t="str">
        <f>IF(D94="","",COUNTIF(Productos!G:G,C94))</f>
        <v/>
      </c>
      <c r="J94" s="90"/>
    </row>
    <row r="95">
      <c r="A95" s="2" t="str">
        <f t="shared" si="1"/>
        <v/>
      </c>
      <c r="B95" s="4"/>
      <c r="C95" s="4"/>
      <c r="D95" s="3" t="str">
        <f t="shared" si="2"/>
        <v/>
      </c>
      <c r="E95" s="4"/>
      <c r="F95" s="2" t="str">
        <f>IFERROR(__xludf.DUMMYFUNCTION("IF(E95="""","""",IF(COUNTIFS(D$1:D94,D95,E$1:E94,E95)&gt;0,INDEX(filter(F$1:F94,D$1:D94=D95,E$1:E94=E95),1),""Selecciona..""))"),"")</f>
        <v/>
      </c>
      <c r="G95" s="2" t="str">
        <f>IFERROR(__xludf.DUMMYFUNCTION("IF($E95="""","""",IF(COUNTIFS($D$1:$D94,$D95,$E$1:$E94,$E95)&gt;0,INDEX(filter(G$1:G94,$D$1:$D94=$D95,$E$1:$E94=E95),1),""Selecciona..""))"),"")</f>
        <v/>
      </c>
      <c r="H95" s="4" t="str">
        <f>IF(D95="","",COUNTIF(Productos!G:G,C95))</f>
        <v/>
      </c>
      <c r="J95" s="90"/>
    </row>
    <row r="96">
      <c r="A96" s="2" t="str">
        <f t="shared" si="1"/>
        <v/>
      </c>
      <c r="B96" s="4"/>
      <c r="C96" s="4"/>
      <c r="D96" s="3" t="str">
        <f t="shared" si="2"/>
        <v/>
      </c>
      <c r="E96" s="4"/>
      <c r="F96" s="2" t="str">
        <f>IFERROR(__xludf.DUMMYFUNCTION("IF(E96="""","""",IF(COUNTIFS(D$1:D95,D96,E$1:E95,E96)&gt;0,INDEX(filter(F$1:F95,D$1:D95=D96,E$1:E95=E96),1),""Selecciona..""))"),"")</f>
        <v/>
      </c>
      <c r="G96" s="2" t="str">
        <f>IFERROR(__xludf.DUMMYFUNCTION("IF($E96="""","""",IF(COUNTIFS($D$1:$D95,$D96,$E$1:$E95,$E96)&gt;0,INDEX(filter(G$1:G95,$D$1:$D95=$D96,$E$1:$E95=E96),1),""Selecciona..""))"),"")</f>
        <v/>
      </c>
      <c r="H96" s="4" t="str">
        <f>IF(D96="","",COUNTIF(Productos!G:G,C96))</f>
        <v/>
      </c>
      <c r="J96" s="90"/>
    </row>
    <row r="97">
      <c r="A97" s="2" t="str">
        <f t="shared" si="1"/>
        <v/>
      </c>
      <c r="B97" s="4"/>
      <c r="C97" s="4"/>
      <c r="D97" s="3" t="str">
        <f t="shared" si="2"/>
        <v/>
      </c>
      <c r="E97" s="4"/>
      <c r="F97" s="2" t="str">
        <f>IFERROR(__xludf.DUMMYFUNCTION("IF(E97="""","""",IF(COUNTIFS(D$1:D96,D97,E$1:E96,E97)&gt;0,INDEX(filter(F$1:F96,D$1:D96=D97,E$1:E96=E97),1),""Selecciona..""))"),"")</f>
        <v/>
      </c>
      <c r="G97" s="2" t="str">
        <f>IFERROR(__xludf.DUMMYFUNCTION("IF($E97="""","""",IF(COUNTIFS($D$1:$D96,$D97,$E$1:$E96,$E97)&gt;0,INDEX(filter(G$1:G96,$D$1:$D96=$D97,$E$1:$E96=E97),1),""Selecciona..""))"),"")</f>
        <v/>
      </c>
      <c r="H97" s="4" t="str">
        <f>IF(D97="","",COUNTIF(Productos!G:G,C97))</f>
        <v/>
      </c>
      <c r="J97" s="90"/>
    </row>
    <row r="98">
      <c r="A98" s="2" t="str">
        <f t="shared" si="1"/>
        <v/>
      </c>
      <c r="B98" s="4"/>
      <c r="C98" s="4"/>
      <c r="D98" s="3" t="str">
        <f t="shared" si="2"/>
        <v/>
      </c>
      <c r="E98" s="4"/>
      <c r="F98" s="2" t="str">
        <f>IFERROR(__xludf.DUMMYFUNCTION("IF(E98="""","""",IF(COUNTIFS(D$1:D97,D98,E$1:E97,E98)&gt;0,INDEX(filter(F$1:F97,D$1:D97=D98,E$1:E97=E98),1),""Selecciona..""))"),"")</f>
        <v/>
      </c>
      <c r="G98" s="2" t="str">
        <f>IFERROR(__xludf.DUMMYFUNCTION("IF($E98="""","""",IF(COUNTIFS($D$1:$D97,$D98,$E$1:$E97,$E98)&gt;0,INDEX(filter(G$1:G97,$D$1:$D97=$D98,$E$1:$E97=E98),1),""Selecciona..""))"),"")</f>
        <v/>
      </c>
      <c r="H98" s="4" t="str">
        <f>IF(D98="","",COUNTIF(Productos!G:G,C98))</f>
        <v/>
      </c>
      <c r="J98" s="90"/>
    </row>
    <row r="99">
      <c r="A99" s="2" t="str">
        <f t="shared" si="1"/>
        <v/>
      </c>
      <c r="B99" s="4"/>
      <c r="C99" s="4"/>
      <c r="D99" s="3" t="str">
        <f t="shared" si="2"/>
        <v/>
      </c>
      <c r="E99" s="4"/>
      <c r="F99" s="2" t="str">
        <f>IFERROR(__xludf.DUMMYFUNCTION("IF(E99="""","""",IF(COUNTIFS(D$1:D98,D99,E$1:E98,E99)&gt;0,INDEX(filter(F$1:F98,D$1:D98=D99,E$1:E98=E99),1),""Selecciona..""))"),"")</f>
        <v/>
      </c>
      <c r="G99" s="2" t="str">
        <f>IFERROR(__xludf.DUMMYFUNCTION("IF($E99="""","""",IF(COUNTIFS($D$1:$D98,$D99,$E$1:$E98,$E99)&gt;0,INDEX(filter(G$1:G98,$D$1:$D98=$D99,$E$1:$E98=E99),1),""Selecciona..""))"),"")</f>
        <v/>
      </c>
      <c r="H99" s="4" t="str">
        <f>IF(D99="","",COUNTIF(Productos!G:G,C99))</f>
        <v/>
      </c>
      <c r="J99" s="90"/>
    </row>
    <row r="100">
      <c r="A100" s="2" t="str">
        <f t="shared" si="1"/>
        <v/>
      </c>
      <c r="B100" s="4"/>
      <c r="C100" s="4"/>
      <c r="D100" s="3" t="str">
        <f t="shared" si="2"/>
        <v/>
      </c>
      <c r="E100" s="4"/>
      <c r="F100" s="2" t="str">
        <f>IFERROR(__xludf.DUMMYFUNCTION("IF(E100="""","""",IF(COUNTIFS(D$1:D99,D100,E$1:E99,E100)&gt;0,INDEX(filter(F$1:F99,D$1:D99=D100,E$1:E99=E100),1),""Selecciona..""))"),"")</f>
        <v/>
      </c>
      <c r="G100" s="2" t="str">
        <f>IFERROR(__xludf.DUMMYFUNCTION("IF($E100="""","""",IF(COUNTIFS($D$1:$D99,$D100,$E$1:$E99,$E100)&gt;0,INDEX(filter(G$1:G99,$D$1:$D99=$D100,$E$1:$E99=E100),1),""Selecciona..""))"),"")</f>
        <v/>
      </c>
      <c r="H100" s="4" t="str">
        <f>IF(D100="","",COUNTIF(Productos!G:G,C100))</f>
        <v/>
      </c>
      <c r="J100" s="90"/>
    </row>
    <row r="101">
      <c r="A101" s="2" t="str">
        <f t="shared" si="1"/>
        <v/>
      </c>
      <c r="B101" s="4"/>
      <c r="C101" s="4"/>
      <c r="D101" s="3" t="str">
        <f t="shared" si="2"/>
        <v/>
      </c>
      <c r="E101" s="4"/>
      <c r="F101" s="2" t="str">
        <f>IFERROR(__xludf.DUMMYFUNCTION("IF(E101="""","""",IF(COUNTIFS(D$1:D100,D101,E$1:E100,E101)&gt;0,INDEX(filter(F$1:F100,D$1:D100=D101,E$1:E100=E101),1),""Selecciona..""))"),"")</f>
        <v/>
      </c>
      <c r="G101" s="2" t="str">
        <f>IFERROR(__xludf.DUMMYFUNCTION("IF($E101="""","""",IF(COUNTIFS($D$1:$D100,$D101,$E$1:$E100,$E101)&gt;0,INDEX(filter(G$1:G100,$D$1:$D100=$D101,$E$1:$E100=E101),1),""Selecciona..""))"),"")</f>
        <v/>
      </c>
      <c r="H101" s="4" t="str">
        <f>IF(D101="","",COUNTIF(Productos!G:G,C101))</f>
        <v/>
      </c>
      <c r="J101" s="90"/>
    </row>
    <row r="102">
      <c r="A102" s="2" t="str">
        <f t="shared" si="1"/>
        <v/>
      </c>
      <c r="B102" s="4"/>
      <c r="C102" s="4"/>
      <c r="D102" s="3" t="str">
        <f t="shared" si="2"/>
        <v/>
      </c>
      <c r="E102" s="4"/>
      <c r="F102" s="2" t="str">
        <f>IFERROR(__xludf.DUMMYFUNCTION("IF(E102="""","""",IF(COUNTIFS(D$1:D101,D102,E$1:E101,E102)&gt;0,INDEX(filter(F$1:F101,D$1:D101=D102,E$1:E101=E102),1),""Selecciona..""))"),"")</f>
        <v/>
      </c>
      <c r="G102" s="2" t="str">
        <f>IFERROR(__xludf.DUMMYFUNCTION("IF($E102="""","""",IF(COUNTIFS($D$1:$D101,$D102,$E$1:$E101,$E102)&gt;0,INDEX(filter(G$1:G101,$D$1:$D101=$D102,$E$1:$E101=E102),1),""Selecciona..""))"),"")</f>
        <v/>
      </c>
      <c r="H102" s="4" t="str">
        <f>IF(D102="","",COUNTIF(Productos!G:G,C102))</f>
        <v/>
      </c>
      <c r="J102" s="90"/>
    </row>
    <row r="103">
      <c r="A103" s="2" t="str">
        <f t="shared" si="1"/>
        <v/>
      </c>
      <c r="B103" s="4"/>
      <c r="C103" s="4"/>
      <c r="D103" s="3" t="str">
        <f t="shared" si="2"/>
        <v/>
      </c>
      <c r="E103" s="4"/>
      <c r="F103" s="2" t="str">
        <f>IFERROR(__xludf.DUMMYFUNCTION("IF(E103="""","""",IF(COUNTIFS(D$1:D102,D103,E$1:E102,E103)&gt;0,INDEX(filter(F$1:F102,D$1:D102=D103,E$1:E102=E103),1),""Selecciona..""))"),"")</f>
        <v/>
      </c>
      <c r="G103" s="2" t="str">
        <f>IFERROR(__xludf.DUMMYFUNCTION("IF($E103="""","""",IF(COUNTIFS($D$1:$D102,$D103,$E$1:$E102,$E103)&gt;0,INDEX(filter(G$1:G102,$D$1:$D102=$D103,$E$1:$E102=E103),1),""Selecciona..""))"),"")</f>
        <v/>
      </c>
      <c r="H103" s="4" t="str">
        <f>IF(D103="","",COUNTIF(Productos!G:G,C103))</f>
        <v/>
      </c>
      <c r="J103" s="90"/>
    </row>
    <row r="104">
      <c r="A104" s="2" t="str">
        <f t="shared" si="1"/>
        <v/>
      </c>
      <c r="B104" s="4"/>
      <c r="C104" s="4"/>
      <c r="D104" s="3" t="str">
        <f t="shared" si="2"/>
        <v/>
      </c>
      <c r="E104" s="4"/>
      <c r="F104" s="2" t="str">
        <f>IFERROR(__xludf.DUMMYFUNCTION("IF(E104="""","""",IF(COUNTIFS(D$1:D103,D104,E$1:E103,E104)&gt;0,INDEX(filter(F$1:F103,D$1:D103=D104,E$1:E103=E104),1),""Selecciona..""))"),"")</f>
        <v/>
      </c>
      <c r="G104" s="2" t="str">
        <f>IFERROR(__xludf.DUMMYFUNCTION("IF($E104="""","""",IF(COUNTIFS($D$1:$D103,$D104,$E$1:$E103,$E104)&gt;0,INDEX(filter(G$1:G103,$D$1:$D103=$D104,$E$1:$E103=E104),1),""Selecciona..""))"),"")</f>
        <v/>
      </c>
      <c r="H104" s="4" t="str">
        <f>IF(D104="","",COUNTIF(Productos!G:G,C104))</f>
        <v/>
      </c>
      <c r="J104" s="90"/>
    </row>
    <row r="105">
      <c r="A105" s="2" t="str">
        <f t="shared" si="1"/>
        <v/>
      </c>
      <c r="B105" s="4"/>
      <c r="C105" s="4"/>
      <c r="D105" s="3" t="str">
        <f t="shared" si="2"/>
        <v/>
      </c>
      <c r="E105" s="4"/>
      <c r="F105" s="2" t="str">
        <f>IFERROR(__xludf.DUMMYFUNCTION("IF(E105="""","""",IF(COUNTIFS(D$1:D104,D105,E$1:E104,E105)&gt;0,INDEX(filter(F$1:F104,D$1:D104=D105,E$1:E104=E105),1),""Selecciona..""))"),"")</f>
        <v/>
      </c>
      <c r="G105" s="2" t="str">
        <f>IFERROR(__xludf.DUMMYFUNCTION("IF($E105="""","""",IF(COUNTIFS($D$1:$D104,$D105,$E$1:$E104,$E105)&gt;0,INDEX(filter(G$1:G104,$D$1:$D104=$D105,$E$1:$E104=E105),1),""Selecciona..""))"),"")</f>
        <v/>
      </c>
      <c r="H105" s="4" t="str">
        <f>IF(D105="","",COUNTIF(Productos!G:G,C105))</f>
        <v/>
      </c>
      <c r="J105" s="90"/>
    </row>
    <row r="106">
      <c r="A106" s="2" t="str">
        <f t="shared" si="1"/>
        <v/>
      </c>
      <c r="B106" s="4"/>
      <c r="C106" s="4"/>
      <c r="D106" s="3" t="str">
        <f t="shared" si="2"/>
        <v/>
      </c>
      <c r="E106" s="4"/>
      <c r="F106" s="2" t="str">
        <f>IFERROR(__xludf.DUMMYFUNCTION("IF(E106="""","""",IF(COUNTIFS(D$1:D105,D106,E$1:E105,E106)&gt;0,INDEX(filter(F$1:F105,D$1:D105=D106,E$1:E105=E106),1),""Selecciona..""))"),"")</f>
        <v/>
      </c>
      <c r="G106" s="2" t="str">
        <f>IFERROR(__xludf.DUMMYFUNCTION("IF($E106="""","""",IF(COUNTIFS($D$1:$D105,$D106,$E$1:$E105,$E106)&gt;0,INDEX(filter(G$1:G105,$D$1:$D105=$D106,$E$1:$E105=E106),1),""Selecciona..""))"),"")</f>
        <v/>
      </c>
      <c r="H106" s="4" t="str">
        <f>IF(D106="","",COUNTIF(Productos!G:G,C106))</f>
        <v/>
      </c>
      <c r="J106" s="90"/>
    </row>
    <row r="107">
      <c r="A107" s="2" t="str">
        <f t="shared" si="1"/>
        <v/>
      </c>
      <c r="B107" s="4"/>
      <c r="C107" s="4"/>
      <c r="D107" s="3" t="str">
        <f t="shared" si="2"/>
        <v/>
      </c>
      <c r="E107" s="4"/>
      <c r="F107" s="2" t="str">
        <f>IFERROR(__xludf.DUMMYFUNCTION("IF(E107="""","""",IF(COUNTIFS(D$1:D106,D107,E$1:E106,E107)&gt;0,INDEX(filter(F$1:F106,D$1:D106=D107,E$1:E106=E107),1),""Selecciona..""))"),"")</f>
        <v/>
      </c>
      <c r="G107" s="2" t="str">
        <f>IFERROR(__xludf.DUMMYFUNCTION("IF($E107="""","""",IF(COUNTIFS($D$1:$D106,$D107,$E$1:$E106,$E107)&gt;0,INDEX(filter(G$1:G106,$D$1:$D106=$D107,$E$1:$E106=E107),1),""Selecciona..""))"),"")</f>
        <v/>
      </c>
      <c r="H107" s="4" t="str">
        <f>IF(D107="","",COUNTIF(Productos!G:G,C107))</f>
        <v/>
      </c>
      <c r="J107" s="90"/>
    </row>
    <row r="108">
      <c r="A108" s="2" t="str">
        <f t="shared" si="1"/>
        <v/>
      </c>
      <c r="B108" s="4"/>
      <c r="C108" s="4"/>
      <c r="D108" s="3" t="str">
        <f t="shared" si="2"/>
        <v/>
      </c>
      <c r="E108" s="4"/>
      <c r="F108" s="2" t="str">
        <f>IFERROR(__xludf.DUMMYFUNCTION("IF(E108="""","""",IF(COUNTIFS(D$1:D107,D108,E$1:E107,E108)&gt;0,INDEX(filter(F$1:F107,D$1:D107=D108,E$1:E107=E108),1),""Selecciona..""))"),"")</f>
        <v/>
      </c>
      <c r="G108" s="2" t="str">
        <f>IFERROR(__xludf.DUMMYFUNCTION("IF($E108="""","""",IF(COUNTIFS($D$1:$D107,$D108,$E$1:$E107,$E108)&gt;0,INDEX(filter(G$1:G107,$D$1:$D107=$D108,$E$1:$E107=E108),1),""Selecciona..""))"),"")</f>
        <v/>
      </c>
      <c r="H108" s="4" t="str">
        <f>IF(D108="","",COUNTIF(Productos!G:G,C108))</f>
        <v/>
      </c>
      <c r="J108" s="90"/>
    </row>
    <row r="109">
      <c r="A109" s="2" t="str">
        <f t="shared" si="1"/>
        <v/>
      </c>
      <c r="B109" s="4"/>
      <c r="C109" s="4"/>
      <c r="D109" s="3" t="str">
        <f t="shared" si="2"/>
        <v/>
      </c>
      <c r="E109" s="4"/>
      <c r="F109" s="2" t="str">
        <f>IFERROR(__xludf.DUMMYFUNCTION("IF(E109="""","""",IF(COUNTIFS(D$1:D108,D109,E$1:E108,E109)&gt;0,INDEX(filter(F$1:F108,D$1:D108=D109,E$1:E108=E109),1),""Selecciona..""))"),"")</f>
        <v/>
      </c>
      <c r="G109" s="2" t="str">
        <f>IFERROR(__xludf.DUMMYFUNCTION("IF($E109="""","""",IF(COUNTIFS($D$1:$D108,$D109,$E$1:$E108,$E109)&gt;0,INDEX(filter(G$1:G108,$D$1:$D108=$D109,$E$1:$E108=E109),1),""Selecciona..""))"),"")</f>
        <v/>
      </c>
      <c r="H109" s="4" t="str">
        <f>IF(D109="","",COUNTIF(Productos!G:G,C109))</f>
        <v/>
      </c>
      <c r="J109" s="90"/>
    </row>
    <row r="110">
      <c r="A110" s="2" t="str">
        <f t="shared" si="1"/>
        <v/>
      </c>
      <c r="B110" s="4"/>
      <c r="C110" s="4"/>
      <c r="D110" s="3" t="str">
        <f t="shared" si="2"/>
        <v/>
      </c>
      <c r="E110" s="4"/>
      <c r="F110" s="2" t="str">
        <f>IFERROR(__xludf.DUMMYFUNCTION("IF(E110="""","""",IF(COUNTIFS(D$1:D109,D110,E$1:E109,E110)&gt;0,INDEX(filter(F$1:F109,D$1:D109=D110,E$1:E109=E110),1),""Selecciona..""))"),"")</f>
        <v/>
      </c>
      <c r="G110" s="2" t="str">
        <f>IFERROR(__xludf.DUMMYFUNCTION("IF($E110="""","""",IF(COUNTIFS($D$1:$D109,$D110,$E$1:$E109,$E110)&gt;0,INDEX(filter(G$1:G109,$D$1:$D109=$D110,$E$1:$E109=E110),1),""Selecciona..""))"),"")</f>
        <v/>
      </c>
      <c r="H110" s="4" t="str">
        <f>IF(D110="","",COUNTIF(Productos!G:G,C110))</f>
        <v/>
      </c>
      <c r="J110" s="90"/>
    </row>
    <row r="111">
      <c r="A111" s="2" t="str">
        <f t="shared" si="1"/>
        <v/>
      </c>
      <c r="B111" s="4"/>
      <c r="C111" s="4"/>
      <c r="D111" s="3" t="str">
        <f t="shared" si="2"/>
        <v/>
      </c>
      <c r="E111" s="4"/>
      <c r="F111" s="2" t="str">
        <f>IFERROR(__xludf.DUMMYFUNCTION("IF(E111="""","""",IF(COUNTIFS(D$1:D110,D111,E$1:E110,E111)&gt;0,INDEX(filter(F$1:F110,D$1:D110=D111,E$1:E110=E111),1),""Selecciona..""))"),"")</f>
        <v/>
      </c>
      <c r="G111" s="2" t="str">
        <f>IFERROR(__xludf.DUMMYFUNCTION("IF($E111="""","""",IF(COUNTIFS($D$1:$D110,$D111,$E$1:$E110,$E111)&gt;0,INDEX(filter(G$1:G110,$D$1:$D110=$D111,$E$1:$E110=E111),1),""Selecciona..""))"),"")</f>
        <v/>
      </c>
      <c r="H111" s="4" t="str">
        <f>IF(D111="","",COUNTIF(Productos!G:G,C111))</f>
        <v/>
      </c>
      <c r="J111" s="90"/>
    </row>
    <row r="112">
      <c r="A112" s="2" t="str">
        <f t="shared" si="1"/>
        <v/>
      </c>
      <c r="B112" s="4"/>
      <c r="C112" s="4"/>
      <c r="D112" s="3" t="str">
        <f t="shared" si="2"/>
        <v/>
      </c>
      <c r="E112" s="4"/>
      <c r="F112" s="2" t="str">
        <f>IFERROR(__xludf.DUMMYFUNCTION("IF(E112="""","""",IF(COUNTIFS(D$1:D111,D112,E$1:E111,E112)&gt;0,INDEX(filter(F$1:F111,D$1:D111=D112,E$1:E111=E112),1),""Selecciona..""))"),"")</f>
        <v/>
      </c>
      <c r="G112" s="2" t="str">
        <f>IFERROR(__xludf.DUMMYFUNCTION("IF($E112="""","""",IF(COUNTIFS($D$1:$D111,$D112,$E$1:$E111,$E112)&gt;0,INDEX(filter(G$1:G111,$D$1:$D111=$D112,$E$1:$E111=E112),1),""Selecciona..""))"),"")</f>
        <v/>
      </c>
      <c r="H112" s="4" t="str">
        <f>IF(D112="","",COUNTIF(Productos!G:G,C112))</f>
        <v/>
      </c>
      <c r="J112" s="90"/>
    </row>
    <row r="113">
      <c r="A113" s="2" t="str">
        <f t="shared" si="1"/>
        <v/>
      </c>
      <c r="B113" s="4"/>
      <c r="C113" s="4"/>
      <c r="D113" s="3" t="str">
        <f t="shared" si="2"/>
        <v/>
      </c>
      <c r="E113" s="4"/>
      <c r="F113" s="2" t="str">
        <f>IFERROR(__xludf.DUMMYFUNCTION("IF(E113="""","""",IF(COUNTIFS(D$1:D112,D113,E$1:E112,E113)&gt;0,INDEX(filter(F$1:F112,D$1:D112=D113,E$1:E112=E113),1),""Selecciona..""))"),"")</f>
        <v/>
      </c>
      <c r="G113" s="2" t="str">
        <f>IFERROR(__xludf.DUMMYFUNCTION("IF($E113="""","""",IF(COUNTIFS($D$1:$D112,$D113,$E$1:$E112,$E113)&gt;0,INDEX(filter(G$1:G112,$D$1:$D112=$D113,$E$1:$E112=E113),1),""Selecciona..""))"),"")</f>
        <v/>
      </c>
      <c r="H113" s="4" t="str">
        <f>IF(D113="","",COUNTIF(Productos!G:G,C113))</f>
        <v/>
      </c>
      <c r="J113" s="90"/>
    </row>
    <row r="114">
      <c r="A114" s="2" t="str">
        <f t="shared" si="1"/>
        <v/>
      </c>
      <c r="B114" s="4"/>
      <c r="C114" s="4"/>
      <c r="D114" s="3" t="str">
        <f t="shared" si="2"/>
        <v/>
      </c>
      <c r="E114" s="4"/>
      <c r="F114" s="2" t="str">
        <f>IFERROR(__xludf.DUMMYFUNCTION("IF(E114="""","""",IF(COUNTIFS(D$1:D113,D114,E$1:E113,E114)&gt;0,INDEX(filter(F$1:F113,D$1:D113=D114,E$1:E113=E114),1),""Selecciona..""))"),"")</f>
        <v/>
      </c>
      <c r="G114" s="2" t="str">
        <f>IFERROR(__xludf.DUMMYFUNCTION("IF($E114="""","""",IF(COUNTIFS($D$1:$D113,$D114,$E$1:$E113,$E114)&gt;0,INDEX(filter(G$1:G113,$D$1:$D113=$D114,$E$1:$E113=E114),1),""Selecciona..""))"),"")</f>
        <v/>
      </c>
      <c r="H114" s="4" t="str">
        <f>IF(D114="","",COUNTIF(Productos!G:G,C114))</f>
        <v/>
      </c>
      <c r="J114" s="90"/>
    </row>
    <row r="115">
      <c r="A115" s="2" t="str">
        <f t="shared" si="1"/>
        <v/>
      </c>
      <c r="B115" s="4"/>
      <c r="C115" s="4"/>
      <c r="D115" s="3" t="str">
        <f t="shared" si="2"/>
        <v/>
      </c>
      <c r="E115" s="4"/>
      <c r="F115" s="2" t="str">
        <f>IFERROR(__xludf.DUMMYFUNCTION("IF(E115="""","""",IF(COUNTIFS(D$1:D114,D115,E$1:E114,E115)&gt;0,INDEX(filter(F$1:F114,D$1:D114=D115,E$1:E114=E115),1),""Selecciona..""))"),"")</f>
        <v/>
      </c>
      <c r="G115" s="2" t="str">
        <f>IFERROR(__xludf.DUMMYFUNCTION("IF($E115="""","""",IF(COUNTIFS($D$1:$D114,$D115,$E$1:$E114,$E115)&gt;0,INDEX(filter(G$1:G114,$D$1:$D114=$D115,$E$1:$E114=E115),1),""Selecciona..""))"),"")</f>
        <v/>
      </c>
      <c r="H115" s="4" t="str">
        <f>IF(D115="","",COUNTIF(Productos!G:G,C115))</f>
        <v/>
      </c>
      <c r="J115" s="90"/>
    </row>
    <row r="116">
      <c r="A116" s="2" t="str">
        <f t="shared" si="1"/>
        <v/>
      </c>
      <c r="B116" s="4"/>
      <c r="C116" s="4"/>
      <c r="D116" s="3" t="str">
        <f t="shared" si="2"/>
        <v/>
      </c>
      <c r="E116" s="4"/>
      <c r="F116" s="2" t="str">
        <f>IFERROR(__xludf.DUMMYFUNCTION("IF(E116="""","""",IF(COUNTIFS(D$1:D115,D116,E$1:E115,E116)&gt;0,INDEX(filter(F$1:F115,D$1:D115=D116,E$1:E115=E116),1),""Selecciona..""))"),"")</f>
        <v/>
      </c>
      <c r="G116" s="2" t="str">
        <f>IFERROR(__xludf.DUMMYFUNCTION("IF($E116="""","""",IF(COUNTIFS($D$1:$D115,$D116,$E$1:$E115,$E116)&gt;0,INDEX(filter(G$1:G115,$D$1:$D115=$D116,$E$1:$E115=E116),1),""Selecciona..""))"),"")</f>
        <v/>
      </c>
      <c r="H116" s="4" t="str">
        <f>IF(D116="","",COUNTIF(Productos!G:G,C116))</f>
        <v/>
      </c>
      <c r="J116" s="90"/>
    </row>
    <row r="117">
      <c r="A117" s="2" t="str">
        <f t="shared" si="1"/>
        <v/>
      </c>
      <c r="B117" s="4"/>
      <c r="C117" s="4"/>
      <c r="D117" s="3" t="str">
        <f t="shared" si="2"/>
        <v/>
      </c>
      <c r="E117" s="4"/>
      <c r="F117" s="2" t="str">
        <f>IFERROR(__xludf.DUMMYFUNCTION("IF(E117="""","""",IF(COUNTIFS(D$1:D116,D117,E$1:E116,E117)&gt;0,INDEX(filter(F$1:F116,D$1:D116=D117,E$1:E116=E117),1),""Selecciona..""))"),"")</f>
        <v/>
      </c>
      <c r="G117" s="2" t="str">
        <f>IFERROR(__xludf.DUMMYFUNCTION("IF($E117="""","""",IF(COUNTIFS($D$1:$D116,$D117,$E$1:$E116,$E117)&gt;0,INDEX(filter(G$1:G116,$D$1:$D116=$D117,$E$1:$E116=E117),1),""Selecciona..""))"),"")</f>
        <v/>
      </c>
      <c r="H117" s="4" t="str">
        <f>IF(D117="","",COUNTIF(Productos!G:G,C117))</f>
        <v/>
      </c>
      <c r="J117" s="90"/>
    </row>
    <row r="118">
      <c r="A118" s="2" t="str">
        <f t="shared" si="1"/>
        <v/>
      </c>
      <c r="B118" s="4"/>
      <c r="C118" s="4"/>
      <c r="D118" s="3" t="str">
        <f t="shared" si="2"/>
        <v/>
      </c>
      <c r="E118" s="4"/>
      <c r="F118" s="2" t="str">
        <f>IFERROR(__xludf.DUMMYFUNCTION("IF(E118="""","""",IF(COUNTIFS(D$1:D117,D118,E$1:E117,E118)&gt;0,INDEX(filter(F$1:F117,D$1:D117=D118,E$1:E117=E118),1),""Selecciona..""))"),"")</f>
        <v/>
      </c>
      <c r="G118" s="2" t="str">
        <f>IFERROR(__xludf.DUMMYFUNCTION("IF($E118="""","""",IF(COUNTIFS($D$1:$D117,$D118,$E$1:$E117,$E118)&gt;0,INDEX(filter(G$1:G117,$D$1:$D117=$D118,$E$1:$E117=E118),1),""Selecciona..""))"),"")</f>
        <v/>
      </c>
      <c r="H118" s="4" t="str">
        <f>IF(D118="","",COUNTIF(Productos!G:G,C118))</f>
        <v/>
      </c>
      <c r="J118" s="90"/>
    </row>
    <row r="119">
      <c r="A119" s="2" t="str">
        <f t="shared" si="1"/>
        <v/>
      </c>
      <c r="B119" s="4"/>
      <c r="C119" s="4"/>
      <c r="D119" s="3" t="str">
        <f t="shared" si="2"/>
        <v/>
      </c>
      <c r="E119" s="4"/>
      <c r="F119" s="2" t="str">
        <f>IFERROR(__xludf.DUMMYFUNCTION("IF(E119="""","""",IF(COUNTIFS(D$1:D118,D119,E$1:E118,E119)&gt;0,INDEX(filter(F$1:F118,D$1:D118=D119,E$1:E118=E119),1),""Selecciona..""))"),"")</f>
        <v/>
      </c>
      <c r="G119" s="2" t="str">
        <f>IFERROR(__xludf.DUMMYFUNCTION("IF($E119="""","""",IF(COUNTIFS($D$1:$D118,$D119,$E$1:$E118,$E119)&gt;0,INDEX(filter(G$1:G118,$D$1:$D118=$D119,$E$1:$E118=E119),1),""Selecciona..""))"),"")</f>
        <v/>
      </c>
      <c r="H119" s="4" t="str">
        <f>IF(D119="","",COUNTIF(Productos!G:G,C119))</f>
        <v/>
      </c>
      <c r="J119" s="90"/>
    </row>
    <row r="120">
      <c r="A120" s="2" t="str">
        <f t="shared" si="1"/>
        <v/>
      </c>
      <c r="B120" s="4"/>
      <c r="C120" s="4"/>
      <c r="D120" s="3" t="str">
        <f t="shared" si="2"/>
        <v/>
      </c>
      <c r="E120" s="4"/>
      <c r="F120" s="2" t="str">
        <f>IFERROR(__xludf.DUMMYFUNCTION("IF(E120="""","""",IF(COUNTIFS(D$1:D119,D120,E$1:E119,E120)&gt;0,INDEX(filter(F$1:F119,D$1:D119=D120,E$1:E119=E120),1),""Selecciona..""))"),"")</f>
        <v/>
      </c>
      <c r="G120" s="2" t="str">
        <f>IFERROR(__xludf.DUMMYFUNCTION("IF($E120="""","""",IF(COUNTIFS($D$1:$D119,$D120,$E$1:$E119,$E120)&gt;0,INDEX(filter(G$1:G119,$D$1:$D119=$D120,$E$1:$E119=E120),1),""Selecciona..""))"),"")</f>
        <v/>
      </c>
      <c r="H120" s="4" t="str">
        <f>IF(D120="","",COUNTIF(Productos!G:G,C120))</f>
        <v/>
      </c>
      <c r="J120" s="90"/>
    </row>
    <row r="121">
      <c r="A121" s="2" t="str">
        <f t="shared" si="1"/>
        <v/>
      </c>
      <c r="B121" s="4"/>
      <c r="C121" s="4"/>
      <c r="D121" s="3" t="str">
        <f t="shared" si="2"/>
        <v/>
      </c>
      <c r="E121" s="4"/>
      <c r="F121" s="2" t="str">
        <f>IFERROR(__xludf.DUMMYFUNCTION("IF(E121="""","""",IF(COUNTIFS(D$1:D120,D121,E$1:E120,E121)&gt;0,INDEX(filter(F$1:F120,D$1:D120=D121,E$1:E120=E121),1),""Selecciona..""))"),"")</f>
        <v/>
      </c>
      <c r="G121" s="2" t="str">
        <f>IFERROR(__xludf.DUMMYFUNCTION("IF($E121="""","""",IF(COUNTIFS($D$1:$D120,$D121,$E$1:$E120,$E121)&gt;0,INDEX(filter(G$1:G120,$D$1:$D120=$D121,$E$1:$E120=E121),1),""Selecciona..""))"),"")</f>
        <v/>
      </c>
      <c r="H121" s="4" t="str">
        <f>IF(D121="","",COUNTIF(Productos!G:G,C121))</f>
        <v/>
      </c>
      <c r="J121" s="90"/>
    </row>
    <row r="122">
      <c r="A122" s="2" t="str">
        <f t="shared" si="1"/>
        <v/>
      </c>
      <c r="B122" s="4"/>
      <c r="C122" s="4"/>
      <c r="D122" s="3" t="str">
        <f t="shared" si="2"/>
        <v/>
      </c>
      <c r="E122" s="4"/>
      <c r="F122" s="2" t="str">
        <f>IFERROR(__xludf.DUMMYFUNCTION("IF(E122="""","""",IF(COUNTIFS(D$1:D121,D122,E$1:E121,E122)&gt;0,INDEX(filter(F$1:F121,D$1:D121=D122,E$1:E121=E122),1),""Selecciona..""))"),"")</f>
        <v/>
      </c>
      <c r="G122" s="2" t="str">
        <f>IFERROR(__xludf.DUMMYFUNCTION("IF($E122="""","""",IF(COUNTIFS($D$1:$D121,$D122,$E$1:$E121,$E122)&gt;0,INDEX(filter(G$1:G121,$D$1:$D121=$D122,$E$1:$E121=E122),1),""Selecciona..""))"),"")</f>
        <v/>
      </c>
      <c r="H122" s="4" t="str">
        <f>IF(D122="","",COUNTIF(Productos!G:G,C122))</f>
        <v/>
      </c>
      <c r="J122" s="90"/>
    </row>
    <row r="123">
      <c r="A123" s="2" t="str">
        <f t="shared" si="1"/>
        <v/>
      </c>
      <c r="B123" s="4"/>
      <c r="C123" s="4"/>
      <c r="D123" s="3" t="str">
        <f t="shared" si="2"/>
        <v/>
      </c>
      <c r="E123" s="4"/>
      <c r="F123" s="2" t="str">
        <f>IFERROR(__xludf.DUMMYFUNCTION("IF(E123="""","""",IF(COUNTIFS(D$1:D122,D123,E$1:E122,E123)&gt;0,INDEX(filter(F$1:F122,D$1:D122=D123,E$1:E122=E123),1),""Selecciona..""))"),"")</f>
        <v/>
      </c>
      <c r="G123" s="2" t="str">
        <f>IFERROR(__xludf.DUMMYFUNCTION("IF($E123="""","""",IF(COUNTIFS($D$1:$D122,$D123,$E$1:$E122,$E123)&gt;0,INDEX(filter(G$1:G122,$D$1:$D122=$D123,$E$1:$E122=E123),1),""Selecciona..""))"),"")</f>
        <v/>
      </c>
      <c r="H123" s="4" t="str">
        <f>IF(D123="","",COUNTIF(Productos!G:G,C123))</f>
        <v/>
      </c>
      <c r="J123" s="90"/>
    </row>
    <row r="124">
      <c r="A124" s="2" t="str">
        <f t="shared" si="1"/>
        <v/>
      </c>
      <c r="B124" s="4"/>
      <c r="C124" s="4"/>
      <c r="D124" s="3" t="str">
        <f t="shared" si="2"/>
        <v/>
      </c>
      <c r="E124" s="4"/>
      <c r="F124" s="2" t="str">
        <f>IFERROR(__xludf.DUMMYFUNCTION("IF(E124="""","""",IF(COUNTIFS(D$1:D123,D124,E$1:E123,E124)&gt;0,INDEX(filter(F$1:F123,D$1:D123=D124,E$1:E123=E124),1),""Selecciona..""))"),"")</f>
        <v/>
      </c>
      <c r="G124" s="2" t="str">
        <f>IFERROR(__xludf.DUMMYFUNCTION("IF($E124="""","""",IF(COUNTIFS($D$1:$D123,$D124,$E$1:$E123,$E124)&gt;0,INDEX(filter(G$1:G123,$D$1:$D123=$D124,$E$1:$E123=E124),1),""Selecciona..""))"),"")</f>
        <v/>
      </c>
      <c r="H124" s="4" t="str">
        <f>IF(D124="","",COUNTIF(Productos!G:G,C124))</f>
        <v/>
      </c>
      <c r="J124" s="90"/>
    </row>
    <row r="125">
      <c r="A125" s="2" t="str">
        <f t="shared" si="1"/>
        <v/>
      </c>
      <c r="B125" s="4"/>
      <c r="C125" s="4"/>
      <c r="D125" s="3" t="str">
        <f t="shared" si="2"/>
        <v/>
      </c>
      <c r="E125" s="4"/>
      <c r="F125" s="2" t="str">
        <f>IFERROR(__xludf.DUMMYFUNCTION("IF(E125="""","""",IF(COUNTIFS(D$1:D124,D125,E$1:E124,E125)&gt;0,INDEX(filter(F$1:F124,D$1:D124=D125,E$1:E124=E125),1),""Selecciona..""))"),"")</f>
        <v/>
      </c>
      <c r="G125" s="2" t="str">
        <f>IFERROR(__xludf.DUMMYFUNCTION("IF($E125="""","""",IF(COUNTIFS($D$1:$D124,$D125,$E$1:$E124,$E125)&gt;0,INDEX(filter(G$1:G124,$D$1:$D124=$D125,$E$1:$E124=E125),1),""Selecciona..""))"),"")</f>
        <v/>
      </c>
      <c r="H125" s="4" t="str">
        <f>IF(D125="","",COUNTIF(Productos!G:G,C125))</f>
        <v/>
      </c>
      <c r="J125" s="90"/>
    </row>
    <row r="126">
      <c r="A126" s="2" t="str">
        <f t="shared" si="1"/>
        <v/>
      </c>
      <c r="B126" s="4"/>
      <c r="C126" s="4"/>
      <c r="D126" s="3" t="str">
        <f t="shared" si="2"/>
        <v/>
      </c>
      <c r="E126" s="4"/>
      <c r="F126" s="2" t="str">
        <f>IFERROR(__xludf.DUMMYFUNCTION("IF(E126="""","""",IF(COUNTIFS(D$1:D125,D126,E$1:E125,E126)&gt;0,INDEX(filter(F$1:F125,D$1:D125=D126,E$1:E125=E126),1),""Selecciona..""))"),"")</f>
        <v/>
      </c>
      <c r="G126" s="2" t="str">
        <f>IFERROR(__xludf.DUMMYFUNCTION("IF($E126="""","""",IF(COUNTIFS($D$1:$D125,$D126,$E$1:$E125,$E126)&gt;0,INDEX(filter(G$1:G125,$D$1:$D125=$D126,$E$1:$E125=E126),1),""Selecciona..""))"),"")</f>
        <v/>
      </c>
      <c r="H126" s="4" t="str">
        <f>IF(D126="","",COUNTIF(Productos!G:G,C126))</f>
        <v/>
      </c>
      <c r="J126" s="90"/>
    </row>
    <row r="127">
      <c r="A127" s="2" t="str">
        <f t="shared" si="1"/>
        <v/>
      </c>
      <c r="B127" s="4"/>
      <c r="C127" s="4"/>
      <c r="D127" s="3" t="str">
        <f t="shared" si="2"/>
        <v/>
      </c>
      <c r="E127" s="4"/>
      <c r="F127" s="2" t="str">
        <f>IFERROR(__xludf.DUMMYFUNCTION("IF(E127="""","""",IF(COUNTIFS(D$1:D126,D127,E$1:E126,E127)&gt;0,INDEX(filter(F$1:F126,D$1:D126=D127,E$1:E126=E127),1),""Selecciona..""))"),"")</f>
        <v/>
      </c>
      <c r="G127" s="2" t="str">
        <f>IFERROR(__xludf.DUMMYFUNCTION("IF($E127="""","""",IF(COUNTIFS($D$1:$D126,$D127,$E$1:$E126,$E127)&gt;0,INDEX(filter(G$1:G126,$D$1:$D126=$D127,$E$1:$E126=E127),1),""Selecciona..""))"),"")</f>
        <v/>
      </c>
      <c r="H127" s="4" t="str">
        <f>IF(D127="","",COUNTIF(Productos!G:G,C127))</f>
        <v/>
      </c>
      <c r="J127" s="90"/>
    </row>
    <row r="128">
      <c r="A128" s="2" t="str">
        <f t="shared" si="1"/>
        <v/>
      </c>
      <c r="B128" s="4"/>
      <c r="C128" s="4"/>
      <c r="D128" s="3" t="str">
        <f t="shared" si="2"/>
        <v/>
      </c>
      <c r="E128" s="4"/>
      <c r="F128" s="2" t="str">
        <f>IFERROR(__xludf.DUMMYFUNCTION("IF(E128="""","""",IF(COUNTIFS(D$1:D127,D128,E$1:E127,E128)&gt;0,INDEX(filter(F$1:F127,D$1:D127=D128,E$1:E127=E128),1),""Selecciona..""))"),"")</f>
        <v/>
      </c>
      <c r="G128" s="2" t="str">
        <f>IFERROR(__xludf.DUMMYFUNCTION("IF($E128="""","""",IF(COUNTIFS($D$1:$D127,$D128,$E$1:$E127,$E128)&gt;0,INDEX(filter(G$1:G127,$D$1:$D127=$D128,$E$1:$E127=E128),1),""Selecciona..""))"),"")</f>
        <v/>
      </c>
      <c r="H128" s="4" t="str">
        <f>IF(D128="","",COUNTIF(Productos!G:G,C128))</f>
        <v/>
      </c>
      <c r="J128" s="90"/>
    </row>
    <row r="129">
      <c r="A129" s="2" t="str">
        <f t="shared" si="1"/>
        <v/>
      </c>
      <c r="B129" s="4"/>
      <c r="C129" s="4"/>
      <c r="D129" s="3" t="str">
        <f t="shared" si="2"/>
        <v/>
      </c>
      <c r="E129" s="4"/>
      <c r="F129" s="2" t="str">
        <f>IFERROR(__xludf.DUMMYFUNCTION("IF(E129="""","""",IF(COUNTIFS(D$1:D128,D129,E$1:E128,E129)&gt;0,INDEX(filter(F$1:F128,D$1:D128=D129,E$1:E128=E129),1),""Selecciona..""))"),"")</f>
        <v/>
      </c>
      <c r="G129" s="2" t="str">
        <f>IFERROR(__xludf.DUMMYFUNCTION("IF($E129="""","""",IF(COUNTIFS($D$1:$D128,$D129,$E$1:$E128,$E129)&gt;0,INDEX(filter(G$1:G128,$D$1:$D128=$D129,$E$1:$E128=E129),1),""Selecciona..""))"),"")</f>
        <v/>
      </c>
      <c r="H129" s="4" t="str">
        <f>IF(D129="","",COUNTIF(Productos!G:G,C129))</f>
        <v/>
      </c>
      <c r="J129" s="90"/>
    </row>
    <row r="130">
      <c r="A130" s="2" t="str">
        <f t="shared" si="1"/>
        <v/>
      </c>
      <c r="B130" s="4"/>
      <c r="C130" s="4"/>
      <c r="D130" s="3" t="str">
        <f t="shared" si="2"/>
        <v/>
      </c>
      <c r="E130" s="4"/>
      <c r="F130" s="2" t="str">
        <f>IFERROR(__xludf.DUMMYFUNCTION("IF(E130="""","""",IF(COUNTIFS(D$1:D129,D130,E$1:E129,E130)&gt;0,INDEX(filter(F$1:F129,D$1:D129=D130,E$1:E129=E130),1),""Selecciona..""))"),"")</f>
        <v/>
      </c>
      <c r="G130" s="2" t="str">
        <f>IFERROR(__xludf.DUMMYFUNCTION("IF($E130="""","""",IF(COUNTIFS($D$1:$D129,$D130,$E$1:$E129,$E130)&gt;0,INDEX(filter(G$1:G129,$D$1:$D129=$D130,$E$1:$E129=E130),1),""Selecciona..""))"),"")</f>
        <v/>
      </c>
      <c r="H130" s="4" t="str">
        <f>IF(D130="","",COUNTIF(Productos!G:G,C130))</f>
        <v/>
      </c>
      <c r="J130" s="90"/>
    </row>
    <row r="131">
      <c r="A131" s="2" t="str">
        <f t="shared" si="1"/>
        <v/>
      </c>
      <c r="B131" s="4"/>
      <c r="C131" s="4"/>
      <c r="D131" s="3" t="str">
        <f t="shared" si="2"/>
        <v/>
      </c>
      <c r="E131" s="4"/>
      <c r="F131" s="2" t="str">
        <f>IFERROR(__xludf.DUMMYFUNCTION("IF(E131="""","""",IF(COUNTIFS(D$1:D130,D131,E$1:E130,E131)&gt;0,INDEX(filter(F$1:F130,D$1:D130=D131,E$1:E130=E131),1),""Selecciona..""))"),"")</f>
        <v/>
      </c>
      <c r="G131" s="2" t="str">
        <f>IFERROR(__xludf.DUMMYFUNCTION("IF($E131="""","""",IF(COUNTIFS($D$1:$D130,$D131,$E$1:$E130,$E131)&gt;0,INDEX(filter(G$1:G130,$D$1:$D130=$D131,$E$1:$E130=E131),1),""Selecciona..""))"),"")</f>
        <v/>
      </c>
      <c r="H131" s="4" t="str">
        <f>IF(D131="","",COUNTIF(Productos!G:G,C131))</f>
        <v/>
      </c>
      <c r="J131" s="90"/>
    </row>
    <row r="132">
      <c r="A132" s="2" t="str">
        <f t="shared" si="1"/>
        <v/>
      </c>
      <c r="B132" s="4"/>
      <c r="C132" s="4"/>
      <c r="D132" s="3" t="str">
        <f t="shared" si="2"/>
        <v/>
      </c>
      <c r="E132" s="4"/>
      <c r="F132" s="2" t="str">
        <f>IFERROR(__xludf.DUMMYFUNCTION("IF(E132="""","""",IF(COUNTIFS(D$1:D131,D132,E$1:E131,E132)&gt;0,INDEX(filter(F$1:F131,D$1:D131=D132,E$1:E131=E132),1),""Selecciona..""))"),"")</f>
        <v/>
      </c>
      <c r="G132" s="2" t="str">
        <f>IFERROR(__xludf.DUMMYFUNCTION("IF($E132="""","""",IF(COUNTIFS($D$1:$D131,$D132,$E$1:$E131,$E132)&gt;0,INDEX(filter(G$1:G131,$D$1:$D131=$D132,$E$1:$E131=E132),1),""Selecciona..""))"),"")</f>
        <v/>
      </c>
      <c r="H132" s="4" t="str">
        <f>IF(D132="","",COUNTIF(Productos!G:G,C132))</f>
        <v/>
      </c>
      <c r="J132" s="90"/>
    </row>
    <row r="133">
      <c r="A133" s="2" t="str">
        <f t="shared" si="1"/>
        <v/>
      </c>
      <c r="B133" s="4"/>
      <c r="C133" s="4"/>
      <c r="D133" s="3" t="str">
        <f t="shared" si="2"/>
        <v/>
      </c>
      <c r="E133" s="4"/>
      <c r="F133" s="2" t="str">
        <f>IFERROR(__xludf.DUMMYFUNCTION("IF(E133="""","""",IF(COUNTIFS(D$1:D132,D133,E$1:E132,E133)&gt;0,INDEX(filter(F$1:F132,D$1:D132=D133,E$1:E132=E133),1),""Selecciona..""))"),"")</f>
        <v/>
      </c>
      <c r="G133" s="2" t="str">
        <f>IFERROR(__xludf.DUMMYFUNCTION("IF($E133="""","""",IF(COUNTIFS($D$1:$D132,$D133,$E$1:$E132,$E133)&gt;0,INDEX(filter(G$1:G132,$D$1:$D132=$D133,$E$1:$E132=E133),1),""Selecciona..""))"),"")</f>
        <v/>
      </c>
      <c r="H133" s="4" t="str">
        <f>IF(D133="","",COUNTIF(Productos!G:G,C133))</f>
        <v/>
      </c>
      <c r="J133" s="90"/>
    </row>
    <row r="134">
      <c r="A134" s="2" t="str">
        <f t="shared" si="1"/>
        <v/>
      </c>
      <c r="B134" s="4"/>
      <c r="C134" s="4"/>
      <c r="D134" s="3" t="str">
        <f t="shared" si="2"/>
        <v/>
      </c>
      <c r="E134" s="4"/>
      <c r="F134" s="2" t="str">
        <f>IFERROR(__xludf.DUMMYFUNCTION("IF(E134="""","""",IF(COUNTIFS(D$1:D133,D134,E$1:E133,E134)&gt;0,INDEX(filter(F$1:F133,D$1:D133=D134,E$1:E133=E134),1),""Selecciona..""))"),"")</f>
        <v/>
      </c>
      <c r="G134" s="2" t="str">
        <f>IFERROR(__xludf.DUMMYFUNCTION("IF($E134="""","""",IF(COUNTIFS($D$1:$D133,$D134,$E$1:$E133,$E134)&gt;0,INDEX(filter(G$1:G133,$D$1:$D133=$D134,$E$1:$E133=E134),1),""Selecciona..""))"),"")</f>
        <v/>
      </c>
      <c r="H134" s="4" t="str">
        <f>IF(D134="","",COUNTIF(Productos!G:G,C134))</f>
        <v/>
      </c>
      <c r="J134" s="90"/>
    </row>
    <row r="135">
      <c r="A135" s="2" t="str">
        <f t="shared" si="1"/>
        <v/>
      </c>
      <c r="B135" s="4"/>
      <c r="C135" s="4"/>
      <c r="D135" s="3" t="str">
        <f t="shared" si="2"/>
        <v/>
      </c>
      <c r="E135" s="4"/>
      <c r="F135" s="2" t="str">
        <f>IFERROR(__xludf.DUMMYFUNCTION("IF(E135="""","""",IF(COUNTIFS(D$1:D134,D135,E$1:E134,E135)&gt;0,INDEX(filter(F$1:F134,D$1:D134=D135,E$1:E134=E135),1),""Selecciona..""))"),"")</f>
        <v/>
      </c>
      <c r="G135" s="2" t="str">
        <f>IFERROR(__xludf.DUMMYFUNCTION("IF($E135="""","""",IF(COUNTIFS($D$1:$D134,$D135,$E$1:$E134,$E135)&gt;0,INDEX(filter(G$1:G134,$D$1:$D134=$D135,$E$1:$E134=E135),1),""Selecciona..""))"),"")</f>
        <v/>
      </c>
      <c r="H135" s="4" t="str">
        <f>IF(D135="","",COUNTIF(Productos!G:G,C135))</f>
        <v/>
      </c>
      <c r="J135" s="90"/>
    </row>
    <row r="136">
      <c r="A136" s="2" t="str">
        <f t="shared" si="1"/>
        <v/>
      </c>
      <c r="B136" s="4"/>
      <c r="C136" s="4"/>
      <c r="D136" s="3" t="str">
        <f t="shared" si="2"/>
        <v/>
      </c>
      <c r="E136" s="4"/>
      <c r="F136" s="2" t="str">
        <f>IFERROR(__xludf.DUMMYFUNCTION("IF(E136="""","""",IF(COUNTIFS(D$1:D135,D136,E$1:E135,E136)&gt;0,INDEX(filter(F$1:F135,D$1:D135=D136,E$1:E135=E136),1),""Selecciona..""))"),"")</f>
        <v/>
      </c>
      <c r="G136" s="2" t="str">
        <f>IFERROR(__xludf.DUMMYFUNCTION("IF($E136="""","""",IF(COUNTIFS($D$1:$D135,$D136,$E$1:$E135,$E136)&gt;0,INDEX(filter(G$1:G135,$D$1:$D135=$D136,$E$1:$E135=E136),1),""Selecciona..""))"),"")</f>
        <v/>
      </c>
      <c r="H136" s="4" t="str">
        <f>IF(D136="","",COUNTIF(Productos!G:G,C136))</f>
        <v/>
      </c>
      <c r="J136" s="90"/>
    </row>
    <row r="137">
      <c r="A137" s="2" t="str">
        <f t="shared" si="1"/>
        <v/>
      </c>
      <c r="B137" s="4"/>
      <c r="C137" s="4"/>
      <c r="D137" s="3" t="str">
        <f t="shared" si="2"/>
        <v/>
      </c>
      <c r="E137" s="4"/>
      <c r="F137" s="2" t="str">
        <f>IFERROR(__xludf.DUMMYFUNCTION("IF(E137="""","""",IF(COUNTIFS(D$1:D136,D137,E$1:E136,E137)&gt;0,INDEX(filter(F$1:F136,D$1:D136=D137,E$1:E136=E137),1),""Selecciona..""))"),"")</f>
        <v/>
      </c>
      <c r="G137" s="2" t="str">
        <f>IFERROR(__xludf.DUMMYFUNCTION("IF($E137="""","""",IF(COUNTIFS($D$1:$D136,$D137,$E$1:$E136,$E137)&gt;0,INDEX(filter(G$1:G136,$D$1:$D136=$D137,$E$1:$E136=E137),1),""Selecciona..""))"),"")</f>
        <v/>
      </c>
      <c r="H137" s="4" t="str">
        <f>IF(D137="","",COUNTIF(Productos!G:G,C137))</f>
        <v/>
      </c>
      <c r="J137" s="90"/>
    </row>
    <row r="138">
      <c r="A138" s="2" t="str">
        <f t="shared" si="1"/>
        <v/>
      </c>
      <c r="B138" s="4"/>
      <c r="C138" s="4"/>
      <c r="D138" s="3" t="str">
        <f t="shared" si="2"/>
        <v/>
      </c>
      <c r="E138" s="4"/>
      <c r="F138" s="2" t="str">
        <f>IFERROR(__xludf.DUMMYFUNCTION("IF(E138="""","""",IF(COUNTIFS(D$1:D137,D138,E$1:E137,E138)&gt;0,INDEX(filter(F$1:F137,D$1:D137=D138,E$1:E137=E138),1),""Selecciona..""))"),"")</f>
        <v/>
      </c>
      <c r="G138" s="2" t="str">
        <f>IFERROR(__xludf.DUMMYFUNCTION("IF($E138="""","""",IF(COUNTIFS($D$1:$D137,$D138,$E$1:$E137,$E138)&gt;0,INDEX(filter(G$1:G137,$D$1:$D137=$D138,$E$1:$E137=E138),1),""Selecciona..""))"),"")</f>
        <v/>
      </c>
      <c r="H138" s="4" t="str">
        <f>IF(D138="","",COUNTIF(Productos!G:G,C138))</f>
        <v/>
      </c>
      <c r="J138" s="90"/>
    </row>
    <row r="139">
      <c r="A139" s="2" t="str">
        <f t="shared" si="1"/>
        <v/>
      </c>
      <c r="B139" s="4"/>
      <c r="C139" s="4"/>
      <c r="D139" s="3" t="str">
        <f t="shared" si="2"/>
        <v/>
      </c>
      <c r="E139" s="4"/>
      <c r="F139" s="2" t="str">
        <f>IFERROR(__xludf.DUMMYFUNCTION("IF(E139="""","""",IF(COUNTIFS(D$1:D138,D139,E$1:E138,E139)&gt;0,INDEX(filter(F$1:F138,D$1:D138=D139,E$1:E138=E139),1),""Selecciona..""))"),"")</f>
        <v/>
      </c>
      <c r="G139" s="2" t="str">
        <f>IFERROR(__xludf.DUMMYFUNCTION("IF($E139="""","""",IF(COUNTIFS($D$1:$D138,$D139,$E$1:$E138,$E139)&gt;0,INDEX(filter(G$1:G138,$D$1:$D138=$D139,$E$1:$E138=E139),1),""Selecciona..""))"),"")</f>
        <v/>
      </c>
      <c r="H139" s="4" t="str">
        <f>IF(D139="","",COUNTIF(Productos!G:G,C139))</f>
        <v/>
      </c>
      <c r="J139" s="90"/>
    </row>
    <row r="140">
      <c r="A140" s="2" t="str">
        <f t="shared" si="1"/>
        <v/>
      </c>
      <c r="B140" s="4"/>
      <c r="C140" s="4"/>
      <c r="D140" s="3" t="str">
        <f t="shared" si="2"/>
        <v/>
      </c>
      <c r="E140" s="4"/>
      <c r="F140" s="2" t="str">
        <f>IFERROR(__xludf.DUMMYFUNCTION("IF(E140="""","""",IF(COUNTIFS(D$1:D139,D140,E$1:E139,E140)&gt;0,INDEX(filter(F$1:F139,D$1:D139=D140,E$1:E139=E140),1),""Selecciona..""))"),"")</f>
        <v/>
      </c>
      <c r="G140" s="2" t="str">
        <f>IFERROR(__xludf.DUMMYFUNCTION("IF($E140="""","""",IF(COUNTIFS($D$1:$D139,$D140,$E$1:$E139,$E140)&gt;0,INDEX(filter(G$1:G139,$D$1:$D139=$D140,$E$1:$E139=E140),1),""Selecciona..""))"),"")</f>
        <v/>
      </c>
      <c r="H140" s="4" t="str">
        <f>IF(D140="","",COUNTIF(Productos!G:G,C140))</f>
        <v/>
      </c>
      <c r="J140" s="90"/>
    </row>
    <row r="141">
      <c r="A141" s="2" t="str">
        <f t="shared" si="1"/>
        <v/>
      </c>
      <c r="B141" s="4"/>
      <c r="C141" s="4"/>
      <c r="D141" s="3" t="str">
        <f t="shared" si="2"/>
        <v/>
      </c>
      <c r="E141" s="4"/>
      <c r="F141" s="2" t="str">
        <f>IFERROR(__xludf.DUMMYFUNCTION("IF(E141="""","""",IF(COUNTIFS(D$1:D140,D141,E$1:E140,E141)&gt;0,INDEX(filter(F$1:F140,D$1:D140=D141,E$1:E140=E141),1),""Selecciona..""))"),"")</f>
        <v/>
      </c>
      <c r="G141" s="2" t="str">
        <f>IFERROR(__xludf.DUMMYFUNCTION("IF($E141="""","""",IF(COUNTIFS($D$1:$D140,$D141,$E$1:$E140,$E141)&gt;0,INDEX(filter(G$1:G140,$D$1:$D140=$D141,$E$1:$E140=E141),1),""Selecciona..""))"),"")</f>
        <v/>
      </c>
      <c r="H141" s="4" t="str">
        <f>IF(D141="","",COUNTIF(Productos!G:G,C141))</f>
        <v/>
      </c>
      <c r="J141" s="90"/>
    </row>
    <row r="142">
      <c r="A142" s="2" t="str">
        <f t="shared" si="1"/>
        <v/>
      </c>
      <c r="B142" s="4"/>
      <c r="C142" s="4"/>
      <c r="D142" s="3" t="str">
        <f t="shared" si="2"/>
        <v/>
      </c>
      <c r="E142" s="4"/>
      <c r="F142" s="2" t="str">
        <f>IFERROR(__xludf.DUMMYFUNCTION("IF(E142="""","""",IF(COUNTIFS(D$1:D141,D142,E$1:E141,E142)&gt;0,INDEX(filter(F$1:F141,D$1:D141=D142,E$1:E141=E142),1),""Selecciona..""))"),"")</f>
        <v/>
      </c>
      <c r="G142" s="2" t="str">
        <f>IFERROR(__xludf.DUMMYFUNCTION("IF($E142="""","""",IF(COUNTIFS($D$1:$D141,$D142,$E$1:$E141,$E142)&gt;0,INDEX(filter(G$1:G141,$D$1:$D141=$D142,$E$1:$E141=E142),1),""Selecciona..""))"),"")</f>
        <v/>
      </c>
      <c r="H142" s="4" t="str">
        <f>IF(D142="","",COUNTIF(Productos!G:G,C142))</f>
        <v/>
      </c>
      <c r="J142" s="90"/>
    </row>
    <row r="143">
      <c r="A143" s="2" t="str">
        <f t="shared" si="1"/>
        <v/>
      </c>
      <c r="B143" s="4"/>
      <c r="C143" s="4"/>
      <c r="D143" s="3" t="str">
        <f t="shared" si="2"/>
        <v/>
      </c>
      <c r="E143" s="4"/>
      <c r="F143" s="2" t="str">
        <f>IFERROR(__xludf.DUMMYFUNCTION("IF(E143="""","""",IF(COUNTIFS(D$1:D142,D143,E$1:E142,E143)&gt;0,INDEX(filter(F$1:F142,D$1:D142=D143,E$1:E142=E143),1),""Selecciona..""))"),"")</f>
        <v/>
      </c>
      <c r="G143" s="2" t="str">
        <f>IFERROR(__xludf.DUMMYFUNCTION("IF($E143="""","""",IF(COUNTIFS($D$1:$D142,$D143,$E$1:$E142,$E143)&gt;0,INDEX(filter(G$1:G142,$D$1:$D142=$D143,$E$1:$E142=E143),1),""Selecciona..""))"),"")</f>
        <v/>
      </c>
      <c r="H143" s="4" t="str">
        <f>IF(D143="","",COUNTIF(Productos!G:G,C143))</f>
        <v/>
      </c>
      <c r="J143" s="90"/>
    </row>
    <row r="144">
      <c r="A144" s="2" t="str">
        <f t="shared" si="1"/>
        <v/>
      </c>
      <c r="B144" s="4"/>
      <c r="C144" s="4"/>
      <c r="D144" s="3" t="str">
        <f t="shared" si="2"/>
        <v/>
      </c>
      <c r="E144" s="4"/>
      <c r="F144" s="2" t="str">
        <f>IFERROR(__xludf.DUMMYFUNCTION("IF(E144="""","""",IF(COUNTIFS(D$1:D143,D144,E$1:E143,E144)&gt;0,INDEX(filter(F$1:F143,D$1:D143=D144,E$1:E143=E144),1),""Selecciona..""))"),"")</f>
        <v/>
      </c>
      <c r="G144" s="2" t="str">
        <f>IFERROR(__xludf.DUMMYFUNCTION("IF($E144="""","""",IF(COUNTIFS($D$1:$D143,$D144,$E$1:$E143,$E144)&gt;0,INDEX(filter(G$1:G143,$D$1:$D143=$D144,$E$1:$E143=E144),1),""Selecciona..""))"),"")</f>
        <v/>
      </c>
      <c r="H144" s="4" t="str">
        <f>IF(D144="","",COUNTIF(Productos!G:G,C144))</f>
        <v/>
      </c>
      <c r="J144" s="90"/>
    </row>
    <row r="145">
      <c r="A145" s="2" t="str">
        <f t="shared" si="1"/>
        <v/>
      </c>
      <c r="B145" s="4"/>
      <c r="C145" s="4"/>
      <c r="D145" s="3" t="str">
        <f t="shared" si="2"/>
        <v/>
      </c>
      <c r="E145" s="4"/>
      <c r="F145" s="2" t="str">
        <f>IFERROR(__xludf.DUMMYFUNCTION("IF(E145="""","""",IF(COUNTIFS(D$1:D144,D145,E$1:E144,E145)&gt;0,INDEX(filter(F$1:F144,D$1:D144=D145,E$1:E144=E145),1),""Selecciona..""))"),"")</f>
        <v/>
      </c>
      <c r="G145" s="2" t="str">
        <f>IFERROR(__xludf.DUMMYFUNCTION("IF($E145="""","""",IF(COUNTIFS($D$1:$D144,$D145,$E$1:$E144,$E145)&gt;0,INDEX(filter(G$1:G144,$D$1:$D144=$D145,$E$1:$E144=E145),1),""Selecciona..""))"),"")</f>
        <v/>
      </c>
      <c r="H145" s="4" t="str">
        <f>IF(D145="","",COUNTIF(Productos!G:G,C145))</f>
        <v/>
      </c>
      <c r="J145" s="90"/>
    </row>
    <row r="146">
      <c r="A146" s="2" t="str">
        <f t="shared" si="1"/>
        <v/>
      </c>
      <c r="B146" s="4"/>
      <c r="C146" s="4"/>
      <c r="D146" s="3" t="str">
        <f t="shared" si="2"/>
        <v/>
      </c>
      <c r="E146" s="4"/>
      <c r="F146" s="2" t="str">
        <f>IFERROR(__xludf.DUMMYFUNCTION("IF(E146="""","""",IF(COUNTIFS(D$1:D145,D146,E$1:E145,E146)&gt;0,INDEX(filter(F$1:F145,D$1:D145=D146,E$1:E145=E146),1),""Selecciona..""))"),"")</f>
        <v/>
      </c>
      <c r="G146" s="2" t="str">
        <f>IFERROR(__xludf.DUMMYFUNCTION("IF($E146="""","""",IF(COUNTIFS($D$1:$D145,$D146,$E$1:$E145,$E146)&gt;0,INDEX(filter(G$1:G145,$D$1:$D145=$D146,$E$1:$E145=E146),1),""Selecciona..""))"),"")</f>
        <v/>
      </c>
      <c r="H146" s="4" t="str">
        <f>IF(D146="","",COUNTIF(Productos!G:G,C146))</f>
        <v/>
      </c>
      <c r="J146" s="90"/>
    </row>
    <row r="147">
      <c r="A147" s="2" t="str">
        <f t="shared" si="1"/>
        <v/>
      </c>
      <c r="B147" s="4"/>
      <c r="C147" s="4"/>
      <c r="D147" s="3" t="str">
        <f t="shared" si="2"/>
        <v/>
      </c>
      <c r="E147" s="4"/>
      <c r="F147" s="2" t="str">
        <f>IFERROR(__xludf.DUMMYFUNCTION("IF(E147="""","""",IF(COUNTIFS(D$1:D146,D147,E$1:E146,E147)&gt;0,INDEX(filter(F$1:F146,D$1:D146=D147,E$1:E146=E147),1),""Selecciona..""))"),"")</f>
        <v/>
      </c>
      <c r="G147" s="2" t="str">
        <f>IFERROR(__xludf.DUMMYFUNCTION("IF($E147="""","""",IF(COUNTIFS($D$1:$D146,$D147,$E$1:$E146,$E147)&gt;0,INDEX(filter(G$1:G146,$D$1:$D146=$D147,$E$1:$E146=E147),1),""Selecciona..""))"),"")</f>
        <v/>
      </c>
      <c r="H147" s="4" t="str">
        <f>IF(D147="","",COUNTIF(Productos!G:G,C147))</f>
        <v/>
      </c>
      <c r="J147" s="90"/>
    </row>
    <row r="148">
      <c r="A148" s="2" t="str">
        <f t="shared" si="1"/>
        <v/>
      </c>
      <c r="B148" s="4"/>
      <c r="C148" s="4"/>
      <c r="D148" s="3" t="str">
        <f t="shared" si="2"/>
        <v/>
      </c>
      <c r="E148" s="4"/>
      <c r="F148" s="2" t="str">
        <f>IFERROR(__xludf.DUMMYFUNCTION("IF(E148="""","""",IF(COUNTIFS(D$1:D147,D148,E$1:E147,E148)&gt;0,INDEX(filter(F$1:F147,D$1:D147=D148,E$1:E147=E148),1),""Selecciona..""))"),"")</f>
        <v/>
      </c>
      <c r="G148" s="2" t="str">
        <f>IFERROR(__xludf.DUMMYFUNCTION("IF($E148="""","""",IF(COUNTIFS($D$1:$D147,$D148,$E$1:$E147,$E148)&gt;0,INDEX(filter(G$1:G147,$D$1:$D147=$D148,$E$1:$E147=E148),1),""Selecciona..""))"),"")</f>
        <v/>
      </c>
      <c r="H148" s="4" t="str">
        <f>IF(D148="","",COUNTIF(Productos!G:G,C148))</f>
        <v/>
      </c>
      <c r="J148" s="90"/>
    </row>
    <row r="149">
      <c r="A149" s="2" t="str">
        <f t="shared" si="1"/>
        <v/>
      </c>
      <c r="B149" s="4"/>
      <c r="C149" s="4"/>
      <c r="D149" s="3" t="str">
        <f t="shared" si="2"/>
        <v/>
      </c>
      <c r="E149" s="4"/>
      <c r="F149" s="2" t="str">
        <f>IFERROR(__xludf.DUMMYFUNCTION("IF(E149="""","""",IF(COUNTIFS(D$1:D148,D149,E$1:E148,E149)&gt;0,INDEX(filter(F$1:F148,D$1:D148=D149,E$1:E148=E149),1),""Selecciona..""))"),"")</f>
        <v/>
      </c>
      <c r="G149" s="2" t="str">
        <f>IFERROR(__xludf.DUMMYFUNCTION("IF($E149="""","""",IF(COUNTIFS($D$1:$D148,$D149,$E$1:$E148,$E149)&gt;0,INDEX(filter(G$1:G148,$D$1:$D148=$D149,$E$1:$E148=E149),1),""Selecciona..""))"),"")</f>
        <v/>
      </c>
      <c r="H149" s="4" t="str">
        <f>IF(D149="","",COUNTIF(Productos!G:G,C149))</f>
        <v/>
      </c>
      <c r="J149" s="90"/>
    </row>
    <row r="150">
      <c r="A150" s="2" t="str">
        <f t="shared" si="1"/>
        <v/>
      </c>
      <c r="B150" s="4"/>
      <c r="C150" s="4"/>
      <c r="D150" s="3" t="str">
        <f t="shared" si="2"/>
        <v/>
      </c>
      <c r="E150" s="4"/>
      <c r="F150" s="2" t="str">
        <f>IFERROR(__xludf.DUMMYFUNCTION("IF(E150="""","""",IF(COUNTIFS(D$1:D149,D150,E$1:E149,E150)&gt;0,INDEX(filter(F$1:F149,D$1:D149=D150,E$1:E149=E150),1),""Selecciona..""))"),"")</f>
        <v/>
      </c>
      <c r="G150" s="2" t="str">
        <f>IFERROR(__xludf.DUMMYFUNCTION("IF($E150="""","""",IF(COUNTIFS($D$1:$D149,$D150,$E$1:$E149,$E150)&gt;0,INDEX(filter(G$1:G149,$D$1:$D149=$D150,$E$1:$E149=E150),1),""Selecciona..""))"),"")</f>
        <v/>
      </c>
      <c r="H150" s="4" t="str">
        <f>IF(D150="","",COUNTIF(Productos!G:G,C150))</f>
        <v/>
      </c>
      <c r="J150" s="90"/>
    </row>
    <row r="151">
      <c r="A151" s="2" t="str">
        <f t="shared" si="1"/>
        <v/>
      </c>
      <c r="B151" s="4"/>
      <c r="C151" s="4"/>
      <c r="D151" s="3" t="str">
        <f t="shared" si="2"/>
        <v/>
      </c>
      <c r="E151" s="4"/>
      <c r="F151" s="2" t="str">
        <f>IFERROR(__xludf.DUMMYFUNCTION("IF(E151="""","""",IF(COUNTIFS(D$1:D150,D151,E$1:E150,E151)&gt;0,INDEX(filter(F$1:F150,D$1:D150=D151,E$1:E150=E151),1),""Selecciona..""))"),"")</f>
        <v/>
      </c>
      <c r="G151" s="2" t="str">
        <f>IFERROR(__xludf.DUMMYFUNCTION("IF($E151="""","""",IF(COUNTIFS($D$1:$D150,$D151,$E$1:$E150,$E151)&gt;0,INDEX(filter(G$1:G150,$D$1:$D150=$D151,$E$1:$E150=E151),1),""Selecciona..""))"),"")</f>
        <v/>
      </c>
      <c r="H151" s="4" t="str">
        <f>IF(D151="","",COUNTIF(Productos!G:G,C151))</f>
        <v/>
      </c>
      <c r="J151" s="90"/>
    </row>
    <row r="152">
      <c r="A152" s="2" t="str">
        <f t="shared" si="1"/>
        <v/>
      </c>
      <c r="B152" s="4"/>
      <c r="C152" s="4"/>
      <c r="D152" s="3" t="str">
        <f t="shared" si="2"/>
        <v/>
      </c>
      <c r="E152" s="4"/>
      <c r="F152" s="2" t="str">
        <f>IFERROR(__xludf.DUMMYFUNCTION("IF(E152="""","""",IF(COUNTIFS(D$1:D151,D152,E$1:E151,E152)&gt;0,INDEX(filter(F$1:F151,D$1:D151=D152,E$1:E151=E152),1),""Selecciona..""))"),"")</f>
        <v/>
      </c>
      <c r="G152" s="2" t="str">
        <f>IFERROR(__xludf.DUMMYFUNCTION("IF($E152="""","""",IF(COUNTIFS($D$1:$D151,$D152,$E$1:$E151,$E152)&gt;0,INDEX(filter(G$1:G151,$D$1:$D151=$D152,$E$1:$E151=E152),1),""Selecciona..""))"),"")</f>
        <v/>
      </c>
      <c r="H152" s="4" t="str">
        <f>IF(D152="","",COUNTIF(Productos!G:G,C152))</f>
        <v/>
      </c>
      <c r="J152" s="90"/>
    </row>
    <row r="153">
      <c r="A153" s="2" t="str">
        <f t="shared" si="1"/>
        <v/>
      </c>
      <c r="B153" s="4"/>
      <c r="C153" s="4"/>
      <c r="D153" s="3" t="str">
        <f t="shared" si="2"/>
        <v/>
      </c>
      <c r="E153" s="4"/>
      <c r="F153" s="2" t="str">
        <f>IFERROR(__xludf.DUMMYFUNCTION("IF(E153="""","""",IF(COUNTIFS(D$1:D152,D153,E$1:E152,E153)&gt;0,INDEX(filter(F$1:F152,D$1:D152=D153,E$1:E152=E153),1),""Selecciona..""))"),"")</f>
        <v/>
      </c>
      <c r="G153" s="2" t="str">
        <f>IFERROR(__xludf.DUMMYFUNCTION("IF($E153="""","""",IF(COUNTIFS($D$1:$D152,$D153,$E$1:$E152,$E153)&gt;0,INDEX(filter(G$1:G152,$D$1:$D152=$D153,$E$1:$E152=E153),1),""Selecciona..""))"),"")</f>
        <v/>
      </c>
      <c r="H153" s="4" t="str">
        <f>IF(D153="","",COUNTIF(Productos!G:G,C153))</f>
        <v/>
      </c>
      <c r="J153" s="90"/>
    </row>
    <row r="154">
      <c r="A154" s="2" t="str">
        <f t="shared" si="1"/>
        <v/>
      </c>
      <c r="B154" s="4"/>
      <c r="C154" s="4"/>
      <c r="D154" s="3" t="str">
        <f t="shared" si="2"/>
        <v/>
      </c>
      <c r="E154" s="4"/>
      <c r="F154" s="2" t="str">
        <f>IFERROR(__xludf.DUMMYFUNCTION("IF(E154="""","""",IF(COUNTIFS(D$1:D153,D154,E$1:E153,E154)&gt;0,INDEX(filter(F$1:F153,D$1:D153=D154,E$1:E153=E154),1),""Selecciona..""))"),"")</f>
        <v/>
      </c>
      <c r="G154" s="2" t="str">
        <f>IFERROR(__xludf.DUMMYFUNCTION("IF($E154="""","""",IF(COUNTIFS($D$1:$D153,$D154,$E$1:$E153,$E154)&gt;0,INDEX(filter(G$1:G153,$D$1:$D153=$D154,$E$1:$E153=E154),1),""Selecciona..""))"),"")</f>
        <v/>
      </c>
      <c r="H154" s="4" t="str">
        <f>IF(D154="","",COUNTIF(Productos!G:G,C154))</f>
        <v/>
      </c>
      <c r="J154" s="90"/>
    </row>
    <row r="155">
      <c r="A155" s="2" t="str">
        <f t="shared" si="1"/>
        <v/>
      </c>
      <c r="B155" s="4"/>
      <c r="C155" s="4"/>
      <c r="D155" s="3" t="str">
        <f t="shared" si="2"/>
        <v/>
      </c>
      <c r="E155" s="4"/>
      <c r="F155" s="2" t="str">
        <f>IFERROR(__xludf.DUMMYFUNCTION("IF(E155="""","""",IF(COUNTIFS(D$1:D154,D155,E$1:E154,E155)&gt;0,INDEX(filter(F$1:F154,D$1:D154=D155,E$1:E154=E155),1),""Selecciona..""))"),"")</f>
        <v/>
      </c>
      <c r="G155" s="2" t="str">
        <f>IFERROR(__xludf.DUMMYFUNCTION("IF($E155="""","""",IF(COUNTIFS($D$1:$D154,$D155,$E$1:$E154,$E155)&gt;0,INDEX(filter(G$1:G154,$D$1:$D154=$D155,$E$1:$E154=E155),1),""Selecciona..""))"),"")</f>
        <v/>
      </c>
      <c r="H155" s="4" t="str">
        <f>IF(D155="","",COUNTIF(Productos!G:G,C155))</f>
        <v/>
      </c>
      <c r="J155" s="90"/>
    </row>
    <row r="156">
      <c r="A156" s="2" t="str">
        <f t="shared" si="1"/>
        <v/>
      </c>
      <c r="B156" s="4"/>
      <c r="C156" s="4"/>
      <c r="D156" s="3" t="str">
        <f t="shared" si="2"/>
        <v/>
      </c>
      <c r="E156" s="4"/>
      <c r="F156" s="2" t="str">
        <f>IFERROR(__xludf.DUMMYFUNCTION("IF(E156="""","""",IF(COUNTIFS(D$1:D155,D156,E$1:E155,E156)&gt;0,INDEX(filter(F$1:F155,D$1:D155=D156,E$1:E155=E156),1),""Selecciona..""))"),"")</f>
        <v/>
      </c>
      <c r="G156" s="2" t="str">
        <f>IFERROR(__xludf.DUMMYFUNCTION("IF($E156="""","""",IF(COUNTIFS($D$1:$D155,$D156,$E$1:$E155,$E156)&gt;0,INDEX(filter(G$1:G155,$D$1:$D155=$D156,$E$1:$E155=E156),1),""Selecciona..""))"),"")</f>
        <v/>
      </c>
      <c r="H156" s="4" t="str">
        <f>IF(D156="","",COUNTIF(Productos!G:G,C156))</f>
        <v/>
      </c>
      <c r="J156" s="90"/>
    </row>
    <row r="157">
      <c r="A157" s="2" t="str">
        <f t="shared" si="1"/>
        <v/>
      </c>
      <c r="B157" s="4"/>
      <c r="C157" s="4"/>
      <c r="D157" s="3" t="str">
        <f t="shared" si="2"/>
        <v/>
      </c>
      <c r="E157" s="4"/>
      <c r="F157" s="2" t="str">
        <f>IFERROR(__xludf.DUMMYFUNCTION("IF(E157="""","""",IF(COUNTIFS(D$1:D156,D157,E$1:E156,E157)&gt;0,INDEX(filter(F$1:F156,D$1:D156=D157,E$1:E156=E157),1),""Selecciona..""))"),"")</f>
        <v/>
      </c>
      <c r="G157" s="2" t="str">
        <f>IFERROR(__xludf.DUMMYFUNCTION("IF($E157="""","""",IF(COUNTIFS($D$1:$D156,$D157,$E$1:$E156,$E157)&gt;0,INDEX(filter(G$1:G156,$D$1:$D156=$D157,$E$1:$E156=E157),1),""Selecciona..""))"),"")</f>
        <v/>
      </c>
      <c r="H157" s="4" t="str">
        <f>IF(D157="","",COUNTIF(Productos!G:G,C157))</f>
        <v/>
      </c>
      <c r="J157" s="90"/>
    </row>
    <row r="158">
      <c r="A158" s="2" t="str">
        <f t="shared" si="1"/>
        <v/>
      </c>
      <c r="B158" s="4"/>
      <c r="C158" s="4"/>
      <c r="D158" s="3" t="str">
        <f t="shared" si="2"/>
        <v/>
      </c>
      <c r="E158" s="4"/>
      <c r="F158" s="2" t="str">
        <f>IFERROR(__xludf.DUMMYFUNCTION("IF(E158="""","""",IF(COUNTIFS(D$1:D157,D158,E$1:E157,E158)&gt;0,INDEX(filter(F$1:F157,D$1:D157=D158,E$1:E157=E158),1),""Selecciona..""))"),"")</f>
        <v/>
      </c>
      <c r="G158" s="2" t="str">
        <f>IFERROR(__xludf.DUMMYFUNCTION("IF($E158="""","""",IF(COUNTIFS($D$1:$D157,$D158,$E$1:$E157,$E158)&gt;0,INDEX(filter(G$1:G157,$D$1:$D157=$D158,$E$1:$E157=E158),1),""Selecciona..""))"),"")</f>
        <v/>
      </c>
      <c r="H158" s="4" t="str">
        <f>IF(D158="","",COUNTIF(Productos!G:G,C158))</f>
        <v/>
      </c>
      <c r="J158" s="90"/>
    </row>
    <row r="159">
      <c r="A159" s="2" t="str">
        <f t="shared" si="1"/>
        <v/>
      </c>
      <c r="B159" s="4"/>
      <c r="C159" s="4"/>
      <c r="D159" s="3" t="str">
        <f t="shared" si="2"/>
        <v/>
      </c>
      <c r="E159" s="4"/>
      <c r="F159" s="2" t="str">
        <f>IFERROR(__xludf.DUMMYFUNCTION("IF(E159="""","""",IF(COUNTIFS(D$1:D158,D159,E$1:E158,E159)&gt;0,INDEX(filter(F$1:F158,D$1:D158=D159,E$1:E158=E159),1),""Selecciona..""))"),"")</f>
        <v/>
      </c>
      <c r="G159" s="2" t="str">
        <f>IFERROR(__xludf.DUMMYFUNCTION("IF($E159="""","""",IF(COUNTIFS($D$1:$D158,$D159,$E$1:$E158,$E159)&gt;0,INDEX(filter(G$1:G158,$D$1:$D158=$D159,$E$1:$E158=E159),1),""Selecciona..""))"),"")</f>
        <v/>
      </c>
      <c r="H159" s="4" t="str">
        <f>IF(D159="","",COUNTIF(Productos!G:G,C159))</f>
        <v/>
      </c>
      <c r="J159" s="90"/>
    </row>
    <row r="160">
      <c r="A160" s="2" t="str">
        <f t="shared" si="1"/>
        <v/>
      </c>
      <c r="B160" s="4"/>
      <c r="C160" s="4"/>
      <c r="D160" s="3" t="str">
        <f t="shared" si="2"/>
        <v/>
      </c>
      <c r="E160" s="4"/>
      <c r="F160" s="2" t="str">
        <f>IFERROR(__xludf.DUMMYFUNCTION("IF(E160="""","""",IF(COUNTIFS(D$1:D159,D160,E$1:E159,E160)&gt;0,INDEX(filter(F$1:F159,D$1:D159=D160,E$1:E159=E160),1),""Selecciona..""))"),"")</f>
        <v/>
      </c>
      <c r="G160" s="2" t="str">
        <f>IFERROR(__xludf.DUMMYFUNCTION("IF($E160="""","""",IF(COUNTIFS($D$1:$D159,$D160,$E$1:$E159,$E160)&gt;0,INDEX(filter(G$1:G159,$D$1:$D159=$D160,$E$1:$E159=E160),1),""Selecciona..""))"),"")</f>
        <v/>
      </c>
      <c r="H160" s="4" t="str">
        <f>IF(D160="","",COUNTIF(Productos!G:G,C160))</f>
        <v/>
      </c>
      <c r="J160" s="90"/>
    </row>
    <row r="161">
      <c r="A161" s="2" t="str">
        <f t="shared" si="1"/>
        <v/>
      </c>
      <c r="B161" s="4"/>
      <c r="C161" s="4"/>
      <c r="D161" s="3" t="str">
        <f t="shared" si="2"/>
        <v/>
      </c>
      <c r="E161" s="4"/>
      <c r="F161" s="2" t="str">
        <f>IFERROR(__xludf.DUMMYFUNCTION("IF(E161="""","""",IF(COUNTIFS(D$1:D160,D161,E$1:E160,E161)&gt;0,INDEX(filter(F$1:F160,D$1:D160=D161,E$1:E160=E161),1),""Selecciona..""))"),"")</f>
        <v/>
      </c>
      <c r="G161" s="2" t="str">
        <f>IFERROR(__xludf.DUMMYFUNCTION("IF($E161="""","""",IF(COUNTIFS($D$1:$D160,$D161,$E$1:$E160,$E161)&gt;0,INDEX(filter(G$1:G160,$D$1:$D160=$D161,$E$1:$E160=E161),1),""Selecciona..""))"),"")</f>
        <v/>
      </c>
      <c r="H161" s="4" t="str">
        <f>IF(D161="","",COUNTIF(Productos!G:G,C161))</f>
        <v/>
      </c>
      <c r="J161" s="90"/>
    </row>
    <row r="162">
      <c r="A162" s="2" t="str">
        <f t="shared" si="1"/>
        <v/>
      </c>
      <c r="B162" s="4"/>
      <c r="C162" s="4"/>
      <c r="D162" s="3" t="str">
        <f t="shared" si="2"/>
        <v/>
      </c>
      <c r="E162" s="4"/>
      <c r="F162" s="2" t="str">
        <f>IFERROR(__xludf.DUMMYFUNCTION("IF(E162="""","""",IF(COUNTIFS(D$1:D161,D162,E$1:E161,E162)&gt;0,INDEX(filter(F$1:F161,D$1:D161=D162,E$1:E161=E162),1),""Selecciona..""))"),"")</f>
        <v/>
      </c>
      <c r="G162" s="2" t="str">
        <f>IFERROR(__xludf.DUMMYFUNCTION("IF($E162="""","""",IF(COUNTIFS($D$1:$D161,$D162,$E$1:$E161,$E162)&gt;0,INDEX(filter(G$1:G161,$D$1:$D161=$D162,$E$1:$E161=E162),1),""Selecciona..""))"),"")</f>
        <v/>
      </c>
      <c r="H162" s="4" t="str">
        <f>IF(D162="","",COUNTIF(Productos!G:G,C162))</f>
        <v/>
      </c>
      <c r="J162" s="90"/>
    </row>
    <row r="163">
      <c r="A163" s="2" t="str">
        <f t="shared" si="1"/>
        <v/>
      </c>
      <c r="B163" s="4"/>
      <c r="C163" s="4"/>
      <c r="D163" s="3" t="str">
        <f t="shared" si="2"/>
        <v/>
      </c>
      <c r="E163" s="4"/>
      <c r="F163" s="2" t="str">
        <f>IFERROR(__xludf.DUMMYFUNCTION("IF(E163="""","""",IF(COUNTIFS(D$1:D162,D163,E$1:E162,E163)&gt;0,INDEX(filter(F$1:F162,D$1:D162=D163,E$1:E162=E163),1),""Selecciona..""))"),"")</f>
        <v/>
      </c>
      <c r="G163" s="2" t="str">
        <f>IFERROR(__xludf.DUMMYFUNCTION("IF($E163="""","""",IF(COUNTIFS($D$1:$D162,$D163,$E$1:$E162,$E163)&gt;0,INDEX(filter(G$1:G162,$D$1:$D162=$D163,$E$1:$E162=E163),1),""Selecciona..""))"),"")</f>
        <v/>
      </c>
      <c r="H163" s="4" t="str">
        <f>IF(D163="","",COUNTIF(Productos!G:G,C163))</f>
        <v/>
      </c>
      <c r="J163" s="90"/>
    </row>
    <row r="164">
      <c r="A164" s="2" t="str">
        <f t="shared" si="1"/>
        <v/>
      </c>
      <c r="B164" s="4"/>
      <c r="C164" s="4"/>
      <c r="D164" s="3" t="str">
        <f t="shared" si="2"/>
        <v/>
      </c>
      <c r="E164" s="4"/>
      <c r="F164" s="2" t="str">
        <f>IFERROR(__xludf.DUMMYFUNCTION("IF(E164="""","""",IF(COUNTIFS(D$1:D163,D164,E$1:E163,E164)&gt;0,INDEX(filter(F$1:F163,D$1:D163=D164,E$1:E163=E164),1),""Selecciona..""))"),"")</f>
        <v/>
      </c>
      <c r="G164" s="2" t="str">
        <f>IFERROR(__xludf.DUMMYFUNCTION("IF($E164="""","""",IF(COUNTIFS($D$1:$D163,$D164,$E$1:$E163,$E164)&gt;0,INDEX(filter(G$1:G163,$D$1:$D163=$D164,$E$1:$E163=E164),1),""Selecciona..""))"),"")</f>
        <v/>
      </c>
      <c r="H164" s="4" t="str">
        <f>IF(D164="","",COUNTIF(Productos!G:G,C164))</f>
        <v/>
      </c>
      <c r="J164" s="90"/>
    </row>
    <row r="165">
      <c r="A165" s="2" t="str">
        <f t="shared" si="1"/>
        <v/>
      </c>
      <c r="B165" s="4"/>
      <c r="C165" s="4"/>
      <c r="D165" s="3" t="str">
        <f t="shared" si="2"/>
        <v/>
      </c>
      <c r="E165" s="4"/>
      <c r="F165" s="2" t="str">
        <f>IFERROR(__xludf.DUMMYFUNCTION("IF(E165="""","""",IF(COUNTIFS(D$1:D164,D165,E$1:E164,E165)&gt;0,INDEX(filter(F$1:F164,D$1:D164=D165,E$1:E164=E165),1),""Selecciona..""))"),"")</f>
        <v/>
      </c>
      <c r="G165" s="2" t="str">
        <f>IFERROR(__xludf.DUMMYFUNCTION("IF($E165="""","""",IF(COUNTIFS($D$1:$D164,$D165,$E$1:$E164,$E165)&gt;0,INDEX(filter(G$1:G164,$D$1:$D164=$D165,$E$1:$E164=E165),1),""Selecciona..""))"),"")</f>
        <v/>
      </c>
      <c r="H165" s="4" t="str">
        <f>IF(D165="","",COUNTIF(Productos!G:G,C165))</f>
        <v/>
      </c>
      <c r="J165" s="90"/>
    </row>
    <row r="166">
      <c r="A166" s="2" t="str">
        <f t="shared" si="1"/>
        <v/>
      </c>
      <c r="B166" s="4"/>
      <c r="C166" s="4"/>
      <c r="D166" s="3" t="str">
        <f t="shared" si="2"/>
        <v/>
      </c>
      <c r="E166" s="4"/>
      <c r="F166" s="2" t="str">
        <f>IFERROR(__xludf.DUMMYFUNCTION("IF(E166="""","""",IF(COUNTIFS(D$1:D165,D166,E$1:E165,E166)&gt;0,INDEX(filter(F$1:F165,D$1:D165=D166,E$1:E165=E166),1),""Selecciona..""))"),"")</f>
        <v/>
      </c>
      <c r="G166" s="2" t="str">
        <f>IFERROR(__xludf.DUMMYFUNCTION("IF($E166="""","""",IF(COUNTIFS($D$1:$D165,$D166,$E$1:$E165,$E166)&gt;0,INDEX(filter(G$1:G165,$D$1:$D165=$D166,$E$1:$E165=E166),1),""Selecciona..""))"),"")</f>
        <v/>
      </c>
      <c r="H166" s="4" t="str">
        <f>IF(D166="","",COUNTIF(Productos!G:G,C166))</f>
        <v/>
      </c>
      <c r="J166" s="90"/>
    </row>
    <row r="167">
      <c r="A167" s="2" t="str">
        <f t="shared" si="1"/>
        <v/>
      </c>
      <c r="B167" s="4"/>
      <c r="C167" s="4"/>
      <c r="D167" s="3" t="str">
        <f t="shared" si="2"/>
        <v/>
      </c>
      <c r="E167" s="4"/>
      <c r="F167" s="2" t="str">
        <f>IFERROR(__xludf.DUMMYFUNCTION("IF(E167="""","""",IF(COUNTIFS(D$1:D166,D167,E$1:E166,E167)&gt;0,INDEX(filter(F$1:F166,D$1:D166=D167,E$1:E166=E167),1),""Selecciona..""))"),"")</f>
        <v/>
      </c>
      <c r="G167" s="2" t="str">
        <f>IFERROR(__xludf.DUMMYFUNCTION("IF($E167="""","""",IF(COUNTIFS($D$1:$D166,$D167,$E$1:$E166,$E167)&gt;0,INDEX(filter(G$1:G166,$D$1:$D166=$D167,$E$1:$E166=E167),1),""Selecciona..""))"),"")</f>
        <v/>
      </c>
      <c r="H167" s="4" t="str">
        <f>IF(D167="","",COUNTIF(Productos!G:G,C167))</f>
        <v/>
      </c>
      <c r="J167" s="90"/>
    </row>
    <row r="168">
      <c r="A168" s="2" t="str">
        <f t="shared" si="1"/>
        <v/>
      </c>
      <c r="B168" s="4"/>
      <c r="C168" s="4"/>
      <c r="D168" s="3" t="str">
        <f t="shared" si="2"/>
        <v/>
      </c>
      <c r="E168" s="4"/>
      <c r="F168" s="2" t="str">
        <f>IFERROR(__xludf.DUMMYFUNCTION("IF(E168="""","""",IF(COUNTIFS(D$1:D167,D168,E$1:E167,E168)&gt;0,INDEX(filter(F$1:F167,D$1:D167=D168,E$1:E167=E168),1),""Selecciona..""))"),"")</f>
        <v/>
      </c>
      <c r="G168" s="2" t="str">
        <f>IFERROR(__xludf.DUMMYFUNCTION("IF($E168="""","""",IF(COUNTIFS($D$1:$D167,$D168,$E$1:$E167,$E168)&gt;0,INDEX(filter(G$1:G167,$D$1:$D167=$D168,$E$1:$E167=E168),1),""Selecciona..""))"),"")</f>
        <v/>
      </c>
      <c r="H168" s="4" t="str">
        <f>IF(D168="","",COUNTIF(Productos!G:G,C168))</f>
        <v/>
      </c>
      <c r="J168" s="90"/>
    </row>
    <row r="169">
      <c r="A169" s="2" t="str">
        <f t="shared" si="1"/>
        <v/>
      </c>
      <c r="B169" s="4"/>
      <c r="C169" s="4"/>
      <c r="D169" s="3" t="str">
        <f t="shared" si="2"/>
        <v/>
      </c>
      <c r="E169" s="4"/>
      <c r="F169" s="2" t="str">
        <f>IFERROR(__xludf.DUMMYFUNCTION("IF(E169="""","""",IF(COUNTIFS(D$1:D168,D169,E$1:E168,E169)&gt;0,INDEX(filter(F$1:F168,D$1:D168=D169,E$1:E168=E169),1),""Selecciona..""))"),"")</f>
        <v/>
      </c>
      <c r="G169" s="2" t="str">
        <f>IFERROR(__xludf.DUMMYFUNCTION("IF($E169="""","""",IF(COUNTIFS($D$1:$D168,$D169,$E$1:$E168,$E169)&gt;0,INDEX(filter(G$1:G168,$D$1:$D168=$D169,$E$1:$E168=E169),1),""Selecciona..""))"),"")</f>
        <v/>
      </c>
      <c r="H169" s="4" t="str">
        <f>IF(D169="","",COUNTIF(Productos!G:G,C169))</f>
        <v/>
      </c>
      <c r="J169" s="90"/>
    </row>
    <row r="170">
      <c r="A170" s="2" t="str">
        <f t="shared" si="1"/>
        <v/>
      </c>
      <c r="B170" s="4"/>
      <c r="C170" s="4"/>
      <c r="D170" s="3" t="str">
        <f t="shared" si="2"/>
        <v/>
      </c>
      <c r="E170" s="4"/>
      <c r="F170" s="2" t="str">
        <f>IFERROR(__xludf.DUMMYFUNCTION("IF(E170="""","""",IF(COUNTIFS(D$1:D169,D170,E$1:E169,E170)&gt;0,INDEX(filter(F$1:F169,D$1:D169=D170,E$1:E169=E170),1),""Selecciona..""))"),"")</f>
        <v/>
      </c>
      <c r="G170" s="2" t="str">
        <f>IFERROR(__xludf.DUMMYFUNCTION("IF($E170="""","""",IF(COUNTIFS($D$1:$D169,$D170,$E$1:$E169,$E170)&gt;0,INDEX(filter(G$1:G169,$D$1:$D169=$D170,$E$1:$E169=E170),1),""Selecciona..""))"),"")</f>
        <v/>
      </c>
      <c r="H170" s="4" t="str">
        <f>IF(D170="","",COUNTIF(Productos!G:G,C170))</f>
        <v/>
      </c>
      <c r="J170" s="90"/>
    </row>
    <row r="171">
      <c r="A171" s="2" t="str">
        <f t="shared" si="1"/>
        <v/>
      </c>
      <c r="B171" s="4"/>
      <c r="C171" s="4"/>
      <c r="D171" s="3" t="str">
        <f t="shared" si="2"/>
        <v/>
      </c>
      <c r="E171" s="4"/>
      <c r="F171" s="2" t="str">
        <f>IFERROR(__xludf.DUMMYFUNCTION("IF(E171="""","""",IF(COUNTIFS(D$1:D170,D171,E$1:E170,E171)&gt;0,INDEX(filter(F$1:F170,D$1:D170=D171,E$1:E170=E171),1),""Selecciona..""))"),"")</f>
        <v/>
      </c>
      <c r="G171" s="2" t="str">
        <f>IFERROR(__xludf.DUMMYFUNCTION("IF($E171="""","""",IF(COUNTIFS($D$1:$D170,$D171,$E$1:$E170,$E171)&gt;0,INDEX(filter(G$1:G170,$D$1:$D170=$D171,$E$1:$E170=E171),1),""Selecciona..""))"),"")</f>
        <v/>
      </c>
      <c r="H171" s="4" t="str">
        <f>IF(D171="","",COUNTIF(Productos!G:G,C171))</f>
        <v/>
      </c>
      <c r="J171" s="90"/>
    </row>
    <row r="172">
      <c r="A172" s="2" t="str">
        <f t="shared" si="1"/>
        <v/>
      </c>
      <c r="B172" s="4"/>
      <c r="C172" s="4"/>
      <c r="D172" s="3" t="str">
        <f t="shared" si="2"/>
        <v/>
      </c>
      <c r="E172" s="4"/>
      <c r="F172" s="2" t="str">
        <f>IFERROR(__xludf.DUMMYFUNCTION("IF(E172="""","""",IF(COUNTIFS(D$1:D171,D172,E$1:E171,E172)&gt;0,INDEX(filter(F$1:F171,D$1:D171=D172,E$1:E171=E172),1),""Selecciona..""))"),"")</f>
        <v/>
      </c>
      <c r="G172" s="2" t="str">
        <f>IFERROR(__xludf.DUMMYFUNCTION("IF($E172="""","""",IF(COUNTIFS($D$1:$D171,$D172,$E$1:$E171,$E172)&gt;0,INDEX(filter(G$1:G171,$D$1:$D171=$D172,$E$1:$E171=E172),1),""Selecciona..""))"),"")</f>
        <v/>
      </c>
      <c r="H172" s="4" t="str">
        <f>IF(D172="","",COUNTIF(Productos!G:G,C172))</f>
        <v/>
      </c>
      <c r="J172" s="90"/>
    </row>
    <row r="173">
      <c r="A173" s="2" t="str">
        <f t="shared" si="1"/>
        <v/>
      </c>
      <c r="B173" s="4"/>
      <c r="C173" s="4"/>
      <c r="D173" s="3" t="str">
        <f t="shared" si="2"/>
        <v/>
      </c>
      <c r="E173" s="4"/>
      <c r="F173" s="2" t="str">
        <f>IFERROR(__xludf.DUMMYFUNCTION("IF(E173="""","""",IF(COUNTIFS(D$1:D172,D173,E$1:E172,E173)&gt;0,INDEX(filter(F$1:F172,D$1:D172=D173,E$1:E172=E173),1),""Selecciona..""))"),"")</f>
        <v/>
      </c>
      <c r="G173" s="2" t="str">
        <f>IFERROR(__xludf.DUMMYFUNCTION("IF($E173="""","""",IF(COUNTIFS($D$1:$D172,$D173,$E$1:$E172,$E173)&gt;0,INDEX(filter(G$1:G172,$D$1:$D172=$D173,$E$1:$E172=E173),1),""Selecciona..""))"),"")</f>
        <v/>
      </c>
      <c r="H173" s="4" t="str">
        <f>IF(D173="","",COUNTIF(Productos!G:G,C173))</f>
        <v/>
      </c>
      <c r="J173" s="90"/>
    </row>
    <row r="174">
      <c r="A174" s="2" t="str">
        <f t="shared" si="1"/>
        <v/>
      </c>
      <c r="B174" s="4"/>
      <c r="C174" s="4"/>
      <c r="D174" s="3" t="str">
        <f t="shared" si="2"/>
        <v/>
      </c>
      <c r="E174" s="4"/>
      <c r="F174" s="2" t="str">
        <f>IFERROR(__xludf.DUMMYFUNCTION("IF(E174="""","""",IF(COUNTIFS(D$1:D173,D174,E$1:E173,E174)&gt;0,INDEX(filter(F$1:F173,D$1:D173=D174,E$1:E173=E174),1),""Selecciona..""))"),"")</f>
        <v/>
      </c>
      <c r="G174" s="2" t="str">
        <f>IFERROR(__xludf.DUMMYFUNCTION("IF($E174="""","""",IF(COUNTIFS($D$1:$D173,$D174,$E$1:$E173,$E174)&gt;0,INDEX(filter(G$1:G173,$D$1:$D173=$D174,$E$1:$E173=E174),1),""Selecciona..""))"),"")</f>
        <v/>
      </c>
      <c r="H174" s="4" t="str">
        <f>IF(D174="","",COUNTIF(Productos!G:G,C174))</f>
        <v/>
      </c>
      <c r="J174" s="90"/>
    </row>
    <row r="175">
      <c r="A175" s="2" t="str">
        <f t="shared" si="1"/>
        <v/>
      </c>
      <c r="B175" s="4"/>
      <c r="C175" s="4"/>
      <c r="D175" s="3" t="str">
        <f t="shared" si="2"/>
        <v/>
      </c>
      <c r="E175" s="4"/>
      <c r="F175" s="2" t="str">
        <f>IFERROR(__xludf.DUMMYFUNCTION("IF(E175="""","""",IF(COUNTIFS(D$1:D174,D175,E$1:E174,E175)&gt;0,INDEX(filter(F$1:F174,D$1:D174=D175,E$1:E174=E175),1),""Selecciona..""))"),"")</f>
        <v/>
      </c>
      <c r="G175" s="2" t="str">
        <f>IFERROR(__xludf.DUMMYFUNCTION("IF($E175="""","""",IF(COUNTIFS($D$1:$D174,$D175,$E$1:$E174,$E175)&gt;0,INDEX(filter(G$1:G174,$D$1:$D174=$D175,$E$1:$E174=E175),1),""Selecciona..""))"),"")</f>
        <v/>
      </c>
      <c r="H175" s="4" t="str">
        <f>IF(D175="","",COUNTIF(Productos!G:G,C175))</f>
        <v/>
      </c>
      <c r="J175" s="90"/>
    </row>
    <row r="176">
      <c r="A176" s="2" t="str">
        <f t="shared" si="1"/>
        <v/>
      </c>
      <c r="B176" s="4"/>
      <c r="C176" s="4"/>
      <c r="D176" s="3" t="str">
        <f t="shared" si="2"/>
        <v/>
      </c>
      <c r="E176" s="4"/>
      <c r="F176" s="2" t="str">
        <f>IFERROR(__xludf.DUMMYFUNCTION("IF(E176="""","""",IF(COUNTIFS(D$1:D175,D176,E$1:E175,E176)&gt;0,INDEX(filter(F$1:F175,D$1:D175=D176,E$1:E175=E176),1),""Selecciona..""))"),"")</f>
        <v/>
      </c>
      <c r="G176" s="2" t="str">
        <f>IFERROR(__xludf.DUMMYFUNCTION("IF($E176="""","""",IF(COUNTIFS($D$1:$D175,$D176,$E$1:$E175,$E176)&gt;0,INDEX(filter(G$1:G175,$D$1:$D175=$D176,$E$1:$E175=E176),1),""Selecciona..""))"),"")</f>
        <v/>
      </c>
      <c r="H176" s="4" t="str">
        <f>IF(D176="","",COUNTIF(Productos!G:G,C176))</f>
        <v/>
      </c>
      <c r="J176" s="90"/>
    </row>
    <row r="177">
      <c r="A177" s="2" t="str">
        <f t="shared" si="1"/>
        <v/>
      </c>
      <c r="B177" s="4"/>
      <c r="C177" s="4"/>
      <c r="D177" s="3" t="str">
        <f t="shared" si="2"/>
        <v/>
      </c>
      <c r="E177" s="4"/>
      <c r="F177" s="2" t="str">
        <f>IFERROR(__xludf.DUMMYFUNCTION("IF(E177="""","""",IF(COUNTIFS(D$1:D176,D177,E$1:E176,E177)&gt;0,INDEX(filter(F$1:F176,D$1:D176=D177,E$1:E176=E177),1),""Selecciona..""))"),"")</f>
        <v/>
      </c>
      <c r="G177" s="2" t="str">
        <f>IFERROR(__xludf.DUMMYFUNCTION("IF($E177="""","""",IF(COUNTIFS($D$1:$D176,$D177,$E$1:$E176,$E177)&gt;0,INDEX(filter(G$1:G176,$D$1:$D176=$D177,$E$1:$E176=E177),1),""Selecciona..""))"),"")</f>
        <v/>
      </c>
      <c r="H177" s="4" t="str">
        <f>IF(D177="","",COUNTIF(Productos!G:G,C177))</f>
        <v/>
      </c>
      <c r="J177" s="90"/>
    </row>
    <row r="178">
      <c r="A178" s="2" t="str">
        <f t="shared" si="1"/>
        <v/>
      </c>
      <c r="B178" s="4"/>
      <c r="C178" s="4"/>
      <c r="D178" s="3" t="str">
        <f t="shared" si="2"/>
        <v/>
      </c>
      <c r="E178" s="4"/>
      <c r="F178" s="2" t="str">
        <f>IFERROR(__xludf.DUMMYFUNCTION("IF(E178="""","""",IF(COUNTIFS(D$1:D177,D178,E$1:E177,E178)&gt;0,INDEX(filter(F$1:F177,D$1:D177=D178,E$1:E177=E178),1),""Selecciona..""))"),"")</f>
        <v/>
      </c>
      <c r="G178" s="2" t="str">
        <f>IFERROR(__xludf.DUMMYFUNCTION("IF($E178="""","""",IF(COUNTIFS($D$1:$D177,$D178,$E$1:$E177,$E178)&gt;0,INDEX(filter(G$1:G177,$D$1:$D177=$D178,$E$1:$E177=E178),1),""Selecciona..""))"),"")</f>
        <v/>
      </c>
      <c r="H178" s="4" t="str">
        <f>IF(D178="","",COUNTIF(Productos!G:G,C178))</f>
        <v/>
      </c>
      <c r="J178" s="90"/>
    </row>
    <row r="179">
      <c r="A179" s="2" t="str">
        <f t="shared" si="1"/>
        <v/>
      </c>
      <c r="B179" s="4"/>
      <c r="C179" s="4"/>
      <c r="D179" s="3" t="str">
        <f t="shared" si="2"/>
        <v/>
      </c>
      <c r="E179" s="4"/>
      <c r="F179" s="2" t="str">
        <f>IFERROR(__xludf.DUMMYFUNCTION("IF(E179="""","""",IF(COUNTIFS(D$1:D178,D179,E$1:E178,E179)&gt;0,INDEX(filter(F$1:F178,D$1:D178=D179,E$1:E178=E179),1),""Selecciona..""))"),"")</f>
        <v/>
      </c>
      <c r="G179" s="2" t="str">
        <f>IFERROR(__xludf.DUMMYFUNCTION("IF($E179="""","""",IF(COUNTIFS($D$1:$D178,$D179,$E$1:$E178,$E179)&gt;0,INDEX(filter(G$1:G178,$D$1:$D178=$D179,$E$1:$E178=E179),1),""Selecciona..""))"),"")</f>
        <v/>
      </c>
      <c r="H179" s="4" t="str">
        <f>IF(D179="","",COUNTIF(Productos!G:G,C179))</f>
        <v/>
      </c>
      <c r="J179" s="90"/>
    </row>
    <row r="180">
      <c r="A180" s="2" t="str">
        <f t="shared" si="1"/>
        <v/>
      </c>
      <c r="B180" s="4"/>
      <c r="C180" s="4"/>
      <c r="D180" s="3" t="str">
        <f t="shared" si="2"/>
        <v/>
      </c>
      <c r="E180" s="4"/>
      <c r="F180" s="2" t="str">
        <f>IFERROR(__xludf.DUMMYFUNCTION("IF(E180="""","""",IF(COUNTIFS(D$1:D179,D180,E$1:E179,E180)&gt;0,INDEX(filter(F$1:F179,D$1:D179=D180,E$1:E179=E180),1),""Selecciona..""))"),"")</f>
        <v/>
      </c>
      <c r="G180" s="2" t="str">
        <f>IFERROR(__xludf.DUMMYFUNCTION("IF($E180="""","""",IF(COUNTIFS($D$1:$D179,$D180,$E$1:$E179,$E180)&gt;0,INDEX(filter(G$1:G179,$D$1:$D179=$D180,$E$1:$E179=E180),1),""Selecciona..""))"),"")</f>
        <v/>
      </c>
      <c r="H180" s="4" t="str">
        <f>IF(D180="","",COUNTIF(Productos!G:G,C180))</f>
        <v/>
      </c>
      <c r="J180" s="90"/>
    </row>
    <row r="181">
      <c r="A181" s="2" t="str">
        <f t="shared" si="1"/>
        <v/>
      </c>
      <c r="B181" s="4"/>
      <c r="C181" s="4"/>
      <c r="D181" s="3" t="str">
        <f t="shared" si="2"/>
        <v/>
      </c>
      <c r="E181" s="4"/>
      <c r="F181" s="2" t="str">
        <f>IFERROR(__xludf.DUMMYFUNCTION("IF(E181="""","""",IF(COUNTIFS(D$1:D180,D181,E$1:E180,E181)&gt;0,INDEX(filter(F$1:F180,D$1:D180=D181,E$1:E180=E181),1),""Selecciona..""))"),"")</f>
        <v/>
      </c>
      <c r="G181" s="2" t="str">
        <f>IFERROR(__xludf.DUMMYFUNCTION("IF($E181="""","""",IF(COUNTIFS($D$1:$D180,$D181,$E$1:$E180,$E181)&gt;0,INDEX(filter(G$1:G180,$D$1:$D180=$D181,$E$1:$E180=E181),1),""Selecciona..""))"),"")</f>
        <v/>
      </c>
      <c r="H181" s="4" t="str">
        <f>IF(D181="","",COUNTIF(Productos!G:G,C181))</f>
        <v/>
      </c>
      <c r="J181" s="90"/>
    </row>
    <row r="182">
      <c r="A182" s="2" t="str">
        <f t="shared" si="1"/>
        <v/>
      </c>
      <c r="B182" s="4"/>
      <c r="C182" s="4"/>
      <c r="D182" s="3" t="str">
        <f t="shared" si="2"/>
        <v/>
      </c>
      <c r="E182" s="4"/>
      <c r="F182" s="2" t="str">
        <f>IFERROR(__xludf.DUMMYFUNCTION("IF(E182="""","""",IF(COUNTIFS(D$1:D181,D182,E$1:E181,E182)&gt;0,INDEX(filter(F$1:F181,D$1:D181=D182,E$1:E181=E182),1),""Selecciona..""))"),"")</f>
        <v/>
      </c>
      <c r="G182" s="2" t="str">
        <f>IFERROR(__xludf.DUMMYFUNCTION("IF($E182="""","""",IF(COUNTIFS($D$1:$D181,$D182,$E$1:$E181,$E182)&gt;0,INDEX(filter(G$1:G181,$D$1:$D181=$D182,$E$1:$E181=E182),1),""Selecciona..""))"),"")</f>
        <v/>
      </c>
      <c r="H182" s="4" t="str">
        <f>IF(D182="","",COUNTIF(Productos!G:G,C182))</f>
        <v/>
      </c>
      <c r="J182" s="90"/>
    </row>
    <row r="183">
      <c r="A183" s="2" t="str">
        <f t="shared" si="1"/>
        <v/>
      </c>
      <c r="B183" s="4"/>
      <c r="C183" s="4"/>
      <c r="D183" s="3" t="str">
        <f t="shared" si="2"/>
        <v/>
      </c>
      <c r="E183" s="4"/>
      <c r="F183" s="2" t="str">
        <f>IFERROR(__xludf.DUMMYFUNCTION("IF(E183="""","""",IF(COUNTIFS(D$1:D182,D183,E$1:E182,E183)&gt;0,INDEX(filter(F$1:F182,D$1:D182=D183,E$1:E182=E183),1),""Selecciona..""))"),"")</f>
        <v/>
      </c>
      <c r="G183" s="2" t="str">
        <f>IFERROR(__xludf.DUMMYFUNCTION("IF($E183="""","""",IF(COUNTIFS($D$1:$D182,$D183,$E$1:$E182,$E183)&gt;0,INDEX(filter(G$1:G182,$D$1:$D182=$D183,$E$1:$E182=E183),1),""Selecciona..""))"),"")</f>
        <v/>
      </c>
      <c r="H183" s="4" t="str">
        <f>IF(D183="","",COUNTIF(Productos!G:G,C183))</f>
        <v/>
      </c>
      <c r="J183" s="90"/>
    </row>
    <row r="184">
      <c r="A184" s="2" t="str">
        <f t="shared" si="1"/>
        <v/>
      </c>
      <c r="B184" s="4"/>
      <c r="C184" s="4"/>
      <c r="D184" s="3" t="str">
        <f t="shared" si="2"/>
        <v/>
      </c>
      <c r="E184" s="4"/>
      <c r="F184" s="2" t="str">
        <f>IFERROR(__xludf.DUMMYFUNCTION("IF(E184="""","""",IF(COUNTIFS(D$1:D183,D184,E$1:E183,E184)&gt;0,INDEX(filter(F$1:F183,D$1:D183=D184,E$1:E183=E184),1),""Selecciona..""))"),"")</f>
        <v/>
      </c>
      <c r="G184" s="2" t="str">
        <f>IFERROR(__xludf.DUMMYFUNCTION("IF($E184="""","""",IF(COUNTIFS($D$1:$D183,$D184,$E$1:$E183,$E184)&gt;0,INDEX(filter(G$1:G183,$D$1:$D183=$D184,$E$1:$E183=E184),1),""Selecciona..""))"),"")</f>
        <v/>
      </c>
      <c r="H184" s="4" t="str">
        <f>IF(D184="","",COUNTIF(Productos!G:G,C184))</f>
        <v/>
      </c>
      <c r="J184" s="90"/>
    </row>
    <row r="185">
      <c r="A185" s="2" t="str">
        <f t="shared" si="1"/>
        <v/>
      </c>
      <c r="B185" s="4"/>
      <c r="C185" s="4"/>
      <c r="D185" s="3" t="str">
        <f t="shared" si="2"/>
        <v/>
      </c>
      <c r="E185" s="4"/>
      <c r="F185" s="2" t="str">
        <f>IFERROR(__xludf.DUMMYFUNCTION("IF(E185="""","""",IF(COUNTIFS(D$1:D184,D185,E$1:E184,E185)&gt;0,INDEX(filter(F$1:F184,D$1:D184=D185,E$1:E184=E185),1),""Selecciona..""))"),"")</f>
        <v/>
      </c>
      <c r="G185" s="2" t="str">
        <f>IFERROR(__xludf.DUMMYFUNCTION("IF($E185="""","""",IF(COUNTIFS($D$1:$D184,$D185,$E$1:$E184,$E185)&gt;0,INDEX(filter(G$1:G184,$D$1:$D184=$D185,$E$1:$E184=E185),1),""Selecciona..""))"),"")</f>
        <v/>
      </c>
      <c r="H185" s="4" t="str">
        <f>IF(D185="","",COUNTIF(Productos!G:G,C185))</f>
        <v/>
      </c>
      <c r="J185" s="90"/>
    </row>
    <row r="186">
      <c r="A186" s="2" t="str">
        <f t="shared" si="1"/>
        <v/>
      </c>
      <c r="B186" s="4"/>
      <c r="C186" s="4"/>
      <c r="D186" s="3" t="str">
        <f t="shared" si="2"/>
        <v/>
      </c>
      <c r="E186" s="4"/>
      <c r="F186" s="2" t="str">
        <f>IFERROR(__xludf.DUMMYFUNCTION("IF(E186="""","""",IF(COUNTIFS(D$1:D185,D186,E$1:E185,E186)&gt;0,INDEX(filter(F$1:F185,D$1:D185=D186,E$1:E185=E186),1),""Selecciona..""))"),"")</f>
        <v/>
      </c>
      <c r="G186" s="2" t="str">
        <f>IFERROR(__xludf.DUMMYFUNCTION("IF($E186="""","""",IF(COUNTIFS($D$1:$D185,$D186,$E$1:$E185,$E186)&gt;0,INDEX(filter(G$1:G185,$D$1:$D185=$D186,$E$1:$E185=E186),1),""Selecciona..""))"),"")</f>
        <v/>
      </c>
      <c r="H186" s="4" t="str">
        <f>IF(D186="","",COUNTIF(Productos!G:G,C186))</f>
        <v/>
      </c>
      <c r="J186" s="90"/>
    </row>
    <row r="187">
      <c r="A187" s="2" t="str">
        <f t="shared" si="1"/>
        <v/>
      </c>
      <c r="B187" s="4"/>
      <c r="C187" s="4"/>
      <c r="D187" s="3" t="str">
        <f t="shared" si="2"/>
        <v/>
      </c>
      <c r="E187" s="4"/>
      <c r="F187" s="2" t="str">
        <f>IFERROR(__xludf.DUMMYFUNCTION("IF(E187="""","""",IF(COUNTIFS(D$1:D186,D187,E$1:E186,E187)&gt;0,INDEX(filter(F$1:F186,D$1:D186=D187,E$1:E186=E187),1),""Selecciona..""))"),"")</f>
        <v/>
      </c>
      <c r="G187" s="2" t="str">
        <f>IFERROR(__xludf.DUMMYFUNCTION("IF($E187="""","""",IF(COUNTIFS($D$1:$D186,$D187,$E$1:$E186,$E187)&gt;0,INDEX(filter(G$1:G186,$D$1:$D186=$D187,$E$1:$E186=E187),1),""Selecciona..""))"),"")</f>
        <v/>
      </c>
      <c r="H187" s="4" t="str">
        <f>IF(D187="","",COUNTIF(Productos!G:G,C187))</f>
        <v/>
      </c>
      <c r="J187" s="90"/>
    </row>
    <row r="188">
      <c r="A188" s="2" t="str">
        <f t="shared" si="1"/>
        <v/>
      </c>
      <c r="B188" s="4"/>
      <c r="C188" s="4"/>
      <c r="D188" s="3" t="str">
        <f t="shared" si="2"/>
        <v/>
      </c>
      <c r="E188" s="4"/>
      <c r="F188" s="2" t="str">
        <f>IFERROR(__xludf.DUMMYFUNCTION("IF(E188="""","""",IF(COUNTIFS(D$1:D187,D188,E$1:E187,E188)&gt;0,INDEX(filter(F$1:F187,D$1:D187=D188,E$1:E187=E188),1),""Selecciona..""))"),"")</f>
        <v/>
      </c>
      <c r="G188" s="2" t="str">
        <f>IFERROR(__xludf.DUMMYFUNCTION("IF($E188="""","""",IF(COUNTIFS($D$1:$D187,$D188,$E$1:$E187,$E188)&gt;0,INDEX(filter(G$1:G187,$D$1:$D187=$D188,$E$1:$E187=E188),1),""Selecciona..""))"),"")</f>
        <v/>
      </c>
      <c r="H188" s="4" t="str">
        <f>IF(D188="","",COUNTIF(Productos!G:G,C188))</f>
        <v/>
      </c>
      <c r="J188" s="90"/>
    </row>
    <row r="189">
      <c r="A189" s="2" t="str">
        <f t="shared" si="1"/>
        <v/>
      </c>
      <c r="B189" s="4"/>
      <c r="C189" s="4"/>
      <c r="D189" s="3" t="str">
        <f t="shared" si="2"/>
        <v/>
      </c>
      <c r="E189" s="4"/>
      <c r="F189" s="2" t="str">
        <f>IFERROR(__xludf.DUMMYFUNCTION("IF(E189="""","""",IF(COUNTIFS(D$1:D188,D189,E$1:E188,E189)&gt;0,INDEX(filter(F$1:F188,D$1:D188=D189,E$1:E188=E189),1),""Selecciona..""))"),"")</f>
        <v/>
      </c>
      <c r="G189" s="2" t="str">
        <f>IFERROR(__xludf.DUMMYFUNCTION("IF($E189="""","""",IF(COUNTIFS($D$1:$D188,$D189,$E$1:$E188,$E189)&gt;0,INDEX(filter(G$1:G188,$D$1:$D188=$D189,$E$1:$E188=E189),1),""Selecciona..""))"),"")</f>
        <v/>
      </c>
      <c r="H189" s="4" t="str">
        <f>IF(D189="","",COUNTIF(Productos!G:G,C189))</f>
        <v/>
      </c>
      <c r="J189" s="90"/>
    </row>
    <row r="190">
      <c r="A190" s="2" t="str">
        <f t="shared" si="1"/>
        <v/>
      </c>
      <c r="B190" s="4"/>
      <c r="C190" s="4"/>
      <c r="D190" s="3" t="str">
        <f t="shared" si="2"/>
        <v/>
      </c>
      <c r="E190" s="4"/>
      <c r="F190" s="2" t="str">
        <f>IFERROR(__xludf.DUMMYFUNCTION("IF(E190="""","""",IF(COUNTIFS(D$1:D189,D190,E$1:E189,E190)&gt;0,INDEX(filter(F$1:F189,D$1:D189=D190,E$1:E189=E190),1),""Selecciona..""))"),"")</f>
        <v/>
      </c>
      <c r="G190" s="2" t="str">
        <f>IFERROR(__xludf.DUMMYFUNCTION("IF($E190="""","""",IF(COUNTIFS($D$1:$D189,$D190,$E$1:$E189,$E190)&gt;0,INDEX(filter(G$1:G189,$D$1:$D189=$D190,$E$1:$E189=E190),1),""Selecciona..""))"),"")</f>
        <v/>
      </c>
      <c r="H190" s="4" t="str">
        <f>IF(D190="","",COUNTIF(Productos!G:G,C190))</f>
        <v/>
      </c>
      <c r="J190" s="90"/>
    </row>
    <row r="191">
      <c r="A191" s="2" t="str">
        <f t="shared" si="1"/>
        <v/>
      </c>
      <c r="B191" s="4"/>
      <c r="C191" s="4"/>
      <c r="D191" s="3" t="str">
        <f t="shared" si="2"/>
        <v/>
      </c>
      <c r="E191" s="4"/>
      <c r="F191" s="2" t="str">
        <f>IFERROR(__xludf.DUMMYFUNCTION("IF(E191="""","""",IF(COUNTIFS(D$1:D190,D191,E$1:E190,E191)&gt;0,INDEX(filter(F$1:F190,D$1:D190=D191,E$1:E190=E191),1),""Selecciona..""))"),"")</f>
        <v/>
      </c>
      <c r="G191" s="2" t="str">
        <f>IFERROR(__xludf.DUMMYFUNCTION("IF($E191="""","""",IF(COUNTIFS($D$1:$D190,$D191,$E$1:$E190,$E191)&gt;0,INDEX(filter(G$1:G190,$D$1:$D190=$D191,$E$1:$E190=E191),1),""Selecciona..""))"),"")</f>
        <v/>
      </c>
      <c r="H191" s="4" t="str">
        <f>IF(D191="","",COUNTIF(Productos!G:G,C191))</f>
        <v/>
      </c>
      <c r="J191" s="90"/>
    </row>
    <row r="192">
      <c r="A192" s="2" t="str">
        <f t="shared" si="1"/>
        <v/>
      </c>
      <c r="B192" s="4"/>
      <c r="C192" s="4"/>
      <c r="D192" s="3" t="str">
        <f t="shared" si="2"/>
        <v/>
      </c>
      <c r="E192" s="4"/>
      <c r="F192" s="2" t="str">
        <f>IFERROR(__xludf.DUMMYFUNCTION("IF(E192="""","""",IF(COUNTIFS(D$1:D191,D192,E$1:E191,E192)&gt;0,INDEX(filter(F$1:F191,D$1:D191=D192,E$1:E191=E192),1),""Selecciona..""))"),"")</f>
        <v/>
      </c>
      <c r="G192" s="2" t="str">
        <f>IFERROR(__xludf.DUMMYFUNCTION("IF($E192="""","""",IF(COUNTIFS($D$1:$D191,$D192,$E$1:$E191,$E192)&gt;0,INDEX(filter(G$1:G191,$D$1:$D191=$D192,$E$1:$E191=E192),1),""Selecciona..""))"),"")</f>
        <v/>
      </c>
      <c r="H192" s="4" t="str">
        <f>IF(D192="","",COUNTIF(Productos!G:G,C192))</f>
        <v/>
      </c>
      <c r="J192" s="90"/>
    </row>
    <row r="193">
      <c r="A193" s="2" t="str">
        <f t="shared" si="1"/>
        <v/>
      </c>
      <c r="B193" s="4"/>
      <c r="C193" s="4"/>
      <c r="D193" s="3" t="str">
        <f t="shared" si="2"/>
        <v/>
      </c>
      <c r="E193" s="4"/>
      <c r="F193" s="2" t="str">
        <f>IFERROR(__xludf.DUMMYFUNCTION("IF(E193="""","""",IF(COUNTIFS(D$1:D192,D193,E$1:E192,E193)&gt;0,INDEX(filter(F$1:F192,D$1:D192=D193,E$1:E192=E193),1),""Selecciona..""))"),"")</f>
        <v/>
      </c>
      <c r="G193" s="2" t="str">
        <f>IFERROR(__xludf.DUMMYFUNCTION("IF($E193="""","""",IF(COUNTIFS($D$1:$D192,$D193,$E$1:$E192,$E193)&gt;0,INDEX(filter(G$1:G192,$D$1:$D192=$D193,$E$1:$E192=E193),1),""Selecciona..""))"),"")</f>
        <v/>
      </c>
      <c r="H193" s="4" t="str">
        <f>IF(D193="","",COUNTIF(Productos!G:G,C193))</f>
        <v/>
      </c>
      <c r="J193" s="90"/>
    </row>
    <row r="194">
      <c r="A194" s="2" t="str">
        <f t="shared" si="1"/>
        <v/>
      </c>
      <c r="B194" s="4"/>
      <c r="C194" s="4"/>
      <c r="D194" s="3" t="str">
        <f t="shared" si="2"/>
        <v/>
      </c>
      <c r="E194" s="4"/>
      <c r="F194" s="2" t="str">
        <f>IFERROR(__xludf.DUMMYFUNCTION("IF(E194="""","""",IF(COUNTIFS(D$1:D193,D194,E$1:E193,E194)&gt;0,INDEX(filter(F$1:F193,D$1:D193=D194,E$1:E193=E194),1),""Selecciona..""))"),"")</f>
        <v/>
      </c>
      <c r="G194" s="2" t="str">
        <f>IFERROR(__xludf.DUMMYFUNCTION("IF($E194="""","""",IF(COUNTIFS($D$1:$D193,$D194,$E$1:$E193,$E194)&gt;0,INDEX(filter(G$1:G193,$D$1:$D193=$D194,$E$1:$E193=E194),1),""Selecciona..""))"),"")</f>
        <v/>
      </c>
      <c r="H194" s="4" t="str">
        <f>IF(D194="","",COUNTIF(Productos!G:G,C194))</f>
        <v/>
      </c>
      <c r="J194" s="90"/>
    </row>
    <row r="195">
      <c r="A195" s="2" t="str">
        <f t="shared" si="1"/>
        <v/>
      </c>
      <c r="B195" s="4"/>
      <c r="C195" s="4"/>
      <c r="D195" s="3" t="str">
        <f t="shared" si="2"/>
        <v/>
      </c>
      <c r="E195" s="4"/>
      <c r="F195" s="2" t="str">
        <f>IFERROR(__xludf.DUMMYFUNCTION("IF(E195="""","""",IF(COUNTIFS(D$1:D194,D195,E$1:E194,E195)&gt;0,INDEX(filter(F$1:F194,D$1:D194=D195,E$1:E194=E195),1),""Selecciona..""))"),"")</f>
        <v/>
      </c>
      <c r="G195" s="2" t="str">
        <f>IFERROR(__xludf.DUMMYFUNCTION("IF($E195="""","""",IF(COUNTIFS($D$1:$D194,$D195,$E$1:$E194,$E195)&gt;0,INDEX(filter(G$1:G194,$D$1:$D194=$D195,$E$1:$E194=E195),1),""Selecciona..""))"),"")</f>
        <v/>
      </c>
      <c r="H195" s="4" t="str">
        <f>IF(D195="","",COUNTIF(Productos!G:G,C195))</f>
        <v/>
      </c>
      <c r="J195" s="90"/>
    </row>
    <row r="196">
      <c r="A196" s="2" t="str">
        <f t="shared" si="1"/>
        <v/>
      </c>
      <c r="B196" s="4"/>
      <c r="C196" s="4"/>
      <c r="D196" s="3" t="str">
        <f t="shared" si="2"/>
        <v/>
      </c>
      <c r="E196" s="4"/>
      <c r="F196" s="2" t="str">
        <f>IFERROR(__xludf.DUMMYFUNCTION("IF(E196="""","""",IF(COUNTIFS(D$1:D195,D196,E$1:E195,E196)&gt;0,INDEX(filter(F$1:F195,D$1:D195=D196,E$1:E195=E196),1),""Selecciona..""))"),"")</f>
        <v/>
      </c>
      <c r="G196" s="2" t="str">
        <f>IFERROR(__xludf.DUMMYFUNCTION("IF($E196="""","""",IF(COUNTIFS($D$1:$D195,$D196,$E$1:$E195,$E196)&gt;0,INDEX(filter(G$1:G195,$D$1:$D195=$D196,$E$1:$E195=E196),1),""Selecciona..""))"),"")</f>
        <v/>
      </c>
      <c r="H196" s="4" t="str">
        <f>IF(D196="","",COUNTIF(Productos!G:G,C196))</f>
        <v/>
      </c>
      <c r="J196" s="90"/>
    </row>
    <row r="197">
      <c r="A197" s="2" t="str">
        <f t="shared" si="1"/>
        <v/>
      </c>
      <c r="B197" s="4"/>
      <c r="C197" s="4"/>
      <c r="D197" s="3" t="str">
        <f t="shared" si="2"/>
        <v/>
      </c>
      <c r="E197" s="4"/>
      <c r="F197" s="2" t="str">
        <f>IFERROR(__xludf.DUMMYFUNCTION("IF(E197="""","""",IF(COUNTIFS(D$1:D196,D197,E$1:E196,E197)&gt;0,INDEX(filter(F$1:F196,D$1:D196=D197,E$1:E196=E197),1),""Selecciona..""))"),"")</f>
        <v/>
      </c>
      <c r="G197" s="2" t="str">
        <f>IFERROR(__xludf.DUMMYFUNCTION("IF($E197="""","""",IF(COUNTIFS($D$1:$D196,$D197,$E$1:$E196,$E197)&gt;0,INDEX(filter(G$1:G196,$D$1:$D196=$D197,$E$1:$E196=E197),1),""Selecciona..""))"),"")</f>
        <v/>
      </c>
      <c r="H197" s="4" t="str">
        <f>IF(D197="","",COUNTIF(Productos!G:G,C197))</f>
        <v/>
      </c>
      <c r="J197" s="90"/>
    </row>
    <row r="198">
      <c r="A198" s="2" t="str">
        <f t="shared" si="1"/>
        <v/>
      </c>
      <c r="B198" s="4"/>
      <c r="C198" s="4"/>
      <c r="D198" s="3" t="str">
        <f t="shared" si="2"/>
        <v/>
      </c>
      <c r="E198" s="4"/>
      <c r="F198" s="2" t="str">
        <f>IFERROR(__xludf.DUMMYFUNCTION("IF(E198="""","""",IF(COUNTIFS(D$1:D197,D198,E$1:E197,E198)&gt;0,INDEX(filter(F$1:F197,D$1:D197=D198,E$1:E197=E198),1),""Selecciona..""))"),"")</f>
        <v/>
      </c>
      <c r="G198" s="2" t="str">
        <f>IFERROR(__xludf.DUMMYFUNCTION("IF($E198="""","""",IF(COUNTIFS($D$1:$D197,$D198,$E$1:$E197,$E198)&gt;0,INDEX(filter(G$1:G197,$D$1:$D197=$D198,$E$1:$E197=E198),1),""Selecciona..""))"),"")</f>
        <v/>
      </c>
      <c r="H198" s="4" t="str">
        <f>IF(D198="","",COUNTIF(Productos!G:G,C198))</f>
        <v/>
      </c>
      <c r="J198" s="90"/>
    </row>
    <row r="199">
      <c r="A199" s="2" t="str">
        <f t="shared" si="1"/>
        <v/>
      </c>
      <c r="B199" s="4"/>
      <c r="C199" s="4"/>
      <c r="D199" s="3" t="str">
        <f t="shared" si="2"/>
        <v/>
      </c>
      <c r="E199" s="4"/>
      <c r="F199" s="2" t="str">
        <f>IFERROR(__xludf.DUMMYFUNCTION("IF(E199="""","""",IF(COUNTIFS(D$1:D198,D199,E$1:E198,E199)&gt;0,INDEX(filter(F$1:F198,D$1:D198=D199,E$1:E198=E199),1),""Selecciona..""))"),"")</f>
        <v/>
      </c>
      <c r="G199" s="2" t="str">
        <f>IFERROR(__xludf.DUMMYFUNCTION("IF($E199="""","""",IF(COUNTIFS($D$1:$D198,$D199,$E$1:$E198,$E199)&gt;0,INDEX(filter(G$1:G198,$D$1:$D198=$D199,$E$1:$E198=E199),1),""Selecciona..""))"),"")</f>
        <v/>
      </c>
      <c r="H199" s="4" t="str">
        <f>IF(D199="","",COUNTIF(Productos!G:G,C199))</f>
        <v/>
      </c>
      <c r="J199" s="90"/>
    </row>
    <row r="200">
      <c r="A200" s="2" t="str">
        <f t="shared" si="1"/>
        <v/>
      </c>
      <c r="B200" s="4"/>
      <c r="C200" s="4"/>
      <c r="D200" s="3" t="str">
        <f t="shared" si="2"/>
        <v/>
      </c>
      <c r="E200" s="4"/>
      <c r="F200" s="2" t="str">
        <f>IFERROR(__xludf.DUMMYFUNCTION("IF(E200="""","""",IF(COUNTIFS(D$1:D199,D200,E$1:E199,E200)&gt;0,INDEX(filter(F$1:F199,D$1:D199=D200,E$1:E199=E200),1),""Selecciona..""))"),"")</f>
        <v/>
      </c>
      <c r="G200" s="2" t="str">
        <f>IFERROR(__xludf.DUMMYFUNCTION("IF($E200="""","""",IF(COUNTIFS($D$1:$D199,$D200,$E$1:$E199,$E200)&gt;0,INDEX(filter(G$1:G199,$D$1:$D199=$D200,$E$1:$E199=E200),1),""Selecciona..""))"),"")</f>
        <v/>
      </c>
      <c r="H200" s="4" t="str">
        <f>IF(D200="","",COUNTIF(Productos!G:G,C200))</f>
        <v/>
      </c>
      <c r="J200" s="90"/>
    </row>
    <row r="201">
      <c r="A201" s="2" t="str">
        <f t="shared" si="1"/>
        <v/>
      </c>
      <c r="B201" s="4"/>
      <c r="C201" s="4"/>
      <c r="D201" s="3" t="str">
        <f t="shared" si="2"/>
        <v/>
      </c>
      <c r="E201" s="4"/>
      <c r="F201" s="2" t="str">
        <f>IFERROR(__xludf.DUMMYFUNCTION("IF(E201="""","""",IF(COUNTIFS(D$1:D200,D201,E$1:E200,E201)&gt;0,INDEX(filter(F$1:F200,D$1:D200=D201,E$1:E200=E201),1),""Selecciona..""))"),"")</f>
        <v/>
      </c>
      <c r="G201" s="2" t="str">
        <f>IFERROR(__xludf.DUMMYFUNCTION("IF($E201="""","""",IF(COUNTIFS($D$1:$D200,$D201,$E$1:$E200,$E201)&gt;0,INDEX(filter(G$1:G200,$D$1:$D200=$D201,$E$1:$E200=E201),1),""Selecciona..""))"),"")</f>
        <v/>
      </c>
      <c r="H201" s="4" t="str">
        <f>IF(D201="","",COUNTIF(Productos!G:G,C201))</f>
        <v/>
      </c>
      <c r="J201" s="90"/>
    </row>
    <row r="202">
      <c r="A202" s="2" t="str">
        <f t="shared" si="1"/>
        <v/>
      </c>
      <c r="B202" s="4"/>
      <c r="C202" s="4"/>
      <c r="D202" s="3" t="str">
        <f t="shared" si="2"/>
        <v/>
      </c>
      <c r="E202" s="4"/>
      <c r="F202" s="2" t="str">
        <f>IFERROR(__xludf.DUMMYFUNCTION("IF(E202="""","""",IF(COUNTIFS(D$1:D201,D202,E$1:E201,E202)&gt;0,INDEX(filter(F$1:F201,D$1:D201=D202,E$1:E201=E202),1),""Selecciona..""))"),"")</f>
        <v/>
      </c>
      <c r="G202" s="2" t="str">
        <f>IFERROR(__xludf.DUMMYFUNCTION("IF($E202="""","""",IF(COUNTIFS($D$1:$D201,$D202,$E$1:$E201,$E202)&gt;0,INDEX(filter(G$1:G201,$D$1:$D201=$D202,$E$1:$E201=E202),1),""Selecciona..""))"),"")</f>
        <v/>
      </c>
      <c r="H202" s="4" t="str">
        <f>IF(D202="","",COUNTIF(Productos!G:G,C202))</f>
        <v/>
      </c>
      <c r="J202" s="90"/>
    </row>
    <row r="203">
      <c r="A203" s="2" t="str">
        <f t="shared" si="1"/>
        <v/>
      </c>
      <c r="B203" s="4"/>
      <c r="C203" s="4"/>
      <c r="D203" s="3" t="str">
        <f t="shared" si="2"/>
        <v/>
      </c>
      <c r="E203" s="4"/>
      <c r="F203" s="2" t="str">
        <f>IFERROR(__xludf.DUMMYFUNCTION("IF(E203="""","""",IF(COUNTIFS(D$1:D202,D203,E$1:E202,E203)&gt;0,INDEX(filter(F$1:F202,D$1:D202=D203,E$1:E202=E203),1),""Selecciona..""))"),"")</f>
        <v/>
      </c>
      <c r="G203" s="2" t="str">
        <f>IFERROR(__xludf.DUMMYFUNCTION("IF($E203="""","""",IF(COUNTIFS($D$1:$D202,$D203,$E$1:$E202,$E203)&gt;0,INDEX(filter(G$1:G202,$D$1:$D202=$D203,$E$1:$E202=E203),1),""Selecciona..""))"),"")</f>
        <v/>
      </c>
      <c r="H203" s="4" t="str">
        <f>IF(D203="","",COUNTIF(Productos!G:G,C203))</f>
        <v/>
      </c>
      <c r="J203" s="90"/>
    </row>
    <row r="204">
      <c r="A204" s="2" t="str">
        <f t="shared" si="1"/>
        <v/>
      </c>
      <c r="B204" s="4"/>
      <c r="C204" s="4"/>
      <c r="D204" s="3" t="str">
        <f t="shared" si="2"/>
        <v/>
      </c>
      <c r="E204" s="4"/>
      <c r="F204" s="2" t="str">
        <f>IFERROR(__xludf.DUMMYFUNCTION("IF(E204="""","""",IF(COUNTIFS(D$1:D203,D204,E$1:E203,E204)&gt;0,INDEX(filter(F$1:F203,D$1:D203=D204,E$1:E203=E204),1),""Selecciona..""))"),"")</f>
        <v/>
      </c>
      <c r="G204" s="2" t="str">
        <f>IFERROR(__xludf.DUMMYFUNCTION("IF($E204="""","""",IF(COUNTIFS($D$1:$D203,$D204,$E$1:$E203,$E204)&gt;0,INDEX(filter(G$1:G203,$D$1:$D203=$D204,$E$1:$E203=E204),1),""Selecciona..""))"),"")</f>
        <v/>
      </c>
      <c r="H204" s="4" t="str">
        <f>IF(D204="","",COUNTIF(Productos!G:G,C204))</f>
        <v/>
      </c>
      <c r="J204" s="90"/>
    </row>
    <row r="205">
      <c r="A205" s="2" t="str">
        <f t="shared" si="1"/>
        <v/>
      </c>
      <c r="B205" s="4"/>
      <c r="C205" s="4"/>
      <c r="D205" s="3" t="str">
        <f t="shared" si="2"/>
        <v/>
      </c>
      <c r="E205" s="4"/>
      <c r="F205" s="2" t="str">
        <f>IFERROR(__xludf.DUMMYFUNCTION("IF(E205="""","""",IF(COUNTIFS(D$1:D204,D205,E$1:E204,E205)&gt;0,INDEX(filter(F$1:F204,D$1:D204=D205,E$1:E204=E205),1),""Selecciona..""))"),"")</f>
        <v/>
      </c>
      <c r="G205" s="2" t="str">
        <f>IFERROR(__xludf.DUMMYFUNCTION("IF($E205="""","""",IF(COUNTIFS($D$1:$D204,$D205,$E$1:$E204,$E205)&gt;0,INDEX(filter(G$1:G204,$D$1:$D204=$D205,$E$1:$E204=E205),1),""Selecciona..""))"),"")</f>
        <v/>
      </c>
      <c r="H205" s="4" t="str">
        <f>IF(D205="","",COUNTIF(Productos!G:G,C205))</f>
        <v/>
      </c>
      <c r="J205" s="90"/>
    </row>
    <row r="206">
      <c r="A206" s="2" t="str">
        <f t="shared" si="1"/>
        <v/>
      </c>
      <c r="B206" s="4"/>
      <c r="C206" s="4"/>
      <c r="D206" s="3" t="str">
        <f t="shared" si="2"/>
        <v/>
      </c>
      <c r="E206" s="4"/>
      <c r="F206" s="2" t="str">
        <f>IFERROR(__xludf.DUMMYFUNCTION("IF(E206="""","""",IF(COUNTIFS(D$1:D205,D206,E$1:E205,E206)&gt;0,INDEX(filter(F$1:F205,D$1:D205=D206,E$1:E205=E206),1),""Selecciona..""))"),"")</f>
        <v/>
      </c>
      <c r="G206" s="2" t="str">
        <f>IFERROR(__xludf.DUMMYFUNCTION("IF($E206="""","""",IF(COUNTIFS($D$1:$D205,$D206,$E$1:$E205,$E206)&gt;0,INDEX(filter(G$1:G205,$D$1:$D205=$D206,$E$1:$E205=E206),1),""Selecciona..""))"),"")</f>
        <v/>
      </c>
      <c r="H206" s="4" t="str">
        <f>IF(D206="","",COUNTIF(Productos!G:G,C206))</f>
        <v/>
      </c>
      <c r="J206" s="90"/>
    </row>
    <row r="207">
      <c r="A207" s="2" t="str">
        <f t="shared" si="1"/>
        <v/>
      </c>
      <c r="B207" s="4"/>
      <c r="C207" s="4"/>
      <c r="D207" s="3" t="str">
        <f t="shared" si="2"/>
        <v/>
      </c>
      <c r="E207" s="4"/>
      <c r="F207" s="2" t="str">
        <f>IFERROR(__xludf.DUMMYFUNCTION("IF(E207="""","""",IF(COUNTIFS(D$1:D206,D207,E$1:E206,E207)&gt;0,INDEX(filter(F$1:F206,D$1:D206=D207,E$1:E206=E207),1),""Selecciona..""))"),"")</f>
        <v/>
      </c>
      <c r="G207" s="2" t="str">
        <f>IFERROR(__xludf.DUMMYFUNCTION("IF($E207="""","""",IF(COUNTIFS($D$1:$D206,$D207,$E$1:$E206,$E207)&gt;0,INDEX(filter(G$1:G206,$D$1:$D206=$D207,$E$1:$E206=E207),1),""Selecciona..""))"),"")</f>
        <v/>
      </c>
      <c r="H207" s="4" t="str">
        <f>IF(D207="","",COUNTIF(Productos!G:G,C207))</f>
        <v/>
      </c>
      <c r="J207" s="90"/>
    </row>
    <row r="208">
      <c r="A208" s="2" t="str">
        <f t="shared" si="1"/>
        <v/>
      </c>
      <c r="B208" s="4"/>
      <c r="C208" s="4"/>
      <c r="D208" s="3" t="str">
        <f t="shared" si="2"/>
        <v/>
      </c>
      <c r="E208" s="4"/>
      <c r="F208" s="2" t="str">
        <f>IFERROR(__xludf.DUMMYFUNCTION("IF(E208="""","""",IF(COUNTIFS(D$1:D207,D208,E$1:E207,E208)&gt;0,INDEX(filter(F$1:F207,D$1:D207=D208,E$1:E207=E208),1),""Selecciona..""))"),"")</f>
        <v/>
      </c>
      <c r="G208" s="2" t="str">
        <f>IFERROR(__xludf.DUMMYFUNCTION("IF($E208="""","""",IF(COUNTIFS($D$1:$D207,$D208,$E$1:$E207,$E208)&gt;0,INDEX(filter(G$1:G207,$D$1:$D207=$D208,$E$1:$E207=E208),1),""Selecciona..""))"),"")</f>
        <v/>
      </c>
      <c r="H208" s="4" t="str">
        <f>IF(D208="","",COUNTIF(Productos!G:G,C208))</f>
        <v/>
      </c>
      <c r="J208" s="90"/>
    </row>
    <row r="209">
      <c r="A209" s="2" t="str">
        <f t="shared" si="1"/>
        <v/>
      </c>
      <c r="B209" s="4"/>
      <c r="C209" s="4"/>
      <c r="D209" s="3" t="str">
        <f t="shared" si="2"/>
        <v/>
      </c>
      <c r="E209" s="4"/>
      <c r="F209" s="2" t="str">
        <f>IFERROR(__xludf.DUMMYFUNCTION("IF(E209="""","""",IF(COUNTIFS(D$1:D208,D209,E$1:E208,E209)&gt;0,INDEX(filter(F$1:F208,D$1:D208=D209,E$1:E208=E209),1),""Selecciona..""))"),"")</f>
        <v/>
      </c>
      <c r="G209" s="2" t="str">
        <f>IFERROR(__xludf.DUMMYFUNCTION("IF($E209="""","""",IF(COUNTIFS($D$1:$D208,$D209,$E$1:$E208,$E209)&gt;0,INDEX(filter(G$1:G208,$D$1:$D208=$D209,$E$1:$E208=E209),1),""Selecciona..""))"),"")</f>
        <v/>
      </c>
      <c r="H209" s="4" t="str">
        <f>IF(D209="","",COUNTIF(Productos!G:G,C209))</f>
        <v/>
      </c>
      <c r="J209" s="90"/>
    </row>
    <row r="210">
      <c r="A210" s="2" t="str">
        <f t="shared" si="1"/>
        <v/>
      </c>
      <c r="B210" s="4"/>
      <c r="C210" s="4"/>
      <c r="D210" s="3" t="str">
        <f t="shared" si="2"/>
        <v/>
      </c>
      <c r="E210" s="4"/>
      <c r="F210" s="2" t="str">
        <f>IFERROR(__xludf.DUMMYFUNCTION("IF(E210="""","""",IF(COUNTIFS(D$1:D209,D210,E$1:E209,E210)&gt;0,INDEX(filter(F$1:F209,D$1:D209=D210,E$1:E209=E210),1),""Selecciona..""))"),"")</f>
        <v/>
      </c>
      <c r="G210" s="2" t="str">
        <f>IFERROR(__xludf.DUMMYFUNCTION("IF($E210="""","""",IF(COUNTIFS($D$1:$D209,$D210,$E$1:$E209,$E210)&gt;0,INDEX(filter(G$1:G209,$D$1:$D209=$D210,$E$1:$E209=E210),1),""Selecciona..""))"),"")</f>
        <v/>
      </c>
      <c r="H210" s="4" t="str">
        <f>IF(D210="","",COUNTIF(Productos!G:G,C210))</f>
        <v/>
      </c>
      <c r="J210" s="90"/>
    </row>
    <row r="211">
      <c r="A211" s="2" t="str">
        <f t="shared" si="1"/>
        <v/>
      </c>
      <c r="B211" s="4"/>
      <c r="C211" s="4"/>
      <c r="D211" s="3" t="str">
        <f t="shared" si="2"/>
        <v/>
      </c>
      <c r="E211" s="4"/>
      <c r="F211" s="2" t="str">
        <f>IFERROR(__xludf.DUMMYFUNCTION("IF(E211="""","""",IF(COUNTIFS(D$1:D210,D211,E$1:E210,E211)&gt;0,INDEX(filter(F$1:F210,D$1:D210=D211,E$1:E210=E211),1),""Selecciona..""))"),"")</f>
        <v/>
      </c>
      <c r="G211" s="2" t="str">
        <f>IFERROR(__xludf.DUMMYFUNCTION("IF($E211="""","""",IF(COUNTIFS($D$1:$D210,$D211,$E$1:$E210,$E211)&gt;0,INDEX(filter(G$1:G210,$D$1:$D210=$D211,$E$1:$E210=E211),1),""Selecciona..""))"),"")</f>
        <v/>
      </c>
      <c r="H211" s="4" t="str">
        <f>IF(D211="","",COUNTIF(Productos!G:G,C211))</f>
        <v/>
      </c>
      <c r="J211" s="90"/>
    </row>
    <row r="212">
      <c r="A212" s="2" t="str">
        <f t="shared" si="1"/>
        <v/>
      </c>
      <c r="B212" s="4"/>
      <c r="C212" s="4"/>
      <c r="D212" s="3" t="str">
        <f t="shared" si="2"/>
        <v/>
      </c>
      <c r="E212" s="4"/>
      <c r="F212" s="2" t="str">
        <f>IFERROR(__xludf.DUMMYFUNCTION("IF(E212="""","""",IF(COUNTIFS(D$1:D211,D212,E$1:E211,E212)&gt;0,INDEX(filter(F$1:F211,D$1:D211=D212,E$1:E211=E212),1),""Selecciona..""))"),"")</f>
        <v/>
      </c>
      <c r="G212" s="2" t="str">
        <f>IFERROR(__xludf.DUMMYFUNCTION("IF($E212="""","""",IF(COUNTIFS($D$1:$D211,$D212,$E$1:$E211,$E212)&gt;0,INDEX(filter(G$1:G211,$D$1:$D211=$D212,$E$1:$E211=E212),1),""Selecciona..""))"),"")</f>
        <v/>
      </c>
      <c r="H212" s="4" t="str">
        <f>IF(D212="","",COUNTIF(Productos!G:G,C212))</f>
        <v/>
      </c>
      <c r="J212" s="90"/>
    </row>
    <row r="213">
      <c r="A213" s="2" t="str">
        <f t="shared" si="1"/>
        <v/>
      </c>
      <c r="B213" s="4"/>
      <c r="C213" s="4"/>
      <c r="D213" s="3" t="str">
        <f t="shared" si="2"/>
        <v/>
      </c>
      <c r="E213" s="4"/>
      <c r="F213" s="2" t="str">
        <f>IFERROR(__xludf.DUMMYFUNCTION("IF(E213="""","""",IF(COUNTIFS(D$1:D212,D213,E$1:E212,E213)&gt;0,INDEX(filter(F$1:F212,D$1:D212=D213,E$1:E212=E213),1),""Selecciona..""))"),"")</f>
        <v/>
      </c>
      <c r="G213" s="2" t="str">
        <f>IFERROR(__xludf.DUMMYFUNCTION("IF($E213="""","""",IF(COUNTIFS($D$1:$D212,$D213,$E$1:$E212,$E213)&gt;0,INDEX(filter(G$1:G212,$D$1:$D212=$D213,$E$1:$E212=E213),1),""Selecciona..""))"),"")</f>
        <v/>
      </c>
      <c r="H213" s="4" t="str">
        <f>IF(D213="","",COUNTIF(Productos!G:G,C213))</f>
        <v/>
      </c>
      <c r="J213" s="90"/>
    </row>
    <row r="214">
      <c r="A214" s="2" t="str">
        <f t="shared" si="1"/>
        <v/>
      </c>
      <c r="B214" s="4"/>
      <c r="C214" s="4"/>
      <c r="D214" s="3" t="str">
        <f t="shared" si="2"/>
        <v/>
      </c>
      <c r="E214" s="4"/>
      <c r="F214" s="2" t="str">
        <f>IFERROR(__xludf.DUMMYFUNCTION("IF(E214="""","""",IF(COUNTIFS(D$1:D213,D214,E$1:E213,E214)&gt;0,INDEX(filter(F$1:F213,D$1:D213=D214,E$1:E213=E214),1),""Selecciona..""))"),"")</f>
        <v/>
      </c>
      <c r="G214" s="2" t="str">
        <f>IFERROR(__xludf.DUMMYFUNCTION("IF($E214="""","""",IF(COUNTIFS($D$1:$D213,$D214,$E$1:$E213,$E214)&gt;0,INDEX(filter(G$1:G213,$D$1:$D213=$D214,$E$1:$E213=E214),1),""Selecciona..""))"),"")</f>
        <v/>
      </c>
      <c r="H214" s="4" t="str">
        <f>IF(D214="","",COUNTIF(Productos!G:G,C214))</f>
        <v/>
      </c>
      <c r="J214" s="90"/>
    </row>
    <row r="215">
      <c r="A215" s="2" t="str">
        <f t="shared" si="1"/>
        <v/>
      </c>
      <c r="B215" s="4"/>
      <c r="C215" s="4"/>
      <c r="D215" s="3" t="str">
        <f t="shared" si="2"/>
        <v/>
      </c>
      <c r="E215" s="4"/>
      <c r="F215" s="2" t="str">
        <f>IFERROR(__xludf.DUMMYFUNCTION("IF(E215="""","""",IF(COUNTIFS(D$1:D214,D215,E$1:E214,E215)&gt;0,INDEX(filter(F$1:F214,D$1:D214=D215,E$1:E214=E215),1),""Selecciona..""))"),"")</f>
        <v/>
      </c>
      <c r="G215" s="2" t="str">
        <f>IFERROR(__xludf.DUMMYFUNCTION("IF($E215="""","""",IF(COUNTIFS($D$1:$D214,$D215,$E$1:$E214,$E215)&gt;0,INDEX(filter(G$1:G214,$D$1:$D214=$D215,$E$1:$E214=E215),1),""Selecciona..""))"),"")</f>
        <v/>
      </c>
      <c r="H215" s="4" t="str">
        <f>IF(D215="","",COUNTIF(Productos!G:G,C215))</f>
        <v/>
      </c>
      <c r="J215" s="90"/>
    </row>
    <row r="216">
      <c r="A216" s="2" t="str">
        <f t="shared" si="1"/>
        <v/>
      </c>
      <c r="B216" s="4"/>
      <c r="C216" s="4"/>
      <c r="D216" s="3" t="str">
        <f t="shared" si="2"/>
        <v/>
      </c>
      <c r="E216" s="4"/>
      <c r="F216" s="2" t="str">
        <f>IFERROR(__xludf.DUMMYFUNCTION("IF(E216="""","""",IF(COUNTIFS(D$1:D215,D216,E$1:E215,E216)&gt;0,INDEX(filter(F$1:F215,D$1:D215=D216,E$1:E215=E216),1),""Selecciona..""))"),"")</f>
        <v/>
      </c>
      <c r="G216" s="2" t="str">
        <f>IFERROR(__xludf.DUMMYFUNCTION("IF($E216="""","""",IF(COUNTIFS($D$1:$D215,$D216,$E$1:$E215,$E216)&gt;0,INDEX(filter(G$1:G215,$D$1:$D215=$D216,$E$1:$E215=E216),1),""Selecciona..""))"),"")</f>
        <v/>
      </c>
      <c r="H216" s="4" t="str">
        <f>IF(D216="","",COUNTIF(Productos!G:G,C216))</f>
        <v/>
      </c>
      <c r="J216" s="90"/>
    </row>
    <row r="217">
      <c r="A217" s="2" t="str">
        <f t="shared" si="1"/>
        <v/>
      </c>
      <c r="B217" s="4"/>
      <c r="C217" s="4"/>
      <c r="D217" s="3" t="str">
        <f t="shared" si="2"/>
        <v/>
      </c>
      <c r="E217" s="4"/>
      <c r="F217" s="2" t="str">
        <f>IFERROR(__xludf.DUMMYFUNCTION("IF(E217="""","""",IF(COUNTIFS(D$1:D216,D217,E$1:E216,E217)&gt;0,INDEX(filter(F$1:F216,D$1:D216=D217,E$1:E216=E217),1),""Selecciona..""))"),"")</f>
        <v/>
      </c>
      <c r="G217" s="2" t="str">
        <f>IFERROR(__xludf.DUMMYFUNCTION("IF($E217="""","""",IF(COUNTIFS($D$1:$D216,$D217,$E$1:$E216,$E217)&gt;0,INDEX(filter(G$1:G216,$D$1:$D216=$D217,$E$1:$E216=E217),1),""Selecciona..""))"),"")</f>
        <v/>
      </c>
      <c r="H217" s="4" t="str">
        <f>IF(D217="","",COUNTIF(Productos!G:G,C217))</f>
        <v/>
      </c>
      <c r="J217" s="90"/>
    </row>
    <row r="218">
      <c r="A218" s="2" t="str">
        <f t="shared" si="1"/>
        <v/>
      </c>
      <c r="B218" s="4"/>
      <c r="C218" s="4"/>
      <c r="D218" s="3" t="str">
        <f t="shared" si="2"/>
        <v/>
      </c>
      <c r="E218" s="4"/>
      <c r="F218" s="2" t="str">
        <f>IFERROR(__xludf.DUMMYFUNCTION("IF(E218="""","""",IF(COUNTIFS(D$1:D217,D218,E$1:E217,E218)&gt;0,INDEX(filter(F$1:F217,D$1:D217=D218,E$1:E217=E218),1),""Selecciona..""))"),"")</f>
        <v/>
      </c>
      <c r="G218" s="2" t="str">
        <f>IFERROR(__xludf.DUMMYFUNCTION("IF($E218="""","""",IF(COUNTIFS($D$1:$D217,$D218,$E$1:$E217,$E218)&gt;0,INDEX(filter(G$1:G217,$D$1:$D217=$D218,$E$1:$E217=E218),1),""Selecciona..""))"),"")</f>
        <v/>
      </c>
      <c r="H218" s="4" t="str">
        <f>IF(D218="","",COUNTIF(Productos!G:G,C218))</f>
        <v/>
      </c>
      <c r="J218" s="90"/>
    </row>
    <row r="219">
      <c r="A219" s="2" t="str">
        <f t="shared" si="1"/>
        <v/>
      </c>
      <c r="B219" s="4"/>
      <c r="C219" s="4"/>
      <c r="D219" s="3" t="str">
        <f t="shared" si="2"/>
        <v/>
      </c>
      <c r="E219" s="4"/>
      <c r="F219" s="2" t="str">
        <f>IFERROR(__xludf.DUMMYFUNCTION("IF(E219="""","""",IF(COUNTIFS(D$1:D218,D219,E$1:E218,E219)&gt;0,INDEX(filter(F$1:F218,D$1:D218=D219,E$1:E218=E219),1),""Selecciona..""))"),"")</f>
        <v/>
      </c>
      <c r="G219" s="2" t="str">
        <f>IFERROR(__xludf.DUMMYFUNCTION("IF($E219="""","""",IF(COUNTIFS($D$1:$D218,$D219,$E$1:$E218,$E219)&gt;0,INDEX(filter(G$1:G218,$D$1:$D218=$D219,$E$1:$E218=E219),1),""Selecciona..""))"),"")</f>
        <v/>
      </c>
      <c r="H219" s="4" t="str">
        <f>IF(D219="","",COUNTIF(Productos!G:G,C219))</f>
        <v/>
      </c>
      <c r="J219" s="90"/>
    </row>
    <row r="220">
      <c r="A220" s="2" t="str">
        <f t="shared" si="1"/>
        <v/>
      </c>
      <c r="B220" s="4"/>
      <c r="C220" s="4"/>
      <c r="D220" s="3" t="str">
        <f t="shared" si="2"/>
        <v/>
      </c>
      <c r="E220" s="4"/>
      <c r="F220" s="2" t="str">
        <f>IFERROR(__xludf.DUMMYFUNCTION("IF(E220="""","""",IF(COUNTIFS(D$1:D219,D220,E$1:E219,E220)&gt;0,INDEX(filter(F$1:F219,D$1:D219=D220,E$1:E219=E220),1),""Selecciona..""))"),"")</f>
        <v/>
      </c>
      <c r="G220" s="2" t="str">
        <f>IFERROR(__xludf.DUMMYFUNCTION("IF($E220="""","""",IF(COUNTIFS($D$1:$D219,$D220,$E$1:$E219,$E220)&gt;0,INDEX(filter(G$1:G219,$D$1:$D219=$D220,$E$1:$E219=E220),1),""Selecciona..""))"),"")</f>
        <v/>
      </c>
      <c r="H220" s="4" t="str">
        <f>IF(D220="","",COUNTIF(Productos!G:G,C220))</f>
        <v/>
      </c>
      <c r="J220" s="90"/>
    </row>
    <row r="221">
      <c r="A221" s="2" t="str">
        <f t="shared" si="1"/>
        <v/>
      </c>
      <c r="B221" s="4"/>
      <c r="C221" s="4"/>
      <c r="D221" s="3" t="str">
        <f t="shared" si="2"/>
        <v/>
      </c>
      <c r="E221" s="4"/>
      <c r="F221" s="2" t="str">
        <f>IFERROR(__xludf.DUMMYFUNCTION("IF(E221="""","""",IF(COUNTIFS(D$1:D220,D221,E$1:E220,E221)&gt;0,INDEX(filter(F$1:F220,D$1:D220=D221,E$1:E220=E221),1),""Selecciona..""))"),"")</f>
        <v/>
      </c>
      <c r="G221" s="2" t="str">
        <f>IFERROR(__xludf.DUMMYFUNCTION("IF($E221="""","""",IF(COUNTIFS($D$1:$D220,$D221,$E$1:$E220,$E221)&gt;0,INDEX(filter(G$1:G220,$D$1:$D220=$D221,$E$1:$E220=E221),1),""Selecciona..""))"),"")</f>
        <v/>
      </c>
      <c r="H221" s="4" t="str">
        <f>IF(D221="","",COUNTIF(Productos!G:G,C221))</f>
        <v/>
      </c>
      <c r="J221" s="90"/>
    </row>
    <row r="222">
      <c r="A222" s="2" t="str">
        <f t="shared" si="1"/>
        <v/>
      </c>
      <c r="B222" s="4"/>
      <c r="C222" s="4"/>
      <c r="D222" s="3" t="str">
        <f t="shared" si="2"/>
        <v/>
      </c>
      <c r="E222" s="4"/>
      <c r="F222" s="2" t="str">
        <f>IFERROR(__xludf.DUMMYFUNCTION("IF(E222="""","""",IF(COUNTIFS(D$1:D221,D222,E$1:E221,E222)&gt;0,INDEX(filter(F$1:F221,D$1:D221=D222,E$1:E221=E222),1),""Selecciona..""))"),"")</f>
        <v/>
      </c>
      <c r="G222" s="2" t="str">
        <f>IFERROR(__xludf.DUMMYFUNCTION("IF($E222="""","""",IF(COUNTIFS($D$1:$D221,$D222,$E$1:$E221,$E222)&gt;0,INDEX(filter(G$1:G221,$D$1:$D221=$D222,$E$1:$E221=E222),1),""Selecciona..""))"),"")</f>
        <v/>
      </c>
      <c r="H222" s="4" t="str">
        <f>IF(D222="","",COUNTIF(Productos!G:G,C222))</f>
        <v/>
      </c>
      <c r="J222" s="90"/>
    </row>
    <row r="223">
      <c r="A223" s="2" t="str">
        <f t="shared" si="1"/>
        <v/>
      </c>
      <c r="B223" s="4"/>
      <c r="C223" s="4"/>
      <c r="D223" s="3" t="str">
        <f t="shared" si="2"/>
        <v/>
      </c>
      <c r="E223" s="4"/>
      <c r="F223" s="2" t="str">
        <f>IFERROR(__xludf.DUMMYFUNCTION("IF(E223="""","""",IF(COUNTIFS(D$1:D222,D223,E$1:E222,E223)&gt;0,INDEX(filter(F$1:F222,D$1:D222=D223,E$1:E222=E223),1),""Selecciona..""))"),"")</f>
        <v/>
      </c>
      <c r="G223" s="2" t="str">
        <f>IFERROR(__xludf.DUMMYFUNCTION("IF($E223="""","""",IF(COUNTIFS($D$1:$D222,$D223,$E$1:$E222,$E223)&gt;0,INDEX(filter(G$1:G222,$D$1:$D222=$D223,$E$1:$E222=E223),1),""Selecciona..""))"),"")</f>
        <v/>
      </c>
      <c r="H223" s="4" t="str">
        <f>IF(D223="","",COUNTIF(Productos!G:G,C223))</f>
        <v/>
      </c>
      <c r="J223" s="90"/>
    </row>
    <row r="224">
      <c r="A224" s="2" t="str">
        <f t="shared" si="1"/>
        <v/>
      </c>
      <c r="B224" s="4"/>
      <c r="C224" s="4"/>
      <c r="D224" s="3" t="str">
        <f t="shared" si="2"/>
        <v/>
      </c>
      <c r="E224" s="4"/>
      <c r="F224" s="2" t="str">
        <f>IFERROR(__xludf.DUMMYFUNCTION("IF(E224="""","""",IF(COUNTIFS(D$1:D223,D224,E$1:E223,E224)&gt;0,INDEX(filter(F$1:F223,D$1:D223=D224,E$1:E223=E224),1),""Selecciona..""))"),"")</f>
        <v/>
      </c>
      <c r="G224" s="2" t="str">
        <f>IFERROR(__xludf.DUMMYFUNCTION("IF($E224="""","""",IF(COUNTIFS($D$1:$D223,$D224,$E$1:$E223,$E224)&gt;0,INDEX(filter(G$1:G223,$D$1:$D223=$D224,$E$1:$E223=E224),1),""Selecciona..""))"),"")</f>
        <v/>
      </c>
      <c r="H224" s="4" t="str">
        <f>IF(D224="","",COUNTIF(Productos!G:G,C224))</f>
        <v/>
      </c>
      <c r="J224" s="90"/>
    </row>
    <row r="225">
      <c r="A225" s="2" t="str">
        <f t="shared" si="1"/>
        <v/>
      </c>
      <c r="B225" s="4"/>
      <c r="C225" s="4"/>
      <c r="D225" s="3" t="str">
        <f t="shared" si="2"/>
        <v/>
      </c>
      <c r="E225" s="4"/>
      <c r="F225" s="2" t="str">
        <f>IFERROR(__xludf.DUMMYFUNCTION("IF(E225="""","""",IF(COUNTIFS(D$1:D224,D225,E$1:E224,E225)&gt;0,INDEX(filter(F$1:F224,D$1:D224=D225,E$1:E224=E225),1),""Selecciona..""))"),"")</f>
        <v/>
      </c>
      <c r="G225" s="2" t="str">
        <f>IFERROR(__xludf.DUMMYFUNCTION("IF($E225="""","""",IF(COUNTIFS($D$1:$D224,$D225,$E$1:$E224,$E225)&gt;0,INDEX(filter(G$1:G224,$D$1:$D224=$D225,$E$1:$E224=E225),1),""Selecciona..""))"),"")</f>
        <v/>
      </c>
      <c r="H225" s="4" t="str">
        <f>IF(D225="","",COUNTIF(Productos!G:G,C225))</f>
        <v/>
      </c>
      <c r="J225" s="90"/>
    </row>
    <row r="226">
      <c r="A226" s="2" t="str">
        <f t="shared" si="1"/>
        <v/>
      </c>
      <c r="B226" s="4"/>
      <c r="C226" s="4"/>
      <c r="D226" s="3" t="str">
        <f t="shared" si="2"/>
        <v/>
      </c>
      <c r="E226" s="4"/>
      <c r="F226" s="2" t="str">
        <f>IFERROR(__xludf.DUMMYFUNCTION("IF(E226="""","""",IF(COUNTIFS(D$1:D225,D226,E$1:E225,E226)&gt;0,INDEX(filter(F$1:F225,D$1:D225=D226,E$1:E225=E226),1),""Selecciona..""))"),"")</f>
        <v/>
      </c>
      <c r="G226" s="2" t="str">
        <f>IFERROR(__xludf.DUMMYFUNCTION("IF($E226="""","""",IF(COUNTIFS($D$1:$D225,$D226,$E$1:$E225,$E226)&gt;0,INDEX(filter(G$1:G225,$D$1:$D225=$D226,$E$1:$E225=E226),1),""Selecciona..""))"),"")</f>
        <v/>
      </c>
      <c r="H226" s="4" t="str">
        <f>IF(D226="","",COUNTIF(Productos!G:G,C226))</f>
        <v/>
      </c>
      <c r="J226" s="90"/>
    </row>
    <row r="227">
      <c r="A227" s="2" t="str">
        <f t="shared" si="1"/>
        <v/>
      </c>
      <c r="B227" s="4"/>
      <c r="C227" s="4"/>
      <c r="D227" s="3" t="str">
        <f t="shared" si="2"/>
        <v/>
      </c>
      <c r="E227" s="4"/>
      <c r="F227" s="2" t="str">
        <f>IFERROR(__xludf.DUMMYFUNCTION("IF(E227="""","""",IF(COUNTIFS(D$1:D226,D227,E$1:E226,E227)&gt;0,INDEX(filter(F$1:F226,D$1:D226=D227,E$1:E226=E227),1),""Selecciona..""))"),"")</f>
        <v/>
      </c>
      <c r="G227" s="2" t="str">
        <f>IFERROR(__xludf.DUMMYFUNCTION("IF($E227="""","""",IF(COUNTIFS($D$1:$D226,$D227,$E$1:$E226,$E227)&gt;0,INDEX(filter(G$1:G226,$D$1:$D226=$D227,$E$1:$E226=E227),1),""Selecciona..""))"),"")</f>
        <v/>
      </c>
      <c r="H227" s="4" t="str">
        <f>IF(D227="","",COUNTIF(Productos!G:G,C227))</f>
        <v/>
      </c>
      <c r="J227" s="90"/>
    </row>
    <row r="228">
      <c r="A228" s="2" t="str">
        <f t="shared" si="1"/>
        <v/>
      </c>
      <c r="B228" s="4"/>
      <c r="C228" s="4"/>
      <c r="D228" s="3" t="str">
        <f t="shared" si="2"/>
        <v/>
      </c>
      <c r="E228" s="4"/>
      <c r="F228" s="2" t="str">
        <f>IFERROR(__xludf.DUMMYFUNCTION("IF(E228="""","""",IF(COUNTIFS(D$1:D227,D228,E$1:E227,E228)&gt;0,INDEX(filter(F$1:F227,D$1:D227=D228,E$1:E227=E228),1),""Selecciona..""))"),"")</f>
        <v/>
      </c>
      <c r="G228" s="2" t="str">
        <f>IFERROR(__xludf.DUMMYFUNCTION("IF($E228="""","""",IF(COUNTIFS($D$1:$D227,$D228,$E$1:$E227,$E228)&gt;0,INDEX(filter(G$1:G227,$D$1:$D227=$D228,$E$1:$E227=E228),1),""Selecciona..""))"),"")</f>
        <v/>
      </c>
      <c r="H228" s="4" t="str">
        <f>IF(D228="","",COUNTIF(Productos!G:G,C228))</f>
        <v/>
      </c>
      <c r="J228" s="90"/>
    </row>
    <row r="229">
      <c r="A229" s="2" t="str">
        <f t="shared" si="1"/>
        <v/>
      </c>
      <c r="B229" s="4"/>
      <c r="C229" s="4"/>
      <c r="D229" s="3" t="str">
        <f t="shared" si="2"/>
        <v/>
      </c>
      <c r="E229" s="4"/>
      <c r="F229" s="2" t="str">
        <f>IFERROR(__xludf.DUMMYFUNCTION("IF(E229="""","""",IF(COUNTIFS(D$1:D228,D229,E$1:E228,E229)&gt;0,INDEX(filter(F$1:F228,D$1:D228=D229,E$1:E228=E229),1),""Selecciona..""))"),"")</f>
        <v/>
      </c>
      <c r="G229" s="2" t="str">
        <f>IFERROR(__xludf.DUMMYFUNCTION("IF($E229="""","""",IF(COUNTIFS($D$1:$D228,$D229,$E$1:$E228,$E229)&gt;0,INDEX(filter(G$1:G228,$D$1:$D228=$D229,$E$1:$E228=E229),1),""Selecciona..""))"),"")</f>
        <v/>
      </c>
      <c r="H229" s="4" t="str">
        <f>IF(D229="","",COUNTIF(Productos!G:G,C229))</f>
        <v/>
      </c>
      <c r="J229" s="90"/>
    </row>
    <row r="230">
      <c r="A230" s="2" t="str">
        <f t="shared" si="1"/>
        <v/>
      </c>
      <c r="B230" s="4"/>
      <c r="C230" s="4"/>
      <c r="D230" s="3" t="str">
        <f t="shared" si="2"/>
        <v/>
      </c>
      <c r="E230" s="4"/>
      <c r="F230" s="2" t="str">
        <f>IFERROR(__xludf.DUMMYFUNCTION("IF(E230="""","""",IF(COUNTIFS(D$1:D229,D230,E$1:E229,E230)&gt;0,INDEX(filter(F$1:F229,D$1:D229=D230,E$1:E229=E230),1),""Selecciona..""))"),"")</f>
        <v/>
      </c>
      <c r="G230" s="2" t="str">
        <f>IFERROR(__xludf.DUMMYFUNCTION("IF($E230="""","""",IF(COUNTIFS($D$1:$D229,$D230,$E$1:$E229,$E230)&gt;0,INDEX(filter(G$1:G229,$D$1:$D229=$D230,$E$1:$E229=E230),1),""Selecciona..""))"),"")</f>
        <v/>
      </c>
      <c r="H230" s="4" t="str">
        <f>IF(D230="","",COUNTIF(Productos!G:G,C230))</f>
        <v/>
      </c>
      <c r="J230" s="90"/>
    </row>
    <row r="231">
      <c r="A231" s="2" t="str">
        <f t="shared" si="1"/>
        <v/>
      </c>
      <c r="B231" s="4"/>
      <c r="C231" s="4"/>
      <c r="D231" s="3" t="str">
        <f t="shared" si="2"/>
        <v/>
      </c>
      <c r="E231" s="4"/>
      <c r="F231" s="2" t="str">
        <f>IFERROR(__xludf.DUMMYFUNCTION("IF(E231="""","""",IF(COUNTIFS(D$1:D230,D231,E$1:E230,E231)&gt;0,INDEX(filter(F$1:F230,D$1:D230=D231,E$1:E230=E231),1),""Selecciona..""))"),"")</f>
        <v/>
      </c>
      <c r="G231" s="2" t="str">
        <f>IFERROR(__xludf.DUMMYFUNCTION("IF($E231="""","""",IF(COUNTIFS($D$1:$D230,$D231,$E$1:$E230,$E231)&gt;0,INDEX(filter(G$1:G230,$D$1:$D230=$D231,$E$1:$E230=E231),1),""Selecciona..""))"),"")</f>
        <v/>
      </c>
      <c r="H231" s="4" t="str">
        <f>IF(D231="","",COUNTIF(Productos!G:G,C231))</f>
        <v/>
      </c>
      <c r="J231" s="90"/>
    </row>
    <row r="232">
      <c r="A232" s="2" t="str">
        <f t="shared" si="1"/>
        <v/>
      </c>
      <c r="B232" s="4"/>
      <c r="C232" s="4"/>
      <c r="D232" s="3" t="str">
        <f t="shared" si="2"/>
        <v/>
      </c>
      <c r="E232" s="4"/>
      <c r="F232" s="2" t="str">
        <f>IFERROR(__xludf.DUMMYFUNCTION("IF(E232="""","""",IF(COUNTIFS(D$1:D231,D232,E$1:E231,E232)&gt;0,INDEX(filter(F$1:F231,D$1:D231=D232,E$1:E231=E232),1),""Selecciona..""))"),"")</f>
        <v/>
      </c>
      <c r="G232" s="2" t="str">
        <f>IFERROR(__xludf.DUMMYFUNCTION("IF($E232="""","""",IF(COUNTIFS($D$1:$D231,$D232,$E$1:$E231,$E232)&gt;0,INDEX(filter(G$1:G231,$D$1:$D231=$D232,$E$1:$E231=E232),1),""Selecciona..""))"),"")</f>
        <v/>
      </c>
      <c r="H232" s="4" t="str">
        <f>IF(D232="","",COUNTIF(Productos!G:G,C232))</f>
        <v/>
      </c>
      <c r="J232" s="90"/>
    </row>
    <row r="233">
      <c r="A233" s="2" t="str">
        <f t="shared" si="1"/>
        <v/>
      </c>
      <c r="B233" s="4"/>
      <c r="C233" s="4"/>
      <c r="D233" s="3" t="str">
        <f t="shared" si="2"/>
        <v/>
      </c>
      <c r="E233" s="4"/>
      <c r="F233" s="2" t="str">
        <f>IFERROR(__xludf.DUMMYFUNCTION("IF(E233="""","""",IF(COUNTIFS(D$1:D232,D233,E$1:E232,E233)&gt;0,INDEX(filter(F$1:F232,D$1:D232=D233,E$1:E232=E233),1),""Selecciona..""))"),"")</f>
        <v/>
      </c>
      <c r="G233" s="2" t="str">
        <f>IFERROR(__xludf.DUMMYFUNCTION("IF($E233="""","""",IF(COUNTIFS($D$1:$D232,$D233,$E$1:$E232,$E233)&gt;0,INDEX(filter(G$1:G232,$D$1:$D232=$D233,$E$1:$E232=E233),1),""Selecciona..""))"),"")</f>
        <v/>
      </c>
      <c r="H233" s="4" t="str">
        <f>IF(D233="","",COUNTIF(Productos!G:G,C233))</f>
        <v/>
      </c>
      <c r="J233" s="90"/>
    </row>
    <row r="234">
      <c r="A234" s="2" t="str">
        <f t="shared" si="1"/>
        <v/>
      </c>
      <c r="B234" s="4"/>
      <c r="C234" s="4"/>
      <c r="D234" s="3" t="str">
        <f t="shared" si="2"/>
        <v/>
      </c>
      <c r="E234" s="4"/>
      <c r="F234" s="2" t="str">
        <f>IFERROR(__xludf.DUMMYFUNCTION("IF(E234="""","""",IF(COUNTIFS(D$1:D233,D234,E$1:E233,E234)&gt;0,INDEX(filter(F$1:F233,D$1:D233=D234,E$1:E233=E234),1),""Selecciona..""))"),"")</f>
        <v/>
      </c>
      <c r="G234" s="2" t="str">
        <f>IFERROR(__xludf.DUMMYFUNCTION("IF($E234="""","""",IF(COUNTIFS($D$1:$D233,$D234,$E$1:$E233,$E234)&gt;0,INDEX(filter(G$1:G233,$D$1:$D233=$D234,$E$1:$E233=E234),1),""Selecciona..""))"),"")</f>
        <v/>
      </c>
      <c r="H234" s="4" t="str">
        <f>IF(D234="","",COUNTIF(Productos!G:G,C234))</f>
        <v/>
      </c>
      <c r="J234" s="90"/>
    </row>
    <row r="235">
      <c r="A235" s="2" t="str">
        <f t="shared" si="1"/>
        <v/>
      </c>
      <c r="B235" s="4"/>
      <c r="C235" s="4"/>
      <c r="D235" s="3" t="str">
        <f t="shared" si="2"/>
        <v/>
      </c>
      <c r="E235" s="4"/>
      <c r="F235" s="2" t="str">
        <f>IFERROR(__xludf.DUMMYFUNCTION("IF(E235="""","""",IF(COUNTIFS(D$1:D234,D235,E$1:E234,E235)&gt;0,INDEX(filter(F$1:F234,D$1:D234=D235,E$1:E234=E235),1),""Selecciona..""))"),"")</f>
        <v/>
      </c>
      <c r="G235" s="2" t="str">
        <f>IFERROR(__xludf.DUMMYFUNCTION("IF($E235="""","""",IF(COUNTIFS($D$1:$D234,$D235,$E$1:$E234,$E235)&gt;0,INDEX(filter(G$1:G234,$D$1:$D234=$D235,$E$1:$E234=E235),1),""Selecciona..""))"),"")</f>
        <v/>
      </c>
      <c r="H235" s="4" t="str">
        <f>IF(D235="","",COUNTIF(Productos!G:G,C235))</f>
        <v/>
      </c>
      <c r="J235" s="90"/>
    </row>
    <row r="236">
      <c r="A236" s="2" t="str">
        <f t="shared" si="1"/>
        <v/>
      </c>
      <c r="B236" s="4"/>
      <c r="C236" s="4"/>
      <c r="D236" s="3" t="str">
        <f t="shared" si="2"/>
        <v/>
      </c>
      <c r="E236" s="4"/>
      <c r="F236" s="2" t="str">
        <f>IFERROR(__xludf.DUMMYFUNCTION("IF(E236="""","""",IF(COUNTIFS(D$1:D235,D236,E$1:E235,E236)&gt;0,INDEX(filter(F$1:F235,D$1:D235=D236,E$1:E235=E236),1),""Selecciona..""))"),"")</f>
        <v/>
      </c>
      <c r="G236" s="2" t="str">
        <f>IFERROR(__xludf.DUMMYFUNCTION("IF($E236="""","""",IF(COUNTIFS($D$1:$D235,$D236,$E$1:$E235,$E236)&gt;0,INDEX(filter(G$1:G235,$D$1:$D235=$D236,$E$1:$E235=E236),1),""Selecciona..""))"),"")</f>
        <v/>
      </c>
      <c r="H236" s="4" t="str">
        <f>IF(D236="","",COUNTIF(Productos!G:G,C236))</f>
        <v/>
      </c>
      <c r="J236" s="90"/>
    </row>
    <row r="237">
      <c r="A237" s="2" t="str">
        <f t="shared" si="1"/>
        <v/>
      </c>
      <c r="B237" s="4"/>
      <c r="C237" s="4"/>
      <c r="D237" s="3" t="str">
        <f t="shared" si="2"/>
        <v/>
      </c>
      <c r="E237" s="4"/>
      <c r="F237" s="2" t="str">
        <f>IFERROR(__xludf.DUMMYFUNCTION("IF(E237="""","""",IF(COUNTIFS(D$1:D236,D237,E$1:E236,E237)&gt;0,INDEX(filter(F$1:F236,D$1:D236=D237,E$1:E236=E237),1),""Selecciona..""))"),"")</f>
        <v/>
      </c>
      <c r="G237" s="2" t="str">
        <f>IFERROR(__xludf.DUMMYFUNCTION("IF($E237="""","""",IF(COUNTIFS($D$1:$D236,$D237,$E$1:$E236,$E237)&gt;0,INDEX(filter(G$1:G236,$D$1:$D236=$D237,$E$1:$E236=E237),1),""Selecciona..""))"),"")</f>
        <v/>
      </c>
      <c r="H237" s="4" t="str">
        <f>IF(D237="","",COUNTIF(Productos!G:G,C237))</f>
        <v/>
      </c>
      <c r="J237" s="90"/>
    </row>
    <row r="238">
      <c r="A238" s="2" t="str">
        <f t="shared" si="1"/>
        <v/>
      </c>
      <c r="B238" s="4"/>
      <c r="C238" s="4"/>
      <c r="D238" s="3" t="str">
        <f t="shared" si="2"/>
        <v/>
      </c>
      <c r="E238" s="4"/>
      <c r="F238" s="2" t="str">
        <f>IFERROR(__xludf.DUMMYFUNCTION("IF(E238="""","""",IF(COUNTIFS(D$1:D237,D238,E$1:E237,E238)&gt;0,INDEX(filter(F$1:F237,D$1:D237=D238,E$1:E237=E238),1),""Selecciona..""))"),"")</f>
        <v/>
      </c>
      <c r="G238" s="2" t="str">
        <f>IFERROR(__xludf.DUMMYFUNCTION("IF($E238="""","""",IF(COUNTIFS($D$1:$D237,$D238,$E$1:$E237,$E238)&gt;0,INDEX(filter(G$1:G237,$D$1:$D237=$D238,$E$1:$E237=E238),1),""Selecciona..""))"),"")</f>
        <v/>
      </c>
      <c r="H238" s="4" t="str">
        <f>IF(D238="","",COUNTIF(Productos!G:G,C238))</f>
        <v/>
      </c>
      <c r="J238" s="90"/>
    </row>
    <row r="239">
      <c r="A239" s="2" t="str">
        <f t="shared" si="1"/>
        <v/>
      </c>
      <c r="B239" s="4"/>
      <c r="C239" s="4"/>
      <c r="D239" s="3" t="str">
        <f t="shared" si="2"/>
        <v/>
      </c>
      <c r="E239" s="4"/>
      <c r="F239" s="2" t="str">
        <f>IFERROR(__xludf.DUMMYFUNCTION("IF(E239="""","""",IF(COUNTIFS(D$1:D238,D239,E$1:E238,E239)&gt;0,INDEX(filter(F$1:F238,D$1:D238=D239,E$1:E238=E239),1),""Selecciona..""))"),"")</f>
        <v/>
      </c>
      <c r="G239" s="2" t="str">
        <f>IFERROR(__xludf.DUMMYFUNCTION("IF($E239="""","""",IF(COUNTIFS($D$1:$D238,$D239,$E$1:$E238,$E239)&gt;0,INDEX(filter(G$1:G238,$D$1:$D238=$D239,$E$1:$E238=E239),1),""Selecciona..""))"),"")</f>
        <v/>
      </c>
      <c r="H239" s="4" t="str">
        <f>IF(D239="","",COUNTIF(Productos!G:G,C239))</f>
        <v/>
      </c>
      <c r="J239" s="90"/>
    </row>
    <row r="240">
      <c r="A240" s="2" t="str">
        <f t="shared" si="1"/>
        <v/>
      </c>
      <c r="B240" s="4"/>
      <c r="C240" s="4"/>
      <c r="D240" s="3" t="str">
        <f t="shared" si="2"/>
        <v/>
      </c>
      <c r="E240" s="4"/>
      <c r="F240" s="2" t="str">
        <f>IFERROR(__xludf.DUMMYFUNCTION("IF(E240="""","""",IF(COUNTIFS(D$1:D239,D240,E$1:E239,E240)&gt;0,INDEX(filter(F$1:F239,D$1:D239=D240,E$1:E239=E240),1),""Selecciona..""))"),"")</f>
        <v/>
      </c>
      <c r="G240" s="2" t="str">
        <f>IFERROR(__xludf.DUMMYFUNCTION("IF($E240="""","""",IF(COUNTIFS($D$1:$D239,$D240,$E$1:$E239,$E240)&gt;0,INDEX(filter(G$1:G239,$D$1:$D239=$D240,$E$1:$E239=E240),1),""Selecciona..""))"),"")</f>
        <v/>
      </c>
      <c r="H240" s="4" t="str">
        <f>IF(D240="","",COUNTIF(Productos!G:G,C240))</f>
        <v/>
      </c>
      <c r="J240" s="90"/>
    </row>
    <row r="241">
      <c r="A241" s="2" t="str">
        <f t="shared" si="1"/>
        <v/>
      </c>
      <c r="B241" s="4"/>
      <c r="C241" s="4"/>
      <c r="D241" s="3" t="str">
        <f t="shared" si="2"/>
        <v/>
      </c>
      <c r="E241" s="4"/>
      <c r="F241" s="2" t="str">
        <f>IFERROR(__xludf.DUMMYFUNCTION("IF(E241="""","""",IF(COUNTIFS(D$1:D240,D241,E$1:E240,E241)&gt;0,INDEX(filter(F$1:F240,D$1:D240=D241,E$1:E240=E241),1),""Selecciona..""))"),"")</f>
        <v/>
      </c>
      <c r="G241" s="2" t="str">
        <f>IFERROR(__xludf.DUMMYFUNCTION("IF($E241="""","""",IF(COUNTIFS($D$1:$D240,$D241,$E$1:$E240,$E241)&gt;0,INDEX(filter(G$1:G240,$D$1:$D240=$D241,$E$1:$E240=E241),1),""Selecciona..""))"),"")</f>
        <v/>
      </c>
      <c r="H241" s="4" t="str">
        <f>IF(D241="","",COUNTIF(Productos!G:G,C241))</f>
        <v/>
      </c>
      <c r="J241" s="90"/>
    </row>
    <row r="242">
      <c r="A242" s="2" t="str">
        <f t="shared" si="1"/>
        <v/>
      </c>
      <c r="B242" s="4"/>
      <c r="C242" s="4"/>
      <c r="D242" s="3" t="str">
        <f t="shared" si="2"/>
        <v/>
      </c>
      <c r="E242" s="4"/>
      <c r="F242" s="2" t="str">
        <f>IFERROR(__xludf.DUMMYFUNCTION("IF(E242="""","""",IF(COUNTIFS(D$1:D241,D242,E$1:E241,E242)&gt;0,INDEX(filter(F$1:F241,D$1:D241=D242,E$1:E241=E242),1),""Selecciona..""))"),"")</f>
        <v/>
      </c>
      <c r="G242" s="2" t="str">
        <f>IFERROR(__xludf.DUMMYFUNCTION("IF($E242="""","""",IF(COUNTIFS($D$1:$D241,$D242,$E$1:$E241,$E242)&gt;0,INDEX(filter(G$1:G241,$D$1:$D241=$D242,$E$1:$E241=E242),1),""Selecciona..""))"),"")</f>
        <v/>
      </c>
      <c r="H242" s="4" t="str">
        <f>IF(D242="","",COUNTIF(Productos!G:G,C242))</f>
        <v/>
      </c>
      <c r="J242" s="90"/>
    </row>
    <row r="243">
      <c r="A243" s="2" t="str">
        <f t="shared" si="1"/>
        <v/>
      </c>
      <c r="B243" s="4"/>
      <c r="C243" s="4"/>
      <c r="D243" s="3" t="str">
        <f t="shared" si="2"/>
        <v/>
      </c>
      <c r="E243" s="4"/>
      <c r="F243" s="2" t="str">
        <f>IFERROR(__xludf.DUMMYFUNCTION("IF(E243="""","""",IF(COUNTIFS(D$1:D242,D243,E$1:E242,E243)&gt;0,INDEX(filter(F$1:F242,D$1:D242=D243,E$1:E242=E243),1),""Selecciona..""))"),"")</f>
        <v/>
      </c>
      <c r="G243" s="2" t="str">
        <f>IFERROR(__xludf.DUMMYFUNCTION("IF($E243="""","""",IF(COUNTIFS($D$1:$D242,$D243,$E$1:$E242,$E243)&gt;0,INDEX(filter(G$1:G242,$D$1:$D242=$D243,$E$1:$E242=E243),1),""Selecciona..""))"),"")</f>
        <v/>
      </c>
      <c r="H243" s="4" t="str">
        <f>IF(D243="","",COUNTIF(Productos!G:G,C243))</f>
        <v/>
      </c>
      <c r="J243" s="90"/>
    </row>
    <row r="244">
      <c r="A244" s="2" t="str">
        <f t="shared" si="1"/>
        <v/>
      </c>
      <c r="B244" s="4"/>
      <c r="C244" s="4"/>
      <c r="D244" s="3" t="str">
        <f t="shared" si="2"/>
        <v/>
      </c>
      <c r="E244" s="4"/>
      <c r="F244" s="2" t="str">
        <f>IFERROR(__xludf.DUMMYFUNCTION("IF(E244="""","""",IF(COUNTIFS(D$1:D243,D244,E$1:E243,E244)&gt;0,INDEX(filter(F$1:F243,D$1:D243=D244,E$1:E243=E244),1),""Selecciona..""))"),"")</f>
        <v/>
      </c>
      <c r="G244" s="2" t="str">
        <f>IFERROR(__xludf.DUMMYFUNCTION("IF($E244="""","""",IF(COUNTIFS($D$1:$D243,$D244,$E$1:$E243,$E244)&gt;0,INDEX(filter(G$1:G243,$D$1:$D243=$D244,$E$1:$E243=E244),1),""Selecciona..""))"),"")</f>
        <v/>
      </c>
      <c r="H244" s="4" t="str">
        <f>IF(D244="","",COUNTIF(Productos!G:G,C244))</f>
        <v/>
      </c>
      <c r="J244" s="90"/>
    </row>
    <row r="245">
      <c r="A245" s="2" t="str">
        <f t="shared" si="1"/>
        <v/>
      </c>
      <c r="B245" s="4"/>
      <c r="C245" s="4"/>
      <c r="D245" s="3" t="str">
        <f t="shared" si="2"/>
        <v/>
      </c>
      <c r="E245" s="4"/>
      <c r="F245" s="2" t="str">
        <f>IFERROR(__xludf.DUMMYFUNCTION("IF(E245="""","""",IF(COUNTIFS(D$1:D244,D245,E$1:E244,E245)&gt;0,INDEX(filter(F$1:F244,D$1:D244=D245,E$1:E244=E245),1),""Selecciona..""))"),"")</f>
        <v/>
      </c>
      <c r="G245" s="2" t="str">
        <f>IFERROR(__xludf.DUMMYFUNCTION("IF($E245="""","""",IF(COUNTIFS($D$1:$D244,$D245,$E$1:$E244,$E245)&gt;0,INDEX(filter(G$1:G244,$D$1:$D244=$D245,$E$1:$E244=E245),1),""Selecciona..""))"),"")</f>
        <v/>
      </c>
      <c r="H245" s="4" t="str">
        <f>IF(D245="","",COUNTIF(Productos!G:G,C245))</f>
        <v/>
      </c>
      <c r="J245" s="90"/>
    </row>
    <row r="246">
      <c r="A246" s="2" t="str">
        <f t="shared" si="1"/>
        <v/>
      </c>
      <c r="B246" s="4"/>
      <c r="C246" s="4"/>
      <c r="D246" s="3" t="str">
        <f t="shared" si="2"/>
        <v/>
      </c>
      <c r="E246" s="4"/>
      <c r="F246" s="2" t="str">
        <f>IFERROR(__xludf.DUMMYFUNCTION("IF(E246="""","""",IF(COUNTIFS(D$1:D245,D246,E$1:E245,E246)&gt;0,INDEX(filter(F$1:F245,D$1:D245=D246,E$1:E245=E246),1),""Selecciona..""))"),"")</f>
        <v/>
      </c>
      <c r="G246" s="2" t="str">
        <f>IFERROR(__xludf.DUMMYFUNCTION("IF($E246="""","""",IF(COUNTIFS($D$1:$D245,$D246,$E$1:$E245,$E246)&gt;0,INDEX(filter(G$1:G245,$D$1:$D245=$D246,$E$1:$E245=E246),1),""Selecciona..""))"),"")</f>
        <v/>
      </c>
      <c r="H246" s="4" t="str">
        <f>IF(D246="","",COUNTIF(Productos!G:G,C246))</f>
        <v/>
      </c>
      <c r="J246" s="90"/>
    </row>
    <row r="247">
      <c r="A247" s="2" t="str">
        <f t="shared" si="1"/>
        <v/>
      </c>
      <c r="B247" s="4"/>
      <c r="C247" s="4"/>
      <c r="D247" s="3" t="str">
        <f t="shared" si="2"/>
        <v/>
      </c>
      <c r="E247" s="4"/>
      <c r="F247" s="2" t="str">
        <f>IFERROR(__xludf.DUMMYFUNCTION("IF(E247="""","""",IF(COUNTIFS(D$1:D246,D247,E$1:E246,E247)&gt;0,INDEX(filter(F$1:F246,D$1:D246=D247,E$1:E246=E247),1),""Selecciona..""))"),"")</f>
        <v/>
      </c>
      <c r="G247" s="2" t="str">
        <f>IFERROR(__xludf.DUMMYFUNCTION("IF($E247="""","""",IF(COUNTIFS($D$1:$D246,$D247,$E$1:$E246,$E247)&gt;0,INDEX(filter(G$1:G246,$D$1:$D246=$D247,$E$1:$E246=E247),1),""Selecciona..""))"),"")</f>
        <v/>
      </c>
      <c r="H247" s="4" t="str">
        <f>IF(D247="","",COUNTIF(Productos!G:G,C247))</f>
        <v/>
      </c>
      <c r="J247" s="90"/>
    </row>
    <row r="248">
      <c r="A248" s="2" t="str">
        <f t="shared" si="1"/>
        <v/>
      </c>
      <c r="B248" s="4"/>
      <c r="C248" s="4"/>
      <c r="D248" s="3" t="str">
        <f t="shared" si="2"/>
        <v/>
      </c>
      <c r="E248" s="4"/>
      <c r="F248" s="2" t="str">
        <f>IFERROR(__xludf.DUMMYFUNCTION("IF(E248="""","""",IF(COUNTIFS(D$1:D247,D248,E$1:E247,E248)&gt;0,INDEX(filter(F$1:F247,D$1:D247=D248,E$1:E247=E248),1),""Selecciona..""))"),"")</f>
        <v/>
      </c>
      <c r="G248" s="2" t="str">
        <f>IFERROR(__xludf.DUMMYFUNCTION("IF($E248="""","""",IF(COUNTIFS($D$1:$D247,$D248,$E$1:$E247,$E248)&gt;0,INDEX(filter(G$1:G247,$D$1:$D247=$D248,$E$1:$E247=E248),1),""Selecciona..""))"),"")</f>
        <v/>
      </c>
      <c r="H248" s="4" t="str">
        <f>IF(D248="","",COUNTIF(Productos!G:G,C248))</f>
        <v/>
      </c>
      <c r="J248" s="90"/>
    </row>
    <row r="249">
      <c r="A249" s="2" t="str">
        <f t="shared" si="1"/>
        <v/>
      </c>
      <c r="B249" s="4"/>
      <c r="C249" s="4"/>
      <c r="D249" s="3" t="str">
        <f t="shared" si="2"/>
        <v/>
      </c>
      <c r="E249" s="4"/>
      <c r="F249" s="2" t="str">
        <f>IFERROR(__xludf.DUMMYFUNCTION("IF(E249="""","""",IF(COUNTIFS(D$1:D248,D249,E$1:E248,E249)&gt;0,INDEX(filter(F$1:F248,D$1:D248=D249,E$1:E248=E249),1),""Selecciona..""))"),"")</f>
        <v/>
      </c>
      <c r="G249" s="2" t="str">
        <f>IFERROR(__xludf.DUMMYFUNCTION("IF($E249="""","""",IF(COUNTIFS($D$1:$D248,$D249,$E$1:$E248,$E249)&gt;0,INDEX(filter(G$1:G248,$D$1:$D248=$D249,$E$1:$E248=E249),1),""Selecciona..""))"),"")</f>
        <v/>
      </c>
      <c r="H249" s="4" t="str">
        <f>IF(D249="","",COUNTIF(Productos!G:G,C249))</f>
        <v/>
      </c>
      <c r="J249" s="90"/>
    </row>
    <row r="250">
      <c r="A250" s="2" t="str">
        <f t="shared" si="1"/>
        <v/>
      </c>
      <c r="B250" s="4"/>
      <c r="C250" s="4"/>
      <c r="D250" s="3" t="str">
        <f t="shared" si="2"/>
        <v/>
      </c>
      <c r="E250" s="4"/>
      <c r="F250" s="2" t="str">
        <f>IFERROR(__xludf.DUMMYFUNCTION("IF(E250="""","""",IF(COUNTIFS(D$1:D249,D250,E$1:E249,E250)&gt;0,INDEX(filter(F$1:F249,D$1:D249=D250,E$1:E249=E250),1),""Selecciona..""))"),"")</f>
        <v/>
      </c>
      <c r="G250" s="2" t="str">
        <f>IFERROR(__xludf.DUMMYFUNCTION("IF($E250="""","""",IF(COUNTIFS($D$1:$D249,$D250,$E$1:$E249,$E250)&gt;0,INDEX(filter(G$1:G249,$D$1:$D249=$D250,$E$1:$E249=E250),1),""Selecciona..""))"),"")</f>
        <v/>
      </c>
      <c r="H250" s="4" t="str">
        <f>IF(D250="","",COUNTIF(Productos!G:G,C250))</f>
        <v/>
      </c>
      <c r="J250" s="90"/>
    </row>
    <row r="251">
      <c r="A251" s="2" t="str">
        <f t="shared" si="1"/>
        <v/>
      </c>
      <c r="B251" s="4"/>
      <c r="C251" s="4"/>
      <c r="D251" s="3" t="str">
        <f t="shared" si="2"/>
        <v/>
      </c>
      <c r="E251" s="4"/>
      <c r="F251" s="2" t="str">
        <f>IFERROR(__xludf.DUMMYFUNCTION("IF(E251="""","""",IF(COUNTIFS(D$1:D250,D251,E$1:E250,E251)&gt;0,INDEX(filter(F$1:F250,D$1:D250=D251,E$1:E250=E251),1),""Selecciona..""))"),"")</f>
        <v/>
      </c>
      <c r="G251" s="2" t="str">
        <f>IFERROR(__xludf.DUMMYFUNCTION("IF($E251="""","""",IF(COUNTIFS($D$1:$D250,$D251,$E$1:$E250,$E251)&gt;0,INDEX(filter(G$1:G250,$D$1:$D250=$D251,$E$1:$E250=E251),1),""Selecciona..""))"),"")</f>
        <v/>
      </c>
      <c r="H251" s="4" t="str">
        <f>IF(D251="","",COUNTIF(Productos!G:G,C251))</f>
        <v/>
      </c>
      <c r="J251" s="90"/>
    </row>
    <row r="252">
      <c r="A252" s="2" t="str">
        <f t="shared" si="1"/>
        <v/>
      </c>
      <c r="B252" s="4"/>
      <c r="C252" s="4"/>
      <c r="D252" s="3" t="str">
        <f t="shared" si="2"/>
        <v/>
      </c>
      <c r="E252" s="4"/>
      <c r="F252" s="2" t="str">
        <f>IFERROR(__xludf.DUMMYFUNCTION("IF(E252="""","""",IF(COUNTIFS(D$1:D251,D252,E$1:E251,E252)&gt;0,INDEX(filter(F$1:F251,D$1:D251=D252,E$1:E251=E252),1),""Selecciona..""))"),"")</f>
        <v/>
      </c>
      <c r="G252" s="2" t="str">
        <f>IFERROR(__xludf.DUMMYFUNCTION("IF($E252="""","""",IF(COUNTIFS($D$1:$D251,$D252,$E$1:$E251,$E252)&gt;0,INDEX(filter(G$1:G251,$D$1:$D251=$D252,$E$1:$E251=E252),1),""Selecciona..""))"),"")</f>
        <v/>
      </c>
      <c r="H252" s="4" t="str">
        <f>IF(D252="","",COUNTIF(Productos!G:G,C252))</f>
        <v/>
      </c>
      <c r="J252" s="90"/>
    </row>
    <row r="253">
      <c r="A253" s="2" t="str">
        <f t="shared" si="1"/>
        <v/>
      </c>
      <c r="B253" s="4"/>
      <c r="C253" s="4"/>
      <c r="D253" s="3" t="str">
        <f t="shared" si="2"/>
        <v/>
      </c>
      <c r="E253" s="4"/>
      <c r="F253" s="2" t="str">
        <f>IFERROR(__xludf.DUMMYFUNCTION("IF(E253="""","""",IF(COUNTIFS(D$1:D252,D253,E$1:E252,E253)&gt;0,INDEX(filter(F$1:F252,D$1:D252=D253,E$1:E252=E253),1),""Selecciona..""))"),"")</f>
        <v/>
      </c>
      <c r="G253" s="2" t="str">
        <f>IFERROR(__xludf.DUMMYFUNCTION("IF($E253="""","""",IF(COUNTIFS($D$1:$D252,$D253,$E$1:$E252,$E253)&gt;0,INDEX(filter(G$1:G252,$D$1:$D252=$D253,$E$1:$E252=E253),1),""Selecciona..""))"),"")</f>
        <v/>
      </c>
      <c r="H253" s="4" t="str">
        <f>IF(D253="","",COUNTIF(Productos!G:G,C253))</f>
        <v/>
      </c>
      <c r="J253" s="90"/>
    </row>
    <row r="254">
      <c r="A254" s="2" t="str">
        <f t="shared" si="1"/>
        <v/>
      </c>
      <c r="B254" s="4"/>
      <c r="C254" s="4"/>
      <c r="D254" s="3" t="str">
        <f t="shared" si="2"/>
        <v/>
      </c>
      <c r="E254" s="4"/>
      <c r="F254" s="2" t="str">
        <f>IFERROR(__xludf.DUMMYFUNCTION("IF(E254="""","""",IF(COUNTIFS(D$1:D253,D254,E$1:E253,E254)&gt;0,INDEX(filter(F$1:F253,D$1:D253=D254,E$1:E253=E254),1),""Selecciona..""))"),"")</f>
        <v/>
      </c>
      <c r="G254" s="2" t="str">
        <f>IFERROR(__xludf.DUMMYFUNCTION("IF($E254="""","""",IF(COUNTIFS($D$1:$D253,$D254,$E$1:$E253,$E254)&gt;0,INDEX(filter(G$1:G253,$D$1:$D253=$D254,$E$1:$E253=E254),1),""Selecciona..""))"),"")</f>
        <v/>
      </c>
      <c r="H254" s="4" t="str">
        <f>IF(D254="","",COUNTIF(Productos!G:G,C254))</f>
        <v/>
      </c>
      <c r="J254" s="90"/>
    </row>
    <row r="255">
      <c r="A255" s="2" t="str">
        <f t="shared" si="1"/>
        <v/>
      </c>
      <c r="B255" s="4"/>
      <c r="C255" s="4"/>
      <c r="D255" s="3" t="str">
        <f t="shared" si="2"/>
        <v/>
      </c>
      <c r="E255" s="4"/>
      <c r="F255" s="2" t="str">
        <f>IFERROR(__xludf.DUMMYFUNCTION("IF(E255="""","""",IF(COUNTIFS(D$1:D254,D255,E$1:E254,E255)&gt;0,INDEX(filter(F$1:F254,D$1:D254=D255,E$1:E254=E255),1),""Selecciona..""))"),"")</f>
        <v/>
      </c>
      <c r="G255" s="2" t="str">
        <f>IFERROR(__xludf.DUMMYFUNCTION("IF($E255="""","""",IF(COUNTIFS($D$1:$D254,$D255,$E$1:$E254,$E255)&gt;0,INDEX(filter(G$1:G254,$D$1:$D254=$D255,$E$1:$E254=E255),1),""Selecciona..""))"),"")</f>
        <v/>
      </c>
      <c r="H255" s="4" t="str">
        <f>IF(D255="","",COUNTIF(Productos!G:G,C255))</f>
        <v/>
      </c>
      <c r="J255" s="90"/>
    </row>
    <row r="256">
      <c r="A256" s="2" t="str">
        <f t="shared" si="1"/>
        <v/>
      </c>
      <c r="B256" s="4"/>
      <c r="C256" s="4"/>
      <c r="D256" s="3" t="str">
        <f t="shared" si="2"/>
        <v/>
      </c>
      <c r="E256" s="4"/>
      <c r="F256" s="2" t="str">
        <f>IFERROR(__xludf.DUMMYFUNCTION("IF(E256="""","""",IF(COUNTIFS(D$1:D255,D256,E$1:E255,E256)&gt;0,INDEX(filter(F$1:F255,D$1:D255=D256,E$1:E255=E256),1),""Selecciona..""))"),"")</f>
        <v/>
      </c>
      <c r="G256" s="2" t="str">
        <f>IFERROR(__xludf.DUMMYFUNCTION("IF($E256="""","""",IF(COUNTIFS($D$1:$D255,$D256,$E$1:$E255,$E256)&gt;0,INDEX(filter(G$1:G255,$D$1:$D255=$D256,$E$1:$E255=E256),1),""Selecciona..""))"),"")</f>
        <v/>
      </c>
      <c r="H256" s="4" t="str">
        <f>IF(D256="","",COUNTIF(Productos!G:G,C256))</f>
        <v/>
      </c>
      <c r="J256" s="90"/>
    </row>
    <row r="257">
      <c r="A257" s="2" t="str">
        <f t="shared" si="1"/>
        <v/>
      </c>
      <c r="B257" s="4"/>
      <c r="C257" s="4"/>
      <c r="D257" s="3" t="str">
        <f t="shared" si="2"/>
        <v/>
      </c>
      <c r="E257" s="4"/>
      <c r="F257" s="2" t="str">
        <f>IFERROR(__xludf.DUMMYFUNCTION("IF(E257="""","""",IF(COUNTIFS(D$1:D256,D257,E$1:E256,E257)&gt;0,INDEX(filter(F$1:F256,D$1:D256=D257,E$1:E256=E257),1),""Selecciona..""))"),"")</f>
        <v/>
      </c>
      <c r="G257" s="2" t="str">
        <f>IFERROR(__xludf.DUMMYFUNCTION("IF($E257="""","""",IF(COUNTIFS($D$1:$D256,$D257,$E$1:$E256,$E257)&gt;0,INDEX(filter(G$1:G256,$D$1:$D256=$D257,$E$1:$E256=E257),1),""Selecciona..""))"),"")</f>
        <v/>
      </c>
      <c r="H257" s="4" t="str">
        <f>IF(D257="","",COUNTIF(Productos!G:G,C257))</f>
        <v/>
      </c>
      <c r="J257" s="90"/>
    </row>
    <row r="258">
      <c r="A258" s="2" t="str">
        <f t="shared" si="1"/>
        <v/>
      </c>
      <c r="B258" s="4"/>
      <c r="C258" s="4"/>
      <c r="D258" s="3" t="str">
        <f t="shared" si="2"/>
        <v/>
      </c>
      <c r="E258" s="4"/>
      <c r="F258" s="2" t="str">
        <f>IFERROR(__xludf.DUMMYFUNCTION("IF(E258="""","""",IF(COUNTIFS(D$1:D257,D258,E$1:E257,E258)&gt;0,INDEX(filter(F$1:F257,D$1:D257=D258,E$1:E257=E258),1),""Selecciona..""))"),"")</f>
        <v/>
      </c>
      <c r="G258" s="2" t="str">
        <f>IFERROR(__xludf.DUMMYFUNCTION("IF($E258="""","""",IF(COUNTIFS($D$1:$D257,$D258,$E$1:$E257,$E258)&gt;0,INDEX(filter(G$1:G257,$D$1:$D257=$D258,$E$1:$E257=E258),1),""Selecciona..""))"),"")</f>
        <v/>
      </c>
      <c r="H258" s="4" t="str">
        <f>IF(D258="","",COUNTIF(Productos!G:G,C258))</f>
        <v/>
      </c>
      <c r="J258" s="90"/>
    </row>
    <row r="259">
      <c r="A259" s="2" t="str">
        <f t="shared" si="1"/>
        <v/>
      </c>
      <c r="B259" s="4"/>
      <c r="C259" s="4"/>
      <c r="D259" s="3" t="str">
        <f t="shared" si="2"/>
        <v/>
      </c>
      <c r="E259" s="4"/>
      <c r="F259" s="2" t="str">
        <f>IFERROR(__xludf.DUMMYFUNCTION("IF(E259="""","""",IF(COUNTIFS(D$1:D258,D259,E$1:E258,E259)&gt;0,INDEX(filter(F$1:F258,D$1:D258=D259,E$1:E258=E259),1),""Selecciona..""))"),"")</f>
        <v/>
      </c>
      <c r="G259" s="2" t="str">
        <f>IFERROR(__xludf.DUMMYFUNCTION("IF($E259="""","""",IF(COUNTIFS($D$1:$D258,$D259,$E$1:$E258,$E259)&gt;0,INDEX(filter(G$1:G258,$D$1:$D258=$D259,$E$1:$E258=E259),1),""Selecciona..""))"),"")</f>
        <v/>
      </c>
      <c r="H259" s="4" t="str">
        <f>IF(D259="","",COUNTIF(Productos!G:G,C259))</f>
        <v/>
      </c>
      <c r="J259" s="90"/>
    </row>
    <row r="260">
      <c r="A260" s="2" t="str">
        <f t="shared" si="1"/>
        <v/>
      </c>
      <c r="B260" s="4"/>
      <c r="C260" s="4"/>
      <c r="D260" s="3" t="str">
        <f t="shared" si="2"/>
        <v/>
      </c>
      <c r="E260" s="4"/>
      <c r="F260" s="2" t="str">
        <f>IFERROR(__xludf.DUMMYFUNCTION("IF(E260="""","""",IF(COUNTIFS(D$1:D259,D260,E$1:E259,E260)&gt;0,INDEX(filter(F$1:F259,D$1:D259=D260,E$1:E259=E260),1),""Selecciona..""))"),"")</f>
        <v/>
      </c>
      <c r="G260" s="2" t="str">
        <f>IFERROR(__xludf.DUMMYFUNCTION("IF($E260="""","""",IF(COUNTIFS($D$1:$D259,$D260,$E$1:$E259,$E260)&gt;0,INDEX(filter(G$1:G259,$D$1:$D259=$D260,$E$1:$E259=E260),1),""Selecciona..""))"),"")</f>
        <v/>
      </c>
      <c r="H260" s="4" t="str">
        <f>IF(D260="","",COUNTIF(Productos!G:G,C260))</f>
        <v/>
      </c>
      <c r="J260" s="90"/>
    </row>
    <row r="261">
      <c r="A261" s="2" t="str">
        <f t="shared" si="1"/>
        <v/>
      </c>
      <c r="B261" s="4"/>
      <c r="C261" s="4"/>
      <c r="D261" s="3" t="str">
        <f t="shared" si="2"/>
        <v/>
      </c>
      <c r="E261" s="4"/>
      <c r="F261" s="2" t="str">
        <f>IFERROR(__xludf.DUMMYFUNCTION("IF(E261="""","""",IF(COUNTIFS(D$1:D260,D261,E$1:E260,E261)&gt;0,INDEX(filter(F$1:F260,D$1:D260=D261,E$1:E260=E261),1),""Selecciona..""))"),"")</f>
        <v/>
      </c>
      <c r="G261" s="2" t="str">
        <f>IFERROR(__xludf.DUMMYFUNCTION("IF($E261="""","""",IF(COUNTIFS($D$1:$D260,$D261,$E$1:$E260,$E261)&gt;0,INDEX(filter(G$1:G260,$D$1:$D260=$D261,$E$1:$E260=E261),1),""Selecciona..""))"),"")</f>
        <v/>
      </c>
      <c r="H261" s="4" t="str">
        <f>IF(D261="","",COUNTIF(Productos!G:G,C261))</f>
        <v/>
      </c>
      <c r="J261" s="90"/>
    </row>
    <row r="262">
      <c r="A262" s="2" t="str">
        <f t="shared" si="1"/>
        <v/>
      </c>
      <c r="B262" s="4"/>
      <c r="C262" s="4"/>
      <c r="D262" s="3" t="str">
        <f t="shared" si="2"/>
        <v/>
      </c>
      <c r="E262" s="4"/>
      <c r="F262" s="2" t="str">
        <f>IFERROR(__xludf.DUMMYFUNCTION("IF(E262="""","""",IF(COUNTIFS(D$1:D261,D262,E$1:E261,E262)&gt;0,INDEX(filter(F$1:F261,D$1:D261=D262,E$1:E261=E262),1),""Selecciona..""))"),"")</f>
        <v/>
      </c>
      <c r="G262" s="2" t="str">
        <f>IFERROR(__xludf.DUMMYFUNCTION("IF($E262="""","""",IF(COUNTIFS($D$1:$D261,$D262,$E$1:$E261,$E262)&gt;0,INDEX(filter(G$1:G261,$D$1:$D261=$D262,$E$1:$E261=E262),1),""Selecciona..""))"),"")</f>
        <v/>
      </c>
      <c r="H262" s="4" t="str">
        <f>IF(D262="","",COUNTIF(Productos!G:G,C262))</f>
        <v/>
      </c>
      <c r="J262" s="90"/>
    </row>
    <row r="263">
      <c r="A263" s="2" t="str">
        <f t="shared" si="1"/>
        <v/>
      </c>
      <c r="B263" s="4"/>
      <c r="C263" s="4"/>
      <c r="D263" s="3" t="str">
        <f t="shared" si="2"/>
        <v/>
      </c>
      <c r="E263" s="4"/>
      <c r="F263" s="2" t="str">
        <f>IFERROR(__xludf.DUMMYFUNCTION("IF(E263="""","""",IF(COUNTIFS(D$1:D262,D263,E$1:E262,E263)&gt;0,INDEX(filter(F$1:F262,D$1:D262=D263,E$1:E262=E263),1),""Selecciona..""))"),"")</f>
        <v/>
      </c>
      <c r="G263" s="2" t="str">
        <f>IFERROR(__xludf.DUMMYFUNCTION("IF($E263="""","""",IF(COUNTIFS($D$1:$D262,$D263,$E$1:$E262,$E263)&gt;0,INDEX(filter(G$1:G262,$D$1:$D262=$D263,$E$1:$E262=E263),1),""Selecciona..""))"),"")</f>
        <v/>
      </c>
      <c r="H263" s="4" t="str">
        <f>IF(D263="","",COUNTIF(Productos!G:G,C263))</f>
        <v/>
      </c>
      <c r="J263" s="90"/>
    </row>
    <row r="264">
      <c r="A264" s="2" t="str">
        <f t="shared" si="1"/>
        <v/>
      </c>
      <c r="B264" s="4"/>
      <c r="C264" s="4"/>
      <c r="D264" s="3" t="str">
        <f t="shared" si="2"/>
        <v/>
      </c>
      <c r="E264" s="4"/>
      <c r="F264" s="2" t="str">
        <f>IFERROR(__xludf.DUMMYFUNCTION("IF(E264="""","""",IF(COUNTIFS(D$1:D263,D264,E$1:E263,E264)&gt;0,INDEX(filter(F$1:F263,D$1:D263=D264,E$1:E263=E264),1),""Selecciona..""))"),"")</f>
        <v/>
      </c>
      <c r="G264" s="2" t="str">
        <f>IFERROR(__xludf.DUMMYFUNCTION("IF($E264="""","""",IF(COUNTIFS($D$1:$D263,$D264,$E$1:$E263,$E264)&gt;0,INDEX(filter(G$1:G263,$D$1:$D263=$D264,$E$1:$E263=E264),1),""Selecciona..""))"),"")</f>
        <v/>
      </c>
      <c r="H264" s="4" t="str">
        <f>IF(D264="","",COUNTIF(Productos!G:G,C264))</f>
        <v/>
      </c>
      <c r="J264" s="90"/>
    </row>
    <row r="265">
      <c r="A265" s="2" t="str">
        <f t="shared" si="1"/>
        <v/>
      </c>
      <c r="B265" s="4"/>
      <c r="C265" s="4"/>
      <c r="D265" s="3" t="str">
        <f t="shared" si="2"/>
        <v/>
      </c>
      <c r="E265" s="4"/>
      <c r="F265" s="2" t="str">
        <f>IFERROR(__xludf.DUMMYFUNCTION("IF(E265="""","""",IF(COUNTIFS(D$1:D264,D265,E$1:E264,E265)&gt;0,INDEX(filter(F$1:F264,D$1:D264=D265,E$1:E264=E265),1),""Selecciona..""))"),"")</f>
        <v/>
      </c>
      <c r="G265" s="2" t="str">
        <f>IFERROR(__xludf.DUMMYFUNCTION("IF($E265="""","""",IF(COUNTIFS($D$1:$D264,$D265,$E$1:$E264,$E265)&gt;0,INDEX(filter(G$1:G264,$D$1:$D264=$D265,$E$1:$E264=E265),1),""Selecciona..""))"),"")</f>
        <v/>
      </c>
      <c r="H265" s="4" t="str">
        <f>IF(D265="","",COUNTIF(Productos!G:G,C265))</f>
        <v/>
      </c>
      <c r="J265" s="90"/>
    </row>
    <row r="266">
      <c r="A266" s="2" t="str">
        <f t="shared" si="1"/>
        <v/>
      </c>
      <c r="B266" s="4"/>
      <c r="C266" s="4"/>
      <c r="D266" s="3" t="str">
        <f t="shared" si="2"/>
        <v/>
      </c>
      <c r="E266" s="4"/>
      <c r="F266" s="2" t="str">
        <f>IFERROR(__xludf.DUMMYFUNCTION("IF(E266="""","""",IF(COUNTIFS(D$1:D265,D266,E$1:E265,E266)&gt;0,INDEX(filter(F$1:F265,D$1:D265=D266,E$1:E265=E266),1),""Selecciona..""))"),"")</f>
        <v/>
      </c>
      <c r="G266" s="2" t="str">
        <f>IFERROR(__xludf.DUMMYFUNCTION("IF($E266="""","""",IF(COUNTIFS($D$1:$D265,$D266,$E$1:$E265,$E266)&gt;0,INDEX(filter(G$1:G265,$D$1:$D265=$D266,$E$1:$E265=E266),1),""Selecciona..""))"),"")</f>
        <v/>
      </c>
      <c r="H266" s="4" t="str">
        <f>IF(D266="","",COUNTIF(Productos!G:G,C266))</f>
        <v/>
      </c>
      <c r="J266" s="90"/>
    </row>
    <row r="267">
      <c r="A267" s="2" t="str">
        <f t="shared" si="1"/>
        <v/>
      </c>
      <c r="B267" s="4"/>
      <c r="C267" s="4"/>
      <c r="D267" s="3" t="str">
        <f t="shared" si="2"/>
        <v/>
      </c>
      <c r="E267" s="4"/>
      <c r="F267" s="2" t="str">
        <f>IFERROR(__xludf.DUMMYFUNCTION("IF(E267="""","""",IF(COUNTIFS(D$1:D266,D267,E$1:E266,E267)&gt;0,INDEX(filter(F$1:F266,D$1:D266=D267,E$1:E266=E267),1),""Selecciona..""))"),"")</f>
        <v/>
      </c>
      <c r="G267" s="2" t="str">
        <f>IFERROR(__xludf.DUMMYFUNCTION("IF($E267="""","""",IF(COUNTIFS($D$1:$D266,$D267,$E$1:$E266,$E267)&gt;0,INDEX(filter(G$1:G266,$D$1:$D266=$D267,$E$1:$E266=E267),1),""Selecciona..""))"),"")</f>
        <v/>
      </c>
      <c r="H267" s="4" t="str">
        <f>IF(D267="","",COUNTIF(Productos!G:G,C267))</f>
        <v/>
      </c>
      <c r="J267" s="90"/>
    </row>
    <row r="268">
      <c r="A268" s="2" t="str">
        <f t="shared" si="1"/>
        <v/>
      </c>
      <c r="B268" s="4"/>
      <c r="C268" s="4"/>
      <c r="D268" s="3" t="str">
        <f t="shared" si="2"/>
        <v/>
      </c>
      <c r="E268" s="4"/>
      <c r="F268" s="2" t="str">
        <f>IFERROR(__xludf.DUMMYFUNCTION("IF(E268="""","""",IF(COUNTIFS(D$1:D267,D268,E$1:E267,E268)&gt;0,INDEX(filter(F$1:F267,D$1:D267=D268,E$1:E267=E268),1),""Selecciona..""))"),"")</f>
        <v/>
      </c>
      <c r="G268" s="2" t="str">
        <f>IFERROR(__xludf.DUMMYFUNCTION("IF($E268="""","""",IF(COUNTIFS($D$1:$D267,$D268,$E$1:$E267,$E268)&gt;0,INDEX(filter(G$1:G267,$D$1:$D267=$D268,$E$1:$E267=E268),1),""Selecciona..""))"),"")</f>
        <v/>
      </c>
      <c r="H268" s="4" t="str">
        <f>IF(D268="","",COUNTIF(Productos!G:G,C268))</f>
        <v/>
      </c>
      <c r="J268" s="90"/>
    </row>
    <row r="269">
      <c r="A269" s="2" t="str">
        <f t="shared" si="1"/>
        <v/>
      </c>
      <c r="B269" s="4"/>
      <c r="C269" s="4"/>
      <c r="D269" s="3" t="str">
        <f t="shared" si="2"/>
        <v/>
      </c>
      <c r="E269" s="4"/>
      <c r="F269" s="2" t="str">
        <f>IFERROR(__xludf.DUMMYFUNCTION("IF(E269="""","""",IF(COUNTIFS(D$1:D268,D269,E$1:E268,E269)&gt;0,INDEX(filter(F$1:F268,D$1:D268=D269,E$1:E268=E269),1),""Selecciona..""))"),"")</f>
        <v/>
      </c>
      <c r="G269" s="2" t="str">
        <f>IFERROR(__xludf.DUMMYFUNCTION("IF($E269="""","""",IF(COUNTIFS($D$1:$D268,$D269,$E$1:$E268,$E269)&gt;0,INDEX(filter(G$1:G268,$D$1:$D268=$D269,$E$1:$E268=E269),1),""Selecciona..""))"),"")</f>
        <v/>
      </c>
      <c r="H269" s="4" t="str">
        <f>IF(D269="","",COUNTIF(Productos!G:G,C269))</f>
        <v/>
      </c>
      <c r="J269" s="90"/>
    </row>
    <row r="270">
      <c r="A270" s="2" t="str">
        <f t="shared" si="1"/>
        <v/>
      </c>
      <c r="B270" s="4"/>
      <c r="C270" s="4"/>
      <c r="D270" s="3" t="str">
        <f t="shared" si="2"/>
        <v/>
      </c>
      <c r="E270" s="4"/>
      <c r="F270" s="2" t="str">
        <f>IFERROR(__xludf.DUMMYFUNCTION("IF(E270="""","""",IF(COUNTIFS(D$1:D269,D270,E$1:E269,E270)&gt;0,INDEX(filter(F$1:F269,D$1:D269=D270,E$1:E269=E270),1),""Selecciona..""))"),"")</f>
        <v/>
      </c>
      <c r="G270" s="2" t="str">
        <f>IFERROR(__xludf.DUMMYFUNCTION("IF($E270="""","""",IF(COUNTIFS($D$1:$D269,$D270,$E$1:$E269,$E270)&gt;0,INDEX(filter(G$1:G269,$D$1:$D269=$D270,$E$1:$E269=E270),1),""Selecciona..""))"),"")</f>
        <v/>
      </c>
      <c r="H270" s="4" t="str">
        <f>IF(D270="","",COUNTIF(Productos!G:G,C270))</f>
        <v/>
      </c>
      <c r="J270" s="90"/>
    </row>
    <row r="271">
      <c r="A271" s="2" t="str">
        <f t="shared" si="1"/>
        <v/>
      </c>
      <c r="B271" s="4"/>
      <c r="C271" s="4"/>
      <c r="D271" s="3" t="str">
        <f t="shared" si="2"/>
        <v/>
      </c>
      <c r="E271" s="4"/>
      <c r="F271" s="2" t="str">
        <f>IFERROR(__xludf.DUMMYFUNCTION("IF(E271="""","""",IF(COUNTIFS(D$1:D270,D271,E$1:E270,E271)&gt;0,INDEX(filter(F$1:F270,D$1:D270=D271,E$1:E270=E271),1),""Selecciona..""))"),"")</f>
        <v/>
      </c>
      <c r="G271" s="2" t="str">
        <f>IFERROR(__xludf.DUMMYFUNCTION("IF($E271="""","""",IF(COUNTIFS($D$1:$D270,$D271,$E$1:$E270,$E271)&gt;0,INDEX(filter(G$1:G270,$D$1:$D270=$D271,$E$1:$E270=E271),1),""Selecciona..""))"),"")</f>
        <v/>
      </c>
      <c r="H271" s="4" t="str">
        <f>IF(D271="","",COUNTIF(Productos!G:G,C271))</f>
        <v/>
      </c>
      <c r="J271" s="90"/>
    </row>
    <row r="272">
      <c r="A272" s="2" t="str">
        <f t="shared" si="1"/>
        <v/>
      </c>
      <c r="B272" s="4"/>
      <c r="C272" s="4"/>
      <c r="D272" s="3" t="str">
        <f t="shared" si="2"/>
        <v/>
      </c>
      <c r="E272" s="4"/>
      <c r="F272" s="2" t="str">
        <f>IFERROR(__xludf.DUMMYFUNCTION("IF(E272="""","""",IF(COUNTIFS(D$1:D271,D272,E$1:E271,E272)&gt;0,INDEX(filter(F$1:F271,D$1:D271=D272,E$1:E271=E272),1),""Selecciona..""))"),"")</f>
        <v/>
      </c>
      <c r="G272" s="2" t="str">
        <f>IFERROR(__xludf.DUMMYFUNCTION("IF($E272="""","""",IF(COUNTIFS($D$1:$D271,$D272,$E$1:$E271,$E272)&gt;0,INDEX(filter(G$1:G271,$D$1:$D271=$D272,$E$1:$E271=E272),1),""Selecciona..""))"),"")</f>
        <v/>
      </c>
      <c r="H272" s="4" t="str">
        <f>IF(D272="","",COUNTIF(Productos!G:G,C272))</f>
        <v/>
      </c>
      <c r="J272" s="90"/>
    </row>
    <row r="273">
      <c r="A273" s="2" t="str">
        <f t="shared" si="1"/>
        <v/>
      </c>
      <c r="B273" s="4"/>
      <c r="C273" s="4"/>
      <c r="D273" s="3" t="str">
        <f t="shared" si="2"/>
        <v/>
      </c>
      <c r="E273" s="4"/>
      <c r="F273" s="2" t="str">
        <f>IFERROR(__xludf.DUMMYFUNCTION("IF(E273="""","""",IF(COUNTIFS(D$1:D272,D273,E$1:E272,E273)&gt;0,INDEX(filter(F$1:F272,D$1:D272=D273,E$1:E272=E273),1),""Selecciona..""))"),"")</f>
        <v/>
      </c>
      <c r="G273" s="2" t="str">
        <f>IFERROR(__xludf.DUMMYFUNCTION("IF($E273="""","""",IF(COUNTIFS($D$1:$D272,$D273,$E$1:$E272,$E273)&gt;0,INDEX(filter(G$1:G272,$D$1:$D272=$D273,$E$1:$E272=E273),1),""Selecciona..""))"),"")</f>
        <v/>
      </c>
      <c r="H273" s="4" t="str">
        <f>IF(D273="","",COUNTIF(Productos!G:G,C273))</f>
        <v/>
      </c>
      <c r="J273" s="90"/>
    </row>
    <row r="274">
      <c r="A274" s="2" t="str">
        <f t="shared" si="1"/>
        <v/>
      </c>
      <c r="B274" s="4"/>
      <c r="C274" s="4"/>
      <c r="D274" s="3" t="str">
        <f t="shared" si="2"/>
        <v/>
      </c>
      <c r="E274" s="4"/>
      <c r="F274" s="2" t="str">
        <f>IFERROR(__xludf.DUMMYFUNCTION("IF(E274="""","""",IF(COUNTIFS(D$1:D273,D274,E$1:E273,E274)&gt;0,INDEX(filter(F$1:F273,D$1:D273=D274,E$1:E273=E274),1),""Selecciona..""))"),"")</f>
        <v/>
      </c>
      <c r="G274" s="2" t="str">
        <f>IFERROR(__xludf.DUMMYFUNCTION("IF($E274="""","""",IF(COUNTIFS($D$1:$D273,$D274,$E$1:$E273,$E274)&gt;0,INDEX(filter(G$1:G273,$D$1:$D273=$D274,$E$1:$E273=E274),1),""Selecciona..""))"),"")</f>
        <v/>
      </c>
      <c r="H274" s="4" t="str">
        <f>IF(D274="","",COUNTIF(Productos!G:G,C274))</f>
        <v/>
      </c>
      <c r="J274" s="90"/>
    </row>
    <row r="275">
      <c r="A275" s="2" t="str">
        <f t="shared" si="1"/>
        <v/>
      </c>
      <c r="B275" s="4"/>
      <c r="C275" s="4"/>
      <c r="D275" s="3" t="str">
        <f t="shared" si="2"/>
        <v/>
      </c>
      <c r="E275" s="4"/>
      <c r="F275" s="2" t="str">
        <f>IFERROR(__xludf.DUMMYFUNCTION("IF(E275="""","""",IF(COUNTIFS(D$1:D274,D275,E$1:E274,E275)&gt;0,INDEX(filter(F$1:F274,D$1:D274=D275,E$1:E274=E275),1),""Selecciona..""))"),"")</f>
        <v/>
      </c>
      <c r="G275" s="2" t="str">
        <f>IFERROR(__xludf.DUMMYFUNCTION("IF($E275="""","""",IF(COUNTIFS($D$1:$D274,$D275,$E$1:$E274,$E275)&gt;0,INDEX(filter(G$1:G274,$D$1:$D274=$D275,$E$1:$E274=E275),1),""Selecciona..""))"),"")</f>
        <v/>
      </c>
      <c r="H275" s="4" t="str">
        <f>IF(D275="","",COUNTIF(Productos!G:G,C275))</f>
        <v/>
      </c>
      <c r="J275" s="90"/>
    </row>
    <row r="276">
      <c r="A276" s="2" t="str">
        <f t="shared" si="1"/>
        <v/>
      </c>
      <c r="B276" s="4"/>
      <c r="C276" s="4"/>
      <c r="D276" s="3" t="str">
        <f t="shared" si="2"/>
        <v/>
      </c>
      <c r="E276" s="4"/>
      <c r="F276" s="2" t="str">
        <f>IFERROR(__xludf.DUMMYFUNCTION("IF(E276="""","""",IF(COUNTIFS(D$1:D275,D276,E$1:E275,E276)&gt;0,INDEX(filter(F$1:F275,D$1:D275=D276,E$1:E275=E276),1),""Selecciona..""))"),"")</f>
        <v/>
      </c>
      <c r="G276" s="2" t="str">
        <f>IFERROR(__xludf.DUMMYFUNCTION("IF($E276="""","""",IF(COUNTIFS($D$1:$D275,$D276,$E$1:$E275,$E276)&gt;0,INDEX(filter(G$1:G275,$D$1:$D275=$D276,$E$1:$E275=E276),1),""Selecciona..""))"),"")</f>
        <v/>
      </c>
      <c r="H276" s="4" t="str">
        <f>IF(D276="","",COUNTIF(Productos!G:G,C276))</f>
        <v/>
      </c>
      <c r="J276" s="90"/>
    </row>
    <row r="277">
      <c r="A277" s="2" t="str">
        <f t="shared" si="1"/>
        <v/>
      </c>
      <c r="B277" s="4"/>
      <c r="C277" s="4"/>
      <c r="D277" s="3" t="str">
        <f t="shared" si="2"/>
        <v/>
      </c>
      <c r="E277" s="4"/>
      <c r="F277" s="2" t="str">
        <f>IFERROR(__xludf.DUMMYFUNCTION("IF(E277="""","""",IF(COUNTIFS(D$1:D276,D277,E$1:E276,E277)&gt;0,INDEX(filter(F$1:F276,D$1:D276=D277,E$1:E276=E277),1),""Selecciona..""))"),"")</f>
        <v/>
      </c>
      <c r="G277" s="2" t="str">
        <f>IFERROR(__xludf.DUMMYFUNCTION("IF($E277="""","""",IF(COUNTIFS($D$1:$D276,$D277,$E$1:$E276,$E277)&gt;0,INDEX(filter(G$1:G276,$D$1:$D276=$D277,$E$1:$E276=E277),1),""Selecciona..""))"),"")</f>
        <v/>
      </c>
      <c r="H277" s="4" t="str">
        <f>IF(D277="","",COUNTIF(Productos!G:G,C277))</f>
        <v/>
      </c>
      <c r="J277" s="90"/>
    </row>
    <row r="278">
      <c r="A278" s="2" t="str">
        <f t="shared" si="1"/>
        <v/>
      </c>
      <c r="B278" s="4"/>
      <c r="C278" s="4"/>
      <c r="D278" s="3" t="str">
        <f t="shared" si="2"/>
        <v/>
      </c>
      <c r="E278" s="4"/>
      <c r="F278" s="2" t="str">
        <f>IFERROR(__xludf.DUMMYFUNCTION("IF(E278="""","""",IF(COUNTIFS(D$1:D277,D278,E$1:E277,E278)&gt;0,INDEX(filter(F$1:F277,D$1:D277=D278,E$1:E277=E278),1),""Selecciona..""))"),"")</f>
        <v/>
      </c>
      <c r="G278" s="2" t="str">
        <f>IFERROR(__xludf.DUMMYFUNCTION("IF($E278="""","""",IF(COUNTIFS($D$1:$D277,$D278,$E$1:$E277,$E278)&gt;0,INDEX(filter(G$1:G277,$D$1:$D277=$D278,$E$1:$E277=E278),1),""Selecciona..""))"),"")</f>
        <v/>
      </c>
      <c r="H278" s="4" t="str">
        <f>IF(D278="","",COUNTIF(Productos!G:G,C278))</f>
        <v/>
      </c>
      <c r="J278" s="90"/>
    </row>
    <row r="279">
      <c r="A279" s="2" t="str">
        <f t="shared" si="1"/>
        <v/>
      </c>
      <c r="B279" s="4"/>
      <c r="C279" s="4"/>
      <c r="D279" s="3" t="str">
        <f t="shared" si="2"/>
        <v/>
      </c>
      <c r="E279" s="4"/>
      <c r="F279" s="2" t="str">
        <f>IFERROR(__xludf.DUMMYFUNCTION("IF(E279="""","""",IF(COUNTIFS(D$1:D278,D279,E$1:E278,E279)&gt;0,INDEX(filter(F$1:F278,D$1:D278=D279,E$1:E278=E279),1),""Selecciona..""))"),"")</f>
        <v/>
      </c>
      <c r="G279" s="2" t="str">
        <f>IFERROR(__xludf.DUMMYFUNCTION("IF($E279="""","""",IF(COUNTIFS($D$1:$D278,$D279,$E$1:$E278,$E279)&gt;0,INDEX(filter(G$1:G278,$D$1:$D278=$D279,$E$1:$E278=E279),1),""Selecciona..""))"),"")</f>
        <v/>
      </c>
      <c r="H279" s="4" t="str">
        <f>IF(D279="","",COUNTIF(Productos!G:G,C279))</f>
        <v/>
      </c>
      <c r="J279" s="90"/>
    </row>
    <row r="280">
      <c r="A280" s="2" t="str">
        <f t="shared" si="1"/>
        <v/>
      </c>
      <c r="B280" s="4"/>
      <c r="C280" s="4"/>
      <c r="D280" s="3" t="str">
        <f t="shared" si="2"/>
        <v/>
      </c>
      <c r="E280" s="4"/>
      <c r="F280" s="2" t="str">
        <f>IFERROR(__xludf.DUMMYFUNCTION("IF(E280="""","""",IF(COUNTIFS(D$1:D279,D280,E$1:E279,E280)&gt;0,INDEX(filter(F$1:F279,D$1:D279=D280,E$1:E279=E280),1),""Selecciona..""))"),"")</f>
        <v/>
      </c>
      <c r="G280" s="2" t="str">
        <f>IFERROR(__xludf.DUMMYFUNCTION("IF($E280="""","""",IF(COUNTIFS($D$1:$D279,$D280,$E$1:$E279,$E280)&gt;0,INDEX(filter(G$1:G279,$D$1:$D279=$D280,$E$1:$E279=E280),1),""Selecciona..""))"),"")</f>
        <v/>
      </c>
      <c r="H280" s="4" t="str">
        <f>IF(D280="","",COUNTIF(Productos!G:G,C280))</f>
        <v/>
      </c>
      <c r="J280" s="90"/>
    </row>
    <row r="281">
      <c r="A281" s="2" t="str">
        <f t="shared" si="1"/>
        <v/>
      </c>
      <c r="B281" s="4"/>
      <c r="C281" s="4"/>
      <c r="D281" s="3" t="str">
        <f t="shared" si="2"/>
        <v/>
      </c>
      <c r="E281" s="4"/>
      <c r="F281" s="2" t="str">
        <f>IFERROR(__xludf.DUMMYFUNCTION("IF(E281="""","""",IF(COUNTIFS(D$1:D280,D281,E$1:E280,E281)&gt;0,INDEX(filter(F$1:F280,D$1:D280=D281,E$1:E280=E281),1),""Selecciona..""))"),"")</f>
        <v/>
      </c>
      <c r="G281" s="2" t="str">
        <f>IFERROR(__xludf.DUMMYFUNCTION("IF($E281="""","""",IF(COUNTIFS($D$1:$D280,$D281,$E$1:$E280,$E281)&gt;0,INDEX(filter(G$1:G280,$D$1:$D280=$D281,$E$1:$E280=E281),1),""Selecciona..""))"),"")</f>
        <v/>
      </c>
      <c r="H281" s="4" t="str">
        <f>IF(D281="","",COUNTIF(Productos!G:G,C281))</f>
        <v/>
      </c>
      <c r="J281" s="90"/>
    </row>
    <row r="282">
      <c r="A282" s="2" t="str">
        <f t="shared" si="1"/>
        <v/>
      </c>
      <c r="B282" s="4"/>
      <c r="C282" s="4"/>
      <c r="D282" s="3" t="str">
        <f t="shared" si="2"/>
        <v/>
      </c>
      <c r="E282" s="4"/>
      <c r="F282" s="2" t="str">
        <f>IFERROR(__xludf.DUMMYFUNCTION("IF(E282="""","""",IF(COUNTIFS(D$1:D281,D282,E$1:E281,E282)&gt;0,INDEX(filter(F$1:F281,D$1:D281=D282,E$1:E281=E282),1),""Selecciona..""))"),"")</f>
        <v/>
      </c>
      <c r="G282" s="2" t="str">
        <f>IFERROR(__xludf.DUMMYFUNCTION("IF($E282="""","""",IF(COUNTIFS($D$1:$D281,$D282,$E$1:$E281,$E282)&gt;0,INDEX(filter(G$1:G281,$D$1:$D281=$D282,$E$1:$E281=E282),1),""Selecciona..""))"),"")</f>
        <v/>
      </c>
      <c r="H282" s="4" t="str">
        <f>IF(D282="","",COUNTIF(Productos!G:G,C282))</f>
        <v/>
      </c>
      <c r="J282" s="90"/>
    </row>
    <row r="283">
      <c r="A283" s="2" t="str">
        <f t="shared" si="1"/>
        <v/>
      </c>
      <c r="B283" s="4"/>
      <c r="C283" s="4"/>
      <c r="D283" s="3" t="str">
        <f t="shared" si="2"/>
        <v/>
      </c>
      <c r="E283" s="4"/>
      <c r="F283" s="2" t="str">
        <f>IFERROR(__xludf.DUMMYFUNCTION("IF(E283="""","""",IF(COUNTIFS(D$1:D282,D283,E$1:E282,E283)&gt;0,INDEX(filter(F$1:F282,D$1:D282=D283,E$1:E282=E283),1),""Selecciona..""))"),"")</f>
        <v/>
      </c>
      <c r="G283" s="2" t="str">
        <f>IFERROR(__xludf.DUMMYFUNCTION("IF($E283="""","""",IF(COUNTIFS($D$1:$D282,$D283,$E$1:$E282,$E283)&gt;0,INDEX(filter(G$1:G282,$D$1:$D282=$D283,$E$1:$E282=E283),1),""Selecciona..""))"),"")</f>
        <v/>
      </c>
      <c r="H283" s="4" t="str">
        <f>IF(D283="","",COUNTIF(Productos!G:G,C283))</f>
        <v/>
      </c>
      <c r="J283" s="90"/>
    </row>
    <row r="284">
      <c r="A284" s="2" t="str">
        <f t="shared" si="1"/>
        <v/>
      </c>
      <c r="B284" s="4"/>
      <c r="C284" s="4"/>
      <c r="D284" s="3" t="str">
        <f t="shared" si="2"/>
        <v/>
      </c>
      <c r="E284" s="4"/>
      <c r="F284" s="2" t="str">
        <f>IFERROR(__xludf.DUMMYFUNCTION("IF(E284="""","""",IF(COUNTIFS(D$1:D283,D284,E$1:E283,E284)&gt;0,INDEX(filter(F$1:F283,D$1:D283=D284,E$1:E283=E284),1),""Selecciona..""))"),"")</f>
        <v/>
      </c>
      <c r="G284" s="2" t="str">
        <f>IFERROR(__xludf.DUMMYFUNCTION("IF($E284="""","""",IF(COUNTIFS($D$1:$D283,$D284,$E$1:$E283,$E284)&gt;0,INDEX(filter(G$1:G283,$D$1:$D283=$D284,$E$1:$E283=E284),1),""Selecciona..""))"),"")</f>
        <v/>
      </c>
      <c r="H284" s="4" t="str">
        <f>IF(D284="","",COUNTIF(Productos!G:G,C284))</f>
        <v/>
      </c>
      <c r="J284" s="90"/>
    </row>
    <row r="285">
      <c r="A285" s="2" t="str">
        <f t="shared" si="1"/>
        <v/>
      </c>
      <c r="B285" s="4"/>
      <c r="C285" s="4"/>
      <c r="D285" s="3" t="str">
        <f t="shared" si="2"/>
        <v/>
      </c>
      <c r="E285" s="4"/>
      <c r="F285" s="2" t="str">
        <f>IFERROR(__xludf.DUMMYFUNCTION("IF(E285="""","""",IF(COUNTIFS(D$1:D284,D285,E$1:E284,E285)&gt;0,INDEX(filter(F$1:F284,D$1:D284=D285,E$1:E284=E285),1),""Selecciona..""))"),"")</f>
        <v/>
      </c>
      <c r="G285" s="2" t="str">
        <f>IFERROR(__xludf.DUMMYFUNCTION("IF($E285="""","""",IF(COUNTIFS($D$1:$D284,$D285,$E$1:$E284,$E285)&gt;0,INDEX(filter(G$1:G284,$D$1:$D284=$D285,$E$1:$E284=E285),1),""Selecciona..""))"),"")</f>
        <v/>
      </c>
      <c r="H285" s="4" t="str">
        <f>IF(D285="","",COUNTIF(Productos!G:G,C285))</f>
        <v/>
      </c>
      <c r="J285" s="90"/>
    </row>
    <row r="286">
      <c r="A286" s="2" t="str">
        <f t="shared" si="1"/>
        <v/>
      </c>
      <c r="B286" s="4"/>
      <c r="C286" s="4"/>
      <c r="D286" s="3" t="str">
        <f t="shared" si="2"/>
        <v/>
      </c>
      <c r="E286" s="4"/>
      <c r="F286" s="2" t="str">
        <f>IFERROR(__xludf.DUMMYFUNCTION("IF(E286="""","""",IF(COUNTIFS(D$1:D285,D286,E$1:E285,E286)&gt;0,INDEX(filter(F$1:F285,D$1:D285=D286,E$1:E285=E286),1),""Selecciona..""))"),"")</f>
        <v/>
      </c>
      <c r="G286" s="2" t="str">
        <f>IFERROR(__xludf.DUMMYFUNCTION("IF($E286="""","""",IF(COUNTIFS($D$1:$D285,$D286,$E$1:$E285,$E286)&gt;0,INDEX(filter(G$1:G285,$D$1:$D285=$D286,$E$1:$E285=E286),1),""Selecciona..""))"),"")</f>
        <v/>
      </c>
      <c r="H286" s="4" t="str">
        <f>IF(D286="","",COUNTIF(Productos!G:G,C286))</f>
        <v/>
      </c>
      <c r="J286" s="90"/>
    </row>
    <row r="287">
      <c r="A287" s="2" t="str">
        <f t="shared" si="1"/>
        <v/>
      </c>
      <c r="B287" s="4"/>
      <c r="C287" s="4"/>
      <c r="D287" s="3" t="str">
        <f t="shared" si="2"/>
        <v/>
      </c>
      <c r="E287" s="4"/>
      <c r="F287" s="2" t="str">
        <f>IFERROR(__xludf.DUMMYFUNCTION("IF(E287="""","""",IF(COUNTIFS(D$1:D286,D287,E$1:E286,E287)&gt;0,INDEX(filter(F$1:F286,D$1:D286=D287,E$1:E286=E287),1),""Selecciona..""))"),"")</f>
        <v/>
      </c>
      <c r="G287" s="2" t="str">
        <f>IFERROR(__xludf.DUMMYFUNCTION("IF($E287="""","""",IF(COUNTIFS($D$1:$D286,$D287,$E$1:$E286,$E287)&gt;0,INDEX(filter(G$1:G286,$D$1:$D286=$D287,$E$1:$E286=E287),1),""Selecciona..""))"),"")</f>
        <v/>
      </c>
      <c r="H287" s="4" t="str">
        <f>IF(D287="","",COUNTIF(Productos!G:G,C287))</f>
        <v/>
      </c>
      <c r="J287" s="90"/>
    </row>
    <row r="288">
      <c r="A288" s="2" t="str">
        <f t="shared" si="1"/>
        <v/>
      </c>
      <c r="B288" s="4"/>
      <c r="C288" s="4"/>
      <c r="D288" s="3" t="str">
        <f t="shared" si="2"/>
        <v/>
      </c>
      <c r="E288" s="4"/>
      <c r="F288" s="2" t="str">
        <f>IFERROR(__xludf.DUMMYFUNCTION("IF(E288="""","""",IF(COUNTIFS(D$1:D287,D288,E$1:E287,E288)&gt;0,INDEX(filter(F$1:F287,D$1:D287=D288,E$1:E287=E288),1),""Selecciona..""))"),"")</f>
        <v/>
      </c>
      <c r="G288" s="2" t="str">
        <f>IFERROR(__xludf.DUMMYFUNCTION("IF($E288="""","""",IF(COUNTIFS($D$1:$D287,$D288,$E$1:$E287,$E288)&gt;0,INDEX(filter(G$1:G287,$D$1:$D287=$D288,$E$1:$E287=E288),1),""Selecciona..""))"),"")</f>
        <v/>
      </c>
      <c r="H288" s="4" t="str">
        <f>IF(D288="","",COUNTIF(Productos!G:G,C288))</f>
        <v/>
      </c>
      <c r="J288" s="90"/>
    </row>
    <row r="289">
      <c r="A289" s="2" t="str">
        <f t="shared" si="1"/>
        <v/>
      </c>
      <c r="B289" s="4"/>
      <c r="C289" s="4"/>
      <c r="D289" s="3" t="str">
        <f t="shared" si="2"/>
        <v/>
      </c>
      <c r="E289" s="4"/>
      <c r="F289" s="2" t="str">
        <f>IFERROR(__xludf.DUMMYFUNCTION("IF(E289="""","""",IF(COUNTIFS(D$1:D288,D289,E$1:E288,E289)&gt;0,INDEX(filter(F$1:F288,D$1:D288=D289,E$1:E288=E289),1),""Selecciona..""))"),"")</f>
        <v/>
      </c>
      <c r="G289" s="2" t="str">
        <f>IFERROR(__xludf.DUMMYFUNCTION("IF($E289="""","""",IF(COUNTIFS($D$1:$D288,$D289,$E$1:$E288,$E289)&gt;0,INDEX(filter(G$1:G288,$D$1:$D288=$D289,$E$1:$E288=E289),1),""Selecciona..""))"),"")</f>
        <v/>
      </c>
      <c r="H289" s="4" t="str">
        <f>IF(D289="","",COUNTIF(Productos!G:G,C289))</f>
        <v/>
      </c>
      <c r="J289" s="90"/>
    </row>
    <row r="290">
      <c r="A290" s="2" t="str">
        <f t="shared" si="1"/>
        <v/>
      </c>
      <c r="B290" s="4"/>
      <c r="C290" s="4"/>
      <c r="D290" s="3" t="str">
        <f t="shared" si="2"/>
        <v/>
      </c>
      <c r="E290" s="4"/>
      <c r="F290" s="2" t="str">
        <f>IFERROR(__xludf.DUMMYFUNCTION("IF(E290="""","""",IF(COUNTIFS(D$1:D289,D290,E$1:E289,E290)&gt;0,INDEX(filter(F$1:F289,D$1:D289=D290,E$1:E289=E290),1),""Selecciona..""))"),"")</f>
        <v/>
      </c>
      <c r="G290" s="2" t="str">
        <f>IFERROR(__xludf.DUMMYFUNCTION("IF($E290="""","""",IF(COUNTIFS($D$1:$D289,$D290,$E$1:$E289,$E290)&gt;0,INDEX(filter(G$1:G289,$D$1:$D289=$D290,$E$1:$E289=E290),1),""Selecciona..""))"),"")</f>
        <v/>
      </c>
      <c r="H290" s="4" t="str">
        <f>IF(D290="","",COUNTIF(Productos!G:G,C290))</f>
        <v/>
      </c>
      <c r="J290" s="90"/>
    </row>
    <row r="291">
      <c r="A291" s="2" t="str">
        <f t="shared" si="1"/>
        <v/>
      </c>
      <c r="B291" s="4"/>
      <c r="C291" s="4"/>
      <c r="D291" s="3" t="str">
        <f t="shared" si="2"/>
        <v/>
      </c>
      <c r="E291" s="4"/>
      <c r="F291" s="2" t="str">
        <f>IFERROR(__xludf.DUMMYFUNCTION("IF(E291="""","""",IF(COUNTIFS(D$1:D290,D291,E$1:E290,E291)&gt;0,INDEX(filter(F$1:F290,D$1:D290=D291,E$1:E290=E291),1),""Selecciona..""))"),"")</f>
        <v/>
      </c>
      <c r="G291" s="2" t="str">
        <f>IFERROR(__xludf.DUMMYFUNCTION("IF($E291="""","""",IF(COUNTIFS($D$1:$D290,$D291,$E$1:$E290,$E291)&gt;0,INDEX(filter(G$1:G290,$D$1:$D290=$D291,$E$1:$E290=E291),1),""Selecciona..""))"),"")</f>
        <v/>
      </c>
      <c r="H291" s="4" t="str">
        <f>IF(D291="","",COUNTIF(Productos!G:G,C291))</f>
        <v/>
      </c>
      <c r="J291" s="90"/>
    </row>
    <row r="292">
      <c r="A292" s="2" t="str">
        <f t="shared" si="1"/>
        <v/>
      </c>
      <c r="B292" s="4"/>
      <c r="C292" s="4"/>
      <c r="D292" s="3" t="str">
        <f t="shared" si="2"/>
        <v/>
      </c>
      <c r="E292" s="4"/>
      <c r="F292" s="2" t="str">
        <f>IFERROR(__xludf.DUMMYFUNCTION("IF(E292="""","""",IF(COUNTIFS(D$1:D291,D292,E$1:E291,E292)&gt;0,INDEX(filter(F$1:F291,D$1:D291=D292,E$1:E291=E292),1),""Selecciona..""))"),"")</f>
        <v/>
      </c>
      <c r="G292" s="2" t="str">
        <f>IFERROR(__xludf.DUMMYFUNCTION("IF($E292="""","""",IF(COUNTIFS($D$1:$D291,$D292,$E$1:$E291,$E292)&gt;0,INDEX(filter(G$1:G291,$D$1:$D291=$D292,$E$1:$E291=E292),1),""Selecciona..""))"),"")</f>
        <v/>
      </c>
      <c r="H292" s="4" t="str">
        <f>IF(D292="","",COUNTIF(Productos!G:G,C292))</f>
        <v/>
      </c>
      <c r="J292" s="90"/>
    </row>
    <row r="293">
      <c r="A293" s="2" t="str">
        <f t="shared" si="1"/>
        <v/>
      </c>
      <c r="B293" s="4"/>
      <c r="C293" s="4"/>
      <c r="D293" s="3" t="str">
        <f t="shared" si="2"/>
        <v/>
      </c>
      <c r="E293" s="4"/>
      <c r="F293" s="2" t="str">
        <f>IFERROR(__xludf.DUMMYFUNCTION("IF(E293="""","""",IF(COUNTIFS(D$1:D292,D293,E$1:E292,E293)&gt;0,INDEX(filter(F$1:F292,D$1:D292=D293,E$1:E292=E293),1),""Selecciona..""))"),"")</f>
        <v/>
      </c>
      <c r="G293" s="2" t="str">
        <f>IFERROR(__xludf.DUMMYFUNCTION("IF($E293="""","""",IF(COUNTIFS($D$1:$D292,$D293,$E$1:$E292,$E293)&gt;0,INDEX(filter(G$1:G292,$D$1:$D292=$D293,$E$1:$E292=E293),1),""Selecciona..""))"),"")</f>
        <v/>
      </c>
      <c r="H293" s="4" t="str">
        <f>IF(D293="","",COUNTIF(Productos!G:G,C293))</f>
        <v/>
      </c>
      <c r="J293" s="90"/>
    </row>
    <row r="294">
      <c r="A294" s="2" t="str">
        <f t="shared" si="1"/>
        <v/>
      </c>
      <c r="B294" s="4"/>
      <c r="C294" s="4"/>
      <c r="D294" s="3" t="str">
        <f t="shared" si="2"/>
        <v/>
      </c>
      <c r="E294" s="4"/>
      <c r="F294" s="2" t="str">
        <f>IFERROR(__xludf.DUMMYFUNCTION("IF(E294="""","""",IF(COUNTIFS(D$1:D293,D294,E$1:E293,E294)&gt;0,INDEX(filter(F$1:F293,D$1:D293=D294,E$1:E293=E294),1),""Selecciona..""))"),"")</f>
        <v/>
      </c>
      <c r="G294" s="2" t="str">
        <f>IFERROR(__xludf.DUMMYFUNCTION("IF($E294="""","""",IF(COUNTIFS($D$1:$D293,$D294,$E$1:$E293,$E294)&gt;0,INDEX(filter(G$1:G293,$D$1:$D293=$D294,$E$1:$E293=E294),1),""Selecciona..""))"),"")</f>
        <v/>
      </c>
      <c r="H294" s="4" t="str">
        <f>IF(D294="","",COUNTIF(Productos!G:G,C294))</f>
        <v/>
      </c>
      <c r="J294" s="90"/>
    </row>
    <row r="295">
      <c r="A295" s="2" t="str">
        <f t="shared" si="1"/>
        <v/>
      </c>
      <c r="B295" s="4"/>
      <c r="C295" s="4"/>
      <c r="D295" s="3" t="str">
        <f t="shared" si="2"/>
        <v/>
      </c>
      <c r="E295" s="4"/>
      <c r="F295" s="2" t="str">
        <f>IFERROR(__xludf.DUMMYFUNCTION("IF(E295="""","""",IF(COUNTIFS(D$1:D294,D295,E$1:E294,E295)&gt;0,INDEX(filter(F$1:F294,D$1:D294=D295,E$1:E294=E295),1),""Selecciona..""))"),"")</f>
        <v/>
      </c>
      <c r="G295" s="2" t="str">
        <f>IFERROR(__xludf.DUMMYFUNCTION("IF($E295="""","""",IF(COUNTIFS($D$1:$D294,$D295,$E$1:$E294,$E295)&gt;0,INDEX(filter(G$1:G294,$D$1:$D294=$D295,$E$1:$E294=E295),1),""Selecciona..""))"),"")</f>
        <v/>
      </c>
      <c r="H295" s="4" t="str">
        <f>IF(D295="","",COUNTIF(Productos!G:G,C295))</f>
        <v/>
      </c>
      <c r="J295" s="90"/>
    </row>
    <row r="296">
      <c r="A296" s="2" t="str">
        <f t="shared" si="1"/>
        <v/>
      </c>
      <c r="B296" s="4"/>
      <c r="C296" s="4"/>
      <c r="D296" s="3" t="str">
        <f t="shared" si="2"/>
        <v/>
      </c>
      <c r="E296" s="4"/>
      <c r="F296" s="2" t="str">
        <f>IFERROR(__xludf.DUMMYFUNCTION("IF(E296="""","""",IF(COUNTIFS(D$1:D295,D296,E$1:E295,E296)&gt;0,INDEX(filter(F$1:F295,D$1:D295=D296,E$1:E295=E296),1),""Selecciona..""))"),"")</f>
        <v/>
      </c>
      <c r="G296" s="2" t="str">
        <f>IFERROR(__xludf.DUMMYFUNCTION("IF($E296="""","""",IF(COUNTIFS($D$1:$D295,$D296,$E$1:$E295,$E296)&gt;0,INDEX(filter(G$1:G295,$D$1:$D295=$D296,$E$1:$E295=E296),1),""Selecciona..""))"),"")</f>
        <v/>
      </c>
      <c r="H296" s="4" t="str">
        <f>IF(D296="","",COUNTIF(Productos!G:G,C296))</f>
        <v/>
      </c>
      <c r="J296" s="90"/>
    </row>
    <row r="297">
      <c r="A297" s="2" t="str">
        <f t="shared" si="1"/>
        <v/>
      </c>
      <c r="B297" s="4"/>
      <c r="C297" s="4"/>
      <c r="D297" s="3" t="str">
        <f t="shared" si="2"/>
        <v/>
      </c>
      <c r="E297" s="4"/>
      <c r="F297" s="2" t="str">
        <f>IFERROR(__xludf.DUMMYFUNCTION("IF(E297="""","""",IF(COUNTIFS(D$1:D296,D297,E$1:E296,E297)&gt;0,INDEX(filter(F$1:F296,D$1:D296=D297,E$1:E296=E297),1),""Selecciona..""))"),"")</f>
        <v/>
      </c>
      <c r="G297" s="2" t="str">
        <f>IFERROR(__xludf.DUMMYFUNCTION("IF($E297="""","""",IF(COUNTIFS($D$1:$D296,$D297,$E$1:$E296,$E297)&gt;0,INDEX(filter(G$1:G296,$D$1:$D296=$D297,$E$1:$E296=E297),1),""Selecciona..""))"),"")</f>
        <v/>
      </c>
      <c r="H297" s="4" t="str">
        <f>IF(D297="","",COUNTIF(Productos!G:G,C297))</f>
        <v/>
      </c>
      <c r="J297" s="90"/>
    </row>
    <row r="298">
      <c r="A298" s="2" t="str">
        <f t="shared" si="1"/>
        <v/>
      </c>
      <c r="B298" s="4"/>
      <c r="C298" s="4"/>
      <c r="D298" s="3" t="str">
        <f t="shared" si="2"/>
        <v/>
      </c>
      <c r="E298" s="4"/>
      <c r="F298" s="2" t="str">
        <f>IFERROR(__xludf.DUMMYFUNCTION("IF(E298="""","""",IF(COUNTIFS(D$1:D297,D298,E$1:E297,E298)&gt;0,INDEX(filter(F$1:F297,D$1:D297=D298,E$1:E297=E298),1),""Selecciona..""))"),"")</f>
        <v/>
      </c>
      <c r="G298" s="2" t="str">
        <f>IFERROR(__xludf.DUMMYFUNCTION("IF($E298="""","""",IF(COUNTIFS($D$1:$D297,$D298,$E$1:$E297,$E298)&gt;0,INDEX(filter(G$1:G297,$D$1:$D297=$D298,$E$1:$E297=E298),1),""Selecciona..""))"),"")</f>
        <v/>
      </c>
      <c r="H298" s="4" t="str">
        <f>IF(D298="","",COUNTIF(Productos!G:G,C298))</f>
        <v/>
      </c>
      <c r="J298" s="90"/>
    </row>
    <row r="299">
      <c r="A299" s="2" t="str">
        <f t="shared" si="1"/>
        <v/>
      </c>
      <c r="B299" s="4"/>
      <c r="C299" s="4"/>
      <c r="D299" s="3" t="str">
        <f t="shared" si="2"/>
        <v/>
      </c>
      <c r="E299" s="4"/>
      <c r="F299" s="2" t="str">
        <f>IFERROR(__xludf.DUMMYFUNCTION("IF(E299="""","""",IF(COUNTIFS(D$1:D298,D299,E$1:E298,E299)&gt;0,INDEX(filter(F$1:F298,D$1:D298=D299,E$1:E298=E299),1),""Selecciona..""))"),"")</f>
        <v/>
      </c>
      <c r="G299" s="2" t="str">
        <f>IFERROR(__xludf.DUMMYFUNCTION("IF($E299="""","""",IF(COUNTIFS($D$1:$D298,$D299,$E$1:$E298,$E299)&gt;0,INDEX(filter(G$1:G298,$D$1:$D298=$D299,$E$1:$E298=E299),1),""Selecciona..""))"),"")</f>
        <v/>
      </c>
      <c r="H299" s="4" t="str">
        <f>IF(D299="","",COUNTIF(Productos!G:G,C299))</f>
        <v/>
      </c>
      <c r="J299" s="90"/>
    </row>
    <row r="300">
      <c r="A300" s="2" t="str">
        <f t="shared" si="1"/>
        <v/>
      </c>
      <c r="B300" s="4"/>
      <c r="C300" s="4"/>
      <c r="D300" s="3" t="str">
        <f t="shared" si="2"/>
        <v/>
      </c>
      <c r="E300" s="4"/>
      <c r="F300" s="2" t="str">
        <f>IFERROR(__xludf.DUMMYFUNCTION("IF(E300="""","""",IF(COUNTIFS(D$1:D299,D300,E$1:E299,E300)&gt;0,INDEX(filter(F$1:F299,D$1:D299=D300,E$1:E299=E300),1),""Selecciona..""))"),"")</f>
        <v/>
      </c>
      <c r="G300" s="2" t="str">
        <f>IFERROR(__xludf.DUMMYFUNCTION("IF($E300="""","""",IF(COUNTIFS($D$1:$D299,$D300,$E$1:$E299,$E300)&gt;0,INDEX(filter(G$1:G299,$D$1:$D299=$D300,$E$1:$E299=E300),1),""Selecciona..""))"),"")</f>
        <v/>
      </c>
      <c r="H300" s="4" t="str">
        <f>IF(D300="","",COUNTIF(Productos!G:G,C300))</f>
        <v/>
      </c>
      <c r="J300" s="90"/>
    </row>
    <row r="301">
      <c r="A301" s="2" t="str">
        <f t="shared" si="1"/>
        <v/>
      </c>
      <c r="B301" s="4"/>
      <c r="C301" s="4"/>
      <c r="D301" s="3" t="str">
        <f t="shared" si="2"/>
        <v/>
      </c>
      <c r="E301" s="4"/>
      <c r="F301" s="2" t="str">
        <f>IFERROR(__xludf.DUMMYFUNCTION("IF(E301="""","""",IF(COUNTIFS(D$1:D300,D301,E$1:E300,E301)&gt;0,INDEX(filter(F$1:F300,D$1:D300=D301,E$1:E300=E301),1),""Selecciona..""))"),"")</f>
        <v/>
      </c>
      <c r="G301" s="2" t="str">
        <f>IFERROR(__xludf.DUMMYFUNCTION("IF($E301="""","""",IF(COUNTIFS($D$1:$D300,$D301,$E$1:$E300,$E301)&gt;0,INDEX(filter(G$1:G300,$D$1:$D300=$D301,$E$1:$E300=E301),1),""Selecciona..""))"),"")</f>
        <v/>
      </c>
      <c r="H301" s="4" t="str">
        <f>IF(D301="","",COUNTIF(Productos!G:G,C301))</f>
        <v/>
      </c>
      <c r="J301" s="90"/>
    </row>
    <row r="302">
      <c r="A302" s="2" t="str">
        <f t="shared" si="1"/>
        <v/>
      </c>
      <c r="B302" s="4"/>
      <c r="C302" s="4"/>
      <c r="D302" s="3" t="str">
        <f t="shared" si="2"/>
        <v/>
      </c>
      <c r="E302" s="4"/>
      <c r="F302" s="2" t="str">
        <f>IFERROR(__xludf.DUMMYFUNCTION("IF(E302="""","""",IF(COUNTIFS(D$1:D301,D302,E$1:E301,E302)&gt;0,INDEX(filter(F$1:F301,D$1:D301=D302,E$1:E301=E302),1),""Selecciona..""))"),"")</f>
        <v/>
      </c>
      <c r="G302" s="2" t="str">
        <f>IFERROR(__xludf.DUMMYFUNCTION("IF($E302="""","""",IF(COUNTIFS($D$1:$D301,$D302,$E$1:$E301,$E302)&gt;0,INDEX(filter(G$1:G301,$D$1:$D301=$D302,$E$1:$E301=E302),1),""Selecciona..""))"),"")</f>
        <v/>
      </c>
      <c r="H302" s="4" t="str">
        <f>IF(D302="","",COUNTIF(Productos!G:G,C302))</f>
        <v/>
      </c>
      <c r="J302" s="90"/>
    </row>
    <row r="303">
      <c r="A303" s="2" t="str">
        <f t="shared" si="1"/>
        <v/>
      </c>
      <c r="B303" s="4"/>
      <c r="C303" s="4"/>
      <c r="D303" s="3" t="str">
        <f t="shared" si="2"/>
        <v/>
      </c>
      <c r="E303" s="4"/>
      <c r="F303" s="2" t="str">
        <f>IFERROR(__xludf.DUMMYFUNCTION("IF(E303="""","""",IF(COUNTIFS(D$1:D302,D303,E$1:E302,E303)&gt;0,INDEX(filter(F$1:F302,D$1:D302=D303,E$1:E302=E303),1),""Selecciona..""))"),"")</f>
        <v/>
      </c>
      <c r="G303" s="2" t="str">
        <f>IFERROR(__xludf.DUMMYFUNCTION("IF($E303="""","""",IF(COUNTIFS($D$1:$D302,$D303,$E$1:$E302,$E303)&gt;0,INDEX(filter(G$1:G302,$D$1:$D302=$D303,$E$1:$E302=E303),1),""Selecciona..""))"),"")</f>
        <v/>
      </c>
      <c r="H303" s="4" t="str">
        <f>IF(D303="","",COUNTIF(Productos!G:G,C303))</f>
        <v/>
      </c>
      <c r="J303" s="90"/>
    </row>
    <row r="304">
      <c r="A304" s="2" t="str">
        <f t="shared" si="1"/>
        <v/>
      </c>
      <c r="B304" s="4"/>
      <c r="C304" s="4"/>
      <c r="D304" s="3" t="str">
        <f t="shared" si="2"/>
        <v/>
      </c>
      <c r="E304" s="4"/>
      <c r="F304" s="2" t="str">
        <f>IFERROR(__xludf.DUMMYFUNCTION("IF(E304="""","""",IF(COUNTIFS(D$1:D303,D304,E$1:E303,E304)&gt;0,INDEX(filter(F$1:F303,D$1:D303=D304,E$1:E303=E304),1),""Selecciona..""))"),"")</f>
        <v/>
      </c>
      <c r="G304" s="2" t="str">
        <f>IFERROR(__xludf.DUMMYFUNCTION("IF($E304="""","""",IF(COUNTIFS($D$1:$D303,$D304,$E$1:$E303,$E304)&gt;0,INDEX(filter(G$1:G303,$D$1:$D303=$D304,$E$1:$E303=E304),1),""Selecciona..""))"),"")</f>
        <v/>
      </c>
      <c r="H304" s="4" t="str">
        <f>IF(D304="","",COUNTIF(Productos!G:G,C304))</f>
        <v/>
      </c>
      <c r="J304" s="90"/>
    </row>
    <row r="305">
      <c r="A305" s="2" t="str">
        <f t="shared" si="1"/>
        <v/>
      </c>
      <c r="B305" s="4"/>
      <c r="C305" s="4"/>
      <c r="D305" s="3" t="str">
        <f t="shared" si="2"/>
        <v/>
      </c>
      <c r="E305" s="4"/>
      <c r="F305" s="2" t="str">
        <f>IFERROR(__xludf.DUMMYFUNCTION("IF(E305="""","""",IF(COUNTIFS(D$1:D304,D305,E$1:E304,E305)&gt;0,INDEX(filter(F$1:F304,D$1:D304=D305,E$1:E304=E305),1),""Selecciona..""))"),"")</f>
        <v/>
      </c>
      <c r="G305" s="2" t="str">
        <f>IFERROR(__xludf.DUMMYFUNCTION("IF($E305="""","""",IF(COUNTIFS($D$1:$D304,$D305,$E$1:$E304,$E305)&gt;0,INDEX(filter(G$1:G304,$D$1:$D304=$D305,$E$1:$E304=E305),1),""Selecciona..""))"),"")</f>
        <v/>
      </c>
      <c r="H305" s="4" t="str">
        <f>IF(D305="","",COUNTIF(Productos!G:G,C305))</f>
        <v/>
      </c>
      <c r="J305" s="90"/>
    </row>
    <row r="306">
      <c r="A306" s="2" t="str">
        <f t="shared" si="1"/>
        <v/>
      </c>
      <c r="B306" s="4"/>
      <c r="C306" s="4"/>
      <c r="D306" s="3" t="str">
        <f t="shared" si="2"/>
        <v/>
      </c>
      <c r="E306" s="4"/>
      <c r="F306" s="2" t="str">
        <f>IFERROR(__xludf.DUMMYFUNCTION("IF(E306="""","""",IF(COUNTIFS(D$1:D305,D306,E$1:E305,E306)&gt;0,INDEX(filter(F$1:F305,D$1:D305=D306,E$1:E305=E306),1),""Selecciona..""))"),"")</f>
        <v/>
      </c>
      <c r="G306" s="2" t="str">
        <f>IFERROR(__xludf.DUMMYFUNCTION("IF($E306="""","""",IF(COUNTIFS($D$1:$D305,$D306,$E$1:$E305,$E306)&gt;0,INDEX(filter(G$1:G305,$D$1:$D305=$D306,$E$1:$E305=E306),1),""Selecciona..""))"),"")</f>
        <v/>
      </c>
      <c r="H306" s="4" t="str">
        <f>IF(D306="","",COUNTIF(Productos!G:G,C306))</f>
        <v/>
      </c>
      <c r="J306" s="90"/>
    </row>
    <row r="307">
      <c r="A307" s="2" t="str">
        <f t="shared" si="1"/>
        <v/>
      </c>
      <c r="B307" s="4"/>
      <c r="C307" s="4"/>
      <c r="D307" s="3" t="str">
        <f t="shared" si="2"/>
        <v/>
      </c>
      <c r="E307" s="4"/>
      <c r="F307" s="2" t="str">
        <f>IFERROR(__xludf.DUMMYFUNCTION("IF(E307="""","""",IF(COUNTIFS(D$1:D306,D307,E$1:E306,E307)&gt;0,INDEX(filter(F$1:F306,D$1:D306=D307,E$1:E306=E307),1),""Selecciona..""))"),"")</f>
        <v/>
      </c>
      <c r="G307" s="2" t="str">
        <f>IFERROR(__xludf.DUMMYFUNCTION("IF($E307="""","""",IF(COUNTIFS($D$1:$D306,$D307,$E$1:$E306,$E307)&gt;0,INDEX(filter(G$1:G306,$D$1:$D306=$D307,$E$1:$E306=E307),1),""Selecciona..""))"),"")</f>
        <v/>
      </c>
      <c r="H307" s="4" t="str">
        <f>IF(D307="","",COUNTIF(Productos!G:G,C307))</f>
        <v/>
      </c>
      <c r="J307" s="90"/>
    </row>
    <row r="308">
      <c r="A308" s="2" t="str">
        <f t="shared" si="1"/>
        <v/>
      </c>
      <c r="B308" s="4"/>
      <c r="C308" s="4"/>
      <c r="D308" s="3" t="str">
        <f t="shared" si="2"/>
        <v/>
      </c>
      <c r="E308" s="4"/>
      <c r="F308" s="2" t="str">
        <f>IFERROR(__xludf.DUMMYFUNCTION("IF(E308="""","""",IF(COUNTIFS(D$1:D307,D308,E$1:E307,E308)&gt;0,INDEX(filter(F$1:F307,D$1:D307=D308,E$1:E307=E308),1),""Selecciona..""))"),"")</f>
        <v/>
      </c>
      <c r="G308" s="2" t="str">
        <f>IFERROR(__xludf.DUMMYFUNCTION("IF($E308="""","""",IF(COUNTIFS($D$1:$D307,$D308,$E$1:$E307,$E308)&gt;0,INDEX(filter(G$1:G307,$D$1:$D307=$D308,$E$1:$E307=E308),1),""Selecciona..""))"),"")</f>
        <v/>
      </c>
      <c r="H308" s="4" t="str">
        <f>IF(D308="","",COUNTIF(Productos!G:G,C308))</f>
        <v/>
      </c>
      <c r="J308" s="90"/>
    </row>
    <row r="309">
      <c r="A309" s="2" t="str">
        <f t="shared" si="1"/>
        <v/>
      </c>
      <c r="B309" s="4"/>
      <c r="C309" s="4"/>
      <c r="D309" s="3" t="str">
        <f t="shared" si="2"/>
        <v/>
      </c>
      <c r="E309" s="4"/>
      <c r="F309" s="2" t="str">
        <f>IFERROR(__xludf.DUMMYFUNCTION("IF(E309="""","""",IF(COUNTIFS(D$1:D308,D309,E$1:E308,E309)&gt;0,INDEX(filter(F$1:F308,D$1:D308=D309,E$1:E308=E309),1),""Selecciona..""))"),"")</f>
        <v/>
      </c>
      <c r="G309" s="2" t="str">
        <f>IFERROR(__xludf.DUMMYFUNCTION("IF($E309="""","""",IF(COUNTIFS($D$1:$D308,$D309,$E$1:$E308,$E309)&gt;0,INDEX(filter(G$1:G308,$D$1:$D308=$D309,$E$1:$E308=E309),1),""Selecciona..""))"),"")</f>
        <v/>
      </c>
      <c r="H309" s="4" t="str">
        <f>IF(D309="","",COUNTIF(Productos!G:G,C309))</f>
        <v/>
      </c>
      <c r="J309" s="90"/>
    </row>
    <row r="310">
      <c r="A310" s="2" t="str">
        <f t="shared" si="1"/>
        <v/>
      </c>
      <c r="B310" s="4"/>
      <c r="C310" s="4"/>
      <c r="D310" s="3" t="str">
        <f t="shared" si="2"/>
        <v/>
      </c>
      <c r="E310" s="4"/>
      <c r="F310" s="2" t="str">
        <f>IFERROR(__xludf.DUMMYFUNCTION("IF(E310="""","""",IF(COUNTIFS(D$1:D309,D310,E$1:E309,E310)&gt;0,INDEX(filter(F$1:F309,D$1:D309=D310,E$1:E309=E310),1),""Selecciona..""))"),"")</f>
        <v/>
      </c>
      <c r="G310" s="2" t="str">
        <f>IFERROR(__xludf.DUMMYFUNCTION("IF($E310="""","""",IF(COUNTIFS($D$1:$D309,$D310,$E$1:$E309,$E310)&gt;0,INDEX(filter(G$1:G309,$D$1:$D309=$D310,$E$1:$E309=E310),1),""Selecciona..""))"),"")</f>
        <v/>
      </c>
      <c r="H310" s="4" t="str">
        <f>IF(D310="","",COUNTIF(Productos!G:G,C310))</f>
        <v/>
      </c>
      <c r="J310" s="90"/>
    </row>
    <row r="311">
      <c r="A311" s="2" t="str">
        <f t="shared" si="1"/>
        <v/>
      </c>
      <c r="B311" s="4"/>
      <c r="C311" s="4"/>
      <c r="D311" s="3" t="str">
        <f t="shared" si="2"/>
        <v/>
      </c>
      <c r="E311" s="4"/>
      <c r="F311" s="2" t="str">
        <f>IFERROR(__xludf.DUMMYFUNCTION("IF(E311="""","""",IF(COUNTIFS(D$1:D310,D311,E$1:E310,E311)&gt;0,INDEX(filter(F$1:F310,D$1:D310=D311,E$1:E310=E311),1),""Selecciona..""))"),"")</f>
        <v/>
      </c>
      <c r="G311" s="2" t="str">
        <f>IFERROR(__xludf.DUMMYFUNCTION("IF($E311="""","""",IF(COUNTIFS($D$1:$D310,$D311,$E$1:$E310,$E311)&gt;0,INDEX(filter(G$1:G310,$D$1:$D310=$D311,$E$1:$E310=E311),1),""Selecciona..""))"),"")</f>
        <v/>
      </c>
      <c r="H311" s="4" t="str">
        <f>IF(D311="","",COUNTIF(Productos!G:G,C311))</f>
        <v/>
      </c>
      <c r="J311" s="90"/>
    </row>
    <row r="312">
      <c r="A312" s="2" t="str">
        <f t="shared" si="1"/>
        <v/>
      </c>
      <c r="B312" s="4"/>
      <c r="C312" s="4"/>
      <c r="D312" s="3" t="str">
        <f t="shared" si="2"/>
        <v/>
      </c>
      <c r="E312" s="4"/>
      <c r="F312" s="2" t="str">
        <f>IFERROR(__xludf.DUMMYFUNCTION("IF(E312="""","""",IF(COUNTIFS(D$1:D311,D312,E$1:E311,E312)&gt;0,INDEX(filter(F$1:F311,D$1:D311=D312,E$1:E311=E312),1),""Selecciona..""))"),"")</f>
        <v/>
      </c>
      <c r="G312" s="2" t="str">
        <f>IFERROR(__xludf.DUMMYFUNCTION("IF($E312="""","""",IF(COUNTIFS($D$1:$D311,$D312,$E$1:$E311,$E312)&gt;0,INDEX(filter(G$1:G311,$D$1:$D311=$D312,$E$1:$E311=E312),1),""Selecciona..""))"),"")</f>
        <v/>
      </c>
      <c r="H312" s="4" t="str">
        <f>IF(D312="","",COUNTIF(Productos!G:G,C312))</f>
        <v/>
      </c>
      <c r="J312" s="90"/>
    </row>
    <row r="313">
      <c r="A313" s="2" t="str">
        <f t="shared" si="1"/>
        <v/>
      </c>
      <c r="B313" s="4"/>
      <c r="C313" s="4"/>
      <c r="D313" s="3" t="str">
        <f t="shared" si="2"/>
        <v/>
      </c>
      <c r="E313" s="4"/>
      <c r="F313" s="2" t="str">
        <f>IFERROR(__xludf.DUMMYFUNCTION("IF(E313="""","""",IF(COUNTIFS(D$1:D312,D313,E$1:E312,E313)&gt;0,INDEX(filter(F$1:F312,D$1:D312=D313,E$1:E312=E313),1),""Selecciona..""))"),"")</f>
        <v/>
      </c>
      <c r="G313" s="2" t="str">
        <f>IFERROR(__xludf.DUMMYFUNCTION("IF($E313="""","""",IF(COUNTIFS($D$1:$D312,$D313,$E$1:$E312,$E313)&gt;0,INDEX(filter(G$1:G312,$D$1:$D312=$D313,$E$1:$E312=E313),1),""Selecciona..""))"),"")</f>
        <v/>
      </c>
      <c r="H313" s="4" t="str">
        <f>IF(D313="","",COUNTIF(Productos!G:G,C313))</f>
        <v/>
      </c>
      <c r="J313" s="90"/>
    </row>
    <row r="314">
      <c r="A314" s="2" t="str">
        <f t="shared" si="1"/>
        <v/>
      </c>
      <c r="B314" s="4"/>
      <c r="C314" s="4"/>
      <c r="D314" s="3" t="str">
        <f t="shared" si="2"/>
        <v/>
      </c>
      <c r="E314" s="4"/>
      <c r="F314" s="2" t="str">
        <f>IFERROR(__xludf.DUMMYFUNCTION("IF(E314="""","""",IF(COUNTIFS(D$1:D313,D314,E$1:E313,E314)&gt;0,INDEX(filter(F$1:F313,D$1:D313=D314,E$1:E313=E314),1),""Selecciona..""))"),"")</f>
        <v/>
      </c>
      <c r="G314" s="2" t="str">
        <f>IFERROR(__xludf.DUMMYFUNCTION("IF($E314="""","""",IF(COUNTIFS($D$1:$D313,$D314,$E$1:$E313,$E314)&gt;0,INDEX(filter(G$1:G313,$D$1:$D313=$D314,$E$1:$E313=E314),1),""Selecciona..""))"),"")</f>
        <v/>
      </c>
      <c r="H314" s="4" t="str">
        <f>IF(D314="","",COUNTIF(Productos!G:G,C314))</f>
        <v/>
      </c>
      <c r="J314" s="90"/>
    </row>
    <row r="315">
      <c r="A315" s="2" t="str">
        <f t="shared" si="1"/>
        <v/>
      </c>
      <c r="B315" s="4"/>
      <c r="C315" s="4"/>
      <c r="D315" s="3" t="str">
        <f t="shared" si="2"/>
        <v/>
      </c>
      <c r="E315" s="4"/>
      <c r="F315" s="2" t="str">
        <f>IFERROR(__xludf.DUMMYFUNCTION("IF(E315="""","""",IF(COUNTIFS(D$1:D314,D315,E$1:E314,E315)&gt;0,INDEX(filter(F$1:F314,D$1:D314=D315,E$1:E314=E315),1),""Selecciona..""))"),"")</f>
        <v/>
      </c>
      <c r="G315" s="2" t="str">
        <f>IFERROR(__xludf.DUMMYFUNCTION("IF($E315="""","""",IF(COUNTIFS($D$1:$D314,$D315,$E$1:$E314,$E315)&gt;0,INDEX(filter(G$1:G314,$D$1:$D314=$D315,$E$1:$E314=E315),1),""Selecciona..""))"),"")</f>
        <v/>
      </c>
      <c r="H315" s="4" t="str">
        <f>IF(D315="","",COUNTIF(Productos!G:G,C315))</f>
        <v/>
      </c>
      <c r="J315" s="90"/>
    </row>
    <row r="316">
      <c r="A316" s="2" t="str">
        <f t="shared" si="1"/>
        <v/>
      </c>
      <c r="B316" s="4"/>
      <c r="C316" s="4"/>
      <c r="D316" s="3" t="str">
        <f t="shared" si="2"/>
        <v/>
      </c>
      <c r="E316" s="4"/>
      <c r="F316" s="2" t="str">
        <f>IFERROR(__xludf.DUMMYFUNCTION("IF(E316="""","""",IF(COUNTIFS(D$1:D315,D316,E$1:E315,E316)&gt;0,INDEX(filter(F$1:F315,D$1:D315=D316,E$1:E315=E316),1),""Selecciona..""))"),"")</f>
        <v/>
      </c>
      <c r="G316" s="2" t="str">
        <f>IFERROR(__xludf.DUMMYFUNCTION("IF($E316="""","""",IF(COUNTIFS($D$1:$D315,$D316,$E$1:$E315,$E316)&gt;0,INDEX(filter(G$1:G315,$D$1:$D315=$D316,$E$1:$E315=E316),1),""Selecciona..""))"),"")</f>
        <v/>
      </c>
      <c r="H316" s="4" t="str">
        <f>IF(D316="","",COUNTIF(Productos!G:G,C316))</f>
        <v/>
      </c>
      <c r="J316" s="90"/>
    </row>
    <row r="317">
      <c r="A317" s="2" t="str">
        <f t="shared" si="1"/>
        <v/>
      </c>
      <c r="B317" s="4"/>
      <c r="C317" s="4"/>
      <c r="D317" s="3" t="str">
        <f t="shared" si="2"/>
        <v/>
      </c>
      <c r="E317" s="4"/>
      <c r="F317" s="2" t="str">
        <f>IFERROR(__xludf.DUMMYFUNCTION("IF(E317="""","""",IF(COUNTIFS(D$1:D316,D317,E$1:E316,E317)&gt;0,INDEX(filter(F$1:F316,D$1:D316=D317,E$1:E316=E317),1),""Selecciona..""))"),"")</f>
        <v/>
      </c>
      <c r="G317" s="2" t="str">
        <f>IFERROR(__xludf.DUMMYFUNCTION("IF($E317="""","""",IF(COUNTIFS($D$1:$D316,$D317,$E$1:$E316,$E317)&gt;0,INDEX(filter(G$1:G316,$D$1:$D316=$D317,$E$1:$E316=E317),1),""Selecciona..""))"),"")</f>
        <v/>
      </c>
      <c r="H317" s="4" t="str">
        <f>IF(D317="","",COUNTIF(Productos!G:G,C317))</f>
        <v/>
      </c>
      <c r="J317" s="90"/>
    </row>
    <row r="318">
      <c r="A318" s="2" t="str">
        <f t="shared" si="1"/>
        <v/>
      </c>
      <c r="B318" s="4"/>
      <c r="C318" s="4"/>
      <c r="D318" s="3" t="str">
        <f t="shared" si="2"/>
        <v/>
      </c>
      <c r="E318" s="4"/>
      <c r="F318" s="2" t="str">
        <f>IFERROR(__xludf.DUMMYFUNCTION("IF(E318="""","""",IF(COUNTIFS(D$1:D317,D318,E$1:E317,E318)&gt;0,INDEX(filter(F$1:F317,D$1:D317=D318,E$1:E317=E318),1),""Selecciona..""))"),"")</f>
        <v/>
      </c>
      <c r="G318" s="2" t="str">
        <f>IFERROR(__xludf.DUMMYFUNCTION("IF($E318="""","""",IF(COUNTIFS($D$1:$D317,$D318,$E$1:$E317,$E318)&gt;0,INDEX(filter(G$1:G317,$D$1:$D317=$D318,$E$1:$E317=E318),1),""Selecciona..""))"),"")</f>
        <v/>
      </c>
      <c r="H318" s="4" t="str">
        <f>IF(D318="","",COUNTIF(Productos!G:G,C318))</f>
        <v/>
      </c>
      <c r="J318" s="90"/>
    </row>
    <row r="319">
      <c r="A319" s="2" t="str">
        <f t="shared" si="1"/>
        <v/>
      </c>
      <c r="B319" s="4"/>
      <c r="C319" s="4"/>
      <c r="D319" s="3" t="str">
        <f t="shared" si="2"/>
        <v/>
      </c>
      <c r="E319" s="4"/>
      <c r="F319" s="2" t="str">
        <f>IFERROR(__xludf.DUMMYFUNCTION("IF(E319="""","""",IF(COUNTIFS(D$1:D318,D319,E$1:E318,E319)&gt;0,INDEX(filter(F$1:F318,D$1:D318=D319,E$1:E318=E319),1),""Selecciona..""))"),"")</f>
        <v/>
      </c>
      <c r="G319" s="2" t="str">
        <f>IFERROR(__xludf.DUMMYFUNCTION("IF($E319="""","""",IF(COUNTIFS($D$1:$D318,$D319,$E$1:$E318,$E319)&gt;0,INDEX(filter(G$1:G318,$D$1:$D318=$D319,$E$1:$E318=E319),1),""Selecciona..""))"),"")</f>
        <v/>
      </c>
      <c r="H319" s="4" t="str">
        <f>IF(D319="","",COUNTIF(Productos!G:G,C319))</f>
        <v/>
      </c>
      <c r="J319" s="90"/>
    </row>
    <row r="320">
      <c r="A320" s="2" t="str">
        <f t="shared" si="1"/>
        <v/>
      </c>
      <c r="B320" s="4"/>
      <c r="C320" s="4"/>
      <c r="D320" s="3" t="str">
        <f t="shared" si="2"/>
        <v/>
      </c>
      <c r="E320" s="4"/>
      <c r="F320" s="2" t="str">
        <f>IFERROR(__xludf.DUMMYFUNCTION("IF(E320="""","""",IF(COUNTIFS(D$1:D319,D320,E$1:E319,E320)&gt;0,INDEX(filter(F$1:F319,D$1:D319=D320,E$1:E319=E320),1),""Selecciona..""))"),"")</f>
        <v/>
      </c>
      <c r="G320" s="2" t="str">
        <f>IFERROR(__xludf.DUMMYFUNCTION("IF($E320="""","""",IF(COUNTIFS($D$1:$D319,$D320,$E$1:$E319,$E320)&gt;0,INDEX(filter(G$1:G319,$D$1:$D319=$D320,$E$1:$E319=E320),1),""Selecciona..""))"),"")</f>
        <v/>
      </c>
      <c r="H320" s="4" t="str">
        <f>IF(D320="","",COUNTIF(Productos!G:G,C320))</f>
        <v/>
      </c>
      <c r="J320" s="90"/>
    </row>
    <row r="321">
      <c r="A321" s="2" t="str">
        <f t="shared" si="1"/>
        <v/>
      </c>
      <c r="B321" s="4"/>
      <c r="C321" s="4"/>
      <c r="D321" s="3" t="str">
        <f t="shared" si="2"/>
        <v/>
      </c>
      <c r="E321" s="4"/>
      <c r="F321" s="2" t="str">
        <f>IFERROR(__xludf.DUMMYFUNCTION("IF(E321="""","""",IF(COUNTIFS(D$1:D320,D321,E$1:E320,E321)&gt;0,INDEX(filter(F$1:F320,D$1:D320=D321,E$1:E320=E321),1),""Selecciona..""))"),"")</f>
        <v/>
      </c>
      <c r="G321" s="2" t="str">
        <f>IFERROR(__xludf.DUMMYFUNCTION("IF($E321="""","""",IF(COUNTIFS($D$1:$D320,$D321,$E$1:$E320,$E321)&gt;0,INDEX(filter(G$1:G320,$D$1:$D320=$D321,$E$1:$E320=E321),1),""Selecciona..""))"),"")</f>
        <v/>
      </c>
      <c r="H321" s="4" t="str">
        <f>IF(D321="","",COUNTIF(Productos!G:G,C321))</f>
        <v/>
      </c>
      <c r="J321" s="90"/>
    </row>
    <row r="322">
      <c r="A322" s="2" t="str">
        <f t="shared" si="1"/>
        <v/>
      </c>
      <c r="B322" s="4"/>
      <c r="C322" s="4"/>
      <c r="D322" s="3" t="str">
        <f t="shared" si="2"/>
        <v/>
      </c>
      <c r="E322" s="4"/>
      <c r="F322" s="2" t="str">
        <f>IFERROR(__xludf.DUMMYFUNCTION("IF(E322="""","""",IF(COUNTIFS(D$1:D321,D322,E$1:E321,E322)&gt;0,INDEX(filter(F$1:F321,D$1:D321=D322,E$1:E321=E322),1),""Selecciona..""))"),"")</f>
        <v/>
      </c>
      <c r="G322" s="2" t="str">
        <f>IFERROR(__xludf.DUMMYFUNCTION("IF($E322="""","""",IF(COUNTIFS($D$1:$D321,$D322,$E$1:$E321,$E322)&gt;0,INDEX(filter(G$1:G321,$D$1:$D321=$D322,$E$1:$E321=E322),1),""Selecciona..""))"),"")</f>
        <v/>
      </c>
      <c r="H322" s="4" t="str">
        <f>IF(D322="","",COUNTIF(Productos!G:G,C322))</f>
        <v/>
      </c>
      <c r="J322" s="90"/>
    </row>
    <row r="323">
      <c r="A323" s="2" t="str">
        <f t="shared" si="1"/>
        <v/>
      </c>
      <c r="B323" s="4"/>
      <c r="C323" s="4"/>
      <c r="D323" s="3" t="str">
        <f t="shared" si="2"/>
        <v/>
      </c>
      <c r="E323" s="4"/>
      <c r="F323" s="2" t="str">
        <f>IFERROR(__xludf.DUMMYFUNCTION("IF(E323="""","""",IF(COUNTIFS(D$1:D322,D323,E$1:E322,E323)&gt;0,INDEX(filter(F$1:F322,D$1:D322=D323,E$1:E322=E323),1),""Selecciona..""))"),"")</f>
        <v/>
      </c>
      <c r="G323" s="2" t="str">
        <f>IFERROR(__xludf.DUMMYFUNCTION("IF($E323="""","""",IF(COUNTIFS($D$1:$D322,$D323,$E$1:$E322,$E323)&gt;0,INDEX(filter(G$1:G322,$D$1:$D322=$D323,$E$1:$E322=E323),1),""Selecciona..""))"),"")</f>
        <v/>
      </c>
      <c r="H323" s="4" t="str">
        <f>IF(D323="","",COUNTIF(Productos!G:G,C323))</f>
        <v/>
      </c>
      <c r="J323" s="90"/>
    </row>
    <row r="324">
      <c r="A324" s="2" t="str">
        <f t="shared" si="1"/>
        <v/>
      </c>
      <c r="B324" s="4"/>
      <c r="C324" s="4"/>
      <c r="D324" s="3" t="str">
        <f t="shared" si="2"/>
        <v/>
      </c>
      <c r="E324" s="4"/>
      <c r="F324" s="2" t="str">
        <f>IFERROR(__xludf.DUMMYFUNCTION("IF(E324="""","""",IF(COUNTIFS(D$1:D323,D324,E$1:E323,E324)&gt;0,INDEX(filter(F$1:F323,D$1:D323=D324,E$1:E323=E324),1),""Selecciona..""))"),"")</f>
        <v/>
      </c>
      <c r="G324" s="2" t="str">
        <f>IFERROR(__xludf.DUMMYFUNCTION("IF($E324="""","""",IF(COUNTIFS($D$1:$D323,$D324,$E$1:$E323,$E324)&gt;0,INDEX(filter(G$1:G323,$D$1:$D323=$D324,$E$1:$E323=E324),1),""Selecciona..""))"),"")</f>
        <v/>
      </c>
      <c r="H324" s="4" t="str">
        <f>IF(D324="","",COUNTIF(Productos!G:G,C324))</f>
        <v/>
      </c>
      <c r="J324" s="90"/>
    </row>
    <row r="325">
      <c r="A325" s="2" t="str">
        <f t="shared" si="1"/>
        <v/>
      </c>
      <c r="B325" s="4"/>
      <c r="C325" s="4"/>
      <c r="D325" s="3" t="str">
        <f t="shared" si="2"/>
        <v/>
      </c>
      <c r="E325" s="4"/>
      <c r="F325" s="2" t="str">
        <f>IFERROR(__xludf.DUMMYFUNCTION("IF(E325="""","""",IF(COUNTIFS(D$1:D324,D325,E$1:E324,E325)&gt;0,INDEX(filter(F$1:F324,D$1:D324=D325,E$1:E324=E325),1),""Selecciona..""))"),"")</f>
        <v/>
      </c>
      <c r="G325" s="2" t="str">
        <f>IFERROR(__xludf.DUMMYFUNCTION("IF($E325="""","""",IF(COUNTIFS($D$1:$D324,$D325,$E$1:$E324,$E325)&gt;0,INDEX(filter(G$1:G324,$D$1:$D324=$D325,$E$1:$E324=E325),1),""Selecciona..""))"),"")</f>
        <v/>
      </c>
      <c r="H325" s="4" t="str">
        <f>IF(D325="","",COUNTIF(Productos!G:G,C325))</f>
        <v/>
      </c>
      <c r="J325" s="90"/>
    </row>
    <row r="326">
      <c r="A326" s="2" t="str">
        <f t="shared" si="1"/>
        <v/>
      </c>
      <c r="B326" s="4"/>
      <c r="C326" s="4"/>
      <c r="D326" s="3" t="str">
        <f t="shared" si="2"/>
        <v/>
      </c>
      <c r="E326" s="4"/>
      <c r="F326" s="2" t="str">
        <f>IFERROR(__xludf.DUMMYFUNCTION("IF(E326="""","""",IF(COUNTIFS(D$1:D325,D326,E$1:E325,E326)&gt;0,INDEX(filter(F$1:F325,D$1:D325=D326,E$1:E325=E326),1),""Selecciona..""))"),"")</f>
        <v/>
      </c>
      <c r="G326" s="2" t="str">
        <f>IFERROR(__xludf.DUMMYFUNCTION("IF($E326="""","""",IF(COUNTIFS($D$1:$D325,$D326,$E$1:$E325,$E326)&gt;0,INDEX(filter(G$1:G325,$D$1:$D325=$D326,$E$1:$E325=E326),1),""Selecciona..""))"),"")</f>
        <v/>
      </c>
      <c r="H326" s="4" t="str">
        <f>IF(D326="","",COUNTIF(Productos!G:G,C326))</f>
        <v/>
      </c>
      <c r="J326" s="90"/>
    </row>
    <row r="327">
      <c r="A327" s="2" t="str">
        <f t="shared" si="1"/>
        <v/>
      </c>
      <c r="B327" s="4"/>
      <c r="C327" s="4"/>
      <c r="D327" s="3" t="str">
        <f t="shared" si="2"/>
        <v/>
      </c>
      <c r="E327" s="4"/>
      <c r="F327" s="2" t="str">
        <f>IFERROR(__xludf.DUMMYFUNCTION("IF(E327="""","""",IF(COUNTIFS(D$1:D326,D327,E$1:E326,E327)&gt;0,INDEX(filter(F$1:F326,D$1:D326=D327,E$1:E326=E327),1),""Selecciona..""))"),"")</f>
        <v/>
      </c>
      <c r="G327" s="2" t="str">
        <f>IFERROR(__xludf.DUMMYFUNCTION("IF($E327="""","""",IF(COUNTIFS($D$1:$D326,$D327,$E$1:$E326,$E327)&gt;0,INDEX(filter(G$1:G326,$D$1:$D326=$D327,$E$1:$E326=E327),1),""Selecciona..""))"),"")</f>
        <v/>
      </c>
      <c r="H327" s="4" t="str">
        <f>IF(D327="","",COUNTIF(Productos!G:G,C327))</f>
        <v/>
      </c>
      <c r="J327" s="90"/>
    </row>
    <row r="328">
      <c r="A328" s="2" t="str">
        <f t="shared" si="1"/>
        <v/>
      </c>
      <c r="B328" s="4"/>
      <c r="C328" s="4"/>
      <c r="D328" s="3" t="str">
        <f t="shared" si="2"/>
        <v/>
      </c>
      <c r="E328" s="4"/>
      <c r="F328" s="2" t="str">
        <f>IFERROR(__xludf.DUMMYFUNCTION("IF(E328="""","""",IF(COUNTIFS(D$1:D327,D328,E$1:E327,E328)&gt;0,INDEX(filter(F$1:F327,D$1:D327=D328,E$1:E327=E328),1),""Selecciona..""))"),"")</f>
        <v/>
      </c>
      <c r="G328" s="2" t="str">
        <f>IFERROR(__xludf.DUMMYFUNCTION("IF($E328="""","""",IF(COUNTIFS($D$1:$D327,$D328,$E$1:$E327,$E328)&gt;0,INDEX(filter(G$1:G327,$D$1:$D327=$D328,$E$1:$E327=E328),1),""Selecciona..""))"),"")</f>
        <v/>
      </c>
      <c r="H328" s="4" t="str">
        <f>IF(D328="","",COUNTIF(Productos!G:G,C328))</f>
        <v/>
      </c>
      <c r="J328" s="90"/>
    </row>
    <row r="329">
      <c r="A329" s="2" t="str">
        <f t="shared" si="1"/>
        <v/>
      </c>
      <c r="B329" s="4"/>
      <c r="C329" s="4"/>
      <c r="D329" s="3" t="str">
        <f t="shared" si="2"/>
        <v/>
      </c>
      <c r="E329" s="4"/>
      <c r="F329" s="2" t="str">
        <f>IFERROR(__xludf.DUMMYFUNCTION("IF(E329="""","""",IF(COUNTIFS(D$1:D328,D329,E$1:E328,E329)&gt;0,INDEX(filter(F$1:F328,D$1:D328=D329,E$1:E328=E329),1),""Selecciona..""))"),"")</f>
        <v/>
      </c>
      <c r="G329" s="2" t="str">
        <f>IFERROR(__xludf.DUMMYFUNCTION("IF($E329="""","""",IF(COUNTIFS($D$1:$D328,$D329,$E$1:$E328,$E329)&gt;0,INDEX(filter(G$1:G328,$D$1:$D328=$D329,$E$1:$E328=E329),1),""Selecciona..""))"),"")</f>
        <v/>
      </c>
      <c r="H329" s="4" t="str">
        <f>IF(D329="","",COUNTIF(Productos!G:G,C329))</f>
        <v/>
      </c>
      <c r="J329" s="90"/>
    </row>
    <row r="330">
      <c r="A330" s="2" t="str">
        <f t="shared" si="1"/>
        <v/>
      </c>
      <c r="B330" s="4"/>
      <c r="C330" s="4"/>
      <c r="D330" s="3" t="str">
        <f t="shared" si="2"/>
        <v/>
      </c>
      <c r="E330" s="4"/>
      <c r="F330" s="2" t="str">
        <f>IFERROR(__xludf.DUMMYFUNCTION("IF(E330="""","""",IF(COUNTIFS(D$1:D329,D330,E$1:E329,E330)&gt;0,INDEX(filter(F$1:F329,D$1:D329=D330,E$1:E329=E330),1),""Selecciona..""))"),"")</f>
        <v/>
      </c>
      <c r="G330" s="2" t="str">
        <f>IFERROR(__xludf.DUMMYFUNCTION("IF($E330="""","""",IF(COUNTIFS($D$1:$D329,$D330,$E$1:$E329,$E330)&gt;0,INDEX(filter(G$1:G329,$D$1:$D329=$D330,$E$1:$E329=E330),1),""Selecciona..""))"),"")</f>
        <v/>
      </c>
      <c r="H330" s="4" t="str">
        <f>IF(D330="","",COUNTIF(Productos!G:G,C330))</f>
        <v/>
      </c>
      <c r="J330" s="90"/>
    </row>
    <row r="331">
      <c r="A331" s="2" t="str">
        <f t="shared" si="1"/>
        <v/>
      </c>
      <c r="B331" s="4"/>
      <c r="C331" s="4"/>
      <c r="D331" s="3" t="str">
        <f t="shared" si="2"/>
        <v/>
      </c>
      <c r="E331" s="4"/>
      <c r="F331" s="2" t="str">
        <f>IFERROR(__xludf.DUMMYFUNCTION("IF(E331="""","""",IF(COUNTIFS(D$1:D330,D331,E$1:E330,E331)&gt;0,INDEX(filter(F$1:F330,D$1:D330=D331,E$1:E330=E331),1),""Selecciona..""))"),"")</f>
        <v/>
      </c>
      <c r="G331" s="2" t="str">
        <f>IFERROR(__xludf.DUMMYFUNCTION("IF($E331="""","""",IF(COUNTIFS($D$1:$D330,$D331,$E$1:$E330,$E331)&gt;0,INDEX(filter(G$1:G330,$D$1:$D330=$D331,$E$1:$E330=E331),1),""Selecciona..""))"),"")</f>
        <v/>
      </c>
      <c r="H331" s="4" t="str">
        <f>IF(D331="","",COUNTIF(Productos!G:G,C331))</f>
        <v/>
      </c>
      <c r="J331" s="90"/>
    </row>
    <row r="332">
      <c r="A332" s="2" t="str">
        <f t="shared" si="1"/>
        <v/>
      </c>
      <c r="B332" s="4"/>
      <c r="C332" s="4"/>
      <c r="D332" s="3" t="str">
        <f t="shared" si="2"/>
        <v/>
      </c>
      <c r="E332" s="4"/>
      <c r="F332" s="2" t="str">
        <f>IFERROR(__xludf.DUMMYFUNCTION("IF(E332="""","""",IF(COUNTIFS(D$1:D331,D332,E$1:E331,E332)&gt;0,INDEX(filter(F$1:F331,D$1:D331=D332,E$1:E331=E332),1),""Selecciona..""))"),"")</f>
        <v/>
      </c>
      <c r="G332" s="2" t="str">
        <f>IFERROR(__xludf.DUMMYFUNCTION("IF($E332="""","""",IF(COUNTIFS($D$1:$D331,$D332,$E$1:$E331,$E332)&gt;0,INDEX(filter(G$1:G331,$D$1:$D331=$D332,$E$1:$E331=E332),1),""Selecciona..""))"),"")</f>
        <v/>
      </c>
      <c r="H332" s="4" t="str">
        <f>IF(D332="","",COUNTIF(Productos!G:G,C332))</f>
        <v/>
      </c>
      <c r="J332" s="90"/>
    </row>
    <row r="333">
      <c r="A333" s="2" t="str">
        <f t="shared" si="1"/>
        <v/>
      </c>
      <c r="B333" s="4"/>
      <c r="C333" s="4"/>
      <c r="D333" s="3" t="str">
        <f t="shared" si="2"/>
        <v/>
      </c>
      <c r="E333" s="4"/>
      <c r="F333" s="2" t="str">
        <f>IFERROR(__xludf.DUMMYFUNCTION("IF(E333="""","""",IF(COUNTIFS(D$1:D332,D333,E$1:E332,E333)&gt;0,INDEX(filter(F$1:F332,D$1:D332=D333,E$1:E332=E333),1),""Selecciona..""))"),"")</f>
        <v/>
      </c>
      <c r="G333" s="2" t="str">
        <f>IFERROR(__xludf.DUMMYFUNCTION("IF($E333="""","""",IF(COUNTIFS($D$1:$D332,$D333,$E$1:$E332,$E333)&gt;0,INDEX(filter(G$1:G332,$D$1:$D332=$D333,$E$1:$E332=E333),1),""Selecciona..""))"),"")</f>
        <v/>
      </c>
      <c r="H333" s="4" t="str">
        <f>IF(D333="","",COUNTIF(Productos!G:G,C333))</f>
        <v/>
      </c>
      <c r="J333" s="90"/>
    </row>
    <row r="334">
      <c r="A334" s="2" t="str">
        <f t="shared" si="1"/>
        <v/>
      </c>
      <c r="B334" s="4"/>
      <c r="C334" s="4"/>
      <c r="D334" s="3" t="str">
        <f t="shared" si="2"/>
        <v/>
      </c>
      <c r="E334" s="4"/>
      <c r="F334" s="2" t="str">
        <f>IFERROR(__xludf.DUMMYFUNCTION("IF(E334="""","""",IF(COUNTIFS(D$1:D333,D334,E$1:E333,E334)&gt;0,INDEX(filter(F$1:F333,D$1:D333=D334,E$1:E333=E334),1),""Selecciona..""))"),"")</f>
        <v/>
      </c>
      <c r="G334" s="2" t="str">
        <f>IFERROR(__xludf.DUMMYFUNCTION("IF($E334="""","""",IF(COUNTIFS($D$1:$D333,$D334,$E$1:$E333,$E334)&gt;0,INDEX(filter(G$1:G333,$D$1:$D333=$D334,$E$1:$E333=E334),1),""Selecciona..""))"),"")</f>
        <v/>
      </c>
      <c r="H334" s="4" t="str">
        <f>IF(D334="","",COUNTIF(Productos!G:G,C334))</f>
        <v/>
      </c>
      <c r="J334" s="90"/>
    </row>
    <row r="335">
      <c r="A335" s="2" t="str">
        <f t="shared" si="1"/>
        <v/>
      </c>
      <c r="B335" s="4"/>
      <c r="C335" s="4"/>
      <c r="D335" s="3" t="str">
        <f t="shared" si="2"/>
        <v/>
      </c>
      <c r="E335" s="4"/>
      <c r="F335" s="2" t="str">
        <f>IFERROR(__xludf.DUMMYFUNCTION("IF(E335="""","""",IF(COUNTIFS(D$1:D334,D335,E$1:E334,E335)&gt;0,INDEX(filter(F$1:F334,D$1:D334=D335,E$1:E334=E335),1),""Selecciona..""))"),"")</f>
        <v/>
      </c>
      <c r="G335" s="2" t="str">
        <f>IFERROR(__xludf.DUMMYFUNCTION("IF($E335="""","""",IF(COUNTIFS($D$1:$D334,$D335,$E$1:$E334,$E335)&gt;0,INDEX(filter(G$1:G334,$D$1:$D334=$D335,$E$1:$E334=E335),1),""Selecciona..""))"),"")</f>
        <v/>
      </c>
      <c r="H335" s="4" t="str">
        <f>IF(D335="","",COUNTIF(Productos!G:G,C335))</f>
        <v/>
      </c>
      <c r="J335" s="90"/>
    </row>
    <row r="336">
      <c r="A336" s="2" t="str">
        <f t="shared" si="1"/>
        <v/>
      </c>
      <c r="B336" s="4"/>
      <c r="C336" s="4"/>
      <c r="D336" s="3" t="str">
        <f t="shared" si="2"/>
        <v/>
      </c>
      <c r="E336" s="4"/>
      <c r="F336" s="2" t="str">
        <f>IFERROR(__xludf.DUMMYFUNCTION("IF(E336="""","""",IF(COUNTIFS(D$1:D335,D336,E$1:E335,E336)&gt;0,INDEX(filter(F$1:F335,D$1:D335=D336,E$1:E335=E336),1),""Selecciona..""))"),"")</f>
        <v/>
      </c>
      <c r="G336" s="2" t="str">
        <f>IFERROR(__xludf.DUMMYFUNCTION("IF($E336="""","""",IF(COUNTIFS($D$1:$D335,$D336,$E$1:$E335,$E336)&gt;0,INDEX(filter(G$1:G335,$D$1:$D335=$D336,$E$1:$E335=E336),1),""Selecciona..""))"),"")</f>
        <v/>
      </c>
      <c r="H336" s="4" t="str">
        <f>IF(D336="","",COUNTIF(Productos!G:G,C336))</f>
        <v/>
      </c>
      <c r="J336" s="90"/>
    </row>
    <row r="337">
      <c r="A337" s="2" t="str">
        <f t="shared" si="1"/>
        <v/>
      </c>
      <c r="B337" s="4"/>
      <c r="C337" s="4"/>
      <c r="D337" s="3" t="str">
        <f t="shared" si="2"/>
        <v/>
      </c>
      <c r="E337" s="4"/>
      <c r="F337" s="2" t="str">
        <f>IFERROR(__xludf.DUMMYFUNCTION("IF(E337="""","""",IF(COUNTIFS(D$1:D336,D337,E$1:E336,E337)&gt;0,INDEX(filter(F$1:F336,D$1:D336=D337,E$1:E336=E337),1),""Selecciona..""))"),"")</f>
        <v/>
      </c>
      <c r="G337" s="2" t="str">
        <f>IFERROR(__xludf.DUMMYFUNCTION("IF($E337="""","""",IF(COUNTIFS($D$1:$D336,$D337,$E$1:$E336,$E337)&gt;0,INDEX(filter(G$1:G336,$D$1:$D336=$D337,$E$1:$E336=E337),1),""Selecciona..""))"),"")</f>
        <v/>
      </c>
      <c r="H337" s="4" t="str">
        <f>IF(D337="","",COUNTIF(Productos!G:G,C337))</f>
        <v/>
      </c>
      <c r="J337" s="90"/>
    </row>
    <row r="338">
      <c r="A338" s="2" t="str">
        <f t="shared" si="1"/>
        <v/>
      </c>
      <c r="B338" s="4"/>
      <c r="C338" s="4"/>
      <c r="D338" s="3" t="str">
        <f t="shared" si="2"/>
        <v/>
      </c>
      <c r="E338" s="4"/>
      <c r="F338" s="2" t="str">
        <f>IFERROR(__xludf.DUMMYFUNCTION("IF(E338="""","""",IF(COUNTIFS(D$1:D337,D338,E$1:E337,E338)&gt;0,INDEX(filter(F$1:F337,D$1:D337=D338,E$1:E337=E338),1),""Selecciona..""))"),"")</f>
        <v/>
      </c>
      <c r="G338" s="2" t="str">
        <f>IFERROR(__xludf.DUMMYFUNCTION("IF($E338="""","""",IF(COUNTIFS($D$1:$D337,$D338,$E$1:$E337,$E338)&gt;0,INDEX(filter(G$1:G337,$D$1:$D337=$D338,$E$1:$E337=E338),1),""Selecciona..""))"),"")</f>
        <v/>
      </c>
      <c r="H338" s="4" t="str">
        <f>IF(D338="","",COUNTIF(Productos!G:G,C338))</f>
        <v/>
      </c>
      <c r="J338" s="90"/>
    </row>
    <row r="339">
      <c r="A339" s="2" t="str">
        <f t="shared" si="1"/>
        <v/>
      </c>
      <c r="B339" s="4"/>
      <c r="C339" s="4"/>
      <c r="D339" s="3" t="str">
        <f t="shared" si="2"/>
        <v/>
      </c>
      <c r="E339" s="4"/>
      <c r="F339" s="2" t="str">
        <f>IFERROR(__xludf.DUMMYFUNCTION("IF(E339="""","""",IF(COUNTIFS(D$1:D338,D339,E$1:E338,E339)&gt;0,INDEX(filter(F$1:F338,D$1:D338=D339,E$1:E338=E339),1),""Selecciona..""))"),"")</f>
        <v/>
      </c>
      <c r="G339" s="2" t="str">
        <f>IFERROR(__xludf.DUMMYFUNCTION("IF($E339="""","""",IF(COUNTIFS($D$1:$D338,$D339,$E$1:$E338,$E339)&gt;0,INDEX(filter(G$1:G338,$D$1:$D338=$D339,$E$1:$E338=E339),1),""Selecciona..""))"),"")</f>
        <v/>
      </c>
      <c r="H339" s="4" t="str">
        <f>IF(D339="","",COUNTIF(Productos!G:G,C339))</f>
        <v/>
      </c>
      <c r="J339" s="90"/>
    </row>
    <row r="340">
      <c r="A340" s="2" t="str">
        <f t="shared" si="1"/>
        <v/>
      </c>
      <c r="B340" s="4"/>
      <c r="C340" s="4"/>
      <c r="D340" s="3" t="str">
        <f t="shared" si="2"/>
        <v/>
      </c>
      <c r="E340" s="4"/>
      <c r="F340" s="2" t="str">
        <f>IFERROR(__xludf.DUMMYFUNCTION("IF(E340="""","""",IF(COUNTIFS(D$1:D339,D340,E$1:E339,E340)&gt;0,INDEX(filter(F$1:F339,D$1:D339=D340,E$1:E339=E340),1),""Selecciona..""))"),"")</f>
        <v/>
      </c>
      <c r="G340" s="2" t="str">
        <f>IFERROR(__xludf.DUMMYFUNCTION("IF($E340="""","""",IF(COUNTIFS($D$1:$D339,$D340,$E$1:$E339,$E340)&gt;0,INDEX(filter(G$1:G339,$D$1:$D339=$D340,$E$1:$E339=E340),1),""Selecciona..""))"),"")</f>
        <v/>
      </c>
      <c r="H340" s="4" t="str">
        <f>IF(D340="","",COUNTIF(Productos!G:G,C340))</f>
        <v/>
      </c>
      <c r="J340" s="90"/>
    </row>
    <row r="341">
      <c r="A341" s="2" t="str">
        <f t="shared" si="1"/>
        <v/>
      </c>
      <c r="B341" s="4"/>
      <c r="C341" s="4"/>
      <c r="D341" s="3" t="str">
        <f t="shared" si="2"/>
        <v/>
      </c>
      <c r="E341" s="4"/>
      <c r="F341" s="2" t="str">
        <f>IFERROR(__xludf.DUMMYFUNCTION("IF(E341="""","""",IF(COUNTIFS(D$1:D340,D341,E$1:E340,E341)&gt;0,INDEX(filter(F$1:F340,D$1:D340=D341,E$1:E340=E341),1),""Selecciona..""))"),"")</f>
        <v/>
      </c>
      <c r="G341" s="2" t="str">
        <f>IFERROR(__xludf.DUMMYFUNCTION("IF($E341="""","""",IF(COUNTIFS($D$1:$D340,$D341,$E$1:$E340,$E341)&gt;0,INDEX(filter(G$1:G340,$D$1:$D340=$D341,$E$1:$E340=E341),1),""Selecciona..""))"),"")</f>
        <v/>
      </c>
      <c r="H341" s="4" t="str">
        <f>IF(D341="","",COUNTIF(Productos!G:G,C341))</f>
        <v/>
      </c>
      <c r="J341" s="90"/>
    </row>
    <row r="342">
      <c r="A342" s="2" t="str">
        <f t="shared" si="1"/>
        <v/>
      </c>
      <c r="B342" s="4"/>
      <c r="C342" s="4"/>
      <c r="D342" s="3" t="str">
        <f t="shared" si="2"/>
        <v/>
      </c>
      <c r="E342" s="4"/>
      <c r="F342" s="2" t="str">
        <f>IFERROR(__xludf.DUMMYFUNCTION("IF(E342="""","""",IF(COUNTIFS(D$1:D341,D342,E$1:E341,E342)&gt;0,INDEX(filter(F$1:F341,D$1:D341=D342,E$1:E341=E342),1),""Selecciona..""))"),"")</f>
        <v/>
      </c>
      <c r="G342" s="2" t="str">
        <f>IFERROR(__xludf.DUMMYFUNCTION("IF($E342="""","""",IF(COUNTIFS($D$1:$D341,$D342,$E$1:$E341,$E342)&gt;0,INDEX(filter(G$1:G341,$D$1:$D341=$D342,$E$1:$E341=E342),1),""Selecciona..""))"),"")</f>
        <v/>
      </c>
      <c r="H342" s="4" t="str">
        <f>IF(D342="","",COUNTIF(Productos!G:G,C342))</f>
        <v/>
      </c>
      <c r="J342" s="90"/>
    </row>
    <row r="343">
      <c r="A343" s="2" t="str">
        <f t="shared" si="1"/>
        <v/>
      </c>
      <c r="B343" s="4"/>
      <c r="C343" s="4"/>
      <c r="D343" s="3" t="str">
        <f t="shared" si="2"/>
        <v/>
      </c>
      <c r="E343" s="4"/>
      <c r="F343" s="2" t="str">
        <f>IFERROR(__xludf.DUMMYFUNCTION("IF(E343="""","""",IF(COUNTIFS(D$1:D342,D343,E$1:E342,E343)&gt;0,INDEX(filter(F$1:F342,D$1:D342=D343,E$1:E342=E343),1),""Selecciona..""))"),"")</f>
        <v/>
      </c>
      <c r="G343" s="2" t="str">
        <f>IFERROR(__xludf.DUMMYFUNCTION("IF($E343="""","""",IF(COUNTIFS($D$1:$D342,$D343,$E$1:$E342,$E343)&gt;0,INDEX(filter(G$1:G342,$D$1:$D342=$D343,$E$1:$E342=E343),1),""Selecciona..""))"),"")</f>
        <v/>
      </c>
      <c r="H343" s="4" t="str">
        <f>IF(D343="","",COUNTIF(Productos!G:G,C343))</f>
        <v/>
      </c>
      <c r="J343" s="90"/>
    </row>
    <row r="344">
      <c r="A344" s="2" t="str">
        <f t="shared" si="1"/>
        <v/>
      </c>
      <c r="B344" s="4"/>
      <c r="C344" s="4"/>
      <c r="D344" s="3" t="str">
        <f t="shared" si="2"/>
        <v/>
      </c>
      <c r="E344" s="4"/>
      <c r="F344" s="2" t="str">
        <f>IFERROR(__xludf.DUMMYFUNCTION("IF(E344="""","""",IF(COUNTIFS(D$1:D343,D344,E$1:E343,E344)&gt;0,INDEX(filter(F$1:F343,D$1:D343=D344,E$1:E343=E344),1),""Selecciona..""))"),"")</f>
        <v/>
      </c>
      <c r="G344" s="2" t="str">
        <f>IFERROR(__xludf.DUMMYFUNCTION("IF($E344="""","""",IF(COUNTIFS($D$1:$D343,$D344,$E$1:$E343,$E344)&gt;0,INDEX(filter(G$1:G343,$D$1:$D343=$D344,$E$1:$E343=E344),1),""Selecciona..""))"),"")</f>
        <v/>
      </c>
      <c r="H344" s="4" t="str">
        <f>IF(D344="","",COUNTIF(Productos!G:G,C344))</f>
        <v/>
      </c>
      <c r="J344" s="90"/>
    </row>
    <row r="345">
      <c r="A345" s="2" t="str">
        <f t="shared" si="1"/>
        <v/>
      </c>
      <c r="B345" s="4"/>
      <c r="C345" s="4"/>
      <c r="D345" s="3" t="str">
        <f t="shared" si="2"/>
        <v/>
      </c>
      <c r="E345" s="4"/>
      <c r="F345" s="2" t="str">
        <f>IFERROR(__xludf.DUMMYFUNCTION("IF(E345="""","""",IF(COUNTIFS(D$1:D344,D345,E$1:E344,E345)&gt;0,INDEX(filter(F$1:F344,D$1:D344=D345,E$1:E344=E345),1),""Selecciona..""))"),"")</f>
        <v/>
      </c>
      <c r="G345" s="2" t="str">
        <f>IFERROR(__xludf.DUMMYFUNCTION("IF($E345="""","""",IF(COUNTIFS($D$1:$D344,$D345,$E$1:$E344,$E345)&gt;0,INDEX(filter(G$1:G344,$D$1:$D344=$D345,$E$1:$E344=E345),1),""Selecciona..""))"),"")</f>
        <v/>
      </c>
      <c r="H345" s="4" t="str">
        <f>IF(D345="","",COUNTIF(Productos!G:G,C345))</f>
        <v/>
      </c>
      <c r="J345" s="90"/>
    </row>
    <row r="346">
      <c r="A346" s="2" t="str">
        <f t="shared" si="1"/>
        <v/>
      </c>
      <c r="B346" s="4"/>
      <c r="C346" s="4"/>
      <c r="D346" s="3" t="str">
        <f t="shared" si="2"/>
        <v/>
      </c>
      <c r="E346" s="4"/>
      <c r="F346" s="2" t="str">
        <f>IFERROR(__xludf.DUMMYFUNCTION("IF(E346="""","""",IF(COUNTIFS(D$1:D345,D346,E$1:E345,E346)&gt;0,INDEX(filter(F$1:F345,D$1:D345=D346,E$1:E345=E346),1),""Selecciona..""))"),"")</f>
        <v/>
      </c>
      <c r="G346" s="2" t="str">
        <f>IFERROR(__xludf.DUMMYFUNCTION("IF($E346="""","""",IF(COUNTIFS($D$1:$D345,$D346,$E$1:$E345,$E346)&gt;0,INDEX(filter(G$1:G345,$D$1:$D345=$D346,$E$1:$E345=E346),1),""Selecciona..""))"),"")</f>
        <v/>
      </c>
      <c r="H346" s="4" t="str">
        <f>IF(D346="","",COUNTIF(Productos!G:G,C346))</f>
        <v/>
      </c>
      <c r="J346" s="90"/>
    </row>
    <row r="347">
      <c r="A347" s="2" t="str">
        <f t="shared" si="1"/>
        <v/>
      </c>
      <c r="B347" s="4"/>
      <c r="C347" s="4"/>
      <c r="D347" s="3" t="str">
        <f t="shared" si="2"/>
        <v/>
      </c>
      <c r="E347" s="4"/>
      <c r="F347" s="2" t="str">
        <f>IFERROR(__xludf.DUMMYFUNCTION("IF(E347="""","""",IF(COUNTIFS(D$1:D346,D347,E$1:E346,E347)&gt;0,INDEX(filter(F$1:F346,D$1:D346=D347,E$1:E346=E347),1),""Selecciona..""))"),"")</f>
        <v/>
      </c>
      <c r="G347" s="2" t="str">
        <f>IFERROR(__xludf.DUMMYFUNCTION("IF($E347="""","""",IF(COUNTIFS($D$1:$D346,$D347,$E$1:$E346,$E347)&gt;0,INDEX(filter(G$1:G346,$D$1:$D346=$D347,$E$1:$E346=E347),1),""Selecciona..""))"),"")</f>
        <v/>
      </c>
      <c r="H347" s="4" t="str">
        <f>IF(D347="","",COUNTIF(Productos!G:G,C347))</f>
        <v/>
      </c>
      <c r="J347" s="90"/>
    </row>
    <row r="348">
      <c r="A348" s="2" t="str">
        <f t="shared" si="1"/>
        <v/>
      </c>
      <c r="B348" s="4"/>
      <c r="C348" s="4"/>
      <c r="D348" s="3" t="str">
        <f t="shared" si="2"/>
        <v/>
      </c>
      <c r="E348" s="4"/>
      <c r="F348" s="2" t="str">
        <f>IFERROR(__xludf.DUMMYFUNCTION("IF(E348="""","""",IF(COUNTIFS(D$1:D347,D348,E$1:E347,E348)&gt;0,INDEX(filter(F$1:F347,D$1:D347=D348,E$1:E347=E348),1),""Selecciona..""))"),"")</f>
        <v/>
      </c>
      <c r="G348" s="2" t="str">
        <f>IFERROR(__xludf.DUMMYFUNCTION("IF($E348="""","""",IF(COUNTIFS($D$1:$D347,$D348,$E$1:$E347,$E348)&gt;0,INDEX(filter(G$1:G347,$D$1:$D347=$D348,$E$1:$E347=E348),1),""Selecciona..""))"),"")</f>
        <v/>
      </c>
      <c r="H348" s="4" t="str">
        <f>IF(D348="","",COUNTIF(Productos!G:G,C348))</f>
        <v/>
      </c>
      <c r="J348" s="90"/>
    </row>
    <row r="349">
      <c r="A349" s="2" t="str">
        <f t="shared" si="1"/>
        <v/>
      </c>
      <c r="B349" s="4"/>
      <c r="C349" s="4"/>
      <c r="D349" s="3" t="str">
        <f t="shared" si="2"/>
        <v/>
      </c>
      <c r="E349" s="4"/>
      <c r="F349" s="2" t="str">
        <f>IFERROR(__xludf.DUMMYFUNCTION("IF(E349="""","""",IF(COUNTIFS(D$1:D348,D349,E$1:E348,E349)&gt;0,INDEX(filter(F$1:F348,D$1:D348=D349,E$1:E348=E349),1),""Selecciona..""))"),"")</f>
        <v/>
      </c>
      <c r="G349" s="2" t="str">
        <f>IFERROR(__xludf.DUMMYFUNCTION("IF($E349="""","""",IF(COUNTIFS($D$1:$D348,$D349,$E$1:$E348,$E349)&gt;0,INDEX(filter(G$1:G348,$D$1:$D348=$D349,$E$1:$E348=E349),1),""Selecciona..""))"),"")</f>
        <v/>
      </c>
      <c r="H349" s="4" t="str">
        <f>IF(D349="","",COUNTIF(Productos!G:G,C349))</f>
        <v/>
      </c>
      <c r="J349" s="90"/>
    </row>
    <row r="350">
      <c r="A350" s="2" t="str">
        <f t="shared" si="1"/>
        <v/>
      </c>
      <c r="B350" s="4"/>
      <c r="C350" s="4"/>
      <c r="D350" s="3" t="str">
        <f t="shared" si="2"/>
        <v/>
      </c>
      <c r="E350" s="4"/>
      <c r="F350" s="2" t="str">
        <f>IFERROR(__xludf.DUMMYFUNCTION("IF(E350="""","""",IF(COUNTIFS(D$1:D349,D350,E$1:E349,E350)&gt;0,INDEX(filter(F$1:F349,D$1:D349=D350,E$1:E349=E350),1),""Selecciona..""))"),"")</f>
        <v/>
      </c>
      <c r="G350" s="2" t="str">
        <f>IFERROR(__xludf.DUMMYFUNCTION("IF($E350="""","""",IF(COUNTIFS($D$1:$D349,$D350,$E$1:$E349,$E350)&gt;0,INDEX(filter(G$1:G349,$D$1:$D349=$D350,$E$1:$E349=E350),1),""Selecciona..""))"),"")</f>
        <v/>
      </c>
      <c r="H350" s="4" t="str">
        <f>IF(D350="","",COUNTIF(Productos!G:G,C350))</f>
        <v/>
      </c>
      <c r="J350" s="90"/>
    </row>
    <row r="351">
      <c r="A351" s="2" t="str">
        <f t="shared" si="1"/>
        <v/>
      </c>
      <c r="B351" s="4"/>
      <c r="C351" s="4"/>
      <c r="D351" s="3" t="str">
        <f t="shared" si="2"/>
        <v/>
      </c>
      <c r="E351" s="4"/>
      <c r="F351" s="2" t="str">
        <f>IFERROR(__xludf.DUMMYFUNCTION("IF(E351="""","""",IF(COUNTIFS(D$1:D350,D351,E$1:E350,E351)&gt;0,INDEX(filter(F$1:F350,D$1:D350=D351,E$1:E350=E351),1),""Selecciona..""))"),"")</f>
        <v/>
      </c>
      <c r="G351" s="2" t="str">
        <f>IFERROR(__xludf.DUMMYFUNCTION("IF($E351="""","""",IF(COUNTIFS($D$1:$D350,$D351,$E$1:$E350,$E351)&gt;0,INDEX(filter(G$1:G350,$D$1:$D350=$D351,$E$1:$E350=E351),1),""Selecciona..""))"),"")</f>
        <v/>
      </c>
      <c r="H351" s="4" t="str">
        <f>IF(D351="","",COUNTIF(Productos!G:G,C351))</f>
        <v/>
      </c>
      <c r="J351" s="90"/>
    </row>
    <row r="352">
      <c r="A352" s="2" t="str">
        <f t="shared" si="1"/>
        <v/>
      </c>
      <c r="B352" s="4"/>
      <c r="C352" s="4"/>
      <c r="D352" s="3" t="str">
        <f t="shared" si="2"/>
        <v/>
      </c>
      <c r="E352" s="4"/>
      <c r="F352" s="2" t="str">
        <f>IFERROR(__xludf.DUMMYFUNCTION("IF(E352="""","""",IF(COUNTIFS(D$1:D351,D352,E$1:E351,E352)&gt;0,INDEX(filter(F$1:F351,D$1:D351=D352,E$1:E351=E352),1),""Selecciona..""))"),"")</f>
        <v/>
      </c>
      <c r="G352" s="2" t="str">
        <f>IFERROR(__xludf.DUMMYFUNCTION("IF($E352="""","""",IF(COUNTIFS($D$1:$D351,$D352,$E$1:$E351,$E352)&gt;0,INDEX(filter(G$1:G351,$D$1:$D351=$D352,$E$1:$E351=E352),1),""Selecciona..""))"),"")</f>
        <v/>
      </c>
      <c r="H352" s="4" t="str">
        <f>IF(D352="","",COUNTIF(Productos!G:G,C352))</f>
        <v/>
      </c>
      <c r="J352" s="90"/>
    </row>
    <row r="353">
      <c r="A353" s="2" t="str">
        <f t="shared" si="1"/>
        <v/>
      </c>
      <c r="B353" s="4"/>
      <c r="C353" s="4"/>
      <c r="D353" s="3" t="str">
        <f t="shared" si="2"/>
        <v/>
      </c>
      <c r="E353" s="4"/>
      <c r="F353" s="2" t="str">
        <f>IFERROR(__xludf.DUMMYFUNCTION("IF(E353="""","""",IF(COUNTIFS(D$1:D352,D353,E$1:E352,E353)&gt;0,INDEX(filter(F$1:F352,D$1:D352=D353,E$1:E352=E353),1),""Selecciona..""))"),"")</f>
        <v/>
      </c>
      <c r="G353" s="2" t="str">
        <f>IFERROR(__xludf.DUMMYFUNCTION("IF($E353="""","""",IF(COUNTIFS($D$1:$D352,$D353,$E$1:$E352,$E353)&gt;0,INDEX(filter(G$1:G352,$D$1:$D352=$D353,$E$1:$E352=E353),1),""Selecciona..""))"),"")</f>
        <v/>
      </c>
      <c r="H353" s="4" t="str">
        <f>IF(D353="","",COUNTIF(Productos!G:G,C353))</f>
        <v/>
      </c>
      <c r="J353" s="90"/>
    </row>
    <row r="354">
      <c r="A354" s="2" t="str">
        <f t="shared" si="1"/>
        <v/>
      </c>
      <c r="B354" s="4"/>
      <c r="C354" s="4"/>
      <c r="D354" s="3" t="str">
        <f t="shared" si="2"/>
        <v/>
      </c>
      <c r="E354" s="4"/>
      <c r="F354" s="2" t="str">
        <f>IFERROR(__xludf.DUMMYFUNCTION("IF(E354="""","""",IF(COUNTIFS(D$1:D353,D354,E$1:E353,E354)&gt;0,INDEX(filter(F$1:F353,D$1:D353=D354,E$1:E353=E354),1),""Selecciona..""))"),"")</f>
        <v/>
      </c>
      <c r="G354" s="2" t="str">
        <f>IFERROR(__xludf.DUMMYFUNCTION("IF($E354="""","""",IF(COUNTIFS($D$1:$D353,$D354,$E$1:$E353,$E354)&gt;0,INDEX(filter(G$1:G353,$D$1:$D353=$D354,$E$1:$E353=E354),1),""Selecciona..""))"),"")</f>
        <v/>
      </c>
      <c r="H354" s="4" t="str">
        <f>IF(D354="","",COUNTIF(Productos!G:G,C354))</f>
        <v/>
      </c>
      <c r="J354" s="90"/>
    </row>
    <row r="355">
      <c r="A355" s="2" t="str">
        <f t="shared" si="1"/>
        <v/>
      </c>
      <c r="B355" s="4"/>
      <c r="C355" s="4"/>
      <c r="D355" s="3" t="str">
        <f t="shared" si="2"/>
        <v/>
      </c>
      <c r="E355" s="4"/>
      <c r="F355" s="2" t="str">
        <f>IFERROR(__xludf.DUMMYFUNCTION("IF(E355="""","""",IF(COUNTIFS(D$1:D354,D355,E$1:E354,E355)&gt;0,INDEX(filter(F$1:F354,D$1:D354=D355,E$1:E354=E355),1),""Selecciona..""))"),"")</f>
        <v/>
      </c>
      <c r="G355" s="2" t="str">
        <f>IFERROR(__xludf.DUMMYFUNCTION("IF($E355="""","""",IF(COUNTIFS($D$1:$D354,$D355,$E$1:$E354,$E355)&gt;0,INDEX(filter(G$1:G354,$D$1:$D354=$D355,$E$1:$E354=E355),1),""Selecciona..""))"),"")</f>
        <v/>
      </c>
      <c r="H355" s="4" t="str">
        <f>IF(D355="","",COUNTIF(Productos!G:G,C355))</f>
        <v/>
      </c>
      <c r="J355" s="90"/>
    </row>
    <row r="356">
      <c r="A356" s="2" t="str">
        <f t="shared" si="1"/>
        <v/>
      </c>
      <c r="B356" s="4"/>
      <c r="C356" s="4"/>
      <c r="D356" s="3" t="str">
        <f t="shared" si="2"/>
        <v/>
      </c>
      <c r="E356" s="4"/>
      <c r="F356" s="2" t="str">
        <f>IFERROR(__xludf.DUMMYFUNCTION("IF(E356="""","""",IF(COUNTIFS(D$1:D355,D356,E$1:E355,E356)&gt;0,INDEX(filter(F$1:F355,D$1:D355=D356,E$1:E355=E356),1),""Selecciona..""))"),"")</f>
        <v/>
      </c>
      <c r="G356" s="2" t="str">
        <f>IFERROR(__xludf.DUMMYFUNCTION("IF($E356="""","""",IF(COUNTIFS($D$1:$D355,$D356,$E$1:$E355,$E356)&gt;0,INDEX(filter(G$1:G355,$D$1:$D355=$D356,$E$1:$E355=E356),1),""Selecciona..""))"),"")</f>
        <v/>
      </c>
      <c r="H356" s="4" t="str">
        <f>IF(D356="","",COUNTIF(Productos!G:G,C356))</f>
        <v/>
      </c>
      <c r="J356" s="90"/>
    </row>
    <row r="357">
      <c r="A357" s="2" t="str">
        <f t="shared" si="1"/>
        <v/>
      </c>
      <c r="B357" s="4"/>
      <c r="C357" s="4"/>
      <c r="D357" s="3" t="str">
        <f t="shared" si="2"/>
        <v/>
      </c>
      <c r="E357" s="4"/>
      <c r="F357" s="2" t="str">
        <f>IFERROR(__xludf.DUMMYFUNCTION("IF(E357="""","""",IF(COUNTIFS(D$1:D356,D357,E$1:E356,E357)&gt;0,INDEX(filter(F$1:F356,D$1:D356=D357,E$1:E356=E357),1),""Selecciona..""))"),"")</f>
        <v/>
      </c>
      <c r="G357" s="2" t="str">
        <f>IFERROR(__xludf.DUMMYFUNCTION("IF($E357="""","""",IF(COUNTIFS($D$1:$D356,$D357,$E$1:$E356,$E357)&gt;0,INDEX(filter(G$1:G356,$D$1:$D356=$D357,$E$1:$E356=E357),1),""Selecciona..""))"),"")</f>
        <v/>
      </c>
      <c r="H357" s="4" t="str">
        <f>IF(D357="","",COUNTIF(Productos!G:G,C357))</f>
        <v/>
      </c>
      <c r="J357" s="90"/>
    </row>
    <row r="358">
      <c r="A358" s="2" t="str">
        <f t="shared" si="1"/>
        <v/>
      </c>
      <c r="B358" s="4"/>
      <c r="C358" s="4"/>
      <c r="D358" s="3" t="str">
        <f t="shared" si="2"/>
        <v/>
      </c>
      <c r="E358" s="4"/>
      <c r="F358" s="2" t="str">
        <f>IFERROR(__xludf.DUMMYFUNCTION("IF(E358="""","""",IF(COUNTIFS(D$1:D357,D358,E$1:E357,E358)&gt;0,INDEX(filter(F$1:F357,D$1:D357=D358,E$1:E357=E358),1),""Selecciona..""))"),"")</f>
        <v/>
      </c>
      <c r="G358" s="2" t="str">
        <f>IFERROR(__xludf.DUMMYFUNCTION("IF($E358="""","""",IF(COUNTIFS($D$1:$D357,$D358,$E$1:$E357,$E358)&gt;0,INDEX(filter(G$1:G357,$D$1:$D357=$D358,$E$1:$E357=E358),1),""Selecciona..""))"),"")</f>
        <v/>
      </c>
      <c r="H358" s="4" t="str">
        <f>IF(D358="","",COUNTIF(Productos!G:G,C358))</f>
        <v/>
      </c>
      <c r="J358" s="90"/>
    </row>
    <row r="359">
      <c r="A359" s="2" t="str">
        <f t="shared" si="1"/>
        <v/>
      </c>
      <c r="B359" s="4"/>
      <c r="C359" s="4"/>
      <c r="D359" s="3" t="str">
        <f t="shared" si="2"/>
        <v/>
      </c>
      <c r="E359" s="4"/>
      <c r="F359" s="2" t="str">
        <f>IFERROR(__xludf.DUMMYFUNCTION("IF(E359="""","""",IF(COUNTIFS(D$1:D358,D359,E$1:E358,E359)&gt;0,INDEX(filter(F$1:F358,D$1:D358=D359,E$1:E358=E359),1),""Selecciona..""))"),"")</f>
        <v/>
      </c>
      <c r="G359" s="2" t="str">
        <f>IFERROR(__xludf.DUMMYFUNCTION("IF($E359="""","""",IF(COUNTIFS($D$1:$D358,$D359,$E$1:$E358,$E359)&gt;0,INDEX(filter(G$1:G358,$D$1:$D358=$D359,$E$1:$E358=E359),1),""Selecciona..""))"),"")</f>
        <v/>
      </c>
      <c r="H359" s="4" t="str">
        <f>IF(D359="","",COUNTIF(Productos!G:G,C359))</f>
        <v/>
      </c>
      <c r="J359" s="90"/>
    </row>
    <row r="360">
      <c r="A360" s="2" t="str">
        <f t="shared" si="1"/>
        <v/>
      </c>
      <c r="B360" s="4"/>
      <c r="C360" s="4"/>
      <c r="D360" s="3" t="str">
        <f t="shared" si="2"/>
        <v/>
      </c>
      <c r="E360" s="4"/>
      <c r="F360" s="2" t="str">
        <f>IFERROR(__xludf.DUMMYFUNCTION("IF(E360="""","""",IF(COUNTIFS(D$1:D359,D360,E$1:E359,E360)&gt;0,INDEX(filter(F$1:F359,D$1:D359=D360,E$1:E359=E360),1),""Selecciona..""))"),"")</f>
        <v/>
      </c>
      <c r="G360" s="2" t="str">
        <f>IFERROR(__xludf.DUMMYFUNCTION("IF($E360="""","""",IF(COUNTIFS($D$1:$D359,$D360,$E$1:$E359,$E360)&gt;0,INDEX(filter(G$1:G359,$D$1:$D359=$D360,$E$1:$E359=E360),1),""Selecciona..""))"),"")</f>
        <v/>
      </c>
      <c r="H360" s="4" t="str">
        <f>IF(D360="","",COUNTIF(Productos!G:G,C360))</f>
        <v/>
      </c>
      <c r="J360" s="90"/>
    </row>
    <row r="361">
      <c r="A361" s="2" t="str">
        <f t="shared" si="1"/>
        <v/>
      </c>
      <c r="B361" s="4"/>
      <c r="C361" s="4"/>
      <c r="D361" s="3" t="str">
        <f t="shared" si="2"/>
        <v/>
      </c>
      <c r="E361" s="4"/>
      <c r="F361" s="2" t="str">
        <f>IFERROR(__xludf.DUMMYFUNCTION("IF(E361="""","""",IF(COUNTIFS(D$1:D360,D361,E$1:E360,E361)&gt;0,INDEX(filter(F$1:F360,D$1:D360=D361,E$1:E360=E361),1),""Selecciona..""))"),"")</f>
        <v/>
      </c>
      <c r="G361" s="2" t="str">
        <f>IFERROR(__xludf.DUMMYFUNCTION("IF($E361="""","""",IF(COUNTIFS($D$1:$D360,$D361,$E$1:$E360,$E361)&gt;0,INDEX(filter(G$1:G360,$D$1:$D360=$D361,$E$1:$E360=E361),1),""Selecciona..""))"),"")</f>
        <v/>
      </c>
      <c r="H361" s="4" t="str">
        <f>IF(D361="","",COUNTIF(Productos!G:G,C361))</f>
        <v/>
      </c>
      <c r="J361" s="90"/>
    </row>
    <row r="362">
      <c r="A362" s="2" t="str">
        <f t="shared" si="1"/>
        <v/>
      </c>
      <c r="B362" s="4"/>
      <c r="C362" s="4"/>
      <c r="D362" s="3" t="str">
        <f t="shared" si="2"/>
        <v/>
      </c>
      <c r="E362" s="4"/>
      <c r="F362" s="2" t="str">
        <f>IFERROR(__xludf.DUMMYFUNCTION("IF(E362="""","""",IF(COUNTIFS(D$1:D361,D362,E$1:E361,E362)&gt;0,INDEX(filter(F$1:F361,D$1:D361=D362,E$1:E361=E362),1),""Selecciona..""))"),"")</f>
        <v/>
      </c>
      <c r="G362" s="2" t="str">
        <f>IFERROR(__xludf.DUMMYFUNCTION("IF($E362="""","""",IF(COUNTIFS($D$1:$D361,$D362,$E$1:$E361,$E362)&gt;0,INDEX(filter(G$1:G361,$D$1:$D361=$D362,$E$1:$E361=E362),1),""Selecciona..""))"),"")</f>
        <v/>
      </c>
      <c r="H362" s="4" t="str">
        <f>IF(D362="","",COUNTIF(Productos!G:G,C362))</f>
        <v/>
      </c>
      <c r="J362" s="90"/>
    </row>
    <row r="363">
      <c r="A363" s="2" t="str">
        <f t="shared" si="1"/>
        <v/>
      </c>
      <c r="B363" s="4"/>
      <c r="C363" s="4"/>
      <c r="D363" s="3" t="str">
        <f t="shared" si="2"/>
        <v/>
      </c>
      <c r="E363" s="4"/>
      <c r="F363" s="2" t="str">
        <f>IFERROR(__xludf.DUMMYFUNCTION("IF(E363="""","""",IF(COUNTIFS(D$1:D362,D363,E$1:E362,E363)&gt;0,INDEX(filter(F$1:F362,D$1:D362=D363,E$1:E362=E363),1),""Selecciona..""))"),"")</f>
        <v/>
      </c>
      <c r="G363" s="2" t="str">
        <f>IFERROR(__xludf.DUMMYFUNCTION("IF($E363="""","""",IF(COUNTIFS($D$1:$D362,$D363,$E$1:$E362,$E363)&gt;0,INDEX(filter(G$1:G362,$D$1:$D362=$D363,$E$1:$E362=E363),1),""Selecciona..""))"),"")</f>
        <v/>
      </c>
      <c r="H363" s="4" t="str">
        <f>IF(D363="","",COUNTIF(Productos!G:G,C363))</f>
        <v/>
      </c>
      <c r="J363" s="90"/>
    </row>
    <row r="364">
      <c r="A364" s="2" t="str">
        <f t="shared" si="1"/>
        <v/>
      </c>
      <c r="B364" s="4"/>
      <c r="C364" s="4"/>
      <c r="D364" s="3" t="str">
        <f t="shared" si="2"/>
        <v/>
      </c>
      <c r="E364" s="4"/>
      <c r="F364" s="2" t="str">
        <f>IFERROR(__xludf.DUMMYFUNCTION("IF(E364="""","""",IF(COUNTIFS(D$1:D363,D364,E$1:E363,E364)&gt;0,INDEX(filter(F$1:F363,D$1:D363=D364,E$1:E363=E364),1),""Selecciona..""))"),"")</f>
        <v/>
      </c>
      <c r="G364" s="2" t="str">
        <f>IFERROR(__xludf.DUMMYFUNCTION("IF($E364="""","""",IF(COUNTIFS($D$1:$D363,$D364,$E$1:$E363,$E364)&gt;0,INDEX(filter(G$1:G363,$D$1:$D363=$D364,$E$1:$E363=E364),1),""Selecciona..""))"),"")</f>
        <v/>
      </c>
      <c r="H364" s="4" t="str">
        <f>IF(D364="","",COUNTIF(Productos!G:G,C364))</f>
        <v/>
      </c>
      <c r="J364" s="90"/>
    </row>
    <row r="365">
      <c r="A365" s="2" t="str">
        <f t="shared" si="1"/>
        <v/>
      </c>
      <c r="B365" s="4"/>
      <c r="C365" s="4"/>
      <c r="D365" s="3" t="str">
        <f t="shared" si="2"/>
        <v/>
      </c>
      <c r="E365" s="4"/>
      <c r="F365" s="2" t="str">
        <f>IFERROR(__xludf.DUMMYFUNCTION("IF(E365="""","""",IF(COUNTIFS(D$1:D364,D365,E$1:E364,E365)&gt;0,INDEX(filter(F$1:F364,D$1:D364=D365,E$1:E364=E365),1),""Selecciona..""))"),"")</f>
        <v/>
      </c>
      <c r="G365" s="2" t="str">
        <f>IFERROR(__xludf.DUMMYFUNCTION("IF($E365="""","""",IF(COUNTIFS($D$1:$D364,$D365,$E$1:$E364,$E365)&gt;0,INDEX(filter(G$1:G364,$D$1:$D364=$D365,$E$1:$E364=E365),1),""Selecciona..""))"),"")</f>
        <v/>
      </c>
      <c r="H365" s="4" t="str">
        <f>IF(D365="","",COUNTIF(Productos!G:G,C365))</f>
        <v/>
      </c>
      <c r="J365" s="90"/>
    </row>
    <row r="366">
      <c r="A366" s="2" t="str">
        <f t="shared" si="1"/>
        <v/>
      </c>
      <c r="B366" s="4"/>
      <c r="C366" s="4"/>
      <c r="D366" s="3" t="str">
        <f t="shared" si="2"/>
        <v/>
      </c>
      <c r="E366" s="4"/>
      <c r="F366" s="2" t="str">
        <f>IFERROR(__xludf.DUMMYFUNCTION("IF(E366="""","""",IF(COUNTIFS(D$1:D365,D366,E$1:E365,E366)&gt;0,INDEX(filter(F$1:F365,D$1:D365=D366,E$1:E365=E366),1),""Selecciona..""))"),"")</f>
        <v/>
      </c>
      <c r="G366" s="2" t="str">
        <f>IFERROR(__xludf.DUMMYFUNCTION("IF($E366="""","""",IF(COUNTIFS($D$1:$D365,$D366,$E$1:$E365,$E366)&gt;0,INDEX(filter(G$1:G365,$D$1:$D365=$D366,$E$1:$E365=E366),1),""Selecciona..""))"),"")</f>
        <v/>
      </c>
      <c r="H366" s="4" t="str">
        <f>IF(D366="","",COUNTIF(Productos!G:G,C366))</f>
        <v/>
      </c>
      <c r="J366" s="90"/>
    </row>
    <row r="367">
      <c r="A367" s="2" t="str">
        <f t="shared" si="1"/>
        <v/>
      </c>
      <c r="B367" s="4"/>
      <c r="C367" s="4"/>
      <c r="D367" s="3" t="str">
        <f t="shared" si="2"/>
        <v/>
      </c>
      <c r="E367" s="4"/>
      <c r="F367" s="2" t="str">
        <f>IFERROR(__xludf.DUMMYFUNCTION("IF(E367="""","""",IF(COUNTIFS(D$1:D366,D367,E$1:E366,E367)&gt;0,INDEX(filter(F$1:F366,D$1:D366=D367,E$1:E366=E367),1),""Selecciona..""))"),"")</f>
        <v/>
      </c>
      <c r="G367" s="2" t="str">
        <f>IFERROR(__xludf.DUMMYFUNCTION("IF($E367="""","""",IF(COUNTIFS($D$1:$D366,$D367,$E$1:$E366,$E367)&gt;0,INDEX(filter(G$1:G366,$D$1:$D366=$D367,$E$1:$E366=E367),1),""Selecciona..""))"),"")</f>
        <v/>
      </c>
      <c r="H367" s="4" t="str">
        <f>IF(D367="","",COUNTIF(Productos!G:G,C367))</f>
        <v/>
      </c>
      <c r="J367" s="90"/>
    </row>
    <row r="368">
      <c r="A368" s="2" t="str">
        <f t="shared" si="1"/>
        <v/>
      </c>
      <c r="B368" s="4"/>
      <c r="C368" s="4"/>
      <c r="D368" s="3" t="str">
        <f t="shared" si="2"/>
        <v/>
      </c>
      <c r="E368" s="4"/>
      <c r="F368" s="2" t="str">
        <f>IFERROR(__xludf.DUMMYFUNCTION("IF(E368="""","""",IF(COUNTIFS(D$1:D367,D368,E$1:E367,E368)&gt;0,INDEX(filter(F$1:F367,D$1:D367=D368,E$1:E367=E368),1),""Selecciona..""))"),"")</f>
        <v/>
      </c>
      <c r="G368" s="2" t="str">
        <f>IFERROR(__xludf.DUMMYFUNCTION("IF($E368="""","""",IF(COUNTIFS($D$1:$D367,$D368,$E$1:$E367,$E368)&gt;0,INDEX(filter(G$1:G367,$D$1:$D367=$D368,$E$1:$E367=E368),1),""Selecciona..""))"),"")</f>
        <v/>
      </c>
      <c r="H368" s="4" t="str">
        <f>IF(D368="","",COUNTIF(Productos!G:G,C368))</f>
        <v/>
      </c>
      <c r="J368" s="90"/>
    </row>
    <row r="369">
      <c r="A369" s="2" t="str">
        <f t="shared" si="1"/>
        <v/>
      </c>
      <c r="B369" s="4"/>
      <c r="C369" s="4"/>
      <c r="D369" s="3" t="str">
        <f t="shared" si="2"/>
        <v/>
      </c>
      <c r="E369" s="4"/>
      <c r="F369" s="2" t="str">
        <f>IFERROR(__xludf.DUMMYFUNCTION("IF(E369="""","""",IF(COUNTIFS(D$1:D368,D369,E$1:E368,E369)&gt;0,INDEX(filter(F$1:F368,D$1:D368=D369,E$1:E368=E369),1),""Selecciona..""))"),"")</f>
        <v/>
      </c>
      <c r="G369" s="2" t="str">
        <f>IFERROR(__xludf.DUMMYFUNCTION("IF($E369="""","""",IF(COUNTIFS($D$1:$D368,$D369,$E$1:$E368,$E369)&gt;0,INDEX(filter(G$1:G368,$D$1:$D368=$D369,$E$1:$E368=E369),1),""Selecciona..""))"),"")</f>
        <v/>
      </c>
      <c r="H369" s="4" t="str">
        <f>IF(D369="","",COUNTIF(Productos!G:G,C369))</f>
        <v/>
      </c>
      <c r="J369" s="90"/>
    </row>
    <row r="370">
      <c r="A370" s="2" t="str">
        <f t="shared" si="1"/>
        <v/>
      </c>
      <c r="B370" s="4"/>
      <c r="C370" s="4"/>
      <c r="D370" s="3" t="str">
        <f t="shared" si="2"/>
        <v/>
      </c>
      <c r="E370" s="4"/>
      <c r="F370" s="2" t="str">
        <f>IFERROR(__xludf.DUMMYFUNCTION("IF(E370="""","""",IF(COUNTIFS(D$1:D369,D370,E$1:E369,E370)&gt;0,INDEX(filter(F$1:F369,D$1:D369=D370,E$1:E369=E370),1),""Selecciona..""))"),"")</f>
        <v/>
      </c>
      <c r="G370" s="2" t="str">
        <f>IFERROR(__xludf.DUMMYFUNCTION("IF($E370="""","""",IF(COUNTIFS($D$1:$D369,$D370,$E$1:$E369,$E370)&gt;0,INDEX(filter(G$1:G369,$D$1:$D369=$D370,$E$1:$E369=E370),1),""Selecciona..""))"),"")</f>
        <v/>
      </c>
      <c r="H370" s="4" t="str">
        <f>IF(D370="","",COUNTIF(Productos!G:G,C370))</f>
        <v/>
      </c>
      <c r="J370" s="90"/>
    </row>
    <row r="371">
      <c r="A371" s="2" t="str">
        <f t="shared" si="1"/>
        <v/>
      </c>
      <c r="B371" s="4"/>
      <c r="C371" s="4"/>
      <c r="D371" s="3" t="str">
        <f t="shared" si="2"/>
        <v/>
      </c>
      <c r="E371" s="4"/>
      <c r="F371" s="2" t="str">
        <f>IFERROR(__xludf.DUMMYFUNCTION("IF(E371="""","""",IF(COUNTIFS(D$1:D370,D371,E$1:E370,E371)&gt;0,INDEX(filter(F$1:F370,D$1:D370=D371,E$1:E370=E371),1),""Selecciona..""))"),"")</f>
        <v/>
      </c>
      <c r="G371" s="2" t="str">
        <f>IFERROR(__xludf.DUMMYFUNCTION("IF($E371="""","""",IF(COUNTIFS($D$1:$D370,$D371,$E$1:$E370,$E371)&gt;0,INDEX(filter(G$1:G370,$D$1:$D370=$D371,$E$1:$E370=E371),1),""Selecciona..""))"),"")</f>
        <v/>
      </c>
      <c r="H371" s="4" t="str">
        <f>IF(D371="","",COUNTIF(Productos!G:G,C371))</f>
        <v/>
      </c>
      <c r="J371" s="90"/>
    </row>
    <row r="372">
      <c r="A372" s="2" t="str">
        <f t="shared" si="1"/>
        <v/>
      </c>
      <c r="B372" s="4"/>
      <c r="C372" s="4"/>
      <c r="D372" s="3" t="str">
        <f t="shared" si="2"/>
        <v/>
      </c>
      <c r="E372" s="4"/>
      <c r="F372" s="2" t="str">
        <f>IFERROR(__xludf.DUMMYFUNCTION("IF(E372="""","""",IF(COUNTIFS(D$1:D371,D372,E$1:E371,E372)&gt;0,INDEX(filter(F$1:F371,D$1:D371=D372,E$1:E371=E372),1),""Selecciona..""))"),"")</f>
        <v/>
      </c>
      <c r="G372" s="2" t="str">
        <f>IFERROR(__xludf.DUMMYFUNCTION("IF($E372="""","""",IF(COUNTIFS($D$1:$D371,$D372,$E$1:$E371,$E372)&gt;0,INDEX(filter(G$1:G371,$D$1:$D371=$D372,$E$1:$E371=E372),1),""Selecciona..""))"),"")</f>
        <v/>
      </c>
      <c r="H372" s="4" t="str">
        <f>IF(D372="","",COUNTIF(Productos!G:G,C372))</f>
        <v/>
      </c>
      <c r="J372" s="90"/>
    </row>
    <row r="373">
      <c r="A373" s="2" t="str">
        <f t="shared" si="1"/>
        <v/>
      </c>
      <c r="B373" s="4"/>
      <c r="C373" s="4"/>
      <c r="D373" s="3" t="str">
        <f t="shared" si="2"/>
        <v/>
      </c>
      <c r="E373" s="4"/>
      <c r="F373" s="2" t="str">
        <f>IFERROR(__xludf.DUMMYFUNCTION("IF(E373="""","""",IF(COUNTIFS(D$1:D372,D373,E$1:E372,E373)&gt;0,INDEX(filter(F$1:F372,D$1:D372=D373,E$1:E372=E373),1),""Selecciona..""))"),"")</f>
        <v/>
      </c>
      <c r="G373" s="2" t="str">
        <f>IFERROR(__xludf.DUMMYFUNCTION("IF($E373="""","""",IF(COUNTIFS($D$1:$D372,$D373,$E$1:$E372,$E373)&gt;0,INDEX(filter(G$1:G372,$D$1:$D372=$D373,$E$1:$E372=E373),1),""Selecciona..""))"),"")</f>
        <v/>
      </c>
      <c r="H373" s="4" t="str">
        <f>IF(D373="","",COUNTIF(Productos!G:G,C373))</f>
        <v/>
      </c>
      <c r="J373" s="90"/>
    </row>
    <row r="374">
      <c r="A374" s="2" t="str">
        <f t="shared" si="1"/>
        <v/>
      </c>
      <c r="B374" s="4"/>
      <c r="C374" s="4"/>
      <c r="D374" s="3" t="str">
        <f t="shared" si="2"/>
        <v/>
      </c>
      <c r="E374" s="4"/>
      <c r="F374" s="2" t="str">
        <f>IFERROR(__xludf.DUMMYFUNCTION("IF(E374="""","""",IF(COUNTIFS(D$1:D373,D374,E$1:E373,E374)&gt;0,INDEX(filter(F$1:F373,D$1:D373=D374,E$1:E373=E374),1),""Selecciona..""))"),"")</f>
        <v/>
      </c>
      <c r="G374" s="2" t="str">
        <f>IFERROR(__xludf.DUMMYFUNCTION("IF($E374="""","""",IF(COUNTIFS($D$1:$D373,$D374,$E$1:$E373,$E374)&gt;0,INDEX(filter(G$1:G373,$D$1:$D373=$D374,$E$1:$E373=E374),1),""Selecciona..""))"),"")</f>
        <v/>
      </c>
      <c r="H374" s="4" t="str">
        <f>IF(D374="","",COUNTIF(Productos!G:G,C374))</f>
        <v/>
      </c>
      <c r="J374" s="90"/>
    </row>
    <row r="375">
      <c r="A375" s="2" t="str">
        <f t="shared" si="1"/>
        <v/>
      </c>
      <c r="B375" s="4"/>
      <c r="C375" s="4"/>
      <c r="D375" s="3" t="str">
        <f t="shared" si="2"/>
        <v/>
      </c>
      <c r="E375" s="4"/>
      <c r="F375" s="2" t="str">
        <f>IFERROR(__xludf.DUMMYFUNCTION("IF(E375="""","""",IF(COUNTIFS(D$1:D374,D375,E$1:E374,E375)&gt;0,INDEX(filter(F$1:F374,D$1:D374=D375,E$1:E374=E375),1),""Selecciona..""))"),"")</f>
        <v/>
      </c>
      <c r="G375" s="2" t="str">
        <f>IFERROR(__xludf.DUMMYFUNCTION("IF($E375="""","""",IF(COUNTIFS($D$1:$D374,$D375,$E$1:$E374,$E375)&gt;0,INDEX(filter(G$1:G374,$D$1:$D374=$D375,$E$1:$E374=E375),1),""Selecciona..""))"),"")</f>
        <v/>
      </c>
      <c r="H375" s="4" t="str">
        <f>IF(D375="","",COUNTIF(Productos!G:G,C375))</f>
        <v/>
      </c>
      <c r="J375" s="90"/>
    </row>
    <row r="376">
      <c r="A376" s="2" t="str">
        <f t="shared" si="1"/>
        <v/>
      </c>
      <c r="B376" s="4"/>
      <c r="C376" s="4"/>
      <c r="D376" s="3" t="str">
        <f t="shared" si="2"/>
        <v/>
      </c>
      <c r="E376" s="4"/>
      <c r="F376" s="2" t="str">
        <f>IFERROR(__xludf.DUMMYFUNCTION("IF(E376="""","""",IF(COUNTIFS(D$1:D375,D376,E$1:E375,E376)&gt;0,INDEX(filter(F$1:F375,D$1:D375=D376,E$1:E375=E376),1),""Selecciona..""))"),"")</f>
        <v/>
      </c>
      <c r="G376" s="2" t="str">
        <f>IFERROR(__xludf.DUMMYFUNCTION("IF($E376="""","""",IF(COUNTIFS($D$1:$D375,$D376,$E$1:$E375,$E376)&gt;0,INDEX(filter(G$1:G375,$D$1:$D375=$D376,$E$1:$E375=E376),1),""Selecciona..""))"),"")</f>
        <v/>
      </c>
      <c r="H376" s="4" t="str">
        <f>IF(D376="","",COUNTIF(Productos!G:G,C376))</f>
        <v/>
      </c>
      <c r="J376" s="90"/>
    </row>
    <row r="377">
      <c r="A377" s="2" t="str">
        <f t="shared" si="1"/>
        <v/>
      </c>
      <c r="B377" s="4"/>
      <c r="C377" s="4"/>
      <c r="D377" s="3" t="str">
        <f t="shared" si="2"/>
        <v/>
      </c>
      <c r="E377" s="4"/>
      <c r="F377" s="2" t="str">
        <f>IFERROR(__xludf.DUMMYFUNCTION("IF(E377="""","""",IF(COUNTIFS(D$1:D376,D377,E$1:E376,E377)&gt;0,INDEX(filter(F$1:F376,D$1:D376=D377,E$1:E376=E377),1),""Selecciona..""))"),"")</f>
        <v/>
      </c>
      <c r="G377" s="2" t="str">
        <f>IFERROR(__xludf.DUMMYFUNCTION("IF($E377="""","""",IF(COUNTIFS($D$1:$D376,$D377,$E$1:$E376,$E377)&gt;0,INDEX(filter(G$1:G376,$D$1:$D376=$D377,$E$1:$E376=E377),1),""Selecciona..""))"),"")</f>
        <v/>
      </c>
      <c r="H377" s="4" t="str">
        <f>IF(D377="","",COUNTIF(Productos!G:G,C377))</f>
        <v/>
      </c>
      <c r="J377" s="90"/>
    </row>
    <row r="378">
      <c r="A378" s="2" t="str">
        <f t="shared" si="1"/>
        <v/>
      </c>
      <c r="B378" s="4"/>
      <c r="C378" s="4"/>
      <c r="D378" s="3" t="str">
        <f t="shared" si="2"/>
        <v/>
      </c>
      <c r="E378" s="4"/>
      <c r="F378" s="2" t="str">
        <f>IFERROR(__xludf.DUMMYFUNCTION("IF(E378="""","""",IF(COUNTIFS(D$1:D377,D378,E$1:E377,E378)&gt;0,INDEX(filter(F$1:F377,D$1:D377=D378,E$1:E377=E378),1),""Selecciona..""))"),"")</f>
        <v/>
      </c>
      <c r="G378" s="2" t="str">
        <f>IFERROR(__xludf.DUMMYFUNCTION("IF($E378="""","""",IF(COUNTIFS($D$1:$D377,$D378,$E$1:$E377,$E378)&gt;0,INDEX(filter(G$1:G377,$D$1:$D377=$D378,$E$1:$E377=E378),1),""Selecciona..""))"),"")</f>
        <v/>
      </c>
      <c r="H378" s="4" t="str">
        <f>IF(D378="","",COUNTIF(Productos!G:G,C378))</f>
        <v/>
      </c>
      <c r="J378" s="90"/>
    </row>
    <row r="379">
      <c r="A379" s="2" t="str">
        <f t="shared" si="1"/>
        <v/>
      </c>
      <c r="B379" s="4"/>
      <c r="C379" s="4"/>
      <c r="D379" s="3" t="str">
        <f t="shared" si="2"/>
        <v/>
      </c>
      <c r="E379" s="4"/>
      <c r="F379" s="2" t="str">
        <f>IFERROR(__xludf.DUMMYFUNCTION("IF(E379="""","""",IF(COUNTIFS(D$1:D378,D379,E$1:E378,E379)&gt;0,INDEX(filter(F$1:F378,D$1:D378=D379,E$1:E378=E379),1),""Selecciona..""))"),"")</f>
        <v/>
      </c>
      <c r="G379" s="2" t="str">
        <f>IFERROR(__xludf.DUMMYFUNCTION("IF($E379="""","""",IF(COUNTIFS($D$1:$D378,$D379,$E$1:$E378,$E379)&gt;0,INDEX(filter(G$1:G378,$D$1:$D378=$D379,$E$1:$E378=E379),1),""Selecciona..""))"),"")</f>
        <v/>
      </c>
      <c r="H379" s="4" t="str">
        <f>IF(D379="","",COUNTIF(Productos!G:G,C379))</f>
        <v/>
      </c>
      <c r="J379" s="90"/>
    </row>
    <row r="380">
      <c r="A380" s="2" t="str">
        <f t="shared" si="1"/>
        <v/>
      </c>
      <c r="B380" s="4"/>
      <c r="C380" s="4"/>
      <c r="D380" s="3" t="str">
        <f t="shared" si="2"/>
        <v/>
      </c>
      <c r="E380" s="4"/>
      <c r="F380" s="2" t="str">
        <f>IFERROR(__xludf.DUMMYFUNCTION("IF(E380="""","""",IF(COUNTIFS(D$1:D379,D380,E$1:E379,E380)&gt;0,INDEX(filter(F$1:F379,D$1:D379=D380,E$1:E379=E380),1),""Selecciona..""))"),"")</f>
        <v/>
      </c>
      <c r="G380" s="2" t="str">
        <f>IFERROR(__xludf.DUMMYFUNCTION("IF($E380="""","""",IF(COUNTIFS($D$1:$D379,$D380,$E$1:$E379,$E380)&gt;0,INDEX(filter(G$1:G379,$D$1:$D379=$D380,$E$1:$E379=E380),1),""Selecciona..""))"),"")</f>
        <v/>
      </c>
      <c r="H380" s="4" t="str">
        <f>IF(D380="","",COUNTIF(Productos!G:G,C380))</f>
        <v/>
      </c>
      <c r="J380" s="90"/>
    </row>
    <row r="381">
      <c r="A381" s="2" t="str">
        <f t="shared" si="1"/>
        <v/>
      </c>
      <c r="B381" s="4"/>
      <c r="C381" s="4"/>
      <c r="D381" s="3" t="str">
        <f t="shared" si="2"/>
        <v/>
      </c>
      <c r="E381" s="4"/>
      <c r="F381" s="2" t="str">
        <f>IFERROR(__xludf.DUMMYFUNCTION("IF(E381="""","""",IF(COUNTIFS(D$1:D380,D381,E$1:E380,E381)&gt;0,INDEX(filter(F$1:F380,D$1:D380=D381,E$1:E380=E381),1),""Selecciona..""))"),"")</f>
        <v/>
      </c>
      <c r="G381" s="2" t="str">
        <f>IFERROR(__xludf.DUMMYFUNCTION("IF($E381="""","""",IF(COUNTIFS($D$1:$D380,$D381,$E$1:$E380,$E381)&gt;0,INDEX(filter(G$1:G380,$D$1:$D380=$D381,$E$1:$E380=E381),1),""Selecciona..""))"),"")</f>
        <v/>
      </c>
      <c r="H381" s="4" t="str">
        <f>IF(D381="","",COUNTIF(Productos!G:G,C381))</f>
        <v/>
      </c>
      <c r="J381" s="90"/>
    </row>
    <row r="382">
      <c r="A382" s="2" t="str">
        <f t="shared" si="1"/>
        <v/>
      </c>
      <c r="B382" s="4"/>
      <c r="C382" s="4"/>
      <c r="D382" s="3" t="str">
        <f t="shared" si="2"/>
        <v/>
      </c>
      <c r="E382" s="4"/>
      <c r="F382" s="2" t="str">
        <f>IFERROR(__xludf.DUMMYFUNCTION("IF(E382="""","""",IF(COUNTIFS(D$1:D381,D382,E$1:E381,E382)&gt;0,INDEX(filter(F$1:F381,D$1:D381=D382,E$1:E381=E382),1),""Selecciona..""))"),"")</f>
        <v/>
      </c>
      <c r="G382" s="2" t="str">
        <f>IFERROR(__xludf.DUMMYFUNCTION("IF($E382="""","""",IF(COUNTIFS($D$1:$D381,$D382,$E$1:$E381,$E382)&gt;0,INDEX(filter(G$1:G381,$D$1:$D381=$D382,$E$1:$E381=E382),1),""Selecciona..""))"),"")</f>
        <v/>
      </c>
      <c r="H382" s="4" t="str">
        <f>IF(D382="","",COUNTIF(Productos!G:G,C382))</f>
        <v/>
      </c>
      <c r="J382" s="90"/>
    </row>
    <row r="383">
      <c r="A383" s="2" t="str">
        <f t="shared" si="1"/>
        <v/>
      </c>
      <c r="B383" s="4"/>
      <c r="C383" s="4"/>
      <c r="D383" s="3" t="str">
        <f t="shared" si="2"/>
        <v/>
      </c>
      <c r="E383" s="4"/>
      <c r="F383" s="2" t="str">
        <f>IFERROR(__xludf.DUMMYFUNCTION("IF(E383="""","""",IF(COUNTIFS(D$1:D382,D383,E$1:E382,E383)&gt;0,INDEX(filter(F$1:F382,D$1:D382=D383,E$1:E382=E383),1),""Selecciona..""))"),"")</f>
        <v/>
      </c>
      <c r="G383" s="2" t="str">
        <f>IFERROR(__xludf.DUMMYFUNCTION("IF($E383="""","""",IF(COUNTIFS($D$1:$D382,$D383,$E$1:$E382,$E383)&gt;0,INDEX(filter(G$1:G382,$D$1:$D382=$D383,$E$1:$E382=E383),1),""Selecciona..""))"),"")</f>
        <v/>
      </c>
      <c r="H383" s="4" t="str">
        <f>IF(D383="","",COUNTIF(Productos!G:G,C383))</f>
        <v/>
      </c>
      <c r="J383" s="90"/>
    </row>
    <row r="384">
      <c r="A384" s="2" t="str">
        <f t="shared" si="1"/>
        <v/>
      </c>
      <c r="B384" s="4"/>
      <c r="C384" s="4"/>
      <c r="D384" s="3" t="str">
        <f t="shared" si="2"/>
        <v/>
      </c>
      <c r="E384" s="4"/>
      <c r="F384" s="2" t="str">
        <f>IFERROR(__xludf.DUMMYFUNCTION("IF(E384="""","""",IF(COUNTIFS(D$1:D383,D384,E$1:E383,E384)&gt;0,INDEX(filter(F$1:F383,D$1:D383=D384,E$1:E383=E384),1),""Selecciona..""))"),"")</f>
        <v/>
      </c>
      <c r="G384" s="2" t="str">
        <f>IFERROR(__xludf.DUMMYFUNCTION("IF($E384="""","""",IF(COUNTIFS($D$1:$D383,$D384,$E$1:$E383,$E384)&gt;0,INDEX(filter(G$1:G383,$D$1:$D383=$D384,$E$1:$E383=E384),1),""Selecciona..""))"),"")</f>
        <v/>
      </c>
      <c r="H384" s="4" t="str">
        <f>IF(D384="","",COUNTIF(Productos!G:G,C384))</f>
        <v/>
      </c>
      <c r="J384" s="90"/>
    </row>
    <row r="385">
      <c r="A385" s="2" t="str">
        <f t="shared" si="1"/>
        <v/>
      </c>
      <c r="B385" s="4"/>
      <c r="C385" s="4"/>
      <c r="D385" s="3" t="str">
        <f t="shared" si="2"/>
        <v/>
      </c>
      <c r="E385" s="4"/>
      <c r="F385" s="2" t="str">
        <f>IFERROR(__xludf.DUMMYFUNCTION("IF(E385="""","""",IF(COUNTIFS(D$1:D384,D385,E$1:E384,E385)&gt;0,INDEX(filter(F$1:F384,D$1:D384=D385,E$1:E384=E385),1),""Selecciona..""))"),"")</f>
        <v/>
      </c>
      <c r="G385" s="2" t="str">
        <f>IFERROR(__xludf.DUMMYFUNCTION("IF($E385="""","""",IF(COUNTIFS($D$1:$D384,$D385,$E$1:$E384,$E385)&gt;0,INDEX(filter(G$1:G384,$D$1:$D384=$D385,$E$1:$E384=E385),1),""Selecciona..""))"),"")</f>
        <v/>
      </c>
      <c r="H385" s="4" t="str">
        <f>IF(D385="","",COUNTIF(Productos!G:G,C385))</f>
        <v/>
      </c>
      <c r="J385" s="90"/>
    </row>
    <row r="386">
      <c r="A386" s="2" t="str">
        <f t="shared" si="1"/>
        <v/>
      </c>
      <c r="B386" s="4"/>
      <c r="C386" s="4"/>
      <c r="D386" s="3" t="str">
        <f t="shared" si="2"/>
        <v/>
      </c>
      <c r="E386" s="4"/>
      <c r="F386" s="2" t="str">
        <f>IFERROR(__xludf.DUMMYFUNCTION("IF(E386="""","""",IF(COUNTIFS(D$1:D385,D386,E$1:E385,E386)&gt;0,INDEX(filter(F$1:F385,D$1:D385=D386,E$1:E385=E386),1),""Selecciona..""))"),"")</f>
        <v/>
      </c>
      <c r="G386" s="2" t="str">
        <f>IFERROR(__xludf.DUMMYFUNCTION("IF($E386="""","""",IF(COUNTIFS($D$1:$D385,$D386,$E$1:$E385,$E386)&gt;0,INDEX(filter(G$1:G385,$D$1:$D385=$D386,$E$1:$E385=E386),1),""Selecciona..""))"),"")</f>
        <v/>
      </c>
      <c r="H386" s="4" t="str">
        <f>IF(D386="","",COUNTIF(Productos!G:G,C386))</f>
        <v/>
      </c>
      <c r="J386" s="90"/>
    </row>
    <row r="387">
      <c r="A387" s="2" t="str">
        <f t="shared" si="1"/>
        <v/>
      </c>
      <c r="B387" s="4"/>
      <c r="C387" s="4"/>
      <c r="D387" s="3" t="str">
        <f t="shared" si="2"/>
        <v/>
      </c>
      <c r="E387" s="4"/>
      <c r="F387" s="2" t="str">
        <f>IFERROR(__xludf.DUMMYFUNCTION("IF(E387="""","""",IF(COUNTIFS(D$1:D386,D387,E$1:E386,E387)&gt;0,INDEX(filter(F$1:F386,D$1:D386=D387,E$1:E386=E387),1),""Selecciona..""))"),"")</f>
        <v/>
      </c>
      <c r="G387" s="2" t="str">
        <f>IFERROR(__xludf.DUMMYFUNCTION("IF($E387="""","""",IF(COUNTIFS($D$1:$D386,$D387,$E$1:$E386,$E387)&gt;0,INDEX(filter(G$1:G386,$D$1:$D386=$D387,$E$1:$E386=E387),1),""Selecciona..""))"),"")</f>
        <v/>
      </c>
      <c r="H387" s="4" t="str">
        <f>IF(D387="","",COUNTIF(Productos!G:G,C387))</f>
        <v/>
      </c>
      <c r="J387" s="90"/>
    </row>
    <row r="388">
      <c r="A388" s="2" t="str">
        <f t="shared" si="1"/>
        <v/>
      </c>
      <c r="B388" s="4"/>
      <c r="C388" s="4"/>
      <c r="D388" s="3" t="str">
        <f t="shared" si="2"/>
        <v/>
      </c>
      <c r="E388" s="4"/>
      <c r="F388" s="2" t="str">
        <f>IFERROR(__xludf.DUMMYFUNCTION("IF(E388="""","""",IF(COUNTIFS(D$1:D387,D388,E$1:E387,E388)&gt;0,INDEX(filter(F$1:F387,D$1:D387=D388,E$1:E387=E388),1),""Selecciona..""))"),"")</f>
        <v/>
      </c>
      <c r="G388" s="2" t="str">
        <f>IFERROR(__xludf.DUMMYFUNCTION("IF($E388="""","""",IF(COUNTIFS($D$1:$D387,$D388,$E$1:$E387,$E388)&gt;0,INDEX(filter(G$1:G387,$D$1:$D387=$D388,$E$1:$E387=E388),1),""Selecciona..""))"),"")</f>
        <v/>
      </c>
      <c r="H388" s="4" t="str">
        <f>IF(D388="","",COUNTIF(Productos!G:G,C388))</f>
        <v/>
      </c>
      <c r="J388" s="90"/>
    </row>
    <row r="389">
      <c r="A389" s="2" t="str">
        <f t="shared" si="1"/>
        <v/>
      </c>
      <c r="B389" s="4"/>
      <c r="C389" s="4"/>
      <c r="D389" s="3" t="str">
        <f t="shared" si="2"/>
        <v/>
      </c>
      <c r="E389" s="4"/>
      <c r="F389" s="2" t="str">
        <f>IFERROR(__xludf.DUMMYFUNCTION("IF(E389="""","""",IF(COUNTIFS(D$1:D388,D389,E$1:E388,E389)&gt;0,INDEX(filter(F$1:F388,D$1:D388=D389,E$1:E388=E389),1),""Selecciona..""))"),"")</f>
        <v/>
      </c>
      <c r="G389" s="2" t="str">
        <f>IFERROR(__xludf.DUMMYFUNCTION("IF($E389="""","""",IF(COUNTIFS($D$1:$D388,$D389,$E$1:$E388,$E389)&gt;0,INDEX(filter(G$1:G388,$D$1:$D388=$D389,$E$1:$E388=E389),1),""Selecciona..""))"),"")</f>
        <v/>
      </c>
      <c r="H389" s="4" t="str">
        <f>IF(D389="","",COUNTIF(Productos!G:G,C389))</f>
        <v/>
      </c>
      <c r="J389" s="90"/>
    </row>
    <row r="390">
      <c r="A390" s="2" t="str">
        <f t="shared" si="1"/>
        <v/>
      </c>
      <c r="B390" s="4"/>
      <c r="C390" s="4"/>
      <c r="D390" s="3" t="str">
        <f t="shared" si="2"/>
        <v/>
      </c>
      <c r="E390" s="4"/>
      <c r="F390" s="2" t="str">
        <f>IFERROR(__xludf.DUMMYFUNCTION("IF(E390="""","""",IF(COUNTIFS(D$1:D389,D390,E$1:E389,E390)&gt;0,INDEX(filter(F$1:F389,D$1:D389=D390,E$1:E389=E390),1),""Selecciona..""))"),"")</f>
        <v/>
      </c>
      <c r="G390" s="2" t="str">
        <f>IFERROR(__xludf.DUMMYFUNCTION("IF($E390="""","""",IF(COUNTIFS($D$1:$D389,$D390,$E$1:$E389,$E390)&gt;0,INDEX(filter(G$1:G389,$D$1:$D389=$D390,$E$1:$E389=E390),1),""Selecciona..""))"),"")</f>
        <v/>
      </c>
      <c r="H390" s="4" t="str">
        <f>IF(D390="","",COUNTIF(Productos!G:G,C390))</f>
        <v/>
      </c>
      <c r="J390" s="90"/>
    </row>
    <row r="391">
      <c r="A391" s="2" t="str">
        <f t="shared" si="1"/>
        <v/>
      </c>
      <c r="B391" s="4"/>
      <c r="C391" s="4"/>
      <c r="D391" s="3" t="str">
        <f t="shared" si="2"/>
        <v/>
      </c>
      <c r="E391" s="4"/>
      <c r="F391" s="2" t="str">
        <f>IFERROR(__xludf.DUMMYFUNCTION("IF(E391="""","""",IF(COUNTIFS(D$1:D390,D391,E$1:E390,E391)&gt;0,INDEX(filter(F$1:F390,D$1:D390=D391,E$1:E390=E391),1),""Selecciona..""))"),"")</f>
        <v/>
      </c>
      <c r="G391" s="2" t="str">
        <f>IFERROR(__xludf.DUMMYFUNCTION("IF($E391="""","""",IF(COUNTIFS($D$1:$D390,$D391,$E$1:$E390,$E391)&gt;0,INDEX(filter(G$1:G390,$D$1:$D390=$D391,$E$1:$E390=E391),1),""Selecciona..""))"),"")</f>
        <v/>
      </c>
      <c r="H391" s="4" t="str">
        <f>IF(D391="","",COUNTIF(Productos!G:G,C391))</f>
        <v/>
      </c>
      <c r="J391" s="90"/>
    </row>
    <row r="392">
      <c r="A392" s="2" t="str">
        <f t="shared" si="1"/>
        <v/>
      </c>
      <c r="B392" s="4"/>
      <c r="C392" s="4"/>
      <c r="D392" s="3" t="str">
        <f t="shared" si="2"/>
        <v/>
      </c>
      <c r="E392" s="4"/>
      <c r="F392" s="2" t="str">
        <f>IFERROR(__xludf.DUMMYFUNCTION("IF(E392="""","""",IF(COUNTIFS(D$1:D391,D392,E$1:E391,E392)&gt;0,INDEX(filter(F$1:F391,D$1:D391=D392,E$1:E391=E392),1),""Selecciona..""))"),"")</f>
        <v/>
      </c>
      <c r="G392" s="2" t="str">
        <f>IFERROR(__xludf.DUMMYFUNCTION("IF($E392="""","""",IF(COUNTIFS($D$1:$D391,$D392,$E$1:$E391,$E392)&gt;0,INDEX(filter(G$1:G391,$D$1:$D391=$D392,$E$1:$E391=E392),1),""Selecciona..""))"),"")</f>
        <v/>
      </c>
      <c r="H392" s="4" t="str">
        <f>IF(D392="","",COUNTIF(Productos!G:G,C392))</f>
        <v/>
      </c>
      <c r="J392" s="90"/>
    </row>
    <row r="393">
      <c r="A393" s="2" t="str">
        <f t="shared" si="1"/>
        <v/>
      </c>
      <c r="B393" s="4"/>
      <c r="C393" s="4"/>
      <c r="D393" s="3" t="str">
        <f t="shared" si="2"/>
        <v/>
      </c>
      <c r="E393" s="4"/>
      <c r="F393" s="2" t="str">
        <f>IFERROR(__xludf.DUMMYFUNCTION("IF(E393="""","""",IF(COUNTIFS(D$1:D392,D393,E$1:E392,E393)&gt;0,INDEX(filter(F$1:F392,D$1:D392=D393,E$1:E392=E393),1),""Selecciona..""))"),"")</f>
        <v/>
      </c>
      <c r="G393" s="2" t="str">
        <f>IFERROR(__xludf.DUMMYFUNCTION("IF($E393="""","""",IF(COUNTIFS($D$1:$D392,$D393,$E$1:$E392,$E393)&gt;0,INDEX(filter(G$1:G392,$D$1:$D392=$D393,$E$1:$E392=E393),1),""Selecciona..""))"),"")</f>
        <v/>
      </c>
      <c r="H393" s="4" t="str">
        <f>IF(D393="","",COUNTIF(Productos!G:G,C393))</f>
        <v/>
      </c>
      <c r="J393" s="90"/>
    </row>
    <row r="394">
      <c r="A394" s="2" t="str">
        <f t="shared" si="1"/>
        <v/>
      </c>
      <c r="B394" s="4"/>
      <c r="C394" s="4"/>
      <c r="D394" s="3" t="str">
        <f t="shared" si="2"/>
        <v/>
      </c>
      <c r="E394" s="4"/>
      <c r="F394" s="2" t="str">
        <f>IFERROR(__xludf.DUMMYFUNCTION("IF(E394="""","""",IF(COUNTIFS(D$1:D393,D394,E$1:E393,E394)&gt;0,INDEX(filter(F$1:F393,D$1:D393=D394,E$1:E393=E394),1),""Selecciona..""))"),"")</f>
        <v/>
      </c>
      <c r="G394" s="2" t="str">
        <f>IFERROR(__xludf.DUMMYFUNCTION("IF($E394="""","""",IF(COUNTIFS($D$1:$D393,$D394,$E$1:$E393,$E394)&gt;0,INDEX(filter(G$1:G393,$D$1:$D393=$D394,$E$1:$E393=E394),1),""Selecciona..""))"),"")</f>
        <v/>
      </c>
      <c r="H394" s="4" t="str">
        <f>IF(D394="","",COUNTIF(Productos!G:G,C394))</f>
        <v/>
      </c>
      <c r="J394" s="90"/>
    </row>
    <row r="395">
      <c r="A395" s="2" t="str">
        <f t="shared" si="1"/>
        <v/>
      </c>
      <c r="B395" s="4"/>
      <c r="C395" s="4"/>
      <c r="D395" s="3" t="str">
        <f t="shared" si="2"/>
        <v/>
      </c>
      <c r="E395" s="4"/>
      <c r="F395" s="2" t="str">
        <f>IFERROR(__xludf.DUMMYFUNCTION("IF(E395="""","""",IF(COUNTIFS(D$1:D394,D395,E$1:E394,E395)&gt;0,INDEX(filter(F$1:F394,D$1:D394=D395,E$1:E394=E395),1),""Selecciona..""))"),"")</f>
        <v/>
      </c>
      <c r="G395" s="2" t="str">
        <f>IFERROR(__xludf.DUMMYFUNCTION("IF($E395="""","""",IF(COUNTIFS($D$1:$D394,$D395,$E$1:$E394,$E395)&gt;0,INDEX(filter(G$1:G394,$D$1:$D394=$D395,$E$1:$E394=E395),1),""Selecciona..""))"),"")</f>
        <v/>
      </c>
      <c r="H395" s="4" t="str">
        <f>IF(D395="","",COUNTIF(Productos!G:G,C395))</f>
        <v/>
      </c>
      <c r="J395" s="90"/>
    </row>
    <row r="396">
      <c r="A396" s="2" t="str">
        <f t="shared" si="1"/>
        <v/>
      </c>
      <c r="B396" s="4"/>
      <c r="C396" s="4"/>
      <c r="D396" s="3" t="str">
        <f t="shared" si="2"/>
        <v/>
      </c>
      <c r="E396" s="4"/>
      <c r="F396" s="2" t="str">
        <f>IFERROR(__xludf.DUMMYFUNCTION("IF(E396="""","""",IF(COUNTIFS(D$1:D395,D396,E$1:E395,E396)&gt;0,INDEX(filter(F$1:F395,D$1:D395=D396,E$1:E395=E396),1),""Selecciona..""))"),"")</f>
        <v/>
      </c>
      <c r="G396" s="2" t="str">
        <f>IFERROR(__xludf.DUMMYFUNCTION("IF($E396="""","""",IF(COUNTIFS($D$1:$D395,$D396,$E$1:$E395,$E396)&gt;0,INDEX(filter(G$1:G395,$D$1:$D395=$D396,$E$1:$E395=E396),1),""Selecciona..""))"),"")</f>
        <v/>
      </c>
      <c r="H396" s="4" t="str">
        <f>IF(D396="","",COUNTIF(Productos!G:G,C396))</f>
        <v/>
      </c>
      <c r="J396" s="90"/>
    </row>
    <row r="397">
      <c r="A397" s="2" t="str">
        <f t="shared" si="1"/>
        <v/>
      </c>
      <c r="B397" s="4"/>
      <c r="C397" s="4"/>
      <c r="D397" s="3" t="str">
        <f t="shared" si="2"/>
        <v/>
      </c>
      <c r="E397" s="4"/>
      <c r="F397" s="2" t="str">
        <f>IFERROR(__xludf.DUMMYFUNCTION("IF(E397="""","""",IF(COUNTIFS(D$1:D396,D397,E$1:E396,E397)&gt;0,INDEX(filter(F$1:F396,D$1:D396=D397,E$1:E396=E397),1),""Selecciona..""))"),"")</f>
        <v/>
      </c>
      <c r="G397" s="2" t="str">
        <f>IFERROR(__xludf.DUMMYFUNCTION("IF($E397="""","""",IF(COUNTIFS($D$1:$D396,$D397,$E$1:$E396,$E397)&gt;0,INDEX(filter(G$1:G396,$D$1:$D396=$D397,$E$1:$E396=E397),1),""Selecciona..""))"),"")</f>
        <v/>
      </c>
      <c r="H397" s="4" t="str">
        <f>IF(D397="","",COUNTIF(Productos!G:G,C397))</f>
        <v/>
      </c>
      <c r="J397" s="90"/>
    </row>
    <row r="398">
      <c r="A398" s="2" t="str">
        <f t="shared" si="1"/>
        <v/>
      </c>
      <c r="B398" s="4"/>
      <c r="C398" s="4"/>
      <c r="D398" s="3" t="str">
        <f t="shared" si="2"/>
        <v/>
      </c>
      <c r="E398" s="4"/>
      <c r="F398" s="2" t="str">
        <f>IFERROR(__xludf.DUMMYFUNCTION("IF(E398="""","""",IF(COUNTIFS(D$1:D397,D398,E$1:E397,E398)&gt;0,INDEX(filter(F$1:F397,D$1:D397=D398,E$1:E397=E398),1),""Selecciona..""))"),"")</f>
        <v/>
      </c>
      <c r="G398" s="2" t="str">
        <f>IFERROR(__xludf.DUMMYFUNCTION("IF($E398="""","""",IF(COUNTIFS($D$1:$D397,$D398,$E$1:$E397,$E398)&gt;0,INDEX(filter(G$1:G397,$D$1:$D397=$D398,$E$1:$E397=E398),1),""Selecciona..""))"),"")</f>
        <v/>
      </c>
      <c r="H398" s="4" t="str">
        <f>IF(D398="","",COUNTIF(Productos!G:G,C398))</f>
        <v/>
      </c>
      <c r="J398" s="90"/>
    </row>
    <row r="399">
      <c r="A399" s="2" t="str">
        <f t="shared" si="1"/>
        <v/>
      </c>
      <c r="B399" s="4"/>
      <c r="C399" s="4"/>
      <c r="D399" s="3" t="str">
        <f t="shared" si="2"/>
        <v/>
      </c>
      <c r="E399" s="4"/>
      <c r="F399" s="2" t="str">
        <f>IFERROR(__xludf.DUMMYFUNCTION("IF(E399="""","""",IF(COUNTIFS(D$1:D398,D399,E$1:E398,E399)&gt;0,INDEX(filter(F$1:F398,D$1:D398=D399,E$1:E398=E399),1),""Selecciona..""))"),"")</f>
        <v/>
      </c>
      <c r="G399" s="2" t="str">
        <f>IFERROR(__xludf.DUMMYFUNCTION("IF($E399="""","""",IF(COUNTIFS($D$1:$D398,$D399,$E$1:$E398,$E399)&gt;0,INDEX(filter(G$1:G398,$D$1:$D398=$D399,$E$1:$E398=E399),1),""Selecciona..""))"),"")</f>
        <v/>
      </c>
      <c r="H399" s="4" t="str">
        <f>IF(D399="","",COUNTIF(Productos!G:G,C399))</f>
        <v/>
      </c>
      <c r="J399" s="90"/>
    </row>
    <row r="400">
      <c r="A400" s="2" t="str">
        <f t="shared" si="1"/>
        <v/>
      </c>
      <c r="B400" s="4"/>
      <c r="C400" s="4"/>
      <c r="D400" s="3" t="str">
        <f t="shared" si="2"/>
        <v/>
      </c>
      <c r="E400" s="4"/>
      <c r="F400" s="2" t="str">
        <f>IFERROR(__xludf.DUMMYFUNCTION("IF(E400="""","""",IF(COUNTIFS(D$1:D399,D400,E$1:E399,E400)&gt;0,INDEX(filter(F$1:F399,D$1:D399=D400,E$1:E399=E400),1),""Selecciona..""))"),"")</f>
        <v/>
      </c>
      <c r="G400" s="2" t="str">
        <f>IFERROR(__xludf.DUMMYFUNCTION("IF($E400="""","""",IF(COUNTIFS($D$1:$D399,$D400,$E$1:$E399,$E400)&gt;0,INDEX(filter(G$1:G399,$D$1:$D399=$D400,$E$1:$E399=E400),1),""Selecciona..""))"),"")</f>
        <v/>
      </c>
      <c r="H400" s="4" t="str">
        <f>IF(D400="","",COUNTIF(Productos!G:G,C400))</f>
        <v/>
      </c>
      <c r="J400" s="90"/>
    </row>
    <row r="401">
      <c r="A401" s="2" t="str">
        <f t="shared" si="1"/>
        <v/>
      </c>
      <c r="B401" s="4"/>
      <c r="C401" s="4"/>
      <c r="D401" s="3" t="str">
        <f t="shared" si="2"/>
        <v/>
      </c>
      <c r="E401" s="4"/>
      <c r="F401" s="2" t="str">
        <f>IFERROR(__xludf.DUMMYFUNCTION("IF(E401="""","""",IF(COUNTIFS(D$1:D400,D401,E$1:E400,E401)&gt;0,INDEX(filter(F$1:F400,D$1:D400=D401,E$1:E400=E401),1),""Selecciona..""))"),"")</f>
        <v/>
      </c>
      <c r="G401" s="2" t="str">
        <f>IFERROR(__xludf.DUMMYFUNCTION("IF($E401="""","""",IF(COUNTIFS($D$1:$D400,$D401,$E$1:$E400,$E401)&gt;0,INDEX(filter(G$1:G400,$D$1:$D400=$D401,$E$1:$E400=E401),1),""Selecciona..""))"),"")</f>
        <v/>
      </c>
      <c r="H401" s="4" t="str">
        <f>IF(D401="","",COUNTIF(Productos!G:G,C401))</f>
        <v/>
      </c>
      <c r="J401" s="90"/>
    </row>
    <row r="402">
      <c r="A402" s="2" t="str">
        <f t="shared" si="1"/>
        <v/>
      </c>
      <c r="B402" s="4"/>
      <c r="C402" s="4"/>
      <c r="D402" s="3" t="str">
        <f t="shared" si="2"/>
        <v/>
      </c>
      <c r="E402" s="4"/>
      <c r="F402" s="2" t="str">
        <f>IFERROR(__xludf.DUMMYFUNCTION("IF(E402="""","""",IF(COUNTIFS(D$1:D401,D402,E$1:E401,E402)&gt;0,INDEX(filter(F$1:F401,D$1:D401=D402,E$1:E401=E402),1),""Selecciona..""))"),"")</f>
        <v/>
      </c>
      <c r="G402" s="2" t="str">
        <f>IFERROR(__xludf.DUMMYFUNCTION("IF($E402="""","""",IF(COUNTIFS($D$1:$D401,$D402,$E$1:$E401,$E402)&gt;0,INDEX(filter(G$1:G401,$D$1:$D401=$D402,$E$1:$E401=E402),1),""Selecciona..""))"),"")</f>
        <v/>
      </c>
      <c r="H402" s="4" t="str">
        <f>IF(D402="","",COUNTIF(Productos!G:G,C402))</f>
        <v/>
      </c>
      <c r="J402" s="90"/>
    </row>
    <row r="403">
      <c r="A403" s="2" t="str">
        <f t="shared" si="1"/>
        <v/>
      </c>
      <c r="B403" s="4"/>
      <c r="C403" s="4"/>
      <c r="D403" s="3" t="str">
        <f t="shared" si="2"/>
        <v/>
      </c>
      <c r="E403" s="4"/>
      <c r="F403" s="2" t="str">
        <f>IFERROR(__xludf.DUMMYFUNCTION("IF(E403="""","""",IF(COUNTIFS(D$1:D402,D403,E$1:E402,E403)&gt;0,INDEX(filter(F$1:F402,D$1:D402=D403,E$1:E402=E403),1),""Selecciona..""))"),"")</f>
        <v/>
      </c>
      <c r="G403" s="2" t="str">
        <f>IFERROR(__xludf.DUMMYFUNCTION("IF($E403="""","""",IF(COUNTIFS($D$1:$D402,$D403,$E$1:$E402,$E403)&gt;0,INDEX(filter(G$1:G402,$D$1:$D402=$D403,$E$1:$E402=E403),1),""Selecciona..""))"),"")</f>
        <v/>
      </c>
      <c r="H403" s="4" t="str">
        <f>IF(D403="","",COUNTIF(Productos!G:G,C403))</f>
        <v/>
      </c>
      <c r="J403" s="90"/>
    </row>
    <row r="404">
      <c r="A404" s="2" t="str">
        <f t="shared" si="1"/>
        <v/>
      </c>
      <c r="B404" s="4"/>
      <c r="C404" s="4"/>
      <c r="D404" s="3" t="str">
        <f t="shared" si="2"/>
        <v/>
      </c>
      <c r="E404" s="4"/>
      <c r="F404" s="2" t="str">
        <f>IFERROR(__xludf.DUMMYFUNCTION("IF(E404="""","""",IF(COUNTIFS(D$1:D403,D404,E$1:E403,E404)&gt;0,INDEX(filter(F$1:F403,D$1:D403=D404,E$1:E403=E404),1),""Selecciona..""))"),"")</f>
        <v/>
      </c>
      <c r="G404" s="2" t="str">
        <f>IFERROR(__xludf.DUMMYFUNCTION("IF($E404="""","""",IF(COUNTIFS($D$1:$D403,$D404,$E$1:$E403,$E404)&gt;0,INDEX(filter(G$1:G403,$D$1:$D403=$D404,$E$1:$E403=E404),1),""Selecciona..""))"),"")</f>
        <v/>
      </c>
      <c r="H404" s="4" t="str">
        <f>IF(D404="","",COUNTIF(Productos!G:G,C404))</f>
        <v/>
      </c>
      <c r="J404" s="90"/>
    </row>
    <row r="405">
      <c r="A405" s="2" t="str">
        <f t="shared" si="1"/>
        <v/>
      </c>
      <c r="B405" s="4"/>
      <c r="C405" s="4"/>
      <c r="D405" s="3" t="str">
        <f t="shared" si="2"/>
        <v/>
      </c>
      <c r="E405" s="4"/>
      <c r="F405" s="2" t="str">
        <f>IFERROR(__xludf.DUMMYFUNCTION("IF(E405="""","""",IF(COUNTIFS(D$1:D404,D405,E$1:E404,E405)&gt;0,INDEX(filter(F$1:F404,D$1:D404=D405,E$1:E404=E405),1),""Selecciona..""))"),"")</f>
        <v/>
      </c>
      <c r="G405" s="2" t="str">
        <f>IFERROR(__xludf.DUMMYFUNCTION("IF($E405="""","""",IF(COUNTIFS($D$1:$D404,$D405,$E$1:$E404,$E405)&gt;0,INDEX(filter(G$1:G404,$D$1:$D404=$D405,$E$1:$E404=E405),1),""Selecciona..""))"),"")</f>
        <v/>
      </c>
      <c r="H405" s="4" t="str">
        <f>IF(D405="","",COUNTIF(Productos!G:G,C405))</f>
        <v/>
      </c>
      <c r="J405" s="90"/>
    </row>
    <row r="406">
      <c r="A406" s="2" t="str">
        <f t="shared" si="1"/>
        <v/>
      </c>
      <c r="B406" s="4"/>
      <c r="C406" s="4"/>
      <c r="D406" s="3" t="str">
        <f t="shared" si="2"/>
        <v/>
      </c>
      <c r="E406" s="4"/>
      <c r="F406" s="2" t="str">
        <f>IFERROR(__xludf.DUMMYFUNCTION("IF(E406="""","""",IF(COUNTIFS(D$1:D405,D406,E$1:E405,E406)&gt;0,INDEX(filter(F$1:F405,D$1:D405=D406,E$1:E405=E406),1),""Selecciona..""))"),"")</f>
        <v/>
      </c>
      <c r="G406" s="2" t="str">
        <f>IFERROR(__xludf.DUMMYFUNCTION("IF($E406="""","""",IF(COUNTIFS($D$1:$D405,$D406,$E$1:$E405,$E406)&gt;0,INDEX(filter(G$1:G405,$D$1:$D405=$D406,$E$1:$E405=E406),1),""Selecciona..""))"),"")</f>
        <v/>
      </c>
      <c r="H406" s="4" t="str">
        <f>IF(D406="","",COUNTIF(Productos!G:G,C406))</f>
        <v/>
      </c>
      <c r="J406" s="90"/>
    </row>
    <row r="407">
      <c r="A407" s="2" t="str">
        <f t="shared" si="1"/>
        <v/>
      </c>
      <c r="B407" s="4"/>
      <c r="C407" s="4"/>
      <c r="D407" s="3" t="str">
        <f t="shared" si="2"/>
        <v/>
      </c>
      <c r="E407" s="4"/>
      <c r="F407" s="2" t="str">
        <f>IFERROR(__xludf.DUMMYFUNCTION("IF(E407="""","""",IF(COUNTIFS(D$1:D406,D407,E$1:E406,E407)&gt;0,INDEX(filter(F$1:F406,D$1:D406=D407,E$1:E406=E407),1),""Selecciona..""))"),"")</f>
        <v/>
      </c>
      <c r="G407" s="2" t="str">
        <f>IFERROR(__xludf.DUMMYFUNCTION("IF($E407="""","""",IF(COUNTIFS($D$1:$D406,$D407,$E$1:$E406,$E407)&gt;0,INDEX(filter(G$1:G406,$D$1:$D406=$D407,$E$1:$E406=E407),1),""Selecciona..""))"),"")</f>
        <v/>
      </c>
      <c r="H407" s="4" t="str">
        <f>IF(D407="","",COUNTIF(Productos!G:G,C407))</f>
        <v/>
      </c>
      <c r="J407" s="90"/>
    </row>
    <row r="408">
      <c r="A408" s="2" t="str">
        <f t="shared" si="1"/>
        <v/>
      </c>
      <c r="B408" s="4"/>
      <c r="C408" s="4"/>
      <c r="D408" s="3" t="str">
        <f t="shared" si="2"/>
        <v/>
      </c>
      <c r="E408" s="4"/>
      <c r="F408" s="2" t="str">
        <f>IFERROR(__xludf.DUMMYFUNCTION("IF(E408="""","""",IF(COUNTIFS(D$1:D407,D408,E$1:E407,E408)&gt;0,INDEX(filter(F$1:F407,D$1:D407=D408,E$1:E407=E408),1),""Selecciona..""))"),"")</f>
        <v/>
      </c>
      <c r="G408" s="2" t="str">
        <f>IFERROR(__xludf.DUMMYFUNCTION("IF($E408="""","""",IF(COUNTIFS($D$1:$D407,$D408,$E$1:$E407,$E408)&gt;0,INDEX(filter(G$1:G407,$D$1:$D407=$D408,$E$1:$E407=E408),1),""Selecciona..""))"),"")</f>
        <v/>
      </c>
      <c r="H408" s="4" t="str">
        <f>IF(D408="","",COUNTIF(Productos!G:G,C408))</f>
        <v/>
      </c>
      <c r="J408" s="90"/>
    </row>
    <row r="409">
      <c r="A409" s="2" t="str">
        <f t="shared" si="1"/>
        <v/>
      </c>
      <c r="B409" s="4"/>
      <c r="C409" s="4"/>
      <c r="D409" s="3" t="str">
        <f t="shared" si="2"/>
        <v/>
      </c>
      <c r="E409" s="4"/>
      <c r="F409" s="2" t="str">
        <f>IFERROR(__xludf.DUMMYFUNCTION("IF(E409="""","""",IF(COUNTIFS(D$1:D408,D409,E$1:E408,E409)&gt;0,INDEX(filter(F$1:F408,D$1:D408=D409,E$1:E408=E409),1),""Selecciona..""))"),"")</f>
        <v/>
      </c>
      <c r="G409" s="2" t="str">
        <f>IFERROR(__xludf.DUMMYFUNCTION("IF($E409="""","""",IF(COUNTIFS($D$1:$D408,$D409,$E$1:$E408,$E409)&gt;0,INDEX(filter(G$1:G408,$D$1:$D408=$D409,$E$1:$E408=E409),1),""Selecciona..""))"),"")</f>
        <v/>
      </c>
      <c r="H409" s="4" t="str">
        <f>IF(D409="","",COUNTIF(Productos!G:G,C409))</f>
        <v/>
      </c>
      <c r="J409" s="90"/>
    </row>
    <row r="410">
      <c r="A410" s="2" t="str">
        <f t="shared" si="1"/>
        <v/>
      </c>
      <c r="B410" s="4"/>
      <c r="C410" s="4"/>
      <c r="D410" s="3" t="str">
        <f t="shared" si="2"/>
        <v/>
      </c>
      <c r="E410" s="4"/>
      <c r="F410" s="2" t="str">
        <f>IFERROR(__xludf.DUMMYFUNCTION("IF(E410="""","""",IF(COUNTIFS(D$1:D409,D410,E$1:E409,E410)&gt;0,INDEX(filter(F$1:F409,D$1:D409=D410,E$1:E409=E410),1),""Selecciona..""))"),"")</f>
        <v/>
      </c>
      <c r="G410" s="2" t="str">
        <f>IFERROR(__xludf.DUMMYFUNCTION("IF($E410="""","""",IF(COUNTIFS($D$1:$D409,$D410,$E$1:$E409,$E410)&gt;0,INDEX(filter(G$1:G409,$D$1:$D409=$D410,$E$1:$E409=E410),1),""Selecciona..""))"),"")</f>
        <v/>
      </c>
      <c r="H410" s="4" t="str">
        <f>IF(D410="","",COUNTIF(Productos!G:G,C410))</f>
        <v/>
      </c>
      <c r="J410" s="90"/>
    </row>
    <row r="411">
      <c r="A411" s="2" t="str">
        <f t="shared" si="1"/>
        <v/>
      </c>
      <c r="B411" s="4"/>
      <c r="C411" s="4"/>
      <c r="D411" s="3" t="str">
        <f t="shared" si="2"/>
        <v/>
      </c>
      <c r="E411" s="4"/>
      <c r="F411" s="2" t="str">
        <f>IFERROR(__xludf.DUMMYFUNCTION("IF(E411="""","""",IF(COUNTIFS(D$1:D410,D411,E$1:E410,E411)&gt;0,INDEX(filter(F$1:F410,D$1:D410=D411,E$1:E410=E411),1),""Selecciona..""))"),"")</f>
        <v/>
      </c>
      <c r="G411" s="2" t="str">
        <f>IFERROR(__xludf.DUMMYFUNCTION("IF($E411="""","""",IF(COUNTIFS($D$1:$D410,$D411,$E$1:$E410,$E411)&gt;0,INDEX(filter(G$1:G410,$D$1:$D410=$D411,$E$1:$E410=E411),1),""Selecciona..""))"),"")</f>
        <v/>
      </c>
      <c r="H411" s="4" t="str">
        <f>IF(D411="","",COUNTIF(Productos!G:G,C411))</f>
        <v/>
      </c>
      <c r="J411" s="90"/>
    </row>
    <row r="412">
      <c r="A412" s="2" t="str">
        <f t="shared" si="1"/>
        <v/>
      </c>
      <c r="B412" s="4"/>
      <c r="C412" s="4"/>
      <c r="D412" s="3" t="str">
        <f t="shared" si="2"/>
        <v/>
      </c>
      <c r="E412" s="4"/>
      <c r="F412" s="2" t="str">
        <f>IFERROR(__xludf.DUMMYFUNCTION("IF(E412="""","""",IF(COUNTIFS(D$1:D411,D412,E$1:E411,E412)&gt;0,INDEX(filter(F$1:F411,D$1:D411=D412,E$1:E411=E412),1),""Selecciona..""))"),"")</f>
        <v/>
      </c>
      <c r="G412" s="2" t="str">
        <f>IFERROR(__xludf.DUMMYFUNCTION("IF($E412="""","""",IF(COUNTIFS($D$1:$D411,$D412,$E$1:$E411,$E412)&gt;0,INDEX(filter(G$1:G411,$D$1:$D411=$D412,$E$1:$E411=E412),1),""Selecciona..""))"),"")</f>
        <v/>
      </c>
      <c r="H412" s="4" t="str">
        <f>IF(D412="","",COUNTIF(Productos!G:G,C412))</f>
        <v/>
      </c>
      <c r="J412" s="90"/>
    </row>
    <row r="413">
      <c r="A413" s="2" t="str">
        <f t="shared" si="1"/>
        <v/>
      </c>
      <c r="B413" s="4"/>
      <c r="C413" s="4"/>
      <c r="D413" s="3" t="str">
        <f t="shared" si="2"/>
        <v/>
      </c>
      <c r="E413" s="4"/>
      <c r="F413" s="2" t="str">
        <f>IFERROR(__xludf.DUMMYFUNCTION("IF(E413="""","""",IF(COUNTIFS(D$1:D412,D413,E$1:E412,E413)&gt;0,INDEX(filter(F$1:F412,D$1:D412=D413,E$1:E412=E413),1),""Selecciona..""))"),"")</f>
        <v/>
      </c>
      <c r="G413" s="2" t="str">
        <f>IFERROR(__xludf.DUMMYFUNCTION("IF($E413="""","""",IF(COUNTIFS($D$1:$D412,$D413,$E$1:$E412,$E413)&gt;0,INDEX(filter(G$1:G412,$D$1:$D412=$D413,$E$1:$E412=E413),1),""Selecciona..""))"),"")</f>
        <v/>
      </c>
      <c r="H413" s="4" t="str">
        <f>IF(D413="","",COUNTIF(Productos!G:G,C413))</f>
        <v/>
      </c>
      <c r="J413" s="90"/>
    </row>
    <row r="414">
      <c r="A414" s="2" t="str">
        <f t="shared" si="1"/>
        <v/>
      </c>
      <c r="B414" s="4"/>
      <c r="C414" s="4"/>
      <c r="D414" s="3" t="str">
        <f t="shared" si="2"/>
        <v/>
      </c>
      <c r="E414" s="4"/>
      <c r="F414" s="2" t="str">
        <f>IFERROR(__xludf.DUMMYFUNCTION("IF(E414="""","""",IF(COUNTIFS(D$1:D413,D414,E$1:E413,E414)&gt;0,INDEX(filter(F$1:F413,D$1:D413=D414,E$1:E413=E414),1),""Selecciona..""))"),"")</f>
        <v/>
      </c>
      <c r="G414" s="2" t="str">
        <f>IFERROR(__xludf.DUMMYFUNCTION("IF($E414="""","""",IF(COUNTIFS($D$1:$D413,$D414,$E$1:$E413,$E414)&gt;0,INDEX(filter(G$1:G413,$D$1:$D413=$D414,$E$1:$E413=E414),1),""Selecciona..""))"),"")</f>
        <v/>
      </c>
      <c r="H414" s="4" t="str">
        <f>IF(D414="","",COUNTIF(Productos!G:G,C414))</f>
        <v/>
      </c>
      <c r="J414" s="90"/>
    </row>
    <row r="415">
      <c r="A415" s="2" t="str">
        <f t="shared" si="1"/>
        <v/>
      </c>
      <c r="B415" s="4"/>
      <c r="C415" s="4"/>
      <c r="D415" s="3" t="str">
        <f t="shared" si="2"/>
        <v/>
      </c>
      <c r="E415" s="4"/>
      <c r="F415" s="2" t="str">
        <f>IFERROR(__xludf.DUMMYFUNCTION("IF(E415="""","""",IF(COUNTIFS(D$1:D414,D415,E$1:E414,E415)&gt;0,INDEX(filter(F$1:F414,D$1:D414=D415,E$1:E414=E415),1),""Selecciona..""))"),"")</f>
        <v/>
      </c>
      <c r="G415" s="2" t="str">
        <f>IFERROR(__xludf.DUMMYFUNCTION("IF($E415="""","""",IF(COUNTIFS($D$1:$D414,$D415,$E$1:$E414,$E415)&gt;0,INDEX(filter(G$1:G414,$D$1:$D414=$D415,$E$1:$E414=E415),1),""Selecciona..""))"),"")</f>
        <v/>
      </c>
      <c r="H415" s="4" t="str">
        <f>IF(D415="","",COUNTIF(Productos!G:G,C415))</f>
        <v/>
      </c>
      <c r="J415" s="90"/>
    </row>
    <row r="416">
      <c r="A416" s="2" t="str">
        <f t="shared" si="1"/>
        <v/>
      </c>
      <c r="B416" s="4"/>
      <c r="C416" s="4"/>
      <c r="D416" s="3" t="str">
        <f t="shared" si="2"/>
        <v/>
      </c>
      <c r="E416" s="4"/>
      <c r="F416" s="2" t="str">
        <f>IFERROR(__xludf.DUMMYFUNCTION("IF(E416="""","""",IF(COUNTIFS(D$1:D415,D416,E$1:E415,E416)&gt;0,INDEX(filter(F$1:F415,D$1:D415=D416,E$1:E415=E416),1),""Selecciona..""))"),"")</f>
        <v/>
      </c>
      <c r="G416" s="2" t="str">
        <f>IFERROR(__xludf.DUMMYFUNCTION("IF($E416="""","""",IF(COUNTIFS($D$1:$D415,$D416,$E$1:$E415,$E416)&gt;0,INDEX(filter(G$1:G415,$D$1:$D415=$D416,$E$1:$E415=E416),1),""Selecciona..""))"),"")</f>
        <v/>
      </c>
      <c r="H416" s="4" t="str">
        <f>IF(D416="","",COUNTIF(Productos!G:G,C416))</f>
        <v/>
      </c>
      <c r="J416" s="90"/>
    </row>
    <row r="417">
      <c r="A417" s="2" t="str">
        <f t="shared" si="1"/>
        <v/>
      </c>
      <c r="B417" s="4"/>
      <c r="C417" s="4"/>
      <c r="D417" s="3" t="str">
        <f t="shared" si="2"/>
        <v/>
      </c>
      <c r="E417" s="4"/>
      <c r="F417" s="2" t="str">
        <f>IFERROR(__xludf.DUMMYFUNCTION("IF(E417="""","""",IF(COUNTIFS(D$1:D416,D417,E$1:E416,E417)&gt;0,INDEX(filter(F$1:F416,D$1:D416=D417,E$1:E416=E417),1),""Selecciona..""))"),"")</f>
        <v/>
      </c>
      <c r="G417" s="2" t="str">
        <f>IFERROR(__xludf.DUMMYFUNCTION("IF($E417="""","""",IF(COUNTIFS($D$1:$D416,$D417,$E$1:$E416,$E417)&gt;0,INDEX(filter(G$1:G416,$D$1:$D416=$D417,$E$1:$E416=E417),1),""Selecciona..""))"),"")</f>
        <v/>
      </c>
      <c r="H417" s="4" t="str">
        <f>IF(D417="","",COUNTIF(Productos!G:G,C417))</f>
        <v/>
      </c>
      <c r="J417" s="90"/>
    </row>
    <row r="418">
      <c r="A418" s="2" t="str">
        <f t="shared" si="1"/>
        <v/>
      </c>
      <c r="B418" s="4"/>
      <c r="C418" s="4"/>
      <c r="D418" s="3" t="str">
        <f t="shared" si="2"/>
        <v/>
      </c>
      <c r="E418" s="4"/>
      <c r="F418" s="2" t="str">
        <f>IFERROR(__xludf.DUMMYFUNCTION("IF(E418="""","""",IF(COUNTIFS(D$1:D417,D418,E$1:E417,E418)&gt;0,INDEX(filter(F$1:F417,D$1:D417=D418,E$1:E417=E418),1),""Selecciona..""))"),"")</f>
        <v/>
      </c>
      <c r="G418" s="2" t="str">
        <f>IFERROR(__xludf.DUMMYFUNCTION("IF($E418="""","""",IF(COUNTIFS($D$1:$D417,$D418,$E$1:$E417,$E418)&gt;0,INDEX(filter(G$1:G417,$D$1:$D417=$D418,$E$1:$E417=E418),1),""Selecciona..""))"),"")</f>
        <v/>
      </c>
      <c r="H418" s="4" t="str">
        <f>IF(D418="","",COUNTIF(Productos!G:G,C418))</f>
        <v/>
      </c>
      <c r="J418" s="90"/>
    </row>
    <row r="419">
      <c r="A419" s="2" t="str">
        <f t="shared" si="1"/>
        <v/>
      </c>
      <c r="B419" s="4"/>
      <c r="C419" s="4"/>
      <c r="D419" s="3" t="str">
        <f t="shared" si="2"/>
        <v/>
      </c>
      <c r="E419" s="4"/>
      <c r="F419" s="2" t="str">
        <f>IFERROR(__xludf.DUMMYFUNCTION("IF(E419="""","""",IF(COUNTIFS(D$1:D418,D419,E$1:E418,E419)&gt;0,INDEX(filter(F$1:F418,D$1:D418=D419,E$1:E418=E419),1),""Selecciona..""))"),"")</f>
        <v/>
      </c>
      <c r="G419" s="2" t="str">
        <f>IFERROR(__xludf.DUMMYFUNCTION("IF($E419="""","""",IF(COUNTIFS($D$1:$D418,$D419,$E$1:$E418,$E419)&gt;0,INDEX(filter(G$1:G418,$D$1:$D418=$D419,$E$1:$E418=E419),1),""Selecciona..""))"),"")</f>
        <v/>
      </c>
      <c r="H419" s="4" t="str">
        <f>IF(D419="","",COUNTIF(Productos!G:G,C419))</f>
        <v/>
      </c>
      <c r="J419" s="90"/>
    </row>
    <row r="420">
      <c r="A420" s="2" t="str">
        <f t="shared" si="1"/>
        <v/>
      </c>
      <c r="B420" s="4"/>
      <c r="C420" s="4"/>
      <c r="D420" s="3" t="str">
        <f t="shared" si="2"/>
        <v/>
      </c>
      <c r="E420" s="4"/>
      <c r="F420" s="2" t="str">
        <f>IFERROR(__xludf.DUMMYFUNCTION("IF(E420="""","""",IF(COUNTIFS(D$1:D419,D420,E$1:E419,E420)&gt;0,INDEX(filter(F$1:F419,D$1:D419=D420,E$1:E419=E420),1),""Selecciona..""))"),"")</f>
        <v/>
      </c>
      <c r="G420" s="2" t="str">
        <f>IFERROR(__xludf.DUMMYFUNCTION("IF($E420="""","""",IF(COUNTIFS($D$1:$D419,$D420,$E$1:$E419,$E420)&gt;0,INDEX(filter(G$1:G419,$D$1:$D419=$D420,$E$1:$E419=E420),1),""Selecciona..""))"),"")</f>
        <v/>
      </c>
      <c r="H420" s="4" t="str">
        <f>IF(D420="","",COUNTIF(Productos!G:G,C420))</f>
        <v/>
      </c>
      <c r="J420" s="90"/>
    </row>
    <row r="421">
      <c r="A421" s="2" t="str">
        <f t="shared" si="1"/>
        <v/>
      </c>
      <c r="B421" s="4"/>
      <c r="C421" s="4"/>
      <c r="D421" s="3" t="str">
        <f t="shared" si="2"/>
        <v/>
      </c>
      <c r="E421" s="4"/>
      <c r="F421" s="2" t="str">
        <f>IFERROR(__xludf.DUMMYFUNCTION("IF(E421="""","""",IF(COUNTIFS(D$1:D420,D421,E$1:E420,E421)&gt;0,INDEX(filter(F$1:F420,D$1:D420=D421,E$1:E420=E421),1),""Selecciona..""))"),"")</f>
        <v/>
      </c>
      <c r="G421" s="2" t="str">
        <f>IFERROR(__xludf.DUMMYFUNCTION("IF($E421="""","""",IF(COUNTIFS($D$1:$D420,$D421,$E$1:$E420,$E421)&gt;0,INDEX(filter(G$1:G420,$D$1:$D420=$D421,$E$1:$E420=E421),1),""Selecciona..""))"),"")</f>
        <v/>
      </c>
      <c r="H421" s="4" t="str">
        <f>IF(D421="","",COUNTIF(Productos!G:G,C421))</f>
        <v/>
      </c>
      <c r="J421" s="90"/>
    </row>
    <row r="422">
      <c r="A422" s="2" t="str">
        <f t="shared" si="1"/>
        <v/>
      </c>
      <c r="B422" s="4"/>
      <c r="C422" s="4"/>
      <c r="D422" s="3" t="str">
        <f t="shared" si="2"/>
        <v/>
      </c>
      <c r="E422" s="4"/>
      <c r="F422" s="2" t="str">
        <f>IFERROR(__xludf.DUMMYFUNCTION("IF(E422="""","""",IF(COUNTIFS(D$1:D421,D422,E$1:E421,E422)&gt;0,INDEX(filter(F$1:F421,D$1:D421=D422,E$1:E421=E422),1),""Selecciona..""))"),"")</f>
        <v/>
      </c>
      <c r="G422" s="2" t="str">
        <f>IFERROR(__xludf.DUMMYFUNCTION("IF($E422="""","""",IF(COUNTIFS($D$1:$D421,$D422,$E$1:$E421,$E422)&gt;0,INDEX(filter(G$1:G421,$D$1:$D421=$D422,$E$1:$E421=E422),1),""Selecciona..""))"),"")</f>
        <v/>
      </c>
      <c r="H422" s="4" t="str">
        <f>IF(D422="","",COUNTIF(Productos!G:G,C422))</f>
        <v/>
      </c>
      <c r="J422" s="90"/>
    </row>
    <row r="423">
      <c r="A423" s="2" t="str">
        <f t="shared" si="1"/>
        <v/>
      </c>
      <c r="B423" s="4"/>
      <c r="C423" s="4"/>
      <c r="D423" s="3" t="str">
        <f t="shared" si="2"/>
        <v/>
      </c>
      <c r="E423" s="4"/>
      <c r="F423" s="2" t="str">
        <f>IFERROR(__xludf.DUMMYFUNCTION("IF(E423="""","""",IF(COUNTIFS(D$1:D422,D423,E$1:E422,E423)&gt;0,INDEX(filter(F$1:F422,D$1:D422=D423,E$1:E422=E423),1),""Selecciona..""))"),"")</f>
        <v/>
      </c>
      <c r="G423" s="2" t="str">
        <f>IFERROR(__xludf.DUMMYFUNCTION("IF($E423="""","""",IF(COUNTIFS($D$1:$D422,$D423,$E$1:$E422,$E423)&gt;0,INDEX(filter(G$1:G422,$D$1:$D422=$D423,$E$1:$E422=E423),1),""Selecciona..""))"),"")</f>
        <v/>
      </c>
      <c r="H423" s="4" t="str">
        <f>IF(D423="","",COUNTIF(Productos!G:G,C423))</f>
        <v/>
      </c>
      <c r="J423" s="90"/>
    </row>
    <row r="424">
      <c r="A424" s="2" t="str">
        <f t="shared" si="1"/>
        <v/>
      </c>
      <c r="B424" s="4"/>
      <c r="C424" s="4"/>
      <c r="D424" s="3" t="str">
        <f t="shared" si="2"/>
        <v/>
      </c>
      <c r="E424" s="4"/>
      <c r="F424" s="2" t="str">
        <f>IFERROR(__xludf.DUMMYFUNCTION("IF(E424="""","""",IF(COUNTIFS(D$1:D423,D424,E$1:E423,E424)&gt;0,INDEX(filter(F$1:F423,D$1:D423=D424,E$1:E423=E424),1),""Selecciona..""))"),"")</f>
        <v/>
      </c>
      <c r="G424" s="2" t="str">
        <f>IFERROR(__xludf.DUMMYFUNCTION("IF($E424="""","""",IF(COUNTIFS($D$1:$D423,$D424,$E$1:$E423,$E424)&gt;0,INDEX(filter(G$1:G423,$D$1:$D423=$D424,$E$1:$E423=E424),1),""Selecciona..""))"),"")</f>
        <v/>
      </c>
      <c r="H424" s="4" t="str">
        <f>IF(D424="","",COUNTIF(Productos!G:G,C424))</f>
        <v/>
      </c>
      <c r="J424" s="90"/>
    </row>
    <row r="425">
      <c r="A425" s="2" t="str">
        <f t="shared" si="1"/>
        <v/>
      </c>
      <c r="B425" s="4"/>
      <c r="C425" s="4"/>
      <c r="D425" s="3" t="str">
        <f t="shared" si="2"/>
        <v/>
      </c>
      <c r="E425" s="4"/>
      <c r="F425" s="2" t="str">
        <f>IFERROR(__xludf.DUMMYFUNCTION("IF(E425="""","""",IF(COUNTIFS(D$1:D424,D425,E$1:E424,E425)&gt;0,INDEX(filter(F$1:F424,D$1:D424=D425,E$1:E424=E425),1),""Selecciona..""))"),"")</f>
        <v/>
      </c>
      <c r="G425" s="2" t="str">
        <f>IFERROR(__xludf.DUMMYFUNCTION("IF($E425="""","""",IF(COUNTIFS($D$1:$D424,$D425,$E$1:$E424,$E425)&gt;0,INDEX(filter(G$1:G424,$D$1:$D424=$D425,$E$1:$E424=E425),1),""Selecciona..""))"),"")</f>
        <v/>
      </c>
      <c r="H425" s="4" t="str">
        <f>IF(D425="","",COUNTIF(Productos!G:G,C425))</f>
        <v/>
      </c>
      <c r="J425" s="90"/>
    </row>
    <row r="426">
      <c r="A426" s="2" t="str">
        <f t="shared" si="1"/>
        <v/>
      </c>
      <c r="B426" s="4"/>
      <c r="C426" s="4"/>
      <c r="D426" s="3" t="str">
        <f t="shared" si="2"/>
        <v/>
      </c>
      <c r="E426" s="4"/>
      <c r="F426" s="2" t="str">
        <f>IFERROR(__xludf.DUMMYFUNCTION("IF(E426="""","""",IF(COUNTIFS(D$1:D425,D426,E$1:E425,E426)&gt;0,INDEX(filter(F$1:F425,D$1:D425=D426,E$1:E425=E426),1),""Selecciona..""))"),"")</f>
        <v/>
      </c>
      <c r="G426" s="2" t="str">
        <f>IFERROR(__xludf.DUMMYFUNCTION("IF($E426="""","""",IF(COUNTIFS($D$1:$D425,$D426,$E$1:$E425,$E426)&gt;0,INDEX(filter(G$1:G425,$D$1:$D425=$D426,$E$1:$E425=E426),1),""Selecciona..""))"),"")</f>
        <v/>
      </c>
      <c r="H426" s="4" t="str">
        <f>IF(D426="","",COUNTIF(Productos!G:G,C426))</f>
        <v/>
      </c>
      <c r="J426" s="90"/>
    </row>
    <row r="427">
      <c r="A427" s="2" t="str">
        <f t="shared" si="1"/>
        <v/>
      </c>
      <c r="B427" s="4"/>
      <c r="C427" s="4"/>
      <c r="D427" s="3" t="str">
        <f t="shared" si="2"/>
        <v/>
      </c>
      <c r="E427" s="4"/>
      <c r="F427" s="2" t="str">
        <f>IFERROR(__xludf.DUMMYFUNCTION("IF(E427="""","""",IF(COUNTIFS(D$1:D426,D427,E$1:E426,E427)&gt;0,INDEX(filter(F$1:F426,D$1:D426=D427,E$1:E426=E427),1),""Selecciona..""))"),"")</f>
        <v/>
      </c>
      <c r="G427" s="2" t="str">
        <f>IFERROR(__xludf.DUMMYFUNCTION("IF($E427="""","""",IF(COUNTIFS($D$1:$D426,$D427,$E$1:$E426,$E427)&gt;0,INDEX(filter(G$1:G426,$D$1:$D426=$D427,$E$1:$E426=E427),1),""Selecciona..""))"),"")</f>
        <v/>
      </c>
      <c r="H427" s="4" t="str">
        <f>IF(D427="","",COUNTIF(Productos!G:G,C427))</f>
        <v/>
      </c>
      <c r="J427" s="90"/>
    </row>
    <row r="428">
      <c r="A428" s="2" t="str">
        <f t="shared" si="1"/>
        <v/>
      </c>
      <c r="B428" s="4"/>
      <c r="C428" s="4"/>
      <c r="D428" s="3" t="str">
        <f t="shared" si="2"/>
        <v/>
      </c>
      <c r="E428" s="4"/>
      <c r="F428" s="2" t="str">
        <f>IFERROR(__xludf.DUMMYFUNCTION("IF(E428="""","""",IF(COUNTIFS(D$1:D427,D428,E$1:E427,E428)&gt;0,INDEX(filter(F$1:F427,D$1:D427=D428,E$1:E427=E428),1),""Selecciona..""))"),"")</f>
        <v/>
      </c>
      <c r="G428" s="2" t="str">
        <f>IFERROR(__xludf.DUMMYFUNCTION("IF($E428="""","""",IF(COUNTIFS($D$1:$D427,$D428,$E$1:$E427,$E428)&gt;0,INDEX(filter(G$1:G427,$D$1:$D427=$D428,$E$1:$E427=E428),1),""Selecciona..""))"),"")</f>
        <v/>
      </c>
      <c r="H428" s="4" t="str">
        <f>IF(D428="","",COUNTIF(Productos!G:G,C428))</f>
        <v/>
      </c>
      <c r="J428" s="90"/>
    </row>
    <row r="429">
      <c r="A429" s="2" t="str">
        <f t="shared" si="1"/>
        <v/>
      </c>
      <c r="B429" s="4"/>
      <c r="C429" s="4"/>
      <c r="D429" s="3" t="str">
        <f t="shared" si="2"/>
        <v/>
      </c>
      <c r="E429" s="4"/>
      <c r="F429" s="2" t="str">
        <f>IFERROR(__xludf.DUMMYFUNCTION("IF(E429="""","""",IF(COUNTIFS(D$1:D428,D429,E$1:E428,E429)&gt;0,INDEX(filter(F$1:F428,D$1:D428=D429,E$1:E428=E429),1),""Selecciona..""))"),"")</f>
        <v/>
      </c>
      <c r="G429" s="2" t="str">
        <f>IFERROR(__xludf.DUMMYFUNCTION("IF($E429="""","""",IF(COUNTIFS($D$1:$D428,$D429,$E$1:$E428,$E429)&gt;0,INDEX(filter(G$1:G428,$D$1:$D428=$D429,$E$1:$E428=E429),1),""Selecciona..""))"),"")</f>
        <v/>
      </c>
      <c r="H429" s="4" t="str">
        <f>IF(D429="","",COUNTIF(Productos!G:G,C429))</f>
        <v/>
      </c>
      <c r="J429" s="90"/>
    </row>
    <row r="430">
      <c r="A430" s="2" t="str">
        <f t="shared" si="1"/>
        <v/>
      </c>
      <c r="B430" s="4"/>
      <c r="C430" s="4"/>
      <c r="D430" s="3" t="str">
        <f t="shared" si="2"/>
        <v/>
      </c>
      <c r="E430" s="4"/>
      <c r="F430" s="2" t="str">
        <f>IFERROR(__xludf.DUMMYFUNCTION("IF(E430="""","""",IF(COUNTIFS(D$1:D429,D430,E$1:E429,E430)&gt;0,INDEX(filter(F$1:F429,D$1:D429=D430,E$1:E429=E430),1),""Selecciona..""))"),"")</f>
        <v/>
      </c>
      <c r="G430" s="2" t="str">
        <f>IFERROR(__xludf.DUMMYFUNCTION("IF($E430="""","""",IF(COUNTIFS($D$1:$D429,$D430,$E$1:$E429,$E430)&gt;0,INDEX(filter(G$1:G429,$D$1:$D429=$D430,$E$1:$E429=E430),1),""Selecciona..""))"),"")</f>
        <v/>
      </c>
      <c r="H430" s="4" t="str">
        <f>IF(D430="","",COUNTIF(Productos!G:G,C430))</f>
        <v/>
      </c>
      <c r="J430" s="90"/>
    </row>
    <row r="431">
      <c r="A431" s="2" t="str">
        <f t="shared" si="1"/>
        <v/>
      </c>
      <c r="B431" s="4"/>
      <c r="C431" s="4"/>
      <c r="D431" s="3" t="str">
        <f t="shared" si="2"/>
        <v/>
      </c>
      <c r="E431" s="4"/>
      <c r="F431" s="2" t="str">
        <f>IFERROR(__xludf.DUMMYFUNCTION("IF(E431="""","""",IF(COUNTIFS(D$1:D430,D431,E$1:E430,E431)&gt;0,INDEX(filter(F$1:F430,D$1:D430=D431,E$1:E430=E431),1),""Selecciona..""))"),"")</f>
        <v/>
      </c>
      <c r="G431" s="2" t="str">
        <f>IFERROR(__xludf.DUMMYFUNCTION("IF($E431="""","""",IF(COUNTIFS($D$1:$D430,$D431,$E$1:$E430,$E431)&gt;0,INDEX(filter(G$1:G430,$D$1:$D430=$D431,$E$1:$E430=E431),1),""Selecciona..""))"),"")</f>
        <v/>
      </c>
      <c r="H431" s="4" t="str">
        <f>IF(D431="","",COUNTIF(Productos!G:G,C431))</f>
        <v/>
      </c>
      <c r="J431" s="90"/>
    </row>
    <row r="432">
      <c r="A432" s="2" t="str">
        <f t="shared" si="1"/>
        <v/>
      </c>
      <c r="B432" s="4"/>
      <c r="C432" s="4"/>
      <c r="D432" s="3" t="str">
        <f t="shared" si="2"/>
        <v/>
      </c>
      <c r="E432" s="4"/>
      <c r="F432" s="2" t="str">
        <f>IFERROR(__xludf.DUMMYFUNCTION("IF(E432="""","""",IF(COUNTIFS(D$1:D431,D432,E$1:E431,E432)&gt;0,INDEX(filter(F$1:F431,D$1:D431=D432,E$1:E431=E432),1),""Selecciona..""))"),"")</f>
        <v/>
      </c>
      <c r="G432" s="2" t="str">
        <f>IFERROR(__xludf.DUMMYFUNCTION("IF($E432="""","""",IF(COUNTIFS($D$1:$D431,$D432,$E$1:$E431,$E432)&gt;0,INDEX(filter(G$1:G431,$D$1:$D431=$D432,$E$1:$E431=E432),1),""Selecciona..""))"),"")</f>
        <v/>
      </c>
      <c r="H432" s="4" t="str">
        <f>IF(D432="","",COUNTIF(Productos!G:G,C432))</f>
        <v/>
      </c>
      <c r="J432" s="90"/>
    </row>
    <row r="433">
      <c r="A433" s="2" t="str">
        <f t="shared" si="1"/>
        <v/>
      </c>
      <c r="B433" s="4"/>
      <c r="C433" s="4"/>
      <c r="D433" s="3" t="str">
        <f t="shared" si="2"/>
        <v/>
      </c>
      <c r="E433" s="4"/>
      <c r="F433" s="2" t="str">
        <f>IFERROR(__xludf.DUMMYFUNCTION("IF(E433="""","""",IF(COUNTIFS(D$1:D432,D433,E$1:E432,E433)&gt;0,INDEX(filter(F$1:F432,D$1:D432=D433,E$1:E432=E433),1),""Selecciona..""))"),"")</f>
        <v/>
      </c>
      <c r="G433" s="2" t="str">
        <f>IFERROR(__xludf.DUMMYFUNCTION("IF($E433="""","""",IF(COUNTIFS($D$1:$D432,$D433,$E$1:$E432,$E433)&gt;0,INDEX(filter(G$1:G432,$D$1:$D432=$D433,$E$1:$E432=E433),1),""Selecciona..""))"),"")</f>
        <v/>
      </c>
      <c r="H433" s="4" t="str">
        <f>IF(D433="","",COUNTIF(Productos!G:G,C433))</f>
        <v/>
      </c>
      <c r="J433" s="90"/>
    </row>
    <row r="434">
      <c r="A434" s="2" t="str">
        <f t="shared" si="1"/>
        <v/>
      </c>
      <c r="B434" s="4"/>
      <c r="C434" s="4"/>
      <c r="D434" s="3" t="str">
        <f t="shared" si="2"/>
        <v/>
      </c>
      <c r="E434" s="4"/>
      <c r="F434" s="2" t="str">
        <f>IFERROR(__xludf.DUMMYFUNCTION("IF(E434="""","""",IF(COUNTIFS(D$1:D433,D434,E$1:E433,E434)&gt;0,INDEX(filter(F$1:F433,D$1:D433=D434,E$1:E433=E434),1),""Selecciona..""))"),"")</f>
        <v/>
      </c>
      <c r="G434" s="2" t="str">
        <f>IFERROR(__xludf.DUMMYFUNCTION("IF($E434="""","""",IF(COUNTIFS($D$1:$D433,$D434,$E$1:$E433,$E434)&gt;0,INDEX(filter(G$1:G433,$D$1:$D433=$D434,$E$1:$E433=E434),1),""Selecciona..""))"),"")</f>
        <v/>
      </c>
      <c r="H434" s="4" t="str">
        <f>IF(D434="","",COUNTIF(Productos!G:G,C434))</f>
        <v/>
      </c>
      <c r="J434" s="90"/>
    </row>
    <row r="435">
      <c r="A435" s="2" t="str">
        <f t="shared" si="1"/>
        <v/>
      </c>
      <c r="B435" s="4"/>
      <c r="C435" s="4"/>
      <c r="D435" s="3" t="str">
        <f t="shared" si="2"/>
        <v/>
      </c>
      <c r="E435" s="4"/>
      <c r="F435" s="2" t="str">
        <f>IFERROR(__xludf.DUMMYFUNCTION("IF(E435="""","""",IF(COUNTIFS(D$1:D434,D435,E$1:E434,E435)&gt;0,INDEX(filter(F$1:F434,D$1:D434=D435,E$1:E434=E435),1),""Selecciona..""))"),"")</f>
        <v/>
      </c>
      <c r="G435" s="2" t="str">
        <f>IFERROR(__xludf.DUMMYFUNCTION("IF($E435="""","""",IF(COUNTIFS($D$1:$D434,$D435,$E$1:$E434,$E435)&gt;0,INDEX(filter(G$1:G434,$D$1:$D434=$D435,$E$1:$E434=E435),1),""Selecciona..""))"),"")</f>
        <v/>
      </c>
      <c r="H435" s="4" t="str">
        <f>IF(D435="","",COUNTIF(Productos!G:G,C435))</f>
        <v/>
      </c>
      <c r="J435" s="90"/>
    </row>
    <row r="436">
      <c r="A436" s="2" t="str">
        <f t="shared" si="1"/>
        <v/>
      </c>
      <c r="B436" s="4"/>
      <c r="C436" s="4"/>
      <c r="D436" s="3" t="str">
        <f t="shared" si="2"/>
        <v/>
      </c>
      <c r="E436" s="4"/>
      <c r="F436" s="2" t="str">
        <f>IFERROR(__xludf.DUMMYFUNCTION("IF(E436="""","""",IF(COUNTIFS(D$1:D435,D436,E$1:E435,E436)&gt;0,INDEX(filter(F$1:F435,D$1:D435=D436,E$1:E435=E436),1),""Selecciona..""))"),"")</f>
        <v/>
      </c>
      <c r="G436" s="2" t="str">
        <f>IFERROR(__xludf.DUMMYFUNCTION("IF($E436="""","""",IF(COUNTIFS($D$1:$D435,$D436,$E$1:$E435,$E436)&gt;0,INDEX(filter(G$1:G435,$D$1:$D435=$D436,$E$1:$E435=E436),1),""Selecciona..""))"),"")</f>
        <v/>
      </c>
      <c r="H436" s="4" t="str">
        <f>IF(D436="","",COUNTIF(Productos!G:G,C436))</f>
        <v/>
      </c>
      <c r="J436" s="90"/>
    </row>
    <row r="437">
      <c r="A437" s="2" t="str">
        <f t="shared" si="1"/>
        <v/>
      </c>
      <c r="B437" s="4"/>
      <c r="C437" s="4"/>
      <c r="D437" s="3" t="str">
        <f t="shared" si="2"/>
        <v/>
      </c>
      <c r="E437" s="4"/>
      <c r="F437" s="2" t="str">
        <f>IFERROR(__xludf.DUMMYFUNCTION("IF(E437="""","""",IF(COUNTIFS(D$1:D436,D437,E$1:E436,E437)&gt;0,INDEX(filter(F$1:F436,D$1:D436=D437,E$1:E436=E437),1),""Selecciona..""))"),"")</f>
        <v/>
      </c>
      <c r="G437" s="2" t="str">
        <f>IFERROR(__xludf.DUMMYFUNCTION("IF($E437="""","""",IF(COUNTIFS($D$1:$D436,$D437,$E$1:$E436,$E437)&gt;0,INDEX(filter(G$1:G436,$D$1:$D436=$D437,$E$1:$E436=E437),1),""Selecciona..""))"),"")</f>
        <v/>
      </c>
      <c r="H437" s="4" t="str">
        <f>IF(D437="","",COUNTIF(Productos!G:G,C437))</f>
        <v/>
      </c>
      <c r="J437" s="90"/>
    </row>
    <row r="438">
      <c r="A438" s="2" t="str">
        <f t="shared" si="1"/>
        <v/>
      </c>
      <c r="B438" s="4"/>
      <c r="C438" s="4"/>
      <c r="D438" s="3" t="str">
        <f t="shared" si="2"/>
        <v/>
      </c>
      <c r="E438" s="4"/>
      <c r="F438" s="2" t="str">
        <f>IFERROR(__xludf.DUMMYFUNCTION("IF(E438="""","""",IF(COUNTIFS(D$1:D437,D438,E$1:E437,E438)&gt;0,INDEX(filter(F$1:F437,D$1:D437=D438,E$1:E437=E438),1),""Selecciona..""))"),"")</f>
        <v/>
      </c>
      <c r="G438" s="2" t="str">
        <f>IFERROR(__xludf.DUMMYFUNCTION("IF($E438="""","""",IF(COUNTIFS($D$1:$D437,$D438,$E$1:$E437,$E438)&gt;0,INDEX(filter(G$1:G437,$D$1:$D437=$D438,$E$1:$E437=E438),1),""Selecciona..""))"),"")</f>
        <v/>
      </c>
      <c r="H438" s="4" t="str">
        <f>IF(D438="","",COUNTIF(Productos!G:G,C438))</f>
        <v/>
      </c>
      <c r="J438" s="90"/>
    </row>
    <row r="439">
      <c r="A439" s="2" t="str">
        <f t="shared" si="1"/>
        <v/>
      </c>
      <c r="B439" s="4"/>
      <c r="C439" s="4"/>
      <c r="D439" s="3" t="str">
        <f t="shared" si="2"/>
        <v/>
      </c>
      <c r="E439" s="4"/>
      <c r="F439" s="2" t="str">
        <f>IFERROR(__xludf.DUMMYFUNCTION("IF(E439="""","""",IF(COUNTIFS(D$1:D438,D439,E$1:E438,E439)&gt;0,INDEX(filter(F$1:F438,D$1:D438=D439,E$1:E438=E439),1),""Selecciona..""))"),"")</f>
        <v/>
      </c>
      <c r="G439" s="2" t="str">
        <f>IFERROR(__xludf.DUMMYFUNCTION("IF($E439="""","""",IF(COUNTIFS($D$1:$D438,$D439,$E$1:$E438,$E439)&gt;0,INDEX(filter(G$1:G438,$D$1:$D438=$D439,$E$1:$E438=E439),1),""Selecciona..""))"),"")</f>
        <v/>
      </c>
      <c r="H439" s="4" t="str">
        <f>IF(D439="","",COUNTIF(Productos!G:G,C439))</f>
        <v/>
      </c>
      <c r="J439" s="90"/>
    </row>
    <row r="440">
      <c r="A440" s="2" t="str">
        <f t="shared" si="1"/>
        <v/>
      </c>
      <c r="B440" s="4"/>
      <c r="C440" s="4"/>
      <c r="D440" s="3" t="str">
        <f t="shared" si="2"/>
        <v/>
      </c>
      <c r="E440" s="4"/>
      <c r="F440" s="2" t="str">
        <f>IFERROR(__xludf.DUMMYFUNCTION("IF(E440="""","""",IF(COUNTIFS(D$1:D439,D440,E$1:E439,E440)&gt;0,INDEX(filter(F$1:F439,D$1:D439=D440,E$1:E439=E440),1),""Selecciona..""))"),"")</f>
        <v/>
      </c>
      <c r="G440" s="2" t="str">
        <f>IFERROR(__xludf.DUMMYFUNCTION("IF($E440="""","""",IF(COUNTIFS($D$1:$D439,$D440,$E$1:$E439,$E440)&gt;0,INDEX(filter(G$1:G439,$D$1:$D439=$D440,$E$1:$E439=E440),1),""Selecciona..""))"),"")</f>
        <v/>
      </c>
      <c r="H440" s="4" t="str">
        <f>IF(D440="","",COUNTIF(Productos!G:G,C440))</f>
        <v/>
      </c>
      <c r="J440" s="90"/>
    </row>
    <row r="441">
      <c r="A441" s="2" t="str">
        <f t="shared" si="1"/>
        <v/>
      </c>
      <c r="B441" s="4"/>
      <c r="C441" s="4"/>
      <c r="D441" s="3" t="str">
        <f t="shared" si="2"/>
        <v/>
      </c>
      <c r="E441" s="4"/>
      <c r="F441" s="2" t="str">
        <f>IFERROR(__xludf.DUMMYFUNCTION("IF(E441="""","""",IF(COUNTIFS(D$1:D440,D441,E$1:E440,E441)&gt;0,INDEX(filter(F$1:F440,D$1:D440=D441,E$1:E440=E441),1),""Selecciona..""))"),"")</f>
        <v/>
      </c>
      <c r="G441" s="2" t="str">
        <f>IFERROR(__xludf.DUMMYFUNCTION("IF($E441="""","""",IF(COUNTIFS($D$1:$D440,$D441,$E$1:$E440,$E441)&gt;0,INDEX(filter(G$1:G440,$D$1:$D440=$D441,$E$1:$E440=E441),1),""Selecciona..""))"),"")</f>
        <v/>
      </c>
      <c r="H441" s="4" t="str">
        <f>IF(D441="","",COUNTIF(Productos!G:G,C441))</f>
        <v/>
      </c>
      <c r="J441" s="90"/>
    </row>
    <row r="442">
      <c r="A442" s="2" t="str">
        <f t="shared" si="1"/>
        <v/>
      </c>
      <c r="B442" s="4"/>
      <c r="C442" s="4"/>
      <c r="D442" s="3" t="str">
        <f t="shared" si="2"/>
        <v/>
      </c>
      <c r="E442" s="4"/>
      <c r="F442" s="2" t="str">
        <f>IFERROR(__xludf.DUMMYFUNCTION("IF(E442="""","""",IF(COUNTIFS(D$1:D441,D442,E$1:E441,E442)&gt;0,INDEX(filter(F$1:F441,D$1:D441=D442,E$1:E441=E442),1),""Selecciona..""))"),"")</f>
        <v/>
      </c>
      <c r="G442" s="2" t="str">
        <f>IFERROR(__xludf.DUMMYFUNCTION("IF($E442="""","""",IF(COUNTIFS($D$1:$D441,$D442,$E$1:$E441,$E442)&gt;0,INDEX(filter(G$1:G441,$D$1:$D441=$D442,$E$1:$E441=E442),1),""Selecciona..""))"),"")</f>
        <v/>
      </c>
      <c r="H442" s="4" t="str">
        <f>IF(D442="","",COUNTIF(Productos!G:G,C442))</f>
        <v/>
      </c>
      <c r="J442" s="90"/>
    </row>
    <row r="443">
      <c r="A443" s="2" t="str">
        <f t="shared" si="1"/>
        <v/>
      </c>
      <c r="B443" s="4"/>
      <c r="C443" s="4"/>
      <c r="D443" s="3" t="str">
        <f t="shared" si="2"/>
        <v/>
      </c>
      <c r="E443" s="4"/>
      <c r="F443" s="2" t="str">
        <f>IFERROR(__xludf.DUMMYFUNCTION("IF(E443="""","""",IF(COUNTIFS(D$1:D442,D443,E$1:E442,E443)&gt;0,INDEX(filter(F$1:F442,D$1:D442=D443,E$1:E442=E443),1),""Selecciona..""))"),"")</f>
        <v/>
      </c>
      <c r="G443" s="2" t="str">
        <f>IFERROR(__xludf.DUMMYFUNCTION("IF($E443="""","""",IF(COUNTIFS($D$1:$D442,$D443,$E$1:$E442,$E443)&gt;0,INDEX(filter(G$1:G442,$D$1:$D442=$D443,$E$1:$E442=E443),1),""Selecciona..""))"),"")</f>
        <v/>
      </c>
      <c r="H443" s="4" t="str">
        <f>IF(D443="","",COUNTIF(Productos!G:G,C443))</f>
        <v/>
      </c>
      <c r="J443" s="90"/>
    </row>
    <row r="444">
      <c r="A444" s="2" t="str">
        <f t="shared" si="1"/>
        <v/>
      </c>
      <c r="B444" s="4"/>
      <c r="C444" s="4"/>
      <c r="D444" s="3" t="str">
        <f t="shared" si="2"/>
        <v/>
      </c>
      <c r="E444" s="4"/>
      <c r="F444" s="2" t="str">
        <f>IFERROR(__xludf.DUMMYFUNCTION("IF(E444="""","""",IF(COUNTIFS(D$1:D443,D444,E$1:E443,E444)&gt;0,INDEX(filter(F$1:F443,D$1:D443=D444,E$1:E443=E444),1),""Selecciona..""))"),"")</f>
        <v/>
      </c>
      <c r="G444" s="2" t="str">
        <f>IFERROR(__xludf.DUMMYFUNCTION("IF($E444="""","""",IF(COUNTIFS($D$1:$D443,$D444,$E$1:$E443,$E444)&gt;0,INDEX(filter(G$1:G443,$D$1:$D443=$D444,$E$1:$E443=E444),1),""Selecciona..""))"),"")</f>
        <v/>
      </c>
      <c r="H444" s="4" t="str">
        <f>IF(D444="","",COUNTIF(Productos!G:G,C444))</f>
        <v/>
      </c>
      <c r="J444" s="90"/>
    </row>
    <row r="445">
      <c r="A445" s="2" t="str">
        <f t="shared" si="1"/>
        <v/>
      </c>
      <c r="B445" s="4"/>
      <c r="C445" s="4"/>
      <c r="D445" s="3" t="str">
        <f t="shared" si="2"/>
        <v/>
      </c>
      <c r="E445" s="4"/>
      <c r="F445" s="2" t="str">
        <f>IFERROR(__xludf.DUMMYFUNCTION("IF(E445="""","""",IF(COUNTIFS(D$1:D444,D445,E$1:E444,E445)&gt;0,INDEX(filter(F$1:F444,D$1:D444=D445,E$1:E444=E445),1),""Selecciona..""))"),"")</f>
        <v/>
      </c>
      <c r="G445" s="2" t="str">
        <f>IFERROR(__xludf.DUMMYFUNCTION("IF($E445="""","""",IF(COUNTIFS($D$1:$D444,$D445,$E$1:$E444,$E445)&gt;0,INDEX(filter(G$1:G444,$D$1:$D444=$D445,$E$1:$E444=E445),1),""Selecciona..""))"),"")</f>
        <v/>
      </c>
      <c r="H445" s="4" t="str">
        <f>IF(D445="","",COUNTIF(Productos!G:G,C445))</f>
        <v/>
      </c>
      <c r="J445" s="90"/>
    </row>
    <row r="446">
      <c r="A446" s="2" t="str">
        <f t="shared" si="1"/>
        <v/>
      </c>
      <c r="B446" s="4"/>
      <c r="C446" s="4"/>
      <c r="D446" s="3" t="str">
        <f t="shared" si="2"/>
        <v/>
      </c>
      <c r="E446" s="4"/>
      <c r="F446" s="2" t="str">
        <f>IFERROR(__xludf.DUMMYFUNCTION("IF(E446="""","""",IF(COUNTIFS(D$1:D445,D446,E$1:E445,E446)&gt;0,INDEX(filter(F$1:F445,D$1:D445=D446,E$1:E445=E446),1),""Selecciona..""))"),"")</f>
        <v/>
      </c>
      <c r="G446" s="2" t="str">
        <f>IFERROR(__xludf.DUMMYFUNCTION("IF($E446="""","""",IF(COUNTIFS($D$1:$D445,$D446,$E$1:$E445,$E446)&gt;0,INDEX(filter(G$1:G445,$D$1:$D445=$D446,$E$1:$E445=E446),1),""Selecciona..""))"),"")</f>
        <v/>
      </c>
      <c r="H446" s="4" t="str">
        <f>IF(D446="","",COUNTIF(Productos!G:G,C446))</f>
        <v/>
      </c>
      <c r="J446" s="90"/>
    </row>
    <row r="447">
      <c r="A447" s="2" t="str">
        <f t="shared" si="1"/>
        <v/>
      </c>
      <c r="B447" s="4"/>
      <c r="C447" s="4"/>
      <c r="D447" s="3" t="str">
        <f t="shared" si="2"/>
        <v/>
      </c>
      <c r="E447" s="4"/>
      <c r="F447" s="2" t="str">
        <f>IFERROR(__xludf.DUMMYFUNCTION("IF(E447="""","""",IF(COUNTIFS(D$1:D446,D447,E$1:E446,E447)&gt;0,INDEX(filter(F$1:F446,D$1:D446=D447,E$1:E446=E447),1),""Selecciona..""))"),"")</f>
        <v/>
      </c>
      <c r="G447" s="2" t="str">
        <f>IFERROR(__xludf.DUMMYFUNCTION("IF($E447="""","""",IF(COUNTIFS($D$1:$D446,$D447,$E$1:$E446,$E447)&gt;0,INDEX(filter(G$1:G446,$D$1:$D446=$D447,$E$1:$E446=E447),1),""Selecciona..""))"),"")</f>
        <v/>
      </c>
      <c r="H447" s="4" t="str">
        <f>IF(D447="","",COUNTIF(Productos!G:G,C447))</f>
        <v/>
      </c>
      <c r="J447" s="90"/>
    </row>
    <row r="448">
      <c r="A448" s="2" t="str">
        <f t="shared" si="1"/>
        <v/>
      </c>
      <c r="B448" s="4"/>
      <c r="C448" s="4"/>
      <c r="D448" s="3" t="str">
        <f t="shared" si="2"/>
        <v/>
      </c>
      <c r="E448" s="4"/>
      <c r="F448" s="2" t="str">
        <f>IFERROR(__xludf.DUMMYFUNCTION("IF(E448="""","""",IF(COUNTIFS(D$1:D447,D448,E$1:E447,E448)&gt;0,INDEX(filter(F$1:F447,D$1:D447=D448,E$1:E447=E448),1),""Selecciona..""))"),"")</f>
        <v/>
      </c>
      <c r="G448" s="2" t="str">
        <f>IFERROR(__xludf.DUMMYFUNCTION("IF($E448="""","""",IF(COUNTIFS($D$1:$D447,$D448,$E$1:$E447,$E448)&gt;0,INDEX(filter(G$1:G447,$D$1:$D447=$D448,$E$1:$E447=E448),1),""Selecciona..""))"),"")</f>
        <v/>
      </c>
      <c r="H448" s="4" t="str">
        <f>IF(D448="","",COUNTIF(Productos!G:G,C448))</f>
        <v/>
      </c>
      <c r="J448" s="90"/>
    </row>
    <row r="449">
      <c r="A449" s="2" t="str">
        <f t="shared" si="1"/>
        <v/>
      </c>
      <c r="B449" s="4"/>
      <c r="C449" s="4"/>
      <c r="D449" s="3" t="str">
        <f t="shared" si="2"/>
        <v/>
      </c>
      <c r="E449" s="4"/>
      <c r="F449" s="2" t="str">
        <f>IFERROR(__xludf.DUMMYFUNCTION("IF(E449="""","""",IF(COUNTIFS(D$1:D448,D449,E$1:E448,E449)&gt;0,INDEX(filter(F$1:F448,D$1:D448=D449,E$1:E448=E449),1),""Selecciona..""))"),"")</f>
        <v/>
      </c>
      <c r="G449" s="2" t="str">
        <f>IFERROR(__xludf.DUMMYFUNCTION("IF($E449="""","""",IF(COUNTIFS($D$1:$D448,$D449,$E$1:$E448,$E449)&gt;0,INDEX(filter(G$1:G448,$D$1:$D448=$D449,$E$1:$E448=E449),1),""Selecciona..""))"),"")</f>
        <v/>
      </c>
      <c r="H449" s="4" t="str">
        <f>IF(D449="","",COUNTIF(Productos!G:G,C449))</f>
        <v/>
      </c>
      <c r="J449" s="90"/>
    </row>
    <row r="450">
      <c r="A450" s="2" t="str">
        <f t="shared" si="1"/>
        <v/>
      </c>
      <c r="B450" s="4"/>
      <c r="C450" s="4"/>
      <c r="D450" s="3" t="str">
        <f t="shared" si="2"/>
        <v/>
      </c>
      <c r="E450" s="4"/>
      <c r="F450" s="2" t="str">
        <f>IFERROR(__xludf.DUMMYFUNCTION("IF(E450="""","""",IF(COUNTIFS(D$1:D449,D450,E$1:E449,E450)&gt;0,INDEX(filter(F$1:F449,D$1:D449=D450,E$1:E449=E450),1),""Selecciona..""))"),"")</f>
        <v/>
      </c>
      <c r="G450" s="2" t="str">
        <f>IFERROR(__xludf.DUMMYFUNCTION("IF($E450="""","""",IF(COUNTIFS($D$1:$D449,$D450,$E$1:$E449,$E450)&gt;0,INDEX(filter(G$1:G449,$D$1:$D449=$D450,$E$1:$E449=E450),1),""Selecciona..""))"),"")</f>
        <v/>
      </c>
      <c r="H450" s="4" t="str">
        <f>IF(D450="","",COUNTIF(Productos!G:G,C450))</f>
        <v/>
      </c>
      <c r="J450" s="90"/>
    </row>
    <row r="451">
      <c r="A451" s="2" t="str">
        <f t="shared" si="1"/>
        <v/>
      </c>
      <c r="B451" s="4"/>
      <c r="C451" s="4"/>
      <c r="D451" s="3" t="str">
        <f t="shared" si="2"/>
        <v/>
      </c>
      <c r="E451" s="4"/>
      <c r="F451" s="2" t="str">
        <f>IFERROR(__xludf.DUMMYFUNCTION("IF(E451="""","""",IF(COUNTIFS(D$1:D450,D451,E$1:E450,E451)&gt;0,INDEX(filter(F$1:F450,D$1:D450=D451,E$1:E450=E451),1),""Selecciona..""))"),"")</f>
        <v/>
      </c>
      <c r="G451" s="2" t="str">
        <f>IFERROR(__xludf.DUMMYFUNCTION("IF($E451="""","""",IF(COUNTIFS($D$1:$D450,$D451,$E$1:$E450,$E451)&gt;0,INDEX(filter(G$1:G450,$D$1:$D450=$D451,$E$1:$E450=E451),1),""Selecciona..""))"),"")</f>
        <v/>
      </c>
      <c r="H451" s="4" t="str">
        <f>IF(D451="","",COUNTIF(Productos!G:G,C451))</f>
        <v/>
      </c>
      <c r="J451" s="90"/>
    </row>
    <row r="452">
      <c r="A452" s="2" t="str">
        <f t="shared" si="1"/>
        <v/>
      </c>
      <c r="B452" s="4"/>
      <c r="C452" s="4"/>
      <c r="D452" s="3" t="str">
        <f t="shared" si="2"/>
        <v/>
      </c>
      <c r="E452" s="4"/>
      <c r="F452" s="2" t="str">
        <f>IFERROR(__xludf.DUMMYFUNCTION("IF(E452="""","""",IF(COUNTIFS(D$1:D451,D452,E$1:E451,E452)&gt;0,INDEX(filter(F$1:F451,D$1:D451=D452,E$1:E451=E452),1),""Selecciona..""))"),"")</f>
        <v/>
      </c>
      <c r="G452" s="2" t="str">
        <f>IFERROR(__xludf.DUMMYFUNCTION("IF($E452="""","""",IF(COUNTIFS($D$1:$D451,$D452,$E$1:$E451,$E452)&gt;0,INDEX(filter(G$1:G451,$D$1:$D451=$D452,$E$1:$E451=E452),1),""Selecciona..""))"),"")</f>
        <v/>
      </c>
      <c r="H452" s="4" t="str">
        <f>IF(D452="","",COUNTIF(Productos!G:G,C452))</f>
        <v/>
      </c>
      <c r="J452" s="90"/>
    </row>
    <row r="453">
      <c r="A453" s="2" t="str">
        <f t="shared" si="1"/>
        <v/>
      </c>
      <c r="B453" s="4"/>
      <c r="C453" s="4"/>
      <c r="D453" s="3" t="str">
        <f t="shared" si="2"/>
        <v/>
      </c>
      <c r="E453" s="4"/>
      <c r="F453" s="2" t="str">
        <f>IFERROR(__xludf.DUMMYFUNCTION("IF(E453="""","""",IF(COUNTIFS(D$1:D452,D453,E$1:E452,E453)&gt;0,INDEX(filter(F$1:F452,D$1:D452=D453,E$1:E452=E453),1),""Selecciona..""))"),"")</f>
        <v/>
      </c>
      <c r="G453" s="2" t="str">
        <f>IFERROR(__xludf.DUMMYFUNCTION("IF($E453="""","""",IF(COUNTIFS($D$1:$D452,$D453,$E$1:$E452,$E453)&gt;0,INDEX(filter(G$1:G452,$D$1:$D452=$D453,$E$1:$E452=E453),1),""Selecciona..""))"),"")</f>
        <v/>
      </c>
      <c r="H453" s="4" t="str">
        <f>IF(D453="","",COUNTIF(Productos!G:G,C453))</f>
        <v/>
      </c>
      <c r="J453" s="90"/>
    </row>
    <row r="454">
      <c r="A454" s="2" t="str">
        <f t="shared" si="1"/>
        <v/>
      </c>
      <c r="B454" s="4"/>
      <c r="C454" s="4"/>
      <c r="D454" s="3" t="str">
        <f t="shared" si="2"/>
        <v/>
      </c>
      <c r="E454" s="4"/>
      <c r="F454" s="2" t="str">
        <f>IFERROR(__xludf.DUMMYFUNCTION("IF(E454="""","""",IF(COUNTIFS(D$1:D453,D454,E$1:E453,E454)&gt;0,INDEX(filter(F$1:F453,D$1:D453=D454,E$1:E453=E454),1),""Selecciona..""))"),"")</f>
        <v/>
      </c>
      <c r="G454" s="2" t="str">
        <f>IFERROR(__xludf.DUMMYFUNCTION("IF($E454="""","""",IF(COUNTIFS($D$1:$D453,$D454,$E$1:$E453,$E454)&gt;0,INDEX(filter(G$1:G453,$D$1:$D453=$D454,$E$1:$E453=E454),1),""Selecciona..""))"),"")</f>
        <v/>
      </c>
      <c r="H454" s="4" t="str">
        <f>IF(D454="","",COUNTIF(Productos!G:G,C454))</f>
        <v/>
      </c>
      <c r="J454" s="90"/>
    </row>
    <row r="455">
      <c r="A455" s="2" t="str">
        <f t="shared" si="1"/>
        <v/>
      </c>
      <c r="B455" s="4"/>
      <c r="C455" s="4"/>
      <c r="D455" s="3" t="str">
        <f t="shared" si="2"/>
        <v/>
      </c>
      <c r="E455" s="4"/>
      <c r="F455" s="2" t="str">
        <f>IFERROR(__xludf.DUMMYFUNCTION("IF(E455="""","""",IF(COUNTIFS(D$1:D454,D455,E$1:E454,E455)&gt;0,INDEX(filter(F$1:F454,D$1:D454=D455,E$1:E454=E455),1),""Selecciona..""))"),"")</f>
        <v/>
      </c>
      <c r="G455" s="2" t="str">
        <f>IFERROR(__xludf.DUMMYFUNCTION("IF($E455="""","""",IF(COUNTIFS($D$1:$D454,$D455,$E$1:$E454,$E455)&gt;0,INDEX(filter(G$1:G454,$D$1:$D454=$D455,$E$1:$E454=E455),1),""Selecciona..""))"),"")</f>
        <v/>
      </c>
      <c r="H455" s="4" t="str">
        <f>IF(D455="","",COUNTIF(Productos!G:G,C455))</f>
        <v/>
      </c>
      <c r="J455" s="90"/>
    </row>
    <row r="456">
      <c r="A456" s="2" t="str">
        <f t="shared" si="1"/>
        <v/>
      </c>
      <c r="B456" s="4"/>
      <c r="C456" s="4"/>
      <c r="D456" s="3" t="str">
        <f t="shared" si="2"/>
        <v/>
      </c>
      <c r="E456" s="4"/>
      <c r="F456" s="2" t="str">
        <f>IFERROR(__xludf.DUMMYFUNCTION("IF(E456="""","""",IF(COUNTIFS(D$1:D455,D456,E$1:E455,E456)&gt;0,INDEX(filter(F$1:F455,D$1:D455=D456,E$1:E455=E456),1),""Selecciona..""))"),"")</f>
        <v/>
      </c>
      <c r="G456" s="2" t="str">
        <f>IFERROR(__xludf.DUMMYFUNCTION("IF($E456="""","""",IF(COUNTIFS($D$1:$D455,$D456,$E$1:$E455,$E456)&gt;0,INDEX(filter(G$1:G455,$D$1:$D455=$D456,$E$1:$E455=E456),1),""Selecciona..""))"),"")</f>
        <v/>
      </c>
      <c r="H456" s="4" t="str">
        <f>IF(D456="","",COUNTIF(Productos!G:G,C456))</f>
        <v/>
      </c>
      <c r="J456" s="90"/>
    </row>
    <row r="457">
      <c r="A457" s="2" t="str">
        <f t="shared" si="1"/>
        <v/>
      </c>
      <c r="B457" s="4"/>
      <c r="C457" s="4"/>
      <c r="D457" s="3" t="str">
        <f t="shared" si="2"/>
        <v/>
      </c>
      <c r="E457" s="4"/>
      <c r="F457" s="2" t="str">
        <f>IFERROR(__xludf.DUMMYFUNCTION("IF(E457="""","""",IF(COUNTIFS(D$1:D456,D457,E$1:E456,E457)&gt;0,INDEX(filter(F$1:F456,D$1:D456=D457,E$1:E456=E457),1),""Selecciona..""))"),"")</f>
        <v/>
      </c>
      <c r="G457" s="2" t="str">
        <f>IFERROR(__xludf.DUMMYFUNCTION("IF($E457="""","""",IF(COUNTIFS($D$1:$D456,$D457,$E$1:$E456,$E457)&gt;0,INDEX(filter(G$1:G456,$D$1:$D456=$D457,$E$1:$E456=E457),1),""Selecciona..""))"),"")</f>
        <v/>
      </c>
      <c r="H457" s="4" t="str">
        <f>IF(D457="","",COUNTIF(Productos!G:G,C457))</f>
        <v/>
      </c>
      <c r="J457" s="90"/>
    </row>
    <row r="458">
      <c r="A458" s="2" t="str">
        <f t="shared" si="1"/>
        <v/>
      </c>
      <c r="B458" s="4"/>
      <c r="C458" s="4"/>
      <c r="D458" s="3" t="str">
        <f t="shared" si="2"/>
        <v/>
      </c>
      <c r="E458" s="4"/>
      <c r="F458" s="2" t="str">
        <f>IFERROR(__xludf.DUMMYFUNCTION("IF(E458="""","""",IF(COUNTIFS(D$1:D457,D458,E$1:E457,E458)&gt;0,INDEX(filter(F$1:F457,D$1:D457=D458,E$1:E457=E458),1),""Selecciona..""))"),"")</f>
        <v/>
      </c>
      <c r="G458" s="2" t="str">
        <f>IFERROR(__xludf.DUMMYFUNCTION("IF($E458="""","""",IF(COUNTIFS($D$1:$D457,$D458,$E$1:$E457,$E458)&gt;0,INDEX(filter(G$1:G457,$D$1:$D457=$D458,$E$1:$E457=E458),1),""Selecciona..""))"),"")</f>
        <v/>
      </c>
      <c r="H458" s="4" t="str">
        <f>IF(D458="","",COUNTIF(Productos!G:G,C458))</f>
        <v/>
      </c>
      <c r="J458" s="90"/>
    </row>
    <row r="459">
      <c r="A459" s="2" t="str">
        <f t="shared" si="1"/>
        <v/>
      </c>
      <c r="B459" s="4"/>
      <c r="C459" s="4"/>
      <c r="D459" s="3" t="str">
        <f t="shared" si="2"/>
        <v/>
      </c>
      <c r="E459" s="4"/>
      <c r="F459" s="2" t="str">
        <f>IFERROR(__xludf.DUMMYFUNCTION("IF(E459="""","""",IF(COUNTIFS(D$1:D458,D459,E$1:E458,E459)&gt;0,INDEX(filter(F$1:F458,D$1:D458=D459,E$1:E458=E459),1),""Selecciona..""))"),"")</f>
        <v/>
      </c>
      <c r="G459" s="2" t="str">
        <f>IFERROR(__xludf.DUMMYFUNCTION("IF($E459="""","""",IF(COUNTIFS($D$1:$D458,$D459,$E$1:$E458,$E459)&gt;0,INDEX(filter(G$1:G458,$D$1:$D458=$D459,$E$1:$E458=E459),1),""Selecciona..""))"),"")</f>
        <v/>
      </c>
      <c r="H459" s="4" t="str">
        <f>IF(D459="","",COUNTIF(Productos!G:G,C459))</f>
        <v/>
      </c>
      <c r="J459" s="90"/>
    </row>
    <row r="460">
      <c r="A460" s="2" t="str">
        <f t="shared" si="1"/>
        <v/>
      </c>
      <c r="B460" s="4"/>
      <c r="C460" s="4"/>
      <c r="D460" s="3" t="str">
        <f t="shared" si="2"/>
        <v/>
      </c>
      <c r="E460" s="4"/>
      <c r="F460" s="2" t="str">
        <f>IFERROR(__xludf.DUMMYFUNCTION("IF(E460="""","""",IF(COUNTIFS(D$1:D459,D460,E$1:E459,E460)&gt;0,INDEX(filter(F$1:F459,D$1:D459=D460,E$1:E459=E460),1),""Selecciona..""))"),"")</f>
        <v/>
      </c>
      <c r="G460" s="2" t="str">
        <f>IFERROR(__xludf.DUMMYFUNCTION("IF($E460="""","""",IF(COUNTIFS($D$1:$D459,$D460,$E$1:$E459,$E460)&gt;0,INDEX(filter(G$1:G459,$D$1:$D459=$D460,$E$1:$E459=E460),1),""Selecciona..""))"),"")</f>
        <v/>
      </c>
      <c r="H460" s="4" t="str">
        <f>IF(D460="","",COUNTIF(Productos!G:G,C460))</f>
        <v/>
      </c>
      <c r="J460" s="90"/>
    </row>
    <row r="461">
      <c r="A461" s="2" t="str">
        <f t="shared" si="1"/>
        <v/>
      </c>
      <c r="B461" s="4"/>
      <c r="C461" s="4"/>
      <c r="D461" s="3" t="str">
        <f t="shared" si="2"/>
        <v/>
      </c>
      <c r="E461" s="4"/>
      <c r="F461" s="2" t="str">
        <f>IFERROR(__xludf.DUMMYFUNCTION("IF(E461="""","""",IF(COUNTIFS(D$1:D460,D461,E$1:E460,E461)&gt;0,INDEX(filter(F$1:F460,D$1:D460=D461,E$1:E460=E461),1),""Selecciona..""))"),"")</f>
        <v/>
      </c>
      <c r="G461" s="2" t="str">
        <f>IFERROR(__xludf.DUMMYFUNCTION("IF($E461="""","""",IF(COUNTIFS($D$1:$D460,$D461,$E$1:$E460,$E461)&gt;0,INDEX(filter(G$1:G460,$D$1:$D460=$D461,$E$1:$E460=E461),1),""Selecciona..""))"),"")</f>
        <v/>
      </c>
      <c r="H461" s="4" t="str">
        <f>IF(D461="","",COUNTIF(Productos!G:G,C461))</f>
        <v/>
      </c>
      <c r="J461" s="90"/>
    </row>
    <row r="462">
      <c r="A462" s="2" t="str">
        <f t="shared" si="1"/>
        <v/>
      </c>
      <c r="B462" s="4"/>
      <c r="C462" s="4"/>
      <c r="D462" s="3" t="str">
        <f t="shared" si="2"/>
        <v/>
      </c>
      <c r="E462" s="4"/>
      <c r="F462" s="2" t="str">
        <f>IFERROR(__xludf.DUMMYFUNCTION("IF(E462="""","""",IF(COUNTIFS(D$1:D461,D462,E$1:E461,E462)&gt;0,INDEX(filter(F$1:F461,D$1:D461=D462,E$1:E461=E462),1),""Selecciona..""))"),"")</f>
        <v/>
      </c>
      <c r="G462" s="2" t="str">
        <f>IFERROR(__xludf.DUMMYFUNCTION("IF($E462="""","""",IF(COUNTIFS($D$1:$D461,$D462,$E$1:$E461,$E462)&gt;0,INDEX(filter(G$1:G461,$D$1:$D461=$D462,$E$1:$E461=E462),1),""Selecciona..""))"),"")</f>
        <v/>
      </c>
      <c r="H462" s="4" t="str">
        <f>IF(D462="","",COUNTIF(Productos!G:G,C462))</f>
        <v/>
      </c>
      <c r="J462" s="90"/>
    </row>
    <row r="463">
      <c r="A463" s="2" t="str">
        <f t="shared" si="1"/>
        <v/>
      </c>
      <c r="B463" s="4"/>
      <c r="C463" s="4"/>
      <c r="D463" s="3" t="str">
        <f t="shared" si="2"/>
        <v/>
      </c>
      <c r="E463" s="4"/>
      <c r="F463" s="2" t="str">
        <f>IFERROR(__xludf.DUMMYFUNCTION("IF(E463="""","""",IF(COUNTIFS(D$1:D462,D463,E$1:E462,E463)&gt;0,INDEX(filter(F$1:F462,D$1:D462=D463,E$1:E462=E463),1),""Selecciona..""))"),"")</f>
        <v/>
      </c>
      <c r="G463" s="2" t="str">
        <f>IFERROR(__xludf.DUMMYFUNCTION("IF($E463="""","""",IF(COUNTIFS($D$1:$D462,$D463,$E$1:$E462,$E463)&gt;0,INDEX(filter(G$1:G462,$D$1:$D462=$D463,$E$1:$E462=E463),1),""Selecciona..""))"),"")</f>
        <v/>
      </c>
      <c r="H463" s="4" t="str">
        <f>IF(D463="","",COUNTIF(Productos!G:G,C463))</f>
        <v/>
      </c>
      <c r="J463" s="90"/>
    </row>
    <row r="464">
      <c r="A464" s="2" t="str">
        <f t="shared" si="1"/>
        <v/>
      </c>
      <c r="B464" s="4"/>
      <c r="C464" s="4"/>
      <c r="D464" s="3" t="str">
        <f t="shared" si="2"/>
        <v/>
      </c>
      <c r="E464" s="4"/>
      <c r="F464" s="2" t="str">
        <f>IFERROR(__xludf.DUMMYFUNCTION("IF(E464="""","""",IF(COUNTIFS(D$1:D463,D464,E$1:E463,E464)&gt;0,INDEX(filter(F$1:F463,D$1:D463=D464,E$1:E463=E464),1),""Selecciona..""))"),"")</f>
        <v/>
      </c>
      <c r="G464" s="2" t="str">
        <f>IFERROR(__xludf.DUMMYFUNCTION("IF($E464="""","""",IF(COUNTIFS($D$1:$D463,$D464,$E$1:$E463,$E464)&gt;0,INDEX(filter(G$1:G463,$D$1:$D463=$D464,$E$1:$E463=E464),1),""Selecciona..""))"),"")</f>
        <v/>
      </c>
      <c r="H464" s="4" t="str">
        <f>IF(D464="","",COUNTIF(Productos!G:G,C464))</f>
        <v/>
      </c>
      <c r="J464" s="90"/>
    </row>
    <row r="465">
      <c r="A465" s="2" t="str">
        <f t="shared" si="1"/>
        <v/>
      </c>
      <c r="B465" s="4"/>
      <c r="C465" s="4"/>
      <c r="D465" s="3" t="str">
        <f t="shared" si="2"/>
        <v/>
      </c>
      <c r="E465" s="4"/>
      <c r="F465" s="2" t="str">
        <f>IFERROR(__xludf.DUMMYFUNCTION("IF(E465="""","""",IF(COUNTIFS(D$1:D464,D465,E$1:E464,E465)&gt;0,INDEX(filter(F$1:F464,D$1:D464=D465,E$1:E464=E465),1),""Selecciona..""))"),"")</f>
        <v/>
      </c>
      <c r="G465" s="2" t="str">
        <f>IFERROR(__xludf.DUMMYFUNCTION("IF($E465="""","""",IF(COUNTIFS($D$1:$D464,$D465,$E$1:$E464,$E465)&gt;0,INDEX(filter(G$1:G464,$D$1:$D464=$D465,$E$1:$E464=E465),1),""Selecciona..""))"),"")</f>
        <v/>
      </c>
      <c r="H465" s="4" t="str">
        <f>IF(D465="","",COUNTIF(Productos!G:G,C465))</f>
        <v/>
      </c>
      <c r="J465" s="90"/>
    </row>
    <row r="466">
      <c r="A466" s="2" t="str">
        <f t="shared" si="1"/>
        <v/>
      </c>
      <c r="B466" s="4"/>
      <c r="C466" s="4"/>
      <c r="D466" s="3" t="str">
        <f t="shared" si="2"/>
        <v/>
      </c>
      <c r="E466" s="4"/>
      <c r="F466" s="2" t="str">
        <f>IFERROR(__xludf.DUMMYFUNCTION("IF(E466="""","""",IF(COUNTIFS(D$1:D465,D466,E$1:E465,E466)&gt;0,INDEX(filter(F$1:F465,D$1:D465=D466,E$1:E465=E466),1),""Selecciona..""))"),"")</f>
        <v/>
      </c>
      <c r="G466" s="2" t="str">
        <f>IFERROR(__xludf.DUMMYFUNCTION("IF($E466="""","""",IF(COUNTIFS($D$1:$D465,$D466,$E$1:$E465,$E466)&gt;0,INDEX(filter(G$1:G465,$D$1:$D465=$D466,$E$1:$E465=E466),1),""Selecciona..""))"),"")</f>
        <v/>
      </c>
      <c r="H466" s="4" t="str">
        <f>IF(D466="","",COUNTIF(Productos!G:G,C466))</f>
        <v/>
      </c>
      <c r="J466" s="90"/>
    </row>
    <row r="467">
      <c r="A467" s="2" t="str">
        <f t="shared" si="1"/>
        <v/>
      </c>
      <c r="B467" s="4"/>
      <c r="C467" s="4"/>
      <c r="D467" s="3" t="str">
        <f t="shared" si="2"/>
        <v/>
      </c>
      <c r="E467" s="4"/>
      <c r="F467" s="2" t="str">
        <f>IFERROR(__xludf.DUMMYFUNCTION("IF(E467="""","""",IF(COUNTIFS(D$1:D466,D467,E$1:E466,E467)&gt;0,INDEX(filter(F$1:F466,D$1:D466=D467,E$1:E466=E467),1),""Selecciona..""))"),"")</f>
        <v/>
      </c>
      <c r="G467" s="2" t="str">
        <f>IFERROR(__xludf.DUMMYFUNCTION("IF($E467="""","""",IF(COUNTIFS($D$1:$D466,$D467,$E$1:$E466,$E467)&gt;0,INDEX(filter(G$1:G466,$D$1:$D466=$D467,$E$1:$E466=E467),1),""Selecciona..""))"),"")</f>
        <v/>
      </c>
      <c r="H467" s="4" t="str">
        <f>IF(D467="","",COUNTIF(Productos!G:G,C467))</f>
        <v/>
      </c>
      <c r="J467" s="90"/>
    </row>
    <row r="468">
      <c r="A468" s="2" t="str">
        <f t="shared" si="1"/>
        <v/>
      </c>
      <c r="B468" s="4"/>
      <c r="C468" s="4"/>
      <c r="D468" s="3" t="str">
        <f t="shared" si="2"/>
        <v/>
      </c>
      <c r="E468" s="4"/>
      <c r="F468" s="2" t="str">
        <f>IFERROR(__xludf.DUMMYFUNCTION("IF(E468="""","""",IF(COUNTIFS(D$1:D467,D468,E$1:E467,E468)&gt;0,INDEX(filter(F$1:F467,D$1:D467=D468,E$1:E467=E468),1),""Selecciona..""))"),"")</f>
        <v/>
      </c>
      <c r="G468" s="2" t="str">
        <f>IFERROR(__xludf.DUMMYFUNCTION("IF($E468="""","""",IF(COUNTIFS($D$1:$D467,$D468,$E$1:$E467,$E468)&gt;0,INDEX(filter(G$1:G467,$D$1:$D467=$D468,$E$1:$E467=E468),1),""Selecciona..""))"),"")</f>
        <v/>
      </c>
      <c r="H468" s="4" t="str">
        <f>IF(D468="","",COUNTIF(Productos!G:G,C468))</f>
        <v/>
      </c>
      <c r="J468" s="90"/>
    </row>
    <row r="469">
      <c r="A469" s="2" t="str">
        <f t="shared" si="1"/>
        <v/>
      </c>
      <c r="B469" s="4"/>
      <c r="C469" s="4"/>
      <c r="D469" s="3" t="str">
        <f t="shared" si="2"/>
        <v/>
      </c>
      <c r="E469" s="4"/>
      <c r="F469" s="2" t="str">
        <f>IFERROR(__xludf.DUMMYFUNCTION("IF(E469="""","""",IF(COUNTIFS(D$1:D468,D469,E$1:E468,E469)&gt;0,INDEX(filter(F$1:F468,D$1:D468=D469,E$1:E468=E469),1),""Selecciona..""))"),"")</f>
        <v/>
      </c>
      <c r="G469" s="2" t="str">
        <f>IFERROR(__xludf.DUMMYFUNCTION("IF($E469="""","""",IF(COUNTIFS($D$1:$D468,$D469,$E$1:$E468,$E469)&gt;0,INDEX(filter(G$1:G468,$D$1:$D468=$D469,$E$1:$E468=E469),1),""Selecciona..""))"),"")</f>
        <v/>
      </c>
      <c r="H469" s="4" t="str">
        <f>IF(D469="","",COUNTIF(Productos!G:G,C469))</f>
        <v/>
      </c>
      <c r="J469" s="90"/>
    </row>
    <row r="470">
      <c r="A470" s="2" t="str">
        <f t="shared" si="1"/>
        <v/>
      </c>
      <c r="B470" s="4"/>
      <c r="C470" s="4"/>
      <c r="D470" s="3" t="str">
        <f t="shared" si="2"/>
        <v/>
      </c>
      <c r="E470" s="4"/>
      <c r="F470" s="2" t="str">
        <f>IFERROR(__xludf.DUMMYFUNCTION("IF(E470="""","""",IF(COUNTIFS(D$1:D469,D470,E$1:E469,E470)&gt;0,INDEX(filter(F$1:F469,D$1:D469=D470,E$1:E469=E470),1),""Selecciona..""))"),"")</f>
        <v/>
      </c>
      <c r="G470" s="2" t="str">
        <f>IFERROR(__xludf.DUMMYFUNCTION("IF($E470="""","""",IF(COUNTIFS($D$1:$D469,$D470,$E$1:$E469,$E470)&gt;0,INDEX(filter(G$1:G469,$D$1:$D469=$D470,$E$1:$E469=E470),1),""Selecciona..""))"),"")</f>
        <v/>
      </c>
      <c r="H470" s="4" t="str">
        <f>IF(D470="","",COUNTIF(Productos!G:G,C470))</f>
        <v/>
      </c>
      <c r="J470" s="90"/>
    </row>
    <row r="471">
      <c r="A471" s="2" t="str">
        <f t="shared" si="1"/>
        <v/>
      </c>
      <c r="B471" s="4"/>
      <c r="C471" s="4"/>
      <c r="D471" s="3" t="str">
        <f t="shared" si="2"/>
        <v/>
      </c>
      <c r="E471" s="4"/>
      <c r="F471" s="2" t="str">
        <f>IFERROR(__xludf.DUMMYFUNCTION("IF(E471="""","""",IF(COUNTIFS(D$1:D470,D471,E$1:E470,E471)&gt;0,INDEX(filter(F$1:F470,D$1:D470=D471,E$1:E470=E471),1),""Selecciona..""))"),"")</f>
        <v/>
      </c>
      <c r="G471" s="2" t="str">
        <f>IFERROR(__xludf.DUMMYFUNCTION("IF($E471="""","""",IF(COUNTIFS($D$1:$D470,$D471,$E$1:$E470,$E471)&gt;0,INDEX(filter(G$1:G470,$D$1:$D470=$D471,$E$1:$E470=E471),1),""Selecciona..""))"),"")</f>
        <v/>
      </c>
      <c r="H471" s="4" t="str">
        <f>IF(D471="","",COUNTIF(Productos!G:G,C471))</f>
        <v/>
      </c>
      <c r="J471" s="90"/>
    </row>
    <row r="472">
      <c r="A472" s="2" t="str">
        <f t="shared" si="1"/>
        <v/>
      </c>
      <c r="B472" s="4"/>
      <c r="C472" s="4"/>
      <c r="D472" s="3" t="str">
        <f t="shared" si="2"/>
        <v/>
      </c>
      <c r="E472" s="4"/>
      <c r="F472" s="2" t="str">
        <f>IFERROR(__xludf.DUMMYFUNCTION("IF(E472="""","""",IF(COUNTIFS(D$1:D471,D472,E$1:E471,E472)&gt;0,INDEX(filter(F$1:F471,D$1:D471=D472,E$1:E471=E472),1),""Selecciona..""))"),"")</f>
        <v/>
      </c>
      <c r="G472" s="2" t="str">
        <f>IFERROR(__xludf.DUMMYFUNCTION("IF($E472="""","""",IF(COUNTIFS($D$1:$D471,$D472,$E$1:$E471,$E472)&gt;0,INDEX(filter(G$1:G471,$D$1:$D471=$D472,$E$1:$E471=E472),1),""Selecciona..""))"),"")</f>
        <v/>
      </c>
      <c r="H472" s="4" t="str">
        <f>IF(D472="","",COUNTIF(Productos!G:G,C472))</f>
        <v/>
      </c>
      <c r="J472" s="90"/>
    </row>
    <row r="473">
      <c r="A473" s="2" t="str">
        <f t="shared" si="1"/>
        <v/>
      </c>
      <c r="B473" s="4"/>
      <c r="C473" s="4"/>
      <c r="D473" s="3" t="str">
        <f t="shared" si="2"/>
        <v/>
      </c>
      <c r="E473" s="4"/>
      <c r="F473" s="2" t="str">
        <f>IFERROR(__xludf.DUMMYFUNCTION("IF(E473="""","""",IF(COUNTIFS(D$1:D472,D473,E$1:E472,E473)&gt;0,INDEX(filter(F$1:F472,D$1:D472=D473,E$1:E472=E473),1),""Selecciona..""))"),"")</f>
        <v/>
      </c>
      <c r="G473" s="2" t="str">
        <f>IFERROR(__xludf.DUMMYFUNCTION("IF($E473="""","""",IF(COUNTIFS($D$1:$D472,$D473,$E$1:$E472,$E473)&gt;0,INDEX(filter(G$1:G472,$D$1:$D472=$D473,$E$1:$E472=E473),1),""Selecciona..""))"),"")</f>
        <v/>
      </c>
      <c r="H473" s="4" t="str">
        <f>IF(D473="","",COUNTIF(Productos!G:G,C473))</f>
        <v/>
      </c>
      <c r="J473" s="90"/>
    </row>
    <row r="474">
      <c r="A474" s="2" t="str">
        <f t="shared" si="1"/>
        <v/>
      </c>
      <c r="B474" s="4"/>
      <c r="C474" s="4"/>
      <c r="D474" s="3" t="str">
        <f t="shared" si="2"/>
        <v/>
      </c>
      <c r="E474" s="4"/>
      <c r="F474" s="2" t="str">
        <f>IFERROR(__xludf.DUMMYFUNCTION("IF(E474="""","""",IF(COUNTIFS(D$1:D473,D474,E$1:E473,E474)&gt;0,INDEX(filter(F$1:F473,D$1:D473=D474,E$1:E473=E474),1),""Selecciona..""))"),"")</f>
        <v/>
      </c>
      <c r="G474" s="2" t="str">
        <f>IFERROR(__xludf.DUMMYFUNCTION("IF($E474="""","""",IF(COUNTIFS($D$1:$D473,$D474,$E$1:$E473,$E474)&gt;0,INDEX(filter(G$1:G473,$D$1:$D473=$D474,$E$1:$E473=E474),1),""Selecciona..""))"),"")</f>
        <v/>
      </c>
      <c r="H474" s="4" t="str">
        <f>IF(D474="","",COUNTIF(Productos!G:G,C474))</f>
        <v/>
      </c>
      <c r="J474" s="90"/>
    </row>
    <row r="475">
      <c r="A475" s="2" t="str">
        <f t="shared" si="1"/>
        <v/>
      </c>
      <c r="B475" s="4"/>
      <c r="C475" s="4"/>
      <c r="D475" s="3" t="str">
        <f t="shared" si="2"/>
        <v/>
      </c>
      <c r="E475" s="4"/>
      <c r="F475" s="2" t="str">
        <f>IFERROR(__xludf.DUMMYFUNCTION("IF(E475="""","""",IF(COUNTIFS(D$1:D474,D475,E$1:E474,E475)&gt;0,INDEX(filter(F$1:F474,D$1:D474=D475,E$1:E474=E475),1),""Selecciona..""))"),"")</f>
        <v/>
      </c>
      <c r="G475" s="2" t="str">
        <f>IFERROR(__xludf.DUMMYFUNCTION("IF($E475="""","""",IF(COUNTIFS($D$1:$D474,$D475,$E$1:$E474,$E475)&gt;0,INDEX(filter(G$1:G474,$D$1:$D474=$D475,$E$1:$E474=E475),1),""Selecciona..""))"),"")</f>
        <v/>
      </c>
      <c r="H475" s="4" t="str">
        <f>IF(D475="","",COUNTIF(Productos!G:G,C475))</f>
        <v/>
      </c>
      <c r="J475" s="90"/>
    </row>
    <row r="476">
      <c r="A476" s="2" t="str">
        <f t="shared" si="1"/>
        <v/>
      </c>
      <c r="B476" s="4"/>
      <c r="C476" s="4"/>
      <c r="D476" s="3" t="str">
        <f t="shared" si="2"/>
        <v/>
      </c>
      <c r="E476" s="4"/>
      <c r="F476" s="2" t="str">
        <f>IFERROR(__xludf.DUMMYFUNCTION("IF(E476="""","""",IF(COUNTIFS(D$1:D475,D476,E$1:E475,E476)&gt;0,INDEX(filter(F$1:F475,D$1:D475=D476,E$1:E475=E476),1),""Selecciona..""))"),"")</f>
        <v/>
      </c>
      <c r="G476" s="2" t="str">
        <f>IFERROR(__xludf.DUMMYFUNCTION("IF($E476="""","""",IF(COUNTIFS($D$1:$D475,$D476,$E$1:$E475,$E476)&gt;0,INDEX(filter(G$1:G475,$D$1:$D475=$D476,$E$1:$E475=E476),1),""Selecciona..""))"),"")</f>
        <v/>
      </c>
      <c r="H476" s="4" t="str">
        <f>IF(D476="","",COUNTIF(Productos!G:G,C476))</f>
        <v/>
      </c>
      <c r="J476" s="90"/>
    </row>
    <row r="477">
      <c r="A477" s="2" t="str">
        <f t="shared" si="1"/>
        <v/>
      </c>
      <c r="B477" s="4"/>
      <c r="C477" s="4"/>
      <c r="D477" s="3" t="str">
        <f t="shared" si="2"/>
        <v/>
      </c>
      <c r="E477" s="4"/>
      <c r="F477" s="2" t="str">
        <f>IFERROR(__xludf.DUMMYFUNCTION("IF(E477="""","""",IF(COUNTIFS(D$1:D476,D477,E$1:E476,E477)&gt;0,INDEX(filter(F$1:F476,D$1:D476=D477,E$1:E476=E477),1),""Selecciona..""))"),"")</f>
        <v/>
      </c>
      <c r="G477" s="2" t="str">
        <f>IFERROR(__xludf.DUMMYFUNCTION("IF($E477="""","""",IF(COUNTIFS($D$1:$D476,$D477,$E$1:$E476,$E477)&gt;0,INDEX(filter(G$1:G476,$D$1:$D476=$D477,$E$1:$E476=E477),1),""Selecciona..""))"),"")</f>
        <v/>
      </c>
      <c r="H477" s="4" t="str">
        <f>IF(D477="","",COUNTIF(Productos!G:G,C477))</f>
        <v/>
      </c>
      <c r="J477" s="90"/>
    </row>
    <row r="478">
      <c r="A478" s="2" t="str">
        <f t="shared" si="1"/>
        <v/>
      </c>
      <c r="B478" s="4"/>
      <c r="C478" s="4"/>
      <c r="D478" s="3" t="str">
        <f t="shared" si="2"/>
        <v/>
      </c>
      <c r="E478" s="4"/>
      <c r="F478" s="2" t="str">
        <f>IFERROR(__xludf.DUMMYFUNCTION("IF(E478="""","""",IF(COUNTIFS(D$1:D477,D478,E$1:E477,E478)&gt;0,INDEX(filter(F$1:F477,D$1:D477=D478,E$1:E477=E478),1),""Selecciona..""))"),"")</f>
        <v/>
      </c>
      <c r="G478" s="2" t="str">
        <f>IFERROR(__xludf.DUMMYFUNCTION("IF($E478="""","""",IF(COUNTIFS($D$1:$D477,$D478,$E$1:$E477,$E478)&gt;0,INDEX(filter(G$1:G477,$D$1:$D477=$D478,$E$1:$E477=E478),1),""Selecciona..""))"),"")</f>
        <v/>
      </c>
      <c r="H478" s="4" t="str">
        <f>IF(D478="","",COUNTIF(Productos!G:G,C478))</f>
        <v/>
      </c>
      <c r="J478" s="90"/>
    </row>
    <row r="479">
      <c r="A479" s="2" t="str">
        <f t="shared" si="1"/>
        <v/>
      </c>
      <c r="B479" s="4"/>
      <c r="C479" s="4"/>
      <c r="D479" s="3" t="str">
        <f t="shared" si="2"/>
        <v/>
      </c>
      <c r="E479" s="4"/>
      <c r="F479" s="2" t="str">
        <f>IFERROR(__xludf.DUMMYFUNCTION("IF(E479="""","""",IF(COUNTIFS(D$1:D478,D479,E$1:E478,E479)&gt;0,INDEX(filter(F$1:F478,D$1:D478=D479,E$1:E478=E479),1),""Selecciona..""))"),"")</f>
        <v/>
      </c>
      <c r="G479" s="2" t="str">
        <f>IFERROR(__xludf.DUMMYFUNCTION("IF($E479="""","""",IF(COUNTIFS($D$1:$D478,$D479,$E$1:$E478,$E479)&gt;0,INDEX(filter(G$1:G478,$D$1:$D478=$D479,$E$1:$E478=E479),1),""Selecciona..""))"),"")</f>
        <v/>
      </c>
      <c r="H479" s="4" t="str">
        <f>IF(D479="","",COUNTIF(Productos!G:G,C479))</f>
        <v/>
      </c>
      <c r="J479" s="90"/>
    </row>
    <row r="480">
      <c r="A480" s="2" t="str">
        <f t="shared" si="1"/>
        <v/>
      </c>
      <c r="B480" s="4"/>
      <c r="C480" s="4"/>
      <c r="D480" s="3" t="str">
        <f t="shared" si="2"/>
        <v/>
      </c>
      <c r="E480" s="4"/>
      <c r="F480" s="2" t="str">
        <f>IFERROR(__xludf.DUMMYFUNCTION("IF(E480="""","""",IF(COUNTIFS(D$1:D479,D480,E$1:E479,E480)&gt;0,INDEX(filter(F$1:F479,D$1:D479=D480,E$1:E479=E480),1),""Selecciona..""))"),"")</f>
        <v/>
      </c>
      <c r="G480" s="2" t="str">
        <f>IFERROR(__xludf.DUMMYFUNCTION("IF($E480="""","""",IF(COUNTIFS($D$1:$D479,$D480,$E$1:$E479,$E480)&gt;0,INDEX(filter(G$1:G479,$D$1:$D479=$D480,$E$1:$E479=E480),1),""Selecciona..""))"),"")</f>
        <v/>
      </c>
      <c r="H480" s="4" t="str">
        <f>IF(D480="","",COUNTIF(Productos!G:G,C480))</f>
        <v/>
      </c>
      <c r="J480" s="90"/>
    </row>
    <row r="481">
      <c r="A481" s="2" t="str">
        <f t="shared" si="1"/>
        <v/>
      </c>
      <c r="B481" s="4"/>
      <c r="C481" s="4"/>
      <c r="D481" s="3" t="str">
        <f t="shared" si="2"/>
        <v/>
      </c>
      <c r="E481" s="4"/>
      <c r="F481" s="2" t="str">
        <f>IFERROR(__xludf.DUMMYFUNCTION("IF(E481="""","""",IF(COUNTIFS(D$1:D480,D481,E$1:E480,E481)&gt;0,INDEX(filter(F$1:F480,D$1:D480=D481,E$1:E480=E481),1),""Selecciona..""))"),"")</f>
        <v/>
      </c>
      <c r="G481" s="2" t="str">
        <f>IFERROR(__xludf.DUMMYFUNCTION("IF($E481="""","""",IF(COUNTIFS($D$1:$D480,$D481,$E$1:$E480,$E481)&gt;0,INDEX(filter(G$1:G480,$D$1:$D480=$D481,$E$1:$E480=E481),1),""Selecciona..""))"),"")</f>
        <v/>
      </c>
      <c r="H481" s="4" t="str">
        <f>IF(D481="","",COUNTIF(Productos!G:G,C481))</f>
        <v/>
      </c>
      <c r="J481" s="90"/>
    </row>
    <row r="482">
      <c r="A482" s="2" t="str">
        <f t="shared" si="1"/>
        <v/>
      </c>
      <c r="B482" s="4"/>
      <c r="C482" s="4"/>
      <c r="D482" s="3" t="str">
        <f t="shared" si="2"/>
        <v/>
      </c>
      <c r="E482" s="4"/>
      <c r="F482" s="2" t="str">
        <f>IFERROR(__xludf.DUMMYFUNCTION("IF(E482="""","""",IF(COUNTIFS(D$1:D481,D482,E$1:E481,E482)&gt;0,INDEX(filter(F$1:F481,D$1:D481=D482,E$1:E481=E482),1),""Selecciona..""))"),"")</f>
        <v/>
      </c>
      <c r="G482" s="2" t="str">
        <f>IFERROR(__xludf.DUMMYFUNCTION("IF($E482="""","""",IF(COUNTIFS($D$1:$D481,$D482,$E$1:$E481,$E482)&gt;0,INDEX(filter(G$1:G481,$D$1:$D481=$D482,$E$1:$E481=E482),1),""Selecciona..""))"),"")</f>
        <v/>
      </c>
      <c r="H482" s="4" t="str">
        <f>IF(D482="","",COUNTIF(Productos!G:G,C482))</f>
        <v/>
      </c>
      <c r="J482" s="90"/>
    </row>
    <row r="483">
      <c r="A483" s="2" t="str">
        <f t="shared" si="1"/>
        <v/>
      </c>
      <c r="B483" s="4"/>
      <c r="C483" s="4"/>
      <c r="D483" s="3" t="str">
        <f t="shared" si="2"/>
        <v/>
      </c>
      <c r="E483" s="4"/>
      <c r="F483" s="2" t="str">
        <f>IFERROR(__xludf.DUMMYFUNCTION("IF(E483="""","""",IF(COUNTIFS(D$1:D482,D483,E$1:E482,E483)&gt;0,INDEX(filter(F$1:F482,D$1:D482=D483,E$1:E482=E483),1),""Selecciona..""))"),"")</f>
        <v/>
      </c>
      <c r="G483" s="2" t="str">
        <f>IFERROR(__xludf.DUMMYFUNCTION("IF($E483="""","""",IF(COUNTIFS($D$1:$D482,$D483,$E$1:$E482,$E483)&gt;0,INDEX(filter(G$1:G482,$D$1:$D482=$D483,$E$1:$E482=E483),1),""Selecciona..""))"),"")</f>
        <v/>
      </c>
      <c r="H483" s="4" t="str">
        <f>IF(D483="","",COUNTIF(Productos!G:G,C483))</f>
        <v/>
      </c>
      <c r="J483" s="90"/>
    </row>
    <row r="484">
      <c r="A484" s="2" t="str">
        <f t="shared" si="1"/>
        <v/>
      </c>
      <c r="B484" s="4"/>
      <c r="C484" s="4"/>
      <c r="D484" s="3" t="str">
        <f t="shared" si="2"/>
        <v/>
      </c>
      <c r="E484" s="4"/>
      <c r="F484" s="2" t="str">
        <f>IFERROR(__xludf.DUMMYFUNCTION("IF(E484="""","""",IF(COUNTIFS(D$1:D483,D484,E$1:E483,E484)&gt;0,INDEX(filter(F$1:F483,D$1:D483=D484,E$1:E483=E484),1),""Selecciona..""))"),"")</f>
        <v/>
      </c>
      <c r="G484" s="2" t="str">
        <f>IFERROR(__xludf.DUMMYFUNCTION("IF($E484="""","""",IF(COUNTIFS($D$1:$D483,$D484,$E$1:$E483,$E484)&gt;0,INDEX(filter(G$1:G483,$D$1:$D483=$D484,$E$1:$E483=E484),1),""Selecciona..""))"),"")</f>
        <v/>
      </c>
      <c r="H484" s="4" t="str">
        <f>IF(D484="","",COUNTIF(Productos!G:G,C484))</f>
        <v/>
      </c>
      <c r="J484" s="90"/>
    </row>
    <row r="485">
      <c r="A485" s="2" t="str">
        <f t="shared" si="1"/>
        <v/>
      </c>
      <c r="B485" s="4"/>
      <c r="C485" s="4"/>
      <c r="D485" s="3" t="str">
        <f t="shared" si="2"/>
        <v/>
      </c>
      <c r="E485" s="4"/>
      <c r="F485" s="2" t="str">
        <f>IFERROR(__xludf.DUMMYFUNCTION("IF(E485="""","""",IF(COUNTIFS(D$1:D484,D485,E$1:E484,E485)&gt;0,INDEX(filter(F$1:F484,D$1:D484=D485,E$1:E484=E485),1),""Selecciona..""))"),"")</f>
        <v/>
      </c>
      <c r="G485" s="2" t="str">
        <f>IFERROR(__xludf.DUMMYFUNCTION("IF($E485="""","""",IF(COUNTIFS($D$1:$D484,$D485,$E$1:$E484,$E485)&gt;0,INDEX(filter(G$1:G484,$D$1:$D484=$D485,$E$1:$E484=E485),1),""Selecciona..""))"),"")</f>
        <v/>
      </c>
      <c r="H485" s="4" t="str">
        <f>IF(D485="","",COUNTIF(Productos!G:G,C485))</f>
        <v/>
      </c>
      <c r="J485" s="90"/>
    </row>
    <row r="486">
      <c r="A486" s="2" t="str">
        <f t="shared" si="1"/>
        <v/>
      </c>
      <c r="B486" s="4"/>
      <c r="C486" s="4"/>
      <c r="D486" s="3" t="str">
        <f t="shared" si="2"/>
        <v/>
      </c>
      <c r="E486" s="4"/>
      <c r="F486" s="2" t="str">
        <f>IFERROR(__xludf.DUMMYFUNCTION("IF(E486="""","""",IF(COUNTIFS(D$1:D485,D486,E$1:E485,E486)&gt;0,INDEX(filter(F$1:F485,D$1:D485=D486,E$1:E485=E486),1),""Selecciona..""))"),"")</f>
        <v/>
      </c>
      <c r="G486" s="2" t="str">
        <f>IFERROR(__xludf.DUMMYFUNCTION("IF($E486="""","""",IF(COUNTIFS($D$1:$D485,$D486,$E$1:$E485,$E486)&gt;0,INDEX(filter(G$1:G485,$D$1:$D485=$D486,$E$1:$E485=E486),1),""Selecciona..""))"),"")</f>
        <v/>
      </c>
      <c r="H486" s="4" t="str">
        <f>IF(D486="","",COUNTIF(Productos!G:G,C486))</f>
        <v/>
      </c>
      <c r="J486" s="90"/>
    </row>
    <row r="487">
      <c r="A487" s="2" t="str">
        <f t="shared" si="1"/>
        <v/>
      </c>
      <c r="B487" s="4"/>
      <c r="C487" s="4"/>
      <c r="D487" s="3" t="str">
        <f t="shared" si="2"/>
        <v/>
      </c>
      <c r="E487" s="4"/>
      <c r="F487" s="2" t="str">
        <f>IFERROR(__xludf.DUMMYFUNCTION("IF(E487="""","""",IF(COUNTIFS(D$1:D486,D487,E$1:E486,E487)&gt;0,INDEX(filter(F$1:F486,D$1:D486=D487,E$1:E486=E487),1),""Selecciona..""))"),"")</f>
        <v/>
      </c>
      <c r="G487" s="2" t="str">
        <f>IFERROR(__xludf.DUMMYFUNCTION("IF($E487="""","""",IF(COUNTIFS($D$1:$D486,$D487,$E$1:$E486,$E487)&gt;0,INDEX(filter(G$1:G486,$D$1:$D486=$D487,$E$1:$E486=E487),1),""Selecciona..""))"),"")</f>
        <v/>
      </c>
      <c r="H487" s="4" t="str">
        <f>IF(D487="","",COUNTIF(Productos!G:G,C487))</f>
        <v/>
      </c>
      <c r="J487" s="90"/>
    </row>
    <row r="488">
      <c r="A488" s="2" t="str">
        <f t="shared" si="1"/>
        <v/>
      </c>
      <c r="B488" s="4"/>
      <c r="C488" s="4"/>
      <c r="D488" s="3" t="str">
        <f t="shared" si="2"/>
        <v/>
      </c>
      <c r="E488" s="4"/>
      <c r="F488" s="2" t="str">
        <f>IFERROR(__xludf.DUMMYFUNCTION("IF(E488="""","""",IF(COUNTIFS(D$1:D487,D488,E$1:E487,E488)&gt;0,INDEX(filter(F$1:F487,D$1:D487=D488,E$1:E487=E488),1),""Selecciona..""))"),"")</f>
        <v/>
      </c>
      <c r="G488" s="2" t="str">
        <f>IFERROR(__xludf.DUMMYFUNCTION("IF($E488="""","""",IF(COUNTIFS($D$1:$D487,$D488,$E$1:$E487,$E488)&gt;0,INDEX(filter(G$1:G487,$D$1:$D487=$D488,$E$1:$E487=E488),1),""Selecciona..""))"),"")</f>
        <v/>
      </c>
      <c r="H488" s="4" t="str">
        <f>IF(D488="","",COUNTIF(Productos!G:G,C488))</f>
        <v/>
      </c>
      <c r="J488" s="90"/>
    </row>
    <row r="489">
      <c r="A489" s="2" t="str">
        <f t="shared" si="1"/>
        <v/>
      </c>
      <c r="B489" s="4"/>
      <c r="C489" s="4"/>
      <c r="D489" s="3" t="str">
        <f t="shared" si="2"/>
        <v/>
      </c>
      <c r="E489" s="4"/>
      <c r="F489" s="2" t="str">
        <f>IFERROR(__xludf.DUMMYFUNCTION("IF(E489="""","""",IF(COUNTIFS(D$1:D488,D489,E$1:E488,E489)&gt;0,INDEX(filter(F$1:F488,D$1:D488=D489,E$1:E488=E489),1),""Selecciona..""))"),"")</f>
        <v/>
      </c>
      <c r="G489" s="2" t="str">
        <f>IFERROR(__xludf.DUMMYFUNCTION("IF($E489="""","""",IF(COUNTIFS($D$1:$D488,$D489,$E$1:$E488,$E489)&gt;0,INDEX(filter(G$1:G488,$D$1:$D488=$D489,$E$1:$E488=E489),1),""Selecciona..""))"),"")</f>
        <v/>
      </c>
      <c r="H489" s="4" t="str">
        <f>IF(D489="","",COUNTIF(Productos!G:G,C489))</f>
        <v/>
      </c>
      <c r="J489" s="90"/>
    </row>
    <row r="490">
      <c r="A490" s="2" t="str">
        <f t="shared" si="1"/>
        <v/>
      </c>
      <c r="B490" s="4"/>
      <c r="C490" s="4"/>
      <c r="D490" s="3" t="str">
        <f t="shared" si="2"/>
        <v/>
      </c>
      <c r="E490" s="4"/>
      <c r="F490" s="2" t="str">
        <f>IFERROR(__xludf.DUMMYFUNCTION("IF(E490="""","""",IF(COUNTIFS(D$1:D489,D490,E$1:E489,E490)&gt;0,INDEX(filter(F$1:F489,D$1:D489=D490,E$1:E489=E490),1),""Selecciona..""))"),"")</f>
        <v/>
      </c>
      <c r="G490" s="2" t="str">
        <f>IFERROR(__xludf.DUMMYFUNCTION("IF($E490="""","""",IF(COUNTIFS($D$1:$D489,$D490,$E$1:$E489,$E490)&gt;0,INDEX(filter(G$1:G489,$D$1:$D489=$D490,$E$1:$E489=E490),1),""Selecciona..""))"),"")</f>
        <v/>
      </c>
      <c r="H490" s="4" t="str">
        <f>IF(D490="","",COUNTIF(Productos!G:G,C490))</f>
        <v/>
      </c>
      <c r="J490" s="90"/>
    </row>
    <row r="491">
      <c r="A491" s="2" t="str">
        <f t="shared" si="1"/>
        <v/>
      </c>
      <c r="B491" s="4"/>
      <c r="C491" s="4"/>
      <c r="D491" s="3" t="str">
        <f t="shared" si="2"/>
        <v/>
      </c>
      <c r="E491" s="4"/>
      <c r="F491" s="2" t="str">
        <f>IFERROR(__xludf.DUMMYFUNCTION("IF(E491="""","""",IF(COUNTIFS(D$1:D490,D491,E$1:E490,E491)&gt;0,INDEX(filter(F$1:F490,D$1:D490=D491,E$1:E490=E491),1),""Selecciona..""))"),"")</f>
        <v/>
      </c>
      <c r="G491" s="2" t="str">
        <f>IFERROR(__xludf.DUMMYFUNCTION("IF($E491="""","""",IF(COUNTIFS($D$1:$D490,$D491,$E$1:$E490,$E491)&gt;0,INDEX(filter(G$1:G490,$D$1:$D490=$D491,$E$1:$E490=E491),1),""Selecciona..""))"),"")</f>
        <v/>
      </c>
      <c r="H491" s="4" t="str">
        <f>IF(D491="","",COUNTIF(Productos!G:G,C491))</f>
        <v/>
      </c>
      <c r="J491" s="90"/>
    </row>
    <row r="492">
      <c r="A492" s="2" t="str">
        <f t="shared" si="1"/>
        <v/>
      </c>
      <c r="B492" s="4"/>
      <c r="C492" s="4"/>
      <c r="D492" s="3" t="str">
        <f t="shared" si="2"/>
        <v/>
      </c>
      <c r="E492" s="4"/>
      <c r="F492" s="2" t="str">
        <f>IFERROR(__xludf.DUMMYFUNCTION("IF(E492="""","""",IF(COUNTIFS(D$1:D491,D492,E$1:E491,E492)&gt;0,INDEX(filter(F$1:F491,D$1:D491=D492,E$1:E491=E492),1),""Selecciona..""))"),"")</f>
        <v/>
      </c>
      <c r="G492" s="2" t="str">
        <f>IFERROR(__xludf.DUMMYFUNCTION("IF($E492="""","""",IF(COUNTIFS($D$1:$D491,$D492,$E$1:$E491,$E492)&gt;0,INDEX(filter(G$1:G491,$D$1:$D491=$D492,$E$1:$E491=E492),1),""Selecciona..""))"),"")</f>
        <v/>
      </c>
      <c r="H492" s="4" t="str">
        <f>IF(D492="","",COUNTIF(Productos!G:G,C492))</f>
        <v/>
      </c>
      <c r="J492" s="90"/>
    </row>
    <row r="493">
      <c r="A493" s="2" t="str">
        <f t="shared" si="1"/>
        <v/>
      </c>
      <c r="B493" s="4"/>
      <c r="C493" s="4"/>
      <c r="D493" s="3" t="str">
        <f t="shared" si="2"/>
        <v/>
      </c>
      <c r="E493" s="4"/>
      <c r="F493" s="2" t="str">
        <f>IFERROR(__xludf.DUMMYFUNCTION("IF(E493="""","""",IF(COUNTIFS(D$1:D492,D493,E$1:E492,E493)&gt;0,INDEX(filter(F$1:F492,D$1:D492=D493,E$1:E492=E493),1),""Selecciona..""))"),"")</f>
        <v/>
      </c>
      <c r="G493" s="2" t="str">
        <f>IFERROR(__xludf.DUMMYFUNCTION("IF($E493="""","""",IF(COUNTIFS($D$1:$D492,$D493,$E$1:$E492,$E493)&gt;0,INDEX(filter(G$1:G492,$D$1:$D492=$D493,$E$1:$E492=E493),1),""Selecciona..""))"),"")</f>
        <v/>
      </c>
      <c r="H493" s="4" t="str">
        <f>IF(D493="","",COUNTIF(Productos!G:G,C493))</f>
        <v/>
      </c>
      <c r="J493" s="90"/>
    </row>
    <row r="494">
      <c r="A494" s="2" t="str">
        <f t="shared" si="1"/>
        <v/>
      </c>
      <c r="B494" s="4"/>
      <c r="C494" s="4"/>
      <c r="D494" s="3" t="str">
        <f t="shared" si="2"/>
        <v/>
      </c>
      <c r="E494" s="4"/>
      <c r="F494" s="2" t="str">
        <f>IFERROR(__xludf.DUMMYFUNCTION("IF(E494="""","""",IF(COUNTIFS(D$1:D493,D494,E$1:E493,E494)&gt;0,INDEX(filter(F$1:F493,D$1:D493=D494,E$1:E493=E494),1),""Selecciona..""))"),"")</f>
        <v/>
      </c>
      <c r="G494" s="2" t="str">
        <f>IFERROR(__xludf.DUMMYFUNCTION("IF($E494="""","""",IF(COUNTIFS($D$1:$D493,$D494,$E$1:$E493,$E494)&gt;0,INDEX(filter(G$1:G493,$D$1:$D493=$D494,$E$1:$E493=E494),1),""Selecciona..""))"),"")</f>
        <v/>
      </c>
      <c r="H494" s="4" t="str">
        <f>IF(D494="","",COUNTIF(Productos!G:G,C494))</f>
        <v/>
      </c>
      <c r="J494" s="90"/>
    </row>
    <row r="495">
      <c r="A495" s="2" t="str">
        <f t="shared" si="1"/>
        <v/>
      </c>
      <c r="B495" s="4"/>
      <c r="C495" s="4"/>
      <c r="D495" s="3" t="str">
        <f t="shared" si="2"/>
        <v/>
      </c>
      <c r="E495" s="4"/>
      <c r="F495" s="2" t="str">
        <f>IFERROR(__xludf.DUMMYFUNCTION("IF(E495="""","""",IF(COUNTIFS(D$1:D494,D495,E$1:E494,E495)&gt;0,INDEX(filter(F$1:F494,D$1:D494=D495,E$1:E494=E495),1),""Selecciona..""))"),"")</f>
        <v/>
      </c>
      <c r="G495" s="2" t="str">
        <f>IFERROR(__xludf.DUMMYFUNCTION("IF($E495="""","""",IF(COUNTIFS($D$1:$D494,$D495,$E$1:$E494,$E495)&gt;0,INDEX(filter(G$1:G494,$D$1:$D494=$D495,$E$1:$E494=E495),1),""Selecciona..""))"),"")</f>
        <v/>
      </c>
      <c r="H495" s="4" t="str">
        <f>IF(D495="","",COUNTIF(Productos!G:G,C495))</f>
        <v/>
      </c>
      <c r="J495" s="90"/>
    </row>
    <row r="496">
      <c r="A496" s="2" t="str">
        <f t="shared" si="1"/>
        <v/>
      </c>
      <c r="B496" s="4"/>
      <c r="C496" s="4"/>
      <c r="D496" s="3" t="str">
        <f t="shared" si="2"/>
        <v/>
      </c>
      <c r="E496" s="4"/>
      <c r="F496" s="2" t="str">
        <f>IFERROR(__xludf.DUMMYFUNCTION("IF(E496="""","""",IF(COUNTIFS(D$1:D495,D496,E$1:E495,E496)&gt;0,INDEX(filter(F$1:F495,D$1:D495=D496,E$1:E495=E496),1),""Selecciona..""))"),"")</f>
        <v/>
      </c>
      <c r="G496" s="2" t="str">
        <f>IFERROR(__xludf.DUMMYFUNCTION("IF($E496="""","""",IF(COUNTIFS($D$1:$D495,$D496,$E$1:$E495,$E496)&gt;0,INDEX(filter(G$1:G495,$D$1:$D495=$D496,$E$1:$E495=E496),1),""Selecciona..""))"),"")</f>
        <v/>
      </c>
      <c r="H496" s="4" t="str">
        <f>IF(D496="","",COUNTIF(Productos!G:G,C496))</f>
        <v/>
      </c>
      <c r="J496" s="90"/>
    </row>
    <row r="497">
      <c r="A497" s="2" t="str">
        <f t="shared" si="1"/>
        <v/>
      </c>
      <c r="B497" s="4"/>
      <c r="C497" s="4"/>
      <c r="D497" s="3" t="str">
        <f t="shared" si="2"/>
        <v/>
      </c>
      <c r="E497" s="4"/>
      <c r="F497" s="2" t="str">
        <f>IFERROR(__xludf.DUMMYFUNCTION("IF(E497="""","""",IF(COUNTIFS(D$1:D496,D497,E$1:E496,E497)&gt;0,INDEX(filter(F$1:F496,D$1:D496=D497,E$1:E496=E497),1),""Selecciona..""))"),"")</f>
        <v/>
      </c>
      <c r="G497" s="2" t="str">
        <f>IFERROR(__xludf.DUMMYFUNCTION("IF($E497="""","""",IF(COUNTIFS($D$1:$D496,$D497,$E$1:$E496,$E497)&gt;0,INDEX(filter(G$1:G496,$D$1:$D496=$D497,$E$1:$E496=E497),1),""Selecciona..""))"),"")</f>
        <v/>
      </c>
      <c r="H497" s="4" t="str">
        <f>IF(D497="","",COUNTIF(Productos!G:G,C497))</f>
        <v/>
      </c>
      <c r="J497" s="90"/>
    </row>
    <row r="498">
      <c r="A498" s="2" t="str">
        <f t="shared" si="1"/>
        <v/>
      </c>
      <c r="B498" s="4"/>
      <c r="C498" s="4"/>
      <c r="D498" s="3" t="str">
        <f t="shared" si="2"/>
        <v/>
      </c>
      <c r="E498" s="4"/>
      <c r="F498" s="2" t="str">
        <f>IFERROR(__xludf.DUMMYFUNCTION("IF(E498="""","""",IF(COUNTIFS(D$1:D497,D498,E$1:E497,E498)&gt;0,INDEX(filter(F$1:F497,D$1:D497=D498,E$1:E497=E498),1),""Selecciona..""))"),"")</f>
        <v/>
      </c>
      <c r="G498" s="2" t="str">
        <f>IFERROR(__xludf.DUMMYFUNCTION("IF($E498="""","""",IF(COUNTIFS($D$1:$D497,$D498,$E$1:$E497,$E498)&gt;0,INDEX(filter(G$1:G497,$D$1:$D497=$D498,$E$1:$E497=E498),1),""Selecciona..""))"),"")</f>
        <v/>
      </c>
      <c r="H498" s="4" t="str">
        <f>IF(D498="","",COUNTIF(Productos!G:G,C498))</f>
        <v/>
      </c>
      <c r="J498" s="90"/>
    </row>
    <row r="499">
      <c r="A499" s="2" t="str">
        <f t="shared" si="1"/>
        <v/>
      </c>
      <c r="B499" s="4"/>
      <c r="C499" s="4"/>
      <c r="D499" s="3" t="str">
        <f t="shared" si="2"/>
        <v/>
      </c>
      <c r="E499" s="4"/>
      <c r="F499" s="2" t="str">
        <f>IFERROR(__xludf.DUMMYFUNCTION("IF(E499="""","""",IF(COUNTIFS(D$1:D498,D499,E$1:E498,E499)&gt;0,INDEX(filter(F$1:F498,D$1:D498=D499,E$1:E498=E499),1),""Selecciona..""))"),"")</f>
        <v/>
      </c>
      <c r="G499" s="2" t="str">
        <f>IFERROR(__xludf.DUMMYFUNCTION("IF($E499="""","""",IF(COUNTIFS($D$1:$D498,$D499,$E$1:$E498,$E499)&gt;0,INDEX(filter(G$1:G498,$D$1:$D498=$D499,$E$1:$E498=E499),1),""Selecciona..""))"),"")</f>
        <v/>
      </c>
      <c r="H499" s="4" t="str">
        <f>IF(D499="","",COUNTIF(Productos!G:G,C499))</f>
        <v/>
      </c>
      <c r="J499" s="90"/>
    </row>
    <row r="500">
      <c r="A500" s="2" t="str">
        <f t="shared" si="1"/>
        <v/>
      </c>
      <c r="B500" s="4"/>
      <c r="C500" s="4"/>
      <c r="D500" s="3" t="str">
        <f t="shared" si="2"/>
        <v/>
      </c>
      <c r="E500" s="4"/>
      <c r="F500" s="2" t="str">
        <f>IFERROR(__xludf.DUMMYFUNCTION("IF(E500="""","""",IF(COUNTIFS(D$1:D499,D500,E$1:E499,E500)&gt;0,INDEX(filter(F$1:F499,D$1:D499=D500,E$1:E499=E500),1),""Selecciona..""))"),"")</f>
        <v/>
      </c>
      <c r="G500" s="2" t="str">
        <f>IFERROR(__xludf.DUMMYFUNCTION("IF($E500="""","""",IF(COUNTIFS($D$1:$D499,$D500,$E$1:$E499,$E500)&gt;0,INDEX(filter(G$1:G499,$D$1:$D499=$D500,$E$1:$E499=E500),1),""Selecciona..""))"),"")</f>
        <v/>
      </c>
      <c r="H500" s="4" t="str">
        <f>IF(D500="","",COUNTIF(Productos!G:G,C500))</f>
        <v/>
      </c>
      <c r="J500" s="90"/>
    </row>
    <row r="501">
      <c r="A501" s="2" t="str">
        <f t="shared" si="1"/>
        <v/>
      </c>
      <c r="B501" s="4"/>
      <c r="C501" s="4"/>
      <c r="D501" s="3" t="str">
        <f t="shared" si="2"/>
        <v/>
      </c>
      <c r="E501" s="4"/>
      <c r="F501" s="2" t="str">
        <f>IFERROR(__xludf.DUMMYFUNCTION("IF(E501="""","""",IF(COUNTIFS(D$1:D500,D501,E$1:E500,E501)&gt;0,INDEX(filter(F$1:F500,D$1:D500=D501,E$1:E500=E501),1),""Selecciona..""))"),"")</f>
        <v/>
      </c>
      <c r="G501" s="2" t="str">
        <f>IFERROR(__xludf.DUMMYFUNCTION("IF($E501="""","""",IF(COUNTIFS($D$1:$D500,$D501,$E$1:$E500,$E501)&gt;0,INDEX(filter(G$1:G500,$D$1:$D500=$D501,$E$1:$E500=E501),1),""Selecciona..""))"),"")</f>
        <v/>
      </c>
      <c r="H501" s="4" t="str">
        <f>IF(D501="","",COUNTIF(Productos!G:G,C501))</f>
        <v/>
      </c>
      <c r="J501" s="90"/>
    </row>
    <row r="502">
      <c r="A502" s="2" t="str">
        <f t="shared" si="1"/>
        <v/>
      </c>
      <c r="B502" s="4"/>
      <c r="C502" s="4"/>
      <c r="D502" s="3" t="str">
        <f t="shared" si="2"/>
        <v/>
      </c>
      <c r="E502" s="4"/>
      <c r="F502" s="2" t="str">
        <f>IFERROR(__xludf.DUMMYFUNCTION("IF(E502="""","""",IF(COUNTIFS(D$1:D501,D502,E$1:E501,E502)&gt;0,INDEX(filter(F$1:F501,D$1:D501=D502,E$1:E501=E502),1),""Selecciona..""))"),"")</f>
        <v/>
      </c>
      <c r="G502" s="2" t="str">
        <f>IFERROR(__xludf.DUMMYFUNCTION("IF($E502="""","""",IF(COUNTIFS($D$1:$D501,$D502,$E$1:$E501,$E502)&gt;0,INDEX(filter(G$1:G501,$D$1:$D501=$D502,$E$1:$E501=E502),1),""Selecciona..""))"),"")</f>
        <v/>
      </c>
      <c r="H502" s="4" t="str">
        <f>IF(D502="","",COUNTIF(Productos!G:G,C502))</f>
        <v/>
      </c>
      <c r="J502" s="90"/>
    </row>
    <row r="503">
      <c r="A503" s="2" t="str">
        <f t="shared" si="1"/>
        <v/>
      </c>
      <c r="B503" s="4"/>
      <c r="C503" s="4"/>
      <c r="D503" s="3" t="str">
        <f t="shared" si="2"/>
        <v/>
      </c>
      <c r="E503" s="4"/>
      <c r="F503" s="2" t="str">
        <f>IFERROR(__xludf.DUMMYFUNCTION("IF(E503="""","""",IF(COUNTIFS(D$1:D502,D503,E$1:E502,E503)&gt;0,INDEX(filter(F$1:F502,D$1:D502=D503,E$1:E502=E503),1),""Selecciona..""))"),"")</f>
        <v/>
      </c>
      <c r="G503" s="2" t="str">
        <f>IFERROR(__xludf.DUMMYFUNCTION("IF($E503="""","""",IF(COUNTIFS($D$1:$D502,$D503,$E$1:$E502,$E503)&gt;0,INDEX(filter(G$1:G502,$D$1:$D502=$D503,$E$1:$E502=E503),1),""Selecciona..""))"),"")</f>
        <v/>
      </c>
      <c r="H503" s="4" t="str">
        <f>IF(D503="","",COUNTIF(Productos!G:G,C503))</f>
        <v/>
      </c>
      <c r="J503" s="90"/>
    </row>
    <row r="504">
      <c r="A504" s="2" t="str">
        <f t="shared" si="1"/>
        <v/>
      </c>
      <c r="B504" s="4"/>
      <c r="C504" s="4"/>
      <c r="D504" s="3" t="str">
        <f t="shared" si="2"/>
        <v/>
      </c>
      <c r="E504" s="4"/>
      <c r="F504" s="2" t="str">
        <f>IFERROR(__xludf.DUMMYFUNCTION("IF(E504="""","""",IF(COUNTIFS(D$1:D503,D504,E$1:E503,E504)&gt;0,INDEX(filter(F$1:F503,D$1:D503=D504,E$1:E503=E504),1),""Selecciona..""))"),"")</f>
        <v/>
      </c>
      <c r="G504" s="2" t="str">
        <f>IFERROR(__xludf.DUMMYFUNCTION("IF($E504="""","""",IF(COUNTIFS($D$1:$D503,$D504,$E$1:$E503,$E504)&gt;0,INDEX(filter(G$1:G503,$D$1:$D503=$D504,$E$1:$E503=E504),1),""Selecciona..""))"),"")</f>
        <v/>
      </c>
      <c r="H504" s="4" t="str">
        <f>IF(D504="","",COUNTIF(Productos!G:G,C504))</f>
        <v/>
      </c>
      <c r="J504" s="90"/>
    </row>
    <row r="505">
      <c r="A505" s="2" t="str">
        <f t="shared" si="1"/>
        <v/>
      </c>
      <c r="B505" s="4"/>
      <c r="C505" s="4"/>
      <c r="D505" s="3" t="str">
        <f t="shared" si="2"/>
        <v/>
      </c>
      <c r="E505" s="4"/>
      <c r="F505" s="2" t="str">
        <f>IFERROR(__xludf.DUMMYFUNCTION("IF(E505="""","""",IF(COUNTIFS(D$1:D504,D505,E$1:E504,E505)&gt;0,INDEX(filter(F$1:F504,D$1:D504=D505,E$1:E504=E505),1),""Selecciona..""))"),"")</f>
        <v/>
      </c>
      <c r="G505" s="2" t="str">
        <f>IFERROR(__xludf.DUMMYFUNCTION("IF($E505="""","""",IF(COUNTIFS($D$1:$D504,$D505,$E$1:$E504,$E505)&gt;0,INDEX(filter(G$1:G504,$D$1:$D504=$D505,$E$1:$E504=E505),1),""Selecciona..""))"),"")</f>
        <v/>
      </c>
      <c r="H505" s="4" t="str">
        <f>IF(D505="","",COUNTIF(Productos!G:G,C505))</f>
        <v/>
      </c>
      <c r="J505" s="90"/>
    </row>
    <row r="506">
      <c r="A506" s="2" t="str">
        <f t="shared" si="1"/>
        <v/>
      </c>
      <c r="B506" s="4"/>
      <c r="C506" s="4"/>
      <c r="D506" s="3" t="str">
        <f t="shared" si="2"/>
        <v/>
      </c>
      <c r="E506" s="4"/>
      <c r="F506" s="2" t="str">
        <f>IFERROR(__xludf.DUMMYFUNCTION("IF(E506="""","""",IF(COUNTIFS(D$1:D505,D506,E$1:E505,E506)&gt;0,INDEX(filter(F$1:F505,D$1:D505=D506,E$1:E505=E506),1),""Selecciona..""))"),"")</f>
        <v/>
      </c>
      <c r="G506" s="2" t="str">
        <f>IFERROR(__xludf.DUMMYFUNCTION("IF($E506="""","""",IF(COUNTIFS($D$1:$D505,$D506,$E$1:$E505,$E506)&gt;0,INDEX(filter(G$1:G505,$D$1:$D505=$D506,$E$1:$E505=E506),1),""Selecciona..""))"),"")</f>
        <v/>
      </c>
      <c r="H506" s="4" t="str">
        <f>IF(D506="","",COUNTIF(Productos!G:G,C506))</f>
        <v/>
      </c>
      <c r="J506" s="90"/>
    </row>
    <row r="507">
      <c r="A507" s="2" t="str">
        <f t="shared" si="1"/>
        <v/>
      </c>
      <c r="B507" s="4"/>
      <c r="C507" s="4"/>
      <c r="D507" s="3" t="str">
        <f t="shared" si="2"/>
        <v/>
      </c>
      <c r="E507" s="4"/>
      <c r="F507" s="2" t="str">
        <f>IFERROR(__xludf.DUMMYFUNCTION("IF(E507="""","""",IF(COUNTIFS(D$1:D506,D507,E$1:E506,E507)&gt;0,INDEX(filter(F$1:F506,D$1:D506=D507,E$1:E506=E507),1),""Selecciona..""))"),"")</f>
        <v/>
      </c>
      <c r="G507" s="2" t="str">
        <f>IFERROR(__xludf.DUMMYFUNCTION("IF($E507="""","""",IF(COUNTIFS($D$1:$D506,$D507,$E$1:$E506,$E507)&gt;0,INDEX(filter(G$1:G506,$D$1:$D506=$D507,$E$1:$E506=E507),1),""Selecciona..""))"),"")</f>
        <v/>
      </c>
      <c r="H507" s="4" t="str">
        <f>IF(D507="","",COUNTIF(Productos!G:G,C507))</f>
        <v/>
      </c>
      <c r="J507" s="90"/>
    </row>
    <row r="508">
      <c r="A508" s="2" t="str">
        <f t="shared" si="1"/>
        <v/>
      </c>
      <c r="B508" s="4"/>
      <c r="C508" s="4"/>
      <c r="D508" s="3" t="str">
        <f t="shared" si="2"/>
        <v/>
      </c>
      <c r="E508" s="4"/>
      <c r="F508" s="2" t="str">
        <f>IFERROR(__xludf.DUMMYFUNCTION("IF(E508="""","""",IF(COUNTIFS(D$1:D507,D508,E$1:E507,E508)&gt;0,INDEX(filter(F$1:F507,D$1:D507=D508,E$1:E507=E508),1),""Selecciona..""))"),"")</f>
        <v/>
      </c>
      <c r="G508" s="2" t="str">
        <f>IFERROR(__xludf.DUMMYFUNCTION("IF($E508="""","""",IF(COUNTIFS($D$1:$D507,$D508,$E$1:$E507,$E508)&gt;0,INDEX(filter(G$1:G507,$D$1:$D507=$D508,$E$1:$E507=E508),1),""Selecciona..""))"),"")</f>
        <v/>
      </c>
      <c r="H508" s="4" t="str">
        <f>IF(D508="","",COUNTIF(Productos!G:G,C508))</f>
        <v/>
      </c>
      <c r="J508" s="90"/>
    </row>
    <row r="509">
      <c r="A509" s="2" t="str">
        <f t="shared" si="1"/>
        <v/>
      </c>
      <c r="B509" s="4"/>
      <c r="C509" s="4"/>
      <c r="D509" s="3" t="str">
        <f t="shared" si="2"/>
        <v/>
      </c>
      <c r="E509" s="4"/>
      <c r="F509" s="2" t="str">
        <f>IFERROR(__xludf.DUMMYFUNCTION("IF(E509="""","""",IF(COUNTIFS(D$1:D508,D509,E$1:E508,E509)&gt;0,INDEX(filter(F$1:F508,D$1:D508=D509,E$1:E508=E509),1),""Selecciona..""))"),"")</f>
        <v/>
      </c>
      <c r="G509" s="2" t="str">
        <f>IFERROR(__xludf.DUMMYFUNCTION("IF($E509="""","""",IF(COUNTIFS($D$1:$D508,$D509,$E$1:$E508,$E509)&gt;0,INDEX(filter(G$1:G508,$D$1:$D508=$D509,$E$1:$E508=E509),1),""Selecciona..""))"),"")</f>
        <v/>
      </c>
      <c r="H509" s="4" t="str">
        <f>IF(D509="","",COUNTIF(Productos!G:G,C509))</f>
        <v/>
      </c>
      <c r="J509" s="90"/>
    </row>
    <row r="510">
      <c r="A510" s="2" t="str">
        <f t="shared" si="1"/>
        <v/>
      </c>
      <c r="B510" s="4"/>
      <c r="C510" s="4"/>
      <c r="D510" s="3" t="str">
        <f t="shared" si="2"/>
        <v/>
      </c>
      <c r="E510" s="4"/>
      <c r="F510" s="2" t="str">
        <f>IFERROR(__xludf.DUMMYFUNCTION("IF(E510="""","""",IF(COUNTIFS(D$1:D509,D510,E$1:E509,E510)&gt;0,INDEX(filter(F$1:F509,D$1:D509=D510,E$1:E509=E510),1),""Selecciona..""))"),"")</f>
        <v/>
      </c>
      <c r="G510" s="2" t="str">
        <f>IFERROR(__xludf.DUMMYFUNCTION("IF($E510="""","""",IF(COUNTIFS($D$1:$D509,$D510,$E$1:$E509,$E510)&gt;0,INDEX(filter(G$1:G509,$D$1:$D509=$D510,$E$1:$E509=E510),1),""Selecciona..""))"),"")</f>
        <v/>
      </c>
      <c r="H510" s="4" t="str">
        <f>IF(D510="","",COUNTIF(Productos!G:G,C510))</f>
        <v/>
      </c>
      <c r="J510" s="90"/>
    </row>
    <row r="511">
      <c r="A511" s="2" t="str">
        <f t="shared" si="1"/>
        <v/>
      </c>
      <c r="B511" s="4"/>
      <c r="C511" s="4"/>
      <c r="D511" s="3" t="str">
        <f t="shared" si="2"/>
        <v/>
      </c>
      <c r="E511" s="4"/>
      <c r="F511" s="2" t="str">
        <f>IFERROR(__xludf.DUMMYFUNCTION("IF(E511="""","""",IF(COUNTIFS(D$1:D510,D511,E$1:E510,E511)&gt;0,INDEX(filter(F$1:F510,D$1:D510=D511,E$1:E510=E511),1),""Selecciona..""))"),"")</f>
        <v/>
      </c>
      <c r="G511" s="2" t="str">
        <f>IFERROR(__xludf.DUMMYFUNCTION("IF($E511="""","""",IF(COUNTIFS($D$1:$D510,$D511,$E$1:$E510,$E511)&gt;0,INDEX(filter(G$1:G510,$D$1:$D510=$D511,$E$1:$E510=E511),1),""Selecciona..""))"),"")</f>
        <v/>
      </c>
      <c r="H511" s="4" t="str">
        <f>IF(D511="","",COUNTIF(Productos!G:G,C511))</f>
        <v/>
      </c>
      <c r="J511" s="90"/>
    </row>
    <row r="512">
      <c r="A512" s="2" t="str">
        <f t="shared" si="1"/>
        <v/>
      </c>
      <c r="B512" s="4"/>
      <c r="C512" s="4"/>
      <c r="D512" s="3" t="str">
        <f t="shared" si="2"/>
        <v/>
      </c>
      <c r="E512" s="4"/>
      <c r="F512" s="2" t="str">
        <f>IFERROR(__xludf.DUMMYFUNCTION("IF(E512="""","""",IF(COUNTIFS(D$1:D511,D512,E$1:E511,E512)&gt;0,INDEX(filter(F$1:F511,D$1:D511=D512,E$1:E511=E512),1),""Selecciona..""))"),"")</f>
        <v/>
      </c>
      <c r="G512" s="2" t="str">
        <f>IFERROR(__xludf.DUMMYFUNCTION("IF($E512="""","""",IF(COUNTIFS($D$1:$D511,$D512,$E$1:$E511,$E512)&gt;0,INDEX(filter(G$1:G511,$D$1:$D511=$D512,$E$1:$E511=E512),1),""Selecciona..""))"),"")</f>
        <v/>
      </c>
      <c r="H512" s="4" t="str">
        <f>IF(D512="","",COUNTIF(Productos!G:G,C512))</f>
        <v/>
      </c>
      <c r="J512" s="90"/>
    </row>
    <row r="513">
      <c r="A513" s="2" t="str">
        <f t="shared" si="1"/>
        <v/>
      </c>
      <c r="B513" s="4"/>
      <c r="C513" s="4"/>
      <c r="D513" s="3" t="str">
        <f t="shared" si="2"/>
        <v/>
      </c>
      <c r="E513" s="4"/>
      <c r="F513" s="2" t="str">
        <f>IFERROR(__xludf.DUMMYFUNCTION("IF(E513="""","""",IF(COUNTIFS(D$1:D512,D513,E$1:E512,E513)&gt;0,INDEX(filter(F$1:F512,D$1:D512=D513,E$1:E512=E513),1),""Selecciona..""))"),"")</f>
        <v/>
      </c>
      <c r="G513" s="2" t="str">
        <f>IFERROR(__xludf.DUMMYFUNCTION("IF($E513="""","""",IF(COUNTIFS($D$1:$D512,$D513,$E$1:$E512,$E513)&gt;0,INDEX(filter(G$1:G512,$D$1:$D512=$D513,$E$1:$E512=E513),1),""Selecciona..""))"),"")</f>
        <v/>
      </c>
      <c r="H513" s="4" t="str">
        <f>IF(D513="","",COUNTIF(Productos!G:G,C513))</f>
        <v/>
      </c>
      <c r="J513" s="90"/>
    </row>
    <row r="514">
      <c r="A514" s="2" t="str">
        <f t="shared" si="1"/>
        <v/>
      </c>
      <c r="B514" s="4"/>
      <c r="C514" s="4"/>
      <c r="D514" s="3" t="str">
        <f t="shared" si="2"/>
        <v/>
      </c>
      <c r="E514" s="4"/>
      <c r="F514" s="2" t="str">
        <f>IFERROR(__xludf.DUMMYFUNCTION("IF(E514="""","""",IF(COUNTIFS(D$1:D513,D514,E$1:E513,E514)&gt;0,INDEX(filter(F$1:F513,D$1:D513=D514,E$1:E513=E514),1),""Selecciona..""))"),"")</f>
        <v/>
      </c>
      <c r="G514" s="2" t="str">
        <f>IFERROR(__xludf.DUMMYFUNCTION("IF($E514="""","""",IF(COUNTIFS($D$1:$D513,$D514,$E$1:$E513,$E514)&gt;0,INDEX(filter(G$1:G513,$D$1:$D513=$D514,$E$1:$E513=E514),1),""Selecciona..""))"),"")</f>
        <v/>
      </c>
      <c r="H514" s="4" t="str">
        <f>IF(D514="","",COUNTIF(Productos!G:G,C514))</f>
        <v/>
      </c>
      <c r="J514" s="90"/>
    </row>
    <row r="515">
      <c r="A515" s="2" t="str">
        <f t="shared" si="1"/>
        <v/>
      </c>
      <c r="B515" s="4"/>
      <c r="C515" s="4"/>
      <c r="D515" s="3" t="str">
        <f t="shared" si="2"/>
        <v/>
      </c>
      <c r="E515" s="4"/>
      <c r="F515" s="2" t="str">
        <f>IFERROR(__xludf.DUMMYFUNCTION("IF(E515="""","""",IF(COUNTIFS(D$1:D514,D515,E$1:E514,E515)&gt;0,INDEX(filter(F$1:F514,D$1:D514=D515,E$1:E514=E515),1),""Selecciona..""))"),"")</f>
        <v/>
      </c>
      <c r="G515" s="2" t="str">
        <f>IFERROR(__xludf.DUMMYFUNCTION("IF($E515="""","""",IF(COUNTIFS($D$1:$D514,$D515,$E$1:$E514,$E515)&gt;0,INDEX(filter(G$1:G514,$D$1:$D514=$D515,$E$1:$E514=E515),1),""Selecciona..""))"),"")</f>
        <v/>
      </c>
      <c r="H515" s="4" t="str">
        <f>IF(D515="","",COUNTIF(Productos!G:G,C515))</f>
        <v/>
      </c>
      <c r="J515" s="90"/>
    </row>
    <row r="516">
      <c r="A516" s="2" t="str">
        <f t="shared" si="1"/>
        <v/>
      </c>
      <c r="B516" s="4"/>
      <c r="C516" s="4"/>
      <c r="D516" s="3" t="str">
        <f t="shared" si="2"/>
        <v/>
      </c>
      <c r="E516" s="4"/>
      <c r="F516" s="2" t="str">
        <f>IFERROR(__xludf.DUMMYFUNCTION("IF(E516="""","""",IF(COUNTIFS(D$1:D515,D516,E$1:E515,E516)&gt;0,INDEX(filter(F$1:F515,D$1:D515=D516,E$1:E515=E516),1),""Selecciona..""))"),"")</f>
        <v/>
      </c>
      <c r="G516" s="2" t="str">
        <f>IFERROR(__xludf.DUMMYFUNCTION("IF($E516="""","""",IF(COUNTIFS($D$1:$D515,$D516,$E$1:$E515,$E516)&gt;0,INDEX(filter(G$1:G515,$D$1:$D515=$D516,$E$1:$E515=E516),1),""Selecciona..""))"),"")</f>
        <v/>
      </c>
      <c r="H516" s="4" t="str">
        <f>IF(D516="","",COUNTIF(Productos!G:G,C516))</f>
        <v/>
      </c>
      <c r="J516" s="90"/>
    </row>
    <row r="517">
      <c r="A517" s="2" t="str">
        <f t="shared" si="1"/>
        <v/>
      </c>
      <c r="B517" s="4"/>
      <c r="C517" s="4"/>
      <c r="D517" s="3" t="str">
        <f t="shared" si="2"/>
        <v/>
      </c>
      <c r="E517" s="4"/>
      <c r="F517" s="2" t="str">
        <f>IFERROR(__xludf.DUMMYFUNCTION("IF(E517="""","""",IF(COUNTIFS(D$1:D516,D517,E$1:E516,E517)&gt;0,INDEX(filter(F$1:F516,D$1:D516=D517,E$1:E516=E517),1),""Selecciona..""))"),"")</f>
        <v/>
      </c>
      <c r="G517" s="2" t="str">
        <f>IFERROR(__xludf.DUMMYFUNCTION("IF($E517="""","""",IF(COUNTIFS($D$1:$D516,$D517,$E$1:$E516,$E517)&gt;0,INDEX(filter(G$1:G516,$D$1:$D516=$D517,$E$1:$E516=E517),1),""Selecciona..""))"),"")</f>
        <v/>
      </c>
      <c r="H517" s="4" t="str">
        <f>IF(D517="","",COUNTIF(Productos!G:G,C517))</f>
        <v/>
      </c>
      <c r="J517" s="90"/>
    </row>
    <row r="518">
      <c r="A518" s="2" t="str">
        <f t="shared" si="1"/>
        <v/>
      </c>
      <c r="B518" s="4"/>
      <c r="C518" s="4"/>
      <c r="D518" s="3" t="str">
        <f t="shared" si="2"/>
        <v/>
      </c>
      <c r="E518" s="4"/>
      <c r="F518" s="2" t="str">
        <f>IFERROR(__xludf.DUMMYFUNCTION("IF(E518="""","""",IF(COUNTIFS(D$1:D517,D518,E$1:E517,E518)&gt;0,INDEX(filter(F$1:F517,D$1:D517=D518,E$1:E517=E518),1),""Selecciona..""))"),"")</f>
        <v/>
      </c>
      <c r="G518" s="2" t="str">
        <f>IFERROR(__xludf.DUMMYFUNCTION("IF($E518="""","""",IF(COUNTIFS($D$1:$D517,$D518,$E$1:$E517,$E518)&gt;0,INDEX(filter(G$1:G517,$D$1:$D517=$D518,$E$1:$E517=E518),1),""Selecciona..""))"),"")</f>
        <v/>
      </c>
      <c r="H518" s="4" t="str">
        <f>IF(D518="","",COUNTIF(Productos!G:G,C518))</f>
        <v/>
      </c>
      <c r="J518" s="90"/>
    </row>
    <row r="519">
      <c r="A519" s="2" t="str">
        <f t="shared" si="1"/>
        <v/>
      </c>
      <c r="B519" s="4"/>
      <c r="C519" s="4"/>
      <c r="D519" s="3" t="str">
        <f t="shared" si="2"/>
        <v/>
      </c>
      <c r="E519" s="4"/>
      <c r="F519" s="2" t="str">
        <f>IFERROR(__xludf.DUMMYFUNCTION("IF(E519="""","""",IF(COUNTIFS(D$1:D518,D519,E$1:E518,E519)&gt;0,INDEX(filter(F$1:F518,D$1:D518=D519,E$1:E518=E519),1),""Selecciona..""))"),"")</f>
        <v/>
      </c>
      <c r="G519" s="2" t="str">
        <f>IFERROR(__xludf.DUMMYFUNCTION("IF($E519="""","""",IF(COUNTIFS($D$1:$D518,$D519,$E$1:$E518,$E519)&gt;0,INDEX(filter(G$1:G518,$D$1:$D518=$D519,$E$1:$E518=E519),1),""Selecciona..""))"),"")</f>
        <v/>
      </c>
      <c r="H519" s="4" t="str">
        <f>IF(D519="","",COUNTIF(Productos!G:G,C519))</f>
        <v/>
      </c>
      <c r="J519" s="90"/>
    </row>
    <row r="520">
      <c r="A520" s="2" t="str">
        <f t="shared" si="1"/>
        <v/>
      </c>
      <c r="B520" s="4"/>
      <c r="C520" s="4"/>
      <c r="D520" s="3" t="str">
        <f t="shared" si="2"/>
        <v/>
      </c>
      <c r="E520" s="4"/>
      <c r="F520" s="2" t="str">
        <f>IFERROR(__xludf.DUMMYFUNCTION("IF(E520="""","""",IF(COUNTIFS(D$1:D519,D520,E$1:E519,E520)&gt;0,INDEX(filter(F$1:F519,D$1:D519=D520,E$1:E519=E520),1),""Selecciona..""))"),"")</f>
        <v/>
      </c>
      <c r="G520" s="2" t="str">
        <f>IFERROR(__xludf.DUMMYFUNCTION("IF($E520="""","""",IF(COUNTIFS($D$1:$D519,$D520,$E$1:$E519,$E520)&gt;0,INDEX(filter(G$1:G519,$D$1:$D519=$D520,$E$1:$E519=E520),1),""Selecciona..""))"),"")</f>
        <v/>
      </c>
      <c r="H520" s="4" t="str">
        <f>IF(D520="","",COUNTIF(Productos!G:G,C520))</f>
        <v/>
      </c>
      <c r="J520" s="90"/>
    </row>
    <row r="521">
      <c r="A521" s="2" t="str">
        <f t="shared" si="1"/>
        <v/>
      </c>
      <c r="B521" s="4"/>
      <c r="C521" s="4"/>
      <c r="D521" s="3" t="str">
        <f t="shared" si="2"/>
        <v/>
      </c>
      <c r="E521" s="4"/>
      <c r="F521" s="2" t="str">
        <f>IFERROR(__xludf.DUMMYFUNCTION("IF(E521="""","""",IF(COUNTIFS(D$1:D520,D521,E$1:E520,E521)&gt;0,INDEX(filter(F$1:F520,D$1:D520=D521,E$1:E520=E521),1),""Selecciona..""))"),"")</f>
        <v/>
      </c>
      <c r="G521" s="2" t="str">
        <f>IFERROR(__xludf.DUMMYFUNCTION("IF($E521="""","""",IF(COUNTIFS($D$1:$D520,$D521,$E$1:$E520,$E521)&gt;0,INDEX(filter(G$1:G520,$D$1:$D520=$D521,$E$1:$E520=E521),1),""Selecciona..""))"),"")</f>
        <v/>
      </c>
      <c r="H521" s="4" t="str">
        <f>IF(D521="","",COUNTIF(Productos!G:G,C521))</f>
        <v/>
      </c>
      <c r="J521" s="90"/>
    </row>
    <row r="522">
      <c r="A522" s="2" t="str">
        <f t="shared" si="1"/>
        <v/>
      </c>
      <c r="B522" s="4"/>
      <c r="C522" s="4"/>
      <c r="D522" s="3" t="str">
        <f t="shared" si="2"/>
        <v/>
      </c>
      <c r="E522" s="4"/>
      <c r="F522" s="2" t="str">
        <f>IFERROR(__xludf.DUMMYFUNCTION("IF(E522="""","""",IF(COUNTIFS(D$1:D521,D522,E$1:E521,E522)&gt;0,INDEX(filter(F$1:F521,D$1:D521=D522,E$1:E521=E522),1),""Selecciona..""))"),"")</f>
        <v/>
      </c>
      <c r="G522" s="2" t="str">
        <f>IFERROR(__xludf.DUMMYFUNCTION("IF($E522="""","""",IF(COUNTIFS($D$1:$D521,$D522,$E$1:$E521,$E522)&gt;0,INDEX(filter(G$1:G521,$D$1:$D521=$D522,$E$1:$E521=E522),1),""Selecciona..""))"),"")</f>
        <v/>
      </c>
      <c r="H522" s="4" t="str">
        <f>IF(D522="","",COUNTIF(Productos!G:G,C522))</f>
        <v/>
      </c>
      <c r="J522" s="90"/>
    </row>
    <row r="523">
      <c r="A523" s="2" t="str">
        <f t="shared" si="1"/>
        <v/>
      </c>
      <c r="B523" s="4"/>
      <c r="C523" s="4"/>
      <c r="D523" s="3" t="str">
        <f t="shared" si="2"/>
        <v/>
      </c>
      <c r="E523" s="4"/>
      <c r="F523" s="2" t="str">
        <f>IFERROR(__xludf.DUMMYFUNCTION("IF(E523="""","""",IF(COUNTIFS(D$1:D522,D523,E$1:E522,E523)&gt;0,INDEX(filter(F$1:F522,D$1:D522=D523,E$1:E522=E523),1),""Selecciona..""))"),"")</f>
        <v/>
      </c>
      <c r="G523" s="2" t="str">
        <f>IFERROR(__xludf.DUMMYFUNCTION("IF($E523="""","""",IF(COUNTIFS($D$1:$D522,$D523,$E$1:$E522,$E523)&gt;0,INDEX(filter(G$1:G522,$D$1:$D522=$D523,$E$1:$E522=E523),1),""Selecciona..""))"),"")</f>
        <v/>
      </c>
      <c r="H523" s="4" t="str">
        <f>IF(D523="","",COUNTIF(Productos!G:G,C523))</f>
        <v/>
      </c>
      <c r="J523" s="90"/>
    </row>
    <row r="524">
      <c r="A524" s="2" t="str">
        <f t="shared" si="1"/>
        <v/>
      </c>
      <c r="B524" s="4"/>
      <c r="C524" s="4"/>
      <c r="D524" s="3" t="str">
        <f t="shared" si="2"/>
        <v/>
      </c>
      <c r="E524" s="4"/>
      <c r="F524" s="2" t="str">
        <f>IFERROR(__xludf.DUMMYFUNCTION("IF(E524="""","""",IF(COUNTIFS(D$1:D523,D524,E$1:E523,E524)&gt;0,INDEX(filter(F$1:F523,D$1:D523=D524,E$1:E523=E524),1),""Selecciona..""))"),"")</f>
        <v/>
      </c>
      <c r="G524" s="2" t="str">
        <f>IFERROR(__xludf.DUMMYFUNCTION("IF($E524="""","""",IF(COUNTIFS($D$1:$D523,$D524,$E$1:$E523,$E524)&gt;0,INDEX(filter(G$1:G523,$D$1:$D523=$D524,$E$1:$E523=E524),1),""Selecciona..""))"),"")</f>
        <v/>
      </c>
      <c r="H524" s="4" t="str">
        <f>IF(D524="","",COUNTIF(Productos!G:G,C524))</f>
        <v/>
      </c>
      <c r="J524" s="90"/>
    </row>
    <row r="525">
      <c r="A525" s="2" t="str">
        <f t="shared" si="1"/>
        <v/>
      </c>
      <c r="B525" s="4"/>
      <c r="C525" s="4"/>
      <c r="D525" s="3" t="str">
        <f t="shared" si="2"/>
        <v/>
      </c>
      <c r="E525" s="4"/>
      <c r="F525" s="2" t="str">
        <f>IFERROR(__xludf.DUMMYFUNCTION("IF(E525="""","""",IF(COUNTIFS(D$1:D524,D525,E$1:E524,E525)&gt;0,INDEX(filter(F$1:F524,D$1:D524=D525,E$1:E524=E525),1),""Selecciona..""))"),"")</f>
        <v/>
      </c>
      <c r="G525" s="2" t="str">
        <f>IFERROR(__xludf.DUMMYFUNCTION("IF($E525="""","""",IF(COUNTIFS($D$1:$D524,$D525,$E$1:$E524,$E525)&gt;0,INDEX(filter(G$1:G524,$D$1:$D524=$D525,$E$1:$E524=E525),1),""Selecciona..""))"),"")</f>
        <v/>
      </c>
      <c r="H525" s="4" t="str">
        <f>IF(D525="","",COUNTIF(Productos!G:G,C525))</f>
        <v/>
      </c>
      <c r="J525" s="90"/>
    </row>
    <row r="526">
      <c r="A526" s="2" t="str">
        <f t="shared" si="1"/>
        <v/>
      </c>
      <c r="B526" s="4"/>
      <c r="C526" s="4"/>
      <c r="D526" s="3" t="str">
        <f t="shared" si="2"/>
        <v/>
      </c>
      <c r="E526" s="4"/>
      <c r="F526" s="2" t="str">
        <f>IFERROR(__xludf.DUMMYFUNCTION("IF(E526="""","""",IF(COUNTIFS(D$1:D525,D526,E$1:E525,E526)&gt;0,INDEX(filter(F$1:F525,D$1:D525=D526,E$1:E525=E526),1),""Selecciona..""))"),"")</f>
        <v/>
      </c>
      <c r="G526" s="2" t="str">
        <f>IFERROR(__xludf.DUMMYFUNCTION("IF($E526="""","""",IF(COUNTIFS($D$1:$D525,$D526,$E$1:$E525,$E526)&gt;0,INDEX(filter(G$1:G525,$D$1:$D525=$D526,$E$1:$E525=E526),1),""Selecciona..""))"),"")</f>
        <v/>
      </c>
      <c r="H526" s="4" t="str">
        <f>IF(D526="","",COUNTIF(Productos!G:G,C526))</f>
        <v/>
      </c>
      <c r="J526" s="90"/>
    </row>
    <row r="527">
      <c r="A527" s="2" t="str">
        <f t="shared" si="1"/>
        <v/>
      </c>
      <c r="B527" s="4"/>
      <c r="C527" s="4"/>
      <c r="D527" s="3" t="str">
        <f t="shared" si="2"/>
        <v/>
      </c>
      <c r="E527" s="4"/>
      <c r="F527" s="2" t="str">
        <f>IFERROR(__xludf.DUMMYFUNCTION("IF(E527="""","""",IF(COUNTIFS(D$1:D526,D527,E$1:E526,E527)&gt;0,INDEX(filter(F$1:F526,D$1:D526=D527,E$1:E526=E527),1),""Selecciona..""))"),"")</f>
        <v/>
      </c>
      <c r="G527" s="2" t="str">
        <f>IFERROR(__xludf.DUMMYFUNCTION("IF($E527="""","""",IF(COUNTIFS($D$1:$D526,$D527,$E$1:$E526,$E527)&gt;0,INDEX(filter(G$1:G526,$D$1:$D526=$D527,$E$1:$E526=E527),1),""Selecciona..""))"),"")</f>
        <v/>
      </c>
      <c r="H527" s="4" t="str">
        <f>IF(D527="","",COUNTIF(Productos!G:G,C527))</f>
        <v/>
      </c>
      <c r="J527" s="90"/>
    </row>
    <row r="528">
      <c r="A528" s="2" t="str">
        <f t="shared" si="1"/>
        <v/>
      </c>
      <c r="B528" s="4"/>
      <c r="C528" s="4"/>
      <c r="D528" s="3" t="str">
        <f t="shared" si="2"/>
        <v/>
      </c>
      <c r="E528" s="4"/>
      <c r="F528" s="2" t="str">
        <f>IFERROR(__xludf.DUMMYFUNCTION("IF(E528="""","""",IF(COUNTIFS(D$1:D527,D528,E$1:E527,E528)&gt;0,INDEX(filter(F$1:F527,D$1:D527=D528,E$1:E527=E528),1),""Selecciona..""))"),"")</f>
        <v/>
      </c>
      <c r="G528" s="2" t="str">
        <f>IFERROR(__xludf.DUMMYFUNCTION("IF($E528="""","""",IF(COUNTIFS($D$1:$D527,$D528,$E$1:$E527,$E528)&gt;0,INDEX(filter(G$1:G527,$D$1:$D527=$D528,$E$1:$E527=E528),1),""Selecciona..""))"),"")</f>
        <v/>
      </c>
      <c r="H528" s="4" t="str">
        <f>IF(D528="","",COUNTIF(Productos!G:G,C528))</f>
        <v/>
      </c>
      <c r="J528" s="90"/>
    </row>
    <row r="529">
      <c r="A529" s="2" t="str">
        <f t="shared" si="1"/>
        <v/>
      </c>
      <c r="B529" s="4"/>
      <c r="C529" s="4"/>
      <c r="D529" s="3" t="str">
        <f t="shared" si="2"/>
        <v/>
      </c>
      <c r="E529" s="4"/>
      <c r="F529" s="2" t="str">
        <f>IFERROR(__xludf.DUMMYFUNCTION("IF(E529="""","""",IF(COUNTIFS(D$1:D528,D529,E$1:E528,E529)&gt;0,INDEX(filter(F$1:F528,D$1:D528=D529,E$1:E528=E529),1),""Selecciona..""))"),"")</f>
        <v/>
      </c>
      <c r="G529" s="2" t="str">
        <f>IFERROR(__xludf.DUMMYFUNCTION("IF($E529="""","""",IF(COUNTIFS($D$1:$D528,$D529,$E$1:$E528,$E529)&gt;0,INDEX(filter(G$1:G528,$D$1:$D528=$D529,$E$1:$E528=E529),1),""Selecciona..""))"),"")</f>
        <v/>
      </c>
      <c r="H529" s="4" t="str">
        <f>IF(D529="","",COUNTIF(Productos!G:G,C529))</f>
        <v/>
      </c>
      <c r="J529" s="90"/>
    </row>
    <row r="530">
      <c r="A530" s="2" t="str">
        <f t="shared" si="1"/>
        <v/>
      </c>
      <c r="B530" s="4"/>
      <c r="C530" s="4"/>
      <c r="D530" s="3" t="str">
        <f t="shared" si="2"/>
        <v/>
      </c>
      <c r="E530" s="4"/>
      <c r="F530" s="2" t="str">
        <f>IFERROR(__xludf.DUMMYFUNCTION("IF(E530="""","""",IF(COUNTIFS(D$1:D529,D530,E$1:E529,E530)&gt;0,INDEX(filter(F$1:F529,D$1:D529=D530,E$1:E529=E530),1),""Selecciona..""))"),"")</f>
        <v/>
      </c>
      <c r="G530" s="2" t="str">
        <f>IFERROR(__xludf.DUMMYFUNCTION("IF($E530="""","""",IF(COUNTIFS($D$1:$D529,$D530,$E$1:$E529,$E530)&gt;0,INDEX(filter(G$1:G529,$D$1:$D529=$D530,$E$1:$E529=E530),1),""Selecciona..""))"),"")</f>
        <v/>
      </c>
      <c r="H530" s="4" t="str">
        <f>IF(D530="","",COUNTIF(Productos!G:G,C530))</f>
        <v/>
      </c>
      <c r="J530" s="90"/>
    </row>
    <row r="531">
      <c r="A531" s="2" t="str">
        <f t="shared" si="1"/>
        <v/>
      </c>
      <c r="B531" s="4"/>
      <c r="C531" s="4"/>
      <c r="D531" s="3" t="str">
        <f t="shared" si="2"/>
        <v/>
      </c>
      <c r="E531" s="4"/>
      <c r="F531" s="2" t="str">
        <f>IFERROR(__xludf.DUMMYFUNCTION("IF(E531="""","""",IF(COUNTIFS(D$1:D530,D531,E$1:E530,E531)&gt;0,INDEX(filter(F$1:F530,D$1:D530=D531,E$1:E530=E531),1),""Selecciona..""))"),"")</f>
        <v/>
      </c>
      <c r="G531" s="2" t="str">
        <f>IFERROR(__xludf.DUMMYFUNCTION("IF($E531="""","""",IF(COUNTIFS($D$1:$D530,$D531,$E$1:$E530,$E531)&gt;0,INDEX(filter(G$1:G530,$D$1:$D530=$D531,$E$1:$E530=E531),1),""Selecciona..""))"),"")</f>
        <v/>
      </c>
      <c r="H531" s="4" t="str">
        <f>IF(D531="","",COUNTIF(Productos!G:G,C531))</f>
        <v/>
      </c>
      <c r="J531" s="90"/>
    </row>
    <row r="532">
      <c r="A532" s="2" t="str">
        <f t="shared" si="1"/>
        <v/>
      </c>
      <c r="B532" s="4"/>
      <c r="C532" s="4"/>
      <c r="D532" s="3" t="str">
        <f t="shared" si="2"/>
        <v/>
      </c>
      <c r="E532" s="4"/>
      <c r="F532" s="2" t="str">
        <f>IFERROR(__xludf.DUMMYFUNCTION("IF(E532="""","""",IF(COUNTIFS(D$1:D531,D532,E$1:E531,E532)&gt;0,INDEX(filter(F$1:F531,D$1:D531=D532,E$1:E531=E532),1),""Selecciona..""))"),"")</f>
        <v/>
      </c>
      <c r="G532" s="2" t="str">
        <f>IFERROR(__xludf.DUMMYFUNCTION("IF($E532="""","""",IF(COUNTIFS($D$1:$D531,$D532,$E$1:$E531,$E532)&gt;0,INDEX(filter(G$1:G531,$D$1:$D531=$D532,$E$1:$E531=E532),1),""Selecciona..""))"),"")</f>
        <v/>
      </c>
      <c r="H532" s="4" t="str">
        <f>IF(D532="","",COUNTIF(Productos!G:G,C532))</f>
        <v/>
      </c>
      <c r="J532" s="90"/>
    </row>
    <row r="533">
      <c r="A533" s="2" t="str">
        <f t="shared" si="1"/>
        <v/>
      </c>
      <c r="B533" s="4"/>
      <c r="C533" s="4"/>
      <c r="D533" s="3" t="str">
        <f t="shared" si="2"/>
        <v/>
      </c>
      <c r="E533" s="4"/>
      <c r="F533" s="2" t="str">
        <f>IFERROR(__xludf.DUMMYFUNCTION("IF(E533="""","""",IF(COUNTIFS(D$1:D532,D533,E$1:E532,E533)&gt;0,INDEX(filter(F$1:F532,D$1:D532=D533,E$1:E532=E533),1),""Selecciona..""))"),"")</f>
        <v/>
      </c>
      <c r="G533" s="2" t="str">
        <f>IFERROR(__xludf.DUMMYFUNCTION("IF($E533="""","""",IF(COUNTIFS($D$1:$D532,$D533,$E$1:$E532,$E533)&gt;0,INDEX(filter(G$1:G532,$D$1:$D532=$D533,$E$1:$E532=E533),1),""Selecciona..""))"),"")</f>
        <v/>
      </c>
      <c r="H533" s="4" t="str">
        <f>IF(D533="","",COUNTIF(Productos!G:G,C533))</f>
        <v/>
      </c>
      <c r="J533" s="90"/>
    </row>
    <row r="534">
      <c r="A534" s="2" t="str">
        <f t="shared" si="1"/>
        <v/>
      </c>
      <c r="B534" s="4"/>
      <c r="C534" s="4"/>
      <c r="D534" s="3" t="str">
        <f t="shared" si="2"/>
        <v/>
      </c>
      <c r="E534" s="4"/>
      <c r="F534" s="2" t="str">
        <f>IFERROR(__xludf.DUMMYFUNCTION("IF(E534="""","""",IF(COUNTIFS(D$1:D533,D534,E$1:E533,E534)&gt;0,INDEX(filter(F$1:F533,D$1:D533=D534,E$1:E533=E534),1),""Selecciona..""))"),"")</f>
        <v/>
      </c>
      <c r="G534" s="2" t="str">
        <f>IFERROR(__xludf.DUMMYFUNCTION("IF($E534="""","""",IF(COUNTIFS($D$1:$D533,$D534,$E$1:$E533,$E534)&gt;0,INDEX(filter(G$1:G533,$D$1:$D533=$D534,$E$1:$E533=E534),1),""Selecciona..""))"),"")</f>
        <v/>
      </c>
      <c r="H534" s="4" t="str">
        <f>IF(D534="","",COUNTIF(Productos!G:G,C534))</f>
        <v/>
      </c>
      <c r="J534" s="90"/>
    </row>
    <row r="535">
      <c r="A535" s="2" t="str">
        <f t="shared" si="1"/>
        <v/>
      </c>
      <c r="B535" s="4"/>
      <c r="C535" s="4"/>
      <c r="D535" s="3" t="str">
        <f t="shared" si="2"/>
        <v/>
      </c>
      <c r="E535" s="4"/>
      <c r="F535" s="2" t="str">
        <f>IFERROR(__xludf.DUMMYFUNCTION("IF(E535="""","""",IF(COUNTIFS(D$1:D534,D535,E$1:E534,E535)&gt;0,INDEX(filter(F$1:F534,D$1:D534=D535,E$1:E534=E535),1),""Selecciona..""))"),"")</f>
        <v/>
      </c>
      <c r="G535" s="2" t="str">
        <f>IFERROR(__xludf.DUMMYFUNCTION("IF($E535="""","""",IF(COUNTIFS($D$1:$D534,$D535,$E$1:$E534,$E535)&gt;0,INDEX(filter(G$1:G534,$D$1:$D534=$D535,$E$1:$E534=E535),1),""Selecciona..""))"),"")</f>
        <v/>
      </c>
      <c r="H535" s="4" t="str">
        <f>IF(D535="","",COUNTIF(Productos!G:G,C535))</f>
        <v/>
      </c>
      <c r="J535" s="90"/>
    </row>
    <row r="536">
      <c r="A536" s="2" t="str">
        <f t="shared" si="1"/>
        <v/>
      </c>
      <c r="B536" s="4"/>
      <c r="C536" s="4"/>
      <c r="D536" s="3" t="str">
        <f t="shared" si="2"/>
        <v/>
      </c>
      <c r="E536" s="4"/>
      <c r="F536" s="2" t="str">
        <f>IFERROR(__xludf.DUMMYFUNCTION("IF(E536="""","""",IF(COUNTIFS(D$1:D535,D536,E$1:E535,E536)&gt;0,INDEX(filter(F$1:F535,D$1:D535=D536,E$1:E535=E536),1),""Selecciona..""))"),"")</f>
        <v/>
      </c>
      <c r="G536" s="2" t="str">
        <f>IFERROR(__xludf.DUMMYFUNCTION("IF($E536="""","""",IF(COUNTIFS($D$1:$D535,$D536,$E$1:$E535,$E536)&gt;0,INDEX(filter(G$1:G535,$D$1:$D535=$D536,$E$1:$E535=E536),1),""Selecciona..""))"),"")</f>
        <v/>
      </c>
      <c r="H536" s="4" t="str">
        <f>IF(D536="","",COUNTIF(Productos!G:G,C536))</f>
        <v/>
      </c>
      <c r="J536" s="90"/>
    </row>
    <row r="537">
      <c r="A537" s="2" t="str">
        <f t="shared" si="1"/>
        <v/>
      </c>
      <c r="B537" s="4"/>
      <c r="C537" s="4"/>
      <c r="D537" s="3" t="str">
        <f t="shared" si="2"/>
        <v/>
      </c>
      <c r="E537" s="4"/>
      <c r="F537" s="2" t="str">
        <f>IFERROR(__xludf.DUMMYFUNCTION("IF(E537="""","""",IF(COUNTIFS(D$1:D536,D537,E$1:E536,E537)&gt;0,INDEX(filter(F$1:F536,D$1:D536=D537,E$1:E536=E537),1),""Selecciona..""))"),"")</f>
        <v/>
      </c>
      <c r="G537" s="2" t="str">
        <f>IFERROR(__xludf.DUMMYFUNCTION("IF($E537="""","""",IF(COUNTIFS($D$1:$D536,$D537,$E$1:$E536,$E537)&gt;0,INDEX(filter(G$1:G536,$D$1:$D536=$D537,$E$1:$E536=E537),1),""Selecciona..""))"),"")</f>
        <v/>
      </c>
      <c r="H537" s="4" t="str">
        <f>IF(D537="","",COUNTIF(Productos!G:G,C537))</f>
        <v/>
      </c>
      <c r="J537" s="90"/>
    </row>
    <row r="538">
      <c r="A538" s="2" t="str">
        <f t="shared" si="1"/>
        <v/>
      </c>
      <c r="B538" s="4"/>
      <c r="C538" s="4"/>
      <c r="D538" s="3" t="str">
        <f t="shared" si="2"/>
        <v/>
      </c>
      <c r="E538" s="4"/>
      <c r="F538" s="2" t="str">
        <f>IFERROR(__xludf.DUMMYFUNCTION("IF(E538="""","""",IF(COUNTIFS(D$1:D537,D538,E$1:E537,E538)&gt;0,INDEX(filter(F$1:F537,D$1:D537=D538,E$1:E537=E538),1),""Selecciona..""))"),"")</f>
        <v/>
      </c>
      <c r="G538" s="2" t="str">
        <f>IFERROR(__xludf.DUMMYFUNCTION("IF($E538="""","""",IF(COUNTIFS($D$1:$D537,$D538,$E$1:$E537,$E538)&gt;0,INDEX(filter(G$1:G537,$D$1:$D537=$D538,$E$1:$E537=E538),1),""Selecciona..""))"),"")</f>
        <v/>
      </c>
      <c r="H538" s="4" t="str">
        <f>IF(D538="","",COUNTIF(Productos!G:G,C538))</f>
        <v/>
      </c>
      <c r="J538" s="90"/>
    </row>
    <row r="539">
      <c r="A539" s="2" t="str">
        <f t="shared" si="1"/>
        <v/>
      </c>
      <c r="B539" s="4"/>
      <c r="C539" s="4"/>
      <c r="D539" s="3" t="str">
        <f t="shared" si="2"/>
        <v/>
      </c>
      <c r="E539" s="4"/>
      <c r="F539" s="2" t="str">
        <f>IFERROR(__xludf.DUMMYFUNCTION("IF(E539="""","""",IF(COUNTIFS(D$1:D538,D539,E$1:E538,E539)&gt;0,INDEX(filter(F$1:F538,D$1:D538=D539,E$1:E538=E539),1),""Selecciona..""))"),"")</f>
        <v/>
      </c>
      <c r="G539" s="2" t="str">
        <f>IFERROR(__xludf.DUMMYFUNCTION("IF($E539="""","""",IF(COUNTIFS($D$1:$D538,$D539,$E$1:$E538,$E539)&gt;0,INDEX(filter(G$1:G538,$D$1:$D538=$D539,$E$1:$E538=E539),1),""Selecciona..""))"),"")</f>
        <v/>
      </c>
      <c r="H539" s="4" t="str">
        <f>IF(D539="","",COUNTIF(Productos!G:G,C539))</f>
        <v/>
      </c>
      <c r="J539" s="90"/>
    </row>
    <row r="540">
      <c r="A540" s="2" t="str">
        <f t="shared" si="1"/>
        <v/>
      </c>
      <c r="B540" s="4"/>
      <c r="C540" s="4"/>
      <c r="D540" s="3" t="str">
        <f t="shared" si="2"/>
        <v/>
      </c>
      <c r="E540" s="4"/>
      <c r="F540" s="2" t="str">
        <f>IFERROR(__xludf.DUMMYFUNCTION("IF(E540="""","""",IF(COUNTIFS(D$1:D539,D540,E$1:E539,E540)&gt;0,INDEX(filter(F$1:F539,D$1:D539=D540,E$1:E539=E540),1),""Selecciona..""))"),"")</f>
        <v/>
      </c>
      <c r="G540" s="2" t="str">
        <f>IFERROR(__xludf.DUMMYFUNCTION("IF($E540="""","""",IF(COUNTIFS($D$1:$D539,$D540,$E$1:$E539,$E540)&gt;0,INDEX(filter(G$1:G539,$D$1:$D539=$D540,$E$1:$E539=E540),1),""Selecciona..""))"),"")</f>
        <v/>
      </c>
      <c r="H540" s="4" t="str">
        <f>IF(D540="","",COUNTIF(Productos!G:G,C540))</f>
        <v/>
      </c>
      <c r="J540" s="90"/>
    </row>
    <row r="541">
      <c r="A541" s="2" t="str">
        <f t="shared" si="1"/>
        <v/>
      </c>
      <c r="B541" s="4"/>
      <c r="C541" s="4"/>
      <c r="D541" s="3" t="str">
        <f t="shared" si="2"/>
        <v/>
      </c>
      <c r="E541" s="4"/>
      <c r="F541" s="2" t="str">
        <f>IFERROR(__xludf.DUMMYFUNCTION("IF(E541="""","""",IF(COUNTIFS(D$1:D540,D541,E$1:E540,E541)&gt;0,INDEX(filter(F$1:F540,D$1:D540=D541,E$1:E540=E541),1),""Selecciona..""))"),"")</f>
        <v/>
      </c>
      <c r="G541" s="2" t="str">
        <f>IFERROR(__xludf.DUMMYFUNCTION("IF($E541="""","""",IF(COUNTIFS($D$1:$D540,$D541,$E$1:$E540,$E541)&gt;0,INDEX(filter(G$1:G540,$D$1:$D540=$D541,$E$1:$E540=E541),1),""Selecciona..""))"),"")</f>
        <v/>
      </c>
      <c r="H541" s="4" t="str">
        <f>IF(D541="","",COUNTIF(Productos!G:G,C541))</f>
        <v/>
      </c>
      <c r="J541" s="90"/>
    </row>
    <row r="542">
      <c r="A542" s="2" t="str">
        <f t="shared" si="1"/>
        <v/>
      </c>
      <c r="B542" s="4"/>
      <c r="C542" s="4"/>
      <c r="D542" s="3" t="str">
        <f t="shared" si="2"/>
        <v/>
      </c>
      <c r="E542" s="4"/>
      <c r="F542" s="2" t="str">
        <f>IFERROR(__xludf.DUMMYFUNCTION("IF(E542="""","""",IF(COUNTIFS(D$1:D541,D542,E$1:E541,E542)&gt;0,INDEX(filter(F$1:F541,D$1:D541=D542,E$1:E541=E542),1),""Selecciona..""))"),"")</f>
        <v/>
      </c>
      <c r="G542" s="2" t="str">
        <f>IFERROR(__xludf.DUMMYFUNCTION("IF($E542="""","""",IF(COUNTIFS($D$1:$D541,$D542,$E$1:$E541,$E542)&gt;0,INDEX(filter(G$1:G541,$D$1:$D541=$D542,$E$1:$E541=E542),1),""Selecciona..""))"),"")</f>
        <v/>
      </c>
      <c r="H542" s="4" t="str">
        <f>IF(D542="","",COUNTIF(Productos!G:G,C542))</f>
        <v/>
      </c>
      <c r="J542" s="90"/>
    </row>
    <row r="543">
      <c r="A543" s="2" t="str">
        <f t="shared" si="1"/>
        <v/>
      </c>
      <c r="B543" s="4"/>
      <c r="C543" s="4"/>
      <c r="D543" s="3" t="str">
        <f t="shared" si="2"/>
        <v/>
      </c>
      <c r="E543" s="4"/>
      <c r="F543" s="2" t="str">
        <f>IFERROR(__xludf.DUMMYFUNCTION("IF(E543="""","""",IF(COUNTIFS(D$1:D542,D543,E$1:E542,E543)&gt;0,INDEX(filter(F$1:F542,D$1:D542=D543,E$1:E542=E543),1),""Selecciona..""))"),"")</f>
        <v/>
      </c>
      <c r="G543" s="2" t="str">
        <f>IFERROR(__xludf.DUMMYFUNCTION("IF($E543="""","""",IF(COUNTIFS($D$1:$D542,$D543,$E$1:$E542,$E543)&gt;0,INDEX(filter(G$1:G542,$D$1:$D542=$D543,$E$1:$E542=E543),1),""Selecciona..""))"),"")</f>
        <v/>
      </c>
      <c r="H543" s="4" t="str">
        <f>IF(D543="","",COUNTIF(Productos!G:G,C543))</f>
        <v/>
      </c>
      <c r="J543" s="90"/>
    </row>
    <row r="544">
      <c r="A544" s="2" t="str">
        <f t="shared" si="1"/>
        <v/>
      </c>
      <c r="B544" s="4"/>
      <c r="C544" s="4"/>
      <c r="D544" s="3" t="str">
        <f t="shared" si="2"/>
        <v/>
      </c>
      <c r="E544" s="4"/>
      <c r="F544" s="2" t="str">
        <f>IFERROR(__xludf.DUMMYFUNCTION("IF(E544="""","""",IF(COUNTIFS(D$1:D543,D544,E$1:E543,E544)&gt;0,INDEX(filter(F$1:F543,D$1:D543=D544,E$1:E543=E544),1),""Selecciona..""))"),"")</f>
        <v/>
      </c>
      <c r="G544" s="2" t="str">
        <f>IFERROR(__xludf.DUMMYFUNCTION("IF($E544="""","""",IF(COUNTIFS($D$1:$D543,$D544,$E$1:$E543,$E544)&gt;0,INDEX(filter(G$1:G543,$D$1:$D543=$D544,$E$1:$E543=E544),1),""Selecciona..""))"),"")</f>
        <v/>
      </c>
      <c r="H544" s="4" t="str">
        <f>IF(D544="","",COUNTIF(Productos!G:G,C544))</f>
        <v/>
      </c>
      <c r="J544" s="90"/>
    </row>
    <row r="545">
      <c r="A545" s="2" t="str">
        <f t="shared" si="1"/>
        <v/>
      </c>
      <c r="B545" s="4"/>
      <c r="C545" s="4"/>
      <c r="D545" s="3" t="str">
        <f t="shared" si="2"/>
        <v/>
      </c>
      <c r="E545" s="4"/>
      <c r="F545" s="2" t="str">
        <f>IFERROR(__xludf.DUMMYFUNCTION("IF(E545="""","""",IF(COUNTIFS(D$1:D544,D545,E$1:E544,E545)&gt;0,INDEX(filter(F$1:F544,D$1:D544=D545,E$1:E544=E545),1),""Selecciona..""))"),"")</f>
        <v/>
      </c>
      <c r="G545" s="2" t="str">
        <f>IFERROR(__xludf.DUMMYFUNCTION("IF($E545="""","""",IF(COUNTIFS($D$1:$D544,$D545,$E$1:$E544,$E545)&gt;0,INDEX(filter(G$1:G544,$D$1:$D544=$D545,$E$1:$E544=E545),1),""Selecciona..""))"),"")</f>
        <v/>
      </c>
      <c r="H545" s="4" t="str">
        <f>IF(D545="","",COUNTIF(Productos!G:G,C545))</f>
        <v/>
      </c>
      <c r="J545" s="90"/>
    </row>
    <row r="546">
      <c r="A546" s="2" t="str">
        <f t="shared" si="1"/>
        <v/>
      </c>
      <c r="B546" s="4"/>
      <c r="C546" s="4"/>
      <c r="D546" s="3" t="str">
        <f t="shared" si="2"/>
        <v/>
      </c>
      <c r="E546" s="4"/>
      <c r="F546" s="2" t="str">
        <f>IFERROR(__xludf.DUMMYFUNCTION("IF(E546="""","""",IF(COUNTIFS(D$1:D545,D546,E$1:E545,E546)&gt;0,INDEX(filter(F$1:F545,D$1:D545=D546,E$1:E545=E546),1),""Selecciona..""))"),"")</f>
        <v/>
      </c>
      <c r="G546" s="2" t="str">
        <f>IFERROR(__xludf.DUMMYFUNCTION("IF($E546="""","""",IF(COUNTIFS($D$1:$D545,$D546,$E$1:$E545,$E546)&gt;0,INDEX(filter(G$1:G545,$D$1:$D545=$D546,$E$1:$E545=E546),1),""Selecciona..""))"),"")</f>
        <v/>
      </c>
      <c r="H546" s="4" t="str">
        <f>IF(D546="","",COUNTIF(Productos!G:G,C546))</f>
        <v/>
      </c>
      <c r="J546" s="90"/>
    </row>
    <row r="547">
      <c r="A547" s="2" t="str">
        <f t="shared" si="1"/>
        <v/>
      </c>
      <c r="B547" s="4"/>
      <c r="C547" s="4"/>
      <c r="D547" s="3" t="str">
        <f t="shared" si="2"/>
        <v/>
      </c>
      <c r="E547" s="4"/>
      <c r="F547" s="2" t="str">
        <f>IFERROR(__xludf.DUMMYFUNCTION("IF(E547="""","""",IF(COUNTIFS(D$1:D546,D547,E$1:E546,E547)&gt;0,INDEX(filter(F$1:F546,D$1:D546=D547,E$1:E546=E547),1),""Selecciona..""))"),"")</f>
        <v/>
      </c>
      <c r="G547" s="2" t="str">
        <f>IFERROR(__xludf.DUMMYFUNCTION("IF($E547="""","""",IF(COUNTIFS($D$1:$D546,$D547,$E$1:$E546,$E547)&gt;0,INDEX(filter(G$1:G546,$D$1:$D546=$D547,$E$1:$E546=E547),1),""Selecciona..""))"),"")</f>
        <v/>
      </c>
      <c r="H547" s="4" t="str">
        <f>IF(D547="","",COUNTIF(Productos!G:G,C547))</f>
        <v/>
      </c>
      <c r="J547" s="90"/>
    </row>
    <row r="548">
      <c r="A548" s="2" t="str">
        <f t="shared" si="1"/>
        <v/>
      </c>
      <c r="B548" s="4"/>
      <c r="C548" s="4"/>
      <c r="D548" s="3" t="str">
        <f t="shared" si="2"/>
        <v/>
      </c>
      <c r="E548" s="4"/>
      <c r="F548" s="2" t="str">
        <f>IFERROR(__xludf.DUMMYFUNCTION("IF(E548="""","""",IF(COUNTIFS(D$1:D547,D548,E$1:E547,E548)&gt;0,INDEX(filter(F$1:F547,D$1:D547=D548,E$1:E547=E548),1),""Selecciona..""))"),"")</f>
        <v/>
      </c>
      <c r="G548" s="2" t="str">
        <f>IFERROR(__xludf.DUMMYFUNCTION("IF($E548="""","""",IF(COUNTIFS($D$1:$D547,$D548,$E$1:$E547,$E548)&gt;0,INDEX(filter(G$1:G547,$D$1:$D547=$D548,$E$1:$E547=E548),1),""Selecciona..""))"),"")</f>
        <v/>
      </c>
      <c r="H548" s="4" t="str">
        <f>IF(D548="","",COUNTIF(Productos!G:G,C548))</f>
        <v/>
      </c>
      <c r="J548" s="90"/>
    </row>
    <row r="549">
      <c r="A549" s="2" t="str">
        <f t="shared" si="1"/>
        <v/>
      </c>
      <c r="B549" s="4"/>
      <c r="C549" s="4"/>
      <c r="D549" s="3" t="str">
        <f t="shared" si="2"/>
        <v/>
      </c>
      <c r="E549" s="4"/>
      <c r="F549" s="2" t="str">
        <f>IFERROR(__xludf.DUMMYFUNCTION("IF(E549="""","""",IF(COUNTIFS(D$1:D548,D549,E$1:E548,E549)&gt;0,INDEX(filter(F$1:F548,D$1:D548=D549,E$1:E548=E549),1),""Selecciona..""))"),"")</f>
        <v/>
      </c>
      <c r="G549" s="2" t="str">
        <f>IFERROR(__xludf.DUMMYFUNCTION("IF($E549="""","""",IF(COUNTIFS($D$1:$D548,$D549,$E$1:$E548,$E549)&gt;0,INDEX(filter(G$1:G548,$D$1:$D548=$D549,$E$1:$E548=E549),1),""Selecciona..""))"),"")</f>
        <v/>
      </c>
      <c r="H549" s="4" t="str">
        <f>IF(D549="","",COUNTIF(Productos!G:G,C549))</f>
        <v/>
      </c>
      <c r="J549" s="90"/>
    </row>
    <row r="550">
      <c r="A550" s="2" t="str">
        <f t="shared" si="1"/>
        <v/>
      </c>
      <c r="B550" s="4"/>
      <c r="C550" s="4"/>
      <c r="D550" s="3" t="str">
        <f t="shared" si="2"/>
        <v/>
      </c>
      <c r="E550" s="4"/>
      <c r="F550" s="2" t="str">
        <f>IFERROR(__xludf.DUMMYFUNCTION("IF(E550="""","""",IF(COUNTIFS(D$1:D549,D550,E$1:E549,E550)&gt;0,INDEX(filter(F$1:F549,D$1:D549=D550,E$1:E549=E550),1),""Selecciona..""))"),"")</f>
        <v/>
      </c>
      <c r="G550" s="2" t="str">
        <f>IFERROR(__xludf.DUMMYFUNCTION("IF($E550="""","""",IF(COUNTIFS($D$1:$D549,$D550,$E$1:$E549,$E550)&gt;0,INDEX(filter(G$1:G549,$D$1:$D549=$D550,$E$1:$E549=E550),1),""Selecciona..""))"),"")</f>
        <v/>
      </c>
      <c r="H550" s="4" t="str">
        <f>IF(D550="","",COUNTIF(Productos!G:G,C550))</f>
        <v/>
      </c>
      <c r="J550" s="90"/>
    </row>
    <row r="551">
      <c r="A551" s="2" t="str">
        <f t="shared" si="1"/>
        <v/>
      </c>
      <c r="B551" s="4"/>
      <c r="C551" s="4"/>
      <c r="D551" s="3" t="str">
        <f t="shared" si="2"/>
        <v/>
      </c>
      <c r="E551" s="4"/>
      <c r="F551" s="2" t="str">
        <f>IFERROR(__xludf.DUMMYFUNCTION("IF(E551="""","""",IF(COUNTIFS(D$1:D550,D551,E$1:E550,E551)&gt;0,INDEX(filter(F$1:F550,D$1:D550=D551,E$1:E550=E551),1),""Selecciona..""))"),"")</f>
        <v/>
      </c>
      <c r="G551" s="2" t="str">
        <f>IFERROR(__xludf.DUMMYFUNCTION("IF($E551="""","""",IF(COUNTIFS($D$1:$D550,$D551,$E$1:$E550,$E551)&gt;0,INDEX(filter(G$1:G550,$D$1:$D550=$D551,$E$1:$E550=E551),1),""Selecciona..""))"),"")</f>
        <v/>
      </c>
      <c r="H551" s="4" t="str">
        <f>IF(D551="","",COUNTIF(Productos!G:G,C551))</f>
        <v/>
      </c>
      <c r="J551" s="90"/>
    </row>
    <row r="552">
      <c r="A552" s="2" t="str">
        <f t="shared" si="1"/>
        <v/>
      </c>
      <c r="B552" s="4"/>
      <c r="C552" s="4"/>
      <c r="D552" s="3" t="str">
        <f t="shared" si="2"/>
        <v/>
      </c>
      <c r="E552" s="4"/>
      <c r="F552" s="2" t="str">
        <f>IFERROR(__xludf.DUMMYFUNCTION("IF(E552="""","""",IF(COUNTIFS(D$1:D551,D552,E$1:E551,E552)&gt;0,INDEX(filter(F$1:F551,D$1:D551=D552,E$1:E551=E552),1),""Selecciona..""))"),"")</f>
        <v/>
      </c>
      <c r="G552" s="2" t="str">
        <f>IFERROR(__xludf.DUMMYFUNCTION("IF($E552="""","""",IF(COUNTIFS($D$1:$D551,$D552,$E$1:$E551,$E552)&gt;0,INDEX(filter(G$1:G551,$D$1:$D551=$D552,$E$1:$E551=E552),1),""Selecciona..""))"),"")</f>
        <v/>
      </c>
      <c r="H552" s="4" t="str">
        <f>IF(D552="","",COUNTIF(Productos!G:G,C552))</f>
        <v/>
      </c>
      <c r="J552" s="90"/>
    </row>
    <row r="553">
      <c r="A553" s="2" t="str">
        <f t="shared" si="1"/>
        <v/>
      </c>
      <c r="B553" s="4"/>
      <c r="C553" s="4"/>
      <c r="D553" s="3" t="str">
        <f t="shared" si="2"/>
        <v/>
      </c>
      <c r="E553" s="4"/>
      <c r="F553" s="2" t="str">
        <f>IFERROR(__xludf.DUMMYFUNCTION("IF(E553="""","""",IF(COUNTIFS(D$1:D552,D553,E$1:E552,E553)&gt;0,INDEX(filter(F$1:F552,D$1:D552=D553,E$1:E552=E553),1),""Selecciona..""))"),"")</f>
        <v/>
      </c>
      <c r="G553" s="2" t="str">
        <f>IFERROR(__xludf.DUMMYFUNCTION("IF($E553="""","""",IF(COUNTIFS($D$1:$D552,$D553,$E$1:$E552,$E553)&gt;0,INDEX(filter(G$1:G552,$D$1:$D552=$D553,$E$1:$E552=E553),1),""Selecciona..""))"),"")</f>
        <v/>
      </c>
      <c r="H553" s="4" t="str">
        <f>IF(D553="","",COUNTIF(Productos!G:G,C553))</f>
        <v/>
      </c>
      <c r="J553" s="90"/>
    </row>
    <row r="554">
      <c r="A554" s="2" t="str">
        <f t="shared" si="1"/>
        <v/>
      </c>
      <c r="B554" s="4"/>
      <c r="C554" s="4"/>
      <c r="D554" s="3" t="str">
        <f t="shared" si="2"/>
        <v/>
      </c>
      <c r="E554" s="4"/>
      <c r="F554" s="2" t="str">
        <f>IFERROR(__xludf.DUMMYFUNCTION("IF(E554="""","""",IF(COUNTIFS(D$1:D553,D554,E$1:E553,E554)&gt;0,INDEX(filter(F$1:F553,D$1:D553=D554,E$1:E553=E554),1),""Selecciona..""))"),"")</f>
        <v/>
      </c>
      <c r="G554" s="2" t="str">
        <f>IFERROR(__xludf.DUMMYFUNCTION("IF($E554="""","""",IF(COUNTIFS($D$1:$D553,$D554,$E$1:$E553,$E554)&gt;0,INDEX(filter(G$1:G553,$D$1:$D553=$D554,$E$1:$E553=E554),1),""Selecciona..""))"),"")</f>
        <v/>
      </c>
      <c r="H554" s="4" t="str">
        <f>IF(D554="","",COUNTIF(Productos!G:G,C554))</f>
        <v/>
      </c>
      <c r="J554" s="90"/>
    </row>
    <row r="555">
      <c r="A555" s="2" t="str">
        <f t="shared" si="1"/>
        <v/>
      </c>
      <c r="B555" s="4"/>
      <c r="C555" s="4"/>
      <c r="D555" s="3" t="str">
        <f t="shared" si="2"/>
        <v/>
      </c>
      <c r="E555" s="4"/>
      <c r="F555" s="2" t="str">
        <f>IFERROR(__xludf.DUMMYFUNCTION("IF(E555="""","""",IF(COUNTIFS(D$1:D554,D555,E$1:E554,E555)&gt;0,INDEX(filter(F$1:F554,D$1:D554=D555,E$1:E554=E555),1),""Selecciona..""))"),"")</f>
        <v/>
      </c>
      <c r="G555" s="2" t="str">
        <f>IFERROR(__xludf.DUMMYFUNCTION("IF($E555="""","""",IF(COUNTIFS($D$1:$D554,$D555,$E$1:$E554,$E555)&gt;0,INDEX(filter(G$1:G554,$D$1:$D554=$D555,$E$1:$E554=E555),1),""Selecciona..""))"),"")</f>
        <v/>
      </c>
      <c r="H555" s="4" t="str">
        <f>IF(D555="","",COUNTIF(Productos!G:G,C555))</f>
        <v/>
      </c>
      <c r="J555" s="90"/>
    </row>
    <row r="556">
      <c r="A556" s="2" t="str">
        <f t="shared" si="1"/>
        <v/>
      </c>
      <c r="B556" s="4"/>
      <c r="C556" s="4"/>
      <c r="D556" s="3" t="str">
        <f t="shared" si="2"/>
        <v/>
      </c>
      <c r="E556" s="4"/>
      <c r="F556" s="2" t="str">
        <f>IFERROR(__xludf.DUMMYFUNCTION("IF(E556="""","""",IF(COUNTIFS(D$1:D555,D556,E$1:E555,E556)&gt;0,INDEX(filter(F$1:F555,D$1:D555=D556,E$1:E555=E556),1),""Selecciona..""))"),"")</f>
        <v/>
      </c>
      <c r="G556" s="2" t="str">
        <f>IFERROR(__xludf.DUMMYFUNCTION("IF($E556="""","""",IF(COUNTIFS($D$1:$D555,$D556,$E$1:$E555,$E556)&gt;0,INDEX(filter(G$1:G555,$D$1:$D555=$D556,$E$1:$E555=E556),1),""Selecciona..""))"),"")</f>
        <v/>
      </c>
      <c r="H556" s="4" t="str">
        <f>IF(D556="","",COUNTIF(Productos!G:G,C556))</f>
        <v/>
      </c>
      <c r="J556" s="90"/>
    </row>
    <row r="557">
      <c r="A557" s="2" t="str">
        <f t="shared" si="1"/>
        <v/>
      </c>
      <c r="B557" s="4"/>
      <c r="C557" s="4"/>
      <c r="D557" s="3" t="str">
        <f t="shared" si="2"/>
        <v/>
      </c>
      <c r="E557" s="4"/>
      <c r="F557" s="2" t="str">
        <f>IFERROR(__xludf.DUMMYFUNCTION("IF(E557="""","""",IF(COUNTIFS(D$1:D556,D557,E$1:E556,E557)&gt;0,INDEX(filter(F$1:F556,D$1:D556=D557,E$1:E556=E557),1),""Selecciona..""))"),"")</f>
        <v/>
      </c>
      <c r="G557" s="2" t="str">
        <f>IFERROR(__xludf.DUMMYFUNCTION("IF($E557="""","""",IF(COUNTIFS($D$1:$D556,$D557,$E$1:$E556,$E557)&gt;0,INDEX(filter(G$1:G556,$D$1:$D556=$D557,$E$1:$E556=E557),1),""Selecciona..""))"),"")</f>
        <v/>
      </c>
      <c r="H557" s="4" t="str">
        <f>IF(D557="","",COUNTIF(Productos!G:G,C557))</f>
        <v/>
      </c>
      <c r="J557" s="90"/>
    </row>
    <row r="558">
      <c r="A558" s="2" t="str">
        <f t="shared" si="1"/>
        <v/>
      </c>
      <c r="B558" s="4"/>
      <c r="C558" s="4"/>
      <c r="D558" s="3" t="str">
        <f t="shared" si="2"/>
        <v/>
      </c>
      <c r="E558" s="4"/>
      <c r="F558" s="2" t="str">
        <f>IFERROR(__xludf.DUMMYFUNCTION("IF(E558="""","""",IF(COUNTIFS(D$1:D557,D558,E$1:E557,E558)&gt;0,INDEX(filter(F$1:F557,D$1:D557=D558,E$1:E557=E558),1),""Selecciona..""))"),"")</f>
        <v/>
      </c>
      <c r="G558" s="2" t="str">
        <f>IFERROR(__xludf.DUMMYFUNCTION("IF($E558="""","""",IF(COUNTIFS($D$1:$D557,$D558,$E$1:$E557,$E558)&gt;0,INDEX(filter(G$1:G557,$D$1:$D557=$D558,$E$1:$E557=E558),1),""Selecciona..""))"),"")</f>
        <v/>
      </c>
      <c r="H558" s="4" t="str">
        <f>IF(D558="","",COUNTIF(Productos!G:G,C558))</f>
        <v/>
      </c>
      <c r="J558" s="90"/>
    </row>
    <row r="559">
      <c r="A559" s="2" t="str">
        <f t="shared" si="1"/>
        <v/>
      </c>
      <c r="B559" s="4"/>
      <c r="C559" s="4"/>
      <c r="D559" s="3" t="str">
        <f t="shared" si="2"/>
        <v/>
      </c>
      <c r="E559" s="4"/>
      <c r="F559" s="2" t="str">
        <f>IFERROR(__xludf.DUMMYFUNCTION("IF(E559="""","""",IF(COUNTIFS(D$1:D558,D559,E$1:E558,E559)&gt;0,INDEX(filter(F$1:F558,D$1:D558=D559,E$1:E558=E559),1),""Selecciona..""))"),"")</f>
        <v/>
      </c>
      <c r="G559" s="2" t="str">
        <f>IFERROR(__xludf.DUMMYFUNCTION("IF($E559="""","""",IF(COUNTIFS($D$1:$D558,$D559,$E$1:$E558,$E559)&gt;0,INDEX(filter(G$1:G558,$D$1:$D558=$D559,$E$1:$E558=E559),1),""Selecciona..""))"),"")</f>
        <v/>
      </c>
      <c r="H559" s="4" t="str">
        <f>IF(D559="","",COUNTIF(Productos!G:G,C559))</f>
        <v/>
      </c>
      <c r="J559" s="90"/>
    </row>
    <row r="560">
      <c r="A560" s="2" t="str">
        <f t="shared" si="1"/>
        <v/>
      </c>
      <c r="B560" s="4"/>
      <c r="C560" s="4"/>
      <c r="D560" s="3" t="str">
        <f t="shared" si="2"/>
        <v/>
      </c>
      <c r="E560" s="4"/>
      <c r="F560" s="2" t="str">
        <f>IFERROR(__xludf.DUMMYFUNCTION("IF(E560="""","""",IF(COUNTIFS(D$1:D559,D560,E$1:E559,E560)&gt;0,INDEX(filter(F$1:F559,D$1:D559=D560,E$1:E559=E560),1),""Selecciona..""))"),"")</f>
        <v/>
      </c>
      <c r="G560" s="2" t="str">
        <f>IFERROR(__xludf.DUMMYFUNCTION("IF($E560="""","""",IF(COUNTIFS($D$1:$D559,$D560,$E$1:$E559,$E560)&gt;0,INDEX(filter(G$1:G559,$D$1:$D559=$D560,$E$1:$E559=E560),1),""Selecciona..""))"),"")</f>
        <v/>
      </c>
      <c r="H560" s="4" t="str">
        <f>IF(D560="","",COUNTIF(Productos!G:G,C560))</f>
        <v/>
      </c>
      <c r="J560" s="90"/>
    </row>
    <row r="561">
      <c r="A561" s="2" t="str">
        <f t="shared" si="1"/>
        <v/>
      </c>
      <c r="B561" s="4"/>
      <c r="C561" s="4"/>
      <c r="D561" s="3" t="str">
        <f t="shared" si="2"/>
        <v/>
      </c>
      <c r="E561" s="4"/>
      <c r="F561" s="2" t="str">
        <f>IFERROR(__xludf.DUMMYFUNCTION("IF(E561="""","""",IF(COUNTIFS(D$1:D560,D561,E$1:E560,E561)&gt;0,INDEX(filter(F$1:F560,D$1:D560=D561,E$1:E560=E561),1),""Selecciona..""))"),"")</f>
        <v/>
      </c>
      <c r="G561" s="2" t="str">
        <f>IFERROR(__xludf.DUMMYFUNCTION("IF($E561="""","""",IF(COUNTIFS($D$1:$D560,$D561,$E$1:$E560,$E561)&gt;0,INDEX(filter(G$1:G560,$D$1:$D560=$D561,$E$1:$E560=E561),1),""Selecciona..""))"),"")</f>
        <v/>
      </c>
      <c r="H561" s="4" t="str">
        <f>IF(D561="","",COUNTIF(Productos!G:G,C561))</f>
        <v/>
      </c>
      <c r="J561" s="90"/>
    </row>
    <row r="562">
      <c r="A562" s="2" t="str">
        <f t="shared" si="1"/>
        <v/>
      </c>
      <c r="B562" s="4"/>
      <c r="C562" s="4"/>
      <c r="D562" s="3" t="str">
        <f t="shared" si="2"/>
        <v/>
      </c>
      <c r="E562" s="4"/>
      <c r="F562" s="2" t="str">
        <f>IFERROR(__xludf.DUMMYFUNCTION("IF(E562="""","""",IF(COUNTIFS(D$1:D561,D562,E$1:E561,E562)&gt;0,INDEX(filter(F$1:F561,D$1:D561=D562,E$1:E561=E562),1),""Selecciona..""))"),"")</f>
        <v/>
      </c>
      <c r="G562" s="2" t="str">
        <f>IFERROR(__xludf.DUMMYFUNCTION("IF($E562="""","""",IF(COUNTIFS($D$1:$D561,$D562,$E$1:$E561,$E562)&gt;0,INDEX(filter(G$1:G561,$D$1:$D561=$D562,$E$1:$E561=E562),1),""Selecciona..""))"),"")</f>
        <v/>
      </c>
      <c r="H562" s="4" t="str">
        <f>IF(D562="","",COUNTIF(Productos!G:G,C562))</f>
        <v/>
      </c>
      <c r="J562" s="90"/>
    </row>
    <row r="563">
      <c r="A563" s="2" t="str">
        <f t="shared" si="1"/>
        <v/>
      </c>
      <c r="B563" s="4"/>
      <c r="C563" s="4"/>
      <c r="D563" s="3" t="str">
        <f t="shared" si="2"/>
        <v/>
      </c>
      <c r="E563" s="4"/>
      <c r="F563" s="2" t="str">
        <f>IFERROR(__xludf.DUMMYFUNCTION("IF(E563="""","""",IF(COUNTIFS(D$1:D562,D563,E$1:E562,E563)&gt;0,INDEX(filter(F$1:F562,D$1:D562=D563,E$1:E562=E563),1),""Selecciona..""))"),"")</f>
        <v/>
      </c>
      <c r="G563" s="2" t="str">
        <f>IFERROR(__xludf.DUMMYFUNCTION("IF($E563="""","""",IF(COUNTIFS($D$1:$D562,$D563,$E$1:$E562,$E563)&gt;0,INDEX(filter(G$1:G562,$D$1:$D562=$D563,$E$1:$E562=E563),1),""Selecciona..""))"),"")</f>
        <v/>
      </c>
      <c r="H563" s="4" t="str">
        <f>IF(D563="","",COUNTIF(Productos!G:G,C563))</f>
        <v/>
      </c>
      <c r="J563" s="90"/>
    </row>
    <row r="564">
      <c r="A564" s="2" t="str">
        <f t="shared" si="1"/>
        <v/>
      </c>
      <c r="B564" s="4"/>
      <c r="C564" s="4"/>
      <c r="D564" s="3" t="str">
        <f t="shared" si="2"/>
        <v/>
      </c>
      <c r="E564" s="4"/>
      <c r="F564" s="2" t="str">
        <f>IFERROR(__xludf.DUMMYFUNCTION("IF(E564="""","""",IF(COUNTIFS(D$1:D563,D564,E$1:E563,E564)&gt;0,INDEX(filter(F$1:F563,D$1:D563=D564,E$1:E563=E564),1),""Selecciona..""))"),"")</f>
        <v/>
      </c>
      <c r="G564" s="2" t="str">
        <f>IFERROR(__xludf.DUMMYFUNCTION("IF($E564="""","""",IF(COUNTIFS($D$1:$D563,$D564,$E$1:$E563,$E564)&gt;0,INDEX(filter(G$1:G563,$D$1:$D563=$D564,$E$1:$E563=E564),1),""Selecciona..""))"),"")</f>
        <v/>
      </c>
      <c r="H564" s="4" t="str">
        <f>IF(D564="","",COUNTIF(Productos!G:G,C564))</f>
        <v/>
      </c>
      <c r="J564" s="90"/>
    </row>
    <row r="565">
      <c r="A565" s="2" t="str">
        <f t="shared" si="1"/>
        <v/>
      </c>
      <c r="B565" s="4"/>
      <c r="C565" s="4"/>
      <c r="D565" s="3" t="str">
        <f t="shared" si="2"/>
        <v/>
      </c>
      <c r="E565" s="4"/>
      <c r="F565" s="2" t="str">
        <f>IFERROR(__xludf.DUMMYFUNCTION("IF(E565="""","""",IF(COUNTIFS(D$1:D564,D565,E$1:E564,E565)&gt;0,INDEX(filter(F$1:F564,D$1:D564=D565,E$1:E564=E565),1),""Selecciona..""))"),"")</f>
        <v/>
      </c>
      <c r="G565" s="2" t="str">
        <f>IFERROR(__xludf.DUMMYFUNCTION("IF($E565="""","""",IF(COUNTIFS($D$1:$D564,$D565,$E$1:$E564,$E565)&gt;0,INDEX(filter(G$1:G564,$D$1:$D564=$D565,$E$1:$E564=E565),1),""Selecciona..""))"),"")</f>
        <v/>
      </c>
      <c r="H565" s="4" t="str">
        <f>IF(D565="","",COUNTIF(Productos!G:G,C565))</f>
        <v/>
      </c>
      <c r="J565" s="90"/>
    </row>
    <row r="566">
      <c r="A566" s="2" t="str">
        <f t="shared" si="1"/>
        <v/>
      </c>
      <c r="B566" s="4"/>
      <c r="C566" s="4"/>
      <c r="D566" s="3" t="str">
        <f t="shared" si="2"/>
        <v/>
      </c>
      <c r="E566" s="4"/>
      <c r="F566" s="2" t="str">
        <f>IFERROR(__xludf.DUMMYFUNCTION("IF(E566="""","""",IF(COUNTIFS(D$1:D565,D566,E$1:E565,E566)&gt;0,INDEX(filter(F$1:F565,D$1:D565=D566,E$1:E565=E566),1),""Selecciona..""))"),"")</f>
        <v/>
      </c>
      <c r="G566" s="2" t="str">
        <f>IFERROR(__xludf.DUMMYFUNCTION("IF($E566="""","""",IF(COUNTIFS($D$1:$D565,$D566,$E$1:$E565,$E566)&gt;0,INDEX(filter(G$1:G565,$D$1:$D565=$D566,$E$1:$E565=E566),1),""Selecciona..""))"),"")</f>
        <v/>
      </c>
      <c r="H566" s="4" t="str">
        <f>IF(D566="","",COUNTIF(Productos!G:G,C566))</f>
        <v/>
      </c>
      <c r="J566" s="90"/>
    </row>
    <row r="567">
      <c r="A567" s="2" t="str">
        <f t="shared" si="1"/>
        <v/>
      </c>
      <c r="B567" s="4"/>
      <c r="C567" s="4"/>
      <c r="D567" s="3" t="str">
        <f t="shared" si="2"/>
        <v/>
      </c>
      <c r="E567" s="4"/>
      <c r="F567" s="2" t="str">
        <f>IFERROR(__xludf.DUMMYFUNCTION("IF(E567="""","""",IF(COUNTIFS(D$1:D566,D567,E$1:E566,E567)&gt;0,INDEX(filter(F$1:F566,D$1:D566=D567,E$1:E566=E567),1),""Selecciona..""))"),"")</f>
        <v/>
      </c>
      <c r="G567" s="2" t="str">
        <f>IFERROR(__xludf.DUMMYFUNCTION("IF($E567="""","""",IF(COUNTIFS($D$1:$D566,$D567,$E$1:$E566,$E567)&gt;0,INDEX(filter(G$1:G566,$D$1:$D566=$D567,$E$1:$E566=E567),1),""Selecciona..""))"),"")</f>
        <v/>
      </c>
      <c r="H567" s="4" t="str">
        <f>IF(D567="","",COUNTIF(Productos!G:G,C567))</f>
        <v/>
      </c>
      <c r="J567" s="90"/>
    </row>
    <row r="568">
      <c r="A568" s="2" t="str">
        <f t="shared" si="1"/>
        <v/>
      </c>
      <c r="B568" s="4"/>
      <c r="C568" s="4"/>
      <c r="D568" s="3" t="str">
        <f t="shared" si="2"/>
        <v/>
      </c>
      <c r="E568" s="4"/>
      <c r="F568" s="2" t="str">
        <f>IFERROR(__xludf.DUMMYFUNCTION("IF(E568="""","""",IF(COUNTIFS(D$1:D567,D568,E$1:E567,E568)&gt;0,INDEX(filter(F$1:F567,D$1:D567=D568,E$1:E567=E568),1),""Selecciona..""))"),"")</f>
        <v/>
      </c>
      <c r="G568" s="2" t="str">
        <f>IFERROR(__xludf.DUMMYFUNCTION("IF($E568="""","""",IF(COUNTIFS($D$1:$D567,$D568,$E$1:$E567,$E568)&gt;0,INDEX(filter(G$1:G567,$D$1:$D567=$D568,$E$1:$E567=E568),1),""Selecciona..""))"),"")</f>
        <v/>
      </c>
      <c r="H568" s="4" t="str">
        <f>IF(D568="","",COUNTIF(Productos!G:G,C568))</f>
        <v/>
      </c>
      <c r="J568" s="90"/>
    </row>
    <row r="569">
      <c r="A569" s="2" t="str">
        <f t="shared" si="1"/>
        <v/>
      </c>
      <c r="B569" s="4"/>
      <c r="C569" s="4"/>
      <c r="D569" s="3" t="str">
        <f t="shared" si="2"/>
        <v/>
      </c>
      <c r="E569" s="4"/>
      <c r="F569" s="2" t="str">
        <f>IFERROR(__xludf.DUMMYFUNCTION("IF(E569="""","""",IF(COUNTIFS(D$1:D568,D569,E$1:E568,E569)&gt;0,INDEX(filter(F$1:F568,D$1:D568=D569,E$1:E568=E569),1),""Selecciona..""))"),"")</f>
        <v/>
      </c>
      <c r="G569" s="2" t="str">
        <f>IFERROR(__xludf.DUMMYFUNCTION("IF($E569="""","""",IF(COUNTIFS($D$1:$D568,$D569,$E$1:$E568,$E569)&gt;0,INDEX(filter(G$1:G568,$D$1:$D568=$D569,$E$1:$E568=E569),1),""Selecciona..""))"),"")</f>
        <v/>
      </c>
      <c r="H569" s="4" t="str">
        <f>IF(D569="","",COUNTIF(Productos!G:G,C569))</f>
        <v/>
      </c>
      <c r="J569" s="90"/>
    </row>
    <row r="570">
      <c r="A570" s="2" t="str">
        <f t="shared" si="1"/>
        <v/>
      </c>
      <c r="B570" s="4"/>
      <c r="C570" s="4"/>
      <c r="D570" s="3" t="str">
        <f t="shared" si="2"/>
        <v/>
      </c>
      <c r="E570" s="4"/>
      <c r="F570" s="2" t="str">
        <f>IFERROR(__xludf.DUMMYFUNCTION("IF(E570="""","""",IF(COUNTIFS(D$1:D569,D570,E$1:E569,E570)&gt;0,INDEX(filter(F$1:F569,D$1:D569=D570,E$1:E569=E570),1),""Selecciona..""))"),"")</f>
        <v/>
      </c>
      <c r="G570" s="2" t="str">
        <f>IFERROR(__xludf.DUMMYFUNCTION("IF($E570="""","""",IF(COUNTIFS($D$1:$D569,$D570,$E$1:$E569,$E570)&gt;0,INDEX(filter(G$1:G569,$D$1:$D569=$D570,$E$1:$E569=E570),1),""Selecciona..""))"),"")</f>
        <v/>
      </c>
      <c r="H570" s="4" t="str">
        <f>IF(D570="","",COUNTIF(Productos!G:G,C570))</f>
        <v/>
      </c>
      <c r="J570" s="90"/>
    </row>
    <row r="571">
      <c r="A571" s="2" t="str">
        <f t="shared" si="1"/>
        <v/>
      </c>
      <c r="B571" s="4"/>
      <c r="C571" s="4"/>
      <c r="D571" s="3" t="str">
        <f t="shared" si="2"/>
        <v/>
      </c>
      <c r="E571" s="4"/>
      <c r="F571" s="2" t="str">
        <f>IFERROR(__xludf.DUMMYFUNCTION("IF(E571="""","""",IF(COUNTIFS(D$1:D570,D571,E$1:E570,E571)&gt;0,INDEX(filter(F$1:F570,D$1:D570=D571,E$1:E570=E571),1),""Selecciona..""))"),"")</f>
        <v/>
      </c>
      <c r="G571" s="2" t="str">
        <f>IFERROR(__xludf.DUMMYFUNCTION("IF($E571="""","""",IF(COUNTIFS($D$1:$D570,$D571,$E$1:$E570,$E571)&gt;0,INDEX(filter(G$1:G570,$D$1:$D570=$D571,$E$1:$E570=E571),1),""Selecciona..""))"),"")</f>
        <v/>
      </c>
      <c r="H571" s="4" t="str">
        <f>IF(D571="","",COUNTIF(Productos!G:G,C571))</f>
        <v/>
      </c>
      <c r="J571" s="90"/>
    </row>
    <row r="572">
      <c r="A572" s="2" t="str">
        <f t="shared" si="1"/>
        <v/>
      </c>
      <c r="B572" s="4"/>
      <c r="C572" s="4"/>
      <c r="D572" s="3" t="str">
        <f t="shared" si="2"/>
        <v/>
      </c>
      <c r="E572" s="4"/>
      <c r="F572" s="2" t="str">
        <f>IFERROR(__xludf.DUMMYFUNCTION("IF(E572="""","""",IF(COUNTIFS(D$1:D571,D572,E$1:E571,E572)&gt;0,INDEX(filter(F$1:F571,D$1:D571=D572,E$1:E571=E572),1),""Selecciona..""))"),"")</f>
        <v/>
      </c>
      <c r="G572" s="2" t="str">
        <f>IFERROR(__xludf.DUMMYFUNCTION("IF($E572="""","""",IF(COUNTIFS($D$1:$D571,$D572,$E$1:$E571,$E572)&gt;0,INDEX(filter(G$1:G571,$D$1:$D571=$D572,$E$1:$E571=E572),1),""Selecciona..""))"),"")</f>
        <v/>
      </c>
      <c r="H572" s="4" t="str">
        <f>IF(D572="","",COUNTIF(Productos!G:G,C572))</f>
        <v/>
      </c>
      <c r="J572" s="90"/>
    </row>
    <row r="573">
      <c r="A573" s="2" t="str">
        <f t="shared" si="1"/>
        <v/>
      </c>
      <c r="B573" s="4"/>
      <c r="C573" s="4"/>
      <c r="D573" s="3" t="str">
        <f t="shared" si="2"/>
        <v/>
      </c>
      <c r="E573" s="4"/>
      <c r="F573" s="2" t="str">
        <f>IFERROR(__xludf.DUMMYFUNCTION("IF(E573="""","""",IF(COUNTIFS(D$1:D572,D573,E$1:E572,E573)&gt;0,INDEX(filter(F$1:F572,D$1:D572=D573,E$1:E572=E573),1),""Selecciona..""))"),"")</f>
        <v/>
      </c>
      <c r="G573" s="2" t="str">
        <f>IFERROR(__xludf.DUMMYFUNCTION("IF($E573="""","""",IF(COUNTIFS($D$1:$D572,$D573,$E$1:$E572,$E573)&gt;0,INDEX(filter(G$1:G572,$D$1:$D572=$D573,$E$1:$E572=E573),1),""Selecciona..""))"),"")</f>
        <v/>
      </c>
      <c r="H573" s="4" t="str">
        <f>IF(D573="","",COUNTIF(Productos!G:G,C573))</f>
        <v/>
      </c>
      <c r="J573" s="90"/>
    </row>
    <row r="574">
      <c r="A574" s="2" t="str">
        <f t="shared" si="1"/>
        <v/>
      </c>
      <c r="B574" s="4"/>
      <c r="C574" s="4"/>
      <c r="D574" s="3" t="str">
        <f t="shared" si="2"/>
        <v/>
      </c>
      <c r="E574" s="4"/>
      <c r="F574" s="2" t="str">
        <f>IFERROR(__xludf.DUMMYFUNCTION("IF(E574="""","""",IF(COUNTIFS(D$1:D573,D574,E$1:E573,E574)&gt;0,INDEX(filter(F$1:F573,D$1:D573=D574,E$1:E573=E574),1),""Selecciona..""))"),"")</f>
        <v/>
      </c>
      <c r="G574" s="2" t="str">
        <f>IFERROR(__xludf.DUMMYFUNCTION("IF($E574="""","""",IF(COUNTIFS($D$1:$D573,$D574,$E$1:$E573,$E574)&gt;0,INDEX(filter(G$1:G573,$D$1:$D573=$D574,$E$1:$E573=E574),1),""Selecciona..""))"),"")</f>
        <v/>
      </c>
      <c r="H574" s="4" t="str">
        <f>IF(D574="","",COUNTIF(Productos!G:G,C574))</f>
        <v/>
      </c>
      <c r="J574" s="90"/>
    </row>
    <row r="575">
      <c r="A575" s="2" t="str">
        <f t="shared" si="1"/>
        <v/>
      </c>
      <c r="B575" s="4"/>
      <c r="C575" s="4"/>
      <c r="D575" s="3" t="str">
        <f t="shared" si="2"/>
        <v/>
      </c>
      <c r="E575" s="4"/>
      <c r="F575" s="2" t="str">
        <f>IFERROR(__xludf.DUMMYFUNCTION("IF(E575="""","""",IF(COUNTIFS(D$1:D574,D575,E$1:E574,E575)&gt;0,INDEX(filter(F$1:F574,D$1:D574=D575,E$1:E574=E575),1),""Selecciona..""))"),"")</f>
        <v/>
      </c>
      <c r="G575" s="2" t="str">
        <f>IFERROR(__xludf.DUMMYFUNCTION("IF($E575="""","""",IF(COUNTIFS($D$1:$D574,$D575,$E$1:$E574,$E575)&gt;0,INDEX(filter(G$1:G574,$D$1:$D574=$D575,$E$1:$E574=E575),1),""Selecciona..""))"),"")</f>
        <v/>
      </c>
      <c r="H575" s="4" t="str">
        <f>IF(D575="","",COUNTIF(Productos!G:G,C575))</f>
        <v/>
      </c>
      <c r="J575" s="90"/>
    </row>
    <row r="576">
      <c r="A576" s="2" t="str">
        <f t="shared" si="1"/>
        <v/>
      </c>
      <c r="B576" s="4"/>
      <c r="C576" s="4"/>
      <c r="D576" s="3" t="str">
        <f t="shared" si="2"/>
        <v/>
      </c>
      <c r="E576" s="4"/>
      <c r="F576" s="2" t="str">
        <f>IFERROR(__xludf.DUMMYFUNCTION("IF(E576="""","""",IF(COUNTIFS(D$1:D575,D576,E$1:E575,E576)&gt;0,INDEX(filter(F$1:F575,D$1:D575=D576,E$1:E575=E576),1),""Selecciona..""))"),"")</f>
        <v/>
      </c>
      <c r="G576" s="2" t="str">
        <f>IFERROR(__xludf.DUMMYFUNCTION("IF($E576="""","""",IF(COUNTIFS($D$1:$D575,$D576,$E$1:$E575,$E576)&gt;0,INDEX(filter(G$1:G575,$D$1:$D575=$D576,$E$1:$E575=E576),1),""Selecciona..""))"),"")</f>
        <v/>
      </c>
      <c r="H576" s="4" t="str">
        <f>IF(D576="","",COUNTIF(Productos!G:G,C576))</f>
        <v/>
      </c>
      <c r="J576" s="90"/>
    </row>
    <row r="577">
      <c r="A577" s="2" t="str">
        <f t="shared" si="1"/>
        <v/>
      </c>
      <c r="B577" s="4"/>
      <c r="C577" s="4"/>
      <c r="D577" s="3" t="str">
        <f t="shared" si="2"/>
        <v/>
      </c>
      <c r="E577" s="4"/>
      <c r="F577" s="2" t="str">
        <f>IFERROR(__xludf.DUMMYFUNCTION("IF(E577="""","""",IF(COUNTIFS(D$1:D576,D577,E$1:E576,E577)&gt;0,INDEX(filter(F$1:F576,D$1:D576=D577,E$1:E576=E577),1),""Selecciona..""))"),"")</f>
        <v/>
      </c>
      <c r="G577" s="2" t="str">
        <f>IFERROR(__xludf.DUMMYFUNCTION("IF($E577="""","""",IF(COUNTIFS($D$1:$D576,$D577,$E$1:$E576,$E577)&gt;0,INDEX(filter(G$1:G576,$D$1:$D576=$D577,$E$1:$E576=E577),1),""Selecciona..""))"),"")</f>
        <v/>
      </c>
      <c r="H577" s="4" t="str">
        <f>IF(D577="","",COUNTIF(Productos!G:G,C577))</f>
        <v/>
      </c>
      <c r="J577" s="90"/>
    </row>
    <row r="578">
      <c r="A578" s="2" t="str">
        <f t="shared" si="1"/>
        <v/>
      </c>
      <c r="B578" s="4"/>
      <c r="C578" s="4"/>
      <c r="D578" s="3" t="str">
        <f t="shared" si="2"/>
        <v/>
      </c>
      <c r="E578" s="4"/>
      <c r="F578" s="2" t="str">
        <f>IFERROR(__xludf.DUMMYFUNCTION("IF(E578="""","""",IF(COUNTIFS(D$1:D577,D578,E$1:E577,E578)&gt;0,INDEX(filter(F$1:F577,D$1:D577=D578,E$1:E577=E578),1),""Selecciona..""))"),"")</f>
        <v/>
      </c>
      <c r="G578" s="2" t="str">
        <f>IFERROR(__xludf.DUMMYFUNCTION("IF($E578="""","""",IF(COUNTIFS($D$1:$D577,$D578,$E$1:$E577,$E578)&gt;0,INDEX(filter(G$1:G577,$D$1:$D577=$D578,$E$1:$E577=E578),1),""Selecciona..""))"),"")</f>
        <v/>
      </c>
      <c r="H578" s="4" t="str">
        <f>IF(D578="","",COUNTIF(Productos!G:G,C578))</f>
        <v/>
      </c>
      <c r="J578" s="90"/>
    </row>
    <row r="579">
      <c r="A579" s="2" t="str">
        <f t="shared" si="1"/>
        <v/>
      </c>
      <c r="B579" s="4"/>
      <c r="C579" s="4"/>
      <c r="D579" s="3" t="str">
        <f t="shared" si="2"/>
        <v/>
      </c>
      <c r="E579" s="4"/>
      <c r="F579" s="2" t="str">
        <f>IFERROR(__xludf.DUMMYFUNCTION("IF(E579="""","""",IF(COUNTIFS(D$1:D578,D579,E$1:E578,E579)&gt;0,INDEX(filter(F$1:F578,D$1:D578=D579,E$1:E578=E579),1),""Selecciona..""))"),"")</f>
        <v/>
      </c>
      <c r="G579" s="2" t="str">
        <f>IFERROR(__xludf.DUMMYFUNCTION("IF($E579="""","""",IF(COUNTIFS($D$1:$D578,$D579,$E$1:$E578,$E579)&gt;0,INDEX(filter(G$1:G578,$D$1:$D578=$D579,$E$1:$E578=E579),1),""Selecciona..""))"),"")</f>
        <v/>
      </c>
      <c r="H579" s="4" t="str">
        <f>IF(D579="","",COUNTIF(Productos!G:G,C579))</f>
        <v/>
      </c>
      <c r="J579" s="90"/>
    </row>
    <row r="580">
      <c r="A580" s="2" t="str">
        <f t="shared" si="1"/>
        <v/>
      </c>
      <c r="B580" s="4"/>
      <c r="C580" s="4"/>
      <c r="D580" s="3" t="str">
        <f t="shared" si="2"/>
        <v/>
      </c>
      <c r="E580" s="4"/>
      <c r="F580" s="2" t="str">
        <f>IFERROR(__xludf.DUMMYFUNCTION("IF(E580="""","""",IF(COUNTIFS(D$1:D579,D580,E$1:E579,E580)&gt;0,INDEX(filter(F$1:F579,D$1:D579=D580,E$1:E579=E580),1),""Selecciona..""))"),"")</f>
        <v/>
      </c>
      <c r="G580" s="2" t="str">
        <f>IFERROR(__xludf.DUMMYFUNCTION("IF($E580="""","""",IF(COUNTIFS($D$1:$D579,$D580,$E$1:$E579,$E580)&gt;0,INDEX(filter(G$1:G579,$D$1:$D579=$D580,$E$1:$E579=E580),1),""Selecciona..""))"),"")</f>
        <v/>
      </c>
      <c r="H580" s="4" t="str">
        <f>IF(D580="","",COUNTIF(Productos!G:G,C580))</f>
        <v/>
      </c>
      <c r="J580" s="90"/>
    </row>
    <row r="581">
      <c r="A581" s="2" t="str">
        <f t="shared" si="1"/>
        <v/>
      </c>
      <c r="B581" s="4"/>
      <c r="C581" s="4"/>
      <c r="D581" s="3" t="str">
        <f t="shared" si="2"/>
        <v/>
      </c>
      <c r="E581" s="4"/>
      <c r="F581" s="2" t="str">
        <f>IFERROR(__xludf.DUMMYFUNCTION("IF(E581="""","""",IF(COUNTIFS(D$1:D580,D581,E$1:E580,E581)&gt;0,INDEX(filter(F$1:F580,D$1:D580=D581,E$1:E580=E581),1),""Selecciona..""))"),"")</f>
        <v/>
      </c>
      <c r="G581" s="2" t="str">
        <f>IFERROR(__xludf.DUMMYFUNCTION("IF($E581="""","""",IF(COUNTIFS($D$1:$D580,$D581,$E$1:$E580,$E581)&gt;0,INDEX(filter(G$1:G580,$D$1:$D580=$D581,$E$1:$E580=E581),1),""Selecciona..""))"),"")</f>
        <v/>
      </c>
      <c r="H581" s="4" t="str">
        <f>IF(D581="","",COUNTIF(Productos!G:G,C581))</f>
        <v/>
      </c>
      <c r="J581" s="90"/>
    </row>
    <row r="582">
      <c r="A582" s="2" t="str">
        <f t="shared" si="1"/>
        <v/>
      </c>
      <c r="B582" s="4"/>
      <c r="C582" s="4"/>
      <c r="D582" s="3" t="str">
        <f t="shared" si="2"/>
        <v/>
      </c>
      <c r="E582" s="4"/>
      <c r="F582" s="2" t="str">
        <f>IFERROR(__xludf.DUMMYFUNCTION("IF(E582="""","""",IF(COUNTIFS(D$1:D581,D582,E$1:E581,E582)&gt;0,INDEX(filter(F$1:F581,D$1:D581=D582,E$1:E581=E582),1),""Selecciona..""))"),"")</f>
        <v/>
      </c>
      <c r="G582" s="2" t="str">
        <f>IFERROR(__xludf.DUMMYFUNCTION("IF($E582="""","""",IF(COUNTIFS($D$1:$D581,$D582,$E$1:$E581,$E582)&gt;0,INDEX(filter(G$1:G581,$D$1:$D581=$D582,$E$1:$E581=E582),1),""Selecciona..""))"),"")</f>
        <v/>
      </c>
      <c r="H582" s="4" t="str">
        <f>IF(D582="","",COUNTIF(Productos!G:G,C582))</f>
        <v/>
      </c>
      <c r="J582" s="90"/>
    </row>
    <row r="583">
      <c r="A583" s="2" t="str">
        <f t="shared" si="1"/>
        <v/>
      </c>
      <c r="B583" s="4"/>
      <c r="C583" s="4"/>
      <c r="D583" s="3" t="str">
        <f t="shared" si="2"/>
        <v/>
      </c>
      <c r="E583" s="4"/>
      <c r="F583" s="2" t="str">
        <f>IFERROR(__xludf.DUMMYFUNCTION("IF(E583="""","""",IF(COUNTIFS(D$1:D582,D583,E$1:E582,E583)&gt;0,INDEX(filter(F$1:F582,D$1:D582=D583,E$1:E582=E583),1),""Selecciona..""))"),"")</f>
        <v/>
      </c>
      <c r="G583" s="2" t="str">
        <f>IFERROR(__xludf.DUMMYFUNCTION("IF($E583="""","""",IF(COUNTIFS($D$1:$D582,$D583,$E$1:$E582,$E583)&gt;0,INDEX(filter(G$1:G582,$D$1:$D582=$D583,$E$1:$E582=E583),1),""Selecciona..""))"),"")</f>
        <v/>
      </c>
      <c r="H583" s="4" t="str">
        <f>IF(D583="","",COUNTIF(Productos!G:G,C583))</f>
        <v/>
      </c>
      <c r="J583" s="90"/>
    </row>
    <row r="584">
      <c r="A584" s="2" t="str">
        <f t="shared" si="1"/>
        <v/>
      </c>
      <c r="B584" s="4"/>
      <c r="C584" s="4"/>
      <c r="D584" s="3" t="str">
        <f t="shared" si="2"/>
        <v/>
      </c>
      <c r="E584" s="4"/>
      <c r="F584" s="2" t="str">
        <f>IFERROR(__xludf.DUMMYFUNCTION("IF(E584="""","""",IF(COUNTIFS(D$1:D583,D584,E$1:E583,E584)&gt;0,INDEX(filter(F$1:F583,D$1:D583=D584,E$1:E583=E584),1),""Selecciona..""))"),"")</f>
        <v/>
      </c>
      <c r="G584" s="2" t="str">
        <f>IFERROR(__xludf.DUMMYFUNCTION("IF($E584="""","""",IF(COUNTIFS($D$1:$D583,$D584,$E$1:$E583,$E584)&gt;0,INDEX(filter(G$1:G583,$D$1:$D583=$D584,$E$1:$E583=E584),1),""Selecciona..""))"),"")</f>
        <v/>
      </c>
      <c r="H584" s="4" t="str">
        <f>IF(D584="","",COUNTIF(Productos!G:G,C584))</f>
        <v/>
      </c>
      <c r="J584" s="90"/>
    </row>
    <row r="585">
      <c r="A585" s="2" t="str">
        <f t="shared" si="1"/>
        <v/>
      </c>
      <c r="B585" s="4"/>
      <c r="C585" s="4"/>
      <c r="D585" s="3" t="str">
        <f t="shared" si="2"/>
        <v/>
      </c>
      <c r="E585" s="4"/>
      <c r="F585" s="2" t="str">
        <f>IFERROR(__xludf.DUMMYFUNCTION("IF(E585="""","""",IF(COUNTIFS(D$1:D584,D585,E$1:E584,E585)&gt;0,INDEX(filter(F$1:F584,D$1:D584=D585,E$1:E584=E585),1),""Selecciona..""))"),"")</f>
        <v/>
      </c>
      <c r="G585" s="2" t="str">
        <f>IFERROR(__xludf.DUMMYFUNCTION("IF($E585="""","""",IF(COUNTIFS($D$1:$D584,$D585,$E$1:$E584,$E585)&gt;0,INDEX(filter(G$1:G584,$D$1:$D584=$D585,$E$1:$E584=E585),1),""Selecciona..""))"),"")</f>
        <v/>
      </c>
      <c r="H585" s="4" t="str">
        <f>IF(D585="","",COUNTIF(Productos!G:G,C585))</f>
        <v/>
      </c>
      <c r="J585" s="90"/>
    </row>
    <row r="586">
      <c r="A586" s="2" t="str">
        <f t="shared" si="1"/>
        <v/>
      </c>
      <c r="B586" s="4"/>
      <c r="C586" s="4"/>
      <c r="D586" s="3" t="str">
        <f t="shared" si="2"/>
        <v/>
      </c>
      <c r="E586" s="4"/>
      <c r="F586" s="2" t="str">
        <f>IFERROR(__xludf.DUMMYFUNCTION("IF(E586="""","""",IF(COUNTIFS(D$1:D585,D586,E$1:E585,E586)&gt;0,INDEX(filter(F$1:F585,D$1:D585=D586,E$1:E585=E586),1),""Selecciona..""))"),"")</f>
        <v/>
      </c>
      <c r="G586" s="2" t="str">
        <f>IFERROR(__xludf.DUMMYFUNCTION("IF($E586="""","""",IF(COUNTIFS($D$1:$D585,$D586,$E$1:$E585,$E586)&gt;0,INDEX(filter(G$1:G585,$D$1:$D585=$D586,$E$1:$E585=E586),1),""Selecciona..""))"),"")</f>
        <v/>
      </c>
      <c r="H586" s="4" t="str">
        <f>IF(D586="","",COUNTIF(Productos!G:G,C586))</f>
        <v/>
      </c>
      <c r="J586" s="90"/>
    </row>
    <row r="587">
      <c r="A587" s="2" t="str">
        <f t="shared" si="1"/>
        <v/>
      </c>
      <c r="B587" s="4"/>
      <c r="C587" s="4"/>
      <c r="D587" s="3" t="str">
        <f t="shared" si="2"/>
        <v/>
      </c>
      <c r="E587" s="4"/>
      <c r="F587" s="2" t="str">
        <f>IFERROR(__xludf.DUMMYFUNCTION("IF(E587="""","""",IF(COUNTIFS(D$1:D586,D587,E$1:E586,E587)&gt;0,INDEX(filter(F$1:F586,D$1:D586=D587,E$1:E586=E587),1),""Selecciona..""))"),"")</f>
        <v/>
      </c>
      <c r="G587" s="2" t="str">
        <f>IFERROR(__xludf.DUMMYFUNCTION("IF($E587="""","""",IF(COUNTIFS($D$1:$D586,$D587,$E$1:$E586,$E587)&gt;0,INDEX(filter(G$1:G586,$D$1:$D586=$D587,$E$1:$E586=E587),1),""Selecciona..""))"),"")</f>
        <v/>
      </c>
      <c r="H587" s="4" t="str">
        <f>IF(D587="","",COUNTIF(Productos!G:G,C587))</f>
        <v/>
      </c>
      <c r="J587" s="90"/>
    </row>
    <row r="588">
      <c r="A588" s="2" t="str">
        <f t="shared" si="1"/>
        <v/>
      </c>
      <c r="B588" s="4"/>
      <c r="C588" s="4"/>
      <c r="D588" s="3" t="str">
        <f t="shared" si="2"/>
        <v/>
      </c>
      <c r="E588" s="4"/>
      <c r="F588" s="2" t="str">
        <f>IFERROR(__xludf.DUMMYFUNCTION("IF(E588="""","""",IF(COUNTIFS(D$1:D587,D588,E$1:E587,E588)&gt;0,INDEX(filter(F$1:F587,D$1:D587=D588,E$1:E587=E588),1),""Selecciona..""))"),"")</f>
        <v/>
      </c>
      <c r="G588" s="2" t="str">
        <f>IFERROR(__xludf.DUMMYFUNCTION("IF($E588="""","""",IF(COUNTIFS($D$1:$D587,$D588,$E$1:$E587,$E588)&gt;0,INDEX(filter(G$1:G587,$D$1:$D587=$D588,$E$1:$E587=E588),1),""Selecciona..""))"),"")</f>
        <v/>
      </c>
      <c r="H588" s="4" t="str">
        <f>IF(D588="","",COUNTIF(Productos!G:G,C588))</f>
        <v/>
      </c>
      <c r="J588" s="90"/>
    </row>
    <row r="589">
      <c r="A589" s="2" t="str">
        <f t="shared" si="1"/>
        <v/>
      </c>
      <c r="B589" s="4"/>
      <c r="C589" s="4"/>
      <c r="D589" s="3" t="str">
        <f t="shared" si="2"/>
        <v/>
      </c>
      <c r="E589" s="4"/>
      <c r="F589" s="2" t="str">
        <f>IFERROR(__xludf.DUMMYFUNCTION("IF(E589="""","""",IF(COUNTIFS(D$1:D588,D589,E$1:E588,E589)&gt;0,INDEX(filter(F$1:F588,D$1:D588=D589,E$1:E588=E589),1),""Selecciona..""))"),"")</f>
        <v/>
      </c>
      <c r="G589" s="2" t="str">
        <f>IFERROR(__xludf.DUMMYFUNCTION("IF($E589="""","""",IF(COUNTIFS($D$1:$D588,$D589,$E$1:$E588,$E589)&gt;0,INDEX(filter(G$1:G588,$D$1:$D588=$D589,$E$1:$E588=E589),1),""Selecciona..""))"),"")</f>
        <v/>
      </c>
      <c r="H589" s="4" t="str">
        <f>IF(D589="","",COUNTIF(Productos!G:G,C589))</f>
        <v/>
      </c>
      <c r="J589" s="90"/>
    </row>
    <row r="590">
      <c r="A590" s="2" t="str">
        <f t="shared" si="1"/>
        <v/>
      </c>
      <c r="B590" s="4"/>
      <c r="C590" s="4"/>
      <c r="D590" s="3" t="str">
        <f t="shared" si="2"/>
        <v/>
      </c>
      <c r="E590" s="4"/>
      <c r="F590" s="2" t="str">
        <f>IFERROR(__xludf.DUMMYFUNCTION("IF(E590="""","""",IF(COUNTIFS(D$1:D589,D590,E$1:E589,E590)&gt;0,INDEX(filter(F$1:F589,D$1:D589=D590,E$1:E589=E590),1),""Selecciona..""))"),"")</f>
        <v/>
      </c>
      <c r="G590" s="2" t="str">
        <f>IFERROR(__xludf.DUMMYFUNCTION("IF($E590="""","""",IF(COUNTIFS($D$1:$D589,$D590,$E$1:$E589,$E590)&gt;0,INDEX(filter(G$1:G589,$D$1:$D589=$D590,$E$1:$E589=E590),1),""Selecciona..""))"),"")</f>
        <v/>
      </c>
      <c r="H590" s="4" t="str">
        <f>IF(D590="","",COUNTIF(Productos!G:G,C590))</f>
        <v/>
      </c>
      <c r="J590" s="90"/>
    </row>
    <row r="591">
      <c r="A591" s="2" t="str">
        <f t="shared" si="1"/>
        <v/>
      </c>
      <c r="B591" s="4"/>
      <c r="C591" s="4"/>
      <c r="D591" s="3" t="str">
        <f t="shared" si="2"/>
        <v/>
      </c>
      <c r="E591" s="4"/>
      <c r="F591" s="2" t="str">
        <f>IFERROR(__xludf.DUMMYFUNCTION("IF(E591="""","""",IF(COUNTIFS(D$1:D590,D591,E$1:E590,E591)&gt;0,INDEX(filter(F$1:F590,D$1:D590=D591,E$1:E590=E591),1),""Selecciona..""))"),"")</f>
        <v/>
      </c>
      <c r="G591" s="2" t="str">
        <f>IFERROR(__xludf.DUMMYFUNCTION("IF($E591="""","""",IF(COUNTIFS($D$1:$D590,$D591,$E$1:$E590,$E591)&gt;0,INDEX(filter(G$1:G590,$D$1:$D590=$D591,$E$1:$E590=E591),1),""Selecciona..""))"),"")</f>
        <v/>
      </c>
      <c r="H591" s="4" t="str">
        <f>IF(D591="","",COUNTIF(Productos!G:G,C591))</f>
        <v/>
      </c>
      <c r="J591" s="90"/>
    </row>
    <row r="592">
      <c r="A592" s="2" t="str">
        <f t="shared" si="1"/>
        <v/>
      </c>
      <c r="B592" s="4"/>
      <c r="C592" s="4"/>
      <c r="D592" s="3" t="str">
        <f t="shared" si="2"/>
        <v/>
      </c>
      <c r="E592" s="4"/>
      <c r="F592" s="2" t="str">
        <f>IFERROR(__xludf.DUMMYFUNCTION("IF(E592="""","""",IF(COUNTIFS(D$1:D591,D592,E$1:E591,E592)&gt;0,INDEX(filter(F$1:F591,D$1:D591=D592,E$1:E591=E592),1),""Selecciona..""))"),"")</f>
        <v/>
      </c>
      <c r="G592" s="2" t="str">
        <f>IFERROR(__xludf.DUMMYFUNCTION("IF($E592="""","""",IF(COUNTIFS($D$1:$D591,$D592,$E$1:$E591,$E592)&gt;0,INDEX(filter(G$1:G591,$D$1:$D591=$D592,$E$1:$E591=E592),1),""Selecciona..""))"),"")</f>
        <v/>
      </c>
      <c r="H592" s="4" t="str">
        <f>IF(D592="","",COUNTIF(Productos!G:G,C592))</f>
        <v/>
      </c>
      <c r="J592" s="90"/>
    </row>
    <row r="593">
      <c r="A593" s="2" t="str">
        <f t="shared" si="1"/>
        <v/>
      </c>
      <c r="B593" s="4"/>
      <c r="C593" s="4"/>
      <c r="D593" s="3" t="str">
        <f t="shared" si="2"/>
        <v/>
      </c>
      <c r="E593" s="4"/>
      <c r="F593" s="2" t="str">
        <f>IFERROR(__xludf.DUMMYFUNCTION("IF(E593="""","""",IF(COUNTIFS(D$1:D592,D593,E$1:E592,E593)&gt;0,INDEX(filter(F$1:F592,D$1:D592=D593,E$1:E592=E593),1),""Selecciona..""))"),"")</f>
        <v/>
      </c>
      <c r="G593" s="2" t="str">
        <f>IFERROR(__xludf.DUMMYFUNCTION("IF($E593="""","""",IF(COUNTIFS($D$1:$D592,$D593,$E$1:$E592,$E593)&gt;0,INDEX(filter(G$1:G592,$D$1:$D592=$D593,$E$1:$E592=E593),1),""Selecciona..""))"),"")</f>
        <v/>
      </c>
      <c r="H593" s="4" t="str">
        <f>IF(D593="","",COUNTIF(Productos!G:G,C593))</f>
        <v/>
      </c>
      <c r="J593" s="90"/>
    </row>
    <row r="594">
      <c r="A594" s="2" t="str">
        <f t="shared" si="1"/>
        <v/>
      </c>
      <c r="B594" s="4"/>
      <c r="C594" s="4"/>
      <c r="D594" s="3" t="str">
        <f t="shared" si="2"/>
        <v/>
      </c>
      <c r="E594" s="4"/>
      <c r="F594" s="2" t="str">
        <f>IFERROR(__xludf.DUMMYFUNCTION("IF(E594="""","""",IF(COUNTIFS(D$1:D593,D594,E$1:E593,E594)&gt;0,INDEX(filter(F$1:F593,D$1:D593=D594,E$1:E593=E594),1),""Selecciona..""))"),"")</f>
        <v/>
      </c>
      <c r="G594" s="2" t="str">
        <f>IFERROR(__xludf.DUMMYFUNCTION("IF($E594="""","""",IF(COUNTIFS($D$1:$D593,$D594,$E$1:$E593,$E594)&gt;0,INDEX(filter(G$1:G593,$D$1:$D593=$D594,$E$1:$E593=E594),1),""Selecciona..""))"),"")</f>
        <v/>
      </c>
      <c r="H594" s="4" t="str">
        <f>IF(D594="","",COUNTIF(Productos!G:G,C594))</f>
        <v/>
      </c>
      <c r="J594" s="90"/>
    </row>
    <row r="595">
      <c r="A595" s="2" t="str">
        <f t="shared" si="1"/>
        <v/>
      </c>
      <c r="B595" s="4"/>
      <c r="C595" s="4"/>
      <c r="D595" s="3" t="str">
        <f t="shared" si="2"/>
        <v/>
      </c>
      <c r="E595" s="4"/>
      <c r="F595" s="2" t="str">
        <f>IFERROR(__xludf.DUMMYFUNCTION("IF(E595="""","""",IF(COUNTIFS(D$1:D594,D595,E$1:E594,E595)&gt;0,INDEX(filter(F$1:F594,D$1:D594=D595,E$1:E594=E595),1),""Selecciona..""))"),"")</f>
        <v/>
      </c>
      <c r="G595" s="2" t="str">
        <f>IFERROR(__xludf.DUMMYFUNCTION("IF($E595="""","""",IF(COUNTIFS($D$1:$D594,$D595,$E$1:$E594,$E595)&gt;0,INDEX(filter(G$1:G594,$D$1:$D594=$D595,$E$1:$E594=E595),1),""Selecciona..""))"),"")</f>
        <v/>
      </c>
      <c r="H595" s="4" t="str">
        <f>IF(D595="","",COUNTIF(Productos!G:G,C595))</f>
        <v/>
      </c>
      <c r="J595" s="90"/>
    </row>
    <row r="596">
      <c r="A596" s="2" t="str">
        <f t="shared" si="1"/>
        <v/>
      </c>
      <c r="B596" s="4"/>
      <c r="C596" s="4"/>
      <c r="D596" s="3" t="str">
        <f t="shared" si="2"/>
        <v/>
      </c>
      <c r="E596" s="4"/>
      <c r="F596" s="2" t="str">
        <f>IFERROR(__xludf.DUMMYFUNCTION("IF(E596="""","""",IF(COUNTIFS(D$1:D595,D596,E$1:E595,E596)&gt;0,INDEX(filter(F$1:F595,D$1:D595=D596,E$1:E595=E596),1),""Selecciona..""))"),"")</f>
        <v/>
      </c>
      <c r="G596" s="2" t="str">
        <f>IFERROR(__xludf.DUMMYFUNCTION("IF($E596="""","""",IF(COUNTIFS($D$1:$D595,$D596,$E$1:$E595,$E596)&gt;0,INDEX(filter(G$1:G595,$D$1:$D595=$D596,$E$1:$E595=E596),1),""Selecciona..""))"),"")</f>
        <v/>
      </c>
      <c r="H596" s="4" t="str">
        <f>IF(D596="","",COUNTIF(Productos!G:G,C596))</f>
        <v/>
      </c>
      <c r="J596" s="90"/>
    </row>
    <row r="597">
      <c r="A597" s="2" t="str">
        <f t="shared" si="1"/>
        <v/>
      </c>
      <c r="B597" s="4"/>
      <c r="C597" s="4"/>
      <c r="D597" s="3" t="str">
        <f t="shared" si="2"/>
        <v/>
      </c>
      <c r="E597" s="4"/>
      <c r="F597" s="2" t="str">
        <f>IFERROR(__xludf.DUMMYFUNCTION("IF(E597="""","""",IF(COUNTIFS(D$1:D596,D597,E$1:E596,E597)&gt;0,INDEX(filter(F$1:F596,D$1:D596=D597,E$1:E596=E597),1),""Selecciona..""))"),"")</f>
        <v/>
      </c>
      <c r="G597" s="2" t="str">
        <f>IFERROR(__xludf.DUMMYFUNCTION("IF($E597="""","""",IF(COUNTIFS($D$1:$D596,$D597,$E$1:$E596,$E597)&gt;0,INDEX(filter(G$1:G596,$D$1:$D596=$D597,$E$1:$E596=E597),1),""Selecciona..""))"),"")</f>
        <v/>
      </c>
      <c r="H597" s="4" t="str">
        <f>IF(D597="","",COUNTIF(Productos!G:G,C597))</f>
        <v/>
      </c>
      <c r="J597" s="90"/>
    </row>
    <row r="598">
      <c r="A598" s="2" t="str">
        <f t="shared" si="1"/>
        <v/>
      </c>
      <c r="B598" s="4"/>
      <c r="C598" s="4"/>
      <c r="D598" s="3" t="str">
        <f t="shared" si="2"/>
        <v/>
      </c>
      <c r="E598" s="4"/>
      <c r="F598" s="2" t="str">
        <f>IFERROR(__xludf.DUMMYFUNCTION("IF(E598="""","""",IF(COUNTIFS(D$1:D597,D598,E$1:E597,E598)&gt;0,INDEX(filter(F$1:F597,D$1:D597=D598,E$1:E597=E598),1),""Selecciona..""))"),"")</f>
        <v/>
      </c>
      <c r="G598" s="2" t="str">
        <f>IFERROR(__xludf.DUMMYFUNCTION("IF($E598="""","""",IF(COUNTIFS($D$1:$D597,$D598,$E$1:$E597,$E598)&gt;0,INDEX(filter(G$1:G597,$D$1:$D597=$D598,$E$1:$E597=E598),1),""Selecciona..""))"),"")</f>
        <v/>
      </c>
      <c r="H598" s="4" t="str">
        <f>IF(D598="","",COUNTIF(Productos!G:G,C598))</f>
        <v/>
      </c>
      <c r="J598" s="90"/>
    </row>
    <row r="599">
      <c r="A599" s="2" t="str">
        <f t="shared" si="1"/>
        <v/>
      </c>
      <c r="B599" s="4"/>
      <c r="C599" s="4"/>
      <c r="D599" s="3" t="str">
        <f t="shared" si="2"/>
        <v/>
      </c>
      <c r="E599" s="4"/>
      <c r="F599" s="2" t="str">
        <f>IFERROR(__xludf.DUMMYFUNCTION("IF(E599="""","""",IF(COUNTIFS(D$1:D598,D599,E$1:E598,E599)&gt;0,INDEX(filter(F$1:F598,D$1:D598=D599,E$1:E598=E599),1),""Selecciona..""))"),"")</f>
        <v/>
      </c>
      <c r="G599" s="2" t="str">
        <f>IFERROR(__xludf.DUMMYFUNCTION("IF($E599="""","""",IF(COUNTIFS($D$1:$D598,$D599,$E$1:$E598,$E599)&gt;0,INDEX(filter(G$1:G598,$D$1:$D598=$D599,$E$1:$E598=E599),1),""Selecciona..""))"),"")</f>
        <v/>
      </c>
      <c r="H599" s="4" t="str">
        <f>IF(D599="","",COUNTIF(Productos!G:G,C599))</f>
        <v/>
      </c>
      <c r="J599" s="90"/>
    </row>
    <row r="600">
      <c r="A600" s="2" t="str">
        <f t="shared" si="1"/>
        <v/>
      </c>
      <c r="B600" s="4"/>
      <c r="C600" s="4"/>
      <c r="D600" s="3" t="str">
        <f t="shared" si="2"/>
        <v/>
      </c>
      <c r="E600" s="4"/>
      <c r="F600" s="2" t="str">
        <f>IFERROR(__xludf.DUMMYFUNCTION("IF(E600="""","""",IF(COUNTIFS(D$1:D599,D600,E$1:E599,E600)&gt;0,INDEX(filter(F$1:F599,D$1:D599=D600,E$1:E599=E600),1),""Selecciona..""))"),"")</f>
        <v/>
      </c>
      <c r="G600" s="2" t="str">
        <f>IFERROR(__xludf.DUMMYFUNCTION("IF($E600="""","""",IF(COUNTIFS($D$1:$D599,$D600,$E$1:$E599,$E600)&gt;0,INDEX(filter(G$1:G599,$D$1:$D599=$D600,$E$1:$E599=E600),1),""Selecciona..""))"),"")</f>
        <v/>
      </c>
      <c r="H600" s="4" t="str">
        <f>IF(D600="","",COUNTIF(Productos!G:G,C600))</f>
        <v/>
      </c>
      <c r="J600" s="90"/>
    </row>
    <row r="601">
      <c r="A601" s="2" t="str">
        <f t="shared" si="1"/>
        <v/>
      </c>
      <c r="B601" s="4"/>
      <c r="C601" s="4"/>
      <c r="D601" s="3" t="str">
        <f t="shared" si="2"/>
        <v/>
      </c>
      <c r="E601" s="4"/>
      <c r="F601" s="2" t="str">
        <f>IFERROR(__xludf.DUMMYFUNCTION("IF(E601="""","""",IF(COUNTIFS(D$1:D600,D601,E$1:E600,E601)&gt;0,INDEX(filter(F$1:F600,D$1:D600=D601,E$1:E600=E601),1),""Selecciona..""))"),"")</f>
        <v/>
      </c>
      <c r="G601" s="2" t="str">
        <f>IFERROR(__xludf.DUMMYFUNCTION("IF($E601="""","""",IF(COUNTIFS($D$1:$D600,$D601,$E$1:$E600,$E601)&gt;0,INDEX(filter(G$1:G600,$D$1:$D600=$D601,$E$1:$E600=E601),1),""Selecciona..""))"),"")</f>
        <v/>
      </c>
      <c r="H601" s="4" t="str">
        <f>IF(D601="","",COUNTIF(Productos!G:G,C601))</f>
        <v/>
      </c>
      <c r="J601" s="90"/>
    </row>
    <row r="602">
      <c r="A602" s="2" t="str">
        <f t="shared" si="1"/>
        <v/>
      </c>
      <c r="B602" s="4"/>
      <c r="C602" s="4"/>
      <c r="D602" s="3" t="str">
        <f t="shared" si="2"/>
        <v/>
      </c>
      <c r="E602" s="4"/>
      <c r="F602" s="2" t="str">
        <f>IFERROR(__xludf.DUMMYFUNCTION("IF(E602="""","""",IF(COUNTIFS(D$1:D601,D602,E$1:E601,E602)&gt;0,INDEX(filter(F$1:F601,D$1:D601=D602,E$1:E601=E602),1),""Selecciona..""))"),"")</f>
        <v/>
      </c>
      <c r="G602" s="2" t="str">
        <f>IFERROR(__xludf.DUMMYFUNCTION("IF($E602="""","""",IF(COUNTIFS($D$1:$D601,$D602,$E$1:$E601,$E602)&gt;0,INDEX(filter(G$1:G601,$D$1:$D601=$D602,$E$1:$E601=E602),1),""Selecciona..""))"),"")</f>
        <v/>
      </c>
      <c r="H602" s="4" t="str">
        <f>IF(D602="","",COUNTIF(Productos!G:G,C602))</f>
        <v/>
      </c>
      <c r="J602" s="90"/>
    </row>
    <row r="603">
      <c r="A603" s="2" t="str">
        <f t="shared" si="1"/>
        <v/>
      </c>
      <c r="B603" s="4"/>
      <c r="C603" s="4"/>
      <c r="D603" s="3" t="str">
        <f t="shared" si="2"/>
        <v/>
      </c>
      <c r="E603" s="4"/>
      <c r="F603" s="2" t="str">
        <f>IFERROR(__xludf.DUMMYFUNCTION("IF(E603="""","""",IF(COUNTIFS(D$1:D602,D603,E$1:E602,E603)&gt;0,INDEX(filter(F$1:F602,D$1:D602=D603,E$1:E602=E603),1),""Selecciona..""))"),"")</f>
        <v/>
      </c>
      <c r="G603" s="2" t="str">
        <f>IFERROR(__xludf.DUMMYFUNCTION("IF($E603="""","""",IF(COUNTIFS($D$1:$D602,$D603,$E$1:$E602,$E603)&gt;0,INDEX(filter(G$1:G602,$D$1:$D602=$D603,$E$1:$E602=E603),1),""Selecciona..""))"),"")</f>
        <v/>
      </c>
      <c r="H603" s="4" t="str">
        <f>IF(D603="","",COUNTIF(Productos!G:G,C603))</f>
        <v/>
      </c>
      <c r="J603" s="90"/>
    </row>
    <row r="604">
      <c r="A604" s="2" t="str">
        <f t="shared" si="1"/>
        <v/>
      </c>
      <c r="B604" s="4"/>
      <c r="C604" s="4"/>
      <c r="D604" s="3" t="str">
        <f t="shared" si="2"/>
        <v/>
      </c>
      <c r="E604" s="4"/>
      <c r="F604" s="2" t="str">
        <f>IFERROR(__xludf.DUMMYFUNCTION("IF(E604="""","""",IF(COUNTIFS(D$1:D603,D604,E$1:E603,E604)&gt;0,INDEX(filter(F$1:F603,D$1:D603=D604,E$1:E603=E604),1),""Selecciona..""))"),"")</f>
        <v/>
      </c>
      <c r="G604" s="2" t="str">
        <f>IFERROR(__xludf.DUMMYFUNCTION("IF($E604="""","""",IF(COUNTIFS($D$1:$D603,$D604,$E$1:$E603,$E604)&gt;0,INDEX(filter(G$1:G603,$D$1:$D603=$D604,$E$1:$E603=E604),1),""Selecciona..""))"),"")</f>
        <v/>
      </c>
      <c r="H604" s="4" t="str">
        <f>IF(D604="","",COUNTIF(Productos!G:G,C604))</f>
        <v/>
      </c>
      <c r="J604" s="90"/>
    </row>
    <row r="605">
      <c r="A605" s="2" t="str">
        <f t="shared" si="1"/>
        <v/>
      </c>
      <c r="B605" s="4"/>
      <c r="C605" s="4"/>
      <c r="D605" s="3" t="str">
        <f t="shared" si="2"/>
        <v/>
      </c>
      <c r="E605" s="4"/>
      <c r="F605" s="2" t="str">
        <f>IFERROR(__xludf.DUMMYFUNCTION("IF(E605="""","""",IF(COUNTIFS(D$1:D604,D605,E$1:E604,E605)&gt;0,INDEX(filter(F$1:F604,D$1:D604=D605,E$1:E604=E605),1),""Selecciona..""))"),"")</f>
        <v/>
      </c>
      <c r="G605" s="2" t="str">
        <f>IFERROR(__xludf.DUMMYFUNCTION("IF($E605="""","""",IF(COUNTIFS($D$1:$D604,$D605,$E$1:$E604,$E605)&gt;0,INDEX(filter(G$1:G604,$D$1:$D604=$D605,$E$1:$E604=E605),1),""Selecciona..""))"),"")</f>
        <v/>
      </c>
      <c r="H605" s="4" t="str">
        <f>IF(D605="","",COUNTIF(Productos!G:G,C605))</f>
        <v/>
      </c>
      <c r="J605" s="90"/>
    </row>
    <row r="606">
      <c r="A606" s="2" t="str">
        <f t="shared" si="1"/>
        <v/>
      </c>
      <c r="B606" s="4"/>
      <c r="C606" s="4"/>
      <c r="D606" s="3" t="str">
        <f t="shared" si="2"/>
        <v/>
      </c>
      <c r="E606" s="4"/>
      <c r="F606" s="2" t="str">
        <f>IFERROR(__xludf.DUMMYFUNCTION("IF(E606="""","""",IF(COUNTIFS(D$1:D605,D606,E$1:E605,E606)&gt;0,INDEX(filter(F$1:F605,D$1:D605=D606,E$1:E605=E606),1),""Selecciona..""))"),"")</f>
        <v/>
      </c>
      <c r="G606" s="2" t="str">
        <f>IFERROR(__xludf.DUMMYFUNCTION("IF($E606="""","""",IF(COUNTIFS($D$1:$D605,$D606,$E$1:$E605,$E606)&gt;0,INDEX(filter(G$1:G605,$D$1:$D605=$D606,$E$1:$E605=E606),1),""Selecciona..""))"),"")</f>
        <v/>
      </c>
      <c r="H606" s="4" t="str">
        <f>IF(D606="","",COUNTIF(Productos!G:G,C606))</f>
        <v/>
      </c>
      <c r="J606" s="90"/>
    </row>
    <row r="607">
      <c r="A607" s="2" t="str">
        <f t="shared" si="1"/>
        <v/>
      </c>
      <c r="B607" s="4"/>
      <c r="C607" s="4"/>
      <c r="D607" s="3" t="str">
        <f t="shared" si="2"/>
        <v/>
      </c>
      <c r="E607" s="4"/>
      <c r="F607" s="2" t="str">
        <f>IFERROR(__xludf.DUMMYFUNCTION("IF(E607="""","""",IF(COUNTIFS(D$1:D606,D607,E$1:E606,E607)&gt;0,INDEX(filter(F$1:F606,D$1:D606=D607,E$1:E606=E607),1),""Selecciona..""))"),"")</f>
        <v/>
      </c>
      <c r="G607" s="2" t="str">
        <f>IFERROR(__xludf.DUMMYFUNCTION("IF($E607="""","""",IF(COUNTIFS($D$1:$D606,$D607,$E$1:$E606,$E607)&gt;0,INDEX(filter(G$1:G606,$D$1:$D606=$D607,$E$1:$E606=E607),1),""Selecciona..""))"),"")</f>
        <v/>
      </c>
      <c r="H607" s="4" t="str">
        <f>IF(D607="","",COUNTIF(Productos!G:G,C607))</f>
        <v/>
      </c>
      <c r="J607" s="90"/>
    </row>
    <row r="608">
      <c r="A608" s="2" t="str">
        <f t="shared" si="1"/>
        <v/>
      </c>
      <c r="B608" s="4"/>
      <c r="C608" s="4"/>
      <c r="D608" s="3" t="str">
        <f t="shared" si="2"/>
        <v/>
      </c>
      <c r="E608" s="4"/>
      <c r="F608" s="2" t="str">
        <f>IFERROR(__xludf.DUMMYFUNCTION("IF(E608="""","""",IF(COUNTIFS(D$1:D607,D608,E$1:E607,E608)&gt;0,INDEX(filter(F$1:F607,D$1:D607=D608,E$1:E607=E608),1),""Selecciona..""))"),"")</f>
        <v/>
      </c>
      <c r="G608" s="2" t="str">
        <f>IFERROR(__xludf.DUMMYFUNCTION("IF($E608="""","""",IF(COUNTIFS($D$1:$D607,$D608,$E$1:$E607,$E608)&gt;0,INDEX(filter(G$1:G607,$D$1:$D607=$D608,$E$1:$E607=E608),1),""Selecciona..""))"),"")</f>
        <v/>
      </c>
      <c r="H608" s="4" t="str">
        <f>IF(D608="","",COUNTIF(Productos!G:G,C608))</f>
        <v/>
      </c>
      <c r="J608" s="90"/>
    </row>
    <row r="609">
      <c r="A609" s="2" t="str">
        <f t="shared" si="1"/>
        <v/>
      </c>
      <c r="B609" s="4"/>
      <c r="C609" s="4"/>
      <c r="D609" s="3" t="str">
        <f t="shared" si="2"/>
        <v/>
      </c>
      <c r="E609" s="4"/>
      <c r="F609" s="2" t="str">
        <f>IFERROR(__xludf.DUMMYFUNCTION("IF(E609="""","""",IF(COUNTIFS(D$1:D608,D609,E$1:E608,E609)&gt;0,INDEX(filter(F$1:F608,D$1:D608=D609,E$1:E608=E609),1),""Selecciona..""))"),"")</f>
        <v/>
      </c>
      <c r="G609" s="2" t="str">
        <f>IFERROR(__xludf.DUMMYFUNCTION("IF($E609="""","""",IF(COUNTIFS($D$1:$D608,$D609,$E$1:$E608,$E609)&gt;0,INDEX(filter(G$1:G608,$D$1:$D608=$D609,$E$1:$E608=E609),1),""Selecciona..""))"),"")</f>
        <v/>
      </c>
      <c r="H609" s="4" t="str">
        <f>IF(D609="","",COUNTIF(Productos!G:G,C609))</f>
        <v/>
      </c>
      <c r="J609" s="90"/>
    </row>
    <row r="610">
      <c r="A610" s="2" t="str">
        <f t="shared" si="1"/>
        <v/>
      </c>
      <c r="B610" s="4"/>
      <c r="C610" s="4"/>
      <c r="D610" s="3" t="str">
        <f t="shared" si="2"/>
        <v/>
      </c>
      <c r="E610" s="4"/>
      <c r="F610" s="2" t="str">
        <f>IFERROR(__xludf.DUMMYFUNCTION("IF(E610="""","""",IF(COUNTIFS(D$1:D609,D610,E$1:E609,E610)&gt;0,INDEX(filter(F$1:F609,D$1:D609=D610,E$1:E609=E610),1),""Selecciona..""))"),"")</f>
        <v/>
      </c>
      <c r="G610" s="2" t="str">
        <f>IFERROR(__xludf.DUMMYFUNCTION("IF($E610="""","""",IF(COUNTIFS($D$1:$D609,$D610,$E$1:$E609,$E610)&gt;0,INDEX(filter(G$1:G609,$D$1:$D609=$D610,$E$1:$E609=E610),1),""Selecciona..""))"),"")</f>
        <v/>
      </c>
      <c r="H610" s="4" t="str">
        <f>IF(D610="","",COUNTIF(Productos!G:G,C610))</f>
        <v/>
      </c>
      <c r="J610" s="90"/>
    </row>
    <row r="611">
      <c r="A611" s="2" t="str">
        <f t="shared" si="1"/>
        <v/>
      </c>
      <c r="B611" s="4"/>
      <c r="C611" s="4"/>
      <c r="D611" s="3" t="str">
        <f t="shared" si="2"/>
        <v/>
      </c>
      <c r="E611" s="4"/>
      <c r="F611" s="2" t="str">
        <f>IFERROR(__xludf.DUMMYFUNCTION("IF(E611="""","""",IF(COUNTIFS(D$1:D610,D611,E$1:E610,E611)&gt;0,INDEX(filter(F$1:F610,D$1:D610=D611,E$1:E610=E611),1),""Selecciona..""))"),"")</f>
        <v/>
      </c>
      <c r="G611" s="2" t="str">
        <f>IFERROR(__xludf.DUMMYFUNCTION("IF($E611="""","""",IF(COUNTIFS($D$1:$D610,$D611,$E$1:$E610,$E611)&gt;0,INDEX(filter(G$1:G610,$D$1:$D610=$D611,$E$1:$E610=E611),1),""Selecciona..""))"),"")</f>
        <v/>
      </c>
      <c r="H611" s="4" t="str">
        <f>IF(D611="","",COUNTIF(Productos!G:G,C611))</f>
        <v/>
      </c>
      <c r="J611" s="90"/>
    </row>
    <row r="612">
      <c r="A612" s="2" t="str">
        <f t="shared" si="1"/>
        <v/>
      </c>
      <c r="B612" s="4"/>
      <c r="C612" s="4"/>
      <c r="D612" s="3" t="str">
        <f t="shared" si="2"/>
        <v/>
      </c>
      <c r="E612" s="4"/>
      <c r="F612" s="2" t="str">
        <f>IFERROR(__xludf.DUMMYFUNCTION("IF(E612="""","""",IF(COUNTIFS(D$1:D611,D612,E$1:E611,E612)&gt;0,INDEX(filter(F$1:F611,D$1:D611=D612,E$1:E611=E612),1),""Selecciona..""))"),"")</f>
        <v/>
      </c>
      <c r="G612" s="2" t="str">
        <f>IFERROR(__xludf.DUMMYFUNCTION("IF($E612="""","""",IF(COUNTIFS($D$1:$D611,$D612,$E$1:$E611,$E612)&gt;0,INDEX(filter(G$1:G611,$D$1:$D611=$D612,$E$1:$E611=E612),1),""Selecciona..""))"),"")</f>
        <v/>
      </c>
      <c r="H612" s="4" t="str">
        <f>IF(D612="","",COUNTIF(Productos!G:G,C612))</f>
        <v/>
      </c>
      <c r="J612" s="90"/>
    </row>
    <row r="613">
      <c r="A613" s="2" t="str">
        <f t="shared" si="1"/>
        <v/>
      </c>
      <c r="B613" s="4"/>
      <c r="C613" s="4"/>
      <c r="D613" s="3" t="str">
        <f t="shared" si="2"/>
        <v/>
      </c>
      <c r="E613" s="4"/>
      <c r="F613" s="2" t="str">
        <f>IFERROR(__xludf.DUMMYFUNCTION("IF(E613="""","""",IF(COUNTIFS(D$1:D612,D613,E$1:E612,E613)&gt;0,INDEX(filter(F$1:F612,D$1:D612=D613,E$1:E612=E613),1),""Selecciona..""))"),"")</f>
        <v/>
      </c>
      <c r="G613" s="2" t="str">
        <f>IFERROR(__xludf.DUMMYFUNCTION("IF($E613="""","""",IF(COUNTIFS($D$1:$D612,$D613,$E$1:$E612,$E613)&gt;0,INDEX(filter(G$1:G612,$D$1:$D612=$D613,$E$1:$E612=E613),1),""Selecciona..""))"),"")</f>
        <v/>
      </c>
      <c r="H613" s="4" t="str">
        <f>IF(D613="","",COUNTIF(Productos!G:G,C613))</f>
        <v/>
      </c>
      <c r="J613" s="90"/>
    </row>
    <row r="614">
      <c r="A614" s="2" t="str">
        <f t="shared" si="1"/>
        <v/>
      </c>
      <c r="B614" s="4"/>
      <c r="C614" s="4"/>
      <c r="D614" s="3" t="str">
        <f t="shared" si="2"/>
        <v/>
      </c>
      <c r="E614" s="4"/>
      <c r="F614" s="2" t="str">
        <f>IFERROR(__xludf.DUMMYFUNCTION("IF(E614="""","""",IF(COUNTIFS(D$1:D613,D614,E$1:E613,E614)&gt;0,INDEX(filter(F$1:F613,D$1:D613=D614,E$1:E613=E614),1),""Selecciona..""))"),"")</f>
        <v/>
      </c>
      <c r="G614" s="2" t="str">
        <f>IFERROR(__xludf.DUMMYFUNCTION("IF($E614="""","""",IF(COUNTIFS($D$1:$D613,$D614,$E$1:$E613,$E614)&gt;0,INDEX(filter(G$1:G613,$D$1:$D613=$D614,$E$1:$E613=E614),1),""Selecciona..""))"),"")</f>
        <v/>
      </c>
      <c r="H614" s="4" t="str">
        <f>IF(D614="","",COUNTIF(Productos!G:G,C614))</f>
        <v/>
      </c>
      <c r="J614" s="90"/>
    </row>
    <row r="615">
      <c r="A615" s="2" t="str">
        <f t="shared" si="1"/>
        <v/>
      </c>
      <c r="B615" s="4"/>
      <c r="C615" s="4"/>
      <c r="D615" s="3" t="str">
        <f t="shared" si="2"/>
        <v/>
      </c>
      <c r="E615" s="4"/>
      <c r="F615" s="2" t="str">
        <f>IFERROR(__xludf.DUMMYFUNCTION("IF(E615="""","""",IF(COUNTIFS(D$1:D614,D615,E$1:E614,E615)&gt;0,INDEX(filter(F$1:F614,D$1:D614=D615,E$1:E614=E615),1),""Selecciona..""))"),"")</f>
        <v/>
      </c>
      <c r="G615" s="2" t="str">
        <f>IFERROR(__xludf.DUMMYFUNCTION("IF($E615="""","""",IF(COUNTIFS($D$1:$D614,$D615,$E$1:$E614,$E615)&gt;0,INDEX(filter(G$1:G614,$D$1:$D614=$D615,$E$1:$E614=E615),1),""Selecciona..""))"),"")</f>
        <v/>
      </c>
      <c r="H615" s="4" t="str">
        <f>IF(D615="","",COUNTIF(Productos!G:G,C615))</f>
        <v/>
      </c>
      <c r="J615" s="90"/>
    </row>
    <row r="616">
      <c r="A616" s="2" t="str">
        <f t="shared" si="1"/>
        <v/>
      </c>
      <c r="B616" s="4"/>
      <c r="C616" s="4"/>
      <c r="D616" s="3" t="str">
        <f t="shared" si="2"/>
        <v/>
      </c>
      <c r="E616" s="4"/>
      <c r="F616" s="2" t="str">
        <f>IFERROR(__xludf.DUMMYFUNCTION("IF(E616="""","""",IF(COUNTIFS(D$1:D615,D616,E$1:E615,E616)&gt;0,INDEX(filter(F$1:F615,D$1:D615=D616,E$1:E615=E616),1),""Selecciona..""))"),"")</f>
        <v/>
      </c>
      <c r="G616" s="2" t="str">
        <f>IFERROR(__xludf.DUMMYFUNCTION("IF($E616="""","""",IF(COUNTIFS($D$1:$D615,$D616,$E$1:$E615,$E616)&gt;0,INDEX(filter(G$1:G615,$D$1:$D615=$D616,$E$1:$E615=E616),1),""Selecciona..""))"),"")</f>
        <v/>
      </c>
      <c r="H616" s="4" t="str">
        <f>IF(D616="","",COUNTIF(Productos!G:G,C616))</f>
        <v/>
      </c>
      <c r="J616" s="90"/>
    </row>
    <row r="617">
      <c r="A617" s="2" t="str">
        <f t="shared" si="1"/>
        <v/>
      </c>
      <c r="B617" s="4"/>
      <c r="C617" s="4"/>
      <c r="D617" s="3" t="str">
        <f t="shared" si="2"/>
        <v/>
      </c>
      <c r="E617" s="4"/>
      <c r="F617" s="2" t="str">
        <f>IFERROR(__xludf.DUMMYFUNCTION("IF(E617="""","""",IF(COUNTIFS(D$1:D616,D617,E$1:E616,E617)&gt;0,INDEX(filter(F$1:F616,D$1:D616=D617,E$1:E616=E617),1),""Selecciona..""))"),"")</f>
        <v/>
      </c>
      <c r="G617" s="2" t="str">
        <f>IFERROR(__xludf.DUMMYFUNCTION("IF($E617="""","""",IF(COUNTIFS($D$1:$D616,$D617,$E$1:$E616,$E617)&gt;0,INDEX(filter(G$1:G616,$D$1:$D616=$D617,$E$1:$E616=E617),1),""Selecciona..""))"),"")</f>
        <v/>
      </c>
      <c r="H617" s="4" t="str">
        <f>IF(D617="","",COUNTIF(Productos!G:G,C617))</f>
        <v/>
      </c>
      <c r="J617" s="90"/>
    </row>
    <row r="618">
      <c r="A618" s="2" t="str">
        <f t="shared" si="1"/>
        <v/>
      </c>
      <c r="B618" s="4"/>
      <c r="C618" s="4"/>
      <c r="D618" s="3" t="str">
        <f t="shared" si="2"/>
        <v/>
      </c>
      <c r="E618" s="4"/>
      <c r="F618" s="2" t="str">
        <f>IFERROR(__xludf.DUMMYFUNCTION("IF(E618="""","""",IF(COUNTIFS(D$1:D617,D618,E$1:E617,E618)&gt;0,INDEX(filter(F$1:F617,D$1:D617=D618,E$1:E617=E618),1),""Selecciona..""))"),"")</f>
        <v/>
      </c>
      <c r="G618" s="2" t="str">
        <f>IFERROR(__xludf.DUMMYFUNCTION("IF($E618="""","""",IF(COUNTIFS($D$1:$D617,$D618,$E$1:$E617,$E618)&gt;0,INDEX(filter(G$1:G617,$D$1:$D617=$D618,$E$1:$E617=E618),1),""Selecciona..""))"),"")</f>
        <v/>
      </c>
      <c r="H618" s="4" t="str">
        <f>IF(D618="","",COUNTIF(Productos!G:G,C618))</f>
        <v/>
      </c>
      <c r="J618" s="90"/>
    </row>
    <row r="619">
      <c r="A619" s="2" t="str">
        <f t="shared" si="1"/>
        <v/>
      </c>
      <c r="B619" s="4"/>
      <c r="C619" s="4"/>
      <c r="D619" s="3" t="str">
        <f t="shared" si="2"/>
        <v/>
      </c>
      <c r="E619" s="4"/>
      <c r="F619" s="2" t="str">
        <f>IFERROR(__xludf.DUMMYFUNCTION("IF(E619="""","""",IF(COUNTIFS(D$1:D618,D619,E$1:E618,E619)&gt;0,INDEX(filter(F$1:F618,D$1:D618=D619,E$1:E618=E619),1),""Selecciona..""))"),"")</f>
        <v/>
      </c>
      <c r="G619" s="2" t="str">
        <f>IFERROR(__xludf.DUMMYFUNCTION("IF($E619="""","""",IF(COUNTIFS($D$1:$D618,$D619,$E$1:$E618,$E619)&gt;0,INDEX(filter(G$1:G618,$D$1:$D618=$D619,$E$1:$E618=E619),1),""Selecciona..""))"),"")</f>
        <v/>
      </c>
      <c r="H619" s="4" t="str">
        <f>IF(D619="","",COUNTIF(Productos!G:G,C619))</f>
        <v/>
      </c>
      <c r="J619" s="90"/>
    </row>
    <row r="620">
      <c r="A620" s="2" t="str">
        <f t="shared" si="1"/>
        <v/>
      </c>
      <c r="B620" s="4"/>
      <c r="C620" s="4"/>
      <c r="D620" s="3" t="str">
        <f t="shared" si="2"/>
        <v/>
      </c>
      <c r="E620" s="4"/>
      <c r="F620" s="2" t="str">
        <f>IFERROR(__xludf.DUMMYFUNCTION("IF(E620="""","""",IF(COUNTIFS(D$1:D619,D620,E$1:E619,E620)&gt;0,INDEX(filter(F$1:F619,D$1:D619=D620,E$1:E619=E620),1),""Selecciona..""))"),"")</f>
        <v/>
      </c>
      <c r="G620" s="2" t="str">
        <f>IFERROR(__xludf.DUMMYFUNCTION("IF($E620="""","""",IF(COUNTIFS($D$1:$D619,$D620,$E$1:$E619,$E620)&gt;0,INDEX(filter(G$1:G619,$D$1:$D619=$D620,$E$1:$E619=E620),1),""Selecciona..""))"),"")</f>
        <v/>
      </c>
      <c r="H620" s="4" t="str">
        <f>IF(D620="","",COUNTIF(Productos!G:G,C620))</f>
        <v/>
      </c>
      <c r="J620" s="90"/>
    </row>
    <row r="621">
      <c r="A621" s="2" t="str">
        <f t="shared" si="1"/>
        <v/>
      </c>
      <c r="B621" s="4"/>
      <c r="C621" s="4"/>
      <c r="D621" s="3" t="str">
        <f t="shared" si="2"/>
        <v/>
      </c>
      <c r="E621" s="4"/>
      <c r="F621" s="2" t="str">
        <f>IFERROR(__xludf.DUMMYFUNCTION("IF(E621="""","""",IF(COUNTIFS(D$1:D620,D621,E$1:E620,E621)&gt;0,INDEX(filter(F$1:F620,D$1:D620=D621,E$1:E620=E621),1),""Selecciona..""))"),"")</f>
        <v/>
      </c>
      <c r="G621" s="2" t="str">
        <f>IFERROR(__xludf.DUMMYFUNCTION("IF($E621="""","""",IF(COUNTIFS($D$1:$D620,$D621,$E$1:$E620,$E621)&gt;0,INDEX(filter(G$1:G620,$D$1:$D620=$D621,$E$1:$E620=E621),1),""Selecciona..""))"),"")</f>
        <v/>
      </c>
      <c r="H621" s="4" t="str">
        <f>IF(D621="","",COUNTIF(Productos!G:G,C621))</f>
        <v/>
      </c>
      <c r="J621" s="90"/>
    </row>
    <row r="622">
      <c r="A622" s="2" t="str">
        <f t="shared" si="1"/>
        <v/>
      </c>
      <c r="B622" s="4"/>
      <c r="C622" s="4"/>
      <c r="D622" s="3" t="str">
        <f t="shared" si="2"/>
        <v/>
      </c>
      <c r="E622" s="4"/>
      <c r="F622" s="2" t="str">
        <f>IFERROR(__xludf.DUMMYFUNCTION("IF(E622="""","""",IF(COUNTIFS(D$1:D621,D622,E$1:E621,E622)&gt;0,INDEX(filter(F$1:F621,D$1:D621=D622,E$1:E621=E622),1),""Selecciona..""))"),"")</f>
        <v/>
      </c>
      <c r="G622" s="2" t="str">
        <f>IFERROR(__xludf.DUMMYFUNCTION("IF($E622="""","""",IF(COUNTIFS($D$1:$D621,$D622,$E$1:$E621,$E622)&gt;0,INDEX(filter(G$1:G621,$D$1:$D621=$D622,$E$1:$E621=E622),1),""Selecciona..""))"),"")</f>
        <v/>
      </c>
      <c r="H622" s="4" t="str">
        <f>IF(D622="","",COUNTIF(Productos!G:G,C622))</f>
        <v/>
      </c>
      <c r="J622" s="90"/>
    </row>
    <row r="623">
      <c r="A623" s="2" t="str">
        <f t="shared" si="1"/>
        <v/>
      </c>
      <c r="B623" s="4"/>
      <c r="C623" s="4"/>
      <c r="D623" s="3" t="str">
        <f t="shared" si="2"/>
        <v/>
      </c>
      <c r="E623" s="4"/>
      <c r="F623" s="2" t="str">
        <f>IFERROR(__xludf.DUMMYFUNCTION("IF(E623="""","""",IF(COUNTIFS(D$1:D622,D623,E$1:E622,E623)&gt;0,INDEX(filter(F$1:F622,D$1:D622=D623,E$1:E622=E623),1),""Selecciona..""))"),"")</f>
        <v/>
      </c>
      <c r="G623" s="2" t="str">
        <f>IFERROR(__xludf.DUMMYFUNCTION("IF($E623="""","""",IF(COUNTIFS($D$1:$D622,$D623,$E$1:$E622,$E623)&gt;0,INDEX(filter(G$1:G622,$D$1:$D622=$D623,$E$1:$E622=E623),1),""Selecciona..""))"),"")</f>
        <v/>
      </c>
      <c r="H623" s="4" t="str">
        <f>IF(D623="","",COUNTIF(Productos!G:G,C623))</f>
        <v/>
      </c>
      <c r="J623" s="90"/>
    </row>
    <row r="624">
      <c r="A624" s="2" t="str">
        <f t="shared" si="1"/>
        <v/>
      </c>
      <c r="B624" s="4"/>
      <c r="C624" s="4"/>
      <c r="D624" s="3" t="str">
        <f t="shared" si="2"/>
        <v/>
      </c>
      <c r="E624" s="4"/>
      <c r="F624" s="2" t="str">
        <f>IFERROR(__xludf.DUMMYFUNCTION("IF(E624="""","""",IF(COUNTIFS(D$1:D623,D624,E$1:E623,E624)&gt;0,INDEX(filter(F$1:F623,D$1:D623=D624,E$1:E623=E624),1),""Selecciona..""))"),"")</f>
        <v/>
      </c>
      <c r="G624" s="2" t="str">
        <f>IFERROR(__xludf.DUMMYFUNCTION("IF($E624="""","""",IF(COUNTIFS($D$1:$D623,$D624,$E$1:$E623,$E624)&gt;0,INDEX(filter(G$1:G623,$D$1:$D623=$D624,$E$1:$E623=E624),1),""Selecciona..""))"),"")</f>
        <v/>
      </c>
      <c r="H624" s="4" t="str">
        <f>IF(D624="","",COUNTIF(Productos!G:G,C624))</f>
        <v/>
      </c>
      <c r="J624" s="90"/>
    </row>
    <row r="625">
      <c r="A625" s="2" t="str">
        <f t="shared" si="1"/>
        <v/>
      </c>
      <c r="B625" s="4"/>
      <c r="C625" s="4"/>
      <c r="D625" s="3" t="str">
        <f t="shared" si="2"/>
        <v/>
      </c>
      <c r="E625" s="4"/>
      <c r="F625" s="2" t="str">
        <f>IFERROR(__xludf.DUMMYFUNCTION("IF(E625="""","""",IF(COUNTIFS(D$1:D624,D625,E$1:E624,E625)&gt;0,INDEX(filter(F$1:F624,D$1:D624=D625,E$1:E624=E625),1),""Selecciona..""))"),"")</f>
        <v/>
      </c>
      <c r="G625" s="2" t="str">
        <f>IFERROR(__xludf.DUMMYFUNCTION("IF($E625="""","""",IF(COUNTIFS($D$1:$D624,$D625,$E$1:$E624,$E625)&gt;0,INDEX(filter(G$1:G624,$D$1:$D624=$D625,$E$1:$E624=E625),1),""Selecciona..""))"),"")</f>
        <v/>
      </c>
      <c r="H625" s="4" t="str">
        <f>IF(D625="","",COUNTIF(Productos!G:G,C625))</f>
        <v/>
      </c>
      <c r="J625" s="90"/>
    </row>
    <row r="626">
      <c r="A626" s="2" t="str">
        <f t="shared" si="1"/>
        <v/>
      </c>
      <c r="B626" s="4"/>
      <c r="C626" s="4"/>
      <c r="D626" s="3" t="str">
        <f t="shared" si="2"/>
        <v/>
      </c>
      <c r="E626" s="4"/>
      <c r="F626" s="2" t="str">
        <f>IFERROR(__xludf.DUMMYFUNCTION("IF(E626="""","""",IF(COUNTIFS(D$1:D625,D626,E$1:E625,E626)&gt;0,INDEX(filter(F$1:F625,D$1:D625=D626,E$1:E625=E626),1),""Selecciona..""))"),"")</f>
        <v/>
      </c>
      <c r="G626" s="2" t="str">
        <f>IFERROR(__xludf.DUMMYFUNCTION("IF($E626="""","""",IF(COUNTIFS($D$1:$D625,$D626,$E$1:$E625,$E626)&gt;0,INDEX(filter(G$1:G625,$D$1:$D625=$D626,$E$1:$E625=E626),1),""Selecciona..""))"),"")</f>
        <v/>
      </c>
      <c r="H626" s="4" t="str">
        <f>IF(D626="","",COUNTIF(Productos!G:G,C626))</f>
        <v/>
      </c>
      <c r="J626" s="90"/>
    </row>
    <row r="627">
      <c r="A627" s="2" t="str">
        <f t="shared" si="1"/>
        <v/>
      </c>
      <c r="B627" s="4"/>
      <c r="C627" s="4"/>
      <c r="D627" s="3" t="str">
        <f t="shared" si="2"/>
        <v/>
      </c>
      <c r="E627" s="4"/>
      <c r="F627" s="2" t="str">
        <f>IFERROR(__xludf.DUMMYFUNCTION("IF(E627="""","""",IF(COUNTIFS(D$1:D626,D627,E$1:E626,E627)&gt;0,INDEX(filter(F$1:F626,D$1:D626=D627,E$1:E626=E627),1),""Selecciona..""))"),"")</f>
        <v/>
      </c>
      <c r="G627" s="2" t="str">
        <f>IFERROR(__xludf.DUMMYFUNCTION("IF($E627="""","""",IF(COUNTIFS($D$1:$D626,$D627,$E$1:$E626,$E627)&gt;0,INDEX(filter(G$1:G626,$D$1:$D626=$D627,$E$1:$E626=E627),1),""Selecciona..""))"),"")</f>
        <v/>
      </c>
      <c r="H627" s="4" t="str">
        <f>IF(D627="","",COUNTIF(Productos!G:G,C627))</f>
        <v/>
      </c>
      <c r="J627" s="90"/>
    </row>
    <row r="628">
      <c r="A628" s="2" t="str">
        <f t="shared" si="1"/>
        <v/>
      </c>
      <c r="B628" s="4"/>
      <c r="C628" s="4"/>
      <c r="D628" s="3" t="str">
        <f t="shared" si="2"/>
        <v/>
      </c>
      <c r="E628" s="4"/>
      <c r="F628" s="2" t="str">
        <f>IFERROR(__xludf.DUMMYFUNCTION("IF(E628="""","""",IF(COUNTIFS(D$1:D627,D628,E$1:E627,E628)&gt;0,INDEX(filter(F$1:F627,D$1:D627=D628,E$1:E627=E628),1),""Selecciona..""))"),"")</f>
        <v/>
      </c>
      <c r="G628" s="2" t="str">
        <f>IFERROR(__xludf.DUMMYFUNCTION("IF($E628="""","""",IF(COUNTIFS($D$1:$D627,$D628,$E$1:$E627,$E628)&gt;0,INDEX(filter(G$1:G627,$D$1:$D627=$D628,$E$1:$E627=E628),1),""Selecciona..""))"),"")</f>
        <v/>
      </c>
      <c r="H628" s="4" t="str">
        <f>IF(D628="","",COUNTIF(Productos!G:G,C628))</f>
        <v/>
      </c>
      <c r="J628" s="90"/>
    </row>
    <row r="629">
      <c r="A629" s="2" t="str">
        <f t="shared" si="1"/>
        <v/>
      </c>
      <c r="B629" s="4"/>
      <c r="C629" s="4"/>
      <c r="D629" s="3" t="str">
        <f t="shared" si="2"/>
        <v/>
      </c>
      <c r="E629" s="4"/>
      <c r="F629" s="2" t="str">
        <f>IFERROR(__xludf.DUMMYFUNCTION("IF(E629="""","""",IF(COUNTIFS(D$1:D628,D629,E$1:E628,E629)&gt;0,INDEX(filter(F$1:F628,D$1:D628=D629,E$1:E628=E629),1),""Selecciona..""))"),"")</f>
        <v/>
      </c>
      <c r="G629" s="2" t="str">
        <f>IFERROR(__xludf.DUMMYFUNCTION("IF($E629="""","""",IF(COUNTIFS($D$1:$D628,$D629,$E$1:$E628,$E629)&gt;0,INDEX(filter(G$1:G628,$D$1:$D628=$D629,$E$1:$E628=E629),1),""Selecciona..""))"),"")</f>
        <v/>
      </c>
      <c r="H629" s="4" t="str">
        <f>IF(D629="","",COUNTIF(Productos!G:G,C629))</f>
        <v/>
      </c>
      <c r="J629" s="90"/>
    </row>
    <row r="630">
      <c r="A630" s="2" t="str">
        <f t="shared" si="1"/>
        <v/>
      </c>
      <c r="B630" s="4"/>
      <c r="C630" s="4"/>
      <c r="D630" s="3" t="str">
        <f t="shared" si="2"/>
        <v/>
      </c>
      <c r="E630" s="4"/>
      <c r="F630" s="2" t="str">
        <f>IFERROR(__xludf.DUMMYFUNCTION("IF(E630="""","""",IF(COUNTIFS(D$1:D629,D630,E$1:E629,E630)&gt;0,INDEX(filter(F$1:F629,D$1:D629=D630,E$1:E629=E630),1),""Selecciona..""))"),"")</f>
        <v/>
      </c>
      <c r="G630" s="2" t="str">
        <f>IFERROR(__xludf.DUMMYFUNCTION("IF($E630="""","""",IF(COUNTIFS($D$1:$D629,$D630,$E$1:$E629,$E630)&gt;0,INDEX(filter(G$1:G629,$D$1:$D629=$D630,$E$1:$E629=E630),1),""Selecciona..""))"),"")</f>
        <v/>
      </c>
      <c r="H630" s="4" t="str">
        <f>IF(D630="","",COUNTIF(Productos!G:G,C630))</f>
        <v/>
      </c>
      <c r="J630" s="90"/>
    </row>
    <row r="631">
      <c r="A631" s="2" t="str">
        <f t="shared" si="1"/>
        <v/>
      </c>
      <c r="B631" s="4"/>
      <c r="C631" s="4"/>
      <c r="D631" s="3" t="str">
        <f t="shared" si="2"/>
        <v/>
      </c>
      <c r="E631" s="4"/>
      <c r="F631" s="2" t="str">
        <f>IFERROR(__xludf.DUMMYFUNCTION("IF(E631="""","""",IF(COUNTIFS(D$1:D630,D631,E$1:E630,E631)&gt;0,INDEX(filter(F$1:F630,D$1:D630=D631,E$1:E630=E631),1),""Selecciona..""))"),"")</f>
        <v/>
      </c>
      <c r="G631" s="2" t="str">
        <f>IFERROR(__xludf.DUMMYFUNCTION("IF($E631="""","""",IF(COUNTIFS($D$1:$D630,$D631,$E$1:$E630,$E631)&gt;0,INDEX(filter(G$1:G630,$D$1:$D630=$D631,$E$1:$E630=E631),1),""Selecciona..""))"),"")</f>
        <v/>
      </c>
      <c r="H631" s="4" t="str">
        <f>IF(D631="","",COUNTIF(Productos!G:G,C631))</f>
        <v/>
      </c>
      <c r="J631" s="90"/>
    </row>
    <row r="632">
      <c r="A632" s="2" t="str">
        <f t="shared" si="1"/>
        <v/>
      </c>
      <c r="B632" s="4"/>
      <c r="C632" s="4"/>
      <c r="D632" s="3" t="str">
        <f t="shared" si="2"/>
        <v/>
      </c>
      <c r="E632" s="4"/>
      <c r="F632" s="2" t="str">
        <f>IFERROR(__xludf.DUMMYFUNCTION("IF(E632="""","""",IF(COUNTIFS(D$1:D631,D632,E$1:E631,E632)&gt;0,INDEX(filter(F$1:F631,D$1:D631=D632,E$1:E631=E632),1),""Selecciona..""))"),"")</f>
        <v/>
      </c>
      <c r="G632" s="2" t="str">
        <f>IFERROR(__xludf.DUMMYFUNCTION("IF($E632="""","""",IF(COUNTIFS($D$1:$D631,$D632,$E$1:$E631,$E632)&gt;0,INDEX(filter(G$1:G631,$D$1:$D631=$D632,$E$1:$E631=E632),1),""Selecciona..""))"),"")</f>
        <v/>
      </c>
      <c r="H632" s="4" t="str">
        <f>IF(D632="","",COUNTIF(Productos!G:G,C632))</f>
        <v/>
      </c>
      <c r="J632" s="90"/>
    </row>
    <row r="633">
      <c r="A633" s="2" t="str">
        <f t="shared" si="1"/>
        <v/>
      </c>
      <c r="B633" s="4"/>
      <c r="C633" s="4"/>
      <c r="D633" s="3" t="str">
        <f t="shared" si="2"/>
        <v/>
      </c>
      <c r="E633" s="4"/>
      <c r="F633" s="2" t="str">
        <f>IFERROR(__xludf.DUMMYFUNCTION("IF(E633="""","""",IF(COUNTIFS(D$1:D632,D633,E$1:E632,E633)&gt;0,INDEX(filter(F$1:F632,D$1:D632=D633,E$1:E632=E633),1),""Selecciona..""))"),"")</f>
        <v/>
      </c>
      <c r="G633" s="2" t="str">
        <f>IFERROR(__xludf.DUMMYFUNCTION("IF($E633="""","""",IF(COUNTIFS($D$1:$D632,$D633,$E$1:$E632,$E633)&gt;0,INDEX(filter(G$1:G632,$D$1:$D632=$D633,$E$1:$E632=E633),1),""Selecciona..""))"),"")</f>
        <v/>
      </c>
      <c r="H633" s="4" t="str">
        <f>IF(D633="","",COUNTIF(Productos!G:G,C633))</f>
        <v/>
      </c>
      <c r="J633" s="90"/>
    </row>
    <row r="634">
      <c r="A634" s="2" t="str">
        <f t="shared" si="1"/>
        <v/>
      </c>
      <c r="B634" s="4"/>
      <c r="C634" s="4"/>
      <c r="D634" s="3" t="str">
        <f t="shared" si="2"/>
        <v/>
      </c>
      <c r="E634" s="4"/>
      <c r="F634" s="2" t="str">
        <f>IFERROR(__xludf.DUMMYFUNCTION("IF(E634="""","""",IF(COUNTIFS(D$1:D633,D634,E$1:E633,E634)&gt;0,INDEX(filter(F$1:F633,D$1:D633=D634,E$1:E633=E634),1),""Selecciona..""))"),"")</f>
        <v/>
      </c>
      <c r="G634" s="2" t="str">
        <f>IFERROR(__xludf.DUMMYFUNCTION("IF($E634="""","""",IF(COUNTIFS($D$1:$D633,$D634,$E$1:$E633,$E634)&gt;0,INDEX(filter(G$1:G633,$D$1:$D633=$D634,$E$1:$E633=E634),1),""Selecciona..""))"),"")</f>
        <v/>
      </c>
      <c r="H634" s="4" t="str">
        <f>IF(D634="","",COUNTIF(Productos!G:G,C634))</f>
        <v/>
      </c>
      <c r="J634" s="90"/>
    </row>
    <row r="635">
      <c r="A635" s="2" t="str">
        <f t="shared" si="1"/>
        <v/>
      </c>
      <c r="B635" s="4"/>
      <c r="C635" s="4"/>
      <c r="D635" s="3" t="str">
        <f t="shared" si="2"/>
        <v/>
      </c>
      <c r="E635" s="4"/>
      <c r="F635" s="2" t="str">
        <f>IFERROR(__xludf.DUMMYFUNCTION("IF(E635="""","""",IF(COUNTIFS(D$1:D634,D635,E$1:E634,E635)&gt;0,INDEX(filter(F$1:F634,D$1:D634=D635,E$1:E634=E635),1),""Selecciona..""))"),"")</f>
        <v/>
      </c>
      <c r="G635" s="2" t="str">
        <f>IFERROR(__xludf.DUMMYFUNCTION("IF($E635="""","""",IF(COUNTIFS($D$1:$D634,$D635,$E$1:$E634,$E635)&gt;0,INDEX(filter(G$1:G634,$D$1:$D634=$D635,$E$1:$E634=E635),1),""Selecciona..""))"),"")</f>
        <v/>
      </c>
      <c r="H635" s="4" t="str">
        <f>IF(D635="","",COUNTIF(Productos!G:G,C635))</f>
        <v/>
      </c>
      <c r="J635" s="90"/>
    </row>
    <row r="636">
      <c r="A636" s="2" t="str">
        <f t="shared" si="1"/>
        <v/>
      </c>
      <c r="B636" s="4"/>
      <c r="C636" s="4"/>
      <c r="D636" s="3" t="str">
        <f t="shared" si="2"/>
        <v/>
      </c>
      <c r="E636" s="4"/>
      <c r="F636" s="2" t="str">
        <f>IFERROR(__xludf.DUMMYFUNCTION("IF(E636="""","""",IF(COUNTIFS(D$1:D635,D636,E$1:E635,E636)&gt;0,INDEX(filter(F$1:F635,D$1:D635=D636,E$1:E635=E636),1),""Selecciona..""))"),"")</f>
        <v/>
      </c>
      <c r="G636" s="2" t="str">
        <f>IFERROR(__xludf.DUMMYFUNCTION("IF($E636="""","""",IF(COUNTIFS($D$1:$D635,$D636,$E$1:$E635,$E636)&gt;0,INDEX(filter(G$1:G635,$D$1:$D635=$D636,$E$1:$E635=E636),1),""Selecciona..""))"),"")</f>
        <v/>
      </c>
      <c r="H636" s="4" t="str">
        <f>IF(D636="","",COUNTIF(Productos!G:G,C636))</f>
        <v/>
      </c>
      <c r="J636" s="90"/>
    </row>
    <row r="637">
      <c r="A637" s="2" t="str">
        <f t="shared" si="1"/>
        <v/>
      </c>
      <c r="B637" s="4"/>
      <c r="C637" s="4"/>
      <c r="D637" s="3" t="str">
        <f t="shared" si="2"/>
        <v/>
      </c>
      <c r="E637" s="4"/>
      <c r="F637" s="2" t="str">
        <f>IFERROR(__xludf.DUMMYFUNCTION("IF(E637="""","""",IF(COUNTIFS(D$1:D636,D637,E$1:E636,E637)&gt;0,INDEX(filter(F$1:F636,D$1:D636=D637,E$1:E636=E637),1),""Selecciona..""))"),"")</f>
        <v/>
      </c>
      <c r="G637" s="2" t="str">
        <f>IFERROR(__xludf.DUMMYFUNCTION("IF($E637="""","""",IF(COUNTIFS($D$1:$D636,$D637,$E$1:$E636,$E637)&gt;0,INDEX(filter(G$1:G636,$D$1:$D636=$D637,$E$1:$E636=E637),1),""Selecciona..""))"),"")</f>
        <v/>
      </c>
      <c r="H637" s="4" t="str">
        <f>IF(D637="","",COUNTIF(Productos!G:G,C637))</f>
        <v/>
      </c>
      <c r="J637" s="90"/>
    </row>
    <row r="638">
      <c r="A638" s="2" t="str">
        <f t="shared" si="1"/>
        <v/>
      </c>
      <c r="B638" s="4"/>
      <c r="C638" s="4"/>
      <c r="D638" s="3" t="str">
        <f t="shared" si="2"/>
        <v/>
      </c>
      <c r="E638" s="4"/>
      <c r="F638" s="2" t="str">
        <f>IFERROR(__xludf.DUMMYFUNCTION("IF(E638="""","""",IF(COUNTIFS(D$1:D637,D638,E$1:E637,E638)&gt;0,INDEX(filter(F$1:F637,D$1:D637=D638,E$1:E637=E638),1),""Selecciona..""))"),"")</f>
        <v/>
      </c>
      <c r="G638" s="2" t="str">
        <f>IFERROR(__xludf.DUMMYFUNCTION("IF($E638="""","""",IF(COUNTIFS($D$1:$D637,$D638,$E$1:$E637,$E638)&gt;0,INDEX(filter(G$1:G637,$D$1:$D637=$D638,$E$1:$E637=E638),1),""Selecciona..""))"),"")</f>
        <v/>
      </c>
      <c r="H638" s="4" t="str">
        <f>IF(D638="","",COUNTIF(Productos!G:G,C638))</f>
        <v/>
      </c>
      <c r="J638" s="90"/>
    </row>
    <row r="639">
      <c r="A639" s="2" t="str">
        <f t="shared" si="1"/>
        <v/>
      </c>
      <c r="B639" s="4"/>
      <c r="C639" s="4"/>
      <c r="D639" s="3" t="str">
        <f t="shared" si="2"/>
        <v/>
      </c>
      <c r="E639" s="4"/>
      <c r="F639" s="2" t="str">
        <f>IFERROR(__xludf.DUMMYFUNCTION("IF(E639="""","""",IF(COUNTIFS(D$1:D638,D639,E$1:E638,E639)&gt;0,INDEX(filter(F$1:F638,D$1:D638=D639,E$1:E638=E639),1),""Selecciona..""))"),"")</f>
        <v/>
      </c>
      <c r="G639" s="2" t="str">
        <f>IFERROR(__xludf.DUMMYFUNCTION("IF($E639="""","""",IF(COUNTIFS($D$1:$D638,$D639,$E$1:$E638,$E639)&gt;0,INDEX(filter(G$1:G638,$D$1:$D638=$D639,$E$1:$E638=E639),1),""Selecciona..""))"),"")</f>
        <v/>
      </c>
      <c r="H639" s="4" t="str">
        <f>IF(D639="","",COUNTIF(Productos!G:G,C639))</f>
        <v/>
      </c>
      <c r="J639" s="90"/>
    </row>
    <row r="640">
      <c r="A640" s="2" t="str">
        <f t="shared" si="1"/>
        <v/>
      </c>
      <c r="B640" s="4"/>
      <c r="C640" s="4"/>
      <c r="D640" s="3" t="str">
        <f t="shared" si="2"/>
        <v/>
      </c>
      <c r="E640" s="4"/>
      <c r="F640" s="2" t="str">
        <f>IFERROR(__xludf.DUMMYFUNCTION("IF(E640="""","""",IF(COUNTIFS(D$1:D639,D640,E$1:E639,E640)&gt;0,INDEX(filter(F$1:F639,D$1:D639=D640,E$1:E639=E640),1),""Selecciona..""))"),"")</f>
        <v/>
      </c>
      <c r="G640" s="2" t="str">
        <f>IFERROR(__xludf.DUMMYFUNCTION("IF($E640="""","""",IF(COUNTIFS($D$1:$D639,$D640,$E$1:$E639,$E640)&gt;0,INDEX(filter(G$1:G639,$D$1:$D639=$D640,$E$1:$E639=E640),1),""Selecciona..""))"),"")</f>
        <v/>
      </c>
      <c r="H640" s="4" t="str">
        <f>IF(D640="","",COUNTIF(Productos!G:G,C640))</f>
        <v/>
      </c>
      <c r="J640" s="90"/>
    </row>
    <row r="641">
      <c r="A641" s="2" t="str">
        <f t="shared" si="1"/>
        <v/>
      </c>
      <c r="B641" s="4"/>
      <c r="C641" s="4"/>
      <c r="D641" s="3" t="str">
        <f t="shared" si="2"/>
        <v/>
      </c>
      <c r="E641" s="4"/>
      <c r="F641" s="2" t="str">
        <f>IFERROR(__xludf.DUMMYFUNCTION("IF(E641="""","""",IF(COUNTIFS(D$1:D640,D641,E$1:E640,E641)&gt;0,INDEX(filter(F$1:F640,D$1:D640=D641,E$1:E640=E641),1),""Selecciona..""))"),"")</f>
        <v/>
      </c>
      <c r="G641" s="2" t="str">
        <f>IFERROR(__xludf.DUMMYFUNCTION("IF($E641="""","""",IF(COUNTIFS($D$1:$D640,$D641,$E$1:$E640,$E641)&gt;0,INDEX(filter(G$1:G640,$D$1:$D640=$D641,$E$1:$E640=E641),1),""Selecciona..""))"),"")</f>
        <v/>
      </c>
      <c r="H641" s="4" t="str">
        <f>IF(D641="","",COUNTIF(Productos!G:G,C641))</f>
        <v/>
      </c>
      <c r="J641" s="90"/>
    </row>
    <row r="642">
      <c r="A642" s="2" t="str">
        <f t="shared" si="1"/>
        <v/>
      </c>
      <c r="B642" s="4"/>
      <c r="C642" s="4"/>
      <c r="D642" s="3" t="str">
        <f t="shared" si="2"/>
        <v/>
      </c>
      <c r="E642" s="4"/>
      <c r="F642" s="2" t="str">
        <f>IFERROR(__xludf.DUMMYFUNCTION("IF(E642="""","""",IF(COUNTIFS(D$1:D641,D642,E$1:E641,E642)&gt;0,INDEX(filter(F$1:F641,D$1:D641=D642,E$1:E641=E642),1),""Selecciona..""))"),"")</f>
        <v/>
      </c>
      <c r="G642" s="2" t="str">
        <f>IFERROR(__xludf.DUMMYFUNCTION("IF($E642="""","""",IF(COUNTIFS($D$1:$D641,$D642,$E$1:$E641,$E642)&gt;0,INDEX(filter(G$1:G641,$D$1:$D641=$D642,$E$1:$E641=E642),1),""Selecciona..""))"),"")</f>
        <v/>
      </c>
      <c r="H642" s="4" t="str">
        <f>IF(D642="","",COUNTIF(Productos!G:G,C642))</f>
        <v/>
      </c>
      <c r="J642" s="90"/>
    </row>
    <row r="643">
      <c r="A643" s="2" t="str">
        <f t="shared" si="1"/>
        <v/>
      </c>
      <c r="B643" s="4"/>
      <c r="C643" s="4"/>
      <c r="D643" s="3" t="str">
        <f t="shared" si="2"/>
        <v/>
      </c>
      <c r="E643" s="4"/>
      <c r="F643" s="2" t="str">
        <f>IFERROR(__xludf.DUMMYFUNCTION("IF(E643="""","""",IF(COUNTIFS(D$1:D642,D643,E$1:E642,E643)&gt;0,INDEX(filter(F$1:F642,D$1:D642=D643,E$1:E642=E643),1),""Selecciona..""))"),"")</f>
        <v/>
      </c>
      <c r="G643" s="2" t="str">
        <f>IFERROR(__xludf.DUMMYFUNCTION("IF($E643="""","""",IF(COUNTIFS($D$1:$D642,$D643,$E$1:$E642,$E643)&gt;0,INDEX(filter(G$1:G642,$D$1:$D642=$D643,$E$1:$E642=E643),1),""Selecciona..""))"),"")</f>
        <v/>
      </c>
      <c r="H643" s="4" t="str">
        <f>IF(D643="","",COUNTIF(Productos!G:G,C643))</f>
        <v/>
      </c>
      <c r="J643" s="90"/>
    </row>
    <row r="644">
      <c r="A644" s="2" t="str">
        <f t="shared" si="1"/>
        <v/>
      </c>
      <c r="B644" s="4"/>
      <c r="C644" s="4"/>
      <c r="D644" s="3" t="str">
        <f t="shared" si="2"/>
        <v/>
      </c>
      <c r="E644" s="4"/>
      <c r="F644" s="2" t="str">
        <f>IFERROR(__xludf.DUMMYFUNCTION("IF(E644="""","""",IF(COUNTIFS(D$1:D643,D644,E$1:E643,E644)&gt;0,INDEX(filter(F$1:F643,D$1:D643=D644,E$1:E643=E644),1),""Selecciona..""))"),"")</f>
        <v/>
      </c>
      <c r="G644" s="2" t="str">
        <f>IFERROR(__xludf.DUMMYFUNCTION("IF($E644="""","""",IF(COUNTIFS($D$1:$D643,$D644,$E$1:$E643,$E644)&gt;0,INDEX(filter(G$1:G643,$D$1:$D643=$D644,$E$1:$E643=E644),1),""Selecciona..""))"),"")</f>
        <v/>
      </c>
      <c r="H644" s="4" t="str">
        <f>IF(D644="","",COUNTIF(Productos!G:G,C644))</f>
        <v/>
      </c>
      <c r="J644" s="90"/>
    </row>
    <row r="645">
      <c r="A645" s="2" t="str">
        <f t="shared" si="1"/>
        <v/>
      </c>
      <c r="B645" s="4"/>
      <c r="C645" s="4"/>
      <c r="D645" s="3" t="str">
        <f t="shared" si="2"/>
        <v/>
      </c>
      <c r="E645" s="4"/>
      <c r="F645" s="2" t="str">
        <f>IFERROR(__xludf.DUMMYFUNCTION("IF(E645="""","""",IF(COUNTIFS(D$1:D644,D645,E$1:E644,E645)&gt;0,INDEX(filter(F$1:F644,D$1:D644=D645,E$1:E644=E645),1),""Selecciona..""))"),"")</f>
        <v/>
      </c>
      <c r="G645" s="2" t="str">
        <f>IFERROR(__xludf.DUMMYFUNCTION("IF($E645="""","""",IF(COUNTIFS($D$1:$D644,$D645,$E$1:$E644,$E645)&gt;0,INDEX(filter(G$1:G644,$D$1:$D644=$D645,$E$1:$E644=E645),1),""Selecciona..""))"),"")</f>
        <v/>
      </c>
      <c r="H645" s="4" t="str">
        <f>IF(D645="","",COUNTIF(Productos!G:G,C645))</f>
        <v/>
      </c>
      <c r="J645" s="90"/>
    </row>
    <row r="646">
      <c r="A646" s="2" t="str">
        <f t="shared" si="1"/>
        <v/>
      </c>
      <c r="B646" s="4"/>
      <c r="C646" s="4"/>
      <c r="D646" s="3" t="str">
        <f t="shared" si="2"/>
        <v/>
      </c>
      <c r="E646" s="4"/>
      <c r="F646" s="2" t="str">
        <f>IFERROR(__xludf.DUMMYFUNCTION("IF(E646="""","""",IF(COUNTIFS(D$1:D645,D646,E$1:E645,E646)&gt;0,INDEX(filter(F$1:F645,D$1:D645=D646,E$1:E645=E646),1),""Selecciona..""))"),"")</f>
        <v/>
      </c>
      <c r="G646" s="2" t="str">
        <f>IFERROR(__xludf.DUMMYFUNCTION("IF($E646="""","""",IF(COUNTIFS($D$1:$D645,$D646,$E$1:$E645,$E646)&gt;0,INDEX(filter(G$1:G645,$D$1:$D645=$D646,$E$1:$E645=E646),1),""Selecciona..""))"),"")</f>
        <v/>
      </c>
      <c r="H646" s="4" t="str">
        <f>IF(D646="","",COUNTIF(Productos!G:G,C646))</f>
        <v/>
      </c>
      <c r="J646" s="90"/>
    </row>
    <row r="647">
      <c r="A647" s="2" t="str">
        <f t="shared" si="1"/>
        <v/>
      </c>
      <c r="B647" s="4"/>
      <c r="C647" s="4"/>
      <c r="D647" s="3" t="str">
        <f t="shared" si="2"/>
        <v/>
      </c>
      <c r="E647" s="4"/>
      <c r="F647" s="2" t="str">
        <f>IFERROR(__xludf.DUMMYFUNCTION("IF(E647="""","""",IF(COUNTIFS(D$1:D646,D647,E$1:E646,E647)&gt;0,INDEX(filter(F$1:F646,D$1:D646=D647,E$1:E646=E647),1),""Selecciona..""))"),"")</f>
        <v/>
      </c>
      <c r="G647" s="2" t="str">
        <f>IFERROR(__xludf.DUMMYFUNCTION("IF($E647="""","""",IF(COUNTIFS($D$1:$D646,$D647,$E$1:$E646,$E647)&gt;0,INDEX(filter(G$1:G646,$D$1:$D646=$D647,$E$1:$E646=E647),1),""Selecciona..""))"),"")</f>
        <v/>
      </c>
      <c r="H647" s="4" t="str">
        <f>IF(D647="","",COUNTIF(Productos!G:G,C647))</f>
        <v/>
      </c>
      <c r="J647" s="90"/>
    </row>
    <row r="648">
      <c r="A648" s="2" t="str">
        <f t="shared" si="1"/>
        <v/>
      </c>
      <c r="B648" s="4"/>
      <c r="C648" s="4"/>
      <c r="D648" s="3" t="str">
        <f t="shared" si="2"/>
        <v/>
      </c>
      <c r="E648" s="4"/>
      <c r="F648" s="2" t="str">
        <f>IFERROR(__xludf.DUMMYFUNCTION("IF(E648="""","""",IF(COUNTIFS(D$1:D647,D648,E$1:E647,E648)&gt;0,INDEX(filter(F$1:F647,D$1:D647=D648,E$1:E647=E648),1),""Selecciona..""))"),"")</f>
        <v/>
      </c>
      <c r="G648" s="2" t="str">
        <f>IFERROR(__xludf.DUMMYFUNCTION("IF($E648="""","""",IF(COUNTIFS($D$1:$D647,$D648,$E$1:$E647,$E648)&gt;0,INDEX(filter(G$1:G647,$D$1:$D647=$D648,$E$1:$E647=E648),1),""Selecciona..""))"),"")</f>
        <v/>
      </c>
      <c r="H648" s="4" t="str">
        <f>IF(D648="","",COUNTIF(Productos!G:G,C648))</f>
        <v/>
      </c>
      <c r="J648" s="90"/>
    </row>
    <row r="649">
      <c r="A649" s="2" t="str">
        <f t="shared" si="1"/>
        <v/>
      </c>
      <c r="B649" s="4"/>
      <c r="C649" s="4"/>
      <c r="D649" s="3" t="str">
        <f t="shared" si="2"/>
        <v/>
      </c>
      <c r="E649" s="4"/>
      <c r="F649" s="2" t="str">
        <f>IFERROR(__xludf.DUMMYFUNCTION("IF(E649="""","""",IF(COUNTIFS(D$1:D648,D649,E$1:E648,E649)&gt;0,INDEX(filter(F$1:F648,D$1:D648=D649,E$1:E648=E649),1),""Selecciona..""))"),"")</f>
        <v/>
      </c>
      <c r="G649" s="2" t="str">
        <f>IFERROR(__xludf.DUMMYFUNCTION("IF($E649="""","""",IF(COUNTIFS($D$1:$D648,$D649,$E$1:$E648,$E649)&gt;0,INDEX(filter(G$1:G648,$D$1:$D648=$D649,$E$1:$E648=E649),1),""Selecciona..""))"),"")</f>
        <v/>
      </c>
      <c r="H649" s="4" t="str">
        <f>IF(D649="","",COUNTIF(Productos!G:G,C649))</f>
        <v/>
      </c>
      <c r="J649" s="90"/>
    </row>
    <row r="650">
      <c r="A650" s="2" t="str">
        <f t="shared" si="1"/>
        <v/>
      </c>
      <c r="B650" s="4"/>
      <c r="C650" s="4"/>
      <c r="D650" s="3" t="str">
        <f t="shared" si="2"/>
        <v/>
      </c>
      <c r="E650" s="4"/>
      <c r="F650" s="2" t="str">
        <f>IFERROR(__xludf.DUMMYFUNCTION("IF(E650="""","""",IF(COUNTIFS(D$1:D649,D650,E$1:E649,E650)&gt;0,INDEX(filter(F$1:F649,D$1:D649=D650,E$1:E649=E650),1),""Selecciona..""))"),"")</f>
        <v/>
      </c>
      <c r="G650" s="2" t="str">
        <f>IFERROR(__xludf.DUMMYFUNCTION("IF($E650="""","""",IF(COUNTIFS($D$1:$D649,$D650,$E$1:$E649,$E650)&gt;0,INDEX(filter(G$1:G649,$D$1:$D649=$D650,$E$1:$E649=E650),1),""Selecciona..""))"),"")</f>
        <v/>
      </c>
      <c r="H650" s="4" t="str">
        <f>IF(D650="","",COUNTIF(Productos!G:G,C650))</f>
        <v/>
      </c>
      <c r="J650" s="90"/>
    </row>
    <row r="651">
      <c r="A651" s="2" t="str">
        <f t="shared" si="1"/>
        <v/>
      </c>
      <c r="B651" s="4"/>
      <c r="C651" s="4"/>
      <c r="D651" s="3" t="str">
        <f t="shared" si="2"/>
        <v/>
      </c>
      <c r="E651" s="4"/>
      <c r="F651" s="2" t="str">
        <f>IFERROR(__xludf.DUMMYFUNCTION("IF(E651="""","""",IF(COUNTIFS(D$1:D650,D651,E$1:E650,E651)&gt;0,INDEX(filter(F$1:F650,D$1:D650=D651,E$1:E650=E651),1),""Selecciona..""))"),"")</f>
        <v/>
      </c>
      <c r="G651" s="2" t="str">
        <f>IFERROR(__xludf.DUMMYFUNCTION("IF($E651="""","""",IF(COUNTIFS($D$1:$D650,$D651,$E$1:$E650,$E651)&gt;0,INDEX(filter(G$1:G650,$D$1:$D650=$D651,$E$1:$E650=E651),1),""Selecciona..""))"),"")</f>
        <v/>
      </c>
      <c r="H651" s="4" t="str">
        <f>IF(D651="","",COUNTIF(Productos!G:G,C651))</f>
        <v/>
      </c>
      <c r="J651" s="90"/>
    </row>
    <row r="652">
      <c r="A652" s="2" t="str">
        <f t="shared" si="1"/>
        <v/>
      </c>
      <c r="B652" s="4"/>
      <c r="C652" s="4"/>
      <c r="D652" s="3" t="str">
        <f t="shared" si="2"/>
        <v/>
      </c>
      <c r="E652" s="4"/>
      <c r="F652" s="2" t="str">
        <f>IFERROR(__xludf.DUMMYFUNCTION("IF(E652="""","""",IF(COUNTIFS(D$1:D651,D652,E$1:E651,E652)&gt;0,INDEX(filter(F$1:F651,D$1:D651=D652,E$1:E651=E652),1),""Selecciona..""))"),"")</f>
        <v/>
      </c>
      <c r="G652" s="2" t="str">
        <f>IFERROR(__xludf.DUMMYFUNCTION("IF($E652="""","""",IF(COUNTIFS($D$1:$D651,$D652,$E$1:$E651,$E652)&gt;0,INDEX(filter(G$1:G651,$D$1:$D651=$D652,$E$1:$E651=E652),1),""Selecciona..""))"),"")</f>
        <v/>
      </c>
      <c r="H652" s="4" t="str">
        <f>IF(D652="","",COUNTIF(Productos!G:G,C652))</f>
        <v/>
      </c>
      <c r="J652" s="90"/>
    </row>
    <row r="653">
      <c r="A653" s="2" t="str">
        <f t="shared" si="1"/>
        <v/>
      </c>
      <c r="B653" s="4"/>
      <c r="C653" s="4"/>
      <c r="D653" s="3" t="str">
        <f t="shared" si="2"/>
        <v/>
      </c>
      <c r="E653" s="4"/>
      <c r="F653" s="2" t="str">
        <f>IFERROR(__xludf.DUMMYFUNCTION("IF(E653="""","""",IF(COUNTIFS(D$1:D652,D653,E$1:E652,E653)&gt;0,INDEX(filter(F$1:F652,D$1:D652=D653,E$1:E652=E653),1),""Selecciona..""))"),"")</f>
        <v/>
      </c>
      <c r="G653" s="2" t="str">
        <f>IFERROR(__xludf.DUMMYFUNCTION("IF($E653="""","""",IF(COUNTIFS($D$1:$D652,$D653,$E$1:$E652,$E653)&gt;0,INDEX(filter(G$1:G652,$D$1:$D652=$D653,$E$1:$E652=E653),1),""Selecciona..""))"),"")</f>
        <v/>
      </c>
      <c r="H653" s="4" t="str">
        <f>IF(D653="","",COUNTIF(Productos!G:G,C653))</f>
        <v/>
      </c>
      <c r="J653" s="90"/>
    </row>
    <row r="654">
      <c r="A654" s="2" t="str">
        <f t="shared" si="1"/>
        <v/>
      </c>
      <c r="B654" s="4"/>
      <c r="C654" s="4"/>
      <c r="D654" s="3" t="str">
        <f t="shared" si="2"/>
        <v/>
      </c>
      <c r="E654" s="4"/>
      <c r="F654" s="2" t="str">
        <f>IFERROR(__xludf.DUMMYFUNCTION("IF(E654="""","""",IF(COUNTIFS(D$1:D653,D654,E$1:E653,E654)&gt;0,INDEX(filter(F$1:F653,D$1:D653=D654,E$1:E653=E654),1),""Selecciona..""))"),"")</f>
        <v/>
      </c>
      <c r="G654" s="2" t="str">
        <f>IFERROR(__xludf.DUMMYFUNCTION("IF($E654="""","""",IF(COUNTIFS($D$1:$D653,$D654,$E$1:$E653,$E654)&gt;0,INDEX(filter(G$1:G653,$D$1:$D653=$D654,$E$1:$E653=E654),1),""Selecciona..""))"),"")</f>
        <v/>
      </c>
      <c r="H654" s="4" t="str">
        <f>IF(D654="","",COUNTIF(Productos!G:G,C654))</f>
        <v/>
      </c>
      <c r="J654" s="90"/>
    </row>
    <row r="655">
      <c r="A655" s="2" t="str">
        <f t="shared" si="1"/>
        <v/>
      </c>
      <c r="B655" s="4"/>
      <c r="C655" s="4"/>
      <c r="D655" s="3" t="str">
        <f t="shared" si="2"/>
        <v/>
      </c>
      <c r="E655" s="4"/>
      <c r="F655" s="2" t="str">
        <f>IFERROR(__xludf.DUMMYFUNCTION("IF(E655="""","""",IF(COUNTIFS(D$1:D654,D655,E$1:E654,E655)&gt;0,INDEX(filter(F$1:F654,D$1:D654=D655,E$1:E654=E655),1),""Selecciona..""))"),"")</f>
        <v/>
      </c>
      <c r="G655" s="2" t="str">
        <f>IFERROR(__xludf.DUMMYFUNCTION("IF($E655="""","""",IF(COUNTIFS($D$1:$D654,$D655,$E$1:$E654,$E655)&gt;0,INDEX(filter(G$1:G654,$D$1:$D654=$D655,$E$1:$E654=E655),1),""Selecciona..""))"),"")</f>
        <v/>
      </c>
      <c r="H655" s="4" t="str">
        <f>IF(D655="","",COUNTIF(Productos!G:G,C655))</f>
        <v/>
      </c>
      <c r="J655" s="90"/>
    </row>
    <row r="656">
      <c r="A656" s="2" t="str">
        <f t="shared" si="1"/>
        <v/>
      </c>
      <c r="B656" s="4"/>
      <c r="C656" s="4"/>
      <c r="D656" s="3" t="str">
        <f t="shared" si="2"/>
        <v/>
      </c>
      <c r="E656" s="4"/>
      <c r="F656" s="2" t="str">
        <f>IFERROR(__xludf.DUMMYFUNCTION("IF(E656="""","""",IF(COUNTIFS(D$1:D655,D656,E$1:E655,E656)&gt;0,INDEX(filter(F$1:F655,D$1:D655=D656,E$1:E655=E656),1),""Selecciona..""))"),"")</f>
        <v/>
      </c>
      <c r="G656" s="2" t="str">
        <f>IFERROR(__xludf.DUMMYFUNCTION("IF($E656="""","""",IF(COUNTIFS($D$1:$D655,$D656,$E$1:$E655,$E656)&gt;0,INDEX(filter(G$1:G655,$D$1:$D655=$D656,$E$1:$E655=E656),1),""Selecciona..""))"),"")</f>
        <v/>
      </c>
      <c r="H656" s="4" t="str">
        <f>IF(D656="","",COUNTIF(Productos!G:G,C656))</f>
        <v/>
      </c>
      <c r="J656" s="90"/>
    </row>
    <row r="657">
      <c r="A657" s="2" t="str">
        <f t="shared" si="1"/>
        <v/>
      </c>
      <c r="B657" s="4"/>
      <c r="C657" s="4"/>
      <c r="D657" s="3" t="str">
        <f t="shared" si="2"/>
        <v/>
      </c>
      <c r="E657" s="4"/>
      <c r="F657" s="2" t="str">
        <f>IFERROR(__xludf.DUMMYFUNCTION("IF(E657="""","""",IF(COUNTIFS(D$1:D656,D657,E$1:E656,E657)&gt;0,INDEX(filter(F$1:F656,D$1:D656=D657,E$1:E656=E657),1),""Selecciona..""))"),"")</f>
        <v/>
      </c>
      <c r="G657" s="2" t="str">
        <f>IFERROR(__xludf.DUMMYFUNCTION("IF($E657="""","""",IF(COUNTIFS($D$1:$D656,$D657,$E$1:$E656,$E657)&gt;0,INDEX(filter(G$1:G656,$D$1:$D656=$D657,$E$1:$E656=E657),1),""Selecciona..""))"),"")</f>
        <v/>
      </c>
      <c r="H657" s="4" t="str">
        <f>IF(D657="","",COUNTIF(Productos!G:G,C657))</f>
        <v/>
      </c>
      <c r="J657" s="90"/>
    </row>
    <row r="658">
      <c r="A658" s="2" t="str">
        <f t="shared" si="1"/>
        <v/>
      </c>
      <c r="B658" s="4"/>
      <c r="C658" s="4"/>
      <c r="D658" s="3" t="str">
        <f t="shared" si="2"/>
        <v/>
      </c>
      <c r="E658" s="4"/>
      <c r="F658" s="2" t="str">
        <f>IFERROR(__xludf.DUMMYFUNCTION("IF(E658="""","""",IF(COUNTIFS(D$1:D657,D658,E$1:E657,E658)&gt;0,INDEX(filter(F$1:F657,D$1:D657=D658,E$1:E657=E658),1),""Selecciona..""))"),"")</f>
        <v/>
      </c>
      <c r="G658" s="2" t="str">
        <f>IFERROR(__xludf.DUMMYFUNCTION("IF($E658="""","""",IF(COUNTIFS($D$1:$D657,$D658,$E$1:$E657,$E658)&gt;0,INDEX(filter(G$1:G657,$D$1:$D657=$D658,$E$1:$E657=E658),1),""Selecciona..""))"),"")</f>
        <v/>
      </c>
      <c r="H658" s="4" t="str">
        <f>IF(D658="","",COUNTIF(Productos!G:G,C658))</f>
        <v/>
      </c>
      <c r="J658" s="90"/>
    </row>
    <row r="659">
      <c r="A659" s="2" t="str">
        <f t="shared" si="1"/>
        <v/>
      </c>
      <c r="B659" s="4"/>
      <c r="C659" s="4"/>
      <c r="D659" s="3" t="str">
        <f t="shared" si="2"/>
        <v/>
      </c>
      <c r="E659" s="4"/>
      <c r="F659" s="2" t="str">
        <f>IFERROR(__xludf.DUMMYFUNCTION("IF(E659="""","""",IF(COUNTIFS(D$1:D658,D659,E$1:E658,E659)&gt;0,INDEX(filter(F$1:F658,D$1:D658=D659,E$1:E658=E659),1),""Selecciona..""))"),"")</f>
        <v/>
      </c>
      <c r="G659" s="2" t="str">
        <f>IFERROR(__xludf.DUMMYFUNCTION("IF($E659="""","""",IF(COUNTIFS($D$1:$D658,$D659,$E$1:$E658,$E659)&gt;0,INDEX(filter(G$1:G658,$D$1:$D658=$D659,$E$1:$E658=E659),1),""Selecciona..""))"),"")</f>
        <v/>
      </c>
      <c r="H659" s="4" t="str">
        <f>IF(D659="","",COUNTIF(Productos!G:G,C659))</f>
        <v/>
      </c>
      <c r="J659" s="90"/>
    </row>
    <row r="660">
      <c r="A660" s="2" t="str">
        <f t="shared" si="1"/>
        <v/>
      </c>
      <c r="B660" s="4"/>
      <c r="C660" s="4"/>
      <c r="D660" s="3" t="str">
        <f t="shared" si="2"/>
        <v/>
      </c>
      <c r="E660" s="4"/>
      <c r="F660" s="2" t="str">
        <f>IFERROR(__xludf.DUMMYFUNCTION("IF(E660="""","""",IF(COUNTIFS(D$1:D659,D660,E$1:E659,E660)&gt;0,INDEX(filter(F$1:F659,D$1:D659=D660,E$1:E659=E660),1),""Selecciona..""))"),"")</f>
        <v/>
      </c>
      <c r="G660" s="2" t="str">
        <f>IFERROR(__xludf.DUMMYFUNCTION("IF($E660="""","""",IF(COUNTIFS($D$1:$D659,$D660,$E$1:$E659,$E660)&gt;0,INDEX(filter(G$1:G659,$D$1:$D659=$D660,$E$1:$E659=E660),1),""Selecciona..""))"),"")</f>
        <v/>
      </c>
      <c r="H660" s="4" t="str">
        <f>IF(D660="","",COUNTIF(Productos!G:G,C660))</f>
        <v/>
      </c>
      <c r="J660" s="90"/>
    </row>
    <row r="661">
      <c r="A661" s="2" t="str">
        <f t="shared" si="1"/>
        <v/>
      </c>
      <c r="B661" s="4"/>
      <c r="C661" s="4"/>
      <c r="D661" s="3" t="str">
        <f t="shared" si="2"/>
        <v/>
      </c>
      <c r="E661" s="4"/>
      <c r="F661" s="2" t="str">
        <f>IFERROR(__xludf.DUMMYFUNCTION("IF(E661="""","""",IF(COUNTIFS(D$1:D660,D661,E$1:E660,E661)&gt;0,INDEX(filter(F$1:F660,D$1:D660=D661,E$1:E660=E661),1),""Selecciona..""))"),"")</f>
        <v/>
      </c>
      <c r="G661" s="2" t="str">
        <f>IFERROR(__xludf.DUMMYFUNCTION("IF($E661="""","""",IF(COUNTIFS($D$1:$D660,$D661,$E$1:$E660,$E661)&gt;0,INDEX(filter(G$1:G660,$D$1:$D660=$D661,$E$1:$E660=E661),1),""Selecciona..""))"),"")</f>
        <v/>
      </c>
      <c r="H661" s="4" t="str">
        <f>IF(D661="","",COUNTIF(Productos!G:G,C661))</f>
        <v/>
      </c>
      <c r="J661" s="90"/>
    </row>
    <row r="662">
      <c r="A662" s="2" t="str">
        <f t="shared" si="1"/>
        <v/>
      </c>
      <c r="B662" s="4"/>
      <c r="C662" s="4"/>
      <c r="D662" s="3" t="str">
        <f t="shared" si="2"/>
        <v/>
      </c>
      <c r="E662" s="4"/>
      <c r="F662" s="2" t="str">
        <f>IFERROR(__xludf.DUMMYFUNCTION("IF(E662="""","""",IF(COUNTIFS(D$1:D661,D662,E$1:E661,E662)&gt;0,INDEX(filter(F$1:F661,D$1:D661=D662,E$1:E661=E662),1),""Selecciona..""))"),"")</f>
        <v/>
      </c>
      <c r="G662" s="2" t="str">
        <f>IFERROR(__xludf.DUMMYFUNCTION("IF($E662="""","""",IF(COUNTIFS($D$1:$D661,$D662,$E$1:$E661,$E662)&gt;0,INDEX(filter(G$1:G661,$D$1:$D661=$D662,$E$1:$E661=E662),1),""Selecciona..""))"),"")</f>
        <v/>
      </c>
      <c r="H662" s="4" t="str">
        <f>IF(D662="","",COUNTIF(Productos!G:G,C662))</f>
        <v/>
      </c>
      <c r="J662" s="90"/>
    </row>
    <row r="663">
      <c r="A663" s="2" t="str">
        <f t="shared" si="1"/>
        <v/>
      </c>
      <c r="B663" s="4"/>
      <c r="C663" s="4"/>
      <c r="D663" s="3" t="str">
        <f t="shared" si="2"/>
        <v/>
      </c>
      <c r="E663" s="4"/>
      <c r="F663" s="2" t="str">
        <f>IFERROR(__xludf.DUMMYFUNCTION("IF(E663="""","""",IF(COUNTIFS(D$1:D662,D663,E$1:E662,E663)&gt;0,INDEX(filter(F$1:F662,D$1:D662=D663,E$1:E662=E663),1),""Selecciona..""))"),"")</f>
        <v/>
      </c>
      <c r="G663" s="2" t="str">
        <f>IFERROR(__xludf.DUMMYFUNCTION("IF($E663="""","""",IF(COUNTIFS($D$1:$D662,$D663,$E$1:$E662,$E663)&gt;0,INDEX(filter(G$1:G662,$D$1:$D662=$D663,$E$1:$E662=E663),1),""Selecciona..""))"),"")</f>
        <v/>
      </c>
      <c r="H663" s="4" t="str">
        <f>IF(D663="","",COUNTIF(Productos!G:G,C663))</f>
        <v/>
      </c>
      <c r="J663" s="90"/>
    </row>
    <row r="664">
      <c r="A664" s="2" t="str">
        <f t="shared" si="1"/>
        <v/>
      </c>
      <c r="B664" s="4"/>
      <c r="C664" s="4"/>
      <c r="D664" s="3" t="str">
        <f t="shared" si="2"/>
        <v/>
      </c>
      <c r="E664" s="4"/>
      <c r="F664" s="2" t="str">
        <f>IFERROR(__xludf.DUMMYFUNCTION("IF(E664="""","""",IF(COUNTIFS(D$1:D663,D664,E$1:E663,E664)&gt;0,INDEX(filter(F$1:F663,D$1:D663=D664,E$1:E663=E664),1),""Selecciona..""))"),"")</f>
        <v/>
      </c>
      <c r="G664" s="2" t="str">
        <f>IFERROR(__xludf.DUMMYFUNCTION("IF($E664="""","""",IF(COUNTIFS($D$1:$D663,$D664,$E$1:$E663,$E664)&gt;0,INDEX(filter(G$1:G663,$D$1:$D663=$D664,$E$1:$E663=E664),1),""Selecciona..""))"),"")</f>
        <v/>
      </c>
      <c r="H664" s="4" t="str">
        <f>IF(D664="","",COUNTIF(Productos!G:G,C664))</f>
        <v/>
      </c>
      <c r="J664" s="90"/>
    </row>
    <row r="665">
      <c r="A665" s="2" t="str">
        <f t="shared" si="1"/>
        <v/>
      </c>
      <c r="B665" s="4"/>
      <c r="C665" s="4"/>
      <c r="D665" s="3" t="str">
        <f t="shared" si="2"/>
        <v/>
      </c>
      <c r="E665" s="4"/>
      <c r="F665" s="2" t="str">
        <f>IFERROR(__xludf.DUMMYFUNCTION("IF(E665="""","""",IF(COUNTIFS(D$1:D664,D665,E$1:E664,E665)&gt;0,INDEX(filter(F$1:F664,D$1:D664=D665,E$1:E664=E665),1),""Selecciona..""))"),"")</f>
        <v/>
      </c>
      <c r="G665" s="2" t="str">
        <f>IFERROR(__xludf.DUMMYFUNCTION("IF($E665="""","""",IF(COUNTIFS($D$1:$D664,$D665,$E$1:$E664,$E665)&gt;0,INDEX(filter(G$1:G664,$D$1:$D664=$D665,$E$1:$E664=E665),1),""Selecciona..""))"),"")</f>
        <v/>
      </c>
      <c r="H665" s="4" t="str">
        <f>IF(D665="","",COUNTIF(Productos!G:G,C665))</f>
        <v/>
      </c>
      <c r="J665" s="90"/>
    </row>
    <row r="666">
      <c r="A666" s="2" t="str">
        <f t="shared" si="1"/>
        <v/>
      </c>
      <c r="B666" s="4"/>
      <c r="C666" s="4"/>
      <c r="D666" s="3" t="str">
        <f t="shared" si="2"/>
        <v/>
      </c>
      <c r="E666" s="4"/>
      <c r="F666" s="2" t="str">
        <f>IFERROR(__xludf.DUMMYFUNCTION("IF(E666="""","""",IF(COUNTIFS(D$1:D665,D666,E$1:E665,E666)&gt;0,INDEX(filter(F$1:F665,D$1:D665=D666,E$1:E665=E666),1),""Selecciona..""))"),"")</f>
        <v/>
      </c>
      <c r="G666" s="2" t="str">
        <f>IFERROR(__xludf.DUMMYFUNCTION("IF($E666="""","""",IF(COUNTIFS($D$1:$D665,$D666,$E$1:$E665,$E666)&gt;0,INDEX(filter(G$1:G665,$D$1:$D665=$D666,$E$1:$E665=E666),1),""Selecciona..""))"),"")</f>
        <v/>
      </c>
      <c r="H666" s="4" t="str">
        <f>IF(D666="","",COUNTIF(Productos!G:G,C666))</f>
        <v/>
      </c>
      <c r="J666" s="90"/>
    </row>
    <row r="667">
      <c r="A667" s="2" t="str">
        <f t="shared" si="1"/>
        <v/>
      </c>
      <c r="B667" s="4"/>
      <c r="C667" s="4"/>
      <c r="D667" s="3" t="str">
        <f t="shared" si="2"/>
        <v/>
      </c>
      <c r="E667" s="4"/>
      <c r="F667" s="2" t="str">
        <f>IFERROR(__xludf.DUMMYFUNCTION("IF(E667="""","""",IF(COUNTIFS(D$1:D666,D667,E$1:E666,E667)&gt;0,INDEX(filter(F$1:F666,D$1:D666=D667,E$1:E666=E667),1),""Selecciona..""))"),"")</f>
        <v/>
      </c>
      <c r="G667" s="2" t="str">
        <f>IFERROR(__xludf.DUMMYFUNCTION("IF($E667="""","""",IF(COUNTIFS($D$1:$D666,$D667,$E$1:$E666,$E667)&gt;0,INDEX(filter(G$1:G666,$D$1:$D666=$D667,$E$1:$E666=E667),1),""Selecciona..""))"),"")</f>
        <v/>
      </c>
      <c r="H667" s="4" t="str">
        <f>IF(D667="","",COUNTIF(Productos!G:G,C667))</f>
        <v/>
      </c>
      <c r="J667" s="90"/>
    </row>
    <row r="668">
      <c r="A668" s="2" t="str">
        <f t="shared" si="1"/>
        <v/>
      </c>
      <c r="B668" s="4"/>
      <c r="C668" s="4"/>
      <c r="D668" s="3" t="str">
        <f t="shared" si="2"/>
        <v/>
      </c>
      <c r="E668" s="4"/>
      <c r="F668" s="2" t="str">
        <f>IFERROR(__xludf.DUMMYFUNCTION("IF(E668="""","""",IF(COUNTIFS(D$1:D667,D668,E$1:E667,E668)&gt;0,INDEX(filter(F$1:F667,D$1:D667=D668,E$1:E667=E668),1),""Selecciona..""))"),"")</f>
        <v/>
      </c>
      <c r="G668" s="2" t="str">
        <f>IFERROR(__xludf.DUMMYFUNCTION("IF($E668="""","""",IF(COUNTIFS($D$1:$D667,$D668,$E$1:$E667,$E668)&gt;0,INDEX(filter(G$1:G667,$D$1:$D667=$D668,$E$1:$E667=E668),1),""Selecciona..""))"),"")</f>
        <v/>
      </c>
      <c r="H668" s="4" t="str">
        <f>IF(D668="","",COUNTIF(Productos!G:G,C668))</f>
        <v/>
      </c>
      <c r="J668" s="90"/>
    </row>
    <row r="669">
      <c r="A669" s="2" t="str">
        <f t="shared" si="1"/>
        <v/>
      </c>
      <c r="B669" s="4"/>
      <c r="C669" s="4"/>
      <c r="D669" s="3" t="str">
        <f t="shared" si="2"/>
        <v/>
      </c>
      <c r="E669" s="4"/>
      <c r="F669" s="2" t="str">
        <f>IFERROR(__xludf.DUMMYFUNCTION("IF(E669="""","""",IF(COUNTIFS(D$1:D668,D669,E$1:E668,E669)&gt;0,INDEX(filter(F$1:F668,D$1:D668=D669,E$1:E668=E669),1),""Selecciona..""))"),"")</f>
        <v/>
      </c>
      <c r="G669" s="2" t="str">
        <f>IFERROR(__xludf.DUMMYFUNCTION("IF($E669="""","""",IF(COUNTIFS($D$1:$D668,$D669,$E$1:$E668,$E669)&gt;0,INDEX(filter(G$1:G668,$D$1:$D668=$D669,$E$1:$E668=E669),1),""Selecciona..""))"),"")</f>
        <v/>
      </c>
      <c r="H669" s="4" t="str">
        <f>IF(D669="","",COUNTIF(Productos!G:G,C669))</f>
        <v/>
      </c>
      <c r="J669" s="90"/>
    </row>
    <row r="670">
      <c r="A670" s="2" t="str">
        <f t="shared" si="1"/>
        <v/>
      </c>
      <c r="B670" s="4"/>
      <c r="C670" s="4"/>
      <c r="D670" s="3" t="str">
        <f t="shared" si="2"/>
        <v/>
      </c>
      <c r="E670" s="4"/>
      <c r="F670" s="2" t="str">
        <f>IFERROR(__xludf.DUMMYFUNCTION("IF(E670="""","""",IF(COUNTIFS(D$1:D669,D670,E$1:E669,E670)&gt;0,INDEX(filter(F$1:F669,D$1:D669=D670,E$1:E669=E670),1),""Selecciona..""))"),"")</f>
        <v/>
      </c>
      <c r="G670" s="2" t="str">
        <f>IFERROR(__xludf.DUMMYFUNCTION("IF($E670="""","""",IF(COUNTIFS($D$1:$D669,$D670,$E$1:$E669,$E670)&gt;0,INDEX(filter(G$1:G669,$D$1:$D669=$D670,$E$1:$E669=E670),1),""Selecciona..""))"),"")</f>
        <v/>
      </c>
      <c r="H670" s="4" t="str">
        <f>IF(D670="","",COUNTIF(Productos!G:G,C670))</f>
        <v/>
      </c>
      <c r="J670" s="90"/>
    </row>
    <row r="671">
      <c r="A671" s="2" t="str">
        <f t="shared" si="1"/>
        <v/>
      </c>
      <c r="B671" s="4"/>
      <c r="C671" s="4"/>
      <c r="D671" s="3" t="str">
        <f t="shared" si="2"/>
        <v/>
      </c>
      <c r="E671" s="4"/>
      <c r="F671" s="2" t="str">
        <f>IFERROR(__xludf.DUMMYFUNCTION("IF(E671="""","""",IF(COUNTIFS(D$1:D670,D671,E$1:E670,E671)&gt;0,INDEX(filter(F$1:F670,D$1:D670=D671,E$1:E670=E671),1),""Selecciona..""))"),"")</f>
        <v/>
      </c>
      <c r="G671" s="2" t="str">
        <f>IFERROR(__xludf.DUMMYFUNCTION("IF($E671="""","""",IF(COUNTIFS($D$1:$D670,$D671,$E$1:$E670,$E671)&gt;0,INDEX(filter(G$1:G670,$D$1:$D670=$D671,$E$1:$E670=E671),1),""Selecciona..""))"),"")</f>
        <v/>
      </c>
      <c r="H671" s="4" t="str">
        <f>IF(D671="","",COUNTIF(Productos!G:G,C671))</f>
        <v/>
      </c>
      <c r="J671" s="90"/>
    </row>
    <row r="672">
      <c r="A672" s="2" t="str">
        <f t="shared" si="1"/>
        <v/>
      </c>
      <c r="B672" s="4"/>
      <c r="C672" s="4"/>
      <c r="D672" s="3" t="str">
        <f t="shared" si="2"/>
        <v/>
      </c>
      <c r="E672" s="4"/>
      <c r="F672" s="2" t="str">
        <f>IFERROR(__xludf.DUMMYFUNCTION("IF(E672="""","""",IF(COUNTIFS(D$1:D671,D672,E$1:E671,E672)&gt;0,INDEX(filter(F$1:F671,D$1:D671=D672,E$1:E671=E672),1),""Selecciona..""))"),"")</f>
        <v/>
      </c>
      <c r="G672" s="2" t="str">
        <f>IFERROR(__xludf.DUMMYFUNCTION("IF($E672="""","""",IF(COUNTIFS($D$1:$D671,$D672,$E$1:$E671,$E672)&gt;0,INDEX(filter(G$1:G671,$D$1:$D671=$D672,$E$1:$E671=E672),1),""Selecciona..""))"),"")</f>
        <v/>
      </c>
      <c r="H672" s="4" t="str">
        <f>IF(D672="","",COUNTIF(Productos!G:G,C672))</f>
        <v/>
      </c>
      <c r="J672" s="90"/>
    </row>
    <row r="673">
      <c r="A673" s="2" t="str">
        <f t="shared" si="1"/>
        <v/>
      </c>
      <c r="B673" s="4"/>
      <c r="C673" s="4"/>
      <c r="D673" s="3" t="str">
        <f t="shared" si="2"/>
        <v/>
      </c>
      <c r="E673" s="4"/>
      <c r="F673" s="2" t="str">
        <f>IFERROR(__xludf.DUMMYFUNCTION("IF(E673="""","""",IF(COUNTIFS(D$1:D672,D673,E$1:E672,E673)&gt;0,INDEX(filter(F$1:F672,D$1:D672=D673,E$1:E672=E673),1),""Selecciona..""))"),"")</f>
        <v/>
      </c>
      <c r="G673" s="2" t="str">
        <f>IFERROR(__xludf.DUMMYFUNCTION("IF($E673="""","""",IF(COUNTIFS($D$1:$D672,$D673,$E$1:$E672,$E673)&gt;0,INDEX(filter(G$1:G672,$D$1:$D672=$D673,$E$1:$E672=E673),1),""Selecciona..""))"),"")</f>
        <v/>
      </c>
      <c r="H673" s="4" t="str">
        <f>IF(D673="","",COUNTIF(Productos!G:G,C673))</f>
        <v/>
      </c>
      <c r="J673" s="90"/>
    </row>
    <row r="674">
      <c r="A674" s="2" t="str">
        <f t="shared" si="1"/>
        <v/>
      </c>
      <c r="B674" s="4"/>
      <c r="C674" s="4"/>
      <c r="D674" s="3" t="str">
        <f t="shared" si="2"/>
        <v/>
      </c>
      <c r="E674" s="4"/>
      <c r="F674" s="2" t="str">
        <f>IFERROR(__xludf.DUMMYFUNCTION("IF(E674="""","""",IF(COUNTIFS(D$1:D673,D674,E$1:E673,E674)&gt;0,INDEX(filter(F$1:F673,D$1:D673=D674,E$1:E673=E674),1),""Selecciona..""))"),"")</f>
        <v/>
      </c>
      <c r="G674" s="2" t="str">
        <f>IFERROR(__xludf.DUMMYFUNCTION("IF($E674="""","""",IF(COUNTIFS($D$1:$D673,$D674,$E$1:$E673,$E674)&gt;0,INDEX(filter(G$1:G673,$D$1:$D673=$D674,$E$1:$E673=E674),1),""Selecciona..""))"),"")</f>
        <v/>
      </c>
      <c r="H674" s="4" t="str">
        <f>IF(D674="","",COUNTIF(Productos!G:G,C674))</f>
        <v/>
      </c>
      <c r="J674" s="90"/>
    </row>
    <row r="675">
      <c r="A675" s="2" t="str">
        <f t="shared" si="1"/>
        <v/>
      </c>
      <c r="B675" s="4"/>
      <c r="C675" s="4"/>
      <c r="D675" s="3" t="str">
        <f t="shared" si="2"/>
        <v/>
      </c>
      <c r="E675" s="4"/>
      <c r="F675" s="2" t="str">
        <f>IFERROR(__xludf.DUMMYFUNCTION("IF(E675="""","""",IF(COUNTIFS(D$1:D674,D675,E$1:E674,E675)&gt;0,INDEX(filter(F$1:F674,D$1:D674=D675,E$1:E674=E675),1),""Selecciona..""))"),"")</f>
        <v/>
      </c>
      <c r="G675" s="2" t="str">
        <f>IFERROR(__xludf.DUMMYFUNCTION("IF($E675="""","""",IF(COUNTIFS($D$1:$D674,$D675,$E$1:$E674,$E675)&gt;0,INDEX(filter(G$1:G674,$D$1:$D674=$D675,$E$1:$E674=E675),1),""Selecciona..""))"),"")</f>
        <v/>
      </c>
      <c r="H675" s="4" t="str">
        <f>IF(D675="","",COUNTIF(Productos!G:G,C675))</f>
        <v/>
      </c>
      <c r="J675" s="90"/>
    </row>
    <row r="676">
      <c r="A676" s="2" t="str">
        <f t="shared" si="1"/>
        <v/>
      </c>
      <c r="B676" s="4"/>
      <c r="C676" s="4"/>
      <c r="D676" s="3" t="str">
        <f t="shared" si="2"/>
        <v/>
      </c>
      <c r="E676" s="4"/>
      <c r="F676" s="2" t="str">
        <f>IFERROR(__xludf.DUMMYFUNCTION("IF(E676="""","""",IF(COUNTIFS(D$1:D675,D676,E$1:E675,E676)&gt;0,INDEX(filter(F$1:F675,D$1:D675=D676,E$1:E675=E676),1),""Selecciona..""))"),"")</f>
        <v/>
      </c>
      <c r="G676" s="2" t="str">
        <f>IFERROR(__xludf.DUMMYFUNCTION("IF($E676="""","""",IF(COUNTIFS($D$1:$D675,$D676,$E$1:$E675,$E676)&gt;0,INDEX(filter(G$1:G675,$D$1:$D675=$D676,$E$1:$E675=E676),1),""Selecciona..""))"),"")</f>
        <v/>
      </c>
      <c r="H676" s="4" t="str">
        <f>IF(D676="","",COUNTIF(Productos!G:G,C676))</f>
        <v/>
      </c>
      <c r="J676" s="90"/>
    </row>
    <row r="677">
      <c r="A677" s="2" t="str">
        <f t="shared" si="1"/>
        <v/>
      </c>
      <c r="B677" s="4"/>
      <c r="C677" s="4"/>
      <c r="D677" s="3" t="str">
        <f t="shared" si="2"/>
        <v/>
      </c>
      <c r="E677" s="4"/>
      <c r="F677" s="2" t="str">
        <f>IFERROR(__xludf.DUMMYFUNCTION("IF(E677="""","""",IF(COUNTIFS(D$1:D676,D677,E$1:E676,E677)&gt;0,INDEX(filter(F$1:F676,D$1:D676=D677,E$1:E676=E677),1),""Selecciona..""))"),"")</f>
        <v/>
      </c>
      <c r="G677" s="2" t="str">
        <f>IFERROR(__xludf.DUMMYFUNCTION("IF($E677="""","""",IF(COUNTIFS($D$1:$D676,$D677,$E$1:$E676,$E677)&gt;0,INDEX(filter(G$1:G676,$D$1:$D676=$D677,$E$1:$E676=E677),1),""Selecciona..""))"),"")</f>
        <v/>
      </c>
      <c r="H677" s="4" t="str">
        <f>IF(D677="","",COUNTIF(Productos!G:G,C677))</f>
        <v/>
      </c>
      <c r="J677" s="90"/>
    </row>
    <row r="678">
      <c r="A678" s="2" t="str">
        <f t="shared" si="1"/>
        <v/>
      </c>
      <c r="B678" s="4"/>
      <c r="C678" s="4"/>
      <c r="D678" s="3" t="str">
        <f t="shared" si="2"/>
        <v/>
      </c>
      <c r="E678" s="4"/>
      <c r="F678" s="2" t="str">
        <f>IFERROR(__xludf.DUMMYFUNCTION("IF(E678="""","""",IF(COUNTIFS(D$1:D677,D678,E$1:E677,E678)&gt;0,INDEX(filter(F$1:F677,D$1:D677=D678,E$1:E677=E678),1),""Selecciona..""))"),"")</f>
        <v/>
      </c>
      <c r="G678" s="2" t="str">
        <f>IFERROR(__xludf.DUMMYFUNCTION("IF($E678="""","""",IF(COUNTIFS($D$1:$D677,$D678,$E$1:$E677,$E678)&gt;0,INDEX(filter(G$1:G677,$D$1:$D677=$D678,$E$1:$E677=E678),1),""Selecciona..""))"),"")</f>
        <v/>
      </c>
      <c r="H678" s="4" t="str">
        <f>IF(D678="","",COUNTIF(Productos!G:G,C678))</f>
        <v/>
      </c>
      <c r="J678" s="90"/>
    </row>
    <row r="679">
      <c r="A679" s="2" t="str">
        <f t="shared" si="1"/>
        <v/>
      </c>
      <c r="B679" s="4"/>
      <c r="C679" s="4"/>
      <c r="D679" s="3" t="str">
        <f t="shared" si="2"/>
        <v/>
      </c>
      <c r="E679" s="4"/>
      <c r="F679" s="2" t="str">
        <f>IFERROR(__xludf.DUMMYFUNCTION("IF(E679="""","""",IF(COUNTIFS(D$1:D678,D679,E$1:E678,E679)&gt;0,INDEX(filter(F$1:F678,D$1:D678=D679,E$1:E678=E679),1),""Selecciona..""))"),"")</f>
        <v/>
      </c>
      <c r="G679" s="2" t="str">
        <f>IFERROR(__xludf.DUMMYFUNCTION("IF($E679="""","""",IF(COUNTIFS($D$1:$D678,$D679,$E$1:$E678,$E679)&gt;0,INDEX(filter(G$1:G678,$D$1:$D678=$D679,$E$1:$E678=E679),1),""Selecciona..""))"),"")</f>
        <v/>
      </c>
      <c r="H679" s="4" t="str">
        <f>IF(D679="","",COUNTIF(Productos!G:G,C679))</f>
        <v/>
      </c>
      <c r="J679" s="90"/>
    </row>
    <row r="680">
      <c r="A680" s="2" t="str">
        <f t="shared" si="1"/>
        <v/>
      </c>
      <c r="B680" s="4"/>
      <c r="C680" s="4"/>
      <c r="D680" s="3" t="str">
        <f t="shared" si="2"/>
        <v/>
      </c>
      <c r="E680" s="4"/>
      <c r="F680" s="2" t="str">
        <f>IFERROR(__xludf.DUMMYFUNCTION("IF(E680="""","""",IF(COUNTIFS(D$1:D679,D680,E$1:E679,E680)&gt;0,INDEX(filter(F$1:F679,D$1:D679=D680,E$1:E679=E680),1),""Selecciona..""))"),"")</f>
        <v/>
      </c>
      <c r="G680" s="2" t="str">
        <f>IFERROR(__xludf.DUMMYFUNCTION("IF($E680="""","""",IF(COUNTIFS($D$1:$D679,$D680,$E$1:$E679,$E680)&gt;0,INDEX(filter(G$1:G679,$D$1:$D679=$D680,$E$1:$E679=E680),1),""Selecciona..""))"),"")</f>
        <v/>
      </c>
      <c r="H680" s="4" t="str">
        <f>IF(D680="","",COUNTIF(Productos!G:G,C680))</f>
        <v/>
      </c>
      <c r="J680" s="90"/>
    </row>
    <row r="681">
      <c r="A681" s="2" t="str">
        <f t="shared" si="1"/>
        <v/>
      </c>
      <c r="B681" s="4"/>
      <c r="C681" s="4"/>
      <c r="D681" s="3" t="str">
        <f t="shared" si="2"/>
        <v/>
      </c>
      <c r="E681" s="4"/>
      <c r="F681" s="2" t="str">
        <f>IFERROR(__xludf.DUMMYFUNCTION("IF(E681="""","""",IF(COUNTIFS(D$1:D680,D681,E$1:E680,E681)&gt;0,INDEX(filter(F$1:F680,D$1:D680=D681,E$1:E680=E681),1),""Selecciona..""))"),"")</f>
        <v/>
      </c>
      <c r="G681" s="2" t="str">
        <f>IFERROR(__xludf.DUMMYFUNCTION("IF($E681="""","""",IF(COUNTIFS($D$1:$D680,$D681,$E$1:$E680,$E681)&gt;0,INDEX(filter(G$1:G680,$D$1:$D680=$D681,$E$1:$E680=E681),1),""Selecciona..""))"),"")</f>
        <v/>
      </c>
      <c r="H681" s="4" t="str">
        <f>IF(D681="","",COUNTIF(Productos!G:G,C681))</f>
        <v/>
      </c>
      <c r="J681" s="90"/>
    </row>
    <row r="682">
      <c r="A682" s="2" t="str">
        <f t="shared" si="1"/>
        <v/>
      </c>
      <c r="B682" s="4"/>
      <c r="C682" s="4"/>
      <c r="D682" s="3" t="str">
        <f t="shared" si="2"/>
        <v/>
      </c>
      <c r="E682" s="4"/>
      <c r="F682" s="2" t="str">
        <f>IFERROR(__xludf.DUMMYFUNCTION("IF(E682="""","""",IF(COUNTIFS(D$1:D681,D682,E$1:E681,E682)&gt;0,INDEX(filter(F$1:F681,D$1:D681=D682,E$1:E681=E682),1),""Selecciona..""))"),"")</f>
        <v/>
      </c>
      <c r="G682" s="2" t="str">
        <f>IFERROR(__xludf.DUMMYFUNCTION("IF($E682="""","""",IF(COUNTIFS($D$1:$D681,$D682,$E$1:$E681,$E682)&gt;0,INDEX(filter(G$1:G681,$D$1:$D681=$D682,$E$1:$E681=E682),1),""Selecciona..""))"),"")</f>
        <v/>
      </c>
      <c r="H682" s="4" t="str">
        <f>IF(D682="","",COUNTIF(Productos!G:G,C682))</f>
        <v/>
      </c>
      <c r="J682" s="90"/>
    </row>
    <row r="683">
      <c r="A683" s="2" t="str">
        <f t="shared" si="1"/>
        <v/>
      </c>
      <c r="B683" s="4"/>
      <c r="C683" s="4"/>
      <c r="D683" s="3" t="str">
        <f t="shared" si="2"/>
        <v/>
      </c>
      <c r="E683" s="4"/>
      <c r="F683" s="2" t="str">
        <f>IFERROR(__xludf.DUMMYFUNCTION("IF(E683="""","""",IF(COUNTIFS(D$1:D682,D683,E$1:E682,E683)&gt;0,INDEX(filter(F$1:F682,D$1:D682=D683,E$1:E682=E683),1),""Selecciona..""))"),"")</f>
        <v/>
      </c>
      <c r="G683" s="2" t="str">
        <f>IFERROR(__xludf.DUMMYFUNCTION("IF($E683="""","""",IF(COUNTIFS($D$1:$D682,$D683,$E$1:$E682,$E683)&gt;0,INDEX(filter(G$1:G682,$D$1:$D682=$D683,$E$1:$E682=E683),1),""Selecciona..""))"),"")</f>
        <v/>
      </c>
      <c r="H683" s="4" t="str">
        <f>IF(D683="","",COUNTIF(Productos!G:G,C683))</f>
        <v/>
      </c>
      <c r="J683" s="90"/>
    </row>
    <row r="684">
      <c r="A684" s="2" t="str">
        <f t="shared" si="1"/>
        <v/>
      </c>
      <c r="B684" s="4"/>
      <c r="C684" s="4"/>
      <c r="D684" s="3" t="str">
        <f t="shared" si="2"/>
        <v/>
      </c>
      <c r="E684" s="4"/>
      <c r="F684" s="2" t="str">
        <f>IFERROR(__xludf.DUMMYFUNCTION("IF(E684="""","""",IF(COUNTIFS(D$1:D683,D684,E$1:E683,E684)&gt;0,INDEX(filter(F$1:F683,D$1:D683=D684,E$1:E683=E684),1),""Selecciona..""))"),"")</f>
        <v/>
      </c>
      <c r="G684" s="2" t="str">
        <f>IFERROR(__xludf.DUMMYFUNCTION("IF($E684="""","""",IF(COUNTIFS($D$1:$D683,$D684,$E$1:$E683,$E684)&gt;0,INDEX(filter(G$1:G683,$D$1:$D683=$D684,$E$1:$E683=E684),1),""Selecciona..""))"),"")</f>
        <v/>
      </c>
      <c r="H684" s="4" t="str">
        <f>IF(D684="","",COUNTIF(Productos!G:G,C684))</f>
        <v/>
      </c>
      <c r="J684" s="90"/>
    </row>
    <row r="685">
      <c r="A685" s="2" t="str">
        <f t="shared" si="1"/>
        <v/>
      </c>
      <c r="B685" s="4"/>
      <c r="C685" s="4"/>
      <c r="D685" s="3" t="str">
        <f t="shared" si="2"/>
        <v/>
      </c>
      <c r="E685" s="4"/>
      <c r="F685" s="2" t="str">
        <f>IFERROR(__xludf.DUMMYFUNCTION("IF(E685="""","""",IF(COUNTIFS(D$1:D684,D685,E$1:E684,E685)&gt;0,INDEX(filter(F$1:F684,D$1:D684=D685,E$1:E684=E685),1),""Selecciona..""))"),"")</f>
        <v/>
      </c>
      <c r="G685" s="2" t="str">
        <f>IFERROR(__xludf.DUMMYFUNCTION("IF($E685="""","""",IF(COUNTIFS($D$1:$D684,$D685,$E$1:$E684,$E685)&gt;0,INDEX(filter(G$1:G684,$D$1:$D684=$D685,$E$1:$E684=E685),1),""Selecciona..""))"),"")</f>
        <v/>
      </c>
      <c r="H685" s="4" t="str">
        <f>IF(D685="","",COUNTIF(Productos!G:G,C685))</f>
        <v/>
      </c>
      <c r="J685" s="90"/>
    </row>
    <row r="686">
      <c r="A686" s="2" t="str">
        <f t="shared" si="1"/>
        <v/>
      </c>
      <c r="B686" s="4"/>
      <c r="C686" s="4"/>
      <c r="D686" s="3" t="str">
        <f t="shared" si="2"/>
        <v/>
      </c>
      <c r="E686" s="4"/>
      <c r="F686" s="2" t="str">
        <f>IFERROR(__xludf.DUMMYFUNCTION("IF(E686="""","""",IF(COUNTIFS(D$1:D685,D686,E$1:E685,E686)&gt;0,INDEX(filter(F$1:F685,D$1:D685=D686,E$1:E685=E686),1),""Selecciona..""))"),"")</f>
        <v/>
      </c>
      <c r="G686" s="2" t="str">
        <f>IFERROR(__xludf.DUMMYFUNCTION("IF($E686="""","""",IF(COUNTIFS($D$1:$D685,$D686,$E$1:$E685,$E686)&gt;0,INDEX(filter(G$1:G685,$D$1:$D685=$D686,$E$1:$E685=E686),1),""Selecciona..""))"),"")</f>
        <v/>
      </c>
      <c r="H686" s="4" t="str">
        <f>IF(D686="","",COUNTIF(Productos!G:G,C686))</f>
        <v/>
      </c>
      <c r="J686" s="90"/>
    </row>
    <row r="687">
      <c r="A687" s="2" t="str">
        <f t="shared" si="1"/>
        <v/>
      </c>
      <c r="B687" s="4"/>
      <c r="C687" s="4"/>
      <c r="D687" s="3" t="str">
        <f t="shared" si="2"/>
        <v/>
      </c>
      <c r="E687" s="4"/>
      <c r="F687" s="2" t="str">
        <f>IFERROR(__xludf.DUMMYFUNCTION("IF(E687="""","""",IF(COUNTIFS(D$1:D686,D687,E$1:E686,E687)&gt;0,INDEX(filter(F$1:F686,D$1:D686=D687,E$1:E686=E687),1),""Selecciona..""))"),"")</f>
        <v/>
      </c>
      <c r="G687" s="2" t="str">
        <f>IFERROR(__xludf.DUMMYFUNCTION("IF($E687="""","""",IF(COUNTIFS($D$1:$D686,$D687,$E$1:$E686,$E687)&gt;0,INDEX(filter(G$1:G686,$D$1:$D686=$D687,$E$1:$E686=E687),1),""Selecciona..""))"),"")</f>
        <v/>
      </c>
      <c r="H687" s="4" t="str">
        <f>IF(D687="","",COUNTIF(Productos!G:G,C687))</f>
        <v/>
      </c>
      <c r="J687" s="90"/>
    </row>
    <row r="688">
      <c r="A688" s="2" t="str">
        <f t="shared" si="1"/>
        <v/>
      </c>
      <c r="B688" s="4"/>
      <c r="C688" s="4"/>
      <c r="D688" s="3" t="str">
        <f t="shared" si="2"/>
        <v/>
      </c>
      <c r="E688" s="4"/>
      <c r="F688" s="2" t="str">
        <f>IFERROR(__xludf.DUMMYFUNCTION("IF(E688="""","""",IF(COUNTIFS(D$1:D687,D688,E$1:E687,E688)&gt;0,INDEX(filter(F$1:F687,D$1:D687=D688,E$1:E687=E688),1),""Selecciona..""))"),"")</f>
        <v/>
      </c>
      <c r="G688" s="2" t="str">
        <f>IFERROR(__xludf.DUMMYFUNCTION("IF($E688="""","""",IF(COUNTIFS($D$1:$D687,$D688,$E$1:$E687,$E688)&gt;0,INDEX(filter(G$1:G687,$D$1:$D687=$D688,$E$1:$E687=E688),1),""Selecciona..""))"),"")</f>
        <v/>
      </c>
      <c r="H688" s="4" t="str">
        <f>IF(D688="","",COUNTIF(Productos!G:G,C688))</f>
        <v/>
      </c>
      <c r="J688" s="90"/>
    </row>
    <row r="689">
      <c r="A689" s="2" t="str">
        <f t="shared" si="1"/>
        <v/>
      </c>
      <c r="B689" s="4"/>
      <c r="C689" s="4"/>
      <c r="D689" s="3" t="str">
        <f t="shared" si="2"/>
        <v/>
      </c>
      <c r="E689" s="4"/>
      <c r="F689" s="2" t="str">
        <f>IFERROR(__xludf.DUMMYFUNCTION("IF(E689="""","""",IF(COUNTIFS(D$1:D688,D689,E$1:E688,E689)&gt;0,INDEX(filter(F$1:F688,D$1:D688=D689,E$1:E688=E689),1),""Selecciona..""))"),"")</f>
        <v/>
      </c>
      <c r="G689" s="2" t="str">
        <f>IFERROR(__xludf.DUMMYFUNCTION("IF($E689="""","""",IF(COUNTIFS($D$1:$D688,$D689,$E$1:$E688,$E689)&gt;0,INDEX(filter(G$1:G688,$D$1:$D688=$D689,$E$1:$E688=E689),1),""Selecciona..""))"),"")</f>
        <v/>
      </c>
      <c r="H689" s="4" t="str">
        <f>IF(D689="","",COUNTIF(Productos!G:G,C689))</f>
        <v/>
      </c>
      <c r="J689" s="90"/>
    </row>
    <row r="690">
      <c r="A690" s="2" t="str">
        <f t="shared" si="1"/>
        <v/>
      </c>
      <c r="B690" s="4"/>
      <c r="C690" s="4"/>
      <c r="D690" s="3" t="str">
        <f t="shared" si="2"/>
        <v/>
      </c>
      <c r="E690" s="4"/>
      <c r="F690" s="2" t="str">
        <f>IFERROR(__xludf.DUMMYFUNCTION("IF(E690="""","""",IF(COUNTIFS(D$1:D689,D690,E$1:E689,E690)&gt;0,INDEX(filter(F$1:F689,D$1:D689=D690,E$1:E689=E690),1),""Selecciona..""))"),"")</f>
        <v/>
      </c>
      <c r="G690" s="2" t="str">
        <f>IFERROR(__xludf.DUMMYFUNCTION("IF($E690="""","""",IF(COUNTIFS($D$1:$D689,$D690,$E$1:$E689,$E690)&gt;0,INDEX(filter(G$1:G689,$D$1:$D689=$D690,$E$1:$E689=E690),1),""Selecciona..""))"),"")</f>
        <v/>
      </c>
      <c r="H690" s="4" t="str">
        <f>IF(D690="","",COUNTIF(Productos!G:G,C690))</f>
        <v/>
      </c>
      <c r="J690" s="90"/>
    </row>
    <row r="691">
      <c r="A691" s="2" t="str">
        <f t="shared" si="1"/>
        <v/>
      </c>
      <c r="B691" s="4"/>
      <c r="C691" s="4"/>
      <c r="D691" s="3" t="str">
        <f t="shared" si="2"/>
        <v/>
      </c>
      <c r="E691" s="4"/>
      <c r="F691" s="2" t="str">
        <f>IFERROR(__xludf.DUMMYFUNCTION("IF(E691="""","""",IF(COUNTIFS(D$1:D690,D691,E$1:E690,E691)&gt;0,INDEX(filter(F$1:F690,D$1:D690=D691,E$1:E690=E691),1),""Selecciona..""))"),"")</f>
        <v/>
      </c>
      <c r="G691" s="2" t="str">
        <f>IFERROR(__xludf.DUMMYFUNCTION("IF($E691="""","""",IF(COUNTIFS($D$1:$D690,$D691,$E$1:$E690,$E691)&gt;0,INDEX(filter(G$1:G690,$D$1:$D690=$D691,$E$1:$E690=E691),1),""Selecciona..""))"),"")</f>
        <v/>
      </c>
      <c r="H691" s="4" t="str">
        <f>IF(D691="","",COUNTIF(Productos!G:G,C691))</f>
        <v/>
      </c>
      <c r="J691" s="90"/>
    </row>
    <row r="692">
      <c r="A692" s="2" t="str">
        <f t="shared" si="1"/>
        <v/>
      </c>
      <c r="B692" s="4"/>
      <c r="C692" s="4"/>
      <c r="D692" s="3" t="str">
        <f t="shared" si="2"/>
        <v/>
      </c>
      <c r="E692" s="4"/>
      <c r="F692" s="2" t="str">
        <f>IFERROR(__xludf.DUMMYFUNCTION("IF(E692="""","""",IF(COUNTIFS(D$1:D691,D692,E$1:E691,E692)&gt;0,INDEX(filter(F$1:F691,D$1:D691=D692,E$1:E691=E692),1),""Selecciona..""))"),"")</f>
        <v/>
      </c>
      <c r="G692" s="2" t="str">
        <f>IFERROR(__xludf.DUMMYFUNCTION("IF($E692="""","""",IF(COUNTIFS($D$1:$D691,$D692,$E$1:$E691,$E692)&gt;0,INDEX(filter(G$1:G691,$D$1:$D691=$D692,$E$1:$E691=E692),1),""Selecciona..""))"),"")</f>
        <v/>
      </c>
      <c r="H692" s="4" t="str">
        <f>IF(D692="","",COUNTIF(Productos!G:G,C692))</f>
        <v/>
      </c>
      <c r="J692" s="90"/>
    </row>
    <row r="693">
      <c r="A693" s="2" t="str">
        <f t="shared" si="1"/>
        <v/>
      </c>
      <c r="B693" s="4"/>
      <c r="C693" s="4"/>
      <c r="D693" s="3" t="str">
        <f t="shared" si="2"/>
        <v/>
      </c>
      <c r="E693" s="4"/>
      <c r="F693" s="2" t="str">
        <f>IFERROR(__xludf.DUMMYFUNCTION("IF(E693="""","""",IF(COUNTIFS(D$1:D692,D693,E$1:E692,E693)&gt;0,INDEX(filter(F$1:F692,D$1:D692=D693,E$1:E692=E693),1),""Selecciona..""))"),"")</f>
        <v/>
      </c>
      <c r="G693" s="2" t="str">
        <f>IFERROR(__xludf.DUMMYFUNCTION("IF($E693="""","""",IF(COUNTIFS($D$1:$D692,$D693,$E$1:$E692,$E693)&gt;0,INDEX(filter(G$1:G692,$D$1:$D692=$D693,$E$1:$E692=E693),1),""Selecciona..""))"),"")</f>
        <v/>
      </c>
      <c r="H693" s="4" t="str">
        <f>IF(D693="","",COUNTIF(Productos!G:G,C693))</f>
        <v/>
      </c>
      <c r="J693" s="90"/>
    </row>
    <row r="694">
      <c r="A694" s="2" t="str">
        <f t="shared" si="1"/>
        <v/>
      </c>
      <c r="B694" s="4"/>
      <c r="C694" s="4"/>
      <c r="D694" s="3" t="str">
        <f t="shared" si="2"/>
        <v/>
      </c>
      <c r="E694" s="4"/>
      <c r="F694" s="2" t="str">
        <f>IFERROR(__xludf.DUMMYFUNCTION("IF(E694="""","""",IF(COUNTIFS(D$1:D693,D694,E$1:E693,E694)&gt;0,INDEX(filter(F$1:F693,D$1:D693=D694,E$1:E693=E694),1),""Selecciona..""))"),"")</f>
        <v/>
      </c>
      <c r="G694" s="2" t="str">
        <f>IFERROR(__xludf.DUMMYFUNCTION("IF($E694="""","""",IF(COUNTIFS($D$1:$D693,$D694,$E$1:$E693,$E694)&gt;0,INDEX(filter(G$1:G693,$D$1:$D693=$D694,$E$1:$E693=E694),1),""Selecciona..""))"),"")</f>
        <v/>
      </c>
      <c r="H694" s="4" t="str">
        <f>IF(D694="","",COUNTIF(Productos!G:G,C694))</f>
        <v/>
      </c>
      <c r="J694" s="90"/>
    </row>
    <row r="695">
      <c r="A695" s="2" t="str">
        <f t="shared" si="1"/>
        <v/>
      </c>
      <c r="B695" s="4"/>
      <c r="C695" s="4"/>
      <c r="D695" s="3" t="str">
        <f t="shared" si="2"/>
        <v/>
      </c>
      <c r="E695" s="4"/>
      <c r="F695" s="2" t="str">
        <f>IFERROR(__xludf.DUMMYFUNCTION("IF(E695="""","""",IF(COUNTIFS(D$1:D694,D695,E$1:E694,E695)&gt;0,INDEX(filter(F$1:F694,D$1:D694=D695,E$1:E694=E695),1),""Selecciona..""))"),"")</f>
        <v/>
      </c>
      <c r="G695" s="2" t="str">
        <f>IFERROR(__xludf.DUMMYFUNCTION("IF($E695="""","""",IF(COUNTIFS($D$1:$D694,$D695,$E$1:$E694,$E695)&gt;0,INDEX(filter(G$1:G694,$D$1:$D694=$D695,$E$1:$E694=E695),1),""Selecciona..""))"),"")</f>
        <v/>
      </c>
      <c r="H695" s="4" t="str">
        <f>IF(D695="","",COUNTIF(Productos!G:G,C695))</f>
        <v/>
      </c>
      <c r="J695" s="90"/>
    </row>
    <row r="696">
      <c r="A696" s="2" t="str">
        <f t="shared" si="1"/>
        <v/>
      </c>
      <c r="B696" s="4"/>
      <c r="C696" s="4"/>
      <c r="D696" s="3" t="str">
        <f t="shared" si="2"/>
        <v/>
      </c>
      <c r="E696" s="4"/>
      <c r="F696" s="2" t="str">
        <f>IFERROR(__xludf.DUMMYFUNCTION("IF(E696="""","""",IF(COUNTIFS(D$1:D695,D696,E$1:E695,E696)&gt;0,INDEX(filter(F$1:F695,D$1:D695=D696,E$1:E695=E696),1),""Selecciona..""))"),"")</f>
        <v/>
      </c>
      <c r="G696" s="2" t="str">
        <f>IFERROR(__xludf.DUMMYFUNCTION("IF($E696="""","""",IF(COUNTIFS($D$1:$D695,$D696,$E$1:$E695,$E696)&gt;0,INDEX(filter(G$1:G695,$D$1:$D695=$D696,$E$1:$E695=E696),1),""Selecciona..""))"),"")</f>
        <v/>
      </c>
      <c r="H696" s="4" t="str">
        <f>IF(D696="","",COUNTIF(Productos!G:G,C696))</f>
        <v/>
      </c>
      <c r="J696" s="90"/>
    </row>
    <row r="697">
      <c r="A697" s="2" t="str">
        <f t="shared" si="1"/>
        <v/>
      </c>
      <c r="B697" s="4"/>
      <c r="C697" s="4"/>
      <c r="D697" s="3" t="str">
        <f t="shared" si="2"/>
        <v/>
      </c>
      <c r="E697" s="4"/>
      <c r="F697" s="2" t="str">
        <f>IFERROR(__xludf.DUMMYFUNCTION("IF(E697="""","""",IF(COUNTIFS(D$1:D696,D697,E$1:E696,E697)&gt;0,INDEX(filter(F$1:F696,D$1:D696=D697,E$1:E696=E697),1),""Selecciona..""))"),"")</f>
        <v/>
      </c>
      <c r="G697" s="2" t="str">
        <f>IFERROR(__xludf.DUMMYFUNCTION("IF($E697="""","""",IF(COUNTIFS($D$1:$D696,$D697,$E$1:$E696,$E697)&gt;0,INDEX(filter(G$1:G696,$D$1:$D696=$D697,$E$1:$E696=E697),1),""Selecciona..""))"),"")</f>
        <v/>
      </c>
      <c r="H697" s="4" t="str">
        <f>IF(D697="","",COUNTIF(Productos!G:G,C697))</f>
        <v/>
      </c>
      <c r="J697" s="90"/>
    </row>
    <row r="698">
      <c r="A698" s="2" t="str">
        <f t="shared" si="1"/>
        <v/>
      </c>
      <c r="B698" s="4"/>
      <c r="C698" s="4"/>
      <c r="D698" s="3" t="str">
        <f t="shared" si="2"/>
        <v/>
      </c>
      <c r="E698" s="4"/>
      <c r="F698" s="2" t="str">
        <f>IFERROR(__xludf.DUMMYFUNCTION("IF(E698="""","""",IF(COUNTIFS(D$1:D697,D698,E$1:E697,E698)&gt;0,INDEX(filter(F$1:F697,D$1:D697=D698,E$1:E697=E698),1),""Selecciona..""))"),"")</f>
        <v/>
      </c>
      <c r="G698" s="2" t="str">
        <f>IFERROR(__xludf.DUMMYFUNCTION("IF($E698="""","""",IF(COUNTIFS($D$1:$D697,$D698,$E$1:$E697,$E698)&gt;0,INDEX(filter(G$1:G697,$D$1:$D697=$D698,$E$1:$E697=E698),1),""Selecciona..""))"),"")</f>
        <v/>
      </c>
      <c r="H698" s="4" t="str">
        <f>IF(D698="","",COUNTIF(Productos!G:G,C698))</f>
        <v/>
      </c>
      <c r="J698" s="90"/>
    </row>
    <row r="699">
      <c r="A699" s="2" t="str">
        <f t="shared" si="1"/>
        <v/>
      </c>
      <c r="B699" s="4"/>
      <c r="C699" s="4"/>
      <c r="D699" s="3" t="str">
        <f t="shared" si="2"/>
        <v/>
      </c>
      <c r="E699" s="4"/>
      <c r="F699" s="2" t="str">
        <f>IFERROR(__xludf.DUMMYFUNCTION("IF(E699="""","""",IF(COUNTIFS(D$1:D698,D699,E$1:E698,E699)&gt;0,INDEX(filter(F$1:F698,D$1:D698=D699,E$1:E698=E699),1),""Selecciona..""))"),"")</f>
        <v/>
      </c>
      <c r="G699" s="2" t="str">
        <f>IFERROR(__xludf.DUMMYFUNCTION("IF($E699="""","""",IF(COUNTIFS($D$1:$D698,$D699,$E$1:$E698,$E699)&gt;0,INDEX(filter(G$1:G698,$D$1:$D698=$D699,$E$1:$E698=E699),1),""Selecciona..""))"),"")</f>
        <v/>
      </c>
      <c r="H699" s="4" t="str">
        <f>IF(D699="","",COUNTIF(Productos!G:G,C699))</f>
        <v/>
      </c>
      <c r="J699" s="90"/>
    </row>
    <row r="700">
      <c r="A700" s="2" t="str">
        <f t="shared" si="1"/>
        <v/>
      </c>
      <c r="B700" s="4"/>
      <c r="C700" s="4"/>
      <c r="D700" s="3" t="str">
        <f t="shared" si="2"/>
        <v/>
      </c>
      <c r="E700" s="4"/>
      <c r="F700" s="2" t="str">
        <f>IFERROR(__xludf.DUMMYFUNCTION("IF(E700="""","""",IF(COUNTIFS(D$1:D699,D700,E$1:E699,E700)&gt;0,INDEX(filter(F$1:F699,D$1:D699=D700,E$1:E699=E700),1),""Selecciona..""))"),"")</f>
        <v/>
      </c>
      <c r="G700" s="2" t="str">
        <f>IFERROR(__xludf.DUMMYFUNCTION("IF($E700="""","""",IF(COUNTIFS($D$1:$D699,$D700,$E$1:$E699,$E700)&gt;0,INDEX(filter(G$1:G699,$D$1:$D699=$D700,$E$1:$E699=E700),1),""Selecciona..""))"),"")</f>
        <v/>
      </c>
      <c r="H700" s="4" t="str">
        <f>IF(D700="","",COUNTIF(Productos!G:G,C700))</f>
        <v/>
      </c>
      <c r="J700" s="90"/>
    </row>
    <row r="701">
      <c r="A701" s="2" t="str">
        <f t="shared" si="1"/>
        <v/>
      </c>
      <c r="B701" s="4"/>
      <c r="C701" s="4"/>
      <c r="D701" s="3" t="str">
        <f t="shared" si="2"/>
        <v/>
      </c>
      <c r="E701" s="4"/>
      <c r="F701" s="2" t="str">
        <f>IFERROR(__xludf.DUMMYFUNCTION("IF(E701="""","""",IF(COUNTIFS(D$1:D700,D701,E$1:E700,E701)&gt;0,INDEX(filter(F$1:F700,D$1:D700=D701,E$1:E700=E701),1),""Selecciona..""))"),"")</f>
        <v/>
      </c>
      <c r="G701" s="2" t="str">
        <f>IFERROR(__xludf.DUMMYFUNCTION("IF($E701="""","""",IF(COUNTIFS($D$1:$D700,$D701,$E$1:$E700,$E701)&gt;0,INDEX(filter(G$1:G700,$D$1:$D700=$D701,$E$1:$E700=E701),1),""Selecciona..""))"),"")</f>
        <v/>
      </c>
      <c r="H701" s="4" t="str">
        <f>IF(D701="","",COUNTIF(Productos!G:G,C701))</f>
        <v/>
      </c>
      <c r="J701" s="90"/>
    </row>
    <row r="702">
      <c r="A702" s="2" t="str">
        <f t="shared" si="1"/>
        <v/>
      </c>
      <c r="B702" s="4"/>
      <c r="C702" s="4"/>
      <c r="D702" s="3" t="str">
        <f t="shared" si="2"/>
        <v/>
      </c>
      <c r="E702" s="4"/>
      <c r="F702" s="2" t="str">
        <f>IFERROR(__xludf.DUMMYFUNCTION("IF(E702="""","""",IF(COUNTIFS(D$1:D701,D702,E$1:E701,E702)&gt;0,INDEX(filter(F$1:F701,D$1:D701=D702,E$1:E701=E702),1),""Selecciona..""))"),"")</f>
        <v/>
      </c>
      <c r="G702" s="2" t="str">
        <f>IFERROR(__xludf.DUMMYFUNCTION("IF($E702="""","""",IF(COUNTIFS($D$1:$D701,$D702,$E$1:$E701,$E702)&gt;0,INDEX(filter(G$1:G701,$D$1:$D701=$D702,$E$1:$E701=E702),1),""Selecciona..""))"),"")</f>
        <v/>
      </c>
      <c r="H702" s="4" t="str">
        <f>IF(D702="","",COUNTIF(Productos!G:G,C702))</f>
        <v/>
      </c>
      <c r="J702" s="90"/>
    </row>
    <row r="703">
      <c r="A703" s="2" t="str">
        <f t="shared" si="1"/>
        <v/>
      </c>
      <c r="B703" s="4"/>
      <c r="C703" s="4"/>
      <c r="D703" s="3" t="str">
        <f t="shared" si="2"/>
        <v/>
      </c>
      <c r="E703" s="4"/>
      <c r="F703" s="2" t="str">
        <f>IFERROR(__xludf.DUMMYFUNCTION("IF(E703="""","""",IF(COUNTIFS(D$1:D702,D703,E$1:E702,E703)&gt;0,INDEX(filter(F$1:F702,D$1:D702=D703,E$1:E702=E703),1),""Selecciona..""))"),"")</f>
        <v/>
      </c>
      <c r="G703" s="2" t="str">
        <f>IFERROR(__xludf.DUMMYFUNCTION("IF($E703="""","""",IF(COUNTIFS($D$1:$D702,$D703,$E$1:$E702,$E703)&gt;0,INDEX(filter(G$1:G702,$D$1:$D702=$D703,$E$1:$E702=E703),1),""Selecciona..""))"),"")</f>
        <v/>
      </c>
      <c r="H703" s="4" t="str">
        <f>IF(D703="","",COUNTIF(Productos!G:G,C703))</f>
        <v/>
      </c>
      <c r="J703" s="90"/>
    </row>
    <row r="704">
      <c r="A704" s="2" t="str">
        <f t="shared" si="1"/>
        <v/>
      </c>
      <c r="B704" s="4"/>
      <c r="C704" s="4"/>
      <c r="D704" s="3" t="str">
        <f t="shared" si="2"/>
        <v/>
      </c>
      <c r="E704" s="4"/>
      <c r="F704" s="2" t="str">
        <f>IFERROR(__xludf.DUMMYFUNCTION("IF(E704="""","""",IF(COUNTIFS(D$1:D703,D704,E$1:E703,E704)&gt;0,INDEX(filter(F$1:F703,D$1:D703=D704,E$1:E703=E704),1),""Selecciona..""))"),"")</f>
        <v/>
      </c>
      <c r="G704" s="2" t="str">
        <f>IFERROR(__xludf.DUMMYFUNCTION("IF($E704="""","""",IF(COUNTIFS($D$1:$D703,$D704,$E$1:$E703,$E704)&gt;0,INDEX(filter(G$1:G703,$D$1:$D703=$D704,$E$1:$E703=E704),1),""Selecciona..""))"),"")</f>
        <v/>
      </c>
      <c r="H704" s="4" t="str">
        <f>IF(D704="","",COUNTIF(Productos!G:G,C704))</f>
        <v/>
      </c>
      <c r="J704" s="90"/>
    </row>
    <row r="705">
      <c r="A705" s="2" t="str">
        <f t="shared" si="1"/>
        <v/>
      </c>
      <c r="B705" s="4"/>
      <c r="C705" s="4"/>
      <c r="D705" s="3" t="str">
        <f t="shared" si="2"/>
        <v/>
      </c>
      <c r="E705" s="4"/>
      <c r="F705" s="2" t="str">
        <f>IFERROR(__xludf.DUMMYFUNCTION("IF(E705="""","""",IF(COUNTIFS(D$1:D704,D705,E$1:E704,E705)&gt;0,INDEX(filter(F$1:F704,D$1:D704=D705,E$1:E704=E705),1),""Selecciona..""))"),"")</f>
        <v/>
      </c>
      <c r="G705" s="2" t="str">
        <f>IFERROR(__xludf.DUMMYFUNCTION("IF($E705="""","""",IF(COUNTIFS($D$1:$D704,$D705,$E$1:$E704,$E705)&gt;0,INDEX(filter(G$1:G704,$D$1:$D704=$D705,$E$1:$E704=E705),1),""Selecciona..""))"),"")</f>
        <v/>
      </c>
      <c r="H705" s="4" t="str">
        <f>IF(D705="","",COUNTIF(Productos!G:G,C705))</f>
        <v/>
      </c>
      <c r="J705" s="90"/>
    </row>
    <row r="706">
      <c r="A706" s="2" t="str">
        <f t="shared" si="1"/>
        <v/>
      </c>
      <c r="B706" s="4"/>
      <c r="C706" s="4"/>
      <c r="D706" s="3" t="str">
        <f t="shared" si="2"/>
        <v/>
      </c>
      <c r="E706" s="4"/>
      <c r="F706" s="2" t="str">
        <f>IFERROR(__xludf.DUMMYFUNCTION("IF(E706="""","""",IF(COUNTIFS(D$1:D705,D706,E$1:E705,E706)&gt;0,INDEX(filter(F$1:F705,D$1:D705=D706,E$1:E705=E706),1),""Selecciona..""))"),"")</f>
        <v/>
      </c>
      <c r="G706" s="2" t="str">
        <f>IFERROR(__xludf.DUMMYFUNCTION("IF($E706="""","""",IF(COUNTIFS($D$1:$D705,$D706,$E$1:$E705,$E706)&gt;0,INDEX(filter(G$1:G705,$D$1:$D705=$D706,$E$1:$E705=E706),1),""Selecciona..""))"),"")</f>
        <v/>
      </c>
      <c r="H706" s="4" t="str">
        <f>IF(D706="","",COUNTIF(Productos!G:G,C706))</f>
        <v/>
      </c>
      <c r="J706" s="90"/>
    </row>
    <row r="707">
      <c r="A707" s="2" t="str">
        <f t="shared" si="1"/>
        <v/>
      </c>
      <c r="B707" s="4"/>
      <c r="C707" s="4"/>
      <c r="D707" s="3" t="str">
        <f t="shared" si="2"/>
        <v/>
      </c>
      <c r="E707" s="4"/>
      <c r="F707" s="2" t="str">
        <f>IFERROR(__xludf.DUMMYFUNCTION("IF(E707="""","""",IF(COUNTIFS(D$1:D706,D707,E$1:E706,E707)&gt;0,INDEX(filter(F$1:F706,D$1:D706=D707,E$1:E706=E707),1),""Selecciona..""))"),"")</f>
        <v/>
      </c>
      <c r="G707" s="2" t="str">
        <f>IFERROR(__xludf.DUMMYFUNCTION("IF($E707="""","""",IF(COUNTIFS($D$1:$D706,$D707,$E$1:$E706,$E707)&gt;0,INDEX(filter(G$1:G706,$D$1:$D706=$D707,$E$1:$E706=E707),1),""Selecciona..""))"),"")</f>
        <v/>
      </c>
      <c r="H707" s="4" t="str">
        <f>IF(D707="","",COUNTIF(Productos!G:G,C707))</f>
        <v/>
      </c>
      <c r="J707" s="90"/>
    </row>
    <row r="708">
      <c r="A708" s="2" t="str">
        <f t="shared" si="1"/>
        <v/>
      </c>
      <c r="B708" s="4"/>
      <c r="C708" s="4"/>
      <c r="D708" s="3" t="str">
        <f t="shared" si="2"/>
        <v/>
      </c>
      <c r="E708" s="4"/>
      <c r="F708" s="2" t="str">
        <f>IFERROR(__xludf.DUMMYFUNCTION("IF(E708="""","""",IF(COUNTIFS(D$1:D707,D708,E$1:E707,E708)&gt;0,INDEX(filter(F$1:F707,D$1:D707=D708,E$1:E707=E708),1),""Selecciona..""))"),"")</f>
        <v/>
      </c>
      <c r="G708" s="2" t="str">
        <f>IFERROR(__xludf.DUMMYFUNCTION("IF($E708="""","""",IF(COUNTIFS($D$1:$D707,$D708,$E$1:$E707,$E708)&gt;0,INDEX(filter(G$1:G707,$D$1:$D707=$D708,$E$1:$E707=E708),1),""Selecciona..""))"),"")</f>
        <v/>
      </c>
      <c r="H708" s="4" t="str">
        <f>IF(D708="","",COUNTIF(Productos!G:G,C708))</f>
        <v/>
      </c>
      <c r="J708" s="90"/>
    </row>
    <row r="709">
      <c r="A709" s="2" t="str">
        <f t="shared" si="1"/>
        <v/>
      </c>
      <c r="B709" s="4"/>
      <c r="C709" s="4"/>
      <c r="D709" s="3" t="str">
        <f t="shared" si="2"/>
        <v/>
      </c>
      <c r="E709" s="4"/>
      <c r="F709" s="2" t="str">
        <f>IFERROR(__xludf.DUMMYFUNCTION("IF(E709="""","""",IF(COUNTIFS(D$1:D708,D709,E$1:E708,E709)&gt;0,INDEX(filter(F$1:F708,D$1:D708=D709,E$1:E708=E709),1),""Selecciona..""))"),"")</f>
        <v/>
      </c>
      <c r="G709" s="2" t="str">
        <f>IFERROR(__xludf.DUMMYFUNCTION("IF($E709="""","""",IF(COUNTIFS($D$1:$D708,$D709,$E$1:$E708,$E709)&gt;0,INDEX(filter(G$1:G708,$D$1:$D708=$D709,$E$1:$E708=E709),1),""Selecciona..""))"),"")</f>
        <v/>
      </c>
      <c r="H709" s="4" t="str">
        <f>IF(D709="","",COUNTIF(Productos!G:G,C709))</f>
        <v/>
      </c>
      <c r="J709" s="90"/>
    </row>
    <row r="710">
      <c r="A710" s="2" t="str">
        <f t="shared" si="1"/>
        <v/>
      </c>
      <c r="B710" s="4"/>
      <c r="C710" s="4"/>
      <c r="D710" s="3" t="str">
        <f t="shared" si="2"/>
        <v/>
      </c>
      <c r="E710" s="4"/>
      <c r="F710" s="2" t="str">
        <f>IFERROR(__xludf.DUMMYFUNCTION("IF(E710="""","""",IF(COUNTIFS(D$1:D709,D710,E$1:E709,E710)&gt;0,INDEX(filter(F$1:F709,D$1:D709=D710,E$1:E709=E710),1),""Selecciona..""))"),"")</f>
        <v/>
      </c>
      <c r="G710" s="2" t="str">
        <f>IFERROR(__xludf.DUMMYFUNCTION("IF($E710="""","""",IF(COUNTIFS($D$1:$D709,$D710,$E$1:$E709,$E710)&gt;0,INDEX(filter(G$1:G709,$D$1:$D709=$D710,$E$1:$E709=E710),1),""Selecciona..""))"),"")</f>
        <v/>
      </c>
      <c r="H710" s="4" t="str">
        <f>IF(D710="","",COUNTIF(Productos!G:G,C710))</f>
        <v/>
      </c>
      <c r="J710" s="90"/>
    </row>
    <row r="711">
      <c r="A711" s="2" t="str">
        <f t="shared" si="1"/>
        <v/>
      </c>
      <c r="B711" s="4"/>
      <c r="C711" s="4"/>
      <c r="D711" s="3" t="str">
        <f t="shared" si="2"/>
        <v/>
      </c>
      <c r="E711" s="4"/>
      <c r="F711" s="2" t="str">
        <f>IFERROR(__xludf.DUMMYFUNCTION("IF(E711="""","""",IF(COUNTIFS(D$1:D710,D711,E$1:E710,E711)&gt;0,INDEX(filter(F$1:F710,D$1:D710=D711,E$1:E710=E711),1),""Selecciona..""))"),"")</f>
        <v/>
      </c>
      <c r="G711" s="2" t="str">
        <f>IFERROR(__xludf.DUMMYFUNCTION("IF($E711="""","""",IF(COUNTIFS($D$1:$D710,$D711,$E$1:$E710,$E711)&gt;0,INDEX(filter(G$1:G710,$D$1:$D710=$D711,$E$1:$E710=E711),1),""Selecciona..""))"),"")</f>
        <v/>
      </c>
      <c r="H711" s="4" t="str">
        <f>IF(D711="","",COUNTIF(Productos!G:G,C711))</f>
        <v/>
      </c>
      <c r="J711" s="90"/>
    </row>
    <row r="712">
      <c r="A712" s="2" t="str">
        <f t="shared" si="1"/>
        <v/>
      </c>
      <c r="B712" s="4"/>
      <c r="C712" s="4"/>
      <c r="D712" s="3" t="str">
        <f t="shared" si="2"/>
        <v/>
      </c>
      <c r="E712" s="4"/>
      <c r="F712" s="2" t="str">
        <f>IFERROR(__xludf.DUMMYFUNCTION("IF(E712="""","""",IF(COUNTIFS(D$1:D711,D712,E$1:E711,E712)&gt;0,INDEX(filter(F$1:F711,D$1:D711=D712,E$1:E711=E712),1),""Selecciona..""))"),"")</f>
        <v/>
      </c>
      <c r="G712" s="2" t="str">
        <f>IFERROR(__xludf.DUMMYFUNCTION("IF($E712="""","""",IF(COUNTIFS($D$1:$D711,$D712,$E$1:$E711,$E712)&gt;0,INDEX(filter(G$1:G711,$D$1:$D711=$D712,$E$1:$E711=E712),1),""Selecciona..""))"),"")</f>
        <v/>
      </c>
      <c r="H712" s="4" t="str">
        <f>IF(D712="","",COUNTIF(Productos!G:G,C712))</f>
        <v/>
      </c>
      <c r="J712" s="90"/>
    </row>
    <row r="713">
      <c r="A713" s="2" t="str">
        <f t="shared" si="1"/>
        <v/>
      </c>
      <c r="B713" s="4"/>
      <c r="C713" s="4"/>
      <c r="D713" s="3" t="str">
        <f t="shared" si="2"/>
        <v/>
      </c>
      <c r="E713" s="4"/>
      <c r="F713" s="2" t="str">
        <f>IFERROR(__xludf.DUMMYFUNCTION("IF(E713="""","""",IF(COUNTIFS(D$1:D712,D713,E$1:E712,E713)&gt;0,INDEX(filter(F$1:F712,D$1:D712=D713,E$1:E712=E713),1),""Selecciona..""))"),"")</f>
        <v/>
      </c>
      <c r="G713" s="2" t="str">
        <f>IFERROR(__xludf.DUMMYFUNCTION("IF($E713="""","""",IF(COUNTIFS($D$1:$D712,$D713,$E$1:$E712,$E713)&gt;0,INDEX(filter(G$1:G712,$D$1:$D712=$D713,$E$1:$E712=E713),1),""Selecciona..""))"),"")</f>
        <v/>
      </c>
      <c r="H713" s="4" t="str">
        <f>IF(D713="","",COUNTIF(Productos!G:G,C713))</f>
        <v/>
      </c>
      <c r="J713" s="90"/>
    </row>
    <row r="714">
      <c r="A714" s="2" t="str">
        <f t="shared" si="1"/>
        <v/>
      </c>
      <c r="B714" s="4"/>
      <c r="C714" s="4"/>
      <c r="D714" s="3" t="str">
        <f t="shared" si="2"/>
        <v/>
      </c>
      <c r="E714" s="4"/>
      <c r="F714" s="2" t="str">
        <f>IFERROR(__xludf.DUMMYFUNCTION("IF(E714="""","""",IF(COUNTIFS(D$1:D713,D714,E$1:E713,E714)&gt;0,INDEX(filter(F$1:F713,D$1:D713=D714,E$1:E713=E714),1),""Selecciona..""))"),"")</f>
        <v/>
      </c>
      <c r="G714" s="2" t="str">
        <f>IFERROR(__xludf.DUMMYFUNCTION("IF($E714="""","""",IF(COUNTIFS($D$1:$D713,$D714,$E$1:$E713,$E714)&gt;0,INDEX(filter(G$1:G713,$D$1:$D713=$D714,$E$1:$E713=E714),1),""Selecciona..""))"),"")</f>
        <v/>
      </c>
      <c r="H714" s="4" t="str">
        <f>IF(D714="","",COUNTIF(Productos!G:G,C714))</f>
        <v/>
      </c>
      <c r="J714" s="90"/>
    </row>
    <row r="715">
      <c r="A715" s="2" t="str">
        <f t="shared" si="1"/>
        <v/>
      </c>
      <c r="B715" s="4"/>
      <c r="C715" s="4"/>
      <c r="D715" s="3" t="str">
        <f t="shared" si="2"/>
        <v/>
      </c>
      <c r="E715" s="4"/>
      <c r="F715" s="2" t="str">
        <f>IFERROR(__xludf.DUMMYFUNCTION("IF(E715="""","""",IF(COUNTIFS(D$1:D714,D715,E$1:E714,E715)&gt;0,INDEX(filter(F$1:F714,D$1:D714=D715,E$1:E714=E715),1),""Selecciona..""))"),"")</f>
        <v/>
      </c>
      <c r="G715" s="2" t="str">
        <f>IFERROR(__xludf.DUMMYFUNCTION("IF($E715="""","""",IF(COUNTIFS($D$1:$D714,$D715,$E$1:$E714,$E715)&gt;0,INDEX(filter(G$1:G714,$D$1:$D714=$D715,$E$1:$E714=E715),1),""Selecciona..""))"),"")</f>
        <v/>
      </c>
      <c r="H715" s="4" t="str">
        <f>IF(D715="","",COUNTIF(Productos!G:G,C715))</f>
        <v/>
      </c>
      <c r="J715" s="90"/>
    </row>
    <row r="716">
      <c r="A716" s="2" t="str">
        <f t="shared" si="1"/>
        <v/>
      </c>
      <c r="B716" s="4"/>
      <c r="C716" s="4"/>
      <c r="D716" s="3" t="str">
        <f t="shared" si="2"/>
        <v/>
      </c>
      <c r="E716" s="4"/>
      <c r="F716" s="2" t="str">
        <f>IFERROR(__xludf.DUMMYFUNCTION("IF(E716="""","""",IF(COUNTIFS(D$1:D715,D716,E$1:E715,E716)&gt;0,INDEX(filter(F$1:F715,D$1:D715=D716,E$1:E715=E716),1),""Selecciona..""))"),"")</f>
        <v/>
      </c>
      <c r="G716" s="2" t="str">
        <f>IFERROR(__xludf.DUMMYFUNCTION("IF($E716="""","""",IF(COUNTIFS($D$1:$D715,$D716,$E$1:$E715,$E716)&gt;0,INDEX(filter(G$1:G715,$D$1:$D715=$D716,$E$1:$E715=E716),1),""Selecciona..""))"),"")</f>
        <v/>
      </c>
      <c r="H716" s="4" t="str">
        <f>IF(D716="","",COUNTIF(Productos!G:G,C716))</f>
        <v/>
      </c>
      <c r="J716" s="90"/>
    </row>
    <row r="717">
      <c r="A717" s="2" t="str">
        <f t="shared" si="1"/>
        <v/>
      </c>
      <c r="B717" s="4"/>
      <c r="C717" s="4"/>
      <c r="D717" s="3" t="str">
        <f t="shared" si="2"/>
        <v/>
      </c>
      <c r="E717" s="4"/>
      <c r="F717" s="2" t="str">
        <f>IFERROR(__xludf.DUMMYFUNCTION("IF(E717="""","""",IF(COUNTIFS(D$1:D716,D717,E$1:E716,E717)&gt;0,INDEX(filter(F$1:F716,D$1:D716=D717,E$1:E716=E717),1),""Selecciona..""))"),"")</f>
        <v/>
      </c>
      <c r="G717" s="2" t="str">
        <f>IFERROR(__xludf.DUMMYFUNCTION("IF($E717="""","""",IF(COUNTIFS($D$1:$D716,$D717,$E$1:$E716,$E717)&gt;0,INDEX(filter(G$1:G716,$D$1:$D716=$D717,$E$1:$E716=E717),1),""Selecciona..""))"),"")</f>
        <v/>
      </c>
      <c r="H717" s="4" t="str">
        <f>IF(D717="","",COUNTIF(Productos!G:G,C717))</f>
        <v/>
      </c>
      <c r="J717" s="90"/>
    </row>
    <row r="718">
      <c r="A718" s="2" t="str">
        <f t="shared" si="1"/>
        <v/>
      </c>
      <c r="B718" s="4"/>
      <c r="C718" s="4"/>
      <c r="D718" s="3" t="str">
        <f t="shared" si="2"/>
        <v/>
      </c>
      <c r="E718" s="4"/>
      <c r="F718" s="2" t="str">
        <f>IFERROR(__xludf.DUMMYFUNCTION("IF(E718="""","""",IF(COUNTIFS(D$1:D717,D718,E$1:E717,E718)&gt;0,INDEX(filter(F$1:F717,D$1:D717=D718,E$1:E717=E718),1),""Selecciona..""))"),"")</f>
        <v/>
      </c>
      <c r="G718" s="2" t="str">
        <f>IFERROR(__xludf.DUMMYFUNCTION("IF($E718="""","""",IF(COUNTIFS($D$1:$D717,$D718,$E$1:$E717,$E718)&gt;0,INDEX(filter(G$1:G717,$D$1:$D717=$D718,$E$1:$E717=E718),1),""Selecciona..""))"),"")</f>
        <v/>
      </c>
      <c r="H718" s="4" t="str">
        <f>IF(D718="","",COUNTIF(Productos!G:G,C718))</f>
        <v/>
      </c>
      <c r="J718" s="90"/>
    </row>
    <row r="719">
      <c r="A719" s="2" t="str">
        <f t="shared" si="1"/>
        <v/>
      </c>
      <c r="B719" s="4"/>
      <c r="C719" s="4"/>
      <c r="D719" s="3" t="str">
        <f t="shared" si="2"/>
        <v/>
      </c>
      <c r="E719" s="4"/>
      <c r="F719" s="2" t="str">
        <f>IFERROR(__xludf.DUMMYFUNCTION("IF(E719="""","""",IF(COUNTIFS(D$1:D718,D719,E$1:E718,E719)&gt;0,INDEX(filter(F$1:F718,D$1:D718=D719,E$1:E718=E719),1),""Selecciona..""))"),"")</f>
        <v/>
      </c>
      <c r="G719" s="2" t="str">
        <f>IFERROR(__xludf.DUMMYFUNCTION("IF($E719="""","""",IF(COUNTIFS($D$1:$D718,$D719,$E$1:$E718,$E719)&gt;0,INDEX(filter(G$1:G718,$D$1:$D718=$D719,$E$1:$E718=E719),1),""Selecciona..""))"),"")</f>
        <v/>
      </c>
      <c r="H719" s="4" t="str">
        <f>IF(D719="","",COUNTIF(Productos!G:G,C719))</f>
        <v/>
      </c>
      <c r="J719" s="90"/>
    </row>
    <row r="720">
      <c r="A720" s="2" t="str">
        <f t="shared" si="1"/>
        <v/>
      </c>
      <c r="B720" s="4"/>
      <c r="C720" s="4"/>
      <c r="D720" s="3" t="str">
        <f t="shared" si="2"/>
        <v/>
      </c>
      <c r="E720" s="4"/>
      <c r="F720" s="2" t="str">
        <f>IFERROR(__xludf.DUMMYFUNCTION("IF(E720="""","""",IF(COUNTIFS(D$1:D719,D720,E$1:E719,E720)&gt;0,INDEX(filter(F$1:F719,D$1:D719=D720,E$1:E719=E720),1),""Selecciona..""))"),"")</f>
        <v/>
      </c>
      <c r="G720" s="2" t="str">
        <f>IFERROR(__xludf.DUMMYFUNCTION("IF($E720="""","""",IF(COUNTIFS($D$1:$D719,$D720,$E$1:$E719,$E720)&gt;0,INDEX(filter(G$1:G719,$D$1:$D719=$D720,$E$1:$E719=E720),1),""Selecciona..""))"),"")</f>
        <v/>
      </c>
      <c r="H720" s="4" t="str">
        <f>IF(D720="","",COUNTIF(Productos!G:G,C720))</f>
        <v/>
      </c>
      <c r="J720" s="90"/>
    </row>
    <row r="721">
      <c r="A721" s="2" t="str">
        <f t="shared" si="1"/>
        <v/>
      </c>
      <c r="B721" s="4"/>
      <c r="C721" s="4"/>
      <c r="D721" s="3" t="str">
        <f t="shared" si="2"/>
        <v/>
      </c>
      <c r="E721" s="4"/>
      <c r="F721" s="2" t="str">
        <f>IFERROR(__xludf.DUMMYFUNCTION("IF(E721="""","""",IF(COUNTIFS(D$1:D720,D721,E$1:E720,E721)&gt;0,INDEX(filter(F$1:F720,D$1:D720=D721,E$1:E720=E721),1),""Selecciona..""))"),"")</f>
        <v/>
      </c>
      <c r="G721" s="2" t="str">
        <f>IFERROR(__xludf.DUMMYFUNCTION("IF($E721="""","""",IF(COUNTIFS($D$1:$D720,$D721,$E$1:$E720,$E721)&gt;0,INDEX(filter(G$1:G720,$D$1:$D720=$D721,$E$1:$E720=E721),1),""Selecciona..""))"),"")</f>
        <v/>
      </c>
      <c r="H721" s="4" t="str">
        <f>IF(D721="","",COUNTIF(Productos!G:G,C721))</f>
        <v/>
      </c>
      <c r="J721" s="90"/>
    </row>
    <row r="722">
      <c r="A722" s="2" t="str">
        <f t="shared" si="1"/>
        <v/>
      </c>
      <c r="B722" s="4"/>
      <c r="C722" s="4"/>
      <c r="D722" s="3" t="str">
        <f t="shared" si="2"/>
        <v/>
      </c>
      <c r="E722" s="4"/>
      <c r="F722" s="2" t="str">
        <f>IFERROR(__xludf.DUMMYFUNCTION("IF(E722="""","""",IF(COUNTIFS(D$1:D721,D722,E$1:E721,E722)&gt;0,INDEX(filter(F$1:F721,D$1:D721=D722,E$1:E721=E722),1),""Selecciona..""))"),"")</f>
        <v/>
      </c>
      <c r="G722" s="2" t="str">
        <f>IFERROR(__xludf.DUMMYFUNCTION("IF($E722="""","""",IF(COUNTIFS($D$1:$D721,$D722,$E$1:$E721,$E722)&gt;0,INDEX(filter(G$1:G721,$D$1:$D721=$D722,$E$1:$E721=E722),1),""Selecciona..""))"),"")</f>
        <v/>
      </c>
      <c r="H722" s="4" t="str">
        <f>IF(D722="","",COUNTIF(Productos!G:G,C722))</f>
        <v/>
      </c>
      <c r="J722" s="90"/>
    </row>
    <row r="723">
      <c r="A723" s="2" t="str">
        <f t="shared" si="1"/>
        <v/>
      </c>
      <c r="B723" s="4"/>
      <c r="C723" s="4"/>
      <c r="D723" s="3" t="str">
        <f t="shared" si="2"/>
        <v/>
      </c>
      <c r="E723" s="4"/>
      <c r="F723" s="2" t="str">
        <f>IFERROR(__xludf.DUMMYFUNCTION("IF(E723="""","""",IF(COUNTIFS(D$1:D722,D723,E$1:E722,E723)&gt;0,INDEX(filter(F$1:F722,D$1:D722=D723,E$1:E722=E723),1),""Selecciona..""))"),"")</f>
        <v/>
      </c>
      <c r="G723" s="2" t="str">
        <f>IFERROR(__xludf.DUMMYFUNCTION("IF($E723="""","""",IF(COUNTIFS($D$1:$D722,$D723,$E$1:$E722,$E723)&gt;0,INDEX(filter(G$1:G722,$D$1:$D722=$D723,$E$1:$E722=E723),1),""Selecciona..""))"),"")</f>
        <v/>
      </c>
      <c r="H723" s="4" t="str">
        <f>IF(D723="","",COUNTIF(Productos!G:G,C723))</f>
        <v/>
      </c>
      <c r="J723" s="90"/>
    </row>
    <row r="724">
      <c r="A724" s="2" t="str">
        <f t="shared" si="1"/>
        <v/>
      </c>
      <c r="B724" s="4"/>
      <c r="C724" s="4"/>
      <c r="D724" s="3" t="str">
        <f t="shared" si="2"/>
        <v/>
      </c>
      <c r="E724" s="4"/>
      <c r="F724" s="2" t="str">
        <f>IFERROR(__xludf.DUMMYFUNCTION("IF(E724="""","""",IF(COUNTIFS(D$1:D723,D724,E$1:E723,E724)&gt;0,INDEX(filter(F$1:F723,D$1:D723=D724,E$1:E723=E724),1),""Selecciona..""))"),"")</f>
        <v/>
      </c>
      <c r="G724" s="2" t="str">
        <f>IFERROR(__xludf.DUMMYFUNCTION("IF($E724="""","""",IF(COUNTIFS($D$1:$D723,$D724,$E$1:$E723,$E724)&gt;0,INDEX(filter(G$1:G723,$D$1:$D723=$D724,$E$1:$E723=E724),1),""Selecciona..""))"),"")</f>
        <v/>
      </c>
      <c r="H724" s="4" t="str">
        <f>IF(D724="","",COUNTIF(Productos!G:G,C724))</f>
        <v/>
      </c>
      <c r="J724" s="90"/>
    </row>
    <row r="725">
      <c r="A725" s="2" t="str">
        <f t="shared" si="1"/>
        <v/>
      </c>
      <c r="B725" s="4"/>
      <c r="C725" s="4"/>
      <c r="D725" s="3" t="str">
        <f t="shared" si="2"/>
        <v/>
      </c>
      <c r="E725" s="4"/>
      <c r="F725" s="2" t="str">
        <f>IFERROR(__xludf.DUMMYFUNCTION("IF(E725="""","""",IF(COUNTIFS(D$1:D724,D725,E$1:E724,E725)&gt;0,INDEX(filter(F$1:F724,D$1:D724=D725,E$1:E724=E725),1),""Selecciona..""))"),"")</f>
        <v/>
      </c>
      <c r="G725" s="2" t="str">
        <f>IFERROR(__xludf.DUMMYFUNCTION("IF($E725="""","""",IF(COUNTIFS($D$1:$D724,$D725,$E$1:$E724,$E725)&gt;0,INDEX(filter(G$1:G724,$D$1:$D724=$D725,$E$1:$E724=E725),1),""Selecciona..""))"),"")</f>
        <v/>
      </c>
      <c r="H725" s="4" t="str">
        <f>IF(D725="","",COUNTIF(Productos!G:G,C725))</f>
        <v/>
      </c>
      <c r="J725" s="90"/>
    </row>
    <row r="726">
      <c r="A726" s="2" t="str">
        <f t="shared" si="1"/>
        <v/>
      </c>
      <c r="B726" s="4"/>
      <c r="C726" s="4"/>
      <c r="D726" s="3" t="str">
        <f t="shared" si="2"/>
        <v/>
      </c>
      <c r="E726" s="4"/>
      <c r="F726" s="2" t="str">
        <f>IFERROR(__xludf.DUMMYFUNCTION("IF(E726="""","""",IF(COUNTIFS(D$1:D725,D726,E$1:E725,E726)&gt;0,INDEX(filter(F$1:F725,D$1:D725=D726,E$1:E725=E726),1),""Selecciona..""))"),"")</f>
        <v/>
      </c>
      <c r="G726" s="2" t="str">
        <f>IFERROR(__xludf.DUMMYFUNCTION("IF($E726="""","""",IF(COUNTIFS($D$1:$D725,$D726,$E$1:$E725,$E726)&gt;0,INDEX(filter(G$1:G725,$D$1:$D725=$D726,$E$1:$E725=E726),1),""Selecciona..""))"),"")</f>
        <v/>
      </c>
      <c r="H726" s="4" t="str">
        <f>IF(D726="","",COUNTIF(Productos!G:G,C726))</f>
        <v/>
      </c>
      <c r="J726" s="90"/>
    </row>
    <row r="727">
      <c r="A727" s="2" t="str">
        <f t="shared" si="1"/>
        <v/>
      </c>
      <c r="B727" s="4"/>
      <c r="C727" s="4"/>
      <c r="D727" s="3" t="str">
        <f t="shared" si="2"/>
        <v/>
      </c>
      <c r="E727" s="4"/>
      <c r="F727" s="2" t="str">
        <f>IFERROR(__xludf.DUMMYFUNCTION("IF(E727="""","""",IF(COUNTIFS(D$1:D726,D727,E$1:E726,E727)&gt;0,INDEX(filter(F$1:F726,D$1:D726=D727,E$1:E726=E727),1),""Selecciona..""))"),"")</f>
        <v/>
      </c>
      <c r="G727" s="2" t="str">
        <f>IFERROR(__xludf.DUMMYFUNCTION("IF($E727="""","""",IF(COUNTIFS($D$1:$D726,$D727,$E$1:$E726,$E727)&gt;0,INDEX(filter(G$1:G726,$D$1:$D726=$D727,$E$1:$E726=E727),1),""Selecciona..""))"),"")</f>
        <v/>
      </c>
      <c r="H727" s="4" t="str">
        <f>IF(D727="","",COUNTIF(Productos!G:G,C727))</f>
        <v/>
      </c>
      <c r="J727" s="90"/>
    </row>
    <row r="728">
      <c r="A728" s="2" t="str">
        <f t="shared" si="1"/>
        <v/>
      </c>
      <c r="B728" s="4"/>
      <c r="C728" s="4"/>
      <c r="D728" s="3" t="str">
        <f t="shared" si="2"/>
        <v/>
      </c>
      <c r="E728" s="4"/>
      <c r="F728" s="2" t="str">
        <f>IFERROR(__xludf.DUMMYFUNCTION("IF(E728="""","""",IF(COUNTIFS(D$1:D727,D728,E$1:E727,E728)&gt;0,INDEX(filter(F$1:F727,D$1:D727=D728,E$1:E727=E728),1),""Selecciona..""))"),"")</f>
        <v/>
      </c>
      <c r="G728" s="2" t="str">
        <f>IFERROR(__xludf.DUMMYFUNCTION("IF($E728="""","""",IF(COUNTIFS($D$1:$D727,$D728,$E$1:$E727,$E728)&gt;0,INDEX(filter(G$1:G727,$D$1:$D727=$D728,$E$1:$E727=E728),1),""Selecciona..""))"),"")</f>
        <v/>
      </c>
      <c r="H728" s="4" t="str">
        <f>IF(D728="","",COUNTIF(Productos!G:G,C728))</f>
        <v/>
      </c>
      <c r="J728" s="90"/>
    </row>
    <row r="729">
      <c r="A729" s="2" t="str">
        <f t="shared" si="1"/>
        <v/>
      </c>
      <c r="B729" s="4"/>
      <c r="C729" s="4"/>
      <c r="D729" s="3" t="str">
        <f t="shared" si="2"/>
        <v/>
      </c>
      <c r="E729" s="4"/>
      <c r="F729" s="2" t="str">
        <f>IFERROR(__xludf.DUMMYFUNCTION("IF(E729="""","""",IF(COUNTIFS(D$1:D728,D729,E$1:E728,E729)&gt;0,INDEX(filter(F$1:F728,D$1:D728=D729,E$1:E728=E729),1),""Selecciona..""))"),"")</f>
        <v/>
      </c>
      <c r="G729" s="2" t="str">
        <f>IFERROR(__xludf.DUMMYFUNCTION("IF($E729="""","""",IF(COUNTIFS($D$1:$D728,$D729,$E$1:$E728,$E729)&gt;0,INDEX(filter(G$1:G728,$D$1:$D728=$D729,$E$1:$E728=E729),1),""Selecciona..""))"),"")</f>
        <v/>
      </c>
      <c r="H729" s="4" t="str">
        <f>IF(D729="","",COUNTIF(Productos!G:G,C729))</f>
        <v/>
      </c>
      <c r="J729" s="90"/>
    </row>
    <row r="730">
      <c r="A730" s="2" t="str">
        <f t="shared" si="1"/>
        <v/>
      </c>
      <c r="B730" s="4"/>
      <c r="C730" s="4"/>
      <c r="D730" s="3" t="str">
        <f t="shared" si="2"/>
        <v/>
      </c>
      <c r="E730" s="4"/>
      <c r="F730" s="2" t="str">
        <f>IFERROR(__xludf.DUMMYFUNCTION("IF(E730="""","""",IF(COUNTIFS(D$1:D729,D730,E$1:E729,E730)&gt;0,INDEX(filter(F$1:F729,D$1:D729=D730,E$1:E729=E730),1),""Selecciona..""))"),"")</f>
        <v/>
      </c>
      <c r="G730" s="2" t="str">
        <f>IFERROR(__xludf.DUMMYFUNCTION("IF($E730="""","""",IF(COUNTIFS($D$1:$D729,$D730,$E$1:$E729,$E730)&gt;0,INDEX(filter(G$1:G729,$D$1:$D729=$D730,$E$1:$E729=E730),1),""Selecciona..""))"),"")</f>
        <v/>
      </c>
      <c r="H730" s="4" t="str">
        <f>IF(D730="","",COUNTIF(Productos!G:G,C730))</f>
        <v/>
      </c>
      <c r="J730" s="90"/>
    </row>
    <row r="731">
      <c r="A731" s="2" t="str">
        <f t="shared" si="1"/>
        <v/>
      </c>
      <c r="B731" s="4"/>
      <c r="C731" s="4"/>
      <c r="D731" s="3" t="str">
        <f t="shared" si="2"/>
        <v/>
      </c>
      <c r="E731" s="4"/>
      <c r="F731" s="2" t="str">
        <f>IFERROR(__xludf.DUMMYFUNCTION("IF(E731="""","""",IF(COUNTIFS(D$1:D730,D731,E$1:E730,E731)&gt;0,INDEX(filter(F$1:F730,D$1:D730=D731,E$1:E730=E731),1),""Selecciona..""))"),"")</f>
        <v/>
      </c>
      <c r="G731" s="2" t="str">
        <f>IFERROR(__xludf.DUMMYFUNCTION("IF($E731="""","""",IF(COUNTIFS($D$1:$D730,$D731,$E$1:$E730,$E731)&gt;0,INDEX(filter(G$1:G730,$D$1:$D730=$D731,$E$1:$E730=E731),1),""Selecciona..""))"),"")</f>
        <v/>
      </c>
      <c r="H731" s="4" t="str">
        <f>IF(D731="","",COUNTIF(Productos!G:G,C731))</f>
        <v/>
      </c>
      <c r="J731" s="90"/>
    </row>
    <row r="732">
      <c r="A732" s="2" t="str">
        <f t="shared" si="1"/>
        <v/>
      </c>
      <c r="B732" s="4"/>
      <c r="C732" s="4"/>
      <c r="D732" s="3" t="str">
        <f t="shared" si="2"/>
        <v/>
      </c>
      <c r="E732" s="4"/>
      <c r="F732" s="2" t="str">
        <f>IFERROR(__xludf.DUMMYFUNCTION("IF(E732="""","""",IF(COUNTIFS(D$1:D731,D732,E$1:E731,E732)&gt;0,INDEX(filter(F$1:F731,D$1:D731=D732,E$1:E731=E732),1),""Selecciona..""))"),"")</f>
        <v/>
      </c>
      <c r="G732" s="2" t="str">
        <f>IFERROR(__xludf.DUMMYFUNCTION("IF($E732="""","""",IF(COUNTIFS($D$1:$D731,$D732,$E$1:$E731,$E732)&gt;0,INDEX(filter(G$1:G731,$D$1:$D731=$D732,$E$1:$E731=E732),1),""Selecciona..""))"),"")</f>
        <v/>
      </c>
      <c r="H732" s="4" t="str">
        <f>IF(D732="","",COUNTIF(Productos!G:G,C732))</f>
        <v/>
      </c>
      <c r="J732" s="90"/>
    </row>
    <row r="733">
      <c r="A733" s="2" t="str">
        <f t="shared" si="1"/>
        <v/>
      </c>
      <c r="B733" s="4"/>
      <c r="C733" s="4"/>
      <c r="D733" s="3" t="str">
        <f t="shared" si="2"/>
        <v/>
      </c>
      <c r="E733" s="4"/>
      <c r="F733" s="2" t="str">
        <f>IFERROR(__xludf.DUMMYFUNCTION("IF(E733="""","""",IF(COUNTIFS(D$1:D732,D733,E$1:E732,E733)&gt;0,INDEX(filter(F$1:F732,D$1:D732=D733,E$1:E732=E733),1),""Selecciona..""))"),"")</f>
        <v/>
      </c>
      <c r="G733" s="2" t="str">
        <f>IFERROR(__xludf.DUMMYFUNCTION("IF($E733="""","""",IF(COUNTIFS($D$1:$D732,$D733,$E$1:$E732,$E733)&gt;0,INDEX(filter(G$1:G732,$D$1:$D732=$D733,$E$1:$E732=E733),1),""Selecciona..""))"),"")</f>
        <v/>
      </c>
      <c r="H733" s="4" t="str">
        <f>IF(D733="","",COUNTIF(Productos!G:G,C733))</f>
        <v/>
      </c>
      <c r="J733" s="90"/>
    </row>
    <row r="734">
      <c r="A734" s="2" t="str">
        <f t="shared" si="1"/>
        <v/>
      </c>
      <c r="B734" s="4"/>
      <c r="C734" s="4"/>
      <c r="D734" s="3" t="str">
        <f t="shared" si="2"/>
        <v/>
      </c>
      <c r="E734" s="4"/>
      <c r="F734" s="2" t="str">
        <f>IFERROR(__xludf.DUMMYFUNCTION("IF(E734="""","""",IF(COUNTIFS(D$1:D733,D734,E$1:E733,E734)&gt;0,INDEX(filter(F$1:F733,D$1:D733=D734,E$1:E733=E734),1),""Selecciona..""))"),"")</f>
        <v/>
      </c>
      <c r="G734" s="2" t="str">
        <f>IFERROR(__xludf.DUMMYFUNCTION("IF($E734="""","""",IF(COUNTIFS($D$1:$D733,$D734,$E$1:$E733,$E734)&gt;0,INDEX(filter(G$1:G733,$D$1:$D733=$D734,$E$1:$E733=E734),1),""Selecciona..""))"),"")</f>
        <v/>
      </c>
      <c r="H734" s="4" t="str">
        <f>IF(D734="","",COUNTIF(Productos!G:G,C734))</f>
        <v/>
      </c>
      <c r="J734" s="90"/>
    </row>
    <row r="735">
      <c r="A735" s="2" t="str">
        <f t="shared" si="1"/>
        <v/>
      </c>
      <c r="B735" s="4"/>
      <c r="C735" s="4"/>
      <c r="D735" s="3" t="str">
        <f t="shared" si="2"/>
        <v/>
      </c>
      <c r="E735" s="4"/>
      <c r="F735" s="2" t="str">
        <f>IFERROR(__xludf.DUMMYFUNCTION("IF(E735="""","""",IF(COUNTIFS(D$1:D734,D735,E$1:E734,E735)&gt;0,INDEX(filter(F$1:F734,D$1:D734=D735,E$1:E734=E735),1),""Selecciona..""))"),"")</f>
        <v/>
      </c>
      <c r="G735" s="2" t="str">
        <f>IFERROR(__xludf.DUMMYFUNCTION("IF($E735="""","""",IF(COUNTIFS($D$1:$D734,$D735,$E$1:$E734,$E735)&gt;0,INDEX(filter(G$1:G734,$D$1:$D734=$D735,$E$1:$E734=E735),1),""Selecciona..""))"),"")</f>
        <v/>
      </c>
      <c r="H735" s="4" t="str">
        <f>IF(D735="","",COUNTIF(Productos!G:G,C735))</f>
        <v/>
      </c>
      <c r="J735" s="90"/>
    </row>
    <row r="736">
      <c r="A736" s="2" t="str">
        <f t="shared" si="1"/>
        <v/>
      </c>
      <c r="B736" s="4"/>
      <c r="C736" s="4"/>
      <c r="D736" s="3" t="str">
        <f t="shared" si="2"/>
        <v/>
      </c>
      <c r="E736" s="4"/>
      <c r="F736" s="2" t="str">
        <f>IFERROR(__xludf.DUMMYFUNCTION("IF(E736="""","""",IF(COUNTIFS(D$1:D735,D736,E$1:E735,E736)&gt;0,INDEX(filter(F$1:F735,D$1:D735=D736,E$1:E735=E736),1),""Selecciona..""))"),"")</f>
        <v/>
      </c>
      <c r="G736" s="2" t="str">
        <f>IFERROR(__xludf.DUMMYFUNCTION("IF($E736="""","""",IF(COUNTIFS($D$1:$D735,$D736,$E$1:$E735,$E736)&gt;0,INDEX(filter(G$1:G735,$D$1:$D735=$D736,$E$1:$E735=E736),1),""Selecciona..""))"),"")</f>
        <v/>
      </c>
      <c r="H736" s="4" t="str">
        <f>IF(D736="","",COUNTIF(Productos!G:G,C736))</f>
        <v/>
      </c>
      <c r="J736" s="90"/>
    </row>
    <row r="737">
      <c r="A737" s="2" t="str">
        <f t="shared" si="1"/>
        <v/>
      </c>
      <c r="B737" s="4"/>
      <c r="C737" s="4"/>
      <c r="D737" s="3" t="str">
        <f t="shared" si="2"/>
        <v/>
      </c>
      <c r="E737" s="4"/>
      <c r="F737" s="2" t="str">
        <f>IFERROR(__xludf.DUMMYFUNCTION("IF(E737="""","""",IF(COUNTIFS(D$1:D736,D737,E$1:E736,E737)&gt;0,INDEX(filter(F$1:F736,D$1:D736=D737,E$1:E736=E737),1),""Selecciona..""))"),"")</f>
        <v/>
      </c>
      <c r="G737" s="2" t="str">
        <f>IFERROR(__xludf.DUMMYFUNCTION("IF($E737="""","""",IF(COUNTIFS($D$1:$D736,$D737,$E$1:$E736,$E737)&gt;0,INDEX(filter(G$1:G736,$D$1:$D736=$D737,$E$1:$E736=E737),1),""Selecciona..""))"),"")</f>
        <v/>
      </c>
      <c r="H737" s="4" t="str">
        <f>IF(D737="","",COUNTIF(Productos!G:G,C737))</f>
        <v/>
      </c>
      <c r="J737" s="90"/>
    </row>
    <row r="738">
      <c r="A738" s="2" t="str">
        <f t="shared" si="1"/>
        <v/>
      </c>
      <c r="B738" s="4"/>
      <c r="C738" s="4"/>
      <c r="D738" s="3" t="str">
        <f t="shared" si="2"/>
        <v/>
      </c>
      <c r="E738" s="4"/>
      <c r="F738" s="2" t="str">
        <f>IFERROR(__xludf.DUMMYFUNCTION("IF(E738="""","""",IF(COUNTIFS(D$1:D737,D738,E$1:E737,E738)&gt;0,INDEX(filter(F$1:F737,D$1:D737=D738,E$1:E737=E738),1),""Selecciona..""))"),"")</f>
        <v/>
      </c>
      <c r="G738" s="2" t="str">
        <f>IFERROR(__xludf.DUMMYFUNCTION("IF($E738="""","""",IF(COUNTIFS($D$1:$D737,$D738,$E$1:$E737,$E738)&gt;0,INDEX(filter(G$1:G737,$D$1:$D737=$D738,$E$1:$E737=E738),1),""Selecciona..""))"),"")</f>
        <v/>
      </c>
      <c r="H738" s="4" t="str">
        <f>IF(D738="","",COUNTIF(Productos!G:G,C738))</f>
        <v/>
      </c>
      <c r="J738" s="90"/>
    </row>
    <row r="739">
      <c r="A739" s="2" t="str">
        <f t="shared" si="1"/>
        <v/>
      </c>
      <c r="B739" s="4"/>
      <c r="C739" s="4"/>
      <c r="D739" s="3" t="str">
        <f t="shared" si="2"/>
        <v/>
      </c>
      <c r="E739" s="4"/>
      <c r="F739" s="2" t="str">
        <f>IFERROR(__xludf.DUMMYFUNCTION("IF(E739="""","""",IF(COUNTIFS(D$1:D738,D739,E$1:E738,E739)&gt;0,INDEX(filter(F$1:F738,D$1:D738=D739,E$1:E738=E739),1),""Selecciona..""))"),"")</f>
        <v/>
      </c>
      <c r="G739" s="2" t="str">
        <f>IFERROR(__xludf.DUMMYFUNCTION("IF($E739="""","""",IF(COUNTIFS($D$1:$D738,$D739,$E$1:$E738,$E739)&gt;0,INDEX(filter(G$1:G738,$D$1:$D738=$D739,$E$1:$E738=E739),1),""Selecciona..""))"),"")</f>
        <v/>
      </c>
      <c r="H739" s="4" t="str">
        <f>IF(D739="","",COUNTIF(Productos!G:G,C739))</f>
        <v/>
      </c>
      <c r="J739" s="90"/>
    </row>
    <row r="740">
      <c r="A740" s="2" t="str">
        <f t="shared" si="1"/>
        <v/>
      </c>
      <c r="B740" s="4"/>
      <c r="C740" s="4"/>
      <c r="D740" s="3" t="str">
        <f t="shared" si="2"/>
        <v/>
      </c>
      <c r="E740" s="4"/>
      <c r="F740" s="2" t="str">
        <f>IFERROR(__xludf.DUMMYFUNCTION("IF(E740="""","""",IF(COUNTIFS(D$1:D739,D740,E$1:E739,E740)&gt;0,INDEX(filter(F$1:F739,D$1:D739=D740,E$1:E739=E740),1),""Selecciona..""))"),"")</f>
        <v/>
      </c>
      <c r="G740" s="2" t="str">
        <f>IFERROR(__xludf.DUMMYFUNCTION("IF($E740="""","""",IF(COUNTIFS($D$1:$D739,$D740,$E$1:$E739,$E740)&gt;0,INDEX(filter(G$1:G739,$D$1:$D739=$D740,$E$1:$E739=E740),1),""Selecciona..""))"),"")</f>
        <v/>
      </c>
      <c r="H740" s="4" t="str">
        <f>IF(D740="","",COUNTIF(Productos!G:G,C740))</f>
        <v/>
      </c>
      <c r="J740" s="90"/>
    </row>
    <row r="741">
      <c r="A741" s="2" t="str">
        <f t="shared" si="1"/>
        <v/>
      </c>
      <c r="B741" s="4"/>
      <c r="C741" s="4"/>
      <c r="D741" s="3" t="str">
        <f t="shared" si="2"/>
        <v/>
      </c>
      <c r="E741" s="4"/>
      <c r="F741" s="2" t="str">
        <f>IFERROR(__xludf.DUMMYFUNCTION("IF(E741="""","""",IF(COUNTIFS(D$1:D740,D741,E$1:E740,E741)&gt;0,INDEX(filter(F$1:F740,D$1:D740=D741,E$1:E740=E741),1),""Selecciona..""))"),"")</f>
        <v/>
      </c>
      <c r="G741" s="2" t="str">
        <f>IFERROR(__xludf.DUMMYFUNCTION("IF($E741="""","""",IF(COUNTIFS($D$1:$D740,$D741,$E$1:$E740,$E741)&gt;0,INDEX(filter(G$1:G740,$D$1:$D740=$D741,$E$1:$E740=E741),1),""Selecciona..""))"),"")</f>
        <v/>
      </c>
      <c r="H741" s="4" t="str">
        <f>IF(D741="","",COUNTIF(Productos!G:G,C741))</f>
        <v/>
      </c>
      <c r="J741" s="90"/>
    </row>
    <row r="742">
      <c r="A742" s="2" t="str">
        <f t="shared" si="1"/>
        <v/>
      </c>
      <c r="B742" s="4"/>
      <c r="C742" s="4"/>
      <c r="D742" s="3" t="str">
        <f t="shared" si="2"/>
        <v/>
      </c>
      <c r="E742" s="4"/>
      <c r="F742" s="2" t="str">
        <f>IFERROR(__xludf.DUMMYFUNCTION("IF(E742="""","""",IF(COUNTIFS(D$1:D741,D742,E$1:E741,E742)&gt;0,INDEX(filter(F$1:F741,D$1:D741=D742,E$1:E741=E742),1),""Selecciona..""))"),"")</f>
        <v/>
      </c>
      <c r="G742" s="2" t="str">
        <f>IFERROR(__xludf.DUMMYFUNCTION("IF($E742="""","""",IF(COUNTIFS($D$1:$D741,$D742,$E$1:$E741,$E742)&gt;0,INDEX(filter(G$1:G741,$D$1:$D741=$D742,$E$1:$E741=E742),1),""Selecciona..""))"),"")</f>
        <v/>
      </c>
      <c r="H742" s="4" t="str">
        <f>IF(D742="","",COUNTIF(Productos!G:G,C742))</f>
        <v/>
      </c>
      <c r="J742" s="90"/>
    </row>
    <row r="743">
      <c r="A743" s="2" t="str">
        <f t="shared" si="1"/>
        <v/>
      </c>
      <c r="B743" s="4"/>
      <c r="C743" s="4"/>
      <c r="D743" s="3" t="str">
        <f t="shared" si="2"/>
        <v/>
      </c>
      <c r="E743" s="4"/>
      <c r="F743" s="2" t="str">
        <f>IFERROR(__xludf.DUMMYFUNCTION("IF(E743="""","""",IF(COUNTIFS(D$1:D742,D743,E$1:E742,E743)&gt;0,INDEX(filter(F$1:F742,D$1:D742=D743,E$1:E742=E743),1),""Selecciona..""))"),"")</f>
        <v/>
      </c>
      <c r="G743" s="2" t="str">
        <f>IFERROR(__xludf.DUMMYFUNCTION("IF($E743="""","""",IF(COUNTIFS($D$1:$D742,$D743,$E$1:$E742,$E743)&gt;0,INDEX(filter(G$1:G742,$D$1:$D742=$D743,$E$1:$E742=E743),1),""Selecciona..""))"),"")</f>
        <v/>
      </c>
      <c r="H743" s="4" t="str">
        <f>IF(D743="","",COUNTIF(Productos!G:G,C743))</f>
        <v/>
      </c>
      <c r="J743" s="90"/>
    </row>
    <row r="744">
      <c r="A744" s="2" t="str">
        <f t="shared" si="1"/>
        <v/>
      </c>
      <c r="B744" s="4"/>
      <c r="C744" s="4"/>
      <c r="D744" s="3" t="str">
        <f t="shared" si="2"/>
        <v/>
      </c>
      <c r="E744" s="4"/>
      <c r="F744" s="2" t="str">
        <f>IFERROR(__xludf.DUMMYFUNCTION("IF(E744="""","""",IF(COUNTIFS(D$1:D743,D744,E$1:E743,E744)&gt;0,INDEX(filter(F$1:F743,D$1:D743=D744,E$1:E743=E744),1),""Selecciona..""))"),"")</f>
        <v/>
      </c>
      <c r="G744" s="2" t="str">
        <f>IFERROR(__xludf.DUMMYFUNCTION("IF($E744="""","""",IF(COUNTIFS($D$1:$D743,$D744,$E$1:$E743,$E744)&gt;0,INDEX(filter(G$1:G743,$D$1:$D743=$D744,$E$1:$E743=E744),1),""Selecciona..""))"),"")</f>
        <v/>
      </c>
      <c r="H744" s="4" t="str">
        <f>IF(D744="","",COUNTIF(Productos!G:G,C744))</f>
        <v/>
      </c>
      <c r="J744" s="90"/>
    </row>
    <row r="745">
      <c r="A745" s="2" t="str">
        <f t="shared" si="1"/>
        <v/>
      </c>
      <c r="B745" s="4"/>
      <c r="C745" s="4"/>
      <c r="D745" s="3" t="str">
        <f t="shared" si="2"/>
        <v/>
      </c>
      <c r="E745" s="4"/>
      <c r="F745" s="2" t="str">
        <f>IFERROR(__xludf.DUMMYFUNCTION("IF(E745="""","""",IF(COUNTIFS(D$1:D744,D745,E$1:E744,E745)&gt;0,INDEX(filter(F$1:F744,D$1:D744=D745,E$1:E744=E745),1),""Selecciona..""))"),"")</f>
        <v/>
      </c>
      <c r="G745" s="2" t="str">
        <f>IFERROR(__xludf.DUMMYFUNCTION("IF($E745="""","""",IF(COUNTIFS($D$1:$D744,$D745,$E$1:$E744,$E745)&gt;0,INDEX(filter(G$1:G744,$D$1:$D744=$D745,$E$1:$E744=E745),1),""Selecciona..""))"),"")</f>
        <v/>
      </c>
      <c r="H745" s="4" t="str">
        <f>IF(D745="","",COUNTIF(Productos!G:G,C745))</f>
        <v/>
      </c>
      <c r="J745" s="90"/>
    </row>
    <row r="746">
      <c r="A746" s="2" t="str">
        <f t="shared" si="1"/>
        <v/>
      </c>
      <c r="B746" s="4"/>
      <c r="C746" s="4"/>
      <c r="D746" s="3" t="str">
        <f t="shared" si="2"/>
        <v/>
      </c>
      <c r="E746" s="4"/>
      <c r="F746" s="2" t="str">
        <f>IFERROR(__xludf.DUMMYFUNCTION("IF(E746="""","""",IF(COUNTIFS(D$1:D745,D746,E$1:E745,E746)&gt;0,INDEX(filter(F$1:F745,D$1:D745=D746,E$1:E745=E746),1),""Selecciona..""))"),"")</f>
        <v/>
      </c>
      <c r="G746" s="2" t="str">
        <f>IFERROR(__xludf.DUMMYFUNCTION("IF($E746="""","""",IF(COUNTIFS($D$1:$D745,$D746,$E$1:$E745,$E746)&gt;0,INDEX(filter(G$1:G745,$D$1:$D745=$D746,$E$1:$E745=E746),1),""Selecciona..""))"),"")</f>
        <v/>
      </c>
      <c r="H746" s="4" t="str">
        <f>IF(D746="","",COUNTIF(Productos!G:G,C746))</f>
        <v/>
      </c>
      <c r="J746" s="90"/>
    </row>
    <row r="747">
      <c r="A747" s="2" t="str">
        <f t="shared" si="1"/>
        <v/>
      </c>
      <c r="B747" s="4"/>
      <c r="C747" s="4"/>
      <c r="D747" s="3" t="str">
        <f t="shared" si="2"/>
        <v/>
      </c>
      <c r="E747" s="4"/>
      <c r="F747" s="2" t="str">
        <f>IFERROR(__xludf.DUMMYFUNCTION("IF(E747="""","""",IF(COUNTIFS(D$1:D746,D747,E$1:E746,E747)&gt;0,INDEX(filter(F$1:F746,D$1:D746=D747,E$1:E746=E747),1),""Selecciona..""))"),"")</f>
        <v/>
      </c>
      <c r="G747" s="2" t="str">
        <f>IFERROR(__xludf.DUMMYFUNCTION("IF($E747="""","""",IF(COUNTIFS($D$1:$D746,$D747,$E$1:$E746,$E747)&gt;0,INDEX(filter(G$1:G746,$D$1:$D746=$D747,$E$1:$E746=E747),1),""Selecciona..""))"),"")</f>
        <v/>
      </c>
      <c r="H747" s="4" t="str">
        <f>IF(D747="","",COUNTIF(Productos!G:G,C747))</f>
        <v/>
      </c>
      <c r="J747" s="90"/>
    </row>
    <row r="748">
      <c r="A748" s="2" t="str">
        <f t="shared" si="1"/>
        <v/>
      </c>
      <c r="B748" s="4"/>
      <c r="C748" s="4"/>
      <c r="D748" s="3" t="str">
        <f t="shared" si="2"/>
        <v/>
      </c>
      <c r="E748" s="4"/>
      <c r="F748" s="2" t="str">
        <f>IFERROR(__xludf.DUMMYFUNCTION("IF(E748="""","""",IF(COUNTIFS(D$1:D747,D748,E$1:E747,E748)&gt;0,INDEX(filter(F$1:F747,D$1:D747=D748,E$1:E747=E748),1),""Selecciona..""))"),"")</f>
        <v/>
      </c>
      <c r="G748" s="2" t="str">
        <f>IFERROR(__xludf.DUMMYFUNCTION("IF($E748="""","""",IF(COUNTIFS($D$1:$D747,$D748,$E$1:$E747,$E748)&gt;0,INDEX(filter(G$1:G747,$D$1:$D747=$D748,$E$1:$E747=E748),1),""Selecciona..""))"),"")</f>
        <v/>
      </c>
      <c r="H748" s="4" t="str">
        <f>IF(D748="","",COUNTIF(Productos!G:G,C748))</f>
        <v/>
      </c>
      <c r="J748" s="90"/>
    </row>
    <row r="749">
      <c r="A749" s="2" t="str">
        <f t="shared" si="1"/>
        <v/>
      </c>
      <c r="B749" s="4"/>
      <c r="C749" s="4"/>
      <c r="D749" s="3" t="str">
        <f t="shared" si="2"/>
        <v/>
      </c>
      <c r="E749" s="4"/>
      <c r="F749" s="2" t="str">
        <f>IFERROR(__xludf.DUMMYFUNCTION("IF(E749="""","""",IF(COUNTIFS(D$1:D748,D749,E$1:E748,E749)&gt;0,INDEX(filter(F$1:F748,D$1:D748=D749,E$1:E748=E749),1),""Selecciona..""))"),"")</f>
        <v/>
      </c>
      <c r="G749" s="2" t="str">
        <f>IFERROR(__xludf.DUMMYFUNCTION("IF($E749="""","""",IF(COUNTIFS($D$1:$D748,$D749,$E$1:$E748,$E749)&gt;0,INDEX(filter(G$1:G748,$D$1:$D748=$D749,$E$1:$E748=E749),1),""Selecciona..""))"),"")</f>
        <v/>
      </c>
      <c r="H749" s="4" t="str">
        <f>IF(D749="","",COUNTIF(Productos!G:G,C749))</f>
        <v/>
      </c>
      <c r="J749" s="90"/>
    </row>
    <row r="750">
      <c r="A750" s="2" t="str">
        <f t="shared" si="1"/>
        <v/>
      </c>
      <c r="B750" s="4"/>
      <c r="C750" s="4"/>
      <c r="D750" s="3" t="str">
        <f t="shared" si="2"/>
        <v/>
      </c>
      <c r="E750" s="4"/>
      <c r="F750" s="2" t="str">
        <f>IFERROR(__xludf.DUMMYFUNCTION("IF(E750="""","""",IF(COUNTIFS(D$1:D749,D750,E$1:E749,E750)&gt;0,INDEX(filter(F$1:F749,D$1:D749=D750,E$1:E749=E750),1),""Selecciona..""))"),"")</f>
        <v/>
      </c>
      <c r="G750" s="2" t="str">
        <f>IFERROR(__xludf.DUMMYFUNCTION("IF($E750="""","""",IF(COUNTIFS($D$1:$D749,$D750,$E$1:$E749,$E750)&gt;0,INDEX(filter(G$1:G749,$D$1:$D749=$D750,$E$1:$E749=E750),1),""Selecciona..""))"),"")</f>
        <v/>
      </c>
      <c r="H750" s="4" t="str">
        <f>IF(D750="","",COUNTIF(Productos!G:G,C750))</f>
        <v/>
      </c>
      <c r="J750" s="90"/>
    </row>
    <row r="751">
      <c r="A751" s="2" t="str">
        <f t="shared" si="1"/>
        <v/>
      </c>
      <c r="B751" s="4"/>
      <c r="C751" s="4"/>
      <c r="D751" s="3" t="str">
        <f t="shared" si="2"/>
        <v/>
      </c>
      <c r="E751" s="4"/>
      <c r="F751" s="2" t="str">
        <f>IFERROR(__xludf.DUMMYFUNCTION("IF(E751="""","""",IF(COUNTIFS(D$1:D750,D751,E$1:E750,E751)&gt;0,INDEX(filter(F$1:F750,D$1:D750=D751,E$1:E750=E751),1),""Selecciona..""))"),"")</f>
        <v/>
      </c>
      <c r="G751" s="2" t="str">
        <f>IFERROR(__xludf.DUMMYFUNCTION("IF($E751="""","""",IF(COUNTIFS($D$1:$D750,$D751,$E$1:$E750,$E751)&gt;0,INDEX(filter(G$1:G750,$D$1:$D750=$D751,$E$1:$E750=E751),1),""Selecciona..""))"),"")</f>
        <v/>
      </c>
      <c r="H751" s="4" t="str">
        <f>IF(D751="","",COUNTIF(Productos!G:G,C751))</f>
        <v/>
      </c>
      <c r="J751" s="90"/>
    </row>
    <row r="752">
      <c r="A752" s="2" t="str">
        <f t="shared" si="1"/>
        <v/>
      </c>
      <c r="B752" s="4"/>
      <c r="C752" s="4"/>
      <c r="D752" s="3" t="str">
        <f t="shared" si="2"/>
        <v/>
      </c>
      <c r="E752" s="4"/>
      <c r="F752" s="2" t="str">
        <f>IFERROR(__xludf.DUMMYFUNCTION("IF(E752="""","""",IF(COUNTIFS(D$1:D751,D752,E$1:E751,E752)&gt;0,INDEX(filter(F$1:F751,D$1:D751=D752,E$1:E751=E752),1),""Selecciona..""))"),"")</f>
        <v/>
      </c>
      <c r="G752" s="2" t="str">
        <f>IFERROR(__xludf.DUMMYFUNCTION("IF($E752="""","""",IF(COUNTIFS($D$1:$D751,$D752,$E$1:$E751,$E752)&gt;0,INDEX(filter(G$1:G751,$D$1:$D751=$D752,$E$1:$E751=E752),1),""Selecciona..""))"),"")</f>
        <v/>
      </c>
      <c r="H752" s="4" t="str">
        <f>IF(D752="","",COUNTIF(Productos!G:G,C752))</f>
        <v/>
      </c>
      <c r="J752" s="90"/>
    </row>
    <row r="753">
      <c r="A753" s="2" t="str">
        <f t="shared" si="1"/>
        <v/>
      </c>
      <c r="B753" s="4"/>
      <c r="C753" s="4"/>
      <c r="D753" s="3" t="str">
        <f t="shared" si="2"/>
        <v/>
      </c>
      <c r="E753" s="4"/>
      <c r="F753" s="2" t="str">
        <f>IFERROR(__xludf.DUMMYFUNCTION("IF(E753="""","""",IF(COUNTIFS(D$1:D752,D753,E$1:E752,E753)&gt;0,INDEX(filter(F$1:F752,D$1:D752=D753,E$1:E752=E753),1),""Selecciona..""))"),"")</f>
        <v/>
      </c>
      <c r="G753" s="2" t="str">
        <f>IFERROR(__xludf.DUMMYFUNCTION("IF($E753="""","""",IF(COUNTIFS($D$1:$D752,$D753,$E$1:$E752,$E753)&gt;0,INDEX(filter(G$1:G752,$D$1:$D752=$D753,$E$1:$E752=E753),1),""Selecciona..""))"),"")</f>
        <v/>
      </c>
      <c r="H753" s="4" t="str">
        <f>IF(D753="","",COUNTIF(Productos!G:G,C753))</f>
        <v/>
      </c>
      <c r="J753" s="90"/>
    </row>
    <row r="754">
      <c r="A754" s="2" t="str">
        <f t="shared" si="1"/>
        <v/>
      </c>
      <c r="B754" s="4"/>
      <c r="C754" s="4"/>
      <c r="D754" s="3" t="str">
        <f t="shared" si="2"/>
        <v/>
      </c>
      <c r="E754" s="4"/>
      <c r="F754" s="2" t="str">
        <f>IFERROR(__xludf.DUMMYFUNCTION("IF(E754="""","""",IF(COUNTIFS(D$1:D753,D754,E$1:E753,E754)&gt;0,INDEX(filter(F$1:F753,D$1:D753=D754,E$1:E753=E754),1),""Selecciona..""))"),"")</f>
        <v/>
      </c>
      <c r="G754" s="2" t="str">
        <f>IFERROR(__xludf.DUMMYFUNCTION("IF($E754="""","""",IF(COUNTIFS($D$1:$D753,$D754,$E$1:$E753,$E754)&gt;0,INDEX(filter(G$1:G753,$D$1:$D753=$D754,$E$1:$E753=E754),1),""Selecciona..""))"),"")</f>
        <v/>
      </c>
      <c r="H754" s="4" t="str">
        <f>IF(D754="","",COUNTIF(Productos!G:G,C754))</f>
        <v/>
      </c>
      <c r="J754" s="90"/>
    </row>
    <row r="755">
      <c r="A755" s="2" t="str">
        <f t="shared" si="1"/>
        <v/>
      </c>
      <c r="B755" s="4"/>
      <c r="C755" s="4"/>
      <c r="D755" s="3" t="str">
        <f t="shared" si="2"/>
        <v/>
      </c>
      <c r="E755" s="4"/>
      <c r="F755" s="2" t="str">
        <f>IFERROR(__xludf.DUMMYFUNCTION("IF(E755="""","""",IF(COUNTIFS(D$1:D754,D755,E$1:E754,E755)&gt;0,INDEX(filter(F$1:F754,D$1:D754=D755,E$1:E754=E755),1),""Selecciona..""))"),"")</f>
        <v/>
      </c>
      <c r="G755" s="2" t="str">
        <f>IFERROR(__xludf.DUMMYFUNCTION("IF($E755="""","""",IF(COUNTIFS($D$1:$D754,$D755,$E$1:$E754,$E755)&gt;0,INDEX(filter(G$1:G754,$D$1:$D754=$D755,$E$1:$E754=E755),1),""Selecciona..""))"),"")</f>
        <v/>
      </c>
      <c r="H755" s="4" t="str">
        <f>IF(D755="","",COUNTIF(Productos!G:G,C755))</f>
        <v/>
      </c>
      <c r="J755" s="90"/>
    </row>
    <row r="756">
      <c r="A756" s="2" t="str">
        <f t="shared" si="1"/>
        <v/>
      </c>
      <c r="B756" s="4"/>
      <c r="C756" s="4"/>
      <c r="D756" s="3" t="str">
        <f t="shared" si="2"/>
        <v/>
      </c>
      <c r="E756" s="4"/>
      <c r="F756" s="2" t="str">
        <f>IFERROR(__xludf.DUMMYFUNCTION("IF(E756="""","""",IF(COUNTIFS(D$1:D755,D756,E$1:E755,E756)&gt;0,INDEX(filter(F$1:F755,D$1:D755=D756,E$1:E755=E756),1),""Selecciona..""))"),"")</f>
        <v/>
      </c>
      <c r="G756" s="2" t="str">
        <f>IFERROR(__xludf.DUMMYFUNCTION("IF($E756="""","""",IF(COUNTIFS($D$1:$D755,$D756,$E$1:$E755,$E756)&gt;0,INDEX(filter(G$1:G755,$D$1:$D755=$D756,$E$1:$E755=E756),1),""Selecciona..""))"),"")</f>
        <v/>
      </c>
      <c r="H756" s="4" t="str">
        <f>IF(D756="","",COUNTIF(Productos!G:G,C756))</f>
        <v/>
      </c>
      <c r="J756" s="90"/>
    </row>
    <row r="757">
      <c r="A757" s="2" t="str">
        <f t="shared" si="1"/>
        <v/>
      </c>
      <c r="B757" s="4"/>
      <c r="C757" s="4"/>
      <c r="D757" s="3" t="str">
        <f t="shared" si="2"/>
        <v/>
      </c>
      <c r="E757" s="4"/>
      <c r="F757" s="2" t="str">
        <f>IFERROR(__xludf.DUMMYFUNCTION("IF(E757="""","""",IF(COUNTIFS(D$1:D756,D757,E$1:E756,E757)&gt;0,INDEX(filter(F$1:F756,D$1:D756=D757,E$1:E756=E757),1),""Selecciona..""))"),"")</f>
        <v/>
      </c>
      <c r="G757" s="2" t="str">
        <f>IFERROR(__xludf.DUMMYFUNCTION("IF($E757="""","""",IF(COUNTIFS($D$1:$D756,$D757,$E$1:$E756,$E757)&gt;0,INDEX(filter(G$1:G756,$D$1:$D756=$D757,$E$1:$E756=E757),1),""Selecciona..""))"),"")</f>
        <v/>
      </c>
      <c r="H757" s="4" t="str">
        <f>IF(D757="","",COUNTIF(Productos!G:G,C757))</f>
        <v/>
      </c>
      <c r="J757" s="90"/>
    </row>
    <row r="758">
      <c r="A758" s="2" t="str">
        <f t="shared" si="1"/>
        <v/>
      </c>
      <c r="B758" s="4"/>
      <c r="C758" s="4"/>
      <c r="D758" s="3" t="str">
        <f t="shared" si="2"/>
        <v/>
      </c>
      <c r="E758" s="4"/>
      <c r="F758" s="2" t="str">
        <f>IFERROR(__xludf.DUMMYFUNCTION("IF(E758="""","""",IF(COUNTIFS(D$1:D757,D758,E$1:E757,E758)&gt;0,INDEX(filter(F$1:F757,D$1:D757=D758,E$1:E757=E758),1),""Selecciona..""))"),"")</f>
        <v/>
      </c>
      <c r="G758" s="2" t="str">
        <f>IFERROR(__xludf.DUMMYFUNCTION("IF($E758="""","""",IF(COUNTIFS($D$1:$D757,$D758,$E$1:$E757,$E758)&gt;0,INDEX(filter(G$1:G757,$D$1:$D757=$D758,$E$1:$E757=E758),1),""Selecciona..""))"),"")</f>
        <v/>
      </c>
      <c r="H758" s="4" t="str">
        <f>IF(D758="","",COUNTIF(Productos!G:G,C758))</f>
        <v/>
      </c>
      <c r="J758" s="90"/>
    </row>
    <row r="759">
      <c r="A759" s="2" t="str">
        <f t="shared" si="1"/>
        <v/>
      </c>
      <c r="B759" s="4"/>
      <c r="C759" s="4"/>
      <c r="D759" s="3" t="str">
        <f t="shared" si="2"/>
        <v/>
      </c>
      <c r="E759" s="4"/>
      <c r="F759" s="2" t="str">
        <f>IFERROR(__xludf.DUMMYFUNCTION("IF(E759="""","""",IF(COUNTIFS(D$1:D758,D759,E$1:E758,E759)&gt;0,INDEX(filter(F$1:F758,D$1:D758=D759,E$1:E758=E759),1),""Selecciona..""))"),"")</f>
        <v/>
      </c>
      <c r="G759" s="2" t="str">
        <f>IFERROR(__xludf.DUMMYFUNCTION("IF($E759="""","""",IF(COUNTIFS($D$1:$D758,$D759,$E$1:$E758,$E759)&gt;0,INDEX(filter(G$1:G758,$D$1:$D758=$D759,$E$1:$E758=E759),1),""Selecciona..""))"),"")</f>
        <v/>
      </c>
      <c r="H759" s="4" t="str">
        <f>IF(D759="","",COUNTIF(Productos!G:G,C759))</f>
        <v/>
      </c>
      <c r="J759" s="90"/>
    </row>
    <row r="760">
      <c r="A760" s="2" t="str">
        <f t="shared" si="1"/>
        <v/>
      </c>
      <c r="B760" s="4"/>
      <c r="C760" s="4"/>
      <c r="D760" s="3" t="str">
        <f t="shared" si="2"/>
        <v/>
      </c>
      <c r="E760" s="4"/>
      <c r="F760" s="2" t="str">
        <f>IFERROR(__xludf.DUMMYFUNCTION("IF(E760="""","""",IF(COUNTIFS(D$1:D759,D760,E$1:E759,E760)&gt;0,INDEX(filter(F$1:F759,D$1:D759=D760,E$1:E759=E760),1),""Selecciona..""))"),"")</f>
        <v/>
      </c>
      <c r="G760" s="2" t="str">
        <f>IFERROR(__xludf.DUMMYFUNCTION("IF($E760="""","""",IF(COUNTIFS($D$1:$D759,$D760,$E$1:$E759,$E760)&gt;0,INDEX(filter(G$1:G759,$D$1:$D759=$D760,$E$1:$E759=E760),1),""Selecciona..""))"),"")</f>
        <v/>
      </c>
      <c r="H760" s="4" t="str">
        <f>IF(D760="","",COUNTIF(Productos!G:G,C760))</f>
        <v/>
      </c>
      <c r="J760" s="90"/>
    </row>
    <row r="761">
      <c r="A761" s="2" t="str">
        <f t="shared" si="1"/>
        <v/>
      </c>
      <c r="B761" s="4"/>
      <c r="C761" s="4"/>
      <c r="D761" s="3" t="str">
        <f t="shared" si="2"/>
        <v/>
      </c>
      <c r="E761" s="4"/>
      <c r="F761" s="2" t="str">
        <f>IFERROR(__xludf.DUMMYFUNCTION("IF(E761="""","""",IF(COUNTIFS(D$1:D760,D761,E$1:E760,E761)&gt;0,INDEX(filter(F$1:F760,D$1:D760=D761,E$1:E760=E761),1),""Selecciona..""))"),"")</f>
        <v/>
      </c>
      <c r="G761" s="2" t="str">
        <f>IFERROR(__xludf.DUMMYFUNCTION("IF($E761="""","""",IF(COUNTIFS($D$1:$D760,$D761,$E$1:$E760,$E761)&gt;0,INDEX(filter(G$1:G760,$D$1:$D760=$D761,$E$1:$E760=E761),1),""Selecciona..""))"),"")</f>
        <v/>
      </c>
      <c r="H761" s="4" t="str">
        <f>IF(D761="","",COUNTIF(Productos!G:G,C761))</f>
        <v/>
      </c>
      <c r="J761" s="90"/>
    </row>
    <row r="762">
      <c r="A762" s="2" t="str">
        <f t="shared" si="1"/>
        <v/>
      </c>
      <c r="B762" s="4"/>
      <c r="C762" s="4"/>
      <c r="D762" s="3" t="str">
        <f t="shared" si="2"/>
        <v/>
      </c>
      <c r="E762" s="4"/>
      <c r="F762" s="2" t="str">
        <f>IFERROR(__xludf.DUMMYFUNCTION("IF(E762="""","""",IF(COUNTIFS(D$1:D761,D762,E$1:E761,E762)&gt;0,INDEX(filter(F$1:F761,D$1:D761=D762,E$1:E761=E762),1),""Selecciona..""))"),"")</f>
        <v/>
      </c>
      <c r="G762" s="2" t="str">
        <f>IFERROR(__xludf.DUMMYFUNCTION("IF($E762="""","""",IF(COUNTIFS($D$1:$D761,$D762,$E$1:$E761,$E762)&gt;0,INDEX(filter(G$1:G761,$D$1:$D761=$D762,$E$1:$E761=E762),1),""Selecciona..""))"),"")</f>
        <v/>
      </c>
      <c r="H762" s="4" t="str">
        <f>IF(D762="","",COUNTIF(Productos!G:G,C762))</f>
        <v/>
      </c>
      <c r="J762" s="90"/>
    </row>
    <row r="763">
      <c r="A763" s="2" t="str">
        <f t="shared" si="1"/>
        <v/>
      </c>
      <c r="B763" s="4"/>
      <c r="C763" s="4"/>
      <c r="D763" s="3" t="str">
        <f t="shared" si="2"/>
        <v/>
      </c>
      <c r="E763" s="4"/>
      <c r="F763" s="2" t="str">
        <f>IFERROR(__xludf.DUMMYFUNCTION("IF(E763="""","""",IF(COUNTIFS(D$1:D762,D763,E$1:E762,E763)&gt;0,INDEX(filter(F$1:F762,D$1:D762=D763,E$1:E762=E763),1),""Selecciona..""))"),"")</f>
        <v/>
      </c>
      <c r="G763" s="2" t="str">
        <f>IFERROR(__xludf.DUMMYFUNCTION("IF($E763="""","""",IF(COUNTIFS($D$1:$D762,$D763,$E$1:$E762,$E763)&gt;0,INDEX(filter(G$1:G762,$D$1:$D762=$D763,$E$1:$E762=E763),1),""Selecciona..""))"),"")</f>
        <v/>
      </c>
      <c r="H763" s="4" t="str">
        <f>IF(D763="","",COUNTIF(Productos!G:G,C763))</f>
        <v/>
      </c>
      <c r="J763" s="90"/>
    </row>
    <row r="764">
      <c r="A764" s="2" t="str">
        <f t="shared" si="1"/>
        <v/>
      </c>
      <c r="B764" s="4"/>
      <c r="C764" s="4"/>
      <c r="D764" s="3" t="str">
        <f t="shared" si="2"/>
        <v/>
      </c>
      <c r="E764" s="4"/>
      <c r="F764" s="2" t="str">
        <f>IFERROR(__xludf.DUMMYFUNCTION("IF(E764="""","""",IF(COUNTIFS(D$1:D763,D764,E$1:E763,E764)&gt;0,INDEX(filter(F$1:F763,D$1:D763=D764,E$1:E763=E764),1),""Selecciona..""))"),"")</f>
        <v/>
      </c>
      <c r="G764" s="2" t="str">
        <f>IFERROR(__xludf.DUMMYFUNCTION("IF($E764="""","""",IF(COUNTIFS($D$1:$D763,$D764,$E$1:$E763,$E764)&gt;0,INDEX(filter(G$1:G763,$D$1:$D763=$D764,$E$1:$E763=E764),1),""Selecciona..""))"),"")</f>
        <v/>
      </c>
      <c r="H764" s="4" t="str">
        <f>IF(D764="","",COUNTIF(Productos!G:G,C764))</f>
        <v/>
      </c>
      <c r="J764" s="90"/>
    </row>
    <row r="765">
      <c r="A765" s="2" t="str">
        <f t="shared" si="1"/>
        <v/>
      </c>
      <c r="B765" s="4"/>
      <c r="C765" s="4"/>
      <c r="D765" s="3" t="str">
        <f t="shared" si="2"/>
        <v/>
      </c>
      <c r="E765" s="4"/>
      <c r="F765" s="2" t="str">
        <f>IFERROR(__xludf.DUMMYFUNCTION("IF(E765="""","""",IF(COUNTIFS(D$1:D764,D765,E$1:E764,E765)&gt;0,INDEX(filter(F$1:F764,D$1:D764=D765,E$1:E764=E765),1),""Selecciona..""))"),"")</f>
        <v/>
      </c>
      <c r="G765" s="2" t="str">
        <f>IFERROR(__xludf.DUMMYFUNCTION("IF($E765="""","""",IF(COUNTIFS($D$1:$D764,$D765,$E$1:$E764,$E765)&gt;0,INDEX(filter(G$1:G764,$D$1:$D764=$D765,$E$1:$E764=E765),1),""Selecciona..""))"),"")</f>
        <v/>
      </c>
      <c r="H765" s="4" t="str">
        <f>IF(D765="","",COUNTIF(Productos!G:G,C765))</f>
        <v/>
      </c>
      <c r="J765" s="90"/>
    </row>
    <row r="766">
      <c r="A766" s="2" t="str">
        <f t="shared" si="1"/>
        <v/>
      </c>
      <c r="B766" s="4"/>
      <c r="C766" s="4"/>
      <c r="D766" s="3" t="str">
        <f t="shared" si="2"/>
        <v/>
      </c>
      <c r="E766" s="4"/>
      <c r="F766" s="2" t="str">
        <f>IFERROR(__xludf.DUMMYFUNCTION("IF(E766="""","""",IF(COUNTIFS(D$1:D765,D766,E$1:E765,E766)&gt;0,INDEX(filter(F$1:F765,D$1:D765=D766,E$1:E765=E766),1),""Selecciona..""))"),"")</f>
        <v/>
      </c>
      <c r="G766" s="2" t="str">
        <f>IFERROR(__xludf.DUMMYFUNCTION("IF($E766="""","""",IF(COUNTIFS($D$1:$D765,$D766,$E$1:$E765,$E766)&gt;0,INDEX(filter(G$1:G765,$D$1:$D765=$D766,$E$1:$E765=E766),1),""Selecciona..""))"),"")</f>
        <v/>
      </c>
      <c r="H766" s="4" t="str">
        <f>IF(D766="","",COUNTIF(Productos!G:G,C766))</f>
        <v/>
      </c>
      <c r="J766" s="90"/>
    </row>
    <row r="767">
      <c r="A767" s="2" t="str">
        <f t="shared" si="1"/>
        <v/>
      </c>
      <c r="B767" s="4"/>
      <c r="C767" s="4"/>
      <c r="D767" s="3" t="str">
        <f t="shared" si="2"/>
        <v/>
      </c>
      <c r="E767" s="4"/>
      <c r="F767" s="2" t="str">
        <f>IFERROR(__xludf.DUMMYFUNCTION("IF(E767="""","""",IF(COUNTIFS(D$1:D766,D767,E$1:E766,E767)&gt;0,INDEX(filter(F$1:F766,D$1:D766=D767,E$1:E766=E767),1),""Selecciona..""))"),"")</f>
        <v/>
      </c>
      <c r="G767" s="2" t="str">
        <f>IFERROR(__xludf.DUMMYFUNCTION("IF($E767="""","""",IF(COUNTIFS($D$1:$D766,$D767,$E$1:$E766,$E767)&gt;0,INDEX(filter(G$1:G766,$D$1:$D766=$D767,$E$1:$E766=E767),1),""Selecciona..""))"),"")</f>
        <v/>
      </c>
      <c r="H767" s="4" t="str">
        <f>IF(D767="","",COUNTIF(Productos!G:G,C767))</f>
        <v/>
      </c>
      <c r="J767" s="90"/>
    </row>
    <row r="768">
      <c r="A768" s="2" t="str">
        <f t="shared" si="1"/>
        <v/>
      </c>
      <c r="B768" s="4"/>
      <c r="C768" s="4"/>
      <c r="D768" s="3" t="str">
        <f t="shared" si="2"/>
        <v/>
      </c>
      <c r="E768" s="4"/>
      <c r="F768" s="2" t="str">
        <f>IFERROR(__xludf.DUMMYFUNCTION("IF(E768="""","""",IF(COUNTIFS(D$1:D767,D768,E$1:E767,E768)&gt;0,INDEX(filter(F$1:F767,D$1:D767=D768,E$1:E767=E768),1),""Selecciona..""))"),"")</f>
        <v/>
      </c>
      <c r="G768" s="2" t="str">
        <f>IFERROR(__xludf.DUMMYFUNCTION("IF($E768="""","""",IF(COUNTIFS($D$1:$D767,$D768,$E$1:$E767,$E768)&gt;0,INDEX(filter(G$1:G767,$D$1:$D767=$D768,$E$1:$E767=E768),1),""Selecciona..""))"),"")</f>
        <v/>
      </c>
      <c r="H768" s="4" t="str">
        <f>IF(D768="","",COUNTIF(Productos!G:G,C768))</f>
        <v/>
      </c>
      <c r="J768" s="90"/>
    </row>
    <row r="769">
      <c r="A769" s="2" t="str">
        <f t="shared" si="1"/>
        <v/>
      </c>
      <c r="B769" s="4"/>
      <c r="C769" s="4"/>
      <c r="D769" s="3" t="str">
        <f t="shared" si="2"/>
        <v/>
      </c>
      <c r="E769" s="4"/>
      <c r="F769" s="2" t="str">
        <f>IFERROR(__xludf.DUMMYFUNCTION("IF(E769="""","""",IF(COUNTIFS(D$1:D768,D769,E$1:E768,E769)&gt;0,INDEX(filter(F$1:F768,D$1:D768=D769,E$1:E768=E769),1),""Selecciona..""))"),"")</f>
        <v/>
      </c>
      <c r="G769" s="2" t="str">
        <f>IFERROR(__xludf.DUMMYFUNCTION("IF($E769="""","""",IF(COUNTIFS($D$1:$D768,$D769,$E$1:$E768,$E769)&gt;0,INDEX(filter(G$1:G768,$D$1:$D768=$D769,$E$1:$E768=E769),1),""Selecciona..""))"),"")</f>
        <v/>
      </c>
      <c r="H769" s="4" t="str">
        <f>IF(D769="","",COUNTIF(Productos!G:G,C769))</f>
        <v/>
      </c>
      <c r="J769" s="90"/>
    </row>
    <row r="770">
      <c r="A770" s="2" t="str">
        <f t="shared" si="1"/>
        <v/>
      </c>
      <c r="B770" s="4"/>
      <c r="C770" s="4"/>
      <c r="D770" s="3" t="str">
        <f t="shared" si="2"/>
        <v/>
      </c>
      <c r="E770" s="4"/>
      <c r="F770" s="2" t="str">
        <f>IFERROR(__xludf.DUMMYFUNCTION("IF(E770="""","""",IF(COUNTIFS(D$1:D769,D770,E$1:E769,E770)&gt;0,INDEX(filter(F$1:F769,D$1:D769=D770,E$1:E769=E770),1),""Selecciona..""))"),"")</f>
        <v/>
      </c>
      <c r="G770" s="2" t="str">
        <f>IFERROR(__xludf.DUMMYFUNCTION("IF($E770="""","""",IF(COUNTIFS($D$1:$D769,$D770,$E$1:$E769,$E770)&gt;0,INDEX(filter(G$1:G769,$D$1:$D769=$D770,$E$1:$E769=E770),1),""Selecciona..""))"),"")</f>
        <v/>
      </c>
      <c r="H770" s="4" t="str">
        <f>IF(D770="","",COUNTIF(Productos!G:G,C770))</f>
        <v/>
      </c>
      <c r="J770" s="90"/>
    </row>
    <row r="771">
      <c r="A771" s="2" t="str">
        <f t="shared" si="1"/>
        <v/>
      </c>
      <c r="B771" s="4"/>
      <c r="C771" s="4"/>
      <c r="D771" s="3" t="str">
        <f t="shared" si="2"/>
        <v/>
      </c>
      <c r="E771" s="4"/>
      <c r="F771" s="2" t="str">
        <f>IFERROR(__xludf.DUMMYFUNCTION("IF(E771="""","""",IF(COUNTIFS(D$1:D770,D771,E$1:E770,E771)&gt;0,INDEX(filter(F$1:F770,D$1:D770=D771,E$1:E770=E771),1),""Selecciona..""))"),"")</f>
        <v/>
      </c>
      <c r="G771" s="2" t="str">
        <f>IFERROR(__xludf.DUMMYFUNCTION("IF($E771="""","""",IF(COUNTIFS($D$1:$D770,$D771,$E$1:$E770,$E771)&gt;0,INDEX(filter(G$1:G770,$D$1:$D770=$D771,$E$1:$E770=E771),1),""Selecciona..""))"),"")</f>
        <v/>
      </c>
      <c r="H771" s="4" t="str">
        <f>IF(D771="","",COUNTIF(Productos!G:G,C771))</f>
        <v/>
      </c>
      <c r="J771" s="90"/>
    </row>
    <row r="772">
      <c r="A772" s="2" t="str">
        <f t="shared" si="1"/>
        <v/>
      </c>
      <c r="B772" s="4"/>
      <c r="C772" s="4"/>
      <c r="D772" s="3" t="str">
        <f t="shared" si="2"/>
        <v/>
      </c>
      <c r="E772" s="4"/>
      <c r="F772" s="2" t="str">
        <f>IFERROR(__xludf.DUMMYFUNCTION("IF(E772="""","""",IF(COUNTIFS(D$1:D771,D772,E$1:E771,E772)&gt;0,INDEX(filter(F$1:F771,D$1:D771=D772,E$1:E771=E772),1),""Selecciona..""))"),"")</f>
        <v/>
      </c>
      <c r="G772" s="2" t="str">
        <f>IFERROR(__xludf.DUMMYFUNCTION("IF($E772="""","""",IF(COUNTIFS($D$1:$D771,$D772,$E$1:$E771,$E772)&gt;0,INDEX(filter(G$1:G771,$D$1:$D771=$D772,$E$1:$E771=E772),1),""Selecciona..""))"),"")</f>
        <v/>
      </c>
      <c r="H772" s="4" t="str">
        <f>IF(D772="","",COUNTIF(Productos!G:G,C772))</f>
        <v/>
      </c>
      <c r="J772" s="90"/>
    </row>
    <row r="773">
      <c r="A773" s="2" t="str">
        <f t="shared" si="1"/>
        <v/>
      </c>
      <c r="B773" s="4"/>
      <c r="C773" s="4"/>
      <c r="D773" s="3" t="str">
        <f t="shared" si="2"/>
        <v/>
      </c>
      <c r="E773" s="4"/>
      <c r="F773" s="2" t="str">
        <f>IFERROR(__xludf.DUMMYFUNCTION("IF(E773="""","""",IF(COUNTIFS(D$1:D772,D773,E$1:E772,E773)&gt;0,INDEX(filter(F$1:F772,D$1:D772=D773,E$1:E772=E773),1),""Selecciona..""))"),"")</f>
        <v/>
      </c>
      <c r="G773" s="2" t="str">
        <f>IFERROR(__xludf.DUMMYFUNCTION("IF($E773="""","""",IF(COUNTIFS($D$1:$D772,$D773,$E$1:$E772,$E773)&gt;0,INDEX(filter(G$1:G772,$D$1:$D772=$D773,$E$1:$E772=E773),1),""Selecciona..""))"),"")</f>
        <v/>
      </c>
      <c r="H773" s="4" t="str">
        <f>IF(D773="","",COUNTIF(Productos!G:G,C773))</f>
        <v/>
      </c>
      <c r="J773" s="90"/>
    </row>
    <row r="774">
      <c r="A774" s="2" t="str">
        <f t="shared" si="1"/>
        <v/>
      </c>
      <c r="B774" s="4"/>
      <c r="C774" s="4"/>
      <c r="D774" s="3" t="str">
        <f t="shared" si="2"/>
        <v/>
      </c>
      <c r="E774" s="4"/>
      <c r="F774" s="2" t="str">
        <f>IFERROR(__xludf.DUMMYFUNCTION("IF(E774="""","""",IF(COUNTIFS(D$1:D773,D774,E$1:E773,E774)&gt;0,INDEX(filter(F$1:F773,D$1:D773=D774,E$1:E773=E774),1),""Selecciona..""))"),"")</f>
        <v/>
      </c>
      <c r="G774" s="2" t="str">
        <f>IFERROR(__xludf.DUMMYFUNCTION("IF($E774="""","""",IF(COUNTIFS($D$1:$D773,$D774,$E$1:$E773,$E774)&gt;0,INDEX(filter(G$1:G773,$D$1:$D773=$D774,$E$1:$E773=E774),1),""Selecciona..""))"),"")</f>
        <v/>
      </c>
      <c r="H774" s="4" t="str">
        <f>IF(D774="","",COUNTIF(Productos!G:G,C774))</f>
        <v/>
      </c>
      <c r="J774" s="90"/>
    </row>
    <row r="775">
      <c r="A775" s="2" t="str">
        <f t="shared" si="1"/>
        <v/>
      </c>
      <c r="B775" s="4"/>
      <c r="C775" s="4"/>
      <c r="D775" s="3" t="str">
        <f t="shared" si="2"/>
        <v/>
      </c>
      <c r="E775" s="4"/>
      <c r="F775" s="2" t="str">
        <f>IFERROR(__xludf.DUMMYFUNCTION("IF(E775="""","""",IF(COUNTIFS(D$1:D774,D775,E$1:E774,E775)&gt;0,INDEX(filter(F$1:F774,D$1:D774=D775,E$1:E774=E775),1),""Selecciona..""))"),"")</f>
        <v/>
      </c>
      <c r="G775" s="2" t="str">
        <f>IFERROR(__xludf.DUMMYFUNCTION("IF($E775="""","""",IF(COUNTIFS($D$1:$D774,$D775,$E$1:$E774,$E775)&gt;0,INDEX(filter(G$1:G774,$D$1:$D774=$D775,$E$1:$E774=E775),1),""Selecciona..""))"),"")</f>
        <v/>
      </c>
      <c r="H775" s="4" t="str">
        <f>IF(D775="","",COUNTIF(Productos!G:G,C775))</f>
        <v/>
      </c>
      <c r="J775" s="90"/>
    </row>
    <row r="776">
      <c r="A776" s="2" t="str">
        <f t="shared" si="1"/>
        <v/>
      </c>
      <c r="B776" s="4"/>
      <c r="C776" s="4"/>
      <c r="D776" s="3" t="str">
        <f t="shared" si="2"/>
        <v/>
      </c>
      <c r="E776" s="4"/>
      <c r="F776" s="2" t="str">
        <f>IFERROR(__xludf.DUMMYFUNCTION("IF(E776="""","""",IF(COUNTIFS(D$1:D775,D776,E$1:E775,E776)&gt;0,INDEX(filter(F$1:F775,D$1:D775=D776,E$1:E775=E776),1),""Selecciona..""))"),"")</f>
        <v/>
      </c>
      <c r="G776" s="2" t="str">
        <f>IFERROR(__xludf.DUMMYFUNCTION("IF($E776="""","""",IF(COUNTIFS($D$1:$D775,$D776,$E$1:$E775,$E776)&gt;0,INDEX(filter(G$1:G775,$D$1:$D775=$D776,$E$1:$E775=E776),1),""Selecciona..""))"),"")</f>
        <v/>
      </c>
      <c r="H776" s="4" t="str">
        <f>IF(D776="","",COUNTIF(Productos!G:G,C776))</f>
        <v/>
      </c>
      <c r="J776" s="90"/>
    </row>
    <row r="777">
      <c r="A777" s="2" t="str">
        <f t="shared" si="1"/>
        <v/>
      </c>
      <c r="B777" s="4"/>
      <c r="C777" s="4"/>
      <c r="D777" s="3" t="str">
        <f t="shared" si="2"/>
        <v/>
      </c>
      <c r="E777" s="4"/>
      <c r="F777" s="2" t="str">
        <f>IFERROR(__xludf.DUMMYFUNCTION("IF(E777="""","""",IF(COUNTIFS(D$1:D776,D777,E$1:E776,E777)&gt;0,INDEX(filter(F$1:F776,D$1:D776=D777,E$1:E776=E777),1),""Selecciona..""))"),"")</f>
        <v/>
      </c>
      <c r="G777" s="2" t="str">
        <f>IFERROR(__xludf.DUMMYFUNCTION("IF($E777="""","""",IF(COUNTIFS($D$1:$D776,$D777,$E$1:$E776,$E777)&gt;0,INDEX(filter(G$1:G776,$D$1:$D776=$D777,$E$1:$E776=E777),1),""Selecciona..""))"),"")</f>
        <v/>
      </c>
      <c r="H777" s="4" t="str">
        <f>IF(D777="","",COUNTIF(Productos!G:G,C777))</f>
        <v/>
      </c>
      <c r="J777" s="90"/>
    </row>
    <row r="778">
      <c r="A778" s="2" t="str">
        <f t="shared" si="1"/>
        <v/>
      </c>
      <c r="B778" s="4"/>
      <c r="C778" s="4"/>
      <c r="D778" s="3" t="str">
        <f t="shared" si="2"/>
        <v/>
      </c>
      <c r="E778" s="4"/>
      <c r="F778" s="2" t="str">
        <f>IFERROR(__xludf.DUMMYFUNCTION("IF(E778="""","""",IF(COUNTIFS(D$1:D777,D778,E$1:E777,E778)&gt;0,INDEX(filter(F$1:F777,D$1:D777=D778,E$1:E777=E778),1),""Selecciona..""))"),"")</f>
        <v/>
      </c>
      <c r="G778" s="2" t="str">
        <f>IFERROR(__xludf.DUMMYFUNCTION("IF($E778="""","""",IF(COUNTIFS($D$1:$D777,$D778,$E$1:$E777,$E778)&gt;0,INDEX(filter(G$1:G777,$D$1:$D777=$D778,$E$1:$E777=E778),1),""Selecciona..""))"),"")</f>
        <v/>
      </c>
      <c r="H778" s="4" t="str">
        <f>IF(D778="","",COUNTIF(Productos!G:G,C778))</f>
        <v/>
      </c>
      <c r="J778" s="90"/>
    </row>
    <row r="779">
      <c r="A779" s="2" t="str">
        <f t="shared" si="1"/>
        <v/>
      </c>
      <c r="B779" s="4"/>
      <c r="C779" s="4"/>
      <c r="D779" s="3" t="str">
        <f t="shared" si="2"/>
        <v/>
      </c>
      <c r="E779" s="4"/>
      <c r="F779" s="2" t="str">
        <f>IFERROR(__xludf.DUMMYFUNCTION("IF(E779="""","""",IF(COUNTIFS(D$1:D778,D779,E$1:E778,E779)&gt;0,INDEX(filter(F$1:F778,D$1:D778=D779,E$1:E778=E779),1),""Selecciona..""))"),"")</f>
        <v/>
      </c>
      <c r="G779" s="2" t="str">
        <f>IFERROR(__xludf.DUMMYFUNCTION("IF($E779="""","""",IF(COUNTIFS($D$1:$D778,$D779,$E$1:$E778,$E779)&gt;0,INDEX(filter(G$1:G778,$D$1:$D778=$D779,$E$1:$E778=E779),1),""Selecciona..""))"),"")</f>
        <v/>
      </c>
      <c r="H779" s="4" t="str">
        <f>IF(D779="","",COUNTIF(Productos!G:G,C779))</f>
        <v/>
      </c>
      <c r="J779" s="90"/>
    </row>
    <row r="780">
      <c r="A780" s="2" t="str">
        <f t="shared" si="1"/>
        <v/>
      </c>
      <c r="B780" s="4"/>
      <c r="C780" s="4"/>
      <c r="D780" s="3" t="str">
        <f t="shared" si="2"/>
        <v/>
      </c>
      <c r="E780" s="4"/>
      <c r="F780" s="2" t="str">
        <f>IFERROR(__xludf.DUMMYFUNCTION("IF(E780="""","""",IF(COUNTIFS(D$1:D779,D780,E$1:E779,E780)&gt;0,INDEX(filter(F$1:F779,D$1:D779=D780,E$1:E779=E780),1),""Selecciona..""))"),"")</f>
        <v/>
      </c>
      <c r="G780" s="2" t="str">
        <f>IFERROR(__xludf.DUMMYFUNCTION("IF($E780="""","""",IF(COUNTIFS($D$1:$D779,$D780,$E$1:$E779,$E780)&gt;0,INDEX(filter(G$1:G779,$D$1:$D779=$D780,$E$1:$E779=E780),1),""Selecciona..""))"),"")</f>
        <v/>
      </c>
      <c r="H780" s="4" t="str">
        <f>IF(D780="","",COUNTIF(Productos!G:G,C780))</f>
        <v/>
      </c>
      <c r="J780" s="90"/>
    </row>
    <row r="781">
      <c r="A781" s="2" t="str">
        <f t="shared" si="1"/>
        <v/>
      </c>
      <c r="B781" s="4"/>
      <c r="C781" s="4"/>
      <c r="D781" s="3" t="str">
        <f t="shared" si="2"/>
        <v/>
      </c>
      <c r="E781" s="4"/>
      <c r="F781" s="2" t="str">
        <f>IFERROR(__xludf.DUMMYFUNCTION("IF(E781="""","""",IF(COUNTIFS(D$1:D780,D781,E$1:E780,E781)&gt;0,INDEX(filter(F$1:F780,D$1:D780=D781,E$1:E780=E781),1),""Selecciona..""))"),"")</f>
        <v/>
      </c>
      <c r="G781" s="2" t="str">
        <f>IFERROR(__xludf.DUMMYFUNCTION("IF($E781="""","""",IF(COUNTIFS($D$1:$D780,$D781,$E$1:$E780,$E781)&gt;0,INDEX(filter(G$1:G780,$D$1:$D780=$D781,$E$1:$E780=E781),1),""Selecciona..""))"),"")</f>
        <v/>
      </c>
      <c r="H781" s="4" t="str">
        <f>IF(D781="","",COUNTIF(Productos!G:G,C781))</f>
        <v/>
      </c>
      <c r="J781" s="90"/>
    </row>
    <row r="782">
      <c r="A782" s="2" t="str">
        <f t="shared" si="1"/>
        <v/>
      </c>
      <c r="B782" s="4"/>
      <c r="C782" s="4"/>
      <c r="D782" s="3" t="str">
        <f t="shared" si="2"/>
        <v/>
      </c>
      <c r="E782" s="4"/>
      <c r="F782" s="2" t="str">
        <f>IFERROR(__xludf.DUMMYFUNCTION("IF(E782="""","""",IF(COUNTIFS(D$1:D781,D782,E$1:E781,E782)&gt;0,INDEX(filter(F$1:F781,D$1:D781=D782,E$1:E781=E782),1),""Selecciona..""))"),"")</f>
        <v/>
      </c>
      <c r="G782" s="2" t="str">
        <f>IFERROR(__xludf.DUMMYFUNCTION("IF($E782="""","""",IF(COUNTIFS($D$1:$D781,$D782,$E$1:$E781,$E782)&gt;0,INDEX(filter(G$1:G781,$D$1:$D781=$D782,$E$1:$E781=E782),1),""Selecciona..""))"),"")</f>
        <v/>
      </c>
      <c r="H782" s="4" t="str">
        <f>IF(D782="","",COUNTIF(Productos!G:G,C782))</f>
        <v/>
      </c>
      <c r="J782" s="90"/>
    </row>
    <row r="783">
      <c r="A783" s="2" t="str">
        <f t="shared" si="1"/>
        <v/>
      </c>
      <c r="B783" s="4"/>
      <c r="C783" s="4"/>
      <c r="D783" s="3" t="str">
        <f t="shared" si="2"/>
        <v/>
      </c>
      <c r="E783" s="4"/>
      <c r="F783" s="2" t="str">
        <f>IFERROR(__xludf.DUMMYFUNCTION("IF(E783="""","""",IF(COUNTIFS(D$1:D782,D783,E$1:E782,E783)&gt;0,INDEX(filter(F$1:F782,D$1:D782=D783,E$1:E782=E783),1),""Selecciona..""))"),"")</f>
        <v/>
      </c>
      <c r="G783" s="2" t="str">
        <f>IFERROR(__xludf.DUMMYFUNCTION("IF($E783="""","""",IF(COUNTIFS($D$1:$D782,$D783,$E$1:$E782,$E783)&gt;0,INDEX(filter(G$1:G782,$D$1:$D782=$D783,$E$1:$E782=E783),1),""Selecciona..""))"),"")</f>
        <v/>
      </c>
      <c r="H783" s="4" t="str">
        <f>IF(D783="","",COUNTIF(Productos!G:G,C783))</f>
        <v/>
      </c>
      <c r="J783" s="90"/>
    </row>
    <row r="784">
      <c r="A784" s="2" t="str">
        <f t="shared" si="1"/>
        <v/>
      </c>
      <c r="B784" s="4"/>
      <c r="C784" s="4"/>
      <c r="D784" s="3" t="str">
        <f t="shared" si="2"/>
        <v/>
      </c>
      <c r="E784" s="4"/>
      <c r="F784" s="2" t="str">
        <f>IFERROR(__xludf.DUMMYFUNCTION("IF(E784="""","""",IF(COUNTIFS(D$1:D783,D784,E$1:E783,E784)&gt;0,INDEX(filter(F$1:F783,D$1:D783=D784,E$1:E783=E784),1),""Selecciona..""))"),"")</f>
        <v/>
      </c>
      <c r="G784" s="2" t="str">
        <f>IFERROR(__xludf.DUMMYFUNCTION("IF($E784="""","""",IF(COUNTIFS($D$1:$D783,$D784,$E$1:$E783,$E784)&gt;0,INDEX(filter(G$1:G783,$D$1:$D783=$D784,$E$1:$E783=E784),1),""Selecciona..""))"),"")</f>
        <v/>
      </c>
      <c r="H784" s="4" t="str">
        <f>IF(D784="","",COUNTIF(Productos!G:G,C784))</f>
        <v/>
      </c>
      <c r="J784" s="90"/>
    </row>
    <row r="785">
      <c r="A785" s="2" t="str">
        <f t="shared" si="1"/>
        <v/>
      </c>
      <c r="B785" s="4"/>
      <c r="C785" s="4"/>
      <c r="D785" s="3" t="str">
        <f t="shared" si="2"/>
        <v/>
      </c>
      <c r="E785" s="4"/>
      <c r="F785" s="2" t="str">
        <f>IFERROR(__xludf.DUMMYFUNCTION("IF(E785="""","""",IF(COUNTIFS(D$1:D784,D785,E$1:E784,E785)&gt;0,INDEX(filter(F$1:F784,D$1:D784=D785,E$1:E784=E785),1),""Selecciona..""))"),"")</f>
        <v/>
      </c>
      <c r="G785" s="2" t="str">
        <f>IFERROR(__xludf.DUMMYFUNCTION("IF($E785="""","""",IF(COUNTIFS($D$1:$D784,$D785,$E$1:$E784,$E785)&gt;0,INDEX(filter(G$1:G784,$D$1:$D784=$D785,$E$1:$E784=E785),1),""Selecciona..""))"),"")</f>
        <v/>
      </c>
      <c r="H785" s="4" t="str">
        <f>IF(D785="","",COUNTIF(Productos!G:G,C785))</f>
        <v/>
      </c>
      <c r="J785" s="90"/>
    </row>
    <row r="786">
      <c r="A786" s="2" t="str">
        <f t="shared" si="1"/>
        <v/>
      </c>
      <c r="B786" s="4"/>
      <c r="C786" s="4"/>
      <c r="D786" s="3" t="str">
        <f t="shared" si="2"/>
        <v/>
      </c>
      <c r="E786" s="4"/>
      <c r="F786" s="2" t="str">
        <f>IFERROR(__xludf.DUMMYFUNCTION("IF(E786="""","""",IF(COUNTIFS(D$1:D785,D786,E$1:E785,E786)&gt;0,INDEX(filter(F$1:F785,D$1:D785=D786,E$1:E785=E786),1),""Selecciona..""))"),"")</f>
        <v/>
      </c>
      <c r="G786" s="2" t="str">
        <f>IFERROR(__xludf.DUMMYFUNCTION("IF($E786="""","""",IF(COUNTIFS($D$1:$D785,$D786,$E$1:$E785,$E786)&gt;0,INDEX(filter(G$1:G785,$D$1:$D785=$D786,$E$1:$E785=E786),1),""Selecciona..""))"),"")</f>
        <v/>
      </c>
      <c r="H786" s="4" t="str">
        <f>IF(D786="","",COUNTIF(Productos!G:G,C786))</f>
        <v/>
      </c>
      <c r="J786" s="90"/>
    </row>
    <row r="787">
      <c r="A787" s="2" t="str">
        <f t="shared" si="1"/>
        <v/>
      </c>
      <c r="B787" s="4"/>
      <c r="C787" s="4"/>
      <c r="D787" s="3" t="str">
        <f t="shared" si="2"/>
        <v/>
      </c>
      <c r="E787" s="4"/>
      <c r="F787" s="2" t="str">
        <f>IFERROR(__xludf.DUMMYFUNCTION("IF(E787="""","""",IF(COUNTIFS(D$1:D786,D787,E$1:E786,E787)&gt;0,INDEX(filter(F$1:F786,D$1:D786=D787,E$1:E786=E787),1),""Selecciona..""))"),"")</f>
        <v/>
      </c>
      <c r="G787" s="2" t="str">
        <f>IFERROR(__xludf.DUMMYFUNCTION("IF($E787="""","""",IF(COUNTIFS($D$1:$D786,$D787,$E$1:$E786,$E787)&gt;0,INDEX(filter(G$1:G786,$D$1:$D786=$D787,$E$1:$E786=E787),1),""Selecciona..""))"),"")</f>
        <v/>
      </c>
      <c r="H787" s="4" t="str">
        <f>IF(D787="","",COUNTIF(Productos!G:G,C787))</f>
        <v/>
      </c>
      <c r="J787" s="90"/>
    </row>
    <row r="788">
      <c r="A788" s="2" t="str">
        <f t="shared" si="1"/>
        <v/>
      </c>
      <c r="B788" s="4"/>
      <c r="C788" s="4"/>
      <c r="D788" s="3" t="str">
        <f t="shared" si="2"/>
        <v/>
      </c>
      <c r="E788" s="4"/>
      <c r="F788" s="2" t="str">
        <f>IFERROR(__xludf.DUMMYFUNCTION("IF(E788="""","""",IF(COUNTIFS(D$1:D787,D788,E$1:E787,E788)&gt;0,INDEX(filter(F$1:F787,D$1:D787=D788,E$1:E787=E788),1),""Selecciona..""))"),"")</f>
        <v/>
      </c>
      <c r="G788" s="2" t="str">
        <f>IFERROR(__xludf.DUMMYFUNCTION("IF($E788="""","""",IF(COUNTIFS($D$1:$D787,$D788,$E$1:$E787,$E788)&gt;0,INDEX(filter(G$1:G787,$D$1:$D787=$D788,$E$1:$E787=E788),1),""Selecciona..""))"),"")</f>
        <v/>
      </c>
      <c r="H788" s="4" t="str">
        <f>IF(D788="","",COUNTIF(Productos!G:G,C788))</f>
        <v/>
      </c>
      <c r="J788" s="90"/>
    </row>
    <row r="789">
      <c r="A789" s="2" t="str">
        <f t="shared" si="1"/>
        <v/>
      </c>
      <c r="B789" s="4"/>
      <c r="C789" s="4"/>
      <c r="D789" s="3" t="str">
        <f t="shared" si="2"/>
        <v/>
      </c>
      <c r="E789" s="4"/>
      <c r="F789" s="2" t="str">
        <f>IFERROR(__xludf.DUMMYFUNCTION("IF(E789="""","""",IF(COUNTIFS(D$1:D788,D789,E$1:E788,E789)&gt;0,INDEX(filter(F$1:F788,D$1:D788=D789,E$1:E788=E789),1),""Selecciona..""))"),"")</f>
        <v/>
      </c>
      <c r="G789" s="2" t="str">
        <f>IFERROR(__xludf.DUMMYFUNCTION("IF($E789="""","""",IF(COUNTIFS($D$1:$D788,$D789,$E$1:$E788,$E789)&gt;0,INDEX(filter(G$1:G788,$D$1:$D788=$D789,$E$1:$E788=E789),1),""Selecciona..""))"),"")</f>
        <v/>
      </c>
      <c r="H789" s="4" t="str">
        <f>IF(D789="","",COUNTIF(Productos!G:G,C789))</f>
        <v/>
      </c>
      <c r="J789" s="90"/>
    </row>
    <row r="790">
      <c r="A790" s="2" t="str">
        <f t="shared" si="1"/>
        <v/>
      </c>
      <c r="B790" s="4"/>
      <c r="C790" s="4"/>
      <c r="D790" s="3" t="str">
        <f t="shared" si="2"/>
        <v/>
      </c>
      <c r="E790" s="4"/>
      <c r="F790" s="2" t="str">
        <f>IFERROR(__xludf.DUMMYFUNCTION("IF(E790="""","""",IF(COUNTIFS(D$1:D789,D790,E$1:E789,E790)&gt;0,INDEX(filter(F$1:F789,D$1:D789=D790,E$1:E789=E790),1),""Selecciona..""))"),"")</f>
        <v/>
      </c>
      <c r="G790" s="2" t="str">
        <f>IFERROR(__xludf.DUMMYFUNCTION("IF($E790="""","""",IF(COUNTIFS($D$1:$D789,$D790,$E$1:$E789,$E790)&gt;0,INDEX(filter(G$1:G789,$D$1:$D789=$D790,$E$1:$E789=E790),1),""Selecciona..""))"),"")</f>
        <v/>
      </c>
      <c r="H790" s="4" t="str">
        <f>IF(D790="","",COUNTIF(Productos!G:G,C790))</f>
        <v/>
      </c>
      <c r="J790" s="90"/>
    </row>
    <row r="791">
      <c r="A791" s="2" t="str">
        <f t="shared" si="1"/>
        <v/>
      </c>
      <c r="B791" s="4"/>
      <c r="C791" s="4"/>
      <c r="D791" s="3" t="str">
        <f t="shared" si="2"/>
        <v/>
      </c>
      <c r="E791" s="4"/>
      <c r="F791" s="2" t="str">
        <f>IFERROR(__xludf.DUMMYFUNCTION("IF(E791="""","""",IF(COUNTIFS(D$1:D790,D791,E$1:E790,E791)&gt;0,INDEX(filter(F$1:F790,D$1:D790=D791,E$1:E790=E791),1),""Selecciona..""))"),"")</f>
        <v/>
      </c>
      <c r="G791" s="2" t="str">
        <f>IFERROR(__xludf.DUMMYFUNCTION("IF($E791="""","""",IF(COUNTIFS($D$1:$D790,$D791,$E$1:$E790,$E791)&gt;0,INDEX(filter(G$1:G790,$D$1:$D790=$D791,$E$1:$E790=E791),1),""Selecciona..""))"),"")</f>
        <v/>
      </c>
      <c r="H791" s="4" t="str">
        <f>IF(D791="","",COUNTIF(Productos!G:G,C791))</f>
        <v/>
      </c>
      <c r="J791" s="90"/>
    </row>
    <row r="792">
      <c r="A792" s="2" t="str">
        <f t="shared" si="1"/>
        <v/>
      </c>
      <c r="B792" s="4"/>
      <c r="C792" s="4"/>
      <c r="D792" s="3" t="str">
        <f t="shared" si="2"/>
        <v/>
      </c>
      <c r="E792" s="4"/>
      <c r="F792" s="2" t="str">
        <f>IFERROR(__xludf.DUMMYFUNCTION("IF(E792="""","""",IF(COUNTIFS(D$1:D791,D792,E$1:E791,E792)&gt;0,INDEX(filter(F$1:F791,D$1:D791=D792,E$1:E791=E792),1),""Selecciona..""))"),"")</f>
        <v/>
      </c>
      <c r="G792" s="2" t="str">
        <f>IFERROR(__xludf.DUMMYFUNCTION("IF($E792="""","""",IF(COUNTIFS($D$1:$D791,$D792,$E$1:$E791,$E792)&gt;0,INDEX(filter(G$1:G791,$D$1:$D791=$D792,$E$1:$E791=E792),1),""Selecciona..""))"),"")</f>
        <v/>
      </c>
      <c r="H792" s="4" t="str">
        <f>IF(D792="","",COUNTIF(Productos!G:G,C792))</f>
        <v/>
      </c>
      <c r="J792" s="90"/>
    </row>
    <row r="793">
      <c r="A793" s="2" t="str">
        <f t="shared" si="1"/>
        <v/>
      </c>
      <c r="B793" s="4"/>
      <c r="C793" s="4"/>
      <c r="D793" s="3" t="str">
        <f t="shared" si="2"/>
        <v/>
      </c>
      <c r="E793" s="4"/>
      <c r="F793" s="2" t="str">
        <f>IFERROR(__xludf.DUMMYFUNCTION("IF(E793="""","""",IF(COUNTIFS(D$1:D792,D793,E$1:E792,E793)&gt;0,INDEX(filter(F$1:F792,D$1:D792=D793,E$1:E792=E793),1),""Selecciona..""))"),"")</f>
        <v/>
      </c>
      <c r="G793" s="2" t="str">
        <f>IFERROR(__xludf.DUMMYFUNCTION("IF($E793="""","""",IF(COUNTIFS($D$1:$D792,$D793,$E$1:$E792,$E793)&gt;0,INDEX(filter(G$1:G792,$D$1:$D792=$D793,$E$1:$E792=E793),1),""Selecciona..""))"),"")</f>
        <v/>
      </c>
      <c r="H793" s="4" t="str">
        <f>IF(D793="","",COUNTIF(Productos!G:G,C793))</f>
        <v/>
      </c>
      <c r="J793" s="90"/>
    </row>
    <row r="794">
      <c r="A794" s="2" t="str">
        <f t="shared" si="1"/>
        <v/>
      </c>
      <c r="B794" s="4"/>
      <c r="C794" s="4"/>
      <c r="D794" s="3" t="str">
        <f t="shared" si="2"/>
        <v/>
      </c>
      <c r="E794" s="4"/>
      <c r="F794" s="2" t="str">
        <f>IFERROR(__xludf.DUMMYFUNCTION("IF(E794="""","""",IF(COUNTIFS(D$1:D793,D794,E$1:E793,E794)&gt;0,INDEX(filter(F$1:F793,D$1:D793=D794,E$1:E793=E794),1),""Selecciona..""))"),"")</f>
        <v/>
      </c>
      <c r="G794" s="2" t="str">
        <f>IFERROR(__xludf.DUMMYFUNCTION("IF($E794="""","""",IF(COUNTIFS($D$1:$D793,$D794,$E$1:$E793,$E794)&gt;0,INDEX(filter(G$1:G793,$D$1:$D793=$D794,$E$1:$E793=E794),1),""Selecciona..""))"),"")</f>
        <v/>
      </c>
      <c r="H794" s="4" t="str">
        <f>IF(D794="","",COUNTIF(Productos!G:G,C794))</f>
        <v/>
      </c>
      <c r="J794" s="90"/>
    </row>
    <row r="795">
      <c r="A795" s="2" t="str">
        <f t="shared" si="1"/>
        <v/>
      </c>
      <c r="B795" s="4"/>
      <c r="C795" s="4"/>
      <c r="D795" s="3" t="str">
        <f t="shared" si="2"/>
        <v/>
      </c>
      <c r="E795" s="4"/>
      <c r="F795" s="2" t="str">
        <f>IFERROR(__xludf.DUMMYFUNCTION("IF(E795="""","""",IF(COUNTIFS(D$1:D794,D795,E$1:E794,E795)&gt;0,INDEX(filter(F$1:F794,D$1:D794=D795,E$1:E794=E795),1),""Selecciona..""))"),"")</f>
        <v/>
      </c>
      <c r="G795" s="2" t="str">
        <f>IFERROR(__xludf.DUMMYFUNCTION("IF($E795="""","""",IF(COUNTIFS($D$1:$D794,$D795,$E$1:$E794,$E795)&gt;0,INDEX(filter(G$1:G794,$D$1:$D794=$D795,$E$1:$E794=E795),1),""Selecciona..""))"),"")</f>
        <v/>
      </c>
      <c r="H795" s="4" t="str">
        <f>IF(D795="","",COUNTIF(Productos!G:G,C795))</f>
        <v/>
      </c>
      <c r="J795" s="90"/>
    </row>
    <row r="796">
      <c r="A796" s="2" t="str">
        <f t="shared" si="1"/>
        <v/>
      </c>
      <c r="B796" s="4"/>
      <c r="C796" s="4"/>
      <c r="D796" s="3" t="str">
        <f t="shared" si="2"/>
        <v/>
      </c>
      <c r="E796" s="4"/>
      <c r="F796" s="2" t="str">
        <f>IFERROR(__xludf.DUMMYFUNCTION("IF(E796="""","""",IF(COUNTIFS(D$1:D795,D796,E$1:E795,E796)&gt;0,INDEX(filter(F$1:F795,D$1:D795=D796,E$1:E795=E796),1),""Selecciona..""))"),"")</f>
        <v/>
      </c>
      <c r="G796" s="2" t="str">
        <f>IFERROR(__xludf.DUMMYFUNCTION("IF($E796="""","""",IF(COUNTIFS($D$1:$D795,$D796,$E$1:$E795,$E796)&gt;0,INDEX(filter(G$1:G795,$D$1:$D795=$D796,$E$1:$E795=E796),1),""Selecciona..""))"),"")</f>
        <v/>
      </c>
      <c r="H796" s="4" t="str">
        <f>IF(D796="","",COUNTIF(Productos!G:G,C796))</f>
        <v/>
      </c>
      <c r="J796" s="90"/>
    </row>
    <row r="797">
      <c r="A797" s="2" t="str">
        <f t="shared" si="1"/>
        <v/>
      </c>
      <c r="B797" s="4"/>
      <c r="C797" s="4"/>
      <c r="D797" s="3" t="str">
        <f t="shared" si="2"/>
        <v/>
      </c>
      <c r="E797" s="4"/>
      <c r="F797" s="2" t="str">
        <f>IFERROR(__xludf.DUMMYFUNCTION("IF(E797="""","""",IF(COUNTIFS(D$1:D796,D797,E$1:E796,E797)&gt;0,INDEX(filter(F$1:F796,D$1:D796=D797,E$1:E796=E797),1),""Selecciona..""))"),"")</f>
        <v/>
      </c>
      <c r="G797" s="2" t="str">
        <f>IFERROR(__xludf.DUMMYFUNCTION("IF($E797="""","""",IF(COUNTIFS($D$1:$D796,$D797,$E$1:$E796,$E797)&gt;0,INDEX(filter(G$1:G796,$D$1:$D796=$D797,$E$1:$E796=E797),1),""Selecciona..""))"),"")</f>
        <v/>
      </c>
      <c r="H797" s="4" t="str">
        <f>IF(D797="","",COUNTIF(Productos!G:G,C797))</f>
        <v/>
      </c>
      <c r="J797" s="90"/>
    </row>
    <row r="798">
      <c r="A798" s="2" t="str">
        <f t="shared" si="1"/>
        <v/>
      </c>
      <c r="B798" s="4"/>
      <c r="C798" s="4"/>
      <c r="D798" s="3" t="str">
        <f t="shared" si="2"/>
        <v/>
      </c>
      <c r="E798" s="4"/>
      <c r="F798" s="2" t="str">
        <f>IFERROR(__xludf.DUMMYFUNCTION("IF(E798="""","""",IF(COUNTIFS(D$1:D797,D798,E$1:E797,E798)&gt;0,INDEX(filter(F$1:F797,D$1:D797=D798,E$1:E797=E798),1),""Selecciona..""))"),"")</f>
        <v/>
      </c>
      <c r="G798" s="2" t="str">
        <f>IFERROR(__xludf.DUMMYFUNCTION("IF($E798="""","""",IF(COUNTIFS($D$1:$D797,$D798,$E$1:$E797,$E798)&gt;0,INDEX(filter(G$1:G797,$D$1:$D797=$D798,$E$1:$E797=E798),1),""Selecciona..""))"),"")</f>
        <v/>
      </c>
      <c r="H798" s="4" t="str">
        <f>IF(D798="","",COUNTIF(Productos!G:G,C798))</f>
        <v/>
      </c>
      <c r="J798" s="90"/>
    </row>
    <row r="799">
      <c r="A799" s="2" t="str">
        <f t="shared" si="1"/>
        <v/>
      </c>
      <c r="B799" s="4"/>
      <c r="C799" s="4"/>
      <c r="D799" s="3" t="str">
        <f t="shared" si="2"/>
        <v/>
      </c>
      <c r="E799" s="4"/>
      <c r="F799" s="2" t="str">
        <f>IFERROR(__xludf.DUMMYFUNCTION("IF(E799="""","""",IF(COUNTIFS(D$1:D798,D799,E$1:E798,E799)&gt;0,INDEX(filter(F$1:F798,D$1:D798=D799,E$1:E798=E799),1),""Selecciona..""))"),"")</f>
        <v/>
      </c>
      <c r="G799" s="2" t="str">
        <f>IFERROR(__xludf.DUMMYFUNCTION("IF($E799="""","""",IF(COUNTIFS($D$1:$D798,$D799,$E$1:$E798,$E799)&gt;0,INDEX(filter(G$1:G798,$D$1:$D798=$D799,$E$1:$E798=E799),1),""Selecciona..""))"),"")</f>
        <v/>
      </c>
      <c r="H799" s="4" t="str">
        <f>IF(D799="","",COUNTIF(Productos!G:G,C799))</f>
        <v/>
      </c>
      <c r="J799" s="90"/>
    </row>
    <row r="800">
      <c r="A800" s="2" t="str">
        <f t="shared" si="1"/>
        <v/>
      </c>
      <c r="B800" s="4"/>
      <c r="C800" s="4"/>
      <c r="D800" s="3" t="str">
        <f t="shared" si="2"/>
        <v/>
      </c>
      <c r="E800" s="4"/>
      <c r="F800" s="2" t="str">
        <f>IFERROR(__xludf.DUMMYFUNCTION("IF(E800="""","""",IF(COUNTIFS(D$1:D799,D800,E$1:E799,E800)&gt;0,INDEX(filter(F$1:F799,D$1:D799=D800,E$1:E799=E800),1),""Selecciona..""))"),"")</f>
        <v/>
      </c>
      <c r="G800" s="2" t="str">
        <f>IFERROR(__xludf.DUMMYFUNCTION("IF($E800="""","""",IF(COUNTIFS($D$1:$D799,$D800,$E$1:$E799,$E800)&gt;0,INDEX(filter(G$1:G799,$D$1:$D799=$D800,$E$1:$E799=E800),1),""Selecciona..""))"),"")</f>
        <v/>
      </c>
      <c r="H800" s="4" t="str">
        <f>IF(D800="","",COUNTIF(Productos!G:G,C800))</f>
        <v/>
      </c>
      <c r="J800" s="90"/>
    </row>
    <row r="801">
      <c r="A801" s="2" t="str">
        <f t="shared" si="1"/>
        <v/>
      </c>
      <c r="B801" s="4"/>
      <c r="C801" s="4"/>
      <c r="D801" s="3" t="str">
        <f t="shared" si="2"/>
        <v/>
      </c>
      <c r="E801" s="4"/>
      <c r="F801" s="2" t="str">
        <f>IFERROR(__xludf.DUMMYFUNCTION("IF(E801="""","""",IF(COUNTIFS(D$1:D800,D801,E$1:E800,E801)&gt;0,INDEX(filter(F$1:F800,D$1:D800=D801,E$1:E800=E801),1),""Selecciona..""))"),"")</f>
        <v/>
      </c>
      <c r="G801" s="2" t="str">
        <f>IFERROR(__xludf.DUMMYFUNCTION("IF($E801="""","""",IF(COUNTIFS($D$1:$D800,$D801,$E$1:$E800,$E801)&gt;0,INDEX(filter(G$1:G800,$D$1:$D800=$D801,$E$1:$E800=E801),1),""Selecciona..""))"),"")</f>
        <v/>
      </c>
      <c r="H801" s="4" t="str">
        <f>IF(D801="","",COUNTIF(Productos!G:G,C801))</f>
        <v/>
      </c>
      <c r="J801" s="90"/>
    </row>
    <row r="802">
      <c r="A802" s="2" t="str">
        <f t="shared" si="1"/>
        <v/>
      </c>
      <c r="B802" s="4"/>
      <c r="C802" s="4"/>
      <c r="D802" s="3" t="str">
        <f t="shared" si="2"/>
        <v/>
      </c>
      <c r="E802" s="4"/>
      <c r="F802" s="2" t="str">
        <f>IFERROR(__xludf.DUMMYFUNCTION("IF(E802="""","""",IF(COUNTIFS(D$1:D801,D802,E$1:E801,E802)&gt;0,INDEX(filter(F$1:F801,D$1:D801=D802,E$1:E801=E802),1),""Selecciona..""))"),"")</f>
        <v/>
      </c>
      <c r="G802" s="2" t="str">
        <f>IFERROR(__xludf.DUMMYFUNCTION("IF($E802="""","""",IF(COUNTIFS($D$1:$D801,$D802,$E$1:$E801,$E802)&gt;0,INDEX(filter(G$1:G801,$D$1:$D801=$D802,$E$1:$E801=E802),1),""Selecciona..""))"),"")</f>
        <v/>
      </c>
      <c r="H802" s="4" t="str">
        <f>IF(D802="","",COUNTIF(Productos!G:G,C802))</f>
        <v/>
      </c>
      <c r="J802" s="90"/>
    </row>
    <row r="803">
      <c r="A803" s="2" t="str">
        <f t="shared" si="1"/>
        <v/>
      </c>
      <c r="B803" s="4"/>
      <c r="C803" s="4"/>
      <c r="D803" s="3" t="str">
        <f t="shared" si="2"/>
        <v/>
      </c>
      <c r="E803" s="4"/>
      <c r="F803" s="2" t="str">
        <f>IFERROR(__xludf.DUMMYFUNCTION("IF(E803="""","""",IF(COUNTIFS(D$1:D802,D803,E$1:E802,E803)&gt;0,INDEX(filter(F$1:F802,D$1:D802=D803,E$1:E802=E803),1),""Selecciona..""))"),"")</f>
        <v/>
      </c>
      <c r="G803" s="2" t="str">
        <f>IFERROR(__xludf.DUMMYFUNCTION("IF($E803="""","""",IF(COUNTIFS($D$1:$D802,$D803,$E$1:$E802,$E803)&gt;0,INDEX(filter(G$1:G802,$D$1:$D802=$D803,$E$1:$E802=E803),1),""Selecciona..""))"),"")</f>
        <v/>
      </c>
      <c r="H803" s="4" t="str">
        <f>IF(D803="","",COUNTIF(Productos!G:G,C803))</f>
        <v/>
      </c>
      <c r="J803" s="90"/>
    </row>
    <row r="804">
      <c r="A804" s="2" t="str">
        <f t="shared" si="1"/>
        <v/>
      </c>
      <c r="B804" s="4"/>
      <c r="C804" s="4"/>
      <c r="D804" s="3" t="str">
        <f t="shared" si="2"/>
        <v/>
      </c>
      <c r="E804" s="4"/>
      <c r="F804" s="2" t="str">
        <f>IFERROR(__xludf.DUMMYFUNCTION("IF(E804="""","""",IF(COUNTIFS(D$1:D803,D804,E$1:E803,E804)&gt;0,INDEX(filter(F$1:F803,D$1:D803=D804,E$1:E803=E804),1),""Selecciona..""))"),"")</f>
        <v/>
      </c>
      <c r="G804" s="2" t="str">
        <f>IFERROR(__xludf.DUMMYFUNCTION("IF($E804="""","""",IF(COUNTIFS($D$1:$D803,$D804,$E$1:$E803,$E804)&gt;0,INDEX(filter(G$1:G803,$D$1:$D803=$D804,$E$1:$E803=E804),1),""Selecciona..""))"),"")</f>
        <v/>
      </c>
      <c r="H804" s="4" t="str">
        <f>IF(D804="","",COUNTIF(Productos!G:G,C804))</f>
        <v/>
      </c>
      <c r="J804" s="90"/>
    </row>
    <row r="805">
      <c r="A805" s="2" t="str">
        <f t="shared" si="1"/>
        <v/>
      </c>
      <c r="B805" s="4"/>
      <c r="C805" s="4"/>
      <c r="D805" s="3" t="str">
        <f t="shared" si="2"/>
        <v/>
      </c>
      <c r="E805" s="4"/>
      <c r="F805" s="2" t="str">
        <f>IFERROR(__xludf.DUMMYFUNCTION("IF(E805="""","""",IF(COUNTIFS(D$1:D804,D805,E$1:E804,E805)&gt;0,INDEX(filter(F$1:F804,D$1:D804=D805,E$1:E804=E805),1),""Selecciona..""))"),"")</f>
        <v/>
      </c>
      <c r="G805" s="2" t="str">
        <f>IFERROR(__xludf.DUMMYFUNCTION("IF($E805="""","""",IF(COUNTIFS($D$1:$D804,$D805,$E$1:$E804,$E805)&gt;0,INDEX(filter(G$1:G804,$D$1:$D804=$D805,$E$1:$E804=E805),1),""Selecciona..""))"),"")</f>
        <v/>
      </c>
      <c r="H805" s="4" t="str">
        <f>IF(D805="","",COUNTIF(Productos!G:G,C805))</f>
        <v/>
      </c>
      <c r="J805" s="90"/>
    </row>
    <row r="806">
      <c r="A806" s="2" t="str">
        <f t="shared" si="1"/>
        <v/>
      </c>
      <c r="B806" s="4"/>
      <c r="C806" s="4"/>
      <c r="D806" s="3" t="str">
        <f t="shared" si="2"/>
        <v/>
      </c>
      <c r="E806" s="4"/>
      <c r="F806" s="2" t="str">
        <f>IFERROR(__xludf.DUMMYFUNCTION("IF(E806="""","""",IF(COUNTIFS(D$1:D805,D806,E$1:E805,E806)&gt;0,INDEX(filter(F$1:F805,D$1:D805=D806,E$1:E805=E806),1),""Selecciona..""))"),"")</f>
        <v/>
      </c>
      <c r="G806" s="2" t="str">
        <f>IFERROR(__xludf.DUMMYFUNCTION("IF($E806="""","""",IF(COUNTIFS($D$1:$D805,$D806,$E$1:$E805,$E806)&gt;0,INDEX(filter(G$1:G805,$D$1:$D805=$D806,$E$1:$E805=E806),1),""Selecciona..""))"),"")</f>
        <v/>
      </c>
      <c r="H806" s="4" t="str">
        <f>IF(D806="","",COUNTIF(Productos!G:G,C806))</f>
        <v/>
      </c>
      <c r="J806" s="90"/>
    </row>
    <row r="807">
      <c r="A807" s="2" t="str">
        <f t="shared" si="1"/>
        <v/>
      </c>
      <c r="B807" s="4"/>
      <c r="C807" s="4"/>
      <c r="D807" s="3" t="str">
        <f t="shared" si="2"/>
        <v/>
      </c>
      <c r="E807" s="4"/>
      <c r="F807" s="2" t="str">
        <f>IFERROR(__xludf.DUMMYFUNCTION("IF(E807="""","""",IF(COUNTIFS(D$1:D806,D807,E$1:E806,E807)&gt;0,INDEX(filter(F$1:F806,D$1:D806=D807,E$1:E806=E807),1),""Selecciona..""))"),"")</f>
        <v/>
      </c>
      <c r="G807" s="2" t="str">
        <f>IFERROR(__xludf.DUMMYFUNCTION("IF($E807="""","""",IF(COUNTIFS($D$1:$D806,$D807,$E$1:$E806,$E807)&gt;0,INDEX(filter(G$1:G806,$D$1:$D806=$D807,$E$1:$E806=E807),1),""Selecciona..""))"),"")</f>
        <v/>
      </c>
      <c r="H807" s="4" t="str">
        <f>IF(D807="","",COUNTIF(Productos!G:G,C807))</f>
        <v/>
      </c>
      <c r="J807" s="90"/>
    </row>
    <row r="808">
      <c r="A808" s="2" t="str">
        <f t="shared" si="1"/>
        <v/>
      </c>
      <c r="B808" s="4"/>
      <c r="C808" s="4"/>
      <c r="D808" s="3" t="str">
        <f t="shared" si="2"/>
        <v/>
      </c>
      <c r="E808" s="4"/>
      <c r="F808" s="2" t="str">
        <f>IFERROR(__xludf.DUMMYFUNCTION("IF(E808="""","""",IF(COUNTIFS(D$1:D807,D808,E$1:E807,E808)&gt;0,INDEX(filter(F$1:F807,D$1:D807=D808,E$1:E807=E808),1),""Selecciona..""))"),"")</f>
        <v/>
      </c>
      <c r="G808" s="2" t="str">
        <f>IFERROR(__xludf.DUMMYFUNCTION("IF($E808="""","""",IF(COUNTIFS($D$1:$D807,$D808,$E$1:$E807,$E808)&gt;0,INDEX(filter(G$1:G807,$D$1:$D807=$D808,$E$1:$E807=E808),1),""Selecciona..""))"),"")</f>
        <v/>
      </c>
      <c r="H808" s="4" t="str">
        <f>IF(D808="","",COUNTIF(Productos!G:G,C808))</f>
        <v/>
      </c>
      <c r="J808" s="90"/>
    </row>
    <row r="809">
      <c r="A809" s="2" t="str">
        <f t="shared" si="1"/>
        <v/>
      </c>
      <c r="B809" s="4"/>
      <c r="C809" s="4"/>
      <c r="D809" s="3" t="str">
        <f t="shared" si="2"/>
        <v/>
      </c>
      <c r="E809" s="4"/>
      <c r="F809" s="2" t="str">
        <f>IFERROR(__xludf.DUMMYFUNCTION("IF(E809="""","""",IF(COUNTIFS(D$1:D808,D809,E$1:E808,E809)&gt;0,INDEX(filter(F$1:F808,D$1:D808=D809,E$1:E808=E809),1),""Selecciona..""))"),"")</f>
        <v/>
      </c>
      <c r="G809" s="2" t="str">
        <f>IFERROR(__xludf.DUMMYFUNCTION("IF($E809="""","""",IF(COUNTIFS($D$1:$D808,$D809,$E$1:$E808,$E809)&gt;0,INDEX(filter(G$1:G808,$D$1:$D808=$D809,$E$1:$E808=E809),1),""Selecciona..""))"),"")</f>
        <v/>
      </c>
      <c r="H809" s="4" t="str">
        <f>IF(D809="","",COUNTIF(Productos!G:G,C809))</f>
        <v/>
      </c>
      <c r="J809" s="90"/>
    </row>
    <row r="810">
      <c r="A810" s="2" t="str">
        <f t="shared" si="1"/>
        <v/>
      </c>
      <c r="B810" s="4"/>
      <c r="C810" s="4"/>
      <c r="D810" s="3" t="str">
        <f t="shared" si="2"/>
        <v/>
      </c>
      <c r="E810" s="4"/>
      <c r="F810" s="2" t="str">
        <f>IFERROR(__xludf.DUMMYFUNCTION("IF(E810="""","""",IF(COUNTIFS(D$1:D809,D810,E$1:E809,E810)&gt;0,INDEX(filter(F$1:F809,D$1:D809=D810,E$1:E809=E810),1),""Selecciona..""))"),"")</f>
        <v/>
      </c>
      <c r="G810" s="2" t="str">
        <f>IFERROR(__xludf.DUMMYFUNCTION("IF($E810="""","""",IF(COUNTIFS($D$1:$D809,$D810,$E$1:$E809,$E810)&gt;0,INDEX(filter(G$1:G809,$D$1:$D809=$D810,$E$1:$E809=E810),1),""Selecciona..""))"),"")</f>
        <v/>
      </c>
      <c r="H810" s="4" t="str">
        <f>IF(D810="","",COUNTIF(Productos!G:G,C810))</f>
        <v/>
      </c>
      <c r="J810" s="90"/>
    </row>
    <row r="811">
      <c r="A811" s="2" t="str">
        <f t="shared" si="1"/>
        <v/>
      </c>
      <c r="B811" s="4"/>
      <c r="C811" s="4"/>
      <c r="D811" s="3" t="str">
        <f t="shared" si="2"/>
        <v/>
      </c>
      <c r="E811" s="4"/>
      <c r="F811" s="2" t="str">
        <f>IFERROR(__xludf.DUMMYFUNCTION("IF(E811="""","""",IF(COUNTIFS(D$1:D810,D811,E$1:E810,E811)&gt;0,INDEX(filter(F$1:F810,D$1:D810=D811,E$1:E810=E811),1),""Selecciona..""))"),"")</f>
        <v/>
      </c>
      <c r="G811" s="2" t="str">
        <f>IFERROR(__xludf.DUMMYFUNCTION("IF($E811="""","""",IF(COUNTIFS($D$1:$D810,$D811,$E$1:$E810,$E811)&gt;0,INDEX(filter(G$1:G810,$D$1:$D810=$D811,$E$1:$E810=E811),1),""Selecciona..""))"),"")</f>
        <v/>
      </c>
      <c r="H811" s="4" t="str">
        <f>IF(D811="","",COUNTIF(Productos!G:G,C811))</f>
        <v/>
      </c>
      <c r="J811" s="90"/>
    </row>
    <row r="812">
      <c r="A812" s="2" t="str">
        <f t="shared" si="1"/>
        <v/>
      </c>
      <c r="B812" s="4"/>
      <c r="C812" s="4"/>
      <c r="D812" s="3" t="str">
        <f t="shared" si="2"/>
        <v/>
      </c>
      <c r="E812" s="4"/>
      <c r="F812" s="2" t="str">
        <f>IFERROR(__xludf.DUMMYFUNCTION("IF(E812="""","""",IF(COUNTIFS(D$1:D811,D812,E$1:E811,E812)&gt;0,INDEX(filter(F$1:F811,D$1:D811=D812,E$1:E811=E812),1),""Selecciona..""))"),"")</f>
        <v/>
      </c>
      <c r="G812" s="2" t="str">
        <f>IFERROR(__xludf.DUMMYFUNCTION("IF($E812="""","""",IF(COUNTIFS($D$1:$D811,$D812,$E$1:$E811,$E812)&gt;0,INDEX(filter(G$1:G811,$D$1:$D811=$D812,$E$1:$E811=E812),1),""Selecciona..""))"),"")</f>
        <v/>
      </c>
      <c r="H812" s="4" t="str">
        <f>IF(D812="","",COUNTIF(Productos!G:G,C812))</f>
        <v/>
      </c>
      <c r="J812" s="90"/>
    </row>
    <row r="813">
      <c r="A813" s="2" t="str">
        <f t="shared" si="1"/>
        <v/>
      </c>
      <c r="B813" s="4"/>
      <c r="C813" s="4"/>
      <c r="D813" s="3" t="str">
        <f t="shared" si="2"/>
        <v/>
      </c>
      <c r="E813" s="4"/>
      <c r="F813" s="2" t="str">
        <f>IFERROR(__xludf.DUMMYFUNCTION("IF(E813="""","""",IF(COUNTIFS(D$1:D812,D813,E$1:E812,E813)&gt;0,INDEX(filter(F$1:F812,D$1:D812=D813,E$1:E812=E813),1),""Selecciona..""))"),"")</f>
        <v/>
      </c>
      <c r="G813" s="2" t="str">
        <f>IFERROR(__xludf.DUMMYFUNCTION("IF($E813="""","""",IF(COUNTIFS($D$1:$D812,$D813,$E$1:$E812,$E813)&gt;0,INDEX(filter(G$1:G812,$D$1:$D812=$D813,$E$1:$E812=E813),1),""Selecciona..""))"),"")</f>
        <v/>
      </c>
      <c r="H813" s="4" t="str">
        <f>IF(D813="","",COUNTIF(Productos!G:G,C813))</f>
        <v/>
      </c>
      <c r="J813" s="90"/>
    </row>
    <row r="814">
      <c r="A814" s="2" t="str">
        <f t="shared" si="1"/>
        <v/>
      </c>
      <c r="B814" s="4"/>
      <c r="C814" s="4"/>
      <c r="D814" s="3" t="str">
        <f t="shared" si="2"/>
        <v/>
      </c>
      <c r="E814" s="4"/>
      <c r="F814" s="2" t="str">
        <f>IFERROR(__xludf.DUMMYFUNCTION("IF(E814="""","""",IF(COUNTIFS(D$1:D813,D814,E$1:E813,E814)&gt;0,INDEX(filter(F$1:F813,D$1:D813=D814,E$1:E813=E814),1),""Selecciona..""))"),"")</f>
        <v/>
      </c>
      <c r="G814" s="2" t="str">
        <f>IFERROR(__xludf.DUMMYFUNCTION("IF($E814="""","""",IF(COUNTIFS($D$1:$D813,$D814,$E$1:$E813,$E814)&gt;0,INDEX(filter(G$1:G813,$D$1:$D813=$D814,$E$1:$E813=E814),1),""Selecciona..""))"),"")</f>
        <v/>
      </c>
      <c r="H814" s="4" t="str">
        <f>IF(D814="","",COUNTIF(Productos!G:G,C814))</f>
        <v/>
      </c>
      <c r="J814" s="90"/>
    </row>
    <row r="815">
      <c r="A815" s="2" t="str">
        <f t="shared" si="1"/>
        <v/>
      </c>
      <c r="B815" s="4"/>
      <c r="C815" s="4"/>
      <c r="D815" s="3" t="str">
        <f t="shared" si="2"/>
        <v/>
      </c>
      <c r="E815" s="4"/>
      <c r="F815" s="2" t="str">
        <f>IFERROR(__xludf.DUMMYFUNCTION("IF(E815="""","""",IF(COUNTIFS(D$1:D814,D815,E$1:E814,E815)&gt;0,INDEX(filter(F$1:F814,D$1:D814=D815,E$1:E814=E815),1),""Selecciona..""))"),"")</f>
        <v/>
      </c>
      <c r="G815" s="2" t="str">
        <f>IFERROR(__xludf.DUMMYFUNCTION("IF($E815="""","""",IF(COUNTIFS($D$1:$D814,$D815,$E$1:$E814,$E815)&gt;0,INDEX(filter(G$1:G814,$D$1:$D814=$D815,$E$1:$E814=E815),1),""Selecciona..""))"),"")</f>
        <v/>
      </c>
      <c r="H815" s="4" t="str">
        <f>IF(D815="","",COUNTIF(Productos!G:G,C815))</f>
        <v/>
      </c>
      <c r="J815" s="90"/>
    </row>
    <row r="816">
      <c r="A816" s="2" t="str">
        <f t="shared" si="1"/>
        <v/>
      </c>
      <c r="B816" s="4"/>
      <c r="C816" s="4"/>
      <c r="D816" s="3" t="str">
        <f t="shared" si="2"/>
        <v/>
      </c>
      <c r="E816" s="4"/>
      <c r="F816" s="2" t="str">
        <f>IFERROR(__xludf.DUMMYFUNCTION("IF(E816="""","""",IF(COUNTIFS(D$1:D815,D816,E$1:E815,E816)&gt;0,INDEX(filter(F$1:F815,D$1:D815=D816,E$1:E815=E816),1),""Selecciona..""))"),"")</f>
        <v/>
      </c>
      <c r="G816" s="2" t="str">
        <f>IFERROR(__xludf.DUMMYFUNCTION("IF($E816="""","""",IF(COUNTIFS($D$1:$D815,$D816,$E$1:$E815,$E816)&gt;0,INDEX(filter(G$1:G815,$D$1:$D815=$D816,$E$1:$E815=E816),1),""Selecciona..""))"),"")</f>
        <v/>
      </c>
      <c r="H816" s="4" t="str">
        <f>IF(D816="","",COUNTIF(Productos!G:G,C816))</f>
        <v/>
      </c>
      <c r="J816" s="90"/>
    </row>
    <row r="817">
      <c r="A817" s="2" t="str">
        <f t="shared" si="1"/>
        <v/>
      </c>
      <c r="B817" s="4"/>
      <c r="C817" s="4"/>
      <c r="D817" s="3" t="str">
        <f t="shared" si="2"/>
        <v/>
      </c>
      <c r="E817" s="4"/>
      <c r="F817" s="2" t="str">
        <f>IFERROR(__xludf.DUMMYFUNCTION("IF(E817="""","""",IF(COUNTIFS(D$1:D816,D817,E$1:E816,E817)&gt;0,INDEX(filter(F$1:F816,D$1:D816=D817,E$1:E816=E817),1),""Selecciona..""))"),"")</f>
        <v/>
      </c>
      <c r="G817" s="2" t="str">
        <f>IFERROR(__xludf.DUMMYFUNCTION("IF($E817="""","""",IF(COUNTIFS($D$1:$D816,$D817,$E$1:$E816,$E817)&gt;0,INDEX(filter(G$1:G816,$D$1:$D816=$D817,$E$1:$E816=E817),1),""Selecciona..""))"),"")</f>
        <v/>
      </c>
      <c r="H817" s="4" t="str">
        <f>IF(D817="","",COUNTIF(Productos!G:G,C817))</f>
        <v/>
      </c>
      <c r="J817" s="90"/>
    </row>
    <row r="818">
      <c r="A818" s="2" t="str">
        <f t="shared" si="1"/>
        <v/>
      </c>
      <c r="B818" s="4"/>
      <c r="C818" s="4"/>
      <c r="D818" s="3" t="str">
        <f t="shared" si="2"/>
        <v/>
      </c>
      <c r="E818" s="4"/>
      <c r="F818" s="2" t="str">
        <f>IFERROR(__xludf.DUMMYFUNCTION("IF(E818="""","""",IF(COUNTIFS(D$1:D817,D818,E$1:E817,E818)&gt;0,INDEX(filter(F$1:F817,D$1:D817=D818,E$1:E817=E818),1),""Selecciona..""))"),"")</f>
        <v/>
      </c>
      <c r="G818" s="2" t="str">
        <f>IFERROR(__xludf.DUMMYFUNCTION("IF($E818="""","""",IF(COUNTIFS($D$1:$D817,$D818,$E$1:$E817,$E818)&gt;0,INDEX(filter(G$1:G817,$D$1:$D817=$D818,$E$1:$E817=E818),1),""Selecciona..""))"),"")</f>
        <v/>
      </c>
      <c r="H818" s="4" t="str">
        <f>IF(D818="","",COUNTIF(Productos!G:G,C818))</f>
        <v/>
      </c>
      <c r="J818" s="90"/>
    </row>
    <row r="819">
      <c r="A819" s="2" t="str">
        <f t="shared" si="1"/>
        <v/>
      </c>
      <c r="B819" s="4"/>
      <c r="C819" s="4"/>
      <c r="D819" s="3" t="str">
        <f t="shared" si="2"/>
        <v/>
      </c>
      <c r="E819" s="4"/>
      <c r="F819" s="2" t="str">
        <f>IFERROR(__xludf.DUMMYFUNCTION("IF(E819="""","""",IF(COUNTIFS(D$1:D818,D819,E$1:E818,E819)&gt;0,INDEX(filter(F$1:F818,D$1:D818=D819,E$1:E818=E819),1),""Selecciona..""))"),"")</f>
        <v/>
      </c>
      <c r="G819" s="2" t="str">
        <f>IFERROR(__xludf.DUMMYFUNCTION("IF($E819="""","""",IF(COUNTIFS($D$1:$D818,$D819,$E$1:$E818,$E819)&gt;0,INDEX(filter(G$1:G818,$D$1:$D818=$D819,$E$1:$E818=E819),1),""Selecciona..""))"),"")</f>
        <v/>
      </c>
      <c r="H819" s="4" t="str">
        <f>IF(D819="","",COUNTIF(Productos!G:G,C819))</f>
        <v/>
      </c>
      <c r="J819" s="90"/>
    </row>
    <row r="820">
      <c r="A820" s="2" t="str">
        <f t="shared" si="1"/>
        <v/>
      </c>
      <c r="B820" s="4"/>
      <c r="C820" s="4"/>
      <c r="D820" s="3" t="str">
        <f t="shared" si="2"/>
        <v/>
      </c>
      <c r="E820" s="4"/>
      <c r="F820" s="2" t="str">
        <f>IFERROR(__xludf.DUMMYFUNCTION("IF(E820="""","""",IF(COUNTIFS(D$1:D819,D820,E$1:E819,E820)&gt;0,INDEX(filter(F$1:F819,D$1:D819=D820,E$1:E819=E820),1),""Selecciona..""))"),"")</f>
        <v/>
      </c>
      <c r="G820" s="2" t="str">
        <f>IFERROR(__xludf.DUMMYFUNCTION("IF($E820="""","""",IF(COUNTIFS($D$1:$D819,$D820,$E$1:$E819,$E820)&gt;0,INDEX(filter(G$1:G819,$D$1:$D819=$D820,$E$1:$E819=E820),1),""Selecciona..""))"),"")</f>
        <v/>
      </c>
      <c r="H820" s="4" t="str">
        <f>IF(D820="","",COUNTIF(Productos!G:G,C820))</f>
        <v/>
      </c>
      <c r="J820" s="90"/>
    </row>
    <row r="821">
      <c r="A821" s="2" t="str">
        <f t="shared" si="1"/>
        <v/>
      </c>
      <c r="B821" s="4"/>
      <c r="C821" s="4"/>
      <c r="D821" s="3" t="str">
        <f t="shared" si="2"/>
        <v/>
      </c>
      <c r="E821" s="4"/>
      <c r="F821" s="2" t="str">
        <f>IFERROR(__xludf.DUMMYFUNCTION("IF(E821="""","""",IF(COUNTIFS(D$1:D820,D821,E$1:E820,E821)&gt;0,INDEX(filter(F$1:F820,D$1:D820=D821,E$1:E820=E821),1),""Selecciona..""))"),"")</f>
        <v/>
      </c>
      <c r="G821" s="2" t="str">
        <f>IFERROR(__xludf.DUMMYFUNCTION("IF($E821="""","""",IF(COUNTIFS($D$1:$D820,$D821,$E$1:$E820,$E821)&gt;0,INDEX(filter(G$1:G820,$D$1:$D820=$D821,$E$1:$E820=E821),1),""Selecciona..""))"),"")</f>
        <v/>
      </c>
      <c r="H821" s="4" t="str">
        <f>IF(D821="","",COUNTIF(Productos!G:G,C821))</f>
        <v/>
      </c>
      <c r="J821" s="90"/>
    </row>
    <row r="822">
      <c r="A822" s="2" t="str">
        <f t="shared" si="1"/>
        <v/>
      </c>
      <c r="B822" s="4"/>
      <c r="C822" s="4"/>
      <c r="D822" s="3" t="str">
        <f t="shared" si="2"/>
        <v/>
      </c>
      <c r="E822" s="4"/>
      <c r="F822" s="2" t="str">
        <f>IFERROR(__xludf.DUMMYFUNCTION("IF(E822="""","""",IF(COUNTIFS(D$1:D821,D822,E$1:E821,E822)&gt;0,INDEX(filter(F$1:F821,D$1:D821=D822,E$1:E821=E822),1),""Selecciona..""))"),"")</f>
        <v/>
      </c>
      <c r="G822" s="2" t="str">
        <f>IFERROR(__xludf.DUMMYFUNCTION("IF($E822="""","""",IF(COUNTIFS($D$1:$D821,$D822,$E$1:$E821,$E822)&gt;0,INDEX(filter(G$1:G821,$D$1:$D821=$D822,$E$1:$E821=E822),1),""Selecciona..""))"),"")</f>
        <v/>
      </c>
      <c r="H822" s="4" t="str">
        <f>IF(D822="","",COUNTIF(Productos!G:G,C822))</f>
        <v/>
      </c>
      <c r="J822" s="90"/>
    </row>
    <row r="823">
      <c r="A823" s="2" t="str">
        <f t="shared" si="1"/>
        <v/>
      </c>
      <c r="B823" s="4"/>
      <c r="C823" s="4"/>
      <c r="D823" s="3" t="str">
        <f t="shared" si="2"/>
        <v/>
      </c>
      <c r="E823" s="4"/>
      <c r="F823" s="2" t="str">
        <f>IFERROR(__xludf.DUMMYFUNCTION("IF(E823="""","""",IF(COUNTIFS(D$1:D822,D823,E$1:E822,E823)&gt;0,INDEX(filter(F$1:F822,D$1:D822=D823,E$1:E822=E823),1),""Selecciona..""))"),"")</f>
        <v/>
      </c>
      <c r="G823" s="2" t="str">
        <f>IFERROR(__xludf.DUMMYFUNCTION("IF($E823="""","""",IF(COUNTIFS($D$1:$D822,$D823,$E$1:$E822,$E823)&gt;0,INDEX(filter(G$1:G822,$D$1:$D822=$D823,$E$1:$E822=E823),1),""Selecciona..""))"),"")</f>
        <v/>
      </c>
      <c r="H823" s="4" t="str">
        <f>IF(D823="","",COUNTIF(Productos!G:G,C823))</f>
        <v/>
      </c>
      <c r="J823" s="90"/>
    </row>
    <row r="824">
      <c r="A824" s="2" t="str">
        <f t="shared" si="1"/>
        <v/>
      </c>
      <c r="B824" s="4"/>
      <c r="C824" s="4"/>
      <c r="D824" s="3" t="str">
        <f t="shared" si="2"/>
        <v/>
      </c>
      <c r="E824" s="4"/>
      <c r="F824" s="2" t="str">
        <f>IFERROR(__xludf.DUMMYFUNCTION("IF(E824="""","""",IF(COUNTIFS(D$1:D823,D824,E$1:E823,E824)&gt;0,INDEX(filter(F$1:F823,D$1:D823=D824,E$1:E823=E824),1),""Selecciona..""))"),"")</f>
        <v/>
      </c>
      <c r="G824" s="2" t="str">
        <f>IFERROR(__xludf.DUMMYFUNCTION("IF($E824="""","""",IF(COUNTIFS($D$1:$D823,$D824,$E$1:$E823,$E824)&gt;0,INDEX(filter(G$1:G823,$D$1:$D823=$D824,$E$1:$E823=E824),1),""Selecciona..""))"),"")</f>
        <v/>
      </c>
      <c r="H824" s="4" t="str">
        <f>IF(D824="","",COUNTIF(Productos!G:G,C824))</f>
        <v/>
      </c>
      <c r="J824" s="90"/>
    </row>
    <row r="825">
      <c r="A825" s="2" t="str">
        <f t="shared" si="1"/>
        <v/>
      </c>
      <c r="B825" s="4"/>
      <c r="C825" s="4"/>
      <c r="D825" s="3" t="str">
        <f t="shared" si="2"/>
        <v/>
      </c>
      <c r="E825" s="4"/>
      <c r="F825" s="2" t="str">
        <f>IFERROR(__xludf.DUMMYFUNCTION("IF(E825="""","""",IF(COUNTIFS(D$1:D824,D825,E$1:E824,E825)&gt;0,INDEX(filter(F$1:F824,D$1:D824=D825,E$1:E824=E825),1),""Selecciona..""))"),"")</f>
        <v/>
      </c>
      <c r="G825" s="2" t="str">
        <f>IFERROR(__xludf.DUMMYFUNCTION("IF($E825="""","""",IF(COUNTIFS($D$1:$D824,$D825,$E$1:$E824,$E825)&gt;0,INDEX(filter(G$1:G824,$D$1:$D824=$D825,$E$1:$E824=E825),1),""Selecciona..""))"),"")</f>
        <v/>
      </c>
      <c r="H825" s="4" t="str">
        <f>IF(D825="","",COUNTIF(Productos!G:G,C825))</f>
        <v/>
      </c>
      <c r="J825" s="90"/>
    </row>
    <row r="826">
      <c r="A826" s="2" t="str">
        <f t="shared" si="1"/>
        <v/>
      </c>
      <c r="B826" s="4"/>
      <c r="C826" s="4"/>
      <c r="D826" s="3" t="str">
        <f t="shared" si="2"/>
        <v/>
      </c>
      <c r="E826" s="4"/>
      <c r="F826" s="2" t="str">
        <f>IFERROR(__xludf.DUMMYFUNCTION("IF(E826="""","""",IF(COUNTIFS(D$1:D825,D826,E$1:E825,E826)&gt;0,INDEX(filter(F$1:F825,D$1:D825=D826,E$1:E825=E826),1),""Selecciona..""))"),"")</f>
        <v/>
      </c>
      <c r="G826" s="2" t="str">
        <f>IFERROR(__xludf.DUMMYFUNCTION("IF($E826="""","""",IF(COUNTIFS($D$1:$D825,$D826,$E$1:$E825,$E826)&gt;0,INDEX(filter(G$1:G825,$D$1:$D825=$D826,$E$1:$E825=E826),1),""Selecciona..""))"),"")</f>
        <v/>
      </c>
      <c r="H826" s="4" t="str">
        <f>IF(D826="","",COUNTIF(Productos!G:G,C826))</f>
        <v/>
      </c>
      <c r="J826" s="90"/>
    </row>
    <row r="827">
      <c r="A827" s="2" t="str">
        <f t="shared" si="1"/>
        <v/>
      </c>
      <c r="B827" s="4"/>
      <c r="C827" s="4"/>
      <c r="D827" s="3" t="str">
        <f t="shared" si="2"/>
        <v/>
      </c>
      <c r="E827" s="4"/>
      <c r="F827" s="2" t="str">
        <f>IFERROR(__xludf.DUMMYFUNCTION("IF(E827="""","""",IF(COUNTIFS(D$1:D826,D827,E$1:E826,E827)&gt;0,INDEX(filter(F$1:F826,D$1:D826=D827,E$1:E826=E827),1),""Selecciona..""))"),"")</f>
        <v/>
      </c>
      <c r="G827" s="2" t="str">
        <f>IFERROR(__xludf.DUMMYFUNCTION("IF($E827="""","""",IF(COUNTIFS($D$1:$D826,$D827,$E$1:$E826,$E827)&gt;0,INDEX(filter(G$1:G826,$D$1:$D826=$D827,$E$1:$E826=E827),1),""Selecciona..""))"),"")</f>
        <v/>
      </c>
      <c r="H827" s="4" t="str">
        <f>IF(D827="","",COUNTIF(Productos!G:G,C827))</f>
        <v/>
      </c>
      <c r="J827" s="90"/>
    </row>
    <row r="828">
      <c r="A828" s="2" t="str">
        <f t="shared" si="1"/>
        <v/>
      </c>
      <c r="B828" s="4"/>
      <c r="C828" s="4"/>
      <c r="D828" s="3" t="str">
        <f t="shared" si="2"/>
        <v/>
      </c>
      <c r="E828" s="4"/>
      <c r="F828" s="2" t="str">
        <f>IFERROR(__xludf.DUMMYFUNCTION("IF(E828="""","""",IF(COUNTIFS(D$1:D827,D828,E$1:E827,E828)&gt;0,INDEX(filter(F$1:F827,D$1:D827=D828,E$1:E827=E828),1),""Selecciona..""))"),"")</f>
        <v/>
      </c>
      <c r="G828" s="2" t="str">
        <f>IFERROR(__xludf.DUMMYFUNCTION("IF($E828="""","""",IF(COUNTIFS($D$1:$D827,$D828,$E$1:$E827,$E828)&gt;0,INDEX(filter(G$1:G827,$D$1:$D827=$D828,$E$1:$E827=E828),1),""Selecciona..""))"),"")</f>
        <v/>
      </c>
      <c r="H828" s="4" t="str">
        <f>IF(D828="","",COUNTIF(Productos!G:G,C828))</f>
        <v/>
      </c>
      <c r="J828" s="90"/>
    </row>
    <row r="829">
      <c r="A829" s="2" t="str">
        <f t="shared" si="1"/>
        <v/>
      </c>
      <c r="B829" s="4"/>
      <c r="C829" s="4"/>
      <c r="D829" s="3" t="str">
        <f t="shared" si="2"/>
        <v/>
      </c>
      <c r="E829" s="4"/>
      <c r="F829" s="2" t="str">
        <f>IFERROR(__xludf.DUMMYFUNCTION("IF(E829="""","""",IF(COUNTIFS(D$1:D828,D829,E$1:E828,E829)&gt;0,INDEX(filter(F$1:F828,D$1:D828=D829,E$1:E828=E829),1),""Selecciona..""))"),"")</f>
        <v/>
      </c>
      <c r="G829" s="2" t="str">
        <f>IFERROR(__xludf.DUMMYFUNCTION("IF($E829="""","""",IF(COUNTIFS($D$1:$D828,$D829,$E$1:$E828,$E829)&gt;0,INDEX(filter(G$1:G828,$D$1:$D828=$D829,$E$1:$E828=E829),1),""Selecciona..""))"),"")</f>
        <v/>
      </c>
      <c r="H829" s="4" t="str">
        <f>IF(D829="","",COUNTIF(Productos!G:G,C829))</f>
        <v/>
      </c>
      <c r="J829" s="90"/>
    </row>
    <row r="830">
      <c r="A830" s="2" t="str">
        <f t="shared" si="1"/>
        <v/>
      </c>
      <c r="B830" s="4"/>
      <c r="C830" s="4"/>
      <c r="D830" s="3" t="str">
        <f t="shared" si="2"/>
        <v/>
      </c>
      <c r="E830" s="4"/>
      <c r="F830" s="2" t="str">
        <f>IFERROR(__xludf.DUMMYFUNCTION("IF(E830="""","""",IF(COUNTIFS(D$1:D829,D830,E$1:E829,E830)&gt;0,INDEX(filter(F$1:F829,D$1:D829=D830,E$1:E829=E830),1),""Selecciona..""))"),"")</f>
        <v/>
      </c>
      <c r="G830" s="2" t="str">
        <f>IFERROR(__xludf.DUMMYFUNCTION("IF($E830="""","""",IF(COUNTIFS($D$1:$D829,$D830,$E$1:$E829,$E830)&gt;0,INDEX(filter(G$1:G829,$D$1:$D829=$D830,$E$1:$E829=E830),1),""Selecciona..""))"),"")</f>
        <v/>
      </c>
      <c r="H830" s="4" t="str">
        <f>IF(D830="","",COUNTIF(Productos!G:G,C830))</f>
        <v/>
      </c>
      <c r="J830" s="90"/>
    </row>
    <row r="831">
      <c r="A831" s="2" t="str">
        <f t="shared" si="1"/>
        <v/>
      </c>
      <c r="B831" s="4"/>
      <c r="C831" s="4"/>
      <c r="D831" s="3" t="str">
        <f t="shared" si="2"/>
        <v/>
      </c>
      <c r="E831" s="4"/>
      <c r="F831" s="2" t="str">
        <f>IFERROR(__xludf.DUMMYFUNCTION("IF(E831="""","""",IF(COUNTIFS(D$1:D830,D831,E$1:E830,E831)&gt;0,INDEX(filter(F$1:F830,D$1:D830=D831,E$1:E830=E831),1),""Selecciona..""))"),"")</f>
        <v/>
      </c>
      <c r="G831" s="2" t="str">
        <f>IFERROR(__xludf.DUMMYFUNCTION("IF($E831="""","""",IF(COUNTIFS($D$1:$D830,$D831,$E$1:$E830,$E831)&gt;0,INDEX(filter(G$1:G830,$D$1:$D830=$D831,$E$1:$E830=E831),1),""Selecciona..""))"),"")</f>
        <v/>
      </c>
      <c r="H831" s="4" t="str">
        <f>IF(D831="","",COUNTIF(Productos!G:G,C831))</f>
        <v/>
      </c>
      <c r="J831" s="90"/>
    </row>
    <row r="832">
      <c r="A832" s="2" t="str">
        <f t="shared" si="1"/>
        <v/>
      </c>
      <c r="B832" s="4"/>
      <c r="C832" s="4"/>
      <c r="D832" s="3" t="str">
        <f t="shared" si="2"/>
        <v/>
      </c>
      <c r="E832" s="4"/>
      <c r="F832" s="2" t="str">
        <f>IFERROR(__xludf.DUMMYFUNCTION("IF(E832="""","""",IF(COUNTIFS(D$1:D831,D832,E$1:E831,E832)&gt;0,INDEX(filter(F$1:F831,D$1:D831=D832,E$1:E831=E832),1),""Selecciona..""))"),"")</f>
        <v/>
      </c>
      <c r="G832" s="2" t="str">
        <f>IFERROR(__xludf.DUMMYFUNCTION("IF($E832="""","""",IF(COUNTIFS($D$1:$D831,$D832,$E$1:$E831,$E832)&gt;0,INDEX(filter(G$1:G831,$D$1:$D831=$D832,$E$1:$E831=E832),1),""Selecciona..""))"),"")</f>
        <v/>
      </c>
      <c r="H832" s="4" t="str">
        <f>IF(D832="","",COUNTIF(Productos!G:G,C832))</f>
        <v/>
      </c>
      <c r="J832" s="90"/>
    </row>
    <row r="833">
      <c r="A833" s="2" t="str">
        <f t="shared" si="1"/>
        <v/>
      </c>
      <c r="B833" s="4"/>
      <c r="C833" s="4"/>
      <c r="D833" s="3" t="str">
        <f t="shared" si="2"/>
        <v/>
      </c>
      <c r="E833" s="4"/>
      <c r="F833" s="2" t="str">
        <f>IFERROR(__xludf.DUMMYFUNCTION("IF(E833="""","""",IF(COUNTIFS(D$1:D832,D833,E$1:E832,E833)&gt;0,INDEX(filter(F$1:F832,D$1:D832=D833,E$1:E832=E833),1),""Selecciona..""))"),"")</f>
        <v/>
      </c>
      <c r="G833" s="2" t="str">
        <f>IFERROR(__xludf.DUMMYFUNCTION("IF($E833="""","""",IF(COUNTIFS($D$1:$D832,$D833,$E$1:$E832,$E833)&gt;0,INDEX(filter(G$1:G832,$D$1:$D832=$D833,$E$1:$E832=E833),1),""Selecciona..""))"),"")</f>
        <v/>
      </c>
      <c r="H833" s="4" t="str">
        <f>IF(D833="","",COUNTIF(Productos!G:G,C833))</f>
        <v/>
      </c>
      <c r="J833" s="90"/>
    </row>
    <row r="834">
      <c r="A834" s="2" t="str">
        <f t="shared" si="1"/>
        <v/>
      </c>
      <c r="B834" s="4"/>
      <c r="C834" s="4"/>
      <c r="D834" s="3" t="str">
        <f t="shared" si="2"/>
        <v/>
      </c>
      <c r="E834" s="4"/>
      <c r="F834" s="2" t="str">
        <f>IFERROR(__xludf.DUMMYFUNCTION("IF(E834="""","""",IF(COUNTIFS(D$1:D833,D834,E$1:E833,E834)&gt;0,INDEX(filter(F$1:F833,D$1:D833=D834,E$1:E833=E834),1),""Selecciona..""))"),"")</f>
        <v/>
      </c>
      <c r="G834" s="2" t="str">
        <f>IFERROR(__xludf.DUMMYFUNCTION("IF($E834="""","""",IF(COUNTIFS($D$1:$D833,$D834,$E$1:$E833,$E834)&gt;0,INDEX(filter(G$1:G833,$D$1:$D833=$D834,$E$1:$E833=E834),1),""Selecciona..""))"),"")</f>
        <v/>
      </c>
      <c r="H834" s="4" t="str">
        <f>IF(D834="","",COUNTIF(Productos!G:G,C834))</f>
        <v/>
      </c>
      <c r="J834" s="90"/>
    </row>
    <row r="835">
      <c r="A835" s="2" t="str">
        <f t="shared" si="1"/>
        <v/>
      </c>
      <c r="B835" s="4"/>
      <c r="C835" s="4"/>
      <c r="D835" s="3" t="str">
        <f t="shared" si="2"/>
        <v/>
      </c>
      <c r="E835" s="4"/>
      <c r="F835" s="2" t="str">
        <f>IFERROR(__xludf.DUMMYFUNCTION("IF(E835="""","""",IF(COUNTIFS(D$1:D834,D835,E$1:E834,E835)&gt;0,INDEX(filter(F$1:F834,D$1:D834=D835,E$1:E834=E835),1),""Selecciona..""))"),"")</f>
        <v/>
      </c>
      <c r="G835" s="2" t="str">
        <f>IFERROR(__xludf.DUMMYFUNCTION("IF($E835="""","""",IF(COUNTIFS($D$1:$D834,$D835,$E$1:$E834,$E835)&gt;0,INDEX(filter(G$1:G834,$D$1:$D834=$D835,$E$1:$E834=E835),1),""Selecciona..""))"),"")</f>
        <v/>
      </c>
      <c r="H835" s="4" t="str">
        <f>IF(D835="","",COUNTIF(Productos!G:G,C835))</f>
        <v/>
      </c>
      <c r="J835" s="90"/>
    </row>
    <row r="836">
      <c r="A836" s="2" t="str">
        <f t="shared" si="1"/>
        <v/>
      </c>
      <c r="B836" s="4"/>
      <c r="C836" s="4"/>
      <c r="D836" s="3" t="str">
        <f t="shared" si="2"/>
        <v/>
      </c>
      <c r="E836" s="4"/>
      <c r="F836" s="2" t="str">
        <f>IFERROR(__xludf.DUMMYFUNCTION("IF(E836="""","""",IF(COUNTIFS(D$1:D835,D836,E$1:E835,E836)&gt;0,INDEX(filter(F$1:F835,D$1:D835=D836,E$1:E835=E836),1),""Selecciona..""))"),"")</f>
        <v/>
      </c>
      <c r="G836" s="2" t="str">
        <f>IFERROR(__xludf.DUMMYFUNCTION("IF($E836="""","""",IF(COUNTIFS($D$1:$D835,$D836,$E$1:$E835,$E836)&gt;0,INDEX(filter(G$1:G835,$D$1:$D835=$D836,$E$1:$E835=E836),1),""Selecciona..""))"),"")</f>
        <v/>
      </c>
      <c r="H836" s="4" t="str">
        <f>IF(D836="","",COUNTIF(Productos!G:G,C836))</f>
        <v/>
      </c>
      <c r="J836" s="90"/>
    </row>
    <row r="837">
      <c r="A837" s="2" t="str">
        <f t="shared" si="1"/>
        <v/>
      </c>
      <c r="B837" s="4"/>
      <c r="C837" s="4"/>
      <c r="D837" s="3" t="str">
        <f t="shared" si="2"/>
        <v/>
      </c>
      <c r="E837" s="4"/>
      <c r="F837" s="2" t="str">
        <f>IFERROR(__xludf.DUMMYFUNCTION("IF(E837="""","""",IF(COUNTIFS(D$1:D836,D837,E$1:E836,E837)&gt;0,INDEX(filter(F$1:F836,D$1:D836=D837,E$1:E836=E837),1),""Selecciona..""))"),"")</f>
        <v/>
      </c>
      <c r="G837" s="2" t="str">
        <f>IFERROR(__xludf.DUMMYFUNCTION("IF($E837="""","""",IF(COUNTIFS($D$1:$D836,$D837,$E$1:$E836,$E837)&gt;0,INDEX(filter(G$1:G836,$D$1:$D836=$D837,$E$1:$E836=E837),1),""Selecciona..""))"),"")</f>
        <v/>
      </c>
      <c r="H837" s="4" t="str">
        <f>IF(D837="","",COUNTIF(Productos!G:G,C837))</f>
        <v/>
      </c>
      <c r="J837" s="90"/>
    </row>
    <row r="838">
      <c r="A838" s="2" t="str">
        <f t="shared" si="1"/>
        <v/>
      </c>
      <c r="B838" s="4"/>
      <c r="C838" s="4"/>
      <c r="D838" s="3" t="str">
        <f t="shared" si="2"/>
        <v/>
      </c>
      <c r="E838" s="4"/>
      <c r="F838" s="2" t="str">
        <f>IFERROR(__xludf.DUMMYFUNCTION("IF(E838="""","""",IF(COUNTIFS(D$1:D837,D838,E$1:E837,E838)&gt;0,INDEX(filter(F$1:F837,D$1:D837=D838,E$1:E837=E838),1),""Selecciona..""))"),"")</f>
        <v/>
      </c>
      <c r="G838" s="2" t="str">
        <f>IFERROR(__xludf.DUMMYFUNCTION("IF($E838="""","""",IF(COUNTIFS($D$1:$D837,$D838,$E$1:$E837,$E838)&gt;0,INDEX(filter(G$1:G837,$D$1:$D837=$D838,$E$1:$E837=E838),1),""Selecciona..""))"),"")</f>
        <v/>
      </c>
      <c r="H838" s="4" t="str">
        <f>IF(D838="","",COUNTIF(Productos!G:G,C838))</f>
        <v/>
      </c>
      <c r="J838" s="90"/>
    </row>
    <row r="839">
      <c r="A839" s="2" t="str">
        <f t="shared" si="1"/>
        <v/>
      </c>
      <c r="B839" s="4"/>
      <c r="C839" s="4"/>
      <c r="D839" s="3" t="str">
        <f t="shared" si="2"/>
        <v/>
      </c>
      <c r="E839" s="4"/>
      <c r="F839" s="2" t="str">
        <f>IFERROR(__xludf.DUMMYFUNCTION("IF(E839="""","""",IF(COUNTIFS(D$1:D838,D839,E$1:E838,E839)&gt;0,INDEX(filter(F$1:F838,D$1:D838=D839,E$1:E838=E839),1),""Selecciona..""))"),"")</f>
        <v/>
      </c>
      <c r="G839" s="2" t="str">
        <f>IFERROR(__xludf.DUMMYFUNCTION("IF($E839="""","""",IF(COUNTIFS($D$1:$D838,$D839,$E$1:$E838,$E839)&gt;0,INDEX(filter(G$1:G838,$D$1:$D838=$D839,$E$1:$E838=E839),1),""Selecciona..""))"),"")</f>
        <v/>
      </c>
      <c r="H839" s="4" t="str">
        <f>IF(D839="","",COUNTIF(Productos!G:G,C839))</f>
        <v/>
      </c>
      <c r="J839" s="90"/>
    </row>
    <row r="840">
      <c r="A840" s="2" t="str">
        <f t="shared" si="1"/>
        <v/>
      </c>
      <c r="B840" s="4"/>
      <c r="C840" s="4"/>
      <c r="D840" s="3" t="str">
        <f t="shared" si="2"/>
        <v/>
      </c>
      <c r="E840" s="4"/>
      <c r="F840" s="2" t="str">
        <f>IFERROR(__xludf.DUMMYFUNCTION("IF(E840="""","""",IF(COUNTIFS(D$1:D839,D840,E$1:E839,E840)&gt;0,INDEX(filter(F$1:F839,D$1:D839=D840,E$1:E839=E840),1),""Selecciona..""))"),"")</f>
        <v/>
      </c>
      <c r="G840" s="2" t="str">
        <f>IFERROR(__xludf.DUMMYFUNCTION("IF($E840="""","""",IF(COUNTIFS($D$1:$D839,$D840,$E$1:$E839,$E840)&gt;0,INDEX(filter(G$1:G839,$D$1:$D839=$D840,$E$1:$E839=E840),1),""Selecciona..""))"),"")</f>
        <v/>
      </c>
      <c r="H840" s="4" t="str">
        <f>IF(D840="","",COUNTIF(Productos!G:G,C840))</f>
        <v/>
      </c>
      <c r="J840" s="90"/>
    </row>
    <row r="841">
      <c r="A841" s="2" t="str">
        <f t="shared" si="1"/>
        <v/>
      </c>
      <c r="B841" s="4"/>
      <c r="C841" s="4"/>
      <c r="D841" s="3" t="str">
        <f t="shared" si="2"/>
        <v/>
      </c>
      <c r="E841" s="4"/>
      <c r="F841" s="2" t="str">
        <f>IFERROR(__xludf.DUMMYFUNCTION("IF(E841="""","""",IF(COUNTIFS(D$1:D840,D841,E$1:E840,E841)&gt;0,INDEX(filter(F$1:F840,D$1:D840=D841,E$1:E840=E841),1),""Selecciona..""))"),"")</f>
        <v/>
      </c>
      <c r="G841" s="2" t="str">
        <f>IFERROR(__xludf.DUMMYFUNCTION("IF($E841="""","""",IF(COUNTIFS($D$1:$D840,$D841,$E$1:$E840,$E841)&gt;0,INDEX(filter(G$1:G840,$D$1:$D840=$D841,$E$1:$E840=E841),1),""Selecciona..""))"),"")</f>
        <v/>
      </c>
      <c r="H841" s="4" t="str">
        <f>IF(D841="","",COUNTIF(Productos!G:G,C841))</f>
        <v/>
      </c>
      <c r="J841" s="90"/>
    </row>
    <row r="842">
      <c r="A842" s="2" t="str">
        <f t="shared" si="1"/>
        <v/>
      </c>
      <c r="B842" s="4"/>
      <c r="C842" s="4"/>
      <c r="D842" s="3" t="str">
        <f t="shared" si="2"/>
        <v/>
      </c>
      <c r="E842" s="4"/>
      <c r="F842" s="2" t="str">
        <f>IFERROR(__xludf.DUMMYFUNCTION("IF(E842="""","""",IF(COUNTIFS(D$1:D841,D842,E$1:E841,E842)&gt;0,INDEX(filter(F$1:F841,D$1:D841=D842,E$1:E841=E842),1),""Selecciona..""))"),"")</f>
        <v/>
      </c>
      <c r="G842" s="2" t="str">
        <f>IFERROR(__xludf.DUMMYFUNCTION("IF($E842="""","""",IF(COUNTIFS($D$1:$D841,$D842,$E$1:$E841,$E842)&gt;0,INDEX(filter(G$1:G841,$D$1:$D841=$D842,$E$1:$E841=E842),1),""Selecciona..""))"),"")</f>
        <v/>
      </c>
      <c r="H842" s="4" t="str">
        <f>IF(D842="","",COUNTIF(Productos!G:G,C842))</f>
        <v/>
      </c>
      <c r="J842" s="90"/>
    </row>
    <row r="843">
      <c r="A843" s="2" t="str">
        <f t="shared" si="1"/>
        <v/>
      </c>
      <c r="B843" s="4"/>
      <c r="C843" s="4"/>
      <c r="D843" s="3" t="str">
        <f t="shared" si="2"/>
        <v/>
      </c>
      <c r="E843" s="4"/>
      <c r="F843" s="2" t="str">
        <f>IFERROR(__xludf.DUMMYFUNCTION("IF(E843="""","""",IF(COUNTIFS(D$1:D842,D843,E$1:E842,E843)&gt;0,INDEX(filter(F$1:F842,D$1:D842=D843,E$1:E842=E843),1),""Selecciona..""))"),"")</f>
        <v/>
      </c>
      <c r="G843" s="2" t="str">
        <f>IFERROR(__xludf.DUMMYFUNCTION("IF($E843="""","""",IF(COUNTIFS($D$1:$D842,$D843,$E$1:$E842,$E843)&gt;0,INDEX(filter(G$1:G842,$D$1:$D842=$D843,$E$1:$E842=E843),1),""Selecciona..""))"),"")</f>
        <v/>
      </c>
      <c r="H843" s="4" t="str">
        <f>IF(D843="","",COUNTIF(Productos!G:G,C843))</f>
        <v/>
      </c>
      <c r="J843" s="90"/>
    </row>
    <row r="844">
      <c r="A844" s="2" t="str">
        <f t="shared" si="1"/>
        <v/>
      </c>
      <c r="B844" s="4"/>
      <c r="C844" s="4"/>
      <c r="D844" s="3" t="str">
        <f t="shared" si="2"/>
        <v/>
      </c>
      <c r="E844" s="4"/>
      <c r="F844" s="2" t="str">
        <f>IFERROR(__xludf.DUMMYFUNCTION("IF(E844="""","""",IF(COUNTIFS(D$1:D843,D844,E$1:E843,E844)&gt;0,INDEX(filter(F$1:F843,D$1:D843=D844,E$1:E843=E844),1),""Selecciona..""))"),"")</f>
        <v/>
      </c>
      <c r="G844" s="2" t="str">
        <f>IFERROR(__xludf.DUMMYFUNCTION("IF($E844="""","""",IF(COUNTIFS($D$1:$D843,$D844,$E$1:$E843,$E844)&gt;0,INDEX(filter(G$1:G843,$D$1:$D843=$D844,$E$1:$E843=E844),1),""Selecciona..""))"),"")</f>
        <v/>
      </c>
      <c r="H844" s="4" t="str">
        <f>IF(D844="","",COUNTIF(Productos!G:G,C844))</f>
        <v/>
      </c>
      <c r="J844" s="90"/>
    </row>
    <row r="845">
      <c r="A845" s="2" t="str">
        <f t="shared" si="1"/>
        <v/>
      </c>
      <c r="B845" s="4"/>
      <c r="C845" s="4"/>
      <c r="D845" s="3" t="str">
        <f t="shared" si="2"/>
        <v/>
      </c>
      <c r="E845" s="4"/>
      <c r="F845" s="2" t="str">
        <f>IFERROR(__xludf.DUMMYFUNCTION("IF(E845="""","""",IF(COUNTIFS(D$1:D844,D845,E$1:E844,E845)&gt;0,INDEX(filter(F$1:F844,D$1:D844=D845,E$1:E844=E845),1),""Selecciona..""))"),"")</f>
        <v/>
      </c>
      <c r="G845" s="2" t="str">
        <f>IFERROR(__xludf.DUMMYFUNCTION("IF($E845="""","""",IF(COUNTIFS($D$1:$D844,$D845,$E$1:$E844,$E845)&gt;0,INDEX(filter(G$1:G844,$D$1:$D844=$D845,$E$1:$E844=E845),1),""Selecciona..""))"),"")</f>
        <v/>
      </c>
      <c r="H845" s="4" t="str">
        <f>IF(D845="","",COUNTIF(Productos!G:G,C845))</f>
        <v/>
      </c>
      <c r="J845" s="90"/>
    </row>
    <row r="846">
      <c r="A846" s="2" t="str">
        <f t="shared" si="1"/>
        <v/>
      </c>
      <c r="B846" s="4"/>
      <c r="C846" s="4"/>
      <c r="D846" s="3" t="str">
        <f t="shared" si="2"/>
        <v/>
      </c>
      <c r="E846" s="4"/>
      <c r="F846" s="2" t="str">
        <f>IFERROR(__xludf.DUMMYFUNCTION("IF(E846="""","""",IF(COUNTIFS(D$1:D845,D846,E$1:E845,E846)&gt;0,INDEX(filter(F$1:F845,D$1:D845=D846,E$1:E845=E846),1),""Selecciona..""))"),"")</f>
        <v/>
      </c>
      <c r="G846" s="2" t="str">
        <f>IFERROR(__xludf.DUMMYFUNCTION("IF($E846="""","""",IF(COUNTIFS($D$1:$D845,$D846,$E$1:$E845,$E846)&gt;0,INDEX(filter(G$1:G845,$D$1:$D845=$D846,$E$1:$E845=E846),1),""Selecciona..""))"),"")</f>
        <v/>
      </c>
      <c r="H846" s="4" t="str">
        <f>IF(D846="","",COUNTIF(Productos!G:G,C846))</f>
        <v/>
      </c>
      <c r="J846" s="90"/>
    </row>
    <row r="847">
      <c r="A847" s="2" t="str">
        <f t="shared" si="1"/>
        <v/>
      </c>
      <c r="B847" s="4"/>
      <c r="C847" s="4"/>
      <c r="D847" s="3" t="str">
        <f t="shared" si="2"/>
        <v/>
      </c>
      <c r="E847" s="4"/>
      <c r="F847" s="2" t="str">
        <f>IFERROR(__xludf.DUMMYFUNCTION("IF(E847="""","""",IF(COUNTIFS(D$1:D846,D847,E$1:E846,E847)&gt;0,INDEX(filter(F$1:F846,D$1:D846=D847,E$1:E846=E847),1),""Selecciona..""))"),"")</f>
        <v/>
      </c>
      <c r="G847" s="2" t="str">
        <f>IFERROR(__xludf.DUMMYFUNCTION("IF($E847="""","""",IF(COUNTIFS($D$1:$D846,$D847,$E$1:$E846,$E847)&gt;0,INDEX(filter(G$1:G846,$D$1:$D846=$D847,$E$1:$E846=E847),1),""Selecciona..""))"),"")</f>
        <v/>
      </c>
      <c r="H847" s="4" t="str">
        <f>IF(D847="","",COUNTIF(Productos!G:G,C847))</f>
        <v/>
      </c>
      <c r="J847" s="90"/>
    </row>
    <row r="848">
      <c r="A848" s="2" t="str">
        <f t="shared" si="1"/>
        <v/>
      </c>
      <c r="B848" s="4"/>
      <c r="C848" s="4"/>
      <c r="D848" s="3" t="str">
        <f t="shared" si="2"/>
        <v/>
      </c>
      <c r="E848" s="4"/>
      <c r="F848" s="2" t="str">
        <f>IFERROR(__xludf.DUMMYFUNCTION("IF(E848="""","""",IF(COUNTIFS(D$1:D847,D848,E$1:E847,E848)&gt;0,INDEX(filter(F$1:F847,D$1:D847=D848,E$1:E847=E848),1),""Selecciona..""))"),"")</f>
        <v/>
      </c>
      <c r="G848" s="2" t="str">
        <f>IFERROR(__xludf.DUMMYFUNCTION("IF($E848="""","""",IF(COUNTIFS($D$1:$D847,$D848,$E$1:$E847,$E848)&gt;0,INDEX(filter(G$1:G847,$D$1:$D847=$D848,$E$1:$E847=E848),1),""Selecciona..""))"),"")</f>
        <v/>
      </c>
      <c r="H848" s="4" t="str">
        <f>IF(D848="","",COUNTIF(Productos!G:G,C848))</f>
        <v/>
      </c>
      <c r="J848" s="90"/>
    </row>
    <row r="849">
      <c r="A849" s="2" t="str">
        <f t="shared" si="1"/>
        <v/>
      </c>
      <c r="B849" s="4"/>
      <c r="C849" s="4"/>
      <c r="D849" s="3" t="str">
        <f t="shared" si="2"/>
        <v/>
      </c>
      <c r="E849" s="4"/>
      <c r="F849" s="2" t="str">
        <f>IFERROR(__xludf.DUMMYFUNCTION("IF(E849="""","""",IF(COUNTIFS(D$1:D848,D849,E$1:E848,E849)&gt;0,INDEX(filter(F$1:F848,D$1:D848=D849,E$1:E848=E849),1),""Selecciona..""))"),"")</f>
        <v/>
      </c>
      <c r="G849" s="2" t="str">
        <f>IFERROR(__xludf.DUMMYFUNCTION("IF($E849="""","""",IF(COUNTIFS($D$1:$D848,$D849,$E$1:$E848,$E849)&gt;0,INDEX(filter(G$1:G848,$D$1:$D848=$D849,$E$1:$E848=E849),1),""Selecciona..""))"),"")</f>
        <v/>
      </c>
      <c r="H849" s="4" t="str">
        <f>IF(D849="","",COUNTIF(Productos!G:G,C849))</f>
        <v/>
      </c>
      <c r="J849" s="90"/>
    </row>
    <row r="850">
      <c r="A850" s="2" t="str">
        <f t="shared" si="1"/>
        <v/>
      </c>
      <c r="B850" s="4"/>
      <c r="C850" s="4"/>
      <c r="D850" s="3" t="str">
        <f t="shared" si="2"/>
        <v/>
      </c>
      <c r="E850" s="4"/>
      <c r="F850" s="2" t="str">
        <f>IFERROR(__xludf.DUMMYFUNCTION("IF(E850="""","""",IF(COUNTIFS(D$1:D849,D850,E$1:E849,E850)&gt;0,INDEX(filter(F$1:F849,D$1:D849=D850,E$1:E849=E850),1),""Selecciona..""))"),"")</f>
        <v/>
      </c>
      <c r="G850" s="2" t="str">
        <f>IFERROR(__xludf.DUMMYFUNCTION("IF($E850="""","""",IF(COUNTIFS($D$1:$D849,$D850,$E$1:$E849,$E850)&gt;0,INDEX(filter(G$1:G849,$D$1:$D849=$D850,$E$1:$E849=E850),1),""Selecciona..""))"),"")</f>
        <v/>
      </c>
      <c r="H850" s="4" t="str">
        <f>IF(D850="","",COUNTIF(Productos!G:G,C850))</f>
        <v/>
      </c>
      <c r="J850" s="90"/>
    </row>
    <row r="851">
      <c r="A851" s="2" t="str">
        <f t="shared" si="1"/>
        <v/>
      </c>
      <c r="B851" s="4"/>
      <c r="C851" s="4"/>
      <c r="D851" s="3" t="str">
        <f t="shared" si="2"/>
        <v/>
      </c>
      <c r="E851" s="4"/>
      <c r="F851" s="2" t="str">
        <f>IFERROR(__xludf.DUMMYFUNCTION("IF(E851="""","""",IF(COUNTIFS(D$1:D850,D851,E$1:E850,E851)&gt;0,INDEX(filter(F$1:F850,D$1:D850=D851,E$1:E850=E851),1),""Selecciona..""))"),"")</f>
        <v/>
      </c>
      <c r="G851" s="2" t="str">
        <f>IFERROR(__xludf.DUMMYFUNCTION("IF($E851="""","""",IF(COUNTIFS($D$1:$D850,$D851,$E$1:$E850,$E851)&gt;0,INDEX(filter(G$1:G850,$D$1:$D850=$D851,$E$1:$E850=E851),1),""Selecciona..""))"),"")</f>
        <v/>
      </c>
      <c r="H851" s="4" t="str">
        <f>IF(D851="","",COUNTIF(Productos!G:G,C851))</f>
        <v/>
      </c>
      <c r="J851" s="90"/>
    </row>
    <row r="852">
      <c r="A852" s="2" t="str">
        <f t="shared" si="1"/>
        <v/>
      </c>
      <c r="B852" s="4"/>
      <c r="C852" s="4"/>
      <c r="D852" s="3" t="str">
        <f t="shared" si="2"/>
        <v/>
      </c>
      <c r="E852" s="4"/>
      <c r="F852" s="2" t="str">
        <f>IFERROR(__xludf.DUMMYFUNCTION("IF(E852="""","""",IF(COUNTIFS(D$1:D851,D852,E$1:E851,E852)&gt;0,INDEX(filter(F$1:F851,D$1:D851=D852,E$1:E851=E852),1),""Selecciona..""))"),"")</f>
        <v/>
      </c>
      <c r="G852" s="2" t="str">
        <f>IFERROR(__xludf.DUMMYFUNCTION("IF($E852="""","""",IF(COUNTIFS($D$1:$D851,$D852,$E$1:$E851,$E852)&gt;0,INDEX(filter(G$1:G851,$D$1:$D851=$D852,$E$1:$E851=E852),1),""Selecciona..""))"),"")</f>
        <v/>
      </c>
      <c r="H852" s="4" t="str">
        <f>IF(D852="","",COUNTIF(Productos!G:G,C852))</f>
        <v/>
      </c>
      <c r="J852" s="90"/>
    </row>
    <row r="853">
      <c r="A853" s="2" t="str">
        <f t="shared" si="1"/>
        <v/>
      </c>
      <c r="B853" s="4"/>
      <c r="C853" s="4"/>
      <c r="D853" s="3" t="str">
        <f t="shared" si="2"/>
        <v/>
      </c>
      <c r="E853" s="4"/>
      <c r="F853" s="2" t="str">
        <f>IFERROR(__xludf.DUMMYFUNCTION("IF(E853="""","""",IF(COUNTIFS(D$1:D852,D853,E$1:E852,E853)&gt;0,INDEX(filter(F$1:F852,D$1:D852=D853,E$1:E852=E853),1),""Selecciona..""))"),"")</f>
        <v/>
      </c>
      <c r="G853" s="2" t="str">
        <f>IFERROR(__xludf.DUMMYFUNCTION("IF($E853="""","""",IF(COUNTIFS($D$1:$D852,$D853,$E$1:$E852,$E853)&gt;0,INDEX(filter(G$1:G852,$D$1:$D852=$D853,$E$1:$E852=E853),1),""Selecciona..""))"),"")</f>
        <v/>
      </c>
      <c r="H853" s="4" t="str">
        <f>IF(D853="","",COUNTIF(Productos!G:G,C853))</f>
        <v/>
      </c>
      <c r="J853" s="90"/>
    </row>
    <row r="854">
      <c r="A854" s="2" t="str">
        <f t="shared" si="1"/>
        <v/>
      </c>
      <c r="B854" s="4"/>
      <c r="C854" s="4"/>
      <c r="D854" s="3" t="str">
        <f t="shared" si="2"/>
        <v/>
      </c>
      <c r="E854" s="4"/>
      <c r="F854" s="2" t="str">
        <f>IFERROR(__xludf.DUMMYFUNCTION("IF(E854="""","""",IF(COUNTIFS(D$1:D853,D854,E$1:E853,E854)&gt;0,INDEX(filter(F$1:F853,D$1:D853=D854,E$1:E853=E854),1),""Selecciona..""))"),"")</f>
        <v/>
      </c>
      <c r="G854" s="2" t="str">
        <f>IFERROR(__xludf.DUMMYFUNCTION("IF($E854="""","""",IF(COUNTIFS($D$1:$D853,$D854,$E$1:$E853,$E854)&gt;0,INDEX(filter(G$1:G853,$D$1:$D853=$D854,$E$1:$E853=E854),1),""Selecciona..""))"),"")</f>
        <v/>
      </c>
      <c r="H854" s="4" t="str">
        <f>IF(D854="","",COUNTIF(Productos!G:G,C854))</f>
        <v/>
      </c>
      <c r="J854" s="90"/>
    </row>
    <row r="855">
      <c r="A855" s="2" t="str">
        <f t="shared" si="1"/>
        <v/>
      </c>
      <c r="B855" s="4"/>
      <c r="C855" s="4"/>
      <c r="D855" s="3" t="str">
        <f t="shared" si="2"/>
        <v/>
      </c>
      <c r="E855" s="4"/>
      <c r="F855" s="2" t="str">
        <f>IFERROR(__xludf.DUMMYFUNCTION("IF(E855="""","""",IF(COUNTIFS(D$1:D854,D855,E$1:E854,E855)&gt;0,INDEX(filter(F$1:F854,D$1:D854=D855,E$1:E854=E855),1),""Selecciona..""))"),"")</f>
        <v/>
      </c>
      <c r="G855" s="2" t="str">
        <f>IFERROR(__xludf.DUMMYFUNCTION("IF($E855="""","""",IF(COUNTIFS($D$1:$D854,$D855,$E$1:$E854,$E855)&gt;0,INDEX(filter(G$1:G854,$D$1:$D854=$D855,$E$1:$E854=E855),1),""Selecciona..""))"),"")</f>
        <v/>
      </c>
      <c r="H855" s="4" t="str">
        <f>IF(D855="","",COUNTIF(Productos!G:G,C855))</f>
        <v/>
      </c>
      <c r="J855" s="90"/>
    </row>
    <row r="856">
      <c r="A856" s="2" t="str">
        <f t="shared" si="1"/>
        <v/>
      </c>
      <c r="B856" s="4"/>
      <c r="C856" s="4"/>
      <c r="D856" s="3" t="str">
        <f t="shared" si="2"/>
        <v/>
      </c>
      <c r="E856" s="4"/>
      <c r="F856" s="2" t="str">
        <f>IFERROR(__xludf.DUMMYFUNCTION("IF(E856="""","""",IF(COUNTIFS(D$1:D855,D856,E$1:E855,E856)&gt;0,INDEX(filter(F$1:F855,D$1:D855=D856,E$1:E855=E856),1),""Selecciona..""))"),"")</f>
        <v/>
      </c>
      <c r="G856" s="2" t="str">
        <f>IFERROR(__xludf.DUMMYFUNCTION("IF($E856="""","""",IF(COUNTIFS($D$1:$D855,$D856,$E$1:$E855,$E856)&gt;0,INDEX(filter(G$1:G855,$D$1:$D855=$D856,$E$1:$E855=E856),1),""Selecciona..""))"),"")</f>
        <v/>
      </c>
      <c r="H856" s="4" t="str">
        <f>IF(D856="","",COUNTIF(Productos!G:G,C856))</f>
        <v/>
      </c>
      <c r="J856" s="90"/>
    </row>
    <row r="857">
      <c r="A857" s="2" t="str">
        <f t="shared" si="1"/>
        <v/>
      </c>
      <c r="B857" s="4"/>
      <c r="C857" s="4"/>
      <c r="D857" s="3" t="str">
        <f t="shared" si="2"/>
        <v/>
      </c>
      <c r="E857" s="4"/>
      <c r="F857" s="2" t="str">
        <f>IFERROR(__xludf.DUMMYFUNCTION("IF(E857="""","""",IF(COUNTIFS(D$1:D856,D857,E$1:E856,E857)&gt;0,INDEX(filter(F$1:F856,D$1:D856=D857,E$1:E856=E857),1),""Selecciona..""))"),"")</f>
        <v/>
      </c>
      <c r="G857" s="2" t="str">
        <f>IFERROR(__xludf.DUMMYFUNCTION("IF($E857="""","""",IF(COUNTIFS($D$1:$D856,$D857,$E$1:$E856,$E857)&gt;0,INDEX(filter(G$1:G856,$D$1:$D856=$D857,$E$1:$E856=E857),1),""Selecciona..""))"),"")</f>
        <v/>
      </c>
      <c r="H857" s="4" t="str">
        <f>IF(D857="","",COUNTIF(Productos!G:G,C857))</f>
        <v/>
      </c>
      <c r="J857" s="90"/>
    </row>
    <row r="858">
      <c r="A858" s="2" t="str">
        <f t="shared" si="1"/>
        <v/>
      </c>
      <c r="B858" s="4"/>
      <c r="C858" s="4"/>
      <c r="D858" s="3" t="str">
        <f t="shared" si="2"/>
        <v/>
      </c>
      <c r="E858" s="4"/>
      <c r="F858" s="2" t="str">
        <f>IFERROR(__xludf.DUMMYFUNCTION("IF(E858="""","""",IF(COUNTIFS(D$1:D857,D858,E$1:E857,E858)&gt;0,INDEX(filter(F$1:F857,D$1:D857=D858,E$1:E857=E858),1),""Selecciona..""))"),"")</f>
        <v/>
      </c>
      <c r="G858" s="2" t="str">
        <f>IFERROR(__xludf.DUMMYFUNCTION("IF($E858="""","""",IF(COUNTIFS($D$1:$D857,$D858,$E$1:$E857,$E858)&gt;0,INDEX(filter(G$1:G857,$D$1:$D857=$D858,$E$1:$E857=E858),1),""Selecciona..""))"),"")</f>
        <v/>
      </c>
      <c r="H858" s="4" t="str">
        <f>IF(D858="","",COUNTIF(Productos!G:G,C858))</f>
        <v/>
      </c>
      <c r="J858" s="90"/>
    </row>
    <row r="859">
      <c r="A859" s="2" t="str">
        <f t="shared" si="1"/>
        <v/>
      </c>
      <c r="B859" s="4"/>
      <c r="C859" s="4"/>
      <c r="D859" s="3" t="str">
        <f t="shared" si="2"/>
        <v/>
      </c>
      <c r="E859" s="4"/>
      <c r="F859" s="2" t="str">
        <f>IFERROR(__xludf.DUMMYFUNCTION("IF(E859="""","""",IF(COUNTIFS(D$1:D858,D859,E$1:E858,E859)&gt;0,INDEX(filter(F$1:F858,D$1:D858=D859,E$1:E858=E859),1),""Selecciona..""))"),"")</f>
        <v/>
      </c>
      <c r="G859" s="2" t="str">
        <f>IFERROR(__xludf.DUMMYFUNCTION("IF($E859="""","""",IF(COUNTIFS($D$1:$D858,$D859,$E$1:$E858,$E859)&gt;0,INDEX(filter(G$1:G858,$D$1:$D858=$D859,$E$1:$E858=E859),1),""Selecciona..""))"),"")</f>
        <v/>
      </c>
      <c r="H859" s="4" t="str">
        <f>IF(D859="","",COUNTIF(Productos!G:G,C859))</f>
        <v/>
      </c>
      <c r="J859" s="90"/>
    </row>
    <row r="860">
      <c r="A860" s="2" t="str">
        <f t="shared" si="1"/>
        <v/>
      </c>
      <c r="B860" s="4"/>
      <c r="C860" s="4"/>
      <c r="D860" s="3" t="str">
        <f t="shared" si="2"/>
        <v/>
      </c>
      <c r="E860" s="4"/>
      <c r="F860" s="2" t="str">
        <f>IFERROR(__xludf.DUMMYFUNCTION("IF(E860="""","""",IF(COUNTIFS(D$1:D859,D860,E$1:E859,E860)&gt;0,INDEX(filter(F$1:F859,D$1:D859=D860,E$1:E859=E860),1),""Selecciona..""))"),"")</f>
        <v/>
      </c>
      <c r="G860" s="2" t="str">
        <f>IFERROR(__xludf.DUMMYFUNCTION("IF($E860="""","""",IF(COUNTIFS($D$1:$D859,$D860,$E$1:$E859,$E860)&gt;0,INDEX(filter(G$1:G859,$D$1:$D859=$D860,$E$1:$E859=E860),1),""Selecciona..""))"),"")</f>
        <v/>
      </c>
      <c r="H860" s="4" t="str">
        <f>IF(D860="","",COUNTIF(Productos!G:G,C860))</f>
        <v/>
      </c>
      <c r="J860" s="90"/>
    </row>
    <row r="861">
      <c r="A861" s="2" t="str">
        <f t="shared" si="1"/>
        <v/>
      </c>
      <c r="B861" s="4"/>
      <c r="C861" s="4"/>
      <c r="D861" s="3" t="str">
        <f t="shared" si="2"/>
        <v/>
      </c>
      <c r="E861" s="4"/>
      <c r="F861" s="2" t="str">
        <f>IFERROR(__xludf.DUMMYFUNCTION("IF(E861="""","""",IF(COUNTIFS(D$1:D860,D861,E$1:E860,E861)&gt;0,INDEX(filter(F$1:F860,D$1:D860=D861,E$1:E860=E861),1),""Selecciona..""))"),"")</f>
        <v/>
      </c>
      <c r="G861" s="2" t="str">
        <f>IFERROR(__xludf.DUMMYFUNCTION("IF($E861="""","""",IF(COUNTIFS($D$1:$D860,$D861,$E$1:$E860,$E861)&gt;0,INDEX(filter(G$1:G860,$D$1:$D860=$D861,$E$1:$E860=E861),1),""Selecciona..""))"),"")</f>
        <v/>
      </c>
      <c r="H861" s="4" t="str">
        <f>IF(D861="","",COUNTIF(Productos!G:G,C861))</f>
        <v/>
      </c>
      <c r="J861" s="90"/>
    </row>
    <row r="862">
      <c r="A862" s="2" t="str">
        <f t="shared" si="1"/>
        <v/>
      </c>
      <c r="B862" s="4"/>
      <c r="C862" s="4"/>
      <c r="D862" s="3" t="str">
        <f t="shared" si="2"/>
        <v/>
      </c>
      <c r="E862" s="4"/>
      <c r="F862" s="2" t="str">
        <f>IFERROR(__xludf.DUMMYFUNCTION("IF(E862="""","""",IF(COUNTIFS(D$1:D861,D862,E$1:E861,E862)&gt;0,INDEX(filter(F$1:F861,D$1:D861=D862,E$1:E861=E862),1),""Selecciona..""))"),"")</f>
        <v/>
      </c>
      <c r="G862" s="2" t="str">
        <f>IFERROR(__xludf.DUMMYFUNCTION("IF($E862="""","""",IF(COUNTIFS($D$1:$D861,$D862,$E$1:$E861,$E862)&gt;0,INDEX(filter(G$1:G861,$D$1:$D861=$D862,$E$1:$E861=E862),1),""Selecciona..""))"),"")</f>
        <v/>
      </c>
      <c r="H862" s="4" t="str">
        <f>IF(D862="","",COUNTIF(Productos!G:G,C862))</f>
        <v/>
      </c>
      <c r="J862" s="90"/>
    </row>
    <row r="863">
      <c r="A863" s="2" t="str">
        <f t="shared" si="1"/>
        <v/>
      </c>
      <c r="B863" s="4"/>
      <c r="C863" s="4"/>
      <c r="D863" s="3" t="str">
        <f t="shared" si="2"/>
        <v/>
      </c>
      <c r="E863" s="4"/>
      <c r="F863" s="2" t="str">
        <f>IFERROR(__xludf.DUMMYFUNCTION("IF(E863="""","""",IF(COUNTIFS(D$1:D862,D863,E$1:E862,E863)&gt;0,INDEX(filter(F$1:F862,D$1:D862=D863,E$1:E862=E863),1),""Selecciona..""))"),"")</f>
        <v/>
      </c>
      <c r="G863" s="2" t="str">
        <f>IFERROR(__xludf.DUMMYFUNCTION("IF($E863="""","""",IF(COUNTIFS($D$1:$D862,$D863,$E$1:$E862,$E863)&gt;0,INDEX(filter(G$1:G862,$D$1:$D862=$D863,$E$1:$E862=E863),1),""Selecciona..""))"),"")</f>
        <v/>
      </c>
      <c r="H863" s="4" t="str">
        <f>IF(D863="","",COUNTIF(Productos!G:G,C863))</f>
        <v/>
      </c>
      <c r="J863" s="90"/>
    </row>
    <row r="864">
      <c r="A864" s="2" t="str">
        <f t="shared" si="1"/>
        <v/>
      </c>
      <c r="B864" s="4"/>
      <c r="C864" s="4"/>
      <c r="D864" s="3" t="str">
        <f t="shared" si="2"/>
        <v/>
      </c>
      <c r="E864" s="4"/>
      <c r="F864" s="2" t="str">
        <f>IFERROR(__xludf.DUMMYFUNCTION("IF(E864="""","""",IF(COUNTIFS(D$1:D863,D864,E$1:E863,E864)&gt;0,INDEX(filter(F$1:F863,D$1:D863=D864,E$1:E863=E864),1),""Selecciona..""))"),"")</f>
        <v/>
      </c>
      <c r="G864" s="2" t="str">
        <f>IFERROR(__xludf.DUMMYFUNCTION("IF($E864="""","""",IF(COUNTIFS($D$1:$D863,$D864,$E$1:$E863,$E864)&gt;0,INDEX(filter(G$1:G863,$D$1:$D863=$D864,$E$1:$E863=E864),1),""Selecciona..""))"),"")</f>
        <v/>
      </c>
      <c r="H864" s="4" t="str">
        <f>IF(D864="","",COUNTIF(Productos!G:G,C864))</f>
        <v/>
      </c>
      <c r="J864" s="90"/>
    </row>
    <row r="865">
      <c r="A865" s="2" t="str">
        <f t="shared" si="1"/>
        <v/>
      </c>
      <c r="B865" s="4"/>
      <c r="C865" s="4"/>
      <c r="D865" s="3" t="str">
        <f t="shared" si="2"/>
        <v/>
      </c>
      <c r="E865" s="4"/>
      <c r="F865" s="2" t="str">
        <f>IFERROR(__xludf.DUMMYFUNCTION("IF(E865="""","""",IF(COUNTIFS(D$1:D864,D865,E$1:E864,E865)&gt;0,INDEX(filter(F$1:F864,D$1:D864=D865,E$1:E864=E865),1),""Selecciona..""))"),"")</f>
        <v/>
      </c>
      <c r="G865" s="2" t="str">
        <f>IFERROR(__xludf.DUMMYFUNCTION("IF($E865="""","""",IF(COUNTIFS($D$1:$D864,$D865,$E$1:$E864,$E865)&gt;0,INDEX(filter(G$1:G864,$D$1:$D864=$D865,$E$1:$E864=E865),1),""Selecciona..""))"),"")</f>
        <v/>
      </c>
      <c r="H865" s="4" t="str">
        <f>IF(D865="","",COUNTIF(Productos!G:G,C865))</f>
        <v/>
      </c>
      <c r="J865" s="90"/>
    </row>
    <row r="866">
      <c r="A866" s="2" t="str">
        <f t="shared" si="1"/>
        <v/>
      </c>
      <c r="B866" s="4"/>
      <c r="C866" s="4"/>
      <c r="D866" s="3" t="str">
        <f t="shared" si="2"/>
        <v/>
      </c>
      <c r="E866" s="4"/>
      <c r="F866" s="2" t="str">
        <f>IFERROR(__xludf.DUMMYFUNCTION("IF(E866="""","""",IF(COUNTIFS(D$1:D865,D866,E$1:E865,E866)&gt;0,INDEX(filter(F$1:F865,D$1:D865=D866,E$1:E865=E866),1),""Selecciona..""))"),"")</f>
        <v/>
      </c>
      <c r="G866" s="2" t="str">
        <f>IFERROR(__xludf.DUMMYFUNCTION("IF($E866="""","""",IF(COUNTIFS($D$1:$D865,$D866,$E$1:$E865,$E866)&gt;0,INDEX(filter(G$1:G865,$D$1:$D865=$D866,$E$1:$E865=E866),1),""Selecciona..""))"),"")</f>
        <v/>
      </c>
      <c r="H866" s="4" t="str">
        <f>IF(D866="","",COUNTIF(Productos!G:G,C866))</f>
        <v/>
      </c>
      <c r="J866" s="90"/>
    </row>
    <row r="867">
      <c r="A867" s="2" t="str">
        <f t="shared" si="1"/>
        <v/>
      </c>
      <c r="B867" s="4"/>
      <c r="C867" s="4"/>
      <c r="D867" s="3" t="str">
        <f t="shared" si="2"/>
        <v/>
      </c>
      <c r="E867" s="4"/>
      <c r="F867" s="2" t="str">
        <f>IFERROR(__xludf.DUMMYFUNCTION("IF(E867="""","""",IF(COUNTIFS(D$1:D866,D867,E$1:E866,E867)&gt;0,INDEX(filter(F$1:F866,D$1:D866=D867,E$1:E866=E867),1),""Selecciona..""))"),"")</f>
        <v/>
      </c>
      <c r="G867" s="2" t="str">
        <f>IFERROR(__xludf.DUMMYFUNCTION("IF($E867="""","""",IF(COUNTIFS($D$1:$D866,$D867,$E$1:$E866,$E867)&gt;0,INDEX(filter(G$1:G866,$D$1:$D866=$D867,$E$1:$E866=E867),1),""Selecciona..""))"),"")</f>
        <v/>
      </c>
      <c r="H867" s="4" t="str">
        <f>IF(D867="","",COUNTIF(Productos!G:G,C867))</f>
        <v/>
      </c>
      <c r="J867" s="90"/>
    </row>
    <row r="868">
      <c r="A868" s="2" t="str">
        <f t="shared" si="1"/>
        <v/>
      </c>
      <c r="B868" s="4"/>
      <c r="C868" s="4"/>
      <c r="D868" s="3" t="str">
        <f t="shared" si="2"/>
        <v/>
      </c>
      <c r="E868" s="4"/>
      <c r="F868" s="2" t="str">
        <f>IFERROR(__xludf.DUMMYFUNCTION("IF(E868="""","""",IF(COUNTIFS(D$1:D867,D868,E$1:E867,E868)&gt;0,INDEX(filter(F$1:F867,D$1:D867=D868,E$1:E867=E868),1),""Selecciona..""))"),"")</f>
        <v/>
      </c>
      <c r="G868" s="2" t="str">
        <f>IFERROR(__xludf.DUMMYFUNCTION("IF($E868="""","""",IF(COUNTIFS($D$1:$D867,$D868,$E$1:$E867,$E868)&gt;0,INDEX(filter(G$1:G867,$D$1:$D867=$D868,$E$1:$E867=E868),1),""Selecciona..""))"),"")</f>
        <v/>
      </c>
      <c r="H868" s="4" t="str">
        <f>IF(D868="","",COUNTIF(Productos!G:G,C868))</f>
        <v/>
      </c>
      <c r="J868" s="90"/>
    </row>
    <row r="869">
      <c r="A869" s="2" t="str">
        <f t="shared" si="1"/>
        <v/>
      </c>
      <c r="B869" s="4"/>
      <c r="C869" s="4"/>
      <c r="D869" s="3" t="str">
        <f t="shared" si="2"/>
        <v/>
      </c>
      <c r="E869" s="4"/>
      <c r="F869" s="2" t="str">
        <f>IFERROR(__xludf.DUMMYFUNCTION("IF(E869="""","""",IF(COUNTIFS(D$1:D868,D869,E$1:E868,E869)&gt;0,INDEX(filter(F$1:F868,D$1:D868=D869,E$1:E868=E869),1),""Selecciona..""))"),"")</f>
        <v/>
      </c>
      <c r="G869" s="2" t="str">
        <f>IFERROR(__xludf.DUMMYFUNCTION("IF($E869="""","""",IF(COUNTIFS($D$1:$D868,$D869,$E$1:$E868,$E869)&gt;0,INDEX(filter(G$1:G868,$D$1:$D868=$D869,$E$1:$E868=E869),1),""Selecciona..""))"),"")</f>
        <v/>
      </c>
      <c r="H869" s="4" t="str">
        <f>IF(D869="","",COUNTIF(Productos!G:G,C869))</f>
        <v/>
      </c>
      <c r="J869" s="90"/>
    </row>
    <row r="870">
      <c r="A870" s="2" t="str">
        <f t="shared" si="1"/>
        <v/>
      </c>
      <c r="B870" s="4"/>
      <c r="C870" s="4"/>
      <c r="D870" s="3" t="str">
        <f t="shared" si="2"/>
        <v/>
      </c>
      <c r="E870" s="4"/>
      <c r="F870" s="2" t="str">
        <f>IFERROR(__xludf.DUMMYFUNCTION("IF(E870="""","""",IF(COUNTIFS(D$1:D869,D870,E$1:E869,E870)&gt;0,INDEX(filter(F$1:F869,D$1:D869=D870,E$1:E869=E870),1),""Selecciona..""))"),"")</f>
        <v/>
      </c>
      <c r="G870" s="2" t="str">
        <f>IFERROR(__xludf.DUMMYFUNCTION("IF($E870="""","""",IF(COUNTIFS($D$1:$D869,$D870,$E$1:$E869,$E870)&gt;0,INDEX(filter(G$1:G869,$D$1:$D869=$D870,$E$1:$E869=E870),1),""Selecciona..""))"),"")</f>
        <v/>
      </c>
      <c r="H870" s="4" t="str">
        <f>IF(D870="","",COUNTIF(Productos!G:G,C870))</f>
        <v/>
      </c>
      <c r="J870" s="90"/>
    </row>
    <row r="871">
      <c r="A871" s="2" t="str">
        <f t="shared" si="1"/>
        <v/>
      </c>
      <c r="B871" s="4"/>
      <c r="C871" s="4"/>
      <c r="D871" s="3" t="str">
        <f t="shared" si="2"/>
        <v/>
      </c>
      <c r="E871" s="4"/>
      <c r="F871" s="2" t="str">
        <f>IFERROR(__xludf.DUMMYFUNCTION("IF(E871="""","""",IF(COUNTIFS(D$1:D870,D871,E$1:E870,E871)&gt;0,INDEX(filter(F$1:F870,D$1:D870=D871,E$1:E870=E871),1),""Selecciona..""))"),"")</f>
        <v/>
      </c>
      <c r="G871" s="2" t="str">
        <f>IFERROR(__xludf.DUMMYFUNCTION("IF($E871="""","""",IF(COUNTIFS($D$1:$D870,$D871,$E$1:$E870,$E871)&gt;0,INDEX(filter(G$1:G870,$D$1:$D870=$D871,$E$1:$E870=E871),1),""Selecciona..""))"),"")</f>
        <v/>
      </c>
      <c r="H871" s="4" t="str">
        <f>IF(D871="","",COUNTIF(Productos!G:G,C871))</f>
        <v/>
      </c>
      <c r="J871" s="90"/>
    </row>
    <row r="872">
      <c r="A872" s="2" t="str">
        <f t="shared" si="1"/>
        <v/>
      </c>
      <c r="B872" s="4"/>
      <c r="C872" s="4"/>
      <c r="D872" s="3" t="str">
        <f t="shared" si="2"/>
        <v/>
      </c>
      <c r="E872" s="4"/>
      <c r="F872" s="2" t="str">
        <f>IFERROR(__xludf.DUMMYFUNCTION("IF(E872="""","""",IF(COUNTIFS(D$1:D871,D872,E$1:E871,E872)&gt;0,INDEX(filter(F$1:F871,D$1:D871=D872,E$1:E871=E872),1),""Selecciona..""))"),"")</f>
        <v/>
      </c>
      <c r="G872" s="2" t="str">
        <f>IFERROR(__xludf.DUMMYFUNCTION("IF($E872="""","""",IF(COUNTIFS($D$1:$D871,$D872,$E$1:$E871,$E872)&gt;0,INDEX(filter(G$1:G871,$D$1:$D871=$D872,$E$1:$E871=E872),1),""Selecciona..""))"),"")</f>
        <v/>
      </c>
      <c r="H872" s="4" t="str">
        <f>IF(D872="","",COUNTIF(Productos!G:G,C872))</f>
        <v/>
      </c>
      <c r="J872" s="90"/>
    </row>
    <row r="873">
      <c r="A873" s="2" t="str">
        <f t="shared" si="1"/>
        <v/>
      </c>
      <c r="B873" s="4"/>
      <c r="C873" s="4"/>
      <c r="D873" s="3" t="str">
        <f t="shared" si="2"/>
        <v/>
      </c>
      <c r="E873" s="4"/>
      <c r="F873" s="2" t="str">
        <f>IFERROR(__xludf.DUMMYFUNCTION("IF(E873="""","""",IF(COUNTIFS(D$1:D872,D873,E$1:E872,E873)&gt;0,INDEX(filter(F$1:F872,D$1:D872=D873,E$1:E872=E873),1),""Selecciona..""))"),"")</f>
        <v/>
      </c>
      <c r="G873" s="2" t="str">
        <f>IFERROR(__xludf.DUMMYFUNCTION("IF($E873="""","""",IF(COUNTIFS($D$1:$D872,$D873,$E$1:$E872,$E873)&gt;0,INDEX(filter(G$1:G872,$D$1:$D872=$D873,$E$1:$E872=E873),1),""Selecciona..""))"),"")</f>
        <v/>
      </c>
      <c r="H873" s="4" t="str">
        <f>IF(D873="","",COUNTIF(Productos!G:G,C873))</f>
        <v/>
      </c>
      <c r="J873" s="90"/>
    </row>
    <row r="874">
      <c r="A874" s="2" t="str">
        <f t="shared" si="1"/>
        <v/>
      </c>
      <c r="B874" s="4"/>
      <c r="C874" s="4"/>
      <c r="D874" s="3" t="str">
        <f t="shared" si="2"/>
        <v/>
      </c>
      <c r="E874" s="4"/>
      <c r="F874" s="2" t="str">
        <f>IFERROR(__xludf.DUMMYFUNCTION("IF(E874="""","""",IF(COUNTIFS(D$1:D873,D874,E$1:E873,E874)&gt;0,INDEX(filter(F$1:F873,D$1:D873=D874,E$1:E873=E874),1),""Selecciona..""))"),"")</f>
        <v/>
      </c>
      <c r="G874" s="2" t="str">
        <f>IFERROR(__xludf.DUMMYFUNCTION("IF($E874="""","""",IF(COUNTIFS($D$1:$D873,$D874,$E$1:$E873,$E874)&gt;0,INDEX(filter(G$1:G873,$D$1:$D873=$D874,$E$1:$E873=E874),1),""Selecciona..""))"),"")</f>
        <v/>
      </c>
      <c r="H874" s="4" t="str">
        <f>IF(D874="","",COUNTIF(Productos!G:G,C874))</f>
        <v/>
      </c>
      <c r="J874" s="90"/>
    </row>
    <row r="875">
      <c r="A875" s="2" t="str">
        <f t="shared" si="1"/>
        <v/>
      </c>
      <c r="B875" s="4"/>
      <c r="C875" s="4"/>
      <c r="D875" s="3" t="str">
        <f t="shared" si="2"/>
        <v/>
      </c>
      <c r="E875" s="4"/>
      <c r="F875" s="2" t="str">
        <f>IFERROR(__xludf.DUMMYFUNCTION("IF(E875="""","""",IF(COUNTIFS(D$1:D874,D875,E$1:E874,E875)&gt;0,INDEX(filter(F$1:F874,D$1:D874=D875,E$1:E874=E875),1),""Selecciona..""))"),"")</f>
        <v/>
      </c>
      <c r="G875" s="2" t="str">
        <f>IFERROR(__xludf.DUMMYFUNCTION("IF($E875="""","""",IF(COUNTIFS($D$1:$D874,$D875,$E$1:$E874,$E875)&gt;0,INDEX(filter(G$1:G874,$D$1:$D874=$D875,$E$1:$E874=E875),1),""Selecciona..""))"),"")</f>
        <v/>
      </c>
      <c r="H875" s="4" t="str">
        <f>IF(D875="","",COUNTIF(Productos!G:G,C875))</f>
        <v/>
      </c>
      <c r="J875" s="90"/>
    </row>
    <row r="876">
      <c r="A876" s="2" t="str">
        <f t="shared" si="1"/>
        <v/>
      </c>
      <c r="B876" s="4"/>
      <c r="C876" s="4"/>
      <c r="D876" s="3" t="str">
        <f t="shared" si="2"/>
        <v/>
      </c>
      <c r="E876" s="4"/>
      <c r="F876" s="2" t="str">
        <f>IFERROR(__xludf.DUMMYFUNCTION("IF(E876="""","""",IF(COUNTIFS(D$1:D875,D876,E$1:E875,E876)&gt;0,INDEX(filter(F$1:F875,D$1:D875=D876,E$1:E875=E876),1),""Selecciona..""))"),"")</f>
        <v/>
      </c>
      <c r="G876" s="2" t="str">
        <f>IFERROR(__xludf.DUMMYFUNCTION("IF($E876="""","""",IF(COUNTIFS($D$1:$D875,$D876,$E$1:$E875,$E876)&gt;0,INDEX(filter(G$1:G875,$D$1:$D875=$D876,$E$1:$E875=E876),1),""Selecciona..""))"),"")</f>
        <v/>
      </c>
      <c r="H876" s="4" t="str">
        <f>IF(D876="","",COUNTIF(Productos!G:G,C876))</f>
        <v/>
      </c>
      <c r="J876" s="90"/>
    </row>
    <row r="877">
      <c r="A877" s="2" t="str">
        <f t="shared" si="1"/>
        <v/>
      </c>
      <c r="B877" s="4"/>
      <c r="C877" s="4"/>
      <c r="D877" s="3" t="str">
        <f t="shared" si="2"/>
        <v/>
      </c>
      <c r="E877" s="4"/>
      <c r="F877" s="2" t="str">
        <f>IFERROR(__xludf.DUMMYFUNCTION("IF(E877="""","""",IF(COUNTIFS(D$1:D876,D877,E$1:E876,E877)&gt;0,INDEX(filter(F$1:F876,D$1:D876=D877,E$1:E876=E877),1),""Selecciona..""))"),"")</f>
        <v/>
      </c>
      <c r="G877" s="2" t="str">
        <f>IFERROR(__xludf.DUMMYFUNCTION("IF($E877="""","""",IF(COUNTIFS($D$1:$D876,$D877,$E$1:$E876,$E877)&gt;0,INDEX(filter(G$1:G876,$D$1:$D876=$D877,$E$1:$E876=E877),1),""Selecciona..""))"),"")</f>
        <v/>
      </c>
      <c r="H877" s="4" t="str">
        <f>IF(D877="","",COUNTIF(Productos!G:G,C877))</f>
        <v/>
      </c>
      <c r="J877" s="90"/>
    </row>
    <row r="878">
      <c r="A878" s="2" t="str">
        <f t="shared" si="1"/>
        <v/>
      </c>
      <c r="B878" s="4"/>
      <c r="C878" s="4"/>
      <c r="D878" s="3" t="str">
        <f t="shared" si="2"/>
        <v/>
      </c>
      <c r="E878" s="4"/>
      <c r="F878" s="2" t="str">
        <f>IFERROR(__xludf.DUMMYFUNCTION("IF(E878="""","""",IF(COUNTIFS(D$1:D877,D878,E$1:E877,E878)&gt;0,INDEX(filter(F$1:F877,D$1:D877=D878,E$1:E877=E878),1),""Selecciona..""))"),"")</f>
        <v/>
      </c>
      <c r="G878" s="2" t="str">
        <f>IFERROR(__xludf.DUMMYFUNCTION("IF($E878="""","""",IF(COUNTIFS($D$1:$D877,$D878,$E$1:$E877,$E878)&gt;0,INDEX(filter(G$1:G877,$D$1:$D877=$D878,$E$1:$E877=E878),1),""Selecciona..""))"),"")</f>
        <v/>
      </c>
      <c r="H878" s="4" t="str">
        <f>IF(D878="","",COUNTIF(Productos!G:G,C878))</f>
        <v/>
      </c>
      <c r="J878" s="90"/>
    </row>
    <row r="879">
      <c r="A879" s="2" t="str">
        <f t="shared" si="1"/>
        <v/>
      </c>
      <c r="B879" s="4"/>
      <c r="C879" s="4"/>
      <c r="D879" s="3" t="str">
        <f t="shared" si="2"/>
        <v/>
      </c>
      <c r="E879" s="4"/>
      <c r="F879" s="2" t="str">
        <f>IFERROR(__xludf.DUMMYFUNCTION("IF(E879="""","""",IF(COUNTIFS(D$1:D878,D879,E$1:E878,E879)&gt;0,INDEX(filter(F$1:F878,D$1:D878=D879,E$1:E878=E879),1),""Selecciona..""))"),"")</f>
        <v/>
      </c>
      <c r="G879" s="2" t="str">
        <f>IFERROR(__xludf.DUMMYFUNCTION("IF($E879="""","""",IF(COUNTIFS($D$1:$D878,$D879,$E$1:$E878,$E879)&gt;0,INDEX(filter(G$1:G878,$D$1:$D878=$D879,$E$1:$E878=E879),1),""Selecciona..""))"),"")</f>
        <v/>
      </c>
      <c r="H879" s="4" t="str">
        <f>IF(D879="","",COUNTIF(Productos!G:G,C879))</f>
        <v/>
      </c>
      <c r="J879" s="90"/>
    </row>
    <row r="880">
      <c r="A880" s="2" t="str">
        <f t="shared" si="1"/>
        <v/>
      </c>
      <c r="B880" s="4"/>
      <c r="C880" s="4"/>
      <c r="D880" s="3" t="str">
        <f t="shared" si="2"/>
        <v/>
      </c>
      <c r="E880" s="4"/>
      <c r="F880" s="2" t="str">
        <f>IFERROR(__xludf.DUMMYFUNCTION("IF(E880="""","""",IF(COUNTIFS(D$1:D879,D880,E$1:E879,E880)&gt;0,INDEX(filter(F$1:F879,D$1:D879=D880,E$1:E879=E880),1),""Selecciona..""))"),"")</f>
        <v/>
      </c>
      <c r="G880" s="2" t="str">
        <f>IFERROR(__xludf.DUMMYFUNCTION("IF($E880="""","""",IF(COUNTIFS($D$1:$D879,$D880,$E$1:$E879,$E880)&gt;0,INDEX(filter(G$1:G879,$D$1:$D879=$D880,$E$1:$E879=E880),1),""Selecciona..""))"),"")</f>
        <v/>
      </c>
      <c r="H880" s="4" t="str">
        <f>IF(D880="","",COUNTIF(Productos!G:G,C880))</f>
        <v/>
      </c>
      <c r="J880" s="90"/>
    </row>
    <row r="881">
      <c r="A881" s="2" t="str">
        <f t="shared" si="1"/>
        <v/>
      </c>
      <c r="B881" s="4"/>
      <c r="C881" s="4"/>
      <c r="D881" s="3" t="str">
        <f t="shared" si="2"/>
        <v/>
      </c>
      <c r="E881" s="4"/>
      <c r="F881" s="2" t="str">
        <f>IFERROR(__xludf.DUMMYFUNCTION("IF(E881="""","""",IF(COUNTIFS(D$1:D880,D881,E$1:E880,E881)&gt;0,INDEX(filter(F$1:F880,D$1:D880=D881,E$1:E880=E881),1),""Selecciona..""))"),"")</f>
        <v/>
      </c>
      <c r="G881" s="2" t="str">
        <f>IFERROR(__xludf.DUMMYFUNCTION("IF($E881="""","""",IF(COUNTIFS($D$1:$D880,$D881,$E$1:$E880,$E881)&gt;0,INDEX(filter(G$1:G880,$D$1:$D880=$D881,$E$1:$E880=E881),1),""Selecciona..""))"),"")</f>
        <v/>
      </c>
      <c r="H881" s="4" t="str">
        <f>IF(D881="","",COUNTIF(Productos!G:G,C881))</f>
        <v/>
      </c>
      <c r="J881" s="90"/>
    </row>
    <row r="882">
      <c r="A882" s="2" t="str">
        <f t="shared" si="1"/>
        <v/>
      </c>
      <c r="B882" s="4"/>
      <c r="C882" s="4"/>
      <c r="D882" s="3" t="str">
        <f t="shared" si="2"/>
        <v/>
      </c>
      <c r="E882" s="4"/>
      <c r="F882" s="2" t="str">
        <f>IFERROR(__xludf.DUMMYFUNCTION("IF(E882="""","""",IF(COUNTIFS(D$1:D881,D882,E$1:E881,E882)&gt;0,INDEX(filter(F$1:F881,D$1:D881=D882,E$1:E881=E882),1),""Selecciona..""))"),"")</f>
        <v/>
      </c>
      <c r="G882" s="2" t="str">
        <f>IFERROR(__xludf.DUMMYFUNCTION("IF($E882="""","""",IF(COUNTIFS($D$1:$D881,$D882,$E$1:$E881,$E882)&gt;0,INDEX(filter(G$1:G881,$D$1:$D881=$D882,$E$1:$E881=E882),1),""Selecciona..""))"),"")</f>
        <v/>
      </c>
      <c r="H882" s="4" t="str">
        <f>IF(D882="","",COUNTIF(Productos!G:G,C882))</f>
        <v/>
      </c>
      <c r="J882" s="90"/>
    </row>
    <row r="883">
      <c r="A883" s="2" t="str">
        <f t="shared" si="1"/>
        <v/>
      </c>
      <c r="B883" s="4"/>
      <c r="C883" s="4"/>
      <c r="D883" s="3" t="str">
        <f t="shared" si="2"/>
        <v/>
      </c>
      <c r="E883" s="4"/>
      <c r="F883" s="2" t="str">
        <f>IFERROR(__xludf.DUMMYFUNCTION("IF(E883="""","""",IF(COUNTIFS(D$1:D882,D883,E$1:E882,E883)&gt;0,INDEX(filter(F$1:F882,D$1:D882=D883,E$1:E882=E883),1),""Selecciona..""))"),"")</f>
        <v/>
      </c>
      <c r="G883" s="2" t="str">
        <f>IFERROR(__xludf.DUMMYFUNCTION("IF($E883="""","""",IF(COUNTIFS($D$1:$D882,$D883,$E$1:$E882,$E883)&gt;0,INDEX(filter(G$1:G882,$D$1:$D882=$D883,$E$1:$E882=E883),1),""Selecciona..""))"),"")</f>
        <v/>
      </c>
      <c r="H883" s="4" t="str">
        <f>IF(D883="","",COUNTIF(Productos!G:G,C883))</f>
        <v/>
      </c>
      <c r="J883" s="90"/>
    </row>
    <row r="884">
      <c r="A884" s="2" t="str">
        <f t="shared" si="1"/>
        <v/>
      </c>
      <c r="B884" s="4"/>
      <c r="C884" s="4"/>
      <c r="D884" s="3" t="str">
        <f t="shared" si="2"/>
        <v/>
      </c>
      <c r="E884" s="4"/>
      <c r="F884" s="2" t="str">
        <f>IFERROR(__xludf.DUMMYFUNCTION("IF(E884="""","""",IF(COUNTIFS(D$1:D883,D884,E$1:E883,E884)&gt;0,INDEX(filter(F$1:F883,D$1:D883=D884,E$1:E883=E884),1),""Selecciona..""))"),"")</f>
        <v/>
      </c>
      <c r="G884" s="2" t="str">
        <f>IFERROR(__xludf.DUMMYFUNCTION("IF($E884="""","""",IF(COUNTIFS($D$1:$D883,$D884,$E$1:$E883,$E884)&gt;0,INDEX(filter(G$1:G883,$D$1:$D883=$D884,$E$1:$E883=E884),1),""Selecciona..""))"),"")</f>
        <v/>
      </c>
      <c r="H884" s="4" t="str">
        <f>IF(D884="","",COUNTIF(Productos!G:G,C884))</f>
        <v/>
      </c>
      <c r="J884" s="90"/>
    </row>
    <row r="885">
      <c r="A885" s="2" t="str">
        <f t="shared" si="1"/>
        <v/>
      </c>
      <c r="B885" s="4"/>
      <c r="C885" s="4"/>
      <c r="D885" s="3" t="str">
        <f t="shared" si="2"/>
        <v/>
      </c>
      <c r="E885" s="4"/>
      <c r="F885" s="2" t="str">
        <f>IFERROR(__xludf.DUMMYFUNCTION("IF(E885="""","""",IF(COUNTIFS(D$1:D884,D885,E$1:E884,E885)&gt;0,INDEX(filter(F$1:F884,D$1:D884=D885,E$1:E884=E885),1),""Selecciona..""))"),"")</f>
        <v/>
      </c>
      <c r="G885" s="2" t="str">
        <f>IFERROR(__xludf.DUMMYFUNCTION("IF($E885="""","""",IF(COUNTIFS($D$1:$D884,$D885,$E$1:$E884,$E885)&gt;0,INDEX(filter(G$1:G884,$D$1:$D884=$D885,$E$1:$E884=E885),1),""Selecciona..""))"),"")</f>
        <v/>
      </c>
      <c r="H885" s="4" t="str">
        <f>IF(D885="","",COUNTIF(Productos!G:G,C885))</f>
        <v/>
      </c>
      <c r="J885" s="90"/>
    </row>
    <row r="886">
      <c r="A886" s="2" t="str">
        <f t="shared" si="1"/>
        <v/>
      </c>
      <c r="B886" s="4"/>
      <c r="C886" s="4"/>
      <c r="D886" s="3" t="str">
        <f t="shared" si="2"/>
        <v/>
      </c>
      <c r="E886" s="4"/>
      <c r="F886" s="2" t="str">
        <f>IFERROR(__xludf.DUMMYFUNCTION("IF(E886="""","""",IF(COUNTIFS(D$1:D885,D886,E$1:E885,E886)&gt;0,INDEX(filter(F$1:F885,D$1:D885=D886,E$1:E885=E886),1),""Selecciona..""))"),"")</f>
        <v/>
      </c>
      <c r="G886" s="2" t="str">
        <f>IFERROR(__xludf.DUMMYFUNCTION("IF($E886="""","""",IF(COUNTIFS($D$1:$D885,$D886,$E$1:$E885,$E886)&gt;0,INDEX(filter(G$1:G885,$D$1:$D885=$D886,$E$1:$E885=E886),1),""Selecciona..""))"),"")</f>
        <v/>
      </c>
      <c r="H886" s="4" t="str">
        <f>IF(D886="","",COUNTIF(Productos!G:G,C886))</f>
        <v/>
      </c>
      <c r="J886" s="90"/>
    </row>
    <row r="887">
      <c r="A887" s="2" t="str">
        <f t="shared" si="1"/>
        <v/>
      </c>
      <c r="B887" s="4"/>
      <c r="C887" s="4"/>
      <c r="D887" s="3" t="str">
        <f t="shared" si="2"/>
        <v/>
      </c>
      <c r="E887" s="4"/>
      <c r="F887" s="2" t="str">
        <f>IFERROR(__xludf.DUMMYFUNCTION("IF(E887="""","""",IF(COUNTIFS(D$1:D886,D887,E$1:E886,E887)&gt;0,INDEX(filter(F$1:F886,D$1:D886=D887,E$1:E886=E887),1),""Selecciona..""))"),"")</f>
        <v/>
      </c>
      <c r="G887" s="2" t="str">
        <f>IFERROR(__xludf.DUMMYFUNCTION("IF($E887="""","""",IF(COUNTIFS($D$1:$D886,$D887,$E$1:$E886,$E887)&gt;0,INDEX(filter(G$1:G886,$D$1:$D886=$D887,$E$1:$E886=E887),1),""Selecciona..""))"),"")</f>
        <v/>
      </c>
      <c r="H887" s="4" t="str">
        <f>IF(D887="","",COUNTIF(Productos!G:G,C887))</f>
        <v/>
      </c>
      <c r="J887" s="90"/>
    </row>
    <row r="888">
      <c r="A888" s="2" t="str">
        <f t="shared" si="1"/>
        <v/>
      </c>
      <c r="B888" s="4"/>
      <c r="C888" s="4"/>
      <c r="D888" s="3" t="str">
        <f t="shared" si="2"/>
        <v/>
      </c>
      <c r="E888" s="4"/>
      <c r="F888" s="2" t="str">
        <f>IFERROR(__xludf.DUMMYFUNCTION("IF(E888="""","""",IF(COUNTIFS(D$1:D887,D888,E$1:E887,E888)&gt;0,INDEX(filter(F$1:F887,D$1:D887=D888,E$1:E887=E888),1),""Selecciona..""))"),"")</f>
        <v/>
      </c>
      <c r="G888" s="2" t="str">
        <f>IFERROR(__xludf.DUMMYFUNCTION("IF($E888="""","""",IF(COUNTIFS($D$1:$D887,$D888,$E$1:$E887,$E888)&gt;0,INDEX(filter(G$1:G887,$D$1:$D887=$D888,$E$1:$E887=E888),1),""Selecciona..""))"),"")</f>
        <v/>
      </c>
      <c r="H888" s="4" t="str">
        <f>IF(D888="","",COUNTIF(Productos!G:G,C888))</f>
        <v/>
      </c>
      <c r="J888" s="90"/>
    </row>
    <row r="889">
      <c r="A889" s="2" t="str">
        <f t="shared" si="1"/>
        <v/>
      </c>
      <c r="B889" s="4"/>
      <c r="C889" s="4"/>
      <c r="D889" s="3" t="str">
        <f t="shared" si="2"/>
        <v/>
      </c>
      <c r="E889" s="4"/>
      <c r="F889" s="2" t="str">
        <f>IFERROR(__xludf.DUMMYFUNCTION("IF(E889="""","""",IF(COUNTIFS(D$1:D888,D889,E$1:E888,E889)&gt;0,INDEX(filter(F$1:F888,D$1:D888=D889,E$1:E888=E889),1),""Selecciona..""))"),"")</f>
        <v/>
      </c>
      <c r="G889" s="2" t="str">
        <f>IFERROR(__xludf.DUMMYFUNCTION("IF($E889="""","""",IF(COUNTIFS($D$1:$D888,$D889,$E$1:$E888,$E889)&gt;0,INDEX(filter(G$1:G888,$D$1:$D888=$D889,$E$1:$E888=E889),1),""Selecciona..""))"),"")</f>
        <v/>
      </c>
      <c r="H889" s="4" t="str">
        <f>IF(D889="","",COUNTIF(Productos!G:G,C889))</f>
        <v/>
      </c>
      <c r="J889" s="90"/>
    </row>
    <row r="890">
      <c r="A890" s="2" t="str">
        <f t="shared" si="1"/>
        <v/>
      </c>
      <c r="B890" s="4"/>
      <c r="C890" s="4"/>
      <c r="D890" s="3" t="str">
        <f t="shared" si="2"/>
        <v/>
      </c>
      <c r="E890" s="4"/>
      <c r="F890" s="2" t="str">
        <f>IFERROR(__xludf.DUMMYFUNCTION("IF(E890="""","""",IF(COUNTIFS(D$1:D889,D890,E$1:E889,E890)&gt;0,INDEX(filter(F$1:F889,D$1:D889=D890,E$1:E889=E890),1),""Selecciona..""))"),"")</f>
        <v/>
      </c>
      <c r="G890" s="2" t="str">
        <f>IFERROR(__xludf.DUMMYFUNCTION("IF($E890="""","""",IF(COUNTIFS($D$1:$D889,$D890,$E$1:$E889,$E890)&gt;0,INDEX(filter(G$1:G889,$D$1:$D889=$D890,$E$1:$E889=E890),1),""Selecciona..""))"),"")</f>
        <v/>
      </c>
      <c r="H890" s="4" t="str">
        <f>IF(D890="","",COUNTIF(Productos!G:G,C890))</f>
        <v/>
      </c>
      <c r="J890" s="90"/>
    </row>
    <row r="891">
      <c r="A891" s="2" t="str">
        <f t="shared" si="1"/>
        <v/>
      </c>
      <c r="B891" s="4"/>
      <c r="C891" s="4"/>
      <c r="D891" s="3" t="str">
        <f t="shared" si="2"/>
        <v/>
      </c>
      <c r="E891" s="4"/>
      <c r="F891" s="2" t="str">
        <f>IFERROR(__xludf.DUMMYFUNCTION("IF(E891="""","""",IF(COUNTIFS(D$1:D890,D891,E$1:E890,E891)&gt;0,INDEX(filter(F$1:F890,D$1:D890=D891,E$1:E890=E891),1),""Selecciona..""))"),"")</f>
        <v/>
      </c>
      <c r="G891" s="2" t="str">
        <f>IFERROR(__xludf.DUMMYFUNCTION("IF($E891="""","""",IF(COUNTIFS($D$1:$D890,$D891,$E$1:$E890,$E891)&gt;0,INDEX(filter(G$1:G890,$D$1:$D890=$D891,$E$1:$E890=E891),1),""Selecciona..""))"),"")</f>
        <v/>
      </c>
      <c r="H891" s="4" t="str">
        <f>IF(D891="","",COUNTIF(Productos!G:G,C891))</f>
        <v/>
      </c>
      <c r="J891" s="90"/>
    </row>
    <row r="892">
      <c r="A892" s="2" t="str">
        <f t="shared" si="1"/>
        <v/>
      </c>
      <c r="B892" s="4"/>
      <c r="C892" s="4"/>
      <c r="D892" s="3" t="str">
        <f t="shared" si="2"/>
        <v/>
      </c>
      <c r="E892" s="4"/>
      <c r="F892" s="2" t="str">
        <f>IFERROR(__xludf.DUMMYFUNCTION("IF(E892="""","""",IF(COUNTIFS(D$1:D891,D892,E$1:E891,E892)&gt;0,INDEX(filter(F$1:F891,D$1:D891=D892,E$1:E891=E892),1),""Selecciona..""))"),"")</f>
        <v/>
      </c>
      <c r="G892" s="2" t="str">
        <f>IFERROR(__xludf.DUMMYFUNCTION("IF($E892="""","""",IF(COUNTIFS($D$1:$D891,$D892,$E$1:$E891,$E892)&gt;0,INDEX(filter(G$1:G891,$D$1:$D891=$D892,$E$1:$E891=E892),1),""Selecciona..""))"),"")</f>
        <v/>
      </c>
      <c r="H892" s="4" t="str">
        <f>IF(D892="","",COUNTIF(Productos!G:G,C892))</f>
        <v/>
      </c>
      <c r="J892" s="90"/>
    </row>
    <row r="893">
      <c r="A893" s="2" t="str">
        <f t="shared" si="1"/>
        <v/>
      </c>
      <c r="B893" s="4"/>
      <c r="C893" s="4"/>
      <c r="D893" s="3" t="str">
        <f t="shared" si="2"/>
        <v/>
      </c>
      <c r="E893" s="4"/>
      <c r="F893" s="2" t="str">
        <f>IFERROR(__xludf.DUMMYFUNCTION("IF(E893="""","""",IF(COUNTIFS(D$1:D892,D893,E$1:E892,E893)&gt;0,INDEX(filter(F$1:F892,D$1:D892=D893,E$1:E892=E893),1),""Selecciona..""))"),"")</f>
        <v/>
      </c>
      <c r="G893" s="2" t="str">
        <f>IFERROR(__xludf.DUMMYFUNCTION("IF($E893="""","""",IF(COUNTIFS($D$1:$D892,$D893,$E$1:$E892,$E893)&gt;0,INDEX(filter(G$1:G892,$D$1:$D892=$D893,$E$1:$E892=E893),1),""Selecciona..""))"),"")</f>
        <v/>
      </c>
      <c r="H893" s="4" t="str">
        <f>IF(D893="","",COUNTIF(Productos!G:G,C893))</f>
        <v/>
      </c>
      <c r="J893" s="90"/>
    </row>
    <row r="894">
      <c r="A894" s="2" t="str">
        <f t="shared" si="1"/>
        <v/>
      </c>
      <c r="B894" s="4"/>
      <c r="C894" s="4"/>
      <c r="D894" s="3" t="str">
        <f t="shared" si="2"/>
        <v/>
      </c>
      <c r="E894" s="4"/>
      <c r="F894" s="2" t="str">
        <f>IFERROR(__xludf.DUMMYFUNCTION("IF(E894="""","""",IF(COUNTIFS(D$1:D893,D894,E$1:E893,E894)&gt;0,INDEX(filter(F$1:F893,D$1:D893=D894,E$1:E893=E894),1),""Selecciona..""))"),"")</f>
        <v/>
      </c>
      <c r="G894" s="2" t="str">
        <f>IFERROR(__xludf.DUMMYFUNCTION("IF($E894="""","""",IF(COUNTIFS($D$1:$D893,$D894,$E$1:$E893,$E894)&gt;0,INDEX(filter(G$1:G893,$D$1:$D893=$D894,$E$1:$E893=E894),1),""Selecciona..""))"),"")</f>
        <v/>
      </c>
      <c r="H894" s="4" t="str">
        <f>IF(D894="","",COUNTIF(Productos!G:G,C894))</f>
        <v/>
      </c>
      <c r="J894" s="90"/>
    </row>
    <row r="895">
      <c r="A895" s="2" t="str">
        <f t="shared" si="1"/>
        <v/>
      </c>
      <c r="B895" s="4"/>
      <c r="C895" s="4"/>
      <c r="D895" s="3" t="str">
        <f t="shared" si="2"/>
        <v/>
      </c>
      <c r="E895" s="4"/>
      <c r="F895" s="2" t="str">
        <f>IFERROR(__xludf.DUMMYFUNCTION("IF(E895="""","""",IF(COUNTIFS(D$1:D894,D895,E$1:E894,E895)&gt;0,INDEX(filter(F$1:F894,D$1:D894=D895,E$1:E894=E895),1),""Selecciona..""))"),"")</f>
        <v/>
      </c>
      <c r="G895" s="2" t="str">
        <f>IFERROR(__xludf.DUMMYFUNCTION("IF($E895="""","""",IF(COUNTIFS($D$1:$D894,$D895,$E$1:$E894,$E895)&gt;0,INDEX(filter(G$1:G894,$D$1:$D894=$D895,$E$1:$E894=E895),1),""Selecciona..""))"),"")</f>
        <v/>
      </c>
      <c r="H895" s="4" t="str">
        <f>IF(D895="","",COUNTIF(Productos!G:G,C895))</f>
        <v/>
      </c>
      <c r="J895" s="90"/>
    </row>
    <row r="896">
      <c r="A896" s="2" t="str">
        <f t="shared" si="1"/>
        <v/>
      </c>
      <c r="B896" s="4"/>
      <c r="C896" s="4"/>
      <c r="D896" s="3" t="str">
        <f t="shared" si="2"/>
        <v/>
      </c>
      <c r="E896" s="4"/>
      <c r="F896" s="2" t="str">
        <f>IFERROR(__xludf.DUMMYFUNCTION("IF(E896="""","""",IF(COUNTIFS(D$1:D895,D896,E$1:E895,E896)&gt;0,INDEX(filter(F$1:F895,D$1:D895=D896,E$1:E895=E896),1),""Selecciona..""))"),"")</f>
        <v/>
      </c>
      <c r="G896" s="2" t="str">
        <f>IFERROR(__xludf.DUMMYFUNCTION("IF($E896="""","""",IF(COUNTIFS($D$1:$D895,$D896,$E$1:$E895,$E896)&gt;0,INDEX(filter(G$1:G895,$D$1:$D895=$D896,$E$1:$E895=E896),1),""Selecciona..""))"),"")</f>
        <v/>
      </c>
      <c r="H896" s="4" t="str">
        <f>IF(D896="","",COUNTIF(Productos!G:G,C896))</f>
        <v/>
      </c>
      <c r="J896" s="90"/>
    </row>
    <row r="897">
      <c r="A897" s="2" t="str">
        <f t="shared" si="1"/>
        <v/>
      </c>
      <c r="B897" s="4"/>
      <c r="C897" s="4"/>
      <c r="D897" s="3" t="str">
        <f t="shared" si="2"/>
        <v/>
      </c>
      <c r="E897" s="4"/>
      <c r="F897" s="2" t="str">
        <f>IFERROR(__xludf.DUMMYFUNCTION("IF(E897="""","""",IF(COUNTIFS(D$1:D896,D897,E$1:E896,E897)&gt;0,INDEX(filter(F$1:F896,D$1:D896=D897,E$1:E896=E897),1),""Selecciona..""))"),"")</f>
        <v/>
      </c>
      <c r="G897" s="2" t="str">
        <f>IFERROR(__xludf.DUMMYFUNCTION("IF($E897="""","""",IF(COUNTIFS($D$1:$D896,$D897,$E$1:$E896,$E897)&gt;0,INDEX(filter(G$1:G896,$D$1:$D896=$D897,$E$1:$E896=E897),1),""Selecciona..""))"),"")</f>
        <v/>
      </c>
      <c r="H897" s="4" t="str">
        <f>IF(D897="","",COUNTIF(Productos!G:G,C897))</f>
        <v/>
      </c>
      <c r="J897" s="90"/>
    </row>
    <row r="898">
      <c r="A898" s="2" t="str">
        <f t="shared" si="1"/>
        <v/>
      </c>
      <c r="B898" s="4"/>
      <c r="C898" s="4"/>
      <c r="D898" s="3" t="str">
        <f t="shared" si="2"/>
        <v/>
      </c>
      <c r="E898" s="4"/>
      <c r="F898" s="2" t="str">
        <f>IFERROR(__xludf.DUMMYFUNCTION("IF(E898="""","""",IF(COUNTIFS(D$1:D897,D898,E$1:E897,E898)&gt;0,INDEX(filter(F$1:F897,D$1:D897=D898,E$1:E897=E898),1),""Selecciona..""))"),"")</f>
        <v/>
      </c>
      <c r="G898" s="2" t="str">
        <f>IFERROR(__xludf.DUMMYFUNCTION("IF($E898="""","""",IF(COUNTIFS($D$1:$D897,$D898,$E$1:$E897,$E898)&gt;0,INDEX(filter(G$1:G897,$D$1:$D897=$D898,$E$1:$E897=E898),1),""Selecciona..""))"),"")</f>
        <v/>
      </c>
      <c r="H898" s="4" t="str">
        <f>IF(D898="","",COUNTIF(Productos!G:G,C898))</f>
        <v/>
      </c>
      <c r="J898" s="90"/>
    </row>
    <row r="899">
      <c r="A899" s="2" t="str">
        <f t="shared" si="1"/>
        <v/>
      </c>
      <c r="B899" s="4"/>
      <c r="C899" s="4"/>
      <c r="D899" s="3" t="str">
        <f t="shared" si="2"/>
        <v/>
      </c>
      <c r="E899" s="4"/>
      <c r="F899" s="2" t="str">
        <f>IFERROR(__xludf.DUMMYFUNCTION("IF(E899="""","""",IF(COUNTIFS(D$1:D898,D899,E$1:E898,E899)&gt;0,INDEX(filter(F$1:F898,D$1:D898=D899,E$1:E898=E899),1),""Selecciona..""))"),"")</f>
        <v/>
      </c>
      <c r="G899" s="2" t="str">
        <f>IFERROR(__xludf.DUMMYFUNCTION("IF($E899="""","""",IF(COUNTIFS($D$1:$D898,$D899,$E$1:$E898,$E899)&gt;0,INDEX(filter(G$1:G898,$D$1:$D898=$D899,$E$1:$E898=E899),1),""Selecciona..""))"),"")</f>
        <v/>
      </c>
      <c r="H899" s="4" t="str">
        <f>IF(D899="","",COUNTIF(Productos!G:G,C899))</f>
        <v/>
      </c>
      <c r="J899" s="90"/>
    </row>
    <row r="900">
      <c r="A900" s="2" t="str">
        <f t="shared" si="1"/>
        <v/>
      </c>
      <c r="B900" s="4"/>
      <c r="C900" s="4"/>
      <c r="D900" s="3" t="str">
        <f t="shared" si="2"/>
        <v/>
      </c>
      <c r="E900" s="4"/>
      <c r="F900" s="2" t="str">
        <f>IFERROR(__xludf.DUMMYFUNCTION("IF(E900="""","""",IF(COUNTIFS(D$1:D899,D900,E$1:E899,E900)&gt;0,INDEX(filter(F$1:F899,D$1:D899=D900,E$1:E899=E900),1),""Selecciona..""))"),"")</f>
        <v/>
      </c>
      <c r="G900" s="2" t="str">
        <f>IFERROR(__xludf.DUMMYFUNCTION("IF($E900="""","""",IF(COUNTIFS($D$1:$D899,$D900,$E$1:$E899,$E900)&gt;0,INDEX(filter(G$1:G899,$D$1:$D899=$D900,$E$1:$E899=E900),1),""Selecciona..""))"),"")</f>
        <v/>
      </c>
      <c r="H900" s="4" t="str">
        <f>IF(D900="","",COUNTIF(Productos!G:G,C900))</f>
        <v/>
      </c>
      <c r="J900" s="90"/>
    </row>
    <row r="901">
      <c r="A901" s="2" t="str">
        <f t="shared" si="1"/>
        <v/>
      </c>
      <c r="B901" s="4"/>
      <c r="C901" s="4"/>
      <c r="D901" s="3" t="str">
        <f t="shared" si="2"/>
        <v/>
      </c>
      <c r="E901" s="4"/>
      <c r="F901" s="2" t="str">
        <f>IFERROR(__xludf.DUMMYFUNCTION("IF(E901="""","""",IF(COUNTIFS(D$1:D900,D901,E$1:E900,E901)&gt;0,INDEX(filter(F$1:F900,D$1:D900=D901,E$1:E900=E901),1),""Selecciona..""))"),"")</f>
        <v/>
      </c>
      <c r="G901" s="2" t="str">
        <f>IFERROR(__xludf.DUMMYFUNCTION("IF($E901="""","""",IF(COUNTIFS($D$1:$D900,$D901,$E$1:$E900,$E901)&gt;0,INDEX(filter(G$1:G900,$D$1:$D900=$D901,$E$1:$E900=E901),1),""Selecciona..""))"),"")</f>
        <v/>
      </c>
      <c r="H901" s="4" t="str">
        <f>IF(D901="","",COUNTIF(Productos!G:G,C901))</f>
        <v/>
      </c>
      <c r="J901" s="90"/>
    </row>
    <row r="902">
      <c r="A902" s="2" t="str">
        <f t="shared" si="1"/>
        <v/>
      </c>
      <c r="B902" s="4"/>
      <c r="C902" s="4"/>
      <c r="D902" s="3" t="str">
        <f t="shared" si="2"/>
        <v/>
      </c>
      <c r="E902" s="4"/>
      <c r="F902" s="2" t="str">
        <f>IFERROR(__xludf.DUMMYFUNCTION("IF(E902="""","""",IF(COUNTIFS(D$1:D901,D902,E$1:E901,E902)&gt;0,INDEX(filter(F$1:F901,D$1:D901=D902,E$1:E901=E902),1),""Selecciona..""))"),"")</f>
        <v/>
      </c>
      <c r="G902" s="2" t="str">
        <f>IFERROR(__xludf.DUMMYFUNCTION("IF($E902="""","""",IF(COUNTIFS($D$1:$D901,$D902,$E$1:$E901,$E902)&gt;0,INDEX(filter(G$1:G901,$D$1:$D901=$D902,$E$1:$E901=E902),1),""Selecciona..""))"),"")</f>
        <v/>
      </c>
      <c r="H902" s="4" t="str">
        <f>IF(D902="","",COUNTIF(Productos!G:G,C902))</f>
        <v/>
      </c>
      <c r="J902" s="90"/>
    </row>
    <row r="903">
      <c r="A903" s="2" t="str">
        <f t="shared" si="1"/>
        <v/>
      </c>
      <c r="B903" s="4"/>
      <c r="C903" s="4"/>
      <c r="D903" s="3" t="str">
        <f t="shared" si="2"/>
        <v/>
      </c>
      <c r="E903" s="4"/>
      <c r="F903" s="2" t="str">
        <f>IFERROR(__xludf.DUMMYFUNCTION("IF(E903="""","""",IF(COUNTIFS(D$1:D902,D903,E$1:E902,E903)&gt;0,INDEX(filter(F$1:F902,D$1:D902=D903,E$1:E902=E903),1),""Selecciona..""))"),"")</f>
        <v/>
      </c>
      <c r="G903" s="2" t="str">
        <f>IFERROR(__xludf.DUMMYFUNCTION("IF($E903="""","""",IF(COUNTIFS($D$1:$D902,$D903,$E$1:$E902,$E903)&gt;0,INDEX(filter(G$1:G902,$D$1:$D902=$D903,$E$1:$E902=E903),1),""Selecciona..""))"),"")</f>
        <v/>
      </c>
      <c r="H903" s="4" t="str">
        <f>IF(D903="","",COUNTIF(Productos!G:G,C903))</f>
        <v/>
      </c>
      <c r="J903" s="90"/>
    </row>
    <row r="904">
      <c r="A904" s="2" t="str">
        <f t="shared" si="1"/>
        <v/>
      </c>
      <c r="B904" s="4"/>
      <c r="C904" s="4"/>
      <c r="D904" s="3" t="str">
        <f t="shared" si="2"/>
        <v/>
      </c>
      <c r="E904" s="4"/>
      <c r="F904" s="2" t="str">
        <f>IFERROR(__xludf.DUMMYFUNCTION("IF(E904="""","""",IF(COUNTIFS(D$1:D903,D904,E$1:E903,E904)&gt;0,INDEX(filter(F$1:F903,D$1:D903=D904,E$1:E903=E904),1),""Selecciona..""))"),"")</f>
        <v/>
      </c>
      <c r="G904" s="2" t="str">
        <f>IFERROR(__xludf.DUMMYFUNCTION("IF($E904="""","""",IF(COUNTIFS($D$1:$D903,$D904,$E$1:$E903,$E904)&gt;0,INDEX(filter(G$1:G903,$D$1:$D903=$D904,$E$1:$E903=E904),1),""Selecciona..""))"),"")</f>
        <v/>
      </c>
      <c r="H904" s="4" t="str">
        <f>IF(D904="","",COUNTIF(Productos!G:G,C904))</f>
        <v/>
      </c>
      <c r="J904" s="90"/>
    </row>
    <row r="905">
      <c r="A905" s="2" t="str">
        <f t="shared" si="1"/>
        <v/>
      </c>
      <c r="B905" s="4"/>
      <c r="C905" s="4"/>
      <c r="D905" s="3" t="str">
        <f t="shared" si="2"/>
        <v/>
      </c>
      <c r="E905" s="4"/>
      <c r="F905" s="2" t="str">
        <f>IFERROR(__xludf.DUMMYFUNCTION("IF(E905="""","""",IF(COUNTIFS(D$1:D904,D905,E$1:E904,E905)&gt;0,INDEX(filter(F$1:F904,D$1:D904=D905,E$1:E904=E905),1),""Selecciona..""))"),"")</f>
        <v/>
      </c>
      <c r="G905" s="2" t="str">
        <f>IFERROR(__xludf.DUMMYFUNCTION("IF($E905="""","""",IF(COUNTIFS($D$1:$D904,$D905,$E$1:$E904,$E905)&gt;0,INDEX(filter(G$1:G904,$D$1:$D904=$D905,$E$1:$E904=E905),1),""Selecciona..""))"),"")</f>
        <v/>
      </c>
      <c r="H905" s="4" t="str">
        <f>IF(D905="","",COUNTIF(Productos!G:G,C905))</f>
        <v/>
      </c>
      <c r="J905" s="90"/>
    </row>
    <row r="906">
      <c r="A906" s="2" t="str">
        <f t="shared" si="1"/>
        <v/>
      </c>
      <c r="B906" s="4"/>
      <c r="C906" s="4"/>
      <c r="D906" s="3" t="str">
        <f t="shared" si="2"/>
        <v/>
      </c>
      <c r="E906" s="4"/>
      <c r="F906" s="2" t="str">
        <f>IFERROR(__xludf.DUMMYFUNCTION("IF(E906="""","""",IF(COUNTIFS(D$1:D905,D906,E$1:E905,E906)&gt;0,INDEX(filter(F$1:F905,D$1:D905=D906,E$1:E905=E906),1),""Selecciona..""))"),"")</f>
        <v/>
      </c>
      <c r="G906" s="2" t="str">
        <f>IFERROR(__xludf.DUMMYFUNCTION("IF($E906="""","""",IF(COUNTIFS($D$1:$D905,$D906,$E$1:$E905,$E906)&gt;0,INDEX(filter(G$1:G905,$D$1:$D905=$D906,$E$1:$E905=E906),1),""Selecciona..""))"),"")</f>
        <v/>
      </c>
      <c r="H906" s="4" t="str">
        <f>IF(D906="","",COUNTIF(Productos!G:G,C906))</f>
        <v/>
      </c>
      <c r="J906" s="90"/>
    </row>
    <row r="907">
      <c r="A907" s="2" t="str">
        <f t="shared" si="1"/>
        <v/>
      </c>
      <c r="B907" s="4"/>
      <c r="C907" s="4"/>
      <c r="D907" s="3" t="str">
        <f t="shared" si="2"/>
        <v/>
      </c>
      <c r="E907" s="4"/>
      <c r="F907" s="2" t="str">
        <f>IFERROR(__xludf.DUMMYFUNCTION("IF(E907="""","""",IF(COUNTIFS(D$1:D906,D907,E$1:E906,E907)&gt;0,INDEX(filter(F$1:F906,D$1:D906=D907,E$1:E906=E907),1),""Selecciona..""))"),"")</f>
        <v/>
      </c>
      <c r="G907" s="2" t="str">
        <f>IFERROR(__xludf.DUMMYFUNCTION("IF($E907="""","""",IF(COUNTIFS($D$1:$D906,$D907,$E$1:$E906,$E907)&gt;0,INDEX(filter(G$1:G906,$D$1:$D906=$D907,$E$1:$E906=E907),1),""Selecciona..""))"),"")</f>
        <v/>
      </c>
      <c r="H907" s="4" t="str">
        <f>IF(D907="","",COUNTIF(Productos!G:G,C907))</f>
        <v/>
      </c>
      <c r="J907" s="90"/>
    </row>
    <row r="908">
      <c r="A908" s="2" t="str">
        <f t="shared" si="1"/>
        <v/>
      </c>
      <c r="B908" s="4"/>
      <c r="C908" s="4"/>
      <c r="D908" s="3" t="str">
        <f t="shared" si="2"/>
        <v/>
      </c>
      <c r="E908" s="4"/>
      <c r="F908" s="2" t="str">
        <f>IFERROR(__xludf.DUMMYFUNCTION("IF(E908="""","""",IF(COUNTIFS(D$1:D907,D908,E$1:E907,E908)&gt;0,INDEX(filter(F$1:F907,D$1:D907=D908,E$1:E907=E908),1),""Selecciona..""))"),"")</f>
        <v/>
      </c>
      <c r="G908" s="2" t="str">
        <f>IFERROR(__xludf.DUMMYFUNCTION("IF($E908="""","""",IF(COUNTIFS($D$1:$D907,$D908,$E$1:$E907,$E908)&gt;0,INDEX(filter(G$1:G907,$D$1:$D907=$D908,$E$1:$E907=E908),1),""Selecciona..""))"),"")</f>
        <v/>
      </c>
      <c r="H908" s="4" t="str">
        <f>IF(D908="","",COUNTIF(Productos!G:G,C908))</f>
        <v/>
      </c>
      <c r="J908" s="90"/>
    </row>
    <row r="909">
      <c r="A909" s="2" t="str">
        <f t="shared" si="1"/>
        <v/>
      </c>
      <c r="B909" s="4"/>
      <c r="C909" s="4"/>
      <c r="D909" s="3" t="str">
        <f t="shared" si="2"/>
        <v/>
      </c>
      <c r="E909" s="4"/>
      <c r="F909" s="2" t="str">
        <f>IFERROR(__xludf.DUMMYFUNCTION("IF(E909="""","""",IF(COUNTIFS(D$1:D908,D909,E$1:E908,E909)&gt;0,INDEX(filter(F$1:F908,D$1:D908=D909,E$1:E908=E909),1),""Selecciona..""))"),"")</f>
        <v/>
      </c>
      <c r="G909" s="2" t="str">
        <f>IFERROR(__xludf.DUMMYFUNCTION("IF($E909="""","""",IF(COUNTIFS($D$1:$D908,$D909,$E$1:$E908,$E909)&gt;0,INDEX(filter(G$1:G908,$D$1:$D908=$D909,$E$1:$E908=E909),1),""Selecciona..""))"),"")</f>
        <v/>
      </c>
      <c r="H909" s="4" t="str">
        <f>IF(D909="","",COUNTIF(Productos!G:G,C909))</f>
        <v/>
      </c>
      <c r="J909" s="90"/>
    </row>
    <row r="910">
      <c r="A910" s="2" t="str">
        <f t="shared" si="1"/>
        <v/>
      </c>
      <c r="B910" s="4"/>
      <c r="C910" s="4"/>
      <c r="D910" s="3" t="str">
        <f t="shared" si="2"/>
        <v/>
      </c>
      <c r="E910" s="4"/>
      <c r="F910" s="2" t="str">
        <f>IFERROR(__xludf.DUMMYFUNCTION("IF(E910="""","""",IF(COUNTIFS(D$1:D909,D910,E$1:E909,E910)&gt;0,INDEX(filter(F$1:F909,D$1:D909=D910,E$1:E909=E910),1),""Selecciona..""))"),"")</f>
        <v/>
      </c>
      <c r="G910" s="2" t="str">
        <f>IFERROR(__xludf.DUMMYFUNCTION("IF($E910="""","""",IF(COUNTIFS($D$1:$D909,$D910,$E$1:$E909,$E910)&gt;0,INDEX(filter(G$1:G909,$D$1:$D909=$D910,$E$1:$E909=E910),1),""Selecciona..""))"),"")</f>
        <v/>
      </c>
      <c r="H910" s="4" t="str">
        <f>IF(D910="","",COUNTIF(Productos!G:G,C910))</f>
        <v/>
      </c>
      <c r="J910" s="90"/>
    </row>
    <row r="911">
      <c r="A911" s="2" t="str">
        <f t="shared" si="1"/>
        <v/>
      </c>
      <c r="B911" s="4"/>
      <c r="C911" s="4"/>
      <c r="D911" s="3" t="str">
        <f t="shared" si="2"/>
        <v/>
      </c>
      <c r="E911" s="4"/>
      <c r="F911" s="2" t="str">
        <f>IFERROR(__xludf.DUMMYFUNCTION("IF(E911="""","""",IF(COUNTIFS(D$1:D910,D911,E$1:E910,E911)&gt;0,INDEX(filter(F$1:F910,D$1:D910=D911,E$1:E910=E911),1),""Selecciona..""))"),"")</f>
        <v/>
      </c>
      <c r="G911" s="2" t="str">
        <f>IFERROR(__xludf.DUMMYFUNCTION("IF($E911="""","""",IF(COUNTIFS($D$1:$D910,$D911,$E$1:$E910,$E911)&gt;0,INDEX(filter(G$1:G910,$D$1:$D910=$D911,$E$1:$E910=E911),1),""Selecciona..""))"),"")</f>
        <v/>
      </c>
      <c r="H911" s="4" t="str">
        <f>IF(D911="","",COUNTIF(Productos!G:G,C911))</f>
        <v/>
      </c>
      <c r="J911" s="90"/>
    </row>
    <row r="912">
      <c r="A912" s="2" t="str">
        <f t="shared" si="1"/>
        <v/>
      </c>
      <c r="B912" s="4"/>
      <c r="C912" s="4"/>
      <c r="D912" s="3" t="str">
        <f t="shared" si="2"/>
        <v/>
      </c>
      <c r="E912" s="4"/>
      <c r="F912" s="2" t="str">
        <f>IFERROR(__xludf.DUMMYFUNCTION("IF(E912="""","""",IF(COUNTIFS(D$1:D911,D912,E$1:E911,E912)&gt;0,INDEX(filter(F$1:F911,D$1:D911=D912,E$1:E911=E912),1),""Selecciona..""))"),"")</f>
        <v/>
      </c>
      <c r="G912" s="2" t="str">
        <f>IFERROR(__xludf.DUMMYFUNCTION("IF($E912="""","""",IF(COUNTIFS($D$1:$D911,$D912,$E$1:$E911,$E912)&gt;0,INDEX(filter(G$1:G911,$D$1:$D911=$D912,$E$1:$E911=E912),1),""Selecciona..""))"),"")</f>
        <v/>
      </c>
      <c r="H912" s="4" t="str">
        <f>IF(D912="","",COUNTIF(Productos!G:G,C912))</f>
        <v/>
      </c>
      <c r="J912" s="90"/>
    </row>
    <row r="913">
      <c r="A913" s="2" t="str">
        <f t="shared" si="1"/>
        <v/>
      </c>
      <c r="B913" s="4"/>
      <c r="C913" s="4"/>
      <c r="D913" s="3" t="str">
        <f t="shared" si="2"/>
        <v/>
      </c>
      <c r="E913" s="4"/>
      <c r="F913" s="2" t="str">
        <f>IFERROR(__xludf.DUMMYFUNCTION("IF(E913="""","""",IF(COUNTIFS(D$1:D912,D913,E$1:E912,E913)&gt;0,INDEX(filter(F$1:F912,D$1:D912=D913,E$1:E912=E913),1),""Selecciona..""))"),"")</f>
        <v/>
      </c>
      <c r="G913" s="2" t="str">
        <f>IFERROR(__xludf.DUMMYFUNCTION("IF($E913="""","""",IF(COUNTIFS($D$1:$D912,$D913,$E$1:$E912,$E913)&gt;0,INDEX(filter(G$1:G912,$D$1:$D912=$D913,$E$1:$E912=E913),1),""Selecciona..""))"),"")</f>
        <v/>
      </c>
      <c r="H913" s="4" t="str">
        <f>IF(D913="","",COUNTIF(Productos!G:G,C913))</f>
        <v/>
      </c>
      <c r="J913" s="90"/>
    </row>
    <row r="914">
      <c r="A914" s="2" t="str">
        <f t="shared" si="1"/>
        <v/>
      </c>
      <c r="B914" s="4"/>
      <c r="C914" s="4"/>
      <c r="D914" s="3" t="str">
        <f t="shared" si="2"/>
        <v/>
      </c>
      <c r="E914" s="4"/>
      <c r="F914" s="2" t="str">
        <f>IFERROR(__xludf.DUMMYFUNCTION("IF(E914="""","""",IF(COUNTIFS(D$1:D913,D914,E$1:E913,E914)&gt;0,INDEX(filter(F$1:F913,D$1:D913=D914,E$1:E913=E914),1),""Selecciona..""))"),"")</f>
        <v/>
      </c>
      <c r="G914" s="2" t="str">
        <f>IFERROR(__xludf.DUMMYFUNCTION("IF($E914="""","""",IF(COUNTIFS($D$1:$D913,$D914,$E$1:$E913,$E914)&gt;0,INDEX(filter(G$1:G913,$D$1:$D913=$D914,$E$1:$E913=E914),1),""Selecciona..""))"),"")</f>
        <v/>
      </c>
      <c r="H914" s="4" t="str">
        <f>IF(D914="","",COUNTIF(Productos!G:G,C914))</f>
        <v/>
      </c>
      <c r="J914" s="90"/>
    </row>
    <row r="915">
      <c r="A915" s="2" t="str">
        <f t="shared" si="1"/>
        <v/>
      </c>
      <c r="B915" s="4"/>
      <c r="C915" s="4"/>
      <c r="D915" s="3" t="str">
        <f t="shared" si="2"/>
        <v/>
      </c>
      <c r="E915" s="4"/>
      <c r="F915" s="2" t="str">
        <f>IFERROR(__xludf.DUMMYFUNCTION("IF(E915="""","""",IF(COUNTIFS(D$1:D914,D915,E$1:E914,E915)&gt;0,INDEX(filter(F$1:F914,D$1:D914=D915,E$1:E914=E915),1),""Selecciona..""))"),"")</f>
        <v/>
      </c>
      <c r="G915" s="2" t="str">
        <f>IFERROR(__xludf.DUMMYFUNCTION("IF($E915="""","""",IF(COUNTIFS($D$1:$D914,$D915,$E$1:$E914,$E915)&gt;0,INDEX(filter(G$1:G914,$D$1:$D914=$D915,$E$1:$E914=E915),1),""Selecciona..""))"),"")</f>
        <v/>
      </c>
      <c r="H915" s="4" t="str">
        <f>IF(D915="","",COUNTIF(Productos!G:G,C915))</f>
        <v/>
      </c>
      <c r="J915" s="90"/>
    </row>
    <row r="916">
      <c r="A916" s="2" t="str">
        <f t="shared" si="1"/>
        <v/>
      </c>
      <c r="B916" s="4"/>
      <c r="C916" s="4"/>
      <c r="D916" s="3" t="str">
        <f t="shared" si="2"/>
        <v/>
      </c>
      <c r="E916" s="4"/>
      <c r="F916" s="2" t="str">
        <f>IFERROR(__xludf.DUMMYFUNCTION("IF(E916="""","""",IF(COUNTIFS(D$1:D915,D916,E$1:E915,E916)&gt;0,INDEX(filter(F$1:F915,D$1:D915=D916,E$1:E915=E916),1),""Selecciona..""))"),"")</f>
        <v/>
      </c>
      <c r="G916" s="2" t="str">
        <f>IFERROR(__xludf.DUMMYFUNCTION("IF($E916="""","""",IF(COUNTIFS($D$1:$D915,$D916,$E$1:$E915,$E916)&gt;0,INDEX(filter(G$1:G915,$D$1:$D915=$D916,$E$1:$E915=E916),1),""Selecciona..""))"),"")</f>
        <v/>
      </c>
      <c r="H916" s="4" t="str">
        <f>IF(D916="","",COUNTIF(Productos!G:G,C916))</f>
        <v/>
      </c>
      <c r="J916" s="90"/>
    </row>
    <row r="917">
      <c r="A917" s="2" t="str">
        <f t="shared" si="1"/>
        <v/>
      </c>
      <c r="B917" s="4"/>
      <c r="C917" s="4"/>
      <c r="D917" s="3" t="str">
        <f t="shared" si="2"/>
        <v/>
      </c>
      <c r="E917" s="4"/>
      <c r="F917" s="2" t="str">
        <f>IFERROR(__xludf.DUMMYFUNCTION("IF(E917="""","""",IF(COUNTIFS(D$1:D916,D917,E$1:E916,E917)&gt;0,INDEX(filter(F$1:F916,D$1:D916=D917,E$1:E916=E917),1),""Selecciona..""))"),"")</f>
        <v/>
      </c>
      <c r="G917" s="2" t="str">
        <f>IFERROR(__xludf.DUMMYFUNCTION("IF($E917="""","""",IF(COUNTIFS($D$1:$D916,$D917,$E$1:$E916,$E917)&gt;0,INDEX(filter(G$1:G916,$D$1:$D916=$D917,$E$1:$E916=E917),1),""Selecciona..""))"),"")</f>
        <v/>
      </c>
      <c r="H917" s="4" t="str">
        <f>IF(D917="","",COUNTIF(Productos!G:G,C917))</f>
        <v/>
      </c>
      <c r="J917" s="90"/>
    </row>
    <row r="918">
      <c r="A918" s="2" t="str">
        <f t="shared" si="1"/>
        <v/>
      </c>
      <c r="B918" s="4"/>
      <c r="C918" s="4"/>
      <c r="D918" s="3" t="str">
        <f t="shared" si="2"/>
        <v/>
      </c>
      <c r="E918" s="4"/>
      <c r="F918" s="2" t="str">
        <f>IFERROR(__xludf.DUMMYFUNCTION("IF(E918="""","""",IF(COUNTIFS(D$1:D917,D918,E$1:E917,E918)&gt;0,INDEX(filter(F$1:F917,D$1:D917=D918,E$1:E917=E918),1),""Selecciona..""))"),"")</f>
        <v/>
      </c>
      <c r="G918" s="2" t="str">
        <f>IFERROR(__xludf.DUMMYFUNCTION("IF($E918="""","""",IF(COUNTIFS($D$1:$D917,$D918,$E$1:$E917,$E918)&gt;0,INDEX(filter(G$1:G917,$D$1:$D917=$D918,$E$1:$E917=E918),1),""Selecciona..""))"),"")</f>
        <v/>
      </c>
      <c r="H918" s="4" t="str">
        <f>IF(D918="","",COUNTIF(Productos!G:G,C918))</f>
        <v/>
      </c>
      <c r="J918" s="90"/>
    </row>
    <row r="919">
      <c r="A919" s="2" t="str">
        <f t="shared" si="1"/>
        <v/>
      </c>
      <c r="B919" s="4"/>
      <c r="C919" s="4"/>
      <c r="D919" s="3" t="str">
        <f t="shared" si="2"/>
        <v/>
      </c>
      <c r="E919" s="4"/>
      <c r="F919" s="2" t="str">
        <f>IFERROR(__xludf.DUMMYFUNCTION("IF(E919="""","""",IF(COUNTIFS(D$1:D918,D919,E$1:E918,E919)&gt;0,INDEX(filter(F$1:F918,D$1:D918=D919,E$1:E918=E919),1),""Selecciona..""))"),"")</f>
        <v/>
      </c>
      <c r="G919" s="2" t="str">
        <f>IFERROR(__xludf.DUMMYFUNCTION("IF($E919="""","""",IF(COUNTIFS($D$1:$D918,$D919,$E$1:$E918,$E919)&gt;0,INDEX(filter(G$1:G918,$D$1:$D918=$D919,$E$1:$E918=E919),1),""Selecciona..""))"),"")</f>
        <v/>
      </c>
      <c r="H919" s="4" t="str">
        <f>IF(D919="","",COUNTIF(Productos!G:G,C919))</f>
        <v/>
      </c>
      <c r="J919" s="90"/>
    </row>
    <row r="920">
      <c r="A920" s="2" t="str">
        <f t="shared" si="1"/>
        <v/>
      </c>
      <c r="B920" s="4"/>
      <c r="C920" s="4"/>
      <c r="D920" s="3" t="str">
        <f t="shared" si="2"/>
        <v/>
      </c>
      <c r="E920" s="4"/>
      <c r="F920" s="2" t="str">
        <f>IFERROR(__xludf.DUMMYFUNCTION("IF(E920="""","""",IF(COUNTIFS(D$1:D919,D920,E$1:E919,E920)&gt;0,INDEX(filter(F$1:F919,D$1:D919=D920,E$1:E919=E920),1),""Selecciona..""))"),"")</f>
        <v/>
      </c>
      <c r="G920" s="2" t="str">
        <f>IFERROR(__xludf.DUMMYFUNCTION("IF($E920="""","""",IF(COUNTIFS($D$1:$D919,$D920,$E$1:$E919,$E920)&gt;0,INDEX(filter(G$1:G919,$D$1:$D919=$D920,$E$1:$E919=E920),1),""Selecciona..""))"),"")</f>
        <v/>
      </c>
      <c r="H920" s="4" t="str">
        <f>IF(D920="","",COUNTIF(Productos!G:G,C920))</f>
        <v/>
      </c>
      <c r="J920" s="90"/>
    </row>
    <row r="921">
      <c r="A921" s="2" t="str">
        <f t="shared" si="1"/>
        <v/>
      </c>
      <c r="B921" s="4"/>
      <c r="C921" s="4"/>
      <c r="D921" s="3" t="str">
        <f t="shared" si="2"/>
        <v/>
      </c>
      <c r="E921" s="4"/>
      <c r="F921" s="2" t="str">
        <f>IFERROR(__xludf.DUMMYFUNCTION("IF(E921="""","""",IF(COUNTIFS(D$1:D920,D921,E$1:E920,E921)&gt;0,INDEX(filter(F$1:F920,D$1:D920=D921,E$1:E920=E921),1),""Selecciona..""))"),"")</f>
        <v/>
      </c>
      <c r="G921" s="2" t="str">
        <f>IFERROR(__xludf.DUMMYFUNCTION("IF($E921="""","""",IF(COUNTIFS($D$1:$D920,$D921,$E$1:$E920,$E921)&gt;0,INDEX(filter(G$1:G920,$D$1:$D920=$D921,$E$1:$E920=E921),1),""Selecciona..""))"),"")</f>
        <v/>
      </c>
      <c r="H921" s="4" t="str">
        <f>IF(D921="","",COUNTIF(Productos!G:G,C921))</f>
        <v/>
      </c>
      <c r="J921" s="90"/>
    </row>
    <row r="922">
      <c r="A922" s="2" t="str">
        <f t="shared" si="1"/>
        <v/>
      </c>
      <c r="B922" s="4"/>
      <c r="C922" s="4"/>
      <c r="D922" s="3" t="str">
        <f t="shared" si="2"/>
        <v/>
      </c>
      <c r="E922" s="4"/>
      <c r="F922" s="2" t="str">
        <f>IFERROR(__xludf.DUMMYFUNCTION("IF(E922="""","""",IF(COUNTIFS(D$1:D921,D922,E$1:E921,E922)&gt;0,INDEX(filter(F$1:F921,D$1:D921=D922,E$1:E921=E922),1),""Selecciona..""))"),"")</f>
        <v/>
      </c>
      <c r="G922" s="2" t="str">
        <f>IFERROR(__xludf.DUMMYFUNCTION("IF($E922="""","""",IF(COUNTIFS($D$1:$D921,$D922,$E$1:$E921,$E922)&gt;0,INDEX(filter(G$1:G921,$D$1:$D921=$D922,$E$1:$E921=E922),1),""Selecciona..""))"),"")</f>
        <v/>
      </c>
      <c r="H922" s="4" t="str">
        <f>IF(D922="","",COUNTIF(Productos!G:G,C922))</f>
        <v/>
      </c>
      <c r="J922" s="90"/>
    </row>
    <row r="923">
      <c r="A923" s="2" t="str">
        <f t="shared" si="1"/>
        <v/>
      </c>
      <c r="B923" s="4"/>
      <c r="C923" s="4"/>
      <c r="D923" s="3" t="str">
        <f t="shared" si="2"/>
        <v/>
      </c>
      <c r="E923" s="4"/>
      <c r="F923" s="2" t="str">
        <f>IFERROR(__xludf.DUMMYFUNCTION("IF(E923="""","""",IF(COUNTIFS(D$1:D922,D923,E$1:E922,E923)&gt;0,INDEX(filter(F$1:F922,D$1:D922=D923,E$1:E922=E923),1),""Selecciona..""))"),"")</f>
        <v/>
      </c>
      <c r="G923" s="2" t="str">
        <f>IFERROR(__xludf.DUMMYFUNCTION("IF($E923="""","""",IF(COUNTIFS($D$1:$D922,$D923,$E$1:$E922,$E923)&gt;0,INDEX(filter(G$1:G922,$D$1:$D922=$D923,$E$1:$E922=E923),1),""Selecciona..""))"),"")</f>
        <v/>
      </c>
      <c r="H923" s="4" t="str">
        <f>IF(D923="","",COUNTIF(Productos!G:G,C923))</f>
        <v/>
      </c>
      <c r="J923" s="90"/>
    </row>
    <row r="924">
      <c r="A924" s="2" t="str">
        <f t="shared" si="1"/>
        <v/>
      </c>
      <c r="B924" s="4"/>
      <c r="C924" s="4"/>
      <c r="D924" s="3" t="str">
        <f t="shared" si="2"/>
        <v/>
      </c>
      <c r="E924" s="4"/>
      <c r="F924" s="2" t="str">
        <f>IFERROR(__xludf.DUMMYFUNCTION("IF(E924="""","""",IF(COUNTIFS(D$1:D923,D924,E$1:E923,E924)&gt;0,INDEX(filter(F$1:F923,D$1:D923=D924,E$1:E923=E924),1),""Selecciona..""))"),"")</f>
        <v/>
      </c>
      <c r="G924" s="2" t="str">
        <f>IFERROR(__xludf.DUMMYFUNCTION("IF($E924="""","""",IF(COUNTIFS($D$1:$D923,$D924,$E$1:$E923,$E924)&gt;0,INDEX(filter(G$1:G923,$D$1:$D923=$D924,$E$1:$E923=E924),1),""Selecciona..""))"),"")</f>
        <v/>
      </c>
      <c r="H924" s="4" t="str">
        <f>IF(D924="","",COUNTIF(Productos!G:G,C924))</f>
        <v/>
      </c>
      <c r="J924" s="90"/>
    </row>
    <row r="925">
      <c r="A925" s="2" t="str">
        <f t="shared" si="1"/>
        <v/>
      </c>
      <c r="B925" s="4"/>
      <c r="C925" s="4"/>
      <c r="D925" s="3" t="str">
        <f t="shared" si="2"/>
        <v/>
      </c>
      <c r="E925" s="4"/>
      <c r="F925" s="2" t="str">
        <f>IFERROR(__xludf.DUMMYFUNCTION("IF(E925="""","""",IF(COUNTIFS(D$1:D924,D925,E$1:E924,E925)&gt;0,INDEX(filter(F$1:F924,D$1:D924=D925,E$1:E924=E925),1),""Selecciona..""))"),"")</f>
        <v/>
      </c>
      <c r="G925" s="2" t="str">
        <f>IFERROR(__xludf.DUMMYFUNCTION("IF($E925="""","""",IF(COUNTIFS($D$1:$D924,$D925,$E$1:$E924,$E925)&gt;0,INDEX(filter(G$1:G924,$D$1:$D924=$D925,$E$1:$E924=E925),1),""Selecciona..""))"),"")</f>
        <v/>
      </c>
      <c r="H925" s="4" t="str">
        <f>IF(D925="","",COUNTIF(Productos!G:G,C925))</f>
        <v/>
      </c>
      <c r="J925" s="90"/>
    </row>
    <row r="926">
      <c r="A926" s="2" t="str">
        <f t="shared" si="1"/>
        <v/>
      </c>
      <c r="B926" s="4"/>
      <c r="C926" s="4"/>
      <c r="D926" s="3" t="str">
        <f t="shared" si="2"/>
        <v/>
      </c>
      <c r="E926" s="4"/>
      <c r="F926" s="2" t="str">
        <f>IFERROR(__xludf.DUMMYFUNCTION("IF(E926="""","""",IF(COUNTIFS(D$1:D925,D926,E$1:E925,E926)&gt;0,INDEX(filter(F$1:F925,D$1:D925=D926,E$1:E925=E926),1),""Selecciona..""))"),"")</f>
        <v/>
      </c>
      <c r="G926" s="2" t="str">
        <f>IFERROR(__xludf.DUMMYFUNCTION("IF($E926="""","""",IF(COUNTIFS($D$1:$D925,$D926,$E$1:$E925,$E926)&gt;0,INDEX(filter(G$1:G925,$D$1:$D925=$D926,$E$1:$E925=E926),1),""Selecciona..""))"),"")</f>
        <v/>
      </c>
      <c r="H926" s="4" t="str">
        <f>IF(D926="","",COUNTIF(Productos!G:G,C926))</f>
        <v/>
      </c>
      <c r="J926" s="90"/>
    </row>
    <row r="927">
      <c r="A927" s="2" t="str">
        <f t="shared" si="1"/>
        <v/>
      </c>
      <c r="B927" s="4"/>
      <c r="C927" s="4"/>
      <c r="D927" s="3" t="str">
        <f t="shared" si="2"/>
        <v/>
      </c>
      <c r="E927" s="4"/>
      <c r="F927" s="2" t="str">
        <f>IFERROR(__xludf.DUMMYFUNCTION("IF(E927="""","""",IF(COUNTIFS(D$1:D926,D927,E$1:E926,E927)&gt;0,INDEX(filter(F$1:F926,D$1:D926=D927,E$1:E926=E927),1),""Selecciona..""))"),"")</f>
        <v/>
      </c>
      <c r="G927" s="2" t="str">
        <f>IFERROR(__xludf.DUMMYFUNCTION("IF($E927="""","""",IF(COUNTIFS($D$1:$D926,$D927,$E$1:$E926,$E927)&gt;0,INDEX(filter(G$1:G926,$D$1:$D926=$D927,$E$1:$E926=E927),1),""Selecciona..""))"),"")</f>
        <v/>
      </c>
      <c r="H927" s="4" t="str">
        <f>IF(D927="","",COUNTIF(Productos!G:G,C927))</f>
        <v/>
      </c>
      <c r="J927" s="90"/>
    </row>
    <row r="928">
      <c r="A928" s="2" t="str">
        <f t="shared" si="1"/>
        <v/>
      </c>
      <c r="B928" s="4"/>
      <c r="C928" s="4"/>
      <c r="D928" s="3" t="str">
        <f t="shared" si="2"/>
        <v/>
      </c>
      <c r="E928" s="4"/>
      <c r="F928" s="2" t="str">
        <f>IFERROR(__xludf.DUMMYFUNCTION("IF(E928="""","""",IF(COUNTIFS(D$1:D927,D928,E$1:E927,E928)&gt;0,INDEX(filter(F$1:F927,D$1:D927=D928,E$1:E927=E928),1),""Selecciona..""))"),"")</f>
        <v/>
      </c>
      <c r="G928" s="2" t="str">
        <f>IFERROR(__xludf.DUMMYFUNCTION("IF($E928="""","""",IF(COUNTIFS($D$1:$D927,$D928,$E$1:$E927,$E928)&gt;0,INDEX(filter(G$1:G927,$D$1:$D927=$D928,$E$1:$E927=E928),1),""Selecciona..""))"),"")</f>
        <v/>
      </c>
      <c r="H928" s="4" t="str">
        <f>IF(D928="","",COUNTIF(Productos!G:G,C928))</f>
        <v/>
      </c>
      <c r="J928" s="90"/>
    </row>
    <row r="929">
      <c r="A929" s="2" t="str">
        <f t="shared" si="1"/>
        <v/>
      </c>
      <c r="B929" s="4"/>
      <c r="C929" s="4"/>
      <c r="D929" s="3" t="str">
        <f t="shared" si="2"/>
        <v/>
      </c>
      <c r="E929" s="4"/>
      <c r="F929" s="2" t="str">
        <f>IFERROR(__xludf.DUMMYFUNCTION("IF(E929="""","""",IF(COUNTIFS(D$1:D928,D929,E$1:E928,E929)&gt;0,INDEX(filter(F$1:F928,D$1:D928=D929,E$1:E928=E929),1),""Selecciona..""))"),"")</f>
        <v/>
      </c>
      <c r="G929" s="2" t="str">
        <f>IFERROR(__xludf.DUMMYFUNCTION("IF($E929="""","""",IF(COUNTIFS($D$1:$D928,$D929,$E$1:$E928,$E929)&gt;0,INDEX(filter(G$1:G928,$D$1:$D928=$D929,$E$1:$E928=E929),1),""Selecciona..""))"),"")</f>
        <v/>
      </c>
      <c r="H929" s="4" t="str">
        <f>IF(D929="","",COUNTIF(Productos!G:G,C929))</f>
        <v/>
      </c>
      <c r="J929" s="90"/>
    </row>
    <row r="930">
      <c r="A930" s="2" t="str">
        <f t="shared" si="1"/>
        <v/>
      </c>
      <c r="B930" s="4"/>
      <c r="C930" s="4"/>
      <c r="D930" s="3" t="str">
        <f t="shared" si="2"/>
        <v/>
      </c>
      <c r="E930" s="4"/>
      <c r="F930" s="2" t="str">
        <f>IFERROR(__xludf.DUMMYFUNCTION("IF(E930="""","""",IF(COUNTIFS(D$1:D929,D930,E$1:E929,E930)&gt;0,INDEX(filter(F$1:F929,D$1:D929=D930,E$1:E929=E930),1),""Selecciona..""))"),"")</f>
        <v/>
      </c>
      <c r="G930" s="2" t="str">
        <f>IFERROR(__xludf.DUMMYFUNCTION("IF($E930="""","""",IF(COUNTIFS($D$1:$D929,$D930,$E$1:$E929,$E930)&gt;0,INDEX(filter(G$1:G929,$D$1:$D929=$D930,$E$1:$E929=E930),1),""Selecciona..""))"),"")</f>
        <v/>
      </c>
      <c r="H930" s="4" t="str">
        <f>IF(D930="","",COUNTIF(Productos!G:G,C930))</f>
        <v/>
      </c>
      <c r="J930" s="90"/>
    </row>
    <row r="931">
      <c r="A931" s="2" t="str">
        <f t="shared" si="1"/>
        <v/>
      </c>
      <c r="B931" s="4"/>
      <c r="C931" s="4"/>
      <c r="D931" s="3" t="str">
        <f t="shared" si="2"/>
        <v/>
      </c>
      <c r="E931" s="4"/>
      <c r="F931" s="2" t="str">
        <f>IFERROR(__xludf.DUMMYFUNCTION("IF(E931="""","""",IF(COUNTIFS(D$1:D930,D931,E$1:E930,E931)&gt;0,INDEX(filter(F$1:F930,D$1:D930=D931,E$1:E930=E931),1),""Selecciona..""))"),"")</f>
        <v/>
      </c>
      <c r="G931" s="2" t="str">
        <f>IFERROR(__xludf.DUMMYFUNCTION("IF($E931="""","""",IF(COUNTIFS($D$1:$D930,$D931,$E$1:$E930,$E931)&gt;0,INDEX(filter(G$1:G930,$D$1:$D930=$D931,$E$1:$E930=E931),1),""Selecciona..""))"),"")</f>
        <v/>
      </c>
      <c r="H931" s="4" t="str">
        <f>IF(D931="","",COUNTIF(Productos!G:G,C931))</f>
        <v/>
      </c>
      <c r="J931" s="90"/>
    </row>
    <row r="932">
      <c r="A932" s="2" t="str">
        <f t="shared" si="1"/>
        <v/>
      </c>
      <c r="B932" s="4"/>
      <c r="C932" s="4"/>
      <c r="D932" s="3" t="str">
        <f t="shared" si="2"/>
        <v/>
      </c>
      <c r="E932" s="4"/>
      <c r="F932" s="2" t="str">
        <f>IFERROR(__xludf.DUMMYFUNCTION("IF(E932="""","""",IF(COUNTIFS(D$1:D931,D932,E$1:E931,E932)&gt;0,INDEX(filter(F$1:F931,D$1:D931=D932,E$1:E931=E932),1),""Selecciona..""))"),"")</f>
        <v/>
      </c>
      <c r="G932" s="2" t="str">
        <f>IFERROR(__xludf.DUMMYFUNCTION("IF($E932="""","""",IF(COUNTIFS($D$1:$D931,$D932,$E$1:$E931,$E932)&gt;0,INDEX(filter(G$1:G931,$D$1:$D931=$D932,$E$1:$E931=E932),1),""Selecciona..""))"),"")</f>
        <v/>
      </c>
      <c r="H932" s="4" t="str">
        <f>IF(D932="","",COUNTIF(Productos!G:G,C932))</f>
        <v/>
      </c>
      <c r="J932" s="90"/>
    </row>
    <row r="933">
      <c r="A933" s="2" t="str">
        <f t="shared" si="1"/>
        <v/>
      </c>
      <c r="B933" s="4"/>
      <c r="C933" s="4"/>
      <c r="D933" s="3" t="str">
        <f t="shared" si="2"/>
        <v/>
      </c>
      <c r="E933" s="4"/>
      <c r="F933" s="2" t="str">
        <f>IFERROR(__xludf.DUMMYFUNCTION("IF(E933="""","""",IF(COUNTIFS(D$1:D932,D933,E$1:E932,E933)&gt;0,INDEX(filter(F$1:F932,D$1:D932=D933,E$1:E932=E933),1),""Selecciona..""))"),"")</f>
        <v/>
      </c>
      <c r="G933" s="2" t="str">
        <f>IFERROR(__xludf.DUMMYFUNCTION("IF($E933="""","""",IF(COUNTIFS($D$1:$D932,$D933,$E$1:$E932,$E933)&gt;0,INDEX(filter(G$1:G932,$D$1:$D932=$D933,$E$1:$E932=E933),1),""Selecciona..""))"),"")</f>
        <v/>
      </c>
      <c r="H933" s="4" t="str">
        <f>IF(D933="","",COUNTIF(Productos!G:G,C933))</f>
        <v/>
      </c>
      <c r="J933" s="90"/>
    </row>
    <row r="934">
      <c r="A934" s="2" t="str">
        <f t="shared" si="1"/>
        <v/>
      </c>
      <c r="B934" s="4"/>
      <c r="C934" s="4"/>
      <c r="D934" s="3" t="str">
        <f t="shared" si="2"/>
        <v/>
      </c>
      <c r="E934" s="4"/>
      <c r="F934" s="2" t="str">
        <f>IFERROR(__xludf.DUMMYFUNCTION("IF(E934="""","""",IF(COUNTIFS(D$1:D933,D934,E$1:E933,E934)&gt;0,INDEX(filter(F$1:F933,D$1:D933=D934,E$1:E933=E934),1),""Selecciona..""))"),"")</f>
        <v/>
      </c>
      <c r="G934" s="2" t="str">
        <f>IFERROR(__xludf.DUMMYFUNCTION("IF($E934="""","""",IF(COUNTIFS($D$1:$D933,$D934,$E$1:$E933,$E934)&gt;0,INDEX(filter(G$1:G933,$D$1:$D933=$D934,$E$1:$E933=E934),1),""Selecciona..""))"),"")</f>
        <v/>
      </c>
      <c r="H934" s="4" t="str">
        <f>IF(D934="","",COUNTIF(Productos!G:G,C934))</f>
        <v/>
      </c>
      <c r="J934" s="90"/>
    </row>
    <row r="935">
      <c r="A935" s="2" t="str">
        <f t="shared" si="1"/>
        <v/>
      </c>
      <c r="B935" s="4"/>
      <c r="C935" s="4"/>
      <c r="D935" s="3" t="str">
        <f t="shared" si="2"/>
        <v/>
      </c>
      <c r="E935" s="4"/>
      <c r="F935" s="2" t="str">
        <f>IFERROR(__xludf.DUMMYFUNCTION("IF(E935="""","""",IF(COUNTIFS(D$1:D934,D935,E$1:E934,E935)&gt;0,INDEX(filter(F$1:F934,D$1:D934=D935,E$1:E934=E935),1),""Selecciona..""))"),"")</f>
        <v/>
      </c>
      <c r="G935" s="2" t="str">
        <f>IFERROR(__xludf.DUMMYFUNCTION("IF($E935="""","""",IF(COUNTIFS($D$1:$D934,$D935,$E$1:$E934,$E935)&gt;0,INDEX(filter(G$1:G934,$D$1:$D934=$D935,$E$1:$E934=E935),1),""Selecciona..""))"),"")</f>
        <v/>
      </c>
      <c r="H935" s="4" t="str">
        <f>IF(D935="","",COUNTIF(Productos!G:G,C935))</f>
        <v/>
      </c>
      <c r="J935" s="90"/>
    </row>
    <row r="936">
      <c r="A936" s="2" t="str">
        <f t="shared" si="1"/>
        <v/>
      </c>
      <c r="B936" s="4"/>
      <c r="C936" s="4"/>
      <c r="D936" s="3" t="str">
        <f t="shared" si="2"/>
        <v/>
      </c>
      <c r="E936" s="4"/>
      <c r="F936" s="2" t="str">
        <f>IFERROR(__xludf.DUMMYFUNCTION("IF(E936="""","""",IF(COUNTIFS(D$1:D935,D936,E$1:E935,E936)&gt;0,INDEX(filter(F$1:F935,D$1:D935=D936,E$1:E935=E936),1),""Selecciona..""))"),"")</f>
        <v/>
      </c>
      <c r="G936" s="2" t="str">
        <f>IFERROR(__xludf.DUMMYFUNCTION("IF($E936="""","""",IF(COUNTIFS($D$1:$D935,$D936,$E$1:$E935,$E936)&gt;0,INDEX(filter(G$1:G935,$D$1:$D935=$D936,$E$1:$E935=E936),1),""Selecciona..""))"),"")</f>
        <v/>
      </c>
      <c r="H936" s="4" t="str">
        <f>IF(D936="","",COUNTIF(Productos!G:G,C936))</f>
        <v/>
      </c>
      <c r="J936" s="90"/>
    </row>
    <row r="937">
      <c r="A937" s="2" t="str">
        <f t="shared" si="1"/>
        <v/>
      </c>
      <c r="B937" s="4"/>
      <c r="C937" s="4"/>
      <c r="D937" s="3" t="str">
        <f t="shared" si="2"/>
        <v/>
      </c>
      <c r="E937" s="4"/>
      <c r="F937" s="2" t="str">
        <f>IFERROR(__xludf.DUMMYFUNCTION("IF(E937="""","""",IF(COUNTIFS(D$1:D936,D937,E$1:E936,E937)&gt;0,INDEX(filter(F$1:F936,D$1:D936=D937,E$1:E936=E937),1),""Selecciona..""))"),"")</f>
        <v/>
      </c>
      <c r="G937" s="2" t="str">
        <f>IFERROR(__xludf.DUMMYFUNCTION("IF($E937="""","""",IF(COUNTIFS($D$1:$D936,$D937,$E$1:$E936,$E937)&gt;0,INDEX(filter(G$1:G936,$D$1:$D936=$D937,$E$1:$E936=E937),1),""Selecciona..""))"),"")</f>
        <v/>
      </c>
      <c r="H937" s="4" t="str">
        <f>IF(D937="","",COUNTIF(Productos!G:G,C937))</f>
        <v/>
      </c>
      <c r="J937" s="90"/>
    </row>
    <row r="938">
      <c r="A938" s="2" t="str">
        <f t="shared" si="1"/>
        <v/>
      </c>
      <c r="B938" s="4"/>
      <c r="C938" s="4"/>
      <c r="D938" s="3" t="str">
        <f t="shared" si="2"/>
        <v/>
      </c>
      <c r="E938" s="4"/>
      <c r="F938" s="2" t="str">
        <f>IFERROR(__xludf.DUMMYFUNCTION("IF(E938="""","""",IF(COUNTIFS(D$1:D937,D938,E$1:E937,E938)&gt;0,INDEX(filter(F$1:F937,D$1:D937=D938,E$1:E937=E938),1),""Selecciona..""))"),"")</f>
        <v/>
      </c>
      <c r="G938" s="2" t="str">
        <f>IFERROR(__xludf.DUMMYFUNCTION("IF($E938="""","""",IF(COUNTIFS($D$1:$D937,$D938,$E$1:$E937,$E938)&gt;0,INDEX(filter(G$1:G937,$D$1:$D937=$D938,$E$1:$E937=E938),1),""Selecciona..""))"),"")</f>
        <v/>
      </c>
      <c r="H938" s="4" t="str">
        <f>IF(D938="","",COUNTIF(Productos!G:G,C938))</f>
        <v/>
      </c>
      <c r="J938" s="90"/>
    </row>
    <row r="939">
      <c r="A939" s="2" t="str">
        <f t="shared" si="1"/>
        <v/>
      </c>
      <c r="B939" s="4"/>
      <c r="C939" s="4"/>
      <c r="D939" s="3" t="str">
        <f t="shared" si="2"/>
        <v/>
      </c>
      <c r="E939" s="4"/>
      <c r="F939" s="2" t="str">
        <f>IFERROR(__xludf.DUMMYFUNCTION("IF(E939="""","""",IF(COUNTIFS(D$1:D938,D939,E$1:E938,E939)&gt;0,INDEX(filter(F$1:F938,D$1:D938=D939,E$1:E938=E939),1),""Selecciona..""))"),"")</f>
        <v/>
      </c>
      <c r="G939" s="2" t="str">
        <f>IFERROR(__xludf.DUMMYFUNCTION("IF($E939="""","""",IF(COUNTIFS($D$1:$D938,$D939,$E$1:$E938,$E939)&gt;0,INDEX(filter(G$1:G938,$D$1:$D938=$D939,$E$1:$E938=E939),1),""Selecciona..""))"),"")</f>
        <v/>
      </c>
      <c r="H939" s="4" t="str">
        <f>IF(D939="","",COUNTIF(Productos!G:G,C939))</f>
        <v/>
      </c>
      <c r="J939" s="90"/>
    </row>
    <row r="940">
      <c r="A940" s="2" t="str">
        <f t="shared" si="1"/>
        <v/>
      </c>
      <c r="B940" s="4"/>
      <c r="C940" s="4"/>
      <c r="D940" s="3" t="str">
        <f t="shared" si="2"/>
        <v/>
      </c>
      <c r="E940" s="4"/>
      <c r="F940" s="2" t="str">
        <f>IFERROR(__xludf.DUMMYFUNCTION("IF(E940="""","""",IF(COUNTIFS(D$1:D939,D940,E$1:E939,E940)&gt;0,INDEX(filter(F$1:F939,D$1:D939=D940,E$1:E939=E940),1),""Selecciona..""))"),"")</f>
        <v/>
      </c>
      <c r="G940" s="2" t="str">
        <f>IFERROR(__xludf.DUMMYFUNCTION("IF($E940="""","""",IF(COUNTIFS($D$1:$D939,$D940,$E$1:$E939,$E940)&gt;0,INDEX(filter(G$1:G939,$D$1:$D939=$D940,$E$1:$E939=E940),1),""Selecciona..""))"),"")</f>
        <v/>
      </c>
      <c r="H940" s="4" t="str">
        <f>IF(D940="","",COUNTIF(Productos!G:G,C940))</f>
        <v/>
      </c>
      <c r="J940" s="90"/>
    </row>
    <row r="941">
      <c r="A941" s="2" t="str">
        <f t="shared" si="1"/>
        <v/>
      </c>
      <c r="B941" s="4"/>
      <c r="C941" s="4"/>
      <c r="D941" s="3" t="str">
        <f t="shared" si="2"/>
        <v/>
      </c>
      <c r="E941" s="4"/>
      <c r="F941" s="2" t="str">
        <f>IFERROR(__xludf.DUMMYFUNCTION("IF(E941="""","""",IF(COUNTIFS(D$1:D940,D941,E$1:E940,E941)&gt;0,INDEX(filter(F$1:F940,D$1:D940=D941,E$1:E940=E941),1),""Selecciona..""))"),"")</f>
        <v/>
      </c>
      <c r="G941" s="2" t="str">
        <f>IFERROR(__xludf.DUMMYFUNCTION("IF($E941="""","""",IF(COUNTIFS($D$1:$D940,$D941,$E$1:$E940,$E941)&gt;0,INDEX(filter(G$1:G940,$D$1:$D940=$D941,$E$1:$E940=E941),1),""Selecciona..""))"),"")</f>
        <v/>
      </c>
      <c r="H941" s="4" t="str">
        <f>IF(D941="","",COUNTIF(Productos!G:G,C941))</f>
        <v/>
      </c>
      <c r="J941" s="90"/>
    </row>
    <row r="942">
      <c r="A942" s="2" t="str">
        <f t="shared" si="1"/>
        <v/>
      </c>
      <c r="B942" s="4"/>
      <c r="C942" s="4"/>
      <c r="D942" s="3" t="str">
        <f t="shared" si="2"/>
        <v/>
      </c>
      <c r="E942" s="4"/>
      <c r="F942" s="2" t="str">
        <f>IFERROR(__xludf.DUMMYFUNCTION("IF(E942="""","""",IF(COUNTIFS(D$1:D941,D942,E$1:E941,E942)&gt;0,INDEX(filter(F$1:F941,D$1:D941=D942,E$1:E941=E942),1),""Selecciona..""))"),"")</f>
        <v/>
      </c>
      <c r="G942" s="2" t="str">
        <f>IFERROR(__xludf.DUMMYFUNCTION("IF($E942="""","""",IF(COUNTIFS($D$1:$D941,$D942,$E$1:$E941,$E942)&gt;0,INDEX(filter(G$1:G941,$D$1:$D941=$D942,$E$1:$E941=E942),1),""Selecciona..""))"),"")</f>
        <v/>
      </c>
      <c r="H942" s="4" t="str">
        <f>IF(D942="","",COUNTIF(Productos!G:G,C942))</f>
        <v/>
      </c>
      <c r="J942" s="90"/>
    </row>
    <row r="943">
      <c r="A943" s="2" t="str">
        <f t="shared" si="1"/>
        <v/>
      </c>
      <c r="B943" s="4"/>
      <c r="C943" s="4"/>
      <c r="D943" s="3" t="str">
        <f t="shared" si="2"/>
        <v/>
      </c>
      <c r="E943" s="4"/>
      <c r="F943" s="2" t="str">
        <f>IFERROR(__xludf.DUMMYFUNCTION("IF(E943="""","""",IF(COUNTIFS(D$1:D942,D943,E$1:E942,E943)&gt;0,INDEX(filter(F$1:F942,D$1:D942=D943,E$1:E942=E943),1),""Selecciona..""))"),"")</f>
        <v/>
      </c>
      <c r="G943" s="2" t="str">
        <f>IFERROR(__xludf.DUMMYFUNCTION("IF($E943="""","""",IF(COUNTIFS($D$1:$D942,$D943,$E$1:$E942,$E943)&gt;0,INDEX(filter(G$1:G942,$D$1:$D942=$D943,$E$1:$E942=E943),1),""Selecciona..""))"),"")</f>
        <v/>
      </c>
      <c r="H943" s="4" t="str">
        <f>IF(D943="","",COUNTIF(Productos!G:G,C943))</f>
        <v/>
      </c>
      <c r="J943" s="90"/>
    </row>
    <row r="944">
      <c r="A944" s="2" t="str">
        <f t="shared" si="1"/>
        <v/>
      </c>
      <c r="B944" s="4"/>
      <c r="C944" s="4"/>
      <c r="D944" s="3" t="str">
        <f t="shared" si="2"/>
        <v/>
      </c>
      <c r="E944" s="4"/>
      <c r="F944" s="2" t="str">
        <f>IFERROR(__xludf.DUMMYFUNCTION("IF(E944="""","""",IF(COUNTIFS(D$1:D943,D944,E$1:E943,E944)&gt;0,INDEX(filter(F$1:F943,D$1:D943=D944,E$1:E943=E944),1),""Selecciona..""))"),"")</f>
        <v/>
      </c>
      <c r="G944" s="2" t="str">
        <f>IFERROR(__xludf.DUMMYFUNCTION("IF($E944="""","""",IF(COUNTIFS($D$1:$D943,$D944,$E$1:$E943,$E944)&gt;0,INDEX(filter(G$1:G943,$D$1:$D943=$D944,$E$1:$E943=E944),1),""Selecciona..""))"),"")</f>
        <v/>
      </c>
      <c r="H944" s="4" t="str">
        <f>IF(D944="","",COUNTIF(Productos!G:G,C944))</f>
        <v/>
      </c>
      <c r="J944" s="90"/>
    </row>
    <row r="945">
      <c r="A945" s="2" t="str">
        <f t="shared" si="1"/>
        <v/>
      </c>
      <c r="B945" s="4"/>
      <c r="C945" s="4"/>
      <c r="D945" s="3" t="str">
        <f t="shared" si="2"/>
        <v/>
      </c>
      <c r="E945" s="4"/>
      <c r="F945" s="2" t="str">
        <f>IFERROR(__xludf.DUMMYFUNCTION("IF(E945="""","""",IF(COUNTIFS(D$1:D944,D945,E$1:E944,E945)&gt;0,INDEX(filter(F$1:F944,D$1:D944=D945,E$1:E944=E945),1),""Selecciona..""))"),"")</f>
        <v/>
      </c>
      <c r="G945" s="2" t="str">
        <f>IFERROR(__xludf.DUMMYFUNCTION("IF($E945="""","""",IF(COUNTIFS($D$1:$D944,$D945,$E$1:$E944,$E945)&gt;0,INDEX(filter(G$1:G944,$D$1:$D944=$D945,$E$1:$E944=E945),1),""Selecciona..""))"),"")</f>
        <v/>
      </c>
      <c r="H945" s="4" t="str">
        <f>IF(D945="","",COUNTIF(Productos!G:G,C945))</f>
        <v/>
      </c>
      <c r="J945" s="90"/>
    </row>
    <row r="946">
      <c r="A946" s="2" t="str">
        <f t="shared" si="1"/>
        <v/>
      </c>
      <c r="B946" s="4"/>
      <c r="C946" s="4"/>
      <c r="D946" s="3" t="str">
        <f t="shared" si="2"/>
        <v/>
      </c>
      <c r="E946" s="4"/>
      <c r="F946" s="2" t="str">
        <f>IFERROR(__xludf.DUMMYFUNCTION("IF(E946="""","""",IF(COUNTIFS(D$1:D945,D946,E$1:E945,E946)&gt;0,INDEX(filter(F$1:F945,D$1:D945=D946,E$1:E945=E946),1),""Selecciona..""))"),"")</f>
        <v/>
      </c>
      <c r="G946" s="2" t="str">
        <f>IFERROR(__xludf.DUMMYFUNCTION("IF($E946="""","""",IF(COUNTIFS($D$1:$D945,$D946,$E$1:$E945,$E946)&gt;0,INDEX(filter(G$1:G945,$D$1:$D945=$D946,$E$1:$E945=E946),1),""Selecciona..""))"),"")</f>
        <v/>
      </c>
      <c r="H946" s="4" t="str">
        <f>IF(D946="","",COUNTIF(Productos!G:G,C946))</f>
        <v/>
      </c>
      <c r="J946" s="90"/>
    </row>
    <row r="947">
      <c r="A947" s="2" t="str">
        <f t="shared" si="1"/>
        <v/>
      </c>
      <c r="B947" s="4"/>
      <c r="C947" s="4"/>
      <c r="D947" s="3" t="str">
        <f t="shared" si="2"/>
        <v/>
      </c>
      <c r="E947" s="4"/>
      <c r="F947" s="2" t="str">
        <f>IFERROR(__xludf.DUMMYFUNCTION("IF(E947="""","""",IF(COUNTIFS(D$1:D946,D947,E$1:E946,E947)&gt;0,INDEX(filter(F$1:F946,D$1:D946=D947,E$1:E946=E947),1),""Selecciona..""))"),"")</f>
        <v/>
      </c>
      <c r="G947" s="2" t="str">
        <f>IFERROR(__xludf.DUMMYFUNCTION("IF($E947="""","""",IF(COUNTIFS($D$1:$D946,$D947,$E$1:$E946,$E947)&gt;0,INDEX(filter(G$1:G946,$D$1:$D946=$D947,$E$1:$E946=E947),1),""Selecciona..""))"),"")</f>
        <v/>
      </c>
      <c r="H947" s="4" t="str">
        <f>IF(D947="","",COUNTIF(Productos!G:G,C947))</f>
        <v/>
      </c>
      <c r="J947" s="90"/>
    </row>
    <row r="948">
      <c r="A948" s="2" t="str">
        <f t="shared" si="1"/>
        <v/>
      </c>
      <c r="B948" s="4"/>
      <c r="C948" s="4"/>
      <c r="D948" s="3" t="str">
        <f t="shared" si="2"/>
        <v/>
      </c>
      <c r="E948" s="4"/>
      <c r="F948" s="2" t="str">
        <f>IFERROR(__xludf.DUMMYFUNCTION("IF(E948="""","""",IF(COUNTIFS(D$1:D947,D948,E$1:E947,E948)&gt;0,INDEX(filter(F$1:F947,D$1:D947=D948,E$1:E947=E948),1),""Selecciona..""))"),"")</f>
        <v/>
      </c>
      <c r="G948" s="2" t="str">
        <f>IFERROR(__xludf.DUMMYFUNCTION("IF($E948="""","""",IF(COUNTIFS($D$1:$D947,$D948,$E$1:$E947,$E948)&gt;0,INDEX(filter(G$1:G947,$D$1:$D947=$D948,$E$1:$E947=E948),1),""Selecciona..""))"),"")</f>
        <v/>
      </c>
      <c r="H948" s="4" t="str">
        <f>IF(D948="","",COUNTIF(Productos!G:G,C948))</f>
        <v/>
      </c>
      <c r="J948" s="90"/>
    </row>
    <row r="949">
      <c r="A949" s="2" t="str">
        <f t="shared" si="1"/>
        <v/>
      </c>
      <c r="B949" s="4"/>
      <c r="C949" s="4"/>
      <c r="D949" s="3" t="str">
        <f t="shared" si="2"/>
        <v/>
      </c>
      <c r="E949" s="4"/>
      <c r="F949" s="2" t="str">
        <f>IFERROR(__xludf.DUMMYFUNCTION("IF(E949="""","""",IF(COUNTIFS(D$1:D948,D949,E$1:E948,E949)&gt;0,INDEX(filter(F$1:F948,D$1:D948=D949,E$1:E948=E949),1),""Selecciona..""))"),"")</f>
        <v/>
      </c>
      <c r="G949" s="2" t="str">
        <f>IFERROR(__xludf.DUMMYFUNCTION("IF($E949="""","""",IF(COUNTIFS($D$1:$D948,$D949,$E$1:$E948,$E949)&gt;0,INDEX(filter(G$1:G948,$D$1:$D948=$D949,$E$1:$E948=E949),1),""Selecciona..""))"),"")</f>
        <v/>
      </c>
      <c r="H949" s="4" t="str">
        <f>IF(D949="","",COUNTIF(Productos!G:G,C949))</f>
        <v/>
      </c>
      <c r="J949" s="90"/>
    </row>
    <row r="950">
      <c r="A950" s="2" t="str">
        <f t="shared" si="1"/>
        <v/>
      </c>
      <c r="B950" s="4"/>
      <c r="C950" s="4"/>
      <c r="D950" s="3" t="str">
        <f t="shared" si="2"/>
        <v/>
      </c>
      <c r="E950" s="4"/>
      <c r="F950" s="2" t="str">
        <f>IFERROR(__xludf.DUMMYFUNCTION("IF(E950="""","""",IF(COUNTIFS(D$1:D949,D950,E$1:E949,E950)&gt;0,INDEX(filter(F$1:F949,D$1:D949=D950,E$1:E949=E950),1),""Selecciona..""))"),"")</f>
        <v/>
      </c>
      <c r="G950" s="2" t="str">
        <f>IFERROR(__xludf.DUMMYFUNCTION("IF($E950="""","""",IF(COUNTIFS($D$1:$D949,$D950,$E$1:$E949,$E950)&gt;0,INDEX(filter(G$1:G949,$D$1:$D949=$D950,$E$1:$E949=E950),1),""Selecciona..""))"),"")</f>
        <v/>
      </c>
      <c r="H950" s="4" t="str">
        <f>IF(D950="","",COUNTIF(Productos!G:G,C950))</f>
        <v/>
      </c>
      <c r="J950" s="90"/>
    </row>
    <row r="951">
      <c r="A951" s="2" t="str">
        <f t="shared" si="1"/>
        <v/>
      </c>
      <c r="B951" s="4"/>
      <c r="C951" s="4"/>
      <c r="D951" s="3" t="str">
        <f t="shared" si="2"/>
        <v/>
      </c>
      <c r="E951" s="4"/>
      <c r="F951" s="2" t="str">
        <f>IFERROR(__xludf.DUMMYFUNCTION("IF(E951="""","""",IF(COUNTIFS(D$1:D950,D951,E$1:E950,E951)&gt;0,INDEX(filter(F$1:F950,D$1:D950=D951,E$1:E950=E951),1),""Selecciona..""))"),"")</f>
        <v/>
      </c>
      <c r="G951" s="2" t="str">
        <f>IFERROR(__xludf.DUMMYFUNCTION("IF($E951="""","""",IF(COUNTIFS($D$1:$D950,$D951,$E$1:$E950,$E951)&gt;0,INDEX(filter(G$1:G950,$D$1:$D950=$D951,$E$1:$E950=E951),1),""Selecciona..""))"),"")</f>
        <v/>
      </c>
      <c r="H951" s="4" t="str">
        <f>IF(D951="","",COUNTIF(Productos!G:G,C951))</f>
        <v/>
      </c>
      <c r="J951" s="90"/>
    </row>
    <row r="952">
      <c r="A952" s="2" t="str">
        <f t="shared" si="1"/>
        <v/>
      </c>
      <c r="B952" s="4"/>
      <c r="C952" s="4"/>
      <c r="D952" s="3" t="str">
        <f t="shared" si="2"/>
        <v/>
      </c>
      <c r="E952" s="4"/>
      <c r="F952" s="2" t="str">
        <f>IFERROR(__xludf.DUMMYFUNCTION("IF(E952="""","""",IF(COUNTIFS(D$1:D951,D952,E$1:E951,E952)&gt;0,INDEX(filter(F$1:F951,D$1:D951=D952,E$1:E951=E952),1),""Selecciona..""))"),"")</f>
        <v/>
      </c>
      <c r="G952" s="2" t="str">
        <f>IFERROR(__xludf.DUMMYFUNCTION("IF($E952="""","""",IF(COUNTIFS($D$1:$D951,$D952,$E$1:$E951,$E952)&gt;0,INDEX(filter(G$1:G951,$D$1:$D951=$D952,$E$1:$E951=E952),1),""Selecciona..""))"),"")</f>
        <v/>
      </c>
      <c r="H952" s="4" t="str">
        <f>IF(D952="","",COUNTIF(Productos!G:G,C952))</f>
        <v/>
      </c>
      <c r="J952" s="90"/>
    </row>
    <row r="953">
      <c r="A953" s="2" t="str">
        <f t="shared" si="1"/>
        <v/>
      </c>
      <c r="B953" s="4"/>
      <c r="C953" s="4"/>
      <c r="D953" s="3" t="str">
        <f t="shared" si="2"/>
        <v/>
      </c>
      <c r="E953" s="4"/>
      <c r="F953" s="2" t="str">
        <f>IFERROR(__xludf.DUMMYFUNCTION("IF(E953="""","""",IF(COUNTIFS(D$1:D952,D953,E$1:E952,E953)&gt;0,INDEX(filter(F$1:F952,D$1:D952=D953,E$1:E952=E953),1),""Selecciona..""))"),"")</f>
        <v/>
      </c>
      <c r="G953" s="2" t="str">
        <f>IFERROR(__xludf.DUMMYFUNCTION("IF($E953="""","""",IF(COUNTIFS($D$1:$D952,$D953,$E$1:$E952,$E953)&gt;0,INDEX(filter(G$1:G952,$D$1:$D952=$D953,$E$1:$E952=E953),1),""Selecciona..""))"),"")</f>
        <v/>
      </c>
      <c r="H953" s="4" t="str">
        <f>IF(D953="","",COUNTIF(Productos!G:G,C953))</f>
        <v/>
      </c>
      <c r="J953" s="90"/>
    </row>
    <row r="954">
      <c r="A954" s="2" t="str">
        <f t="shared" si="1"/>
        <v/>
      </c>
      <c r="B954" s="4"/>
      <c r="C954" s="4"/>
      <c r="D954" s="3" t="str">
        <f t="shared" si="2"/>
        <v/>
      </c>
      <c r="E954" s="4"/>
      <c r="F954" s="2" t="str">
        <f>IFERROR(__xludf.DUMMYFUNCTION("IF(E954="""","""",IF(COUNTIFS(D$1:D953,D954,E$1:E953,E954)&gt;0,INDEX(filter(F$1:F953,D$1:D953=D954,E$1:E953=E954),1),""Selecciona..""))"),"")</f>
        <v/>
      </c>
      <c r="G954" s="2" t="str">
        <f>IFERROR(__xludf.DUMMYFUNCTION("IF($E954="""","""",IF(COUNTIFS($D$1:$D953,$D954,$E$1:$E953,$E954)&gt;0,INDEX(filter(G$1:G953,$D$1:$D953=$D954,$E$1:$E953=E954),1),""Selecciona..""))"),"")</f>
        <v/>
      </c>
      <c r="H954" s="4" t="str">
        <f>IF(D954="","",COUNTIF(Productos!G:G,C954))</f>
        <v/>
      </c>
      <c r="J954" s="90"/>
    </row>
    <row r="955">
      <c r="A955" s="2" t="str">
        <f t="shared" si="1"/>
        <v/>
      </c>
      <c r="B955" s="4"/>
      <c r="C955" s="4"/>
      <c r="D955" s="3" t="str">
        <f t="shared" si="2"/>
        <v/>
      </c>
      <c r="E955" s="4"/>
      <c r="F955" s="2" t="str">
        <f>IFERROR(__xludf.DUMMYFUNCTION("IF(E955="""","""",IF(COUNTIFS(D$1:D954,D955,E$1:E954,E955)&gt;0,INDEX(filter(F$1:F954,D$1:D954=D955,E$1:E954=E955),1),""Selecciona..""))"),"")</f>
        <v/>
      </c>
      <c r="G955" s="2" t="str">
        <f>IFERROR(__xludf.DUMMYFUNCTION("IF($E955="""","""",IF(COUNTIFS($D$1:$D954,$D955,$E$1:$E954,$E955)&gt;0,INDEX(filter(G$1:G954,$D$1:$D954=$D955,$E$1:$E954=E955),1),""Selecciona..""))"),"")</f>
        <v/>
      </c>
      <c r="H955" s="4" t="str">
        <f>IF(D955="","",COUNTIF(Productos!G:G,C955))</f>
        <v/>
      </c>
      <c r="J955" s="90"/>
    </row>
    <row r="956">
      <c r="A956" s="2" t="str">
        <f t="shared" si="1"/>
        <v/>
      </c>
      <c r="B956" s="4"/>
      <c r="C956" s="4"/>
      <c r="D956" s="3" t="str">
        <f t="shared" si="2"/>
        <v/>
      </c>
      <c r="E956" s="4"/>
      <c r="F956" s="2" t="str">
        <f>IFERROR(__xludf.DUMMYFUNCTION("IF(E956="""","""",IF(COUNTIFS(D$1:D955,D956,E$1:E955,E956)&gt;0,INDEX(filter(F$1:F955,D$1:D955=D956,E$1:E955=E956),1),""Selecciona..""))"),"")</f>
        <v/>
      </c>
      <c r="G956" s="2" t="str">
        <f>IFERROR(__xludf.DUMMYFUNCTION("IF($E956="""","""",IF(COUNTIFS($D$1:$D955,$D956,$E$1:$E955,$E956)&gt;0,INDEX(filter(G$1:G955,$D$1:$D955=$D956,$E$1:$E955=E956),1),""Selecciona..""))"),"")</f>
        <v/>
      </c>
      <c r="H956" s="4" t="str">
        <f>IF(D956="","",COUNTIF(Productos!G:G,C956))</f>
        <v/>
      </c>
      <c r="J956" s="90"/>
    </row>
    <row r="957">
      <c r="A957" s="2" t="str">
        <f t="shared" si="1"/>
        <v/>
      </c>
      <c r="B957" s="4"/>
      <c r="C957" s="4"/>
      <c r="D957" s="3" t="str">
        <f t="shared" si="2"/>
        <v/>
      </c>
      <c r="E957" s="4"/>
      <c r="F957" s="2" t="str">
        <f>IFERROR(__xludf.DUMMYFUNCTION("IF(E957="""","""",IF(COUNTIFS(D$1:D956,D957,E$1:E956,E957)&gt;0,INDEX(filter(F$1:F956,D$1:D956=D957,E$1:E956=E957),1),""Selecciona..""))"),"")</f>
        <v/>
      </c>
      <c r="G957" s="2" t="str">
        <f>IFERROR(__xludf.DUMMYFUNCTION("IF($E957="""","""",IF(COUNTIFS($D$1:$D956,$D957,$E$1:$E956,$E957)&gt;0,INDEX(filter(G$1:G956,$D$1:$D956=$D957,$E$1:$E956=E957),1),""Selecciona..""))"),"")</f>
        <v/>
      </c>
      <c r="H957" s="4" t="str">
        <f>IF(D957="","",COUNTIF(Productos!G:G,C957))</f>
        <v/>
      </c>
      <c r="J957" s="90"/>
    </row>
    <row r="958">
      <c r="A958" s="2" t="str">
        <f t="shared" si="1"/>
        <v/>
      </c>
      <c r="B958" s="4"/>
      <c r="C958" s="4"/>
      <c r="D958" s="3" t="str">
        <f t="shared" si="2"/>
        <v/>
      </c>
      <c r="E958" s="4"/>
      <c r="F958" s="2" t="str">
        <f>IFERROR(__xludf.DUMMYFUNCTION("IF(E958="""","""",IF(COUNTIFS(D$1:D957,D958,E$1:E957,E958)&gt;0,INDEX(filter(F$1:F957,D$1:D957=D958,E$1:E957=E958),1),""Selecciona..""))"),"")</f>
        <v/>
      </c>
      <c r="G958" s="2" t="str">
        <f>IFERROR(__xludf.DUMMYFUNCTION("IF($E958="""","""",IF(COUNTIFS($D$1:$D957,$D958,$E$1:$E957,$E958)&gt;0,INDEX(filter(G$1:G957,$D$1:$D957=$D958,$E$1:$E957=E958),1),""Selecciona..""))"),"")</f>
        <v/>
      </c>
      <c r="H958" s="4" t="str">
        <f>IF(D958="","",COUNTIF(Productos!G:G,C958))</f>
        <v/>
      </c>
      <c r="J958" s="90"/>
    </row>
    <row r="959">
      <c r="A959" s="2" t="str">
        <f t="shared" si="1"/>
        <v/>
      </c>
      <c r="B959" s="4"/>
      <c r="C959" s="4"/>
      <c r="D959" s="3" t="str">
        <f t="shared" si="2"/>
        <v/>
      </c>
      <c r="E959" s="4"/>
      <c r="F959" s="2" t="str">
        <f>IFERROR(__xludf.DUMMYFUNCTION("IF(E959="""","""",IF(COUNTIFS(D$1:D958,D959,E$1:E958,E959)&gt;0,INDEX(filter(F$1:F958,D$1:D958=D959,E$1:E958=E959),1),""Selecciona..""))"),"")</f>
        <v/>
      </c>
      <c r="G959" s="2" t="str">
        <f>IFERROR(__xludf.DUMMYFUNCTION("IF($E959="""","""",IF(COUNTIFS($D$1:$D958,$D959,$E$1:$E958,$E959)&gt;0,INDEX(filter(G$1:G958,$D$1:$D958=$D959,$E$1:$E958=E959),1),""Selecciona..""))"),"")</f>
        <v/>
      </c>
      <c r="H959" s="4" t="str">
        <f>IF(D959="","",COUNTIF(Productos!G:G,C959))</f>
        <v/>
      </c>
      <c r="J959" s="90"/>
    </row>
    <row r="960">
      <c r="A960" s="2" t="str">
        <f t="shared" si="1"/>
        <v/>
      </c>
      <c r="B960" s="4"/>
      <c r="C960" s="4"/>
      <c r="D960" s="3" t="str">
        <f t="shared" si="2"/>
        <v/>
      </c>
      <c r="E960" s="4"/>
      <c r="F960" s="2" t="str">
        <f>IFERROR(__xludf.DUMMYFUNCTION("IF(E960="""","""",IF(COUNTIFS(D$1:D959,D960,E$1:E959,E960)&gt;0,INDEX(filter(F$1:F959,D$1:D959=D960,E$1:E959=E960),1),""Selecciona..""))"),"")</f>
        <v/>
      </c>
      <c r="G960" s="2" t="str">
        <f>IFERROR(__xludf.DUMMYFUNCTION("IF($E960="""","""",IF(COUNTIFS($D$1:$D959,$D960,$E$1:$E959,$E960)&gt;0,INDEX(filter(G$1:G959,$D$1:$D959=$D960,$E$1:$E959=E960),1),""Selecciona..""))"),"")</f>
        <v/>
      </c>
      <c r="H960" s="4" t="str">
        <f>IF(D960="","",COUNTIF(Productos!G:G,C960))</f>
        <v/>
      </c>
      <c r="J960" s="90"/>
    </row>
    <row r="961">
      <c r="A961" s="2" t="str">
        <f t="shared" si="1"/>
        <v/>
      </c>
      <c r="B961" s="4"/>
      <c r="C961" s="4"/>
      <c r="D961" s="3" t="str">
        <f t="shared" si="2"/>
        <v/>
      </c>
      <c r="E961" s="4"/>
      <c r="F961" s="2" t="str">
        <f>IFERROR(__xludf.DUMMYFUNCTION("IF(E961="""","""",IF(COUNTIFS(D$1:D960,D961,E$1:E960,E961)&gt;0,INDEX(filter(F$1:F960,D$1:D960=D961,E$1:E960=E961),1),""Selecciona..""))"),"")</f>
        <v/>
      </c>
      <c r="G961" s="2" t="str">
        <f>IFERROR(__xludf.DUMMYFUNCTION("IF($E961="""","""",IF(COUNTIFS($D$1:$D960,$D961,$E$1:$E960,$E961)&gt;0,INDEX(filter(G$1:G960,$D$1:$D960=$D961,$E$1:$E960=E961),1),""Selecciona..""))"),"")</f>
        <v/>
      </c>
      <c r="H961" s="4" t="str">
        <f>IF(D961="","",COUNTIF(Productos!G:G,C961))</f>
        <v/>
      </c>
      <c r="J961" s="90"/>
    </row>
    <row r="962">
      <c r="A962" s="2" t="str">
        <f t="shared" si="1"/>
        <v/>
      </c>
      <c r="B962" s="4"/>
      <c r="C962" s="4"/>
      <c r="D962" s="3" t="str">
        <f t="shared" si="2"/>
        <v/>
      </c>
      <c r="E962" s="4"/>
      <c r="F962" s="2" t="str">
        <f>IFERROR(__xludf.DUMMYFUNCTION("IF(E962="""","""",IF(COUNTIFS(D$1:D961,D962,E$1:E961,E962)&gt;0,INDEX(filter(F$1:F961,D$1:D961=D962,E$1:E961=E962),1),""Selecciona..""))"),"")</f>
        <v/>
      </c>
      <c r="G962" s="2" t="str">
        <f>IFERROR(__xludf.DUMMYFUNCTION("IF($E962="""","""",IF(COUNTIFS($D$1:$D961,$D962,$E$1:$E961,$E962)&gt;0,INDEX(filter(G$1:G961,$D$1:$D961=$D962,$E$1:$E961=E962),1),""Selecciona..""))"),"")</f>
        <v/>
      </c>
      <c r="H962" s="4" t="str">
        <f>IF(D962="","",COUNTIF(Productos!G:G,C962))</f>
        <v/>
      </c>
      <c r="J962" s="90"/>
    </row>
    <row r="963">
      <c r="A963" s="2" t="str">
        <f t="shared" si="1"/>
        <v/>
      </c>
      <c r="B963" s="4"/>
      <c r="C963" s="4"/>
      <c r="D963" s="3" t="str">
        <f t="shared" si="2"/>
        <v/>
      </c>
      <c r="E963" s="4"/>
      <c r="F963" s="2" t="str">
        <f>IFERROR(__xludf.DUMMYFUNCTION("IF(E963="""","""",IF(COUNTIFS(D$1:D962,D963,E$1:E962,E963)&gt;0,INDEX(filter(F$1:F962,D$1:D962=D963,E$1:E962=E963),1),""Selecciona..""))"),"")</f>
        <v/>
      </c>
      <c r="G963" s="2" t="str">
        <f>IFERROR(__xludf.DUMMYFUNCTION("IF($E963="""","""",IF(COUNTIFS($D$1:$D962,$D963,$E$1:$E962,$E963)&gt;0,INDEX(filter(G$1:G962,$D$1:$D962=$D963,$E$1:$E962=E963),1),""Selecciona..""))"),"")</f>
        <v/>
      </c>
      <c r="H963" s="4" t="str">
        <f>IF(D963="","",COUNTIF(Productos!G:G,C963))</f>
        <v/>
      </c>
      <c r="J963" s="90"/>
    </row>
    <row r="964">
      <c r="A964" s="2" t="str">
        <f t="shared" si="1"/>
        <v/>
      </c>
      <c r="B964" s="4"/>
      <c r="C964" s="4"/>
      <c r="D964" s="3" t="str">
        <f t="shared" si="2"/>
        <v/>
      </c>
      <c r="E964" s="4"/>
      <c r="F964" s="2" t="str">
        <f>IFERROR(__xludf.DUMMYFUNCTION("IF(E964="""","""",IF(COUNTIFS(D$1:D963,D964,E$1:E963,E964)&gt;0,INDEX(filter(F$1:F963,D$1:D963=D964,E$1:E963=E964),1),""Selecciona..""))"),"")</f>
        <v/>
      </c>
      <c r="G964" s="2" t="str">
        <f>IFERROR(__xludf.DUMMYFUNCTION("IF($E964="""","""",IF(COUNTIFS($D$1:$D963,$D964,$E$1:$E963,$E964)&gt;0,INDEX(filter(G$1:G963,$D$1:$D963=$D964,$E$1:$E963=E964),1),""Selecciona..""))"),"")</f>
        <v/>
      </c>
      <c r="H964" s="4" t="str">
        <f>IF(D964="","",COUNTIF(Productos!G:G,C964))</f>
        <v/>
      </c>
      <c r="J964" s="90"/>
    </row>
    <row r="965">
      <c r="A965" s="2" t="str">
        <f t="shared" si="1"/>
        <v/>
      </c>
      <c r="B965" s="4"/>
      <c r="C965" s="4"/>
      <c r="D965" s="3" t="str">
        <f t="shared" si="2"/>
        <v/>
      </c>
      <c r="E965" s="4"/>
      <c r="F965" s="2" t="str">
        <f>IFERROR(__xludf.DUMMYFUNCTION("IF(E965="""","""",IF(COUNTIFS(D$1:D964,D965,E$1:E964,E965)&gt;0,INDEX(filter(F$1:F964,D$1:D964=D965,E$1:E964=E965),1),""Selecciona..""))"),"")</f>
        <v/>
      </c>
      <c r="G965" s="2" t="str">
        <f>IFERROR(__xludf.DUMMYFUNCTION("IF($E965="""","""",IF(COUNTIFS($D$1:$D964,$D965,$E$1:$E964,$E965)&gt;0,INDEX(filter(G$1:G964,$D$1:$D964=$D965,$E$1:$E964=E965),1),""Selecciona..""))"),"")</f>
        <v/>
      </c>
      <c r="H965" s="4" t="str">
        <f>IF(D965="","",COUNTIF(Productos!G:G,C965))</f>
        <v/>
      </c>
      <c r="J965" s="90"/>
    </row>
    <row r="966">
      <c r="A966" s="2" t="str">
        <f t="shared" si="1"/>
        <v/>
      </c>
      <c r="B966" s="4"/>
      <c r="C966" s="4"/>
      <c r="D966" s="3" t="str">
        <f t="shared" si="2"/>
        <v/>
      </c>
      <c r="E966" s="4"/>
      <c r="F966" s="2" t="str">
        <f>IFERROR(__xludf.DUMMYFUNCTION("IF(E966="""","""",IF(COUNTIFS(D$1:D965,D966,E$1:E965,E966)&gt;0,INDEX(filter(F$1:F965,D$1:D965=D966,E$1:E965=E966),1),""Selecciona..""))"),"")</f>
        <v/>
      </c>
      <c r="G966" s="2" t="str">
        <f>IFERROR(__xludf.DUMMYFUNCTION("IF($E966="""","""",IF(COUNTIFS($D$1:$D965,$D966,$E$1:$E965,$E966)&gt;0,INDEX(filter(G$1:G965,$D$1:$D965=$D966,$E$1:$E965=E966),1),""Selecciona..""))"),"")</f>
        <v/>
      </c>
      <c r="H966" s="4" t="str">
        <f>IF(D966="","",COUNTIF(Productos!G:G,C966))</f>
        <v/>
      </c>
      <c r="J966" s="90"/>
    </row>
    <row r="967">
      <c r="A967" s="2" t="str">
        <f t="shared" si="1"/>
        <v/>
      </c>
      <c r="B967" s="4"/>
      <c r="C967" s="4"/>
      <c r="D967" s="3" t="str">
        <f t="shared" si="2"/>
        <v/>
      </c>
      <c r="E967" s="4"/>
      <c r="F967" s="2" t="str">
        <f>IFERROR(__xludf.DUMMYFUNCTION("IF(E967="""","""",IF(COUNTIFS(D$1:D966,D967,E$1:E966,E967)&gt;0,INDEX(filter(F$1:F966,D$1:D966=D967,E$1:E966=E967),1),""Selecciona..""))"),"")</f>
        <v/>
      </c>
      <c r="G967" s="2" t="str">
        <f>IFERROR(__xludf.DUMMYFUNCTION("IF($E967="""","""",IF(COUNTIFS($D$1:$D966,$D967,$E$1:$E966,$E967)&gt;0,INDEX(filter(G$1:G966,$D$1:$D966=$D967,$E$1:$E966=E967),1),""Selecciona..""))"),"")</f>
        <v/>
      </c>
      <c r="H967" s="4" t="str">
        <f>IF(D967="","",COUNTIF(Productos!G:G,C967))</f>
        <v/>
      </c>
      <c r="J967" s="90"/>
    </row>
    <row r="968">
      <c r="A968" s="2" t="str">
        <f t="shared" si="1"/>
        <v/>
      </c>
      <c r="B968" s="4"/>
      <c r="C968" s="4"/>
      <c r="D968" s="3" t="str">
        <f t="shared" si="2"/>
        <v/>
      </c>
      <c r="E968" s="4"/>
      <c r="F968" s="2" t="str">
        <f>IFERROR(__xludf.DUMMYFUNCTION("IF(E968="""","""",IF(COUNTIFS(D$1:D967,D968,E$1:E967,E968)&gt;0,INDEX(filter(F$1:F967,D$1:D967=D968,E$1:E967=E968),1),""Selecciona..""))"),"")</f>
        <v/>
      </c>
      <c r="G968" s="2" t="str">
        <f>IFERROR(__xludf.DUMMYFUNCTION("IF($E968="""","""",IF(COUNTIFS($D$1:$D967,$D968,$E$1:$E967,$E968)&gt;0,INDEX(filter(G$1:G967,$D$1:$D967=$D968,$E$1:$E967=E968),1),""Selecciona..""))"),"")</f>
        <v/>
      </c>
      <c r="H968" s="4" t="str">
        <f>IF(D968="","",COUNTIF(Productos!G:G,C968))</f>
        <v/>
      </c>
      <c r="J968" s="90"/>
    </row>
    <row r="969">
      <c r="A969" s="2" t="str">
        <f t="shared" si="1"/>
        <v/>
      </c>
      <c r="B969" s="4"/>
      <c r="C969" s="4"/>
      <c r="D969" s="3" t="str">
        <f t="shared" si="2"/>
        <v/>
      </c>
      <c r="E969" s="4"/>
      <c r="F969" s="2" t="str">
        <f>IFERROR(__xludf.DUMMYFUNCTION("IF(E969="""","""",IF(COUNTIFS(D$1:D968,D969,E$1:E968,E969)&gt;0,INDEX(filter(F$1:F968,D$1:D968=D969,E$1:E968=E969),1),""Selecciona..""))"),"")</f>
        <v/>
      </c>
      <c r="G969" s="2" t="str">
        <f>IFERROR(__xludf.DUMMYFUNCTION("IF($E969="""","""",IF(COUNTIFS($D$1:$D968,$D969,$E$1:$E968,$E969)&gt;0,INDEX(filter(G$1:G968,$D$1:$D968=$D969,$E$1:$E968=E969),1),""Selecciona..""))"),"")</f>
        <v/>
      </c>
      <c r="H969" s="4" t="str">
        <f>IF(D969="","",COUNTIF(Productos!G:G,C969))</f>
        <v/>
      </c>
      <c r="J969" s="90"/>
    </row>
    <row r="970">
      <c r="A970" s="2" t="str">
        <f t="shared" si="1"/>
        <v/>
      </c>
      <c r="B970" s="4"/>
      <c r="C970" s="4"/>
      <c r="D970" s="3" t="str">
        <f t="shared" si="2"/>
        <v/>
      </c>
      <c r="E970" s="4"/>
      <c r="F970" s="2" t="str">
        <f>IFERROR(__xludf.DUMMYFUNCTION("IF(E970="""","""",IF(COUNTIFS(D$1:D969,D970,E$1:E969,E970)&gt;0,INDEX(filter(F$1:F969,D$1:D969=D970,E$1:E969=E970),1),""Selecciona..""))"),"")</f>
        <v/>
      </c>
      <c r="G970" s="2" t="str">
        <f>IFERROR(__xludf.DUMMYFUNCTION("IF($E970="""","""",IF(COUNTIFS($D$1:$D969,$D970,$E$1:$E969,$E970)&gt;0,INDEX(filter(G$1:G969,$D$1:$D969=$D970,$E$1:$E969=E970),1),""Selecciona..""))"),"")</f>
        <v/>
      </c>
      <c r="H970" s="4" t="str">
        <f>IF(D970="","",COUNTIF(Productos!G:G,C970))</f>
        <v/>
      </c>
      <c r="J970" s="90"/>
    </row>
    <row r="971">
      <c r="A971" s="2" t="str">
        <f t="shared" si="1"/>
        <v/>
      </c>
      <c r="B971" s="4"/>
      <c r="C971" s="4"/>
      <c r="D971" s="3" t="str">
        <f t="shared" si="2"/>
        <v/>
      </c>
      <c r="E971" s="4"/>
      <c r="F971" s="2" t="str">
        <f>IFERROR(__xludf.DUMMYFUNCTION("IF(E971="""","""",IF(COUNTIFS(D$1:D970,D971,E$1:E970,E971)&gt;0,INDEX(filter(F$1:F970,D$1:D970=D971,E$1:E970=E971),1),""Selecciona..""))"),"")</f>
        <v/>
      </c>
      <c r="G971" s="2" t="str">
        <f>IFERROR(__xludf.DUMMYFUNCTION("IF($E971="""","""",IF(COUNTIFS($D$1:$D970,$D971,$E$1:$E970,$E971)&gt;0,INDEX(filter(G$1:G970,$D$1:$D970=$D971,$E$1:$E970=E971),1),""Selecciona..""))"),"")</f>
        <v/>
      </c>
      <c r="H971" s="4" t="str">
        <f>IF(D971="","",COUNTIF(Productos!G:G,C971))</f>
        <v/>
      </c>
      <c r="J971" s="90"/>
    </row>
    <row r="972">
      <c r="A972" s="2" t="str">
        <f t="shared" si="1"/>
        <v/>
      </c>
      <c r="B972" s="4"/>
      <c r="C972" s="4"/>
      <c r="D972" s="3" t="str">
        <f t="shared" si="2"/>
        <v/>
      </c>
      <c r="E972" s="4"/>
      <c r="F972" s="2" t="str">
        <f>IFERROR(__xludf.DUMMYFUNCTION("IF(E972="""","""",IF(COUNTIFS(D$1:D971,D972,E$1:E971,E972)&gt;0,INDEX(filter(F$1:F971,D$1:D971=D972,E$1:E971=E972),1),""Selecciona..""))"),"")</f>
        <v/>
      </c>
      <c r="G972" s="2" t="str">
        <f>IFERROR(__xludf.DUMMYFUNCTION("IF($E972="""","""",IF(COUNTIFS($D$1:$D971,$D972,$E$1:$E971,$E972)&gt;0,INDEX(filter(G$1:G971,$D$1:$D971=$D972,$E$1:$E971=E972),1),""Selecciona..""))"),"")</f>
        <v/>
      </c>
      <c r="H972" s="4" t="str">
        <f>IF(D972="","",COUNTIF(Productos!G:G,C972))</f>
        <v/>
      </c>
      <c r="J972" s="90"/>
    </row>
    <row r="973">
      <c r="A973" s="2" t="str">
        <f t="shared" si="1"/>
        <v/>
      </c>
      <c r="B973" s="4"/>
      <c r="C973" s="4"/>
      <c r="D973" s="3" t="str">
        <f t="shared" si="2"/>
        <v/>
      </c>
      <c r="E973" s="4"/>
      <c r="F973" s="2" t="str">
        <f>IFERROR(__xludf.DUMMYFUNCTION("IF(E973="""","""",IF(COUNTIFS(D$1:D972,D973,E$1:E972,E973)&gt;0,INDEX(filter(F$1:F972,D$1:D972=D973,E$1:E972=E973),1),""Selecciona..""))"),"")</f>
        <v/>
      </c>
      <c r="G973" s="2" t="str">
        <f>IFERROR(__xludf.DUMMYFUNCTION("IF($E973="""","""",IF(COUNTIFS($D$1:$D972,$D973,$E$1:$E972,$E973)&gt;0,INDEX(filter(G$1:G972,$D$1:$D972=$D973,$E$1:$E972=E973),1),""Selecciona..""))"),"")</f>
        <v/>
      </c>
      <c r="H973" s="4" t="str">
        <f>IF(D973="","",COUNTIF(Productos!G:G,C973))</f>
        <v/>
      </c>
      <c r="J973" s="90"/>
    </row>
    <row r="974">
      <c r="A974" s="2" t="str">
        <f t="shared" si="1"/>
        <v/>
      </c>
      <c r="B974" s="4"/>
      <c r="C974" s="4"/>
      <c r="D974" s="3" t="str">
        <f t="shared" si="2"/>
        <v/>
      </c>
      <c r="E974" s="4"/>
      <c r="F974" s="2" t="str">
        <f>IFERROR(__xludf.DUMMYFUNCTION("IF(E974="""","""",IF(COUNTIFS(D$1:D973,D974,E$1:E973,E974)&gt;0,INDEX(filter(F$1:F973,D$1:D973=D974,E$1:E973=E974),1),""Selecciona..""))"),"")</f>
        <v/>
      </c>
      <c r="G974" s="2" t="str">
        <f>IFERROR(__xludf.DUMMYFUNCTION("IF($E974="""","""",IF(COUNTIFS($D$1:$D973,$D974,$E$1:$E973,$E974)&gt;0,INDEX(filter(G$1:G973,$D$1:$D973=$D974,$E$1:$E973=E974),1),""Selecciona..""))"),"")</f>
        <v/>
      </c>
      <c r="H974" s="4" t="str">
        <f>IF(D974="","",COUNTIF(Productos!G:G,C974))</f>
        <v/>
      </c>
      <c r="J974" s="90"/>
    </row>
    <row r="975">
      <c r="A975" s="2" t="str">
        <f t="shared" si="1"/>
        <v/>
      </c>
      <c r="B975" s="4"/>
      <c r="C975" s="4"/>
      <c r="D975" s="3" t="str">
        <f t="shared" si="2"/>
        <v/>
      </c>
      <c r="E975" s="4"/>
      <c r="F975" s="2" t="str">
        <f>IFERROR(__xludf.DUMMYFUNCTION("IF(E975="""","""",IF(COUNTIFS(D$1:D974,D975,E$1:E974,E975)&gt;0,INDEX(filter(F$1:F974,D$1:D974=D975,E$1:E974=E975),1),""Selecciona..""))"),"")</f>
        <v/>
      </c>
      <c r="G975" s="2" t="str">
        <f>IFERROR(__xludf.DUMMYFUNCTION("IF($E975="""","""",IF(COUNTIFS($D$1:$D974,$D975,$E$1:$E974,$E975)&gt;0,INDEX(filter(G$1:G974,$D$1:$D974=$D975,$E$1:$E974=E975),1),""Selecciona..""))"),"")</f>
        <v/>
      </c>
      <c r="H975" s="4" t="str">
        <f>IF(D975="","",COUNTIF(Productos!G:G,C975))</f>
        <v/>
      </c>
      <c r="J975" s="90"/>
    </row>
    <row r="976">
      <c r="A976" s="2" t="str">
        <f t="shared" si="1"/>
        <v/>
      </c>
      <c r="B976" s="4"/>
      <c r="C976" s="4"/>
      <c r="D976" s="3" t="str">
        <f t="shared" si="2"/>
        <v/>
      </c>
      <c r="E976" s="4"/>
      <c r="F976" s="2" t="str">
        <f>IFERROR(__xludf.DUMMYFUNCTION("IF(E976="""","""",IF(COUNTIFS(D$1:D975,D976,E$1:E975,E976)&gt;0,INDEX(filter(F$1:F975,D$1:D975=D976,E$1:E975=E976),1),""Selecciona..""))"),"")</f>
        <v/>
      </c>
      <c r="G976" s="2" t="str">
        <f>IFERROR(__xludf.DUMMYFUNCTION("IF($E976="""","""",IF(COUNTIFS($D$1:$D975,$D976,$E$1:$E975,$E976)&gt;0,INDEX(filter(G$1:G975,$D$1:$D975=$D976,$E$1:$E975=E976),1),""Selecciona..""))"),"")</f>
        <v/>
      </c>
      <c r="H976" s="4" t="str">
        <f>IF(D976="","",COUNTIF(Productos!G:G,C976))</f>
        <v/>
      </c>
      <c r="J976" s="90"/>
    </row>
    <row r="977">
      <c r="A977" s="2" t="str">
        <f t="shared" si="1"/>
        <v/>
      </c>
      <c r="B977" s="4"/>
      <c r="C977" s="4"/>
      <c r="D977" s="3" t="str">
        <f t="shared" si="2"/>
        <v/>
      </c>
      <c r="E977" s="4"/>
      <c r="F977" s="2" t="str">
        <f>IFERROR(__xludf.DUMMYFUNCTION("IF(E977="""","""",IF(COUNTIFS(D$1:D976,D977,E$1:E976,E977)&gt;0,INDEX(filter(F$1:F976,D$1:D976=D977,E$1:E976=E977),1),""Selecciona..""))"),"")</f>
        <v/>
      </c>
      <c r="G977" s="2" t="str">
        <f>IFERROR(__xludf.DUMMYFUNCTION("IF($E977="""","""",IF(COUNTIFS($D$1:$D976,$D977,$E$1:$E976,$E977)&gt;0,INDEX(filter(G$1:G976,$D$1:$D976=$D977,$E$1:$E976=E977),1),""Selecciona..""))"),"")</f>
        <v/>
      </c>
      <c r="H977" s="4" t="str">
        <f>IF(D977="","",COUNTIF(Productos!G:G,C977))</f>
        <v/>
      </c>
      <c r="J977" s="90"/>
    </row>
    <row r="978">
      <c r="A978" s="2" t="str">
        <f t="shared" si="1"/>
        <v/>
      </c>
      <c r="B978" s="4"/>
      <c r="C978" s="4"/>
      <c r="D978" s="3" t="str">
        <f t="shared" si="2"/>
        <v/>
      </c>
      <c r="E978" s="4"/>
      <c r="F978" s="2" t="str">
        <f>IFERROR(__xludf.DUMMYFUNCTION("IF(E978="""","""",IF(COUNTIFS(D$1:D977,D978,E$1:E977,E978)&gt;0,INDEX(filter(F$1:F977,D$1:D977=D978,E$1:E977=E978),1),""Selecciona..""))"),"")</f>
        <v/>
      </c>
      <c r="G978" s="2" t="str">
        <f>IFERROR(__xludf.DUMMYFUNCTION("IF($E978="""","""",IF(COUNTIFS($D$1:$D977,$D978,$E$1:$E977,$E978)&gt;0,INDEX(filter(G$1:G977,$D$1:$D977=$D978,$E$1:$E977=E978),1),""Selecciona..""))"),"")</f>
        <v/>
      </c>
      <c r="H978" s="4" t="str">
        <f>IF(D978="","",COUNTIF(Productos!G:G,C978))</f>
        <v/>
      </c>
      <c r="J978" s="90"/>
    </row>
    <row r="979">
      <c r="A979" s="2" t="str">
        <f t="shared" si="1"/>
        <v/>
      </c>
      <c r="B979" s="4"/>
      <c r="C979" s="4"/>
      <c r="D979" s="3" t="str">
        <f t="shared" si="2"/>
        <v/>
      </c>
      <c r="E979" s="4"/>
      <c r="F979" s="2" t="str">
        <f>IFERROR(__xludf.DUMMYFUNCTION("IF(E979="""","""",IF(COUNTIFS(D$1:D978,D979,E$1:E978,E979)&gt;0,INDEX(filter(F$1:F978,D$1:D978=D979,E$1:E978=E979),1),""Selecciona..""))"),"")</f>
        <v/>
      </c>
      <c r="G979" s="2" t="str">
        <f>IFERROR(__xludf.DUMMYFUNCTION("IF($E979="""","""",IF(COUNTIFS($D$1:$D978,$D979,$E$1:$E978,$E979)&gt;0,INDEX(filter(G$1:G978,$D$1:$D978=$D979,$E$1:$E978=E979),1),""Selecciona..""))"),"")</f>
        <v/>
      </c>
      <c r="H979" s="4" t="str">
        <f>IF(D979="","",COUNTIF(Productos!G:G,C979))</f>
        <v/>
      </c>
      <c r="J979" s="90"/>
    </row>
    <row r="980">
      <c r="A980" s="2" t="str">
        <f t="shared" si="1"/>
        <v/>
      </c>
      <c r="B980" s="4"/>
      <c r="C980" s="4"/>
      <c r="D980" s="3" t="str">
        <f t="shared" si="2"/>
        <v/>
      </c>
      <c r="E980" s="4"/>
      <c r="F980" s="2" t="str">
        <f>IFERROR(__xludf.DUMMYFUNCTION("IF(E980="""","""",IF(COUNTIFS(D$1:D979,D980,E$1:E979,E980)&gt;0,INDEX(filter(F$1:F979,D$1:D979=D980,E$1:E979=E980),1),""Selecciona..""))"),"")</f>
        <v/>
      </c>
      <c r="G980" s="2" t="str">
        <f>IFERROR(__xludf.DUMMYFUNCTION("IF($E980="""","""",IF(COUNTIFS($D$1:$D979,$D980,$E$1:$E979,$E980)&gt;0,INDEX(filter(G$1:G979,$D$1:$D979=$D980,$E$1:$E979=E980),1),""Selecciona..""))"),"")</f>
        <v/>
      </c>
      <c r="H980" s="4" t="str">
        <f>IF(D980="","",COUNTIF(Productos!G:G,C980))</f>
        <v/>
      </c>
      <c r="J980" s="90"/>
    </row>
    <row r="981">
      <c r="A981" s="2" t="str">
        <f t="shared" si="1"/>
        <v/>
      </c>
      <c r="B981" s="4"/>
      <c r="C981" s="4"/>
      <c r="D981" s="3" t="str">
        <f t="shared" si="2"/>
        <v/>
      </c>
      <c r="E981" s="4"/>
      <c r="F981" s="2" t="str">
        <f>IFERROR(__xludf.DUMMYFUNCTION("IF(E981="""","""",IF(COUNTIFS(D$1:D980,D981,E$1:E980,E981)&gt;0,INDEX(filter(F$1:F980,D$1:D980=D981,E$1:E980=E981),1),""Selecciona..""))"),"")</f>
        <v/>
      </c>
      <c r="G981" s="2" t="str">
        <f>IFERROR(__xludf.DUMMYFUNCTION("IF($E981="""","""",IF(COUNTIFS($D$1:$D980,$D981,$E$1:$E980,$E981)&gt;0,INDEX(filter(G$1:G980,$D$1:$D980=$D981,$E$1:$E980=E981),1),""Selecciona..""))"),"")</f>
        <v/>
      </c>
      <c r="H981" s="4" t="str">
        <f>IF(D981="","",COUNTIF(Productos!G:G,C981))</f>
        <v/>
      </c>
      <c r="J981" s="90"/>
    </row>
    <row r="982">
      <c r="A982" s="2" t="str">
        <f t="shared" si="1"/>
        <v/>
      </c>
      <c r="B982" s="4"/>
      <c r="C982" s="4"/>
      <c r="D982" s="3" t="str">
        <f t="shared" si="2"/>
        <v/>
      </c>
      <c r="E982" s="4"/>
      <c r="F982" s="2" t="str">
        <f>IFERROR(__xludf.DUMMYFUNCTION("IF(E982="""","""",IF(COUNTIFS(D$1:D981,D982,E$1:E981,E982)&gt;0,INDEX(filter(F$1:F981,D$1:D981=D982,E$1:E981=E982),1),""Selecciona..""))"),"")</f>
        <v/>
      </c>
      <c r="G982" s="2" t="str">
        <f>IFERROR(__xludf.DUMMYFUNCTION("IF($E982="""","""",IF(COUNTIFS($D$1:$D981,$D982,$E$1:$E981,$E982)&gt;0,INDEX(filter(G$1:G981,$D$1:$D981=$D982,$E$1:$E981=E982),1),""Selecciona..""))"),"")</f>
        <v/>
      </c>
      <c r="H982" s="4" t="str">
        <f>IF(D982="","",COUNTIF(Productos!G:G,C982))</f>
        <v/>
      </c>
      <c r="J982" s="90"/>
    </row>
    <row r="983">
      <c r="A983" s="2" t="str">
        <f t="shared" si="1"/>
        <v/>
      </c>
      <c r="B983" s="4"/>
      <c r="C983" s="4"/>
      <c r="D983" s="3" t="str">
        <f t="shared" si="2"/>
        <v/>
      </c>
      <c r="E983" s="4"/>
      <c r="F983" s="2" t="str">
        <f>IFERROR(__xludf.DUMMYFUNCTION("IF(E983="""","""",IF(COUNTIFS(D$1:D982,D983,E$1:E982,E983)&gt;0,INDEX(filter(F$1:F982,D$1:D982=D983,E$1:E982=E983),1),""Selecciona..""))"),"")</f>
        <v/>
      </c>
      <c r="G983" s="2" t="str">
        <f>IFERROR(__xludf.DUMMYFUNCTION("IF($E983="""","""",IF(COUNTIFS($D$1:$D982,$D983,$E$1:$E982,$E983)&gt;0,INDEX(filter(G$1:G982,$D$1:$D982=$D983,$E$1:$E982=E983),1),""Selecciona..""))"),"")</f>
        <v/>
      </c>
      <c r="H983" s="4" t="str">
        <f>IF(D983="","",COUNTIF(Productos!G:G,C983))</f>
        <v/>
      </c>
      <c r="J983" s="90"/>
    </row>
    <row r="984">
      <c r="A984" s="2" t="str">
        <f t="shared" si="1"/>
        <v/>
      </c>
      <c r="B984" s="4"/>
      <c r="C984" s="4"/>
      <c r="D984" s="3" t="str">
        <f t="shared" si="2"/>
        <v/>
      </c>
      <c r="E984" s="4"/>
      <c r="F984" s="2" t="str">
        <f>IFERROR(__xludf.DUMMYFUNCTION("IF(E984="""","""",IF(COUNTIFS(D$1:D983,D984,E$1:E983,E984)&gt;0,INDEX(filter(F$1:F983,D$1:D983=D984,E$1:E983=E984),1),""Selecciona..""))"),"")</f>
        <v/>
      </c>
      <c r="G984" s="2" t="str">
        <f>IFERROR(__xludf.DUMMYFUNCTION("IF($E984="""","""",IF(COUNTIFS($D$1:$D983,$D984,$E$1:$E983,$E984)&gt;0,INDEX(filter(G$1:G983,$D$1:$D983=$D984,$E$1:$E983=E984),1),""Selecciona..""))"),"")</f>
        <v/>
      </c>
      <c r="H984" s="4" t="str">
        <f>IF(D984="","",COUNTIF(Productos!G:G,C984))</f>
        <v/>
      </c>
      <c r="J984" s="90"/>
    </row>
    <row r="985">
      <c r="A985" s="2" t="str">
        <f t="shared" si="1"/>
        <v/>
      </c>
      <c r="B985" s="4"/>
      <c r="C985" s="4"/>
      <c r="D985" s="3" t="str">
        <f t="shared" si="2"/>
        <v/>
      </c>
      <c r="E985" s="4"/>
      <c r="F985" s="2" t="str">
        <f>IFERROR(__xludf.DUMMYFUNCTION("IF(E985="""","""",IF(COUNTIFS(D$1:D984,D985,E$1:E984,E985)&gt;0,INDEX(filter(F$1:F984,D$1:D984=D985,E$1:E984=E985),1),""Selecciona..""))"),"")</f>
        <v/>
      </c>
      <c r="G985" s="2" t="str">
        <f>IFERROR(__xludf.DUMMYFUNCTION("IF($E985="""","""",IF(COUNTIFS($D$1:$D984,$D985,$E$1:$E984,$E985)&gt;0,INDEX(filter(G$1:G984,$D$1:$D984=$D985,$E$1:$E984=E985),1),""Selecciona..""))"),"")</f>
        <v/>
      </c>
      <c r="H985" s="4" t="str">
        <f>IF(D985="","",COUNTIF(Productos!G:G,C985))</f>
        <v/>
      </c>
      <c r="J985" s="90"/>
    </row>
    <row r="986">
      <c r="A986" s="2" t="str">
        <f t="shared" si="1"/>
        <v/>
      </c>
      <c r="B986" s="4"/>
      <c r="C986" s="4"/>
      <c r="D986" s="3" t="str">
        <f t="shared" si="2"/>
        <v/>
      </c>
      <c r="E986" s="4"/>
      <c r="F986" s="2" t="str">
        <f>IFERROR(__xludf.DUMMYFUNCTION("IF(E986="""","""",IF(COUNTIFS(D$1:D985,D986,E$1:E985,E986)&gt;0,INDEX(filter(F$1:F985,D$1:D985=D986,E$1:E985=E986),1),""Selecciona..""))"),"")</f>
        <v/>
      </c>
      <c r="G986" s="2" t="str">
        <f>IFERROR(__xludf.DUMMYFUNCTION("IF($E986="""","""",IF(COUNTIFS($D$1:$D985,$D986,$E$1:$E985,$E986)&gt;0,INDEX(filter(G$1:G985,$D$1:$D985=$D986,$E$1:$E985=E986),1),""Selecciona..""))"),"")</f>
        <v/>
      </c>
      <c r="H986" s="4" t="str">
        <f>IF(D986="","",COUNTIF(Productos!G:G,C986))</f>
        <v/>
      </c>
      <c r="J986" s="90"/>
    </row>
    <row r="987">
      <c r="A987" s="2" t="str">
        <f t="shared" si="1"/>
        <v/>
      </c>
      <c r="B987" s="4"/>
      <c r="C987" s="4"/>
      <c r="D987" s="3" t="str">
        <f t="shared" si="2"/>
        <v/>
      </c>
      <c r="E987" s="4"/>
      <c r="F987" s="2" t="str">
        <f>IFERROR(__xludf.DUMMYFUNCTION("IF(E987="""","""",IF(COUNTIFS(D$1:D986,D987,E$1:E986,E987)&gt;0,INDEX(filter(F$1:F986,D$1:D986=D987,E$1:E986=E987),1),""Selecciona..""))"),"")</f>
        <v/>
      </c>
      <c r="G987" s="2" t="str">
        <f>IFERROR(__xludf.DUMMYFUNCTION("IF($E987="""","""",IF(COUNTIFS($D$1:$D986,$D987,$E$1:$E986,$E987)&gt;0,INDEX(filter(G$1:G986,$D$1:$D986=$D987,$E$1:$E986=E987),1),""Selecciona..""))"),"")</f>
        <v/>
      </c>
      <c r="H987" s="4" t="str">
        <f>IF(D987="","",COUNTIF(Productos!G:G,C987))</f>
        <v/>
      </c>
      <c r="J987" s="90"/>
    </row>
    <row r="988">
      <c r="A988" s="2" t="str">
        <f t="shared" si="1"/>
        <v/>
      </c>
      <c r="B988" s="4"/>
      <c r="C988" s="4"/>
      <c r="D988" s="3" t="str">
        <f t="shared" si="2"/>
        <v/>
      </c>
      <c r="E988" s="4"/>
      <c r="F988" s="2" t="str">
        <f>IFERROR(__xludf.DUMMYFUNCTION("IF(E988="""","""",IF(COUNTIFS(D$1:D987,D988,E$1:E987,E988)&gt;0,INDEX(filter(F$1:F987,D$1:D987=D988,E$1:E987=E988),1),""Selecciona..""))"),"")</f>
        <v/>
      </c>
      <c r="G988" s="2" t="str">
        <f>IFERROR(__xludf.DUMMYFUNCTION("IF($E988="""","""",IF(COUNTIFS($D$1:$D987,$D988,$E$1:$E987,$E988)&gt;0,INDEX(filter(G$1:G987,$D$1:$D987=$D988,$E$1:$E987=E988),1),""Selecciona..""))"),"")</f>
        <v/>
      </c>
      <c r="H988" s="4" t="str">
        <f>IF(D988="","",COUNTIF(Productos!G:G,C988))</f>
        <v/>
      </c>
      <c r="J988" s="90"/>
    </row>
    <row r="989">
      <c r="A989" s="2" t="str">
        <f t="shared" si="1"/>
        <v/>
      </c>
      <c r="B989" s="4"/>
      <c r="C989" s="4"/>
      <c r="D989" s="3" t="str">
        <f t="shared" si="2"/>
        <v/>
      </c>
      <c r="E989" s="4"/>
      <c r="F989" s="2" t="str">
        <f>IFERROR(__xludf.DUMMYFUNCTION("IF(E989="""","""",IF(COUNTIFS(D$1:D988,D989,E$1:E988,E989)&gt;0,INDEX(filter(F$1:F988,D$1:D988=D989,E$1:E988=E989),1),""Selecciona..""))"),"")</f>
        <v/>
      </c>
      <c r="G989" s="2" t="str">
        <f>IFERROR(__xludf.DUMMYFUNCTION("IF($E989="""","""",IF(COUNTIFS($D$1:$D988,$D989,$E$1:$E988,$E989)&gt;0,INDEX(filter(G$1:G988,$D$1:$D988=$D989,$E$1:$E988=E989),1),""Selecciona..""))"),"")</f>
        <v/>
      </c>
      <c r="H989" s="4" t="str">
        <f>IF(D989="","",COUNTIF(Productos!G:G,C989))</f>
        <v/>
      </c>
      <c r="J989" s="90"/>
    </row>
    <row r="990">
      <c r="A990" s="2" t="str">
        <f t="shared" si="1"/>
        <v/>
      </c>
      <c r="B990" s="4"/>
      <c r="C990" s="4"/>
      <c r="D990" s="3" t="str">
        <f t="shared" si="2"/>
        <v/>
      </c>
      <c r="E990" s="4"/>
      <c r="F990" s="2" t="str">
        <f>IFERROR(__xludf.DUMMYFUNCTION("IF(E990="""","""",IF(COUNTIFS(D$1:D989,D990,E$1:E989,E990)&gt;0,INDEX(filter(F$1:F989,D$1:D989=D990,E$1:E989=E990),1),""Selecciona..""))"),"")</f>
        <v/>
      </c>
      <c r="G990" s="2" t="str">
        <f>IFERROR(__xludf.DUMMYFUNCTION("IF($E990="""","""",IF(COUNTIFS($D$1:$D989,$D990,$E$1:$E989,$E990)&gt;0,INDEX(filter(G$1:G989,$D$1:$D989=$D990,$E$1:$E989=E990),1),""Selecciona..""))"),"")</f>
        <v/>
      </c>
      <c r="H990" s="4" t="str">
        <f>IF(D990="","",COUNTIF(Productos!G:G,C990))</f>
        <v/>
      </c>
      <c r="J990" s="90"/>
    </row>
    <row r="991">
      <c r="A991" s="2" t="str">
        <f t="shared" si="1"/>
        <v/>
      </c>
      <c r="B991" s="4"/>
      <c r="C991" s="4"/>
      <c r="D991" s="3" t="str">
        <f t="shared" si="2"/>
        <v/>
      </c>
      <c r="E991" s="4"/>
      <c r="F991" s="2" t="str">
        <f>IFERROR(__xludf.DUMMYFUNCTION("IF(E991="""","""",IF(COUNTIFS(D$1:D990,D991,E$1:E990,E991)&gt;0,INDEX(filter(F$1:F990,D$1:D990=D991,E$1:E990=E991),1),""Selecciona..""))"),"")</f>
        <v/>
      </c>
      <c r="G991" s="2" t="str">
        <f>IFERROR(__xludf.DUMMYFUNCTION("IF($E991="""","""",IF(COUNTIFS($D$1:$D990,$D991,$E$1:$E990,$E991)&gt;0,INDEX(filter(G$1:G990,$D$1:$D990=$D991,$E$1:$E990=E991),1),""Selecciona..""))"),"")</f>
        <v/>
      </c>
      <c r="H991" s="4" t="str">
        <f>IF(D991="","",COUNTIF(Productos!G:G,C991))</f>
        <v/>
      </c>
      <c r="J991" s="90"/>
    </row>
    <row r="992">
      <c r="A992" s="2" t="str">
        <f t="shared" si="1"/>
        <v/>
      </c>
      <c r="B992" s="4"/>
      <c r="C992" s="4"/>
      <c r="D992" s="3" t="str">
        <f t="shared" si="2"/>
        <v/>
      </c>
      <c r="E992" s="4"/>
      <c r="F992" s="2" t="str">
        <f>IFERROR(__xludf.DUMMYFUNCTION("IF(E992="""","""",IF(COUNTIFS(D$1:D991,D992,E$1:E991,E992)&gt;0,INDEX(filter(F$1:F991,D$1:D991=D992,E$1:E991=E992),1),""Selecciona..""))"),"")</f>
        <v/>
      </c>
      <c r="G992" s="2" t="str">
        <f>IFERROR(__xludf.DUMMYFUNCTION("IF($E992="""","""",IF(COUNTIFS($D$1:$D991,$D992,$E$1:$E991,$E992)&gt;0,INDEX(filter(G$1:G991,$D$1:$D991=$D992,$E$1:$E991=E992),1),""Selecciona..""))"),"")</f>
        <v/>
      </c>
      <c r="H992" s="4" t="str">
        <f>IF(D992="","",COUNTIF(Productos!G:G,C992))</f>
        <v/>
      </c>
      <c r="J992" s="90"/>
    </row>
    <row r="993">
      <c r="A993" s="2" t="str">
        <f t="shared" si="1"/>
        <v/>
      </c>
      <c r="B993" s="4"/>
      <c r="C993" s="4"/>
      <c r="D993" s="3" t="str">
        <f t="shared" si="2"/>
        <v/>
      </c>
      <c r="E993" s="4"/>
      <c r="F993" s="2" t="str">
        <f>IFERROR(__xludf.DUMMYFUNCTION("IF(E993="""","""",IF(COUNTIFS(D$1:D992,D993,E$1:E992,E993)&gt;0,INDEX(filter(F$1:F992,D$1:D992=D993,E$1:E992=E993),1),""Selecciona..""))"),"")</f>
        <v/>
      </c>
      <c r="G993" s="2" t="str">
        <f>IFERROR(__xludf.DUMMYFUNCTION("IF($E993="""","""",IF(COUNTIFS($D$1:$D992,$D993,$E$1:$E992,$E993)&gt;0,INDEX(filter(G$1:G992,$D$1:$D992=$D993,$E$1:$E992=E993),1),""Selecciona..""))"),"")</f>
        <v/>
      </c>
      <c r="H993" s="4" t="str">
        <f>IF(D993="","",COUNTIF(Productos!G:G,C993))</f>
        <v/>
      </c>
      <c r="J993" s="90"/>
    </row>
    <row r="994">
      <c r="A994" s="2" t="str">
        <f t="shared" si="1"/>
        <v/>
      </c>
      <c r="B994" s="4"/>
      <c r="C994" s="4"/>
      <c r="D994" s="3" t="str">
        <f t="shared" si="2"/>
        <v/>
      </c>
      <c r="E994" s="4"/>
      <c r="F994" s="2" t="str">
        <f>IFERROR(__xludf.DUMMYFUNCTION("IF(E994="""","""",IF(COUNTIFS(D$1:D993,D994,E$1:E993,E994)&gt;0,INDEX(filter(F$1:F993,D$1:D993=D994,E$1:E993=E994),1),""Selecciona..""))"),"")</f>
        <v/>
      </c>
      <c r="G994" s="2" t="str">
        <f>IFERROR(__xludf.DUMMYFUNCTION("IF($E994="""","""",IF(COUNTIFS($D$1:$D993,$D994,$E$1:$E993,$E994)&gt;0,INDEX(filter(G$1:G993,$D$1:$D993=$D994,$E$1:$E993=E994),1),""Selecciona..""))"),"")</f>
        <v/>
      </c>
      <c r="H994" s="4" t="str">
        <f>IF(D994="","",COUNTIF(Productos!G:G,C994))</f>
        <v/>
      </c>
      <c r="J994" s="90"/>
    </row>
    <row r="995">
      <c r="A995" s="2" t="str">
        <f t="shared" si="1"/>
        <v/>
      </c>
      <c r="B995" s="4"/>
      <c r="C995" s="4"/>
      <c r="D995" s="3" t="str">
        <f t="shared" si="2"/>
        <v/>
      </c>
      <c r="E995" s="4"/>
      <c r="F995" s="2" t="str">
        <f>IFERROR(__xludf.DUMMYFUNCTION("IF(E995="""","""",IF(COUNTIFS(D$1:D994,D995,E$1:E994,E995)&gt;0,INDEX(filter(F$1:F994,D$1:D994=D995,E$1:E994=E995),1),""Selecciona..""))"),"")</f>
        <v/>
      </c>
      <c r="G995" s="2" t="str">
        <f>IFERROR(__xludf.DUMMYFUNCTION("IF($E995="""","""",IF(COUNTIFS($D$1:$D994,$D995,$E$1:$E994,$E995)&gt;0,INDEX(filter(G$1:G994,$D$1:$D994=$D995,$E$1:$E994=E995),1),""Selecciona..""))"),"")</f>
        <v/>
      </c>
      <c r="H995" s="4" t="str">
        <f>IF(D995="","",COUNTIF(Productos!G:G,C995))</f>
        <v/>
      </c>
      <c r="J995" s="90"/>
    </row>
    <row r="996">
      <c r="A996" s="2" t="str">
        <f t="shared" si="1"/>
        <v/>
      </c>
      <c r="B996" s="4"/>
      <c r="C996" s="4"/>
      <c r="D996" s="3" t="str">
        <f t="shared" si="2"/>
        <v/>
      </c>
      <c r="E996" s="4"/>
      <c r="F996" s="2" t="str">
        <f>IFERROR(__xludf.DUMMYFUNCTION("IF(E996="""","""",IF(COUNTIFS(D$1:D995,D996,E$1:E995,E996)&gt;0,INDEX(filter(F$1:F995,D$1:D995=D996,E$1:E995=E996),1),""Selecciona..""))"),"")</f>
        <v/>
      </c>
      <c r="G996" s="2" t="str">
        <f>IFERROR(__xludf.DUMMYFUNCTION("IF($E996="""","""",IF(COUNTIFS($D$1:$D995,$D996,$E$1:$E995,$E996)&gt;0,INDEX(filter(G$1:G995,$D$1:$D995=$D996,$E$1:$E995=E996),1),""Selecciona..""))"),"")</f>
        <v/>
      </c>
      <c r="H996" s="4" t="str">
        <f>IF(D996="","",COUNTIF(Productos!G:G,C996))</f>
        <v/>
      </c>
      <c r="J996" s="90"/>
    </row>
    <row r="997">
      <c r="A997" s="2" t="str">
        <f t="shared" si="1"/>
        <v/>
      </c>
      <c r="B997" s="4"/>
      <c r="C997" s="4"/>
      <c r="D997" s="3" t="str">
        <f t="shared" si="2"/>
        <v/>
      </c>
      <c r="E997" s="4"/>
      <c r="F997" s="2" t="str">
        <f>IFERROR(__xludf.DUMMYFUNCTION("IF(E997="""","""",IF(COUNTIFS(D$1:D996,D997,E$1:E996,E997)&gt;0,INDEX(filter(F$1:F996,D$1:D996=D997,E$1:E996=E997),1),""Selecciona..""))"),"")</f>
        <v/>
      </c>
      <c r="G997" s="2" t="str">
        <f>IFERROR(__xludf.DUMMYFUNCTION("IF($E997="""","""",IF(COUNTIFS($D$1:$D996,$D997,$E$1:$E996,$E997)&gt;0,INDEX(filter(G$1:G996,$D$1:$D996=$D997,$E$1:$E996=E997),1),""Selecciona..""))"),"")</f>
        <v/>
      </c>
      <c r="H997" s="4" t="str">
        <f>IF(D997="","",COUNTIF(Productos!G:G,C997))</f>
        <v/>
      </c>
      <c r="J997" s="90"/>
    </row>
    <row r="998">
      <c r="A998" s="2" t="str">
        <f t="shared" si="1"/>
        <v/>
      </c>
      <c r="B998" s="4"/>
      <c r="C998" s="4"/>
      <c r="D998" s="3" t="str">
        <f t="shared" si="2"/>
        <v/>
      </c>
      <c r="E998" s="4"/>
      <c r="F998" s="2" t="str">
        <f>IFERROR(__xludf.DUMMYFUNCTION("IF(E998="""","""",IF(COUNTIFS(D$1:D997,D998,E$1:E997,E998)&gt;0,INDEX(filter(F$1:F997,D$1:D997=D998,E$1:E997=E998),1),""Selecciona..""))"),"")</f>
        <v/>
      </c>
      <c r="G998" s="2" t="str">
        <f>IFERROR(__xludf.DUMMYFUNCTION("IF($E998="""","""",IF(COUNTIFS($D$1:$D997,$D998,$E$1:$E997,$E998)&gt;0,INDEX(filter(G$1:G997,$D$1:$D997=$D998,$E$1:$E997=E998),1),""Selecciona..""))"),"")</f>
        <v/>
      </c>
      <c r="H998" s="4" t="str">
        <f>IF(D998="","",COUNTIF(Productos!G:G,C998))</f>
        <v/>
      </c>
      <c r="J998" s="90"/>
    </row>
    <row r="999">
      <c r="A999" s="2" t="str">
        <f t="shared" si="1"/>
        <v/>
      </c>
      <c r="B999" s="4"/>
      <c r="C999" s="4"/>
      <c r="D999" s="3" t="str">
        <f t="shared" si="2"/>
        <v/>
      </c>
      <c r="E999" s="4"/>
      <c r="F999" s="2" t="str">
        <f>IFERROR(__xludf.DUMMYFUNCTION("IF(E999="""","""",IF(COUNTIFS(D$1:D998,D999,E$1:E998,E999)&gt;0,INDEX(filter(F$1:F998,D$1:D998=D999,E$1:E998=E999),1),""Selecciona..""))"),"")</f>
        <v/>
      </c>
      <c r="G999" s="2" t="str">
        <f>IFERROR(__xludf.DUMMYFUNCTION("IF($E999="""","""",IF(COUNTIFS($D$1:$D998,$D999,$E$1:$E998,$E999)&gt;0,INDEX(filter(G$1:G998,$D$1:$D998=$D999,$E$1:$E998=E999),1),""Selecciona..""))"),"")</f>
        <v/>
      </c>
      <c r="H999" s="4" t="str">
        <f>IF(D999="","",COUNTIF(Productos!G:G,C999))</f>
        <v/>
      </c>
      <c r="J999" s="90"/>
    </row>
    <row r="1000">
      <c r="A1000" s="2" t="str">
        <f t="shared" si="1"/>
        <v/>
      </c>
      <c r="B1000" s="4"/>
      <c r="C1000" s="4"/>
      <c r="D1000" s="3" t="str">
        <f t="shared" si="2"/>
        <v/>
      </c>
      <c r="E1000" s="4"/>
      <c r="F1000" s="2" t="str">
        <f>IFERROR(__xludf.DUMMYFUNCTION("IF(E1000="""","""",IF(COUNTIFS(D$1:D999,D1000,E$1:E999,E1000)&gt;0,INDEX(filter(F$1:F999,D$1:D999=D1000,E$1:E999=E1000),1),""Selecciona..""))"),"")</f>
        <v/>
      </c>
      <c r="G1000" s="2" t="str">
        <f>IFERROR(__xludf.DUMMYFUNCTION("IF($E1000="""","""",IF(COUNTIFS($D$1:$D999,$D1000,$E$1:$E999,$E1000)&gt;0,INDEX(filter(G$1:G999,$D$1:$D999=$D1000,$E$1:$E999=E1000),1),""Selecciona..""))"),"")</f>
        <v/>
      </c>
      <c r="H1000" s="4" t="str">
        <f>IF(D1000="","",COUNTIF(Productos!G:G,C1000))</f>
        <v/>
      </c>
      <c r="J1000" s="90"/>
    </row>
    <row r="1001">
      <c r="A1001" s="2" t="str">
        <f t="shared" si="1"/>
        <v/>
      </c>
      <c r="B1001" s="4"/>
      <c r="C1001" s="4"/>
      <c r="D1001" s="3" t="str">
        <f t="shared" si="2"/>
        <v/>
      </c>
      <c r="E1001" s="4"/>
      <c r="F1001" s="2" t="str">
        <f>IFERROR(__xludf.DUMMYFUNCTION("IF(E1001="""","""",IF(COUNTIFS(D$1:D1000,D1001,E$1:E1000,E1001)&gt;0,INDEX(filter(F$1:F1000,D$1:D1000=D1001,E$1:E1000=E1001),1),""Selecciona..""))"),"")</f>
        <v/>
      </c>
      <c r="G1001" s="2" t="str">
        <f>IFERROR(__xludf.DUMMYFUNCTION("IF($E1001="""","""",IF(COUNTIFS($D$1:$D1000,$D1001,$E$1:$E1000,$E1001)&gt;0,INDEX(filter(G$1:G1000,$D$1:$D1000=$D1001,$E$1:$E1000=E1001),1),""Selecciona..""))"),"")</f>
        <v/>
      </c>
      <c r="H1001" s="4" t="str">
        <f>IF(D1001="","",COUNTIF(Productos!G:G,C1001))</f>
        <v/>
      </c>
      <c r="J1001" s="90"/>
    </row>
    <row r="1002">
      <c r="A1002" s="2" t="str">
        <f t="shared" si="1"/>
        <v/>
      </c>
      <c r="B1002" s="4"/>
      <c r="C1002" s="4"/>
      <c r="D1002" s="3" t="str">
        <f t="shared" si="2"/>
        <v/>
      </c>
      <c r="E1002" s="4"/>
      <c r="F1002" s="2" t="str">
        <f>IFERROR(__xludf.DUMMYFUNCTION("IF(E1002="""","""",IF(COUNTIFS(D$1:D1001,D1002,E$1:E1001,E1002)&gt;0,INDEX(filter(F$1:F1001,D$1:D1001=D1002,E$1:E1001=E1002),1),""Selecciona..""))"),"")</f>
        <v/>
      </c>
      <c r="G1002" s="2" t="str">
        <f>IFERROR(__xludf.DUMMYFUNCTION("IF($E1002="""","""",IF(COUNTIFS($D$1:$D1001,$D1002,$E$1:$E1001,$E1002)&gt;0,INDEX(filter(G$1:G1001,$D$1:$D1001=$D1002,$E$1:$E1001=E1002),1),""Selecciona..""))"),"")</f>
        <v/>
      </c>
      <c r="H1002" s="4" t="str">
        <f>IF(D1002="","",COUNTIF(Productos!G:G,C1002))</f>
        <v/>
      </c>
      <c r="J1002" s="90"/>
    </row>
    <row r="1003">
      <c r="A1003" s="2" t="str">
        <f t="shared" si="1"/>
        <v/>
      </c>
      <c r="B1003" s="4"/>
      <c r="C1003" s="4"/>
      <c r="D1003" s="3" t="str">
        <f t="shared" si="2"/>
        <v/>
      </c>
      <c r="E1003" s="4"/>
      <c r="F1003" s="2" t="str">
        <f>IFERROR(__xludf.DUMMYFUNCTION("IF(E1003="""","""",IF(COUNTIFS(D$1:D1002,D1003,E$1:E1002,E1003)&gt;0,INDEX(filter(F$1:F1002,D$1:D1002=D1003,E$1:E1002=E1003),1),""Selecciona..""))"),"")</f>
        <v/>
      </c>
      <c r="G1003" s="2" t="str">
        <f>IFERROR(__xludf.DUMMYFUNCTION("IF($E1003="""","""",IF(COUNTIFS($D$1:$D1002,$D1003,$E$1:$E1002,$E1003)&gt;0,INDEX(filter(G$1:G1002,$D$1:$D1002=$D1003,$E$1:$E1002=E1003),1),""Selecciona..""))"),"")</f>
        <v/>
      </c>
      <c r="H1003" s="4" t="str">
        <f>IF(D1003="","",COUNTIF(Productos!G:G,C1003))</f>
        <v/>
      </c>
      <c r="J1003" s="90"/>
    </row>
    <row r="1004">
      <c r="A1004" s="2" t="str">
        <f t="shared" si="1"/>
        <v/>
      </c>
      <c r="B1004" s="4"/>
      <c r="C1004" s="4"/>
      <c r="D1004" s="3" t="str">
        <f t="shared" si="2"/>
        <v/>
      </c>
      <c r="E1004" s="4"/>
      <c r="F1004" s="2" t="str">
        <f>IFERROR(__xludf.DUMMYFUNCTION("IF(E1004="""","""",IF(COUNTIFS(D$1:D1003,D1004,E$1:E1003,E1004)&gt;0,INDEX(filter(F$1:F1003,D$1:D1003=D1004,E$1:E1003=E1004),1),""Selecciona..""))"),"")</f>
        <v/>
      </c>
      <c r="G1004" s="2" t="str">
        <f>IFERROR(__xludf.DUMMYFUNCTION("IF($E1004="""","""",IF(COUNTIFS($D$1:$D1003,$D1004,$E$1:$E1003,$E1004)&gt;0,INDEX(filter(G$1:G1003,$D$1:$D1003=$D1004,$E$1:$E1003=E1004),1),""Selecciona..""))"),"")</f>
        <v/>
      </c>
      <c r="H1004" s="4" t="str">
        <f>IF(D1004="","",COUNTIF(Productos!G:G,C1004))</f>
        <v/>
      </c>
      <c r="J1004" s="90"/>
    </row>
    <row r="1005">
      <c r="A1005" s="2" t="str">
        <f t="shared" si="1"/>
        <v/>
      </c>
      <c r="B1005" s="4"/>
      <c r="C1005" s="4"/>
      <c r="D1005" s="3" t="str">
        <f t="shared" si="2"/>
        <v/>
      </c>
      <c r="E1005" s="4"/>
      <c r="F1005" s="2" t="str">
        <f>IFERROR(__xludf.DUMMYFUNCTION("IF(E1005="""","""",IF(COUNTIFS(D$1:D1004,D1005,E$1:E1004,E1005)&gt;0,INDEX(filter(F$1:F1004,D$1:D1004=D1005,E$1:E1004=E1005),1),""Selecciona..""))"),"")</f>
        <v/>
      </c>
      <c r="G1005" s="2" t="str">
        <f>IFERROR(__xludf.DUMMYFUNCTION("IF($E1005="""","""",IF(COUNTIFS($D$1:$D1004,$D1005,$E$1:$E1004,$E1005)&gt;0,INDEX(filter(G$1:G1004,$D$1:$D1004=$D1005,$E$1:$E1004=E1005),1),""Selecciona..""))"),"")</f>
        <v/>
      </c>
      <c r="H1005" s="4" t="str">
        <f>IF(D1005="","",COUNTIF(Productos!G:G,C1005))</f>
        <v/>
      </c>
      <c r="J1005" s="90"/>
    </row>
    <row r="1006">
      <c r="A1006" s="2" t="str">
        <f t="shared" si="1"/>
        <v/>
      </c>
      <c r="B1006" s="4"/>
      <c r="C1006" s="4"/>
      <c r="D1006" s="3" t="str">
        <f t="shared" si="2"/>
        <v/>
      </c>
      <c r="E1006" s="4"/>
      <c r="F1006" s="2" t="str">
        <f>IFERROR(__xludf.DUMMYFUNCTION("IF(E1006="""","""",IF(COUNTIFS(D$1:D1005,D1006,E$1:E1005,E1006)&gt;0,INDEX(filter(F$1:F1005,D$1:D1005=D1006,E$1:E1005=E1006),1),""Selecciona..""))"),"")</f>
        <v/>
      </c>
      <c r="G1006" s="2" t="str">
        <f>IFERROR(__xludf.DUMMYFUNCTION("IF($E1006="""","""",IF(COUNTIFS($D$1:$D1005,$D1006,$E$1:$E1005,$E1006)&gt;0,INDEX(filter(G$1:G1005,$D$1:$D1005=$D1006,$E$1:$E1005=E1006),1),""Selecciona..""))"),"")</f>
        <v/>
      </c>
      <c r="H1006" s="4" t="str">
        <f>IF(D1006="","",COUNTIF(Productos!G:G,C1006))</f>
        <v/>
      </c>
      <c r="J1006" s="90"/>
    </row>
    <row r="1007">
      <c r="A1007" s="2" t="str">
        <f t="shared" si="1"/>
        <v/>
      </c>
      <c r="B1007" s="4"/>
      <c r="C1007" s="4"/>
      <c r="D1007" s="3" t="str">
        <f t="shared" si="2"/>
        <v/>
      </c>
      <c r="E1007" s="4"/>
      <c r="F1007" s="2" t="str">
        <f>IFERROR(__xludf.DUMMYFUNCTION("IF(E1007="""","""",IF(COUNTIFS(D$1:D1006,D1007,E$1:E1006,E1007)&gt;0,INDEX(filter(F$1:F1006,D$1:D1006=D1007,E$1:E1006=E1007),1),""Selecciona..""))"),"")</f>
        <v/>
      </c>
      <c r="G1007" s="2" t="str">
        <f>IFERROR(__xludf.DUMMYFUNCTION("IF($E1007="""","""",IF(COUNTIFS($D$1:$D1006,$D1007,$E$1:$E1006,$E1007)&gt;0,INDEX(filter(G$1:G1006,$D$1:$D1006=$D1007,$E$1:$E1006=E1007),1),""Selecciona..""))"),"")</f>
        <v/>
      </c>
      <c r="H1007" s="4" t="str">
        <f>IF(D1007="","",COUNTIF(Productos!G:G,C1007))</f>
        <v/>
      </c>
      <c r="J1007" s="90"/>
    </row>
  </sheetData>
  <autoFilter ref="$A$1:$H$1007"/>
  <dataValidations>
    <dataValidation type="list" allowBlank="1" sqref="F2:F1007">
      <formula1>"O,Y"</formula1>
    </dataValidation>
    <dataValidation type="list" allowBlank="1" sqref="D2:D1007">
      <formula1>Implementos!$B$2:$B$1000</formula1>
    </dataValidation>
    <dataValidation type="list" allowBlank="1" showErrorMessage="1" sqref="G2:G1007">
      <formula1>"SI,NO"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63"/>
    <col customWidth="1" min="5" max="5" width="54.0"/>
    <col customWidth="1" min="6" max="6" width="22.63"/>
    <col customWidth="1" min="7" max="7" width="33.38"/>
    <col customWidth="1" min="9" max="9" width="13.5"/>
    <col customWidth="1" min="16" max="16" width="22.38"/>
    <col customWidth="1" min="17" max="17" width="26.75"/>
    <col customWidth="1" min="18" max="18" width="15.75"/>
  </cols>
  <sheetData>
    <row r="1">
      <c r="A1" s="2" t="s">
        <v>452</v>
      </c>
      <c r="B1" s="2" t="s">
        <v>320</v>
      </c>
      <c r="C1" s="2" t="s">
        <v>321</v>
      </c>
      <c r="D1" s="2" t="s">
        <v>322</v>
      </c>
      <c r="E1" s="45" t="s">
        <v>157</v>
      </c>
      <c r="F1" s="2" t="s">
        <v>5</v>
      </c>
      <c r="G1" s="2" t="s">
        <v>24</v>
      </c>
      <c r="H1" s="2" t="s">
        <v>15</v>
      </c>
      <c r="I1" s="2" t="s">
        <v>453</v>
      </c>
      <c r="J1" s="91" t="s">
        <v>27</v>
      </c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</row>
    <row r="2">
      <c r="A2" s="4">
        <f t="shared" ref="A2:A1002" si="1">IF(E2="","",max(A$1:A1)+1)</f>
        <v>1</v>
      </c>
      <c r="B2" s="2" t="s">
        <v>454</v>
      </c>
      <c r="C2" s="4"/>
      <c r="D2" s="2">
        <v>1000.0</v>
      </c>
      <c r="E2" s="45" t="s">
        <v>164</v>
      </c>
      <c r="F2" s="2" t="s">
        <v>349</v>
      </c>
      <c r="G2" s="2" t="s">
        <v>396</v>
      </c>
      <c r="H2" s="2">
        <f>IF(G2="","",SUMIF(Familias!C:C,G2,Familias!E:E))</f>
        <v>1</v>
      </c>
      <c r="I2" s="4">
        <f>IF(A2="","",COUNTIF(Prod_Prop!B:B,A2))</f>
        <v>0</v>
      </c>
      <c r="J2" s="92">
        <f>IF(E2="","",IF(SUMIF(Precio_Productos!L:L,E2,Precio_Productos!J:J)=0,"Falta Precio",SUMIF(Precio_Productos!L:L,E2,Precio_Productos!J:J)))</f>
        <v>3739021</v>
      </c>
      <c r="O2" s="84"/>
      <c r="P2" s="86" t="str">
        <f>IFERROR(__xludf.DUMMYFUNCTION("IF(OR(F2=""Selecciona.."",F2=""""),"""",TRANSPOSE(filter(Familias!C:C,Familias!D:D=F2)))"),"Brazos Elevadores Frontales")</f>
        <v>Brazos Elevadores Frontales</v>
      </c>
      <c r="Q2" s="86" t="str">
        <f>IFERROR(__xludf.DUMMYFUNCTION("""COMPUTED_VALUE"""),"Cucharas y Accesorios Elevadores")</f>
        <v>Cucharas y Accesorios Elevadores</v>
      </c>
      <c r="R2" s="86" t="str">
        <f>IFERROR(__xludf.DUMMYFUNCTION("""COMPUTED_VALUE"""),"Opcionales Cucharas")</f>
        <v>Opcionales Cucharas</v>
      </c>
      <c r="S2" s="86" t="str">
        <f>IFERROR(__xludf.DUMMYFUNCTION("""COMPUTED_VALUE"""),"Opcionales Elevadores")</f>
        <v>Opcionales Elevadores</v>
      </c>
      <c r="T2" s="86" t="str">
        <f>IFERROR(__xludf.DUMMYFUNCTION("""COMPUTED_VALUE"""),"Acoples Elevadores")</f>
        <v>Acoples Elevadores</v>
      </c>
      <c r="U2" s="86" t="str">
        <f>IFERROR(__xludf.DUMMYFUNCTION("""COMPUTED_VALUE"""),"Repuestos Elevadores")</f>
        <v>Repuestos Elevadores</v>
      </c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>
      <c r="A3" s="4">
        <f t="shared" si="1"/>
        <v>2</v>
      </c>
      <c r="B3" s="2" t="s">
        <v>455</v>
      </c>
      <c r="C3" s="4"/>
      <c r="D3" s="93" t="s">
        <v>456</v>
      </c>
      <c r="E3" s="45" t="s">
        <v>169</v>
      </c>
      <c r="F3" s="2" t="s">
        <v>349</v>
      </c>
      <c r="G3" s="2" t="s">
        <v>396</v>
      </c>
      <c r="H3" s="2">
        <f>IF(G3="","",SUMIF(Familias!C:C,G3,Familias!E:E))</f>
        <v>1</v>
      </c>
      <c r="I3" s="4">
        <f>IF(A3="","",COUNTIF(Prod_Prop!B:B,A3))</f>
        <v>0</v>
      </c>
      <c r="J3" s="92">
        <f>IF(E3="","",IF(SUMIF(Precio_Productos!L:L,E3,Precio_Productos!J:J)=0,"Falta Precio",SUMIF(Precio_Productos!L:L,E3,Precio_Productos!J:J)))</f>
        <v>3973683</v>
      </c>
      <c r="O3" s="86"/>
      <c r="P3" s="86" t="str">
        <f>IFERROR(__xludf.DUMMYFUNCTION("IF(OR(F3=""Selecciona.."",F3=""""),"""",TRANSPOSE(filter(Familias!C:C,Familias!D:D=F3)))"),"Brazos Elevadores Frontales")</f>
        <v>Brazos Elevadores Frontales</v>
      </c>
      <c r="Q3" s="86" t="str">
        <f>IFERROR(__xludf.DUMMYFUNCTION("""COMPUTED_VALUE"""),"Cucharas y Accesorios Elevadores")</f>
        <v>Cucharas y Accesorios Elevadores</v>
      </c>
      <c r="R3" s="86" t="str">
        <f>IFERROR(__xludf.DUMMYFUNCTION("""COMPUTED_VALUE"""),"Opcionales Cucharas")</f>
        <v>Opcionales Cucharas</v>
      </c>
      <c r="S3" s="86" t="str">
        <f>IFERROR(__xludf.DUMMYFUNCTION("""COMPUTED_VALUE"""),"Opcionales Elevadores")</f>
        <v>Opcionales Elevadores</v>
      </c>
      <c r="T3" s="86" t="str">
        <f>IFERROR(__xludf.DUMMYFUNCTION("""COMPUTED_VALUE"""),"Acoples Elevadores")</f>
        <v>Acoples Elevadores</v>
      </c>
      <c r="U3" s="86" t="str">
        <f>IFERROR(__xludf.DUMMYFUNCTION("""COMPUTED_VALUE"""),"Repuestos Elevadores")</f>
        <v>Repuestos Elevadores</v>
      </c>
      <c r="V3" s="86"/>
      <c r="W3" s="86"/>
      <c r="X3" s="86"/>
      <c r="Y3" s="86"/>
      <c r="Z3" s="86"/>
      <c r="AA3" s="86"/>
      <c r="AB3" s="86"/>
      <c r="AC3" s="86"/>
      <c r="AD3" s="86"/>
      <c r="AE3" s="86"/>
    </row>
    <row r="4">
      <c r="A4" s="4">
        <f t="shared" si="1"/>
        <v>3</v>
      </c>
      <c r="B4" s="2" t="s">
        <v>457</v>
      </c>
      <c r="C4" s="4"/>
      <c r="D4" s="2">
        <v>1001.0</v>
      </c>
      <c r="E4" s="45" t="s">
        <v>167</v>
      </c>
      <c r="F4" s="2" t="s">
        <v>349</v>
      </c>
      <c r="G4" s="2" t="s">
        <v>396</v>
      </c>
      <c r="H4" s="2">
        <f>IF(G4="","",SUMIF(Familias!C:C,G4,Familias!E:E))</f>
        <v>1</v>
      </c>
      <c r="I4" s="4">
        <f>IF(A4="","",COUNTIF(Prod_Prop!B:B,A4))</f>
        <v>0</v>
      </c>
      <c r="J4" s="92">
        <f>IF(E4="","",IF(SUMIF(Precio_Productos!L:L,E4,Precio_Productos!J:J)=0,"Falta Precio",SUMIF(Precio_Productos!L:L,E4,Precio_Productos!J:J)))</f>
        <v>4200527</v>
      </c>
      <c r="O4" s="86"/>
      <c r="P4" s="86" t="str">
        <f>IFERROR(__xludf.DUMMYFUNCTION("IF(OR(F4=""Selecciona.."",F4=""""),"""",TRANSPOSE(filter(Familias!C:C,Familias!D:D=F4)))"),"Brazos Elevadores Frontales")</f>
        <v>Brazos Elevadores Frontales</v>
      </c>
      <c r="Q4" s="86" t="str">
        <f>IFERROR(__xludf.DUMMYFUNCTION("""COMPUTED_VALUE"""),"Cucharas y Accesorios Elevadores")</f>
        <v>Cucharas y Accesorios Elevadores</v>
      </c>
      <c r="R4" s="86" t="str">
        <f>IFERROR(__xludf.DUMMYFUNCTION("""COMPUTED_VALUE"""),"Opcionales Cucharas")</f>
        <v>Opcionales Cucharas</v>
      </c>
      <c r="S4" s="86" t="str">
        <f>IFERROR(__xludf.DUMMYFUNCTION("""COMPUTED_VALUE"""),"Opcionales Elevadores")</f>
        <v>Opcionales Elevadores</v>
      </c>
      <c r="T4" s="86" t="str">
        <f>IFERROR(__xludf.DUMMYFUNCTION("""COMPUTED_VALUE"""),"Acoples Elevadores")</f>
        <v>Acoples Elevadores</v>
      </c>
      <c r="U4" s="86" t="str">
        <f>IFERROR(__xludf.DUMMYFUNCTION("""COMPUTED_VALUE"""),"Repuestos Elevadores")</f>
        <v>Repuestos Elevadores</v>
      </c>
      <c r="V4" s="86"/>
      <c r="W4" s="86"/>
      <c r="X4" s="86"/>
      <c r="Y4" s="86"/>
      <c r="Z4" s="86"/>
      <c r="AA4" s="86"/>
      <c r="AB4" s="86"/>
      <c r="AC4" s="86"/>
      <c r="AD4" s="86"/>
      <c r="AE4" s="86"/>
    </row>
    <row r="5">
      <c r="A5" s="4">
        <f t="shared" si="1"/>
        <v>4</v>
      </c>
      <c r="B5" s="2" t="s">
        <v>458</v>
      </c>
      <c r="C5" s="4"/>
      <c r="D5" s="2">
        <v>1002.0</v>
      </c>
      <c r="E5" s="45" t="s">
        <v>170</v>
      </c>
      <c r="F5" s="2" t="s">
        <v>349</v>
      </c>
      <c r="G5" s="2" t="s">
        <v>396</v>
      </c>
      <c r="H5" s="2">
        <f>IF(G5="","",SUMIF(Familias!C:C,G5,Familias!E:E))</f>
        <v>1</v>
      </c>
      <c r="I5" s="4">
        <f>IF(A5="","",COUNTIF(Prod_Prop!B:B,A5))</f>
        <v>0</v>
      </c>
      <c r="J5" s="92">
        <f>IF(E5="","",IF(SUMIF(Precio_Productos!L:L,E5,Precio_Productos!J:J)=0,"Falta Precio",SUMIF(Precio_Productos!L:L,E5,Precio_Productos!J:J)))</f>
        <v>4995120</v>
      </c>
      <c r="O5" s="86"/>
      <c r="P5" s="86" t="str">
        <f>IFERROR(__xludf.DUMMYFUNCTION("IF(OR(F5=""Selecciona.."",F5=""""),"""",TRANSPOSE(filter(Familias!C:C,Familias!D:D=F5)))"),"Brazos Elevadores Frontales")</f>
        <v>Brazos Elevadores Frontales</v>
      </c>
      <c r="Q5" s="86" t="str">
        <f>IFERROR(__xludf.DUMMYFUNCTION("""COMPUTED_VALUE"""),"Cucharas y Accesorios Elevadores")</f>
        <v>Cucharas y Accesorios Elevadores</v>
      </c>
      <c r="R5" s="86" t="str">
        <f>IFERROR(__xludf.DUMMYFUNCTION("""COMPUTED_VALUE"""),"Opcionales Cucharas")</f>
        <v>Opcionales Cucharas</v>
      </c>
      <c r="S5" s="86" t="str">
        <f>IFERROR(__xludf.DUMMYFUNCTION("""COMPUTED_VALUE"""),"Opcionales Elevadores")</f>
        <v>Opcionales Elevadores</v>
      </c>
      <c r="T5" s="86" t="str">
        <f>IFERROR(__xludf.DUMMYFUNCTION("""COMPUTED_VALUE"""),"Acoples Elevadores")</f>
        <v>Acoples Elevadores</v>
      </c>
      <c r="U5" s="86" t="str">
        <f>IFERROR(__xludf.DUMMYFUNCTION("""COMPUTED_VALUE"""),"Repuestos Elevadores")</f>
        <v>Repuestos Elevadores</v>
      </c>
      <c r="V5" s="86"/>
      <c r="W5" s="86"/>
      <c r="X5" s="86"/>
      <c r="Y5" s="86"/>
      <c r="Z5" s="86"/>
      <c r="AA5" s="86"/>
      <c r="AB5" s="86"/>
      <c r="AC5" s="86"/>
      <c r="AD5" s="86"/>
      <c r="AE5" s="86"/>
    </row>
    <row r="6">
      <c r="A6" s="4">
        <f t="shared" si="1"/>
        <v>5</v>
      </c>
      <c r="B6" s="2" t="s">
        <v>459</v>
      </c>
      <c r="C6" s="4"/>
      <c r="D6" s="2">
        <v>1003.0</v>
      </c>
      <c r="E6" s="45" t="s">
        <v>171</v>
      </c>
      <c r="F6" s="2" t="s">
        <v>349</v>
      </c>
      <c r="G6" s="2" t="s">
        <v>396</v>
      </c>
      <c r="H6" s="2">
        <f>IF(G6="","",SUMIF(Familias!C:C,G6,Familias!E:E))</f>
        <v>1</v>
      </c>
      <c r="I6" s="4">
        <f>IF(A6="","",COUNTIF(Prod_Prop!B:B,A6))</f>
        <v>0</v>
      </c>
      <c r="J6" s="92">
        <f>IF(E6="","",IF(SUMIF(Precio_Productos!L:L,E6,Precio_Productos!J:J)=0,"Falta Precio",SUMIF(Precio_Productos!L:L,E6,Precio_Productos!J:J)))</f>
        <v>5390337</v>
      </c>
      <c r="O6" s="86"/>
      <c r="P6" s="86" t="str">
        <f>IFERROR(__xludf.DUMMYFUNCTION("IF(OR(F6=""Selecciona.."",F6=""""),"""",TRANSPOSE(filter(Familias!C:C,Familias!D:D=F6)))"),"Brazos Elevadores Frontales")</f>
        <v>Brazos Elevadores Frontales</v>
      </c>
      <c r="Q6" s="86" t="str">
        <f>IFERROR(__xludf.DUMMYFUNCTION("""COMPUTED_VALUE"""),"Cucharas y Accesorios Elevadores")</f>
        <v>Cucharas y Accesorios Elevadores</v>
      </c>
      <c r="R6" s="86" t="str">
        <f>IFERROR(__xludf.DUMMYFUNCTION("""COMPUTED_VALUE"""),"Opcionales Cucharas")</f>
        <v>Opcionales Cucharas</v>
      </c>
      <c r="S6" s="86" t="str">
        <f>IFERROR(__xludf.DUMMYFUNCTION("""COMPUTED_VALUE"""),"Opcionales Elevadores")</f>
        <v>Opcionales Elevadores</v>
      </c>
      <c r="T6" s="86" t="str">
        <f>IFERROR(__xludf.DUMMYFUNCTION("""COMPUTED_VALUE"""),"Acoples Elevadores")</f>
        <v>Acoples Elevadores</v>
      </c>
      <c r="U6" s="86" t="str">
        <f>IFERROR(__xludf.DUMMYFUNCTION("""COMPUTED_VALUE"""),"Repuestos Elevadores")</f>
        <v>Repuestos Elevadores</v>
      </c>
      <c r="V6" s="86"/>
      <c r="W6" s="86"/>
      <c r="X6" s="86"/>
      <c r="Y6" s="86"/>
      <c r="Z6" s="86"/>
      <c r="AA6" s="86"/>
      <c r="AB6" s="86"/>
      <c r="AC6" s="86"/>
      <c r="AD6" s="86"/>
      <c r="AE6" s="86"/>
    </row>
    <row r="7">
      <c r="A7" s="4">
        <f t="shared" si="1"/>
        <v>6</v>
      </c>
      <c r="B7" s="2" t="s">
        <v>460</v>
      </c>
      <c r="C7" s="4"/>
      <c r="D7" s="2">
        <v>1004.0</v>
      </c>
      <c r="E7" s="45" t="s">
        <v>172</v>
      </c>
      <c r="F7" s="2" t="s">
        <v>349</v>
      </c>
      <c r="G7" s="2" t="s">
        <v>396</v>
      </c>
      <c r="H7" s="2">
        <f>IF(G7="","",SUMIF(Familias!C:C,G7,Familias!E:E))</f>
        <v>1</v>
      </c>
      <c r="I7" s="4">
        <f>IF(A7="","",COUNTIF(Prod_Prop!B:B,A7))</f>
        <v>0</v>
      </c>
      <c r="J7" s="92">
        <f>IF(E7="","",IF(SUMIF(Precio_Productos!L:L,E7,Precio_Productos!J:J)=0,"Falta Precio",SUMIF(Precio_Productos!L:L,E7,Precio_Productos!J:J)))</f>
        <v>6059977</v>
      </c>
      <c r="O7" s="86"/>
      <c r="P7" s="86" t="str">
        <f>IFERROR(__xludf.DUMMYFUNCTION("IF(OR(F7=""Selecciona.."",F7=""""),"""",TRANSPOSE(filter(Familias!C:C,Familias!D:D=F7)))"),"Brazos Elevadores Frontales")</f>
        <v>Brazos Elevadores Frontales</v>
      </c>
      <c r="Q7" s="86" t="str">
        <f>IFERROR(__xludf.DUMMYFUNCTION("""COMPUTED_VALUE"""),"Cucharas y Accesorios Elevadores")</f>
        <v>Cucharas y Accesorios Elevadores</v>
      </c>
      <c r="R7" s="86" t="str">
        <f>IFERROR(__xludf.DUMMYFUNCTION("""COMPUTED_VALUE"""),"Opcionales Cucharas")</f>
        <v>Opcionales Cucharas</v>
      </c>
      <c r="S7" s="86" t="str">
        <f>IFERROR(__xludf.DUMMYFUNCTION("""COMPUTED_VALUE"""),"Opcionales Elevadores")</f>
        <v>Opcionales Elevadores</v>
      </c>
      <c r="T7" s="86" t="str">
        <f>IFERROR(__xludf.DUMMYFUNCTION("""COMPUTED_VALUE"""),"Acoples Elevadores")</f>
        <v>Acoples Elevadores</v>
      </c>
      <c r="U7" s="86" t="str">
        <f>IFERROR(__xludf.DUMMYFUNCTION("""COMPUTED_VALUE"""),"Repuestos Elevadores")</f>
        <v>Repuestos Elevadores</v>
      </c>
      <c r="V7" s="86"/>
      <c r="W7" s="86"/>
      <c r="X7" s="86"/>
      <c r="Y7" s="86"/>
      <c r="Z7" s="86"/>
      <c r="AA7" s="86"/>
      <c r="AB7" s="86"/>
      <c r="AC7" s="86"/>
      <c r="AD7" s="86"/>
      <c r="AE7" s="86"/>
    </row>
    <row r="8">
      <c r="A8" s="4">
        <f t="shared" si="1"/>
        <v>7</v>
      </c>
      <c r="B8" s="4"/>
      <c r="C8" s="4"/>
      <c r="D8" s="4"/>
      <c r="E8" s="45" t="s">
        <v>168</v>
      </c>
      <c r="F8" s="2" t="s">
        <v>349</v>
      </c>
      <c r="G8" s="2" t="s">
        <v>400</v>
      </c>
      <c r="H8" s="2">
        <f>IF(G8="","",SUMIF(Familias!C:C,G8,Familias!E:E))</f>
        <v>2</v>
      </c>
      <c r="I8" s="4">
        <f>IF(A8="","",COUNTIF(Prod_Prop!B:B,A8))</f>
        <v>0</v>
      </c>
      <c r="J8" s="92">
        <f>IF(E8="","",IF(SUMIF(Precio_Productos!L:L,E8,Precio_Productos!J:J)=0,"Falta Precio",SUMIF(Precio_Productos!L:L,E8,Precio_Productos!J:J)))</f>
        <v>726317</v>
      </c>
      <c r="O8" s="86"/>
      <c r="P8" s="86" t="str">
        <f>IFERROR(__xludf.DUMMYFUNCTION("IF(OR(F8=""Selecciona.."",F8=""""),"""",TRANSPOSE(filter(Familias!C:C,Familias!D:D=F8)))"),"Brazos Elevadores Frontales")</f>
        <v>Brazos Elevadores Frontales</v>
      </c>
      <c r="Q8" s="86" t="str">
        <f>IFERROR(__xludf.DUMMYFUNCTION("""COMPUTED_VALUE"""),"Cucharas y Accesorios Elevadores")</f>
        <v>Cucharas y Accesorios Elevadores</v>
      </c>
      <c r="R8" s="86" t="str">
        <f>IFERROR(__xludf.DUMMYFUNCTION("""COMPUTED_VALUE"""),"Opcionales Cucharas")</f>
        <v>Opcionales Cucharas</v>
      </c>
      <c r="S8" s="86" t="str">
        <f>IFERROR(__xludf.DUMMYFUNCTION("""COMPUTED_VALUE"""),"Opcionales Elevadores")</f>
        <v>Opcionales Elevadores</v>
      </c>
      <c r="T8" s="86" t="str">
        <f>IFERROR(__xludf.DUMMYFUNCTION("""COMPUTED_VALUE"""),"Acoples Elevadores")</f>
        <v>Acoples Elevadores</v>
      </c>
      <c r="U8" s="86" t="str">
        <f>IFERROR(__xludf.DUMMYFUNCTION("""COMPUTED_VALUE"""),"Repuestos Elevadores")</f>
        <v>Repuestos Elevadores</v>
      </c>
      <c r="V8" s="86"/>
      <c r="W8" s="86"/>
      <c r="X8" s="86"/>
      <c r="Y8" s="86"/>
      <c r="Z8" s="86"/>
      <c r="AA8" s="86"/>
      <c r="AB8" s="86"/>
      <c r="AC8" s="86"/>
      <c r="AD8" s="86"/>
      <c r="AE8" s="86"/>
    </row>
    <row r="9">
      <c r="A9" s="4">
        <f t="shared" si="1"/>
        <v>8</v>
      </c>
      <c r="B9" s="4"/>
      <c r="C9" s="4"/>
      <c r="D9" s="4"/>
      <c r="E9" s="45" t="s">
        <v>192</v>
      </c>
      <c r="F9" s="2" t="s">
        <v>349</v>
      </c>
      <c r="G9" s="2" t="s">
        <v>400</v>
      </c>
      <c r="H9" s="2">
        <f>IF(G9="","",SUMIF(Familias!C:C,G9,Familias!E:E))</f>
        <v>2</v>
      </c>
      <c r="I9" s="4">
        <f>IF(A9="","",COUNTIF(Prod_Prop!B:B,A9))</f>
        <v>0</v>
      </c>
      <c r="J9" s="92">
        <f>IF(E9="","",IF(SUMIF(Precio_Productos!L:L,E9,Precio_Productos!J:J)=0,"Falta Precio",SUMIF(Precio_Productos!L:L,E9,Precio_Productos!J:J)))</f>
        <v>895027</v>
      </c>
      <c r="O9" s="86"/>
      <c r="P9" s="86" t="str">
        <f>IFERROR(__xludf.DUMMYFUNCTION("IF(OR(F9=""Selecciona.."",F9=""""),"""",TRANSPOSE(filter(Familias!C:C,Familias!D:D=F9)))"),"Brazos Elevadores Frontales")</f>
        <v>Brazos Elevadores Frontales</v>
      </c>
      <c r="Q9" s="86" t="str">
        <f>IFERROR(__xludf.DUMMYFUNCTION("""COMPUTED_VALUE"""),"Cucharas y Accesorios Elevadores")</f>
        <v>Cucharas y Accesorios Elevadores</v>
      </c>
      <c r="R9" s="86" t="str">
        <f>IFERROR(__xludf.DUMMYFUNCTION("""COMPUTED_VALUE"""),"Opcionales Cucharas")</f>
        <v>Opcionales Cucharas</v>
      </c>
      <c r="S9" s="86" t="str">
        <f>IFERROR(__xludf.DUMMYFUNCTION("""COMPUTED_VALUE"""),"Opcionales Elevadores")</f>
        <v>Opcionales Elevadores</v>
      </c>
      <c r="T9" s="86" t="str">
        <f>IFERROR(__xludf.DUMMYFUNCTION("""COMPUTED_VALUE"""),"Acoples Elevadores")</f>
        <v>Acoples Elevadores</v>
      </c>
      <c r="U9" s="86" t="str">
        <f>IFERROR(__xludf.DUMMYFUNCTION("""COMPUTED_VALUE"""),"Repuestos Elevadores")</f>
        <v>Repuestos Elevadores</v>
      </c>
      <c r="V9" s="86"/>
      <c r="W9" s="86"/>
      <c r="X9" s="86"/>
      <c r="Y9" s="86"/>
      <c r="Z9" s="86"/>
      <c r="AA9" s="86"/>
      <c r="AB9" s="86"/>
      <c r="AC9" s="86"/>
      <c r="AD9" s="86"/>
      <c r="AE9" s="86"/>
    </row>
    <row r="10">
      <c r="A10" s="4">
        <f t="shared" si="1"/>
        <v>9</v>
      </c>
      <c r="B10" s="4"/>
      <c r="C10" s="4"/>
      <c r="D10" s="4"/>
      <c r="E10" s="45" t="s">
        <v>193</v>
      </c>
      <c r="F10" s="2" t="s">
        <v>349</v>
      </c>
      <c r="G10" s="2" t="s">
        <v>400</v>
      </c>
      <c r="H10" s="2">
        <f>IF(G10="","",SUMIF(Familias!C:C,G10,Familias!E:E))</f>
        <v>2</v>
      </c>
      <c r="I10" s="4">
        <f>IF(A10="","",COUNTIF(Prod_Prop!B:B,A10))</f>
        <v>0</v>
      </c>
      <c r="J10" s="92">
        <f>IF(E10="","",IF(SUMIF(Precio_Productos!L:L,E10,Precio_Productos!J:J)=0,"Falta Precio",SUMIF(Precio_Productos!L:L,E10,Precio_Productos!J:J)))</f>
        <v>1100000</v>
      </c>
      <c r="O10" s="86"/>
      <c r="P10" s="86" t="str">
        <f>IFERROR(__xludf.DUMMYFUNCTION("IF(OR(F10=""Selecciona.."",F10=""""),"""",TRANSPOSE(filter(Familias!C:C,Familias!D:D=F10)))"),"Brazos Elevadores Frontales")</f>
        <v>Brazos Elevadores Frontales</v>
      </c>
      <c r="Q10" s="86" t="str">
        <f>IFERROR(__xludf.DUMMYFUNCTION("""COMPUTED_VALUE"""),"Cucharas y Accesorios Elevadores")</f>
        <v>Cucharas y Accesorios Elevadores</v>
      </c>
      <c r="R10" s="86" t="str">
        <f>IFERROR(__xludf.DUMMYFUNCTION("""COMPUTED_VALUE"""),"Opcionales Cucharas")</f>
        <v>Opcionales Cucharas</v>
      </c>
      <c r="S10" s="86" t="str">
        <f>IFERROR(__xludf.DUMMYFUNCTION("""COMPUTED_VALUE"""),"Opcionales Elevadores")</f>
        <v>Opcionales Elevadores</v>
      </c>
      <c r="T10" s="86" t="str">
        <f>IFERROR(__xludf.DUMMYFUNCTION("""COMPUTED_VALUE"""),"Acoples Elevadores")</f>
        <v>Acoples Elevadores</v>
      </c>
      <c r="U10" s="86" t="str">
        <f>IFERROR(__xludf.DUMMYFUNCTION("""COMPUTED_VALUE"""),"Repuestos Elevadores")</f>
        <v>Repuestos Elevadores</v>
      </c>
      <c r="V10" s="86"/>
      <c r="W10" s="86"/>
      <c r="X10" s="86"/>
      <c r="Y10" s="86"/>
      <c r="Z10" s="86"/>
      <c r="AA10" s="86"/>
      <c r="AB10" s="86"/>
      <c r="AC10" s="86"/>
      <c r="AD10" s="86"/>
      <c r="AE10" s="86"/>
    </row>
    <row r="11">
      <c r="A11" s="4">
        <f t="shared" si="1"/>
        <v>10</v>
      </c>
      <c r="B11" s="4"/>
      <c r="C11" s="4"/>
      <c r="D11" s="4"/>
      <c r="E11" s="45" t="s">
        <v>194</v>
      </c>
      <c r="F11" s="2" t="s">
        <v>349</v>
      </c>
      <c r="G11" s="2" t="s">
        <v>400</v>
      </c>
      <c r="H11" s="2">
        <f>IF(G11="","",SUMIF(Familias!C:C,G11,Familias!E:E))</f>
        <v>2</v>
      </c>
      <c r="I11" s="4">
        <f>IF(A11="","",COUNTIF(Prod_Prop!B:B,A11))</f>
        <v>0</v>
      </c>
      <c r="J11" s="92">
        <f>IF(E11="","",IF(SUMIF(Precio_Productos!L:L,E11,Precio_Productos!J:J)=0,"Falta Precio",SUMIF(Precio_Productos!L:L,E11,Precio_Productos!J:J)))</f>
        <v>1450000</v>
      </c>
      <c r="O11" s="86"/>
      <c r="P11" s="86" t="str">
        <f>IFERROR(__xludf.DUMMYFUNCTION("IF(OR(F11=""Selecciona.."",F11=""""),"""",TRANSPOSE(filter(Familias!C:C,Familias!D:D=F11)))"),"Brazos Elevadores Frontales")</f>
        <v>Brazos Elevadores Frontales</v>
      </c>
      <c r="Q11" s="86" t="str">
        <f>IFERROR(__xludf.DUMMYFUNCTION("""COMPUTED_VALUE"""),"Cucharas y Accesorios Elevadores")</f>
        <v>Cucharas y Accesorios Elevadores</v>
      </c>
      <c r="R11" s="86" t="str">
        <f>IFERROR(__xludf.DUMMYFUNCTION("""COMPUTED_VALUE"""),"Opcionales Cucharas")</f>
        <v>Opcionales Cucharas</v>
      </c>
      <c r="S11" s="86" t="str">
        <f>IFERROR(__xludf.DUMMYFUNCTION("""COMPUTED_VALUE"""),"Opcionales Elevadores")</f>
        <v>Opcionales Elevadores</v>
      </c>
      <c r="T11" s="86" t="str">
        <f>IFERROR(__xludf.DUMMYFUNCTION("""COMPUTED_VALUE"""),"Acoples Elevadores")</f>
        <v>Acoples Elevadores</v>
      </c>
      <c r="U11" s="86" t="str">
        <f>IFERROR(__xludf.DUMMYFUNCTION("""COMPUTED_VALUE"""),"Repuestos Elevadores")</f>
        <v>Repuestos Elevadores</v>
      </c>
      <c r="V11" s="86"/>
      <c r="W11" s="86"/>
      <c r="X11" s="86"/>
      <c r="Y11" s="86"/>
      <c r="Z11" s="86"/>
      <c r="AA11" s="86"/>
      <c r="AB11" s="86"/>
      <c r="AC11" s="86"/>
      <c r="AD11" s="86"/>
      <c r="AE11" s="86"/>
    </row>
    <row r="12">
      <c r="A12" s="4">
        <f t="shared" si="1"/>
        <v>11</v>
      </c>
      <c r="B12" s="4"/>
      <c r="C12" s="4"/>
      <c r="D12" s="4"/>
      <c r="E12" s="45" t="s">
        <v>195</v>
      </c>
      <c r="F12" s="2" t="s">
        <v>349</v>
      </c>
      <c r="G12" s="2" t="s">
        <v>400</v>
      </c>
      <c r="H12" s="2">
        <f>IF(G12="","",SUMIF(Familias!C:C,G12,Familias!E:E))</f>
        <v>2</v>
      </c>
      <c r="I12" s="4">
        <f>IF(A12="","",COUNTIF(Prod_Prop!B:B,A12))</f>
        <v>0</v>
      </c>
      <c r="J12" s="92">
        <f>IF(E12="","",IF(SUMIF(Precio_Productos!L:L,E12,Precio_Productos!J:J)=0,"Falta Precio",SUMIF(Precio_Productos!L:L,E12,Precio_Productos!J:J)))</f>
        <v>1700000</v>
      </c>
      <c r="O12" s="86"/>
      <c r="P12" s="86" t="str">
        <f>IFERROR(__xludf.DUMMYFUNCTION("IF(OR(F12=""Selecciona.."",F12=""""),"""",TRANSPOSE(filter(Familias!C:C,Familias!D:D=F12)))"),"Brazos Elevadores Frontales")</f>
        <v>Brazos Elevadores Frontales</v>
      </c>
      <c r="Q12" s="86" t="str">
        <f>IFERROR(__xludf.DUMMYFUNCTION("""COMPUTED_VALUE"""),"Cucharas y Accesorios Elevadores")</f>
        <v>Cucharas y Accesorios Elevadores</v>
      </c>
      <c r="R12" s="86" t="str">
        <f>IFERROR(__xludf.DUMMYFUNCTION("""COMPUTED_VALUE"""),"Opcionales Cucharas")</f>
        <v>Opcionales Cucharas</v>
      </c>
      <c r="S12" s="86" t="str">
        <f>IFERROR(__xludf.DUMMYFUNCTION("""COMPUTED_VALUE"""),"Opcionales Elevadores")</f>
        <v>Opcionales Elevadores</v>
      </c>
      <c r="T12" s="86" t="str">
        <f>IFERROR(__xludf.DUMMYFUNCTION("""COMPUTED_VALUE"""),"Acoples Elevadores")</f>
        <v>Acoples Elevadores</v>
      </c>
      <c r="U12" s="86" t="str">
        <f>IFERROR(__xludf.DUMMYFUNCTION("""COMPUTED_VALUE"""),"Repuestos Elevadores")</f>
        <v>Repuestos Elevadores</v>
      </c>
      <c r="V12" s="86"/>
      <c r="W12" s="86"/>
      <c r="X12" s="86"/>
      <c r="Y12" s="86"/>
      <c r="Z12" s="86"/>
      <c r="AA12" s="86"/>
      <c r="AB12" s="86"/>
      <c r="AC12" s="86"/>
      <c r="AD12" s="86"/>
      <c r="AE12" s="86"/>
    </row>
    <row r="13">
      <c r="A13" s="4">
        <f t="shared" si="1"/>
        <v>12</v>
      </c>
      <c r="C13" s="4"/>
      <c r="D13" s="2">
        <v>6010.0</v>
      </c>
      <c r="E13" s="45" t="s">
        <v>249</v>
      </c>
      <c r="F13" s="2" t="s">
        <v>349</v>
      </c>
      <c r="G13" s="2" t="s">
        <v>400</v>
      </c>
      <c r="H13" s="2">
        <f>IF(G13="","",SUMIF(Familias!C:C,G13,Familias!E:E))</f>
        <v>2</v>
      </c>
      <c r="I13" s="4">
        <f>IF(A13="","",COUNTIF(Prod_Prop!B:B,A13))</f>
        <v>0</v>
      </c>
      <c r="J13" s="92" t="str">
        <f>IF(E13="","",IF(SUMIF(Precio_Productos!L:L,E13,Precio_Productos!J:J)=0,"Falta Precio",SUMIF(Precio_Productos!L:L,E13,Precio_Productos!J:J)))</f>
        <v>Falta Precio</v>
      </c>
      <c r="O13" s="86"/>
      <c r="P13" s="86" t="str">
        <f>IFERROR(__xludf.DUMMYFUNCTION("IF(OR(F13=""Selecciona.."",F13=""""),"""",TRANSPOSE(filter(Familias!C:C,Familias!D:D=F13)))"),"Brazos Elevadores Frontales")</f>
        <v>Brazos Elevadores Frontales</v>
      </c>
      <c r="Q13" s="86" t="str">
        <f>IFERROR(__xludf.DUMMYFUNCTION("""COMPUTED_VALUE"""),"Cucharas y Accesorios Elevadores")</f>
        <v>Cucharas y Accesorios Elevadores</v>
      </c>
      <c r="R13" s="86" t="str">
        <f>IFERROR(__xludf.DUMMYFUNCTION("""COMPUTED_VALUE"""),"Opcionales Cucharas")</f>
        <v>Opcionales Cucharas</v>
      </c>
      <c r="S13" s="86" t="str">
        <f>IFERROR(__xludf.DUMMYFUNCTION("""COMPUTED_VALUE"""),"Opcionales Elevadores")</f>
        <v>Opcionales Elevadores</v>
      </c>
      <c r="T13" s="86" t="str">
        <f>IFERROR(__xludf.DUMMYFUNCTION("""COMPUTED_VALUE"""),"Acoples Elevadores")</f>
        <v>Acoples Elevadores</v>
      </c>
      <c r="U13" s="86" t="str">
        <f>IFERROR(__xludf.DUMMYFUNCTION("""COMPUTED_VALUE"""),"Repuestos Elevadores")</f>
        <v>Repuestos Elevadores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</row>
    <row r="14">
      <c r="A14" s="4">
        <f t="shared" si="1"/>
        <v>13</v>
      </c>
      <c r="C14" s="4"/>
      <c r="D14" s="2">
        <v>6011.0</v>
      </c>
      <c r="E14" s="45" t="s">
        <v>250</v>
      </c>
      <c r="F14" s="2" t="s">
        <v>349</v>
      </c>
      <c r="G14" s="2" t="s">
        <v>400</v>
      </c>
      <c r="H14" s="2">
        <f>IF(G14="","",SUMIF(Familias!C:C,G14,Familias!E:E))</f>
        <v>2</v>
      </c>
      <c r="I14" s="4">
        <f>IF(A14="","",COUNTIF(Prod_Prop!B:B,A14))</f>
        <v>0</v>
      </c>
      <c r="J14" s="92" t="str">
        <f>IF(E14="","",IF(SUMIF(Precio_Productos!L:L,E14,Precio_Productos!J:J)=0,"Falta Precio",SUMIF(Precio_Productos!L:L,E14,Precio_Productos!J:J)))</f>
        <v>Falta Precio</v>
      </c>
      <c r="O14" s="86"/>
      <c r="P14" s="86" t="str">
        <f>IFERROR(__xludf.DUMMYFUNCTION("IF(OR(F14=""Selecciona.."",F14=""""),"""",TRANSPOSE(filter(Familias!C:C,Familias!D:D=F14)))"),"Brazos Elevadores Frontales")</f>
        <v>Brazos Elevadores Frontales</v>
      </c>
      <c r="Q14" s="86" t="str">
        <f>IFERROR(__xludf.DUMMYFUNCTION("""COMPUTED_VALUE"""),"Cucharas y Accesorios Elevadores")</f>
        <v>Cucharas y Accesorios Elevadores</v>
      </c>
      <c r="R14" s="86" t="str">
        <f>IFERROR(__xludf.DUMMYFUNCTION("""COMPUTED_VALUE"""),"Opcionales Cucharas")</f>
        <v>Opcionales Cucharas</v>
      </c>
      <c r="S14" s="86" t="str">
        <f>IFERROR(__xludf.DUMMYFUNCTION("""COMPUTED_VALUE"""),"Opcionales Elevadores")</f>
        <v>Opcionales Elevadores</v>
      </c>
      <c r="T14" s="86" t="str">
        <f>IFERROR(__xludf.DUMMYFUNCTION("""COMPUTED_VALUE"""),"Acoples Elevadores")</f>
        <v>Acoples Elevadores</v>
      </c>
      <c r="U14" s="86" t="str">
        <f>IFERROR(__xludf.DUMMYFUNCTION("""COMPUTED_VALUE"""),"Repuestos Elevadores")</f>
        <v>Repuestos Elevadores</v>
      </c>
      <c r="V14" s="86"/>
      <c r="W14" s="86"/>
      <c r="X14" s="86"/>
      <c r="Y14" s="86"/>
      <c r="Z14" s="86"/>
      <c r="AA14" s="86"/>
      <c r="AB14" s="86"/>
      <c r="AC14" s="86"/>
      <c r="AD14" s="86"/>
      <c r="AE14" s="86"/>
    </row>
    <row r="15">
      <c r="A15" s="4">
        <f t="shared" si="1"/>
        <v>14</v>
      </c>
      <c r="C15" s="4"/>
      <c r="D15" s="4"/>
      <c r="E15" s="45" t="s">
        <v>251</v>
      </c>
      <c r="F15" s="2" t="s">
        <v>349</v>
      </c>
      <c r="G15" s="2" t="s">
        <v>400</v>
      </c>
      <c r="H15" s="2">
        <f>IF(G15="","",SUMIF(Familias!C:C,G15,Familias!E:E))</f>
        <v>2</v>
      </c>
      <c r="I15" s="4">
        <f>IF(A15="","",COUNTIF(Prod_Prop!B:B,A15))</f>
        <v>0</v>
      </c>
      <c r="J15" s="92" t="str">
        <f>IF(E15="","",IF(SUMIF(Precio_Productos!L:L,E15,Precio_Productos!J:J)=0,"Falta Precio",SUMIF(Precio_Productos!L:L,E15,Precio_Productos!J:J)))</f>
        <v>Falta Precio</v>
      </c>
      <c r="O15" s="86"/>
      <c r="P15" s="86" t="str">
        <f>IFERROR(__xludf.DUMMYFUNCTION("IF(OR(F15=""Selecciona.."",F15=""""),"""",TRANSPOSE(filter(Familias!C:C,Familias!D:D=F15)))"),"Brazos Elevadores Frontales")</f>
        <v>Brazos Elevadores Frontales</v>
      </c>
      <c r="Q15" s="86" t="str">
        <f>IFERROR(__xludf.DUMMYFUNCTION("""COMPUTED_VALUE"""),"Cucharas y Accesorios Elevadores")</f>
        <v>Cucharas y Accesorios Elevadores</v>
      </c>
      <c r="R15" s="86" t="str">
        <f>IFERROR(__xludf.DUMMYFUNCTION("""COMPUTED_VALUE"""),"Opcionales Cucharas")</f>
        <v>Opcionales Cucharas</v>
      </c>
      <c r="S15" s="86" t="str">
        <f>IFERROR(__xludf.DUMMYFUNCTION("""COMPUTED_VALUE"""),"Opcionales Elevadores")</f>
        <v>Opcionales Elevadores</v>
      </c>
      <c r="T15" s="86" t="str">
        <f>IFERROR(__xludf.DUMMYFUNCTION("""COMPUTED_VALUE"""),"Acoples Elevadores")</f>
        <v>Acoples Elevadores</v>
      </c>
      <c r="U15" s="86" t="str">
        <f>IFERROR(__xludf.DUMMYFUNCTION("""COMPUTED_VALUE"""),"Repuestos Elevadores")</f>
        <v>Repuestos Elevadores</v>
      </c>
      <c r="V15" s="86"/>
      <c r="W15" s="86"/>
      <c r="X15" s="86"/>
      <c r="Y15" s="86"/>
      <c r="Z15" s="86"/>
      <c r="AA15" s="86"/>
      <c r="AB15" s="86"/>
      <c r="AC15" s="86"/>
      <c r="AD15" s="86"/>
      <c r="AE15" s="86"/>
    </row>
    <row r="16">
      <c r="A16" s="4">
        <f t="shared" si="1"/>
        <v>15</v>
      </c>
      <c r="C16" s="4"/>
      <c r="D16" s="4"/>
      <c r="E16" s="45" t="s">
        <v>252</v>
      </c>
      <c r="F16" s="2" t="s">
        <v>349</v>
      </c>
      <c r="G16" s="2" t="s">
        <v>400</v>
      </c>
      <c r="H16" s="2">
        <f>IF(G16="","",SUMIF(Familias!C:C,G16,Familias!E:E))</f>
        <v>2</v>
      </c>
      <c r="I16" s="4">
        <f>IF(A16="","",COUNTIF(Prod_Prop!B:B,A16))</f>
        <v>0</v>
      </c>
      <c r="J16" s="92" t="str">
        <f>IF(E16="","",IF(SUMIF(Precio_Productos!L:L,E16,Precio_Productos!J:J)=0,"Falta Precio",SUMIF(Precio_Productos!L:L,E16,Precio_Productos!J:J)))</f>
        <v>Falta Precio</v>
      </c>
      <c r="O16" s="86"/>
      <c r="P16" s="86" t="str">
        <f>IFERROR(__xludf.DUMMYFUNCTION("IF(OR(F16=""Selecciona.."",F16=""""),"""",TRANSPOSE(filter(Familias!C:C,Familias!D:D=F16)))"),"Brazos Elevadores Frontales")</f>
        <v>Brazos Elevadores Frontales</v>
      </c>
      <c r="Q16" s="86" t="str">
        <f>IFERROR(__xludf.DUMMYFUNCTION("""COMPUTED_VALUE"""),"Cucharas y Accesorios Elevadores")</f>
        <v>Cucharas y Accesorios Elevadores</v>
      </c>
      <c r="R16" s="86" t="str">
        <f>IFERROR(__xludf.DUMMYFUNCTION("""COMPUTED_VALUE"""),"Opcionales Cucharas")</f>
        <v>Opcionales Cucharas</v>
      </c>
      <c r="S16" s="86" t="str">
        <f>IFERROR(__xludf.DUMMYFUNCTION("""COMPUTED_VALUE"""),"Opcionales Elevadores")</f>
        <v>Opcionales Elevadores</v>
      </c>
      <c r="T16" s="86" t="str">
        <f>IFERROR(__xludf.DUMMYFUNCTION("""COMPUTED_VALUE"""),"Acoples Elevadores")</f>
        <v>Acoples Elevadores</v>
      </c>
      <c r="U16" s="86" t="str">
        <f>IFERROR(__xludf.DUMMYFUNCTION("""COMPUTED_VALUE"""),"Repuestos Elevadores")</f>
        <v>Repuestos Elevadores</v>
      </c>
      <c r="V16" s="86"/>
      <c r="W16" s="86"/>
      <c r="X16" s="86"/>
      <c r="Y16" s="86"/>
      <c r="Z16" s="86"/>
      <c r="AA16" s="86"/>
      <c r="AB16" s="86"/>
      <c r="AC16" s="86"/>
      <c r="AD16" s="86"/>
      <c r="AE16" s="86"/>
    </row>
    <row r="17">
      <c r="A17" s="4">
        <f t="shared" si="1"/>
        <v>16</v>
      </c>
      <c r="C17" s="4"/>
      <c r="D17" s="2">
        <v>6003.0</v>
      </c>
      <c r="E17" s="45" t="s">
        <v>196</v>
      </c>
      <c r="F17" s="2" t="s">
        <v>349</v>
      </c>
      <c r="G17" s="2" t="s">
        <v>400</v>
      </c>
      <c r="H17" s="2">
        <f>IF(G17="","",SUMIF(Familias!C:C,G17,Familias!E:E))</f>
        <v>2</v>
      </c>
      <c r="I17" s="4">
        <f>IF(A17="","",COUNTIF(Prod_Prop!B:B,A17))</f>
        <v>0</v>
      </c>
      <c r="J17" s="92">
        <f>IF(E17="","",IF(SUMIF(Precio_Productos!L:L,E17,Precio_Productos!J:J)=0,"Falta Precio",SUMIF(Precio_Productos!L:L,E17,Precio_Productos!J:J)))</f>
        <v>761931</v>
      </c>
      <c r="O17" s="86"/>
      <c r="P17" s="86" t="str">
        <f>IFERROR(__xludf.DUMMYFUNCTION("IF(OR(F17=""Selecciona.."",F17=""""),"""",TRANSPOSE(filter(Familias!C:C,Familias!D:D=F17)))"),"Brazos Elevadores Frontales")</f>
        <v>Brazos Elevadores Frontales</v>
      </c>
      <c r="Q17" s="86" t="str">
        <f>IFERROR(__xludf.DUMMYFUNCTION("""COMPUTED_VALUE"""),"Cucharas y Accesorios Elevadores")</f>
        <v>Cucharas y Accesorios Elevadores</v>
      </c>
      <c r="R17" s="86" t="str">
        <f>IFERROR(__xludf.DUMMYFUNCTION("""COMPUTED_VALUE"""),"Opcionales Cucharas")</f>
        <v>Opcionales Cucharas</v>
      </c>
      <c r="S17" s="86" t="str">
        <f>IFERROR(__xludf.DUMMYFUNCTION("""COMPUTED_VALUE"""),"Opcionales Elevadores")</f>
        <v>Opcionales Elevadores</v>
      </c>
      <c r="T17" s="86" t="str">
        <f>IFERROR(__xludf.DUMMYFUNCTION("""COMPUTED_VALUE"""),"Acoples Elevadores")</f>
        <v>Acoples Elevadores</v>
      </c>
      <c r="U17" s="86" t="str">
        <f>IFERROR(__xludf.DUMMYFUNCTION("""COMPUTED_VALUE"""),"Repuestos Elevadores")</f>
        <v>Repuestos Elevadores</v>
      </c>
      <c r="V17" s="86"/>
      <c r="W17" s="86"/>
      <c r="X17" s="86"/>
      <c r="Y17" s="86"/>
      <c r="Z17" s="86"/>
      <c r="AA17" s="86"/>
      <c r="AB17" s="86"/>
      <c r="AC17" s="86"/>
      <c r="AD17" s="86"/>
      <c r="AE17" s="86"/>
    </row>
    <row r="18">
      <c r="A18" s="4">
        <f t="shared" si="1"/>
        <v>17</v>
      </c>
      <c r="C18" s="4"/>
      <c r="D18" s="4"/>
      <c r="E18" s="45" t="s">
        <v>197</v>
      </c>
      <c r="F18" s="2" t="s">
        <v>349</v>
      </c>
      <c r="G18" s="2" t="s">
        <v>400</v>
      </c>
      <c r="H18" s="2">
        <f>IF(G18="","",SUMIF(Familias!C:C,G18,Familias!E:E))</f>
        <v>2</v>
      </c>
      <c r="I18" s="4">
        <f>IF(A18="","",COUNTIF(Prod_Prop!B:B,A18))</f>
        <v>0</v>
      </c>
      <c r="J18" s="92">
        <f>IF(E18="","",IF(SUMIF(Precio_Productos!L:L,E18,Precio_Productos!J:J)=0,"Falta Precio",SUMIF(Precio_Productos!L:L,E18,Precio_Productos!J:J)))</f>
        <v>1083075</v>
      </c>
      <c r="O18" s="86"/>
      <c r="P18" s="86" t="str">
        <f>IFERROR(__xludf.DUMMYFUNCTION("IF(OR(F18=""Selecciona.."",F18=""""),"""",TRANSPOSE(filter(Familias!C:C,Familias!D:D=F18)))"),"Brazos Elevadores Frontales")</f>
        <v>Brazos Elevadores Frontales</v>
      </c>
      <c r="Q18" s="86" t="str">
        <f>IFERROR(__xludf.DUMMYFUNCTION("""COMPUTED_VALUE"""),"Cucharas y Accesorios Elevadores")</f>
        <v>Cucharas y Accesorios Elevadores</v>
      </c>
      <c r="R18" s="86" t="str">
        <f>IFERROR(__xludf.DUMMYFUNCTION("""COMPUTED_VALUE"""),"Opcionales Cucharas")</f>
        <v>Opcionales Cucharas</v>
      </c>
      <c r="S18" s="86" t="str">
        <f>IFERROR(__xludf.DUMMYFUNCTION("""COMPUTED_VALUE"""),"Opcionales Elevadores")</f>
        <v>Opcionales Elevadores</v>
      </c>
      <c r="T18" s="86" t="str">
        <f>IFERROR(__xludf.DUMMYFUNCTION("""COMPUTED_VALUE"""),"Acoples Elevadores")</f>
        <v>Acoples Elevadores</v>
      </c>
      <c r="U18" s="86" t="str">
        <f>IFERROR(__xludf.DUMMYFUNCTION("""COMPUTED_VALUE"""),"Repuestos Elevadores")</f>
        <v>Repuestos Elevadores</v>
      </c>
      <c r="V18" s="86"/>
      <c r="W18" s="86"/>
      <c r="X18" s="86"/>
      <c r="Y18" s="86"/>
      <c r="Z18" s="86"/>
      <c r="AA18" s="86"/>
      <c r="AB18" s="86"/>
      <c r="AC18" s="86"/>
      <c r="AD18" s="86"/>
      <c r="AE18" s="86"/>
    </row>
    <row r="19">
      <c r="A19" s="4">
        <f t="shared" si="1"/>
        <v>18</v>
      </c>
      <c r="B19" s="4"/>
      <c r="C19" s="4"/>
      <c r="D19" s="4"/>
      <c r="E19" s="45" t="s">
        <v>198</v>
      </c>
      <c r="F19" s="2" t="s">
        <v>349</v>
      </c>
      <c r="G19" s="2" t="s">
        <v>400</v>
      </c>
      <c r="H19" s="2">
        <f>IF(G19="","",SUMIF(Familias!C:C,G19,Familias!E:E))</f>
        <v>2</v>
      </c>
      <c r="I19" s="4">
        <f>IF(A19="","",COUNTIF(Prod_Prop!B:B,A19))</f>
        <v>0</v>
      </c>
      <c r="J19" s="92">
        <f>IF(E19="","",IF(SUMIF(Precio_Productos!L:L,E19,Precio_Productos!J:J)=0,"Falta Precio",SUMIF(Precio_Productos!L:L,E19,Precio_Productos!J:J)))</f>
        <v>2800000</v>
      </c>
      <c r="O19" s="86"/>
      <c r="P19" s="86" t="str">
        <f>IFERROR(__xludf.DUMMYFUNCTION("IF(OR(F19=""Selecciona.."",F19=""""),"""",TRANSPOSE(filter(Familias!C:C,Familias!D:D=F19)))"),"Brazos Elevadores Frontales")</f>
        <v>Brazos Elevadores Frontales</v>
      </c>
      <c r="Q19" s="86" t="str">
        <f>IFERROR(__xludf.DUMMYFUNCTION("""COMPUTED_VALUE"""),"Cucharas y Accesorios Elevadores")</f>
        <v>Cucharas y Accesorios Elevadores</v>
      </c>
      <c r="R19" s="86" t="str">
        <f>IFERROR(__xludf.DUMMYFUNCTION("""COMPUTED_VALUE"""),"Opcionales Cucharas")</f>
        <v>Opcionales Cucharas</v>
      </c>
      <c r="S19" s="86" t="str">
        <f>IFERROR(__xludf.DUMMYFUNCTION("""COMPUTED_VALUE"""),"Opcionales Elevadores")</f>
        <v>Opcionales Elevadores</v>
      </c>
      <c r="T19" s="86" t="str">
        <f>IFERROR(__xludf.DUMMYFUNCTION("""COMPUTED_VALUE"""),"Acoples Elevadores")</f>
        <v>Acoples Elevadores</v>
      </c>
      <c r="U19" s="86" t="str">
        <f>IFERROR(__xludf.DUMMYFUNCTION("""COMPUTED_VALUE"""),"Repuestos Elevadores")</f>
        <v>Repuestos Elevadores</v>
      </c>
      <c r="V19" s="86"/>
      <c r="W19" s="86"/>
      <c r="X19" s="86"/>
      <c r="Y19" s="86"/>
      <c r="Z19" s="86"/>
      <c r="AA19" s="86"/>
      <c r="AB19" s="86"/>
      <c r="AC19" s="86"/>
      <c r="AD19" s="86"/>
      <c r="AE19" s="86"/>
    </row>
    <row r="20">
      <c r="A20" s="4">
        <f t="shared" si="1"/>
        <v>19</v>
      </c>
      <c r="B20" s="4"/>
      <c r="C20" s="4"/>
      <c r="D20" s="4"/>
      <c r="E20" s="45" t="s">
        <v>199</v>
      </c>
      <c r="F20" s="2" t="s">
        <v>349</v>
      </c>
      <c r="G20" s="2" t="s">
        <v>404</v>
      </c>
      <c r="H20" s="2">
        <f>IF(G20="","",SUMIF(Familias!C:C,G20,Familias!E:E))</f>
        <v>3</v>
      </c>
      <c r="I20" s="4">
        <f>IF(A20="","",COUNTIF(Prod_Prop!B:B,A20))</f>
        <v>0</v>
      </c>
      <c r="J20" s="92" t="str">
        <f>IF(E20="","",IF(SUMIF(Precio_Productos!L:L,E20,Precio_Productos!J:J)=0,"Falta Precio",SUMIF(Precio_Productos!L:L,E20,Precio_Productos!J:J)))</f>
        <v>Falta Precio</v>
      </c>
      <c r="O20" s="86"/>
      <c r="P20" s="86" t="str">
        <f>IFERROR(__xludf.DUMMYFUNCTION("IF(OR(F20=""Selecciona.."",F20=""""),"""",TRANSPOSE(filter(Familias!C:C,Familias!D:D=F20)))"),"Brazos Elevadores Frontales")</f>
        <v>Brazos Elevadores Frontales</v>
      </c>
      <c r="Q20" s="86" t="str">
        <f>IFERROR(__xludf.DUMMYFUNCTION("""COMPUTED_VALUE"""),"Cucharas y Accesorios Elevadores")</f>
        <v>Cucharas y Accesorios Elevadores</v>
      </c>
      <c r="R20" s="86" t="str">
        <f>IFERROR(__xludf.DUMMYFUNCTION("""COMPUTED_VALUE"""),"Opcionales Cucharas")</f>
        <v>Opcionales Cucharas</v>
      </c>
      <c r="S20" s="86" t="str">
        <f>IFERROR(__xludf.DUMMYFUNCTION("""COMPUTED_VALUE"""),"Opcionales Elevadores")</f>
        <v>Opcionales Elevadores</v>
      </c>
      <c r="T20" s="86" t="str">
        <f>IFERROR(__xludf.DUMMYFUNCTION("""COMPUTED_VALUE"""),"Acoples Elevadores")</f>
        <v>Acoples Elevadores</v>
      </c>
      <c r="U20" s="86" t="str">
        <f>IFERROR(__xludf.DUMMYFUNCTION("""COMPUTED_VALUE"""),"Repuestos Elevadores")</f>
        <v>Repuestos Elevadores</v>
      </c>
      <c r="V20" s="86"/>
      <c r="W20" s="86"/>
      <c r="X20" s="86"/>
      <c r="Y20" s="86"/>
      <c r="Z20" s="86"/>
      <c r="AA20" s="86"/>
      <c r="AB20" s="86"/>
      <c r="AC20" s="86"/>
      <c r="AD20" s="86"/>
      <c r="AE20" s="86"/>
    </row>
    <row r="21">
      <c r="A21" s="4">
        <f t="shared" si="1"/>
        <v>20</v>
      </c>
      <c r="B21" s="4"/>
      <c r="C21" s="4"/>
      <c r="D21" s="4"/>
      <c r="E21" s="45" t="s">
        <v>200</v>
      </c>
      <c r="F21" s="2" t="s">
        <v>349</v>
      </c>
      <c r="G21" s="2" t="s">
        <v>404</v>
      </c>
      <c r="H21" s="2">
        <f>IF(G21="","",SUMIF(Familias!C:C,G21,Familias!E:E))</f>
        <v>3</v>
      </c>
      <c r="I21" s="4">
        <f>IF(A21="","",COUNTIF(Prod_Prop!B:B,A21))</f>
        <v>0</v>
      </c>
      <c r="J21" s="92" t="str">
        <f>IF(E21="","",IF(SUMIF(Precio_Productos!L:L,E21,Precio_Productos!J:J)=0,"Falta Precio",SUMIF(Precio_Productos!L:L,E21,Precio_Productos!J:J)))</f>
        <v>Falta Precio</v>
      </c>
      <c r="O21" s="86"/>
      <c r="P21" s="86" t="str">
        <f>IFERROR(__xludf.DUMMYFUNCTION("IF(OR(F21=""Selecciona.."",F21=""""),"""",TRANSPOSE(filter(Familias!C:C,Familias!D:D=F21)))"),"Brazos Elevadores Frontales")</f>
        <v>Brazos Elevadores Frontales</v>
      </c>
      <c r="Q21" s="86" t="str">
        <f>IFERROR(__xludf.DUMMYFUNCTION("""COMPUTED_VALUE"""),"Cucharas y Accesorios Elevadores")</f>
        <v>Cucharas y Accesorios Elevadores</v>
      </c>
      <c r="R21" s="86" t="str">
        <f>IFERROR(__xludf.DUMMYFUNCTION("""COMPUTED_VALUE"""),"Opcionales Cucharas")</f>
        <v>Opcionales Cucharas</v>
      </c>
      <c r="S21" s="86" t="str">
        <f>IFERROR(__xludf.DUMMYFUNCTION("""COMPUTED_VALUE"""),"Opcionales Elevadores")</f>
        <v>Opcionales Elevadores</v>
      </c>
      <c r="T21" s="86" t="str">
        <f>IFERROR(__xludf.DUMMYFUNCTION("""COMPUTED_VALUE"""),"Acoples Elevadores")</f>
        <v>Acoples Elevadores</v>
      </c>
      <c r="U21" s="86" t="str">
        <f>IFERROR(__xludf.DUMMYFUNCTION("""COMPUTED_VALUE"""),"Repuestos Elevadores")</f>
        <v>Repuestos Elevadores</v>
      </c>
      <c r="V21" s="86"/>
      <c r="W21" s="86"/>
      <c r="X21" s="86"/>
      <c r="Y21" s="86"/>
      <c r="Z21" s="86"/>
      <c r="AA21" s="86"/>
      <c r="AB21" s="86"/>
      <c r="AC21" s="86"/>
      <c r="AD21" s="86"/>
      <c r="AE21" s="86"/>
    </row>
    <row r="22">
      <c r="A22" s="4">
        <f t="shared" si="1"/>
        <v>21</v>
      </c>
      <c r="B22" s="4"/>
      <c r="C22" s="4"/>
      <c r="D22" s="4"/>
      <c r="E22" s="45" t="s">
        <v>201</v>
      </c>
      <c r="F22" s="2" t="s">
        <v>349</v>
      </c>
      <c r="G22" s="2" t="s">
        <v>404</v>
      </c>
      <c r="H22" s="2">
        <f>IF(G22="","",SUMIF(Familias!C:C,G22,Familias!E:E))</f>
        <v>3</v>
      </c>
      <c r="I22" s="4">
        <f>IF(A22="","",COUNTIF(Prod_Prop!B:B,A22))</f>
        <v>0</v>
      </c>
      <c r="J22" s="92">
        <f>IF(E22="","",IF(SUMIF(Precio_Productos!L:L,E22,Precio_Productos!J:J)=0,"Falta Precio",SUMIF(Precio_Productos!L:L,E22,Precio_Productos!J:J)))</f>
        <v>932248</v>
      </c>
      <c r="O22" s="86"/>
      <c r="P22" s="86" t="str">
        <f>IFERROR(__xludf.DUMMYFUNCTION("IF(OR(F22=""Selecciona.."",F22=""""),"""",TRANSPOSE(filter(Familias!C:C,Familias!D:D=F22)))"),"Brazos Elevadores Frontales")</f>
        <v>Brazos Elevadores Frontales</v>
      </c>
      <c r="Q22" s="86" t="str">
        <f>IFERROR(__xludf.DUMMYFUNCTION("""COMPUTED_VALUE"""),"Cucharas y Accesorios Elevadores")</f>
        <v>Cucharas y Accesorios Elevadores</v>
      </c>
      <c r="R22" s="86" t="str">
        <f>IFERROR(__xludf.DUMMYFUNCTION("""COMPUTED_VALUE"""),"Opcionales Cucharas")</f>
        <v>Opcionales Cucharas</v>
      </c>
      <c r="S22" s="86" t="str">
        <f>IFERROR(__xludf.DUMMYFUNCTION("""COMPUTED_VALUE"""),"Opcionales Elevadores")</f>
        <v>Opcionales Elevadores</v>
      </c>
      <c r="T22" s="86" t="str">
        <f>IFERROR(__xludf.DUMMYFUNCTION("""COMPUTED_VALUE"""),"Acoples Elevadores")</f>
        <v>Acoples Elevadores</v>
      </c>
      <c r="U22" s="86" t="str">
        <f>IFERROR(__xludf.DUMMYFUNCTION("""COMPUTED_VALUE"""),"Repuestos Elevadores")</f>
        <v>Repuestos Elevadores</v>
      </c>
      <c r="V22" s="86"/>
      <c r="W22" s="86"/>
      <c r="X22" s="86"/>
      <c r="Y22" s="86"/>
      <c r="Z22" s="86"/>
      <c r="AA22" s="86"/>
      <c r="AB22" s="86"/>
      <c r="AC22" s="86"/>
      <c r="AD22" s="86"/>
      <c r="AE22" s="86"/>
    </row>
    <row r="23">
      <c r="A23" s="4">
        <f t="shared" si="1"/>
        <v>22</v>
      </c>
      <c r="B23" s="4"/>
      <c r="C23" s="4"/>
      <c r="D23" s="2"/>
      <c r="E23" s="45" t="s">
        <v>202</v>
      </c>
      <c r="F23" s="2" t="s">
        <v>349</v>
      </c>
      <c r="G23" s="2" t="s">
        <v>406</v>
      </c>
      <c r="H23" s="2">
        <f>IF(G23="","",SUMIF(Familias!C:C,G23,Familias!E:E))</f>
        <v>4</v>
      </c>
      <c r="I23" s="4">
        <f>IF(A23="","",COUNTIF(Prod_Prop!B:B,A23))</f>
        <v>0</v>
      </c>
      <c r="J23" s="92">
        <f>IF(E23="","",IF(SUMIF(Precio_Productos!L:L,E23,Precio_Productos!J:J)=0,"Falta Precio",SUMIF(Precio_Productos!L:L,E23,Precio_Productos!J:J)))</f>
        <v>710000</v>
      </c>
      <c r="O23" s="86"/>
      <c r="P23" s="86" t="str">
        <f>IFERROR(__xludf.DUMMYFUNCTION("IF(OR(F23=""Selecciona.."",F23=""""),"""",TRANSPOSE(filter(Familias!C:C,Familias!D:D=F23)))"),"Brazos Elevadores Frontales")</f>
        <v>Brazos Elevadores Frontales</v>
      </c>
      <c r="Q23" s="86" t="str">
        <f>IFERROR(__xludf.DUMMYFUNCTION("""COMPUTED_VALUE"""),"Cucharas y Accesorios Elevadores")</f>
        <v>Cucharas y Accesorios Elevadores</v>
      </c>
      <c r="R23" s="86" t="str">
        <f>IFERROR(__xludf.DUMMYFUNCTION("""COMPUTED_VALUE"""),"Opcionales Cucharas")</f>
        <v>Opcionales Cucharas</v>
      </c>
      <c r="S23" s="86" t="str">
        <f>IFERROR(__xludf.DUMMYFUNCTION("""COMPUTED_VALUE"""),"Opcionales Elevadores")</f>
        <v>Opcionales Elevadores</v>
      </c>
      <c r="T23" s="86" t="str">
        <f>IFERROR(__xludf.DUMMYFUNCTION("""COMPUTED_VALUE"""),"Acoples Elevadores")</f>
        <v>Acoples Elevadores</v>
      </c>
      <c r="U23" s="86" t="str">
        <f>IFERROR(__xludf.DUMMYFUNCTION("""COMPUTED_VALUE"""),"Repuestos Elevadores")</f>
        <v>Repuestos Elevadores</v>
      </c>
      <c r="V23" s="86"/>
      <c r="W23" s="86"/>
      <c r="X23" s="86"/>
      <c r="Y23" s="86"/>
      <c r="Z23" s="86"/>
      <c r="AA23" s="86"/>
      <c r="AB23" s="86"/>
      <c r="AC23" s="86"/>
      <c r="AD23" s="86"/>
      <c r="AE23" s="86"/>
    </row>
    <row r="24">
      <c r="A24" s="4">
        <f t="shared" si="1"/>
        <v>23</v>
      </c>
      <c r="B24" s="4"/>
      <c r="C24" s="4"/>
      <c r="D24" s="2">
        <v>6002.0</v>
      </c>
      <c r="E24" s="45" t="s">
        <v>203</v>
      </c>
      <c r="F24" s="2" t="s">
        <v>349</v>
      </c>
      <c r="G24" s="2" t="s">
        <v>406</v>
      </c>
      <c r="H24" s="2">
        <f>IF(G24="","",SUMIF(Familias!C:C,G24,Familias!E:E))</f>
        <v>4</v>
      </c>
      <c r="I24" s="4">
        <f>IF(A24="","",COUNTIF(Prod_Prop!B:B,A24))</f>
        <v>0</v>
      </c>
      <c r="J24" s="92">
        <f>IF(E24="","",IF(SUMIF(Precio_Productos!L:L,E24,Precio_Productos!J:J)=0,"Falta Precio",SUMIF(Precio_Productos!L:L,E24,Precio_Productos!J:J)))</f>
        <v>551269</v>
      </c>
      <c r="O24" s="86"/>
      <c r="P24" s="86" t="str">
        <f>IFERROR(__xludf.DUMMYFUNCTION("IF(OR(F24=""Selecciona.."",F24=""""),"""",TRANSPOSE(filter(Familias!C:C,Familias!D:D=F24)))"),"Brazos Elevadores Frontales")</f>
        <v>Brazos Elevadores Frontales</v>
      </c>
      <c r="Q24" s="86" t="str">
        <f>IFERROR(__xludf.DUMMYFUNCTION("""COMPUTED_VALUE"""),"Cucharas y Accesorios Elevadores")</f>
        <v>Cucharas y Accesorios Elevadores</v>
      </c>
      <c r="R24" s="86" t="str">
        <f>IFERROR(__xludf.DUMMYFUNCTION("""COMPUTED_VALUE"""),"Opcionales Cucharas")</f>
        <v>Opcionales Cucharas</v>
      </c>
      <c r="S24" s="86" t="str">
        <f>IFERROR(__xludf.DUMMYFUNCTION("""COMPUTED_VALUE"""),"Opcionales Elevadores")</f>
        <v>Opcionales Elevadores</v>
      </c>
      <c r="T24" s="86" t="str">
        <f>IFERROR(__xludf.DUMMYFUNCTION("""COMPUTED_VALUE"""),"Acoples Elevadores")</f>
        <v>Acoples Elevadores</v>
      </c>
      <c r="U24" s="86" t="str">
        <f>IFERROR(__xludf.DUMMYFUNCTION("""COMPUTED_VALUE"""),"Repuestos Elevadores")</f>
        <v>Repuestos Elevadores</v>
      </c>
      <c r="V24" s="86"/>
      <c r="W24" s="86"/>
      <c r="X24" s="86"/>
      <c r="Y24" s="86"/>
      <c r="Z24" s="86"/>
      <c r="AA24" s="86"/>
      <c r="AB24" s="86"/>
      <c r="AC24" s="86"/>
      <c r="AD24" s="86"/>
      <c r="AE24" s="86"/>
    </row>
    <row r="25">
      <c r="A25" s="4">
        <f t="shared" si="1"/>
        <v>24</v>
      </c>
      <c r="B25" s="4"/>
      <c r="C25" s="4"/>
      <c r="D25" s="4"/>
      <c r="E25" s="45" t="s">
        <v>204</v>
      </c>
      <c r="F25" s="2" t="s">
        <v>349</v>
      </c>
      <c r="G25" s="2" t="s">
        <v>406</v>
      </c>
      <c r="H25" s="2">
        <f>IF(G25="","",SUMIF(Familias!C:C,G25,Familias!E:E))</f>
        <v>4</v>
      </c>
      <c r="I25" s="4">
        <f>IF(A25="","",COUNTIF(Prod_Prop!B:B,A25))</f>
        <v>0</v>
      </c>
      <c r="J25" s="92">
        <f>IF(E25="","",IF(SUMIF(Precio_Productos!L:L,E25,Precio_Productos!J:J)=0,"Falta Precio",SUMIF(Precio_Productos!L:L,E25,Precio_Productos!J:J)))</f>
        <v>796278</v>
      </c>
      <c r="O25" s="86"/>
      <c r="P25" s="86" t="str">
        <f>IFERROR(__xludf.DUMMYFUNCTION("IF(OR(F25=""Selecciona.."",F25=""""),"""",TRANSPOSE(filter(Familias!C:C,Familias!D:D=F25)))"),"Brazos Elevadores Frontales")</f>
        <v>Brazos Elevadores Frontales</v>
      </c>
      <c r="Q25" s="86" t="str">
        <f>IFERROR(__xludf.DUMMYFUNCTION("""COMPUTED_VALUE"""),"Cucharas y Accesorios Elevadores")</f>
        <v>Cucharas y Accesorios Elevadores</v>
      </c>
      <c r="R25" s="86" t="str">
        <f>IFERROR(__xludf.DUMMYFUNCTION("""COMPUTED_VALUE"""),"Opcionales Cucharas")</f>
        <v>Opcionales Cucharas</v>
      </c>
      <c r="S25" s="86" t="str">
        <f>IFERROR(__xludf.DUMMYFUNCTION("""COMPUTED_VALUE"""),"Opcionales Elevadores")</f>
        <v>Opcionales Elevadores</v>
      </c>
      <c r="T25" s="86" t="str">
        <f>IFERROR(__xludf.DUMMYFUNCTION("""COMPUTED_VALUE"""),"Acoples Elevadores")</f>
        <v>Acoples Elevadores</v>
      </c>
      <c r="U25" s="86" t="str">
        <f>IFERROR(__xludf.DUMMYFUNCTION("""COMPUTED_VALUE"""),"Repuestos Elevadores")</f>
        <v>Repuestos Elevadores</v>
      </c>
      <c r="V25" s="86"/>
      <c r="W25" s="86"/>
      <c r="X25" s="86"/>
      <c r="Y25" s="86"/>
      <c r="Z25" s="86"/>
      <c r="AA25" s="86"/>
      <c r="AB25" s="86"/>
      <c r="AC25" s="86"/>
      <c r="AD25" s="86"/>
      <c r="AE25" s="86"/>
    </row>
    <row r="26">
      <c r="A26" s="4">
        <f t="shared" si="1"/>
        <v>25</v>
      </c>
      <c r="B26" s="4"/>
      <c r="C26" s="4"/>
      <c r="D26" s="4"/>
      <c r="E26" s="45" t="s">
        <v>205</v>
      </c>
      <c r="F26" s="2" t="s">
        <v>349</v>
      </c>
      <c r="G26" s="2" t="s">
        <v>406</v>
      </c>
      <c r="H26" s="2">
        <f>IF(G26="","",SUMIF(Familias!C:C,G26,Familias!E:E))</f>
        <v>4</v>
      </c>
      <c r="I26" s="4">
        <f>IF(A26="","",COUNTIF(Prod_Prop!B:B,A26))</f>
        <v>0</v>
      </c>
      <c r="J26" s="92">
        <f>IF(E26="","",IF(SUMIF(Precio_Productos!L:L,E26,Precio_Productos!J:J)=0,"Falta Precio",SUMIF(Precio_Productos!L:L,E26,Precio_Productos!J:J)))</f>
        <v>956265</v>
      </c>
      <c r="O26" s="86"/>
      <c r="P26" s="86" t="str">
        <f>IFERROR(__xludf.DUMMYFUNCTION("IF(OR(F26=""Selecciona.."",F26=""""),"""",TRANSPOSE(filter(Familias!C:C,Familias!D:D=F26)))"),"Brazos Elevadores Frontales")</f>
        <v>Brazos Elevadores Frontales</v>
      </c>
      <c r="Q26" s="86" t="str">
        <f>IFERROR(__xludf.DUMMYFUNCTION("""COMPUTED_VALUE"""),"Cucharas y Accesorios Elevadores")</f>
        <v>Cucharas y Accesorios Elevadores</v>
      </c>
      <c r="R26" s="86" t="str">
        <f>IFERROR(__xludf.DUMMYFUNCTION("""COMPUTED_VALUE"""),"Opcionales Cucharas")</f>
        <v>Opcionales Cucharas</v>
      </c>
      <c r="S26" s="86" t="str">
        <f>IFERROR(__xludf.DUMMYFUNCTION("""COMPUTED_VALUE"""),"Opcionales Elevadores")</f>
        <v>Opcionales Elevadores</v>
      </c>
      <c r="T26" s="86" t="str">
        <f>IFERROR(__xludf.DUMMYFUNCTION("""COMPUTED_VALUE"""),"Acoples Elevadores")</f>
        <v>Acoples Elevadores</v>
      </c>
      <c r="U26" s="86" t="str">
        <f>IFERROR(__xludf.DUMMYFUNCTION("""COMPUTED_VALUE"""),"Repuestos Elevadores")</f>
        <v>Repuestos Elevadores</v>
      </c>
      <c r="V26" s="86"/>
      <c r="W26" s="86"/>
      <c r="X26" s="86"/>
      <c r="Y26" s="86"/>
      <c r="Z26" s="86"/>
      <c r="AA26" s="86"/>
      <c r="AB26" s="86"/>
      <c r="AC26" s="86"/>
      <c r="AD26" s="86"/>
      <c r="AE26" s="86"/>
    </row>
    <row r="27">
      <c r="A27" s="4">
        <f t="shared" si="1"/>
        <v>26</v>
      </c>
      <c r="B27" s="4"/>
      <c r="C27" s="4"/>
      <c r="D27" s="4"/>
      <c r="E27" s="45" t="s">
        <v>206</v>
      </c>
      <c r="F27" s="2" t="s">
        <v>349</v>
      </c>
      <c r="G27" s="2" t="s">
        <v>406</v>
      </c>
      <c r="H27" s="2">
        <f>IF(G27="","",SUMIF(Familias!C:C,G27,Familias!E:E))</f>
        <v>4</v>
      </c>
      <c r="I27" s="4">
        <f>IF(A27="","",COUNTIF(Prod_Prop!B:B,A27))</f>
        <v>0</v>
      </c>
      <c r="J27" s="92" t="str">
        <f>IF(E27="","",IF(SUMIF(Precio_Productos!L:L,E27,Precio_Productos!J:J)=0,"Falta Precio",SUMIF(Precio_Productos!L:L,E27,Precio_Productos!J:J)))</f>
        <v>Falta Precio</v>
      </c>
      <c r="O27" s="86"/>
      <c r="P27" s="86" t="str">
        <f>IFERROR(__xludf.DUMMYFUNCTION("IF(OR(F27=""Selecciona.."",F27=""""),"""",TRANSPOSE(filter(Familias!C:C,Familias!D:D=F27)))"),"Brazos Elevadores Frontales")</f>
        <v>Brazos Elevadores Frontales</v>
      </c>
      <c r="Q27" s="86" t="str">
        <f>IFERROR(__xludf.DUMMYFUNCTION("""COMPUTED_VALUE"""),"Cucharas y Accesorios Elevadores")</f>
        <v>Cucharas y Accesorios Elevadores</v>
      </c>
      <c r="R27" s="86" t="str">
        <f>IFERROR(__xludf.DUMMYFUNCTION("""COMPUTED_VALUE"""),"Opcionales Cucharas")</f>
        <v>Opcionales Cucharas</v>
      </c>
      <c r="S27" s="86" t="str">
        <f>IFERROR(__xludf.DUMMYFUNCTION("""COMPUTED_VALUE"""),"Opcionales Elevadores")</f>
        <v>Opcionales Elevadores</v>
      </c>
      <c r="T27" s="86" t="str">
        <f>IFERROR(__xludf.DUMMYFUNCTION("""COMPUTED_VALUE"""),"Acoples Elevadores")</f>
        <v>Acoples Elevadores</v>
      </c>
      <c r="U27" s="86" t="str">
        <f>IFERROR(__xludf.DUMMYFUNCTION("""COMPUTED_VALUE"""),"Repuestos Elevadores")</f>
        <v>Repuestos Elevadores</v>
      </c>
      <c r="V27" s="86"/>
      <c r="W27" s="86"/>
      <c r="X27" s="86"/>
      <c r="Y27" s="86"/>
      <c r="Z27" s="86"/>
      <c r="AA27" s="86"/>
      <c r="AB27" s="86"/>
      <c r="AC27" s="86"/>
      <c r="AD27" s="86"/>
      <c r="AE27" s="86"/>
    </row>
    <row r="28">
      <c r="A28" s="4">
        <f t="shared" si="1"/>
        <v>27</v>
      </c>
      <c r="B28" s="4"/>
      <c r="C28" s="4"/>
      <c r="D28" s="4"/>
      <c r="E28" s="45" t="s">
        <v>207</v>
      </c>
      <c r="F28" s="2" t="s">
        <v>349</v>
      </c>
      <c r="G28" s="2" t="s">
        <v>406</v>
      </c>
      <c r="H28" s="2">
        <f>IF(G28="","",SUMIF(Familias!C:C,G28,Familias!E:E))</f>
        <v>4</v>
      </c>
      <c r="I28" s="4">
        <f>IF(A28="","",COUNTIF(Prod_Prop!B:B,A28))</f>
        <v>0</v>
      </c>
      <c r="J28" s="92">
        <f>IF(E28="","",IF(SUMIF(Precio_Productos!L:L,E28,Precio_Productos!J:J)=0,"Falta Precio",SUMIF(Precio_Productos!L:L,E28,Precio_Productos!J:J)))</f>
        <v>341000</v>
      </c>
      <c r="O28" s="86"/>
      <c r="P28" s="86" t="str">
        <f>IFERROR(__xludf.DUMMYFUNCTION("IF(OR(F28=""Selecciona.."",F28=""""),"""",TRANSPOSE(filter(Familias!C:C,Familias!D:D=F28)))"),"Brazos Elevadores Frontales")</f>
        <v>Brazos Elevadores Frontales</v>
      </c>
      <c r="Q28" s="86" t="str">
        <f>IFERROR(__xludf.DUMMYFUNCTION("""COMPUTED_VALUE"""),"Cucharas y Accesorios Elevadores")</f>
        <v>Cucharas y Accesorios Elevadores</v>
      </c>
      <c r="R28" s="86" t="str">
        <f>IFERROR(__xludf.DUMMYFUNCTION("""COMPUTED_VALUE"""),"Opcionales Cucharas")</f>
        <v>Opcionales Cucharas</v>
      </c>
      <c r="S28" s="86" t="str">
        <f>IFERROR(__xludf.DUMMYFUNCTION("""COMPUTED_VALUE"""),"Opcionales Elevadores")</f>
        <v>Opcionales Elevadores</v>
      </c>
      <c r="T28" s="86" t="str">
        <f>IFERROR(__xludf.DUMMYFUNCTION("""COMPUTED_VALUE"""),"Acoples Elevadores")</f>
        <v>Acoples Elevadores</v>
      </c>
      <c r="U28" s="86" t="str">
        <f>IFERROR(__xludf.DUMMYFUNCTION("""COMPUTED_VALUE"""),"Repuestos Elevadores")</f>
        <v>Repuestos Elevadores</v>
      </c>
      <c r="V28" s="86"/>
      <c r="W28" s="86"/>
      <c r="X28" s="86"/>
      <c r="Y28" s="86"/>
      <c r="Z28" s="86"/>
      <c r="AA28" s="86"/>
      <c r="AB28" s="86"/>
      <c r="AC28" s="86"/>
      <c r="AD28" s="86"/>
      <c r="AE28" s="86"/>
    </row>
    <row r="29">
      <c r="A29" s="4">
        <f t="shared" si="1"/>
        <v>28</v>
      </c>
      <c r="B29" s="4"/>
      <c r="C29" s="4"/>
      <c r="D29" s="2">
        <v>6004.0</v>
      </c>
      <c r="E29" s="45" t="s">
        <v>208</v>
      </c>
      <c r="F29" s="2" t="s">
        <v>349</v>
      </c>
      <c r="G29" s="2" t="s">
        <v>408</v>
      </c>
      <c r="H29" s="2">
        <f>IF(G29="","",SUMIF(Familias!C:C,G29,Familias!E:E))</f>
        <v>5</v>
      </c>
      <c r="I29" s="4">
        <f>IF(A29="","",COUNTIF(Prod_Prop!B:B,A29))</f>
        <v>0</v>
      </c>
      <c r="J29" s="92">
        <f>IF(E29="","",IF(SUMIF(Precio_Productos!L:L,E29,Precio_Productos!J:J)=0,"Falta Precio",SUMIF(Precio_Productos!L:L,E29,Precio_Productos!J:J)))</f>
        <v>630897</v>
      </c>
      <c r="O29" s="86"/>
      <c r="P29" s="86" t="str">
        <f>IFERROR(__xludf.DUMMYFUNCTION("IF(OR(F29=""Selecciona.."",F29=""""),"""",TRANSPOSE(filter(Familias!C:C,Familias!D:D=F29)))"),"Brazos Elevadores Frontales")</f>
        <v>Brazos Elevadores Frontales</v>
      </c>
      <c r="Q29" s="86" t="str">
        <f>IFERROR(__xludf.DUMMYFUNCTION("""COMPUTED_VALUE"""),"Cucharas y Accesorios Elevadores")</f>
        <v>Cucharas y Accesorios Elevadores</v>
      </c>
      <c r="R29" s="86" t="str">
        <f>IFERROR(__xludf.DUMMYFUNCTION("""COMPUTED_VALUE"""),"Opcionales Cucharas")</f>
        <v>Opcionales Cucharas</v>
      </c>
      <c r="S29" s="86" t="str">
        <f>IFERROR(__xludf.DUMMYFUNCTION("""COMPUTED_VALUE"""),"Opcionales Elevadores")</f>
        <v>Opcionales Elevadores</v>
      </c>
      <c r="T29" s="86" t="str">
        <f>IFERROR(__xludf.DUMMYFUNCTION("""COMPUTED_VALUE"""),"Acoples Elevadores")</f>
        <v>Acoples Elevadores</v>
      </c>
      <c r="U29" s="86" t="str">
        <f>IFERROR(__xludf.DUMMYFUNCTION("""COMPUTED_VALUE"""),"Repuestos Elevadores")</f>
        <v>Repuestos Elevadores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</row>
    <row r="30">
      <c r="A30" s="4">
        <f t="shared" si="1"/>
        <v>29</v>
      </c>
      <c r="B30" s="4"/>
      <c r="C30" s="4"/>
      <c r="D30" s="4"/>
      <c r="E30" s="45" t="s">
        <v>166</v>
      </c>
      <c r="F30" s="2" t="s">
        <v>349</v>
      </c>
      <c r="G30" s="2" t="s">
        <v>408</v>
      </c>
      <c r="H30" s="2">
        <f>IF(G30="","",SUMIF(Familias!C:C,G30,Familias!E:E))</f>
        <v>5</v>
      </c>
      <c r="I30" s="4">
        <f>IF(A30="","",COUNTIF(Prod_Prop!B:B,A30))</f>
        <v>0</v>
      </c>
      <c r="J30" s="92">
        <f>IF(E30="","",IF(SUMIF(Precio_Productos!L:L,E30,Precio_Productos!J:J)=0,"Falta Precio",SUMIF(Precio_Productos!L:L,E30,Precio_Productos!J:J)))</f>
        <v>1009015</v>
      </c>
      <c r="O30" s="86"/>
      <c r="P30" s="86" t="str">
        <f>IFERROR(__xludf.DUMMYFUNCTION("IF(OR(F30=""Selecciona.."",F30=""""),"""",TRANSPOSE(filter(Familias!C:C,Familias!D:D=F30)))"),"Brazos Elevadores Frontales")</f>
        <v>Brazos Elevadores Frontales</v>
      </c>
      <c r="Q30" s="86" t="str">
        <f>IFERROR(__xludf.DUMMYFUNCTION("""COMPUTED_VALUE"""),"Cucharas y Accesorios Elevadores")</f>
        <v>Cucharas y Accesorios Elevadores</v>
      </c>
      <c r="R30" s="86" t="str">
        <f>IFERROR(__xludf.DUMMYFUNCTION("""COMPUTED_VALUE"""),"Opcionales Cucharas")</f>
        <v>Opcionales Cucharas</v>
      </c>
      <c r="S30" s="86" t="str">
        <f>IFERROR(__xludf.DUMMYFUNCTION("""COMPUTED_VALUE"""),"Opcionales Elevadores")</f>
        <v>Opcionales Elevadores</v>
      </c>
      <c r="T30" s="86" t="str">
        <f>IFERROR(__xludf.DUMMYFUNCTION("""COMPUTED_VALUE"""),"Acoples Elevadores")</f>
        <v>Acoples Elevadores</v>
      </c>
      <c r="U30" s="86" t="str">
        <f>IFERROR(__xludf.DUMMYFUNCTION("""COMPUTED_VALUE"""),"Repuestos Elevadores")</f>
        <v>Repuestos Elevadores</v>
      </c>
      <c r="V30" s="86"/>
      <c r="W30" s="86"/>
      <c r="X30" s="86"/>
      <c r="Y30" s="86"/>
      <c r="Z30" s="86"/>
      <c r="AA30" s="86"/>
      <c r="AB30" s="86"/>
      <c r="AC30" s="86"/>
      <c r="AD30" s="86"/>
      <c r="AE30" s="86"/>
    </row>
    <row r="31">
      <c r="A31" s="4">
        <f t="shared" si="1"/>
        <v>30</v>
      </c>
      <c r="B31" s="4"/>
      <c r="C31" s="4"/>
      <c r="D31" s="4"/>
      <c r="E31" s="45" t="s">
        <v>185</v>
      </c>
      <c r="F31" s="2" t="s">
        <v>349</v>
      </c>
      <c r="G31" s="2" t="s">
        <v>408</v>
      </c>
      <c r="H31" s="2">
        <f>IF(G31="","",SUMIF(Familias!C:C,G31,Familias!E:E))</f>
        <v>5</v>
      </c>
      <c r="I31" s="4">
        <f>IF(A31="","",COUNTIF(Prod_Prop!B:B,A31))</f>
        <v>0</v>
      </c>
      <c r="J31" s="92">
        <f>IF(E31="","",IF(SUMIF(Precio_Productos!L:L,E31,Precio_Productos!J:J)=0,"Falta Precio",SUMIF(Precio_Productos!L:L,E31,Precio_Productos!J:J)))</f>
        <v>1009015</v>
      </c>
      <c r="O31" s="86"/>
      <c r="P31" s="86" t="str">
        <f>IFERROR(__xludf.DUMMYFUNCTION("IF(OR(F31=""Selecciona.."",F31=""""),"""",TRANSPOSE(filter(Familias!C:C,Familias!D:D=F31)))"),"Brazos Elevadores Frontales")</f>
        <v>Brazos Elevadores Frontales</v>
      </c>
      <c r="Q31" s="86" t="str">
        <f>IFERROR(__xludf.DUMMYFUNCTION("""COMPUTED_VALUE"""),"Cucharas y Accesorios Elevadores")</f>
        <v>Cucharas y Accesorios Elevadores</v>
      </c>
      <c r="R31" s="86" t="str">
        <f>IFERROR(__xludf.DUMMYFUNCTION("""COMPUTED_VALUE"""),"Opcionales Cucharas")</f>
        <v>Opcionales Cucharas</v>
      </c>
      <c r="S31" s="86" t="str">
        <f>IFERROR(__xludf.DUMMYFUNCTION("""COMPUTED_VALUE"""),"Opcionales Elevadores")</f>
        <v>Opcionales Elevadores</v>
      </c>
      <c r="T31" s="86" t="str">
        <f>IFERROR(__xludf.DUMMYFUNCTION("""COMPUTED_VALUE"""),"Acoples Elevadores")</f>
        <v>Acoples Elevadores</v>
      </c>
      <c r="U31" s="86" t="str">
        <f>IFERROR(__xludf.DUMMYFUNCTION("""COMPUTED_VALUE"""),"Repuestos Elevadores")</f>
        <v>Repuestos Elevadores</v>
      </c>
      <c r="V31" s="86"/>
      <c r="W31" s="86"/>
      <c r="X31" s="86"/>
      <c r="Y31" s="86"/>
      <c r="Z31" s="86"/>
      <c r="AA31" s="86"/>
      <c r="AB31" s="86"/>
      <c r="AC31" s="86"/>
      <c r="AD31" s="86"/>
      <c r="AE31" s="86"/>
    </row>
    <row r="32">
      <c r="A32" s="4">
        <f t="shared" si="1"/>
        <v>31</v>
      </c>
      <c r="B32" s="4"/>
      <c r="C32" s="4"/>
      <c r="D32" s="4"/>
      <c r="E32" s="45" t="s">
        <v>186</v>
      </c>
      <c r="F32" s="2" t="s">
        <v>349</v>
      </c>
      <c r="G32" s="2" t="s">
        <v>408</v>
      </c>
      <c r="H32" s="2">
        <f>IF(G32="","",SUMIF(Familias!C:C,G32,Familias!E:E))</f>
        <v>5</v>
      </c>
      <c r="I32" s="4">
        <f>IF(A32="","",COUNTIF(Prod_Prop!B:B,A32))</f>
        <v>0</v>
      </c>
      <c r="J32" s="92">
        <f>IF(E32="","",IF(SUMIF(Precio_Productos!L:L,E32,Precio_Productos!J:J)=0,"Falta Precio",SUMIF(Precio_Productos!L:L,E32,Precio_Productos!J:J)))</f>
        <v>287100</v>
      </c>
      <c r="O32" s="86"/>
      <c r="P32" s="86" t="str">
        <f>IFERROR(__xludf.DUMMYFUNCTION("IF(OR(F32=""Selecciona.."",F32=""""),"""",TRANSPOSE(filter(Familias!C:C,Familias!D:D=F32)))"),"Brazos Elevadores Frontales")</f>
        <v>Brazos Elevadores Frontales</v>
      </c>
      <c r="Q32" s="86" t="str">
        <f>IFERROR(__xludf.DUMMYFUNCTION("""COMPUTED_VALUE"""),"Cucharas y Accesorios Elevadores")</f>
        <v>Cucharas y Accesorios Elevadores</v>
      </c>
      <c r="R32" s="86" t="str">
        <f>IFERROR(__xludf.DUMMYFUNCTION("""COMPUTED_VALUE"""),"Opcionales Cucharas")</f>
        <v>Opcionales Cucharas</v>
      </c>
      <c r="S32" s="86" t="str">
        <f>IFERROR(__xludf.DUMMYFUNCTION("""COMPUTED_VALUE"""),"Opcionales Elevadores")</f>
        <v>Opcionales Elevadores</v>
      </c>
      <c r="T32" s="86" t="str">
        <f>IFERROR(__xludf.DUMMYFUNCTION("""COMPUTED_VALUE"""),"Acoples Elevadores")</f>
        <v>Acoples Elevadores</v>
      </c>
      <c r="U32" s="86" t="str">
        <f>IFERROR(__xludf.DUMMYFUNCTION("""COMPUTED_VALUE"""),"Repuestos Elevadores")</f>
        <v>Repuestos Elevadores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</row>
    <row r="33">
      <c r="A33" s="4">
        <f t="shared" si="1"/>
        <v>32</v>
      </c>
      <c r="B33" s="4"/>
      <c r="C33" s="4"/>
      <c r="D33" s="4"/>
      <c r="E33" s="45" t="s">
        <v>187</v>
      </c>
      <c r="F33" s="2" t="s">
        <v>349</v>
      </c>
      <c r="G33" s="2" t="s">
        <v>408</v>
      </c>
      <c r="H33" s="2">
        <f>IF(G33="","",SUMIF(Familias!C:C,G33,Familias!E:E))</f>
        <v>5</v>
      </c>
      <c r="I33" s="4">
        <f>IF(A33="","",COUNTIF(Prod_Prop!B:B,A33))</f>
        <v>0</v>
      </c>
      <c r="J33" s="92">
        <f>IF(E33="","",IF(SUMIF(Precio_Productos!L:L,E33,Precio_Productos!J:J)=0,"Falta Precio",SUMIF(Precio_Productos!L:L,E33,Precio_Productos!J:J)))</f>
        <v>334798</v>
      </c>
      <c r="O33" s="86"/>
      <c r="P33" s="86" t="str">
        <f>IFERROR(__xludf.DUMMYFUNCTION("IF(OR(F33=""Selecciona.."",F33=""""),"""",TRANSPOSE(filter(Familias!C:C,Familias!D:D=F33)))"),"Brazos Elevadores Frontales")</f>
        <v>Brazos Elevadores Frontales</v>
      </c>
      <c r="Q33" s="86" t="str">
        <f>IFERROR(__xludf.DUMMYFUNCTION("""COMPUTED_VALUE"""),"Cucharas y Accesorios Elevadores")</f>
        <v>Cucharas y Accesorios Elevadores</v>
      </c>
      <c r="R33" s="86" t="str">
        <f>IFERROR(__xludf.DUMMYFUNCTION("""COMPUTED_VALUE"""),"Opcionales Cucharas")</f>
        <v>Opcionales Cucharas</v>
      </c>
      <c r="S33" s="86" t="str">
        <f>IFERROR(__xludf.DUMMYFUNCTION("""COMPUTED_VALUE"""),"Opcionales Elevadores")</f>
        <v>Opcionales Elevadores</v>
      </c>
      <c r="T33" s="86" t="str">
        <f>IFERROR(__xludf.DUMMYFUNCTION("""COMPUTED_VALUE"""),"Acoples Elevadores")</f>
        <v>Acoples Elevadores</v>
      </c>
      <c r="U33" s="86" t="str">
        <f>IFERROR(__xludf.DUMMYFUNCTION("""COMPUTED_VALUE"""),"Repuestos Elevadores")</f>
        <v>Repuestos Elevadores</v>
      </c>
      <c r="V33" s="86"/>
      <c r="W33" s="86"/>
      <c r="X33" s="86"/>
      <c r="Y33" s="86"/>
      <c r="Z33" s="86"/>
      <c r="AA33" s="86"/>
      <c r="AB33" s="86"/>
      <c r="AC33" s="86"/>
      <c r="AD33" s="86"/>
      <c r="AE33" s="86"/>
    </row>
    <row r="34">
      <c r="A34" s="4">
        <f t="shared" si="1"/>
        <v>33</v>
      </c>
      <c r="B34" s="4"/>
      <c r="C34" s="4"/>
      <c r="D34" s="4"/>
      <c r="E34" s="45" t="s">
        <v>188</v>
      </c>
      <c r="F34" s="2" t="s">
        <v>349</v>
      </c>
      <c r="G34" s="2" t="s">
        <v>410</v>
      </c>
      <c r="H34" s="2">
        <f>IF(G34="","",SUMIF(Familias!C:C,G34,Familias!E:E))</f>
        <v>6</v>
      </c>
      <c r="I34" s="4">
        <f>IF(A34="","",COUNTIF(Prod_Prop!B:B,A34))</f>
        <v>0</v>
      </c>
      <c r="J34" s="92">
        <f>IF(E34="","",IF(SUMIF(Precio_Productos!L:L,E34,Precio_Productos!J:J)=0,"Falta Precio",SUMIF(Precio_Productos!L:L,E34,Precio_Productos!J:J)))</f>
        <v>62484</v>
      </c>
      <c r="O34" s="86"/>
      <c r="P34" s="86" t="str">
        <f>IFERROR(__xludf.DUMMYFUNCTION("IF(OR(F34=""Selecciona.."",F34=""""),"""",TRANSPOSE(filter(Familias!C:C,Familias!D:D=F34)))"),"Brazos Elevadores Frontales")</f>
        <v>Brazos Elevadores Frontales</v>
      </c>
      <c r="Q34" s="86" t="str">
        <f>IFERROR(__xludf.DUMMYFUNCTION("""COMPUTED_VALUE"""),"Cucharas y Accesorios Elevadores")</f>
        <v>Cucharas y Accesorios Elevadores</v>
      </c>
      <c r="R34" s="86" t="str">
        <f>IFERROR(__xludf.DUMMYFUNCTION("""COMPUTED_VALUE"""),"Opcionales Cucharas")</f>
        <v>Opcionales Cucharas</v>
      </c>
      <c r="S34" s="86" t="str">
        <f>IFERROR(__xludf.DUMMYFUNCTION("""COMPUTED_VALUE"""),"Opcionales Elevadores")</f>
        <v>Opcionales Elevadores</v>
      </c>
      <c r="T34" s="86" t="str">
        <f>IFERROR(__xludf.DUMMYFUNCTION("""COMPUTED_VALUE"""),"Acoples Elevadores")</f>
        <v>Acoples Elevadores</v>
      </c>
      <c r="U34" s="86" t="str">
        <f>IFERROR(__xludf.DUMMYFUNCTION("""COMPUTED_VALUE"""),"Repuestos Elevadores")</f>
        <v>Repuestos Elevadores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</row>
    <row r="35">
      <c r="A35" s="4">
        <f t="shared" si="1"/>
        <v>34</v>
      </c>
      <c r="B35" s="4"/>
      <c r="C35" s="4"/>
      <c r="D35" s="4"/>
      <c r="E35" s="45" t="s">
        <v>189</v>
      </c>
      <c r="F35" s="2" t="s">
        <v>349</v>
      </c>
      <c r="G35" s="2" t="s">
        <v>410</v>
      </c>
      <c r="H35" s="2">
        <f>IF(G35="","",SUMIF(Familias!C:C,G35,Familias!E:E))</f>
        <v>6</v>
      </c>
      <c r="I35" s="4">
        <f>IF(A35="","",COUNTIF(Prod_Prop!B:B,A35))</f>
        <v>0</v>
      </c>
      <c r="J35" s="92">
        <f>IF(E35="","",IF(SUMIF(Precio_Productos!L:L,E35,Precio_Productos!J:J)=0,"Falta Precio",SUMIF(Precio_Productos!L:L,E35,Precio_Productos!J:J)))</f>
        <v>71951</v>
      </c>
      <c r="O35" s="86"/>
      <c r="P35" s="86" t="str">
        <f>IFERROR(__xludf.DUMMYFUNCTION("IF(OR(F35=""Selecciona.."",F35=""""),"""",TRANSPOSE(filter(Familias!C:C,Familias!D:D=F35)))"),"Brazos Elevadores Frontales")</f>
        <v>Brazos Elevadores Frontales</v>
      </c>
      <c r="Q35" s="86" t="str">
        <f>IFERROR(__xludf.DUMMYFUNCTION("""COMPUTED_VALUE"""),"Cucharas y Accesorios Elevadores")</f>
        <v>Cucharas y Accesorios Elevadores</v>
      </c>
      <c r="R35" s="86" t="str">
        <f>IFERROR(__xludf.DUMMYFUNCTION("""COMPUTED_VALUE"""),"Opcionales Cucharas")</f>
        <v>Opcionales Cucharas</v>
      </c>
      <c r="S35" s="86" t="str">
        <f>IFERROR(__xludf.DUMMYFUNCTION("""COMPUTED_VALUE"""),"Opcionales Elevadores")</f>
        <v>Opcionales Elevadores</v>
      </c>
      <c r="T35" s="86" t="str">
        <f>IFERROR(__xludf.DUMMYFUNCTION("""COMPUTED_VALUE"""),"Acoples Elevadores")</f>
        <v>Acoples Elevadores</v>
      </c>
      <c r="U35" s="86" t="str">
        <f>IFERROR(__xludf.DUMMYFUNCTION("""COMPUTED_VALUE"""),"Repuestos Elevadores")</f>
        <v>Repuestos Elevadores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</row>
    <row r="36">
      <c r="A36" s="4">
        <f t="shared" si="1"/>
        <v>35</v>
      </c>
      <c r="B36" s="4"/>
      <c r="C36" s="4"/>
      <c r="D36" s="4"/>
      <c r="E36" s="45" t="s">
        <v>190</v>
      </c>
      <c r="F36" s="2" t="s">
        <v>349</v>
      </c>
      <c r="G36" s="2" t="s">
        <v>410</v>
      </c>
      <c r="H36" s="2">
        <f>IF(G36="","",SUMIF(Familias!C:C,G36,Familias!E:E))</f>
        <v>6</v>
      </c>
      <c r="I36" s="4">
        <f>IF(A36="","",COUNTIF(Prod_Prop!B:B,A36))</f>
        <v>0</v>
      </c>
      <c r="J36" s="92">
        <f>IF(E36="","",IF(SUMIF(Precio_Productos!L:L,E36,Precio_Productos!J:J)=0,"Falta Precio",SUMIF(Precio_Productos!L:L,E36,Precio_Productos!J:J)))</f>
        <v>81418</v>
      </c>
      <c r="O36" s="86"/>
      <c r="P36" s="86" t="str">
        <f>IFERROR(__xludf.DUMMYFUNCTION("IF(OR(F36=""Selecciona.."",F36=""""),"""",TRANSPOSE(filter(Familias!C:C,Familias!D:D=F36)))"),"Brazos Elevadores Frontales")</f>
        <v>Brazos Elevadores Frontales</v>
      </c>
      <c r="Q36" s="86" t="str">
        <f>IFERROR(__xludf.DUMMYFUNCTION("""COMPUTED_VALUE"""),"Cucharas y Accesorios Elevadores")</f>
        <v>Cucharas y Accesorios Elevadores</v>
      </c>
      <c r="R36" s="86" t="str">
        <f>IFERROR(__xludf.DUMMYFUNCTION("""COMPUTED_VALUE"""),"Opcionales Cucharas")</f>
        <v>Opcionales Cucharas</v>
      </c>
      <c r="S36" s="86" t="str">
        <f>IFERROR(__xludf.DUMMYFUNCTION("""COMPUTED_VALUE"""),"Opcionales Elevadores")</f>
        <v>Opcionales Elevadores</v>
      </c>
      <c r="T36" s="86" t="str">
        <f>IFERROR(__xludf.DUMMYFUNCTION("""COMPUTED_VALUE"""),"Acoples Elevadores")</f>
        <v>Acoples Elevadores</v>
      </c>
      <c r="U36" s="86" t="str">
        <f>IFERROR(__xludf.DUMMYFUNCTION("""COMPUTED_VALUE"""),"Repuestos Elevadores")</f>
        <v>Repuestos Elevadores</v>
      </c>
      <c r="V36" s="86"/>
      <c r="W36" s="86"/>
      <c r="X36" s="86"/>
      <c r="Y36" s="86"/>
      <c r="Z36" s="86"/>
      <c r="AA36" s="86"/>
      <c r="AB36" s="86"/>
      <c r="AC36" s="86"/>
      <c r="AD36" s="86"/>
      <c r="AE36" s="86"/>
    </row>
    <row r="37">
      <c r="A37" s="4">
        <f t="shared" si="1"/>
        <v>36</v>
      </c>
      <c r="B37" s="4"/>
      <c r="C37" s="4"/>
      <c r="D37" s="4"/>
      <c r="E37" s="45" t="s">
        <v>89</v>
      </c>
      <c r="F37" s="2" t="s">
        <v>364</v>
      </c>
      <c r="G37" s="2" t="s">
        <v>434</v>
      </c>
      <c r="H37" s="2">
        <f>IF(G37="","",SUMIF(Familias!C:C,G37,Familias!E:E))</f>
        <v>1</v>
      </c>
      <c r="I37" s="4">
        <f>IF(A37="","",COUNTIF(Prod_Prop!B:B,A37))</f>
        <v>1</v>
      </c>
      <c r="J37" s="92">
        <f>IF(E37="","",IF(SUMIF(Precio_Productos!L:L,E37,Precio_Productos!J:J)=0,"Falta Precio",SUMIF(Precio_Productos!L:L,E37,Precio_Productos!J:J)))</f>
        <v>3395000</v>
      </c>
      <c r="O37" s="86"/>
      <c r="P37" s="86" t="str">
        <f>IFERROR(__xludf.DUMMYFUNCTION("IF(OR(F37=""Selecciona.."",F37=""""),"""",TRANSPOSE(filter(Familias!C:C,Familias!D:D=F37)))"),"Ancho Desmalezadora")</f>
        <v>Ancho Desmalezadora</v>
      </c>
      <c r="Q37" s="86" t="str">
        <f>IFERROR(__xludf.DUMMYFUNCTION("""COMPUTED_VALUE"""),"Opcionales Desmalezadoras")</f>
        <v>Opcionales Desmalezadoras</v>
      </c>
      <c r="R37" s="86" t="str">
        <f>IFERROR(__xludf.DUMMYFUNCTION("""COMPUTED_VALUE"""),"Repuestos Desmalezadoras")</f>
        <v>Repuestos Desmalezadoras</v>
      </c>
      <c r="S37" s="86" t="str">
        <f>IFERROR(__xludf.DUMMYFUNCTION("""COMPUTED_VALUE"""),"Acople Desmalezadoras")</f>
        <v>Acople Desmalezadoras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</row>
    <row r="38">
      <c r="A38" s="4">
        <f t="shared" si="1"/>
        <v>37</v>
      </c>
      <c r="B38" s="4"/>
      <c r="C38" s="4"/>
      <c r="D38" s="4"/>
      <c r="E38" s="45" t="s">
        <v>90</v>
      </c>
      <c r="F38" s="2" t="s">
        <v>364</v>
      </c>
      <c r="G38" s="2" t="s">
        <v>434</v>
      </c>
      <c r="H38" s="2">
        <f>IF(G38="","",SUMIF(Familias!C:C,G38,Familias!E:E))</f>
        <v>1</v>
      </c>
      <c r="I38" s="4">
        <f>IF(A38="","",COUNTIF(Prod_Prop!B:B,A38))</f>
        <v>1</v>
      </c>
      <c r="J38" s="92">
        <f>IF(E38="","",IF(SUMIF(Precio_Productos!L:L,E38,Precio_Productos!J:J)=0,"Falta Precio",SUMIF(Precio_Productos!L:L,E38,Precio_Productos!J:J)))</f>
        <v>6634932</v>
      </c>
      <c r="O38" s="86"/>
      <c r="P38" s="86" t="str">
        <f>IFERROR(__xludf.DUMMYFUNCTION("IF(OR(F38=""Selecciona.."",F38=""""),"""",TRANSPOSE(filter(Familias!C:C,Familias!D:D=F38)))"),"Ancho Desmalezadora")</f>
        <v>Ancho Desmalezadora</v>
      </c>
      <c r="Q38" s="86" t="str">
        <f>IFERROR(__xludf.DUMMYFUNCTION("""COMPUTED_VALUE"""),"Opcionales Desmalezadoras")</f>
        <v>Opcionales Desmalezadoras</v>
      </c>
      <c r="R38" s="86" t="str">
        <f>IFERROR(__xludf.DUMMYFUNCTION("""COMPUTED_VALUE"""),"Repuestos Desmalezadoras")</f>
        <v>Repuestos Desmalezadoras</v>
      </c>
      <c r="S38" s="86" t="str">
        <f>IFERROR(__xludf.DUMMYFUNCTION("""COMPUTED_VALUE"""),"Acople Desmalezadoras")</f>
        <v>Acople Desmalezadoras</v>
      </c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</row>
    <row r="39">
      <c r="A39" s="4">
        <f t="shared" si="1"/>
        <v>38</v>
      </c>
      <c r="B39" s="4"/>
      <c r="C39" s="4"/>
      <c r="D39" s="4"/>
      <c r="E39" s="45" t="s">
        <v>91</v>
      </c>
      <c r="F39" s="2" t="s">
        <v>364</v>
      </c>
      <c r="G39" s="2" t="s">
        <v>451</v>
      </c>
      <c r="H39" s="2">
        <f>IF(G39="","",SUMIF(Familias!C:C,G39,Familias!E:E))</f>
        <v>2</v>
      </c>
      <c r="I39" s="4">
        <f>IF(A39="","",COUNTIF(Prod_Prop!B:B,A39))</f>
        <v>3</v>
      </c>
      <c r="J39" s="92">
        <f>IF(E39="","",IF(SUMIF(Precio_Productos!L:L,E39,Precio_Productos!J:J)=0,"Falta Precio",SUMIF(Precio_Productos!L:L,E39,Precio_Productos!J:J)))</f>
        <v>125000</v>
      </c>
      <c r="O39" s="86"/>
      <c r="P39" s="86" t="str">
        <f>IFERROR(__xludf.DUMMYFUNCTION("IF(OR(F39=""Selecciona.."",F39=""""),"""",TRANSPOSE(filter(Familias!C:C,Familias!D:D=F39)))"),"Ancho Desmalezadora")</f>
        <v>Ancho Desmalezadora</v>
      </c>
      <c r="Q39" s="86" t="str">
        <f>IFERROR(__xludf.DUMMYFUNCTION("""COMPUTED_VALUE"""),"Opcionales Desmalezadoras")</f>
        <v>Opcionales Desmalezadoras</v>
      </c>
      <c r="R39" s="86" t="str">
        <f>IFERROR(__xludf.DUMMYFUNCTION("""COMPUTED_VALUE"""),"Repuestos Desmalezadoras")</f>
        <v>Repuestos Desmalezadoras</v>
      </c>
      <c r="S39" s="86" t="str">
        <f>IFERROR(__xludf.DUMMYFUNCTION("""COMPUTED_VALUE"""),"Acople Desmalezadoras")</f>
        <v>Acople Desmalezadoras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</row>
    <row r="40">
      <c r="A40" s="4">
        <f t="shared" si="1"/>
        <v>39</v>
      </c>
      <c r="B40" s="4"/>
      <c r="C40" s="4"/>
      <c r="D40" s="4"/>
      <c r="E40" s="45" t="s">
        <v>92</v>
      </c>
      <c r="F40" s="2" t="s">
        <v>364</v>
      </c>
      <c r="G40" s="2" t="s">
        <v>451</v>
      </c>
      <c r="H40" s="2">
        <f>IF(G40="","",SUMIF(Familias!C:C,G40,Familias!E:E))</f>
        <v>2</v>
      </c>
      <c r="I40" s="4">
        <f>IF(A40="","",COUNTIF(Prod_Prop!B:B,A40))</f>
        <v>3</v>
      </c>
      <c r="J40" s="92">
        <f>IF(E40="","",IF(SUMIF(Precio_Productos!L:L,E40,Precio_Productos!J:J)=0,"Falta Precio",SUMIF(Precio_Productos!L:L,E40,Precio_Productos!J:J)))</f>
        <v>210000</v>
      </c>
      <c r="O40" s="86"/>
      <c r="P40" s="86" t="str">
        <f>IFERROR(__xludf.DUMMYFUNCTION("IF(OR(F40=""Selecciona.."",F40=""""),"""",TRANSPOSE(filter(Familias!C:C,Familias!D:D=F40)))"),"Ancho Desmalezadora")</f>
        <v>Ancho Desmalezadora</v>
      </c>
      <c r="Q40" s="86" t="str">
        <f>IFERROR(__xludf.DUMMYFUNCTION("""COMPUTED_VALUE"""),"Opcionales Desmalezadoras")</f>
        <v>Opcionales Desmalezadoras</v>
      </c>
      <c r="R40" s="86" t="str">
        <f>IFERROR(__xludf.DUMMYFUNCTION("""COMPUTED_VALUE"""),"Repuestos Desmalezadoras")</f>
        <v>Repuestos Desmalezadoras</v>
      </c>
      <c r="S40" s="86" t="str">
        <f>IFERROR(__xludf.DUMMYFUNCTION("""COMPUTED_VALUE"""),"Acople Desmalezadoras")</f>
        <v>Acople Desmalezadoras</v>
      </c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</row>
    <row r="41">
      <c r="A41" s="4">
        <f t="shared" si="1"/>
        <v>40</v>
      </c>
      <c r="B41" s="4"/>
      <c r="C41" s="4"/>
      <c r="D41" s="4"/>
      <c r="E41" s="45" t="s">
        <v>93</v>
      </c>
      <c r="F41" s="2" t="s">
        <v>364</v>
      </c>
      <c r="G41" s="2" t="s">
        <v>451</v>
      </c>
      <c r="H41" s="2">
        <f>IF(G41="","",SUMIF(Familias!C:C,G41,Familias!E:E))</f>
        <v>2</v>
      </c>
      <c r="I41" s="4">
        <f>IF(A41="","",COUNTIF(Prod_Prop!B:B,A41))</f>
        <v>5</v>
      </c>
      <c r="J41" s="92">
        <f>IF(E41="","",IF(SUMIF(Precio_Productos!L:L,E41,Precio_Productos!J:J)=0,"Falta Precio",SUMIF(Precio_Productos!L:L,E41,Precio_Productos!J:J)))</f>
        <v>496600</v>
      </c>
      <c r="O41" s="86"/>
      <c r="P41" s="86" t="str">
        <f>IFERROR(__xludf.DUMMYFUNCTION("IF(OR(F41=""Selecciona.."",F41=""""),"""",TRANSPOSE(filter(Familias!C:C,Familias!D:D=F41)))"),"Ancho Desmalezadora")</f>
        <v>Ancho Desmalezadora</v>
      </c>
      <c r="Q41" s="86" t="str">
        <f>IFERROR(__xludf.DUMMYFUNCTION("""COMPUTED_VALUE"""),"Opcionales Desmalezadoras")</f>
        <v>Opcionales Desmalezadoras</v>
      </c>
      <c r="R41" s="86" t="str">
        <f>IFERROR(__xludf.DUMMYFUNCTION("""COMPUTED_VALUE"""),"Repuestos Desmalezadoras")</f>
        <v>Repuestos Desmalezadoras</v>
      </c>
      <c r="S41" s="86" t="str">
        <f>IFERROR(__xludf.DUMMYFUNCTION("""COMPUTED_VALUE"""),"Acople Desmalezadoras")</f>
        <v>Acople Desmalezadoras</v>
      </c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</row>
    <row r="42">
      <c r="A42" s="4">
        <f t="shared" si="1"/>
        <v>41</v>
      </c>
      <c r="B42" s="4"/>
      <c r="C42" s="4"/>
      <c r="D42" s="4"/>
      <c r="E42" s="45" t="s">
        <v>94</v>
      </c>
      <c r="F42" s="2" t="s">
        <v>364</v>
      </c>
      <c r="G42" s="2" t="s">
        <v>451</v>
      </c>
      <c r="H42" s="2">
        <f>IF(G42="","",SUMIF(Familias!C:C,G42,Familias!E:E))</f>
        <v>2</v>
      </c>
      <c r="I42" s="4">
        <f>IF(A42="","",COUNTIF(Prod_Prop!B:B,A42))</f>
        <v>5</v>
      </c>
      <c r="J42" s="92">
        <f>IF(E42="","",IF(SUMIF(Precio_Productos!L:L,E42,Precio_Productos!J:J)=0,"Falta Precio",SUMIF(Precio_Productos!L:L,E42,Precio_Productos!J:J)))</f>
        <v>514763</v>
      </c>
      <c r="O42" s="86"/>
      <c r="P42" s="86" t="str">
        <f>IFERROR(__xludf.DUMMYFUNCTION("IF(OR(F42=""Selecciona.."",F42=""""),"""",TRANSPOSE(filter(Familias!C:C,Familias!D:D=F42)))"),"Ancho Desmalezadora")</f>
        <v>Ancho Desmalezadora</v>
      </c>
      <c r="Q42" s="86" t="str">
        <f>IFERROR(__xludf.DUMMYFUNCTION("""COMPUTED_VALUE"""),"Opcionales Desmalezadoras")</f>
        <v>Opcionales Desmalezadoras</v>
      </c>
      <c r="R42" s="86" t="str">
        <f>IFERROR(__xludf.DUMMYFUNCTION("""COMPUTED_VALUE"""),"Repuestos Desmalezadoras")</f>
        <v>Repuestos Desmalezadoras</v>
      </c>
      <c r="S42" s="86" t="str">
        <f>IFERROR(__xludf.DUMMYFUNCTION("""COMPUTED_VALUE"""),"Acople Desmalezadoras")</f>
        <v>Acople Desmalezadoras</v>
      </c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</row>
    <row r="43">
      <c r="A43" s="4">
        <f t="shared" si="1"/>
        <v>42</v>
      </c>
      <c r="B43" s="4"/>
      <c r="C43" s="4"/>
      <c r="D43" s="4"/>
      <c r="E43" s="45" t="s">
        <v>96</v>
      </c>
      <c r="F43" s="2" t="s">
        <v>364</v>
      </c>
      <c r="G43" s="2" t="s">
        <v>436</v>
      </c>
      <c r="H43" s="2">
        <f>IF(G43="","",SUMIF(Familias!C:C,G43,Familias!E:E))</f>
        <v>3</v>
      </c>
      <c r="I43" s="4">
        <f>IF(A43="","",COUNTIF(Prod_Prop!B:B,A43))</f>
        <v>2</v>
      </c>
      <c r="J43" s="92">
        <f>IF(E43="","",IF(SUMIF(Precio_Productos!L:L,E43,Precio_Productos!J:J)=0,"Falta Precio",SUMIF(Precio_Productos!L:L,E43,Precio_Productos!J:J)))</f>
        <v>315920</v>
      </c>
      <c r="O43" s="86"/>
      <c r="P43" s="86" t="str">
        <f>IFERROR(__xludf.DUMMYFUNCTION("IF(OR(F43=""Selecciona.."",F43=""""),"""",TRANSPOSE(filter(Familias!C:C,Familias!D:D=F43)))"),"Ancho Desmalezadora")</f>
        <v>Ancho Desmalezadora</v>
      </c>
      <c r="Q43" s="86" t="str">
        <f>IFERROR(__xludf.DUMMYFUNCTION("""COMPUTED_VALUE"""),"Opcionales Desmalezadoras")</f>
        <v>Opcionales Desmalezadoras</v>
      </c>
      <c r="R43" s="86" t="str">
        <f>IFERROR(__xludf.DUMMYFUNCTION("""COMPUTED_VALUE"""),"Repuestos Desmalezadoras")</f>
        <v>Repuestos Desmalezadoras</v>
      </c>
      <c r="S43" s="86" t="str">
        <f>IFERROR(__xludf.DUMMYFUNCTION("""COMPUTED_VALUE"""),"Acople Desmalezadoras")</f>
        <v>Acople Desmalezadoras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</row>
    <row r="44">
      <c r="A44" s="4">
        <f t="shared" si="1"/>
        <v>43</v>
      </c>
      <c r="B44" s="4"/>
      <c r="C44" s="4"/>
      <c r="D44" s="4"/>
      <c r="E44" s="45" t="s">
        <v>95</v>
      </c>
      <c r="F44" s="2" t="s">
        <v>364</v>
      </c>
      <c r="G44" s="2" t="s">
        <v>436</v>
      </c>
      <c r="H44" s="2">
        <f>IF(G44="","",SUMIF(Familias!C:C,G44,Familias!E:E))</f>
        <v>3</v>
      </c>
      <c r="I44" s="4">
        <f>IF(A44="","",COUNTIF(Prod_Prop!B:B,A44))</f>
        <v>2</v>
      </c>
      <c r="J44" s="92">
        <f>IF(E44="","",IF(SUMIF(Precio_Productos!L:L,E44,Precio_Productos!J:J)=0,"Falta Precio",SUMIF(Precio_Productos!L:L,E44,Precio_Productos!J:J)))</f>
        <v>457084</v>
      </c>
      <c r="O44" s="86"/>
      <c r="P44" s="86" t="str">
        <f>IFERROR(__xludf.DUMMYFUNCTION("IF(OR(F44=""Selecciona.."",F44=""""),"""",TRANSPOSE(filter(Familias!C:C,Familias!D:D=F44)))"),"Ancho Desmalezadora")</f>
        <v>Ancho Desmalezadora</v>
      </c>
      <c r="Q44" s="86" t="str">
        <f>IFERROR(__xludf.DUMMYFUNCTION("""COMPUTED_VALUE"""),"Opcionales Desmalezadoras")</f>
        <v>Opcionales Desmalezadoras</v>
      </c>
      <c r="R44" s="86" t="str">
        <f>IFERROR(__xludf.DUMMYFUNCTION("""COMPUTED_VALUE"""),"Repuestos Desmalezadoras")</f>
        <v>Repuestos Desmalezadoras</v>
      </c>
      <c r="S44" s="86" t="str">
        <f>IFERROR(__xludf.DUMMYFUNCTION("""COMPUTED_VALUE"""),"Acople Desmalezadoras")</f>
        <v>Acople Desmalezadoras</v>
      </c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</row>
    <row r="45">
      <c r="A45" s="4">
        <f t="shared" si="1"/>
        <v>44</v>
      </c>
      <c r="B45" s="4"/>
      <c r="C45" s="4"/>
      <c r="D45" s="4"/>
      <c r="E45" s="45" t="s">
        <v>191</v>
      </c>
      <c r="F45" s="2" t="s">
        <v>364</v>
      </c>
      <c r="G45" s="2" t="s">
        <v>438</v>
      </c>
      <c r="H45" s="2">
        <f>IF(G45="","",SUMIF(Familias!C:C,G45,Familias!E:E))</f>
        <v>4</v>
      </c>
      <c r="I45" s="4">
        <f>IF(A45="","",COUNTIF(Prod_Prop!B:B,A45))</f>
        <v>0</v>
      </c>
      <c r="J45" s="92">
        <f>IF(E45="","",IF(SUMIF(Precio_Productos!L:L,E45,Precio_Productos!J:J)=0,"Falta Precio",SUMIF(Precio_Productos!L:L,E45,Precio_Productos!J:J)))</f>
        <v>40000</v>
      </c>
      <c r="O45" s="86"/>
      <c r="P45" s="86" t="str">
        <f>IFERROR(__xludf.DUMMYFUNCTION("IF(OR(F45=""Selecciona.."",F45=""""),"""",TRANSPOSE(filter(Familias!C:C,Familias!D:D=F45)))"),"Ancho Desmalezadora")</f>
        <v>Ancho Desmalezadora</v>
      </c>
      <c r="Q45" s="86" t="str">
        <f>IFERROR(__xludf.DUMMYFUNCTION("""COMPUTED_VALUE"""),"Opcionales Desmalezadoras")</f>
        <v>Opcionales Desmalezadoras</v>
      </c>
      <c r="R45" s="86" t="str">
        <f>IFERROR(__xludf.DUMMYFUNCTION("""COMPUTED_VALUE"""),"Repuestos Desmalezadoras")</f>
        <v>Repuestos Desmalezadoras</v>
      </c>
      <c r="S45" s="86" t="str">
        <f>IFERROR(__xludf.DUMMYFUNCTION("""COMPUTED_VALUE"""),"Acople Desmalezadoras")</f>
        <v>Acople Desmalezadoras</v>
      </c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</row>
    <row r="46">
      <c r="A46" s="4">
        <f t="shared" si="1"/>
        <v>45</v>
      </c>
      <c r="B46" s="4"/>
      <c r="C46" s="2" t="s">
        <v>461</v>
      </c>
      <c r="D46" s="4"/>
      <c r="E46" s="45" t="s">
        <v>71</v>
      </c>
      <c r="F46" s="2" t="s">
        <v>28</v>
      </c>
      <c r="G46" s="2" t="s">
        <v>428</v>
      </c>
      <c r="H46" s="2">
        <f>IF(G46="","",SUMIF(Familias!C:C,G46,Familias!E:E))</f>
        <v>1</v>
      </c>
      <c r="I46" s="4">
        <f>IF(A46="","",COUNTIF(Prod_Prop!B:B,A46))</f>
        <v>4</v>
      </c>
      <c r="J46" s="92">
        <f>IF(E46="","",IF(SUMIF(Precio_Productos!L:L,E46,Precio_Productos!J:J)=0,"Falta Precio",SUMIF(Precio_Productos!L:L,E46,Precio_Productos!J:J)))</f>
        <v>1220800</v>
      </c>
      <c r="O46" s="86"/>
      <c r="P46" s="86" t="str">
        <f>IFERROR(__xludf.DUMMYFUNCTION("IF(OR(F46=""Selecciona.."",F46=""""),"""",TRANSPOSE(filter(Familias!C:C,Familias!D:D=F46)))"),"Chasis Acoplados 1 Ejes")</f>
        <v>Chasis Acoplados 1 Ejes</v>
      </c>
      <c r="Q46" s="86" t="str">
        <f>IFERROR(__xludf.DUMMYFUNCTION("""COMPUTED_VALUE"""),"Chasis Acoplados 2 Ejes")</f>
        <v>Chasis Acoplados 2 Ejes</v>
      </c>
      <c r="R46" s="86" t="str">
        <f>IFERROR(__xludf.DUMMYFUNCTION("""COMPUTED_VALUE"""),"Chasis Acoplados Balancin")</f>
        <v>Chasis Acoplados Balancin</v>
      </c>
      <c r="S46" s="86" t="str">
        <f>IFERROR(__xludf.DUMMYFUNCTION("""COMPUTED_VALUE"""),"Cajones para Acoplados")</f>
        <v>Cajones para Acoplados</v>
      </c>
      <c r="T46" s="86" t="str">
        <f>IFERROR(__xludf.DUMMYFUNCTION("""COMPUTED_VALUE"""),"Cajones Laterales para Acoplados")</f>
        <v>Cajones Laterales para Acoplados</v>
      </c>
      <c r="U46" s="86" t="str">
        <f>IFERROR(__xludf.DUMMYFUNCTION("""COMPUTED_VALUE"""),"Tanques Metálicos para Acoplados")</f>
        <v>Tanques Metálicos para Acoplados</v>
      </c>
      <c r="V46" s="86" t="str">
        <f>IFERROR(__xludf.DUMMYFUNCTION("""COMPUTED_VALUE"""),"Tanques Plásticos para Acoplados")</f>
        <v>Tanques Plásticos para Acoplados</v>
      </c>
      <c r="W46" s="86" t="str">
        <f>IFERROR(__xludf.DUMMYFUNCTION("""COMPUTED_VALUE"""),"Playos para Acoplados")</f>
        <v>Playos para Acoplados</v>
      </c>
      <c r="X46" s="86"/>
      <c r="Y46" s="86"/>
      <c r="Z46" s="86"/>
      <c r="AA46" s="86"/>
      <c r="AB46" s="86"/>
      <c r="AC46" s="86"/>
      <c r="AD46" s="86"/>
      <c r="AE46" s="86"/>
    </row>
    <row r="47">
      <c r="A47" s="4">
        <f t="shared" si="1"/>
        <v>46</v>
      </c>
      <c r="B47" s="4"/>
      <c r="C47" s="2" t="s">
        <v>462</v>
      </c>
      <c r="D47" s="4"/>
      <c r="E47" s="45" t="s">
        <v>53</v>
      </c>
      <c r="F47" s="2" t="s">
        <v>28</v>
      </c>
      <c r="G47" s="2" t="s">
        <v>428</v>
      </c>
      <c r="H47" s="2">
        <f>IF(G47="","",SUMIF(Familias!C:C,G47,Familias!E:E))</f>
        <v>1</v>
      </c>
      <c r="I47" s="4">
        <f>IF(A47="","",COUNTIF(Prod_Prop!B:B,A47))</f>
        <v>4</v>
      </c>
      <c r="J47" s="92">
        <f>IF(E47="","",IF(SUMIF(Precio_Productos!L:L,E47,Precio_Productos!J:J)=0,"Falta Precio",SUMIF(Precio_Productos!L:L,E47,Precio_Productos!J:J)))</f>
        <v>1533996</v>
      </c>
      <c r="O47" s="86"/>
      <c r="P47" s="86" t="str">
        <f>IFERROR(__xludf.DUMMYFUNCTION("IF(OR(F47=""Selecciona.."",F47=""""),"""",TRANSPOSE(filter(Familias!C:C,Familias!D:D=F47)))"),"Chasis Acoplados 1 Ejes")</f>
        <v>Chasis Acoplados 1 Ejes</v>
      </c>
      <c r="Q47" s="86" t="str">
        <f>IFERROR(__xludf.DUMMYFUNCTION("""COMPUTED_VALUE"""),"Chasis Acoplados 2 Ejes")</f>
        <v>Chasis Acoplados 2 Ejes</v>
      </c>
      <c r="R47" s="86" t="str">
        <f>IFERROR(__xludf.DUMMYFUNCTION("""COMPUTED_VALUE"""),"Chasis Acoplados Balancin")</f>
        <v>Chasis Acoplados Balancin</v>
      </c>
      <c r="S47" s="86" t="str">
        <f>IFERROR(__xludf.DUMMYFUNCTION("""COMPUTED_VALUE"""),"Cajones para Acoplados")</f>
        <v>Cajones para Acoplados</v>
      </c>
      <c r="T47" s="86" t="str">
        <f>IFERROR(__xludf.DUMMYFUNCTION("""COMPUTED_VALUE"""),"Cajones Laterales para Acoplados")</f>
        <v>Cajones Laterales para Acoplados</v>
      </c>
      <c r="U47" s="86" t="str">
        <f>IFERROR(__xludf.DUMMYFUNCTION("""COMPUTED_VALUE"""),"Tanques Metálicos para Acoplados")</f>
        <v>Tanques Metálicos para Acoplados</v>
      </c>
      <c r="V47" s="86" t="str">
        <f>IFERROR(__xludf.DUMMYFUNCTION("""COMPUTED_VALUE"""),"Tanques Plásticos para Acoplados")</f>
        <v>Tanques Plásticos para Acoplados</v>
      </c>
      <c r="W47" s="86" t="str">
        <f>IFERROR(__xludf.DUMMYFUNCTION("""COMPUTED_VALUE"""),"Playos para Acoplados")</f>
        <v>Playos para Acoplados</v>
      </c>
      <c r="X47" s="86"/>
      <c r="Y47" s="86"/>
      <c r="Z47" s="86"/>
      <c r="AA47" s="86"/>
      <c r="AB47" s="86"/>
      <c r="AC47" s="86"/>
      <c r="AD47" s="86"/>
      <c r="AE47" s="86"/>
    </row>
    <row r="48">
      <c r="A48" s="4">
        <f t="shared" si="1"/>
        <v>47</v>
      </c>
      <c r="B48" s="4"/>
      <c r="C48" s="2" t="s">
        <v>463</v>
      </c>
      <c r="D48" s="4"/>
      <c r="E48" s="45" t="s">
        <v>70</v>
      </c>
      <c r="F48" s="2" t="s">
        <v>28</v>
      </c>
      <c r="G48" s="2" t="s">
        <v>428</v>
      </c>
      <c r="H48" s="2">
        <f>IF(G48="","",SUMIF(Familias!C:C,G48,Familias!E:E))</f>
        <v>1</v>
      </c>
      <c r="I48" s="4">
        <f>IF(A48="","",COUNTIF(Prod_Prop!B:B,A48))</f>
        <v>4</v>
      </c>
      <c r="J48" s="92">
        <f>IF(E48="","",IF(SUMIF(Precio_Productos!L:L,E48,Precio_Productos!J:J)=0,"Falta Precio",SUMIF(Precio_Productos!L:L,E48,Precio_Productos!J:J)))</f>
        <v>1800000</v>
      </c>
      <c r="O48" s="86"/>
      <c r="P48" s="86" t="str">
        <f>IFERROR(__xludf.DUMMYFUNCTION("IF(OR(F48=""Selecciona.."",F48=""""),"""",TRANSPOSE(filter(Familias!C:C,Familias!D:D=F48)))"),"Chasis Acoplados 1 Ejes")</f>
        <v>Chasis Acoplados 1 Ejes</v>
      </c>
      <c r="Q48" s="86" t="str">
        <f>IFERROR(__xludf.DUMMYFUNCTION("""COMPUTED_VALUE"""),"Chasis Acoplados 2 Ejes")</f>
        <v>Chasis Acoplados 2 Ejes</v>
      </c>
      <c r="R48" s="86" t="str">
        <f>IFERROR(__xludf.DUMMYFUNCTION("""COMPUTED_VALUE"""),"Chasis Acoplados Balancin")</f>
        <v>Chasis Acoplados Balancin</v>
      </c>
      <c r="S48" s="86" t="str">
        <f>IFERROR(__xludf.DUMMYFUNCTION("""COMPUTED_VALUE"""),"Cajones para Acoplados")</f>
        <v>Cajones para Acoplados</v>
      </c>
      <c r="T48" s="86" t="str">
        <f>IFERROR(__xludf.DUMMYFUNCTION("""COMPUTED_VALUE"""),"Cajones Laterales para Acoplados")</f>
        <v>Cajones Laterales para Acoplados</v>
      </c>
      <c r="U48" s="86" t="str">
        <f>IFERROR(__xludf.DUMMYFUNCTION("""COMPUTED_VALUE"""),"Tanques Metálicos para Acoplados")</f>
        <v>Tanques Metálicos para Acoplados</v>
      </c>
      <c r="V48" s="86" t="str">
        <f>IFERROR(__xludf.DUMMYFUNCTION("""COMPUTED_VALUE"""),"Tanques Plásticos para Acoplados")</f>
        <v>Tanques Plásticos para Acoplados</v>
      </c>
      <c r="W48" s="86" t="str">
        <f>IFERROR(__xludf.DUMMYFUNCTION("""COMPUTED_VALUE"""),"Playos para Acoplados")</f>
        <v>Playos para Acoplados</v>
      </c>
      <c r="X48" s="86"/>
      <c r="Y48" s="86"/>
      <c r="Z48" s="86"/>
      <c r="AA48" s="86"/>
      <c r="AB48" s="86"/>
      <c r="AC48" s="86"/>
      <c r="AD48" s="86"/>
      <c r="AE48" s="86"/>
    </row>
    <row r="49">
      <c r="A49" s="4">
        <f t="shared" si="1"/>
        <v>48</v>
      </c>
      <c r="B49" s="4"/>
      <c r="C49" s="2" t="s">
        <v>464</v>
      </c>
      <c r="D49" s="4"/>
      <c r="E49" s="45" t="s">
        <v>60</v>
      </c>
      <c r="F49" s="2" t="s">
        <v>28</v>
      </c>
      <c r="G49" s="2" t="s">
        <v>428</v>
      </c>
      <c r="H49" s="2">
        <f>IF(G49="","",SUMIF(Familias!C:C,G49,Familias!E:E))</f>
        <v>1</v>
      </c>
      <c r="I49" s="4">
        <f>IF(A49="","",COUNTIF(Prod_Prop!B:B,A49))</f>
        <v>4</v>
      </c>
      <c r="J49" s="92">
        <f>IF(E49="","",IF(SUMIF(Precio_Productos!L:L,E49,Precio_Productos!J:J)=0,"Falta Precio",SUMIF(Precio_Productos!L:L,E49,Precio_Productos!J:J)))</f>
        <v>2157111</v>
      </c>
      <c r="O49" s="86"/>
      <c r="P49" s="86" t="str">
        <f>IFERROR(__xludf.DUMMYFUNCTION("IF(OR(F49=""Selecciona.."",F49=""""),"""",TRANSPOSE(filter(Familias!C:C,Familias!D:D=F49)))"),"Chasis Acoplados 1 Ejes")</f>
        <v>Chasis Acoplados 1 Ejes</v>
      </c>
      <c r="Q49" s="86" t="str">
        <f>IFERROR(__xludf.DUMMYFUNCTION("""COMPUTED_VALUE"""),"Chasis Acoplados 2 Ejes")</f>
        <v>Chasis Acoplados 2 Ejes</v>
      </c>
      <c r="R49" s="86" t="str">
        <f>IFERROR(__xludf.DUMMYFUNCTION("""COMPUTED_VALUE"""),"Chasis Acoplados Balancin")</f>
        <v>Chasis Acoplados Balancin</v>
      </c>
      <c r="S49" s="86" t="str">
        <f>IFERROR(__xludf.DUMMYFUNCTION("""COMPUTED_VALUE"""),"Cajones para Acoplados")</f>
        <v>Cajones para Acoplados</v>
      </c>
      <c r="T49" s="86" t="str">
        <f>IFERROR(__xludf.DUMMYFUNCTION("""COMPUTED_VALUE"""),"Cajones Laterales para Acoplados")</f>
        <v>Cajones Laterales para Acoplados</v>
      </c>
      <c r="U49" s="86" t="str">
        <f>IFERROR(__xludf.DUMMYFUNCTION("""COMPUTED_VALUE"""),"Tanques Metálicos para Acoplados")</f>
        <v>Tanques Metálicos para Acoplados</v>
      </c>
      <c r="V49" s="86" t="str">
        <f>IFERROR(__xludf.DUMMYFUNCTION("""COMPUTED_VALUE"""),"Tanques Plásticos para Acoplados")</f>
        <v>Tanques Plásticos para Acoplados</v>
      </c>
      <c r="W49" s="86" t="str">
        <f>IFERROR(__xludf.DUMMYFUNCTION("""COMPUTED_VALUE"""),"Playos para Acoplados")</f>
        <v>Playos para Acoplados</v>
      </c>
      <c r="X49" s="86"/>
      <c r="Y49" s="86"/>
      <c r="Z49" s="86"/>
      <c r="AA49" s="86"/>
      <c r="AB49" s="86"/>
      <c r="AC49" s="86"/>
      <c r="AD49" s="86"/>
      <c r="AE49" s="86"/>
    </row>
    <row r="50">
      <c r="A50" s="4">
        <f t="shared" si="1"/>
        <v>49</v>
      </c>
      <c r="B50" s="4"/>
      <c r="C50" s="2" t="s">
        <v>465</v>
      </c>
      <c r="D50" s="4"/>
      <c r="E50" s="45" t="s">
        <v>59</v>
      </c>
      <c r="F50" s="2" t="s">
        <v>28</v>
      </c>
      <c r="G50" s="2" t="s">
        <v>428</v>
      </c>
      <c r="H50" s="2">
        <f>IF(G50="","",SUMIF(Familias!C:C,G50,Familias!E:E))</f>
        <v>1</v>
      </c>
      <c r="I50" s="4">
        <f>IF(A50="","",COUNTIF(Prod_Prop!B:B,A50))</f>
        <v>4</v>
      </c>
      <c r="J50" s="92">
        <f>IF(E50="","",IF(SUMIF(Precio_Productos!L:L,E50,Precio_Productos!J:J)=0,"Falta Precio",SUMIF(Precio_Productos!L:L,E50,Precio_Productos!J:J)))</f>
        <v>1851449</v>
      </c>
      <c r="O50" s="86"/>
      <c r="P50" s="86" t="str">
        <f>IFERROR(__xludf.DUMMYFUNCTION("IF(OR(F50=""Selecciona.."",F50=""""),"""",TRANSPOSE(filter(Familias!C:C,Familias!D:D=F50)))"),"Chasis Acoplados 1 Ejes")</f>
        <v>Chasis Acoplados 1 Ejes</v>
      </c>
      <c r="Q50" s="86" t="str">
        <f>IFERROR(__xludf.DUMMYFUNCTION("""COMPUTED_VALUE"""),"Chasis Acoplados 2 Ejes")</f>
        <v>Chasis Acoplados 2 Ejes</v>
      </c>
      <c r="R50" s="86" t="str">
        <f>IFERROR(__xludf.DUMMYFUNCTION("""COMPUTED_VALUE"""),"Chasis Acoplados Balancin")</f>
        <v>Chasis Acoplados Balancin</v>
      </c>
      <c r="S50" s="86" t="str">
        <f>IFERROR(__xludf.DUMMYFUNCTION("""COMPUTED_VALUE"""),"Cajones para Acoplados")</f>
        <v>Cajones para Acoplados</v>
      </c>
      <c r="T50" s="86" t="str">
        <f>IFERROR(__xludf.DUMMYFUNCTION("""COMPUTED_VALUE"""),"Cajones Laterales para Acoplados")</f>
        <v>Cajones Laterales para Acoplados</v>
      </c>
      <c r="U50" s="86" t="str">
        <f>IFERROR(__xludf.DUMMYFUNCTION("""COMPUTED_VALUE"""),"Tanques Metálicos para Acoplados")</f>
        <v>Tanques Metálicos para Acoplados</v>
      </c>
      <c r="V50" s="86" t="str">
        <f>IFERROR(__xludf.DUMMYFUNCTION("""COMPUTED_VALUE"""),"Tanques Plásticos para Acoplados")</f>
        <v>Tanques Plásticos para Acoplados</v>
      </c>
      <c r="W50" s="86" t="str">
        <f>IFERROR(__xludf.DUMMYFUNCTION("""COMPUTED_VALUE"""),"Playos para Acoplados")</f>
        <v>Playos para Acoplados</v>
      </c>
      <c r="X50" s="86"/>
      <c r="Y50" s="86"/>
      <c r="Z50" s="86"/>
      <c r="AA50" s="86"/>
      <c r="AB50" s="86"/>
      <c r="AC50" s="86"/>
      <c r="AD50" s="86"/>
      <c r="AE50" s="86"/>
    </row>
    <row r="51">
      <c r="A51" s="4">
        <f t="shared" si="1"/>
        <v>50</v>
      </c>
      <c r="B51" s="4"/>
      <c r="C51" s="2" t="s">
        <v>466</v>
      </c>
      <c r="D51" s="4"/>
      <c r="E51" s="45" t="s">
        <v>61</v>
      </c>
      <c r="F51" s="2" t="s">
        <v>28</v>
      </c>
      <c r="G51" s="2" t="s">
        <v>428</v>
      </c>
      <c r="H51" s="2">
        <f>IF(G51="","",SUMIF(Familias!C:C,G51,Familias!E:E))</f>
        <v>1</v>
      </c>
      <c r="I51" s="4">
        <f>IF(A51="","",COUNTIF(Prod_Prop!B:B,A51))</f>
        <v>4</v>
      </c>
      <c r="J51" s="92">
        <f>IF(E51="","",IF(SUMIF(Precio_Productos!L:L,E51,Precio_Productos!J:J)=0,"Falta Precio",SUMIF(Precio_Productos!L:L,E51,Precio_Productos!J:J)))</f>
        <v>2500000</v>
      </c>
      <c r="O51" s="86"/>
      <c r="P51" s="86" t="str">
        <f>IFERROR(__xludf.DUMMYFUNCTION("IF(OR(F51=""Selecciona.."",F51=""""),"""",TRANSPOSE(filter(Familias!C:C,Familias!D:D=F51)))"),"Chasis Acoplados 1 Ejes")</f>
        <v>Chasis Acoplados 1 Ejes</v>
      </c>
      <c r="Q51" s="86" t="str">
        <f>IFERROR(__xludf.DUMMYFUNCTION("""COMPUTED_VALUE"""),"Chasis Acoplados 2 Ejes")</f>
        <v>Chasis Acoplados 2 Ejes</v>
      </c>
      <c r="R51" s="86" t="str">
        <f>IFERROR(__xludf.DUMMYFUNCTION("""COMPUTED_VALUE"""),"Chasis Acoplados Balancin")</f>
        <v>Chasis Acoplados Balancin</v>
      </c>
      <c r="S51" s="86" t="str">
        <f>IFERROR(__xludf.DUMMYFUNCTION("""COMPUTED_VALUE"""),"Cajones para Acoplados")</f>
        <v>Cajones para Acoplados</v>
      </c>
      <c r="T51" s="86" t="str">
        <f>IFERROR(__xludf.DUMMYFUNCTION("""COMPUTED_VALUE"""),"Cajones Laterales para Acoplados")</f>
        <v>Cajones Laterales para Acoplados</v>
      </c>
      <c r="U51" s="86" t="str">
        <f>IFERROR(__xludf.DUMMYFUNCTION("""COMPUTED_VALUE"""),"Tanques Metálicos para Acoplados")</f>
        <v>Tanques Metálicos para Acoplados</v>
      </c>
      <c r="V51" s="86" t="str">
        <f>IFERROR(__xludf.DUMMYFUNCTION("""COMPUTED_VALUE"""),"Tanques Plásticos para Acoplados")</f>
        <v>Tanques Plásticos para Acoplados</v>
      </c>
      <c r="W51" s="86" t="str">
        <f>IFERROR(__xludf.DUMMYFUNCTION("""COMPUTED_VALUE"""),"Playos para Acoplados")</f>
        <v>Playos para Acoplados</v>
      </c>
      <c r="X51" s="86"/>
      <c r="Y51" s="86"/>
      <c r="Z51" s="86"/>
      <c r="AA51" s="86"/>
      <c r="AB51" s="86"/>
      <c r="AC51" s="86"/>
      <c r="AD51" s="86"/>
      <c r="AE51" s="86"/>
    </row>
    <row r="52">
      <c r="A52" s="4">
        <f t="shared" si="1"/>
        <v>51</v>
      </c>
      <c r="B52" s="4"/>
      <c r="C52" s="2" t="s">
        <v>467</v>
      </c>
      <c r="D52" s="4"/>
      <c r="E52" s="45" t="s">
        <v>69</v>
      </c>
      <c r="F52" s="2" t="s">
        <v>28</v>
      </c>
      <c r="G52" s="2" t="s">
        <v>428</v>
      </c>
      <c r="H52" s="2">
        <f>IF(G52="","",SUMIF(Familias!C:C,G52,Familias!E:E))</f>
        <v>1</v>
      </c>
      <c r="I52" s="4">
        <f>IF(A52="","",COUNTIF(Prod_Prop!B:B,A52))</f>
        <v>4</v>
      </c>
      <c r="J52" s="92" t="str">
        <f>IF(E52="","",IF(SUMIF(Precio_Productos!L:L,E52,Precio_Productos!J:J)=0,"Falta Precio",SUMIF(Precio_Productos!L:L,E52,Precio_Productos!J:J)))</f>
        <v>Falta Precio</v>
      </c>
      <c r="O52" s="86"/>
      <c r="P52" s="86" t="str">
        <f>IFERROR(__xludf.DUMMYFUNCTION("IF(OR(F52=""Selecciona.."",F52=""""),"""",TRANSPOSE(filter(Familias!C:C,Familias!D:D=F52)))"),"Chasis Acoplados 1 Ejes")</f>
        <v>Chasis Acoplados 1 Ejes</v>
      </c>
      <c r="Q52" s="86" t="str">
        <f>IFERROR(__xludf.DUMMYFUNCTION("""COMPUTED_VALUE"""),"Chasis Acoplados 2 Ejes")</f>
        <v>Chasis Acoplados 2 Ejes</v>
      </c>
      <c r="R52" s="86" t="str">
        <f>IFERROR(__xludf.DUMMYFUNCTION("""COMPUTED_VALUE"""),"Chasis Acoplados Balancin")</f>
        <v>Chasis Acoplados Balancin</v>
      </c>
      <c r="S52" s="86" t="str">
        <f>IFERROR(__xludf.DUMMYFUNCTION("""COMPUTED_VALUE"""),"Cajones para Acoplados")</f>
        <v>Cajones para Acoplados</v>
      </c>
      <c r="T52" s="86" t="str">
        <f>IFERROR(__xludf.DUMMYFUNCTION("""COMPUTED_VALUE"""),"Cajones Laterales para Acoplados")</f>
        <v>Cajones Laterales para Acoplados</v>
      </c>
      <c r="U52" s="86" t="str">
        <f>IFERROR(__xludf.DUMMYFUNCTION("""COMPUTED_VALUE"""),"Tanques Metálicos para Acoplados")</f>
        <v>Tanques Metálicos para Acoplados</v>
      </c>
      <c r="V52" s="86" t="str">
        <f>IFERROR(__xludf.DUMMYFUNCTION("""COMPUTED_VALUE"""),"Tanques Plásticos para Acoplados")</f>
        <v>Tanques Plásticos para Acoplados</v>
      </c>
      <c r="W52" s="86" t="str">
        <f>IFERROR(__xludf.DUMMYFUNCTION("""COMPUTED_VALUE"""),"Playos para Acoplados")</f>
        <v>Playos para Acoplados</v>
      </c>
      <c r="X52" s="86"/>
      <c r="Y52" s="86"/>
      <c r="Z52" s="86"/>
      <c r="AA52" s="86"/>
      <c r="AB52" s="86"/>
      <c r="AC52" s="86"/>
      <c r="AD52" s="86"/>
      <c r="AE52" s="86"/>
    </row>
    <row r="53">
      <c r="A53" s="4">
        <f t="shared" si="1"/>
        <v>52</v>
      </c>
      <c r="B53" s="4"/>
      <c r="C53" s="2" t="s">
        <v>468</v>
      </c>
      <c r="D53" s="4"/>
      <c r="E53" s="45" t="s">
        <v>65</v>
      </c>
      <c r="F53" s="2" t="s">
        <v>28</v>
      </c>
      <c r="G53" s="2" t="s">
        <v>428</v>
      </c>
      <c r="H53" s="2">
        <f>IF(G53="","",SUMIF(Familias!C:C,G53,Familias!E:E))</f>
        <v>1</v>
      </c>
      <c r="I53" s="4">
        <f>IF(A53="","",COUNTIF(Prod_Prop!B:B,A53))</f>
        <v>4</v>
      </c>
      <c r="J53" s="92">
        <f>IF(E53="","",IF(SUMIF(Precio_Productos!L:L,E53,Precio_Productos!J:J)=0,"Falta Precio",SUMIF(Precio_Productos!L:L,E53,Precio_Productos!J:J)))</f>
        <v>2953506</v>
      </c>
      <c r="O53" s="86"/>
      <c r="P53" s="86" t="str">
        <f>IFERROR(__xludf.DUMMYFUNCTION("IF(OR(F53=""Selecciona.."",F53=""""),"""",TRANSPOSE(filter(Familias!C:C,Familias!D:D=F53)))"),"Chasis Acoplados 1 Ejes")</f>
        <v>Chasis Acoplados 1 Ejes</v>
      </c>
      <c r="Q53" s="86" t="str">
        <f>IFERROR(__xludf.DUMMYFUNCTION("""COMPUTED_VALUE"""),"Chasis Acoplados 2 Ejes")</f>
        <v>Chasis Acoplados 2 Ejes</v>
      </c>
      <c r="R53" s="86" t="str">
        <f>IFERROR(__xludf.DUMMYFUNCTION("""COMPUTED_VALUE"""),"Chasis Acoplados Balancin")</f>
        <v>Chasis Acoplados Balancin</v>
      </c>
      <c r="S53" s="86" t="str">
        <f>IFERROR(__xludf.DUMMYFUNCTION("""COMPUTED_VALUE"""),"Cajones para Acoplados")</f>
        <v>Cajones para Acoplados</v>
      </c>
      <c r="T53" s="86" t="str">
        <f>IFERROR(__xludf.DUMMYFUNCTION("""COMPUTED_VALUE"""),"Cajones Laterales para Acoplados")</f>
        <v>Cajones Laterales para Acoplados</v>
      </c>
      <c r="U53" s="86" t="str">
        <f>IFERROR(__xludf.DUMMYFUNCTION("""COMPUTED_VALUE"""),"Tanques Metálicos para Acoplados")</f>
        <v>Tanques Metálicos para Acoplados</v>
      </c>
      <c r="V53" s="86" t="str">
        <f>IFERROR(__xludf.DUMMYFUNCTION("""COMPUTED_VALUE"""),"Tanques Plásticos para Acoplados")</f>
        <v>Tanques Plásticos para Acoplados</v>
      </c>
      <c r="W53" s="86" t="str">
        <f>IFERROR(__xludf.DUMMYFUNCTION("""COMPUTED_VALUE"""),"Playos para Acoplados")</f>
        <v>Playos para Acoplados</v>
      </c>
      <c r="X53" s="86"/>
      <c r="Y53" s="86"/>
      <c r="Z53" s="86"/>
      <c r="AA53" s="86"/>
      <c r="AB53" s="86"/>
      <c r="AC53" s="86"/>
      <c r="AD53" s="86"/>
      <c r="AE53" s="86"/>
    </row>
    <row r="54">
      <c r="A54" s="4">
        <f t="shared" si="1"/>
        <v>53</v>
      </c>
      <c r="B54" s="4"/>
      <c r="C54" s="2" t="s">
        <v>469</v>
      </c>
      <c r="D54" s="4"/>
      <c r="E54" s="45" t="s">
        <v>66</v>
      </c>
      <c r="F54" s="2" t="s">
        <v>28</v>
      </c>
      <c r="G54" s="2" t="s">
        <v>428</v>
      </c>
      <c r="H54" s="2">
        <f>IF(G54="","",SUMIF(Familias!C:C,G54,Familias!E:E))</f>
        <v>1</v>
      </c>
      <c r="I54" s="4">
        <f>IF(A54="","",COUNTIF(Prod_Prop!B:B,A54))</f>
        <v>4</v>
      </c>
      <c r="J54" s="92" t="str">
        <f>IF(E54="","",IF(SUMIF(Precio_Productos!L:L,E54,Precio_Productos!J:J)=0,"Falta Precio",SUMIF(Precio_Productos!L:L,E54,Precio_Productos!J:J)))</f>
        <v>Falta Precio</v>
      </c>
      <c r="O54" s="86"/>
      <c r="P54" s="86" t="str">
        <f>IFERROR(__xludf.DUMMYFUNCTION("IF(OR(F54=""Selecciona.."",F54=""""),"""",TRANSPOSE(filter(Familias!C:C,Familias!D:D=F54)))"),"Chasis Acoplados 1 Ejes")</f>
        <v>Chasis Acoplados 1 Ejes</v>
      </c>
      <c r="Q54" s="86" t="str">
        <f>IFERROR(__xludf.DUMMYFUNCTION("""COMPUTED_VALUE"""),"Chasis Acoplados 2 Ejes")</f>
        <v>Chasis Acoplados 2 Ejes</v>
      </c>
      <c r="R54" s="86" t="str">
        <f>IFERROR(__xludf.DUMMYFUNCTION("""COMPUTED_VALUE"""),"Chasis Acoplados Balancin")</f>
        <v>Chasis Acoplados Balancin</v>
      </c>
      <c r="S54" s="86" t="str">
        <f>IFERROR(__xludf.DUMMYFUNCTION("""COMPUTED_VALUE"""),"Cajones para Acoplados")</f>
        <v>Cajones para Acoplados</v>
      </c>
      <c r="T54" s="86" t="str">
        <f>IFERROR(__xludf.DUMMYFUNCTION("""COMPUTED_VALUE"""),"Cajones Laterales para Acoplados")</f>
        <v>Cajones Laterales para Acoplados</v>
      </c>
      <c r="U54" s="86" t="str">
        <f>IFERROR(__xludf.DUMMYFUNCTION("""COMPUTED_VALUE"""),"Tanques Metálicos para Acoplados")</f>
        <v>Tanques Metálicos para Acoplados</v>
      </c>
      <c r="V54" s="86" t="str">
        <f>IFERROR(__xludf.DUMMYFUNCTION("""COMPUTED_VALUE"""),"Tanques Plásticos para Acoplados")</f>
        <v>Tanques Plásticos para Acoplados</v>
      </c>
      <c r="W54" s="86" t="str">
        <f>IFERROR(__xludf.DUMMYFUNCTION("""COMPUTED_VALUE"""),"Playos para Acoplados")</f>
        <v>Playos para Acoplados</v>
      </c>
      <c r="X54" s="86"/>
      <c r="Y54" s="86"/>
      <c r="Z54" s="86"/>
      <c r="AA54" s="86"/>
      <c r="AB54" s="86"/>
      <c r="AC54" s="86"/>
      <c r="AD54" s="86"/>
      <c r="AE54" s="86"/>
    </row>
    <row r="55">
      <c r="A55" s="4">
        <f t="shared" si="1"/>
        <v>54</v>
      </c>
      <c r="B55" s="4"/>
      <c r="C55" s="2" t="s">
        <v>470</v>
      </c>
      <c r="D55" s="4"/>
      <c r="E55" s="45" t="s">
        <v>67</v>
      </c>
      <c r="F55" s="2" t="s">
        <v>28</v>
      </c>
      <c r="G55" s="2" t="s">
        <v>428</v>
      </c>
      <c r="H55" s="2">
        <f>IF(G55="","",SUMIF(Familias!C:C,G55,Familias!E:E))</f>
        <v>1</v>
      </c>
      <c r="I55" s="4">
        <f>IF(A55="","",COUNTIF(Prod_Prop!B:B,A55))</f>
        <v>4</v>
      </c>
      <c r="J55" s="92">
        <f>IF(E55="","",IF(SUMIF(Precio_Productos!L:L,E55,Precio_Productos!J:J)=0,"Falta Precio",SUMIF(Precio_Productos!L:L,E55,Precio_Productos!J:J)))</f>
        <v>3445000</v>
      </c>
      <c r="O55" s="86"/>
      <c r="P55" s="86" t="str">
        <f>IFERROR(__xludf.DUMMYFUNCTION("IF(OR(F55=""Selecciona.."",F55=""""),"""",TRANSPOSE(filter(Familias!C:C,Familias!D:D=F55)))"),"Chasis Acoplados 1 Ejes")</f>
        <v>Chasis Acoplados 1 Ejes</v>
      </c>
      <c r="Q55" s="86" t="str">
        <f>IFERROR(__xludf.DUMMYFUNCTION("""COMPUTED_VALUE"""),"Chasis Acoplados 2 Ejes")</f>
        <v>Chasis Acoplados 2 Ejes</v>
      </c>
      <c r="R55" s="86" t="str">
        <f>IFERROR(__xludf.DUMMYFUNCTION("""COMPUTED_VALUE"""),"Chasis Acoplados Balancin")</f>
        <v>Chasis Acoplados Balancin</v>
      </c>
      <c r="S55" s="86" t="str">
        <f>IFERROR(__xludf.DUMMYFUNCTION("""COMPUTED_VALUE"""),"Cajones para Acoplados")</f>
        <v>Cajones para Acoplados</v>
      </c>
      <c r="T55" s="86" t="str">
        <f>IFERROR(__xludf.DUMMYFUNCTION("""COMPUTED_VALUE"""),"Cajones Laterales para Acoplados")</f>
        <v>Cajones Laterales para Acoplados</v>
      </c>
      <c r="U55" s="86" t="str">
        <f>IFERROR(__xludf.DUMMYFUNCTION("""COMPUTED_VALUE"""),"Tanques Metálicos para Acoplados")</f>
        <v>Tanques Metálicos para Acoplados</v>
      </c>
      <c r="V55" s="86" t="str">
        <f>IFERROR(__xludf.DUMMYFUNCTION("""COMPUTED_VALUE"""),"Tanques Plásticos para Acoplados")</f>
        <v>Tanques Plásticos para Acoplados</v>
      </c>
      <c r="W55" s="86" t="str">
        <f>IFERROR(__xludf.DUMMYFUNCTION("""COMPUTED_VALUE"""),"Playos para Acoplados")</f>
        <v>Playos para Acoplados</v>
      </c>
      <c r="X55" s="86"/>
      <c r="Y55" s="86"/>
      <c r="Z55" s="86"/>
      <c r="AA55" s="86"/>
      <c r="AB55" s="86"/>
      <c r="AC55" s="86"/>
      <c r="AD55" s="86"/>
      <c r="AE55" s="86"/>
    </row>
    <row r="56">
      <c r="A56" s="4">
        <f t="shared" si="1"/>
        <v>55</v>
      </c>
      <c r="B56" s="4"/>
      <c r="C56" s="2" t="s">
        <v>471</v>
      </c>
      <c r="D56" s="4"/>
      <c r="E56" s="45" t="s">
        <v>68</v>
      </c>
      <c r="F56" s="2" t="s">
        <v>28</v>
      </c>
      <c r="G56" s="2" t="s">
        <v>428</v>
      </c>
      <c r="H56" s="2">
        <f>IF(G56="","",SUMIF(Familias!C:C,G56,Familias!E:E))</f>
        <v>1</v>
      </c>
      <c r="I56" s="4">
        <f>IF(A56="","",COUNTIF(Prod_Prop!B:B,A56))</f>
        <v>4</v>
      </c>
      <c r="J56" s="92" t="str">
        <f>IF(E56="","",IF(SUMIF(Precio_Productos!L:L,E56,Precio_Productos!J:J)=0,"Falta Precio",SUMIF(Precio_Productos!L:L,E56,Precio_Productos!J:J)))</f>
        <v>Falta Precio</v>
      </c>
      <c r="O56" s="86"/>
      <c r="P56" s="86" t="str">
        <f>IFERROR(__xludf.DUMMYFUNCTION("IF(OR(F56=""Selecciona.."",F56=""""),"""",TRANSPOSE(filter(Familias!C:C,Familias!D:D=F56)))"),"Chasis Acoplados 1 Ejes")</f>
        <v>Chasis Acoplados 1 Ejes</v>
      </c>
      <c r="Q56" s="86" t="str">
        <f>IFERROR(__xludf.DUMMYFUNCTION("""COMPUTED_VALUE"""),"Chasis Acoplados 2 Ejes")</f>
        <v>Chasis Acoplados 2 Ejes</v>
      </c>
      <c r="R56" s="86" t="str">
        <f>IFERROR(__xludf.DUMMYFUNCTION("""COMPUTED_VALUE"""),"Chasis Acoplados Balancin")</f>
        <v>Chasis Acoplados Balancin</v>
      </c>
      <c r="S56" s="86" t="str">
        <f>IFERROR(__xludf.DUMMYFUNCTION("""COMPUTED_VALUE"""),"Cajones para Acoplados")</f>
        <v>Cajones para Acoplados</v>
      </c>
      <c r="T56" s="86" t="str">
        <f>IFERROR(__xludf.DUMMYFUNCTION("""COMPUTED_VALUE"""),"Cajones Laterales para Acoplados")</f>
        <v>Cajones Laterales para Acoplados</v>
      </c>
      <c r="U56" s="86" t="str">
        <f>IFERROR(__xludf.DUMMYFUNCTION("""COMPUTED_VALUE"""),"Tanques Metálicos para Acoplados")</f>
        <v>Tanques Metálicos para Acoplados</v>
      </c>
      <c r="V56" s="86" t="str">
        <f>IFERROR(__xludf.DUMMYFUNCTION("""COMPUTED_VALUE"""),"Tanques Plásticos para Acoplados")</f>
        <v>Tanques Plásticos para Acoplados</v>
      </c>
      <c r="W56" s="86" t="str">
        <f>IFERROR(__xludf.DUMMYFUNCTION("""COMPUTED_VALUE"""),"Playos para Acoplados")</f>
        <v>Playos para Acoplados</v>
      </c>
      <c r="X56" s="86"/>
      <c r="Y56" s="86"/>
      <c r="Z56" s="86"/>
      <c r="AA56" s="86"/>
      <c r="AB56" s="86"/>
      <c r="AC56" s="86"/>
      <c r="AD56" s="86"/>
      <c r="AE56" s="86"/>
    </row>
    <row r="57">
      <c r="A57" s="4">
        <f t="shared" si="1"/>
        <v>56</v>
      </c>
      <c r="B57" s="4"/>
      <c r="C57" s="2" t="s">
        <v>472</v>
      </c>
      <c r="D57" s="4"/>
      <c r="E57" s="45" t="s">
        <v>29</v>
      </c>
      <c r="F57" s="2" t="s">
        <v>28</v>
      </c>
      <c r="G57" s="2" t="s">
        <v>428</v>
      </c>
      <c r="H57" s="2">
        <f>IF(G57="","",SUMIF(Familias!C:C,G57,Familias!E:E))</f>
        <v>1</v>
      </c>
      <c r="I57" s="4">
        <f>IF(A57="","",COUNTIF(Prod_Prop!B:B,A57))</f>
        <v>4</v>
      </c>
      <c r="J57" s="92">
        <f>IF(E57="","",IF(SUMIF(Precio_Productos!L:L,E57,Precio_Productos!J:J)=0,"Falta Precio",SUMIF(Precio_Productos!L:L,E57,Precio_Productos!J:J)))</f>
        <v>2953506</v>
      </c>
      <c r="O57" s="86"/>
      <c r="P57" s="86" t="str">
        <f>IFERROR(__xludf.DUMMYFUNCTION("IF(OR(F57=""Selecciona.."",F57=""""),"""",TRANSPOSE(filter(Familias!C:C,Familias!D:D=F57)))"),"Chasis Acoplados 1 Ejes")</f>
        <v>Chasis Acoplados 1 Ejes</v>
      </c>
      <c r="Q57" s="86" t="str">
        <f>IFERROR(__xludf.DUMMYFUNCTION("""COMPUTED_VALUE"""),"Chasis Acoplados 2 Ejes")</f>
        <v>Chasis Acoplados 2 Ejes</v>
      </c>
      <c r="R57" s="86" t="str">
        <f>IFERROR(__xludf.DUMMYFUNCTION("""COMPUTED_VALUE"""),"Chasis Acoplados Balancin")</f>
        <v>Chasis Acoplados Balancin</v>
      </c>
      <c r="S57" s="86" t="str">
        <f>IFERROR(__xludf.DUMMYFUNCTION("""COMPUTED_VALUE"""),"Cajones para Acoplados")</f>
        <v>Cajones para Acoplados</v>
      </c>
      <c r="T57" s="86" t="str">
        <f>IFERROR(__xludf.DUMMYFUNCTION("""COMPUTED_VALUE"""),"Cajones Laterales para Acoplados")</f>
        <v>Cajones Laterales para Acoplados</v>
      </c>
      <c r="U57" s="86" t="str">
        <f>IFERROR(__xludf.DUMMYFUNCTION("""COMPUTED_VALUE"""),"Tanques Metálicos para Acoplados")</f>
        <v>Tanques Metálicos para Acoplados</v>
      </c>
      <c r="V57" s="86" t="str">
        <f>IFERROR(__xludf.DUMMYFUNCTION("""COMPUTED_VALUE"""),"Tanques Plásticos para Acoplados")</f>
        <v>Tanques Plásticos para Acoplados</v>
      </c>
      <c r="W57" s="86" t="str">
        <f>IFERROR(__xludf.DUMMYFUNCTION("""COMPUTED_VALUE"""),"Playos para Acoplados")</f>
        <v>Playos para Acoplados</v>
      </c>
      <c r="X57" s="86"/>
      <c r="Y57" s="86"/>
      <c r="Z57" s="86"/>
      <c r="AA57" s="86"/>
      <c r="AB57" s="86"/>
      <c r="AC57" s="86"/>
      <c r="AD57" s="86"/>
      <c r="AE57" s="86"/>
    </row>
    <row r="58">
      <c r="A58" s="4">
        <f t="shared" si="1"/>
        <v>57</v>
      </c>
      <c r="B58" s="4"/>
      <c r="C58" s="2" t="s">
        <v>473</v>
      </c>
      <c r="D58" s="4"/>
      <c r="E58" s="45" t="s">
        <v>32</v>
      </c>
      <c r="F58" s="2" t="s">
        <v>28</v>
      </c>
      <c r="G58" s="2" t="s">
        <v>424</v>
      </c>
      <c r="H58" s="2">
        <f>IF(G58="","",SUMIF(Familias!C:C,G58,Familias!E:E))</f>
        <v>2</v>
      </c>
      <c r="I58" s="4">
        <f>IF(A58="","",COUNTIF(Prod_Prop!B:B,A58))</f>
        <v>4</v>
      </c>
      <c r="J58" s="92">
        <f>IF(E58="","",IF(SUMIF(Precio_Productos!L:L,E58,Precio_Productos!J:J)=0,"Falta Precio",SUMIF(Precio_Productos!L:L,E58,Precio_Productos!J:J)))</f>
        <v>633920</v>
      </c>
      <c r="O58" s="86"/>
      <c r="P58" s="86" t="str">
        <f>IFERROR(__xludf.DUMMYFUNCTION("IF(OR(F58=""Selecciona.."",F58=""""),"""",TRANSPOSE(filter(Familias!C:C,Familias!D:D=F58)))"),"Chasis Acoplados 1 Ejes")</f>
        <v>Chasis Acoplados 1 Ejes</v>
      </c>
      <c r="Q58" s="86" t="str">
        <f>IFERROR(__xludf.DUMMYFUNCTION("""COMPUTED_VALUE"""),"Chasis Acoplados 2 Ejes")</f>
        <v>Chasis Acoplados 2 Ejes</v>
      </c>
      <c r="R58" s="86" t="str">
        <f>IFERROR(__xludf.DUMMYFUNCTION("""COMPUTED_VALUE"""),"Chasis Acoplados Balancin")</f>
        <v>Chasis Acoplados Balancin</v>
      </c>
      <c r="S58" s="86" t="str">
        <f>IFERROR(__xludf.DUMMYFUNCTION("""COMPUTED_VALUE"""),"Cajones para Acoplados")</f>
        <v>Cajones para Acoplados</v>
      </c>
      <c r="T58" s="86" t="str">
        <f>IFERROR(__xludf.DUMMYFUNCTION("""COMPUTED_VALUE"""),"Cajones Laterales para Acoplados")</f>
        <v>Cajones Laterales para Acoplados</v>
      </c>
      <c r="U58" s="86" t="str">
        <f>IFERROR(__xludf.DUMMYFUNCTION("""COMPUTED_VALUE"""),"Tanques Metálicos para Acoplados")</f>
        <v>Tanques Metálicos para Acoplados</v>
      </c>
      <c r="V58" s="86" t="str">
        <f>IFERROR(__xludf.DUMMYFUNCTION("""COMPUTED_VALUE"""),"Tanques Plásticos para Acoplados")</f>
        <v>Tanques Plásticos para Acoplados</v>
      </c>
      <c r="W58" s="86" t="str">
        <f>IFERROR(__xludf.DUMMYFUNCTION("""COMPUTED_VALUE"""),"Playos para Acoplados")</f>
        <v>Playos para Acoplados</v>
      </c>
      <c r="X58" s="86"/>
      <c r="Y58" s="86"/>
      <c r="Z58" s="86"/>
      <c r="AA58" s="86"/>
      <c r="AB58" s="86"/>
      <c r="AC58" s="86"/>
      <c r="AD58" s="86"/>
      <c r="AE58" s="86"/>
    </row>
    <row r="59">
      <c r="A59" s="4">
        <f t="shared" si="1"/>
        <v>58</v>
      </c>
      <c r="B59" s="4"/>
      <c r="C59" s="2" t="s">
        <v>474</v>
      </c>
      <c r="D59" s="4"/>
      <c r="E59" s="45" t="s">
        <v>72</v>
      </c>
      <c r="F59" s="2" t="s">
        <v>28</v>
      </c>
      <c r="G59" s="2" t="s">
        <v>424</v>
      </c>
      <c r="H59" s="2">
        <f>IF(G59="","",SUMIF(Familias!C:C,G59,Familias!E:E))</f>
        <v>2</v>
      </c>
      <c r="I59" s="4">
        <f>IF(A59="","",COUNTIF(Prod_Prop!B:B,A59))</f>
        <v>4</v>
      </c>
      <c r="J59" s="92" t="str">
        <f>IF(E59="","",IF(SUMIF(Precio_Productos!L:L,E59,Precio_Productos!J:J)=0,"Falta Precio",SUMIF(Precio_Productos!L:L,E59,Precio_Productos!J:J)))</f>
        <v>Falta Precio</v>
      </c>
      <c r="O59" s="86"/>
      <c r="P59" s="86" t="str">
        <f>IFERROR(__xludf.DUMMYFUNCTION("IF(OR(F59=""Selecciona.."",F59=""""),"""",TRANSPOSE(filter(Familias!C:C,Familias!D:D=F59)))"),"Chasis Acoplados 1 Ejes")</f>
        <v>Chasis Acoplados 1 Ejes</v>
      </c>
      <c r="Q59" s="86" t="str">
        <f>IFERROR(__xludf.DUMMYFUNCTION("""COMPUTED_VALUE"""),"Chasis Acoplados 2 Ejes")</f>
        <v>Chasis Acoplados 2 Ejes</v>
      </c>
      <c r="R59" s="86" t="str">
        <f>IFERROR(__xludf.DUMMYFUNCTION("""COMPUTED_VALUE"""),"Chasis Acoplados Balancin")</f>
        <v>Chasis Acoplados Balancin</v>
      </c>
      <c r="S59" s="86" t="str">
        <f>IFERROR(__xludf.DUMMYFUNCTION("""COMPUTED_VALUE"""),"Cajones para Acoplados")</f>
        <v>Cajones para Acoplados</v>
      </c>
      <c r="T59" s="86" t="str">
        <f>IFERROR(__xludf.DUMMYFUNCTION("""COMPUTED_VALUE"""),"Cajones Laterales para Acoplados")</f>
        <v>Cajones Laterales para Acoplados</v>
      </c>
      <c r="U59" s="86" t="str">
        <f>IFERROR(__xludf.DUMMYFUNCTION("""COMPUTED_VALUE"""),"Tanques Metálicos para Acoplados")</f>
        <v>Tanques Metálicos para Acoplados</v>
      </c>
      <c r="V59" s="86" t="str">
        <f>IFERROR(__xludf.DUMMYFUNCTION("""COMPUTED_VALUE"""),"Tanques Plásticos para Acoplados")</f>
        <v>Tanques Plásticos para Acoplados</v>
      </c>
      <c r="W59" s="86" t="str">
        <f>IFERROR(__xludf.DUMMYFUNCTION("""COMPUTED_VALUE"""),"Playos para Acoplados")</f>
        <v>Playos para Acoplados</v>
      </c>
      <c r="X59" s="86"/>
      <c r="Y59" s="86"/>
      <c r="Z59" s="86"/>
      <c r="AA59" s="86"/>
      <c r="AB59" s="86"/>
      <c r="AC59" s="86"/>
      <c r="AD59" s="86"/>
      <c r="AE59" s="86"/>
    </row>
    <row r="60">
      <c r="A60" s="4">
        <f t="shared" si="1"/>
        <v>59</v>
      </c>
      <c r="B60" s="4"/>
      <c r="C60" s="2" t="s">
        <v>475</v>
      </c>
      <c r="D60" s="4"/>
      <c r="E60" s="45" t="s">
        <v>73</v>
      </c>
      <c r="F60" s="2" t="s">
        <v>28</v>
      </c>
      <c r="G60" s="2" t="s">
        <v>424</v>
      </c>
      <c r="H60" s="2">
        <f>IF(G60="","",SUMIF(Familias!C:C,G60,Familias!E:E))</f>
        <v>2</v>
      </c>
      <c r="I60" s="4">
        <f>IF(A60="","",COUNTIF(Prod_Prop!B:B,A60))</f>
        <v>4</v>
      </c>
      <c r="J60" s="92" t="str">
        <f>IF(E60="","",IF(SUMIF(Precio_Productos!L:L,E60,Precio_Productos!J:J)=0,"Falta Precio",SUMIF(Precio_Productos!L:L,E60,Precio_Productos!J:J)))</f>
        <v>Falta Precio</v>
      </c>
      <c r="O60" s="86"/>
      <c r="P60" s="86" t="str">
        <f>IFERROR(__xludf.DUMMYFUNCTION("IF(OR(F60=""Selecciona.."",F60=""""),"""",TRANSPOSE(filter(Familias!C:C,Familias!D:D=F60)))"),"Chasis Acoplados 1 Ejes")</f>
        <v>Chasis Acoplados 1 Ejes</v>
      </c>
      <c r="Q60" s="86" t="str">
        <f>IFERROR(__xludf.DUMMYFUNCTION("""COMPUTED_VALUE"""),"Chasis Acoplados 2 Ejes")</f>
        <v>Chasis Acoplados 2 Ejes</v>
      </c>
      <c r="R60" s="86" t="str">
        <f>IFERROR(__xludf.DUMMYFUNCTION("""COMPUTED_VALUE"""),"Chasis Acoplados Balancin")</f>
        <v>Chasis Acoplados Balancin</v>
      </c>
      <c r="S60" s="86" t="str">
        <f>IFERROR(__xludf.DUMMYFUNCTION("""COMPUTED_VALUE"""),"Cajones para Acoplados")</f>
        <v>Cajones para Acoplados</v>
      </c>
      <c r="T60" s="86" t="str">
        <f>IFERROR(__xludf.DUMMYFUNCTION("""COMPUTED_VALUE"""),"Cajones Laterales para Acoplados")</f>
        <v>Cajones Laterales para Acoplados</v>
      </c>
      <c r="U60" s="86" t="str">
        <f>IFERROR(__xludf.DUMMYFUNCTION("""COMPUTED_VALUE"""),"Tanques Metálicos para Acoplados")</f>
        <v>Tanques Metálicos para Acoplados</v>
      </c>
      <c r="V60" s="86" t="str">
        <f>IFERROR(__xludf.DUMMYFUNCTION("""COMPUTED_VALUE"""),"Tanques Plásticos para Acoplados")</f>
        <v>Tanques Plásticos para Acoplados</v>
      </c>
      <c r="W60" s="86" t="str">
        <f>IFERROR(__xludf.DUMMYFUNCTION("""COMPUTED_VALUE"""),"Playos para Acoplados")</f>
        <v>Playos para Acoplados</v>
      </c>
      <c r="X60" s="86"/>
      <c r="Y60" s="86"/>
      <c r="Z60" s="86"/>
      <c r="AA60" s="86"/>
      <c r="AB60" s="86"/>
      <c r="AC60" s="86"/>
      <c r="AD60" s="86"/>
      <c r="AE60" s="86"/>
    </row>
    <row r="61">
      <c r="A61" s="4">
        <f t="shared" si="1"/>
        <v>60</v>
      </c>
      <c r="B61" s="4"/>
      <c r="C61" s="2" t="s">
        <v>476</v>
      </c>
      <c r="D61" s="4"/>
      <c r="E61" s="45" t="s">
        <v>74</v>
      </c>
      <c r="F61" s="2" t="s">
        <v>28</v>
      </c>
      <c r="G61" s="2" t="s">
        <v>424</v>
      </c>
      <c r="H61" s="2">
        <f>IF(G61="","",SUMIF(Familias!C:C,G61,Familias!E:E))</f>
        <v>2</v>
      </c>
      <c r="I61" s="4">
        <f>IF(A61="","",COUNTIF(Prod_Prop!B:B,A61))</f>
        <v>4</v>
      </c>
      <c r="J61" s="92" t="str">
        <f>IF(E61="","",IF(SUMIF(Precio_Productos!L:L,E61,Precio_Productos!J:J)=0,"Falta Precio",SUMIF(Precio_Productos!L:L,E61,Precio_Productos!J:J)))</f>
        <v>Falta Precio</v>
      </c>
      <c r="O61" s="86"/>
      <c r="P61" s="86" t="str">
        <f>IFERROR(__xludf.DUMMYFUNCTION("IF(OR(F61=""Selecciona.."",F61=""""),"""",TRANSPOSE(filter(Familias!C:C,Familias!D:D=F61)))"),"Chasis Acoplados 1 Ejes")</f>
        <v>Chasis Acoplados 1 Ejes</v>
      </c>
      <c r="Q61" s="86" t="str">
        <f>IFERROR(__xludf.DUMMYFUNCTION("""COMPUTED_VALUE"""),"Chasis Acoplados 2 Ejes")</f>
        <v>Chasis Acoplados 2 Ejes</v>
      </c>
      <c r="R61" s="86" t="str">
        <f>IFERROR(__xludf.DUMMYFUNCTION("""COMPUTED_VALUE"""),"Chasis Acoplados Balancin")</f>
        <v>Chasis Acoplados Balancin</v>
      </c>
      <c r="S61" s="86" t="str">
        <f>IFERROR(__xludf.DUMMYFUNCTION("""COMPUTED_VALUE"""),"Cajones para Acoplados")</f>
        <v>Cajones para Acoplados</v>
      </c>
      <c r="T61" s="86" t="str">
        <f>IFERROR(__xludf.DUMMYFUNCTION("""COMPUTED_VALUE"""),"Cajones Laterales para Acoplados")</f>
        <v>Cajones Laterales para Acoplados</v>
      </c>
      <c r="U61" s="86" t="str">
        <f>IFERROR(__xludf.DUMMYFUNCTION("""COMPUTED_VALUE"""),"Tanques Metálicos para Acoplados")</f>
        <v>Tanques Metálicos para Acoplados</v>
      </c>
      <c r="V61" s="86" t="str">
        <f>IFERROR(__xludf.DUMMYFUNCTION("""COMPUTED_VALUE"""),"Tanques Plásticos para Acoplados")</f>
        <v>Tanques Plásticos para Acoplados</v>
      </c>
      <c r="W61" s="86" t="str">
        <f>IFERROR(__xludf.DUMMYFUNCTION("""COMPUTED_VALUE"""),"Playos para Acoplados")</f>
        <v>Playos para Acoplados</v>
      </c>
      <c r="X61" s="86"/>
      <c r="Y61" s="86"/>
      <c r="Z61" s="86"/>
      <c r="AA61" s="86"/>
      <c r="AB61" s="86"/>
      <c r="AC61" s="86"/>
      <c r="AD61" s="86"/>
      <c r="AE61" s="86"/>
    </row>
    <row r="62">
      <c r="A62" s="4">
        <f t="shared" si="1"/>
        <v>61</v>
      </c>
      <c r="B62" s="4"/>
      <c r="C62" s="2" t="s">
        <v>477</v>
      </c>
      <c r="D62" s="4"/>
      <c r="E62" s="45" t="s">
        <v>75</v>
      </c>
      <c r="F62" s="2" t="s">
        <v>28</v>
      </c>
      <c r="G62" s="2" t="s">
        <v>424</v>
      </c>
      <c r="H62" s="2">
        <f>IF(G62="","",SUMIF(Familias!C:C,G62,Familias!E:E))</f>
        <v>2</v>
      </c>
      <c r="I62" s="4">
        <f>IF(A62="","",COUNTIF(Prod_Prop!B:B,A62))</f>
        <v>4</v>
      </c>
      <c r="J62" s="92" t="str">
        <f>IF(E62="","",IF(SUMIF(Precio_Productos!L:L,E62,Precio_Productos!J:J)=0,"Falta Precio",SUMIF(Precio_Productos!L:L,E62,Precio_Productos!J:J)))</f>
        <v>Falta Precio</v>
      </c>
      <c r="O62" s="86"/>
      <c r="P62" s="86" t="str">
        <f>IFERROR(__xludf.DUMMYFUNCTION("IF(OR(F62=""Selecciona.."",F62=""""),"""",TRANSPOSE(filter(Familias!C:C,Familias!D:D=F62)))"),"Chasis Acoplados 1 Ejes")</f>
        <v>Chasis Acoplados 1 Ejes</v>
      </c>
      <c r="Q62" s="86" t="str">
        <f>IFERROR(__xludf.DUMMYFUNCTION("""COMPUTED_VALUE"""),"Chasis Acoplados 2 Ejes")</f>
        <v>Chasis Acoplados 2 Ejes</v>
      </c>
      <c r="R62" s="86" t="str">
        <f>IFERROR(__xludf.DUMMYFUNCTION("""COMPUTED_VALUE"""),"Chasis Acoplados Balancin")</f>
        <v>Chasis Acoplados Balancin</v>
      </c>
      <c r="S62" s="86" t="str">
        <f>IFERROR(__xludf.DUMMYFUNCTION("""COMPUTED_VALUE"""),"Cajones para Acoplados")</f>
        <v>Cajones para Acoplados</v>
      </c>
      <c r="T62" s="86" t="str">
        <f>IFERROR(__xludf.DUMMYFUNCTION("""COMPUTED_VALUE"""),"Cajones Laterales para Acoplados")</f>
        <v>Cajones Laterales para Acoplados</v>
      </c>
      <c r="U62" s="86" t="str">
        <f>IFERROR(__xludf.DUMMYFUNCTION("""COMPUTED_VALUE"""),"Tanques Metálicos para Acoplados")</f>
        <v>Tanques Metálicos para Acoplados</v>
      </c>
      <c r="V62" s="86" t="str">
        <f>IFERROR(__xludf.DUMMYFUNCTION("""COMPUTED_VALUE"""),"Tanques Plásticos para Acoplados")</f>
        <v>Tanques Plásticos para Acoplados</v>
      </c>
      <c r="W62" s="86" t="str">
        <f>IFERROR(__xludf.DUMMYFUNCTION("""COMPUTED_VALUE"""),"Playos para Acoplados")</f>
        <v>Playos para Acoplados</v>
      </c>
      <c r="X62" s="86"/>
      <c r="Y62" s="86"/>
      <c r="Z62" s="86"/>
      <c r="AA62" s="86"/>
      <c r="AB62" s="86"/>
      <c r="AC62" s="86"/>
      <c r="AD62" s="86"/>
      <c r="AE62" s="86"/>
    </row>
    <row r="63">
      <c r="A63" s="4">
        <f t="shared" si="1"/>
        <v>62</v>
      </c>
      <c r="B63" s="4"/>
      <c r="C63" s="2" t="s">
        <v>478</v>
      </c>
      <c r="D63" s="4"/>
      <c r="E63" s="45" t="s">
        <v>76</v>
      </c>
      <c r="F63" s="2" t="s">
        <v>28</v>
      </c>
      <c r="G63" s="2" t="s">
        <v>424</v>
      </c>
      <c r="H63" s="2">
        <f>IF(G63="","",SUMIF(Familias!C:C,G63,Familias!E:E))</f>
        <v>2</v>
      </c>
      <c r="I63" s="4">
        <f>IF(A63="","",COUNTIF(Prod_Prop!B:B,A63))</f>
        <v>4</v>
      </c>
      <c r="J63" s="92">
        <f>IF(E63="","",IF(SUMIF(Precio_Productos!L:L,E63,Precio_Productos!J:J)=0,"Falta Precio",SUMIF(Precio_Productos!L:L,E63,Precio_Productos!J:J)))</f>
        <v>729000</v>
      </c>
      <c r="O63" s="86"/>
      <c r="P63" s="86" t="str">
        <f>IFERROR(__xludf.DUMMYFUNCTION("IF(OR(F63=""Selecciona.."",F63=""""),"""",TRANSPOSE(filter(Familias!C:C,Familias!D:D=F63)))"),"Chasis Acoplados 1 Ejes")</f>
        <v>Chasis Acoplados 1 Ejes</v>
      </c>
      <c r="Q63" s="86" t="str">
        <f>IFERROR(__xludf.DUMMYFUNCTION("""COMPUTED_VALUE"""),"Chasis Acoplados 2 Ejes")</f>
        <v>Chasis Acoplados 2 Ejes</v>
      </c>
      <c r="R63" s="86" t="str">
        <f>IFERROR(__xludf.DUMMYFUNCTION("""COMPUTED_VALUE"""),"Chasis Acoplados Balancin")</f>
        <v>Chasis Acoplados Balancin</v>
      </c>
      <c r="S63" s="86" t="str">
        <f>IFERROR(__xludf.DUMMYFUNCTION("""COMPUTED_VALUE"""),"Cajones para Acoplados")</f>
        <v>Cajones para Acoplados</v>
      </c>
      <c r="T63" s="86" t="str">
        <f>IFERROR(__xludf.DUMMYFUNCTION("""COMPUTED_VALUE"""),"Cajones Laterales para Acoplados")</f>
        <v>Cajones Laterales para Acoplados</v>
      </c>
      <c r="U63" s="86" t="str">
        <f>IFERROR(__xludf.DUMMYFUNCTION("""COMPUTED_VALUE"""),"Tanques Metálicos para Acoplados")</f>
        <v>Tanques Metálicos para Acoplados</v>
      </c>
      <c r="V63" s="86" t="str">
        <f>IFERROR(__xludf.DUMMYFUNCTION("""COMPUTED_VALUE"""),"Tanques Plásticos para Acoplados")</f>
        <v>Tanques Plásticos para Acoplados</v>
      </c>
      <c r="W63" s="86" t="str">
        <f>IFERROR(__xludf.DUMMYFUNCTION("""COMPUTED_VALUE"""),"Playos para Acoplados")</f>
        <v>Playos para Acoplados</v>
      </c>
      <c r="X63" s="86"/>
      <c r="Y63" s="86"/>
      <c r="Z63" s="86"/>
      <c r="AA63" s="86"/>
      <c r="AB63" s="86"/>
      <c r="AC63" s="86"/>
      <c r="AD63" s="86"/>
      <c r="AE63" s="86"/>
    </row>
    <row r="64">
      <c r="A64" s="4">
        <f t="shared" si="1"/>
        <v>63</v>
      </c>
      <c r="B64" s="4"/>
      <c r="C64" s="2" t="s">
        <v>479</v>
      </c>
      <c r="D64" s="4"/>
      <c r="E64" s="45" t="s">
        <v>77</v>
      </c>
      <c r="F64" s="2" t="s">
        <v>28</v>
      </c>
      <c r="G64" s="2" t="s">
        <v>424</v>
      </c>
      <c r="H64" s="2">
        <f>IF(G64="","",SUMIF(Familias!C:C,G64,Familias!E:E))</f>
        <v>2</v>
      </c>
      <c r="I64" s="4">
        <f>IF(A64="","",COUNTIF(Prod_Prop!B:B,A64))</f>
        <v>4</v>
      </c>
      <c r="J64" s="92" t="str">
        <f>IF(E64="","",IF(SUMIF(Precio_Productos!L:L,E64,Precio_Productos!J:J)=0,"Falta Precio",SUMIF(Precio_Productos!L:L,E64,Precio_Productos!J:J)))</f>
        <v>Falta Precio</v>
      </c>
      <c r="O64" s="86"/>
      <c r="P64" s="86" t="str">
        <f>IFERROR(__xludf.DUMMYFUNCTION("IF(OR(F64=""Selecciona.."",F64=""""),"""",TRANSPOSE(filter(Familias!C:C,Familias!D:D=F64)))"),"Chasis Acoplados 1 Ejes")</f>
        <v>Chasis Acoplados 1 Ejes</v>
      </c>
      <c r="Q64" s="86" t="str">
        <f>IFERROR(__xludf.DUMMYFUNCTION("""COMPUTED_VALUE"""),"Chasis Acoplados 2 Ejes")</f>
        <v>Chasis Acoplados 2 Ejes</v>
      </c>
      <c r="R64" s="86" t="str">
        <f>IFERROR(__xludf.DUMMYFUNCTION("""COMPUTED_VALUE"""),"Chasis Acoplados Balancin")</f>
        <v>Chasis Acoplados Balancin</v>
      </c>
      <c r="S64" s="86" t="str">
        <f>IFERROR(__xludf.DUMMYFUNCTION("""COMPUTED_VALUE"""),"Cajones para Acoplados")</f>
        <v>Cajones para Acoplados</v>
      </c>
      <c r="T64" s="86" t="str">
        <f>IFERROR(__xludf.DUMMYFUNCTION("""COMPUTED_VALUE"""),"Cajones Laterales para Acoplados")</f>
        <v>Cajones Laterales para Acoplados</v>
      </c>
      <c r="U64" s="86" t="str">
        <f>IFERROR(__xludf.DUMMYFUNCTION("""COMPUTED_VALUE"""),"Tanques Metálicos para Acoplados")</f>
        <v>Tanques Metálicos para Acoplados</v>
      </c>
      <c r="V64" s="86" t="str">
        <f>IFERROR(__xludf.DUMMYFUNCTION("""COMPUTED_VALUE"""),"Tanques Plásticos para Acoplados")</f>
        <v>Tanques Plásticos para Acoplados</v>
      </c>
      <c r="W64" s="86" t="str">
        <f>IFERROR(__xludf.DUMMYFUNCTION("""COMPUTED_VALUE"""),"Playos para Acoplados")</f>
        <v>Playos para Acoplados</v>
      </c>
      <c r="X64" s="86"/>
      <c r="Y64" s="86"/>
      <c r="Z64" s="86"/>
      <c r="AA64" s="86"/>
      <c r="AB64" s="86"/>
      <c r="AC64" s="86"/>
      <c r="AD64" s="86"/>
      <c r="AE64" s="86"/>
    </row>
    <row r="65">
      <c r="A65" s="4">
        <f t="shared" si="1"/>
        <v>64</v>
      </c>
      <c r="B65" s="4"/>
      <c r="C65" s="2" t="s">
        <v>480</v>
      </c>
      <c r="D65" s="4"/>
      <c r="E65" s="45" t="s">
        <v>78</v>
      </c>
      <c r="F65" s="2" t="s">
        <v>28</v>
      </c>
      <c r="G65" s="2" t="s">
        <v>424</v>
      </c>
      <c r="H65" s="2">
        <f>IF(G65="","",SUMIF(Familias!C:C,G65,Familias!E:E))</f>
        <v>2</v>
      </c>
      <c r="I65" s="4">
        <f>IF(A65="","",COUNTIF(Prod_Prop!B:B,A65))</f>
        <v>4</v>
      </c>
      <c r="J65" s="92" t="str">
        <f>IF(E65="","",IF(SUMIF(Precio_Productos!L:L,E65,Precio_Productos!J:J)=0,"Falta Precio",SUMIF(Precio_Productos!L:L,E65,Precio_Productos!J:J)))</f>
        <v>Falta Precio</v>
      </c>
      <c r="O65" s="86"/>
      <c r="P65" s="86" t="str">
        <f>IFERROR(__xludf.DUMMYFUNCTION("IF(OR(F65=""Selecciona.."",F65=""""),"""",TRANSPOSE(filter(Familias!C:C,Familias!D:D=F65)))"),"Chasis Acoplados 1 Ejes")</f>
        <v>Chasis Acoplados 1 Ejes</v>
      </c>
      <c r="Q65" s="86" t="str">
        <f>IFERROR(__xludf.DUMMYFUNCTION("""COMPUTED_VALUE"""),"Chasis Acoplados 2 Ejes")</f>
        <v>Chasis Acoplados 2 Ejes</v>
      </c>
      <c r="R65" s="86" t="str">
        <f>IFERROR(__xludf.DUMMYFUNCTION("""COMPUTED_VALUE"""),"Chasis Acoplados Balancin")</f>
        <v>Chasis Acoplados Balancin</v>
      </c>
      <c r="S65" s="86" t="str">
        <f>IFERROR(__xludf.DUMMYFUNCTION("""COMPUTED_VALUE"""),"Cajones para Acoplados")</f>
        <v>Cajones para Acoplados</v>
      </c>
      <c r="T65" s="86" t="str">
        <f>IFERROR(__xludf.DUMMYFUNCTION("""COMPUTED_VALUE"""),"Cajones Laterales para Acoplados")</f>
        <v>Cajones Laterales para Acoplados</v>
      </c>
      <c r="U65" s="86" t="str">
        <f>IFERROR(__xludf.DUMMYFUNCTION("""COMPUTED_VALUE"""),"Tanques Metálicos para Acoplados")</f>
        <v>Tanques Metálicos para Acoplados</v>
      </c>
      <c r="V65" s="86" t="str">
        <f>IFERROR(__xludf.DUMMYFUNCTION("""COMPUTED_VALUE"""),"Tanques Plásticos para Acoplados")</f>
        <v>Tanques Plásticos para Acoplados</v>
      </c>
      <c r="W65" s="86" t="str">
        <f>IFERROR(__xludf.DUMMYFUNCTION("""COMPUTED_VALUE"""),"Playos para Acoplados")</f>
        <v>Playos para Acoplados</v>
      </c>
      <c r="X65" s="86"/>
      <c r="Y65" s="86"/>
      <c r="Z65" s="86"/>
      <c r="AA65" s="86"/>
      <c r="AB65" s="86"/>
      <c r="AC65" s="86"/>
      <c r="AD65" s="86"/>
      <c r="AE65" s="86"/>
    </row>
    <row r="66">
      <c r="A66" s="4">
        <f t="shared" si="1"/>
        <v>65</v>
      </c>
      <c r="B66" s="4"/>
      <c r="C66" s="2" t="s">
        <v>481</v>
      </c>
      <c r="D66" s="4"/>
      <c r="E66" s="45" t="s">
        <v>87</v>
      </c>
      <c r="F66" s="2" t="s">
        <v>28</v>
      </c>
      <c r="G66" s="2" t="s">
        <v>424</v>
      </c>
      <c r="H66" s="2">
        <f>IF(G66="","",SUMIF(Familias!C:C,G66,Familias!E:E))</f>
        <v>2</v>
      </c>
      <c r="I66" s="4">
        <f>IF(A66="","",COUNTIF(Prod_Prop!B:B,A66))</f>
        <v>4</v>
      </c>
      <c r="J66" s="92">
        <f>IF(E66="","",IF(SUMIF(Precio_Productos!L:L,E66,Precio_Productos!J:J)=0,"Falta Precio",SUMIF(Precio_Productos!L:L,E66,Precio_Productos!J:J)))</f>
        <v>3788928</v>
      </c>
      <c r="O66" s="86"/>
      <c r="P66" s="86" t="str">
        <f>IFERROR(__xludf.DUMMYFUNCTION("IF(OR(F66=""Selecciona.."",F66=""""),"""",TRANSPOSE(filter(Familias!C:C,Familias!D:D=F66)))"),"Chasis Acoplados 1 Ejes")</f>
        <v>Chasis Acoplados 1 Ejes</v>
      </c>
      <c r="Q66" s="86" t="str">
        <f>IFERROR(__xludf.DUMMYFUNCTION("""COMPUTED_VALUE"""),"Chasis Acoplados 2 Ejes")</f>
        <v>Chasis Acoplados 2 Ejes</v>
      </c>
      <c r="R66" s="86" t="str">
        <f>IFERROR(__xludf.DUMMYFUNCTION("""COMPUTED_VALUE"""),"Chasis Acoplados Balancin")</f>
        <v>Chasis Acoplados Balancin</v>
      </c>
      <c r="S66" s="86" t="str">
        <f>IFERROR(__xludf.DUMMYFUNCTION("""COMPUTED_VALUE"""),"Cajones para Acoplados")</f>
        <v>Cajones para Acoplados</v>
      </c>
      <c r="T66" s="86" t="str">
        <f>IFERROR(__xludf.DUMMYFUNCTION("""COMPUTED_VALUE"""),"Cajones Laterales para Acoplados")</f>
        <v>Cajones Laterales para Acoplados</v>
      </c>
      <c r="U66" s="86" t="str">
        <f>IFERROR(__xludf.DUMMYFUNCTION("""COMPUTED_VALUE"""),"Tanques Metálicos para Acoplados")</f>
        <v>Tanques Metálicos para Acoplados</v>
      </c>
      <c r="V66" s="86" t="str">
        <f>IFERROR(__xludf.DUMMYFUNCTION("""COMPUTED_VALUE"""),"Tanques Plásticos para Acoplados")</f>
        <v>Tanques Plásticos para Acoplados</v>
      </c>
      <c r="W66" s="86" t="str">
        <f>IFERROR(__xludf.DUMMYFUNCTION("""COMPUTED_VALUE"""),"Playos para Acoplados")</f>
        <v>Playos para Acoplados</v>
      </c>
      <c r="X66" s="86"/>
      <c r="Y66" s="86"/>
      <c r="Z66" s="86"/>
      <c r="AA66" s="86"/>
      <c r="AB66" s="86"/>
      <c r="AC66" s="86"/>
      <c r="AD66" s="86"/>
      <c r="AE66" s="86"/>
    </row>
    <row r="67">
      <c r="A67" s="4">
        <f t="shared" si="1"/>
        <v>66</v>
      </c>
      <c r="B67" s="4"/>
      <c r="C67" s="2" t="s">
        <v>482</v>
      </c>
      <c r="D67" s="4"/>
      <c r="E67" s="45" t="s">
        <v>79</v>
      </c>
      <c r="F67" s="2" t="s">
        <v>28</v>
      </c>
      <c r="G67" s="2" t="s">
        <v>426</v>
      </c>
      <c r="H67" s="2">
        <f>IF(G67="","",SUMIF(Familias!C:C,G67,Familias!E:E))</f>
        <v>4</v>
      </c>
      <c r="I67" s="4">
        <f>IF(A67="","",COUNTIF(Prod_Prop!B:B,A67))</f>
        <v>4</v>
      </c>
      <c r="J67" s="92">
        <f>IF(E67="","",IF(SUMIF(Precio_Productos!L:L,E67,Precio_Productos!J:J)=0,"Falta Precio",SUMIF(Precio_Productos!L:L,E67,Precio_Productos!J:J)))</f>
        <v>292579</v>
      </c>
      <c r="O67" s="86"/>
      <c r="P67" s="86" t="str">
        <f>IFERROR(__xludf.DUMMYFUNCTION("IF(OR(F67=""Selecciona.."",F67=""""),"""",TRANSPOSE(filter(Familias!C:C,Familias!D:D=F67)))"),"Chasis Acoplados 1 Ejes")</f>
        <v>Chasis Acoplados 1 Ejes</v>
      </c>
      <c r="Q67" s="86" t="str">
        <f>IFERROR(__xludf.DUMMYFUNCTION("""COMPUTED_VALUE"""),"Chasis Acoplados 2 Ejes")</f>
        <v>Chasis Acoplados 2 Ejes</v>
      </c>
      <c r="R67" s="86" t="str">
        <f>IFERROR(__xludf.DUMMYFUNCTION("""COMPUTED_VALUE"""),"Chasis Acoplados Balancin")</f>
        <v>Chasis Acoplados Balancin</v>
      </c>
      <c r="S67" s="86" t="str">
        <f>IFERROR(__xludf.DUMMYFUNCTION("""COMPUTED_VALUE"""),"Cajones para Acoplados")</f>
        <v>Cajones para Acoplados</v>
      </c>
      <c r="T67" s="86" t="str">
        <f>IFERROR(__xludf.DUMMYFUNCTION("""COMPUTED_VALUE"""),"Cajones Laterales para Acoplados")</f>
        <v>Cajones Laterales para Acoplados</v>
      </c>
      <c r="U67" s="86" t="str">
        <f>IFERROR(__xludf.DUMMYFUNCTION("""COMPUTED_VALUE"""),"Tanques Metálicos para Acoplados")</f>
        <v>Tanques Metálicos para Acoplados</v>
      </c>
      <c r="V67" s="86" t="str">
        <f>IFERROR(__xludf.DUMMYFUNCTION("""COMPUTED_VALUE"""),"Tanques Plásticos para Acoplados")</f>
        <v>Tanques Plásticos para Acoplados</v>
      </c>
      <c r="W67" s="86" t="str">
        <f>IFERROR(__xludf.DUMMYFUNCTION("""COMPUTED_VALUE"""),"Playos para Acoplados")</f>
        <v>Playos para Acoplados</v>
      </c>
      <c r="X67" s="86"/>
      <c r="Y67" s="86"/>
      <c r="Z67" s="86"/>
      <c r="AA67" s="86"/>
      <c r="AB67" s="86"/>
      <c r="AC67" s="86"/>
      <c r="AD67" s="86"/>
      <c r="AE67" s="86"/>
    </row>
    <row r="68">
      <c r="A68" s="4">
        <f t="shared" si="1"/>
        <v>67</v>
      </c>
      <c r="B68" s="4"/>
      <c r="C68" s="2" t="s">
        <v>483</v>
      </c>
      <c r="D68" s="4"/>
      <c r="E68" s="45" t="s">
        <v>81</v>
      </c>
      <c r="F68" s="2" t="s">
        <v>28</v>
      </c>
      <c r="G68" s="2" t="s">
        <v>426</v>
      </c>
      <c r="H68" s="2">
        <f>IF(G68="","",SUMIF(Familias!C:C,G68,Familias!E:E))</f>
        <v>4</v>
      </c>
      <c r="I68" s="4">
        <f>IF(A68="","",COUNTIF(Prod_Prop!B:B,A68))</f>
        <v>4</v>
      </c>
      <c r="J68" s="92">
        <f>IF(E68="","",IF(SUMIF(Precio_Productos!L:L,E68,Precio_Productos!J:J)=0,"Falta Precio",SUMIF(Precio_Productos!L:L,E68,Precio_Productos!J:J)))</f>
        <v>292579</v>
      </c>
      <c r="O68" s="86"/>
      <c r="P68" s="86" t="str">
        <f>IFERROR(__xludf.DUMMYFUNCTION("IF(OR(F68=""Selecciona.."",F68=""""),"""",TRANSPOSE(filter(Familias!C:C,Familias!D:D=F68)))"),"Chasis Acoplados 1 Ejes")</f>
        <v>Chasis Acoplados 1 Ejes</v>
      </c>
      <c r="Q68" s="86" t="str">
        <f>IFERROR(__xludf.DUMMYFUNCTION("""COMPUTED_VALUE"""),"Chasis Acoplados 2 Ejes")</f>
        <v>Chasis Acoplados 2 Ejes</v>
      </c>
      <c r="R68" s="86" t="str">
        <f>IFERROR(__xludf.DUMMYFUNCTION("""COMPUTED_VALUE"""),"Chasis Acoplados Balancin")</f>
        <v>Chasis Acoplados Balancin</v>
      </c>
      <c r="S68" s="86" t="str">
        <f>IFERROR(__xludf.DUMMYFUNCTION("""COMPUTED_VALUE"""),"Cajones para Acoplados")</f>
        <v>Cajones para Acoplados</v>
      </c>
      <c r="T68" s="86" t="str">
        <f>IFERROR(__xludf.DUMMYFUNCTION("""COMPUTED_VALUE"""),"Cajones Laterales para Acoplados")</f>
        <v>Cajones Laterales para Acoplados</v>
      </c>
      <c r="U68" s="86" t="str">
        <f>IFERROR(__xludf.DUMMYFUNCTION("""COMPUTED_VALUE"""),"Tanques Metálicos para Acoplados")</f>
        <v>Tanques Metálicos para Acoplados</v>
      </c>
      <c r="V68" s="86" t="str">
        <f>IFERROR(__xludf.DUMMYFUNCTION("""COMPUTED_VALUE"""),"Tanques Plásticos para Acoplados")</f>
        <v>Tanques Plásticos para Acoplados</v>
      </c>
      <c r="W68" s="86" t="str">
        <f>IFERROR(__xludf.DUMMYFUNCTION("""COMPUTED_VALUE"""),"Playos para Acoplados")</f>
        <v>Playos para Acoplados</v>
      </c>
      <c r="X68" s="86"/>
      <c r="Y68" s="86"/>
      <c r="Z68" s="86"/>
      <c r="AA68" s="86"/>
      <c r="AB68" s="86"/>
      <c r="AC68" s="86"/>
      <c r="AD68" s="86"/>
      <c r="AE68" s="86"/>
    </row>
    <row r="69">
      <c r="A69" s="4">
        <f t="shared" si="1"/>
        <v>68</v>
      </c>
      <c r="B69" s="4"/>
      <c r="C69" s="2" t="s">
        <v>484</v>
      </c>
      <c r="D69" s="4"/>
      <c r="E69" s="45" t="s">
        <v>82</v>
      </c>
      <c r="F69" s="2" t="s">
        <v>28</v>
      </c>
      <c r="G69" s="2" t="s">
        <v>426</v>
      </c>
      <c r="H69" s="2">
        <f>IF(G69="","",SUMIF(Familias!C:C,G69,Familias!E:E))</f>
        <v>4</v>
      </c>
      <c r="I69" s="4">
        <f>IF(A69="","",COUNTIF(Prod_Prop!B:B,A69))</f>
        <v>4</v>
      </c>
      <c r="J69" s="92">
        <f>IF(E69="","",IF(SUMIF(Precio_Productos!L:L,E69,Precio_Productos!J:J)=0,"Falta Precio",SUMIF(Precio_Productos!L:L,E69,Precio_Productos!J:J)))</f>
        <v>250000</v>
      </c>
      <c r="O69" s="86"/>
      <c r="P69" s="86" t="str">
        <f>IFERROR(__xludf.DUMMYFUNCTION("IF(OR(F69=""Selecciona.."",F69=""""),"""",TRANSPOSE(filter(Familias!C:C,Familias!D:D=F69)))"),"Chasis Acoplados 1 Ejes")</f>
        <v>Chasis Acoplados 1 Ejes</v>
      </c>
      <c r="Q69" s="86" t="str">
        <f>IFERROR(__xludf.DUMMYFUNCTION("""COMPUTED_VALUE"""),"Chasis Acoplados 2 Ejes")</f>
        <v>Chasis Acoplados 2 Ejes</v>
      </c>
      <c r="R69" s="86" t="str">
        <f>IFERROR(__xludf.DUMMYFUNCTION("""COMPUTED_VALUE"""),"Chasis Acoplados Balancin")</f>
        <v>Chasis Acoplados Balancin</v>
      </c>
      <c r="S69" s="86" t="str">
        <f>IFERROR(__xludf.DUMMYFUNCTION("""COMPUTED_VALUE"""),"Cajones para Acoplados")</f>
        <v>Cajones para Acoplados</v>
      </c>
      <c r="T69" s="86" t="str">
        <f>IFERROR(__xludf.DUMMYFUNCTION("""COMPUTED_VALUE"""),"Cajones Laterales para Acoplados")</f>
        <v>Cajones Laterales para Acoplados</v>
      </c>
      <c r="U69" s="86" t="str">
        <f>IFERROR(__xludf.DUMMYFUNCTION("""COMPUTED_VALUE"""),"Tanques Metálicos para Acoplados")</f>
        <v>Tanques Metálicos para Acoplados</v>
      </c>
      <c r="V69" s="86" t="str">
        <f>IFERROR(__xludf.DUMMYFUNCTION("""COMPUTED_VALUE"""),"Tanques Plásticos para Acoplados")</f>
        <v>Tanques Plásticos para Acoplados</v>
      </c>
      <c r="W69" s="86" t="str">
        <f>IFERROR(__xludf.DUMMYFUNCTION("""COMPUTED_VALUE"""),"Playos para Acoplados")</f>
        <v>Playos para Acoplados</v>
      </c>
      <c r="X69" s="86"/>
      <c r="Y69" s="86"/>
      <c r="Z69" s="86"/>
      <c r="AA69" s="86"/>
      <c r="AB69" s="86"/>
      <c r="AC69" s="86"/>
      <c r="AD69" s="86"/>
      <c r="AE69" s="86"/>
    </row>
    <row r="70">
      <c r="A70" s="4">
        <f t="shared" si="1"/>
        <v>69</v>
      </c>
      <c r="B70" s="4"/>
      <c r="C70" s="2" t="s">
        <v>485</v>
      </c>
      <c r="D70" s="4"/>
      <c r="E70" s="45" t="s">
        <v>83</v>
      </c>
      <c r="F70" s="2" t="s">
        <v>28</v>
      </c>
      <c r="G70" s="2" t="s">
        <v>426</v>
      </c>
      <c r="H70" s="2">
        <f>IF(G70="","",SUMIF(Familias!C:C,G70,Familias!E:E))</f>
        <v>4</v>
      </c>
      <c r="I70" s="4">
        <f>IF(A70="","",COUNTIF(Prod_Prop!B:B,A70))</f>
        <v>4</v>
      </c>
      <c r="J70" s="92">
        <f>IF(E70="","",IF(SUMIF(Precio_Productos!L:L,E70,Precio_Productos!J:J)=0,"Falta Precio",SUMIF(Precio_Productos!L:L,E70,Precio_Productos!J:J)))</f>
        <v>250000</v>
      </c>
      <c r="O70" s="86"/>
      <c r="P70" s="86" t="str">
        <f>IFERROR(__xludf.DUMMYFUNCTION("IF(OR(F70=""Selecciona.."",F70=""""),"""",TRANSPOSE(filter(Familias!C:C,Familias!D:D=F70)))"),"Chasis Acoplados 1 Ejes")</f>
        <v>Chasis Acoplados 1 Ejes</v>
      </c>
      <c r="Q70" s="86" t="str">
        <f>IFERROR(__xludf.DUMMYFUNCTION("""COMPUTED_VALUE"""),"Chasis Acoplados 2 Ejes")</f>
        <v>Chasis Acoplados 2 Ejes</v>
      </c>
      <c r="R70" s="86" t="str">
        <f>IFERROR(__xludf.DUMMYFUNCTION("""COMPUTED_VALUE"""),"Chasis Acoplados Balancin")</f>
        <v>Chasis Acoplados Balancin</v>
      </c>
      <c r="S70" s="86" t="str">
        <f>IFERROR(__xludf.DUMMYFUNCTION("""COMPUTED_VALUE"""),"Cajones para Acoplados")</f>
        <v>Cajones para Acoplados</v>
      </c>
      <c r="T70" s="86" t="str">
        <f>IFERROR(__xludf.DUMMYFUNCTION("""COMPUTED_VALUE"""),"Cajones Laterales para Acoplados")</f>
        <v>Cajones Laterales para Acoplados</v>
      </c>
      <c r="U70" s="86" t="str">
        <f>IFERROR(__xludf.DUMMYFUNCTION("""COMPUTED_VALUE"""),"Tanques Metálicos para Acoplados")</f>
        <v>Tanques Metálicos para Acoplados</v>
      </c>
      <c r="V70" s="86" t="str">
        <f>IFERROR(__xludf.DUMMYFUNCTION("""COMPUTED_VALUE"""),"Tanques Plásticos para Acoplados")</f>
        <v>Tanques Plásticos para Acoplados</v>
      </c>
      <c r="W70" s="86" t="str">
        <f>IFERROR(__xludf.DUMMYFUNCTION("""COMPUTED_VALUE"""),"Playos para Acoplados")</f>
        <v>Playos para Acoplados</v>
      </c>
      <c r="X70" s="86"/>
      <c r="Y70" s="86"/>
      <c r="Z70" s="86"/>
      <c r="AA70" s="86"/>
      <c r="AB70" s="86"/>
      <c r="AC70" s="86"/>
      <c r="AD70" s="86"/>
      <c r="AE70" s="86"/>
    </row>
    <row r="71">
      <c r="A71" s="4">
        <f t="shared" si="1"/>
        <v>70</v>
      </c>
      <c r="B71" s="4"/>
      <c r="C71" s="2" t="s">
        <v>486</v>
      </c>
      <c r="D71" s="4"/>
      <c r="E71" s="45" t="s">
        <v>84</v>
      </c>
      <c r="F71" s="2" t="s">
        <v>28</v>
      </c>
      <c r="G71" s="2" t="s">
        <v>426</v>
      </c>
      <c r="H71" s="2">
        <f>IF(G71="","",SUMIF(Familias!C:C,G71,Familias!E:E))</f>
        <v>4</v>
      </c>
      <c r="I71" s="4">
        <f>IF(A71="","",COUNTIF(Prod_Prop!B:B,A71))</f>
        <v>4</v>
      </c>
      <c r="J71" s="92">
        <f>IF(E71="","",IF(SUMIF(Precio_Productos!L:L,E71,Precio_Productos!J:J)=0,"Falta Precio",SUMIF(Precio_Productos!L:L,E71,Precio_Productos!J:J)))</f>
        <v>260000</v>
      </c>
      <c r="O71" s="86"/>
      <c r="P71" s="86" t="str">
        <f>IFERROR(__xludf.DUMMYFUNCTION("IF(OR(F71=""Selecciona.."",F71=""""),"""",TRANSPOSE(filter(Familias!C:C,Familias!D:D=F71)))"),"Chasis Acoplados 1 Ejes")</f>
        <v>Chasis Acoplados 1 Ejes</v>
      </c>
      <c r="Q71" s="86" t="str">
        <f>IFERROR(__xludf.DUMMYFUNCTION("""COMPUTED_VALUE"""),"Chasis Acoplados 2 Ejes")</f>
        <v>Chasis Acoplados 2 Ejes</v>
      </c>
      <c r="R71" s="86" t="str">
        <f>IFERROR(__xludf.DUMMYFUNCTION("""COMPUTED_VALUE"""),"Chasis Acoplados Balancin")</f>
        <v>Chasis Acoplados Balancin</v>
      </c>
      <c r="S71" s="86" t="str">
        <f>IFERROR(__xludf.DUMMYFUNCTION("""COMPUTED_VALUE"""),"Cajones para Acoplados")</f>
        <v>Cajones para Acoplados</v>
      </c>
      <c r="T71" s="86" t="str">
        <f>IFERROR(__xludf.DUMMYFUNCTION("""COMPUTED_VALUE"""),"Cajones Laterales para Acoplados")</f>
        <v>Cajones Laterales para Acoplados</v>
      </c>
      <c r="U71" s="86" t="str">
        <f>IFERROR(__xludf.DUMMYFUNCTION("""COMPUTED_VALUE"""),"Tanques Metálicos para Acoplados")</f>
        <v>Tanques Metálicos para Acoplados</v>
      </c>
      <c r="V71" s="86" t="str">
        <f>IFERROR(__xludf.DUMMYFUNCTION("""COMPUTED_VALUE"""),"Tanques Plásticos para Acoplados")</f>
        <v>Tanques Plásticos para Acoplados</v>
      </c>
      <c r="W71" s="86" t="str">
        <f>IFERROR(__xludf.DUMMYFUNCTION("""COMPUTED_VALUE"""),"Playos para Acoplados")</f>
        <v>Playos para Acoplados</v>
      </c>
      <c r="X71" s="86"/>
      <c r="Y71" s="86"/>
      <c r="Z71" s="86"/>
      <c r="AA71" s="86"/>
      <c r="AB71" s="86"/>
      <c r="AC71" s="86"/>
      <c r="AD71" s="86"/>
      <c r="AE71" s="86"/>
    </row>
    <row r="72">
      <c r="A72" s="4">
        <f t="shared" si="1"/>
        <v>71</v>
      </c>
      <c r="B72" s="4"/>
      <c r="C72" s="2" t="s">
        <v>487</v>
      </c>
      <c r="D72" s="4"/>
      <c r="E72" s="45" t="s">
        <v>86</v>
      </c>
      <c r="F72" s="2" t="s">
        <v>28</v>
      </c>
      <c r="G72" s="2" t="s">
        <v>426</v>
      </c>
      <c r="H72" s="2">
        <f>IF(G72="","",SUMIF(Familias!C:C,G72,Familias!E:E))</f>
        <v>4</v>
      </c>
      <c r="I72" s="4">
        <f>IF(A72="","",COUNTIF(Prod_Prop!B:B,A72))</f>
        <v>4</v>
      </c>
      <c r="J72" s="92">
        <f>IF(E72="","",IF(SUMIF(Precio_Productos!L:L,E72,Precio_Productos!J:J)=0,"Falta Precio",SUMIF(Precio_Productos!L:L,E72,Precio_Productos!J:J)))</f>
        <v>260000</v>
      </c>
      <c r="O72" s="86"/>
      <c r="P72" s="86" t="str">
        <f>IFERROR(__xludf.DUMMYFUNCTION("IF(OR(F72=""Selecciona.."",F72=""""),"""",TRANSPOSE(filter(Familias!C:C,Familias!D:D=F72)))"),"Chasis Acoplados 1 Ejes")</f>
        <v>Chasis Acoplados 1 Ejes</v>
      </c>
      <c r="Q72" s="86" t="str">
        <f>IFERROR(__xludf.DUMMYFUNCTION("""COMPUTED_VALUE"""),"Chasis Acoplados 2 Ejes")</f>
        <v>Chasis Acoplados 2 Ejes</v>
      </c>
      <c r="R72" s="86" t="str">
        <f>IFERROR(__xludf.DUMMYFUNCTION("""COMPUTED_VALUE"""),"Chasis Acoplados Balancin")</f>
        <v>Chasis Acoplados Balancin</v>
      </c>
      <c r="S72" s="86" t="str">
        <f>IFERROR(__xludf.DUMMYFUNCTION("""COMPUTED_VALUE"""),"Cajones para Acoplados")</f>
        <v>Cajones para Acoplados</v>
      </c>
      <c r="T72" s="86" t="str">
        <f>IFERROR(__xludf.DUMMYFUNCTION("""COMPUTED_VALUE"""),"Cajones Laterales para Acoplados")</f>
        <v>Cajones Laterales para Acoplados</v>
      </c>
      <c r="U72" s="86" t="str">
        <f>IFERROR(__xludf.DUMMYFUNCTION("""COMPUTED_VALUE"""),"Tanques Metálicos para Acoplados")</f>
        <v>Tanques Metálicos para Acoplados</v>
      </c>
      <c r="V72" s="86" t="str">
        <f>IFERROR(__xludf.DUMMYFUNCTION("""COMPUTED_VALUE"""),"Tanques Plásticos para Acoplados")</f>
        <v>Tanques Plásticos para Acoplados</v>
      </c>
      <c r="W72" s="86" t="str">
        <f>IFERROR(__xludf.DUMMYFUNCTION("""COMPUTED_VALUE"""),"Playos para Acoplados")</f>
        <v>Playos para Acoplados</v>
      </c>
      <c r="X72" s="86"/>
      <c r="Y72" s="86"/>
      <c r="Z72" s="86"/>
      <c r="AA72" s="86"/>
      <c r="AB72" s="86"/>
      <c r="AC72" s="86"/>
      <c r="AD72" s="86"/>
      <c r="AE72" s="86"/>
    </row>
    <row r="73">
      <c r="A73" s="4">
        <f t="shared" si="1"/>
        <v>72</v>
      </c>
      <c r="B73" s="4"/>
      <c r="C73" s="2" t="s">
        <v>488</v>
      </c>
      <c r="D73" s="4"/>
      <c r="E73" s="45" t="s">
        <v>97</v>
      </c>
      <c r="F73" s="2" t="s">
        <v>28</v>
      </c>
      <c r="G73" s="2" t="s">
        <v>414</v>
      </c>
      <c r="H73" s="2">
        <f>IF(G73="","",SUMIF(Familias!C:C,G73,Familias!E:E))</f>
        <v>3</v>
      </c>
      <c r="I73" s="4">
        <f>IF(A73="","",COUNTIF(Prod_Prop!B:B,A73))</f>
        <v>5</v>
      </c>
      <c r="J73" s="92">
        <f>IF(E73="","",IF(SUMIF(Precio_Productos!L:L,E73,Precio_Productos!J:J)=0,"Falta Precio",SUMIF(Precio_Productos!L:L,E73,Precio_Productos!J:J)))</f>
        <v>2332989</v>
      </c>
      <c r="O73" s="86"/>
      <c r="P73" s="86" t="str">
        <f>IFERROR(__xludf.DUMMYFUNCTION("IF(OR(F73=""Selecciona.."",F73=""""),"""",TRANSPOSE(filter(Familias!C:C,Familias!D:D=F73)))"),"Chasis Acoplados 1 Ejes")</f>
        <v>Chasis Acoplados 1 Ejes</v>
      </c>
      <c r="Q73" s="86" t="str">
        <f>IFERROR(__xludf.DUMMYFUNCTION("""COMPUTED_VALUE"""),"Chasis Acoplados 2 Ejes")</f>
        <v>Chasis Acoplados 2 Ejes</v>
      </c>
      <c r="R73" s="86" t="str">
        <f>IFERROR(__xludf.DUMMYFUNCTION("""COMPUTED_VALUE"""),"Chasis Acoplados Balancin")</f>
        <v>Chasis Acoplados Balancin</v>
      </c>
      <c r="S73" s="86" t="str">
        <f>IFERROR(__xludf.DUMMYFUNCTION("""COMPUTED_VALUE"""),"Cajones para Acoplados")</f>
        <v>Cajones para Acoplados</v>
      </c>
      <c r="T73" s="86" t="str">
        <f>IFERROR(__xludf.DUMMYFUNCTION("""COMPUTED_VALUE"""),"Cajones Laterales para Acoplados")</f>
        <v>Cajones Laterales para Acoplados</v>
      </c>
      <c r="U73" s="86" t="str">
        <f>IFERROR(__xludf.DUMMYFUNCTION("""COMPUTED_VALUE"""),"Tanques Metálicos para Acoplados")</f>
        <v>Tanques Metálicos para Acoplados</v>
      </c>
      <c r="V73" s="86" t="str">
        <f>IFERROR(__xludf.DUMMYFUNCTION("""COMPUTED_VALUE"""),"Tanques Plásticos para Acoplados")</f>
        <v>Tanques Plásticos para Acoplados</v>
      </c>
      <c r="W73" s="86" t="str">
        <f>IFERROR(__xludf.DUMMYFUNCTION("""COMPUTED_VALUE"""),"Playos para Acoplados")</f>
        <v>Playos para Acoplados</v>
      </c>
      <c r="X73" s="86"/>
      <c r="Y73" s="86"/>
      <c r="Z73" s="86"/>
      <c r="AA73" s="86"/>
      <c r="AB73" s="86"/>
      <c r="AC73" s="86"/>
      <c r="AD73" s="86"/>
      <c r="AE73" s="86"/>
    </row>
    <row r="74">
      <c r="A74" s="4">
        <f t="shared" si="1"/>
        <v>73</v>
      </c>
      <c r="B74" s="4"/>
      <c r="C74" s="2" t="s">
        <v>489</v>
      </c>
      <c r="D74" s="4"/>
      <c r="E74" s="45" t="s">
        <v>99</v>
      </c>
      <c r="F74" s="2" t="s">
        <v>28</v>
      </c>
      <c r="G74" s="2" t="s">
        <v>414</v>
      </c>
      <c r="H74" s="2">
        <f>IF(G74="","",SUMIF(Familias!C:C,G74,Familias!E:E))</f>
        <v>3</v>
      </c>
      <c r="I74" s="4">
        <f>IF(A74="","",COUNTIF(Prod_Prop!B:B,A74))</f>
        <v>5</v>
      </c>
      <c r="J74" s="92">
        <f>IF(E74="","",IF(SUMIF(Precio_Productos!L:L,E74,Precio_Productos!J:J)=0,"Falta Precio",SUMIF(Precio_Productos!L:L,E74,Precio_Productos!J:J)))</f>
        <v>2454854</v>
      </c>
      <c r="O74" s="86"/>
      <c r="P74" s="86" t="str">
        <f>IFERROR(__xludf.DUMMYFUNCTION("IF(OR(F74=""Selecciona.."",F74=""""),"""",TRANSPOSE(filter(Familias!C:C,Familias!D:D=F74)))"),"Chasis Acoplados 1 Ejes")</f>
        <v>Chasis Acoplados 1 Ejes</v>
      </c>
      <c r="Q74" s="86" t="str">
        <f>IFERROR(__xludf.DUMMYFUNCTION("""COMPUTED_VALUE"""),"Chasis Acoplados 2 Ejes")</f>
        <v>Chasis Acoplados 2 Ejes</v>
      </c>
      <c r="R74" s="86" t="str">
        <f>IFERROR(__xludf.DUMMYFUNCTION("""COMPUTED_VALUE"""),"Chasis Acoplados Balancin")</f>
        <v>Chasis Acoplados Balancin</v>
      </c>
      <c r="S74" s="86" t="str">
        <f>IFERROR(__xludf.DUMMYFUNCTION("""COMPUTED_VALUE"""),"Cajones para Acoplados")</f>
        <v>Cajones para Acoplados</v>
      </c>
      <c r="T74" s="86" t="str">
        <f>IFERROR(__xludf.DUMMYFUNCTION("""COMPUTED_VALUE"""),"Cajones Laterales para Acoplados")</f>
        <v>Cajones Laterales para Acoplados</v>
      </c>
      <c r="U74" s="86" t="str">
        <f>IFERROR(__xludf.DUMMYFUNCTION("""COMPUTED_VALUE"""),"Tanques Metálicos para Acoplados")</f>
        <v>Tanques Metálicos para Acoplados</v>
      </c>
      <c r="V74" s="86" t="str">
        <f>IFERROR(__xludf.DUMMYFUNCTION("""COMPUTED_VALUE"""),"Tanques Plásticos para Acoplados")</f>
        <v>Tanques Plásticos para Acoplados</v>
      </c>
      <c r="W74" s="86" t="str">
        <f>IFERROR(__xludf.DUMMYFUNCTION("""COMPUTED_VALUE"""),"Playos para Acoplados")</f>
        <v>Playos para Acoplados</v>
      </c>
      <c r="X74" s="86"/>
      <c r="Y74" s="86"/>
      <c r="Z74" s="86"/>
      <c r="AA74" s="86"/>
      <c r="AB74" s="86"/>
      <c r="AC74" s="86"/>
      <c r="AD74" s="86"/>
      <c r="AE74" s="86"/>
    </row>
    <row r="75">
      <c r="A75" s="4">
        <f t="shared" si="1"/>
        <v>74</v>
      </c>
      <c r="B75" s="4"/>
      <c r="C75" s="2" t="s">
        <v>490</v>
      </c>
      <c r="D75" s="4"/>
      <c r="E75" s="45" t="s">
        <v>100</v>
      </c>
      <c r="F75" s="2" t="s">
        <v>28</v>
      </c>
      <c r="G75" s="2" t="s">
        <v>414</v>
      </c>
      <c r="H75" s="2">
        <f>IF(G75="","",SUMIF(Familias!C:C,G75,Familias!E:E))</f>
        <v>3</v>
      </c>
      <c r="I75" s="4">
        <f>IF(A75="","",COUNTIF(Prod_Prop!B:B,A75))</f>
        <v>5</v>
      </c>
      <c r="J75" s="92">
        <f>IF(E75="","",IF(SUMIF(Precio_Productos!L:L,E75,Precio_Productos!J:J)=0,"Falta Precio",SUMIF(Precio_Productos!L:L,E75,Precio_Productos!J:J)))</f>
        <v>2480000</v>
      </c>
      <c r="O75" s="86"/>
      <c r="P75" s="86" t="str">
        <f>IFERROR(__xludf.DUMMYFUNCTION("IF(OR(F75=""Selecciona.."",F75=""""),"""",TRANSPOSE(filter(Familias!C:C,Familias!D:D=F75)))"),"Chasis Acoplados 1 Ejes")</f>
        <v>Chasis Acoplados 1 Ejes</v>
      </c>
      <c r="Q75" s="86" t="str">
        <f>IFERROR(__xludf.DUMMYFUNCTION("""COMPUTED_VALUE"""),"Chasis Acoplados 2 Ejes")</f>
        <v>Chasis Acoplados 2 Ejes</v>
      </c>
      <c r="R75" s="86" t="str">
        <f>IFERROR(__xludf.DUMMYFUNCTION("""COMPUTED_VALUE"""),"Chasis Acoplados Balancin")</f>
        <v>Chasis Acoplados Balancin</v>
      </c>
      <c r="S75" s="86" t="str">
        <f>IFERROR(__xludf.DUMMYFUNCTION("""COMPUTED_VALUE"""),"Cajones para Acoplados")</f>
        <v>Cajones para Acoplados</v>
      </c>
      <c r="T75" s="86" t="str">
        <f>IFERROR(__xludf.DUMMYFUNCTION("""COMPUTED_VALUE"""),"Cajones Laterales para Acoplados")</f>
        <v>Cajones Laterales para Acoplados</v>
      </c>
      <c r="U75" s="86" t="str">
        <f>IFERROR(__xludf.DUMMYFUNCTION("""COMPUTED_VALUE"""),"Tanques Metálicos para Acoplados")</f>
        <v>Tanques Metálicos para Acoplados</v>
      </c>
      <c r="V75" s="86" t="str">
        <f>IFERROR(__xludf.DUMMYFUNCTION("""COMPUTED_VALUE"""),"Tanques Plásticos para Acoplados")</f>
        <v>Tanques Plásticos para Acoplados</v>
      </c>
      <c r="W75" s="86" t="str">
        <f>IFERROR(__xludf.DUMMYFUNCTION("""COMPUTED_VALUE"""),"Playos para Acoplados")</f>
        <v>Playos para Acoplados</v>
      </c>
      <c r="X75" s="86"/>
      <c r="Y75" s="86"/>
      <c r="Z75" s="86"/>
      <c r="AA75" s="86"/>
      <c r="AB75" s="86"/>
      <c r="AC75" s="86"/>
      <c r="AD75" s="86"/>
      <c r="AE75" s="86"/>
    </row>
    <row r="76">
      <c r="A76" s="4">
        <f t="shared" si="1"/>
        <v>75</v>
      </c>
      <c r="B76" s="4"/>
      <c r="C76" s="2" t="s">
        <v>491</v>
      </c>
      <c r="D76" s="4"/>
      <c r="E76" s="45" t="s">
        <v>101</v>
      </c>
      <c r="F76" s="2" t="s">
        <v>28</v>
      </c>
      <c r="G76" s="2" t="s">
        <v>414</v>
      </c>
      <c r="H76" s="2">
        <f>IF(G76="","",SUMIF(Familias!C:C,G76,Familias!E:E))</f>
        <v>3</v>
      </c>
      <c r="I76" s="4">
        <f>IF(A76="","",COUNTIF(Prod_Prop!B:B,A76))</f>
        <v>5</v>
      </c>
      <c r="J76" s="92">
        <f>IF(E76="","",IF(SUMIF(Precio_Productos!L:L,E76,Precio_Productos!J:J)=0,"Falta Precio",SUMIF(Precio_Productos!L:L,E76,Precio_Productos!J:J)))</f>
        <v>3705059</v>
      </c>
      <c r="O76" s="86"/>
      <c r="P76" s="86" t="str">
        <f>IFERROR(__xludf.DUMMYFUNCTION("IF(OR(F76=""Selecciona.."",F76=""""),"""",TRANSPOSE(filter(Familias!C:C,Familias!D:D=F76)))"),"Chasis Acoplados 1 Ejes")</f>
        <v>Chasis Acoplados 1 Ejes</v>
      </c>
      <c r="Q76" s="86" t="str">
        <f>IFERROR(__xludf.DUMMYFUNCTION("""COMPUTED_VALUE"""),"Chasis Acoplados 2 Ejes")</f>
        <v>Chasis Acoplados 2 Ejes</v>
      </c>
      <c r="R76" s="86" t="str">
        <f>IFERROR(__xludf.DUMMYFUNCTION("""COMPUTED_VALUE"""),"Chasis Acoplados Balancin")</f>
        <v>Chasis Acoplados Balancin</v>
      </c>
      <c r="S76" s="86" t="str">
        <f>IFERROR(__xludf.DUMMYFUNCTION("""COMPUTED_VALUE"""),"Cajones para Acoplados")</f>
        <v>Cajones para Acoplados</v>
      </c>
      <c r="T76" s="86" t="str">
        <f>IFERROR(__xludf.DUMMYFUNCTION("""COMPUTED_VALUE"""),"Cajones Laterales para Acoplados")</f>
        <v>Cajones Laterales para Acoplados</v>
      </c>
      <c r="U76" s="86" t="str">
        <f>IFERROR(__xludf.DUMMYFUNCTION("""COMPUTED_VALUE"""),"Tanques Metálicos para Acoplados")</f>
        <v>Tanques Metálicos para Acoplados</v>
      </c>
      <c r="V76" s="86" t="str">
        <f>IFERROR(__xludf.DUMMYFUNCTION("""COMPUTED_VALUE"""),"Tanques Plásticos para Acoplados")</f>
        <v>Tanques Plásticos para Acoplados</v>
      </c>
      <c r="W76" s="86" t="str">
        <f>IFERROR(__xludf.DUMMYFUNCTION("""COMPUTED_VALUE"""),"Playos para Acoplados")</f>
        <v>Playos para Acoplados</v>
      </c>
      <c r="X76" s="86"/>
      <c r="Y76" s="86"/>
      <c r="Z76" s="86"/>
      <c r="AA76" s="86"/>
      <c r="AB76" s="86"/>
      <c r="AC76" s="86"/>
      <c r="AD76" s="86"/>
      <c r="AE76" s="86"/>
    </row>
    <row r="77">
      <c r="A77" s="4">
        <f t="shared" si="1"/>
        <v>76</v>
      </c>
      <c r="B77" s="4"/>
      <c r="C77" s="2" t="s">
        <v>492</v>
      </c>
      <c r="D77" s="4"/>
      <c r="E77" s="45" t="s">
        <v>102</v>
      </c>
      <c r="F77" s="2" t="s">
        <v>28</v>
      </c>
      <c r="G77" s="2" t="s">
        <v>414</v>
      </c>
      <c r="H77" s="2">
        <f>IF(G77="","",SUMIF(Familias!C:C,G77,Familias!E:E))</f>
        <v>3</v>
      </c>
      <c r="I77" s="4">
        <f>IF(A77="","",COUNTIF(Prod_Prop!B:B,A77))</f>
        <v>5</v>
      </c>
      <c r="J77" s="92">
        <f>IF(E77="","",IF(SUMIF(Precio_Productos!L:L,E77,Precio_Productos!J:J)=0,"Falta Precio",SUMIF(Precio_Productos!L:L,E77,Precio_Productos!J:J)))</f>
        <v>2558847</v>
      </c>
      <c r="O77" s="86"/>
      <c r="P77" s="86" t="str">
        <f>IFERROR(__xludf.DUMMYFUNCTION("IF(OR(F77=""Selecciona.."",F77=""""),"""",TRANSPOSE(filter(Familias!C:C,Familias!D:D=F77)))"),"Chasis Acoplados 1 Ejes")</f>
        <v>Chasis Acoplados 1 Ejes</v>
      </c>
      <c r="Q77" s="86" t="str">
        <f>IFERROR(__xludf.DUMMYFUNCTION("""COMPUTED_VALUE"""),"Chasis Acoplados 2 Ejes")</f>
        <v>Chasis Acoplados 2 Ejes</v>
      </c>
      <c r="R77" s="86" t="str">
        <f>IFERROR(__xludf.DUMMYFUNCTION("""COMPUTED_VALUE"""),"Chasis Acoplados Balancin")</f>
        <v>Chasis Acoplados Balancin</v>
      </c>
      <c r="S77" s="86" t="str">
        <f>IFERROR(__xludf.DUMMYFUNCTION("""COMPUTED_VALUE"""),"Cajones para Acoplados")</f>
        <v>Cajones para Acoplados</v>
      </c>
      <c r="T77" s="86" t="str">
        <f>IFERROR(__xludf.DUMMYFUNCTION("""COMPUTED_VALUE"""),"Cajones Laterales para Acoplados")</f>
        <v>Cajones Laterales para Acoplados</v>
      </c>
      <c r="U77" s="86" t="str">
        <f>IFERROR(__xludf.DUMMYFUNCTION("""COMPUTED_VALUE"""),"Tanques Metálicos para Acoplados")</f>
        <v>Tanques Metálicos para Acoplados</v>
      </c>
      <c r="V77" s="86" t="str">
        <f>IFERROR(__xludf.DUMMYFUNCTION("""COMPUTED_VALUE"""),"Tanques Plásticos para Acoplados")</f>
        <v>Tanques Plásticos para Acoplados</v>
      </c>
      <c r="W77" s="86" t="str">
        <f>IFERROR(__xludf.DUMMYFUNCTION("""COMPUTED_VALUE"""),"Playos para Acoplados")</f>
        <v>Playos para Acoplados</v>
      </c>
      <c r="X77" s="86"/>
      <c r="Y77" s="86"/>
      <c r="Z77" s="86"/>
      <c r="AA77" s="86"/>
      <c r="AB77" s="86"/>
      <c r="AC77" s="86"/>
      <c r="AD77" s="86"/>
      <c r="AE77" s="86"/>
    </row>
    <row r="78">
      <c r="A78" s="4">
        <f t="shared" si="1"/>
        <v>77</v>
      </c>
      <c r="B78" s="4"/>
      <c r="C78" s="2" t="s">
        <v>493</v>
      </c>
      <c r="D78" s="4"/>
      <c r="E78" s="45" t="s">
        <v>103</v>
      </c>
      <c r="F78" s="2" t="s">
        <v>28</v>
      </c>
      <c r="G78" s="2" t="s">
        <v>414</v>
      </c>
      <c r="H78" s="2">
        <f>IF(G78="","",SUMIF(Familias!C:C,G78,Familias!E:E))</f>
        <v>3</v>
      </c>
      <c r="I78" s="4">
        <f>IF(A78="","",COUNTIF(Prod_Prop!B:B,A78))</f>
        <v>5</v>
      </c>
      <c r="J78" s="92">
        <f>IF(E78="","",IF(SUMIF(Precio_Productos!L:L,E78,Precio_Productos!J:J)=0,"Falta Precio",SUMIF(Precio_Productos!L:L,E78,Precio_Productos!J:J)))</f>
        <v>3914914</v>
      </c>
      <c r="O78" s="86"/>
      <c r="P78" s="86" t="str">
        <f>IFERROR(__xludf.DUMMYFUNCTION("IF(OR(F78=""Selecciona.."",F78=""""),"""",TRANSPOSE(filter(Familias!C:C,Familias!D:D=F78)))"),"Chasis Acoplados 1 Ejes")</f>
        <v>Chasis Acoplados 1 Ejes</v>
      </c>
      <c r="Q78" s="86" t="str">
        <f>IFERROR(__xludf.DUMMYFUNCTION("""COMPUTED_VALUE"""),"Chasis Acoplados 2 Ejes")</f>
        <v>Chasis Acoplados 2 Ejes</v>
      </c>
      <c r="R78" s="86" t="str">
        <f>IFERROR(__xludf.DUMMYFUNCTION("""COMPUTED_VALUE"""),"Chasis Acoplados Balancin")</f>
        <v>Chasis Acoplados Balancin</v>
      </c>
      <c r="S78" s="86" t="str">
        <f>IFERROR(__xludf.DUMMYFUNCTION("""COMPUTED_VALUE"""),"Cajones para Acoplados")</f>
        <v>Cajones para Acoplados</v>
      </c>
      <c r="T78" s="86" t="str">
        <f>IFERROR(__xludf.DUMMYFUNCTION("""COMPUTED_VALUE"""),"Cajones Laterales para Acoplados")</f>
        <v>Cajones Laterales para Acoplados</v>
      </c>
      <c r="U78" s="86" t="str">
        <f>IFERROR(__xludf.DUMMYFUNCTION("""COMPUTED_VALUE"""),"Tanques Metálicos para Acoplados")</f>
        <v>Tanques Metálicos para Acoplados</v>
      </c>
      <c r="V78" s="86" t="str">
        <f>IFERROR(__xludf.DUMMYFUNCTION("""COMPUTED_VALUE"""),"Tanques Plásticos para Acoplados")</f>
        <v>Tanques Plásticos para Acoplados</v>
      </c>
      <c r="W78" s="86" t="str">
        <f>IFERROR(__xludf.DUMMYFUNCTION("""COMPUTED_VALUE"""),"Playos para Acoplados")</f>
        <v>Playos para Acoplados</v>
      </c>
      <c r="X78" s="86"/>
      <c r="Y78" s="86"/>
      <c r="Z78" s="86"/>
      <c r="AA78" s="86"/>
      <c r="AB78" s="86"/>
      <c r="AC78" s="86"/>
      <c r="AD78" s="86"/>
      <c r="AE78" s="86"/>
    </row>
    <row r="79">
      <c r="A79" s="4">
        <f t="shared" si="1"/>
        <v>78</v>
      </c>
      <c r="B79" s="4"/>
      <c r="C79" s="2" t="s">
        <v>494</v>
      </c>
      <c r="D79" s="4"/>
      <c r="E79" s="45" t="s">
        <v>104</v>
      </c>
      <c r="F79" s="2" t="s">
        <v>28</v>
      </c>
      <c r="G79" s="2" t="s">
        <v>414</v>
      </c>
      <c r="H79" s="2">
        <f>IF(G79="","",SUMIF(Familias!C:C,G79,Familias!E:E))</f>
        <v>3</v>
      </c>
      <c r="I79" s="4">
        <f>IF(A79="","",COUNTIF(Prod_Prop!B:B,A79))</f>
        <v>5</v>
      </c>
      <c r="J79" s="92" t="str">
        <f>IF(E79="","",IF(SUMIF(Precio_Productos!L:L,E79,Precio_Productos!J:J)=0,"Falta Precio",SUMIF(Precio_Productos!L:L,E79,Precio_Productos!J:J)))</f>
        <v>Falta Precio</v>
      </c>
      <c r="O79" s="86"/>
      <c r="P79" s="86" t="str">
        <f>IFERROR(__xludf.DUMMYFUNCTION("IF(OR(F79=""Selecciona.."",F79=""""),"""",TRANSPOSE(filter(Familias!C:C,Familias!D:D=F79)))"),"Chasis Acoplados 1 Ejes")</f>
        <v>Chasis Acoplados 1 Ejes</v>
      </c>
      <c r="Q79" s="86" t="str">
        <f>IFERROR(__xludf.DUMMYFUNCTION("""COMPUTED_VALUE"""),"Chasis Acoplados 2 Ejes")</f>
        <v>Chasis Acoplados 2 Ejes</v>
      </c>
      <c r="R79" s="86" t="str">
        <f>IFERROR(__xludf.DUMMYFUNCTION("""COMPUTED_VALUE"""),"Chasis Acoplados Balancin")</f>
        <v>Chasis Acoplados Balancin</v>
      </c>
      <c r="S79" s="86" t="str">
        <f>IFERROR(__xludf.DUMMYFUNCTION("""COMPUTED_VALUE"""),"Cajones para Acoplados")</f>
        <v>Cajones para Acoplados</v>
      </c>
      <c r="T79" s="86" t="str">
        <f>IFERROR(__xludf.DUMMYFUNCTION("""COMPUTED_VALUE"""),"Cajones Laterales para Acoplados")</f>
        <v>Cajones Laterales para Acoplados</v>
      </c>
      <c r="U79" s="86" t="str">
        <f>IFERROR(__xludf.DUMMYFUNCTION("""COMPUTED_VALUE"""),"Tanques Metálicos para Acoplados")</f>
        <v>Tanques Metálicos para Acoplados</v>
      </c>
      <c r="V79" s="86" t="str">
        <f>IFERROR(__xludf.DUMMYFUNCTION("""COMPUTED_VALUE"""),"Tanques Plásticos para Acoplados")</f>
        <v>Tanques Plásticos para Acoplados</v>
      </c>
      <c r="W79" s="86" t="str">
        <f>IFERROR(__xludf.DUMMYFUNCTION("""COMPUTED_VALUE"""),"Playos para Acoplados")</f>
        <v>Playos para Acoplados</v>
      </c>
      <c r="X79" s="86"/>
      <c r="Y79" s="86"/>
      <c r="Z79" s="86"/>
      <c r="AA79" s="86"/>
      <c r="AB79" s="86"/>
      <c r="AC79" s="86"/>
      <c r="AD79" s="86"/>
      <c r="AE79" s="86"/>
    </row>
    <row r="80">
      <c r="A80" s="4">
        <f t="shared" si="1"/>
        <v>79</v>
      </c>
      <c r="B80" s="4"/>
      <c r="C80" s="2" t="s">
        <v>495</v>
      </c>
      <c r="D80" s="4"/>
      <c r="E80" s="45" t="s">
        <v>105</v>
      </c>
      <c r="F80" s="2" t="s">
        <v>28</v>
      </c>
      <c r="G80" s="2" t="s">
        <v>414</v>
      </c>
      <c r="H80" s="2">
        <f>IF(G80="","",SUMIF(Familias!C:C,G80,Familias!E:E))</f>
        <v>3</v>
      </c>
      <c r="I80" s="4">
        <f>IF(A80="","",COUNTIF(Prod_Prop!B:B,A80))</f>
        <v>5</v>
      </c>
      <c r="J80" s="92">
        <f>IF(E80="","",IF(SUMIF(Precio_Productos!L:L,E80,Precio_Productos!J:J)=0,"Falta Precio",SUMIF(Precio_Productos!L:L,E80,Precio_Productos!J:J)))</f>
        <v>4300000</v>
      </c>
      <c r="O80" s="86"/>
      <c r="P80" s="86" t="str">
        <f>IFERROR(__xludf.DUMMYFUNCTION("IF(OR(F80=""Selecciona.."",F80=""""),"""",TRANSPOSE(filter(Familias!C:C,Familias!D:D=F80)))"),"Chasis Acoplados 1 Ejes")</f>
        <v>Chasis Acoplados 1 Ejes</v>
      </c>
      <c r="Q80" s="86" t="str">
        <f>IFERROR(__xludf.DUMMYFUNCTION("""COMPUTED_VALUE"""),"Chasis Acoplados 2 Ejes")</f>
        <v>Chasis Acoplados 2 Ejes</v>
      </c>
      <c r="R80" s="86" t="str">
        <f>IFERROR(__xludf.DUMMYFUNCTION("""COMPUTED_VALUE"""),"Chasis Acoplados Balancin")</f>
        <v>Chasis Acoplados Balancin</v>
      </c>
      <c r="S80" s="86" t="str">
        <f>IFERROR(__xludf.DUMMYFUNCTION("""COMPUTED_VALUE"""),"Cajones para Acoplados")</f>
        <v>Cajones para Acoplados</v>
      </c>
      <c r="T80" s="86" t="str">
        <f>IFERROR(__xludf.DUMMYFUNCTION("""COMPUTED_VALUE"""),"Cajones Laterales para Acoplados")</f>
        <v>Cajones Laterales para Acoplados</v>
      </c>
      <c r="U80" s="86" t="str">
        <f>IFERROR(__xludf.DUMMYFUNCTION("""COMPUTED_VALUE"""),"Tanques Metálicos para Acoplados")</f>
        <v>Tanques Metálicos para Acoplados</v>
      </c>
      <c r="V80" s="86" t="str">
        <f>IFERROR(__xludf.DUMMYFUNCTION("""COMPUTED_VALUE"""),"Tanques Plásticos para Acoplados")</f>
        <v>Tanques Plásticos para Acoplados</v>
      </c>
      <c r="W80" s="86" t="str">
        <f>IFERROR(__xludf.DUMMYFUNCTION("""COMPUTED_VALUE"""),"Playos para Acoplados")</f>
        <v>Playos para Acoplados</v>
      </c>
      <c r="X80" s="86"/>
      <c r="Y80" s="86"/>
      <c r="Z80" s="86"/>
      <c r="AA80" s="86"/>
      <c r="AB80" s="86"/>
      <c r="AC80" s="86"/>
      <c r="AD80" s="86"/>
      <c r="AE80" s="86"/>
    </row>
    <row r="81">
      <c r="A81" s="4">
        <f t="shared" si="1"/>
        <v>80</v>
      </c>
      <c r="B81" s="4"/>
      <c r="C81" s="2" t="s">
        <v>496</v>
      </c>
      <c r="D81" s="4"/>
      <c r="E81" s="45" t="s">
        <v>106</v>
      </c>
      <c r="F81" s="2" t="s">
        <v>28</v>
      </c>
      <c r="G81" s="2" t="s">
        <v>414</v>
      </c>
      <c r="H81" s="2">
        <f>IF(G81="","",SUMIF(Familias!C:C,G81,Familias!E:E))</f>
        <v>3</v>
      </c>
      <c r="I81" s="4">
        <f>IF(A81="","",COUNTIF(Prod_Prop!B:B,A81))</f>
        <v>5</v>
      </c>
      <c r="J81" s="92" t="str">
        <f>IF(E81="","",IF(SUMIF(Precio_Productos!L:L,E81,Precio_Productos!J:J)=0,"Falta Precio",SUMIF(Precio_Productos!L:L,E81,Precio_Productos!J:J)))</f>
        <v>Falta Precio</v>
      </c>
      <c r="O81" s="86"/>
      <c r="P81" s="86" t="str">
        <f>IFERROR(__xludf.DUMMYFUNCTION("IF(OR(F81=""Selecciona.."",F81=""""),"""",TRANSPOSE(filter(Familias!C:C,Familias!D:D=F81)))"),"Chasis Acoplados 1 Ejes")</f>
        <v>Chasis Acoplados 1 Ejes</v>
      </c>
      <c r="Q81" s="86" t="str">
        <f>IFERROR(__xludf.DUMMYFUNCTION("""COMPUTED_VALUE"""),"Chasis Acoplados 2 Ejes")</f>
        <v>Chasis Acoplados 2 Ejes</v>
      </c>
      <c r="R81" s="86" t="str">
        <f>IFERROR(__xludf.DUMMYFUNCTION("""COMPUTED_VALUE"""),"Chasis Acoplados Balancin")</f>
        <v>Chasis Acoplados Balancin</v>
      </c>
      <c r="S81" s="86" t="str">
        <f>IFERROR(__xludf.DUMMYFUNCTION("""COMPUTED_VALUE"""),"Cajones para Acoplados")</f>
        <v>Cajones para Acoplados</v>
      </c>
      <c r="T81" s="86" t="str">
        <f>IFERROR(__xludf.DUMMYFUNCTION("""COMPUTED_VALUE"""),"Cajones Laterales para Acoplados")</f>
        <v>Cajones Laterales para Acoplados</v>
      </c>
      <c r="U81" s="86" t="str">
        <f>IFERROR(__xludf.DUMMYFUNCTION("""COMPUTED_VALUE"""),"Tanques Metálicos para Acoplados")</f>
        <v>Tanques Metálicos para Acoplados</v>
      </c>
      <c r="V81" s="86" t="str">
        <f>IFERROR(__xludf.DUMMYFUNCTION("""COMPUTED_VALUE"""),"Tanques Plásticos para Acoplados")</f>
        <v>Tanques Plásticos para Acoplados</v>
      </c>
      <c r="W81" s="86" t="str">
        <f>IFERROR(__xludf.DUMMYFUNCTION("""COMPUTED_VALUE"""),"Playos para Acoplados")</f>
        <v>Playos para Acoplados</v>
      </c>
      <c r="X81" s="86"/>
      <c r="Y81" s="86"/>
      <c r="Z81" s="86"/>
      <c r="AA81" s="86"/>
      <c r="AB81" s="86"/>
      <c r="AC81" s="86"/>
      <c r="AD81" s="86"/>
      <c r="AE81" s="86"/>
    </row>
    <row r="82">
      <c r="A82" s="4">
        <f t="shared" si="1"/>
        <v>81</v>
      </c>
      <c r="B82" s="4"/>
      <c r="C82" s="2" t="s">
        <v>497</v>
      </c>
      <c r="D82" s="4"/>
      <c r="E82" s="45" t="s">
        <v>107</v>
      </c>
      <c r="F82" s="2" t="s">
        <v>28</v>
      </c>
      <c r="G82" s="2" t="s">
        <v>414</v>
      </c>
      <c r="H82" s="2">
        <f>IF(G82="","",SUMIF(Familias!C:C,G82,Familias!E:E))</f>
        <v>3</v>
      </c>
      <c r="I82" s="4">
        <f>IF(A82="","",COUNTIF(Prod_Prop!B:B,A82))</f>
        <v>5</v>
      </c>
      <c r="J82" s="92" t="str">
        <f>IF(E82="","",IF(SUMIF(Precio_Productos!L:L,E82,Precio_Productos!J:J)=0,"Falta Precio",SUMIF(Precio_Productos!L:L,E82,Precio_Productos!J:J)))</f>
        <v>Falta Precio</v>
      </c>
      <c r="O82" s="86"/>
      <c r="P82" s="86" t="str">
        <f>IFERROR(__xludf.DUMMYFUNCTION("IF(OR(F82=""Selecciona.."",F82=""""),"""",TRANSPOSE(filter(Familias!C:C,Familias!D:D=F82)))"),"Chasis Acoplados 1 Ejes")</f>
        <v>Chasis Acoplados 1 Ejes</v>
      </c>
      <c r="Q82" s="86" t="str">
        <f>IFERROR(__xludf.DUMMYFUNCTION("""COMPUTED_VALUE"""),"Chasis Acoplados 2 Ejes")</f>
        <v>Chasis Acoplados 2 Ejes</v>
      </c>
      <c r="R82" s="86" t="str">
        <f>IFERROR(__xludf.DUMMYFUNCTION("""COMPUTED_VALUE"""),"Chasis Acoplados Balancin")</f>
        <v>Chasis Acoplados Balancin</v>
      </c>
      <c r="S82" s="86" t="str">
        <f>IFERROR(__xludf.DUMMYFUNCTION("""COMPUTED_VALUE"""),"Cajones para Acoplados")</f>
        <v>Cajones para Acoplados</v>
      </c>
      <c r="T82" s="86" t="str">
        <f>IFERROR(__xludf.DUMMYFUNCTION("""COMPUTED_VALUE"""),"Cajones Laterales para Acoplados")</f>
        <v>Cajones Laterales para Acoplados</v>
      </c>
      <c r="U82" s="86" t="str">
        <f>IFERROR(__xludf.DUMMYFUNCTION("""COMPUTED_VALUE"""),"Tanques Metálicos para Acoplados")</f>
        <v>Tanques Metálicos para Acoplados</v>
      </c>
      <c r="V82" s="86" t="str">
        <f>IFERROR(__xludf.DUMMYFUNCTION("""COMPUTED_VALUE"""),"Tanques Plásticos para Acoplados")</f>
        <v>Tanques Plásticos para Acoplados</v>
      </c>
      <c r="W82" s="86" t="str">
        <f>IFERROR(__xludf.DUMMYFUNCTION("""COMPUTED_VALUE"""),"Playos para Acoplados")</f>
        <v>Playos para Acoplados</v>
      </c>
      <c r="X82" s="86"/>
      <c r="Y82" s="86"/>
      <c r="Z82" s="86"/>
      <c r="AA82" s="86"/>
      <c r="AB82" s="86"/>
      <c r="AC82" s="86"/>
      <c r="AD82" s="86"/>
      <c r="AE82" s="86"/>
    </row>
    <row r="83">
      <c r="A83" s="4">
        <f t="shared" si="1"/>
        <v>82</v>
      </c>
      <c r="B83" s="4"/>
      <c r="C83" s="2" t="s">
        <v>498</v>
      </c>
      <c r="D83" s="4"/>
      <c r="E83" s="45" t="s">
        <v>108</v>
      </c>
      <c r="F83" s="2" t="s">
        <v>28</v>
      </c>
      <c r="G83" s="2" t="s">
        <v>414</v>
      </c>
      <c r="H83" s="2">
        <f>IF(G83="","",SUMIF(Familias!C:C,G83,Familias!E:E))</f>
        <v>3</v>
      </c>
      <c r="I83" s="4">
        <f>IF(A83="","",COUNTIF(Prod_Prop!B:B,A83))</f>
        <v>5</v>
      </c>
      <c r="J83" s="92" t="str">
        <f>IF(E83="","",IF(SUMIF(Precio_Productos!L:L,E83,Precio_Productos!J:J)=0,"Falta Precio",SUMIF(Precio_Productos!L:L,E83,Precio_Productos!J:J)))</f>
        <v>Falta Precio</v>
      </c>
      <c r="O83" s="86"/>
      <c r="P83" s="86" t="str">
        <f>IFERROR(__xludf.DUMMYFUNCTION("IF(OR(F83=""Selecciona.."",F83=""""),"""",TRANSPOSE(filter(Familias!C:C,Familias!D:D=F83)))"),"Chasis Acoplados 1 Ejes")</f>
        <v>Chasis Acoplados 1 Ejes</v>
      </c>
      <c r="Q83" s="86" t="str">
        <f>IFERROR(__xludf.DUMMYFUNCTION("""COMPUTED_VALUE"""),"Chasis Acoplados 2 Ejes")</f>
        <v>Chasis Acoplados 2 Ejes</v>
      </c>
      <c r="R83" s="86" t="str">
        <f>IFERROR(__xludf.DUMMYFUNCTION("""COMPUTED_VALUE"""),"Chasis Acoplados Balancin")</f>
        <v>Chasis Acoplados Balancin</v>
      </c>
      <c r="S83" s="86" t="str">
        <f>IFERROR(__xludf.DUMMYFUNCTION("""COMPUTED_VALUE"""),"Cajones para Acoplados")</f>
        <v>Cajones para Acoplados</v>
      </c>
      <c r="T83" s="86" t="str">
        <f>IFERROR(__xludf.DUMMYFUNCTION("""COMPUTED_VALUE"""),"Cajones Laterales para Acoplados")</f>
        <v>Cajones Laterales para Acoplados</v>
      </c>
      <c r="U83" s="86" t="str">
        <f>IFERROR(__xludf.DUMMYFUNCTION("""COMPUTED_VALUE"""),"Tanques Metálicos para Acoplados")</f>
        <v>Tanques Metálicos para Acoplados</v>
      </c>
      <c r="V83" s="86" t="str">
        <f>IFERROR(__xludf.DUMMYFUNCTION("""COMPUTED_VALUE"""),"Tanques Plásticos para Acoplados")</f>
        <v>Tanques Plásticos para Acoplados</v>
      </c>
      <c r="W83" s="86" t="str">
        <f>IFERROR(__xludf.DUMMYFUNCTION("""COMPUTED_VALUE"""),"Playos para Acoplados")</f>
        <v>Playos para Acoplados</v>
      </c>
      <c r="X83" s="86"/>
      <c r="Y83" s="86"/>
      <c r="Z83" s="86"/>
      <c r="AA83" s="86"/>
      <c r="AB83" s="86"/>
      <c r="AC83" s="86"/>
      <c r="AD83" s="86"/>
      <c r="AE83" s="86"/>
    </row>
    <row r="84">
      <c r="A84" s="4">
        <f t="shared" si="1"/>
        <v>83</v>
      </c>
      <c r="B84" s="4"/>
      <c r="C84" s="2" t="s">
        <v>499</v>
      </c>
      <c r="D84" s="4"/>
      <c r="E84" s="45" t="s">
        <v>109</v>
      </c>
      <c r="F84" s="2" t="s">
        <v>28</v>
      </c>
      <c r="G84" s="2" t="s">
        <v>412</v>
      </c>
      <c r="H84" s="2">
        <f>IF(G84="","",SUMIF(Familias!C:C,G84,Familias!E:E))</f>
        <v>3</v>
      </c>
      <c r="I84" s="4">
        <f>IF(A84="","",COUNTIF(Prod_Prop!B:B,A84))</f>
        <v>5</v>
      </c>
      <c r="J84" s="92">
        <f>IF(E84="","",IF(SUMIF(Precio_Productos!L:L,E84,Precio_Productos!J:J)=0,"Falta Precio",SUMIF(Precio_Productos!L:L,E84,Precio_Productos!J:J)))</f>
        <v>855200</v>
      </c>
      <c r="O84" s="86"/>
      <c r="P84" s="86" t="str">
        <f>IFERROR(__xludf.DUMMYFUNCTION("IF(OR(F84=""Selecciona.."",F84=""""),"""",TRANSPOSE(filter(Familias!C:C,Familias!D:D=F84)))"),"Chasis Acoplados 1 Ejes")</f>
        <v>Chasis Acoplados 1 Ejes</v>
      </c>
      <c r="Q84" s="86" t="str">
        <f>IFERROR(__xludf.DUMMYFUNCTION("""COMPUTED_VALUE"""),"Chasis Acoplados 2 Ejes")</f>
        <v>Chasis Acoplados 2 Ejes</v>
      </c>
      <c r="R84" s="86" t="str">
        <f>IFERROR(__xludf.DUMMYFUNCTION("""COMPUTED_VALUE"""),"Chasis Acoplados Balancin")</f>
        <v>Chasis Acoplados Balancin</v>
      </c>
      <c r="S84" s="86" t="str">
        <f>IFERROR(__xludf.DUMMYFUNCTION("""COMPUTED_VALUE"""),"Cajones para Acoplados")</f>
        <v>Cajones para Acoplados</v>
      </c>
      <c r="T84" s="86" t="str">
        <f>IFERROR(__xludf.DUMMYFUNCTION("""COMPUTED_VALUE"""),"Cajones Laterales para Acoplados")</f>
        <v>Cajones Laterales para Acoplados</v>
      </c>
      <c r="U84" s="86" t="str">
        <f>IFERROR(__xludf.DUMMYFUNCTION("""COMPUTED_VALUE"""),"Tanques Metálicos para Acoplados")</f>
        <v>Tanques Metálicos para Acoplados</v>
      </c>
      <c r="V84" s="86" t="str">
        <f>IFERROR(__xludf.DUMMYFUNCTION("""COMPUTED_VALUE"""),"Tanques Plásticos para Acoplados")</f>
        <v>Tanques Plásticos para Acoplados</v>
      </c>
      <c r="W84" s="86" t="str">
        <f>IFERROR(__xludf.DUMMYFUNCTION("""COMPUTED_VALUE"""),"Playos para Acoplados")</f>
        <v>Playos para Acoplados</v>
      </c>
      <c r="X84" s="86"/>
      <c r="Y84" s="86"/>
      <c r="Z84" s="86"/>
      <c r="AA84" s="86"/>
      <c r="AB84" s="86"/>
      <c r="AC84" s="86"/>
      <c r="AD84" s="86"/>
      <c r="AE84" s="86"/>
    </row>
    <row r="85">
      <c r="A85" s="4">
        <f t="shared" si="1"/>
        <v>84</v>
      </c>
      <c r="B85" s="4"/>
      <c r="C85" s="2" t="s">
        <v>500</v>
      </c>
      <c r="D85" s="4"/>
      <c r="E85" s="45" t="s">
        <v>110</v>
      </c>
      <c r="F85" s="2" t="s">
        <v>28</v>
      </c>
      <c r="G85" s="2" t="s">
        <v>412</v>
      </c>
      <c r="H85" s="2">
        <f>IF(G85="","",SUMIF(Familias!C:C,G85,Familias!E:E))</f>
        <v>3</v>
      </c>
      <c r="I85" s="4">
        <f>IF(A85="","",COUNTIF(Prod_Prop!B:B,A85))</f>
        <v>5</v>
      </c>
      <c r="J85" s="92">
        <f>IF(E85="","",IF(SUMIF(Precio_Productos!L:L,E85,Precio_Productos!J:J)=0,"Falta Precio",SUMIF(Precio_Productos!L:L,E85,Precio_Productos!J:J)))</f>
        <v>2053349</v>
      </c>
      <c r="O85" s="86"/>
      <c r="P85" s="86" t="str">
        <f>IFERROR(__xludf.DUMMYFUNCTION("IF(OR(F85=""Selecciona.."",F85=""""),"""",TRANSPOSE(filter(Familias!C:C,Familias!D:D=F85)))"),"Chasis Acoplados 1 Ejes")</f>
        <v>Chasis Acoplados 1 Ejes</v>
      </c>
      <c r="Q85" s="86" t="str">
        <f>IFERROR(__xludf.DUMMYFUNCTION("""COMPUTED_VALUE"""),"Chasis Acoplados 2 Ejes")</f>
        <v>Chasis Acoplados 2 Ejes</v>
      </c>
      <c r="R85" s="86" t="str">
        <f>IFERROR(__xludf.DUMMYFUNCTION("""COMPUTED_VALUE"""),"Chasis Acoplados Balancin")</f>
        <v>Chasis Acoplados Balancin</v>
      </c>
      <c r="S85" s="86" t="str">
        <f>IFERROR(__xludf.DUMMYFUNCTION("""COMPUTED_VALUE"""),"Cajones para Acoplados")</f>
        <v>Cajones para Acoplados</v>
      </c>
      <c r="T85" s="86" t="str">
        <f>IFERROR(__xludf.DUMMYFUNCTION("""COMPUTED_VALUE"""),"Cajones Laterales para Acoplados")</f>
        <v>Cajones Laterales para Acoplados</v>
      </c>
      <c r="U85" s="86" t="str">
        <f>IFERROR(__xludf.DUMMYFUNCTION("""COMPUTED_VALUE"""),"Tanques Metálicos para Acoplados")</f>
        <v>Tanques Metálicos para Acoplados</v>
      </c>
      <c r="V85" s="86" t="str">
        <f>IFERROR(__xludf.DUMMYFUNCTION("""COMPUTED_VALUE"""),"Tanques Plásticos para Acoplados")</f>
        <v>Tanques Plásticos para Acoplados</v>
      </c>
      <c r="W85" s="86" t="str">
        <f>IFERROR(__xludf.DUMMYFUNCTION("""COMPUTED_VALUE"""),"Playos para Acoplados")</f>
        <v>Playos para Acoplados</v>
      </c>
      <c r="X85" s="86"/>
      <c r="Y85" s="86"/>
      <c r="Z85" s="86"/>
      <c r="AA85" s="86"/>
      <c r="AB85" s="86"/>
      <c r="AC85" s="86"/>
      <c r="AD85" s="86"/>
      <c r="AE85" s="86"/>
    </row>
    <row r="86">
      <c r="A86" s="4">
        <f t="shared" si="1"/>
        <v>85</v>
      </c>
      <c r="B86" s="4"/>
      <c r="C86" s="2" t="s">
        <v>501</v>
      </c>
      <c r="D86" s="4"/>
      <c r="E86" s="45" t="s">
        <v>111</v>
      </c>
      <c r="F86" s="2" t="s">
        <v>28</v>
      </c>
      <c r="G86" s="2" t="s">
        <v>412</v>
      </c>
      <c r="H86" s="2">
        <f>IF(G86="","",SUMIF(Familias!C:C,G86,Familias!E:E))</f>
        <v>3</v>
      </c>
      <c r="I86" s="4">
        <f>IF(A86="","",COUNTIF(Prod_Prop!B:B,A86))</f>
        <v>5</v>
      </c>
      <c r="J86" s="92">
        <f>IF(E86="","",IF(SUMIF(Precio_Productos!L:L,E86,Precio_Productos!J:J)=0,"Falta Precio",SUMIF(Precio_Productos!L:L,E86,Precio_Productos!J:J)))</f>
        <v>737000</v>
      </c>
      <c r="O86" s="86"/>
      <c r="P86" s="86" t="str">
        <f>IFERROR(__xludf.DUMMYFUNCTION("IF(OR(F86=""Selecciona.."",F86=""""),"""",TRANSPOSE(filter(Familias!C:C,Familias!D:D=F86)))"),"Chasis Acoplados 1 Ejes")</f>
        <v>Chasis Acoplados 1 Ejes</v>
      </c>
      <c r="Q86" s="86" t="str">
        <f>IFERROR(__xludf.DUMMYFUNCTION("""COMPUTED_VALUE"""),"Chasis Acoplados 2 Ejes")</f>
        <v>Chasis Acoplados 2 Ejes</v>
      </c>
      <c r="R86" s="86" t="str">
        <f>IFERROR(__xludf.DUMMYFUNCTION("""COMPUTED_VALUE"""),"Chasis Acoplados Balancin")</f>
        <v>Chasis Acoplados Balancin</v>
      </c>
      <c r="S86" s="86" t="str">
        <f>IFERROR(__xludf.DUMMYFUNCTION("""COMPUTED_VALUE"""),"Cajones para Acoplados")</f>
        <v>Cajones para Acoplados</v>
      </c>
      <c r="T86" s="86" t="str">
        <f>IFERROR(__xludf.DUMMYFUNCTION("""COMPUTED_VALUE"""),"Cajones Laterales para Acoplados")</f>
        <v>Cajones Laterales para Acoplados</v>
      </c>
      <c r="U86" s="86" t="str">
        <f>IFERROR(__xludf.DUMMYFUNCTION("""COMPUTED_VALUE"""),"Tanques Metálicos para Acoplados")</f>
        <v>Tanques Metálicos para Acoplados</v>
      </c>
      <c r="V86" s="86" t="str">
        <f>IFERROR(__xludf.DUMMYFUNCTION("""COMPUTED_VALUE"""),"Tanques Plásticos para Acoplados")</f>
        <v>Tanques Plásticos para Acoplados</v>
      </c>
      <c r="W86" s="86" t="str">
        <f>IFERROR(__xludf.DUMMYFUNCTION("""COMPUTED_VALUE"""),"Playos para Acoplados")</f>
        <v>Playos para Acoplados</v>
      </c>
      <c r="X86" s="86"/>
      <c r="Y86" s="86"/>
      <c r="Z86" s="86"/>
      <c r="AA86" s="86"/>
      <c r="AB86" s="86"/>
      <c r="AC86" s="86"/>
      <c r="AD86" s="86"/>
      <c r="AE86" s="86"/>
    </row>
    <row r="87">
      <c r="A87" s="4">
        <f t="shared" si="1"/>
        <v>86</v>
      </c>
      <c r="B87" s="4"/>
      <c r="C87" s="2" t="s">
        <v>502</v>
      </c>
      <c r="D87" s="4"/>
      <c r="E87" s="45" t="s">
        <v>112</v>
      </c>
      <c r="F87" s="2" t="s">
        <v>28</v>
      </c>
      <c r="G87" s="2" t="s">
        <v>416</v>
      </c>
      <c r="H87" s="2">
        <f>IF(G87="","",SUMIF(Familias!C:C,G87,Familias!E:E))</f>
        <v>3</v>
      </c>
      <c r="I87" s="4">
        <f>IF(A87="","",COUNTIF(Prod_Prop!B:B,A87))</f>
        <v>5</v>
      </c>
      <c r="J87" s="92" t="str">
        <f>IF(E87="","",IF(SUMIF(Precio_Productos!L:L,E87,Precio_Productos!J:J)=0,"Falta Precio",SUMIF(Precio_Productos!L:L,E87,Precio_Productos!J:J)))</f>
        <v>Falta Precio</v>
      </c>
      <c r="O87" s="86"/>
      <c r="P87" s="86" t="str">
        <f>IFERROR(__xludf.DUMMYFUNCTION("IF(OR(F87=""Selecciona.."",F87=""""),"""",TRANSPOSE(filter(Familias!C:C,Familias!D:D=F87)))"),"Chasis Acoplados 1 Ejes")</f>
        <v>Chasis Acoplados 1 Ejes</v>
      </c>
      <c r="Q87" s="86" t="str">
        <f>IFERROR(__xludf.DUMMYFUNCTION("""COMPUTED_VALUE"""),"Chasis Acoplados 2 Ejes")</f>
        <v>Chasis Acoplados 2 Ejes</v>
      </c>
      <c r="R87" s="86" t="str">
        <f>IFERROR(__xludf.DUMMYFUNCTION("""COMPUTED_VALUE"""),"Chasis Acoplados Balancin")</f>
        <v>Chasis Acoplados Balancin</v>
      </c>
      <c r="S87" s="86" t="str">
        <f>IFERROR(__xludf.DUMMYFUNCTION("""COMPUTED_VALUE"""),"Cajones para Acoplados")</f>
        <v>Cajones para Acoplados</v>
      </c>
      <c r="T87" s="86" t="str">
        <f>IFERROR(__xludf.DUMMYFUNCTION("""COMPUTED_VALUE"""),"Cajones Laterales para Acoplados")</f>
        <v>Cajones Laterales para Acoplados</v>
      </c>
      <c r="U87" s="86" t="str">
        <f>IFERROR(__xludf.DUMMYFUNCTION("""COMPUTED_VALUE"""),"Tanques Metálicos para Acoplados")</f>
        <v>Tanques Metálicos para Acoplados</v>
      </c>
      <c r="V87" s="86" t="str">
        <f>IFERROR(__xludf.DUMMYFUNCTION("""COMPUTED_VALUE"""),"Tanques Plásticos para Acoplados")</f>
        <v>Tanques Plásticos para Acoplados</v>
      </c>
      <c r="W87" s="86" t="str">
        <f>IFERROR(__xludf.DUMMYFUNCTION("""COMPUTED_VALUE"""),"Playos para Acoplados")</f>
        <v>Playos para Acoplados</v>
      </c>
      <c r="X87" s="86"/>
      <c r="Y87" s="86"/>
      <c r="Z87" s="86"/>
      <c r="AA87" s="86"/>
      <c r="AB87" s="86"/>
      <c r="AC87" s="86"/>
      <c r="AD87" s="86"/>
      <c r="AE87" s="86"/>
    </row>
    <row r="88">
      <c r="A88" s="4">
        <f t="shared" si="1"/>
        <v>87</v>
      </c>
      <c r="B88" s="4"/>
      <c r="C88" s="2" t="s">
        <v>503</v>
      </c>
      <c r="D88" s="4"/>
      <c r="E88" s="45" t="s">
        <v>113</v>
      </c>
      <c r="F88" s="2" t="s">
        <v>28</v>
      </c>
      <c r="G88" s="2" t="s">
        <v>416</v>
      </c>
      <c r="H88" s="2">
        <f>IF(G88="","",SUMIF(Familias!C:C,G88,Familias!E:E))</f>
        <v>3</v>
      </c>
      <c r="I88" s="4">
        <f>IF(A88="","",COUNTIF(Prod_Prop!B:B,A88))</f>
        <v>5</v>
      </c>
      <c r="J88" s="92" t="str">
        <f>IF(E88="","",IF(SUMIF(Precio_Productos!L:L,E88,Precio_Productos!J:J)=0,"Falta Precio",SUMIF(Precio_Productos!L:L,E88,Precio_Productos!J:J)))</f>
        <v>Falta Precio</v>
      </c>
      <c r="O88" s="86"/>
      <c r="P88" s="86" t="str">
        <f>IFERROR(__xludf.DUMMYFUNCTION("IF(OR(F88=""Selecciona.."",F88=""""),"""",TRANSPOSE(filter(Familias!C:C,Familias!D:D=F88)))"),"Chasis Acoplados 1 Ejes")</f>
        <v>Chasis Acoplados 1 Ejes</v>
      </c>
      <c r="Q88" s="86" t="str">
        <f>IFERROR(__xludf.DUMMYFUNCTION("""COMPUTED_VALUE"""),"Chasis Acoplados 2 Ejes")</f>
        <v>Chasis Acoplados 2 Ejes</v>
      </c>
      <c r="R88" s="86" t="str">
        <f>IFERROR(__xludf.DUMMYFUNCTION("""COMPUTED_VALUE"""),"Chasis Acoplados Balancin")</f>
        <v>Chasis Acoplados Balancin</v>
      </c>
      <c r="S88" s="86" t="str">
        <f>IFERROR(__xludf.DUMMYFUNCTION("""COMPUTED_VALUE"""),"Cajones para Acoplados")</f>
        <v>Cajones para Acoplados</v>
      </c>
      <c r="T88" s="86" t="str">
        <f>IFERROR(__xludf.DUMMYFUNCTION("""COMPUTED_VALUE"""),"Cajones Laterales para Acoplados")</f>
        <v>Cajones Laterales para Acoplados</v>
      </c>
      <c r="U88" s="86" t="str">
        <f>IFERROR(__xludf.DUMMYFUNCTION("""COMPUTED_VALUE"""),"Tanques Metálicos para Acoplados")</f>
        <v>Tanques Metálicos para Acoplados</v>
      </c>
      <c r="V88" s="86" t="str">
        <f>IFERROR(__xludf.DUMMYFUNCTION("""COMPUTED_VALUE"""),"Tanques Plásticos para Acoplados")</f>
        <v>Tanques Plásticos para Acoplados</v>
      </c>
      <c r="W88" s="86" t="str">
        <f>IFERROR(__xludf.DUMMYFUNCTION("""COMPUTED_VALUE"""),"Playos para Acoplados")</f>
        <v>Playos para Acoplados</v>
      </c>
      <c r="X88" s="86"/>
      <c r="Y88" s="86"/>
      <c r="Z88" s="86"/>
      <c r="AA88" s="86"/>
      <c r="AB88" s="86"/>
      <c r="AC88" s="86"/>
      <c r="AD88" s="86"/>
      <c r="AE88" s="86"/>
    </row>
    <row r="89">
      <c r="A89" s="4">
        <f t="shared" si="1"/>
        <v>88</v>
      </c>
      <c r="B89" s="4"/>
      <c r="C89" s="2" t="s">
        <v>504</v>
      </c>
      <c r="D89" s="4"/>
      <c r="E89" s="45" t="s">
        <v>114</v>
      </c>
      <c r="F89" s="2" t="s">
        <v>28</v>
      </c>
      <c r="G89" s="2" t="s">
        <v>416</v>
      </c>
      <c r="H89" s="2">
        <f>IF(G89="","",SUMIF(Familias!C:C,G89,Familias!E:E))</f>
        <v>3</v>
      </c>
      <c r="I89" s="4">
        <f>IF(A89="","",COUNTIF(Prod_Prop!B:B,A89))</f>
        <v>5</v>
      </c>
      <c r="J89" s="92" t="str">
        <f>IF(E89="","",IF(SUMIF(Precio_Productos!L:L,E89,Precio_Productos!J:J)=0,"Falta Precio",SUMIF(Precio_Productos!L:L,E89,Precio_Productos!J:J)))</f>
        <v>Falta Precio</v>
      </c>
      <c r="O89" s="86"/>
      <c r="P89" s="86" t="str">
        <f>IFERROR(__xludf.DUMMYFUNCTION("IF(OR(F89=""Selecciona.."",F89=""""),"""",TRANSPOSE(filter(Familias!C:C,Familias!D:D=F89)))"),"Chasis Acoplados 1 Ejes")</f>
        <v>Chasis Acoplados 1 Ejes</v>
      </c>
      <c r="Q89" s="86" t="str">
        <f>IFERROR(__xludf.DUMMYFUNCTION("""COMPUTED_VALUE"""),"Chasis Acoplados 2 Ejes")</f>
        <v>Chasis Acoplados 2 Ejes</v>
      </c>
      <c r="R89" s="86" t="str">
        <f>IFERROR(__xludf.DUMMYFUNCTION("""COMPUTED_VALUE"""),"Chasis Acoplados Balancin")</f>
        <v>Chasis Acoplados Balancin</v>
      </c>
      <c r="S89" s="86" t="str">
        <f>IFERROR(__xludf.DUMMYFUNCTION("""COMPUTED_VALUE"""),"Cajones para Acoplados")</f>
        <v>Cajones para Acoplados</v>
      </c>
      <c r="T89" s="86" t="str">
        <f>IFERROR(__xludf.DUMMYFUNCTION("""COMPUTED_VALUE"""),"Cajones Laterales para Acoplados")</f>
        <v>Cajones Laterales para Acoplados</v>
      </c>
      <c r="U89" s="86" t="str">
        <f>IFERROR(__xludf.DUMMYFUNCTION("""COMPUTED_VALUE"""),"Tanques Metálicos para Acoplados")</f>
        <v>Tanques Metálicos para Acoplados</v>
      </c>
      <c r="V89" s="86" t="str">
        <f>IFERROR(__xludf.DUMMYFUNCTION("""COMPUTED_VALUE"""),"Tanques Plásticos para Acoplados")</f>
        <v>Tanques Plásticos para Acoplados</v>
      </c>
      <c r="W89" s="86" t="str">
        <f>IFERROR(__xludf.DUMMYFUNCTION("""COMPUTED_VALUE"""),"Playos para Acoplados")</f>
        <v>Playos para Acoplados</v>
      </c>
      <c r="X89" s="86"/>
      <c r="Y89" s="86"/>
      <c r="Z89" s="86"/>
      <c r="AA89" s="86"/>
      <c r="AB89" s="86"/>
      <c r="AC89" s="86"/>
      <c r="AD89" s="86"/>
      <c r="AE89" s="86"/>
    </row>
    <row r="90">
      <c r="A90" s="4">
        <f t="shared" si="1"/>
        <v>89</v>
      </c>
      <c r="B90" s="4"/>
      <c r="C90" s="2" t="s">
        <v>505</v>
      </c>
      <c r="D90" s="4"/>
      <c r="E90" s="45" t="s">
        <v>115</v>
      </c>
      <c r="F90" s="2" t="s">
        <v>28</v>
      </c>
      <c r="G90" s="2" t="s">
        <v>416</v>
      </c>
      <c r="H90" s="2">
        <f>IF(G90="","",SUMIF(Familias!C:C,G90,Familias!E:E))</f>
        <v>3</v>
      </c>
      <c r="I90" s="4">
        <f>IF(A90="","",COUNTIF(Prod_Prop!B:B,A90))</f>
        <v>5</v>
      </c>
      <c r="J90" s="92" t="str">
        <f>IF(E90="","",IF(SUMIF(Precio_Productos!L:L,E90,Precio_Productos!J:J)=0,"Falta Precio",SUMIF(Precio_Productos!L:L,E90,Precio_Productos!J:J)))</f>
        <v>Falta Precio</v>
      </c>
      <c r="O90" s="86"/>
      <c r="P90" s="86" t="str">
        <f>IFERROR(__xludf.DUMMYFUNCTION("IF(OR(F90=""Selecciona.."",F90=""""),"""",TRANSPOSE(filter(Familias!C:C,Familias!D:D=F90)))"),"Chasis Acoplados 1 Ejes")</f>
        <v>Chasis Acoplados 1 Ejes</v>
      </c>
      <c r="Q90" s="86" t="str">
        <f>IFERROR(__xludf.DUMMYFUNCTION("""COMPUTED_VALUE"""),"Chasis Acoplados 2 Ejes")</f>
        <v>Chasis Acoplados 2 Ejes</v>
      </c>
      <c r="R90" s="86" t="str">
        <f>IFERROR(__xludf.DUMMYFUNCTION("""COMPUTED_VALUE"""),"Chasis Acoplados Balancin")</f>
        <v>Chasis Acoplados Balancin</v>
      </c>
      <c r="S90" s="86" t="str">
        <f>IFERROR(__xludf.DUMMYFUNCTION("""COMPUTED_VALUE"""),"Cajones para Acoplados")</f>
        <v>Cajones para Acoplados</v>
      </c>
      <c r="T90" s="86" t="str">
        <f>IFERROR(__xludf.DUMMYFUNCTION("""COMPUTED_VALUE"""),"Cajones Laterales para Acoplados")</f>
        <v>Cajones Laterales para Acoplados</v>
      </c>
      <c r="U90" s="86" t="str">
        <f>IFERROR(__xludf.DUMMYFUNCTION("""COMPUTED_VALUE"""),"Tanques Metálicos para Acoplados")</f>
        <v>Tanques Metálicos para Acoplados</v>
      </c>
      <c r="V90" s="86" t="str">
        <f>IFERROR(__xludf.DUMMYFUNCTION("""COMPUTED_VALUE"""),"Tanques Plásticos para Acoplados")</f>
        <v>Tanques Plásticos para Acoplados</v>
      </c>
      <c r="W90" s="86" t="str">
        <f>IFERROR(__xludf.DUMMYFUNCTION("""COMPUTED_VALUE"""),"Playos para Acoplados")</f>
        <v>Playos para Acoplados</v>
      </c>
      <c r="X90" s="86"/>
      <c r="Y90" s="86"/>
      <c r="Z90" s="86"/>
      <c r="AA90" s="86"/>
      <c r="AB90" s="86"/>
      <c r="AC90" s="86"/>
      <c r="AD90" s="86"/>
      <c r="AE90" s="86"/>
    </row>
    <row r="91">
      <c r="A91" s="4">
        <f t="shared" si="1"/>
        <v>90</v>
      </c>
      <c r="B91" s="4"/>
      <c r="C91" s="2" t="s">
        <v>506</v>
      </c>
      <c r="D91" s="4"/>
      <c r="E91" s="45" t="s">
        <v>116</v>
      </c>
      <c r="F91" s="2" t="s">
        <v>28</v>
      </c>
      <c r="G91" s="2" t="s">
        <v>416</v>
      </c>
      <c r="H91" s="2">
        <f>IF(G91="","",SUMIF(Familias!C:C,G91,Familias!E:E))</f>
        <v>3</v>
      </c>
      <c r="I91" s="4">
        <f>IF(A91="","",COUNTIF(Prod_Prop!B:B,A91))</f>
        <v>5</v>
      </c>
      <c r="J91" s="92" t="str">
        <f>IF(E91="","",IF(SUMIF(Precio_Productos!L:L,E91,Precio_Productos!J:J)=0,"Falta Precio",SUMIF(Precio_Productos!L:L,E91,Precio_Productos!J:J)))</f>
        <v>Falta Precio</v>
      </c>
      <c r="O91" s="86"/>
      <c r="P91" s="86" t="str">
        <f>IFERROR(__xludf.DUMMYFUNCTION("IF(OR(F91=""Selecciona.."",F91=""""),"""",TRANSPOSE(filter(Familias!C:C,Familias!D:D=F91)))"),"Chasis Acoplados 1 Ejes")</f>
        <v>Chasis Acoplados 1 Ejes</v>
      </c>
      <c r="Q91" s="86" t="str">
        <f>IFERROR(__xludf.DUMMYFUNCTION("""COMPUTED_VALUE"""),"Chasis Acoplados 2 Ejes")</f>
        <v>Chasis Acoplados 2 Ejes</v>
      </c>
      <c r="R91" s="86" t="str">
        <f>IFERROR(__xludf.DUMMYFUNCTION("""COMPUTED_VALUE"""),"Chasis Acoplados Balancin")</f>
        <v>Chasis Acoplados Balancin</v>
      </c>
      <c r="S91" s="86" t="str">
        <f>IFERROR(__xludf.DUMMYFUNCTION("""COMPUTED_VALUE"""),"Cajones para Acoplados")</f>
        <v>Cajones para Acoplados</v>
      </c>
      <c r="T91" s="86" t="str">
        <f>IFERROR(__xludf.DUMMYFUNCTION("""COMPUTED_VALUE"""),"Cajones Laterales para Acoplados")</f>
        <v>Cajones Laterales para Acoplados</v>
      </c>
      <c r="U91" s="86" t="str">
        <f>IFERROR(__xludf.DUMMYFUNCTION("""COMPUTED_VALUE"""),"Tanques Metálicos para Acoplados")</f>
        <v>Tanques Metálicos para Acoplados</v>
      </c>
      <c r="V91" s="86" t="str">
        <f>IFERROR(__xludf.DUMMYFUNCTION("""COMPUTED_VALUE"""),"Tanques Plásticos para Acoplados")</f>
        <v>Tanques Plásticos para Acoplados</v>
      </c>
      <c r="W91" s="86" t="str">
        <f>IFERROR(__xludf.DUMMYFUNCTION("""COMPUTED_VALUE"""),"Playos para Acoplados")</f>
        <v>Playos para Acoplados</v>
      </c>
      <c r="X91" s="86"/>
      <c r="Y91" s="86"/>
      <c r="Z91" s="86"/>
      <c r="AA91" s="86"/>
      <c r="AB91" s="86"/>
      <c r="AC91" s="86"/>
      <c r="AD91" s="86"/>
      <c r="AE91" s="86"/>
    </row>
    <row r="92">
      <c r="A92" s="4">
        <f t="shared" si="1"/>
        <v>91</v>
      </c>
      <c r="B92" s="4"/>
      <c r="C92" s="2" t="s">
        <v>507</v>
      </c>
      <c r="D92" s="4"/>
      <c r="E92" s="45" t="s">
        <v>117</v>
      </c>
      <c r="F92" s="2" t="s">
        <v>28</v>
      </c>
      <c r="G92" s="2" t="s">
        <v>416</v>
      </c>
      <c r="H92" s="2">
        <f>IF(G92="","",SUMIF(Familias!C:C,G92,Familias!E:E))</f>
        <v>3</v>
      </c>
      <c r="I92" s="4">
        <f>IF(A92="","",COUNTIF(Prod_Prop!B:B,A92))</f>
        <v>4</v>
      </c>
      <c r="J92" s="92" t="str">
        <f>IF(E92="","",IF(SUMIF(Precio_Productos!L:L,E92,Precio_Productos!J:J)=0,"Falta Precio",SUMIF(Precio_Productos!L:L,E92,Precio_Productos!J:J)))</f>
        <v>Falta Precio</v>
      </c>
      <c r="O92" s="86"/>
      <c r="P92" s="86" t="str">
        <f>IFERROR(__xludf.DUMMYFUNCTION("IF(OR(F92=""Selecciona.."",F92=""""),"""",TRANSPOSE(filter(Familias!C:C,Familias!D:D=F92)))"),"Chasis Acoplados 1 Ejes")</f>
        <v>Chasis Acoplados 1 Ejes</v>
      </c>
      <c r="Q92" s="86" t="str">
        <f>IFERROR(__xludf.DUMMYFUNCTION("""COMPUTED_VALUE"""),"Chasis Acoplados 2 Ejes")</f>
        <v>Chasis Acoplados 2 Ejes</v>
      </c>
      <c r="R92" s="86" t="str">
        <f>IFERROR(__xludf.DUMMYFUNCTION("""COMPUTED_VALUE"""),"Chasis Acoplados Balancin")</f>
        <v>Chasis Acoplados Balancin</v>
      </c>
      <c r="S92" s="86" t="str">
        <f>IFERROR(__xludf.DUMMYFUNCTION("""COMPUTED_VALUE"""),"Cajones para Acoplados")</f>
        <v>Cajones para Acoplados</v>
      </c>
      <c r="T92" s="86" t="str">
        <f>IFERROR(__xludf.DUMMYFUNCTION("""COMPUTED_VALUE"""),"Cajones Laterales para Acoplados")</f>
        <v>Cajones Laterales para Acoplados</v>
      </c>
      <c r="U92" s="86" t="str">
        <f>IFERROR(__xludf.DUMMYFUNCTION("""COMPUTED_VALUE"""),"Tanques Metálicos para Acoplados")</f>
        <v>Tanques Metálicos para Acoplados</v>
      </c>
      <c r="V92" s="86" t="str">
        <f>IFERROR(__xludf.DUMMYFUNCTION("""COMPUTED_VALUE"""),"Tanques Plásticos para Acoplados")</f>
        <v>Tanques Plásticos para Acoplados</v>
      </c>
      <c r="W92" s="86" t="str">
        <f>IFERROR(__xludf.DUMMYFUNCTION("""COMPUTED_VALUE"""),"Playos para Acoplados")</f>
        <v>Playos para Acoplados</v>
      </c>
      <c r="X92" s="86"/>
      <c r="Y92" s="86"/>
      <c r="Z92" s="86"/>
      <c r="AA92" s="86"/>
      <c r="AB92" s="86"/>
      <c r="AC92" s="86"/>
      <c r="AD92" s="86"/>
      <c r="AE92" s="86"/>
    </row>
    <row r="93">
      <c r="A93" s="4">
        <f t="shared" si="1"/>
        <v>92</v>
      </c>
      <c r="B93" s="4"/>
      <c r="C93" s="4"/>
      <c r="D93" s="4"/>
      <c r="E93" s="45" t="s">
        <v>30</v>
      </c>
      <c r="F93" s="2" t="s">
        <v>28</v>
      </c>
      <c r="G93" s="2" t="s">
        <v>430</v>
      </c>
      <c r="H93" s="2">
        <f>IF(G93="","",SUMIF(Familias!C:C,G93,Familias!E:E))</f>
        <v>1</v>
      </c>
      <c r="I93" s="4">
        <f>IF(A93="","",COUNTIF(Prod_Prop!B:B,A93))</f>
        <v>4</v>
      </c>
      <c r="J93" s="92">
        <f>IF(E93="","",IF(SUMIF(Precio_Productos!L:L,E93,Precio_Productos!J:J)=0,"Falta Precio",SUMIF(Precio_Productos!L:L,E93,Precio_Productos!J:J)))</f>
        <v>763553</v>
      </c>
      <c r="O93" s="86"/>
      <c r="P93" s="86" t="str">
        <f>IFERROR(__xludf.DUMMYFUNCTION("IF(OR(F93=""Selecciona.."",F93=""""),"""",TRANSPOSE(filter(Familias!C:C,Familias!D:D=F93)))"),"Chasis Acoplados 1 Ejes")</f>
        <v>Chasis Acoplados 1 Ejes</v>
      </c>
      <c r="Q93" s="86" t="str">
        <f>IFERROR(__xludf.DUMMYFUNCTION("""COMPUTED_VALUE"""),"Chasis Acoplados 2 Ejes")</f>
        <v>Chasis Acoplados 2 Ejes</v>
      </c>
      <c r="R93" s="86" t="str">
        <f>IFERROR(__xludf.DUMMYFUNCTION("""COMPUTED_VALUE"""),"Chasis Acoplados Balancin")</f>
        <v>Chasis Acoplados Balancin</v>
      </c>
      <c r="S93" s="86" t="str">
        <f>IFERROR(__xludf.DUMMYFUNCTION("""COMPUTED_VALUE"""),"Cajones para Acoplados")</f>
        <v>Cajones para Acoplados</v>
      </c>
      <c r="T93" s="86" t="str">
        <f>IFERROR(__xludf.DUMMYFUNCTION("""COMPUTED_VALUE"""),"Cajones Laterales para Acoplados")</f>
        <v>Cajones Laterales para Acoplados</v>
      </c>
      <c r="U93" s="86" t="str">
        <f>IFERROR(__xludf.DUMMYFUNCTION("""COMPUTED_VALUE"""),"Tanques Metálicos para Acoplados")</f>
        <v>Tanques Metálicos para Acoplados</v>
      </c>
      <c r="V93" s="86" t="str">
        <f>IFERROR(__xludf.DUMMYFUNCTION("""COMPUTED_VALUE"""),"Tanques Plásticos para Acoplados")</f>
        <v>Tanques Plásticos para Acoplados</v>
      </c>
      <c r="W93" s="86" t="str">
        <f>IFERROR(__xludf.DUMMYFUNCTION("""COMPUTED_VALUE"""),"Playos para Acoplados")</f>
        <v>Playos para Acoplados</v>
      </c>
      <c r="X93" s="86"/>
      <c r="Y93" s="86"/>
      <c r="Z93" s="86"/>
      <c r="AA93" s="86"/>
      <c r="AB93" s="86"/>
      <c r="AC93" s="86"/>
      <c r="AD93" s="86"/>
      <c r="AE93" s="86"/>
    </row>
    <row r="94">
      <c r="A94" s="4">
        <f t="shared" si="1"/>
        <v>93</v>
      </c>
      <c r="B94" s="4"/>
      <c r="C94" s="4"/>
      <c r="D94" s="4"/>
      <c r="E94" s="45" t="s">
        <v>88</v>
      </c>
      <c r="F94" s="2" t="s">
        <v>28</v>
      </c>
      <c r="G94" s="2" t="s">
        <v>430</v>
      </c>
      <c r="H94" s="2">
        <f>IF(G94="","",SUMIF(Familias!C:C,G94,Familias!E:E))</f>
        <v>1</v>
      </c>
      <c r="I94" s="4">
        <f>IF(A94="","",COUNTIF(Prod_Prop!B:B,A94))</f>
        <v>4</v>
      </c>
      <c r="J94" s="92">
        <f>IF(E94="","",IF(SUMIF(Precio_Productos!L:L,E94,Precio_Productos!J:J)=0,"Falta Precio",SUMIF(Precio_Productos!L:L,E94,Precio_Productos!J:J)))</f>
        <v>850000</v>
      </c>
      <c r="O94" s="86"/>
      <c r="P94" s="86" t="str">
        <f>IFERROR(__xludf.DUMMYFUNCTION("IF(OR(F94=""Selecciona.."",F94=""""),"""",TRANSPOSE(filter(Familias!C:C,Familias!D:D=F94)))"),"Chasis Acoplados 1 Ejes")</f>
        <v>Chasis Acoplados 1 Ejes</v>
      </c>
      <c r="Q94" s="86" t="str">
        <f>IFERROR(__xludf.DUMMYFUNCTION("""COMPUTED_VALUE"""),"Chasis Acoplados 2 Ejes")</f>
        <v>Chasis Acoplados 2 Ejes</v>
      </c>
      <c r="R94" s="86" t="str">
        <f>IFERROR(__xludf.DUMMYFUNCTION("""COMPUTED_VALUE"""),"Chasis Acoplados Balancin")</f>
        <v>Chasis Acoplados Balancin</v>
      </c>
      <c r="S94" s="86" t="str">
        <f>IFERROR(__xludf.DUMMYFUNCTION("""COMPUTED_VALUE"""),"Cajones para Acoplados")</f>
        <v>Cajones para Acoplados</v>
      </c>
      <c r="T94" s="86" t="str">
        <f>IFERROR(__xludf.DUMMYFUNCTION("""COMPUTED_VALUE"""),"Cajones Laterales para Acoplados")</f>
        <v>Cajones Laterales para Acoplados</v>
      </c>
      <c r="U94" s="86" t="str">
        <f>IFERROR(__xludf.DUMMYFUNCTION("""COMPUTED_VALUE"""),"Tanques Metálicos para Acoplados")</f>
        <v>Tanques Metálicos para Acoplados</v>
      </c>
      <c r="V94" s="86" t="str">
        <f>IFERROR(__xludf.DUMMYFUNCTION("""COMPUTED_VALUE"""),"Tanques Plásticos para Acoplados")</f>
        <v>Tanques Plásticos para Acoplados</v>
      </c>
      <c r="W94" s="86" t="str">
        <f>IFERROR(__xludf.DUMMYFUNCTION("""COMPUTED_VALUE"""),"Playos para Acoplados")</f>
        <v>Playos para Acoplados</v>
      </c>
      <c r="X94" s="86"/>
      <c r="Y94" s="86"/>
      <c r="Z94" s="86"/>
      <c r="AA94" s="86"/>
      <c r="AB94" s="86"/>
      <c r="AC94" s="86"/>
      <c r="AD94" s="86"/>
      <c r="AE94" s="86"/>
    </row>
    <row r="95">
      <c r="A95" s="4">
        <f t="shared" si="1"/>
        <v>94</v>
      </c>
      <c r="B95" s="4"/>
      <c r="C95" s="4"/>
      <c r="D95" s="4"/>
      <c r="E95" s="45" t="s">
        <v>121</v>
      </c>
      <c r="F95" s="2" t="s">
        <v>387</v>
      </c>
      <c r="G95" s="2" t="s">
        <v>98</v>
      </c>
      <c r="H95" s="2">
        <f>IF(G95="","",SUMIF(Familias!C:C,G95,Familias!E:E))</f>
        <v>3</v>
      </c>
      <c r="I95" s="4">
        <f>IF(A95="","",COUNTIF(Prod_Prop!B:B,A95))</f>
        <v>2</v>
      </c>
      <c r="J95" s="92">
        <f>IF(E95="","",IF(SUMIF(Precio_Productos!L:L,E95,Precio_Productos!J:J)=0,"Falta Precio",SUMIF(Precio_Productos!L:L,E95,Precio_Productos!J:J)))</f>
        <v>135191</v>
      </c>
      <c r="O95" s="86"/>
      <c r="P95" s="86" t="str">
        <f>IFERROR(__xludf.DUMMYFUNCTION("IF(OR(F95=""Selecciona.."",F95=""""),"""",TRANSPOSE(filter(Familias!C:C,Familias!D:D=F95)))"),"Llantas")</f>
        <v>Llantas</v>
      </c>
      <c r="Q95" s="86" t="str">
        <f>IFERROR(__xludf.DUMMYFUNCTION("""COMPUTED_VALUE"""),"Ejes")</f>
        <v>Ejes</v>
      </c>
      <c r="R95" s="86" t="str">
        <f>IFERROR(__xludf.DUMMYFUNCTION("""COMPUTED_VALUE"""),"Elásticos")</f>
        <v>Elásticos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</row>
    <row r="96">
      <c r="A96" s="4">
        <f t="shared" si="1"/>
        <v>95</v>
      </c>
      <c r="B96" s="4"/>
      <c r="C96" s="4"/>
      <c r="D96" s="4"/>
      <c r="E96" s="45" t="s">
        <v>122</v>
      </c>
      <c r="F96" s="2" t="s">
        <v>387</v>
      </c>
      <c r="G96" s="2" t="s">
        <v>98</v>
      </c>
      <c r="H96" s="2">
        <f>IF(G96="","",SUMIF(Familias!C:C,G96,Familias!E:E))</f>
        <v>3</v>
      </c>
      <c r="I96" s="4">
        <f>IF(A96="","",COUNTIF(Prod_Prop!B:B,A96))</f>
        <v>2</v>
      </c>
      <c r="J96" s="92">
        <f>IF(E96="","",IF(SUMIF(Precio_Productos!L:L,E96,Precio_Productos!J:J)=0,"Falta Precio",SUMIF(Precio_Productos!L:L,E96,Precio_Productos!J:J)))</f>
        <v>216300</v>
      </c>
      <c r="O96" s="86"/>
      <c r="P96" s="86" t="str">
        <f>IFERROR(__xludf.DUMMYFUNCTION("IF(OR(F96=""Selecciona.."",F96=""""),"""",TRANSPOSE(filter(Familias!C:C,Familias!D:D=F96)))"),"Llantas")</f>
        <v>Llantas</v>
      </c>
      <c r="Q96" s="86" t="str">
        <f>IFERROR(__xludf.DUMMYFUNCTION("""COMPUTED_VALUE"""),"Ejes")</f>
        <v>Ejes</v>
      </c>
      <c r="R96" s="86" t="str">
        <f>IFERROR(__xludf.DUMMYFUNCTION("""COMPUTED_VALUE"""),"Elásticos")</f>
        <v>Elásticos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</row>
    <row r="97">
      <c r="A97" s="4">
        <f t="shared" si="1"/>
        <v>96</v>
      </c>
      <c r="B97" s="4"/>
      <c r="C97" s="4"/>
      <c r="D97" s="4"/>
      <c r="E97" s="45" t="s">
        <v>123</v>
      </c>
      <c r="F97" s="2" t="s">
        <v>387</v>
      </c>
      <c r="G97" s="2" t="s">
        <v>98</v>
      </c>
      <c r="H97" s="2">
        <f>IF(G97="","",SUMIF(Familias!C:C,G97,Familias!E:E))</f>
        <v>3</v>
      </c>
      <c r="I97" s="4">
        <f>IF(A97="","",COUNTIF(Prod_Prop!B:B,A97))</f>
        <v>2</v>
      </c>
      <c r="J97" s="92">
        <f>IF(E97="","",IF(SUMIF(Precio_Productos!L:L,E97,Precio_Productos!J:J)=0,"Falta Precio",SUMIF(Precio_Productos!L:L,E97,Precio_Productos!J:J)))</f>
        <v>101400</v>
      </c>
      <c r="O97" s="86"/>
      <c r="P97" s="86" t="str">
        <f>IFERROR(__xludf.DUMMYFUNCTION("IF(OR(F97=""Selecciona.."",F97=""""),"""",TRANSPOSE(filter(Familias!C:C,Familias!D:D=F97)))"),"Llantas")</f>
        <v>Llantas</v>
      </c>
      <c r="Q97" s="86" t="str">
        <f>IFERROR(__xludf.DUMMYFUNCTION("""COMPUTED_VALUE"""),"Ejes")</f>
        <v>Ejes</v>
      </c>
      <c r="R97" s="86" t="str">
        <f>IFERROR(__xludf.DUMMYFUNCTION("""COMPUTED_VALUE"""),"Elásticos")</f>
        <v>Elásticos</v>
      </c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</row>
    <row r="98">
      <c r="A98" s="4">
        <f t="shared" si="1"/>
        <v>97</v>
      </c>
      <c r="B98" s="4"/>
      <c r="C98" s="4"/>
      <c r="D98" s="4"/>
      <c r="E98" s="45" t="s">
        <v>124</v>
      </c>
      <c r="F98" s="2" t="s">
        <v>387</v>
      </c>
      <c r="G98" s="2" t="s">
        <v>98</v>
      </c>
      <c r="H98" s="2">
        <f>IF(G98="","",SUMIF(Familias!C:C,G98,Familias!E:E))</f>
        <v>3</v>
      </c>
      <c r="I98" s="4">
        <f>IF(A98="","",COUNTIF(Prod_Prop!B:B,A98))</f>
        <v>2</v>
      </c>
      <c r="J98" s="92">
        <f>IF(E98="","",IF(SUMIF(Precio_Productos!L:L,E98,Precio_Productos!J:J)=0,"Falta Precio",SUMIF(Precio_Productos!L:L,E98,Precio_Productos!J:J)))</f>
        <v>150000</v>
      </c>
      <c r="O98" s="86"/>
      <c r="P98" s="86" t="str">
        <f>IFERROR(__xludf.DUMMYFUNCTION("IF(OR(F98=""Selecciona.."",F98=""""),"""",TRANSPOSE(filter(Familias!C:C,Familias!D:D=F98)))"),"Llantas")</f>
        <v>Llantas</v>
      </c>
      <c r="Q98" s="86" t="str">
        <f>IFERROR(__xludf.DUMMYFUNCTION("""COMPUTED_VALUE"""),"Ejes")</f>
        <v>Ejes</v>
      </c>
      <c r="R98" s="86" t="str">
        <f>IFERROR(__xludf.DUMMYFUNCTION("""COMPUTED_VALUE"""),"Elásticos")</f>
        <v>Elásticos</v>
      </c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</row>
    <row r="99">
      <c r="A99" s="4">
        <f t="shared" si="1"/>
        <v>98</v>
      </c>
      <c r="B99" s="4"/>
      <c r="C99" s="4"/>
      <c r="D99" s="4"/>
      <c r="E99" s="45" t="s">
        <v>125</v>
      </c>
      <c r="F99" s="2" t="s">
        <v>387</v>
      </c>
      <c r="G99" s="2" t="s">
        <v>98</v>
      </c>
      <c r="H99" s="2">
        <f>IF(G99="","",SUMIF(Familias!C:C,G99,Familias!E:E))</f>
        <v>3</v>
      </c>
      <c r="I99" s="4">
        <f>IF(A99="","",COUNTIF(Prod_Prop!B:B,A99))</f>
        <v>2</v>
      </c>
      <c r="J99" s="92">
        <f>IF(E99="","",IF(SUMIF(Precio_Productos!L:L,E99,Precio_Productos!J:J)=0,"Falta Precio",SUMIF(Precio_Productos!L:L,E99,Precio_Productos!J:J)))</f>
        <v>236584</v>
      </c>
      <c r="O99" s="86"/>
      <c r="P99" s="86" t="str">
        <f>IFERROR(__xludf.DUMMYFUNCTION("IF(OR(F99=""Selecciona.."",F99=""""),"""",TRANSPOSE(filter(Familias!C:C,Familias!D:D=F99)))"),"Llantas")</f>
        <v>Llantas</v>
      </c>
      <c r="Q99" s="86" t="str">
        <f>IFERROR(__xludf.DUMMYFUNCTION("""COMPUTED_VALUE"""),"Ejes")</f>
        <v>Ejes</v>
      </c>
      <c r="R99" s="86" t="str">
        <f>IFERROR(__xludf.DUMMYFUNCTION("""COMPUTED_VALUE"""),"Elásticos")</f>
        <v>Elásticos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</row>
    <row r="100">
      <c r="A100" s="4">
        <f t="shared" si="1"/>
        <v>99</v>
      </c>
      <c r="B100" s="4"/>
      <c r="C100" s="4"/>
      <c r="D100" s="4"/>
      <c r="E100" s="45" t="s">
        <v>126</v>
      </c>
      <c r="F100" s="2" t="s">
        <v>387</v>
      </c>
      <c r="G100" s="2" t="s">
        <v>98</v>
      </c>
      <c r="H100" s="2">
        <f>IF(G100="","",SUMIF(Familias!C:C,G100,Familias!E:E))</f>
        <v>3</v>
      </c>
      <c r="I100" s="4">
        <f>IF(A100="","",COUNTIF(Prod_Prop!B:B,A100))</f>
        <v>2</v>
      </c>
      <c r="J100" s="92">
        <f>IF(E100="","",IF(SUMIF(Precio_Productos!L:L,E100,Precio_Productos!J:J)=0,"Falta Precio",SUMIF(Precio_Productos!L:L,E100,Precio_Productos!J:J)))</f>
        <v>256800</v>
      </c>
      <c r="O100" s="86"/>
      <c r="P100" s="86" t="str">
        <f>IFERROR(__xludf.DUMMYFUNCTION("IF(OR(F100=""Selecciona.."",F100=""""),"""",TRANSPOSE(filter(Familias!C:C,Familias!D:D=F100)))"),"Llantas")</f>
        <v>Llantas</v>
      </c>
      <c r="Q100" s="86" t="str">
        <f>IFERROR(__xludf.DUMMYFUNCTION("""COMPUTED_VALUE"""),"Ejes")</f>
        <v>Ejes</v>
      </c>
      <c r="R100" s="86" t="str">
        <f>IFERROR(__xludf.DUMMYFUNCTION("""COMPUTED_VALUE"""),"Elásticos")</f>
        <v>Elásticos</v>
      </c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</row>
    <row r="101">
      <c r="A101" s="4">
        <f t="shared" si="1"/>
        <v>100</v>
      </c>
      <c r="B101" s="4"/>
      <c r="C101" s="4"/>
      <c r="D101" s="4"/>
      <c r="E101" s="45" t="s">
        <v>127</v>
      </c>
      <c r="F101" s="2" t="s">
        <v>387</v>
      </c>
      <c r="G101" s="2" t="s">
        <v>98</v>
      </c>
      <c r="H101" s="2">
        <f>IF(G101="","",SUMIF(Familias!C:C,G101,Familias!E:E))</f>
        <v>3</v>
      </c>
      <c r="I101" s="4">
        <f>IF(A101="","",COUNTIF(Prod_Prop!B:B,A101))</f>
        <v>2</v>
      </c>
      <c r="J101" s="92">
        <f>IF(E101="","",IF(SUMIF(Precio_Productos!L:L,E101,Precio_Productos!J:J)=0,"Falta Precio",SUMIF(Precio_Productos!L:L,E101,Precio_Productos!J:J)))</f>
        <v>101400</v>
      </c>
      <c r="O101" s="86"/>
      <c r="P101" s="86" t="str">
        <f>IFERROR(__xludf.DUMMYFUNCTION("IF(OR(F101=""Selecciona.."",F101=""""),"""",TRANSPOSE(filter(Familias!C:C,Familias!D:D=F101)))"),"Llantas")</f>
        <v>Llantas</v>
      </c>
      <c r="Q101" s="86" t="str">
        <f>IFERROR(__xludf.DUMMYFUNCTION("""COMPUTED_VALUE"""),"Ejes")</f>
        <v>Ejes</v>
      </c>
      <c r="R101" s="86" t="str">
        <f>IFERROR(__xludf.DUMMYFUNCTION("""COMPUTED_VALUE"""),"Elásticos")</f>
        <v>Elásticos</v>
      </c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</row>
    <row r="102">
      <c r="A102" s="4">
        <f t="shared" si="1"/>
        <v>101</v>
      </c>
      <c r="B102" s="4"/>
      <c r="C102" s="4"/>
      <c r="D102" s="4"/>
      <c r="E102" s="45" t="s">
        <v>133</v>
      </c>
      <c r="F102" s="2" t="s">
        <v>387</v>
      </c>
      <c r="G102" s="2" t="s">
        <v>119</v>
      </c>
      <c r="H102" s="2">
        <f>IF(G102="","",SUMIF(Familias!C:C,G102,Familias!E:E))</f>
        <v>2</v>
      </c>
      <c r="I102" s="4">
        <f>IF(A102="","",COUNTIF(Prod_Prop!B:B,A102))</f>
        <v>4</v>
      </c>
      <c r="J102" s="92">
        <f>IF(E102="","",IF(SUMIF(Precio_Productos!L:L,E102,Precio_Productos!J:J)=0,"Falta Precio",SUMIF(Precio_Productos!L:L,E102,Precio_Productos!J:J)))</f>
        <v>390000</v>
      </c>
      <c r="O102" s="86"/>
      <c r="P102" s="86" t="str">
        <f>IFERROR(__xludf.DUMMYFUNCTION("IF(OR(F102=""Selecciona.."",F102=""""),"""",TRANSPOSE(filter(Familias!C:C,Familias!D:D=F102)))"),"Llantas")</f>
        <v>Llantas</v>
      </c>
      <c r="Q102" s="86" t="str">
        <f>IFERROR(__xludf.DUMMYFUNCTION("""COMPUTED_VALUE"""),"Ejes")</f>
        <v>Ejes</v>
      </c>
      <c r="R102" s="86" t="str">
        <f>IFERROR(__xludf.DUMMYFUNCTION("""COMPUTED_VALUE"""),"Elásticos")</f>
        <v>Elásticos</v>
      </c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</row>
    <row r="103">
      <c r="A103" s="4">
        <f t="shared" si="1"/>
        <v>102</v>
      </c>
      <c r="B103" s="4"/>
      <c r="C103" s="4"/>
      <c r="D103" s="4"/>
      <c r="E103" s="45" t="s">
        <v>134</v>
      </c>
      <c r="F103" s="2" t="s">
        <v>387</v>
      </c>
      <c r="G103" s="2" t="s">
        <v>119</v>
      </c>
      <c r="H103" s="2">
        <f>IF(G103="","",SUMIF(Familias!C:C,G103,Familias!E:E))</f>
        <v>2</v>
      </c>
      <c r="I103" s="4">
        <f>IF(A103="","",COUNTIF(Prod_Prop!B:B,A103))</f>
        <v>4</v>
      </c>
      <c r="J103" s="92">
        <f>IF(E103="","",IF(SUMIF(Precio_Productos!L:L,E103,Precio_Productos!J:J)=0,"Falta Precio",SUMIF(Precio_Productos!L:L,E103,Precio_Productos!J:J)))</f>
        <v>527187</v>
      </c>
      <c r="O103" s="86"/>
      <c r="P103" s="86" t="str">
        <f>IFERROR(__xludf.DUMMYFUNCTION("IF(OR(F103=""Selecciona.."",F103=""""),"""",TRANSPOSE(filter(Familias!C:C,Familias!D:D=F103)))"),"Llantas")</f>
        <v>Llantas</v>
      </c>
      <c r="Q103" s="86" t="str">
        <f>IFERROR(__xludf.DUMMYFUNCTION("""COMPUTED_VALUE"""),"Ejes")</f>
        <v>Ejes</v>
      </c>
      <c r="R103" s="86" t="str">
        <f>IFERROR(__xludf.DUMMYFUNCTION("""COMPUTED_VALUE"""),"Elásticos")</f>
        <v>Elásticos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</row>
    <row r="104">
      <c r="A104" s="4">
        <f t="shared" si="1"/>
        <v>103</v>
      </c>
      <c r="B104" s="4"/>
      <c r="C104" s="4"/>
      <c r="D104" s="4"/>
      <c r="E104" s="45" t="s">
        <v>135</v>
      </c>
      <c r="F104" s="2" t="s">
        <v>387</v>
      </c>
      <c r="G104" s="2" t="s">
        <v>119</v>
      </c>
      <c r="H104" s="2">
        <f>IF(G104="","",SUMIF(Familias!C:C,G104,Familias!E:E))</f>
        <v>2</v>
      </c>
      <c r="I104" s="4">
        <f>IF(A104="","",COUNTIF(Prod_Prop!B:B,A104))</f>
        <v>4</v>
      </c>
      <c r="J104" s="92">
        <f>IF(E104="","",IF(SUMIF(Precio_Productos!L:L,E104,Precio_Productos!J:J)=0,"Falta Precio",SUMIF(Precio_Productos!L:L,E104,Precio_Productos!J:J)))</f>
        <v>764400</v>
      </c>
      <c r="O104" s="86"/>
      <c r="P104" s="86" t="str">
        <f>IFERROR(__xludf.DUMMYFUNCTION("IF(OR(F104=""Selecciona.."",F104=""""),"""",TRANSPOSE(filter(Familias!C:C,Familias!D:D=F104)))"),"Llantas")</f>
        <v>Llantas</v>
      </c>
      <c r="Q104" s="86" t="str">
        <f>IFERROR(__xludf.DUMMYFUNCTION("""COMPUTED_VALUE"""),"Ejes")</f>
        <v>Ejes</v>
      </c>
      <c r="R104" s="86" t="str">
        <f>IFERROR(__xludf.DUMMYFUNCTION("""COMPUTED_VALUE"""),"Elásticos")</f>
        <v>Elásticos</v>
      </c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</row>
    <row r="105">
      <c r="A105" s="4">
        <f t="shared" si="1"/>
        <v>104</v>
      </c>
      <c r="B105" s="4"/>
      <c r="C105" s="4"/>
      <c r="D105" s="4"/>
      <c r="E105" s="45" t="s">
        <v>136</v>
      </c>
      <c r="F105" s="2" t="s">
        <v>387</v>
      </c>
      <c r="G105" s="2" t="s">
        <v>119</v>
      </c>
      <c r="H105" s="2">
        <f>IF(G105="","",SUMIF(Familias!C:C,G105,Familias!E:E))</f>
        <v>2</v>
      </c>
      <c r="I105" s="4">
        <f>IF(A105="","",COUNTIF(Prod_Prop!B:B,A105))</f>
        <v>4</v>
      </c>
      <c r="J105" s="92" t="str">
        <f>IF(E105="","",IF(SUMIF(Precio_Productos!L:L,E105,Precio_Productos!J:J)=0,"Falta Precio",SUMIF(Precio_Productos!L:L,E105,Precio_Productos!J:J)))</f>
        <v>Falta Precio</v>
      </c>
      <c r="O105" s="86"/>
      <c r="P105" s="86" t="str">
        <f>IFERROR(__xludf.DUMMYFUNCTION("IF(OR(F105=""Selecciona.."",F105=""""),"""",TRANSPOSE(filter(Familias!C:C,Familias!D:D=F105)))"),"Llantas")</f>
        <v>Llantas</v>
      </c>
      <c r="Q105" s="86" t="str">
        <f>IFERROR(__xludf.DUMMYFUNCTION("""COMPUTED_VALUE"""),"Ejes")</f>
        <v>Ejes</v>
      </c>
      <c r="R105" s="86" t="str">
        <f>IFERROR(__xludf.DUMMYFUNCTION("""COMPUTED_VALUE"""),"Elásticos")</f>
        <v>Elásticos</v>
      </c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</row>
    <row r="106">
      <c r="A106" s="4">
        <f t="shared" si="1"/>
        <v>105</v>
      </c>
      <c r="B106" s="4"/>
      <c r="C106" s="4"/>
      <c r="D106" s="4"/>
      <c r="E106" s="45" t="s">
        <v>137</v>
      </c>
      <c r="F106" s="2" t="s">
        <v>387</v>
      </c>
      <c r="G106" s="2" t="s">
        <v>119</v>
      </c>
      <c r="H106" s="2">
        <f>IF(G106="","",SUMIF(Familias!C:C,G106,Familias!E:E))</f>
        <v>2</v>
      </c>
      <c r="I106" s="4">
        <f>IF(A106="","",COUNTIF(Prod_Prop!B:B,A106))</f>
        <v>4</v>
      </c>
      <c r="J106" s="92" t="str">
        <f>IF(E106="","",IF(SUMIF(Precio_Productos!L:L,E106,Precio_Productos!J:J)=0,"Falta Precio",SUMIF(Precio_Productos!L:L,E106,Precio_Productos!J:J)))</f>
        <v>Falta Precio</v>
      </c>
      <c r="O106" s="86"/>
      <c r="P106" s="86" t="str">
        <f>IFERROR(__xludf.DUMMYFUNCTION("IF(OR(F106=""Selecciona.."",F106=""""),"""",TRANSPOSE(filter(Familias!C:C,Familias!D:D=F106)))"),"Llantas")</f>
        <v>Llantas</v>
      </c>
      <c r="Q106" s="86" t="str">
        <f>IFERROR(__xludf.DUMMYFUNCTION("""COMPUTED_VALUE"""),"Ejes")</f>
        <v>Ejes</v>
      </c>
      <c r="R106" s="86" t="str">
        <f>IFERROR(__xludf.DUMMYFUNCTION("""COMPUTED_VALUE"""),"Elásticos")</f>
        <v>Elásticos</v>
      </c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</row>
    <row r="107">
      <c r="A107" s="4">
        <f t="shared" si="1"/>
        <v>106</v>
      </c>
      <c r="B107" s="4"/>
      <c r="C107" s="4"/>
      <c r="D107" s="4"/>
      <c r="E107" s="45" t="s">
        <v>138</v>
      </c>
      <c r="F107" s="2" t="s">
        <v>387</v>
      </c>
      <c r="G107" s="2" t="s">
        <v>119</v>
      </c>
      <c r="H107" s="2">
        <f>IF(G107="","",SUMIF(Familias!C:C,G107,Familias!E:E))</f>
        <v>2</v>
      </c>
      <c r="I107" s="4">
        <f>IF(A107="","",COUNTIF(Prod_Prop!B:B,A107))</f>
        <v>4</v>
      </c>
      <c r="J107" s="92" t="str">
        <f>IF(E107="","",IF(SUMIF(Precio_Productos!L:L,E107,Precio_Productos!J:J)=0,"Falta Precio",SUMIF(Precio_Productos!L:L,E107,Precio_Productos!J:J)))</f>
        <v>Falta Precio</v>
      </c>
      <c r="O107" s="86"/>
      <c r="P107" s="86" t="str">
        <f>IFERROR(__xludf.DUMMYFUNCTION("IF(OR(F107=""Selecciona.."",F107=""""),"""",TRANSPOSE(filter(Familias!C:C,Familias!D:D=F107)))"),"Llantas")</f>
        <v>Llantas</v>
      </c>
      <c r="Q107" s="86" t="str">
        <f>IFERROR(__xludf.DUMMYFUNCTION("""COMPUTED_VALUE"""),"Ejes")</f>
        <v>Ejes</v>
      </c>
      <c r="R107" s="86" t="str">
        <f>IFERROR(__xludf.DUMMYFUNCTION("""COMPUTED_VALUE"""),"Elásticos")</f>
        <v>Elásticos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</row>
    <row r="108">
      <c r="A108" s="4">
        <f t="shared" si="1"/>
        <v>107</v>
      </c>
      <c r="B108" s="4"/>
      <c r="C108" s="4"/>
      <c r="D108" s="4"/>
      <c r="E108" s="45" t="s">
        <v>139</v>
      </c>
      <c r="F108" s="2" t="s">
        <v>387</v>
      </c>
      <c r="G108" s="2" t="s">
        <v>119</v>
      </c>
      <c r="H108" s="2">
        <f>IF(G108="","",SUMIF(Familias!C:C,G108,Familias!E:E))</f>
        <v>2</v>
      </c>
      <c r="I108" s="4">
        <f>IF(A108="","",COUNTIF(Prod_Prop!B:B,A108))</f>
        <v>4</v>
      </c>
      <c r="J108" s="92" t="str">
        <f>IF(E108="","",IF(SUMIF(Precio_Productos!L:L,E108,Precio_Productos!J:J)=0,"Falta Precio",SUMIF(Precio_Productos!L:L,E108,Precio_Productos!J:J)))</f>
        <v>Falta Precio</v>
      </c>
      <c r="O108" s="86"/>
      <c r="P108" s="86" t="str">
        <f>IFERROR(__xludf.DUMMYFUNCTION("IF(OR(F108=""Selecciona.."",F108=""""),"""",TRANSPOSE(filter(Familias!C:C,Familias!D:D=F108)))"),"Llantas")</f>
        <v>Llantas</v>
      </c>
      <c r="Q108" s="86" t="str">
        <f>IFERROR(__xludf.DUMMYFUNCTION("""COMPUTED_VALUE"""),"Ejes")</f>
        <v>Ejes</v>
      </c>
      <c r="R108" s="86" t="str">
        <f>IFERROR(__xludf.DUMMYFUNCTION("""COMPUTED_VALUE"""),"Elásticos")</f>
        <v>Elásticos</v>
      </c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</row>
    <row r="109">
      <c r="A109" s="4">
        <f t="shared" si="1"/>
        <v>108</v>
      </c>
      <c r="B109" s="4"/>
      <c r="C109" s="4"/>
      <c r="D109" s="4"/>
      <c r="E109" s="45" t="s">
        <v>140</v>
      </c>
      <c r="F109" s="2" t="s">
        <v>387</v>
      </c>
      <c r="G109" s="2" t="s">
        <v>119</v>
      </c>
      <c r="H109" s="2">
        <f>IF(G109="","",SUMIF(Familias!C:C,G109,Familias!E:E))</f>
        <v>2</v>
      </c>
      <c r="I109" s="4">
        <f>IF(A109="","",COUNTIF(Prod_Prop!B:B,A109))</f>
        <v>4</v>
      </c>
      <c r="J109" s="92" t="str">
        <f>IF(E109="","",IF(SUMIF(Precio_Productos!L:L,E109,Precio_Productos!J:J)=0,"Falta Precio",SUMIF(Precio_Productos!L:L,E109,Precio_Productos!J:J)))</f>
        <v>Falta Precio</v>
      </c>
      <c r="O109" s="86"/>
      <c r="P109" s="86" t="str">
        <f>IFERROR(__xludf.DUMMYFUNCTION("IF(OR(F109=""Selecciona.."",F109=""""),"""",TRANSPOSE(filter(Familias!C:C,Familias!D:D=F109)))"),"Llantas")</f>
        <v>Llantas</v>
      </c>
      <c r="Q109" s="86" t="str">
        <f>IFERROR(__xludf.DUMMYFUNCTION("""COMPUTED_VALUE"""),"Ejes")</f>
        <v>Ejes</v>
      </c>
      <c r="R109" s="86" t="str">
        <f>IFERROR(__xludf.DUMMYFUNCTION("""COMPUTED_VALUE"""),"Elásticos")</f>
        <v>Elásticos</v>
      </c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</row>
    <row r="110">
      <c r="A110" s="4">
        <f t="shared" si="1"/>
        <v>109</v>
      </c>
      <c r="B110" s="4"/>
      <c r="C110" s="4"/>
      <c r="D110" s="4"/>
      <c r="E110" s="45" t="s">
        <v>141</v>
      </c>
      <c r="F110" s="2" t="s">
        <v>387</v>
      </c>
      <c r="G110" s="2" t="s">
        <v>119</v>
      </c>
      <c r="H110" s="2">
        <f>IF(G110="","",SUMIF(Familias!C:C,G110,Familias!E:E))</f>
        <v>2</v>
      </c>
      <c r="I110" s="4">
        <f>IF(A110="","",COUNTIF(Prod_Prop!B:B,A110))</f>
        <v>4</v>
      </c>
      <c r="J110" s="92" t="str">
        <f>IF(E110="","",IF(SUMIF(Precio_Productos!L:L,E110,Precio_Productos!J:J)=0,"Falta Precio",SUMIF(Precio_Productos!L:L,E110,Precio_Productos!J:J)))</f>
        <v>Falta Precio</v>
      </c>
      <c r="O110" s="86"/>
      <c r="P110" s="86" t="str">
        <f>IFERROR(__xludf.DUMMYFUNCTION("IF(OR(F110=""Selecciona.."",F110=""""),"""",TRANSPOSE(filter(Familias!C:C,Familias!D:D=F110)))"),"Llantas")</f>
        <v>Llantas</v>
      </c>
      <c r="Q110" s="86" t="str">
        <f>IFERROR(__xludf.DUMMYFUNCTION("""COMPUTED_VALUE"""),"Ejes")</f>
        <v>Ejes</v>
      </c>
      <c r="R110" s="86" t="str">
        <f>IFERROR(__xludf.DUMMYFUNCTION("""COMPUTED_VALUE"""),"Elásticos")</f>
        <v>Elásticos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</row>
    <row r="111">
      <c r="A111" s="4">
        <f t="shared" si="1"/>
        <v>110</v>
      </c>
      <c r="B111" s="4"/>
      <c r="C111" s="4"/>
      <c r="D111" s="4"/>
      <c r="E111" s="45" t="s">
        <v>129</v>
      </c>
      <c r="F111" s="2" t="s">
        <v>387</v>
      </c>
      <c r="G111" s="2" t="s">
        <v>118</v>
      </c>
      <c r="H111" s="2">
        <f>IF(G111="","",SUMIF(Familias!C:C,G111,Familias!E:E))</f>
        <v>1</v>
      </c>
      <c r="I111" s="4">
        <f>IF(A111="","",COUNTIF(Prod_Prop!B:B,A111))</f>
        <v>3</v>
      </c>
      <c r="J111" s="92">
        <f>IF(E111="","",IF(SUMIF(Precio_Productos!L:L,E111,Precio_Productos!J:J)=0,"Falta Precio",SUMIF(Precio_Productos!L:L,E111,Precio_Productos!J:J)))</f>
        <v>119200</v>
      </c>
      <c r="O111" s="86"/>
      <c r="P111" s="86" t="str">
        <f>IFERROR(__xludf.DUMMYFUNCTION("IF(OR(F111=""Selecciona.."",F111=""""),"""",TRANSPOSE(filter(Familias!C:C,Familias!D:D=F111)))"),"Llantas")</f>
        <v>Llantas</v>
      </c>
      <c r="Q111" s="86" t="str">
        <f>IFERROR(__xludf.DUMMYFUNCTION("""COMPUTED_VALUE"""),"Ejes")</f>
        <v>Ejes</v>
      </c>
      <c r="R111" s="86" t="str">
        <f>IFERROR(__xludf.DUMMYFUNCTION("""COMPUTED_VALUE"""),"Elásticos")</f>
        <v>Elásticos</v>
      </c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</row>
    <row r="112">
      <c r="A112" s="4">
        <f t="shared" si="1"/>
        <v>111</v>
      </c>
      <c r="B112" s="4"/>
      <c r="C112" s="4"/>
      <c r="D112" s="4"/>
      <c r="E112" s="45" t="s">
        <v>130</v>
      </c>
      <c r="F112" s="2" t="s">
        <v>387</v>
      </c>
      <c r="G112" s="2" t="s">
        <v>118</v>
      </c>
      <c r="H112" s="2">
        <f>IF(G112="","",SUMIF(Familias!C:C,G112,Familias!E:E))</f>
        <v>1</v>
      </c>
      <c r="I112" s="4">
        <f>IF(A112="","",COUNTIF(Prod_Prop!B:B,A112))</f>
        <v>3</v>
      </c>
      <c r="J112" s="92">
        <f>IF(E112="","",IF(SUMIF(Precio_Productos!L:L,E112,Precio_Productos!J:J)=0,"Falta Precio",SUMIF(Precio_Productos!L:L,E112,Precio_Productos!J:J)))</f>
        <v>139500</v>
      </c>
      <c r="O112" s="86"/>
      <c r="P112" s="86" t="str">
        <f>IFERROR(__xludf.DUMMYFUNCTION("IF(OR(F112=""Selecciona.."",F112=""""),"""",TRANSPOSE(filter(Familias!C:C,Familias!D:D=F112)))"),"Llantas")</f>
        <v>Llantas</v>
      </c>
      <c r="Q112" s="86" t="str">
        <f>IFERROR(__xludf.DUMMYFUNCTION("""COMPUTED_VALUE"""),"Ejes")</f>
        <v>Ejes</v>
      </c>
      <c r="R112" s="86" t="str">
        <f>IFERROR(__xludf.DUMMYFUNCTION("""COMPUTED_VALUE"""),"Elásticos")</f>
        <v>Elásticos</v>
      </c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</row>
    <row r="113">
      <c r="A113" s="4">
        <f t="shared" si="1"/>
        <v>112</v>
      </c>
      <c r="B113" s="4"/>
      <c r="C113" s="4"/>
      <c r="D113" s="4"/>
      <c r="E113" s="45" t="s">
        <v>45</v>
      </c>
      <c r="F113" s="2" t="s">
        <v>387</v>
      </c>
      <c r="G113" s="2" t="s">
        <v>118</v>
      </c>
      <c r="H113" s="2">
        <f>IF(G113="","",SUMIF(Familias!C:C,G113,Familias!E:E))</f>
        <v>1</v>
      </c>
      <c r="I113" s="4">
        <f>IF(A113="","",COUNTIF(Prod_Prop!B:B,A113))</f>
        <v>3</v>
      </c>
      <c r="J113" s="92">
        <f>IF(E113="","",IF(SUMIF(Precio_Productos!L:L,E113,Precio_Productos!J:J)=0,"Falta Precio",SUMIF(Precio_Productos!L:L,E113,Precio_Productos!J:J)))</f>
        <v>183666</v>
      </c>
      <c r="O113" s="86"/>
      <c r="P113" s="86" t="str">
        <f>IFERROR(__xludf.DUMMYFUNCTION("IF(OR(F113=""Selecciona.."",F113=""""),"""",TRANSPOSE(filter(Familias!C:C,Familias!D:D=F113)))"),"Llantas")</f>
        <v>Llantas</v>
      </c>
      <c r="Q113" s="86" t="str">
        <f>IFERROR(__xludf.DUMMYFUNCTION("""COMPUTED_VALUE"""),"Ejes")</f>
        <v>Ejes</v>
      </c>
      <c r="R113" s="86" t="str">
        <f>IFERROR(__xludf.DUMMYFUNCTION("""COMPUTED_VALUE"""),"Elásticos")</f>
        <v>Elásticos</v>
      </c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</row>
    <row r="114">
      <c r="A114" s="4">
        <f t="shared" si="1"/>
        <v>113</v>
      </c>
      <c r="B114" s="4"/>
      <c r="C114" s="4"/>
      <c r="D114" s="4"/>
      <c r="E114" s="45" t="s">
        <v>131</v>
      </c>
      <c r="F114" s="2" t="s">
        <v>387</v>
      </c>
      <c r="G114" s="2" t="s">
        <v>118</v>
      </c>
      <c r="H114" s="2">
        <f>IF(G114="","",SUMIF(Familias!C:C,G114,Familias!E:E))</f>
        <v>1</v>
      </c>
      <c r="I114" s="4">
        <f>IF(A114="","",COUNTIF(Prod_Prop!B:B,A114))</f>
        <v>3</v>
      </c>
      <c r="J114" s="92">
        <f>IF(E114="","",IF(SUMIF(Precio_Productos!L:L,E114,Precio_Productos!J:J)=0,"Falta Precio",SUMIF(Precio_Productos!L:L,E114,Precio_Productos!J:J)))</f>
        <v>183663</v>
      </c>
      <c r="O114" s="86"/>
      <c r="P114" s="86" t="str">
        <f>IFERROR(__xludf.DUMMYFUNCTION("IF(OR(F114=""Selecciona.."",F114=""""),"""",TRANSPOSE(filter(Familias!C:C,Familias!D:D=F114)))"),"Llantas")</f>
        <v>Llantas</v>
      </c>
      <c r="Q114" s="86" t="str">
        <f>IFERROR(__xludf.DUMMYFUNCTION("""COMPUTED_VALUE"""),"Ejes")</f>
        <v>Ejes</v>
      </c>
      <c r="R114" s="86" t="str">
        <f>IFERROR(__xludf.DUMMYFUNCTION("""COMPUTED_VALUE"""),"Elásticos")</f>
        <v>Elásticos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</row>
    <row r="115">
      <c r="A115" s="4">
        <f t="shared" si="1"/>
        <v>114</v>
      </c>
      <c r="B115" s="4"/>
      <c r="C115" s="4"/>
      <c r="D115" s="4"/>
      <c r="E115" s="45" t="s">
        <v>41</v>
      </c>
      <c r="F115" s="2" t="s">
        <v>387</v>
      </c>
      <c r="G115" s="2" t="s">
        <v>118</v>
      </c>
      <c r="H115" s="2">
        <f>IF(G115="","",SUMIF(Familias!C:C,G115,Familias!E:E))</f>
        <v>1</v>
      </c>
      <c r="I115" s="4">
        <f>IF(A115="","",COUNTIF(Prod_Prop!B:B,A115))</f>
        <v>3</v>
      </c>
      <c r="J115" s="92">
        <f>IF(E115="","",IF(SUMIF(Precio_Productos!L:L,E115,Precio_Productos!J:J)=0,"Falta Precio",SUMIF(Precio_Productos!L:L,E115,Precio_Productos!J:J)))</f>
        <v>139500</v>
      </c>
      <c r="O115" s="86"/>
      <c r="P115" s="86" t="str">
        <f>IFERROR(__xludf.DUMMYFUNCTION("IF(OR(F115=""Selecciona.."",F115=""""),"""",TRANSPOSE(filter(Familias!C:C,Familias!D:D=F115)))"),"Llantas")</f>
        <v>Llantas</v>
      </c>
      <c r="Q115" s="86" t="str">
        <f>IFERROR(__xludf.DUMMYFUNCTION("""COMPUTED_VALUE"""),"Ejes")</f>
        <v>Ejes</v>
      </c>
      <c r="R115" s="86" t="str">
        <f>IFERROR(__xludf.DUMMYFUNCTION("""COMPUTED_VALUE"""),"Elásticos")</f>
        <v>Elásticos</v>
      </c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</row>
    <row r="116">
      <c r="A116" s="4">
        <f t="shared" si="1"/>
        <v>115</v>
      </c>
      <c r="B116" s="4"/>
      <c r="C116" s="4"/>
      <c r="D116" s="4"/>
      <c r="E116" s="45" t="s">
        <v>43</v>
      </c>
      <c r="F116" s="2" t="s">
        <v>387</v>
      </c>
      <c r="G116" s="2" t="s">
        <v>118</v>
      </c>
      <c r="H116" s="2">
        <f>IF(G116="","",SUMIF(Familias!C:C,G116,Familias!E:E))</f>
        <v>1</v>
      </c>
      <c r="I116" s="4">
        <f>IF(A116="","",COUNTIF(Prod_Prop!B:B,A116))</f>
        <v>3</v>
      </c>
      <c r="J116" s="92">
        <f>IF(E116="","",IF(SUMIF(Precio_Productos!L:L,E116,Precio_Productos!J:J)=0,"Falta Precio",SUMIF(Precio_Productos!L:L,E116,Precio_Productos!J:J)))</f>
        <v>165000</v>
      </c>
      <c r="O116" s="86"/>
      <c r="P116" s="86" t="str">
        <f>IFERROR(__xludf.DUMMYFUNCTION("IF(OR(F116=""Selecciona.."",F116=""""),"""",TRANSPOSE(filter(Familias!C:C,Familias!D:D=F116)))"),"Llantas")</f>
        <v>Llantas</v>
      </c>
      <c r="Q116" s="86" t="str">
        <f>IFERROR(__xludf.DUMMYFUNCTION("""COMPUTED_VALUE"""),"Ejes")</f>
        <v>Ejes</v>
      </c>
      <c r="R116" s="86" t="str">
        <f>IFERROR(__xludf.DUMMYFUNCTION("""COMPUTED_VALUE"""),"Elásticos")</f>
        <v>Elásticos</v>
      </c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</row>
    <row r="117">
      <c r="A117" s="4">
        <f t="shared" si="1"/>
        <v>116</v>
      </c>
      <c r="B117" s="4"/>
      <c r="C117" s="4"/>
      <c r="D117" s="4"/>
      <c r="E117" s="45" t="s">
        <v>142</v>
      </c>
      <c r="F117" s="2" t="s">
        <v>387</v>
      </c>
      <c r="G117" s="2" t="s">
        <v>119</v>
      </c>
      <c r="H117" s="2">
        <f>IF(G117="","",SUMIF(Familias!C:C,G117,Familias!E:E))</f>
        <v>2</v>
      </c>
      <c r="I117" s="4">
        <f>IF(A117="","",COUNTIF(Prod_Prop!B:B,A117))</f>
        <v>4</v>
      </c>
      <c r="J117" s="92">
        <f>IF(E117="","",IF(SUMIF(Precio_Productos!L:L,E117,Precio_Productos!J:J)=0,"Falta Precio",SUMIF(Precio_Productos!L:L,E117,Precio_Productos!J:J)))</f>
        <v>351000</v>
      </c>
      <c r="O117" s="86"/>
      <c r="P117" s="86" t="str">
        <f>IFERROR(__xludf.DUMMYFUNCTION("IF(OR(F117=""Selecciona.."",F117=""""),"""",TRANSPOSE(filter(Familias!C:C,Familias!D:D=F117)))"),"Llantas")</f>
        <v>Llantas</v>
      </c>
      <c r="Q117" s="86" t="str">
        <f>IFERROR(__xludf.DUMMYFUNCTION("""COMPUTED_VALUE"""),"Ejes")</f>
        <v>Ejes</v>
      </c>
      <c r="R117" s="86" t="str">
        <f>IFERROR(__xludf.DUMMYFUNCTION("""COMPUTED_VALUE"""),"Elásticos")</f>
        <v>Elásticos</v>
      </c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</row>
    <row r="118">
      <c r="A118" s="4">
        <f t="shared" si="1"/>
        <v>117</v>
      </c>
      <c r="B118" s="4"/>
      <c r="C118" s="4"/>
      <c r="D118" s="4"/>
      <c r="E118" s="45" t="s">
        <v>128</v>
      </c>
      <c r="F118" s="2" t="s">
        <v>387</v>
      </c>
      <c r="G118" s="2" t="s">
        <v>98</v>
      </c>
      <c r="H118" s="2">
        <f>IF(G118="","",SUMIF(Familias!C:C,G118,Familias!E:E))</f>
        <v>3</v>
      </c>
      <c r="I118" s="4">
        <f>IF(A118="","",COUNTIF(Prod_Prop!B:B,A118))</f>
        <v>2</v>
      </c>
      <c r="J118" s="92" t="str">
        <f>IF(E118="","",IF(SUMIF(Precio_Productos!L:L,E118,Precio_Productos!J:J)=0,"Falta Precio",SUMIF(Precio_Productos!L:L,E118,Precio_Productos!J:J)))</f>
        <v>Falta Precio</v>
      </c>
      <c r="O118" s="86"/>
      <c r="P118" s="86" t="str">
        <f>IFERROR(__xludf.DUMMYFUNCTION("IF(OR(F118=""Selecciona.."",F118=""""),"""",TRANSPOSE(filter(Familias!C:C,Familias!D:D=F118)))"),"Llantas")</f>
        <v>Llantas</v>
      </c>
      <c r="Q118" s="86" t="str">
        <f>IFERROR(__xludf.DUMMYFUNCTION("""COMPUTED_VALUE"""),"Ejes")</f>
        <v>Ejes</v>
      </c>
      <c r="R118" s="86" t="str">
        <f>IFERROR(__xludf.DUMMYFUNCTION("""COMPUTED_VALUE"""),"Elásticos")</f>
        <v>Elásticos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</row>
    <row r="119">
      <c r="A119" s="4">
        <f t="shared" si="1"/>
        <v>118</v>
      </c>
      <c r="B119" s="4"/>
      <c r="C119" s="2" t="s">
        <v>508</v>
      </c>
      <c r="D119" s="4"/>
      <c r="E119" s="45" t="s">
        <v>160</v>
      </c>
      <c r="F119" s="2" t="s">
        <v>28</v>
      </c>
      <c r="G119" s="2" t="s">
        <v>432</v>
      </c>
      <c r="H119" s="2">
        <f>IF(G119="","",SUMIF(Familias!C:C,G119,Familias!E:E))</f>
        <v>1</v>
      </c>
      <c r="I119" s="4">
        <f>IF(A119="","",COUNTIF(Prod_Prop!B:B,A119))</f>
        <v>0</v>
      </c>
      <c r="J119" s="92">
        <f>IF(E119="","",IF(SUMIF(Precio_Productos!L:L,E119,Precio_Productos!J:J)=0,"Falta Precio",SUMIF(Precio_Productos!L:L,E119,Precio_Productos!J:J)))</f>
        <v>2719611</v>
      </c>
      <c r="O119" s="86"/>
      <c r="P119" s="86" t="str">
        <f>IFERROR(__xludf.DUMMYFUNCTION("IF(OR(F119=""Selecciona.."",F119=""""),"""",TRANSPOSE(filter(Familias!C:C,Familias!D:D=F119)))"),"Chasis Acoplados 1 Ejes")</f>
        <v>Chasis Acoplados 1 Ejes</v>
      </c>
      <c r="Q119" s="86" t="str">
        <f>IFERROR(__xludf.DUMMYFUNCTION("""COMPUTED_VALUE"""),"Chasis Acoplados 2 Ejes")</f>
        <v>Chasis Acoplados 2 Ejes</v>
      </c>
      <c r="R119" s="86" t="str">
        <f>IFERROR(__xludf.DUMMYFUNCTION("""COMPUTED_VALUE"""),"Chasis Acoplados Balancin")</f>
        <v>Chasis Acoplados Balancin</v>
      </c>
      <c r="S119" s="86" t="str">
        <f>IFERROR(__xludf.DUMMYFUNCTION("""COMPUTED_VALUE"""),"Cajones para Acoplados")</f>
        <v>Cajones para Acoplados</v>
      </c>
      <c r="T119" s="86" t="str">
        <f>IFERROR(__xludf.DUMMYFUNCTION("""COMPUTED_VALUE"""),"Cajones Laterales para Acoplados")</f>
        <v>Cajones Laterales para Acoplados</v>
      </c>
      <c r="U119" s="86" t="str">
        <f>IFERROR(__xludf.DUMMYFUNCTION("""COMPUTED_VALUE"""),"Tanques Metálicos para Acoplados")</f>
        <v>Tanques Metálicos para Acoplados</v>
      </c>
      <c r="V119" s="86" t="str">
        <f>IFERROR(__xludf.DUMMYFUNCTION("""COMPUTED_VALUE"""),"Tanques Plásticos para Acoplados")</f>
        <v>Tanques Plásticos para Acoplados</v>
      </c>
      <c r="W119" s="86" t="str">
        <f>IFERROR(__xludf.DUMMYFUNCTION("""COMPUTED_VALUE"""),"Playos para Acoplados")</f>
        <v>Playos para Acoplados</v>
      </c>
      <c r="X119" s="86"/>
      <c r="Y119" s="86"/>
      <c r="Z119" s="86"/>
      <c r="AA119" s="86"/>
      <c r="AB119" s="86"/>
      <c r="AC119" s="86"/>
      <c r="AD119" s="86"/>
      <c r="AE119" s="86"/>
    </row>
    <row r="120">
      <c r="A120" s="4">
        <f t="shared" si="1"/>
        <v>119</v>
      </c>
      <c r="B120" s="4"/>
      <c r="C120" s="2" t="s">
        <v>509</v>
      </c>
      <c r="D120" s="4"/>
      <c r="E120" s="45" t="s">
        <v>510</v>
      </c>
      <c r="F120" s="2" t="s">
        <v>28</v>
      </c>
      <c r="G120" s="2" t="s">
        <v>432</v>
      </c>
      <c r="H120" s="2">
        <f>IF(G120="","",SUMIF(Familias!C:C,G120,Familias!E:E))</f>
        <v>1</v>
      </c>
      <c r="I120" s="4">
        <f>IF(A120="","",COUNTIF(Prod_Prop!B:B,A120))</f>
        <v>0</v>
      </c>
      <c r="J120" s="92" t="str">
        <f>IF(E120="","",IF(SUMIF(Precio_Productos!L:L,E120,Precio_Productos!J:J)=0,"Falta Precio",SUMIF(Precio_Productos!L:L,E120,Precio_Productos!J:J)))</f>
        <v>Falta Precio</v>
      </c>
      <c r="O120" s="86"/>
      <c r="P120" s="86" t="str">
        <f>IFERROR(__xludf.DUMMYFUNCTION("IF(OR(F120=""Selecciona.."",F120=""""),"""",TRANSPOSE(filter(Familias!C:C,Familias!D:D=F120)))"),"Chasis Acoplados 1 Ejes")</f>
        <v>Chasis Acoplados 1 Ejes</v>
      </c>
      <c r="Q120" s="86" t="str">
        <f>IFERROR(__xludf.DUMMYFUNCTION("""COMPUTED_VALUE"""),"Chasis Acoplados 2 Ejes")</f>
        <v>Chasis Acoplados 2 Ejes</v>
      </c>
      <c r="R120" s="86" t="str">
        <f>IFERROR(__xludf.DUMMYFUNCTION("""COMPUTED_VALUE"""),"Chasis Acoplados Balancin")</f>
        <v>Chasis Acoplados Balancin</v>
      </c>
      <c r="S120" s="86" t="str">
        <f>IFERROR(__xludf.DUMMYFUNCTION("""COMPUTED_VALUE"""),"Cajones para Acoplados")</f>
        <v>Cajones para Acoplados</v>
      </c>
      <c r="T120" s="86" t="str">
        <f>IFERROR(__xludf.DUMMYFUNCTION("""COMPUTED_VALUE"""),"Cajones Laterales para Acoplados")</f>
        <v>Cajones Laterales para Acoplados</v>
      </c>
      <c r="U120" s="86" t="str">
        <f>IFERROR(__xludf.DUMMYFUNCTION("""COMPUTED_VALUE"""),"Tanques Metálicos para Acoplados")</f>
        <v>Tanques Metálicos para Acoplados</v>
      </c>
      <c r="V120" s="86" t="str">
        <f>IFERROR(__xludf.DUMMYFUNCTION("""COMPUTED_VALUE"""),"Tanques Plásticos para Acoplados")</f>
        <v>Tanques Plásticos para Acoplados</v>
      </c>
      <c r="W120" s="86" t="str">
        <f>IFERROR(__xludf.DUMMYFUNCTION("""COMPUTED_VALUE"""),"Playos para Acoplados")</f>
        <v>Playos para Acoplados</v>
      </c>
      <c r="X120" s="86"/>
      <c r="Y120" s="86"/>
      <c r="Z120" s="86"/>
      <c r="AA120" s="86"/>
      <c r="AB120" s="86"/>
      <c r="AC120" s="86"/>
      <c r="AD120" s="86"/>
      <c r="AE120" s="86"/>
    </row>
    <row r="121">
      <c r="A121" s="4">
        <f t="shared" si="1"/>
        <v>120</v>
      </c>
      <c r="B121" s="4"/>
      <c r="C121" s="2" t="s">
        <v>511</v>
      </c>
      <c r="D121" s="4"/>
      <c r="E121" s="45" t="s">
        <v>161</v>
      </c>
      <c r="F121" s="2" t="s">
        <v>28</v>
      </c>
      <c r="G121" s="2" t="s">
        <v>432</v>
      </c>
      <c r="H121" s="2">
        <f>IF(G121="","",SUMIF(Familias!C:C,G121,Familias!E:E))</f>
        <v>1</v>
      </c>
      <c r="I121" s="4">
        <f>IF(A121="","",COUNTIF(Prod_Prop!B:B,A121))</f>
        <v>0</v>
      </c>
      <c r="J121" s="92">
        <f>IF(E121="","",IF(SUMIF(Precio_Productos!L:L,E121,Precio_Productos!J:J)=0,"Falta Precio",SUMIF(Precio_Productos!L:L,E121,Precio_Productos!J:J)))</f>
        <v>2719611</v>
      </c>
      <c r="O121" s="86"/>
      <c r="P121" s="86" t="str">
        <f>IFERROR(__xludf.DUMMYFUNCTION("IF(OR(F121=""Selecciona.."",F121=""""),"""",TRANSPOSE(filter(Familias!C:C,Familias!D:D=F121)))"),"Chasis Acoplados 1 Ejes")</f>
        <v>Chasis Acoplados 1 Ejes</v>
      </c>
      <c r="Q121" s="86" t="str">
        <f>IFERROR(__xludf.DUMMYFUNCTION("""COMPUTED_VALUE"""),"Chasis Acoplados 2 Ejes")</f>
        <v>Chasis Acoplados 2 Ejes</v>
      </c>
      <c r="R121" s="86" t="str">
        <f>IFERROR(__xludf.DUMMYFUNCTION("""COMPUTED_VALUE"""),"Chasis Acoplados Balancin")</f>
        <v>Chasis Acoplados Balancin</v>
      </c>
      <c r="S121" s="86" t="str">
        <f>IFERROR(__xludf.DUMMYFUNCTION("""COMPUTED_VALUE"""),"Cajones para Acoplados")</f>
        <v>Cajones para Acoplados</v>
      </c>
      <c r="T121" s="86" t="str">
        <f>IFERROR(__xludf.DUMMYFUNCTION("""COMPUTED_VALUE"""),"Cajones Laterales para Acoplados")</f>
        <v>Cajones Laterales para Acoplados</v>
      </c>
      <c r="U121" s="86" t="str">
        <f>IFERROR(__xludf.DUMMYFUNCTION("""COMPUTED_VALUE"""),"Tanques Metálicos para Acoplados")</f>
        <v>Tanques Metálicos para Acoplados</v>
      </c>
      <c r="V121" s="86" t="str">
        <f>IFERROR(__xludf.DUMMYFUNCTION("""COMPUTED_VALUE"""),"Tanques Plásticos para Acoplados")</f>
        <v>Tanques Plásticos para Acoplados</v>
      </c>
      <c r="W121" s="86" t="str">
        <f>IFERROR(__xludf.DUMMYFUNCTION("""COMPUTED_VALUE"""),"Playos para Acoplados")</f>
        <v>Playos para Acoplados</v>
      </c>
      <c r="X121" s="86"/>
      <c r="Y121" s="86"/>
      <c r="Z121" s="86"/>
      <c r="AA121" s="86"/>
      <c r="AB121" s="86"/>
      <c r="AC121" s="86"/>
      <c r="AD121" s="86"/>
      <c r="AE121" s="86"/>
    </row>
    <row r="122">
      <c r="A122" s="4">
        <f t="shared" si="1"/>
        <v>121</v>
      </c>
      <c r="B122" s="4"/>
      <c r="C122" s="2" t="s">
        <v>512</v>
      </c>
      <c r="D122" s="4"/>
      <c r="E122" s="45" t="s">
        <v>163</v>
      </c>
      <c r="F122" s="2" t="s">
        <v>28</v>
      </c>
      <c r="G122" s="2" t="s">
        <v>432</v>
      </c>
      <c r="H122" s="2">
        <f>IF(G122="","",SUMIF(Familias!C:C,G122,Familias!E:E))</f>
        <v>1</v>
      </c>
      <c r="I122" s="4">
        <f>IF(A122="","",COUNTIF(Prod_Prop!B:B,A122))</f>
        <v>0</v>
      </c>
      <c r="J122" s="92">
        <f>IF(E122="","",IF(SUMIF(Precio_Productos!L:L,E122,Precio_Productos!J:J)=0,"Falta Precio",SUMIF(Precio_Productos!L:L,E122,Precio_Productos!J:J)))</f>
        <v>2639644</v>
      </c>
      <c r="O122" s="86"/>
      <c r="P122" s="86" t="str">
        <f>IFERROR(__xludf.DUMMYFUNCTION("IF(OR(F122=""Selecciona.."",F122=""""),"""",TRANSPOSE(filter(Familias!C:C,Familias!D:D=F122)))"),"Chasis Acoplados 1 Ejes")</f>
        <v>Chasis Acoplados 1 Ejes</v>
      </c>
      <c r="Q122" s="86" t="str">
        <f>IFERROR(__xludf.DUMMYFUNCTION("""COMPUTED_VALUE"""),"Chasis Acoplados 2 Ejes")</f>
        <v>Chasis Acoplados 2 Ejes</v>
      </c>
      <c r="R122" s="86" t="str">
        <f>IFERROR(__xludf.DUMMYFUNCTION("""COMPUTED_VALUE"""),"Chasis Acoplados Balancin")</f>
        <v>Chasis Acoplados Balancin</v>
      </c>
      <c r="S122" s="86" t="str">
        <f>IFERROR(__xludf.DUMMYFUNCTION("""COMPUTED_VALUE"""),"Cajones para Acoplados")</f>
        <v>Cajones para Acoplados</v>
      </c>
      <c r="T122" s="86" t="str">
        <f>IFERROR(__xludf.DUMMYFUNCTION("""COMPUTED_VALUE"""),"Cajones Laterales para Acoplados")</f>
        <v>Cajones Laterales para Acoplados</v>
      </c>
      <c r="U122" s="86" t="str">
        <f>IFERROR(__xludf.DUMMYFUNCTION("""COMPUTED_VALUE"""),"Tanques Metálicos para Acoplados")</f>
        <v>Tanques Metálicos para Acoplados</v>
      </c>
      <c r="V122" s="86" t="str">
        <f>IFERROR(__xludf.DUMMYFUNCTION("""COMPUTED_VALUE"""),"Tanques Plásticos para Acoplados")</f>
        <v>Tanques Plásticos para Acoplados</v>
      </c>
      <c r="W122" s="86" t="str">
        <f>IFERROR(__xludf.DUMMYFUNCTION("""COMPUTED_VALUE"""),"Playos para Acoplados")</f>
        <v>Playos para Acoplados</v>
      </c>
      <c r="X122" s="86"/>
      <c r="Y122" s="86"/>
      <c r="Z122" s="86"/>
      <c r="AA122" s="86"/>
      <c r="AB122" s="86"/>
      <c r="AC122" s="86"/>
      <c r="AD122" s="86"/>
      <c r="AE122" s="86"/>
    </row>
    <row r="123">
      <c r="A123" s="4">
        <f t="shared" si="1"/>
        <v>122</v>
      </c>
      <c r="B123" s="4"/>
      <c r="C123" s="2" t="s">
        <v>513</v>
      </c>
      <c r="D123" s="4"/>
      <c r="E123" s="45" t="s">
        <v>514</v>
      </c>
      <c r="F123" s="2" t="s">
        <v>28</v>
      </c>
      <c r="G123" s="2" t="s">
        <v>432</v>
      </c>
      <c r="H123" s="2">
        <f>IF(G123="","",SUMIF(Familias!C:C,G123,Familias!E:E))</f>
        <v>1</v>
      </c>
      <c r="I123" s="4">
        <f>IF(A123="","",COUNTIF(Prod_Prop!B:B,A123))</f>
        <v>0</v>
      </c>
      <c r="J123" s="92" t="str">
        <f>IF(E123="","",IF(SUMIF(Precio_Productos!L:L,E123,Precio_Productos!J:J)=0,"Falta Precio",SUMIF(Precio_Productos!L:L,E123,Precio_Productos!J:J)))</f>
        <v>Falta Precio</v>
      </c>
      <c r="O123" s="86"/>
      <c r="P123" s="86" t="str">
        <f>IFERROR(__xludf.DUMMYFUNCTION("IF(OR(F123=""Selecciona.."",F123=""""),"""",TRANSPOSE(filter(Familias!C:C,Familias!D:D=F123)))"),"Chasis Acoplados 1 Ejes")</f>
        <v>Chasis Acoplados 1 Ejes</v>
      </c>
      <c r="Q123" s="86" t="str">
        <f>IFERROR(__xludf.DUMMYFUNCTION("""COMPUTED_VALUE"""),"Chasis Acoplados 2 Ejes")</f>
        <v>Chasis Acoplados 2 Ejes</v>
      </c>
      <c r="R123" s="86" t="str">
        <f>IFERROR(__xludf.DUMMYFUNCTION("""COMPUTED_VALUE"""),"Chasis Acoplados Balancin")</f>
        <v>Chasis Acoplados Balancin</v>
      </c>
      <c r="S123" s="86" t="str">
        <f>IFERROR(__xludf.DUMMYFUNCTION("""COMPUTED_VALUE"""),"Cajones para Acoplados")</f>
        <v>Cajones para Acoplados</v>
      </c>
      <c r="T123" s="86" t="str">
        <f>IFERROR(__xludf.DUMMYFUNCTION("""COMPUTED_VALUE"""),"Cajones Laterales para Acoplados")</f>
        <v>Cajones Laterales para Acoplados</v>
      </c>
      <c r="U123" s="86" t="str">
        <f>IFERROR(__xludf.DUMMYFUNCTION("""COMPUTED_VALUE"""),"Tanques Metálicos para Acoplados")</f>
        <v>Tanques Metálicos para Acoplados</v>
      </c>
      <c r="V123" s="86" t="str">
        <f>IFERROR(__xludf.DUMMYFUNCTION("""COMPUTED_VALUE"""),"Tanques Plásticos para Acoplados")</f>
        <v>Tanques Plásticos para Acoplados</v>
      </c>
      <c r="W123" s="86" t="str">
        <f>IFERROR(__xludf.DUMMYFUNCTION("""COMPUTED_VALUE"""),"Playos para Acoplados")</f>
        <v>Playos para Acoplados</v>
      </c>
      <c r="X123" s="86"/>
      <c r="Y123" s="86"/>
      <c r="Z123" s="86"/>
      <c r="AA123" s="86"/>
      <c r="AB123" s="86"/>
      <c r="AC123" s="86"/>
      <c r="AD123" s="86"/>
      <c r="AE123" s="86"/>
    </row>
    <row r="124">
      <c r="A124" s="4">
        <f t="shared" si="1"/>
        <v>123</v>
      </c>
      <c r="B124" s="4"/>
      <c r="C124" s="2" t="s">
        <v>515</v>
      </c>
      <c r="D124" s="4"/>
      <c r="E124" s="45" t="s">
        <v>516</v>
      </c>
      <c r="F124" s="2" t="s">
        <v>28</v>
      </c>
      <c r="G124" s="2" t="s">
        <v>432</v>
      </c>
      <c r="H124" s="2">
        <f>IF(G124="","",SUMIF(Familias!C:C,G124,Familias!E:E))</f>
        <v>1</v>
      </c>
      <c r="I124" s="4">
        <f>IF(A124="","",COUNTIF(Prod_Prop!B:B,A124))</f>
        <v>0</v>
      </c>
      <c r="J124" s="92" t="str">
        <f>IF(E124="","",IF(SUMIF(Precio_Productos!L:L,E124,Precio_Productos!J:J)=0,"Falta Precio",SUMIF(Precio_Productos!L:L,E124,Precio_Productos!J:J)))</f>
        <v>Falta Precio</v>
      </c>
      <c r="O124" s="86"/>
      <c r="P124" s="86" t="str">
        <f>IFERROR(__xludf.DUMMYFUNCTION("IF(OR(F124=""Selecciona.."",F124=""""),"""",TRANSPOSE(filter(Familias!C:C,Familias!D:D=F124)))"),"Chasis Acoplados 1 Ejes")</f>
        <v>Chasis Acoplados 1 Ejes</v>
      </c>
      <c r="Q124" s="86" t="str">
        <f>IFERROR(__xludf.DUMMYFUNCTION("""COMPUTED_VALUE"""),"Chasis Acoplados 2 Ejes")</f>
        <v>Chasis Acoplados 2 Ejes</v>
      </c>
      <c r="R124" s="86" t="str">
        <f>IFERROR(__xludf.DUMMYFUNCTION("""COMPUTED_VALUE"""),"Chasis Acoplados Balancin")</f>
        <v>Chasis Acoplados Balancin</v>
      </c>
      <c r="S124" s="86" t="str">
        <f>IFERROR(__xludf.DUMMYFUNCTION("""COMPUTED_VALUE"""),"Cajones para Acoplados")</f>
        <v>Cajones para Acoplados</v>
      </c>
      <c r="T124" s="86" t="str">
        <f>IFERROR(__xludf.DUMMYFUNCTION("""COMPUTED_VALUE"""),"Cajones Laterales para Acoplados")</f>
        <v>Cajones Laterales para Acoplados</v>
      </c>
      <c r="U124" s="86" t="str">
        <f>IFERROR(__xludf.DUMMYFUNCTION("""COMPUTED_VALUE"""),"Tanques Metálicos para Acoplados")</f>
        <v>Tanques Metálicos para Acoplados</v>
      </c>
      <c r="V124" s="86" t="str">
        <f>IFERROR(__xludf.DUMMYFUNCTION("""COMPUTED_VALUE"""),"Tanques Plásticos para Acoplados")</f>
        <v>Tanques Plásticos para Acoplados</v>
      </c>
      <c r="W124" s="86" t="str">
        <f>IFERROR(__xludf.DUMMYFUNCTION("""COMPUTED_VALUE"""),"Playos para Acoplados")</f>
        <v>Playos para Acoplados</v>
      </c>
      <c r="X124" s="86"/>
      <c r="Y124" s="86"/>
      <c r="Z124" s="86"/>
      <c r="AA124" s="86"/>
      <c r="AB124" s="86"/>
      <c r="AC124" s="86"/>
      <c r="AD124" s="86"/>
      <c r="AE124" s="86"/>
    </row>
    <row r="125">
      <c r="A125" s="4">
        <f t="shared" si="1"/>
        <v>124</v>
      </c>
      <c r="B125" s="4"/>
      <c r="C125" s="2" t="s">
        <v>517</v>
      </c>
      <c r="D125" s="4"/>
      <c r="E125" s="45" t="s">
        <v>518</v>
      </c>
      <c r="F125" s="2" t="s">
        <v>28</v>
      </c>
      <c r="G125" s="2" t="s">
        <v>432</v>
      </c>
      <c r="H125" s="2">
        <f>IF(G125="","",SUMIF(Familias!C:C,G125,Familias!E:E))</f>
        <v>1</v>
      </c>
      <c r="I125" s="4">
        <f>IF(A125="","",COUNTIF(Prod_Prop!B:B,A125))</f>
        <v>0</v>
      </c>
      <c r="J125" s="92" t="str">
        <f>IF(E125="","",IF(SUMIF(Precio_Productos!L:L,E125,Precio_Productos!J:J)=0,"Falta Precio",SUMIF(Precio_Productos!L:L,E125,Precio_Productos!J:J)))</f>
        <v>Falta Precio</v>
      </c>
      <c r="O125" s="86"/>
      <c r="P125" s="86" t="str">
        <f>IFERROR(__xludf.DUMMYFUNCTION("IF(OR(F125=""Selecciona.."",F125=""""),"""",TRANSPOSE(filter(Familias!C:C,Familias!D:D=F125)))"),"Chasis Acoplados 1 Ejes")</f>
        <v>Chasis Acoplados 1 Ejes</v>
      </c>
      <c r="Q125" s="86" t="str">
        <f>IFERROR(__xludf.DUMMYFUNCTION("""COMPUTED_VALUE"""),"Chasis Acoplados 2 Ejes")</f>
        <v>Chasis Acoplados 2 Ejes</v>
      </c>
      <c r="R125" s="86" t="str">
        <f>IFERROR(__xludf.DUMMYFUNCTION("""COMPUTED_VALUE"""),"Chasis Acoplados Balancin")</f>
        <v>Chasis Acoplados Balancin</v>
      </c>
      <c r="S125" s="86" t="str">
        <f>IFERROR(__xludf.DUMMYFUNCTION("""COMPUTED_VALUE"""),"Cajones para Acoplados")</f>
        <v>Cajones para Acoplados</v>
      </c>
      <c r="T125" s="86" t="str">
        <f>IFERROR(__xludf.DUMMYFUNCTION("""COMPUTED_VALUE"""),"Cajones Laterales para Acoplados")</f>
        <v>Cajones Laterales para Acoplados</v>
      </c>
      <c r="U125" s="86" t="str">
        <f>IFERROR(__xludf.DUMMYFUNCTION("""COMPUTED_VALUE"""),"Tanques Metálicos para Acoplados")</f>
        <v>Tanques Metálicos para Acoplados</v>
      </c>
      <c r="V125" s="86" t="str">
        <f>IFERROR(__xludf.DUMMYFUNCTION("""COMPUTED_VALUE"""),"Tanques Plásticos para Acoplados")</f>
        <v>Tanques Plásticos para Acoplados</v>
      </c>
      <c r="W125" s="86" t="str">
        <f>IFERROR(__xludf.DUMMYFUNCTION("""COMPUTED_VALUE"""),"Playos para Acoplados")</f>
        <v>Playos para Acoplados</v>
      </c>
      <c r="X125" s="86"/>
      <c r="Y125" s="86"/>
      <c r="Z125" s="86"/>
      <c r="AA125" s="86"/>
      <c r="AB125" s="86"/>
      <c r="AC125" s="86"/>
      <c r="AD125" s="86"/>
      <c r="AE125" s="86"/>
    </row>
    <row r="126">
      <c r="A126" s="4">
        <f t="shared" si="1"/>
        <v>125</v>
      </c>
      <c r="B126" s="4"/>
      <c r="C126" s="2" t="s">
        <v>519</v>
      </c>
      <c r="D126" s="4"/>
      <c r="E126" s="45" t="s">
        <v>520</v>
      </c>
      <c r="F126" s="2" t="s">
        <v>28</v>
      </c>
      <c r="G126" s="2" t="s">
        <v>432</v>
      </c>
      <c r="H126" s="2">
        <f>IF(G126="","",SUMIF(Familias!C:C,G126,Familias!E:E))</f>
        <v>1</v>
      </c>
      <c r="I126" s="4">
        <f>IF(A126="","",COUNTIF(Prod_Prop!B:B,A126))</f>
        <v>0</v>
      </c>
      <c r="J126" s="92" t="str">
        <f>IF(E126="","",IF(SUMIF(Precio_Productos!L:L,E126,Precio_Productos!J:J)=0,"Falta Precio",SUMIF(Precio_Productos!L:L,E126,Precio_Productos!J:J)))</f>
        <v>Falta Precio</v>
      </c>
      <c r="O126" s="86"/>
      <c r="P126" s="86" t="str">
        <f>IFERROR(__xludf.DUMMYFUNCTION("IF(OR(F126=""Selecciona.."",F126=""""),"""",TRANSPOSE(filter(Familias!C:C,Familias!D:D=F126)))"),"Chasis Acoplados 1 Ejes")</f>
        <v>Chasis Acoplados 1 Ejes</v>
      </c>
      <c r="Q126" s="86" t="str">
        <f>IFERROR(__xludf.DUMMYFUNCTION("""COMPUTED_VALUE"""),"Chasis Acoplados 2 Ejes")</f>
        <v>Chasis Acoplados 2 Ejes</v>
      </c>
      <c r="R126" s="86" t="str">
        <f>IFERROR(__xludf.DUMMYFUNCTION("""COMPUTED_VALUE"""),"Chasis Acoplados Balancin")</f>
        <v>Chasis Acoplados Balancin</v>
      </c>
      <c r="S126" s="86" t="str">
        <f>IFERROR(__xludf.DUMMYFUNCTION("""COMPUTED_VALUE"""),"Cajones para Acoplados")</f>
        <v>Cajones para Acoplados</v>
      </c>
      <c r="T126" s="86" t="str">
        <f>IFERROR(__xludf.DUMMYFUNCTION("""COMPUTED_VALUE"""),"Cajones Laterales para Acoplados")</f>
        <v>Cajones Laterales para Acoplados</v>
      </c>
      <c r="U126" s="86" t="str">
        <f>IFERROR(__xludf.DUMMYFUNCTION("""COMPUTED_VALUE"""),"Tanques Metálicos para Acoplados")</f>
        <v>Tanques Metálicos para Acoplados</v>
      </c>
      <c r="V126" s="86" t="str">
        <f>IFERROR(__xludf.DUMMYFUNCTION("""COMPUTED_VALUE"""),"Tanques Plásticos para Acoplados")</f>
        <v>Tanques Plásticos para Acoplados</v>
      </c>
      <c r="W126" s="86" t="str">
        <f>IFERROR(__xludf.DUMMYFUNCTION("""COMPUTED_VALUE"""),"Playos para Acoplados")</f>
        <v>Playos para Acoplados</v>
      </c>
      <c r="X126" s="86"/>
      <c r="Y126" s="86"/>
      <c r="Z126" s="86"/>
      <c r="AA126" s="86"/>
      <c r="AB126" s="86"/>
      <c r="AC126" s="86"/>
      <c r="AD126" s="86"/>
      <c r="AE126" s="86"/>
    </row>
    <row r="127">
      <c r="A127" s="4">
        <f t="shared" si="1"/>
        <v>126</v>
      </c>
      <c r="B127" s="4"/>
      <c r="C127" s="2" t="s">
        <v>521</v>
      </c>
      <c r="D127" s="4"/>
      <c r="E127" s="45" t="s">
        <v>522</v>
      </c>
      <c r="F127" s="2" t="s">
        <v>28</v>
      </c>
      <c r="G127" s="2" t="s">
        <v>432</v>
      </c>
      <c r="H127" s="2">
        <f>IF(G127="","",SUMIF(Familias!C:C,G127,Familias!E:E))</f>
        <v>1</v>
      </c>
      <c r="I127" s="4">
        <f>IF(A127="","",COUNTIF(Prod_Prop!B:B,A127))</f>
        <v>0</v>
      </c>
      <c r="J127" s="92" t="str">
        <f>IF(E127="","",IF(SUMIF(Precio_Productos!L:L,E127,Precio_Productos!J:J)=0,"Falta Precio",SUMIF(Precio_Productos!L:L,E127,Precio_Productos!J:J)))</f>
        <v>Falta Precio</v>
      </c>
      <c r="O127" s="86"/>
      <c r="P127" s="86" t="str">
        <f>IFERROR(__xludf.DUMMYFUNCTION("IF(OR(F127=""Selecciona.."",F127=""""),"""",TRANSPOSE(filter(Familias!C:C,Familias!D:D=F127)))"),"Chasis Acoplados 1 Ejes")</f>
        <v>Chasis Acoplados 1 Ejes</v>
      </c>
      <c r="Q127" s="86" t="str">
        <f>IFERROR(__xludf.DUMMYFUNCTION("""COMPUTED_VALUE"""),"Chasis Acoplados 2 Ejes")</f>
        <v>Chasis Acoplados 2 Ejes</v>
      </c>
      <c r="R127" s="86" t="str">
        <f>IFERROR(__xludf.DUMMYFUNCTION("""COMPUTED_VALUE"""),"Chasis Acoplados Balancin")</f>
        <v>Chasis Acoplados Balancin</v>
      </c>
      <c r="S127" s="86" t="str">
        <f>IFERROR(__xludf.DUMMYFUNCTION("""COMPUTED_VALUE"""),"Cajones para Acoplados")</f>
        <v>Cajones para Acoplados</v>
      </c>
      <c r="T127" s="86" t="str">
        <f>IFERROR(__xludf.DUMMYFUNCTION("""COMPUTED_VALUE"""),"Cajones Laterales para Acoplados")</f>
        <v>Cajones Laterales para Acoplados</v>
      </c>
      <c r="U127" s="86" t="str">
        <f>IFERROR(__xludf.DUMMYFUNCTION("""COMPUTED_VALUE"""),"Tanques Metálicos para Acoplados")</f>
        <v>Tanques Metálicos para Acoplados</v>
      </c>
      <c r="V127" s="86" t="str">
        <f>IFERROR(__xludf.DUMMYFUNCTION("""COMPUTED_VALUE"""),"Tanques Plásticos para Acoplados")</f>
        <v>Tanques Plásticos para Acoplados</v>
      </c>
      <c r="W127" s="86" t="str">
        <f>IFERROR(__xludf.DUMMYFUNCTION("""COMPUTED_VALUE"""),"Playos para Acoplados")</f>
        <v>Playos para Acoplados</v>
      </c>
      <c r="X127" s="86"/>
      <c r="Y127" s="86"/>
      <c r="Z127" s="86"/>
      <c r="AA127" s="86"/>
      <c r="AB127" s="86"/>
      <c r="AC127" s="86"/>
      <c r="AD127" s="86"/>
      <c r="AE127" s="86"/>
    </row>
    <row r="128">
      <c r="A128" s="4">
        <f t="shared" si="1"/>
        <v>127</v>
      </c>
      <c r="B128" s="4"/>
      <c r="C128" s="2" t="s">
        <v>523</v>
      </c>
      <c r="D128" s="4"/>
      <c r="E128" s="45" t="s">
        <v>162</v>
      </c>
      <c r="F128" s="2" t="s">
        <v>28</v>
      </c>
      <c r="G128" s="2" t="s">
        <v>432</v>
      </c>
      <c r="H128" s="2">
        <f>IF(G128="","",SUMIF(Familias!C:C,G128,Familias!E:E))</f>
        <v>1</v>
      </c>
      <c r="I128" s="4">
        <f>IF(A128="","",COUNTIF(Prod_Prop!B:B,A128))</f>
        <v>0</v>
      </c>
      <c r="J128" s="92">
        <f>IF(E128="","",IF(SUMIF(Precio_Productos!L:L,E128,Precio_Productos!J:J)=0,"Falta Precio",SUMIF(Precio_Productos!L:L,E128,Precio_Productos!J:J)))</f>
        <v>2361913</v>
      </c>
      <c r="O128" s="86"/>
      <c r="P128" s="86" t="str">
        <f>IFERROR(__xludf.DUMMYFUNCTION("IF(OR(F128=""Selecciona.."",F128=""""),"""",TRANSPOSE(filter(Familias!C:C,Familias!D:D=F128)))"),"Chasis Acoplados 1 Ejes")</f>
        <v>Chasis Acoplados 1 Ejes</v>
      </c>
      <c r="Q128" s="86" t="str">
        <f>IFERROR(__xludf.DUMMYFUNCTION("""COMPUTED_VALUE"""),"Chasis Acoplados 2 Ejes")</f>
        <v>Chasis Acoplados 2 Ejes</v>
      </c>
      <c r="R128" s="86" t="str">
        <f>IFERROR(__xludf.DUMMYFUNCTION("""COMPUTED_VALUE"""),"Chasis Acoplados Balancin")</f>
        <v>Chasis Acoplados Balancin</v>
      </c>
      <c r="S128" s="86" t="str">
        <f>IFERROR(__xludf.DUMMYFUNCTION("""COMPUTED_VALUE"""),"Cajones para Acoplados")</f>
        <v>Cajones para Acoplados</v>
      </c>
      <c r="T128" s="86" t="str">
        <f>IFERROR(__xludf.DUMMYFUNCTION("""COMPUTED_VALUE"""),"Cajones Laterales para Acoplados")</f>
        <v>Cajones Laterales para Acoplados</v>
      </c>
      <c r="U128" s="86" t="str">
        <f>IFERROR(__xludf.DUMMYFUNCTION("""COMPUTED_VALUE"""),"Tanques Metálicos para Acoplados")</f>
        <v>Tanques Metálicos para Acoplados</v>
      </c>
      <c r="V128" s="86" t="str">
        <f>IFERROR(__xludf.DUMMYFUNCTION("""COMPUTED_VALUE"""),"Tanques Plásticos para Acoplados")</f>
        <v>Tanques Plásticos para Acoplados</v>
      </c>
      <c r="W128" s="86" t="str">
        <f>IFERROR(__xludf.DUMMYFUNCTION("""COMPUTED_VALUE"""),"Playos para Acoplados")</f>
        <v>Playos para Acoplados</v>
      </c>
      <c r="X128" s="86"/>
      <c r="Y128" s="86"/>
      <c r="Z128" s="86"/>
      <c r="AA128" s="86"/>
      <c r="AB128" s="86"/>
      <c r="AC128" s="86"/>
      <c r="AD128" s="86"/>
      <c r="AE128" s="86"/>
    </row>
    <row r="129">
      <c r="A129" s="4">
        <f t="shared" si="1"/>
        <v>128</v>
      </c>
      <c r="B129" s="4"/>
      <c r="C129" s="2" t="s">
        <v>524</v>
      </c>
      <c r="D129" s="4"/>
      <c r="E129" s="45" t="s">
        <v>525</v>
      </c>
      <c r="F129" s="2" t="s">
        <v>28</v>
      </c>
      <c r="G129" s="2" t="s">
        <v>432</v>
      </c>
      <c r="H129" s="2">
        <f>IF(G129="","",SUMIF(Familias!C:C,G129,Familias!E:E))</f>
        <v>1</v>
      </c>
      <c r="I129" s="4">
        <f>IF(A129="","",COUNTIF(Prod_Prop!B:B,A129))</f>
        <v>0</v>
      </c>
      <c r="J129" s="92" t="str">
        <f>IF(E129="","",IF(SUMIF(Precio_Productos!L:L,E129,Precio_Productos!J:J)=0,"Falta Precio",SUMIF(Precio_Productos!L:L,E129,Precio_Productos!J:J)))</f>
        <v>Falta Precio</v>
      </c>
      <c r="O129" s="86"/>
      <c r="P129" s="86" t="str">
        <f>IFERROR(__xludf.DUMMYFUNCTION("IF(OR(F129=""Selecciona.."",F129=""""),"""",TRANSPOSE(filter(Familias!C:C,Familias!D:D=F129)))"),"Chasis Acoplados 1 Ejes")</f>
        <v>Chasis Acoplados 1 Ejes</v>
      </c>
      <c r="Q129" s="86" t="str">
        <f>IFERROR(__xludf.DUMMYFUNCTION("""COMPUTED_VALUE"""),"Chasis Acoplados 2 Ejes")</f>
        <v>Chasis Acoplados 2 Ejes</v>
      </c>
      <c r="R129" s="86" t="str">
        <f>IFERROR(__xludf.DUMMYFUNCTION("""COMPUTED_VALUE"""),"Chasis Acoplados Balancin")</f>
        <v>Chasis Acoplados Balancin</v>
      </c>
      <c r="S129" s="86" t="str">
        <f>IFERROR(__xludf.DUMMYFUNCTION("""COMPUTED_VALUE"""),"Cajones para Acoplados")</f>
        <v>Cajones para Acoplados</v>
      </c>
      <c r="T129" s="86" t="str">
        <f>IFERROR(__xludf.DUMMYFUNCTION("""COMPUTED_VALUE"""),"Cajones Laterales para Acoplados")</f>
        <v>Cajones Laterales para Acoplados</v>
      </c>
      <c r="U129" s="86" t="str">
        <f>IFERROR(__xludf.DUMMYFUNCTION("""COMPUTED_VALUE"""),"Tanques Metálicos para Acoplados")</f>
        <v>Tanques Metálicos para Acoplados</v>
      </c>
      <c r="V129" s="86" t="str">
        <f>IFERROR(__xludf.DUMMYFUNCTION("""COMPUTED_VALUE"""),"Tanques Plásticos para Acoplados")</f>
        <v>Tanques Plásticos para Acoplados</v>
      </c>
      <c r="W129" s="86" t="str">
        <f>IFERROR(__xludf.DUMMYFUNCTION("""COMPUTED_VALUE"""),"Playos para Acoplados")</f>
        <v>Playos para Acoplados</v>
      </c>
      <c r="X129" s="86"/>
      <c r="Y129" s="86"/>
      <c r="Z129" s="86"/>
      <c r="AA129" s="86"/>
      <c r="AB129" s="86"/>
      <c r="AC129" s="86"/>
      <c r="AD129" s="86"/>
      <c r="AE129" s="86"/>
    </row>
    <row r="130">
      <c r="A130" s="4">
        <f t="shared" si="1"/>
        <v>129</v>
      </c>
      <c r="B130" s="4"/>
      <c r="C130" s="2" t="s">
        <v>526</v>
      </c>
      <c r="D130" s="4"/>
      <c r="E130" s="45" t="s">
        <v>527</v>
      </c>
      <c r="F130" s="2" t="s">
        <v>28</v>
      </c>
      <c r="G130" s="2" t="s">
        <v>432</v>
      </c>
      <c r="H130" s="2">
        <f>IF(G130="","",SUMIF(Familias!C:C,G130,Familias!E:E))</f>
        <v>1</v>
      </c>
      <c r="I130" s="4">
        <f>IF(A130="","",COUNTIF(Prod_Prop!B:B,A130))</f>
        <v>0</v>
      </c>
      <c r="J130" s="92" t="str">
        <f>IF(E130="","",IF(SUMIF(Precio_Productos!L:L,E130,Precio_Productos!J:J)=0,"Falta Precio",SUMIF(Precio_Productos!L:L,E130,Precio_Productos!J:J)))</f>
        <v>Falta Precio</v>
      </c>
      <c r="O130" s="86"/>
      <c r="P130" s="86" t="str">
        <f>IFERROR(__xludf.DUMMYFUNCTION("IF(OR(F130=""Selecciona.."",F130=""""),"""",TRANSPOSE(filter(Familias!C:C,Familias!D:D=F130)))"),"Chasis Acoplados 1 Ejes")</f>
        <v>Chasis Acoplados 1 Ejes</v>
      </c>
      <c r="Q130" s="86" t="str">
        <f>IFERROR(__xludf.DUMMYFUNCTION("""COMPUTED_VALUE"""),"Chasis Acoplados 2 Ejes")</f>
        <v>Chasis Acoplados 2 Ejes</v>
      </c>
      <c r="R130" s="86" t="str">
        <f>IFERROR(__xludf.DUMMYFUNCTION("""COMPUTED_VALUE"""),"Chasis Acoplados Balancin")</f>
        <v>Chasis Acoplados Balancin</v>
      </c>
      <c r="S130" s="86" t="str">
        <f>IFERROR(__xludf.DUMMYFUNCTION("""COMPUTED_VALUE"""),"Cajones para Acoplados")</f>
        <v>Cajones para Acoplados</v>
      </c>
      <c r="T130" s="86" t="str">
        <f>IFERROR(__xludf.DUMMYFUNCTION("""COMPUTED_VALUE"""),"Cajones Laterales para Acoplados")</f>
        <v>Cajones Laterales para Acoplados</v>
      </c>
      <c r="U130" s="86" t="str">
        <f>IFERROR(__xludf.DUMMYFUNCTION("""COMPUTED_VALUE"""),"Tanques Metálicos para Acoplados")</f>
        <v>Tanques Metálicos para Acoplados</v>
      </c>
      <c r="V130" s="86" t="str">
        <f>IFERROR(__xludf.DUMMYFUNCTION("""COMPUTED_VALUE"""),"Tanques Plásticos para Acoplados")</f>
        <v>Tanques Plásticos para Acoplados</v>
      </c>
      <c r="W130" s="86" t="str">
        <f>IFERROR(__xludf.DUMMYFUNCTION("""COMPUTED_VALUE"""),"Playos para Acoplados")</f>
        <v>Playos para Acoplados</v>
      </c>
      <c r="X130" s="86"/>
      <c r="Y130" s="86"/>
      <c r="Z130" s="86"/>
      <c r="AA130" s="86"/>
      <c r="AB130" s="86"/>
      <c r="AC130" s="86"/>
      <c r="AD130" s="86"/>
      <c r="AE130" s="86"/>
    </row>
    <row r="131">
      <c r="A131" s="4">
        <f t="shared" si="1"/>
        <v>130</v>
      </c>
      <c r="B131" s="4"/>
      <c r="C131" s="2" t="s">
        <v>528</v>
      </c>
      <c r="D131" s="4"/>
      <c r="E131" s="45" t="s">
        <v>529</v>
      </c>
      <c r="F131" s="2" t="s">
        <v>28</v>
      </c>
      <c r="G131" s="2" t="s">
        <v>432</v>
      </c>
      <c r="H131" s="2">
        <f>IF(G131="","",SUMIF(Familias!C:C,G131,Familias!E:E))</f>
        <v>1</v>
      </c>
      <c r="I131" s="4">
        <f>IF(A131="","",COUNTIF(Prod_Prop!B:B,A131))</f>
        <v>0</v>
      </c>
      <c r="J131" s="92" t="str">
        <f>IF(E131="","",IF(SUMIF(Precio_Productos!L:L,E131,Precio_Productos!J:J)=0,"Falta Precio",SUMIF(Precio_Productos!L:L,E131,Precio_Productos!J:J)))</f>
        <v>Falta Precio</v>
      </c>
      <c r="O131" s="86"/>
      <c r="P131" s="86" t="str">
        <f>IFERROR(__xludf.DUMMYFUNCTION("IF(OR(F131=""Selecciona.."",F131=""""),"""",TRANSPOSE(filter(Familias!C:C,Familias!D:D=F131)))"),"Chasis Acoplados 1 Ejes")</f>
        <v>Chasis Acoplados 1 Ejes</v>
      </c>
      <c r="Q131" s="86" t="str">
        <f>IFERROR(__xludf.DUMMYFUNCTION("""COMPUTED_VALUE"""),"Chasis Acoplados 2 Ejes")</f>
        <v>Chasis Acoplados 2 Ejes</v>
      </c>
      <c r="R131" s="86" t="str">
        <f>IFERROR(__xludf.DUMMYFUNCTION("""COMPUTED_VALUE"""),"Chasis Acoplados Balancin")</f>
        <v>Chasis Acoplados Balancin</v>
      </c>
      <c r="S131" s="86" t="str">
        <f>IFERROR(__xludf.DUMMYFUNCTION("""COMPUTED_VALUE"""),"Cajones para Acoplados")</f>
        <v>Cajones para Acoplados</v>
      </c>
      <c r="T131" s="86" t="str">
        <f>IFERROR(__xludf.DUMMYFUNCTION("""COMPUTED_VALUE"""),"Cajones Laterales para Acoplados")</f>
        <v>Cajones Laterales para Acoplados</v>
      </c>
      <c r="U131" s="86" t="str">
        <f>IFERROR(__xludf.DUMMYFUNCTION("""COMPUTED_VALUE"""),"Tanques Metálicos para Acoplados")</f>
        <v>Tanques Metálicos para Acoplados</v>
      </c>
      <c r="V131" s="86" t="str">
        <f>IFERROR(__xludf.DUMMYFUNCTION("""COMPUTED_VALUE"""),"Tanques Plásticos para Acoplados")</f>
        <v>Tanques Plásticos para Acoplados</v>
      </c>
      <c r="W131" s="86" t="str">
        <f>IFERROR(__xludf.DUMMYFUNCTION("""COMPUTED_VALUE"""),"Playos para Acoplados")</f>
        <v>Playos para Acoplados</v>
      </c>
      <c r="X131" s="86"/>
      <c r="Y131" s="86"/>
      <c r="Z131" s="86"/>
      <c r="AA131" s="86"/>
      <c r="AB131" s="86"/>
      <c r="AC131" s="86"/>
      <c r="AD131" s="86"/>
      <c r="AE131" s="86"/>
    </row>
    <row r="132">
      <c r="A132" s="4">
        <f t="shared" si="1"/>
        <v>131</v>
      </c>
      <c r="B132" s="4"/>
      <c r="C132" s="4"/>
      <c r="D132" s="4"/>
      <c r="E132" s="45" t="s">
        <v>120</v>
      </c>
      <c r="F132" s="2" t="s">
        <v>28</v>
      </c>
      <c r="G132" s="2" t="s">
        <v>416</v>
      </c>
      <c r="H132" s="2">
        <f>IF(G132="","",SUMIF(Familias!C:C,G132,Familias!E:E))</f>
        <v>3</v>
      </c>
      <c r="I132" s="4">
        <f>IF(A132="","",COUNTIF(Prod_Prop!B:B,A132))</f>
        <v>2</v>
      </c>
      <c r="J132" s="92">
        <f>IF(E132="","",IF(SUMIF(Precio_Productos!L:L,E132,Precio_Productos!J:J)=0,"Falta Precio",SUMIF(Precio_Productos!L:L,E132,Precio_Productos!J:J)))</f>
        <v>2719818</v>
      </c>
      <c r="O132" s="86"/>
      <c r="P132" s="86" t="str">
        <f>IFERROR(__xludf.DUMMYFUNCTION("IF(OR(F132=""Selecciona.."",F132=""""),"""",TRANSPOSE(filter(Familias!C:C,Familias!D:D=F132)))"),"Chasis Acoplados 1 Ejes")</f>
        <v>Chasis Acoplados 1 Ejes</v>
      </c>
      <c r="Q132" s="86" t="str">
        <f>IFERROR(__xludf.DUMMYFUNCTION("""COMPUTED_VALUE"""),"Chasis Acoplados 2 Ejes")</f>
        <v>Chasis Acoplados 2 Ejes</v>
      </c>
      <c r="R132" s="86" t="str">
        <f>IFERROR(__xludf.DUMMYFUNCTION("""COMPUTED_VALUE"""),"Chasis Acoplados Balancin")</f>
        <v>Chasis Acoplados Balancin</v>
      </c>
      <c r="S132" s="86" t="str">
        <f>IFERROR(__xludf.DUMMYFUNCTION("""COMPUTED_VALUE"""),"Cajones para Acoplados")</f>
        <v>Cajones para Acoplados</v>
      </c>
      <c r="T132" s="86" t="str">
        <f>IFERROR(__xludf.DUMMYFUNCTION("""COMPUTED_VALUE"""),"Cajones Laterales para Acoplados")</f>
        <v>Cajones Laterales para Acoplados</v>
      </c>
      <c r="U132" s="86" t="str">
        <f>IFERROR(__xludf.DUMMYFUNCTION("""COMPUTED_VALUE"""),"Tanques Metálicos para Acoplados")</f>
        <v>Tanques Metálicos para Acoplados</v>
      </c>
      <c r="V132" s="86" t="str">
        <f>IFERROR(__xludf.DUMMYFUNCTION("""COMPUTED_VALUE"""),"Tanques Plásticos para Acoplados")</f>
        <v>Tanques Plásticos para Acoplados</v>
      </c>
      <c r="W132" s="86" t="str">
        <f>IFERROR(__xludf.DUMMYFUNCTION("""COMPUTED_VALUE"""),"Playos para Acoplados")</f>
        <v>Playos para Acoplados</v>
      </c>
      <c r="X132" s="86"/>
      <c r="Y132" s="86"/>
      <c r="Z132" s="86"/>
      <c r="AA132" s="86"/>
      <c r="AB132" s="86"/>
      <c r="AC132" s="86"/>
      <c r="AD132" s="86"/>
      <c r="AE132" s="86"/>
    </row>
    <row r="133">
      <c r="A133" s="4">
        <f t="shared" si="1"/>
        <v>132</v>
      </c>
      <c r="B133" s="4"/>
      <c r="C133" s="4"/>
      <c r="D133" s="4"/>
      <c r="E133" s="45" t="s">
        <v>40</v>
      </c>
      <c r="F133" s="2" t="s">
        <v>358</v>
      </c>
      <c r="G133" s="2" t="s">
        <v>440</v>
      </c>
      <c r="H133" s="2">
        <f>IF(G133="","",SUMIF(Familias!C:C,G133,Familias!E:E))</f>
        <v>1</v>
      </c>
      <c r="I133" s="4">
        <f>IF(A133="","",COUNTIF(Prod_Prop!B:B,A133))</f>
        <v>2</v>
      </c>
      <c r="J133" s="92">
        <f>IF(E133="","",IF(SUMIF(Precio_Productos!L:L,E133,Precio_Productos!J:J)=0,"Falta Precio",SUMIF(Precio_Productos!L:L,E133,Precio_Productos!J:J)))</f>
        <v>6528578</v>
      </c>
      <c r="O133" s="86"/>
      <c r="P133" s="86" t="str">
        <f>IFERROR(__xludf.DUMMYFUNCTION("IF(OR(F133=""Selecciona.."",F133=""""),"""",TRANSPOSE(filter(Familias!C:C,Familias!D:D=F133)))"),"Gruas de Arrastre")</f>
        <v>Gruas de Arrastre</v>
      </c>
      <c r="Q133" s="86" t="str">
        <f>IFERROR(__xludf.DUMMYFUNCTION("""COMPUTED_VALUE"""),"Accesorios Gruas")</f>
        <v>Accesorios Gruas</v>
      </c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</row>
    <row r="134">
      <c r="A134" s="4">
        <f t="shared" si="1"/>
        <v>133</v>
      </c>
      <c r="B134" s="4"/>
      <c r="C134" s="4"/>
      <c r="D134" s="4"/>
      <c r="E134" s="45" t="s">
        <v>44</v>
      </c>
      <c r="F134" s="2" t="s">
        <v>358</v>
      </c>
      <c r="G134" s="2" t="s">
        <v>440</v>
      </c>
      <c r="H134" s="2">
        <f>IF(G134="","",SUMIF(Familias!C:C,G134,Familias!E:E))</f>
        <v>1</v>
      </c>
      <c r="I134" s="4">
        <f>IF(A134="","",COUNTIF(Prod_Prop!B:B,A134))</f>
        <v>2</v>
      </c>
      <c r="J134" s="92">
        <f>IF(E134="","",IF(SUMIF(Precio_Productos!L:L,E134,Precio_Productos!J:J)=0,"Falta Precio",SUMIF(Precio_Productos!L:L,E134,Precio_Productos!J:J)))</f>
        <v>9942000</v>
      </c>
      <c r="O134" s="86"/>
      <c r="P134" s="86" t="str">
        <f>IFERROR(__xludf.DUMMYFUNCTION("IF(OR(F134=""Selecciona.."",F134=""""),"""",TRANSPOSE(filter(Familias!C:C,Familias!D:D=F134)))"),"Gruas de Arrastre")</f>
        <v>Gruas de Arrastre</v>
      </c>
      <c r="Q134" s="86" t="str">
        <f>IFERROR(__xludf.DUMMYFUNCTION("""COMPUTED_VALUE"""),"Accesorios Gruas")</f>
        <v>Accesorios Gruas</v>
      </c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</row>
    <row r="135">
      <c r="A135" s="4">
        <f t="shared" si="1"/>
        <v>134</v>
      </c>
      <c r="B135" s="4"/>
      <c r="C135" s="4"/>
      <c r="D135" s="4"/>
      <c r="E135" s="45" t="s">
        <v>150</v>
      </c>
      <c r="F135" s="2" t="s">
        <v>358</v>
      </c>
      <c r="G135" s="2" t="s">
        <v>447</v>
      </c>
      <c r="H135" s="2">
        <f>IF(G135="","",SUMIF(Familias!C:C,G135,Familias!E:E))</f>
        <v>2</v>
      </c>
      <c r="I135" s="4">
        <f>IF(A135="","",COUNTIF(Prod_Prop!B:B,A135))</f>
        <v>2</v>
      </c>
      <c r="J135" s="92">
        <f>IF(E135="","",IF(SUMIF(Precio_Productos!L:L,E135,Precio_Productos!J:J)=0,"Falta Precio",SUMIF(Precio_Productos!L:L,E135,Precio_Productos!J:J)))</f>
        <v>2442810</v>
      </c>
      <c r="O135" s="86"/>
      <c r="P135" s="86" t="str">
        <f>IFERROR(__xludf.DUMMYFUNCTION("IF(OR(F135=""Selecciona.."",F135=""""),"""",TRANSPOSE(filter(Familias!C:C,Familias!D:D=F135)))"),"Gruas de Arrastre")</f>
        <v>Gruas de Arrastre</v>
      </c>
      <c r="Q135" s="86" t="str">
        <f>IFERROR(__xludf.DUMMYFUNCTION("""COMPUTED_VALUE"""),"Accesorios Gruas")</f>
        <v>Accesorios Gruas</v>
      </c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</row>
    <row r="136">
      <c r="A136" s="4">
        <f t="shared" si="1"/>
        <v>135</v>
      </c>
      <c r="B136" s="4"/>
      <c r="C136" s="4"/>
      <c r="D136" s="4"/>
      <c r="E136" s="45" t="s">
        <v>173</v>
      </c>
      <c r="F136" s="2" t="s">
        <v>358</v>
      </c>
      <c r="G136" s="2" t="s">
        <v>447</v>
      </c>
      <c r="H136" s="2">
        <f>IF(G136="","",SUMIF(Familias!C:C,G136,Familias!E:E))</f>
        <v>2</v>
      </c>
      <c r="I136" s="4">
        <f>IF(A136="","",COUNTIF(Prod_Prop!B:B,A136))</f>
        <v>0</v>
      </c>
      <c r="J136" s="92">
        <f>IF(E136="","",IF(SUMIF(Precio_Productos!L:L,E136,Precio_Productos!J:J)=0,"Falta Precio",SUMIF(Precio_Productos!L:L,E136,Precio_Productos!J:J)))</f>
        <v>1080104</v>
      </c>
      <c r="O136" s="86"/>
      <c r="P136" s="86" t="str">
        <f>IFERROR(__xludf.DUMMYFUNCTION("IF(OR(F136=""Selecciona.."",F136=""""),"""",TRANSPOSE(filter(Familias!C:C,Familias!D:D=F136)))"),"Gruas de Arrastre")</f>
        <v>Gruas de Arrastre</v>
      </c>
      <c r="Q136" s="86" t="str">
        <f>IFERROR(__xludf.DUMMYFUNCTION("""COMPUTED_VALUE"""),"Accesorios Gruas")</f>
        <v>Accesorios Gruas</v>
      </c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</row>
    <row r="137">
      <c r="A137" s="4">
        <f t="shared" si="1"/>
        <v>136</v>
      </c>
      <c r="B137" s="4"/>
      <c r="C137" s="4"/>
      <c r="D137" s="4"/>
      <c r="E137" s="45" t="s">
        <v>182</v>
      </c>
      <c r="F137" s="2" t="s">
        <v>358</v>
      </c>
      <c r="G137" s="2" t="s">
        <v>447</v>
      </c>
      <c r="H137" s="2">
        <f>IF(G137="","",SUMIF(Familias!C:C,G137,Familias!E:E))</f>
        <v>2</v>
      </c>
      <c r="I137" s="4">
        <f>IF(A137="","",COUNTIF(Prod_Prop!B:B,A137))</f>
        <v>0</v>
      </c>
      <c r="J137" s="92">
        <f>IF(E137="","",IF(SUMIF(Precio_Productos!L:L,E137,Precio_Productos!J:J)=0,"Falta Precio",SUMIF(Precio_Productos!L:L,E137,Precio_Productos!J:J)))</f>
        <v>1577629</v>
      </c>
      <c r="O137" s="86"/>
      <c r="P137" s="86" t="str">
        <f>IFERROR(__xludf.DUMMYFUNCTION("IF(OR(F137=""Selecciona.."",F137=""""),"""",TRANSPOSE(filter(Familias!C:C,Familias!D:D=F137)))"),"Gruas de Arrastre")</f>
        <v>Gruas de Arrastre</v>
      </c>
      <c r="Q137" s="86" t="str">
        <f>IFERROR(__xludf.DUMMYFUNCTION("""COMPUTED_VALUE"""),"Accesorios Gruas")</f>
        <v>Accesorios Gruas</v>
      </c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</row>
    <row r="138">
      <c r="A138" s="4">
        <f t="shared" si="1"/>
        <v>137</v>
      </c>
      <c r="B138" s="4"/>
      <c r="C138" s="4"/>
      <c r="D138" s="4"/>
      <c r="E138" s="45" t="s">
        <v>183</v>
      </c>
      <c r="F138" s="2" t="s">
        <v>358</v>
      </c>
      <c r="G138" s="2" t="s">
        <v>447</v>
      </c>
      <c r="H138" s="2">
        <f>IF(G138="","",SUMIF(Familias!C:C,G138,Familias!E:E))</f>
        <v>2</v>
      </c>
      <c r="I138" s="4">
        <f>IF(A138="","",COUNTIF(Prod_Prop!B:B,A138))</f>
        <v>0</v>
      </c>
      <c r="J138" s="92">
        <f>IF(E138="","",IF(SUMIF(Precio_Productos!L:L,E138,Precio_Productos!J:J)=0,"Falta Precio",SUMIF(Precio_Productos!L:L,E138,Precio_Productos!J:J)))</f>
        <v>1072240</v>
      </c>
      <c r="O138" s="86"/>
      <c r="P138" s="86" t="str">
        <f>IFERROR(__xludf.DUMMYFUNCTION("IF(OR(F138=""Selecciona.."",F138=""""),"""",TRANSPOSE(filter(Familias!C:C,Familias!D:D=F138)))"),"Gruas de Arrastre")</f>
        <v>Gruas de Arrastre</v>
      </c>
      <c r="Q138" s="86" t="str">
        <f>IFERROR(__xludf.DUMMYFUNCTION("""COMPUTED_VALUE"""),"Accesorios Gruas")</f>
        <v>Accesorios Gruas</v>
      </c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</row>
    <row r="139">
      <c r="A139" s="4">
        <f t="shared" si="1"/>
        <v>138</v>
      </c>
      <c r="B139" s="4"/>
      <c r="C139" s="4"/>
      <c r="D139" s="4"/>
      <c r="E139" s="45" t="s">
        <v>165</v>
      </c>
      <c r="F139" s="2" t="s">
        <v>349</v>
      </c>
      <c r="G139" s="2" t="s">
        <v>400</v>
      </c>
      <c r="H139" s="2">
        <f>IF(G139="","",SUMIF(Familias!C:C,G139,Familias!E:E))</f>
        <v>2</v>
      </c>
      <c r="I139" s="4">
        <f>IF(A139="","",COUNTIF(Prod_Prop!B:B,A139))</f>
        <v>0</v>
      </c>
      <c r="J139" s="92">
        <f>IF(E139="","",IF(SUMIF(Precio_Productos!L:L,E139,Precio_Productos!J:J)=0,"Falta Precio",SUMIF(Precio_Productos!L:L,E139,Precio_Productos!J:J)))</f>
        <v>565000</v>
      </c>
      <c r="O139" s="86"/>
      <c r="P139" s="86" t="str">
        <f>IFERROR(__xludf.DUMMYFUNCTION("IF(OR(F139=""Selecciona.."",F139=""""),"""",TRANSPOSE(filter(Familias!C:C,Familias!D:D=F139)))"),"Brazos Elevadores Frontales")</f>
        <v>Brazos Elevadores Frontales</v>
      </c>
      <c r="Q139" s="86" t="str">
        <f>IFERROR(__xludf.DUMMYFUNCTION("""COMPUTED_VALUE"""),"Cucharas y Accesorios Elevadores")</f>
        <v>Cucharas y Accesorios Elevadores</v>
      </c>
      <c r="R139" s="86" t="str">
        <f>IFERROR(__xludf.DUMMYFUNCTION("""COMPUTED_VALUE"""),"Opcionales Cucharas")</f>
        <v>Opcionales Cucharas</v>
      </c>
      <c r="S139" s="86" t="str">
        <f>IFERROR(__xludf.DUMMYFUNCTION("""COMPUTED_VALUE"""),"Opcionales Elevadores")</f>
        <v>Opcionales Elevadores</v>
      </c>
      <c r="T139" s="86" t="str">
        <f>IFERROR(__xludf.DUMMYFUNCTION("""COMPUTED_VALUE"""),"Acoples Elevadores")</f>
        <v>Acoples Elevadores</v>
      </c>
      <c r="U139" s="86" t="str">
        <f>IFERROR(__xludf.DUMMYFUNCTION("""COMPUTED_VALUE"""),"Repuestos Elevadores")</f>
        <v>Repuestos Elevadores</v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</row>
    <row r="140">
      <c r="A140" s="4">
        <f t="shared" si="1"/>
        <v>139</v>
      </c>
      <c r="B140" s="4"/>
      <c r="C140" s="4"/>
      <c r="D140" s="4"/>
      <c r="E140" s="45" t="s">
        <v>174</v>
      </c>
      <c r="F140" s="2" t="s">
        <v>373</v>
      </c>
      <c r="G140" s="2" t="s">
        <v>442</v>
      </c>
      <c r="H140" s="2">
        <f>IF(G140="","",SUMIF(Familias!C:C,G140,Familias!E:E))</f>
        <v>1</v>
      </c>
      <c r="I140" s="4">
        <f>IF(A140="","",COUNTIF(Prod_Prop!B:B,A140))</f>
        <v>0</v>
      </c>
      <c r="J140" s="92">
        <f>IF(E140="","",IF(SUMIF(Precio_Productos!L:L,E140,Precio_Productos!J:J)=0,"Falta Precio",SUMIF(Precio_Productos!L:L,E140,Precio_Productos!J:J)))</f>
        <v>8183421</v>
      </c>
      <c r="O140" s="86"/>
      <c r="P140" s="86" t="str">
        <f>IFERROR(__xludf.DUMMYFUNCTION("IF(OR(F140=""Selecciona.."",F140=""""),"""",TRANSPOSE(filter(Familias!C:C,Familias!D:D=F140)))"),"Niveladoras de Arrastre")</f>
        <v>Niveladoras de Arrastre</v>
      </c>
      <c r="Q140" s="86" t="str">
        <f>IFERROR(__xludf.DUMMYFUNCTION("""COMPUTED_VALUE"""),"Opcionales Niveladora")</f>
        <v>Opcionales Niveladora</v>
      </c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</row>
    <row r="141">
      <c r="A141" s="4">
        <f t="shared" si="1"/>
        <v>140</v>
      </c>
      <c r="B141" s="4"/>
      <c r="C141" s="4"/>
      <c r="D141" s="4"/>
      <c r="E141" s="45" t="s">
        <v>176</v>
      </c>
      <c r="F141" s="2" t="s">
        <v>373</v>
      </c>
      <c r="G141" s="2" t="s">
        <v>448</v>
      </c>
      <c r="H141" s="2">
        <f>IF(G141="","",SUMIF(Familias!C:C,G141,Familias!E:E))</f>
        <v>3</v>
      </c>
      <c r="I141" s="4">
        <f>IF(A141="","",COUNTIF(Prod_Prop!B:B,A141))</f>
        <v>0</v>
      </c>
      <c r="J141" s="92">
        <f>IF(E141="","",IF(SUMIF(Precio_Productos!L:L,E141,Precio_Productos!J:J)=0,"Falta Precio",SUMIF(Precio_Productos!L:L,E141,Precio_Productos!J:J)))</f>
        <v>1627301</v>
      </c>
      <c r="O141" s="86"/>
      <c r="P141" s="86" t="str">
        <f>IFERROR(__xludf.DUMMYFUNCTION("IF(OR(F141=""Selecciona.."",F141=""""),"""",TRANSPOSE(filter(Familias!C:C,Familias!D:D=F141)))"),"Niveladoras de Arrastre")</f>
        <v>Niveladoras de Arrastre</v>
      </c>
      <c r="Q141" s="86" t="str">
        <f>IFERROR(__xludf.DUMMYFUNCTION("""COMPUTED_VALUE"""),"Opcionales Niveladora")</f>
        <v>Opcionales Niveladora</v>
      </c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</row>
    <row r="142">
      <c r="A142" s="4">
        <f t="shared" si="1"/>
        <v>141</v>
      </c>
      <c r="B142" s="4"/>
      <c r="C142" s="4"/>
      <c r="D142" s="4"/>
      <c r="E142" s="45" t="s">
        <v>180</v>
      </c>
      <c r="F142" s="2" t="s">
        <v>373</v>
      </c>
      <c r="G142" s="2" t="s">
        <v>448</v>
      </c>
      <c r="H142" s="2">
        <f>IF(G142="","",SUMIF(Familias!C:C,G142,Familias!E:E))</f>
        <v>3</v>
      </c>
      <c r="I142" s="4">
        <f>IF(A142="","",COUNTIF(Prod_Prop!B:B,A142))</f>
        <v>0</v>
      </c>
      <c r="J142" s="92">
        <f>IF(E142="","",IF(SUMIF(Precio_Productos!L:L,E142,Precio_Productos!J:J)=0,"Falta Precio",SUMIF(Precio_Productos!L:L,E142,Precio_Productos!J:J)))</f>
        <v>1824759</v>
      </c>
      <c r="O142" s="86"/>
      <c r="P142" s="86" t="str">
        <f>IFERROR(__xludf.DUMMYFUNCTION("IF(OR(F142=""Selecciona.."",F142=""""),"""",TRANSPOSE(filter(Familias!C:C,Familias!D:D=F142)))"),"Niveladoras de Arrastre")</f>
        <v>Niveladoras de Arrastre</v>
      </c>
      <c r="Q142" s="86" t="str">
        <f>IFERROR(__xludf.DUMMYFUNCTION("""COMPUTED_VALUE"""),"Opcionales Niveladora")</f>
        <v>Opcionales Niveladora</v>
      </c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</row>
    <row r="143">
      <c r="A143" s="4">
        <f t="shared" si="1"/>
        <v>142</v>
      </c>
      <c r="B143" s="4"/>
      <c r="C143" s="4"/>
      <c r="D143" s="4"/>
      <c r="E143" s="45" t="s">
        <v>181</v>
      </c>
      <c r="F143" s="2" t="s">
        <v>358</v>
      </c>
      <c r="G143" s="2" t="s">
        <v>447</v>
      </c>
      <c r="H143" s="2">
        <f>IF(G143="","",SUMIF(Familias!C:C,G143,Familias!E:E))</f>
        <v>2</v>
      </c>
      <c r="I143" s="4">
        <f>IF(A143="","",COUNTIF(Prod_Prop!B:B,A143))</f>
        <v>0</v>
      </c>
      <c r="J143" s="92">
        <f>IF(E143="","",IF(SUMIF(Precio_Productos!L:L,E143,Precio_Productos!J:J)=0,"Falta Precio",SUMIF(Precio_Productos!L:L,E143,Precio_Productos!J:J)))</f>
        <v>3500000</v>
      </c>
      <c r="O143" s="86"/>
      <c r="P143" s="86" t="str">
        <f>IFERROR(__xludf.DUMMYFUNCTION("IF(OR(F143=""Selecciona.."",F143=""""),"""",TRANSPOSE(filter(Familias!C:C,Familias!D:D=F143)))"),"Gruas de Arrastre")</f>
        <v>Gruas de Arrastre</v>
      </c>
      <c r="Q143" s="86" t="str">
        <f>IFERROR(__xludf.DUMMYFUNCTION("""COMPUTED_VALUE"""),"Accesorios Gruas")</f>
        <v>Accesorios Gruas</v>
      </c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</row>
    <row r="144">
      <c r="A144" s="4">
        <f t="shared" si="1"/>
        <v>143</v>
      </c>
      <c r="B144" s="4"/>
      <c r="C144" s="4"/>
      <c r="D144" s="4"/>
      <c r="E144" s="45" t="s">
        <v>144</v>
      </c>
      <c r="F144" s="2" t="s">
        <v>376</v>
      </c>
      <c r="G144" s="2" t="s">
        <v>376</v>
      </c>
      <c r="H144" s="2">
        <f>IF(G144="","",SUMIF(Familias!C:C,G144,Familias!E:E))</f>
        <v>1</v>
      </c>
      <c r="I144" s="4">
        <f>IF(A144="","",COUNTIF(Prod_Prop!B:B,A144))</f>
        <v>1</v>
      </c>
      <c r="J144" s="92">
        <f>IF(E144="","",IF(SUMIF(Precio_Productos!L:L,E144,Precio_Productos!J:J)=0,"Falta Precio",SUMIF(Precio_Productos!L:L,E144,Precio_Productos!J:J)))</f>
        <v>8074729</v>
      </c>
      <c r="O144" s="86"/>
      <c r="P144" s="86" t="str">
        <f>IFERROR(__xludf.DUMMYFUNCTION("IF(OR(F144=""Selecciona.."",F144=""""),"""",TRANSPOSE(filter(Familias!C:C,Familias!D:D=F144)))"),"Retroexcavadoras")</f>
        <v>Retroexcavadoras</v>
      </c>
      <c r="Q144" s="86" t="str">
        <f>IFERROR(__xludf.DUMMYFUNCTION("""COMPUTED_VALUE"""),"Acoples Retroexcavadoras")</f>
        <v>Acoples Retroexcavadoras</v>
      </c>
      <c r="R144" s="86" t="str">
        <f>IFERROR(__xludf.DUMMYFUNCTION("""COMPUTED_VALUE"""),"Accesorios Retroexcavadoras")</f>
        <v>Accesorios Retroexcavadoras</v>
      </c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</row>
    <row r="145">
      <c r="A145" s="4">
        <f t="shared" si="1"/>
        <v>144</v>
      </c>
      <c r="B145" s="4"/>
      <c r="C145" s="4"/>
      <c r="D145" s="4"/>
      <c r="E145" s="45" t="s">
        <v>145</v>
      </c>
      <c r="F145" s="2" t="s">
        <v>376</v>
      </c>
      <c r="G145" s="2" t="s">
        <v>376</v>
      </c>
      <c r="H145" s="2">
        <f>IF(G145="","",SUMIF(Familias!C:C,G145,Familias!E:E))</f>
        <v>1</v>
      </c>
      <c r="I145" s="4">
        <f>IF(A145="","",COUNTIF(Prod_Prop!B:B,A145))</f>
        <v>1</v>
      </c>
      <c r="J145" s="92">
        <f>IF(E145="","",IF(SUMIF(Precio_Productos!L:L,E145,Precio_Productos!J:J)=0,"Falta Precio",SUMIF(Precio_Productos!L:L,E145,Precio_Productos!J:J)))</f>
        <v>10406890</v>
      </c>
      <c r="O145" s="86"/>
      <c r="P145" s="86" t="str">
        <f>IFERROR(__xludf.DUMMYFUNCTION("IF(OR(F145=""Selecciona.."",F145=""""),"""",TRANSPOSE(filter(Familias!C:C,Familias!D:D=F145)))"),"Retroexcavadoras")</f>
        <v>Retroexcavadoras</v>
      </c>
      <c r="Q145" s="86" t="str">
        <f>IFERROR(__xludf.DUMMYFUNCTION("""COMPUTED_VALUE"""),"Acoples Retroexcavadoras")</f>
        <v>Acoples Retroexcavadoras</v>
      </c>
      <c r="R145" s="86" t="str">
        <f>IFERROR(__xludf.DUMMYFUNCTION("""COMPUTED_VALUE"""),"Accesorios Retroexcavadoras")</f>
        <v>Accesorios Retroexcavadoras</v>
      </c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</row>
    <row r="146">
      <c r="A146" s="4">
        <f t="shared" si="1"/>
        <v>145</v>
      </c>
      <c r="B146" s="4"/>
      <c r="C146" s="4"/>
      <c r="D146" s="4"/>
      <c r="E146" s="45" t="s">
        <v>146</v>
      </c>
      <c r="F146" s="2" t="s">
        <v>376</v>
      </c>
      <c r="G146" s="2" t="s">
        <v>449</v>
      </c>
      <c r="H146" s="2">
        <f>IF(G146="","",SUMIF(Familias!C:C,G146,Familias!E:E))</f>
        <v>2</v>
      </c>
      <c r="I146" s="4">
        <f>IF(A146="","",COUNTIF(Prod_Prop!B:B,A146))</f>
        <v>2</v>
      </c>
      <c r="J146" s="92">
        <f>IF(E146="","",IF(SUMIF(Precio_Productos!L:L,E146,Precio_Productos!J:J)=0,"Falta Precio",SUMIF(Precio_Productos!L:L,E146,Precio_Productos!J:J)))</f>
        <v>180000</v>
      </c>
      <c r="O146" s="86"/>
      <c r="P146" s="86" t="str">
        <f>IFERROR(__xludf.DUMMYFUNCTION("IF(OR(F146=""Selecciona.."",F146=""""),"""",TRANSPOSE(filter(Familias!C:C,Familias!D:D=F146)))"),"Retroexcavadoras")</f>
        <v>Retroexcavadoras</v>
      </c>
      <c r="Q146" s="86" t="str">
        <f>IFERROR(__xludf.DUMMYFUNCTION("""COMPUTED_VALUE"""),"Acoples Retroexcavadoras")</f>
        <v>Acoples Retroexcavadoras</v>
      </c>
      <c r="R146" s="86" t="str">
        <f>IFERROR(__xludf.DUMMYFUNCTION("""COMPUTED_VALUE"""),"Accesorios Retroexcavadoras")</f>
        <v>Accesorios Retroexcavadoras</v>
      </c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</row>
    <row r="147">
      <c r="A147" s="4">
        <f t="shared" si="1"/>
        <v>146</v>
      </c>
      <c r="B147" s="4"/>
      <c r="C147" s="4"/>
      <c r="D147" s="4"/>
      <c r="E147" s="45" t="s">
        <v>147</v>
      </c>
      <c r="F147" s="2" t="s">
        <v>376</v>
      </c>
      <c r="G147" s="2" t="s">
        <v>449</v>
      </c>
      <c r="H147" s="2">
        <f>IF(G147="","",SUMIF(Familias!C:C,G147,Familias!E:E))</f>
        <v>2</v>
      </c>
      <c r="I147" s="4">
        <f>IF(A147="","",COUNTIF(Prod_Prop!B:B,A147))</f>
        <v>2</v>
      </c>
      <c r="J147" s="92">
        <f>IF(E147="","",IF(SUMIF(Precio_Productos!L:L,E147,Precio_Productos!J:J)=0,"Falta Precio",SUMIF(Precio_Productos!L:L,E147,Precio_Productos!J:J)))</f>
        <v>180000</v>
      </c>
      <c r="O147" s="86"/>
      <c r="P147" s="86" t="str">
        <f>IFERROR(__xludf.DUMMYFUNCTION("IF(OR(F147=""Selecciona.."",F147=""""),"""",TRANSPOSE(filter(Familias!C:C,Familias!D:D=F147)))"),"Retroexcavadoras")</f>
        <v>Retroexcavadoras</v>
      </c>
      <c r="Q147" s="86" t="str">
        <f>IFERROR(__xludf.DUMMYFUNCTION("""COMPUTED_VALUE"""),"Acoples Retroexcavadoras")</f>
        <v>Acoples Retroexcavadoras</v>
      </c>
      <c r="R147" s="86" t="str">
        <f>IFERROR(__xludf.DUMMYFUNCTION("""COMPUTED_VALUE"""),"Accesorios Retroexcavadoras")</f>
        <v>Accesorios Retroexcavadoras</v>
      </c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</row>
    <row r="148">
      <c r="A148" s="4">
        <f t="shared" si="1"/>
        <v>147</v>
      </c>
      <c r="B148" s="4"/>
      <c r="C148" s="4"/>
      <c r="D148" s="4"/>
      <c r="E148" s="45" t="s">
        <v>148</v>
      </c>
      <c r="F148" s="2" t="s">
        <v>376</v>
      </c>
      <c r="G148" s="2" t="s">
        <v>449</v>
      </c>
      <c r="H148" s="2">
        <f>IF(G148="","",SUMIF(Familias!C:C,G148,Familias!E:E))</f>
        <v>2</v>
      </c>
      <c r="I148" s="4">
        <f>IF(A148="","",COUNTIF(Prod_Prop!B:B,A148))</f>
        <v>2</v>
      </c>
      <c r="J148" s="92">
        <f>IF(E148="","",IF(SUMIF(Precio_Productos!L:L,E148,Precio_Productos!J:J)=0,"Falta Precio",SUMIF(Precio_Productos!L:L,E148,Precio_Productos!J:J)))</f>
        <v>799391</v>
      </c>
      <c r="O148" s="86"/>
      <c r="P148" s="86" t="str">
        <f>IFERROR(__xludf.DUMMYFUNCTION("IF(OR(F148=""Selecciona.."",F148=""""),"""",TRANSPOSE(filter(Familias!C:C,Familias!D:D=F148)))"),"Retroexcavadoras")</f>
        <v>Retroexcavadoras</v>
      </c>
      <c r="Q148" s="86" t="str">
        <f>IFERROR(__xludf.DUMMYFUNCTION("""COMPUTED_VALUE"""),"Acoples Retroexcavadoras")</f>
        <v>Acoples Retroexcavadoras</v>
      </c>
      <c r="R148" s="86" t="str">
        <f>IFERROR(__xludf.DUMMYFUNCTION("""COMPUTED_VALUE"""),"Accesorios Retroexcavadoras")</f>
        <v>Accesorios Retroexcavadoras</v>
      </c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</row>
    <row r="149">
      <c r="A149" s="4">
        <f t="shared" si="1"/>
        <v>148</v>
      </c>
      <c r="B149" s="4"/>
      <c r="C149" s="4"/>
      <c r="D149" s="4"/>
      <c r="E149" s="45" t="s">
        <v>177</v>
      </c>
      <c r="F149" s="2" t="s">
        <v>376</v>
      </c>
      <c r="G149" s="2" t="s">
        <v>450</v>
      </c>
      <c r="H149" s="2">
        <f>IF(G149="","",SUMIF(Familias!C:C,G149,Familias!E:E))</f>
        <v>3</v>
      </c>
      <c r="I149" s="4">
        <f>IF(A149="","",COUNTIF(Prod_Prop!B:B,A149))</f>
        <v>0</v>
      </c>
      <c r="J149" s="92">
        <f>IF(E149="","",IF(SUMIF(Precio_Productos!L:L,E149,Precio_Productos!J:J)=0,"Falta Precio",SUMIF(Precio_Productos!L:L,E149,Precio_Productos!J:J)))</f>
        <v>1488370</v>
      </c>
      <c r="O149" s="86"/>
      <c r="P149" s="86" t="str">
        <f>IFERROR(__xludf.DUMMYFUNCTION("IF(OR(F149=""Selecciona.."",F149=""""),"""",TRANSPOSE(filter(Familias!C:C,Familias!D:D=F149)))"),"Retroexcavadoras")</f>
        <v>Retroexcavadoras</v>
      </c>
      <c r="Q149" s="86" t="str">
        <f>IFERROR(__xludf.DUMMYFUNCTION("""COMPUTED_VALUE"""),"Acoples Retroexcavadoras")</f>
        <v>Acoples Retroexcavadoras</v>
      </c>
      <c r="R149" s="86" t="str">
        <f>IFERROR(__xludf.DUMMYFUNCTION("""COMPUTED_VALUE"""),"Accesorios Retroexcavadoras")</f>
        <v>Accesorios Retroexcavadoras</v>
      </c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</row>
    <row r="150">
      <c r="A150" s="4">
        <f t="shared" si="1"/>
        <v>149</v>
      </c>
      <c r="B150" s="4"/>
      <c r="C150" s="4"/>
      <c r="D150" s="4"/>
      <c r="E150" s="45" t="s">
        <v>178</v>
      </c>
      <c r="F150" s="2" t="s">
        <v>376</v>
      </c>
      <c r="G150" s="2" t="s">
        <v>450</v>
      </c>
      <c r="H150" s="2">
        <f>IF(G150="","",SUMIF(Familias!C:C,G150,Familias!E:E))</f>
        <v>3</v>
      </c>
      <c r="I150" s="4">
        <f>IF(A150="","",COUNTIF(Prod_Prop!B:B,A150))</f>
        <v>0</v>
      </c>
      <c r="J150" s="92">
        <f>IF(E150="","",IF(SUMIF(Precio_Productos!L:L,E150,Precio_Productos!J:J)=0,"Falta Precio",SUMIF(Precio_Productos!L:L,E150,Precio_Productos!J:J)))</f>
        <v>4913911</v>
      </c>
      <c r="O150" s="86"/>
      <c r="P150" s="86" t="str">
        <f>IFERROR(__xludf.DUMMYFUNCTION("IF(OR(F150=""Selecciona.."",F150=""""),"""",TRANSPOSE(filter(Familias!C:C,Familias!D:D=F150)))"),"Retroexcavadoras")</f>
        <v>Retroexcavadoras</v>
      </c>
      <c r="Q150" s="86" t="str">
        <f>IFERROR(__xludf.DUMMYFUNCTION("""COMPUTED_VALUE"""),"Acoples Retroexcavadoras")</f>
        <v>Acoples Retroexcavadoras</v>
      </c>
      <c r="R150" s="86" t="str">
        <f>IFERROR(__xludf.DUMMYFUNCTION("""COMPUTED_VALUE"""),"Accesorios Retroexcavadoras")</f>
        <v>Accesorios Retroexcavadoras</v>
      </c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</row>
    <row r="151">
      <c r="A151" s="4">
        <f t="shared" si="1"/>
        <v>150</v>
      </c>
      <c r="B151" s="4"/>
      <c r="C151" s="4"/>
      <c r="D151" s="4"/>
      <c r="E151" s="45" t="s">
        <v>179</v>
      </c>
      <c r="F151" s="2" t="s">
        <v>376</v>
      </c>
      <c r="G151" s="2" t="s">
        <v>450</v>
      </c>
      <c r="H151" s="2">
        <f>IF(G151="","",SUMIF(Familias!C:C,G151,Familias!E:E))</f>
        <v>3</v>
      </c>
      <c r="I151" s="4">
        <f>IF(A151="","",COUNTIF(Prod_Prop!B:B,A151))</f>
        <v>0</v>
      </c>
      <c r="J151" s="92">
        <f>IF(E151="","",IF(SUMIF(Precio_Productos!L:L,E151,Precio_Productos!J:J)=0,"Falta Precio",SUMIF(Precio_Productos!L:L,E151,Precio_Productos!J:J)))</f>
        <v>6841922</v>
      </c>
      <c r="O151" s="86"/>
      <c r="P151" s="86" t="str">
        <f>IFERROR(__xludf.DUMMYFUNCTION("IF(OR(F151=""Selecciona.."",F151=""""),"""",TRANSPOSE(filter(Familias!C:C,Familias!D:D=F151)))"),"Retroexcavadoras")</f>
        <v>Retroexcavadoras</v>
      </c>
      <c r="Q151" s="86" t="str">
        <f>IFERROR(__xludf.DUMMYFUNCTION("""COMPUTED_VALUE"""),"Acoples Retroexcavadoras")</f>
        <v>Acoples Retroexcavadoras</v>
      </c>
      <c r="R151" s="86" t="str">
        <f>IFERROR(__xludf.DUMMYFUNCTION("""COMPUTED_VALUE"""),"Accesorios Retroexcavadoras")</f>
        <v>Accesorios Retroexcavadoras</v>
      </c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</row>
    <row r="152">
      <c r="A152" s="4">
        <f t="shared" si="1"/>
        <v>151</v>
      </c>
      <c r="B152" s="4"/>
      <c r="C152" s="4"/>
      <c r="D152" s="4"/>
      <c r="E152" s="45" t="s">
        <v>132</v>
      </c>
      <c r="F152" s="2" t="s">
        <v>387</v>
      </c>
      <c r="G152" s="2" t="s">
        <v>118</v>
      </c>
      <c r="H152" s="2">
        <f>IF(G152="","",SUMIF(Familias!C:C,G152,Familias!E:E))</f>
        <v>1</v>
      </c>
      <c r="I152" s="4">
        <f>IF(A152="","",COUNTIF(Prod_Prop!B:B,A152))</f>
        <v>3</v>
      </c>
      <c r="J152" s="92" t="str">
        <f>IF(E152="","",IF(SUMIF(Precio_Productos!L:L,E152,Precio_Productos!J:J)=0,"Falta Precio",SUMIF(Precio_Productos!L:L,E152,Precio_Productos!J:J)))</f>
        <v>Falta Precio</v>
      </c>
      <c r="O152" s="86"/>
      <c r="P152" s="86" t="str">
        <f>IFERROR(__xludf.DUMMYFUNCTION("IF(OR(F152=""Selecciona.."",F152=""""),"""",TRANSPOSE(filter(Familias!C:C,Familias!D:D=F152)))"),"Llantas")</f>
        <v>Llantas</v>
      </c>
      <c r="Q152" s="86" t="str">
        <f>IFERROR(__xludf.DUMMYFUNCTION("""COMPUTED_VALUE"""),"Ejes")</f>
        <v>Ejes</v>
      </c>
      <c r="R152" s="86" t="str">
        <f>IFERROR(__xludf.DUMMYFUNCTION("""COMPUTED_VALUE"""),"Elásticos")</f>
        <v>Elásticos</v>
      </c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</row>
    <row r="153">
      <c r="A153" s="4">
        <f t="shared" si="1"/>
        <v>152</v>
      </c>
      <c r="B153" s="4"/>
      <c r="C153" s="4"/>
      <c r="D153" s="4"/>
      <c r="E153" s="45" t="s">
        <v>184</v>
      </c>
      <c r="F153" s="2" t="s">
        <v>28</v>
      </c>
      <c r="G153" s="2" t="s">
        <v>424</v>
      </c>
      <c r="H153" s="2">
        <f>IF(G153="","",SUMIF(Familias!C:C,G153,Familias!E:E))</f>
        <v>2</v>
      </c>
      <c r="I153" s="4">
        <f>IF(A153="","",COUNTIF(Prod_Prop!B:B,A153))</f>
        <v>0</v>
      </c>
      <c r="J153" s="92">
        <f>IF(E153="","",IF(SUMIF(Precio_Productos!L:L,E153,Precio_Productos!J:J)=0,"Falta Precio",SUMIF(Precio_Productos!L:L,E153,Precio_Productos!J:J)))</f>
        <v>260000</v>
      </c>
      <c r="O153" s="86"/>
      <c r="P153" s="86" t="str">
        <f>IFERROR(__xludf.DUMMYFUNCTION("IF(OR(F153=""Selecciona.."",F153=""""),"""",TRANSPOSE(filter(Familias!C:C,Familias!D:D=F153)))"),"Chasis Acoplados 1 Ejes")</f>
        <v>Chasis Acoplados 1 Ejes</v>
      </c>
      <c r="Q153" s="86" t="str">
        <f>IFERROR(__xludf.DUMMYFUNCTION("""COMPUTED_VALUE"""),"Chasis Acoplados 2 Ejes")</f>
        <v>Chasis Acoplados 2 Ejes</v>
      </c>
      <c r="R153" s="86" t="str">
        <f>IFERROR(__xludf.DUMMYFUNCTION("""COMPUTED_VALUE"""),"Chasis Acoplados Balancin")</f>
        <v>Chasis Acoplados Balancin</v>
      </c>
      <c r="S153" s="86" t="str">
        <f>IFERROR(__xludf.DUMMYFUNCTION("""COMPUTED_VALUE"""),"Cajones para Acoplados")</f>
        <v>Cajones para Acoplados</v>
      </c>
      <c r="T153" s="86" t="str">
        <f>IFERROR(__xludf.DUMMYFUNCTION("""COMPUTED_VALUE"""),"Cajones Laterales para Acoplados")</f>
        <v>Cajones Laterales para Acoplados</v>
      </c>
      <c r="U153" s="86" t="str">
        <f>IFERROR(__xludf.DUMMYFUNCTION("""COMPUTED_VALUE"""),"Tanques Metálicos para Acoplados")</f>
        <v>Tanques Metálicos para Acoplados</v>
      </c>
      <c r="V153" s="86" t="str">
        <f>IFERROR(__xludf.DUMMYFUNCTION("""COMPUTED_VALUE"""),"Tanques Plásticos para Acoplados")</f>
        <v>Tanques Plásticos para Acoplados</v>
      </c>
      <c r="W153" s="86" t="str">
        <f>IFERROR(__xludf.DUMMYFUNCTION("""COMPUTED_VALUE"""),"Playos para Acoplados")</f>
        <v>Playos para Acoplados</v>
      </c>
      <c r="X153" s="86"/>
      <c r="Y153" s="86"/>
      <c r="Z153" s="86"/>
      <c r="AA153" s="86"/>
      <c r="AB153" s="86"/>
      <c r="AC153" s="86"/>
      <c r="AD153" s="86"/>
      <c r="AE153" s="86"/>
    </row>
    <row r="154">
      <c r="A154" s="4">
        <f t="shared" si="1"/>
        <v>153</v>
      </c>
      <c r="B154" s="4"/>
      <c r="C154" s="4"/>
      <c r="D154" s="4"/>
      <c r="E154" s="45" t="s">
        <v>149</v>
      </c>
      <c r="F154" s="2" t="s">
        <v>387</v>
      </c>
      <c r="G154" s="2" t="s">
        <v>118</v>
      </c>
      <c r="H154" s="2">
        <f>IF(G154="","",SUMIF(Familias!C:C,G154,Familias!E:E))</f>
        <v>1</v>
      </c>
      <c r="I154" s="4">
        <f>IF(A154="","",COUNTIF(Prod_Prop!B:B,A154))</f>
        <v>3</v>
      </c>
      <c r="J154" s="92" t="str">
        <f>IF(E154="","",IF(SUMIF(Precio_Productos!L:L,E154,Precio_Productos!J:J)=0,"Falta Precio",SUMIF(Precio_Productos!L:L,E154,Precio_Productos!J:J)))</f>
        <v>Falta Precio</v>
      </c>
      <c r="O154" s="86"/>
      <c r="P154" s="86" t="str">
        <f>IFERROR(__xludf.DUMMYFUNCTION("IF(OR(F154=""Selecciona.."",F154=""""),"""",TRANSPOSE(filter(Familias!C:C,Familias!D:D=F154)))"),"Llantas")</f>
        <v>Llantas</v>
      </c>
      <c r="Q154" s="86" t="str">
        <f>IFERROR(__xludf.DUMMYFUNCTION("""COMPUTED_VALUE"""),"Ejes")</f>
        <v>Ejes</v>
      </c>
      <c r="R154" s="86" t="str">
        <f>IFERROR(__xludf.DUMMYFUNCTION("""COMPUTED_VALUE"""),"Elásticos")</f>
        <v>Elásticos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</row>
    <row r="155">
      <c r="A155" s="4" t="str">
        <f t="shared" si="1"/>
        <v/>
      </c>
      <c r="B155" s="4"/>
      <c r="C155" s="4"/>
      <c r="D155" s="4"/>
      <c r="E155" s="45"/>
      <c r="F155" s="4" t="str">
        <f t="shared" ref="F155:F1002" si="2">IF(E155="","","Selecciona..")</f>
        <v/>
      </c>
      <c r="G155" s="2" t="str">
        <f t="shared" ref="G155:G1002" si="3">IF(P155="","","Selecciona..")</f>
        <v/>
      </c>
      <c r="H155" s="2" t="str">
        <f>IF(G155="","",SUMIF(Familias!C:C,G155,Familias!E:E))</f>
        <v/>
      </c>
      <c r="I155" s="4" t="str">
        <f>IF(A155="","",COUNTIF(Prod_Prop!B:B,A155))</f>
        <v/>
      </c>
      <c r="J155" s="92" t="str">
        <f>IF(E155="","",IF(SUMIF(Precio_Productos!L:L,E155,Precio_Productos!J:J)=0,"Falta Precio",SUMIF(Precio_Productos!L:L,E155,Precio_Productos!J:J)))</f>
        <v/>
      </c>
      <c r="O155" s="86"/>
      <c r="P155" s="86" t="str">
        <f>IFERROR(__xludf.DUMMYFUNCTION("IF(OR(F155=""Selecciona.."",F155=""""),"""",TRANSPOSE(filter(Familias!C:C,Familias!D:D=F155)))"),"")</f>
        <v/>
      </c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</row>
    <row r="156">
      <c r="A156" s="4" t="str">
        <f t="shared" si="1"/>
        <v/>
      </c>
      <c r="B156" s="4"/>
      <c r="C156" s="4"/>
      <c r="D156" s="4"/>
      <c r="E156" s="94"/>
      <c r="F156" s="4" t="str">
        <f t="shared" si="2"/>
        <v/>
      </c>
      <c r="G156" s="2" t="str">
        <f t="shared" si="3"/>
        <v/>
      </c>
      <c r="H156" s="2" t="str">
        <f>IF(G156="","",SUMIF(Familias!C:C,G156,Familias!E:E))</f>
        <v/>
      </c>
      <c r="I156" s="4" t="str">
        <f>IF(A156="","",COUNTIF(Prod_Prop!B:B,A156))</f>
        <v/>
      </c>
      <c r="J156" s="92" t="str">
        <f>IF(E156="","",IF(SUMIF(Precio_Productos!L:L,E156,Precio_Productos!J:J)=0,"Falta Precio",SUMIF(Precio_Productos!L:L,E156,Precio_Productos!J:J)))</f>
        <v/>
      </c>
      <c r="O156" s="86"/>
      <c r="P156" s="86" t="str">
        <f>IFERROR(__xludf.DUMMYFUNCTION("IF(OR(F156=""Selecciona.."",F156=""""),"""",TRANSPOSE(filter(Familias!C:C,Familias!D:D=F156)))"),"")</f>
        <v/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</row>
    <row r="157">
      <c r="A157" s="4" t="str">
        <f t="shared" si="1"/>
        <v/>
      </c>
      <c r="B157" s="4"/>
      <c r="C157" s="4"/>
      <c r="D157" s="4"/>
      <c r="E157" s="94"/>
      <c r="F157" s="4" t="str">
        <f t="shared" si="2"/>
        <v/>
      </c>
      <c r="G157" s="2" t="str">
        <f t="shared" si="3"/>
        <v/>
      </c>
      <c r="H157" s="2" t="str">
        <f>IF(G157="","",SUMIF(Familias!C:C,G157,Familias!E:E))</f>
        <v/>
      </c>
      <c r="I157" s="4" t="str">
        <f>IF(A157="","",COUNTIF(Prod_Prop!B:B,A157))</f>
        <v/>
      </c>
      <c r="J157" s="92" t="str">
        <f>IF(E157="","",IF(SUMIF(Precio_Productos!L:L,E157,Precio_Productos!J:J)=0,"Falta Precio",SUMIF(Precio_Productos!L:L,E157,Precio_Productos!J:J)))</f>
        <v/>
      </c>
      <c r="O157" s="86"/>
      <c r="P157" s="86" t="str">
        <f>IFERROR(__xludf.DUMMYFUNCTION("IF(OR(F157=""Selecciona.."",F157=""""),"""",TRANSPOSE(filter(Familias!C:C,Familias!D:D=F157)))"),"")</f>
        <v/>
      </c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</row>
    <row r="158">
      <c r="A158" s="4" t="str">
        <f t="shared" si="1"/>
        <v/>
      </c>
      <c r="B158" s="4"/>
      <c r="C158" s="4"/>
      <c r="D158" s="4"/>
      <c r="E158" s="94"/>
      <c r="F158" s="4" t="str">
        <f t="shared" si="2"/>
        <v/>
      </c>
      <c r="G158" s="2" t="str">
        <f t="shared" si="3"/>
        <v/>
      </c>
      <c r="H158" s="2" t="str">
        <f>IF(G158="","",SUMIF(Familias!C:C,G158,Familias!E:E))</f>
        <v/>
      </c>
      <c r="I158" s="4" t="str">
        <f>IF(A158="","",COUNTIF(Prod_Prop!B:B,A158))</f>
        <v/>
      </c>
      <c r="J158" s="92" t="str">
        <f>IF(E158="","",IF(SUMIF(Precio_Productos!L:L,E158,Precio_Productos!J:J)=0,"Falta Precio",SUMIF(Precio_Productos!L:L,E158,Precio_Productos!J:J)))</f>
        <v/>
      </c>
      <c r="O158" s="86"/>
      <c r="P158" s="86" t="str">
        <f>IFERROR(__xludf.DUMMYFUNCTION("IF(OR(F158=""Selecciona.."",F158=""""),"""",TRANSPOSE(filter(Familias!C:C,Familias!D:D=F158)))"),"")</f>
        <v/>
      </c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</row>
    <row r="159">
      <c r="A159" s="4" t="str">
        <f t="shared" si="1"/>
        <v/>
      </c>
      <c r="B159" s="4"/>
      <c r="C159" s="4"/>
      <c r="D159" s="4"/>
      <c r="E159" s="94"/>
      <c r="F159" s="4" t="str">
        <f t="shared" si="2"/>
        <v/>
      </c>
      <c r="G159" s="2" t="str">
        <f t="shared" si="3"/>
        <v/>
      </c>
      <c r="H159" s="2" t="str">
        <f>IF(G159="","",SUMIF(Familias!C:C,G159,Familias!E:E))</f>
        <v/>
      </c>
      <c r="I159" s="4" t="str">
        <f>IF(A159="","",COUNTIF(Prod_Prop!B:B,A159))</f>
        <v/>
      </c>
      <c r="J159" s="92" t="str">
        <f>IF(E159="","",IF(SUMIF(Precio_Productos!L:L,E159,Precio_Productos!J:J)=0,"Falta Precio",SUMIF(Precio_Productos!L:L,E159,Precio_Productos!J:J)))</f>
        <v/>
      </c>
      <c r="O159" s="86"/>
      <c r="P159" s="86" t="str">
        <f>IFERROR(__xludf.DUMMYFUNCTION("IF(OR(F159=""Selecciona.."",F159=""""),"""",TRANSPOSE(filter(Familias!C:C,Familias!D:D=F159)))"),"")</f>
        <v/>
      </c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</row>
    <row r="160">
      <c r="A160" s="4" t="str">
        <f t="shared" si="1"/>
        <v/>
      </c>
      <c r="B160" s="4"/>
      <c r="C160" s="4"/>
      <c r="D160" s="4"/>
      <c r="E160" s="94"/>
      <c r="F160" s="4" t="str">
        <f t="shared" si="2"/>
        <v/>
      </c>
      <c r="G160" s="2" t="str">
        <f t="shared" si="3"/>
        <v/>
      </c>
      <c r="H160" s="2" t="str">
        <f>IF(G160="","",SUMIF(Familias!C:C,G160,Familias!E:E))</f>
        <v/>
      </c>
      <c r="I160" s="4" t="str">
        <f>IF(A160="","",COUNTIF(Prod_Prop!B:B,A160))</f>
        <v/>
      </c>
      <c r="J160" s="92" t="str">
        <f>IF(E160="","",IF(SUMIF(Precio_Productos!L:L,E160,Precio_Productos!J:J)=0,"Falta Precio",SUMIF(Precio_Productos!L:L,E160,Precio_Productos!J:J)))</f>
        <v/>
      </c>
      <c r="O160" s="86"/>
      <c r="P160" s="86" t="str">
        <f>IFERROR(__xludf.DUMMYFUNCTION("IF(OR(F160=""Selecciona.."",F160=""""),"""",TRANSPOSE(filter(Familias!C:C,Familias!D:D=F160)))"),"")</f>
        <v/>
      </c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</row>
    <row r="161">
      <c r="A161" s="4" t="str">
        <f t="shared" si="1"/>
        <v/>
      </c>
      <c r="B161" s="4"/>
      <c r="C161" s="4"/>
      <c r="D161" s="4"/>
      <c r="E161" s="94"/>
      <c r="F161" s="4" t="str">
        <f t="shared" si="2"/>
        <v/>
      </c>
      <c r="G161" s="2" t="str">
        <f t="shared" si="3"/>
        <v/>
      </c>
      <c r="H161" s="2" t="str">
        <f>IF(G161="","",SUMIF(Familias!C:C,G161,Familias!E:E))</f>
        <v/>
      </c>
      <c r="I161" s="4" t="str">
        <f>IF(A161="","",COUNTIF(Prod_Prop!B:B,A161))</f>
        <v/>
      </c>
      <c r="J161" s="92" t="str">
        <f>IF(E161="","",IF(SUMIF(Precio_Productos!L:L,E161,Precio_Productos!J:J)=0,"Falta Precio",SUMIF(Precio_Productos!L:L,E161,Precio_Productos!J:J)))</f>
        <v/>
      </c>
      <c r="O161" s="86"/>
      <c r="P161" s="86" t="str">
        <f>IFERROR(__xludf.DUMMYFUNCTION("IF(OR(F161=""Selecciona.."",F161=""""),"""",TRANSPOSE(filter(Familias!C:C,Familias!D:D=F161)))"),"")</f>
        <v/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</row>
    <row r="162">
      <c r="A162" s="4" t="str">
        <f t="shared" si="1"/>
        <v/>
      </c>
      <c r="B162" s="4"/>
      <c r="C162" s="4"/>
      <c r="D162" s="4"/>
      <c r="E162" s="94"/>
      <c r="F162" s="4" t="str">
        <f t="shared" si="2"/>
        <v/>
      </c>
      <c r="G162" s="2" t="str">
        <f t="shared" si="3"/>
        <v/>
      </c>
      <c r="H162" s="2" t="str">
        <f>IF(G162="","",SUMIF(Familias!C:C,G162,Familias!E:E))</f>
        <v/>
      </c>
      <c r="I162" s="4" t="str">
        <f>IF(A162="","",COUNTIF(Prod_Prop!B:B,A162))</f>
        <v/>
      </c>
      <c r="J162" s="92" t="str">
        <f>IF(E162="","",IF(SUMIF(Precio_Productos!L:L,E162,Precio_Productos!J:J)=0,"Falta Precio",SUMIF(Precio_Productos!L:L,E162,Precio_Productos!J:J)))</f>
        <v/>
      </c>
      <c r="O162" s="86"/>
      <c r="P162" s="86" t="str">
        <f>IFERROR(__xludf.DUMMYFUNCTION("IF(OR(F162=""Selecciona.."",F162=""""),"""",TRANSPOSE(filter(Familias!C:C,Familias!D:D=F162)))"),"")</f>
        <v/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</row>
    <row r="163">
      <c r="A163" s="4" t="str">
        <f t="shared" si="1"/>
        <v/>
      </c>
      <c r="B163" s="4"/>
      <c r="C163" s="4"/>
      <c r="D163" s="4"/>
      <c r="E163" s="94"/>
      <c r="F163" s="4" t="str">
        <f t="shared" si="2"/>
        <v/>
      </c>
      <c r="G163" s="2" t="str">
        <f t="shared" si="3"/>
        <v/>
      </c>
      <c r="H163" s="2" t="str">
        <f>IF(G163="","",SUMIF(Familias!C:C,G163,Familias!E:E))</f>
        <v/>
      </c>
      <c r="I163" s="4" t="str">
        <f>IF(A163="","",COUNTIF(Prod_Prop!B:B,A163))</f>
        <v/>
      </c>
      <c r="J163" s="92" t="str">
        <f>IF(E163="","",IF(SUMIF(Precio_Productos!L:L,E163,Precio_Productos!J:J)=0,"Falta Precio",SUMIF(Precio_Productos!L:L,E163,Precio_Productos!J:J)))</f>
        <v/>
      </c>
      <c r="O163" s="86"/>
      <c r="P163" s="86" t="str">
        <f>IFERROR(__xludf.DUMMYFUNCTION("IF(OR(F163=""Selecciona.."",F163=""""),"""",TRANSPOSE(filter(Familias!C:C,Familias!D:D=F163)))"),"")</f>
        <v/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</row>
    <row r="164">
      <c r="A164" s="4" t="str">
        <f t="shared" si="1"/>
        <v/>
      </c>
      <c r="B164" s="4"/>
      <c r="C164" s="4"/>
      <c r="D164" s="4"/>
      <c r="E164" s="94"/>
      <c r="F164" s="4" t="str">
        <f t="shared" si="2"/>
        <v/>
      </c>
      <c r="G164" s="2" t="str">
        <f t="shared" si="3"/>
        <v/>
      </c>
      <c r="H164" s="2" t="str">
        <f>IF(G164="","",SUMIF(Familias!C:C,G164,Familias!E:E))</f>
        <v/>
      </c>
      <c r="I164" s="4" t="str">
        <f>IF(A164="","",COUNTIF(Prod_Prop!B:B,A164))</f>
        <v/>
      </c>
      <c r="J164" s="92" t="str">
        <f>IF(E164="","",IF(SUMIF(Precio_Productos!L:L,E164,Precio_Productos!J:J)=0,"Falta Precio",SUMIF(Precio_Productos!L:L,E164,Precio_Productos!J:J)))</f>
        <v/>
      </c>
      <c r="O164" s="86"/>
      <c r="P164" s="86" t="str">
        <f>IFERROR(__xludf.DUMMYFUNCTION("IF(OR(F164=""Selecciona.."",F164=""""),"""",TRANSPOSE(filter(Familias!C:C,Familias!D:D=F164)))"),"")</f>
        <v/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</row>
    <row r="165">
      <c r="A165" s="4" t="str">
        <f t="shared" si="1"/>
        <v/>
      </c>
      <c r="B165" s="4"/>
      <c r="C165" s="4"/>
      <c r="D165" s="4"/>
      <c r="E165" s="94"/>
      <c r="F165" s="4" t="str">
        <f t="shared" si="2"/>
        <v/>
      </c>
      <c r="G165" s="2" t="str">
        <f t="shared" si="3"/>
        <v/>
      </c>
      <c r="H165" s="2" t="str">
        <f>IF(G165="","",SUMIF(Familias!C:C,G165,Familias!E:E))</f>
        <v/>
      </c>
      <c r="I165" s="4" t="str">
        <f>IF(A165="","",COUNTIF(Prod_Prop!B:B,A165))</f>
        <v/>
      </c>
      <c r="J165" s="92" t="str">
        <f>IF(E165="","",IF(SUMIF(Precio_Productos!L:L,E165,Precio_Productos!J:J)=0,"Falta Precio",SUMIF(Precio_Productos!L:L,E165,Precio_Productos!J:J)))</f>
        <v/>
      </c>
      <c r="O165" s="86"/>
      <c r="P165" s="86" t="str">
        <f>IFERROR(__xludf.DUMMYFUNCTION("IF(OR(F165=""Selecciona.."",F165=""""),"""",TRANSPOSE(filter(Familias!C:C,Familias!D:D=F165)))"),"")</f>
        <v/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</row>
    <row r="166">
      <c r="A166" s="4" t="str">
        <f t="shared" si="1"/>
        <v/>
      </c>
      <c r="B166" s="4"/>
      <c r="C166" s="4"/>
      <c r="D166" s="4"/>
      <c r="E166" s="94"/>
      <c r="F166" s="4" t="str">
        <f t="shared" si="2"/>
        <v/>
      </c>
      <c r="G166" s="2" t="str">
        <f t="shared" si="3"/>
        <v/>
      </c>
      <c r="H166" s="2" t="str">
        <f>IF(G166="","",SUMIF(Familias!C:C,G166,Familias!E:E))</f>
        <v/>
      </c>
      <c r="I166" s="4" t="str">
        <f>IF(A166="","",COUNTIF(Prod_Prop!B:B,A166))</f>
        <v/>
      </c>
      <c r="J166" s="92" t="str">
        <f>IF(E166="","",IF(SUMIF(Precio_Productos!L:L,E166,Precio_Productos!J:J)=0,"Falta Precio",SUMIF(Precio_Productos!L:L,E166,Precio_Productos!J:J)))</f>
        <v/>
      </c>
      <c r="O166" s="86"/>
      <c r="P166" s="86" t="str">
        <f>IFERROR(__xludf.DUMMYFUNCTION("IF(OR(F166=""Selecciona.."",F166=""""),"""",TRANSPOSE(filter(Familias!C:C,Familias!D:D=F166)))"),"")</f>
        <v/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</row>
    <row r="167">
      <c r="A167" s="4" t="str">
        <f t="shared" si="1"/>
        <v/>
      </c>
      <c r="B167" s="4"/>
      <c r="C167" s="4"/>
      <c r="D167" s="4"/>
      <c r="E167" s="94"/>
      <c r="F167" s="4" t="str">
        <f t="shared" si="2"/>
        <v/>
      </c>
      <c r="G167" s="2" t="str">
        <f t="shared" si="3"/>
        <v/>
      </c>
      <c r="H167" s="2" t="str">
        <f>IF(G167="","",SUMIF(Familias!C:C,G167,Familias!E:E))</f>
        <v/>
      </c>
      <c r="I167" s="4" t="str">
        <f>IF(A167="","",COUNTIF(Prod_Prop!B:B,A167))</f>
        <v/>
      </c>
      <c r="J167" s="92" t="str">
        <f>IF(E167="","",IF(SUMIF(Precio_Productos!L:L,E167,Precio_Productos!J:J)=0,"Falta Precio",SUMIF(Precio_Productos!L:L,E167,Precio_Productos!J:J)))</f>
        <v/>
      </c>
      <c r="O167" s="86"/>
      <c r="P167" s="86" t="str">
        <f>IFERROR(__xludf.DUMMYFUNCTION("IF(OR(F167=""Selecciona.."",F167=""""),"""",TRANSPOSE(filter(Familias!C:C,Familias!D:D=F167)))"),"")</f>
        <v/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</row>
    <row r="168">
      <c r="A168" s="4" t="str">
        <f t="shared" si="1"/>
        <v/>
      </c>
      <c r="B168" s="4"/>
      <c r="C168" s="4"/>
      <c r="D168" s="4"/>
      <c r="E168" s="94"/>
      <c r="F168" s="4" t="str">
        <f t="shared" si="2"/>
        <v/>
      </c>
      <c r="G168" s="2" t="str">
        <f t="shared" si="3"/>
        <v/>
      </c>
      <c r="H168" s="2" t="str">
        <f>IF(G168="","",SUMIF(Familias!C:C,G168,Familias!E:E))</f>
        <v/>
      </c>
      <c r="I168" s="4" t="str">
        <f>IF(A168="","",COUNTIF(Prod_Prop!B:B,A168))</f>
        <v/>
      </c>
      <c r="J168" s="92" t="str">
        <f>IF(E168="","",IF(SUMIF(Precio_Productos!L:L,E168,Precio_Productos!J:J)=0,"Falta Precio",SUMIF(Precio_Productos!L:L,E168,Precio_Productos!J:J)))</f>
        <v/>
      </c>
      <c r="O168" s="86"/>
      <c r="P168" s="86" t="str">
        <f>IFERROR(__xludf.DUMMYFUNCTION("IF(OR(F168=""Selecciona.."",F168=""""),"""",TRANSPOSE(filter(Familias!C:C,Familias!D:D=F168)))"),"")</f>
        <v/>
      </c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</row>
    <row r="169">
      <c r="A169" s="4" t="str">
        <f t="shared" si="1"/>
        <v/>
      </c>
      <c r="B169" s="4"/>
      <c r="C169" s="4"/>
      <c r="D169" s="4"/>
      <c r="E169" s="94"/>
      <c r="F169" s="4" t="str">
        <f t="shared" si="2"/>
        <v/>
      </c>
      <c r="G169" s="2" t="str">
        <f t="shared" si="3"/>
        <v/>
      </c>
      <c r="H169" s="2" t="str">
        <f>IF(G169="","",SUMIF(Familias!C:C,G169,Familias!E:E))</f>
        <v/>
      </c>
      <c r="I169" s="4" t="str">
        <f>IF(A169="","",COUNTIF(Prod_Prop!B:B,A169))</f>
        <v/>
      </c>
      <c r="J169" s="92" t="str">
        <f>IF(E169="","",IF(SUMIF(Precio_Productos!L:L,E169,Precio_Productos!J:J)=0,"Falta Precio",SUMIF(Precio_Productos!L:L,E169,Precio_Productos!J:J)))</f>
        <v/>
      </c>
      <c r="O169" s="86"/>
      <c r="P169" s="86" t="str">
        <f>IFERROR(__xludf.DUMMYFUNCTION("IF(OR(F169=""Selecciona.."",F169=""""),"""",TRANSPOSE(filter(Familias!C:C,Familias!D:D=F169)))"),"")</f>
        <v/>
      </c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</row>
    <row r="170">
      <c r="A170" s="4" t="str">
        <f t="shared" si="1"/>
        <v/>
      </c>
      <c r="B170" s="4"/>
      <c r="C170" s="4"/>
      <c r="D170" s="4"/>
      <c r="E170" s="94"/>
      <c r="F170" s="4" t="str">
        <f t="shared" si="2"/>
        <v/>
      </c>
      <c r="G170" s="2" t="str">
        <f t="shared" si="3"/>
        <v/>
      </c>
      <c r="H170" s="2" t="str">
        <f>IF(G170="","",SUMIF(Familias!C:C,G170,Familias!E:E))</f>
        <v/>
      </c>
      <c r="I170" s="4" t="str">
        <f>IF(A170="","",COUNTIF(Prod_Prop!B:B,A170))</f>
        <v/>
      </c>
      <c r="J170" s="92" t="str">
        <f>IF(E170="","",IF(SUMIF(Precio_Productos!L:L,E170,Precio_Productos!J:J)=0,"Falta Precio",SUMIF(Precio_Productos!L:L,E170,Precio_Productos!J:J)))</f>
        <v/>
      </c>
      <c r="O170" s="86"/>
      <c r="P170" s="86" t="str">
        <f>IFERROR(__xludf.DUMMYFUNCTION("IF(OR(F170=""Selecciona.."",F170=""""),"""",TRANSPOSE(filter(Familias!C:C,Familias!D:D=F170)))"),"")</f>
        <v/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</row>
    <row r="171">
      <c r="A171" s="4" t="str">
        <f t="shared" si="1"/>
        <v/>
      </c>
      <c r="B171" s="4"/>
      <c r="C171" s="4"/>
      <c r="D171" s="4"/>
      <c r="E171" s="94"/>
      <c r="F171" s="4" t="str">
        <f t="shared" si="2"/>
        <v/>
      </c>
      <c r="G171" s="2" t="str">
        <f t="shared" si="3"/>
        <v/>
      </c>
      <c r="H171" s="2" t="str">
        <f>IF(G171="","",SUMIF(Familias!C:C,G171,Familias!E:E))</f>
        <v/>
      </c>
      <c r="I171" s="4" t="str">
        <f>IF(A171="","",COUNTIF(Prod_Prop!B:B,A171))</f>
        <v/>
      </c>
      <c r="J171" s="92" t="str">
        <f>IF(E171="","",IF(SUMIF(Precio_Productos!L:L,E171,Precio_Productos!J:J)=0,"Falta Precio",SUMIF(Precio_Productos!L:L,E171,Precio_Productos!J:J)))</f>
        <v/>
      </c>
      <c r="O171" s="86"/>
      <c r="P171" s="86" t="str">
        <f>IFERROR(__xludf.DUMMYFUNCTION("IF(OR(F171=""Selecciona.."",F171=""""),"""",TRANSPOSE(filter(Familias!C:C,Familias!D:D=F171)))"),"")</f>
        <v/>
      </c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</row>
    <row r="172">
      <c r="A172" s="4" t="str">
        <f t="shared" si="1"/>
        <v/>
      </c>
      <c r="B172" s="4"/>
      <c r="C172" s="4"/>
      <c r="D172" s="4"/>
      <c r="E172" s="94"/>
      <c r="F172" s="4" t="str">
        <f t="shared" si="2"/>
        <v/>
      </c>
      <c r="G172" s="2" t="str">
        <f t="shared" si="3"/>
        <v/>
      </c>
      <c r="H172" s="2" t="str">
        <f>IF(G172="","",SUMIF(Familias!C:C,G172,Familias!E:E))</f>
        <v/>
      </c>
      <c r="I172" s="4" t="str">
        <f>IF(A172="","",COUNTIF(Prod_Prop!B:B,A172))</f>
        <v/>
      </c>
      <c r="J172" s="92" t="str">
        <f>IF(E172="","",IF(SUMIF(Precio_Productos!L:L,E172,Precio_Productos!J:J)=0,"Falta Precio",SUMIF(Precio_Productos!L:L,E172,Precio_Productos!J:J)))</f>
        <v/>
      </c>
      <c r="O172" s="86"/>
      <c r="P172" s="86" t="str">
        <f>IFERROR(__xludf.DUMMYFUNCTION("IF(OR(F172=""Selecciona.."",F172=""""),"""",TRANSPOSE(filter(Familias!C:C,Familias!D:D=F172)))"),"")</f>
        <v/>
      </c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</row>
    <row r="173">
      <c r="A173" s="4" t="str">
        <f t="shared" si="1"/>
        <v/>
      </c>
      <c r="B173" s="4"/>
      <c r="C173" s="4"/>
      <c r="D173" s="4"/>
      <c r="E173" s="94"/>
      <c r="F173" s="4" t="str">
        <f t="shared" si="2"/>
        <v/>
      </c>
      <c r="G173" s="2" t="str">
        <f t="shared" si="3"/>
        <v/>
      </c>
      <c r="H173" s="2" t="str">
        <f>IF(G173="","",SUMIF(Familias!C:C,G173,Familias!E:E))</f>
        <v/>
      </c>
      <c r="I173" s="4" t="str">
        <f>IF(A173="","",COUNTIF(Prod_Prop!B:B,A173))</f>
        <v/>
      </c>
      <c r="J173" s="92" t="str">
        <f>IF(E173="","",IF(SUMIF(Precio_Productos!L:L,E173,Precio_Productos!J:J)=0,"Falta Precio",SUMIF(Precio_Productos!L:L,E173,Precio_Productos!J:J)))</f>
        <v/>
      </c>
      <c r="O173" s="86"/>
      <c r="P173" s="86" t="str">
        <f>IFERROR(__xludf.DUMMYFUNCTION("IF(OR(F173=""Selecciona.."",F173=""""),"""",TRANSPOSE(filter(Familias!C:C,Familias!D:D=F173)))"),"")</f>
        <v/>
      </c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</row>
    <row r="174">
      <c r="A174" s="4" t="str">
        <f t="shared" si="1"/>
        <v/>
      </c>
      <c r="B174" s="4"/>
      <c r="C174" s="4"/>
      <c r="D174" s="4"/>
      <c r="E174" s="94"/>
      <c r="F174" s="4" t="str">
        <f t="shared" si="2"/>
        <v/>
      </c>
      <c r="G174" s="2" t="str">
        <f t="shared" si="3"/>
        <v/>
      </c>
      <c r="H174" s="2" t="str">
        <f>IF(G174="","",SUMIF(Familias!C:C,G174,Familias!E:E))</f>
        <v/>
      </c>
      <c r="I174" s="4" t="str">
        <f>IF(A174="","",COUNTIF(Prod_Prop!B:B,A174))</f>
        <v/>
      </c>
      <c r="J174" s="92" t="str">
        <f>IF(E174="","",IF(SUMIF(Precio_Productos!L:L,E174,Precio_Productos!J:J)=0,"Falta Precio",SUMIF(Precio_Productos!L:L,E174,Precio_Productos!J:J)))</f>
        <v/>
      </c>
      <c r="O174" s="86"/>
      <c r="P174" s="86" t="str">
        <f>IFERROR(__xludf.DUMMYFUNCTION("IF(OR(F174=""Selecciona.."",F174=""""),"""",TRANSPOSE(filter(Familias!C:C,Familias!D:D=F174)))"),"")</f>
        <v/>
      </c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</row>
    <row r="175">
      <c r="A175" s="4" t="str">
        <f t="shared" si="1"/>
        <v/>
      </c>
      <c r="B175" s="4"/>
      <c r="C175" s="4"/>
      <c r="D175" s="4"/>
      <c r="E175" s="94"/>
      <c r="F175" s="4" t="str">
        <f t="shared" si="2"/>
        <v/>
      </c>
      <c r="G175" s="2" t="str">
        <f t="shared" si="3"/>
        <v/>
      </c>
      <c r="H175" s="2" t="str">
        <f>IF(G175="","",SUMIF(Familias!C:C,G175,Familias!E:E))</f>
        <v/>
      </c>
      <c r="I175" s="4" t="str">
        <f>IF(A175="","",COUNTIF(Prod_Prop!B:B,A175))</f>
        <v/>
      </c>
      <c r="J175" s="92" t="str">
        <f>IF(E175="","",IF(SUMIF(Precio_Productos!L:L,E175,Precio_Productos!J:J)=0,"Falta Precio",SUMIF(Precio_Productos!L:L,E175,Precio_Productos!J:J)))</f>
        <v/>
      </c>
      <c r="O175" s="86"/>
      <c r="P175" s="86" t="str">
        <f>IFERROR(__xludf.DUMMYFUNCTION("IF(OR(F175=""Selecciona.."",F175=""""),"""",TRANSPOSE(filter(Familias!C:C,Familias!D:D=F175)))"),"")</f>
        <v/>
      </c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</row>
    <row r="176">
      <c r="A176" s="4" t="str">
        <f t="shared" si="1"/>
        <v/>
      </c>
      <c r="B176" s="4"/>
      <c r="C176" s="4"/>
      <c r="D176" s="4"/>
      <c r="E176" s="94"/>
      <c r="F176" s="4" t="str">
        <f t="shared" si="2"/>
        <v/>
      </c>
      <c r="G176" s="2" t="str">
        <f t="shared" si="3"/>
        <v/>
      </c>
      <c r="H176" s="2" t="str">
        <f>IF(G176="","",SUMIF(Familias!C:C,G176,Familias!E:E))</f>
        <v/>
      </c>
      <c r="I176" s="4" t="str">
        <f>IF(A176="","",COUNTIF(Prod_Prop!B:B,A176))</f>
        <v/>
      </c>
      <c r="J176" s="92" t="str">
        <f>IF(E176="","",IF(SUMIF(Precio_Productos!L:L,E176,Precio_Productos!J:J)=0,"Falta Precio",SUMIF(Precio_Productos!L:L,E176,Precio_Productos!J:J)))</f>
        <v/>
      </c>
      <c r="O176" s="86"/>
      <c r="P176" s="86" t="str">
        <f>IFERROR(__xludf.DUMMYFUNCTION("IF(OR(F176=""Selecciona.."",F176=""""),"""",TRANSPOSE(filter(Familias!C:C,Familias!D:D=F176)))"),"")</f>
        <v/>
      </c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</row>
    <row r="177">
      <c r="A177" s="4" t="str">
        <f t="shared" si="1"/>
        <v/>
      </c>
      <c r="B177" s="4"/>
      <c r="C177" s="4"/>
      <c r="D177" s="4"/>
      <c r="E177" s="94"/>
      <c r="F177" s="4" t="str">
        <f t="shared" si="2"/>
        <v/>
      </c>
      <c r="G177" s="2" t="str">
        <f t="shared" si="3"/>
        <v/>
      </c>
      <c r="H177" s="2" t="str">
        <f>IF(G177="","",SUMIF(Familias!C:C,G177,Familias!E:E))</f>
        <v/>
      </c>
      <c r="I177" s="4" t="str">
        <f>IF(A177="","",COUNTIF(Prod_Prop!B:B,A177))</f>
        <v/>
      </c>
      <c r="J177" s="92" t="str">
        <f>IF(E177="","",IF(SUMIF(Precio_Productos!L:L,E177,Precio_Productos!J:J)=0,"Falta Precio",SUMIF(Precio_Productos!L:L,E177,Precio_Productos!J:J)))</f>
        <v/>
      </c>
      <c r="O177" s="86"/>
      <c r="P177" s="86" t="str">
        <f>IFERROR(__xludf.DUMMYFUNCTION("IF(OR(F177=""Selecciona.."",F177=""""),"""",TRANSPOSE(filter(Familias!C:C,Familias!D:D=F177)))"),"")</f>
        <v/>
      </c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</row>
    <row r="178">
      <c r="A178" s="4" t="str">
        <f t="shared" si="1"/>
        <v/>
      </c>
      <c r="B178" s="4"/>
      <c r="C178" s="4"/>
      <c r="D178" s="4"/>
      <c r="E178" s="94"/>
      <c r="F178" s="4" t="str">
        <f t="shared" si="2"/>
        <v/>
      </c>
      <c r="G178" s="2" t="str">
        <f t="shared" si="3"/>
        <v/>
      </c>
      <c r="H178" s="2" t="str">
        <f>IF(G178="","",SUMIF(Familias!C:C,G178,Familias!E:E))</f>
        <v/>
      </c>
      <c r="I178" s="4" t="str">
        <f>IF(A178="","",COUNTIF(Prod_Prop!B:B,A178))</f>
        <v/>
      </c>
      <c r="J178" s="92" t="str">
        <f>IF(E178="","",IF(SUMIF(Precio_Productos!L:L,E178,Precio_Productos!J:J)=0,"Falta Precio",SUMIF(Precio_Productos!L:L,E178,Precio_Productos!J:J)))</f>
        <v/>
      </c>
      <c r="O178" s="86"/>
      <c r="P178" s="86" t="str">
        <f>IFERROR(__xludf.DUMMYFUNCTION("IF(OR(F178=""Selecciona.."",F178=""""),"""",TRANSPOSE(filter(Familias!C:C,Familias!D:D=F178)))"),"")</f>
        <v/>
      </c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</row>
    <row r="179">
      <c r="A179" s="4" t="str">
        <f t="shared" si="1"/>
        <v/>
      </c>
      <c r="B179" s="4"/>
      <c r="C179" s="4"/>
      <c r="D179" s="4"/>
      <c r="E179" s="94"/>
      <c r="F179" s="4" t="str">
        <f t="shared" si="2"/>
        <v/>
      </c>
      <c r="G179" s="2" t="str">
        <f t="shared" si="3"/>
        <v/>
      </c>
      <c r="H179" s="2" t="str">
        <f>IF(G179="","",SUMIF(Familias!C:C,G179,Familias!E:E))</f>
        <v/>
      </c>
      <c r="I179" s="4" t="str">
        <f>IF(A179="","",COUNTIF(Prod_Prop!B:B,A179))</f>
        <v/>
      </c>
      <c r="J179" s="92" t="str">
        <f>IF(E179="","",IF(SUMIF(Precio_Productos!L:L,E179,Precio_Productos!J:J)=0,"Falta Precio",SUMIF(Precio_Productos!L:L,E179,Precio_Productos!J:J)))</f>
        <v/>
      </c>
      <c r="O179" s="86"/>
      <c r="P179" s="86" t="str">
        <f>IFERROR(__xludf.DUMMYFUNCTION("IF(OR(F179=""Selecciona.."",F179=""""),"""",TRANSPOSE(filter(Familias!C:C,Familias!D:D=F179)))"),"")</f>
        <v/>
      </c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</row>
    <row r="180">
      <c r="A180" s="4" t="str">
        <f t="shared" si="1"/>
        <v/>
      </c>
      <c r="B180" s="4"/>
      <c r="C180" s="4"/>
      <c r="D180" s="4"/>
      <c r="E180" s="94"/>
      <c r="F180" s="4" t="str">
        <f t="shared" si="2"/>
        <v/>
      </c>
      <c r="G180" s="2" t="str">
        <f t="shared" si="3"/>
        <v/>
      </c>
      <c r="H180" s="2" t="str">
        <f>IF(G180="","",SUMIF(Familias!C:C,G180,Familias!E:E))</f>
        <v/>
      </c>
      <c r="I180" s="4" t="str">
        <f>IF(A180="","",COUNTIF(Prod_Prop!B:B,A180))</f>
        <v/>
      </c>
      <c r="J180" s="92" t="str">
        <f>IF(E180="","",IF(SUMIF(Precio_Productos!L:L,E180,Precio_Productos!J:J)=0,"Falta Precio",SUMIF(Precio_Productos!L:L,E180,Precio_Productos!J:J)))</f>
        <v/>
      </c>
      <c r="O180" s="86"/>
      <c r="P180" s="86" t="str">
        <f>IFERROR(__xludf.DUMMYFUNCTION("IF(OR(F180=""Selecciona.."",F180=""""),"""",TRANSPOSE(filter(Familias!C:C,Familias!D:D=F180)))"),"")</f>
        <v/>
      </c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</row>
    <row r="181">
      <c r="A181" s="4" t="str">
        <f t="shared" si="1"/>
        <v/>
      </c>
      <c r="B181" s="4"/>
      <c r="C181" s="4"/>
      <c r="D181" s="4"/>
      <c r="E181" s="94"/>
      <c r="F181" s="4" t="str">
        <f t="shared" si="2"/>
        <v/>
      </c>
      <c r="G181" s="2" t="str">
        <f t="shared" si="3"/>
        <v/>
      </c>
      <c r="H181" s="2" t="str">
        <f>IF(G181="","",SUMIF(Familias!C:C,G181,Familias!E:E))</f>
        <v/>
      </c>
      <c r="I181" s="4" t="str">
        <f>IF(A181="","",COUNTIF(Prod_Prop!B:B,A181))</f>
        <v/>
      </c>
      <c r="J181" s="92" t="str">
        <f>IF(E181="","",IF(SUMIF(Precio_Productos!L:L,E181,Precio_Productos!J:J)=0,"Falta Precio",SUMIF(Precio_Productos!L:L,E181,Precio_Productos!J:J)))</f>
        <v/>
      </c>
      <c r="O181" s="86"/>
      <c r="P181" s="86" t="str">
        <f>IFERROR(__xludf.DUMMYFUNCTION("IF(OR(F181=""Selecciona.."",F181=""""),"""",TRANSPOSE(filter(Familias!C:C,Familias!D:D=F181)))"),"")</f>
        <v/>
      </c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</row>
    <row r="182">
      <c r="A182" s="4" t="str">
        <f t="shared" si="1"/>
        <v/>
      </c>
      <c r="B182" s="4"/>
      <c r="C182" s="4"/>
      <c r="D182" s="4"/>
      <c r="E182" s="94"/>
      <c r="F182" s="4" t="str">
        <f t="shared" si="2"/>
        <v/>
      </c>
      <c r="G182" s="2" t="str">
        <f t="shared" si="3"/>
        <v/>
      </c>
      <c r="H182" s="2" t="str">
        <f>IF(G182="","",SUMIF(Familias!C:C,G182,Familias!E:E))</f>
        <v/>
      </c>
      <c r="I182" s="4" t="str">
        <f>IF(A182="","",COUNTIF(Prod_Prop!B:B,A182))</f>
        <v/>
      </c>
      <c r="J182" s="92" t="str">
        <f>IF(E182="","",IF(SUMIF(Precio_Productos!L:L,E182,Precio_Productos!J:J)=0,"Falta Precio",SUMIF(Precio_Productos!L:L,E182,Precio_Productos!J:J)))</f>
        <v/>
      </c>
      <c r="O182" s="86"/>
      <c r="P182" s="86" t="str">
        <f>IFERROR(__xludf.DUMMYFUNCTION("IF(OR(F182=""Selecciona.."",F182=""""),"""",TRANSPOSE(filter(Familias!C:C,Familias!D:D=F182)))"),"")</f>
        <v/>
      </c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</row>
    <row r="183">
      <c r="A183" s="4" t="str">
        <f t="shared" si="1"/>
        <v/>
      </c>
      <c r="B183" s="4"/>
      <c r="C183" s="4"/>
      <c r="D183" s="4"/>
      <c r="E183" s="94"/>
      <c r="F183" s="4" t="str">
        <f t="shared" si="2"/>
        <v/>
      </c>
      <c r="G183" s="2" t="str">
        <f t="shared" si="3"/>
        <v/>
      </c>
      <c r="H183" s="2" t="str">
        <f>IF(G183="","",SUMIF(Familias!C:C,G183,Familias!E:E))</f>
        <v/>
      </c>
      <c r="I183" s="4" t="str">
        <f>IF(A183="","",COUNTIF(Prod_Prop!B:B,A183))</f>
        <v/>
      </c>
      <c r="J183" s="92" t="str">
        <f>IF(E183="","",IF(SUMIF(Precio_Productos!L:L,E183,Precio_Productos!J:J)=0,"Falta Precio",SUMIF(Precio_Productos!L:L,E183,Precio_Productos!J:J)))</f>
        <v/>
      </c>
      <c r="O183" s="86"/>
      <c r="P183" s="86" t="str">
        <f>IFERROR(__xludf.DUMMYFUNCTION("IF(OR(F183=""Selecciona.."",F183=""""),"""",TRANSPOSE(filter(Familias!C:C,Familias!D:D=F183)))"),"")</f>
        <v/>
      </c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</row>
    <row r="184">
      <c r="A184" s="4" t="str">
        <f t="shared" si="1"/>
        <v/>
      </c>
      <c r="B184" s="4"/>
      <c r="C184" s="4"/>
      <c r="D184" s="4"/>
      <c r="E184" s="94"/>
      <c r="F184" s="4" t="str">
        <f t="shared" si="2"/>
        <v/>
      </c>
      <c r="G184" s="2" t="str">
        <f t="shared" si="3"/>
        <v/>
      </c>
      <c r="H184" s="2" t="str">
        <f>IF(G184="","",SUMIF(Familias!C:C,G184,Familias!E:E))</f>
        <v/>
      </c>
      <c r="I184" s="4" t="str">
        <f>IF(A184="","",COUNTIF(Prod_Prop!B:B,A184))</f>
        <v/>
      </c>
      <c r="J184" s="92" t="str">
        <f>IF(E184="","",IF(SUMIF(Precio_Productos!L:L,E184,Precio_Productos!J:J)=0,"Falta Precio",SUMIF(Precio_Productos!L:L,E184,Precio_Productos!J:J)))</f>
        <v/>
      </c>
      <c r="O184" s="86"/>
      <c r="P184" s="86" t="str">
        <f>IFERROR(__xludf.DUMMYFUNCTION("IF(OR(F184=""Selecciona.."",F184=""""),"""",TRANSPOSE(filter(Familias!C:C,Familias!D:D=F184)))"),"")</f>
        <v/>
      </c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</row>
    <row r="185">
      <c r="A185" s="4" t="str">
        <f t="shared" si="1"/>
        <v/>
      </c>
      <c r="B185" s="4"/>
      <c r="C185" s="4"/>
      <c r="D185" s="4"/>
      <c r="E185" s="94"/>
      <c r="F185" s="4" t="str">
        <f t="shared" si="2"/>
        <v/>
      </c>
      <c r="G185" s="2" t="str">
        <f t="shared" si="3"/>
        <v/>
      </c>
      <c r="H185" s="2" t="str">
        <f>IF(G185="","",SUMIF(Familias!C:C,G185,Familias!E:E))</f>
        <v/>
      </c>
      <c r="I185" s="4" t="str">
        <f>IF(A185="","",COUNTIF(Prod_Prop!B:B,A185))</f>
        <v/>
      </c>
      <c r="J185" s="92" t="str">
        <f>IF(E185="","",IF(SUMIF(Precio_Productos!L:L,E185,Precio_Productos!J:J)=0,"Falta Precio",SUMIF(Precio_Productos!L:L,E185,Precio_Productos!J:J)))</f>
        <v/>
      </c>
      <c r="O185" s="86"/>
      <c r="P185" s="86" t="str">
        <f>IFERROR(__xludf.DUMMYFUNCTION("IF(OR(F185=""Selecciona.."",F185=""""),"""",TRANSPOSE(filter(Familias!C:C,Familias!D:D=F185)))"),"")</f>
        <v/>
      </c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</row>
    <row r="186">
      <c r="A186" s="4" t="str">
        <f t="shared" si="1"/>
        <v/>
      </c>
      <c r="B186" s="4"/>
      <c r="C186" s="4"/>
      <c r="D186" s="4"/>
      <c r="E186" s="94"/>
      <c r="F186" s="4" t="str">
        <f t="shared" si="2"/>
        <v/>
      </c>
      <c r="G186" s="2" t="str">
        <f t="shared" si="3"/>
        <v/>
      </c>
      <c r="H186" s="2" t="str">
        <f>IF(G186="","",SUMIF(Familias!C:C,G186,Familias!E:E))</f>
        <v/>
      </c>
      <c r="I186" s="4" t="str">
        <f>IF(A186="","",COUNTIF(Prod_Prop!B:B,A186))</f>
        <v/>
      </c>
      <c r="J186" s="92" t="str">
        <f>IF(E186="","",IF(SUMIF(Precio_Productos!L:L,E186,Precio_Productos!J:J)=0,"Falta Precio",SUMIF(Precio_Productos!L:L,E186,Precio_Productos!J:J)))</f>
        <v/>
      </c>
      <c r="O186" s="86"/>
      <c r="P186" s="86" t="str">
        <f>IFERROR(__xludf.DUMMYFUNCTION("IF(OR(F186=""Selecciona.."",F186=""""),"""",TRANSPOSE(filter(Familias!C:C,Familias!D:D=F186)))"),"")</f>
        <v/>
      </c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</row>
    <row r="187">
      <c r="A187" s="4" t="str">
        <f t="shared" si="1"/>
        <v/>
      </c>
      <c r="B187" s="4"/>
      <c r="C187" s="4"/>
      <c r="D187" s="4"/>
      <c r="E187" s="94"/>
      <c r="F187" s="4" t="str">
        <f t="shared" si="2"/>
        <v/>
      </c>
      <c r="G187" s="2" t="str">
        <f t="shared" si="3"/>
        <v/>
      </c>
      <c r="H187" s="2" t="str">
        <f>IF(G187="","",SUMIF(Familias!C:C,G187,Familias!E:E))</f>
        <v/>
      </c>
      <c r="I187" s="4" t="str">
        <f>IF(A187="","",COUNTIF(Prod_Prop!B:B,A187))</f>
        <v/>
      </c>
      <c r="J187" s="92" t="str">
        <f>IF(E187="","",IF(SUMIF(Precio_Productos!L:L,E187,Precio_Productos!J:J)=0,"Falta Precio",SUMIF(Precio_Productos!L:L,E187,Precio_Productos!J:J)))</f>
        <v/>
      </c>
      <c r="O187" s="86"/>
      <c r="P187" s="86" t="str">
        <f>IFERROR(__xludf.DUMMYFUNCTION("IF(OR(F187=""Selecciona.."",F187=""""),"""",TRANSPOSE(filter(Familias!C:C,Familias!D:D=F187)))"),"")</f>
        <v/>
      </c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</row>
    <row r="188">
      <c r="A188" s="4" t="str">
        <f t="shared" si="1"/>
        <v/>
      </c>
      <c r="B188" s="4"/>
      <c r="C188" s="4"/>
      <c r="D188" s="4"/>
      <c r="E188" s="94"/>
      <c r="F188" s="4" t="str">
        <f t="shared" si="2"/>
        <v/>
      </c>
      <c r="G188" s="2" t="str">
        <f t="shared" si="3"/>
        <v/>
      </c>
      <c r="H188" s="2" t="str">
        <f>IF(G188="","",SUMIF(Familias!C:C,G188,Familias!E:E))</f>
        <v/>
      </c>
      <c r="I188" s="4" t="str">
        <f>IF(A188="","",COUNTIF(Prod_Prop!B:B,A188))</f>
        <v/>
      </c>
      <c r="J188" s="92" t="str">
        <f>IF(E188="","",IF(SUMIF(Precio_Productos!L:L,E188,Precio_Productos!J:J)=0,"Falta Precio",SUMIF(Precio_Productos!L:L,E188,Precio_Productos!J:J)))</f>
        <v/>
      </c>
      <c r="O188" s="86"/>
      <c r="P188" s="86" t="str">
        <f>IFERROR(__xludf.DUMMYFUNCTION("IF(OR(F188=""Selecciona.."",F188=""""),"""",TRANSPOSE(filter(Familias!C:C,Familias!D:D=F188)))"),"")</f>
        <v/>
      </c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</row>
    <row r="189">
      <c r="A189" s="4" t="str">
        <f t="shared" si="1"/>
        <v/>
      </c>
      <c r="B189" s="4"/>
      <c r="C189" s="4"/>
      <c r="D189" s="4"/>
      <c r="E189" s="94"/>
      <c r="F189" s="4" t="str">
        <f t="shared" si="2"/>
        <v/>
      </c>
      <c r="G189" s="2" t="str">
        <f t="shared" si="3"/>
        <v/>
      </c>
      <c r="H189" s="2" t="str">
        <f>IF(G189="","",SUMIF(Familias!C:C,G189,Familias!E:E))</f>
        <v/>
      </c>
      <c r="I189" s="4" t="str">
        <f>IF(A189="","",COUNTIF(Prod_Prop!B:B,A189))</f>
        <v/>
      </c>
      <c r="J189" s="92" t="str">
        <f>IF(E189="","",IF(SUMIF(Precio_Productos!L:L,E189,Precio_Productos!J:J)=0,"Falta Precio",SUMIF(Precio_Productos!L:L,E189,Precio_Productos!J:J)))</f>
        <v/>
      </c>
      <c r="O189" s="86"/>
      <c r="P189" s="86" t="str">
        <f>IFERROR(__xludf.DUMMYFUNCTION("IF(OR(F189=""Selecciona.."",F189=""""),"""",TRANSPOSE(filter(Familias!C:C,Familias!D:D=F189)))"),"")</f>
        <v/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</row>
    <row r="190">
      <c r="A190" s="4" t="str">
        <f t="shared" si="1"/>
        <v/>
      </c>
      <c r="B190" s="4"/>
      <c r="C190" s="4"/>
      <c r="D190" s="4"/>
      <c r="E190" s="94"/>
      <c r="F190" s="4" t="str">
        <f t="shared" si="2"/>
        <v/>
      </c>
      <c r="G190" s="2" t="str">
        <f t="shared" si="3"/>
        <v/>
      </c>
      <c r="H190" s="2" t="str">
        <f>IF(G190="","",SUMIF(Familias!C:C,G190,Familias!E:E))</f>
        <v/>
      </c>
      <c r="I190" s="4" t="str">
        <f>IF(A190="","",COUNTIF(Prod_Prop!B:B,A190))</f>
        <v/>
      </c>
      <c r="J190" s="92" t="str">
        <f>IF(E190="","",IF(SUMIF(Precio_Productos!L:L,E190,Precio_Productos!J:J)=0,"Falta Precio",SUMIF(Precio_Productos!L:L,E190,Precio_Productos!J:J)))</f>
        <v/>
      </c>
      <c r="O190" s="86"/>
      <c r="P190" s="86" t="str">
        <f>IFERROR(__xludf.DUMMYFUNCTION("IF(OR(F190=""Selecciona.."",F190=""""),"""",TRANSPOSE(filter(Familias!C:C,Familias!D:D=F190)))"),"")</f>
        <v/>
      </c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</row>
    <row r="191">
      <c r="A191" s="4" t="str">
        <f t="shared" si="1"/>
        <v/>
      </c>
      <c r="B191" s="4"/>
      <c r="C191" s="4"/>
      <c r="D191" s="4"/>
      <c r="E191" s="94"/>
      <c r="F191" s="4" t="str">
        <f t="shared" si="2"/>
        <v/>
      </c>
      <c r="G191" s="2" t="str">
        <f t="shared" si="3"/>
        <v/>
      </c>
      <c r="H191" s="2" t="str">
        <f>IF(G191="","",SUMIF(Familias!C:C,G191,Familias!E:E))</f>
        <v/>
      </c>
      <c r="I191" s="4" t="str">
        <f>IF(A191="","",COUNTIF(Prod_Prop!B:B,A191))</f>
        <v/>
      </c>
      <c r="J191" s="92" t="str">
        <f>IF(E191="","",IF(SUMIF(Precio_Productos!L:L,E191,Precio_Productos!J:J)=0,"Falta Precio",SUMIF(Precio_Productos!L:L,E191,Precio_Productos!J:J)))</f>
        <v/>
      </c>
      <c r="O191" s="86"/>
      <c r="P191" s="86" t="str">
        <f>IFERROR(__xludf.DUMMYFUNCTION("IF(OR(F191=""Selecciona.."",F191=""""),"""",TRANSPOSE(filter(Familias!C:C,Familias!D:D=F191)))"),"")</f>
        <v/>
      </c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</row>
    <row r="192">
      <c r="A192" s="4" t="str">
        <f t="shared" si="1"/>
        <v/>
      </c>
      <c r="B192" s="4"/>
      <c r="C192" s="4"/>
      <c r="D192" s="4"/>
      <c r="E192" s="94"/>
      <c r="F192" s="4" t="str">
        <f t="shared" si="2"/>
        <v/>
      </c>
      <c r="G192" s="2" t="str">
        <f t="shared" si="3"/>
        <v/>
      </c>
      <c r="H192" s="2" t="str">
        <f>IF(G192="","",SUMIF(Familias!C:C,G192,Familias!E:E))</f>
        <v/>
      </c>
      <c r="I192" s="4" t="str">
        <f>IF(A192="","",COUNTIF(Prod_Prop!B:B,A192))</f>
        <v/>
      </c>
      <c r="J192" s="92" t="str">
        <f>IF(E192="","",IF(SUMIF(Precio_Productos!L:L,E192,Precio_Productos!J:J)=0,"Falta Precio",SUMIF(Precio_Productos!L:L,E192,Precio_Productos!J:J)))</f>
        <v/>
      </c>
      <c r="O192" s="86"/>
      <c r="P192" s="86" t="str">
        <f>IFERROR(__xludf.DUMMYFUNCTION("IF(OR(F192=""Selecciona.."",F192=""""),"""",TRANSPOSE(filter(Familias!C:C,Familias!D:D=F192)))"),"")</f>
        <v/>
      </c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</row>
    <row r="193">
      <c r="A193" s="4" t="str">
        <f t="shared" si="1"/>
        <v/>
      </c>
      <c r="B193" s="4"/>
      <c r="C193" s="4"/>
      <c r="D193" s="4"/>
      <c r="E193" s="94"/>
      <c r="F193" s="4" t="str">
        <f t="shared" si="2"/>
        <v/>
      </c>
      <c r="G193" s="2" t="str">
        <f t="shared" si="3"/>
        <v/>
      </c>
      <c r="H193" s="2" t="str">
        <f>IF(G193="","",SUMIF(Familias!C:C,G193,Familias!E:E))</f>
        <v/>
      </c>
      <c r="I193" s="4" t="str">
        <f>IF(A193="","",COUNTIF(Prod_Prop!B:B,A193))</f>
        <v/>
      </c>
      <c r="J193" s="92" t="str">
        <f>IF(E193="","",IF(SUMIF(Precio_Productos!L:L,E193,Precio_Productos!J:J)=0,"Falta Precio",SUMIF(Precio_Productos!L:L,E193,Precio_Productos!J:J)))</f>
        <v/>
      </c>
      <c r="O193" s="86"/>
      <c r="P193" s="86" t="str">
        <f>IFERROR(__xludf.DUMMYFUNCTION("IF(OR(F193=""Selecciona.."",F193=""""),"""",TRANSPOSE(filter(Familias!C:C,Familias!D:D=F193)))"),"")</f>
        <v/>
      </c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</row>
    <row r="194">
      <c r="A194" s="4" t="str">
        <f t="shared" si="1"/>
        <v/>
      </c>
      <c r="B194" s="4"/>
      <c r="C194" s="4"/>
      <c r="D194" s="4"/>
      <c r="E194" s="94"/>
      <c r="F194" s="4" t="str">
        <f t="shared" si="2"/>
        <v/>
      </c>
      <c r="G194" s="2" t="str">
        <f t="shared" si="3"/>
        <v/>
      </c>
      <c r="H194" s="2" t="str">
        <f>IF(G194="","",SUMIF(Familias!C:C,G194,Familias!E:E))</f>
        <v/>
      </c>
      <c r="I194" s="4" t="str">
        <f>IF(A194="","",COUNTIF(Prod_Prop!B:B,A194))</f>
        <v/>
      </c>
      <c r="J194" s="92" t="str">
        <f>IF(E194="","",IF(SUMIF(Precio_Productos!L:L,E194,Precio_Productos!J:J)=0,"Falta Precio",SUMIF(Precio_Productos!L:L,E194,Precio_Productos!J:J)))</f>
        <v/>
      </c>
      <c r="O194" s="86"/>
      <c r="P194" s="86" t="str">
        <f>IFERROR(__xludf.DUMMYFUNCTION("IF(OR(F194=""Selecciona.."",F194=""""),"""",TRANSPOSE(filter(Familias!C:C,Familias!D:D=F194)))"),"")</f>
        <v/>
      </c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</row>
    <row r="195">
      <c r="A195" s="4" t="str">
        <f t="shared" si="1"/>
        <v/>
      </c>
      <c r="B195" s="4"/>
      <c r="C195" s="4"/>
      <c r="D195" s="4"/>
      <c r="E195" s="94"/>
      <c r="F195" s="4" t="str">
        <f t="shared" si="2"/>
        <v/>
      </c>
      <c r="G195" s="2" t="str">
        <f t="shared" si="3"/>
        <v/>
      </c>
      <c r="H195" s="2" t="str">
        <f>IF(G195="","",SUMIF(Familias!C:C,G195,Familias!E:E))</f>
        <v/>
      </c>
      <c r="I195" s="4" t="str">
        <f>IF(A195="","",COUNTIF(Prod_Prop!B:B,A195))</f>
        <v/>
      </c>
      <c r="J195" s="92" t="str">
        <f>IF(E195="","",IF(SUMIF(Precio_Productos!L:L,E195,Precio_Productos!J:J)=0,"Falta Precio",SUMIF(Precio_Productos!L:L,E195,Precio_Productos!J:J)))</f>
        <v/>
      </c>
      <c r="O195" s="86"/>
      <c r="P195" s="86" t="str">
        <f>IFERROR(__xludf.DUMMYFUNCTION("IF(OR(F195=""Selecciona.."",F195=""""),"""",TRANSPOSE(filter(Familias!C:C,Familias!D:D=F195)))"),"")</f>
        <v/>
      </c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</row>
    <row r="196">
      <c r="A196" s="4" t="str">
        <f t="shared" si="1"/>
        <v/>
      </c>
      <c r="B196" s="4"/>
      <c r="C196" s="4"/>
      <c r="D196" s="4"/>
      <c r="E196" s="94"/>
      <c r="F196" s="4" t="str">
        <f t="shared" si="2"/>
        <v/>
      </c>
      <c r="G196" s="2" t="str">
        <f t="shared" si="3"/>
        <v/>
      </c>
      <c r="H196" s="2" t="str">
        <f>IF(G196="","",SUMIF(Familias!C:C,G196,Familias!E:E))</f>
        <v/>
      </c>
      <c r="I196" s="4" t="str">
        <f>IF(A196="","",COUNTIF(Prod_Prop!B:B,A196))</f>
        <v/>
      </c>
      <c r="J196" s="92" t="str">
        <f>IF(E196="","",IF(SUMIF(Precio_Productos!L:L,E196,Precio_Productos!J:J)=0,"Falta Precio",SUMIF(Precio_Productos!L:L,E196,Precio_Productos!J:J)))</f>
        <v/>
      </c>
      <c r="O196" s="86"/>
      <c r="P196" s="86" t="str">
        <f>IFERROR(__xludf.DUMMYFUNCTION("IF(OR(F196=""Selecciona.."",F196=""""),"""",TRANSPOSE(filter(Familias!C:C,Familias!D:D=F196)))"),"")</f>
        <v/>
      </c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</row>
    <row r="197">
      <c r="A197" s="4" t="str">
        <f t="shared" si="1"/>
        <v/>
      </c>
      <c r="B197" s="4"/>
      <c r="C197" s="4"/>
      <c r="D197" s="4"/>
      <c r="E197" s="94"/>
      <c r="F197" s="4" t="str">
        <f t="shared" si="2"/>
        <v/>
      </c>
      <c r="G197" s="2" t="str">
        <f t="shared" si="3"/>
        <v/>
      </c>
      <c r="H197" s="2" t="str">
        <f>IF(G197="","",SUMIF(Familias!C:C,G197,Familias!E:E))</f>
        <v/>
      </c>
      <c r="I197" s="4" t="str">
        <f>IF(A197="","",COUNTIF(Prod_Prop!B:B,A197))</f>
        <v/>
      </c>
      <c r="J197" s="92" t="str">
        <f>IF(E197="","",IF(SUMIF(Precio_Productos!L:L,E197,Precio_Productos!J:J)=0,"Falta Precio",SUMIF(Precio_Productos!L:L,E197,Precio_Productos!J:J)))</f>
        <v/>
      </c>
      <c r="O197" s="86"/>
      <c r="P197" s="86" t="str">
        <f>IFERROR(__xludf.DUMMYFUNCTION("IF(OR(F197=""Selecciona.."",F197=""""),"""",TRANSPOSE(filter(Familias!C:C,Familias!D:D=F197)))"),"")</f>
        <v/>
      </c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</row>
    <row r="198">
      <c r="A198" s="4" t="str">
        <f t="shared" si="1"/>
        <v/>
      </c>
      <c r="B198" s="4"/>
      <c r="C198" s="4"/>
      <c r="D198" s="4"/>
      <c r="E198" s="94"/>
      <c r="F198" s="4" t="str">
        <f t="shared" si="2"/>
        <v/>
      </c>
      <c r="G198" s="2" t="str">
        <f t="shared" si="3"/>
        <v/>
      </c>
      <c r="H198" s="2" t="str">
        <f>IF(G198="","",SUMIF(Familias!C:C,G198,Familias!E:E))</f>
        <v/>
      </c>
      <c r="I198" s="4" t="str">
        <f>IF(A198="","",COUNTIF(Prod_Prop!B:B,A198))</f>
        <v/>
      </c>
      <c r="J198" s="92" t="str">
        <f>IF(E198="","",IF(SUMIF(Precio_Productos!L:L,E198,Precio_Productos!J:J)=0,"Falta Precio",SUMIF(Precio_Productos!L:L,E198,Precio_Productos!J:J)))</f>
        <v/>
      </c>
      <c r="O198" s="86"/>
      <c r="P198" s="86" t="str">
        <f>IFERROR(__xludf.DUMMYFUNCTION("IF(OR(F198=""Selecciona.."",F198=""""),"""",TRANSPOSE(filter(Familias!C:C,Familias!D:D=F198)))"),"")</f>
        <v/>
      </c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</row>
    <row r="199">
      <c r="A199" s="4" t="str">
        <f t="shared" si="1"/>
        <v/>
      </c>
      <c r="B199" s="4"/>
      <c r="C199" s="4"/>
      <c r="D199" s="4"/>
      <c r="E199" s="94"/>
      <c r="F199" s="4" t="str">
        <f t="shared" si="2"/>
        <v/>
      </c>
      <c r="G199" s="2" t="str">
        <f t="shared" si="3"/>
        <v/>
      </c>
      <c r="H199" s="2" t="str">
        <f>IF(G199="","",SUMIF(Familias!C:C,G199,Familias!E:E))</f>
        <v/>
      </c>
      <c r="I199" s="4" t="str">
        <f>IF(A199="","",COUNTIF(Prod_Prop!B:B,A199))</f>
        <v/>
      </c>
      <c r="J199" s="92" t="str">
        <f>IF(E199="","",IF(SUMIF(Precio_Productos!L:L,E199,Precio_Productos!J:J)=0,"Falta Precio",SUMIF(Precio_Productos!L:L,E199,Precio_Productos!J:J)))</f>
        <v/>
      </c>
      <c r="O199" s="86"/>
      <c r="P199" s="86" t="str">
        <f>IFERROR(__xludf.DUMMYFUNCTION("IF(OR(F199=""Selecciona.."",F199=""""),"""",TRANSPOSE(filter(Familias!C:C,Familias!D:D=F199)))"),"")</f>
        <v/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</row>
    <row r="200">
      <c r="A200" s="4" t="str">
        <f t="shared" si="1"/>
        <v/>
      </c>
      <c r="B200" s="4"/>
      <c r="C200" s="4"/>
      <c r="D200" s="4"/>
      <c r="E200" s="94"/>
      <c r="F200" s="4" t="str">
        <f t="shared" si="2"/>
        <v/>
      </c>
      <c r="G200" s="2" t="str">
        <f t="shared" si="3"/>
        <v/>
      </c>
      <c r="H200" s="2" t="str">
        <f>IF(G200="","",SUMIF(Familias!C:C,G200,Familias!E:E))</f>
        <v/>
      </c>
      <c r="I200" s="4" t="str">
        <f>IF(A200="","",COUNTIF(Prod_Prop!B:B,A200))</f>
        <v/>
      </c>
      <c r="J200" s="92" t="str">
        <f>IF(E200="","",IF(SUMIF(Precio_Productos!L:L,E200,Precio_Productos!J:J)=0,"Falta Precio",SUMIF(Precio_Productos!L:L,E200,Precio_Productos!J:J)))</f>
        <v/>
      </c>
      <c r="O200" s="86"/>
      <c r="P200" s="86" t="str">
        <f>IFERROR(__xludf.DUMMYFUNCTION("IF(OR(F200=""Selecciona.."",F200=""""),"""",TRANSPOSE(filter(Familias!C:C,Familias!D:D=F200)))"),"")</f>
        <v/>
      </c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</row>
    <row r="201">
      <c r="A201" s="4" t="str">
        <f t="shared" si="1"/>
        <v/>
      </c>
      <c r="B201" s="4"/>
      <c r="C201" s="4"/>
      <c r="D201" s="4"/>
      <c r="E201" s="94"/>
      <c r="F201" s="4" t="str">
        <f t="shared" si="2"/>
        <v/>
      </c>
      <c r="G201" s="2" t="str">
        <f t="shared" si="3"/>
        <v/>
      </c>
      <c r="H201" s="2" t="str">
        <f>IF(G201="","",SUMIF(Familias!C:C,G201,Familias!E:E))</f>
        <v/>
      </c>
      <c r="I201" s="4" t="str">
        <f>IF(A201="","",COUNTIF(Prod_Prop!B:B,A201))</f>
        <v/>
      </c>
      <c r="J201" s="92" t="str">
        <f>IF(E201="","",IF(SUMIF(Precio_Productos!L:L,E201,Precio_Productos!J:J)=0,"Falta Precio",SUMIF(Precio_Productos!L:L,E201,Precio_Productos!J:J)))</f>
        <v/>
      </c>
      <c r="O201" s="86"/>
      <c r="P201" s="86" t="str">
        <f>IFERROR(__xludf.DUMMYFUNCTION("IF(OR(F201=""Selecciona.."",F201=""""),"""",TRANSPOSE(filter(Familias!C:C,Familias!D:D=F201)))"),"")</f>
        <v/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</row>
    <row r="202">
      <c r="A202" s="4" t="str">
        <f t="shared" si="1"/>
        <v/>
      </c>
      <c r="B202" s="4"/>
      <c r="C202" s="4"/>
      <c r="D202" s="4"/>
      <c r="E202" s="94"/>
      <c r="F202" s="4" t="str">
        <f t="shared" si="2"/>
        <v/>
      </c>
      <c r="G202" s="2" t="str">
        <f t="shared" si="3"/>
        <v/>
      </c>
      <c r="H202" s="2" t="str">
        <f>IF(G202="","",SUMIF(Familias!C:C,G202,Familias!E:E))</f>
        <v/>
      </c>
      <c r="I202" s="4" t="str">
        <f>IF(A202="","",COUNTIF(Prod_Prop!B:B,A202))</f>
        <v/>
      </c>
      <c r="J202" s="92" t="str">
        <f>IF(E202="","",IF(SUMIF(Precio_Productos!L:L,E202,Precio_Productos!J:J)=0,"Falta Precio",SUMIF(Precio_Productos!L:L,E202,Precio_Productos!J:J)))</f>
        <v/>
      </c>
      <c r="O202" s="86"/>
      <c r="P202" s="86" t="str">
        <f>IFERROR(__xludf.DUMMYFUNCTION("IF(OR(F202=""Selecciona.."",F202=""""),"""",TRANSPOSE(filter(Familias!C:C,Familias!D:D=F202)))"),"")</f>
        <v/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</row>
    <row r="203">
      <c r="A203" s="4" t="str">
        <f t="shared" si="1"/>
        <v/>
      </c>
      <c r="B203" s="4"/>
      <c r="C203" s="4"/>
      <c r="D203" s="4"/>
      <c r="E203" s="94"/>
      <c r="F203" s="4" t="str">
        <f t="shared" si="2"/>
        <v/>
      </c>
      <c r="G203" s="2" t="str">
        <f t="shared" si="3"/>
        <v/>
      </c>
      <c r="H203" s="2" t="str">
        <f>IF(G203="","",SUMIF(Familias!C:C,G203,Familias!E:E))</f>
        <v/>
      </c>
      <c r="I203" s="4" t="str">
        <f>IF(A203="","",COUNTIF(Prod_Prop!B:B,A203))</f>
        <v/>
      </c>
      <c r="J203" s="92" t="str">
        <f>IF(E203="","",IF(SUMIF(Precio_Productos!L:L,E203,Precio_Productos!J:J)=0,"Falta Precio",SUMIF(Precio_Productos!L:L,E203,Precio_Productos!J:J)))</f>
        <v/>
      </c>
      <c r="O203" s="86"/>
      <c r="P203" s="86" t="str">
        <f>IFERROR(__xludf.DUMMYFUNCTION("IF(OR(F203=""Selecciona.."",F203=""""),"""",TRANSPOSE(filter(Familias!C:C,Familias!D:D=F203)))"),"")</f>
        <v/>
      </c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</row>
    <row r="204">
      <c r="A204" s="4" t="str">
        <f t="shared" si="1"/>
        <v/>
      </c>
      <c r="B204" s="4"/>
      <c r="C204" s="4"/>
      <c r="D204" s="4"/>
      <c r="E204" s="94"/>
      <c r="F204" s="4" t="str">
        <f t="shared" si="2"/>
        <v/>
      </c>
      <c r="G204" s="2" t="str">
        <f t="shared" si="3"/>
        <v/>
      </c>
      <c r="H204" s="2" t="str">
        <f>IF(G204="","",SUMIF(Familias!C:C,G204,Familias!E:E))</f>
        <v/>
      </c>
      <c r="I204" s="4" t="str">
        <f>IF(A204="","",COUNTIF(Prod_Prop!B:B,A204))</f>
        <v/>
      </c>
      <c r="J204" s="92" t="str">
        <f>IF(E204="","",IF(SUMIF(Precio_Productos!L:L,E204,Precio_Productos!J:J)=0,"Falta Precio",SUMIF(Precio_Productos!L:L,E204,Precio_Productos!J:J)))</f>
        <v/>
      </c>
      <c r="O204" s="86"/>
      <c r="P204" s="86" t="str">
        <f>IFERROR(__xludf.DUMMYFUNCTION("IF(OR(F204=""Selecciona.."",F204=""""),"""",TRANSPOSE(filter(Familias!C:C,Familias!D:D=F204)))"),"")</f>
        <v/>
      </c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</row>
    <row r="205">
      <c r="A205" s="4" t="str">
        <f t="shared" si="1"/>
        <v/>
      </c>
      <c r="B205" s="4"/>
      <c r="C205" s="4"/>
      <c r="D205" s="4"/>
      <c r="E205" s="94"/>
      <c r="F205" s="4" t="str">
        <f t="shared" si="2"/>
        <v/>
      </c>
      <c r="G205" s="2" t="str">
        <f t="shared" si="3"/>
        <v/>
      </c>
      <c r="H205" s="2" t="str">
        <f>IF(G205="","",SUMIF(Familias!C:C,G205,Familias!E:E))</f>
        <v/>
      </c>
      <c r="I205" s="4" t="str">
        <f>IF(A205="","",COUNTIF(Prod_Prop!B:B,A205))</f>
        <v/>
      </c>
      <c r="J205" s="92" t="str">
        <f>IF(E205="","",IF(SUMIF(Precio_Productos!L:L,E205,Precio_Productos!J:J)=0,"Falta Precio",SUMIF(Precio_Productos!L:L,E205,Precio_Productos!J:J)))</f>
        <v/>
      </c>
      <c r="O205" s="86"/>
      <c r="P205" s="86" t="str">
        <f>IFERROR(__xludf.DUMMYFUNCTION("IF(OR(F205=""Selecciona.."",F205=""""),"""",TRANSPOSE(filter(Familias!C:C,Familias!D:D=F205)))"),"")</f>
        <v/>
      </c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</row>
    <row r="206">
      <c r="A206" s="4" t="str">
        <f t="shared" si="1"/>
        <v/>
      </c>
      <c r="B206" s="4"/>
      <c r="C206" s="4"/>
      <c r="D206" s="4"/>
      <c r="E206" s="94"/>
      <c r="F206" s="4" t="str">
        <f t="shared" si="2"/>
        <v/>
      </c>
      <c r="G206" s="2" t="str">
        <f t="shared" si="3"/>
        <v/>
      </c>
      <c r="H206" s="2" t="str">
        <f>IF(G206="","",SUMIF(Familias!C:C,G206,Familias!E:E))</f>
        <v/>
      </c>
      <c r="I206" s="4" t="str">
        <f>IF(A206="","",COUNTIF(Prod_Prop!B:B,A206))</f>
        <v/>
      </c>
      <c r="J206" s="92" t="str">
        <f>IF(E206="","",IF(SUMIF(Precio_Productos!L:L,E206,Precio_Productos!J:J)=0,"Falta Precio",SUMIF(Precio_Productos!L:L,E206,Precio_Productos!J:J)))</f>
        <v/>
      </c>
      <c r="O206" s="86"/>
      <c r="P206" s="86" t="str">
        <f>IFERROR(__xludf.DUMMYFUNCTION("IF(OR(F206=""Selecciona.."",F206=""""),"""",TRANSPOSE(filter(Familias!C:C,Familias!D:D=F206)))"),"")</f>
        <v/>
      </c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</row>
    <row r="207">
      <c r="A207" s="4" t="str">
        <f t="shared" si="1"/>
        <v/>
      </c>
      <c r="B207" s="4"/>
      <c r="C207" s="4"/>
      <c r="D207" s="4"/>
      <c r="E207" s="94"/>
      <c r="F207" s="4" t="str">
        <f t="shared" si="2"/>
        <v/>
      </c>
      <c r="G207" s="2" t="str">
        <f t="shared" si="3"/>
        <v/>
      </c>
      <c r="H207" s="2" t="str">
        <f>IF(G207="","",SUMIF(Familias!C:C,G207,Familias!E:E))</f>
        <v/>
      </c>
      <c r="I207" s="4" t="str">
        <f>IF(A207="","",COUNTIF(Prod_Prop!B:B,A207))</f>
        <v/>
      </c>
      <c r="J207" s="92" t="str">
        <f>IF(E207="","",IF(SUMIF(Precio_Productos!L:L,E207,Precio_Productos!J:J)=0,"Falta Precio",SUMIF(Precio_Productos!L:L,E207,Precio_Productos!J:J)))</f>
        <v/>
      </c>
      <c r="O207" s="86"/>
      <c r="P207" s="86" t="str">
        <f>IFERROR(__xludf.DUMMYFUNCTION("IF(OR(F207=""Selecciona.."",F207=""""),"""",TRANSPOSE(filter(Familias!C:C,Familias!D:D=F207)))"),"")</f>
        <v/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</row>
    <row r="208">
      <c r="A208" s="4" t="str">
        <f t="shared" si="1"/>
        <v/>
      </c>
      <c r="B208" s="4"/>
      <c r="C208" s="4"/>
      <c r="D208" s="4"/>
      <c r="E208" s="94"/>
      <c r="F208" s="4" t="str">
        <f t="shared" si="2"/>
        <v/>
      </c>
      <c r="G208" s="2" t="str">
        <f t="shared" si="3"/>
        <v/>
      </c>
      <c r="H208" s="2" t="str">
        <f>IF(G208="","",SUMIF(Familias!C:C,G208,Familias!E:E))</f>
        <v/>
      </c>
      <c r="I208" s="4" t="str">
        <f>IF(A208="","",COUNTIF(Prod_Prop!B:B,A208))</f>
        <v/>
      </c>
      <c r="J208" s="92" t="str">
        <f>IF(E208="","",IF(SUMIF(Precio_Productos!L:L,E208,Precio_Productos!J:J)=0,"Falta Precio",SUMIF(Precio_Productos!L:L,E208,Precio_Productos!J:J)))</f>
        <v/>
      </c>
      <c r="O208" s="86"/>
      <c r="P208" s="86" t="str">
        <f>IFERROR(__xludf.DUMMYFUNCTION("IF(OR(F208=""Selecciona.."",F208=""""),"""",TRANSPOSE(filter(Familias!C:C,Familias!D:D=F208)))"),"")</f>
        <v/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</row>
    <row r="209">
      <c r="A209" s="4" t="str">
        <f t="shared" si="1"/>
        <v/>
      </c>
      <c r="B209" s="4"/>
      <c r="C209" s="4"/>
      <c r="D209" s="4"/>
      <c r="E209" s="94"/>
      <c r="F209" s="4" t="str">
        <f t="shared" si="2"/>
        <v/>
      </c>
      <c r="G209" s="2" t="str">
        <f t="shared" si="3"/>
        <v/>
      </c>
      <c r="H209" s="2" t="str">
        <f>IF(G209="","",SUMIF(Familias!C:C,G209,Familias!E:E))</f>
        <v/>
      </c>
      <c r="I209" s="4" t="str">
        <f>IF(A209="","",COUNTIF(Prod_Prop!B:B,A209))</f>
        <v/>
      </c>
      <c r="J209" s="92" t="str">
        <f>IF(E209="","",IF(SUMIF(Precio_Productos!L:L,E209,Precio_Productos!J:J)=0,"Falta Precio",SUMIF(Precio_Productos!L:L,E209,Precio_Productos!J:J)))</f>
        <v/>
      </c>
      <c r="O209" s="86"/>
      <c r="P209" s="86" t="str">
        <f>IFERROR(__xludf.DUMMYFUNCTION("IF(OR(F209=""Selecciona.."",F209=""""),"""",TRANSPOSE(filter(Familias!C:C,Familias!D:D=F209)))"),"")</f>
        <v/>
      </c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</row>
    <row r="210">
      <c r="A210" s="4" t="str">
        <f t="shared" si="1"/>
        <v/>
      </c>
      <c r="B210" s="4"/>
      <c r="C210" s="4"/>
      <c r="D210" s="4"/>
      <c r="E210" s="94"/>
      <c r="F210" s="4" t="str">
        <f t="shared" si="2"/>
        <v/>
      </c>
      <c r="G210" s="2" t="str">
        <f t="shared" si="3"/>
        <v/>
      </c>
      <c r="H210" s="2" t="str">
        <f>IF(G210="","",SUMIF(Familias!C:C,G210,Familias!E:E))</f>
        <v/>
      </c>
      <c r="I210" s="4" t="str">
        <f>IF(A210="","",COUNTIF(Prod_Prop!B:B,A210))</f>
        <v/>
      </c>
      <c r="J210" s="92" t="str">
        <f>IF(E210="","",IF(SUMIF(Precio_Productos!L:L,E210,Precio_Productos!J:J)=0,"Falta Precio",SUMIF(Precio_Productos!L:L,E210,Precio_Productos!J:J)))</f>
        <v/>
      </c>
      <c r="O210" s="86"/>
      <c r="P210" s="86" t="str">
        <f>IFERROR(__xludf.DUMMYFUNCTION("IF(OR(F210=""Selecciona.."",F210=""""),"""",TRANSPOSE(filter(Familias!C:C,Familias!D:D=F210)))"),"")</f>
        <v/>
      </c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</row>
    <row r="211">
      <c r="A211" s="4" t="str">
        <f t="shared" si="1"/>
        <v/>
      </c>
      <c r="B211" s="4"/>
      <c r="C211" s="4"/>
      <c r="D211" s="4"/>
      <c r="E211" s="94"/>
      <c r="F211" s="4" t="str">
        <f t="shared" si="2"/>
        <v/>
      </c>
      <c r="G211" s="2" t="str">
        <f t="shared" si="3"/>
        <v/>
      </c>
      <c r="H211" s="2" t="str">
        <f>IF(G211="","",SUMIF(Familias!C:C,G211,Familias!E:E))</f>
        <v/>
      </c>
      <c r="I211" s="4" t="str">
        <f>IF(A211="","",COUNTIF(Prod_Prop!B:B,A211))</f>
        <v/>
      </c>
      <c r="J211" s="92" t="str">
        <f>IF(E211="","",IF(SUMIF(Precio_Productos!L:L,E211,Precio_Productos!J:J)=0,"Falta Precio",SUMIF(Precio_Productos!L:L,E211,Precio_Productos!J:J)))</f>
        <v/>
      </c>
      <c r="O211" s="86"/>
      <c r="P211" s="86" t="str">
        <f>IFERROR(__xludf.DUMMYFUNCTION("IF(OR(F211=""Selecciona.."",F211=""""),"""",TRANSPOSE(filter(Familias!C:C,Familias!D:D=F211)))"),"")</f>
        <v/>
      </c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</row>
    <row r="212">
      <c r="A212" s="4" t="str">
        <f t="shared" si="1"/>
        <v/>
      </c>
      <c r="B212" s="4"/>
      <c r="C212" s="4"/>
      <c r="D212" s="4"/>
      <c r="E212" s="94"/>
      <c r="F212" s="4" t="str">
        <f t="shared" si="2"/>
        <v/>
      </c>
      <c r="G212" s="2" t="str">
        <f t="shared" si="3"/>
        <v/>
      </c>
      <c r="H212" s="2" t="str">
        <f>IF(G212="","",SUMIF(Familias!C:C,G212,Familias!E:E))</f>
        <v/>
      </c>
      <c r="I212" s="4" t="str">
        <f>IF(A212="","",COUNTIF(Prod_Prop!B:B,A212))</f>
        <v/>
      </c>
      <c r="J212" s="92" t="str">
        <f>IF(E212="","",IF(SUMIF(Precio_Productos!L:L,E212,Precio_Productos!J:J)=0,"Falta Precio",SUMIF(Precio_Productos!L:L,E212,Precio_Productos!J:J)))</f>
        <v/>
      </c>
      <c r="O212" s="86"/>
      <c r="P212" s="86" t="str">
        <f>IFERROR(__xludf.DUMMYFUNCTION("IF(OR(F212=""Selecciona.."",F212=""""),"""",TRANSPOSE(filter(Familias!C:C,Familias!D:D=F212)))"),"")</f>
        <v/>
      </c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</row>
    <row r="213">
      <c r="A213" s="4" t="str">
        <f t="shared" si="1"/>
        <v/>
      </c>
      <c r="B213" s="4"/>
      <c r="C213" s="4"/>
      <c r="D213" s="4"/>
      <c r="E213" s="94"/>
      <c r="F213" s="4" t="str">
        <f t="shared" si="2"/>
        <v/>
      </c>
      <c r="G213" s="2" t="str">
        <f t="shared" si="3"/>
        <v/>
      </c>
      <c r="H213" s="2" t="str">
        <f>IF(G213="","",SUMIF(Familias!C:C,G213,Familias!E:E))</f>
        <v/>
      </c>
      <c r="I213" s="4" t="str">
        <f>IF(A213="","",COUNTIF(Prod_Prop!B:B,A213))</f>
        <v/>
      </c>
      <c r="J213" s="92" t="str">
        <f>IF(E213="","",IF(SUMIF(Precio_Productos!L:L,E213,Precio_Productos!J:J)=0,"Falta Precio",SUMIF(Precio_Productos!L:L,E213,Precio_Productos!J:J)))</f>
        <v/>
      </c>
      <c r="O213" s="86"/>
      <c r="P213" s="86" t="str">
        <f>IFERROR(__xludf.DUMMYFUNCTION("IF(OR(F213=""Selecciona.."",F213=""""),"""",TRANSPOSE(filter(Familias!C:C,Familias!D:D=F213)))"),"")</f>
        <v/>
      </c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</row>
    <row r="214">
      <c r="A214" s="4" t="str">
        <f t="shared" si="1"/>
        <v/>
      </c>
      <c r="B214" s="4"/>
      <c r="C214" s="4"/>
      <c r="D214" s="4"/>
      <c r="E214" s="94"/>
      <c r="F214" s="4" t="str">
        <f t="shared" si="2"/>
        <v/>
      </c>
      <c r="G214" s="2" t="str">
        <f t="shared" si="3"/>
        <v/>
      </c>
      <c r="H214" s="2" t="str">
        <f>IF(G214="","",SUMIF(Familias!C:C,G214,Familias!E:E))</f>
        <v/>
      </c>
      <c r="I214" s="4" t="str">
        <f>IF(A214="","",COUNTIF(Prod_Prop!B:B,A214))</f>
        <v/>
      </c>
      <c r="J214" s="92" t="str">
        <f>IF(E214="","",IF(SUMIF(Precio_Productos!L:L,E214,Precio_Productos!J:J)=0,"Falta Precio",SUMIF(Precio_Productos!L:L,E214,Precio_Productos!J:J)))</f>
        <v/>
      </c>
      <c r="O214" s="86"/>
      <c r="P214" s="86" t="str">
        <f>IFERROR(__xludf.DUMMYFUNCTION("IF(OR(F214=""Selecciona.."",F214=""""),"""",TRANSPOSE(filter(Familias!C:C,Familias!D:D=F214)))"),"")</f>
        <v/>
      </c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</row>
    <row r="215">
      <c r="A215" s="4" t="str">
        <f t="shared" si="1"/>
        <v/>
      </c>
      <c r="B215" s="4"/>
      <c r="C215" s="4"/>
      <c r="D215" s="4"/>
      <c r="E215" s="94"/>
      <c r="F215" s="4" t="str">
        <f t="shared" si="2"/>
        <v/>
      </c>
      <c r="G215" s="2" t="str">
        <f t="shared" si="3"/>
        <v/>
      </c>
      <c r="H215" s="2" t="str">
        <f>IF(G215="","",SUMIF(Familias!C:C,G215,Familias!E:E))</f>
        <v/>
      </c>
      <c r="I215" s="4" t="str">
        <f>IF(A215="","",COUNTIF(Prod_Prop!B:B,A215))</f>
        <v/>
      </c>
      <c r="J215" s="92" t="str">
        <f>IF(E215="","",IF(SUMIF(Precio_Productos!L:L,E215,Precio_Productos!J:J)=0,"Falta Precio",SUMIF(Precio_Productos!L:L,E215,Precio_Productos!J:J)))</f>
        <v/>
      </c>
      <c r="O215" s="86"/>
      <c r="P215" s="86" t="str">
        <f>IFERROR(__xludf.DUMMYFUNCTION("IF(OR(F215=""Selecciona.."",F215=""""),"""",TRANSPOSE(filter(Familias!C:C,Familias!D:D=F215)))"),"")</f>
        <v/>
      </c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</row>
    <row r="216">
      <c r="A216" s="4" t="str">
        <f t="shared" si="1"/>
        <v/>
      </c>
      <c r="B216" s="4"/>
      <c r="C216" s="4"/>
      <c r="D216" s="4"/>
      <c r="E216" s="94"/>
      <c r="F216" s="4" t="str">
        <f t="shared" si="2"/>
        <v/>
      </c>
      <c r="G216" s="2" t="str">
        <f t="shared" si="3"/>
        <v/>
      </c>
      <c r="H216" s="2" t="str">
        <f>IF(G216="","",SUMIF(Familias!C:C,G216,Familias!E:E))</f>
        <v/>
      </c>
      <c r="I216" s="4" t="str">
        <f>IF(A216="","",COUNTIF(Prod_Prop!B:B,A216))</f>
        <v/>
      </c>
      <c r="J216" s="92" t="str">
        <f>IF(E216="","",IF(SUMIF(Precio_Productos!L:L,E216,Precio_Productos!J:J)=0,"Falta Precio",SUMIF(Precio_Productos!L:L,E216,Precio_Productos!J:J)))</f>
        <v/>
      </c>
      <c r="O216" s="86"/>
      <c r="P216" s="86" t="str">
        <f>IFERROR(__xludf.DUMMYFUNCTION("IF(OR(F216=""Selecciona.."",F216=""""),"""",TRANSPOSE(filter(Familias!C:C,Familias!D:D=F216)))"),"")</f>
        <v/>
      </c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</row>
    <row r="217">
      <c r="A217" s="4" t="str">
        <f t="shared" si="1"/>
        <v/>
      </c>
      <c r="B217" s="4"/>
      <c r="C217" s="4"/>
      <c r="D217" s="4"/>
      <c r="E217" s="94"/>
      <c r="F217" s="4" t="str">
        <f t="shared" si="2"/>
        <v/>
      </c>
      <c r="G217" s="2" t="str">
        <f t="shared" si="3"/>
        <v/>
      </c>
      <c r="H217" s="2" t="str">
        <f>IF(G217="","",SUMIF(Familias!C:C,G217,Familias!E:E))</f>
        <v/>
      </c>
      <c r="I217" s="4" t="str">
        <f>IF(A217="","",COUNTIF(Prod_Prop!B:B,A217))</f>
        <v/>
      </c>
      <c r="J217" s="92" t="str">
        <f>IF(E217="","",IF(SUMIF(Precio_Productos!L:L,E217,Precio_Productos!J:J)=0,"Falta Precio",SUMIF(Precio_Productos!L:L,E217,Precio_Productos!J:J)))</f>
        <v/>
      </c>
      <c r="O217" s="86"/>
      <c r="P217" s="86" t="str">
        <f>IFERROR(__xludf.DUMMYFUNCTION("IF(OR(F217=""Selecciona.."",F217=""""),"""",TRANSPOSE(filter(Familias!C:C,Familias!D:D=F217)))"),"")</f>
        <v/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</row>
    <row r="218">
      <c r="A218" s="4" t="str">
        <f t="shared" si="1"/>
        <v/>
      </c>
      <c r="B218" s="4"/>
      <c r="C218" s="4"/>
      <c r="D218" s="4"/>
      <c r="E218" s="94"/>
      <c r="F218" s="4" t="str">
        <f t="shared" si="2"/>
        <v/>
      </c>
      <c r="G218" s="2" t="str">
        <f t="shared" si="3"/>
        <v/>
      </c>
      <c r="H218" s="2" t="str">
        <f>IF(G218="","",SUMIF(Familias!C:C,G218,Familias!E:E))</f>
        <v/>
      </c>
      <c r="I218" s="4" t="str">
        <f>IF(A218="","",COUNTIF(Prod_Prop!B:B,A218))</f>
        <v/>
      </c>
      <c r="J218" s="92" t="str">
        <f>IF(E218="","",IF(SUMIF(Precio_Productos!L:L,E218,Precio_Productos!J:J)=0,"Falta Precio",SUMIF(Precio_Productos!L:L,E218,Precio_Productos!J:J)))</f>
        <v/>
      </c>
      <c r="O218" s="86"/>
      <c r="P218" s="86" t="str">
        <f>IFERROR(__xludf.DUMMYFUNCTION("IF(OR(F218=""Selecciona.."",F218=""""),"""",TRANSPOSE(filter(Familias!C:C,Familias!D:D=F218)))"),"")</f>
        <v/>
      </c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</row>
    <row r="219">
      <c r="A219" s="4" t="str">
        <f t="shared" si="1"/>
        <v/>
      </c>
      <c r="B219" s="4"/>
      <c r="C219" s="4"/>
      <c r="D219" s="4"/>
      <c r="E219" s="94"/>
      <c r="F219" s="4" t="str">
        <f t="shared" si="2"/>
        <v/>
      </c>
      <c r="G219" s="2" t="str">
        <f t="shared" si="3"/>
        <v/>
      </c>
      <c r="H219" s="2" t="str">
        <f>IF(G219="","",SUMIF(Familias!C:C,G219,Familias!E:E))</f>
        <v/>
      </c>
      <c r="I219" s="4" t="str">
        <f>IF(A219="","",COUNTIF(Prod_Prop!B:B,A219))</f>
        <v/>
      </c>
      <c r="J219" s="92" t="str">
        <f>IF(E219="","",IF(SUMIF(Precio_Productos!L:L,E219,Precio_Productos!J:J)=0,"Falta Precio",SUMIF(Precio_Productos!L:L,E219,Precio_Productos!J:J)))</f>
        <v/>
      </c>
      <c r="O219" s="86"/>
      <c r="P219" s="86" t="str">
        <f>IFERROR(__xludf.DUMMYFUNCTION("IF(OR(F219=""Selecciona.."",F219=""""),"""",TRANSPOSE(filter(Familias!C:C,Familias!D:D=F219)))"),"")</f>
        <v/>
      </c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</row>
    <row r="220">
      <c r="A220" s="4" t="str">
        <f t="shared" si="1"/>
        <v/>
      </c>
      <c r="B220" s="4"/>
      <c r="C220" s="4"/>
      <c r="D220" s="4"/>
      <c r="E220" s="94"/>
      <c r="F220" s="4" t="str">
        <f t="shared" si="2"/>
        <v/>
      </c>
      <c r="G220" s="2" t="str">
        <f t="shared" si="3"/>
        <v/>
      </c>
      <c r="H220" s="2" t="str">
        <f>IF(G220="","",SUMIF(Familias!C:C,G220,Familias!E:E))</f>
        <v/>
      </c>
      <c r="I220" s="4" t="str">
        <f>IF(A220="","",COUNTIF(Prod_Prop!B:B,A220))</f>
        <v/>
      </c>
      <c r="J220" s="92" t="str">
        <f>IF(E220="","",IF(SUMIF(Precio_Productos!L:L,E220,Precio_Productos!J:J)=0,"Falta Precio",SUMIF(Precio_Productos!L:L,E220,Precio_Productos!J:J)))</f>
        <v/>
      </c>
      <c r="O220" s="86"/>
      <c r="P220" s="86" t="str">
        <f>IFERROR(__xludf.DUMMYFUNCTION("IF(OR(F220=""Selecciona.."",F220=""""),"""",TRANSPOSE(filter(Familias!C:C,Familias!D:D=F220)))"),"")</f>
        <v/>
      </c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</row>
    <row r="221">
      <c r="A221" s="4" t="str">
        <f t="shared" si="1"/>
        <v/>
      </c>
      <c r="B221" s="4"/>
      <c r="C221" s="4"/>
      <c r="D221" s="4"/>
      <c r="E221" s="94"/>
      <c r="F221" s="4" t="str">
        <f t="shared" si="2"/>
        <v/>
      </c>
      <c r="G221" s="2" t="str">
        <f t="shared" si="3"/>
        <v/>
      </c>
      <c r="H221" s="2" t="str">
        <f>IF(G221="","",SUMIF(Familias!C:C,G221,Familias!E:E))</f>
        <v/>
      </c>
      <c r="I221" s="4" t="str">
        <f>IF(A221="","",COUNTIF(Prod_Prop!B:B,A221))</f>
        <v/>
      </c>
      <c r="J221" s="92" t="str">
        <f>IF(E221="","",IF(SUMIF(Precio_Productos!L:L,E221,Precio_Productos!J:J)=0,"Falta Precio",SUMIF(Precio_Productos!L:L,E221,Precio_Productos!J:J)))</f>
        <v/>
      </c>
      <c r="O221" s="86"/>
      <c r="P221" s="86" t="str">
        <f>IFERROR(__xludf.DUMMYFUNCTION("IF(OR(F221=""Selecciona.."",F221=""""),"""",TRANSPOSE(filter(Familias!C:C,Familias!D:D=F221)))"),"")</f>
        <v/>
      </c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</row>
    <row r="222">
      <c r="A222" s="4" t="str">
        <f t="shared" si="1"/>
        <v/>
      </c>
      <c r="B222" s="4"/>
      <c r="C222" s="4"/>
      <c r="D222" s="4"/>
      <c r="E222" s="94"/>
      <c r="F222" s="4" t="str">
        <f t="shared" si="2"/>
        <v/>
      </c>
      <c r="G222" s="2" t="str">
        <f t="shared" si="3"/>
        <v/>
      </c>
      <c r="H222" s="2" t="str">
        <f>IF(G222="","",SUMIF(Familias!C:C,G222,Familias!E:E))</f>
        <v/>
      </c>
      <c r="I222" s="4" t="str">
        <f>IF(A222="","",COUNTIF(Prod_Prop!B:B,A222))</f>
        <v/>
      </c>
      <c r="J222" s="92" t="str">
        <f>IF(E222="","",IF(SUMIF(Precio_Productos!L:L,E222,Precio_Productos!J:J)=0,"Falta Precio",SUMIF(Precio_Productos!L:L,E222,Precio_Productos!J:J)))</f>
        <v/>
      </c>
      <c r="O222" s="86"/>
      <c r="P222" s="86" t="str">
        <f>IFERROR(__xludf.DUMMYFUNCTION("IF(OR(F222=""Selecciona.."",F222=""""),"""",TRANSPOSE(filter(Familias!C:C,Familias!D:D=F222)))"),"")</f>
        <v/>
      </c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</row>
    <row r="223">
      <c r="A223" s="4" t="str">
        <f t="shared" si="1"/>
        <v/>
      </c>
      <c r="B223" s="4"/>
      <c r="C223" s="4"/>
      <c r="D223" s="4"/>
      <c r="E223" s="94"/>
      <c r="F223" s="4" t="str">
        <f t="shared" si="2"/>
        <v/>
      </c>
      <c r="G223" s="2" t="str">
        <f t="shared" si="3"/>
        <v/>
      </c>
      <c r="H223" s="2" t="str">
        <f>IF(G223="","",SUMIF(Familias!C:C,G223,Familias!E:E))</f>
        <v/>
      </c>
      <c r="I223" s="4" t="str">
        <f>IF(A223="","",COUNTIF(Prod_Prop!B:B,A223))</f>
        <v/>
      </c>
      <c r="J223" s="92" t="str">
        <f>IF(E223="","",IF(SUMIF(Precio_Productos!L:L,E223,Precio_Productos!J:J)=0,"Falta Precio",SUMIF(Precio_Productos!L:L,E223,Precio_Productos!J:J)))</f>
        <v/>
      </c>
      <c r="O223" s="86"/>
      <c r="P223" s="86" t="str">
        <f>IFERROR(__xludf.DUMMYFUNCTION("IF(OR(F223=""Selecciona.."",F223=""""),"""",TRANSPOSE(filter(Familias!C:C,Familias!D:D=F223)))"),"")</f>
        <v/>
      </c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</row>
    <row r="224">
      <c r="A224" s="4" t="str">
        <f t="shared" si="1"/>
        <v/>
      </c>
      <c r="B224" s="4"/>
      <c r="C224" s="4"/>
      <c r="D224" s="4"/>
      <c r="E224" s="94"/>
      <c r="F224" s="4" t="str">
        <f t="shared" si="2"/>
        <v/>
      </c>
      <c r="G224" s="2" t="str">
        <f t="shared" si="3"/>
        <v/>
      </c>
      <c r="H224" s="2" t="str">
        <f>IF(G224="","",SUMIF(Familias!C:C,G224,Familias!E:E))</f>
        <v/>
      </c>
      <c r="I224" s="4" t="str">
        <f>IF(A224="","",COUNTIF(Prod_Prop!B:B,A224))</f>
        <v/>
      </c>
      <c r="J224" s="92" t="str">
        <f>IF(E224="","",IF(SUMIF(Precio_Productos!L:L,E224,Precio_Productos!J:J)=0,"Falta Precio",SUMIF(Precio_Productos!L:L,E224,Precio_Productos!J:J)))</f>
        <v/>
      </c>
      <c r="O224" s="86"/>
      <c r="P224" s="86" t="str">
        <f>IFERROR(__xludf.DUMMYFUNCTION("IF(OR(F224=""Selecciona.."",F224=""""),"""",TRANSPOSE(filter(Familias!C:C,Familias!D:D=F224)))"),"")</f>
        <v/>
      </c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</row>
    <row r="225">
      <c r="A225" s="4" t="str">
        <f t="shared" si="1"/>
        <v/>
      </c>
      <c r="B225" s="4"/>
      <c r="C225" s="4"/>
      <c r="D225" s="4"/>
      <c r="E225" s="94"/>
      <c r="F225" s="4" t="str">
        <f t="shared" si="2"/>
        <v/>
      </c>
      <c r="G225" s="2" t="str">
        <f t="shared" si="3"/>
        <v/>
      </c>
      <c r="H225" s="2" t="str">
        <f>IF(G225="","",SUMIF(Familias!C:C,G225,Familias!E:E))</f>
        <v/>
      </c>
      <c r="I225" s="4" t="str">
        <f>IF(A225="","",COUNTIF(Prod_Prop!B:B,A225))</f>
        <v/>
      </c>
      <c r="J225" s="92" t="str">
        <f>IF(E225="","",IF(SUMIF(Precio_Productos!L:L,E225,Precio_Productos!J:J)=0,"Falta Precio",SUMIF(Precio_Productos!L:L,E225,Precio_Productos!J:J)))</f>
        <v/>
      </c>
      <c r="O225" s="86"/>
      <c r="P225" s="86" t="str">
        <f>IFERROR(__xludf.DUMMYFUNCTION("IF(OR(F225=""Selecciona.."",F225=""""),"""",TRANSPOSE(filter(Familias!C:C,Familias!D:D=F225)))"),"")</f>
        <v/>
      </c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</row>
    <row r="226">
      <c r="A226" s="4" t="str">
        <f t="shared" si="1"/>
        <v/>
      </c>
      <c r="B226" s="4"/>
      <c r="C226" s="4"/>
      <c r="D226" s="4"/>
      <c r="E226" s="94"/>
      <c r="F226" s="4" t="str">
        <f t="shared" si="2"/>
        <v/>
      </c>
      <c r="G226" s="2" t="str">
        <f t="shared" si="3"/>
        <v/>
      </c>
      <c r="H226" s="2" t="str">
        <f>IF(G226="","",SUMIF(Familias!C:C,G226,Familias!E:E))</f>
        <v/>
      </c>
      <c r="I226" s="4" t="str">
        <f>IF(A226="","",COUNTIF(Prod_Prop!B:B,A226))</f>
        <v/>
      </c>
      <c r="J226" s="92" t="str">
        <f>IF(E226="","",IF(SUMIF(Precio_Productos!L:L,E226,Precio_Productos!J:J)=0,"Falta Precio",SUMIF(Precio_Productos!L:L,E226,Precio_Productos!J:J)))</f>
        <v/>
      </c>
      <c r="O226" s="86"/>
      <c r="P226" s="86" t="str">
        <f>IFERROR(__xludf.DUMMYFUNCTION("IF(OR(F226=""Selecciona.."",F226=""""),"""",TRANSPOSE(filter(Familias!C:C,Familias!D:D=F226)))"),"")</f>
        <v/>
      </c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</row>
    <row r="227">
      <c r="A227" s="4" t="str">
        <f t="shared" si="1"/>
        <v/>
      </c>
      <c r="B227" s="4"/>
      <c r="C227" s="4"/>
      <c r="D227" s="4"/>
      <c r="E227" s="94"/>
      <c r="F227" s="4" t="str">
        <f t="shared" si="2"/>
        <v/>
      </c>
      <c r="G227" s="2" t="str">
        <f t="shared" si="3"/>
        <v/>
      </c>
      <c r="H227" s="2" t="str">
        <f>IF(G227="","",SUMIF(Familias!C:C,G227,Familias!E:E))</f>
        <v/>
      </c>
      <c r="I227" s="4" t="str">
        <f>IF(A227="","",COUNTIF(Prod_Prop!B:B,A227))</f>
        <v/>
      </c>
      <c r="J227" s="92" t="str">
        <f>IF(E227="","",IF(SUMIF(Precio_Productos!L:L,E227,Precio_Productos!J:J)=0,"Falta Precio",SUMIF(Precio_Productos!L:L,E227,Precio_Productos!J:J)))</f>
        <v/>
      </c>
      <c r="O227" s="86"/>
      <c r="P227" s="86" t="str">
        <f>IFERROR(__xludf.DUMMYFUNCTION("IF(OR(F227=""Selecciona.."",F227=""""),"""",TRANSPOSE(filter(Familias!C:C,Familias!D:D=F227)))"),"")</f>
        <v/>
      </c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</row>
    <row r="228">
      <c r="A228" s="4" t="str">
        <f t="shared" si="1"/>
        <v/>
      </c>
      <c r="B228" s="4"/>
      <c r="C228" s="4"/>
      <c r="D228" s="4"/>
      <c r="E228" s="94"/>
      <c r="F228" s="4" t="str">
        <f t="shared" si="2"/>
        <v/>
      </c>
      <c r="G228" s="2" t="str">
        <f t="shared" si="3"/>
        <v/>
      </c>
      <c r="H228" s="2" t="str">
        <f>IF(G228="","",SUMIF(Familias!C:C,G228,Familias!E:E))</f>
        <v/>
      </c>
      <c r="I228" s="4" t="str">
        <f>IF(A228="","",COUNTIF(Prod_Prop!B:B,A228))</f>
        <v/>
      </c>
      <c r="J228" s="92" t="str">
        <f>IF(E228="","",IF(SUMIF(Precio_Productos!L:L,E228,Precio_Productos!J:J)=0,"Falta Precio",SUMIF(Precio_Productos!L:L,E228,Precio_Productos!J:J)))</f>
        <v/>
      </c>
      <c r="O228" s="86"/>
      <c r="P228" s="86" t="str">
        <f>IFERROR(__xludf.DUMMYFUNCTION("IF(OR(F228=""Selecciona.."",F228=""""),"""",TRANSPOSE(filter(Familias!C:C,Familias!D:D=F228)))"),"")</f>
        <v/>
      </c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</row>
    <row r="229">
      <c r="A229" s="4" t="str">
        <f t="shared" si="1"/>
        <v/>
      </c>
      <c r="B229" s="4"/>
      <c r="C229" s="4"/>
      <c r="D229" s="4"/>
      <c r="E229" s="94"/>
      <c r="F229" s="4" t="str">
        <f t="shared" si="2"/>
        <v/>
      </c>
      <c r="G229" s="2" t="str">
        <f t="shared" si="3"/>
        <v/>
      </c>
      <c r="H229" s="2" t="str">
        <f>IF(G229="","",SUMIF(Familias!C:C,G229,Familias!E:E))</f>
        <v/>
      </c>
      <c r="I229" s="4" t="str">
        <f>IF(A229="","",COUNTIF(Prod_Prop!B:B,A229))</f>
        <v/>
      </c>
      <c r="J229" s="92" t="str">
        <f>IF(E229="","",IF(SUMIF(Precio_Productos!L:L,E229,Precio_Productos!J:J)=0,"Falta Precio",SUMIF(Precio_Productos!L:L,E229,Precio_Productos!J:J)))</f>
        <v/>
      </c>
      <c r="O229" s="86"/>
      <c r="P229" s="86" t="str">
        <f>IFERROR(__xludf.DUMMYFUNCTION("IF(OR(F229=""Selecciona.."",F229=""""),"""",TRANSPOSE(filter(Familias!C:C,Familias!D:D=F229)))"),"")</f>
        <v/>
      </c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</row>
    <row r="230">
      <c r="A230" s="4" t="str">
        <f t="shared" si="1"/>
        <v/>
      </c>
      <c r="B230" s="4"/>
      <c r="C230" s="4"/>
      <c r="D230" s="4"/>
      <c r="E230" s="94"/>
      <c r="F230" s="4" t="str">
        <f t="shared" si="2"/>
        <v/>
      </c>
      <c r="G230" s="2" t="str">
        <f t="shared" si="3"/>
        <v/>
      </c>
      <c r="H230" s="2" t="str">
        <f>IF(G230="","",SUMIF(Familias!C:C,G230,Familias!E:E))</f>
        <v/>
      </c>
      <c r="I230" s="4" t="str">
        <f>IF(A230="","",COUNTIF(Prod_Prop!B:B,A230))</f>
        <v/>
      </c>
      <c r="J230" s="92" t="str">
        <f>IF(E230="","",IF(SUMIF(Precio_Productos!L:L,E230,Precio_Productos!J:J)=0,"Falta Precio",SUMIF(Precio_Productos!L:L,E230,Precio_Productos!J:J)))</f>
        <v/>
      </c>
      <c r="O230" s="86"/>
      <c r="P230" s="86" t="str">
        <f>IFERROR(__xludf.DUMMYFUNCTION("IF(OR(F230=""Selecciona.."",F230=""""),"""",TRANSPOSE(filter(Familias!C:C,Familias!D:D=F230)))"),"")</f>
        <v/>
      </c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</row>
    <row r="231">
      <c r="A231" s="4" t="str">
        <f t="shared" si="1"/>
        <v/>
      </c>
      <c r="B231" s="4"/>
      <c r="C231" s="4"/>
      <c r="D231" s="4"/>
      <c r="E231" s="94"/>
      <c r="F231" s="4" t="str">
        <f t="shared" si="2"/>
        <v/>
      </c>
      <c r="G231" s="2" t="str">
        <f t="shared" si="3"/>
        <v/>
      </c>
      <c r="H231" s="2" t="str">
        <f>IF(G231="","",SUMIF(Familias!C:C,G231,Familias!E:E))</f>
        <v/>
      </c>
      <c r="I231" s="4" t="str">
        <f>IF(A231="","",COUNTIF(Prod_Prop!B:B,A231))</f>
        <v/>
      </c>
      <c r="J231" s="92" t="str">
        <f>IF(E231="","",IF(SUMIF(Precio_Productos!L:L,E231,Precio_Productos!J:J)=0,"Falta Precio",SUMIF(Precio_Productos!L:L,E231,Precio_Productos!J:J)))</f>
        <v/>
      </c>
      <c r="O231" s="86"/>
      <c r="P231" s="86" t="str">
        <f>IFERROR(__xludf.DUMMYFUNCTION("IF(OR(F231=""Selecciona.."",F231=""""),"""",TRANSPOSE(filter(Familias!C:C,Familias!D:D=F231)))"),"")</f>
        <v/>
      </c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</row>
    <row r="232">
      <c r="A232" s="4" t="str">
        <f t="shared" si="1"/>
        <v/>
      </c>
      <c r="B232" s="4"/>
      <c r="C232" s="4"/>
      <c r="D232" s="4"/>
      <c r="E232" s="94"/>
      <c r="F232" s="4" t="str">
        <f t="shared" si="2"/>
        <v/>
      </c>
      <c r="G232" s="2" t="str">
        <f t="shared" si="3"/>
        <v/>
      </c>
      <c r="H232" s="2" t="str">
        <f>IF(G232="","",SUMIF(Familias!C:C,G232,Familias!E:E))</f>
        <v/>
      </c>
      <c r="I232" s="4" t="str">
        <f>IF(A232="","",COUNTIF(Prod_Prop!B:B,A232))</f>
        <v/>
      </c>
      <c r="J232" s="92" t="str">
        <f>IF(E232="","",IF(SUMIF(Precio_Productos!L:L,E232,Precio_Productos!J:J)=0,"Falta Precio",SUMIF(Precio_Productos!L:L,E232,Precio_Productos!J:J)))</f>
        <v/>
      </c>
      <c r="O232" s="86"/>
      <c r="P232" s="86" t="str">
        <f>IFERROR(__xludf.DUMMYFUNCTION("IF(OR(F232=""Selecciona.."",F232=""""),"""",TRANSPOSE(filter(Familias!C:C,Familias!D:D=F232)))"),"")</f>
        <v/>
      </c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</row>
    <row r="233">
      <c r="A233" s="4" t="str">
        <f t="shared" si="1"/>
        <v/>
      </c>
      <c r="B233" s="4"/>
      <c r="C233" s="4"/>
      <c r="D233" s="4"/>
      <c r="E233" s="94"/>
      <c r="F233" s="4" t="str">
        <f t="shared" si="2"/>
        <v/>
      </c>
      <c r="G233" s="2" t="str">
        <f t="shared" si="3"/>
        <v/>
      </c>
      <c r="H233" s="2" t="str">
        <f>IF(G233="","",SUMIF(Familias!C:C,G233,Familias!E:E))</f>
        <v/>
      </c>
      <c r="I233" s="4" t="str">
        <f>IF(A233="","",COUNTIF(Prod_Prop!B:B,A233))</f>
        <v/>
      </c>
      <c r="J233" s="92" t="str">
        <f>IF(E233="","",IF(SUMIF(Precio_Productos!L:L,E233,Precio_Productos!J:J)=0,"Falta Precio",SUMIF(Precio_Productos!L:L,E233,Precio_Productos!J:J)))</f>
        <v/>
      </c>
      <c r="O233" s="86"/>
      <c r="P233" s="86" t="str">
        <f>IFERROR(__xludf.DUMMYFUNCTION("IF(OR(F233=""Selecciona.."",F233=""""),"""",TRANSPOSE(filter(Familias!C:C,Familias!D:D=F233)))"),"")</f>
        <v/>
      </c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</row>
    <row r="234">
      <c r="A234" s="4" t="str">
        <f t="shared" si="1"/>
        <v/>
      </c>
      <c r="B234" s="4"/>
      <c r="C234" s="4"/>
      <c r="D234" s="4"/>
      <c r="E234" s="94"/>
      <c r="F234" s="4" t="str">
        <f t="shared" si="2"/>
        <v/>
      </c>
      <c r="G234" s="2" t="str">
        <f t="shared" si="3"/>
        <v/>
      </c>
      <c r="H234" s="2" t="str">
        <f>IF(G234="","",SUMIF(Familias!C:C,G234,Familias!E:E))</f>
        <v/>
      </c>
      <c r="I234" s="4" t="str">
        <f>IF(A234="","",COUNTIF(Prod_Prop!B:B,A234))</f>
        <v/>
      </c>
      <c r="J234" s="92" t="str">
        <f>IF(E234="","",IF(SUMIF(Precio_Productos!L:L,E234,Precio_Productos!J:J)=0,"Falta Precio",SUMIF(Precio_Productos!L:L,E234,Precio_Productos!J:J)))</f>
        <v/>
      </c>
      <c r="O234" s="86"/>
      <c r="P234" s="86" t="str">
        <f>IFERROR(__xludf.DUMMYFUNCTION("IF(OR(F234=""Selecciona.."",F234=""""),"""",TRANSPOSE(filter(Familias!C:C,Familias!D:D=F234)))"),"")</f>
        <v/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</row>
    <row r="235">
      <c r="A235" s="4" t="str">
        <f t="shared" si="1"/>
        <v/>
      </c>
      <c r="B235" s="4"/>
      <c r="C235" s="4"/>
      <c r="D235" s="4"/>
      <c r="E235" s="94"/>
      <c r="F235" s="4" t="str">
        <f t="shared" si="2"/>
        <v/>
      </c>
      <c r="G235" s="2" t="str">
        <f t="shared" si="3"/>
        <v/>
      </c>
      <c r="H235" s="2" t="str">
        <f>IF(G235="","",SUMIF(Familias!C:C,G235,Familias!E:E))</f>
        <v/>
      </c>
      <c r="I235" s="4" t="str">
        <f>IF(A235="","",COUNTIF(Prod_Prop!B:B,A235))</f>
        <v/>
      </c>
      <c r="J235" s="92" t="str">
        <f>IF(E235="","",IF(SUMIF(Precio_Productos!L:L,E235,Precio_Productos!J:J)=0,"Falta Precio",SUMIF(Precio_Productos!L:L,E235,Precio_Productos!J:J)))</f>
        <v/>
      </c>
      <c r="O235" s="86"/>
      <c r="P235" s="86" t="str">
        <f>IFERROR(__xludf.DUMMYFUNCTION("IF(OR(F235=""Selecciona.."",F235=""""),"""",TRANSPOSE(filter(Familias!C:C,Familias!D:D=F235)))"),"")</f>
        <v/>
      </c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</row>
    <row r="236">
      <c r="A236" s="4" t="str">
        <f t="shared" si="1"/>
        <v/>
      </c>
      <c r="B236" s="4"/>
      <c r="C236" s="4"/>
      <c r="D236" s="4"/>
      <c r="E236" s="94"/>
      <c r="F236" s="4" t="str">
        <f t="shared" si="2"/>
        <v/>
      </c>
      <c r="G236" s="2" t="str">
        <f t="shared" si="3"/>
        <v/>
      </c>
      <c r="H236" s="2" t="str">
        <f>IF(G236="","",SUMIF(Familias!C:C,G236,Familias!E:E))</f>
        <v/>
      </c>
      <c r="I236" s="4" t="str">
        <f>IF(A236="","",COUNTIF(Prod_Prop!B:B,A236))</f>
        <v/>
      </c>
      <c r="J236" s="92" t="str">
        <f>IF(E236="","",IF(SUMIF(Precio_Productos!L:L,E236,Precio_Productos!J:J)=0,"Falta Precio",SUMIF(Precio_Productos!L:L,E236,Precio_Productos!J:J)))</f>
        <v/>
      </c>
      <c r="O236" s="86"/>
      <c r="P236" s="86" t="str">
        <f>IFERROR(__xludf.DUMMYFUNCTION("IF(OR(F236=""Selecciona.."",F236=""""),"""",TRANSPOSE(filter(Familias!C:C,Familias!D:D=F236)))"),"")</f>
        <v/>
      </c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</row>
    <row r="237">
      <c r="A237" s="4" t="str">
        <f t="shared" si="1"/>
        <v/>
      </c>
      <c r="B237" s="4"/>
      <c r="C237" s="4"/>
      <c r="D237" s="4"/>
      <c r="E237" s="94"/>
      <c r="F237" s="4" t="str">
        <f t="shared" si="2"/>
        <v/>
      </c>
      <c r="G237" s="2" t="str">
        <f t="shared" si="3"/>
        <v/>
      </c>
      <c r="H237" s="2" t="str">
        <f>IF(G237="","",SUMIF(Familias!C:C,G237,Familias!E:E))</f>
        <v/>
      </c>
      <c r="I237" s="4" t="str">
        <f>IF(A237="","",COUNTIF(Prod_Prop!B:B,A237))</f>
        <v/>
      </c>
      <c r="J237" s="92" t="str">
        <f>IF(E237="","",IF(SUMIF(Precio_Productos!L:L,E237,Precio_Productos!J:J)=0,"Falta Precio",SUMIF(Precio_Productos!L:L,E237,Precio_Productos!J:J)))</f>
        <v/>
      </c>
      <c r="O237" s="86"/>
      <c r="P237" s="86" t="str">
        <f>IFERROR(__xludf.DUMMYFUNCTION("IF(OR(F237=""Selecciona.."",F237=""""),"""",TRANSPOSE(filter(Familias!C:C,Familias!D:D=F237)))"),"")</f>
        <v/>
      </c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</row>
    <row r="238">
      <c r="A238" s="4" t="str">
        <f t="shared" si="1"/>
        <v/>
      </c>
      <c r="B238" s="4"/>
      <c r="C238" s="4"/>
      <c r="D238" s="4"/>
      <c r="E238" s="94"/>
      <c r="F238" s="4" t="str">
        <f t="shared" si="2"/>
        <v/>
      </c>
      <c r="G238" s="2" t="str">
        <f t="shared" si="3"/>
        <v/>
      </c>
      <c r="H238" s="2" t="str">
        <f>IF(G238="","",SUMIF(Familias!C:C,G238,Familias!E:E))</f>
        <v/>
      </c>
      <c r="I238" s="4" t="str">
        <f>IF(A238="","",COUNTIF(Prod_Prop!B:B,A238))</f>
        <v/>
      </c>
      <c r="J238" s="92" t="str">
        <f>IF(E238="","",IF(SUMIF(Precio_Productos!L:L,E238,Precio_Productos!J:J)=0,"Falta Precio",SUMIF(Precio_Productos!L:L,E238,Precio_Productos!J:J)))</f>
        <v/>
      </c>
      <c r="O238" s="86"/>
      <c r="P238" s="86" t="str">
        <f>IFERROR(__xludf.DUMMYFUNCTION("IF(OR(F238=""Selecciona.."",F238=""""),"""",TRANSPOSE(filter(Familias!C:C,Familias!D:D=F238)))"),"")</f>
        <v/>
      </c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</row>
    <row r="239">
      <c r="A239" s="4" t="str">
        <f t="shared" si="1"/>
        <v/>
      </c>
      <c r="B239" s="4"/>
      <c r="C239" s="4"/>
      <c r="D239" s="4"/>
      <c r="E239" s="94"/>
      <c r="F239" s="4" t="str">
        <f t="shared" si="2"/>
        <v/>
      </c>
      <c r="G239" s="2" t="str">
        <f t="shared" si="3"/>
        <v/>
      </c>
      <c r="H239" s="2" t="str">
        <f>IF(G239="","",SUMIF(Familias!C:C,G239,Familias!E:E))</f>
        <v/>
      </c>
      <c r="I239" s="4" t="str">
        <f>IF(A239="","",COUNTIF(Prod_Prop!B:B,A239))</f>
        <v/>
      </c>
      <c r="J239" s="92" t="str">
        <f>IF(E239="","",IF(SUMIF(Precio_Productos!L:L,E239,Precio_Productos!J:J)=0,"Falta Precio",SUMIF(Precio_Productos!L:L,E239,Precio_Productos!J:J)))</f>
        <v/>
      </c>
      <c r="O239" s="86"/>
      <c r="P239" s="86" t="str">
        <f>IFERROR(__xludf.DUMMYFUNCTION("IF(OR(F239=""Selecciona.."",F239=""""),"""",TRANSPOSE(filter(Familias!C:C,Familias!D:D=F239)))"),"")</f>
        <v/>
      </c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</row>
    <row r="240">
      <c r="A240" s="4" t="str">
        <f t="shared" si="1"/>
        <v/>
      </c>
      <c r="B240" s="4"/>
      <c r="C240" s="4"/>
      <c r="D240" s="4"/>
      <c r="E240" s="94"/>
      <c r="F240" s="4" t="str">
        <f t="shared" si="2"/>
        <v/>
      </c>
      <c r="G240" s="2" t="str">
        <f t="shared" si="3"/>
        <v/>
      </c>
      <c r="H240" s="2" t="str">
        <f>IF(G240="","",SUMIF(Familias!C:C,G240,Familias!E:E))</f>
        <v/>
      </c>
      <c r="I240" s="4" t="str">
        <f>IF(A240="","",COUNTIF(Prod_Prop!B:B,A240))</f>
        <v/>
      </c>
      <c r="J240" s="92" t="str">
        <f>IF(E240="","",IF(SUMIF(Precio_Productos!L:L,E240,Precio_Productos!J:J)=0,"Falta Precio",SUMIF(Precio_Productos!L:L,E240,Precio_Productos!J:J)))</f>
        <v/>
      </c>
      <c r="O240" s="86"/>
      <c r="P240" s="86" t="str">
        <f>IFERROR(__xludf.DUMMYFUNCTION("IF(OR(F240=""Selecciona.."",F240=""""),"""",TRANSPOSE(filter(Familias!C:C,Familias!D:D=F240)))"),"")</f>
        <v/>
      </c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</row>
    <row r="241">
      <c r="A241" s="4" t="str">
        <f t="shared" si="1"/>
        <v/>
      </c>
      <c r="B241" s="4"/>
      <c r="C241" s="4"/>
      <c r="D241" s="4"/>
      <c r="E241" s="94"/>
      <c r="F241" s="4" t="str">
        <f t="shared" si="2"/>
        <v/>
      </c>
      <c r="G241" s="2" t="str">
        <f t="shared" si="3"/>
        <v/>
      </c>
      <c r="H241" s="2" t="str">
        <f>IF(G241="","",SUMIF(Familias!C:C,G241,Familias!E:E))</f>
        <v/>
      </c>
      <c r="I241" s="4" t="str">
        <f>IF(A241="","",COUNTIF(Prod_Prop!B:B,A241))</f>
        <v/>
      </c>
      <c r="J241" s="92" t="str">
        <f>IF(E241="","",IF(SUMIF(Precio_Productos!L:L,E241,Precio_Productos!J:J)=0,"Falta Precio",SUMIF(Precio_Productos!L:L,E241,Precio_Productos!J:J)))</f>
        <v/>
      </c>
      <c r="O241" s="86"/>
      <c r="P241" s="86" t="str">
        <f>IFERROR(__xludf.DUMMYFUNCTION("IF(OR(F241=""Selecciona.."",F241=""""),"""",TRANSPOSE(filter(Familias!C:C,Familias!D:D=F241)))"),"")</f>
        <v/>
      </c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</row>
    <row r="242">
      <c r="A242" s="4" t="str">
        <f t="shared" si="1"/>
        <v/>
      </c>
      <c r="B242" s="4"/>
      <c r="C242" s="4"/>
      <c r="D242" s="4"/>
      <c r="E242" s="94"/>
      <c r="F242" s="4" t="str">
        <f t="shared" si="2"/>
        <v/>
      </c>
      <c r="G242" s="2" t="str">
        <f t="shared" si="3"/>
        <v/>
      </c>
      <c r="H242" s="2" t="str">
        <f>IF(G242="","",SUMIF(Familias!C:C,G242,Familias!E:E))</f>
        <v/>
      </c>
      <c r="I242" s="4" t="str">
        <f>IF(A242="","",COUNTIF(Prod_Prop!B:B,A242))</f>
        <v/>
      </c>
      <c r="J242" s="92" t="str">
        <f>IF(E242="","",IF(SUMIF(Precio_Productos!L:L,E242,Precio_Productos!J:J)=0,"Falta Precio",SUMIF(Precio_Productos!L:L,E242,Precio_Productos!J:J)))</f>
        <v/>
      </c>
      <c r="O242" s="86"/>
      <c r="P242" s="86" t="str">
        <f>IFERROR(__xludf.DUMMYFUNCTION("IF(OR(F242=""Selecciona.."",F242=""""),"""",TRANSPOSE(filter(Familias!C:C,Familias!D:D=F242)))"),"")</f>
        <v/>
      </c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</row>
    <row r="243">
      <c r="A243" s="4" t="str">
        <f t="shared" si="1"/>
        <v/>
      </c>
      <c r="B243" s="4"/>
      <c r="C243" s="4"/>
      <c r="D243" s="4"/>
      <c r="E243" s="94"/>
      <c r="F243" s="4" t="str">
        <f t="shared" si="2"/>
        <v/>
      </c>
      <c r="G243" s="2" t="str">
        <f t="shared" si="3"/>
        <v/>
      </c>
      <c r="H243" s="2" t="str">
        <f>IF(G243="","",SUMIF(Familias!C:C,G243,Familias!E:E))</f>
        <v/>
      </c>
      <c r="I243" s="4" t="str">
        <f>IF(A243="","",COUNTIF(Prod_Prop!B:B,A243))</f>
        <v/>
      </c>
      <c r="J243" s="92" t="str">
        <f>IF(E243="","",IF(SUMIF(Precio_Productos!L:L,E243,Precio_Productos!J:J)=0,"Falta Precio",SUMIF(Precio_Productos!L:L,E243,Precio_Productos!J:J)))</f>
        <v/>
      </c>
      <c r="O243" s="86"/>
      <c r="P243" s="86" t="str">
        <f>IFERROR(__xludf.DUMMYFUNCTION("IF(OR(F243=""Selecciona.."",F243=""""),"""",TRANSPOSE(filter(Familias!C:C,Familias!D:D=F243)))"),"")</f>
        <v/>
      </c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</row>
    <row r="244">
      <c r="A244" s="4" t="str">
        <f t="shared" si="1"/>
        <v/>
      </c>
      <c r="B244" s="4"/>
      <c r="C244" s="4"/>
      <c r="D244" s="4"/>
      <c r="E244" s="94"/>
      <c r="F244" s="4" t="str">
        <f t="shared" si="2"/>
        <v/>
      </c>
      <c r="G244" s="2" t="str">
        <f t="shared" si="3"/>
        <v/>
      </c>
      <c r="H244" s="2" t="str">
        <f>IF(G244="","",SUMIF(Familias!C:C,G244,Familias!E:E))</f>
        <v/>
      </c>
      <c r="I244" s="4" t="str">
        <f>IF(A244="","",COUNTIF(Prod_Prop!B:B,A244))</f>
        <v/>
      </c>
      <c r="J244" s="92" t="str">
        <f>IF(E244="","",IF(SUMIF(Precio_Productos!L:L,E244,Precio_Productos!J:J)=0,"Falta Precio",SUMIF(Precio_Productos!L:L,E244,Precio_Productos!J:J)))</f>
        <v/>
      </c>
      <c r="O244" s="86"/>
      <c r="P244" s="86" t="str">
        <f>IFERROR(__xludf.DUMMYFUNCTION("IF(OR(F244=""Selecciona.."",F244=""""),"""",TRANSPOSE(filter(Familias!C:C,Familias!D:D=F244)))"),"")</f>
        <v/>
      </c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</row>
    <row r="245">
      <c r="A245" s="4" t="str">
        <f t="shared" si="1"/>
        <v/>
      </c>
      <c r="B245" s="4"/>
      <c r="C245" s="4"/>
      <c r="D245" s="4"/>
      <c r="E245" s="94"/>
      <c r="F245" s="4" t="str">
        <f t="shared" si="2"/>
        <v/>
      </c>
      <c r="G245" s="2" t="str">
        <f t="shared" si="3"/>
        <v/>
      </c>
      <c r="H245" s="2" t="str">
        <f>IF(G245="","",SUMIF(Familias!C:C,G245,Familias!E:E))</f>
        <v/>
      </c>
      <c r="I245" s="4" t="str">
        <f>IF(A245="","",COUNTIF(Prod_Prop!B:B,A245))</f>
        <v/>
      </c>
      <c r="J245" s="92" t="str">
        <f>IF(E245="","",IF(SUMIF(Precio_Productos!L:L,E245,Precio_Productos!J:J)=0,"Falta Precio",SUMIF(Precio_Productos!L:L,E245,Precio_Productos!J:J)))</f>
        <v/>
      </c>
      <c r="O245" s="86"/>
      <c r="P245" s="86" t="str">
        <f>IFERROR(__xludf.DUMMYFUNCTION("IF(OR(F245=""Selecciona.."",F245=""""),"""",TRANSPOSE(filter(Familias!C:C,Familias!D:D=F245)))"),"")</f>
        <v/>
      </c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</row>
    <row r="246">
      <c r="A246" s="4" t="str">
        <f t="shared" si="1"/>
        <v/>
      </c>
      <c r="B246" s="4"/>
      <c r="C246" s="4"/>
      <c r="D246" s="4"/>
      <c r="E246" s="94"/>
      <c r="F246" s="4" t="str">
        <f t="shared" si="2"/>
        <v/>
      </c>
      <c r="G246" s="2" t="str">
        <f t="shared" si="3"/>
        <v/>
      </c>
      <c r="H246" s="2" t="str">
        <f>IF(G246="","",SUMIF(Familias!C:C,G246,Familias!E:E))</f>
        <v/>
      </c>
      <c r="I246" s="4" t="str">
        <f>IF(A246="","",COUNTIF(Prod_Prop!B:B,A246))</f>
        <v/>
      </c>
      <c r="J246" s="92" t="str">
        <f>IF(E246="","",IF(SUMIF(Precio_Productos!L:L,E246,Precio_Productos!J:J)=0,"Falta Precio",SUMIF(Precio_Productos!L:L,E246,Precio_Productos!J:J)))</f>
        <v/>
      </c>
      <c r="O246" s="86"/>
      <c r="P246" s="86" t="str">
        <f>IFERROR(__xludf.DUMMYFUNCTION("IF(OR(F246=""Selecciona.."",F246=""""),"""",TRANSPOSE(filter(Familias!C:C,Familias!D:D=F246)))"),"")</f>
        <v/>
      </c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</row>
    <row r="247">
      <c r="A247" s="4" t="str">
        <f t="shared" si="1"/>
        <v/>
      </c>
      <c r="B247" s="4"/>
      <c r="C247" s="4"/>
      <c r="D247" s="4"/>
      <c r="E247" s="94"/>
      <c r="F247" s="4" t="str">
        <f t="shared" si="2"/>
        <v/>
      </c>
      <c r="G247" s="2" t="str">
        <f t="shared" si="3"/>
        <v/>
      </c>
      <c r="H247" s="2" t="str">
        <f>IF(G247="","",SUMIF(Familias!C:C,G247,Familias!E:E))</f>
        <v/>
      </c>
      <c r="I247" s="4" t="str">
        <f>IF(A247="","",COUNTIF(Prod_Prop!B:B,A247))</f>
        <v/>
      </c>
      <c r="J247" s="92" t="str">
        <f>IF(E247="","",IF(SUMIF(Precio_Productos!L:L,E247,Precio_Productos!J:J)=0,"Falta Precio",SUMIF(Precio_Productos!L:L,E247,Precio_Productos!J:J)))</f>
        <v/>
      </c>
      <c r="O247" s="86"/>
      <c r="P247" s="86" t="str">
        <f>IFERROR(__xludf.DUMMYFUNCTION("IF(OR(F247=""Selecciona.."",F247=""""),"""",TRANSPOSE(filter(Familias!C:C,Familias!D:D=F247)))"),"")</f>
        <v/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</row>
    <row r="248">
      <c r="A248" s="4" t="str">
        <f t="shared" si="1"/>
        <v/>
      </c>
      <c r="B248" s="4"/>
      <c r="C248" s="4"/>
      <c r="D248" s="4"/>
      <c r="E248" s="94"/>
      <c r="F248" s="4" t="str">
        <f t="shared" si="2"/>
        <v/>
      </c>
      <c r="G248" s="2" t="str">
        <f t="shared" si="3"/>
        <v/>
      </c>
      <c r="H248" s="2" t="str">
        <f>IF(G248="","",SUMIF(Familias!C:C,G248,Familias!E:E))</f>
        <v/>
      </c>
      <c r="I248" s="4" t="str">
        <f>IF(A248="","",COUNTIF(Prod_Prop!B:B,A248))</f>
        <v/>
      </c>
      <c r="J248" s="92" t="str">
        <f>IF(E248="","",IF(SUMIF(Precio_Productos!L:L,E248,Precio_Productos!J:J)=0,"Falta Precio",SUMIF(Precio_Productos!L:L,E248,Precio_Productos!J:J)))</f>
        <v/>
      </c>
      <c r="O248" s="86"/>
      <c r="P248" s="86" t="str">
        <f>IFERROR(__xludf.DUMMYFUNCTION("IF(OR(F248=""Selecciona.."",F248=""""),"""",TRANSPOSE(filter(Familias!C:C,Familias!D:D=F248)))"),"")</f>
        <v/>
      </c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</row>
    <row r="249">
      <c r="A249" s="4" t="str">
        <f t="shared" si="1"/>
        <v/>
      </c>
      <c r="B249" s="4"/>
      <c r="C249" s="4"/>
      <c r="D249" s="4"/>
      <c r="E249" s="94"/>
      <c r="F249" s="4" t="str">
        <f t="shared" si="2"/>
        <v/>
      </c>
      <c r="G249" s="2" t="str">
        <f t="shared" si="3"/>
        <v/>
      </c>
      <c r="H249" s="2" t="str">
        <f>IF(G249="","",SUMIF(Familias!C:C,G249,Familias!E:E))</f>
        <v/>
      </c>
      <c r="I249" s="4" t="str">
        <f>IF(A249="","",COUNTIF(Prod_Prop!B:B,A249))</f>
        <v/>
      </c>
      <c r="J249" s="92" t="str">
        <f>IF(E249="","",IF(SUMIF(Precio_Productos!L:L,E249,Precio_Productos!J:J)=0,"Falta Precio",SUMIF(Precio_Productos!L:L,E249,Precio_Productos!J:J)))</f>
        <v/>
      </c>
      <c r="O249" s="86"/>
      <c r="P249" s="86" t="str">
        <f>IFERROR(__xludf.DUMMYFUNCTION("IF(OR(F249=""Selecciona.."",F249=""""),"""",TRANSPOSE(filter(Familias!C:C,Familias!D:D=F249)))"),"")</f>
        <v/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</row>
    <row r="250">
      <c r="A250" s="4" t="str">
        <f t="shared" si="1"/>
        <v/>
      </c>
      <c r="B250" s="4"/>
      <c r="C250" s="4"/>
      <c r="D250" s="4"/>
      <c r="E250" s="94"/>
      <c r="F250" s="4" t="str">
        <f t="shared" si="2"/>
        <v/>
      </c>
      <c r="G250" s="2" t="str">
        <f t="shared" si="3"/>
        <v/>
      </c>
      <c r="H250" s="2" t="str">
        <f>IF(G250="","",SUMIF(Familias!C:C,G250,Familias!E:E))</f>
        <v/>
      </c>
      <c r="I250" s="4" t="str">
        <f>IF(A250="","",COUNTIF(Prod_Prop!B:B,A250))</f>
        <v/>
      </c>
      <c r="J250" s="92" t="str">
        <f>IF(E250="","",IF(SUMIF(Precio_Productos!L:L,E250,Precio_Productos!J:J)=0,"Falta Precio",SUMIF(Precio_Productos!L:L,E250,Precio_Productos!J:J)))</f>
        <v/>
      </c>
      <c r="O250" s="86"/>
      <c r="P250" s="86" t="str">
        <f>IFERROR(__xludf.DUMMYFUNCTION("IF(OR(F250=""Selecciona.."",F250=""""),"""",TRANSPOSE(filter(Familias!C:C,Familias!D:D=F250)))"),"")</f>
        <v/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</row>
    <row r="251">
      <c r="A251" s="4" t="str">
        <f t="shared" si="1"/>
        <v/>
      </c>
      <c r="B251" s="4"/>
      <c r="C251" s="4"/>
      <c r="D251" s="4"/>
      <c r="E251" s="94"/>
      <c r="F251" s="4" t="str">
        <f t="shared" si="2"/>
        <v/>
      </c>
      <c r="G251" s="2" t="str">
        <f t="shared" si="3"/>
        <v/>
      </c>
      <c r="H251" s="2" t="str">
        <f>IF(G251="","",SUMIF(Familias!C:C,G251,Familias!E:E))</f>
        <v/>
      </c>
      <c r="I251" s="4" t="str">
        <f>IF(A251="","",COUNTIF(Prod_Prop!B:B,A251))</f>
        <v/>
      </c>
      <c r="J251" s="92" t="str">
        <f>IF(E251="","",IF(SUMIF(Precio_Productos!L:L,E251,Precio_Productos!J:J)=0,"Falta Precio",SUMIF(Precio_Productos!L:L,E251,Precio_Productos!J:J)))</f>
        <v/>
      </c>
      <c r="O251" s="86"/>
      <c r="P251" s="86" t="str">
        <f>IFERROR(__xludf.DUMMYFUNCTION("IF(OR(F251=""Selecciona.."",F251=""""),"""",TRANSPOSE(filter(Familias!C:C,Familias!D:D=F251)))"),"")</f>
        <v/>
      </c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</row>
    <row r="252">
      <c r="A252" s="4" t="str">
        <f t="shared" si="1"/>
        <v/>
      </c>
      <c r="B252" s="4"/>
      <c r="C252" s="4"/>
      <c r="D252" s="4"/>
      <c r="E252" s="94"/>
      <c r="F252" s="4" t="str">
        <f t="shared" si="2"/>
        <v/>
      </c>
      <c r="G252" s="2" t="str">
        <f t="shared" si="3"/>
        <v/>
      </c>
      <c r="H252" s="2" t="str">
        <f>IF(G252="","",SUMIF(Familias!C:C,G252,Familias!E:E))</f>
        <v/>
      </c>
      <c r="I252" s="4" t="str">
        <f>IF(A252="","",COUNTIF(Prod_Prop!B:B,A252))</f>
        <v/>
      </c>
      <c r="J252" s="92" t="str">
        <f>IF(E252="","",IF(SUMIF(Precio_Productos!L:L,E252,Precio_Productos!J:J)=0,"Falta Precio",SUMIF(Precio_Productos!L:L,E252,Precio_Productos!J:J)))</f>
        <v/>
      </c>
      <c r="O252" s="86"/>
      <c r="P252" s="86" t="str">
        <f>IFERROR(__xludf.DUMMYFUNCTION("IF(OR(F252=""Selecciona.."",F252=""""),"""",TRANSPOSE(filter(Familias!C:C,Familias!D:D=F252)))"),"")</f>
        <v/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</row>
    <row r="253">
      <c r="A253" s="4" t="str">
        <f t="shared" si="1"/>
        <v/>
      </c>
      <c r="B253" s="4"/>
      <c r="C253" s="4"/>
      <c r="D253" s="4"/>
      <c r="E253" s="94"/>
      <c r="F253" s="4" t="str">
        <f t="shared" si="2"/>
        <v/>
      </c>
      <c r="G253" s="2" t="str">
        <f t="shared" si="3"/>
        <v/>
      </c>
      <c r="H253" s="2" t="str">
        <f>IF(G253="","",SUMIF(Familias!C:C,G253,Familias!E:E))</f>
        <v/>
      </c>
      <c r="I253" s="4" t="str">
        <f>IF(A253="","",COUNTIF(Prod_Prop!B:B,A253))</f>
        <v/>
      </c>
      <c r="J253" s="92" t="str">
        <f>IF(E253="","",IF(SUMIF(Precio_Productos!L:L,E253,Precio_Productos!J:J)=0,"Falta Precio",SUMIF(Precio_Productos!L:L,E253,Precio_Productos!J:J)))</f>
        <v/>
      </c>
      <c r="O253" s="86"/>
      <c r="P253" s="86" t="str">
        <f>IFERROR(__xludf.DUMMYFUNCTION("IF(OR(F253=""Selecciona.."",F253=""""),"""",TRANSPOSE(filter(Familias!C:C,Familias!D:D=F253)))"),"")</f>
        <v/>
      </c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</row>
    <row r="254">
      <c r="A254" s="4" t="str">
        <f t="shared" si="1"/>
        <v/>
      </c>
      <c r="B254" s="4"/>
      <c r="C254" s="4"/>
      <c r="D254" s="4"/>
      <c r="E254" s="94"/>
      <c r="F254" s="4" t="str">
        <f t="shared" si="2"/>
        <v/>
      </c>
      <c r="G254" s="2" t="str">
        <f t="shared" si="3"/>
        <v/>
      </c>
      <c r="H254" s="2" t="str">
        <f>IF(G254="","",SUMIF(Familias!C:C,G254,Familias!E:E))</f>
        <v/>
      </c>
      <c r="I254" s="4" t="str">
        <f>IF(A254="","",COUNTIF(Prod_Prop!B:B,A254))</f>
        <v/>
      </c>
      <c r="J254" s="92" t="str">
        <f>IF(E254="","",IF(SUMIF(Precio_Productos!L:L,E254,Precio_Productos!J:J)=0,"Falta Precio",SUMIF(Precio_Productos!L:L,E254,Precio_Productos!J:J)))</f>
        <v/>
      </c>
      <c r="O254" s="86"/>
      <c r="P254" s="86" t="str">
        <f>IFERROR(__xludf.DUMMYFUNCTION("IF(OR(F254=""Selecciona.."",F254=""""),"""",TRANSPOSE(filter(Familias!C:C,Familias!D:D=F254)))"),"")</f>
        <v/>
      </c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</row>
    <row r="255">
      <c r="A255" s="4" t="str">
        <f t="shared" si="1"/>
        <v/>
      </c>
      <c r="B255" s="4"/>
      <c r="C255" s="4"/>
      <c r="D255" s="4"/>
      <c r="E255" s="94"/>
      <c r="F255" s="4" t="str">
        <f t="shared" si="2"/>
        <v/>
      </c>
      <c r="G255" s="2" t="str">
        <f t="shared" si="3"/>
        <v/>
      </c>
      <c r="H255" s="2" t="str">
        <f>IF(G255="","",SUMIF(Familias!C:C,G255,Familias!E:E))</f>
        <v/>
      </c>
      <c r="I255" s="4" t="str">
        <f>IF(A255="","",COUNTIF(Prod_Prop!B:B,A255))</f>
        <v/>
      </c>
      <c r="J255" s="92" t="str">
        <f>IF(E255="","",IF(SUMIF(Precio_Productos!L:L,E255,Precio_Productos!J:J)=0,"Falta Precio",SUMIF(Precio_Productos!L:L,E255,Precio_Productos!J:J)))</f>
        <v/>
      </c>
      <c r="O255" s="86"/>
      <c r="P255" s="86" t="str">
        <f>IFERROR(__xludf.DUMMYFUNCTION("IF(OR(F255=""Selecciona.."",F255=""""),"""",TRANSPOSE(filter(Familias!C:C,Familias!D:D=F255)))"),"")</f>
        <v/>
      </c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</row>
    <row r="256">
      <c r="A256" s="4" t="str">
        <f t="shared" si="1"/>
        <v/>
      </c>
      <c r="B256" s="4"/>
      <c r="C256" s="4"/>
      <c r="D256" s="4"/>
      <c r="E256" s="94"/>
      <c r="F256" s="4" t="str">
        <f t="shared" si="2"/>
        <v/>
      </c>
      <c r="G256" s="2" t="str">
        <f t="shared" si="3"/>
        <v/>
      </c>
      <c r="H256" s="2" t="str">
        <f>IF(G256="","",SUMIF(Familias!C:C,G256,Familias!E:E))</f>
        <v/>
      </c>
      <c r="I256" s="4" t="str">
        <f>IF(A256="","",COUNTIF(Prod_Prop!B:B,A256))</f>
        <v/>
      </c>
      <c r="J256" s="92" t="str">
        <f>IF(E256="","",IF(SUMIF(Precio_Productos!L:L,E256,Precio_Productos!J:J)=0,"Falta Precio",SUMIF(Precio_Productos!L:L,E256,Precio_Productos!J:J)))</f>
        <v/>
      </c>
      <c r="O256" s="86"/>
      <c r="P256" s="86" t="str">
        <f>IFERROR(__xludf.DUMMYFUNCTION("IF(OR(F256=""Selecciona.."",F256=""""),"""",TRANSPOSE(filter(Familias!C:C,Familias!D:D=F256)))"),"")</f>
        <v/>
      </c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</row>
    <row r="257">
      <c r="A257" s="4" t="str">
        <f t="shared" si="1"/>
        <v/>
      </c>
      <c r="B257" s="4"/>
      <c r="C257" s="4"/>
      <c r="D257" s="4"/>
      <c r="E257" s="94"/>
      <c r="F257" s="4" t="str">
        <f t="shared" si="2"/>
        <v/>
      </c>
      <c r="G257" s="2" t="str">
        <f t="shared" si="3"/>
        <v/>
      </c>
      <c r="H257" s="2" t="str">
        <f>IF(G257="","",SUMIF(Familias!C:C,G257,Familias!E:E))</f>
        <v/>
      </c>
      <c r="I257" s="4" t="str">
        <f>IF(A257="","",COUNTIF(Prod_Prop!B:B,A257))</f>
        <v/>
      </c>
      <c r="J257" s="92" t="str">
        <f>IF(E257="","",IF(SUMIF(Precio_Productos!L:L,E257,Precio_Productos!J:J)=0,"Falta Precio",SUMIF(Precio_Productos!L:L,E257,Precio_Productos!J:J)))</f>
        <v/>
      </c>
      <c r="O257" s="86"/>
      <c r="P257" s="86" t="str">
        <f>IFERROR(__xludf.DUMMYFUNCTION("IF(OR(F257=""Selecciona.."",F257=""""),"""",TRANSPOSE(filter(Familias!C:C,Familias!D:D=F257)))"),"")</f>
        <v/>
      </c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</row>
    <row r="258">
      <c r="A258" s="4" t="str">
        <f t="shared" si="1"/>
        <v/>
      </c>
      <c r="B258" s="4"/>
      <c r="C258" s="4"/>
      <c r="D258" s="4"/>
      <c r="E258" s="94"/>
      <c r="F258" s="4" t="str">
        <f t="shared" si="2"/>
        <v/>
      </c>
      <c r="G258" s="2" t="str">
        <f t="shared" si="3"/>
        <v/>
      </c>
      <c r="H258" s="2" t="str">
        <f>IF(G258="","",SUMIF(Familias!C:C,G258,Familias!E:E))</f>
        <v/>
      </c>
      <c r="I258" s="4" t="str">
        <f>IF(A258="","",COUNTIF(Prod_Prop!B:B,A258))</f>
        <v/>
      </c>
      <c r="J258" s="92" t="str">
        <f>IF(E258="","",IF(SUMIF(Precio_Productos!L:L,E258,Precio_Productos!J:J)=0,"Falta Precio",SUMIF(Precio_Productos!L:L,E258,Precio_Productos!J:J)))</f>
        <v/>
      </c>
      <c r="O258" s="86"/>
      <c r="P258" s="86" t="str">
        <f>IFERROR(__xludf.DUMMYFUNCTION("IF(OR(F258=""Selecciona.."",F258=""""),"""",TRANSPOSE(filter(Familias!C:C,Familias!D:D=F258)))"),"")</f>
        <v/>
      </c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</row>
    <row r="259">
      <c r="A259" s="4" t="str">
        <f t="shared" si="1"/>
        <v/>
      </c>
      <c r="B259" s="4"/>
      <c r="C259" s="4"/>
      <c r="D259" s="4"/>
      <c r="E259" s="94"/>
      <c r="F259" s="4" t="str">
        <f t="shared" si="2"/>
        <v/>
      </c>
      <c r="G259" s="2" t="str">
        <f t="shared" si="3"/>
        <v/>
      </c>
      <c r="H259" s="2" t="str">
        <f>IF(G259="","",SUMIF(Familias!C:C,G259,Familias!E:E))</f>
        <v/>
      </c>
      <c r="I259" s="4" t="str">
        <f>IF(A259="","",COUNTIF(Prod_Prop!B:B,A259))</f>
        <v/>
      </c>
      <c r="J259" s="92" t="str">
        <f>IF(E259="","",IF(SUMIF(Precio_Productos!L:L,E259,Precio_Productos!J:J)=0,"Falta Precio",SUMIF(Precio_Productos!L:L,E259,Precio_Productos!J:J)))</f>
        <v/>
      </c>
      <c r="O259" s="86"/>
      <c r="P259" s="86" t="str">
        <f>IFERROR(__xludf.DUMMYFUNCTION("IF(OR(F259=""Selecciona.."",F259=""""),"""",TRANSPOSE(filter(Familias!C:C,Familias!D:D=F259)))"),"")</f>
        <v/>
      </c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</row>
    <row r="260">
      <c r="A260" s="4" t="str">
        <f t="shared" si="1"/>
        <v/>
      </c>
      <c r="B260" s="4"/>
      <c r="C260" s="4"/>
      <c r="D260" s="4"/>
      <c r="E260" s="94"/>
      <c r="F260" s="4" t="str">
        <f t="shared" si="2"/>
        <v/>
      </c>
      <c r="G260" s="2" t="str">
        <f t="shared" si="3"/>
        <v/>
      </c>
      <c r="H260" s="2" t="str">
        <f>IF(G260="","",SUMIF(Familias!C:C,G260,Familias!E:E))</f>
        <v/>
      </c>
      <c r="I260" s="4" t="str">
        <f>IF(A260="","",COUNTIF(Prod_Prop!B:B,A260))</f>
        <v/>
      </c>
      <c r="J260" s="92" t="str">
        <f>IF(E260="","",IF(SUMIF(Precio_Productos!L:L,E260,Precio_Productos!J:J)=0,"Falta Precio",SUMIF(Precio_Productos!L:L,E260,Precio_Productos!J:J)))</f>
        <v/>
      </c>
      <c r="O260" s="86"/>
      <c r="P260" s="86" t="str">
        <f>IFERROR(__xludf.DUMMYFUNCTION("IF(OR(F260=""Selecciona.."",F260=""""),"""",TRANSPOSE(filter(Familias!C:C,Familias!D:D=F260)))"),"")</f>
        <v/>
      </c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</row>
    <row r="261">
      <c r="A261" s="4" t="str">
        <f t="shared" si="1"/>
        <v/>
      </c>
      <c r="B261" s="4"/>
      <c r="C261" s="4"/>
      <c r="D261" s="4"/>
      <c r="E261" s="94"/>
      <c r="F261" s="4" t="str">
        <f t="shared" si="2"/>
        <v/>
      </c>
      <c r="G261" s="2" t="str">
        <f t="shared" si="3"/>
        <v/>
      </c>
      <c r="H261" s="2" t="str">
        <f>IF(G261="","",SUMIF(Familias!C:C,G261,Familias!E:E))</f>
        <v/>
      </c>
      <c r="I261" s="4" t="str">
        <f>IF(A261="","",COUNTIF(Prod_Prop!B:B,A261))</f>
        <v/>
      </c>
      <c r="J261" s="92" t="str">
        <f>IF(E261="","",IF(SUMIF(Precio_Productos!L:L,E261,Precio_Productos!J:J)=0,"Falta Precio",SUMIF(Precio_Productos!L:L,E261,Precio_Productos!J:J)))</f>
        <v/>
      </c>
      <c r="O261" s="86"/>
      <c r="P261" s="86" t="str">
        <f>IFERROR(__xludf.DUMMYFUNCTION("IF(OR(F261=""Selecciona.."",F261=""""),"""",TRANSPOSE(filter(Familias!C:C,Familias!D:D=F261)))"),"")</f>
        <v/>
      </c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</row>
    <row r="262">
      <c r="A262" s="4" t="str">
        <f t="shared" si="1"/>
        <v/>
      </c>
      <c r="B262" s="4"/>
      <c r="C262" s="4"/>
      <c r="D262" s="4"/>
      <c r="E262" s="94"/>
      <c r="F262" s="4" t="str">
        <f t="shared" si="2"/>
        <v/>
      </c>
      <c r="G262" s="2" t="str">
        <f t="shared" si="3"/>
        <v/>
      </c>
      <c r="H262" s="2" t="str">
        <f>IF(G262="","",SUMIF(Familias!C:C,G262,Familias!E:E))</f>
        <v/>
      </c>
      <c r="I262" s="4" t="str">
        <f>IF(A262="","",COUNTIF(Prod_Prop!B:B,A262))</f>
        <v/>
      </c>
      <c r="J262" s="92" t="str">
        <f>IF(E262="","",IF(SUMIF(Precio_Productos!L:L,E262,Precio_Productos!J:J)=0,"Falta Precio",SUMIF(Precio_Productos!L:L,E262,Precio_Productos!J:J)))</f>
        <v/>
      </c>
      <c r="O262" s="86"/>
      <c r="P262" s="86" t="str">
        <f>IFERROR(__xludf.DUMMYFUNCTION("IF(OR(F262=""Selecciona.."",F262=""""),"""",TRANSPOSE(filter(Familias!C:C,Familias!D:D=F262)))"),"")</f>
        <v/>
      </c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</row>
    <row r="263">
      <c r="A263" s="4" t="str">
        <f t="shared" si="1"/>
        <v/>
      </c>
      <c r="B263" s="4"/>
      <c r="C263" s="4"/>
      <c r="D263" s="4"/>
      <c r="E263" s="94"/>
      <c r="F263" s="4" t="str">
        <f t="shared" si="2"/>
        <v/>
      </c>
      <c r="G263" s="2" t="str">
        <f t="shared" si="3"/>
        <v/>
      </c>
      <c r="H263" s="2" t="str">
        <f>IF(G263="","",SUMIF(Familias!C:C,G263,Familias!E:E))</f>
        <v/>
      </c>
      <c r="I263" s="4" t="str">
        <f>IF(A263="","",COUNTIF(Prod_Prop!B:B,A263))</f>
        <v/>
      </c>
      <c r="J263" s="92" t="str">
        <f>IF(E263="","",IF(SUMIF(Precio_Productos!L:L,E263,Precio_Productos!J:J)=0,"Falta Precio",SUMIF(Precio_Productos!L:L,E263,Precio_Productos!J:J)))</f>
        <v/>
      </c>
      <c r="O263" s="86"/>
      <c r="P263" s="86" t="str">
        <f>IFERROR(__xludf.DUMMYFUNCTION("IF(OR(F263=""Selecciona.."",F263=""""),"""",TRANSPOSE(filter(Familias!C:C,Familias!D:D=F263)))"),"")</f>
        <v/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</row>
    <row r="264">
      <c r="A264" s="4" t="str">
        <f t="shared" si="1"/>
        <v/>
      </c>
      <c r="B264" s="4"/>
      <c r="C264" s="4"/>
      <c r="D264" s="4"/>
      <c r="E264" s="94"/>
      <c r="F264" s="4" t="str">
        <f t="shared" si="2"/>
        <v/>
      </c>
      <c r="G264" s="2" t="str">
        <f t="shared" si="3"/>
        <v/>
      </c>
      <c r="H264" s="2" t="str">
        <f>IF(G264="","",SUMIF(Familias!C:C,G264,Familias!E:E))</f>
        <v/>
      </c>
      <c r="I264" s="4" t="str">
        <f>IF(A264="","",COUNTIF(Prod_Prop!B:B,A264))</f>
        <v/>
      </c>
      <c r="J264" s="92" t="str">
        <f>IF(E264="","",IF(SUMIF(Precio_Productos!L:L,E264,Precio_Productos!J:J)=0,"Falta Precio",SUMIF(Precio_Productos!L:L,E264,Precio_Productos!J:J)))</f>
        <v/>
      </c>
      <c r="O264" s="86"/>
      <c r="P264" s="86" t="str">
        <f>IFERROR(__xludf.DUMMYFUNCTION("IF(OR(F264=""Selecciona.."",F264=""""),"""",TRANSPOSE(filter(Familias!C:C,Familias!D:D=F264)))"),"")</f>
        <v/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</row>
    <row r="265">
      <c r="A265" s="4" t="str">
        <f t="shared" si="1"/>
        <v/>
      </c>
      <c r="B265" s="4"/>
      <c r="C265" s="4"/>
      <c r="D265" s="4"/>
      <c r="E265" s="94"/>
      <c r="F265" s="4" t="str">
        <f t="shared" si="2"/>
        <v/>
      </c>
      <c r="G265" s="2" t="str">
        <f t="shared" si="3"/>
        <v/>
      </c>
      <c r="H265" s="2" t="str">
        <f>IF(G265="","",SUMIF(Familias!C:C,G265,Familias!E:E))</f>
        <v/>
      </c>
      <c r="I265" s="4" t="str">
        <f>IF(A265="","",COUNTIF(Prod_Prop!B:B,A265))</f>
        <v/>
      </c>
      <c r="J265" s="92" t="str">
        <f>IF(E265="","",IF(SUMIF(Precio_Productos!L:L,E265,Precio_Productos!J:J)=0,"Falta Precio",SUMIF(Precio_Productos!L:L,E265,Precio_Productos!J:J)))</f>
        <v/>
      </c>
      <c r="O265" s="86"/>
      <c r="P265" s="86" t="str">
        <f>IFERROR(__xludf.DUMMYFUNCTION("IF(OR(F265=""Selecciona.."",F265=""""),"""",TRANSPOSE(filter(Familias!C:C,Familias!D:D=F265)))"),"")</f>
        <v/>
      </c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</row>
    <row r="266">
      <c r="A266" s="4" t="str">
        <f t="shared" si="1"/>
        <v/>
      </c>
      <c r="B266" s="4"/>
      <c r="C266" s="4"/>
      <c r="D266" s="4"/>
      <c r="E266" s="94"/>
      <c r="F266" s="4" t="str">
        <f t="shared" si="2"/>
        <v/>
      </c>
      <c r="G266" s="2" t="str">
        <f t="shared" si="3"/>
        <v/>
      </c>
      <c r="H266" s="2" t="str">
        <f>IF(G266="","",SUMIF(Familias!C:C,G266,Familias!E:E))</f>
        <v/>
      </c>
      <c r="I266" s="4" t="str">
        <f>IF(A266="","",COUNTIF(Prod_Prop!B:B,A266))</f>
        <v/>
      </c>
      <c r="J266" s="92" t="str">
        <f>IF(E266="","",IF(SUMIF(Precio_Productos!L:L,E266,Precio_Productos!J:J)=0,"Falta Precio",SUMIF(Precio_Productos!L:L,E266,Precio_Productos!J:J)))</f>
        <v/>
      </c>
      <c r="O266" s="86"/>
      <c r="P266" s="86" t="str">
        <f>IFERROR(__xludf.DUMMYFUNCTION("IF(OR(F266=""Selecciona.."",F266=""""),"""",TRANSPOSE(filter(Familias!C:C,Familias!D:D=F266)))"),"")</f>
        <v/>
      </c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</row>
    <row r="267">
      <c r="A267" s="4" t="str">
        <f t="shared" si="1"/>
        <v/>
      </c>
      <c r="B267" s="4"/>
      <c r="C267" s="4"/>
      <c r="D267" s="4"/>
      <c r="E267" s="94"/>
      <c r="F267" s="4" t="str">
        <f t="shared" si="2"/>
        <v/>
      </c>
      <c r="G267" s="2" t="str">
        <f t="shared" si="3"/>
        <v/>
      </c>
      <c r="H267" s="2" t="str">
        <f>IF(G267="","",SUMIF(Familias!C:C,G267,Familias!E:E))</f>
        <v/>
      </c>
      <c r="I267" s="4" t="str">
        <f>IF(A267="","",COUNTIF(Prod_Prop!B:B,A267))</f>
        <v/>
      </c>
      <c r="J267" s="92" t="str">
        <f>IF(E267="","",IF(SUMIF(Precio_Productos!L:L,E267,Precio_Productos!J:J)=0,"Falta Precio",SUMIF(Precio_Productos!L:L,E267,Precio_Productos!J:J)))</f>
        <v/>
      </c>
      <c r="O267" s="86"/>
      <c r="P267" s="86" t="str">
        <f>IFERROR(__xludf.DUMMYFUNCTION("IF(OR(F267=""Selecciona.."",F267=""""),"""",TRANSPOSE(filter(Familias!C:C,Familias!D:D=F267)))"),"")</f>
        <v/>
      </c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</row>
    <row r="268">
      <c r="A268" s="4" t="str">
        <f t="shared" si="1"/>
        <v/>
      </c>
      <c r="B268" s="4"/>
      <c r="C268" s="4"/>
      <c r="D268" s="4"/>
      <c r="E268" s="94"/>
      <c r="F268" s="4" t="str">
        <f t="shared" si="2"/>
        <v/>
      </c>
      <c r="G268" s="2" t="str">
        <f t="shared" si="3"/>
        <v/>
      </c>
      <c r="H268" s="2" t="str">
        <f>IF(G268="","",SUMIF(Familias!C:C,G268,Familias!E:E))</f>
        <v/>
      </c>
      <c r="I268" s="4" t="str">
        <f>IF(A268="","",COUNTIF(Prod_Prop!B:B,A268))</f>
        <v/>
      </c>
      <c r="J268" s="92" t="str">
        <f>IF(E268="","",IF(SUMIF(Precio_Productos!L:L,E268,Precio_Productos!J:J)=0,"Falta Precio",SUMIF(Precio_Productos!L:L,E268,Precio_Productos!J:J)))</f>
        <v/>
      </c>
      <c r="O268" s="86"/>
      <c r="P268" s="86" t="str">
        <f>IFERROR(__xludf.DUMMYFUNCTION("IF(OR(F268=""Selecciona.."",F268=""""),"""",TRANSPOSE(filter(Familias!C:C,Familias!D:D=F268)))"),"")</f>
        <v/>
      </c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</row>
    <row r="269">
      <c r="A269" s="4" t="str">
        <f t="shared" si="1"/>
        <v/>
      </c>
      <c r="B269" s="4"/>
      <c r="C269" s="4"/>
      <c r="D269" s="4"/>
      <c r="E269" s="94"/>
      <c r="F269" s="4" t="str">
        <f t="shared" si="2"/>
        <v/>
      </c>
      <c r="G269" s="2" t="str">
        <f t="shared" si="3"/>
        <v/>
      </c>
      <c r="H269" s="2" t="str">
        <f>IF(G269="","",SUMIF(Familias!C:C,G269,Familias!E:E))</f>
        <v/>
      </c>
      <c r="I269" s="4" t="str">
        <f>IF(A269="","",COUNTIF(Prod_Prop!B:B,A269))</f>
        <v/>
      </c>
      <c r="J269" s="92" t="str">
        <f>IF(E269="","",IF(SUMIF(Precio_Productos!L:L,E269,Precio_Productos!J:J)=0,"Falta Precio",SUMIF(Precio_Productos!L:L,E269,Precio_Productos!J:J)))</f>
        <v/>
      </c>
      <c r="O269" s="86"/>
      <c r="P269" s="86" t="str">
        <f>IFERROR(__xludf.DUMMYFUNCTION("IF(OR(F269=""Selecciona.."",F269=""""),"""",TRANSPOSE(filter(Familias!C:C,Familias!D:D=F269)))"),"")</f>
        <v/>
      </c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</row>
    <row r="270">
      <c r="A270" s="4" t="str">
        <f t="shared" si="1"/>
        <v/>
      </c>
      <c r="B270" s="4"/>
      <c r="C270" s="4"/>
      <c r="D270" s="4"/>
      <c r="E270" s="94"/>
      <c r="F270" s="4" t="str">
        <f t="shared" si="2"/>
        <v/>
      </c>
      <c r="G270" s="2" t="str">
        <f t="shared" si="3"/>
        <v/>
      </c>
      <c r="H270" s="2" t="str">
        <f>IF(G270="","",SUMIF(Familias!C:C,G270,Familias!E:E))</f>
        <v/>
      </c>
      <c r="I270" s="4" t="str">
        <f>IF(A270="","",COUNTIF(Prod_Prop!B:B,A270))</f>
        <v/>
      </c>
      <c r="J270" s="92" t="str">
        <f>IF(E270="","",IF(SUMIF(Precio_Productos!L:L,E270,Precio_Productos!J:J)=0,"Falta Precio",SUMIF(Precio_Productos!L:L,E270,Precio_Productos!J:J)))</f>
        <v/>
      </c>
      <c r="O270" s="86"/>
      <c r="P270" s="86" t="str">
        <f>IFERROR(__xludf.DUMMYFUNCTION("IF(OR(F270=""Selecciona.."",F270=""""),"""",TRANSPOSE(filter(Familias!C:C,Familias!D:D=F270)))"),"")</f>
        <v/>
      </c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</row>
    <row r="271">
      <c r="A271" s="4" t="str">
        <f t="shared" si="1"/>
        <v/>
      </c>
      <c r="B271" s="4"/>
      <c r="C271" s="4"/>
      <c r="D271" s="4"/>
      <c r="E271" s="94"/>
      <c r="F271" s="4" t="str">
        <f t="shared" si="2"/>
        <v/>
      </c>
      <c r="G271" s="2" t="str">
        <f t="shared" si="3"/>
        <v/>
      </c>
      <c r="H271" s="2" t="str">
        <f>IF(G271="","",SUMIF(Familias!C:C,G271,Familias!E:E))</f>
        <v/>
      </c>
      <c r="I271" s="4" t="str">
        <f>IF(A271="","",COUNTIF(Prod_Prop!B:B,A271))</f>
        <v/>
      </c>
      <c r="J271" s="92" t="str">
        <f>IF(E271="","",IF(SUMIF(Precio_Productos!L:L,E271,Precio_Productos!J:J)=0,"Falta Precio",SUMIF(Precio_Productos!L:L,E271,Precio_Productos!J:J)))</f>
        <v/>
      </c>
      <c r="O271" s="86"/>
      <c r="P271" s="86" t="str">
        <f>IFERROR(__xludf.DUMMYFUNCTION("IF(OR(F271=""Selecciona.."",F271=""""),"""",TRANSPOSE(filter(Familias!C:C,Familias!D:D=F271)))"),"")</f>
        <v/>
      </c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</row>
    <row r="272">
      <c r="A272" s="4" t="str">
        <f t="shared" si="1"/>
        <v/>
      </c>
      <c r="B272" s="4"/>
      <c r="C272" s="4"/>
      <c r="D272" s="4"/>
      <c r="E272" s="94"/>
      <c r="F272" s="4" t="str">
        <f t="shared" si="2"/>
        <v/>
      </c>
      <c r="G272" s="2" t="str">
        <f t="shared" si="3"/>
        <v/>
      </c>
      <c r="H272" s="2" t="str">
        <f>IF(G272="","",SUMIF(Familias!C:C,G272,Familias!E:E))</f>
        <v/>
      </c>
      <c r="I272" s="4" t="str">
        <f>IF(A272="","",COUNTIF(Prod_Prop!B:B,A272))</f>
        <v/>
      </c>
      <c r="J272" s="92" t="str">
        <f>IF(E272="","",IF(SUMIF(Precio_Productos!L:L,E272,Precio_Productos!J:J)=0,"Falta Precio",SUMIF(Precio_Productos!L:L,E272,Precio_Productos!J:J)))</f>
        <v/>
      </c>
      <c r="O272" s="86"/>
      <c r="P272" s="86" t="str">
        <f>IFERROR(__xludf.DUMMYFUNCTION("IF(OR(F272=""Selecciona.."",F272=""""),"""",TRANSPOSE(filter(Familias!C:C,Familias!D:D=F272)))"),"")</f>
        <v/>
      </c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</row>
    <row r="273">
      <c r="A273" s="4" t="str">
        <f t="shared" si="1"/>
        <v/>
      </c>
      <c r="B273" s="4"/>
      <c r="C273" s="4"/>
      <c r="D273" s="4"/>
      <c r="E273" s="94"/>
      <c r="F273" s="4" t="str">
        <f t="shared" si="2"/>
        <v/>
      </c>
      <c r="G273" s="2" t="str">
        <f t="shared" si="3"/>
        <v/>
      </c>
      <c r="H273" s="2" t="str">
        <f>IF(G273="","",SUMIF(Familias!C:C,G273,Familias!E:E))</f>
        <v/>
      </c>
      <c r="I273" s="4" t="str">
        <f>IF(A273="","",COUNTIF(Prod_Prop!B:B,A273))</f>
        <v/>
      </c>
      <c r="J273" s="92" t="str">
        <f>IF(E273="","",IF(SUMIF(Precio_Productos!L:L,E273,Precio_Productos!J:J)=0,"Falta Precio",SUMIF(Precio_Productos!L:L,E273,Precio_Productos!J:J)))</f>
        <v/>
      </c>
      <c r="O273" s="86"/>
      <c r="P273" s="86" t="str">
        <f>IFERROR(__xludf.DUMMYFUNCTION("IF(OR(F273=""Selecciona.."",F273=""""),"""",TRANSPOSE(filter(Familias!C:C,Familias!D:D=F273)))"),"")</f>
        <v/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</row>
    <row r="274">
      <c r="A274" s="4" t="str">
        <f t="shared" si="1"/>
        <v/>
      </c>
      <c r="B274" s="4"/>
      <c r="C274" s="4"/>
      <c r="D274" s="4"/>
      <c r="E274" s="94"/>
      <c r="F274" s="4" t="str">
        <f t="shared" si="2"/>
        <v/>
      </c>
      <c r="G274" s="2" t="str">
        <f t="shared" si="3"/>
        <v/>
      </c>
      <c r="H274" s="2" t="str">
        <f>IF(G274="","",SUMIF(Familias!C:C,G274,Familias!E:E))</f>
        <v/>
      </c>
      <c r="I274" s="4" t="str">
        <f>IF(A274="","",COUNTIF(Prod_Prop!B:B,A274))</f>
        <v/>
      </c>
      <c r="J274" s="92" t="str">
        <f>IF(E274="","",IF(SUMIF(Precio_Productos!L:L,E274,Precio_Productos!J:J)=0,"Falta Precio",SUMIF(Precio_Productos!L:L,E274,Precio_Productos!J:J)))</f>
        <v/>
      </c>
      <c r="O274" s="86"/>
      <c r="P274" s="86" t="str">
        <f>IFERROR(__xludf.DUMMYFUNCTION("IF(OR(F274=""Selecciona.."",F274=""""),"""",TRANSPOSE(filter(Familias!C:C,Familias!D:D=F274)))"),"")</f>
        <v/>
      </c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</row>
    <row r="275">
      <c r="A275" s="4" t="str">
        <f t="shared" si="1"/>
        <v/>
      </c>
      <c r="B275" s="4"/>
      <c r="C275" s="4"/>
      <c r="D275" s="4"/>
      <c r="E275" s="94"/>
      <c r="F275" s="4" t="str">
        <f t="shared" si="2"/>
        <v/>
      </c>
      <c r="G275" s="2" t="str">
        <f t="shared" si="3"/>
        <v/>
      </c>
      <c r="H275" s="2" t="str">
        <f>IF(G275="","",SUMIF(Familias!C:C,G275,Familias!E:E))</f>
        <v/>
      </c>
      <c r="I275" s="4" t="str">
        <f>IF(A275="","",COUNTIF(Prod_Prop!B:B,A275))</f>
        <v/>
      </c>
      <c r="J275" s="92" t="str">
        <f>IF(E275="","",IF(SUMIF(Precio_Productos!L:L,E275,Precio_Productos!J:J)=0,"Falta Precio",SUMIF(Precio_Productos!L:L,E275,Precio_Productos!J:J)))</f>
        <v/>
      </c>
      <c r="O275" s="86"/>
      <c r="P275" s="86" t="str">
        <f>IFERROR(__xludf.DUMMYFUNCTION("IF(OR(F275=""Selecciona.."",F275=""""),"""",TRANSPOSE(filter(Familias!C:C,Familias!D:D=F275)))"),"")</f>
        <v/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</row>
    <row r="276">
      <c r="A276" s="4" t="str">
        <f t="shared" si="1"/>
        <v/>
      </c>
      <c r="B276" s="4"/>
      <c r="C276" s="4"/>
      <c r="D276" s="4"/>
      <c r="E276" s="94"/>
      <c r="F276" s="4" t="str">
        <f t="shared" si="2"/>
        <v/>
      </c>
      <c r="G276" s="2" t="str">
        <f t="shared" si="3"/>
        <v/>
      </c>
      <c r="H276" s="2" t="str">
        <f>IF(G276="","",SUMIF(Familias!C:C,G276,Familias!E:E))</f>
        <v/>
      </c>
      <c r="I276" s="4" t="str">
        <f>IF(A276="","",COUNTIF(Prod_Prop!B:B,A276))</f>
        <v/>
      </c>
      <c r="J276" s="92" t="str">
        <f>IF(E276="","",IF(SUMIF(Precio_Productos!L:L,E276,Precio_Productos!J:J)=0,"Falta Precio",SUMIF(Precio_Productos!L:L,E276,Precio_Productos!J:J)))</f>
        <v/>
      </c>
      <c r="O276" s="86"/>
      <c r="P276" s="86" t="str">
        <f>IFERROR(__xludf.DUMMYFUNCTION("IF(OR(F276=""Selecciona.."",F276=""""),"""",TRANSPOSE(filter(Familias!C:C,Familias!D:D=F276)))"),"")</f>
        <v/>
      </c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</row>
    <row r="277">
      <c r="A277" s="4" t="str">
        <f t="shared" si="1"/>
        <v/>
      </c>
      <c r="B277" s="4"/>
      <c r="C277" s="4"/>
      <c r="D277" s="4"/>
      <c r="E277" s="94"/>
      <c r="F277" s="4" t="str">
        <f t="shared" si="2"/>
        <v/>
      </c>
      <c r="G277" s="2" t="str">
        <f t="shared" si="3"/>
        <v/>
      </c>
      <c r="H277" s="2" t="str">
        <f>IF(G277="","",SUMIF(Familias!C:C,G277,Familias!E:E))</f>
        <v/>
      </c>
      <c r="I277" s="4" t="str">
        <f>IF(A277="","",COUNTIF(Prod_Prop!B:B,A277))</f>
        <v/>
      </c>
      <c r="J277" s="92" t="str">
        <f>IF(E277="","",IF(SUMIF(Precio_Productos!L:L,E277,Precio_Productos!J:J)=0,"Falta Precio",SUMIF(Precio_Productos!L:L,E277,Precio_Productos!J:J)))</f>
        <v/>
      </c>
      <c r="O277" s="86"/>
      <c r="P277" s="86" t="str">
        <f>IFERROR(__xludf.DUMMYFUNCTION("IF(OR(F277=""Selecciona.."",F277=""""),"""",TRANSPOSE(filter(Familias!C:C,Familias!D:D=F277)))"),"")</f>
        <v/>
      </c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</row>
    <row r="278">
      <c r="A278" s="4" t="str">
        <f t="shared" si="1"/>
        <v/>
      </c>
      <c r="B278" s="4"/>
      <c r="C278" s="4"/>
      <c r="D278" s="4"/>
      <c r="E278" s="94"/>
      <c r="F278" s="4" t="str">
        <f t="shared" si="2"/>
        <v/>
      </c>
      <c r="G278" s="2" t="str">
        <f t="shared" si="3"/>
        <v/>
      </c>
      <c r="H278" s="2" t="str">
        <f>IF(G278="","",SUMIF(Familias!C:C,G278,Familias!E:E))</f>
        <v/>
      </c>
      <c r="I278" s="4" t="str">
        <f>IF(A278="","",COUNTIF(Prod_Prop!B:B,A278))</f>
        <v/>
      </c>
      <c r="J278" s="92" t="str">
        <f>IF(E278="","",IF(SUMIF(Precio_Productos!L:L,E278,Precio_Productos!J:J)=0,"Falta Precio",SUMIF(Precio_Productos!L:L,E278,Precio_Productos!J:J)))</f>
        <v/>
      </c>
      <c r="O278" s="86"/>
      <c r="P278" s="86" t="str">
        <f>IFERROR(__xludf.DUMMYFUNCTION("IF(OR(F278=""Selecciona.."",F278=""""),"""",TRANSPOSE(filter(Familias!C:C,Familias!D:D=F278)))"),"")</f>
        <v/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</row>
    <row r="279">
      <c r="A279" s="4" t="str">
        <f t="shared" si="1"/>
        <v/>
      </c>
      <c r="B279" s="4"/>
      <c r="C279" s="4"/>
      <c r="D279" s="4"/>
      <c r="E279" s="94"/>
      <c r="F279" s="4" t="str">
        <f t="shared" si="2"/>
        <v/>
      </c>
      <c r="G279" s="2" t="str">
        <f t="shared" si="3"/>
        <v/>
      </c>
      <c r="H279" s="2" t="str">
        <f>IF(G279="","",SUMIF(Familias!C:C,G279,Familias!E:E))</f>
        <v/>
      </c>
      <c r="I279" s="4" t="str">
        <f>IF(A279="","",COUNTIF(Prod_Prop!B:B,A279))</f>
        <v/>
      </c>
      <c r="J279" s="92" t="str">
        <f>IF(E279="","",IF(SUMIF(Precio_Productos!L:L,E279,Precio_Productos!J:J)=0,"Falta Precio",SUMIF(Precio_Productos!L:L,E279,Precio_Productos!J:J)))</f>
        <v/>
      </c>
      <c r="O279" s="86"/>
      <c r="P279" s="86" t="str">
        <f>IFERROR(__xludf.DUMMYFUNCTION("IF(OR(F279=""Selecciona.."",F279=""""),"""",TRANSPOSE(filter(Familias!C:C,Familias!D:D=F279)))"),"")</f>
        <v/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</row>
    <row r="280">
      <c r="A280" s="4" t="str">
        <f t="shared" si="1"/>
        <v/>
      </c>
      <c r="B280" s="4"/>
      <c r="C280" s="4"/>
      <c r="D280" s="4"/>
      <c r="E280" s="94"/>
      <c r="F280" s="4" t="str">
        <f t="shared" si="2"/>
        <v/>
      </c>
      <c r="G280" s="2" t="str">
        <f t="shared" si="3"/>
        <v/>
      </c>
      <c r="H280" s="2" t="str">
        <f>IF(G280="","",SUMIF(Familias!C:C,G280,Familias!E:E))</f>
        <v/>
      </c>
      <c r="I280" s="4" t="str">
        <f>IF(A280="","",COUNTIF(Prod_Prop!B:B,A280))</f>
        <v/>
      </c>
      <c r="J280" s="92" t="str">
        <f>IF(E280="","",IF(SUMIF(Precio_Productos!L:L,E280,Precio_Productos!J:J)=0,"Falta Precio",SUMIF(Precio_Productos!L:L,E280,Precio_Productos!J:J)))</f>
        <v/>
      </c>
      <c r="O280" s="86"/>
      <c r="P280" s="86" t="str">
        <f>IFERROR(__xludf.DUMMYFUNCTION("IF(OR(F280=""Selecciona.."",F280=""""),"""",TRANSPOSE(filter(Familias!C:C,Familias!D:D=F280)))"),"")</f>
        <v/>
      </c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</row>
    <row r="281">
      <c r="A281" s="4" t="str">
        <f t="shared" si="1"/>
        <v/>
      </c>
      <c r="B281" s="4"/>
      <c r="C281" s="4"/>
      <c r="D281" s="4"/>
      <c r="E281" s="94"/>
      <c r="F281" s="4" t="str">
        <f t="shared" si="2"/>
        <v/>
      </c>
      <c r="G281" s="2" t="str">
        <f t="shared" si="3"/>
        <v/>
      </c>
      <c r="H281" s="2" t="str">
        <f>IF(G281="","",SUMIF(Familias!C:C,G281,Familias!E:E))</f>
        <v/>
      </c>
      <c r="I281" s="4" t="str">
        <f>IF(A281="","",COUNTIF(Prod_Prop!B:B,A281))</f>
        <v/>
      </c>
      <c r="J281" s="92" t="str">
        <f>IF(E281="","",IF(SUMIF(Precio_Productos!L:L,E281,Precio_Productos!J:J)=0,"Falta Precio",SUMIF(Precio_Productos!L:L,E281,Precio_Productos!J:J)))</f>
        <v/>
      </c>
      <c r="O281" s="86"/>
      <c r="P281" s="86" t="str">
        <f>IFERROR(__xludf.DUMMYFUNCTION("IF(OR(F281=""Selecciona.."",F281=""""),"""",TRANSPOSE(filter(Familias!C:C,Familias!D:D=F281)))"),"")</f>
        <v/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</row>
    <row r="282">
      <c r="A282" s="4" t="str">
        <f t="shared" si="1"/>
        <v/>
      </c>
      <c r="B282" s="4"/>
      <c r="C282" s="4"/>
      <c r="D282" s="4"/>
      <c r="E282" s="94"/>
      <c r="F282" s="4" t="str">
        <f t="shared" si="2"/>
        <v/>
      </c>
      <c r="G282" s="2" t="str">
        <f t="shared" si="3"/>
        <v/>
      </c>
      <c r="H282" s="2" t="str">
        <f>IF(G282="","",SUMIF(Familias!C:C,G282,Familias!E:E))</f>
        <v/>
      </c>
      <c r="I282" s="4" t="str">
        <f>IF(A282="","",COUNTIF(Prod_Prop!B:B,A282))</f>
        <v/>
      </c>
      <c r="J282" s="92" t="str">
        <f>IF(E282="","",IF(SUMIF(Precio_Productos!L:L,E282,Precio_Productos!J:J)=0,"Falta Precio",SUMIF(Precio_Productos!L:L,E282,Precio_Productos!J:J)))</f>
        <v/>
      </c>
      <c r="O282" s="86"/>
      <c r="P282" s="86" t="str">
        <f>IFERROR(__xludf.DUMMYFUNCTION("IF(OR(F282=""Selecciona.."",F282=""""),"""",TRANSPOSE(filter(Familias!C:C,Familias!D:D=F282)))"),"")</f>
        <v/>
      </c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</row>
    <row r="283">
      <c r="A283" s="4" t="str">
        <f t="shared" si="1"/>
        <v/>
      </c>
      <c r="B283" s="4"/>
      <c r="C283" s="4"/>
      <c r="D283" s="4"/>
      <c r="E283" s="94"/>
      <c r="F283" s="4" t="str">
        <f t="shared" si="2"/>
        <v/>
      </c>
      <c r="G283" s="2" t="str">
        <f t="shared" si="3"/>
        <v/>
      </c>
      <c r="H283" s="2" t="str">
        <f>IF(G283="","",SUMIF(Familias!C:C,G283,Familias!E:E))</f>
        <v/>
      </c>
      <c r="I283" s="4" t="str">
        <f>IF(A283="","",COUNTIF(Prod_Prop!B:B,A283))</f>
        <v/>
      </c>
      <c r="J283" s="92" t="str">
        <f>IF(E283="","",IF(SUMIF(Precio_Productos!L:L,E283,Precio_Productos!J:J)=0,"Falta Precio",SUMIF(Precio_Productos!L:L,E283,Precio_Productos!J:J)))</f>
        <v/>
      </c>
      <c r="O283" s="86"/>
      <c r="P283" s="86" t="str">
        <f>IFERROR(__xludf.DUMMYFUNCTION("IF(OR(F283=""Selecciona.."",F283=""""),"""",TRANSPOSE(filter(Familias!C:C,Familias!D:D=F283)))"),"")</f>
        <v/>
      </c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</row>
    <row r="284">
      <c r="A284" s="4" t="str">
        <f t="shared" si="1"/>
        <v/>
      </c>
      <c r="B284" s="4"/>
      <c r="C284" s="4"/>
      <c r="D284" s="4"/>
      <c r="E284" s="94"/>
      <c r="F284" s="4" t="str">
        <f t="shared" si="2"/>
        <v/>
      </c>
      <c r="G284" s="2" t="str">
        <f t="shared" si="3"/>
        <v/>
      </c>
      <c r="H284" s="2" t="str">
        <f>IF(G284="","",SUMIF(Familias!C:C,G284,Familias!E:E))</f>
        <v/>
      </c>
      <c r="I284" s="4" t="str">
        <f>IF(A284="","",COUNTIF(Prod_Prop!B:B,A284))</f>
        <v/>
      </c>
      <c r="J284" s="92" t="str">
        <f>IF(E284="","",IF(SUMIF(Precio_Productos!L:L,E284,Precio_Productos!J:J)=0,"Falta Precio",SUMIF(Precio_Productos!L:L,E284,Precio_Productos!J:J)))</f>
        <v/>
      </c>
      <c r="O284" s="86"/>
      <c r="P284" s="86" t="str">
        <f>IFERROR(__xludf.DUMMYFUNCTION("IF(OR(F284=""Selecciona.."",F284=""""),"""",TRANSPOSE(filter(Familias!C:C,Familias!D:D=F284)))"),"")</f>
        <v/>
      </c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</row>
    <row r="285">
      <c r="A285" s="4" t="str">
        <f t="shared" si="1"/>
        <v/>
      </c>
      <c r="B285" s="4"/>
      <c r="C285" s="4"/>
      <c r="D285" s="4"/>
      <c r="E285" s="94"/>
      <c r="F285" s="4" t="str">
        <f t="shared" si="2"/>
        <v/>
      </c>
      <c r="G285" s="2" t="str">
        <f t="shared" si="3"/>
        <v/>
      </c>
      <c r="H285" s="2" t="str">
        <f>IF(G285="","",SUMIF(Familias!C:C,G285,Familias!E:E))</f>
        <v/>
      </c>
      <c r="I285" s="4" t="str">
        <f>IF(A285="","",COUNTIF(Prod_Prop!B:B,A285))</f>
        <v/>
      </c>
      <c r="J285" s="92" t="str">
        <f>IF(E285="","",IF(SUMIF(Precio_Productos!L:L,E285,Precio_Productos!J:J)=0,"Falta Precio",SUMIF(Precio_Productos!L:L,E285,Precio_Productos!J:J)))</f>
        <v/>
      </c>
      <c r="O285" s="86"/>
      <c r="P285" s="86" t="str">
        <f>IFERROR(__xludf.DUMMYFUNCTION("IF(OR(F285=""Selecciona.."",F285=""""),"""",TRANSPOSE(filter(Familias!C:C,Familias!D:D=F285)))"),"")</f>
        <v/>
      </c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</row>
    <row r="286">
      <c r="A286" s="4" t="str">
        <f t="shared" si="1"/>
        <v/>
      </c>
      <c r="B286" s="4"/>
      <c r="C286" s="4"/>
      <c r="D286" s="4"/>
      <c r="E286" s="94"/>
      <c r="F286" s="4" t="str">
        <f t="shared" si="2"/>
        <v/>
      </c>
      <c r="G286" s="2" t="str">
        <f t="shared" si="3"/>
        <v/>
      </c>
      <c r="H286" s="2" t="str">
        <f>IF(G286="","",SUMIF(Familias!C:C,G286,Familias!E:E))</f>
        <v/>
      </c>
      <c r="I286" s="4" t="str">
        <f>IF(A286="","",COUNTIF(Prod_Prop!B:B,A286))</f>
        <v/>
      </c>
      <c r="J286" s="92" t="str">
        <f>IF(E286="","",IF(SUMIF(Precio_Productos!L:L,E286,Precio_Productos!J:J)=0,"Falta Precio",SUMIF(Precio_Productos!L:L,E286,Precio_Productos!J:J)))</f>
        <v/>
      </c>
      <c r="O286" s="86"/>
      <c r="P286" s="86" t="str">
        <f>IFERROR(__xludf.DUMMYFUNCTION("IF(OR(F286=""Selecciona.."",F286=""""),"""",TRANSPOSE(filter(Familias!C:C,Familias!D:D=F286)))"),"")</f>
        <v/>
      </c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</row>
    <row r="287">
      <c r="A287" s="4" t="str">
        <f t="shared" si="1"/>
        <v/>
      </c>
      <c r="B287" s="4"/>
      <c r="C287" s="4"/>
      <c r="D287" s="4"/>
      <c r="E287" s="94"/>
      <c r="F287" s="4" t="str">
        <f t="shared" si="2"/>
        <v/>
      </c>
      <c r="G287" s="2" t="str">
        <f t="shared" si="3"/>
        <v/>
      </c>
      <c r="H287" s="2" t="str">
        <f>IF(G287="","",SUMIF(Familias!C:C,G287,Familias!E:E))</f>
        <v/>
      </c>
      <c r="I287" s="4" t="str">
        <f>IF(A287="","",COUNTIF(Prod_Prop!B:B,A287))</f>
        <v/>
      </c>
      <c r="J287" s="92" t="str">
        <f>IF(E287="","",IF(SUMIF(Precio_Productos!L:L,E287,Precio_Productos!J:J)=0,"Falta Precio",SUMIF(Precio_Productos!L:L,E287,Precio_Productos!J:J)))</f>
        <v/>
      </c>
      <c r="O287" s="86"/>
      <c r="P287" s="86" t="str">
        <f>IFERROR(__xludf.DUMMYFUNCTION("IF(OR(F287=""Selecciona.."",F287=""""),"""",TRANSPOSE(filter(Familias!C:C,Familias!D:D=F287)))"),"")</f>
        <v/>
      </c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</row>
    <row r="288">
      <c r="A288" s="4" t="str">
        <f t="shared" si="1"/>
        <v/>
      </c>
      <c r="B288" s="4"/>
      <c r="C288" s="4"/>
      <c r="D288" s="4"/>
      <c r="E288" s="94"/>
      <c r="F288" s="4" t="str">
        <f t="shared" si="2"/>
        <v/>
      </c>
      <c r="G288" s="2" t="str">
        <f t="shared" si="3"/>
        <v/>
      </c>
      <c r="H288" s="2" t="str">
        <f>IF(G288="","",SUMIF(Familias!C:C,G288,Familias!E:E))</f>
        <v/>
      </c>
      <c r="I288" s="4" t="str">
        <f>IF(A288="","",COUNTIF(Prod_Prop!B:B,A288))</f>
        <v/>
      </c>
      <c r="J288" s="92" t="str">
        <f>IF(E288="","",IF(SUMIF(Precio_Productos!L:L,E288,Precio_Productos!J:J)=0,"Falta Precio",SUMIF(Precio_Productos!L:L,E288,Precio_Productos!J:J)))</f>
        <v/>
      </c>
      <c r="O288" s="86"/>
      <c r="P288" s="86" t="str">
        <f>IFERROR(__xludf.DUMMYFUNCTION("IF(OR(F288=""Selecciona.."",F288=""""),"""",TRANSPOSE(filter(Familias!C:C,Familias!D:D=F288)))"),"")</f>
        <v/>
      </c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</row>
    <row r="289">
      <c r="A289" s="4" t="str">
        <f t="shared" si="1"/>
        <v/>
      </c>
      <c r="B289" s="4"/>
      <c r="C289" s="4"/>
      <c r="D289" s="4"/>
      <c r="E289" s="94"/>
      <c r="F289" s="4" t="str">
        <f t="shared" si="2"/>
        <v/>
      </c>
      <c r="G289" s="2" t="str">
        <f t="shared" si="3"/>
        <v/>
      </c>
      <c r="H289" s="2" t="str">
        <f>IF(G289="","",SUMIF(Familias!C:C,G289,Familias!E:E))</f>
        <v/>
      </c>
      <c r="I289" s="4" t="str">
        <f>IF(A289="","",COUNTIF(Prod_Prop!B:B,A289))</f>
        <v/>
      </c>
      <c r="J289" s="92" t="str">
        <f>IF(E289="","",IF(SUMIF(Precio_Productos!L:L,E289,Precio_Productos!J:J)=0,"Falta Precio",SUMIF(Precio_Productos!L:L,E289,Precio_Productos!J:J)))</f>
        <v/>
      </c>
      <c r="O289" s="86"/>
      <c r="P289" s="86" t="str">
        <f>IFERROR(__xludf.DUMMYFUNCTION("IF(OR(F289=""Selecciona.."",F289=""""),"""",TRANSPOSE(filter(Familias!C:C,Familias!D:D=F289)))"),"")</f>
        <v/>
      </c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</row>
    <row r="290">
      <c r="A290" s="4" t="str">
        <f t="shared" si="1"/>
        <v/>
      </c>
      <c r="B290" s="4"/>
      <c r="C290" s="4"/>
      <c r="D290" s="4"/>
      <c r="E290" s="94"/>
      <c r="F290" s="4" t="str">
        <f t="shared" si="2"/>
        <v/>
      </c>
      <c r="G290" s="2" t="str">
        <f t="shared" si="3"/>
        <v/>
      </c>
      <c r="H290" s="2" t="str">
        <f>IF(G290="","",SUMIF(Familias!C:C,G290,Familias!E:E))</f>
        <v/>
      </c>
      <c r="I290" s="4" t="str">
        <f>IF(A290="","",COUNTIF(Prod_Prop!B:B,A290))</f>
        <v/>
      </c>
      <c r="J290" s="92" t="str">
        <f>IF(E290="","",IF(SUMIF(Precio_Productos!L:L,E290,Precio_Productos!J:J)=0,"Falta Precio",SUMIF(Precio_Productos!L:L,E290,Precio_Productos!J:J)))</f>
        <v/>
      </c>
      <c r="O290" s="86"/>
      <c r="P290" s="86" t="str">
        <f>IFERROR(__xludf.DUMMYFUNCTION("IF(OR(F290=""Selecciona.."",F290=""""),"""",TRANSPOSE(filter(Familias!C:C,Familias!D:D=F290)))"),"")</f>
        <v/>
      </c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</row>
    <row r="291">
      <c r="A291" s="4" t="str">
        <f t="shared" si="1"/>
        <v/>
      </c>
      <c r="B291" s="4"/>
      <c r="C291" s="4"/>
      <c r="D291" s="4"/>
      <c r="E291" s="94"/>
      <c r="F291" s="4" t="str">
        <f t="shared" si="2"/>
        <v/>
      </c>
      <c r="G291" s="2" t="str">
        <f t="shared" si="3"/>
        <v/>
      </c>
      <c r="H291" s="2" t="str">
        <f>IF(G291="","",SUMIF(Familias!C:C,G291,Familias!E:E))</f>
        <v/>
      </c>
      <c r="I291" s="4" t="str">
        <f>IF(A291="","",COUNTIF(Prod_Prop!B:B,A291))</f>
        <v/>
      </c>
      <c r="J291" s="92" t="str">
        <f>IF(E291="","",IF(SUMIF(Precio_Productos!L:L,E291,Precio_Productos!J:J)=0,"Falta Precio",SUMIF(Precio_Productos!L:L,E291,Precio_Productos!J:J)))</f>
        <v/>
      </c>
      <c r="O291" s="86"/>
      <c r="P291" s="86" t="str">
        <f>IFERROR(__xludf.DUMMYFUNCTION("IF(OR(F291=""Selecciona.."",F291=""""),"""",TRANSPOSE(filter(Familias!C:C,Familias!D:D=F291)))"),"")</f>
        <v/>
      </c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</row>
    <row r="292">
      <c r="A292" s="4" t="str">
        <f t="shared" si="1"/>
        <v/>
      </c>
      <c r="B292" s="4"/>
      <c r="C292" s="4"/>
      <c r="D292" s="4"/>
      <c r="E292" s="94"/>
      <c r="F292" s="4" t="str">
        <f t="shared" si="2"/>
        <v/>
      </c>
      <c r="G292" s="2" t="str">
        <f t="shared" si="3"/>
        <v/>
      </c>
      <c r="H292" s="2" t="str">
        <f>IF(G292="","",SUMIF(Familias!C:C,G292,Familias!E:E))</f>
        <v/>
      </c>
      <c r="I292" s="4" t="str">
        <f>IF(A292="","",COUNTIF(Prod_Prop!B:B,A292))</f>
        <v/>
      </c>
      <c r="J292" s="92" t="str">
        <f>IF(E292="","",IF(SUMIF(Precio_Productos!L:L,E292,Precio_Productos!J:J)=0,"Falta Precio",SUMIF(Precio_Productos!L:L,E292,Precio_Productos!J:J)))</f>
        <v/>
      </c>
      <c r="O292" s="86"/>
      <c r="P292" s="86" t="str">
        <f>IFERROR(__xludf.DUMMYFUNCTION("IF(OR(F292=""Selecciona.."",F292=""""),"""",TRANSPOSE(filter(Familias!C:C,Familias!D:D=F292)))"),"")</f>
        <v/>
      </c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</row>
    <row r="293">
      <c r="A293" s="4" t="str">
        <f t="shared" si="1"/>
        <v/>
      </c>
      <c r="B293" s="4"/>
      <c r="C293" s="4"/>
      <c r="D293" s="4"/>
      <c r="E293" s="94"/>
      <c r="F293" s="4" t="str">
        <f t="shared" si="2"/>
        <v/>
      </c>
      <c r="G293" s="2" t="str">
        <f t="shared" si="3"/>
        <v/>
      </c>
      <c r="H293" s="2" t="str">
        <f>IF(G293="","",SUMIF(Familias!C:C,G293,Familias!E:E))</f>
        <v/>
      </c>
      <c r="I293" s="4" t="str">
        <f>IF(A293="","",COUNTIF(Prod_Prop!B:B,A293))</f>
        <v/>
      </c>
      <c r="J293" s="92" t="str">
        <f>IF(E293="","",IF(SUMIF(Precio_Productos!L:L,E293,Precio_Productos!J:J)=0,"Falta Precio",SUMIF(Precio_Productos!L:L,E293,Precio_Productos!J:J)))</f>
        <v/>
      </c>
      <c r="O293" s="86"/>
      <c r="P293" s="86" t="str">
        <f>IFERROR(__xludf.DUMMYFUNCTION("IF(OR(F293=""Selecciona.."",F293=""""),"""",TRANSPOSE(filter(Familias!C:C,Familias!D:D=F293)))"),"")</f>
        <v/>
      </c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</row>
    <row r="294">
      <c r="A294" s="4" t="str">
        <f t="shared" si="1"/>
        <v/>
      </c>
      <c r="B294" s="4"/>
      <c r="C294" s="4"/>
      <c r="D294" s="4"/>
      <c r="E294" s="94"/>
      <c r="F294" s="4" t="str">
        <f t="shared" si="2"/>
        <v/>
      </c>
      <c r="G294" s="2" t="str">
        <f t="shared" si="3"/>
        <v/>
      </c>
      <c r="H294" s="2" t="str">
        <f>IF(G294="","",SUMIF(Familias!C:C,G294,Familias!E:E))</f>
        <v/>
      </c>
      <c r="I294" s="4" t="str">
        <f>IF(A294="","",COUNTIF(Prod_Prop!B:B,A294))</f>
        <v/>
      </c>
      <c r="J294" s="92" t="str">
        <f>IF(E294="","",IF(SUMIF(Precio_Productos!L:L,E294,Precio_Productos!J:J)=0,"Falta Precio",SUMIF(Precio_Productos!L:L,E294,Precio_Productos!J:J)))</f>
        <v/>
      </c>
      <c r="O294" s="86"/>
      <c r="P294" s="86" t="str">
        <f>IFERROR(__xludf.DUMMYFUNCTION("IF(OR(F294=""Selecciona.."",F294=""""),"""",TRANSPOSE(filter(Familias!C:C,Familias!D:D=F294)))"),"")</f>
        <v/>
      </c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</row>
    <row r="295">
      <c r="A295" s="4" t="str">
        <f t="shared" si="1"/>
        <v/>
      </c>
      <c r="B295" s="4"/>
      <c r="C295" s="4"/>
      <c r="D295" s="4"/>
      <c r="E295" s="94"/>
      <c r="F295" s="4" t="str">
        <f t="shared" si="2"/>
        <v/>
      </c>
      <c r="G295" s="2" t="str">
        <f t="shared" si="3"/>
        <v/>
      </c>
      <c r="H295" s="2" t="str">
        <f>IF(G295="","",SUMIF(Familias!C:C,G295,Familias!E:E))</f>
        <v/>
      </c>
      <c r="I295" s="4" t="str">
        <f>IF(A295="","",COUNTIF(Prod_Prop!B:B,A295))</f>
        <v/>
      </c>
      <c r="J295" s="92" t="str">
        <f>IF(E295="","",IF(SUMIF(Precio_Productos!L:L,E295,Precio_Productos!J:J)=0,"Falta Precio",SUMIF(Precio_Productos!L:L,E295,Precio_Productos!J:J)))</f>
        <v/>
      </c>
      <c r="O295" s="86"/>
      <c r="P295" s="86" t="str">
        <f>IFERROR(__xludf.DUMMYFUNCTION("IF(OR(F295=""Selecciona.."",F295=""""),"""",TRANSPOSE(filter(Familias!C:C,Familias!D:D=F295)))"),"")</f>
        <v/>
      </c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</row>
    <row r="296">
      <c r="A296" s="4" t="str">
        <f t="shared" si="1"/>
        <v/>
      </c>
      <c r="B296" s="4"/>
      <c r="C296" s="4"/>
      <c r="D296" s="4"/>
      <c r="E296" s="94"/>
      <c r="F296" s="4" t="str">
        <f t="shared" si="2"/>
        <v/>
      </c>
      <c r="G296" s="2" t="str">
        <f t="shared" si="3"/>
        <v/>
      </c>
      <c r="H296" s="2" t="str">
        <f>IF(G296="","",SUMIF(Familias!C:C,G296,Familias!E:E))</f>
        <v/>
      </c>
      <c r="I296" s="4" t="str">
        <f>IF(A296="","",COUNTIF(Prod_Prop!B:B,A296))</f>
        <v/>
      </c>
      <c r="J296" s="92" t="str">
        <f>IF(E296="","",IF(SUMIF(Precio_Productos!L:L,E296,Precio_Productos!J:J)=0,"Falta Precio",SUMIF(Precio_Productos!L:L,E296,Precio_Productos!J:J)))</f>
        <v/>
      </c>
      <c r="O296" s="86"/>
      <c r="P296" s="86" t="str">
        <f>IFERROR(__xludf.DUMMYFUNCTION("IF(OR(F296=""Selecciona.."",F296=""""),"""",TRANSPOSE(filter(Familias!C:C,Familias!D:D=F296)))"),"")</f>
        <v/>
      </c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</row>
    <row r="297">
      <c r="A297" s="4" t="str">
        <f t="shared" si="1"/>
        <v/>
      </c>
      <c r="B297" s="4"/>
      <c r="C297" s="4"/>
      <c r="D297" s="4"/>
      <c r="E297" s="94"/>
      <c r="F297" s="4" t="str">
        <f t="shared" si="2"/>
        <v/>
      </c>
      <c r="G297" s="2" t="str">
        <f t="shared" si="3"/>
        <v/>
      </c>
      <c r="H297" s="2" t="str">
        <f>IF(G297="","",SUMIF(Familias!C:C,G297,Familias!E:E))</f>
        <v/>
      </c>
      <c r="I297" s="4" t="str">
        <f>IF(A297="","",COUNTIF(Prod_Prop!B:B,A297))</f>
        <v/>
      </c>
      <c r="J297" s="92" t="str">
        <f>IF(E297="","",IF(SUMIF(Precio_Productos!L:L,E297,Precio_Productos!J:J)=0,"Falta Precio",SUMIF(Precio_Productos!L:L,E297,Precio_Productos!J:J)))</f>
        <v/>
      </c>
      <c r="O297" s="86"/>
      <c r="P297" s="86" t="str">
        <f>IFERROR(__xludf.DUMMYFUNCTION("IF(OR(F297=""Selecciona.."",F297=""""),"""",TRANSPOSE(filter(Familias!C:C,Familias!D:D=F297)))"),"")</f>
        <v/>
      </c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</row>
    <row r="298">
      <c r="A298" s="4" t="str">
        <f t="shared" si="1"/>
        <v/>
      </c>
      <c r="B298" s="4"/>
      <c r="C298" s="4"/>
      <c r="D298" s="4"/>
      <c r="E298" s="94"/>
      <c r="F298" s="4" t="str">
        <f t="shared" si="2"/>
        <v/>
      </c>
      <c r="G298" s="2" t="str">
        <f t="shared" si="3"/>
        <v/>
      </c>
      <c r="H298" s="2" t="str">
        <f>IF(G298="","",SUMIF(Familias!C:C,G298,Familias!E:E))</f>
        <v/>
      </c>
      <c r="I298" s="4" t="str">
        <f>IF(A298="","",COUNTIF(Prod_Prop!B:B,A298))</f>
        <v/>
      </c>
      <c r="J298" s="92" t="str">
        <f>IF(E298="","",IF(SUMIF(Precio_Productos!L:L,E298,Precio_Productos!J:J)=0,"Falta Precio",SUMIF(Precio_Productos!L:L,E298,Precio_Productos!J:J)))</f>
        <v/>
      </c>
      <c r="O298" s="86"/>
      <c r="P298" s="86" t="str">
        <f>IFERROR(__xludf.DUMMYFUNCTION("IF(OR(F298=""Selecciona.."",F298=""""),"""",TRANSPOSE(filter(Familias!C:C,Familias!D:D=F298)))"),"")</f>
        <v/>
      </c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</row>
    <row r="299">
      <c r="A299" s="4" t="str">
        <f t="shared" si="1"/>
        <v/>
      </c>
      <c r="B299" s="4"/>
      <c r="C299" s="4"/>
      <c r="D299" s="4"/>
      <c r="E299" s="94"/>
      <c r="F299" s="4" t="str">
        <f t="shared" si="2"/>
        <v/>
      </c>
      <c r="G299" s="2" t="str">
        <f t="shared" si="3"/>
        <v/>
      </c>
      <c r="H299" s="2" t="str">
        <f>IF(G299="","",SUMIF(Familias!C:C,G299,Familias!E:E))</f>
        <v/>
      </c>
      <c r="I299" s="4" t="str">
        <f>IF(A299="","",COUNTIF(Prod_Prop!B:B,A299))</f>
        <v/>
      </c>
      <c r="J299" s="92" t="str">
        <f>IF(E299="","",IF(SUMIF(Precio_Productos!L:L,E299,Precio_Productos!J:J)=0,"Falta Precio",SUMIF(Precio_Productos!L:L,E299,Precio_Productos!J:J)))</f>
        <v/>
      </c>
      <c r="O299" s="86"/>
      <c r="P299" s="86" t="str">
        <f>IFERROR(__xludf.DUMMYFUNCTION("IF(OR(F299=""Selecciona.."",F299=""""),"""",TRANSPOSE(filter(Familias!C:C,Familias!D:D=F299)))"),"")</f>
        <v/>
      </c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</row>
    <row r="300">
      <c r="A300" s="4" t="str">
        <f t="shared" si="1"/>
        <v/>
      </c>
      <c r="B300" s="4"/>
      <c r="C300" s="4"/>
      <c r="D300" s="4"/>
      <c r="E300" s="94"/>
      <c r="F300" s="4" t="str">
        <f t="shared" si="2"/>
        <v/>
      </c>
      <c r="G300" s="2" t="str">
        <f t="shared" si="3"/>
        <v/>
      </c>
      <c r="H300" s="2" t="str">
        <f>IF(G300="","",SUMIF(Familias!C:C,G300,Familias!E:E))</f>
        <v/>
      </c>
      <c r="I300" s="4" t="str">
        <f>IF(A300="","",COUNTIF(Prod_Prop!B:B,A300))</f>
        <v/>
      </c>
      <c r="J300" s="92" t="str">
        <f>IF(E300="","",IF(SUMIF(Precio_Productos!L:L,E300,Precio_Productos!J:J)=0,"Falta Precio",SUMIF(Precio_Productos!L:L,E300,Precio_Productos!J:J)))</f>
        <v/>
      </c>
      <c r="O300" s="86"/>
      <c r="P300" s="86" t="str">
        <f>IFERROR(__xludf.DUMMYFUNCTION("IF(OR(F300=""Selecciona.."",F300=""""),"""",TRANSPOSE(filter(Familias!C:C,Familias!D:D=F300)))"),"")</f>
        <v/>
      </c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</row>
    <row r="301">
      <c r="A301" s="4" t="str">
        <f t="shared" si="1"/>
        <v/>
      </c>
      <c r="B301" s="4"/>
      <c r="C301" s="4"/>
      <c r="D301" s="4"/>
      <c r="E301" s="94"/>
      <c r="F301" s="4" t="str">
        <f t="shared" si="2"/>
        <v/>
      </c>
      <c r="G301" s="2" t="str">
        <f t="shared" si="3"/>
        <v/>
      </c>
      <c r="H301" s="2" t="str">
        <f>IF(G301="","",SUMIF(Familias!C:C,G301,Familias!E:E))</f>
        <v/>
      </c>
      <c r="I301" s="4" t="str">
        <f>IF(A301="","",COUNTIF(Prod_Prop!B:B,A301))</f>
        <v/>
      </c>
      <c r="J301" s="92" t="str">
        <f>IF(E301="","",IF(SUMIF(Precio_Productos!L:L,E301,Precio_Productos!J:J)=0,"Falta Precio",SUMIF(Precio_Productos!L:L,E301,Precio_Productos!J:J)))</f>
        <v/>
      </c>
      <c r="O301" s="86"/>
      <c r="P301" s="86" t="str">
        <f>IFERROR(__xludf.DUMMYFUNCTION("IF(OR(F301=""Selecciona.."",F301=""""),"""",TRANSPOSE(filter(Familias!C:C,Familias!D:D=F301)))"),"")</f>
        <v/>
      </c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</row>
    <row r="302">
      <c r="A302" s="4" t="str">
        <f t="shared" si="1"/>
        <v/>
      </c>
      <c r="B302" s="4"/>
      <c r="C302" s="4"/>
      <c r="D302" s="4"/>
      <c r="E302" s="94"/>
      <c r="F302" s="4" t="str">
        <f t="shared" si="2"/>
        <v/>
      </c>
      <c r="G302" s="2" t="str">
        <f t="shared" si="3"/>
        <v/>
      </c>
      <c r="H302" s="2" t="str">
        <f>IF(G302="","",SUMIF(Familias!C:C,G302,Familias!E:E))</f>
        <v/>
      </c>
      <c r="I302" s="4" t="str">
        <f>IF(A302="","",COUNTIF(Prod_Prop!B:B,A302))</f>
        <v/>
      </c>
      <c r="J302" s="92" t="str">
        <f>IF(E302="","",IF(SUMIF(Precio_Productos!L:L,E302,Precio_Productos!J:J)=0,"Falta Precio",SUMIF(Precio_Productos!L:L,E302,Precio_Productos!J:J)))</f>
        <v/>
      </c>
      <c r="O302" s="86"/>
      <c r="P302" s="86" t="str">
        <f>IFERROR(__xludf.DUMMYFUNCTION("IF(OR(F302=""Selecciona.."",F302=""""),"""",TRANSPOSE(filter(Familias!C:C,Familias!D:D=F302)))"),"")</f>
        <v/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</row>
    <row r="303">
      <c r="A303" s="4" t="str">
        <f t="shared" si="1"/>
        <v/>
      </c>
      <c r="B303" s="4"/>
      <c r="C303" s="4"/>
      <c r="D303" s="4"/>
      <c r="E303" s="94"/>
      <c r="F303" s="4" t="str">
        <f t="shared" si="2"/>
        <v/>
      </c>
      <c r="G303" s="2" t="str">
        <f t="shared" si="3"/>
        <v/>
      </c>
      <c r="H303" s="2" t="str">
        <f>IF(G303="","",SUMIF(Familias!C:C,G303,Familias!E:E))</f>
        <v/>
      </c>
      <c r="I303" s="4" t="str">
        <f>IF(A303="","",COUNTIF(Prod_Prop!B:B,A303))</f>
        <v/>
      </c>
      <c r="J303" s="92" t="str">
        <f>IF(E303="","",IF(SUMIF(Precio_Productos!L:L,E303,Precio_Productos!J:J)=0,"Falta Precio",SUMIF(Precio_Productos!L:L,E303,Precio_Productos!J:J)))</f>
        <v/>
      </c>
      <c r="O303" s="86"/>
      <c r="P303" s="86" t="str">
        <f>IFERROR(__xludf.DUMMYFUNCTION("IF(OR(F303=""Selecciona.."",F303=""""),"""",TRANSPOSE(filter(Familias!C:C,Familias!D:D=F303)))"),"")</f>
        <v/>
      </c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</row>
    <row r="304">
      <c r="A304" s="4" t="str">
        <f t="shared" si="1"/>
        <v/>
      </c>
      <c r="B304" s="4"/>
      <c r="C304" s="4"/>
      <c r="D304" s="4"/>
      <c r="E304" s="94"/>
      <c r="F304" s="4" t="str">
        <f t="shared" si="2"/>
        <v/>
      </c>
      <c r="G304" s="2" t="str">
        <f t="shared" si="3"/>
        <v/>
      </c>
      <c r="H304" s="2" t="str">
        <f>IF(G304="","",SUMIF(Familias!C:C,G304,Familias!E:E))</f>
        <v/>
      </c>
      <c r="I304" s="4" t="str">
        <f>IF(A304="","",COUNTIF(Prod_Prop!B:B,A304))</f>
        <v/>
      </c>
      <c r="J304" s="92" t="str">
        <f>IF(E304="","",IF(SUMIF(Precio_Productos!L:L,E304,Precio_Productos!J:J)=0,"Falta Precio",SUMIF(Precio_Productos!L:L,E304,Precio_Productos!J:J)))</f>
        <v/>
      </c>
      <c r="O304" s="86"/>
      <c r="P304" s="86" t="str">
        <f>IFERROR(__xludf.DUMMYFUNCTION("IF(OR(F304=""Selecciona.."",F304=""""),"""",TRANSPOSE(filter(Familias!C:C,Familias!D:D=F304)))"),"")</f>
        <v/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</row>
    <row r="305">
      <c r="A305" s="4" t="str">
        <f t="shared" si="1"/>
        <v/>
      </c>
      <c r="B305" s="4"/>
      <c r="C305" s="4"/>
      <c r="D305" s="4"/>
      <c r="E305" s="94"/>
      <c r="F305" s="4" t="str">
        <f t="shared" si="2"/>
        <v/>
      </c>
      <c r="G305" s="2" t="str">
        <f t="shared" si="3"/>
        <v/>
      </c>
      <c r="H305" s="2" t="str">
        <f>IF(G305="","",SUMIF(Familias!C:C,G305,Familias!E:E))</f>
        <v/>
      </c>
      <c r="I305" s="4" t="str">
        <f>IF(A305="","",COUNTIF(Prod_Prop!B:B,A305))</f>
        <v/>
      </c>
      <c r="J305" s="92" t="str">
        <f>IF(E305="","",IF(SUMIF(Precio_Productos!L:L,E305,Precio_Productos!J:J)=0,"Falta Precio",SUMIF(Precio_Productos!L:L,E305,Precio_Productos!J:J)))</f>
        <v/>
      </c>
      <c r="O305" s="86"/>
      <c r="P305" s="86" t="str">
        <f>IFERROR(__xludf.DUMMYFUNCTION("IF(OR(F305=""Selecciona.."",F305=""""),"""",TRANSPOSE(filter(Familias!C:C,Familias!D:D=F305)))"),"")</f>
        <v/>
      </c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</row>
    <row r="306">
      <c r="A306" s="4" t="str">
        <f t="shared" si="1"/>
        <v/>
      </c>
      <c r="B306" s="4"/>
      <c r="C306" s="4"/>
      <c r="D306" s="4"/>
      <c r="E306" s="94"/>
      <c r="F306" s="4" t="str">
        <f t="shared" si="2"/>
        <v/>
      </c>
      <c r="G306" s="2" t="str">
        <f t="shared" si="3"/>
        <v/>
      </c>
      <c r="H306" s="2" t="str">
        <f>IF(G306="","",SUMIF(Familias!C:C,G306,Familias!E:E))</f>
        <v/>
      </c>
      <c r="I306" s="4" t="str">
        <f>IF(A306="","",COUNTIF(Prod_Prop!B:B,A306))</f>
        <v/>
      </c>
      <c r="J306" s="92" t="str">
        <f>IF(E306="","",IF(SUMIF(Precio_Productos!L:L,E306,Precio_Productos!J:J)=0,"Falta Precio",SUMIF(Precio_Productos!L:L,E306,Precio_Productos!J:J)))</f>
        <v/>
      </c>
      <c r="O306" s="86"/>
      <c r="P306" s="86" t="str">
        <f>IFERROR(__xludf.DUMMYFUNCTION("IF(OR(F306=""Selecciona.."",F306=""""),"""",TRANSPOSE(filter(Familias!C:C,Familias!D:D=F306)))"),"")</f>
        <v/>
      </c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</row>
    <row r="307">
      <c r="A307" s="4" t="str">
        <f t="shared" si="1"/>
        <v/>
      </c>
      <c r="B307" s="4"/>
      <c r="C307" s="4"/>
      <c r="D307" s="4"/>
      <c r="E307" s="94"/>
      <c r="F307" s="4" t="str">
        <f t="shared" si="2"/>
        <v/>
      </c>
      <c r="G307" s="2" t="str">
        <f t="shared" si="3"/>
        <v/>
      </c>
      <c r="H307" s="2" t="str">
        <f>IF(G307="","",SUMIF(Familias!C:C,G307,Familias!E:E))</f>
        <v/>
      </c>
      <c r="I307" s="4" t="str">
        <f>IF(A307="","",COUNTIF(Prod_Prop!B:B,A307))</f>
        <v/>
      </c>
      <c r="J307" s="92" t="str">
        <f>IF(E307="","",IF(SUMIF(Precio_Productos!L:L,E307,Precio_Productos!J:J)=0,"Falta Precio",SUMIF(Precio_Productos!L:L,E307,Precio_Productos!J:J)))</f>
        <v/>
      </c>
      <c r="O307" s="86"/>
      <c r="P307" s="86" t="str">
        <f>IFERROR(__xludf.DUMMYFUNCTION("IF(OR(F307=""Selecciona.."",F307=""""),"""",TRANSPOSE(filter(Familias!C:C,Familias!D:D=F307)))"),"")</f>
        <v/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</row>
    <row r="308">
      <c r="A308" s="4" t="str">
        <f t="shared" si="1"/>
        <v/>
      </c>
      <c r="B308" s="4"/>
      <c r="C308" s="4"/>
      <c r="D308" s="4"/>
      <c r="E308" s="94"/>
      <c r="F308" s="4" t="str">
        <f t="shared" si="2"/>
        <v/>
      </c>
      <c r="G308" s="2" t="str">
        <f t="shared" si="3"/>
        <v/>
      </c>
      <c r="H308" s="2" t="str">
        <f>IF(G308="","",SUMIF(Familias!C:C,G308,Familias!E:E))</f>
        <v/>
      </c>
      <c r="I308" s="4" t="str">
        <f>IF(A308="","",COUNTIF(Prod_Prop!B:B,A308))</f>
        <v/>
      </c>
      <c r="J308" s="92" t="str">
        <f>IF(E308="","",IF(SUMIF(Precio_Productos!L:L,E308,Precio_Productos!J:J)=0,"Falta Precio",SUMIF(Precio_Productos!L:L,E308,Precio_Productos!J:J)))</f>
        <v/>
      </c>
      <c r="O308" s="86"/>
      <c r="P308" s="86" t="str">
        <f>IFERROR(__xludf.DUMMYFUNCTION("IF(OR(F308=""Selecciona.."",F308=""""),"""",TRANSPOSE(filter(Familias!C:C,Familias!D:D=F308)))"),"")</f>
        <v/>
      </c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</row>
    <row r="309">
      <c r="A309" s="4" t="str">
        <f t="shared" si="1"/>
        <v/>
      </c>
      <c r="B309" s="4"/>
      <c r="C309" s="4"/>
      <c r="D309" s="4"/>
      <c r="E309" s="94"/>
      <c r="F309" s="4" t="str">
        <f t="shared" si="2"/>
        <v/>
      </c>
      <c r="G309" s="2" t="str">
        <f t="shared" si="3"/>
        <v/>
      </c>
      <c r="H309" s="2" t="str">
        <f>IF(G309="","",SUMIF(Familias!C:C,G309,Familias!E:E))</f>
        <v/>
      </c>
      <c r="I309" s="4" t="str">
        <f>IF(A309="","",COUNTIF(Prod_Prop!B:B,A309))</f>
        <v/>
      </c>
      <c r="J309" s="92" t="str">
        <f>IF(E309="","",IF(SUMIF(Precio_Productos!L:L,E309,Precio_Productos!J:J)=0,"Falta Precio",SUMIF(Precio_Productos!L:L,E309,Precio_Productos!J:J)))</f>
        <v/>
      </c>
      <c r="O309" s="86"/>
      <c r="P309" s="86" t="str">
        <f>IFERROR(__xludf.DUMMYFUNCTION("IF(OR(F309=""Selecciona.."",F309=""""),"""",TRANSPOSE(filter(Familias!C:C,Familias!D:D=F309)))"),"")</f>
        <v/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</row>
    <row r="310">
      <c r="A310" s="4" t="str">
        <f t="shared" si="1"/>
        <v/>
      </c>
      <c r="B310" s="4"/>
      <c r="C310" s="4"/>
      <c r="D310" s="4"/>
      <c r="E310" s="94"/>
      <c r="F310" s="4" t="str">
        <f t="shared" si="2"/>
        <v/>
      </c>
      <c r="G310" s="2" t="str">
        <f t="shared" si="3"/>
        <v/>
      </c>
      <c r="H310" s="2" t="str">
        <f>IF(G310="","",SUMIF(Familias!C:C,G310,Familias!E:E))</f>
        <v/>
      </c>
      <c r="I310" s="4" t="str">
        <f>IF(A310="","",COUNTIF(Prod_Prop!B:B,A310))</f>
        <v/>
      </c>
      <c r="J310" s="92" t="str">
        <f>IF(E310="","",IF(SUMIF(Precio_Productos!L:L,E310,Precio_Productos!J:J)=0,"Falta Precio",SUMIF(Precio_Productos!L:L,E310,Precio_Productos!J:J)))</f>
        <v/>
      </c>
      <c r="O310" s="86"/>
      <c r="P310" s="86" t="str">
        <f>IFERROR(__xludf.DUMMYFUNCTION("IF(OR(F310=""Selecciona.."",F310=""""),"""",TRANSPOSE(filter(Familias!C:C,Familias!D:D=F310)))"),"")</f>
        <v/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</row>
    <row r="311">
      <c r="A311" s="4" t="str">
        <f t="shared" si="1"/>
        <v/>
      </c>
      <c r="B311" s="4"/>
      <c r="C311" s="4"/>
      <c r="D311" s="4"/>
      <c r="E311" s="94"/>
      <c r="F311" s="4" t="str">
        <f t="shared" si="2"/>
        <v/>
      </c>
      <c r="G311" s="2" t="str">
        <f t="shared" si="3"/>
        <v/>
      </c>
      <c r="H311" s="2" t="str">
        <f>IF(G311="","",SUMIF(Familias!C:C,G311,Familias!E:E))</f>
        <v/>
      </c>
      <c r="I311" s="4" t="str">
        <f>IF(A311="","",COUNTIF(Prod_Prop!B:B,A311))</f>
        <v/>
      </c>
      <c r="J311" s="92" t="str">
        <f>IF(E311="","",IF(SUMIF(Precio_Productos!L:L,E311,Precio_Productos!J:J)=0,"Falta Precio",SUMIF(Precio_Productos!L:L,E311,Precio_Productos!J:J)))</f>
        <v/>
      </c>
      <c r="O311" s="86"/>
      <c r="P311" s="86" t="str">
        <f>IFERROR(__xludf.DUMMYFUNCTION("IF(OR(F311=""Selecciona.."",F311=""""),"""",TRANSPOSE(filter(Familias!C:C,Familias!D:D=F311)))"),"")</f>
        <v/>
      </c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</row>
    <row r="312">
      <c r="A312" s="4" t="str">
        <f t="shared" si="1"/>
        <v/>
      </c>
      <c r="B312" s="4"/>
      <c r="C312" s="4"/>
      <c r="D312" s="4"/>
      <c r="E312" s="94"/>
      <c r="F312" s="4" t="str">
        <f t="shared" si="2"/>
        <v/>
      </c>
      <c r="G312" s="2" t="str">
        <f t="shared" si="3"/>
        <v/>
      </c>
      <c r="H312" s="2" t="str">
        <f>IF(G312="","",SUMIF(Familias!C:C,G312,Familias!E:E))</f>
        <v/>
      </c>
      <c r="I312" s="4" t="str">
        <f>IF(A312="","",COUNTIF(Prod_Prop!B:B,A312))</f>
        <v/>
      </c>
      <c r="J312" s="92" t="str">
        <f>IF(E312="","",IF(SUMIF(Precio_Productos!L:L,E312,Precio_Productos!J:J)=0,"Falta Precio",SUMIF(Precio_Productos!L:L,E312,Precio_Productos!J:J)))</f>
        <v/>
      </c>
      <c r="O312" s="86"/>
      <c r="P312" s="86" t="str">
        <f>IFERROR(__xludf.DUMMYFUNCTION("IF(OR(F312=""Selecciona.."",F312=""""),"""",TRANSPOSE(filter(Familias!C:C,Familias!D:D=F312)))"),"")</f>
        <v/>
      </c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</row>
    <row r="313">
      <c r="A313" s="4" t="str">
        <f t="shared" si="1"/>
        <v/>
      </c>
      <c r="B313" s="4"/>
      <c r="C313" s="4"/>
      <c r="D313" s="4"/>
      <c r="E313" s="94"/>
      <c r="F313" s="4" t="str">
        <f t="shared" si="2"/>
        <v/>
      </c>
      <c r="G313" s="2" t="str">
        <f t="shared" si="3"/>
        <v/>
      </c>
      <c r="H313" s="2" t="str">
        <f>IF(G313="","",SUMIF(Familias!C:C,G313,Familias!E:E))</f>
        <v/>
      </c>
      <c r="I313" s="4" t="str">
        <f>IF(A313="","",COUNTIF(Prod_Prop!B:B,A313))</f>
        <v/>
      </c>
      <c r="J313" s="92" t="str">
        <f>IF(E313="","",IF(SUMIF(Precio_Productos!L:L,E313,Precio_Productos!J:J)=0,"Falta Precio",SUMIF(Precio_Productos!L:L,E313,Precio_Productos!J:J)))</f>
        <v/>
      </c>
      <c r="O313" s="86"/>
      <c r="P313" s="86" t="str">
        <f>IFERROR(__xludf.DUMMYFUNCTION("IF(OR(F313=""Selecciona.."",F313=""""),"""",TRANSPOSE(filter(Familias!C:C,Familias!D:D=F313)))"),"")</f>
        <v/>
      </c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</row>
    <row r="314">
      <c r="A314" s="4" t="str">
        <f t="shared" si="1"/>
        <v/>
      </c>
      <c r="B314" s="4"/>
      <c r="C314" s="4"/>
      <c r="D314" s="4"/>
      <c r="E314" s="94"/>
      <c r="F314" s="4" t="str">
        <f t="shared" si="2"/>
        <v/>
      </c>
      <c r="G314" s="2" t="str">
        <f t="shared" si="3"/>
        <v/>
      </c>
      <c r="H314" s="2" t="str">
        <f>IF(G314="","",SUMIF(Familias!C:C,G314,Familias!E:E))</f>
        <v/>
      </c>
      <c r="I314" s="4" t="str">
        <f>IF(A314="","",COUNTIF(Prod_Prop!B:B,A314))</f>
        <v/>
      </c>
      <c r="J314" s="92" t="str">
        <f>IF(E314="","",IF(SUMIF(Precio_Productos!L:L,E314,Precio_Productos!J:J)=0,"Falta Precio",SUMIF(Precio_Productos!L:L,E314,Precio_Productos!J:J)))</f>
        <v/>
      </c>
      <c r="O314" s="86"/>
      <c r="P314" s="86" t="str">
        <f>IFERROR(__xludf.DUMMYFUNCTION("IF(OR(F314=""Selecciona.."",F314=""""),"""",TRANSPOSE(filter(Familias!C:C,Familias!D:D=F314)))"),"")</f>
        <v/>
      </c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</row>
    <row r="315">
      <c r="A315" s="4" t="str">
        <f t="shared" si="1"/>
        <v/>
      </c>
      <c r="B315" s="4"/>
      <c r="C315" s="4"/>
      <c r="D315" s="4"/>
      <c r="E315" s="94"/>
      <c r="F315" s="4" t="str">
        <f t="shared" si="2"/>
        <v/>
      </c>
      <c r="G315" s="2" t="str">
        <f t="shared" si="3"/>
        <v/>
      </c>
      <c r="H315" s="2" t="str">
        <f>IF(G315="","",SUMIF(Familias!C:C,G315,Familias!E:E))</f>
        <v/>
      </c>
      <c r="I315" s="4" t="str">
        <f>IF(A315="","",COUNTIF(Prod_Prop!B:B,A315))</f>
        <v/>
      </c>
      <c r="J315" s="92" t="str">
        <f>IF(E315="","",IF(SUMIF(Precio_Productos!L:L,E315,Precio_Productos!J:J)=0,"Falta Precio",SUMIF(Precio_Productos!L:L,E315,Precio_Productos!J:J)))</f>
        <v/>
      </c>
      <c r="O315" s="86"/>
      <c r="P315" s="86" t="str">
        <f>IFERROR(__xludf.DUMMYFUNCTION("IF(OR(F315=""Selecciona.."",F315=""""),"""",TRANSPOSE(filter(Familias!C:C,Familias!D:D=F315)))"),"")</f>
        <v/>
      </c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</row>
    <row r="316">
      <c r="A316" s="4" t="str">
        <f t="shared" si="1"/>
        <v/>
      </c>
      <c r="B316" s="4"/>
      <c r="C316" s="4"/>
      <c r="D316" s="4"/>
      <c r="E316" s="94"/>
      <c r="F316" s="4" t="str">
        <f t="shared" si="2"/>
        <v/>
      </c>
      <c r="G316" s="2" t="str">
        <f t="shared" si="3"/>
        <v/>
      </c>
      <c r="H316" s="2" t="str">
        <f>IF(G316="","",SUMIF(Familias!C:C,G316,Familias!E:E))</f>
        <v/>
      </c>
      <c r="I316" s="4" t="str">
        <f>IF(A316="","",COUNTIF(Prod_Prop!B:B,A316))</f>
        <v/>
      </c>
      <c r="J316" s="92" t="str">
        <f>IF(E316="","",IF(SUMIF(Precio_Productos!L:L,E316,Precio_Productos!J:J)=0,"Falta Precio",SUMIF(Precio_Productos!L:L,E316,Precio_Productos!J:J)))</f>
        <v/>
      </c>
      <c r="O316" s="86"/>
      <c r="P316" s="86" t="str">
        <f>IFERROR(__xludf.DUMMYFUNCTION("IF(OR(F316=""Selecciona.."",F316=""""),"""",TRANSPOSE(filter(Familias!C:C,Familias!D:D=F316)))"),"")</f>
        <v/>
      </c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</row>
    <row r="317">
      <c r="A317" s="4" t="str">
        <f t="shared" si="1"/>
        <v/>
      </c>
      <c r="B317" s="4"/>
      <c r="C317" s="4"/>
      <c r="D317" s="4"/>
      <c r="E317" s="94"/>
      <c r="F317" s="4" t="str">
        <f t="shared" si="2"/>
        <v/>
      </c>
      <c r="G317" s="2" t="str">
        <f t="shared" si="3"/>
        <v/>
      </c>
      <c r="H317" s="2" t="str">
        <f>IF(G317="","",SUMIF(Familias!C:C,G317,Familias!E:E))</f>
        <v/>
      </c>
      <c r="I317" s="4" t="str">
        <f>IF(A317="","",COUNTIF(Prod_Prop!B:B,A317))</f>
        <v/>
      </c>
      <c r="J317" s="92" t="str">
        <f>IF(E317="","",IF(SUMIF(Precio_Productos!L:L,E317,Precio_Productos!J:J)=0,"Falta Precio",SUMIF(Precio_Productos!L:L,E317,Precio_Productos!J:J)))</f>
        <v/>
      </c>
      <c r="O317" s="86"/>
      <c r="P317" s="86" t="str">
        <f>IFERROR(__xludf.DUMMYFUNCTION("IF(OR(F317=""Selecciona.."",F317=""""),"""",TRANSPOSE(filter(Familias!C:C,Familias!D:D=F317)))"),"")</f>
        <v/>
      </c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</row>
    <row r="318">
      <c r="A318" s="4" t="str">
        <f t="shared" si="1"/>
        <v/>
      </c>
      <c r="B318" s="4"/>
      <c r="C318" s="4"/>
      <c r="D318" s="4"/>
      <c r="E318" s="94"/>
      <c r="F318" s="4" t="str">
        <f t="shared" si="2"/>
        <v/>
      </c>
      <c r="G318" s="2" t="str">
        <f t="shared" si="3"/>
        <v/>
      </c>
      <c r="H318" s="2" t="str">
        <f>IF(G318="","",SUMIF(Familias!C:C,G318,Familias!E:E))</f>
        <v/>
      </c>
      <c r="I318" s="4" t="str">
        <f>IF(A318="","",COUNTIF(Prod_Prop!B:B,A318))</f>
        <v/>
      </c>
      <c r="J318" s="92" t="str">
        <f>IF(E318="","",IF(SUMIF(Precio_Productos!L:L,E318,Precio_Productos!J:J)=0,"Falta Precio",SUMIF(Precio_Productos!L:L,E318,Precio_Productos!J:J)))</f>
        <v/>
      </c>
      <c r="O318" s="86"/>
      <c r="P318" s="86" t="str">
        <f>IFERROR(__xludf.DUMMYFUNCTION("IF(OR(F318=""Selecciona.."",F318=""""),"""",TRANSPOSE(filter(Familias!C:C,Familias!D:D=F318)))"),"")</f>
        <v/>
      </c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</row>
    <row r="319">
      <c r="A319" s="4" t="str">
        <f t="shared" si="1"/>
        <v/>
      </c>
      <c r="B319" s="4"/>
      <c r="C319" s="4"/>
      <c r="D319" s="4"/>
      <c r="E319" s="94"/>
      <c r="F319" s="4" t="str">
        <f t="shared" si="2"/>
        <v/>
      </c>
      <c r="G319" s="2" t="str">
        <f t="shared" si="3"/>
        <v/>
      </c>
      <c r="H319" s="2" t="str">
        <f>IF(G319="","",SUMIF(Familias!C:C,G319,Familias!E:E))</f>
        <v/>
      </c>
      <c r="I319" s="4" t="str">
        <f>IF(A319="","",COUNTIF(Prod_Prop!B:B,A319))</f>
        <v/>
      </c>
      <c r="J319" s="92" t="str">
        <f>IF(E319="","",IF(SUMIF(Precio_Productos!L:L,E319,Precio_Productos!J:J)=0,"Falta Precio",SUMIF(Precio_Productos!L:L,E319,Precio_Productos!J:J)))</f>
        <v/>
      </c>
      <c r="O319" s="86"/>
      <c r="P319" s="86" t="str">
        <f>IFERROR(__xludf.DUMMYFUNCTION("IF(OR(F319=""Selecciona.."",F319=""""),"""",TRANSPOSE(filter(Familias!C:C,Familias!D:D=F319)))"),"")</f>
        <v/>
      </c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</row>
    <row r="320">
      <c r="A320" s="4" t="str">
        <f t="shared" si="1"/>
        <v/>
      </c>
      <c r="B320" s="4"/>
      <c r="C320" s="4"/>
      <c r="D320" s="4"/>
      <c r="E320" s="94"/>
      <c r="F320" s="4" t="str">
        <f t="shared" si="2"/>
        <v/>
      </c>
      <c r="G320" s="2" t="str">
        <f t="shared" si="3"/>
        <v/>
      </c>
      <c r="H320" s="2" t="str">
        <f>IF(G320="","",SUMIF(Familias!C:C,G320,Familias!E:E))</f>
        <v/>
      </c>
      <c r="I320" s="4" t="str">
        <f>IF(A320="","",COUNTIF(Prod_Prop!B:B,A320))</f>
        <v/>
      </c>
      <c r="J320" s="92" t="str">
        <f>IF(E320="","",IF(SUMIF(Precio_Productos!L:L,E320,Precio_Productos!J:J)=0,"Falta Precio",SUMIF(Precio_Productos!L:L,E320,Precio_Productos!J:J)))</f>
        <v/>
      </c>
      <c r="O320" s="86"/>
      <c r="P320" s="86" t="str">
        <f>IFERROR(__xludf.DUMMYFUNCTION("IF(OR(F320=""Selecciona.."",F320=""""),"""",TRANSPOSE(filter(Familias!C:C,Familias!D:D=F320)))"),"")</f>
        <v/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</row>
    <row r="321">
      <c r="A321" s="4" t="str">
        <f t="shared" si="1"/>
        <v/>
      </c>
      <c r="B321" s="4"/>
      <c r="C321" s="4"/>
      <c r="D321" s="4"/>
      <c r="E321" s="94"/>
      <c r="F321" s="4" t="str">
        <f t="shared" si="2"/>
        <v/>
      </c>
      <c r="G321" s="2" t="str">
        <f t="shared" si="3"/>
        <v/>
      </c>
      <c r="H321" s="2" t="str">
        <f>IF(G321="","",SUMIF(Familias!C:C,G321,Familias!E:E))</f>
        <v/>
      </c>
      <c r="I321" s="4" t="str">
        <f>IF(A321="","",COUNTIF(Prod_Prop!B:B,A321))</f>
        <v/>
      </c>
      <c r="J321" s="92" t="str">
        <f>IF(E321="","",IF(SUMIF(Precio_Productos!L:L,E321,Precio_Productos!J:J)=0,"Falta Precio",SUMIF(Precio_Productos!L:L,E321,Precio_Productos!J:J)))</f>
        <v/>
      </c>
      <c r="O321" s="86"/>
      <c r="P321" s="86" t="str">
        <f>IFERROR(__xludf.DUMMYFUNCTION("IF(OR(F321=""Selecciona.."",F321=""""),"""",TRANSPOSE(filter(Familias!C:C,Familias!D:D=F321)))"),"")</f>
        <v/>
      </c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</row>
    <row r="322">
      <c r="A322" s="4" t="str">
        <f t="shared" si="1"/>
        <v/>
      </c>
      <c r="B322" s="4"/>
      <c r="C322" s="4"/>
      <c r="D322" s="4"/>
      <c r="E322" s="94"/>
      <c r="F322" s="4" t="str">
        <f t="shared" si="2"/>
        <v/>
      </c>
      <c r="G322" s="2" t="str">
        <f t="shared" si="3"/>
        <v/>
      </c>
      <c r="H322" s="2" t="str">
        <f>IF(G322="","",SUMIF(Familias!C:C,G322,Familias!E:E))</f>
        <v/>
      </c>
      <c r="I322" s="4" t="str">
        <f>IF(A322="","",COUNTIF(Prod_Prop!B:B,A322))</f>
        <v/>
      </c>
      <c r="J322" s="92" t="str">
        <f>IF(E322="","",IF(SUMIF(Precio_Productos!L:L,E322,Precio_Productos!J:J)=0,"Falta Precio",SUMIF(Precio_Productos!L:L,E322,Precio_Productos!J:J)))</f>
        <v/>
      </c>
      <c r="O322" s="86"/>
      <c r="P322" s="86" t="str">
        <f>IFERROR(__xludf.DUMMYFUNCTION("IF(OR(F322=""Selecciona.."",F322=""""),"""",TRANSPOSE(filter(Familias!C:C,Familias!D:D=F322)))"),"")</f>
        <v/>
      </c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</row>
    <row r="323">
      <c r="A323" s="4" t="str">
        <f t="shared" si="1"/>
        <v/>
      </c>
      <c r="B323" s="4"/>
      <c r="C323" s="4"/>
      <c r="D323" s="4"/>
      <c r="E323" s="94"/>
      <c r="F323" s="4" t="str">
        <f t="shared" si="2"/>
        <v/>
      </c>
      <c r="G323" s="2" t="str">
        <f t="shared" si="3"/>
        <v/>
      </c>
      <c r="H323" s="2" t="str">
        <f>IF(G323="","",SUMIF(Familias!C:C,G323,Familias!E:E))</f>
        <v/>
      </c>
      <c r="I323" s="4" t="str">
        <f>IF(A323="","",COUNTIF(Prod_Prop!B:B,A323))</f>
        <v/>
      </c>
      <c r="J323" s="92" t="str">
        <f>IF(E323="","",IF(SUMIF(Precio_Productos!L:L,E323,Precio_Productos!J:J)=0,"Falta Precio",SUMIF(Precio_Productos!L:L,E323,Precio_Productos!J:J)))</f>
        <v/>
      </c>
      <c r="O323" s="86"/>
      <c r="P323" s="86" t="str">
        <f>IFERROR(__xludf.DUMMYFUNCTION("IF(OR(F323=""Selecciona.."",F323=""""),"""",TRANSPOSE(filter(Familias!C:C,Familias!D:D=F323)))"),"")</f>
        <v/>
      </c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</row>
    <row r="324">
      <c r="A324" s="4" t="str">
        <f t="shared" si="1"/>
        <v/>
      </c>
      <c r="B324" s="4"/>
      <c r="C324" s="4"/>
      <c r="D324" s="4"/>
      <c r="E324" s="94"/>
      <c r="F324" s="4" t="str">
        <f t="shared" si="2"/>
        <v/>
      </c>
      <c r="G324" s="2" t="str">
        <f t="shared" si="3"/>
        <v/>
      </c>
      <c r="H324" s="2" t="str">
        <f>IF(G324="","",SUMIF(Familias!C:C,G324,Familias!E:E))</f>
        <v/>
      </c>
      <c r="I324" s="4" t="str">
        <f>IF(A324="","",COUNTIF(Prod_Prop!B:B,A324))</f>
        <v/>
      </c>
      <c r="J324" s="92" t="str">
        <f>IF(E324="","",IF(SUMIF(Precio_Productos!L:L,E324,Precio_Productos!J:J)=0,"Falta Precio",SUMIF(Precio_Productos!L:L,E324,Precio_Productos!J:J)))</f>
        <v/>
      </c>
      <c r="O324" s="86"/>
      <c r="P324" s="86" t="str">
        <f>IFERROR(__xludf.DUMMYFUNCTION("IF(OR(F324=""Selecciona.."",F324=""""),"""",TRANSPOSE(filter(Familias!C:C,Familias!D:D=F324)))"),"")</f>
        <v/>
      </c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</row>
    <row r="325">
      <c r="A325" s="4" t="str">
        <f t="shared" si="1"/>
        <v/>
      </c>
      <c r="B325" s="4"/>
      <c r="C325" s="4"/>
      <c r="D325" s="4"/>
      <c r="E325" s="94"/>
      <c r="F325" s="4" t="str">
        <f t="shared" si="2"/>
        <v/>
      </c>
      <c r="G325" s="2" t="str">
        <f t="shared" si="3"/>
        <v/>
      </c>
      <c r="H325" s="2" t="str">
        <f>IF(G325="","",SUMIF(Familias!C:C,G325,Familias!E:E))</f>
        <v/>
      </c>
      <c r="I325" s="4" t="str">
        <f>IF(A325="","",COUNTIF(Prod_Prop!B:B,A325))</f>
        <v/>
      </c>
      <c r="J325" s="92" t="str">
        <f>IF(E325="","",IF(SUMIF(Precio_Productos!L:L,E325,Precio_Productos!J:J)=0,"Falta Precio",SUMIF(Precio_Productos!L:L,E325,Precio_Productos!J:J)))</f>
        <v/>
      </c>
      <c r="O325" s="86"/>
      <c r="P325" s="86" t="str">
        <f>IFERROR(__xludf.DUMMYFUNCTION("IF(OR(F325=""Selecciona.."",F325=""""),"""",TRANSPOSE(filter(Familias!C:C,Familias!D:D=F325)))"),"")</f>
        <v/>
      </c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</row>
    <row r="326">
      <c r="A326" s="4" t="str">
        <f t="shared" si="1"/>
        <v/>
      </c>
      <c r="B326" s="4"/>
      <c r="C326" s="4"/>
      <c r="D326" s="4"/>
      <c r="E326" s="94"/>
      <c r="F326" s="4" t="str">
        <f t="shared" si="2"/>
        <v/>
      </c>
      <c r="G326" s="2" t="str">
        <f t="shared" si="3"/>
        <v/>
      </c>
      <c r="H326" s="2" t="str">
        <f>IF(G326="","",SUMIF(Familias!C:C,G326,Familias!E:E))</f>
        <v/>
      </c>
      <c r="I326" s="4" t="str">
        <f>IF(A326="","",COUNTIF(Prod_Prop!B:B,A326))</f>
        <v/>
      </c>
      <c r="J326" s="92" t="str">
        <f>IF(E326="","",IF(SUMIF(Precio_Productos!L:L,E326,Precio_Productos!J:J)=0,"Falta Precio",SUMIF(Precio_Productos!L:L,E326,Precio_Productos!J:J)))</f>
        <v/>
      </c>
      <c r="O326" s="86"/>
      <c r="P326" s="86" t="str">
        <f>IFERROR(__xludf.DUMMYFUNCTION("IF(OR(F326=""Selecciona.."",F326=""""),"""",TRANSPOSE(filter(Familias!C:C,Familias!D:D=F326)))"),"")</f>
        <v/>
      </c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</row>
    <row r="327">
      <c r="A327" s="4" t="str">
        <f t="shared" si="1"/>
        <v/>
      </c>
      <c r="B327" s="4"/>
      <c r="C327" s="4"/>
      <c r="D327" s="4"/>
      <c r="E327" s="94"/>
      <c r="F327" s="4" t="str">
        <f t="shared" si="2"/>
        <v/>
      </c>
      <c r="G327" s="2" t="str">
        <f t="shared" si="3"/>
        <v/>
      </c>
      <c r="H327" s="2" t="str">
        <f>IF(G327="","",SUMIF(Familias!C:C,G327,Familias!E:E))</f>
        <v/>
      </c>
      <c r="I327" s="4" t="str">
        <f>IF(A327="","",COUNTIF(Prod_Prop!B:B,A327))</f>
        <v/>
      </c>
      <c r="J327" s="92" t="str">
        <f>IF(E327="","",IF(SUMIF(Precio_Productos!L:L,E327,Precio_Productos!J:J)=0,"Falta Precio",SUMIF(Precio_Productos!L:L,E327,Precio_Productos!J:J)))</f>
        <v/>
      </c>
      <c r="O327" s="86"/>
      <c r="P327" s="86" t="str">
        <f>IFERROR(__xludf.DUMMYFUNCTION("IF(OR(F327=""Selecciona.."",F327=""""),"""",TRANSPOSE(filter(Familias!C:C,Familias!D:D=F327)))"),"")</f>
        <v/>
      </c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</row>
    <row r="328">
      <c r="A328" s="4" t="str">
        <f t="shared" si="1"/>
        <v/>
      </c>
      <c r="B328" s="4"/>
      <c r="C328" s="4"/>
      <c r="D328" s="4"/>
      <c r="E328" s="94"/>
      <c r="F328" s="4" t="str">
        <f t="shared" si="2"/>
        <v/>
      </c>
      <c r="G328" s="2" t="str">
        <f t="shared" si="3"/>
        <v/>
      </c>
      <c r="H328" s="2" t="str">
        <f>IF(G328="","",SUMIF(Familias!C:C,G328,Familias!E:E))</f>
        <v/>
      </c>
      <c r="I328" s="4" t="str">
        <f>IF(A328="","",COUNTIF(Prod_Prop!B:B,A328))</f>
        <v/>
      </c>
      <c r="J328" s="92" t="str">
        <f>IF(E328="","",IF(SUMIF(Precio_Productos!L:L,E328,Precio_Productos!J:J)=0,"Falta Precio",SUMIF(Precio_Productos!L:L,E328,Precio_Productos!J:J)))</f>
        <v/>
      </c>
      <c r="O328" s="86"/>
      <c r="P328" s="86" t="str">
        <f>IFERROR(__xludf.DUMMYFUNCTION("IF(OR(F328=""Selecciona.."",F328=""""),"""",TRANSPOSE(filter(Familias!C:C,Familias!D:D=F328)))"),"")</f>
        <v/>
      </c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</row>
    <row r="329">
      <c r="A329" s="4" t="str">
        <f t="shared" si="1"/>
        <v/>
      </c>
      <c r="B329" s="4"/>
      <c r="C329" s="4"/>
      <c r="D329" s="4"/>
      <c r="E329" s="94"/>
      <c r="F329" s="4" t="str">
        <f t="shared" si="2"/>
        <v/>
      </c>
      <c r="G329" s="2" t="str">
        <f t="shared" si="3"/>
        <v/>
      </c>
      <c r="H329" s="2" t="str">
        <f>IF(G329="","",SUMIF(Familias!C:C,G329,Familias!E:E))</f>
        <v/>
      </c>
      <c r="I329" s="4" t="str">
        <f>IF(A329="","",COUNTIF(Prod_Prop!B:B,A329))</f>
        <v/>
      </c>
      <c r="J329" s="92" t="str">
        <f>IF(E329="","",IF(SUMIF(Precio_Productos!L:L,E329,Precio_Productos!J:J)=0,"Falta Precio",SUMIF(Precio_Productos!L:L,E329,Precio_Productos!J:J)))</f>
        <v/>
      </c>
      <c r="O329" s="86"/>
      <c r="P329" s="86" t="str">
        <f>IFERROR(__xludf.DUMMYFUNCTION("IF(OR(F329=""Selecciona.."",F329=""""),"""",TRANSPOSE(filter(Familias!C:C,Familias!D:D=F329)))"),"")</f>
        <v/>
      </c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</row>
    <row r="330">
      <c r="A330" s="4" t="str">
        <f t="shared" si="1"/>
        <v/>
      </c>
      <c r="B330" s="4"/>
      <c r="C330" s="4"/>
      <c r="D330" s="4"/>
      <c r="E330" s="94"/>
      <c r="F330" s="4" t="str">
        <f t="shared" si="2"/>
        <v/>
      </c>
      <c r="G330" s="2" t="str">
        <f t="shared" si="3"/>
        <v/>
      </c>
      <c r="H330" s="2" t="str">
        <f>IF(G330="","",SUMIF(Familias!C:C,G330,Familias!E:E))</f>
        <v/>
      </c>
      <c r="I330" s="4" t="str">
        <f>IF(A330="","",COUNTIF(Prod_Prop!B:B,A330))</f>
        <v/>
      </c>
      <c r="J330" s="92" t="str">
        <f>IF(E330="","",IF(SUMIF(Precio_Productos!L:L,E330,Precio_Productos!J:J)=0,"Falta Precio",SUMIF(Precio_Productos!L:L,E330,Precio_Productos!J:J)))</f>
        <v/>
      </c>
      <c r="O330" s="86"/>
      <c r="P330" s="86" t="str">
        <f>IFERROR(__xludf.DUMMYFUNCTION("IF(OR(F330=""Selecciona.."",F330=""""),"""",TRANSPOSE(filter(Familias!C:C,Familias!D:D=F330)))"),"")</f>
        <v/>
      </c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</row>
    <row r="331">
      <c r="A331" s="4" t="str">
        <f t="shared" si="1"/>
        <v/>
      </c>
      <c r="B331" s="4"/>
      <c r="C331" s="4"/>
      <c r="D331" s="4"/>
      <c r="E331" s="94"/>
      <c r="F331" s="4" t="str">
        <f t="shared" si="2"/>
        <v/>
      </c>
      <c r="G331" s="2" t="str">
        <f t="shared" si="3"/>
        <v/>
      </c>
      <c r="H331" s="2" t="str">
        <f>IF(G331="","",SUMIF(Familias!C:C,G331,Familias!E:E))</f>
        <v/>
      </c>
      <c r="I331" s="4" t="str">
        <f>IF(A331="","",COUNTIF(Prod_Prop!B:B,A331))</f>
        <v/>
      </c>
      <c r="J331" s="92" t="str">
        <f>IF(E331="","",IF(SUMIF(Precio_Productos!L:L,E331,Precio_Productos!J:J)=0,"Falta Precio",SUMIF(Precio_Productos!L:L,E331,Precio_Productos!J:J)))</f>
        <v/>
      </c>
      <c r="O331" s="86"/>
      <c r="P331" s="86" t="str">
        <f>IFERROR(__xludf.DUMMYFUNCTION("IF(OR(F331=""Selecciona.."",F331=""""),"""",TRANSPOSE(filter(Familias!C:C,Familias!D:D=F331)))"),"")</f>
        <v/>
      </c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</row>
    <row r="332">
      <c r="A332" s="4" t="str">
        <f t="shared" si="1"/>
        <v/>
      </c>
      <c r="B332" s="4"/>
      <c r="C332" s="4"/>
      <c r="D332" s="4"/>
      <c r="E332" s="94"/>
      <c r="F332" s="4" t="str">
        <f t="shared" si="2"/>
        <v/>
      </c>
      <c r="G332" s="2" t="str">
        <f t="shared" si="3"/>
        <v/>
      </c>
      <c r="H332" s="2" t="str">
        <f>IF(G332="","",SUMIF(Familias!C:C,G332,Familias!E:E))</f>
        <v/>
      </c>
      <c r="I332" s="4" t="str">
        <f>IF(A332="","",COUNTIF(Prod_Prop!B:B,A332))</f>
        <v/>
      </c>
      <c r="J332" s="92" t="str">
        <f>IF(E332="","",IF(SUMIF(Precio_Productos!L:L,E332,Precio_Productos!J:J)=0,"Falta Precio",SUMIF(Precio_Productos!L:L,E332,Precio_Productos!J:J)))</f>
        <v/>
      </c>
      <c r="O332" s="86"/>
      <c r="P332" s="86" t="str">
        <f>IFERROR(__xludf.DUMMYFUNCTION("IF(OR(F332=""Selecciona.."",F332=""""),"""",TRANSPOSE(filter(Familias!C:C,Familias!D:D=F332)))"),"")</f>
        <v/>
      </c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</row>
    <row r="333">
      <c r="A333" s="4" t="str">
        <f t="shared" si="1"/>
        <v/>
      </c>
      <c r="B333" s="4"/>
      <c r="C333" s="4"/>
      <c r="D333" s="4"/>
      <c r="E333" s="94"/>
      <c r="F333" s="4" t="str">
        <f t="shared" si="2"/>
        <v/>
      </c>
      <c r="G333" s="2" t="str">
        <f t="shared" si="3"/>
        <v/>
      </c>
      <c r="H333" s="2" t="str">
        <f>IF(G333="","",SUMIF(Familias!C:C,G333,Familias!E:E))</f>
        <v/>
      </c>
      <c r="I333" s="4" t="str">
        <f>IF(A333="","",COUNTIF(Prod_Prop!B:B,A333))</f>
        <v/>
      </c>
      <c r="J333" s="92" t="str">
        <f>IF(E333="","",IF(SUMIF(Precio_Productos!L:L,E333,Precio_Productos!J:J)=0,"Falta Precio",SUMIF(Precio_Productos!L:L,E333,Precio_Productos!J:J)))</f>
        <v/>
      </c>
      <c r="O333" s="86"/>
      <c r="P333" s="86" t="str">
        <f>IFERROR(__xludf.DUMMYFUNCTION("IF(OR(F333=""Selecciona.."",F333=""""),"""",TRANSPOSE(filter(Familias!C:C,Familias!D:D=F333)))"),"")</f>
        <v/>
      </c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</row>
    <row r="334">
      <c r="A334" s="4" t="str">
        <f t="shared" si="1"/>
        <v/>
      </c>
      <c r="B334" s="4"/>
      <c r="C334" s="4"/>
      <c r="D334" s="4"/>
      <c r="E334" s="94"/>
      <c r="F334" s="4" t="str">
        <f t="shared" si="2"/>
        <v/>
      </c>
      <c r="G334" s="2" t="str">
        <f t="shared" si="3"/>
        <v/>
      </c>
      <c r="H334" s="2" t="str">
        <f>IF(G334="","",SUMIF(Familias!C:C,G334,Familias!E:E))</f>
        <v/>
      </c>
      <c r="I334" s="4" t="str">
        <f>IF(A334="","",COUNTIF(Prod_Prop!B:B,A334))</f>
        <v/>
      </c>
      <c r="J334" s="92" t="str">
        <f>IF(E334="","",IF(SUMIF(Precio_Productos!L:L,E334,Precio_Productos!J:J)=0,"Falta Precio",SUMIF(Precio_Productos!L:L,E334,Precio_Productos!J:J)))</f>
        <v/>
      </c>
      <c r="O334" s="86"/>
      <c r="P334" s="86" t="str">
        <f>IFERROR(__xludf.DUMMYFUNCTION("IF(OR(F334=""Selecciona.."",F334=""""),"""",TRANSPOSE(filter(Familias!C:C,Familias!D:D=F334)))"),"")</f>
        <v/>
      </c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</row>
    <row r="335">
      <c r="A335" s="4" t="str">
        <f t="shared" si="1"/>
        <v/>
      </c>
      <c r="B335" s="4"/>
      <c r="C335" s="4"/>
      <c r="D335" s="4"/>
      <c r="E335" s="94"/>
      <c r="F335" s="4" t="str">
        <f t="shared" si="2"/>
        <v/>
      </c>
      <c r="G335" s="2" t="str">
        <f t="shared" si="3"/>
        <v/>
      </c>
      <c r="H335" s="2" t="str">
        <f>IF(G335="","",SUMIF(Familias!C:C,G335,Familias!E:E))</f>
        <v/>
      </c>
      <c r="I335" s="4" t="str">
        <f>IF(A335="","",COUNTIF(Prod_Prop!B:B,A335))</f>
        <v/>
      </c>
      <c r="J335" s="92" t="str">
        <f>IF(E335="","",IF(SUMIF(Precio_Productos!L:L,E335,Precio_Productos!J:J)=0,"Falta Precio",SUMIF(Precio_Productos!L:L,E335,Precio_Productos!J:J)))</f>
        <v/>
      </c>
      <c r="O335" s="86"/>
      <c r="P335" s="86" t="str">
        <f>IFERROR(__xludf.DUMMYFUNCTION("IF(OR(F335=""Selecciona.."",F335=""""),"""",TRANSPOSE(filter(Familias!C:C,Familias!D:D=F335)))"),"")</f>
        <v/>
      </c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</row>
    <row r="336">
      <c r="A336" s="4" t="str">
        <f t="shared" si="1"/>
        <v/>
      </c>
      <c r="B336" s="4"/>
      <c r="C336" s="4"/>
      <c r="D336" s="4"/>
      <c r="E336" s="94"/>
      <c r="F336" s="4" t="str">
        <f t="shared" si="2"/>
        <v/>
      </c>
      <c r="G336" s="2" t="str">
        <f t="shared" si="3"/>
        <v/>
      </c>
      <c r="H336" s="2" t="str">
        <f>IF(G336="","",SUMIF(Familias!C:C,G336,Familias!E:E))</f>
        <v/>
      </c>
      <c r="I336" s="4" t="str">
        <f>IF(A336="","",COUNTIF(Prod_Prop!B:B,A336))</f>
        <v/>
      </c>
      <c r="J336" s="92" t="str">
        <f>IF(E336="","",IF(SUMIF(Precio_Productos!L:L,E336,Precio_Productos!J:J)=0,"Falta Precio",SUMIF(Precio_Productos!L:L,E336,Precio_Productos!J:J)))</f>
        <v/>
      </c>
      <c r="O336" s="86"/>
      <c r="P336" s="86" t="str">
        <f>IFERROR(__xludf.DUMMYFUNCTION("IF(OR(F336=""Selecciona.."",F336=""""),"""",TRANSPOSE(filter(Familias!C:C,Familias!D:D=F336)))"),"")</f>
        <v/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</row>
    <row r="337">
      <c r="A337" s="4" t="str">
        <f t="shared" si="1"/>
        <v/>
      </c>
      <c r="B337" s="4"/>
      <c r="C337" s="4"/>
      <c r="D337" s="4"/>
      <c r="E337" s="94"/>
      <c r="F337" s="4" t="str">
        <f t="shared" si="2"/>
        <v/>
      </c>
      <c r="G337" s="2" t="str">
        <f t="shared" si="3"/>
        <v/>
      </c>
      <c r="H337" s="2" t="str">
        <f>IF(G337="","",SUMIF(Familias!C:C,G337,Familias!E:E))</f>
        <v/>
      </c>
      <c r="I337" s="4" t="str">
        <f>IF(A337="","",COUNTIF(Prod_Prop!B:B,A337))</f>
        <v/>
      </c>
      <c r="J337" s="92" t="str">
        <f>IF(E337="","",IF(SUMIF(Precio_Productos!L:L,E337,Precio_Productos!J:J)=0,"Falta Precio",SUMIF(Precio_Productos!L:L,E337,Precio_Productos!J:J)))</f>
        <v/>
      </c>
      <c r="O337" s="86"/>
      <c r="P337" s="86" t="str">
        <f>IFERROR(__xludf.DUMMYFUNCTION("IF(OR(F337=""Selecciona.."",F337=""""),"""",TRANSPOSE(filter(Familias!C:C,Familias!D:D=F337)))"),"")</f>
        <v/>
      </c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</row>
    <row r="338">
      <c r="A338" s="4" t="str">
        <f t="shared" si="1"/>
        <v/>
      </c>
      <c r="B338" s="4"/>
      <c r="C338" s="4"/>
      <c r="D338" s="4"/>
      <c r="E338" s="94"/>
      <c r="F338" s="4" t="str">
        <f t="shared" si="2"/>
        <v/>
      </c>
      <c r="G338" s="2" t="str">
        <f t="shared" si="3"/>
        <v/>
      </c>
      <c r="H338" s="2" t="str">
        <f>IF(G338="","",SUMIF(Familias!C:C,G338,Familias!E:E))</f>
        <v/>
      </c>
      <c r="I338" s="4" t="str">
        <f>IF(A338="","",COUNTIF(Prod_Prop!B:B,A338))</f>
        <v/>
      </c>
      <c r="J338" s="92" t="str">
        <f>IF(E338="","",IF(SUMIF(Precio_Productos!L:L,E338,Precio_Productos!J:J)=0,"Falta Precio",SUMIF(Precio_Productos!L:L,E338,Precio_Productos!J:J)))</f>
        <v/>
      </c>
      <c r="O338" s="86"/>
      <c r="P338" s="86" t="str">
        <f>IFERROR(__xludf.DUMMYFUNCTION("IF(OR(F338=""Selecciona.."",F338=""""),"""",TRANSPOSE(filter(Familias!C:C,Familias!D:D=F338)))"),"")</f>
        <v/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</row>
    <row r="339">
      <c r="A339" s="4" t="str">
        <f t="shared" si="1"/>
        <v/>
      </c>
      <c r="B339" s="4"/>
      <c r="C339" s="4"/>
      <c r="D339" s="4"/>
      <c r="E339" s="94"/>
      <c r="F339" s="4" t="str">
        <f t="shared" si="2"/>
        <v/>
      </c>
      <c r="G339" s="2" t="str">
        <f t="shared" si="3"/>
        <v/>
      </c>
      <c r="H339" s="2" t="str">
        <f>IF(G339="","",SUMIF(Familias!C:C,G339,Familias!E:E))</f>
        <v/>
      </c>
      <c r="I339" s="4" t="str">
        <f>IF(A339="","",COUNTIF(Prod_Prop!B:B,A339))</f>
        <v/>
      </c>
      <c r="J339" s="92" t="str">
        <f>IF(E339="","",IF(SUMIF(Precio_Productos!L:L,E339,Precio_Productos!J:J)=0,"Falta Precio",SUMIF(Precio_Productos!L:L,E339,Precio_Productos!J:J)))</f>
        <v/>
      </c>
      <c r="O339" s="86"/>
      <c r="P339" s="86" t="str">
        <f>IFERROR(__xludf.DUMMYFUNCTION("IF(OR(F339=""Selecciona.."",F339=""""),"""",TRANSPOSE(filter(Familias!C:C,Familias!D:D=F339)))"),"")</f>
        <v/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</row>
    <row r="340">
      <c r="A340" s="4" t="str">
        <f t="shared" si="1"/>
        <v/>
      </c>
      <c r="B340" s="4"/>
      <c r="C340" s="4"/>
      <c r="D340" s="4"/>
      <c r="E340" s="94"/>
      <c r="F340" s="4" t="str">
        <f t="shared" si="2"/>
        <v/>
      </c>
      <c r="G340" s="2" t="str">
        <f t="shared" si="3"/>
        <v/>
      </c>
      <c r="H340" s="2" t="str">
        <f>IF(G340="","",SUMIF(Familias!C:C,G340,Familias!E:E))</f>
        <v/>
      </c>
      <c r="I340" s="4" t="str">
        <f>IF(A340="","",COUNTIF(Prod_Prop!B:B,A340))</f>
        <v/>
      </c>
      <c r="J340" s="92" t="str">
        <f>IF(E340="","",IF(SUMIF(Precio_Productos!L:L,E340,Precio_Productos!J:J)=0,"Falta Precio",SUMIF(Precio_Productos!L:L,E340,Precio_Productos!J:J)))</f>
        <v/>
      </c>
      <c r="O340" s="86"/>
      <c r="P340" s="86" t="str">
        <f>IFERROR(__xludf.DUMMYFUNCTION("IF(OR(F340=""Selecciona.."",F340=""""),"""",TRANSPOSE(filter(Familias!C:C,Familias!D:D=F340)))"),"")</f>
        <v/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</row>
    <row r="341">
      <c r="A341" s="4" t="str">
        <f t="shared" si="1"/>
        <v/>
      </c>
      <c r="B341" s="4"/>
      <c r="C341" s="4"/>
      <c r="D341" s="4"/>
      <c r="E341" s="94"/>
      <c r="F341" s="4" t="str">
        <f t="shared" si="2"/>
        <v/>
      </c>
      <c r="G341" s="2" t="str">
        <f t="shared" si="3"/>
        <v/>
      </c>
      <c r="H341" s="2" t="str">
        <f>IF(G341="","",SUMIF(Familias!C:C,G341,Familias!E:E))</f>
        <v/>
      </c>
      <c r="I341" s="4" t="str">
        <f>IF(A341="","",COUNTIF(Prod_Prop!B:B,A341))</f>
        <v/>
      </c>
      <c r="J341" s="92" t="str">
        <f>IF(E341="","",IF(SUMIF(Precio_Productos!L:L,E341,Precio_Productos!J:J)=0,"Falta Precio",SUMIF(Precio_Productos!L:L,E341,Precio_Productos!J:J)))</f>
        <v/>
      </c>
      <c r="O341" s="86"/>
      <c r="P341" s="86" t="str">
        <f>IFERROR(__xludf.DUMMYFUNCTION("IF(OR(F341=""Selecciona.."",F341=""""),"""",TRANSPOSE(filter(Familias!C:C,Familias!D:D=F341)))"),"")</f>
        <v/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</row>
    <row r="342">
      <c r="A342" s="4" t="str">
        <f t="shared" si="1"/>
        <v/>
      </c>
      <c r="B342" s="4"/>
      <c r="C342" s="4"/>
      <c r="D342" s="4"/>
      <c r="E342" s="94"/>
      <c r="F342" s="4" t="str">
        <f t="shared" si="2"/>
        <v/>
      </c>
      <c r="G342" s="2" t="str">
        <f t="shared" si="3"/>
        <v/>
      </c>
      <c r="H342" s="2" t="str">
        <f>IF(G342="","",SUMIF(Familias!C:C,G342,Familias!E:E))</f>
        <v/>
      </c>
      <c r="I342" s="4" t="str">
        <f>IF(A342="","",COUNTIF(Prod_Prop!B:B,A342))</f>
        <v/>
      </c>
      <c r="J342" s="92" t="str">
        <f>IF(E342="","",IF(SUMIF(Precio_Productos!L:L,E342,Precio_Productos!J:J)=0,"Falta Precio",SUMIF(Precio_Productos!L:L,E342,Precio_Productos!J:J)))</f>
        <v/>
      </c>
      <c r="O342" s="86"/>
      <c r="P342" s="86" t="str">
        <f>IFERROR(__xludf.DUMMYFUNCTION("IF(OR(F342=""Selecciona.."",F342=""""),"""",TRANSPOSE(filter(Familias!C:C,Familias!D:D=F342)))"),"")</f>
        <v/>
      </c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</row>
    <row r="343">
      <c r="A343" s="4" t="str">
        <f t="shared" si="1"/>
        <v/>
      </c>
      <c r="B343" s="4"/>
      <c r="C343" s="4"/>
      <c r="D343" s="4"/>
      <c r="E343" s="94"/>
      <c r="F343" s="4" t="str">
        <f t="shared" si="2"/>
        <v/>
      </c>
      <c r="G343" s="2" t="str">
        <f t="shared" si="3"/>
        <v/>
      </c>
      <c r="H343" s="2" t="str">
        <f>IF(G343="","",SUMIF(Familias!C:C,G343,Familias!E:E))</f>
        <v/>
      </c>
      <c r="I343" s="4" t="str">
        <f>IF(A343="","",COUNTIF(Prod_Prop!B:B,A343))</f>
        <v/>
      </c>
      <c r="J343" s="92" t="str">
        <f>IF(E343="","",IF(SUMIF(Precio_Productos!L:L,E343,Precio_Productos!J:J)=0,"Falta Precio",SUMIF(Precio_Productos!L:L,E343,Precio_Productos!J:J)))</f>
        <v/>
      </c>
      <c r="O343" s="86"/>
      <c r="P343" s="86" t="str">
        <f>IFERROR(__xludf.DUMMYFUNCTION("IF(OR(F343=""Selecciona.."",F343=""""),"""",TRANSPOSE(filter(Familias!C:C,Familias!D:D=F343)))"),"")</f>
        <v/>
      </c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</row>
    <row r="344">
      <c r="A344" s="4" t="str">
        <f t="shared" si="1"/>
        <v/>
      </c>
      <c r="B344" s="4"/>
      <c r="C344" s="4"/>
      <c r="D344" s="4"/>
      <c r="E344" s="94"/>
      <c r="F344" s="4" t="str">
        <f t="shared" si="2"/>
        <v/>
      </c>
      <c r="G344" s="2" t="str">
        <f t="shared" si="3"/>
        <v/>
      </c>
      <c r="H344" s="2" t="str">
        <f>IF(G344="","",SUMIF(Familias!C:C,G344,Familias!E:E))</f>
        <v/>
      </c>
      <c r="I344" s="4" t="str">
        <f>IF(A344="","",COUNTIF(Prod_Prop!B:B,A344))</f>
        <v/>
      </c>
      <c r="J344" s="92" t="str">
        <f>IF(E344="","",IF(SUMIF(Precio_Productos!L:L,E344,Precio_Productos!J:J)=0,"Falta Precio",SUMIF(Precio_Productos!L:L,E344,Precio_Productos!J:J)))</f>
        <v/>
      </c>
      <c r="O344" s="86"/>
      <c r="P344" s="86" t="str">
        <f>IFERROR(__xludf.DUMMYFUNCTION("IF(OR(F344=""Selecciona.."",F344=""""),"""",TRANSPOSE(filter(Familias!C:C,Familias!D:D=F344)))"),"")</f>
        <v/>
      </c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</row>
    <row r="345">
      <c r="A345" s="4" t="str">
        <f t="shared" si="1"/>
        <v/>
      </c>
      <c r="B345" s="4"/>
      <c r="C345" s="4"/>
      <c r="D345" s="4"/>
      <c r="E345" s="94"/>
      <c r="F345" s="4" t="str">
        <f t="shared" si="2"/>
        <v/>
      </c>
      <c r="G345" s="2" t="str">
        <f t="shared" si="3"/>
        <v/>
      </c>
      <c r="H345" s="2" t="str">
        <f>IF(G345="","",SUMIF(Familias!C:C,G345,Familias!E:E))</f>
        <v/>
      </c>
      <c r="I345" s="4" t="str">
        <f>IF(A345="","",COUNTIF(Prod_Prop!B:B,A345))</f>
        <v/>
      </c>
      <c r="J345" s="92" t="str">
        <f>IF(E345="","",IF(SUMIF(Precio_Productos!L:L,E345,Precio_Productos!J:J)=0,"Falta Precio",SUMIF(Precio_Productos!L:L,E345,Precio_Productos!J:J)))</f>
        <v/>
      </c>
      <c r="O345" s="86"/>
      <c r="P345" s="86" t="str">
        <f>IFERROR(__xludf.DUMMYFUNCTION("IF(OR(F345=""Selecciona.."",F345=""""),"""",TRANSPOSE(filter(Familias!C:C,Familias!D:D=F345)))"),"")</f>
        <v/>
      </c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</row>
    <row r="346">
      <c r="A346" s="4" t="str">
        <f t="shared" si="1"/>
        <v/>
      </c>
      <c r="B346" s="4"/>
      <c r="C346" s="4"/>
      <c r="D346" s="4"/>
      <c r="E346" s="94"/>
      <c r="F346" s="4" t="str">
        <f t="shared" si="2"/>
        <v/>
      </c>
      <c r="G346" s="2" t="str">
        <f t="shared" si="3"/>
        <v/>
      </c>
      <c r="H346" s="2" t="str">
        <f>IF(G346="","",SUMIF(Familias!C:C,G346,Familias!E:E))</f>
        <v/>
      </c>
      <c r="I346" s="4" t="str">
        <f>IF(A346="","",COUNTIF(Prod_Prop!B:B,A346))</f>
        <v/>
      </c>
      <c r="J346" s="92" t="str">
        <f>IF(E346="","",IF(SUMIF(Precio_Productos!L:L,E346,Precio_Productos!J:J)=0,"Falta Precio",SUMIF(Precio_Productos!L:L,E346,Precio_Productos!J:J)))</f>
        <v/>
      </c>
      <c r="O346" s="86"/>
      <c r="P346" s="86" t="str">
        <f>IFERROR(__xludf.DUMMYFUNCTION("IF(OR(F346=""Selecciona.."",F346=""""),"""",TRANSPOSE(filter(Familias!C:C,Familias!D:D=F346)))"),"")</f>
        <v/>
      </c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</row>
    <row r="347">
      <c r="A347" s="4" t="str">
        <f t="shared" si="1"/>
        <v/>
      </c>
      <c r="B347" s="4"/>
      <c r="C347" s="4"/>
      <c r="D347" s="4"/>
      <c r="E347" s="94"/>
      <c r="F347" s="4" t="str">
        <f t="shared" si="2"/>
        <v/>
      </c>
      <c r="G347" s="2" t="str">
        <f t="shared" si="3"/>
        <v/>
      </c>
      <c r="H347" s="2" t="str">
        <f>IF(G347="","",SUMIF(Familias!C:C,G347,Familias!E:E))</f>
        <v/>
      </c>
      <c r="I347" s="4" t="str">
        <f>IF(A347="","",COUNTIF(Prod_Prop!B:B,A347))</f>
        <v/>
      </c>
      <c r="J347" s="92" t="str">
        <f>IF(E347="","",IF(SUMIF(Precio_Productos!L:L,E347,Precio_Productos!J:J)=0,"Falta Precio",SUMIF(Precio_Productos!L:L,E347,Precio_Productos!J:J)))</f>
        <v/>
      </c>
      <c r="O347" s="86"/>
      <c r="P347" s="86" t="str">
        <f>IFERROR(__xludf.DUMMYFUNCTION("IF(OR(F347=""Selecciona.."",F347=""""),"""",TRANSPOSE(filter(Familias!C:C,Familias!D:D=F347)))"),"")</f>
        <v/>
      </c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</row>
    <row r="348">
      <c r="A348" s="4" t="str">
        <f t="shared" si="1"/>
        <v/>
      </c>
      <c r="B348" s="4"/>
      <c r="C348" s="4"/>
      <c r="D348" s="4"/>
      <c r="E348" s="94"/>
      <c r="F348" s="4" t="str">
        <f t="shared" si="2"/>
        <v/>
      </c>
      <c r="G348" s="2" t="str">
        <f t="shared" si="3"/>
        <v/>
      </c>
      <c r="H348" s="2" t="str">
        <f>IF(G348="","",SUMIF(Familias!C:C,G348,Familias!E:E))</f>
        <v/>
      </c>
      <c r="I348" s="4" t="str">
        <f>IF(A348="","",COUNTIF(Prod_Prop!B:B,A348))</f>
        <v/>
      </c>
      <c r="J348" s="92" t="str">
        <f>IF(E348="","",IF(SUMIF(Precio_Productos!L:L,E348,Precio_Productos!J:J)=0,"Falta Precio",SUMIF(Precio_Productos!L:L,E348,Precio_Productos!J:J)))</f>
        <v/>
      </c>
      <c r="O348" s="86"/>
      <c r="P348" s="86" t="str">
        <f>IFERROR(__xludf.DUMMYFUNCTION("IF(OR(F348=""Selecciona.."",F348=""""),"""",TRANSPOSE(filter(Familias!C:C,Familias!D:D=F348)))"),"")</f>
        <v/>
      </c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</row>
    <row r="349">
      <c r="A349" s="4" t="str">
        <f t="shared" si="1"/>
        <v/>
      </c>
      <c r="B349" s="4"/>
      <c r="C349" s="4"/>
      <c r="D349" s="4"/>
      <c r="E349" s="94"/>
      <c r="F349" s="4" t="str">
        <f t="shared" si="2"/>
        <v/>
      </c>
      <c r="G349" s="2" t="str">
        <f t="shared" si="3"/>
        <v/>
      </c>
      <c r="H349" s="2" t="str">
        <f>IF(G349="","",SUMIF(Familias!C:C,G349,Familias!E:E))</f>
        <v/>
      </c>
      <c r="I349" s="4" t="str">
        <f>IF(A349="","",COUNTIF(Prod_Prop!B:B,A349))</f>
        <v/>
      </c>
      <c r="J349" s="92" t="str">
        <f>IF(E349="","",IF(SUMIF(Precio_Productos!L:L,E349,Precio_Productos!J:J)=0,"Falta Precio",SUMIF(Precio_Productos!L:L,E349,Precio_Productos!J:J)))</f>
        <v/>
      </c>
      <c r="O349" s="86"/>
      <c r="P349" s="86" t="str">
        <f>IFERROR(__xludf.DUMMYFUNCTION("IF(OR(F349=""Selecciona.."",F349=""""),"""",TRANSPOSE(filter(Familias!C:C,Familias!D:D=F349)))"),"")</f>
        <v/>
      </c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</row>
    <row r="350">
      <c r="A350" s="4" t="str">
        <f t="shared" si="1"/>
        <v/>
      </c>
      <c r="B350" s="4"/>
      <c r="C350" s="4"/>
      <c r="D350" s="4"/>
      <c r="E350" s="94"/>
      <c r="F350" s="4" t="str">
        <f t="shared" si="2"/>
        <v/>
      </c>
      <c r="G350" s="2" t="str">
        <f t="shared" si="3"/>
        <v/>
      </c>
      <c r="H350" s="2" t="str">
        <f>IF(G350="","",SUMIF(Familias!C:C,G350,Familias!E:E))</f>
        <v/>
      </c>
      <c r="I350" s="4" t="str">
        <f>IF(A350="","",COUNTIF(Prod_Prop!B:B,A350))</f>
        <v/>
      </c>
      <c r="J350" s="92" t="str">
        <f>IF(E350="","",IF(SUMIF(Precio_Productos!L:L,E350,Precio_Productos!J:J)=0,"Falta Precio",SUMIF(Precio_Productos!L:L,E350,Precio_Productos!J:J)))</f>
        <v/>
      </c>
      <c r="O350" s="86"/>
      <c r="P350" s="86" t="str">
        <f>IFERROR(__xludf.DUMMYFUNCTION("IF(OR(F350=""Selecciona.."",F350=""""),"""",TRANSPOSE(filter(Familias!C:C,Familias!D:D=F350)))"),"")</f>
        <v/>
      </c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</row>
    <row r="351">
      <c r="A351" s="4" t="str">
        <f t="shared" si="1"/>
        <v/>
      </c>
      <c r="B351" s="4"/>
      <c r="C351" s="4"/>
      <c r="D351" s="4"/>
      <c r="E351" s="94"/>
      <c r="F351" s="4" t="str">
        <f t="shared" si="2"/>
        <v/>
      </c>
      <c r="G351" s="2" t="str">
        <f t="shared" si="3"/>
        <v/>
      </c>
      <c r="H351" s="2" t="str">
        <f>IF(G351="","",SUMIF(Familias!C:C,G351,Familias!E:E))</f>
        <v/>
      </c>
      <c r="I351" s="4" t="str">
        <f>IF(A351="","",COUNTIF(Prod_Prop!B:B,A351))</f>
        <v/>
      </c>
      <c r="J351" s="92" t="str">
        <f>IF(E351="","",IF(SUMIF(Precio_Productos!L:L,E351,Precio_Productos!J:J)=0,"Falta Precio",SUMIF(Precio_Productos!L:L,E351,Precio_Productos!J:J)))</f>
        <v/>
      </c>
      <c r="O351" s="86"/>
      <c r="P351" s="86" t="str">
        <f>IFERROR(__xludf.DUMMYFUNCTION("IF(OR(F351=""Selecciona.."",F351=""""),"""",TRANSPOSE(filter(Familias!C:C,Familias!D:D=F351)))"),"")</f>
        <v/>
      </c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</row>
    <row r="352">
      <c r="A352" s="4" t="str">
        <f t="shared" si="1"/>
        <v/>
      </c>
      <c r="B352" s="4"/>
      <c r="C352" s="4"/>
      <c r="D352" s="4"/>
      <c r="E352" s="94"/>
      <c r="F352" s="4" t="str">
        <f t="shared" si="2"/>
        <v/>
      </c>
      <c r="G352" s="2" t="str">
        <f t="shared" si="3"/>
        <v/>
      </c>
      <c r="H352" s="2" t="str">
        <f>IF(G352="","",SUMIF(Familias!C:C,G352,Familias!E:E))</f>
        <v/>
      </c>
      <c r="I352" s="4" t="str">
        <f>IF(A352="","",COUNTIF(Prod_Prop!B:B,A352))</f>
        <v/>
      </c>
      <c r="J352" s="92" t="str">
        <f>IF(E352="","",IF(SUMIF(Precio_Productos!L:L,E352,Precio_Productos!J:J)=0,"Falta Precio",SUMIF(Precio_Productos!L:L,E352,Precio_Productos!J:J)))</f>
        <v/>
      </c>
      <c r="O352" s="86"/>
      <c r="P352" s="86" t="str">
        <f>IFERROR(__xludf.DUMMYFUNCTION("IF(OR(F352=""Selecciona.."",F352=""""),"""",TRANSPOSE(filter(Familias!C:C,Familias!D:D=F352)))"),"")</f>
        <v/>
      </c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</row>
    <row r="353">
      <c r="A353" s="4" t="str">
        <f t="shared" si="1"/>
        <v/>
      </c>
      <c r="B353" s="4"/>
      <c r="C353" s="4"/>
      <c r="D353" s="4"/>
      <c r="E353" s="94"/>
      <c r="F353" s="4" t="str">
        <f t="shared" si="2"/>
        <v/>
      </c>
      <c r="G353" s="2" t="str">
        <f t="shared" si="3"/>
        <v/>
      </c>
      <c r="H353" s="2" t="str">
        <f>IF(G353="","",SUMIF(Familias!C:C,G353,Familias!E:E))</f>
        <v/>
      </c>
      <c r="I353" s="4" t="str">
        <f>IF(A353="","",COUNTIF(Prod_Prop!B:B,A353))</f>
        <v/>
      </c>
      <c r="J353" s="92" t="str">
        <f>IF(E353="","",IF(SUMIF(Precio_Productos!L:L,E353,Precio_Productos!J:J)=0,"Falta Precio",SUMIF(Precio_Productos!L:L,E353,Precio_Productos!J:J)))</f>
        <v/>
      </c>
      <c r="O353" s="86"/>
      <c r="P353" s="86" t="str">
        <f>IFERROR(__xludf.DUMMYFUNCTION("IF(OR(F353=""Selecciona.."",F353=""""),"""",TRANSPOSE(filter(Familias!C:C,Familias!D:D=F353)))"),"")</f>
        <v/>
      </c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</row>
    <row r="354">
      <c r="A354" s="4" t="str">
        <f t="shared" si="1"/>
        <v/>
      </c>
      <c r="B354" s="4"/>
      <c r="C354" s="4"/>
      <c r="D354" s="4"/>
      <c r="E354" s="94"/>
      <c r="F354" s="4" t="str">
        <f t="shared" si="2"/>
        <v/>
      </c>
      <c r="G354" s="2" t="str">
        <f t="shared" si="3"/>
        <v/>
      </c>
      <c r="H354" s="2" t="str">
        <f>IF(G354="","",SUMIF(Familias!C:C,G354,Familias!E:E))</f>
        <v/>
      </c>
      <c r="I354" s="4" t="str">
        <f>IF(A354="","",COUNTIF(Prod_Prop!B:B,A354))</f>
        <v/>
      </c>
      <c r="J354" s="92" t="str">
        <f>IF(E354="","",IF(SUMIF(Precio_Productos!L:L,E354,Precio_Productos!J:J)=0,"Falta Precio",SUMIF(Precio_Productos!L:L,E354,Precio_Productos!J:J)))</f>
        <v/>
      </c>
      <c r="O354" s="86"/>
      <c r="P354" s="86" t="str">
        <f>IFERROR(__xludf.DUMMYFUNCTION("IF(OR(F354=""Selecciona.."",F354=""""),"""",TRANSPOSE(filter(Familias!C:C,Familias!D:D=F354)))"),"")</f>
        <v/>
      </c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</row>
    <row r="355">
      <c r="A355" s="4" t="str">
        <f t="shared" si="1"/>
        <v/>
      </c>
      <c r="B355" s="4"/>
      <c r="C355" s="4"/>
      <c r="D355" s="4"/>
      <c r="E355" s="94"/>
      <c r="F355" s="4" t="str">
        <f t="shared" si="2"/>
        <v/>
      </c>
      <c r="G355" s="2" t="str">
        <f t="shared" si="3"/>
        <v/>
      </c>
      <c r="H355" s="2" t="str">
        <f>IF(G355="","",SUMIF(Familias!C:C,G355,Familias!E:E))</f>
        <v/>
      </c>
      <c r="I355" s="4" t="str">
        <f>IF(A355="","",COUNTIF(Prod_Prop!B:B,A355))</f>
        <v/>
      </c>
      <c r="J355" s="92" t="str">
        <f>IF(E355="","",IF(SUMIF(Precio_Productos!L:L,E355,Precio_Productos!J:J)=0,"Falta Precio",SUMIF(Precio_Productos!L:L,E355,Precio_Productos!J:J)))</f>
        <v/>
      </c>
      <c r="O355" s="86"/>
      <c r="P355" s="86" t="str">
        <f>IFERROR(__xludf.DUMMYFUNCTION("IF(OR(F355=""Selecciona.."",F355=""""),"""",TRANSPOSE(filter(Familias!C:C,Familias!D:D=F355)))"),"")</f>
        <v/>
      </c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</row>
    <row r="356">
      <c r="A356" s="4" t="str">
        <f t="shared" si="1"/>
        <v/>
      </c>
      <c r="B356" s="4"/>
      <c r="C356" s="4"/>
      <c r="D356" s="4"/>
      <c r="E356" s="94"/>
      <c r="F356" s="4" t="str">
        <f t="shared" si="2"/>
        <v/>
      </c>
      <c r="G356" s="2" t="str">
        <f t="shared" si="3"/>
        <v/>
      </c>
      <c r="H356" s="2" t="str">
        <f>IF(G356="","",SUMIF(Familias!C:C,G356,Familias!E:E))</f>
        <v/>
      </c>
      <c r="I356" s="4" t="str">
        <f>IF(A356="","",COUNTIF(Prod_Prop!B:B,A356))</f>
        <v/>
      </c>
      <c r="J356" s="92" t="str">
        <f>IF(E356="","",IF(SUMIF(Precio_Productos!L:L,E356,Precio_Productos!J:J)=0,"Falta Precio",SUMIF(Precio_Productos!L:L,E356,Precio_Productos!J:J)))</f>
        <v/>
      </c>
      <c r="O356" s="86"/>
      <c r="P356" s="86" t="str">
        <f>IFERROR(__xludf.DUMMYFUNCTION("IF(OR(F356=""Selecciona.."",F356=""""),"""",TRANSPOSE(filter(Familias!C:C,Familias!D:D=F356)))"),"")</f>
        <v/>
      </c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</row>
    <row r="357">
      <c r="A357" s="4" t="str">
        <f t="shared" si="1"/>
        <v/>
      </c>
      <c r="B357" s="4"/>
      <c r="C357" s="4"/>
      <c r="D357" s="4"/>
      <c r="E357" s="94"/>
      <c r="F357" s="4" t="str">
        <f t="shared" si="2"/>
        <v/>
      </c>
      <c r="G357" s="2" t="str">
        <f t="shared" si="3"/>
        <v/>
      </c>
      <c r="H357" s="2" t="str">
        <f>IF(G357="","",SUMIF(Familias!C:C,G357,Familias!E:E))</f>
        <v/>
      </c>
      <c r="I357" s="4" t="str">
        <f>IF(A357="","",COUNTIF(Prod_Prop!B:B,A357))</f>
        <v/>
      </c>
      <c r="J357" s="92" t="str">
        <f>IF(E357="","",IF(SUMIF(Precio_Productos!L:L,E357,Precio_Productos!J:J)=0,"Falta Precio",SUMIF(Precio_Productos!L:L,E357,Precio_Productos!J:J)))</f>
        <v/>
      </c>
      <c r="O357" s="86"/>
      <c r="P357" s="86" t="str">
        <f>IFERROR(__xludf.DUMMYFUNCTION("IF(OR(F357=""Selecciona.."",F357=""""),"""",TRANSPOSE(filter(Familias!C:C,Familias!D:D=F357)))"),"")</f>
        <v/>
      </c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</row>
    <row r="358">
      <c r="A358" s="4" t="str">
        <f t="shared" si="1"/>
        <v/>
      </c>
      <c r="B358" s="4"/>
      <c r="C358" s="4"/>
      <c r="D358" s="4"/>
      <c r="E358" s="94"/>
      <c r="F358" s="4" t="str">
        <f t="shared" si="2"/>
        <v/>
      </c>
      <c r="G358" s="2" t="str">
        <f t="shared" si="3"/>
        <v/>
      </c>
      <c r="H358" s="2" t="str">
        <f>IF(G358="","",SUMIF(Familias!C:C,G358,Familias!E:E))</f>
        <v/>
      </c>
      <c r="I358" s="4" t="str">
        <f>IF(A358="","",COUNTIF(Prod_Prop!B:B,A358))</f>
        <v/>
      </c>
      <c r="J358" s="92" t="str">
        <f>IF(E358="","",IF(SUMIF(Precio_Productos!L:L,E358,Precio_Productos!J:J)=0,"Falta Precio",SUMIF(Precio_Productos!L:L,E358,Precio_Productos!J:J)))</f>
        <v/>
      </c>
      <c r="O358" s="86"/>
      <c r="P358" s="86" t="str">
        <f>IFERROR(__xludf.DUMMYFUNCTION("IF(OR(F358=""Selecciona.."",F358=""""),"""",TRANSPOSE(filter(Familias!C:C,Familias!D:D=F358)))"),"")</f>
        <v/>
      </c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</row>
    <row r="359">
      <c r="A359" s="4" t="str">
        <f t="shared" si="1"/>
        <v/>
      </c>
      <c r="B359" s="4"/>
      <c r="C359" s="4"/>
      <c r="D359" s="4"/>
      <c r="E359" s="94"/>
      <c r="F359" s="4" t="str">
        <f t="shared" si="2"/>
        <v/>
      </c>
      <c r="G359" s="2" t="str">
        <f t="shared" si="3"/>
        <v/>
      </c>
      <c r="H359" s="2" t="str">
        <f>IF(G359="","",SUMIF(Familias!C:C,G359,Familias!E:E))</f>
        <v/>
      </c>
      <c r="I359" s="4" t="str">
        <f>IF(A359="","",COUNTIF(Prod_Prop!B:B,A359))</f>
        <v/>
      </c>
      <c r="J359" s="92" t="str">
        <f>IF(E359="","",IF(SUMIF(Precio_Productos!L:L,E359,Precio_Productos!J:J)=0,"Falta Precio",SUMIF(Precio_Productos!L:L,E359,Precio_Productos!J:J)))</f>
        <v/>
      </c>
      <c r="O359" s="86"/>
      <c r="P359" s="86" t="str">
        <f>IFERROR(__xludf.DUMMYFUNCTION("IF(OR(F359=""Selecciona.."",F359=""""),"""",TRANSPOSE(filter(Familias!C:C,Familias!D:D=F359)))"),"")</f>
        <v/>
      </c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</row>
    <row r="360">
      <c r="A360" s="4" t="str">
        <f t="shared" si="1"/>
        <v/>
      </c>
      <c r="B360" s="4"/>
      <c r="C360" s="4"/>
      <c r="D360" s="4"/>
      <c r="E360" s="94"/>
      <c r="F360" s="4" t="str">
        <f t="shared" si="2"/>
        <v/>
      </c>
      <c r="G360" s="2" t="str">
        <f t="shared" si="3"/>
        <v/>
      </c>
      <c r="H360" s="2" t="str">
        <f>IF(G360="","",SUMIF(Familias!C:C,G360,Familias!E:E))</f>
        <v/>
      </c>
      <c r="I360" s="4" t="str">
        <f>IF(A360="","",COUNTIF(Prod_Prop!B:B,A360))</f>
        <v/>
      </c>
      <c r="J360" s="92" t="str">
        <f>IF(E360="","",IF(SUMIF(Precio_Productos!L:L,E360,Precio_Productos!J:J)=0,"Falta Precio",SUMIF(Precio_Productos!L:L,E360,Precio_Productos!J:J)))</f>
        <v/>
      </c>
      <c r="O360" s="86"/>
      <c r="P360" s="86" t="str">
        <f>IFERROR(__xludf.DUMMYFUNCTION("IF(OR(F360=""Selecciona.."",F360=""""),"""",TRANSPOSE(filter(Familias!C:C,Familias!D:D=F360)))"),"")</f>
        <v/>
      </c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</row>
    <row r="361">
      <c r="A361" s="4" t="str">
        <f t="shared" si="1"/>
        <v/>
      </c>
      <c r="B361" s="4"/>
      <c r="C361" s="4"/>
      <c r="D361" s="4"/>
      <c r="E361" s="94"/>
      <c r="F361" s="4" t="str">
        <f t="shared" si="2"/>
        <v/>
      </c>
      <c r="G361" s="2" t="str">
        <f t="shared" si="3"/>
        <v/>
      </c>
      <c r="H361" s="2" t="str">
        <f>IF(G361="","",SUMIF(Familias!C:C,G361,Familias!E:E))</f>
        <v/>
      </c>
      <c r="I361" s="4" t="str">
        <f>IF(A361="","",COUNTIF(Prod_Prop!B:B,A361))</f>
        <v/>
      </c>
      <c r="J361" s="92" t="str">
        <f>IF(E361="","",IF(SUMIF(Precio_Productos!L:L,E361,Precio_Productos!J:J)=0,"Falta Precio",SUMIF(Precio_Productos!L:L,E361,Precio_Productos!J:J)))</f>
        <v/>
      </c>
      <c r="O361" s="86"/>
      <c r="P361" s="86" t="str">
        <f>IFERROR(__xludf.DUMMYFUNCTION("IF(OR(F361=""Selecciona.."",F361=""""),"""",TRANSPOSE(filter(Familias!C:C,Familias!D:D=F361)))"),"")</f>
        <v/>
      </c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</row>
    <row r="362">
      <c r="A362" s="4" t="str">
        <f t="shared" si="1"/>
        <v/>
      </c>
      <c r="B362" s="4"/>
      <c r="C362" s="4"/>
      <c r="D362" s="4"/>
      <c r="E362" s="94"/>
      <c r="F362" s="4" t="str">
        <f t="shared" si="2"/>
        <v/>
      </c>
      <c r="G362" s="2" t="str">
        <f t="shared" si="3"/>
        <v/>
      </c>
      <c r="H362" s="2" t="str">
        <f>IF(G362="","",SUMIF(Familias!C:C,G362,Familias!E:E))</f>
        <v/>
      </c>
      <c r="I362" s="4" t="str">
        <f>IF(A362="","",COUNTIF(Prod_Prop!B:B,A362))</f>
        <v/>
      </c>
      <c r="J362" s="92" t="str">
        <f>IF(E362="","",IF(SUMIF(Precio_Productos!L:L,E362,Precio_Productos!J:J)=0,"Falta Precio",SUMIF(Precio_Productos!L:L,E362,Precio_Productos!J:J)))</f>
        <v/>
      </c>
      <c r="O362" s="86"/>
      <c r="P362" s="86" t="str">
        <f>IFERROR(__xludf.DUMMYFUNCTION("IF(OR(F362=""Selecciona.."",F362=""""),"""",TRANSPOSE(filter(Familias!C:C,Familias!D:D=F362)))"),"")</f>
        <v/>
      </c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</row>
    <row r="363">
      <c r="A363" s="4" t="str">
        <f t="shared" si="1"/>
        <v/>
      </c>
      <c r="B363" s="4"/>
      <c r="C363" s="4"/>
      <c r="D363" s="4"/>
      <c r="E363" s="94"/>
      <c r="F363" s="4" t="str">
        <f t="shared" si="2"/>
        <v/>
      </c>
      <c r="G363" s="2" t="str">
        <f t="shared" si="3"/>
        <v/>
      </c>
      <c r="H363" s="2" t="str">
        <f>IF(G363="","",SUMIF(Familias!C:C,G363,Familias!E:E))</f>
        <v/>
      </c>
      <c r="I363" s="4" t="str">
        <f>IF(A363="","",COUNTIF(Prod_Prop!B:B,A363))</f>
        <v/>
      </c>
      <c r="J363" s="92" t="str">
        <f>IF(E363="","",IF(SUMIF(Precio_Productos!L:L,E363,Precio_Productos!J:J)=0,"Falta Precio",SUMIF(Precio_Productos!L:L,E363,Precio_Productos!J:J)))</f>
        <v/>
      </c>
      <c r="O363" s="86"/>
      <c r="P363" s="86" t="str">
        <f>IFERROR(__xludf.DUMMYFUNCTION("IF(OR(F363=""Selecciona.."",F363=""""),"""",TRANSPOSE(filter(Familias!C:C,Familias!D:D=F363)))"),"")</f>
        <v/>
      </c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</row>
    <row r="364">
      <c r="A364" s="4" t="str">
        <f t="shared" si="1"/>
        <v/>
      </c>
      <c r="B364" s="4"/>
      <c r="C364" s="4"/>
      <c r="D364" s="4"/>
      <c r="E364" s="94"/>
      <c r="F364" s="4" t="str">
        <f t="shared" si="2"/>
        <v/>
      </c>
      <c r="G364" s="2" t="str">
        <f t="shared" si="3"/>
        <v/>
      </c>
      <c r="H364" s="2" t="str">
        <f>IF(G364="","",SUMIF(Familias!C:C,G364,Familias!E:E))</f>
        <v/>
      </c>
      <c r="I364" s="4" t="str">
        <f>IF(A364="","",COUNTIF(Prod_Prop!B:B,A364))</f>
        <v/>
      </c>
      <c r="J364" s="92" t="str">
        <f>IF(E364="","",IF(SUMIF(Precio_Productos!L:L,E364,Precio_Productos!J:J)=0,"Falta Precio",SUMIF(Precio_Productos!L:L,E364,Precio_Productos!J:J)))</f>
        <v/>
      </c>
      <c r="O364" s="86"/>
      <c r="P364" s="86" t="str">
        <f>IFERROR(__xludf.DUMMYFUNCTION("IF(OR(F364=""Selecciona.."",F364=""""),"""",TRANSPOSE(filter(Familias!C:C,Familias!D:D=F364)))"),"")</f>
        <v/>
      </c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</row>
    <row r="365">
      <c r="A365" s="4" t="str">
        <f t="shared" si="1"/>
        <v/>
      </c>
      <c r="B365" s="4"/>
      <c r="C365" s="4"/>
      <c r="D365" s="4"/>
      <c r="E365" s="94"/>
      <c r="F365" s="4" t="str">
        <f t="shared" si="2"/>
        <v/>
      </c>
      <c r="G365" s="2" t="str">
        <f t="shared" si="3"/>
        <v/>
      </c>
      <c r="H365" s="2" t="str">
        <f>IF(G365="","",SUMIF(Familias!C:C,G365,Familias!E:E))</f>
        <v/>
      </c>
      <c r="I365" s="4" t="str">
        <f>IF(A365="","",COUNTIF(Prod_Prop!B:B,A365))</f>
        <v/>
      </c>
      <c r="J365" s="92" t="str">
        <f>IF(E365="","",IF(SUMIF(Precio_Productos!L:L,E365,Precio_Productos!J:J)=0,"Falta Precio",SUMIF(Precio_Productos!L:L,E365,Precio_Productos!J:J)))</f>
        <v/>
      </c>
      <c r="O365" s="86"/>
      <c r="P365" s="86" t="str">
        <f>IFERROR(__xludf.DUMMYFUNCTION("IF(OR(F365=""Selecciona.."",F365=""""),"""",TRANSPOSE(filter(Familias!C:C,Familias!D:D=F365)))"),"")</f>
        <v/>
      </c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</row>
    <row r="366">
      <c r="A366" s="4" t="str">
        <f t="shared" si="1"/>
        <v/>
      </c>
      <c r="B366" s="4"/>
      <c r="C366" s="4"/>
      <c r="D366" s="4"/>
      <c r="E366" s="94"/>
      <c r="F366" s="4" t="str">
        <f t="shared" si="2"/>
        <v/>
      </c>
      <c r="G366" s="2" t="str">
        <f t="shared" si="3"/>
        <v/>
      </c>
      <c r="H366" s="2" t="str">
        <f>IF(G366="","",SUMIF(Familias!C:C,G366,Familias!E:E))</f>
        <v/>
      </c>
      <c r="I366" s="4" t="str">
        <f>IF(A366="","",COUNTIF(Prod_Prop!B:B,A366))</f>
        <v/>
      </c>
      <c r="J366" s="92" t="str">
        <f>IF(E366="","",IF(SUMIF(Precio_Productos!L:L,E366,Precio_Productos!J:J)=0,"Falta Precio",SUMIF(Precio_Productos!L:L,E366,Precio_Productos!J:J)))</f>
        <v/>
      </c>
      <c r="O366" s="86"/>
      <c r="P366" s="86" t="str">
        <f>IFERROR(__xludf.DUMMYFUNCTION("IF(OR(F366=""Selecciona.."",F366=""""),"""",TRANSPOSE(filter(Familias!C:C,Familias!D:D=F366)))"),"")</f>
        <v/>
      </c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</row>
    <row r="367">
      <c r="A367" s="4" t="str">
        <f t="shared" si="1"/>
        <v/>
      </c>
      <c r="B367" s="4"/>
      <c r="C367" s="4"/>
      <c r="D367" s="4"/>
      <c r="E367" s="94"/>
      <c r="F367" s="4" t="str">
        <f t="shared" si="2"/>
        <v/>
      </c>
      <c r="G367" s="2" t="str">
        <f t="shared" si="3"/>
        <v/>
      </c>
      <c r="H367" s="2" t="str">
        <f>IF(G367="","",SUMIF(Familias!C:C,G367,Familias!E:E))</f>
        <v/>
      </c>
      <c r="I367" s="4" t="str">
        <f>IF(A367="","",COUNTIF(Prod_Prop!B:B,A367))</f>
        <v/>
      </c>
      <c r="J367" s="92" t="str">
        <f>IF(E367="","",IF(SUMIF(Precio_Productos!L:L,E367,Precio_Productos!J:J)=0,"Falta Precio",SUMIF(Precio_Productos!L:L,E367,Precio_Productos!J:J)))</f>
        <v/>
      </c>
      <c r="O367" s="86"/>
      <c r="P367" s="86" t="str">
        <f>IFERROR(__xludf.DUMMYFUNCTION("IF(OR(F367=""Selecciona.."",F367=""""),"""",TRANSPOSE(filter(Familias!C:C,Familias!D:D=F367)))"),"")</f>
        <v/>
      </c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</row>
    <row r="368">
      <c r="A368" s="4" t="str">
        <f t="shared" si="1"/>
        <v/>
      </c>
      <c r="B368" s="4"/>
      <c r="C368" s="4"/>
      <c r="D368" s="4"/>
      <c r="E368" s="94"/>
      <c r="F368" s="4" t="str">
        <f t="shared" si="2"/>
        <v/>
      </c>
      <c r="G368" s="2" t="str">
        <f t="shared" si="3"/>
        <v/>
      </c>
      <c r="H368" s="2" t="str">
        <f>IF(G368="","",SUMIF(Familias!C:C,G368,Familias!E:E))</f>
        <v/>
      </c>
      <c r="I368" s="4" t="str">
        <f>IF(A368="","",COUNTIF(Prod_Prop!B:B,A368))</f>
        <v/>
      </c>
      <c r="J368" s="92" t="str">
        <f>IF(E368="","",IF(SUMIF(Precio_Productos!L:L,E368,Precio_Productos!J:J)=0,"Falta Precio",SUMIF(Precio_Productos!L:L,E368,Precio_Productos!J:J)))</f>
        <v/>
      </c>
      <c r="O368" s="86"/>
      <c r="P368" s="86" t="str">
        <f>IFERROR(__xludf.DUMMYFUNCTION("IF(OR(F368=""Selecciona.."",F368=""""),"""",TRANSPOSE(filter(Familias!C:C,Familias!D:D=F368)))"),"")</f>
        <v/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</row>
    <row r="369">
      <c r="A369" s="4" t="str">
        <f t="shared" si="1"/>
        <v/>
      </c>
      <c r="B369" s="4"/>
      <c r="C369" s="4"/>
      <c r="D369" s="4"/>
      <c r="E369" s="94"/>
      <c r="F369" s="4" t="str">
        <f t="shared" si="2"/>
        <v/>
      </c>
      <c r="G369" s="2" t="str">
        <f t="shared" si="3"/>
        <v/>
      </c>
      <c r="H369" s="2" t="str">
        <f>IF(G369="","",SUMIF(Familias!C:C,G369,Familias!E:E))</f>
        <v/>
      </c>
      <c r="I369" s="4" t="str">
        <f>IF(A369="","",COUNTIF(Prod_Prop!B:B,A369))</f>
        <v/>
      </c>
      <c r="J369" s="92" t="str">
        <f>IF(E369="","",IF(SUMIF(Precio_Productos!L:L,E369,Precio_Productos!J:J)=0,"Falta Precio",SUMIF(Precio_Productos!L:L,E369,Precio_Productos!J:J)))</f>
        <v/>
      </c>
      <c r="O369" s="86"/>
      <c r="P369" s="86" t="str">
        <f>IFERROR(__xludf.DUMMYFUNCTION("IF(OR(F369=""Selecciona.."",F369=""""),"""",TRANSPOSE(filter(Familias!C:C,Familias!D:D=F369)))"),"")</f>
        <v/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</row>
    <row r="370">
      <c r="A370" s="4" t="str">
        <f t="shared" si="1"/>
        <v/>
      </c>
      <c r="B370" s="4"/>
      <c r="C370" s="4"/>
      <c r="D370" s="4"/>
      <c r="E370" s="94"/>
      <c r="F370" s="4" t="str">
        <f t="shared" si="2"/>
        <v/>
      </c>
      <c r="G370" s="2" t="str">
        <f t="shared" si="3"/>
        <v/>
      </c>
      <c r="H370" s="2" t="str">
        <f>IF(G370="","",SUMIF(Familias!C:C,G370,Familias!E:E))</f>
        <v/>
      </c>
      <c r="I370" s="4" t="str">
        <f>IF(A370="","",COUNTIF(Prod_Prop!B:B,A370))</f>
        <v/>
      </c>
      <c r="J370" s="92" t="str">
        <f>IF(E370="","",IF(SUMIF(Precio_Productos!L:L,E370,Precio_Productos!J:J)=0,"Falta Precio",SUMIF(Precio_Productos!L:L,E370,Precio_Productos!J:J)))</f>
        <v/>
      </c>
      <c r="O370" s="86"/>
      <c r="P370" s="86" t="str">
        <f>IFERROR(__xludf.DUMMYFUNCTION("IF(OR(F370=""Selecciona.."",F370=""""),"""",TRANSPOSE(filter(Familias!C:C,Familias!D:D=F370)))"),"")</f>
        <v/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</row>
    <row r="371">
      <c r="A371" s="4" t="str">
        <f t="shared" si="1"/>
        <v/>
      </c>
      <c r="B371" s="4"/>
      <c r="C371" s="4"/>
      <c r="D371" s="4"/>
      <c r="E371" s="94"/>
      <c r="F371" s="4" t="str">
        <f t="shared" si="2"/>
        <v/>
      </c>
      <c r="G371" s="2" t="str">
        <f t="shared" si="3"/>
        <v/>
      </c>
      <c r="H371" s="2" t="str">
        <f>IF(G371="","",SUMIF(Familias!C:C,G371,Familias!E:E))</f>
        <v/>
      </c>
      <c r="I371" s="4" t="str">
        <f>IF(A371="","",COUNTIF(Prod_Prop!B:B,A371))</f>
        <v/>
      </c>
      <c r="J371" s="92" t="str">
        <f>IF(E371="","",IF(SUMIF(Precio_Productos!L:L,E371,Precio_Productos!J:J)=0,"Falta Precio",SUMIF(Precio_Productos!L:L,E371,Precio_Productos!J:J)))</f>
        <v/>
      </c>
      <c r="O371" s="86"/>
      <c r="P371" s="86" t="str">
        <f>IFERROR(__xludf.DUMMYFUNCTION("IF(OR(F371=""Selecciona.."",F371=""""),"""",TRANSPOSE(filter(Familias!C:C,Familias!D:D=F371)))"),"")</f>
        <v/>
      </c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</row>
    <row r="372">
      <c r="A372" s="4" t="str">
        <f t="shared" si="1"/>
        <v/>
      </c>
      <c r="B372" s="4"/>
      <c r="C372" s="4"/>
      <c r="D372" s="4"/>
      <c r="E372" s="94"/>
      <c r="F372" s="4" t="str">
        <f t="shared" si="2"/>
        <v/>
      </c>
      <c r="G372" s="2" t="str">
        <f t="shared" si="3"/>
        <v/>
      </c>
      <c r="H372" s="2" t="str">
        <f>IF(G372="","",SUMIF(Familias!C:C,G372,Familias!E:E))</f>
        <v/>
      </c>
      <c r="I372" s="4" t="str">
        <f>IF(A372="","",COUNTIF(Prod_Prop!B:B,A372))</f>
        <v/>
      </c>
      <c r="J372" s="92" t="str">
        <f>IF(E372="","",IF(SUMIF(Precio_Productos!L:L,E372,Precio_Productos!J:J)=0,"Falta Precio",SUMIF(Precio_Productos!L:L,E372,Precio_Productos!J:J)))</f>
        <v/>
      </c>
      <c r="O372" s="86"/>
      <c r="P372" s="86" t="str">
        <f>IFERROR(__xludf.DUMMYFUNCTION("IF(OR(F372=""Selecciona.."",F372=""""),"""",TRANSPOSE(filter(Familias!C:C,Familias!D:D=F372)))"),"")</f>
        <v/>
      </c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</row>
    <row r="373">
      <c r="A373" s="4" t="str">
        <f t="shared" si="1"/>
        <v/>
      </c>
      <c r="B373" s="4"/>
      <c r="C373" s="4"/>
      <c r="D373" s="4"/>
      <c r="E373" s="94"/>
      <c r="F373" s="4" t="str">
        <f t="shared" si="2"/>
        <v/>
      </c>
      <c r="G373" s="2" t="str">
        <f t="shared" si="3"/>
        <v/>
      </c>
      <c r="H373" s="2" t="str">
        <f>IF(G373="","",SUMIF(Familias!C:C,G373,Familias!E:E))</f>
        <v/>
      </c>
      <c r="I373" s="4" t="str">
        <f>IF(A373="","",COUNTIF(Prod_Prop!B:B,A373))</f>
        <v/>
      </c>
      <c r="J373" s="92" t="str">
        <f>IF(E373="","",IF(SUMIF(Precio_Productos!L:L,E373,Precio_Productos!J:J)=0,"Falta Precio",SUMIF(Precio_Productos!L:L,E373,Precio_Productos!J:J)))</f>
        <v/>
      </c>
      <c r="O373" s="86"/>
      <c r="P373" s="86" t="str">
        <f>IFERROR(__xludf.DUMMYFUNCTION("IF(OR(F373=""Selecciona.."",F373=""""),"""",TRANSPOSE(filter(Familias!C:C,Familias!D:D=F373)))"),"")</f>
        <v/>
      </c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</row>
    <row r="374">
      <c r="A374" s="4" t="str">
        <f t="shared" si="1"/>
        <v/>
      </c>
      <c r="B374" s="4"/>
      <c r="C374" s="4"/>
      <c r="D374" s="4"/>
      <c r="E374" s="94"/>
      <c r="F374" s="4" t="str">
        <f t="shared" si="2"/>
        <v/>
      </c>
      <c r="G374" s="2" t="str">
        <f t="shared" si="3"/>
        <v/>
      </c>
      <c r="H374" s="2" t="str">
        <f>IF(G374="","",SUMIF(Familias!C:C,G374,Familias!E:E))</f>
        <v/>
      </c>
      <c r="I374" s="4" t="str">
        <f>IF(A374="","",COUNTIF(Prod_Prop!B:B,A374))</f>
        <v/>
      </c>
      <c r="J374" s="92" t="str">
        <f>IF(E374="","",IF(SUMIF(Precio_Productos!L:L,E374,Precio_Productos!J:J)=0,"Falta Precio",SUMIF(Precio_Productos!L:L,E374,Precio_Productos!J:J)))</f>
        <v/>
      </c>
      <c r="O374" s="86"/>
      <c r="P374" s="86" t="str">
        <f>IFERROR(__xludf.DUMMYFUNCTION("IF(OR(F374=""Selecciona.."",F374=""""),"""",TRANSPOSE(filter(Familias!C:C,Familias!D:D=F374)))"),"")</f>
        <v/>
      </c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</row>
    <row r="375">
      <c r="A375" s="4" t="str">
        <f t="shared" si="1"/>
        <v/>
      </c>
      <c r="B375" s="4"/>
      <c r="C375" s="4"/>
      <c r="D375" s="4"/>
      <c r="E375" s="94"/>
      <c r="F375" s="4" t="str">
        <f t="shared" si="2"/>
        <v/>
      </c>
      <c r="G375" s="2" t="str">
        <f t="shared" si="3"/>
        <v/>
      </c>
      <c r="H375" s="2" t="str">
        <f>IF(G375="","",SUMIF(Familias!C:C,G375,Familias!E:E))</f>
        <v/>
      </c>
      <c r="I375" s="4" t="str">
        <f>IF(A375="","",COUNTIF(Prod_Prop!B:B,A375))</f>
        <v/>
      </c>
      <c r="J375" s="92" t="str">
        <f>IF(E375="","",IF(SUMIF(Precio_Productos!L:L,E375,Precio_Productos!J:J)=0,"Falta Precio",SUMIF(Precio_Productos!L:L,E375,Precio_Productos!J:J)))</f>
        <v/>
      </c>
      <c r="O375" s="86"/>
      <c r="P375" s="86" t="str">
        <f>IFERROR(__xludf.DUMMYFUNCTION("IF(OR(F375=""Selecciona.."",F375=""""),"""",TRANSPOSE(filter(Familias!C:C,Familias!D:D=F375)))"),"")</f>
        <v/>
      </c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</row>
    <row r="376">
      <c r="A376" s="4" t="str">
        <f t="shared" si="1"/>
        <v/>
      </c>
      <c r="B376" s="4"/>
      <c r="C376" s="4"/>
      <c r="D376" s="4"/>
      <c r="E376" s="94"/>
      <c r="F376" s="4" t="str">
        <f t="shared" si="2"/>
        <v/>
      </c>
      <c r="G376" s="2" t="str">
        <f t="shared" si="3"/>
        <v/>
      </c>
      <c r="H376" s="2" t="str">
        <f>IF(G376="","",SUMIF(Familias!C:C,G376,Familias!E:E))</f>
        <v/>
      </c>
      <c r="I376" s="4" t="str">
        <f>IF(A376="","",COUNTIF(Prod_Prop!B:B,A376))</f>
        <v/>
      </c>
      <c r="J376" s="92" t="str">
        <f>IF(E376="","",IF(SUMIF(Precio_Productos!L:L,E376,Precio_Productos!J:J)=0,"Falta Precio",SUMIF(Precio_Productos!L:L,E376,Precio_Productos!J:J)))</f>
        <v/>
      </c>
      <c r="O376" s="86"/>
      <c r="P376" s="86" t="str">
        <f>IFERROR(__xludf.DUMMYFUNCTION("IF(OR(F376=""Selecciona.."",F376=""""),"""",TRANSPOSE(filter(Familias!C:C,Familias!D:D=F376)))"),"")</f>
        <v/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</row>
    <row r="377">
      <c r="A377" s="4" t="str">
        <f t="shared" si="1"/>
        <v/>
      </c>
      <c r="B377" s="4"/>
      <c r="C377" s="4"/>
      <c r="D377" s="4"/>
      <c r="E377" s="94"/>
      <c r="F377" s="4" t="str">
        <f t="shared" si="2"/>
        <v/>
      </c>
      <c r="G377" s="2" t="str">
        <f t="shared" si="3"/>
        <v/>
      </c>
      <c r="H377" s="2" t="str">
        <f>IF(G377="","",SUMIF(Familias!C:C,G377,Familias!E:E))</f>
        <v/>
      </c>
      <c r="I377" s="4" t="str">
        <f>IF(A377="","",COUNTIF(Prod_Prop!B:B,A377))</f>
        <v/>
      </c>
      <c r="J377" s="92" t="str">
        <f>IF(E377="","",IF(SUMIF(Precio_Productos!L:L,E377,Precio_Productos!J:J)=0,"Falta Precio",SUMIF(Precio_Productos!L:L,E377,Precio_Productos!J:J)))</f>
        <v/>
      </c>
      <c r="O377" s="86"/>
      <c r="P377" s="86" t="str">
        <f>IFERROR(__xludf.DUMMYFUNCTION("IF(OR(F377=""Selecciona.."",F377=""""),"""",TRANSPOSE(filter(Familias!C:C,Familias!D:D=F377)))"),"")</f>
        <v/>
      </c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</row>
    <row r="378">
      <c r="A378" s="4" t="str">
        <f t="shared" si="1"/>
        <v/>
      </c>
      <c r="B378" s="4"/>
      <c r="C378" s="4"/>
      <c r="D378" s="4"/>
      <c r="E378" s="94"/>
      <c r="F378" s="4" t="str">
        <f t="shared" si="2"/>
        <v/>
      </c>
      <c r="G378" s="2" t="str">
        <f t="shared" si="3"/>
        <v/>
      </c>
      <c r="H378" s="2" t="str">
        <f>IF(G378="","",SUMIF(Familias!C:C,G378,Familias!E:E))</f>
        <v/>
      </c>
      <c r="I378" s="4" t="str">
        <f>IF(A378="","",COUNTIF(Prod_Prop!B:B,A378))</f>
        <v/>
      </c>
      <c r="J378" s="92" t="str">
        <f>IF(E378="","",IF(SUMIF(Precio_Productos!L:L,E378,Precio_Productos!J:J)=0,"Falta Precio",SUMIF(Precio_Productos!L:L,E378,Precio_Productos!J:J)))</f>
        <v/>
      </c>
      <c r="O378" s="86"/>
      <c r="P378" s="86" t="str">
        <f>IFERROR(__xludf.DUMMYFUNCTION("IF(OR(F378=""Selecciona.."",F378=""""),"""",TRANSPOSE(filter(Familias!C:C,Familias!D:D=F378)))"),"")</f>
        <v/>
      </c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</row>
    <row r="379">
      <c r="A379" s="4" t="str">
        <f t="shared" si="1"/>
        <v/>
      </c>
      <c r="B379" s="4"/>
      <c r="C379" s="4"/>
      <c r="D379" s="4"/>
      <c r="E379" s="94"/>
      <c r="F379" s="4" t="str">
        <f t="shared" si="2"/>
        <v/>
      </c>
      <c r="G379" s="2" t="str">
        <f t="shared" si="3"/>
        <v/>
      </c>
      <c r="H379" s="2" t="str">
        <f>IF(G379="","",SUMIF(Familias!C:C,G379,Familias!E:E))</f>
        <v/>
      </c>
      <c r="I379" s="4" t="str">
        <f>IF(A379="","",COUNTIF(Prod_Prop!B:B,A379))</f>
        <v/>
      </c>
      <c r="J379" s="92" t="str">
        <f>IF(E379="","",IF(SUMIF(Precio_Productos!L:L,E379,Precio_Productos!J:J)=0,"Falta Precio",SUMIF(Precio_Productos!L:L,E379,Precio_Productos!J:J)))</f>
        <v/>
      </c>
      <c r="O379" s="86"/>
      <c r="P379" s="86" t="str">
        <f>IFERROR(__xludf.DUMMYFUNCTION("IF(OR(F379=""Selecciona.."",F379=""""),"""",TRANSPOSE(filter(Familias!C:C,Familias!D:D=F379)))"),"")</f>
        <v/>
      </c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</row>
    <row r="380">
      <c r="A380" s="4" t="str">
        <f t="shared" si="1"/>
        <v/>
      </c>
      <c r="B380" s="4"/>
      <c r="C380" s="4"/>
      <c r="D380" s="4"/>
      <c r="E380" s="94"/>
      <c r="F380" s="4" t="str">
        <f t="shared" si="2"/>
        <v/>
      </c>
      <c r="G380" s="2" t="str">
        <f t="shared" si="3"/>
        <v/>
      </c>
      <c r="H380" s="2" t="str">
        <f>IF(G380="","",SUMIF(Familias!C:C,G380,Familias!E:E))</f>
        <v/>
      </c>
      <c r="I380" s="4" t="str">
        <f>IF(A380="","",COUNTIF(Prod_Prop!B:B,A380))</f>
        <v/>
      </c>
      <c r="J380" s="92" t="str">
        <f>IF(E380="","",IF(SUMIF(Precio_Productos!L:L,E380,Precio_Productos!J:J)=0,"Falta Precio",SUMIF(Precio_Productos!L:L,E380,Precio_Productos!J:J)))</f>
        <v/>
      </c>
      <c r="O380" s="86"/>
      <c r="P380" s="86" t="str">
        <f>IFERROR(__xludf.DUMMYFUNCTION("IF(OR(F380=""Selecciona.."",F380=""""),"""",TRANSPOSE(filter(Familias!C:C,Familias!D:D=F380)))"),"")</f>
        <v/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</row>
    <row r="381">
      <c r="A381" s="4" t="str">
        <f t="shared" si="1"/>
        <v/>
      </c>
      <c r="B381" s="4"/>
      <c r="C381" s="4"/>
      <c r="D381" s="4"/>
      <c r="E381" s="94"/>
      <c r="F381" s="4" t="str">
        <f t="shared" si="2"/>
        <v/>
      </c>
      <c r="G381" s="2" t="str">
        <f t="shared" si="3"/>
        <v/>
      </c>
      <c r="H381" s="2" t="str">
        <f>IF(G381="","",SUMIF(Familias!C:C,G381,Familias!E:E))</f>
        <v/>
      </c>
      <c r="I381" s="4" t="str">
        <f>IF(A381="","",COUNTIF(Prod_Prop!B:B,A381))</f>
        <v/>
      </c>
      <c r="J381" s="92" t="str">
        <f>IF(E381="","",IF(SUMIF(Precio_Productos!L:L,E381,Precio_Productos!J:J)=0,"Falta Precio",SUMIF(Precio_Productos!L:L,E381,Precio_Productos!J:J)))</f>
        <v/>
      </c>
      <c r="O381" s="86"/>
      <c r="P381" s="86" t="str">
        <f>IFERROR(__xludf.DUMMYFUNCTION("IF(OR(F381=""Selecciona.."",F381=""""),"""",TRANSPOSE(filter(Familias!C:C,Familias!D:D=F381)))"),"")</f>
        <v/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</row>
    <row r="382">
      <c r="A382" s="4" t="str">
        <f t="shared" si="1"/>
        <v/>
      </c>
      <c r="B382" s="4"/>
      <c r="C382" s="4"/>
      <c r="D382" s="4"/>
      <c r="E382" s="94"/>
      <c r="F382" s="4" t="str">
        <f t="shared" si="2"/>
        <v/>
      </c>
      <c r="G382" s="2" t="str">
        <f t="shared" si="3"/>
        <v/>
      </c>
      <c r="H382" s="2" t="str">
        <f>IF(G382="","",SUMIF(Familias!C:C,G382,Familias!E:E))</f>
        <v/>
      </c>
      <c r="I382" s="4" t="str">
        <f>IF(A382="","",COUNTIF(Prod_Prop!B:B,A382))</f>
        <v/>
      </c>
      <c r="J382" s="92" t="str">
        <f>IF(E382="","",IF(SUMIF(Precio_Productos!L:L,E382,Precio_Productos!J:J)=0,"Falta Precio",SUMIF(Precio_Productos!L:L,E382,Precio_Productos!J:J)))</f>
        <v/>
      </c>
      <c r="O382" s="86"/>
      <c r="P382" s="86" t="str">
        <f>IFERROR(__xludf.DUMMYFUNCTION("IF(OR(F382=""Selecciona.."",F382=""""),"""",TRANSPOSE(filter(Familias!C:C,Familias!D:D=F382)))"),"")</f>
        <v/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</row>
    <row r="383">
      <c r="A383" s="4" t="str">
        <f t="shared" si="1"/>
        <v/>
      </c>
      <c r="B383" s="4"/>
      <c r="C383" s="4"/>
      <c r="D383" s="4"/>
      <c r="E383" s="94"/>
      <c r="F383" s="4" t="str">
        <f t="shared" si="2"/>
        <v/>
      </c>
      <c r="G383" s="2" t="str">
        <f t="shared" si="3"/>
        <v/>
      </c>
      <c r="H383" s="2" t="str">
        <f>IF(G383="","",SUMIF(Familias!C:C,G383,Familias!E:E))</f>
        <v/>
      </c>
      <c r="I383" s="4" t="str">
        <f>IF(A383="","",COUNTIF(Prod_Prop!B:B,A383))</f>
        <v/>
      </c>
      <c r="J383" s="92" t="str">
        <f>IF(E383="","",IF(SUMIF(Precio_Productos!L:L,E383,Precio_Productos!J:J)=0,"Falta Precio",SUMIF(Precio_Productos!L:L,E383,Precio_Productos!J:J)))</f>
        <v/>
      </c>
      <c r="O383" s="86"/>
      <c r="P383" s="86" t="str">
        <f>IFERROR(__xludf.DUMMYFUNCTION("IF(OR(F383=""Selecciona.."",F383=""""),"""",TRANSPOSE(filter(Familias!C:C,Familias!D:D=F383)))"),"")</f>
        <v/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</row>
    <row r="384">
      <c r="A384" s="4" t="str">
        <f t="shared" si="1"/>
        <v/>
      </c>
      <c r="B384" s="4"/>
      <c r="C384" s="4"/>
      <c r="D384" s="4"/>
      <c r="E384" s="94"/>
      <c r="F384" s="4" t="str">
        <f t="shared" si="2"/>
        <v/>
      </c>
      <c r="G384" s="2" t="str">
        <f t="shared" si="3"/>
        <v/>
      </c>
      <c r="H384" s="2" t="str">
        <f>IF(G384="","",SUMIF(Familias!C:C,G384,Familias!E:E))</f>
        <v/>
      </c>
      <c r="I384" s="4" t="str">
        <f>IF(A384="","",COUNTIF(Prod_Prop!B:B,A384))</f>
        <v/>
      </c>
      <c r="J384" s="92" t="str">
        <f>IF(E384="","",IF(SUMIF(Precio_Productos!L:L,E384,Precio_Productos!J:J)=0,"Falta Precio",SUMIF(Precio_Productos!L:L,E384,Precio_Productos!J:J)))</f>
        <v/>
      </c>
      <c r="O384" s="86"/>
      <c r="P384" s="86" t="str">
        <f>IFERROR(__xludf.DUMMYFUNCTION("IF(OR(F384=""Selecciona.."",F384=""""),"""",TRANSPOSE(filter(Familias!C:C,Familias!D:D=F384)))"),"")</f>
        <v/>
      </c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</row>
    <row r="385">
      <c r="A385" s="4" t="str">
        <f t="shared" si="1"/>
        <v/>
      </c>
      <c r="B385" s="4"/>
      <c r="C385" s="4"/>
      <c r="D385" s="4"/>
      <c r="E385" s="94"/>
      <c r="F385" s="4" t="str">
        <f t="shared" si="2"/>
        <v/>
      </c>
      <c r="G385" s="2" t="str">
        <f t="shared" si="3"/>
        <v/>
      </c>
      <c r="H385" s="2" t="str">
        <f>IF(G385="","",SUMIF(Familias!C:C,G385,Familias!E:E))</f>
        <v/>
      </c>
      <c r="I385" s="4" t="str">
        <f>IF(A385="","",COUNTIF(Prod_Prop!B:B,A385))</f>
        <v/>
      </c>
      <c r="J385" s="92" t="str">
        <f>IF(E385="","",IF(SUMIF(Precio_Productos!L:L,E385,Precio_Productos!J:J)=0,"Falta Precio",SUMIF(Precio_Productos!L:L,E385,Precio_Productos!J:J)))</f>
        <v/>
      </c>
      <c r="O385" s="86"/>
      <c r="P385" s="86" t="str">
        <f>IFERROR(__xludf.DUMMYFUNCTION("IF(OR(F385=""Selecciona.."",F385=""""),"""",TRANSPOSE(filter(Familias!C:C,Familias!D:D=F385)))"),"")</f>
        <v/>
      </c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</row>
    <row r="386">
      <c r="A386" s="4" t="str">
        <f t="shared" si="1"/>
        <v/>
      </c>
      <c r="B386" s="4"/>
      <c r="C386" s="4"/>
      <c r="D386" s="4"/>
      <c r="E386" s="94"/>
      <c r="F386" s="4" t="str">
        <f t="shared" si="2"/>
        <v/>
      </c>
      <c r="G386" s="2" t="str">
        <f t="shared" si="3"/>
        <v/>
      </c>
      <c r="H386" s="2" t="str">
        <f>IF(G386="","",SUMIF(Familias!C:C,G386,Familias!E:E))</f>
        <v/>
      </c>
      <c r="I386" s="4" t="str">
        <f>IF(A386="","",COUNTIF(Prod_Prop!B:B,A386))</f>
        <v/>
      </c>
      <c r="J386" s="92" t="str">
        <f>IF(E386="","",IF(SUMIF(Precio_Productos!L:L,E386,Precio_Productos!J:J)=0,"Falta Precio",SUMIF(Precio_Productos!L:L,E386,Precio_Productos!J:J)))</f>
        <v/>
      </c>
      <c r="O386" s="86"/>
      <c r="P386" s="86" t="str">
        <f>IFERROR(__xludf.DUMMYFUNCTION("IF(OR(F386=""Selecciona.."",F386=""""),"""",TRANSPOSE(filter(Familias!C:C,Familias!D:D=F386)))"),"")</f>
        <v/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</row>
    <row r="387">
      <c r="A387" s="4" t="str">
        <f t="shared" si="1"/>
        <v/>
      </c>
      <c r="B387" s="4"/>
      <c r="C387" s="4"/>
      <c r="D387" s="4"/>
      <c r="E387" s="94"/>
      <c r="F387" s="4" t="str">
        <f t="shared" si="2"/>
        <v/>
      </c>
      <c r="G387" s="2" t="str">
        <f t="shared" si="3"/>
        <v/>
      </c>
      <c r="H387" s="2" t="str">
        <f>IF(G387="","",SUMIF(Familias!C:C,G387,Familias!E:E))</f>
        <v/>
      </c>
      <c r="I387" s="4" t="str">
        <f>IF(A387="","",COUNTIF(Prod_Prop!B:B,A387))</f>
        <v/>
      </c>
      <c r="J387" s="92" t="str">
        <f>IF(E387="","",IF(SUMIF(Precio_Productos!L:L,E387,Precio_Productos!J:J)=0,"Falta Precio",SUMIF(Precio_Productos!L:L,E387,Precio_Productos!J:J)))</f>
        <v/>
      </c>
      <c r="O387" s="86"/>
      <c r="P387" s="86" t="str">
        <f>IFERROR(__xludf.DUMMYFUNCTION("IF(OR(F387=""Selecciona.."",F387=""""),"""",TRANSPOSE(filter(Familias!C:C,Familias!D:D=F387)))"),"")</f>
        <v/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</row>
    <row r="388">
      <c r="A388" s="4" t="str">
        <f t="shared" si="1"/>
        <v/>
      </c>
      <c r="B388" s="4"/>
      <c r="C388" s="4"/>
      <c r="D388" s="4"/>
      <c r="E388" s="94"/>
      <c r="F388" s="4" t="str">
        <f t="shared" si="2"/>
        <v/>
      </c>
      <c r="G388" s="2" t="str">
        <f t="shared" si="3"/>
        <v/>
      </c>
      <c r="H388" s="2" t="str">
        <f>IF(G388="","",SUMIF(Familias!C:C,G388,Familias!E:E))</f>
        <v/>
      </c>
      <c r="I388" s="4" t="str">
        <f>IF(A388="","",COUNTIF(Prod_Prop!B:B,A388))</f>
        <v/>
      </c>
      <c r="J388" s="92" t="str">
        <f>IF(E388="","",IF(SUMIF(Precio_Productos!L:L,E388,Precio_Productos!J:J)=0,"Falta Precio",SUMIF(Precio_Productos!L:L,E388,Precio_Productos!J:J)))</f>
        <v/>
      </c>
      <c r="O388" s="86"/>
      <c r="P388" s="86" t="str">
        <f>IFERROR(__xludf.DUMMYFUNCTION("IF(OR(F388=""Selecciona.."",F388=""""),"""",TRANSPOSE(filter(Familias!C:C,Familias!D:D=F388)))"),"")</f>
        <v/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</row>
    <row r="389">
      <c r="A389" s="4" t="str">
        <f t="shared" si="1"/>
        <v/>
      </c>
      <c r="B389" s="4"/>
      <c r="C389" s="4"/>
      <c r="D389" s="4"/>
      <c r="E389" s="94"/>
      <c r="F389" s="4" t="str">
        <f t="shared" si="2"/>
        <v/>
      </c>
      <c r="G389" s="2" t="str">
        <f t="shared" si="3"/>
        <v/>
      </c>
      <c r="H389" s="2" t="str">
        <f>IF(G389="","",SUMIF(Familias!C:C,G389,Familias!E:E))</f>
        <v/>
      </c>
      <c r="I389" s="4" t="str">
        <f>IF(A389="","",COUNTIF(Prod_Prop!B:B,A389))</f>
        <v/>
      </c>
      <c r="J389" s="92" t="str">
        <f>IF(E389="","",IF(SUMIF(Precio_Productos!L:L,E389,Precio_Productos!J:J)=0,"Falta Precio",SUMIF(Precio_Productos!L:L,E389,Precio_Productos!J:J)))</f>
        <v/>
      </c>
      <c r="O389" s="86"/>
      <c r="P389" s="86" t="str">
        <f>IFERROR(__xludf.DUMMYFUNCTION("IF(OR(F389=""Selecciona.."",F389=""""),"""",TRANSPOSE(filter(Familias!C:C,Familias!D:D=F389)))"),"")</f>
        <v/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</row>
    <row r="390">
      <c r="A390" s="4" t="str">
        <f t="shared" si="1"/>
        <v/>
      </c>
      <c r="B390" s="4"/>
      <c r="C390" s="4"/>
      <c r="D390" s="4"/>
      <c r="E390" s="94"/>
      <c r="F390" s="4" t="str">
        <f t="shared" si="2"/>
        <v/>
      </c>
      <c r="G390" s="2" t="str">
        <f t="shared" si="3"/>
        <v/>
      </c>
      <c r="H390" s="2" t="str">
        <f>IF(G390="","",SUMIF(Familias!C:C,G390,Familias!E:E))</f>
        <v/>
      </c>
      <c r="I390" s="4" t="str">
        <f>IF(A390="","",COUNTIF(Prod_Prop!B:B,A390))</f>
        <v/>
      </c>
      <c r="J390" s="92" t="str">
        <f>IF(E390="","",IF(SUMIF(Precio_Productos!L:L,E390,Precio_Productos!J:J)=0,"Falta Precio",SUMIF(Precio_Productos!L:L,E390,Precio_Productos!J:J)))</f>
        <v/>
      </c>
      <c r="O390" s="86"/>
      <c r="P390" s="86" t="str">
        <f>IFERROR(__xludf.DUMMYFUNCTION("IF(OR(F390=""Selecciona.."",F390=""""),"""",TRANSPOSE(filter(Familias!C:C,Familias!D:D=F390)))"),"")</f>
        <v/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</row>
    <row r="391">
      <c r="A391" s="4" t="str">
        <f t="shared" si="1"/>
        <v/>
      </c>
      <c r="B391" s="4"/>
      <c r="C391" s="4"/>
      <c r="D391" s="4"/>
      <c r="E391" s="94"/>
      <c r="F391" s="4" t="str">
        <f t="shared" si="2"/>
        <v/>
      </c>
      <c r="G391" s="2" t="str">
        <f t="shared" si="3"/>
        <v/>
      </c>
      <c r="H391" s="2" t="str">
        <f>IF(G391="","",SUMIF(Familias!C:C,G391,Familias!E:E))</f>
        <v/>
      </c>
      <c r="I391" s="4" t="str">
        <f>IF(A391="","",COUNTIF(Prod_Prop!B:B,A391))</f>
        <v/>
      </c>
      <c r="J391" s="92" t="str">
        <f>IF(E391="","",IF(SUMIF(Precio_Productos!L:L,E391,Precio_Productos!J:J)=0,"Falta Precio",SUMIF(Precio_Productos!L:L,E391,Precio_Productos!J:J)))</f>
        <v/>
      </c>
      <c r="O391" s="86"/>
      <c r="P391" s="86" t="str">
        <f>IFERROR(__xludf.DUMMYFUNCTION("IF(OR(F391=""Selecciona.."",F391=""""),"""",TRANSPOSE(filter(Familias!C:C,Familias!D:D=F391)))"),"")</f>
        <v/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</row>
    <row r="392">
      <c r="A392" s="4" t="str">
        <f t="shared" si="1"/>
        <v/>
      </c>
      <c r="B392" s="4"/>
      <c r="C392" s="4"/>
      <c r="D392" s="4"/>
      <c r="E392" s="94"/>
      <c r="F392" s="4" t="str">
        <f t="shared" si="2"/>
        <v/>
      </c>
      <c r="G392" s="2" t="str">
        <f t="shared" si="3"/>
        <v/>
      </c>
      <c r="H392" s="2" t="str">
        <f>IF(G392="","",SUMIF(Familias!C:C,G392,Familias!E:E))</f>
        <v/>
      </c>
      <c r="I392" s="4" t="str">
        <f>IF(A392="","",COUNTIF(Prod_Prop!B:B,A392))</f>
        <v/>
      </c>
      <c r="J392" s="92" t="str">
        <f>IF(E392="","",IF(SUMIF(Precio_Productos!L:L,E392,Precio_Productos!J:J)=0,"Falta Precio",SUMIF(Precio_Productos!L:L,E392,Precio_Productos!J:J)))</f>
        <v/>
      </c>
      <c r="O392" s="86"/>
      <c r="P392" s="86" t="str">
        <f>IFERROR(__xludf.DUMMYFUNCTION("IF(OR(F392=""Selecciona.."",F392=""""),"""",TRANSPOSE(filter(Familias!C:C,Familias!D:D=F392)))"),"")</f>
        <v/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</row>
    <row r="393">
      <c r="A393" s="4" t="str">
        <f t="shared" si="1"/>
        <v/>
      </c>
      <c r="B393" s="4"/>
      <c r="C393" s="4"/>
      <c r="D393" s="4"/>
      <c r="E393" s="94"/>
      <c r="F393" s="4" t="str">
        <f t="shared" si="2"/>
        <v/>
      </c>
      <c r="G393" s="2" t="str">
        <f t="shared" si="3"/>
        <v/>
      </c>
      <c r="H393" s="2" t="str">
        <f>IF(G393="","",SUMIF(Familias!C:C,G393,Familias!E:E))</f>
        <v/>
      </c>
      <c r="I393" s="4" t="str">
        <f>IF(A393="","",COUNTIF(Prod_Prop!B:B,A393))</f>
        <v/>
      </c>
      <c r="J393" s="92" t="str">
        <f>IF(E393="","",IF(SUMIF(Precio_Productos!L:L,E393,Precio_Productos!J:J)=0,"Falta Precio",SUMIF(Precio_Productos!L:L,E393,Precio_Productos!J:J)))</f>
        <v/>
      </c>
      <c r="O393" s="86"/>
      <c r="P393" s="86" t="str">
        <f>IFERROR(__xludf.DUMMYFUNCTION("IF(OR(F393=""Selecciona.."",F393=""""),"""",TRANSPOSE(filter(Familias!C:C,Familias!D:D=F393)))"),"")</f>
        <v/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</row>
    <row r="394">
      <c r="A394" s="4" t="str">
        <f t="shared" si="1"/>
        <v/>
      </c>
      <c r="B394" s="4"/>
      <c r="C394" s="4"/>
      <c r="D394" s="4"/>
      <c r="E394" s="94"/>
      <c r="F394" s="4" t="str">
        <f t="shared" si="2"/>
        <v/>
      </c>
      <c r="G394" s="2" t="str">
        <f t="shared" si="3"/>
        <v/>
      </c>
      <c r="H394" s="2" t="str">
        <f>IF(G394="","",SUMIF(Familias!C:C,G394,Familias!E:E))</f>
        <v/>
      </c>
      <c r="I394" s="4" t="str">
        <f>IF(A394="","",COUNTIF(Prod_Prop!B:B,A394))</f>
        <v/>
      </c>
      <c r="J394" s="92" t="str">
        <f>IF(E394="","",IF(SUMIF(Precio_Productos!L:L,E394,Precio_Productos!J:J)=0,"Falta Precio",SUMIF(Precio_Productos!L:L,E394,Precio_Productos!J:J)))</f>
        <v/>
      </c>
      <c r="O394" s="86"/>
      <c r="P394" s="86" t="str">
        <f>IFERROR(__xludf.DUMMYFUNCTION("IF(OR(F394=""Selecciona.."",F394=""""),"""",TRANSPOSE(filter(Familias!C:C,Familias!D:D=F394)))"),"")</f>
        <v/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</row>
    <row r="395">
      <c r="A395" s="4" t="str">
        <f t="shared" si="1"/>
        <v/>
      </c>
      <c r="B395" s="4"/>
      <c r="C395" s="4"/>
      <c r="D395" s="4"/>
      <c r="E395" s="94"/>
      <c r="F395" s="4" t="str">
        <f t="shared" si="2"/>
        <v/>
      </c>
      <c r="G395" s="2" t="str">
        <f t="shared" si="3"/>
        <v/>
      </c>
      <c r="H395" s="2" t="str">
        <f>IF(G395="","",SUMIF(Familias!C:C,G395,Familias!E:E))</f>
        <v/>
      </c>
      <c r="I395" s="4" t="str">
        <f>IF(A395="","",COUNTIF(Prod_Prop!B:B,A395))</f>
        <v/>
      </c>
      <c r="J395" s="92" t="str">
        <f>IF(E395="","",IF(SUMIF(Precio_Productos!L:L,E395,Precio_Productos!J:J)=0,"Falta Precio",SUMIF(Precio_Productos!L:L,E395,Precio_Productos!J:J)))</f>
        <v/>
      </c>
      <c r="O395" s="86"/>
      <c r="P395" s="86" t="str">
        <f>IFERROR(__xludf.DUMMYFUNCTION("IF(OR(F395=""Selecciona.."",F395=""""),"""",TRANSPOSE(filter(Familias!C:C,Familias!D:D=F395)))"),"")</f>
        <v/>
      </c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</row>
    <row r="396">
      <c r="A396" s="4" t="str">
        <f t="shared" si="1"/>
        <v/>
      </c>
      <c r="B396" s="4"/>
      <c r="C396" s="4"/>
      <c r="D396" s="4"/>
      <c r="E396" s="94"/>
      <c r="F396" s="4" t="str">
        <f t="shared" si="2"/>
        <v/>
      </c>
      <c r="G396" s="2" t="str">
        <f t="shared" si="3"/>
        <v/>
      </c>
      <c r="H396" s="2" t="str">
        <f>IF(G396="","",SUMIF(Familias!C:C,G396,Familias!E:E))</f>
        <v/>
      </c>
      <c r="I396" s="4" t="str">
        <f>IF(A396="","",COUNTIF(Prod_Prop!B:B,A396))</f>
        <v/>
      </c>
      <c r="J396" s="92" t="str">
        <f>IF(E396="","",IF(SUMIF(Precio_Productos!L:L,E396,Precio_Productos!J:J)=0,"Falta Precio",SUMIF(Precio_Productos!L:L,E396,Precio_Productos!J:J)))</f>
        <v/>
      </c>
      <c r="O396" s="86"/>
      <c r="P396" s="86" t="str">
        <f>IFERROR(__xludf.DUMMYFUNCTION("IF(OR(F396=""Selecciona.."",F396=""""),"""",TRANSPOSE(filter(Familias!C:C,Familias!D:D=F396)))"),"")</f>
        <v/>
      </c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</row>
    <row r="397">
      <c r="A397" s="4" t="str">
        <f t="shared" si="1"/>
        <v/>
      </c>
      <c r="B397" s="4"/>
      <c r="C397" s="4"/>
      <c r="D397" s="4"/>
      <c r="E397" s="94"/>
      <c r="F397" s="4" t="str">
        <f t="shared" si="2"/>
        <v/>
      </c>
      <c r="G397" s="2" t="str">
        <f t="shared" si="3"/>
        <v/>
      </c>
      <c r="H397" s="2" t="str">
        <f>IF(G397="","",SUMIF(Familias!C:C,G397,Familias!E:E))</f>
        <v/>
      </c>
      <c r="I397" s="4" t="str">
        <f>IF(A397="","",COUNTIF(Prod_Prop!B:B,A397))</f>
        <v/>
      </c>
      <c r="J397" s="92" t="str">
        <f>IF(E397="","",IF(SUMIF(Precio_Productos!L:L,E397,Precio_Productos!J:J)=0,"Falta Precio",SUMIF(Precio_Productos!L:L,E397,Precio_Productos!J:J)))</f>
        <v/>
      </c>
      <c r="O397" s="86"/>
      <c r="P397" s="86" t="str">
        <f>IFERROR(__xludf.DUMMYFUNCTION("IF(OR(F397=""Selecciona.."",F397=""""),"""",TRANSPOSE(filter(Familias!C:C,Familias!D:D=F397)))"),"")</f>
        <v/>
      </c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</row>
    <row r="398">
      <c r="A398" s="4" t="str">
        <f t="shared" si="1"/>
        <v/>
      </c>
      <c r="B398" s="4"/>
      <c r="C398" s="4"/>
      <c r="D398" s="4"/>
      <c r="E398" s="94"/>
      <c r="F398" s="4" t="str">
        <f t="shared" si="2"/>
        <v/>
      </c>
      <c r="G398" s="2" t="str">
        <f t="shared" si="3"/>
        <v/>
      </c>
      <c r="H398" s="2" t="str">
        <f>IF(G398="","",SUMIF(Familias!C:C,G398,Familias!E:E))</f>
        <v/>
      </c>
      <c r="I398" s="4" t="str">
        <f>IF(A398="","",COUNTIF(Prod_Prop!B:B,A398))</f>
        <v/>
      </c>
      <c r="J398" s="92" t="str">
        <f>IF(E398="","",IF(SUMIF(Precio_Productos!L:L,E398,Precio_Productos!J:J)=0,"Falta Precio",SUMIF(Precio_Productos!L:L,E398,Precio_Productos!J:J)))</f>
        <v/>
      </c>
      <c r="O398" s="86"/>
      <c r="P398" s="86" t="str">
        <f>IFERROR(__xludf.DUMMYFUNCTION("IF(OR(F398=""Selecciona.."",F398=""""),"""",TRANSPOSE(filter(Familias!C:C,Familias!D:D=F398)))"),"")</f>
        <v/>
      </c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</row>
    <row r="399">
      <c r="A399" s="4" t="str">
        <f t="shared" si="1"/>
        <v/>
      </c>
      <c r="B399" s="4"/>
      <c r="C399" s="4"/>
      <c r="D399" s="4"/>
      <c r="E399" s="94"/>
      <c r="F399" s="4" t="str">
        <f t="shared" si="2"/>
        <v/>
      </c>
      <c r="G399" s="2" t="str">
        <f t="shared" si="3"/>
        <v/>
      </c>
      <c r="H399" s="2" t="str">
        <f>IF(G399="","",SUMIF(Familias!C:C,G399,Familias!E:E))</f>
        <v/>
      </c>
      <c r="I399" s="4" t="str">
        <f>IF(A399="","",COUNTIF(Prod_Prop!B:B,A399))</f>
        <v/>
      </c>
      <c r="J399" s="92" t="str">
        <f>IF(E399="","",IF(SUMIF(Precio_Productos!L:L,E399,Precio_Productos!J:J)=0,"Falta Precio",SUMIF(Precio_Productos!L:L,E399,Precio_Productos!J:J)))</f>
        <v/>
      </c>
      <c r="O399" s="86"/>
      <c r="P399" s="86" t="str">
        <f>IFERROR(__xludf.DUMMYFUNCTION("IF(OR(F399=""Selecciona.."",F399=""""),"""",TRANSPOSE(filter(Familias!C:C,Familias!D:D=F399)))"),"")</f>
        <v/>
      </c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</row>
    <row r="400">
      <c r="A400" s="4" t="str">
        <f t="shared" si="1"/>
        <v/>
      </c>
      <c r="B400" s="4"/>
      <c r="C400" s="4"/>
      <c r="D400" s="4"/>
      <c r="E400" s="94"/>
      <c r="F400" s="4" t="str">
        <f t="shared" si="2"/>
        <v/>
      </c>
      <c r="G400" s="2" t="str">
        <f t="shared" si="3"/>
        <v/>
      </c>
      <c r="H400" s="2" t="str">
        <f>IF(G400="","",SUMIF(Familias!C:C,G400,Familias!E:E))</f>
        <v/>
      </c>
      <c r="I400" s="4" t="str">
        <f>IF(A400="","",COUNTIF(Prod_Prop!B:B,A400))</f>
        <v/>
      </c>
      <c r="J400" s="92" t="str">
        <f>IF(E400="","",IF(SUMIF(Precio_Productos!L:L,E400,Precio_Productos!J:J)=0,"Falta Precio",SUMIF(Precio_Productos!L:L,E400,Precio_Productos!J:J)))</f>
        <v/>
      </c>
      <c r="O400" s="86"/>
      <c r="P400" s="86" t="str">
        <f>IFERROR(__xludf.DUMMYFUNCTION("IF(OR(F400=""Selecciona.."",F400=""""),"""",TRANSPOSE(filter(Familias!C:C,Familias!D:D=F400)))"),"")</f>
        <v/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</row>
    <row r="401">
      <c r="A401" s="4" t="str">
        <f t="shared" si="1"/>
        <v/>
      </c>
      <c r="B401" s="4"/>
      <c r="C401" s="4"/>
      <c r="D401" s="4"/>
      <c r="E401" s="94"/>
      <c r="F401" s="4" t="str">
        <f t="shared" si="2"/>
        <v/>
      </c>
      <c r="G401" s="2" t="str">
        <f t="shared" si="3"/>
        <v/>
      </c>
      <c r="H401" s="2" t="str">
        <f>IF(G401="","",SUMIF(Familias!C:C,G401,Familias!E:E))</f>
        <v/>
      </c>
      <c r="I401" s="4" t="str">
        <f>IF(A401="","",COUNTIF(Prod_Prop!B:B,A401))</f>
        <v/>
      </c>
      <c r="J401" s="92" t="str">
        <f>IF(E401="","",IF(SUMIF(Precio_Productos!L:L,E401,Precio_Productos!J:J)=0,"Falta Precio",SUMIF(Precio_Productos!L:L,E401,Precio_Productos!J:J)))</f>
        <v/>
      </c>
      <c r="O401" s="86"/>
      <c r="P401" s="86" t="str">
        <f>IFERROR(__xludf.DUMMYFUNCTION("IF(OR(F401=""Selecciona.."",F401=""""),"""",TRANSPOSE(filter(Familias!C:C,Familias!D:D=F401)))"),"")</f>
        <v/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</row>
    <row r="402">
      <c r="A402" s="4" t="str">
        <f t="shared" si="1"/>
        <v/>
      </c>
      <c r="B402" s="4"/>
      <c r="C402" s="4"/>
      <c r="D402" s="4"/>
      <c r="E402" s="94"/>
      <c r="F402" s="4" t="str">
        <f t="shared" si="2"/>
        <v/>
      </c>
      <c r="G402" s="2" t="str">
        <f t="shared" si="3"/>
        <v/>
      </c>
      <c r="H402" s="2" t="str">
        <f>IF(G402="","",SUMIF(Familias!C:C,G402,Familias!E:E))</f>
        <v/>
      </c>
      <c r="I402" s="4" t="str">
        <f>IF(A402="","",COUNTIF(Prod_Prop!B:B,A402))</f>
        <v/>
      </c>
      <c r="J402" s="92" t="str">
        <f>IF(E402="","",IF(SUMIF(Precio_Productos!L:L,E402,Precio_Productos!J:J)=0,"Falta Precio",SUMIF(Precio_Productos!L:L,E402,Precio_Productos!J:J)))</f>
        <v/>
      </c>
      <c r="O402" s="86"/>
      <c r="P402" s="86" t="str">
        <f>IFERROR(__xludf.DUMMYFUNCTION("IF(OR(F402=""Selecciona.."",F402=""""),"""",TRANSPOSE(filter(Familias!C:C,Familias!D:D=F402)))"),"")</f>
        <v/>
      </c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</row>
    <row r="403">
      <c r="A403" s="4" t="str">
        <f t="shared" si="1"/>
        <v/>
      </c>
      <c r="B403" s="4"/>
      <c r="C403" s="4"/>
      <c r="D403" s="4"/>
      <c r="E403" s="94"/>
      <c r="F403" s="4" t="str">
        <f t="shared" si="2"/>
        <v/>
      </c>
      <c r="G403" s="2" t="str">
        <f t="shared" si="3"/>
        <v/>
      </c>
      <c r="H403" s="2" t="str">
        <f>IF(G403="","",SUMIF(Familias!C:C,G403,Familias!E:E))</f>
        <v/>
      </c>
      <c r="I403" s="4" t="str">
        <f>IF(A403="","",COUNTIF(Prod_Prop!B:B,A403))</f>
        <v/>
      </c>
      <c r="J403" s="92" t="str">
        <f>IF(E403="","",IF(SUMIF(Precio_Productos!L:L,E403,Precio_Productos!J:J)=0,"Falta Precio",SUMIF(Precio_Productos!L:L,E403,Precio_Productos!J:J)))</f>
        <v/>
      </c>
      <c r="O403" s="86"/>
      <c r="P403" s="86" t="str">
        <f>IFERROR(__xludf.DUMMYFUNCTION("IF(OR(F403=""Selecciona.."",F403=""""),"""",TRANSPOSE(filter(Familias!C:C,Familias!D:D=F403)))"),"")</f>
        <v/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</row>
    <row r="404">
      <c r="A404" s="4" t="str">
        <f t="shared" si="1"/>
        <v/>
      </c>
      <c r="B404" s="4"/>
      <c r="C404" s="4"/>
      <c r="D404" s="4"/>
      <c r="E404" s="94"/>
      <c r="F404" s="4" t="str">
        <f t="shared" si="2"/>
        <v/>
      </c>
      <c r="G404" s="2" t="str">
        <f t="shared" si="3"/>
        <v/>
      </c>
      <c r="H404" s="2" t="str">
        <f>IF(G404="","",SUMIF(Familias!C:C,G404,Familias!E:E))</f>
        <v/>
      </c>
      <c r="I404" s="4" t="str">
        <f>IF(A404="","",COUNTIF(Prod_Prop!B:B,A404))</f>
        <v/>
      </c>
      <c r="J404" s="92" t="str">
        <f>IF(E404="","",IF(SUMIF(Precio_Productos!L:L,E404,Precio_Productos!J:J)=0,"Falta Precio",SUMIF(Precio_Productos!L:L,E404,Precio_Productos!J:J)))</f>
        <v/>
      </c>
      <c r="O404" s="86"/>
      <c r="P404" s="86" t="str">
        <f>IFERROR(__xludf.DUMMYFUNCTION("IF(OR(F404=""Selecciona.."",F404=""""),"""",TRANSPOSE(filter(Familias!C:C,Familias!D:D=F404)))"),"")</f>
        <v/>
      </c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</row>
    <row r="405">
      <c r="A405" s="4" t="str">
        <f t="shared" si="1"/>
        <v/>
      </c>
      <c r="B405" s="4"/>
      <c r="C405" s="4"/>
      <c r="D405" s="4"/>
      <c r="E405" s="94"/>
      <c r="F405" s="4" t="str">
        <f t="shared" si="2"/>
        <v/>
      </c>
      <c r="G405" s="2" t="str">
        <f t="shared" si="3"/>
        <v/>
      </c>
      <c r="H405" s="2" t="str">
        <f>IF(G405="","",SUMIF(Familias!C:C,G405,Familias!E:E))</f>
        <v/>
      </c>
      <c r="I405" s="4" t="str">
        <f>IF(A405="","",COUNTIF(Prod_Prop!B:B,A405))</f>
        <v/>
      </c>
      <c r="J405" s="92" t="str">
        <f>IF(E405="","",IF(SUMIF(Precio_Productos!L:L,E405,Precio_Productos!J:J)=0,"Falta Precio",SUMIF(Precio_Productos!L:L,E405,Precio_Productos!J:J)))</f>
        <v/>
      </c>
      <c r="O405" s="86"/>
      <c r="P405" s="86" t="str">
        <f>IFERROR(__xludf.DUMMYFUNCTION("IF(OR(F405=""Selecciona.."",F405=""""),"""",TRANSPOSE(filter(Familias!C:C,Familias!D:D=F405)))"),"")</f>
        <v/>
      </c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</row>
    <row r="406">
      <c r="A406" s="4" t="str">
        <f t="shared" si="1"/>
        <v/>
      </c>
      <c r="B406" s="4"/>
      <c r="C406" s="4"/>
      <c r="D406" s="4"/>
      <c r="E406" s="94"/>
      <c r="F406" s="4" t="str">
        <f t="shared" si="2"/>
        <v/>
      </c>
      <c r="G406" s="2" t="str">
        <f t="shared" si="3"/>
        <v/>
      </c>
      <c r="H406" s="2" t="str">
        <f>IF(G406="","",SUMIF(Familias!C:C,G406,Familias!E:E))</f>
        <v/>
      </c>
      <c r="I406" s="4" t="str">
        <f>IF(A406="","",COUNTIF(Prod_Prop!B:B,A406))</f>
        <v/>
      </c>
      <c r="J406" s="92" t="str">
        <f>IF(E406="","",IF(SUMIF(Precio_Productos!L:L,E406,Precio_Productos!J:J)=0,"Falta Precio",SUMIF(Precio_Productos!L:L,E406,Precio_Productos!J:J)))</f>
        <v/>
      </c>
      <c r="O406" s="86"/>
      <c r="P406" s="86" t="str">
        <f>IFERROR(__xludf.DUMMYFUNCTION("IF(OR(F406=""Selecciona.."",F406=""""),"""",TRANSPOSE(filter(Familias!C:C,Familias!D:D=F406)))"),"")</f>
        <v/>
      </c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</row>
    <row r="407">
      <c r="A407" s="4" t="str">
        <f t="shared" si="1"/>
        <v/>
      </c>
      <c r="B407" s="4"/>
      <c r="C407" s="4"/>
      <c r="D407" s="4"/>
      <c r="E407" s="94"/>
      <c r="F407" s="4" t="str">
        <f t="shared" si="2"/>
        <v/>
      </c>
      <c r="G407" s="2" t="str">
        <f t="shared" si="3"/>
        <v/>
      </c>
      <c r="H407" s="2" t="str">
        <f>IF(G407="","",SUMIF(Familias!C:C,G407,Familias!E:E))</f>
        <v/>
      </c>
      <c r="I407" s="4" t="str">
        <f>IF(A407="","",COUNTIF(Prod_Prop!B:B,A407))</f>
        <v/>
      </c>
      <c r="J407" s="92" t="str">
        <f>IF(E407="","",IF(SUMIF(Precio_Productos!L:L,E407,Precio_Productos!J:J)=0,"Falta Precio",SUMIF(Precio_Productos!L:L,E407,Precio_Productos!J:J)))</f>
        <v/>
      </c>
      <c r="O407" s="86"/>
      <c r="P407" s="86" t="str">
        <f>IFERROR(__xludf.DUMMYFUNCTION("IF(OR(F407=""Selecciona.."",F407=""""),"""",TRANSPOSE(filter(Familias!C:C,Familias!D:D=F407)))"),"")</f>
        <v/>
      </c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</row>
    <row r="408">
      <c r="A408" s="4" t="str">
        <f t="shared" si="1"/>
        <v/>
      </c>
      <c r="B408" s="4"/>
      <c r="C408" s="4"/>
      <c r="D408" s="4"/>
      <c r="E408" s="94"/>
      <c r="F408" s="4" t="str">
        <f t="shared" si="2"/>
        <v/>
      </c>
      <c r="G408" s="2" t="str">
        <f t="shared" si="3"/>
        <v/>
      </c>
      <c r="H408" s="2" t="str">
        <f>IF(G408="","",SUMIF(Familias!C:C,G408,Familias!E:E))</f>
        <v/>
      </c>
      <c r="I408" s="4" t="str">
        <f>IF(A408="","",COUNTIF(Prod_Prop!B:B,A408))</f>
        <v/>
      </c>
      <c r="J408" s="92" t="str">
        <f>IF(E408="","",IF(SUMIF(Precio_Productos!L:L,E408,Precio_Productos!J:J)=0,"Falta Precio",SUMIF(Precio_Productos!L:L,E408,Precio_Productos!J:J)))</f>
        <v/>
      </c>
      <c r="O408" s="86"/>
      <c r="P408" s="86" t="str">
        <f>IFERROR(__xludf.DUMMYFUNCTION("IF(OR(F408=""Selecciona.."",F408=""""),"""",TRANSPOSE(filter(Familias!C:C,Familias!D:D=F408)))"),"")</f>
        <v/>
      </c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</row>
    <row r="409">
      <c r="A409" s="4" t="str">
        <f t="shared" si="1"/>
        <v/>
      </c>
      <c r="B409" s="4"/>
      <c r="C409" s="4"/>
      <c r="D409" s="4"/>
      <c r="E409" s="94"/>
      <c r="F409" s="4" t="str">
        <f t="shared" si="2"/>
        <v/>
      </c>
      <c r="G409" s="2" t="str">
        <f t="shared" si="3"/>
        <v/>
      </c>
      <c r="H409" s="2" t="str">
        <f>IF(G409="","",SUMIF(Familias!C:C,G409,Familias!E:E))</f>
        <v/>
      </c>
      <c r="I409" s="4" t="str">
        <f>IF(A409="","",COUNTIF(Prod_Prop!B:B,A409))</f>
        <v/>
      </c>
      <c r="J409" s="92" t="str">
        <f>IF(E409="","",IF(SUMIF(Precio_Productos!L:L,E409,Precio_Productos!J:J)=0,"Falta Precio",SUMIF(Precio_Productos!L:L,E409,Precio_Productos!J:J)))</f>
        <v/>
      </c>
      <c r="O409" s="86"/>
      <c r="P409" s="86" t="str">
        <f>IFERROR(__xludf.DUMMYFUNCTION("IF(OR(F409=""Selecciona.."",F409=""""),"""",TRANSPOSE(filter(Familias!C:C,Familias!D:D=F409)))"),"")</f>
        <v/>
      </c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</row>
    <row r="410">
      <c r="A410" s="4" t="str">
        <f t="shared" si="1"/>
        <v/>
      </c>
      <c r="B410" s="4"/>
      <c r="C410" s="4"/>
      <c r="D410" s="4"/>
      <c r="E410" s="94"/>
      <c r="F410" s="4" t="str">
        <f t="shared" si="2"/>
        <v/>
      </c>
      <c r="G410" s="2" t="str">
        <f t="shared" si="3"/>
        <v/>
      </c>
      <c r="H410" s="2" t="str">
        <f>IF(G410="","",SUMIF(Familias!C:C,G410,Familias!E:E))</f>
        <v/>
      </c>
      <c r="I410" s="4" t="str">
        <f>IF(A410="","",COUNTIF(Prod_Prop!B:B,A410))</f>
        <v/>
      </c>
      <c r="J410" s="92" t="str">
        <f>IF(E410="","",IF(SUMIF(Precio_Productos!L:L,E410,Precio_Productos!J:J)=0,"Falta Precio",SUMIF(Precio_Productos!L:L,E410,Precio_Productos!J:J)))</f>
        <v/>
      </c>
      <c r="O410" s="86"/>
      <c r="P410" s="86" t="str">
        <f>IFERROR(__xludf.DUMMYFUNCTION("IF(OR(F410=""Selecciona.."",F410=""""),"""",TRANSPOSE(filter(Familias!C:C,Familias!D:D=F410)))"),"")</f>
        <v/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</row>
    <row r="411">
      <c r="A411" s="4" t="str">
        <f t="shared" si="1"/>
        <v/>
      </c>
      <c r="B411" s="4"/>
      <c r="C411" s="4"/>
      <c r="D411" s="4"/>
      <c r="E411" s="94"/>
      <c r="F411" s="4" t="str">
        <f t="shared" si="2"/>
        <v/>
      </c>
      <c r="G411" s="2" t="str">
        <f t="shared" si="3"/>
        <v/>
      </c>
      <c r="H411" s="2" t="str">
        <f>IF(G411="","",SUMIF(Familias!C:C,G411,Familias!E:E))</f>
        <v/>
      </c>
      <c r="I411" s="4" t="str">
        <f>IF(A411="","",COUNTIF(Prod_Prop!B:B,A411))</f>
        <v/>
      </c>
      <c r="J411" s="92" t="str">
        <f>IF(E411="","",IF(SUMIF(Precio_Productos!L:L,E411,Precio_Productos!J:J)=0,"Falta Precio",SUMIF(Precio_Productos!L:L,E411,Precio_Productos!J:J)))</f>
        <v/>
      </c>
      <c r="O411" s="86"/>
      <c r="P411" s="86" t="str">
        <f>IFERROR(__xludf.DUMMYFUNCTION("IF(OR(F411=""Selecciona.."",F411=""""),"""",TRANSPOSE(filter(Familias!C:C,Familias!D:D=F411)))"),"")</f>
        <v/>
      </c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</row>
    <row r="412">
      <c r="A412" s="4" t="str">
        <f t="shared" si="1"/>
        <v/>
      </c>
      <c r="B412" s="4"/>
      <c r="C412" s="4"/>
      <c r="D412" s="4"/>
      <c r="E412" s="94"/>
      <c r="F412" s="4" t="str">
        <f t="shared" si="2"/>
        <v/>
      </c>
      <c r="G412" s="2" t="str">
        <f t="shared" si="3"/>
        <v/>
      </c>
      <c r="H412" s="2" t="str">
        <f>IF(G412="","",SUMIF(Familias!C:C,G412,Familias!E:E))</f>
        <v/>
      </c>
      <c r="I412" s="4" t="str">
        <f>IF(A412="","",COUNTIF(Prod_Prop!B:B,A412))</f>
        <v/>
      </c>
      <c r="J412" s="92" t="str">
        <f>IF(E412="","",IF(SUMIF(Precio_Productos!L:L,E412,Precio_Productos!J:J)=0,"Falta Precio",SUMIF(Precio_Productos!L:L,E412,Precio_Productos!J:J)))</f>
        <v/>
      </c>
      <c r="O412" s="86"/>
      <c r="P412" s="86" t="str">
        <f>IFERROR(__xludf.DUMMYFUNCTION("IF(OR(F412=""Selecciona.."",F412=""""),"""",TRANSPOSE(filter(Familias!C:C,Familias!D:D=F412)))"),"")</f>
        <v/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</row>
    <row r="413">
      <c r="A413" s="4" t="str">
        <f t="shared" si="1"/>
        <v/>
      </c>
      <c r="B413" s="4"/>
      <c r="C413" s="4"/>
      <c r="D413" s="4"/>
      <c r="E413" s="94"/>
      <c r="F413" s="4" t="str">
        <f t="shared" si="2"/>
        <v/>
      </c>
      <c r="G413" s="2" t="str">
        <f t="shared" si="3"/>
        <v/>
      </c>
      <c r="H413" s="2" t="str">
        <f>IF(G413="","",SUMIF(Familias!C:C,G413,Familias!E:E))</f>
        <v/>
      </c>
      <c r="I413" s="4" t="str">
        <f>IF(A413="","",COUNTIF(Prod_Prop!B:B,A413))</f>
        <v/>
      </c>
      <c r="J413" s="92" t="str">
        <f>IF(E413="","",IF(SUMIF(Precio_Productos!L:L,E413,Precio_Productos!J:J)=0,"Falta Precio",SUMIF(Precio_Productos!L:L,E413,Precio_Productos!J:J)))</f>
        <v/>
      </c>
      <c r="O413" s="86"/>
      <c r="P413" s="86" t="str">
        <f>IFERROR(__xludf.DUMMYFUNCTION("IF(OR(F413=""Selecciona.."",F413=""""),"""",TRANSPOSE(filter(Familias!C:C,Familias!D:D=F413)))"),"")</f>
        <v/>
      </c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</row>
    <row r="414">
      <c r="A414" s="4" t="str">
        <f t="shared" si="1"/>
        <v/>
      </c>
      <c r="B414" s="4"/>
      <c r="C414" s="4"/>
      <c r="D414" s="4"/>
      <c r="E414" s="94"/>
      <c r="F414" s="4" t="str">
        <f t="shared" si="2"/>
        <v/>
      </c>
      <c r="G414" s="2" t="str">
        <f t="shared" si="3"/>
        <v/>
      </c>
      <c r="H414" s="2" t="str">
        <f>IF(G414="","",SUMIF(Familias!C:C,G414,Familias!E:E))</f>
        <v/>
      </c>
      <c r="I414" s="4" t="str">
        <f>IF(A414="","",COUNTIF(Prod_Prop!B:B,A414))</f>
        <v/>
      </c>
      <c r="J414" s="92" t="str">
        <f>IF(E414="","",IF(SUMIF(Precio_Productos!L:L,E414,Precio_Productos!J:J)=0,"Falta Precio",SUMIF(Precio_Productos!L:L,E414,Precio_Productos!J:J)))</f>
        <v/>
      </c>
      <c r="O414" s="86"/>
      <c r="P414" s="86" t="str">
        <f>IFERROR(__xludf.DUMMYFUNCTION("IF(OR(F414=""Selecciona.."",F414=""""),"""",TRANSPOSE(filter(Familias!C:C,Familias!D:D=F414)))"),"")</f>
        <v/>
      </c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</row>
    <row r="415">
      <c r="A415" s="4" t="str">
        <f t="shared" si="1"/>
        <v/>
      </c>
      <c r="B415" s="4"/>
      <c r="C415" s="4"/>
      <c r="D415" s="4"/>
      <c r="E415" s="94"/>
      <c r="F415" s="4" t="str">
        <f t="shared" si="2"/>
        <v/>
      </c>
      <c r="G415" s="2" t="str">
        <f t="shared" si="3"/>
        <v/>
      </c>
      <c r="H415" s="2" t="str">
        <f>IF(G415="","",SUMIF(Familias!C:C,G415,Familias!E:E))</f>
        <v/>
      </c>
      <c r="I415" s="4" t="str">
        <f>IF(A415="","",COUNTIF(Prod_Prop!B:B,A415))</f>
        <v/>
      </c>
      <c r="J415" s="92" t="str">
        <f>IF(E415="","",IF(SUMIF(Precio_Productos!L:L,E415,Precio_Productos!J:J)=0,"Falta Precio",SUMIF(Precio_Productos!L:L,E415,Precio_Productos!J:J)))</f>
        <v/>
      </c>
      <c r="O415" s="86"/>
      <c r="P415" s="86" t="str">
        <f>IFERROR(__xludf.DUMMYFUNCTION("IF(OR(F415=""Selecciona.."",F415=""""),"""",TRANSPOSE(filter(Familias!C:C,Familias!D:D=F415)))"),"")</f>
        <v/>
      </c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</row>
    <row r="416">
      <c r="A416" s="4" t="str">
        <f t="shared" si="1"/>
        <v/>
      </c>
      <c r="B416" s="4"/>
      <c r="C416" s="4"/>
      <c r="D416" s="4"/>
      <c r="E416" s="94"/>
      <c r="F416" s="4" t="str">
        <f t="shared" si="2"/>
        <v/>
      </c>
      <c r="G416" s="2" t="str">
        <f t="shared" si="3"/>
        <v/>
      </c>
      <c r="H416" s="2" t="str">
        <f>IF(G416="","",SUMIF(Familias!C:C,G416,Familias!E:E))</f>
        <v/>
      </c>
      <c r="I416" s="4" t="str">
        <f>IF(A416="","",COUNTIF(Prod_Prop!B:B,A416))</f>
        <v/>
      </c>
      <c r="J416" s="92" t="str">
        <f>IF(E416="","",IF(SUMIF(Precio_Productos!L:L,E416,Precio_Productos!J:J)=0,"Falta Precio",SUMIF(Precio_Productos!L:L,E416,Precio_Productos!J:J)))</f>
        <v/>
      </c>
      <c r="O416" s="86"/>
      <c r="P416" s="86" t="str">
        <f>IFERROR(__xludf.DUMMYFUNCTION("IF(OR(F416=""Selecciona.."",F416=""""),"""",TRANSPOSE(filter(Familias!C:C,Familias!D:D=F416)))"),"")</f>
        <v/>
      </c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</row>
    <row r="417">
      <c r="A417" s="4" t="str">
        <f t="shared" si="1"/>
        <v/>
      </c>
      <c r="B417" s="4"/>
      <c r="C417" s="4"/>
      <c r="D417" s="4"/>
      <c r="E417" s="94"/>
      <c r="F417" s="4" t="str">
        <f t="shared" si="2"/>
        <v/>
      </c>
      <c r="G417" s="2" t="str">
        <f t="shared" si="3"/>
        <v/>
      </c>
      <c r="H417" s="2" t="str">
        <f>IF(G417="","",SUMIF(Familias!C:C,G417,Familias!E:E))</f>
        <v/>
      </c>
      <c r="I417" s="4" t="str">
        <f>IF(A417="","",COUNTIF(Prod_Prop!B:B,A417))</f>
        <v/>
      </c>
      <c r="J417" s="92" t="str">
        <f>IF(E417="","",IF(SUMIF(Precio_Productos!L:L,E417,Precio_Productos!J:J)=0,"Falta Precio",SUMIF(Precio_Productos!L:L,E417,Precio_Productos!J:J)))</f>
        <v/>
      </c>
      <c r="O417" s="86"/>
      <c r="P417" s="86" t="str">
        <f>IFERROR(__xludf.DUMMYFUNCTION("IF(OR(F417=""Selecciona.."",F417=""""),"""",TRANSPOSE(filter(Familias!C:C,Familias!D:D=F417)))"),"")</f>
        <v/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</row>
    <row r="418">
      <c r="A418" s="4" t="str">
        <f t="shared" si="1"/>
        <v/>
      </c>
      <c r="B418" s="4"/>
      <c r="C418" s="4"/>
      <c r="D418" s="4"/>
      <c r="E418" s="94"/>
      <c r="F418" s="4" t="str">
        <f t="shared" si="2"/>
        <v/>
      </c>
      <c r="G418" s="2" t="str">
        <f t="shared" si="3"/>
        <v/>
      </c>
      <c r="H418" s="2" t="str">
        <f>IF(G418="","",SUMIF(Familias!C:C,G418,Familias!E:E))</f>
        <v/>
      </c>
      <c r="I418" s="4" t="str">
        <f>IF(A418="","",COUNTIF(Prod_Prop!B:B,A418))</f>
        <v/>
      </c>
      <c r="J418" s="92" t="str">
        <f>IF(E418="","",IF(SUMIF(Precio_Productos!L:L,E418,Precio_Productos!J:J)=0,"Falta Precio",SUMIF(Precio_Productos!L:L,E418,Precio_Productos!J:J)))</f>
        <v/>
      </c>
      <c r="O418" s="86"/>
      <c r="P418" s="86" t="str">
        <f>IFERROR(__xludf.DUMMYFUNCTION("IF(OR(F418=""Selecciona.."",F418=""""),"""",TRANSPOSE(filter(Familias!C:C,Familias!D:D=F418)))"),"")</f>
        <v/>
      </c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</row>
    <row r="419">
      <c r="A419" s="4" t="str">
        <f t="shared" si="1"/>
        <v/>
      </c>
      <c r="B419" s="4"/>
      <c r="C419" s="4"/>
      <c r="D419" s="4"/>
      <c r="E419" s="94"/>
      <c r="F419" s="4" t="str">
        <f t="shared" si="2"/>
        <v/>
      </c>
      <c r="G419" s="2" t="str">
        <f t="shared" si="3"/>
        <v/>
      </c>
      <c r="H419" s="2" t="str">
        <f>IF(G419="","",SUMIF(Familias!C:C,G419,Familias!E:E))</f>
        <v/>
      </c>
      <c r="I419" s="4" t="str">
        <f>IF(A419="","",COUNTIF(Prod_Prop!B:B,A419))</f>
        <v/>
      </c>
      <c r="J419" s="92" t="str">
        <f>IF(E419="","",IF(SUMIF(Precio_Productos!L:L,E419,Precio_Productos!J:J)=0,"Falta Precio",SUMIF(Precio_Productos!L:L,E419,Precio_Productos!J:J)))</f>
        <v/>
      </c>
      <c r="O419" s="86"/>
      <c r="P419" s="86" t="str">
        <f>IFERROR(__xludf.DUMMYFUNCTION("IF(OR(F419=""Selecciona.."",F419=""""),"""",TRANSPOSE(filter(Familias!C:C,Familias!D:D=F419)))"),"")</f>
        <v/>
      </c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</row>
    <row r="420">
      <c r="A420" s="4" t="str">
        <f t="shared" si="1"/>
        <v/>
      </c>
      <c r="B420" s="4"/>
      <c r="C420" s="4"/>
      <c r="D420" s="4"/>
      <c r="E420" s="94"/>
      <c r="F420" s="4" t="str">
        <f t="shared" si="2"/>
        <v/>
      </c>
      <c r="G420" s="2" t="str">
        <f t="shared" si="3"/>
        <v/>
      </c>
      <c r="H420" s="2" t="str">
        <f>IF(G420="","",SUMIF(Familias!C:C,G420,Familias!E:E))</f>
        <v/>
      </c>
      <c r="I420" s="4" t="str">
        <f>IF(A420="","",COUNTIF(Prod_Prop!B:B,A420))</f>
        <v/>
      </c>
      <c r="J420" s="92" t="str">
        <f>IF(E420="","",IF(SUMIF(Precio_Productos!L:L,E420,Precio_Productos!J:J)=0,"Falta Precio",SUMIF(Precio_Productos!L:L,E420,Precio_Productos!J:J)))</f>
        <v/>
      </c>
      <c r="O420" s="86"/>
      <c r="P420" s="86" t="str">
        <f>IFERROR(__xludf.DUMMYFUNCTION("IF(OR(F420=""Selecciona.."",F420=""""),"""",TRANSPOSE(filter(Familias!C:C,Familias!D:D=F420)))"),"")</f>
        <v/>
      </c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</row>
    <row r="421">
      <c r="A421" s="4" t="str">
        <f t="shared" si="1"/>
        <v/>
      </c>
      <c r="B421" s="4"/>
      <c r="C421" s="4"/>
      <c r="D421" s="4"/>
      <c r="E421" s="94"/>
      <c r="F421" s="4" t="str">
        <f t="shared" si="2"/>
        <v/>
      </c>
      <c r="G421" s="2" t="str">
        <f t="shared" si="3"/>
        <v/>
      </c>
      <c r="H421" s="2" t="str">
        <f>IF(G421="","",SUMIF(Familias!C:C,G421,Familias!E:E))</f>
        <v/>
      </c>
      <c r="I421" s="4" t="str">
        <f>IF(A421="","",COUNTIF(Prod_Prop!B:B,A421))</f>
        <v/>
      </c>
      <c r="J421" s="92" t="str">
        <f>IF(E421="","",IF(SUMIF(Precio_Productos!L:L,E421,Precio_Productos!J:J)=0,"Falta Precio",SUMIF(Precio_Productos!L:L,E421,Precio_Productos!J:J)))</f>
        <v/>
      </c>
      <c r="O421" s="86"/>
      <c r="P421" s="86" t="str">
        <f>IFERROR(__xludf.DUMMYFUNCTION("IF(OR(F421=""Selecciona.."",F421=""""),"""",TRANSPOSE(filter(Familias!C:C,Familias!D:D=F421)))"),"")</f>
        <v/>
      </c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</row>
    <row r="422">
      <c r="A422" s="4" t="str">
        <f t="shared" si="1"/>
        <v/>
      </c>
      <c r="B422" s="4"/>
      <c r="C422" s="4"/>
      <c r="D422" s="4"/>
      <c r="E422" s="94"/>
      <c r="F422" s="4" t="str">
        <f t="shared" si="2"/>
        <v/>
      </c>
      <c r="G422" s="2" t="str">
        <f t="shared" si="3"/>
        <v/>
      </c>
      <c r="H422" s="2" t="str">
        <f>IF(G422="","",SUMIF(Familias!C:C,G422,Familias!E:E))</f>
        <v/>
      </c>
      <c r="I422" s="4" t="str">
        <f>IF(A422="","",COUNTIF(Prod_Prop!B:B,A422))</f>
        <v/>
      </c>
      <c r="J422" s="92" t="str">
        <f>IF(E422="","",IF(SUMIF(Precio_Productos!L:L,E422,Precio_Productos!J:J)=0,"Falta Precio",SUMIF(Precio_Productos!L:L,E422,Precio_Productos!J:J)))</f>
        <v/>
      </c>
      <c r="O422" s="86"/>
      <c r="P422" s="86" t="str">
        <f>IFERROR(__xludf.DUMMYFUNCTION("IF(OR(F422=""Selecciona.."",F422=""""),"""",TRANSPOSE(filter(Familias!C:C,Familias!D:D=F422)))"),"")</f>
        <v/>
      </c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</row>
    <row r="423">
      <c r="A423" s="4" t="str">
        <f t="shared" si="1"/>
        <v/>
      </c>
      <c r="B423" s="4"/>
      <c r="C423" s="4"/>
      <c r="D423" s="4"/>
      <c r="E423" s="94"/>
      <c r="F423" s="4" t="str">
        <f t="shared" si="2"/>
        <v/>
      </c>
      <c r="G423" s="2" t="str">
        <f t="shared" si="3"/>
        <v/>
      </c>
      <c r="H423" s="2" t="str">
        <f>IF(G423="","",SUMIF(Familias!C:C,G423,Familias!E:E))</f>
        <v/>
      </c>
      <c r="I423" s="4" t="str">
        <f>IF(A423="","",COUNTIF(Prod_Prop!B:B,A423))</f>
        <v/>
      </c>
      <c r="J423" s="92" t="str">
        <f>IF(E423="","",IF(SUMIF(Precio_Productos!L:L,E423,Precio_Productos!J:J)=0,"Falta Precio",SUMIF(Precio_Productos!L:L,E423,Precio_Productos!J:J)))</f>
        <v/>
      </c>
      <c r="O423" s="86"/>
      <c r="P423" s="86" t="str">
        <f>IFERROR(__xludf.DUMMYFUNCTION("IF(OR(F423=""Selecciona.."",F423=""""),"""",TRANSPOSE(filter(Familias!C:C,Familias!D:D=F423)))"),"")</f>
        <v/>
      </c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</row>
    <row r="424">
      <c r="A424" s="4" t="str">
        <f t="shared" si="1"/>
        <v/>
      </c>
      <c r="B424" s="4"/>
      <c r="C424" s="4"/>
      <c r="D424" s="4"/>
      <c r="E424" s="94"/>
      <c r="F424" s="4" t="str">
        <f t="shared" si="2"/>
        <v/>
      </c>
      <c r="G424" s="2" t="str">
        <f t="shared" si="3"/>
        <v/>
      </c>
      <c r="H424" s="2" t="str">
        <f>IF(G424="","",SUMIF(Familias!C:C,G424,Familias!E:E))</f>
        <v/>
      </c>
      <c r="I424" s="4" t="str">
        <f>IF(A424="","",COUNTIF(Prod_Prop!B:B,A424))</f>
        <v/>
      </c>
      <c r="J424" s="92" t="str">
        <f>IF(E424="","",IF(SUMIF(Precio_Productos!L:L,E424,Precio_Productos!J:J)=0,"Falta Precio",SUMIF(Precio_Productos!L:L,E424,Precio_Productos!J:J)))</f>
        <v/>
      </c>
      <c r="O424" s="86"/>
      <c r="P424" s="86" t="str">
        <f>IFERROR(__xludf.DUMMYFUNCTION("IF(OR(F424=""Selecciona.."",F424=""""),"""",TRANSPOSE(filter(Familias!C:C,Familias!D:D=F424)))"),"")</f>
        <v/>
      </c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</row>
    <row r="425">
      <c r="A425" s="4" t="str">
        <f t="shared" si="1"/>
        <v/>
      </c>
      <c r="B425" s="4"/>
      <c r="C425" s="4"/>
      <c r="D425" s="4"/>
      <c r="E425" s="94"/>
      <c r="F425" s="4" t="str">
        <f t="shared" si="2"/>
        <v/>
      </c>
      <c r="G425" s="2" t="str">
        <f t="shared" si="3"/>
        <v/>
      </c>
      <c r="H425" s="2" t="str">
        <f>IF(G425="","",SUMIF(Familias!C:C,G425,Familias!E:E))</f>
        <v/>
      </c>
      <c r="I425" s="4" t="str">
        <f>IF(A425="","",COUNTIF(Prod_Prop!B:B,A425))</f>
        <v/>
      </c>
      <c r="J425" s="92" t="str">
        <f>IF(E425="","",IF(SUMIF(Precio_Productos!L:L,E425,Precio_Productos!J:J)=0,"Falta Precio",SUMIF(Precio_Productos!L:L,E425,Precio_Productos!J:J)))</f>
        <v/>
      </c>
      <c r="O425" s="86"/>
      <c r="P425" s="86" t="str">
        <f>IFERROR(__xludf.DUMMYFUNCTION("IF(OR(F425=""Selecciona.."",F425=""""),"""",TRANSPOSE(filter(Familias!C:C,Familias!D:D=F425)))"),"")</f>
        <v/>
      </c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</row>
    <row r="426">
      <c r="A426" s="4" t="str">
        <f t="shared" si="1"/>
        <v/>
      </c>
      <c r="B426" s="4"/>
      <c r="C426" s="4"/>
      <c r="D426" s="4"/>
      <c r="E426" s="94"/>
      <c r="F426" s="4" t="str">
        <f t="shared" si="2"/>
        <v/>
      </c>
      <c r="G426" s="2" t="str">
        <f t="shared" si="3"/>
        <v/>
      </c>
      <c r="H426" s="2" t="str">
        <f>IF(G426="","",SUMIF(Familias!C:C,G426,Familias!E:E))</f>
        <v/>
      </c>
      <c r="I426" s="4" t="str">
        <f>IF(A426="","",COUNTIF(Prod_Prop!B:B,A426))</f>
        <v/>
      </c>
      <c r="J426" s="92" t="str">
        <f>IF(E426="","",IF(SUMIF(Precio_Productos!L:L,E426,Precio_Productos!J:J)=0,"Falta Precio",SUMIF(Precio_Productos!L:L,E426,Precio_Productos!J:J)))</f>
        <v/>
      </c>
      <c r="O426" s="86"/>
      <c r="P426" s="86" t="str">
        <f>IFERROR(__xludf.DUMMYFUNCTION("IF(OR(F426=""Selecciona.."",F426=""""),"""",TRANSPOSE(filter(Familias!C:C,Familias!D:D=F426)))"),"")</f>
        <v/>
      </c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</row>
    <row r="427">
      <c r="A427" s="4" t="str">
        <f t="shared" si="1"/>
        <v/>
      </c>
      <c r="B427" s="4"/>
      <c r="C427" s="4"/>
      <c r="D427" s="4"/>
      <c r="E427" s="94"/>
      <c r="F427" s="4" t="str">
        <f t="shared" si="2"/>
        <v/>
      </c>
      <c r="G427" s="2" t="str">
        <f t="shared" si="3"/>
        <v/>
      </c>
      <c r="H427" s="2" t="str">
        <f>IF(G427="","",SUMIF(Familias!C:C,G427,Familias!E:E))</f>
        <v/>
      </c>
      <c r="I427" s="4" t="str">
        <f>IF(A427="","",COUNTIF(Prod_Prop!B:B,A427))</f>
        <v/>
      </c>
      <c r="J427" s="92" t="str">
        <f>IF(E427="","",IF(SUMIF(Precio_Productos!L:L,E427,Precio_Productos!J:J)=0,"Falta Precio",SUMIF(Precio_Productos!L:L,E427,Precio_Productos!J:J)))</f>
        <v/>
      </c>
      <c r="O427" s="86"/>
      <c r="P427" s="86" t="str">
        <f>IFERROR(__xludf.DUMMYFUNCTION("IF(OR(F427=""Selecciona.."",F427=""""),"""",TRANSPOSE(filter(Familias!C:C,Familias!D:D=F427)))"),"")</f>
        <v/>
      </c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</row>
    <row r="428">
      <c r="A428" s="4" t="str">
        <f t="shared" si="1"/>
        <v/>
      </c>
      <c r="B428" s="4"/>
      <c r="C428" s="4"/>
      <c r="D428" s="4"/>
      <c r="E428" s="94"/>
      <c r="F428" s="4" t="str">
        <f t="shared" si="2"/>
        <v/>
      </c>
      <c r="G428" s="2" t="str">
        <f t="shared" si="3"/>
        <v/>
      </c>
      <c r="H428" s="2" t="str">
        <f>IF(G428="","",SUMIF(Familias!C:C,G428,Familias!E:E))</f>
        <v/>
      </c>
      <c r="I428" s="4" t="str">
        <f>IF(A428="","",COUNTIF(Prod_Prop!B:B,A428))</f>
        <v/>
      </c>
      <c r="J428" s="92" t="str">
        <f>IF(E428="","",IF(SUMIF(Precio_Productos!L:L,E428,Precio_Productos!J:J)=0,"Falta Precio",SUMIF(Precio_Productos!L:L,E428,Precio_Productos!J:J)))</f>
        <v/>
      </c>
      <c r="O428" s="86"/>
      <c r="P428" s="86" t="str">
        <f>IFERROR(__xludf.DUMMYFUNCTION("IF(OR(F428=""Selecciona.."",F428=""""),"""",TRANSPOSE(filter(Familias!C:C,Familias!D:D=F428)))"),"")</f>
        <v/>
      </c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</row>
    <row r="429">
      <c r="A429" s="4" t="str">
        <f t="shared" si="1"/>
        <v/>
      </c>
      <c r="B429" s="4"/>
      <c r="C429" s="4"/>
      <c r="D429" s="4"/>
      <c r="E429" s="94"/>
      <c r="F429" s="4" t="str">
        <f t="shared" si="2"/>
        <v/>
      </c>
      <c r="G429" s="2" t="str">
        <f t="shared" si="3"/>
        <v/>
      </c>
      <c r="H429" s="2" t="str">
        <f>IF(G429="","",SUMIF(Familias!C:C,G429,Familias!E:E))</f>
        <v/>
      </c>
      <c r="I429" s="4" t="str">
        <f>IF(A429="","",COUNTIF(Prod_Prop!B:B,A429))</f>
        <v/>
      </c>
      <c r="J429" s="92" t="str">
        <f>IF(E429="","",IF(SUMIF(Precio_Productos!L:L,E429,Precio_Productos!J:J)=0,"Falta Precio",SUMIF(Precio_Productos!L:L,E429,Precio_Productos!J:J)))</f>
        <v/>
      </c>
      <c r="O429" s="86"/>
      <c r="P429" s="86" t="str">
        <f>IFERROR(__xludf.DUMMYFUNCTION("IF(OR(F429=""Selecciona.."",F429=""""),"""",TRANSPOSE(filter(Familias!C:C,Familias!D:D=F429)))"),"")</f>
        <v/>
      </c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</row>
    <row r="430">
      <c r="A430" s="4" t="str">
        <f t="shared" si="1"/>
        <v/>
      </c>
      <c r="B430" s="4"/>
      <c r="C430" s="4"/>
      <c r="D430" s="4"/>
      <c r="E430" s="94"/>
      <c r="F430" s="4" t="str">
        <f t="shared" si="2"/>
        <v/>
      </c>
      <c r="G430" s="2" t="str">
        <f t="shared" si="3"/>
        <v/>
      </c>
      <c r="H430" s="2" t="str">
        <f>IF(G430="","",SUMIF(Familias!C:C,G430,Familias!E:E))</f>
        <v/>
      </c>
      <c r="I430" s="4" t="str">
        <f>IF(A430="","",COUNTIF(Prod_Prop!B:B,A430))</f>
        <v/>
      </c>
      <c r="J430" s="92" t="str">
        <f>IF(E430="","",IF(SUMIF(Precio_Productos!L:L,E430,Precio_Productos!J:J)=0,"Falta Precio",SUMIF(Precio_Productos!L:L,E430,Precio_Productos!J:J)))</f>
        <v/>
      </c>
      <c r="O430" s="86"/>
      <c r="P430" s="86" t="str">
        <f>IFERROR(__xludf.DUMMYFUNCTION("IF(OR(F430=""Selecciona.."",F430=""""),"""",TRANSPOSE(filter(Familias!C:C,Familias!D:D=F430)))"),"")</f>
        <v/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</row>
    <row r="431">
      <c r="A431" s="4" t="str">
        <f t="shared" si="1"/>
        <v/>
      </c>
      <c r="B431" s="4"/>
      <c r="C431" s="4"/>
      <c r="D431" s="4"/>
      <c r="E431" s="94"/>
      <c r="F431" s="4" t="str">
        <f t="shared" si="2"/>
        <v/>
      </c>
      <c r="G431" s="2" t="str">
        <f t="shared" si="3"/>
        <v/>
      </c>
      <c r="H431" s="2" t="str">
        <f>IF(G431="","",SUMIF(Familias!C:C,G431,Familias!E:E))</f>
        <v/>
      </c>
      <c r="I431" s="4" t="str">
        <f>IF(A431="","",COUNTIF(Prod_Prop!B:B,A431))</f>
        <v/>
      </c>
      <c r="J431" s="92" t="str">
        <f>IF(E431="","",IF(SUMIF(Precio_Productos!L:L,E431,Precio_Productos!J:J)=0,"Falta Precio",SUMIF(Precio_Productos!L:L,E431,Precio_Productos!J:J)))</f>
        <v/>
      </c>
      <c r="O431" s="86"/>
      <c r="P431" s="86" t="str">
        <f>IFERROR(__xludf.DUMMYFUNCTION("IF(OR(F431=""Selecciona.."",F431=""""),"""",TRANSPOSE(filter(Familias!C:C,Familias!D:D=F431)))"),"")</f>
        <v/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</row>
    <row r="432">
      <c r="A432" s="4" t="str">
        <f t="shared" si="1"/>
        <v/>
      </c>
      <c r="B432" s="4"/>
      <c r="C432" s="4"/>
      <c r="D432" s="4"/>
      <c r="E432" s="94"/>
      <c r="F432" s="4" t="str">
        <f t="shared" si="2"/>
        <v/>
      </c>
      <c r="G432" s="2" t="str">
        <f t="shared" si="3"/>
        <v/>
      </c>
      <c r="H432" s="2" t="str">
        <f>IF(G432="","",SUMIF(Familias!C:C,G432,Familias!E:E))</f>
        <v/>
      </c>
      <c r="I432" s="4" t="str">
        <f>IF(A432="","",COUNTIF(Prod_Prop!B:B,A432))</f>
        <v/>
      </c>
      <c r="J432" s="92" t="str">
        <f>IF(E432="","",IF(SUMIF(Precio_Productos!L:L,E432,Precio_Productos!J:J)=0,"Falta Precio",SUMIF(Precio_Productos!L:L,E432,Precio_Productos!J:J)))</f>
        <v/>
      </c>
      <c r="O432" s="86"/>
      <c r="P432" s="86" t="str">
        <f>IFERROR(__xludf.DUMMYFUNCTION("IF(OR(F432=""Selecciona.."",F432=""""),"""",TRANSPOSE(filter(Familias!C:C,Familias!D:D=F432)))"),"")</f>
        <v/>
      </c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</row>
    <row r="433">
      <c r="A433" s="4" t="str">
        <f t="shared" si="1"/>
        <v/>
      </c>
      <c r="B433" s="4"/>
      <c r="C433" s="4"/>
      <c r="D433" s="4"/>
      <c r="E433" s="94"/>
      <c r="F433" s="4" t="str">
        <f t="shared" si="2"/>
        <v/>
      </c>
      <c r="G433" s="2" t="str">
        <f t="shared" si="3"/>
        <v/>
      </c>
      <c r="H433" s="2" t="str">
        <f>IF(G433="","",SUMIF(Familias!C:C,G433,Familias!E:E))</f>
        <v/>
      </c>
      <c r="I433" s="4" t="str">
        <f>IF(A433="","",COUNTIF(Prod_Prop!B:B,A433))</f>
        <v/>
      </c>
      <c r="J433" s="92" t="str">
        <f>IF(E433="","",IF(SUMIF(Precio_Productos!L:L,E433,Precio_Productos!J:J)=0,"Falta Precio",SUMIF(Precio_Productos!L:L,E433,Precio_Productos!J:J)))</f>
        <v/>
      </c>
      <c r="O433" s="86"/>
      <c r="P433" s="86" t="str">
        <f>IFERROR(__xludf.DUMMYFUNCTION("IF(OR(F433=""Selecciona.."",F433=""""),"""",TRANSPOSE(filter(Familias!C:C,Familias!D:D=F433)))"),"")</f>
        <v/>
      </c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</row>
    <row r="434">
      <c r="A434" s="4" t="str">
        <f t="shared" si="1"/>
        <v/>
      </c>
      <c r="B434" s="4"/>
      <c r="C434" s="4"/>
      <c r="D434" s="4"/>
      <c r="E434" s="94"/>
      <c r="F434" s="4" t="str">
        <f t="shared" si="2"/>
        <v/>
      </c>
      <c r="G434" s="2" t="str">
        <f t="shared" si="3"/>
        <v/>
      </c>
      <c r="H434" s="2" t="str">
        <f>IF(G434="","",SUMIF(Familias!C:C,G434,Familias!E:E))</f>
        <v/>
      </c>
      <c r="I434" s="4" t="str">
        <f>IF(A434="","",COUNTIF(Prod_Prop!B:B,A434))</f>
        <v/>
      </c>
      <c r="J434" s="92" t="str">
        <f>IF(E434="","",IF(SUMIF(Precio_Productos!L:L,E434,Precio_Productos!J:J)=0,"Falta Precio",SUMIF(Precio_Productos!L:L,E434,Precio_Productos!J:J)))</f>
        <v/>
      </c>
      <c r="O434" s="86"/>
      <c r="P434" s="86" t="str">
        <f>IFERROR(__xludf.DUMMYFUNCTION("IF(OR(F434=""Selecciona.."",F434=""""),"""",TRANSPOSE(filter(Familias!C:C,Familias!D:D=F434)))"),"")</f>
        <v/>
      </c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</row>
    <row r="435">
      <c r="A435" s="4" t="str">
        <f t="shared" si="1"/>
        <v/>
      </c>
      <c r="B435" s="4"/>
      <c r="C435" s="4"/>
      <c r="D435" s="4"/>
      <c r="E435" s="94"/>
      <c r="F435" s="4" t="str">
        <f t="shared" si="2"/>
        <v/>
      </c>
      <c r="G435" s="2" t="str">
        <f t="shared" si="3"/>
        <v/>
      </c>
      <c r="H435" s="2" t="str">
        <f>IF(G435="","",SUMIF(Familias!C:C,G435,Familias!E:E))</f>
        <v/>
      </c>
      <c r="I435" s="4" t="str">
        <f>IF(A435="","",COUNTIF(Prod_Prop!B:B,A435))</f>
        <v/>
      </c>
      <c r="J435" s="92" t="str">
        <f>IF(E435="","",IF(SUMIF(Precio_Productos!L:L,E435,Precio_Productos!J:J)=0,"Falta Precio",SUMIF(Precio_Productos!L:L,E435,Precio_Productos!J:J)))</f>
        <v/>
      </c>
      <c r="O435" s="86"/>
      <c r="P435" s="86" t="str">
        <f>IFERROR(__xludf.DUMMYFUNCTION("IF(OR(F435=""Selecciona.."",F435=""""),"""",TRANSPOSE(filter(Familias!C:C,Familias!D:D=F435)))"),"")</f>
        <v/>
      </c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</row>
    <row r="436">
      <c r="A436" s="4" t="str">
        <f t="shared" si="1"/>
        <v/>
      </c>
      <c r="B436" s="4"/>
      <c r="C436" s="4"/>
      <c r="D436" s="4"/>
      <c r="E436" s="94"/>
      <c r="F436" s="4" t="str">
        <f t="shared" si="2"/>
        <v/>
      </c>
      <c r="G436" s="2" t="str">
        <f t="shared" si="3"/>
        <v/>
      </c>
      <c r="H436" s="2" t="str">
        <f>IF(G436="","",SUMIF(Familias!C:C,G436,Familias!E:E))</f>
        <v/>
      </c>
      <c r="I436" s="4" t="str">
        <f>IF(A436="","",COUNTIF(Prod_Prop!B:B,A436))</f>
        <v/>
      </c>
      <c r="J436" s="92" t="str">
        <f>IF(E436="","",IF(SUMIF(Precio_Productos!L:L,E436,Precio_Productos!J:J)=0,"Falta Precio",SUMIF(Precio_Productos!L:L,E436,Precio_Productos!J:J)))</f>
        <v/>
      </c>
      <c r="O436" s="86"/>
      <c r="P436" s="86" t="str">
        <f>IFERROR(__xludf.DUMMYFUNCTION("IF(OR(F436=""Selecciona.."",F436=""""),"""",TRANSPOSE(filter(Familias!C:C,Familias!D:D=F436)))"),"")</f>
        <v/>
      </c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</row>
    <row r="437">
      <c r="A437" s="4" t="str">
        <f t="shared" si="1"/>
        <v/>
      </c>
      <c r="B437" s="4"/>
      <c r="C437" s="4"/>
      <c r="D437" s="4"/>
      <c r="E437" s="94"/>
      <c r="F437" s="4" t="str">
        <f t="shared" si="2"/>
        <v/>
      </c>
      <c r="G437" s="2" t="str">
        <f t="shared" si="3"/>
        <v/>
      </c>
      <c r="H437" s="2" t="str">
        <f>IF(G437="","",SUMIF(Familias!C:C,G437,Familias!E:E))</f>
        <v/>
      </c>
      <c r="I437" s="4" t="str">
        <f>IF(A437="","",COUNTIF(Prod_Prop!B:B,A437))</f>
        <v/>
      </c>
      <c r="J437" s="92" t="str">
        <f>IF(E437="","",IF(SUMIF(Precio_Productos!L:L,E437,Precio_Productos!J:J)=0,"Falta Precio",SUMIF(Precio_Productos!L:L,E437,Precio_Productos!J:J)))</f>
        <v/>
      </c>
      <c r="O437" s="86"/>
      <c r="P437" s="86" t="str">
        <f>IFERROR(__xludf.DUMMYFUNCTION("IF(OR(F437=""Selecciona.."",F437=""""),"""",TRANSPOSE(filter(Familias!C:C,Familias!D:D=F437)))"),"")</f>
        <v/>
      </c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</row>
    <row r="438">
      <c r="A438" s="4" t="str">
        <f t="shared" si="1"/>
        <v/>
      </c>
      <c r="B438" s="4"/>
      <c r="C438" s="4"/>
      <c r="D438" s="4"/>
      <c r="E438" s="94"/>
      <c r="F438" s="4" t="str">
        <f t="shared" si="2"/>
        <v/>
      </c>
      <c r="G438" s="2" t="str">
        <f t="shared" si="3"/>
        <v/>
      </c>
      <c r="H438" s="2" t="str">
        <f>IF(G438="","",SUMIF(Familias!C:C,G438,Familias!E:E))</f>
        <v/>
      </c>
      <c r="I438" s="4" t="str">
        <f>IF(A438="","",COUNTIF(Prod_Prop!B:B,A438))</f>
        <v/>
      </c>
      <c r="J438" s="92" t="str">
        <f>IF(E438="","",IF(SUMIF(Precio_Productos!L:L,E438,Precio_Productos!J:J)=0,"Falta Precio",SUMIF(Precio_Productos!L:L,E438,Precio_Productos!J:J)))</f>
        <v/>
      </c>
      <c r="O438" s="86"/>
      <c r="P438" s="86" t="str">
        <f>IFERROR(__xludf.DUMMYFUNCTION("IF(OR(F438=""Selecciona.."",F438=""""),"""",TRANSPOSE(filter(Familias!C:C,Familias!D:D=F438)))"),"")</f>
        <v/>
      </c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</row>
    <row r="439">
      <c r="A439" s="4" t="str">
        <f t="shared" si="1"/>
        <v/>
      </c>
      <c r="B439" s="4"/>
      <c r="C439" s="4"/>
      <c r="D439" s="4"/>
      <c r="E439" s="94"/>
      <c r="F439" s="4" t="str">
        <f t="shared" si="2"/>
        <v/>
      </c>
      <c r="G439" s="2" t="str">
        <f t="shared" si="3"/>
        <v/>
      </c>
      <c r="H439" s="2" t="str">
        <f>IF(G439="","",SUMIF(Familias!C:C,G439,Familias!E:E))</f>
        <v/>
      </c>
      <c r="I439" s="4" t="str">
        <f>IF(A439="","",COUNTIF(Prod_Prop!B:B,A439))</f>
        <v/>
      </c>
      <c r="J439" s="92" t="str">
        <f>IF(E439="","",IF(SUMIF(Precio_Productos!L:L,E439,Precio_Productos!J:J)=0,"Falta Precio",SUMIF(Precio_Productos!L:L,E439,Precio_Productos!J:J)))</f>
        <v/>
      </c>
      <c r="O439" s="86"/>
      <c r="P439" s="86" t="str">
        <f>IFERROR(__xludf.DUMMYFUNCTION("IF(OR(F439=""Selecciona.."",F439=""""),"""",TRANSPOSE(filter(Familias!C:C,Familias!D:D=F439)))"),"")</f>
        <v/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</row>
    <row r="440">
      <c r="A440" s="4" t="str">
        <f t="shared" si="1"/>
        <v/>
      </c>
      <c r="B440" s="4"/>
      <c r="C440" s="4"/>
      <c r="D440" s="4"/>
      <c r="E440" s="94"/>
      <c r="F440" s="4" t="str">
        <f t="shared" si="2"/>
        <v/>
      </c>
      <c r="G440" s="2" t="str">
        <f t="shared" si="3"/>
        <v/>
      </c>
      <c r="H440" s="2" t="str">
        <f>IF(G440="","",SUMIF(Familias!C:C,G440,Familias!E:E))</f>
        <v/>
      </c>
      <c r="I440" s="4" t="str">
        <f>IF(A440="","",COUNTIF(Prod_Prop!B:B,A440))</f>
        <v/>
      </c>
      <c r="J440" s="92" t="str">
        <f>IF(E440="","",IF(SUMIF(Precio_Productos!L:L,E440,Precio_Productos!J:J)=0,"Falta Precio",SUMIF(Precio_Productos!L:L,E440,Precio_Productos!J:J)))</f>
        <v/>
      </c>
      <c r="O440" s="86"/>
      <c r="P440" s="86" t="str">
        <f>IFERROR(__xludf.DUMMYFUNCTION("IF(OR(F440=""Selecciona.."",F440=""""),"""",TRANSPOSE(filter(Familias!C:C,Familias!D:D=F440)))"),"")</f>
        <v/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</row>
    <row r="441">
      <c r="A441" s="4" t="str">
        <f t="shared" si="1"/>
        <v/>
      </c>
      <c r="B441" s="4"/>
      <c r="C441" s="4"/>
      <c r="D441" s="4"/>
      <c r="E441" s="94"/>
      <c r="F441" s="4" t="str">
        <f t="shared" si="2"/>
        <v/>
      </c>
      <c r="G441" s="2" t="str">
        <f t="shared" si="3"/>
        <v/>
      </c>
      <c r="H441" s="2" t="str">
        <f>IF(G441="","",SUMIF(Familias!C:C,G441,Familias!E:E))</f>
        <v/>
      </c>
      <c r="I441" s="4" t="str">
        <f>IF(A441="","",COUNTIF(Prod_Prop!B:B,A441))</f>
        <v/>
      </c>
      <c r="J441" s="92" t="str">
        <f>IF(E441="","",IF(SUMIF(Precio_Productos!L:L,E441,Precio_Productos!J:J)=0,"Falta Precio",SUMIF(Precio_Productos!L:L,E441,Precio_Productos!J:J)))</f>
        <v/>
      </c>
      <c r="O441" s="86"/>
      <c r="P441" s="86" t="str">
        <f>IFERROR(__xludf.DUMMYFUNCTION("IF(OR(F441=""Selecciona.."",F441=""""),"""",TRANSPOSE(filter(Familias!C:C,Familias!D:D=F441)))"),"")</f>
        <v/>
      </c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</row>
    <row r="442">
      <c r="A442" s="4" t="str">
        <f t="shared" si="1"/>
        <v/>
      </c>
      <c r="B442" s="4"/>
      <c r="C442" s="4"/>
      <c r="D442" s="4"/>
      <c r="E442" s="94"/>
      <c r="F442" s="4" t="str">
        <f t="shared" si="2"/>
        <v/>
      </c>
      <c r="G442" s="2" t="str">
        <f t="shared" si="3"/>
        <v/>
      </c>
      <c r="H442" s="2" t="str">
        <f>IF(G442="","",SUMIF(Familias!C:C,G442,Familias!E:E))</f>
        <v/>
      </c>
      <c r="I442" s="4" t="str">
        <f>IF(A442="","",COUNTIF(Prod_Prop!B:B,A442))</f>
        <v/>
      </c>
      <c r="J442" s="92" t="str">
        <f>IF(E442="","",IF(SUMIF(Precio_Productos!L:L,E442,Precio_Productos!J:J)=0,"Falta Precio",SUMIF(Precio_Productos!L:L,E442,Precio_Productos!J:J)))</f>
        <v/>
      </c>
      <c r="O442" s="86"/>
      <c r="P442" s="86" t="str">
        <f>IFERROR(__xludf.DUMMYFUNCTION("IF(OR(F442=""Selecciona.."",F442=""""),"""",TRANSPOSE(filter(Familias!C:C,Familias!D:D=F442)))"),"")</f>
        <v/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</row>
    <row r="443">
      <c r="A443" s="4" t="str">
        <f t="shared" si="1"/>
        <v/>
      </c>
      <c r="B443" s="4"/>
      <c r="C443" s="4"/>
      <c r="D443" s="4"/>
      <c r="E443" s="94"/>
      <c r="F443" s="4" t="str">
        <f t="shared" si="2"/>
        <v/>
      </c>
      <c r="G443" s="2" t="str">
        <f t="shared" si="3"/>
        <v/>
      </c>
      <c r="H443" s="2" t="str">
        <f>IF(G443="","",SUMIF(Familias!C:C,G443,Familias!E:E))</f>
        <v/>
      </c>
      <c r="I443" s="4" t="str">
        <f>IF(A443="","",COUNTIF(Prod_Prop!B:B,A443))</f>
        <v/>
      </c>
      <c r="J443" s="92" t="str">
        <f>IF(E443="","",IF(SUMIF(Precio_Productos!L:L,E443,Precio_Productos!J:J)=0,"Falta Precio",SUMIF(Precio_Productos!L:L,E443,Precio_Productos!J:J)))</f>
        <v/>
      </c>
      <c r="O443" s="86"/>
      <c r="P443" s="86" t="str">
        <f>IFERROR(__xludf.DUMMYFUNCTION("IF(OR(F443=""Selecciona.."",F443=""""),"""",TRANSPOSE(filter(Familias!C:C,Familias!D:D=F443)))"),"")</f>
        <v/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</row>
    <row r="444">
      <c r="A444" s="4" t="str">
        <f t="shared" si="1"/>
        <v/>
      </c>
      <c r="B444" s="4"/>
      <c r="C444" s="4"/>
      <c r="D444" s="4"/>
      <c r="E444" s="94"/>
      <c r="F444" s="4" t="str">
        <f t="shared" si="2"/>
        <v/>
      </c>
      <c r="G444" s="2" t="str">
        <f t="shared" si="3"/>
        <v/>
      </c>
      <c r="H444" s="2" t="str">
        <f>IF(G444="","",SUMIF(Familias!C:C,G444,Familias!E:E))</f>
        <v/>
      </c>
      <c r="I444" s="4" t="str">
        <f>IF(A444="","",COUNTIF(Prod_Prop!B:B,A444))</f>
        <v/>
      </c>
      <c r="J444" s="92" t="str">
        <f>IF(E444="","",IF(SUMIF(Precio_Productos!L:L,E444,Precio_Productos!J:J)=0,"Falta Precio",SUMIF(Precio_Productos!L:L,E444,Precio_Productos!J:J)))</f>
        <v/>
      </c>
      <c r="O444" s="86"/>
      <c r="P444" s="86" t="str">
        <f>IFERROR(__xludf.DUMMYFUNCTION("IF(OR(F444=""Selecciona.."",F444=""""),"""",TRANSPOSE(filter(Familias!C:C,Familias!D:D=F444)))"),"")</f>
        <v/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</row>
    <row r="445">
      <c r="A445" s="4" t="str">
        <f t="shared" si="1"/>
        <v/>
      </c>
      <c r="B445" s="4"/>
      <c r="C445" s="4"/>
      <c r="D445" s="4"/>
      <c r="E445" s="94"/>
      <c r="F445" s="4" t="str">
        <f t="shared" si="2"/>
        <v/>
      </c>
      <c r="G445" s="2" t="str">
        <f t="shared" si="3"/>
        <v/>
      </c>
      <c r="H445" s="2" t="str">
        <f>IF(G445="","",SUMIF(Familias!C:C,G445,Familias!E:E))</f>
        <v/>
      </c>
      <c r="I445" s="4" t="str">
        <f>IF(A445="","",COUNTIF(Prod_Prop!B:B,A445))</f>
        <v/>
      </c>
      <c r="J445" s="92" t="str">
        <f>IF(E445="","",IF(SUMIF(Precio_Productos!L:L,E445,Precio_Productos!J:J)=0,"Falta Precio",SUMIF(Precio_Productos!L:L,E445,Precio_Productos!J:J)))</f>
        <v/>
      </c>
      <c r="O445" s="86"/>
      <c r="P445" s="86" t="str">
        <f>IFERROR(__xludf.DUMMYFUNCTION("IF(OR(F445=""Selecciona.."",F445=""""),"""",TRANSPOSE(filter(Familias!C:C,Familias!D:D=F445)))"),"")</f>
        <v/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</row>
    <row r="446">
      <c r="A446" s="4" t="str">
        <f t="shared" si="1"/>
        <v/>
      </c>
      <c r="B446" s="4"/>
      <c r="C446" s="4"/>
      <c r="D446" s="4"/>
      <c r="E446" s="94"/>
      <c r="F446" s="4" t="str">
        <f t="shared" si="2"/>
        <v/>
      </c>
      <c r="G446" s="2" t="str">
        <f t="shared" si="3"/>
        <v/>
      </c>
      <c r="H446" s="2" t="str">
        <f>IF(G446="","",SUMIF(Familias!C:C,G446,Familias!E:E))</f>
        <v/>
      </c>
      <c r="I446" s="4" t="str">
        <f>IF(A446="","",COUNTIF(Prod_Prop!B:B,A446))</f>
        <v/>
      </c>
      <c r="J446" s="92" t="str">
        <f>IF(E446="","",IF(SUMIF(Precio_Productos!L:L,E446,Precio_Productos!J:J)=0,"Falta Precio",SUMIF(Precio_Productos!L:L,E446,Precio_Productos!J:J)))</f>
        <v/>
      </c>
      <c r="O446" s="86"/>
      <c r="P446" s="86" t="str">
        <f>IFERROR(__xludf.DUMMYFUNCTION("IF(OR(F446=""Selecciona.."",F446=""""),"""",TRANSPOSE(filter(Familias!C:C,Familias!D:D=F446)))"),"")</f>
        <v/>
      </c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</row>
    <row r="447">
      <c r="A447" s="4" t="str">
        <f t="shared" si="1"/>
        <v/>
      </c>
      <c r="B447" s="4"/>
      <c r="C447" s="4"/>
      <c r="D447" s="4"/>
      <c r="E447" s="94"/>
      <c r="F447" s="4" t="str">
        <f t="shared" si="2"/>
        <v/>
      </c>
      <c r="G447" s="2" t="str">
        <f t="shared" si="3"/>
        <v/>
      </c>
      <c r="H447" s="2" t="str">
        <f>IF(G447="","",SUMIF(Familias!C:C,G447,Familias!E:E))</f>
        <v/>
      </c>
      <c r="I447" s="4" t="str">
        <f>IF(A447="","",COUNTIF(Prod_Prop!B:B,A447))</f>
        <v/>
      </c>
      <c r="J447" s="92" t="str">
        <f>IF(E447="","",IF(SUMIF(Precio_Productos!L:L,E447,Precio_Productos!J:J)=0,"Falta Precio",SUMIF(Precio_Productos!L:L,E447,Precio_Productos!J:J)))</f>
        <v/>
      </c>
      <c r="O447" s="86"/>
      <c r="P447" s="86" t="str">
        <f>IFERROR(__xludf.DUMMYFUNCTION("IF(OR(F447=""Selecciona.."",F447=""""),"""",TRANSPOSE(filter(Familias!C:C,Familias!D:D=F447)))"),"")</f>
        <v/>
      </c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</row>
    <row r="448">
      <c r="A448" s="4" t="str">
        <f t="shared" si="1"/>
        <v/>
      </c>
      <c r="B448" s="4"/>
      <c r="C448" s="4"/>
      <c r="D448" s="4"/>
      <c r="E448" s="94"/>
      <c r="F448" s="4" t="str">
        <f t="shared" si="2"/>
        <v/>
      </c>
      <c r="G448" s="2" t="str">
        <f t="shared" si="3"/>
        <v/>
      </c>
      <c r="H448" s="2" t="str">
        <f>IF(G448="","",SUMIF(Familias!C:C,G448,Familias!E:E))</f>
        <v/>
      </c>
      <c r="I448" s="4" t="str">
        <f>IF(A448="","",COUNTIF(Prod_Prop!B:B,A448))</f>
        <v/>
      </c>
      <c r="J448" s="92" t="str">
        <f>IF(E448="","",IF(SUMIF(Precio_Productos!L:L,E448,Precio_Productos!J:J)=0,"Falta Precio",SUMIF(Precio_Productos!L:L,E448,Precio_Productos!J:J)))</f>
        <v/>
      </c>
      <c r="O448" s="86"/>
      <c r="P448" s="86" t="str">
        <f>IFERROR(__xludf.DUMMYFUNCTION("IF(OR(F448=""Selecciona.."",F448=""""),"""",TRANSPOSE(filter(Familias!C:C,Familias!D:D=F448)))"),"")</f>
        <v/>
      </c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</row>
    <row r="449">
      <c r="A449" s="4" t="str">
        <f t="shared" si="1"/>
        <v/>
      </c>
      <c r="B449" s="4"/>
      <c r="C449" s="4"/>
      <c r="D449" s="4"/>
      <c r="E449" s="94"/>
      <c r="F449" s="4" t="str">
        <f t="shared" si="2"/>
        <v/>
      </c>
      <c r="G449" s="2" t="str">
        <f t="shared" si="3"/>
        <v/>
      </c>
      <c r="H449" s="2" t="str">
        <f>IF(G449="","",SUMIF(Familias!C:C,G449,Familias!E:E))</f>
        <v/>
      </c>
      <c r="I449" s="4" t="str">
        <f>IF(A449="","",COUNTIF(Prod_Prop!B:B,A449))</f>
        <v/>
      </c>
      <c r="J449" s="92" t="str">
        <f>IF(E449="","",IF(SUMIF(Precio_Productos!L:L,E449,Precio_Productos!J:J)=0,"Falta Precio",SUMIF(Precio_Productos!L:L,E449,Precio_Productos!J:J)))</f>
        <v/>
      </c>
      <c r="O449" s="86"/>
      <c r="P449" s="86" t="str">
        <f>IFERROR(__xludf.DUMMYFUNCTION("IF(OR(F449=""Selecciona.."",F449=""""),"""",TRANSPOSE(filter(Familias!C:C,Familias!D:D=F449)))"),"")</f>
        <v/>
      </c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</row>
    <row r="450">
      <c r="A450" s="4" t="str">
        <f t="shared" si="1"/>
        <v/>
      </c>
      <c r="B450" s="4"/>
      <c r="C450" s="4"/>
      <c r="D450" s="4"/>
      <c r="E450" s="94"/>
      <c r="F450" s="4" t="str">
        <f t="shared" si="2"/>
        <v/>
      </c>
      <c r="G450" s="2" t="str">
        <f t="shared" si="3"/>
        <v/>
      </c>
      <c r="H450" s="2" t="str">
        <f>IF(G450="","",SUMIF(Familias!C:C,G450,Familias!E:E))</f>
        <v/>
      </c>
      <c r="I450" s="4" t="str">
        <f>IF(A450="","",COUNTIF(Prod_Prop!B:B,A450))</f>
        <v/>
      </c>
      <c r="J450" s="92" t="str">
        <f>IF(E450="","",IF(SUMIF(Precio_Productos!L:L,E450,Precio_Productos!J:J)=0,"Falta Precio",SUMIF(Precio_Productos!L:L,E450,Precio_Productos!J:J)))</f>
        <v/>
      </c>
      <c r="O450" s="86"/>
      <c r="P450" s="86" t="str">
        <f>IFERROR(__xludf.DUMMYFUNCTION("IF(OR(F450=""Selecciona.."",F450=""""),"""",TRANSPOSE(filter(Familias!C:C,Familias!D:D=F450)))"),"")</f>
        <v/>
      </c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</row>
    <row r="451">
      <c r="A451" s="4" t="str">
        <f t="shared" si="1"/>
        <v/>
      </c>
      <c r="B451" s="4"/>
      <c r="C451" s="4"/>
      <c r="D451" s="4"/>
      <c r="E451" s="94"/>
      <c r="F451" s="4" t="str">
        <f t="shared" si="2"/>
        <v/>
      </c>
      <c r="G451" s="2" t="str">
        <f t="shared" si="3"/>
        <v/>
      </c>
      <c r="H451" s="2" t="str">
        <f>IF(G451="","",SUMIF(Familias!C:C,G451,Familias!E:E))</f>
        <v/>
      </c>
      <c r="I451" s="4" t="str">
        <f>IF(A451="","",COUNTIF(Prod_Prop!B:B,A451))</f>
        <v/>
      </c>
      <c r="J451" s="92" t="str">
        <f>IF(E451="","",IF(SUMIF(Precio_Productos!L:L,E451,Precio_Productos!J:J)=0,"Falta Precio",SUMIF(Precio_Productos!L:L,E451,Precio_Productos!J:J)))</f>
        <v/>
      </c>
      <c r="O451" s="86"/>
      <c r="P451" s="86" t="str">
        <f>IFERROR(__xludf.DUMMYFUNCTION("IF(OR(F451=""Selecciona.."",F451=""""),"""",TRANSPOSE(filter(Familias!C:C,Familias!D:D=F451)))"),"")</f>
        <v/>
      </c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</row>
    <row r="452">
      <c r="A452" s="4" t="str">
        <f t="shared" si="1"/>
        <v/>
      </c>
      <c r="B452" s="4"/>
      <c r="C452" s="4"/>
      <c r="D452" s="4"/>
      <c r="E452" s="94"/>
      <c r="F452" s="4" t="str">
        <f t="shared" si="2"/>
        <v/>
      </c>
      <c r="G452" s="2" t="str">
        <f t="shared" si="3"/>
        <v/>
      </c>
      <c r="H452" s="2" t="str">
        <f>IF(G452="","",SUMIF(Familias!C:C,G452,Familias!E:E))</f>
        <v/>
      </c>
      <c r="I452" s="4" t="str">
        <f>IF(A452="","",COUNTIF(Prod_Prop!B:B,A452))</f>
        <v/>
      </c>
      <c r="J452" s="92" t="str">
        <f>IF(E452="","",IF(SUMIF(Precio_Productos!L:L,E452,Precio_Productos!J:J)=0,"Falta Precio",SUMIF(Precio_Productos!L:L,E452,Precio_Productos!J:J)))</f>
        <v/>
      </c>
      <c r="O452" s="86"/>
      <c r="P452" s="86" t="str">
        <f>IFERROR(__xludf.DUMMYFUNCTION("IF(OR(F452=""Selecciona.."",F452=""""),"""",TRANSPOSE(filter(Familias!C:C,Familias!D:D=F452)))"),"")</f>
        <v/>
      </c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</row>
    <row r="453">
      <c r="A453" s="4" t="str">
        <f t="shared" si="1"/>
        <v/>
      </c>
      <c r="B453" s="4"/>
      <c r="C453" s="4"/>
      <c r="D453" s="4"/>
      <c r="E453" s="94"/>
      <c r="F453" s="4" t="str">
        <f t="shared" si="2"/>
        <v/>
      </c>
      <c r="G453" s="2" t="str">
        <f t="shared" si="3"/>
        <v/>
      </c>
      <c r="H453" s="2" t="str">
        <f>IF(G453="","",SUMIF(Familias!C:C,G453,Familias!E:E))</f>
        <v/>
      </c>
      <c r="I453" s="4" t="str">
        <f>IF(A453="","",COUNTIF(Prod_Prop!B:B,A453))</f>
        <v/>
      </c>
      <c r="J453" s="92" t="str">
        <f>IF(E453="","",IF(SUMIF(Precio_Productos!L:L,E453,Precio_Productos!J:J)=0,"Falta Precio",SUMIF(Precio_Productos!L:L,E453,Precio_Productos!J:J)))</f>
        <v/>
      </c>
      <c r="O453" s="86"/>
      <c r="P453" s="86" t="str">
        <f>IFERROR(__xludf.DUMMYFUNCTION("IF(OR(F453=""Selecciona.."",F453=""""),"""",TRANSPOSE(filter(Familias!C:C,Familias!D:D=F453)))"),"")</f>
        <v/>
      </c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</row>
    <row r="454">
      <c r="A454" s="4" t="str">
        <f t="shared" si="1"/>
        <v/>
      </c>
      <c r="B454" s="4"/>
      <c r="C454" s="4"/>
      <c r="D454" s="4"/>
      <c r="E454" s="94"/>
      <c r="F454" s="4" t="str">
        <f t="shared" si="2"/>
        <v/>
      </c>
      <c r="G454" s="2" t="str">
        <f t="shared" si="3"/>
        <v/>
      </c>
      <c r="H454" s="2" t="str">
        <f>IF(G454="","",SUMIF(Familias!C:C,G454,Familias!E:E))</f>
        <v/>
      </c>
      <c r="I454" s="4" t="str">
        <f>IF(A454="","",COUNTIF(Prod_Prop!B:B,A454))</f>
        <v/>
      </c>
      <c r="J454" s="92" t="str">
        <f>IF(E454="","",IF(SUMIF(Precio_Productos!L:L,E454,Precio_Productos!J:J)=0,"Falta Precio",SUMIF(Precio_Productos!L:L,E454,Precio_Productos!J:J)))</f>
        <v/>
      </c>
      <c r="O454" s="86"/>
      <c r="P454" s="86" t="str">
        <f>IFERROR(__xludf.DUMMYFUNCTION("IF(OR(F454=""Selecciona.."",F454=""""),"""",TRANSPOSE(filter(Familias!C:C,Familias!D:D=F454)))"),"")</f>
        <v/>
      </c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</row>
    <row r="455">
      <c r="A455" s="4" t="str">
        <f t="shared" si="1"/>
        <v/>
      </c>
      <c r="B455" s="4"/>
      <c r="C455" s="4"/>
      <c r="D455" s="4"/>
      <c r="E455" s="94"/>
      <c r="F455" s="4" t="str">
        <f t="shared" si="2"/>
        <v/>
      </c>
      <c r="G455" s="2" t="str">
        <f t="shared" si="3"/>
        <v/>
      </c>
      <c r="H455" s="2" t="str">
        <f>IF(G455="","",SUMIF(Familias!C:C,G455,Familias!E:E))</f>
        <v/>
      </c>
      <c r="I455" s="4" t="str">
        <f>IF(A455="","",COUNTIF(Prod_Prop!B:B,A455))</f>
        <v/>
      </c>
      <c r="J455" s="92" t="str">
        <f>IF(E455="","",IF(SUMIF(Precio_Productos!L:L,E455,Precio_Productos!J:J)=0,"Falta Precio",SUMIF(Precio_Productos!L:L,E455,Precio_Productos!J:J)))</f>
        <v/>
      </c>
      <c r="O455" s="86"/>
      <c r="P455" s="86" t="str">
        <f>IFERROR(__xludf.DUMMYFUNCTION("IF(OR(F455=""Selecciona.."",F455=""""),"""",TRANSPOSE(filter(Familias!C:C,Familias!D:D=F455)))"),"")</f>
        <v/>
      </c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</row>
    <row r="456">
      <c r="A456" s="4" t="str">
        <f t="shared" si="1"/>
        <v/>
      </c>
      <c r="B456" s="4"/>
      <c r="C456" s="4"/>
      <c r="D456" s="4"/>
      <c r="E456" s="94"/>
      <c r="F456" s="4" t="str">
        <f t="shared" si="2"/>
        <v/>
      </c>
      <c r="G456" s="2" t="str">
        <f t="shared" si="3"/>
        <v/>
      </c>
      <c r="H456" s="2" t="str">
        <f>IF(G456="","",SUMIF(Familias!C:C,G456,Familias!E:E))</f>
        <v/>
      </c>
      <c r="I456" s="4" t="str">
        <f>IF(A456="","",COUNTIF(Prod_Prop!B:B,A456))</f>
        <v/>
      </c>
      <c r="J456" s="92" t="str">
        <f>IF(E456="","",IF(SUMIF(Precio_Productos!L:L,E456,Precio_Productos!J:J)=0,"Falta Precio",SUMIF(Precio_Productos!L:L,E456,Precio_Productos!J:J)))</f>
        <v/>
      </c>
      <c r="O456" s="86"/>
      <c r="P456" s="86" t="str">
        <f>IFERROR(__xludf.DUMMYFUNCTION("IF(OR(F456=""Selecciona.."",F456=""""),"""",TRANSPOSE(filter(Familias!C:C,Familias!D:D=F456)))"),"")</f>
        <v/>
      </c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</row>
    <row r="457">
      <c r="A457" s="4" t="str">
        <f t="shared" si="1"/>
        <v/>
      </c>
      <c r="B457" s="4"/>
      <c r="C457" s="4"/>
      <c r="D457" s="4"/>
      <c r="E457" s="94"/>
      <c r="F457" s="4" t="str">
        <f t="shared" si="2"/>
        <v/>
      </c>
      <c r="G457" s="2" t="str">
        <f t="shared" si="3"/>
        <v/>
      </c>
      <c r="H457" s="2" t="str">
        <f>IF(G457="","",SUMIF(Familias!C:C,G457,Familias!E:E))</f>
        <v/>
      </c>
      <c r="I457" s="4" t="str">
        <f>IF(A457="","",COUNTIF(Prod_Prop!B:B,A457))</f>
        <v/>
      </c>
      <c r="J457" s="92" t="str">
        <f>IF(E457="","",IF(SUMIF(Precio_Productos!L:L,E457,Precio_Productos!J:J)=0,"Falta Precio",SUMIF(Precio_Productos!L:L,E457,Precio_Productos!J:J)))</f>
        <v/>
      </c>
      <c r="O457" s="86"/>
      <c r="P457" s="86" t="str">
        <f>IFERROR(__xludf.DUMMYFUNCTION("IF(OR(F457=""Selecciona.."",F457=""""),"""",TRANSPOSE(filter(Familias!C:C,Familias!D:D=F457)))"),"")</f>
        <v/>
      </c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</row>
    <row r="458">
      <c r="A458" s="4" t="str">
        <f t="shared" si="1"/>
        <v/>
      </c>
      <c r="B458" s="4"/>
      <c r="C458" s="4"/>
      <c r="D458" s="4"/>
      <c r="E458" s="94"/>
      <c r="F458" s="4" t="str">
        <f t="shared" si="2"/>
        <v/>
      </c>
      <c r="G458" s="2" t="str">
        <f t="shared" si="3"/>
        <v/>
      </c>
      <c r="H458" s="2" t="str">
        <f>IF(G458="","",SUMIF(Familias!C:C,G458,Familias!E:E))</f>
        <v/>
      </c>
      <c r="I458" s="4" t="str">
        <f>IF(A458="","",COUNTIF(Prod_Prop!B:B,A458))</f>
        <v/>
      </c>
      <c r="J458" s="92" t="str">
        <f>IF(E458="","",IF(SUMIF(Precio_Productos!L:L,E458,Precio_Productos!J:J)=0,"Falta Precio",SUMIF(Precio_Productos!L:L,E458,Precio_Productos!J:J)))</f>
        <v/>
      </c>
      <c r="O458" s="86"/>
      <c r="P458" s="86" t="str">
        <f>IFERROR(__xludf.DUMMYFUNCTION("IF(OR(F458=""Selecciona.."",F458=""""),"""",TRANSPOSE(filter(Familias!C:C,Familias!D:D=F458)))"),"")</f>
        <v/>
      </c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</row>
    <row r="459">
      <c r="A459" s="4" t="str">
        <f t="shared" si="1"/>
        <v/>
      </c>
      <c r="B459" s="4"/>
      <c r="C459" s="4"/>
      <c r="D459" s="4"/>
      <c r="E459" s="94"/>
      <c r="F459" s="4" t="str">
        <f t="shared" si="2"/>
        <v/>
      </c>
      <c r="G459" s="2" t="str">
        <f t="shared" si="3"/>
        <v/>
      </c>
      <c r="H459" s="2" t="str">
        <f>IF(G459="","",SUMIF(Familias!C:C,G459,Familias!E:E))</f>
        <v/>
      </c>
      <c r="I459" s="4" t="str">
        <f>IF(A459="","",COUNTIF(Prod_Prop!B:B,A459))</f>
        <v/>
      </c>
      <c r="J459" s="92" t="str">
        <f>IF(E459="","",IF(SUMIF(Precio_Productos!L:L,E459,Precio_Productos!J:J)=0,"Falta Precio",SUMIF(Precio_Productos!L:L,E459,Precio_Productos!J:J)))</f>
        <v/>
      </c>
      <c r="O459" s="86"/>
      <c r="P459" s="86" t="str">
        <f>IFERROR(__xludf.DUMMYFUNCTION("IF(OR(F459=""Selecciona.."",F459=""""),"""",TRANSPOSE(filter(Familias!C:C,Familias!D:D=F459)))"),"")</f>
        <v/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</row>
    <row r="460">
      <c r="A460" s="4" t="str">
        <f t="shared" si="1"/>
        <v/>
      </c>
      <c r="B460" s="4"/>
      <c r="C460" s="4"/>
      <c r="D460" s="4"/>
      <c r="E460" s="94"/>
      <c r="F460" s="4" t="str">
        <f t="shared" si="2"/>
        <v/>
      </c>
      <c r="G460" s="2" t="str">
        <f t="shared" si="3"/>
        <v/>
      </c>
      <c r="H460" s="2" t="str">
        <f>IF(G460="","",SUMIF(Familias!C:C,G460,Familias!E:E))</f>
        <v/>
      </c>
      <c r="I460" s="4" t="str">
        <f>IF(A460="","",COUNTIF(Prod_Prop!B:B,A460))</f>
        <v/>
      </c>
      <c r="J460" s="92" t="str">
        <f>IF(E460="","",IF(SUMIF(Precio_Productos!L:L,E460,Precio_Productos!J:J)=0,"Falta Precio",SUMIF(Precio_Productos!L:L,E460,Precio_Productos!J:J)))</f>
        <v/>
      </c>
      <c r="O460" s="86"/>
      <c r="P460" s="86" t="str">
        <f>IFERROR(__xludf.DUMMYFUNCTION("IF(OR(F460=""Selecciona.."",F460=""""),"""",TRANSPOSE(filter(Familias!C:C,Familias!D:D=F460)))"),"")</f>
        <v/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</row>
    <row r="461">
      <c r="A461" s="4" t="str">
        <f t="shared" si="1"/>
        <v/>
      </c>
      <c r="B461" s="4"/>
      <c r="C461" s="4"/>
      <c r="D461" s="4"/>
      <c r="E461" s="94"/>
      <c r="F461" s="4" t="str">
        <f t="shared" si="2"/>
        <v/>
      </c>
      <c r="G461" s="2" t="str">
        <f t="shared" si="3"/>
        <v/>
      </c>
      <c r="H461" s="2" t="str">
        <f>IF(G461="","",SUMIF(Familias!C:C,G461,Familias!E:E))</f>
        <v/>
      </c>
      <c r="I461" s="4" t="str">
        <f>IF(A461="","",COUNTIF(Prod_Prop!B:B,A461))</f>
        <v/>
      </c>
      <c r="J461" s="92" t="str">
        <f>IF(E461="","",IF(SUMIF(Precio_Productos!L:L,E461,Precio_Productos!J:J)=0,"Falta Precio",SUMIF(Precio_Productos!L:L,E461,Precio_Productos!J:J)))</f>
        <v/>
      </c>
      <c r="O461" s="86"/>
      <c r="P461" s="86" t="str">
        <f>IFERROR(__xludf.DUMMYFUNCTION("IF(OR(F461=""Selecciona.."",F461=""""),"""",TRANSPOSE(filter(Familias!C:C,Familias!D:D=F461)))"),"")</f>
        <v/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</row>
    <row r="462">
      <c r="A462" s="4" t="str">
        <f t="shared" si="1"/>
        <v/>
      </c>
      <c r="B462" s="4"/>
      <c r="C462" s="4"/>
      <c r="D462" s="4"/>
      <c r="E462" s="94"/>
      <c r="F462" s="4" t="str">
        <f t="shared" si="2"/>
        <v/>
      </c>
      <c r="G462" s="2" t="str">
        <f t="shared" si="3"/>
        <v/>
      </c>
      <c r="H462" s="2" t="str">
        <f>IF(G462="","",SUMIF(Familias!C:C,G462,Familias!E:E))</f>
        <v/>
      </c>
      <c r="I462" s="4" t="str">
        <f>IF(A462="","",COUNTIF(Prod_Prop!B:B,A462))</f>
        <v/>
      </c>
      <c r="J462" s="92" t="str">
        <f>IF(E462="","",IF(SUMIF(Precio_Productos!L:L,E462,Precio_Productos!J:J)=0,"Falta Precio",SUMIF(Precio_Productos!L:L,E462,Precio_Productos!J:J)))</f>
        <v/>
      </c>
      <c r="O462" s="86"/>
      <c r="P462" s="86" t="str">
        <f>IFERROR(__xludf.DUMMYFUNCTION("IF(OR(F462=""Selecciona.."",F462=""""),"""",TRANSPOSE(filter(Familias!C:C,Familias!D:D=F462)))"),"")</f>
        <v/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</row>
    <row r="463">
      <c r="A463" s="4" t="str">
        <f t="shared" si="1"/>
        <v/>
      </c>
      <c r="B463" s="4"/>
      <c r="C463" s="4"/>
      <c r="D463" s="4"/>
      <c r="E463" s="94"/>
      <c r="F463" s="4" t="str">
        <f t="shared" si="2"/>
        <v/>
      </c>
      <c r="G463" s="2" t="str">
        <f t="shared" si="3"/>
        <v/>
      </c>
      <c r="H463" s="2" t="str">
        <f>IF(G463="","",SUMIF(Familias!C:C,G463,Familias!E:E))</f>
        <v/>
      </c>
      <c r="I463" s="4" t="str">
        <f>IF(A463="","",COUNTIF(Prod_Prop!B:B,A463))</f>
        <v/>
      </c>
      <c r="J463" s="92" t="str">
        <f>IF(E463="","",IF(SUMIF(Precio_Productos!L:L,E463,Precio_Productos!J:J)=0,"Falta Precio",SUMIF(Precio_Productos!L:L,E463,Precio_Productos!J:J)))</f>
        <v/>
      </c>
      <c r="O463" s="86"/>
      <c r="P463" s="86" t="str">
        <f>IFERROR(__xludf.DUMMYFUNCTION("IF(OR(F463=""Selecciona.."",F463=""""),"""",TRANSPOSE(filter(Familias!C:C,Familias!D:D=F463)))"),"")</f>
        <v/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</row>
    <row r="464">
      <c r="A464" s="4" t="str">
        <f t="shared" si="1"/>
        <v/>
      </c>
      <c r="B464" s="4"/>
      <c r="C464" s="4"/>
      <c r="D464" s="4"/>
      <c r="E464" s="94"/>
      <c r="F464" s="4" t="str">
        <f t="shared" si="2"/>
        <v/>
      </c>
      <c r="G464" s="2" t="str">
        <f t="shared" si="3"/>
        <v/>
      </c>
      <c r="H464" s="2" t="str">
        <f>IF(G464="","",SUMIF(Familias!C:C,G464,Familias!E:E))</f>
        <v/>
      </c>
      <c r="I464" s="4" t="str">
        <f>IF(A464="","",COUNTIF(Prod_Prop!B:B,A464))</f>
        <v/>
      </c>
      <c r="J464" s="92" t="str">
        <f>IF(E464="","",IF(SUMIF(Precio_Productos!L:L,E464,Precio_Productos!J:J)=0,"Falta Precio",SUMIF(Precio_Productos!L:L,E464,Precio_Productos!J:J)))</f>
        <v/>
      </c>
      <c r="O464" s="86"/>
      <c r="P464" s="86" t="str">
        <f>IFERROR(__xludf.DUMMYFUNCTION("IF(OR(F464=""Selecciona.."",F464=""""),"""",TRANSPOSE(filter(Familias!C:C,Familias!D:D=F464)))"),"")</f>
        <v/>
      </c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</row>
    <row r="465">
      <c r="A465" s="4" t="str">
        <f t="shared" si="1"/>
        <v/>
      </c>
      <c r="B465" s="4"/>
      <c r="C465" s="4"/>
      <c r="D465" s="4"/>
      <c r="E465" s="94"/>
      <c r="F465" s="4" t="str">
        <f t="shared" si="2"/>
        <v/>
      </c>
      <c r="G465" s="2" t="str">
        <f t="shared" si="3"/>
        <v/>
      </c>
      <c r="H465" s="2" t="str">
        <f>IF(G465="","",SUMIF(Familias!C:C,G465,Familias!E:E))</f>
        <v/>
      </c>
      <c r="I465" s="4" t="str">
        <f>IF(A465="","",COUNTIF(Prod_Prop!B:B,A465))</f>
        <v/>
      </c>
      <c r="J465" s="92" t="str">
        <f>IF(E465="","",IF(SUMIF(Precio_Productos!L:L,E465,Precio_Productos!J:J)=0,"Falta Precio",SUMIF(Precio_Productos!L:L,E465,Precio_Productos!J:J)))</f>
        <v/>
      </c>
      <c r="O465" s="86"/>
      <c r="P465" s="86" t="str">
        <f>IFERROR(__xludf.DUMMYFUNCTION("IF(OR(F465=""Selecciona.."",F465=""""),"""",TRANSPOSE(filter(Familias!C:C,Familias!D:D=F465)))"),"")</f>
        <v/>
      </c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</row>
    <row r="466">
      <c r="A466" s="4" t="str">
        <f t="shared" si="1"/>
        <v/>
      </c>
      <c r="B466" s="4"/>
      <c r="C466" s="4"/>
      <c r="D466" s="4"/>
      <c r="E466" s="94"/>
      <c r="F466" s="4" t="str">
        <f t="shared" si="2"/>
        <v/>
      </c>
      <c r="G466" s="2" t="str">
        <f t="shared" si="3"/>
        <v/>
      </c>
      <c r="H466" s="2" t="str">
        <f>IF(G466="","",SUMIF(Familias!C:C,G466,Familias!E:E))</f>
        <v/>
      </c>
      <c r="I466" s="4" t="str">
        <f>IF(A466="","",COUNTIF(Prod_Prop!B:B,A466))</f>
        <v/>
      </c>
      <c r="J466" s="92" t="str">
        <f>IF(E466="","",IF(SUMIF(Precio_Productos!L:L,E466,Precio_Productos!J:J)=0,"Falta Precio",SUMIF(Precio_Productos!L:L,E466,Precio_Productos!J:J)))</f>
        <v/>
      </c>
      <c r="O466" s="86"/>
      <c r="P466" s="86" t="str">
        <f>IFERROR(__xludf.DUMMYFUNCTION("IF(OR(F466=""Selecciona.."",F466=""""),"""",TRANSPOSE(filter(Familias!C:C,Familias!D:D=F466)))"),"")</f>
        <v/>
      </c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</row>
    <row r="467">
      <c r="A467" s="4" t="str">
        <f t="shared" si="1"/>
        <v/>
      </c>
      <c r="B467" s="4"/>
      <c r="C467" s="4"/>
      <c r="D467" s="4"/>
      <c r="E467" s="94"/>
      <c r="F467" s="4" t="str">
        <f t="shared" si="2"/>
        <v/>
      </c>
      <c r="G467" s="2" t="str">
        <f t="shared" si="3"/>
        <v/>
      </c>
      <c r="H467" s="2" t="str">
        <f>IF(G467="","",SUMIF(Familias!C:C,G467,Familias!E:E))</f>
        <v/>
      </c>
      <c r="I467" s="4" t="str">
        <f>IF(A467="","",COUNTIF(Prod_Prop!B:B,A467))</f>
        <v/>
      </c>
      <c r="J467" s="92" t="str">
        <f>IF(E467="","",IF(SUMIF(Precio_Productos!L:L,E467,Precio_Productos!J:J)=0,"Falta Precio",SUMIF(Precio_Productos!L:L,E467,Precio_Productos!J:J)))</f>
        <v/>
      </c>
      <c r="O467" s="86"/>
      <c r="P467" s="86" t="str">
        <f>IFERROR(__xludf.DUMMYFUNCTION("IF(OR(F467=""Selecciona.."",F467=""""),"""",TRANSPOSE(filter(Familias!C:C,Familias!D:D=F467)))"),"")</f>
        <v/>
      </c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</row>
    <row r="468">
      <c r="A468" s="4" t="str">
        <f t="shared" si="1"/>
        <v/>
      </c>
      <c r="B468" s="4"/>
      <c r="C468" s="4"/>
      <c r="D468" s="4"/>
      <c r="E468" s="94"/>
      <c r="F468" s="4" t="str">
        <f t="shared" si="2"/>
        <v/>
      </c>
      <c r="G468" s="2" t="str">
        <f t="shared" si="3"/>
        <v/>
      </c>
      <c r="H468" s="2" t="str">
        <f>IF(G468="","",SUMIF(Familias!C:C,G468,Familias!E:E))</f>
        <v/>
      </c>
      <c r="I468" s="4" t="str">
        <f>IF(A468="","",COUNTIF(Prod_Prop!B:B,A468))</f>
        <v/>
      </c>
      <c r="J468" s="92" t="str">
        <f>IF(E468="","",IF(SUMIF(Precio_Productos!L:L,E468,Precio_Productos!J:J)=0,"Falta Precio",SUMIF(Precio_Productos!L:L,E468,Precio_Productos!J:J)))</f>
        <v/>
      </c>
      <c r="O468" s="86"/>
      <c r="P468" s="86" t="str">
        <f>IFERROR(__xludf.DUMMYFUNCTION("IF(OR(F468=""Selecciona.."",F468=""""),"""",TRANSPOSE(filter(Familias!C:C,Familias!D:D=F468)))"),"")</f>
        <v/>
      </c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</row>
    <row r="469">
      <c r="A469" s="4" t="str">
        <f t="shared" si="1"/>
        <v/>
      </c>
      <c r="B469" s="4"/>
      <c r="C469" s="4"/>
      <c r="D469" s="4"/>
      <c r="E469" s="94"/>
      <c r="F469" s="4" t="str">
        <f t="shared" si="2"/>
        <v/>
      </c>
      <c r="G469" s="2" t="str">
        <f t="shared" si="3"/>
        <v/>
      </c>
      <c r="H469" s="2" t="str">
        <f>IF(G469="","",SUMIF(Familias!C:C,G469,Familias!E:E))</f>
        <v/>
      </c>
      <c r="I469" s="4" t="str">
        <f>IF(A469="","",COUNTIF(Prod_Prop!B:B,A469))</f>
        <v/>
      </c>
      <c r="J469" s="92" t="str">
        <f>IF(E469="","",IF(SUMIF(Precio_Productos!L:L,E469,Precio_Productos!J:J)=0,"Falta Precio",SUMIF(Precio_Productos!L:L,E469,Precio_Productos!J:J)))</f>
        <v/>
      </c>
      <c r="O469" s="86"/>
      <c r="P469" s="86" t="str">
        <f>IFERROR(__xludf.DUMMYFUNCTION("IF(OR(F469=""Selecciona.."",F469=""""),"""",TRANSPOSE(filter(Familias!C:C,Familias!D:D=F469)))"),"")</f>
        <v/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</row>
    <row r="470">
      <c r="A470" s="4" t="str">
        <f t="shared" si="1"/>
        <v/>
      </c>
      <c r="B470" s="4"/>
      <c r="C470" s="4"/>
      <c r="D470" s="4"/>
      <c r="E470" s="94"/>
      <c r="F470" s="4" t="str">
        <f t="shared" si="2"/>
        <v/>
      </c>
      <c r="G470" s="2" t="str">
        <f t="shared" si="3"/>
        <v/>
      </c>
      <c r="H470" s="2" t="str">
        <f>IF(G470="","",SUMIF(Familias!C:C,G470,Familias!E:E))</f>
        <v/>
      </c>
      <c r="I470" s="4" t="str">
        <f>IF(A470="","",COUNTIF(Prod_Prop!B:B,A470))</f>
        <v/>
      </c>
      <c r="J470" s="92" t="str">
        <f>IF(E470="","",IF(SUMIF(Precio_Productos!L:L,E470,Precio_Productos!J:J)=0,"Falta Precio",SUMIF(Precio_Productos!L:L,E470,Precio_Productos!J:J)))</f>
        <v/>
      </c>
      <c r="O470" s="86"/>
      <c r="P470" s="86" t="str">
        <f>IFERROR(__xludf.DUMMYFUNCTION("IF(OR(F470=""Selecciona.."",F470=""""),"""",TRANSPOSE(filter(Familias!C:C,Familias!D:D=F470)))"),"")</f>
        <v/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</row>
    <row r="471">
      <c r="A471" s="4" t="str">
        <f t="shared" si="1"/>
        <v/>
      </c>
      <c r="B471" s="4"/>
      <c r="C471" s="4"/>
      <c r="D471" s="4"/>
      <c r="E471" s="94"/>
      <c r="F471" s="4" t="str">
        <f t="shared" si="2"/>
        <v/>
      </c>
      <c r="G471" s="2" t="str">
        <f t="shared" si="3"/>
        <v/>
      </c>
      <c r="H471" s="2" t="str">
        <f>IF(G471="","",SUMIF(Familias!C:C,G471,Familias!E:E))</f>
        <v/>
      </c>
      <c r="I471" s="4" t="str">
        <f>IF(A471="","",COUNTIF(Prod_Prop!B:B,A471))</f>
        <v/>
      </c>
      <c r="J471" s="92" t="str">
        <f>IF(E471="","",IF(SUMIF(Precio_Productos!L:L,E471,Precio_Productos!J:J)=0,"Falta Precio",SUMIF(Precio_Productos!L:L,E471,Precio_Productos!J:J)))</f>
        <v/>
      </c>
      <c r="O471" s="86"/>
      <c r="P471" s="86" t="str">
        <f>IFERROR(__xludf.DUMMYFUNCTION("IF(OR(F471=""Selecciona.."",F471=""""),"""",TRANSPOSE(filter(Familias!C:C,Familias!D:D=F471)))"),"")</f>
        <v/>
      </c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</row>
    <row r="472">
      <c r="A472" s="4" t="str">
        <f t="shared" si="1"/>
        <v/>
      </c>
      <c r="B472" s="4"/>
      <c r="C472" s="4"/>
      <c r="D472" s="4"/>
      <c r="E472" s="94"/>
      <c r="F472" s="4" t="str">
        <f t="shared" si="2"/>
        <v/>
      </c>
      <c r="G472" s="2" t="str">
        <f t="shared" si="3"/>
        <v/>
      </c>
      <c r="H472" s="2" t="str">
        <f>IF(G472="","",SUMIF(Familias!C:C,G472,Familias!E:E))</f>
        <v/>
      </c>
      <c r="I472" s="4" t="str">
        <f>IF(A472="","",COUNTIF(Prod_Prop!B:B,A472))</f>
        <v/>
      </c>
      <c r="J472" s="92" t="str">
        <f>IF(E472="","",IF(SUMIF(Precio_Productos!L:L,E472,Precio_Productos!J:J)=0,"Falta Precio",SUMIF(Precio_Productos!L:L,E472,Precio_Productos!J:J)))</f>
        <v/>
      </c>
      <c r="O472" s="86"/>
      <c r="P472" s="86" t="str">
        <f>IFERROR(__xludf.DUMMYFUNCTION("IF(OR(F472=""Selecciona.."",F472=""""),"""",TRANSPOSE(filter(Familias!C:C,Familias!D:D=F472)))"),"")</f>
        <v/>
      </c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</row>
    <row r="473">
      <c r="A473" s="4" t="str">
        <f t="shared" si="1"/>
        <v/>
      </c>
      <c r="B473" s="4"/>
      <c r="C473" s="4"/>
      <c r="D473" s="4"/>
      <c r="E473" s="94"/>
      <c r="F473" s="4" t="str">
        <f t="shared" si="2"/>
        <v/>
      </c>
      <c r="G473" s="2" t="str">
        <f t="shared" si="3"/>
        <v/>
      </c>
      <c r="H473" s="2" t="str">
        <f>IF(G473="","",SUMIF(Familias!C:C,G473,Familias!E:E))</f>
        <v/>
      </c>
      <c r="I473" s="4" t="str">
        <f>IF(A473="","",COUNTIF(Prod_Prop!B:B,A473))</f>
        <v/>
      </c>
      <c r="J473" s="92" t="str">
        <f>IF(E473="","",IF(SUMIF(Precio_Productos!L:L,E473,Precio_Productos!J:J)=0,"Falta Precio",SUMIF(Precio_Productos!L:L,E473,Precio_Productos!J:J)))</f>
        <v/>
      </c>
      <c r="O473" s="86"/>
      <c r="P473" s="86" t="str">
        <f>IFERROR(__xludf.DUMMYFUNCTION("IF(OR(F473=""Selecciona.."",F473=""""),"""",TRANSPOSE(filter(Familias!C:C,Familias!D:D=F473)))"),"")</f>
        <v/>
      </c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</row>
    <row r="474">
      <c r="A474" s="4" t="str">
        <f t="shared" si="1"/>
        <v/>
      </c>
      <c r="B474" s="4"/>
      <c r="C474" s="4"/>
      <c r="D474" s="4"/>
      <c r="E474" s="94"/>
      <c r="F474" s="4" t="str">
        <f t="shared" si="2"/>
        <v/>
      </c>
      <c r="G474" s="2" t="str">
        <f t="shared" si="3"/>
        <v/>
      </c>
      <c r="H474" s="2" t="str">
        <f>IF(G474="","",SUMIF(Familias!C:C,G474,Familias!E:E))</f>
        <v/>
      </c>
      <c r="I474" s="4" t="str">
        <f>IF(A474="","",COUNTIF(Prod_Prop!B:B,A474))</f>
        <v/>
      </c>
      <c r="J474" s="92" t="str">
        <f>IF(E474="","",IF(SUMIF(Precio_Productos!L:L,E474,Precio_Productos!J:J)=0,"Falta Precio",SUMIF(Precio_Productos!L:L,E474,Precio_Productos!J:J)))</f>
        <v/>
      </c>
      <c r="O474" s="86"/>
      <c r="P474" s="86" t="str">
        <f>IFERROR(__xludf.DUMMYFUNCTION("IF(OR(F474=""Selecciona.."",F474=""""),"""",TRANSPOSE(filter(Familias!C:C,Familias!D:D=F474)))"),"")</f>
        <v/>
      </c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</row>
    <row r="475">
      <c r="A475" s="4" t="str">
        <f t="shared" si="1"/>
        <v/>
      </c>
      <c r="B475" s="4"/>
      <c r="C475" s="4"/>
      <c r="D475" s="4"/>
      <c r="E475" s="94"/>
      <c r="F475" s="4" t="str">
        <f t="shared" si="2"/>
        <v/>
      </c>
      <c r="G475" s="2" t="str">
        <f t="shared" si="3"/>
        <v/>
      </c>
      <c r="H475" s="2" t="str">
        <f>IF(G475="","",SUMIF(Familias!C:C,G475,Familias!E:E))</f>
        <v/>
      </c>
      <c r="I475" s="4" t="str">
        <f>IF(A475="","",COUNTIF(Prod_Prop!B:B,A475))</f>
        <v/>
      </c>
      <c r="J475" s="92" t="str">
        <f>IF(E475="","",IF(SUMIF(Precio_Productos!L:L,E475,Precio_Productos!J:J)=0,"Falta Precio",SUMIF(Precio_Productos!L:L,E475,Precio_Productos!J:J)))</f>
        <v/>
      </c>
      <c r="O475" s="86"/>
      <c r="P475" s="86" t="str">
        <f>IFERROR(__xludf.DUMMYFUNCTION("IF(OR(F475=""Selecciona.."",F475=""""),"""",TRANSPOSE(filter(Familias!C:C,Familias!D:D=F475)))"),"")</f>
        <v/>
      </c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</row>
    <row r="476">
      <c r="A476" s="4" t="str">
        <f t="shared" si="1"/>
        <v/>
      </c>
      <c r="B476" s="4"/>
      <c r="C476" s="4"/>
      <c r="D476" s="4"/>
      <c r="E476" s="94"/>
      <c r="F476" s="4" t="str">
        <f t="shared" si="2"/>
        <v/>
      </c>
      <c r="G476" s="2" t="str">
        <f t="shared" si="3"/>
        <v/>
      </c>
      <c r="H476" s="2" t="str">
        <f>IF(G476="","",SUMIF(Familias!C:C,G476,Familias!E:E))</f>
        <v/>
      </c>
      <c r="I476" s="4" t="str">
        <f>IF(A476="","",COUNTIF(Prod_Prop!B:B,A476))</f>
        <v/>
      </c>
      <c r="J476" s="92" t="str">
        <f>IF(E476="","",IF(SUMIF(Precio_Productos!L:L,E476,Precio_Productos!J:J)=0,"Falta Precio",SUMIF(Precio_Productos!L:L,E476,Precio_Productos!J:J)))</f>
        <v/>
      </c>
      <c r="O476" s="86"/>
      <c r="P476" s="86" t="str">
        <f>IFERROR(__xludf.DUMMYFUNCTION("IF(OR(F476=""Selecciona.."",F476=""""),"""",TRANSPOSE(filter(Familias!C:C,Familias!D:D=F476)))"),"")</f>
        <v/>
      </c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</row>
    <row r="477">
      <c r="A477" s="4" t="str">
        <f t="shared" si="1"/>
        <v/>
      </c>
      <c r="B477" s="4"/>
      <c r="C477" s="4"/>
      <c r="D477" s="4"/>
      <c r="E477" s="94"/>
      <c r="F477" s="4" t="str">
        <f t="shared" si="2"/>
        <v/>
      </c>
      <c r="G477" s="2" t="str">
        <f t="shared" si="3"/>
        <v/>
      </c>
      <c r="H477" s="2" t="str">
        <f>IF(G477="","",SUMIF(Familias!C:C,G477,Familias!E:E))</f>
        <v/>
      </c>
      <c r="I477" s="4" t="str">
        <f>IF(A477="","",COUNTIF(Prod_Prop!B:B,A477))</f>
        <v/>
      </c>
      <c r="J477" s="92" t="str">
        <f>IF(E477="","",IF(SUMIF(Precio_Productos!L:L,E477,Precio_Productos!J:J)=0,"Falta Precio",SUMIF(Precio_Productos!L:L,E477,Precio_Productos!J:J)))</f>
        <v/>
      </c>
      <c r="O477" s="86"/>
      <c r="P477" s="86" t="str">
        <f>IFERROR(__xludf.DUMMYFUNCTION("IF(OR(F477=""Selecciona.."",F477=""""),"""",TRANSPOSE(filter(Familias!C:C,Familias!D:D=F477)))"),"")</f>
        <v/>
      </c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</row>
    <row r="478">
      <c r="A478" s="4" t="str">
        <f t="shared" si="1"/>
        <v/>
      </c>
      <c r="B478" s="4"/>
      <c r="C478" s="4"/>
      <c r="D478" s="4"/>
      <c r="E478" s="94"/>
      <c r="F478" s="4" t="str">
        <f t="shared" si="2"/>
        <v/>
      </c>
      <c r="G478" s="2" t="str">
        <f t="shared" si="3"/>
        <v/>
      </c>
      <c r="H478" s="2" t="str">
        <f>IF(G478="","",SUMIF(Familias!C:C,G478,Familias!E:E))</f>
        <v/>
      </c>
      <c r="I478" s="4" t="str">
        <f>IF(A478="","",COUNTIF(Prod_Prop!B:B,A478))</f>
        <v/>
      </c>
      <c r="J478" s="92" t="str">
        <f>IF(E478="","",IF(SUMIF(Precio_Productos!L:L,E478,Precio_Productos!J:J)=0,"Falta Precio",SUMIF(Precio_Productos!L:L,E478,Precio_Productos!J:J)))</f>
        <v/>
      </c>
      <c r="O478" s="86"/>
      <c r="P478" s="86" t="str">
        <f>IFERROR(__xludf.DUMMYFUNCTION("IF(OR(F478=""Selecciona.."",F478=""""),"""",TRANSPOSE(filter(Familias!C:C,Familias!D:D=F478)))"),"")</f>
        <v/>
      </c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</row>
    <row r="479">
      <c r="A479" s="4" t="str">
        <f t="shared" si="1"/>
        <v/>
      </c>
      <c r="B479" s="4"/>
      <c r="C479" s="4"/>
      <c r="D479" s="4"/>
      <c r="E479" s="94"/>
      <c r="F479" s="4" t="str">
        <f t="shared" si="2"/>
        <v/>
      </c>
      <c r="G479" s="2" t="str">
        <f t="shared" si="3"/>
        <v/>
      </c>
      <c r="H479" s="2" t="str">
        <f>IF(G479="","",SUMIF(Familias!C:C,G479,Familias!E:E))</f>
        <v/>
      </c>
      <c r="I479" s="4" t="str">
        <f>IF(A479="","",COUNTIF(Prod_Prop!B:B,A479))</f>
        <v/>
      </c>
      <c r="J479" s="92" t="str">
        <f>IF(E479="","",IF(SUMIF(Precio_Productos!L:L,E479,Precio_Productos!J:J)=0,"Falta Precio",SUMIF(Precio_Productos!L:L,E479,Precio_Productos!J:J)))</f>
        <v/>
      </c>
      <c r="O479" s="86"/>
      <c r="P479" s="86" t="str">
        <f>IFERROR(__xludf.DUMMYFUNCTION("IF(OR(F479=""Selecciona.."",F479=""""),"""",TRANSPOSE(filter(Familias!C:C,Familias!D:D=F479)))"),"")</f>
        <v/>
      </c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</row>
    <row r="480">
      <c r="A480" s="4" t="str">
        <f t="shared" si="1"/>
        <v/>
      </c>
      <c r="B480" s="4"/>
      <c r="C480" s="4"/>
      <c r="D480" s="4"/>
      <c r="E480" s="94"/>
      <c r="F480" s="4" t="str">
        <f t="shared" si="2"/>
        <v/>
      </c>
      <c r="G480" s="2" t="str">
        <f t="shared" si="3"/>
        <v/>
      </c>
      <c r="H480" s="2" t="str">
        <f>IF(G480="","",SUMIF(Familias!C:C,G480,Familias!E:E))</f>
        <v/>
      </c>
      <c r="I480" s="4" t="str">
        <f>IF(A480="","",COUNTIF(Prod_Prop!B:B,A480))</f>
        <v/>
      </c>
      <c r="J480" s="92" t="str">
        <f>IF(E480="","",IF(SUMIF(Precio_Productos!L:L,E480,Precio_Productos!J:J)=0,"Falta Precio",SUMIF(Precio_Productos!L:L,E480,Precio_Productos!J:J)))</f>
        <v/>
      </c>
      <c r="O480" s="86"/>
      <c r="P480" s="86" t="str">
        <f>IFERROR(__xludf.DUMMYFUNCTION("IF(OR(F480=""Selecciona.."",F480=""""),"""",TRANSPOSE(filter(Familias!C:C,Familias!D:D=F480)))"),"")</f>
        <v/>
      </c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</row>
    <row r="481">
      <c r="A481" s="4" t="str">
        <f t="shared" si="1"/>
        <v/>
      </c>
      <c r="B481" s="4"/>
      <c r="C481" s="4"/>
      <c r="D481" s="4"/>
      <c r="E481" s="94"/>
      <c r="F481" s="4" t="str">
        <f t="shared" si="2"/>
        <v/>
      </c>
      <c r="G481" s="2" t="str">
        <f t="shared" si="3"/>
        <v/>
      </c>
      <c r="H481" s="2" t="str">
        <f>IF(G481="","",SUMIF(Familias!C:C,G481,Familias!E:E))</f>
        <v/>
      </c>
      <c r="I481" s="4" t="str">
        <f>IF(A481="","",COUNTIF(Prod_Prop!B:B,A481))</f>
        <v/>
      </c>
      <c r="J481" s="92" t="str">
        <f>IF(E481="","",IF(SUMIF(Precio_Productos!L:L,E481,Precio_Productos!J:J)=0,"Falta Precio",SUMIF(Precio_Productos!L:L,E481,Precio_Productos!J:J)))</f>
        <v/>
      </c>
      <c r="O481" s="86"/>
      <c r="P481" s="86" t="str">
        <f>IFERROR(__xludf.DUMMYFUNCTION("IF(OR(F481=""Selecciona.."",F481=""""),"""",TRANSPOSE(filter(Familias!C:C,Familias!D:D=F481)))"),"")</f>
        <v/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</row>
    <row r="482">
      <c r="A482" s="4" t="str">
        <f t="shared" si="1"/>
        <v/>
      </c>
      <c r="B482" s="4"/>
      <c r="C482" s="4"/>
      <c r="D482" s="4"/>
      <c r="E482" s="94"/>
      <c r="F482" s="4" t="str">
        <f t="shared" si="2"/>
        <v/>
      </c>
      <c r="G482" s="2" t="str">
        <f t="shared" si="3"/>
        <v/>
      </c>
      <c r="H482" s="2" t="str">
        <f>IF(G482="","",SUMIF(Familias!C:C,G482,Familias!E:E))</f>
        <v/>
      </c>
      <c r="I482" s="4" t="str">
        <f>IF(A482="","",COUNTIF(Prod_Prop!B:B,A482))</f>
        <v/>
      </c>
      <c r="J482" s="92" t="str">
        <f>IF(E482="","",IF(SUMIF(Precio_Productos!L:L,E482,Precio_Productos!J:J)=0,"Falta Precio",SUMIF(Precio_Productos!L:L,E482,Precio_Productos!J:J)))</f>
        <v/>
      </c>
      <c r="O482" s="86"/>
      <c r="P482" s="86" t="str">
        <f>IFERROR(__xludf.DUMMYFUNCTION("IF(OR(F482=""Selecciona.."",F482=""""),"""",TRANSPOSE(filter(Familias!C:C,Familias!D:D=F482)))"),"")</f>
        <v/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</row>
    <row r="483">
      <c r="A483" s="4" t="str">
        <f t="shared" si="1"/>
        <v/>
      </c>
      <c r="B483" s="4"/>
      <c r="C483" s="4"/>
      <c r="D483" s="4"/>
      <c r="E483" s="94"/>
      <c r="F483" s="4" t="str">
        <f t="shared" si="2"/>
        <v/>
      </c>
      <c r="G483" s="2" t="str">
        <f t="shared" si="3"/>
        <v/>
      </c>
      <c r="H483" s="2" t="str">
        <f>IF(G483="","",SUMIF(Familias!C:C,G483,Familias!E:E))</f>
        <v/>
      </c>
      <c r="I483" s="4" t="str">
        <f>IF(A483="","",COUNTIF(Prod_Prop!B:B,A483))</f>
        <v/>
      </c>
      <c r="J483" s="92" t="str">
        <f>IF(E483="","",IF(SUMIF(Precio_Productos!L:L,E483,Precio_Productos!J:J)=0,"Falta Precio",SUMIF(Precio_Productos!L:L,E483,Precio_Productos!J:J)))</f>
        <v/>
      </c>
      <c r="O483" s="86"/>
      <c r="P483" s="86" t="str">
        <f>IFERROR(__xludf.DUMMYFUNCTION("IF(OR(F483=""Selecciona.."",F483=""""),"""",TRANSPOSE(filter(Familias!C:C,Familias!D:D=F483)))"),"")</f>
        <v/>
      </c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</row>
    <row r="484">
      <c r="A484" s="4" t="str">
        <f t="shared" si="1"/>
        <v/>
      </c>
      <c r="B484" s="4"/>
      <c r="C484" s="4"/>
      <c r="D484" s="4"/>
      <c r="E484" s="94"/>
      <c r="F484" s="4" t="str">
        <f t="shared" si="2"/>
        <v/>
      </c>
      <c r="G484" s="2" t="str">
        <f t="shared" si="3"/>
        <v/>
      </c>
      <c r="H484" s="2" t="str">
        <f>IF(G484="","",SUMIF(Familias!C:C,G484,Familias!E:E))</f>
        <v/>
      </c>
      <c r="I484" s="4" t="str">
        <f>IF(A484="","",COUNTIF(Prod_Prop!B:B,A484))</f>
        <v/>
      </c>
      <c r="J484" s="92" t="str">
        <f>IF(E484="","",IF(SUMIF(Precio_Productos!L:L,E484,Precio_Productos!J:J)=0,"Falta Precio",SUMIF(Precio_Productos!L:L,E484,Precio_Productos!J:J)))</f>
        <v/>
      </c>
      <c r="O484" s="86"/>
      <c r="P484" s="86" t="str">
        <f>IFERROR(__xludf.DUMMYFUNCTION("IF(OR(F484=""Selecciona.."",F484=""""),"""",TRANSPOSE(filter(Familias!C:C,Familias!D:D=F484)))"),"")</f>
        <v/>
      </c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</row>
    <row r="485">
      <c r="A485" s="4" t="str">
        <f t="shared" si="1"/>
        <v/>
      </c>
      <c r="B485" s="4"/>
      <c r="C485" s="4"/>
      <c r="D485" s="4"/>
      <c r="E485" s="94"/>
      <c r="F485" s="4" t="str">
        <f t="shared" si="2"/>
        <v/>
      </c>
      <c r="G485" s="2" t="str">
        <f t="shared" si="3"/>
        <v/>
      </c>
      <c r="H485" s="2" t="str">
        <f>IF(G485="","",SUMIF(Familias!C:C,G485,Familias!E:E))</f>
        <v/>
      </c>
      <c r="I485" s="4" t="str">
        <f>IF(A485="","",COUNTIF(Prod_Prop!B:B,A485))</f>
        <v/>
      </c>
      <c r="J485" s="92" t="str">
        <f>IF(E485="","",IF(SUMIF(Precio_Productos!L:L,E485,Precio_Productos!J:J)=0,"Falta Precio",SUMIF(Precio_Productos!L:L,E485,Precio_Productos!J:J)))</f>
        <v/>
      </c>
      <c r="O485" s="86"/>
      <c r="P485" s="86" t="str">
        <f>IFERROR(__xludf.DUMMYFUNCTION("IF(OR(F485=""Selecciona.."",F485=""""),"""",TRANSPOSE(filter(Familias!C:C,Familias!D:D=F485)))"),"")</f>
        <v/>
      </c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</row>
    <row r="486">
      <c r="A486" s="4" t="str">
        <f t="shared" si="1"/>
        <v/>
      </c>
      <c r="B486" s="4"/>
      <c r="C486" s="4"/>
      <c r="D486" s="4"/>
      <c r="E486" s="94"/>
      <c r="F486" s="4" t="str">
        <f t="shared" si="2"/>
        <v/>
      </c>
      <c r="G486" s="2" t="str">
        <f t="shared" si="3"/>
        <v/>
      </c>
      <c r="H486" s="2" t="str">
        <f>IF(G486="","",SUMIF(Familias!C:C,G486,Familias!E:E))</f>
        <v/>
      </c>
      <c r="I486" s="4" t="str">
        <f>IF(A486="","",COUNTIF(Prod_Prop!B:B,A486))</f>
        <v/>
      </c>
      <c r="J486" s="92" t="str">
        <f>IF(E486="","",IF(SUMIF(Precio_Productos!L:L,E486,Precio_Productos!J:J)=0,"Falta Precio",SUMIF(Precio_Productos!L:L,E486,Precio_Productos!J:J)))</f>
        <v/>
      </c>
      <c r="O486" s="86"/>
      <c r="P486" s="86" t="str">
        <f>IFERROR(__xludf.DUMMYFUNCTION("IF(OR(F486=""Selecciona.."",F486=""""),"""",TRANSPOSE(filter(Familias!C:C,Familias!D:D=F486)))"),"")</f>
        <v/>
      </c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</row>
    <row r="487">
      <c r="A487" s="4" t="str">
        <f t="shared" si="1"/>
        <v/>
      </c>
      <c r="B487" s="4"/>
      <c r="C487" s="4"/>
      <c r="D487" s="4"/>
      <c r="E487" s="94"/>
      <c r="F487" s="4" t="str">
        <f t="shared" si="2"/>
        <v/>
      </c>
      <c r="G487" s="2" t="str">
        <f t="shared" si="3"/>
        <v/>
      </c>
      <c r="H487" s="2" t="str">
        <f>IF(G487="","",SUMIF(Familias!C:C,G487,Familias!E:E))</f>
        <v/>
      </c>
      <c r="I487" s="4" t="str">
        <f>IF(A487="","",COUNTIF(Prod_Prop!B:B,A487))</f>
        <v/>
      </c>
      <c r="J487" s="92" t="str">
        <f>IF(E487="","",IF(SUMIF(Precio_Productos!L:L,E487,Precio_Productos!J:J)=0,"Falta Precio",SUMIF(Precio_Productos!L:L,E487,Precio_Productos!J:J)))</f>
        <v/>
      </c>
      <c r="O487" s="86"/>
      <c r="P487" s="86" t="str">
        <f>IFERROR(__xludf.DUMMYFUNCTION("IF(OR(F487=""Selecciona.."",F487=""""),"""",TRANSPOSE(filter(Familias!C:C,Familias!D:D=F487)))"),"")</f>
        <v/>
      </c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</row>
    <row r="488">
      <c r="A488" s="4" t="str">
        <f t="shared" si="1"/>
        <v/>
      </c>
      <c r="B488" s="4"/>
      <c r="C488" s="4"/>
      <c r="D488" s="4"/>
      <c r="E488" s="94"/>
      <c r="F488" s="4" t="str">
        <f t="shared" si="2"/>
        <v/>
      </c>
      <c r="G488" s="2" t="str">
        <f t="shared" si="3"/>
        <v/>
      </c>
      <c r="H488" s="2" t="str">
        <f>IF(G488="","",SUMIF(Familias!C:C,G488,Familias!E:E))</f>
        <v/>
      </c>
      <c r="I488" s="4" t="str">
        <f>IF(A488="","",COUNTIF(Prod_Prop!B:B,A488))</f>
        <v/>
      </c>
      <c r="J488" s="92" t="str">
        <f>IF(E488="","",IF(SUMIF(Precio_Productos!L:L,E488,Precio_Productos!J:J)=0,"Falta Precio",SUMIF(Precio_Productos!L:L,E488,Precio_Productos!J:J)))</f>
        <v/>
      </c>
      <c r="O488" s="86"/>
      <c r="P488" s="86" t="str">
        <f>IFERROR(__xludf.DUMMYFUNCTION("IF(OR(F488=""Selecciona.."",F488=""""),"""",TRANSPOSE(filter(Familias!C:C,Familias!D:D=F488)))"),"")</f>
        <v/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</row>
    <row r="489">
      <c r="A489" s="4" t="str">
        <f t="shared" si="1"/>
        <v/>
      </c>
      <c r="B489" s="4"/>
      <c r="C489" s="4"/>
      <c r="D489" s="4"/>
      <c r="E489" s="94"/>
      <c r="F489" s="4" t="str">
        <f t="shared" si="2"/>
        <v/>
      </c>
      <c r="G489" s="2" t="str">
        <f t="shared" si="3"/>
        <v/>
      </c>
      <c r="H489" s="2" t="str">
        <f>IF(G489="","",SUMIF(Familias!C:C,G489,Familias!E:E))</f>
        <v/>
      </c>
      <c r="I489" s="4" t="str">
        <f>IF(A489="","",COUNTIF(Prod_Prop!B:B,A489))</f>
        <v/>
      </c>
      <c r="J489" s="92" t="str">
        <f>IF(E489="","",IF(SUMIF(Precio_Productos!L:L,E489,Precio_Productos!J:J)=0,"Falta Precio",SUMIF(Precio_Productos!L:L,E489,Precio_Productos!J:J)))</f>
        <v/>
      </c>
      <c r="O489" s="86"/>
      <c r="P489" s="86" t="str">
        <f>IFERROR(__xludf.DUMMYFUNCTION("IF(OR(F489=""Selecciona.."",F489=""""),"""",TRANSPOSE(filter(Familias!C:C,Familias!D:D=F489)))"),"")</f>
        <v/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</row>
    <row r="490">
      <c r="A490" s="4" t="str">
        <f t="shared" si="1"/>
        <v/>
      </c>
      <c r="B490" s="4"/>
      <c r="C490" s="4"/>
      <c r="D490" s="4"/>
      <c r="E490" s="94"/>
      <c r="F490" s="4" t="str">
        <f t="shared" si="2"/>
        <v/>
      </c>
      <c r="G490" s="2" t="str">
        <f t="shared" si="3"/>
        <v/>
      </c>
      <c r="H490" s="2" t="str">
        <f>IF(G490="","",SUMIF(Familias!C:C,G490,Familias!E:E))</f>
        <v/>
      </c>
      <c r="I490" s="4" t="str">
        <f>IF(A490="","",COUNTIF(Prod_Prop!B:B,A490))</f>
        <v/>
      </c>
      <c r="J490" s="92" t="str">
        <f>IF(E490="","",IF(SUMIF(Precio_Productos!L:L,E490,Precio_Productos!J:J)=0,"Falta Precio",SUMIF(Precio_Productos!L:L,E490,Precio_Productos!J:J)))</f>
        <v/>
      </c>
      <c r="O490" s="86"/>
      <c r="P490" s="86" t="str">
        <f>IFERROR(__xludf.DUMMYFUNCTION("IF(OR(F490=""Selecciona.."",F490=""""),"""",TRANSPOSE(filter(Familias!C:C,Familias!D:D=F490)))"),"")</f>
        <v/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</row>
    <row r="491">
      <c r="A491" s="4" t="str">
        <f t="shared" si="1"/>
        <v/>
      </c>
      <c r="B491" s="4"/>
      <c r="C491" s="4"/>
      <c r="D491" s="4"/>
      <c r="E491" s="94"/>
      <c r="F491" s="4" t="str">
        <f t="shared" si="2"/>
        <v/>
      </c>
      <c r="G491" s="2" t="str">
        <f t="shared" si="3"/>
        <v/>
      </c>
      <c r="H491" s="2" t="str">
        <f>IF(G491="","",SUMIF(Familias!C:C,G491,Familias!E:E))</f>
        <v/>
      </c>
      <c r="I491" s="4" t="str">
        <f>IF(A491="","",COUNTIF(Prod_Prop!B:B,A491))</f>
        <v/>
      </c>
      <c r="J491" s="92" t="str">
        <f>IF(E491="","",IF(SUMIF(Precio_Productos!L:L,E491,Precio_Productos!J:J)=0,"Falta Precio",SUMIF(Precio_Productos!L:L,E491,Precio_Productos!J:J)))</f>
        <v/>
      </c>
      <c r="O491" s="86"/>
      <c r="P491" s="86" t="str">
        <f>IFERROR(__xludf.DUMMYFUNCTION("IF(OR(F491=""Selecciona.."",F491=""""),"""",TRANSPOSE(filter(Familias!C:C,Familias!D:D=F491)))"),"")</f>
        <v/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</row>
    <row r="492">
      <c r="A492" s="4" t="str">
        <f t="shared" si="1"/>
        <v/>
      </c>
      <c r="B492" s="4"/>
      <c r="C492" s="4"/>
      <c r="D492" s="4"/>
      <c r="E492" s="94"/>
      <c r="F492" s="4" t="str">
        <f t="shared" si="2"/>
        <v/>
      </c>
      <c r="G492" s="2" t="str">
        <f t="shared" si="3"/>
        <v/>
      </c>
      <c r="H492" s="2" t="str">
        <f>IF(G492="","",SUMIF(Familias!C:C,G492,Familias!E:E))</f>
        <v/>
      </c>
      <c r="I492" s="4" t="str">
        <f>IF(A492="","",COUNTIF(Prod_Prop!B:B,A492))</f>
        <v/>
      </c>
      <c r="J492" s="92" t="str">
        <f>IF(E492="","",IF(SUMIF(Precio_Productos!L:L,E492,Precio_Productos!J:J)=0,"Falta Precio",SUMIF(Precio_Productos!L:L,E492,Precio_Productos!J:J)))</f>
        <v/>
      </c>
      <c r="O492" s="86"/>
      <c r="P492" s="86" t="str">
        <f>IFERROR(__xludf.DUMMYFUNCTION("IF(OR(F492=""Selecciona.."",F492=""""),"""",TRANSPOSE(filter(Familias!C:C,Familias!D:D=F492)))"),"")</f>
        <v/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</row>
    <row r="493">
      <c r="A493" s="4" t="str">
        <f t="shared" si="1"/>
        <v/>
      </c>
      <c r="B493" s="4"/>
      <c r="C493" s="4"/>
      <c r="D493" s="4"/>
      <c r="E493" s="94"/>
      <c r="F493" s="4" t="str">
        <f t="shared" si="2"/>
        <v/>
      </c>
      <c r="G493" s="2" t="str">
        <f t="shared" si="3"/>
        <v/>
      </c>
      <c r="H493" s="2" t="str">
        <f>IF(G493="","",SUMIF(Familias!C:C,G493,Familias!E:E))</f>
        <v/>
      </c>
      <c r="I493" s="4" t="str">
        <f>IF(A493="","",COUNTIF(Prod_Prop!B:B,A493))</f>
        <v/>
      </c>
      <c r="J493" s="92" t="str">
        <f>IF(E493="","",IF(SUMIF(Precio_Productos!L:L,E493,Precio_Productos!J:J)=0,"Falta Precio",SUMIF(Precio_Productos!L:L,E493,Precio_Productos!J:J)))</f>
        <v/>
      </c>
      <c r="O493" s="86"/>
      <c r="P493" s="86" t="str">
        <f>IFERROR(__xludf.DUMMYFUNCTION("IF(OR(F493=""Selecciona.."",F493=""""),"""",TRANSPOSE(filter(Familias!C:C,Familias!D:D=F493)))"),"")</f>
        <v/>
      </c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</row>
    <row r="494">
      <c r="A494" s="4" t="str">
        <f t="shared" si="1"/>
        <v/>
      </c>
      <c r="B494" s="4"/>
      <c r="C494" s="4"/>
      <c r="D494" s="4"/>
      <c r="E494" s="94"/>
      <c r="F494" s="4" t="str">
        <f t="shared" si="2"/>
        <v/>
      </c>
      <c r="G494" s="2" t="str">
        <f t="shared" si="3"/>
        <v/>
      </c>
      <c r="H494" s="2" t="str">
        <f>IF(G494="","",SUMIF(Familias!C:C,G494,Familias!E:E))</f>
        <v/>
      </c>
      <c r="I494" s="4" t="str">
        <f>IF(A494="","",COUNTIF(Prod_Prop!B:B,A494))</f>
        <v/>
      </c>
      <c r="J494" s="92" t="str">
        <f>IF(E494="","",IF(SUMIF(Precio_Productos!L:L,E494,Precio_Productos!J:J)=0,"Falta Precio",SUMIF(Precio_Productos!L:L,E494,Precio_Productos!J:J)))</f>
        <v/>
      </c>
      <c r="O494" s="86"/>
      <c r="P494" s="86" t="str">
        <f>IFERROR(__xludf.DUMMYFUNCTION("IF(OR(F494=""Selecciona.."",F494=""""),"""",TRANSPOSE(filter(Familias!C:C,Familias!D:D=F494)))"),"")</f>
        <v/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</row>
    <row r="495">
      <c r="A495" s="4" t="str">
        <f t="shared" si="1"/>
        <v/>
      </c>
      <c r="B495" s="4"/>
      <c r="C495" s="4"/>
      <c r="D495" s="4"/>
      <c r="E495" s="94"/>
      <c r="F495" s="4" t="str">
        <f t="shared" si="2"/>
        <v/>
      </c>
      <c r="G495" s="2" t="str">
        <f t="shared" si="3"/>
        <v/>
      </c>
      <c r="H495" s="2" t="str">
        <f>IF(G495="","",SUMIF(Familias!C:C,G495,Familias!E:E))</f>
        <v/>
      </c>
      <c r="I495" s="4" t="str">
        <f>IF(A495="","",COUNTIF(Prod_Prop!B:B,A495))</f>
        <v/>
      </c>
      <c r="J495" s="92" t="str">
        <f>IF(E495="","",IF(SUMIF(Precio_Productos!L:L,E495,Precio_Productos!J:J)=0,"Falta Precio",SUMIF(Precio_Productos!L:L,E495,Precio_Productos!J:J)))</f>
        <v/>
      </c>
      <c r="O495" s="86"/>
      <c r="P495" s="86" t="str">
        <f>IFERROR(__xludf.DUMMYFUNCTION("IF(OR(F495=""Selecciona.."",F495=""""),"""",TRANSPOSE(filter(Familias!C:C,Familias!D:D=F495)))"),"")</f>
        <v/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</row>
    <row r="496">
      <c r="A496" s="4" t="str">
        <f t="shared" si="1"/>
        <v/>
      </c>
      <c r="B496" s="4"/>
      <c r="C496" s="4"/>
      <c r="D496" s="4"/>
      <c r="E496" s="94"/>
      <c r="F496" s="4" t="str">
        <f t="shared" si="2"/>
        <v/>
      </c>
      <c r="G496" s="2" t="str">
        <f t="shared" si="3"/>
        <v/>
      </c>
      <c r="H496" s="2" t="str">
        <f>IF(G496="","",SUMIF(Familias!C:C,G496,Familias!E:E))</f>
        <v/>
      </c>
      <c r="I496" s="4" t="str">
        <f>IF(A496="","",COUNTIF(Prod_Prop!B:B,A496))</f>
        <v/>
      </c>
      <c r="J496" s="92" t="str">
        <f>IF(E496="","",IF(SUMIF(Precio_Productos!L:L,E496,Precio_Productos!J:J)=0,"Falta Precio",SUMIF(Precio_Productos!L:L,E496,Precio_Productos!J:J)))</f>
        <v/>
      </c>
      <c r="O496" s="86"/>
      <c r="P496" s="86" t="str">
        <f>IFERROR(__xludf.DUMMYFUNCTION("IF(OR(F496=""Selecciona.."",F496=""""),"""",TRANSPOSE(filter(Familias!C:C,Familias!D:D=F496)))"),"")</f>
        <v/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</row>
    <row r="497">
      <c r="A497" s="4" t="str">
        <f t="shared" si="1"/>
        <v/>
      </c>
      <c r="B497" s="4"/>
      <c r="C497" s="4"/>
      <c r="D497" s="4"/>
      <c r="E497" s="94"/>
      <c r="F497" s="4" t="str">
        <f t="shared" si="2"/>
        <v/>
      </c>
      <c r="G497" s="2" t="str">
        <f t="shared" si="3"/>
        <v/>
      </c>
      <c r="H497" s="2" t="str">
        <f>IF(G497="","",SUMIF(Familias!C:C,G497,Familias!E:E))</f>
        <v/>
      </c>
      <c r="I497" s="4" t="str">
        <f>IF(A497="","",COUNTIF(Prod_Prop!B:B,A497))</f>
        <v/>
      </c>
      <c r="J497" s="92" t="str">
        <f>IF(E497="","",IF(SUMIF(Precio_Productos!L:L,E497,Precio_Productos!J:J)=0,"Falta Precio",SUMIF(Precio_Productos!L:L,E497,Precio_Productos!J:J)))</f>
        <v/>
      </c>
      <c r="O497" s="86"/>
      <c r="P497" s="86" t="str">
        <f>IFERROR(__xludf.DUMMYFUNCTION("IF(OR(F497=""Selecciona.."",F497=""""),"""",TRANSPOSE(filter(Familias!C:C,Familias!D:D=F497)))"),"")</f>
        <v/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</row>
    <row r="498">
      <c r="A498" s="4" t="str">
        <f t="shared" si="1"/>
        <v/>
      </c>
      <c r="B498" s="4"/>
      <c r="C498" s="4"/>
      <c r="D498" s="4"/>
      <c r="E498" s="94"/>
      <c r="F498" s="4" t="str">
        <f t="shared" si="2"/>
        <v/>
      </c>
      <c r="G498" s="2" t="str">
        <f t="shared" si="3"/>
        <v/>
      </c>
      <c r="H498" s="2" t="str">
        <f>IF(G498="","",SUMIF(Familias!C:C,G498,Familias!E:E))</f>
        <v/>
      </c>
      <c r="I498" s="4" t="str">
        <f>IF(A498="","",COUNTIF(Prod_Prop!B:B,A498))</f>
        <v/>
      </c>
      <c r="J498" s="92" t="str">
        <f>IF(E498="","",IF(SUMIF(Precio_Productos!L:L,E498,Precio_Productos!J:J)=0,"Falta Precio",SUMIF(Precio_Productos!L:L,E498,Precio_Productos!J:J)))</f>
        <v/>
      </c>
      <c r="O498" s="86"/>
      <c r="P498" s="86" t="str">
        <f>IFERROR(__xludf.DUMMYFUNCTION("IF(OR(F498=""Selecciona.."",F498=""""),"""",TRANSPOSE(filter(Familias!C:C,Familias!D:D=F498)))"),"")</f>
        <v/>
      </c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</row>
    <row r="499">
      <c r="A499" s="4" t="str">
        <f t="shared" si="1"/>
        <v/>
      </c>
      <c r="B499" s="4"/>
      <c r="C499" s="4"/>
      <c r="D499" s="4"/>
      <c r="E499" s="94"/>
      <c r="F499" s="4" t="str">
        <f t="shared" si="2"/>
        <v/>
      </c>
      <c r="G499" s="2" t="str">
        <f t="shared" si="3"/>
        <v/>
      </c>
      <c r="H499" s="2" t="str">
        <f>IF(G499="","",SUMIF(Familias!C:C,G499,Familias!E:E))</f>
        <v/>
      </c>
      <c r="I499" s="4" t="str">
        <f>IF(A499="","",COUNTIF(Prod_Prop!B:B,A499))</f>
        <v/>
      </c>
      <c r="J499" s="92" t="str">
        <f>IF(E499="","",IF(SUMIF(Precio_Productos!L:L,E499,Precio_Productos!J:J)=0,"Falta Precio",SUMIF(Precio_Productos!L:L,E499,Precio_Productos!J:J)))</f>
        <v/>
      </c>
      <c r="O499" s="86"/>
      <c r="P499" s="86" t="str">
        <f>IFERROR(__xludf.DUMMYFUNCTION("IF(OR(F499=""Selecciona.."",F499=""""),"""",TRANSPOSE(filter(Familias!C:C,Familias!D:D=F499)))"),"")</f>
        <v/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</row>
    <row r="500">
      <c r="A500" s="4" t="str">
        <f t="shared" si="1"/>
        <v/>
      </c>
      <c r="B500" s="4"/>
      <c r="C500" s="4"/>
      <c r="D500" s="4"/>
      <c r="E500" s="94"/>
      <c r="F500" s="4" t="str">
        <f t="shared" si="2"/>
        <v/>
      </c>
      <c r="G500" s="2" t="str">
        <f t="shared" si="3"/>
        <v/>
      </c>
      <c r="H500" s="2" t="str">
        <f>IF(G500="","",SUMIF(Familias!C:C,G500,Familias!E:E))</f>
        <v/>
      </c>
      <c r="I500" s="4" t="str">
        <f>IF(A500="","",COUNTIF(Prod_Prop!B:B,A500))</f>
        <v/>
      </c>
      <c r="J500" s="92" t="str">
        <f>IF(E500="","",IF(SUMIF(Precio_Productos!L:L,E500,Precio_Productos!J:J)=0,"Falta Precio",SUMIF(Precio_Productos!L:L,E500,Precio_Productos!J:J)))</f>
        <v/>
      </c>
      <c r="O500" s="86"/>
      <c r="P500" s="86" t="str">
        <f>IFERROR(__xludf.DUMMYFUNCTION("IF(OR(F500=""Selecciona.."",F500=""""),"""",TRANSPOSE(filter(Familias!C:C,Familias!D:D=F500)))"),"")</f>
        <v/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</row>
    <row r="501">
      <c r="A501" s="4" t="str">
        <f t="shared" si="1"/>
        <v/>
      </c>
      <c r="B501" s="4"/>
      <c r="C501" s="4"/>
      <c r="D501" s="4"/>
      <c r="E501" s="94"/>
      <c r="F501" s="4" t="str">
        <f t="shared" si="2"/>
        <v/>
      </c>
      <c r="G501" s="2" t="str">
        <f t="shared" si="3"/>
        <v/>
      </c>
      <c r="H501" s="2" t="str">
        <f>IF(G501="","",SUMIF(Familias!C:C,G501,Familias!E:E))</f>
        <v/>
      </c>
      <c r="I501" s="4" t="str">
        <f>IF(A501="","",COUNTIF(Prod_Prop!B:B,A501))</f>
        <v/>
      </c>
      <c r="J501" s="92" t="str">
        <f>IF(E501="","",IF(SUMIF(Precio_Productos!L:L,E501,Precio_Productos!J:J)=0,"Falta Precio",SUMIF(Precio_Productos!L:L,E501,Precio_Productos!J:J)))</f>
        <v/>
      </c>
      <c r="O501" s="86"/>
      <c r="P501" s="86" t="str">
        <f>IFERROR(__xludf.DUMMYFUNCTION("IF(OR(F501=""Selecciona.."",F501=""""),"""",TRANSPOSE(filter(Familias!C:C,Familias!D:D=F501)))"),"")</f>
        <v/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</row>
    <row r="502">
      <c r="A502" s="4" t="str">
        <f t="shared" si="1"/>
        <v/>
      </c>
      <c r="B502" s="4"/>
      <c r="C502" s="4"/>
      <c r="D502" s="4"/>
      <c r="E502" s="94"/>
      <c r="F502" s="4" t="str">
        <f t="shared" si="2"/>
        <v/>
      </c>
      <c r="G502" s="2" t="str">
        <f t="shared" si="3"/>
        <v/>
      </c>
      <c r="H502" s="2" t="str">
        <f>IF(G502="","",SUMIF(Familias!C:C,G502,Familias!E:E))</f>
        <v/>
      </c>
      <c r="I502" s="4" t="str">
        <f>IF(A502="","",COUNTIF(Prod_Prop!B:B,A502))</f>
        <v/>
      </c>
      <c r="J502" s="92" t="str">
        <f>IF(E502="","",IF(SUMIF(Precio_Productos!L:L,E502,Precio_Productos!J:J)=0,"Falta Precio",SUMIF(Precio_Productos!L:L,E502,Precio_Productos!J:J)))</f>
        <v/>
      </c>
      <c r="O502" s="86"/>
      <c r="P502" s="86" t="str">
        <f>IFERROR(__xludf.DUMMYFUNCTION("IF(OR(F502=""Selecciona.."",F502=""""),"""",TRANSPOSE(filter(Familias!C:C,Familias!D:D=F502)))"),"")</f>
        <v/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</row>
    <row r="503">
      <c r="A503" s="4" t="str">
        <f t="shared" si="1"/>
        <v/>
      </c>
      <c r="B503" s="4"/>
      <c r="C503" s="4"/>
      <c r="D503" s="4"/>
      <c r="E503" s="94"/>
      <c r="F503" s="4" t="str">
        <f t="shared" si="2"/>
        <v/>
      </c>
      <c r="G503" s="2" t="str">
        <f t="shared" si="3"/>
        <v/>
      </c>
      <c r="H503" s="2" t="str">
        <f>IF(G503="","",SUMIF(Familias!C:C,G503,Familias!E:E))</f>
        <v/>
      </c>
      <c r="I503" s="4" t="str">
        <f>IF(A503="","",COUNTIF(Prod_Prop!B:B,A503))</f>
        <v/>
      </c>
      <c r="J503" s="92" t="str">
        <f>IF(E503="","",IF(SUMIF(Precio_Productos!L:L,E503,Precio_Productos!J:J)=0,"Falta Precio",SUMIF(Precio_Productos!L:L,E503,Precio_Productos!J:J)))</f>
        <v/>
      </c>
      <c r="O503" s="86"/>
      <c r="P503" s="86" t="str">
        <f>IFERROR(__xludf.DUMMYFUNCTION("IF(OR(F503=""Selecciona.."",F503=""""),"""",TRANSPOSE(filter(Familias!C:C,Familias!D:D=F503)))"),"")</f>
        <v/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</row>
    <row r="504">
      <c r="A504" s="4" t="str">
        <f t="shared" si="1"/>
        <v/>
      </c>
      <c r="B504" s="4"/>
      <c r="C504" s="4"/>
      <c r="D504" s="4"/>
      <c r="E504" s="94"/>
      <c r="F504" s="4" t="str">
        <f t="shared" si="2"/>
        <v/>
      </c>
      <c r="G504" s="2" t="str">
        <f t="shared" si="3"/>
        <v/>
      </c>
      <c r="H504" s="2" t="str">
        <f>IF(G504="","",SUMIF(Familias!C:C,G504,Familias!E:E))</f>
        <v/>
      </c>
      <c r="I504" s="4" t="str">
        <f>IF(A504="","",COUNTIF(Prod_Prop!B:B,A504))</f>
        <v/>
      </c>
      <c r="J504" s="92" t="str">
        <f>IF(E504="","",IF(SUMIF(Precio_Productos!L:L,E504,Precio_Productos!J:J)=0,"Falta Precio",SUMIF(Precio_Productos!L:L,E504,Precio_Productos!J:J)))</f>
        <v/>
      </c>
      <c r="O504" s="86"/>
      <c r="P504" s="86" t="str">
        <f>IFERROR(__xludf.DUMMYFUNCTION("IF(OR(F504=""Selecciona.."",F504=""""),"""",TRANSPOSE(filter(Familias!C:C,Familias!D:D=F504)))"),"")</f>
        <v/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</row>
    <row r="505">
      <c r="A505" s="4" t="str">
        <f t="shared" si="1"/>
        <v/>
      </c>
      <c r="B505" s="4"/>
      <c r="C505" s="4"/>
      <c r="D505" s="4"/>
      <c r="E505" s="94"/>
      <c r="F505" s="4" t="str">
        <f t="shared" si="2"/>
        <v/>
      </c>
      <c r="G505" s="2" t="str">
        <f t="shared" si="3"/>
        <v/>
      </c>
      <c r="H505" s="2" t="str">
        <f>IF(G505="","",SUMIF(Familias!C:C,G505,Familias!E:E))</f>
        <v/>
      </c>
      <c r="I505" s="4" t="str">
        <f>IF(A505="","",COUNTIF(Prod_Prop!B:B,A505))</f>
        <v/>
      </c>
      <c r="J505" s="92" t="str">
        <f>IF(E505="","",IF(SUMIF(Precio_Productos!L:L,E505,Precio_Productos!J:J)=0,"Falta Precio",SUMIF(Precio_Productos!L:L,E505,Precio_Productos!J:J)))</f>
        <v/>
      </c>
      <c r="O505" s="86"/>
      <c r="P505" s="86" t="str">
        <f>IFERROR(__xludf.DUMMYFUNCTION("IF(OR(F505=""Selecciona.."",F505=""""),"""",TRANSPOSE(filter(Familias!C:C,Familias!D:D=F505)))"),"")</f>
        <v/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</row>
    <row r="506">
      <c r="A506" s="4" t="str">
        <f t="shared" si="1"/>
        <v/>
      </c>
      <c r="B506" s="4"/>
      <c r="C506" s="4"/>
      <c r="D506" s="4"/>
      <c r="E506" s="94"/>
      <c r="F506" s="4" t="str">
        <f t="shared" si="2"/>
        <v/>
      </c>
      <c r="G506" s="2" t="str">
        <f t="shared" si="3"/>
        <v/>
      </c>
      <c r="H506" s="2" t="str">
        <f>IF(G506="","",SUMIF(Familias!C:C,G506,Familias!E:E))</f>
        <v/>
      </c>
      <c r="I506" s="4" t="str">
        <f>IF(A506="","",COUNTIF(Prod_Prop!B:B,A506))</f>
        <v/>
      </c>
      <c r="J506" s="92" t="str">
        <f>IF(E506="","",IF(SUMIF(Precio_Productos!L:L,E506,Precio_Productos!J:J)=0,"Falta Precio",SUMIF(Precio_Productos!L:L,E506,Precio_Productos!J:J)))</f>
        <v/>
      </c>
      <c r="O506" s="86"/>
      <c r="P506" s="86" t="str">
        <f>IFERROR(__xludf.DUMMYFUNCTION("IF(OR(F506=""Selecciona.."",F506=""""),"""",TRANSPOSE(filter(Familias!C:C,Familias!D:D=F506)))"),"")</f>
        <v/>
      </c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</row>
    <row r="507">
      <c r="A507" s="4" t="str">
        <f t="shared" si="1"/>
        <v/>
      </c>
      <c r="B507" s="4"/>
      <c r="C507" s="4"/>
      <c r="D507" s="4"/>
      <c r="E507" s="94"/>
      <c r="F507" s="4" t="str">
        <f t="shared" si="2"/>
        <v/>
      </c>
      <c r="G507" s="2" t="str">
        <f t="shared" si="3"/>
        <v/>
      </c>
      <c r="H507" s="2" t="str">
        <f>IF(G507="","",SUMIF(Familias!C:C,G507,Familias!E:E))</f>
        <v/>
      </c>
      <c r="I507" s="4" t="str">
        <f>IF(A507="","",COUNTIF(Prod_Prop!B:B,A507))</f>
        <v/>
      </c>
      <c r="J507" s="92" t="str">
        <f>IF(E507="","",IF(SUMIF(Precio_Productos!L:L,E507,Precio_Productos!J:J)=0,"Falta Precio",SUMIF(Precio_Productos!L:L,E507,Precio_Productos!J:J)))</f>
        <v/>
      </c>
      <c r="O507" s="86"/>
      <c r="P507" s="86" t="str">
        <f>IFERROR(__xludf.DUMMYFUNCTION("IF(OR(F507=""Selecciona.."",F507=""""),"""",TRANSPOSE(filter(Familias!C:C,Familias!D:D=F507)))"),"")</f>
        <v/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</row>
    <row r="508">
      <c r="A508" s="4" t="str">
        <f t="shared" si="1"/>
        <v/>
      </c>
      <c r="B508" s="4"/>
      <c r="C508" s="4"/>
      <c r="D508" s="4"/>
      <c r="E508" s="94"/>
      <c r="F508" s="4" t="str">
        <f t="shared" si="2"/>
        <v/>
      </c>
      <c r="G508" s="2" t="str">
        <f t="shared" si="3"/>
        <v/>
      </c>
      <c r="H508" s="2" t="str">
        <f>IF(G508="","",SUMIF(Familias!C:C,G508,Familias!E:E))</f>
        <v/>
      </c>
      <c r="I508" s="4" t="str">
        <f>IF(A508="","",COUNTIF(Prod_Prop!B:B,A508))</f>
        <v/>
      </c>
      <c r="J508" s="92" t="str">
        <f>IF(E508="","",IF(SUMIF(Precio_Productos!L:L,E508,Precio_Productos!J:J)=0,"Falta Precio",SUMIF(Precio_Productos!L:L,E508,Precio_Productos!J:J)))</f>
        <v/>
      </c>
      <c r="O508" s="86"/>
      <c r="P508" s="86" t="str">
        <f>IFERROR(__xludf.DUMMYFUNCTION("IF(OR(F508=""Selecciona.."",F508=""""),"""",TRANSPOSE(filter(Familias!C:C,Familias!D:D=F508)))"),"")</f>
        <v/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</row>
    <row r="509">
      <c r="A509" s="4" t="str">
        <f t="shared" si="1"/>
        <v/>
      </c>
      <c r="B509" s="4"/>
      <c r="C509" s="4"/>
      <c r="D509" s="4"/>
      <c r="E509" s="94"/>
      <c r="F509" s="4" t="str">
        <f t="shared" si="2"/>
        <v/>
      </c>
      <c r="G509" s="2" t="str">
        <f t="shared" si="3"/>
        <v/>
      </c>
      <c r="H509" s="2" t="str">
        <f>IF(G509="","",SUMIF(Familias!C:C,G509,Familias!E:E))</f>
        <v/>
      </c>
      <c r="I509" s="4" t="str">
        <f>IF(A509="","",COUNTIF(Prod_Prop!B:B,A509))</f>
        <v/>
      </c>
      <c r="J509" s="92" t="str">
        <f>IF(E509="","",IF(SUMIF(Precio_Productos!L:L,E509,Precio_Productos!J:J)=0,"Falta Precio",SUMIF(Precio_Productos!L:L,E509,Precio_Productos!J:J)))</f>
        <v/>
      </c>
      <c r="O509" s="86"/>
      <c r="P509" s="86" t="str">
        <f>IFERROR(__xludf.DUMMYFUNCTION("IF(OR(F509=""Selecciona.."",F509=""""),"""",TRANSPOSE(filter(Familias!C:C,Familias!D:D=F509)))"),"")</f>
        <v/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</row>
    <row r="510">
      <c r="A510" s="4" t="str">
        <f t="shared" si="1"/>
        <v/>
      </c>
      <c r="B510" s="4"/>
      <c r="C510" s="4"/>
      <c r="D510" s="4"/>
      <c r="E510" s="94"/>
      <c r="F510" s="4" t="str">
        <f t="shared" si="2"/>
        <v/>
      </c>
      <c r="G510" s="2" t="str">
        <f t="shared" si="3"/>
        <v/>
      </c>
      <c r="H510" s="2" t="str">
        <f>IF(G510="","",SUMIF(Familias!C:C,G510,Familias!E:E))</f>
        <v/>
      </c>
      <c r="I510" s="4" t="str">
        <f>IF(A510="","",COUNTIF(Prod_Prop!B:B,A510))</f>
        <v/>
      </c>
      <c r="J510" s="92" t="str">
        <f>IF(E510="","",IF(SUMIF(Precio_Productos!L:L,E510,Precio_Productos!J:J)=0,"Falta Precio",SUMIF(Precio_Productos!L:L,E510,Precio_Productos!J:J)))</f>
        <v/>
      </c>
      <c r="O510" s="86"/>
      <c r="P510" s="86" t="str">
        <f>IFERROR(__xludf.DUMMYFUNCTION("IF(OR(F510=""Selecciona.."",F510=""""),"""",TRANSPOSE(filter(Familias!C:C,Familias!D:D=F510)))"),"")</f>
        <v/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</row>
    <row r="511">
      <c r="A511" s="4" t="str">
        <f t="shared" si="1"/>
        <v/>
      </c>
      <c r="B511" s="4"/>
      <c r="C511" s="4"/>
      <c r="D511" s="4"/>
      <c r="E511" s="94"/>
      <c r="F511" s="4" t="str">
        <f t="shared" si="2"/>
        <v/>
      </c>
      <c r="G511" s="2" t="str">
        <f t="shared" si="3"/>
        <v/>
      </c>
      <c r="H511" s="2" t="str">
        <f>IF(G511="","",SUMIF(Familias!C:C,G511,Familias!E:E))</f>
        <v/>
      </c>
      <c r="I511" s="4" t="str">
        <f>IF(A511="","",COUNTIF(Prod_Prop!B:B,A511))</f>
        <v/>
      </c>
      <c r="J511" s="92" t="str">
        <f>IF(E511="","",IF(SUMIF(Precio_Productos!L:L,E511,Precio_Productos!J:J)=0,"Falta Precio",SUMIF(Precio_Productos!L:L,E511,Precio_Productos!J:J)))</f>
        <v/>
      </c>
      <c r="O511" s="86"/>
      <c r="P511" s="86" t="str">
        <f>IFERROR(__xludf.DUMMYFUNCTION("IF(OR(F511=""Selecciona.."",F511=""""),"""",TRANSPOSE(filter(Familias!C:C,Familias!D:D=F511)))"),"")</f>
        <v/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</row>
    <row r="512">
      <c r="A512" s="4" t="str">
        <f t="shared" si="1"/>
        <v/>
      </c>
      <c r="B512" s="4"/>
      <c r="C512" s="4"/>
      <c r="D512" s="4"/>
      <c r="E512" s="94"/>
      <c r="F512" s="4" t="str">
        <f t="shared" si="2"/>
        <v/>
      </c>
      <c r="G512" s="2" t="str">
        <f t="shared" si="3"/>
        <v/>
      </c>
      <c r="H512" s="2" t="str">
        <f>IF(G512="","",SUMIF(Familias!C:C,G512,Familias!E:E))</f>
        <v/>
      </c>
      <c r="I512" s="4" t="str">
        <f>IF(A512="","",COUNTIF(Prod_Prop!B:B,A512))</f>
        <v/>
      </c>
      <c r="J512" s="92" t="str">
        <f>IF(E512="","",IF(SUMIF(Precio_Productos!L:L,E512,Precio_Productos!J:J)=0,"Falta Precio",SUMIF(Precio_Productos!L:L,E512,Precio_Productos!J:J)))</f>
        <v/>
      </c>
      <c r="O512" s="86"/>
      <c r="P512" s="86" t="str">
        <f>IFERROR(__xludf.DUMMYFUNCTION("IF(OR(F512=""Selecciona.."",F512=""""),"""",TRANSPOSE(filter(Familias!C:C,Familias!D:D=F512)))"),"")</f>
        <v/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</row>
    <row r="513">
      <c r="A513" s="4" t="str">
        <f t="shared" si="1"/>
        <v/>
      </c>
      <c r="B513" s="4"/>
      <c r="C513" s="4"/>
      <c r="D513" s="4"/>
      <c r="E513" s="94"/>
      <c r="F513" s="4" t="str">
        <f t="shared" si="2"/>
        <v/>
      </c>
      <c r="G513" s="2" t="str">
        <f t="shared" si="3"/>
        <v/>
      </c>
      <c r="H513" s="2" t="str">
        <f>IF(G513="","",SUMIF(Familias!C:C,G513,Familias!E:E))</f>
        <v/>
      </c>
      <c r="I513" s="4" t="str">
        <f>IF(A513="","",COUNTIF(Prod_Prop!B:B,A513))</f>
        <v/>
      </c>
      <c r="J513" s="92" t="str">
        <f>IF(E513="","",IF(SUMIF(Precio_Productos!L:L,E513,Precio_Productos!J:J)=0,"Falta Precio",SUMIF(Precio_Productos!L:L,E513,Precio_Productos!J:J)))</f>
        <v/>
      </c>
      <c r="O513" s="86"/>
      <c r="P513" s="86" t="str">
        <f>IFERROR(__xludf.DUMMYFUNCTION("IF(OR(F513=""Selecciona.."",F513=""""),"""",TRANSPOSE(filter(Familias!C:C,Familias!D:D=F513)))"),"")</f>
        <v/>
      </c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</row>
    <row r="514">
      <c r="A514" s="4" t="str">
        <f t="shared" si="1"/>
        <v/>
      </c>
      <c r="B514" s="4"/>
      <c r="C514" s="4"/>
      <c r="D514" s="4"/>
      <c r="E514" s="94"/>
      <c r="F514" s="4" t="str">
        <f t="shared" si="2"/>
        <v/>
      </c>
      <c r="G514" s="2" t="str">
        <f t="shared" si="3"/>
        <v/>
      </c>
      <c r="H514" s="2" t="str">
        <f>IF(G514="","",SUMIF(Familias!C:C,G514,Familias!E:E))</f>
        <v/>
      </c>
      <c r="I514" s="4" t="str">
        <f>IF(A514="","",COUNTIF(Prod_Prop!B:B,A514))</f>
        <v/>
      </c>
      <c r="J514" s="92" t="str">
        <f>IF(E514="","",IF(SUMIF(Precio_Productos!L:L,E514,Precio_Productos!J:J)=0,"Falta Precio",SUMIF(Precio_Productos!L:L,E514,Precio_Productos!J:J)))</f>
        <v/>
      </c>
      <c r="O514" s="86"/>
      <c r="P514" s="86" t="str">
        <f>IFERROR(__xludf.DUMMYFUNCTION("IF(OR(F514=""Selecciona.."",F514=""""),"""",TRANSPOSE(filter(Familias!C:C,Familias!D:D=F514)))"),"")</f>
        <v/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</row>
    <row r="515">
      <c r="A515" s="4" t="str">
        <f t="shared" si="1"/>
        <v/>
      </c>
      <c r="B515" s="4"/>
      <c r="C515" s="4"/>
      <c r="D515" s="4"/>
      <c r="E515" s="94"/>
      <c r="F515" s="4" t="str">
        <f t="shared" si="2"/>
        <v/>
      </c>
      <c r="G515" s="2" t="str">
        <f t="shared" si="3"/>
        <v/>
      </c>
      <c r="H515" s="2" t="str">
        <f>IF(G515="","",SUMIF(Familias!C:C,G515,Familias!E:E))</f>
        <v/>
      </c>
      <c r="I515" s="4" t="str">
        <f>IF(A515="","",COUNTIF(Prod_Prop!B:B,A515))</f>
        <v/>
      </c>
      <c r="J515" s="92" t="str">
        <f>IF(E515="","",IF(SUMIF(Precio_Productos!L:L,E515,Precio_Productos!J:J)=0,"Falta Precio",SUMIF(Precio_Productos!L:L,E515,Precio_Productos!J:J)))</f>
        <v/>
      </c>
      <c r="O515" s="86"/>
      <c r="P515" s="86" t="str">
        <f>IFERROR(__xludf.DUMMYFUNCTION("IF(OR(F515=""Selecciona.."",F515=""""),"""",TRANSPOSE(filter(Familias!C:C,Familias!D:D=F515)))"),"")</f>
        <v/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</row>
    <row r="516">
      <c r="A516" s="4" t="str">
        <f t="shared" si="1"/>
        <v/>
      </c>
      <c r="B516" s="4"/>
      <c r="C516" s="4"/>
      <c r="D516" s="4"/>
      <c r="E516" s="94"/>
      <c r="F516" s="4" t="str">
        <f t="shared" si="2"/>
        <v/>
      </c>
      <c r="G516" s="2" t="str">
        <f t="shared" si="3"/>
        <v/>
      </c>
      <c r="H516" s="2" t="str">
        <f>IF(G516="","",SUMIF(Familias!C:C,G516,Familias!E:E))</f>
        <v/>
      </c>
      <c r="I516" s="4" t="str">
        <f>IF(A516="","",COUNTIF(Prod_Prop!B:B,A516))</f>
        <v/>
      </c>
      <c r="J516" s="92" t="str">
        <f>IF(E516="","",IF(SUMIF(Precio_Productos!L:L,E516,Precio_Productos!J:J)=0,"Falta Precio",SUMIF(Precio_Productos!L:L,E516,Precio_Productos!J:J)))</f>
        <v/>
      </c>
      <c r="O516" s="86"/>
      <c r="P516" s="86" t="str">
        <f>IFERROR(__xludf.DUMMYFUNCTION("IF(OR(F516=""Selecciona.."",F516=""""),"""",TRANSPOSE(filter(Familias!C:C,Familias!D:D=F516)))"),"")</f>
        <v/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</row>
    <row r="517">
      <c r="A517" s="4" t="str">
        <f t="shared" si="1"/>
        <v/>
      </c>
      <c r="B517" s="4"/>
      <c r="C517" s="4"/>
      <c r="D517" s="4"/>
      <c r="E517" s="94"/>
      <c r="F517" s="4" t="str">
        <f t="shared" si="2"/>
        <v/>
      </c>
      <c r="G517" s="2" t="str">
        <f t="shared" si="3"/>
        <v/>
      </c>
      <c r="H517" s="2" t="str">
        <f>IF(G517="","",SUMIF(Familias!C:C,G517,Familias!E:E))</f>
        <v/>
      </c>
      <c r="I517" s="4" t="str">
        <f>IF(A517="","",COUNTIF(Prod_Prop!B:B,A517))</f>
        <v/>
      </c>
      <c r="J517" s="92" t="str">
        <f>IF(E517="","",IF(SUMIF(Precio_Productos!L:L,E517,Precio_Productos!J:J)=0,"Falta Precio",SUMIF(Precio_Productos!L:L,E517,Precio_Productos!J:J)))</f>
        <v/>
      </c>
      <c r="O517" s="86"/>
      <c r="P517" s="86" t="str">
        <f>IFERROR(__xludf.DUMMYFUNCTION("IF(OR(F517=""Selecciona.."",F517=""""),"""",TRANSPOSE(filter(Familias!C:C,Familias!D:D=F517)))"),"")</f>
        <v/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</row>
    <row r="518">
      <c r="A518" s="4" t="str">
        <f t="shared" si="1"/>
        <v/>
      </c>
      <c r="B518" s="4"/>
      <c r="C518" s="4"/>
      <c r="D518" s="4"/>
      <c r="E518" s="94"/>
      <c r="F518" s="4" t="str">
        <f t="shared" si="2"/>
        <v/>
      </c>
      <c r="G518" s="2" t="str">
        <f t="shared" si="3"/>
        <v/>
      </c>
      <c r="H518" s="2" t="str">
        <f>IF(G518="","",SUMIF(Familias!C:C,G518,Familias!E:E))</f>
        <v/>
      </c>
      <c r="I518" s="4" t="str">
        <f>IF(A518="","",COUNTIF(Prod_Prop!B:B,A518))</f>
        <v/>
      </c>
      <c r="J518" s="92" t="str">
        <f>IF(E518="","",IF(SUMIF(Precio_Productos!L:L,E518,Precio_Productos!J:J)=0,"Falta Precio",SUMIF(Precio_Productos!L:L,E518,Precio_Productos!J:J)))</f>
        <v/>
      </c>
      <c r="O518" s="86"/>
      <c r="P518" s="86" t="str">
        <f>IFERROR(__xludf.DUMMYFUNCTION("IF(OR(F518=""Selecciona.."",F518=""""),"""",TRANSPOSE(filter(Familias!C:C,Familias!D:D=F518)))"),"")</f>
        <v/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</row>
    <row r="519">
      <c r="A519" s="4" t="str">
        <f t="shared" si="1"/>
        <v/>
      </c>
      <c r="B519" s="4"/>
      <c r="C519" s="4"/>
      <c r="D519" s="4"/>
      <c r="E519" s="94"/>
      <c r="F519" s="4" t="str">
        <f t="shared" si="2"/>
        <v/>
      </c>
      <c r="G519" s="2" t="str">
        <f t="shared" si="3"/>
        <v/>
      </c>
      <c r="H519" s="2" t="str">
        <f>IF(G519="","",SUMIF(Familias!C:C,G519,Familias!E:E))</f>
        <v/>
      </c>
      <c r="I519" s="4" t="str">
        <f>IF(A519="","",COUNTIF(Prod_Prop!B:B,A519))</f>
        <v/>
      </c>
      <c r="J519" s="92" t="str">
        <f>IF(E519="","",IF(SUMIF(Precio_Productos!L:L,E519,Precio_Productos!J:J)=0,"Falta Precio",SUMIF(Precio_Productos!L:L,E519,Precio_Productos!J:J)))</f>
        <v/>
      </c>
      <c r="O519" s="86"/>
      <c r="P519" s="86" t="str">
        <f>IFERROR(__xludf.DUMMYFUNCTION("IF(OR(F519=""Selecciona.."",F519=""""),"""",TRANSPOSE(filter(Familias!C:C,Familias!D:D=F519)))"),"")</f>
        <v/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</row>
    <row r="520">
      <c r="A520" s="4" t="str">
        <f t="shared" si="1"/>
        <v/>
      </c>
      <c r="B520" s="4"/>
      <c r="C520" s="4"/>
      <c r="D520" s="4"/>
      <c r="E520" s="94"/>
      <c r="F520" s="4" t="str">
        <f t="shared" si="2"/>
        <v/>
      </c>
      <c r="G520" s="2" t="str">
        <f t="shared" si="3"/>
        <v/>
      </c>
      <c r="H520" s="2" t="str">
        <f>IF(G520="","",SUMIF(Familias!C:C,G520,Familias!E:E))</f>
        <v/>
      </c>
      <c r="I520" s="4" t="str">
        <f>IF(A520="","",COUNTIF(Prod_Prop!B:B,A520))</f>
        <v/>
      </c>
      <c r="J520" s="92" t="str">
        <f>IF(E520="","",IF(SUMIF(Precio_Productos!L:L,E520,Precio_Productos!J:J)=0,"Falta Precio",SUMIF(Precio_Productos!L:L,E520,Precio_Productos!J:J)))</f>
        <v/>
      </c>
      <c r="O520" s="86"/>
      <c r="P520" s="86" t="str">
        <f>IFERROR(__xludf.DUMMYFUNCTION("IF(OR(F520=""Selecciona.."",F520=""""),"""",TRANSPOSE(filter(Familias!C:C,Familias!D:D=F520)))"),"")</f>
        <v/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</row>
    <row r="521">
      <c r="A521" s="4" t="str">
        <f t="shared" si="1"/>
        <v/>
      </c>
      <c r="B521" s="4"/>
      <c r="C521" s="4"/>
      <c r="D521" s="4"/>
      <c r="E521" s="94"/>
      <c r="F521" s="4" t="str">
        <f t="shared" si="2"/>
        <v/>
      </c>
      <c r="G521" s="2" t="str">
        <f t="shared" si="3"/>
        <v/>
      </c>
      <c r="H521" s="2" t="str">
        <f>IF(G521="","",SUMIF(Familias!C:C,G521,Familias!E:E))</f>
        <v/>
      </c>
      <c r="I521" s="4" t="str">
        <f>IF(A521="","",COUNTIF(Prod_Prop!B:B,A521))</f>
        <v/>
      </c>
      <c r="J521" s="92" t="str">
        <f>IF(E521="","",IF(SUMIF(Precio_Productos!L:L,E521,Precio_Productos!J:J)=0,"Falta Precio",SUMIF(Precio_Productos!L:L,E521,Precio_Productos!J:J)))</f>
        <v/>
      </c>
      <c r="O521" s="86"/>
      <c r="P521" s="86" t="str">
        <f>IFERROR(__xludf.DUMMYFUNCTION("IF(OR(F521=""Selecciona.."",F521=""""),"""",TRANSPOSE(filter(Familias!C:C,Familias!D:D=F521)))"),"")</f>
        <v/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</row>
    <row r="522">
      <c r="A522" s="4" t="str">
        <f t="shared" si="1"/>
        <v/>
      </c>
      <c r="B522" s="4"/>
      <c r="C522" s="4"/>
      <c r="D522" s="4"/>
      <c r="E522" s="94"/>
      <c r="F522" s="4" t="str">
        <f t="shared" si="2"/>
        <v/>
      </c>
      <c r="G522" s="2" t="str">
        <f t="shared" si="3"/>
        <v/>
      </c>
      <c r="H522" s="2" t="str">
        <f>IF(G522="","",SUMIF(Familias!C:C,G522,Familias!E:E))</f>
        <v/>
      </c>
      <c r="I522" s="4" t="str">
        <f>IF(A522="","",COUNTIF(Prod_Prop!B:B,A522))</f>
        <v/>
      </c>
      <c r="J522" s="92" t="str">
        <f>IF(E522="","",IF(SUMIF(Precio_Productos!L:L,E522,Precio_Productos!J:J)=0,"Falta Precio",SUMIF(Precio_Productos!L:L,E522,Precio_Productos!J:J)))</f>
        <v/>
      </c>
      <c r="O522" s="86"/>
      <c r="P522" s="86" t="str">
        <f>IFERROR(__xludf.DUMMYFUNCTION("IF(OR(F522=""Selecciona.."",F522=""""),"""",TRANSPOSE(filter(Familias!C:C,Familias!D:D=F522)))"),"")</f>
        <v/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</row>
    <row r="523">
      <c r="A523" s="4" t="str">
        <f t="shared" si="1"/>
        <v/>
      </c>
      <c r="B523" s="4"/>
      <c r="C523" s="4"/>
      <c r="D523" s="4"/>
      <c r="E523" s="94"/>
      <c r="F523" s="4" t="str">
        <f t="shared" si="2"/>
        <v/>
      </c>
      <c r="G523" s="2" t="str">
        <f t="shared" si="3"/>
        <v/>
      </c>
      <c r="H523" s="2" t="str">
        <f>IF(G523="","",SUMIF(Familias!C:C,G523,Familias!E:E))</f>
        <v/>
      </c>
      <c r="I523" s="4" t="str">
        <f>IF(A523="","",COUNTIF(Prod_Prop!B:B,A523))</f>
        <v/>
      </c>
      <c r="J523" s="92" t="str">
        <f>IF(E523="","",IF(SUMIF(Precio_Productos!L:L,E523,Precio_Productos!J:J)=0,"Falta Precio",SUMIF(Precio_Productos!L:L,E523,Precio_Productos!J:J)))</f>
        <v/>
      </c>
      <c r="O523" s="86"/>
      <c r="P523" s="86" t="str">
        <f>IFERROR(__xludf.DUMMYFUNCTION("IF(OR(F523=""Selecciona.."",F523=""""),"""",TRANSPOSE(filter(Familias!C:C,Familias!D:D=F523)))"),"")</f>
        <v/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</row>
    <row r="524">
      <c r="A524" s="4" t="str">
        <f t="shared" si="1"/>
        <v/>
      </c>
      <c r="B524" s="4"/>
      <c r="C524" s="4"/>
      <c r="D524" s="4"/>
      <c r="E524" s="94"/>
      <c r="F524" s="4" t="str">
        <f t="shared" si="2"/>
        <v/>
      </c>
      <c r="G524" s="2" t="str">
        <f t="shared" si="3"/>
        <v/>
      </c>
      <c r="H524" s="2" t="str">
        <f>IF(G524="","",SUMIF(Familias!C:C,G524,Familias!E:E))</f>
        <v/>
      </c>
      <c r="I524" s="4" t="str">
        <f>IF(A524="","",COUNTIF(Prod_Prop!B:B,A524))</f>
        <v/>
      </c>
      <c r="J524" s="92" t="str">
        <f>IF(E524="","",IF(SUMIF(Precio_Productos!L:L,E524,Precio_Productos!J:J)=0,"Falta Precio",SUMIF(Precio_Productos!L:L,E524,Precio_Productos!J:J)))</f>
        <v/>
      </c>
      <c r="O524" s="86"/>
      <c r="P524" s="86" t="str">
        <f>IFERROR(__xludf.DUMMYFUNCTION("IF(OR(F524=""Selecciona.."",F524=""""),"""",TRANSPOSE(filter(Familias!C:C,Familias!D:D=F524)))"),"")</f>
        <v/>
      </c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</row>
    <row r="525">
      <c r="A525" s="4" t="str">
        <f t="shared" si="1"/>
        <v/>
      </c>
      <c r="B525" s="4"/>
      <c r="C525" s="4"/>
      <c r="D525" s="4"/>
      <c r="E525" s="94"/>
      <c r="F525" s="4" t="str">
        <f t="shared" si="2"/>
        <v/>
      </c>
      <c r="G525" s="2" t="str">
        <f t="shared" si="3"/>
        <v/>
      </c>
      <c r="H525" s="2" t="str">
        <f>IF(G525="","",SUMIF(Familias!C:C,G525,Familias!E:E))</f>
        <v/>
      </c>
      <c r="I525" s="4" t="str">
        <f>IF(A525="","",COUNTIF(Prod_Prop!B:B,A525))</f>
        <v/>
      </c>
      <c r="J525" s="92" t="str">
        <f>IF(E525="","",IF(SUMIF(Precio_Productos!L:L,E525,Precio_Productos!J:J)=0,"Falta Precio",SUMIF(Precio_Productos!L:L,E525,Precio_Productos!J:J)))</f>
        <v/>
      </c>
      <c r="O525" s="86"/>
      <c r="P525" s="86" t="str">
        <f>IFERROR(__xludf.DUMMYFUNCTION("IF(OR(F525=""Selecciona.."",F525=""""),"""",TRANSPOSE(filter(Familias!C:C,Familias!D:D=F525)))"),"")</f>
        <v/>
      </c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</row>
    <row r="526">
      <c r="A526" s="4" t="str">
        <f t="shared" si="1"/>
        <v/>
      </c>
      <c r="B526" s="4"/>
      <c r="C526" s="4"/>
      <c r="D526" s="4"/>
      <c r="E526" s="94"/>
      <c r="F526" s="4" t="str">
        <f t="shared" si="2"/>
        <v/>
      </c>
      <c r="G526" s="2" t="str">
        <f t="shared" si="3"/>
        <v/>
      </c>
      <c r="H526" s="2" t="str">
        <f>IF(G526="","",SUMIF(Familias!C:C,G526,Familias!E:E))</f>
        <v/>
      </c>
      <c r="I526" s="4" t="str">
        <f>IF(A526="","",COUNTIF(Prod_Prop!B:B,A526))</f>
        <v/>
      </c>
      <c r="J526" s="92" t="str">
        <f>IF(E526="","",IF(SUMIF(Precio_Productos!L:L,E526,Precio_Productos!J:J)=0,"Falta Precio",SUMIF(Precio_Productos!L:L,E526,Precio_Productos!J:J)))</f>
        <v/>
      </c>
      <c r="O526" s="86"/>
      <c r="P526" s="86" t="str">
        <f>IFERROR(__xludf.DUMMYFUNCTION("IF(OR(F526=""Selecciona.."",F526=""""),"""",TRANSPOSE(filter(Familias!C:C,Familias!D:D=F526)))"),"")</f>
        <v/>
      </c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</row>
    <row r="527">
      <c r="A527" s="4" t="str">
        <f t="shared" si="1"/>
        <v/>
      </c>
      <c r="B527" s="4"/>
      <c r="C527" s="4"/>
      <c r="D527" s="4"/>
      <c r="E527" s="94"/>
      <c r="F527" s="4" t="str">
        <f t="shared" si="2"/>
        <v/>
      </c>
      <c r="G527" s="2" t="str">
        <f t="shared" si="3"/>
        <v/>
      </c>
      <c r="H527" s="2" t="str">
        <f>IF(G527="","",SUMIF(Familias!C:C,G527,Familias!E:E))</f>
        <v/>
      </c>
      <c r="I527" s="4" t="str">
        <f>IF(A527="","",COUNTIF(Prod_Prop!B:B,A527))</f>
        <v/>
      </c>
      <c r="J527" s="92" t="str">
        <f>IF(E527="","",IF(SUMIF(Precio_Productos!L:L,E527,Precio_Productos!J:J)=0,"Falta Precio",SUMIF(Precio_Productos!L:L,E527,Precio_Productos!J:J)))</f>
        <v/>
      </c>
      <c r="O527" s="86"/>
      <c r="P527" s="86" t="str">
        <f>IFERROR(__xludf.DUMMYFUNCTION("IF(OR(F527=""Selecciona.."",F527=""""),"""",TRANSPOSE(filter(Familias!C:C,Familias!D:D=F527)))"),"")</f>
        <v/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</row>
    <row r="528">
      <c r="A528" s="4" t="str">
        <f t="shared" si="1"/>
        <v/>
      </c>
      <c r="B528" s="4"/>
      <c r="C528" s="4"/>
      <c r="D528" s="4"/>
      <c r="E528" s="94"/>
      <c r="F528" s="4" t="str">
        <f t="shared" si="2"/>
        <v/>
      </c>
      <c r="G528" s="2" t="str">
        <f t="shared" si="3"/>
        <v/>
      </c>
      <c r="H528" s="2" t="str">
        <f>IF(G528="","",SUMIF(Familias!C:C,G528,Familias!E:E))</f>
        <v/>
      </c>
      <c r="I528" s="4" t="str">
        <f>IF(A528="","",COUNTIF(Prod_Prop!B:B,A528))</f>
        <v/>
      </c>
      <c r="J528" s="92" t="str">
        <f>IF(E528="","",IF(SUMIF(Precio_Productos!L:L,E528,Precio_Productos!J:J)=0,"Falta Precio",SUMIF(Precio_Productos!L:L,E528,Precio_Productos!J:J)))</f>
        <v/>
      </c>
      <c r="O528" s="86"/>
      <c r="P528" s="86" t="str">
        <f>IFERROR(__xludf.DUMMYFUNCTION("IF(OR(F528=""Selecciona.."",F528=""""),"""",TRANSPOSE(filter(Familias!C:C,Familias!D:D=F528)))"),"")</f>
        <v/>
      </c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</row>
    <row r="529">
      <c r="A529" s="4" t="str">
        <f t="shared" si="1"/>
        <v/>
      </c>
      <c r="B529" s="4"/>
      <c r="C529" s="4"/>
      <c r="D529" s="4"/>
      <c r="E529" s="94"/>
      <c r="F529" s="4" t="str">
        <f t="shared" si="2"/>
        <v/>
      </c>
      <c r="G529" s="2" t="str">
        <f t="shared" si="3"/>
        <v/>
      </c>
      <c r="H529" s="2" t="str">
        <f>IF(G529="","",SUMIF(Familias!C:C,G529,Familias!E:E))</f>
        <v/>
      </c>
      <c r="I529" s="4" t="str">
        <f>IF(A529="","",COUNTIF(Prod_Prop!B:B,A529))</f>
        <v/>
      </c>
      <c r="J529" s="92" t="str">
        <f>IF(E529="","",IF(SUMIF(Precio_Productos!L:L,E529,Precio_Productos!J:J)=0,"Falta Precio",SUMIF(Precio_Productos!L:L,E529,Precio_Productos!J:J)))</f>
        <v/>
      </c>
      <c r="O529" s="86"/>
      <c r="P529" s="86" t="str">
        <f>IFERROR(__xludf.DUMMYFUNCTION("IF(OR(F529=""Selecciona.."",F529=""""),"""",TRANSPOSE(filter(Familias!C:C,Familias!D:D=F529)))"),"")</f>
        <v/>
      </c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</row>
    <row r="530">
      <c r="A530" s="4" t="str">
        <f t="shared" si="1"/>
        <v/>
      </c>
      <c r="B530" s="4"/>
      <c r="C530" s="4"/>
      <c r="D530" s="4"/>
      <c r="E530" s="94"/>
      <c r="F530" s="4" t="str">
        <f t="shared" si="2"/>
        <v/>
      </c>
      <c r="G530" s="2" t="str">
        <f t="shared" si="3"/>
        <v/>
      </c>
      <c r="H530" s="2" t="str">
        <f>IF(G530="","",SUMIF(Familias!C:C,G530,Familias!E:E))</f>
        <v/>
      </c>
      <c r="I530" s="4" t="str">
        <f>IF(A530="","",COUNTIF(Prod_Prop!B:B,A530))</f>
        <v/>
      </c>
      <c r="J530" s="92" t="str">
        <f>IF(E530="","",IF(SUMIF(Precio_Productos!L:L,E530,Precio_Productos!J:J)=0,"Falta Precio",SUMIF(Precio_Productos!L:L,E530,Precio_Productos!J:J)))</f>
        <v/>
      </c>
      <c r="O530" s="86"/>
      <c r="P530" s="86" t="str">
        <f>IFERROR(__xludf.DUMMYFUNCTION("IF(OR(F530=""Selecciona.."",F530=""""),"""",TRANSPOSE(filter(Familias!C:C,Familias!D:D=F530)))"),"")</f>
        <v/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</row>
    <row r="531">
      <c r="A531" s="4" t="str">
        <f t="shared" si="1"/>
        <v/>
      </c>
      <c r="B531" s="4"/>
      <c r="C531" s="4"/>
      <c r="D531" s="4"/>
      <c r="E531" s="94"/>
      <c r="F531" s="4" t="str">
        <f t="shared" si="2"/>
        <v/>
      </c>
      <c r="G531" s="2" t="str">
        <f t="shared" si="3"/>
        <v/>
      </c>
      <c r="H531" s="2" t="str">
        <f>IF(G531="","",SUMIF(Familias!C:C,G531,Familias!E:E))</f>
        <v/>
      </c>
      <c r="I531" s="4" t="str">
        <f>IF(A531="","",COUNTIF(Prod_Prop!B:B,A531))</f>
        <v/>
      </c>
      <c r="J531" s="92" t="str">
        <f>IF(E531="","",IF(SUMIF(Precio_Productos!L:L,E531,Precio_Productos!J:J)=0,"Falta Precio",SUMIF(Precio_Productos!L:L,E531,Precio_Productos!J:J)))</f>
        <v/>
      </c>
      <c r="O531" s="86"/>
      <c r="P531" s="86" t="str">
        <f>IFERROR(__xludf.DUMMYFUNCTION("IF(OR(F531=""Selecciona.."",F531=""""),"""",TRANSPOSE(filter(Familias!C:C,Familias!D:D=F531)))"),"")</f>
        <v/>
      </c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</row>
    <row r="532">
      <c r="A532" s="4" t="str">
        <f t="shared" si="1"/>
        <v/>
      </c>
      <c r="B532" s="4"/>
      <c r="C532" s="4"/>
      <c r="D532" s="4"/>
      <c r="E532" s="94"/>
      <c r="F532" s="4" t="str">
        <f t="shared" si="2"/>
        <v/>
      </c>
      <c r="G532" s="2" t="str">
        <f t="shared" si="3"/>
        <v/>
      </c>
      <c r="H532" s="2" t="str">
        <f>IF(G532="","",SUMIF(Familias!C:C,G532,Familias!E:E))</f>
        <v/>
      </c>
      <c r="I532" s="4" t="str">
        <f>IF(A532="","",COUNTIF(Prod_Prop!B:B,A532))</f>
        <v/>
      </c>
      <c r="J532" s="92" t="str">
        <f>IF(E532="","",IF(SUMIF(Precio_Productos!L:L,E532,Precio_Productos!J:J)=0,"Falta Precio",SUMIF(Precio_Productos!L:L,E532,Precio_Productos!J:J)))</f>
        <v/>
      </c>
      <c r="O532" s="86"/>
      <c r="P532" s="86" t="str">
        <f>IFERROR(__xludf.DUMMYFUNCTION("IF(OR(F532=""Selecciona.."",F532=""""),"""",TRANSPOSE(filter(Familias!C:C,Familias!D:D=F532)))"),"")</f>
        <v/>
      </c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</row>
    <row r="533">
      <c r="A533" s="4" t="str">
        <f t="shared" si="1"/>
        <v/>
      </c>
      <c r="B533" s="4"/>
      <c r="C533" s="4"/>
      <c r="D533" s="4"/>
      <c r="E533" s="94"/>
      <c r="F533" s="4" t="str">
        <f t="shared" si="2"/>
        <v/>
      </c>
      <c r="G533" s="2" t="str">
        <f t="shared" si="3"/>
        <v/>
      </c>
      <c r="H533" s="2" t="str">
        <f>IF(G533="","",SUMIF(Familias!C:C,G533,Familias!E:E))</f>
        <v/>
      </c>
      <c r="I533" s="4" t="str">
        <f>IF(A533="","",COUNTIF(Prod_Prop!B:B,A533))</f>
        <v/>
      </c>
      <c r="J533" s="92" t="str">
        <f>IF(E533="","",IF(SUMIF(Precio_Productos!L:L,E533,Precio_Productos!J:J)=0,"Falta Precio",SUMIF(Precio_Productos!L:L,E533,Precio_Productos!J:J)))</f>
        <v/>
      </c>
      <c r="O533" s="86"/>
      <c r="P533" s="86" t="str">
        <f>IFERROR(__xludf.DUMMYFUNCTION("IF(OR(F533=""Selecciona.."",F533=""""),"""",TRANSPOSE(filter(Familias!C:C,Familias!D:D=F533)))"),"")</f>
        <v/>
      </c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</row>
    <row r="534">
      <c r="A534" s="4" t="str">
        <f t="shared" si="1"/>
        <v/>
      </c>
      <c r="B534" s="4"/>
      <c r="C534" s="4"/>
      <c r="D534" s="4"/>
      <c r="E534" s="94"/>
      <c r="F534" s="4" t="str">
        <f t="shared" si="2"/>
        <v/>
      </c>
      <c r="G534" s="2" t="str">
        <f t="shared" si="3"/>
        <v/>
      </c>
      <c r="H534" s="2" t="str">
        <f>IF(G534="","",SUMIF(Familias!C:C,G534,Familias!E:E))</f>
        <v/>
      </c>
      <c r="I534" s="4" t="str">
        <f>IF(A534="","",COUNTIF(Prod_Prop!B:B,A534))</f>
        <v/>
      </c>
      <c r="J534" s="92" t="str">
        <f>IF(E534="","",IF(SUMIF(Precio_Productos!L:L,E534,Precio_Productos!J:J)=0,"Falta Precio",SUMIF(Precio_Productos!L:L,E534,Precio_Productos!J:J)))</f>
        <v/>
      </c>
      <c r="O534" s="86"/>
      <c r="P534" s="86" t="str">
        <f>IFERROR(__xludf.DUMMYFUNCTION("IF(OR(F534=""Selecciona.."",F534=""""),"""",TRANSPOSE(filter(Familias!C:C,Familias!D:D=F534)))"),"")</f>
        <v/>
      </c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</row>
    <row r="535">
      <c r="A535" s="4" t="str">
        <f t="shared" si="1"/>
        <v/>
      </c>
      <c r="B535" s="4"/>
      <c r="C535" s="4"/>
      <c r="D535" s="4"/>
      <c r="E535" s="94"/>
      <c r="F535" s="4" t="str">
        <f t="shared" si="2"/>
        <v/>
      </c>
      <c r="G535" s="2" t="str">
        <f t="shared" si="3"/>
        <v/>
      </c>
      <c r="H535" s="2" t="str">
        <f>IF(G535="","",SUMIF(Familias!C:C,G535,Familias!E:E))</f>
        <v/>
      </c>
      <c r="I535" s="4" t="str">
        <f>IF(A535="","",COUNTIF(Prod_Prop!B:B,A535))</f>
        <v/>
      </c>
      <c r="J535" s="92" t="str">
        <f>IF(E535="","",IF(SUMIF(Precio_Productos!L:L,E535,Precio_Productos!J:J)=0,"Falta Precio",SUMIF(Precio_Productos!L:L,E535,Precio_Productos!J:J)))</f>
        <v/>
      </c>
      <c r="O535" s="86"/>
      <c r="P535" s="86" t="str">
        <f>IFERROR(__xludf.DUMMYFUNCTION("IF(OR(F535=""Selecciona.."",F535=""""),"""",TRANSPOSE(filter(Familias!C:C,Familias!D:D=F535)))"),"")</f>
        <v/>
      </c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</row>
    <row r="536">
      <c r="A536" s="4" t="str">
        <f t="shared" si="1"/>
        <v/>
      </c>
      <c r="B536" s="4"/>
      <c r="C536" s="4"/>
      <c r="D536" s="4"/>
      <c r="E536" s="94"/>
      <c r="F536" s="4" t="str">
        <f t="shared" si="2"/>
        <v/>
      </c>
      <c r="G536" s="2" t="str">
        <f t="shared" si="3"/>
        <v/>
      </c>
      <c r="H536" s="2" t="str">
        <f>IF(G536="","",SUMIF(Familias!C:C,G536,Familias!E:E))</f>
        <v/>
      </c>
      <c r="I536" s="4" t="str">
        <f>IF(A536="","",COUNTIF(Prod_Prop!B:B,A536))</f>
        <v/>
      </c>
      <c r="J536" s="92" t="str">
        <f>IF(E536="","",IF(SUMIF(Precio_Productos!L:L,E536,Precio_Productos!J:J)=0,"Falta Precio",SUMIF(Precio_Productos!L:L,E536,Precio_Productos!J:J)))</f>
        <v/>
      </c>
      <c r="O536" s="86"/>
      <c r="P536" s="86" t="str">
        <f>IFERROR(__xludf.DUMMYFUNCTION("IF(OR(F536=""Selecciona.."",F536=""""),"""",TRANSPOSE(filter(Familias!C:C,Familias!D:D=F536)))"),"")</f>
        <v/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</row>
    <row r="537">
      <c r="A537" s="4" t="str">
        <f t="shared" si="1"/>
        <v/>
      </c>
      <c r="B537" s="4"/>
      <c r="C537" s="4"/>
      <c r="D537" s="4"/>
      <c r="E537" s="94"/>
      <c r="F537" s="4" t="str">
        <f t="shared" si="2"/>
        <v/>
      </c>
      <c r="G537" s="2" t="str">
        <f t="shared" si="3"/>
        <v/>
      </c>
      <c r="H537" s="2" t="str">
        <f>IF(G537="","",SUMIF(Familias!C:C,G537,Familias!E:E))</f>
        <v/>
      </c>
      <c r="I537" s="4" t="str">
        <f>IF(A537="","",COUNTIF(Prod_Prop!B:B,A537))</f>
        <v/>
      </c>
      <c r="J537" s="92" t="str">
        <f>IF(E537="","",IF(SUMIF(Precio_Productos!L:L,E537,Precio_Productos!J:J)=0,"Falta Precio",SUMIF(Precio_Productos!L:L,E537,Precio_Productos!J:J)))</f>
        <v/>
      </c>
      <c r="O537" s="86"/>
      <c r="P537" s="86" t="str">
        <f>IFERROR(__xludf.DUMMYFUNCTION("IF(OR(F537=""Selecciona.."",F537=""""),"""",TRANSPOSE(filter(Familias!C:C,Familias!D:D=F537)))"),"")</f>
        <v/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</row>
    <row r="538">
      <c r="A538" s="4" t="str">
        <f t="shared" si="1"/>
        <v/>
      </c>
      <c r="B538" s="4"/>
      <c r="C538" s="4"/>
      <c r="D538" s="4"/>
      <c r="E538" s="94"/>
      <c r="F538" s="4" t="str">
        <f t="shared" si="2"/>
        <v/>
      </c>
      <c r="G538" s="2" t="str">
        <f t="shared" si="3"/>
        <v/>
      </c>
      <c r="H538" s="2" t="str">
        <f>IF(G538="","",SUMIF(Familias!C:C,G538,Familias!E:E))</f>
        <v/>
      </c>
      <c r="I538" s="4" t="str">
        <f>IF(A538="","",COUNTIF(Prod_Prop!B:B,A538))</f>
        <v/>
      </c>
      <c r="J538" s="92" t="str">
        <f>IF(E538="","",IF(SUMIF(Precio_Productos!L:L,E538,Precio_Productos!J:J)=0,"Falta Precio",SUMIF(Precio_Productos!L:L,E538,Precio_Productos!J:J)))</f>
        <v/>
      </c>
      <c r="O538" s="86"/>
      <c r="P538" s="86" t="str">
        <f>IFERROR(__xludf.DUMMYFUNCTION("IF(OR(F538=""Selecciona.."",F538=""""),"""",TRANSPOSE(filter(Familias!C:C,Familias!D:D=F538)))"),"")</f>
        <v/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</row>
    <row r="539">
      <c r="A539" s="4" t="str">
        <f t="shared" si="1"/>
        <v/>
      </c>
      <c r="B539" s="4"/>
      <c r="C539" s="4"/>
      <c r="D539" s="4"/>
      <c r="E539" s="94"/>
      <c r="F539" s="4" t="str">
        <f t="shared" si="2"/>
        <v/>
      </c>
      <c r="G539" s="2" t="str">
        <f t="shared" si="3"/>
        <v/>
      </c>
      <c r="H539" s="2" t="str">
        <f>IF(G539="","",SUMIF(Familias!C:C,G539,Familias!E:E))</f>
        <v/>
      </c>
      <c r="I539" s="4" t="str">
        <f>IF(A539="","",COUNTIF(Prod_Prop!B:B,A539))</f>
        <v/>
      </c>
      <c r="J539" s="92" t="str">
        <f>IF(E539="","",IF(SUMIF(Precio_Productos!L:L,E539,Precio_Productos!J:J)=0,"Falta Precio",SUMIF(Precio_Productos!L:L,E539,Precio_Productos!J:J)))</f>
        <v/>
      </c>
      <c r="O539" s="86"/>
      <c r="P539" s="86" t="str">
        <f>IFERROR(__xludf.DUMMYFUNCTION("IF(OR(F539=""Selecciona.."",F539=""""),"""",TRANSPOSE(filter(Familias!C:C,Familias!D:D=F539)))"),"")</f>
        <v/>
      </c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</row>
    <row r="540">
      <c r="A540" s="4" t="str">
        <f t="shared" si="1"/>
        <v/>
      </c>
      <c r="B540" s="4"/>
      <c r="C540" s="4"/>
      <c r="D540" s="4"/>
      <c r="E540" s="94"/>
      <c r="F540" s="4" t="str">
        <f t="shared" si="2"/>
        <v/>
      </c>
      <c r="G540" s="2" t="str">
        <f t="shared" si="3"/>
        <v/>
      </c>
      <c r="H540" s="2" t="str">
        <f>IF(G540="","",SUMIF(Familias!C:C,G540,Familias!E:E))</f>
        <v/>
      </c>
      <c r="I540" s="4" t="str">
        <f>IF(A540="","",COUNTIF(Prod_Prop!B:B,A540))</f>
        <v/>
      </c>
      <c r="J540" s="92" t="str">
        <f>IF(E540="","",IF(SUMIF(Precio_Productos!L:L,E540,Precio_Productos!J:J)=0,"Falta Precio",SUMIF(Precio_Productos!L:L,E540,Precio_Productos!J:J)))</f>
        <v/>
      </c>
      <c r="O540" s="86"/>
      <c r="P540" s="86" t="str">
        <f>IFERROR(__xludf.DUMMYFUNCTION("IF(OR(F540=""Selecciona.."",F540=""""),"""",TRANSPOSE(filter(Familias!C:C,Familias!D:D=F540)))"),"")</f>
        <v/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</row>
    <row r="541">
      <c r="A541" s="4" t="str">
        <f t="shared" si="1"/>
        <v/>
      </c>
      <c r="B541" s="4"/>
      <c r="C541" s="4"/>
      <c r="D541" s="4"/>
      <c r="E541" s="94"/>
      <c r="F541" s="4" t="str">
        <f t="shared" si="2"/>
        <v/>
      </c>
      <c r="G541" s="2" t="str">
        <f t="shared" si="3"/>
        <v/>
      </c>
      <c r="H541" s="2" t="str">
        <f>IF(G541="","",SUMIF(Familias!C:C,G541,Familias!E:E))</f>
        <v/>
      </c>
      <c r="I541" s="4" t="str">
        <f>IF(A541="","",COUNTIF(Prod_Prop!B:B,A541))</f>
        <v/>
      </c>
      <c r="J541" s="92" t="str">
        <f>IF(E541="","",IF(SUMIF(Precio_Productos!L:L,E541,Precio_Productos!J:J)=0,"Falta Precio",SUMIF(Precio_Productos!L:L,E541,Precio_Productos!J:J)))</f>
        <v/>
      </c>
      <c r="O541" s="86"/>
      <c r="P541" s="86" t="str">
        <f>IFERROR(__xludf.DUMMYFUNCTION("IF(OR(F541=""Selecciona.."",F541=""""),"""",TRANSPOSE(filter(Familias!C:C,Familias!D:D=F541)))"),"")</f>
        <v/>
      </c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</row>
    <row r="542">
      <c r="A542" s="4" t="str">
        <f t="shared" si="1"/>
        <v/>
      </c>
      <c r="B542" s="4"/>
      <c r="C542" s="4"/>
      <c r="D542" s="4"/>
      <c r="E542" s="94"/>
      <c r="F542" s="4" t="str">
        <f t="shared" si="2"/>
        <v/>
      </c>
      <c r="G542" s="2" t="str">
        <f t="shared" si="3"/>
        <v/>
      </c>
      <c r="H542" s="2" t="str">
        <f>IF(G542="","",SUMIF(Familias!C:C,G542,Familias!E:E))</f>
        <v/>
      </c>
      <c r="I542" s="4" t="str">
        <f>IF(A542="","",COUNTIF(Prod_Prop!B:B,A542))</f>
        <v/>
      </c>
      <c r="J542" s="92" t="str">
        <f>IF(E542="","",IF(SUMIF(Precio_Productos!L:L,E542,Precio_Productos!J:J)=0,"Falta Precio",SUMIF(Precio_Productos!L:L,E542,Precio_Productos!J:J)))</f>
        <v/>
      </c>
      <c r="O542" s="86"/>
      <c r="P542" s="86" t="str">
        <f>IFERROR(__xludf.DUMMYFUNCTION("IF(OR(F542=""Selecciona.."",F542=""""),"""",TRANSPOSE(filter(Familias!C:C,Familias!D:D=F542)))"),"")</f>
        <v/>
      </c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</row>
    <row r="543">
      <c r="A543" s="4" t="str">
        <f t="shared" si="1"/>
        <v/>
      </c>
      <c r="B543" s="4"/>
      <c r="C543" s="4"/>
      <c r="D543" s="4"/>
      <c r="E543" s="94"/>
      <c r="F543" s="4" t="str">
        <f t="shared" si="2"/>
        <v/>
      </c>
      <c r="G543" s="2" t="str">
        <f t="shared" si="3"/>
        <v/>
      </c>
      <c r="H543" s="2" t="str">
        <f>IF(G543="","",SUMIF(Familias!C:C,G543,Familias!E:E))</f>
        <v/>
      </c>
      <c r="I543" s="4" t="str">
        <f>IF(A543="","",COUNTIF(Prod_Prop!B:B,A543))</f>
        <v/>
      </c>
      <c r="J543" s="92" t="str">
        <f>IF(E543="","",IF(SUMIF(Precio_Productos!L:L,E543,Precio_Productos!J:J)=0,"Falta Precio",SUMIF(Precio_Productos!L:L,E543,Precio_Productos!J:J)))</f>
        <v/>
      </c>
      <c r="O543" s="86"/>
      <c r="P543" s="86" t="str">
        <f>IFERROR(__xludf.DUMMYFUNCTION("IF(OR(F543=""Selecciona.."",F543=""""),"""",TRANSPOSE(filter(Familias!C:C,Familias!D:D=F543)))"),"")</f>
        <v/>
      </c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</row>
    <row r="544">
      <c r="A544" s="4" t="str">
        <f t="shared" si="1"/>
        <v/>
      </c>
      <c r="B544" s="4"/>
      <c r="C544" s="4"/>
      <c r="D544" s="4"/>
      <c r="E544" s="94"/>
      <c r="F544" s="4" t="str">
        <f t="shared" si="2"/>
        <v/>
      </c>
      <c r="G544" s="2" t="str">
        <f t="shared" si="3"/>
        <v/>
      </c>
      <c r="H544" s="2" t="str">
        <f>IF(G544="","",SUMIF(Familias!C:C,G544,Familias!E:E))</f>
        <v/>
      </c>
      <c r="I544" s="4" t="str">
        <f>IF(A544="","",COUNTIF(Prod_Prop!B:B,A544))</f>
        <v/>
      </c>
      <c r="J544" s="92" t="str">
        <f>IF(E544="","",IF(SUMIF(Precio_Productos!L:L,E544,Precio_Productos!J:J)=0,"Falta Precio",SUMIF(Precio_Productos!L:L,E544,Precio_Productos!J:J)))</f>
        <v/>
      </c>
      <c r="O544" s="86"/>
      <c r="P544" s="86" t="str">
        <f>IFERROR(__xludf.DUMMYFUNCTION("IF(OR(F544=""Selecciona.."",F544=""""),"""",TRANSPOSE(filter(Familias!C:C,Familias!D:D=F544)))"),"")</f>
        <v/>
      </c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</row>
    <row r="545">
      <c r="A545" s="4" t="str">
        <f t="shared" si="1"/>
        <v/>
      </c>
      <c r="B545" s="4"/>
      <c r="C545" s="4"/>
      <c r="D545" s="4"/>
      <c r="E545" s="94"/>
      <c r="F545" s="4" t="str">
        <f t="shared" si="2"/>
        <v/>
      </c>
      <c r="G545" s="2" t="str">
        <f t="shared" si="3"/>
        <v/>
      </c>
      <c r="H545" s="2" t="str">
        <f>IF(G545="","",SUMIF(Familias!C:C,G545,Familias!E:E))</f>
        <v/>
      </c>
      <c r="I545" s="4" t="str">
        <f>IF(A545="","",COUNTIF(Prod_Prop!B:B,A545))</f>
        <v/>
      </c>
      <c r="J545" s="92" t="str">
        <f>IF(E545="","",IF(SUMIF(Precio_Productos!L:L,E545,Precio_Productos!J:J)=0,"Falta Precio",SUMIF(Precio_Productos!L:L,E545,Precio_Productos!J:J)))</f>
        <v/>
      </c>
      <c r="O545" s="86"/>
      <c r="P545" s="86" t="str">
        <f>IFERROR(__xludf.DUMMYFUNCTION("IF(OR(F545=""Selecciona.."",F545=""""),"""",TRANSPOSE(filter(Familias!C:C,Familias!D:D=F545)))"),"")</f>
        <v/>
      </c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</row>
    <row r="546">
      <c r="A546" s="4" t="str">
        <f t="shared" si="1"/>
        <v/>
      </c>
      <c r="B546" s="4"/>
      <c r="C546" s="4"/>
      <c r="D546" s="4"/>
      <c r="E546" s="94"/>
      <c r="F546" s="4" t="str">
        <f t="shared" si="2"/>
        <v/>
      </c>
      <c r="G546" s="2" t="str">
        <f t="shared" si="3"/>
        <v/>
      </c>
      <c r="H546" s="2" t="str">
        <f>IF(G546="","",SUMIF(Familias!C:C,G546,Familias!E:E))</f>
        <v/>
      </c>
      <c r="I546" s="4" t="str">
        <f>IF(A546="","",COUNTIF(Prod_Prop!B:B,A546))</f>
        <v/>
      </c>
      <c r="J546" s="92" t="str">
        <f>IF(E546="","",IF(SUMIF(Precio_Productos!L:L,E546,Precio_Productos!J:J)=0,"Falta Precio",SUMIF(Precio_Productos!L:L,E546,Precio_Productos!J:J)))</f>
        <v/>
      </c>
      <c r="O546" s="86"/>
      <c r="P546" s="86" t="str">
        <f>IFERROR(__xludf.DUMMYFUNCTION("IF(OR(F546=""Selecciona.."",F546=""""),"""",TRANSPOSE(filter(Familias!C:C,Familias!D:D=F546)))"),"")</f>
        <v/>
      </c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</row>
    <row r="547">
      <c r="A547" s="4" t="str">
        <f t="shared" si="1"/>
        <v/>
      </c>
      <c r="B547" s="4"/>
      <c r="C547" s="4"/>
      <c r="D547" s="4"/>
      <c r="E547" s="94"/>
      <c r="F547" s="4" t="str">
        <f t="shared" si="2"/>
        <v/>
      </c>
      <c r="G547" s="2" t="str">
        <f t="shared" si="3"/>
        <v/>
      </c>
      <c r="H547" s="2" t="str">
        <f>IF(G547="","",SUMIF(Familias!C:C,G547,Familias!E:E))</f>
        <v/>
      </c>
      <c r="I547" s="4" t="str">
        <f>IF(A547="","",COUNTIF(Prod_Prop!B:B,A547))</f>
        <v/>
      </c>
      <c r="J547" s="92" t="str">
        <f>IF(E547="","",IF(SUMIF(Precio_Productos!L:L,E547,Precio_Productos!J:J)=0,"Falta Precio",SUMIF(Precio_Productos!L:L,E547,Precio_Productos!J:J)))</f>
        <v/>
      </c>
      <c r="O547" s="86"/>
      <c r="P547" s="86" t="str">
        <f>IFERROR(__xludf.DUMMYFUNCTION("IF(OR(F547=""Selecciona.."",F547=""""),"""",TRANSPOSE(filter(Familias!C:C,Familias!D:D=F547)))"),"")</f>
        <v/>
      </c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</row>
    <row r="548">
      <c r="A548" s="4" t="str">
        <f t="shared" si="1"/>
        <v/>
      </c>
      <c r="B548" s="4"/>
      <c r="C548" s="4"/>
      <c r="D548" s="4"/>
      <c r="E548" s="94"/>
      <c r="F548" s="4" t="str">
        <f t="shared" si="2"/>
        <v/>
      </c>
      <c r="G548" s="2" t="str">
        <f t="shared" si="3"/>
        <v/>
      </c>
      <c r="H548" s="2" t="str">
        <f>IF(G548="","",SUMIF(Familias!C:C,G548,Familias!E:E))</f>
        <v/>
      </c>
      <c r="I548" s="4" t="str">
        <f>IF(A548="","",COUNTIF(Prod_Prop!B:B,A548))</f>
        <v/>
      </c>
      <c r="J548" s="92" t="str">
        <f>IF(E548="","",IF(SUMIF(Precio_Productos!L:L,E548,Precio_Productos!J:J)=0,"Falta Precio",SUMIF(Precio_Productos!L:L,E548,Precio_Productos!J:J)))</f>
        <v/>
      </c>
      <c r="O548" s="86"/>
      <c r="P548" s="86" t="str">
        <f>IFERROR(__xludf.DUMMYFUNCTION("IF(OR(F548=""Selecciona.."",F548=""""),"""",TRANSPOSE(filter(Familias!C:C,Familias!D:D=F548)))"),"")</f>
        <v/>
      </c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</row>
    <row r="549">
      <c r="A549" s="4" t="str">
        <f t="shared" si="1"/>
        <v/>
      </c>
      <c r="B549" s="4"/>
      <c r="C549" s="4"/>
      <c r="D549" s="4"/>
      <c r="E549" s="94"/>
      <c r="F549" s="4" t="str">
        <f t="shared" si="2"/>
        <v/>
      </c>
      <c r="G549" s="2" t="str">
        <f t="shared" si="3"/>
        <v/>
      </c>
      <c r="H549" s="2" t="str">
        <f>IF(G549="","",SUMIF(Familias!C:C,G549,Familias!E:E))</f>
        <v/>
      </c>
      <c r="I549" s="4" t="str">
        <f>IF(A549="","",COUNTIF(Prod_Prop!B:B,A549))</f>
        <v/>
      </c>
      <c r="J549" s="92" t="str">
        <f>IF(E549="","",IF(SUMIF(Precio_Productos!L:L,E549,Precio_Productos!J:J)=0,"Falta Precio",SUMIF(Precio_Productos!L:L,E549,Precio_Productos!J:J)))</f>
        <v/>
      </c>
      <c r="O549" s="86"/>
      <c r="P549" s="86" t="str">
        <f>IFERROR(__xludf.DUMMYFUNCTION("IF(OR(F549=""Selecciona.."",F549=""""),"""",TRANSPOSE(filter(Familias!C:C,Familias!D:D=F549)))"),"")</f>
        <v/>
      </c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</row>
    <row r="550">
      <c r="A550" s="4" t="str">
        <f t="shared" si="1"/>
        <v/>
      </c>
      <c r="B550" s="4"/>
      <c r="C550" s="4"/>
      <c r="D550" s="4"/>
      <c r="E550" s="94"/>
      <c r="F550" s="4" t="str">
        <f t="shared" si="2"/>
        <v/>
      </c>
      <c r="G550" s="2" t="str">
        <f t="shared" si="3"/>
        <v/>
      </c>
      <c r="H550" s="2" t="str">
        <f>IF(G550="","",SUMIF(Familias!C:C,G550,Familias!E:E))</f>
        <v/>
      </c>
      <c r="I550" s="4" t="str">
        <f>IF(A550="","",COUNTIF(Prod_Prop!B:B,A550))</f>
        <v/>
      </c>
      <c r="J550" s="92" t="str">
        <f>IF(E550="","",IF(SUMIF(Precio_Productos!L:L,E550,Precio_Productos!J:J)=0,"Falta Precio",SUMIF(Precio_Productos!L:L,E550,Precio_Productos!J:J)))</f>
        <v/>
      </c>
      <c r="O550" s="86"/>
      <c r="P550" s="86" t="str">
        <f>IFERROR(__xludf.DUMMYFUNCTION("IF(OR(F550=""Selecciona.."",F550=""""),"""",TRANSPOSE(filter(Familias!C:C,Familias!D:D=F550)))"),"")</f>
        <v/>
      </c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</row>
    <row r="551">
      <c r="A551" s="4" t="str">
        <f t="shared" si="1"/>
        <v/>
      </c>
      <c r="B551" s="4"/>
      <c r="C551" s="4"/>
      <c r="D551" s="4"/>
      <c r="E551" s="94"/>
      <c r="F551" s="4" t="str">
        <f t="shared" si="2"/>
        <v/>
      </c>
      <c r="G551" s="2" t="str">
        <f t="shared" si="3"/>
        <v/>
      </c>
      <c r="H551" s="2" t="str">
        <f>IF(G551="","",SUMIF(Familias!C:C,G551,Familias!E:E))</f>
        <v/>
      </c>
      <c r="I551" s="4" t="str">
        <f>IF(A551="","",COUNTIF(Prod_Prop!B:B,A551))</f>
        <v/>
      </c>
      <c r="J551" s="92" t="str">
        <f>IF(E551="","",IF(SUMIF(Precio_Productos!L:L,E551,Precio_Productos!J:J)=0,"Falta Precio",SUMIF(Precio_Productos!L:L,E551,Precio_Productos!J:J)))</f>
        <v/>
      </c>
      <c r="O551" s="86"/>
      <c r="P551" s="86" t="str">
        <f>IFERROR(__xludf.DUMMYFUNCTION("IF(OR(F551=""Selecciona.."",F551=""""),"""",TRANSPOSE(filter(Familias!C:C,Familias!D:D=F551)))"),"")</f>
        <v/>
      </c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</row>
    <row r="552">
      <c r="A552" s="4" t="str">
        <f t="shared" si="1"/>
        <v/>
      </c>
      <c r="B552" s="4"/>
      <c r="C552" s="4"/>
      <c r="D552" s="4"/>
      <c r="E552" s="94"/>
      <c r="F552" s="4" t="str">
        <f t="shared" si="2"/>
        <v/>
      </c>
      <c r="G552" s="2" t="str">
        <f t="shared" si="3"/>
        <v/>
      </c>
      <c r="H552" s="2" t="str">
        <f>IF(G552="","",SUMIF(Familias!C:C,G552,Familias!E:E))</f>
        <v/>
      </c>
      <c r="I552" s="4" t="str">
        <f>IF(A552="","",COUNTIF(Prod_Prop!B:B,A552))</f>
        <v/>
      </c>
      <c r="J552" s="92" t="str">
        <f>IF(E552="","",IF(SUMIF(Precio_Productos!L:L,E552,Precio_Productos!J:J)=0,"Falta Precio",SUMIF(Precio_Productos!L:L,E552,Precio_Productos!J:J)))</f>
        <v/>
      </c>
      <c r="O552" s="86"/>
      <c r="P552" s="86" t="str">
        <f>IFERROR(__xludf.DUMMYFUNCTION("IF(OR(F552=""Selecciona.."",F552=""""),"""",TRANSPOSE(filter(Familias!C:C,Familias!D:D=F552)))"),"")</f>
        <v/>
      </c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</row>
    <row r="553">
      <c r="A553" s="4" t="str">
        <f t="shared" si="1"/>
        <v/>
      </c>
      <c r="B553" s="4"/>
      <c r="C553" s="4"/>
      <c r="D553" s="4"/>
      <c r="E553" s="94"/>
      <c r="F553" s="4" t="str">
        <f t="shared" si="2"/>
        <v/>
      </c>
      <c r="G553" s="2" t="str">
        <f t="shared" si="3"/>
        <v/>
      </c>
      <c r="H553" s="2" t="str">
        <f>IF(G553="","",SUMIF(Familias!C:C,G553,Familias!E:E))</f>
        <v/>
      </c>
      <c r="I553" s="4" t="str">
        <f>IF(A553="","",COUNTIF(Prod_Prop!B:B,A553))</f>
        <v/>
      </c>
      <c r="J553" s="92" t="str">
        <f>IF(E553="","",IF(SUMIF(Precio_Productos!L:L,E553,Precio_Productos!J:J)=0,"Falta Precio",SUMIF(Precio_Productos!L:L,E553,Precio_Productos!J:J)))</f>
        <v/>
      </c>
      <c r="O553" s="86"/>
      <c r="P553" s="86" t="str">
        <f>IFERROR(__xludf.DUMMYFUNCTION("IF(OR(F553=""Selecciona.."",F553=""""),"""",TRANSPOSE(filter(Familias!C:C,Familias!D:D=F553)))"),"")</f>
        <v/>
      </c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</row>
    <row r="554">
      <c r="A554" s="4" t="str">
        <f t="shared" si="1"/>
        <v/>
      </c>
      <c r="B554" s="4"/>
      <c r="C554" s="4"/>
      <c r="D554" s="4"/>
      <c r="E554" s="94"/>
      <c r="F554" s="4" t="str">
        <f t="shared" si="2"/>
        <v/>
      </c>
      <c r="G554" s="2" t="str">
        <f t="shared" si="3"/>
        <v/>
      </c>
      <c r="H554" s="2" t="str">
        <f>IF(G554="","",SUMIF(Familias!C:C,G554,Familias!E:E))</f>
        <v/>
      </c>
      <c r="I554" s="4" t="str">
        <f>IF(A554="","",COUNTIF(Prod_Prop!B:B,A554))</f>
        <v/>
      </c>
      <c r="J554" s="92" t="str">
        <f>IF(E554="","",IF(SUMIF(Precio_Productos!L:L,E554,Precio_Productos!J:J)=0,"Falta Precio",SUMIF(Precio_Productos!L:L,E554,Precio_Productos!J:J)))</f>
        <v/>
      </c>
      <c r="O554" s="86"/>
      <c r="P554" s="86" t="str">
        <f>IFERROR(__xludf.DUMMYFUNCTION("IF(OR(F554=""Selecciona.."",F554=""""),"""",TRANSPOSE(filter(Familias!C:C,Familias!D:D=F554)))"),"")</f>
        <v/>
      </c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</row>
    <row r="555">
      <c r="A555" s="4" t="str">
        <f t="shared" si="1"/>
        <v/>
      </c>
      <c r="B555" s="4"/>
      <c r="C555" s="4"/>
      <c r="D555" s="4"/>
      <c r="E555" s="94"/>
      <c r="F555" s="4" t="str">
        <f t="shared" si="2"/>
        <v/>
      </c>
      <c r="G555" s="2" t="str">
        <f t="shared" si="3"/>
        <v/>
      </c>
      <c r="H555" s="2" t="str">
        <f>IF(G555="","",SUMIF(Familias!C:C,G555,Familias!E:E))</f>
        <v/>
      </c>
      <c r="I555" s="4" t="str">
        <f>IF(A555="","",COUNTIF(Prod_Prop!B:B,A555))</f>
        <v/>
      </c>
      <c r="J555" s="92" t="str">
        <f>IF(E555="","",IF(SUMIF(Precio_Productos!L:L,E555,Precio_Productos!J:J)=0,"Falta Precio",SUMIF(Precio_Productos!L:L,E555,Precio_Productos!J:J)))</f>
        <v/>
      </c>
      <c r="O555" s="86"/>
      <c r="P555" s="86" t="str">
        <f>IFERROR(__xludf.DUMMYFUNCTION("IF(OR(F555=""Selecciona.."",F555=""""),"""",TRANSPOSE(filter(Familias!C:C,Familias!D:D=F555)))"),"")</f>
        <v/>
      </c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</row>
    <row r="556">
      <c r="A556" s="4" t="str">
        <f t="shared" si="1"/>
        <v/>
      </c>
      <c r="B556" s="4"/>
      <c r="C556" s="4"/>
      <c r="D556" s="4"/>
      <c r="E556" s="94"/>
      <c r="F556" s="4" t="str">
        <f t="shared" si="2"/>
        <v/>
      </c>
      <c r="G556" s="2" t="str">
        <f t="shared" si="3"/>
        <v/>
      </c>
      <c r="H556" s="2" t="str">
        <f>IF(G556="","",SUMIF(Familias!C:C,G556,Familias!E:E))</f>
        <v/>
      </c>
      <c r="I556" s="4" t="str">
        <f>IF(A556="","",COUNTIF(Prod_Prop!B:B,A556))</f>
        <v/>
      </c>
      <c r="J556" s="92" t="str">
        <f>IF(E556="","",IF(SUMIF(Precio_Productos!L:L,E556,Precio_Productos!J:J)=0,"Falta Precio",SUMIF(Precio_Productos!L:L,E556,Precio_Productos!J:J)))</f>
        <v/>
      </c>
      <c r="O556" s="86"/>
      <c r="P556" s="86" t="str">
        <f>IFERROR(__xludf.DUMMYFUNCTION("IF(OR(F556=""Selecciona.."",F556=""""),"""",TRANSPOSE(filter(Familias!C:C,Familias!D:D=F556)))"),"")</f>
        <v/>
      </c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</row>
    <row r="557">
      <c r="A557" s="4" t="str">
        <f t="shared" si="1"/>
        <v/>
      </c>
      <c r="B557" s="4"/>
      <c r="C557" s="4"/>
      <c r="D557" s="4"/>
      <c r="E557" s="94"/>
      <c r="F557" s="4" t="str">
        <f t="shared" si="2"/>
        <v/>
      </c>
      <c r="G557" s="2" t="str">
        <f t="shared" si="3"/>
        <v/>
      </c>
      <c r="H557" s="2" t="str">
        <f>IF(G557="","",SUMIF(Familias!C:C,G557,Familias!E:E))</f>
        <v/>
      </c>
      <c r="I557" s="4" t="str">
        <f>IF(A557="","",COUNTIF(Prod_Prop!B:B,A557))</f>
        <v/>
      </c>
      <c r="J557" s="92" t="str">
        <f>IF(E557="","",IF(SUMIF(Precio_Productos!L:L,E557,Precio_Productos!J:J)=0,"Falta Precio",SUMIF(Precio_Productos!L:L,E557,Precio_Productos!J:J)))</f>
        <v/>
      </c>
      <c r="O557" s="86"/>
      <c r="P557" s="86" t="str">
        <f>IFERROR(__xludf.DUMMYFUNCTION("IF(OR(F557=""Selecciona.."",F557=""""),"""",TRANSPOSE(filter(Familias!C:C,Familias!D:D=F557)))"),"")</f>
        <v/>
      </c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</row>
    <row r="558">
      <c r="A558" s="4" t="str">
        <f t="shared" si="1"/>
        <v/>
      </c>
      <c r="B558" s="4"/>
      <c r="C558" s="4"/>
      <c r="D558" s="4"/>
      <c r="E558" s="94"/>
      <c r="F558" s="4" t="str">
        <f t="shared" si="2"/>
        <v/>
      </c>
      <c r="G558" s="2" t="str">
        <f t="shared" si="3"/>
        <v/>
      </c>
      <c r="H558" s="2" t="str">
        <f>IF(G558="","",SUMIF(Familias!C:C,G558,Familias!E:E))</f>
        <v/>
      </c>
      <c r="I558" s="4" t="str">
        <f>IF(A558="","",COUNTIF(Prod_Prop!B:B,A558))</f>
        <v/>
      </c>
      <c r="J558" s="92" t="str">
        <f>IF(E558="","",IF(SUMIF(Precio_Productos!L:L,E558,Precio_Productos!J:J)=0,"Falta Precio",SUMIF(Precio_Productos!L:L,E558,Precio_Productos!J:J)))</f>
        <v/>
      </c>
      <c r="O558" s="86"/>
      <c r="P558" s="86" t="str">
        <f>IFERROR(__xludf.DUMMYFUNCTION("IF(OR(F558=""Selecciona.."",F558=""""),"""",TRANSPOSE(filter(Familias!C:C,Familias!D:D=F558)))"),"")</f>
        <v/>
      </c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</row>
    <row r="559">
      <c r="A559" s="4" t="str">
        <f t="shared" si="1"/>
        <v/>
      </c>
      <c r="B559" s="4"/>
      <c r="C559" s="4"/>
      <c r="D559" s="4"/>
      <c r="E559" s="94"/>
      <c r="F559" s="4" t="str">
        <f t="shared" si="2"/>
        <v/>
      </c>
      <c r="G559" s="2" t="str">
        <f t="shared" si="3"/>
        <v/>
      </c>
      <c r="H559" s="2" t="str">
        <f>IF(G559="","",SUMIF(Familias!C:C,G559,Familias!E:E))</f>
        <v/>
      </c>
      <c r="I559" s="4" t="str">
        <f>IF(A559="","",COUNTIF(Prod_Prop!B:B,A559))</f>
        <v/>
      </c>
      <c r="J559" s="92" t="str">
        <f>IF(E559="","",IF(SUMIF(Precio_Productos!L:L,E559,Precio_Productos!J:J)=0,"Falta Precio",SUMIF(Precio_Productos!L:L,E559,Precio_Productos!J:J)))</f>
        <v/>
      </c>
      <c r="O559" s="86"/>
      <c r="P559" s="86" t="str">
        <f>IFERROR(__xludf.DUMMYFUNCTION("IF(OR(F559=""Selecciona.."",F559=""""),"""",TRANSPOSE(filter(Familias!C:C,Familias!D:D=F559)))"),"")</f>
        <v/>
      </c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</row>
    <row r="560">
      <c r="A560" s="4" t="str">
        <f t="shared" si="1"/>
        <v/>
      </c>
      <c r="B560" s="4"/>
      <c r="C560" s="4"/>
      <c r="D560" s="4"/>
      <c r="E560" s="94"/>
      <c r="F560" s="4" t="str">
        <f t="shared" si="2"/>
        <v/>
      </c>
      <c r="G560" s="2" t="str">
        <f t="shared" si="3"/>
        <v/>
      </c>
      <c r="H560" s="2" t="str">
        <f>IF(G560="","",SUMIF(Familias!C:C,G560,Familias!E:E))</f>
        <v/>
      </c>
      <c r="I560" s="4" t="str">
        <f>IF(A560="","",COUNTIF(Prod_Prop!B:B,A560))</f>
        <v/>
      </c>
      <c r="J560" s="92" t="str">
        <f>IF(E560="","",IF(SUMIF(Precio_Productos!L:L,E560,Precio_Productos!J:J)=0,"Falta Precio",SUMIF(Precio_Productos!L:L,E560,Precio_Productos!J:J)))</f>
        <v/>
      </c>
      <c r="O560" s="86"/>
      <c r="P560" s="86" t="str">
        <f>IFERROR(__xludf.DUMMYFUNCTION("IF(OR(F560=""Selecciona.."",F560=""""),"""",TRANSPOSE(filter(Familias!C:C,Familias!D:D=F560)))"),"")</f>
        <v/>
      </c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</row>
    <row r="561">
      <c r="A561" s="4" t="str">
        <f t="shared" si="1"/>
        <v/>
      </c>
      <c r="B561" s="4"/>
      <c r="C561" s="4"/>
      <c r="D561" s="4"/>
      <c r="E561" s="94"/>
      <c r="F561" s="4" t="str">
        <f t="shared" si="2"/>
        <v/>
      </c>
      <c r="G561" s="2" t="str">
        <f t="shared" si="3"/>
        <v/>
      </c>
      <c r="H561" s="2" t="str">
        <f>IF(G561="","",SUMIF(Familias!C:C,G561,Familias!E:E))</f>
        <v/>
      </c>
      <c r="I561" s="4" t="str">
        <f>IF(A561="","",COUNTIF(Prod_Prop!B:B,A561))</f>
        <v/>
      </c>
      <c r="J561" s="92" t="str">
        <f>IF(E561="","",IF(SUMIF(Precio_Productos!L:L,E561,Precio_Productos!J:J)=0,"Falta Precio",SUMIF(Precio_Productos!L:L,E561,Precio_Productos!J:J)))</f>
        <v/>
      </c>
      <c r="O561" s="86"/>
      <c r="P561" s="86" t="str">
        <f>IFERROR(__xludf.DUMMYFUNCTION("IF(OR(F561=""Selecciona.."",F561=""""),"""",TRANSPOSE(filter(Familias!C:C,Familias!D:D=F561)))"),"")</f>
        <v/>
      </c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</row>
    <row r="562">
      <c r="A562" s="4" t="str">
        <f t="shared" si="1"/>
        <v/>
      </c>
      <c r="B562" s="4"/>
      <c r="C562" s="4"/>
      <c r="D562" s="4"/>
      <c r="E562" s="94"/>
      <c r="F562" s="4" t="str">
        <f t="shared" si="2"/>
        <v/>
      </c>
      <c r="G562" s="2" t="str">
        <f t="shared" si="3"/>
        <v/>
      </c>
      <c r="H562" s="2" t="str">
        <f>IF(G562="","",SUMIF(Familias!C:C,G562,Familias!E:E))</f>
        <v/>
      </c>
      <c r="I562" s="4" t="str">
        <f>IF(A562="","",COUNTIF(Prod_Prop!B:B,A562))</f>
        <v/>
      </c>
      <c r="J562" s="92" t="str">
        <f>IF(E562="","",IF(SUMIF(Precio_Productos!L:L,E562,Precio_Productos!J:J)=0,"Falta Precio",SUMIF(Precio_Productos!L:L,E562,Precio_Productos!J:J)))</f>
        <v/>
      </c>
      <c r="O562" s="86"/>
      <c r="P562" s="86" t="str">
        <f>IFERROR(__xludf.DUMMYFUNCTION("IF(OR(F562=""Selecciona.."",F562=""""),"""",TRANSPOSE(filter(Familias!C:C,Familias!D:D=F562)))"),"")</f>
        <v/>
      </c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</row>
    <row r="563">
      <c r="A563" s="4" t="str">
        <f t="shared" si="1"/>
        <v/>
      </c>
      <c r="B563" s="4"/>
      <c r="C563" s="4"/>
      <c r="D563" s="4"/>
      <c r="E563" s="94"/>
      <c r="F563" s="4" t="str">
        <f t="shared" si="2"/>
        <v/>
      </c>
      <c r="G563" s="2" t="str">
        <f t="shared" si="3"/>
        <v/>
      </c>
      <c r="H563" s="2" t="str">
        <f>IF(G563="","",SUMIF(Familias!C:C,G563,Familias!E:E))</f>
        <v/>
      </c>
      <c r="I563" s="4" t="str">
        <f>IF(A563="","",COUNTIF(Prod_Prop!B:B,A563))</f>
        <v/>
      </c>
      <c r="J563" s="92" t="str">
        <f>IF(E563="","",IF(SUMIF(Precio_Productos!L:L,E563,Precio_Productos!J:J)=0,"Falta Precio",SUMIF(Precio_Productos!L:L,E563,Precio_Productos!J:J)))</f>
        <v/>
      </c>
      <c r="O563" s="86"/>
      <c r="P563" s="86" t="str">
        <f>IFERROR(__xludf.DUMMYFUNCTION("IF(OR(F563=""Selecciona.."",F563=""""),"""",TRANSPOSE(filter(Familias!C:C,Familias!D:D=F563)))"),"")</f>
        <v/>
      </c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</row>
    <row r="564">
      <c r="A564" s="4" t="str">
        <f t="shared" si="1"/>
        <v/>
      </c>
      <c r="B564" s="4"/>
      <c r="C564" s="4"/>
      <c r="D564" s="4"/>
      <c r="E564" s="94"/>
      <c r="F564" s="4" t="str">
        <f t="shared" si="2"/>
        <v/>
      </c>
      <c r="G564" s="2" t="str">
        <f t="shared" si="3"/>
        <v/>
      </c>
      <c r="H564" s="2" t="str">
        <f>IF(G564="","",SUMIF(Familias!C:C,G564,Familias!E:E))</f>
        <v/>
      </c>
      <c r="I564" s="4" t="str">
        <f>IF(A564="","",COUNTIF(Prod_Prop!B:B,A564))</f>
        <v/>
      </c>
      <c r="J564" s="92" t="str">
        <f>IF(E564="","",IF(SUMIF(Precio_Productos!L:L,E564,Precio_Productos!J:J)=0,"Falta Precio",SUMIF(Precio_Productos!L:L,E564,Precio_Productos!J:J)))</f>
        <v/>
      </c>
      <c r="O564" s="86"/>
      <c r="P564" s="86" t="str">
        <f>IFERROR(__xludf.DUMMYFUNCTION("IF(OR(F564=""Selecciona.."",F564=""""),"""",TRANSPOSE(filter(Familias!C:C,Familias!D:D=F564)))"),"")</f>
        <v/>
      </c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</row>
    <row r="565">
      <c r="A565" s="4" t="str">
        <f t="shared" si="1"/>
        <v/>
      </c>
      <c r="B565" s="4"/>
      <c r="C565" s="4"/>
      <c r="D565" s="4"/>
      <c r="E565" s="94"/>
      <c r="F565" s="4" t="str">
        <f t="shared" si="2"/>
        <v/>
      </c>
      <c r="G565" s="2" t="str">
        <f t="shared" si="3"/>
        <v/>
      </c>
      <c r="H565" s="2" t="str">
        <f>IF(G565="","",SUMIF(Familias!C:C,G565,Familias!E:E))</f>
        <v/>
      </c>
      <c r="I565" s="4" t="str">
        <f>IF(A565="","",COUNTIF(Prod_Prop!B:B,A565))</f>
        <v/>
      </c>
      <c r="J565" s="92" t="str">
        <f>IF(E565="","",IF(SUMIF(Precio_Productos!L:L,E565,Precio_Productos!J:J)=0,"Falta Precio",SUMIF(Precio_Productos!L:L,E565,Precio_Productos!J:J)))</f>
        <v/>
      </c>
      <c r="O565" s="86"/>
      <c r="P565" s="86" t="str">
        <f>IFERROR(__xludf.DUMMYFUNCTION("IF(OR(F565=""Selecciona.."",F565=""""),"""",TRANSPOSE(filter(Familias!C:C,Familias!D:D=F565)))"),"")</f>
        <v/>
      </c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</row>
    <row r="566">
      <c r="A566" s="4" t="str">
        <f t="shared" si="1"/>
        <v/>
      </c>
      <c r="B566" s="4"/>
      <c r="C566" s="4"/>
      <c r="D566" s="4"/>
      <c r="E566" s="94"/>
      <c r="F566" s="4" t="str">
        <f t="shared" si="2"/>
        <v/>
      </c>
      <c r="G566" s="2" t="str">
        <f t="shared" si="3"/>
        <v/>
      </c>
      <c r="H566" s="2" t="str">
        <f>IF(G566="","",SUMIF(Familias!C:C,G566,Familias!E:E))</f>
        <v/>
      </c>
      <c r="I566" s="4" t="str">
        <f>IF(A566="","",COUNTIF(Prod_Prop!B:B,A566))</f>
        <v/>
      </c>
      <c r="J566" s="92" t="str">
        <f>IF(E566="","",IF(SUMIF(Precio_Productos!L:L,E566,Precio_Productos!J:J)=0,"Falta Precio",SUMIF(Precio_Productos!L:L,E566,Precio_Productos!J:J)))</f>
        <v/>
      </c>
      <c r="O566" s="86"/>
      <c r="P566" s="86" t="str">
        <f>IFERROR(__xludf.DUMMYFUNCTION("IF(OR(F566=""Selecciona.."",F566=""""),"""",TRANSPOSE(filter(Familias!C:C,Familias!D:D=F566)))"),"")</f>
        <v/>
      </c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</row>
    <row r="567">
      <c r="A567" s="4" t="str">
        <f t="shared" si="1"/>
        <v/>
      </c>
      <c r="B567" s="4"/>
      <c r="C567" s="4"/>
      <c r="D567" s="4"/>
      <c r="E567" s="94"/>
      <c r="F567" s="4" t="str">
        <f t="shared" si="2"/>
        <v/>
      </c>
      <c r="G567" s="2" t="str">
        <f t="shared" si="3"/>
        <v/>
      </c>
      <c r="H567" s="2" t="str">
        <f>IF(G567="","",SUMIF(Familias!C:C,G567,Familias!E:E))</f>
        <v/>
      </c>
      <c r="I567" s="4" t="str">
        <f>IF(A567="","",COUNTIF(Prod_Prop!B:B,A567))</f>
        <v/>
      </c>
      <c r="J567" s="92" t="str">
        <f>IF(E567="","",IF(SUMIF(Precio_Productos!L:L,E567,Precio_Productos!J:J)=0,"Falta Precio",SUMIF(Precio_Productos!L:L,E567,Precio_Productos!J:J)))</f>
        <v/>
      </c>
      <c r="O567" s="86"/>
      <c r="P567" s="86" t="str">
        <f>IFERROR(__xludf.DUMMYFUNCTION("IF(OR(F567=""Selecciona.."",F567=""""),"""",TRANSPOSE(filter(Familias!C:C,Familias!D:D=F567)))"),"")</f>
        <v/>
      </c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</row>
    <row r="568">
      <c r="A568" s="4" t="str">
        <f t="shared" si="1"/>
        <v/>
      </c>
      <c r="B568" s="4"/>
      <c r="C568" s="4"/>
      <c r="D568" s="4"/>
      <c r="E568" s="94"/>
      <c r="F568" s="4" t="str">
        <f t="shared" si="2"/>
        <v/>
      </c>
      <c r="G568" s="2" t="str">
        <f t="shared" si="3"/>
        <v/>
      </c>
      <c r="H568" s="2" t="str">
        <f>IF(G568="","",SUMIF(Familias!C:C,G568,Familias!E:E))</f>
        <v/>
      </c>
      <c r="I568" s="4" t="str">
        <f>IF(A568="","",COUNTIF(Prod_Prop!B:B,A568))</f>
        <v/>
      </c>
      <c r="J568" s="92" t="str">
        <f>IF(E568="","",IF(SUMIF(Precio_Productos!L:L,E568,Precio_Productos!J:J)=0,"Falta Precio",SUMIF(Precio_Productos!L:L,E568,Precio_Productos!J:J)))</f>
        <v/>
      </c>
      <c r="O568" s="86"/>
      <c r="P568" s="86" t="str">
        <f>IFERROR(__xludf.DUMMYFUNCTION("IF(OR(F568=""Selecciona.."",F568=""""),"""",TRANSPOSE(filter(Familias!C:C,Familias!D:D=F568)))"),"")</f>
        <v/>
      </c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</row>
    <row r="569">
      <c r="A569" s="4" t="str">
        <f t="shared" si="1"/>
        <v/>
      </c>
      <c r="B569" s="4"/>
      <c r="C569" s="4"/>
      <c r="D569" s="4"/>
      <c r="E569" s="94"/>
      <c r="F569" s="4" t="str">
        <f t="shared" si="2"/>
        <v/>
      </c>
      <c r="G569" s="2" t="str">
        <f t="shared" si="3"/>
        <v/>
      </c>
      <c r="H569" s="2" t="str">
        <f>IF(G569="","",SUMIF(Familias!C:C,G569,Familias!E:E))</f>
        <v/>
      </c>
      <c r="I569" s="4" t="str">
        <f>IF(A569="","",COUNTIF(Prod_Prop!B:B,A569))</f>
        <v/>
      </c>
      <c r="J569" s="92" t="str">
        <f>IF(E569="","",IF(SUMIF(Precio_Productos!L:L,E569,Precio_Productos!J:J)=0,"Falta Precio",SUMIF(Precio_Productos!L:L,E569,Precio_Productos!J:J)))</f>
        <v/>
      </c>
      <c r="O569" s="86"/>
      <c r="P569" s="86" t="str">
        <f>IFERROR(__xludf.DUMMYFUNCTION("IF(OR(F569=""Selecciona.."",F569=""""),"""",TRANSPOSE(filter(Familias!C:C,Familias!D:D=F569)))"),"")</f>
        <v/>
      </c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</row>
    <row r="570">
      <c r="A570" s="4" t="str">
        <f t="shared" si="1"/>
        <v/>
      </c>
      <c r="B570" s="4"/>
      <c r="C570" s="4"/>
      <c r="D570" s="4"/>
      <c r="E570" s="94"/>
      <c r="F570" s="4" t="str">
        <f t="shared" si="2"/>
        <v/>
      </c>
      <c r="G570" s="2" t="str">
        <f t="shared" si="3"/>
        <v/>
      </c>
      <c r="H570" s="2" t="str">
        <f>IF(G570="","",SUMIF(Familias!C:C,G570,Familias!E:E))</f>
        <v/>
      </c>
      <c r="I570" s="4" t="str">
        <f>IF(A570="","",COUNTIF(Prod_Prop!B:B,A570))</f>
        <v/>
      </c>
      <c r="J570" s="92" t="str">
        <f>IF(E570="","",IF(SUMIF(Precio_Productos!L:L,E570,Precio_Productos!J:J)=0,"Falta Precio",SUMIF(Precio_Productos!L:L,E570,Precio_Productos!J:J)))</f>
        <v/>
      </c>
      <c r="O570" s="86"/>
      <c r="P570" s="86" t="str">
        <f>IFERROR(__xludf.DUMMYFUNCTION("IF(OR(F570=""Selecciona.."",F570=""""),"""",TRANSPOSE(filter(Familias!C:C,Familias!D:D=F570)))"),"")</f>
        <v/>
      </c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</row>
    <row r="571">
      <c r="A571" s="4" t="str">
        <f t="shared" si="1"/>
        <v/>
      </c>
      <c r="B571" s="4"/>
      <c r="C571" s="4"/>
      <c r="D571" s="4"/>
      <c r="E571" s="94"/>
      <c r="F571" s="4" t="str">
        <f t="shared" si="2"/>
        <v/>
      </c>
      <c r="G571" s="2" t="str">
        <f t="shared" si="3"/>
        <v/>
      </c>
      <c r="H571" s="2" t="str">
        <f>IF(G571="","",SUMIF(Familias!C:C,G571,Familias!E:E))</f>
        <v/>
      </c>
      <c r="I571" s="4" t="str">
        <f>IF(A571="","",COUNTIF(Prod_Prop!B:B,A571))</f>
        <v/>
      </c>
      <c r="J571" s="92" t="str">
        <f>IF(E571="","",IF(SUMIF(Precio_Productos!L:L,E571,Precio_Productos!J:J)=0,"Falta Precio",SUMIF(Precio_Productos!L:L,E571,Precio_Productos!J:J)))</f>
        <v/>
      </c>
      <c r="O571" s="86"/>
      <c r="P571" s="86" t="str">
        <f>IFERROR(__xludf.DUMMYFUNCTION("IF(OR(F571=""Selecciona.."",F571=""""),"""",TRANSPOSE(filter(Familias!C:C,Familias!D:D=F571)))"),"")</f>
        <v/>
      </c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</row>
    <row r="572">
      <c r="A572" s="4" t="str">
        <f t="shared" si="1"/>
        <v/>
      </c>
      <c r="B572" s="4"/>
      <c r="C572" s="4"/>
      <c r="D572" s="4"/>
      <c r="E572" s="94"/>
      <c r="F572" s="4" t="str">
        <f t="shared" si="2"/>
        <v/>
      </c>
      <c r="G572" s="2" t="str">
        <f t="shared" si="3"/>
        <v/>
      </c>
      <c r="H572" s="2" t="str">
        <f>IF(G572="","",SUMIF(Familias!C:C,G572,Familias!E:E))</f>
        <v/>
      </c>
      <c r="I572" s="4" t="str">
        <f>IF(A572="","",COUNTIF(Prod_Prop!B:B,A572))</f>
        <v/>
      </c>
      <c r="J572" s="92" t="str">
        <f>IF(E572="","",IF(SUMIF(Precio_Productos!L:L,E572,Precio_Productos!J:J)=0,"Falta Precio",SUMIF(Precio_Productos!L:L,E572,Precio_Productos!J:J)))</f>
        <v/>
      </c>
      <c r="O572" s="86"/>
      <c r="P572" s="86" t="str">
        <f>IFERROR(__xludf.DUMMYFUNCTION("IF(OR(F572=""Selecciona.."",F572=""""),"""",TRANSPOSE(filter(Familias!C:C,Familias!D:D=F572)))"),"")</f>
        <v/>
      </c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</row>
    <row r="573">
      <c r="A573" s="4" t="str">
        <f t="shared" si="1"/>
        <v/>
      </c>
      <c r="B573" s="4"/>
      <c r="C573" s="4"/>
      <c r="D573" s="4"/>
      <c r="E573" s="94"/>
      <c r="F573" s="4" t="str">
        <f t="shared" si="2"/>
        <v/>
      </c>
      <c r="G573" s="2" t="str">
        <f t="shared" si="3"/>
        <v/>
      </c>
      <c r="H573" s="2" t="str">
        <f>IF(G573="","",SUMIF(Familias!C:C,G573,Familias!E:E))</f>
        <v/>
      </c>
      <c r="I573" s="4" t="str">
        <f>IF(A573="","",COUNTIF(Prod_Prop!B:B,A573))</f>
        <v/>
      </c>
      <c r="J573" s="92" t="str">
        <f>IF(E573="","",IF(SUMIF(Precio_Productos!L:L,E573,Precio_Productos!J:J)=0,"Falta Precio",SUMIF(Precio_Productos!L:L,E573,Precio_Productos!J:J)))</f>
        <v/>
      </c>
      <c r="O573" s="86"/>
      <c r="P573" s="86" t="str">
        <f>IFERROR(__xludf.DUMMYFUNCTION("IF(OR(F573=""Selecciona.."",F573=""""),"""",TRANSPOSE(filter(Familias!C:C,Familias!D:D=F573)))"),"")</f>
        <v/>
      </c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</row>
    <row r="574">
      <c r="A574" s="4" t="str">
        <f t="shared" si="1"/>
        <v/>
      </c>
      <c r="B574" s="4"/>
      <c r="C574" s="4"/>
      <c r="D574" s="4"/>
      <c r="E574" s="94"/>
      <c r="F574" s="4" t="str">
        <f t="shared" si="2"/>
        <v/>
      </c>
      <c r="G574" s="2" t="str">
        <f t="shared" si="3"/>
        <v/>
      </c>
      <c r="H574" s="2" t="str">
        <f>IF(G574="","",SUMIF(Familias!C:C,G574,Familias!E:E))</f>
        <v/>
      </c>
      <c r="I574" s="4" t="str">
        <f>IF(A574="","",COUNTIF(Prod_Prop!B:B,A574))</f>
        <v/>
      </c>
      <c r="J574" s="92" t="str">
        <f>IF(E574="","",IF(SUMIF(Precio_Productos!L:L,E574,Precio_Productos!J:J)=0,"Falta Precio",SUMIF(Precio_Productos!L:L,E574,Precio_Productos!J:J)))</f>
        <v/>
      </c>
      <c r="O574" s="86"/>
      <c r="P574" s="86" t="str">
        <f>IFERROR(__xludf.DUMMYFUNCTION("IF(OR(F574=""Selecciona.."",F574=""""),"""",TRANSPOSE(filter(Familias!C:C,Familias!D:D=F574)))"),"")</f>
        <v/>
      </c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</row>
    <row r="575">
      <c r="A575" s="4" t="str">
        <f t="shared" si="1"/>
        <v/>
      </c>
      <c r="B575" s="4"/>
      <c r="C575" s="4"/>
      <c r="D575" s="4"/>
      <c r="E575" s="94"/>
      <c r="F575" s="4" t="str">
        <f t="shared" si="2"/>
        <v/>
      </c>
      <c r="G575" s="2" t="str">
        <f t="shared" si="3"/>
        <v/>
      </c>
      <c r="H575" s="2" t="str">
        <f>IF(G575="","",SUMIF(Familias!C:C,G575,Familias!E:E))</f>
        <v/>
      </c>
      <c r="I575" s="4" t="str">
        <f>IF(A575="","",COUNTIF(Prod_Prop!B:B,A575))</f>
        <v/>
      </c>
      <c r="J575" s="92" t="str">
        <f>IF(E575="","",IF(SUMIF(Precio_Productos!L:L,E575,Precio_Productos!J:J)=0,"Falta Precio",SUMIF(Precio_Productos!L:L,E575,Precio_Productos!J:J)))</f>
        <v/>
      </c>
      <c r="O575" s="86"/>
      <c r="P575" s="86" t="str">
        <f>IFERROR(__xludf.DUMMYFUNCTION("IF(OR(F575=""Selecciona.."",F575=""""),"""",TRANSPOSE(filter(Familias!C:C,Familias!D:D=F575)))"),"")</f>
        <v/>
      </c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</row>
    <row r="576">
      <c r="A576" s="4" t="str">
        <f t="shared" si="1"/>
        <v/>
      </c>
      <c r="B576" s="4"/>
      <c r="C576" s="4"/>
      <c r="D576" s="4"/>
      <c r="E576" s="94"/>
      <c r="F576" s="4" t="str">
        <f t="shared" si="2"/>
        <v/>
      </c>
      <c r="G576" s="2" t="str">
        <f t="shared" si="3"/>
        <v/>
      </c>
      <c r="H576" s="2" t="str">
        <f>IF(G576="","",SUMIF(Familias!C:C,G576,Familias!E:E))</f>
        <v/>
      </c>
      <c r="I576" s="4" t="str">
        <f>IF(A576="","",COUNTIF(Prod_Prop!B:B,A576))</f>
        <v/>
      </c>
      <c r="J576" s="92" t="str">
        <f>IF(E576="","",IF(SUMIF(Precio_Productos!L:L,E576,Precio_Productos!J:J)=0,"Falta Precio",SUMIF(Precio_Productos!L:L,E576,Precio_Productos!J:J)))</f>
        <v/>
      </c>
      <c r="O576" s="86"/>
      <c r="P576" s="86" t="str">
        <f>IFERROR(__xludf.DUMMYFUNCTION("IF(OR(F576=""Selecciona.."",F576=""""),"""",TRANSPOSE(filter(Familias!C:C,Familias!D:D=F576)))"),"")</f>
        <v/>
      </c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</row>
    <row r="577">
      <c r="A577" s="4" t="str">
        <f t="shared" si="1"/>
        <v/>
      </c>
      <c r="B577" s="4"/>
      <c r="C577" s="4"/>
      <c r="D577" s="4"/>
      <c r="E577" s="94"/>
      <c r="F577" s="4" t="str">
        <f t="shared" si="2"/>
        <v/>
      </c>
      <c r="G577" s="2" t="str">
        <f t="shared" si="3"/>
        <v/>
      </c>
      <c r="H577" s="2" t="str">
        <f>IF(G577="","",SUMIF(Familias!C:C,G577,Familias!E:E))</f>
        <v/>
      </c>
      <c r="I577" s="4" t="str">
        <f>IF(A577="","",COUNTIF(Prod_Prop!B:B,A577))</f>
        <v/>
      </c>
      <c r="J577" s="92" t="str">
        <f>IF(E577="","",IF(SUMIF(Precio_Productos!L:L,E577,Precio_Productos!J:J)=0,"Falta Precio",SUMIF(Precio_Productos!L:L,E577,Precio_Productos!J:J)))</f>
        <v/>
      </c>
      <c r="O577" s="86"/>
      <c r="P577" s="86" t="str">
        <f>IFERROR(__xludf.DUMMYFUNCTION("IF(OR(F577=""Selecciona.."",F577=""""),"""",TRANSPOSE(filter(Familias!C:C,Familias!D:D=F577)))"),"")</f>
        <v/>
      </c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</row>
    <row r="578">
      <c r="A578" s="4" t="str">
        <f t="shared" si="1"/>
        <v/>
      </c>
      <c r="B578" s="4"/>
      <c r="C578" s="4"/>
      <c r="D578" s="4"/>
      <c r="E578" s="94"/>
      <c r="F578" s="4" t="str">
        <f t="shared" si="2"/>
        <v/>
      </c>
      <c r="G578" s="2" t="str">
        <f t="shared" si="3"/>
        <v/>
      </c>
      <c r="H578" s="2" t="str">
        <f>IF(G578="","",SUMIF(Familias!C:C,G578,Familias!E:E))</f>
        <v/>
      </c>
      <c r="I578" s="4" t="str">
        <f>IF(A578="","",COUNTIF(Prod_Prop!B:B,A578))</f>
        <v/>
      </c>
      <c r="J578" s="92" t="str">
        <f>IF(E578="","",IF(SUMIF(Precio_Productos!L:L,E578,Precio_Productos!J:J)=0,"Falta Precio",SUMIF(Precio_Productos!L:L,E578,Precio_Productos!J:J)))</f>
        <v/>
      </c>
      <c r="O578" s="86"/>
      <c r="P578" s="86" t="str">
        <f>IFERROR(__xludf.DUMMYFUNCTION("IF(OR(F578=""Selecciona.."",F578=""""),"""",TRANSPOSE(filter(Familias!C:C,Familias!D:D=F578)))"),"")</f>
        <v/>
      </c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</row>
    <row r="579">
      <c r="A579" s="4" t="str">
        <f t="shared" si="1"/>
        <v/>
      </c>
      <c r="B579" s="4"/>
      <c r="C579" s="4"/>
      <c r="D579" s="4"/>
      <c r="E579" s="94"/>
      <c r="F579" s="4" t="str">
        <f t="shared" si="2"/>
        <v/>
      </c>
      <c r="G579" s="2" t="str">
        <f t="shared" si="3"/>
        <v/>
      </c>
      <c r="H579" s="2" t="str">
        <f>IF(G579="","",SUMIF(Familias!C:C,G579,Familias!E:E))</f>
        <v/>
      </c>
      <c r="I579" s="4" t="str">
        <f>IF(A579="","",COUNTIF(Prod_Prop!B:B,A579))</f>
        <v/>
      </c>
      <c r="J579" s="92" t="str">
        <f>IF(E579="","",IF(SUMIF(Precio_Productos!L:L,E579,Precio_Productos!J:J)=0,"Falta Precio",SUMIF(Precio_Productos!L:L,E579,Precio_Productos!J:J)))</f>
        <v/>
      </c>
      <c r="O579" s="86"/>
      <c r="P579" s="86" t="str">
        <f>IFERROR(__xludf.DUMMYFUNCTION("IF(OR(F579=""Selecciona.."",F579=""""),"""",TRANSPOSE(filter(Familias!C:C,Familias!D:D=F579)))"),"")</f>
        <v/>
      </c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</row>
    <row r="580">
      <c r="A580" s="4" t="str">
        <f t="shared" si="1"/>
        <v/>
      </c>
      <c r="B580" s="4"/>
      <c r="C580" s="4"/>
      <c r="D580" s="4"/>
      <c r="E580" s="94"/>
      <c r="F580" s="4" t="str">
        <f t="shared" si="2"/>
        <v/>
      </c>
      <c r="G580" s="2" t="str">
        <f t="shared" si="3"/>
        <v/>
      </c>
      <c r="H580" s="2" t="str">
        <f>IF(G580="","",SUMIF(Familias!C:C,G580,Familias!E:E))</f>
        <v/>
      </c>
      <c r="I580" s="4" t="str">
        <f>IF(A580="","",COUNTIF(Prod_Prop!B:B,A580))</f>
        <v/>
      </c>
      <c r="J580" s="92" t="str">
        <f>IF(E580="","",IF(SUMIF(Precio_Productos!L:L,E580,Precio_Productos!J:J)=0,"Falta Precio",SUMIF(Precio_Productos!L:L,E580,Precio_Productos!J:J)))</f>
        <v/>
      </c>
      <c r="O580" s="86"/>
      <c r="P580" s="86" t="str">
        <f>IFERROR(__xludf.DUMMYFUNCTION("IF(OR(F580=""Selecciona.."",F580=""""),"""",TRANSPOSE(filter(Familias!C:C,Familias!D:D=F580)))"),"")</f>
        <v/>
      </c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</row>
    <row r="581">
      <c r="A581" s="4" t="str">
        <f t="shared" si="1"/>
        <v/>
      </c>
      <c r="B581" s="4"/>
      <c r="C581" s="4"/>
      <c r="D581" s="4"/>
      <c r="E581" s="94"/>
      <c r="F581" s="4" t="str">
        <f t="shared" si="2"/>
        <v/>
      </c>
      <c r="G581" s="2" t="str">
        <f t="shared" si="3"/>
        <v/>
      </c>
      <c r="H581" s="2" t="str">
        <f>IF(G581="","",SUMIF(Familias!C:C,G581,Familias!E:E))</f>
        <v/>
      </c>
      <c r="I581" s="4" t="str">
        <f>IF(A581="","",COUNTIF(Prod_Prop!B:B,A581))</f>
        <v/>
      </c>
      <c r="J581" s="92" t="str">
        <f>IF(E581="","",IF(SUMIF(Precio_Productos!L:L,E581,Precio_Productos!J:J)=0,"Falta Precio",SUMIF(Precio_Productos!L:L,E581,Precio_Productos!J:J)))</f>
        <v/>
      </c>
      <c r="O581" s="86"/>
      <c r="P581" s="86" t="str">
        <f>IFERROR(__xludf.DUMMYFUNCTION("IF(OR(F581=""Selecciona.."",F581=""""),"""",TRANSPOSE(filter(Familias!C:C,Familias!D:D=F581)))"),"")</f>
        <v/>
      </c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</row>
    <row r="582">
      <c r="A582" s="4" t="str">
        <f t="shared" si="1"/>
        <v/>
      </c>
      <c r="B582" s="4"/>
      <c r="C582" s="4"/>
      <c r="D582" s="4"/>
      <c r="E582" s="94"/>
      <c r="F582" s="4" t="str">
        <f t="shared" si="2"/>
        <v/>
      </c>
      <c r="G582" s="2" t="str">
        <f t="shared" si="3"/>
        <v/>
      </c>
      <c r="H582" s="2" t="str">
        <f>IF(G582="","",SUMIF(Familias!C:C,G582,Familias!E:E))</f>
        <v/>
      </c>
      <c r="I582" s="4" t="str">
        <f>IF(A582="","",COUNTIF(Prod_Prop!B:B,A582))</f>
        <v/>
      </c>
      <c r="J582" s="92" t="str">
        <f>IF(E582="","",IF(SUMIF(Precio_Productos!L:L,E582,Precio_Productos!J:J)=0,"Falta Precio",SUMIF(Precio_Productos!L:L,E582,Precio_Productos!J:J)))</f>
        <v/>
      </c>
      <c r="O582" s="86"/>
      <c r="P582" s="86" t="str">
        <f>IFERROR(__xludf.DUMMYFUNCTION("IF(OR(F582=""Selecciona.."",F582=""""),"""",TRANSPOSE(filter(Familias!C:C,Familias!D:D=F582)))"),"")</f>
        <v/>
      </c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</row>
    <row r="583">
      <c r="A583" s="4" t="str">
        <f t="shared" si="1"/>
        <v/>
      </c>
      <c r="B583" s="4"/>
      <c r="C583" s="4"/>
      <c r="D583" s="4"/>
      <c r="E583" s="94"/>
      <c r="F583" s="4" t="str">
        <f t="shared" si="2"/>
        <v/>
      </c>
      <c r="G583" s="2" t="str">
        <f t="shared" si="3"/>
        <v/>
      </c>
      <c r="H583" s="2" t="str">
        <f>IF(G583="","",SUMIF(Familias!C:C,G583,Familias!E:E))</f>
        <v/>
      </c>
      <c r="I583" s="4" t="str">
        <f>IF(A583="","",COUNTIF(Prod_Prop!B:B,A583))</f>
        <v/>
      </c>
      <c r="J583" s="92" t="str">
        <f>IF(E583="","",IF(SUMIF(Precio_Productos!L:L,E583,Precio_Productos!J:J)=0,"Falta Precio",SUMIF(Precio_Productos!L:L,E583,Precio_Productos!J:J)))</f>
        <v/>
      </c>
      <c r="O583" s="86"/>
      <c r="P583" s="86" t="str">
        <f>IFERROR(__xludf.DUMMYFUNCTION("IF(OR(F583=""Selecciona.."",F583=""""),"""",TRANSPOSE(filter(Familias!C:C,Familias!D:D=F583)))"),"")</f>
        <v/>
      </c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</row>
    <row r="584">
      <c r="A584" s="4" t="str">
        <f t="shared" si="1"/>
        <v/>
      </c>
      <c r="B584" s="4"/>
      <c r="C584" s="4"/>
      <c r="D584" s="4"/>
      <c r="E584" s="94"/>
      <c r="F584" s="4" t="str">
        <f t="shared" si="2"/>
        <v/>
      </c>
      <c r="G584" s="2" t="str">
        <f t="shared" si="3"/>
        <v/>
      </c>
      <c r="H584" s="2" t="str">
        <f>IF(G584="","",SUMIF(Familias!C:C,G584,Familias!E:E))</f>
        <v/>
      </c>
      <c r="I584" s="4" t="str">
        <f>IF(A584="","",COUNTIF(Prod_Prop!B:B,A584))</f>
        <v/>
      </c>
      <c r="J584" s="92" t="str">
        <f>IF(E584="","",IF(SUMIF(Precio_Productos!L:L,E584,Precio_Productos!J:J)=0,"Falta Precio",SUMIF(Precio_Productos!L:L,E584,Precio_Productos!J:J)))</f>
        <v/>
      </c>
      <c r="O584" s="86"/>
      <c r="P584" s="86" t="str">
        <f>IFERROR(__xludf.DUMMYFUNCTION("IF(OR(F584=""Selecciona.."",F584=""""),"""",TRANSPOSE(filter(Familias!C:C,Familias!D:D=F584)))"),"")</f>
        <v/>
      </c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</row>
    <row r="585">
      <c r="A585" s="4" t="str">
        <f t="shared" si="1"/>
        <v/>
      </c>
      <c r="B585" s="4"/>
      <c r="C585" s="4"/>
      <c r="D585" s="4"/>
      <c r="E585" s="94"/>
      <c r="F585" s="4" t="str">
        <f t="shared" si="2"/>
        <v/>
      </c>
      <c r="G585" s="2" t="str">
        <f t="shared" si="3"/>
        <v/>
      </c>
      <c r="H585" s="2" t="str">
        <f>IF(G585="","",SUMIF(Familias!C:C,G585,Familias!E:E))</f>
        <v/>
      </c>
      <c r="I585" s="4" t="str">
        <f>IF(A585="","",COUNTIF(Prod_Prop!B:B,A585))</f>
        <v/>
      </c>
      <c r="J585" s="92" t="str">
        <f>IF(E585="","",IF(SUMIF(Precio_Productos!L:L,E585,Precio_Productos!J:J)=0,"Falta Precio",SUMIF(Precio_Productos!L:L,E585,Precio_Productos!J:J)))</f>
        <v/>
      </c>
      <c r="O585" s="86"/>
      <c r="P585" s="86" t="str">
        <f>IFERROR(__xludf.DUMMYFUNCTION("IF(OR(F585=""Selecciona.."",F585=""""),"""",TRANSPOSE(filter(Familias!C:C,Familias!D:D=F585)))"),"")</f>
        <v/>
      </c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</row>
    <row r="586">
      <c r="A586" s="4" t="str">
        <f t="shared" si="1"/>
        <v/>
      </c>
      <c r="B586" s="4"/>
      <c r="C586" s="4"/>
      <c r="D586" s="4"/>
      <c r="E586" s="94"/>
      <c r="F586" s="4" t="str">
        <f t="shared" si="2"/>
        <v/>
      </c>
      <c r="G586" s="2" t="str">
        <f t="shared" si="3"/>
        <v/>
      </c>
      <c r="H586" s="2" t="str">
        <f>IF(G586="","",SUMIF(Familias!C:C,G586,Familias!E:E))</f>
        <v/>
      </c>
      <c r="I586" s="4" t="str">
        <f>IF(A586="","",COUNTIF(Prod_Prop!B:B,A586))</f>
        <v/>
      </c>
      <c r="J586" s="92" t="str">
        <f>IF(E586="","",IF(SUMIF(Precio_Productos!L:L,E586,Precio_Productos!J:J)=0,"Falta Precio",SUMIF(Precio_Productos!L:L,E586,Precio_Productos!J:J)))</f>
        <v/>
      </c>
      <c r="O586" s="86"/>
      <c r="P586" s="86" t="str">
        <f>IFERROR(__xludf.DUMMYFUNCTION("IF(OR(F586=""Selecciona.."",F586=""""),"""",TRANSPOSE(filter(Familias!C:C,Familias!D:D=F586)))"),"")</f>
        <v/>
      </c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</row>
    <row r="587">
      <c r="A587" s="4" t="str">
        <f t="shared" si="1"/>
        <v/>
      </c>
      <c r="B587" s="4"/>
      <c r="C587" s="4"/>
      <c r="D587" s="4"/>
      <c r="E587" s="94"/>
      <c r="F587" s="4" t="str">
        <f t="shared" si="2"/>
        <v/>
      </c>
      <c r="G587" s="2" t="str">
        <f t="shared" si="3"/>
        <v/>
      </c>
      <c r="H587" s="2" t="str">
        <f>IF(G587="","",SUMIF(Familias!C:C,G587,Familias!E:E))</f>
        <v/>
      </c>
      <c r="I587" s="4" t="str">
        <f>IF(A587="","",COUNTIF(Prod_Prop!B:B,A587))</f>
        <v/>
      </c>
      <c r="J587" s="92" t="str">
        <f>IF(E587="","",IF(SUMIF(Precio_Productos!L:L,E587,Precio_Productos!J:J)=0,"Falta Precio",SUMIF(Precio_Productos!L:L,E587,Precio_Productos!J:J)))</f>
        <v/>
      </c>
      <c r="O587" s="86"/>
      <c r="P587" s="86" t="str">
        <f>IFERROR(__xludf.DUMMYFUNCTION("IF(OR(F587=""Selecciona.."",F587=""""),"""",TRANSPOSE(filter(Familias!C:C,Familias!D:D=F587)))"),"")</f>
        <v/>
      </c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</row>
    <row r="588">
      <c r="A588" s="4" t="str">
        <f t="shared" si="1"/>
        <v/>
      </c>
      <c r="B588" s="4"/>
      <c r="C588" s="4"/>
      <c r="D588" s="4"/>
      <c r="E588" s="94"/>
      <c r="F588" s="4" t="str">
        <f t="shared" si="2"/>
        <v/>
      </c>
      <c r="G588" s="2" t="str">
        <f t="shared" si="3"/>
        <v/>
      </c>
      <c r="H588" s="2" t="str">
        <f>IF(G588="","",SUMIF(Familias!C:C,G588,Familias!E:E))</f>
        <v/>
      </c>
      <c r="I588" s="4" t="str">
        <f>IF(A588="","",COUNTIF(Prod_Prop!B:B,A588))</f>
        <v/>
      </c>
      <c r="J588" s="92" t="str">
        <f>IF(E588="","",IF(SUMIF(Precio_Productos!L:L,E588,Precio_Productos!J:J)=0,"Falta Precio",SUMIF(Precio_Productos!L:L,E588,Precio_Productos!J:J)))</f>
        <v/>
      </c>
      <c r="O588" s="86"/>
      <c r="P588" s="86" t="str">
        <f>IFERROR(__xludf.DUMMYFUNCTION("IF(OR(F588=""Selecciona.."",F588=""""),"""",TRANSPOSE(filter(Familias!C:C,Familias!D:D=F588)))"),"")</f>
        <v/>
      </c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</row>
    <row r="589">
      <c r="A589" s="4" t="str">
        <f t="shared" si="1"/>
        <v/>
      </c>
      <c r="B589" s="4"/>
      <c r="C589" s="4"/>
      <c r="D589" s="4"/>
      <c r="E589" s="94"/>
      <c r="F589" s="4" t="str">
        <f t="shared" si="2"/>
        <v/>
      </c>
      <c r="G589" s="2" t="str">
        <f t="shared" si="3"/>
        <v/>
      </c>
      <c r="H589" s="2" t="str">
        <f>IF(G589="","",SUMIF(Familias!C:C,G589,Familias!E:E))</f>
        <v/>
      </c>
      <c r="I589" s="4" t="str">
        <f>IF(A589="","",COUNTIF(Prod_Prop!B:B,A589))</f>
        <v/>
      </c>
      <c r="J589" s="92" t="str">
        <f>IF(E589="","",IF(SUMIF(Precio_Productos!L:L,E589,Precio_Productos!J:J)=0,"Falta Precio",SUMIF(Precio_Productos!L:L,E589,Precio_Productos!J:J)))</f>
        <v/>
      </c>
      <c r="O589" s="86"/>
      <c r="P589" s="86" t="str">
        <f>IFERROR(__xludf.DUMMYFUNCTION("IF(OR(F589=""Selecciona.."",F589=""""),"""",TRANSPOSE(filter(Familias!C:C,Familias!D:D=F589)))"),"")</f>
        <v/>
      </c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</row>
    <row r="590">
      <c r="A590" s="4" t="str">
        <f t="shared" si="1"/>
        <v/>
      </c>
      <c r="B590" s="4"/>
      <c r="C590" s="4"/>
      <c r="D590" s="4"/>
      <c r="E590" s="94"/>
      <c r="F590" s="4" t="str">
        <f t="shared" si="2"/>
        <v/>
      </c>
      <c r="G590" s="2" t="str">
        <f t="shared" si="3"/>
        <v/>
      </c>
      <c r="H590" s="2" t="str">
        <f>IF(G590="","",SUMIF(Familias!C:C,G590,Familias!E:E))</f>
        <v/>
      </c>
      <c r="I590" s="4" t="str">
        <f>IF(A590="","",COUNTIF(Prod_Prop!B:B,A590))</f>
        <v/>
      </c>
      <c r="J590" s="92" t="str">
        <f>IF(E590="","",IF(SUMIF(Precio_Productos!L:L,E590,Precio_Productos!J:J)=0,"Falta Precio",SUMIF(Precio_Productos!L:L,E590,Precio_Productos!J:J)))</f>
        <v/>
      </c>
      <c r="O590" s="86"/>
      <c r="P590" s="86" t="str">
        <f>IFERROR(__xludf.DUMMYFUNCTION("IF(OR(F590=""Selecciona.."",F590=""""),"""",TRANSPOSE(filter(Familias!C:C,Familias!D:D=F590)))"),"")</f>
        <v/>
      </c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</row>
    <row r="591">
      <c r="A591" s="4" t="str">
        <f t="shared" si="1"/>
        <v/>
      </c>
      <c r="B591" s="4"/>
      <c r="C591" s="4"/>
      <c r="D591" s="4"/>
      <c r="E591" s="94"/>
      <c r="F591" s="4" t="str">
        <f t="shared" si="2"/>
        <v/>
      </c>
      <c r="G591" s="2" t="str">
        <f t="shared" si="3"/>
        <v/>
      </c>
      <c r="H591" s="2" t="str">
        <f>IF(G591="","",SUMIF(Familias!C:C,G591,Familias!E:E))</f>
        <v/>
      </c>
      <c r="I591" s="4" t="str">
        <f>IF(A591="","",COUNTIF(Prod_Prop!B:B,A591))</f>
        <v/>
      </c>
      <c r="J591" s="92" t="str">
        <f>IF(E591="","",IF(SUMIF(Precio_Productos!L:L,E591,Precio_Productos!J:J)=0,"Falta Precio",SUMIF(Precio_Productos!L:L,E591,Precio_Productos!J:J)))</f>
        <v/>
      </c>
      <c r="O591" s="86"/>
      <c r="P591" s="86" t="str">
        <f>IFERROR(__xludf.DUMMYFUNCTION("IF(OR(F591=""Selecciona.."",F591=""""),"""",TRANSPOSE(filter(Familias!C:C,Familias!D:D=F591)))"),"")</f>
        <v/>
      </c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</row>
    <row r="592">
      <c r="A592" s="4" t="str">
        <f t="shared" si="1"/>
        <v/>
      </c>
      <c r="B592" s="4"/>
      <c r="C592" s="4"/>
      <c r="D592" s="4"/>
      <c r="E592" s="94"/>
      <c r="F592" s="4" t="str">
        <f t="shared" si="2"/>
        <v/>
      </c>
      <c r="G592" s="2" t="str">
        <f t="shared" si="3"/>
        <v/>
      </c>
      <c r="H592" s="2" t="str">
        <f>IF(G592="","",SUMIF(Familias!C:C,G592,Familias!E:E))</f>
        <v/>
      </c>
      <c r="I592" s="4" t="str">
        <f>IF(A592="","",COUNTIF(Prod_Prop!B:B,A592))</f>
        <v/>
      </c>
      <c r="J592" s="92" t="str">
        <f>IF(E592="","",IF(SUMIF(Precio_Productos!L:L,E592,Precio_Productos!J:J)=0,"Falta Precio",SUMIF(Precio_Productos!L:L,E592,Precio_Productos!J:J)))</f>
        <v/>
      </c>
      <c r="O592" s="86"/>
      <c r="P592" s="86" t="str">
        <f>IFERROR(__xludf.DUMMYFUNCTION("IF(OR(F592=""Selecciona.."",F592=""""),"""",TRANSPOSE(filter(Familias!C:C,Familias!D:D=F592)))"),"")</f>
        <v/>
      </c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</row>
    <row r="593">
      <c r="A593" s="4" t="str">
        <f t="shared" si="1"/>
        <v/>
      </c>
      <c r="B593" s="4"/>
      <c r="C593" s="4"/>
      <c r="D593" s="4"/>
      <c r="E593" s="94"/>
      <c r="F593" s="4" t="str">
        <f t="shared" si="2"/>
        <v/>
      </c>
      <c r="G593" s="2" t="str">
        <f t="shared" si="3"/>
        <v/>
      </c>
      <c r="H593" s="2" t="str">
        <f>IF(G593="","",SUMIF(Familias!C:C,G593,Familias!E:E))</f>
        <v/>
      </c>
      <c r="I593" s="4" t="str">
        <f>IF(A593="","",COUNTIF(Prod_Prop!B:B,A593))</f>
        <v/>
      </c>
      <c r="J593" s="92" t="str">
        <f>IF(E593="","",IF(SUMIF(Precio_Productos!L:L,E593,Precio_Productos!J:J)=0,"Falta Precio",SUMIF(Precio_Productos!L:L,E593,Precio_Productos!J:J)))</f>
        <v/>
      </c>
      <c r="O593" s="86"/>
      <c r="P593" s="86" t="str">
        <f>IFERROR(__xludf.DUMMYFUNCTION("IF(OR(F593=""Selecciona.."",F593=""""),"""",TRANSPOSE(filter(Familias!C:C,Familias!D:D=F593)))"),"")</f>
        <v/>
      </c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</row>
    <row r="594">
      <c r="A594" s="4" t="str">
        <f t="shared" si="1"/>
        <v/>
      </c>
      <c r="B594" s="4"/>
      <c r="C594" s="4"/>
      <c r="D594" s="4"/>
      <c r="E594" s="94"/>
      <c r="F594" s="4" t="str">
        <f t="shared" si="2"/>
        <v/>
      </c>
      <c r="G594" s="2" t="str">
        <f t="shared" si="3"/>
        <v/>
      </c>
      <c r="H594" s="2" t="str">
        <f>IF(G594="","",SUMIF(Familias!C:C,G594,Familias!E:E))</f>
        <v/>
      </c>
      <c r="I594" s="4" t="str">
        <f>IF(A594="","",COUNTIF(Prod_Prop!B:B,A594))</f>
        <v/>
      </c>
      <c r="J594" s="92" t="str">
        <f>IF(E594="","",IF(SUMIF(Precio_Productos!L:L,E594,Precio_Productos!J:J)=0,"Falta Precio",SUMIF(Precio_Productos!L:L,E594,Precio_Productos!J:J)))</f>
        <v/>
      </c>
      <c r="O594" s="86"/>
      <c r="P594" s="86" t="str">
        <f>IFERROR(__xludf.DUMMYFUNCTION("IF(OR(F594=""Selecciona.."",F594=""""),"""",TRANSPOSE(filter(Familias!C:C,Familias!D:D=F594)))"),"")</f>
        <v/>
      </c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</row>
    <row r="595">
      <c r="A595" s="4" t="str">
        <f t="shared" si="1"/>
        <v/>
      </c>
      <c r="B595" s="4"/>
      <c r="C595" s="4"/>
      <c r="D595" s="4"/>
      <c r="E595" s="94"/>
      <c r="F595" s="4" t="str">
        <f t="shared" si="2"/>
        <v/>
      </c>
      <c r="G595" s="2" t="str">
        <f t="shared" si="3"/>
        <v/>
      </c>
      <c r="H595" s="2" t="str">
        <f>IF(G595="","",SUMIF(Familias!C:C,G595,Familias!E:E))</f>
        <v/>
      </c>
      <c r="I595" s="4" t="str">
        <f>IF(A595="","",COUNTIF(Prod_Prop!B:B,A595))</f>
        <v/>
      </c>
      <c r="J595" s="92" t="str">
        <f>IF(E595="","",IF(SUMIF(Precio_Productos!L:L,E595,Precio_Productos!J:J)=0,"Falta Precio",SUMIF(Precio_Productos!L:L,E595,Precio_Productos!J:J)))</f>
        <v/>
      </c>
      <c r="O595" s="86"/>
      <c r="P595" s="86" t="str">
        <f>IFERROR(__xludf.DUMMYFUNCTION("IF(OR(F595=""Selecciona.."",F595=""""),"""",TRANSPOSE(filter(Familias!C:C,Familias!D:D=F595)))"),"")</f>
        <v/>
      </c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</row>
    <row r="596">
      <c r="A596" s="4" t="str">
        <f t="shared" si="1"/>
        <v/>
      </c>
      <c r="B596" s="4"/>
      <c r="C596" s="4"/>
      <c r="D596" s="4"/>
      <c r="E596" s="94"/>
      <c r="F596" s="4" t="str">
        <f t="shared" si="2"/>
        <v/>
      </c>
      <c r="G596" s="2" t="str">
        <f t="shared" si="3"/>
        <v/>
      </c>
      <c r="H596" s="2" t="str">
        <f>IF(G596="","",SUMIF(Familias!C:C,G596,Familias!E:E))</f>
        <v/>
      </c>
      <c r="I596" s="4" t="str">
        <f>IF(A596="","",COUNTIF(Prod_Prop!B:B,A596))</f>
        <v/>
      </c>
      <c r="J596" s="92" t="str">
        <f>IF(E596="","",IF(SUMIF(Precio_Productos!L:L,E596,Precio_Productos!J:J)=0,"Falta Precio",SUMIF(Precio_Productos!L:L,E596,Precio_Productos!J:J)))</f>
        <v/>
      </c>
      <c r="O596" s="86"/>
      <c r="P596" s="86" t="str">
        <f>IFERROR(__xludf.DUMMYFUNCTION("IF(OR(F596=""Selecciona.."",F596=""""),"""",TRANSPOSE(filter(Familias!C:C,Familias!D:D=F596)))"),"")</f>
        <v/>
      </c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</row>
    <row r="597">
      <c r="A597" s="4" t="str">
        <f t="shared" si="1"/>
        <v/>
      </c>
      <c r="B597" s="4"/>
      <c r="C597" s="4"/>
      <c r="D597" s="4"/>
      <c r="E597" s="94"/>
      <c r="F597" s="4" t="str">
        <f t="shared" si="2"/>
        <v/>
      </c>
      <c r="G597" s="2" t="str">
        <f t="shared" si="3"/>
        <v/>
      </c>
      <c r="H597" s="2" t="str">
        <f>IF(G597="","",SUMIF(Familias!C:C,G597,Familias!E:E))</f>
        <v/>
      </c>
      <c r="I597" s="4" t="str">
        <f>IF(A597="","",COUNTIF(Prod_Prop!B:B,A597))</f>
        <v/>
      </c>
      <c r="J597" s="92" t="str">
        <f>IF(E597="","",IF(SUMIF(Precio_Productos!L:L,E597,Precio_Productos!J:J)=0,"Falta Precio",SUMIF(Precio_Productos!L:L,E597,Precio_Productos!J:J)))</f>
        <v/>
      </c>
      <c r="O597" s="86"/>
      <c r="P597" s="86" t="str">
        <f>IFERROR(__xludf.DUMMYFUNCTION("IF(OR(F597=""Selecciona.."",F597=""""),"""",TRANSPOSE(filter(Familias!C:C,Familias!D:D=F597)))"),"")</f>
        <v/>
      </c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</row>
    <row r="598">
      <c r="A598" s="4" t="str">
        <f t="shared" si="1"/>
        <v/>
      </c>
      <c r="B598" s="4"/>
      <c r="C598" s="4"/>
      <c r="D598" s="4"/>
      <c r="E598" s="94"/>
      <c r="F598" s="4" t="str">
        <f t="shared" si="2"/>
        <v/>
      </c>
      <c r="G598" s="2" t="str">
        <f t="shared" si="3"/>
        <v/>
      </c>
      <c r="H598" s="2" t="str">
        <f>IF(G598="","",SUMIF(Familias!C:C,G598,Familias!E:E))</f>
        <v/>
      </c>
      <c r="I598" s="4" t="str">
        <f>IF(A598="","",COUNTIF(Prod_Prop!B:B,A598))</f>
        <v/>
      </c>
      <c r="J598" s="92" t="str">
        <f>IF(E598="","",IF(SUMIF(Precio_Productos!L:L,E598,Precio_Productos!J:J)=0,"Falta Precio",SUMIF(Precio_Productos!L:L,E598,Precio_Productos!J:J)))</f>
        <v/>
      </c>
      <c r="O598" s="86"/>
      <c r="P598" s="86" t="str">
        <f>IFERROR(__xludf.DUMMYFUNCTION("IF(OR(F598=""Selecciona.."",F598=""""),"""",TRANSPOSE(filter(Familias!C:C,Familias!D:D=F598)))"),"")</f>
        <v/>
      </c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</row>
    <row r="599">
      <c r="A599" s="4" t="str">
        <f t="shared" si="1"/>
        <v/>
      </c>
      <c r="B599" s="4"/>
      <c r="C599" s="4"/>
      <c r="D599" s="4"/>
      <c r="E599" s="94"/>
      <c r="F599" s="4" t="str">
        <f t="shared" si="2"/>
        <v/>
      </c>
      <c r="G599" s="2" t="str">
        <f t="shared" si="3"/>
        <v/>
      </c>
      <c r="H599" s="2" t="str">
        <f>IF(G599="","",SUMIF(Familias!C:C,G599,Familias!E:E))</f>
        <v/>
      </c>
      <c r="I599" s="4" t="str">
        <f>IF(A599="","",COUNTIF(Prod_Prop!B:B,A599))</f>
        <v/>
      </c>
      <c r="J599" s="92" t="str">
        <f>IF(E599="","",IF(SUMIF(Precio_Productos!L:L,E599,Precio_Productos!J:J)=0,"Falta Precio",SUMIF(Precio_Productos!L:L,E599,Precio_Productos!J:J)))</f>
        <v/>
      </c>
      <c r="O599" s="86"/>
      <c r="P599" s="86" t="str">
        <f>IFERROR(__xludf.DUMMYFUNCTION("IF(OR(F599=""Selecciona.."",F599=""""),"""",TRANSPOSE(filter(Familias!C:C,Familias!D:D=F599)))"),"")</f>
        <v/>
      </c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</row>
    <row r="600">
      <c r="A600" s="4" t="str">
        <f t="shared" si="1"/>
        <v/>
      </c>
      <c r="B600" s="4"/>
      <c r="C600" s="4"/>
      <c r="D600" s="4"/>
      <c r="E600" s="94"/>
      <c r="F600" s="4" t="str">
        <f t="shared" si="2"/>
        <v/>
      </c>
      <c r="G600" s="2" t="str">
        <f t="shared" si="3"/>
        <v/>
      </c>
      <c r="H600" s="2" t="str">
        <f>IF(G600="","",SUMIF(Familias!C:C,G600,Familias!E:E))</f>
        <v/>
      </c>
      <c r="I600" s="4" t="str">
        <f>IF(A600="","",COUNTIF(Prod_Prop!B:B,A600))</f>
        <v/>
      </c>
      <c r="J600" s="92" t="str">
        <f>IF(E600="","",IF(SUMIF(Precio_Productos!L:L,E600,Precio_Productos!J:J)=0,"Falta Precio",SUMIF(Precio_Productos!L:L,E600,Precio_Productos!J:J)))</f>
        <v/>
      </c>
      <c r="O600" s="86"/>
      <c r="P600" s="86" t="str">
        <f>IFERROR(__xludf.DUMMYFUNCTION("IF(OR(F600=""Selecciona.."",F600=""""),"""",TRANSPOSE(filter(Familias!C:C,Familias!D:D=F600)))"),"")</f>
        <v/>
      </c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</row>
    <row r="601">
      <c r="A601" s="4" t="str">
        <f t="shared" si="1"/>
        <v/>
      </c>
      <c r="B601" s="4"/>
      <c r="C601" s="4"/>
      <c r="D601" s="4"/>
      <c r="E601" s="94"/>
      <c r="F601" s="4" t="str">
        <f t="shared" si="2"/>
        <v/>
      </c>
      <c r="G601" s="2" t="str">
        <f t="shared" si="3"/>
        <v/>
      </c>
      <c r="H601" s="2" t="str">
        <f>IF(G601="","",SUMIF(Familias!C:C,G601,Familias!E:E))</f>
        <v/>
      </c>
      <c r="I601" s="4" t="str">
        <f>IF(A601="","",COUNTIF(Prod_Prop!B:B,A601))</f>
        <v/>
      </c>
      <c r="J601" s="92" t="str">
        <f>IF(E601="","",IF(SUMIF(Precio_Productos!L:L,E601,Precio_Productos!J:J)=0,"Falta Precio",SUMIF(Precio_Productos!L:L,E601,Precio_Productos!J:J)))</f>
        <v/>
      </c>
      <c r="O601" s="86"/>
      <c r="P601" s="86" t="str">
        <f>IFERROR(__xludf.DUMMYFUNCTION("IF(OR(F601=""Selecciona.."",F601=""""),"""",TRANSPOSE(filter(Familias!C:C,Familias!D:D=F601)))"),"")</f>
        <v/>
      </c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</row>
    <row r="602">
      <c r="A602" s="4" t="str">
        <f t="shared" si="1"/>
        <v/>
      </c>
      <c r="B602" s="4"/>
      <c r="C602" s="4"/>
      <c r="D602" s="4"/>
      <c r="E602" s="94"/>
      <c r="F602" s="4" t="str">
        <f t="shared" si="2"/>
        <v/>
      </c>
      <c r="G602" s="2" t="str">
        <f t="shared" si="3"/>
        <v/>
      </c>
      <c r="H602" s="2" t="str">
        <f>IF(G602="","",SUMIF(Familias!C:C,G602,Familias!E:E))</f>
        <v/>
      </c>
      <c r="I602" s="4" t="str">
        <f>IF(A602="","",COUNTIF(Prod_Prop!B:B,A602))</f>
        <v/>
      </c>
      <c r="J602" s="92" t="str">
        <f>IF(E602="","",IF(SUMIF(Precio_Productos!L:L,E602,Precio_Productos!J:J)=0,"Falta Precio",SUMIF(Precio_Productos!L:L,E602,Precio_Productos!J:J)))</f>
        <v/>
      </c>
      <c r="O602" s="86"/>
      <c r="P602" s="86" t="str">
        <f>IFERROR(__xludf.DUMMYFUNCTION("IF(OR(F602=""Selecciona.."",F602=""""),"""",TRANSPOSE(filter(Familias!C:C,Familias!D:D=F602)))"),"")</f>
        <v/>
      </c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</row>
    <row r="603">
      <c r="A603" s="4" t="str">
        <f t="shared" si="1"/>
        <v/>
      </c>
      <c r="B603" s="4"/>
      <c r="C603" s="4"/>
      <c r="D603" s="4"/>
      <c r="E603" s="94"/>
      <c r="F603" s="4" t="str">
        <f t="shared" si="2"/>
        <v/>
      </c>
      <c r="G603" s="2" t="str">
        <f t="shared" si="3"/>
        <v/>
      </c>
      <c r="H603" s="2" t="str">
        <f>IF(G603="","",SUMIF(Familias!C:C,G603,Familias!E:E))</f>
        <v/>
      </c>
      <c r="I603" s="4" t="str">
        <f>IF(A603="","",COUNTIF(Prod_Prop!B:B,A603))</f>
        <v/>
      </c>
      <c r="J603" s="92" t="str">
        <f>IF(E603="","",IF(SUMIF(Precio_Productos!L:L,E603,Precio_Productos!J:J)=0,"Falta Precio",SUMIF(Precio_Productos!L:L,E603,Precio_Productos!J:J)))</f>
        <v/>
      </c>
      <c r="O603" s="86"/>
      <c r="P603" s="86" t="str">
        <f>IFERROR(__xludf.DUMMYFUNCTION("IF(OR(F603=""Selecciona.."",F603=""""),"""",TRANSPOSE(filter(Familias!C:C,Familias!D:D=F603)))"),"")</f>
        <v/>
      </c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</row>
    <row r="604">
      <c r="A604" s="4" t="str">
        <f t="shared" si="1"/>
        <v/>
      </c>
      <c r="B604" s="4"/>
      <c r="C604" s="4"/>
      <c r="D604" s="4"/>
      <c r="E604" s="94"/>
      <c r="F604" s="4" t="str">
        <f t="shared" si="2"/>
        <v/>
      </c>
      <c r="G604" s="2" t="str">
        <f t="shared" si="3"/>
        <v/>
      </c>
      <c r="H604" s="2" t="str">
        <f>IF(G604="","",SUMIF(Familias!C:C,G604,Familias!E:E))</f>
        <v/>
      </c>
      <c r="I604" s="4" t="str">
        <f>IF(A604="","",COUNTIF(Prod_Prop!B:B,A604))</f>
        <v/>
      </c>
      <c r="J604" s="92" t="str">
        <f>IF(E604="","",IF(SUMIF(Precio_Productos!L:L,E604,Precio_Productos!J:J)=0,"Falta Precio",SUMIF(Precio_Productos!L:L,E604,Precio_Productos!J:J)))</f>
        <v/>
      </c>
      <c r="O604" s="86"/>
      <c r="P604" s="86" t="str">
        <f>IFERROR(__xludf.DUMMYFUNCTION("IF(OR(F604=""Selecciona.."",F604=""""),"""",TRANSPOSE(filter(Familias!C:C,Familias!D:D=F604)))"),"")</f>
        <v/>
      </c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</row>
    <row r="605">
      <c r="A605" s="4" t="str">
        <f t="shared" si="1"/>
        <v/>
      </c>
      <c r="B605" s="4"/>
      <c r="C605" s="4"/>
      <c r="D605" s="4"/>
      <c r="E605" s="94"/>
      <c r="F605" s="4" t="str">
        <f t="shared" si="2"/>
        <v/>
      </c>
      <c r="G605" s="2" t="str">
        <f t="shared" si="3"/>
        <v/>
      </c>
      <c r="H605" s="2" t="str">
        <f>IF(G605="","",SUMIF(Familias!C:C,G605,Familias!E:E))</f>
        <v/>
      </c>
      <c r="I605" s="4" t="str">
        <f>IF(A605="","",COUNTIF(Prod_Prop!B:B,A605))</f>
        <v/>
      </c>
      <c r="J605" s="92" t="str">
        <f>IF(E605="","",IF(SUMIF(Precio_Productos!L:L,E605,Precio_Productos!J:J)=0,"Falta Precio",SUMIF(Precio_Productos!L:L,E605,Precio_Productos!J:J)))</f>
        <v/>
      </c>
      <c r="O605" s="86"/>
      <c r="P605" s="86" t="str">
        <f>IFERROR(__xludf.DUMMYFUNCTION("IF(OR(F605=""Selecciona.."",F605=""""),"""",TRANSPOSE(filter(Familias!C:C,Familias!D:D=F605)))"),"")</f>
        <v/>
      </c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</row>
    <row r="606">
      <c r="A606" s="4" t="str">
        <f t="shared" si="1"/>
        <v/>
      </c>
      <c r="B606" s="4"/>
      <c r="C606" s="4"/>
      <c r="D606" s="4"/>
      <c r="E606" s="94"/>
      <c r="F606" s="4" t="str">
        <f t="shared" si="2"/>
        <v/>
      </c>
      <c r="G606" s="2" t="str">
        <f t="shared" si="3"/>
        <v/>
      </c>
      <c r="H606" s="2" t="str">
        <f>IF(G606="","",SUMIF(Familias!C:C,G606,Familias!E:E))</f>
        <v/>
      </c>
      <c r="I606" s="4" t="str">
        <f>IF(A606="","",COUNTIF(Prod_Prop!B:B,A606))</f>
        <v/>
      </c>
      <c r="J606" s="92" t="str">
        <f>IF(E606="","",IF(SUMIF(Precio_Productos!L:L,E606,Precio_Productos!J:J)=0,"Falta Precio",SUMIF(Precio_Productos!L:L,E606,Precio_Productos!J:J)))</f>
        <v/>
      </c>
      <c r="O606" s="86"/>
      <c r="P606" s="86" t="str">
        <f>IFERROR(__xludf.DUMMYFUNCTION("IF(OR(F606=""Selecciona.."",F606=""""),"""",TRANSPOSE(filter(Familias!C:C,Familias!D:D=F606)))"),"")</f>
        <v/>
      </c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</row>
    <row r="607">
      <c r="A607" s="4" t="str">
        <f t="shared" si="1"/>
        <v/>
      </c>
      <c r="B607" s="4"/>
      <c r="C607" s="4"/>
      <c r="D607" s="4"/>
      <c r="E607" s="94"/>
      <c r="F607" s="4" t="str">
        <f t="shared" si="2"/>
        <v/>
      </c>
      <c r="G607" s="2" t="str">
        <f t="shared" si="3"/>
        <v/>
      </c>
      <c r="H607" s="2" t="str">
        <f>IF(G607="","",SUMIF(Familias!C:C,G607,Familias!E:E))</f>
        <v/>
      </c>
      <c r="I607" s="4" t="str">
        <f>IF(A607="","",COUNTIF(Prod_Prop!B:B,A607))</f>
        <v/>
      </c>
      <c r="J607" s="92" t="str">
        <f>IF(E607="","",IF(SUMIF(Precio_Productos!L:L,E607,Precio_Productos!J:J)=0,"Falta Precio",SUMIF(Precio_Productos!L:L,E607,Precio_Productos!J:J)))</f>
        <v/>
      </c>
      <c r="O607" s="86"/>
      <c r="P607" s="86" t="str">
        <f>IFERROR(__xludf.DUMMYFUNCTION("IF(OR(F607=""Selecciona.."",F607=""""),"""",TRANSPOSE(filter(Familias!C:C,Familias!D:D=F607)))"),"")</f>
        <v/>
      </c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</row>
    <row r="608">
      <c r="A608" s="4" t="str">
        <f t="shared" si="1"/>
        <v/>
      </c>
      <c r="B608" s="4"/>
      <c r="C608" s="4"/>
      <c r="D608" s="4"/>
      <c r="E608" s="94"/>
      <c r="F608" s="4" t="str">
        <f t="shared" si="2"/>
        <v/>
      </c>
      <c r="G608" s="2" t="str">
        <f t="shared" si="3"/>
        <v/>
      </c>
      <c r="H608" s="2" t="str">
        <f>IF(G608="","",SUMIF(Familias!C:C,G608,Familias!E:E))</f>
        <v/>
      </c>
      <c r="I608" s="4" t="str">
        <f>IF(A608="","",COUNTIF(Prod_Prop!B:B,A608))</f>
        <v/>
      </c>
      <c r="J608" s="92" t="str">
        <f>IF(E608="","",IF(SUMIF(Precio_Productos!L:L,E608,Precio_Productos!J:J)=0,"Falta Precio",SUMIF(Precio_Productos!L:L,E608,Precio_Productos!J:J)))</f>
        <v/>
      </c>
      <c r="O608" s="86"/>
      <c r="P608" s="86" t="str">
        <f>IFERROR(__xludf.DUMMYFUNCTION("IF(OR(F608=""Selecciona.."",F608=""""),"""",TRANSPOSE(filter(Familias!C:C,Familias!D:D=F608)))"),"")</f>
        <v/>
      </c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</row>
    <row r="609">
      <c r="A609" s="4" t="str">
        <f t="shared" si="1"/>
        <v/>
      </c>
      <c r="B609" s="4"/>
      <c r="C609" s="4"/>
      <c r="D609" s="4"/>
      <c r="E609" s="94"/>
      <c r="F609" s="4" t="str">
        <f t="shared" si="2"/>
        <v/>
      </c>
      <c r="G609" s="2" t="str">
        <f t="shared" si="3"/>
        <v/>
      </c>
      <c r="H609" s="2" t="str">
        <f>IF(G609="","",SUMIF(Familias!C:C,G609,Familias!E:E))</f>
        <v/>
      </c>
      <c r="I609" s="4" t="str">
        <f>IF(A609="","",COUNTIF(Prod_Prop!B:B,A609))</f>
        <v/>
      </c>
      <c r="J609" s="92" t="str">
        <f>IF(E609="","",IF(SUMIF(Precio_Productos!L:L,E609,Precio_Productos!J:J)=0,"Falta Precio",SUMIF(Precio_Productos!L:L,E609,Precio_Productos!J:J)))</f>
        <v/>
      </c>
      <c r="O609" s="86"/>
      <c r="P609" s="86" t="str">
        <f>IFERROR(__xludf.DUMMYFUNCTION("IF(OR(F609=""Selecciona.."",F609=""""),"""",TRANSPOSE(filter(Familias!C:C,Familias!D:D=F609)))"),"")</f>
        <v/>
      </c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</row>
    <row r="610">
      <c r="A610" s="4" t="str">
        <f t="shared" si="1"/>
        <v/>
      </c>
      <c r="B610" s="4"/>
      <c r="C610" s="4"/>
      <c r="D610" s="4"/>
      <c r="E610" s="94"/>
      <c r="F610" s="4" t="str">
        <f t="shared" si="2"/>
        <v/>
      </c>
      <c r="G610" s="2" t="str">
        <f t="shared" si="3"/>
        <v/>
      </c>
      <c r="H610" s="2" t="str">
        <f>IF(G610="","",SUMIF(Familias!C:C,G610,Familias!E:E))</f>
        <v/>
      </c>
      <c r="I610" s="4" t="str">
        <f>IF(A610="","",COUNTIF(Prod_Prop!B:B,A610))</f>
        <v/>
      </c>
      <c r="J610" s="92" t="str">
        <f>IF(E610="","",IF(SUMIF(Precio_Productos!L:L,E610,Precio_Productos!J:J)=0,"Falta Precio",SUMIF(Precio_Productos!L:L,E610,Precio_Productos!J:J)))</f>
        <v/>
      </c>
      <c r="O610" s="86"/>
      <c r="P610" s="86" t="str">
        <f>IFERROR(__xludf.DUMMYFUNCTION("IF(OR(F610=""Selecciona.."",F610=""""),"""",TRANSPOSE(filter(Familias!C:C,Familias!D:D=F610)))"),"")</f>
        <v/>
      </c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</row>
    <row r="611">
      <c r="A611" s="4" t="str">
        <f t="shared" si="1"/>
        <v/>
      </c>
      <c r="B611" s="4"/>
      <c r="C611" s="4"/>
      <c r="D611" s="4"/>
      <c r="E611" s="94"/>
      <c r="F611" s="4" t="str">
        <f t="shared" si="2"/>
        <v/>
      </c>
      <c r="G611" s="2" t="str">
        <f t="shared" si="3"/>
        <v/>
      </c>
      <c r="H611" s="2" t="str">
        <f>IF(G611="","",SUMIF(Familias!C:C,G611,Familias!E:E))</f>
        <v/>
      </c>
      <c r="I611" s="4" t="str">
        <f>IF(A611="","",COUNTIF(Prod_Prop!B:B,A611))</f>
        <v/>
      </c>
      <c r="J611" s="92" t="str">
        <f>IF(E611="","",IF(SUMIF(Precio_Productos!L:L,E611,Precio_Productos!J:J)=0,"Falta Precio",SUMIF(Precio_Productos!L:L,E611,Precio_Productos!J:J)))</f>
        <v/>
      </c>
      <c r="O611" s="86"/>
      <c r="P611" s="86" t="str">
        <f>IFERROR(__xludf.DUMMYFUNCTION("IF(OR(F611=""Selecciona.."",F611=""""),"""",TRANSPOSE(filter(Familias!C:C,Familias!D:D=F611)))"),"")</f>
        <v/>
      </c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</row>
    <row r="612">
      <c r="A612" s="4" t="str">
        <f t="shared" si="1"/>
        <v/>
      </c>
      <c r="B612" s="4"/>
      <c r="C612" s="4"/>
      <c r="D612" s="4"/>
      <c r="E612" s="94"/>
      <c r="F612" s="4" t="str">
        <f t="shared" si="2"/>
        <v/>
      </c>
      <c r="G612" s="2" t="str">
        <f t="shared" si="3"/>
        <v/>
      </c>
      <c r="H612" s="2" t="str">
        <f>IF(G612="","",SUMIF(Familias!C:C,G612,Familias!E:E))</f>
        <v/>
      </c>
      <c r="I612" s="4" t="str">
        <f>IF(A612="","",COUNTIF(Prod_Prop!B:B,A612))</f>
        <v/>
      </c>
      <c r="J612" s="92" t="str">
        <f>IF(E612="","",IF(SUMIF(Precio_Productos!L:L,E612,Precio_Productos!J:J)=0,"Falta Precio",SUMIF(Precio_Productos!L:L,E612,Precio_Productos!J:J)))</f>
        <v/>
      </c>
      <c r="O612" s="86"/>
      <c r="P612" s="86" t="str">
        <f>IFERROR(__xludf.DUMMYFUNCTION("IF(OR(F612=""Selecciona.."",F612=""""),"""",TRANSPOSE(filter(Familias!C:C,Familias!D:D=F612)))"),"")</f>
        <v/>
      </c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</row>
    <row r="613">
      <c r="A613" s="4" t="str">
        <f t="shared" si="1"/>
        <v/>
      </c>
      <c r="B613" s="4"/>
      <c r="C613" s="4"/>
      <c r="D613" s="4"/>
      <c r="E613" s="94"/>
      <c r="F613" s="4" t="str">
        <f t="shared" si="2"/>
        <v/>
      </c>
      <c r="G613" s="2" t="str">
        <f t="shared" si="3"/>
        <v/>
      </c>
      <c r="H613" s="2" t="str">
        <f>IF(G613="","",SUMIF(Familias!C:C,G613,Familias!E:E))</f>
        <v/>
      </c>
      <c r="I613" s="4" t="str">
        <f>IF(A613="","",COUNTIF(Prod_Prop!B:B,A613))</f>
        <v/>
      </c>
      <c r="J613" s="92" t="str">
        <f>IF(E613="","",IF(SUMIF(Precio_Productos!L:L,E613,Precio_Productos!J:J)=0,"Falta Precio",SUMIF(Precio_Productos!L:L,E613,Precio_Productos!J:J)))</f>
        <v/>
      </c>
      <c r="O613" s="86"/>
      <c r="P613" s="86" t="str">
        <f>IFERROR(__xludf.DUMMYFUNCTION("IF(OR(F613=""Selecciona.."",F613=""""),"""",TRANSPOSE(filter(Familias!C:C,Familias!D:D=F613)))"),"")</f>
        <v/>
      </c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</row>
    <row r="614">
      <c r="A614" s="4" t="str">
        <f t="shared" si="1"/>
        <v/>
      </c>
      <c r="B614" s="4"/>
      <c r="C614" s="4"/>
      <c r="D614" s="4"/>
      <c r="E614" s="94"/>
      <c r="F614" s="4" t="str">
        <f t="shared" si="2"/>
        <v/>
      </c>
      <c r="G614" s="2" t="str">
        <f t="shared" si="3"/>
        <v/>
      </c>
      <c r="H614" s="2" t="str">
        <f>IF(G614="","",SUMIF(Familias!C:C,G614,Familias!E:E))</f>
        <v/>
      </c>
      <c r="I614" s="4" t="str">
        <f>IF(A614="","",COUNTIF(Prod_Prop!B:B,A614))</f>
        <v/>
      </c>
      <c r="J614" s="92" t="str">
        <f>IF(E614="","",IF(SUMIF(Precio_Productos!L:L,E614,Precio_Productos!J:J)=0,"Falta Precio",SUMIF(Precio_Productos!L:L,E614,Precio_Productos!J:J)))</f>
        <v/>
      </c>
      <c r="O614" s="86"/>
      <c r="P614" s="86" t="str">
        <f>IFERROR(__xludf.DUMMYFUNCTION("IF(OR(F614=""Selecciona.."",F614=""""),"""",TRANSPOSE(filter(Familias!C:C,Familias!D:D=F614)))"),"")</f>
        <v/>
      </c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</row>
    <row r="615">
      <c r="A615" s="4" t="str">
        <f t="shared" si="1"/>
        <v/>
      </c>
      <c r="B615" s="4"/>
      <c r="C615" s="4"/>
      <c r="D615" s="4"/>
      <c r="E615" s="94"/>
      <c r="F615" s="4" t="str">
        <f t="shared" si="2"/>
        <v/>
      </c>
      <c r="G615" s="2" t="str">
        <f t="shared" si="3"/>
        <v/>
      </c>
      <c r="H615" s="2" t="str">
        <f>IF(G615="","",SUMIF(Familias!C:C,G615,Familias!E:E))</f>
        <v/>
      </c>
      <c r="I615" s="4" t="str">
        <f>IF(A615="","",COUNTIF(Prod_Prop!B:B,A615))</f>
        <v/>
      </c>
      <c r="J615" s="92" t="str">
        <f>IF(E615="","",IF(SUMIF(Precio_Productos!L:L,E615,Precio_Productos!J:J)=0,"Falta Precio",SUMIF(Precio_Productos!L:L,E615,Precio_Productos!J:J)))</f>
        <v/>
      </c>
      <c r="O615" s="86"/>
      <c r="P615" s="86" t="str">
        <f>IFERROR(__xludf.DUMMYFUNCTION("IF(OR(F615=""Selecciona.."",F615=""""),"""",TRANSPOSE(filter(Familias!C:C,Familias!D:D=F615)))"),"")</f>
        <v/>
      </c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</row>
    <row r="616">
      <c r="A616" s="4" t="str">
        <f t="shared" si="1"/>
        <v/>
      </c>
      <c r="B616" s="4"/>
      <c r="C616" s="4"/>
      <c r="D616" s="4"/>
      <c r="E616" s="94"/>
      <c r="F616" s="4" t="str">
        <f t="shared" si="2"/>
        <v/>
      </c>
      <c r="G616" s="2" t="str">
        <f t="shared" si="3"/>
        <v/>
      </c>
      <c r="H616" s="2" t="str">
        <f>IF(G616="","",SUMIF(Familias!C:C,G616,Familias!E:E))</f>
        <v/>
      </c>
      <c r="I616" s="4" t="str">
        <f>IF(A616="","",COUNTIF(Prod_Prop!B:B,A616))</f>
        <v/>
      </c>
      <c r="J616" s="92" t="str">
        <f>IF(E616="","",IF(SUMIF(Precio_Productos!L:L,E616,Precio_Productos!J:J)=0,"Falta Precio",SUMIF(Precio_Productos!L:L,E616,Precio_Productos!J:J)))</f>
        <v/>
      </c>
      <c r="O616" s="86"/>
      <c r="P616" s="86" t="str">
        <f>IFERROR(__xludf.DUMMYFUNCTION("IF(OR(F616=""Selecciona.."",F616=""""),"""",TRANSPOSE(filter(Familias!C:C,Familias!D:D=F616)))"),"")</f>
        <v/>
      </c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</row>
    <row r="617">
      <c r="A617" s="4" t="str">
        <f t="shared" si="1"/>
        <v/>
      </c>
      <c r="B617" s="4"/>
      <c r="C617" s="4"/>
      <c r="D617" s="4"/>
      <c r="E617" s="94"/>
      <c r="F617" s="4" t="str">
        <f t="shared" si="2"/>
        <v/>
      </c>
      <c r="G617" s="2" t="str">
        <f t="shared" si="3"/>
        <v/>
      </c>
      <c r="H617" s="2" t="str">
        <f>IF(G617="","",SUMIF(Familias!C:C,G617,Familias!E:E))</f>
        <v/>
      </c>
      <c r="I617" s="4" t="str">
        <f>IF(A617="","",COUNTIF(Prod_Prop!B:B,A617))</f>
        <v/>
      </c>
      <c r="J617" s="92" t="str">
        <f>IF(E617="","",IF(SUMIF(Precio_Productos!L:L,E617,Precio_Productos!J:J)=0,"Falta Precio",SUMIF(Precio_Productos!L:L,E617,Precio_Productos!J:J)))</f>
        <v/>
      </c>
      <c r="O617" s="86"/>
      <c r="P617" s="86" t="str">
        <f>IFERROR(__xludf.DUMMYFUNCTION("IF(OR(F617=""Selecciona.."",F617=""""),"""",TRANSPOSE(filter(Familias!C:C,Familias!D:D=F617)))"),"")</f>
        <v/>
      </c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</row>
    <row r="618">
      <c r="A618" s="4" t="str">
        <f t="shared" si="1"/>
        <v/>
      </c>
      <c r="B618" s="4"/>
      <c r="C618" s="4"/>
      <c r="D618" s="4"/>
      <c r="E618" s="94"/>
      <c r="F618" s="4" t="str">
        <f t="shared" si="2"/>
        <v/>
      </c>
      <c r="G618" s="2" t="str">
        <f t="shared" si="3"/>
        <v/>
      </c>
      <c r="H618" s="2" t="str">
        <f>IF(G618="","",SUMIF(Familias!C:C,G618,Familias!E:E))</f>
        <v/>
      </c>
      <c r="I618" s="4" t="str">
        <f>IF(A618="","",COUNTIF(Prod_Prop!B:B,A618))</f>
        <v/>
      </c>
      <c r="J618" s="92" t="str">
        <f>IF(E618="","",IF(SUMIF(Precio_Productos!L:L,E618,Precio_Productos!J:J)=0,"Falta Precio",SUMIF(Precio_Productos!L:L,E618,Precio_Productos!J:J)))</f>
        <v/>
      </c>
      <c r="O618" s="86"/>
      <c r="P618" s="86" t="str">
        <f>IFERROR(__xludf.DUMMYFUNCTION("IF(OR(F618=""Selecciona.."",F618=""""),"""",TRANSPOSE(filter(Familias!C:C,Familias!D:D=F618)))"),"")</f>
        <v/>
      </c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</row>
    <row r="619">
      <c r="A619" s="4" t="str">
        <f t="shared" si="1"/>
        <v/>
      </c>
      <c r="B619" s="4"/>
      <c r="C619" s="4"/>
      <c r="D619" s="4"/>
      <c r="E619" s="94"/>
      <c r="F619" s="4" t="str">
        <f t="shared" si="2"/>
        <v/>
      </c>
      <c r="G619" s="2" t="str">
        <f t="shared" si="3"/>
        <v/>
      </c>
      <c r="H619" s="2" t="str">
        <f>IF(G619="","",SUMIF(Familias!C:C,G619,Familias!E:E))</f>
        <v/>
      </c>
      <c r="I619" s="4" t="str">
        <f>IF(A619="","",COUNTIF(Prod_Prop!B:B,A619))</f>
        <v/>
      </c>
      <c r="J619" s="92" t="str">
        <f>IF(E619="","",IF(SUMIF(Precio_Productos!L:L,E619,Precio_Productos!J:J)=0,"Falta Precio",SUMIF(Precio_Productos!L:L,E619,Precio_Productos!J:J)))</f>
        <v/>
      </c>
      <c r="O619" s="86"/>
      <c r="P619" s="86" t="str">
        <f>IFERROR(__xludf.DUMMYFUNCTION("IF(OR(F619=""Selecciona.."",F619=""""),"""",TRANSPOSE(filter(Familias!C:C,Familias!D:D=F619)))"),"")</f>
        <v/>
      </c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</row>
    <row r="620">
      <c r="A620" s="4" t="str">
        <f t="shared" si="1"/>
        <v/>
      </c>
      <c r="B620" s="4"/>
      <c r="C620" s="4"/>
      <c r="D620" s="4"/>
      <c r="E620" s="94"/>
      <c r="F620" s="4" t="str">
        <f t="shared" si="2"/>
        <v/>
      </c>
      <c r="G620" s="2" t="str">
        <f t="shared" si="3"/>
        <v/>
      </c>
      <c r="H620" s="2" t="str">
        <f>IF(G620="","",SUMIF(Familias!C:C,G620,Familias!E:E))</f>
        <v/>
      </c>
      <c r="I620" s="4" t="str">
        <f>IF(A620="","",COUNTIF(Prod_Prop!B:B,A620))</f>
        <v/>
      </c>
      <c r="J620" s="92" t="str">
        <f>IF(E620="","",IF(SUMIF(Precio_Productos!L:L,E620,Precio_Productos!J:J)=0,"Falta Precio",SUMIF(Precio_Productos!L:L,E620,Precio_Productos!J:J)))</f>
        <v/>
      </c>
      <c r="O620" s="86"/>
      <c r="P620" s="86" t="str">
        <f>IFERROR(__xludf.DUMMYFUNCTION("IF(OR(F620=""Selecciona.."",F620=""""),"""",TRANSPOSE(filter(Familias!C:C,Familias!D:D=F620)))"),"")</f>
        <v/>
      </c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</row>
    <row r="621">
      <c r="A621" s="4" t="str">
        <f t="shared" si="1"/>
        <v/>
      </c>
      <c r="B621" s="4"/>
      <c r="C621" s="4"/>
      <c r="D621" s="4"/>
      <c r="E621" s="94"/>
      <c r="F621" s="4" t="str">
        <f t="shared" si="2"/>
        <v/>
      </c>
      <c r="G621" s="2" t="str">
        <f t="shared" si="3"/>
        <v/>
      </c>
      <c r="H621" s="2" t="str">
        <f>IF(G621="","",SUMIF(Familias!C:C,G621,Familias!E:E))</f>
        <v/>
      </c>
      <c r="I621" s="4" t="str">
        <f>IF(A621="","",COUNTIF(Prod_Prop!B:B,A621))</f>
        <v/>
      </c>
      <c r="J621" s="92" t="str">
        <f>IF(E621="","",IF(SUMIF(Precio_Productos!L:L,E621,Precio_Productos!J:J)=0,"Falta Precio",SUMIF(Precio_Productos!L:L,E621,Precio_Productos!J:J)))</f>
        <v/>
      </c>
      <c r="O621" s="86"/>
      <c r="P621" s="86" t="str">
        <f>IFERROR(__xludf.DUMMYFUNCTION("IF(OR(F621=""Selecciona.."",F621=""""),"""",TRANSPOSE(filter(Familias!C:C,Familias!D:D=F621)))"),"")</f>
        <v/>
      </c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</row>
    <row r="622">
      <c r="A622" s="4" t="str">
        <f t="shared" si="1"/>
        <v/>
      </c>
      <c r="B622" s="4"/>
      <c r="C622" s="4"/>
      <c r="D622" s="4"/>
      <c r="E622" s="94"/>
      <c r="F622" s="4" t="str">
        <f t="shared" si="2"/>
        <v/>
      </c>
      <c r="G622" s="2" t="str">
        <f t="shared" si="3"/>
        <v/>
      </c>
      <c r="H622" s="2" t="str">
        <f>IF(G622="","",SUMIF(Familias!C:C,G622,Familias!E:E))</f>
        <v/>
      </c>
      <c r="I622" s="4" t="str">
        <f>IF(A622="","",COUNTIF(Prod_Prop!B:B,A622))</f>
        <v/>
      </c>
      <c r="J622" s="92" t="str">
        <f>IF(E622="","",IF(SUMIF(Precio_Productos!L:L,E622,Precio_Productos!J:J)=0,"Falta Precio",SUMIF(Precio_Productos!L:L,E622,Precio_Productos!J:J)))</f>
        <v/>
      </c>
      <c r="O622" s="86"/>
      <c r="P622" s="86" t="str">
        <f>IFERROR(__xludf.DUMMYFUNCTION("IF(OR(F622=""Selecciona.."",F622=""""),"""",TRANSPOSE(filter(Familias!C:C,Familias!D:D=F622)))"),"")</f>
        <v/>
      </c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</row>
    <row r="623">
      <c r="A623" s="4" t="str">
        <f t="shared" si="1"/>
        <v/>
      </c>
      <c r="B623" s="4"/>
      <c r="C623" s="4"/>
      <c r="D623" s="4"/>
      <c r="E623" s="94"/>
      <c r="F623" s="4" t="str">
        <f t="shared" si="2"/>
        <v/>
      </c>
      <c r="G623" s="2" t="str">
        <f t="shared" si="3"/>
        <v/>
      </c>
      <c r="H623" s="2" t="str">
        <f>IF(G623="","",SUMIF(Familias!C:C,G623,Familias!E:E))</f>
        <v/>
      </c>
      <c r="I623" s="4" t="str">
        <f>IF(A623="","",COUNTIF(Prod_Prop!B:B,A623))</f>
        <v/>
      </c>
      <c r="J623" s="92" t="str">
        <f>IF(E623="","",IF(SUMIF(Precio_Productos!L:L,E623,Precio_Productos!J:J)=0,"Falta Precio",SUMIF(Precio_Productos!L:L,E623,Precio_Productos!J:J)))</f>
        <v/>
      </c>
      <c r="O623" s="86"/>
      <c r="P623" s="86" t="str">
        <f>IFERROR(__xludf.DUMMYFUNCTION("IF(OR(F623=""Selecciona.."",F623=""""),"""",TRANSPOSE(filter(Familias!C:C,Familias!D:D=F623)))"),"")</f>
        <v/>
      </c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</row>
    <row r="624">
      <c r="A624" s="4" t="str">
        <f t="shared" si="1"/>
        <v/>
      </c>
      <c r="B624" s="4"/>
      <c r="C624" s="4"/>
      <c r="D624" s="4"/>
      <c r="E624" s="94"/>
      <c r="F624" s="4" t="str">
        <f t="shared" si="2"/>
        <v/>
      </c>
      <c r="G624" s="2" t="str">
        <f t="shared" si="3"/>
        <v/>
      </c>
      <c r="H624" s="2" t="str">
        <f>IF(G624="","",SUMIF(Familias!C:C,G624,Familias!E:E))</f>
        <v/>
      </c>
      <c r="I624" s="4" t="str">
        <f>IF(A624="","",COUNTIF(Prod_Prop!B:B,A624))</f>
        <v/>
      </c>
      <c r="J624" s="92" t="str">
        <f>IF(E624="","",IF(SUMIF(Precio_Productos!L:L,E624,Precio_Productos!J:J)=0,"Falta Precio",SUMIF(Precio_Productos!L:L,E624,Precio_Productos!J:J)))</f>
        <v/>
      </c>
      <c r="O624" s="86"/>
      <c r="P624" s="86" t="str">
        <f>IFERROR(__xludf.DUMMYFUNCTION("IF(OR(F624=""Selecciona.."",F624=""""),"""",TRANSPOSE(filter(Familias!C:C,Familias!D:D=F624)))"),"")</f>
        <v/>
      </c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</row>
    <row r="625">
      <c r="A625" s="4" t="str">
        <f t="shared" si="1"/>
        <v/>
      </c>
      <c r="B625" s="4"/>
      <c r="C625" s="4"/>
      <c r="D625" s="4"/>
      <c r="E625" s="94"/>
      <c r="F625" s="4" t="str">
        <f t="shared" si="2"/>
        <v/>
      </c>
      <c r="G625" s="2" t="str">
        <f t="shared" si="3"/>
        <v/>
      </c>
      <c r="H625" s="2" t="str">
        <f>IF(G625="","",SUMIF(Familias!C:C,G625,Familias!E:E))</f>
        <v/>
      </c>
      <c r="I625" s="4" t="str">
        <f>IF(A625="","",COUNTIF(Prod_Prop!B:B,A625))</f>
        <v/>
      </c>
      <c r="J625" s="92" t="str">
        <f>IF(E625="","",IF(SUMIF(Precio_Productos!L:L,E625,Precio_Productos!J:J)=0,"Falta Precio",SUMIF(Precio_Productos!L:L,E625,Precio_Productos!J:J)))</f>
        <v/>
      </c>
      <c r="O625" s="86"/>
      <c r="P625" s="86" t="str">
        <f>IFERROR(__xludf.DUMMYFUNCTION("IF(OR(F625=""Selecciona.."",F625=""""),"""",TRANSPOSE(filter(Familias!C:C,Familias!D:D=F625)))"),"")</f>
        <v/>
      </c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</row>
    <row r="626">
      <c r="A626" s="4" t="str">
        <f t="shared" si="1"/>
        <v/>
      </c>
      <c r="B626" s="4"/>
      <c r="C626" s="4"/>
      <c r="D626" s="4"/>
      <c r="E626" s="94"/>
      <c r="F626" s="4" t="str">
        <f t="shared" si="2"/>
        <v/>
      </c>
      <c r="G626" s="2" t="str">
        <f t="shared" si="3"/>
        <v/>
      </c>
      <c r="H626" s="2" t="str">
        <f>IF(G626="","",SUMIF(Familias!C:C,G626,Familias!E:E))</f>
        <v/>
      </c>
      <c r="I626" s="4" t="str">
        <f>IF(A626="","",COUNTIF(Prod_Prop!B:B,A626))</f>
        <v/>
      </c>
      <c r="J626" s="92" t="str">
        <f>IF(E626="","",IF(SUMIF(Precio_Productos!L:L,E626,Precio_Productos!J:J)=0,"Falta Precio",SUMIF(Precio_Productos!L:L,E626,Precio_Productos!J:J)))</f>
        <v/>
      </c>
      <c r="O626" s="86"/>
      <c r="P626" s="86" t="str">
        <f>IFERROR(__xludf.DUMMYFUNCTION("IF(OR(F626=""Selecciona.."",F626=""""),"""",TRANSPOSE(filter(Familias!C:C,Familias!D:D=F626)))"),"")</f>
        <v/>
      </c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</row>
    <row r="627">
      <c r="A627" s="4" t="str">
        <f t="shared" si="1"/>
        <v/>
      </c>
      <c r="B627" s="4"/>
      <c r="C627" s="4"/>
      <c r="D627" s="4"/>
      <c r="E627" s="94"/>
      <c r="F627" s="4" t="str">
        <f t="shared" si="2"/>
        <v/>
      </c>
      <c r="G627" s="2" t="str">
        <f t="shared" si="3"/>
        <v/>
      </c>
      <c r="H627" s="2" t="str">
        <f>IF(G627="","",SUMIF(Familias!C:C,G627,Familias!E:E))</f>
        <v/>
      </c>
      <c r="I627" s="4" t="str">
        <f>IF(A627="","",COUNTIF(Prod_Prop!B:B,A627))</f>
        <v/>
      </c>
      <c r="J627" s="92" t="str">
        <f>IF(E627="","",IF(SUMIF(Precio_Productos!L:L,E627,Precio_Productos!J:J)=0,"Falta Precio",SUMIF(Precio_Productos!L:L,E627,Precio_Productos!J:J)))</f>
        <v/>
      </c>
      <c r="O627" s="86"/>
      <c r="P627" s="86" t="str">
        <f>IFERROR(__xludf.DUMMYFUNCTION("IF(OR(F627=""Selecciona.."",F627=""""),"""",TRANSPOSE(filter(Familias!C:C,Familias!D:D=F627)))"),"")</f>
        <v/>
      </c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</row>
    <row r="628">
      <c r="A628" s="4" t="str">
        <f t="shared" si="1"/>
        <v/>
      </c>
      <c r="B628" s="4"/>
      <c r="C628" s="4"/>
      <c r="D628" s="4"/>
      <c r="E628" s="94"/>
      <c r="F628" s="4" t="str">
        <f t="shared" si="2"/>
        <v/>
      </c>
      <c r="G628" s="2" t="str">
        <f t="shared" si="3"/>
        <v/>
      </c>
      <c r="H628" s="2" t="str">
        <f>IF(G628="","",SUMIF(Familias!C:C,G628,Familias!E:E))</f>
        <v/>
      </c>
      <c r="I628" s="4" t="str">
        <f>IF(A628="","",COUNTIF(Prod_Prop!B:B,A628))</f>
        <v/>
      </c>
      <c r="J628" s="92" t="str">
        <f>IF(E628="","",IF(SUMIF(Precio_Productos!L:L,E628,Precio_Productos!J:J)=0,"Falta Precio",SUMIF(Precio_Productos!L:L,E628,Precio_Productos!J:J)))</f>
        <v/>
      </c>
      <c r="O628" s="86"/>
      <c r="P628" s="86" t="str">
        <f>IFERROR(__xludf.DUMMYFUNCTION("IF(OR(F628=""Selecciona.."",F628=""""),"""",TRANSPOSE(filter(Familias!C:C,Familias!D:D=F628)))"),"")</f>
        <v/>
      </c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</row>
    <row r="629">
      <c r="A629" s="4" t="str">
        <f t="shared" si="1"/>
        <v/>
      </c>
      <c r="B629" s="4"/>
      <c r="C629" s="4"/>
      <c r="D629" s="4"/>
      <c r="E629" s="94"/>
      <c r="F629" s="4" t="str">
        <f t="shared" si="2"/>
        <v/>
      </c>
      <c r="G629" s="2" t="str">
        <f t="shared" si="3"/>
        <v/>
      </c>
      <c r="H629" s="2" t="str">
        <f>IF(G629="","",SUMIF(Familias!C:C,G629,Familias!E:E))</f>
        <v/>
      </c>
      <c r="I629" s="4" t="str">
        <f>IF(A629="","",COUNTIF(Prod_Prop!B:B,A629))</f>
        <v/>
      </c>
      <c r="J629" s="92" t="str">
        <f>IF(E629="","",IF(SUMIF(Precio_Productos!L:L,E629,Precio_Productos!J:J)=0,"Falta Precio",SUMIF(Precio_Productos!L:L,E629,Precio_Productos!J:J)))</f>
        <v/>
      </c>
      <c r="O629" s="86"/>
      <c r="P629" s="86" t="str">
        <f>IFERROR(__xludf.DUMMYFUNCTION("IF(OR(F629=""Selecciona.."",F629=""""),"""",TRANSPOSE(filter(Familias!C:C,Familias!D:D=F629)))"),"")</f>
        <v/>
      </c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</row>
    <row r="630">
      <c r="A630" s="4" t="str">
        <f t="shared" si="1"/>
        <v/>
      </c>
      <c r="B630" s="4"/>
      <c r="C630" s="4"/>
      <c r="D630" s="4"/>
      <c r="E630" s="94"/>
      <c r="F630" s="4" t="str">
        <f t="shared" si="2"/>
        <v/>
      </c>
      <c r="G630" s="2" t="str">
        <f t="shared" si="3"/>
        <v/>
      </c>
      <c r="H630" s="2" t="str">
        <f>IF(G630="","",SUMIF(Familias!C:C,G630,Familias!E:E))</f>
        <v/>
      </c>
      <c r="I630" s="4" t="str">
        <f>IF(A630="","",COUNTIF(Prod_Prop!B:B,A630))</f>
        <v/>
      </c>
      <c r="J630" s="92" t="str">
        <f>IF(E630="","",IF(SUMIF(Precio_Productos!L:L,E630,Precio_Productos!J:J)=0,"Falta Precio",SUMIF(Precio_Productos!L:L,E630,Precio_Productos!J:J)))</f>
        <v/>
      </c>
      <c r="O630" s="86"/>
      <c r="P630" s="86" t="str">
        <f>IFERROR(__xludf.DUMMYFUNCTION("IF(OR(F630=""Selecciona.."",F630=""""),"""",TRANSPOSE(filter(Familias!C:C,Familias!D:D=F630)))"),"")</f>
        <v/>
      </c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</row>
    <row r="631">
      <c r="A631" s="4" t="str">
        <f t="shared" si="1"/>
        <v/>
      </c>
      <c r="B631" s="4"/>
      <c r="C631" s="4"/>
      <c r="D631" s="4"/>
      <c r="E631" s="94"/>
      <c r="F631" s="4" t="str">
        <f t="shared" si="2"/>
        <v/>
      </c>
      <c r="G631" s="2" t="str">
        <f t="shared" si="3"/>
        <v/>
      </c>
      <c r="H631" s="2" t="str">
        <f>IF(G631="","",SUMIF(Familias!C:C,G631,Familias!E:E))</f>
        <v/>
      </c>
      <c r="I631" s="4" t="str">
        <f>IF(A631="","",COUNTIF(Prod_Prop!B:B,A631))</f>
        <v/>
      </c>
      <c r="J631" s="92" t="str">
        <f>IF(E631="","",IF(SUMIF(Precio_Productos!L:L,E631,Precio_Productos!J:J)=0,"Falta Precio",SUMIF(Precio_Productos!L:L,E631,Precio_Productos!J:J)))</f>
        <v/>
      </c>
      <c r="O631" s="86"/>
      <c r="P631" s="86" t="str">
        <f>IFERROR(__xludf.DUMMYFUNCTION("IF(OR(F631=""Selecciona.."",F631=""""),"""",TRANSPOSE(filter(Familias!C:C,Familias!D:D=F631)))"),"")</f>
        <v/>
      </c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</row>
    <row r="632">
      <c r="A632" s="4" t="str">
        <f t="shared" si="1"/>
        <v/>
      </c>
      <c r="B632" s="4"/>
      <c r="C632" s="4"/>
      <c r="D632" s="4"/>
      <c r="E632" s="94"/>
      <c r="F632" s="4" t="str">
        <f t="shared" si="2"/>
        <v/>
      </c>
      <c r="G632" s="2" t="str">
        <f t="shared" si="3"/>
        <v/>
      </c>
      <c r="H632" s="2" t="str">
        <f>IF(G632="","",SUMIF(Familias!C:C,G632,Familias!E:E))</f>
        <v/>
      </c>
      <c r="I632" s="4" t="str">
        <f>IF(A632="","",COUNTIF(Prod_Prop!B:B,A632))</f>
        <v/>
      </c>
      <c r="J632" s="92" t="str">
        <f>IF(E632="","",IF(SUMIF(Precio_Productos!L:L,E632,Precio_Productos!J:J)=0,"Falta Precio",SUMIF(Precio_Productos!L:L,E632,Precio_Productos!J:J)))</f>
        <v/>
      </c>
      <c r="O632" s="86"/>
      <c r="P632" s="86" t="str">
        <f>IFERROR(__xludf.DUMMYFUNCTION("IF(OR(F632=""Selecciona.."",F632=""""),"""",TRANSPOSE(filter(Familias!C:C,Familias!D:D=F632)))"),"")</f>
        <v/>
      </c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</row>
    <row r="633">
      <c r="A633" s="4" t="str">
        <f t="shared" si="1"/>
        <v/>
      </c>
      <c r="B633" s="4"/>
      <c r="C633" s="4"/>
      <c r="D633" s="4"/>
      <c r="E633" s="94"/>
      <c r="F633" s="4" t="str">
        <f t="shared" si="2"/>
        <v/>
      </c>
      <c r="G633" s="2" t="str">
        <f t="shared" si="3"/>
        <v/>
      </c>
      <c r="H633" s="2" t="str">
        <f>IF(G633="","",SUMIF(Familias!C:C,G633,Familias!E:E))</f>
        <v/>
      </c>
      <c r="I633" s="4" t="str">
        <f>IF(A633="","",COUNTIF(Prod_Prop!B:B,A633))</f>
        <v/>
      </c>
      <c r="J633" s="92" t="str">
        <f>IF(E633="","",IF(SUMIF(Precio_Productos!L:L,E633,Precio_Productos!J:J)=0,"Falta Precio",SUMIF(Precio_Productos!L:L,E633,Precio_Productos!J:J)))</f>
        <v/>
      </c>
      <c r="O633" s="86"/>
      <c r="P633" s="86" t="str">
        <f>IFERROR(__xludf.DUMMYFUNCTION("IF(OR(F633=""Selecciona.."",F633=""""),"""",TRANSPOSE(filter(Familias!C:C,Familias!D:D=F633)))"),"")</f>
        <v/>
      </c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</row>
    <row r="634">
      <c r="A634" s="4" t="str">
        <f t="shared" si="1"/>
        <v/>
      </c>
      <c r="B634" s="4"/>
      <c r="C634" s="4"/>
      <c r="D634" s="4"/>
      <c r="E634" s="94"/>
      <c r="F634" s="4" t="str">
        <f t="shared" si="2"/>
        <v/>
      </c>
      <c r="G634" s="2" t="str">
        <f t="shared" si="3"/>
        <v/>
      </c>
      <c r="H634" s="2" t="str">
        <f>IF(G634="","",SUMIF(Familias!C:C,G634,Familias!E:E))</f>
        <v/>
      </c>
      <c r="I634" s="4" t="str">
        <f>IF(A634="","",COUNTIF(Prod_Prop!B:B,A634))</f>
        <v/>
      </c>
      <c r="J634" s="92" t="str">
        <f>IF(E634="","",IF(SUMIF(Precio_Productos!L:L,E634,Precio_Productos!J:J)=0,"Falta Precio",SUMIF(Precio_Productos!L:L,E634,Precio_Productos!J:J)))</f>
        <v/>
      </c>
      <c r="O634" s="86"/>
      <c r="P634" s="86" t="str">
        <f>IFERROR(__xludf.DUMMYFUNCTION("IF(OR(F634=""Selecciona.."",F634=""""),"""",TRANSPOSE(filter(Familias!C:C,Familias!D:D=F634)))"),"")</f>
        <v/>
      </c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</row>
    <row r="635">
      <c r="A635" s="4" t="str">
        <f t="shared" si="1"/>
        <v/>
      </c>
      <c r="B635" s="4"/>
      <c r="C635" s="4"/>
      <c r="D635" s="4"/>
      <c r="E635" s="94"/>
      <c r="F635" s="4" t="str">
        <f t="shared" si="2"/>
        <v/>
      </c>
      <c r="G635" s="2" t="str">
        <f t="shared" si="3"/>
        <v/>
      </c>
      <c r="H635" s="2" t="str">
        <f>IF(G635="","",SUMIF(Familias!C:C,G635,Familias!E:E))</f>
        <v/>
      </c>
      <c r="I635" s="4" t="str">
        <f>IF(A635="","",COUNTIF(Prod_Prop!B:B,A635))</f>
        <v/>
      </c>
      <c r="J635" s="92" t="str">
        <f>IF(E635="","",IF(SUMIF(Precio_Productos!L:L,E635,Precio_Productos!J:J)=0,"Falta Precio",SUMIF(Precio_Productos!L:L,E635,Precio_Productos!J:J)))</f>
        <v/>
      </c>
      <c r="O635" s="86"/>
      <c r="P635" s="86" t="str">
        <f>IFERROR(__xludf.DUMMYFUNCTION("IF(OR(F635=""Selecciona.."",F635=""""),"""",TRANSPOSE(filter(Familias!C:C,Familias!D:D=F635)))"),"")</f>
        <v/>
      </c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</row>
    <row r="636">
      <c r="A636" s="4" t="str">
        <f t="shared" si="1"/>
        <v/>
      </c>
      <c r="B636" s="4"/>
      <c r="C636" s="4"/>
      <c r="D636" s="4"/>
      <c r="E636" s="94"/>
      <c r="F636" s="4" t="str">
        <f t="shared" si="2"/>
        <v/>
      </c>
      <c r="G636" s="2" t="str">
        <f t="shared" si="3"/>
        <v/>
      </c>
      <c r="H636" s="2" t="str">
        <f>IF(G636="","",SUMIF(Familias!C:C,G636,Familias!E:E))</f>
        <v/>
      </c>
      <c r="I636" s="4" t="str">
        <f>IF(A636="","",COUNTIF(Prod_Prop!B:B,A636))</f>
        <v/>
      </c>
      <c r="J636" s="92" t="str">
        <f>IF(E636="","",IF(SUMIF(Precio_Productos!L:L,E636,Precio_Productos!J:J)=0,"Falta Precio",SUMIF(Precio_Productos!L:L,E636,Precio_Productos!J:J)))</f>
        <v/>
      </c>
      <c r="O636" s="86"/>
      <c r="P636" s="86" t="str">
        <f>IFERROR(__xludf.DUMMYFUNCTION("IF(OR(F636=""Selecciona.."",F636=""""),"""",TRANSPOSE(filter(Familias!C:C,Familias!D:D=F636)))"),"")</f>
        <v/>
      </c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</row>
    <row r="637">
      <c r="A637" s="4" t="str">
        <f t="shared" si="1"/>
        <v/>
      </c>
      <c r="B637" s="4"/>
      <c r="C637" s="4"/>
      <c r="D637" s="4"/>
      <c r="E637" s="94"/>
      <c r="F637" s="4" t="str">
        <f t="shared" si="2"/>
        <v/>
      </c>
      <c r="G637" s="2" t="str">
        <f t="shared" si="3"/>
        <v/>
      </c>
      <c r="H637" s="2" t="str">
        <f>IF(G637="","",SUMIF(Familias!C:C,G637,Familias!E:E))</f>
        <v/>
      </c>
      <c r="I637" s="4" t="str">
        <f>IF(A637="","",COUNTIF(Prod_Prop!B:B,A637))</f>
        <v/>
      </c>
      <c r="J637" s="92" t="str">
        <f>IF(E637="","",IF(SUMIF(Precio_Productos!L:L,E637,Precio_Productos!J:J)=0,"Falta Precio",SUMIF(Precio_Productos!L:L,E637,Precio_Productos!J:J)))</f>
        <v/>
      </c>
      <c r="O637" s="86"/>
      <c r="P637" s="86" t="str">
        <f>IFERROR(__xludf.DUMMYFUNCTION("IF(OR(F637=""Selecciona.."",F637=""""),"""",TRANSPOSE(filter(Familias!C:C,Familias!D:D=F637)))"),"")</f>
        <v/>
      </c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</row>
    <row r="638">
      <c r="A638" s="4" t="str">
        <f t="shared" si="1"/>
        <v/>
      </c>
      <c r="B638" s="4"/>
      <c r="C638" s="4"/>
      <c r="D638" s="4"/>
      <c r="E638" s="94"/>
      <c r="F638" s="4" t="str">
        <f t="shared" si="2"/>
        <v/>
      </c>
      <c r="G638" s="2" t="str">
        <f t="shared" si="3"/>
        <v/>
      </c>
      <c r="H638" s="2" t="str">
        <f>IF(G638="","",SUMIF(Familias!C:C,G638,Familias!E:E))</f>
        <v/>
      </c>
      <c r="I638" s="4" t="str">
        <f>IF(A638="","",COUNTIF(Prod_Prop!B:B,A638))</f>
        <v/>
      </c>
      <c r="J638" s="92" t="str">
        <f>IF(E638="","",IF(SUMIF(Precio_Productos!L:L,E638,Precio_Productos!J:J)=0,"Falta Precio",SUMIF(Precio_Productos!L:L,E638,Precio_Productos!J:J)))</f>
        <v/>
      </c>
      <c r="O638" s="86"/>
      <c r="P638" s="86" t="str">
        <f>IFERROR(__xludf.DUMMYFUNCTION("IF(OR(F638=""Selecciona.."",F638=""""),"""",TRANSPOSE(filter(Familias!C:C,Familias!D:D=F638)))"),"")</f>
        <v/>
      </c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</row>
    <row r="639">
      <c r="A639" s="4" t="str">
        <f t="shared" si="1"/>
        <v/>
      </c>
      <c r="B639" s="4"/>
      <c r="C639" s="4"/>
      <c r="D639" s="4"/>
      <c r="E639" s="94"/>
      <c r="F639" s="4" t="str">
        <f t="shared" si="2"/>
        <v/>
      </c>
      <c r="G639" s="2" t="str">
        <f t="shared" si="3"/>
        <v/>
      </c>
      <c r="H639" s="2" t="str">
        <f>IF(G639="","",SUMIF(Familias!C:C,G639,Familias!E:E))</f>
        <v/>
      </c>
      <c r="I639" s="4" t="str">
        <f>IF(A639="","",COUNTIF(Prod_Prop!B:B,A639))</f>
        <v/>
      </c>
      <c r="J639" s="92" t="str">
        <f>IF(E639="","",IF(SUMIF(Precio_Productos!L:L,E639,Precio_Productos!J:J)=0,"Falta Precio",SUMIF(Precio_Productos!L:L,E639,Precio_Productos!J:J)))</f>
        <v/>
      </c>
      <c r="O639" s="86"/>
      <c r="P639" s="86" t="str">
        <f>IFERROR(__xludf.DUMMYFUNCTION("IF(OR(F639=""Selecciona.."",F639=""""),"""",TRANSPOSE(filter(Familias!C:C,Familias!D:D=F639)))"),"")</f>
        <v/>
      </c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</row>
    <row r="640">
      <c r="A640" s="4" t="str">
        <f t="shared" si="1"/>
        <v/>
      </c>
      <c r="B640" s="4"/>
      <c r="C640" s="4"/>
      <c r="D640" s="4"/>
      <c r="E640" s="94"/>
      <c r="F640" s="4" t="str">
        <f t="shared" si="2"/>
        <v/>
      </c>
      <c r="G640" s="2" t="str">
        <f t="shared" si="3"/>
        <v/>
      </c>
      <c r="H640" s="2" t="str">
        <f>IF(G640="","",SUMIF(Familias!C:C,G640,Familias!E:E))</f>
        <v/>
      </c>
      <c r="I640" s="4" t="str">
        <f>IF(A640="","",COUNTIF(Prod_Prop!B:B,A640))</f>
        <v/>
      </c>
      <c r="J640" s="92" t="str">
        <f>IF(E640="","",IF(SUMIF(Precio_Productos!L:L,E640,Precio_Productos!J:J)=0,"Falta Precio",SUMIF(Precio_Productos!L:L,E640,Precio_Productos!J:J)))</f>
        <v/>
      </c>
      <c r="O640" s="86"/>
      <c r="P640" s="86" t="str">
        <f>IFERROR(__xludf.DUMMYFUNCTION("IF(OR(F640=""Selecciona.."",F640=""""),"""",TRANSPOSE(filter(Familias!C:C,Familias!D:D=F640)))"),"")</f>
        <v/>
      </c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</row>
    <row r="641">
      <c r="A641" s="4" t="str">
        <f t="shared" si="1"/>
        <v/>
      </c>
      <c r="B641" s="4"/>
      <c r="C641" s="4"/>
      <c r="D641" s="4"/>
      <c r="E641" s="94"/>
      <c r="F641" s="4" t="str">
        <f t="shared" si="2"/>
        <v/>
      </c>
      <c r="G641" s="2" t="str">
        <f t="shared" si="3"/>
        <v/>
      </c>
      <c r="H641" s="2" t="str">
        <f>IF(G641="","",SUMIF(Familias!C:C,G641,Familias!E:E))</f>
        <v/>
      </c>
      <c r="I641" s="4" t="str">
        <f>IF(A641="","",COUNTIF(Prod_Prop!B:B,A641))</f>
        <v/>
      </c>
      <c r="J641" s="92" t="str">
        <f>IF(E641="","",IF(SUMIF(Precio_Productos!L:L,E641,Precio_Productos!J:J)=0,"Falta Precio",SUMIF(Precio_Productos!L:L,E641,Precio_Productos!J:J)))</f>
        <v/>
      </c>
      <c r="O641" s="86"/>
      <c r="P641" s="86" t="str">
        <f>IFERROR(__xludf.DUMMYFUNCTION("IF(OR(F641=""Selecciona.."",F641=""""),"""",TRANSPOSE(filter(Familias!C:C,Familias!D:D=F641)))"),"")</f>
        <v/>
      </c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</row>
    <row r="642">
      <c r="A642" s="4" t="str">
        <f t="shared" si="1"/>
        <v/>
      </c>
      <c r="B642" s="4"/>
      <c r="C642" s="4"/>
      <c r="D642" s="4"/>
      <c r="E642" s="94"/>
      <c r="F642" s="4" t="str">
        <f t="shared" si="2"/>
        <v/>
      </c>
      <c r="G642" s="2" t="str">
        <f t="shared" si="3"/>
        <v/>
      </c>
      <c r="H642" s="2" t="str">
        <f>IF(G642="","",SUMIF(Familias!C:C,G642,Familias!E:E))</f>
        <v/>
      </c>
      <c r="I642" s="4" t="str">
        <f>IF(A642="","",COUNTIF(Prod_Prop!B:B,A642))</f>
        <v/>
      </c>
      <c r="J642" s="92" t="str">
        <f>IF(E642="","",IF(SUMIF(Precio_Productos!L:L,E642,Precio_Productos!J:J)=0,"Falta Precio",SUMIF(Precio_Productos!L:L,E642,Precio_Productos!J:J)))</f>
        <v/>
      </c>
      <c r="O642" s="86"/>
      <c r="P642" s="86" t="str">
        <f>IFERROR(__xludf.DUMMYFUNCTION("IF(OR(F642=""Selecciona.."",F642=""""),"""",TRANSPOSE(filter(Familias!C:C,Familias!D:D=F642)))"),"")</f>
        <v/>
      </c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</row>
    <row r="643">
      <c r="A643" s="4" t="str">
        <f t="shared" si="1"/>
        <v/>
      </c>
      <c r="B643" s="4"/>
      <c r="C643" s="4"/>
      <c r="D643" s="4"/>
      <c r="E643" s="94"/>
      <c r="F643" s="4" t="str">
        <f t="shared" si="2"/>
        <v/>
      </c>
      <c r="G643" s="2" t="str">
        <f t="shared" si="3"/>
        <v/>
      </c>
      <c r="H643" s="2" t="str">
        <f>IF(G643="","",SUMIF(Familias!C:C,G643,Familias!E:E))</f>
        <v/>
      </c>
      <c r="I643" s="4" t="str">
        <f>IF(A643="","",COUNTIF(Prod_Prop!B:B,A643))</f>
        <v/>
      </c>
      <c r="J643" s="92" t="str">
        <f>IF(E643="","",IF(SUMIF(Precio_Productos!L:L,E643,Precio_Productos!J:J)=0,"Falta Precio",SUMIF(Precio_Productos!L:L,E643,Precio_Productos!J:J)))</f>
        <v/>
      </c>
      <c r="O643" s="86"/>
      <c r="P643" s="86" t="str">
        <f>IFERROR(__xludf.DUMMYFUNCTION("IF(OR(F643=""Selecciona.."",F643=""""),"""",TRANSPOSE(filter(Familias!C:C,Familias!D:D=F643)))"),"")</f>
        <v/>
      </c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</row>
    <row r="644">
      <c r="A644" s="4" t="str">
        <f t="shared" si="1"/>
        <v/>
      </c>
      <c r="B644" s="4"/>
      <c r="C644" s="4"/>
      <c r="D644" s="4"/>
      <c r="E644" s="94"/>
      <c r="F644" s="4" t="str">
        <f t="shared" si="2"/>
        <v/>
      </c>
      <c r="G644" s="2" t="str">
        <f t="shared" si="3"/>
        <v/>
      </c>
      <c r="H644" s="2" t="str">
        <f>IF(G644="","",SUMIF(Familias!C:C,G644,Familias!E:E))</f>
        <v/>
      </c>
      <c r="I644" s="4" t="str">
        <f>IF(A644="","",COUNTIF(Prod_Prop!B:B,A644))</f>
        <v/>
      </c>
      <c r="J644" s="92" t="str">
        <f>IF(E644="","",IF(SUMIF(Precio_Productos!L:L,E644,Precio_Productos!J:J)=0,"Falta Precio",SUMIF(Precio_Productos!L:L,E644,Precio_Productos!J:J)))</f>
        <v/>
      </c>
      <c r="O644" s="86"/>
      <c r="P644" s="86" t="str">
        <f>IFERROR(__xludf.DUMMYFUNCTION("IF(OR(F644=""Selecciona.."",F644=""""),"""",TRANSPOSE(filter(Familias!C:C,Familias!D:D=F644)))"),"")</f>
        <v/>
      </c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</row>
    <row r="645">
      <c r="A645" s="4" t="str">
        <f t="shared" si="1"/>
        <v/>
      </c>
      <c r="B645" s="4"/>
      <c r="C645" s="4"/>
      <c r="D645" s="4"/>
      <c r="E645" s="94"/>
      <c r="F645" s="4" t="str">
        <f t="shared" si="2"/>
        <v/>
      </c>
      <c r="G645" s="2" t="str">
        <f t="shared" si="3"/>
        <v/>
      </c>
      <c r="H645" s="2" t="str">
        <f>IF(G645="","",SUMIF(Familias!C:C,G645,Familias!E:E))</f>
        <v/>
      </c>
      <c r="I645" s="4" t="str">
        <f>IF(A645="","",COUNTIF(Prod_Prop!B:B,A645))</f>
        <v/>
      </c>
      <c r="J645" s="92" t="str">
        <f>IF(E645="","",IF(SUMIF(Precio_Productos!L:L,E645,Precio_Productos!J:J)=0,"Falta Precio",SUMIF(Precio_Productos!L:L,E645,Precio_Productos!J:J)))</f>
        <v/>
      </c>
      <c r="O645" s="86"/>
      <c r="P645" s="86" t="str">
        <f>IFERROR(__xludf.DUMMYFUNCTION("IF(OR(F645=""Selecciona.."",F645=""""),"""",TRANSPOSE(filter(Familias!C:C,Familias!D:D=F645)))"),"")</f>
        <v/>
      </c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</row>
    <row r="646">
      <c r="A646" s="4" t="str">
        <f t="shared" si="1"/>
        <v/>
      </c>
      <c r="B646" s="4"/>
      <c r="C646" s="4"/>
      <c r="D646" s="4"/>
      <c r="E646" s="94"/>
      <c r="F646" s="4" t="str">
        <f t="shared" si="2"/>
        <v/>
      </c>
      <c r="G646" s="2" t="str">
        <f t="shared" si="3"/>
        <v/>
      </c>
      <c r="H646" s="2" t="str">
        <f>IF(G646="","",SUMIF(Familias!C:C,G646,Familias!E:E))</f>
        <v/>
      </c>
      <c r="I646" s="4" t="str">
        <f>IF(A646="","",COUNTIF(Prod_Prop!B:B,A646))</f>
        <v/>
      </c>
      <c r="J646" s="92" t="str">
        <f>IF(E646="","",IF(SUMIF(Precio_Productos!L:L,E646,Precio_Productos!J:J)=0,"Falta Precio",SUMIF(Precio_Productos!L:L,E646,Precio_Productos!J:J)))</f>
        <v/>
      </c>
      <c r="O646" s="86"/>
      <c r="P646" s="86" t="str">
        <f>IFERROR(__xludf.DUMMYFUNCTION("IF(OR(F646=""Selecciona.."",F646=""""),"""",TRANSPOSE(filter(Familias!C:C,Familias!D:D=F646)))"),"")</f>
        <v/>
      </c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</row>
    <row r="647">
      <c r="A647" s="4" t="str">
        <f t="shared" si="1"/>
        <v/>
      </c>
      <c r="B647" s="4"/>
      <c r="C647" s="4"/>
      <c r="D647" s="4"/>
      <c r="E647" s="94"/>
      <c r="F647" s="4" t="str">
        <f t="shared" si="2"/>
        <v/>
      </c>
      <c r="G647" s="2" t="str">
        <f t="shared" si="3"/>
        <v/>
      </c>
      <c r="H647" s="2" t="str">
        <f>IF(G647="","",SUMIF(Familias!C:C,G647,Familias!E:E))</f>
        <v/>
      </c>
      <c r="I647" s="4" t="str">
        <f>IF(A647="","",COUNTIF(Prod_Prop!B:B,A647))</f>
        <v/>
      </c>
      <c r="J647" s="92" t="str">
        <f>IF(E647="","",IF(SUMIF(Precio_Productos!L:L,E647,Precio_Productos!J:J)=0,"Falta Precio",SUMIF(Precio_Productos!L:L,E647,Precio_Productos!J:J)))</f>
        <v/>
      </c>
      <c r="O647" s="86"/>
      <c r="P647" s="86" t="str">
        <f>IFERROR(__xludf.DUMMYFUNCTION("IF(OR(F647=""Selecciona.."",F647=""""),"""",TRANSPOSE(filter(Familias!C:C,Familias!D:D=F647)))"),"")</f>
        <v/>
      </c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</row>
    <row r="648">
      <c r="A648" s="4" t="str">
        <f t="shared" si="1"/>
        <v/>
      </c>
      <c r="B648" s="4"/>
      <c r="C648" s="4"/>
      <c r="D648" s="4"/>
      <c r="E648" s="94"/>
      <c r="F648" s="4" t="str">
        <f t="shared" si="2"/>
        <v/>
      </c>
      <c r="G648" s="2" t="str">
        <f t="shared" si="3"/>
        <v/>
      </c>
      <c r="H648" s="2" t="str">
        <f>IF(G648="","",SUMIF(Familias!C:C,G648,Familias!E:E))</f>
        <v/>
      </c>
      <c r="I648" s="4" t="str">
        <f>IF(A648="","",COUNTIF(Prod_Prop!B:B,A648))</f>
        <v/>
      </c>
      <c r="J648" s="92" t="str">
        <f>IF(E648="","",IF(SUMIF(Precio_Productos!L:L,E648,Precio_Productos!J:J)=0,"Falta Precio",SUMIF(Precio_Productos!L:L,E648,Precio_Productos!J:J)))</f>
        <v/>
      </c>
      <c r="O648" s="86"/>
      <c r="P648" s="86" t="str">
        <f>IFERROR(__xludf.DUMMYFUNCTION("IF(OR(F648=""Selecciona.."",F648=""""),"""",TRANSPOSE(filter(Familias!C:C,Familias!D:D=F648)))"),"")</f>
        <v/>
      </c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</row>
    <row r="649">
      <c r="A649" s="4" t="str">
        <f t="shared" si="1"/>
        <v/>
      </c>
      <c r="B649" s="4"/>
      <c r="C649" s="4"/>
      <c r="D649" s="4"/>
      <c r="E649" s="94"/>
      <c r="F649" s="4" t="str">
        <f t="shared" si="2"/>
        <v/>
      </c>
      <c r="G649" s="2" t="str">
        <f t="shared" si="3"/>
        <v/>
      </c>
      <c r="H649" s="2" t="str">
        <f>IF(G649="","",SUMIF(Familias!C:C,G649,Familias!E:E))</f>
        <v/>
      </c>
      <c r="I649" s="4" t="str">
        <f>IF(A649="","",COUNTIF(Prod_Prop!B:B,A649))</f>
        <v/>
      </c>
      <c r="J649" s="92" t="str">
        <f>IF(E649="","",IF(SUMIF(Precio_Productos!L:L,E649,Precio_Productos!J:J)=0,"Falta Precio",SUMIF(Precio_Productos!L:L,E649,Precio_Productos!J:J)))</f>
        <v/>
      </c>
      <c r="O649" s="86"/>
      <c r="P649" s="86" t="str">
        <f>IFERROR(__xludf.DUMMYFUNCTION("IF(OR(F649=""Selecciona.."",F649=""""),"""",TRANSPOSE(filter(Familias!C:C,Familias!D:D=F649)))"),"")</f>
        <v/>
      </c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</row>
    <row r="650">
      <c r="A650" s="4" t="str">
        <f t="shared" si="1"/>
        <v/>
      </c>
      <c r="B650" s="4"/>
      <c r="C650" s="4"/>
      <c r="D650" s="4"/>
      <c r="E650" s="94"/>
      <c r="F650" s="4" t="str">
        <f t="shared" si="2"/>
        <v/>
      </c>
      <c r="G650" s="2" t="str">
        <f t="shared" si="3"/>
        <v/>
      </c>
      <c r="H650" s="2" t="str">
        <f>IF(G650="","",SUMIF(Familias!C:C,G650,Familias!E:E))</f>
        <v/>
      </c>
      <c r="I650" s="4" t="str">
        <f>IF(A650="","",COUNTIF(Prod_Prop!B:B,A650))</f>
        <v/>
      </c>
      <c r="J650" s="92" t="str">
        <f>IF(E650="","",IF(SUMIF(Precio_Productos!L:L,E650,Precio_Productos!J:J)=0,"Falta Precio",SUMIF(Precio_Productos!L:L,E650,Precio_Productos!J:J)))</f>
        <v/>
      </c>
      <c r="O650" s="86"/>
      <c r="P650" s="86" t="str">
        <f>IFERROR(__xludf.DUMMYFUNCTION("IF(OR(F650=""Selecciona.."",F650=""""),"""",TRANSPOSE(filter(Familias!C:C,Familias!D:D=F650)))"),"")</f>
        <v/>
      </c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</row>
    <row r="651">
      <c r="A651" s="4" t="str">
        <f t="shared" si="1"/>
        <v/>
      </c>
      <c r="B651" s="4"/>
      <c r="C651" s="4"/>
      <c r="D651" s="4"/>
      <c r="E651" s="94"/>
      <c r="F651" s="4" t="str">
        <f t="shared" si="2"/>
        <v/>
      </c>
      <c r="G651" s="2" t="str">
        <f t="shared" si="3"/>
        <v/>
      </c>
      <c r="H651" s="2" t="str">
        <f>IF(G651="","",SUMIF(Familias!C:C,G651,Familias!E:E))</f>
        <v/>
      </c>
      <c r="I651" s="4" t="str">
        <f>IF(A651="","",COUNTIF(Prod_Prop!B:B,A651))</f>
        <v/>
      </c>
      <c r="J651" s="92" t="str">
        <f>IF(E651="","",IF(SUMIF(Precio_Productos!L:L,E651,Precio_Productos!J:J)=0,"Falta Precio",SUMIF(Precio_Productos!L:L,E651,Precio_Productos!J:J)))</f>
        <v/>
      </c>
      <c r="O651" s="86"/>
      <c r="P651" s="86" t="str">
        <f>IFERROR(__xludf.DUMMYFUNCTION("IF(OR(F651=""Selecciona.."",F651=""""),"""",TRANSPOSE(filter(Familias!C:C,Familias!D:D=F651)))"),"")</f>
        <v/>
      </c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</row>
    <row r="652">
      <c r="A652" s="4" t="str">
        <f t="shared" si="1"/>
        <v/>
      </c>
      <c r="B652" s="4"/>
      <c r="C652" s="4"/>
      <c r="D652" s="4"/>
      <c r="E652" s="94"/>
      <c r="F652" s="4" t="str">
        <f t="shared" si="2"/>
        <v/>
      </c>
      <c r="G652" s="2" t="str">
        <f t="shared" si="3"/>
        <v/>
      </c>
      <c r="H652" s="2" t="str">
        <f>IF(G652="","",SUMIF(Familias!C:C,G652,Familias!E:E))</f>
        <v/>
      </c>
      <c r="I652" s="4" t="str">
        <f>IF(A652="","",COUNTIF(Prod_Prop!B:B,A652))</f>
        <v/>
      </c>
      <c r="J652" s="92" t="str">
        <f>IF(E652="","",IF(SUMIF(Precio_Productos!L:L,E652,Precio_Productos!J:J)=0,"Falta Precio",SUMIF(Precio_Productos!L:L,E652,Precio_Productos!J:J)))</f>
        <v/>
      </c>
      <c r="O652" s="86"/>
      <c r="P652" s="86" t="str">
        <f>IFERROR(__xludf.DUMMYFUNCTION("IF(OR(F652=""Selecciona.."",F652=""""),"""",TRANSPOSE(filter(Familias!C:C,Familias!D:D=F652)))"),"")</f>
        <v/>
      </c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</row>
    <row r="653">
      <c r="A653" s="4" t="str">
        <f t="shared" si="1"/>
        <v/>
      </c>
      <c r="B653" s="4"/>
      <c r="C653" s="4"/>
      <c r="D653" s="4"/>
      <c r="E653" s="94"/>
      <c r="F653" s="4" t="str">
        <f t="shared" si="2"/>
        <v/>
      </c>
      <c r="G653" s="2" t="str">
        <f t="shared" si="3"/>
        <v/>
      </c>
      <c r="H653" s="2" t="str">
        <f>IF(G653="","",SUMIF(Familias!C:C,G653,Familias!E:E))</f>
        <v/>
      </c>
      <c r="I653" s="4" t="str">
        <f>IF(A653="","",COUNTIF(Prod_Prop!B:B,A653))</f>
        <v/>
      </c>
      <c r="J653" s="92" t="str">
        <f>IF(E653="","",IF(SUMIF(Precio_Productos!L:L,E653,Precio_Productos!J:J)=0,"Falta Precio",SUMIF(Precio_Productos!L:L,E653,Precio_Productos!J:J)))</f>
        <v/>
      </c>
      <c r="O653" s="86"/>
      <c r="P653" s="86" t="str">
        <f>IFERROR(__xludf.DUMMYFUNCTION("IF(OR(F653=""Selecciona.."",F653=""""),"""",TRANSPOSE(filter(Familias!C:C,Familias!D:D=F653)))"),"")</f>
        <v/>
      </c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</row>
    <row r="654">
      <c r="A654" s="4" t="str">
        <f t="shared" si="1"/>
        <v/>
      </c>
      <c r="B654" s="4"/>
      <c r="C654" s="4"/>
      <c r="D654" s="4"/>
      <c r="E654" s="94"/>
      <c r="F654" s="4" t="str">
        <f t="shared" si="2"/>
        <v/>
      </c>
      <c r="G654" s="2" t="str">
        <f t="shared" si="3"/>
        <v/>
      </c>
      <c r="H654" s="2" t="str">
        <f>IF(G654="","",SUMIF(Familias!C:C,G654,Familias!E:E))</f>
        <v/>
      </c>
      <c r="I654" s="4" t="str">
        <f>IF(A654="","",COUNTIF(Prod_Prop!B:B,A654))</f>
        <v/>
      </c>
      <c r="J654" s="92" t="str">
        <f>IF(E654="","",IF(SUMIF(Precio_Productos!L:L,E654,Precio_Productos!J:J)=0,"Falta Precio",SUMIF(Precio_Productos!L:L,E654,Precio_Productos!J:J)))</f>
        <v/>
      </c>
      <c r="O654" s="86"/>
      <c r="P654" s="86" t="str">
        <f>IFERROR(__xludf.DUMMYFUNCTION("IF(OR(F654=""Selecciona.."",F654=""""),"""",TRANSPOSE(filter(Familias!C:C,Familias!D:D=F654)))"),"")</f>
        <v/>
      </c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</row>
    <row r="655">
      <c r="A655" s="4" t="str">
        <f t="shared" si="1"/>
        <v/>
      </c>
      <c r="B655" s="4"/>
      <c r="C655" s="4"/>
      <c r="D655" s="4"/>
      <c r="E655" s="94"/>
      <c r="F655" s="4" t="str">
        <f t="shared" si="2"/>
        <v/>
      </c>
      <c r="G655" s="2" t="str">
        <f t="shared" si="3"/>
        <v/>
      </c>
      <c r="H655" s="2" t="str">
        <f>IF(G655="","",SUMIF(Familias!C:C,G655,Familias!E:E))</f>
        <v/>
      </c>
      <c r="I655" s="4" t="str">
        <f>IF(A655="","",COUNTIF(Prod_Prop!B:B,A655))</f>
        <v/>
      </c>
      <c r="J655" s="92" t="str">
        <f>IF(E655="","",IF(SUMIF(Precio_Productos!L:L,E655,Precio_Productos!J:J)=0,"Falta Precio",SUMIF(Precio_Productos!L:L,E655,Precio_Productos!J:J)))</f>
        <v/>
      </c>
      <c r="O655" s="86"/>
      <c r="P655" s="86" t="str">
        <f>IFERROR(__xludf.DUMMYFUNCTION("IF(OR(F655=""Selecciona.."",F655=""""),"""",TRANSPOSE(filter(Familias!C:C,Familias!D:D=F655)))"),"")</f>
        <v/>
      </c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</row>
    <row r="656">
      <c r="A656" s="4" t="str">
        <f t="shared" si="1"/>
        <v/>
      </c>
      <c r="B656" s="4"/>
      <c r="C656" s="4"/>
      <c r="D656" s="4"/>
      <c r="E656" s="94"/>
      <c r="F656" s="4" t="str">
        <f t="shared" si="2"/>
        <v/>
      </c>
      <c r="G656" s="2" t="str">
        <f t="shared" si="3"/>
        <v/>
      </c>
      <c r="H656" s="2" t="str">
        <f>IF(G656="","",SUMIF(Familias!C:C,G656,Familias!E:E))</f>
        <v/>
      </c>
      <c r="I656" s="4" t="str">
        <f>IF(A656="","",COUNTIF(Prod_Prop!B:B,A656))</f>
        <v/>
      </c>
      <c r="J656" s="92" t="str">
        <f>IF(E656="","",IF(SUMIF(Precio_Productos!L:L,E656,Precio_Productos!J:J)=0,"Falta Precio",SUMIF(Precio_Productos!L:L,E656,Precio_Productos!J:J)))</f>
        <v/>
      </c>
      <c r="O656" s="86"/>
      <c r="P656" s="86" t="str">
        <f>IFERROR(__xludf.DUMMYFUNCTION("IF(OR(F656=""Selecciona.."",F656=""""),"""",TRANSPOSE(filter(Familias!C:C,Familias!D:D=F656)))"),"")</f>
        <v/>
      </c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</row>
    <row r="657">
      <c r="A657" s="4" t="str">
        <f t="shared" si="1"/>
        <v/>
      </c>
      <c r="B657" s="4"/>
      <c r="C657" s="4"/>
      <c r="D657" s="4"/>
      <c r="E657" s="94"/>
      <c r="F657" s="4" t="str">
        <f t="shared" si="2"/>
        <v/>
      </c>
      <c r="G657" s="2" t="str">
        <f t="shared" si="3"/>
        <v/>
      </c>
      <c r="H657" s="2" t="str">
        <f>IF(G657="","",SUMIF(Familias!C:C,G657,Familias!E:E))</f>
        <v/>
      </c>
      <c r="I657" s="4" t="str">
        <f>IF(A657="","",COUNTIF(Prod_Prop!B:B,A657))</f>
        <v/>
      </c>
      <c r="J657" s="92" t="str">
        <f>IF(E657="","",IF(SUMIF(Precio_Productos!L:L,E657,Precio_Productos!J:J)=0,"Falta Precio",SUMIF(Precio_Productos!L:L,E657,Precio_Productos!J:J)))</f>
        <v/>
      </c>
      <c r="O657" s="86"/>
      <c r="P657" s="86" t="str">
        <f>IFERROR(__xludf.DUMMYFUNCTION("IF(OR(F657=""Selecciona.."",F657=""""),"""",TRANSPOSE(filter(Familias!C:C,Familias!D:D=F657)))"),"")</f>
        <v/>
      </c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</row>
    <row r="658">
      <c r="A658" s="4" t="str">
        <f t="shared" si="1"/>
        <v/>
      </c>
      <c r="B658" s="4"/>
      <c r="C658" s="4"/>
      <c r="D658" s="4"/>
      <c r="E658" s="94"/>
      <c r="F658" s="4" t="str">
        <f t="shared" si="2"/>
        <v/>
      </c>
      <c r="G658" s="2" t="str">
        <f t="shared" si="3"/>
        <v/>
      </c>
      <c r="H658" s="2" t="str">
        <f>IF(G658="","",SUMIF(Familias!C:C,G658,Familias!E:E))</f>
        <v/>
      </c>
      <c r="I658" s="4" t="str">
        <f>IF(A658="","",COUNTIF(Prod_Prop!B:B,A658))</f>
        <v/>
      </c>
      <c r="J658" s="92" t="str">
        <f>IF(E658="","",IF(SUMIF(Precio_Productos!L:L,E658,Precio_Productos!J:J)=0,"Falta Precio",SUMIF(Precio_Productos!L:L,E658,Precio_Productos!J:J)))</f>
        <v/>
      </c>
      <c r="O658" s="86"/>
      <c r="P658" s="86" t="str">
        <f>IFERROR(__xludf.DUMMYFUNCTION("IF(OR(F658=""Selecciona.."",F658=""""),"""",TRANSPOSE(filter(Familias!C:C,Familias!D:D=F658)))"),"")</f>
        <v/>
      </c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</row>
    <row r="659">
      <c r="A659" s="4" t="str">
        <f t="shared" si="1"/>
        <v/>
      </c>
      <c r="B659" s="4"/>
      <c r="C659" s="4"/>
      <c r="D659" s="4"/>
      <c r="E659" s="94"/>
      <c r="F659" s="4" t="str">
        <f t="shared" si="2"/>
        <v/>
      </c>
      <c r="G659" s="2" t="str">
        <f t="shared" si="3"/>
        <v/>
      </c>
      <c r="H659" s="2" t="str">
        <f>IF(G659="","",SUMIF(Familias!C:C,G659,Familias!E:E))</f>
        <v/>
      </c>
      <c r="I659" s="4" t="str">
        <f>IF(A659="","",COUNTIF(Prod_Prop!B:B,A659))</f>
        <v/>
      </c>
      <c r="J659" s="92" t="str">
        <f>IF(E659="","",IF(SUMIF(Precio_Productos!L:L,E659,Precio_Productos!J:J)=0,"Falta Precio",SUMIF(Precio_Productos!L:L,E659,Precio_Productos!J:J)))</f>
        <v/>
      </c>
      <c r="O659" s="86"/>
      <c r="P659" s="86" t="str">
        <f>IFERROR(__xludf.DUMMYFUNCTION("IF(OR(F659=""Selecciona.."",F659=""""),"""",TRANSPOSE(filter(Familias!C:C,Familias!D:D=F659)))"),"")</f>
        <v/>
      </c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</row>
    <row r="660">
      <c r="A660" s="4" t="str">
        <f t="shared" si="1"/>
        <v/>
      </c>
      <c r="B660" s="4"/>
      <c r="C660" s="4"/>
      <c r="D660" s="4"/>
      <c r="E660" s="94"/>
      <c r="F660" s="4" t="str">
        <f t="shared" si="2"/>
        <v/>
      </c>
      <c r="G660" s="2" t="str">
        <f t="shared" si="3"/>
        <v/>
      </c>
      <c r="H660" s="2" t="str">
        <f>IF(G660="","",SUMIF(Familias!C:C,G660,Familias!E:E))</f>
        <v/>
      </c>
      <c r="I660" s="4" t="str">
        <f>IF(A660="","",COUNTIF(Prod_Prop!B:B,A660))</f>
        <v/>
      </c>
      <c r="J660" s="92" t="str">
        <f>IF(E660="","",IF(SUMIF(Precio_Productos!L:L,E660,Precio_Productos!J:J)=0,"Falta Precio",SUMIF(Precio_Productos!L:L,E660,Precio_Productos!J:J)))</f>
        <v/>
      </c>
      <c r="O660" s="86"/>
      <c r="P660" s="86" t="str">
        <f>IFERROR(__xludf.DUMMYFUNCTION("IF(OR(F660=""Selecciona.."",F660=""""),"""",TRANSPOSE(filter(Familias!C:C,Familias!D:D=F660)))"),"")</f>
        <v/>
      </c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</row>
    <row r="661">
      <c r="A661" s="4" t="str">
        <f t="shared" si="1"/>
        <v/>
      </c>
      <c r="B661" s="4"/>
      <c r="C661" s="4"/>
      <c r="D661" s="4"/>
      <c r="E661" s="94"/>
      <c r="F661" s="4" t="str">
        <f t="shared" si="2"/>
        <v/>
      </c>
      <c r="G661" s="2" t="str">
        <f t="shared" si="3"/>
        <v/>
      </c>
      <c r="H661" s="2" t="str">
        <f>IF(G661="","",SUMIF(Familias!C:C,G661,Familias!E:E))</f>
        <v/>
      </c>
      <c r="I661" s="4" t="str">
        <f>IF(A661="","",COUNTIF(Prod_Prop!B:B,A661))</f>
        <v/>
      </c>
      <c r="J661" s="92" t="str">
        <f>IF(E661="","",IF(SUMIF(Precio_Productos!L:L,E661,Precio_Productos!J:J)=0,"Falta Precio",SUMIF(Precio_Productos!L:L,E661,Precio_Productos!J:J)))</f>
        <v/>
      </c>
      <c r="O661" s="86"/>
      <c r="P661" s="86" t="str">
        <f>IFERROR(__xludf.DUMMYFUNCTION("IF(OR(F661=""Selecciona.."",F661=""""),"""",TRANSPOSE(filter(Familias!C:C,Familias!D:D=F661)))"),"")</f>
        <v/>
      </c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</row>
    <row r="662">
      <c r="A662" s="4" t="str">
        <f t="shared" si="1"/>
        <v/>
      </c>
      <c r="B662" s="4"/>
      <c r="C662" s="4"/>
      <c r="D662" s="4"/>
      <c r="E662" s="94"/>
      <c r="F662" s="4" t="str">
        <f t="shared" si="2"/>
        <v/>
      </c>
      <c r="G662" s="2" t="str">
        <f t="shared" si="3"/>
        <v/>
      </c>
      <c r="H662" s="2" t="str">
        <f>IF(G662="","",SUMIF(Familias!C:C,G662,Familias!E:E))</f>
        <v/>
      </c>
      <c r="I662" s="4" t="str">
        <f>IF(A662="","",COUNTIF(Prod_Prop!B:B,A662))</f>
        <v/>
      </c>
      <c r="J662" s="92" t="str">
        <f>IF(E662="","",IF(SUMIF(Precio_Productos!L:L,E662,Precio_Productos!J:J)=0,"Falta Precio",SUMIF(Precio_Productos!L:L,E662,Precio_Productos!J:J)))</f>
        <v/>
      </c>
      <c r="O662" s="86"/>
      <c r="P662" s="86" t="str">
        <f>IFERROR(__xludf.DUMMYFUNCTION("IF(OR(F662=""Selecciona.."",F662=""""),"""",TRANSPOSE(filter(Familias!C:C,Familias!D:D=F662)))"),"")</f>
        <v/>
      </c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</row>
    <row r="663">
      <c r="A663" s="4" t="str">
        <f t="shared" si="1"/>
        <v/>
      </c>
      <c r="B663" s="4"/>
      <c r="C663" s="4"/>
      <c r="D663" s="4"/>
      <c r="E663" s="94"/>
      <c r="F663" s="4" t="str">
        <f t="shared" si="2"/>
        <v/>
      </c>
      <c r="G663" s="2" t="str">
        <f t="shared" si="3"/>
        <v/>
      </c>
      <c r="H663" s="2" t="str">
        <f>IF(G663="","",SUMIF(Familias!C:C,G663,Familias!E:E))</f>
        <v/>
      </c>
      <c r="I663" s="4" t="str">
        <f>IF(A663="","",COUNTIF(Prod_Prop!B:B,A663))</f>
        <v/>
      </c>
      <c r="J663" s="92" t="str">
        <f>IF(E663="","",IF(SUMIF(Precio_Productos!L:L,E663,Precio_Productos!J:J)=0,"Falta Precio",SUMIF(Precio_Productos!L:L,E663,Precio_Productos!J:J)))</f>
        <v/>
      </c>
      <c r="O663" s="86"/>
      <c r="P663" s="86" t="str">
        <f>IFERROR(__xludf.DUMMYFUNCTION("IF(OR(F663=""Selecciona.."",F663=""""),"""",TRANSPOSE(filter(Familias!C:C,Familias!D:D=F663)))"),"")</f>
        <v/>
      </c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</row>
    <row r="664">
      <c r="A664" s="4" t="str">
        <f t="shared" si="1"/>
        <v/>
      </c>
      <c r="B664" s="4"/>
      <c r="C664" s="4"/>
      <c r="D664" s="4"/>
      <c r="E664" s="94"/>
      <c r="F664" s="4" t="str">
        <f t="shared" si="2"/>
        <v/>
      </c>
      <c r="G664" s="2" t="str">
        <f t="shared" si="3"/>
        <v/>
      </c>
      <c r="H664" s="2" t="str">
        <f>IF(G664="","",SUMIF(Familias!C:C,G664,Familias!E:E))</f>
        <v/>
      </c>
      <c r="I664" s="4" t="str">
        <f>IF(A664="","",COUNTIF(Prod_Prop!B:B,A664))</f>
        <v/>
      </c>
      <c r="J664" s="92" t="str">
        <f>IF(E664="","",IF(SUMIF(Precio_Productos!L:L,E664,Precio_Productos!J:J)=0,"Falta Precio",SUMIF(Precio_Productos!L:L,E664,Precio_Productos!J:J)))</f>
        <v/>
      </c>
      <c r="O664" s="86"/>
      <c r="P664" s="86" t="str">
        <f>IFERROR(__xludf.DUMMYFUNCTION("IF(OR(F664=""Selecciona.."",F664=""""),"""",TRANSPOSE(filter(Familias!C:C,Familias!D:D=F664)))"),"")</f>
        <v/>
      </c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</row>
    <row r="665">
      <c r="A665" s="4" t="str">
        <f t="shared" si="1"/>
        <v/>
      </c>
      <c r="B665" s="4"/>
      <c r="C665" s="4"/>
      <c r="D665" s="4"/>
      <c r="E665" s="94"/>
      <c r="F665" s="4" t="str">
        <f t="shared" si="2"/>
        <v/>
      </c>
      <c r="G665" s="2" t="str">
        <f t="shared" si="3"/>
        <v/>
      </c>
      <c r="H665" s="2" t="str">
        <f>IF(G665="","",SUMIF(Familias!C:C,G665,Familias!E:E))</f>
        <v/>
      </c>
      <c r="I665" s="4" t="str">
        <f>IF(A665="","",COUNTIF(Prod_Prop!B:B,A665))</f>
        <v/>
      </c>
      <c r="J665" s="92" t="str">
        <f>IF(E665="","",IF(SUMIF(Precio_Productos!L:L,E665,Precio_Productos!J:J)=0,"Falta Precio",SUMIF(Precio_Productos!L:L,E665,Precio_Productos!J:J)))</f>
        <v/>
      </c>
      <c r="O665" s="86"/>
      <c r="P665" s="86" t="str">
        <f>IFERROR(__xludf.DUMMYFUNCTION("IF(OR(F665=""Selecciona.."",F665=""""),"""",TRANSPOSE(filter(Familias!C:C,Familias!D:D=F665)))"),"")</f>
        <v/>
      </c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</row>
    <row r="666">
      <c r="A666" s="4" t="str">
        <f t="shared" si="1"/>
        <v/>
      </c>
      <c r="B666" s="4"/>
      <c r="C666" s="4"/>
      <c r="D666" s="4"/>
      <c r="E666" s="94"/>
      <c r="F666" s="4" t="str">
        <f t="shared" si="2"/>
        <v/>
      </c>
      <c r="G666" s="2" t="str">
        <f t="shared" si="3"/>
        <v/>
      </c>
      <c r="H666" s="2" t="str">
        <f>IF(G666="","",SUMIF(Familias!C:C,G666,Familias!E:E))</f>
        <v/>
      </c>
      <c r="I666" s="4" t="str">
        <f>IF(A666="","",COUNTIF(Prod_Prop!B:B,A666))</f>
        <v/>
      </c>
      <c r="J666" s="92" t="str">
        <f>IF(E666="","",IF(SUMIF(Precio_Productos!L:L,E666,Precio_Productos!J:J)=0,"Falta Precio",SUMIF(Precio_Productos!L:L,E666,Precio_Productos!J:J)))</f>
        <v/>
      </c>
      <c r="O666" s="86"/>
      <c r="P666" s="86" t="str">
        <f>IFERROR(__xludf.DUMMYFUNCTION("IF(OR(F666=""Selecciona.."",F666=""""),"""",TRANSPOSE(filter(Familias!C:C,Familias!D:D=F666)))"),"")</f>
        <v/>
      </c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</row>
    <row r="667">
      <c r="A667" s="4" t="str">
        <f t="shared" si="1"/>
        <v/>
      </c>
      <c r="B667" s="4"/>
      <c r="C667" s="4"/>
      <c r="D667" s="4"/>
      <c r="E667" s="94"/>
      <c r="F667" s="4" t="str">
        <f t="shared" si="2"/>
        <v/>
      </c>
      <c r="G667" s="2" t="str">
        <f t="shared" si="3"/>
        <v/>
      </c>
      <c r="H667" s="2" t="str">
        <f>IF(G667="","",SUMIF(Familias!C:C,G667,Familias!E:E))</f>
        <v/>
      </c>
      <c r="I667" s="4" t="str">
        <f>IF(A667="","",COUNTIF(Prod_Prop!B:B,A667))</f>
        <v/>
      </c>
      <c r="J667" s="92" t="str">
        <f>IF(E667="","",IF(SUMIF(Precio_Productos!L:L,E667,Precio_Productos!J:J)=0,"Falta Precio",SUMIF(Precio_Productos!L:L,E667,Precio_Productos!J:J)))</f>
        <v/>
      </c>
      <c r="O667" s="86"/>
      <c r="P667" s="86" t="str">
        <f>IFERROR(__xludf.DUMMYFUNCTION("IF(OR(F667=""Selecciona.."",F667=""""),"""",TRANSPOSE(filter(Familias!C:C,Familias!D:D=F667)))"),"")</f>
        <v/>
      </c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</row>
    <row r="668">
      <c r="A668" s="4" t="str">
        <f t="shared" si="1"/>
        <v/>
      </c>
      <c r="B668" s="4"/>
      <c r="C668" s="4"/>
      <c r="D668" s="4"/>
      <c r="E668" s="94"/>
      <c r="F668" s="4" t="str">
        <f t="shared" si="2"/>
        <v/>
      </c>
      <c r="G668" s="2" t="str">
        <f t="shared" si="3"/>
        <v/>
      </c>
      <c r="H668" s="2" t="str">
        <f>IF(G668="","",SUMIF(Familias!C:C,G668,Familias!E:E))</f>
        <v/>
      </c>
      <c r="I668" s="4" t="str">
        <f>IF(A668="","",COUNTIF(Prod_Prop!B:B,A668))</f>
        <v/>
      </c>
      <c r="J668" s="92" t="str">
        <f>IF(E668="","",IF(SUMIF(Precio_Productos!L:L,E668,Precio_Productos!J:J)=0,"Falta Precio",SUMIF(Precio_Productos!L:L,E668,Precio_Productos!J:J)))</f>
        <v/>
      </c>
      <c r="O668" s="86"/>
      <c r="P668" s="86" t="str">
        <f>IFERROR(__xludf.DUMMYFUNCTION("IF(OR(F668=""Selecciona.."",F668=""""),"""",TRANSPOSE(filter(Familias!C:C,Familias!D:D=F668)))"),"")</f>
        <v/>
      </c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</row>
    <row r="669">
      <c r="A669" s="4" t="str">
        <f t="shared" si="1"/>
        <v/>
      </c>
      <c r="B669" s="4"/>
      <c r="C669" s="4"/>
      <c r="D669" s="4"/>
      <c r="E669" s="94"/>
      <c r="F669" s="4" t="str">
        <f t="shared" si="2"/>
        <v/>
      </c>
      <c r="G669" s="2" t="str">
        <f t="shared" si="3"/>
        <v/>
      </c>
      <c r="H669" s="2" t="str">
        <f>IF(G669="","",SUMIF(Familias!C:C,G669,Familias!E:E))</f>
        <v/>
      </c>
      <c r="I669" s="4" t="str">
        <f>IF(A669="","",COUNTIF(Prod_Prop!B:B,A669))</f>
        <v/>
      </c>
      <c r="J669" s="92" t="str">
        <f>IF(E669="","",IF(SUMIF(Precio_Productos!L:L,E669,Precio_Productos!J:J)=0,"Falta Precio",SUMIF(Precio_Productos!L:L,E669,Precio_Productos!J:J)))</f>
        <v/>
      </c>
      <c r="O669" s="86"/>
      <c r="P669" s="86" t="str">
        <f>IFERROR(__xludf.DUMMYFUNCTION("IF(OR(F669=""Selecciona.."",F669=""""),"""",TRANSPOSE(filter(Familias!C:C,Familias!D:D=F669)))"),"")</f>
        <v/>
      </c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</row>
    <row r="670">
      <c r="A670" s="4" t="str">
        <f t="shared" si="1"/>
        <v/>
      </c>
      <c r="B670" s="4"/>
      <c r="C670" s="4"/>
      <c r="D670" s="4"/>
      <c r="E670" s="94"/>
      <c r="F670" s="4" t="str">
        <f t="shared" si="2"/>
        <v/>
      </c>
      <c r="G670" s="2" t="str">
        <f t="shared" si="3"/>
        <v/>
      </c>
      <c r="H670" s="2" t="str">
        <f>IF(G670="","",SUMIF(Familias!C:C,G670,Familias!E:E))</f>
        <v/>
      </c>
      <c r="I670" s="4" t="str">
        <f>IF(A670="","",COUNTIF(Prod_Prop!B:B,A670))</f>
        <v/>
      </c>
      <c r="J670" s="92" t="str">
        <f>IF(E670="","",IF(SUMIF(Precio_Productos!L:L,E670,Precio_Productos!J:J)=0,"Falta Precio",SUMIF(Precio_Productos!L:L,E670,Precio_Productos!J:J)))</f>
        <v/>
      </c>
      <c r="O670" s="86"/>
      <c r="P670" s="86" t="str">
        <f>IFERROR(__xludf.DUMMYFUNCTION("IF(OR(F670=""Selecciona.."",F670=""""),"""",TRANSPOSE(filter(Familias!C:C,Familias!D:D=F670)))"),"")</f>
        <v/>
      </c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</row>
    <row r="671">
      <c r="A671" s="4" t="str">
        <f t="shared" si="1"/>
        <v/>
      </c>
      <c r="B671" s="4"/>
      <c r="C671" s="4"/>
      <c r="D671" s="4"/>
      <c r="E671" s="94"/>
      <c r="F671" s="4" t="str">
        <f t="shared" si="2"/>
        <v/>
      </c>
      <c r="G671" s="2" t="str">
        <f t="shared" si="3"/>
        <v/>
      </c>
      <c r="H671" s="2" t="str">
        <f>IF(G671="","",SUMIF(Familias!C:C,G671,Familias!E:E))</f>
        <v/>
      </c>
      <c r="I671" s="4" t="str">
        <f>IF(A671="","",COUNTIF(Prod_Prop!B:B,A671))</f>
        <v/>
      </c>
      <c r="J671" s="92" t="str">
        <f>IF(E671="","",IF(SUMIF(Precio_Productos!L:L,E671,Precio_Productos!J:J)=0,"Falta Precio",SUMIF(Precio_Productos!L:L,E671,Precio_Productos!J:J)))</f>
        <v/>
      </c>
      <c r="O671" s="86"/>
      <c r="P671" s="86" t="str">
        <f>IFERROR(__xludf.DUMMYFUNCTION("IF(OR(F671=""Selecciona.."",F671=""""),"""",TRANSPOSE(filter(Familias!C:C,Familias!D:D=F671)))"),"")</f>
        <v/>
      </c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</row>
    <row r="672">
      <c r="A672" s="4" t="str">
        <f t="shared" si="1"/>
        <v/>
      </c>
      <c r="B672" s="4"/>
      <c r="C672" s="4"/>
      <c r="D672" s="4"/>
      <c r="E672" s="94"/>
      <c r="F672" s="4" t="str">
        <f t="shared" si="2"/>
        <v/>
      </c>
      <c r="G672" s="2" t="str">
        <f t="shared" si="3"/>
        <v/>
      </c>
      <c r="H672" s="2" t="str">
        <f>IF(G672="","",SUMIF(Familias!C:C,G672,Familias!E:E))</f>
        <v/>
      </c>
      <c r="I672" s="4" t="str">
        <f>IF(A672="","",COUNTIF(Prod_Prop!B:B,A672))</f>
        <v/>
      </c>
      <c r="J672" s="92" t="str">
        <f>IF(E672="","",IF(SUMIF(Precio_Productos!L:L,E672,Precio_Productos!J:J)=0,"Falta Precio",SUMIF(Precio_Productos!L:L,E672,Precio_Productos!J:J)))</f>
        <v/>
      </c>
      <c r="O672" s="86"/>
      <c r="P672" s="86" t="str">
        <f>IFERROR(__xludf.DUMMYFUNCTION("IF(OR(F672=""Selecciona.."",F672=""""),"""",TRANSPOSE(filter(Familias!C:C,Familias!D:D=F672)))"),"")</f>
        <v/>
      </c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</row>
    <row r="673">
      <c r="A673" s="4" t="str">
        <f t="shared" si="1"/>
        <v/>
      </c>
      <c r="B673" s="4"/>
      <c r="C673" s="4"/>
      <c r="D673" s="4"/>
      <c r="E673" s="94"/>
      <c r="F673" s="4" t="str">
        <f t="shared" si="2"/>
        <v/>
      </c>
      <c r="G673" s="2" t="str">
        <f t="shared" si="3"/>
        <v/>
      </c>
      <c r="H673" s="2" t="str">
        <f>IF(G673="","",SUMIF(Familias!C:C,G673,Familias!E:E))</f>
        <v/>
      </c>
      <c r="I673" s="4" t="str">
        <f>IF(A673="","",COUNTIF(Prod_Prop!B:B,A673))</f>
        <v/>
      </c>
      <c r="J673" s="92" t="str">
        <f>IF(E673="","",IF(SUMIF(Precio_Productos!L:L,E673,Precio_Productos!J:J)=0,"Falta Precio",SUMIF(Precio_Productos!L:L,E673,Precio_Productos!J:J)))</f>
        <v/>
      </c>
      <c r="O673" s="86"/>
      <c r="P673" s="86" t="str">
        <f>IFERROR(__xludf.DUMMYFUNCTION("IF(OR(F673=""Selecciona.."",F673=""""),"""",TRANSPOSE(filter(Familias!C:C,Familias!D:D=F673)))"),"")</f>
        <v/>
      </c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</row>
    <row r="674">
      <c r="A674" s="4" t="str">
        <f t="shared" si="1"/>
        <v/>
      </c>
      <c r="B674" s="4"/>
      <c r="C674" s="4"/>
      <c r="D674" s="4"/>
      <c r="E674" s="94"/>
      <c r="F674" s="4" t="str">
        <f t="shared" si="2"/>
        <v/>
      </c>
      <c r="G674" s="2" t="str">
        <f t="shared" si="3"/>
        <v/>
      </c>
      <c r="H674" s="2" t="str">
        <f>IF(G674="","",SUMIF(Familias!C:C,G674,Familias!E:E))</f>
        <v/>
      </c>
      <c r="I674" s="4" t="str">
        <f>IF(A674="","",COUNTIF(Prod_Prop!B:B,A674))</f>
        <v/>
      </c>
      <c r="J674" s="92" t="str">
        <f>IF(E674="","",IF(SUMIF(Precio_Productos!L:L,E674,Precio_Productos!J:J)=0,"Falta Precio",SUMIF(Precio_Productos!L:L,E674,Precio_Productos!J:J)))</f>
        <v/>
      </c>
      <c r="O674" s="86"/>
      <c r="P674" s="86" t="str">
        <f>IFERROR(__xludf.DUMMYFUNCTION("IF(OR(F674=""Selecciona.."",F674=""""),"""",TRANSPOSE(filter(Familias!C:C,Familias!D:D=F674)))"),"")</f>
        <v/>
      </c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</row>
    <row r="675">
      <c r="A675" s="4" t="str">
        <f t="shared" si="1"/>
        <v/>
      </c>
      <c r="B675" s="4"/>
      <c r="C675" s="4"/>
      <c r="D675" s="4"/>
      <c r="E675" s="94"/>
      <c r="F675" s="4" t="str">
        <f t="shared" si="2"/>
        <v/>
      </c>
      <c r="G675" s="2" t="str">
        <f t="shared" si="3"/>
        <v/>
      </c>
      <c r="H675" s="2" t="str">
        <f>IF(G675="","",SUMIF(Familias!C:C,G675,Familias!E:E))</f>
        <v/>
      </c>
      <c r="I675" s="4" t="str">
        <f>IF(A675="","",COUNTIF(Prod_Prop!B:B,A675))</f>
        <v/>
      </c>
      <c r="J675" s="92" t="str">
        <f>IF(E675="","",IF(SUMIF(Precio_Productos!L:L,E675,Precio_Productos!J:J)=0,"Falta Precio",SUMIF(Precio_Productos!L:L,E675,Precio_Productos!J:J)))</f>
        <v/>
      </c>
      <c r="O675" s="86"/>
      <c r="P675" s="86" t="str">
        <f>IFERROR(__xludf.DUMMYFUNCTION("IF(OR(F675=""Selecciona.."",F675=""""),"""",TRANSPOSE(filter(Familias!C:C,Familias!D:D=F675)))"),"")</f>
        <v/>
      </c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</row>
    <row r="676">
      <c r="A676" s="4" t="str">
        <f t="shared" si="1"/>
        <v/>
      </c>
      <c r="B676" s="4"/>
      <c r="C676" s="4"/>
      <c r="D676" s="4"/>
      <c r="E676" s="94"/>
      <c r="F676" s="4" t="str">
        <f t="shared" si="2"/>
        <v/>
      </c>
      <c r="G676" s="2" t="str">
        <f t="shared" si="3"/>
        <v/>
      </c>
      <c r="H676" s="2" t="str">
        <f>IF(G676="","",SUMIF(Familias!C:C,G676,Familias!E:E))</f>
        <v/>
      </c>
      <c r="I676" s="4" t="str">
        <f>IF(A676="","",COUNTIF(Prod_Prop!B:B,A676))</f>
        <v/>
      </c>
      <c r="J676" s="92" t="str">
        <f>IF(E676="","",IF(SUMIF(Precio_Productos!L:L,E676,Precio_Productos!J:J)=0,"Falta Precio",SUMIF(Precio_Productos!L:L,E676,Precio_Productos!J:J)))</f>
        <v/>
      </c>
      <c r="O676" s="86"/>
      <c r="P676" s="86" t="str">
        <f>IFERROR(__xludf.DUMMYFUNCTION("IF(OR(F676=""Selecciona.."",F676=""""),"""",TRANSPOSE(filter(Familias!C:C,Familias!D:D=F676)))"),"")</f>
        <v/>
      </c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</row>
    <row r="677">
      <c r="A677" s="4" t="str">
        <f t="shared" si="1"/>
        <v/>
      </c>
      <c r="B677" s="4"/>
      <c r="C677" s="4"/>
      <c r="D677" s="4"/>
      <c r="E677" s="94"/>
      <c r="F677" s="4" t="str">
        <f t="shared" si="2"/>
        <v/>
      </c>
      <c r="G677" s="2" t="str">
        <f t="shared" si="3"/>
        <v/>
      </c>
      <c r="H677" s="2" t="str">
        <f>IF(G677="","",SUMIF(Familias!C:C,G677,Familias!E:E))</f>
        <v/>
      </c>
      <c r="I677" s="4" t="str">
        <f>IF(A677="","",COUNTIF(Prod_Prop!B:B,A677))</f>
        <v/>
      </c>
      <c r="J677" s="92" t="str">
        <f>IF(E677="","",IF(SUMIF(Precio_Productos!L:L,E677,Precio_Productos!J:J)=0,"Falta Precio",SUMIF(Precio_Productos!L:L,E677,Precio_Productos!J:J)))</f>
        <v/>
      </c>
      <c r="O677" s="86"/>
      <c r="P677" s="86" t="str">
        <f>IFERROR(__xludf.DUMMYFUNCTION("IF(OR(F677=""Selecciona.."",F677=""""),"""",TRANSPOSE(filter(Familias!C:C,Familias!D:D=F677)))"),"")</f>
        <v/>
      </c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</row>
    <row r="678">
      <c r="A678" s="4" t="str">
        <f t="shared" si="1"/>
        <v/>
      </c>
      <c r="B678" s="4"/>
      <c r="C678" s="4"/>
      <c r="D678" s="4"/>
      <c r="E678" s="94"/>
      <c r="F678" s="4" t="str">
        <f t="shared" si="2"/>
        <v/>
      </c>
      <c r="G678" s="2" t="str">
        <f t="shared" si="3"/>
        <v/>
      </c>
      <c r="H678" s="2" t="str">
        <f>IF(G678="","",SUMIF(Familias!C:C,G678,Familias!E:E))</f>
        <v/>
      </c>
      <c r="I678" s="4" t="str">
        <f>IF(A678="","",COUNTIF(Prod_Prop!B:B,A678))</f>
        <v/>
      </c>
      <c r="J678" s="92" t="str">
        <f>IF(E678="","",IF(SUMIF(Precio_Productos!L:L,E678,Precio_Productos!J:J)=0,"Falta Precio",SUMIF(Precio_Productos!L:L,E678,Precio_Productos!J:J)))</f>
        <v/>
      </c>
      <c r="O678" s="86"/>
      <c r="P678" s="86" t="str">
        <f>IFERROR(__xludf.DUMMYFUNCTION("IF(OR(F678=""Selecciona.."",F678=""""),"""",TRANSPOSE(filter(Familias!C:C,Familias!D:D=F678)))"),"")</f>
        <v/>
      </c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</row>
    <row r="679">
      <c r="A679" s="4" t="str">
        <f t="shared" si="1"/>
        <v/>
      </c>
      <c r="B679" s="4"/>
      <c r="C679" s="4"/>
      <c r="D679" s="4"/>
      <c r="E679" s="94"/>
      <c r="F679" s="4" t="str">
        <f t="shared" si="2"/>
        <v/>
      </c>
      <c r="G679" s="2" t="str">
        <f t="shared" si="3"/>
        <v/>
      </c>
      <c r="H679" s="2" t="str">
        <f>IF(G679="","",SUMIF(Familias!C:C,G679,Familias!E:E))</f>
        <v/>
      </c>
      <c r="I679" s="4" t="str">
        <f>IF(A679="","",COUNTIF(Prod_Prop!B:B,A679))</f>
        <v/>
      </c>
      <c r="J679" s="92" t="str">
        <f>IF(E679="","",IF(SUMIF(Precio_Productos!L:L,E679,Precio_Productos!J:J)=0,"Falta Precio",SUMIF(Precio_Productos!L:L,E679,Precio_Productos!J:J)))</f>
        <v/>
      </c>
      <c r="O679" s="86"/>
      <c r="P679" s="86" t="str">
        <f>IFERROR(__xludf.DUMMYFUNCTION("IF(OR(F679=""Selecciona.."",F679=""""),"""",TRANSPOSE(filter(Familias!C:C,Familias!D:D=F679)))"),"")</f>
        <v/>
      </c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</row>
    <row r="680">
      <c r="A680" s="4" t="str">
        <f t="shared" si="1"/>
        <v/>
      </c>
      <c r="B680" s="4"/>
      <c r="C680" s="4"/>
      <c r="D680" s="4"/>
      <c r="E680" s="94"/>
      <c r="F680" s="4" t="str">
        <f t="shared" si="2"/>
        <v/>
      </c>
      <c r="G680" s="2" t="str">
        <f t="shared" si="3"/>
        <v/>
      </c>
      <c r="H680" s="2" t="str">
        <f>IF(G680="","",SUMIF(Familias!C:C,G680,Familias!E:E))</f>
        <v/>
      </c>
      <c r="I680" s="4" t="str">
        <f>IF(A680="","",COUNTIF(Prod_Prop!B:B,A680))</f>
        <v/>
      </c>
      <c r="J680" s="92" t="str">
        <f>IF(E680="","",IF(SUMIF(Precio_Productos!L:L,E680,Precio_Productos!J:J)=0,"Falta Precio",SUMIF(Precio_Productos!L:L,E680,Precio_Productos!J:J)))</f>
        <v/>
      </c>
      <c r="O680" s="86"/>
      <c r="P680" s="86" t="str">
        <f>IFERROR(__xludf.DUMMYFUNCTION("IF(OR(F680=""Selecciona.."",F680=""""),"""",TRANSPOSE(filter(Familias!C:C,Familias!D:D=F680)))"),"")</f>
        <v/>
      </c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</row>
    <row r="681">
      <c r="A681" s="4" t="str">
        <f t="shared" si="1"/>
        <v/>
      </c>
      <c r="B681" s="4"/>
      <c r="C681" s="4"/>
      <c r="D681" s="4"/>
      <c r="E681" s="94"/>
      <c r="F681" s="4" t="str">
        <f t="shared" si="2"/>
        <v/>
      </c>
      <c r="G681" s="2" t="str">
        <f t="shared" si="3"/>
        <v/>
      </c>
      <c r="H681" s="2" t="str">
        <f>IF(G681="","",SUMIF(Familias!C:C,G681,Familias!E:E))</f>
        <v/>
      </c>
      <c r="I681" s="4" t="str">
        <f>IF(A681="","",COUNTIF(Prod_Prop!B:B,A681))</f>
        <v/>
      </c>
      <c r="J681" s="92" t="str">
        <f>IF(E681="","",IF(SUMIF(Precio_Productos!L:L,E681,Precio_Productos!J:J)=0,"Falta Precio",SUMIF(Precio_Productos!L:L,E681,Precio_Productos!J:J)))</f>
        <v/>
      </c>
      <c r="O681" s="86"/>
      <c r="P681" s="86" t="str">
        <f>IFERROR(__xludf.DUMMYFUNCTION("IF(OR(F681=""Selecciona.."",F681=""""),"""",TRANSPOSE(filter(Familias!C:C,Familias!D:D=F681)))"),"")</f>
        <v/>
      </c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</row>
    <row r="682">
      <c r="A682" s="4" t="str">
        <f t="shared" si="1"/>
        <v/>
      </c>
      <c r="B682" s="4"/>
      <c r="C682" s="4"/>
      <c r="D682" s="4"/>
      <c r="E682" s="94"/>
      <c r="F682" s="4" t="str">
        <f t="shared" si="2"/>
        <v/>
      </c>
      <c r="G682" s="2" t="str">
        <f t="shared" si="3"/>
        <v/>
      </c>
      <c r="H682" s="2" t="str">
        <f>IF(G682="","",SUMIF(Familias!C:C,G682,Familias!E:E))</f>
        <v/>
      </c>
      <c r="I682" s="4" t="str">
        <f>IF(A682="","",COUNTIF(Prod_Prop!B:B,A682))</f>
        <v/>
      </c>
      <c r="J682" s="92" t="str">
        <f>IF(E682="","",IF(SUMIF(Precio_Productos!L:L,E682,Precio_Productos!J:J)=0,"Falta Precio",SUMIF(Precio_Productos!L:L,E682,Precio_Productos!J:J)))</f>
        <v/>
      </c>
      <c r="O682" s="86"/>
      <c r="P682" s="86" t="str">
        <f>IFERROR(__xludf.DUMMYFUNCTION("IF(OR(F682=""Selecciona.."",F682=""""),"""",TRANSPOSE(filter(Familias!C:C,Familias!D:D=F682)))"),"")</f>
        <v/>
      </c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</row>
    <row r="683">
      <c r="A683" s="4" t="str">
        <f t="shared" si="1"/>
        <v/>
      </c>
      <c r="B683" s="4"/>
      <c r="C683" s="4"/>
      <c r="D683" s="4"/>
      <c r="E683" s="94"/>
      <c r="F683" s="4" t="str">
        <f t="shared" si="2"/>
        <v/>
      </c>
      <c r="G683" s="2" t="str">
        <f t="shared" si="3"/>
        <v/>
      </c>
      <c r="H683" s="2" t="str">
        <f>IF(G683="","",SUMIF(Familias!C:C,G683,Familias!E:E))</f>
        <v/>
      </c>
      <c r="I683" s="4" t="str">
        <f>IF(A683="","",COUNTIF(Prod_Prop!B:B,A683))</f>
        <v/>
      </c>
      <c r="J683" s="92" t="str">
        <f>IF(E683="","",IF(SUMIF(Precio_Productos!L:L,E683,Precio_Productos!J:J)=0,"Falta Precio",SUMIF(Precio_Productos!L:L,E683,Precio_Productos!J:J)))</f>
        <v/>
      </c>
      <c r="O683" s="86"/>
      <c r="P683" s="86" t="str">
        <f>IFERROR(__xludf.DUMMYFUNCTION("IF(OR(F683=""Selecciona.."",F683=""""),"""",TRANSPOSE(filter(Familias!C:C,Familias!D:D=F683)))"),"")</f>
        <v/>
      </c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</row>
    <row r="684">
      <c r="A684" s="4" t="str">
        <f t="shared" si="1"/>
        <v/>
      </c>
      <c r="B684" s="4"/>
      <c r="C684" s="4"/>
      <c r="D684" s="4"/>
      <c r="E684" s="94"/>
      <c r="F684" s="4" t="str">
        <f t="shared" si="2"/>
        <v/>
      </c>
      <c r="G684" s="2" t="str">
        <f t="shared" si="3"/>
        <v/>
      </c>
      <c r="H684" s="2" t="str">
        <f>IF(G684="","",SUMIF(Familias!C:C,G684,Familias!E:E))</f>
        <v/>
      </c>
      <c r="I684" s="4" t="str">
        <f>IF(A684="","",COUNTIF(Prod_Prop!B:B,A684))</f>
        <v/>
      </c>
      <c r="J684" s="92" t="str">
        <f>IF(E684="","",IF(SUMIF(Precio_Productos!L:L,E684,Precio_Productos!J:J)=0,"Falta Precio",SUMIF(Precio_Productos!L:L,E684,Precio_Productos!J:J)))</f>
        <v/>
      </c>
      <c r="O684" s="86"/>
      <c r="P684" s="86" t="str">
        <f>IFERROR(__xludf.DUMMYFUNCTION("IF(OR(F684=""Selecciona.."",F684=""""),"""",TRANSPOSE(filter(Familias!C:C,Familias!D:D=F684)))"),"")</f>
        <v/>
      </c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</row>
    <row r="685">
      <c r="A685" s="4" t="str">
        <f t="shared" si="1"/>
        <v/>
      </c>
      <c r="B685" s="4"/>
      <c r="C685" s="4"/>
      <c r="D685" s="4"/>
      <c r="E685" s="94"/>
      <c r="F685" s="4" t="str">
        <f t="shared" si="2"/>
        <v/>
      </c>
      <c r="G685" s="2" t="str">
        <f t="shared" si="3"/>
        <v/>
      </c>
      <c r="H685" s="2" t="str">
        <f>IF(G685="","",SUMIF(Familias!C:C,G685,Familias!E:E))</f>
        <v/>
      </c>
      <c r="I685" s="4" t="str">
        <f>IF(A685="","",COUNTIF(Prod_Prop!B:B,A685))</f>
        <v/>
      </c>
      <c r="J685" s="92" t="str">
        <f>IF(E685="","",IF(SUMIF(Precio_Productos!L:L,E685,Precio_Productos!J:J)=0,"Falta Precio",SUMIF(Precio_Productos!L:L,E685,Precio_Productos!J:J)))</f>
        <v/>
      </c>
      <c r="O685" s="86"/>
      <c r="P685" s="86" t="str">
        <f>IFERROR(__xludf.DUMMYFUNCTION("IF(OR(F685=""Selecciona.."",F685=""""),"""",TRANSPOSE(filter(Familias!C:C,Familias!D:D=F685)))"),"")</f>
        <v/>
      </c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</row>
    <row r="686">
      <c r="A686" s="4" t="str">
        <f t="shared" si="1"/>
        <v/>
      </c>
      <c r="B686" s="4"/>
      <c r="C686" s="4"/>
      <c r="D686" s="4"/>
      <c r="E686" s="94"/>
      <c r="F686" s="4" t="str">
        <f t="shared" si="2"/>
        <v/>
      </c>
      <c r="G686" s="2" t="str">
        <f t="shared" si="3"/>
        <v/>
      </c>
      <c r="H686" s="2" t="str">
        <f>IF(G686="","",SUMIF(Familias!C:C,G686,Familias!E:E))</f>
        <v/>
      </c>
      <c r="I686" s="4" t="str">
        <f>IF(A686="","",COUNTIF(Prod_Prop!B:B,A686))</f>
        <v/>
      </c>
      <c r="J686" s="92" t="str">
        <f>IF(E686="","",IF(SUMIF(Precio_Productos!L:L,E686,Precio_Productos!J:J)=0,"Falta Precio",SUMIF(Precio_Productos!L:L,E686,Precio_Productos!J:J)))</f>
        <v/>
      </c>
      <c r="O686" s="86"/>
      <c r="P686" s="86" t="str">
        <f>IFERROR(__xludf.DUMMYFUNCTION("IF(OR(F686=""Selecciona.."",F686=""""),"""",TRANSPOSE(filter(Familias!C:C,Familias!D:D=F686)))"),"")</f>
        <v/>
      </c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</row>
    <row r="687">
      <c r="A687" s="4" t="str">
        <f t="shared" si="1"/>
        <v/>
      </c>
      <c r="B687" s="4"/>
      <c r="C687" s="4"/>
      <c r="D687" s="4"/>
      <c r="E687" s="94"/>
      <c r="F687" s="4" t="str">
        <f t="shared" si="2"/>
        <v/>
      </c>
      <c r="G687" s="2" t="str">
        <f t="shared" si="3"/>
        <v/>
      </c>
      <c r="H687" s="2" t="str">
        <f>IF(G687="","",SUMIF(Familias!C:C,G687,Familias!E:E))</f>
        <v/>
      </c>
      <c r="I687" s="4" t="str">
        <f>IF(A687="","",COUNTIF(Prod_Prop!B:B,A687))</f>
        <v/>
      </c>
      <c r="J687" s="92" t="str">
        <f>IF(E687="","",IF(SUMIF(Precio_Productos!L:L,E687,Precio_Productos!J:J)=0,"Falta Precio",SUMIF(Precio_Productos!L:L,E687,Precio_Productos!J:J)))</f>
        <v/>
      </c>
      <c r="O687" s="86"/>
      <c r="P687" s="86" t="str">
        <f>IFERROR(__xludf.DUMMYFUNCTION("IF(OR(F687=""Selecciona.."",F687=""""),"""",TRANSPOSE(filter(Familias!C:C,Familias!D:D=F687)))"),"")</f>
        <v/>
      </c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</row>
    <row r="688">
      <c r="A688" s="4" t="str">
        <f t="shared" si="1"/>
        <v/>
      </c>
      <c r="B688" s="4"/>
      <c r="C688" s="4"/>
      <c r="D688" s="4"/>
      <c r="E688" s="94"/>
      <c r="F688" s="4" t="str">
        <f t="shared" si="2"/>
        <v/>
      </c>
      <c r="G688" s="2" t="str">
        <f t="shared" si="3"/>
        <v/>
      </c>
      <c r="H688" s="2" t="str">
        <f>IF(G688="","",SUMIF(Familias!C:C,G688,Familias!E:E))</f>
        <v/>
      </c>
      <c r="I688" s="4" t="str">
        <f>IF(A688="","",COUNTIF(Prod_Prop!B:B,A688))</f>
        <v/>
      </c>
      <c r="J688" s="92" t="str">
        <f>IF(E688="","",IF(SUMIF(Precio_Productos!L:L,E688,Precio_Productos!J:J)=0,"Falta Precio",SUMIF(Precio_Productos!L:L,E688,Precio_Productos!J:J)))</f>
        <v/>
      </c>
      <c r="O688" s="86"/>
      <c r="P688" s="86" t="str">
        <f>IFERROR(__xludf.DUMMYFUNCTION("IF(OR(F688=""Selecciona.."",F688=""""),"""",TRANSPOSE(filter(Familias!C:C,Familias!D:D=F688)))"),"")</f>
        <v/>
      </c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</row>
    <row r="689">
      <c r="A689" s="4" t="str">
        <f t="shared" si="1"/>
        <v/>
      </c>
      <c r="B689" s="4"/>
      <c r="C689" s="4"/>
      <c r="D689" s="4"/>
      <c r="E689" s="94"/>
      <c r="F689" s="4" t="str">
        <f t="shared" si="2"/>
        <v/>
      </c>
      <c r="G689" s="2" t="str">
        <f t="shared" si="3"/>
        <v/>
      </c>
      <c r="H689" s="2" t="str">
        <f>IF(G689="","",SUMIF(Familias!C:C,G689,Familias!E:E))</f>
        <v/>
      </c>
      <c r="I689" s="4" t="str">
        <f>IF(A689="","",COUNTIF(Prod_Prop!B:B,A689))</f>
        <v/>
      </c>
      <c r="J689" s="92" t="str">
        <f>IF(E689="","",IF(SUMIF(Precio_Productos!L:L,E689,Precio_Productos!J:J)=0,"Falta Precio",SUMIF(Precio_Productos!L:L,E689,Precio_Productos!J:J)))</f>
        <v/>
      </c>
      <c r="O689" s="86"/>
      <c r="P689" s="86" t="str">
        <f>IFERROR(__xludf.DUMMYFUNCTION("IF(OR(F689=""Selecciona.."",F689=""""),"""",TRANSPOSE(filter(Familias!C:C,Familias!D:D=F689)))"),"")</f>
        <v/>
      </c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</row>
    <row r="690">
      <c r="A690" s="4" t="str">
        <f t="shared" si="1"/>
        <v/>
      </c>
      <c r="B690" s="4"/>
      <c r="C690" s="4"/>
      <c r="D690" s="4"/>
      <c r="E690" s="94"/>
      <c r="F690" s="4" t="str">
        <f t="shared" si="2"/>
        <v/>
      </c>
      <c r="G690" s="2" t="str">
        <f t="shared" si="3"/>
        <v/>
      </c>
      <c r="H690" s="2" t="str">
        <f>IF(G690="","",SUMIF(Familias!C:C,G690,Familias!E:E))</f>
        <v/>
      </c>
      <c r="I690" s="4" t="str">
        <f>IF(A690="","",COUNTIF(Prod_Prop!B:B,A690))</f>
        <v/>
      </c>
      <c r="J690" s="92" t="str">
        <f>IF(E690="","",IF(SUMIF(Precio_Productos!L:L,E690,Precio_Productos!J:J)=0,"Falta Precio",SUMIF(Precio_Productos!L:L,E690,Precio_Productos!J:J)))</f>
        <v/>
      </c>
      <c r="O690" s="86"/>
      <c r="P690" s="86" t="str">
        <f>IFERROR(__xludf.DUMMYFUNCTION("IF(OR(F690=""Selecciona.."",F690=""""),"""",TRANSPOSE(filter(Familias!C:C,Familias!D:D=F690)))"),"")</f>
        <v/>
      </c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</row>
    <row r="691">
      <c r="A691" s="4" t="str">
        <f t="shared" si="1"/>
        <v/>
      </c>
      <c r="B691" s="4"/>
      <c r="C691" s="4"/>
      <c r="D691" s="4"/>
      <c r="E691" s="94"/>
      <c r="F691" s="4" t="str">
        <f t="shared" si="2"/>
        <v/>
      </c>
      <c r="G691" s="2" t="str">
        <f t="shared" si="3"/>
        <v/>
      </c>
      <c r="H691" s="2" t="str">
        <f>IF(G691="","",SUMIF(Familias!C:C,G691,Familias!E:E))</f>
        <v/>
      </c>
      <c r="I691" s="4" t="str">
        <f>IF(A691="","",COUNTIF(Prod_Prop!B:B,A691))</f>
        <v/>
      </c>
      <c r="J691" s="92" t="str">
        <f>IF(E691="","",IF(SUMIF(Precio_Productos!L:L,E691,Precio_Productos!J:J)=0,"Falta Precio",SUMIF(Precio_Productos!L:L,E691,Precio_Productos!J:J)))</f>
        <v/>
      </c>
      <c r="O691" s="86"/>
      <c r="P691" s="86" t="str">
        <f>IFERROR(__xludf.DUMMYFUNCTION("IF(OR(F691=""Selecciona.."",F691=""""),"""",TRANSPOSE(filter(Familias!C:C,Familias!D:D=F691)))"),"")</f>
        <v/>
      </c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</row>
    <row r="692">
      <c r="A692" s="4" t="str">
        <f t="shared" si="1"/>
        <v/>
      </c>
      <c r="B692" s="4"/>
      <c r="C692" s="4"/>
      <c r="D692" s="4"/>
      <c r="E692" s="94"/>
      <c r="F692" s="4" t="str">
        <f t="shared" si="2"/>
        <v/>
      </c>
      <c r="G692" s="2" t="str">
        <f t="shared" si="3"/>
        <v/>
      </c>
      <c r="H692" s="2" t="str">
        <f>IF(G692="","",SUMIF(Familias!C:C,G692,Familias!E:E))</f>
        <v/>
      </c>
      <c r="I692" s="4" t="str">
        <f>IF(A692="","",COUNTIF(Prod_Prop!B:B,A692))</f>
        <v/>
      </c>
      <c r="J692" s="92" t="str">
        <f>IF(E692="","",IF(SUMIF(Precio_Productos!L:L,E692,Precio_Productos!J:J)=0,"Falta Precio",SUMIF(Precio_Productos!L:L,E692,Precio_Productos!J:J)))</f>
        <v/>
      </c>
      <c r="O692" s="86"/>
      <c r="P692" s="86" t="str">
        <f>IFERROR(__xludf.DUMMYFUNCTION("IF(OR(F692=""Selecciona.."",F692=""""),"""",TRANSPOSE(filter(Familias!C:C,Familias!D:D=F692)))"),"")</f>
        <v/>
      </c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</row>
    <row r="693">
      <c r="A693" s="4" t="str">
        <f t="shared" si="1"/>
        <v/>
      </c>
      <c r="B693" s="4"/>
      <c r="C693" s="4"/>
      <c r="D693" s="4"/>
      <c r="E693" s="94"/>
      <c r="F693" s="4" t="str">
        <f t="shared" si="2"/>
        <v/>
      </c>
      <c r="G693" s="2" t="str">
        <f t="shared" si="3"/>
        <v/>
      </c>
      <c r="H693" s="2" t="str">
        <f>IF(G693="","",SUMIF(Familias!C:C,G693,Familias!E:E))</f>
        <v/>
      </c>
      <c r="I693" s="4" t="str">
        <f>IF(A693="","",COUNTIF(Prod_Prop!B:B,A693))</f>
        <v/>
      </c>
      <c r="J693" s="92" t="str">
        <f>IF(E693="","",IF(SUMIF(Precio_Productos!L:L,E693,Precio_Productos!J:J)=0,"Falta Precio",SUMIF(Precio_Productos!L:L,E693,Precio_Productos!J:J)))</f>
        <v/>
      </c>
      <c r="O693" s="86"/>
      <c r="P693" s="86" t="str">
        <f>IFERROR(__xludf.DUMMYFUNCTION("IF(OR(F693=""Selecciona.."",F693=""""),"""",TRANSPOSE(filter(Familias!C:C,Familias!D:D=F693)))"),"")</f>
        <v/>
      </c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</row>
    <row r="694">
      <c r="A694" s="4" t="str">
        <f t="shared" si="1"/>
        <v/>
      </c>
      <c r="B694" s="4"/>
      <c r="C694" s="4"/>
      <c r="D694" s="4"/>
      <c r="E694" s="94"/>
      <c r="F694" s="4" t="str">
        <f t="shared" si="2"/>
        <v/>
      </c>
      <c r="G694" s="2" t="str">
        <f t="shared" si="3"/>
        <v/>
      </c>
      <c r="H694" s="2" t="str">
        <f>IF(G694="","",SUMIF(Familias!C:C,G694,Familias!E:E))</f>
        <v/>
      </c>
      <c r="I694" s="4" t="str">
        <f>IF(A694="","",COUNTIF(Prod_Prop!B:B,A694))</f>
        <v/>
      </c>
      <c r="J694" s="92" t="str">
        <f>IF(E694="","",IF(SUMIF(Precio_Productos!L:L,E694,Precio_Productos!J:J)=0,"Falta Precio",SUMIF(Precio_Productos!L:L,E694,Precio_Productos!J:J)))</f>
        <v/>
      </c>
      <c r="O694" s="86"/>
      <c r="P694" s="86" t="str">
        <f>IFERROR(__xludf.DUMMYFUNCTION("IF(OR(F694=""Selecciona.."",F694=""""),"""",TRANSPOSE(filter(Familias!C:C,Familias!D:D=F694)))"),"")</f>
        <v/>
      </c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</row>
    <row r="695">
      <c r="A695" s="4" t="str">
        <f t="shared" si="1"/>
        <v/>
      </c>
      <c r="B695" s="4"/>
      <c r="C695" s="4"/>
      <c r="D695" s="4"/>
      <c r="E695" s="94"/>
      <c r="F695" s="4" t="str">
        <f t="shared" si="2"/>
        <v/>
      </c>
      <c r="G695" s="2" t="str">
        <f t="shared" si="3"/>
        <v/>
      </c>
      <c r="H695" s="2" t="str">
        <f>IF(G695="","",SUMIF(Familias!C:C,G695,Familias!E:E))</f>
        <v/>
      </c>
      <c r="I695" s="4" t="str">
        <f>IF(A695="","",COUNTIF(Prod_Prop!B:B,A695))</f>
        <v/>
      </c>
      <c r="J695" s="92" t="str">
        <f>IF(E695="","",IF(SUMIF(Precio_Productos!L:L,E695,Precio_Productos!J:J)=0,"Falta Precio",SUMIF(Precio_Productos!L:L,E695,Precio_Productos!J:J)))</f>
        <v/>
      </c>
      <c r="O695" s="86"/>
      <c r="P695" s="86" t="str">
        <f>IFERROR(__xludf.DUMMYFUNCTION("IF(OR(F695=""Selecciona.."",F695=""""),"""",TRANSPOSE(filter(Familias!C:C,Familias!D:D=F695)))"),"")</f>
        <v/>
      </c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</row>
    <row r="696">
      <c r="A696" s="4" t="str">
        <f t="shared" si="1"/>
        <v/>
      </c>
      <c r="B696" s="4"/>
      <c r="C696" s="4"/>
      <c r="D696" s="4"/>
      <c r="E696" s="94"/>
      <c r="F696" s="4" t="str">
        <f t="shared" si="2"/>
        <v/>
      </c>
      <c r="G696" s="2" t="str">
        <f t="shared" si="3"/>
        <v/>
      </c>
      <c r="H696" s="2" t="str">
        <f>IF(G696="","",SUMIF(Familias!C:C,G696,Familias!E:E))</f>
        <v/>
      </c>
      <c r="I696" s="4" t="str">
        <f>IF(A696="","",COUNTIF(Prod_Prop!B:B,A696))</f>
        <v/>
      </c>
      <c r="J696" s="92" t="str">
        <f>IF(E696="","",IF(SUMIF(Precio_Productos!L:L,E696,Precio_Productos!J:J)=0,"Falta Precio",SUMIF(Precio_Productos!L:L,E696,Precio_Productos!J:J)))</f>
        <v/>
      </c>
      <c r="O696" s="86"/>
      <c r="P696" s="86" t="str">
        <f>IFERROR(__xludf.DUMMYFUNCTION("IF(OR(F696=""Selecciona.."",F696=""""),"""",TRANSPOSE(filter(Familias!C:C,Familias!D:D=F696)))"),"")</f>
        <v/>
      </c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</row>
    <row r="697">
      <c r="A697" s="4" t="str">
        <f t="shared" si="1"/>
        <v/>
      </c>
      <c r="B697" s="4"/>
      <c r="C697" s="4"/>
      <c r="D697" s="4"/>
      <c r="E697" s="94"/>
      <c r="F697" s="4" t="str">
        <f t="shared" si="2"/>
        <v/>
      </c>
      <c r="G697" s="2" t="str">
        <f t="shared" si="3"/>
        <v/>
      </c>
      <c r="H697" s="2" t="str">
        <f>IF(G697="","",SUMIF(Familias!C:C,G697,Familias!E:E))</f>
        <v/>
      </c>
      <c r="I697" s="4" t="str">
        <f>IF(A697="","",COUNTIF(Prod_Prop!B:B,A697))</f>
        <v/>
      </c>
      <c r="J697" s="92" t="str">
        <f>IF(E697="","",IF(SUMIF(Precio_Productos!L:L,E697,Precio_Productos!J:J)=0,"Falta Precio",SUMIF(Precio_Productos!L:L,E697,Precio_Productos!J:J)))</f>
        <v/>
      </c>
      <c r="O697" s="86"/>
      <c r="P697" s="86" t="str">
        <f>IFERROR(__xludf.DUMMYFUNCTION("IF(OR(F697=""Selecciona.."",F697=""""),"""",TRANSPOSE(filter(Familias!C:C,Familias!D:D=F697)))"),"")</f>
        <v/>
      </c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</row>
    <row r="698">
      <c r="A698" s="4" t="str">
        <f t="shared" si="1"/>
        <v/>
      </c>
      <c r="B698" s="4"/>
      <c r="C698" s="4"/>
      <c r="D698" s="4"/>
      <c r="E698" s="94"/>
      <c r="F698" s="4" t="str">
        <f t="shared" si="2"/>
        <v/>
      </c>
      <c r="G698" s="2" t="str">
        <f t="shared" si="3"/>
        <v/>
      </c>
      <c r="H698" s="2" t="str">
        <f>IF(G698="","",SUMIF(Familias!C:C,G698,Familias!E:E))</f>
        <v/>
      </c>
      <c r="I698" s="4" t="str">
        <f>IF(A698="","",COUNTIF(Prod_Prop!B:B,A698))</f>
        <v/>
      </c>
      <c r="J698" s="92" t="str">
        <f>IF(E698="","",IF(SUMIF(Precio_Productos!L:L,E698,Precio_Productos!J:J)=0,"Falta Precio",SUMIF(Precio_Productos!L:L,E698,Precio_Productos!J:J)))</f>
        <v/>
      </c>
      <c r="O698" s="86"/>
      <c r="P698" s="86" t="str">
        <f>IFERROR(__xludf.DUMMYFUNCTION("IF(OR(F698=""Selecciona.."",F698=""""),"""",TRANSPOSE(filter(Familias!C:C,Familias!D:D=F698)))"),"")</f>
        <v/>
      </c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</row>
    <row r="699">
      <c r="A699" s="4" t="str">
        <f t="shared" si="1"/>
        <v/>
      </c>
      <c r="B699" s="4"/>
      <c r="C699" s="4"/>
      <c r="D699" s="4"/>
      <c r="E699" s="94"/>
      <c r="F699" s="4" t="str">
        <f t="shared" si="2"/>
        <v/>
      </c>
      <c r="G699" s="2" t="str">
        <f t="shared" si="3"/>
        <v/>
      </c>
      <c r="H699" s="2" t="str">
        <f>IF(G699="","",SUMIF(Familias!C:C,G699,Familias!E:E))</f>
        <v/>
      </c>
      <c r="I699" s="4" t="str">
        <f>IF(A699="","",COUNTIF(Prod_Prop!B:B,A699))</f>
        <v/>
      </c>
      <c r="J699" s="92" t="str">
        <f>IF(E699="","",IF(SUMIF(Precio_Productos!L:L,E699,Precio_Productos!J:J)=0,"Falta Precio",SUMIF(Precio_Productos!L:L,E699,Precio_Productos!J:J)))</f>
        <v/>
      </c>
      <c r="O699" s="86"/>
      <c r="P699" s="86" t="str">
        <f>IFERROR(__xludf.DUMMYFUNCTION("IF(OR(F699=""Selecciona.."",F699=""""),"""",TRANSPOSE(filter(Familias!C:C,Familias!D:D=F699)))"),"")</f>
        <v/>
      </c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</row>
    <row r="700">
      <c r="A700" s="4" t="str">
        <f t="shared" si="1"/>
        <v/>
      </c>
      <c r="B700" s="4"/>
      <c r="C700" s="4"/>
      <c r="D700" s="4"/>
      <c r="E700" s="94"/>
      <c r="F700" s="4" t="str">
        <f t="shared" si="2"/>
        <v/>
      </c>
      <c r="G700" s="2" t="str">
        <f t="shared" si="3"/>
        <v/>
      </c>
      <c r="H700" s="2" t="str">
        <f>IF(G700="","",SUMIF(Familias!C:C,G700,Familias!E:E))</f>
        <v/>
      </c>
      <c r="I700" s="4" t="str">
        <f>IF(A700="","",COUNTIF(Prod_Prop!B:B,A700))</f>
        <v/>
      </c>
      <c r="J700" s="92" t="str">
        <f>IF(E700="","",IF(SUMIF(Precio_Productos!L:L,E700,Precio_Productos!J:J)=0,"Falta Precio",SUMIF(Precio_Productos!L:L,E700,Precio_Productos!J:J)))</f>
        <v/>
      </c>
      <c r="O700" s="86"/>
      <c r="P700" s="86" t="str">
        <f>IFERROR(__xludf.DUMMYFUNCTION("IF(OR(F700=""Selecciona.."",F700=""""),"""",TRANSPOSE(filter(Familias!C:C,Familias!D:D=F700)))"),"")</f>
        <v/>
      </c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</row>
    <row r="701">
      <c r="A701" s="4" t="str">
        <f t="shared" si="1"/>
        <v/>
      </c>
      <c r="B701" s="4"/>
      <c r="C701" s="4"/>
      <c r="D701" s="4"/>
      <c r="E701" s="94"/>
      <c r="F701" s="4" t="str">
        <f t="shared" si="2"/>
        <v/>
      </c>
      <c r="G701" s="2" t="str">
        <f t="shared" si="3"/>
        <v/>
      </c>
      <c r="H701" s="2" t="str">
        <f>IF(G701="","",SUMIF(Familias!C:C,G701,Familias!E:E))</f>
        <v/>
      </c>
      <c r="I701" s="4" t="str">
        <f>IF(A701="","",COUNTIF(Prod_Prop!B:B,A701))</f>
        <v/>
      </c>
      <c r="J701" s="92" t="str">
        <f>IF(E701="","",IF(SUMIF(Precio_Productos!L:L,E701,Precio_Productos!J:J)=0,"Falta Precio",SUMIF(Precio_Productos!L:L,E701,Precio_Productos!J:J)))</f>
        <v/>
      </c>
      <c r="O701" s="86"/>
      <c r="P701" s="86" t="str">
        <f>IFERROR(__xludf.DUMMYFUNCTION("IF(OR(F701=""Selecciona.."",F701=""""),"""",TRANSPOSE(filter(Familias!C:C,Familias!D:D=F701)))"),"")</f>
        <v/>
      </c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</row>
    <row r="702">
      <c r="A702" s="4" t="str">
        <f t="shared" si="1"/>
        <v/>
      </c>
      <c r="B702" s="4"/>
      <c r="C702" s="4"/>
      <c r="D702" s="4"/>
      <c r="E702" s="94"/>
      <c r="F702" s="4" t="str">
        <f t="shared" si="2"/>
        <v/>
      </c>
      <c r="G702" s="2" t="str">
        <f t="shared" si="3"/>
        <v/>
      </c>
      <c r="H702" s="2" t="str">
        <f>IF(G702="","",SUMIF(Familias!C:C,G702,Familias!E:E))</f>
        <v/>
      </c>
      <c r="I702" s="4" t="str">
        <f>IF(A702="","",COUNTIF(Prod_Prop!B:B,A702))</f>
        <v/>
      </c>
      <c r="J702" s="92" t="str">
        <f>IF(E702="","",IF(SUMIF(Precio_Productos!L:L,E702,Precio_Productos!J:J)=0,"Falta Precio",SUMIF(Precio_Productos!L:L,E702,Precio_Productos!J:J)))</f>
        <v/>
      </c>
      <c r="O702" s="86"/>
      <c r="P702" s="86" t="str">
        <f>IFERROR(__xludf.DUMMYFUNCTION("IF(OR(F702=""Selecciona.."",F702=""""),"""",TRANSPOSE(filter(Familias!C:C,Familias!D:D=F702)))"),"")</f>
        <v/>
      </c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</row>
    <row r="703">
      <c r="A703" s="4" t="str">
        <f t="shared" si="1"/>
        <v/>
      </c>
      <c r="B703" s="4"/>
      <c r="C703" s="4"/>
      <c r="D703" s="4"/>
      <c r="E703" s="94"/>
      <c r="F703" s="4" t="str">
        <f t="shared" si="2"/>
        <v/>
      </c>
      <c r="G703" s="2" t="str">
        <f t="shared" si="3"/>
        <v/>
      </c>
      <c r="H703" s="2" t="str">
        <f>IF(G703="","",SUMIF(Familias!C:C,G703,Familias!E:E))</f>
        <v/>
      </c>
      <c r="I703" s="4" t="str">
        <f>IF(A703="","",COUNTIF(Prod_Prop!B:B,A703))</f>
        <v/>
      </c>
      <c r="J703" s="92" t="str">
        <f>IF(E703="","",IF(SUMIF(Precio_Productos!L:L,E703,Precio_Productos!J:J)=0,"Falta Precio",SUMIF(Precio_Productos!L:L,E703,Precio_Productos!J:J)))</f>
        <v/>
      </c>
      <c r="O703" s="86"/>
      <c r="P703" s="86" t="str">
        <f>IFERROR(__xludf.DUMMYFUNCTION("IF(OR(F703=""Selecciona.."",F703=""""),"""",TRANSPOSE(filter(Familias!C:C,Familias!D:D=F703)))"),"")</f>
        <v/>
      </c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</row>
    <row r="704">
      <c r="A704" s="4" t="str">
        <f t="shared" si="1"/>
        <v/>
      </c>
      <c r="B704" s="4"/>
      <c r="C704" s="4"/>
      <c r="D704" s="4"/>
      <c r="E704" s="94"/>
      <c r="F704" s="4" t="str">
        <f t="shared" si="2"/>
        <v/>
      </c>
      <c r="G704" s="2" t="str">
        <f t="shared" si="3"/>
        <v/>
      </c>
      <c r="H704" s="2" t="str">
        <f>IF(G704="","",SUMIF(Familias!C:C,G704,Familias!E:E))</f>
        <v/>
      </c>
      <c r="I704" s="4" t="str">
        <f>IF(A704="","",COUNTIF(Prod_Prop!B:B,A704))</f>
        <v/>
      </c>
      <c r="J704" s="92" t="str">
        <f>IF(E704="","",IF(SUMIF(Precio_Productos!L:L,E704,Precio_Productos!J:J)=0,"Falta Precio",SUMIF(Precio_Productos!L:L,E704,Precio_Productos!J:J)))</f>
        <v/>
      </c>
      <c r="O704" s="86"/>
      <c r="P704" s="86" t="str">
        <f>IFERROR(__xludf.DUMMYFUNCTION("IF(OR(F704=""Selecciona.."",F704=""""),"""",TRANSPOSE(filter(Familias!C:C,Familias!D:D=F704)))"),"")</f>
        <v/>
      </c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</row>
    <row r="705">
      <c r="A705" s="4" t="str">
        <f t="shared" si="1"/>
        <v/>
      </c>
      <c r="B705" s="4"/>
      <c r="C705" s="4"/>
      <c r="D705" s="4"/>
      <c r="E705" s="94"/>
      <c r="F705" s="4" t="str">
        <f t="shared" si="2"/>
        <v/>
      </c>
      <c r="G705" s="2" t="str">
        <f t="shared" si="3"/>
        <v/>
      </c>
      <c r="H705" s="2" t="str">
        <f>IF(G705="","",SUMIF(Familias!C:C,G705,Familias!E:E))</f>
        <v/>
      </c>
      <c r="I705" s="4" t="str">
        <f>IF(A705="","",COUNTIF(Prod_Prop!B:B,A705))</f>
        <v/>
      </c>
      <c r="J705" s="92" t="str">
        <f>IF(E705="","",IF(SUMIF(Precio_Productos!L:L,E705,Precio_Productos!J:J)=0,"Falta Precio",SUMIF(Precio_Productos!L:L,E705,Precio_Productos!J:J)))</f>
        <v/>
      </c>
      <c r="O705" s="86"/>
      <c r="P705" s="86" t="str">
        <f>IFERROR(__xludf.DUMMYFUNCTION("IF(OR(F705=""Selecciona.."",F705=""""),"""",TRANSPOSE(filter(Familias!C:C,Familias!D:D=F705)))"),"")</f>
        <v/>
      </c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</row>
    <row r="706">
      <c r="A706" s="4" t="str">
        <f t="shared" si="1"/>
        <v/>
      </c>
      <c r="B706" s="4"/>
      <c r="C706" s="4"/>
      <c r="D706" s="4"/>
      <c r="E706" s="94"/>
      <c r="F706" s="4" t="str">
        <f t="shared" si="2"/>
        <v/>
      </c>
      <c r="G706" s="2" t="str">
        <f t="shared" si="3"/>
        <v/>
      </c>
      <c r="H706" s="2" t="str">
        <f>IF(G706="","",SUMIF(Familias!C:C,G706,Familias!E:E))</f>
        <v/>
      </c>
      <c r="I706" s="4" t="str">
        <f>IF(A706="","",COUNTIF(Prod_Prop!B:B,A706))</f>
        <v/>
      </c>
      <c r="J706" s="92" t="str">
        <f>IF(E706="","",IF(SUMIF(Precio_Productos!L:L,E706,Precio_Productos!J:J)=0,"Falta Precio",SUMIF(Precio_Productos!L:L,E706,Precio_Productos!J:J)))</f>
        <v/>
      </c>
      <c r="O706" s="86"/>
      <c r="P706" s="86" t="str">
        <f>IFERROR(__xludf.DUMMYFUNCTION("IF(OR(F706=""Selecciona.."",F706=""""),"""",TRANSPOSE(filter(Familias!C:C,Familias!D:D=F706)))"),"")</f>
        <v/>
      </c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</row>
    <row r="707">
      <c r="A707" s="4" t="str">
        <f t="shared" si="1"/>
        <v/>
      </c>
      <c r="B707" s="4"/>
      <c r="C707" s="4"/>
      <c r="D707" s="4"/>
      <c r="E707" s="94"/>
      <c r="F707" s="4" t="str">
        <f t="shared" si="2"/>
        <v/>
      </c>
      <c r="G707" s="2" t="str">
        <f t="shared" si="3"/>
        <v/>
      </c>
      <c r="H707" s="2" t="str">
        <f>IF(G707="","",SUMIF(Familias!C:C,G707,Familias!E:E))</f>
        <v/>
      </c>
      <c r="I707" s="4" t="str">
        <f>IF(A707="","",COUNTIF(Prod_Prop!B:B,A707))</f>
        <v/>
      </c>
      <c r="J707" s="92" t="str">
        <f>IF(E707="","",IF(SUMIF(Precio_Productos!L:L,E707,Precio_Productos!J:J)=0,"Falta Precio",SUMIF(Precio_Productos!L:L,E707,Precio_Productos!J:J)))</f>
        <v/>
      </c>
      <c r="O707" s="86"/>
      <c r="P707" s="86" t="str">
        <f>IFERROR(__xludf.DUMMYFUNCTION("IF(OR(F707=""Selecciona.."",F707=""""),"""",TRANSPOSE(filter(Familias!C:C,Familias!D:D=F707)))"),"")</f>
        <v/>
      </c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</row>
    <row r="708">
      <c r="A708" s="4" t="str">
        <f t="shared" si="1"/>
        <v/>
      </c>
      <c r="B708" s="4"/>
      <c r="C708" s="4"/>
      <c r="D708" s="4"/>
      <c r="E708" s="94"/>
      <c r="F708" s="4" t="str">
        <f t="shared" si="2"/>
        <v/>
      </c>
      <c r="G708" s="2" t="str">
        <f t="shared" si="3"/>
        <v/>
      </c>
      <c r="H708" s="2" t="str">
        <f>IF(G708="","",SUMIF(Familias!C:C,G708,Familias!E:E))</f>
        <v/>
      </c>
      <c r="I708" s="4" t="str">
        <f>IF(A708="","",COUNTIF(Prod_Prop!B:B,A708))</f>
        <v/>
      </c>
      <c r="J708" s="92" t="str">
        <f>IF(E708="","",IF(SUMIF(Precio_Productos!L:L,E708,Precio_Productos!J:J)=0,"Falta Precio",SUMIF(Precio_Productos!L:L,E708,Precio_Productos!J:J)))</f>
        <v/>
      </c>
      <c r="O708" s="86"/>
      <c r="P708" s="86" t="str">
        <f>IFERROR(__xludf.DUMMYFUNCTION("IF(OR(F708=""Selecciona.."",F708=""""),"""",TRANSPOSE(filter(Familias!C:C,Familias!D:D=F708)))"),"")</f>
        <v/>
      </c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</row>
    <row r="709">
      <c r="A709" s="4" t="str">
        <f t="shared" si="1"/>
        <v/>
      </c>
      <c r="B709" s="4"/>
      <c r="C709" s="4"/>
      <c r="D709" s="4"/>
      <c r="E709" s="94"/>
      <c r="F709" s="4" t="str">
        <f t="shared" si="2"/>
        <v/>
      </c>
      <c r="G709" s="2" t="str">
        <f t="shared" si="3"/>
        <v/>
      </c>
      <c r="H709" s="2" t="str">
        <f>IF(G709="","",SUMIF(Familias!C:C,G709,Familias!E:E))</f>
        <v/>
      </c>
      <c r="I709" s="4" t="str">
        <f>IF(A709="","",COUNTIF(Prod_Prop!B:B,A709))</f>
        <v/>
      </c>
      <c r="J709" s="92" t="str">
        <f>IF(E709="","",IF(SUMIF(Precio_Productos!L:L,E709,Precio_Productos!J:J)=0,"Falta Precio",SUMIF(Precio_Productos!L:L,E709,Precio_Productos!J:J)))</f>
        <v/>
      </c>
      <c r="O709" s="86"/>
      <c r="P709" s="86" t="str">
        <f>IFERROR(__xludf.DUMMYFUNCTION("IF(OR(F709=""Selecciona.."",F709=""""),"""",TRANSPOSE(filter(Familias!C:C,Familias!D:D=F709)))"),"")</f>
        <v/>
      </c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</row>
    <row r="710">
      <c r="A710" s="4" t="str">
        <f t="shared" si="1"/>
        <v/>
      </c>
      <c r="B710" s="4"/>
      <c r="C710" s="4"/>
      <c r="D710" s="4"/>
      <c r="E710" s="94"/>
      <c r="F710" s="4" t="str">
        <f t="shared" si="2"/>
        <v/>
      </c>
      <c r="G710" s="2" t="str">
        <f t="shared" si="3"/>
        <v/>
      </c>
      <c r="H710" s="2" t="str">
        <f>IF(G710="","",SUMIF(Familias!C:C,G710,Familias!E:E))</f>
        <v/>
      </c>
      <c r="I710" s="4" t="str">
        <f>IF(A710="","",COUNTIF(Prod_Prop!B:B,A710))</f>
        <v/>
      </c>
      <c r="J710" s="92" t="str">
        <f>IF(E710="","",IF(SUMIF(Precio_Productos!L:L,E710,Precio_Productos!J:J)=0,"Falta Precio",SUMIF(Precio_Productos!L:L,E710,Precio_Productos!J:J)))</f>
        <v/>
      </c>
      <c r="O710" s="86"/>
      <c r="P710" s="86" t="str">
        <f>IFERROR(__xludf.DUMMYFUNCTION("IF(OR(F710=""Selecciona.."",F710=""""),"""",TRANSPOSE(filter(Familias!C:C,Familias!D:D=F710)))"),"")</f>
        <v/>
      </c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</row>
    <row r="711">
      <c r="A711" s="4" t="str">
        <f t="shared" si="1"/>
        <v/>
      </c>
      <c r="B711" s="4"/>
      <c r="C711" s="4"/>
      <c r="D711" s="4"/>
      <c r="E711" s="94"/>
      <c r="F711" s="4" t="str">
        <f t="shared" si="2"/>
        <v/>
      </c>
      <c r="G711" s="2" t="str">
        <f t="shared" si="3"/>
        <v/>
      </c>
      <c r="H711" s="2" t="str">
        <f>IF(G711="","",SUMIF(Familias!C:C,G711,Familias!E:E))</f>
        <v/>
      </c>
      <c r="I711" s="4" t="str">
        <f>IF(A711="","",COUNTIF(Prod_Prop!B:B,A711))</f>
        <v/>
      </c>
      <c r="J711" s="92" t="str">
        <f>IF(E711="","",IF(SUMIF(Precio_Productos!L:L,E711,Precio_Productos!J:J)=0,"Falta Precio",SUMIF(Precio_Productos!L:L,E711,Precio_Productos!J:J)))</f>
        <v/>
      </c>
      <c r="O711" s="86"/>
      <c r="P711" s="86" t="str">
        <f>IFERROR(__xludf.DUMMYFUNCTION("IF(OR(F711=""Selecciona.."",F711=""""),"""",TRANSPOSE(filter(Familias!C:C,Familias!D:D=F711)))"),"")</f>
        <v/>
      </c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</row>
    <row r="712">
      <c r="A712" s="4" t="str">
        <f t="shared" si="1"/>
        <v/>
      </c>
      <c r="B712" s="4"/>
      <c r="C712" s="4"/>
      <c r="D712" s="4"/>
      <c r="E712" s="94"/>
      <c r="F712" s="4" t="str">
        <f t="shared" si="2"/>
        <v/>
      </c>
      <c r="G712" s="2" t="str">
        <f t="shared" si="3"/>
        <v/>
      </c>
      <c r="H712" s="2" t="str">
        <f>IF(G712="","",SUMIF(Familias!C:C,G712,Familias!E:E))</f>
        <v/>
      </c>
      <c r="I712" s="4" t="str">
        <f>IF(A712="","",COUNTIF(Prod_Prop!B:B,A712))</f>
        <v/>
      </c>
      <c r="J712" s="92" t="str">
        <f>IF(E712="","",IF(SUMIF(Precio_Productos!L:L,E712,Precio_Productos!J:J)=0,"Falta Precio",SUMIF(Precio_Productos!L:L,E712,Precio_Productos!J:J)))</f>
        <v/>
      </c>
      <c r="O712" s="86"/>
      <c r="P712" s="86" t="str">
        <f>IFERROR(__xludf.DUMMYFUNCTION("IF(OR(F712=""Selecciona.."",F712=""""),"""",TRANSPOSE(filter(Familias!C:C,Familias!D:D=F712)))"),"")</f>
        <v/>
      </c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</row>
    <row r="713">
      <c r="A713" s="4" t="str">
        <f t="shared" si="1"/>
        <v/>
      </c>
      <c r="B713" s="4"/>
      <c r="C713" s="4"/>
      <c r="D713" s="4"/>
      <c r="E713" s="94"/>
      <c r="F713" s="4" t="str">
        <f t="shared" si="2"/>
        <v/>
      </c>
      <c r="G713" s="2" t="str">
        <f t="shared" si="3"/>
        <v/>
      </c>
      <c r="H713" s="2" t="str">
        <f>IF(G713="","",SUMIF(Familias!C:C,G713,Familias!E:E))</f>
        <v/>
      </c>
      <c r="I713" s="4" t="str">
        <f>IF(A713="","",COUNTIF(Prod_Prop!B:B,A713))</f>
        <v/>
      </c>
      <c r="J713" s="92" t="str">
        <f>IF(E713="","",IF(SUMIF(Precio_Productos!L:L,E713,Precio_Productos!J:J)=0,"Falta Precio",SUMIF(Precio_Productos!L:L,E713,Precio_Productos!J:J)))</f>
        <v/>
      </c>
      <c r="O713" s="86"/>
      <c r="P713" s="86" t="str">
        <f>IFERROR(__xludf.DUMMYFUNCTION("IF(OR(F713=""Selecciona.."",F713=""""),"""",TRANSPOSE(filter(Familias!C:C,Familias!D:D=F713)))"),"")</f>
        <v/>
      </c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</row>
    <row r="714">
      <c r="A714" s="4" t="str">
        <f t="shared" si="1"/>
        <v/>
      </c>
      <c r="B714" s="4"/>
      <c r="C714" s="4"/>
      <c r="D714" s="4"/>
      <c r="E714" s="94"/>
      <c r="F714" s="4" t="str">
        <f t="shared" si="2"/>
        <v/>
      </c>
      <c r="G714" s="2" t="str">
        <f t="shared" si="3"/>
        <v/>
      </c>
      <c r="H714" s="2" t="str">
        <f>IF(G714="","",SUMIF(Familias!C:C,G714,Familias!E:E))</f>
        <v/>
      </c>
      <c r="I714" s="4" t="str">
        <f>IF(A714="","",COUNTIF(Prod_Prop!B:B,A714))</f>
        <v/>
      </c>
      <c r="J714" s="92" t="str">
        <f>IF(E714="","",IF(SUMIF(Precio_Productos!L:L,E714,Precio_Productos!J:J)=0,"Falta Precio",SUMIF(Precio_Productos!L:L,E714,Precio_Productos!J:J)))</f>
        <v/>
      </c>
      <c r="O714" s="86"/>
      <c r="P714" s="86" t="str">
        <f>IFERROR(__xludf.DUMMYFUNCTION("IF(OR(F714=""Selecciona.."",F714=""""),"""",TRANSPOSE(filter(Familias!C:C,Familias!D:D=F714)))"),"")</f>
        <v/>
      </c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</row>
    <row r="715">
      <c r="A715" s="4" t="str">
        <f t="shared" si="1"/>
        <v/>
      </c>
      <c r="B715" s="4"/>
      <c r="C715" s="4"/>
      <c r="D715" s="4"/>
      <c r="E715" s="94"/>
      <c r="F715" s="4" t="str">
        <f t="shared" si="2"/>
        <v/>
      </c>
      <c r="G715" s="2" t="str">
        <f t="shared" si="3"/>
        <v/>
      </c>
      <c r="H715" s="2" t="str">
        <f>IF(G715="","",SUMIF(Familias!C:C,G715,Familias!E:E))</f>
        <v/>
      </c>
      <c r="I715" s="4" t="str">
        <f>IF(A715="","",COUNTIF(Prod_Prop!B:B,A715))</f>
        <v/>
      </c>
      <c r="J715" s="92" t="str">
        <f>IF(E715="","",IF(SUMIF(Precio_Productos!L:L,E715,Precio_Productos!J:J)=0,"Falta Precio",SUMIF(Precio_Productos!L:L,E715,Precio_Productos!J:J)))</f>
        <v/>
      </c>
      <c r="O715" s="86"/>
      <c r="P715" s="86" t="str">
        <f>IFERROR(__xludf.DUMMYFUNCTION("IF(OR(F715=""Selecciona.."",F715=""""),"""",TRANSPOSE(filter(Familias!C:C,Familias!D:D=F715)))"),"")</f>
        <v/>
      </c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</row>
    <row r="716">
      <c r="A716" s="4" t="str">
        <f t="shared" si="1"/>
        <v/>
      </c>
      <c r="B716" s="4"/>
      <c r="C716" s="4"/>
      <c r="D716" s="4"/>
      <c r="E716" s="94"/>
      <c r="F716" s="4" t="str">
        <f t="shared" si="2"/>
        <v/>
      </c>
      <c r="G716" s="2" t="str">
        <f t="shared" si="3"/>
        <v/>
      </c>
      <c r="H716" s="2" t="str">
        <f>IF(G716="","",SUMIF(Familias!C:C,G716,Familias!E:E))</f>
        <v/>
      </c>
      <c r="I716" s="4" t="str">
        <f>IF(A716="","",COUNTIF(Prod_Prop!B:B,A716))</f>
        <v/>
      </c>
      <c r="J716" s="92" t="str">
        <f>IF(E716="","",IF(SUMIF(Precio_Productos!L:L,E716,Precio_Productos!J:J)=0,"Falta Precio",SUMIF(Precio_Productos!L:L,E716,Precio_Productos!J:J)))</f>
        <v/>
      </c>
      <c r="O716" s="86"/>
      <c r="P716" s="86" t="str">
        <f>IFERROR(__xludf.DUMMYFUNCTION("IF(OR(F716=""Selecciona.."",F716=""""),"""",TRANSPOSE(filter(Familias!C:C,Familias!D:D=F716)))"),"")</f>
        <v/>
      </c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</row>
    <row r="717">
      <c r="A717" s="4" t="str">
        <f t="shared" si="1"/>
        <v/>
      </c>
      <c r="B717" s="4"/>
      <c r="C717" s="4"/>
      <c r="D717" s="4"/>
      <c r="E717" s="94"/>
      <c r="F717" s="4" t="str">
        <f t="shared" si="2"/>
        <v/>
      </c>
      <c r="G717" s="2" t="str">
        <f t="shared" si="3"/>
        <v/>
      </c>
      <c r="H717" s="2" t="str">
        <f>IF(G717="","",SUMIF(Familias!C:C,G717,Familias!E:E))</f>
        <v/>
      </c>
      <c r="I717" s="4" t="str">
        <f>IF(A717="","",COUNTIF(Prod_Prop!B:B,A717))</f>
        <v/>
      </c>
      <c r="J717" s="92" t="str">
        <f>IF(E717="","",IF(SUMIF(Precio_Productos!L:L,E717,Precio_Productos!J:J)=0,"Falta Precio",SUMIF(Precio_Productos!L:L,E717,Precio_Productos!J:J)))</f>
        <v/>
      </c>
      <c r="O717" s="86"/>
      <c r="P717" s="86" t="str">
        <f>IFERROR(__xludf.DUMMYFUNCTION("IF(OR(F717=""Selecciona.."",F717=""""),"""",TRANSPOSE(filter(Familias!C:C,Familias!D:D=F717)))"),"")</f>
        <v/>
      </c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</row>
    <row r="718">
      <c r="A718" s="4" t="str">
        <f t="shared" si="1"/>
        <v/>
      </c>
      <c r="B718" s="4"/>
      <c r="C718" s="4"/>
      <c r="D718" s="4"/>
      <c r="E718" s="94"/>
      <c r="F718" s="4" t="str">
        <f t="shared" si="2"/>
        <v/>
      </c>
      <c r="G718" s="2" t="str">
        <f t="shared" si="3"/>
        <v/>
      </c>
      <c r="H718" s="2" t="str">
        <f>IF(G718="","",SUMIF(Familias!C:C,G718,Familias!E:E))</f>
        <v/>
      </c>
      <c r="I718" s="4" t="str">
        <f>IF(A718="","",COUNTIF(Prod_Prop!B:B,A718))</f>
        <v/>
      </c>
      <c r="J718" s="92" t="str">
        <f>IF(E718="","",IF(SUMIF(Precio_Productos!L:L,E718,Precio_Productos!J:J)=0,"Falta Precio",SUMIF(Precio_Productos!L:L,E718,Precio_Productos!J:J)))</f>
        <v/>
      </c>
      <c r="O718" s="86"/>
      <c r="P718" s="86" t="str">
        <f>IFERROR(__xludf.DUMMYFUNCTION("IF(OR(F718=""Selecciona.."",F718=""""),"""",TRANSPOSE(filter(Familias!C:C,Familias!D:D=F718)))"),"")</f>
        <v/>
      </c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</row>
    <row r="719">
      <c r="A719" s="4" t="str">
        <f t="shared" si="1"/>
        <v/>
      </c>
      <c r="B719" s="4"/>
      <c r="C719" s="4"/>
      <c r="D719" s="4"/>
      <c r="E719" s="94"/>
      <c r="F719" s="4" t="str">
        <f t="shared" si="2"/>
        <v/>
      </c>
      <c r="G719" s="2" t="str">
        <f t="shared" si="3"/>
        <v/>
      </c>
      <c r="H719" s="2" t="str">
        <f>IF(G719="","",SUMIF(Familias!C:C,G719,Familias!E:E))</f>
        <v/>
      </c>
      <c r="I719" s="4" t="str">
        <f>IF(A719="","",COUNTIF(Prod_Prop!B:B,A719))</f>
        <v/>
      </c>
      <c r="J719" s="92" t="str">
        <f>IF(E719="","",IF(SUMIF(Precio_Productos!L:L,E719,Precio_Productos!J:J)=0,"Falta Precio",SUMIF(Precio_Productos!L:L,E719,Precio_Productos!J:J)))</f>
        <v/>
      </c>
      <c r="O719" s="86"/>
      <c r="P719" s="86" t="str">
        <f>IFERROR(__xludf.DUMMYFUNCTION("IF(OR(F719=""Selecciona.."",F719=""""),"""",TRANSPOSE(filter(Familias!C:C,Familias!D:D=F719)))"),"")</f>
        <v/>
      </c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</row>
    <row r="720">
      <c r="A720" s="4" t="str">
        <f t="shared" si="1"/>
        <v/>
      </c>
      <c r="B720" s="4"/>
      <c r="C720" s="4"/>
      <c r="D720" s="4"/>
      <c r="E720" s="94"/>
      <c r="F720" s="4" t="str">
        <f t="shared" si="2"/>
        <v/>
      </c>
      <c r="G720" s="2" t="str">
        <f t="shared" si="3"/>
        <v/>
      </c>
      <c r="H720" s="2" t="str">
        <f>IF(G720="","",SUMIF(Familias!C:C,G720,Familias!E:E))</f>
        <v/>
      </c>
      <c r="I720" s="4" t="str">
        <f>IF(A720="","",COUNTIF(Prod_Prop!B:B,A720))</f>
        <v/>
      </c>
      <c r="J720" s="92" t="str">
        <f>IF(E720="","",IF(SUMIF(Precio_Productos!L:L,E720,Precio_Productos!J:J)=0,"Falta Precio",SUMIF(Precio_Productos!L:L,E720,Precio_Productos!J:J)))</f>
        <v/>
      </c>
      <c r="O720" s="86"/>
      <c r="P720" s="86" t="str">
        <f>IFERROR(__xludf.DUMMYFUNCTION("IF(OR(F720=""Selecciona.."",F720=""""),"""",TRANSPOSE(filter(Familias!C:C,Familias!D:D=F720)))"),"")</f>
        <v/>
      </c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</row>
    <row r="721">
      <c r="A721" s="4" t="str">
        <f t="shared" si="1"/>
        <v/>
      </c>
      <c r="B721" s="4"/>
      <c r="C721" s="4"/>
      <c r="D721" s="4"/>
      <c r="E721" s="94"/>
      <c r="F721" s="4" t="str">
        <f t="shared" si="2"/>
        <v/>
      </c>
      <c r="G721" s="2" t="str">
        <f t="shared" si="3"/>
        <v/>
      </c>
      <c r="H721" s="2" t="str">
        <f>IF(G721="","",SUMIF(Familias!C:C,G721,Familias!E:E))</f>
        <v/>
      </c>
      <c r="I721" s="4" t="str">
        <f>IF(A721="","",COUNTIF(Prod_Prop!B:B,A721))</f>
        <v/>
      </c>
      <c r="J721" s="92" t="str">
        <f>IF(E721="","",IF(SUMIF(Precio_Productos!L:L,E721,Precio_Productos!J:J)=0,"Falta Precio",SUMIF(Precio_Productos!L:L,E721,Precio_Productos!J:J)))</f>
        <v/>
      </c>
      <c r="O721" s="86"/>
      <c r="P721" s="86" t="str">
        <f>IFERROR(__xludf.DUMMYFUNCTION("IF(OR(F721=""Selecciona.."",F721=""""),"""",TRANSPOSE(filter(Familias!C:C,Familias!D:D=F721)))"),"")</f>
        <v/>
      </c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</row>
    <row r="722">
      <c r="A722" s="4" t="str">
        <f t="shared" si="1"/>
        <v/>
      </c>
      <c r="B722" s="4"/>
      <c r="C722" s="4"/>
      <c r="D722" s="4"/>
      <c r="E722" s="94"/>
      <c r="F722" s="4" t="str">
        <f t="shared" si="2"/>
        <v/>
      </c>
      <c r="G722" s="2" t="str">
        <f t="shared" si="3"/>
        <v/>
      </c>
      <c r="H722" s="2" t="str">
        <f>IF(G722="","",SUMIF(Familias!C:C,G722,Familias!E:E))</f>
        <v/>
      </c>
      <c r="I722" s="4" t="str">
        <f>IF(A722="","",COUNTIF(Prod_Prop!B:B,A722))</f>
        <v/>
      </c>
      <c r="J722" s="92" t="str">
        <f>IF(E722="","",IF(SUMIF(Precio_Productos!L:L,E722,Precio_Productos!J:J)=0,"Falta Precio",SUMIF(Precio_Productos!L:L,E722,Precio_Productos!J:J)))</f>
        <v/>
      </c>
      <c r="O722" s="86"/>
      <c r="P722" s="86" t="str">
        <f>IFERROR(__xludf.DUMMYFUNCTION("IF(OR(F722=""Selecciona.."",F722=""""),"""",TRANSPOSE(filter(Familias!C:C,Familias!D:D=F722)))"),"")</f>
        <v/>
      </c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</row>
    <row r="723">
      <c r="A723" s="4" t="str">
        <f t="shared" si="1"/>
        <v/>
      </c>
      <c r="B723" s="4"/>
      <c r="C723" s="4"/>
      <c r="D723" s="4"/>
      <c r="E723" s="94"/>
      <c r="F723" s="4" t="str">
        <f t="shared" si="2"/>
        <v/>
      </c>
      <c r="G723" s="2" t="str">
        <f t="shared" si="3"/>
        <v/>
      </c>
      <c r="H723" s="2" t="str">
        <f>IF(G723="","",SUMIF(Familias!C:C,G723,Familias!E:E))</f>
        <v/>
      </c>
      <c r="I723" s="4" t="str">
        <f>IF(A723="","",COUNTIF(Prod_Prop!B:B,A723))</f>
        <v/>
      </c>
      <c r="J723" s="92" t="str">
        <f>IF(E723="","",IF(SUMIF(Precio_Productos!L:L,E723,Precio_Productos!J:J)=0,"Falta Precio",SUMIF(Precio_Productos!L:L,E723,Precio_Productos!J:J)))</f>
        <v/>
      </c>
      <c r="O723" s="86"/>
      <c r="P723" s="86" t="str">
        <f>IFERROR(__xludf.DUMMYFUNCTION("IF(OR(F723=""Selecciona.."",F723=""""),"""",TRANSPOSE(filter(Familias!C:C,Familias!D:D=F723)))"),"")</f>
        <v/>
      </c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</row>
    <row r="724">
      <c r="A724" s="4" t="str">
        <f t="shared" si="1"/>
        <v/>
      </c>
      <c r="B724" s="4"/>
      <c r="C724" s="4"/>
      <c r="D724" s="4"/>
      <c r="E724" s="94"/>
      <c r="F724" s="4" t="str">
        <f t="shared" si="2"/>
        <v/>
      </c>
      <c r="G724" s="2" t="str">
        <f t="shared" si="3"/>
        <v/>
      </c>
      <c r="H724" s="2" t="str">
        <f>IF(G724="","",SUMIF(Familias!C:C,G724,Familias!E:E))</f>
        <v/>
      </c>
      <c r="I724" s="4" t="str">
        <f>IF(A724="","",COUNTIF(Prod_Prop!B:B,A724))</f>
        <v/>
      </c>
      <c r="J724" s="92" t="str">
        <f>IF(E724="","",IF(SUMIF(Precio_Productos!L:L,E724,Precio_Productos!J:J)=0,"Falta Precio",SUMIF(Precio_Productos!L:L,E724,Precio_Productos!J:J)))</f>
        <v/>
      </c>
      <c r="O724" s="86"/>
      <c r="P724" s="86" t="str">
        <f>IFERROR(__xludf.DUMMYFUNCTION("IF(OR(F724=""Selecciona.."",F724=""""),"""",TRANSPOSE(filter(Familias!C:C,Familias!D:D=F724)))"),"")</f>
        <v/>
      </c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</row>
    <row r="725">
      <c r="A725" s="4" t="str">
        <f t="shared" si="1"/>
        <v/>
      </c>
      <c r="B725" s="4"/>
      <c r="C725" s="4"/>
      <c r="D725" s="4"/>
      <c r="E725" s="94"/>
      <c r="F725" s="4" t="str">
        <f t="shared" si="2"/>
        <v/>
      </c>
      <c r="G725" s="2" t="str">
        <f t="shared" si="3"/>
        <v/>
      </c>
      <c r="H725" s="2" t="str">
        <f>IF(G725="","",SUMIF(Familias!C:C,G725,Familias!E:E))</f>
        <v/>
      </c>
      <c r="I725" s="4" t="str">
        <f>IF(A725="","",COUNTIF(Prod_Prop!B:B,A725))</f>
        <v/>
      </c>
      <c r="J725" s="92" t="str">
        <f>IF(E725="","",IF(SUMIF(Precio_Productos!L:L,E725,Precio_Productos!J:J)=0,"Falta Precio",SUMIF(Precio_Productos!L:L,E725,Precio_Productos!J:J)))</f>
        <v/>
      </c>
      <c r="O725" s="86"/>
      <c r="P725" s="86" t="str">
        <f>IFERROR(__xludf.DUMMYFUNCTION("IF(OR(F725=""Selecciona.."",F725=""""),"""",TRANSPOSE(filter(Familias!C:C,Familias!D:D=F725)))"),"")</f>
        <v/>
      </c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</row>
    <row r="726">
      <c r="A726" s="4" t="str">
        <f t="shared" si="1"/>
        <v/>
      </c>
      <c r="B726" s="4"/>
      <c r="C726" s="4"/>
      <c r="D726" s="4"/>
      <c r="E726" s="94"/>
      <c r="F726" s="4" t="str">
        <f t="shared" si="2"/>
        <v/>
      </c>
      <c r="G726" s="2" t="str">
        <f t="shared" si="3"/>
        <v/>
      </c>
      <c r="H726" s="2" t="str">
        <f>IF(G726="","",SUMIF(Familias!C:C,G726,Familias!E:E))</f>
        <v/>
      </c>
      <c r="I726" s="4" t="str">
        <f>IF(A726="","",COUNTIF(Prod_Prop!B:B,A726))</f>
        <v/>
      </c>
      <c r="J726" s="92" t="str">
        <f>IF(E726="","",IF(SUMIF(Precio_Productos!L:L,E726,Precio_Productos!J:J)=0,"Falta Precio",SUMIF(Precio_Productos!L:L,E726,Precio_Productos!J:J)))</f>
        <v/>
      </c>
      <c r="O726" s="86"/>
      <c r="P726" s="86" t="str">
        <f>IFERROR(__xludf.DUMMYFUNCTION("IF(OR(F726=""Selecciona.."",F726=""""),"""",TRANSPOSE(filter(Familias!C:C,Familias!D:D=F726)))"),"")</f>
        <v/>
      </c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</row>
    <row r="727">
      <c r="A727" s="4" t="str">
        <f t="shared" si="1"/>
        <v/>
      </c>
      <c r="B727" s="4"/>
      <c r="C727" s="4"/>
      <c r="D727" s="4"/>
      <c r="E727" s="94"/>
      <c r="F727" s="4" t="str">
        <f t="shared" si="2"/>
        <v/>
      </c>
      <c r="G727" s="2" t="str">
        <f t="shared" si="3"/>
        <v/>
      </c>
      <c r="H727" s="2" t="str">
        <f>IF(G727="","",SUMIF(Familias!C:C,G727,Familias!E:E))</f>
        <v/>
      </c>
      <c r="I727" s="4" t="str">
        <f>IF(A727="","",COUNTIF(Prod_Prop!B:B,A727))</f>
        <v/>
      </c>
      <c r="J727" s="92" t="str">
        <f>IF(E727="","",IF(SUMIF(Precio_Productos!L:L,E727,Precio_Productos!J:J)=0,"Falta Precio",SUMIF(Precio_Productos!L:L,E727,Precio_Productos!J:J)))</f>
        <v/>
      </c>
      <c r="O727" s="86"/>
      <c r="P727" s="86" t="str">
        <f>IFERROR(__xludf.DUMMYFUNCTION("IF(OR(F727=""Selecciona.."",F727=""""),"""",TRANSPOSE(filter(Familias!C:C,Familias!D:D=F727)))"),"")</f>
        <v/>
      </c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</row>
    <row r="728">
      <c r="A728" s="4" t="str">
        <f t="shared" si="1"/>
        <v/>
      </c>
      <c r="B728" s="4"/>
      <c r="C728" s="4"/>
      <c r="D728" s="4"/>
      <c r="E728" s="94"/>
      <c r="F728" s="4" t="str">
        <f t="shared" si="2"/>
        <v/>
      </c>
      <c r="G728" s="2" t="str">
        <f t="shared" si="3"/>
        <v/>
      </c>
      <c r="H728" s="2" t="str">
        <f>IF(G728="","",SUMIF(Familias!C:C,G728,Familias!E:E))</f>
        <v/>
      </c>
      <c r="I728" s="4" t="str">
        <f>IF(A728="","",COUNTIF(Prod_Prop!B:B,A728))</f>
        <v/>
      </c>
      <c r="J728" s="92" t="str">
        <f>IF(E728="","",IF(SUMIF(Precio_Productos!L:L,E728,Precio_Productos!J:J)=0,"Falta Precio",SUMIF(Precio_Productos!L:L,E728,Precio_Productos!J:J)))</f>
        <v/>
      </c>
      <c r="O728" s="86"/>
      <c r="P728" s="86" t="str">
        <f>IFERROR(__xludf.DUMMYFUNCTION("IF(OR(F728=""Selecciona.."",F728=""""),"""",TRANSPOSE(filter(Familias!C:C,Familias!D:D=F728)))"),"")</f>
        <v/>
      </c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</row>
    <row r="729">
      <c r="A729" s="4" t="str">
        <f t="shared" si="1"/>
        <v/>
      </c>
      <c r="B729" s="4"/>
      <c r="C729" s="4"/>
      <c r="D729" s="4"/>
      <c r="E729" s="94"/>
      <c r="F729" s="4" t="str">
        <f t="shared" si="2"/>
        <v/>
      </c>
      <c r="G729" s="2" t="str">
        <f t="shared" si="3"/>
        <v/>
      </c>
      <c r="H729" s="2" t="str">
        <f>IF(G729="","",SUMIF(Familias!C:C,G729,Familias!E:E))</f>
        <v/>
      </c>
      <c r="I729" s="4" t="str">
        <f>IF(A729="","",COUNTIF(Prod_Prop!B:B,A729))</f>
        <v/>
      </c>
      <c r="J729" s="92" t="str">
        <f>IF(E729="","",IF(SUMIF(Precio_Productos!L:L,E729,Precio_Productos!J:J)=0,"Falta Precio",SUMIF(Precio_Productos!L:L,E729,Precio_Productos!J:J)))</f>
        <v/>
      </c>
      <c r="O729" s="86"/>
      <c r="P729" s="86" t="str">
        <f>IFERROR(__xludf.DUMMYFUNCTION("IF(OR(F729=""Selecciona.."",F729=""""),"""",TRANSPOSE(filter(Familias!C:C,Familias!D:D=F729)))"),"")</f>
        <v/>
      </c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</row>
    <row r="730">
      <c r="A730" s="4" t="str">
        <f t="shared" si="1"/>
        <v/>
      </c>
      <c r="B730" s="4"/>
      <c r="C730" s="4"/>
      <c r="D730" s="4"/>
      <c r="E730" s="94"/>
      <c r="F730" s="4" t="str">
        <f t="shared" si="2"/>
        <v/>
      </c>
      <c r="G730" s="2" t="str">
        <f t="shared" si="3"/>
        <v/>
      </c>
      <c r="H730" s="2" t="str">
        <f>IF(G730="","",SUMIF(Familias!C:C,G730,Familias!E:E))</f>
        <v/>
      </c>
      <c r="I730" s="4" t="str">
        <f>IF(A730="","",COUNTIF(Prod_Prop!B:B,A730))</f>
        <v/>
      </c>
      <c r="J730" s="92" t="str">
        <f>IF(E730="","",IF(SUMIF(Precio_Productos!L:L,E730,Precio_Productos!J:J)=0,"Falta Precio",SUMIF(Precio_Productos!L:L,E730,Precio_Productos!J:J)))</f>
        <v/>
      </c>
      <c r="O730" s="86"/>
      <c r="P730" s="86" t="str">
        <f>IFERROR(__xludf.DUMMYFUNCTION("IF(OR(F730=""Selecciona.."",F730=""""),"""",TRANSPOSE(filter(Familias!C:C,Familias!D:D=F730)))"),"")</f>
        <v/>
      </c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</row>
    <row r="731">
      <c r="A731" s="4" t="str">
        <f t="shared" si="1"/>
        <v/>
      </c>
      <c r="B731" s="4"/>
      <c r="C731" s="4"/>
      <c r="D731" s="4"/>
      <c r="E731" s="94"/>
      <c r="F731" s="4" t="str">
        <f t="shared" si="2"/>
        <v/>
      </c>
      <c r="G731" s="2" t="str">
        <f t="shared" si="3"/>
        <v/>
      </c>
      <c r="H731" s="2" t="str">
        <f>IF(G731="","",SUMIF(Familias!C:C,G731,Familias!E:E))</f>
        <v/>
      </c>
      <c r="I731" s="4" t="str">
        <f>IF(A731="","",COUNTIF(Prod_Prop!B:B,A731))</f>
        <v/>
      </c>
      <c r="J731" s="92" t="str">
        <f>IF(E731="","",IF(SUMIF(Precio_Productos!L:L,E731,Precio_Productos!J:J)=0,"Falta Precio",SUMIF(Precio_Productos!L:L,E731,Precio_Productos!J:J)))</f>
        <v/>
      </c>
      <c r="O731" s="86"/>
      <c r="P731" s="86" t="str">
        <f>IFERROR(__xludf.DUMMYFUNCTION("IF(OR(F731=""Selecciona.."",F731=""""),"""",TRANSPOSE(filter(Familias!C:C,Familias!D:D=F731)))"),"")</f>
        <v/>
      </c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</row>
    <row r="732">
      <c r="A732" s="4" t="str">
        <f t="shared" si="1"/>
        <v/>
      </c>
      <c r="B732" s="4"/>
      <c r="C732" s="4"/>
      <c r="D732" s="4"/>
      <c r="E732" s="94"/>
      <c r="F732" s="4" t="str">
        <f t="shared" si="2"/>
        <v/>
      </c>
      <c r="G732" s="2" t="str">
        <f t="shared" si="3"/>
        <v/>
      </c>
      <c r="H732" s="2" t="str">
        <f>IF(G732="","",SUMIF(Familias!C:C,G732,Familias!E:E))</f>
        <v/>
      </c>
      <c r="I732" s="4" t="str">
        <f>IF(A732="","",COUNTIF(Prod_Prop!B:B,A732))</f>
        <v/>
      </c>
      <c r="J732" s="92" t="str">
        <f>IF(E732="","",IF(SUMIF(Precio_Productos!L:L,E732,Precio_Productos!J:J)=0,"Falta Precio",SUMIF(Precio_Productos!L:L,E732,Precio_Productos!J:J)))</f>
        <v/>
      </c>
      <c r="O732" s="86"/>
      <c r="P732" s="86" t="str">
        <f>IFERROR(__xludf.DUMMYFUNCTION("IF(OR(F732=""Selecciona.."",F732=""""),"""",TRANSPOSE(filter(Familias!C:C,Familias!D:D=F732)))"),"")</f>
        <v/>
      </c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</row>
    <row r="733">
      <c r="A733" s="4" t="str">
        <f t="shared" si="1"/>
        <v/>
      </c>
      <c r="B733" s="4"/>
      <c r="C733" s="4"/>
      <c r="D733" s="4"/>
      <c r="E733" s="94"/>
      <c r="F733" s="4" t="str">
        <f t="shared" si="2"/>
        <v/>
      </c>
      <c r="G733" s="2" t="str">
        <f t="shared" si="3"/>
        <v/>
      </c>
      <c r="H733" s="2" t="str">
        <f>IF(G733="","",SUMIF(Familias!C:C,G733,Familias!E:E))</f>
        <v/>
      </c>
      <c r="I733" s="4" t="str">
        <f>IF(A733="","",COUNTIF(Prod_Prop!B:B,A733))</f>
        <v/>
      </c>
      <c r="J733" s="92" t="str">
        <f>IF(E733="","",IF(SUMIF(Precio_Productos!L:L,E733,Precio_Productos!J:J)=0,"Falta Precio",SUMIF(Precio_Productos!L:L,E733,Precio_Productos!J:J)))</f>
        <v/>
      </c>
      <c r="O733" s="86"/>
      <c r="P733" s="86" t="str">
        <f>IFERROR(__xludf.DUMMYFUNCTION("IF(OR(F733=""Selecciona.."",F733=""""),"""",TRANSPOSE(filter(Familias!C:C,Familias!D:D=F733)))"),"")</f>
        <v/>
      </c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</row>
    <row r="734">
      <c r="A734" s="4" t="str">
        <f t="shared" si="1"/>
        <v/>
      </c>
      <c r="B734" s="4"/>
      <c r="C734" s="4"/>
      <c r="D734" s="4"/>
      <c r="E734" s="94"/>
      <c r="F734" s="4" t="str">
        <f t="shared" si="2"/>
        <v/>
      </c>
      <c r="G734" s="2" t="str">
        <f t="shared" si="3"/>
        <v/>
      </c>
      <c r="H734" s="2" t="str">
        <f>IF(G734="","",SUMIF(Familias!C:C,G734,Familias!E:E))</f>
        <v/>
      </c>
      <c r="I734" s="4" t="str">
        <f>IF(A734="","",COUNTIF(Prod_Prop!B:B,A734))</f>
        <v/>
      </c>
      <c r="J734" s="92" t="str">
        <f>IF(E734="","",IF(SUMIF(Precio_Productos!L:L,E734,Precio_Productos!J:J)=0,"Falta Precio",SUMIF(Precio_Productos!L:L,E734,Precio_Productos!J:J)))</f>
        <v/>
      </c>
      <c r="O734" s="86"/>
      <c r="P734" s="86" t="str">
        <f>IFERROR(__xludf.DUMMYFUNCTION("IF(OR(F734=""Selecciona.."",F734=""""),"""",TRANSPOSE(filter(Familias!C:C,Familias!D:D=F734)))"),"")</f>
        <v/>
      </c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</row>
    <row r="735">
      <c r="A735" s="4" t="str">
        <f t="shared" si="1"/>
        <v/>
      </c>
      <c r="B735" s="4"/>
      <c r="C735" s="4"/>
      <c r="D735" s="4"/>
      <c r="E735" s="94"/>
      <c r="F735" s="4" t="str">
        <f t="shared" si="2"/>
        <v/>
      </c>
      <c r="G735" s="2" t="str">
        <f t="shared" si="3"/>
        <v/>
      </c>
      <c r="H735" s="2" t="str">
        <f>IF(G735="","",SUMIF(Familias!C:C,G735,Familias!E:E))</f>
        <v/>
      </c>
      <c r="I735" s="4" t="str">
        <f>IF(A735="","",COUNTIF(Prod_Prop!B:B,A735))</f>
        <v/>
      </c>
      <c r="J735" s="92" t="str">
        <f>IF(E735="","",IF(SUMIF(Precio_Productos!L:L,E735,Precio_Productos!J:J)=0,"Falta Precio",SUMIF(Precio_Productos!L:L,E735,Precio_Productos!J:J)))</f>
        <v/>
      </c>
      <c r="O735" s="86"/>
      <c r="P735" s="86" t="str">
        <f>IFERROR(__xludf.DUMMYFUNCTION("IF(OR(F735=""Selecciona.."",F735=""""),"""",TRANSPOSE(filter(Familias!C:C,Familias!D:D=F735)))"),"")</f>
        <v/>
      </c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</row>
    <row r="736">
      <c r="A736" s="4" t="str">
        <f t="shared" si="1"/>
        <v/>
      </c>
      <c r="B736" s="4"/>
      <c r="C736" s="4"/>
      <c r="D736" s="4"/>
      <c r="E736" s="94"/>
      <c r="F736" s="4" t="str">
        <f t="shared" si="2"/>
        <v/>
      </c>
      <c r="G736" s="2" t="str">
        <f t="shared" si="3"/>
        <v/>
      </c>
      <c r="H736" s="2" t="str">
        <f>IF(G736="","",SUMIF(Familias!C:C,G736,Familias!E:E))</f>
        <v/>
      </c>
      <c r="I736" s="4" t="str">
        <f>IF(A736="","",COUNTIF(Prod_Prop!B:B,A736))</f>
        <v/>
      </c>
      <c r="J736" s="92" t="str">
        <f>IF(E736="","",IF(SUMIF(Precio_Productos!L:L,E736,Precio_Productos!J:J)=0,"Falta Precio",SUMIF(Precio_Productos!L:L,E736,Precio_Productos!J:J)))</f>
        <v/>
      </c>
      <c r="O736" s="86"/>
      <c r="P736" s="86" t="str">
        <f>IFERROR(__xludf.DUMMYFUNCTION("IF(OR(F736=""Selecciona.."",F736=""""),"""",TRANSPOSE(filter(Familias!C:C,Familias!D:D=F736)))"),"")</f>
        <v/>
      </c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</row>
    <row r="737">
      <c r="A737" s="4" t="str">
        <f t="shared" si="1"/>
        <v/>
      </c>
      <c r="B737" s="4"/>
      <c r="C737" s="4"/>
      <c r="D737" s="4"/>
      <c r="E737" s="94"/>
      <c r="F737" s="4" t="str">
        <f t="shared" si="2"/>
        <v/>
      </c>
      <c r="G737" s="2" t="str">
        <f t="shared" si="3"/>
        <v/>
      </c>
      <c r="H737" s="2" t="str">
        <f>IF(G737="","",SUMIF(Familias!C:C,G737,Familias!E:E))</f>
        <v/>
      </c>
      <c r="I737" s="4" t="str">
        <f>IF(A737="","",COUNTIF(Prod_Prop!B:B,A737))</f>
        <v/>
      </c>
      <c r="J737" s="92" t="str">
        <f>IF(E737="","",IF(SUMIF(Precio_Productos!L:L,E737,Precio_Productos!J:J)=0,"Falta Precio",SUMIF(Precio_Productos!L:L,E737,Precio_Productos!J:J)))</f>
        <v/>
      </c>
      <c r="O737" s="86"/>
      <c r="P737" s="86" t="str">
        <f>IFERROR(__xludf.DUMMYFUNCTION("IF(OR(F737=""Selecciona.."",F737=""""),"""",TRANSPOSE(filter(Familias!C:C,Familias!D:D=F737)))"),"")</f>
        <v/>
      </c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</row>
    <row r="738">
      <c r="A738" s="4" t="str">
        <f t="shared" si="1"/>
        <v/>
      </c>
      <c r="B738" s="4"/>
      <c r="C738" s="4"/>
      <c r="D738" s="4"/>
      <c r="E738" s="94"/>
      <c r="F738" s="4" t="str">
        <f t="shared" si="2"/>
        <v/>
      </c>
      <c r="G738" s="2" t="str">
        <f t="shared" si="3"/>
        <v/>
      </c>
      <c r="H738" s="2" t="str">
        <f>IF(G738="","",SUMIF(Familias!C:C,G738,Familias!E:E))</f>
        <v/>
      </c>
      <c r="I738" s="4" t="str">
        <f>IF(A738="","",COUNTIF(Prod_Prop!B:B,A738))</f>
        <v/>
      </c>
      <c r="J738" s="92" t="str">
        <f>IF(E738="","",IF(SUMIF(Precio_Productos!L:L,E738,Precio_Productos!J:J)=0,"Falta Precio",SUMIF(Precio_Productos!L:L,E738,Precio_Productos!J:J)))</f>
        <v/>
      </c>
      <c r="O738" s="86"/>
      <c r="P738" s="86" t="str">
        <f>IFERROR(__xludf.DUMMYFUNCTION("IF(OR(F738=""Selecciona.."",F738=""""),"""",TRANSPOSE(filter(Familias!C:C,Familias!D:D=F738)))"),"")</f>
        <v/>
      </c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</row>
    <row r="739">
      <c r="A739" s="4" t="str">
        <f t="shared" si="1"/>
        <v/>
      </c>
      <c r="B739" s="4"/>
      <c r="C739" s="4"/>
      <c r="D739" s="4"/>
      <c r="E739" s="94"/>
      <c r="F739" s="4" t="str">
        <f t="shared" si="2"/>
        <v/>
      </c>
      <c r="G739" s="2" t="str">
        <f t="shared" si="3"/>
        <v/>
      </c>
      <c r="H739" s="2" t="str">
        <f>IF(G739="","",SUMIF(Familias!C:C,G739,Familias!E:E))</f>
        <v/>
      </c>
      <c r="I739" s="4" t="str">
        <f>IF(A739="","",COUNTIF(Prod_Prop!B:B,A739))</f>
        <v/>
      </c>
      <c r="J739" s="92" t="str">
        <f>IF(E739="","",IF(SUMIF(Precio_Productos!L:L,E739,Precio_Productos!J:J)=0,"Falta Precio",SUMIF(Precio_Productos!L:L,E739,Precio_Productos!J:J)))</f>
        <v/>
      </c>
      <c r="O739" s="86"/>
      <c r="P739" s="86" t="str">
        <f>IFERROR(__xludf.DUMMYFUNCTION("IF(OR(F739=""Selecciona.."",F739=""""),"""",TRANSPOSE(filter(Familias!C:C,Familias!D:D=F739)))"),"")</f>
        <v/>
      </c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</row>
    <row r="740">
      <c r="A740" s="4" t="str">
        <f t="shared" si="1"/>
        <v/>
      </c>
      <c r="B740" s="4"/>
      <c r="C740" s="4"/>
      <c r="D740" s="4"/>
      <c r="E740" s="94"/>
      <c r="F740" s="4" t="str">
        <f t="shared" si="2"/>
        <v/>
      </c>
      <c r="G740" s="2" t="str">
        <f t="shared" si="3"/>
        <v/>
      </c>
      <c r="H740" s="2" t="str">
        <f>IF(G740="","",SUMIF(Familias!C:C,G740,Familias!E:E))</f>
        <v/>
      </c>
      <c r="I740" s="4" t="str">
        <f>IF(A740="","",COUNTIF(Prod_Prop!B:B,A740))</f>
        <v/>
      </c>
      <c r="J740" s="92" t="str">
        <f>IF(E740="","",IF(SUMIF(Precio_Productos!L:L,E740,Precio_Productos!J:J)=0,"Falta Precio",SUMIF(Precio_Productos!L:L,E740,Precio_Productos!J:J)))</f>
        <v/>
      </c>
      <c r="O740" s="86"/>
      <c r="P740" s="86" t="str">
        <f>IFERROR(__xludf.DUMMYFUNCTION("IF(OR(F740=""Selecciona.."",F740=""""),"""",TRANSPOSE(filter(Familias!C:C,Familias!D:D=F740)))"),"")</f>
        <v/>
      </c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</row>
    <row r="741">
      <c r="A741" s="4" t="str">
        <f t="shared" si="1"/>
        <v/>
      </c>
      <c r="B741" s="4"/>
      <c r="C741" s="4"/>
      <c r="D741" s="4"/>
      <c r="E741" s="94"/>
      <c r="F741" s="4" t="str">
        <f t="shared" si="2"/>
        <v/>
      </c>
      <c r="G741" s="2" t="str">
        <f t="shared" si="3"/>
        <v/>
      </c>
      <c r="H741" s="2" t="str">
        <f>IF(G741="","",SUMIF(Familias!C:C,G741,Familias!E:E))</f>
        <v/>
      </c>
      <c r="I741" s="4" t="str">
        <f>IF(A741="","",COUNTIF(Prod_Prop!B:B,A741))</f>
        <v/>
      </c>
      <c r="J741" s="92" t="str">
        <f>IF(E741="","",IF(SUMIF(Precio_Productos!L:L,E741,Precio_Productos!J:J)=0,"Falta Precio",SUMIF(Precio_Productos!L:L,E741,Precio_Productos!J:J)))</f>
        <v/>
      </c>
      <c r="O741" s="86"/>
      <c r="P741" s="86" t="str">
        <f>IFERROR(__xludf.DUMMYFUNCTION("IF(OR(F741=""Selecciona.."",F741=""""),"""",TRANSPOSE(filter(Familias!C:C,Familias!D:D=F741)))"),"")</f>
        <v/>
      </c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</row>
    <row r="742">
      <c r="A742" s="4" t="str">
        <f t="shared" si="1"/>
        <v/>
      </c>
      <c r="B742" s="4"/>
      <c r="C742" s="4"/>
      <c r="D742" s="4"/>
      <c r="E742" s="94"/>
      <c r="F742" s="4" t="str">
        <f t="shared" si="2"/>
        <v/>
      </c>
      <c r="G742" s="2" t="str">
        <f t="shared" si="3"/>
        <v/>
      </c>
      <c r="H742" s="2" t="str">
        <f>IF(G742="","",SUMIF(Familias!C:C,G742,Familias!E:E))</f>
        <v/>
      </c>
      <c r="I742" s="4" t="str">
        <f>IF(A742="","",COUNTIF(Prod_Prop!B:B,A742))</f>
        <v/>
      </c>
      <c r="J742" s="92" t="str">
        <f>IF(E742="","",IF(SUMIF(Precio_Productos!L:L,E742,Precio_Productos!J:J)=0,"Falta Precio",SUMIF(Precio_Productos!L:L,E742,Precio_Productos!J:J)))</f>
        <v/>
      </c>
      <c r="O742" s="86"/>
      <c r="P742" s="86" t="str">
        <f>IFERROR(__xludf.DUMMYFUNCTION("IF(OR(F742=""Selecciona.."",F742=""""),"""",TRANSPOSE(filter(Familias!C:C,Familias!D:D=F742)))"),"")</f>
        <v/>
      </c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</row>
    <row r="743">
      <c r="A743" s="4" t="str">
        <f t="shared" si="1"/>
        <v/>
      </c>
      <c r="B743" s="4"/>
      <c r="C743" s="4"/>
      <c r="D743" s="4"/>
      <c r="E743" s="94"/>
      <c r="F743" s="4" t="str">
        <f t="shared" si="2"/>
        <v/>
      </c>
      <c r="G743" s="2" t="str">
        <f t="shared" si="3"/>
        <v/>
      </c>
      <c r="H743" s="2" t="str">
        <f>IF(G743="","",SUMIF(Familias!C:C,G743,Familias!E:E))</f>
        <v/>
      </c>
      <c r="I743" s="4" t="str">
        <f>IF(A743="","",COUNTIF(Prod_Prop!B:B,A743))</f>
        <v/>
      </c>
      <c r="J743" s="92" t="str">
        <f>IF(E743="","",IF(SUMIF(Precio_Productos!L:L,E743,Precio_Productos!J:J)=0,"Falta Precio",SUMIF(Precio_Productos!L:L,E743,Precio_Productos!J:J)))</f>
        <v/>
      </c>
      <c r="O743" s="86"/>
      <c r="P743" s="86" t="str">
        <f>IFERROR(__xludf.DUMMYFUNCTION("IF(OR(F743=""Selecciona.."",F743=""""),"""",TRANSPOSE(filter(Familias!C:C,Familias!D:D=F743)))"),"")</f>
        <v/>
      </c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</row>
    <row r="744">
      <c r="A744" s="4" t="str">
        <f t="shared" si="1"/>
        <v/>
      </c>
      <c r="B744" s="4"/>
      <c r="C744" s="4"/>
      <c r="D744" s="4"/>
      <c r="E744" s="94"/>
      <c r="F744" s="4" t="str">
        <f t="shared" si="2"/>
        <v/>
      </c>
      <c r="G744" s="2" t="str">
        <f t="shared" si="3"/>
        <v/>
      </c>
      <c r="H744" s="2" t="str">
        <f>IF(G744="","",SUMIF(Familias!C:C,G744,Familias!E:E))</f>
        <v/>
      </c>
      <c r="I744" s="4" t="str">
        <f>IF(A744="","",COUNTIF(Prod_Prop!B:B,A744))</f>
        <v/>
      </c>
      <c r="J744" s="92" t="str">
        <f>IF(E744="","",IF(SUMIF(Precio_Productos!L:L,E744,Precio_Productos!J:J)=0,"Falta Precio",SUMIF(Precio_Productos!L:L,E744,Precio_Productos!J:J)))</f>
        <v/>
      </c>
      <c r="O744" s="86"/>
      <c r="P744" s="86" t="str">
        <f>IFERROR(__xludf.DUMMYFUNCTION("IF(OR(F744=""Selecciona.."",F744=""""),"""",TRANSPOSE(filter(Familias!C:C,Familias!D:D=F744)))"),"")</f>
        <v/>
      </c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</row>
    <row r="745">
      <c r="A745" s="4" t="str">
        <f t="shared" si="1"/>
        <v/>
      </c>
      <c r="B745" s="4"/>
      <c r="C745" s="4"/>
      <c r="D745" s="4"/>
      <c r="E745" s="94"/>
      <c r="F745" s="4" t="str">
        <f t="shared" si="2"/>
        <v/>
      </c>
      <c r="G745" s="2" t="str">
        <f t="shared" si="3"/>
        <v/>
      </c>
      <c r="H745" s="2" t="str">
        <f>IF(G745="","",SUMIF(Familias!C:C,G745,Familias!E:E))</f>
        <v/>
      </c>
      <c r="I745" s="4" t="str">
        <f>IF(A745="","",COUNTIF(Prod_Prop!B:B,A745))</f>
        <v/>
      </c>
      <c r="J745" s="92" t="str">
        <f>IF(E745="","",IF(SUMIF(Precio_Productos!L:L,E745,Precio_Productos!J:J)=0,"Falta Precio",SUMIF(Precio_Productos!L:L,E745,Precio_Productos!J:J)))</f>
        <v/>
      </c>
      <c r="O745" s="86"/>
      <c r="P745" s="86" t="str">
        <f>IFERROR(__xludf.DUMMYFUNCTION("IF(OR(F745=""Selecciona.."",F745=""""),"""",TRANSPOSE(filter(Familias!C:C,Familias!D:D=F745)))"),"")</f>
        <v/>
      </c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</row>
    <row r="746">
      <c r="A746" s="4" t="str">
        <f t="shared" si="1"/>
        <v/>
      </c>
      <c r="B746" s="4"/>
      <c r="C746" s="4"/>
      <c r="D746" s="4"/>
      <c r="E746" s="94"/>
      <c r="F746" s="4" t="str">
        <f t="shared" si="2"/>
        <v/>
      </c>
      <c r="G746" s="2" t="str">
        <f t="shared" si="3"/>
        <v/>
      </c>
      <c r="H746" s="2" t="str">
        <f>IF(G746="","",SUMIF(Familias!C:C,G746,Familias!E:E))</f>
        <v/>
      </c>
      <c r="I746" s="4" t="str">
        <f>IF(A746="","",COUNTIF(Prod_Prop!B:B,A746))</f>
        <v/>
      </c>
      <c r="J746" s="92" t="str">
        <f>IF(E746="","",IF(SUMIF(Precio_Productos!L:L,E746,Precio_Productos!J:J)=0,"Falta Precio",SUMIF(Precio_Productos!L:L,E746,Precio_Productos!J:J)))</f>
        <v/>
      </c>
      <c r="O746" s="86"/>
      <c r="P746" s="86" t="str">
        <f>IFERROR(__xludf.DUMMYFUNCTION("IF(OR(F746=""Selecciona.."",F746=""""),"""",TRANSPOSE(filter(Familias!C:C,Familias!D:D=F746)))"),"")</f>
        <v/>
      </c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</row>
    <row r="747">
      <c r="A747" s="4" t="str">
        <f t="shared" si="1"/>
        <v/>
      </c>
      <c r="B747" s="4"/>
      <c r="C747" s="4"/>
      <c r="D747" s="4"/>
      <c r="E747" s="94"/>
      <c r="F747" s="4" t="str">
        <f t="shared" si="2"/>
        <v/>
      </c>
      <c r="G747" s="2" t="str">
        <f t="shared" si="3"/>
        <v/>
      </c>
      <c r="H747" s="2" t="str">
        <f>IF(G747="","",SUMIF(Familias!C:C,G747,Familias!E:E))</f>
        <v/>
      </c>
      <c r="I747" s="4" t="str">
        <f>IF(A747="","",COUNTIF(Prod_Prop!B:B,A747))</f>
        <v/>
      </c>
      <c r="J747" s="92" t="str">
        <f>IF(E747="","",IF(SUMIF(Precio_Productos!L:L,E747,Precio_Productos!J:J)=0,"Falta Precio",SUMIF(Precio_Productos!L:L,E747,Precio_Productos!J:J)))</f>
        <v/>
      </c>
      <c r="O747" s="86"/>
      <c r="P747" s="86" t="str">
        <f>IFERROR(__xludf.DUMMYFUNCTION("IF(OR(F747=""Selecciona.."",F747=""""),"""",TRANSPOSE(filter(Familias!C:C,Familias!D:D=F747)))"),"")</f>
        <v/>
      </c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</row>
    <row r="748">
      <c r="A748" s="4" t="str">
        <f t="shared" si="1"/>
        <v/>
      </c>
      <c r="B748" s="4"/>
      <c r="C748" s="4"/>
      <c r="D748" s="4"/>
      <c r="E748" s="94"/>
      <c r="F748" s="4" t="str">
        <f t="shared" si="2"/>
        <v/>
      </c>
      <c r="G748" s="2" t="str">
        <f t="shared" si="3"/>
        <v/>
      </c>
      <c r="H748" s="2" t="str">
        <f>IF(G748="","",SUMIF(Familias!C:C,G748,Familias!E:E))</f>
        <v/>
      </c>
      <c r="I748" s="4" t="str">
        <f>IF(A748="","",COUNTIF(Prod_Prop!B:B,A748))</f>
        <v/>
      </c>
      <c r="J748" s="92" t="str">
        <f>IF(E748="","",IF(SUMIF(Precio_Productos!L:L,E748,Precio_Productos!J:J)=0,"Falta Precio",SUMIF(Precio_Productos!L:L,E748,Precio_Productos!J:J)))</f>
        <v/>
      </c>
      <c r="O748" s="86"/>
      <c r="P748" s="86" t="str">
        <f>IFERROR(__xludf.DUMMYFUNCTION("IF(OR(F748=""Selecciona.."",F748=""""),"""",TRANSPOSE(filter(Familias!C:C,Familias!D:D=F748)))"),"")</f>
        <v/>
      </c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</row>
    <row r="749">
      <c r="A749" s="4" t="str">
        <f t="shared" si="1"/>
        <v/>
      </c>
      <c r="B749" s="4"/>
      <c r="C749" s="4"/>
      <c r="D749" s="4"/>
      <c r="E749" s="94"/>
      <c r="F749" s="4" t="str">
        <f t="shared" si="2"/>
        <v/>
      </c>
      <c r="G749" s="2" t="str">
        <f t="shared" si="3"/>
        <v/>
      </c>
      <c r="H749" s="2" t="str">
        <f>IF(G749="","",SUMIF(Familias!C:C,G749,Familias!E:E))</f>
        <v/>
      </c>
      <c r="I749" s="4" t="str">
        <f>IF(A749="","",COUNTIF(Prod_Prop!B:B,A749))</f>
        <v/>
      </c>
      <c r="J749" s="92" t="str">
        <f>IF(E749="","",IF(SUMIF(Precio_Productos!L:L,E749,Precio_Productos!J:J)=0,"Falta Precio",SUMIF(Precio_Productos!L:L,E749,Precio_Productos!J:J)))</f>
        <v/>
      </c>
      <c r="O749" s="86"/>
      <c r="P749" s="86" t="str">
        <f>IFERROR(__xludf.DUMMYFUNCTION("IF(OR(F749=""Selecciona.."",F749=""""),"""",TRANSPOSE(filter(Familias!C:C,Familias!D:D=F749)))"),"")</f>
        <v/>
      </c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</row>
    <row r="750">
      <c r="A750" s="4" t="str">
        <f t="shared" si="1"/>
        <v/>
      </c>
      <c r="B750" s="4"/>
      <c r="C750" s="4"/>
      <c r="D750" s="4"/>
      <c r="E750" s="94"/>
      <c r="F750" s="4" t="str">
        <f t="shared" si="2"/>
        <v/>
      </c>
      <c r="G750" s="2" t="str">
        <f t="shared" si="3"/>
        <v/>
      </c>
      <c r="H750" s="2" t="str">
        <f>IF(G750="","",SUMIF(Familias!C:C,G750,Familias!E:E))</f>
        <v/>
      </c>
      <c r="I750" s="4" t="str">
        <f>IF(A750="","",COUNTIF(Prod_Prop!B:B,A750))</f>
        <v/>
      </c>
      <c r="J750" s="92" t="str">
        <f>IF(E750="","",IF(SUMIF(Precio_Productos!L:L,E750,Precio_Productos!J:J)=0,"Falta Precio",SUMIF(Precio_Productos!L:L,E750,Precio_Productos!J:J)))</f>
        <v/>
      </c>
      <c r="O750" s="86"/>
      <c r="P750" s="86" t="str">
        <f>IFERROR(__xludf.DUMMYFUNCTION("IF(OR(F750=""Selecciona.."",F750=""""),"""",TRANSPOSE(filter(Familias!C:C,Familias!D:D=F750)))"),"")</f>
        <v/>
      </c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</row>
    <row r="751">
      <c r="A751" s="4" t="str">
        <f t="shared" si="1"/>
        <v/>
      </c>
      <c r="B751" s="4"/>
      <c r="C751" s="4"/>
      <c r="D751" s="4"/>
      <c r="E751" s="94"/>
      <c r="F751" s="4" t="str">
        <f t="shared" si="2"/>
        <v/>
      </c>
      <c r="G751" s="2" t="str">
        <f t="shared" si="3"/>
        <v/>
      </c>
      <c r="H751" s="2" t="str">
        <f>IF(G751="","",SUMIF(Familias!C:C,G751,Familias!E:E))</f>
        <v/>
      </c>
      <c r="I751" s="4" t="str">
        <f>IF(A751="","",COUNTIF(Prod_Prop!B:B,A751))</f>
        <v/>
      </c>
      <c r="J751" s="92" t="str">
        <f>IF(E751="","",IF(SUMIF(Precio_Productos!L:L,E751,Precio_Productos!J:J)=0,"Falta Precio",SUMIF(Precio_Productos!L:L,E751,Precio_Productos!J:J)))</f>
        <v/>
      </c>
      <c r="O751" s="86"/>
      <c r="P751" s="86" t="str">
        <f>IFERROR(__xludf.DUMMYFUNCTION("IF(OR(F751=""Selecciona.."",F751=""""),"""",TRANSPOSE(filter(Familias!C:C,Familias!D:D=F751)))"),"")</f>
        <v/>
      </c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</row>
    <row r="752">
      <c r="A752" s="4" t="str">
        <f t="shared" si="1"/>
        <v/>
      </c>
      <c r="B752" s="4"/>
      <c r="C752" s="4"/>
      <c r="D752" s="4"/>
      <c r="E752" s="94"/>
      <c r="F752" s="4" t="str">
        <f t="shared" si="2"/>
        <v/>
      </c>
      <c r="G752" s="2" t="str">
        <f t="shared" si="3"/>
        <v/>
      </c>
      <c r="H752" s="2" t="str">
        <f>IF(G752="","",SUMIF(Familias!C:C,G752,Familias!E:E))</f>
        <v/>
      </c>
      <c r="I752" s="4" t="str">
        <f>IF(A752="","",COUNTIF(Prod_Prop!B:B,A752))</f>
        <v/>
      </c>
      <c r="J752" s="92" t="str">
        <f>IF(E752="","",IF(SUMIF(Precio_Productos!L:L,E752,Precio_Productos!J:J)=0,"Falta Precio",SUMIF(Precio_Productos!L:L,E752,Precio_Productos!J:J)))</f>
        <v/>
      </c>
      <c r="O752" s="86"/>
      <c r="P752" s="86" t="str">
        <f>IFERROR(__xludf.DUMMYFUNCTION("IF(OR(F752=""Selecciona.."",F752=""""),"""",TRANSPOSE(filter(Familias!C:C,Familias!D:D=F752)))"),"")</f>
        <v/>
      </c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</row>
    <row r="753">
      <c r="A753" s="4" t="str">
        <f t="shared" si="1"/>
        <v/>
      </c>
      <c r="B753" s="4"/>
      <c r="C753" s="4"/>
      <c r="D753" s="4"/>
      <c r="E753" s="94"/>
      <c r="F753" s="4" t="str">
        <f t="shared" si="2"/>
        <v/>
      </c>
      <c r="G753" s="2" t="str">
        <f t="shared" si="3"/>
        <v/>
      </c>
      <c r="H753" s="2" t="str">
        <f>IF(G753="","",SUMIF(Familias!C:C,G753,Familias!E:E))</f>
        <v/>
      </c>
      <c r="I753" s="4" t="str">
        <f>IF(A753="","",COUNTIF(Prod_Prop!B:B,A753))</f>
        <v/>
      </c>
      <c r="J753" s="92" t="str">
        <f>IF(E753="","",IF(SUMIF(Precio_Productos!L:L,E753,Precio_Productos!J:J)=0,"Falta Precio",SUMIF(Precio_Productos!L:L,E753,Precio_Productos!J:J)))</f>
        <v/>
      </c>
      <c r="O753" s="86"/>
      <c r="P753" s="86" t="str">
        <f>IFERROR(__xludf.DUMMYFUNCTION("IF(OR(F753=""Selecciona.."",F753=""""),"""",TRANSPOSE(filter(Familias!C:C,Familias!D:D=F753)))"),"")</f>
        <v/>
      </c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</row>
    <row r="754">
      <c r="A754" s="4" t="str">
        <f t="shared" si="1"/>
        <v/>
      </c>
      <c r="B754" s="4"/>
      <c r="C754" s="4"/>
      <c r="D754" s="4"/>
      <c r="E754" s="94"/>
      <c r="F754" s="4" t="str">
        <f t="shared" si="2"/>
        <v/>
      </c>
      <c r="G754" s="2" t="str">
        <f t="shared" si="3"/>
        <v/>
      </c>
      <c r="H754" s="2" t="str">
        <f>IF(G754="","",SUMIF(Familias!C:C,G754,Familias!E:E))</f>
        <v/>
      </c>
      <c r="I754" s="4" t="str">
        <f>IF(A754="","",COUNTIF(Prod_Prop!B:B,A754))</f>
        <v/>
      </c>
      <c r="J754" s="92" t="str">
        <f>IF(E754="","",IF(SUMIF(Precio_Productos!L:L,E754,Precio_Productos!J:J)=0,"Falta Precio",SUMIF(Precio_Productos!L:L,E754,Precio_Productos!J:J)))</f>
        <v/>
      </c>
      <c r="O754" s="86"/>
      <c r="P754" s="86" t="str">
        <f>IFERROR(__xludf.DUMMYFUNCTION("IF(OR(F754=""Selecciona.."",F754=""""),"""",TRANSPOSE(filter(Familias!C:C,Familias!D:D=F754)))"),"")</f>
        <v/>
      </c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</row>
    <row r="755">
      <c r="A755" s="4" t="str">
        <f t="shared" si="1"/>
        <v/>
      </c>
      <c r="B755" s="4"/>
      <c r="C755" s="4"/>
      <c r="D755" s="4"/>
      <c r="E755" s="94"/>
      <c r="F755" s="4" t="str">
        <f t="shared" si="2"/>
        <v/>
      </c>
      <c r="G755" s="2" t="str">
        <f t="shared" si="3"/>
        <v/>
      </c>
      <c r="H755" s="2" t="str">
        <f>IF(G755="","",SUMIF(Familias!C:C,G755,Familias!E:E))</f>
        <v/>
      </c>
      <c r="I755" s="4" t="str">
        <f>IF(A755="","",COUNTIF(Prod_Prop!B:B,A755))</f>
        <v/>
      </c>
      <c r="J755" s="92" t="str">
        <f>IF(E755="","",IF(SUMIF(Precio_Productos!L:L,E755,Precio_Productos!J:J)=0,"Falta Precio",SUMIF(Precio_Productos!L:L,E755,Precio_Productos!J:J)))</f>
        <v/>
      </c>
      <c r="O755" s="86"/>
      <c r="P755" s="86" t="str">
        <f>IFERROR(__xludf.DUMMYFUNCTION("IF(OR(F755=""Selecciona.."",F755=""""),"""",TRANSPOSE(filter(Familias!C:C,Familias!D:D=F755)))"),"")</f>
        <v/>
      </c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</row>
    <row r="756">
      <c r="A756" s="4" t="str">
        <f t="shared" si="1"/>
        <v/>
      </c>
      <c r="B756" s="4"/>
      <c r="C756" s="4"/>
      <c r="D756" s="4"/>
      <c r="E756" s="94"/>
      <c r="F756" s="4" t="str">
        <f t="shared" si="2"/>
        <v/>
      </c>
      <c r="G756" s="2" t="str">
        <f t="shared" si="3"/>
        <v/>
      </c>
      <c r="H756" s="2" t="str">
        <f>IF(G756="","",SUMIF(Familias!C:C,G756,Familias!E:E))</f>
        <v/>
      </c>
      <c r="I756" s="4" t="str">
        <f>IF(A756="","",COUNTIF(Prod_Prop!B:B,A756))</f>
        <v/>
      </c>
      <c r="J756" s="92" t="str">
        <f>IF(E756="","",IF(SUMIF(Precio_Productos!L:L,E756,Precio_Productos!J:J)=0,"Falta Precio",SUMIF(Precio_Productos!L:L,E756,Precio_Productos!J:J)))</f>
        <v/>
      </c>
      <c r="O756" s="86"/>
      <c r="P756" s="86" t="str">
        <f>IFERROR(__xludf.DUMMYFUNCTION("IF(OR(F756=""Selecciona.."",F756=""""),"""",TRANSPOSE(filter(Familias!C:C,Familias!D:D=F756)))"),"")</f>
        <v/>
      </c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</row>
    <row r="757">
      <c r="A757" s="4" t="str">
        <f t="shared" si="1"/>
        <v/>
      </c>
      <c r="B757" s="4"/>
      <c r="C757" s="4"/>
      <c r="D757" s="4"/>
      <c r="E757" s="94"/>
      <c r="F757" s="4" t="str">
        <f t="shared" si="2"/>
        <v/>
      </c>
      <c r="G757" s="2" t="str">
        <f t="shared" si="3"/>
        <v/>
      </c>
      <c r="H757" s="2" t="str">
        <f>IF(G757="","",SUMIF(Familias!C:C,G757,Familias!E:E))</f>
        <v/>
      </c>
      <c r="I757" s="4" t="str">
        <f>IF(A757="","",COUNTIF(Prod_Prop!B:B,A757))</f>
        <v/>
      </c>
      <c r="J757" s="92" t="str">
        <f>IF(E757="","",IF(SUMIF(Precio_Productos!L:L,E757,Precio_Productos!J:J)=0,"Falta Precio",SUMIF(Precio_Productos!L:L,E757,Precio_Productos!J:J)))</f>
        <v/>
      </c>
      <c r="O757" s="86"/>
      <c r="P757" s="86" t="str">
        <f>IFERROR(__xludf.DUMMYFUNCTION("IF(OR(F757=""Selecciona.."",F757=""""),"""",TRANSPOSE(filter(Familias!C:C,Familias!D:D=F757)))"),"")</f>
        <v/>
      </c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</row>
    <row r="758">
      <c r="A758" s="4" t="str">
        <f t="shared" si="1"/>
        <v/>
      </c>
      <c r="B758" s="4"/>
      <c r="C758" s="4"/>
      <c r="D758" s="4"/>
      <c r="E758" s="94"/>
      <c r="F758" s="4" t="str">
        <f t="shared" si="2"/>
        <v/>
      </c>
      <c r="G758" s="2" t="str">
        <f t="shared" si="3"/>
        <v/>
      </c>
      <c r="H758" s="2" t="str">
        <f>IF(G758="","",SUMIF(Familias!C:C,G758,Familias!E:E))</f>
        <v/>
      </c>
      <c r="I758" s="4" t="str">
        <f>IF(A758="","",COUNTIF(Prod_Prop!B:B,A758))</f>
        <v/>
      </c>
      <c r="J758" s="92" t="str">
        <f>IF(E758="","",IF(SUMIF(Precio_Productos!L:L,E758,Precio_Productos!J:J)=0,"Falta Precio",SUMIF(Precio_Productos!L:L,E758,Precio_Productos!J:J)))</f>
        <v/>
      </c>
      <c r="O758" s="86"/>
      <c r="P758" s="86" t="str">
        <f>IFERROR(__xludf.DUMMYFUNCTION("IF(OR(F758=""Selecciona.."",F758=""""),"""",TRANSPOSE(filter(Familias!C:C,Familias!D:D=F758)))"),"")</f>
        <v/>
      </c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</row>
    <row r="759">
      <c r="A759" s="4" t="str">
        <f t="shared" si="1"/>
        <v/>
      </c>
      <c r="B759" s="4"/>
      <c r="C759" s="4"/>
      <c r="D759" s="4"/>
      <c r="E759" s="94"/>
      <c r="F759" s="4" t="str">
        <f t="shared" si="2"/>
        <v/>
      </c>
      <c r="G759" s="2" t="str">
        <f t="shared" si="3"/>
        <v/>
      </c>
      <c r="H759" s="2" t="str">
        <f>IF(G759="","",SUMIF(Familias!C:C,G759,Familias!E:E))</f>
        <v/>
      </c>
      <c r="I759" s="4" t="str">
        <f>IF(A759="","",COUNTIF(Prod_Prop!B:B,A759))</f>
        <v/>
      </c>
      <c r="J759" s="92" t="str">
        <f>IF(E759="","",IF(SUMIF(Precio_Productos!L:L,E759,Precio_Productos!J:J)=0,"Falta Precio",SUMIF(Precio_Productos!L:L,E759,Precio_Productos!J:J)))</f>
        <v/>
      </c>
      <c r="O759" s="86"/>
      <c r="P759" s="86" t="str">
        <f>IFERROR(__xludf.DUMMYFUNCTION("IF(OR(F759=""Selecciona.."",F759=""""),"""",TRANSPOSE(filter(Familias!C:C,Familias!D:D=F759)))"),"")</f>
        <v/>
      </c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</row>
    <row r="760">
      <c r="A760" s="4" t="str">
        <f t="shared" si="1"/>
        <v/>
      </c>
      <c r="B760" s="4"/>
      <c r="C760" s="4"/>
      <c r="D760" s="4"/>
      <c r="E760" s="94"/>
      <c r="F760" s="4" t="str">
        <f t="shared" si="2"/>
        <v/>
      </c>
      <c r="G760" s="2" t="str">
        <f t="shared" si="3"/>
        <v/>
      </c>
      <c r="H760" s="2" t="str">
        <f>IF(G760="","",SUMIF(Familias!C:C,G760,Familias!E:E))</f>
        <v/>
      </c>
      <c r="I760" s="4" t="str">
        <f>IF(A760="","",COUNTIF(Prod_Prop!B:B,A760))</f>
        <v/>
      </c>
      <c r="J760" s="92" t="str">
        <f>IF(E760="","",IF(SUMIF(Precio_Productos!L:L,E760,Precio_Productos!J:J)=0,"Falta Precio",SUMIF(Precio_Productos!L:L,E760,Precio_Productos!J:J)))</f>
        <v/>
      </c>
      <c r="O760" s="86"/>
      <c r="P760" s="86" t="str">
        <f>IFERROR(__xludf.DUMMYFUNCTION("IF(OR(F760=""Selecciona.."",F760=""""),"""",TRANSPOSE(filter(Familias!C:C,Familias!D:D=F760)))"),"")</f>
        <v/>
      </c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</row>
    <row r="761">
      <c r="A761" s="4" t="str">
        <f t="shared" si="1"/>
        <v/>
      </c>
      <c r="B761" s="4"/>
      <c r="C761" s="4"/>
      <c r="D761" s="4"/>
      <c r="E761" s="94"/>
      <c r="F761" s="4" t="str">
        <f t="shared" si="2"/>
        <v/>
      </c>
      <c r="G761" s="2" t="str">
        <f t="shared" si="3"/>
        <v/>
      </c>
      <c r="H761" s="2" t="str">
        <f>IF(G761="","",SUMIF(Familias!C:C,G761,Familias!E:E))</f>
        <v/>
      </c>
      <c r="I761" s="4" t="str">
        <f>IF(A761="","",COUNTIF(Prod_Prop!B:B,A761))</f>
        <v/>
      </c>
      <c r="J761" s="92" t="str">
        <f>IF(E761="","",IF(SUMIF(Precio_Productos!L:L,E761,Precio_Productos!J:J)=0,"Falta Precio",SUMIF(Precio_Productos!L:L,E761,Precio_Productos!J:J)))</f>
        <v/>
      </c>
      <c r="O761" s="86"/>
      <c r="P761" s="86" t="str">
        <f>IFERROR(__xludf.DUMMYFUNCTION("IF(OR(F761=""Selecciona.."",F761=""""),"""",TRANSPOSE(filter(Familias!C:C,Familias!D:D=F761)))"),"")</f>
        <v/>
      </c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</row>
    <row r="762">
      <c r="A762" s="4" t="str">
        <f t="shared" si="1"/>
        <v/>
      </c>
      <c r="B762" s="4"/>
      <c r="C762" s="4"/>
      <c r="D762" s="4"/>
      <c r="E762" s="94"/>
      <c r="F762" s="4" t="str">
        <f t="shared" si="2"/>
        <v/>
      </c>
      <c r="G762" s="2" t="str">
        <f t="shared" si="3"/>
        <v/>
      </c>
      <c r="H762" s="2" t="str">
        <f>IF(G762="","",SUMIF(Familias!C:C,G762,Familias!E:E))</f>
        <v/>
      </c>
      <c r="I762" s="4" t="str">
        <f>IF(A762="","",COUNTIF(Prod_Prop!B:B,A762))</f>
        <v/>
      </c>
      <c r="J762" s="92" t="str">
        <f>IF(E762="","",IF(SUMIF(Precio_Productos!L:L,E762,Precio_Productos!J:J)=0,"Falta Precio",SUMIF(Precio_Productos!L:L,E762,Precio_Productos!J:J)))</f>
        <v/>
      </c>
      <c r="O762" s="86"/>
      <c r="P762" s="86" t="str">
        <f>IFERROR(__xludf.DUMMYFUNCTION("IF(OR(F762=""Selecciona.."",F762=""""),"""",TRANSPOSE(filter(Familias!C:C,Familias!D:D=F762)))"),"")</f>
        <v/>
      </c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</row>
    <row r="763">
      <c r="A763" s="4" t="str">
        <f t="shared" si="1"/>
        <v/>
      </c>
      <c r="B763" s="4"/>
      <c r="C763" s="4"/>
      <c r="D763" s="4"/>
      <c r="E763" s="94"/>
      <c r="F763" s="4" t="str">
        <f t="shared" si="2"/>
        <v/>
      </c>
      <c r="G763" s="2" t="str">
        <f t="shared" si="3"/>
        <v/>
      </c>
      <c r="H763" s="2" t="str">
        <f>IF(G763="","",SUMIF(Familias!C:C,G763,Familias!E:E))</f>
        <v/>
      </c>
      <c r="I763" s="4" t="str">
        <f>IF(A763="","",COUNTIF(Prod_Prop!B:B,A763))</f>
        <v/>
      </c>
      <c r="J763" s="92" t="str">
        <f>IF(E763="","",IF(SUMIF(Precio_Productos!L:L,E763,Precio_Productos!J:J)=0,"Falta Precio",SUMIF(Precio_Productos!L:L,E763,Precio_Productos!J:J)))</f>
        <v/>
      </c>
      <c r="O763" s="86"/>
      <c r="P763" s="86" t="str">
        <f>IFERROR(__xludf.DUMMYFUNCTION("IF(OR(F763=""Selecciona.."",F763=""""),"""",TRANSPOSE(filter(Familias!C:C,Familias!D:D=F763)))"),"")</f>
        <v/>
      </c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</row>
    <row r="764">
      <c r="A764" s="4" t="str">
        <f t="shared" si="1"/>
        <v/>
      </c>
      <c r="B764" s="4"/>
      <c r="C764" s="4"/>
      <c r="D764" s="4"/>
      <c r="E764" s="94"/>
      <c r="F764" s="4" t="str">
        <f t="shared" si="2"/>
        <v/>
      </c>
      <c r="G764" s="2" t="str">
        <f t="shared" si="3"/>
        <v/>
      </c>
      <c r="H764" s="2" t="str">
        <f>IF(G764="","",SUMIF(Familias!C:C,G764,Familias!E:E))</f>
        <v/>
      </c>
      <c r="I764" s="4" t="str">
        <f>IF(A764="","",COUNTIF(Prod_Prop!B:B,A764))</f>
        <v/>
      </c>
      <c r="J764" s="92" t="str">
        <f>IF(E764="","",IF(SUMIF(Precio_Productos!L:L,E764,Precio_Productos!J:J)=0,"Falta Precio",SUMIF(Precio_Productos!L:L,E764,Precio_Productos!J:J)))</f>
        <v/>
      </c>
      <c r="O764" s="86"/>
      <c r="P764" s="86" t="str">
        <f>IFERROR(__xludf.DUMMYFUNCTION("IF(OR(F764=""Selecciona.."",F764=""""),"""",TRANSPOSE(filter(Familias!C:C,Familias!D:D=F764)))"),"")</f>
        <v/>
      </c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</row>
    <row r="765">
      <c r="A765" s="4" t="str">
        <f t="shared" si="1"/>
        <v/>
      </c>
      <c r="B765" s="4"/>
      <c r="C765" s="4"/>
      <c r="D765" s="4"/>
      <c r="E765" s="94"/>
      <c r="F765" s="4" t="str">
        <f t="shared" si="2"/>
        <v/>
      </c>
      <c r="G765" s="2" t="str">
        <f t="shared" si="3"/>
        <v/>
      </c>
      <c r="H765" s="2" t="str">
        <f>IF(G765="","",SUMIF(Familias!C:C,G765,Familias!E:E))</f>
        <v/>
      </c>
      <c r="I765" s="4" t="str">
        <f>IF(A765="","",COUNTIF(Prod_Prop!B:B,A765))</f>
        <v/>
      </c>
      <c r="J765" s="92" t="str">
        <f>IF(E765="","",IF(SUMIF(Precio_Productos!L:L,E765,Precio_Productos!J:J)=0,"Falta Precio",SUMIF(Precio_Productos!L:L,E765,Precio_Productos!J:J)))</f>
        <v/>
      </c>
      <c r="O765" s="86"/>
      <c r="P765" s="86" t="str">
        <f>IFERROR(__xludf.DUMMYFUNCTION("IF(OR(F765=""Selecciona.."",F765=""""),"""",TRANSPOSE(filter(Familias!C:C,Familias!D:D=F765)))"),"")</f>
        <v/>
      </c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</row>
    <row r="766">
      <c r="A766" s="4" t="str">
        <f t="shared" si="1"/>
        <v/>
      </c>
      <c r="B766" s="4"/>
      <c r="C766" s="4"/>
      <c r="D766" s="4"/>
      <c r="E766" s="94"/>
      <c r="F766" s="4" t="str">
        <f t="shared" si="2"/>
        <v/>
      </c>
      <c r="G766" s="2" t="str">
        <f t="shared" si="3"/>
        <v/>
      </c>
      <c r="H766" s="2" t="str">
        <f>IF(G766="","",SUMIF(Familias!C:C,G766,Familias!E:E))</f>
        <v/>
      </c>
      <c r="I766" s="4" t="str">
        <f>IF(A766="","",COUNTIF(Prod_Prop!B:B,A766))</f>
        <v/>
      </c>
      <c r="J766" s="92" t="str">
        <f>IF(E766="","",IF(SUMIF(Precio_Productos!L:L,E766,Precio_Productos!J:J)=0,"Falta Precio",SUMIF(Precio_Productos!L:L,E766,Precio_Productos!J:J)))</f>
        <v/>
      </c>
      <c r="O766" s="86"/>
      <c r="P766" s="86" t="str">
        <f>IFERROR(__xludf.DUMMYFUNCTION("IF(OR(F766=""Selecciona.."",F766=""""),"""",TRANSPOSE(filter(Familias!C:C,Familias!D:D=F766)))"),"")</f>
        <v/>
      </c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</row>
    <row r="767">
      <c r="A767" s="4" t="str">
        <f t="shared" si="1"/>
        <v/>
      </c>
      <c r="B767" s="4"/>
      <c r="C767" s="4"/>
      <c r="D767" s="4"/>
      <c r="E767" s="94"/>
      <c r="F767" s="4" t="str">
        <f t="shared" si="2"/>
        <v/>
      </c>
      <c r="G767" s="2" t="str">
        <f t="shared" si="3"/>
        <v/>
      </c>
      <c r="H767" s="2" t="str">
        <f>IF(G767="","",SUMIF(Familias!C:C,G767,Familias!E:E))</f>
        <v/>
      </c>
      <c r="I767" s="4" t="str">
        <f>IF(A767="","",COUNTIF(Prod_Prop!B:B,A767))</f>
        <v/>
      </c>
      <c r="J767" s="92" t="str">
        <f>IF(E767="","",IF(SUMIF(Precio_Productos!L:L,E767,Precio_Productos!J:J)=0,"Falta Precio",SUMIF(Precio_Productos!L:L,E767,Precio_Productos!J:J)))</f>
        <v/>
      </c>
      <c r="O767" s="86"/>
      <c r="P767" s="86" t="str">
        <f>IFERROR(__xludf.DUMMYFUNCTION("IF(OR(F767=""Selecciona.."",F767=""""),"""",TRANSPOSE(filter(Familias!C:C,Familias!D:D=F767)))"),"")</f>
        <v/>
      </c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</row>
    <row r="768">
      <c r="A768" s="4" t="str">
        <f t="shared" si="1"/>
        <v/>
      </c>
      <c r="B768" s="4"/>
      <c r="C768" s="4"/>
      <c r="D768" s="4"/>
      <c r="E768" s="94"/>
      <c r="F768" s="4" t="str">
        <f t="shared" si="2"/>
        <v/>
      </c>
      <c r="G768" s="2" t="str">
        <f t="shared" si="3"/>
        <v/>
      </c>
      <c r="H768" s="2" t="str">
        <f>IF(G768="","",SUMIF(Familias!C:C,G768,Familias!E:E))</f>
        <v/>
      </c>
      <c r="I768" s="4" t="str">
        <f>IF(A768="","",COUNTIF(Prod_Prop!B:B,A768))</f>
        <v/>
      </c>
      <c r="J768" s="92" t="str">
        <f>IF(E768="","",IF(SUMIF(Precio_Productos!L:L,E768,Precio_Productos!J:J)=0,"Falta Precio",SUMIF(Precio_Productos!L:L,E768,Precio_Productos!J:J)))</f>
        <v/>
      </c>
      <c r="O768" s="86"/>
      <c r="P768" s="86" t="str">
        <f>IFERROR(__xludf.DUMMYFUNCTION("IF(OR(F768=""Selecciona.."",F768=""""),"""",TRANSPOSE(filter(Familias!C:C,Familias!D:D=F768)))"),"")</f>
        <v/>
      </c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</row>
    <row r="769">
      <c r="A769" s="4" t="str">
        <f t="shared" si="1"/>
        <v/>
      </c>
      <c r="B769" s="4"/>
      <c r="C769" s="4"/>
      <c r="D769" s="4"/>
      <c r="E769" s="94"/>
      <c r="F769" s="4" t="str">
        <f t="shared" si="2"/>
        <v/>
      </c>
      <c r="G769" s="2" t="str">
        <f t="shared" si="3"/>
        <v/>
      </c>
      <c r="H769" s="2" t="str">
        <f>IF(G769="","",SUMIF(Familias!C:C,G769,Familias!E:E))</f>
        <v/>
      </c>
      <c r="I769" s="4" t="str">
        <f>IF(A769="","",COUNTIF(Prod_Prop!B:B,A769))</f>
        <v/>
      </c>
      <c r="J769" s="92" t="str">
        <f>IF(E769="","",IF(SUMIF(Precio_Productos!L:L,E769,Precio_Productos!J:J)=0,"Falta Precio",SUMIF(Precio_Productos!L:L,E769,Precio_Productos!J:J)))</f>
        <v/>
      </c>
      <c r="O769" s="86"/>
      <c r="P769" s="86" t="str">
        <f>IFERROR(__xludf.DUMMYFUNCTION("IF(OR(F769=""Selecciona.."",F769=""""),"""",TRANSPOSE(filter(Familias!C:C,Familias!D:D=F769)))"),"")</f>
        <v/>
      </c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</row>
    <row r="770">
      <c r="A770" s="4" t="str">
        <f t="shared" si="1"/>
        <v/>
      </c>
      <c r="B770" s="4"/>
      <c r="C770" s="4"/>
      <c r="D770" s="4"/>
      <c r="E770" s="94"/>
      <c r="F770" s="4" t="str">
        <f t="shared" si="2"/>
        <v/>
      </c>
      <c r="G770" s="2" t="str">
        <f t="shared" si="3"/>
        <v/>
      </c>
      <c r="H770" s="2" t="str">
        <f>IF(G770="","",SUMIF(Familias!C:C,G770,Familias!E:E))</f>
        <v/>
      </c>
      <c r="I770" s="4" t="str">
        <f>IF(A770="","",COUNTIF(Prod_Prop!B:B,A770))</f>
        <v/>
      </c>
      <c r="J770" s="92" t="str">
        <f>IF(E770="","",IF(SUMIF(Precio_Productos!L:L,E770,Precio_Productos!J:J)=0,"Falta Precio",SUMIF(Precio_Productos!L:L,E770,Precio_Productos!J:J)))</f>
        <v/>
      </c>
      <c r="O770" s="86"/>
      <c r="P770" s="86" t="str">
        <f>IFERROR(__xludf.DUMMYFUNCTION("IF(OR(F770=""Selecciona.."",F770=""""),"""",TRANSPOSE(filter(Familias!C:C,Familias!D:D=F770)))"),"")</f>
        <v/>
      </c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</row>
    <row r="771">
      <c r="A771" s="4" t="str">
        <f t="shared" si="1"/>
        <v/>
      </c>
      <c r="B771" s="4"/>
      <c r="C771" s="4"/>
      <c r="D771" s="4"/>
      <c r="E771" s="94"/>
      <c r="F771" s="4" t="str">
        <f t="shared" si="2"/>
        <v/>
      </c>
      <c r="G771" s="2" t="str">
        <f t="shared" si="3"/>
        <v/>
      </c>
      <c r="H771" s="2" t="str">
        <f>IF(G771="","",SUMIF(Familias!C:C,G771,Familias!E:E))</f>
        <v/>
      </c>
      <c r="I771" s="4" t="str">
        <f>IF(A771="","",COUNTIF(Prod_Prop!B:B,A771))</f>
        <v/>
      </c>
      <c r="J771" s="92" t="str">
        <f>IF(E771="","",IF(SUMIF(Precio_Productos!L:L,E771,Precio_Productos!J:J)=0,"Falta Precio",SUMIF(Precio_Productos!L:L,E771,Precio_Productos!J:J)))</f>
        <v/>
      </c>
      <c r="O771" s="86"/>
      <c r="P771" s="86" t="str">
        <f>IFERROR(__xludf.DUMMYFUNCTION("IF(OR(F771=""Selecciona.."",F771=""""),"""",TRANSPOSE(filter(Familias!C:C,Familias!D:D=F771)))"),"")</f>
        <v/>
      </c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</row>
    <row r="772">
      <c r="A772" s="4" t="str">
        <f t="shared" si="1"/>
        <v/>
      </c>
      <c r="B772" s="4"/>
      <c r="C772" s="4"/>
      <c r="D772" s="4"/>
      <c r="E772" s="94"/>
      <c r="F772" s="4" t="str">
        <f t="shared" si="2"/>
        <v/>
      </c>
      <c r="G772" s="2" t="str">
        <f t="shared" si="3"/>
        <v/>
      </c>
      <c r="H772" s="2" t="str">
        <f>IF(G772="","",SUMIF(Familias!C:C,G772,Familias!E:E))</f>
        <v/>
      </c>
      <c r="I772" s="4" t="str">
        <f>IF(A772="","",COUNTIF(Prod_Prop!B:B,A772))</f>
        <v/>
      </c>
      <c r="J772" s="92" t="str">
        <f>IF(E772="","",IF(SUMIF(Precio_Productos!L:L,E772,Precio_Productos!J:J)=0,"Falta Precio",SUMIF(Precio_Productos!L:L,E772,Precio_Productos!J:J)))</f>
        <v/>
      </c>
      <c r="O772" s="86"/>
      <c r="P772" s="86" t="str">
        <f>IFERROR(__xludf.DUMMYFUNCTION("IF(OR(F772=""Selecciona.."",F772=""""),"""",TRANSPOSE(filter(Familias!C:C,Familias!D:D=F772)))"),"")</f>
        <v/>
      </c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</row>
    <row r="773">
      <c r="A773" s="4" t="str">
        <f t="shared" si="1"/>
        <v/>
      </c>
      <c r="B773" s="4"/>
      <c r="C773" s="4"/>
      <c r="D773" s="4"/>
      <c r="E773" s="94"/>
      <c r="F773" s="4" t="str">
        <f t="shared" si="2"/>
        <v/>
      </c>
      <c r="G773" s="2" t="str">
        <f t="shared" si="3"/>
        <v/>
      </c>
      <c r="H773" s="2" t="str">
        <f>IF(G773="","",SUMIF(Familias!C:C,G773,Familias!E:E))</f>
        <v/>
      </c>
      <c r="I773" s="4" t="str">
        <f>IF(A773="","",COUNTIF(Prod_Prop!B:B,A773))</f>
        <v/>
      </c>
      <c r="J773" s="92" t="str">
        <f>IF(E773="","",IF(SUMIF(Precio_Productos!L:L,E773,Precio_Productos!J:J)=0,"Falta Precio",SUMIF(Precio_Productos!L:L,E773,Precio_Productos!J:J)))</f>
        <v/>
      </c>
      <c r="O773" s="86"/>
      <c r="P773" s="86" t="str">
        <f>IFERROR(__xludf.DUMMYFUNCTION("IF(OR(F773=""Selecciona.."",F773=""""),"""",TRANSPOSE(filter(Familias!C:C,Familias!D:D=F773)))"),"")</f>
        <v/>
      </c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</row>
    <row r="774">
      <c r="A774" s="4" t="str">
        <f t="shared" si="1"/>
        <v/>
      </c>
      <c r="B774" s="4"/>
      <c r="C774" s="4"/>
      <c r="D774" s="4"/>
      <c r="E774" s="94"/>
      <c r="F774" s="4" t="str">
        <f t="shared" si="2"/>
        <v/>
      </c>
      <c r="G774" s="2" t="str">
        <f t="shared" si="3"/>
        <v/>
      </c>
      <c r="H774" s="2" t="str">
        <f>IF(G774="","",SUMIF(Familias!C:C,G774,Familias!E:E))</f>
        <v/>
      </c>
      <c r="I774" s="4" t="str">
        <f>IF(A774="","",COUNTIF(Prod_Prop!B:B,A774))</f>
        <v/>
      </c>
      <c r="J774" s="92" t="str">
        <f>IF(E774="","",IF(SUMIF(Precio_Productos!L:L,E774,Precio_Productos!J:J)=0,"Falta Precio",SUMIF(Precio_Productos!L:L,E774,Precio_Productos!J:J)))</f>
        <v/>
      </c>
      <c r="O774" s="86"/>
      <c r="P774" s="86" t="str">
        <f>IFERROR(__xludf.DUMMYFUNCTION("IF(OR(F774=""Selecciona.."",F774=""""),"""",TRANSPOSE(filter(Familias!C:C,Familias!D:D=F774)))"),"")</f>
        <v/>
      </c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</row>
    <row r="775">
      <c r="A775" s="4" t="str">
        <f t="shared" si="1"/>
        <v/>
      </c>
      <c r="B775" s="4"/>
      <c r="C775" s="4"/>
      <c r="D775" s="4"/>
      <c r="E775" s="94"/>
      <c r="F775" s="4" t="str">
        <f t="shared" si="2"/>
        <v/>
      </c>
      <c r="G775" s="2" t="str">
        <f t="shared" si="3"/>
        <v/>
      </c>
      <c r="H775" s="2" t="str">
        <f>IF(G775="","",SUMIF(Familias!C:C,G775,Familias!E:E))</f>
        <v/>
      </c>
      <c r="I775" s="4" t="str">
        <f>IF(A775="","",COUNTIF(Prod_Prop!B:B,A775))</f>
        <v/>
      </c>
      <c r="J775" s="92" t="str">
        <f>IF(E775="","",IF(SUMIF(Precio_Productos!L:L,E775,Precio_Productos!J:J)=0,"Falta Precio",SUMIF(Precio_Productos!L:L,E775,Precio_Productos!J:J)))</f>
        <v/>
      </c>
      <c r="O775" s="86"/>
      <c r="P775" s="86" t="str">
        <f>IFERROR(__xludf.DUMMYFUNCTION("IF(OR(F775=""Selecciona.."",F775=""""),"""",TRANSPOSE(filter(Familias!C:C,Familias!D:D=F775)))"),"")</f>
        <v/>
      </c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</row>
    <row r="776">
      <c r="A776" s="4" t="str">
        <f t="shared" si="1"/>
        <v/>
      </c>
      <c r="B776" s="4"/>
      <c r="C776" s="4"/>
      <c r="D776" s="4"/>
      <c r="E776" s="94"/>
      <c r="F776" s="4" t="str">
        <f t="shared" si="2"/>
        <v/>
      </c>
      <c r="G776" s="2" t="str">
        <f t="shared" si="3"/>
        <v/>
      </c>
      <c r="H776" s="2" t="str">
        <f>IF(G776="","",SUMIF(Familias!C:C,G776,Familias!E:E))</f>
        <v/>
      </c>
      <c r="I776" s="4" t="str">
        <f>IF(A776="","",COUNTIF(Prod_Prop!B:B,A776))</f>
        <v/>
      </c>
      <c r="J776" s="92" t="str">
        <f>IF(E776="","",IF(SUMIF(Precio_Productos!L:L,E776,Precio_Productos!J:J)=0,"Falta Precio",SUMIF(Precio_Productos!L:L,E776,Precio_Productos!J:J)))</f>
        <v/>
      </c>
      <c r="O776" s="86"/>
      <c r="P776" s="86" t="str">
        <f>IFERROR(__xludf.DUMMYFUNCTION("IF(OR(F776=""Selecciona.."",F776=""""),"""",TRANSPOSE(filter(Familias!C:C,Familias!D:D=F776)))"),"")</f>
        <v/>
      </c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</row>
    <row r="777">
      <c r="A777" s="4" t="str">
        <f t="shared" si="1"/>
        <v/>
      </c>
      <c r="B777" s="4"/>
      <c r="C777" s="4"/>
      <c r="D777" s="4"/>
      <c r="E777" s="94"/>
      <c r="F777" s="4" t="str">
        <f t="shared" si="2"/>
        <v/>
      </c>
      <c r="G777" s="2" t="str">
        <f t="shared" si="3"/>
        <v/>
      </c>
      <c r="H777" s="2" t="str">
        <f>IF(G777="","",SUMIF(Familias!C:C,G777,Familias!E:E))</f>
        <v/>
      </c>
      <c r="I777" s="4" t="str">
        <f>IF(A777="","",COUNTIF(Prod_Prop!B:B,A777))</f>
        <v/>
      </c>
      <c r="J777" s="92" t="str">
        <f>IF(E777="","",IF(SUMIF(Precio_Productos!L:L,E777,Precio_Productos!J:J)=0,"Falta Precio",SUMIF(Precio_Productos!L:L,E777,Precio_Productos!J:J)))</f>
        <v/>
      </c>
      <c r="O777" s="86"/>
      <c r="P777" s="86" t="str">
        <f>IFERROR(__xludf.DUMMYFUNCTION("IF(OR(F777=""Selecciona.."",F777=""""),"""",TRANSPOSE(filter(Familias!C:C,Familias!D:D=F777)))"),"")</f>
        <v/>
      </c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</row>
    <row r="778">
      <c r="A778" s="4" t="str">
        <f t="shared" si="1"/>
        <v/>
      </c>
      <c r="B778" s="4"/>
      <c r="C778" s="4"/>
      <c r="D778" s="4"/>
      <c r="E778" s="94"/>
      <c r="F778" s="4" t="str">
        <f t="shared" si="2"/>
        <v/>
      </c>
      <c r="G778" s="2" t="str">
        <f t="shared" si="3"/>
        <v/>
      </c>
      <c r="H778" s="2" t="str">
        <f>IF(G778="","",SUMIF(Familias!C:C,G778,Familias!E:E))</f>
        <v/>
      </c>
      <c r="I778" s="4" t="str">
        <f>IF(A778="","",COUNTIF(Prod_Prop!B:B,A778))</f>
        <v/>
      </c>
      <c r="J778" s="92" t="str">
        <f>IF(E778="","",IF(SUMIF(Precio_Productos!L:L,E778,Precio_Productos!J:J)=0,"Falta Precio",SUMIF(Precio_Productos!L:L,E778,Precio_Productos!J:J)))</f>
        <v/>
      </c>
      <c r="O778" s="86"/>
      <c r="P778" s="86" t="str">
        <f>IFERROR(__xludf.DUMMYFUNCTION("IF(OR(F778=""Selecciona.."",F778=""""),"""",TRANSPOSE(filter(Familias!C:C,Familias!D:D=F778)))"),"")</f>
        <v/>
      </c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</row>
    <row r="779">
      <c r="A779" s="4" t="str">
        <f t="shared" si="1"/>
        <v/>
      </c>
      <c r="B779" s="4"/>
      <c r="C779" s="4"/>
      <c r="D779" s="4"/>
      <c r="E779" s="94"/>
      <c r="F779" s="4" t="str">
        <f t="shared" si="2"/>
        <v/>
      </c>
      <c r="G779" s="2" t="str">
        <f t="shared" si="3"/>
        <v/>
      </c>
      <c r="H779" s="2" t="str">
        <f>IF(G779="","",SUMIF(Familias!C:C,G779,Familias!E:E))</f>
        <v/>
      </c>
      <c r="I779" s="4" t="str">
        <f>IF(A779="","",COUNTIF(Prod_Prop!B:B,A779))</f>
        <v/>
      </c>
      <c r="J779" s="92" t="str">
        <f>IF(E779="","",IF(SUMIF(Precio_Productos!L:L,E779,Precio_Productos!J:J)=0,"Falta Precio",SUMIF(Precio_Productos!L:L,E779,Precio_Productos!J:J)))</f>
        <v/>
      </c>
      <c r="O779" s="86"/>
      <c r="P779" s="86" t="str">
        <f>IFERROR(__xludf.DUMMYFUNCTION("IF(OR(F779=""Selecciona.."",F779=""""),"""",TRANSPOSE(filter(Familias!C:C,Familias!D:D=F779)))"),"")</f>
        <v/>
      </c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</row>
    <row r="780">
      <c r="A780" s="4" t="str">
        <f t="shared" si="1"/>
        <v/>
      </c>
      <c r="B780" s="4"/>
      <c r="C780" s="4"/>
      <c r="D780" s="4"/>
      <c r="E780" s="94"/>
      <c r="F780" s="4" t="str">
        <f t="shared" si="2"/>
        <v/>
      </c>
      <c r="G780" s="2" t="str">
        <f t="shared" si="3"/>
        <v/>
      </c>
      <c r="H780" s="2" t="str">
        <f>IF(G780="","",SUMIF(Familias!C:C,G780,Familias!E:E))</f>
        <v/>
      </c>
      <c r="I780" s="4" t="str">
        <f>IF(A780="","",COUNTIF(Prod_Prop!B:B,A780))</f>
        <v/>
      </c>
      <c r="J780" s="92" t="str">
        <f>IF(E780="","",IF(SUMIF(Precio_Productos!L:L,E780,Precio_Productos!J:J)=0,"Falta Precio",SUMIF(Precio_Productos!L:L,E780,Precio_Productos!J:J)))</f>
        <v/>
      </c>
      <c r="O780" s="86"/>
      <c r="P780" s="86" t="str">
        <f>IFERROR(__xludf.DUMMYFUNCTION("IF(OR(F780=""Selecciona.."",F780=""""),"""",TRANSPOSE(filter(Familias!C:C,Familias!D:D=F780)))"),"")</f>
        <v/>
      </c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</row>
    <row r="781">
      <c r="A781" s="4" t="str">
        <f t="shared" si="1"/>
        <v/>
      </c>
      <c r="B781" s="4"/>
      <c r="C781" s="4"/>
      <c r="D781" s="4"/>
      <c r="E781" s="94"/>
      <c r="F781" s="4" t="str">
        <f t="shared" si="2"/>
        <v/>
      </c>
      <c r="G781" s="2" t="str">
        <f t="shared" si="3"/>
        <v/>
      </c>
      <c r="H781" s="2" t="str">
        <f>IF(G781="","",SUMIF(Familias!C:C,G781,Familias!E:E))</f>
        <v/>
      </c>
      <c r="I781" s="4" t="str">
        <f>IF(A781="","",COUNTIF(Prod_Prop!B:B,A781))</f>
        <v/>
      </c>
      <c r="J781" s="92" t="str">
        <f>IF(E781="","",IF(SUMIF(Precio_Productos!L:L,E781,Precio_Productos!J:J)=0,"Falta Precio",SUMIF(Precio_Productos!L:L,E781,Precio_Productos!J:J)))</f>
        <v/>
      </c>
      <c r="O781" s="86"/>
      <c r="P781" s="86" t="str">
        <f>IFERROR(__xludf.DUMMYFUNCTION("IF(OR(F781=""Selecciona.."",F781=""""),"""",TRANSPOSE(filter(Familias!C:C,Familias!D:D=F781)))"),"")</f>
        <v/>
      </c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</row>
    <row r="782">
      <c r="A782" s="4" t="str">
        <f t="shared" si="1"/>
        <v/>
      </c>
      <c r="B782" s="4"/>
      <c r="C782" s="4"/>
      <c r="D782" s="4"/>
      <c r="E782" s="94"/>
      <c r="F782" s="4" t="str">
        <f t="shared" si="2"/>
        <v/>
      </c>
      <c r="G782" s="2" t="str">
        <f t="shared" si="3"/>
        <v/>
      </c>
      <c r="H782" s="2" t="str">
        <f>IF(G782="","",SUMIF(Familias!C:C,G782,Familias!E:E))</f>
        <v/>
      </c>
      <c r="I782" s="4" t="str">
        <f>IF(A782="","",COUNTIF(Prod_Prop!B:B,A782))</f>
        <v/>
      </c>
      <c r="J782" s="92" t="str">
        <f>IF(E782="","",IF(SUMIF(Precio_Productos!L:L,E782,Precio_Productos!J:J)=0,"Falta Precio",SUMIF(Precio_Productos!L:L,E782,Precio_Productos!J:J)))</f>
        <v/>
      </c>
      <c r="O782" s="86"/>
      <c r="P782" s="86" t="str">
        <f>IFERROR(__xludf.DUMMYFUNCTION("IF(OR(F782=""Selecciona.."",F782=""""),"""",TRANSPOSE(filter(Familias!C:C,Familias!D:D=F782)))"),"")</f>
        <v/>
      </c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</row>
    <row r="783">
      <c r="A783" s="4" t="str">
        <f t="shared" si="1"/>
        <v/>
      </c>
      <c r="B783" s="4"/>
      <c r="C783" s="4"/>
      <c r="D783" s="4"/>
      <c r="E783" s="94"/>
      <c r="F783" s="4" t="str">
        <f t="shared" si="2"/>
        <v/>
      </c>
      <c r="G783" s="2" t="str">
        <f t="shared" si="3"/>
        <v/>
      </c>
      <c r="H783" s="2" t="str">
        <f>IF(G783="","",SUMIF(Familias!C:C,G783,Familias!E:E))</f>
        <v/>
      </c>
      <c r="I783" s="4" t="str">
        <f>IF(A783="","",COUNTIF(Prod_Prop!B:B,A783))</f>
        <v/>
      </c>
      <c r="J783" s="92" t="str">
        <f>IF(E783="","",IF(SUMIF(Precio_Productos!L:L,E783,Precio_Productos!J:J)=0,"Falta Precio",SUMIF(Precio_Productos!L:L,E783,Precio_Productos!J:J)))</f>
        <v/>
      </c>
      <c r="O783" s="86"/>
      <c r="P783" s="86" t="str">
        <f>IFERROR(__xludf.DUMMYFUNCTION("IF(OR(F783=""Selecciona.."",F783=""""),"""",TRANSPOSE(filter(Familias!C:C,Familias!D:D=F783)))"),"")</f>
        <v/>
      </c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</row>
    <row r="784">
      <c r="A784" s="4" t="str">
        <f t="shared" si="1"/>
        <v/>
      </c>
      <c r="B784" s="4"/>
      <c r="C784" s="4"/>
      <c r="D784" s="4"/>
      <c r="E784" s="94"/>
      <c r="F784" s="4" t="str">
        <f t="shared" si="2"/>
        <v/>
      </c>
      <c r="G784" s="2" t="str">
        <f t="shared" si="3"/>
        <v/>
      </c>
      <c r="H784" s="2" t="str">
        <f>IF(G784="","",SUMIF(Familias!C:C,G784,Familias!E:E))</f>
        <v/>
      </c>
      <c r="I784" s="4" t="str">
        <f>IF(A784="","",COUNTIF(Prod_Prop!B:B,A784))</f>
        <v/>
      </c>
      <c r="J784" s="92" t="str">
        <f>IF(E784="","",IF(SUMIF(Precio_Productos!L:L,E784,Precio_Productos!J:J)=0,"Falta Precio",SUMIF(Precio_Productos!L:L,E784,Precio_Productos!J:J)))</f>
        <v/>
      </c>
      <c r="O784" s="86"/>
      <c r="P784" s="86" t="str">
        <f>IFERROR(__xludf.DUMMYFUNCTION("IF(OR(F784=""Selecciona.."",F784=""""),"""",TRANSPOSE(filter(Familias!C:C,Familias!D:D=F784)))"),"")</f>
        <v/>
      </c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</row>
    <row r="785">
      <c r="A785" s="4" t="str">
        <f t="shared" si="1"/>
        <v/>
      </c>
      <c r="B785" s="4"/>
      <c r="C785" s="4"/>
      <c r="D785" s="4"/>
      <c r="E785" s="94"/>
      <c r="F785" s="4" t="str">
        <f t="shared" si="2"/>
        <v/>
      </c>
      <c r="G785" s="2" t="str">
        <f t="shared" si="3"/>
        <v/>
      </c>
      <c r="H785" s="2" t="str">
        <f>IF(G785="","",SUMIF(Familias!C:C,G785,Familias!E:E))</f>
        <v/>
      </c>
      <c r="I785" s="4" t="str">
        <f>IF(A785="","",COUNTIF(Prod_Prop!B:B,A785))</f>
        <v/>
      </c>
      <c r="J785" s="92" t="str">
        <f>IF(E785="","",IF(SUMIF(Precio_Productos!L:L,E785,Precio_Productos!J:J)=0,"Falta Precio",SUMIF(Precio_Productos!L:L,E785,Precio_Productos!J:J)))</f>
        <v/>
      </c>
      <c r="O785" s="86"/>
      <c r="P785" s="86" t="str">
        <f>IFERROR(__xludf.DUMMYFUNCTION("IF(OR(F785=""Selecciona.."",F785=""""),"""",TRANSPOSE(filter(Familias!C:C,Familias!D:D=F785)))"),"")</f>
        <v/>
      </c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</row>
    <row r="786">
      <c r="A786" s="4" t="str">
        <f t="shared" si="1"/>
        <v/>
      </c>
      <c r="B786" s="4"/>
      <c r="C786" s="4"/>
      <c r="D786" s="4"/>
      <c r="E786" s="94"/>
      <c r="F786" s="4" t="str">
        <f t="shared" si="2"/>
        <v/>
      </c>
      <c r="G786" s="2" t="str">
        <f t="shared" si="3"/>
        <v/>
      </c>
      <c r="H786" s="2" t="str">
        <f>IF(G786="","",SUMIF(Familias!C:C,G786,Familias!E:E))</f>
        <v/>
      </c>
      <c r="I786" s="4" t="str">
        <f>IF(A786="","",COUNTIF(Prod_Prop!B:B,A786))</f>
        <v/>
      </c>
      <c r="J786" s="92" t="str">
        <f>IF(E786="","",IF(SUMIF(Precio_Productos!L:L,E786,Precio_Productos!J:J)=0,"Falta Precio",SUMIF(Precio_Productos!L:L,E786,Precio_Productos!J:J)))</f>
        <v/>
      </c>
      <c r="O786" s="86"/>
      <c r="P786" s="86" t="str">
        <f>IFERROR(__xludf.DUMMYFUNCTION("IF(OR(F786=""Selecciona.."",F786=""""),"""",TRANSPOSE(filter(Familias!C:C,Familias!D:D=F786)))"),"")</f>
        <v/>
      </c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</row>
    <row r="787">
      <c r="A787" s="4" t="str">
        <f t="shared" si="1"/>
        <v/>
      </c>
      <c r="B787" s="4"/>
      <c r="C787" s="4"/>
      <c r="D787" s="4"/>
      <c r="E787" s="94"/>
      <c r="F787" s="4" t="str">
        <f t="shared" si="2"/>
        <v/>
      </c>
      <c r="G787" s="2" t="str">
        <f t="shared" si="3"/>
        <v/>
      </c>
      <c r="H787" s="2" t="str">
        <f>IF(G787="","",SUMIF(Familias!C:C,G787,Familias!E:E))</f>
        <v/>
      </c>
      <c r="I787" s="4" t="str">
        <f>IF(A787="","",COUNTIF(Prod_Prop!B:B,A787))</f>
        <v/>
      </c>
      <c r="J787" s="92" t="str">
        <f>IF(E787="","",IF(SUMIF(Precio_Productos!L:L,E787,Precio_Productos!J:J)=0,"Falta Precio",SUMIF(Precio_Productos!L:L,E787,Precio_Productos!J:J)))</f>
        <v/>
      </c>
      <c r="O787" s="86"/>
      <c r="P787" s="86" t="str">
        <f>IFERROR(__xludf.DUMMYFUNCTION("IF(OR(F787=""Selecciona.."",F787=""""),"""",TRANSPOSE(filter(Familias!C:C,Familias!D:D=F787)))"),"")</f>
        <v/>
      </c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</row>
    <row r="788">
      <c r="A788" s="4" t="str">
        <f t="shared" si="1"/>
        <v/>
      </c>
      <c r="B788" s="4"/>
      <c r="C788" s="4"/>
      <c r="D788" s="4"/>
      <c r="E788" s="94"/>
      <c r="F788" s="4" t="str">
        <f t="shared" si="2"/>
        <v/>
      </c>
      <c r="G788" s="2" t="str">
        <f t="shared" si="3"/>
        <v/>
      </c>
      <c r="H788" s="2" t="str">
        <f>IF(G788="","",SUMIF(Familias!C:C,G788,Familias!E:E))</f>
        <v/>
      </c>
      <c r="I788" s="4" t="str">
        <f>IF(A788="","",COUNTIF(Prod_Prop!B:B,A788))</f>
        <v/>
      </c>
      <c r="J788" s="92" t="str">
        <f>IF(E788="","",IF(SUMIF(Precio_Productos!L:L,E788,Precio_Productos!J:J)=0,"Falta Precio",SUMIF(Precio_Productos!L:L,E788,Precio_Productos!J:J)))</f>
        <v/>
      </c>
      <c r="O788" s="86"/>
      <c r="P788" s="86" t="str">
        <f>IFERROR(__xludf.DUMMYFUNCTION("IF(OR(F788=""Selecciona.."",F788=""""),"""",TRANSPOSE(filter(Familias!C:C,Familias!D:D=F788)))"),"")</f>
        <v/>
      </c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</row>
    <row r="789">
      <c r="A789" s="4" t="str">
        <f t="shared" si="1"/>
        <v/>
      </c>
      <c r="B789" s="4"/>
      <c r="C789" s="4"/>
      <c r="D789" s="4"/>
      <c r="E789" s="94"/>
      <c r="F789" s="4" t="str">
        <f t="shared" si="2"/>
        <v/>
      </c>
      <c r="G789" s="2" t="str">
        <f t="shared" si="3"/>
        <v/>
      </c>
      <c r="H789" s="2" t="str">
        <f>IF(G789="","",SUMIF(Familias!C:C,G789,Familias!E:E))</f>
        <v/>
      </c>
      <c r="I789" s="4" t="str">
        <f>IF(A789="","",COUNTIF(Prod_Prop!B:B,A789))</f>
        <v/>
      </c>
      <c r="J789" s="92" t="str">
        <f>IF(E789="","",IF(SUMIF(Precio_Productos!L:L,E789,Precio_Productos!J:J)=0,"Falta Precio",SUMIF(Precio_Productos!L:L,E789,Precio_Productos!J:J)))</f>
        <v/>
      </c>
      <c r="O789" s="86"/>
      <c r="P789" s="86" t="str">
        <f>IFERROR(__xludf.DUMMYFUNCTION("IF(OR(F789=""Selecciona.."",F789=""""),"""",TRANSPOSE(filter(Familias!C:C,Familias!D:D=F789)))"),"")</f>
        <v/>
      </c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</row>
    <row r="790">
      <c r="A790" s="4" t="str">
        <f t="shared" si="1"/>
        <v/>
      </c>
      <c r="B790" s="4"/>
      <c r="C790" s="4"/>
      <c r="D790" s="4"/>
      <c r="E790" s="94"/>
      <c r="F790" s="4" t="str">
        <f t="shared" si="2"/>
        <v/>
      </c>
      <c r="G790" s="2" t="str">
        <f t="shared" si="3"/>
        <v/>
      </c>
      <c r="H790" s="2" t="str">
        <f>IF(G790="","",SUMIF(Familias!C:C,G790,Familias!E:E))</f>
        <v/>
      </c>
      <c r="I790" s="4" t="str">
        <f>IF(A790="","",COUNTIF(Prod_Prop!B:B,A790))</f>
        <v/>
      </c>
      <c r="J790" s="92" t="str">
        <f>IF(E790="","",IF(SUMIF(Precio_Productos!L:L,E790,Precio_Productos!J:J)=0,"Falta Precio",SUMIF(Precio_Productos!L:L,E790,Precio_Productos!J:J)))</f>
        <v/>
      </c>
      <c r="O790" s="86"/>
      <c r="P790" s="86" t="str">
        <f>IFERROR(__xludf.DUMMYFUNCTION("IF(OR(F790=""Selecciona.."",F790=""""),"""",TRANSPOSE(filter(Familias!C:C,Familias!D:D=F790)))"),"")</f>
        <v/>
      </c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</row>
    <row r="791">
      <c r="A791" s="4" t="str">
        <f t="shared" si="1"/>
        <v/>
      </c>
      <c r="B791" s="4"/>
      <c r="C791" s="4"/>
      <c r="D791" s="4"/>
      <c r="E791" s="94"/>
      <c r="F791" s="4" t="str">
        <f t="shared" si="2"/>
        <v/>
      </c>
      <c r="G791" s="2" t="str">
        <f t="shared" si="3"/>
        <v/>
      </c>
      <c r="H791" s="2" t="str">
        <f>IF(G791="","",SUMIF(Familias!C:C,G791,Familias!E:E))</f>
        <v/>
      </c>
      <c r="I791" s="4" t="str">
        <f>IF(A791="","",COUNTIF(Prod_Prop!B:B,A791))</f>
        <v/>
      </c>
      <c r="J791" s="92" t="str">
        <f>IF(E791="","",IF(SUMIF(Precio_Productos!L:L,E791,Precio_Productos!J:J)=0,"Falta Precio",SUMIF(Precio_Productos!L:L,E791,Precio_Productos!J:J)))</f>
        <v/>
      </c>
      <c r="O791" s="86"/>
      <c r="P791" s="86" t="str">
        <f>IFERROR(__xludf.DUMMYFUNCTION("IF(OR(F791=""Selecciona.."",F791=""""),"""",TRANSPOSE(filter(Familias!C:C,Familias!D:D=F791)))"),"")</f>
        <v/>
      </c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</row>
    <row r="792">
      <c r="A792" s="4" t="str">
        <f t="shared" si="1"/>
        <v/>
      </c>
      <c r="B792" s="4"/>
      <c r="C792" s="4"/>
      <c r="D792" s="4"/>
      <c r="E792" s="94"/>
      <c r="F792" s="4" t="str">
        <f t="shared" si="2"/>
        <v/>
      </c>
      <c r="G792" s="2" t="str">
        <f t="shared" si="3"/>
        <v/>
      </c>
      <c r="H792" s="2" t="str">
        <f>IF(G792="","",SUMIF(Familias!C:C,G792,Familias!E:E))</f>
        <v/>
      </c>
      <c r="I792" s="4" t="str">
        <f>IF(A792="","",COUNTIF(Prod_Prop!B:B,A792))</f>
        <v/>
      </c>
      <c r="J792" s="92" t="str">
        <f>IF(E792="","",IF(SUMIF(Precio_Productos!L:L,E792,Precio_Productos!J:J)=0,"Falta Precio",SUMIF(Precio_Productos!L:L,E792,Precio_Productos!J:J)))</f>
        <v/>
      </c>
      <c r="O792" s="86"/>
      <c r="P792" s="86" t="str">
        <f>IFERROR(__xludf.DUMMYFUNCTION("IF(OR(F792=""Selecciona.."",F792=""""),"""",TRANSPOSE(filter(Familias!C:C,Familias!D:D=F792)))"),"")</f>
        <v/>
      </c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</row>
    <row r="793">
      <c r="A793" s="4" t="str">
        <f t="shared" si="1"/>
        <v/>
      </c>
      <c r="B793" s="4"/>
      <c r="C793" s="4"/>
      <c r="D793" s="4"/>
      <c r="E793" s="94"/>
      <c r="F793" s="4" t="str">
        <f t="shared" si="2"/>
        <v/>
      </c>
      <c r="G793" s="2" t="str">
        <f t="shared" si="3"/>
        <v/>
      </c>
      <c r="H793" s="2" t="str">
        <f>IF(G793="","",SUMIF(Familias!C:C,G793,Familias!E:E))</f>
        <v/>
      </c>
      <c r="I793" s="4" t="str">
        <f>IF(A793="","",COUNTIF(Prod_Prop!B:B,A793))</f>
        <v/>
      </c>
      <c r="J793" s="92" t="str">
        <f>IF(E793="","",IF(SUMIF(Precio_Productos!L:L,E793,Precio_Productos!J:J)=0,"Falta Precio",SUMIF(Precio_Productos!L:L,E793,Precio_Productos!J:J)))</f>
        <v/>
      </c>
      <c r="O793" s="86"/>
      <c r="P793" s="86" t="str">
        <f>IFERROR(__xludf.DUMMYFUNCTION("IF(OR(F793=""Selecciona.."",F793=""""),"""",TRANSPOSE(filter(Familias!C:C,Familias!D:D=F793)))"),"")</f>
        <v/>
      </c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</row>
    <row r="794">
      <c r="A794" s="4" t="str">
        <f t="shared" si="1"/>
        <v/>
      </c>
      <c r="B794" s="4"/>
      <c r="C794" s="4"/>
      <c r="D794" s="4"/>
      <c r="E794" s="94"/>
      <c r="F794" s="4" t="str">
        <f t="shared" si="2"/>
        <v/>
      </c>
      <c r="G794" s="2" t="str">
        <f t="shared" si="3"/>
        <v/>
      </c>
      <c r="H794" s="2" t="str">
        <f>IF(G794="","",SUMIF(Familias!C:C,G794,Familias!E:E))</f>
        <v/>
      </c>
      <c r="I794" s="4" t="str">
        <f>IF(A794="","",COUNTIF(Prod_Prop!B:B,A794))</f>
        <v/>
      </c>
      <c r="J794" s="92" t="str">
        <f>IF(E794="","",IF(SUMIF(Precio_Productos!L:L,E794,Precio_Productos!J:J)=0,"Falta Precio",SUMIF(Precio_Productos!L:L,E794,Precio_Productos!J:J)))</f>
        <v/>
      </c>
      <c r="O794" s="86"/>
      <c r="P794" s="86" t="str">
        <f>IFERROR(__xludf.DUMMYFUNCTION("IF(OR(F794=""Selecciona.."",F794=""""),"""",TRANSPOSE(filter(Familias!C:C,Familias!D:D=F794)))"),"")</f>
        <v/>
      </c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</row>
    <row r="795">
      <c r="A795" s="4" t="str">
        <f t="shared" si="1"/>
        <v/>
      </c>
      <c r="B795" s="4"/>
      <c r="C795" s="4"/>
      <c r="D795" s="4"/>
      <c r="E795" s="94"/>
      <c r="F795" s="4" t="str">
        <f t="shared" si="2"/>
        <v/>
      </c>
      <c r="G795" s="2" t="str">
        <f t="shared" si="3"/>
        <v/>
      </c>
      <c r="H795" s="2" t="str">
        <f>IF(G795="","",SUMIF(Familias!C:C,G795,Familias!E:E))</f>
        <v/>
      </c>
      <c r="I795" s="4" t="str">
        <f>IF(A795="","",COUNTIF(Prod_Prop!B:B,A795))</f>
        <v/>
      </c>
      <c r="J795" s="92" t="str">
        <f>IF(E795="","",IF(SUMIF(Precio_Productos!L:L,E795,Precio_Productos!J:J)=0,"Falta Precio",SUMIF(Precio_Productos!L:L,E795,Precio_Productos!J:J)))</f>
        <v/>
      </c>
      <c r="O795" s="86"/>
      <c r="P795" s="86" t="str">
        <f>IFERROR(__xludf.DUMMYFUNCTION("IF(OR(F795=""Selecciona.."",F795=""""),"""",TRANSPOSE(filter(Familias!C:C,Familias!D:D=F795)))"),"")</f>
        <v/>
      </c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</row>
    <row r="796">
      <c r="A796" s="4" t="str">
        <f t="shared" si="1"/>
        <v/>
      </c>
      <c r="B796" s="4"/>
      <c r="C796" s="4"/>
      <c r="D796" s="4"/>
      <c r="E796" s="94"/>
      <c r="F796" s="4" t="str">
        <f t="shared" si="2"/>
        <v/>
      </c>
      <c r="G796" s="2" t="str">
        <f t="shared" si="3"/>
        <v/>
      </c>
      <c r="H796" s="2" t="str">
        <f>IF(G796="","",SUMIF(Familias!C:C,G796,Familias!E:E))</f>
        <v/>
      </c>
      <c r="I796" s="4" t="str">
        <f>IF(A796="","",COUNTIF(Prod_Prop!B:B,A796))</f>
        <v/>
      </c>
      <c r="J796" s="92" t="str">
        <f>IF(E796="","",IF(SUMIF(Precio_Productos!L:L,E796,Precio_Productos!J:J)=0,"Falta Precio",SUMIF(Precio_Productos!L:L,E796,Precio_Productos!J:J)))</f>
        <v/>
      </c>
      <c r="O796" s="86"/>
      <c r="P796" s="86" t="str">
        <f>IFERROR(__xludf.DUMMYFUNCTION("IF(OR(F796=""Selecciona.."",F796=""""),"""",TRANSPOSE(filter(Familias!C:C,Familias!D:D=F796)))"),"")</f>
        <v/>
      </c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</row>
    <row r="797">
      <c r="A797" s="4" t="str">
        <f t="shared" si="1"/>
        <v/>
      </c>
      <c r="B797" s="4"/>
      <c r="C797" s="4"/>
      <c r="D797" s="4"/>
      <c r="E797" s="94"/>
      <c r="F797" s="4" t="str">
        <f t="shared" si="2"/>
        <v/>
      </c>
      <c r="G797" s="2" t="str">
        <f t="shared" si="3"/>
        <v/>
      </c>
      <c r="H797" s="2" t="str">
        <f>IF(G797="","",SUMIF(Familias!C:C,G797,Familias!E:E))</f>
        <v/>
      </c>
      <c r="I797" s="4" t="str">
        <f>IF(A797="","",COUNTIF(Prod_Prop!B:B,A797))</f>
        <v/>
      </c>
      <c r="J797" s="92" t="str">
        <f>IF(E797="","",IF(SUMIF(Precio_Productos!L:L,E797,Precio_Productos!J:J)=0,"Falta Precio",SUMIF(Precio_Productos!L:L,E797,Precio_Productos!J:J)))</f>
        <v/>
      </c>
      <c r="O797" s="86"/>
      <c r="P797" s="86" t="str">
        <f>IFERROR(__xludf.DUMMYFUNCTION("IF(OR(F797=""Selecciona.."",F797=""""),"""",TRANSPOSE(filter(Familias!C:C,Familias!D:D=F797)))"),"")</f>
        <v/>
      </c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</row>
    <row r="798">
      <c r="A798" s="4" t="str">
        <f t="shared" si="1"/>
        <v/>
      </c>
      <c r="B798" s="4"/>
      <c r="C798" s="4"/>
      <c r="D798" s="4"/>
      <c r="E798" s="94"/>
      <c r="F798" s="4" t="str">
        <f t="shared" si="2"/>
        <v/>
      </c>
      <c r="G798" s="2" t="str">
        <f t="shared" si="3"/>
        <v/>
      </c>
      <c r="H798" s="2" t="str">
        <f>IF(G798="","",SUMIF(Familias!C:C,G798,Familias!E:E))</f>
        <v/>
      </c>
      <c r="I798" s="4" t="str">
        <f>IF(A798="","",COUNTIF(Prod_Prop!B:B,A798))</f>
        <v/>
      </c>
      <c r="J798" s="92" t="str">
        <f>IF(E798="","",IF(SUMIF(Precio_Productos!L:L,E798,Precio_Productos!J:J)=0,"Falta Precio",SUMIF(Precio_Productos!L:L,E798,Precio_Productos!J:J)))</f>
        <v/>
      </c>
      <c r="O798" s="86"/>
      <c r="P798" s="86" t="str">
        <f>IFERROR(__xludf.DUMMYFUNCTION("IF(OR(F798=""Selecciona.."",F798=""""),"""",TRANSPOSE(filter(Familias!C:C,Familias!D:D=F798)))"),"")</f>
        <v/>
      </c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</row>
    <row r="799">
      <c r="A799" s="4" t="str">
        <f t="shared" si="1"/>
        <v/>
      </c>
      <c r="B799" s="4"/>
      <c r="C799" s="4"/>
      <c r="D799" s="4"/>
      <c r="E799" s="94"/>
      <c r="F799" s="4" t="str">
        <f t="shared" si="2"/>
        <v/>
      </c>
      <c r="G799" s="2" t="str">
        <f t="shared" si="3"/>
        <v/>
      </c>
      <c r="H799" s="2" t="str">
        <f>IF(G799="","",SUMIF(Familias!C:C,G799,Familias!E:E))</f>
        <v/>
      </c>
      <c r="I799" s="4" t="str">
        <f>IF(A799="","",COUNTIF(Prod_Prop!B:B,A799))</f>
        <v/>
      </c>
      <c r="J799" s="92" t="str">
        <f>IF(E799="","",IF(SUMIF(Precio_Productos!L:L,E799,Precio_Productos!J:J)=0,"Falta Precio",SUMIF(Precio_Productos!L:L,E799,Precio_Productos!J:J)))</f>
        <v/>
      </c>
      <c r="O799" s="86"/>
      <c r="P799" s="86" t="str">
        <f>IFERROR(__xludf.DUMMYFUNCTION("IF(OR(F799=""Selecciona.."",F799=""""),"""",TRANSPOSE(filter(Familias!C:C,Familias!D:D=F799)))"),"")</f>
        <v/>
      </c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</row>
    <row r="800">
      <c r="A800" s="4" t="str">
        <f t="shared" si="1"/>
        <v/>
      </c>
      <c r="B800" s="4"/>
      <c r="C800" s="4"/>
      <c r="D800" s="4"/>
      <c r="E800" s="94"/>
      <c r="F800" s="4" t="str">
        <f t="shared" si="2"/>
        <v/>
      </c>
      <c r="G800" s="2" t="str">
        <f t="shared" si="3"/>
        <v/>
      </c>
      <c r="H800" s="2" t="str">
        <f>IF(G800="","",SUMIF(Familias!C:C,G800,Familias!E:E))</f>
        <v/>
      </c>
      <c r="I800" s="4" t="str">
        <f>IF(A800="","",COUNTIF(Prod_Prop!B:B,A800))</f>
        <v/>
      </c>
      <c r="J800" s="92" t="str">
        <f>IF(E800="","",IF(SUMIF(Precio_Productos!L:L,E800,Precio_Productos!J:J)=0,"Falta Precio",SUMIF(Precio_Productos!L:L,E800,Precio_Productos!J:J)))</f>
        <v/>
      </c>
      <c r="O800" s="86"/>
      <c r="P800" s="86" t="str">
        <f>IFERROR(__xludf.DUMMYFUNCTION("IF(OR(F800=""Selecciona.."",F800=""""),"""",TRANSPOSE(filter(Familias!C:C,Familias!D:D=F800)))"),"")</f>
        <v/>
      </c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</row>
    <row r="801">
      <c r="A801" s="4" t="str">
        <f t="shared" si="1"/>
        <v/>
      </c>
      <c r="B801" s="4"/>
      <c r="C801" s="4"/>
      <c r="D801" s="4"/>
      <c r="E801" s="94"/>
      <c r="F801" s="4" t="str">
        <f t="shared" si="2"/>
        <v/>
      </c>
      <c r="G801" s="2" t="str">
        <f t="shared" si="3"/>
        <v/>
      </c>
      <c r="H801" s="2" t="str">
        <f>IF(G801="","",SUMIF(Familias!C:C,G801,Familias!E:E))</f>
        <v/>
      </c>
      <c r="I801" s="4" t="str">
        <f>IF(A801="","",COUNTIF(Prod_Prop!B:B,A801))</f>
        <v/>
      </c>
      <c r="J801" s="92" t="str">
        <f>IF(E801="","",IF(SUMIF(Precio_Productos!L:L,E801,Precio_Productos!J:J)=0,"Falta Precio",SUMIF(Precio_Productos!L:L,E801,Precio_Productos!J:J)))</f>
        <v/>
      </c>
      <c r="O801" s="86"/>
      <c r="P801" s="86" t="str">
        <f>IFERROR(__xludf.DUMMYFUNCTION("IF(OR(F801=""Selecciona.."",F801=""""),"""",TRANSPOSE(filter(Familias!C:C,Familias!D:D=F801)))"),"")</f>
        <v/>
      </c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</row>
    <row r="802">
      <c r="A802" s="4" t="str">
        <f t="shared" si="1"/>
        <v/>
      </c>
      <c r="B802" s="4"/>
      <c r="C802" s="4"/>
      <c r="D802" s="4"/>
      <c r="E802" s="94"/>
      <c r="F802" s="4" t="str">
        <f t="shared" si="2"/>
        <v/>
      </c>
      <c r="G802" s="2" t="str">
        <f t="shared" si="3"/>
        <v/>
      </c>
      <c r="H802" s="2" t="str">
        <f>IF(G802="","",SUMIF(Familias!C:C,G802,Familias!E:E))</f>
        <v/>
      </c>
      <c r="I802" s="4" t="str">
        <f>IF(A802="","",COUNTIF(Prod_Prop!B:B,A802))</f>
        <v/>
      </c>
      <c r="J802" s="92" t="str">
        <f>IF(E802="","",IF(SUMIF(Precio_Productos!L:L,E802,Precio_Productos!J:J)=0,"Falta Precio",SUMIF(Precio_Productos!L:L,E802,Precio_Productos!J:J)))</f>
        <v/>
      </c>
      <c r="O802" s="86"/>
      <c r="P802" s="86" t="str">
        <f>IFERROR(__xludf.DUMMYFUNCTION("IF(OR(F802=""Selecciona.."",F802=""""),"""",TRANSPOSE(filter(Familias!C:C,Familias!D:D=F802)))"),"")</f>
        <v/>
      </c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</row>
    <row r="803">
      <c r="A803" s="4" t="str">
        <f t="shared" si="1"/>
        <v/>
      </c>
      <c r="B803" s="4"/>
      <c r="C803" s="4"/>
      <c r="D803" s="4"/>
      <c r="E803" s="94"/>
      <c r="F803" s="4" t="str">
        <f t="shared" si="2"/>
        <v/>
      </c>
      <c r="G803" s="2" t="str">
        <f t="shared" si="3"/>
        <v/>
      </c>
      <c r="H803" s="2" t="str">
        <f>IF(G803="","",SUMIF(Familias!C:C,G803,Familias!E:E))</f>
        <v/>
      </c>
      <c r="I803" s="4" t="str">
        <f>IF(A803="","",COUNTIF(Prod_Prop!B:B,A803))</f>
        <v/>
      </c>
      <c r="J803" s="92" t="str">
        <f>IF(E803="","",IF(SUMIF(Precio_Productos!L:L,E803,Precio_Productos!J:J)=0,"Falta Precio",SUMIF(Precio_Productos!L:L,E803,Precio_Productos!J:J)))</f>
        <v/>
      </c>
      <c r="O803" s="86"/>
      <c r="P803" s="86" t="str">
        <f>IFERROR(__xludf.DUMMYFUNCTION("IF(OR(F803=""Selecciona.."",F803=""""),"""",TRANSPOSE(filter(Familias!C:C,Familias!D:D=F803)))"),"")</f>
        <v/>
      </c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</row>
    <row r="804">
      <c r="A804" s="4" t="str">
        <f t="shared" si="1"/>
        <v/>
      </c>
      <c r="B804" s="4"/>
      <c r="C804" s="4"/>
      <c r="D804" s="4"/>
      <c r="E804" s="94"/>
      <c r="F804" s="4" t="str">
        <f t="shared" si="2"/>
        <v/>
      </c>
      <c r="G804" s="2" t="str">
        <f t="shared" si="3"/>
        <v/>
      </c>
      <c r="H804" s="2" t="str">
        <f>IF(G804="","",SUMIF(Familias!C:C,G804,Familias!E:E))</f>
        <v/>
      </c>
      <c r="I804" s="4" t="str">
        <f>IF(A804="","",COUNTIF(Prod_Prop!B:B,A804))</f>
        <v/>
      </c>
      <c r="J804" s="92" t="str">
        <f>IF(E804="","",IF(SUMIF(Precio_Productos!L:L,E804,Precio_Productos!J:J)=0,"Falta Precio",SUMIF(Precio_Productos!L:L,E804,Precio_Productos!J:J)))</f>
        <v/>
      </c>
      <c r="O804" s="86"/>
      <c r="P804" s="86" t="str">
        <f>IFERROR(__xludf.DUMMYFUNCTION("IF(OR(F804=""Selecciona.."",F804=""""),"""",TRANSPOSE(filter(Familias!C:C,Familias!D:D=F804)))"),"")</f>
        <v/>
      </c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</row>
    <row r="805">
      <c r="A805" s="4" t="str">
        <f t="shared" si="1"/>
        <v/>
      </c>
      <c r="B805" s="4"/>
      <c r="C805" s="4"/>
      <c r="D805" s="4"/>
      <c r="E805" s="94"/>
      <c r="F805" s="4" t="str">
        <f t="shared" si="2"/>
        <v/>
      </c>
      <c r="G805" s="2" t="str">
        <f t="shared" si="3"/>
        <v/>
      </c>
      <c r="H805" s="2" t="str">
        <f>IF(G805="","",SUMIF(Familias!C:C,G805,Familias!E:E))</f>
        <v/>
      </c>
      <c r="I805" s="4" t="str">
        <f>IF(A805="","",COUNTIF(Prod_Prop!B:B,A805))</f>
        <v/>
      </c>
      <c r="J805" s="92" t="str">
        <f>IF(E805="","",IF(SUMIF(Precio_Productos!L:L,E805,Precio_Productos!J:J)=0,"Falta Precio",SUMIF(Precio_Productos!L:L,E805,Precio_Productos!J:J)))</f>
        <v/>
      </c>
      <c r="O805" s="86"/>
      <c r="P805" s="86" t="str">
        <f>IFERROR(__xludf.DUMMYFUNCTION("IF(OR(F805=""Selecciona.."",F805=""""),"""",TRANSPOSE(filter(Familias!C:C,Familias!D:D=F805)))"),"")</f>
        <v/>
      </c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</row>
    <row r="806">
      <c r="A806" s="4" t="str">
        <f t="shared" si="1"/>
        <v/>
      </c>
      <c r="B806" s="4"/>
      <c r="C806" s="4"/>
      <c r="D806" s="4"/>
      <c r="E806" s="94"/>
      <c r="F806" s="4" t="str">
        <f t="shared" si="2"/>
        <v/>
      </c>
      <c r="G806" s="2" t="str">
        <f t="shared" si="3"/>
        <v/>
      </c>
      <c r="H806" s="2" t="str">
        <f>IF(G806="","",SUMIF(Familias!C:C,G806,Familias!E:E))</f>
        <v/>
      </c>
      <c r="I806" s="4" t="str">
        <f>IF(A806="","",COUNTIF(Prod_Prop!B:B,A806))</f>
        <v/>
      </c>
      <c r="J806" s="92" t="str">
        <f>IF(E806="","",IF(SUMIF(Precio_Productos!L:L,E806,Precio_Productos!J:J)=0,"Falta Precio",SUMIF(Precio_Productos!L:L,E806,Precio_Productos!J:J)))</f>
        <v/>
      </c>
      <c r="O806" s="86"/>
      <c r="P806" s="86" t="str">
        <f>IFERROR(__xludf.DUMMYFUNCTION("IF(OR(F806=""Selecciona.."",F806=""""),"""",TRANSPOSE(filter(Familias!C:C,Familias!D:D=F806)))"),"")</f>
        <v/>
      </c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</row>
    <row r="807">
      <c r="A807" s="4" t="str">
        <f t="shared" si="1"/>
        <v/>
      </c>
      <c r="B807" s="4"/>
      <c r="C807" s="4"/>
      <c r="D807" s="4"/>
      <c r="E807" s="94"/>
      <c r="F807" s="4" t="str">
        <f t="shared" si="2"/>
        <v/>
      </c>
      <c r="G807" s="2" t="str">
        <f t="shared" si="3"/>
        <v/>
      </c>
      <c r="H807" s="2" t="str">
        <f>IF(G807="","",SUMIF(Familias!C:C,G807,Familias!E:E))</f>
        <v/>
      </c>
      <c r="I807" s="4" t="str">
        <f>IF(A807="","",COUNTIF(Prod_Prop!B:B,A807))</f>
        <v/>
      </c>
      <c r="J807" s="92" t="str">
        <f>IF(E807="","",IF(SUMIF(Precio_Productos!L:L,E807,Precio_Productos!J:J)=0,"Falta Precio",SUMIF(Precio_Productos!L:L,E807,Precio_Productos!J:J)))</f>
        <v/>
      </c>
      <c r="O807" s="86"/>
      <c r="P807" s="86" t="str">
        <f>IFERROR(__xludf.DUMMYFUNCTION("IF(OR(F807=""Selecciona.."",F807=""""),"""",TRANSPOSE(filter(Familias!C:C,Familias!D:D=F807)))"),"")</f>
        <v/>
      </c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</row>
    <row r="808">
      <c r="A808" s="4" t="str">
        <f t="shared" si="1"/>
        <v/>
      </c>
      <c r="B808" s="4"/>
      <c r="C808" s="4"/>
      <c r="D808" s="4"/>
      <c r="E808" s="94"/>
      <c r="F808" s="4" t="str">
        <f t="shared" si="2"/>
        <v/>
      </c>
      <c r="G808" s="2" t="str">
        <f t="shared" si="3"/>
        <v/>
      </c>
      <c r="H808" s="2" t="str">
        <f>IF(G808="","",SUMIF(Familias!C:C,G808,Familias!E:E))</f>
        <v/>
      </c>
      <c r="I808" s="4" t="str">
        <f>IF(A808="","",COUNTIF(Prod_Prop!B:B,A808))</f>
        <v/>
      </c>
      <c r="J808" s="92" t="str">
        <f>IF(E808="","",IF(SUMIF(Precio_Productos!L:L,E808,Precio_Productos!J:J)=0,"Falta Precio",SUMIF(Precio_Productos!L:L,E808,Precio_Productos!J:J)))</f>
        <v/>
      </c>
      <c r="O808" s="86"/>
      <c r="P808" s="86" t="str">
        <f>IFERROR(__xludf.DUMMYFUNCTION("IF(OR(F808=""Selecciona.."",F808=""""),"""",TRANSPOSE(filter(Familias!C:C,Familias!D:D=F808)))"),"")</f>
        <v/>
      </c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</row>
    <row r="809">
      <c r="A809" s="4" t="str">
        <f t="shared" si="1"/>
        <v/>
      </c>
      <c r="B809" s="4"/>
      <c r="C809" s="4"/>
      <c r="D809" s="4"/>
      <c r="E809" s="94"/>
      <c r="F809" s="4" t="str">
        <f t="shared" si="2"/>
        <v/>
      </c>
      <c r="G809" s="2" t="str">
        <f t="shared" si="3"/>
        <v/>
      </c>
      <c r="H809" s="2" t="str">
        <f>IF(G809="","",SUMIF(Familias!C:C,G809,Familias!E:E))</f>
        <v/>
      </c>
      <c r="I809" s="4" t="str">
        <f>IF(A809="","",COUNTIF(Prod_Prop!B:B,A809))</f>
        <v/>
      </c>
      <c r="J809" s="92" t="str">
        <f>IF(E809="","",IF(SUMIF(Precio_Productos!L:L,E809,Precio_Productos!J:J)=0,"Falta Precio",SUMIF(Precio_Productos!L:L,E809,Precio_Productos!J:J)))</f>
        <v/>
      </c>
      <c r="O809" s="86"/>
      <c r="P809" s="86" t="str">
        <f>IFERROR(__xludf.DUMMYFUNCTION("IF(OR(F809=""Selecciona.."",F809=""""),"""",TRANSPOSE(filter(Familias!C:C,Familias!D:D=F809)))"),"")</f>
        <v/>
      </c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</row>
    <row r="810">
      <c r="A810" s="4" t="str">
        <f t="shared" si="1"/>
        <v/>
      </c>
      <c r="B810" s="4"/>
      <c r="C810" s="4"/>
      <c r="D810" s="4"/>
      <c r="E810" s="94"/>
      <c r="F810" s="4" t="str">
        <f t="shared" si="2"/>
        <v/>
      </c>
      <c r="G810" s="2" t="str">
        <f t="shared" si="3"/>
        <v/>
      </c>
      <c r="H810" s="2" t="str">
        <f>IF(G810="","",SUMIF(Familias!C:C,G810,Familias!E:E))</f>
        <v/>
      </c>
      <c r="I810" s="4" t="str">
        <f>IF(A810="","",COUNTIF(Prod_Prop!B:B,A810))</f>
        <v/>
      </c>
      <c r="J810" s="92" t="str">
        <f>IF(E810="","",IF(SUMIF(Precio_Productos!L:L,E810,Precio_Productos!J:J)=0,"Falta Precio",SUMIF(Precio_Productos!L:L,E810,Precio_Productos!J:J)))</f>
        <v/>
      </c>
      <c r="O810" s="86"/>
      <c r="P810" s="86" t="str">
        <f>IFERROR(__xludf.DUMMYFUNCTION("IF(OR(F810=""Selecciona.."",F810=""""),"""",TRANSPOSE(filter(Familias!C:C,Familias!D:D=F810)))"),"")</f>
        <v/>
      </c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</row>
    <row r="811">
      <c r="A811" s="4" t="str">
        <f t="shared" si="1"/>
        <v/>
      </c>
      <c r="B811" s="4"/>
      <c r="C811" s="4"/>
      <c r="D811" s="4"/>
      <c r="E811" s="94"/>
      <c r="F811" s="4" t="str">
        <f t="shared" si="2"/>
        <v/>
      </c>
      <c r="G811" s="2" t="str">
        <f t="shared" si="3"/>
        <v/>
      </c>
      <c r="H811" s="2" t="str">
        <f>IF(G811="","",SUMIF(Familias!C:C,G811,Familias!E:E))</f>
        <v/>
      </c>
      <c r="I811" s="4" t="str">
        <f>IF(A811="","",COUNTIF(Prod_Prop!B:B,A811))</f>
        <v/>
      </c>
      <c r="J811" s="92" t="str">
        <f>IF(E811="","",IF(SUMIF(Precio_Productos!L:L,E811,Precio_Productos!J:J)=0,"Falta Precio",SUMIF(Precio_Productos!L:L,E811,Precio_Productos!J:J)))</f>
        <v/>
      </c>
      <c r="O811" s="86"/>
      <c r="P811" s="86" t="str">
        <f>IFERROR(__xludf.DUMMYFUNCTION("IF(OR(F811=""Selecciona.."",F811=""""),"""",TRANSPOSE(filter(Familias!C:C,Familias!D:D=F811)))"),"")</f>
        <v/>
      </c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</row>
    <row r="812">
      <c r="A812" s="4" t="str">
        <f t="shared" si="1"/>
        <v/>
      </c>
      <c r="B812" s="4"/>
      <c r="C812" s="4"/>
      <c r="D812" s="4"/>
      <c r="E812" s="94"/>
      <c r="F812" s="4" t="str">
        <f t="shared" si="2"/>
        <v/>
      </c>
      <c r="G812" s="2" t="str">
        <f t="shared" si="3"/>
        <v/>
      </c>
      <c r="H812" s="2" t="str">
        <f>IF(G812="","",SUMIF(Familias!C:C,G812,Familias!E:E))</f>
        <v/>
      </c>
      <c r="I812" s="4" t="str">
        <f>IF(A812="","",COUNTIF(Prod_Prop!B:B,A812))</f>
        <v/>
      </c>
      <c r="J812" s="92" t="str">
        <f>IF(E812="","",IF(SUMIF(Precio_Productos!L:L,E812,Precio_Productos!J:J)=0,"Falta Precio",SUMIF(Precio_Productos!L:L,E812,Precio_Productos!J:J)))</f>
        <v/>
      </c>
      <c r="O812" s="86"/>
      <c r="P812" s="86" t="str">
        <f>IFERROR(__xludf.DUMMYFUNCTION("IF(OR(F812=""Selecciona.."",F812=""""),"""",TRANSPOSE(filter(Familias!C:C,Familias!D:D=F812)))"),"")</f>
        <v/>
      </c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</row>
    <row r="813">
      <c r="A813" s="4" t="str">
        <f t="shared" si="1"/>
        <v/>
      </c>
      <c r="B813" s="4"/>
      <c r="C813" s="4"/>
      <c r="D813" s="4"/>
      <c r="E813" s="94"/>
      <c r="F813" s="4" t="str">
        <f t="shared" si="2"/>
        <v/>
      </c>
      <c r="G813" s="2" t="str">
        <f t="shared" si="3"/>
        <v/>
      </c>
      <c r="H813" s="2" t="str">
        <f>IF(G813="","",SUMIF(Familias!C:C,G813,Familias!E:E))</f>
        <v/>
      </c>
      <c r="I813" s="4" t="str">
        <f>IF(A813="","",COUNTIF(Prod_Prop!B:B,A813))</f>
        <v/>
      </c>
      <c r="J813" s="92" t="str">
        <f>IF(E813="","",IF(SUMIF(Precio_Productos!L:L,E813,Precio_Productos!J:J)=0,"Falta Precio",SUMIF(Precio_Productos!L:L,E813,Precio_Productos!J:J)))</f>
        <v/>
      </c>
      <c r="O813" s="86"/>
      <c r="P813" s="86" t="str">
        <f>IFERROR(__xludf.DUMMYFUNCTION("IF(OR(F813=""Selecciona.."",F813=""""),"""",TRANSPOSE(filter(Familias!C:C,Familias!D:D=F813)))"),"")</f>
        <v/>
      </c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</row>
    <row r="814">
      <c r="A814" s="4" t="str">
        <f t="shared" si="1"/>
        <v/>
      </c>
      <c r="B814" s="4"/>
      <c r="C814" s="4"/>
      <c r="D814" s="4"/>
      <c r="E814" s="94"/>
      <c r="F814" s="4" t="str">
        <f t="shared" si="2"/>
        <v/>
      </c>
      <c r="G814" s="2" t="str">
        <f t="shared" si="3"/>
        <v/>
      </c>
      <c r="H814" s="2" t="str">
        <f>IF(G814="","",SUMIF(Familias!C:C,G814,Familias!E:E))</f>
        <v/>
      </c>
      <c r="I814" s="4" t="str">
        <f>IF(A814="","",COUNTIF(Prod_Prop!B:B,A814))</f>
        <v/>
      </c>
      <c r="J814" s="92" t="str">
        <f>IF(E814="","",IF(SUMIF(Precio_Productos!L:L,E814,Precio_Productos!J:J)=0,"Falta Precio",SUMIF(Precio_Productos!L:L,E814,Precio_Productos!J:J)))</f>
        <v/>
      </c>
      <c r="O814" s="86"/>
      <c r="P814" s="86" t="str">
        <f>IFERROR(__xludf.DUMMYFUNCTION("IF(OR(F814=""Selecciona.."",F814=""""),"""",TRANSPOSE(filter(Familias!C:C,Familias!D:D=F814)))"),"")</f>
        <v/>
      </c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</row>
    <row r="815">
      <c r="A815" s="4" t="str">
        <f t="shared" si="1"/>
        <v/>
      </c>
      <c r="B815" s="4"/>
      <c r="C815" s="4"/>
      <c r="D815" s="4"/>
      <c r="E815" s="94"/>
      <c r="F815" s="4" t="str">
        <f t="shared" si="2"/>
        <v/>
      </c>
      <c r="G815" s="2" t="str">
        <f t="shared" si="3"/>
        <v/>
      </c>
      <c r="H815" s="2" t="str">
        <f>IF(G815="","",SUMIF(Familias!C:C,G815,Familias!E:E))</f>
        <v/>
      </c>
      <c r="I815" s="4" t="str">
        <f>IF(A815="","",COUNTIF(Prod_Prop!B:B,A815))</f>
        <v/>
      </c>
      <c r="J815" s="92" t="str">
        <f>IF(E815="","",IF(SUMIF(Precio_Productos!L:L,E815,Precio_Productos!J:J)=0,"Falta Precio",SUMIF(Precio_Productos!L:L,E815,Precio_Productos!J:J)))</f>
        <v/>
      </c>
      <c r="O815" s="86"/>
      <c r="P815" s="86" t="str">
        <f>IFERROR(__xludf.DUMMYFUNCTION("IF(OR(F815=""Selecciona.."",F815=""""),"""",TRANSPOSE(filter(Familias!C:C,Familias!D:D=F815)))"),"")</f>
        <v/>
      </c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</row>
    <row r="816">
      <c r="A816" s="4" t="str">
        <f t="shared" si="1"/>
        <v/>
      </c>
      <c r="B816" s="4"/>
      <c r="C816" s="4"/>
      <c r="D816" s="4"/>
      <c r="E816" s="94"/>
      <c r="F816" s="4" t="str">
        <f t="shared" si="2"/>
        <v/>
      </c>
      <c r="G816" s="2" t="str">
        <f t="shared" si="3"/>
        <v/>
      </c>
      <c r="H816" s="2" t="str">
        <f>IF(G816="","",SUMIF(Familias!C:C,G816,Familias!E:E))</f>
        <v/>
      </c>
      <c r="I816" s="4" t="str">
        <f>IF(A816="","",COUNTIF(Prod_Prop!B:B,A816))</f>
        <v/>
      </c>
      <c r="J816" s="92" t="str">
        <f>IF(E816="","",IF(SUMIF(Precio_Productos!L:L,E816,Precio_Productos!J:J)=0,"Falta Precio",SUMIF(Precio_Productos!L:L,E816,Precio_Productos!J:J)))</f>
        <v/>
      </c>
      <c r="O816" s="86"/>
      <c r="P816" s="86" t="str">
        <f>IFERROR(__xludf.DUMMYFUNCTION("IF(OR(F816=""Selecciona.."",F816=""""),"""",TRANSPOSE(filter(Familias!C:C,Familias!D:D=F816)))"),"")</f>
        <v/>
      </c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</row>
    <row r="817">
      <c r="A817" s="4" t="str">
        <f t="shared" si="1"/>
        <v/>
      </c>
      <c r="B817" s="4"/>
      <c r="C817" s="4"/>
      <c r="D817" s="4"/>
      <c r="E817" s="94"/>
      <c r="F817" s="4" t="str">
        <f t="shared" si="2"/>
        <v/>
      </c>
      <c r="G817" s="2" t="str">
        <f t="shared" si="3"/>
        <v/>
      </c>
      <c r="H817" s="2" t="str">
        <f>IF(G817="","",SUMIF(Familias!C:C,G817,Familias!E:E))</f>
        <v/>
      </c>
      <c r="I817" s="4" t="str">
        <f>IF(A817="","",COUNTIF(Prod_Prop!B:B,A817))</f>
        <v/>
      </c>
      <c r="J817" s="92" t="str">
        <f>IF(E817="","",IF(SUMIF(Precio_Productos!L:L,E817,Precio_Productos!J:J)=0,"Falta Precio",SUMIF(Precio_Productos!L:L,E817,Precio_Productos!J:J)))</f>
        <v/>
      </c>
      <c r="O817" s="86"/>
      <c r="P817" s="86" t="str">
        <f>IFERROR(__xludf.DUMMYFUNCTION("IF(OR(F817=""Selecciona.."",F817=""""),"""",TRANSPOSE(filter(Familias!C:C,Familias!D:D=F817)))"),"")</f>
        <v/>
      </c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</row>
    <row r="818">
      <c r="A818" s="4" t="str">
        <f t="shared" si="1"/>
        <v/>
      </c>
      <c r="B818" s="4"/>
      <c r="C818" s="4"/>
      <c r="D818" s="4"/>
      <c r="E818" s="94"/>
      <c r="F818" s="4" t="str">
        <f t="shared" si="2"/>
        <v/>
      </c>
      <c r="G818" s="2" t="str">
        <f t="shared" si="3"/>
        <v/>
      </c>
      <c r="H818" s="2" t="str">
        <f>IF(G818="","",SUMIF(Familias!C:C,G818,Familias!E:E))</f>
        <v/>
      </c>
      <c r="I818" s="4" t="str">
        <f>IF(A818="","",COUNTIF(Prod_Prop!B:B,A818))</f>
        <v/>
      </c>
      <c r="J818" s="92" t="str">
        <f>IF(E818="","",IF(SUMIF(Precio_Productos!L:L,E818,Precio_Productos!J:J)=0,"Falta Precio",SUMIF(Precio_Productos!L:L,E818,Precio_Productos!J:J)))</f>
        <v/>
      </c>
      <c r="O818" s="86"/>
      <c r="P818" s="86" t="str">
        <f>IFERROR(__xludf.DUMMYFUNCTION("IF(OR(F818=""Selecciona.."",F818=""""),"""",TRANSPOSE(filter(Familias!C:C,Familias!D:D=F818)))"),"")</f>
        <v/>
      </c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</row>
    <row r="819">
      <c r="A819" s="4" t="str">
        <f t="shared" si="1"/>
        <v/>
      </c>
      <c r="B819" s="4"/>
      <c r="C819" s="4"/>
      <c r="D819" s="4"/>
      <c r="E819" s="94"/>
      <c r="F819" s="4" t="str">
        <f t="shared" si="2"/>
        <v/>
      </c>
      <c r="G819" s="2" t="str">
        <f t="shared" si="3"/>
        <v/>
      </c>
      <c r="H819" s="2" t="str">
        <f>IF(G819="","",SUMIF(Familias!C:C,G819,Familias!E:E))</f>
        <v/>
      </c>
      <c r="I819" s="4" t="str">
        <f>IF(A819="","",COUNTIF(Prod_Prop!B:B,A819))</f>
        <v/>
      </c>
      <c r="J819" s="92" t="str">
        <f>IF(E819="","",IF(SUMIF(Precio_Productos!L:L,E819,Precio_Productos!J:J)=0,"Falta Precio",SUMIF(Precio_Productos!L:L,E819,Precio_Productos!J:J)))</f>
        <v/>
      </c>
      <c r="O819" s="86"/>
      <c r="P819" s="86" t="str">
        <f>IFERROR(__xludf.DUMMYFUNCTION("IF(OR(F819=""Selecciona.."",F819=""""),"""",TRANSPOSE(filter(Familias!C:C,Familias!D:D=F819)))"),"")</f>
        <v/>
      </c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</row>
    <row r="820">
      <c r="A820" s="4" t="str">
        <f t="shared" si="1"/>
        <v/>
      </c>
      <c r="B820" s="4"/>
      <c r="C820" s="4"/>
      <c r="D820" s="4"/>
      <c r="E820" s="94"/>
      <c r="F820" s="4" t="str">
        <f t="shared" si="2"/>
        <v/>
      </c>
      <c r="G820" s="2" t="str">
        <f t="shared" si="3"/>
        <v/>
      </c>
      <c r="H820" s="2" t="str">
        <f>IF(G820="","",SUMIF(Familias!C:C,G820,Familias!E:E))</f>
        <v/>
      </c>
      <c r="I820" s="4" t="str">
        <f>IF(A820="","",COUNTIF(Prod_Prop!B:B,A820))</f>
        <v/>
      </c>
      <c r="J820" s="92" t="str">
        <f>IF(E820="","",IF(SUMIF(Precio_Productos!L:L,E820,Precio_Productos!J:J)=0,"Falta Precio",SUMIF(Precio_Productos!L:L,E820,Precio_Productos!J:J)))</f>
        <v/>
      </c>
      <c r="O820" s="86"/>
      <c r="P820" s="86" t="str">
        <f>IFERROR(__xludf.DUMMYFUNCTION("IF(OR(F820=""Selecciona.."",F820=""""),"""",TRANSPOSE(filter(Familias!C:C,Familias!D:D=F820)))"),"")</f>
        <v/>
      </c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</row>
    <row r="821">
      <c r="A821" s="4" t="str">
        <f t="shared" si="1"/>
        <v/>
      </c>
      <c r="B821" s="4"/>
      <c r="C821" s="4"/>
      <c r="D821" s="4"/>
      <c r="E821" s="94"/>
      <c r="F821" s="4" t="str">
        <f t="shared" si="2"/>
        <v/>
      </c>
      <c r="G821" s="2" t="str">
        <f t="shared" si="3"/>
        <v/>
      </c>
      <c r="H821" s="2" t="str">
        <f>IF(G821="","",SUMIF(Familias!C:C,G821,Familias!E:E))</f>
        <v/>
      </c>
      <c r="I821" s="4" t="str">
        <f>IF(A821="","",COUNTIF(Prod_Prop!B:B,A821))</f>
        <v/>
      </c>
      <c r="J821" s="92" t="str">
        <f>IF(E821="","",IF(SUMIF(Precio_Productos!L:L,E821,Precio_Productos!J:J)=0,"Falta Precio",SUMIF(Precio_Productos!L:L,E821,Precio_Productos!J:J)))</f>
        <v/>
      </c>
      <c r="O821" s="86"/>
      <c r="P821" s="86" t="str">
        <f>IFERROR(__xludf.DUMMYFUNCTION("IF(OR(F821=""Selecciona.."",F821=""""),"""",TRANSPOSE(filter(Familias!C:C,Familias!D:D=F821)))"),"")</f>
        <v/>
      </c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</row>
    <row r="822">
      <c r="A822" s="4" t="str">
        <f t="shared" si="1"/>
        <v/>
      </c>
      <c r="B822" s="4"/>
      <c r="C822" s="4"/>
      <c r="D822" s="4"/>
      <c r="E822" s="94"/>
      <c r="F822" s="4" t="str">
        <f t="shared" si="2"/>
        <v/>
      </c>
      <c r="G822" s="2" t="str">
        <f t="shared" si="3"/>
        <v/>
      </c>
      <c r="H822" s="2" t="str">
        <f>IF(G822="","",SUMIF(Familias!C:C,G822,Familias!E:E))</f>
        <v/>
      </c>
      <c r="I822" s="4" t="str">
        <f>IF(A822="","",COUNTIF(Prod_Prop!B:B,A822))</f>
        <v/>
      </c>
      <c r="J822" s="92" t="str">
        <f>IF(E822="","",IF(SUMIF(Precio_Productos!L:L,E822,Precio_Productos!J:J)=0,"Falta Precio",SUMIF(Precio_Productos!L:L,E822,Precio_Productos!J:J)))</f>
        <v/>
      </c>
      <c r="O822" s="86"/>
      <c r="P822" s="86" t="str">
        <f>IFERROR(__xludf.DUMMYFUNCTION("IF(OR(F822=""Selecciona.."",F822=""""),"""",TRANSPOSE(filter(Familias!C:C,Familias!D:D=F822)))"),"")</f>
        <v/>
      </c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</row>
    <row r="823">
      <c r="A823" s="4" t="str">
        <f t="shared" si="1"/>
        <v/>
      </c>
      <c r="B823" s="4"/>
      <c r="C823" s="4"/>
      <c r="D823" s="4"/>
      <c r="E823" s="94"/>
      <c r="F823" s="4" t="str">
        <f t="shared" si="2"/>
        <v/>
      </c>
      <c r="G823" s="2" t="str">
        <f t="shared" si="3"/>
        <v/>
      </c>
      <c r="H823" s="2" t="str">
        <f>IF(G823="","",SUMIF(Familias!C:C,G823,Familias!E:E))</f>
        <v/>
      </c>
      <c r="I823" s="4" t="str">
        <f>IF(A823="","",COUNTIF(Prod_Prop!B:B,A823))</f>
        <v/>
      </c>
      <c r="J823" s="92" t="str">
        <f>IF(E823="","",IF(SUMIF(Precio_Productos!L:L,E823,Precio_Productos!J:J)=0,"Falta Precio",SUMIF(Precio_Productos!L:L,E823,Precio_Productos!J:J)))</f>
        <v/>
      </c>
      <c r="O823" s="86"/>
      <c r="P823" s="86" t="str">
        <f>IFERROR(__xludf.DUMMYFUNCTION("IF(OR(F823=""Selecciona.."",F823=""""),"""",TRANSPOSE(filter(Familias!C:C,Familias!D:D=F823)))"),"")</f>
        <v/>
      </c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</row>
    <row r="824">
      <c r="A824" s="4" t="str">
        <f t="shared" si="1"/>
        <v/>
      </c>
      <c r="B824" s="4"/>
      <c r="C824" s="4"/>
      <c r="D824" s="4"/>
      <c r="E824" s="94"/>
      <c r="F824" s="4" t="str">
        <f t="shared" si="2"/>
        <v/>
      </c>
      <c r="G824" s="2" t="str">
        <f t="shared" si="3"/>
        <v/>
      </c>
      <c r="H824" s="2" t="str">
        <f>IF(G824="","",SUMIF(Familias!C:C,G824,Familias!E:E))</f>
        <v/>
      </c>
      <c r="I824" s="4" t="str">
        <f>IF(A824="","",COUNTIF(Prod_Prop!B:B,A824))</f>
        <v/>
      </c>
      <c r="J824" s="92" t="str">
        <f>IF(E824="","",IF(SUMIF(Precio_Productos!L:L,E824,Precio_Productos!J:J)=0,"Falta Precio",SUMIF(Precio_Productos!L:L,E824,Precio_Productos!J:J)))</f>
        <v/>
      </c>
      <c r="O824" s="86"/>
      <c r="P824" s="86" t="str">
        <f>IFERROR(__xludf.DUMMYFUNCTION("IF(OR(F824=""Selecciona.."",F824=""""),"""",TRANSPOSE(filter(Familias!C:C,Familias!D:D=F824)))"),"")</f>
        <v/>
      </c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</row>
    <row r="825">
      <c r="A825" s="4" t="str">
        <f t="shared" si="1"/>
        <v/>
      </c>
      <c r="B825" s="4"/>
      <c r="C825" s="4"/>
      <c r="D825" s="4"/>
      <c r="E825" s="94"/>
      <c r="F825" s="4" t="str">
        <f t="shared" si="2"/>
        <v/>
      </c>
      <c r="G825" s="2" t="str">
        <f t="shared" si="3"/>
        <v/>
      </c>
      <c r="H825" s="2" t="str">
        <f>IF(G825="","",SUMIF(Familias!C:C,G825,Familias!E:E))</f>
        <v/>
      </c>
      <c r="I825" s="4" t="str">
        <f>IF(A825="","",COUNTIF(Prod_Prop!B:B,A825))</f>
        <v/>
      </c>
      <c r="J825" s="92" t="str">
        <f>IF(E825="","",IF(SUMIF(Precio_Productos!L:L,E825,Precio_Productos!J:J)=0,"Falta Precio",SUMIF(Precio_Productos!L:L,E825,Precio_Productos!J:J)))</f>
        <v/>
      </c>
      <c r="O825" s="86"/>
      <c r="P825" s="86" t="str">
        <f>IFERROR(__xludf.DUMMYFUNCTION("IF(OR(F825=""Selecciona.."",F825=""""),"""",TRANSPOSE(filter(Familias!C:C,Familias!D:D=F825)))"),"")</f>
        <v/>
      </c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</row>
    <row r="826">
      <c r="A826" s="4" t="str">
        <f t="shared" si="1"/>
        <v/>
      </c>
      <c r="B826" s="4"/>
      <c r="C826" s="4"/>
      <c r="D826" s="4"/>
      <c r="E826" s="94"/>
      <c r="F826" s="4" t="str">
        <f t="shared" si="2"/>
        <v/>
      </c>
      <c r="G826" s="2" t="str">
        <f t="shared" si="3"/>
        <v/>
      </c>
      <c r="H826" s="2" t="str">
        <f>IF(G826="","",SUMIF(Familias!C:C,G826,Familias!E:E))</f>
        <v/>
      </c>
      <c r="I826" s="4" t="str">
        <f>IF(A826="","",COUNTIF(Prod_Prop!B:B,A826))</f>
        <v/>
      </c>
      <c r="J826" s="92" t="str">
        <f>IF(E826="","",IF(SUMIF(Precio_Productos!L:L,E826,Precio_Productos!J:J)=0,"Falta Precio",SUMIF(Precio_Productos!L:L,E826,Precio_Productos!J:J)))</f>
        <v/>
      </c>
      <c r="O826" s="86"/>
      <c r="P826" s="86" t="str">
        <f>IFERROR(__xludf.DUMMYFUNCTION("IF(OR(F826=""Selecciona.."",F826=""""),"""",TRANSPOSE(filter(Familias!C:C,Familias!D:D=F826)))"),"")</f>
        <v/>
      </c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</row>
    <row r="827">
      <c r="A827" s="4" t="str">
        <f t="shared" si="1"/>
        <v/>
      </c>
      <c r="B827" s="4"/>
      <c r="C827" s="4"/>
      <c r="D827" s="4"/>
      <c r="E827" s="94"/>
      <c r="F827" s="4" t="str">
        <f t="shared" si="2"/>
        <v/>
      </c>
      <c r="G827" s="2" t="str">
        <f t="shared" si="3"/>
        <v/>
      </c>
      <c r="H827" s="2" t="str">
        <f>IF(G827="","",SUMIF(Familias!C:C,G827,Familias!E:E))</f>
        <v/>
      </c>
      <c r="I827" s="4" t="str">
        <f>IF(A827="","",COUNTIF(Prod_Prop!B:B,A827))</f>
        <v/>
      </c>
      <c r="J827" s="92" t="str">
        <f>IF(E827="","",IF(SUMIF(Precio_Productos!L:L,E827,Precio_Productos!J:J)=0,"Falta Precio",SUMIF(Precio_Productos!L:L,E827,Precio_Productos!J:J)))</f>
        <v/>
      </c>
      <c r="O827" s="86"/>
      <c r="P827" s="86" t="str">
        <f>IFERROR(__xludf.DUMMYFUNCTION("IF(OR(F827=""Selecciona.."",F827=""""),"""",TRANSPOSE(filter(Familias!C:C,Familias!D:D=F827)))"),"")</f>
        <v/>
      </c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</row>
    <row r="828">
      <c r="A828" s="4" t="str">
        <f t="shared" si="1"/>
        <v/>
      </c>
      <c r="B828" s="4"/>
      <c r="C828" s="4"/>
      <c r="D828" s="4"/>
      <c r="E828" s="94"/>
      <c r="F828" s="4" t="str">
        <f t="shared" si="2"/>
        <v/>
      </c>
      <c r="G828" s="2" t="str">
        <f t="shared" si="3"/>
        <v/>
      </c>
      <c r="H828" s="2" t="str">
        <f>IF(G828="","",SUMIF(Familias!C:C,G828,Familias!E:E))</f>
        <v/>
      </c>
      <c r="I828" s="4" t="str">
        <f>IF(A828="","",COUNTIF(Prod_Prop!B:B,A828))</f>
        <v/>
      </c>
      <c r="J828" s="92" t="str">
        <f>IF(E828="","",IF(SUMIF(Precio_Productos!L:L,E828,Precio_Productos!J:J)=0,"Falta Precio",SUMIF(Precio_Productos!L:L,E828,Precio_Productos!J:J)))</f>
        <v/>
      </c>
      <c r="O828" s="86"/>
      <c r="P828" s="86" t="str">
        <f>IFERROR(__xludf.DUMMYFUNCTION("IF(OR(F828=""Selecciona.."",F828=""""),"""",TRANSPOSE(filter(Familias!C:C,Familias!D:D=F828)))"),"")</f>
        <v/>
      </c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</row>
    <row r="829">
      <c r="A829" s="4" t="str">
        <f t="shared" si="1"/>
        <v/>
      </c>
      <c r="B829" s="4"/>
      <c r="C829" s="4"/>
      <c r="D829" s="4"/>
      <c r="E829" s="94"/>
      <c r="F829" s="4" t="str">
        <f t="shared" si="2"/>
        <v/>
      </c>
      <c r="G829" s="2" t="str">
        <f t="shared" si="3"/>
        <v/>
      </c>
      <c r="H829" s="2" t="str">
        <f>IF(G829="","",SUMIF(Familias!C:C,G829,Familias!E:E))</f>
        <v/>
      </c>
      <c r="I829" s="4" t="str">
        <f>IF(A829="","",COUNTIF(Prod_Prop!B:B,A829))</f>
        <v/>
      </c>
      <c r="J829" s="92" t="str">
        <f>IF(E829="","",IF(SUMIF(Precio_Productos!L:L,E829,Precio_Productos!J:J)=0,"Falta Precio",SUMIF(Precio_Productos!L:L,E829,Precio_Productos!J:J)))</f>
        <v/>
      </c>
      <c r="O829" s="86"/>
      <c r="P829" s="86" t="str">
        <f>IFERROR(__xludf.DUMMYFUNCTION("IF(OR(F829=""Selecciona.."",F829=""""),"""",TRANSPOSE(filter(Familias!C:C,Familias!D:D=F829)))"),"")</f>
        <v/>
      </c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</row>
    <row r="830">
      <c r="A830" s="4" t="str">
        <f t="shared" si="1"/>
        <v/>
      </c>
      <c r="B830" s="4"/>
      <c r="C830" s="4"/>
      <c r="D830" s="4"/>
      <c r="E830" s="94"/>
      <c r="F830" s="4" t="str">
        <f t="shared" si="2"/>
        <v/>
      </c>
      <c r="G830" s="2" t="str">
        <f t="shared" si="3"/>
        <v/>
      </c>
      <c r="H830" s="2" t="str">
        <f>IF(G830="","",SUMIF(Familias!C:C,G830,Familias!E:E))</f>
        <v/>
      </c>
      <c r="I830" s="4" t="str">
        <f>IF(A830="","",COUNTIF(Prod_Prop!B:B,A830))</f>
        <v/>
      </c>
      <c r="J830" s="92" t="str">
        <f>IF(E830="","",IF(SUMIF(Precio_Productos!L:L,E830,Precio_Productos!J:J)=0,"Falta Precio",SUMIF(Precio_Productos!L:L,E830,Precio_Productos!J:J)))</f>
        <v/>
      </c>
      <c r="O830" s="86"/>
      <c r="P830" s="86" t="str">
        <f>IFERROR(__xludf.DUMMYFUNCTION("IF(OR(F830=""Selecciona.."",F830=""""),"""",TRANSPOSE(filter(Familias!C:C,Familias!D:D=F830)))"),"")</f>
        <v/>
      </c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</row>
    <row r="831">
      <c r="A831" s="4" t="str">
        <f t="shared" si="1"/>
        <v/>
      </c>
      <c r="B831" s="4"/>
      <c r="C831" s="4"/>
      <c r="D831" s="4"/>
      <c r="E831" s="94"/>
      <c r="F831" s="4" t="str">
        <f t="shared" si="2"/>
        <v/>
      </c>
      <c r="G831" s="2" t="str">
        <f t="shared" si="3"/>
        <v/>
      </c>
      <c r="H831" s="2" t="str">
        <f>IF(G831="","",SUMIF(Familias!C:C,G831,Familias!E:E))</f>
        <v/>
      </c>
      <c r="I831" s="4" t="str">
        <f>IF(A831="","",COUNTIF(Prod_Prop!B:B,A831))</f>
        <v/>
      </c>
      <c r="J831" s="92" t="str">
        <f>IF(E831="","",IF(SUMIF(Precio_Productos!L:L,E831,Precio_Productos!J:J)=0,"Falta Precio",SUMIF(Precio_Productos!L:L,E831,Precio_Productos!J:J)))</f>
        <v/>
      </c>
      <c r="O831" s="86"/>
      <c r="P831" s="86" t="str">
        <f>IFERROR(__xludf.DUMMYFUNCTION("IF(OR(F831=""Selecciona.."",F831=""""),"""",TRANSPOSE(filter(Familias!C:C,Familias!D:D=F831)))"),"")</f>
        <v/>
      </c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</row>
    <row r="832">
      <c r="A832" s="4" t="str">
        <f t="shared" si="1"/>
        <v/>
      </c>
      <c r="B832" s="4"/>
      <c r="C832" s="4"/>
      <c r="D832" s="4"/>
      <c r="E832" s="94"/>
      <c r="F832" s="4" t="str">
        <f t="shared" si="2"/>
        <v/>
      </c>
      <c r="G832" s="2" t="str">
        <f t="shared" si="3"/>
        <v/>
      </c>
      <c r="H832" s="2" t="str">
        <f>IF(G832="","",SUMIF(Familias!C:C,G832,Familias!E:E))</f>
        <v/>
      </c>
      <c r="I832" s="4" t="str">
        <f>IF(A832="","",COUNTIF(Prod_Prop!B:B,A832))</f>
        <v/>
      </c>
      <c r="J832" s="92" t="str">
        <f>IF(E832="","",IF(SUMIF(Precio_Productos!L:L,E832,Precio_Productos!J:J)=0,"Falta Precio",SUMIF(Precio_Productos!L:L,E832,Precio_Productos!J:J)))</f>
        <v/>
      </c>
      <c r="O832" s="86"/>
      <c r="P832" s="86" t="str">
        <f>IFERROR(__xludf.DUMMYFUNCTION("IF(OR(F832=""Selecciona.."",F832=""""),"""",TRANSPOSE(filter(Familias!C:C,Familias!D:D=F832)))"),"")</f>
        <v/>
      </c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</row>
    <row r="833">
      <c r="A833" s="4" t="str">
        <f t="shared" si="1"/>
        <v/>
      </c>
      <c r="B833" s="4"/>
      <c r="C833" s="4"/>
      <c r="D833" s="4"/>
      <c r="E833" s="94"/>
      <c r="F833" s="4" t="str">
        <f t="shared" si="2"/>
        <v/>
      </c>
      <c r="G833" s="2" t="str">
        <f t="shared" si="3"/>
        <v/>
      </c>
      <c r="H833" s="2" t="str">
        <f>IF(G833="","",SUMIF(Familias!C:C,G833,Familias!E:E))</f>
        <v/>
      </c>
      <c r="I833" s="4" t="str">
        <f>IF(A833="","",COUNTIF(Prod_Prop!B:B,A833))</f>
        <v/>
      </c>
      <c r="J833" s="92" t="str">
        <f>IF(E833="","",IF(SUMIF(Precio_Productos!L:L,E833,Precio_Productos!J:J)=0,"Falta Precio",SUMIF(Precio_Productos!L:L,E833,Precio_Productos!J:J)))</f>
        <v/>
      </c>
      <c r="O833" s="86"/>
      <c r="P833" s="86" t="str">
        <f>IFERROR(__xludf.DUMMYFUNCTION("IF(OR(F833=""Selecciona.."",F833=""""),"""",TRANSPOSE(filter(Familias!C:C,Familias!D:D=F833)))"),"")</f>
        <v/>
      </c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</row>
    <row r="834">
      <c r="A834" s="4" t="str">
        <f t="shared" si="1"/>
        <v/>
      </c>
      <c r="B834" s="4"/>
      <c r="C834" s="4"/>
      <c r="D834" s="4"/>
      <c r="E834" s="94"/>
      <c r="F834" s="4" t="str">
        <f t="shared" si="2"/>
        <v/>
      </c>
      <c r="G834" s="2" t="str">
        <f t="shared" si="3"/>
        <v/>
      </c>
      <c r="H834" s="2" t="str">
        <f>IF(G834="","",SUMIF(Familias!C:C,G834,Familias!E:E))</f>
        <v/>
      </c>
      <c r="I834" s="4" t="str">
        <f>IF(A834="","",COUNTIF(Prod_Prop!B:B,A834))</f>
        <v/>
      </c>
      <c r="J834" s="92" t="str">
        <f>IF(E834="","",IF(SUMIF(Precio_Productos!L:L,E834,Precio_Productos!J:J)=0,"Falta Precio",SUMIF(Precio_Productos!L:L,E834,Precio_Productos!J:J)))</f>
        <v/>
      </c>
      <c r="O834" s="86"/>
      <c r="P834" s="86" t="str">
        <f>IFERROR(__xludf.DUMMYFUNCTION("IF(OR(F834=""Selecciona.."",F834=""""),"""",TRANSPOSE(filter(Familias!C:C,Familias!D:D=F834)))"),"")</f>
        <v/>
      </c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</row>
    <row r="835">
      <c r="A835" s="4" t="str">
        <f t="shared" si="1"/>
        <v/>
      </c>
      <c r="B835" s="4"/>
      <c r="C835" s="4"/>
      <c r="D835" s="4"/>
      <c r="E835" s="94"/>
      <c r="F835" s="4" t="str">
        <f t="shared" si="2"/>
        <v/>
      </c>
      <c r="G835" s="2" t="str">
        <f t="shared" si="3"/>
        <v/>
      </c>
      <c r="H835" s="2" t="str">
        <f>IF(G835="","",SUMIF(Familias!C:C,G835,Familias!E:E))</f>
        <v/>
      </c>
      <c r="I835" s="4" t="str">
        <f>IF(A835="","",COUNTIF(Prod_Prop!B:B,A835))</f>
        <v/>
      </c>
      <c r="J835" s="92" t="str">
        <f>IF(E835="","",IF(SUMIF(Precio_Productos!L:L,E835,Precio_Productos!J:J)=0,"Falta Precio",SUMIF(Precio_Productos!L:L,E835,Precio_Productos!J:J)))</f>
        <v/>
      </c>
      <c r="O835" s="86"/>
      <c r="P835" s="86" t="str">
        <f>IFERROR(__xludf.DUMMYFUNCTION("IF(OR(F835=""Selecciona.."",F835=""""),"""",TRANSPOSE(filter(Familias!C:C,Familias!D:D=F835)))"),"")</f>
        <v/>
      </c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</row>
    <row r="836">
      <c r="A836" s="4" t="str">
        <f t="shared" si="1"/>
        <v/>
      </c>
      <c r="B836" s="4"/>
      <c r="C836" s="4"/>
      <c r="D836" s="4"/>
      <c r="E836" s="94"/>
      <c r="F836" s="4" t="str">
        <f t="shared" si="2"/>
        <v/>
      </c>
      <c r="G836" s="2" t="str">
        <f t="shared" si="3"/>
        <v/>
      </c>
      <c r="H836" s="2" t="str">
        <f>IF(G836="","",SUMIF(Familias!C:C,G836,Familias!E:E))</f>
        <v/>
      </c>
      <c r="I836" s="4" t="str">
        <f>IF(A836="","",COUNTIF(Prod_Prop!B:B,A836))</f>
        <v/>
      </c>
      <c r="J836" s="92" t="str">
        <f>IF(E836="","",IF(SUMIF(Precio_Productos!L:L,E836,Precio_Productos!J:J)=0,"Falta Precio",SUMIF(Precio_Productos!L:L,E836,Precio_Productos!J:J)))</f>
        <v/>
      </c>
      <c r="O836" s="86"/>
      <c r="P836" s="86" t="str">
        <f>IFERROR(__xludf.DUMMYFUNCTION("IF(OR(F836=""Selecciona.."",F836=""""),"""",TRANSPOSE(filter(Familias!C:C,Familias!D:D=F836)))"),"")</f>
        <v/>
      </c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</row>
    <row r="837">
      <c r="A837" s="4" t="str">
        <f t="shared" si="1"/>
        <v/>
      </c>
      <c r="B837" s="4"/>
      <c r="C837" s="4"/>
      <c r="D837" s="4"/>
      <c r="E837" s="94"/>
      <c r="F837" s="4" t="str">
        <f t="shared" si="2"/>
        <v/>
      </c>
      <c r="G837" s="2" t="str">
        <f t="shared" si="3"/>
        <v/>
      </c>
      <c r="H837" s="2" t="str">
        <f>IF(G837="","",SUMIF(Familias!C:C,G837,Familias!E:E))</f>
        <v/>
      </c>
      <c r="I837" s="4" t="str">
        <f>IF(A837="","",COUNTIF(Prod_Prop!B:B,A837))</f>
        <v/>
      </c>
      <c r="J837" s="92" t="str">
        <f>IF(E837="","",IF(SUMIF(Precio_Productos!L:L,E837,Precio_Productos!J:J)=0,"Falta Precio",SUMIF(Precio_Productos!L:L,E837,Precio_Productos!J:J)))</f>
        <v/>
      </c>
      <c r="O837" s="86"/>
      <c r="P837" s="86" t="str">
        <f>IFERROR(__xludf.DUMMYFUNCTION("IF(OR(F837=""Selecciona.."",F837=""""),"""",TRANSPOSE(filter(Familias!C:C,Familias!D:D=F837)))"),"")</f>
        <v/>
      </c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</row>
    <row r="838">
      <c r="A838" s="4" t="str">
        <f t="shared" si="1"/>
        <v/>
      </c>
      <c r="B838" s="4"/>
      <c r="C838" s="4"/>
      <c r="D838" s="4"/>
      <c r="E838" s="94"/>
      <c r="F838" s="4" t="str">
        <f t="shared" si="2"/>
        <v/>
      </c>
      <c r="G838" s="2" t="str">
        <f t="shared" si="3"/>
        <v/>
      </c>
      <c r="H838" s="2" t="str">
        <f>IF(G838="","",SUMIF(Familias!C:C,G838,Familias!E:E))</f>
        <v/>
      </c>
      <c r="I838" s="4" t="str">
        <f>IF(A838="","",COUNTIF(Prod_Prop!B:B,A838))</f>
        <v/>
      </c>
      <c r="J838" s="92" t="str">
        <f>IF(E838="","",IF(SUMIF(Precio_Productos!L:L,E838,Precio_Productos!J:J)=0,"Falta Precio",SUMIF(Precio_Productos!L:L,E838,Precio_Productos!J:J)))</f>
        <v/>
      </c>
      <c r="O838" s="86"/>
      <c r="P838" s="86" t="str">
        <f>IFERROR(__xludf.DUMMYFUNCTION("IF(OR(F838=""Selecciona.."",F838=""""),"""",TRANSPOSE(filter(Familias!C:C,Familias!D:D=F838)))"),"")</f>
        <v/>
      </c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</row>
    <row r="839">
      <c r="A839" s="4" t="str">
        <f t="shared" si="1"/>
        <v/>
      </c>
      <c r="B839" s="4"/>
      <c r="C839" s="4"/>
      <c r="D839" s="4"/>
      <c r="E839" s="94"/>
      <c r="F839" s="4" t="str">
        <f t="shared" si="2"/>
        <v/>
      </c>
      <c r="G839" s="2" t="str">
        <f t="shared" si="3"/>
        <v/>
      </c>
      <c r="H839" s="2" t="str">
        <f>IF(G839="","",SUMIF(Familias!C:C,G839,Familias!E:E))</f>
        <v/>
      </c>
      <c r="I839" s="4" t="str">
        <f>IF(A839="","",COUNTIF(Prod_Prop!B:B,A839))</f>
        <v/>
      </c>
      <c r="J839" s="92" t="str">
        <f>IF(E839="","",IF(SUMIF(Precio_Productos!L:L,E839,Precio_Productos!J:J)=0,"Falta Precio",SUMIF(Precio_Productos!L:L,E839,Precio_Productos!J:J)))</f>
        <v/>
      </c>
      <c r="O839" s="86"/>
      <c r="P839" s="86" t="str">
        <f>IFERROR(__xludf.DUMMYFUNCTION("IF(OR(F839=""Selecciona.."",F839=""""),"""",TRANSPOSE(filter(Familias!C:C,Familias!D:D=F839)))"),"")</f>
        <v/>
      </c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</row>
    <row r="840">
      <c r="A840" s="4" t="str">
        <f t="shared" si="1"/>
        <v/>
      </c>
      <c r="B840" s="4"/>
      <c r="C840" s="4"/>
      <c r="D840" s="4"/>
      <c r="E840" s="94"/>
      <c r="F840" s="4" t="str">
        <f t="shared" si="2"/>
        <v/>
      </c>
      <c r="G840" s="2" t="str">
        <f t="shared" si="3"/>
        <v/>
      </c>
      <c r="H840" s="2" t="str">
        <f>IF(G840="","",SUMIF(Familias!C:C,G840,Familias!E:E))</f>
        <v/>
      </c>
      <c r="I840" s="4" t="str">
        <f>IF(A840="","",COUNTIF(Prod_Prop!B:B,A840))</f>
        <v/>
      </c>
      <c r="J840" s="92" t="str">
        <f>IF(E840="","",IF(SUMIF(Precio_Productos!L:L,E840,Precio_Productos!J:J)=0,"Falta Precio",SUMIF(Precio_Productos!L:L,E840,Precio_Productos!J:J)))</f>
        <v/>
      </c>
      <c r="O840" s="86"/>
      <c r="P840" s="86" t="str">
        <f>IFERROR(__xludf.DUMMYFUNCTION("IF(OR(F840=""Selecciona.."",F840=""""),"""",TRANSPOSE(filter(Familias!C:C,Familias!D:D=F840)))"),"")</f>
        <v/>
      </c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</row>
    <row r="841">
      <c r="A841" s="4" t="str">
        <f t="shared" si="1"/>
        <v/>
      </c>
      <c r="B841" s="4"/>
      <c r="C841" s="4"/>
      <c r="D841" s="4"/>
      <c r="E841" s="94"/>
      <c r="F841" s="4" t="str">
        <f t="shared" si="2"/>
        <v/>
      </c>
      <c r="G841" s="2" t="str">
        <f t="shared" si="3"/>
        <v/>
      </c>
      <c r="H841" s="2" t="str">
        <f>IF(G841="","",SUMIF(Familias!C:C,G841,Familias!E:E))</f>
        <v/>
      </c>
      <c r="I841" s="4" t="str">
        <f>IF(A841="","",COUNTIF(Prod_Prop!B:B,A841))</f>
        <v/>
      </c>
      <c r="J841" s="92" t="str">
        <f>IF(E841="","",IF(SUMIF(Precio_Productos!L:L,E841,Precio_Productos!J:J)=0,"Falta Precio",SUMIF(Precio_Productos!L:L,E841,Precio_Productos!J:J)))</f>
        <v/>
      </c>
      <c r="O841" s="86"/>
      <c r="P841" s="86" t="str">
        <f>IFERROR(__xludf.DUMMYFUNCTION("IF(OR(F841=""Selecciona.."",F841=""""),"""",TRANSPOSE(filter(Familias!C:C,Familias!D:D=F841)))"),"")</f>
        <v/>
      </c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</row>
    <row r="842">
      <c r="A842" s="4" t="str">
        <f t="shared" si="1"/>
        <v/>
      </c>
      <c r="B842" s="4"/>
      <c r="C842" s="4"/>
      <c r="D842" s="4"/>
      <c r="E842" s="94"/>
      <c r="F842" s="4" t="str">
        <f t="shared" si="2"/>
        <v/>
      </c>
      <c r="G842" s="2" t="str">
        <f t="shared" si="3"/>
        <v/>
      </c>
      <c r="H842" s="2" t="str">
        <f>IF(G842="","",SUMIF(Familias!C:C,G842,Familias!E:E))</f>
        <v/>
      </c>
      <c r="I842" s="4" t="str">
        <f>IF(A842="","",COUNTIF(Prod_Prop!B:B,A842))</f>
        <v/>
      </c>
      <c r="J842" s="92" t="str">
        <f>IF(E842="","",IF(SUMIF(Precio_Productos!L:L,E842,Precio_Productos!J:J)=0,"Falta Precio",SUMIF(Precio_Productos!L:L,E842,Precio_Productos!J:J)))</f>
        <v/>
      </c>
      <c r="O842" s="86"/>
      <c r="P842" s="86" t="str">
        <f>IFERROR(__xludf.DUMMYFUNCTION("IF(OR(F842=""Selecciona.."",F842=""""),"""",TRANSPOSE(filter(Familias!C:C,Familias!D:D=F842)))"),"")</f>
        <v/>
      </c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</row>
    <row r="843">
      <c r="A843" s="4" t="str">
        <f t="shared" si="1"/>
        <v/>
      </c>
      <c r="B843" s="4"/>
      <c r="C843" s="4"/>
      <c r="D843" s="4"/>
      <c r="E843" s="94"/>
      <c r="F843" s="4" t="str">
        <f t="shared" si="2"/>
        <v/>
      </c>
      <c r="G843" s="2" t="str">
        <f t="shared" si="3"/>
        <v/>
      </c>
      <c r="H843" s="2" t="str">
        <f>IF(G843="","",SUMIF(Familias!C:C,G843,Familias!E:E))</f>
        <v/>
      </c>
      <c r="I843" s="4" t="str">
        <f>IF(A843="","",COUNTIF(Prod_Prop!B:B,A843))</f>
        <v/>
      </c>
      <c r="J843" s="92" t="str">
        <f>IF(E843="","",IF(SUMIF(Precio_Productos!L:L,E843,Precio_Productos!J:J)=0,"Falta Precio",SUMIF(Precio_Productos!L:L,E843,Precio_Productos!J:J)))</f>
        <v/>
      </c>
      <c r="O843" s="86"/>
      <c r="P843" s="86" t="str">
        <f>IFERROR(__xludf.DUMMYFUNCTION("IF(OR(F843=""Selecciona.."",F843=""""),"""",TRANSPOSE(filter(Familias!C:C,Familias!D:D=F843)))"),"")</f>
        <v/>
      </c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</row>
    <row r="844">
      <c r="A844" s="4" t="str">
        <f t="shared" si="1"/>
        <v/>
      </c>
      <c r="B844" s="4"/>
      <c r="C844" s="4"/>
      <c r="D844" s="4"/>
      <c r="E844" s="94"/>
      <c r="F844" s="4" t="str">
        <f t="shared" si="2"/>
        <v/>
      </c>
      <c r="G844" s="2" t="str">
        <f t="shared" si="3"/>
        <v/>
      </c>
      <c r="H844" s="2" t="str">
        <f>IF(G844="","",SUMIF(Familias!C:C,G844,Familias!E:E))</f>
        <v/>
      </c>
      <c r="I844" s="4" t="str">
        <f>IF(A844="","",COUNTIF(Prod_Prop!B:B,A844))</f>
        <v/>
      </c>
      <c r="J844" s="92" t="str">
        <f>IF(E844="","",IF(SUMIF(Precio_Productos!L:L,E844,Precio_Productos!J:J)=0,"Falta Precio",SUMIF(Precio_Productos!L:L,E844,Precio_Productos!J:J)))</f>
        <v/>
      </c>
      <c r="O844" s="86"/>
      <c r="P844" s="86" t="str">
        <f>IFERROR(__xludf.DUMMYFUNCTION("IF(OR(F844=""Selecciona.."",F844=""""),"""",TRANSPOSE(filter(Familias!C:C,Familias!D:D=F844)))"),"")</f>
        <v/>
      </c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</row>
    <row r="845">
      <c r="A845" s="4" t="str">
        <f t="shared" si="1"/>
        <v/>
      </c>
      <c r="B845" s="4"/>
      <c r="C845" s="4"/>
      <c r="D845" s="4"/>
      <c r="E845" s="94"/>
      <c r="F845" s="4" t="str">
        <f t="shared" si="2"/>
        <v/>
      </c>
      <c r="G845" s="2" t="str">
        <f t="shared" si="3"/>
        <v/>
      </c>
      <c r="H845" s="2" t="str">
        <f>IF(G845="","",SUMIF(Familias!C:C,G845,Familias!E:E))</f>
        <v/>
      </c>
      <c r="I845" s="4" t="str">
        <f>IF(A845="","",COUNTIF(Prod_Prop!B:B,A845))</f>
        <v/>
      </c>
      <c r="J845" s="92" t="str">
        <f>IF(E845="","",IF(SUMIF(Precio_Productos!L:L,E845,Precio_Productos!J:J)=0,"Falta Precio",SUMIF(Precio_Productos!L:L,E845,Precio_Productos!J:J)))</f>
        <v/>
      </c>
      <c r="O845" s="86"/>
      <c r="P845" s="86" t="str">
        <f>IFERROR(__xludf.DUMMYFUNCTION("IF(OR(F845=""Selecciona.."",F845=""""),"""",TRANSPOSE(filter(Familias!C:C,Familias!D:D=F845)))"),"")</f>
        <v/>
      </c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</row>
    <row r="846">
      <c r="A846" s="4" t="str">
        <f t="shared" si="1"/>
        <v/>
      </c>
      <c r="B846" s="4"/>
      <c r="C846" s="4"/>
      <c r="D846" s="4"/>
      <c r="E846" s="94"/>
      <c r="F846" s="4" t="str">
        <f t="shared" si="2"/>
        <v/>
      </c>
      <c r="G846" s="2" t="str">
        <f t="shared" si="3"/>
        <v/>
      </c>
      <c r="H846" s="2" t="str">
        <f>IF(G846="","",SUMIF(Familias!C:C,G846,Familias!E:E))</f>
        <v/>
      </c>
      <c r="I846" s="4" t="str">
        <f>IF(A846="","",COUNTIF(Prod_Prop!B:B,A846))</f>
        <v/>
      </c>
      <c r="J846" s="92" t="str">
        <f>IF(E846="","",IF(SUMIF(Precio_Productos!L:L,E846,Precio_Productos!J:J)=0,"Falta Precio",SUMIF(Precio_Productos!L:L,E846,Precio_Productos!J:J)))</f>
        <v/>
      </c>
      <c r="O846" s="86"/>
      <c r="P846" s="86" t="str">
        <f>IFERROR(__xludf.DUMMYFUNCTION("IF(OR(F846=""Selecciona.."",F846=""""),"""",TRANSPOSE(filter(Familias!C:C,Familias!D:D=F846)))"),"")</f>
        <v/>
      </c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</row>
    <row r="847">
      <c r="A847" s="4" t="str">
        <f t="shared" si="1"/>
        <v/>
      </c>
      <c r="B847" s="4"/>
      <c r="C847" s="4"/>
      <c r="D847" s="4"/>
      <c r="E847" s="94"/>
      <c r="F847" s="4" t="str">
        <f t="shared" si="2"/>
        <v/>
      </c>
      <c r="G847" s="2" t="str">
        <f t="shared" si="3"/>
        <v/>
      </c>
      <c r="H847" s="2" t="str">
        <f>IF(G847="","",SUMIF(Familias!C:C,G847,Familias!E:E))</f>
        <v/>
      </c>
      <c r="I847" s="4" t="str">
        <f>IF(A847="","",COUNTIF(Prod_Prop!B:B,A847))</f>
        <v/>
      </c>
      <c r="J847" s="92" t="str">
        <f>IF(E847="","",IF(SUMIF(Precio_Productos!L:L,E847,Precio_Productos!J:J)=0,"Falta Precio",SUMIF(Precio_Productos!L:L,E847,Precio_Productos!J:J)))</f>
        <v/>
      </c>
      <c r="O847" s="86"/>
      <c r="P847" s="86" t="str">
        <f>IFERROR(__xludf.DUMMYFUNCTION("IF(OR(F847=""Selecciona.."",F847=""""),"""",TRANSPOSE(filter(Familias!C:C,Familias!D:D=F847)))"),"")</f>
        <v/>
      </c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</row>
    <row r="848">
      <c r="A848" s="4" t="str">
        <f t="shared" si="1"/>
        <v/>
      </c>
      <c r="B848" s="4"/>
      <c r="C848" s="4"/>
      <c r="D848" s="4"/>
      <c r="E848" s="94"/>
      <c r="F848" s="4" t="str">
        <f t="shared" si="2"/>
        <v/>
      </c>
      <c r="G848" s="2" t="str">
        <f t="shared" si="3"/>
        <v/>
      </c>
      <c r="H848" s="2" t="str">
        <f>IF(G848="","",SUMIF(Familias!C:C,G848,Familias!E:E))</f>
        <v/>
      </c>
      <c r="I848" s="4" t="str">
        <f>IF(A848="","",COUNTIF(Prod_Prop!B:B,A848))</f>
        <v/>
      </c>
      <c r="J848" s="92" t="str">
        <f>IF(E848="","",IF(SUMIF(Precio_Productos!L:L,E848,Precio_Productos!J:J)=0,"Falta Precio",SUMIF(Precio_Productos!L:L,E848,Precio_Productos!J:J)))</f>
        <v/>
      </c>
      <c r="O848" s="86"/>
      <c r="P848" s="86" t="str">
        <f>IFERROR(__xludf.DUMMYFUNCTION("IF(OR(F848=""Selecciona.."",F848=""""),"""",TRANSPOSE(filter(Familias!C:C,Familias!D:D=F848)))"),"")</f>
        <v/>
      </c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</row>
    <row r="849">
      <c r="A849" s="4" t="str">
        <f t="shared" si="1"/>
        <v/>
      </c>
      <c r="B849" s="4"/>
      <c r="C849" s="4"/>
      <c r="D849" s="4"/>
      <c r="E849" s="94"/>
      <c r="F849" s="4" t="str">
        <f t="shared" si="2"/>
        <v/>
      </c>
      <c r="G849" s="2" t="str">
        <f t="shared" si="3"/>
        <v/>
      </c>
      <c r="H849" s="2" t="str">
        <f>IF(G849="","",SUMIF(Familias!C:C,G849,Familias!E:E))</f>
        <v/>
      </c>
      <c r="I849" s="4" t="str">
        <f>IF(A849="","",COUNTIF(Prod_Prop!B:B,A849))</f>
        <v/>
      </c>
      <c r="J849" s="92" t="str">
        <f>IF(E849="","",IF(SUMIF(Precio_Productos!L:L,E849,Precio_Productos!J:J)=0,"Falta Precio",SUMIF(Precio_Productos!L:L,E849,Precio_Productos!J:J)))</f>
        <v/>
      </c>
      <c r="O849" s="86"/>
      <c r="P849" s="86" t="str">
        <f>IFERROR(__xludf.DUMMYFUNCTION("IF(OR(F849=""Selecciona.."",F849=""""),"""",TRANSPOSE(filter(Familias!C:C,Familias!D:D=F849)))"),"")</f>
        <v/>
      </c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</row>
    <row r="850">
      <c r="A850" s="4" t="str">
        <f t="shared" si="1"/>
        <v/>
      </c>
      <c r="B850" s="4"/>
      <c r="C850" s="4"/>
      <c r="D850" s="4"/>
      <c r="E850" s="94"/>
      <c r="F850" s="4" t="str">
        <f t="shared" si="2"/>
        <v/>
      </c>
      <c r="G850" s="2" t="str">
        <f t="shared" si="3"/>
        <v/>
      </c>
      <c r="H850" s="2" t="str">
        <f>IF(G850="","",SUMIF(Familias!C:C,G850,Familias!E:E))</f>
        <v/>
      </c>
      <c r="I850" s="4" t="str">
        <f>IF(A850="","",COUNTIF(Prod_Prop!B:B,A850))</f>
        <v/>
      </c>
      <c r="J850" s="92" t="str">
        <f>IF(E850="","",IF(SUMIF(Precio_Productos!L:L,E850,Precio_Productos!J:J)=0,"Falta Precio",SUMIF(Precio_Productos!L:L,E850,Precio_Productos!J:J)))</f>
        <v/>
      </c>
      <c r="O850" s="86"/>
      <c r="P850" s="86" t="str">
        <f>IFERROR(__xludf.DUMMYFUNCTION("IF(OR(F850=""Selecciona.."",F850=""""),"""",TRANSPOSE(filter(Familias!C:C,Familias!D:D=F850)))"),"")</f>
        <v/>
      </c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</row>
    <row r="851">
      <c r="A851" s="4" t="str">
        <f t="shared" si="1"/>
        <v/>
      </c>
      <c r="B851" s="4"/>
      <c r="C851" s="4"/>
      <c r="D851" s="4"/>
      <c r="E851" s="94"/>
      <c r="F851" s="4" t="str">
        <f t="shared" si="2"/>
        <v/>
      </c>
      <c r="G851" s="2" t="str">
        <f t="shared" si="3"/>
        <v/>
      </c>
      <c r="H851" s="2" t="str">
        <f>IF(G851="","",SUMIF(Familias!C:C,G851,Familias!E:E))</f>
        <v/>
      </c>
      <c r="I851" s="4" t="str">
        <f>IF(A851="","",COUNTIF(Prod_Prop!B:B,A851))</f>
        <v/>
      </c>
      <c r="J851" s="92" t="str">
        <f>IF(E851="","",IF(SUMIF(Precio_Productos!L:L,E851,Precio_Productos!J:J)=0,"Falta Precio",SUMIF(Precio_Productos!L:L,E851,Precio_Productos!J:J)))</f>
        <v/>
      </c>
      <c r="O851" s="86"/>
      <c r="P851" s="86" t="str">
        <f>IFERROR(__xludf.DUMMYFUNCTION("IF(OR(F851=""Selecciona.."",F851=""""),"""",TRANSPOSE(filter(Familias!C:C,Familias!D:D=F851)))"),"")</f>
        <v/>
      </c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</row>
    <row r="852">
      <c r="A852" s="4" t="str">
        <f t="shared" si="1"/>
        <v/>
      </c>
      <c r="B852" s="4"/>
      <c r="C852" s="4"/>
      <c r="D852" s="4"/>
      <c r="E852" s="94"/>
      <c r="F852" s="4" t="str">
        <f t="shared" si="2"/>
        <v/>
      </c>
      <c r="G852" s="2" t="str">
        <f t="shared" si="3"/>
        <v/>
      </c>
      <c r="H852" s="2" t="str">
        <f>IF(G852="","",SUMIF(Familias!C:C,G852,Familias!E:E))</f>
        <v/>
      </c>
      <c r="I852" s="4" t="str">
        <f>IF(A852="","",COUNTIF(Prod_Prop!B:B,A852))</f>
        <v/>
      </c>
      <c r="J852" s="92" t="str">
        <f>IF(E852="","",IF(SUMIF(Precio_Productos!L:L,E852,Precio_Productos!J:J)=0,"Falta Precio",SUMIF(Precio_Productos!L:L,E852,Precio_Productos!J:J)))</f>
        <v/>
      </c>
      <c r="O852" s="86"/>
      <c r="P852" s="86" t="str">
        <f>IFERROR(__xludf.DUMMYFUNCTION("IF(OR(F852=""Selecciona.."",F852=""""),"""",TRANSPOSE(filter(Familias!C:C,Familias!D:D=F852)))"),"")</f>
        <v/>
      </c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</row>
    <row r="853">
      <c r="A853" s="4" t="str">
        <f t="shared" si="1"/>
        <v/>
      </c>
      <c r="B853" s="4"/>
      <c r="C853" s="4"/>
      <c r="D853" s="4"/>
      <c r="E853" s="94"/>
      <c r="F853" s="4" t="str">
        <f t="shared" si="2"/>
        <v/>
      </c>
      <c r="G853" s="2" t="str">
        <f t="shared" si="3"/>
        <v/>
      </c>
      <c r="H853" s="2" t="str">
        <f>IF(G853="","",SUMIF(Familias!C:C,G853,Familias!E:E))</f>
        <v/>
      </c>
      <c r="I853" s="4" t="str">
        <f>IF(A853="","",COUNTIF(Prod_Prop!B:B,A853))</f>
        <v/>
      </c>
      <c r="J853" s="92" t="str">
        <f>IF(E853="","",IF(SUMIF(Precio_Productos!L:L,E853,Precio_Productos!J:J)=0,"Falta Precio",SUMIF(Precio_Productos!L:L,E853,Precio_Productos!J:J)))</f>
        <v/>
      </c>
      <c r="O853" s="86"/>
      <c r="P853" s="86" t="str">
        <f>IFERROR(__xludf.DUMMYFUNCTION("IF(OR(F853=""Selecciona.."",F853=""""),"""",TRANSPOSE(filter(Familias!C:C,Familias!D:D=F853)))"),"")</f>
        <v/>
      </c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</row>
    <row r="854">
      <c r="A854" s="4" t="str">
        <f t="shared" si="1"/>
        <v/>
      </c>
      <c r="B854" s="4"/>
      <c r="C854" s="4"/>
      <c r="D854" s="4"/>
      <c r="E854" s="94"/>
      <c r="F854" s="4" t="str">
        <f t="shared" si="2"/>
        <v/>
      </c>
      <c r="G854" s="2" t="str">
        <f t="shared" si="3"/>
        <v/>
      </c>
      <c r="H854" s="2" t="str">
        <f>IF(G854="","",SUMIF(Familias!C:C,G854,Familias!E:E))</f>
        <v/>
      </c>
      <c r="I854" s="4" t="str">
        <f>IF(A854="","",COUNTIF(Prod_Prop!B:B,A854))</f>
        <v/>
      </c>
      <c r="J854" s="92" t="str">
        <f>IF(E854="","",IF(SUMIF(Precio_Productos!L:L,E854,Precio_Productos!J:J)=0,"Falta Precio",SUMIF(Precio_Productos!L:L,E854,Precio_Productos!J:J)))</f>
        <v/>
      </c>
      <c r="O854" s="86"/>
      <c r="P854" s="86" t="str">
        <f>IFERROR(__xludf.DUMMYFUNCTION("IF(OR(F854=""Selecciona.."",F854=""""),"""",TRANSPOSE(filter(Familias!C:C,Familias!D:D=F854)))"),"")</f>
        <v/>
      </c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</row>
    <row r="855">
      <c r="A855" s="4" t="str">
        <f t="shared" si="1"/>
        <v/>
      </c>
      <c r="B855" s="4"/>
      <c r="C855" s="4"/>
      <c r="D855" s="4"/>
      <c r="E855" s="94"/>
      <c r="F855" s="4" t="str">
        <f t="shared" si="2"/>
        <v/>
      </c>
      <c r="G855" s="2" t="str">
        <f t="shared" si="3"/>
        <v/>
      </c>
      <c r="H855" s="2" t="str">
        <f>IF(G855="","",SUMIF(Familias!C:C,G855,Familias!E:E))</f>
        <v/>
      </c>
      <c r="I855" s="4" t="str">
        <f>IF(A855="","",COUNTIF(Prod_Prop!B:B,A855))</f>
        <v/>
      </c>
      <c r="J855" s="92" t="str">
        <f>IF(E855="","",IF(SUMIF(Precio_Productos!L:L,E855,Precio_Productos!J:J)=0,"Falta Precio",SUMIF(Precio_Productos!L:L,E855,Precio_Productos!J:J)))</f>
        <v/>
      </c>
      <c r="O855" s="86"/>
      <c r="P855" s="86" t="str">
        <f>IFERROR(__xludf.DUMMYFUNCTION("IF(OR(F855=""Selecciona.."",F855=""""),"""",TRANSPOSE(filter(Familias!C:C,Familias!D:D=F855)))"),"")</f>
        <v/>
      </c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</row>
    <row r="856">
      <c r="A856" s="4" t="str">
        <f t="shared" si="1"/>
        <v/>
      </c>
      <c r="B856" s="4"/>
      <c r="C856" s="4"/>
      <c r="D856" s="4"/>
      <c r="E856" s="94"/>
      <c r="F856" s="4" t="str">
        <f t="shared" si="2"/>
        <v/>
      </c>
      <c r="G856" s="2" t="str">
        <f t="shared" si="3"/>
        <v/>
      </c>
      <c r="H856" s="2" t="str">
        <f>IF(G856="","",SUMIF(Familias!C:C,G856,Familias!E:E))</f>
        <v/>
      </c>
      <c r="I856" s="4" t="str">
        <f>IF(A856="","",COUNTIF(Prod_Prop!B:B,A856))</f>
        <v/>
      </c>
      <c r="J856" s="92" t="str">
        <f>IF(E856="","",IF(SUMIF(Precio_Productos!L:L,E856,Precio_Productos!J:J)=0,"Falta Precio",SUMIF(Precio_Productos!L:L,E856,Precio_Productos!J:J)))</f>
        <v/>
      </c>
      <c r="O856" s="86"/>
      <c r="P856" s="86" t="str">
        <f>IFERROR(__xludf.DUMMYFUNCTION("IF(OR(F856=""Selecciona.."",F856=""""),"""",TRANSPOSE(filter(Familias!C:C,Familias!D:D=F856)))"),"")</f>
        <v/>
      </c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</row>
    <row r="857">
      <c r="A857" s="4" t="str">
        <f t="shared" si="1"/>
        <v/>
      </c>
      <c r="B857" s="4"/>
      <c r="C857" s="4"/>
      <c r="D857" s="4"/>
      <c r="E857" s="94"/>
      <c r="F857" s="4" t="str">
        <f t="shared" si="2"/>
        <v/>
      </c>
      <c r="G857" s="2" t="str">
        <f t="shared" si="3"/>
        <v/>
      </c>
      <c r="H857" s="2" t="str">
        <f>IF(G857="","",SUMIF(Familias!C:C,G857,Familias!E:E))</f>
        <v/>
      </c>
      <c r="I857" s="4" t="str">
        <f>IF(A857="","",COUNTIF(Prod_Prop!B:B,A857))</f>
        <v/>
      </c>
      <c r="J857" s="92" t="str">
        <f>IF(E857="","",IF(SUMIF(Precio_Productos!L:L,E857,Precio_Productos!J:J)=0,"Falta Precio",SUMIF(Precio_Productos!L:L,E857,Precio_Productos!J:J)))</f>
        <v/>
      </c>
      <c r="O857" s="86"/>
      <c r="P857" s="86" t="str">
        <f>IFERROR(__xludf.DUMMYFUNCTION("IF(OR(F857=""Selecciona.."",F857=""""),"""",TRANSPOSE(filter(Familias!C:C,Familias!D:D=F857)))"),"")</f>
        <v/>
      </c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</row>
    <row r="858">
      <c r="A858" s="4" t="str">
        <f t="shared" si="1"/>
        <v/>
      </c>
      <c r="B858" s="4"/>
      <c r="C858" s="4"/>
      <c r="D858" s="4"/>
      <c r="E858" s="94"/>
      <c r="F858" s="4" t="str">
        <f t="shared" si="2"/>
        <v/>
      </c>
      <c r="G858" s="2" t="str">
        <f t="shared" si="3"/>
        <v/>
      </c>
      <c r="H858" s="2" t="str">
        <f>IF(G858="","",SUMIF(Familias!C:C,G858,Familias!E:E))</f>
        <v/>
      </c>
      <c r="I858" s="4" t="str">
        <f>IF(A858="","",COUNTIF(Prod_Prop!B:B,A858))</f>
        <v/>
      </c>
      <c r="J858" s="92" t="str">
        <f>IF(E858="","",IF(SUMIF(Precio_Productos!L:L,E858,Precio_Productos!J:J)=0,"Falta Precio",SUMIF(Precio_Productos!L:L,E858,Precio_Productos!J:J)))</f>
        <v/>
      </c>
      <c r="O858" s="86"/>
      <c r="P858" s="86" t="str">
        <f>IFERROR(__xludf.DUMMYFUNCTION("IF(OR(F858=""Selecciona.."",F858=""""),"""",TRANSPOSE(filter(Familias!C:C,Familias!D:D=F858)))"),"")</f>
        <v/>
      </c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</row>
    <row r="859">
      <c r="A859" s="4" t="str">
        <f t="shared" si="1"/>
        <v/>
      </c>
      <c r="B859" s="4"/>
      <c r="C859" s="4"/>
      <c r="D859" s="4"/>
      <c r="E859" s="94"/>
      <c r="F859" s="4" t="str">
        <f t="shared" si="2"/>
        <v/>
      </c>
      <c r="G859" s="2" t="str">
        <f t="shared" si="3"/>
        <v/>
      </c>
      <c r="H859" s="2" t="str">
        <f>IF(G859="","",SUMIF(Familias!C:C,G859,Familias!E:E))</f>
        <v/>
      </c>
      <c r="I859" s="4" t="str">
        <f>IF(A859="","",COUNTIF(Prod_Prop!B:B,A859))</f>
        <v/>
      </c>
      <c r="J859" s="92" t="str">
        <f>IF(E859="","",IF(SUMIF(Precio_Productos!L:L,E859,Precio_Productos!J:J)=0,"Falta Precio",SUMIF(Precio_Productos!L:L,E859,Precio_Productos!J:J)))</f>
        <v/>
      </c>
      <c r="O859" s="86"/>
      <c r="P859" s="86" t="str">
        <f>IFERROR(__xludf.DUMMYFUNCTION("IF(OR(F859=""Selecciona.."",F859=""""),"""",TRANSPOSE(filter(Familias!C:C,Familias!D:D=F859)))"),"")</f>
        <v/>
      </c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</row>
    <row r="860">
      <c r="A860" s="4" t="str">
        <f t="shared" si="1"/>
        <v/>
      </c>
      <c r="B860" s="4"/>
      <c r="C860" s="4"/>
      <c r="D860" s="4"/>
      <c r="E860" s="94"/>
      <c r="F860" s="4" t="str">
        <f t="shared" si="2"/>
        <v/>
      </c>
      <c r="G860" s="2" t="str">
        <f t="shared" si="3"/>
        <v/>
      </c>
      <c r="H860" s="2" t="str">
        <f>IF(G860="","",SUMIF(Familias!C:C,G860,Familias!E:E))</f>
        <v/>
      </c>
      <c r="I860" s="4" t="str">
        <f>IF(A860="","",COUNTIF(Prod_Prop!B:B,A860))</f>
        <v/>
      </c>
      <c r="J860" s="92" t="str">
        <f>IF(E860="","",IF(SUMIF(Precio_Productos!L:L,E860,Precio_Productos!J:J)=0,"Falta Precio",SUMIF(Precio_Productos!L:L,E860,Precio_Productos!J:J)))</f>
        <v/>
      </c>
      <c r="O860" s="86"/>
      <c r="P860" s="86" t="str">
        <f>IFERROR(__xludf.DUMMYFUNCTION("IF(OR(F860=""Selecciona.."",F860=""""),"""",TRANSPOSE(filter(Familias!C:C,Familias!D:D=F860)))"),"")</f>
        <v/>
      </c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</row>
    <row r="861">
      <c r="A861" s="4" t="str">
        <f t="shared" si="1"/>
        <v/>
      </c>
      <c r="B861" s="4"/>
      <c r="C861" s="4"/>
      <c r="D861" s="4"/>
      <c r="E861" s="94"/>
      <c r="F861" s="4" t="str">
        <f t="shared" si="2"/>
        <v/>
      </c>
      <c r="G861" s="2" t="str">
        <f t="shared" si="3"/>
        <v/>
      </c>
      <c r="H861" s="2" t="str">
        <f>IF(G861="","",SUMIF(Familias!C:C,G861,Familias!E:E))</f>
        <v/>
      </c>
      <c r="I861" s="4" t="str">
        <f>IF(A861="","",COUNTIF(Prod_Prop!B:B,A861))</f>
        <v/>
      </c>
      <c r="J861" s="92" t="str">
        <f>IF(E861="","",IF(SUMIF(Precio_Productos!L:L,E861,Precio_Productos!J:J)=0,"Falta Precio",SUMIF(Precio_Productos!L:L,E861,Precio_Productos!J:J)))</f>
        <v/>
      </c>
      <c r="O861" s="86"/>
      <c r="P861" s="86" t="str">
        <f>IFERROR(__xludf.DUMMYFUNCTION("IF(OR(F861=""Selecciona.."",F861=""""),"""",TRANSPOSE(filter(Familias!C:C,Familias!D:D=F861)))"),"")</f>
        <v/>
      </c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</row>
    <row r="862">
      <c r="A862" s="4" t="str">
        <f t="shared" si="1"/>
        <v/>
      </c>
      <c r="B862" s="4"/>
      <c r="C862" s="4"/>
      <c r="D862" s="4"/>
      <c r="E862" s="94"/>
      <c r="F862" s="4" t="str">
        <f t="shared" si="2"/>
        <v/>
      </c>
      <c r="G862" s="2" t="str">
        <f t="shared" si="3"/>
        <v/>
      </c>
      <c r="H862" s="2" t="str">
        <f>IF(G862="","",SUMIF(Familias!C:C,G862,Familias!E:E))</f>
        <v/>
      </c>
      <c r="I862" s="4" t="str">
        <f>IF(A862="","",COUNTIF(Prod_Prop!B:B,A862))</f>
        <v/>
      </c>
      <c r="J862" s="92" t="str">
        <f>IF(E862="","",IF(SUMIF(Precio_Productos!L:L,E862,Precio_Productos!J:J)=0,"Falta Precio",SUMIF(Precio_Productos!L:L,E862,Precio_Productos!J:J)))</f>
        <v/>
      </c>
      <c r="O862" s="86"/>
      <c r="P862" s="86" t="str">
        <f>IFERROR(__xludf.DUMMYFUNCTION("IF(OR(F862=""Selecciona.."",F862=""""),"""",TRANSPOSE(filter(Familias!C:C,Familias!D:D=F862)))"),"")</f>
        <v/>
      </c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</row>
    <row r="863">
      <c r="A863" s="4" t="str">
        <f t="shared" si="1"/>
        <v/>
      </c>
      <c r="B863" s="4"/>
      <c r="C863" s="4"/>
      <c r="D863" s="4"/>
      <c r="E863" s="94"/>
      <c r="F863" s="4" t="str">
        <f t="shared" si="2"/>
        <v/>
      </c>
      <c r="G863" s="2" t="str">
        <f t="shared" si="3"/>
        <v/>
      </c>
      <c r="H863" s="2" t="str">
        <f>IF(G863="","",SUMIF(Familias!C:C,G863,Familias!E:E))</f>
        <v/>
      </c>
      <c r="I863" s="4" t="str">
        <f>IF(A863="","",COUNTIF(Prod_Prop!B:B,A863))</f>
        <v/>
      </c>
      <c r="J863" s="92" t="str">
        <f>IF(E863="","",IF(SUMIF(Precio_Productos!L:L,E863,Precio_Productos!J:J)=0,"Falta Precio",SUMIF(Precio_Productos!L:L,E863,Precio_Productos!J:J)))</f>
        <v/>
      </c>
      <c r="O863" s="86"/>
      <c r="P863" s="86" t="str">
        <f>IFERROR(__xludf.DUMMYFUNCTION("IF(OR(F863=""Selecciona.."",F863=""""),"""",TRANSPOSE(filter(Familias!C:C,Familias!D:D=F863)))"),"")</f>
        <v/>
      </c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</row>
    <row r="864">
      <c r="A864" s="4" t="str">
        <f t="shared" si="1"/>
        <v/>
      </c>
      <c r="B864" s="4"/>
      <c r="C864" s="4"/>
      <c r="D864" s="4"/>
      <c r="E864" s="94"/>
      <c r="F864" s="4" t="str">
        <f t="shared" si="2"/>
        <v/>
      </c>
      <c r="G864" s="2" t="str">
        <f t="shared" si="3"/>
        <v/>
      </c>
      <c r="H864" s="2" t="str">
        <f>IF(G864="","",SUMIF(Familias!C:C,G864,Familias!E:E))</f>
        <v/>
      </c>
      <c r="I864" s="4" t="str">
        <f>IF(A864="","",COUNTIF(Prod_Prop!B:B,A864))</f>
        <v/>
      </c>
      <c r="J864" s="92" t="str">
        <f>IF(E864="","",IF(SUMIF(Precio_Productos!L:L,E864,Precio_Productos!J:J)=0,"Falta Precio",SUMIF(Precio_Productos!L:L,E864,Precio_Productos!J:J)))</f>
        <v/>
      </c>
      <c r="O864" s="86"/>
      <c r="P864" s="86" t="str">
        <f>IFERROR(__xludf.DUMMYFUNCTION("IF(OR(F864=""Selecciona.."",F864=""""),"""",TRANSPOSE(filter(Familias!C:C,Familias!D:D=F864)))"),"")</f>
        <v/>
      </c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</row>
    <row r="865">
      <c r="A865" s="4" t="str">
        <f t="shared" si="1"/>
        <v/>
      </c>
      <c r="B865" s="4"/>
      <c r="C865" s="4"/>
      <c r="D865" s="4"/>
      <c r="E865" s="94"/>
      <c r="F865" s="4" t="str">
        <f t="shared" si="2"/>
        <v/>
      </c>
      <c r="G865" s="2" t="str">
        <f t="shared" si="3"/>
        <v/>
      </c>
      <c r="H865" s="2" t="str">
        <f>IF(G865="","",SUMIF(Familias!C:C,G865,Familias!E:E))</f>
        <v/>
      </c>
      <c r="I865" s="4" t="str">
        <f>IF(A865="","",COUNTIF(Prod_Prop!B:B,A865))</f>
        <v/>
      </c>
      <c r="J865" s="92" t="str">
        <f>IF(E865="","",IF(SUMIF(Precio_Productos!L:L,E865,Precio_Productos!J:J)=0,"Falta Precio",SUMIF(Precio_Productos!L:L,E865,Precio_Productos!J:J)))</f>
        <v/>
      </c>
      <c r="O865" s="86"/>
      <c r="P865" s="86" t="str">
        <f>IFERROR(__xludf.DUMMYFUNCTION("IF(OR(F865=""Selecciona.."",F865=""""),"""",TRANSPOSE(filter(Familias!C:C,Familias!D:D=F865)))"),"")</f>
        <v/>
      </c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</row>
    <row r="866">
      <c r="A866" s="4" t="str">
        <f t="shared" si="1"/>
        <v/>
      </c>
      <c r="B866" s="4"/>
      <c r="C866" s="4"/>
      <c r="D866" s="4"/>
      <c r="E866" s="94"/>
      <c r="F866" s="4" t="str">
        <f t="shared" si="2"/>
        <v/>
      </c>
      <c r="G866" s="2" t="str">
        <f t="shared" si="3"/>
        <v/>
      </c>
      <c r="H866" s="2" t="str">
        <f>IF(G866="","",SUMIF(Familias!C:C,G866,Familias!E:E))</f>
        <v/>
      </c>
      <c r="I866" s="4" t="str">
        <f>IF(A866="","",COUNTIF(Prod_Prop!B:B,A866))</f>
        <v/>
      </c>
      <c r="J866" s="92" t="str">
        <f>IF(E866="","",IF(SUMIF(Precio_Productos!L:L,E866,Precio_Productos!J:J)=0,"Falta Precio",SUMIF(Precio_Productos!L:L,E866,Precio_Productos!J:J)))</f>
        <v/>
      </c>
      <c r="O866" s="86"/>
      <c r="P866" s="86" t="str">
        <f>IFERROR(__xludf.DUMMYFUNCTION("IF(OR(F866=""Selecciona.."",F866=""""),"""",TRANSPOSE(filter(Familias!C:C,Familias!D:D=F866)))"),"")</f>
        <v/>
      </c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</row>
    <row r="867">
      <c r="A867" s="4" t="str">
        <f t="shared" si="1"/>
        <v/>
      </c>
      <c r="B867" s="4"/>
      <c r="C867" s="4"/>
      <c r="D867" s="4"/>
      <c r="E867" s="94"/>
      <c r="F867" s="4" t="str">
        <f t="shared" si="2"/>
        <v/>
      </c>
      <c r="G867" s="2" t="str">
        <f t="shared" si="3"/>
        <v/>
      </c>
      <c r="H867" s="2" t="str">
        <f>IF(G867="","",SUMIF(Familias!C:C,G867,Familias!E:E))</f>
        <v/>
      </c>
      <c r="I867" s="4" t="str">
        <f>IF(A867="","",COUNTIF(Prod_Prop!B:B,A867))</f>
        <v/>
      </c>
      <c r="J867" s="92" t="str">
        <f>IF(E867="","",IF(SUMIF(Precio_Productos!L:L,E867,Precio_Productos!J:J)=0,"Falta Precio",SUMIF(Precio_Productos!L:L,E867,Precio_Productos!J:J)))</f>
        <v/>
      </c>
      <c r="O867" s="86"/>
      <c r="P867" s="86" t="str">
        <f>IFERROR(__xludf.DUMMYFUNCTION("IF(OR(F867=""Selecciona.."",F867=""""),"""",TRANSPOSE(filter(Familias!C:C,Familias!D:D=F867)))"),"")</f>
        <v/>
      </c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</row>
    <row r="868">
      <c r="A868" s="4" t="str">
        <f t="shared" si="1"/>
        <v/>
      </c>
      <c r="B868" s="4"/>
      <c r="C868" s="4"/>
      <c r="D868" s="4"/>
      <c r="E868" s="94"/>
      <c r="F868" s="4" t="str">
        <f t="shared" si="2"/>
        <v/>
      </c>
      <c r="G868" s="2" t="str">
        <f t="shared" si="3"/>
        <v/>
      </c>
      <c r="H868" s="2" t="str">
        <f>IF(G868="","",SUMIF(Familias!C:C,G868,Familias!E:E))</f>
        <v/>
      </c>
      <c r="I868" s="4" t="str">
        <f>IF(A868="","",COUNTIF(Prod_Prop!B:B,A868))</f>
        <v/>
      </c>
      <c r="J868" s="92" t="str">
        <f>IF(E868="","",IF(SUMIF(Precio_Productos!L:L,E868,Precio_Productos!J:J)=0,"Falta Precio",SUMIF(Precio_Productos!L:L,E868,Precio_Productos!J:J)))</f>
        <v/>
      </c>
      <c r="O868" s="86"/>
      <c r="P868" s="86" t="str">
        <f>IFERROR(__xludf.DUMMYFUNCTION("IF(OR(F868=""Selecciona.."",F868=""""),"""",TRANSPOSE(filter(Familias!C:C,Familias!D:D=F868)))"),"")</f>
        <v/>
      </c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</row>
    <row r="869">
      <c r="A869" s="4" t="str">
        <f t="shared" si="1"/>
        <v/>
      </c>
      <c r="B869" s="4"/>
      <c r="C869" s="4"/>
      <c r="D869" s="4"/>
      <c r="E869" s="94"/>
      <c r="F869" s="4" t="str">
        <f t="shared" si="2"/>
        <v/>
      </c>
      <c r="G869" s="2" t="str">
        <f t="shared" si="3"/>
        <v/>
      </c>
      <c r="H869" s="2" t="str">
        <f>IF(G869="","",SUMIF(Familias!C:C,G869,Familias!E:E))</f>
        <v/>
      </c>
      <c r="I869" s="4" t="str">
        <f>IF(A869="","",COUNTIF(Prod_Prop!B:B,A869))</f>
        <v/>
      </c>
      <c r="J869" s="92" t="str">
        <f>IF(E869="","",IF(SUMIF(Precio_Productos!L:L,E869,Precio_Productos!J:J)=0,"Falta Precio",SUMIF(Precio_Productos!L:L,E869,Precio_Productos!J:J)))</f>
        <v/>
      </c>
      <c r="O869" s="86"/>
      <c r="P869" s="86" t="str">
        <f>IFERROR(__xludf.DUMMYFUNCTION("IF(OR(F869=""Selecciona.."",F869=""""),"""",TRANSPOSE(filter(Familias!C:C,Familias!D:D=F869)))"),"")</f>
        <v/>
      </c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</row>
    <row r="870">
      <c r="A870" s="4" t="str">
        <f t="shared" si="1"/>
        <v/>
      </c>
      <c r="B870" s="4"/>
      <c r="C870" s="4"/>
      <c r="D870" s="4"/>
      <c r="E870" s="94"/>
      <c r="F870" s="4" t="str">
        <f t="shared" si="2"/>
        <v/>
      </c>
      <c r="G870" s="2" t="str">
        <f t="shared" si="3"/>
        <v/>
      </c>
      <c r="H870" s="2" t="str">
        <f>IF(G870="","",SUMIF(Familias!C:C,G870,Familias!E:E))</f>
        <v/>
      </c>
      <c r="I870" s="4" t="str">
        <f>IF(A870="","",COUNTIF(Prod_Prop!B:B,A870))</f>
        <v/>
      </c>
      <c r="J870" s="92" t="str">
        <f>IF(E870="","",IF(SUMIF(Precio_Productos!L:L,E870,Precio_Productos!J:J)=0,"Falta Precio",SUMIF(Precio_Productos!L:L,E870,Precio_Productos!J:J)))</f>
        <v/>
      </c>
      <c r="O870" s="86"/>
      <c r="P870" s="86" t="str">
        <f>IFERROR(__xludf.DUMMYFUNCTION("IF(OR(F870=""Selecciona.."",F870=""""),"""",TRANSPOSE(filter(Familias!C:C,Familias!D:D=F870)))"),"")</f>
        <v/>
      </c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</row>
    <row r="871">
      <c r="A871" s="4" t="str">
        <f t="shared" si="1"/>
        <v/>
      </c>
      <c r="B871" s="4"/>
      <c r="C871" s="4"/>
      <c r="D871" s="4"/>
      <c r="E871" s="94"/>
      <c r="F871" s="4" t="str">
        <f t="shared" si="2"/>
        <v/>
      </c>
      <c r="G871" s="2" t="str">
        <f t="shared" si="3"/>
        <v/>
      </c>
      <c r="H871" s="2" t="str">
        <f>IF(G871="","",SUMIF(Familias!C:C,G871,Familias!E:E))</f>
        <v/>
      </c>
      <c r="I871" s="4" t="str">
        <f>IF(A871="","",COUNTIF(Prod_Prop!B:B,A871))</f>
        <v/>
      </c>
      <c r="J871" s="92" t="str">
        <f>IF(E871="","",IF(SUMIF(Precio_Productos!L:L,E871,Precio_Productos!J:J)=0,"Falta Precio",SUMIF(Precio_Productos!L:L,E871,Precio_Productos!J:J)))</f>
        <v/>
      </c>
      <c r="O871" s="86"/>
      <c r="P871" s="86" t="str">
        <f>IFERROR(__xludf.DUMMYFUNCTION("IF(OR(F871=""Selecciona.."",F871=""""),"""",TRANSPOSE(filter(Familias!C:C,Familias!D:D=F871)))"),"")</f>
        <v/>
      </c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</row>
    <row r="872">
      <c r="A872" s="4" t="str">
        <f t="shared" si="1"/>
        <v/>
      </c>
      <c r="B872" s="4"/>
      <c r="C872" s="4"/>
      <c r="D872" s="4"/>
      <c r="E872" s="94"/>
      <c r="F872" s="4" t="str">
        <f t="shared" si="2"/>
        <v/>
      </c>
      <c r="G872" s="2" t="str">
        <f t="shared" si="3"/>
        <v/>
      </c>
      <c r="H872" s="2" t="str">
        <f>IF(G872="","",SUMIF(Familias!C:C,G872,Familias!E:E))</f>
        <v/>
      </c>
      <c r="I872" s="4" t="str">
        <f>IF(A872="","",COUNTIF(Prod_Prop!B:B,A872))</f>
        <v/>
      </c>
      <c r="J872" s="92" t="str">
        <f>IF(E872="","",IF(SUMIF(Precio_Productos!L:L,E872,Precio_Productos!J:J)=0,"Falta Precio",SUMIF(Precio_Productos!L:L,E872,Precio_Productos!J:J)))</f>
        <v/>
      </c>
      <c r="O872" s="86"/>
      <c r="P872" s="86" t="str">
        <f>IFERROR(__xludf.DUMMYFUNCTION("IF(OR(F872=""Selecciona.."",F872=""""),"""",TRANSPOSE(filter(Familias!C:C,Familias!D:D=F872)))"),"")</f>
        <v/>
      </c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</row>
    <row r="873">
      <c r="A873" s="4" t="str">
        <f t="shared" si="1"/>
        <v/>
      </c>
      <c r="B873" s="4"/>
      <c r="C873" s="4"/>
      <c r="D873" s="4"/>
      <c r="E873" s="94"/>
      <c r="F873" s="4" t="str">
        <f t="shared" si="2"/>
        <v/>
      </c>
      <c r="G873" s="2" t="str">
        <f t="shared" si="3"/>
        <v/>
      </c>
      <c r="H873" s="2" t="str">
        <f>IF(G873="","",SUMIF(Familias!C:C,G873,Familias!E:E))</f>
        <v/>
      </c>
      <c r="I873" s="4" t="str">
        <f>IF(A873="","",COUNTIF(Prod_Prop!B:B,A873))</f>
        <v/>
      </c>
      <c r="J873" s="92" t="str">
        <f>IF(E873="","",IF(SUMIF(Precio_Productos!L:L,E873,Precio_Productos!J:J)=0,"Falta Precio",SUMIF(Precio_Productos!L:L,E873,Precio_Productos!J:J)))</f>
        <v/>
      </c>
      <c r="O873" s="86"/>
      <c r="P873" s="86" t="str">
        <f>IFERROR(__xludf.DUMMYFUNCTION("IF(OR(F873=""Selecciona.."",F873=""""),"""",TRANSPOSE(filter(Familias!C:C,Familias!D:D=F873)))"),"")</f>
        <v/>
      </c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</row>
    <row r="874">
      <c r="A874" s="4" t="str">
        <f t="shared" si="1"/>
        <v/>
      </c>
      <c r="B874" s="4"/>
      <c r="C874" s="4"/>
      <c r="D874" s="4"/>
      <c r="E874" s="94"/>
      <c r="F874" s="4" t="str">
        <f t="shared" si="2"/>
        <v/>
      </c>
      <c r="G874" s="2" t="str">
        <f t="shared" si="3"/>
        <v/>
      </c>
      <c r="H874" s="2" t="str">
        <f>IF(G874="","",SUMIF(Familias!C:C,G874,Familias!E:E))</f>
        <v/>
      </c>
      <c r="I874" s="4" t="str">
        <f>IF(A874="","",COUNTIF(Prod_Prop!B:B,A874))</f>
        <v/>
      </c>
      <c r="J874" s="92" t="str">
        <f>IF(E874="","",IF(SUMIF(Precio_Productos!L:L,E874,Precio_Productos!J:J)=0,"Falta Precio",SUMIF(Precio_Productos!L:L,E874,Precio_Productos!J:J)))</f>
        <v/>
      </c>
      <c r="O874" s="86"/>
      <c r="P874" s="86" t="str">
        <f>IFERROR(__xludf.DUMMYFUNCTION("IF(OR(F874=""Selecciona.."",F874=""""),"""",TRANSPOSE(filter(Familias!C:C,Familias!D:D=F874)))"),"")</f>
        <v/>
      </c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</row>
    <row r="875">
      <c r="A875" s="4" t="str">
        <f t="shared" si="1"/>
        <v/>
      </c>
      <c r="B875" s="4"/>
      <c r="C875" s="4"/>
      <c r="D875" s="4"/>
      <c r="E875" s="94"/>
      <c r="F875" s="4" t="str">
        <f t="shared" si="2"/>
        <v/>
      </c>
      <c r="G875" s="2" t="str">
        <f t="shared" si="3"/>
        <v/>
      </c>
      <c r="H875" s="2" t="str">
        <f>IF(G875="","",SUMIF(Familias!C:C,G875,Familias!E:E))</f>
        <v/>
      </c>
      <c r="I875" s="4" t="str">
        <f>IF(A875="","",COUNTIF(Prod_Prop!B:B,A875))</f>
        <v/>
      </c>
      <c r="J875" s="92" t="str">
        <f>IF(E875="","",IF(SUMIF(Precio_Productos!L:L,E875,Precio_Productos!J:J)=0,"Falta Precio",SUMIF(Precio_Productos!L:L,E875,Precio_Productos!J:J)))</f>
        <v/>
      </c>
      <c r="O875" s="86"/>
      <c r="P875" s="86" t="str">
        <f>IFERROR(__xludf.DUMMYFUNCTION("IF(OR(F875=""Selecciona.."",F875=""""),"""",TRANSPOSE(filter(Familias!C:C,Familias!D:D=F875)))"),"")</f>
        <v/>
      </c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</row>
    <row r="876">
      <c r="A876" s="4" t="str">
        <f t="shared" si="1"/>
        <v/>
      </c>
      <c r="B876" s="4"/>
      <c r="C876" s="4"/>
      <c r="D876" s="4"/>
      <c r="E876" s="94"/>
      <c r="F876" s="4" t="str">
        <f t="shared" si="2"/>
        <v/>
      </c>
      <c r="G876" s="2" t="str">
        <f t="shared" si="3"/>
        <v/>
      </c>
      <c r="H876" s="2" t="str">
        <f>IF(G876="","",SUMIF(Familias!C:C,G876,Familias!E:E))</f>
        <v/>
      </c>
      <c r="I876" s="4" t="str">
        <f>IF(A876="","",COUNTIF(Prod_Prop!B:B,A876))</f>
        <v/>
      </c>
      <c r="J876" s="92" t="str">
        <f>IF(E876="","",IF(SUMIF(Precio_Productos!L:L,E876,Precio_Productos!J:J)=0,"Falta Precio",SUMIF(Precio_Productos!L:L,E876,Precio_Productos!J:J)))</f>
        <v/>
      </c>
      <c r="O876" s="86"/>
      <c r="P876" s="86" t="str">
        <f>IFERROR(__xludf.DUMMYFUNCTION("IF(OR(F876=""Selecciona.."",F876=""""),"""",TRANSPOSE(filter(Familias!C:C,Familias!D:D=F876)))"),"")</f>
        <v/>
      </c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</row>
    <row r="877">
      <c r="A877" s="4" t="str">
        <f t="shared" si="1"/>
        <v/>
      </c>
      <c r="B877" s="4"/>
      <c r="C877" s="4"/>
      <c r="D877" s="4"/>
      <c r="E877" s="94"/>
      <c r="F877" s="4" t="str">
        <f t="shared" si="2"/>
        <v/>
      </c>
      <c r="G877" s="2" t="str">
        <f t="shared" si="3"/>
        <v/>
      </c>
      <c r="H877" s="2" t="str">
        <f>IF(G877="","",SUMIF(Familias!C:C,G877,Familias!E:E))</f>
        <v/>
      </c>
      <c r="I877" s="4" t="str">
        <f>IF(A877="","",COUNTIF(Prod_Prop!B:B,A877))</f>
        <v/>
      </c>
      <c r="J877" s="92" t="str">
        <f>IF(E877="","",IF(SUMIF(Precio_Productos!L:L,E877,Precio_Productos!J:J)=0,"Falta Precio",SUMIF(Precio_Productos!L:L,E877,Precio_Productos!J:J)))</f>
        <v/>
      </c>
      <c r="O877" s="86"/>
      <c r="P877" s="86" t="str">
        <f>IFERROR(__xludf.DUMMYFUNCTION("IF(OR(F877=""Selecciona.."",F877=""""),"""",TRANSPOSE(filter(Familias!C:C,Familias!D:D=F877)))"),"")</f>
        <v/>
      </c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</row>
    <row r="878">
      <c r="A878" s="4" t="str">
        <f t="shared" si="1"/>
        <v/>
      </c>
      <c r="B878" s="4"/>
      <c r="C878" s="4"/>
      <c r="D878" s="4"/>
      <c r="E878" s="94"/>
      <c r="F878" s="4" t="str">
        <f t="shared" si="2"/>
        <v/>
      </c>
      <c r="G878" s="2" t="str">
        <f t="shared" si="3"/>
        <v/>
      </c>
      <c r="H878" s="2" t="str">
        <f>IF(G878="","",SUMIF(Familias!C:C,G878,Familias!E:E))</f>
        <v/>
      </c>
      <c r="I878" s="4" t="str">
        <f>IF(A878="","",COUNTIF(Prod_Prop!B:B,A878))</f>
        <v/>
      </c>
      <c r="J878" s="92" t="str">
        <f>IF(E878="","",IF(SUMIF(Precio_Productos!L:L,E878,Precio_Productos!J:J)=0,"Falta Precio",SUMIF(Precio_Productos!L:L,E878,Precio_Productos!J:J)))</f>
        <v/>
      </c>
      <c r="O878" s="86"/>
      <c r="P878" s="86" t="str">
        <f>IFERROR(__xludf.DUMMYFUNCTION("IF(OR(F878=""Selecciona.."",F878=""""),"""",TRANSPOSE(filter(Familias!C:C,Familias!D:D=F878)))"),"")</f>
        <v/>
      </c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</row>
    <row r="879">
      <c r="A879" s="4" t="str">
        <f t="shared" si="1"/>
        <v/>
      </c>
      <c r="B879" s="4"/>
      <c r="C879" s="4"/>
      <c r="D879" s="4"/>
      <c r="E879" s="94"/>
      <c r="F879" s="4" t="str">
        <f t="shared" si="2"/>
        <v/>
      </c>
      <c r="G879" s="2" t="str">
        <f t="shared" si="3"/>
        <v/>
      </c>
      <c r="H879" s="2" t="str">
        <f>IF(G879="","",SUMIF(Familias!C:C,G879,Familias!E:E))</f>
        <v/>
      </c>
      <c r="I879" s="4" t="str">
        <f>IF(A879="","",COUNTIF(Prod_Prop!B:B,A879))</f>
        <v/>
      </c>
      <c r="J879" s="92" t="str">
        <f>IF(E879="","",IF(SUMIF(Precio_Productos!L:L,E879,Precio_Productos!J:J)=0,"Falta Precio",SUMIF(Precio_Productos!L:L,E879,Precio_Productos!J:J)))</f>
        <v/>
      </c>
      <c r="O879" s="86"/>
      <c r="P879" s="86" t="str">
        <f>IFERROR(__xludf.DUMMYFUNCTION("IF(OR(F879=""Selecciona.."",F879=""""),"""",TRANSPOSE(filter(Familias!C:C,Familias!D:D=F879)))"),"")</f>
        <v/>
      </c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</row>
    <row r="880">
      <c r="A880" s="4" t="str">
        <f t="shared" si="1"/>
        <v/>
      </c>
      <c r="B880" s="4"/>
      <c r="C880" s="4"/>
      <c r="D880" s="4"/>
      <c r="E880" s="94"/>
      <c r="F880" s="4" t="str">
        <f t="shared" si="2"/>
        <v/>
      </c>
      <c r="G880" s="2" t="str">
        <f t="shared" si="3"/>
        <v/>
      </c>
      <c r="H880" s="2" t="str">
        <f>IF(G880="","",SUMIF(Familias!C:C,G880,Familias!E:E))</f>
        <v/>
      </c>
      <c r="I880" s="4" t="str">
        <f>IF(A880="","",COUNTIF(Prod_Prop!B:B,A880))</f>
        <v/>
      </c>
      <c r="J880" s="92" t="str">
        <f>IF(E880="","",IF(SUMIF(Precio_Productos!L:L,E880,Precio_Productos!J:J)=0,"Falta Precio",SUMIF(Precio_Productos!L:L,E880,Precio_Productos!J:J)))</f>
        <v/>
      </c>
      <c r="O880" s="86"/>
      <c r="P880" s="86" t="str">
        <f>IFERROR(__xludf.DUMMYFUNCTION("IF(OR(F880=""Selecciona.."",F880=""""),"""",TRANSPOSE(filter(Familias!C:C,Familias!D:D=F880)))"),"")</f>
        <v/>
      </c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</row>
    <row r="881">
      <c r="A881" s="4" t="str">
        <f t="shared" si="1"/>
        <v/>
      </c>
      <c r="B881" s="4"/>
      <c r="C881" s="4"/>
      <c r="D881" s="4"/>
      <c r="E881" s="94"/>
      <c r="F881" s="4" t="str">
        <f t="shared" si="2"/>
        <v/>
      </c>
      <c r="G881" s="2" t="str">
        <f t="shared" si="3"/>
        <v/>
      </c>
      <c r="H881" s="2" t="str">
        <f>IF(G881="","",SUMIF(Familias!C:C,G881,Familias!E:E))</f>
        <v/>
      </c>
      <c r="I881" s="4" t="str">
        <f>IF(A881="","",COUNTIF(Prod_Prop!B:B,A881))</f>
        <v/>
      </c>
      <c r="J881" s="92" t="str">
        <f>IF(E881="","",IF(SUMIF(Precio_Productos!L:L,E881,Precio_Productos!J:J)=0,"Falta Precio",SUMIF(Precio_Productos!L:L,E881,Precio_Productos!J:J)))</f>
        <v/>
      </c>
      <c r="O881" s="86"/>
      <c r="P881" s="86" t="str">
        <f>IFERROR(__xludf.DUMMYFUNCTION("IF(OR(F881=""Selecciona.."",F881=""""),"""",TRANSPOSE(filter(Familias!C:C,Familias!D:D=F881)))"),"")</f>
        <v/>
      </c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</row>
    <row r="882">
      <c r="A882" s="4" t="str">
        <f t="shared" si="1"/>
        <v/>
      </c>
      <c r="B882" s="4"/>
      <c r="C882" s="4"/>
      <c r="D882" s="4"/>
      <c r="E882" s="94"/>
      <c r="F882" s="4" t="str">
        <f t="shared" si="2"/>
        <v/>
      </c>
      <c r="G882" s="2" t="str">
        <f t="shared" si="3"/>
        <v/>
      </c>
      <c r="H882" s="2" t="str">
        <f>IF(G882="","",SUMIF(Familias!C:C,G882,Familias!E:E))</f>
        <v/>
      </c>
      <c r="I882" s="4" t="str">
        <f>IF(A882="","",COUNTIF(Prod_Prop!B:B,A882))</f>
        <v/>
      </c>
      <c r="J882" s="92" t="str">
        <f>IF(E882="","",IF(SUMIF(Precio_Productos!L:L,E882,Precio_Productos!J:J)=0,"Falta Precio",SUMIF(Precio_Productos!L:L,E882,Precio_Productos!J:J)))</f>
        <v/>
      </c>
      <c r="O882" s="86"/>
      <c r="P882" s="86" t="str">
        <f>IFERROR(__xludf.DUMMYFUNCTION("IF(OR(F882=""Selecciona.."",F882=""""),"""",TRANSPOSE(filter(Familias!C:C,Familias!D:D=F882)))"),"")</f>
        <v/>
      </c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</row>
    <row r="883">
      <c r="A883" s="4" t="str">
        <f t="shared" si="1"/>
        <v/>
      </c>
      <c r="B883" s="4"/>
      <c r="C883" s="4"/>
      <c r="D883" s="4"/>
      <c r="E883" s="94"/>
      <c r="F883" s="4" t="str">
        <f t="shared" si="2"/>
        <v/>
      </c>
      <c r="G883" s="2" t="str">
        <f t="shared" si="3"/>
        <v/>
      </c>
      <c r="H883" s="2" t="str">
        <f>IF(G883="","",SUMIF(Familias!C:C,G883,Familias!E:E))</f>
        <v/>
      </c>
      <c r="I883" s="4" t="str">
        <f>IF(A883="","",COUNTIF(Prod_Prop!B:B,A883))</f>
        <v/>
      </c>
      <c r="J883" s="92" t="str">
        <f>IF(E883="","",IF(SUMIF(Precio_Productos!L:L,E883,Precio_Productos!J:J)=0,"Falta Precio",SUMIF(Precio_Productos!L:L,E883,Precio_Productos!J:J)))</f>
        <v/>
      </c>
      <c r="O883" s="86"/>
      <c r="P883" s="86" t="str">
        <f>IFERROR(__xludf.DUMMYFUNCTION("IF(OR(F883=""Selecciona.."",F883=""""),"""",TRANSPOSE(filter(Familias!C:C,Familias!D:D=F883)))"),"")</f>
        <v/>
      </c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</row>
    <row r="884">
      <c r="A884" s="4" t="str">
        <f t="shared" si="1"/>
        <v/>
      </c>
      <c r="B884" s="4"/>
      <c r="C884" s="4"/>
      <c r="D884" s="4"/>
      <c r="E884" s="94"/>
      <c r="F884" s="4" t="str">
        <f t="shared" si="2"/>
        <v/>
      </c>
      <c r="G884" s="2" t="str">
        <f t="shared" si="3"/>
        <v/>
      </c>
      <c r="H884" s="2" t="str">
        <f>IF(G884="","",SUMIF(Familias!C:C,G884,Familias!E:E))</f>
        <v/>
      </c>
      <c r="I884" s="4" t="str">
        <f>IF(A884="","",COUNTIF(Prod_Prop!B:B,A884))</f>
        <v/>
      </c>
      <c r="J884" s="92" t="str">
        <f>IF(E884="","",IF(SUMIF(Precio_Productos!L:L,E884,Precio_Productos!J:J)=0,"Falta Precio",SUMIF(Precio_Productos!L:L,E884,Precio_Productos!J:J)))</f>
        <v/>
      </c>
      <c r="O884" s="86"/>
      <c r="P884" s="86" t="str">
        <f>IFERROR(__xludf.DUMMYFUNCTION("IF(OR(F884=""Selecciona.."",F884=""""),"""",TRANSPOSE(filter(Familias!C:C,Familias!D:D=F884)))"),"")</f>
        <v/>
      </c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</row>
    <row r="885">
      <c r="A885" s="4" t="str">
        <f t="shared" si="1"/>
        <v/>
      </c>
      <c r="B885" s="4"/>
      <c r="C885" s="4"/>
      <c r="D885" s="4"/>
      <c r="E885" s="94"/>
      <c r="F885" s="4" t="str">
        <f t="shared" si="2"/>
        <v/>
      </c>
      <c r="G885" s="2" t="str">
        <f t="shared" si="3"/>
        <v/>
      </c>
      <c r="H885" s="2" t="str">
        <f>IF(G885="","",SUMIF(Familias!C:C,G885,Familias!E:E))</f>
        <v/>
      </c>
      <c r="I885" s="4" t="str">
        <f>IF(A885="","",COUNTIF(Prod_Prop!B:B,A885))</f>
        <v/>
      </c>
      <c r="J885" s="92" t="str">
        <f>IF(E885="","",IF(SUMIF(Precio_Productos!L:L,E885,Precio_Productos!J:J)=0,"Falta Precio",SUMIF(Precio_Productos!L:L,E885,Precio_Productos!J:J)))</f>
        <v/>
      </c>
      <c r="O885" s="86"/>
      <c r="P885" s="86" t="str">
        <f>IFERROR(__xludf.DUMMYFUNCTION("IF(OR(F885=""Selecciona.."",F885=""""),"""",TRANSPOSE(filter(Familias!C:C,Familias!D:D=F885)))"),"")</f>
        <v/>
      </c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</row>
    <row r="886">
      <c r="A886" s="4" t="str">
        <f t="shared" si="1"/>
        <v/>
      </c>
      <c r="B886" s="4"/>
      <c r="C886" s="4"/>
      <c r="D886" s="4"/>
      <c r="E886" s="94"/>
      <c r="F886" s="4" t="str">
        <f t="shared" si="2"/>
        <v/>
      </c>
      <c r="G886" s="2" t="str">
        <f t="shared" si="3"/>
        <v/>
      </c>
      <c r="H886" s="2" t="str">
        <f>IF(G886="","",SUMIF(Familias!C:C,G886,Familias!E:E))</f>
        <v/>
      </c>
      <c r="I886" s="4" t="str">
        <f>IF(A886="","",COUNTIF(Prod_Prop!B:B,A886))</f>
        <v/>
      </c>
      <c r="J886" s="92" t="str">
        <f>IF(E886="","",IF(SUMIF(Precio_Productos!L:L,E886,Precio_Productos!J:J)=0,"Falta Precio",SUMIF(Precio_Productos!L:L,E886,Precio_Productos!J:J)))</f>
        <v/>
      </c>
      <c r="O886" s="86"/>
      <c r="P886" s="86" t="str">
        <f>IFERROR(__xludf.DUMMYFUNCTION("IF(OR(F886=""Selecciona.."",F886=""""),"""",TRANSPOSE(filter(Familias!C:C,Familias!D:D=F886)))"),"")</f>
        <v/>
      </c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</row>
    <row r="887">
      <c r="A887" s="4" t="str">
        <f t="shared" si="1"/>
        <v/>
      </c>
      <c r="B887" s="4"/>
      <c r="C887" s="4"/>
      <c r="D887" s="4"/>
      <c r="E887" s="94"/>
      <c r="F887" s="4" t="str">
        <f t="shared" si="2"/>
        <v/>
      </c>
      <c r="G887" s="2" t="str">
        <f t="shared" si="3"/>
        <v/>
      </c>
      <c r="H887" s="2" t="str">
        <f>IF(G887="","",SUMIF(Familias!C:C,G887,Familias!E:E))</f>
        <v/>
      </c>
      <c r="I887" s="4" t="str">
        <f>IF(A887="","",COUNTIF(Prod_Prop!B:B,A887))</f>
        <v/>
      </c>
      <c r="J887" s="92" t="str">
        <f>IF(E887="","",IF(SUMIF(Precio_Productos!L:L,E887,Precio_Productos!J:J)=0,"Falta Precio",SUMIF(Precio_Productos!L:L,E887,Precio_Productos!J:J)))</f>
        <v/>
      </c>
      <c r="O887" s="86"/>
      <c r="P887" s="86" t="str">
        <f>IFERROR(__xludf.DUMMYFUNCTION("IF(OR(F887=""Selecciona.."",F887=""""),"""",TRANSPOSE(filter(Familias!C:C,Familias!D:D=F887)))"),"")</f>
        <v/>
      </c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</row>
    <row r="888">
      <c r="A888" s="4" t="str">
        <f t="shared" si="1"/>
        <v/>
      </c>
      <c r="B888" s="4"/>
      <c r="C888" s="4"/>
      <c r="D888" s="4"/>
      <c r="E888" s="94"/>
      <c r="F888" s="4" t="str">
        <f t="shared" si="2"/>
        <v/>
      </c>
      <c r="G888" s="2" t="str">
        <f t="shared" si="3"/>
        <v/>
      </c>
      <c r="H888" s="2" t="str">
        <f>IF(G888="","",SUMIF(Familias!C:C,G888,Familias!E:E))</f>
        <v/>
      </c>
      <c r="I888" s="4" t="str">
        <f>IF(A888="","",COUNTIF(Prod_Prop!B:B,A888))</f>
        <v/>
      </c>
      <c r="J888" s="92" t="str">
        <f>IF(E888="","",IF(SUMIF(Precio_Productos!L:L,E888,Precio_Productos!J:J)=0,"Falta Precio",SUMIF(Precio_Productos!L:L,E888,Precio_Productos!J:J)))</f>
        <v/>
      </c>
      <c r="O888" s="86"/>
      <c r="P888" s="86" t="str">
        <f>IFERROR(__xludf.DUMMYFUNCTION("IF(OR(F888=""Selecciona.."",F888=""""),"""",TRANSPOSE(filter(Familias!C:C,Familias!D:D=F888)))"),"")</f>
        <v/>
      </c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</row>
    <row r="889">
      <c r="A889" s="4" t="str">
        <f t="shared" si="1"/>
        <v/>
      </c>
      <c r="B889" s="4"/>
      <c r="C889" s="4"/>
      <c r="D889" s="4"/>
      <c r="E889" s="94"/>
      <c r="F889" s="4" t="str">
        <f t="shared" si="2"/>
        <v/>
      </c>
      <c r="G889" s="2" t="str">
        <f t="shared" si="3"/>
        <v/>
      </c>
      <c r="H889" s="2" t="str">
        <f>IF(G889="","",SUMIF(Familias!C:C,G889,Familias!E:E))</f>
        <v/>
      </c>
      <c r="I889" s="4" t="str">
        <f>IF(A889="","",COUNTIF(Prod_Prop!B:B,A889))</f>
        <v/>
      </c>
      <c r="J889" s="92" t="str">
        <f>IF(E889="","",IF(SUMIF(Precio_Productos!L:L,E889,Precio_Productos!J:J)=0,"Falta Precio",SUMIF(Precio_Productos!L:L,E889,Precio_Productos!J:J)))</f>
        <v/>
      </c>
      <c r="O889" s="86"/>
      <c r="P889" s="86" t="str">
        <f>IFERROR(__xludf.DUMMYFUNCTION("IF(OR(F889=""Selecciona.."",F889=""""),"""",TRANSPOSE(filter(Familias!C:C,Familias!D:D=F889)))"),"")</f>
        <v/>
      </c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</row>
    <row r="890">
      <c r="A890" s="4" t="str">
        <f t="shared" si="1"/>
        <v/>
      </c>
      <c r="B890" s="4"/>
      <c r="C890" s="4"/>
      <c r="D890" s="4"/>
      <c r="E890" s="94"/>
      <c r="F890" s="4" t="str">
        <f t="shared" si="2"/>
        <v/>
      </c>
      <c r="G890" s="2" t="str">
        <f t="shared" si="3"/>
        <v/>
      </c>
      <c r="H890" s="2" t="str">
        <f>IF(G890="","",SUMIF(Familias!C:C,G890,Familias!E:E))</f>
        <v/>
      </c>
      <c r="I890" s="4" t="str">
        <f>IF(A890="","",COUNTIF(Prod_Prop!B:B,A890))</f>
        <v/>
      </c>
      <c r="J890" s="92" t="str">
        <f>IF(E890="","",IF(SUMIF(Precio_Productos!L:L,E890,Precio_Productos!J:J)=0,"Falta Precio",SUMIF(Precio_Productos!L:L,E890,Precio_Productos!J:J)))</f>
        <v/>
      </c>
      <c r="O890" s="86"/>
      <c r="P890" s="86" t="str">
        <f>IFERROR(__xludf.DUMMYFUNCTION("IF(OR(F890=""Selecciona.."",F890=""""),"""",TRANSPOSE(filter(Familias!C:C,Familias!D:D=F890)))"),"")</f>
        <v/>
      </c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</row>
    <row r="891">
      <c r="A891" s="4" t="str">
        <f t="shared" si="1"/>
        <v/>
      </c>
      <c r="B891" s="4"/>
      <c r="C891" s="4"/>
      <c r="D891" s="4"/>
      <c r="E891" s="94"/>
      <c r="F891" s="4" t="str">
        <f t="shared" si="2"/>
        <v/>
      </c>
      <c r="G891" s="2" t="str">
        <f t="shared" si="3"/>
        <v/>
      </c>
      <c r="H891" s="2" t="str">
        <f>IF(G891="","",SUMIF(Familias!C:C,G891,Familias!E:E))</f>
        <v/>
      </c>
      <c r="I891" s="4" t="str">
        <f>IF(A891="","",COUNTIF(Prod_Prop!B:B,A891))</f>
        <v/>
      </c>
      <c r="J891" s="92" t="str">
        <f>IF(E891="","",IF(SUMIF(Precio_Productos!L:L,E891,Precio_Productos!J:J)=0,"Falta Precio",SUMIF(Precio_Productos!L:L,E891,Precio_Productos!J:J)))</f>
        <v/>
      </c>
      <c r="O891" s="86"/>
      <c r="P891" s="86" t="str">
        <f>IFERROR(__xludf.DUMMYFUNCTION("IF(OR(F891=""Selecciona.."",F891=""""),"""",TRANSPOSE(filter(Familias!C:C,Familias!D:D=F891)))"),"")</f>
        <v/>
      </c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</row>
    <row r="892">
      <c r="A892" s="4" t="str">
        <f t="shared" si="1"/>
        <v/>
      </c>
      <c r="B892" s="4"/>
      <c r="C892" s="4"/>
      <c r="D892" s="4"/>
      <c r="E892" s="94"/>
      <c r="F892" s="4" t="str">
        <f t="shared" si="2"/>
        <v/>
      </c>
      <c r="G892" s="2" t="str">
        <f t="shared" si="3"/>
        <v/>
      </c>
      <c r="H892" s="2" t="str">
        <f>IF(G892="","",SUMIF(Familias!C:C,G892,Familias!E:E))</f>
        <v/>
      </c>
      <c r="I892" s="4" t="str">
        <f>IF(A892="","",COUNTIF(Prod_Prop!B:B,A892))</f>
        <v/>
      </c>
      <c r="J892" s="92" t="str">
        <f>IF(E892="","",IF(SUMIF(Precio_Productos!L:L,E892,Precio_Productos!J:J)=0,"Falta Precio",SUMIF(Precio_Productos!L:L,E892,Precio_Productos!J:J)))</f>
        <v/>
      </c>
      <c r="O892" s="86"/>
      <c r="P892" s="86" t="str">
        <f>IFERROR(__xludf.DUMMYFUNCTION("IF(OR(F892=""Selecciona.."",F892=""""),"""",TRANSPOSE(filter(Familias!C:C,Familias!D:D=F892)))"),"")</f>
        <v/>
      </c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</row>
    <row r="893">
      <c r="A893" s="4" t="str">
        <f t="shared" si="1"/>
        <v/>
      </c>
      <c r="B893" s="4"/>
      <c r="C893" s="4"/>
      <c r="D893" s="4"/>
      <c r="E893" s="94"/>
      <c r="F893" s="4" t="str">
        <f t="shared" si="2"/>
        <v/>
      </c>
      <c r="G893" s="2" t="str">
        <f t="shared" si="3"/>
        <v/>
      </c>
      <c r="H893" s="2" t="str">
        <f>IF(G893="","",SUMIF(Familias!C:C,G893,Familias!E:E))</f>
        <v/>
      </c>
      <c r="I893" s="4" t="str">
        <f>IF(A893="","",COUNTIF(Prod_Prop!B:B,A893))</f>
        <v/>
      </c>
      <c r="J893" s="92" t="str">
        <f>IF(E893="","",IF(SUMIF(Precio_Productos!L:L,E893,Precio_Productos!J:J)=0,"Falta Precio",SUMIF(Precio_Productos!L:L,E893,Precio_Productos!J:J)))</f>
        <v/>
      </c>
      <c r="O893" s="86"/>
      <c r="P893" s="86" t="str">
        <f>IFERROR(__xludf.DUMMYFUNCTION("IF(OR(F893=""Selecciona.."",F893=""""),"""",TRANSPOSE(filter(Familias!C:C,Familias!D:D=F893)))"),"")</f>
        <v/>
      </c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</row>
    <row r="894">
      <c r="A894" s="4" t="str">
        <f t="shared" si="1"/>
        <v/>
      </c>
      <c r="B894" s="4"/>
      <c r="C894" s="4"/>
      <c r="D894" s="4"/>
      <c r="E894" s="94"/>
      <c r="F894" s="4" t="str">
        <f t="shared" si="2"/>
        <v/>
      </c>
      <c r="G894" s="2" t="str">
        <f t="shared" si="3"/>
        <v/>
      </c>
      <c r="H894" s="2" t="str">
        <f>IF(G894="","",SUMIF(Familias!C:C,G894,Familias!E:E))</f>
        <v/>
      </c>
      <c r="I894" s="4" t="str">
        <f>IF(A894="","",COUNTIF(Prod_Prop!B:B,A894))</f>
        <v/>
      </c>
      <c r="J894" s="92" t="str">
        <f>IF(E894="","",IF(SUMIF(Precio_Productos!L:L,E894,Precio_Productos!J:J)=0,"Falta Precio",SUMIF(Precio_Productos!L:L,E894,Precio_Productos!J:J)))</f>
        <v/>
      </c>
      <c r="O894" s="86"/>
      <c r="P894" s="86" t="str">
        <f>IFERROR(__xludf.DUMMYFUNCTION("IF(OR(F894=""Selecciona.."",F894=""""),"""",TRANSPOSE(filter(Familias!C:C,Familias!D:D=F894)))"),"")</f>
        <v/>
      </c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</row>
    <row r="895">
      <c r="A895" s="4" t="str">
        <f t="shared" si="1"/>
        <v/>
      </c>
      <c r="B895" s="4"/>
      <c r="C895" s="4"/>
      <c r="D895" s="4"/>
      <c r="E895" s="94"/>
      <c r="F895" s="4" t="str">
        <f t="shared" si="2"/>
        <v/>
      </c>
      <c r="G895" s="2" t="str">
        <f t="shared" si="3"/>
        <v/>
      </c>
      <c r="H895" s="2" t="str">
        <f>IF(G895="","",SUMIF(Familias!C:C,G895,Familias!E:E))</f>
        <v/>
      </c>
      <c r="I895" s="4" t="str">
        <f>IF(A895="","",COUNTIF(Prod_Prop!B:B,A895))</f>
        <v/>
      </c>
      <c r="J895" s="92" t="str">
        <f>IF(E895="","",IF(SUMIF(Precio_Productos!L:L,E895,Precio_Productos!J:J)=0,"Falta Precio",SUMIF(Precio_Productos!L:L,E895,Precio_Productos!J:J)))</f>
        <v/>
      </c>
      <c r="O895" s="86"/>
      <c r="P895" s="86" t="str">
        <f>IFERROR(__xludf.DUMMYFUNCTION("IF(OR(F895=""Selecciona.."",F895=""""),"""",TRANSPOSE(filter(Familias!C:C,Familias!D:D=F895)))"),"")</f>
        <v/>
      </c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</row>
    <row r="896">
      <c r="A896" s="4" t="str">
        <f t="shared" si="1"/>
        <v/>
      </c>
      <c r="B896" s="4"/>
      <c r="C896" s="4"/>
      <c r="D896" s="4"/>
      <c r="E896" s="94"/>
      <c r="F896" s="4" t="str">
        <f t="shared" si="2"/>
        <v/>
      </c>
      <c r="G896" s="2" t="str">
        <f t="shared" si="3"/>
        <v/>
      </c>
      <c r="H896" s="2" t="str">
        <f>IF(G896="","",SUMIF(Familias!C:C,G896,Familias!E:E))</f>
        <v/>
      </c>
      <c r="I896" s="4" t="str">
        <f>IF(A896="","",COUNTIF(Prod_Prop!B:B,A896))</f>
        <v/>
      </c>
      <c r="J896" s="92" t="str">
        <f>IF(E896="","",IF(SUMIF(Precio_Productos!L:L,E896,Precio_Productos!J:J)=0,"Falta Precio",SUMIF(Precio_Productos!L:L,E896,Precio_Productos!J:J)))</f>
        <v/>
      </c>
      <c r="O896" s="86"/>
      <c r="P896" s="86" t="str">
        <f>IFERROR(__xludf.DUMMYFUNCTION("IF(OR(F896=""Selecciona.."",F896=""""),"""",TRANSPOSE(filter(Familias!C:C,Familias!D:D=F896)))"),"")</f>
        <v/>
      </c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</row>
    <row r="897">
      <c r="A897" s="4" t="str">
        <f t="shared" si="1"/>
        <v/>
      </c>
      <c r="B897" s="4"/>
      <c r="C897" s="4"/>
      <c r="D897" s="4"/>
      <c r="E897" s="94"/>
      <c r="F897" s="4" t="str">
        <f t="shared" si="2"/>
        <v/>
      </c>
      <c r="G897" s="2" t="str">
        <f t="shared" si="3"/>
        <v/>
      </c>
      <c r="H897" s="2" t="str">
        <f>IF(G897="","",SUMIF(Familias!C:C,G897,Familias!E:E))</f>
        <v/>
      </c>
      <c r="I897" s="4" t="str">
        <f>IF(A897="","",COUNTIF(Prod_Prop!B:B,A897))</f>
        <v/>
      </c>
      <c r="J897" s="92" t="str">
        <f>IF(E897="","",IF(SUMIF(Precio_Productos!L:L,E897,Precio_Productos!J:J)=0,"Falta Precio",SUMIF(Precio_Productos!L:L,E897,Precio_Productos!J:J)))</f>
        <v/>
      </c>
      <c r="O897" s="86"/>
      <c r="P897" s="86" t="str">
        <f>IFERROR(__xludf.DUMMYFUNCTION("IF(OR(F897=""Selecciona.."",F897=""""),"""",TRANSPOSE(filter(Familias!C:C,Familias!D:D=F897)))"),"")</f>
        <v/>
      </c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</row>
    <row r="898">
      <c r="A898" s="4" t="str">
        <f t="shared" si="1"/>
        <v/>
      </c>
      <c r="B898" s="4"/>
      <c r="C898" s="4"/>
      <c r="D898" s="4"/>
      <c r="E898" s="94"/>
      <c r="F898" s="4" t="str">
        <f t="shared" si="2"/>
        <v/>
      </c>
      <c r="G898" s="2" t="str">
        <f t="shared" si="3"/>
        <v/>
      </c>
      <c r="H898" s="2" t="str">
        <f>IF(G898="","",SUMIF(Familias!C:C,G898,Familias!E:E))</f>
        <v/>
      </c>
      <c r="I898" s="4" t="str">
        <f>IF(A898="","",COUNTIF(Prod_Prop!B:B,A898))</f>
        <v/>
      </c>
      <c r="J898" s="92" t="str">
        <f>IF(E898="","",IF(SUMIF(Precio_Productos!L:L,E898,Precio_Productos!J:J)=0,"Falta Precio",SUMIF(Precio_Productos!L:L,E898,Precio_Productos!J:J)))</f>
        <v/>
      </c>
      <c r="O898" s="86"/>
      <c r="P898" s="86" t="str">
        <f>IFERROR(__xludf.DUMMYFUNCTION("IF(OR(F898=""Selecciona.."",F898=""""),"""",TRANSPOSE(filter(Familias!C:C,Familias!D:D=F898)))"),"")</f>
        <v/>
      </c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</row>
    <row r="899">
      <c r="A899" s="4" t="str">
        <f t="shared" si="1"/>
        <v/>
      </c>
      <c r="B899" s="4"/>
      <c r="C899" s="4"/>
      <c r="D899" s="4"/>
      <c r="E899" s="94"/>
      <c r="F899" s="4" t="str">
        <f t="shared" si="2"/>
        <v/>
      </c>
      <c r="G899" s="2" t="str">
        <f t="shared" si="3"/>
        <v/>
      </c>
      <c r="H899" s="2" t="str">
        <f>IF(G899="","",SUMIF(Familias!C:C,G899,Familias!E:E))</f>
        <v/>
      </c>
      <c r="I899" s="4" t="str">
        <f>IF(A899="","",COUNTIF(Prod_Prop!B:B,A899))</f>
        <v/>
      </c>
      <c r="J899" s="92" t="str">
        <f>IF(E899="","",IF(SUMIF(Precio_Productos!L:L,E899,Precio_Productos!J:J)=0,"Falta Precio",SUMIF(Precio_Productos!L:L,E899,Precio_Productos!J:J)))</f>
        <v/>
      </c>
      <c r="O899" s="86"/>
      <c r="P899" s="86" t="str">
        <f>IFERROR(__xludf.DUMMYFUNCTION("IF(OR(F899=""Selecciona.."",F899=""""),"""",TRANSPOSE(filter(Familias!C:C,Familias!D:D=F899)))"),"")</f>
        <v/>
      </c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</row>
    <row r="900">
      <c r="A900" s="4" t="str">
        <f t="shared" si="1"/>
        <v/>
      </c>
      <c r="B900" s="4"/>
      <c r="C900" s="4"/>
      <c r="D900" s="4"/>
      <c r="E900" s="94"/>
      <c r="F900" s="4" t="str">
        <f t="shared" si="2"/>
        <v/>
      </c>
      <c r="G900" s="2" t="str">
        <f t="shared" si="3"/>
        <v/>
      </c>
      <c r="H900" s="2" t="str">
        <f>IF(G900="","",SUMIF(Familias!C:C,G900,Familias!E:E))</f>
        <v/>
      </c>
      <c r="I900" s="4" t="str">
        <f>IF(A900="","",COUNTIF(Prod_Prop!B:B,A900))</f>
        <v/>
      </c>
      <c r="J900" s="92" t="str">
        <f>IF(E900="","",IF(SUMIF(Precio_Productos!L:L,E900,Precio_Productos!J:J)=0,"Falta Precio",SUMIF(Precio_Productos!L:L,E900,Precio_Productos!J:J)))</f>
        <v/>
      </c>
      <c r="O900" s="86"/>
      <c r="P900" s="86" t="str">
        <f>IFERROR(__xludf.DUMMYFUNCTION("IF(OR(F900=""Selecciona.."",F900=""""),"""",TRANSPOSE(filter(Familias!C:C,Familias!D:D=F900)))"),"")</f>
        <v/>
      </c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</row>
    <row r="901">
      <c r="A901" s="4" t="str">
        <f t="shared" si="1"/>
        <v/>
      </c>
      <c r="B901" s="4"/>
      <c r="C901" s="4"/>
      <c r="D901" s="4"/>
      <c r="E901" s="94"/>
      <c r="F901" s="4" t="str">
        <f t="shared" si="2"/>
        <v/>
      </c>
      <c r="G901" s="2" t="str">
        <f t="shared" si="3"/>
        <v/>
      </c>
      <c r="H901" s="2" t="str">
        <f>IF(G901="","",SUMIF(Familias!C:C,G901,Familias!E:E))</f>
        <v/>
      </c>
      <c r="I901" s="4" t="str">
        <f>IF(A901="","",COUNTIF(Prod_Prop!B:B,A901))</f>
        <v/>
      </c>
      <c r="J901" s="92" t="str">
        <f>IF(E901="","",IF(SUMIF(Precio_Productos!L:L,E901,Precio_Productos!J:J)=0,"Falta Precio",SUMIF(Precio_Productos!L:L,E901,Precio_Productos!J:J)))</f>
        <v/>
      </c>
      <c r="O901" s="86"/>
      <c r="P901" s="86" t="str">
        <f>IFERROR(__xludf.DUMMYFUNCTION("IF(OR(F901=""Selecciona.."",F901=""""),"""",TRANSPOSE(filter(Familias!C:C,Familias!D:D=F901)))"),"")</f>
        <v/>
      </c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</row>
    <row r="902">
      <c r="A902" s="4" t="str">
        <f t="shared" si="1"/>
        <v/>
      </c>
      <c r="B902" s="4"/>
      <c r="C902" s="4"/>
      <c r="D902" s="4"/>
      <c r="E902" s="94"/>
      <c r="F902" s="4" t="str">
        <f t="shared" si="2"/>
        <v/>
      </c>
      <c r="G902" s="2" t="str">
        <f t="shared" si="3"/>
        <v/>
      </c>
      <c r="H902" s="2" t="str">
        <f>IF(G902="","",SUMIF(Familias!C:C,G902,Familias!E:E))</f>
        <v/>
      </c>
      <c r="I902" s="4" t="str">
        <f>IF(A902="","",COUNTIF(Prod_Prop!B:B,A902))</f>
        <v/>
      </c>
      <c r="J902" s="92" t="str">
        <f>IF(E902="","",IF(SUMIF(Precio_Productos!L:L,E902,Precio_Productos!J:J)=0,"Falta Precio",SUMIF(Precio_Productos!L:L,E902,Precio_Productos!J:J)))</f>
        <v/>
      </c>
      <c r="O902" s="86"/>
      <c r="P902" s="86" t="str">
        <f>IFERROR(__xludf.DUMMYFUNCTION("IF(OR(F902=""Selecciona.."",F902=""""),"""",TRANSPOSE(filter(Familias!C:C,Familias!D:D=F902)))"),"")</f>
        <v/>
      </c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</row>
    <row r="903">
      <c r="A903" s="4" t="str">
        <f t="shared" si="1"/>
        <v/>
      </c>
      <c r="B903" s="4"/>
      <c r="C903" s="4"/>
      <c r="D903" s="4"/>
      <c r="E903" s="94"/>
      <c r="F903" s="4" t="str">
        <f t="shared" si="2"/>
        <v/>
      </c>
      <c r="G903" s="2" t="str">
        <f t="shared" si="3"/>
        <v/>
      </c>
      <c r="H903" s="2" t="str">
        <f>IF(G903="","",SUMIF(Familias!C:C,G903,Familias!E:E))</f>
        <v/>
      </c>
      <c r="I903" s="4" t="str">
        <f>IF(A903="","",COUNTIF(Prod_Prop!B:B,A903))</f>
        <v/>
      </c>
      <c r="J903" s="92" t="str">
        <f>IF(E903="","",IF(SUMIF(Precio_Productos!L:L,E903,Precio_Productos!J:J)=0,"Falta Precio",SUMIF(Precio_Productos!L:L,E903,Precio_Productos!J:J)))</f>
        <v/>
      </c>
      <c r="O903" s="86"/>
      <c r="P903" s="86" t="str">
        <f>IFERROR(__xludf.DUMMYFUNCTION("IF(OR(F903=""Selecciona.."",F903=""""),"""",TRANSPOSE(filter(Familias!C:C,Familias!D:D=F903)))"),"")</f>
        <v/>
      </c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</row>
    <row r="904">
      <c r="A904" s="4" t="str">
        <f t="shared" si="1"/>
        <v/>
      </c>
      <c r="B904" s="4"/>
      <c r="C904" s="4"/>
      <c r="D904" s="4"/>
      <c r="E904" s="94"/>
      <c r="F904" s="4" t="str">
        <f t="shared" si="2"/>
        <v/>
      </c>
      <c r="G904" s="2" t="str">
        <f t="shared" si="3"/>
        <v/>
      </c>
      <c r="H904" s="2" t="str">
        <f>IF(G904="","",SUMIF(Familias!C:C,G904,Familias!E:E))</f>
        <v/>
      </c>
      <c r="I904" s="4" t="str">
        <f>IF(A904="","",COUNTIF(Prod_Prop!B:B,A904))</f>
        <v/>
      </c>
      <c r="J904" s="92" t="str">
        <f>IF(E904="","",IF(SUMIF(Precio_Productos!L:L,E904,Precio_Productos!J:J)=0,"Falta Precio",SUMIF(Precio_Productos!L:L,E904,Precio_Productos!J:J)))</f>
        <v/>
      </c>
      <c r="O904" s="86"/>
      <c r="P904" s="86" t="str">
        <f>IFERROR(__xludf.DUMMYFUNCTION("IF(OR(F904=""Selecciona.."",F904=""""),"""",TRANSPOSE(filter(Familias!C:C,Familias!D:D=F904)))"),"")</f>
        <v/>
      </c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</row>
    <row r="905">
      <c r="A905" s="4" t="str">
        <f t="shared" si="1"/>
        <v/>
      </c>
      <c r="B905" s="4"/>
      <c r="C905" s="4"/>
      <c r="D905" s="4"/>
      <c r="E905" s="94"/>
      <c r="F905" s="4" t="str">
        <f t="shared" si="2"/>
        <v/>
      </c>
      <c r="G905" s="2" t="str">
        <f t="shared" si="3"/>
        <v/>
      </c>
      <c r="H905" s="2" t="str">
        <f>IF(G905="","",SUMIF(Familias!C:C,G905,Familias!E:E))</f>
        <v/>
      </c>
      <c r="I905" s="4" t="str">
        <f>IF(A905="","",COUNTIF(Prod_Prop!B:B,A905))</f>
        <v/>
      </c>
      <c r="J905" s="92" t="str">
        <f>IF(E905="","",IF(SUMIF(Precio_Productos!L:L,E905,Precio_Productos!J:J)=0,"Falta Precio",SUMIF(Precio_Productos!L:L,E905,Precio_Productos!J:J)))</f>
        <v/>
      </c>
      <c r="O905" s="86"/>
      <c r="P905" s="86" t="str">
        <f>IFERROR(__xludf.DUMMYFUNCTION("IF(OR(F905=""Selecciona.."",F905=""""),"""",TRANSPOSE(filter(Familias!C:C,Familias!D:D=F905)))"),"")</f>
        <v/>
      </c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</row>
    <row r="906">
      <c r="A906" s="4" t="str">
        <f t="shared" si="1"/>
        <v/>
      </c>
      <c r="B906" s="4"/>
      <c r="C906" s="4"/>
      <c r="D906" s="4"/>
      <c r="E906" s="94"/>
      <c r="F906" s="4" t="str">
        <f t="shared" si="2"/>
        <v/>
      </c>
      <c r="G906" s="2" t="str">
        <f t="shared" si="3"/>
        <v/>
      </c>
      <c r="H906" s="2" t="str">
        <f>IF(G906="","",SUMIF(Familias!C:C,G906,Familias!E:E))</f>
        <v/>
      </c>
      <c r="I906" s="4" t="str">
        <f>IF(A906="","",COUNTIF(Prod_Prop!B:B,A906))</f>
        <v/>
      </c>
      <c r="J906" s="92" t="str">
        <f>IF(E906="","",IF(SUMIF(Precio_Productos!L:L,E906,Precio_Productos!J:J)=0,"Falta Precio",SUMIF(Precio_Productos!L:L,E906,Precio_Productos!J:J)))</f>
        <v/>
      </c>
      <c r="O906" s="86"/>
      <c r="P906" s="86" t="str">
        <f>IFERROR(__xludf.DUMMYFUNCTION("IF(OR(F906=""Selecciona.."",F906=""""),"""",TRANSPOSE(filter(Familias!C:C,Familias!D:D=F906)))"),"")</f>
        <v/>
      </c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</row>
    <row r="907">
      <c r="A907" s="4" t="str">
        <f t="shared" si="1"/>
        <v/>
      </c>
      <c r="B907" s="4"/>
      <c r="C907" s="4"/>
      <c r="D907" s="4"/>
      <c r="E907" s="94"/>
      <c r="F907" s="4" t="str">
        <f t="shared" si="2"/>
        <v/>
      </c>
      <c r="G907" s="2" t="str">
        <f t="shared" si="3"/>
        <v/>
      </c>
      <c r="H907" s="2" t="str">
        <f>IF(G907="","",SUMIF(Familias!C:C,G907,Familias!E:E))</f>
        <v/>
      </c>
      <c r="I907" s="4" t="str">
        <f>IF(A907="","",COUNTIF(Prod_Prop!B:B,A907))</f>
        <v/>
      </c>
      <c r="J907" s="92" t="str">
        <f>IF(E907="","",IF(SUMIF(Precio_Productos!L:L,E907,Precio_Productos!J:J)=0,"Falta Precio",SUMIF(Precio_Productos!L:L,E907,Precio_Productos!J:J)))</f>
        <v/>
      </c>
      <c r="O907" s="86"/>
      <c r="P907" s="86" t="str">
        <f>IFERROR(__xludf.DUMMYFUNCTION("IF(OR(F907=""Selecciona.."",F907=""""),"""",TRANSPOSE(filter(Familias!C:C,Familias!D:D=F907)))"),"")</f>
        <v/>
      </c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</row>
    <row r="908">
      <c r="A908" s="4" t="str">
        <f t="shared" si="1"/>
        <v/>
      </c>
      <c r="B908" s="4"/>
      <c r="C908" s="4"/>
      <c r="D908" s="4"/>
      <c r="E908" s="94"/>
      <c r="F908" s="4" t="str">
        <f t="shared" si="2"/>
        <v/>
      </c>
      <c r="G908" s="2" t="str">
        <f t="shared" si="3"/>
        <v/>
      </c>
      <c r="H908" s="2" t="str">
        <f>IF(G908="","",SUMIF(Familias!C:C,G908,Familias!E:E))</f>
        <v/>
      </c>
      <c r="I908" s="4" t="str">
        <f>IF(A908="","",COUNTIF(Prod_Prop!B:B,A908))</f>
        <v/>
      </c>
      <c r="J908" s="92" t="str">
        <f>IF(E908="","",IF(SUMIF(Precio_Productos!L:L,E908,Precio_Productos!J:J)=0,"Falta Precio",SUMIF(Precio_Productos!L:L,E908,Precio_Productos!J:J)))</f>
        <v/>
      </c>
      <c r="O908" s="86"/>
      <c r="P908" s="86" t="str">
        <f>IFERROR(__xludf.DUMMYFUNCTION("IF(OR(F908=""Selecciona.."",F908=""""),"""",TRANSPOSE(filter(Familias!C:C,Familias!D:D=F908)))"),"")</f>
        <v/>
      </c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</row>
    <row r="909">
      <c r="A909" s="4" t="str">
        <f t="shared" si="1"/>
        <v/>
      </c>
      <c r="B909" s="4"/>
      <c r="C909" s="4"/>
      <c r="D909" s="4"/>
      <c r="E909" s="94"/>
      <c r="F909" s="4" t="str">
        <f t="shared" si="2"/>
        <v/>
      </c>
      <c r="G909" s="2" t="str">
        <f t="shared" si="3"/>
        <v/>
      </c>
      <c r="H909" s="2" t="str">
        <f>IF(G909="","",SUMIF(Familias!C:C,G909,Familias!E:E))</f>
        <v/>
      </c>
      <c r="I909" s="4" t="str">
        <f>IF(A909="","",COUNTIF(Prod_Prop!B:B,A909))</f>
        <v/>
      </c>
      <c r="J909" s="92" t="str">
        <f>IF(E909="","",IF(SUMIF(Precio_Productos!L:L,E909,Precio_Productos!J:J)=0,"Falta Precio",SUMIF(Precio_Productos!L:L,E909,Precio_Productos!J:J)))</f>
        <v/>
      </c>
      <c r="O909" s="86"/>
      <c r="P909" s="86" t="str">
        <f>IFERROR(__xludf.DUMMYFUNCTION("IF(OR(F909=""Selecciona.."",F909=""""),"""",TRANSPOSE(filter(Familias!C:C,Familias!D:D=F909)))"),"")</f>
        <v/>
      </c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</row>
    <row r="910">
      <c r="A910" s="4" t="str">
        <f t="shared" si="1"/>
        <v/>
      </c>
      <c r="B910" s="4"/>
      <c r="C910" s="4"/>
      <c r="D910" s="4"/>
      <c r="E910" s="94"/>
      <c r="F910" s="4" t="str">
        <f t="shared" si="2"/>
        <v/>
      </c>
      <c r="G910" s="2" t="str">
        <f t="shared" si="3"/>
        <v/>
      </c>
      <c r="H910" s="2" t="str">
        <f>IF(G910="","",SUMIF(Familias!C:C,G910,Familias!E:E))</f>
        <v/>
      </c>
      <c r="I910" s="4" t="str">
        <f>IF(A910="","",COUNTIF(Prod_Prop!B:B,A910))</f>
        <v/>
      </c>
      <c r="J910" s="92" t="str">
        <f>IF(E910="","",IF(SUMIF(Precio_Productos!L:L,E910,Precio_Productos!J:J)=0,"Falta Precio",SUMIF(Precio_Productos!L:L,E910,Precio_Productos!J:J)))</f>
        <v/>
      </c>
      <c r="O910" s="86"/>
      <c r="P910" s="86" t="str">
        <f>IFERROR(__xludf.DUMMYFUNCTION("IF(OR(F910=""Selecciona.."",F910=""""),"""",TRANSPOSE(filter(Familias!C:C,Familias!D:D=F910)))"),"")</f>
        <v/>
      </c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</row>
    <row r="911">
      <c r="A911" s="4" t="str">
        <f t="shared" si="1"/>
        <v/>
      </c>
      <c r="B911" s="4"/>
      <c r="C911" s="4"/>
      <c r="D911" s="4"/>
      <c r="E911" s="94"/>
      <c r="F911" s="4" t="str">
        <f t="shared" si="2"/>
        <v/>
      </c>
      <c r="G911" s="2" t="str">
        <f t="shared" si="3"/>
        <v/>
      </c>
      <c r="H911" s="2" t="str">
        <f>IF(G911="","",SUMIF(Familias!C:C,G911,Familias!E:E))</f>
        <v/>
      </c>
      <c r="I911" s="4" t="str">
        <f>IF(A911="","",COUNTIF(Prod_Prop!B:B,A911))</f>
        <v/>
      </c>
      <c r="J911" s="92" t="str">
        <f>IF(E911="","",IF(SUMIF(Precio_Productos!L:L,E911,Precio_Productos!J:J)=0,"Falta Precio",SUMIF(Precio_Productos!L:L,E911,Precio_Productos!J:J)))</f>
        <v/>
      </c>
      <c r="O911" s="86"/>
      <c r="P911" s="86" t="str">
        <f>IFERROR(__xludf.DUMMYFUNCTION("IF(OR(F911=""Selecciona.."",F911=""""),"""",TRANSPOSE(filter(Familias!C:C,Familias!D:D=F911)))"),"")</f>
        <v/>
      </c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</row>
    <row r="912">
      <c r="A912" s="4" t="str">
        <f t="shared" si="1"/>
        <v/>
      </c>
      <c r="B912" s="4"/>
      <c r="C912" s="4"/>
      <c r="D912" s="4"/>
      <c r="E912" s="94"/>
      <c r="F912" s="4" t="str">
        <f t="shared" si="2"/>
        <v/>
      </c>
      <c r="G912" s="2" t="str">
        <f t="shared" si="3"/>
        <v/>
      </c>
      <c r="H912" s="2" t="str">
        <f>IF(G912="","",SUMIF(Familias!C:C,G912,Familias!E:E))</f>
        <v/>
      </c>
      <c r="I912" s="4" t="str">
        <f>IF(A912="","",COUNTIF(Prod_Prop!B:B,A912))</f>
        <v/>
      </c>
      <c r="J912" s="92" t="str">
        <f>IF(E912="","",IF(SUMIF(Precio_Productos!L:L,E912,Precio_Productos!J:J)=0,"Falta Precio",SUMIF(Precio_Productos!L:L,E912,Precio_Productos!J:J)))</f>
        <v/>
      </c>
      <c r="O912" s="86"/>
      <c r="P912" s="86" t="str">
        <f>IFERROR(__xludf.DUMMYFUNCTION("IF(OR(F912=""Selecciona.."",F912=""""),"""",TRANSPOSE(filter(Familias!C:C,Familias!D:D=F912)))"),"")</f>
        <v/>
      </c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</row>
    <row r="913">
      <c r="A913" s="4" t="str">
        <f t="shared" si="1"/>
        <v/>
      </c>
      <c r="B913" s="4"/>
      <c r="C913" s="4"/>
      <c r="D913" s="4"/>
      <c r="E913" s="94"/>
      <c r="F913" s="4" t="str">
        <f t="shared" si="2"/>
        <v/>
      </c>
      <c r="G913" s="2" t="str">
        <f t="shared" si="3"/>
        <v/>
      </c>
      <c r="H913" s="2" t="str">
        <f>IF(G913="","",SUMIF(Familias!C:C,G913,Familias!E:E))</f>
        <v/>
      </c>
      <c r="I913" s="4" t="str">
        <f>IF(A913="","",COUNTIF(Prod_Prop!B:B,A913))</f>
        <v/>
      </c>
      <c r="J913" s="92" t="str">
        <f>IF(E913="","",IF(SUMIF(Precio_Productos!L:L,E913,Precio_Productos!J:J)=0,"Falta Precio",SUMIF(Precio_Productos!L:L,E913,Precio_Productos!J:J)))</f>
        <v/>
      </c>
      <c r="O913" s="86"/>
      <c r="P913" s="86" t="str">
        <f>IFERROR(__xludf.DUMMYFUNCTION("IF(OR(F913=""Selecciona.."",F913=""""),"""",TRANSPOSE(filter(Familias!C:C,Familias!D:D=F913)))"),"")</f>
        <v/>
      </c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</row>
    <row r="914">
      <c r="A914" s="4" t="str">
        <f t="shared" si="1"/>
        <v/>
      </c>
      <c r="B914" s="4"/>
      <c r="C914" s="4"/>
      <c r="D914" s="4"/>
      <c r="E914" s="94"/>
      <c r="F914" s="4" t="str">
        <f t="shared" si="2"/>
        <v/>
      </c>
      <c r="G914" s="2" t="str">
        <f t="shared" si="3"/>
        <v/>
      </c>
      <c r="H914" s="2" t="str">
        <f>IF(G914="","",SUMIF(Familias!C:C,G914,Familias!E:E))</f>
        <v/>
      </c>
      <c r="I914" s="4" t="str">
        <f>IF(A914="","",COUNTIF(Prod_Prop!B:B,A914))</f>
        <v/>
      </c>
      <c r="J914" s="92" t="str">
        <f>IF(E914="","",IF(SUMIF(Precio_Productos!L:L,E914,Precio_Productos!J:J)=0,"Falta Precio",SUMIF(Precio_Productos!L:L,E914,Precio_Productos!J:J)))</f>
        <v/>
      </c>
      <c r="O914" s="86"/>
      <c r="P914" s="86" t="str">
        <f>IFERROR(__xludf.DUMMYFUNCTION("IF(OR(F914=""Selecciona.."",F914=""""),"""",TRANSPOSE(filter(Familias!C:C,Familias!D:D=F914)))"),"")</f>
        <v/>
      </c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</row>
    <row r="915">
      <c r="A915" s="4" t="str">
        <f t="shared" si="1"/>
        <v/>
      </c>
      <c r="B915" s="4"/>
      <c r="C915" s="4"/>
      <c r="D915" s="4"/>
      <c r="E915" s="94"/>
      <c r="F915" s="4" t="str">
        <f t="shared" si="2"/>
        <v/>
      </c>
      <c r="G915" s="2" t="str">
        <f t="shared" si="3"/>
        <v/>
      </c>
      <c r="H915" s="2" t="str">
        <f>IF(G915="","",SUMIF(Familias!C:C,G915,Familias!E:E))</f>
        <v/>
      </c>
      <c r="I915" s="4" t="str">
        <f>IF(A915="","",COUNTIF(Prod_Prop!B:B,A915))</f>
        <v/>
      </c>
      <c r="J915" s="92" t="str">
        <f>IF(E915="","",IF(SUMIF(Precio_Productos!L:L,E915,Precio_Productos!J:J)=0,"Falta Precio",SUMIF(Precio_Productos!L:L,E915,Precio_Productos!J:J)))</f>
        <v/>
      </c>
      <c r="O915" s="86"/>
      <c r="P915" s="86" t="str">
        <f>IFERROR(__xludf.DUMMYFUNCTION("IF(OR(F915=""Selecciona.."",F915=""""),"""",TRANSPOSE(filter(Familias!C:C,Familias!D:D=F915)))"),"")</f>
        <v/>
      </c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</row>
    <row r="916">
      <c r="A916" s="4" t="str">
        <f t="shared" si="1"/>
        <v/>
      </c>
      <c r="B916" s="4"/>
      <c r="C916" s="4"/>
      <c r="D916" s="4"/>
      <c r="E916" s="94"/>
      <c r="F916" s="4" t="str">
        <f t="shared" si="2"/>
        <v/>
      </c>
      <c r="G916" s="2" t="str">
        <f t="shared" si="3"/>
        <v/>
      </c>
      <c r="H916" s="2" t="str">
        <f>IF(G916="","",SUMIF(Familias!C:C,G916,Familias!E:E))</f>
        <v/>
      </c>
      <c r="I916" s="4" t="str">
        <f>IF(A916="","",COUNTIF(Prod_Prop!B:B,A916))</f>
        <v/>
      </c>
      <c r="J916" s="92" t="str">
        <f>IF(E916="","",IF(SUMIF(Precio_Productos!L:L,E916,Precio_Productos!J:J)=0,"Falta Precio",SUMIF(Precio_Productos!L:L,E916,Precio_Productos!J:J)))</f>
        <v/>
      </c>
      <c r="O916" s="86"/>
      <c r="P916" s="86" t="str">
        <f>IFERROR(__xludf.DUMMYFUNCTION("IF(OR(F916=""Selecciona.."",F916=""""),"""",TRANSPOSE(filter(Familias!C:C,Familias!D:D=F916)))"),"")</f>
        <v/>
      </c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</row>
    <row r="917">
      <c r="A917" s="4" t="str">
        <f t="shared" si="1"/>
        <v/>
      </c>
      <c r="B917" s="4"/>
      <c r="C917" s="4"/>
      <c r="D917" s="4"/>
      <c r="E917" s="94"/>
      <c r="F917" s="4" t="str">
        <f t="shared" si="2"/>
        <v/>
      </c>
      <c r="G917" s="2" t="str">
        <f t="shared" si="3"/>
        <v/>
      </c>
      <c r="H917" s="2" t="str">
        <f>IF(G917="","",SUMIF(Familias!C:C,G917,Familias!E:E))</f>
        <v/>
      </c>
      <c r="I917" s="4" t="str">
        <f>IF(A917="","",COUNTIF(Prod_Prop!B:B,A917))</f>
        <v/>
      </c>
      <c r="J917" s="92" t="str">
        <f>IF(E917="","",IF(SUMIF(Precio_Productos!L:L,E917,Precio_Productos!J:J)=0,"Falta Precio",SUMIF(Precio_Productos!L:L,E917,Precio_Productos!J:J)))</f>
        <v/>
      </c>
      <c r="O917" s="86"/>
      <c r="P917" s="86" t="str">
        <f>IFERROR(__xludf.DUMMYFUNCTION("IF(OR(F917=""Selecciona.."",F917=""""),"""",TRANSPOSE(filter(Familias!C:C,Familias!D:D=F917)))"),"")</f>
        <v/>
      </c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</row>
    <row r="918">
      <c r="A918" s="4" t="str">
        <f t="shared" si="1"/>
        <v/>
      </c>
      <c r="B918" s="4"/>
      <c r="C918" s="4"/>
      <c r="D918" s="4"/>
      <c r="E918" s="94"/>
      <c r="F918" s="4" t="str">
        <f t="shared" si="2"/>
        <v/>
      </c>
      <c r="G918" s="2" t="str">
        <f t="shared" si="3"/>
        <v/>
      </c>
      <c r="H918" s="2" t="str">
        <f>IF(G918="","",SUMIF(Familias!C:C,G918,Familias!E:E))</f>
        <v/>
      </c>
      <c r="I918" s="4" t="str">
        <f>IF(A918="","",COUNTIF(Prod_Prop!B:B,A918))</f>
        <v/>
      </c>
      <c r="J918" s="92" t="str">
        <f>IF(E918="","",IF(SUMIF(Precio_Productos!L:L,E918,Precio_Productos!J:J)=0,"Falta Precio",SUMIF(Precio_Productos!L:L,E918,Precio_Productos!J:J)))</f>
        <v/>
      </c>
      <c r="O918" s="86"/>
      <c r="P918" s="86" t="str">
        <f>IFERROR(__xludf.DUMMYFUNCTION("IF(OR(F918=""Selecciona.."",F918=""""),"""",TRANSPOSE(filter(Familias!C:C,Familias!D:D=F918)))"),"")</f>
        <v/>
      </c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</row>
    <row r="919">
      <c r="A919" s="4" t="str">
        <f t="shared" si="1"/>
        <v/>
      </c>
      <c r="B919" s="4"/>
      <c r="C919" s="4"/>
      <c r="D919" s="4"/>
      <c r="E919" s="94"/>
      <c r="F919" s="4" t="str">
        <f t="shared" si="2"/>
        <v/>
      </c>
      <c r="G919" s="2" t="str">
        <f t="shared" si="3"/>
        <v/>
      </c>
      <c r="H919" s="2" t="str">
        <f>IF(G919="","",SUMIF(Familias!C:C,G919,Familias!E:E))</f>
        <v/>
      </c>
      <c r="I919" s="4" t="str">
        <f>IF(A919="","",COUNTIF(Prod_Prop!B:B,A919))</f>
        <v/>
      </c>
      <c r="J919" s="92" t="str">
        <f>IF(E919="","",IF(SUMIF(Precio_Productos!L:L,E919,Precio_Productos!J:J)=0,"Falta Precio",SUMIF(Precio_Productos!L:L,E919,Precio_Productos!J:J)))</f>
        <v/>
      </c>
      <c r="O919" s="86"/>
      <c r="P919" s="86" t="str">
        <f>IFERROR(__xludf.DUMMYFUNCTION("IF(OR(F919=""Selecciona.."",F919=""""),"""",TRANSPOSE(filter(Familias!C:C,Familias!D:D=F919)))"),"")</f>
        <v/>
      </c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</row>
    <row r="920">
      <c r="A920" s="4" t="str">
        <f t="shared" si="1"/>
        <v/>
      </c>
      <c r="B920" s="4"/>
      <c r="C920" s="4"/>
      <c r="D920" s="4"/>
      <c r="E920" s="94"/>
      <c r="F920" s="4" t="str">
        <f t="shared" si="2"/>
        <v/>
      </c>
      <c r="G920" s="2" t="str">
        <f t="shared" si="3"/>
        <v/>
      </c>
      <c r="H920" s="2" t="str">
        <f>IF(G920="","",SUMIF(Familias!C:C,G920,Familias!E:E))</f>
        <v/>
      </c>
      <c r="I920" s="4" t="str">
        <f>IF(A920="","",COUNTIF(Prod_Prop!B:B,A920))</f>
        <v/>
      </c>
      <c r="J920" s="92" t="str">
        <f>IF(E920="","",IF(SUMIF(Precio_Productos!L:L,E920,Precio_Productos!J:J)=0,"Falta Precio",SUMIF(Precio_Productos!L:L,E920,Precio_Productos!J:J)))</f>
        <v/>
      </c>
      <c r="O920" s="86"/>
      <c r="P920" s="86" t="str">
        <f>IFERROR(__xludf.DUMMYFUNCTION("IF(OR(F920=""Selecciona.."",F920=""""),"""",TRANSPOSE(filter(Familias!C:C,Familias!D:D=F920)))"),"")</f>
        <v/>
      </c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</row>
    <row r="921">
      <c r="A921" s="4" t="str">
        <f t="shared" si="1"/>
        <v/>
      </c>
      <c r="B921" s="4"/>
      <c r="C921" s="4"/>
      <c r="D921" s="4"/>
      <c r="E921" s="94"/>
      <c r="F921" s="4" t="str">
        <f t="shared" si="2"/>
        <v/>
      </c>
      <c r="G921" s="2" t="str">
        <f t="shared" si="3"/>
        <v/>
      </c>
      <c r="H921" s="2" t="str">
        <f>IF(G921="","",SUMIF(Familias!C:C,G921,Familias!E:E))</f>
        <v/>
      </c>
      <c r="I921" s="4" t="str">
        <f>IF(A921="","",COUNTIF(Prod_Prop!B:B,A921))</f>
        <v/>
      </c>
      <c r="J921" s="92" t="str">
        <f>IF(E921="","",IF(SUMIF(Precio_Productos!L:L,E921,Precio_Productos!J:J)=0,"Falta Precio",SUMIF(Precio_Productos!L:L,E921,Precio_Productos!J:J)))</f>
        <v/>
      </c>
      <c r="O921" s="86"/>
      <c r="P921" s="86" t="str">
        <f>IFERROR(__xludf.DUMMYFUNCTION("IF(OR(F921=""Selecciona.."",F921=""""),"""",TRANSPOSE(filter(Familias!C:C,Familias!D:D=F921)))"),"")</f>
        <v/>
      </c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</row>
    <row r="922">
      <c r="A922" s="4" t="str">
        <f t="shared" si="1"/>
        <v/>
      </c>
      <c r="B922" s="4"/>
      <c r="C922" s="4"/>
      <c r="D922" s="4"/>
      <c r="E922" s="94"/>
      <c r="F922" s="4" t="str">
        <f t="shared" si="2"/>
        <v/>
      </c>
      <c r="G922" s="2" t="str">
        <f t="shared" si="3"/>
        <v/>
      </c>
      <c r="H922" s="2" t="str">
        <f>IF(G922="","",SUMIF(Familias!C:C,G922,Familias!E:E))</f>
        <v/>
      </c>
      <c r="I922" s="4" t="str">
        <f>IF(A922="","",COUNTIF(Prod_Prop!B:B,A922))</f>
        <v/>
      </c>
      <c r="J922" s="92" t="str">
        <f>IF(E922="","",IF(SUMIF(Precio_Productos!L:L,E922,Precio_Productos!J:J)=0,"Falta Precio",SUMIF(Precio_Productos!L:L,E922,Precio_Productos!J:J)))</f>
        <v/>
      </c>
      <c r="O922" s="86"/>
      <c r="P922" s="86" t="str">
        <f>IFERROR(__xludf.DUMMYFUNCTION("IF(OR(F922=""Selecciona.."",F922=""""),"""",TRANSPOSE(filter(Familias!C:C,Familias!D:D=F922)))"),"")</f>
        <v/>
      </c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</row>
    <row r="923">
      <c r="A923" s="4" t="str">
        <f t="shared" si="1"/>
        <v/>
      </c>
      <c r="B923" s="4"/>
      <c r="C923" s="4"/>
      <c r="D923" s="4"/>
      <c r="E923" s="94"/>
      <c r="F923" s="4" t="str">
        <f t="shared" si="2"/>
        <v/>
      </c>
      <c r="G923" s="2" t="str">
        <f t="shared" si="3"/>
        <v/>
      </c>
      <c r="H923" s="2" t="str">
        <f>IF(G923="","",SUMIF(Familias!C:C,G923,Familias!E:E))</f>
        <v/>
      </c>
      <c r="I923" s="4" t="str">
        <f>IF(A923="","",COUNTIF(Prod_Prop!B:B,A923))</f>
        <v/>
      </c>
      <c r="J923" s="92" t="str">
        <f>IF(E923="","",IF(SUMIF(Precio_Productos!L:L,E923,Precio_Productos!J:J)=0,"Falta Precio",SUMIF(Precio_Productos!L:L,E923,Precio_Productos!J:J)))</f>
        <v/>
      </c>
      <c r="O923" s="86"/>
      <c r="P923" s="86" t="str">
        <f>IFERROR(__xludf.DUMMYFUNCTION("IF(OR(F923=""Selecciona.."",F923=""""),"""",TRANSPOSE(filter(Familias!C:C,Familias!D:D=F923)))"),"")</f>
        <v/>
      </c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</row>
    <row r="924">
      <c r="A924" s="4" t="str">
        <f t="shared" si="1"/>
        <v/>
      </c>
      <c r="B924" s="4"/>
      <c r="C924" s="4"/>
      <c r="D924" s="4"/>
      <c r="E924" s="94"/>
      <c r="F924" s="4" t="str">
        <f t="shared" si="2"/>
        <v/>
      </c>
      <c r="G924" s="2" t="str">
        <f t="shared" si="3"/>
        <v/>
      </c>
      <c r="H924" s="2" t="str">
        <f>IF(G924="","",SUMIF(Familias!C:C,G924,Familias!E:E))</f>
        <v/>
      </c>
      <c r="I924" s="4" t="str">
        <f>IF(A924="","",COUNTIF(Prod_Prop!B:B,A924))</f>
        <v/>
      </c>
      <c r="J924" s="92" t="str">
        <f>IF(E924="","",IF(SUMIF(Precio_Productos!L:L,E924,Precio_Productos!J:J)=0,"Falta Precio",SUMIF(Precio_Productos!L:L,E924,Precio_Productos!J:J)))</f>
        <v/>
      </c>
      <c r="O924" s="86"/>
      <c r="P924" s="86" t="str">
        <f>IFERROR(__xludf.DUMMYFUNCTION("IF(OR(F924=""Selecciona.."",F924=""""),"""",TRANSPOSE(filter(Familias!C:C,Familias!D:D=F924)))"),"")</f>
        <v/>
      </c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</row>
    <row r="925">
      <c r="A925" s="4" t="str">
        <f t="shared" si="1"/>
        <v/>
      </c>
      <c r="B925" s="4"/>
      <c r="C925" s="4"/>
      <c r="D925" s="4"/>
      <c r="E925" s="94"/>
      <c r="F925" s="4" t="str">
        <f t="shared" si="2"/>
        <v/>
      </c>
      <c r="G925" s="2" t="str">
        <f t="shared" si="3"/>
        <v/>
      </c>
      <c r="H925" s="2" t="str">
        <f>IF(G925="","",SUMIF(Familias!C:C,G925,Familias!E:E))</f>
        <v/>
      </c>
      <c r="I925" s="4" t="str">
        <f>IF(A925="","",COUNTIF(Prod_Prop!B:B,A925))</f>
        <v/>
      </c>
      <c r="J925" s="92" t="str">
        <f>IF(E925="","",IF(SUMIF(Precio_Productos!L:L,E925,Precio_Productos!J:J)=0,"Falta Precio",SUMIF(Precio_Productos!L:L,E925,Precio_Productos!J:J)))</f>
        <v/>
      </c>
      <c r="O925" s="86"/>
      <c r="P925" s="86" t="str">
        <f>IFERROR(__xludf.DUMMYFUNCTION("IF(OR(F925=""Selecciona.."",F925=""""),"""",TRANSPOSE(filter(Familias!C:C,Familias!D:D=F925)))"),"")</f>
        <v/>
      </c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</row>
    <row r="926">
      <c r="A926" s="4" t="str">
        <f t="shared" si="1"/>
        <v/>
      </c>
      <c r="B926" s="4"/>
      <c r="C926" s="4"/>
      <c r="D926" s="4"/>
      <c r="E926" s="94"/>
      <c r="F926" s="4" t="str">
        <f t="shared" si="2"/>
        <v/>
      </c>
      <c r="G926" s="2" t="str">
        <f t="shared" si="3"/>
        <v/>
      </c>
      <c r="H926" s="2" t="str">
        <f>IF(G926="","",SUMIF(Familias!C:C,G926,Familias!E:E))</f>
        <v/>
      </c>
      <c r="I926" s="4" t="str">
        <f>IF(A926="","",COUNTIF(Prod_Prop!B:B,A926))</f>
        <v/>
      </c>
      <c r="J926" s="92" t="str">
        <f>IF(E926="","",IF(SUMIF(Precio_Productos!L:L,E926,Precio_Productos!J:J)=0,"Falta Precio",SUMIF(Precio_Productos!L:L,E926,Precio_Productos!J:J)))</f>
        <v/>
      </c>
      <c r="O926" s="86"/>
      <c r="P926" s="86" t="str">
        <f>IFERROR(__xludf.DUMMYFUNCTION("IF(OR(F926=""Selecciona.."",F926=""""),"""",TRANSPOSE(filter(Familias!C:C,Familias!D:D=F926)))"),"")</f>
        <v/>
      </c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</row>
    <row r="927">
      <c r="A927" s="4" t="str">
        <f t="shared" si="1"/>
        <v/>
      </c>
      <c r="B927" s="4"/>
      <c r="C927" s="4"/>
      <c r="D927" s="4"/>
      <c r="E927" s="94"/>
      <c r="F927" s="4" t="str">
        <f t="shared" si="2"/>
        <v/>
      </c>
      <c r="G927" s="2" t="str">
        <f t="shared" si="3"/>
        <v/>
      </c>
      <c r="H927" s="2" t="str">
        <f>IF(G927="","",SUMIF(Familias!C:C,G927,Familias!E:E))</f>
        <v/>
      </c>
      <c r="I927" s="4" t="str">
        <f>IF(A927="","",COUNTIF(Prod_Prop!B:B,A927))</f>
        <v/>
      </c>
      <c r="J927" s="92" t="str">
        <f>IF(E927="","",IF(SUMIF(Precio_Productos!L:L,E927,Precio_Productos!J:J)=0,"Falta Precio",SUMIF(Precio_Productos!L:L,E927,Precio_Productos!J:J)))</f>
        <v/>
      </c>
      <c r="O927" s="86"/>
      <c r="P927" s="86" t="str">
        <f>IFERROR(__xludf.DUMMYFUNCTION("IF(OR(F927=""Selecciona.."",F927=""""),"""",TRANSPOSE(filter(Familias!C:C,Familias!D:D=F927)))"),"")</f>
        <v/>
      </c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</row>
    <row r="928">
      <c r="A928" s="4" t="str">
        <f t="shared" si="1"/>
        <v/>
      </c>
      <c r="B928" s="4"/>
      <c r="C928" s="4"/>
      <c r="D928" s="4"/>
      <c r="E928" s="94"/>
      <c r="F928" s="4" t="str">
        <f t="shared" si="2"/>
        <v/>
      </c>
      <c r="G928" s="2" t="str">
        <f t="shared" si="3"/>
        <v/>
      </c>
      <c r="H928" s="2" t="str">
        <f>IF(G928="","",SUMIF(Familias!C:C,G928,Familias!E:E))</f>
        <v/>
      </c>
      <c r="I928" s="4" t="str">
        <f>IF(A928="","",COUNTIF(Prod_Prop!B:B,A928))</f>
        <v/>
      </c>
      <c r="J928" s="92" t="str">
        <f>IF(E928="","",IF(SUMIF(Precio_Productos!L:L,E928,Precio_Productos!J:J)=0,"Falta Precio",SUMIF(Precio_Productos!L:L,E928,Precio_Productos!J:J)))</f>
        <v/>
      </c>
      <c r="O928" s="86"/>
      <c r="P928" s="86" t="str">
        <f>IFERROR(__xludf.DUMMYFUNCTION("IF(OR(F928=""Selecciona.."",F928=""""),"""",TRANSPOSE(filter(Familias!C:C,Familias!D:D=F928)))"),"")</f>
        <v/>
      </c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</row>
    <row r="929">
      <c r="A929" s="4" t="str">
        <f t="shared" si="1"/>
        <v/>
      </c>
      <c r="B929" s="4"/>
      <c r="C929" s="4"/>
      <c r="D929" s="4"/>
      <c r="E929" s="94"/>
      <c r="F929" s="4" t="str">
        <f t="shared" si="2"/>
        <v/>
      </c>
      <c r="G929" s="2" t="str">
        <f t="shared" si="3"/>
        <v/>
      </c>
      <c r="H929" s="2" t="str">
        <f>IF(G929="","",SUMIF(Familias!C:C,G929,Familias!E:E))</f>
        <v/>
      </c>
      <c r="I929" s="4" t="str">
        <f>IF(A929="","",COUNTIF(Prod_Prop!B:B,A929))</f>
        <v/>
      </c>
      <c r="J929" s="92" t="str">
        <f>IF(E929="","",IF(SUMIF(Precio_Productos!L:L,E929,Precio_Productos!J:J)=0,"Falta Precio",SUMIF(Precio_Productos!L:L,E929,Precio_Productos!J:J)))</f>
        <v/>
      </c>
      <c r="O929" s="86"/>
      <c r="P929" s="86" t="str">
        <f>IFERROR(__xludf.DUMMYFUNCTION("IF(OR(F929=""Selecciona.."",F929=""""),"""",TRANSPOSE(filter(Familias!C:C,Familias!D:D=F929)))"),"")</f>
        <v/>
      </c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</row>
    <row r="930">
      <c r="A930" s="4" t="str">
        <f t="shared" si="1"/>
        <v/>
      </c>
      <c r="B930" s="4"/>
      <c r="C930" s="4"/>
      <c r="D930" s="4"/>
      <c r="E930" s="94"/>
      <c r="F930" s="4" t="str">
        <f t="shared" si="2"/>
        <v/>
      </c>
      <c r="G930" s="2" t="str">
        <f t="shared" si="3"/>
        <v/>
      </c>
      <c r="H930" s="2" t="str">
        <f>IF(G930="","",SUMIF(Familias!C:C,G930,Familias!E:E))</f>
        <v/>
      </c>
      <c r="I930" s="4" t="str">
        <f>IF(A930="","",COUNTIF(Prod_Prop!B:B,A930))</f>
        <v/>
      </c>
      <c r="J930" s="92" t="str">
        <f>IF(E930="","",IF(SUMIF(Precio_Productos!L:L,E930,Precio_Productos!J:J)=0,"Falta Precio",SUMIF(Precio_Productos!L:L,E930,Precio_Productos!J:J)))</f>
        <v/>
      </c>
      <c r="O930" s="86"/>
      <c r="P930" s="86" t="str">
        <f>IFERROR(__xludf.DUMMYFUNCTION("IF(OR(F930=""Selecciona.."",F930=""""),"""",TRANSPOSE(filter(Familias!C:C,Familias!D:D=F930)))"),"")</f>
        <v/>
      </c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</row>
    <row r="931">
      <c r="A931" s="4" t="str">
        <f t="shared" si="1"/>
        <v/>
      </c>
      <c r="B931" s="4"/>
      <c r="C931" s="4"/>
      <c r="D931" s="4"/>
      <c r="E931" s="94"/>
      <c r="F931" s="4" t="str">
        <f t="shared" si="2"/>
        <v/>
      </c>
      <c r="G931" s="2" t="str">
        <f t="shared" si="3"/>
        <v/>
      </c>
      <c r="H931" s="2" t="str">
        <f>IF(G931="","",SUMIF(Familias!C:C,G931,Familias!E:E))</f>
        <v/>
      </c>
      <c r="I931" s="4" t="str">
        <f>IF(A931="","",COUNTIF(Prod_Prop!B:B,A931))</f>
        <v/>
      </c>
      <c r="J931" s="92" t="str">
        <f>IF(E931="","",IF(SUMIF(Precio_Productos!L:L,E931,Precio_Productos!J:J)=0,"Falta Precio",SUMIF(Precio_Productos!L:L,E931,Precio_Productos!J:J)))</f>
        <v/>
      </c>
      <c r="O931" s="86"/>
      <c r="P931" s="86" t="str">
        <f>IFERROR(__xludf.DUMMYFUNCTION("IF(OR(F931=""Selecciona.."",F931=""""),"""",TRANSPOSE(filter(Familias!C:C,Familias!D:D=F931)))"),"")</f>
        <v/>
      </c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</row>
    <row r="932">
      <c r="A932" s="4" t="str">
        <f t="shared" si="1"/>
        <v/>
      </c>
      <c r="B932" s="4"/>
      <c r="C932" s="4"/>
      <c r="D932" s="4"/>
      <c r="E932" s="94"/>
      <c r="F932" s="4" t="str">
        <f t="shared" si="2"/>
        <v/>
      </c>
      <c r="G932" s="2" t="str">
        <f t="shared" si="3"/>
        <v/>
      </c>
      <c r="H932" s="2" t="str">
        <f>IF(G932="","",SUMIF(Familias!C:C,G932,Familias!E:E))</f>
        <v/>
      </c>
      <c r="I932" s="4" t="str">
        <f>IF(A932="","",COUNTIF(Prod_Prop!B:B,A932))</f>
        <v/>
      </c>
      <c r="J932" s="92" t="str">
        <f>IF(E932="","",IF(SUMIF(Precio_Productos!L:L,E932,Precio_Productos!J:J)=0,"Falta Precio",SUMIF(Precio_Productos!L:L,E932,Precio_Productos!J:J)))</f>
        <v/>
      </c>
      <c r="O932" s="86"/>
      <c r="P932" s="86" t="str">
        <f>IFERROR(__xludf.DUMMYFUNCTION("IF(OR(F932=""Selecciona.."",F932=""""),"""",TRANSPOSE(filter(Familias!C:C,Familias!D:D=F932)))"),"")</f>
        <v/>
      </c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</row>
    <row r="933">
      <c r="A933" s="4" t="str">
        <f t="shared" si="1"/>
        <v/>
      </c>
      <c r="B933" s="4"/>
      <c r="C933" s="4"/>
      <c r="D933" s="4"/>
      <c r="E933" s="94"/>
      <c r="F933" s="4" t="str">
        <f t="shared" si="2"/>
        <v/>
      </c>
      <c r="G933" s="2" t="str">
        <f t="shared" si="3"/>
        <v/>
      </c>
      <c r="H933" s="2" t="str">
        <f>IF(G933="","",SUMIF(Familias!C:C,G933,Familias!E:E))</f>
        <v/>
      </c>
      <c r="I933" s="4" t="str">
        <f>IF(A933="","",COUNTIF(Prod_Prop!B:B,A933))</f>
        <v/>
      </c>
      <c r="J933" s="92" t="str">
        <f>IF(E933="","",IF(SUMIF(Precio_Productos!L:L,E933,Precio_Productos!J:J)=0,"Falta Precio",SUMIF(Precio_Productos!L:L,E933,Precio_Productos!J:J)))</f>
        <v/>
      </c>
      <c r="O933" s="86"/>
      <c r="P933" s="86" t="str">
        <f>IFERROR(__xludf.DUMMYFUNCTION("IF(OR(F933=""Selecciona.."",F933=""""),"""",TRANSPOSE(filter(Familias!C:C,Familias!D:D=F933)))"),"")</f>
        <v/>
      </c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</row>
    <row r="934">
      <c r="A934" s="4" t="str">
        <f t="shared" si="1"/>
        <v/>
      </c>
      <c r="B934" s="4"/>
      <c r="C934" s="4"/>
      <c r="D934" s="4"/>
      <c r="E934" s="94"/>
      <c r="F934" s="4" t="str">
        <f t="shared" si="2"/>
        <v/>
      </c>
      <c r="G934" s="2" t="str">
        <f t="shared" si="3"/>
        <v/>
      </c>
      <c r="H934" s="2" t="str">
        <f>IF(G934="","",SUMIF(Familias!C:C,G934,Familias!E:E))</f>
        <v/>
      </c>
      <c r="I934" s="4" t="str">
        <f>IF(A934="","",COUNTIF(Prod_Prop!B:B,A934))</f>
        <v/>
      </c>
      <c r="J934" s="92" t="str">
        <f>IF(E934="","",IF(SUMIF(Precio_Productos!L:L,E934,Precio_Productos!J:J)=0,"Falta Precio",SUMIF(Precio_Productos!L:L,E934,Precio_Productos!J:J)))</f>
        <v/>
      </c>
      <c r="O934" s="86"/>
      <c r="P934" s="86" t="str">
        <f>IFERROR(__xludf.DUMMYFUNCTION("IF(OR(F934=""Selecciona.."",F934=""""),"""",TRANSPOSE(filter(Familias!C:C,Familias!D:D=F934)))"),"")</f>
        <v/>
      </c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</row>
    <row r="935">
      <c r="A935" s="4" t="str">
        <f t="shared" si="1"/>
        <v/>
      </c>
      <c r="B935" s="4"/>
      <c r="C935" s="4"/>
      <c r="D935" s="4"/>
      <c r="E935" s="94"/>
      <c r="F935" s="4" t="str">
        <f t="shared" si="2"/>
        <v/>
      </c>
      <c r="G935" s="2" t="str">
        <f t="shared" si="3"/>
        <v/>
      </c>
      <c r="H935" s="2" t="str">
        <f>IF(G935="","",SUMIF(Familias!C:C,G935,Familias!E:E))</f>
        <v/>
      </c>
      <c r="I935" s="4" t="str">
        <f>IF(A935="","",COUNTIF(Prod_Prop!B:B,A935))</f>
        <v/>
      </c>
      <c r="J935" s="92" t="str">
        <f>IF(E935="","",IF(SUMIF(Precio_Productos!L:L,E935,Precio_Productos!J:J)=0,"Falta Precio",SUMIF(Precio_Productos!L:L,E935,Precio_Productos!J:J)))</f>
        <v/>
      </c>
      <c r="O935" s="86"/>
      <c r="P935" s="86" t="str">
        <f>IFERROR(__xludf.DUMMYFUNCTION("IF(OR(F935=""Selecciona.."",F935=""""),"""",TRANSPOSE(filter(Familias!C:C,Familias!D:D=F935)))"),"")</f>
        <v/>
      </c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</row>
    <row r="936">
      <c r="A936" s="4" t="str">
        <f t="shared" si="1"/>
        <v/>
      </c>
      <c r="B936" s="4"/>
      <c r="C936" s="4"/>
      <c r="D936" s="4"/>
      <c r="E936" s="94"/>
      <c r="F936" s="4" t="str">
        <f t="shared" si="2"/>
        <v/>
      </c>
      <c r="G936" s="2" t="str">
        <f t="shared" si="3"/>
        <v/>
      </c>
      <c r="H936" s="2" t="str">
        <f>IF(G936="","",SUMIF(Familias!C:C,G936,Familias!E:E))</f>
        <v/>
      </c>
      <c r="I936" s="4" t="str">
        <f>IF(A936="","",COUNTIF(Prod_Prop!B:B,A936))</f>
        <v/>
      </c>
      <c r="J936" s="92" t="str">
        <f>IF(E936="","",IF(SUMIF(Precio_Productos!L:L,E936,Precio_Productos!J:J)=0,"Falta Precio",SUMIF(Precio_Productos!L:L,E936,Precio_Productos!J:J)))</f>
        <v/>
      </c>
      <c r="O936" s="86"/>
      <c r="P936" s="86" t="str">
        <f>IFERROR(__xludf.DUMMYFUNCTION("IF(OR(F936=""Selecciona.."",F936=""""),"""",TRANSPOSE(filter(Familias!C:C,Familias!D:D=F936)))"),"")</f>
        <v/>
      </c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</row>
    <row r="937">
      <c r="A937" s="4" t="str">
        <f t="shared" si="1"/>
        <v/>
      </c>
      <c r="B937" s="4"/>
      <c r="C937" s="4"/>
      <c r="D937" s="4"/>
      <c r="E937" s="94"/>
      <c r="F937" s="4" t="str">
        <f t="shared" si="2"/>
        <v/>
      </c>
      <c r="G937" s="2" t="str">
        <f t="shared" si="3"/>
        <v/>
      </c>
      <c r="H937" s="2" t="str">
        <f>IF(G937="","",SUMIF(Familias!C:C,G937,Familias!E:E))</f>
        <v/>
      </c>
      <c r="I937" s="4" t="str">
        <f>IF(A937="","",COUNTIF(Prod_Prop!B:B,A937))</f>
        <v/>
      </c>
      <c r="J937" s="92" t="str">
        <f>IF(E937="","",IF(SUMIF(Precio_Productos!L:L,E937,Precio_Productos!J:J)=0,"Falta Precio",SUMIF(Precio_Productos!L:L,E937,Precio_Productos!J:J)))</f>
        <v/>
      </c>
      <c r="O937" s="86"/>
      <c r="P937" s="86" t="str">
        <f>IFERROR(__xludf.DUMMYFUNCTION("IF(OR(F937=""Selecciona.."",F937=""""),"""",TRANSPOSE(filter(Familias!C:C,Familias!D:D=F937)))"),"")</f>
        <v/>
      </c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</row>
    <row r="938">
      <c r="A938" s="4" t="str">
        <f t="shared" si="1"/>
        <v/>
      </c>
      <c r="B938" s="4"/>
      <c r="C938" s="4"/>
      <c r="D938" s="4"/>
      <c r="E938" s="94"/>
      <c r="F938" s="4" t="str">
        <f t="shared" si="2"/>
        <v/>
      </c>
      <c r="G938" s="2" t="str">
        <f t="shared" si="3"/>
        <v/>
      </c>
      <c r="H938" s="2" t="str">
        <f>IF(G938="","",SUMIF(Familias!C:C,G938,Familias!E:E))</f>
        <v/>
      </c>
      <c r="I938" s="4" t="str">
        <f>IF(A938="","",COUNTIF(Prod_Prop!B:B,A938))</f>
        <v/>
      </c>
      <c r="J938" s="92" t="str">
        <f>IF(E938="","",IF(SUMIF(Precio_Productos!L:L,E938,Precio_Productos!J:J)=0,"Falta Precio",SUMIF(Precio_Productos!L:L,E938,Precio_Productos!J:J)))</f>
        <v/>
      </c>
      <c r="O938" s="86"/>
      <c r="P938" s="86" t="str">
        <f>IFERROR(__xludf.DUMMYFUNCTION("IF(OR(F938=""Selecciona.."",F938=""""),"""",TRANSPOSE(filter(Familias!C:C,Familias!D:D=F938)))"),"")</f>
        <v/>
      </c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</row>
    <row r="939">
      <c r="A939" s="4" t="str">
        <f t="shared" si="1"/>
        <v/>
      </c>
      <c r="B939" s="4"/>
      <c r="C939" s="4"/>
      <c r="D939" s="4"/>
      <c r="E939" s="94"/>
      <c r="F939" s="4" t="str">
        <f t="shared" si="2"/>
        <v/>
      </c>
      <c r="G939" s="2" t="str">
        <f t="shared" si="3"/>
        <v/>
      </c>
      <c r="H939" s="2" t="str">
        <f>IF(G939="","",SUMIF(Familias!C:C,G939,Familias!E:E))</f>
        <v/>
      </c>
      <c r="I939" s="4" t="str">
        <f>IF(A939="","",COUNTIF(Prod_Prop!B:B,A939))</f>
        <v/>
      </c>
      <c r="J939" s="92" t="str">
        <f>IF(E939="","",IF(SUMIF(Precio_Productos!L:L,E939,Precio_Productos!J:J)=0,"Falta Precio",SUMIF(Precio_Productos!L:L,E939,Precio_Productos!J:J)))</f>
        <v/>
      </c>
      <c r="O939" s="86"/>
      <c r="P939" s="86" t="str">
        <f>IFERROR(__xludf.DUMMYFUNCTION("IF(OR(F939=""Selecciona.."",F939=""""),"""",TRANSPOSE(filter(Familias!C:C,Familias!D:D=F939)))"),"")</f>
        <v/>
      </c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</row>
    <row r="940">
      <c r="A940" s="4" t="str">
        <f t="shared" si="1"/>
        <v/>
      </c>
      <c r="B940" s="4"/>
      <c r="C940" s="4"/>
      <c r="D940" s="4"/>
      <c r="E940" s="94"/>
      <c r="F940" s="4" t="str">
        <f t="shared" si="2"/>
        <v/>
      </c>
      <c r="G940" s="2" t="str">
        <f t="shared" si="3"/>
        <v/>
      </c>
      <c r="H940" s="2" t="str">
        <f>IF(G940="","",SUMIF(Familias!C:C,G940,Familias!E:E))</f>
        <v/>
      </c>
      <c r="I940" s="4" t="str">
        <f>IF(A940="","",COUNTIF(Prod_Prop!B:B,A940))</f>
        <v/>
      </c>
      <c r="J940" s="92" t="str">
        <f>IF(E940="","",IF(SUMIF(Precio_Productos!L:L,E940,Precio_Productos!J:J)=0,"Falta Precio",SUMIF(Precio_Productos!L:L,E940,Precio_Productos!J:J)))</f>
        <v/>
      </c>
      <c r="O940" s="86"/>
      <c r="P940" s="86" t="str">
        <f>IFERROR(__xludf.DUMMYFUNCTION("IF(OR(F940=""Selecciona.."",F940=""""),"""",TRANSPOSE(filter(Familias!C:C,Familias!D:D=F940)))"),"")</f>
        <v/>
      </c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</row>
    <row r="941">
      <c r="A941" s="4" t="str">
        <f t="shared" si="1"/>
        <v/>
      </c>
      <c r="B941" s="4"/>
      <c r="C941" s="4"/>
      <c r="D941" s="4"/>
      <c r="E941" s="94"/>
      <c r="F941" s="4" t="str">
        <f t="shared" si="2"/>
        <v/>
      </c>
      <c r="G941" s="2" t="str">
        <f t="shared" si="3"/>
        <v/>
      </c>
      <c r="H941" s="2" t="str">
        <f>IF(G941="","",SUMIF(Familias!C:C,G941,Familias!E:E))</f>
        <v/>
      </c>
      <c r="I941" s="4" t="str">
        <f>IF(A941="","",COUNTIF(Prod_Prop!B:B,A941))</f>
        <v/>
      </c>
      <c r="J941" s="92" t="str">
        <f>IF(E941="","",IF(SUMIF(Precio_Productos!L:L,E941,Precio_Productos!J:J)=0,"Falta Precio",SUMIF(Precio_Productos!L:L,E941,Precio_Productos!J:J)))</f>
        <v/>
      </c>
      <c r="O941" s="86"/>
      <c r="P941" s="86" t="str">
        <f>IFERROR(__xludf.DUMMYFUNCTION("IF(OR(F941=""Selecciona.."",F941=""""),"""",TRANSPOSE(filter(Familias!C:C,Familias!D:D=F941)))"),"")</f>
        <v/>
      </c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</row>
    <row r="942">
      <c r="A942" s="4" t="str">
        <f t="shared" si="1"/>
        <v/>
      </c>
      <c r="B942" s="4"/>
      <c r="C942" s="4"/>
      <c r="D942" s="4"/>
      <c r="E942" s="94"/>
      <c r="F942" s="4" t="str">
        <f t="shared" si="2"/>
        <v/>
      </c>
      <c r="G942" s="2" t="str">
        <f t="shared" si="3"/>
        <v/>
      </c>
      <c r="H942" s="2" t="str">
        <f>IF(G942="","",SUMIF(Familias!C:C,G942,Familias!E:E))</f>
        <v/>
      </c>
      <c r="I942" s="4" t="str">
        <f>IF(A942="","",COUNTIF(Prod_Prop!B:B,A942))</f>
        <v/>
      </c>
      <c r="J942" s="92" t="str">
        <f>IF(E942="","",IF(SUMIF(Precio_Productos!L:L,E942,Precio_Productos!J:J)=0,"Falta Precio",SUMIF(Precio_Productos!L:L,E942,Precio_Productos!J:J)))</f>
        <v/>
      </c>
      <c r="O942" s="86"/>
      <c r="P942" s="86" t="str">
        <f>IFERROR(__xludf.DUMMYFUNCTION("IF(OR(F942=""Selecciona.."",F942=""""),"""",TRANSPOSE(filter(Familias!C:C,Familias!D:D=F942)))"),"")</f>
        <v/>
      </c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</row>
    <row r="943">
      <c r="A943" s="4" t="str">
        <f t="shared" si="1"/>
        <v/>
      </c>
      <c r="B943" s="4"/>
      <c r="C943" s="4"/>
      <c r="D943" s="4"/>
      <c r="E943" s="94"/>
      <c r="F943" s="4" t="str">
        <f t="shared" si="2"/>
        <v/>
      </c>
      <c r="G943" s="2" t="str">
        <f t="shared" si="3"/>
        <v/>
      </c>
      <c r="H943" s="2" t="str">
        <f>IF(G943="","",SUMIF(Familias!C:C,G943,Familias!E:E))</f>
        <v/>
      </c>
      <c r="I943" s="4" t="str">
        <f>IF(A943="","",COUNTIF(Prod_Prop!B:B,A943))</f>
        <v/>
      </c>
      <c r="J943" s="92" t="str">
        <f>IF(E943="","",IF(SUMIF(Precio_Productos!L:L,E943,Precio_Productos!J:J)=0,"Falta Precio",SUMIF(Precio_Productos!L:L,E943,Precio_Productos!J:J)))</f>
        <v/>
      </c>
      <c r="O943" s="86"/>
      <c r="P943" s="86" t="str">
        <f>IFERROR(__xludf.DUMMYFUNCTION("IF(OR(F943=""Selecciona.."",F943=""""),"""",TRANSPOSE(filter(Familias!C:C,Familias!D:D=F943)))"),"")</f>
        <v/>
      </c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</row>
    <row r="944">
      <c r="A944" s="4" t="str">
        <f t="shared" si="1"/>
        <v/>
      </c>
      <c r="B944" s="4"/>
      <c r="C944" s="4"/>
      <c r="D944" s="4"/>
      <c r="E944" s="94"/>
      <c r="F944" s="4" t="str">
        <f t="shared" si="2"/>
        <v/>
      </c>
      <c r="G944" s="2" t="str">
        <f t="shared" si="3"/>
        <v/>
      </c>
      <c r="H944" s="2" t="str">
        <f>IF(G944="","",SUMIF(Familias!C:C,G944,Familias!E:E))</f>
        <v/>
      </c>
      <c r="I944" s="4" t="str">
        <f>IF(A944="","",COUNTIF(Prod_Prop!B:B,A944))</f>
        <v/>
      </c>
      <c r="J944" s="92" t="str">
        <f>IF(E944="","",IF(SUMIF(Precio_Productos!L:L,E944,Precio_Productos!J:J)=0,"Falta Precio",SUMIF(Precio_Productos!L:L,E944,Precio_Productos!J:J)))</f>
        <v/>
      </c>
      <c r="O944" s="86"/>
      <c r="P944" s="86" t="str">
        <f>IFERROR(__xludf.DUMMYFUNCTION("IF(OR(F944=""Selecciona.."",F944=""""),"""",TRANSPOSE(filter(Familias!C:C,Familias!D:D=F944)))"),"")</f>
        <v/>
      </c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</row>
    <row r="945">
      <c r="A945" s="4" t="str">
        <f t="shared" si="1"/>
        <v/>
      </c>
      <c r="B945" s="4"/>
      <c r="C945" s="4"/>
      <c r="D945" s="4"/>
      <c r="E945" s="94"/>
      <c r="F945" s="4" t="str">
        <f t="shared" si="2"/>
        <v/>
      </c>
      <c r="G945" s="2" t="str">
        <f t="shared" si="3"/>
        <v/>
      </c>
      <c r="H945" s="2" t="str">
        <f>IF(G945="","",SUMIF(Familias!C:C,G945,Familias!E:E))</f>
        <v/>
      </c>
      <c r="I945" s="4" t="str">
        <f>IF(A945="","",COUNTIF(Prod_Prop!B:B,A945))</f>
        <v/>
      </c>
      <c r="J945" s="92" t="str">
        <f>IF(E945="","",IF(SUMIF(Precio_Productos!L:L,E945,Precio_Productos!J:J)=0,"Falta Precio",SUMIF(Precio_Productos!L:L,E945,Precio_Productos!J:J)))</f>
        <v/>
      </c>
      <c r="O945" s="86"/>
      <c r="P945" s="86" t="str">
        <f>IFERROR(__xludf.DUMMYFUNCTION("IF(OR(F945=""Selecciona.."",F945=""""),"""",TRANSPOSE(filter(Familias!C:C,Familias!D:D=F945)))"),"")</f>
        <v/>
      </c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</row>
    <row r="946">
      <c r="A946" s="4" t="str">
        <f t="shared" si="1"/>
        <v/>
      </c>
      <c r="B946" s="4"/>
      <c r="C946" s="4"/>
      <c r="D946" s="4"/>
      <c r="E946" s="94"/>
      <c r="F946" s="4" t="str">
        <f t="shared" si="2"/>
        <v/>
      </c>
      <c r="G946" s="2" t="str">
        <f t="shared" si="3"/>
        <v/>
      </c>
      <c r="H946" s="2" t="str">
        <f>IF(G946="","",SUMIF(Familias!C:C,G946,Familias!E:E))</f>
        <v/>
      </c>
      <c r="I946" s="4" t="str">
        <f>IF(A946="","",COUNTIF(Prod_Prop!B:B,A946))</f>
        <v/>
      </c>
      <c r="J946" s="92" t="str">
        <f>IF(E946="","",IF(SUMIF(Precio_Productos!L:L,E946,Precio_Productos!J:J)=0,"Falta Precio",SUMIF(Precio_Productos!L:L,E946,Precio_Productos!J:J)))</f>
        <v/>
      </c>
      <c r="O946" s="86"/>
      <c r="P946" s="86" t="str">
        <f>IFERROR(__xludf.DUMMYFUNCTION("IF(OR(F946=""Selecciona.."",F946=""""),"""",TRANSPOSE(filter(Familias!C:C,Familias!D:D=F946)))"),"")</f>
        <v/>
      </c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</row>
    <row r="947">
      <c r="A947" s="4" t="str">
        <f t="shared" si="1"/>
        <v/>
      </c>
      <c r="B947" s="4"/>
      <c r="C947" s="4"/>
      <c r="D947" s="4"/>
      <c r="E947" s="94"/>
      <c r="F947" s="4" t="str">
        <f t="shared" si="2"/>
        <v/>
      </c>
      <c r="G947" s="2" t="str">
        <f t="shared" si="3"/>
        <v/>
      </c>
      <c r="H947" s="2" t="str">
        <f>IF(G947="","",SUMIF(Familias!C:C,G947,Familias!E:E))</f>
        <v/>
      </c>
      <c r="I947" s="4" t="str">
        <f>IF(A947="","",COUNTIF(Prod_Prop!B:B,A947))</f>
        <v/>
      </c>
      <c r="J947" s="92" t="str">
        <f>IF(E947="","",IF(SUMIF(Precio_Productos!L:L,E947,Precio_Productos!J:J)=0,"Falta Precio",SUMIF(Precio_Productos!L:L,E947,Precio_Productos!J:J)))</f>
        <v/>
      </c>
      <c r="O947" s="86"/>
      <c r="P947" s="86" t="str">
        <f>IFERROR(__xludf.DUMMYFUNCTION("IF(OR(F947=""Selecciona.."",F947=""""),"""",TRANSPOSE(filter(Familias!C:C,Familias!D:D=F947)))"),"")</f>
        <v/>
      </c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</row>
    <row r="948">
      <c r="A948" s="4" t="str">
        <f t="shared" si="1"/>
        <v/>
      </c>
      <c r="B948" s="4"/>
      <c r="C948" s="4"/>
      <c r="D948" s="4"/>
      <c r="E948" s="94"/>
      <c r="F948" s="4" t="str">
        <f t="shared" si="2"/>
        <v/>
      </c>
      <c r="G948" s="2" t="str">
        <f t="shared" si="3"/>
        <v/>
      </c>
      <c r="H948" s="2" t="str">
        <f>IF(G948="","",SUMIF(Familias!C:C,G948,Familias!E:E))</f>
        <v/>
      </c>
      <c r="I948" s="4" t="str">
        <f>IF(A948="","",COUNTIF(Prod_Prop!B:B,A948))</f>
        <v/>
      </c>
      <c r="J948" s="92" t="str">
        <f>IF(E948="","",IF(SUMIF(Precio_Productos!L:L,E948,Precio_Productos!J:J)=0,"Falta Precio",SUMIF(Precio_Productos!L:L,E948,Precio_Productos!J:J)))</f>
        <v/>
      </c>
      <c r="O948" s="86"/>
      <c r="P948" s="86" t="str">
        <f>IFERROR(__xludf.DUMMYFUNCTION("IF(OR(F948=""Selecciona.."",F948=""""),"""",TRANSPOSE(filter(Familias!C:C,Familias!D:D=F948)))"),"")</f>
        <v/>
      </c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</row>
    <row r="949">
      <c r="A949" s="4" t="str">
        <f t="shared" si="1"/>
        <v/>
      </c>
      <c r="B949" s="4"/>
      <c r="C949" s="4"/>
      <c r="D949" s="4"/>
      <c r="E949" s="94"/>
      <c r="F949" s="4" t="str">
        <f t="shared" si="2"/>
        <v/>
      </c>
      <c r="G949" s="2" t="str">
        <f t="shared" si="3"/>
        <v/>
      </c>
      <c r="H949" s="2" t="str">
        <f>IF(G949="","",SUMIF(Familias!C:C,G949,Familias!E:E))</f>
        <v/>
      </c>
      <c r="I949" s="4" t="str">
        <f>IF(A949="","",COUNTIF(Prod_Prop!B:B,A949))</f>
        <v/>
      </c>
      <c r="J949" s="92" t="str">
        <f>IF(E949="","",IF(SUMIF(Precio_Productos!L:L,E949,Precio_Productos!J:J)=0,"Falta Precio",SUMIF(Precio_Productos!L:L,E949,Precio_Productos!J:J)))</f>
        <v/>
      </c>
      <c r="O949" s="86"/>
      <c r="P949" s="86" t="str">
        <f>IFERROR(__xludf.DUMMYFUNCTION("IF(OR(F949=""Selecciona.."",F949=""""),"""",TRANSPOSE(filter(Familias!C:C,Familias!D:D=F949)))"),"")</f>
        <v/>
      </c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</row>
    <row r="950">
      <c r="A950" s="4" t="str">
        <f t="shared" si="1"/>
        <v/>
      </c>
      <c r="B950" s="4"/>
      <c r="C950" s="4"/>
      <c r="D950" s="4"/>
      <c r="E950" s="94"/>
      <c r="F950" s="4" t="str">
        <f t="shared" si="2"/>
        <v/>
      </c>
      <c r="G950" s="2" t="str">
        <f t="shared" si="3"/>
        <v/>
      </c>
      <c r="H950" s="2" t="str">
        <f>IF(G950="","",SUMIF(Familias!C:C,G950,Familias!E:E))</f>
        <v/>
      </c>
      <c r="I950" s="4" t="str">
        <f>IF(A950="","",COUNTIF(Prod_Prop!B:B,A950))</f>
        <v/>
      </c>
      <c r="J950" s="92" t="str">
        <f>IF(E950="","",IF(SUMIF(Precio_Productos!L:L,E950,Precio_Productos!J:J)=0,"Falta Precio",SUMIF(Precio_Productos!L:L,E950,Precio_Productos!J:J)))</f>
        <v/>
      </c>
      <c r="O950" s="86"/>
      <c r="P950" s="86" t="str">
        <f>IFERROR(__xludf.DUMMYFUNCTION("IF(OR(F950=""Selecciona.."",F950=""""),"""",TRANSPOSE(filter(Familias!C:C,Familias!D:D=F950)))"),"")</f>
        <v/>
      </c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</row>
    <row r="951">
      <c r="A951" s="4" t="str">
        <f t="shared" si="1"/>
        <v/>
      </c>
      <c r="B951" s="4"/>
      <c r="C951" s="4"/>
      <c r="D951" s="4"/>
      <c r="E951" s="94"/>
      <c r="F951" s="4" t="str">
        <f t="shared" si="2"/>
        <v/>
      </c>
      <c r="G951" s="2" t="str">
        <f t="shared" si="3"/>
        <v/>
      </c>
      <c r="H951" s="2" t="str">
        <f>IF(G951="","",SUMIF(Familias!C:C,G951,Familias!E:E))</f>
        <v/>
      </c>
      <c r="I951" s="4" t="str">
        <f>IF(A951="","",COUNTIF(Prod_Prop!B:B,A951))</f>
        <v/>
      </c>
      <c r="J951" s="92" t="str">
        <f>IF(E951="","",IF(SUMIF(Precio_Productos!L:L,E951,Precio_Productos!J:J)=0,"Falta Precio",SUMIF(Precio_Productos!L:L,E951,Precio_Productos!J:J)))</f>
        <v/>
      </c>
      <c r="O951" s="86"/>
      <c r="P951" s="86" t="str">
        <f>IFERROR(__xludf.DUMMYFUNCTION("IF(OR(F951=""Selecciona.."",F951=""""),"""",TRANSPOSE(filter(Familias!C:C,Familias!D:D=F951)))"),"")</f>
        <v/>
      </c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</row>
    <row r="952">
      <c r="A952" s="4" t="str">
        <f t="shared" si="1"/>
        <v/>
      </c>
      <c r="B952" s="4"/>
      <c r="C952" s="4"/>
      <c r="D952" s="4"/>
      <c r="E952" s="94"/>
      <c r="F952" s="4" t="str">
        <f t="shared" si="2"/>
        <v/>
      </c>
      <c r="G952" s="2" t="str">
        <f t="shared" si="3"/>
        <v/>
      </c>
      <c r="H952" s="2" t="str">
        <f>IF(G952="","",SUMIF(Familias!C:C,G952,Familias!E:E))</f>
        <v/>
      </c>
      <c r="I952" s="4" t="str">
        <f>IF(A952="","",COUNTIF(Prod_Prop!B:B,A952))</f>
        <v/>
      </c>
      <c r="J952" s="92" t="str">
        <f>IF(E952="","",IF(SUMIF(Precio_Productos!L:L,E952,Precio_Productos!J:J)=0,"Falta Precio",SUMIF(Precio_Productos!L:L,E952,Precio_Productos!J:J)))</f>
        <v/>
      </c>
      <c r="O952" s="86"/>
      <c r="P952" s="86" t="str">
        <f>IFERROR(__xludf.DUMMYFUNCTION("IF(OR(F952=""Selecciona.."",F952=""""),"""",TRANSPOSE(filter(Familias!C:C,Familias!D:D=F952)))"),"")</f>
        <v/>
      </c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</row>
    <row r="953">
      <c r="A953" s="4" t="str">
        <f t="shared" si="1"/>
        <v/>
      </c>
      <c r="B953" s="4"/>
      <c r="C953" s="4"/>
      <c r="D953" s="4"/>
      <c r="E953" s="94"/>
      <c r="F953" s="4" t="str">
        <f t="shared" si="2"/>
        <v/>
      </c>
      <c r="G953" s="2" t="str">
        <f t="shared" si="3"/>
        <v/>
      </c>
      <c r="H953" s="2" t="str">
        <f>IF(G953="","",SUMIF(Familias!C:C,G953,Familias!E:E))</f>
        <v/>
      </c>
      <c r="I953" s="4" t="str">
        <f>IF(A953="","",COUNTIF(Prod_Prop!B:B,A953))</f>
        <v/>
      </c>
      <c r="J953" s="92" t="str">
        <f>IF(E953="","",IF(SUMIF(Precio_Productos!L:L,E953,Precio_Productos!J:J)=0,"Falta Precio",SUMIF(Precio_Productos!L:L,E953,Precio_Productos!J:J)))</f>
        <v/>
      </c>
      <c r="O953" s="86"/>
      <c r="P953" s="86" t="str">
        <f>IFERROR(__xludf.DUMMYFUNCTION("IF(OR(F953=""Selecciona.."",F953=""""),"""",TRANSPOSE(filter(Familias!C:C,Familias!D:D=F953)))"),"")</f>
        <v/>
      </c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</row>
    <row r="954">
      <c r="A954" s="4" t="str">
        <f t="shared" si="1"/>
        <v/>
      </c>
      <c r="B954" s="4"/>
      <c r="C954" s="4"/>
      <c r="D954" s="4"/>
      <c r="E954" s="94"/>
      <c r="F954" s="4" t="str">
        <f t="shared" si="2"/>
        <v/>
      </c>
      <c r="G954" s="2" t="str">
        <f t="shared" si="3"/>
        <v/>
      </c>
      <c r="H954" s="2" t="str">
        <f>IF(G954="","",SUMIF(Familias!C:C,G954,Familias!E:E))</f>
        <v/>
      </c>
      <c r="I954" s="4" t="str">
        <f>IF(A954="","",COUNTIF(Prod_Prop!B:B,A954))</f>
        <v/>
      </c>
      <c r="J954" s="92" t="str">
        <f>IF(E954="","",IF(SUMIF(Precio_Productos!L:L,E954,Precio_Productos!J:J)=0,"Falta Precio",SUMIF(Precio_Productos!L:L,E954,Precio_Productos!J:J)))</f>
        <v/>
      </c>
      <c r="O954" s="86"/>
      <c r="P954" s="86" t="str">
        <f>IFERROR(__xludf.DUMMYFUNCTION("IF(OR(F954=""Selecciona.."",F954=""""),"""",TRANSPOSE(filter(Familias!C:C,Familias!D:D=F954)))"),"")</f>
        <v/>
      </c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</row>
    <row r="955">
      <c r="A955" s="4" t="str">
        <f t="shared" si="1"/>
        <v/>
      </c>
      <c r="B955" s="4"/>
      <c r="C955" s="4"/>
      <c r="D955" s="4"/>
      <c r="E955" s="94"/>
      <c r="F955" s="4" t="str">
        <f t="shared" si="2"/>
        <v/>
      </c>
      <c r="G955" s="2" t="str">
        <f t="shared" si="3"/>
        <v/>
      </c>
      <c r="H955" s="2" t="str">
        <f>IF(G955="","",SUMIF(Familias!C:C,G955,Familias!E:E))</f>
        <v/>
      </c>
      <c r="I955" s="4" t="str">
        <f>IF(A955="","",COUNTIF(Prod_Prop!B:B,A955))</f>
        <v/>
      </c>
      <c r="J955" s="92" t="str">
        <f>IF(E955="","",IF(SUMIF(Precio_Productos!L:L,E955,Precio_Productos!J:J)=0,"Falta Precio",SUMIF(Precio_Productos!L:L,E955,Precio_Productos!J:J)))</f>
        <v/>
      </c>
      <c r="O955" s="86"/>
      <c r="P955" s="86" t="str">
        <f>IFERROR(__xludf.DUMMYFUNCTION("IF(OR(F955=""Selecciona.."",F955=""""),"""",TRANSPOSE(filter(Familias!C:C,Familias!D:D=F955)))"),"")</f>
        <v/>
      </c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</row>
    <row r="956">
      <c r="A956" s="4" t="str">
        <f t="shared" si="1"/>
        <v/>
      </c>
      <c r="B956" s="4"/>
      <c r="C956" s="4"/>
      <c r="D956" s="4"/>
      <c r="E956" s="94"/>
      <c r="F956" s="4" t="str">
        <f t="shared" si="2"/>
        <v/>
      </c>
      <c r="G956" s="2" t="str">
        <f t="shared" si="3"/>
        <v/>
      </c>
      <c r="H956" s="2" t="str">
        <f>IF(G956="","",SUMIF(Familias!C:C,G956,Familias!E:E))</f>
        <v/>
      </c>
      <c r="I956" s="4" t="str">
        <f>IF(A956="","",COUNTIF(Prod_Prop!B:B,A956))</f>
        <v/>
      </c>
      <c r="J956" s="92" t="str">
        <f>IF(E956="","",IF(SUMIF(Precio_Productos!L:L,E956,Precio_Productos!J:J)=0,"Falta Precio",SUMIF(Precio_Productos!L:L,E956,Precio_Productos!J:J)))</f>
        <v/>
      </c>
      <c r="O956" s="86"/>
      <c r="P956" s="86" t="str">
        <f>IFERROR(__xludf.DUMMYFUNCTION("IF(OR(F956=""Selecciona.."",F956=""""),"""",TRANSPOSE(filter(Familias!C:C,Familias!D:D=F956)))"),"")</f>
        <v/>
      </c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</row>
    <row r="957">
      <c r="A957" s="4" t="str">
        <f t="shared" si="1"/>
        <v/>
      </c>
      <c r="B957" s="4"/>
      <c r="C957" s="4"/>
      <c r="D957" s="4"/>
      <c r="E957" s="94"/>
      <c r="F957" s="4" t="str">
        <f t="shared" si="2"/>
        <v/>
      </c>
      <c r="G957" s="2" t="str">
        <f t="shared" si="3"/>
        <v/>
      </c>
      <c r="H957" s="2" t="str">
        <f>IF(G957="","",SUMIF(Familias!C:C,G957,Familias!E:E))</f>
        <v/>
      </c>
      <c r="I957" s="4" t="str">
        <f>IF(A957="","",COUNTIF(Prod_Prop!B:B,A957))</f>
        <v/>
      </c>
      <c r="J957" s="92" t="str">
        <f>IF(E957="","",IF(SUMIF(Precio_Productos!L:L,E957,Precio_Productos!J:J)=0,"Falta Precio",SUMIF(Precio_Productos!L:L,E957,Precio_Productos!J:J)))</f>
        <v/>
      </c>
      <c r="O957" s="86"/>
      <c r="P957" s="86" t="str">
        <f>IFERROR(__xludf.DUMMYFUNCTION("IF(OR(F957=""Selecciona.."",F957=""""),"""",TRANSPOSE(filter(Familias!C:C,Familias!D:D=F957)))"),"")</f>
        <v/>
      </c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</row>
    <row r="958">
      <c r="A958" s="4" t="str">
        <f t="shared" si="1"/>
        <v/>
      </c>
      <c r="B958" s="4"/>
      <c r="C958" s="4"/>
      <c r="D958" s="4"/>
      <c r="E958" s="94"/>
      <c r="F958" s="4" t="str">
        <f t="shared" si="2"/>
        <v/>
      </c>
      <c r="G958" s="2" t="str">
        <f t="shared" si="3"/>
        <v/>
      </c>
      <c r="H958" s="2" t="str">
        <f>IF(G958="","",SUMIF(Familias!C:C,G958,Familias!E:E))</f>
        <v/>
      </c>
      <c r="I958" s="4" t="str">
        <f>IF(A958="","",COUNTIF(Prod_Prop!B:B,A958))</f>
        <v/>
      </c>
      <c r="J958" s="92" t="str">
        <f>IF(E958="","",IF(SUMIF(Precio_Productos!L:L,E958,Precio_Productos!J:J)=0,"Falta Precio",SUMIF(Precio_Productos!L:L,E958,Precio_Productos!J:J)))</f>
        <v/>
      </c>
      <c r="O958" s="86"/>
      <c r="P958" s="86" t="str">
        <f>IFERROR(__xludf.DUMMYFUNCTION("IF(OR(F958=""Selecciona.."",F958=""""),"""",TRANSPOSE(filter(Familias!C:C,Familias!D:D=F958)))"),"")</f>
        <v/>
      </c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</row>
    <row r="959">
      <c r="A959" s="4" t="str">
        <f t="shared" si="1"/>
        <v/>
      </c>
      <c r="B959" s="4"/>
      <c r="C959" s="4"/>
      <c r="D959" s="4"/>
      <c r="E959" s="94"/>
      <c r="F959" s="4" t="str">
        <f t="shared" si="2"/>
        <v/>
      </c>
      <c r="G959" s="2" t="str">
        <f t="shared" si="3"/>
        <v/>
      </c>
      <c r="H959" s="2" t="str">
        <f>IF(G959="","",SUMIF(Familias!C:C,G959,Familias!E:E))</f>
        <v/>
      </c>
      <c r="I959" s="4" t="str">
        <f>IF(A959="","",COUNTIF(Prod_Prop!B:B,A959))</f>
        <v/>
      </c>
      <c r="J959" s="92" t="str">
        <f>IF(E959="","",IF(SUMIF(Precio_Productos!L:L,E959,Precio_Productos!J:J)=0,"Falta Precio",SUMIF(Precio_Productos!L:L,E959,Precio_Productos!J:J)))</f>
        <v/>
      </c>
      <c r="O959" s="86"/>
      <c r="P959" s="86" t="str">
        <f>IFERROR(__xludf.DUMMYFUNCTION("IF(OR(F959=""Selecciona.."",F959=""""),"""",TRANSPOSE(filter(Familias!C:C,Familias!D:D=F959)))"),"")</f>
        <v/>
      </c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</row>
    <row r="960">
      <c r="A960" s="4" t="str">
        <f t="shared" si="1"/>
        <v/>
      </c>
      <c r="B960" s="4"/>
      <c r="C960" s="4"/>
      <c r="D960" s="4"/>
      <c r="E960" s="94"/>
      <c r="F960" s="4" t="str">
        <f t="shared" si="2"/>
        <v/>
      </c>
      <c r="G960" s="2" t="str">
        <f t="shared" si="3"/>
        <v/>
      </c>
      <c r="H960" s="2" t="str">
        <f>IF(G960="","",SUMIF(Familias!C:C,G960,Familias!E:E))</f>
        <v/>
      </c>
      <c r="I960" s="4" t="str">
        <f>IF(A960="","",COUNTIF(Prod_Prop!B:B,A960))</f>
        <v/>
      </c>
      <c r="J960" s="92" t="str">
        <f>IF(E960="","",IF(SUMIF(Precio_Productos!L:L,E960,Precio_Productos!J:J)=0,"Falta Precio",SUMIF(Precio_Productos!L:L,E960,Precio_Productos!J:J)))</f>
        <v/>
      </c>
      <c r="O960" s="86"/>
      <c r="P960" s="86" t="str">
        <f>IFERROR(__xludf.DUMMYFUNCTION("IF(OR(F960=""Selecciona.."",F960=""""),"""",TRANSPOSE(filter(Familias!C:C,Familias!D:D=F960)))"),"")</f>
        <v/>
      </c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</row>
    <row r="961">
      <c r="A961" s="4" t="str">
        <f t="shared" si="1"/>
        <v/>
      </c>
      <c r="B961" s="4"/>
      <c r="C961" s="4"/>
      <c r="D961" s="4"/>
      <c r="E961" s="94"/>
      <c r="F961" s="4" t="str">
        <f t="shared" si="2"/>
        <v/>
      </c>
      <c r="G961" s="2" t="str">
        <f t="shared" si="3"/>
        <v/>
      </c>
      <c r="H961" s="2" t="str">
        <f>IF(G961="","",SUMIF(Familias!C:C,G961,Familias!E:E))</f>
        <v/>
      </c>
      <c r="I961" s="4" t="str">
        <f>IF(A961="","",COUNTIF(Prod_Prop!B:B,A961))</f>
        <v/>
      </c>
      <c r="J961" s="92" t="str">
        <f>IF(E961="","",IF(SUMIF(Precio_Productos!L:L,E961,Precio_Productos!J:J)=0,"Falta Precio",SUMIF(Precio_Productos!L:L,E961,Precio_Productos!J:J)))</f>
        <v/>
      </c>
      <c r="O961" s="86"/>
      <c r="P961" s="86" t="str">
        <f>IFERROR(__xludf.DUMMYFUNCTION("IF(OR(F961=""Selecciona.."",F961=""""),"""",TRANSPOSE(filter(Familias!C:C,Familias!D:D=F961)))"),"")</f>
        <v/>
      </c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</row>
    <row r="962">
      <c r="A962" s="4" t="str">
        <f t="shared" si="1"/>
        <v/>
      </c>
      <c r="B962" s="4"/>
      <c r="C962" s="4"/>
      <c r="D962" s="4"/>
      <c r="E962" s="94"/>
      <c r="F962" s="4" t="str">
        <f t="shared" si="2"/>
        <v/>
      </c>
      <c r="G962" s="2" t="str">
        <f t="shared" si="3"/>
        <v/>
      </c>
      <c r="H962" s="2" t="str">
        <f>IF(G962="","",SUMIF(Familias!C:C,G962,Familias!E:E))</f>
        <v/>
      </c>
      <c r="I962" s="4" t="str">
        <f>IF(A962="","",COUNTIF(Prod_Prop!B:B,A962))</f>
        <v/>
      </c>
      <c r="J962" s="92" t="str">
        <f>IF(E962="","",IF(SUMIF(Precio_Productos!L:L,E962,Precio_Productos!J:J)=0,"Falta Precio",SUMIF(Precio_Productos!L:L,E962,Precio_Productos!J:J)))</f>
        <v/>
      </c>
      <c r="O962" s="86"/>
      <c r="P962" s="86" t="str">
        <f>IFERROR(__xludf.DUMMYFUNCTION("IF(OR(F962=""Selecciona.."",F962=""""),"""",TRANSPOSE(filter(Familias!C:C,Familias!D:D=F962)))"),"")</f>
        <v/>
      </c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</row>
    <row r="963">
      <c r="A963" s="4" t="str">
        <f t="shared" si="1"/>
        <v/>
      </c>
      <c r="B963" s="4"/>
      <c r="C963" s="4"/>
      <c r="D963" s="4"/>
      <c r="E963" s="94"/>
      <c r="F963" s="4" t="str">
        <f t="shared" si="2"/>
        <v/>
      </c>
      <c r="G963" s="2" t="str">
        <f t="shared" si="3"/>
        <v/>
      </c>
      <c r="H963" s="2" t="str">
        <f>IF(G963="","",SUMIF(Familias!C:C,G963,Familias!E:E))</f>
        <v/>
      </c>
      <c r="I963" s="4" t="str">
        <f>IF(A963="","",COUNTIF(Prod_Prop!B:B,A963))</f>
        <v/>
      </c>
      <c r="J963" s="92" t="str">
        <f>IF(E963="","",IF(SUMIF(Precio_Productos!L:L,E963,Precio_Productos!J:J)=0,"Falta Precio",SUMIF(Precio_Productos!L:L,E963,Precio_Productos!J:J)))</f>
        <v/>
      </c>
      <c r="O963" s="86"/>
      <c r="P963" s="86" t="str">
        <f>IFERROR(__xludf.DUMMYFUNCTION("IF(OR(F963=""Selecciona.."",F963=""""),"""",TRANSPOSE(filter(Familias!C:C,Familias!D:D=F963)))"),"")</f>
        <v/>
      </c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</row>
    <row r="964">
      <c r="A964" s="4" t="str">
        <f t="shared" si="1"/>
        <v/>
      </c>
      <c r="B964" s="4"/>
      <c r="C964" s="4"/>
      <c r="D964" s="4"/>
      <c r="E964" s="94"/>
      <c r="F964" s="4" t="str">
        <f t="shared" si="2"/>
        <v/>
      </c>
      <c r="G964" s="2" t="str">
        <f t="shared" si="3"/>
        <v/>
      </c>
      <c r="H964" s="2" t="str">
        <f>IF(G964="","",SUMIF(Familias!C:C,G964,Familias!E:E))</f>
        <v/>
      </c>
      <c r="I964" s="4" t="str">
        <f>IF(A964="","",COUNTIF(Prod_Prop!B:B,A964))</f>
        <v/>
      </c>
      <c r="J964" s="92" t="str">
        <f>IF(E964="","",IF(SUMIF(Precio_Productos!L:L,E964,Precio_Productos!J:J)=0,"Falta Precio",SUMIF(Precio_Productos!L:L,E964,Precio_Productos!J:J)))</f>
        <v/>
      </c>
      <c r="O964" s="86"/>
      <c r="P964" s="86" t="str">
        <f>IFERROR(__xludf.DUMMYFUNCTION("IF(OR(F964=""Selecciona.."",F964=""""),"""",TRANSPOSE(filter(Familias!C:C,Familias!D:D=F964)))"),"")</f>
        <v/>
      </c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</row>
    <row r="965">
      <c r="A965" s="4" t="str">
        <f t="shared" si="1"/>
        <v/>
      </c>
      <c r="B965" s="4"/>
      <c r="C965" s="4"/>
      <c r="D965" s="4"/>
      <c r="E965" s="94"/>
      <c r="F965" s="4" t="str">
        <f t="shared" si="2"/>
        <v/>
      </c>
      <c r="G965" s="2" t="str">
        <f t="shared" si="3"/>
        <v/>
      </c>
      <c r="H965" s="2" t="str">
        <f>IF(G965="","",SUMIF(Familias!C:C,G965,Familias!E:E))</f>
        <v/>
      </c>
      <c r="I965" s="4" t="str">
        <f>IF(A965="","",COUNTIF(Prod_Prop!B:B,A965))</f>
        <v/>
      </c>
      <c r="J965" s="92" t="str">
        <f>IF(E965="","",IF(SUMIF(Precio_Productos!L:L,E965,Precio_Productos!J:J)=0,"Falta Precio",SUMIF(Precio_Productos!L:L,E965,Precio_Productos!J:J)))</f>
        <v/>
      </c>
      <c r="O965" s="86"/>
      <c r="P965" s="86" t="str">
        <f>IFERROR(__xludf.DUMMYFUNCTION("IF(OR(F965=""Selecciona.."",F965=""""),"""",TRANSPOSE(filter(Familias!C:C,Familias!D:D=F965)))"),"")</f>
        <v/>
      </c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</row>
    <row r="966">
      <c r="A966" s="4" t="str">
        <f t="shared" si="1"/>
        <v/>
      </c>
      <c r="B966" s="4"/>
      <c r="C966" s="4"/>
      <c r="D966" s="4"/>
      <c r="E966" s="94"/>
      <c r="F966" s="4" t="str">
        <f t="shared" si="2"/>
        <v/>
      </c>
      <c r="G966" s="2" t="str">
        <f t="shared" si="3"/>
        <v/>
      </c>
      <c r="H966" s="2" t="str">
        <f>IF(G966="","",SUMIF(Familias!C:C,G966,Familias!E:E))</f>
        <v/>
      </c>
      <c r="I966" s="4" t="str">
        <f>IF(A966="","",COUNTIF(Prod_Prop!B:B,A966))</f>
        <v/>
      </c>
      <c r="J966" s="92" t="str">
        <f>IF(E966="","",IF(SUMIF(Precio_Productos!L:L,E966,Precio_Productos!J:J)=0,"Falta Precio",SUMIF(Precio_Productos!L:L,E966,Precio_Productos!J:J)))</f>
        <v/>
      </c>
      <c r="O966" s="86"/>
      <c r="P966" s="86" t="str">
        <f>IFERROR(__xludf.DUMMYFUNCTION("IF(OR(F966=""Selecciona.."",F966=""""),"""",TRANSPOSE(filter(Familias!C:C,Familias!D:D=F966)))"),"")</f>
        <v/>
      </c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</row>
    <row r="967">
      <c r="A967" s="4" t="str">
        <f t="shared" si="1"/>
        <v/>
      </c>
      <c r="B967" s="4"/>
      <c r="C967" s="4"/>
      <c r="D967" s="4"/>
      <c r="E967" s="94"/>
      <c r="F967" s="4" t="str">
        <f t="shared" si="2"/>
        <v/>
      </c>
      <c r="G967" s="2" t="str">
        <f t="shared" si="3"/>
        <v/>
      </c>
      <c r="H967" s="2" t="str">
        <f>IF(G967="","",SUMIF(Familias!C:C,G967,Familias!E:E))</f>
        <v/>
      </c>
      <c r="I967" s="4" t="str">
        <f>IF(A967="","",COUNTIF(Prod_Prop!B:B,A967))</f>
        <v/>
      </c>
      <c r="J967" s="92" t="str">
        <f>IF(E967="","",IF(SUMIF(Precio_Productos!L:L,E967,Precio_Productos!J:J)=0,"Falta Precio",SUMIF(Precio_Productos!L:L,E967,Precio_Productos!J:J)))</f>
        <v/>
      </c>
      <c r="O967" s="86"/>
      <c r="P967" s="86" t="str">
        <f>IFERROR(__xludf.DUMMYFUNCTION("IF(OR(F967=""Selecciona.."",F967=""""),"""",TRANSPOSE(filter(Familias!C:C,Familias!D:D=F967)))"),"")</f>
        <v/>
      </c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</row>
    <row r="968">
      <c r="A968" s="4" t="str">
        <f t="shared" si="1"/>
        <v/>
      </c>
      <c r="B968" s="4"/>
      <c r="C968" s="4"/>
      <c r="D968" s="4"/>
      <c r="E968" s="94"/>
      <c r="F968" s="4" t="str">
        <f t="shared" si="2"/>
        <v/>
      </c>
      <c r="G968" s="2" t="str">
        <f t="shared" si="3"/>
        <v/>
      </c>
      <c r="H968" s="2" t="str">
        <f>IF(G968="","",SUMIF(Familias!C:C,G968,Familias!E:E))</f>
        <v/>
      </c>
      <c r="I968" s="4" t="str">
        <f>IF(A968="","",COUNTIF(Prod_Prop!B:B,A968))</f>
        <v/>
      </c>
      <c r="J968" s="92" t="str">
        <f>IF(E968="","",IF(SUMIF(Precio_Productos!L:L,E968,Precio_Productos!J:J)=0,"Falta Precio",SUMIF(Precio_Productos!L:L,E968,Precio_Productos!J:J)))</f>
        <v/>
      </c>
      <c r="O968" s="86"/>
      <c r="P968" s="86" t="str">
        <f>IFERROR(__xludf.DUMMYFUNCTION("IF(OR(F968=""Selecciona.."",F968=""""),"""",TRANSPOSE(filter(Familias!C:C,Familias!D:D=F968)))"),"")</f>
        <v/>
      </c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</row>
    <row r="969">
      <c r="A969" s="4" t="str">
        <f t="shared" si="1"/>
        <v/>
      </c>
      <c r="B969" s="4"/>
      <c r="C969" s="4"/>
      <c r="D969" s="4"/>
      <c r="E969" s="94"/>
      <c r="F969" s="4" t="str">
        <f t="shared" si="2"/>
        <v/>
      </c>
      <c r="G969" s="2" t="str">
        <f t="shared" si="3"/>
        <v/>
      </c>
      <c r="H969" s="2" t="str">
        <f>IF(G969="","",SUMIF(Familias!C:C,G969,Familias!E:E))</f>
        <v/>
      </c>
      <c r="I969" s="4" t="str">
        <f>IF(A969="","",COUNTIF(Prod_Prop!B:B,A969))</f>
        <v/>
      </c>
      <c r="J969" s="92" t="str">
        <f>IF(E969="","",IF(SUMIF(Precio_Productos!L:L,E969,Precio_Productos!J:J)=0,"Falta Precio",SUMIF(Precio_Productos!L:L,E969,Precio_Productos!J:J)))</f>
        <v/>
      </c>
      <c r="O969" s="86"/>
      <c r="P969" s="86" t="str">
        <f>IFERROR(__xludf.DUMMYFUNCTION("IF(OR(F969=""Selecciona.."",F969=""""),"""",TRANSPOSE(filter(Familias!C:C,Familias!D:D=F969)))"),"")</f>
        <v/>
      </c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</row>
    <row r="970">
      <c r="A970" s="4" t="str">
        <f t="shared" si="1"/>
        <v/>
      </c>
      <c r="B970" s="4"/>
      <c r="C970" s="4"/>
      <c r="D970" s="4"/>
      <c r="E970" s="94"/>
      <c r="F970" s="4" t="str">
        <f t="shared" si="2"/>
        <v/>
      </c>
      <c r="G970" s="2" t="str">
        <f t="shared" si="3"/>
        <v/>
      </c>
      <c r="H970" s="2" t="str">
        <f>IF(G970="","",SUMIF(Familias!C:C,G970,Familias!E:E))</f>
        <v/>
      </c>
      <c r="I970" s="4" t="str">
        <f>IF(A970="","",COUNTIF(Prod_Prop!B:B,A970))</f>
        <v/>
      </c>
      <c r="J970" s="92" t="str">
        <f>IF(E970="","",IF(SUMIF(Precio_Productos!L:L,E970,Precio_Productos!J:J)=0,"Falta Precio",SUMIF(Precio_Productos!L:L,E970,Precio_Productos!J:J)))</f>
        <v/>
      </c>
      <c r="O970" s="86"/>
      <c r="P970" s="86" t="str">
        <f>IFERROR(__xludf.DUMMYFUNCTION("IF(OR(F970=""Selecciona.."",F970=""""),"""",TRANSPOSE(filter(Familias!C:C,Familias!D:D=F970)))"),"")</f>
        <v/>
      </c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</row>
    <row r="971">
      <c r="A971" s="4" t="str">
        <f t="shared" si="1"/>
        <v/>
      </c>
      <c r="B971" s="4"/>
      <c r="C971" s="4"/>
      <c r="D971" s="4"/>
      <c r="E971" s="94"/>
      <c r="F971" s="4" t="str">
        <f t="shared" si="2"/>
        <v/>
      </c>
      <c r="G971" s="2" t="str">
        <f t="shared" si="3"/>
        <v/>
      </c>
      <c r="H971" s="2" t="str">
        <f>IF(G971="","",SUMIF(Familias!C:C,G971,Familias!E:E))</f>
        <v/>
      </c>
      <c r="I971" s="4" t="str">
        <f>IF(A971="","",COUNTIF(Prod_Prop!B:B,A971))</f>
        <v/>
      </c>
      <c r="J971" s="92" t="str">
        <f>IF(E971="","",IF(SUMIF(Precio_Productos!L:L,E971,Precio_Productos!J:J)=0,"Falta Precio",SUMIF(Precio_Productos!L:L,E971,Precio_Productos!J:J)))</f>
        <v/>
      </c>
      <c r="O971" s="86"/>
      <c r="P971" s="86" t="str">
        <f>IFERROR(__xludf.DUMMYFUNCTION("IF(OR(F971=""Selecciona.."",F971=""""),"""",TRANSPOSE(filter(Familias!C:C,Familias!D:D=F971)))"),"")</f>
        <v/>
      </c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</row>
    <row r="972">
      <c r="A972" s="4" t="str">
        <f t="shared" si="1"/>
        <v/>
      </c>
      <c r="B972" s="4"/>
      <c r="C972" s="4"/>
      <c r="D972" s="4"/>
      <c r="E972" s="94"/>
      <c r="F972" s="4" t="str">
        <f t="shared" si="2"/>
        <v/>
      </c>
      <c r="G972" s="2" t="str">
        <f t="shared" si="3"/>
        <v/>
      </c>
      <c r="H972" s="2" t="str">
        <f>IF(G972="","",SUMIF(Familias!C:C,G972,Familias!E:E))</f>
        <v/>
      </c>
      <c r="I972" s="4" t="str">
        <f>IF(A972="","",COUNTIF(Prod_Prop!B:B,A972))</f>
        <v/>
      </c>
      <c r="J972" s="92" t="str">
        <f>IF(E972="","",IF(SUMIF(Precio_Productos!L:L,E972,Precio_Productos!J:J)=0,"Falta Precio",SUMIF(Precio_Productos!L:L,E972,Precio_Productos!J:J)))</f>
        <v/>
      </c>
      <c r="O972" s="86"/>
      <c r="P972" s="86" t="str">
        <f>IFERROR(__xludf.DUMMYFUNCTION("IF(OR(F972=""Selecciona.."",F972=""""),"""",TRANSPOSE(filter(Familias!C:C,Familias!D:D=F972)))"),"")</f>
        <v/>
      </c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</row>
    <row r="973">
      <c r="A973" s="4" t="str">
        <f t="shared" si="1"/>
        <v/>
      </c>
      <c r="B973" s="4"/>
      <c r="C973" s="4"/>
      <c r="D973" s="4"/>
      <c r="E973" s="94"/>
      <c r="F973" s="4" t="str">
        <f t="shared" si="2"/>
        <v/>
      </c>
      <c r="G973" s="2" t="str">
        <f t="shared" si="3"/>
        <v/>
      </c>
      <c r="H973" s="2" t="str">
        <f>IF(G973="","",SUMIF(Familias!C:C,G973,Familias!E:E))</f>
        <v/>
      </c>
      <c r="I973" s="4" t="str">
        <f>IF(A973="","",COUNTIF(Prod_Prop!B:B,A973))</f>
        <v/>
      </c>
      <c r="J973" s="92" t="str">
        <f>IF(E973="","",IF(SUMIF(Precio_Productos!L:L,E973,Precio_Productos!J:J)=0,"Falta Precio",SUMIF(Precio_Productos!L:L,E973,Precio_Productos!J:J)))</f>
        <v/>
      </c>
      <c r="O973" s="86"/>
      <c r="P973" s="86" t="str">
        <f>IFERROR(__xludf.DUMMYFUNCTION("IF(OR(F973=""Selecciona.."",F973=""""),"""",TRANSPOSE(filter(Familias!C:C,Familias!D:D=F973)))"),"")</f>
        <v/>
      </c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</row>
    <row r="974">
      <c r="A974" s="4" t="str">
        <f t="shared" si="1"/>
        <v/>
      </c>
      <c r="B974" s="4"/>
      <c r="C974" s="4"/>
      <c r="D974" s="4"/>
      <c r="E974" s="94"/>
      <c r="F974" s="4" t="str">
        <f t="shared" si="2"/>
        <v/>
      </c>
      <c r="G974" s="2" t="str">
        <f t="shared" si="3"/>
        <v/>
      </c>
      <c r="H974" s="2" t="str">
        <f>IF(G974="","",SUMIF(Familias!C:C,G974,Familias!E:E))</f>
        <v/>
      </c>
      <c r="I974" s="4" t="str">
        <f>IF(A974="","",COUNTIF(Prod_Prop!B:B,A974))</f>
        <v/>
      </c>
      <c r="J974" s="92" t="str">
        <f>IF(E974="","",IF(SUMIF(Precio_Productos!L:L,E974,Precio_Productos!J:J)=0,"Falta Precio",SUMIF(Precio_Productos!L:L,E974,Precio_Productos!J:J)))</f>
        <v/>
      </c>
      <c r="O974" s="86"/>
      <c r="P974" s="86" t="str">
        <f>IFERROR(__xludf.DUMMYFUNCTION("IF(OR(F974=""Selecciona.."",F974=""""),"""",TRANSPOSE(filter(Familias!C:C,Familias!D:D=F974)))"),"")</f>
        <v/>
      </c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</row>
    <row r="975">
      <c r="A975" s="4" t="str">
        <f t="shared" si="1"/>
        <v/>
      </c>
      <c r="B975" s="4"/>
      <c r="C975" s="4"/>
      <c r="D975" s="4"/>
      <c r="E975" s="94"/>
      <c r="F975" s="4" t="str">
        <f t="shared" si="2"/>
        <v/>
      </c>
      <c r="G975" s="2" t="str">
        <f t="shared" si="3"/>
        <v/>
      </c>
      <c r="H975" s="2" t="str">
        <f>IF(G975="","",SUMIF(Familias!C:C,G975,Familias!E:E))</f>
        <v/>
      </c>
      <c r="I975" s="4" t="str">
        <f>IF(A975="","",COUNTIF(Prod_Prop!B:B,A975))</f>
        <v/>
      </c>
      <c r="J975" s="92" t="str">
        <f>IF(E975="","",IF(SUMIF(Precio_Productos!L:L,E975,Precio_Productos!J:J)=0,"Falta Precio",SUMIF(Precio_Productos!L:L,E975,Precio_Productos!J:J)))</f>
        <v/>
      </c>
      <c r="O975" s="86"/>
      <c r="P975" s="86" t="str">
        <f>IFERROR(__xludf.DUMMYFUNCTION("IF(OR(F975=""Selecciona.."",F975=""""),"""",TRANSPOSE(filter(Familias!C:C,Familias!D:D=F975)))"),"")</f>
        <v/>
      </c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</row>
    <row r="976">
      <c r="A976" s="4" t="str">
        <f t="shared" si="1"/>
        <v/>
      </c>
      <c r="B976" s="4"/>
      <c r="C976" s="4"/>
      <c r="D976" s="4"/>
      <c r="E976" s="94"/>
      <c r="F976" s="4" t="str">
        <f t="shared" si="2"/>
        <v/>
      </c>
      <c r="G976" s="2" t="str">
        <f t="shared" si="3"/>
        <v/>
      </c>
      <c r="H976" s="2" t="str">
        <f>IF(G976="","",SUMIF(Familias!C:C,G976,Familias!E:E))</f>
        <v/>
      </c>
      <c r="I976" s="4" t="str">
        <f>IF(A976="","",COUNTIF(Prod_Prop!B:B,A976))</f>
        <v/>
      </c>
      <c r="J976" s="92" t="str">
        <f>IF(E976="","",IF(SUMIF(Precio_Productos!L:L,E976,Precio_Productos!J:J)=0,"Falta Precio",SUMIF(Precio_Productos!L:L,E976,Precio_Productos!J:J)))</f>
        <v/>
      </c>
      <c r="O976" s="86"/>
      <c r="P976" s="86" t="str">
        <f>IFERROR(__xludf.DUMMYFUNCTION("IF(OR(F976=""Selecciona.."",F976=""""),"""",TRANSPOSE(filter(Familias!C:C,Familias!D:D=F976)))"),"")</f>
        <v/>
      </c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</row>
    <row r="977">
      <c r="A977" s="4" t="str">
        <f t="shared" si="1"/>
        <v/>
      </c>
      <c r="B977" s="4"/>
      <c r="C977" s="4"/>
      <c r="D977" s="4"/>
      <c r="E977" s="94"/>
      <c r="F977" s="4" t="str">
        <f t="shared" si="2"/>
        <v/>
      </c>
      <c r="G977" s="2" t="str">
        <f t="shared" si="3"/>
        <v/>
      </c>
      <c r="H977" s="2" t="str">
        <f>IF(G977="","",SUMIF(Familias!C:C,G977,Familias!E:E))</f>
        <v/>
      </c>
      <c r="I977" s="4" t="str">
        <f>IF(A977="","",COUNTIF(Prod_Prop!B:B,A977))</f>
        <v/>
      </c>
      <c r="J977" s="92" t="str">
        <f>IF(E977="","",IF(SUMIF(Precio_Productos!L:L,E977,Precio_Productos!J:J)=0,"Falta Precio",SUMIF(Precio_Productos!L:L,E977,Precio_Productos!J:J)))</f>
        <v/>
      </c>
      <c r="O977" s="86"/>
      <c r="P977" s="86" t="str">
        <f>IFERROR(__xludf.DUMMYFUNCTION("IF(OR(F977=""Selecciona.."",F977=""""),"""",TRANSPOSE(filter(Familias!C:C,Familias!D:D=F977)))"),"")</f>
        <v/>
      </c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</row>
    <row r="978">
      <c r="A978" s="4" t="str">
        <f t="shared" si="1"/>
        <v/>
      </c>
      <c r="B978" s="4"/>
      <c r="C978" s="4"/>
      <c r="D978" s="4"/>
      <c r="E978" s="94"/>
      <c r="F978" s="4" t="str">
        <f t="shared" si="2"/>
        <v/>
      </c>
      <c r="G978" s="2" t="str">
        <f t="shared" si="3"/>
        <v/>
      </c>
      <c r="H978" s="2" t="str">
        <f>IF(G978="","",SUMIF(Familias!C:C,G978,Familias!E:E))</f>
        <v/>
      </c>
      <c r="I978" s="4" t="str">
        <f>IF(A978="","",COUNTIF(Prod_Prop!B:B,A978))</f>
        <v/>
      </c>
      <c r="J978" s="92" t="str">
        <f>IF(E978="","",IF(SUMIF(Precio_Productos!L:L,E978,Precio_Productos!J:J)=0,"Falta Precio",SUMIF(Precio_Productos!L:L,E978,Precio_Productos!J:J)))</f>
        <v/>
      </c>
      <c r="O978" s="86"/>
      <c r="P978" s="86" t="str">
        <f>IFERROR(__xludf.DUMMYFUNCTION("IF(OR(F978=""Selecciona.."",F978=""""),"""",TRANSPOSE(filter(Familias!C:C,Familias!D:D=F978)))"),"")</f>
        <v/>
      </c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</row>
    <row r="979">
      <c r="A979" s="4" t="str">
        <f t="shared" si="1"/>
        <v/>
      </c>
      <c r="B979" s="4"/>
      <c r="C979" s="4"/>
      <c r="D979" s="4"/>
      <c r="E979" s="94"/>
      <c r="F979" s="4" t="str">
        <f t="shared" si="2"/>
        <v/>
      </c>
      <c r="G979" s="2" t="str">
        <f t="shared" si="3"/>
        <v/>
      </c>
      <c r="H979" s="2" t="str">
        <f>IF(G979="","",SUMIF(Familias!C:C,G979,Familias!E:E))</f>
        <v/>
      </c>
      <c r="I979" s="4" t="str">
        <f>IF(A979="","",COUNTIF(Prod_Prop!B:B,A979))</f>
        <v/>
      </c>
      <c r="J979" s="92" t="str">
        <f>IF(E979="","",IF(SUMIF(Precio_Productos!L:L,E979,Precio_Productos!J:J)=0,"Falta Precio",SUMIF(Precio_Productos!L:L,E979,Precio_Productos!J:J)))</f>
        <v/>
      </c>
      <c r="O979" s="86"/>
      <c r="P979" s="86" t="str">
        <f>IFERROR(__xludf.DUMMYFUNCTION("IF(OR(F979=""Selecciona.."",F979=""""),"""",TRANSPOSE(filter(Familias!C:C,Familias!D:D=F979)))"),"")</f>
        <v/>
      </c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</row>
    <row r="980">
      <c r="A980" s="4" t="str">
        <f t="shared" si="1"/>
        <v/>
      </c>
      <c r="B980" s="4"/>
      <c r="C980" s="4"/>
      <c r="D980" s="4"/>
      <c r="E980" s="94"/>
      <c r="F980" s="4" t="str">
        <f t="shared" si="2"/>
        <v/>
      </c>
      <c r="G980" s="2" t="str">
        <f t="shared" si="3"/>
        <v/>
      </c>
      <c r="H980" s="2" t="str">
        <f>IF(G980="","",SUMIF(Familias!C:C,G980,Familias!E:E))</f>
        <v/>
      </c>
      <c r="I980" s="4" t="str">
        <f>IF(A980="","",COUNTIF(Prod_Prop!B:B,A980))</f>
        <v/>
      </c>
      <c r="J980" s="92" t="str">
        <f>IF(E980="","",IF(SUMIF(Precio_Productos!L:L,E980,Precio_Productos!J:J)=0,"Falta Precio",SUMIF(Precio_Productos!L:L,E980,Precio_Productos!J:J)))</f>
        <v/>
      </c>
      <c r="O980" s="86"/>
      <c r="P980" s="86" t="str">
        <f>IFERROR(__xludf.DUMMYFUNCTION("IF(OR(F980=""Selecciona.."",F980=""""),"""",TRANSPOSE(filter(Familias!C:C,Familias!D:D=F980)))"),"")</f>
        <v/>
      </c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</row>
    <row r="981">
      <c r="A981" s="4" t="str">
        <f t="shared" si="1"/>
        <v/>
      </c>
      <c r="B981" s="4"/>
      <c r="C981" s="4"/>
      <c r="D981" s="4"/>
      <c r="E981" s="94"/>
      <c r="F981" s="4" t="str">
        <f t="shared" si="2"/>
        <v/>
      </c>
      <c r="G981" s="2" t="str">
        <f t="shared" si="3"/>
        <v/>
      </c>
      <c r="H981" s="2" t="str">
        <f>IF(G981="","",SUMIF(Familias!C:C,G981,Familias!E:E))</f>
        <v/>
      </c>
      <c r="I981" s="4" t="str">
        <f>IF(A981="","",COUNTIF(Prod_Prop!B:B,A981))</f>
        <v/>
      </c>
      <c r="J981" s="92" t="str">
        <f>IF(E981="","",IF(SUMIF(Precio_Productos!L:L,E981,Precio_Productos!J:J)=0,"Falta Precio",SUMIF(Precio_Productos!L:L,E981,Precio_Productos!J:J)))</f>
        <v/>
      </c>
      <c r="O981" s="86"/>
      <c r="P981" s="86" t="str">
        <f>IFERROR(__xludf.DUMMYFUNCTION("IF(OR(F981=""Selecciona.."",F981=""""),"""",TRANSPOSE(filter(Familias!C:C,Familias!D:D=F981)))"),"")</f>
        <v/>
      </c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</row>
    <row r="982">
      <c r="A982" s="4" t="str">
        <f t="shared" si="1"/>
        <v/>
      </c>
      <c r="B982" s="4"/>
      <c r="C982" s="4"/>
      <c r="D982" s="4"/>
      <c r="E982" s="94"/>
      <c r="F982" s="4" t="str">
        <f t="shared" si="2"/>
        <v/>
      </c>
      <c r="G982" s="2" t="str">
        <f t="shared" si="3"/>
        <v/>
      </c>
      <c r="H982" s="2" t="str">
        <f>IF(G982="","",SUMIF(Familias!C:C,G982,Familias!E:E))</f>
        <v/>
      </c>
      <c r="I982" s="4" t="str">
        <f>IF(A982="","",COUNTIF(Prod_Prop!B:B,A982))</f>
        <v/>
      </c>
      <c r="J982" s="92" t="str">
        <f>IF(E982="","",IF(SUMIF(Precio_Productos!L:L,E982,Precio_Productos!J:J)=0,"Falta Precio",SUMIF(Precio_Productos!L:L,E982,Precio_Productos!J:J)))</f>
        <v/>
      </c>
      <c r="O982" s="86"/>
      <c r="P982" s="86" t="str">
        <f>IFERROR(__xludf.DUMMYFUNCTION("IF(OR(F982=""Selecciona.."",F982=""""),"""",TRANSPOSE(filter(Familias!C:C,Familias!D:D=F982)))"),"")</f>
        <v/>
      </c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</row>
    <row r="983">
      <c r="A983" s="4" t="str">
        <f t="shared" si="1"/>
        <v/>
      </c>
      <c r="B983" s="4"/>
      <c r="C983" s="4"/>
      <c r="D983" s="4"/>
      <c r="E983" s="94"/>
      <c r="F983" s="4" t="str">
        <f t="shared" si="2"/>
        <v/>
      </c>
      <c r="G983" s="2" t="str">
        <f t="shared" si="3"/>
        <v/>
      </c>
      <c r="H983" s="2" t="str">
        <f>IF(G983="","",SUMIF(Familias!C:C,G983,Familias!E:E))</f>
        <v/>
      </c>
      <c r="I983" s="4" t="str">
        <f>IF(A983="","",COUNTIF(Prod_Prop!B:B,A983))</f>
        <v/>
      </c>
      <c r="J983" s="92" t="str">
        <f>IF(E983="","",IF(SUMIF(Precio_Productos!L:L,E983,Precio_Productos!J:J)=0,"Falta Precio",SUMIF(Precio_Productos!L:L,E983,Precio_Productos!J:J)))</f>
        <v/>
      </c>
      <c r="O983" s="86"/>
      <c r="P983" s="86" t="str">
        <f>IFERROR(__xludf.DUMMYFUNCTION("IF(OR(F983=""Selecciona.."",F983=""""),"""",TRANSPOSE(filter(Familias!C:C,Familias!D:D=F983)))"),"")</f>
        <v/>
      </c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</row>
    <row r="984">
      <c r="A984" s="4" t="str">
        <f t="shared" si="1"/>
        <v/>
      </c>
      <c r="B984" s="4"/>
      <c r="C984" s="4"/>
      <c r="D984" s="4"/>
      <c r="E984" s="94"/>
      <c r="F984" s="4" t="str">
        <f t="shared" si="2"/>
        <v/>
      </c>
      <c r="G984" s="2" t="str">
        <f t="shared" si="3"/>
        <v/>
      </c>
      <c r="H984" s="2" t="str">
        <f>IF(G984="","",SUMIF(Familias!C:C,G984,Familias!E:E))</f>
        <v/>
      </c>
      <c r="I984" s="4" t="str">
        <f>IF(A984="","",COUNTIF(Prod_Prop!B:B,A984))</f>
        <v/>
      </c>
      <c r="J984" s="92" t="str">
        <f>IF(E984="","",IF(SUMIF(Precio_Productos!L:L,E984,Precio_Productos!J:J)=0,"Falta Precio",SUMIF(Precio_Productos!L:L,E984,Precio_Productos!J:J)))</f>
        <v/>
      </c>
      <c r="O984" s="86"/>
      <c r="P984" s="86" t="str">
        <f>IFERROR(__xludf.DUMMYFUNCTION("IF(OR(F984=""Selecciona.."",F984=""""),"""",TRANSPOSE(filter(Familias!C:C,Familias!D:D=F984)))"),"")</f>
        <v/>
      </c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</row>
    <row r="985">
      <c r="A985" s="4" t="str">
        <f t="shared" si="1"/>
        <v/>
      </c>
      <c r="B985" s="4"/>
      <c r="C985" s="4"/>
      <c r="D985" s="4"/>
      <c r="E985" s="94"/>
      <c r="F985" s="4" t="str">
        <f t="shared" si="2"/>
        <v/>
      </c>
      <c r="G985" s="2" t="str">
        <f t="shared" si="3"/>
        <v/>
      </c>
      <c r="H985" s="2" t="str">
        <f>IF(G985="","",SUMIF(Familias!C:C,G985,Familias!E:E))</f>
        <v/>
      </c>
      <c r="I985" s="4" t="str">
        <f>IF(A985="","",COUNTIF(Prod_Prop!B:B,A985))</f>
        <v/>
      </c>
      <c r="J985" s="92" t="str">
        <f>IF(E985="","",IF(SUMIF(Precio_Productos!L:L,E985,Precio_Productos!J:J)=0,"Falta Precio",SUMIF(Precio_Productos!L:L,E985,Precio_Productos!J:J)))</f>
        <v/>
      </c>
      <c r="O985" s="86"/>
      <c r="P985" s="86" t="str">
        <f>IFERROR(__xludf.DUMMYFUNCTION("IF(OR(F985=""Selecciona.."",F985=""""),"""",TRANSPOSE(filter(Familias!C:C,Familias!D:D=F985)))"),"")</f>
        <v/>
      </c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</row>
    <row r="986">
      <c r="A986" s="4" t="str">
        <f t="shared" si="1"/>
        <v/>
      </c>
      <c r="B986" s="4"/>
      <c r="C986" s="4"/>
      <c r="D986" s="4"/>
      <c r="E986" s="94"/>
      <c r="F986" s="4" t="str">
        <f t="shared" si="2"/>
        <v/>
      </c>
      <c r="G986" s="2" t="str">
        <f t="shared" si="3"/>
        <v/>
      </c>
      <c r="H986" s="2" t="str">
        <f>IF(G986="","",SUMIF(Familias!C:C,G986,Familias!E:E))</f>
        <v/>
      </c>
      <c r="I986" s="4" t="str">
        <f>IF(A986="","",COUNTIF(Prod_Prop!B:B,A986))</f>
        <v/>
      </c>
      <c r="J986" s="92" t="str">
        <f>IF(E986="","",IF(SUMIF(Precio_Productos!L:L,E986,Precio_Productos!J:J)=0,"Falta Precio",SUMIF(Precio_Productos!L:L,E986,Precio_Productos!J:J)))</f>
        <v/>
      </c>
      <c r="O986" s="86"/>
      <c r="P986" s="86" t="str">
        <f>IFERROR(__xludf.DUMMYFUNCTION("IF(OR(F986=""Selecciona.."",F986=""""),"""",TRANSPOSE(filter(Familias!C:C,Familias!D:D=F986)))"),"")</f>
        <v/>
      </c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</row>
    <row r="987">
      <c r="A987" s="4" t="str">
        <f t="shared" si="1"/>
        <v/>
      </c>
      <c r="B987" s="4"/>
      <c r="C987" s="4"/>
      <c r="D987" s="4"/>
      <c r="E987" s="94"/>
      <c r="F987" s="4" t="str">
        <f t="shared" si="2"/>
        <v/>
      </c>
      <c r="G987" s="2" t="str">
        <f t="shared" si="3"/>
        <v/>
      </c>
      <c r="H987" s="2" t="str">
        <f>IF(G987="","",SUMIF(Familias!C:C,G987,Familias!E:E))</f>
        <v/>
      </c>
      <c r="I987" s="4" t="str">
        <f>IF(A987="","",COUNTIF(Prod_Prop!B:B,A987))</f>
        <v/>
      </c>
      <c r="J987" s="92" t="str">
        <f>IF(E987="","",IF(SUMIF(Precio_Productos!L:L,E987,Precio_Productos!J:J)=0,"Falta Precio",SUMIF(Precio_Productos!L:L,E987,Precio_Productos!J:J)))</f>
        <v/>
      </c>
      <c r="O987" s="86"/>
      <c r="P987" s="86" t="str">
        <f>IFERROR(__xludf.DUMMYFUNCTION("IF(OR(F987=""Selecciona.."",F987=""""),"""",TRANSPOSE(filter(Familias!C:C,Familias!D:D=F987)))"),"")</f>
        <v/>
      </c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</row>
    <row r="988">
      <c r="A988" s="4" t="str">
        <f t="shared" si="1"/>
        <v/>
      </c>
      <c r="B988" s="4"/>
      <c r="C988" s="4"/>
      <c r="D988" s="4"/>
      <c r="E988" s="94"/>
      <c r="F988" s="4" t="str">
        <f t="shared" si="2"/>
        <v/>
      </c>
      <c r="G988" s="2" t="str">
        <f t="shared" si="3"/>
        <v/>
      </c>
      <c r="H988" s="2" t="str">
        <f>IF(G988="","",SUMIF(Familias!C:C,G988,Familias!E:E))</f>
        <v/>
      </c>
      <c r="I988" s="4" t="str">
        <f>IF(A988="","",COUNTIF(Prod_Prop!B:B,A988))</f>
        <v/>
      </c>
      <c r="J988" s="92" t="str">
        <f>IF(E988="","",IF(SUMIF(Precio_Productos!L:L,E988,Precio_Productos!J:J)=0,"Falta Precio",SUMIF(Precio_Productos!L:L,E988,Precio_Productos!J:J)))</f>
        <v/>
      </c>
      <c r="O988" s="86"/>
      <c r="P988" s="86" t="str">
        <f>IFERROR(__xludf.DUMMYFUNCTION("IF(OR(F988=""Selecciona.."",F988=""""),"""",TRANSPOSE(filter(Familias!C:C,Familias!D:D=F988)))"),"")</f>
        <v/>
      </c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</row>
    <row r="989">
      <c r="A989" s="4" t="str">
        <f t="shared" si="1"/>
        <v/>
      </c>
      <c r="B989" s="4"/>
      <c r="C989" s="4"/>
      <c r="D989" s="4"/>
      <c r="E989" s="94"/>
      <c r="F989" s="4" t="str">
        <f t="shared" si="2"/>
        <v/>
      </c>
      <c r="G989" s="2" t="str">
        <f t="shared" si="3"/>
        <v/>
      </c>
      <c r="H989" s="2" t="str">
        <f>IF(G989="","",SUMIF(Familias!C:C,G989,Familias!E:E))</f>
        <v/>
      </c>
      <c r="I989" s="4" t="str">
        <f>IF(A989="","",COUNTIF(Prod_Prop!B:B,A989))</f>
        <v/>
      </c>
      <c r="J989" s="92" t="str">
        <f>IF(E989="","",IF(SUMIF(Precio_Productos!L:L,E989,Precio_Productos!J:J)=0,"Falta Precio",SUMIF(Precio_Productos!L:L,E989,Precio_Productos!J:J)))</f>
        <v/>
      </c>
      <c r="O989" s="86"/>
      <c r="P989" s="86" t="str">
        <f>IFERROR(__xludf.DUMMYFUNCTION("IF(OR(F989=""Selecciona.."",F989=""""),"""",TRANSPOSE(filter(Familias!C:C,Familias!D:D=F989)))"),"")</f>
        <v/>
      </c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</row>
    <row r="990">
      <c r="A990" s="4" t="str">
        <f t="shared" si="1"/>
        <v/>
      </c>
      <c r="B990" s="4"/>
      <c r="C990" s="4"/>
      <c r="D990" s="4"/>
      <c r="E990" s="94"/>
      <c r="F990" s="4" t="str">
        <f t="shared" si="2"/>
        <v/>
      </c>
      <c r="G990" s="2" t="str">
        <f t="shared" si="3"/>
        <v/>
      </c>
      <c r="H990" s="2" t="str">
        <f>IF(G990="","",SUMIF(Familias!C:C,G990,Familias!E:E))</f>
        <v/>
      </c>
      <c r="I990" s="4" t="str">
        <f>IF(A990="","",COUNTIF(Prod_Prop!B:B,A990))</f>
        <v/>
      </c>
      <c r="J990" s="92" t="str">
        <f>IF(E990="","",IF(SUMIF(Precio_Productos!L:L,E990,Precio_Productos!J:J)=0,"Falta Precio",SUMIF(Precio_Productos!L:L,E990,Precio_Productos!J:J)))</f>
        <v/>
      </c>
      <c r="O990" s="86"/>
      <c r="P990" s="86" t="str">
        <f>IFERROR(__xludf.DUMMYFUNCTION("IF(OR(F990=""Selecciona.."",F990=""""),"""",TRANSPOSE(filter(Familias!C:C,Familias!D:D=F990)))"),"")</f>
        <v/>
      </c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</row>
    <row r="991">
      <c r="A991" s="4" t="str">
        <f t="shared" si="1"/>
        <v/>
      </c>
      <c r="B991" s="4"/>
      <c r="C991" s="4"/>
      <c r="D991" s="4"/>
      <c r="E991" s="94"/>
      <c r="F991" s="4" t="str">
        <f t="shared" si="2"/>
        <v/>
      </c>
      <c r="G991" s="2" t="str">
        <f t="shared" si="3"/>
        <v/>
      </c>
      <c r="H991" s="2" t="str">
        <f>IF(G991="","",SUMIF(Familias!C:C,G991,Familias!E:E))</f>
        <v/>
      </c>
      <c r="I991" s="4" t="str">
        <f>IF(A991="","",COUNTIF(Prod_Prop!B:B,A991))</f>
        <v/>
      </c>
      <c r="J991" s="92" t="str">
        <f>IF(E991="","",IF(SUMIF(Precio_Productos!L:L,E991,Precio_Productos!J:J)=0,"Falta Precio",SUMIF(Precio_Productos!L:L,E991,Precio_Productos!J:J)))</f>
        <v/>
      </c>
      <c r="O991" s="86"/>
      <c r="P991" s="86" t="str">
        <f>IFERROR(__xludf.DUMMYFUNCTION("IF(OR(F991=""Selecciona.."",F991=""""),"""",TRANSPOSE(filter(Familias!C:C,Familias!D:D=F991)))"),"")</f>
        <v/>
      </c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</row>
    <row r="992">
      <c r="A992" s="4" t="str">
        <f t="shared" si="1"/>
        <v/>
      </c>
      <c r="B992" s="4"/>
      <c r="C992" s="4"/>
      <c r="D992" s="4"/>
      <c r="E992" s="94"/>
      <c r="F992" s="4" t="str">
        <f t="shared" si="2"/>
        <v/>
      </c>
      <c r="G992" s="2" t="str">
        <f t="shared" si="3"/>
        <v/>
      </c>
      <c r="H992" s="2" t="str">
        <f>IF(G992="","",SUMIF(Familias!C:C,G992,Familias!E:E))</f>
        <v/>
      </c>
      <c r="I992" s="4" t="str">
        <f>IF(A992="","",COUNTIF(Prod_Prop!B:B,A992))</f>
        <v/>
      </c>
      <c r="J992" s="92" t="str">
        <f>IF(E992="","",IF(SUMIF(Precio_Productos!L:L,E992,Precio_Productos!J:J)=0,"Falta Precio",SUMIF(Precio_Productos!L:L,E992,Precio_Productos!J:J)))</f>
        <v/>
      </c>
      <c r="O992" s="86"/>
      <c r="P992" s="86" t="str">
        <f>IFERROR(__xludf.DUMMYFUNCTION("IF(OR(F992=""Selecciona.."",F992=""""),"""",TRANSPOSE(filter(Familias!C:C,Familias!D:D=F992)))"),"")</f>
        <v/>
      </c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</row>
    <row r="993">
      <c r="A993" s="4" t="str">
        <f t="shared" si="1"/>
        <v/>
      </c>
      <c r="B993" s="4"/>
      <c r="C993" s="4"/>
      <c r="D993" s="4"/>
      <c r="E993" s="94"/>
      <c r="F993" s="4" t="str">
        <f t="shared" si="2"/>
        <v/>
      </c>
      <c r="G993" s="2" t="str">
        <f t="shared" si="3"/>
        <v/>
      </c>
      <c r="H993" s="2" t="str">
        <f>IF(G993="","",SUMIF(Familias!C:C,G993,Familias!E:E))</f>
        <v/>
      </c>
      <c r="I993" s="4" t="str">
        <f>IF(A993="","",COUNTIF(Prod_Prop!B:B,A993))</f>
        <v/>
      </c>
      <c r="J993" s="92" t="str">
        <f>IF(E993="","",IF(SUMIF(Precio_Productos!L:L,E993,Precio_Productos!J:J)=0,"Falta Precio",SUMIF(Precio_Productos!L:L,E993,Precio_Productos!J:J)))</f>
        <v/>
      </c>
      <c r="O993" s="86"/>
      <c r="P993" s="86" t="str">
        <f>IFERROR(__xludf.DUMMYFUNCTION("IF(OR(F993=""Selecciona.."",F993=""""),"""",TRANSPOSE(filter(Familias!C:C,Familias!D:D=F993)))"),"")</f>
        <v/>
      </c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</row>
    <row r="994">
      <c r="A994" s="4" t="str">
        <f t="shared" si="1"/>
        <v/>
      </c>
      <c r="B994" s="4"/>
      <c r="C994" s="4"/>
      <c r="D994" s="4"/>
      <c r="E994" s="94"/>
      <c r="F994" s="4" t="str">
        <f t="shared" si="2"/>
        <v/>
      </c>
      <c r="G994" s="2" t="str">
        <f t="shared" si="3"/>
        <v/>
      </c>
      <c r="H994" s="2" t="str">
        <f>IF(G994="","",SUMIF(Familias!C:C,G994,Familias!E:E))</f>
        <v/>
      </c>
      <c r="I994" s="4" t="str">
        <f>IF(A994="","",COUNTIF(Prod_Prop!B:B,A994))</f>
        <v/>
      </c>
      <c r="J994" s="92" t="str">
        <f>IF(E994="","",IF(SUMIF(Precio_Productos!L:L,E994,Precio_Productos!J:J)=0,"Falta Precio",SUMIF(Precio_Productos!L:L,E994,Precio_Productos!J:J)))</f>
        <v/>
      </c>
      <c r="O994" s="86"/>
      <c r="P994" s="86" t="str">
        <f>IFERROR(__xludf.DUMMYFUNCTION("IF(OR(F994=""Selecciona.."",F994=""""),"""",TRANSPOSE(filter(Familias!C:C,Familias!D:D=F994)))"),"")</f>
        <v/>
      </c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</row>
    <row r="995">
      <c r="A995" s="4" t="str">
        <f t="shared" si="1"/>
        <v/>
      </c>
      <c r="B995" s="4"/>
      <c r="C995" s="4"/>
      <c r="D995" s="4"/>
      <c r="E995" s="94"/>
      <c r="F995" s="4" t="str">
        <f t="shared" si="2"/>
        <v/>
      </c>
      <c r="G995" s="2" t="str">
        <f t="shared" si="3"/>
        <v/>
      </c>
      <c r="H995" s="2" t="str">
        <f>IF(G995="","",SUMIF(Familias!C:C,G995,Familias!E:E))</f>
        <v/>
      </c>
      <c r="I995" s="4" t="str">
        <f>IF(A995="","",COUNTIF(Prod_Prop!B:B,A995))</f>
        <v/>
      </c>
      <c r="J995" s="92" t="str">
        <f>IF(E995="","",IF(SUMIF(Precio_Productos!L:L,E995,Precio_Productos!J:J)=0,"Falta Precio",SUMIF(Precio_Productos!L:L,E995,Precio_Productos!J:J)))</f>
        <v/>
      </c>
      <c r="O995" s="86"/>
      <c r="P995" s="86" t="str">
        <f>IFERROR(__xludf.DUMMYFUNCTION("IF(OR(F995=""Selecciona.."",F995=""""),"""",TRANSPOSE(filter(Familias!C:C,Familias!D:D=F995)))"),"")</f>
        <v/>
      </c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</row>
    <row r="996">
      <c r="A996" s="4" t="str">
        <f t="shared" si="1"/>
        <v/>
      </c>
      <c r="B996" s="4"/>
      <c r="C996" s="4"/>
      <c r="D996" s="4"/>
      <c r="E996" s="94"/>
      <c r="F996" s="4" t="str">
        <f t="shared" si="2"/>
        <v/>
      </c>
      <c r="G996" s="2" t="str">
        <f t="shared" si="3"/>
        <v/>
      </c>
      <c r="H996" s="2" t="str">
        <f>IF(G996="","",SUMIF(Familias!C:C,G996,Familias!E:E))</f>
        <v/>
      </c>
      <c r="I996" s="4" t="str">
        <f>IF(A996="","",COUNTIF(Prod_Prop!B:B,A996))</f>
        <v/>
      </c>
      <c r="J996" s="92" t="str">
        <f>IF(E996="","",IF(SUMIF(Precio_Productos!L:L,E996,Precio_Productos!J:J)=0,"Falta Precio",SUMIF(Precio_Productos!L:L,E996,Precio_Productos!J:J)))</f>
        <v/>
      </c>
      <c r="O996" s="86"/>
      <c r="P996" s="86" t="str">
        <f>IFERROR(__xludf.DUMMYFUNCTION("IF(OR(F996=""Selecciona.."",F996=""""),"""",TRANSPOSE(filter(Familias!C:C,Familias!D:D=F996)))"),"")</f>
        <v/>
      </c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</row>
    <row r="997">
      <c r="A997" s="4" t="str">
        <f t="shared" si="1"/>
        <v/>
      </c>
      <c r="B997" s="4"/>
      <c r="C997" s="4"/>
      <c r="D997" s="4"/>
      <c r="E997" s="94"/>
      <c r="F997" s="4" t="str">
        <f t="shared" si="2"/>
        <v/>
      </c>
      <c r="G997" s="2" t="str">
        <f t="shared" si="3"/>
        <v/>
      </c>
      <c r="H997" s="2" t="str">
        <f>IF(G997="","",SUMIF(Familias!C:C,G997,Familias!E:E))</f>
        <v/>
      </c>
      <c r="I997" s="4" t="str">
        <f>IF(A997="","",COUNTIF(Prod_Prop!B:B,A997))</f>
        <v/>
      </c>
      <c r="J997" s="92" t="str">
        <f>IF(E997="","",IF(SUMIF(Precio_Productos!L:L,E997,Precio_Productos!J:J)=0,"Falta Precio",SUMIF(Precio_Productos!L:L,E997,Precio_Productos!J:J)))</f>
        <v/>
      </c>
      <c r="O997" s="86"/>
      <c r="P997" s="86" t="str">
        <f>IFERROR(__xludf.DUMMYFUNCTION("IF(OR(F997=""Selecciona.."",F997=""""),"""",TRANSPOSE(filter(Familias!C:C,Familias!D:D=F997)))"),"")</f>
        <v/>
      </c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</row>
    <row r="998">
      <c r="A998" s="4" t="str">
        <f t="shared" si="1"/>
        <v/>
      </c>
      <c r="B998" s="4"/>
      <c r="C998" s="4"/>
      <c r="D998" s="4"/>
      <c r="E998" s="94"/>
      <c r="F998" s="4" t="str">
        <f t="shared" si="2"/>
        <v/>
      </c>
      <c r="G998" s="2" t="str">
        <f t="shared" si="3"/>
        <v/>
      </c>
      <c r="H998" s="2" t="str">
        <f>IF(G998="","",SUMIF(Familias!C:C,G998,Familias!E:E))</f>
        <v/>
      </c>
      <c r="I998" s="4" t="str">
        <f>IF(A998="","",COUNTIF(Prod_Prop!B:B,A998))</f>
        <v/>
      </c>
      <c r="J998" s="92" t="str">
        <f>IF(E998="","",IF(SUMIF(Precio_Productos!L:L,E998,Precio_Productos!J:J)=0,"Falta Precio",SUMIF(Precio_Productos!L:L,E998,Precio_Productos!J:J)))</f>
        <v/>
      </c>
      <c r="O998" s="86"/>
      <c r="P998" s="86" t="str">
        <f>IFERROR(__xludf.DUMMYFUNCTION("IF(OR(F998=""Selecciona.."",F998=""""),"""",TRANSPOSE(filter(Familias!C:C,Familias!D:D=F998)))"),"")</f>
        <v/>
      </c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</row>
    <row r="999">
      <c r="A999" s="4" t="str">
        <f t="shared" si="1"/>
        <v/>
      </c>
      <c r="B999" s="4"/>
      <c r="C999" s="4"/>
      <c r="D999" s="4"/>
      <c r="E999" s="94"/>
      <c r="F999" s="4" t="str">
        <f t="shared" si="2"/>
        <v/>
      </c>
      <c r="G999" s="2" t="str">
        <f t="shared" si="3"/>
        <v/>
      </c>
      <c r="H999" s="2" t="str">
        <f>IF(G999="","",SUMIF(Familias!C:C,G999,Familias!E:E))</f>
        <v/>
      </c>
      <c r="I999" s="4" t="str">
        <f>IF(A999="","",COUNTIF(Prod_Prop!B:B,A999))</f>
        <v/>
      </c>
      <c r="J999" s="92" t="str">
        <f>IF(E999="","",IF(SUMIF(Precio_Productos!L:L,E999,Precio_Productos!J:J)=0,"Falta Precio",SUMIF(Precio_Productos!L:L,E999,Precio_Productos!J:J)))</f>
        <v/>
      </c>
      <c r="O999" s="86"/>
      <c r="P999" s="86" t="str">
        <f>IFERROR(__xludf.DUMMYFUNCTION("IF(OR(F999=""Selecciona.."",F999=""""),"""",TRANSPOSE(filter(Familias!C:C,Familias!D:D=F999)))"),"")</f>
        <v/>
      </c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</row>
    <row r="1000">
      <c r="A1000" s="4" t="str">
        <f t="shared" si="1"/>
        <v/>
      </c>
      <c r="B1000" s="4"/>
      <c r="C1000" s="4"/>
      <c r="D1000" s="4"/>
      <c r="E1000" s="94"/>
      <c r="F1000" s="4" t="str">
        <f t="shared" si="2"/>
        <v/>
      </c>
      <c r="G1000" s="2" t="str">
        <f t="shared" si="3"/>
        <v/>
      </c>
      <c r="H1000" s="2" t="str">
        <f>IF(G1000="","",SUMIF(Familias!C:C,G1000,Familias!E:E))</f>
        <v/>
      </c>
      <c r="I1000" s="4" t="str">
        <f>IF(A1000="","",COUNTIF(Prod_Prop!B:B,A1000))</f>
        <v/>
      </c>
      <c r="J1000" s="92" t="str">
        <f>IF(E1000="","",IF(SUMIF(Precio_Productos!L:L,E1000,Precio_Productos!J:J)=0,"Falta Precio",SUMIF(Precio_Productos!L:L,E1000,Precio_Productos!J:J)))</f>
        <v/>
      </c>
      <c r="O1000" s="86"/>
      <c r="P1000" s="86" t="str">
        <f>IFERROR(__xludf.DUMMYFUNCTION("IF(OR(F1000=""Selecciona.."",F1000=""""),"""",TRANSPOSE(filter(Familias!C:C,Familias!D:D=F1000)))"),"")</f>
        <v/>
      </c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</row>
    <row r="1001">
      <c r="A1001" s="4" t="str">
        <f t="shared" si="1"/>
        <v/>
      </c>
      <c r="B1001" s="4"/>
      <c r="C1001" s="4"/>
      <c r="D1001" s="4"/>
      <c r="E1001" s="94"/>
      <c r="F1001" s="4" t="str">
        <f t="shared" si="2"/>
        <v/>
      </c>
      <c r="G1001" s="2" t="str">
        <f t="shared" si="3"/>
        <v/>
      </c>
      <c r="H1001" s="2" t="str">
        <f>IF(G1001="","",SUMIF(Familias!C:C,G1001,Familias!E:E))</f>
        <v/>
      </c>
      <c r="I1001" s="4" t="str">
        <f>IF(A1001="","",COUNTIF(Prod_Prop!B:B,A1001))</f>
        <v/>
      </c>
      <c r="J1001" s="92" t="str">
        <f>IF(E1001="","",IF(SUMIF(Precio_Productos!L:L,E1001,Precio_Productos!J:J)=0,"Falta Precio",SUMIF(Precio_Productos!L:L,E1001,Precio_Productos!J:J)))</f>
        <v/>
      </c>
      <c r="O1001" s="86"/>
      <c r="P1001" s="86" t="str">
        <f>IFERROR(__xludf.DUMMYFUNCTION("IF(OR(F1001=""Selecciona.."",F1001=""""),"""",TRANSPOSE(filter(Familias!C:C,Familias!D:D=F1001)))"),"")</f>
        <v/>
      </c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  <c r="AD1001" s="86"/>
      <c r="AE1001" s="86"/>
    </row>
    <row r="1002">
      <c r="A1002" s="4" t="str">
        <f t="shared" si="1"/>
        <v/>
      </c>
      <c r="B1002" s="4"/>
      <c r="C1002" s="4"/>
      <c r="D1002" s="4"/>
      <c r="E1002" s="94"/>
      <c r="F1002" s="4" t="str">
        <f t="shared" si="2"/>
        <v/>
      </c>
      <c r="G1002" s="2" t="str">
        <f t="shared" si="3"/>
        <v/>
      </c>
      <c r="H1002" s="2" t="str">
        <f>IF(G1002="","",SUMIF(Familias!C:C,G1002,Familias!E:E))</f>
        <v/>
      </c>
      <c r="I1002" s="4" t="str">
        <f>IF(A1002="","",COUNTIF(Prod_Prop!B:B,A1002))</f>
        <v/>
      </c>
      <c r="J1002" s="92" t="str">
        <f>IF(E1002="","",IF(SUMIF(Precio_Productos!L:L,E1002,Precio_Productos!J:J)=0,"Falta Precio",SUMIF(Precio_Productos!L:L,E1002,Precio_Productos!J:J)))</f>
        <v/>
      </c>
      <c r="O1002" s="86"/>
      <c r="P1002" s="86" t="str">
        <f>IFERROR(__xludf.DUMMYFUNCTION("IF(OR(F1002=""Selecciona.."",F1002=""""),"""",TRANSPOSE(filter(Familias!C:C,Familias!D:D=F1002)))"),"")</f>
        <v/>
      </c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  <c r="AD1002" s="86"/>
      <c r="AE1002" s="86"/>
    </row>
  </sheetData>
  <autoFilter ref="$A$1:$J$1002"/>
  <dataValidations>
    <dataValidation type="list" allowBlank="1" sqref="G2:G998">
      <formula1>Productos!$P2:$AE2</formula1>
    </dataValidation>
    <dataValidation type="list" allowBlank="1" sqref="F2:F1002">
      <formula1>Implementos!$B$2:$B$1000</formula1>
    </dataValidation>
  </dataValidations>
  <drawing r:id="rId1"/>
</worksheet>
</file>